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EstaPastaDeTrabalho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S:\REAJUSTE\Concessionárias de Distribuição\2022\12 - D46 - EAC (Ricardo)\Estrutura\"/>
    </mc:Choice>
  </mc:AlternateContent>
  <xr:revisionPtr revIDLastSave="0" documentId="13_ncr:1_{F315E7B2-DB18-45F5-B144-E43429FB1CBC}" xr6:coauthVersionLast="47" xr6:coauthVersionMax="47" xr10:uidLastSave="{00000000-0000-0000-0000-000000000000}"/>
  <bookViews>
    <workbookView xWindow="-21720" yWindow="1080" windowWidth="21840" windowHeight="13140" firstSheet="12" activeTab="19" xr2:uid="{305292FB-0F1A-44BC-9480-F4CA2F904BAD}"/>
  </bookViews>
  <sheets>
    <sheet name="Mercado_Receita" sheetId="1" r:id="rId1"/>
    <sheet name="EVENTOS" sheetId="2" r:id="rId2"/>
    <sheet name="TAR FIN" sheetId="15" r:id="rId3"/>
    <sheet name="MERCADO TUSD" sheetId="3" r:id="rId4"/>
    <sheet name="MERCADO TE" sheetId="4" r:id="rId5"/>
    <sheet name="CUSTOS" sheetId="5" r:id="rId6"/>
    <sheet name="TRANSICAO" sheetId="14" r:id="rId7"/>
    <sheet name="TR TUSD" sheetId="6" r:id="rId8"/>
    <sheet name="TUSD BE" sheetId="7" r:id="rId9"/>
    <sheet name="TUSD BF" sheetId="8" r:id="rId10"/>
    <sheet name="TUSD CVA" sheetId="9" r:id="rId11"/>
    <sheet name="TR TE" sheetId="10" r:id="rId12"/>
    <sheet name="TE BE" sheetId="11" r:id="rId13"/>
    <sheet name="TE BF" sheetId="12" r:id="rId14"/>
    <sheet name="TE CVA" sheetId="13" r:id="rId15"/>
    <sheet name="EFEITO" sheetId="16" r:id="rId16"/>
    <sheet name="SUBSIDIO" sheetId="17" r:id="rId17"/>
    <sheet name="TabDinEfeito" sheetId="18" r:id="rId18"/>
    <sheet name="TabDinSubsidio" sheetId="19" r:id="rId19"/>
    <sheet name="TABELAS REH" sheetId="30" r:id="rId20"/>
    <sheet name="CONSISTENCIA" sheetId="21" r:id="rId21"/>
    <sheet name="TUSD" sheetId="23" r:id="rId22"/>
    <sheet name="TE" sheetId="24" r:id="rId23"/>
    <sheet name="RESUMO TUSD" sheetId="25" r:id="rId24"/>
    <sheet name="RESUMO TE" sheetId="26" r:id="rId25"/>
    <sheet name="Descontos" sheetId="20" r:id="rId26"/>
    <sheet name="ERD" sheetId="29" r:id="rId27"/>
    <sheet name="TA - Aplicação" sheetId="31" r:id="rId28"/>
    <sheet name="TA - BE" sheetId="32" r:id="rId29"/>
    <sheet name="TA - CVA" sheetId="33" r:id="rId30"/>
  </sheets>
  <definedNames>
    <definedName name="_xlnm.Print_Area" localSheetId="15">EFEITO!$AS$1:$BJ$12</definedName>
    <definedName name="DadosExternos_1" localSheetId="27" hidden="1">'TA - Aplicação'!$B$3:$AT$78</definedName>
    <definedName name="DadosExternos_1" localSheetId="28" hidden="1">'TA - BE'!$B$3:$AT$78</definedName>
    <definedName name="DadosExternos_1" localSheetId="29" hidden="1">'TA - CVA'!$B$3:$AT$78</definedName>
  </definedNames>
  <calcPr calcId="191029" iterate="1"/>
  <pivotCaches>
    <pivotCache cacheId="0" r:id="rId31"/>
    <pivotCache cacheId="1" r:id="rId3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2" i="30" l="1"/>
  <c r="G32" i="30"/>
  <c r="V33" i="30" l="1"/>
  <c r="V32" i="30"/>
  <c r="V31" i="30"/>
  <c r="V30" i="30"/>
  <c r="V29" i="30"/>
  <c r="V28" i="30"/>
  <c r="V27" i="30"/>
  <c r="V26" i="30"/>
  <c r="V21" i="30"/>
  <c r="V16" i="30"/>
  <c r="V25" i="30"/>
  <c r="V20" i="30"/>
  <c r="V15" i="30"/>
  <c r="V24" i="30"/>
  <c r="V23" i="30"/>
  <c r="V22" i="30"/>
  <c r="V19" i="30"/>
  <c r="V18" i="30"/>
  <c r="V17" i="30"/>
  <c r="V14" i="30"/>
  <c r="V13" i="30"/>
  <c r="V12" i="30"/>
  <c r="V11" i="30"/>
  <c r="V9" i="30"/>
  <c r="V10" i="30"/>
  <c r="V8" i="30"/>
  <c r="V7" i="30"/>
  <c r="V6" i="30"/>
  <c r="V5" i="30"/>
  <c r="J26" i="30"/>
  <c r="J25" i="30"/>
  <c r="J21" i="30"/>
  <c r="J20" i="30"/>
  <c r="J15" i="30"/>
  <c r="J14" i="30"/>
  <c r="J10" i="30"/>
  <c r="J9" i="30"/>
  <c r="J6" i="30"/>
  <c r="J5" i="30"/>
  <c r="I3" i="29"/>
  <c r="J3" i="29"/>
  <c r="J2" i="29" s="1"/>
  <c r="K3" i="29"/>
  <c r="B2" i="29"/>
  <c r="C2" i="29"/>
  <c r="D2" i="29"/>
  <c r="E2" i="29"/>
  <c r="F2" i="29"/>
  <c r="G2" i="29"/>
  <c r="H2" i="29"/>
  <c r="I2" i="29"/>
  <c r="K2" i="29"/>
  <c r="L2" i="29"/>
  <c r="B11" i="29"/>
  <c r="P11" i="5" l="1"/>
  <c r="P10" i="5"/>
  <c r="P9" i="5"/>
  <c r="F44" i="5"/>
  <c r="E44" i="5"/>
  <c r="D44" i="5"/>
  <c r="F26" i="5"/>
  <c r="E26" i="5"/>
  <c r="D26" i="5"/>
  <c r="F25" i="5"/>
  <c r="E25" i="5"/>
  <c r="D25" i="5"/>
  <c r="F24" i="5"/>
  <c r="E24" i="5"/>
  <c r="D24" i="5"/>
  <c r="D13" i="5"/>
  <c r="F39" i="5"/>
  <c r="F17" i="5"/>
  <c r="F16" i="5"/>
  <c r="F12" i="5"/>
  <c r="F11" i="5"/>
  <c r="M15" i="5"/>
  <c r="M7" i="5"/>
  <c r="E36" i="5" s="1"/>
  <c r="R11" i="5" l="1"/>
  <c r="R10" i="5"/>
  <c r="R9" i="5"/>
  <c r="F36" i="5"/>
  <c r="D36" i="5"/>
  <c r="D30" i="5" s="1"/>
  <c r="L5" i="26"/>
  <c r="K5" i="26"/>
  <c r="J5" i="26"/>
  <c r="I5" i="26"/>
  <c r="H5" i="26"/>
  <c r="G5" i="26"/>
  <c r="F5" i="26"/>
  <c r="E5" i="26"/>
  <c r="D5" i="26"/>
  <c r="C5" i="26"/>
  <c r="B5" i="26"/>
  <c r="I2" i="26"/>
  <c r="W5" i="25"/>
  <c r="V5" i="25"/>
  <c r="U5" i="25"/>
  <c r="T5" i="25"/>
  <c r="S5" i="25"/>
  <c r="R5" i="25"/>
  <c r="Q5" i="25"/>
  <c r="P5" i="25"/>
  <c r="O5" i="25"/>
  <c r="N5" i="25"/>
  <c r="M5" i="25"/>
  <c r="L5" i="25"/>
  <c r="K5" i="25"/>
  <c r="J5" i="25"/>
  <c r="I5" i="25"/>
  <c r="H5" i="25"/>
  <c r="G5" i="25"/>
  <c r="F5" i="25"/>
  <c r="E5" i="25"/>
  <c r="D5" i="25"/>
  <c r="C5" i="25"/>
  <c r="B5" i="25"/>
  <c r="I2" i="25"/>
  <c r="U16" i="24"/>
  <c r="U15" i="24"/>
  <c r="U13" i="24"/>
  <c r="AB25" i="23"/>
  <c r="AB24" i="23"/>
  <c r="AB23" i="23"/>
  <c r="AE13" i="21"/>
  <c r="AD13" i="21"/>
  <c r="AC13" i="21"/>
  <c r="AB13" i="21"/>
  <c r="AA13" i="21"/>
  <c r="W13" i="21"/>
  <c r="V13" i="21"/>
  <c r="U13" i="21"/>
  <c r="AI13" i="21" s="1"/>
  <c r="T13" i="21"/>
  <c r="S13" i="21"/>
  <c r="R13" i="21"/>
  <c r="AE12" i="21"/>
  <c r="AD12" i="21"/>
  <c r="AE8" i="21"/>
  <c r="AD8" i="21"/>
  <c r="AC8" i="21"/>
  <c r="AB8" i="21"/>
  <c r="AA8" i="21"/>
  <c r="W8" i="21"/>
  <c r="V8" i="21"/>
  <c r="U8" i="21"/>
  <c r="T8" i="21"/>
  <c r="S8" i="21"/>
  <c r="Y8" i="21" s="1"/>
  <c r="R8" i="21"/>
  <c r="AE5" i="21"/>
  <c r="AD5" i="21"/>
  <c r="AC5" i="21"/>
  <c r="AB5" i="21"/>
  <c r="AA5" i="21"/>
  <c r="W5" i="21"/>
  <c r="V5" i="21"/>
  <c r="U5" i="21"/>
  <c r="AI5" i="21" s="1"/>
  <c r="T5" i="21"/>
  <c r="S5" i="21"/>
  <c r="R5" i="21"/>
  <c r="AE4" i="21"/>
  <c r="AD4" i="21"/>
  <c r="AC4" i="21"/>
  <c r="AB4" i="21"/>
  <c r="AA4" i="21"/>
  <c r="X4" i="21"/>
  <c r="AF4" i="21" s="1"/>
  <c r="W4" i="21"/>
  <c r="V4" i="21"/>
  <c r="U4" i="21"/>
  <c r="T4" i="21"/>
  <c r="S4" i="21"/>
  <c r="R4" i="21"/>
  <c r="AE3" i="21"/>
  <c r="AD3" i="21"/>
  <c r="AC3" i="21"/>
  <c r="AB3" i="21"/>
  <c r="AA3" i="21"/>
  <c r="W3" i="21"/>
  <c r="V3" i="21"/>
  <c r="U3" i="21"/>
  <c r="T3" i="21"/>
  <c r="S3" i="21"/>
  <c r="R3" i="21"/>
  <c r="J2073" i="21"/>
  <c r="J2072" i="21"/>
  <c r="J2071" i="21"/>
  <c r="M2071" i="21" s="1"/>
  <c r="J2070" i="21"/>
  <c r="J2069" i="21"/>
  <c r="M2069" i="21" s="1"/>
  <c r="J2068" i="21"/>
  <c r="M2068" i="21" s="1"/>
  <c r="J2067" i="21"/>
  <c r="M2067" i="21" s="1"/>
  <c r="J2066" i="21"/>
  <c r="J2065" i="21"/>
  <c r="J2064" i="21"/>
  <c r="M2064" i="21" s="1"/>
  <c r="J2063" i="21"/>
  <c r="M2063" i="21" s="1"/>
  <c r="J2062" i="21"/>
  <c r="J2061" i="21"/>
  <c r="M2061" i="21" s="1"/>
  <c r="J2060" i="21"/>
  <c r="M2060" i="21" s="1"/>
  <c r="J2059" i="21"/>
  <c r="M2059" i="21" s="1"/>
  <c r="J2058" i="21"/>
  <c r="J2057" i="21"/>
  <c r="M2057" i="21" s="1"/>
  <c r="J2056" i="21"/>
  <c r="J2055" i="21"/>
  <c r="M2055" i="21" s="1"/>
  <c r="J2054" i="21"/>
  <c r="J2053" i="21"/>
  <c r="M2053" i="21" s="1"/>
  <c r="J2052" i="21"/>
  <c r="M2052" i="21" s="1"/>
  <c r="J2051" i="21"/>
  <c r="M2051" i="21" s="1"/>
  <c r="J2050" i="21"/>
  <c r="J2049" i="21"/>
  <c r="M2049" i="21" s="1"/>
  <c r="J2048" i="21"/>
  <c r="M2048" i="21" s="1"/>
  <c r="J2047" i="21"/>
  <c r="M2047" i="21" s="1"/>
  <c r="J2046" i="21"/>
  <c r="J2045" i="21"/>
  <c r="M2045" i="21" s="1"/>
  <c r="J2044" i="21"/>
  <c r="J2043" i="21"/>
  <c r="M2043" i="21" s="1"/>
  <c r="J2042" i="21"/>
  <c r="J2041" i="21"/>
  <c r="M2041" i="21" s="1"/>
  <c r="J2040" i="21"/>
  <c r="M2040" i="21" s="1"/>
  <c r="J980" i="21"/>
  <c r="M980" i="21" s="1"/>
  <c r="J979" i="21"/>
  <c r="J978" i="21"/>
  <c r="J977" i="21"/>
  <c r="J976" i="21"/>
  <c r="M976" i="21" s="1"/>
  <c r="J975" i="21"/>
  <c r="J974" i="21"/>
  <c r="J973" i="21"/>
  <c r="J972" i="21"/>
  <c r="M972" i="21" s="1"/>
  <c r="J971" i="21"/>
  <c r="J970" i="21"/>
  <c r="J969" i="21"/>
  <c r="J968" i="21"/>
  <c r="M968" i="21" s="1"/>
  <c r="J967" i="21"/>
  <c r="J966" i="21"/>
  <c r="J965" i="21"/>
  <c r="J964" i="21"/>
  <c r="M964" i="21" s="1"/>
  <c r="J963" i="21"/>
  <c r="J962" i="21"/>
  <c r="J961" i="21"/>
  <c r="J960" i="21"/>
  <c r="M960" i="21" s="1"/>
  <c r="J959" i="21"/>
  <c r="J958" i="21"/>
  <c r="J957" i="21"/>
  <c r="J956" i="21"/>
  <c r="M956" i="21" s="1"/>
  <c r="J955" i="21"/>
  <c r="L954" i="21"/>
  <c r="K954" i="21"/>
  <c r="L953" i="21"/>
  <c r="O953" i="21" s="1"/>
  <c r="K953" i="21"/>
  <c r="L952" i="21"/>
  <c r="K952" i="21"/>
  <c r="L951" i="21"/>
  <c r="O951" i="21" s="1"/>
  <c r="K951" i="21"/>
  <c r="L950" i="21"/>
  <c r="K950" i="21"/>
  <c r="L949" i="21"/>
  <c r="O949" i="21" s="1"/>
  <c r="K949" i="21"/>
  <c r="L948" i="21"/>
  <c r="K948" i="21"/>
  <c r="L947" i="21"/>
  <c r="O947" i="21" s="1"/>
  <c r="K947" i="21"/>
  <c r="L946" i="21"/>
  <c r="K946" i="21"/>
  <c r="L945" i="21"/>
  <c r="O945" i="21" s="1"/>
  <c r="K945" i="21"/>
  <c r="L944" i="21"/>
  <c r="K944" i="21"/>
  <c r="L943" i="21"/>
  <c r="O943" i="21" s="1"/>
  <c r="K943" i="21"/>
  <c r="L942" i="21"/>
  <c r="K942" i="21"/>
  <c r="L941" i="21"/>
  <c r="O941" i="21" s="1"/>
  <c r="K941" i="21"/>
  <c r="L940" i="21"/>
  <c r="K940" i="21"/>
  <c r="L939" i="21"/>
  <c r="O939" i="21" s="1"/>
  <c r="K939" i="21"/>
  <c r="L938" i="21"/>
  <c r="K938" i="21"/>
  <c r="L937" i="21"/>
  <c r="O937" i="21" s="1"/>
  <c r="K937" i="21"/>
  <c r="L936" i="21"/>
  <c r="K936" i="21"/>
  <c r="L935" i="21"/>
  <c r="O935" i="21" s="1"/>
  <c r="K935" i="21"/>
  <c r="L934" i="21"/>
  <c r="K934" i="21"/>
  <c r="L933" i="21"/>
  <c r="O933" i="21" s="1"/>
  <c r="K933" i="21"/>
  <c r="L932" i="21"/>
  <c r="K932" i="21"/>
  <c r="L931" i="21"/>
  <c r="O931" i="21" s="1"/>
  <c r="K931" i="21"/>
  <c r="J930" i="21"/>
  <c r="J929" i="21"/>
  <c r="J928" i="21"/>
  <c r="M928" i="21" s="1"/>
  <c r="J927" i="21"/>
  <c r="J926" i="21"/>
  <c r="J925" i="21"/>
  <c r="J924" i="21"/>
  <c r="M924" i="21" s="1"/>
  <c r="J923" i="21"/>
  <c r="J922" i="21"/>
  <c r="J921" i="21"/>
  <c r="J920" i="21"/>
  <c r="M920" i="21" s="1"/>
  <c r="J919" i="21"/>
  <c r="J918" i="21"/>
  <c r="J917" i="21"/>
  <c r="J916" i="21"/>
  <c r="M916" i="21" s="1"/>
  <c r="J915" i="21"/>
  <c r="J914" i="21"/>
  <c r="J913" i="21"/>
  <c r="J912" i="21"/>
  <c r="M912" i="21" s="1"/>
  <c r="J911" i="21"/>
  <c r="J910" i="21"/>
  <c r="J909" i="21"/>
  <c r="J908" i="21"/>
  <c r="M908" i="21" s="1"/>
  <c r="J907" i="21"/>
  <c r="J906" i="21"/>
  <c r="J905" i="21"/>
  <c r="J904" i="21"/>
  <c r="M904" i="21" s="1"/>
  <c r="J903" i="21"/>
  <c r="L902" i="21"/>
  <c r="K902" i="21"/>
  <c r="L901" i="21"/>
  <c r="O901" i="21" s="1"/>
  <c r="K901" i="21"/>
  <c r="L900" i="21"/>
  <c r="K900" i="21"/>
  <c r="L899" i="21"/>
  <c r="O899" i="21" s="1"/>
  <c r="K899" i="21"/>
  <c r="J898" i="21"/>
  <c r="J897" i="21"/>
  <c r="J896" i="21"/>
  <c r="M896" i="21" s="1"/>
  <c r="J895" i="21"/>
  <c r="J894" i="21"/>
  <c r="L166" i="21"/>
  <c r="K166" i="21"/>
  <c r="N166" i="21" s="1"/>
  <c r="L165" i="21"/>
  <c r="K165" i="21"/>
  <c r="N165" i="21" s="1"/>
  <c r="L164" i="21"/>
  <c r="K164" i="21"/>
  <c r="N164" i="21" s="1"/>
  <c r="L163" i="21"/>
  <c r="K163" i="21"/>
  <c r="L162" i="21"/>
  <c r="K162" i="21"/>
  <c r="N162" i="21" s="1"/>
  <c r="L161" i="21"/>
  <c r="K161" i="21"/>
  <c r="L160" i="21"/>
  <c r="K160" i="21"/>
  <c r="N160" i="21" s="1"/>
  <c r="L159" i="21"/>
  <c r="K159" i="21"/>
  <c r="L158" i="21"/>
  <c r="K158" i="21"/>
  <c r="N158" i="21" s="1"/>
  <c r="L157" i="21"/>
  <c r="K157" i="21"/>
  <c r="N157" i="21" s="1"/>
  <c r="L156" i="21"/>
  <c r="K156" i="21"/>
  <c r="N156" i="21" s="1"/>
  <c r="L155" i="21"/>
  <c r="K155" i="21"/>
  <c r="J154" i="21"/>
  <c r="J153" i="21"/>
  <c r="M153" i="21" s="1"/>
  <c r="J152" i="21"/>
  <c r="J151" i="21"/>
  <c r="J150" i="21"/>
  <c r="J149" i="21"/>
  <c r="M149" i="21" s="1"/>
  <c r="J148" i="21"/>
  <c r="J147" i="21"/>
  <c r="J146" i="21"/>
  <c r="L145" i="21"/>
  <c r="O145" i="21" s="1"/>
  <c r="K145" i="21"/>
  <c r="L144" i="21"/>
  <c r="O144" i="21" s="1"/>
  <c r="K144" i="21"/>
  <c r="L143" i="21"/>
  <c r="O143" i="21" s="1"/>
  <c r="K143" i="21"/>
  <c r="L142" i="21"/>
  <c r="K142" i="21"/>
  <c r="L141" i="21"/>
  <c r="O141" i="21" s="1"/>
  <c r="K141" i="21"/>
  <c r="L140" i="21"/>
  <c r="K140" i="21"/>
  <c r="L139" i="21"/>
  <c r="O139" i="21" s="1"/>
  <c r="K139" i="21"/>
  <c r="L138" i="21"/>
  <c r="K138" i="21"/>
  <c r="L137" i="21"/>
  <c r="O137" i="21" s="1"/>
  <c r="K137" i="21"/>
  <c r="J136" i="21"/>
  <c r="M136" i="21" s="1"/>
  <c r="J135" i="21"/>
  <c r="J134" i="21"/>
  <c r="M134" i="21" s="1"/>
  <c r="J133" i="21"/>
  <c r="J132" i="21"/>
  <c r="J131" i="21"/>
  <c r="J130" i="21"/>
  <c r="M130" i="21" s="1"/>
  <c r="J129" i="21"/>
  <c r="J128" i="21"/>
  <c r="J127" i="21"/>
  <c r="J126" i="21"/>
  <c r="M126" i="21" s="1"/>
  <c r="J125" i="21"/>
  <c r="J124" i="21"/>
  <c r="J123" i="21"/>
  <c r="J122" i="21"/>
  <c r="M122" i="21" s="1"/>
  <c r="L121" i="21"/>
  <c r="K121" i="21"/>
  <c r="N121" i="21" s="1"/>
  <c r="L120" i="21"/>
  <c r="K120" i="21"/>
  <c r="N120" i="21" s="1"/>
  <c r="L119" i="21"/>
  <c r="K119" i="21"/>
  <c r="L118" i="21"/>
  <c r="K118" i="21"/>
  <c r="N118" i="21" s="1"/>
  <c r="L117" i="21"/>
  <c r="K117" i="21"/>
  <c r="L116" i="21"/>
  <c r="K116" i="21"/>
  <c r="N116" i="21" s="1"/>
  <c r="J115" i="21"/>
  <c r="J114" i="21"/>
  <c r="J113" i="21"/>
  <c r="J112" i="21"/>
  <c r="M112" i="21" s="1"/>
  <c r="J111" i="21"/>
  <c r="J110" i="21"/>
  <c r="M110" i="21" s="1"/>
  <c r="J109" i="21"/>
  <c r="J108" i="21"/>
  <c r="M108" i="21" s="1"/>
  <c r="J107" i="21"/>
  <c r="J106" i="21"/>
  <c r="J2102" i="21"/>
  <c r="M2102" i="21" s="1"/>
  <c r="M2101" i="21"/>
  <c r="J2101" i="21"/>
  <c r="J2100" i="21"/>
  <c r="M2100" i="21" s="1"/>
  <c r="J2099" i="21"/>
  <c r="M2099" i="21" s="1"/>
  <c r="J2098" i="21"/>
  <c r="M2098" i="21" s="1"/>
  <c r="J2097" i="21"/>
  <c r="M2097" i="21" s="1"/>
  <c r="J2096" i="21"/>
  <c r="M2096" i="21" s="1"/>
  <c r="J2095" i="21"/>
  <c r="M2095" i="21" s="1"/>
  <c r="J2094" i="21"/>
  <c r="M2094" i="21" s="1"/>
  <c r="J2093" i="21"/>
  <c r="M2093" i="21" s="1"/>
  <c r="J2092" i="21"/>
  <c r="M2092" i="21" s="1"/>
  <c r="J2091" i="21"/>
  <c r="M2091" i="21" s="1"/>
  <c r="J2090" i="21"/>
  <c r="M2090" i="21" s="1"/>
  <c r="J2089" i="21"/>
  <c r="M2089" i="21" s="1"/>
  <c r="J2088" i="21"/>
  <c r="M2088" i="21" s="1"/>
  <c r="J2087" i="21"/>
  <c r="M2087" i="21" s="1"/>
  <c r="J2086" i="21"/>
  <c r="M2086" i="21" s="1"/>
  <c r="J2085" i="21"/>
  <c r="M2085" i="21" s="1"/>
  <c r="J2084" i="21"/>
  <c r="M2084" i="21" s="1"/>
  <c r="J2083" i="21"/>
  <c r="M2083" i="21" s="1"/>
  <c r="J2082" i="21"/>
  <c r="M2082" i="21" s="1"/>
  <c r="J2081" i="21"/>
  <c r="M2081" i="21" s="1"/>
  <c r="J2080" i="21"/>
  <c r="M2080" i="21" s="1"/>
  <c r="J2079" i="21"/>
  <c r="M2079" i="21" s="1"/>
  <c r="J2078" i="21"/>
  <c r="M2078" i="21" s="1"/>
  <c r="J2077" i="21"/>
  <c r="M2077" i="21" s="1"/>
  <c r="J2076" i="21"/>
  <c r="M2076" i="21" s="1"/>
  <c r="J2075" i="21"/>
  <c r="M2075" i="21" s="1"/>
  <c r="J2074" i="21"/>
  <c r="M2073" i="21"/>
  <c r="M2072" i="21"/>
  <c r="M2070" i="21"/>
  <c r="M2066" i="21"/>
  <c r="M2065" i="21"/>
  <c r="M2062" i="21"/>
  <c r="M2058" i="21"/>
  <c r="M2056" i="21"/>
  <c r="M2054" i="21"/>
  <c r="M2050" i="21"/>
  <c r="M2046" i="21"/>
  <c r="M2044" i="21"/>
  <c r="M2042" i="21"/>
  <c r="J2039" i="21"/>
  <c r="M2039" i="21" s="1"/>
  <c r="J2038" i="21"/>
  <c r="M2038" i="21" s="1"/>
  <c r="J2037" i="21"/>
  <c r="M2037" i="21" s="1"/>
  <c r="J2036" i="21"/>
  <c r="M2036" i="21" s="1"/>
  <c r="J2035" i="21"/>
  <c r="M2035" i="21" s="1"/>
  <c r="J2034" i="21"/>
  <c r="M2034" i="21" s="1"/>
  <c r="J2033" i="21"/>
  <c r="M2033" i="21" s="1"/>
  <c r="J2032" i="21"/>
  <c r="M2032" i="21" s="1"/>
  <c r="J2031" i="21"/>
  <c r="M2031" i="21" s="1"/>
  <c r="J2030" i="21"/>
  <c r="M2030" i="21" s="1"/>
  <c r="J2029" i="21"/>
  <c r="M2029" i="21" s="1"/>
  <c r="J2028" i="21"/>
  <c r="M2028" i="21" s="1"/>
  <c r="J2027" i="21"/>
  <c r="M2027" i="21" s="1"/>
  <c r="J2026" i="21"/>
  <c r="M2026" i="21" s="1"/>
  <c r="J2025" i="21"/>
  <c r="M2025" i="21" s="1"/>
  <c r="J2024" i="21"/>
  <c r="M2024" i="21" s="1"/>
  <c r="J2023" i="21"/>
  <c r="M2023" i="21" s="1"/>
  <c r="J2022" i="21"/>
  <c r="M2022" i="21" s="1"/>
  <c r="J2021" i="21"/>
  <c r="M2021" i="21" s="1"/>
  <c r="J2020" i="21"/>
  <c r="M2020" i="21" s="1"/>
  <c r="J2019" i="21"/>
  <c r="M2019" i="21" s="1"/>
  <c r="J2018" i="21"/>
  <c r="M2018" i="21" s="1"/>
  <c r="J2017" i="21"/>
  <c r="M2017" i="21" s="1"/>
  <c r="J2016" i="21"/>
  <c r="M2016" i="21" s="1"/>
  <c r="J2015" i="21"/>
  <c r="M2015" i="21" s="1"/>
  <c r="J2014" i="21"/>
  <c r="M2014" i="21" s="1"/>
  <c r="J2013" i="21"/>
  <c r="M2013" i="21" s="1"/>
  <c r="J2012" i="21"/>
  <c r="M2012" i="21" s="1"/>
  <c r="J2011" i="21"/>
  <c r="M2011" i="21" s="1"/>
  <c r="J2010" i="21"/>
  <c r="M2010" i="21" s="1"/>
  <c r="J2009" i="21"/>
  <c r="M2009" i="21" s="1"/>
  <c r="M2008" i="21"/>
  <c r="J2008" i="21"/>
  <c r="J2007" i="21"/>
  <c r="M2007" i="21" s="1"/>
  <c r="J2006" i="21"/>
  <c r="M2006" i="21" s="1"/>
  <c r="J2005" i="21"/>
  <c r="M2005" i="21" s="1"/>
  <c r="J2004" i="21"/>
  <c r="M2004" i="21" s="1"/>
  <c r="J2003" i="21"/>
  <c r="M2003" i="21" s="1"/>
  <c r="J2002" i="21"/>
  <c r="M2002" i="21" s="1"/>
  <c r="J2001" i="21"/>
  <c r="M2001" i="21" s="1"/>
  <c r="J2000" i="21"/>
  <c r="M2000" i="21" s="1"/>
  <c r="J1999" i="21"/>
  <c r="M1999" i="21" s="1"/>
  <c r="J1998" i="21"/>
  <c r="M1998" i="21" s="1"/>
  <c r="J1997" i="21"/>
  <c r="M1997" i="21" s="1"/>
  <c r="J1996" i="21"/>
  <c r="M1996" i="21" s="1"/>
  <c r="J1995" i="21"/>
  <c r="M1995" i="21" s="1"/>
  <c r="J1994" i="21"/>
  <c r="M1994" i="21" s="1"/>
  <c r="J1993" i="21"/>
  <c r="M1993" i="21" s="1"/>
  <c r="M1992" i="21"/>
  <c r="J1992" i="21"/>
  <c r="J1991" i="21"/>
  <c r="M1991" i="21" s="1"/>
  <c r="J1990" i="21"/>
  <c r="M1990" i="21" s="1"/>
  <c r="J1989" i="21"/>
  <c r="M1989" i="21" s="1"/>
  <c r="J1988" i="21"/>
  <c r="M1988" i="21" s="1"/>
  <c r="J1987" i="21"/>
  <c r="M1987" i="21" s="1"/>
  <c r="J1986" i="21"/>
  <c r="M1986" i="21" s="1"/>
  <c r="J1985" i="21"/>
  <c r="M1985" i="21" s="1"/>
  <c r="J1984" i="21"/>
  <c r="M1984" i="21" s="1"/>
  <c r="J1983" i="21"/>
  <c r="M1983" i="21" s="1"/>
  <c r="J1982" i="21"/>
  <c r="M1982" i="21" s="1"/>
  <c r="J1981" i="21"/>
  <c r="M1981" i="21" s="1"/>
  <c r="J1980" i="21"/>
  <c r="M1980" i="21" s="1"/>
  <c r="J1979" i="21"/>
  <c r="M1979" i="21" s="1"/>
  <c r="J1978" i="21"/>
  <c r="M1978" i="21" s="1"/>
  <c r="J1977" i="21"/>
  <c r="M1977" i="21" s="1"/>
  <c r="M1976" i="21"/>
  <c r="J1976" i="21"/>
  <c r="J1975" i="21"/>
  <c r="M1975" i="21" s="1"/>
  <c r="J1974" i="21"/>
  <c r="M1974" i="21" s="1"/>
  <c r="J1973" i="21"/>
  <c r="M1973" i="21" s="1"/>
  <c r="J1972" i="21"/>
  <c r="M1972" i="21" s="1"/>
  <c r="J1971" i="21"/>
  <c r="M1971" i="21" s="1"/>
  <c r="J1970" i="21"/>
  <c r="M1970" i="21" s="1"/>
  <c r="J1969" i="21"/>
  <c r="M1969" i="21" s="1"/>
  <c r="J1968" i="21"/>
  <c r="M1968" i="21" s="1"/>
  <c r="J1967" i="21"/>
  <c r="M1967" i="21" s="1"/>
  <c r="J1966" i="21"/>
  <c r="M1966" i="21" s="1"/>
  <c r="J1965" i="21"/>
  <c r="M1965" i="21" s="1"/>
  <c r="J1964" i="21"/>
  <c r="M1964" i="21" s="1"/>
  <c r="J1963" i="21"/>
  <c r="M1963" i="21" s="1"/>
  <c r="J1962" i="21"/>
  <c r="M1962" i="21" s="1"/>
  <c r="J1961" i="21"/>
  <c r="M1961" i="21" s="1"/>
  <c r="J1960" i="21"/>
  <c r="M1960" i="21" s="1"/>
  <c r="J1959" i="21"/>
  <c r="M1959" i="21" s="1"/>
  <c r="J1958" i="21"/>
  <c r="M1958" i="21" s="1"/>
  <c r="J1957" i="21"/>
  <c r="M1957" i="21" s="1"/>
  <c r="J1956" i="21"/>
  <c r="M1956" i="21" s="1"/>
  <c r="J1955" i="21"/>
  <c r="M1955" i="21" s="1"/>
  <c r="J1954" i="21"/>
  <c r="M1954" i="21" s="1"/>
  <c r="J1953" i="21"/>
  <c r="M1953" i="21" s="1"/>
  <c r="J1952" i="21"/>
  <c r="M1952" i="21" s="1"/>
  <c r="M1951" i="21"/>
  <c r="J1951" i="21"/>
  <c r="J1950" i="21"/>
  <c r="M1950" i="21" s="1"/>
  <c r="J1949" i="21"/>
  <c r="M1949" i="21" s="1"/>
  <c r="J1948" i="21"/>
  <c r="M1948" i="21" s="1"/>
  <c r="J1947" i="21"/>
  <c r="M1947" i="21" s="1"/>
  <c r="J1946" i="21"/>
  <c r="M1946" i="21" s="1"/>
  <c r="M1945" i="21"/>
  <c r="J1945" i="21"/>
  <c r="J1944" i="21"/>
  <c r="M1944" i="21" s="1"/>
  <c r="J1943" i="21"/>
  <c r="M1943" i="21" s="1"/>
  <c r="J1942" i="21"/>
  <c r="M1942" i="21" s="1"/>
  <c r="J1941" i="21"/>
  <c r="M1941" i="21" s="1"/>
  <c r="J1940" i="21"/>
  <c r="M1940" i="21" s="1"/>
  <c r="J1939" i="21"/>
  <c r="M1939" i="21" s="1"/>
  <c r="J1938" i="21"/>
  <c r="M1938" i="21" s="1"/>
  <c r="J1937" i="21"/>
  <c r="M1937" i="21" s="1"/>
  <c r="J1936" i="21"/>
  <c r="M1936" i="21" s="1"/>
  <c r="J1935" i="21"/>
  <c r="M1935" i="21" s="1"/>
  <c r="J1934" i="21"/>
  <c r="M1934" i="21" s="1"/>
  <c r="J1933" i="21"/>
  <c r="M1933" i="21" s="1"/>
  <c r="J1932" i="21"/>
  <c r="M1932" i="21" s="1"/>
  <c r="M1931" i="21"/>
  <c r="J1931" i="21"/>
  <c r="J1930" i="21"/>
  <c r="M1930" i="21" s="1"/>
  <c r="J1929" i="21"/>
  <c r="M1929" i="21" s="1"/>
  <c r="J1928" i="21"/>
  <c r="M1928" i="21" s="1"/>
  <c r="J1927" i="21"/>
  <c r="M1927" i="21" s="1"/>
  <c r="J1926" i="21"/>
  <c r="M1926" i="21" s="1"/>
  <c r="J1925" i="21"/>
  <c r="M1925" i="21" s="1"/>
  <c r="J1924" i="21"/>
  <c r="M1924" i="21" s="1"/>
  <c r="J1923" i="21"/>
  <c r="M1923" i="21" s="1"/>
  <c r="J1922" i="21"/>
  <c r="M1922" i="21" s="1"/>
  <c r="J1921" i="21"/>
  <c r="M1921" i="21" s="1"/>
  <c r="J1920" i="21"/>
  <c r="M1920" i="21" s="1"/>
  <c r="J1919" i="21"/>
  <c r="M1919" i="21" s="1"/>
  <c r="J1918" i="21"/>
  <c r="M1918" i="21" s="1"/>
  <c r="M1917" i="21"/>
  <c r="J1917" i="21"/>
  <c r="J1916" i="21"/>
  <c r="M1916" i="21" s="1"/>
  <c r="J1915" i="21"/>
  <c r="M1915" i="21" s="1"/>
  <c r="J1914" i="21"/>
  <c r="M1914" i="21" s="1"/>
  <c r="J1913" i="21"/>
  <c r="M1913" i="21" s="1"/>
  <c r="J1912" i="21"/>
  <c r="M1912" i="21" s="1"/>
  <c r="J1911" i="21"/>
  <c r="M1911" i="21" s="1"/>
  <c r="J1910" i="21"/>
  <c r="M1910" i="21" s="1"/>
  <c r="J1909" i="21"/>
  <c r="M1909" i="21" s="1"/>
  <c r="J1908" i="21"/>
  <c r="M1908" i="21" s="1"/>
  <c r="J1907" i="21"/>
  <c r="M1907" i="21" s="1"/>
  <c r="J1906" i="21"/>
  <c r="M1906" i="21" s="1"/>
  <c r="J1905" i="21"/>
  <c r="M1905" i="21" s="1"/>
  <c r="J1904" i="21"/>
  <c r="M1904" i="21" s="1"/>
  <c r="J1903" i="21"/>
  <c r="M1903" i="21" s="1"/>
  <c r="J1902" i="21"/>
  <c r="M1902" i="21" s="1"/>
  <c r="J1901" i="21"/>
  <c r="M1901" i="21" s="1"/>
  <c r="J1900" i="21"/>
  <c r="M1900" i="21" s="1"/>
  <c r="J1899" i="21"/>
  <c r="M1899" i="21" s="1"/>
  <c r="J1898" i="21"/>
  <c r="M1898" i="21" s="1"/>
  <c r="J1897" i="21"/>
  <c r="M1897" i="21" s="1"/>
  <c r="J1896" i="21"/>
  <c r="M1896" i="21" s="1"/>
  <c r="J1895" i="21"/>
  <c r="M1895" i="21" s="1"/>
  <c r="J1894" i="21"/>
  <c r="M1894" i="21" s="1"/>
  <c r="J1893" i="21"/>
  <c r="M1893" i="21" s="1"/>
  <c r="J1892" i="21"/>
  <c r="M1892" i="21" s="1"/>
  <c r="J1891" i="21"/>
  <c r="M1891" i="21" s="1"/>
  <c r="J1890" i="21"/>
  <c r="M1890" i="21" s="1"/>
  <c r="J1889" i="21"/>
  <c r="M1889" i="21" s="1"/>
  <c r="J1888" i="21"/>
  <c r="M1888" i="21" s="1"/>
  <c r="J1887" i="21"/>
  <c r="M1887" i="21" s="1"/>
  <c r="J1886" i="21"/>
  <c r="M1886" i="21" s="1"/>
  <c r="M1885" i="21"/>
  <c r="J1885" i="21"/>
  <c r="J1884" i="21"/>
  <c r="M1884" i="21" s="1"/>
  <c r="J1883" i="21"/>
  <c r="M1883" i="21" s="1"/>
  <c r="J1882" i="21"/>
  <c r="M1882" i="21" s="1"/>
  <c r="J1881" i="21"/>
  <c r="M1881" i="21" s="1"/>
  <c r="J1880" i="21"/>
  <c r="M1880" i="21" s="1"/>
  <c r="J1879" i="21"/>
  <c r="M1879" i="21" s="1"/>
  <c r="J1878" i="21"/>
  <c r="M1878" i="21" s="1"/>
  <c r="J1877" i="21"/>
  <c r="M1877" i="21" s="1"/>
  <c r="J1876" i="21"/>
  <c r="M1876" i="21" s="1"/>
  <c r="J1875" i="21"/>
  <c r="M1875" i="21" s="1"/>
  <c r="J1874" i="21"/>
  <c r="M1874" i="21" s="1"/>
  <c r="J1873" i="21"/>
  <c r="M1873" i="21" s="1"/>
  <c r="J1872" i="21"/>
  <c r="M1872" i="21" s="1"/>
  <c r="J1871" i="21"/>
  <c r="M1871" i="21" s="1"/>
  <c r="J1870" i="21"/>
  <c r="M1870" i="21" s="1"/>
  <c r="J1869" i="21"/>
  <c r="M1869" i="21" s="1"/>
  <c r="J1868" i="21"/>
  <c r="M1868" i="21" s="1"/>
  <c r="J1867" i="21"/>
  <c r="M1867" i="21" s="1"/>
  <c r="J1866" i="21"/>
  <c r="M1866" i="21" s="1"/>
  <c r="J1865" i="21"/>
  <c r="M1865" i="21" s="1"/>
  <c r="J1864" i="21"/>
  <c r="M1864" i="21" s="1"/>
  <c r="J1863" i="21"/>
  <c r="M1863" i="21" s="1"/>
  <c r="J1862" i="21"/>
  <c r="M1862" i="21" s="1"/>
  <c r="J1861" i="21"/>
  <c r="M1861" i="21" s="1"/>
  <c r="J1860" i="21"/>
  <c r="M1860" i="21" s="1"/>
  <c r="J1859" i="21"/>
  <c r="M1859" i="21" s="1"/>
  <c r="J1858" i="21"/>
  <c r="M1858" i="21" s="1"/>
  <c r="J1857" i="21"/>
  <c r="M1857" i="21" s="1"/>
  <c r="J1856" i="21"/>
  <c r="M1856" i="21" s="1"/>
  <c r="J1855" i="21"/>
  <c r="M1855" i="21" s="1"/>
  <c r="J1854" i="21"/>
  <c r="M1854" i="21" s="1"/>
  <c r="J1853" i="21"/>
  <c r="M1853" i="21" s="1"/>
  <c r="J1852" i="21"/>
  <c r="M1852" i="21" s="1"/>
  <c r="J1851" i="21"/>
  <c r="M1851" i="21" s="1"/>
  <c r="J1850" i="21"/>
  <c r="M1850" i="21" s="1"/>
  <c r="J1849" i="21"/>
  <c r="M1849" i="21" s="1"/>
  <c r="J1848" i="21"/>
  <c r="M1848" i="21" s="1"/>
  <c r="J1847" i="21"/>
  <c r="M1847" i="21" s="1"/>
  <c r="J1846" i="21"/>
  <c r="M1846" i="21" s="1"/>
  <c r="J1845" i="21"/>
  <c r="M1845" i="21" s="1"/>
  <c r="J1844" i="21"/>
  <c r="M1844" i="21" s="1"/>
  <c r="J1843" i="21"/>
  <c r="M1843" i="21" s="1"/>
  <c r="J1842" i="21"/>
  <c r="M1842" i="21" s="1"/>
  <c r="J1841" i="21"/>
  <c r="M1841" i="21" s="1"/>
  <c r="J1840" i="21"/>
  <c r="M1840" i="21" s="1"/>
  <c r="J1839" i="21"/>
  <c r="M1839" i="21" s="1"/>
  <c r="J1838" i="21"/>
  <c r="M1838" i="21" s="1"/>
  <c r="J1837" i="21"/>
  <c r="M1837" i="21" s="1"/>
  <c r="M1836" i="21"/>
  <c r="J1836" i="21"/>
  <c r="J1835" i="21"/>
  <c r="M1835" i="21" s="1"/>
  <c r="J1834" i="21"/>
  <c r="M1834" i="21" s="1"/>
  <c r="J1833" i="21"/>
  <c r="M1833" i="21" s="1"/>
  <c r="J1832" i="21"/>
  <c r="M1832" i="21" s="1"/>
  <c r="J1831" i="21"/>
  <c r="M1831" i="21" s="1"/>
  <c r="J1830" i="21"/>
  <c r="M1830" i="21" s="1"/>
  <c r="J1829" i="21"/>
  <c r="M1829" i="21" s="1"/>
  <c r="J1828" i="21"/>
  <c r="M1828" i="21" s="1"/>
  <c r="J1827" i="21"/>
  <c r="M1827" i="21" s="1"/>
  <c r="J1826" i="21"/>
  <c r="M1826" i="21" s="1"/>
  <c r="J1825" i="21"/>
  <c r="M1825" i="21" s="1"/>
  <c r="J1824" i="21"/>
  <c r="M1824" i="21" s="1"/>
  <c r="J1823" i="21"/>
  <c r="M1823" i="21" s="1"/>
  <c r="J1822" i="21"/>
  <c r="M1822" i="21" s="1"/>
  <c r="J1821" i="21"/>
  <c r="M1821" i="21" s="1"/>
  <c r="J1820" i="21"/>
  <c r="M1820" i="21" s="1"/>
  <c r="J1819" i="21"/>
  <c r="M1819" i="21" s="1"/>
  <c r="J1818" i="21"/>
  <c r="M1818" i="21" s="1"/>
  <c r="J1817" i="21"/>
  <c r="M1817" i="21" s="1"/>
  <c r="M1816" i="21"/>
  <c r="J1816" i="21"/>
  <c r="J1815" i="21"/>
  <c r="M1815" i="21" s="1"/>
  <c r="J1814" i="21"/>
  <c r="M1814" i="21" s="1"/>
  <c r="J1813" i="21"/>
  <c r="M1813" i="21" s="1"/>
  <c r="J1812" i="21"/>
  <c r="M1812" i="21" s="1"/>
  <c r="J1811" i="21"/>
  <c r="M1811" i="21" s="1"/>
  <c r="J1810" i="21"/>
  <c r="M1810" i="21" s="1"/>
  <c r="J1809" i="21"/>
  <c r="M1809" i="21" s="1"/>
  <c r="J1808" i="21"/>
  <c r="M1808" i="21" s="1"/>
  <c r="J1807" i="21"/>
  <c r="M1807" i="21" s="1"/>
  <c r="J1806" i="21"/>
  <c r="M1806" i="21" s="1"/>
  <c r="J1805" i="21"/>
  <c r="M1805" i="21" s="1"/>
  <c r="J1804" i="21"/>
  <c r="M1804" i="21" s="1"/>
  <c r="J1803" i="21"/>
  <c r="M1803" i="21" s="1"/>
  <c r="J1802" i="21"/>
  <c r="M1802" i="21" s="1"/>
  <c r="J1801" i="21"/>
  <c r="M1801" i="21" s="1"/>
  <c r="M1800" i="21"/>
  <c r="J1800" i="21"/>
  <c r="J1799" i="21"/>
  <c r="M1799" i="21" s="1"/>
  <c r="J1798" i="21"/>
  <c r="M1798" i="21" s="1"/>
  <c r="J1797" i="21"/>
  <c r="M1797" i="21" s="1"/>
  <c r="J1796" i="21"/>
  <c r="M1796" i="21" s="1"/>
  <c r="J1795" i="21"/>
  <c r="M1795" i="21" s="1"/>
  <c r="J1794" i="21"/>
  <c r="M1794" i="21" s="1"/>
  <c r="J1793" i="21"/>
  <c r="M1793" i="21" s="1"/>
  <c r="J1792" i="21"/>
  <c r="M1792" i="21" s="1"/>
  <c r="J1791" i="21"/>
  <c r="M1791" i="21" s="1"/>
  <c r="J1790" i="21"/>
  <c r="M1790" i="21" s="1"/>
  <c r="J1789" i="21"/>
  <c r="M1789" i="21" s="1"/>
  <c r="J1788" i="21"/>
  <c r="M1788" i="21" s="1"/>
  <c r="J1787" i="21"/>
  <c r="M1787" i="21" s="1"/>
  <c r="J1786" i="21"/>
  <c r="M1786" i="21" s="1"/>
  <c r="J1785" i="21"/>
  <c r="M1785" i="21" s="1"/>
  <c r="M1784" i="21"/>
  <c r="J1784" i="21"/>
  <c r="J1783" i="21"/>
  <c r="M1783" i="21" s="1"/>
  <c r="J1782" i="21"/>
  <c r="M1782" i="21" s="1"/>
  <c r="J1781" i="21"/>
  <c r="M1781" i="21" s="1"/>
  <c r="J1780" i="21"/>
  <c r="M1780" i="21" s="1"/>
  <c r="J1779" i="21"/>
  <c r="M1779" i="21" s="1"/>
  <c r="J1778" i="21"/>
  <c r="M1778" i="21" s="1"/>
  <c r="J1777" i="21"/>
  <c r="M1777" i="21" s="1"/>
  <c r="J1776" i="21"/>
  <c r="M1776" i="21" s="1"/>
  <c r="J1775" i="21"/>
  <c r="M1775" i="21" s="1"/>
  <c r="J1774" i="21"/>
  <c r="M1774" i="21" s="1"/>
  <c r="J1773" i="21"/>
  <c r="M1773" i="21" s="1"/>
  <c r="J1772" i="21"/>
  <c r="M1772" i="21" s="1"/>
  <c r="J1771" i="21"/>
  <c r="M1771" i="21" s="1"/>
  <c r="J1770" i="21"/>
  <c r="M1770" i="21" s="1"/>
  <c r="J1769" i="21"/>
  <c r="M1769" i="21" s="1"/>
  <c r="M1768" i="21"/>
  <c r="J1768" i="21"/>
  <c r="J1767" i="21"/>
  <c r="M1767" i="21" s="1"/>
  <c r="J1766" i="21"/>
  <c r="M1766" i="21" s="1"/>
  <c r="J1765" i="21"/>
  <c r="M1765" i="21" s="1"/>
  <c r="J1764" i="21"/>
  <c r="M1764" i="21" s="1"/>
  <c r="J1763" i="21"/>
  <c r="M1763" i="21" s="1"/>
  <c r="J1762" i="21"/>
  <c r="M1762" i="21" s="1"/>
  <c r="J1761" i="21"/>
  <c r="M1761" i="21" s="1"/>
  <c r="J1760" i="21"/>
  <c r="M1760" i="21" s="1"/>
  <c r="J1759" i="21"/>
  <c r="M1759" i="21" s="1"/>
  <c r="J1758" i="21"/>
  <c r="M1758" i="21" s="1"/>
  <c r="J1757" i="21"/>
  <c r="M1757" i="21" s="1"/>
  <c r="J1756" i="21"/>
  <c r="M1756" i="21" s="1"/>
  <c r="J1755" i="21"/>
  <c r="M1755" i="21" s="1"/>
  <c r="J1754" i="21"/>
  <c r="M1754" i="21" s="1"/>
  <c r="J1753" i="21"/>
  <c r="M1753" i="21" s="1"/>
  <c r="J1752" i="21"/>
  <c r="M1752" i="21" s="1"/>
  <c r="J1751" i="21"/>
  <c r="M1751" i="21" s="1"/>
  <c r="J1750" i="21"/>
  <c r="M1750" i="21" s="1"/>
  <c r="J1749" i="21"/>
  <c r="M1749" i="21" s="1"/>
  <c r="J1748" i="21"/>
  <c r="M1748" i="21" s="1"/>
  <c r="J1747" i="21"/>
  <c r="M1747" i="21" s="1"/>
  <c r="J1746" i="21"/>
  <c r="M1746" i="21" s="1"/>
  <c r="J1745" i="21"/>
  <c r="M1745" i="21" s="1"/>
  <c r="J1744" i="21"/>
  <c r="M1744" i="21" s="1"/>
  <c r="J1743" i="21"/>
  <c r="M1743" i="21" s="1"/>
  <c r="J1742" i="21"/>
  <c r="M1742" i="21" s="1"/>
  <c r="J1741" i="21"/>
  <c r="M1741" i="21" s="1"/>
  <c r="J1740" i="21"/>
  <c r="M1740" i="21" s="1"/>
  <c r="J1739" i="21"/>
  <c r="M1739" i="21" s="1"/>
  <c r="J1738" i="21"/>
  <c r="M1738" i="21" s="1"/>
  <c r="J1737" i="21"/>
  <c r="M1737" i="21" s="1"/>
  <c r="J1736" i="21"/>
  <c r="M1736" i="21" s="1"/>
  <c r="J1735" i="21"/>
  <c r="M1735" i="21" s="1"/>
  <c r="J1734" i="21"/>
  <c r="M1734" i="21" s="1"/>
  <c r="J1733" i="21"/>
  <c r="M1733" i="21" s="1"/>
  <c r="J1732" i="21"/>
  <c r="M1732" i="21" s="1"/>
  <c r="J1731" i="21"/>
  <c r="M1731" i="21" s="1"/>
  <c r="J1730" i="21"/>
  <c r="M1730" i="21" s="1"/>
  <c r="J1729" i="21"/>
  <c r="M1729" i="21" s="1"/>
  <c r="J1728" i="21"/>
  <c r="M1728" i="21" s="1"/>
  <c r="J1727" i="21"/>
  <c r="M1727" i="21" s="1"/>
  <c r="J1726" i="21"/>
  <c r="M1726" i="21" s="1"/>
  <c r="J1725" i="21"/>
  <c r="M1725" i="21" s="1"/>
  <c r="J1724" i="21"/>
  <c r="M1724" i="21" s="1"/>
  <c r="J1723" i="21"/>
  <c r="M1723" i="21" s="1"/>
  <c r="J1722" i="21"/>
  <c r="M1722" i="21" s="1"/>
  <c r="J1721" i="21"/>
  <c r="M1721" i="21" s="1"/>
  <c r="J1720" i="21"/>
  <c r="M1720" i="21" s="1"/>
  <c r="J1719" i="21"/>
  <c r="M1719" i="21" s="1"/>
  <c r="J1718" i="21"/>
  <c r="M1718" i="21" s="1"/>
  <c r="J1717" i="21"/>
  <c r="M1717" i="21" s="1"/>
  <c r="J1716" i="21"/>
  <c r="M1716" i="21" s="1"/>
  <c r="J1715" i="21"/>
  <c r="M1715" i="21" s="1"/>
  <c r="J1714" i="21"/>
  <c r="M1714" i="21" s="1"/>
  <c r="J1713" i="21"/>
  <c r="M1713" i="21" s="1"/>
  <c r="J1712" i="21"/>
  <c r="M1712" i="21" s="1"/>
  <c r="J1711" i="21"/>
  <c r="M1711" i="21" s="1"/>
  <c r="J1710" i="21"/>
  <c r="M1710" i="21" s="1"/>
  <c r="J1709" i="21"/>
  <c r="M1709" i="21" s="1"/>
  <c r="J1708" i="21"/>
  <c r="M1708" i="21" s="1"/>
  <c r="J1707" i="21"/>
  <c r="M1707" i="21" s="1"/>
  <c r="J1706" i="21"/>
  <c r="M1706" i="21" s="1"/>
  <c r="J1705" i="21"/>
  <c r="M1705" i="21" s="1"/>
  <c r="J1704" i="21"/>
  <c r="M1704" i="21" s="1"/>
  <c r="J1703" i="21"/>
  <c r="M1703" i="21" s="1"/>
  <c r="J1702" i="21"/>
  <c r="M1702" i="21" s="1"/>
  <c r="J1701" i="21"/>
  <c r="M1701" i="21" s="1"/>
  <c r="J1700" i="21"/>
  <c r="M1700" i="21" s="1"/>
  <c r="J1699" i="21"/>
  <c r="M1699" i="21" s="1"/>
  <c r="J1698" i="21"/>
  <c r="M1698" i="21" s="1"/>
  <c r="J1697" i="21"/>
  <c r="M1697" i="21" s="1"/>
  <c r="J1696" i="21"/>
  <c r="M1696" i="21" s="1"/>
  <c r="J1695" i="21"/>
  <c r="M1695" i="21" s="1"/>
  <c r="J1694" i="21"/>
  <c r="M1694" i="21" s="1"/>
  <c r="J1693" i="21"/>
  <c r="M1693" i="21" s="1"/>
  <c r="J1692" i="21"/>
  <c r="M1692" i="21" s="1"/>
  <c r="J1691" i="21"/>
  <c r="M1691" i="21" s="1"/>
  <c r="J1690" i="21"/>
  <c r="M1690" i="21" s="1"/>
  <c r="J1689" i="21"/>
  <c r="M1689" i="21" s="1"/>
  <c r="J1688" i="21"/>
  <c r="M1688" i="21" s="1"/>
  <c r="J1687" i="21"/>
  <c r="M1687" i="21" s="1"/>
  <c r="J1686" i="21"/>
  <c r="M1686" i="21" s="1"/>
  <c r="J1685" i="21"/>
  <c r="M1685" i="21" s="1"/>
  <c r="J1684" i="21"/>
  <c r="M1684" i="21" s="1"/>
  <c r="J1683" i="21"/>
  <c r="M1683" i="21" s="1"/>
  <c r="J1682" i="21"/>
  <c r="M1682" i="21" s="1"/>
  <c r="J1681" i="21"/>
  <c r="M1681" i="21" s="1"/>
  <c r="J1680" i="21"/>
  <c r="M1680" i="21" s="1"/>
  <c r="J1679" i="21"/>
  <c r="M1679" i="21" s="1"/>
  <c r="J1678" i="21"/>
  <c r="M1678" i="21" s="1"/>
  <c r="J1677" i="21"/>
  <c r="M1677" i="21" s="1"/>
  <c r="J1676" i="21"/>
  <c r="M1676" i="21" s="1"/>
  <c r="J1675" i="21"/>
  <c r="M1675" i="21" s="1"/>
  <c r="J1674" i="21"/>
  <c r="M1674" i="21" s="1"/>
  <c r="J1673" i="21"/>
  <c r="M1673" i="21" s="1"/>
  <c r="J1672" i="21"/>
  <c r="M1672" i="21" s="1"/>
  <c r="J1671" i="21"/>
  <c r="M1671" i="21" s="1"/>
  <c r="J1670" i="21"/>
  <c r="M1670" i="21" s="1"/>
  <c r="J1669" i="21"/>
  <c r="M1669" i="21" s="1"/>
  <c r="J1668" i="21"/>
  <c r="M1668" i="21" s="1"/>
  <c r="J1667" i="21"/>
  <c r="M1667" i="21" s="1"/>
  <c r="J1666" i="21"/>
  <c r="M1666" i="21" s="1"/>
  <c r="J1665" i="21"/>
  <c r="M1665" i="21" s="1"/>
  <c r="J1664" i="21"/>
  <c r="M1664" i="21" s="1"/>
  <c r="J1663" i="21"/>
  <c r="M1663" i="21" s="1"/>
  <c r="J1662" i="21"/>
  <c r="M1662" i="21" s="1"/>
  <c r="J1661" i="21"/>
  <c r="M1661" i="21" s="1"/>
  <c r="J1660" i="21"/>
  <c r="M1660" i="21" s="1"/>
  <c r="J1659" i="21"/>
  <c r="M1659" i="21" s="1"/>
  <c r="J1658" i="21"/>
  <c r="M1658" i="21" s="1"/>
  <c r="J1657" i="21"/>
  <c r="M1657" i="21" s="1"/>
  <c r="J1656" i="21"/>
  <c r="M1656" i="21" s="1"/>
  <c r="J1655" i="21"/>
  <c r="M1655" i="21" s="1"/>
  <c r="J1654" i="21"/>
  <c r="M1654" i="21" s="1"/>
  <c r="J1653" i="21"/>
  <c r="M1653" i="21" s="1"/>
  <c r="J1652" i="21"/>
  <c r="M1652" i="21" s="1"/>
  <c r="J1651" i="21"/>
  <c r="M1651" i="21" s="1"/>
  <c r="J1650" i="21"/>
  <c r="M1650" i="21" s="1"/>
  <c r="J1649" i="21"/>
  <c r="M1649" i="21" s="1"/>
  <c r="J1648" i="21"/>
  <c r="M1648" i="21" s="1"/>
  <c r="J1647" i="21"/>
  <c r="M1647" i="21" s="1"/>
  <c r="J1646" i="21"/>
  <c r="M1646" i="21" s="1"/>
  <c r="J1645" i="21"/>
  <c r="M1645" i="21" s="1"/>
  <c r="J1644" i="21"/>
  <c r="M1644" i="21" s="1"/>
  <c r="J1643" i="21"/>
  <c r="M1643" i="21" s="1"/>
  <c r="J1642" i="21"/>
  <c r="M1642" i="21" s="1"/>
  <c r="J1641" i="21"/>
  <c r="M1641" i="21" s="1"/>
  <c r="J1640" i="21"/>
  <c r="M1640" i="21" s="1"/>
  <c r="J1639" i="21"/>
  <c r="M1639" i="21" s="1"/>
  <c r="J1638" i="21"/>
  <c r="M1638" i="21" s="1"/>
  <c r="J1637" i="21"/>
  <c r="M1637" i="21" s="1"/>
  <c r="J1636" i="21"/>
  <c r="M1636" i="21" s="1"/>
  <c r="J1635" i="21"/>
  <c r="M1635" i="21" s="1"/>
  <c r="J1634" i="21"/>
  <c r="M1634" i="21" s="1"/>
  <c r="J1633" i="21"/>
  <c r="M1633" i="21" s="1"/>
  <c r="J1632" i="21"/>
  <c r="M1632" i="21" s="1"/>
  <c r="J1631" i="21"/>
  <c r="M1631" i="21" s="1"/>
  <c r="J1630" i="21"/>
  <c r="M1630" i="21" s="1"/>
  <c r="J1629" i="21"/>
  <c r="M1629" i="21" s="1"/>
  <c r="J1628" i="21"/>
  <c r="M1628" i="21" s="1"/>
  <c r="M1627" i="21"/>
  <c r="J1627" i="21"/>
  <c r="J1626" i="21"/>
  <c r="M1626" i="21" s="1"/>
  <c r="J1625" i="21"/>
  <c r="M1625" i="21" s="1"/>
  <c r="J1624" i="21"/>
  <c r="M1624" i="21" s="1"/>
  <c r="J1623" i="21"/>
  <c r="M1623" i="21" s="1"/>
  <c r="J1622" i="21"/>
  <c r="M1622" i="21" s="1"/>
  <c r="J1621" i="21"/>
  <c r="M1621" i="21" s="1"/>
  <c r="J1620" i="21"/>
  <c r="M1620" i="21" s="1"/>
  <c r="J1619" i="21"/>
  <c r="M1619" i="21" s="1"/>
  <c r="J1618" i="21"/>
  <c r="M1618" i="21" s="1"/>
  <c r="J1617" i="21"/>
  <c r="M1617" i="21" s="1"/>
  <c r="J1616" i="21"/>
  <c r="M1616" i="21" s="1"/>
  <c r="J1615" i="21"/>
  <c r="M1615" i="21" s="1"/>
  <c r="J1614" i="21"/>
  <c r="M1614" i="21" s="1"/>
  <c r="J1613" i="21"/>
  <c r="M1613" i="21" s="1"/>
  <c r="J1612" i="21"/>
  <c r="M1612" i="21" s="1"/>
  <c r="M1611" i="21"/>
  <c r="J1611" i="21"/>
  <c r="J1610" i="21"/>
  <c r="M1610" i="21" s="1"/>
  <c r="J1609" i="21"/>
  <c r="M1609" i="21" s="1"/>
  <c r="J1608" i="21"/>
  <c r="J1607" i="21"/>
  <c r="M1607" i="21" s="1"/>
  <c r="J1606" i="21"/>
  <c r="M1606" i="21" s="1"/>
  <c r="J1605" i="21"/>
  <c r="M1605" i="21" s="1"/>
  <c r="J1604" i="21"/>
  <c r="M1604" i="21" s="1"/>
  <c r="J1603" i="21"/>
  <c r="M1603" i="21" s="1"/>
  <c r="J1602" i="21"/>
  <c r="M1602" i="21" s="1"/>
  <c r="J1601" i="21"/>
  <c r="M1601" i="21" s="1"/>
  <c r="J1600" i="21"/>
  <c r="M1600" i="21" s="1"/>
  <c r="J1599" i="21"/>
  <c r="M1599" i="21" s="1"/>
  <c r="J1598" i="21"/>
  <c r="M1598" i="21" s="1"/>
  <c r="J1597" i="21"/>
  <c r="M1597" i="21" s="1"/>
  <c r="J1596" i="21"/>
  <c r="M1596" i="21" s="1"/>
  <c r="M1595" i="21"/>
  <c r="J1595" i="21"/>
  <c r="J1594" i="21"/>
  <c r="M1594" i="21" s="1"/>
  <c r="J1593" i="21"/>
  <c r="M1593" i="21" s="1"/>
  <c r="J1592" i="21"/>
  <c r="M1592" i="21" s="1"/>
  <c r="J1591" i="21"/>
  <c r="M1591" i="21" s="1"/>
  <c r="J1590" i="21"/>
  <c r="M1590" i="21" s="1"/>
  <c r="J1589" i="21"/>
  <c r="M1589" i="21" s="1"/>
  <c r="J1588" i="21"/>
  <c r="M1588" i="21" s="1"/>
  <c r="J1587" i="21"/>
  <c r="M1587" i="21" s="1"/>
  <c r="J1586" i="21"/>
  <c r="M1586" i="21" s="1"/>
  <c r="J1585" i="21"/>
  <c r="M1585" i="21" s="1"/>
  <c r="J1584" i="21"/>
  <c r="M1584" i="21" s="1"/>
  <c r="J1583" i="21"/>
  <c r="M1583" i="21" s="1"/>
  <c r="J1582" i="21"/>
  <c r="M1582" i="21" s="1"/>
  <c r="J1581" i="21"/>
  <c r="M1581" i="21" s="1"/>
  <c r="J1580" i="21"/>
  <c r="M1580" i="21" s="1"/>
  <c r="M1579" i="21"/>
  <c r="J1579" i="21"/>
  <c r="J1578" i="21"/>
  <c r="M1578" i="21" s="1"/>
  <c r="J1577" i="21"/>
  <c r="M1577" i="21" s="1"/>
  <c r="J1576" i="21"/>
  <c r="M1576" i="21" s="1"/>
  <c r="J1575" i="21"/>
  <c r="M1575" i="21" s="1"/>
  <c r="J1574" i="21"/>
  <c r="M1574" i="21" s="1"/>
  <c r="J1573" i="21"/>
  <c r="M1573" i="21" s="1"/>
  <c r="J1572" i="21"/>
  <c r="M1572" i="21" s="1"/>
  <c r="J1571" i="21"/>
  <c r="M1571" i="21" s="1"/>
  <c r="J1570" i="21"/>
  <c r="M1570" i="21" s="1"/>
  <c r="J1569" i="21"/>
  <c r="M1569" i="21" s="1"/>
  <c r="J1568" i="21"/>
  <c r="M1568" i="21" s="1"/>
  <c r="J1567" i="21"/>
  <c r="M1567" i="21" s="1"/>
  <c r="J1566" i="21"/>
  <c r="M1566" i="21" s="1"/>
  <c r="J1565" i="21"/>
  <c r="M1565" i="21" s="1"/>
  <c r="J1564" i="21"/>
  <c r="M1564" i="21" s="1"/>
  <c r="M1563" i="21"/>
  <c r="J1563" i="21"/>
  <c r="J1562" i="21"/>
  <c r="M1562" i="21" s="1"/>
  <c r="J1561" i="21"/>
  <c r="M1561" i="21" s="1"/>
  <c r="J1560" i="21"/>
  <c r="M1560" i="21" s="1"/>
  <c r="J1559" i="21"/>
  <c r="M1559" i="21" s="1"/>
  <c r="J1558" i="21"/>
  <c r="M1558" i="21" s="1"/>
  <c r="J1557" i="21"/>
  <c r="M1557" i="21" s="1"/>
  <c r="J1556" i="21"/>
  <c r="M1556" i="21" s="1"/>
  <c r="J1555" i="21"/>
  <c r="M1555" i="21" s="1"/>
  <c r="J1554" i="21"/>
  <c r="M1554" i="21" s="1"/>
  <c r="J1553" i="21"/>
  <c r="M1553" i="21" s="1"/>
  <c r="J1552" i="21"/>
  <c r="M1552" i="21" s="1"/>
  <c r="J1551" i="21"/>
  <c r="M1551" i="21" s="1"/>
  <c r="J1550" i="21"/>
  <c r="M1550" i="21" s="1"/>
  <c r="J1549" i="21"/>
  <c r="M1549" i="21" s="1"/>
  <c r="J1548" i="21"/>
  <c r="M1548" i="21" s="1"/>
  <c r="M1547" i="21"/>
  <c r="J1547" i="21"/>
  <c r="J1546" i="21"/>
  <c r="M1546" i="21" s="1"/>
  <c r="J1545" i="21"/>
  <c r="M1545" i="21" s="1"/>
  <c r="J1544" i="21"/>
  <c r="M1544" i="21" s="1"/>
  <c r="J1543" i="21"/>
  <c r="M1543" i="21" s="1"/>
  <c r="J1542" i="21"/>
  <c r="M1542" i="21" s="1"/>
  <c r="J1541" i="21"/>
  <c r="M1541" i="21" s="1"/>
  <c r="J1540" i="21"/>
  <c r="M1540" i="21" s="1"/>
  <c r="J1539" i="21"/>
  <c r="M1539" i="21" s="1"/>
  <c r="J1538" i="21"/>
  <c r="M1538" i="21" s="1"/>
  <c r="J1537" i="21"/>
  <c r="M1537" i="21" s="1"/>
  <c r="J1536" i="21"/>
  <c r="M1536" i="21" s="1"/>
  <c r="J1535" i="21"/>
  <c r="M1535" i="21" s="1"/>
  <c r="J1534" i="21"/>
  <c r="M1534" i="21" s="1"/>
  <c r="J1533" i="21"/>
  <c r="M1533" i="21" s="1"/>
  <c r="J1532" i="21"/>
  <c r="M1532" i="21" s="1"/>
  <c r="M1531" i="21"/>
  <c r="J1531" i="21"/>
  <c r="J1530" i="21"/>
  <c r="M1530" i="21" s="1"/>
  <c r="J1529" i="21"/>
  <c r="M1529" i="21" s="1"/>
  <c r="J1528" i="21"/>
  <c r="M1528" i="21" s="1"/>
  <c r="J1527" i="21"/>
  <c r="M1527" i="21" s="1"/>
  <c r="J1526" i="21"/>
  <c r="M1526" i="21" s="1"/>
  <c r="J1525" i="21"/>
  <c r="M1525" i="21" s="1"/>
  <c r="J1524" i="21"/>
  <c r="M1524" i="21" s="1"/>
  <c r="J1523" i="21"/>
  <c r="M1523" i="21" s="1"/>
  <c r="J1522" i="21"/>
  <c r="M1522" i="21" s="1"/>
  <c r="J1521" i="21"/>
  <c r="M1521" i="21" s="1"/>
  <c r="J1520" i="21"/>
  <c r="M1520" i="21" s="1"/>
  <c r="J1519" i="21"/>
  <c r="M1519" i="21" s="1"/>
  <c r="J1518" i="21"/>
  <c r="M1518" i="21" s="1"/>
  <c r="J1517" i="21"/>
  <c r="M1517" i="21" s="1"/>
  <c r="J1516" i="21"/>
  <c r="M1516" i="21" s="1"/>
  <c r="M1515" i="21"/>
  <c r="J1515" i="21"/>
  <c r="J1514" i="21"/>
  <c r="M1514" i="21" s="1"/>
  <c r="J1513" i="21"/>
  <c r="M1513" i="21" s="1"/>
  <c r="J1512" i="21"/>
  <c r="M1512" i="21" s="1"/>
  <c r="J1511" i="21"/>
  <c r="M1511" i="21" s="1"/>
  <c r="J1510" i="21"/>
  <c r="M1510" i="21" s="1"/>
  <c r="J1509" i="21"/>
  <c r="M1509" i="21" s="1"/>
  <c r="J1508" i="21"/>
  <c r="M1508" i="21" s="1"/>
  <c r="J1507" i="21"/>
  <c r="M1507" i="21" s="1"/>
  <c r="J1506" i="21"/>
  <c r="M1506" i="21" s="1"/>
  <c r="J1505" i="21"/>
  <c r="M1505" i="21" s="1"/>
  <c r="J1504" i="21"/>
  <c r="M1504" i="21" s="1"/>
  <c r="J1503" i="21"/>
  <c r="M1503" i="21" s="1"/>
  <c r="J1502" i="21"/>
  <c r="M1502" i="21" s="1"/>
  <c r="J1501" i="21"/>
  <c r="M1501" i="21" s="1"/>
  <c r="J1500" i="21"/>
  <c r="M1500" i="21" s="1"/>
  <c r="M1499" i="21"/>
  <c r="J1499" i="21"/>
  <c r="J1498" i="21"/>
  <c r="M1498" i="21" s="1"/>
  <c r="J1497" i="21"/>
  <c r="M1497" i="21" s="1"/>
  <c r="J1496" i="21"/>
  <c r="M1496" i="21" s="1"/>
  <c r="J1495" i="21"/>
  <c r="M1495" i="21" s="1"/>
  <c r="J1494" i="21"/>
  <c r="M1494" i="21" s="1"/>
  <c r="J1493" i="21"/>
  <c r="M1493" i="21" s="1"/>
  <c r="J1492" i="21"/>
  <c r="M1492" i="21" s="1"/>
  <c r="J1491" i="21"/>
  <c r="M1491" i="21" s="1"/>
  <c r="J1490" i="21"/>
  <c r="M1490" i="21" s="1"/>
  <c r="J1489" i="21"/>
  <c r="M1489" i="21" s="1"/>
  <c r="J1488" i="21"/>
  <c r="M1488" i="21" s="1"/>
  <c r="J1487" i="21"/>
  <c r="M1487" i="21" s="1"/>
  <c r="J1486" i="21"/>
  <c r="M1486" i="21" s="1"/>
  <c r="J1485" i="21"/>
  <c r="M1485" i="21" s="1"/>
  <c r="J1484" i="21"/>
  <c r="M1484" i="21" s="1"/>
  <c r="J1483" i="21"/>
  <c r="M1483" i="21" s="1"/>
  <c r="J1482" i="21"/>
  <c r="M1482" i="21" s="1"/>
  <c r="J1481" i="21"/>
  <c r="M1481" i="21" s="1"/>
  <c r="J1480" i="21"/>
  <c r="M1480" i="21" s="1"/>
  <c r="J1434" i="21"/>
  <c r="M1434" i="21" s="1"/>
  <c r="J1433" i="21"/>
  <c r="M1433" i="21" s="1"/>
  <c r="J1432" i="21"/>
  <c r="M1432" i="21" s="1"/>
  <c r="J1431" i="21"/>
  <c r="M1431" i="21" s="1"/>
  <c r="J1430" i="21"/>
  <c r="M1430" i="21" s="1"/>
  <c r="J1429" i="21"/>
  <c r="M1429" i="21" s="1"/>
  <c r="J1428" i="21"/>
  <c r="M1428" i="21" s="1"/>
  <c r="J1427" i="21"/>
  <c r="M1427" i="21" s="1"/>
  <c r="J1426" i="21"/>
  <c r="M1426" i="21" s="1"/>
  <c r="J1425" i="21"/>
  <c r="M1425" i="21" s="1"/>
  <c r="J1424" i="21"/>
  <c r="M1424" i="21" s="1"/>
  <c r="J1423" i="21"/>
  <c r="M1423" i="21" s="1"/>
  <c r="J1422" i="21"/>
  <c r="M1422" i="21" s="1"/>
  <c r="J1421" i="21"/>
  <c r="M1421" i="21" s="1"/>
  <c r="J1420" i="21"/>
  <c r="M1420" i="21" s="1"/>
  <c r="J1419" i="21"/>
  <c r="M1419" i="21" s="1"/>
  <c r="J1418" i="21"/>
  <c r="M1418" i="21" s="1"/>
  <c r="J1417" i="21"/>
  <c r="M1417" i="21" s="1"/>
  <c r="J1416" i="21"/>
  <c r="M1416" i="21" s="1"/>
  <c r="J1415" i="21"/>
  <c r="M1415" i="21" s="1"/>
  <c r="J1414" i="21"/>
  <c r="M1414" i="21" s="1"/>
  <c r="J1413" i="21"/>
  <c r="M1413" i="21" s="1"/>
  <c r="J1412" i="21"/>
  <c r="M1412" i="21" s="1"/>
  <c r="J1411" i="21"/>
  <c r="M1411" i="21" s="1"/>
  <c r="J1410" i="21"/>
  <c r="M1410" i="21" s="1"/>
  <c r="J1409" i="21"/>
  <c r="M1409" i="21" s="1"/>
  <c r="J1408" i="21"/>
  <c r="M1408" i="21" s="1"/>
  <c r="J1407" i="21"/>
  <c r="M1407" i="21" s="1"/>
  <c r="J1406" i="21"/>
  <c r="M1406" i="21" s="1"/>
  <c r="J1405" i="21"/>
  <c r="M1405" i="21" s="1"/>
  <c r="J1404" i="21"/>
  <c r="M1404" i="21" s="1"/>
  <c r="J1403" i="21"/>
  <c r="M1403" i="21" s="1"/>
  <c r="J1402" i="21"/>
  <c r="M1402" i="21" s="1"/>
  <c r="J1401" i="21"/>
  <c r="M1401" i="21" s="1"/>
  <c r="J1400" i="21"/>
  <c r="M1400" i="21" s="1"/>
  <c r="J1399" i="21"/>
  <c r="M1399" i="21" s="1"/>
  <c r="J1398" i="21"/>
  <c r="M1398" i="21" s="1"/>
  <c r="J1397" i="21"/>
  <c r="M1397" i="21" s="1"/>
  <c r="J1396" i="21"/>
  <c r="M1396" i="21" s="1"/>
  <c r="J1395" i="21"/>
  <c r="M1395" i="21" s="1"/>
  <c r="J1394" i="21"/>
  <c r="M1394" i="21" s="1"/>
  <c r="J1393" i="21"/>
  <c r="M1393" i="21" s="1"/>
  <c r="J1392" i="21"/>
  <c r="M1392" i="21" s="1"/>
  <c r="J1391" i="21"/>
  <c r="M1391" i="21" s="1"/>
  <c r="J1390" i="21"/>
  <c r="M1390" i="21" s="1"/>
  <c r="J1389" i="21"/>
  <c r="M1389" i="21" s="1"/>
  <c r="J1388" i="21"/>
  <c r="M1388" i="21" s="1"/>
  <c r="J1387" i="21"/>
  <c r="M1387" i="21" s="1"/>
  <c r="J1386" i="21"/>
  <c r="M1386" i="21" s="1"/>
  <c r="J1385" i="21"/>
  <c r="M1385" i="21" s="1"/>
  <c r="J1384" i="21"/>
  <c r="M1384" i="21" s="1"/>
  <c r="J1383" i="21"/>
  <c r="M1383" i="21" s="1"/>
  <c r="J1382" i="21"/>
  <c r="M1382" i="21" s="1"/>
  <c r="J1381" i="21"/>
  <c r="M1381" i="21" s="1"/>
  <c r="J1380" i="21"/>
  <c r="M1380" i="21" s="1"/>
  <c r="J1379" i="21"/>
  <c r="M1379" i="21" s="1"/>
  <c r="J1378" i="21"/>
  <c r="M1378" i="21" s="1"/>
  <c r="J1377" i="21"/>
  <c r="M1377" i="21" s="1"/>
  <c r="J1376" i="21"/>
  <c r="M1376" i="21" s="1"/>
  <c r="J1375" i="21"/>
  <c r="M1375" i="21" s="1"/>
  <c r="J1374" i="21"/>
  <c r="M1374" i="21" s="1"/>
  <c r="J1373" i="21"/>
  <c r="M1373" i="21" s="1"/>
  <c r="J1372" i="21"/>
  <c r="M1372" i="21" s="1"/>
  <c r="J1371" i="21"/>
  <c r="M1371" i="21" s="1"/>
  <c r="J1370" i="21"/>
  <c r="M1370" i="21" s="1"/>
  <c r="J1369" i="21"/>
  <c r="M1369" i="21" s="1"/>
  <c r="J1368" i="21"/>
  <c r="M1368" i="21" s="1"/>
  <c r="J1367" i="21"/>
  <c r="M1367" i="21" s="1"/>
  <c r="J1366" i="21"/>
  <c r="M1366" i="21" s="1"/>
  <c r="J1365" i="21"/>
  <c r="M1365" i="21" s="1"/>
  <c r="J1364" i="21"/>
  <c r="M1364" i="21" s="1"/>
  <c r="J1363" i="21"/>
  <c r="M1363" i="21" s="1"/>
  <c r="J1362" i="21"/>
  <c r="M1362" i="21" s="1"/>
  <c r="J1361" i="21"/>
  <c r="M1361" i="21" s="1"/>
  <c r="J1360" i="21"/>
  <c r="M1360" i="21" s="1"/>
  <c r="J1359" i="21"/>
  <c r="M1359" i="21" s="1"/>
  <c r="J1358" i="21"/>
  <c r="M1358" i="21" s="1"/>
  <c r="J1357" i="21"/>
  <c r="M1357" i="21" s="1"/>
  <c r="J1356" i="21"/>
  <c r="M1356" i="21" s="1"/>
  <c r="J1355" i="21"/>
  <c r="M1355" i="21" s="1"/>
  <c r="J1354" i="21"/>
  <c r="M1354" i="21" s="1"/>
  <c r="J1353" i="21"/>
  <c r="M1353" i="21" s="1"/>
  <c r="J1352" i="21"/>
  <c r="M1352" i="21" s="1"/>
  <c r="J1351" i="21"/>
  <c r="M1351" i="21" s="1"/>
  <c r="J1350" i="21"/>
  <c r="M1350" i="21" s="1"/>
  <c r="J1349" i="21"/>
  <c r="M1349" i="21" s="1"/>
  <c r="J1348" i="21"/>
  <c r="M1348" i="21" s="1"/>
  <c r="J1347" i="21"/>
  <c r="M1347" i="21" s="1"/>
  <c r="J1346" i="21"/>
  <c r="M1346" i="21" s="1"/>
  <c r="J1345" i="21"/>
  <c r="M1345" i="21" s="1"/>
  <c r="J1344" i="21"/>
  <c r="M1344" i="21" s="1"/>
  <c r="J1343" i="21"/>
  <c r="M1343" i="21" s="1"/>
  <c r="J1342" i="21"/>
  <c r="M1342" i="21" s="1"/>
  <c r="J1341" i="21"/>
  <c r="M1341" i="21" s="1"/>
  <c r="J1340" i="21"/>
  <c r="M1340" i="21" s="1"/>
  <c r="J1339" i="21"/>
  <c r="M1339" i="21" s="1"/>
  <c r="J1338" i="21"/>
  <c r="M1338" i="21" s="1"/>
  <c r="J1337" i="21"/>
  <c r="M1337" i="21" s="1"/>
  <c r="J1336" i="21"/>
  <c r="M1336" i="21" s="1"/>
  <c r="J1335" i="21"/>
  <c r="M1335" i="21" s="1"/>
  <c r="J1334" i="21"/>
  <c r="M1334" i="21" s="1"/>
  <c r="J1333" i="21"/>
  <c r="M1333" i="21" s="1"/>
  <c r="J1332" i="21"/>
  <c r="M1332" i="21" s="1"/>
  <c r="J1331" i="21"/>
  <c r="M1331" i="21" s="1"/>
  <c r="J1330" i="21"/>
  <c r="M1330" i="21" s="1"/>
  <c r="J1329" i="21"/>
  <c r="M1329" i="21" s="1"/>
  <c r="J1328" i="21"/>
  <c r="M1328" i="21" s="1"/>
  <c r="J1327" i="21"/>
  <c r="M1327" i="21" s="1"/>
  <c r="J1326" i="21"/>
  <c r="M1326" i="21" s="1"/>
  <c r="J1325" i="21"/>
  <c r="M1325" i="21" s="1"/>
  <c r="J1324" i="21"/>
  <c r="M1324" i="21" s="1"/>
  <c r="J1323" i="21"/>
  <c r="M1323" i="21" s="1"/>
  <c r="J1322" i="21"/>
  <c r="M1322" i="21" s="1"/>
  <c r="J1321" i="21"/>
  <c r="M1321" i="21" s="1"/>
  <c r="J1320" i="21"/>
  <c r="M1320" i="21" s="1"/>
  <c r="J1319" i="21"/>
  <c r="M1319" i="21" s="1"/>
  <c r="J1318" i="21"/>
  <c r="M1318" i="21" s="1"/>
  <c r="J1317" i="21"/>
  <c r="M1317" i="21" s="1"/>
  <c r="J1316" i="21"/>
  <c r="M1316" i="21" s="1"/>
  <c r="J1315" i="21"/>
  <c r="M1315" i="21" s="1"/>
  <c r="J1314" i="21"/>
  <c r="M1314" i="21" s="1"/>
  <c r="J1313" i="21"/>
  <c r="M1313" i="21" s="1"/>
  <c r="J1312" i="21"/>
  <c r="M1312" i="21" s="1"/>
  <c r="J1311" i="21"/>
  <c r="M1311" i="21" s="1"/>
  <c r="J1310" i="21"/>
  <c r="M1310" i="21" s="1"/>
  <c r="J1309" i="21"/>
  <c r="M1309" i="21" s="1"/>
  <c r="J1308" i="21"/>
  <c r="M1308" i="21" s="1"/>
  <c r="J1307" i="21"/>
  <c r="M1307" i="21" s="1"/>
  <c r="J1306" i="21"/>
  <c r="M1306" i="21" s="1"/>
  <c r="J1305" i="21"/>
  <c r="M1305" i="21" s="1"/>
  <c r="J1304" i="21"/>
  <c r="M1304" i="21" s="1"/>
  <c r="J1303" i="21"/>
  <c r="M1303" i="21" s="1"/>
  <c r="J1302" i="21"/>
  <c r="M1302" i="21" s="1"/>
  <c r="J1301" i="21"/>
  <c r="M1301" i="21" s="1"/>
  <c r="J1300" i="21"/>
  <c r="M1300" i="21" s="1"/>
  <c r="J1299" i="21"/>
  <c r="M1299" i="21" s="1"/>
  <c r="J1298" i="21"/>
  <c r="M1298" i="21" s="1"/>
  <c r="J1297" i="21"/>
  <c r="M1297" i="21" s="1"/>
  <c r="J1296" i="21"/>
  <c r="M1296" i="21" s="1"/>
  <c r="J1295" i="21"/>
  <c r="M1295" i="21" s="1"/>
  <c r="J1294" i="21"/>
  <c r="M1294" i="21" s="1"/>
  <c r="J1293" i="21"/>
  <c r="M1293" i="21" s="1"/>
  <c r="J1292" i="21"/>
  <c r="M1292" i="21" s="1"/>
  <c r="J1291" i="21"/>
  <c r="M1291" i="21" s="1"/>
  <c r="J1290" i="21"/>
  <c r="M1290" i="21" s="1"/>
  <c r="J1289" i="21"/>
  <c r="M1289" i="21" s="1"/>
  <c r="J1288" i="21"/>
  <c r="M1288" i="21" s="1"/>
  <c r="J1287" i="21"/>
  <c r="M1287" i="21" s="1"/>
  <c r="J1286" i="21"/>
  <c r="M1286" i="21" s="1"/>
  <c r="J1285" i="21"/>
  <c r="M1285" i="21" s="1"/>
  <c r="J1284" i="21"/>
  <c r="M1284" i="21" s="1"/>
  <c r="J1283" i="21"/>
  <c r="M1283" i="21" s="1"/>
  <c r="J1282" i="21"/>
  <c r="M1282" i="21" s="1"/>
  <c r="J1281" i="21"/>
  <c r="M1281" i="21" s="1"/>
  <c r="J1280" i="21"/>
  <c r="M1280" i="21" s="1"/>
  <c r="J1279" i="21"/>
  <c r="M1279" i="21" s="1"/>
  <c r="J1278" i="21"/>
  <c r="M1278" i="21" s="1"/>
  <c r="J1277" i="21"/>
  <c r="M1277" i="21" s="1"/>
  <c r="J1276" i="21"/>
  <c r="M1276" i="21" s="1"/>
  <c r="J1275" i="21"/>
  <c r="M1275" i="21" s="1"/>
  <c r="J1274" i="21"/>
  <c r="M1274" i="21" s="1"/>
  <c r="J1273" i="21"/>
  <c r="M1273" i="21" s="1"/>
  <c r="J1272" i="21"/>
  <c r="M1272" i="21" s="1"/>
  <c r="J1271" i="21"/>
  <c r="M1271" i="21" s="1"/>
  <c r="J1270" i="21"/>
  <c r="M1270" i="21" s="1"/>
  <c r="J1269" i="21"/>
  <c r="M1269" i="21" s="1"/>
  <c r="J1268" i="21"/>
  <c r="M1268" i="21" s="1"/>
  <c r="J1267" i="21"/>
  <c r="M1267" i="21" s="1"/>
  <c r="J1266" i="21"/>
  <c r="M1266" i="21" s="1"/>
  <c r="J1265" i="21"/>
  <c r="M1265" i="21" s="1"/>
  <c r="J1264" i="21"/>
  <c r="M1264" i="21" s="1"/>
  <c r="J1263" i="21"/>
  <c r="M1263" i="21" s="1"/>
  <c r="J1262" i="21"/>
  <c r="M1262" i="21" s="1"/>
  <c r="J1261" i="21"/>
  <c r="M1261" i="21" s="1"/>
  <c r="J1260" i="21"/>
  <c r="M1260" i="21" s="1"/>
  <c r="J1259" i="21"/>
  <c r="M1259" i="21" s="1"/>
  <c r="J1258" i="21"/>
  <c r="M1258" i="21" s="1"/>
  <c r="J1257" i="21"/>
  <c r="M1257" i="21" s="1"/>
  <c r="J1256" i="21"/>
  <c r="M1256" i="21" s="1"/>
  <c r="J1255" i="21"/>
  <c r="M1255" i="21" s="1"/>
  <c r="J1254" i="21"/>
  <c r="M1254" i="21" s="1"/>
  <c r="J1253" i="21"/>
  <c r="M1253" i="21" s="1"/>
  <c r="J1252" i="21"/>
  <c r="M1252" i="21" s="1"/>
  <c r="J1251" i="21"/>
  <c r="M1251" i="21" s="1"/>
  <c r="J1250" i="21"/>
  <c r="M1250" i="21" s="1"/>
  <c r="J1249" i="21"/>
  <c r="M1249" i="21" s="1"/>
  <c r="J1248" i="21"/>
  <c r="M1248" i="21" s="1"/>
  <c r="J1247" i="21"/>
  <c r="M1247" i="21" s="1"/>
  <c r="J1246" i="21"/>
  <c r="M1246" i="21" s="1"/>
  <c r="J1245" i="21"/>
  <c r="M1245" i="21" s="1"/>
  <c r="J1244" i="21"/>
  <c r="M1244" i="21" s="1"/>
  <c r="J1243" i="21"/>
  <c r="M1243" i="21" s="1"/>
  <c r="J1242" i="21"/>
  <c r="M1242" i="21" s="1"/>
  <c r="J1241" i="21"/>
  <c r="M1241" i="21" s="1"/>
  <c r="J1240" i="21"/>
  <c r="M1240" i="21" s="1"/>
  <c r="J1239" i="21"/>
  <c r="M1239" i="21" s="1"/>
  <c r="J1238" i="21"/>
  <c r="M1238" i="21" s="1"/>
  <c r="J1237" i="21"/>
  <c r="M1237" i="21" s="1"/>
  <c r="J1236" i="21"/>
  <c r="M1236" i="21" s="1"/>
  <c r="J1235" i="21"/>
  <c r="M1235" i="21" s="1"/>
  <c r="J1234" i="21"/>
  <c r="M1234" i="21" s="1"/>
  <c r="J1233" i="21"/>
  <c r="M1233" i="21" s="1"/>
  <c r="J1232" i="21"/>
  <c r="M1232" i="21" s="1"/>
  <c r="J1231" i="21"/>
  <c r="M1231" i="21" s="1"/>
  <c r="J1230" i="21"/>
  <c r="M1230" i="21" s="1"/>
  <c r="J1229" i="21"/>
  <c r="M1229" i="21" s="1"/>
  <c r="J1228" i="21"/>
  <c r="M1228" i="21" s="1"/>
  <c r="J1227" i="21"/>
  <c r="M1227" i="21" s="1"/>
  <c r="J1226" i="21"/>
  <c r="M1226" i="21" s="1"/>
  <c r="J1225" i="21"/>
  <c r="M1225" i="21" s="1"/>
  <c r="J1224" i="21"/>
  <c r="M1224" i="21" s="1"/>
  <c r="J1223" i="21"/>
  <c r="M1223" i="21" s="1"/>
  <c r="J1222" i="21"/>
  <c r="M1222" i="21" s="1"/>
  <c r="J1221" i="21"/>
  <c r="M1221" i="21" s="1"/>
  <c r="J1220" i="21"/>
  <c r="M1220" i="21" s="1"/>
  <c r="J1219" i="21"/>
  <c r="M1219" i="21" s="1"/>
  <c r="J1218" i="21"/>
  <c r="M1218" i="21" s="1"/>
  <c r="J1217" i="21"/>
  <c r="M1217" i="21" s="1"/>
  <c r="J1216" i="21"/>
  <c r="M1216" i="21" s="1"/>
  <c r="J1215" i="21"/>
  <c r="M1215" i="21" s="1"/>
  <c r="J1214" i="21"/>
  <c r="M1214" i="21" s="1"/>
  <c r="J1213" i="21"/>
  <c r="M1213" i="21" s="1"/>
  <c r="J1212" i="21"/>
  <c r="M1212" i="21" s="1"/>
  <c r="J1211" i="21"/>
  <c r="M1211" i="21" s="1"/>
  <c r="J1210" i="21"/>
  <c r="M1210" i="21" s="1"/>
  <c r="J1209" i="21"/>
  <c r="M1209" i="21" s="1"/>
  <c r="J1208" i="21"/>
  <c r="M1208" i="21" s="1"/>
  <c r="J1207" i="21"/>
  <c r="M1207" i="21" s="1"/>
  <c r="J1206" i="21"/>
  <c r="M1206" i="21" s="1"/>
  <c r="J1205" i="21"/>
  <c r="M1205" i="21" s="1"/>
  <c r="J1204" i="21"/>
  <c r="M1204" i="21" s="1"/>
  <c r="J1203" i="21"/>
  <c r="M1203" i="21" s="1"/>
  <c r="J1202" i="21"/>
  <c r="M1202" i="21" s="1"/>
  <c r="J1201" i="21"/>
  <c r="M1201" i="21" s="1"/>
  <c r="J1200" i="21"/>
  <c r="M1200" i="21" s="1"/>
  <c r="J1199" i="21"/>
  <c r="M1199" i="21" s="1"/>
  <c r="J1198" i="21"/>
  <c r="M1198" i="21" s="1"/>
  <c r="J1197" i="21"/>
  <c r="M1197" i="21" s="1"/>
  <c r="J1196" i="21"/>
  <c r="M1196" i="21" s="1"/>
  <c r="J1195" i="21"/>
  <c r="M1195" i="21" s="1"/>
  <c r="J1194" i="21"/>
  <c r="M1194" i="21" s="1"/>
  <c r="J1193" i="21"/>
  <c r="M1193" i="21" s="1"/>
  <c r="J1192" i="21"/>
  <c r="M1192" i="21" s="1"/>
  <c r="J1191" i="21"/>
  <c r="M1191" i="21" s="1"/>
  <c r="J1190" i="21"/>
  <c r="M1190" i="21" s="1"/>
  <c r="J1189" i="21"/>
  <c r="M1189" i="21" s="1"/>
  <c r="J1188" i="21"/>
  <c r="M1188" i="21" s="1"/>
  <c r="J1187" i="21"/>
  <c r="M1187" i="21" s="1"/>
  <c r="J1186" i="21"/>
  <c r="M1186" i="21" s="1"/>
  <c r="J1185" i="21"/>
  <c r="M1185" i="21" s="1"/>
  <c r="J1184" i="21"/>
  <c r="M1184" i="21" s="1"/>
  <c r="J1183" i="21"/>
  <c r="M1183" i="21" s="1"/>
  <c r="J1182" i="21"/>
  <c r="M1182" i="21" s="1"/>
  <c r="J1181" i="21"/>
  <c r="M1181" i="21" s="1"/>
  <c r="J1180" i="21"/>
  <c r="M1180" i="21" s="1"/>
  <c r="J1179" i="21"/>
  <c r="M1179" i="21" s="1"/>
  <c r="J1178" i="21"/>
  <c r="M1178" i="21" s="1"/>
  <c r="J1177" i="21"/>
  <c r="M1177" i="21" s="1"/>
  <c r="J1176" i="21"/>
  <c r="M1176" i="21" s="1"/>
  <c r="J1175" i="21"/>
  <c r="M1175" i="21" s="1"/>
  <c r="J1174" i="21"/>
  <c r="M1174" i="21" s="1"/>
  <c r="J1173" i="21"/>
  <c r="M1173" i="21" s="1"/>
  <c r="J1172" i="21"/>
  <c r="M1172" i="21" s="1"/>
  <c r="J1171" i="21"/>
  <c r="M1171" i="21" s="1"/>
  <c r="J1170" i="21"/>
  <c r="M1170" i="21" s="1"/>
  <c r="J1169" i="21"/>
  <c r="M1169" i="21" s="1"/>
  <c r="J1168" i="21"/>
  <c r="M1168" i="21" s="1"/>
  <c r="J1167" i="21"/>
  <c r="M1167" i="21" s="1"/>
  <c r="J1166" i="21"/>
  <c r="M1166" i="21" s="1"/>
  <c r="J1165" i="21"/>
  <c r="M1165" i="21" s="1"/>
  <c r="J1164" i="21"/>
  <c r="M1164" i="21" s="1"/>
  <c r="J1163" i="21"/>
  <c r="M1163" i="21" s="1"/>
  <c r="J1162" i="21"/>
  <c r="M1162" i="21" s="1"/>
  <c r="J1161" i="21"/>
  <c r="M1161" i="21" s="1"/>
  <c r="J1160" i="21"/>
  <c r="M1160" i="21" s="1"/>
  <c r="J1159" i="21"/>
  <c r="M1159" i="21" s="1"/>
  <c r="J1158" i="21"/>
  <c r="M1158" i="21" s="1"/>
  <c r="J1157" i="21"/>
  <c r="M1157" i="21" s="1"/>
  <c r="J1156" i="21"/>
  <c r="M1156" i="21" s="1"/>
  <c r="J1155" i="21"/>
  <c r="M1155" i="21" s="1"/>
  <c r="J1154" i="21"/>
  <c r="M1154" i="21" s="1"/>
  <c r="J1153" i="21"/>
  <c r="M1153" i="21" s="1"/>
  <c r="J1152" i="21"/>
  <c r="M1152" i="21" s="1"/>
  <c r="J1151" i="21"/>
  <c r="M1151" i="21" s="1"/>
  <c r="J1150" i="21"/>
  <c r="M1150" i="21" s="1"/>
  <c r="J1149" i="21"/>
  <c r="M1149" i="21" s="1"/>
  <c r="M1148" i="21"/>
  <c r="J1148" i="21"/>
  <c r="J1147" i="21"/>
  <c r="M1147" i="21" s="1"/>
  <c r="J1146" i="21"/>
  <c r="M1146" i="21" s="1"/>
  <c r="J1145" i="21"/>
  <c r="M1145" i="21" s="1"/>
  <c r="M1144" i="21"/>
  <c r="J1144" i="21"/>
  <c r="J1143" i="21"/>
  <c r="M1143" i="21" s="1"/>
  <c r="J1142" i="21"/>
  <c r="M1142" i="21" s="1"/>
  <c r="J1141" i="21"/>
  <c r="M1141" i="21" s="1"/>
  <c r="M1140" i="21"/>
  <c r="J1140" i="21"/>
  <c r="J1139" i="21"/>
  <c r="M1139" i="21" s="1"/>
  <c r="J1138" i="21"/>
  <c r="M1138" i="21" s="1"/>
  <c r="J1137" i="21"/>
  <c r="M1137" i="21" s="1"/>
  <c r="M1136" i="21"/>
  <c r="J1136" i="21"/>
  <c r="J1135" i="21"/>
  <c r="M1135" i="21" s="1"/>
  <c r="J1134" i="21"/>
  <c r="M1134" i="21" s="1"/>
  <c r="J1133" i="21"/>
  <c r="M1133" i="21" s="1"/>
  <c r="M1132" i="21"/>
  <c r="J1132" i="21"/>
  <c r="J1131" i="21"/>
  <c r="M1131" i="21" s="1"/>
  <c r="J1130" i="21"/>
  <c r="M1130" i="21" s="1"/>
  <c r="J1129" i="21"/>
  <c r="M1129" i="21" s="1"/>
  <c r="M1128" i="21"/>
  <c r="J1128" i="21"/>
  <c r="J1127" i="21"/>
  <c r="M1127" i="21" s="1"/>
  <c r="J1126" i="21"/>
  <c r="M1126" i="21" s="1"/>
  <c r="J1125" i="21"/>
  <c r="M1125" i="21" s="1"/>
  <c r="M1124" i="21"/>
  <c r="J1124" i="21"/>
  <c r="J1123" i="21"/>
  <c r="M1123" i="21" s="1"/>
  <c r="J1122" i="21"/>
  <c r="M1122" i="21" s="1"/>
  <c r="J1121" i="21"/>
  <c r="M1121" i="21" s="1"/>
  <c r="M1120" i="21"/>
  <c r="J1120" i="21"/>
  <c r="J1119" i="21"/>
  <c r="M1119" i="21" s="1"/>
  <c r="J1118" i="21"/>
  <c r="M1118" i="21" s="1"/>
  <c r="J1117" i="21"/>
  <c r="M1117" i="21" s="1"/>
  <c r="M1116" i="21"/>
  <c r="J1116" i="21"/>
  <c r="J1115" i="21"/>
  <c r="M1115" i="21" s="1"/>
  <c r="J1114" i="21"/>
  <c r="M1114" i="21" s="1"/>
  <c r="J1113" i="21"/>
  <c r="M1113" i="21" s="1"/>
  <c r="M1112" i="21"/>
  <c r="J1112" i="21"/>
  <c r="J1111" i="21"/>
  <c r="M1111" i="21" s="1"/>
  <c r="J1110" i="21"/>
  <c r="M1110" i="21" s="1"/>
  <c r="J1109" i="21"/>
  <c r="M1109" i="21" s="1"/>
  <c r="M1108" i="21"/>
  <c r="J1108" i="21"/>
  <c r="J1107" i="21"/>
  <c r="M1107" i="21" s="1"/>
  <c r="J1106" i="21"/>
  <c r="M1106" i="21" s="1"/>
  <c r="J1105" i="21"/>
  <c r="M1105" i="21" s="1"/>
  <c r="M1104" i="21"/>
  <c r="J1104" i="21"/>
  <c r="J1103" i="21"/>
  <c r="M1103" i="21" s="1"/>
  <c r="J1102" i="21"/>
  <c r="M1102" i="21" s="1"/>
  <c r="J1101" i="21"/>
  <c r="M1101" i="21" s="1"/>
  <c r="M1100" i="21"/>
  <c r="J1100" i="21"/>
  <c r="J1099" i="21"/>
  <c r="M1099" i="21" s="1"/>
  <c r="J1098" i="21"/>
  <c r="M1098" i="21" s="1"/>
  <c r="J1097" i="21"/>
  <c r="M1097" i="21" s="1"/>
  <c r="J1096" i="21"/>
  <c r="M1096" i="21" s="1"/>
  <c r="J1095" i="21"/>
  <c r="M1095" i="21" s="1"/>
  <c r="J1094" i="21"/>
  <c r="M1094" i="21" s="1"/>
  <c r="J1093" i="21"/>
  <c r="M1093" i="21" s="1"/>
  <c r="M1092" i="21"/>
  <c r="J1092" i="21"/>
  <c r="J1091" i="21"/>
  <c r="M1091" i="21" s="1"/>
  <c r="J1090" i="21"/>
  <c r="M1090" i="21" s="1"/>
  <c r="J1089" i="21"/>
  <c r="M1089" i="21" s="1"/>
  <c r="J1088" i="21"/>
  <c r="M1088" i="21" s="1"/>
  <c r="J1087" i="21"/>
  <c r="M1087" i="21" s="1"/>
  <c r="J1086" i="21"/>
  <c r="M1086" i="21" s="1"/>
  <c r="J1085" i="21"/>
  <c r="M1085" i="21" s="1"/>
  <c r="M1084" i="21"/>
  <c r="J1084" i="21"/>
  <c r="J1083" i="21"/>
  <c r="M1083" i="21" s="1"/>
  <c r="J1082" i="21"/>
  <c r="M1082" i="21" s="1"/>
  <c r="J1081" i="21"/>
  <c r="M1081" i="21" s="1"/>
  <c r="J1080" i="21"/>
  <c r="M1080" i="21" s="1"/>
  <c r="J1079" i="21"/>
  <c r="M1079" i="21" s="1"/>
  <c r="J1078" i="21"/>
  <c r="M1078" i="21" s="1"/>
  <c r="J1077" i="21"/>
  <c r="M1077" i="21" s="1"/>
  <c r="M1076" i="21"/>
  <c r="J1076" i="21"/>
  <c r="J1075" i="21"/>
  <c r="M1075" i="21" s="1"/>
  <c r="J1074" i="21"/>
  <c r="M1074" i="21" s="1"/>
  <c r="J1073" i="21"/>
  <c r="M1073" i="21" s="1"/>
  <c r="J1072" i="21"/>
  <c r="M1072" i="21" s="1"/>
  <c r="J1071" i="21"/>
  <c r="M1071" i="21" s="1"/>
  <c r="J1070" i="21"/>
  <c r="M1070" i="21" s="1"/>
  <c r="J1069" i="21"/>
  <c r="M1069" i="21" s="1"/>
  <c r="M1068" i="21"/>
  <c r="J1068" i="21"/>
  <c r="J1067" i="21"/>
  <c r="M1067" i="21" s="1"/>
  <c r="J1066" i="21"/>
  <c r="M1066" i="21" s="1"/>
  <c r="J1065" i="21"/>
  <c r="M1065" i="21" s="1"/>
  <c r="J1064" i="21"/>
  <c r="M1064" i="21" s="1"/>
  <c r="J1063" i="21"/>
  <c r="M1063" i="21" s="1"/>
  <c r="J1062" i="21"/>
  <c r="M1062" i="21" s="1"/>
  <c r="J1061" i="21"/>
  <c r="M1061" i="21" s="1"/>
  <c r="M1060" i="21"/>
  <c r="J1060" i="21"/>
  <c r="J1059" i="21"/>
  <c r="M1059" i="21" s="1"/>
  <c r="J1058" i="21"/>
  <c r="M1058" i="21" s="1"/>
  <c r="J1057" i="21"/>
  <c r="M1057" i="21" s="1"/>
  <c r="J1056" i="21"/>
  <c r="M1056" i="21" s="1"/>
  <c r="J1055" i="21"/>
  <c r="M1055" i="21" s="1"/>
  <c r="J1054" i="21"/>
  <c r="M1054" i="21" s="1"/>
  <c r="J1053" i="21"/>
  <c r="M1053" i="21" s="1"/>
  <c r="M1052" i="21"/>
  <c r="J1052" i="21"/>
  <c r="J1051" i="21"/>
  <c r="M1051" i="21" s="1"/>
  <c r="J1050" i="21"/>
  <c r="M1050" i="21" s="1"/>
  <c r="J1049" i="21"/>
  <c r="M1049" i="21" s="1"/>
  <c r="J1048" i="21"/>
  <c r="M1048" i="21" s="1"/>
  <c r="J1047" i="21"/>
  <c r="M1047" i="21" s="1"/>
  <c r="J1046" i="21"/>
  <c r="M1046" i="21" s="1"/>
  <c r="J1045" i="21"/>
  <c r="M1045" i="21" s="1"/>
  <c r="M1044" i="21"/>
  <c r="J1044" i="21"/>
  <c r="J1043" i="21"/>
  <c r="M1043" i="21" s="1"/>
  <c r="J1042" i="21"/>
  <c r="M1042" i="21" s="1"/>
  <c r="J1041" i="21"/>
  <c r="M1041" i="21" s="1"/>
  <c r="J1040" i="21"/>
  <c r="M1040" i="21" s="1"/>
  <c r="J1039" i="21"/>
  <c r="M1039" i="21" s="1"/>
  <c r="J1038" i="21"/>
  <c r="M1038" i="21" s="1"/>
  <c r="J1037" i="21"/>
  <c r="M1037" i="21" s="1"/>
  <c r="M1036" i="21"/>
  <c r="J1036" i="21"/>
  <c r="J1035" i="21"/>
  <c r="M1035" i="21" s="1"/>
  <c r="J1034" i="21"/>
  <c r="M1034" i="21" s="1"/>
  <c r="J1033" i="21"/>
  <c r="M1033" i="21" s="1"/>
  <c r="J1032" i="21"/>
  <c r="M1032" i="21" s="1"/>
  <c r="J1031" i="21"/>
  <c r="M1031" i="21" s="1"/>
  <c r="J1030" i="21"/>
  <c r="M1030" i="21" s="1"/>
  <c r="J1029" i="21"/>
  <c r="M1029" i="21" s="1"/>
  <c r="M1028" i="21"/>
  <c r="J1028" i="21"/>
  <c r="J1027" i="21"/>
  <c r="M1027" i="21" s="1"/>
  <c r="J1026" i="21"/>
  <c r="M1026" i="21" s="1"/>
  <c r="J1025" i="21"/>
  <c r="M1025" i="21" s="1"/>
  <c r="J1024" i="21"/>
  <c r="M1024" i="21" s="1"/>
  <c r="J1023" i="21"/>
  <c r="M1023" i="21" s="1"/>
  <c r="J1022" i="21"/>
  <c r="M1022" i="21" s="1"/>
  <c r="J1021" i="21"/>
  <c r="M1021" i="21" s="1"/>
  <c r="M1020" i="21"/>
  <c r="J1020" i="21"/>
  <c r="J1019" i="21"/>
  <c r="M1019" i="21" s="1"/>
  <c r="J1018" i="21"/>
  <c r="M1018" i="21" s="1"/>
  <c r="J1017" i="21"/>
  <c r="M1017" i="21" s="1"/>
  <c r="J1016" i="21"/>
  <c r="M1016" i="21" s="1"/>
  <c r="J1015" i="21"/>
  <c r="M1015" i="21" s="1"/>
  <c r="J1014" i="21"/>
  <c r="M1014" i="21" s="1"/>
  <c r="J1013" i="21"/>
  <c r="M1013" i="21" s="1"/>
  <c r="M1012" i="21"/>
  <c r="J1012" i="21"/>
  <c r="J1011" i="21"/>
  <c r="M1011" i="21" s="1"/>
  <c r="J1010" i="21"/>
  <c r="M1010" i="21" s="1"/>
  <c r="J1009" i="21"/>
  <c r="M1009" i="21" s="1"/>
  <c r="J1008" i="21"/>
  <c r="M1008" i="21" s="1"/>
  <c r="J1007" i="21"/>
  <c r="M1007" i="21" s="1"/>
  <c r="J1006" i="21"/>
  <c r="M1006" i="21" s="1"/>
  <c r="J1005" i="21"/>
  <c r="M1005" i="21" s="1"/>
  <c r="M1004" i="21"/>
  <c r="J1004" i="21"/>
  <c r="J1003" i="21"/>
  <c r="M1003" i="21" s="1"/>
  <c r="J1002" i="21"/>
  <c r="M1002" i="21" s="1"/>
  <c r="J1001" i="21"/>
  <c r="M1001" i="21" s="1"/>
  <c r="J1000" i="21"/>
  <c r="M1000" i="21" s="1"/>
  <c r="J999" i="21"/>
  <c r="M999" i="21" s="1"/>
  <c r="J998" i="21"/>
  <c r="M998" i="21" s="1"/>
  <c r="J997" i="21"/>
  <c r="M997" i="21" s="1"/>
  <c r="M996" i="21"/>
  <c r="J996" i="21"/>
  <c r="J995" i="21"/>
  <c r="M995" i="21" s="1"/>
  <c r="J994" i="21"/>
  <c r="M994" i="21" s="1"/>
  <c r="J993" i="21"/>
  <c r="M993" i="21" s="1"/>
  <c r="J992" i="21"/>
  <c r="M992" i="21" s="1"/>
  <c r="J991" i="21"/>
  <c r="M991" i="21" s="1"/>
  <c r="J990" i="21"/>
  <c r="M990" i="21" s="1"/>
  <c r="J989" i="21"/>
  <c r="M989" i="21" s="1"/>
  <c r="M988" i="21"/>
  <c r="J988" i="21"/>
  <c r="J987" i="21"/>
  <c r="M987" i="21" s="1"/>
  <c r="J986" i="21"/>
  <c r="M986" i="21" s="1"/>
  <c r="J985" i="21"/>
  <c r="M985" i="21" s="1"/>
  <c r="J984" i="21"/>
  <c r="M984" i="21" s="1"/>
  <c r="J983" i="21"/>
  <c r="M983" i="21" s="1"/>
  <c r="J982" i="21"/>
  <c r="M982" i="21" s="1"/>
  <c r="J981" i="21"/>
  <c r="M981" i="21" s="1"/>
  <c r="M979" i="21"/>
  <c r="M978" i="21"/>
  <c r="M977" i="21"/>
  <c r="M975" i="21"/>
  <c r="M974" i="21"/>
  <c r="M973" i="21"/>
  <c r="M971" i="21"/>
  <c r="M970" i="21"/>
  <c r="M969" i="21"/>
  <c r="M967" i="21"/>
  <c r="M966" i="21"/>
  <c r="M965" i="21"/>
  <c r="M963" i="21"/>
  <c r="M962" i="21"/>
  <c r="M961" i="21"/>
  <c r="M959" i="21"/>
  <c r="M958" i="21"/>
  <c r="M957" i="21"/>
  <c r="M955" i="21"/>
  <c r="O954" i="21"/>
  <c r="N954" i="21"/>
  <c r="N953" i="21"/>
  <c r="O952" i="21"/>
  <c r="N952" i="21"/>
  <c r="N951" i="21"/>
  <c r="O950" i="21"/>
  <c r="N950" i="21"/>
  <c r="N949" i="21"/>
  <c r="O948" i="21"/>
  <c r="N948" i="21"/>
  <c r="N947" i="21"/>
  <c r="O946" i="21"/>
  <c r="N946" i="21"/>
  <c r="N945" i="21"/>
  <c r="O944" i="21"/>
  <c r="N944" i="21"/>
  <c r="N943" i="21"/>
  <c r="O942" i="21"/>
  <c r="N942" i="21"/>
  <c r="N941" i="21"/>
  <c r="O940" i="21"/>
  <c r="N940" i="21"/>
  <c r="N939" i="21"/>
  <c r="O938" i="21"/>
  <c r="N938" i="21"/>
  <c r="N937" i="21"/>
  <c r="O936" i="21"/>
  <c r="N936" i="21"/>
  <c r="N935" i="21"/>
  <c r="O934" i="21"/>
  <c r="N934" i="21"/>
  <c r="N933" i="21"/>
  <c r="O932" i="21"/>
  <c r="N932" i="21"/>
  <c r="N931" i="21"/>
  <c r="M930" i="21"/>
  <c r="M929" i="21"/>
  <c r="M927" i="21"/>
  <c r="M926" i="21"/>
  <c r="M925" i="21"/>
  <c r="M923" i="21"/>
  <c r="M922" i="21"/>
  <c r="M921" i="21"/>
  <c r="M919" i="21"/>
  <c r="M918" i="21"/>
  <c r="M917" i="21"/>
  <c r="M915" i="21"/>
  <c r="M914" i="21"/>
  <c r="M913" i="21"/>
  <c r="M911" i="21"/>
  <c r="M910" i="21"/>
  <c r="M909" i="21"/>
  <c r="M907" i="21"/>
  <c r="M906" i="21"/>
  <c r="M905" i="21"/>
  <c r="M903" i="21"/>
  <c r="O902" i="21"/>
  <c r="N902" i="21"/>
  <c r="N901" i="21"/>
  <c r="O900" i="21"/>
  <c r="N900" i="21"/>
  <c r="N899" i="21"/>
  <c r="M898" i="21"/>
  <c r="M897" i="21"/>
  <c r="M895" i="21"/>
  <c r="M894" i="21"/>
  <c r="J893" i="21"/>
  <c r="M893" i="21" s="1"/>
  <c r="M892" i="21"/>
  <c r="J892" i="21"/>
  <c r="J891" i="21"/>
  <c r="M891" i="21" s="1"/>
  <c r="J890" i="21"/>
  <c r="M890" i="21" s="1"/>
  <c r="J889" i="21"/>
  <c r="M889" i="21" s="1"/>
  <c r="J888" i="21"/>
  <c r="M888" i="21" s="1"/>
  <c r="J887" i="21"/>
  <c r="M887" i="21" s="1"/>
  <c r="J886" i="21"/>
  <c r="M886" i="21" s="1"/>
  <c r="J885" i="21"/>
  <c r="M885" i="21" s="1"/>
  <c r="J884" i="21"/>
  <c r="M884" i="21" s="1"/>
  <c r="J883" i="21"/>
  <c r="M883" i="21" s="1"/>
  <c r="J882" i="21"/>
  <c r="M882" i="21" s="1"/>
  <c r="J881" i="21"/>
  <c r="M881" i="21" s="1"/>
  <c r="J880" i="21"/>
  <c r="M880" i="21" s="1"/>
  <c r="J879" i="21"/>
  <c r="M879" i="21" s="1"/>
  <c r="J878" i="21"/>
  <c r="M878" i="21" s="1"/>
  <c r="J877" i="21"/>
  <c r="M877" i="21" s="1"/>
  <c r="J876" i="21"/>
  <c r="M876" i="21" s="1"/>
  <c r="J875" i="21"/>
  <c r="M875" i="21" s="1"/>
  <c r="J874" i="21"/>
  <c r="M874" i="21" s="1"/>
  <c r="J873" i="21"/>
  <c r="M873" i="21" s="1"/>
  <c r="J872" i="21"/>
  <c r="M872" i="21" s="1"/>
  <c r="J871" i="21"/>
  <c r="M871" i="21" s="1"/>
  <c r="J870" i="21"/>
  <c r="M870" i="21" s="1"/>
  <c r="J869" i="21"/>
  <c r="M869" i="21" s="1"/>
  <c r="J868" i="21"/>
  <c r="M868" i="21" s="1"/>
  <c r="J867" i="21"/>
  <c r="M867" i="21" s="1"/>
  <c r="J866" i="21"/>
  <c r="M866" i="21" s="1"/>
  <c r="J865" i="21"/>
  <c r="M865" i="21" s="1"/>
  <c r="J864" i="21"/>
  <c r="M864" i="21" s="1"/>
  <c r="J863" i="21"/>
  <c r="M863" i="21" s="1"/>
  <c r="J862" i="21"/>
  <c r="M862" i="21" s="1"/>
  <c r="J861" i="21"/>
  <c r="M861" i="21" s="1"/>
  <c r="J860" i="21"/>
  <c r="M860" i="21" s="1"/>
  <c r="J859" i="21"/>
  <c r="M859" i="21" s="1"/>
  <c r="J858" i="21"/>
  <c r="M858" i="21" s="1"/>
  <c r="J857" i="21"/>
  <c r="M857" i="21" s="1"/>
  <c r="J856" i="21"/>
  <c r="M856" i="21" s="1"/>
  <c r="J855" i="21"/>
  <c r="M855" i="21" s="1"/>
  <c r="L854" i="21"/>
  <c r="O854" i="21" s="1"/>
  <c r="K854" i="21"/>
  <c r="N854" i="21" s="1"/>
  <c r="L853" i="21"/>
  <c r="O853" i="21" s="1"/>
  <c r="K853" i="21"/>
  <c r="N853" i="21" s="1"/>
  <c r="L852" i="21"/>
  <c r="O852" i="21" s="1"/>
  <c r="K852" i="21"/>
  <c r="N852" i="21" s="1"/>
  <c r="N851" i="21"/>
  <c r="L851" i="21"/>
  <c r="O851" i="21" s="1"/>
  <c r="K851" i="21"/>
  <c r="L850" i="21"/>
  <c r="O850" i="21" s="1"/>
  <c r="K850" i="21"/>
  <c r="N850" i="21" s="1"/>
  <c r="L849" i="21"/>
  <c r="O849" i="21" s="1"/>
  <c r="K849" i="21"/>
  <c r="N849" i="21" s="1"/>
  <c r="L848" i="21"/>
  <c r="O848" i="21" s="1"/>
  <c r="K848" i="21"/>
  <c r="N848" i="21" s="1"/>
  <c r="O847" i="21"/>
  <c r="L847" i="21"/>
  <c r="K847" i="21"/>
  <c r="N847" i="21" s="1"/>
  <c r="L846" i="21"/>
  <c r="O846" i="21" s="1"/>
  <c r="K846" i="21"/>
  <c r="N846" i="21" s="1"/>
  <c r="L845" i="21"/>
  <c r="O845" i="21" s="1"/>
  <c r="K845" i="21"/>
  <c r="N845" i="21" s="1"/>
  <c r="L844" i="21"/>
  <c r="O844" i="21" s="1"/>
  <c r="K844" i="21"/>
  <c r="N844" i="21" s="1"/>
  <c r="L843" i="21"/>
  <c r="O843" i="21" s="1"/>
  <c r="K843" i="21"/>
  <c r="N843" i="21" s="1"/>
  <c r="O842" i="21"/>
  <c r="L842" i="21"/>
  <c r="K842" i="21"/>
  <c r="N842" i="21" s="1"/>
  <c r="O841" i="21"/>
  <c r="L841" i="21"/>
  <c r="K841" i="21"/>
  <c r="N841" i="21" s="1"/>
  <c r="L840" i="21"/>
  <c r="O840" i="21" s="1"/>
  <c r="K840" i="21"/>
  <c r="N840" i="21" s="1"/>
  <c r="L839" i="21"/>
  <c r="O839" i="21" s="1"/>
  <c r="K839" i="21"/>
  <c r="N839" i="21" s="1"/>
  <c r="L838" i="21"/>
  <c r="O838" i="21" s="1"/>
  <c r="K838" i="21"/>
  <c r="N838" i="21" s="1"/>
  <c r="L837" i="21"/>
  <c r="O837" i="21" s="1"/>
  <c r="K837" i="21"/>
  <c r="N837" i="21" s="1"/>
  <c r="L836" i="21"/>
  <c r="O836" i="21" s="1"/>
  <c r="K836" i="21"/>
  <c r="N836" i="21" s="1"/>
  <c r="N835" i="21"/>
  <c r="L835" i="21"/>
  <c r="O835" i="21" s="1"/>
  <c r="K835" i="21"/>
  <c r="L834" i="21"/>
  <c r="O834" i="21" s="1"/>
  <c r="K834" i="21"/>
  <c r="N834" i="21" s="1"/>
  <c r="L833" i="21"/>
  <c r="O833" i="21" s="1"/>
  <c r="K833" i="21"/>
  <c r="N833" i="21" s="1"/>
  <c r="L832" i="21"/>
  <c r="O832" i="21" s="1"/>
  <c r="K832" i="21"/>
  <c r="N832" i="21" s="1"/>
  <c r="O831" i="21"/>
  <c r="L831" i="21"/>
  <c r="K831" i="21"/>
  <c r="N831" i="21" s="1"/>
  <c r="L830" i="21"/>
  <c r="O830" i="21" s="1"/>
  <c r="K830" i="21"/>
  <c r="N830" i="21" s="1"/>
  <c r="L829" i="21"/>
  <c r="O829" i="21" s="1"/>
  <c r="K829" i="21"/>
  <c r="N829" i="21" s="1"/>
  <c r="L828" i="21"/>
  <c r="O828" i="21" s="1"/>
  <c r="K828" i="21"/>
  <c r="N828" i="21" s="1"/>
  <c r="O827" i="21"/>
  <c r="L827" i="21"/>
  <c r="K827" i="21"/>
  <c r="N827" i="21" s="1"/>
  <c r="L826" i="21"/>
  <c r="O826" i="21" s="1"/>
  <c r="K826" i="21"/>
  <c r="N826" i="21" s="1"/>
  <c r="L825" i="21"/>
  <c r="O825" i="21" s="1"/>
  <c r="K825" i="21"/>
  <c r="N825" i="21" s="1"/>
  <c r="L824" i="21"/>
  <c r="O824" i="21" s="1"/>
  <c r="K824" i="21"/>
  <c r="N824" i="21" s="1"/>
  <c r="L823" i="21"/>
  <c r="O823" i="21" s="1"/>
  <c r="K823" i="21"/>
  <c r="N823" i="21" s="1"/>
  <c r="L822" i="21"/>
  <c r="O822" i="21" s="1"/>
  <c r="K822" i="21"/>
  <c r="N822" i="21" s="1"/>
  <c r="L821" i="21"/>
  <c r="O821" i="21" s="1"/>
  <c r="K821" i="21"/>
  <c r="N821" i="21" s="1"/>
  <c r="L820" i="21"/>
  <c r="O820" i="21" s="1"/>
  <c r="K820" i="21"/>
  <c r="N820" i="21" s="1"/>
  <c r="O819" i="21"/>
  <c r="L819" i="21"/>
  <c r="K819" i="21"/>
  <c r="N819" i="21" s="1"/>
  <c r="L818" i="21"/>
  <c r="O818" i="21" s="1"/>
  <c r="K818" i="21"/>
  <c r="N818" i="21" s="1"/>
  <c r="L817" i="21"/>
  <c r="O817" i="21" s="1"/>
  <c r="K817" i="21"/>
  <c r="N817" i="21" s="1"/>
  <c r="J816" i="21"/>
  <c r="M816" i="21" s="1"/>
  <c r="J815" i="21"/>
  <c r="M815" i="21" s="1"/>
  <c r="J814" i="21"/>
  <c r="M814" i="21" s="1"/>
  <c r="J813" i="21"/>
  <c r="M813" i="21" s="1"/>
  <c r="J812" i="21"/>
  <c r="M812" i="21" s="1"/>
  <c r="J811" i="21"/>
  <c r="M811" i="21" s="1"/>
  <c r="J810" i="21"/>
  <c r="M810" i="21" s="1"/>
  <c r="J809" i="21"/>
  <c r="M809" i="21" s="1"/>
  <c r="J808" i="21"/>
  <c r="M808" i="21" s="1"/>
  <c r="J807" i="21"/>
  <c r="M807" i="21" s="1"/>
  <c r="M806" i="21"/>
  <c r="J806" i="21"/>
  <c r="J805" i="21"/>
  <c r="M805" i="21" s="1"/>
  <c r="J804" i="21"/>
  <c r="M804" i="21" s="1"/>
  <c r="J803" i="21"/>
  <c r="M803" i="21" s="1"/>
  <c r="J802" i="21"/>
  <c r="M802" i="21" s="1"/>
  <c r="J801" i="21"/>
  <c r="M801" i="21" s="1"/>
  <c r="J800" i="21"/>
  <c r="M800" i="21" s="1"/>
  <c r="J799" i="21"/>
  <c r="M799" i="21" s="1"/>
  <c r="J798" i="21"/>
  <c r="M798" i="21" s="1"/>
  <c r="J797" i="21"/>
  <c r="M797" i="21" s="1"/>
  <c r="J796" i="21"/>
  <c r="M796" i="21" s="1"/>
  <c r="J795" i="21"/>
  <c r="M795" i="21" s="1"/>
  <c r="J794" i="21"/>
  <c r="M794" i="21" s="1"/>
  <c r="J793" i="21"/>
  <c r="M793" i="21" s="1"/>
  <c r="J792" i="21"/>
  <c r="M792" i="21" s="1"/>
  <c r="J791" i="21"/>
  <c r="M791" i="21" s="1"/>
  <c r="M790" i="21"/>
  <c r="J790" i="21"/>
  <c r="J789" i="21"/>
  <c r="M789" i="21" s="1"/>
  <c r="J788" i="21"/>
  <c r="M788" i="21" s="1"/>
  <c r="J787" i="21"/>
  <c r="M787" i="21" s="1"/>
  <c r="J786" i="21"/>
  <c r="M786" i="21" s="1"/>
  <c r="J785" i="21"/>
  <c r="M785" i="21" s="1"/>
  <c r="J784" i="21"/>
  <c r="M784" i="21" s="1"/>
  <c r="J783" i="21"/>
  <c r="M783" i="21" s="1"/>
  <c r="J782" i="21"/>
  <c r="M782" i="21" s="1"/>
  <c r="J781" i="21"/>
  <c r="M781" i="21" s="1"/>
  <c r="J780" i="21"/>
  <c r="M780" i="21" s="1"/>
  <c r="J779" i="21"/>
  <c r="M779" i="21" s="1"/>
  <c r="J778" i="21"/>
  <c r="M778" i="21" s="1"/>
  <c r="J777" i="21"/>
  <c r="M777" i="21" s="1"/>
  <c r="M776" i="21"/>
  <c r="J776" i="21"/>
  <c r="J775" i="21"/>
  <c r="M775" i="21" s="1"/>
  <c r="J774" i="21"/>
  <c r="M774" i="21" s="1"/>
  <c r="J773" i="21"/>
  <c r="M773" i="21" s="1"/>
  <c r="J772" i="21"/>
  <c r="M772" i="21" s="1"/>
  <c r="J771" i="21"/>
  <c r="M771" i="21" s="1"/>
  <c r="J770" i="21"/>
  <c r="M770" i="21" s="1"/>
  <c r="J769" i="21"/>
  <c r="M769" i="21" s="1"/>
  <c r="J768" i="21"/>
  <c r="M768" i="21" s="1"/>
  <c r="J767" i="21"/>
  <c r="M767" i="21" s="1"/>
  <c r="M766" i="21"/>
  <c r="J766" i="21"/>
  <c r="J765" i="21"/>
  <c r="M765" i="21" s="1"/>
  <c r="J764" i="21"/>
  <c r="M764" i="21" s="1"/>
  <c r="J763" i="21"/>
  <c r="M763" i="21" s="1"/>
  <c r="J762" i="21"/>
  <c r="M762" i="21" s="1"/>
  <c r="J761" i="21"/>
  <c r="M761" i="21" s="1"/>
  <c r="J760" i="21"/>
  <c r="M760" i="21" s="1"/>
  <c r="J759" i="21"/>
  <c r="M759" i="21" s="1"/>
  <c r="M758" i="21"/>
  <c r="J758" i="21"/>
  <c r="J757" i="21"/>
  <c r="M757" i="21" s="1"/>
  <c r="J756" i="21"/>
  <c r="M756" i="21" s="1"/>
  <c r="J755" i="21"/>
  <c r="M755" i="21" s="1"/>
  <c r="J754" i="21"/>
  <c r="M754" i="21" s="1"/>
  <c r="J753" i="21"/>
  <c r="M753" i="21" s="1"/>
  <c r="J752" i="21"/>
  <c r="M752" i="21" s="1"/>
  <c r="J751" i="21"/>
  <c r="M751" i="21" s="1"/>
  <c r="J750" i="21"/>
  <c r="M750" i="21" s="1"/>
  <c r="J749" i="21"/>
  <c r="M749" i="21" s="1"/>
  <c r="M748" i="21"/>
  <c r="J748" i="21"/>
  <c r="J747" i="21"/>
  <c r="M747" i="21" s="1"/>
  <c r="J746" i="21"/>
  <c r="M746" i="21" s="1"/>
  <c r="J745" i="21"/>
  <c r="M745" i="21" s="1"/>
  <c r="J744" i="21"/>
  <c r="M744" i="21" s="1"/>
  <c r="J743" i="21"/>
  <c r="M743" i="21" s="1"/>
  <c r="J742" i="21"/>
  <c r="M742" i="21" s="1"/>
  <c r="J741" i="21"/>
  <c r="M741" i="21" s="1"/>
  <c r="J740" i="21"/>
  <c r="M740" i="21" s="1"/>
  <c r="J739" i="21"/>
  <c r="M739" i="21" s="1"/>
  <c r="L738" i="21"/>
  <c r="O738" i="21" s="1"/>
  <c r="K738" i="21"/>
  <c r="N738" i="21" s="1"/>
  <c r="O737" i="21"/>
  <c r="L737" i="21"/>
  <c r="K737" i="21"/>
  <c r="N737" i="21" s="1"/>
  <c r="L736" i="21"/>
  <c r="O736" i="21" s="1"/>
  <c r="K736" i="21"/>
  <c r="N736" i="21" s="1"/>
  <c r="L735" i="21"/>
  <c r="O735" i="21" s="1"/>
  <c r="K735" i="21"/>
  <c r="N735" i="21" s="1"/>
  <c r="L734" i="21"/>
  <c r="O734" i="21" s="1"/>
  <c r="K734" i="21"/>
  <c r="N734" i="21" s="1"/>
  <c r="O733" i="21"/>
  <c r="L733" i="21"/>
  <c r="K733" i="21"/>
  <c r="N733" i="21" s="1"/>
  <c r="L732" i="21"/>
  <c r="O732" i="21" s="1"/>
  <c r="K732" i="21"/>
  <c r="N732" i="21" s="1"/>
  <c r="N731" i="21"/>
  <c r="L731" i="21"/>
  <c r="O731" i="21" s="1"/>
  <c r="K731" i="21"/>
  <c r="L730" i="21"/>
  <c r="O730" i="21" s="1"/>
  <c r="K730" i="21"/>
  <c r="N730" i="21" s="1"/>
  <c r="O729" i="21"/>
  <c r="L729" i="21"/>
  <c r="K729" i="21"/>
  <c r="N729" i="21" s="1"/>
  <c r="L728" i="21"/>
  <c r="O728" i="21" s="1"/>
  <c r="K728" i="21"/>
  <c r="N728" i="21" s="1"/>
  <c r="L727" i="21"/>
  <c r="O727" i="21" s="1"/>
  <c r="K727" i="21"/>
  <c r="N727" i="21" s="1"/>
  <c r="L726" i="21"/>
  <c r="O726" i="21" s="1"/>
  <c r="K726" i="21"/>
  <c r="N726" i="21" s="1"/>
  <c r="O725" i="21"/>
  <c r="L725" i="21"/>
  <c r="K725" i="21"/>
  <c r="N725" i="21" s="1"/>
  <c r="L724" i="21"/>
  <c r="O724" i="21" s="1"/>
  <c r="K724" i="21"/>
  <c r="N724" i="21" s="1"/>
  <c r="N723" i="21"/>
  <c r="L723" i="21"/>
  <c r="O723" i="21" s="1"/>
  <c r="K723" i="21"/>
  <c r="L722" i="21"/>
  <c r="O722" i="21" s="1"/>
  <c r="K722" i="21"/>
  <c r="N722" i="21" s="1"/>
  <c r="O721" i="21"/>
  <c r="L721" i="21"/>
  <c r="K721" i="21"/>
  <c r="N721" i="21" s="1"/>
  <c r="L720" i="21"/>
  <c r="O720" i="21" s="1"/>
  <c r="K720" i="21"/>
  <c r="N720" i="21" s="1"/>
  <c r="L719" i="21"/>
  <c r="O719" i="21" s="1"/>
  <c r="K719" i="21"/>
  <c r="N719" i="21" s="1"/>
  <c r="L718" i="21"/>
  <c r="O718" i="21" s="1"/>
  <c r="K718" i="21"/>
  <c r="N718" i="21" s="1"/>
  <c r="O717" i="21"/>
  <c r="L717" i="21"/>
  <c r="K717" i="21"/>
  <c r="N717" i="21" s="1"/>
  <c r="L716" i="21"/>
  <c r="O716" i="21" s="1"/>
  <c r="K716" i="21"/>
  <c r="N716" i="21" s="1"/>
  <c r="N715" i="21"/>
  <c r="L715" i="21"/>
  <c r="O715" i="21" s="1"/>
  <c r="K715" i="21"/>
  <c r="L714" i="21"/>
  <c r="O714" i="21" s="1"/>
  <c r="K714" i="21"/>
  <c r="N714" i="21" s="1"/>
  <c r="O713" i="21"/>
  <c r="L713" i="21"/>
  <c r="K713" i="21"/>
  <c r="N713" i="21" s="1"/>
  <c r="L712" i="21"/>
  <c r="O712" i="21" s="1"/>
  <c r="K712" i="21"/>
  <c r="N712" i="21" s="1"/>
  <c r="L711" i="21"/>
  <c r="O711" i="21" s="1"/>
  <c r="K711" i="21"/>
  <c r="N711" i="21" s="1"/>
  <c r="L710" i="21"/>
  <c r="O710" i="21" s="1"/>
  <c r="K710" i="21"/>
  <c r="N710" i="21" s="1"/>
  <c r="O709" i="21"/>
  <c r="L709" i="21"/>
  <c r="K709" i="21"/>
  <c r="N709" i="21" s="1"/>
  <c r="L708" i="21"/>
  <c r="O708" i="21" s="1"/>
  <c r="K708" i="21"/>
  <c r="N708" i="21" s="1"/>
  <c r="N707" i="21"/>
  <c r="L707" i="21"/>
  <c r="O707" i="21" s="1"/>
  <c r="K707" i="21"/>
  <c r="L706" i="21"/>
  <c r="O706" i="21" s="1"/>
  <c r="K706" i="21"/>
  <c r="N706" i="21" s="1"/>
  <c r="O705" i="21"/>
  <c r="L705" i="21"/>
  <c r="K705" i="21"/>
  <c r="N705" i="21" s="1"/>
  <c r="L704" i="21"/>
  <c r="O704" i="21" s="1"/>
  <c r="K704" i="21"/>
  <c r="N704" i="21" s="1"/>
  <c r="L703" i="21"/>
  <c r="O703" i="21" s="1"/>
  <c r="K703" i="21"/>
  <c r="N703" i="21" s="1"/>
  <c r="L702" i="21"/>
  <c r="O702" i="21" s="1"/>
  <c r="K702" i="21"/>
  <c r="N702" i="21" s="1"/>
  <c r="O701" i="21"/>
  <c r="L701" i="21"/>
  <c r="K701" i="21"/>
  <c r="N701" i="21" s="1"/>
  <c r="J700" i="21"/>
  <c r="M700" i="21" s="1"/>
  <c r="J699" i="21"/>
  <c r="M699" i="21" s="1"/>
  <c r="M698" i="21"/>
  <c r="J698" i="21"/>
  <c r="J697" i="21"/>
  <c r="M697" i="21" s="1"/>
  <c r="J696" i="21"/>
  <c r="M696" i="21" s="1"/>
  <c r="J695" i="21"/>
  <c r="M695" i="21" s="1"/>
  <c r="J694" i="21"/>
  <c r="M694" i="21" s="1"/>
  <c r="J693" i="21"/>
  <c r="M693" i="21" s="1"/>
  <c r="J692" i="21"/>
  <c r="M692" i="21" s="1"/>
  <c r="J691" i="21"/>
  <c r="M691" i="21" s="1"/>
  <c r="J690" i="21"/>
  <c r="M690" i="21" s="1"/>
  <c r="J689" i="21"/>
  <c r="M689" i="21" s="1"/>
  <c r="J688" i="21"/>
  <c r="M688" i="21" s="1"/>
  <c r="J687" i="21"/>
  <c r="M687" i="21" s="1"/>
  <c r="J686" i="21"/>
  <c r="M686" i="21" s="1"/>
  <c r="J685" i="21"/>
  <c r="M685" i="21" s="1"/>
  <c r="M684" i="21"/>
  <c r="J684" i="21"/>
  <c r="J683" i="21"/>
  <c r="M683" i="21" s="1"/>
  <c r="J682" i="21"/>
  <c r="M682" i="21" s="1"/>
  <c r="J681" i="21"/>
  <c r="M681" i="21" s="1"/>
  <c r="J680" i="21"/>
  <c r="M680" i="21" s="1"/>
  <c r="J679" i="21"/>
  <c r="M679" i="21" s="1"/>
  <c r="J678" i="21"/>
  <c r="M678" i="21" s="1"/>
  <c r="J677" i="21"/>
  <c r="M677" i="21" s="1"/>
  <c r="M676" i="21"/>
  <c r="J676" i="21"/>
  <c r="J675" i="21"/>
  <c r="M675" i="21" s="1"/>
  <c r="J674" i="21"/>
  <c r="M674" i="21" s="1"/>
  <c r="J673" i="21"/>
  <c r="M673" i="21" s="1"/>
  <c r="J672" i="21"/>
  <c r="M672" i="21" s="1"/>
  <c r="J671" i="21"/>
  <c r="M671" i="21" s="1"/>
  <c r="J670" i="21"/>
  <c r="M670" i="21" s="1"/>
  <c r="J669" i="21"/>
  <c r="M669" i="21" s="1"/>
  <c r="J668" i="21"/>
  <c r="M668" i="21" s="1"/>
  <c r="J667" i="21"/>
  <c r="M667" i="21" s="1"/>
  <c r="M666" i="21"/>
  <c r="J666" i="21"/>
  <c r="J665" i="21"/>
  <c r="M665" i="21" s="1"/>
  <c r="J664" i="21"/>
  <c r="M664" i="21" s="1"/>
  <c r="J663" i="21"/>
  <c r="M663" i="21" s="1"/>
  <c r="J662" i="21"/>
  <c r="M662" i="21" s="1"/>
  <c r="J661" i="21"/>
  <c r="M661" i="21" s="1"/>
  <c r="J660" i="21"/>
  <c r="M660" i="21" s="1"/>
  <c r="J659" i="21"/>
  <c r="M659" i="21" s="1"/>
  <c r="M658" i="21"/>
  <c r="J658" i="21"/>
  <c r="L657" i="21"/>
  <c r="O657" i="21" s="1"/>
  <c r="J657" i="21"/>
  <c r="M657" i="21" s="1"/>
  <c r="L656" i="21"/>
  <c r="O656" i="21" s="1"/>
  <c r="J656" i="21"/>
  <c r="M656" i="21" s="1"/>
  <c r="L655" i="21"/>
  <c r="O655" i="21" s="1"/>
  <c r="J655" i="21"/>
  <c r="M655" i="21" s="1"/>
  <c r="L654" i="21"/>
  <c r="O654" i="21" s="1"/>
  <c r="J654" i="21"/>
  <c r="M654" i="21" s="1"/>
  <c r="L653" i="21"/>
  <c r="O653" i="21" s="1"/>
  <c r="J653" i="21"/>
  <c r="M653" i="21" s="1"/>
  <c r="L652" i="21"/>
  <c r="O652" i="21" s="1"/>
  <c r="J652" i="21"/>
  <c r="M652" i="21" s="1"/>
  <c r="L651" i="21"/>
  <c r="O651" i="21" s="1"/>
  <c r="J651" i="21"/>
  <c r="M651" i="21" s="1"/>
  <c r="L650" i="21"/>
  <c r="O650" i="21" s="1"/>
  <c r="J650" i="21"/>
  <c r="M650" i="21" s="1"/>
  <c r="L649" i="21"/>
  <c r="O649" i="21" s="1"/>
  <c r="J649" i="21"/>
  <c r="M649" i="21" s="1"/>
  <c r="M648" i="21"/>
  <c r="L648" i="21"/>
  <c r="O648" i="21" s="1"/>
  <c r="J648" i="21"/>
  <c r="L647" i="21"/>
  <c r="O647" i="21" s="1"/>
  <c r="J647" i="21"/>
  <c r="M647" i="21" s="1"/>
  <c r="L646" i="21"/>
  <c r="O646" i="21" s="1"/>
  <c r="J646" i="21"/>
  <c r="M646" i="21" s="1"/>
  <c r="L645" i="21"/>
  <c r="O645" i="21" s="1"/>
  <c r="K645" i="21"/>
  <c r="N645" i="21" s="1"/>
  <c r="L644" i="21"/>
  <c r="O644" i="21" s="1"/>
  <c r="K644" i="21"/>
  <c r="N644" i="21" s="1"/>
  <c r="O643" i="21"/>
  <c r="L643" i="21"/>
  <c r="K643" i="21"/>
  <c r="N643" i="21" s="1"/>
  <c r="N642" i="21"/>
  <c r="L642" i="21"/>
  <c r="O642" i="21" s="1"/>
  <c r="K642" i="21"/>
  <c r="O641" i="21"/>
  <c r="N641" i="21"/>
  <c r="L641" i="21"/>
  <c r="K641" i="21"/>
  <c r="N640" i="21"/>
  <c r="L640" i="21"/>
  <c r="O640" i="21" s="1"/>
  <c r="K640" i="21"/>
  <c r="L639" i="21"/>
  <c r="O639" i="21" s="1"/>
  <c r="K639" i="21"/>
  <c r="N639" i="21" s="1"/>
  <c r="L638" i="21"/>
  <c r="O638" i="21" s="1"/>
  <c r="K638" i="21"/>
  <c r="N638" i="21" s="1"/>
  <c r="L637" i="21"/>
  <c r="O637" i="21" s="1"/>
  <c r="K637" i="21"/>
  <c r="N637" i="21" s="1"/>
  <c r="L636" i="21"/>
  <c r="O636" i="21" s="1"/>
  <c r="K636" i="21"/>
  <c r="N636" i="21" s="1"/>
  <c r="O635" i="21"/>
  <c r="L635" i="21"/>
  <c r="K635" i="21"/>
  <c r="N635" i="21" s="1"/>
  <c r="L634" i="21"/>
  <c r="O634" i="21" s="1"/>
  <c r="K634" i="21"/>
  <c r="N634" i="21" s="1"/>
  <c r="O633" i="21"/>
  <c r="L633" i="21"/>
  <c r="J633" i="21"/>
  <c r="M633" i="21" s="1"/>
  <c r="L632" i="21"/>
  <c r="O632" i="21" s="1"/>
  <c r="J632" i="21"/>
  <c r="M632" i="21" s="1"/>
  <c r="L631" i="21"/>
  <c r="O631" i="21" s="1"/>
  <c r="J631" i="21"/>
  <c r="M631" i="21" s="1"/>
  <c r="M630" i="21"/>
  <c r="L630" i="21"/>
  <c r="O630" i="21" s="1"/>
  <c r="J630" i="21"/>
  <c r="O629" i="21"/>
  <c r="L629" i="21"/>
  <c r="J629" i="21"/>
  <c r="M629" i="21" s="1"/>
  <c r="L628" i="21"/>
  <c r="O628" i="21" s="1"/>
  <c r="J628" i="21"/>
  <c r="M628" i="21" s="1"/>
  <c r="L627" i="21"/>
  <c r="O627" i="21" s="1"/>
  <c r="J627" i="21"/>
  <c r="M627" i="21" s="1"/>
  <c r="L626" i="21"/>
  <c r="O626" i="21" s="1"/>
  <c r="J626" i="21"/>
  <c r="M626" i="21" s="1"/>
  <c r="O625" i="21"/>
  <c r="L625" i="21"/>
  <c r="J625" i="21"/>
  <c r="M625" i="21" s="1"/>
  <c r="L624" i="21"/>
  <c r="O624" i="21" s="1"/>
  <c r="J624" i="21"/>
  <c r="M624" i="21" s="1"/>
  <c r="L623" i="21"/>
  <c r="O623" i="21" s="1"/>
  <c r="J623" i="21"/>
  <c r="M623" i="21" s="1"/>
  <c r="M622" i="21"/>
  <c r="L622" i="21"/>
  <c r="O622" i="21" s="1"/>
  <c r="J622" i="21"/>
  <c r="J621" i="21"/>
  <c r="M621" i="21" s="1"/>
  <c r="J620" i="21"/>
  <c r="M620" i="21" s="1"/>
  <c r="J619" i="21"/>
  <c r="M619" i="21" s="1"/>
  <c r="M618" i="21"/>
  <c r="J618" i="21"/>
  <c r="J617" i="21"/>
  <c r="M617" i="21" s="1"/>
  <c r="J616" i="21"/>
  <c r="M616" i="21" s="1"/>
  <c r="J615" i="21"/>
  <c r="M615" i="21" s="1"/>
  <c r="J614" i="21"/>
  <c r="M614" i="21" s="1"/>
  <c r="J613" i="21"/>
  <c r="M613" i="21" s="1"/>
  <c r="J612" i="21"/>
  <c r="M612" i="21" s="1"/>
  <c r="J611" i="21"/>
  <c r="M611" i="21" s="1"/>
  <c r="M610" i="21"/>
  <c r="J610" i="21"/>
  <c r="L609" i="21"/>
  <c r="O609" i="21" s="1"/>
  <c r="K609" i="21"/>
  <c r="N609" i="21" s="1"/>
  <c r="L608" i="21"/>
  <c r="O608" i="21" s="1"/>
  <c r="K608" i="21"/>
  <c r="N608" i="21" s="1"/>
  <c r="O607" i="21"/>
  <c r="L607" i="21"/>
  <c r="K607" i="21"/>
  <c r="N607" i="21" s="1"/>
  <c r="L606" i="21"/>
  <c r="O606" i="21" s="1"/>
  <c r="K606" i="21"/>
  <c r="N606" i="21" s="1"/>
  <c r="O605" i="21"/>
  <c r="L605" i="21"/>
  <c r="K605" i="21"/>
  <c r="N605" i="21" s="1"/>
  <c r="N604" i="21"/>
  <c r="L604" i="21"/>
  <c r="O604" i="21" s="1"/>
  <c r="K604" i="21"/>
  <c r="N603" i="21"/>
  <c r="L603" i="21"/>
  <c r="O603" i="21" s="1"/>
  <c r="K603" i="21"/>
  <c r="L602" i="21"/>
  <c r="O602" i="21" s="1"/>
  <c r="K602" i="21"/>
  <c r="N602" i="21" s="1"/>
  <c r="L601" i="21"/>
  <c r="O601" i="21" s="1"/>
  <c r="K601" i="21"/>
  <c r="N601" i="21" s="1"/>
  <c r="L600" i="21"/>
  <c r="O600" i="21" s="1"/>
  <c r="K600" i="21"/>
  <c r="N600" i="21" s="1"/>
  <c r="O599" i="21"/>
  <c r="L599" i="21"/>
  <c r="K599" i="21"/>
  <c r="N599" i="21" s="1"/>
  <c r="N598" i="21"/>
  <c r="L598" i="21"/>
  <c r="O598" i="21" s="1"/>
  <c r="K598" i="21"/>
  <c r="J597" i="21"/>
  <c r="M597" i="21" s="1"/>
  <c r="J596" i="21"/>
  <c r="M596" i="21" s="1"/>
  <c r="J595" i="21"/>
  <c r="M595" i="21" s="1"/>
  <c r="M594" i="21"/>
  <c r="J594" i="21"/>
  <c r="J593" i="21"/>
  <c r="M593" i="21" s="1"/>
  <c r="J592" i="21"/>
  <c r="M592" i="21" s="1"/>
  <c r="J591" i="21"/>
  <c r="M591" i="21" s="1"/>
  <c r="J590" i="21"/>
  <c r="M590" i="21" s="1"/>
  <c r="J589" i="21"/>
  <c r="M589" i="21" s="1"/>
  <c r="J588" i="21"/>
  <c r="M588" i="21" s="1"/>
  <c r="J587" i="21"/>
  <c r="M587" i="21" s="1"/>
  <c r="M586" i="21"/>
  <c r="J586" i="21"/>
  <c r="J585" i="21"/>
  <c r="M585" i="21" s="1"/>
  <c r="J584" i="21"/>
  <c r="M584" i="21" s="1"/>
  <c r="J583" i="21"/>
  <c r="M583" i="21" s="1"/>
  <c r="J582" i="21"/>
  <c r="M582" i="21" s="1"/>
  <c r="J581" i="21"/>
  <c r="M581" i="21" s="1"/>
  <c r="J580" i="21"/>
  <c r="M580" i="21" s="1"/>
  <c r="J579" i="21"/>
  <c r="M579" i="21" s="1"/>
  <c r="M578" i="21"/>
  <c r="J578" i="21"/>
  <c r="J577" i="21"/>
  <c r="M577" i="21" s="1"/>
  <c r="J576" i="21"/>
  <c r="M576" i="21" s="1"/>
  <c r="J575" i="21"/>
  <c r="M575" i="21" s="1"/>
  <c r="J574" i="21"/>
  <c r="M574" i="21" s="1"/>
  <c r="J573" i="21"/>
  <c r="M573" i="21" s="1"/>
  <c r="J572" i="21"/>
  <c r="M572" i="21" s="1"/>
  <c r="J571" i="21"/>
  <c r="M571" i="21" s="1"/>
  <c r="M570" i="21"/>
  <c r="J570" i="21"/>
  <c r="J569" i="21"/>
  <c r="M569" i="21" s="1"/>
  <c r="J568" i="21"/>
  <c r="M568" i="21" s="1"/>
  <c r="J567" i="21"/>
  <c r="M567" i="21" s="1"/>
  <c r="J566" i="21"/>
  <c r="M566" i="21" s="1"/>
  <c r="J565" i="21"/>
  <c r="M565" i="21" s="1"/>
  <c r="J564" i="21"/>
  <c r="M564" i="21" s="1"/>
  <c r="J563" i="21"/>
  <c r="M563" i="21" s="1"/>
  <c r="M562" i="21"/>
  <c r="J562" i="21"/>
  <c r="J561" i="21"/>
  <c r="M561" i="21" s="1"/>
  <c r="J560" i="21"/>
  <c r="M560" i="21" s="1"/>
  <c r="J559" i="21"/>
  <c r="M559" i="21" s="1"/>
  <c r="J558" i="21"/>
  <c r="M558" i="21" s="1"/>
  <c r="J557" i="21"/>
  <c r="M557" i="21" s="1"/>
  <c r="J556" i="21"/>
  <c r="M556" i="21" s="1"/>
  <c r="J555" i="21"/>
  <c r="M555" i="21" s="1"/>
  <c r="M554" i="21"/>
  <c r="J554" i="21"/>
  <c r="J553" i="21"/>
  <c r="M553" i="21" s="1"/>
  <c r="J552" i="21"/>
  <c r="M552" i="21" s="1"/>
  <c r="J551" i="21"/>
  <c r="M551" i="21" s="1"/>
  <c r="J550" i="21"/>
  <c r="M550" i="21" s="1"/>
  <c r="J549" i="21"/>
  <c r="M549" i="21" s="1"/>
  <c r="J548" i="21"/>
  <c r="M548" i="21" s="1"/>
  <c r="J547" i="21"/>
  <c r="M547" i="21" s="1"/>
  <c r="M546" i="21"/>
  <c r="J546" i="21"/>
  <c r="J545" i="21"/>
  <c r="M545" i="21" s="1"/>
  <c r="J544" i="21"/>
  <c r="M544" i="21" s="1"/>
  <c r="O543" i="21"/>
  <c r="L543" i="21"/>
  <c r="K543" i="21"/>
  <c r="N543" i="21" s="1"/>
  <c r="L542" i="21"/>
  <c r="O542" i="21" s="1"/>
  <c r="K542" i="21"/>
  <c r="N542" i="21" s="1"/>
  <c r="L541" i="21"/>
  <c r="O541" i="21" s="1"/>
  <c r="K541" i="21"/>
  <c r="N541" i="21" s="1"/>
  <c r="L540" i="21"/>
  <c r="O540" i="21" s="1"/>
  <c r="K540" i="21"/>
  <c r="N540" i="21" s="1"/>
  <c r="N539" i="21"/>
  <c r="L539" i="21"/>
  <c r="O539" i="21" s="1"/>
  <c r="K539" i="21"/>
  <c r="L538" i="21"/>
  <c r="O538" i="21" s="1"/>
  <c r="K538" i="21"/>
  <c r="N538" i="21" s="1"/>
  <c r="L537" i="21"/>
  <c r="O537" i="21" s="1"/>
  <c r="K537" i="21"/>
  <c r="N537" i="21" s="1"/>
  <c r="L536" i="21"/>
  <c r="O536" i="21" s="1"/>
  <c r="K536" i="21"/>
  <c r="N536" i="21" s="1"/>
  <c r="O535" i="21"/>
  <c r="L535" i="21"/>
  <c r="K535" i="21"/>
  <c r="N535" i="21" s="1"/>
  <c r="N534" i="21"/>
  <c r="L534" i="21"/>
  <c r="O534" i="21" s="1"/>
  <c r="K534" i="21"/>
  <c r="O533" i="21"/>
  <c r="N533" i="21"/>
  <c r="L533" i="21"/>
  <c r="K533" i="21"/>
  <c r="N532" i="21"/>
  <c r="L532" i="21"/>
  <c r="O532" i="21" s="1"/>
  <c r="K532" i="21"/>
  <c r="L531" i="21"/>
  <c r="O531" i="21" s="1"/>
  <c r="K531" i="21"/>
  <c r="N531" i="21" s="1"/>
  <c r="L530" i="21"/>
  <c r="O530" i="21" s="1"/>
  <c r="K530" i="21"/>
  <c r="N530" i="21" s="1"/>
  <c r="L529" i="21"/>
  <c r="O529" i="21" s="1"/>
  <c r="K529" i="21"/>
  <c r="N529" i="21" s="1"/>
  <c r="L528" i="21"/>
  <c r="O528" i="21" s="1"/>
  <c r="K528" i="21"/>
  <c r="N528" i="21" s="1"/>
  <c r="O527" i="21"/>
  <c r="L527" i="21"/>
  <c r="K527" i="21"/>
  <c r="N527" i="21" s="1"/>
  <c r="L526" i="21"/>
  <c r="O526" i="21" s="1"/>
  <c r="K526" i="21"/>
  <c r="N526" i="21" s="1"/>
  <c r="O525" i="21"/>
  <c r="L525" i="21"/>
  <c r="K525" i="21"/>
  <c r="N525" i="21" s="1"/>
  <c r="N524" i="21"/>
  <c r="L524" i="21"/>
  <c r="O524" i="21" s="1"/>
  <c r="K524" i="21"/>
  <c r="N523" i="21"/>
  <c r="L523" i="21"/>
  <c r="O523" i="21" s="1"/>
  <c r="K523" i="21"/>
  <c r="L522" i="21"/>
  <c r="O522" i="21" s="1"/>
  <c r="K522" i="21"/>
  <c r="N522" i="21" s="1"/>
  <c r="L521" i="21"/>
  <c r="O521" i="21" s="1"/>
  <c r="K521" i="21"/>
  <c r="N521" i="21" s="1"/>
  <c r="L520" i="21"/>
  <c r="O520" i="21" s="1"/>
  <c r="K520" i="21"/>
  <c r="N520" i="21" s="1"/>
  <c r="O519" i="21"/>
  <c r="L519" i="21"/>
  <c r="K519" i="21"/>
  <c r="N519" i="21" s="1"/>
  <c r="N518" i="21"/>
  <c r="L518" i="21"/>
  <c r="O518" i="21" s="1"/>
  <c r="K518" i="21"/>
  <c r="N517" i="21"/>
  <c r="L517" i="21"/>
  <c r="O517" i="21" s="1"/>
  <c r="K517" i="21"/>
  <c r="L516" i="21"/>
  <c r="O516" i="21" s="1"/>
  <c r="K516" i="21"/>
  <c r="N516" i="21" s="1"/>
  <c r="L515" i="21"/>
  <c r="O515" i="21" s="1"/>
  <c r="K515" i="21"/>
  <c r="N515" i="21" s="1"/>
  <c r="L514" i="21"/>
  <c r="O514" i="21" s="1"/>
  <c r="K514" i="21"/>
  <c r="N514" i="21" s="1"/>
  <c r="L513" i="21"/>
  <c r="O513" i="21" s="1"/>
  <c r="K513" i="21"/>
  <c r="N513" i="21" s="1"/>
  <c r="L512" i="21"/>
  <c r="O512" i="21" s="1"/>
  <c r="K512" i="21"/>
  <c r="N512" i="21" s="1"/>
  <c r="N511" i="21"/>
  <c r="L511" i="21"/>
  <c r="O511" i="21" s="1"/>
  <c r="K511" i="21"/>
  <c r="L510" i="21"/>
  <c r="O510" i="21" s="1"/>
  <c r="K510" i="21"/>
  <c r="N510" i="21" s="1"/>
  <c r="L509" i="21"/>
  <c r="O509" i="21" s="1"/>
  <c r="K509" i="21"/>
  <c r="N509" i="21" s="1"/>
  <c r="N508" i="21"/>
  <c r="L508" i="21"/>
  <c r="O508" i="21" s="1"/>
  <c r="K508" i="21"/>
  <c r="L507" i="21"/>
  <c r="O507" i="21" s="1"/>
  <c r="K507" i="21"/>
  <c r="N507" i="21" s="1"/>
  <c r="L506" i="21"/>
  <c r="O506" i="21" s="1"/>
  <c r="K506" i="21"/>
  <c r="N506" i="21" s="1"/>
  <c r="J505" i="21"/>
  <c r="M505" i="21" s="1"/>
  <c r="J504" i="21"/>
  <c r="M504" i="21" s="1"/>
  <c r="J503" i="21"/>
  <c r="M503" i="21" s="1"/>
  <c r="J502" i="21"/>
  <c r="M502" i="21" s="1"/>
  <c r="J501" i="21"/>
  <c r="M501" i="21" s="1"/>
  <c r="M500" i="21"/>
  <c r="J500" i="21"/>
  <c r="J499" i="21"/>
  <c r="M499" i="21" s="1"/>
  <c r="J498" i="21"/>
  <c r="M498" i="21" s="1"/>
  <c r="J497" i="21"/>
  <c r="M497" i="21" s="1"/>
  <c r="J496" i="21"/>
  <c r="M496" i="21" s="1"/>
  <c r="J495" i="21"/>
  <c r="M495" i="21" s="1"/>
  <c r="J494" i="21"/>
  <c r="M494" i="21" s="1"/>
  <c r="J493" i="21"/>
  <c r="M493" i="21" s="1"/>
  <c r="J492" i="21"/>
  <c r="M492" i="21" s="1"/>
  <c r="J491" i="21"/>
  <c r="M491" i="21" s="1"/>
  <c r="J490" i="21"/>
  <c r="M490" i="21" s="1"/>
  <c r="J489" i="21"/>
  <c r="M489" i="21" s="1"/>
  <c r="J488" i="21"/>
  <c r="M488" i="21" s="1"/>
  <c r="J487" i="21"/>
  <c r="M487" i="21" s="1"/>
  <c r="J486" i="21"/>
  <c r="M486" i="21" s="1"/>
  <c r="J485" i="21"/>
  <c r="M485" i="21" s="1"/>
  <c r="J484" i="21"/>
  <c r="M484" i="21" s="1"/>
  <c r="J483" i="21"/>
  <c r="M483" i="21" s="1"/>
  <c r="J482" i="21"/>
  <c r="M482" i="21" s="1"/>
  <c r="J481" i="21"/>
  <c r="M481" i="21" s="1"/>
  <c r="J480" i="21"/>
  <c r="M480" i="21" s="1"/>
  <c r="J479" i="21"/>
  <c r="M479" i="21" s="1"/>
  <c r="J478" i="21"/>
  <c r="M478" i="21" s="1"/>
  <c r="J477" i="21"/>
  <c r="M477" i="21" s="1"/>
  <c r="J476" i="21"/>
  <c r="M476" i="21" s="1"/>
  <c r="J475" i="21"/>
  <c r="M475" i="21" s="1"/>
  <c r="J474" i="21"/>
  <c r="M474" i="21" s="1"/>
  <c r="J473" i="21"/>
  <c r="M473" i="21" s="1"/>
  <c r="J472" i="21"/>
  <c r="M472" i="21" s="1"/>
  <c r="J471" i="21"/>
  <c r="M471" i="21" s="1"/>
  <c r="J470" i="21"/>
  <c r="M470" i="21" s="1"/>
  <c r="J469" i="21"/>
  <c r="M469" i="21" s="1"/>
  <c r="J468" i="21"/>
  <c r="M468" i="21" s="1"/>
  <c r="J467" i="21"/>
  <c r="M467" i="21" s="1"/>
  <c r="J466" i="21"/>
  <c r="M466" i="21" s="1"/>
  <c r="J465" i="21"/>
  <c r="M465" i="21" s="1"/>
  <c r="J464" i="21"/>
  <c r="M464" i="21" s="1"/>
  <c r="J463" i="21"/>
  <c r="M463" i="21" s="1"/>
  <c r="J462" i="21"/>
  <c r="M462" i="21" s="1"/>
  <c r="L255" i="21"/>
  <c r="O255" i="21" s="1"/>
  <c r="L254" i="21"/>
  <c r="O254" i="21" s="1"/>
  <c r="L253" i="21"/>
  <c r="O253" i="21" s="1"/>
  <c r="L252" i="21"/>
  <c r="O252" i="21" s="1"/>
  <c r="L251" i="21"/>
  <c r="O251" i="21" s="1"/>
  <c r="L250" i="21"/>
  <c r="O250" i="21" s="1"/>
  <c r="L249" i="21"/>
  <c r="O249" i="21" s="1"/>
  <c r="L248" i="21"/>
  <c r="O248" i="21" s="1"/>
  <c r="L247" i="21"/>
  <c r="O247" i="21" s="1"/>
  <c r="L246" i="21"/>
  <c r="O246" i="21" s="1"/>
  <c r="L245" i="21"/>
  <c r="O245" i="21" s="1"/>
  <c r="L244" i="21"/>
  <c r="O244" i="21" s="1"/>
  <c r="L243" i="21"/>
  <c r="O243" i="21" s="1"/>
  <c r="J243" i="21"/>
  <c r="M243" i="21" s="1"/>
  <c r="L242" i="21"/>
  <c r="O242" i="21" s="1"/>
  <c r="J242" i="21"/>
  <c r="M242" i="21" s="1"/>
  <c r="L241" i="21"/>
  <c r="O241" i="21" s="1"/>
  <c r="J241" i="21"/>
  <c r="M241" i="21" s="1"/>
  <c r="L240" i="21"/>
  <c r="O240" i="21" s="1"/>
  <c r="J240" i="21"/>
  <c r="M240" i="21" s="1"/>
  <c r="L239" i="21"/>
  <c r="O239" i="21" s="1"/>
  <c r="J239" i="21"/>
  <c r="M239" i="21" s="1"/>
  <c r="L238" i="21"/>
  <c r="O238" i="21" s="1"/>
  <c r="J238" i="21"/>
  <c r="M238" i="21" s="1"/>
  <c r="L237" i="21"/>
  <c r="O237" i="21" s="1"/>
  <c r="J237" i="21"/>
  <c r="M237" i="21" s="1"/>
  <c r="L236" i="21"/>
  <c r="O236" i="21" s="1"/>
  <c r="J236" i="21"/>
  <c r="M236" i="21" s="1"/>
  <c r="L235" i="21"/>
  <c r="O235" i="21" s="1"/>
  <c r="J235" i="21"/>
  <c r="M235" i="21" s="1"/>
  <c r="L234" i="21"/>
  <c r="O234" i="21" s="1"/>
  <c r="J234" i="21"/>
  <c r="M234" i="21" s="1"/>
  <c r="L233" i="21"/>
  <c r="O233" i="21" s="1"/>
  <c r="J233" i="21"/>
  <c r="M233" i="21" s="1"/>
  <c r="L232" i="21"/>
  <c r="O232" i="21" s="1"/>
  <c r="J232" i="21"/>
  <c r="M232" i="21" s="1"/>
  <c r="L231" i="21"/>
  <c r="O231" i="21" s="1"/>
  <c r="L230" i="21"/>
  <c r="O230" i="21" s="1"/>
  <c r="L229" i="21"/>
  <c r="O229" i="21" s="1"/>
  <c r="L228" i="21"/>
  <c r="O228" i="21" s="1"/>
  <c r="L227" i="21"/>
  <c r="O227" i="21" s="1"/>
  <c r="L226" i="21"/>
  <c r="O226" i="21" s="1"/>
  <c r="L225" i="21"/>
  <c r="O225" i="21" s="1"/>
  <c r="L224" i="21"/>
  <c r="O224" i="21" s="1"/>
  <c r="L223" i="21"/>
  <c r="O223" i="21" s="1"/>
  <c r="L222" i="21"/>
  <c r="O222" i="21" s="1"/>
  <c r="L221" i="21"/>
  <c r="O221" i="21" s="1"/>
  <c r="L220" i="21"/>
  <c r="O220" i="21" s="1"/>
  <c r="O166" i="21"/>
  <c r="O165" i="21"/>
  <c r="O164" i="21"/>
  <c r="O163" i="21"/>
  <c r="N163" i="21"/>
  <c r="O162" i="21"/>
  <c r="O161" i="21"/>
  <c r="N161" i="21"/>
  <c r="O160" i="21"/>
  <c r="O159" i="21"/>
  <c r="N159" i="21"/>
  <c r="O158" i="21"/>
  <c r="O157" i="21"/>
  <c r="O156" i="21"/>
  <c r="O155" i="21"/>
  <c r="N155" i="21"/>
  <c r="M154" i="21"/>
  <c r="M152" i="21"/>
  <c r="M151" i="21"/>
  <c r="M150" i="21"/>
  <c r="M148" i="21"/>
  <c r="M147" i="21"/>
  <c r="M146" i="21"/>
  <c r="N145" i="21"/>
  <c r="N144" i="21"/>
  <c r="N143" i="21"/>
  <c r="O142" i="21"/>
  <c r="N142" i="21"/>
  <c r="N141" i="21"/>
  <c r="O140" i="21"/>
  <c r="N140" i="21"/>
  <c r="N139" i="21"/>
  <c r="O138" i="21"/>
  <c r="N138" i="21"/>
  <c r="N137" i="21"/>
  <c r="M135" i="21"/>
  <c r="M133" i="21"/>
  <c r="M132" i="21"/>
  <c r="M131" i="21"/>
  <c r="M129" i="21"/>
  <c r="M128" i="21"/>
  <c r="M127" i="21"/>
  <c r="M125" i="21"/>
  <c r="M124" i="21"/>
  <c r="M123" i="21"/>
  <c r="O121" i="21"/>
  <c r="O120" i="21"/>
  <c r="O119" i="21"/>
  <c r="N119" i="21"/>
  <c r="O118" i="21"/>
  <c r="O117" i="21"/>
  <c r="N117" i="21"/>
  <c r="O116" i="21"/>
  <c r="M115" i="21"/>
  <c r="M114" i="21"/>
  <c r="M113" i="21"/>
  <c r="M111" i="21"/>
  <c r="M109" i="21"/>
  <c r="M107" i="21"/>
  <c r="M106" i="21"/>
  <c r="J105" i="21"/>
  <c r="M105" i="21" s="1"/>
  <c r="J104" i="21"/>
  <c r="M104" i="21" s="1"/>
  <c r="J103" i="21"/>
  <c r="M103" i="21" s="1"/>
  <c r="M102" i="21"/>
  <c r="J102" i="21"/>
  <c r="J101" i="21"/>
  <c r="M101" i="21" s="1"/>
  <c r="M100" i="21"/>
  <c r="J100" i="21"/>
  <c r="J99" i="21"/>
  <c r="M99" i="21" s="1"/>
  <c r="J98" i="21"/>
  <c r="M98" i="21" s="1"/>
  <c r="J97" i="21"/>
  <c r="M97" i="21" s="1"/>
  <c r="J96" i="21"/>
  <c r="M96" i="21" s="1"/>
  <c r="J95" i="21"/>
  <c r="M95" i="21" s="1"/>
  <c r="M94" i="21"/>
  <c r="J94" i="21"/>
  <c r="J93" i="21"/>
  <c r="M93" i="21" s="1"/>
  <c r="M92" i="21"/>
  <c r="J92" i="21"/>
  <c r="J91" i="21"/>
  <c r="M91" i="21" s="1"/>
  <c r="J90" i="21"/>
  <c r="M90" i="21" s="1"/>
  <c r="J89" i="21"/>
  <c r="M89" i="21" s="1"/>
  <c r="J88" i="21"/>
  <c r="M88" i="21" s="1"/>
  <c r="J87" i="21"/>
  <c r="M87" i="21" s="1"/>
  <c r="O86" i="21"/>
  <c r="L86" i="21"/>
  <c r="K86" i="21"/>
  <c r="N86" i="21" s="1"/>
  <c r="L85" i="21"/>
  <c r="O85" i="21" s="1"/>
  <c r="K85" i="21"/>
  <c r="N85" i="21" s="1"/>
  <c r="L84" i="21"/>
  <c r="O84" i="21" s="1"/>
  <c r="K84" i="21"/>
  <c r="N84" i="21" s="1"/>
  <c r="O83" i="21"/>
  <c r="L83" i="21"/>
  <c r="K83" i="21"/>
  <c r="N83" i="21" s="1"/>
  <c r="L82" i="21"/>
  <c r="O82" i="21" s="1"/>
  <c r="K82" i="21"/>
  <c r="N82" i="21" s="1"/>
  <c r="L81" i="21"/>
  <c r="O81" i="21" s="1"/>
  <c r="K81" i="21"/>
  <c r="N81" i="21" s="1"/>
  <c r="L80" i="21"/>
  <c r="O80" i="21" s="1"/>
  <c r="K80" i="21"/>
  <c r="N80" i="21" s="1"/>
  <c r="L79" i="21"/>
  <c r="O79" i="21" s="1"/>
  <c r="K79" i="21"/>
  <c r="N79" i="21" s="1"/>
  <c r="O78" i="21"/>
  <c r="L78" i="21"/>
  <c r="K78" i="21"/>
  <c r="N78" i="21" s="1"/>
  <c r="L77" i="21"/>
  <c r="O77" i="21" s="1"/>
  <c r="K77" i="21"/>
  <c r="N77" i="21" s="1"/>
  <c r="L76" i="21"/>
  <c r="O76" i="21" s="1"/>
  <c r="K76" i="21"/>
  <c r="N76" i="21" s="1"/>
  <c r="O75" i="21"/>
  <c r="L75" i="21"/>
  <c r="K75" i="21"/>
  <c r="N75" i="21" s="1"/>
  <c r="L74" i="21"/>
  <c r="O74" i="21" s="1"/>
  <c r="K74" i="21"/>
  <c r="N74" i="21" s="1"/>
  <c r="L73" i="21"/>
  <c r="O73" i="21" s="1"/>
  <c r="K73" i="21"/>
  <c r="N73" i="21" s="1"/>
  <c r="L72" i="21"/>
  <c r="O72" i="21" s="1"/>
  <c r="K72" i="21"/>
  <c r="N72" i="21" s="1"/>
  <c r="L71" i="21"/>
  <c r="O71" i="21" s="1"/>
  <c r="K71" i="21"/>
  <c r="N71" i="21" s="1"/>
  <c r="O70" i="21"/>
  <c r="L70" i="21"/>
  <c r="K70" i="21"/>
  <c r="N70" i="21" s="1"/>
  <c r="L69" i="21"/>
  <c r="O69" i="21" s="1"/>
  <c r="K69" i="21"/>
  <c r="N69" i="21" s="1"/>
  <c r="J68" i="21"/>
  <c r="M68" i="21" s="1"/>
  <c r="J67" i="21"/>
  <c r="M67" i="21" s="1"/>
  <c r="J66" i="21"/>
  <c r="M66" i="21" s="1"/>
  <c r="J65" i="21"/>
  <c r="M65" i="21" s="1"/>
  <c r="J64" i="21"/>
  <c r="M64" i="21" s="1"/>
  <c r="M63" i="21"/>
  <c r="J63" i="21"/>
  <c r="J62" i="21"/>
  <c r="M62" i="21" s="1"/>
  <c r="M61" i="21"/>
  <c r="J61" i="21"/>
  <c r="J60" i="21"/>
  <c r="M60" i="21" s="1"/>
  <c r="J59" i="21"/>
  <c r="M59" i="21" s="1"/>
  <c r="J58" i="21"/>
  <c r="M58" i="21" s="1"/>
  <c r="J57" i="21"/>
  <c r="M57" i="21" s="1"/>
  <c r="J56" i="21"/>
  <c r="M56" i="21" s="1"/>
  <c r="M55" i="21"/>
  <c r="J55" i="21"/>
  <c r="J54" i="21"/>
  <c r="M54" i="21" s="1"/>
  <c r="M53" i="21"/>
  <c r="J53" i="21"/>
  <c r="J52" i="21"/>
  <c r="M52" i="21" s="1"/>
  <c r="J51" i="21"/>
  <c r="M51" i="21" s="1"/>
  <c r="J50" i="21"/>
  <c r="M50" i="21" s="1"/>
  <c r="J49" i="21"/>
  <c r="M49" i="21" s="1"/>
  <c r="J48" i="21"/>
  <c r="M48" i="21" s="1"/>
  <c r="M47" i="21"/>
  <c r="J47" i="21"/>
  <c r="J46" i="21"/>
  <c r="M46" i="21" s="1"/>
  <c r="M45" i="21"/>
  <c r="J45" i="21"/>
  <c r="J44" i="21"/>
  <c r="M44" i="21" s="1"/>
  <c r="J43" i="21"/>
  <c r="M43" i="21" s="1"/>
  <c r="J42" i="21"/>
  <c r="M42" i="21" s="1"/>
  <c r="J41" i="21"/>
  <c r="M41" i="21" s="1"/>
  <c r="J40" i="21"/>
  <c r="M40" i="21" s="1"/>
  <c r="M39" i="21"/>
  <c r="J39" i="21"/>
  <c r="J38" i="21"/>
  <c r="M38" i="21" s="1"/>
  <c r="M37" i="21"/>
  <c r="J37" i="21"/>
  <c r="L36" i="21"/>
  <c r="O36" i="21" s="1"/>
  <c r="K36" i="21"/>
  <c r="N36" i="21" s="1"/>
  <c r="O35" i="21"/>
  <c r="L35" i="21"/>
  <c r="K35" i="21"/>
  <c r="N35" i="21" s="1"/>
  <c r="L34" i="21"/>
  <c r="O34" i="21" s="1"/>
  <c r="K34" i="21"/>
  <c r="N34" i="21" s="1"/>
  <c r="L33" i="21"/>
  <c r="O33" i="21" s="1"/>
  <c r="K33" i="21"/>
  <c r="N33" i="21" s="1"/>
  <c r="L32" i="21"/>
  <c r="O32" i="21" s="1"/>
  <c r="K32" i="21"/>
  <c r="N32" i="21" s="1"/>
  <c r="L31" i="21"/>
  <c r="O31" i="21" s="1"/>
  <c r="K31" i="21"/>
  <c r="N31" i="21" s="1"/>
  <c r="O30" i="21"/>
  <c r="L30" i="21"/>
  <c r="K30" i="21"/>
  <c r="N30" i="21" s="1"/>
  <c r="L29" i="21"/>
  <c r="O29" i="21" s="1"/>
  <c r="K29" i="21"/>
  <c r="N29" i="21" s="1"/>
  <c r="L28" i="21"/>
  <c r="O28" i="21" s="1"/>
  <c r="K28" i="21"/>
  <c r="N28" i="21" s="1"/>
  <c r="O27" i="21"/>
  <c r="L27" i="21"/>
  <c r="K27" i="21"/>
  <c r="N27" i="21" s="1"/>
  <c r="L26" i="21"/>
  <c r="O26" i="21" s="1"/>
  <c r="K26" i="21"/>
  <c r="N26" i="21" s="1"/>
  <c r="L25" i="21"/>
  <c r="O25" i="21" s="1"/>
  <c r="K25" i="21"/>
  <c r="N25" i="21" s="1"/>
  <c r="J24" i="21"/>
  <c r="M24" i="21" s="1"/>
  <c r="M23" i="21"/>
  <c r="J23" i="21"/>
  <c r="J22" i="21"/>
  <c r="M22" i="21" s="1"/>
  <c r="M21" i="21"/>
  <c r="J21" i="21"/>
  <c r="J20" i="21"/>
  <c r="M20" i="21" s="1"/>
  <c r="J19" i="21"/>
  <c r="M19" i="21" s="1"/>
  <c r="J18" i="21"/>
  <c r="M18" i="21" s="1"/>
  <c r="J17" i="21"/>
  <c r="M17" i="21" s="1"/>
  <c r="J16" i="21"/>
  <c r="M16" i="21" s="1"/>
  <c r="M15" i="21"/>
  <c r="J15" i="21"/>
  <c r="J14" i="21"/>
  <c r="M14" i="21" s="1"/>
  <c r="M13" i="21"/>
  <c r="J13" i="21"/>
  <c r="J12" i="21"/>
  <c r="M12" i="21" s="1"/>
  <c r="X2073" i="16"/>
  <c r="W2073" i="16"/>
  <c r="X2072" i="16"/>
  <c r="W2072" i="16"/>
  <c r="X2071" i="16"/>
  <c r="W2071" i="16"/>
  <c r="AC2071" i="16" s="1"/>
  <c r="X2070" i="16"/>
  <c r="W2070" i="16"/>
  <c r="X2069" i="16"/>
  <c r="W2069" i="16"/>
  <c r="X2068" i="16"/>
  <c r="W2068" i="16"/>
  <c r="X2067" i="16"/>
  <c r="W2067" i="16"/>
  <c r="AC2067" i="16" s="1"/>
  <c r="X2066" i="16"/>
  <c r="W2066" i="16"/>
  <c r="X2065" i="16"/>
  <c r="W2065" i="16"/>
  <c r="X2064" i="16"/>
  <c r="W2064" i="16"/>
  <c r="X2063" i="16"/>
  <c r="W2063" i="16"/>
  <c r="AC2063" i="16" s="1"/>
  <c r="X2062" i="16"/>
  <c r="W2062" i="16"/>
  <c r="X2061" i="16"/>
  <c r="W2061" i="16"/>
  <c r="X2060" i="16"/>
  <c r="W2060" i="16"/>
  <c r="X2059" i="16"/>
  <c r="W2059" i="16"/>
  <c r="AC2059" i="16" s="1"/>
  <c r="X2058" i="16"/>
  <c r="W2058" i="16"/>
  <c r="X2057" i="16"/>
  <c r="W2057" i="16"/>
  <c r="X2056" i="16"/>
  <c r="W2056" i="16"/>
  <c r="X2055" i="16"/>
  <c r="W2055" i="16"/>
  <c r="AC2055" i="16" s="1"/>
  <c r="X2054" i="16"/>
  <c r="W2054" i="16"/>
  <c r="X2053" i="16"/>
  <c r="W2053" i="16"/>
  <c r="X2052" i="16"/>
  <c r="W2052" i="16"/>
  <c r="X2051" i="16"/>
  <c r="W2051" i="16"/>
  <c r="AC2051" i="16" s="1"/>
  <c r="X2050" i="16"/>
  <c r="W2050" i="16"/>
  <c r="X2049" i="16"/>
  <c r="W2049" i="16"/>
  <c r="X2048" i="16"/>
  <c r="W2048" i="16"/>
  <c r="X2047" i="16"/>
  <c r="W2047" i="16"/>
  <c r="AC2047" i="16" s="1"/>
  <c r="X2046" i="16"/>
  <c r="W2046" i="16"/>
  <c r="X2045" i="16"/>
  <c r="W2045" i="16"/>
  <c r="X2044" i="16"/>
  <c r="W2044" i="16"/>
  <c r="X2043" i="16"/>
  <c r="W2043" i="16"/>
  <c r="AC2043" i="16" s="1"/>
  <c r="X2042" i="16"/>
  <c r="W2042" i="16"/>
  <c r="X2041" i="16"/>
  <c r="W2041" i="16"/>
  <c r="X2040" i="16"/>
  <c r="W2040" i="16"/>
  <c r="X980" i="16"/>
  <c r="W980" i="16"/>
  <c r="X979" i="16"/>
  <c r="W979" i="16"/>
  <c r="X978" i="16"/>
  <c r="W978" i="16"/>
  <c r="X977" i="16"/>
  <c r="W977" i="16"/>
  <c r="X976" i="16"/>
  <c r="W976" i="16"/>
  <c r="X975" i="16"/>
  <c r="W975" i="16"/>
  <c r="X974" i="16"/>
  <c r="W974" i="16"/>
  <c r="X973" i="16"/>
  <c r="W973" i="16"/>
  <c r="X972" i="16"/>
  <c r="W972" i="16"/>
  <c r="X971" i="16"/>
  <c r="W971" i="16"/>
  <c r="X970" i="16"/>
  <c r="W970" i="16"/>
  <c r="X969" i="16"/>
  <c r="W969" i="16"/>
  <c r="X968" i="16"/>
  <c r="W968" i="16"/>
  <c r="X967" i="16"/>
  <c r="W967" i="16"/>
  <c r="X966" i="16"/>
  <c r="W966" i="16"/>
  <c r="X965" i="16"/>
  <c r="W965" i="16"/>
  <c r="X964" i="16"/>
  <c r="W964" i="16"/>
  <c r="X963" i="16"/>
  <c r="W963" i="16"/>
  <c r="X962" i="16"/>
  <c r="W962" i="16"/>
  <c r="X961" i="16"/>
  <c r="W961" i="16"/>
  <c r="X960" i="16"/>
  <c r="W960" i="16"/>
  <c r="X959" i="16"/>
  <c r="W959" i="16"/>
  <c r="X958" i="16"/>
  <c r="W958" i="16"/>
  <c r="X957" i="16"/>
  <c r="W957" i="16"/>
  <c r="X956" i="16"/>
  <c r="W956" i="16"/>
  <c r="X955" i="16"/>
  <c r="W955" i="16"/>
  <c r="V954" i="16"/>
  <c r="V953" i="16"/>
  <c r="AB953" i="16" s="1"/>
  <c r="V952" i="16"/>
  <c r="V951" i="16"/>
  <c r="V950" i="16"/>
  <c r="V949" i="16"/>
  <c r="AB949" i="16" s="1"/>
  <c r="V948" i="16"/>
  <c r="V947" i="16"/>
  <c r="V946" i="16"/>
  <c r="V945" i="16"/>
  <c r="AB945" i="16" s="1"/>
  <c r="V944" i="16"/>
  <c r="V943" i="16"/>
  <c r="V942" i="16"/>
  <c r="V941" i="16"/>
  <c r="AB941" i="16" s="1"/>
  <c r="V940" i="16"/>
  <c r="V939" i="16"/>
  <c r="V938" i="16"/>
  <c r="V937" i="16"/>
  <c r="AB937" i="16" s="1"/>
  <c r="V936" i="16"/>
  <c r="V935" i="16"/>
  <c r="V934" i="16"/>
  <c r="V933" i="16"/>
  <c r="AB933" i="16" s="1"/>
  <c r="V932" i="16"/>
  <c r="V931" i="16"/>
  <c r="X930" i="16"/>
  <c r="W930" i="16"/>
  <c r="X929" i="16"/>
  <c r="W929" i="16"/>
  <c r="X928" i="16"/>
  <c r="W928" i="16"/>
  <c r="X927" i="16"/>
  <c r="W927" i="16"/>
  <c r="X926" i="16"/>
  <c r="W926" i="16"/>
  <c r="X925" i="16"/>
  <c r="W925" i="16"/>
  <c r="X924" i="16"/>
  <c r="W924" i="16"/>
  <c r="X923" i="16"/>
  <c r="W923" i="16"/>
  <c r="X922" i="16"/>
  <c r="W922" i="16"/>
  <c r="X921" i="16"/>
  <c r="W921" i="16"/>
  <c r="X920" i="16"/>
  <c r="W920" i="16"/>
  <c r="X919" i="16"/>
  <c r="W919" i="16"/>
  <c r="X918" i="16"/>
  <c r="W918" i="16"/>
  <c r="X917" i="16"/>
  <c r="W917" i="16"/>
  <c r="X916" i="16"/>
  <c r="W916" i="16"/>
  <c r="X915" i="16"/>
  <c r="W915" i="16"/>
  <c r="X914" i="16"/>
  <c r="W914" i="16"/>
  <c r="X913" i="16"/>
  <c r="W913" i="16"/>
  <c r="X912" i="16"/>
  <c r="W912" i="16"/>
  <c r="X911" i="16"/>
  <c r="W911" i="16"/>
  <c r="X910" i="16"/>
  <c r="W910" i="16"/>
  <c r="X909" i="16"/>
  <c r="W909" i="16"/>
  <c r="X908" i="16"/>
  <c r="W908" i="16"/>
  <c r="X907" i="16"/>
  <c r="W907" i="16"/>
  <c r="X906" i="16"/>
  <c r="W906" i="16"/>
  <c r="X905" i="16"/>
  <c r="W905" i="16"/>
  <c r="X904" i="16"/>
  <c r="W904" i="16"/>
  <c r="X903" i="16"/>
  <c r="W903" i="16"/>
  <c r="V902" i="16"/>
  <c r="V901" i="16"/>
  <c r="AB901" i="16" s="1"/>
  <c r="V900" i="16"/>
  <c r="V899" i="16"/>
  <c r="X898" i="16"/>
  <c r="W898" i="16"/>
  <c r="X897" i="16"/>
  <c r="W897" i="16"/>
  <c r="X896" i="16"/>
  <c r="W896" i="16"/>
  <c r="X895" i="16"/>
  <c r="W895" i="16"/>
  <c r="X894" i="16"/>
  <c r="W894" i="16"/>
  <c r="AD791" i="17"/>
  <c r="X791" i="17"/>
  <c r="W791" i="17"/>
  <c r="AD790" i="17"/>
  <c r="X790" i="17"/>
  <c r="W790" i="17"/>
  <c r="AD789" i="17"/>
  <c r="X789" i="17"/>
  <c r="W789" i="17"/>
  <c r="AD788" i="17"/>
  <c r="X788" i="17"/>
  <c r="W788" i="17"/>
  <c r="AD787" i="17"/>
  <c r="X787" i="17"/>
  <c r="W787" i="17"/>
  <c r="AD786" i="17"/>
  <c r="X786" i="17"/>
  <c r="W786" i="17"/>
  <c r="AD785" i="17"/>
  <c r="X785" i="17"/>
  <c r="W785" i="17"/>
  <c r="AD784" i="17"/>
  <c r="X784" i="17"/>
  <c r="W784" i="17"/>
  <c r="AD783" i="17"/>
  <c r="X783" i="17"/>
  <c r="W783" i="17"/>
  <c r="AD782" i="17"/>
  <c r="X782" i="17"/>
  <c r="W782" i="17"/>
  <c r="AD781" i="17"/>
  <c r="X781" i="17"/>
  <c r="W781" i="17"/>
  <c r="AD780" i="17"/>
  <c r="X780" i="17"/>
  <c r="W780" i="17"/>
  <c r="AD779" i="17"/>
  <c r="X779" i="17"/>
  <c r="W779" i="17"/>
  <c r="AD778" i="17"/>
  <c r="X778" i="17"/>
  <c r="W778" i="17"/>
  <c r="AD777" i="17"/>
  <c r="X777" i="17"/>
  <c r="W777" i="17"/>
  <c r="AD776" i="17"/>
  <c r="X776" i="17"/>
  <c r="W776" i="17"/>
  <c r="AD775" i="17"/>
  <c r="X775" i="17"/>
  <c r="W775" i="17"/>
  <c r="AD774" i="17"/>
  <c r="X774" i="17"/>
  <c r="W774" i="17"/>
  <c r="AD773" i="17"/>
  <c r="X773" i="17"/>
  <c r="W773" i="17"/>
  <c r="AD772" i="17"/>
  <c r="X772" i="17"/>
  <c r="W772" i="17"/>
  <c r="AD771" i="17"/>
  <c r="X771" i="17"/>
  <c r="W771" i="17"/>
  <c r="AD770" i="17"/>
  <c r="X770" i="17"/>
  <c r="W770" i="17"/>
  <c r="AD769" i="17"/>
  <c r="X769" i="17"/>
  <c r="W769" i="17"/>
  <c r="AD768" i="17"/>
  <c r="X768" i="17"/>
  <c r="W768" i="17"/>
  <c r="AD767" i="17"/>
  <c r="X767" i="17"/>
  <c r="W767" i="17"/>
  <c r="AD766" i="17"/>
  <c r="X766" i="17"/>
  <c r="W766" i="17"/>
  <c r="AD765" i="17"/>
  <c r="X765" i="17"/>
  <c r="W765" i="17"/>
  <c r="AD764" i="17"/>
  <c r="X764" i="17"/>
  <c r="W764" i="17"/>
  <c r="AD763" i="17"/>
  <c r="X763" i="17"/>
  <c r="W763" i="17"/>
  <c r="AD762" i="17"/>
  <c r="X762" i="17"/>
  <c r="W762" i="17"/>
  <c r="AD761" i="17"/>
  <c r="X761" i="17"/>
  <c r="W761" i="17"/>
  <c r="AD760" i="17"/>
  <c r="X760" i="17"/>
  <c r="W760" i="17"/>
  <c r="AD759" i="17"/>
  <c r="X759" i="17"/>
  <c r="W759" i="17"/>
  <c r="AD758" i="17"/>
  <c r="AD11" i="21" s="1"/>
  <c r="X758" i="17"/>
  <c r="W758" i="17"/>
  <c r="X425" i="16"/>
  <c r="W425" i="16"/>
  <c r="V425" i="16"/>
  <c r="X424" i="16"/>
  <c r="W424" i="16"/>
  <c r="V424" i="16"/>
  <c r="X423" i="16"/>
  <c r="W423" i="16"/>
  <c r="V423" i="16"/>
  <c r="X422" i="16"/>
  <c r="W422" i="16"/>
  <c r="V422" i="16"/>
  <c r="X421" i="16"/>
  <c r="W421" i="16"/>
  <c r="V421" i="16"/>
  <c r="X420" i="16"/>
  <c r="W420" i="16"/>
  <c r="V420" i="16"/>
  <c r="X419" i="16"/>
  <c r="W419" i="16"/>
  <c r="V419" i="16"/>
  <c r="X418" i="16"/>
  <c r="W418" i="16"/>
  <c r="V418" i="16"/>
  <c r="X417" i="16"/>
  <c r="W417" i="16"/>
  <c r="V417" i="16"/>
  <c r="X416" i="16"/>
  <c r="W416" i="16"/>
  <c r="V416" i="16"/>
  <c r="X415" i="16"/>
  <c r="W415" i="16"/>
  <c r="V415" i="16"/>
  <c r="X414" i="16"/>
  <c r="W414" i="16"/>
  <c r="V414" i="16"/>
  <c r="X413" i="16"/>
  <c r="W413" i="16"/>
  <c r="V413" i="16"/>
  <c r="X412" i="16"/>
  <c r="W412" i="16"/>
  <c r="V412" i="16"/>
  <c r="X411" i="16"/>
  <c r="W411" i="16"/>
  <c r="V411" i="16"/>
  <c r="X410" i="16"/>
  <c r="W410" i="16"/>
  <c r="V410" i="16"/>
  <c r="X409" i="16"/>
  <c r="W409" i="16"/>
  <c r="V409" i="16"/>
  <c r="X408" i="16"/>
  <c r="W408" i="16"/>
  <c r="V408" i="16"/>
  <c r="X407" i="16"/>
  <c r="W407" i="16"/>
  <c r="V407" i="16"/>
  <c r="X406" i="16"/>
  <c r="W406" i="16"/>
  <c r="V406" i="16"/>
  <c r="X405" i="16"/>
  <c r="W405" i="16"/>
  <c r="V405" i="16"/>
  <c r="X404" i="16"/>
  <c r="W404" i="16"/>
  <c r="V404" i="16"/>
  <c r="X403" i="16"/>
  <c r="W403" i="16"/>
  <c r="V403" i="16"/>
  <c r="X402" i="16"/>
  <c r="W402" i="16"/>
  <c r="V402" i="16"/>
  <c r="X401" i="16"/>
  <c r="W401" i="16"/>
  <c r="V401" i="16"/>
  <c r="X400" i="16"/>
  <c r="W400" i="16"/>
  <c r="V400" i="16"/>
  <c r="X399" i="16"/>
  <c r="W399" i="16"/>
  <c r="V399" i="16"/>
  <c r="X398" i="16"/>
  <c r="W398" i="16"/>
  <c r="V398" i="16"/>
  <c r="X397" i="16"/>
  <c r="W397" i="16"/>
  <c r="V397" i="16"/>
  <c r="X396" i="16"/>
  <c r="W396" i="16"/>
  <c r="V396" i="16"/>
  <c r="X395" i="16"/>
  <c r="W395" i="16"/>
  <c r="V395" i="16"/>
  <c r="X394" i="16"/>
  <c r="W394" i="16"/>
  <c r="V394" i="16"/>
  <c r="X393" i="16"/>
  <c r="W393" i="16"/>
  <c r="V393" i="16"/>
  <c r="X392" i="16"/>
  <c r="W392" i="16"/>
  <c r="V392" i="16"/>
  <c r="X391" i="16"/>
  <c r="W391" i="16"/>
  <c r="V391" i="16"/>
  <c r="X390" i="16"/>
  <c r="W390" i="16"/>
  <c r="V390" i="16"/>
  <c r="X389" i="16"/>
  <c r="W389" i="16"/>
  <c r="V389" i="16"/>
  <c r="X388" i="16"/>
  <c r="W388" i="16"/>
  <c r="V388" i="16"/>
  <c r="X387" i="16"/>
  <c r="W387" i="16"/>
  <c r="V387" i="16"/>
  <c r="X386" i="16"/>
  <c r="W386" i="16"/>
  <c r="V386" i="16"/>
  <c r="X385" i="16"/>
  <c r="W385" i="16"/>
  <c r="V385" i="16"/>
  <c r="X384" i="16"/>
  <c r="W384" i="16"/>
  <c r="V384" i="16"/>
  <c r="X383" i="16"/>
  <c r="W383" i="16"/>
  <c r="V383" i="16"/>
  <c r="X382" i="16"/>
  <c r="W382" i="16"/>
  <c r="V382" i="16"/>
  <c r="X381" i="16"/>
  <c r="W381" i="16"/>
  <c r="V381" i="16"/>
  <c r="X380" i="16"/>
  <c r="W380" i="16"/>
  <c r="V380" i="16"/>
  <c r="X379" i="16"/>
  <c r="W379" i="16"/>
  <c r="V379" i="16"/>
  <c r="X378" i="16"/>
  <c r="W378" i="16"/>
  <c r="V378" i="16"/>
  <c r="X377" i="16"/>
  <c r="W377" i="16"/>
  <c r="V377" i="16"/>
  <c r="X376" i="16"/>
  <c r="W376" i="16"/>
  <c r="V376" i="16"/>
  <c r="X375" i="16"/>
  <c r="W375" i="16"/>
  <c r="V375" i="16"/>
  <c r="X374" i="16"/>
  <c r="W374" i="16"/>
  <c r="V374" i="16"/>
  <c r="X373" i="16"/>
  <c r="W373" i="16"/>
  <c r="V373" i="16"/>
  <c r="X372" i="16"/>
  <c r="W372" i="16"/>
  <c r="V372" i="16"/>
  <c r="X371" i="16"/>
  <c r="W371" i="16"/>
  <c r="V371" i="16"/>
  <c r="X370" i="16"/>
  <c r="W370" i="16"/>
  <c r="V370" i="16"/>
  <c r="X369" i="16"/>
  <c r="W369" i="16"/>
  <c r="V369" i="16"/>
  <c r="X368" i="16"/>
  <c r="W368" i="16"/>
  <c r="V368" i="16"/>
  <c r="X367" i="16"/>
  <c r="W367" i="16"/>
  <c r="V367" i="16"/>
  <c r="X366" i="16"/>
  <c r="W366" i="16"/>
  <c r="V366" i="16"/>
  <c r="X365" i="16"/>
  <c r="W365" i="16"/>
  <c r="V365" i="16"/>
  <c r="X364" i="16"/>
  <c r="W364" i="16"/>
  <c r="V364" i="16"/>
  <c r="X363" i="16"/>
  <c r="W363" i="16"/>
  <c r="V363" i="16"/>
  <c r="X362" i="16"/>
  <c r="W362" i="16"/>
  <c r="V362" i="16"/>
  <c r="X361" i="16"/>
  <c r="W361" i="16"/>
  <c r="V361" i="16"/>
  <c r="X360" i="16"/>
  <c r="W360" i="16"/>
  <c r="V360" i="16"/>
  <c r="X359" i="16"/>
  <c r="W359" i="16"/>
  <c r="V359" i="16"/>
  <c r="X358" i="16"/>
  <c r="W358" i="16"/>
  <c r="V358" i="16"/>
  <c r="X357" i="16"/>
  <c r="W357" i="16"/>
  <c r="V357" i="16"/>
  <c r="X356" i="16"/>
  <c r="W356" i="16"/>
  <c r="V356" i="16"/>
  <c r="X355" i="16"/>
  <c r="W355" i="16"/>
  <c r="V355" i="16"/>
  <c r="X354" i="16"/>
  <c r="W354" i="16"/>
  <c r="V354" i="16"/>
  <c r="AD329" i="17"/>
  <c r="X329" i="17"/>
  <c r="W329" i="17"/>
  <c r="AD328" i="17"/>
  <c r="X328" i="17"/>
  <c r="W328" i="17"/>
  <c r="AD327" i="17"/>
  <c r="X327" i="17"/>
  <c r="W327" i="17"/>
  <c r="AD326" i="17"/>
  <c r="X326" i="17"/>
  <c r="W326" i="17"/>
  <c r="AD325" i="17"/>
  <c r="X325" i="17"/>
  <c r="W325" i="17"/>
  <c r="AD324" i="17"/>
  <c r="X324" i="17"/>
  <c r="W324" i="17"/>
  <c r="AD323" i="17"/>
  <c r="X323" i="17"/>
  <c r="W323" i="17"/>
  <c r="AD322" i="17"/>
  <c r="X322" i="17"/>
  <c r="W322" i="17"/>
  <c r="AD321" i="17"/>
  <c r="X321" i="17"/>
  <c r="W321" i="17"/>
  <c r="AD320" i="17"/>
  <c r="X320" i="17"/>
  <c r="W320" i="17"/>
  <c r="AD319" i="17"/>
  <c r="X319" i="17"/>
  <c r="W319" i="17"/>
  <c r="AD318" i="17"/>
  <c r="X318" i="17"/>
  <c r="W318" i="17"/>
  <c r="AD317" i="17"/>
  <c r="X317" i="17"/>
  <c r="W317" i="17"/>
  <c r="AD316" i="17"/>
  <c r="X316" i="17"/>
  <c r="W316" i="17"/>
  <c r="AD315" i="17"/>
  <c r="X315" i="17"/>
  <c r="W315" i="17"/>
  <c r="AD314" i="17"/>
  <c r="X314" i="17"/>
  <c r="W314" i="17"/>
  <c r="AD313" i="17"/>
  <c r="X313" i="17"/>
  <c r="W313" i="17"/>
  <c r="AD312" i="17"/>
  <c r="X312" i="17"/>
  <c r="W312" i="17"/>
  <c r="AD311" i="17"/>
  <c r="X311" i="17"/>
  <c r="W311" i="17"/>
  <c r="AD310" i="17"/>
  <c r="X310" i="17"/>
  <c r="W310" i="17"/>
  <c r="AD309" i="17"/>
  <c r="X309" i="17"/>
  <c r="W309" i="17"/>
  <c r="AD308" i="17"/>
  <c r="X308" i="17"/>
  <c r="W308" i="17"/>
  <c r="AD307" i="17"/>
  <c r="X307" i="17"/>
  <c r="W307" i="17"/>
  <c r="AD306" i="17"/>
  <c r="X306" i="17"/>
  <c r="W306" i="17"/>
  <c r="AD305" i="17"/>
  <c r="X305" i="17"/>
  <c r="W305" i="17"/>
  <c r="AD304" i="17"/>
  <c r="X304" i="17"/>
  <c r="W304" i="17"/>
  <c r="AE303" i="17"/>
  <c r="V303" i="17"/>
  <c r="AB303" i="17" s="1"/>
  <c r="AE302" i="17"/>
  <c r="V302" i="17"/>
  <c r="AB302" i="17" s="1"/>
  <c r="AE301" i="17"/>
  <c r="V301" i="17"/>
  <c r="AB301" i="17" s="1"/>
  <c r="AE300" i="17"/>
  <c r="V300" i="17"/>
  <c r="AB300" i="17" s="1"/>
  <c r="AE299" i="17"/>
  <c r="V299" i="17"/>
  <c r="AB299" i="17" s="1"/>
  <c r="AE298" i="17"/>
  <c r="V298" i="17"/>
  <c r="AB298" i="17" s="1"/>
  <c r="AE297" i="17"/>
  <c r="V297" i="17"/>
  <c r="AB297" i="17" s="1"/>
  <c r="AE296" i="17"/>
  <c r="V296" i="17"/>
  <c r="AB296" i="17" s="1"/>
  <c r="AE295" i="17"/>
  <c r="V295" i="17"/>
  <c r="AB295" i="17" s="1"/>
  <c r="AE294" i="17"/>
  <c r="V294" i="17"/>
  <c r="AB294" i="17" s="1"/>
  <c r="AE293" i="17"/>
  <c r="V293" i="17"/>
  <c r="AB293" i="17" s="1"/>
  <c r="AE292" i="17"/>
  <c r="V292" i="17"/>
  <c r="AB292" i="17" s="1"/>
  <c r="AE291" i="17"/>
  <c r="V291" i="17"/>
  <c r="AB291" i="17" s="1"/>
  <c r="AE290" i="17"/>
  <c r="V290" i="17"/>
  <c r="AB290" i="17" s="1"/>
  <c r="AE289" i="17"/>
  <c r="V289" i="17"/>
  <c r="AB289" i="17" s="1"/>
  <c r="AE288" i="17"/>
  <c r="V288" i="17"/>
  <c r="AB288" i="17" s="1"/>
  <c r="AE287" i="17"/>
  <c r="AB287" i="17"/>
  <c r="V287" i="17"/>
  <c r="AE286" i="17"/>
  <c r="V286" i="17"/>
  <c r="AB286" i="17" s="1"/>
  <c r="AE285" i="17"/>
  <c r="V285" i="17"/>
  <c r="AB285" i="17" s="1"/>
  <c r="AE284" i="17"/>
  <c r="V284" i="17"/>
  <c r="AB284" i="17" s="1"/>
  <c r="AE283" i="17"/>
  <c r="V283" i="17"/>
  <c r="AB283" i="17" s="1"/>
  <c r="AE282" i="17"/>
  <c r="V282" i="17"/>
  <c r="AB282" i="17" s="1"/>
  <c r="AE281" i="17"/>
  <c r="V281" i="17"/>
  <c r="AB281" i="17" s="1"/>
  <c r="AE280" i="17"/>
  <c r="V280" i="17"/>
  <c r="AB280" i="17" s="1"/>
  <c r="AD279" i="17"/>
  <c r="X279" i="17"/>
  <c r="W279" i="17"/>
  <c r="AD278" i="17"/>
  <c r="X278" i="17"/>
  <c r="W278" i="17"/>
  <c r="AD277" i="17"/>
  <c r="X277" i="17"/>
  <c r="W277" i="17"/>
  <c r="AC277" i="17" s="1"/>
  <c r="AD276" i="17"/>
  <c r="X276" i="17"/>
  <c r="W276" i="17"/>
  <c r="AC276" i="17" s="1"/>
  <c r="AD275" i="17"/>
  <c r="X275" i="17"/>
  <c r="W275" i="17"/>
  <c r="AD274" i="17"/>
  <c r="X274" i="17"/>
  <c r="W274" i="17"/>
  <c r="AD273" i="17"/>
  <c r="X273" i="17"/>
  <c r="W273" i="17"/>
  <c r="AC273" i="17" s="1"/>
  <c r="AD272" i="17"/>
  <c r="X272" i="17"/>
  <c r="W272" i="17"/>
  <c r="AC272" i="17" s="1"/>
  <c r="AD271" i="17"/>
  <c r="X271" i="17"/>
  <c r="W271" i="17"/>
  <c r="AD270" i="17"/>
  <c r="X270" i="17"/>
  <c r="W270" i="17"/>
  <c r="AD269" i="17"/>
  <c r="X269" i="17"/>
  <c r="W269" i="17"/>
  <c r="AC269" i="17" s="1"/>
  <c r="AD268" i="17"/>
  <c r="X268" i="17"/>
  <c r="W268" i="17"/>
  <c r="AC268" i="17" s="1"/>
  <c r="AD267" i="17"/>
  <c r="X267" i="17"/>
  <c r="W267" i="17"/>
  <c r="AD266" i="17"/>
  <c r="X266" i="17"/>
  <c r="W266" i="17"/>
  <c r="AD265" i="17"/>
  <c r="X265" i="17"/>
  <c r="W265" i="17"/>
  <c r="AC265" i="17" s="1"/>
  <c r="AD264" i="17"/>
  <c r="X264" i="17"/>
  <c r="W264" i="17"/>
  <c r="AC264" i="17" s="1"/>
  <c r="AD263" i="17"/>
  <c r="X263" i="17"/>
  <c r="W263" i="17"/>
  <c r="AD262" i="17"/>
  <c r="X262" i="17"/>
  <c r="W262" i="17"/>
  <c r="AD261" i="17"/>
  <c r="X261" i="17"/>
  <c r="W261" i="17"/>
  <c r="AC261" i="17" s="1"/>
  <c r="AD260" i="17"/>
  <c r="X260" i="17"/>
  <c r="W260" i="17"/>
  <c r="AC260" i="17" s="1"/>
  <c r="AD259" i="17"/>
  <c r="X259" i="17"/>
  <c r="W259" i="17"/>
  <c r="AD258" i="17"/>
  <c r="X258" i="17"/>
  <c r="W258" i="17"/>
  <c r="AD257" i="17"/>
  <c r="X257" i="17"/>
  <c r="W257" i="17"/>
  <c r="AC257" i="17" s="1"/>
  <c r="AD256" i="17"/>
  <c r="X256" i="17"/>
  <c r="W256" i="17"/>
  <c r="AC256" i="17" s="1"/>
  <c r="AD255" i="17"/>
  <c r="X255" i="17"/>
  <c r="W255" i="17"/>
  <c r="AD254" i="17"/>
  <c r="X254" i="17"/>
  <c r="W254" i="17"/>
  <c r="AD253" i="17"/>
  <c r="X253" i="17"/>
  <c r="W253" i="17"/>
  <c r="AC253" i="17" s="1"/>
  <c r="AD252" i="17"/>
  <c r="X252" i="17"/>
  <c r="W252" i="17"/>
  <c r="AC252" i="17" s="1"/>
  <c r="AE251" i="17"/>
  <c r="V251" i="17"/>
  <c r="AB251" i="17" s="1"/>
  <c r="AE250" i="17"/>
  <c r="V250" i="17"/>
  <c r="AB250" i="17" s="1"/>
  <c r="AE249" i="17"/>
  <c r="V249" i="17"/>
  <c r="AB249" i="17" s="1"/>
  <c r="AE248" i="17"/>
  <c r="V248" i="17"/>
  <c r="AB248" i="17" s="1"/>
  <c r="AD247" i="17"/>
  <c r="X247" i="17"/>
  <c r="W247" i="17"/>
  <c r="AD246" i="17"/>
  <c r="X246" i="17"/>
  <c r="W246" i="17"/>
  <c r="AD245" i="17"/>
  <c r="X245" i="17"/>
  <c r="W245" i="17"/>
  <c r="AD244" i="17"/>
  <c r="X244" i="17"/>
  <c r="W244" i="17"/>
  <c r="AD243" i="17"/>
  <c r="X243" i="17"/>
  <c r="W243" i="17"/>
  <c r="X170" i="17"/>
  <c r="W170" i="17"/>
  <c r="V170" i="17"/>
  <c r="AB170" i="17" s="1"/>
  <c r="X169" i="17"/>
  <c r="W169" i="17"/>
  <c r="V169" i="17"/>
  <c r="AB169" i="17" s="1"/>
  <c r="X168" i="17"/>
  <c r="W168" i="17"/>
  <c r="V168" i="17"/>
  <c r="AB168" i="17" s="1"/>
  <c r="X167" i="17"/>
  <c r="W167" i="17"/>
  <c r="V167" i="17"/>
  <c r="AB167" i="17" s="1"/>
  <c r="X166" i="17"/>
  <c r="W166" i="17"/>
  <c r="V166" i="17"/>
  <c r="AB166" i="17" s="1"/>
  <c r="V166" i="16"/>
  <c r="X165" i="17"/>
  <c r="W165" i="17"/>
  <c r="V165" i="17"/>
  <c r="AB165" i="17" s="1"/>
  <c r="V165" i="16"/>
  <c r="X164" i="17"/>
  <c r="W164" i="17"/>
  <c r="V164" i="17"/>
  <c r="AB164" i="17" s="1"/>
  <c r="V164" i="16"/>
  <c r="X163" i="17"/>
  <c r="W163" i="17"/>
  <c r="V163" i="17"/>
  <c r="AB163" i="17" s="1"/>
  <c r="V163" i="16"/>
  <c r="X162" i="17"/>
  <c r="W162" i="17"/>
  <c r="V162" i="17"/>
  <c r="AB162" i="17" s="1"/>
  <c r="V162" i="16"/>
  <c r="X161" i="17"/>
  <c r="W161" i="17"/>
  <c r="V161" i="17"/>
  <c r="AB161" i="17" s="1"/>
  <c r="V161" i="16"/>
  <c r="X160" i="17"/>
  <c r="W160" i="17"/>
  <c r="V160" i="17"/>
  <c r="AB160" i="17" s="1"/>
  <c r="V160" i="16"/>
  <c r="X159" i="17"/>
  <c r="AC159" i="17" s="1"/>
  <c r="W159" i="17"/>
  <c r="V159" i="17"/>
  <c r="AB159" i="17" s="1"/>
  <c r="V159" i="16"/>
  <c r="X158" i="17"/>
  <c r="AC158" i="17" s="1"/>
  <c r="W158" i="17"/>
  <c r="V158" i="17"/>
  <c r="AB158" i="17" s="1"/>
  <c r="V158" i="16"/>
  <c r="AC157" i="17"/>
  <c r="X157" i="17"/>
  <c r="W157" i="17"/>
  <c r="V157" i="17"/>
  <c r="AB157" i="17" s="1"/>
  <c r="V157" i="16"/>
  <c r="AB157" i="16" s="1"/>
  <c r="X156" i="17"/>
  <c r="W156" i="17"/>
  <c r="V156" i="17"/>
  <c r="AB156" i="17" s="1"/>
  <c r="V156" i="16"/>
  <c r="AB156" i="16" s="1"/>
  <c r="X155" i="17"/>
  <c r="AC155" i="17" s="1"/>
  <c r="W155" i="17"/>
  <c r="V155" i="17"/>
  <c r="AB155" i="17" s="1"/>
  <c r="V155" i="16"/>
  <c r="AB155" i="16" s="1"/>
  <c r="X154" i="17"/>
  <c r="AC154" i="17" s="1"/>
  <c r="W154" i="17"/>
  <c r="V154" i="17"/>
  <c r="AB154" i="17" s="1"/>
  <c r="X154" i="16"/>
  <c r="AD154" i="16" s="1"/>
  <c r="W154" i="16"/>
  <c r="X153" i="17"/>
  <c r="W153" i="17"/>
  <c r="AC153" i="17" s="1"/>
  <c r="V153" i="17"/>
  <c r="AB153" i="17" s="1"/>
  <c r="X153" i="16"/>
  <c r="W153" i="16"/>
  <c r="X152" i="17"/>
  <c r="W152" i="17"/>
  <c r="V152" i="17"/>
  <c r="AB152" i="17" s="1"/>
  <c r="X152" i="16"/>
  <c r="W152" i="16"/>
  <c r="X151" i="17"/>
  <c r="W151" i="17"/>
  <c r="V151" i="17"/>
  <c r="AB151" i="17" s="1"/>
  <c r="X151" i="16"/>
  <c r="W151" i="16"/>
  <c r="AC151" i="16" s="1"/>
  <c r="X150" i="17"/>
  <c r="W150" i="17"/>
  <c r="V150" i="17"/>
  <c r="AB150" i="17" s="1"/>
  <c r="X150" i="16"/>
  <c r="AD150" i="16" s="1"/>
  <c r="W150" i="16"/>
  <c r="X149" i="17"/>
  <c r="W149" i="17"/>
  <c r="AC149" i="17" s="1"/>
  <c r="V149" i="17"/>
  <c r="AB149" i="17" s="1"/>
  <c r="X149" i="16"/>
  <c r="W149" i="16"/>
  <c r="X148" i="17"/>
  <c r="W148" i="17"/>
  <c r="AC148" i="17" s="1"/>
  <c r="V148" i="17"/>
  <c r="AB148" i="17" s="1"/>
  <c r="X148" i="16"/>
  <c r="W148" i="16"/>
  <c r="X147" i="17"/>
  <c r="W147" i="17"/>
  <c r="V147" i="17"/>
  <c r="AB147" i="17" s="1"/>
  <c r="X147" i="16"/>
  <c r="W147" i="16"/>
  <c r="AC147" i="16" s="1"/>
  <c r="X146" i="17"/>
  <c r="W146" i="17"/>
  <c r="V146" i="17"/>
  <c r="AB146" i="17" s="1"/>
  <c r="X146" i="16"/>
  <c r="AD146" i="16" s="1"/>
  <c r="W146" i="16"/>
  <c r="X145" i="17"/>
  <c r="W145" i="17"/>
  <c r="V145" i="17"/>
  <c r="AB145" i="17" s="1"/>
  <c r="V145" i="16"/>
  <c r="X144" i="17"/>
  <c r="W144" i="17"/>
  <c r="V144" i="17"/>
  <c r="AB144" i="17" s="1"/>
  <c r="V144" i="16"/>
  <c r="X143" i="17"/>
  <c r="W143" i="17"/>
  <c r="V143" i="17"/>
  <c r="AB143" i="17" s="1"/>
  <c r="V143" i="16"/>
  <c r="X142" i="17"/>
  <c r="W142" i="17"/>
  <c r="V142" i="17"/>
  <c r="AB142" i="17" s="1"/>
  <c r="V142" i="16"/>
  <c r="X141" i="17"/>
  <c r="W141" i="17"/>
  <c r="V141" i="17"/>
  <c r="AB141" i="17" s="1"/>
  <c r="V141" i="16"/>
  <c r="X140" i="17"/>
  <c r="W140" i="17"/>
  <c r="V140" i="17"/>
  <c r="AB140" i="17" s="1"/>
  <c r="V140" i="16"/>
  <c r="X139" i="17"/>
  <c r="W139" i="17"/>
  <c r="V139" i="17"/>
  <c r="AB139" i="17" s="1"/>
  <c r="V139" i="16"/>
  <c r="X138" i="17"/>
  <c r="W138" i="17"/>
  <c r="V138" i="17"/>
  <c r="AB138" i="17" s="1"/>
  <c r="V138" i="16"/>
  <c r="X137" i="17"/>
  <c r="W137" i="17"/>
  <c r="V137" i="17"/>
  <c r="AB137" i="17" s="1"/>
  <c r="V137" i="16"/>
  <c r="X136" i="17"/>
  <c r="W136" i="17"/>
  <c r="V136" i="17"/>
  <c r="AB136" i="17" s="1"/>
  <c r="X136" i="16"/>
  <c r="W136" i="16"/>
  <c r="X135" i="17"/>
  <c r="AC135" i="17" s="1"/>
  <c r="W135" i="17"/>
  <c r="V135" i="17"/>
  <c r="AB135" i="17" s="1"/>
  <c r="X135" i="16"/>
  <c r="W135" i="16"/>
  <c r="X134" i="17"/>
  <c r="W134" i="17"/>
  <c r="V134" i="17"/>
  <c r="AB134" i="17" s="1"/>
  <c r="X134" i="16"/>
  <c r="W134" i="16"/>
  <c r="X133" i="17"/>
  <c r="W133" i="17"/>
  <c r="V133" i="17"/>
  <c r="AB133" i="17" s="1"/>
  <c r="X133" i="16"/>
  <c r="W133" i="16"/>
  <c r="X132" i="17"/>
  <c r="W132" i="17"/>
  <c r="V132" i="17"/>
  <c r="AB132" i="17" s="1"/>
  <c r="X132" i="16"/>
  <c r="W132" i="16"/>
  <c r="AC132" i="16" s="1"/>
  <c r="X131" i="17"/>
  <c r="W131" i="17"/>
  <c r="V131" i="17"/>
  <c r="AB131" i="17" s="1"/>
  <c r="X131" i="16"/>
  <c r="W131" i="16"/>
  <c r="X130" i="17"/>
  <c r="W130" i="17"/>
  <c r="V130" i="17"/>
  <c r="AB130" i="17" s="1"/>
  <c r="X130" i="16"/>
  <c r="W130" i="16"/>
  <c r="X129" i="17"/>
  <c r="W129" i="17"/>
  <c r="AC129" i="17" s="1"/>
  <c r="V129" i="17"/>
  <c r="AB129" i="17" s="1"/>
  <c r="X129" i="16"/>
  <c r="W129" i="16"/>
  <c r="X128" i="17"/>
  <c r="W128" i="17"/>
  <c r="V128" i="17"/>
  <c r="AB128" i="17" s="1"/>
  <c r="X128" i="16"/>
  <c r="W128" i="16"/>
  <c r="AC128" i="16" s="1"/>
  <c r="X127" i="17"/>
  <c r="W127" i="17"/>
  <c r="V127" i="17"/>
  <c r="AB127" i="17" s="1"/>
  <c r="X127" i="16"/>
  <c r="W127" i="16"/>
  <c r="X126" i="17"/>
  <c r="W126" i="17"/>
  <c r="AC126" i="17" s="1"/>
  <c r="V126" i="17"/>
  <c r="AB126" i="17" s="1"/>
  <c r="X126" i="16"/>
  <c r="W126" i="16"/>
  <c r="X125" i="17"/>
  <c r="W125" i="17"/>
  <c r="V125" i="17"/>
  <c r="AB125" i="17" s="1"/>
  <c r="X125" i="16"/>
  <c r="W125" i="16"/>
  <c r="X124" i="17"/>
  <c r="W124" i="17"/>
  <c r="AC124" i="17" s="1"/>
  <c r="V124" i="17"/>
  <c r="AB124" i="17" s="1"/>
  <c r="X124" i="16"/>
  <c r="W124" i="16"/>
  <c r="X123" i="17"/>
  <c r="W123" i="17"/>
  <c r="AC123" i="17" s="1"/>
  <c r="V123" i="17"/>
  <c r="AB123" i="17" s="1"/>
  <c r="X123" i="16"/>
  <c r="W123" i="16"/>
  <c r="X122" i="17"/>
  <c r="W122" i="17"/>
  <c r="V122" i="17"/>
  <c r="AB122" i="17" s="1"/>
  <c r="X122" i="16"/>
  <c r="W122" i="16"/>
  <c r="X121" i="17"/>
  <c r="W121" i="17"/>
  <c r="AC121" i="17" s="1"/>
  <c r="V121" i="17"/>
  <c r="AB121" i="17" s="1"/>
  <c r="V121" i="16"/>
  <c r="X120" i="17"/>
  <c r="W120" i="17"/>
  <c r="V120" i="17"/>
  <c r="AB120" i="17" s="1"/>
  <c r="V120" i="16"/>
  <c r="X119" i="17"/>
  <c r="W119" i="17"/>
  <c r="AC119" i="17" s="1"/>
  <c r="V119" i="17"/>
  <c r="AB119" i="17" s="1"/>
  <c r="V119" i="16"/>
  <c r="X118" i="17"/>
  <c r="W118" i="17"/>
  <c r="AC118" i="17" s="1"/>
  <c r="V118" i="17"/>
  <c r="AB118" i="17" s="1"/>
  <c r="V118" i="16"/>
  <c r="X117" i="17"/>
  <c r="W117" i="17"/>
  <c r="AC117" i="17" s="1"/>
  <c r="V117" i="17"/>
  <c r="AB117" i="17" s="1"/>
  <c r="V117" i="16"/>
  <c r="X116" i="17"/>
  <c r="W116" i="17"/>
  <c r="AC116" i="17" s="1"/>
  <c r="V116" i="17"/>
  <c r="AB116" i="17" s="1"/>
  <c r="V116" i="16"/>
  <c r="X115" i="17"/>
  <c r="W115" i="17"/>
  <c r="AC115" i="17" s="1"/>
  <c r="V115" i="17"/>
  <c r="AB115" i="17" s="1"/>
  <c r="X115" i="16"/>
  <c r="W115" i="16"/>
  <c r="X114" i="17"/>
  <c r="W114" i="17"/>
  <c r="V114" i="17"/>
  <c r="AB114" i="17" s="1"/>
  <c r="X114" i="16"/>
  <c r="W114" i="16"/>
  <c r="X113" i="17"/>
  <c r="W113" i="17"/>
  <c r="V113" i="17"/>
  <c r="AB113" i="17" s="1"/>
  <c r="X113" i="16"/>
  <c r="AD113" i="16" s="1"/>
  <c r="W113" i="16"/>
  <c r="X112" i="17"/>
  <c r="W112" i="17"/>
  <c r="V112" i="17"/>
  <c r="AB112" i="17" s="1"/>
  <c r="X112" i="16"/>
  <c r="W112" i="16"/>
  <c r="X111" i="17"/>
  <c r="AC111" i="17" s="1"/>
  <c r="W111" i="17"/>
  <c r="V111" i="17"/>
  <c r="AB111" i="17" s="1"/>
  <c r="X110" i="17"/>
  <c r="W110" i="17"/>
  <c r="AC110" i="17" s="1"/>
  <c r="V110" i="17"/>
  <c r="AB110" i="17" s="1"/>
  <c r="X109" i="17"/>
  <c r="W109" i="17"/>
  <c r="AC109" i="17" s="1"/>
  <c r="V109" i="17"/>
  <c r="AB109" i="17" s="1"/>
  <c r="X108" i="17"/>
  <c r="W108" i="17"/>
  <c r="AC108" i="17" s="1"/>
  <c r="V108" i="17"/>
  <c r="AB108" i="17" s="1"/>
  <c r="X107" i="17"/>
  <c r="W107" i="17"/>
  <c r="AC107" i="17" s="1"/>
  <c r="V107" i="17"/>
  <c r="AB107" i="17" s="1"/>
  <c r="X106" i="17"/>
  <c r="W106" i="17"/>
  <c r="V106" i="17"/>
  <c r="AB106" i="17" s="1"/>
  <c r="AC105" i="17"/>
  <c r="X105" i="17"/>
  <c r="W105" i="17"/>
  <c r="V105" i="17"/>
  <c r="AB105" i="17" s="1"/>
  <c r="X104" i="17"/>
  <c r="W104" i="17"/>
  <c r="V104" i="17"/>
  <c r="AB104" i="17" s="1"/>
  <c r="X103" i="17"/>
  <c r="AC103" i="17" s="1"/>
  <c r="W103" i="17"/>
  <c r="V103" i="17"/>
  <c r="AB103" i="17" s="1"/>
  <c r="X102" i="17"/>
  <c r="W102" i="17"/>
  <c r="AC102" i="17" s="1"/>
  <c r="V102" i="17"/>
  <c r="AB102" i="17" s="1"/>
  <c r="X101" i="17"/>
  <c r="W101" i="17"/>
  <c r="AC101" i="17" s="1"/>
  <c r="V101" i="17"/>
  <c r="AB101" i="17" s="1"/>
  <c r="X100" i="17"/>
  <c r="W100" i="17"/>
  <c r="AC100" i="17" s="1"/>
  <c r="V100" i="17"/>
  <c r="AB100" i="17" s="1"/>
  <c r="X99" i="17"/>
  <c r="W99" i="17"/>
  <c r="AC99" i="17" s="1"/>
  <c r="V99" i="17"/>
  <c r="AB99" i="17" s="1"/>
  <c r="AE62" i="17"/>
  <c r="V62" i="17"/>
  <c r="AB62" i="17" s="1"/>
  <c r="AE61" i="17"/>
  <c r="V61" i="17"/>
  <c r="AB61" i="17" s="1"/>
  <c r="AE60" i="17"/>
  <c r="V60" i="17"/>
  <c r="AB60" i="17" s="1"/>
  <c r="AE59" i="17"/>
  <c r="V59" i="17"/>
  <c r="AB59" i="17" s="1"/>
  <c r="AE58" i="17"/>
  <c r="V58" i="17"/>
  <c r="AB58" i="17" s="1"/>
  <c r="AE57" i="17"/>
  <c r="V57" i="17"/>
  <c r="AB57" i="17" s="1"/>
  <c r="AE56" i="17"/>
  <c r="V56" i="17"/>
  <c r="AB56" i="17" s="1"/>
  <c r="AE55" i="17"/>
  <c r="V55" i="17"/>
  <c r="AB55" i="17" s="1"/>
  <c r="AE54" i="17"/>
  <c r="V54" i="17"/>
  <c r="AB54" i="17" s="1"/>
  <c r="AE53" i="17"/>
  <c r="V53" i="17"/>
  <c r="AB53" i="17" s="1"/>
  <c r="AE52" i="17"/>
  <c r="V52" i="17"/>
  <c r="AB52" i="17" s="1"/>
  <c r="AE51" i="17"/>
  <c r="V51" i="17"/>
  <c r="AB51" i="17" s="1"/>
  <c r="AD50" i="17"/>
  <c r="X50" i="17"/>
  <c r="W50" i="17"/>
  <c r="AD49" i="17"/>
  <c r="X49" i="17"/>
  <c r="W49" i="17"/>
  <c r="AC49" i="17" s="1"/>
  <c r="AD48" i="17"/>
  <c r="X48" i="17"/>
  <c r="W48" i="17"/>
  <c r="AC48" i="17" s="1"/>
  <c r="AD47" i="17"/>
  <c r="X47" i="17"/>
  <c r="W47" i="17"/>
  <c r="AD46" i="17"/>
  <c r="X46" i="17"/>
  <c r="W46" i="17"/>
  <c r="AD45" i="17"/>
  <c r="X45" i="17"/>
  <c r="W45" i="17"/>
  <c r="AC45" i="17" s="1"/>
  <c r="AD44" i="17"/>
  <c r="X44" i="17"/>
  <c r="W44" i="17"/>
  <c r="AC44" i="17" s="1"/>
  <c r="AD43" i="17"/>
  <c r="X43" i="17"/>
  <c r="W43" i="17"/>
  <c r="AD42" i="17"/>
  <c r="X42" i="17"/>
  <c r="W42" i="17"/>
  <c r="AE41" i="17"/>
  <c r="V41" i="17"/>
  <c r="AB41" i="17" s="1"/>
  <c r="AE40" i="17"/>
  <c r="V40" i="17"/>
  <c r="AB40" i="17" s="1"/>
  <c r="AE39" i="17"/>
  <c r="V39" i="17"/>
  <c r="AB39" i="17" s="1"/>
  <c r="AE38" i="17"/>
  <c r="AB38" i="17"/>
  <c r="V38" i="17"/>
  <c r="AE37" i="17"/>
  <c r="AB37" i="17"/>
  <c r="V37" i="17"/>
  <c r="AE36" i="17"/>
  <c r="V36" i="17"/>
  <c r="AB36" i="17" s="1"/>
  <c r="AE35" i="17"/>
  <c r="V35" i="17"/>
  <c r="AB35" i="17" s="1"/>
  <c r="AE34" i="17"/>
  <c r="AB34" i="17"/>
  <c r="V34" i="17"/>
  <c r="AE33" i="17"/>
  <c r="AB33" i="17"/>
  <c r="V33" i="17"/>
  <c r="AD32" i="17"/>
  <c r="X32" i="17"/>
  <c r="W32" i="17"/>
  <c r="AD31" i="17"/>
  <c r="X31" i="17"/>
  <c r="W31" i="17"/>
  <c r="AD30" i="17"/>
  <c r="X30" i="17"/>
  <c r="W30" i="17"/>
  <c r="AD29" i="17"/>
  <c r="X29" i="17"/>
  <c r="W29" i="17"/>
  <c r="AD28" i="17"/>
  <c r="X28" i="17"/>
  <c r="W28" i="17"/>
  <c r="AD27" i="17"/>
  <c r="X27" i="17"/>
  <c r="W27" i="17"/>
  <c r="AD26" i="17"/>
  <c r="X26" i="17"/>
  <c r="W26" i="17"/>
  <c r="AD25" i="17"/>
  <c r="X25" i="17"/>
  <c r="W25" i="17"/>
  <c r="AD24" i="17"/>
  <c r="X24" i="17"/>
  <c r="W24" i="17"/>
  <c r="AD23" i="17"/>
  <c r="X23" i="17"/>
  <c r="W23" i="17"/>
  <c r="AD22" i="17"/>
  <c r="X22" i="17"/>
  <c r="W22" i="17"/>
  <c r="AD21" i="17"/>
  <c r="X21" i="17"/>
  <c r="W21" i="17"/>
  <c r="AD20" i="17"/>
  <c r="X20" i="17"/>
  <c r="W20" i="17"/>
  <c r="AD19" i="17"/>
  <c r="X19" i="17"/>
  <c r="W19" i="17"/>
  <c r="AD18" i="17"/>
  <c r="X18" i="17"/>
  <c r="W18" i="17"/>
  <c r="AE17" i="17"/>
  <c r="AB17" i="17"/>
  <c r="V17" i="17"/>
  <c r="AE16" i="17"/>
  <c r="V16" i="17"/>
  <c r="AB16" i="17" s="1"/>
  <c r="AE15" i="17"/>
  <c r="V15" i="17"/>
  <c r="AB15" i="17" s="1"/>
  <c r="AE14" i="17"/>
  <c r="AB14" i="17"/>
  <c r="V14" i="17"/>
  <c r="AE13" i="17"/>
  <c r="V13" i="17"/>
  <c r="AB13" i="17" s="1"/>
  <c r="AE12" i="17"/>
  <c r="V12" i="17"/>
  <c r="AB12" i="17" s="1"/>
  <c r="AD11" i="17"/>
  <c r="X11" i="17"/>
  <c r="W11" i="17"/>
  <c r="AD10" i="17"/>
  <c r="X10" i="17"/>
  <c r="W10" i="17"/>
  <c r="AC10" i="17" s="1"/>
  <c r="AD9" i="17"/>
  <c r="X9" i="17"/>
  <c r="W9" i="17"/>
  <c r="AC9" i="17" s="1"/>
  <c r="AD8" i="17"/>
  <c r="X8" i="17"/>
  <c r="W8" i="17"/>
  <c r="M40" i="5"/>
  <c r="M39" i="5"/>
  <c r="M38" i="5"/>
  <c r="AJ9" i="17"/>
  <c r="AI9" i="17"/>
  <c r="AJ3" i="17"/>
  <c r="AI3" i="17"/>
  <c r="AD757" i="17"/>
  <c r="AD756" i="17"/>
  <c r="AD755" i="17"/>
  <c r="AD754" i="17"/>
  <c r="AD753" i="17"/>
  <c r="AD752" i="17"/>
  <c r="AD751" i="17"/>
  <c r="AD750" i="17"/>
  <c r="AD749" i="17"/>
  <c r="AD748" i="17"/>
  <c r="AD747" i="17"/>
  <c r="AD746" i="17"/>
  <c r="AD745" i="17"/>
  <c r="AD744" i="17"/>
  <c r="AD743" i="17"/>
  <c r="AD742" i="17"/>
  <c r="AD741" i="17"/>
  <c r="AD740" i="17"/>
  <c r="AD739" i="17"/>
  <c r="AD738" i="17"/>
  <c r="AD737" i="17"/>
  <c r="AD736" i="17"/>
  <c r="AD735" i="17"/>
  <c r="AD734" i="17"/>
  <c r="AD733" i="17"/>
  <c r="AD732" i="17"/>
  <c r="AD731" i="17"/>
  <c r="AD730" i="17"/>
  <c r="AD729" i="17"/>
  <c r="AD728" i="17"/>
  <c r="AD727" i="17"/>
  <c r="AD726" i="17"/>
  <c r="AD725" i="17"/>
  <c r="AD724" i="17"/>
  <c r="AD723" i="17"/>
  <c r="AD722" i="17"/>
  <c r="AD721" i="17"/>
  <c r="AD720" i="17"/>
  <c r="AD719" i="17"/>
  <c r="AD718" i="17"/>
  <c r="AD717" i="17"/>
  <c r="AD716" i="17"/>
  <c r="AD715" i="17"/>
  <c r="AD714" i="17"/>
  <c r="AD713" i="17"/>
  <c r="AD712" i="17"/>
  <c r="AD711" i="17"/>
  <c r="AD710" i="17"/>
  <c r="AD709" i="17"/>
  <c r="AD708" i="17"/>
  <c r="AD707" i="17"/>
  <c r="AD706" i="17"/>
  <c r="AD705" i="17"/>
  <c r="AD704" i="17"/>
  <c r="AD703" i="17"/>
  <c r="AD702" i="17"/>
  <c r="AD701" i="17"/>
  <c r="AD700" i="17"/>
  <c r="AD699" i="17"/>
  <c r="AD698" i="17"/>
  <c r="AD697" i="17"/>
  <c r="AD696" i="17"/>
  <c r="AD695" i="17"/>
  <c r="AD694" i="17"/>
  <c r="AD693" i="17"/>
  <c r="AD692" i="17"/>
  <c r="AD691" i="17"/>
  <c r="AD690" i="17"/>
  <c r="AD689" i="17"/>
  <c r="AD688" i="17"/>
  <c r="AD687" i="17"/>
  <c r="AD686" i="17"/>
  <c r="AD685" i="17"/>
  <c r="AD684" i="17"/>
  <c r="AD683" i="17"/>
  <c r="AD682" i="17"/>
  <c r="AD681" i="17"/>
  <c r="AD680" i="17"/>
  <c r="AD679" i="17"/>
  <c r="AD678" i="17"/>
  <c r="AD677" i="17"/>
  <c r="AD676" i="17"/>
  <c r="AD675" i="17"/>
  <c r="AD674" i="17"/>
  <c r="AD673" i="17"/>
  <c r="AD672" i="17"/>
  <c r="AD671" i="17"/>
  <c r="AD670" i="17"/>
  <c r="AD669" i="17"/>
  <c r="AD668" i="17"/>
  <c r="AD667" i="17"/>
  <c r="AD666" i="17"/>
  <c r="AD665" i="17"/>
  <c r="AD664" i="17"/>
  <c r="AD663" i="17"/>
  <c r="AD662" i="17"/>
  <c r="AD661" i="17"/>
  <c r="AD660" i="17"/>
  <c r="AD659" i="17"/>
  <c r="AD658" i="17"/>
  <c r="AD657" i="17"/>
  <c r="AD656" i="17"/>
  <c r="AD655" i="17"/>
  <c r="AD654" i="17"/>
  <c r="AD653" i="17"/>
  <c r="AD652" i="17"/>
  <c r="AD651" i="17"/>
  <c r="AD650" i="17"/>
  <c r="AD649" i="17"/>
  <c r="AD648" i="17"/>
  <c r="AD647" i="17"/>
  <c r="AD646" i="17"/>
  <c r="AD645" i="17"/>
  <c r="AD644" i="17"/>
  <c r="AD643" i="17"/>
  <c r="AD642" i="17"/>
  <c r="AD641" i="17"/>
  <c r="AD640" i="17"/>
  <c r="AD639" i="17"/>
  <c r="AD638" i="17"/>
  <c r="AD637" i="17"/>
  <c r="AD636" i="17"/>
  <c r="AD635" i="17"/>
  <c r="AD634" i="17"/>
  <c r="AD633" i="17"/>
  <c r="AD632" i="17"/>
  <c r="AD631" i="17"/>
  <c r="AD630" i="17"/>
  <c r="AD629" i="17"/>
  <c r="AD628" i="17"/>
  <c r="AD627" i="17"/>
  <c r="AD626" i="17"/>
  <c r="AD625" i="17"/>
  <c r="AD624" i="17"/>
  <c r="AD623" i="17"/>
  <c r="AD622" i="17"/>
  <c r="AD621" i="17"/>
  <c r="AD620" i="17"/>
  <c r="AD619" i="17"/>
  <c r="AD618" i="17"/>
  <c r="AD617" i="17"/>
  <c r="AD616" i="17"/>
  <c r="AD615" i="17"/>
  <c r="AD614" i="17"/>
  <c r="AD613" i="17"/>
  <c r="AD612" i="17"/>
  <c r="AD611" i="17"/>
  <c r="AD610" i="17"/>
  <c r="AD609" i="17"/>
  <c r="AD608" i="17"/>
  <c r="AD607" i="17"/>
  <c r="AD606" i="17"/>
  <c r="AD605" i="17"/>
  <c r="AD604" i="17"/>
  <c r="AD603" i="17"/>
  <c r="AD602" i="17"/>
  <c r="AD601" i="17"/>
  <c r="AD600" i="17"/>
  <c r="AD599" i="17"/>
  <c r="AD598" i="17"/>
  <c r="AD597" i="17"/>
  <c r="AD596" i="17"/>
  <c r="AD595" i="17"/>
  <c r="AD594" i="17"/>
  <c r="AD593" i="17"/>
  <c r="AD592" i="17"/>
  <c r="AD591" i="17"/>
  <c r="AD590" i="17"/>
  <c r="AD589" i="17"/>
  <c r="AD588" i="17"/>
  <c r="AD587" i="17"/>
  <c r="AD586" i="17"/>
  <c r="AD585" i="17"/>
  <c r="AD584" i="17"/>
  <c r="AD583" i="17"/>
  <c r="AD582" i="17"/>
  <c r="AD581" i="17"/>
  <c r="AD580" i="17"/>
  <c r="AD579" i="17"/>
  <c r="AD578" i="17"/>
  <c r="AD577" i="17"/>
  <c r="AD576" i="17"/>
  <c r="AD575" i="17"/>
  <c r="AD574" i="17"/>
  <c r="AD573" i="17"/>
  <c r="AD572" i="17"/>
  <c r="AD571" i="17"/>
  <c r="AD570" i="17"/>
  <c r="AD569" i="17"/>
  <c r="AD568" i="17"/>
  <c r="AD567" i="17"/>
  <c r="AD566" i="17"/>
  <c r="AD565" i="17"/>
  <c r="AD564" i="17"/>
  <c r="AD563" i="17"/>
  <c r="AD562" i="17"/>
  <c r="AD561" i="17"/>
  <c r="AD560" i="17"/>
  <c r="AD559" i="17"/>
  <c r="AD558" i="17"/>
  <c r="AD557" i="17"/>
  <c r="AD556" i="17"/>
  <c r="AD555" i="17"/>
  <c r="AD554" i="17"/>
  <c r="AD553" i="17"/>
  <c r="AD552" i="17"/>
  <c r="AD551" i="17"/>
  <c r="AD550" i="17"/>
  <c r="AD549" i="17"/>
  <c r="AD548" i="17"/>
  <c r="AD547" i="17"/>
  <c r="AD546" i="17"/>
  <c r="AD545" i="17"/>
  <c r="AD544" i="17"/>
  <c r="AD543" i="17"/>
  <c r="AD542" i="17"/>
  <c r="AD541" i="17"/>
  <c r="AD540" i="17"/>
  <c r="AD539" i="17"/>
  <c r="AD538" i="17"/>
  <c r="AD537" i="17"/>
  <c r="AD536" i="17"/>
  <c r="AD535" i="17"/>
  <c r="AD534" i="17"/>
  <c r="AD533" i="17"/>
  <c r="AD532" i="17"/>
  <c r="AD531" i="17"/>
  <c r="AD530" i="17"/>
  <c r="AD529" i="17"/>
  <c r="AD528" i="17"/>
  <c r="AD527" i="17"/>
  <c r="AD526" i="17"/>
  <c r="AD525" i="17"/>
  <c r="AD524" i="17"/>
  <c r="AD523" i="17"/>
  <c r="AD522" i="17"/>
  <c r="AD521" i="17"/>
  <c r="AD520" i="17"/>
  <c r="AD519" i="17"/>
  <c r="AD518" i="17"/>
  <c r="AD517" i="17"/>
  <c r="AD516" i="17"/>
  <c r="AD515" i="17"/>
  <c r="AD514" i="17"/>
  <c r="AD513" i="17"/>
  <c r="AD512" i="17"/>
  <c r="AD511" i="17"/>
  <c r="AD510" i="17"/>
  <c r="AD509" i="17"/>
  <c r="AD508" i="17"/>
  <c r="AD507" i="17"/>
  <c r="AD506" i="17"/>
  <c r="AD505" i="17"/>
  <c r="AD504" i="17"/>
  <c r="AD503" i="17"/>
  <c r="AD502" i="17"/>
  <c r="AD501" i="17"/>
  <c r="AD500" i="17"/>
  <c r="AD499" i="17"/>
  <c r="AD498" i="17"/>
  <c r="AD497" i="17"/>
  <c r="AD496" i="17"/>
  <c r="AD495" i="17"/>
  <c r="AD494" i="17"/>
  <c r="AD493" i="17"/>
  <c r="AD492" i="17"/>
  <c r="AD491" i="17"/>
  <c r="AD490" i="17"/>
  <c r="AD489" i="17"/>
  <c r="AD488" i="17"/>
  <c r="AD487" i="17"/>
  <c r="AD486" i="17"/>
  <c r="AD485" i="17"/>
  <c r="AD484" i="17"/>
  <c r="AD483" i="17"/>
  <c r="AD482" i="17"/>
  <c r="AD481" i="17"/>
  <c r="AD480" i="17"/>
  <c r="AD479" i="17"/>
  <c r="AD478" i="17"/>
  <c r="AD477" i="17"/>
  <c r="AD476" i="17"/>
  <c r="AD475" i="17"/>
  <c r="AD474" i="17"/>
  <c r="AD473" i="17"/>
  <c r="AD472" i="17"/>
  <c r="AD471" i="17"/>
  <c r="AD470" i="17"/>
  <c r="AD469" i="17"/>
  <c r="AD468" i="17"/>
  <c r="AD467" i="17"/>
  <c r="AD466" i="17"/>
  <c r="AD465" i="17"/>
  <c r="AD464" i="17"/>
  <c r="AD463" i="17"/>
  <c r="AD462" i="17"/>
  <c r="AD461" i="17"/>
  <c r="AD460" i="17"/>
  <c r="AD459" i="17"/>
  <c r="AD458" i="17"/>
  <c r="AD457" i="17"/>
  <c r="AD456" i="17"/>
  <c r="AD455" i="17"/>
  <c r="AD454" i="17"/>
  <c r="AD453" i="17"/>
  <c r="AD452" i="17"/>
  <c r="AD451" i="17"/>
  <c r="AD450" i="17"/>
  <c r="AD449" i="17"/>
  <c r="AD448" i="17"/>
  <c r="AD447" i="17"/>
  <c r="AD446" i="17"/>
  <c r="AD445" i="17"/>
  <c r="AD444" i="17"/>
  <c r="AD443" i="17"/>
  <c r="AD442" i="17"/>
  <c r="AD441" i="17"/>
  <c r="AD440" i="17"/>
  <c r="AD439" i="17"/>
  <c r="AD438" i="17"/>
  <c r="AD437" i="17"/>
  <c r="AD436" i="17"/>
  <c r="AD435" i="17"/>
  <c r="AD434" i="17"/>
  <c r="AD433" i="17"/>
  <c r="AD432" i="17"/>
  <c r="AD431" i="17"/>
  <c r="AD430" i="17"/>
  <c r="AD429" i="17"/>
  <c r="AD428" i="17"/>
  <c r="AD427" i="17"/>
  <c r="AD426" i="17"/>
  <c r="AD425" i="17"/>
  <c r="AD424" i="17"/>
  <c r="AD423" i="17"/>
  <c r="AD422" i="17"/>
  <c r="AD421" i="17"/>
  <c r="AD420" i="17"/>
  <c r="AD419" i="17"/>
  <c r="AD418" i="17"/>
  <c r="AD417" i="17"/>
  <c r="AD416" i="17"/>
  <c r="AD415" i="17"/>
  <c r="AD414" i="17"/>
  <c r="AD413" i="17"/>
  <c r="AD412" i="17"/>
  <c r="AD411" i="17"/>
  <c r="AD410" i="17"/>
  <c r="AD409" i="17"/>
  <c r="AD408" i="17"/>
  <c r="AD407" i="17"/>
  <c r="AD406" i="17"/>
  <c r="AD405" i="17"/>
  <c r="AD404" i="17"/>
  <c r="AD403" i="17"/>
  <c r="AD402" i="17"/>
  <c r="AD401" i="17"/>
  <c r="AD400" i="17"/>
  <c r="AD399" i="17"/>
  <c r="AD398" i="17"/>
  <c r="AD397" i="17"/>
  <c r="AD396" i="17"/>
  <c r="AD395" i="17"/>
  <c r="AD394" i="17"/>
  <c r="AD393" i="17"/>
  <c r="AD392" i="17"/>
  <c r="AD391" i="17"/>
  <c r="AD390" i="17"/>
  <c r="AD389" i="17"/>
  <c r="AD388" i="17"/>
  <c r="AD387" i="17"/>
  <c r="AD386" i="17"/>
  <c r="AD385" i="17"/>
  <c r="AD384" i="17"/>
  <c r="AD383" i="17"/>
  <c r="AD382" i="17"/>
  <c r="AD381" i="17"/>
  <c r="AD380" i="17"/>
  <c r="AD379" i="17"/>
  <c r="AD378" i="17"/>
  <c r="AD377" i="17"/>
  <c r="AD376" i="17"/>
  <c r="AD375" i="17"/>
  <c r="AD374" i="17"/>
  <c r="AD373" i="17"/>
  <c r="AD372" i="17"/>
  <c r="AD371" i="17"/>
  <c r="AD370" i="17"/>
  <c r="AD369" i="17"/>
  <c r="AD368" i="17"/>
  <c r="AD367" i="17"/>
  <c r="AD366" i="17"/>
  <c r="AD365" i="17"/>
  <c r="AD364" i="17"/>
  <c r="AD363" i="17"/>
  <c r="AD362" i="17"/>
  <c r="AD361" i="17"/>
  <c r="AD360" i="17"/>
  <c r="AD359" i="17"/>
  <c r="AD358" i="17"/>
  <c r="AD357" i="17"/>
  <c r="AD356" i="17"/>
  <c r="AD355" i="17"/>
  <c r="AD354" i="17"/>
  <c r="AD353" i="17"/>
  <c r="AD352" i="17"/>
  <c r="AD351" i="17"/>
  <c r="AD350" i="17"/>
  <c r="AD349" i="17"/>
  <c r="AD348" i="17"/>
  <c r="AD347" i="17"/>
  <c r="AD346" i="17"/>
  <c r="AD345" i="17"/>
  <c r="AD344" i="17"/>
  <c r="AD343" i="17"/>
  <c r="AD342" i="17"/>
  <c r="AD341" i="17"/>
  <c r="AD340" i="17"/>
  <c r="AD339" i="17"/>
  <c r="AD338" i="17"/>
  <c r="AD337" i="17"/>
  <c r="AD336" i="17"/>
  <c r="AD335" i="17"/>
  <c r="AD334" i="17"/>
  <c r="AD333" i="17"/>
  <c r="AD332" i="17"/>
  <c r="AD331" i="17"/>
  <c r="AD330" i="17"/>
  <c r="AD242" i="17"/>
  <c r="AD241" i="17"/>
  <c r="AD240" i="17"/>
  <c r="AD239" i="17"/>
  <c r="AD238" i="17"/>
  <c r="AD237" i="17"/>
  <c r="AD236" i="17"/>
  <c r="AD235" i="17"/>
  <c r="AD234" i="17"/>
  <c r="AD233" i="17"/>
  <c r="AD232" i="17"/>
  <c r="AD231" i="17"/>
  <c r="AE230" i="17"/>
  <c r="AE229" i="17"/>
  <c r="AE228" i="17"/>
  <c r="AE227" i="17"/>
  <c r="AE226" i="17"/>
  <c r="AE225" i="17"/>
  <c r="AE224" i="17"/>
  <c r="AE223" i="17"/>
  <c r="AE222" i="17"/>
  <c r="AE221" i="17"/>
  <c r="AE220" i="17"/>
  <c r="AE219" i="17"/>
  <c r="AD218" i="17"/>
  <c r="AD217" i="17"/>
  <c r="AD216" i="17"/>
  <c r="AD215" i="17"/>
  <c r="AD214" i="17"/>
  <c r="AD213" i="17"/>
  <c r="AD212" i="17"/>
  <c r="AD211" i="17"/>
  <c r="AD210" i="17"/>
  <c r="AD209" i="17"/>
  <c r="AD208" i="17"/>
  <c r="AD207" i="17"/>
  <c r="AD86" i="17"/>
  <c r="AD85" i="17"/>
  <c r="AD84" i="17"/>
  <c r="AD83" i="17"/>
  <c r="AD82" i="17"/>
  <c r="AD81" i="17"/>
  <c r="AD80" i="17"/>
  <c r="AD79" i="17"/>
  <c r="AD78" i="17"/>
  <c r="AD77" i="17"/>
  <c r="AD76" i="17"/>
  <c r="AD75" i="17"/>
  <c r="AD7" i="17"/>
  <c r="AD6" i="17"/>
  <c r="AD5" i="17"/>
  <c r="AD4" i="17"/>
  <c r="AD3" i="17"/>
  <c r="AD2" i="17"/>
  <c r="V791" i="17"/>
  <c r="AB791" i="17" s="1"/>
  <c r="V790" i="17"/>
  <c r="AB790" i="17" s="1"/>
  <c r="V789" i="17"/>
  <c r="AB789" i="17" s="1"/>
  <c r="V788" i="17"/>
  <c r="AB788" i="17" s="1"/>
  <c r="V787" i="17"/>
  <c r="AB787" i="17" s="1"/>
  <c r="V786" i="17"/>
  <c r="AB786" i="17" s="1"/>
  <c r="V785" i="17"/>
  <c r="AB785" i="17" s="1"/>
  <c r="V784" i="17"/>
  <c r="AB784" i="17" s="1"/>
  <c r="V783" i="17"/>
  <c r="AB783" i="17" s="1"/>
  <c r="V782" i="17"/>
  <c r="AB782" i="17" s="1"/>
  <c r="V781" i="17"/>
  <c r="AB781" i="17" s="1"/>
  <c r="V780" i="17"/>
  <c r="AB780" i="17" s="1"/>
  <c r="V779" i="17"/>
  <c r="AB779" i="17" s="1"/>
  <c r="V778" i="17"/>
  <c r="AB778" i="17" s="1"/>
  <c r="V777" i="17"/>
  <c r="AB777" i="17" s="1"/>
  <c r="V776" i="17"/>
  <c r="AB776" i="17" s="1"/>
  <c r="V775" i="17"/>
  <c r="AB775" i="17" s="1"/>
  <c r="V774" i="17"/>
  <c r="AB774" i="17" s="1"/>
  <c r="V773" i="17"/>
  <c r="AB773" i="17" s="1"/>
  <c r="V772" i="17"/>
  <c r="AB772" i="17" s="1"/>
  <c r="V771" i="17"/>
  <c r="AB771" i="17" s="1"/>
  <c r="V770" i="17"/>
  <c r="AB770" i="17" s="1"/>
  <c r="V769" i="17"/>
  <c r="AB769" i="17" s="1"/>
  <c r="V768" i="17"/>
  <c r="AB768" i="17" s="1"/>
  <c r="V767" i="17"/>
  <c r="AB767" i="17" s="1"/>
  <c r="V766" i="17"/>
  <c r="AB766" i="17" s="1"/>
  <c r="V765" i="17"/>
  <c r="AB765" i="17" s="1"/>
  <c r="V764" i="17"/>
  <c r="AB764" i="17" s="1"/>
  <c r="V763" i="17"/>
  <c r="AB763" i="17" s="1"/>
  <c r="V762" i="17"/>
  <c r="AB762" i="17" s="1"/>
  <c r="V761" i="17"/>
  <c r="AB761" i="17" s="1"/>
  <c r="V760" i="17"/>
  <c r="AB760" i="17" s="1"/>
  <c r="V759" i="17"/>
  <c r="AB759" i="17" s="1"/>
  <c r="V758" i="17"/>
  <c r="AB758" i="17" s="1"/>
  <c r="X757" i="17"/>
  <c r="W757" i="17"/>
  <c r="V757" i="17"/>
  <c r="AB757" i="17" s="1"/>
  <c r="X756" i="17"/>
  <c r="W756" i="17"/>
  <c r="V756" i="17"/>
  <c r="AB756" i="17" s="1"/>
  <c r="X755" i="17"/>
  <c r="W755" i="17"/>
  <c r="V755" i="17"/>
  <c r="AB755" i="17" s="1"/>
  <c r="X754" i="17"/>
  <c r="W754" i="17"/>
  <c r="V754" i="17"/>
  <c r="AB754" i="17" s="1"/>
  <c r="X753" i="17"/>
  <c r="W753" i="17"/>
  <c r="V753" i="17"/>
  <c r="AB753" i="17" s="1"/>
  <c r="X752" i="17"/>
  <c r="W752" i="17"/>
  <c r="V752" i="17"/>
  <c r="AB752" i="17" s="1"/>
  <c r="X751" i="17"/>
  <c r="W751" i="17"/>
  <c r="V751" i="17"/>
  <c r="AB751" i="17" s="1"/>
  <c r="X750" i="17"/>
  <c r="W750" i="17"/>
  <c r="V750" i="17"/>
  <c r="AB750" i="17" s="1"/>
  <c r="X749" i="17"/>
  <c r="W749" i="17"/>
  <c r="V749" i="17"/>
  <c r="AB749" i="17" s="1"/>
  <c r="X748" i="17"/>
  <c r="W748" i="17"/>
  <c r="V748" i="17"/>
  <c r="AB748" i="17" s="1"/>
  <c r="X747" i="17"/>
  <c r="W747" i="17"/>
  <c r="V747" i="17"/>
  <c r="AB747" i="17" s="1"/>
  <c r="X746" i="17"/>
  <c r="W746" i="17"/>
  <c r="V746" i="17"/>
  <c r="AB746" i="17" s="1"/>
  <c r="X745" i="17"/>
  <c r="W745" i="17"/>
  <c r="V745" i="17"/>
  <c r="AB745" i="17" s="1"/>
  <c r="X744" i="17"/>
  <c r="W744" i="17"/>
  <c r="V744" i="17"/>
  <c r="AB744" i="17" s="1"/>
  <c r="X743" i="17"/>
  <c r="W743" i="17"/>
  <c r="V743" i="17"/>
  <c r="AB743" i="17" s="1"/>
  <c r="X742" i="17"/>
  <c r="W742" i="17"/>
  <c r="V742" i="17"/>
  <c r="AB742" i="17" s="1"/>
  <c r="X741" i="17"/>
  <c r="W741" i="17"/>
  <c r="V741" i="17"/>
  <c r="AB741" i="17" s="1"/>
  <c r="X740" i="17"/>
  <c r="W740" i="17"/>
  <c r="V740" i="17"/>
  <c r="AB740" i="17" s="1"/>
  <c r="X739" i="17"/>
  <c r="W739" i="17"/>
  <c r="V739" i="17"/>
  <c r="AB739" i="17" s="1"/>
  <c r="X738" i="17"/>
  <c r="W738" i="17"/>
  <c r="V738" i="17"/>
  <c r="AB738" i="17" s="1"/>
  <c r="X737" i="17"/>
  <c r="W737" i="17"/>
  <c r="V737" i="17"/>
  <c r="AB737" i="17" s="1"/>
  <c r="X736" i="17"/>
  <c r="W736" i="17"/>
  <c r="V736" i="17"/>
  <c r="AB736" i="17" s="1"/>
  <c r="X735" i="17"/>
  <c r="W735" i="17"/>
  <c r="V735" i="17"/>
  <c r="AB735" i="17" s="1"/>
  <c r="X734" i="17"/>
  <c r="W734" i="17"/>
  <c r="V734" i="17"/>
  <c r="AB734" i="17" s="1"/>
  <c r="X733" i="17"/>
  <c r="W733" i="17"/>
  <c r="V733" i="17"/>
  <c r="AB733" i="17" s="1"/>
  <c r="X732" i="17"/>
  <c r="W732" i="17"/>
  <c r="V732" i="17"/>
  <c r="AB732" i="17" s="1"/>
  <c r="X731" i="17"/>
  <c r="W731" i="17"/>
  <c r="V731" i="17"/>
  <c r="AB731" i="17" s="1"/>
  <c r="X730" i="17"/>
  <c r="W730" i="17"/>
  <c r="V730" i="17"/>
  <c r="AB730" i="17" s="1"/>
  <c r="X729" i="17"/>
  <c r="W729" i="17"/>
  <c r="V729" i="17"/>
  <c r="AB729" i="17" s="1"/>
  <c r="X728" i="17"/>
  <c r="W728" i="17"/>
  <c r="V728" i="17"/>
  <c r="AB728" i="17" s="1"/>
  <c r="X727" i="17"/>
  <c r="W727" i="17"/>
  <c r="V727" i="17"/>
  <c r="AB727" i="17" s="1"/>
  <c r="X726" i="17"/>
  <c r="W726" i="17"/>
  <c r="V726" i="17"/>
  <c r="AB726" i="17" s="1"/>
  <c r="X725" i="17"/>
  <c r="W725" i="17"/>
  <c r="V725" i="17"/>
  <c r="AB725" i="17" s="1"/>
  <c r="X724" i="17"/>
  <c r="W724" i="17"/>
  <c r="V724" i="17"/>
  <c r="AB724" i="17" s="1"/>
  <c r="X723" i="17"/>
  <c r="W723" i="17"/>
  <c r="V723" i="17"/>
  <c r="AB723" i="17" s="1"/>
  <c r="X722" i="17"/>
  <c r="W722" i="17"/>
  <c r="V722" i="17"/>
  <c r="AB722" i="17" s="1"/>
  <c r="X721" i="17"/>
  <c r="W721" i="17"/>
  <c r="V721" i="17"/>
  <c r="AB721" i="17" s="1"/>
  <c r="X720" i="17"/>
  <c r="W720" i="17"/>
  <c r="V720" i="17"/>
  <c r="AB720" i="17" s="1"/>
  <c r="X719" i="17"/>
  <c r="W719" i="17"/>
  <c r="V719" i="17"/>
  <c r="AB719" i="17" s="1"/>
  <c r="X718" i="17"/>
  <c r="W718" i="17"/>
  <c r="V718" i="17"/>
  <c r="AB718" i="17" s="1"/>
  <c r="X717" i="17"/>
  <c r="W717" i="17"/>
  <c r="V717" i="17"/>
  <c r="AB717" i="17" s="1"/>
  <c r="X716" i="17"/>
  <c r="W716" i="17"/>
  <c r="V716" i="17"/>
  <c r="AB716" i="17" s="1"/>
  <c r="X715" i="17"/>
  <c r="W715" i="17"/>
  <c r="V715" i="17"/>
  <c r="AB715" i="17" s="1"/>
  <c r="X714" i="17"/>
  <c r="W714" i="17"/>
  <c r="V714" i="17"/>
  <c r="AB714" i="17" s="1"/>
  <c r="X713" i="17"/>
  <c r="W713" i="17"/>
  <c r="V713" i="17"/>
  <c r="AB713" i="17" s="1"/>
  <c r="X712" i="17"/>
  <c r="W712" i="17"/>
  <c r="V712" i="17"/>
  <c r="AB712" i="17" s="1"/>
  <c r="X711" i="17"/>
  <c r="W711" i="17"/>
  <c r="V711" i="17"/>
  <c r="AB711" i="17" s="1"/>
  <c r="X710" i="17"/>
  <c r="W710" i="17"/>
  <c r="V710" i="17"/>
  <c r="AB710" i="17" s="1"/>
  <c r="X709" i="17"/>
  <c r="W709" i="17"/>
  <c r="V709" i="17"/>
  <c r="AB709" i="17" s="1"/>
  <c r="X708" i="17"/>
  <c r="W708" i="17"/>
  <c r="V708" i="17"/>
  <c r="AB708" i="17" s="1"/>
  <c r="X707" i="17"/>
  <c r="W707" i="17"/>
  <c r="V707" i="17"/>
  <c r="AB707" i="17" s="1"/>
  <c r="X706" i="17"/>
  <c r="W706" i="17"/>
  <c r="V706" i="17"/>
  <c r="AB706" i="17" s="1"/>
  <c r="X705" i="17"/>
  <c r="W705" i="17"/>
  <c r="V705" i="17"/>
  <c r="AB705" i="17" s="1"/>
  <c r="X704" i="17"/>
  <c r="W704" i="17"/>
  <c r="V704" i="17"/>
  <c r="AB704" i="17" s="1"/>
  <c r="X703" i="17"/>
  <c r="W703" i="17"/>
  <c r="V703" i="17"/>
  <c r="AB703" i="17" s="1"/>
  <c r="X702" i="17"/>
  <c r="W702" i="17"/>
  <c r="V702" i="17"/>
  <c r="AB702" i="17" s="1"/>
  <c r="X701" i="17"/>
  <c r="W701" i="17"/>
  <c r="V701" i="17"/>
  <c r="AB701" i="17" s="1"/>
  <c r="X700" i="17"/>
  <c r="W700" i="17"/>
  <c r="V700" i="17"/>
  <c r="AB700" i="17" s="1"/>
  <c r="X699" i="17"/>
  <c r="W699" i="17"/>
  <c r="V699" i="17"/>
  <c r="AB699" i="17" s="1"/>
  <c r="X698" i="17"/>
  <c r="W698" i="17"/>
  <c r="V698" i="17"/>
  <c r="AB698" i="17" s="1"/>
  <c r="X697" i="17"/>
  <c r="W697" i="17"/>
  <c r="V697" i="17"/>
  <c r="AB697" i="17" s="1"/>
  <c r="X696" i="17"/>
  <c r="W696" i="17"/>
  <c r="V696" i="17"/>
  <c r="AB696" i="17" s="1"/>
  <c r="X695" i="17"/>
  <c r="W695" i="17"/>
  <c r="V695" i="17"/>
  <c r="AB695" i="17" s="1"/>
  <c r="X694" i="17"/>
  <c r="W694" i="17"/>
  <c r="V694" i="17"/>
  <c r="AB694" i="17" s="1"/>
  <c r="X693" i="17"/>
  <c r="W693" i="17"/>
  <c r="V693" i="17"/>
  <c r="AB693" i="17" s="1"/>
  <c r="X692" i="17"/>
  <c r="W692" i="17"/>
  <c r="V692" i="17"/>
  <c r="AB692" i="17" s="1"/>
  <c r="X691" i="17"/>
  <c r="W691" i="17"/>
  <c r="V691" i="17"/>
  <c r="AB691" i="17" s="1"/>
  <c r="X690" i="17"/>
  <c r="W690" i="17"/>
  <c r="V690" i="17"/>
  <c r="AB690" i="17" s="1"/>
  <c r="X689" i="17"/>
  <c r="W689" i="17"/>
  <c r="V689" i="17"/>
  <c r="AB689" i="17" s="1"/>
  <c r="X688" i="17"/>
  <c r="W688" i="17"/>
  <c r="V688" i="17"/>
  <c r="AB688" i="17" s="1"/>
  <c r="X687" i="17"/>
  <c r="W687" i="17"/>
  <c r="V687" i="17"/>
  <c r="AB687" i="17" s="1"/>
  <c r="X686" i="17"/>
  <c r="W686" i="17"/>
  <c r="V686" i="17"/>
  <c r="AB686" i="17" s="1"/>
  <c r="X685" i="17"/>
  <c r="W685" i="17"/>
  <c r="V685" i="17"/>
  <c r="AB685" i="17" s="1"/>
  <c r="X684" i="17"/>
  <c r="W684" i="17"/>
  <c r="V684" i="17"/>
  <c r="AB684" i="17" s="1"/>
  <c r="X683" i="17"/>
  <c r="W683" i="17"/>
  <c r="V683" i="17"/>
  <c r="AB683" i="17" s="1"/>
  <c r="X682" i="17"/>
  <c r="W682" i="17"/>
  <c r="V682" i="17"/>
  <c r="AB682" i="17" s="1"/>
  <c r="X681" i="17"/>
  <c r="W681" i="17"/>
  <c r="V681" i="17"/>
  <c r="AB681" i="17" s="1"/>
  <c r="X680" i="17"/>
  <c r="W680" i="17"/>
  <c r="V680" i="17"/>
  <c r="AB680" i="17" s="1"/>
  <c r="X679" i="17"/>
  <c r="W679" i="17"/>
  <c r="V679" i="17"/>
  <c r="AB679" i="17" s="1"/>
  <c r="X678" i="17"/>
  <c r="W678" i="17"/>
  <c r="V678" i="17"/>
  <c r="AB678" i="17" s="1"/>
  <c r="X677" i="17"/>
  <c r="W677" i="17"/>
  <c r="V677" i="17"/>
  <c r="AB677" i="17" s="1"/>
  <c r="X676" i="17"/>
  <c r="W676" i="17"/>
  <c r="V676" i="17"/>
  <c r="AB676" i="17" s="1"/>
  <c r="X675" i="17"/>
  <c r="W675" i="17"/>
  <c r="V675" i="17"/>
  <c r="AB675" i="17" s="1"/>
  <c r="X674" i="17"/>
  <c r="W674" i="17"/>
  <c r="V674" i="17"/>
  <c r="AB674" i="17" s="1"/>
  <c r="X673" i="17"/>
  <c r="W673" i="17"/>
  <c r="V673" i="17"/>
  <c r="AB673" i="17" s="1"/>
  <c r="X672" i="17"/>
  <c r="W672" i="17"/>
  <c r="V672" i="17"/>
  <c r="AB672" i="17" s="1"/>
  <c r="X671" i="17"/>
  <c r="W671" i="17"/>
  <c r="V671" i="17"/>
  <c r="AB671" i="17" s="1"/>
  <c r="X670" i="17"/>
  <c r="W670" i="17"/>
  <c r="V670" i="17"/>
  <c r="AB670" i="17" s="1"/>
  <c r="X669" i="17"/>
  <c r="W669" i="17"/>
  <c r="V669" i="17"/>
  <c r="AB669" i="17" s="1"/>
  <c r="X668" i="17"/>
  <c r="W668" i="17"/>
  <c r="V668" i="17"/>
  <c r="AB668" i="17" s="1"/>
  <c r="X667" i="17"/>
  <c r="W667" i="17"/>
  <c r="V667" i="17"/>
  <c r="AB667" i="17" s="1"/>
  <c r="X666" i="17"/>
  <c r="W666" i="17"/>
  <c r="V666" i="17"/>
  <c r="AB666" i="17" s="1"/>
  <c r="X665" i="17"/>
  <c r="W665" i="17"/>
  <c r="V665" i="17"/>
  <c r="AB665" i="17" s="1"/>
  <c r="X664" i="17"/>
  <c r="W664" i="17"/>
  <c r="V664" i="17"/>
  <c r="AB664" i="17" s="1"/>
  <c r="X663" i="17"/>
  <c r="W663" i="17"/>
  <c r="V663" i="17"/>
  <c r="AB663" i="17" s="1"/>
  <c r="X662" i="17"/>
  <c r="W662" i="17"/>
  <c r="V662" i="17"/>
  <c r="AB662" i="17" s="1"/>
  <c r="X661" i="17"/>
  <c r="W661" i="17"/>
  <c r="V661" i="17"/>
  <c r="AB661" i="17" s="1"/>
  <c r="X660" i="17"/>
  <c r="W660" i="17"/>
  <c r="V660" i="17"/>
  <c r="AB660" i="17" s="1"/>
  <c r="X659" i="17"/>
  <c r="W659" i="17"/>
  <c r="V659" i="17"/>
  <c r="AB659" i="17" s="1"/>
  <c r="X658" i="17"/>
  <c r="W658" i="17"/>
  <c r="V658" i="17"/>
  <c r="AB658" i="17" s="1"/>
  <c r="X657" i="17"/>
  <c r="W657" i="17"/>
  <c r="V657" i="17"/>
  <c r="AB657" i="17" s="1"/>
  <c r="X656" i="17"/>
  <c r="W656" i="17"/>
  <c r="V656" i="17"/>
  <c r="AB656" i="17" s="1"/>
  <c r="X655" i="17"/>
  <c r="W655" i="17"/>
  <c r="V655" i="17"/>
  <c r="AB655" i="17" s="1"/>
  <c r="X654" i="17"/>
  <c r="W654" i="17"/>
  <c r="V654" i="17"/>
  <c r="AB654" i="17" s="1"/>
  <c r="X653" i="17"/>
  <c r="W653" i="17"/>
  <c r="V653" i="17"/>
  <c r="AB653" i="17" s="1"/>
  <c r="X652" i="17"/>
  <c r="W652" i="17"/>
  <c r="V652" i="17"/>
  <c r="AB652" i="17" s="1"/>
  <c r="X651" i="17"/>
  <c r="W651" i="17"/>
  <c r="V651" i="17"/>
  <c r="AB651" i="17" s="1"/>
  <c r="X650" i="17"/>
  <c r="W650" i="17"/>
  <c r="V650" i="17"/>
  <c r="AB650" i="17" s="1"/>
  <c r="X649" i="17"/>
  <c r="W649" i="17"/>
  <c r="V649" i="17"/>
  <c r="AB649" i="17" s="1"/>
  <c r="X648" i="17"/>
  <c r="W648" i="17"/>
  <c r="V648" i="17"/>
  <c r="AB648" i="17" s="1"/>
  <c r="X647" i="17"/>
  <c r="W647" i="17"/>
  <c r="V647" i="17"/>
  <c r="AB647" i="17" s="1"/>
  <c r="X646" i="17"/>
  <c r="W646" i="17"/>
  <c r="V646" i="17"/>
  <c r="AB646" i="17" s="1"/>
  <c r="X645" i="17"/>
  <c r="W645" i="17"/>
  <c r="V645" i="17"/>
  <c r="AB645" i="17" s="1"/>
  <c r="X644" i="17"/>
  <c r="W644" i="17"/>
  <c r="V644" i="17"/>
  <c r="AB644" i="17" s="1"/>
  <c r="X643" i="17"/>
  <c r="W643" i="17"/>
  <c r="V643" i="17"/>
  <c r="AB643" i="17" s="1"/>
  <c r="X642" i="17"/>
  <c r="W642" i="17"/>
  <c r="V642" i="17"/>
  <c r="AB642" i="17" s="1"/>
  <c r="X641" i="17"/>
  <c r="W641" i="17"/>
  <c r="V641" i="17"/>
  <c r="AB641" i="17" s="1"/>
  <c r="X640" i="17"/>
  <c r="W640" i="17"/>
  <c r="V640" i="17"/>
  <c r="AB640" i="17" s="1"/>
  <c r="X639" i="17"/>
  <c r="W639" i="17"/>
  <c r="V639" i="17"/>
  <c r="AB639" i="17" s="1"/>
  <c r="X638" i="17"/>
  <c r="W638" i="17"/>
  <c r="V638" i="17"/>
  <c r="AB638" i="17" s="1"/>
  <c r="X637" i="17"/>
  <c r="W637" i="17"/>
  <c r="V637" i="17"/>
  <c r="AB637" i="17" s="1"/>
  <c r="X636" i="17"/>
  <c r="W636" i="17"/>
  <c r="V636" i="17"/>
  <c r="AB636" i="17" s="1"/>
  <c r="X635" i="17"/>
  <c r="W635" i="17"/>
  <c r="V635" i="17"/>
  <c r="AB635" i="17" s="1"/>
  <c r="X634" i="17"/>
  <c r="W634" i="17"/>
  <c r="V634" i="17"/>
  <c r="AB634" i="17" s="1"/>
  <c r="X633" i="17"/>
  <c r="W633" i="17"/>
  <c r="V633" i="17"/>
  <c r="AB633" i="17" s="1"/>
  <c r="X632" i="17"/>
  <c r="W632" i="17"/>
  <c r="V632" i="17"/>
  <c r="AB632" i="17" s="1"/>
  <c r="X631" i="17"/>
  <c r="W631" i="17"/>
  <c r="V631" i="17"/>
  <c r="AB631" i="17" s="1"/>
  <c r="X630" i="17"/>
  <c r="W630" i="17"/>
  <c r="V630" i="17"/>
  <c r="AB630" i="17" s="1"/>
  <c r="X629" i="17"/>
  <c r="W629" i="17"/>
  <c r="V629" i="17"/>
  <c r="AB629" i="17" s="1"/>
  <c r="X628" i="17"/>
  <c r="W628" i="17"/>
  <c r="V628" i="17"/>
  <c r="AB628" i="17" s="1"/>
  <c r="X627" i="17"/>
  <c r="W627" i="17"/>
  <c r="V627" i="17"/>
  <c r="AB627" i="17" s="1"/>
  <c r="X626" i="17"/>
  <c r="W626" i="17"/>
  <c r="V626" i="17"/>
  <c r="AB626" i="17" s="1"/>
  <c r="X625" i="17"/>
  <c r="W625" i="17"/>
  <c r="V625" i="17"/>
  <c r="AB625" i="17" s="1"/>
  <c r="X624" i="17"/>
  <c r="W624" i="17"/>
  <c r="V624" i="17"/>
  <c r="AB624" i="17" s="1"/>
  <c r="X623" i="17"/>
  <c r="W623" i="17"/>
  <c r="V623" i="17"/>
  <c r="AB623" i="17" s="1"/>
  <c r="X622" i="17"/>
  <c r="W622" i="17"/>
  <c r="V622" i="17"/>
  <c r="AB622" i="17" s="1"/>
  <c r="X621" i="17"/>
  <c r="W621" i="17"/>
  <c r="V621" i="17"/>
  <c r="AB621" i="17" s="1"/>
  <c r="X620" i="17"/>
  <c r="W620" i="17"/>
  <c r="V620" i="17"/>
  <c r="AB620" i="17" s="1"/>
  <c r="X619" i="17"/>
  <c r="W619" i="17"/>
  <c r="V619" i="17"/>
  <c r="AB619" i="17" s="1"/>
  <c r="X618" i="17"/>
  <c r="W618" i="17"/>
  <c r="V618" i="17"/>
  <c r="AB618" i="17" s="1"/>
  <c r="X617" i="17"/>
  <c r="W617" i="17"/>
  <c r="V617" i="17"/>
  <c r="AB617" i="17" s="1"/>
  <c r="X616" i="17"/>
  <c r="W616" i="17"/>
  <c r="V616" i="17"/>
  <c r="AB616" i="17" s="1"/>
  <c r="X615" i="17"/>
  <c r="W615" i="17"/>
  <c r="V615" i="17"/>
  <c r="AB615" i="17" s="1"/>
  <c r="X614" i="17"/>
  <c r="W614" i="17"/>
  <c r="V614" i="17"/>
  <c r="AB614" i="17" s="1"/>
  <c r="X613" i="17"/>
  <c r="W613" i="17"/>
  <c r="V613" i="17"/>
  <c r="AB613" i="17" s="1"/>
  <c r="X612" i="17"/>
  <c r="W612" i="17"/>
  <c r="V612" i="17"/>
  <c r="AB612" i="17" s="1"/>
  <c r="X611" i="17"/>
  <c r="W611" i="17"/>
  <c r="V611" i="17"/>
  <c r="AB611" i="17" s="1"/>
  <c r="X610" i="17"/>
  <c r="W610" i="17"/>
  <c r="V610" i="17"/>
  <c r="AB610" i="17" s="1"/>
  <c r="X609" i="17"/>
  <c r="W609" i="17"/>
  <c r="V609" i="17"/>
  <c r="AB609" i="17" s="1"/>
  <c r="X608" i="17"/>
  <c r="W608" i="17"/>
  <c r="V608" i="17"/>
  <c r="AB608" i="17" s="1"/>
  <c r="X607" i="17"/>
  <c r="W607" i="17"/>
  <c r="V607" i="17"/>
  <c r="AB607" i="17" s="1"/>
  <c r="X606" i="17"/>
  <c r="W606" i="17"/>
  <c r="V606" i="17"/>
  <c r="AB606" i="17" s="1"/>
  <c r="X605" i="17"/>
  <c r="W605" i="17"/>
  <c r="V605" i="17"/>
  <c r="AB605" i="17" s="1"/>
  <c r="X604" i="17"/>
  <c r="W604" i="17"/>
  <c r="V604" i="17"/>
  <c r="AB604" i="17" s="1"/>
  <c r="X603" i="17"/>
  <c r="W603" i="17"/>
  <c r="V603" i="17"/>
  <c r="AB603" i="17" s="1"/>
  <c r="X602" i="17"/>
  <c r="W602" i="17"/>
  <c r="V602" i="17"/>
  <c r="AB602" i="17" s="1"/>
  <c r="X601" i="17"/>
  <c r="W601" i="17"/>
  <c r="V601" i="17"/>
  <c r="AB601" i="17" s="1"/>
  <c r="X600" i="17"/>
  <c r="W600" i="17"/>
  <c r="V600" i="17"/>
  <c r="AB600" i="17" s="1"/>
  <c r="X599" i="17"/>
  <c r="W599" i="17"/>
  <c r="V599" i="17"/>
  <c r="AB599" i="17" s="1"/>
  <c r="X598" i="17"/>
  <c r="W598" i="17"/>
  <c r="V598" i="17"/>
  <c r="AB598" i="17" s="1"/>
  <c r="X597" i="17"/>
  <c r="W597" i="17"/>
  <c r="V597" i="17"/>
  <c r="AB597" i="17" s="1"/>
  <c r="X596" i="17"/>
  <c r="W596" i="17"/>
  <c r="V596" i="17"/>
  <c r="AB596" i="17" s="1"/>
  <c r="X595" i="17"/>
  <c r="W595" i="17"/>
  <c r="V595" i="17"/>
  <c r="AB595" i="17" s="1"/>
  <c r="X594" i="17"/>
  <c r="W594" i="17"/>
  <c r="V594" i="17"/>
  <c r="AB594" i="17" s="1"/>
  <c r="X593" i="17"/>
  <c r="W593" i="17"/>
  <c r="V593" i="17"/>
  <c r="AB593" i="17" s="1"/>
  <c r="X592" i="17"/>
  <c r="W592" i="17"/>
  <c r="V592" i="17"/>
  <c r="AB592" i="17" s="1"/>
  <c r="X591" i="17"/>
  <c r="W591" i="17"/>
  <c r="V591" i="17"/>
  <c r="AB591" i="17" s="1"/>
  <c r="X590" i="17"/>
  <c r="W590" i="17"/>
  <c r="V590" i="17"/>
  <c r="AB590" i="17" s="1"/>
  <c r="X589" i="17"/>
  <c r="W589" i="17"/>
  <c r="V589" i="17"/>
  <c r="AB589" i="17" s="1"/>
  <c r="X588" i="17"/>
  <c r="W588" i="17"/>
  <c r="V588" i="17"/>
  <c r="AB588" i="17" s="1"/>
  <c r="X587" i="17"/>
  <c r="W587" i="17"/>
  <c r="V587" i="17"/>
  <c r="AB587" i="17" s="1"/>
  <c r="X586" i="17"/>
  <c r="W586" i="17"/>
  <c r="V586" i="17"/>
  <c r="AB586" i="17" s="1"/>
  <c r="X585" i="17"/>
  <c r="W585" i="17"/>
  <c r="V585" i="17"/>
  <c r="AB585" i="17" s="1"/>
  <c r="X584" i="17"/>
  <c r="W584" i="17"/>
  <c r="V584" i="17"/>
  <c r="AB584" i="17" s="1"/>
  <c r="X583" i="17"/>
  <c r="W583" i="17"/>
  <c r="V583" i="17"/>
  <c r="AB583" i="17" s="1"/>
  <c r="X582" i="17"/>
  <c r="W582" i="17"/>
  <c r="V582" i="17"/>
  <c r="AB582" i="17" s="1"/>
  <c r="X581" i="17"/>
  <c r="W581" i="17"/>
  <c r="V581" i="17"/>
  <c r="AB581" i="17" s="1"/>
  <c r="X580" i="17"/>
  <c r="W580" i="17"/>
  <c r="V580" i="17"/>
  <c r="AB580" i="17" s="1"/>
  <c r="X579" i="17"/>
  <c r="W579" i="17"/>
  <c r="V579" i="17"/>
  <c r="AB579" i="17" s="1"/>
  <c r="X578" i="17"/>
  <c r="W578" i="17"/>
  <c r="V578" i="17"/>
  <c r="AB578" i="17" s="1"/>
  <c r="X577" i="17"/>
  <c r="W577" i="17"/>
  <c r="V577" i="17"/>
  <c r="AB577" i="17" s="1"/>
  <c r="X576" i="17"/>
  <c r="W576" i="17"/>
  <c r="V576" i="17"/>
  <c r="AB576" i="17" s="1"/>
  <c r="X575" i="17"/>
  <c r="W575" i="17"/>
  <c r="V575" i="17"/>
  <c r="AB575" i="17" s="1"/>
  <c r="X574" i="17"/>
  <c r="W574" i="17"/>
  <c r="V574" i="17"/>
  <c r="AB574" i="17" s="1"/>
  <c r="X573" i="17"/>
  <c r="W573" i="17"/>
  <c r="V573" i="17"/>
  <c r="AB573" i="17" s="1"/>
  <c r="X572" i="17"/>
  <c r="W572" i="17"/>
  <c r="V572" i="17"/>
  <c r="AB572" i="17" s="1"/>
  <c r="X571" i="17"/>
  <c r="W571" i="17"/>
  <c r="V571" i="17"/>
  <c r="AB571" i="17" s="1"/>
  <c r="X570" i="17"/>
  <c r="W570" i="17"/>
  <c r="V570" i="17"/>
  <c r="AB570" i="17" s="1"/>
  <c r="X569" i="17"/>
  <c r="W569" i="17"/>
  <c r="V569" i="17"/>
  <c r="AB569" i="17" s="1"/>
  <c r="X568" i="17"/>
  <c r="W568" i="17"/>
  <c r="V568" i="17"/>
  <c r="AB568" i="17" s="1"/>
  <c r="X567" i="17"/>
  <c r="W567" i="17"/>
  <c r="V567" i="17"/>
  <c r="AB567" i="17" s="1"/>
  <c r="X566" i="17"/>
  <c r="W566" i="17"/>
  <c r="V566" i="17"/>
  <c r="AB566" i="17" s="1"/>
  <c r="X565" i="17"/>
  <c r="W565" i="17"/>
  <c r="V565" i="17"/>
  <c r="AB565" i="17" s="1"/>
  <c r="X564" i="17"/>
  <c r="W564" i="17"/>
  <c r="V564" i="17"/>
  <c r="AB564" i="17" s="1"/>
  <c r="X563" i="17"/>
  <c r="W563" i="17"/>
  <c r="V563" i="17"/>
  <c r="AB563" i="17" s="1"/>
  <c r="X562" i="17"/>
  <c r="W562" i="17"/>
  <c r="V562" i="17"/>
  <c r="AB562" i="17" s="1"/>
  <c r="X561" i="17"/>
  <c r="W561" i="17"/>
  <c r="V561" i="17"/>
  <c r="AB561" i="17" s="1"/>
  <c r="X560" i="17"/>
  <c r="W560" i="17"/>
  <c r="V560" i="17"/>
  <c r="AB560" i="17" s="1"/>
  <c r="X559" i="17"/>
  <c r="W559" i="17"/>
  <c r="V559" i="17"/>
  <c r="AB559" i="17" s="1"/>
  <c r="X558" i="17"/>
  <c r="W558" i="17"/>
  <c r="V558" i="17"/>
  <c r="AB558" i="17" s="1"/>
  <c r="X557" i="17"/>
  <c r="W557" i="17"/>
  <c r="V557" i="17"/>
  <c r="AB557" i="17" s="1"/>
  <c r="X556" i="17"/>
  <c r="W556" i="17"/>
  <c r="V556" i="17"/>
  <c r="AB556" i="17" s="1"/>
  <c r="X555" i="17"/>
  <c r="W555" i="17"/>
  <c r="V555" i="17"/>
  <c r="AB555" i="17" s="1"/>
  <c r="X554" i="17"/>
  <c r="W554" i="17"/>
  <c r="V554" i="17"/>
  <c r="AB554" i="17" s="1"/>
  <c r="X553" i="17"/>
  <c r="W553" i="17"/>
  <c r="V553" i="17"/>
  <c r="AB553" i="17" s="1"/>
  <c r="X552" i="17"/>
  <c r="W552" i="17"/>
  <c r="V552" i="17"/>
  <c r="AB552" i="17" s="1"/>
  <c r="X551" i="17"/>
  <c r="W551" i="17"/>
  <c r="V551" i="17"/>
  <c r="AB551" i="17" s="1"/>
  <c r="X550" i="17"/>
  <c r="W550" i="17"/>
  <c r="V550" i="17"/>
  <c r="AB550" i="17" s="1"/>
  <c r="X549" i="17"/>
  <c r="W549" i="17"/>
  <c r="V549" i="17"/>
  <c r="AB549" i="17" s="1"/>
  <c r="X548" i="17"/>
  <c r="W548" i="17"/>
  <c r="V548" i="17"/>
  <c r="AB548" i="17" s="1"/>
  <c r="X547" i="17"/>
  <c r="W547" i="17"/>
  <c r="V547" i="17"/>
  <c r="AB547" i="17" s="1"/>
  <c r="X546" i="17"/>
  <c r="W546" i="17"/>
  <c r="V546" i="17"/>
  <c r="AB546" i="17" s="1"/>
  <c r="X545" i="17"/>
  <c r="W545" i="17"/>
  <c r="V545" i="17"/>
  <c r="AB545" i="17" s="1"/>
  <c r="X544" i="17"/>
  <c r="W544" i="17"/>
  <c r="V544" i="17"/>
  <c r="AB544" i="17" s="1"/>
  <c r="X543" i="17"/>
  <c r="W543" i="17"/>
  <c r="V543" i="17"/>
  <c r="AB543" i="17" s="1"/>
  <c r="X542" i="17"/>
  <c r="W542" i="17"/>
  <c r="V542" i="17"/>
  <c r="AB542" i="17" s="1"/>
  <c r="X541" i="17"/>
  <c r="W541" i="17"/>
  <c r="V541" i="17"/>
  <c r="AB541" i="17" s="1"/>
  <c r="X540" i="17"/>
  <c r="W540" i="17"/>
  <c r="V540" i="17"/>
  <c r="AB540" i="17" s="1"/>
  <c r="X539" i="17"/>
  <c r="W539" i="17"/>
  <c r="V539" i="17"/>
  <c r="AB539" i="17" s="1"/>
  <c r="X538" i="17"/>
  <c r="W538" i="17"/>
  <c r="V538" i="17"/>
  <c r="AB538" i="17" s="1"/>
  <c r="X537" i="17"/>
  <c r="W537" i="17"/>
  <c r="V537" i="17"/>
  <c r="AB537" i="17" s="1"/>
  <c r="X536" i="17"/>
  <c r="W536" i="17"/>
  <c r="V536" i="17"/>
  <c r="AB536" i="17" s="1"/>
  <c r="X535" i="17"/>
  <c r="W535" i="17"/>
  <c r="V535" i="17"/>
  <c r="AB535" i="17" s="1"/>
  <c r="X534" i="17"/>
  <c r="W534" i="17"/>
  <c r="V534" i="17"/>
  <c r="AB534" i="17" s="1"/>
  <c r="X533" i="17"/>
  <c r="W533" i="17"/>
  <c r="V533" i="17"/>
  <c r="AB533" i="17" s="1"/>
  <c r="X532" i="17"/>
  <c r="W532" i="17"/>
  <c r="V532" i="17"/>
  <c r="AB532" i="17" s="1"/>
  <c r="X531" i="17"/>
  <c r="W531" i="17"/>
  <c r="V531" i="17"/>
  <c r="AB531" i="17" s="1"/>
  <c r="X530" i="17"/>
  <c r="W530" i="17"/>
  <c r="V530" i="17"/>
  <c r="AB530" i="17" s="1"/>
  <c r="X529" i="17"/>
  <c r="W529" i="17"/>
  <c r="V529" i="17"/>
  <c r="AB529" i="17" s="1"/>
  <c r="X528" i="17"/>
  <c r="W528" i="17"/>
  <c r="V528" i="17"/>
  <c r="AB528" i="17" s="1"/>
  <c r="X527" i="17"/>
  <c r="W527" i="17"/>
  <c r="V527" i="17"/>
  <c r="AB527" i="17" s="1"/>
  <c r="X526" i="17"/>
  <c r="W526" i="17"/>
  <c r="V526" i="17"/>
  <c r="AB526" i="17" s="1"/>
  <c r="X525" i="17"/>
  <c r="W525" i="17"/>
  <c r="V525" i="17"/>
  <c r="AB525" i="17" s="1"/>
  <c r="X524" i="17"/>
  <c r="W524" i="17"/>
  <c r="V524" i="17"/>
  <c r="AB524" i="17" s="1"/>
  <c r="X523" i="17"/>
  <c r="W523" i="17"/>
  <c r="V523" i="17"/>
  <c r="AB523" i="17" s="1"/>
  <c r="X522" i="17"/>
  <c r="W522" i="17"/>
  <c r="V522" i="17"/>
  <c r="AB522" i="17" s="1"/>
  <c r="X521" i="17"/>
  <c r="W521" i="17"/>
  <c r="V521" i="17"/>
  <c r="AB521" i="17" s="1"/>
  <c r="X520" i="17"/>
  <c r="W520" i="17"/>
  <c r="V520" i="17"/>
  <c r="AB520" i="17" s="1"/>
  <c r="X519" i="17"/>
  <c r="W519" i="17"/>
  <c r="V519" i="17"/>
  <c r="AB519" i="17" s="1"/>
  <c r="X518" i="17"/>
  <c r="W518" i="17"/>
  <c r="V518" i="17"/>
  <c r="AB518" i="17" s="1"/>
  <c r="X517" i="17"/>
  <c r="W517" i="17"/>
  <c r="V517" i="17"/>
  <c r="AB517" i="17" s="1"/>
  <c r="X516" i="17"/>
  <c r="W516" i="17"/>
  <c r="V516" i="17"/>
  <c r="AB516" i="17" s="1"/>
  <c r="X515" i="17"/>
  <c r="W515" i="17"/>
  <c r="V515" i="17"/>
  <c r="AB515" i="17" s="1"/>
  <c r="X514" i="17"/>
  <c r="W514" i="17"/>
  <c r="V514" i="17"/>
  <c r="AB514" i="17" s="1"/>
  <c r="X513" i="17"/>
  <c r="W513" i="17"/>
  <c r="V513" i="17"/>
  <c r="AB513" i="17" s="1"/>
  <c r="X512" i="17"/>
  <c r="W512" i="17"/>
  <c r="V512" i="17"/>
  <c r="AB512" i="17" s="1"/>
  <c r="X511" i="17"/>
  <c r="W511" i="17"/>
  <c r="V511" i="17"/>
  <c r="AB511" i="17" s="1"/>
  <c r="X510" i="17"/>
  <c r="W510" i="17"/>
  <c r="V510" i="17"/>
  <c r="AB510" i="17" s="1"/>
  <c r="X509" i="17"/>
  <c r="W509" i="17"/>
  <c r="V509" i="17"/>
  <c r="AB509" i="17" s="1"/>
  <c r="X508" i="17"/>
  <c r="W508" i="17"/>
  <c r="V508" i="17"/>
  <c r="AB508" i="17" s="1"/>
  <c r="X507" i="17"/>
  <c r="W507" i="17"/>
  <c r="V507" i="17"/>
  <c r="AB507" i="17" s="1"/>
  <c r="X506" i="17"/>
  <c r="W506" i="17"/>
  <c r="V506" i="17"/>
  <c r="AB506" i="17" s="1"/>
  <c r="X505" i="17"/>
  <c r="W505" i="17"/>
  <c r="V505" i="17"/>
  <c r="AB505" i="17" s="1"/>
  <c r="X504" i="17"/>
  <c r="W504" i="17"/>
  <c r="V504" i="17"/>
  <c r="AB504" i="17" s="1"/>
  <c r="X503" i="17"/>
  <c r="W503" i="17"/>
  <c r="V503" i="17"/>
  <c r="AB503" i="17" s="1"/>
  <c r="X502" i="17"/>
  <c r="W502" i="17"/>
  <c r="V502" i="17"/>
  <c r="AB502" i="17" s="1"/>
  <c r="X501" i="17"/>
  <c r="W501" i="17"/>
  <c r="V501" i="17"/>
  <c r="AB501" i="17" s="1"/>
  <c r="X500" i="17"/>
  <c r="W500" i="17"/>
  <c r="V500" i="17"/>
  <c r="AB500" i="17" s="1"/>
  <c r="X499" i="17"/>
  <c r="W499" i="17"/>
  <c r="V499" i="17"/>
  <c r="AB499" i="17" s="1"/>
  <c r="X498" i="17"/>
  <c r="W498" i="17"/>
  <c r="V498" i="17"/>
  <c r="AB498" i="17" s="1"/>
  <c r="X497" i="17"/>
  <c r="W497" i="17"/>
  <c r="V497" i="17"/>
  <c r="AB497" i="17" s="1"/>
  <c r="X496" i="17"/>
  <c r="W496" i="17"/>
  <c r="V496" i="17"/>
  <c r="AB496" i="17" s="1"/>
  <c r="X495" i="17"/>
  <c r="W495" i="17"/>
  <c r="V495" i="17"/>
  <c r="AB495" i="17" s="1"/>
  <c r="X494" i="17"/>
  <c r="W494" i="17"/>
  <c r="V494" i="17"/>
  <c r="AB494" i="17" s="1"/>
  <c r="X493" i="17"/>
  <c r="W493" i="17"/>
  <c r="V493" i="17"/>
  <c r="AB493" i="17" s="1"/>
  <c r="X492" i="17"/>
  <c r="W492" i="17"/>
  <c r="V492" i="17"/>
  <c r="AB492" i="17" s="1"/>
  <c r="X491" i="17"/>
  <c r="W491" i="17"/>
  <c r="V491" i="17"/>
  <c r="AB491" i="17" s="1"/>
  <c r="X490" i="17"/>
  <c r="W490" i="17"/>
  <c r="V490" i="17"/>
  <c r="AB490" i="17" s="1"/>
  <c r="X489" i="17"/>
  <c r="W489" i="17"/>
  <c r="V489" i="17"/>
  <c r="AB489" i="17" s="1"/>
  <c r="X488" i="17"/>
  <c r="W488" i="17"/>
  <c r="V488" i="17"/>
  <c r="AB488" i="17" s="1"/>
  <c r="X487" i="17"/>
  <c r="W487" i="17"/>
  <c r="V487" i="17"/>
  <c r="AB487" i="17" s="1"/>
  <c r="X486" i="17"/>
  <c r="W486" i="17"/>
  <c r="V486" i="17"/>
  <c r="AB486" i="17" s="1"/>
  <c r="X485" i="17"/>
  <c r="W485" i="17"/>
  <c r="V485" i="17"/>
  <c r="AB485" i="17" s="1"/>
  <c r="X484" i="17"/>
  <c r="W484" i="17"/>
  <c r="V484" i="17"/>
  <c r="AB484" i="17" s="1"/>
  <c r="X483" i="17"/>
  <c r="W483" i="17"/>
  <c r="V483" i="17"/>
  <c r="AB483" i="17" s="1"/>
  <c r="X482" i="17"/>
  <c r="W482" i="17"/>
  <c r="V482" i="17"/>
  <c r="AB482" i="17" s="1"/>
  <c r="X481" i="17"/>
  <c r="W481" i="17"/>
  <c r="V481" i="17"/>
  <c r="AB481" i="17" s="1"/>
  <c r="X480" i="17"/>
  <c r="W480" i="17"/>
  <c r="V480" i="17"/>
  <c r="AB480" i="17" s="1"/>
  <c r="X479" i="17"/>
  <c r="W479" i="17"/>
  <c r="V479" i="17"/>
  <c r="AB479" i="17" s="1"/>
  <c r="X478" i="17"/>
  <c r="W478" i="17"/>
  <c r="V478" i="17"/>
  <c r="AB478" i="17" s="1"/>
  <c r="X477" i="17"/>
  <c r="W477" i="17"/>
  <c r="V477" i="17"/>
  <c r="AB477" i="17" s="1"/>
  <c r="X476" i="17"/>
  <c r="W476" i="17"/>
  <c r="V476" i="17"/>
  <c r="AB476" i="17" s="1"/>
  <c r="X475" i="17"/>
  <c r="W475" i="17"/>
  <c r="V475" i="17"/>
  <c r="AB475" i="17" s="1"/>
  <c r="X474" i="17"/>
  <c r="W474" i="17"/>
  <c r="V474" i="17"/>
  <c r="AB474" i="17" s="1"/>
  <c r="X473" i="17"/>
  <c r="W473" i="17"/>
  <c r="V473" i="17"/>
  <c r="AB473" i="17" s="1"/>
  <c r="X472" i="17"/>
  <c r="W472" i="17"/>
  <c r="V472" i="17"/>
  <c r="AB472" i="17" s="1"/>
  <c r="X471" i="17"/>
  <c r="W471" i="17"/>
  <c r="V471" i="17"/>
  <c r="AB471" i="17" s="1"/>
  <c r="X470" i="17"/>
  <c r="W470" i="17"/>
  <c r="V470" i="17"/>
  <c r="AB470" i="17" s="1"/>
  <c r="X469" i="17"/>
  <c r="W469" i="17"/>
  <c r="V469" i="17"/>
  <c r="AB469" i="17" s="1"/>
  <c r="X468" i="17"/>
  <c r="W468" i="17"/>
  <c r="V468" i="17"/>
  <c r="AB468" i="17" s="1"/>
  <c r="X467" i="17"/>
  <c r="W467" i="17"/>
  <c r="V467" i="17"/>
  <c r="AB467" i="17" s="1"/>
  <c r="X466" i="17"/>
  <c r="W466" i="17"/>
  <c r="V466" i="17"/>
  <c r="AB466" i="17" s="1"/>
  <c r="X465" i="17"/>
  <c r="W465" i="17"/>
  <c r="V465" i="17"/>
  <c r="AB465" i="17" s="1"/>
  <c r="X464" i="17"/>
  <c r="W464" i="17"/>
  <c r="V464" i="17"/>
  <c r="AB464" i="17" s="1"/>
  <c r="X463" i="17"/>
  <c r="W463" i="17"/>
  <c r="V463" i="17"/>
  <c r="AB463" i="17" s="1"/>
  <c r="X462" i="17"/>
  <c r="W462" i="17"/>
  <c r="V462" i="17"/>
  <c r="AB462" i="17" s="1"/>
  <c r="X461" i="17"/>
  <c r="W461" i="17"/>
  <c r="V461" i="17"/>
  <c r="AB461" i="17" s="1"/>
  <c r="X460" i="17"/>
  <c r="W460" i="17"/>
  <c r="V460" i="17"/>
  <c r="AB460" i="17" s="1"/>
  <c r="X459" i="17"/>
  <c r="W459" i="17"/>
  <c r="V459" i="17"/>
  <c r="AB459" i="17" s="1"/>
  <c r="X458" i="17"/>
  <c r="W458" i="17"/>
  <c r="V458" i="17"/>
  <c r="AB458" i="17" s="1"/>
  <c r="X457" i="17"/>
  <c r="W457" i="17"/>
  <c r="V457" i="17"/>
  <c r="AB457" i="17" s="1"/>
  <c r="X456" i="17"/>
  <c r="W456" i="17"/>
  <c r="V456" i="17"/>
  <c r="AB456" i="17" s="1"/>
  <c r="X455" i="17"/>
  <c r="W455" i="17"/>
  <c r="V455" i="17"/>
  <c r="AB455" i="17" s="1"/>
  <c r="X454" i="17"/>
  <c r="W454" i="17"/>
  <c r="V454" i="17"/>
  <c r="AB454" i="17" s="1"/>
  <c r="X453" i="17"/>
  <c r="W453" i="17"/>
  <c r="V453" i="17"/>
  <c r="AB453" i="17" s="1"/>
  <c r="X452" i="17"/>
  <c r="W452" i="17"/>
  <c r="V452" i="17"/>
  <c r="AB452" i="17" s="1"/>
  <c r="X451" i="17"/>
  <c r="W451" i="17"/>
  <c r="V451" i="17"/>
  <c r="AB451" i="17" s="1"/>
  <c r="X450" i="17"/>
  <c r="W450" i="17"/>
  <c r="V450" i="17"/>
  <c r="AB450" i="17" s="1"/>
  <c r="X449" i="17"/>
  <c r="W449" i="17"/>
  <c r="V449" i="17"/>
  <c r="AB449" i="17" s="1"/>
  <c r="X448" i="17"/>
  <c r="W448" i="17"/>
  <c r="V448" i="17"/>
  <c r="AB448" i="17" s="1"/>
  <c r="X447" i="17"/>
  <c r="W447" i="17"/>
  <c r="V447" i="17"/>
  <c r="AB447" i="17" s="1"/>
  <c r="X446" i="17"/>
  <c r="W446" i="17"/>
  <c r="V446" i="17"/>
  <c r="AB446" i="17" s="1"/>
  <c r="X445" i="17"/>
  <c r="W445" i="17"/>
  <c r="V445" i="17"/>
  <c r="AB445" i="17" s="1"/>
  <c r="X444" i="17"/>
  <c r="W444" i="17"/>
  <c r="V444" i="17"/>
  <c r="AB444" i="17" s="1"/>
  <c r="X443" i="17"/>
  <c r="W443" i="17"/>
  <c r="V443" i="17"/>
  <c r="AB443" i="17" s="1"/>
  <c r="X442" i="17"/>
  <c r="W442" i="17"/>
  <c r="V442" i="17"/>
  <c r="AB442" i="17" s="1"/>
  <c r="X441" i="17"/>
  <c r="W441" i="17"/>
  <c r="V441" i="17"/>
  <c r="AB441" i="17" s="1"/>
  <c r="X440" i="17"/>
  <c r="W440" i="17"/>
  <c r="V440" i="17"/>
  <c r="AB440" i="17" s="1"/>
  <c r="X439" i="17"/>
  <c r="W439" i="17"/>
  <c r="V439" i="17"/>
  <c r="AB439" i="17" s="1"/>
  <c r="X438" i="17"/>
  <c r="W438" i="17"/>
  <c r="V438" i="17"/>
  <c r="AB438" i="17" s="1"/>
  <c r="X437" i="17"/>
  <c r="W437" i="17"/>
  <c r="V437" i="17"/>
  <c r="AB437" i="17" s="1"/>
  <c r="X436" i="17"/>
  <c r="W436" i="17"/>
  <c r="V436" i="17"/>
  <c r="AB436" i="17" s="1"/>
  <c r="X435" i="17"/>
  <c r="W435" i="17"/>
  <c r="V435" i="17"/>
  <c r="AB435" i="17" s="1"/>
  <c r="X434" i="17"/>
  <c r="W434" i="17"/>
  <c r="V434" i="17"/>
  <c r="AB434" i="17" s="1"/>
  <c r="X433" i="17"/>
  <c r="W433" i="17"/>
  <c r="V433" i="17"/>
  <c r="AB433" i="17" s="1"/>
  <c r="X432" i="17"/>
  <c r="W432" i="17"/>
  <c r="V432" i="17"/>
  <c r="AB432" i="17" s="1"/>
  <c r="X431" i="17"/>
  <c r="W431" i="17"/>
  <c r="V431" i="17"/>
  <c r="AB431" i="17" s="1"/>
  <c r="X430" i="17"/>
  <c r="W430" i="17"/>
  <c r="V430" i="17"/>
  <c r="AB430" i="17" s="1"/>
  <c r="X429" i="17"/>
  <c r="W429" i="17"/>
  <c r="V429" i="17"/>
  <c r="AB429" i="17" s="1"/>
  <c r="X428" i="17"/>
  <c r="W428" i="17"/>
  <c r="V428" i="17"/>
  <c r="AB428" i="17" s="1"/>
  <c r="X427" i="17"/>
  <c r="W427" i="17"/>
  <c r="V427" i="17"/>
  <c r="AB427" i="17" s="1"/>
  <c r="X426" i="17"/>
  <c r="W426" i="17"/>
  <c r="V426" i="17"/>
  <c r="AB426" i="17" s="1"/>
  <c r="X425" i="17"/>
  <c r="W425" i="17"/>
  <c r="V425" i="17"/>
  <c r="AB425" i="17" s="1"/>
  <c r="X424" i="17"/>
  <c r="W424" i="17"/>
  <c r="V424" i="17"/>
  <c r="AB424" i="17" s="1"/>
  <c r="X423" i="17"/>
  <c r="W423" i="17"/>
  <c r="V423" i="17"/>
  <c r="AB423" i="17" s="1"/>
  <c r="X422" i="17"/>
  <c r="W422" i="17"/>
  <c r="V422" i="17"/>
  <c r="AB422" i="17" s="1"/>
  <c r="X421" i="17"/>
  <c r="W421" i="17"/>
  <c r="V421" i="17"/>
  <c r="AB421" i="17" s="1"/>
  <c r="X420" i="17"/>
  <c r="W420" i="17"/>
  <c r="V420" i="17"/>
  <c r="AB420" i="17" s="1"/>
  <c r="X419" i="17"/>
  <c r="W419" i="17"/>
  <c r="V419" i="17"/>
  <c r="AB419" i="17" s="1"/>
  <c r="X418" i="17"/>
  <c r="W418" i="17"/>
  <c r="V418" i="17"/>
  <c r="AB418" i="17" s="1"/>
  <c r="X417" i="17"/>
  <c r="W417" i="17"/>
  <c r="V417" i="17"/>
  <c r="AB417" i="17" s="1"/>
  <c r="X416" i="17"/>
  <c r="W416" i="17"/>
  <c r="V416" i="17"/>
  <c r="AB416" i="17" s="1"/>
  <c r="X415" i="17"/>
  <c r="W415" i="17"/>
  <c r="V415" i="17"/>
  <c r="AB415" i="17" s="1"/>
  <c r="X414" i="17"/>
  <c r="W414" i="17"/>
  <c r="V414" i="17"/>
  <c r="AB414" i="17" s="1"/>
  <c r="X413" i="17"/>
  <c r="W413" i="17"/>
  <c r="V413" i="17"/>
  <c r="AB413" i="17" s="1"/>
  <c r="X412" i="17"/>
  <c r="W412" i="17"/>
  <c r="V412" i="17"/>
  <c r="AB412" i="17" s="1"/>
  <c r="X411" i="17"/>
  <c r="W411" i="17"/>
  <c r="V411" i="17"/>
  <c r="AB411" i="17" s="1"/>
  <c r="X410" i="17"/>
  <c r="W410" i="17"/>
  <c r="V410" i="17"/>
  <c r="AB410" i="17" s="1"/>
  <c r="X409" i="17"/>
  <c r="W409" i="17"/>
  <c r="V409" i="17"/>
  <c r="AB409" i="17" s="1"/>
  <c r="X408" i="17"/>
  <c r="W408" i="17"/>
  <c r="V408" i="17"/>
  <c r="AB408" i="17" s="1"/>
  <c r="X407" i="17"/>
  <c r="W407" i="17"/>
  <c r="V407" i="17"/>
  <c r="AB407" i="17" s="1"/>
  <c r="X406" i="17"/>
  <c r="W406" i="17"/>
  <c r="V406" i="17"/>
  <c r="AB406" i="17" s="1"/>
  <c r="X405" i="17"/>
  <c r="W405" i="17"/>
  <c r="V405" i="17"/>
  <c r="AB405" i="17" s="1"/>
  <c r="X404" i="17"/>
  <c r="W404" i="17"/>
  <c r="V404" i="17"/>
  <c r="AB404" i="17" s="1"/>
  <c r="X403" i="17"/>
  <c r="W403" i="17"/>
  <c r="V403" i="17"/>
  <c r="AB403" i="17" s="1"/>
  <c r="X402" i="17"/>
  <c r="W402" i="17"/>
  <c r="V402" i="17"/>
  <c r="AB402" i="17" s="1"/>
  <c r="X401" i="17"/>
  <c r="W401" i="17"/>
  <c r="V401" i="17"/>
  <c r="AB401" i="17" s="1"/>
  <c r="X400" i="17"/>
  <c r="W400" i="17"/>
  <c r="V400" i="17"/>
  <c r="AB400" i="17" s="1"/>
  <c r="X399" i="17"/>
  <c r="W399" i="17"/>
  <c r="V399" i="17"/>
  <c r="AB399" i="17" s="1"/>
  <c r="X398" i="17"/>
  <c r="W398" i="17"/>
  <c r="V398" i="17"/>
  <c r="AB398" i="17" s="1"/>
  <c r="X397" i="17"/>
  <c r="W397" i="17"/>
  <c r="V397" i="17"/>
  <c r="AB397" i="17" s="1"/>
  <c r="X396" i="17"/>
  <c r="W396" i="17"/>
  <c r="V396" i="17"/>
  <c r="AB396" i="17" s="1"/>
  <c r="X395" i="17"/>
  <c r="W395" i="17"/>
  <c r="V395" i="17"/>
  <c r="AB395" i="17" s="1"/>
  <c r="X394" i="17"/>
  <c r="W394" i="17"/>
  <c r="V394" i="17"/>
  <c r="AB394" i="17" s="1"/>
  <c r="X393" i="17"/>
  <c r="W393" i="17"/>
  <c r="V393" i="17"/>
  <c r="AB393" i="17" s="1"/>
  <c r="X392" i="17"/>
  <c r="W392" i="17"/>
  <c r="V392" i="17"/>
  <c r="AB392" i="17" s="1"/>
  <c r="X391" i="17"/>
  <c r="W391" i="17"/>
  <c r="V391" i="17"/>
  <c r="AB391" i="17" s="1"/>
  <c r="X390" i="17"/>
  <c r="W390" i="17"/>
  <c r="V390" i="17"/>
  <c r="AB390" i="17" s="1"/>
  <c r="X389" i="17"/>
  <c r="W389" i="17"/>
  <c r="V389" i="17"/>
  <c r="AB389" i="17" s="1"/>
  <c r="X388" i="17"/>
  <c r="W388" i="17"/>
  <c r="V388" i="17"/>
  <c r="AB388" i="17" s="1"/>
  <c r="X387" i="17"/>
  <c r="W387" i="17"/>
  <c r="V387" i="17"/>
  <c r="AB387" i="17" s="1"/>
  <c r="X386" i="17"/>
  <c r="W386" i="17"/>
  <c r="V386" i="17"/>
  <c r="AB386" i="17" s="1"/>
  <c r="X385" i="17"/>
  <c r="W385" i="17"/>
  <c r="V385" i="17"/>
  <c r="AB385" i="17" s="1"/>
  <c r="X384" i="17"/>
  <c r="W384" i="17"/>
  <c r="V384" i="17"/>
  <c r="AB384" i="17" s="1"/>
  <c r="X383" i="17"/>
  <c r="W383" i="17"/>
  <c r="V383" i="17"/>
  <c r="AB383" i="17" s="1"/>
  <c r="X382" i="17"/>
  <c r="W382" i="17"/>
  <c r="V382" i="17"/>
  <c r="AB382" i="17" s="1"/>
  <c r="X381" i="17"/>
  <c r="W381" i="17"/>
  <c r="V381" i="17"/>
  <c r="AB381" i="17" s="1"/>
  <c r="X380" i="17"/>
  <c r="W380" i="17"/>
  <c r="V380" i="17"/>
  <c r="AB380" i="17" s="1"/>
  <c r="X379" i="17"/>
  <c r="W379" i="17"/>
  <c r="V379" i="17"/>
  <c r="AB379" i="17" s="1"/>
  <c r="X378" i="17"/>
  <c r="W378" i="17"/>
  <c r="V378" i="17"/>
  <c r="AB378" i="17" s="1"/>
  <c r="X377" i="17"/>
  <c r="W377" i="17"/>
  <c r="V377" i="17"/>
  <c r="AB377" i="17" s="1"/>
  <c r="X376" i="17"/>
  <c r="W376" i="17"/>
  <c r="V376" i="17"/>
  <c r="AB376" i="17" s="1"/>
  <c r="X375" i="17"/>
  <c r="W375" i="17"/>
  <c r="V375" i="17"/>
  <c r="AB375" i="17" s="1"/>
  <c r="X374" i="17"/>
  <c r="W374" i="17"/>
  <c r="V374" i="17"/>
  <c r="AB374" i="17" s="1"/>
  <c r="X373" i="17"/>
  <c r="W373" i="17"/>
  <c r="V373" i="17"/>
  <c r="AB373" i="17" s="1"/>
  <c r="X372" i="17"/>
  <c r="W372" i="17"/>
  <c r="V372" i="17"/>
  <c r="AB372" i="17" s="1"/>
  <c r="X371" i="17"/>
  <c r="W371" i="17"/>
  <c r="V371" i="17"/>
  <c r="AB371" i="17" s="1"/>
  <c r="X370" i="17"/>
  <c r="W370" i="17"/>
  <c r="V370" i="17"/>
  <c r="AB370" i="17" s="1"/>
  <c r="X369" i="17"/>
  <c r="W369" i="17"/>
  <c r="V369" i="17"/>
  <c r="AB369" i="17" s="1"/>
  <c r="X368" i="17"/>
  <c r="W368" i="17"/>
  <c r="V368" i="17"/>
  <c r="AB368" i="17" s="1"/>
  <c r="X367" i="17"/>
  <c r="W367" i="17"/>
  <c r="V367" i="17"/>
  <c r="AB367" i="17" s="1"/>
  <c r="X366" i="17"/>
  <c r="W366" i="17"/>
  <c r="V366" i="17"/>
  <c r="AB366" i="17" s="1"/>
  <c r="X365" i="17"/>
  <c r="W365" i="17"/>
  <c r="V365" i="17"/>
  <c r="AB365" i="17" s="1"/>
  <c r="X364" i="17"/>
  <c r="W364" i="17"/>
  <c r="V364" i="17"/>
  <c r="AB364" i="17" s="1"/>
  <c r="X363" i="17"/>
  <c r="W363" i="17"/>
  <c r="V363" i="17"/>
  <c r="AB363" i="17" s="1"/>
  <c r="X362" i="17"/>
  <c r="W362" i="17"/>
  <c r="V362" i="17"/>
  <c r="AB362" i="17" s="1"/>
  <c r="X361" i="17"/>
  <c r="W361" i="17"/>
  <c r="V361" i="17"/>
  <c r="AB361" i="17" s="1"/>
  <c r="X360" i="17"/>
  <c r="W360" i="17"/>
  <c r="V360" i="17"/>
  <c r="AB360" i="17" s="1"/>
  <c r="X359" i="17"/>
  <c r="W359" i="17"/>
  <c r="V359" i="17"/>
  <c r="AB359" i="17" s="1"/>
  <c r="X358" i="17"/>
  <c r="W358" i="17"/>
  <c r="V358" i="17"/>
  <c r="AB358" i="17" s="1"/>
  <c r="X357" i="17"/>
  <c r="W357" i="17"/>
  <c r="V357" i="17"/>
  <c r="AB357" i="17" s="1"/>
  <c r="X356" i="17"/>
  <c r="W356" i="17"/>
  <c r="V356" i="17"/>
  <c r="AB356" i="17" s="1"/>
  <c r="X355" i="17"/>
  <c r="W355" i="17"/>
  <c r="V355" i="17"/>
  <c r="AB355" i="17" s="1"/>
  <c r="X354" i="17"/>
  <c r="W354" i="17"/>
  <c r="V354" i="17"/>
  <c r="AB354" i="17" s="1"/>
  <c r="X353" i="17"/>
  <c r="W353" i="17"/>
  <c r="V353" i="17"/>
  <c r="AB353" i="17" s="1"/>
  <c r="X352" i="17"/>
  <c r="W352" i="17"/>
  <c r="V352" i="17"/>
  <c r="AB352" i="17" s="1"/>
  <c r="X351" i="17"/>
  <c r="W351" i="17"/>
  <c r="V351" i="17"/>
  <c r="AB351" i="17" s="1"/>
  <c r="X350" i="17"/>
  <c r="W350" i="17"/>
  <c r="V350" i="17"/>
  <c r="AB350" i="17" s="1"/>
  <c r="X349" i="17"/>
  <c r="W349" i="17"/>
  <c r="V349" i="17"/>
  <c r="AB349" i="17" s="1"/>
  <c r="X348" i="17"/>
  <c r="W348" i="17"/>
  <c r="V348" i="17"/>
  <c r="AB348" i="17" s="1"/>
  <c r="X347" i="17"/>
  <c r="W347" i="17"/>
  <c r="V347" i="17"/>
  <c r="AB347" i="17" s="1"/>
  <c r="X346" i="17"/>
  <c r="W346" i="17"/>
  <c r="V346" i="17"/>
  <c r="AB346" i="17" s="1"/>
  <c r="X345" i="17"/>
  <c r="W345" i="17"/>
  <c r="V345" i="17"/>
  <c r="AB345" i="17" s="1"/>
  <c r="X344" i="17"/>
  <c r="W344" i="17"/>
  <c r="V344" i="17"/>
  <c r="AB344" i="17" s="1"/>
  <c r="X343" i="17"/>
  <c r="W343" i="17"/>
  <c r="V343" i="17"/>
  <c r="AB343" i="17" s="1"/>
  <c r="X342" i="17"/>
  <c r="W342" i="17"/>
  <c r="V342" i="17"/>
  <c r="AB342" i="17" s="1"/>
  <c r="X341" i="17"/>
  <c r="W341" i="17"/>
  <c r="V341" i="17"/>
  <c r="AB341" i="17" s="1"/>
  <c r="X340" i="17"/>
  <c r="W340" i="17"/>
  <c r="V340" i="17"/>
  <c r="AB340" i="17" s="1"/>
  <c r="X339" i="17"/>
  <c r="W339" i="17"/>
  <c r="V339" i="17"/>
  <c r="AB339" i="17" s="1"/>
  <c r="X338" i="17"/>
  <c r="W338" i="17"/>
  <c r="V338" i="17"/>
  <c r="AB338" i="17" s="1"/>
  <c r="X337" i="17"/>
  <c r="W337" i="17"/>
  <c r="V337" i="17"/>
  <c r="AB337" i="17" s="1"/>
  <c r="X336" i="17"/>
  <c r="W336" i="17"/>
  <c r="V336" i="17"/>
  <c r="AB336" i="17" s="1"/>
  <c r="X335" i="17"/>
  <c r="W335" i="17"/>
  <c r="V335" i="17"/>
  <c r="AB335" i="17" s="1"/>
  <c r="X334" i="17"/>
  <c r="W334" i="17"/>
  <c r="V334" i="17"/>
  <c r="AB334" i="17" s="1"/>
  <c r="X333" i="17"/>
  <c r="W333" i="17"/>
  <c r="V333" i="17"/>
  <c r="AB333" i="17" s="1"/>
  <c r="X332" i="17"/>
  <c r="W332" i="17"/>
  <c r="V332" i="17"/>
  <c r="AB332" i="17" s="1"/>
  <c r="X331" i="17"/>
  <c r="W331" i="17"/>
  <c r="V331" i="17"/>
  <c r="AB331" i="17" s="1"/>
  <c r="X330" i="17"/>
  <c r="W330" i="17"/>
  <c r="V330" i="17"/>
  <c r="AB330" i="17" s="1"/>
  <c r="V329" i="17"/>
  <c r="AB329" i="17" s="1"/>
  <c r="V328" i="17"/>
  <c r="AB328" i="17" s="1"/>
  <c r="V327" i="17"/>
  <c r="AB327" i="17" s="1"/>
  <c r="V326" i="17"/>
  <c r="AB326" i="17" s="1"/>
  <c r="V325" i="17"/>
  <c r="AB325" i="17" s="1"/>
  <c r="V324" i="17"/>
  <c r="AB324" i="17" s="1"/>
  <c r="V323" i="17"/>
  <c r="AB323" i="17" s="1"/>
  <c r="V322" i="17"/>
  <c r="AB322" i="17" s="1"/>
  <c r="V321" i="17"/>
  <c r="AB321" i="17" s="1"/>
  <c r="V320" i="17"/>
  <c r="AB320" i="17" s="1"/>
  <c r="V319" i="17"/>
  <c r="AB319" i="17" s="1"/>
  <c r="V318" i="17"/>
  <c r="AB318" i="17" s="1"/>
  <c r="V317" i="17"/>
  <c r="AB317" i="17" s="1"/>
  <c r="V316" i="17"/>
  <c r="AB316" i="17" s="1"/>
  <c r="V315" i="17"/>
  <c r="AB315" i="17" s="1"/>
  <c r="V314" i="17"/>
  <c r="AB314" i="17" s="1"/>
  <c r="V313" i="17"/>
  <c r="AB313" i="17" s="1"/>
  <c r="V312" i="17"/>
  <c r="AB312" i="17" s="1"/>
  <c r="V311" i="17"/>
  <c r="AB311" i="17" s="1"/>
  <c r="V310" i="17"/>
  <c r="AB310" i="17" s="1"/>
  <c r="V309" i="17"/>
  <c r="AB309" i="17" s="1"/>
  <c r="V308" i="17"/>
  <c r="AB308" i="17" s="1"/>
  <c r="V307" i="17"/>
  <c r="AB307" i="17" s="1"/>
  <c r="V306" i="17"/>
  <c r="AB306" i="17" s="1"/>
  <c r="V305" i="17"/>
  <c r="AB305" i="17" s="1"/>
  <c r="V304" i="17"/>
  <c r="AB304" i="17" s="1"/>
  <c r="X303" i="17"/>
  <c r="W303" i="17"/>
  <c r="X302" i="17"/>
  <c r="W302" i="17"/>
  <c r="X301" i="17"/>
  <c r="W301" i="17"/>
  <c r="X300" i="17"/>
  <c r="W300" i="17"/>
  <c r="X299" i="17"/>
  <c r="W299" i="17"/>
  <c r="X298" i="17"/>
  <c r="W298" i="17"/>
  <c r="X297" i="17"/>
  <c r="W297" i="17"/>
  <c r="X296" i="17"/>
  <c r="W296" i="17"/>
  <c r="X295" i="17"/>
  <c r="W295" i="17"/>
  <c r="X294" i="17"/>
  <c r="W294" i="17"/>
  <c r="X293" i="17"/>
  <c r="W293" i="17"/>
  <c r="X292" i="17"/>
  <c r="W292" i="17"/>
  <c r="X291" i="17"/>
  <c r="W291" i="17"/>
  <c r="X290" i="17"/>
  <c r="W290" i="17"/>
  <c r="X289" i="17"/>
  <c r="W289" i="17"/>
  <c r="X288" i="17"/>
  <c r="W288" i="17"/>
  <c r="X287" i="17"/>
  <c r="W287" i="17"/>
  <c r="X286" i="17"/>
  <c r="W286" i="17"/>
  <c r="X285" i="17"/>
  <c r="W285" i="17"/>
  <c r="X284" i="17"/>
  <c r="W284" i="17"/>
  <c r="X283" i="17"/>
  <c r="W283" i="17"/>
  <c r="X282" i="17"/>
  <c r="W282" i="17"/>
  <c r="X281" i="17"/>
  <c r="W281" i="17"/>
  <c r="X280" i="17"/>
  <c r="W280" i="17"/>
  <c r="V279" i="17"/>
  <c r="AB279" i="17" s="1"/>
  <c r="V278" i="17"/>
  <c r="AB278" i="17" s="1"/>
  <c r="V277" i="17"/>
  <c r="AB277" i="17" s="1"/>
  <c r="V276" i="17"/>
  <c r="AB276" i="17" s="1"/>
  <c r="V275" i="17"/>
  <c r="AB275" i="17" s="1"/>
  <c r="V274" i="17"/>
  <c r="AB274" i="17" s="1"/>
  <c r="V273" i="17"/>
  <c r="AB273" i="17" s="1"/>
  <c r="V272" i="17"/>
  <c r="AB272" i="17" s="1"/>
  <c r="V271" i="17"/>
  <c r="AB271" i="17" s="1"/>
  <c r="V270" i="17"/>
  <c r="AB270" i="17" s="1"/>
  <c r="V269" i="17"/>
  <c r="AB269" i="17" s="1"/>
  <c r="V268" i="17"/>
  <c r="AB268" i="17" s="1"/>
  <c r="V267" i="17"/>
  <c r="AB267" i="17" s="1"/>
  <c r="V266" i="17"/>
  <c r="AB266" i="17" s="1"/>
  <c r="V265" i="17"/>
  <c r="AB265" i="17" s="1"/>
  <c r="V264" i="17"/>
  <c r="AB264" i="17" s="1"/>
  <c r="V263" i="17"/>
  <c r="AB263" i="17" s="1"/>
  <c r="V262" i="17"/>
  <c r="AB262" i="17" s="1"/>
  <c r="V261" i="17"/>
  <c r="AB261" i="17" s="1"/>
  <c r="V260" i="17"/>
  <c r="AB260" i="17" s="1"/>
  <c r="V259" i="17"/>
  <c r="AB259" i="17" s="1"/>
  <c r="V258" i="17"/>
  <c r="AB258" i="17" s="1"/>
  <c r="V257" i="17"/>
  <c r="AB257" i="17" s="1"/>
  <c r="V256" i="17"/>
  <c r="AB256" i="17" s="1"/>
  <c r="V255" i="17"/>
  <c r="AB255" i="17" s="1"/>
  <c r="V254" i="17"/>
  <c r="AB254" i="17" s="1"/>
  <c r="V253" i="17"/>
  <c r="AB253" i="17" s="1"/>
  <c r="V252" i="17"/>
  <c r="AB252" i="17" s="1"/>
  <c r="X251" i="17"/>
  <c r="W251" i="17"/>
  <c r="X250" i="17"/>
  <c r="W250" i="17"/>
  <c r="X249" i="17"/>
  <c r="W249" i="17"/>
  <c r="X248" i="17"/>
  <c r="W248" i="17"/>
  <c r="V247" i="17"/>
  <c r="AB247" i="17" s="1"/>
  <c r="V246" i="17"/>
  <c r="AB246" i="17" s="1"/>
  <c r="V245" i="17"/>
  <c r="AB245" i="17" s="1"/>
  <c r="V244" i="17"/>
  <c r="AB244" i="17" s="1"/>
  <c r="V243" i="17"/>
  <c r="AB243" i="17" s="1"/>
  <c r="X242" i="17"/>
  <c r="W242" i="17"/>
  <c r="V242" i="17"/>
  <c r="AB242" i="17" s="1"/>
  <c r="X241" i="17"/>
  <c r="W241" i="17"/>
  <c r="V241" i="17"/>
  <c r="AB241" i="17" s="1"/>
  <c r="X240" i="17"/>
  <c r="W240" i="17"/>
  <c r="V240" i="17"/>
  <c r="AB240" i="17" s="1"/>
  <c r="X239" i="17"/>
  <c r="W239" i="17"/>
  <c r="V239" i="17"/>
  <c r="AB239" i="17" s="1"/>
  <c r="X238" i="17"/>
  <c r="W238" i="17"/>
  <c r="V238" i="17"/>
  <c r="AB238" i="17" s="1"/>
  <c r="X237" i="17"/>
  <c r="W237" i="17"/>
  <c r="V237" i="17"/>
  <c r="AB237" i="17" s="1"/>
  <c r="X236" i="17"/>
  <c r="W236" i="17"/>
  <c r="V236" i="17"/>
  <c r="AB236" i="17" s="1"/>
  <c r="X235" i="17"/>
  <c r="W235" i="17"/>
  <c r="V235" i="17"/>
  <c r="AB235" i="17" s="1"/>
  <c r="X234" i="17"/>
  <c r="W234" i="17"/>
  <c r="V234" i="17"/>
  <c r="AB234" i="17" s="1"/>
  <c r="X233" i="17"/>
  <c r="W233" i="17"/>
  <c r="V233" i="17"/>
  <c r="AB233" i="17" s="1"/>
  <c r="X232" i="17"/>
  <c r="W232" i="17"/>
  <c r="V232" i="17"/>
  <c r="AB232" i="17" s="1"/>
  <c r="X231" i="17"/>
  <c r="W231" i="17"/>
  <c r="V231" i="17"/>
  <c r="AB231" i="17" s="1"/>
  <c r="X230" i="17"/>
  <c r="W230" i="17"/>
  <c r="V230" i="17"/>
  <c r="AB230" i="17" s="1"/>
  <c r="X229" i="17"/>
  <c r="W229" i="17"/>
  <c r="V229" i="17"/>
  <c r="AB229" i="17" s="1"/>
  <c r="X228" i="17"/>
  <c r="W228" i="17"/>
  <c r="V228" i="17"/>
  <c r="AB228" i="17" s="1"/>
  <c r="X227" i="17"/>
  <c r="W227" i="17"/>
  <c r="V227" i="17"/>
  <c r="AB227" i="17" s="1"/>
  <c r="X226" i="17"/>
  <c r="W226" i="17"/>
  <c r="V226" i="17"/>
  <c r="AB226" i="17" s="1"/>
  <c r="X225" i="17"/>
  <c r="W225" i="17"/>
  <c r="V225" i="17"/>
  <c r="AB225" i="17" s="1"/>
  <c r="X224" i="17"/>
  <c r="W224" i="17"/>
  <c r="V224" i="17"/>
  <c r="AB224" i="17" s="1"/>
  <c r="X223" i="17"/>
  <c r="W223" i="17"/>
  <c r="V223" i="17"/>
  <c r="AB223" i="17" s="1"/>
  <c r="X222" i="17"/>
  <c r="W222" i="17"/>
  <c r="V222" i="17"/>
  <c r="AB222" i="17" s="1"/>
  <c r="X221" i="17"/>
  <c r="W221" i="17"/>
  <c r="V221" i="17"/>
  <c r="AB221" i="17" s="1"/>
  <c r="X220" i="17"/>
  <c r="W220" i="17"/>
  <c r="V220" i="17"/>
  <c r="AB220" i="17" s="1"/>
  <c r="X219" i="17"/>
  <c r="W219" i="17"/>
  <c r="V219" i="17"/>
  <c r="AB219" i="17" s="1"/>
  <c r="X218" i="17"/>
  <c r="W218" i="17"/>
  <c r="V218" i="17"/>
  <c r="AB218" i="17" s="1"/>
  <c r="X217" i="17"/>
  <c r="W217" i="17"/>
  <c r="V217" i="17"/>
  <c r="AB217" i="17" s="1"/>
  <c r="X216" i="17"/>
  <c r="W216" i="17"/>
  <c r="V216" i="17"/>
  <c r="AB216" i="17" s="1"/>
  <c r="X215" i="17"/>
  <c r="W215" i="17"/>
  <c r="V215" i="17"/>
  <c r="AB215" i="17" s="1"/>
  <c r="X214" i="17"/>
  <c r="W214" i="17"/>
  <c r="V214" i="17"/>
  <c r="AB214" i="17" s="1"/>
  <c r="X213" i="17"/>
  <c r="W213" i="17"/>
  <c r="V213" i="17"/>
  <c r="AB213" i="17" s="1"/>
  <c r="X212" i="17"/>
  <c r="W212" i="17"/>
  <c r="V212" i="17"/>
  <c r="AB212" i="17" s="1"/>
  <c r="X211" i="17"/>
  <c r="W211" i="17"/>
  <c r="V211" i="17"/>
  <c r="AB211" i="17" s="1"/>
  <c r="X210" i="17"/>
  <c r="W210" i="17"/>
  <c r="V210" i="17"/>
  <c r="AB210" i="17" s="1"/>
  <c r="X209" i="17"/>
  <c r="W209" i="17"/>
  <c r="V209" i="17"/>
  <c r="AB209" i="17" s="1"/>
  <c r="X208" i="17"/>
  <c r="W208" i="17"/>
  <c r="V208" i="17"/>
  <c r="AB208" i="17" s="1"/>
  <c r="X207" i="17"/>
  <c r="W207" i="17"/>
  <c r="V207" i="17"/>
  <c r="AB207" i="17" s="1"/>
  <c r="X206" i="17"/>
  <c r="W206" i="17"/>
  <c r="V206" i="17"/>
  <c r="AB206" i="17" s="1"/>
  <c r="X205" i="17"/>
  <c r="W205" i="17"/>
  <c r="V205" i="17"/>
  <c r="AB205" i="17" s="1"/>
  <c r="X204" i="17"/>
  <c r="W204" i="17"/>
  <c r="V204" i="17"/>
  <c r="AB204" i="17" s="1"/>
  <c r="X203" i="17"/>
  <c r="W203" i="17"/>
  <c r="V203" i="17"/>
  <c r="AB203" i="17" s="1"/>
  <c r="X202" i="17"/>
  <c r="W202" i="17"/>
  <c r="V202" i="17"/>
  <c r="AB202" i="17" s="1"/>
  <c r="X201" i="17"/>
  <c r="W201" i="17"/>
  <c r="V201" i="17"/>
  <c r="AB201" i="17" s="1"/>
  <c r="X200" i="17"/>
  <c r="W200" i="17"/>
  <c r="V200" i="17"/>
  <c r="AB200" i="17" s="1"/>
  <c r="X199" i="17"/>
  <c r="W199" i="17"/>
  <c r="V199" i="17"/>
  <c r="AB199" i="17" s="1"/>
  <c r="X198" i="17"/>
  <c r="W198" i="17"/>
  <c r="V198" i="17"/>
  <c r="AB198" i="17" s="1"/>
  <c r="X197" i="17"/>
  <c r="W197" i="17"/>
  <c r="V197" i="17"/>
  <c r="AB197" i="17" s="1"/>
  <c r="X196" i="17"/>
  <c r="W196" i="17"/>
  <c r="V196" i="17"/>
  <c r="AB196" i="17" s="1"/>
  <c r="X195" i="17"/>
  <c r="W195" i="17"/>
  <c r="V195" i="17"/>
  <c r="AB195" i="17" s="1"/>
  <c r="X194" i="17"/>
  <c r="W194" i="17"/>
  <c r="V194" i="17"/>
  <c r="AB194" i="17" s="1"/>
  <c r="X193" i="17"/>
  <c r="W193" i="17"/>
  <c r="V193" i="17"/>
  <c r="AB193" i="17" s="1"/>
  <c r="X192" i="17"/>
  <c r="W192" i="17"/>
  <c r="V192" i="17"/>
  <c r="AB192" i="17" s="1"/>
  <c r="X191" i="17"/>
  <c r="W191" i="17"/>
  <c r="V191" i="17"/>
  <c r="AB191" i="17" s="1"/>
  <c r="X190" i="17"/>
  <c r="W190" i="17"/>
  <c r="V190" i="17"/>
  <c r="AB190" i="17" s="1"/>
  <c r="X189" i="17"/>
  <c r="W189" i="17"/>
  <c r="V189" i="17"/>
  <c r="AB189" i="17" s="1"/>
  <c r="X188" i="17"/>
  <c r="W188" i="17"/>
  <c r="V188" i="17"/>
  <c r="AB188" i="17" s="1"/>
  <c r="X187" i="17"/>
  <c r="W187" i="17"/>
  <c r="V187" i="17"/>
  <c r="AB187" i="17" s="1"/>
  <c r="X186" i="17"/>
  <c r="W186" i="17"/>
  <c r="V186" i="17"/>
  <c r="AB186" i="17" s="1"/>
  <c r="X185" i="17"/>
  <c r="W185" i="17"/>
  <c r="V185" i="17"/>
  <c r="AB185" i="17" s="1"/>
  <c r="X184" i="17"/>
  <c r="W184" i="17"/>
  <c r="V184" i="17"/>
  <c r="AB184" i="17" s="1"/>
  <c r="X183" i="17"/>
  <c r="W183" i="17"/>
  <c r="V183" i="17"/>
  <c r="AB183" i="17" s="1"/>
  <c r="X182" i="17"/>
  <c r="W182" i="17"/>
  <c r="V182" i="17"/>
  <c r="AB182" i="17" s="1"/>
  <c r="X181" i="17"/>
  <c r="W181" i="17"/>
  <c r="V181" i="17"/>
  <c r="AB181" i="17" s="1"/>
  <c r="X180" i="17"/>
  <c r="W180" i="17"/>
  <c r="V180" i="17"/>
  <c r="AB180" i="17" s="1"/>
  <c r="X179" i="17"/>
  <c r="W179" i="17"/>
  <c r="V179" i="17"/>
  <c r="AB179" i="17" s="1"/>
  <c r="X178" i="17"/>
  <c r="W178" i="17"/>
  <c r="V178" i="17"/>
  <c r="AB178" i="17" s="1"/>
  <c r="X177" i="17"/>
  <c r="W177" i="17"/>
  <c r="V177" i="17"/>
  <c r="AB177" i="17" s="1"/>
  <c r="X176" i="17"/>
  <c r="W176" i="17"/>
  <c r="V176" i="17"/>
  <c r="AB176" i="17" s="1"/>
  <c r="X175" i="17"/>
  <c r="W175" i="17"/>
  <c r="V175" i="17"/>
  <c r="AB175" i="17" s="1"/>
  <c r="X174" i="17"/>
  <c r="W174" i="17"/>
  <c r="V174" i="17"/>
  <c r="AB174" i="17" s="1"/>
  <c r="X173" i="17"/>
  <c r="W173" i="17"/>
  <c r="V173" i="17"/>
  <c r="AB173" i="17" s="1"/>
  <c r="X172" i="17"/>
  <c r="W172" i="17"/>
  <c r="V172" i="17"/>
  <c r="AB172" i="17" s="1"/>
  <c r="X171" i="17"/>
  <c r="W171" i="17"/>
  <c r="V171" i="17"/>
  <c r="AB171" i="17" s="1"/>
  <c r="X98" i="17"/>
  <c r="W98" i="17"/>
  <c r="V98" i="17"/>
  <c r="AB98" i="17" s="1"/>
  <c r="X97" i="17"/>
  <c r="W97" i="17"/>
  <c r="V97" i="17"/>
  <c r="AB97" i="17" s="1"/>
  <c r="X96" i="17"/>
  <c r="W96" i="17"/>
  <c r="V96" i="17"/>
  <c r="AB96" i="17" s="1"/>
  <c r="X95" i="17"/>
  <c r="W95" i="17"/>
  <c r="V95" i="17"/>
  <c r="AB95" i="17" s="1"/>
  <c r="X94" i="17"/>
  <c r="W94" i="17"/>
  <c r="V94" i="17"/>
  <c r="AB94" i="17" s="1"/>
  <c r="X93" i="17"/>
  <c r="W93" i="17"/>
  <c r="V93" i="17"/>
  <c r="AB93" i="17" s="1"/>
  <c r="X92" i="17"/>
  <c r="W92" i="17"/>
  <c r="V92" i="17"/>
  <c r="AB92" i="17" s="1"/>
  <c r="X91" i="17"/>
  <c r="W91" i="17"/>
  <c r="V91" i="17"/>
  <c r="AB91" i="17" s="1"/>
  <c r="X90" i="17"/>
  <c r="W90" i="17"/>
  <c r="V90" i="17"/>
  <c r="AB90" i="17" s="1"/>
  <c r="X89" i="17"/>
  <c r="W89" i="17"/>
  <c r="V89" i="17"/>
  <c r="AB89" i="17" s="1"/>
  <c r="X88" i="17"/>
  <c r="W88" i="17"/>
  <c r="V88" i="17"/>
  <c r="AB88" i="17" s="1"/>
  <c r="X87" i="17"/>
  <c r="W87" i="17"/>
  <c r="V87" i="17"/>
  <c r="AB87" i="17" s="1"/>
  <c r="X86" i="17"/>
  <c r="W86" i="17"/>
  <c r="V86" i="17"/>
  <c r="AB86" i="17" s="1"/>
  <c r="X85" i="17"/>
  <c r="W85" i="17"/>
  <c r="V85" i="17"/>
  <c r="AB85" i="17" s="1"/>
  <c r="X84" i="17"/>
  <c r="W84" i="17"/>
  <c r="V84" i="17"/>
  <c r="AB84" i="17" s="1"/>
  <c r="X83" i="17"/>
  <c r="W83" i="17"/>
  <c r="V83" i="17"/>
  <c r="AB83" i="17" s="1"/>
  <c r="X82" i="17"/>
  <c r="W82" i="17"/>
  <c r="V82" i="17"/>
  <c r="AB82" i="17" s="1"/>
  <c r="X81" i="17"/>
  <c r="W81" i="17"/>
  <c r="V81" i="17"/>
  <c r="AB81" i="17" s="1"/>
  <c r="X80" i="17"/>
  <c r="W80" i="17"/>
  <c r="V80" i="17"/>
  <c r="AB80" i="17" s="1"/>
  <c r="X79" i="17"/>
  <c r="W79" i="17"/>
  <c r="V79" i="17"/>
  <c r="AB79" i="17" s="1"/>
  <c r="X78" i="17"/>
  <c r="W78" i="17"/>
  <c r="V78" i="17"/>
  <c r="AB78" i="17" s="1"/>
  <c r="X77" i="17"/>
  <c r="W77" i="17"/>
  <c r="V77" i="17"/>
  <c r="AB77" i="17" s="1"/>
  <c r="X76" i="17"/>
  <c r="W76" i="17"/>
  <c r="V76" i="17"/>
  <c r="AB76" i="17" s="1"/>
  <c r="X75" i="17"/>
  <c r="W75" i="17"/>
  <c r="V75" i="17"/>
  <c r="AB75" i="17" s="1"/>
  <c r="X74" i="17"/>
  <c r="W74" i="17"/>
  <c r="V74" i="17"/>
  <c r="AB74" i="17" s="1"/>
  <c r="X73" i="17"/>
  <c r="W73" i="17"/>
  <c r="V73" i="17"/>
  <c r="AB73" i="17" s="1"/>
  <c r="X72" i="17"/>
  <c r="W72" i="17"/>
  <c r="V72" i="17"/>
  <c r="AB72" i="17" s="1"/>
  <c r="X71" i="17"/>
  <c r="W71" i="17"/>
  <c r="V71" i="17"/>
  <c r="AB71" i="17" s="1"/>
  <c r="X70" i="17"/>
  <c r="W70" i="17"/>
  <c r="V70" i="17"/>
  <c r="AB70" i="17" s="1"/>
  <c r="X69" i="17"/>
  <c r="W69" i="17"/>
  <c r="V69" i="17"/>
  <c r="AB69" i="17" s="1"/>
  <c r="X68" i="17"/>
  <c r="W68" i="17"/>
  <c r="V68" i="17"/>
  <c r="AB68" i="17" s="1"/>
  <c r="X67" i="17"/>
  <c r="W67" i="17"/>
  <c r="V67" i="17"/>
  <c r="AB67" i="17" s="1"/>
  <c r="X66" i="17"/>
  <c r="W66" i="17"/>
  <c r="V66" i="17"/>
  <c r="AB66" i="17" s="1"/>
  <c r="X65" i="17"/>
  <c r="W65" i="17"/>
  <c r="V65" i="17"/>
  <c r="AB65" i="17" s="1"/>
  <c r="X64" i="17"/>
  <c r="W64" i="17"/>
  <c r="V64" i="17"/>
  <c r="AB64" i="17" s="1"/>
  <c r="X63" i="17"/>
  <c r="W63" i="17"/>
  <c r="V63" i="17"/>
  <c r="AB63" i="17" s="1"/>
  <c r="X62" i="17"/>
  <c r="W62" i="17"/>
  <c r="X61" i="17"/>
  <c r="W61" i="17"/>
  <c r="X60" i="17"/>
  <c r="W60" i="17"/>
  <c r="X59" i="17"/>
  <c r="W59" i="17"/>
  <c r="X58" i="17"/>
  <c r="W58" i="17"/>
  <c r="X57" i="17"/>
  <c r="W57" i="17"/>
  <c r="X56" i="17"/>
  <c r="W56" i="17"/>
  <c r="X55" i="17"/>
  <c r="W55" i="17"/>
  <c r="X54" i="17"/>
  <c r="W54" i="17"/>
  <c r="X53" i="17"/>
  <c r="W53" i="17"/>
  <c r="X52" i="17"/>
  <c r="W52" i="17"/>
  <c r="X51" i="17"/>
  <c r="W51" i="17"/>
  <c r="V50" i="17"/>
  <c r="AB50" i="17" s="1"/>
  <c r="V49" i="17"/>
  <c r="AB49" i="17" s="1"/>
  <c r="V48" i="17"/>
  <c r="AB48" i="17" s="1"/>
  <c r="V47" i="17"/>
  <c r="AB47" i="17" s="1"/>
  <c r="V46" i="17"/>
  <c r="AB46" i="17" s="1"/>
  <c r="V45" i="17"/>
  <c r="AB45" i="17" s="1"/>
  <c r="V44" i="17"/>
  <c r="AB44" i="17" s="1"/>
  <c r="V43" i="17"/>
  <c r="AB43" i="17" s="1"/>
  <c r="V42" i="17"/>
  <c r="AB42" i="17" s="1"/>
  <c r="X41" i="17"/>
  <c r="W41" i="17"/>
  <c r="X40" i="17"/>
  <c r="W40" i="17"/>
  <c r="X39" i="17"/>
  <c r="W39" i="17"/>
  <c r="X38" i="17"/>
  <c r="W38" i="17"/>
  <c r="X37" i="17"/>
  <c r="W37" i="17"/>
  <c r="X36" i="17"/>
  <c r="W36" i="17"/>
  <c r="X35" i="17"/>
  <c r="W35" i="17"/>
  <c r="X34" i="17"/>
  <c r="W34" i="17"/>
  <c r="X33" i="17"/>
  <c r="W33" i="17"/>
  <c r="V32" i="17"/>
  <c r="AB32" i="17" s="1"/>
  <c r="V31" i="17"/>
  <c r="AB31" i="17" s="1"/>
  <c r="V30" i="17"/>
  <c r="AB30" i="17" s="1"/>
  <c r="V29" i="17"/>
  <c r="AB29" i="17" s="1"/>
  <c r="V28" i="17"/>
  <c r="AB28" i="17" s="1"/>
  <c r="V27" i="17"/>
  <c r="AB27" i="17" s="1"/>
  <c r="V26" i="17"/>
  <c r="AB26" i="17" s="1"/>
  <c r="V25" i="17"/>
  <c r="AB25" i="17" s="1"/>
  <c r="V24" i="17"/>
  <c r="AB24" i="17" s="1"/>
  <c r="V23" i="17"/>
  <c r="AB23" i="17" s="1"/>
  <c r="V22" i="17"/>
  <c r="AB22" i="17" s="1"/>
  <c r="V21" i="17"/>
  <c r="AB21" i="17" s="1"/>
  <c r="V20" i="17"/>
  <c r="AB20" i="17" s="1"/>
  <c r="V19" i="17"/>
  <c r="AB19" i="17" s="1"/>
  <c r="V18" i="17"/>
  <c r="AB18" i="17" s="1"/>
  <c r="X17" i="17"/>
  <c r="W17" i="17"/>
  <c r="X16" i="17"/>
  <c r="W16" i="17"/>
  <c r="X15" i="17"/>
  <c r="W15" i="17"/>
  <c r="X14" i="17"/>
  <c r="W14" i="17"/>
  <c r="X13" i="17"/>
  <c r="W13" i="17"/>
  <c r="X12" i="17"/>
  <c r="W12" i="17"/>
  <c r="V11" i="17"/>
  <c r="AB11" i="17" s="1"/>
  <c r="V10" i="17"/>
  <c r="AB10" i="17" s="1"/>
  <c r="V9" i="17"/>
  <c r="AB9" i="17" s="1"/>
  <c r="V8" i="17"/>
  <c r="AB8" i="17" s="1"/>
  <c r="X7" i="17"/>
  <c r="W7" i="17"/>
  <c r="V7" i="17"/>
  <c r="AB7" i="17" s="1"/>
  <c r="X6" i="17"/>
  <c r="W6" i="17"/>
  <c r="V6" i="17"/>
  <c r="AB6" i="17" s="1"/>
  <c r="X5" i="17"/>
  <c r="W5" i="17"/>
  <c r="V5" i="17"/>
  <c r="AB5" i="17" s="1"/>
  <c r="X4" i="17"/>
  <c r="W4" i="17"/>
  <c r="V4" i="17"/>
  <c r="AB4" i="17" s="1"/>
  <c r="X3" i="17"/>
  <c r="W3" i="17"/>
  <c r="V3" i="17"/>
  <c r="AB3" i="17" s="1"/>
  <c r="X2" i="17"/>
  <c r="W2" i="17"/>
  <c r="V2" i="17"/>
  <c r="AB2" i="17" s="1"/>
  <c r="AE2102" i="16"/>
  <c r="AE2101" i="16"/>
  <c r="AE2100" i="16"/>
  <c r="AE2099" i="16"/>
  <c r="AE2098" i="16"/>
  <c r="AE2097" i="16"/>
  <c r="AE2096" i="16"/>
  <c r="AE2095" i="16"/>
  <c r="AE2094" i="16"/>
  <c r="AE2093" i="16"/>
  <c r="AE2092" i="16"/>
  <c r="AE2091" i="16"/>
  <c r="AE2090" i="16"/>
  <c r="AE2089" i="16"/>
  <c r="AE2088" i="16"/>
  <c r="AE2087" i="16"/>
  <c r="AE2086" i="16"/>
  <c r="AE2085" i="16"/>
  <c r="AE2084" i="16"/>
  <c r="AE2083" i="16"/>
  <c r="AE2082" i="16"/>
  <c r="AE2081" i="16"/>
  <c r="AE2080" i="16"/>
  <c r="AE2079" i="16"/>
  <c r="AE2078" i="16"/>
  <c r="AE2077" i="16"/>
  <c r="AE2076" i="16"/>
  <c r="AE2075" i="16"/>
  <c r="AE2074" i="16"/>
  <c r="AE2073" i="16"/>
  <c r="AD2073" i="16"/>
  <c r="AC2073" i="16"/>
  <c r="AE2072" i="16"/>
  <c r="AD2072" i="16"/>
  <c r="AC2072" i="16"/>
  <c r="AE2071" i="16"/>
  <c r="AD2071" i="16"/>
  <c r="AE2070" i="16"/>
  <c r="AD2070" i="16"/>
  <c r="AC2070" i="16"/>
  <c r="AE2069" i="16"/>
  <c r="AD2069" i="16"/>
  <c r="AC2069" i="16"/>
  <c r="AE2068" i="16"/>
  <c r="AD2068" i="16"/>
  <c r="AC2068" i="16"/>
  <c r="AE2067" i="16"/>
  <c r="AD2067" i="16"/>
  <c r="AE2066" i="16"/>
  <c r="AD2066" i="16"/>
  <c r="AC2066" i="16"/>
  <c r="AE2065" i="16"/>
  <c r="AD2065" i="16"/>
  <c r="AC2065" i="16"/>
  <c r="AE2064" i="16"/>
  <c r="AD2064" i="16"/>
  <c r="AC2064" i="16"/>
  <c r="AE2063" i="16"/>
  <c r="AD2063" i="16"/>
  <c r="AE2062" i="16"/>
  <c r="AD2062" i="16"/>
  <c r="AC2062" i="16"/>
  <c r="AE2061" i="16"/>
  <c r="AD2061" i="16"/>
  <c r="AC2061" i="16"/>
  <c r="AE2060" i="16"/>
  <c r="AD2060" i="16"/>
  <c r="AC2060" i="16"/>
  <c r="AE2059" i="16"/>
  <c r="AD2059" i="16"/>
  <c r="AE2058" i="16"/>
  <c r="AD2058" i="16"/>
  <c r="AC2058" i="16"/>
  <c r="AE2057" i="16"/>
  <c r="AD2057" i="16"/>
  <c r="AC2057" i="16"/>
  <c r="AE2056" i="16"/>
  <c r="AD2056" i="16"/>
  <c r="AC2056" i="16"/>
  <c r="AE2055" i="16"/>
  <c r="AD2055" i="16"/>
  <c r="AE2054" i="16"/>
  <c r="AD2054" i="16"/>
  <c r="AC2054" i="16"/>
  <c r="AE2053" i="16"/>
  <c r="AD2053" i="16"/>
  <c r="AC2053" i="16"/>
  <c r="AE2052" i="16"/>
  <c r="AD2052" i="16"/>
  <c r="AC2052" i="16"/>
  <c r="AE2051" i="16"/>
  <c r="AD2051" i="16"/>
  <c r="AE2050" i="16"/>
  <c r="AD2050" i="16"/>
  <c r="AC2050" i="16"/>
  <c r="AE2049" i="16"/>
  <c r="AD2049" i="16"/>
  <c r="AC2049" i="16"/>
  <c r="AE2048" i="16"/>
  <c r="AD2048" i="16"/>
  <c r="AC2048" i="16"/>
  <c r="AE2047" i="16"/>
  <c r="AD2047" i="16"/>
  <c r="AE2046" i="16"/>
  <c r="AD2046" i="16"/>
  <c r="AC2046" i="16"/>
  <c r="AE2045" i="16"/>
  <c r="AD2045" i="16"/>
  <c r="AC2045" i="16"/>
  <c r="AE2044" i="16"/>
  <c r="AD2044" i="16"/>
  <c r="AC2044" i="16"/>
  <c r="AE2043" i="16"/>
  <c r="AD2043" i="16"/>
  <c r="AE2042" i="16"/>
  <c r="AD2042" i="16"/>
  <c r="AC2042" i="16"/>
  <c r="AE2041" i="16"/>
  <c r="AD2041" i="16"/>
  <c r="AC2041" i="16"/>
  <c r="AE2040" i="16"/>
  <c r="AD2040" i="16"/>
  <c r="AC2040" i="16"/>
  <c r="AE2039" i="16"/>
  <c r="AE2038" i="16"/>
  <c r="AE2037" i="16"/>
  <c r="AE2036" i="16"/>
  <c r="AE2035" i="16"/>
  <c r="AE2034" i="16"/>
  <c r="AE2033" i="16"/>
  <c r="AE2032" i="16"/>
  <c r="AE2031" i="16"/>
  <c r="AE2030" i="16"/>
  <c r="AE2029" i="16"/>
  <c r="AE2028" i="16"/>
  <c r="AE2027" i="16"/>
  <c r="AE2026" i="16"/>
  <c r="AE2025" i="16"/>
  <c r="AE2024" i="16"/>
  <c r="AE2023" i="16"/>
  <c r="AE2022" i="16"/>
  <c r="AE2021" i="16"/>
  <c r="AE2020" i="16"/>
  <c r="AE2019" i="16"/>
  <c r="AE2018" i="16"/>
  <c r="AE2017" i="16"/>
  <c r="AE2016" i="16"/>
  <c r="AE2015" i="16"/>
  <c r="AE2014" i="16"/>
  <c r="AE2013" i="16"/>
  <c r="AE2012" i="16"/>
  <c r="AE2011" i="16"/>
  <c r="AE2010" i="16"/>
  <c r="AE2009" i="16"/>
  <c r="AE2008" i="16"/>
  <c r="AE2007" i="16"/>
  <c r="AE2006" i="16"/>
  <c r="AE2005" i="16"/>
  <c r="AE2004" i="16"/>
  <c r="AE2003" i="16"/>
  <c r="AE2002" i="16"/>
  <c r="AE2001" i="16"/>
  <c r="AE2000" i="16"/>
  <c r="AE1999" i="16"/>
  <c r="AE1998" i="16"/>
  <c r="AE1997" i="16"/>
  <c r="AE1996" i="16"/>
  <c r="AE1995" i="16"/>
  <c r="AE1994" i="16"/>
  <c r="AE1993" i="16"/>
  <c r="AE1992" i="16"/>
  <c r="AE1991" i="16"/>
  <c r="AE1990" i="16"/>
  <c r="AE1989" i="16"/>
  <c r="AE1988" i="16"/>
  <c r="AE1987" i="16"/>
  <c r="AE1986" i="16"/>
  <c r="AE1985" i="16"/>
  <c r="AE1984" i="16"/>
  <c r="AE1983" i="16"/>
  <c r="AE1982" i="16"/>
  <c r="AE1981" i="16"/>
  <c r="AE1980" i="16"/>
  <c r="AE1979" i="16"/>
  <c r="AE1978" i="16"/>
  <c r="AE1977" i="16"/>
  <c r="AE1976" i="16"/>
  <c r="AE1975" i="16"/>
  <c r="AE1974" i="16"/>
  <c r="AE1973" i="16"/>
  <c r="AE1972" i="16"/>
  <c r="AE1971" i="16"/>
  <c r="AE1970" i="16"/>
  <c r="AE1969" i="16"/>
  <c r="AE1968" i="16"/>
  <c r="AE1967" i="16"/>
  <c r="AE1966" i="16"/>
  <c r="AE1965" i="16"/>
  <c r="AE1964" i="16"/>
  <c r="AE1963" i="16"/>
  <c r="AE1962" i="16"/>
  <c r="AE1961" i="16"/>
  <c r="AE1960" i="16"/>
  <c r="AE1959" i="16"/>
  <c r="AE1958" i="16"/>
  <c r="AE1957" i="16"/>
  <c r="AE1956" i="16"/>
  <c r="AE1955" i="16"/>
  <c r="AE1954" i="16"/>
  <c r="AE1953" i="16"/>
  <c r="AE1952" i="16"/>
  <c r="AE1951" i="16"/>
  <c r="AE1950" i="16"/>
  <c r="AE1949" i="16"/>
  <c r="AE1948" i="16"/>
  <c r="AE1947" i="16"/>
  <c r="AE1946" i="16"/>
  <c r="AE1945" i="16"/>
  <c r="AE1944" i="16"/>
  <c r="AE1943" i="16"/>
  <c r="AE1942" i="16"/>
  <c r="AE1941" i="16"/>
  <c r="AE1940" i="16"/>
  <c r="AE1939" i="16"/>
  <c r="AE1938" i="16"/>
  <c r="AE1937" i="16"/>
  <c r="AE1936" i="16"/>
  <c r="AE1935" i="16"/>
  <c r="AE1934" i="16"/>
  <c r="AE1933" i="16"/>
  <c r="AE1932" i="16"/>
  <c r="AE1931" i="16"/>
  <c r="AE1930" i="16"/>
  <c r="AE1929" i="16"/>
  <c r="AE1928" i="16"/>
  <c r="AE1927" i="16"/>
  <c r="AE1926" i="16"/>
  <c r="AE1925" i="16"/>
  <c r="AE1924" i="16"/>
  <c r="AE1923" i="16"/>
  <c r="AE1922" i="16"/>
  <c r="AE1921" i="16"/>
  <c r="AE1920" i="16"/>
  <c r="AE1919" i="16"/>
  <c r="AE1918" i="16"/>
  <c r="AE1917" i="16"/>
  <c r="AE1916" i="16"/>
  <c r="AE1915" i="16"/>
  <c r="AE1914" i="16"/>
  <c r="AE1913" i="16"/>
  <c r="AE1912" i="16"/>
  <c r="AE1911" i="16"/>
  <c r="AE1910" i="16"/>
  <c r="AE1909" i="16"/>
  <c r="AE1908" i="16"/>
  <c r="AE1907" i="16"/>
  <c r="AE1906" i="16"/>
  <c r="AE1905" i="16"/>
  <c r="AE1904" i="16"/>
  <c r="AE1903" i="16"/>
  <c r="AE1902" i="16"/>
  <c r="AE1901" i="16"/>
  <c r="AE1900" i="16"/>
  <c r="AE1899" i="16"/>
  <c r="AE1898" i="16"/>
  <c r="AE1897" i="16"/>
  <c r="AE1896" i="16"/>
  <c r="AE1895" i="16"/>
  <c r="AE1894" i="16"/>
  <c r="AE1893" i="16"/>
  <c r="AE1892" i="16"/>
  <c r="AE1891" i="16"/>
  <c r="AE1890" i="16"/>
  <c r="AE1889" i="16"/>
  <c r="AE1888" i="16"/>
  <c r="AE1887" i="16"/>
  <c r="AE1886" i="16"/>
  <c r="AE1885" i="16"/>
  <c r="AE1884" i="16"/>
  <c r="AE1883" i="16"/>
  <c r="AE1882" i="16"/>
  <c r="AE1881" i="16"/>
  <c r="AE1880" i="16"/>
  <c r="AE1879" i="16"/>
  <c r="AE1878" i="16"/>
  <c r="AE1877" i="16"/>
  <c r="AE1876" i="16"/>
  <c r="AE1875" i="16"/>
  <c r="AE1874" i="16"/>
  <c r="AE1873" i="16"/>
  <c r="AE1872" i="16"/>
  <c r="AE1871" i="16"/>
  <c r="AE1870" i="16"/>
  <c r="AE1869" i="16"/>
  <c r="AE1868" i="16"/>
  <c r="AE1867" i="16"/>
  <c r="AE1866" i="16"/>
  <c r="AE1865" i="16"/>
  <c r="AE1864" i="16"/>
  <c r="AE1863" i="16"/>
  <c r="AE1862" i="16"/>
  <c r="AE1861" i="16"/>
  <c r="AE1860" i="16"/>
  <c r="AE1859" i="16"/>
  <c r="AE1858" i="16"/>
  <c r="AE1857" i="16"/>
  <c r="AE1856" i="16"/>
  <c r="AE1855" i="16"/>
  <c r="AE1854" i="16"/>
  <c r="AE1853" i="16"/>
  <c r="AE1852" i="16"/>
  <c r="AE1851" i="16"/>
  <c r="AE1850" i="16"/>
  <c r="AE1849" i="16"/>
  <c r="AE1848" i="16"/>
  <c r="AE1847" i="16"/>
  <c r="AE1846" i="16"/>
  <c r="AE1845" i="16"/>
  <c r="AE1844" i="16"/>
  <c r="AE1843" i="16"/>
  <c r="AE1842" i="16"/>
  <c r="AE1841" i="16"/>
  <c r="AE1840" i="16"/>
  <c r="AE1839" i="16"/>
  <c r="AE1838" i="16"/>
  <c r="AE1837" i="16"/>
  <c r="AE1836" i="16"/>
  <c r="AE1835" i="16"/>
  <c r="AE1834" i="16"/>
  <c r="AE1833" i="16"/>
  <c r="AE1832" i="16"/>
  <c r="AE1831" i="16"/>
  <c r="AE1830" i="16"/>
  <c r="AE1829" i="16"/>
  <c r="AE1828" i="16"/>
  <c r="AE1827" i="16"/>
  <c r="AE1826" i="16"/>
  <c r="AE1825" i="16"/>
  <c r="AE1824" i="16"/>
  <c r="AE1823" i="16"/>
  <c r="AE1822" i="16"/>
  <c r="AE1821" i="16"/>
  <c r="AE1820" i="16"/>
  <c r="AE1819" i="16"/>
  <c r="AE1818" i="16"/>
  <c r="AE1817" i="16"/>
  <c r="AE1816" i="16"/>
  <c r="AE1815" i="16"/>
  <c r="AE1814" i="16"/>
  <c r="AE1813" i="16"/>
  <c r="AE1812" i="16"/>
  <c r="AE1811" i="16"/>
  <c r="AE1810" i="16"/>
  <c r="AE1809" i="16"/>
  <c r="AE1808" i="16"/>
  <c r="AE1807" i="16"/>
  <c r="AE1806" i="16"/>
  <c r="AE1805" i="16"/>
  <c r="AE1804" i="16"/>
  <c r="AE1803" i="16"/>
  <c r="AE1802" i="16"/>
  <c r="AE1801" i="16"/>
  <c r="AE1800" i="16"/>
  <c r="AE1799" i="16"/>
  <c r="AE1798" i="16"/>
  <c r="AE1797" i="16"/>
  <c r="AE1796" i="16"/>
  <c r="AE1795" i="16"/>
  <c r="AE1794" i="16"/>
  <c r="AE1793" i="16"/>
  <c r="AE1792" i="16"/>
  <c r="AE1791" i="16"/>
  <c r="AE1790" i="16"/>
  <c r="AE1789" i="16"/>
  <c r="AE1788" i="16"/>
  <c r="AE1787" i="16"/>
  <c r="AE1786" i="16"/>
  <c r="AE1785" i="16"/>
  <c r="AE1784" i="16"/>
  <c r="AE1783" i="16"/>
  <c r="AE1782" i="16"/>
  <c r="AE1781" i="16"/>
  <c r="AE1780" i="16"/>
  <c r="AE1779" i="16"/>
  <c r="AE1778" i="16"/>
  <c r="AE1777" i="16"/>
  <c r="AE1776" i="16"/>
  <c r="AE1775" i="16"/>
  <c r="AE1774" i="16"/>
  <c r="AE1773" i="16"/>
  <c r="AE1772" i="16"/>
  <c r="AE1771" i="16"/>
  <c r="AE1770" i="16"/>
  <c r="AE1769" i="16"/>
  <c r="AE1768" i="16"/>
  <c r="AE1767" i="16"/>
  <c r="AE1766" i="16"/>
  <c r="AE1765" i="16"/>
  <c r="AE1764" i="16"/>
  <c r="AE1763" i="16"/>
  <c r="AE1762" i="16"/>
  <c r="AE1761" i="16"/>
  <c r="AE1760" i="16"/>
  <c r="AE1759" i="16"/>
  <c r="AE1758" i="16"/>
  <c r="AE1757" i="16"/>
  <c r="AE1756" i="16"/>
  <c r="AE1755" i="16"/>
  <c r="AE1754" i="16"/>
  <c r="AE1753" i="16"/>
  <c r="AE1752" i="16"/>
  <c r="AE1751" i="16"/>
  <c r="AE1750" i="16"/>
  <c r="AE1749" i="16"/>
  <c r="AE1748" i="16"/>
  <c r="AE1747" i="16"/>
  <c r="AE1746" i="16"/>
  <c r="AE1745" i="16"/>
  <c r="AE1744" i="16"/>
  <c r="AE1743" i="16"/>
  <c r="AE1742" i="16"/>
  <c r="AE1741" i="16"/>
  <c r="AE1740" i="16"/>
  <c r="AE1739" i="16"/>
  <c r="AE1738" i="16"/>
  <c r="AE1737" i="16"/>
  <c r="AE1736" i="16"/>
  <c r="AE1735" i="16"/>
  <c r="AE1734" i="16"/>
  <c r="AE1733" i="16"/>
  <c r="AE1732" i="16"/>
  <c r="AE1731" i="16"/>
  <c r="AE1730" i="16"/>
  <c r="AE1729" i="16"/>
  <c r="AE1728" i="16"/>
  <c r="AE1727" i="16"/>
  <c r="AE1726" i="16"/>
  <c r="AE1725" i="16"/>
  <c r="AE1724" i="16"/>
  <c r="AE1723" i="16"/>
  <c r="AE1722" i="16"/>
  <c r="AE1721" i="16"/>
  <c r="AE1720" i="16"/>
  <c r="AE1719" i="16"/>
  <c r="AE1718" i="16"/>
  <c r="AE1717" i="16"/>
  <c r="AE1716" i="16"/>
  <c r="AE1715" i="16"/>
  <c r="AE1714" i="16"/>
  <c r="AE1713" i="16"/>
  <c r="AE1712" i="16"/>
  <c r="AE1711" i="16"/>
  <c r="AE1710" i="16"/>
  <c r="AE1709" i="16"/>
  <c r="AE1708" i="16"/>
  <c r="AE1707" i="16"/>
  <c r="AE1706" i="16"/>
  <c r="AE1705" i="16"/>
  <c r="AE1704" i="16"/>
  <c r="AE1703" i="16"/>
  <c r="AE1702" i="16"/>
  <c r="AE1701" i="16"/>
  <c r="AE1700" i="16"/>
  <c r="AE1699" i="16"/>
  <c r="AE1698" i="16"/>
  <c r="AE1697" i="16"/>
  <c r="AE1696" i="16"/>
  <c r="AE1695" i="16"/>
  <c r="AE1694" i="16"/>
  <c r="AE1693" i="16"/>
  <c r="AE1692" i="16"/>
  <c r="AE1691" i="16"/>
  <c r="AE1690" i="16"/>
  <c r="AE1689" i="16"/>
  <c r="AE1688" i="16"/>
  <c r="AE1687" i="16"/>
  <c r="AE1686" i="16"/>
  <c r="AE1685" i="16"/>
  <c r="AE1684" i="16"/>
  <c r="AE1683" i="16"/>
  <c r="AE1682" i="16"/>
  <c r="AE1681" i="16"/>
  <c r="AE1680" i="16"/>
  <c r="AE1679" i="16"/>
  <c r="AE1678" i="16"/>
  <c r="AE1677" i="16"/>
  <c r="AE1676" i="16"/>
  <c r="AE1675" i="16"/>
  <c r="AE1674" i="16"/>
  <c r="AE1673" i="16"/>
  <c r="AE1672" i="16"/>
  <c r="AE1671" i="16"/>
  <c r="AE1670" i="16"/>
  <c r="AE1669" i="16"/>
  <c r="AE1668" i="16"/>
  <c r="AE1667" i="16"/>
  <c r="AE1666" i="16"/>
  <c r="AE1665" i="16"/>
  <c r="AE1664" i="16"/>
  <c r="AE1663" i="16"/>
  <c r="AE1662" i="16"/>
  <c r="AE1661" i="16"/>
  <c r="AE1660" i="16"/>
  <c r="AE1659" i="16"/>
  <c r="AE1658" i="16"/>
  <c r="AE1657" i="16"/>
  <c r="AE1656" i="16"/>
  <c r="AE1655" i="16"/>
  <c r="AE1654" i="16"/>
  <c r="AE1653" i="16"/>
  <c r="AE1652" i="16"/>
  <c r="AE1651" i="16"/>
  <c r="AE1650" i="16"/>
  <c r="AE1649" i="16"/>
  <c r="AE1648" i="16"/>
  <c r="AE1647" i="16"/>
  <c r="AE1646" i="16"/>
  <c r="AE1645" i="16"/>
  <c r="AE1644" i="16"/>
  <c r="AE1643" i="16"/>
  <c r="AE1642" i="16"/>
  <c r="AE1641" i="16"/>
  <c r="AE1640" i="16"/>
  <c r="AE1639" i="16"/>
  <c r="AE1638" i="16"/>
  <c r="AE1637" i="16"/>
  <c r="AE1636" i="16"/>
  <c r="AE1635" i="16"/>
  <c r="AE1634" i="16"/>
  <c r="AE1633" i="16"/>
  <c r="AE1632" i="16"/>
  <c r="AE1631" i="16"/>
  <c r="AE1630" i="16"/>
  <c r="AE1629" i="16"/>
  <c r="AE1628" i="16"/>
  <c r="AE1627" i="16"/>
  <c r="AE1626" i="16"/>
  <c r="AE1625" i="16"/>
  <c r="AE1624" i="16"/>
  <c r="AE1623" i="16"/>
  <c r="AE1622" i="16"/>
  <c r="AE1621" i="16"/>
  <c r="AE1620" i="16"/>
  <c r="AE1619" i="16"/>
  <c r="AE1618" i="16"/>
  <c r="AE1617" i="16"/>
  <c r="AE1616" i="16"/>
  <c r="AE1615" i="16"/>
  <c r="AE1614" i="16"/>
  <c r="AE1613" i="16"/>
  <c r="AE1612" i="16"/>
  <c r="AE1611" i="16"/>
  <c r="AE1610" i="16"/>
  <c r="AE1609" i="16"/>
  <c r="AE1608" i="16"/>
  <c r="AE1607" i="16"/>
  <c r="AE1606" i="16"/>
  <c r="AE1605" i="16"/>
  <c r="AE1604" i="16"/>
  <c r="AE1603" i="16"/>
  <c r="AE1602" i="16"/>
  <c r="AE1601" i="16"/>
  <c r="AE1600" i="16"/>
  <c r="AE1599" i="16"/>
  <c r="AE1598" i="16"/>
  <c r="AE1597" i="16"/>
  <c r="AE1596" i="16"/>
  <c r="AE1595" i="16"/>
  <c r="AE1594" i="16"/>
  <c r="AE1593" i="16"/>
  <c r="AE1592" i="16"/>
  <c r="AE1591" i="16"/>
  <c r="AE1590" i="16"/>
  <c r="AE1589" i="16"/>
  <c r="AE1588" i="16"/>
  <c r="AE1587" i="16"/>
  <c r="AE1586" i="16"/>
  <c r="AE1585" i="16"/>
  <c r="AE1584" i="16"/>
  <c r="AE1583" i="16"/>
  <c r="AE1582" i="16"/>
  <c r="AE1581" i="16"/>
  <c r="AE1580" i="16"/>
  <c r="AE1579" i="16"/>
  <c r="AE1578" i="16"/>
  <c r="AE1577" i="16"/>
  <c r="AE1576" i="16"/>
  <c r="AE1575" i="16"/>
  <c r="AE1574" i="16"/>
  <c r="AE1573" i="16"/>
  <c r="AE1572" i="16"/>
  <c r="AE1571" i="16"/>
  <c r="AE1570" i="16"/>
  <c r="AE1569" i="16"/>
  <c r="AE1568" i="16"/>
  <c r="AE1567" i="16"/>
  <c r="AE1566" i="16"/>
  <c r="AE1565" i="16"/>
  <c r="AE1564" i="16"/>
  <c r="AE1563" i="16"/>
  <c r="AE1562" i="16"/>
  <c r="AE1561" i="16"/>
  <c r="AE1560" i="16"/>
  <c r="AE1559" i="16"/>
  <c r="AE1558" i="16"/>
  <c r="AE1557" i="16"/>
  <c r="AE1556" i="16"/>
  <c r="AE1555" i="16"/>
  <c r="AE1554" i="16"/>
  <c r="AE1553" i="16"/>
  <c r="AE1552" i="16"/>
  <c r="AE1551" i="16"/>
  <c r="AE1550" i="16"/>
  <c r="AE1549" i="16"/>
  <c r="AE1548" i="16"/>
  <c r="AE1547" i="16"/>
  <c r="AE1546" i="16"/>
  <c r="AE1545" i="16"/>
  <c r="AE1544" i="16"/>
  <c r="AE1543" i="16"/>
  <c r="AE1542" i="16"/>
  <c r="AE1541" i="16"/>
  <c r="AE1540" i="16"/>
  <c r="AE1539" i="16"/>
  <c r="AE1538" i="16"/>
  <c r="AE1537" i="16"/>
  <c r="AE1536" i="16"/>
  <c r="AE1535" i="16"/>
  <c r="AE1534" i="16"/>
  <c r="AE1533" i="16"/>
  <c r="AE1532" i="16"/>
  <c r="AE1531" i="16"/>
  <c r="AE1530" i="16"/>
  <c r="AE1529" i="16"/>
  <c r="AE1528" i="16"/>
  <c r="AE1527" i="16"/>
  <c r="AE1526" i="16"/>
  <c r="AE1525" i="16"/>
  <c r="AE1524" i="16"/>
  <c r="AE1523" i="16"/>
  <c r="AE1522" i="16"/>
  <c r="AE1521" i="16"/>
  <c r="AE1520" i="16"/>
  <c r="AE1519" i="16"/>
  <c r="AE1518" i="16"/>
  <c r="AE1517" i="16"/>
  <c r="AE1516" i="16"/>
  <c r="AE1515" i="16"/>
  <c r="AE1514" i="16"/>
  <c r="AE1513" i="16"/>
  <c r="AE1512" i="16"/>
  <c r="AE1511" i="16"/>
  <c r="AE1510" i="16"/>
  <c r="AE1509" i="16"/>
  <c r="AE1508" i="16"/>
  <c r="AE1507" i="16"/>
  <c r="AE1506" i="16"/>
  <c r="AE1505" i="16"/>
  <c r="AE1504" i="16"/>
  <c r="AE1503" i="16"/>
  <c r="AE1502" i="16"/>
  <c r="AE1501" i="16"/>
  <c r="AE1500" i="16"/>
  <c r="AE1499" i="16"/>
  <c r="AE1498" i="16"/>
  <c r="AE1497" i="16"/>
  <c r="AE1496" i="16"/>
  <c r="AE1495" i="16"/>
  <c r="AE1494" i="16"/>
  <c r="AE1493" i="16"/>
  <c r="AE1492" i="16"/>
  <c r="AE1491" i="16"/>
  <c r="AE1490" i="16"/>
  <c r="AE1489" i="16"/>
  <c r="AE1488" i="16"/>
  <c r="AE1487" i="16"/>
  <c r="AE1486" i="16"/>
  <c r="AE1485" i="16"/>
  <c r="AE1484" i="16"/>
  <c r="AE1483" i="16"/>
  <c r="AE1482" i="16"/>
  <c r="AE1481" i="16"/>
  <c r="AE1480" i="16"/>
  <c r="AE1479" i="16"/>
  <c r="AE1478" i="16"/>
  <c r="AE1477" i="16"/>
  <c r="AE1476" i="16"/>
  <c r="AE1475" i="16"/>
  <c r="AE1474" i="16"/>
  <c r="AE1473" i="16"/>
  <c r="AE1472" i="16"/>
  <c r="AE1471" i="16"/>
  <c r="AE1470" i="16"/>
  <c r="AE1469" i="16"/>
  <c r="AE1468" i="16"/>
  <c r="AE1467" i="16"/>
  <c r="AE1466" i="16"/>
  <c r="AE1465" i="16"/>
  <c r="AE1464" i="16"/>
  <c r="AE1463" i="16"/>
  <c r="AE1462" i="16"/>
  <c r="AE1461" i="16"/>
  <c r="AE1460" i="16"/>
  <c r="AE1459" i="16"/>
  <c r="AE1458" i="16"/>
  <c r="AE1457" i="16"/>
  <c r="AE1456" i="16"/>
  <c r="AE1455" i="16"/>
  <c r="AE1454" i="16"/>
  <c r="AE1453" i="16"/>
  <c r="AE1452" i="16"/>
  <c r="AE1451" i="16"/>
  <c r="AE1450" i="16"/>
  <c r="AE1449" i="16"/>
  <c r="AE1448" i="16"/>
  <c r="AE1447" i="16"/>
  <c r="AE1446" i="16"/>
  <c r="AE1445" i="16"/>
  <c r="AE1444" i="16"/>
  <c r="AE1443" i="16"/>
  <c r="AE1442" i="16"/>
  <c r="AE1441" i="16"/>
  <c r="AE1440" i="16"/>
  <c r="AE1439" i="16"/>
  <c r="AE1438" i="16"/>
  <c r="AE1437" i="16"/>
  <c r="AE1436" i="16"/>
  <c r="AE1435" i="16"/>
  <c r="AE1434" i="16"/>
  <c r="AE1433" i="16"/>
  <c r="AE1432" i="16"/>
  <c r="AE1431" i="16"/>
  <c r="AE1430" i="16"/>
  <c r="AE1429" i="16"/>
  <c r="AE1428" i="16"/>
  <c r="AE1427" i="16"/>
  <c r="AE1426" i="16"/>
  <c r="AE1425" i="16"/>
  <c r="AE1424" i="16"/>
  <c r="AE1423" i="16"/>
  <c r="AE1422" i="16"/>
  <c r="AE1421" i="16"/>
  <c r="AE1420" i="16"/>
  <c r="AE1419" i="16"/>
  <c r="AE1418" i="16"/>
  <c r="AE1417" i="16"/>
  <c r="AE1416" i="16"/>
  <c r="AE1415" i="16"/>
  <c r="AE1414" i="16"/>
  <c r="AE1413" i="16"/>
  <c r="AE1412" i="16"/>
  <c r="AE1411" i="16"/>
  <c r="AE1410" i="16"/>
  <c r="AE1409" i="16"/>
  <c r="AE1408" i="16"/>
  <c r="AE1407" i="16"/>
  <c r="AE1406" i="16"/>
  <c r="AE1405" i="16"/>
  <c r="AE1404" i="16"/>
  <c r="AE1403" i="16"/>
  <c r="AE1402" i="16"/>
  <c r="AE1401" i="16"/>
  <c r="AE1400" i="16"/>
  <c r="AE1399" i="16"/>
  <c r="AE1398" i="16"/>
  <c r="AE1397" i="16"/>
  <c r="AE1396" i="16"/>
  <c r="AE1395" i="16"/>
  <c r="AE1394" i="16"/>
  <c r="AE1393" i="16"/>
  <c r="AE1392" i="16"/>
  <c r="AE1391" i="16"/>
  <c r="AE1390" i="16"/>
  <c r="AE1389" i="16"/>
  <c r="AE1388" i="16"/>
  <c r="AE1387" i="16"/>
  <c r="AE1386" i="16"/>
  <c r="AE1385" i="16"/>
  <c r="AE1384" i="16"/>
  <c r="AE1383" i="16"/>
  <c r="AE1382" i="16"/>
  <c r="AE1381" i="16"/>
  <c r="AE1380" i="16"/>
  <c r="AE1379" i="16"/>
  <c r="AE1378" i="16"/>
  <c r="AE1377" i="16"/>
  <c r="AE1376" i="16"/>
  <c r="AE1375" i="16"/>
  <c r="AE1374" i="16"/>
  <c r="AE1373" i="16"/>
  <c r="AE1372" i="16"/>
  <c r="AE1371" i="16"/>
  <c r="AE1370" i="16"/>
  <c r="AE1369" i="16"/>
  <c r="AE1368" i="16"/>
  <c r="AE1367" i="16"/>
  <c r="AE1366" i="16"/>
  <c r="AE1365" i="16"/>
  <c r="AE1364" i="16"/>
  <c r="AE1363" i="16"/>
  <c r="AE1362" i="16"/>
  <c r="AE1361" i="16"/>
  <c r="AE1360" i="16"/>
  <c r="AE1359" i="16"/>
  <c r="AE1358" i="16"/>
  <c r="AE1357" i="16"/>
  <c r="AE1356" i="16"/>
  <c r="AE1355" i="16"/>
  <c r="AE1354" i="16"/>
  <c r="AE1353" i="16"/>
  <c r="AE1352" i="16"/>
  <c r="AE1351" i="16"/>
  <c r="AE1350" i="16"/>
  <c r="AE1349" i="16"/>
  <c r="AE1348" i="16"/>
  <c r="AE1347" i="16"/>
  <c r="AE1346" i="16"/>
  <c r="AE1345" i="16"/>
  <c r="AE1344" i="16"/>
  <c r="AE1343" i="16"/>
  <c r="AE1342" i="16"/>
  <c r="AE1341" i="16"/>
  <c r="AE1340" i="16"/>
  <c r="AE1339" i="16"/>
  <c r="AE1338" i="16"/>
  <c r="AE1337" i="16"/>
  <c r="AE1336" i="16"/>
  <c r="AE1335" i="16"/>
  <c r="AE1334" i="16"/>
  <c r="AE1333" i="16"/>
  <c r="AE1332" i="16"/>
  <c r="AE1331" i="16"/>
  <c r="AE1330" i="16"/>
  <c r="AE1329" i="16"/>
  <c r="AE1328" i="16"/>
  <c r="AE1327" i="16"/>
  <c r="AE1326" i="16"/>
  <c r="AE1325" i="16"/>
  <c r="AE1324" i="16"/>
  <c r="AE1323" i="16"/>
  <c r="AE1322" i="16"/>
  <c r="AE1321" i="16"/>
  <c r="AE1320" i="16"/>
  <c r="AE1319" i="16"/>
  <c r="AE1318" i="16"/>
  <c r="AE1317" i="16"/>
  <c r="AE1316" i="16"/>
  <c r="AE1315" i="16"/>
  <c r="AE1314" i="16"/>
  <c r="AE1313" i="16"/>
  <c r="AE1312" i="16"/>
  <c r="AE1311" i="16"/>
  <c r="AE1310" i="16"/>
  <c r="AE1309" i="16"/>
  <c r="AE1308" i="16"/>
  <c r="AE1307" i="16"/>
  <c r="AE1306" i="16"/>
  <c r="AE1305" i="16"/>
  <c r="AE1304" i="16"/>
  <c r="AE1303" i="16"/>
  <c r="AE1302" i="16"/>
  <c r="AE1301" i="16"/>
  <c r="AE1300" i="16"/>
  <c r="AE1299" i="16"/>
  <c r="AE1298" i="16"/>
  <c r="AE1297" i="16"/>
  <c r="AE1296" i="16"/>
  <c r="AE1295" i="16"/>
  <c r="AE1294" i="16"/>
  <c r="AE1293" i="16"/>
  <c r="AE1292" i="16"/>
  <c r="AE1291" i="16"/>
  <c r="AE1290" i="16"/>
  <c r="AE1289" i="16"/>
  <c r="AE1288" i="16"/>
  <c r="AE1287" i="16"/>
  <c r="AE1286" i="16"/>
  <c r="AE1285" i="16"/>
  <c r="AE1284" i="16"/>
  <c r="AE1283" i="16"/>
  <c r="AE1282" i="16"/>
  <c r="AE1281" i="16"/>
  <c r="AE1280" i="16"/>
  <c r="AE1279" i="16"/>
  <c r="AE1278" i="16"/>
  <c r="AE1277" i="16"/>
  <c r="AE1276" i="16"/>
  <c r="AE1275" i="16"/>
  <c r="AE1274" i="16"/>
  <c r="AE1273" i="16"/>
  <c r="AE1272" i="16"/>
  <c r="AE1271" i="16"/>
  <c r="AE1270" i="16"/>
  <c r="AE1269" i="16"/>
  <c r="AE1268" i="16"/>
  <c r="AE1267" i="16"/>
  <c r="AE1266" i="16"/>
  <c r="AE1265" i="16"/>
  <c r="AE1264" i="16"/>
  <c r="AE1263" i="16"/>
  <c r="AE1262" i="16"/>
  <c r="AE1261" i="16"/>
  <c r="AE1260" i="16"/>
  <c r="AE1259" i="16"/>
  <c r="AE1258" i="16"/>
  <c r="AE1257" i="16"/>
  <c r="AE1256" i="16"/>
  <c r="AE1255" i="16"/>
  <c r="AE1254" i="16"/>
  <c r="AE1253" i="16"/>
  <c r="AE1252" i="16"/>
  <c r="AE1251" i="16"/>
  <c r="AE1250" i="16"/>
  <c r="AE1249" i="16"/>
  <c r="AE1248" i="16"/>
  <c r="AE1247" i="16"/>
  <c r="AE1246" i="16"/>
  <c r="AE1245" i="16"/>
  <c r="AE1244" i="16"/>
  <c r="AE1243" i="16"/>
  <c r="AE1242" i="16"/>
  <c r="AE1241" i="16"/>
  <c r="AE1240" i="16"/>
  <c r="AE1239" i="16"/>
  <c r="AE1238" i="16"/>
  <c r="AE1237" i="16"/>
  <c r="AE1236" i="16"/>
  <c r="AE1235" i="16"/>
  <c r="AE1234" i="16"/>
  <c r="AE1233" i="16"/>
  <c r="AE1232" i="16"/>
  <c r="AE1231" i="16"/>
  <c r="AE1230" i="16"/>
  <c r="AE1229" i="16"/>
  <c r="AE1228" i="16"/>
  <c r="AE1227" i="16"/>
  <c r="AE1226" i="16"/>
  <c r="AE1225" i="16"/>
  <c r="AE1224" i="16"/>
  <c r="AE1223" i="16"/>
  <c r="AE1222" i="16"/>
  <c r="AE1221" i="16"/>
  <c r="AE1220" i="16"/>
  <c r="AE1219" i="16"/>
  <c r="AE1218" i="16"/>
  <c r="AE1217" i="16"/>
  <c r="AE1216" i="16"/>
  <c r="AE1215" i="16"/>
  <c r="AE1214" i="16"/>
  <c r="AE1213" i="16"/>
  <c r="AE1212" i="16"/>
  <c r="AE1211" i="16"/>
  <c r="AE1210" i="16"/>
  <c r="AE1209" i="16"/>
  <c r="AE1208" i="16"/>
  <c r="AE1207" i="16"/>
  <c r="AE1206" i="16"/>
  <c r="AE1205" i="16"/>
  <c r="AE1204" i="16"/>
  <c r="AE1203" i="16"/>
  <c r="AE1202" i="16"/>
  <c r="AE1201" i="16"/>
  <c r="AE1200" i="16"/>
  <c r="AE1199" i="16"/>
  <c r="AE1198" i="16"/>
  <c r="AE1197" i="16"/>
  <c r="AE1196" i="16"/>
  <c r="AE1195" i="16"/>
  <c r="AE1194" i="16"/>
  <c r="AE1193" i="16"/>
  <c r="AE1192" i="16"/>
  <c r="AE1191" i="16"/>
  <c r="AE1190" i="16"/>
  <c r="AE1189" i="16"/>
  <c r="AE1188" i="16"/>
  <c r="AE1187" i="16"/>
  <c r="AE1186" i="16"/>
  <c r="AE1185" i="16"/>
  <c r="AE1184" i="16"/>
  <c r="AE1183" i="16"/>
  <c r="AE1182" i="16"/>
  <c r="AE1181" i="16"/>
  <c r="AE1180" i="16"/>
  <c r="AE1179" i="16"/>
  <c r="AE1178" i="16"/>
  <c r="AE1177" i="16"/>
  <c r="AE1176" i="16"/>
  <c r="AE1175" i="16"/>
  <c r="AE1174" i="16"/>
  <c r="AE1173" i="16"/>
  <c r="AE1172" i="16"/>
  <c r="AE1171" i="16"/>
  <c r="AE1170" i="16"/>
  <c r="AE1169" i="16"/>
  <c r="AE1168" i="16"/>
  <c r="AE1167" i="16"/>
  <c r="AE1166" i="16"/>
  <c r="AE1165" i="16"/>
  <c r="AE1164" i="16"/>
  <c r="AE1163" i="16"/>
  <c r="AE1162" i="16"/>
  <c r="AE1161" i="16"/>
  <c r="AE1160" i="16"/>
  <c r="AE1159" i="16"/>
  <c r="AE1158" i="16"/>
  <c r="AE1157" i="16"/>
  <c r="AE1156" i="16"/>
  <c r="AE1155" i="16"/>
  <c r="AE1154" i="16"/>
  <c r="AE1153" i="16"/>
  <c r="AE1152" i="16"/>
  <c r="AE1151" i="16"/>
  <c r="AE1150" i="16"/>
  <c r="AE1149" i="16"/>
  <c r="AE1148" i="16"/>
  <c r="AE1147" i="16"/>
  <c r="AE1146" i="16"/>
  <c r="AE1145" i="16"/>
  <c r="AE1144" i="16"/>
  <c r="AE1143" i="16"/>
  <c r="AE1142" i="16"/>
  <c r="AE1141" i="16"/>
  <c r="AE1140" i="16"/>
  <c r="AE1139" i="16"/>
  <c r="AE1138" i="16"/>
  <c r="AE1137" i="16"/>
  <c r="AE1136" i="16"/>
  <c r="AE1135" i="16"/>
  <c r="AE1134" i="16"/>
  <c r="AE1133" i="16"/>
  <c r="AE1132" i="16"/>
  <c r="AE1131" i="16"/>
  <c r="AE1130" i="16"/>
  <c r="AE1129" i="16"/>
  <c r="AE1128" i="16"/>
  <c r="AE1127" i="16"/>
  <c r="AE1126" i="16"/>
  <c r="AE1125" i="16"/>
  <c r="AE1124" i="16"/>
  <c r="AE1123" i="16"/>
  <c r="AE1122" i="16"/>
  <c r="AE1121" i="16"/>
  <c r="AE1120" i="16"/>
  <c r="AE1119" i="16"/>
  <c r="AE1118" i="16"/>
  <c r="AE1117" i="16"/>
  <c r="AE1116" i="16"/>
  <c r="AE1115" i="16"/>
  <c r="AE1114" i="16"/>
  <c r="AE1113" i="16"/>
  <c r="AE1112" i="16"/>
  <c r="AE1111" i="16"/>
  <c r="AE1110" i="16"/>
  <c r="AE1109" i="16"/>
  <c r="AE1108" i="16"/>
  <c r="AE1107" i="16"/>
  <c r="AE1106" i="16"/>
  <c r="AE1105" i="16"/>
  <c r="AE1104" i="16"/>
  <c r="AE1103" i="16"/>
  <c r="AE1102" i="16"/>
  <c r="AE1101" i="16"/>
  <c r="AE1100" i="16"/>
  <c r="AE1099" i="16"/>
  <c r="AE1098" i="16"/>
  <c r="AE1097" i="16"/>
  <c r="AE1096" i="16"/>
  <c r="AE1095" i="16"/>
  <c r="AE1094" i="16"/>
  <c r="AE1093" i="16"/>
  <c r="AE1092" i="16"/>
  <c r="AE1091" i="16"/>
  <c r="AE1090" i="16"/>
  <c r="AE1089" i="16"/>
  <c r="AE1088" i="16"/>
  <c r="AE1087" i="16"/>
  <c r="AE1086" i="16"/>
  <c r="AE1085" i="16"/>
  <c r="AE1084" i="16"/>
  <c r="AE1083" i="16"/>
  <c r="AE1082" i="16"/>
  <c r="AE1081" i="16"/>
  <c r="AE1080" i="16"/>
  <c r="AE1079" i="16"/>
  <c r="AE1078" i="16"/>
  <c r="AE1077" i="16"/>
  <c r="AE1076" i="16"/>
  <c r="AE1075" i="16"/>
  <c r="AE1074" i="16"/>
  <c r="AE1073" i="16"/>
  <c r="AE1072" i="16"/>
  <c r="AE1071" i="16"/>
  <c r="AE1070" i="16"/>
  <c r="AE1069" i="16"/>
  <c r="AE1068" i="16"/>
  <c r="AE1067" i="16"/>
  <c r="AE1066" i="16"/>
  <c r="AE1065" i="16"/>
  <c r="AE1064" i="16"/>
  <c r="AE1063" i="16"/>
  <c r="AE1062" i="16"/>
  <c r="AE1061" i="16"/>
  <c r="AE1060" i="16"/>
  <c r="AE1059" i="16"/>
  <c r="AE1058" i="16"/>
  <c r="AE1057" i="16"/>
  <c r="AE1056" i="16"/>
  <c r="AE1055" i="16"/>
  <c r="AE1054" i="16"/>
  <c r="AE1053" i="16"/>
  <c r="AE1052" i="16"/>
  <c r="AE1051" i="16"/>
  <c r="AE1050" i="16"/>
  <c r="AE1049" i="16"/>
  <c r="AE1048" i="16"/>
  <c r="AE1047" i="16"/>
  <c r="AE1046" i="16"/>
  <c r="AE1045" i="16"/>
  <c r="AE1044" i="16"/>
  <c r="AE1043" i="16"/>
  <c r="AE1042" i="16"/>
  <c r="AE1041" i="16"/>
  <c r="AE1040" i="16"/>
  <c r="AE1039" i="16"/>
  <c r="AE1038" i="16"/>
  <c r="AE1037" i="16"/>
  <c r="AE1036" i="16"/>
  <c r="AE1035" i="16"/>
  <c r="AE1034" i="16"/>
  <c r="AE1033" i="16"/>
  <c r="AE1032" i="16"/>
  <c r="AE1031" i="16"/>
  <c r="AE1030" i="16"/>
  <c r="AE1029" i="16"/>
  <c r="AE1028" i="16"/>
  <c r="AE1027" i="16"/>
  <c r="AE1026" i="16"/>
  <c r="AE1025" i="16"/>
  <c r="AE1024" i="16"/>
  <c r="AE1023" i="16"/>
  <c r="AE1022" i="16"/>
  <c r="AE1021" i="16"/>
  <c r="AE1020" i="16"/>
  <c r="AE1019" i="16"/>
  <c r="AE1018" i="16"/>
  <c r="AE1017" i="16"/>
  <c r="AE1016" i="16"/>
  <c r="AE1015" i="16"/>
  <c r="AE1014" i="16"/>
  <c r="AE1013" i="16"/>
  <c r="AE1012" i="16"/>
  <c r="AE1011" i="16"/>
  <c r="AE1010" i="16"/>
  <c r="AE1009" i="16"/>
  <c r="AE1008" i="16"/>
  <c r="AE1007" i="16"/>
  <c r="AE1006" i="16"/>
  <c r="AE1005" i="16"/>
  <c r="AE1004" i="16"/>
  <c r="AE1003" i="16"/>
  <c r="AE1002" i="16"/>
  <c r="AE1001" i="16"/>
  <c r="AE1000" i="16"/>
  <c r="AE999" i="16"/>
  <c r="AE998" i="16"/>
  <c r="AE997" i="16"/>
  <c r="AE996" i="16"/>
  <c r="AE995" i="16"/>
  <c r="AE994" i="16"/>
  <c r="AE993" i="16"/>
  <c r="AE992" i="16"/>
  <c r="AE991" i="16"/>
  <c r="AE990" i="16"/>
  <c r="AE989" i="16"/>
  <c r="AE988" i="16"/>
  <c r="AE987" i="16"/>
  <c r="AE986" i="16"/>
  <c r="AE985" i="16"/>
  <c r="AE984" i="16"/>
  <c r="AE983" i="16"/>
  <c r="AE982" i="16"/>
  <c r="AE981" i="16"/>
  <c r="AE980" i="16"/>
  <c r="AD980" i="16"/>
  <c r="AC980" i="16"/>
  <c r="AE979" i="16"/>
  <c r="AD979" i="16"/>
  <c r="AC979" i="16"/>
  <c r="AE978" i="16"/>
  <c r="AD978" i="16"/>
  <c r="AC978" i="16"/>
  <c r="AE977" i="16"/>
  <c r="AD977" i="16"/>
  <c r="AC977" i="16"/>
  <c r="AE976" i="16"/>
  <c r="AD976" i="16"/>
  <c r="AC976" i="16"/>
  <c r="AE975" i="16"/>
  <c r="AD975" i="16"/>
  <c r="AC975" i="16"/>
  <c r="AE974" i="16"/>
  <c r="AD974" i="16"/>
  <c r="AC974" i="16"/>
  <c r="AE973" i="16"/>
  <c r="AD973" i="16"/>
  <c r="AC973" i="16"/>
  <c r="AE972" i="16"/>
  <c r="AD972" i="16"/>
  <c r="AC972" i="16"/>
  <c r="AE971" i="16"/>
  <c r="AD971" i="16"/>
  <c r="AC971" i="16"/>
  <c r="AE970" i="16"/>
  <c r="AD970" i="16"/>
  <c r="AC970" i="16"/>
  <c r="AE969" i="16"/>
  <c r="AD969" i="16"/>
  <c r="AC969" i="16"/>
  <c r="AE968" i="16"/>
  <c r="AD968" i="16"/>
  <c r="AC968" i="16"/>
  <c r="AE967" i="16"/>
  <c r="AD967" i="16"/>
  <c r="AC967" i="16"/>
  <c r="AE966" i="16"/>
  <c r="AD966" i="16"/>
  <c r="AC966" i="16"/>
  <c r="AE965" i="16"/>
  <c r="AD965" i="16"/>
  <c r="AC965" i="16"/>
  <c r="AE964" i="16"/>
  <c r="AD964" i="16"/>
  <c r="AC964" i="16"/>
  <c r="AE963" i="16"/>
  <c r="AD963" i="16"/>
  <c r="AC963" i="16"/>
  <c r="AE962" i="16"/>
  <c r="AD962" i="16"/>
  <c r="AC962" i="16"/>
  <c r="AE961" i="16"/>
  <c r="AD961" i="16"/>
  <c r="AC961" i="16"/>
  <c r="AE960" i="16"/>
  <c r="AD960" i="16"/>
  <c r="AC960" i="16"/>
  <c r="AE959" i="16"/>
  <c r="AD959" i="16"/>
  <c r="AC959" i="16"/>
  <c r="AE958" i="16"/>
  <c r="AD958" i="16"/>
  <c r="AC958" i="16"/>
  <c r="AE957" i="16"/>
  <c r="AD957" i="16"/>
  <c r="AC957" i="16"/>
  <c r="AE956" i="16"/>
  <c r="AD956" i="16"/>
  <c r="AC956" i="16"/>
  <c r="AE955" i="16"/>
  <c r="AD955" i="16"/>
  <c r="AC955" i="16"/>
  <c r="AG954" i="16"/>
  <c r="AF954" i="16"/>
  <c r="AB954" i="16"/>
  <c r="AG953" i="16"/>
  <c r="AF953" i="16"/>
  <c r="AG952" i="16"/>
  <c r="AF952" i="16"/>
  <c r="AB952" i="16"/>
  <c r="AG951" i="16"/>
  <c r="AF951" i="16"/>
  <c r="AB951" i="16"/>
  <c r="AG950" i="16"/>
  <c r="AF950" i="16"/>
  <c r="AB950" i="16"/>
  <c r="AG949" i="16"/>
  <c r="AF949" i="16"/>
  <c r="AG948" i="16"/>
  <c r="AF948" i="16"/>
  <c r="AB948" i="16"/>
  <c r="AG947" i="16"/>
  <c r="AF947" i="16"/>
  <c r="AB947" i="16"/>
  <c r="AG946" i="16"/>
  <c r="AF946" i="16"/>
  <c r="AB946" i="16"/>
  <c r="AG945" i="16"/>
  <c r="AF945" i="16"/>
  <c r="AG944" i="16"/>
  <c r="AF944" i="16"/>
  <c r="AB944" i="16"/>
  <c r="AG943" i="16"/>
  <c r="AF943" i="16"/>
  <c r="AB943" i="16"/>
  <c r="AG942" i="16"/>
  <c r="AF942" i="16"/>
  <c r="AB942" i="16"/>
  <c r="AG941" i="16"/>
  <c r="AF941" i="16"/>
  <c r="AG940" i="16"/>
  <c r="AF940" i="16"/>
  <c r="AB940" i="16"/>
  <c r="AG939" i="16"/>
  <c r="AF939" i="16"/>
  <c r="AB939" i="16"/>
  <c r="AG938" i="16"/>
  <c r="AF938" i="16"/>
  <c r="AB938" i="16"/>
  <c r="AG937" i="16"/>
  <c r="AF937" i="16"/>
  <c r="AG936" i="16"/>
  <c r="AF936" i="16"/>
  <c r="AB936" i="16"/>
  <c r="AG935" i="16"/>
  <c r="AF935" i="16"/>
  <c r="AB935" i="16"/>
  <c r="AG934" i="16"/>
  <c r="AF934" i="16"/>
  <c r="AB934" i="16"/>
  <c r="AG933" i="16"/>
  <c r="AF933" i="16"/>
  <c r="AG932" i="16"/>
  <c r="AF932" i="16"/>
  <c r="AB932" i="16"/>
  <c r="AG931" i="16"/>
  <c r="AF931" i="16"/>
  <c r="AB931" i="16"/>
  <c r="AE930" i="16"/>
  <c r="AD930" i="16"/>
  <c r="AC930" i="16"/>
  <c r="AE929" i="16"/>
  <c r="AD929" i="16"/>
  <c r="AC929" i="16"/>
  <c r="AE928" i="16"/>
  <c r="AD928" i="16"/>
  <c r="AC928" i="16"/>
  <c r="AE927" i="16"/>
  <c r="AD927" i="16"/>
  <c r="AC927" i="16"/>
  <c r="AE926" i="16"/>
  <c r="AD926" i="16"/>
  <c r="AC926" i="16"/>
  <c r="AE925" i="16"/>
  <c r="AD925" i="16"/>
  <c r="AC925" i="16"/>
  <c r="AE924" i="16"/>
  <c r="AD924" i="16"/>
  <c r="AC924" i="16"/>
  <c r="AE923" i="16"/>
  <c r="AD923" i="16"/>
  <c r="AC923" i="16"/>
  <c r="AE922" i="16"/>
  <c r="AD922" i="16"/>
  <c r="AC922" i="16"/>
  <c r="AE921" i="16"/>
  <c r="AD921" i="16"/>
  <c r="AC921" i="16"/>
  <c r="AE920" i="16"/>
  <c r="AD920" i="16"/>
  <c r="AC920" i="16"/>
  <c r="AE919" i="16"/>
  <c r="AD919" i="16"/>
  <c r="AC919" i="16"/>
  <c r="AE918" i="16"/>
  <c r="AD918" i="16"/>
  <c r="AC918" i="16"/>
  <c r="AE917" i="16"/>
  <c r="AD917" i="16"/>
  <c r="AC917" i="16"/>
  <c r="AE916" i="16"/>
  <c r="AD916" i="16"/>
  <c r="AC916" i="16"/>
  <c r="AE915" i="16"/>
  <c r="AD915" i="16"/>
  <c r="AC915" i="16"/>
  <c r="AE914" i="16"/>
  <c r="AD914" i="16"/>
  <c r="AC914" i="16"/>
  <c r="AE913" i="16"/>
  <c r="AD913" i="16"/>
  <c r="AC913" i="16"/>
  <c r="AE912" i="16"/>
  <c r="AD912" i="16"/>
  <c r="AC912" i="16"/>
  <c r="AE911" i="16"/>
  <c r="AD911" i="16"/>
  <c r="AC911" i="16"/>
  <c r="AE910" i="16"/>
  <c r="AD910" i="16"/>
  <c r="AC910" i="16"/>
  <c r="AE909" i="16"/>
  <c r="AD909" i="16"/>
  <c r="AC909" i="16"/>
  <c r="AE908" i="16"/>
  <c r="AD908" i="16"/>
  <c r="AC908" i="16"/>
  <c r="AE907" i="16"/>
  <c r="AD907" i="16"/>
  <c r="AC907" i="16"/>
  <c r="AE906" i="16"/>
  <c r="AD906" i="16"/>
  <c r="AC906" i="16"/>
  <c r="AE905" i="16"/>
  <c r="AD905" i="16"/>
  <c r="AC905" i="16"/>
  <c r="AE904" i="16"/>
  <c r="AD904" i="16"/>
  <c r="AC904" i="16"/>
  <c r="AE903" i="16"/>
  <c r="AD903" i="16"/>
  <c r="AC903" i="16"/>
  <c r="AG902" i="16"/>
  <c r="AF902" i="16"/>
  <c r="AB902" i="16"/>
  <c r="AG901" i="16"/>
  <c r="AF901" i="16"/>
  <c r="AG900" i="16"/>
  <c r="AF900" i="16"/>
  <c r="AB900" i="16"/>
  <c r="AG899" i="16"/>
  <c r="AF899" i="16"/>
  <c r="AB899" i="16"/>
  <c r="AE898" i="16"/>
  <c r="AD898" i="16"/>
  <c r="AC898" i="16"/>
  <c r="AE897" i="16"/>
  <c r="AD897" i="16"/>
  <c r="AC897" i="16"/>
  <c r="AE896" i="16"/>
  <c r="AD896" i="16"/>
  <c r="AC896" i="16"/>
  <c r="AE895" i="16"/>
  <c r="AD895" i="16"/>
  <c r="AC895" i="16"/>
  <c r="AE894" i="16"/>
  <c r="AD894" i="16"/>
  <c r="AC894" i="16"/>
  <c r="AE893" i="16"/>
  <c r="AE892" i="16"/>
  <c r="AE891" i="16"/>
  <c r="AE890" i="16"/>
  <c r="AE889" i="16"/>
  <c r="AE888" i="16"/>
  <c r="AE887" i="16"/>
  <c r="AE886" i="16"/>
  <c r="AE885" i="16"/>
  <c r="AE884" i="16"/>
  <c r="AE883" i="16"/>
  <c r="AE882" i="16"/>
  <c r="AE881" i="16"/>
  <c r="AE880" i="16"/>
  <c r="AE879" i="16"/>
  <c r="AE878" i="16"/>
  <c r="AE877" i="16"/>
  <c r="AE876" i="16"/>
  <c r="AE875" i="16"/>
  <c r="AE874" i="16"/>
  <c r="AE873" i="16"/>
  <c r="AE872" i="16"/>
  <c r="AE871" i="16"/>
  <c r="AE870" i="16"/>
  <c r="AE869" i="16"/>
  <c r="AE868" i="16"/>
  <c r="AE867" i="16"/>
  <c r="AE866" i="16"/>
  <c r="AE865" i="16"/>
  <c r="AE864" i="16"/>
  <c r="AE863" i="16"/>
  <c r="AE862" i="16"/>
  <c r="AE861" i="16"/>
  <c r="AE860" i="16"/>
  <c r="AE859" i="16"/>
  <c r="AE858" i="16"/>
  <c r="AE857" i="16"/>
  <c r="AE856" i="16"/>
  <c r="AE855" i="16"/>
  <c r="AG854" i="16"/>
  <c r="AF854" i="16"/>
  <c r="AG853" i="16"/>
  <c r="AF853" i="16"/>
  <c r="AG852" i="16"/>
  <c r="AF852" i="16"/>
  <c r="AG851" i="16"/>
  <c r="AF851" i="16"/>
  <c r="AG850" i="16"/>
  <c r="AF850" i="16"/>
  <c r="AG849" i="16"/>
  <c r="AF849" i="16"/>
  <c r="AG848" i="16"/>
  <c r="AF848" i="16"/>
  <c r="AG847" i="16"/>
  <c r="AF847" i="16"/>
  <c r="AG846" i="16"/>
  <c r="AF846" i="16"/>
  <c r="AG845" i="16"/>
  <c r="AF845" i="16"/>
  <c r="AG844" i="16"/>
  <c r="AF844" i="16"/>
  <c r="AG843" i="16"/>
  <c r="AF843" i="16"/>
  <c r="AG842" i="16"/>
  <c r="AF842" i="16"/>
  <c r="AG841" i="16"/>
  <c r="AF841" i="16"/>
  <c r="AG840" i="16"/>
  <c r="AF840" i="16"/>
  <c r="AG839" i="16"/>
  <c r="AF839" i="16"/>
  <c r="AG838" i="16"/>
  <c r="AF838" i="16"/>
  <c r="AG837" i="16"/>
  <c r="AF837" i="16"/>
  <c r="AG836" i="16"/>
  <c r="AF836" i="16"/>
  <c r="AG835" i="16"/>
  <c r="AF835" i="16"/>
  <c r="AG834" i="16"/>
  <c r="AF834" i="16"/>
  <c r="AG833" i="16"/>
  <c r="AF833" i="16"/>
  <c r="AG832" i="16"/>
  <c r="AF832" i="16"/>
  <c r="AG831" i="16"/>
  <c r="AF831" i="16"/>
  <c r="AG830" i="16"/>
  <c r="AF830" i="16"/>
  <c r="AG829" i="16"/>
  <c r="AF829" i="16"/>
  <c r="AG828" i="16"/>
  <c r="AF828" i="16"/>
  <c r="AG827" i="16"/>
  <c r="AF827" i="16"/>
  <c r="AG826" i="16"/>
  <c r="AF826" i="16"/>
  <c r="AG825" i="16"/>
  <c r="AF825" i="16"/>
  <c r="AG824" i="16"/>
  <c r="AF824" i="16"/>
  <c r="AG823" i="16"/>
  <c r="AF823" i="16"/>
  <c r="AG822" i="16"/>
  <c r="AF822" i="16"/>
  <c r="AG821" i="16"/>
  <c r="AF821" i="16"/>
  <c r="AG820" i="16"/>
  <c r="AF820" i="16"/>
  <c r="AG819" i="16"/>
  <c r="AF819" i="16"/>
  <c r="AG818" i="16"/>
  <c r="AF818" i="16"/>
  <c r="AG817" i="16"/>
  <c r="AF817" i="16"/>
  <c r="AE816" i="16"/>
  <c r="AE815" i="16"/>
  <c r="AE814" i="16"/>
  <c r="AE813" i="16"/>
  <c r="AE812" i="16"/>
  <c r="AE811" i="16"/>
  <c r="AE810" i="16"/>
  <c r="AE809" i="16"/>
  <c r="AE808" i="16"/>
  <c r="AE807" i="16"/>
  <c r="AE806" i="16"/>
  <c r="AE805" i="16"/>
  <c r="AE804" i="16"/>
  <c r="AE803" i="16"/>
  <c r="AE802" i="16"/>
  <c r="AE801" i="16"/>
  <c r="AE800" i="16"/>
  <c r="AE799" i="16"/>
  <c r="AE798" i="16"/>
  <c r="AE797" i="16"/>
  <c r="AE796" i="16"/>
  <c r="AE795" i="16"/>
  <c r="AE794" i="16"/>
  <c r="AE793" i="16"/>
  <c r="AE792" i="16"/>
  <c r="AE791" i="16"/>
  <c r="AE790" i="16"/>
  <c r="AE789" i="16"/>
  <c r="AE788" i="16"/>
  <c r="AE787" i="16"/>
  <c r="AE786" i="16"/>
  <c r="AE785" i="16"/>
  <c r="AE784" i="16"/>
  <c r="AE783" i="16"/>
  <c r="AE782" i="16"/>
  <c r="AE781" i="16"/>
  <c r="AE780" i="16"/>
  <c r="AE779" i="16"/>
  <c r="AE778" i="16"/>
  <c r="AE777" i="16"/>
  <c r="AE776" i="16"/>
  <c r="AE775" i="16"/>
  <c r="AE774" i="16"/>
  <c r="AE773" i="16"/>
  <c r="AE772" i="16"/>
  <c r="AE771" i="16"/>
  <c r="AE770" i="16"/>
  <c r="AE769" i="16"/>
  <c r="AE768" i="16"/>
  <c r="AE767" i="16"/>
  <c r="AE766" i="16"/>
  <c r="AE765" i="16"/>
  <c r="AE764" i="16"/>
  <c r="AE763" i="16"/>
  <c r="AE762" i="16"/>
  <c r="AE761" i="16"/>
  <c r="AE760" i="16"/>
  <c r="AE759" i="16"/>
  <c r="AE758" i="16"/>
  <c r="AE757" i="16"/>
  <c r="AE756" i="16"/>
  <c r="AE755" i="16"/>
  <c r="AE754" i="16"/>
  <c r="AE753" i="16"/>
  <c r="AE752" i="16"/>
  <c r="AE751" i="16"/>
  <c r="AE750" i="16"/>
  <c r="AE749" i="16"/>
  <c r="AE748" i="16"/>
  <c r="AE747" i="16"/>
  <c r="AE746" i="16"/>
  <c r="AE745" i="16"/>
  <c r="AE744" i="16"/>
  <c r="AE743" i="16"/>
  <c r="AE742" i="16"/>
  <c r="AE741" i="16"/>
  <c r="AE740" i="16"/>
  <c r="AE739" i="16"/>
  <c r="AG738" i="16"/>
  <c r="AF738" i="16"/>
  <c r="AG737" i="16"/>
  <c r="AF737" i="16"/>
  <c r="AG736" i="16"/>
  <c r="AF736" i="16"/>
  <c r="AG735" i="16"/>
  <c r="AF735" i="16"/>
  <c r="AG734" i="16"/>
  <c r="AF734" i="16"/>
  <c r="AG733" i="16"/>
  <c r="AF733" i="16"/>
  <c r="AG732" i="16"/>
  <c r="AF732" i="16"/>
  <c r="AG731" i="16"/>
  <c r="AF731" i="16"/>
  <c r="AG730" i="16"/>
  <c r="AF730" i="16"/>
  <c r="AG729" i="16"/>
  <c r="AF729" i="16"/>
  <c r="AG728" i="16"/>
  <c r="AF728" i="16"/>
  <c r="AG727" i="16"/>
  <c r="AF727" i="16"/>
  <c r="AG726" i="16"/>
  <c r="AF726" i="16"/>
  <c r="AG725" i="16"/>
  <c r="AF725" i="16"/>
  <c r="AG724" i="16"/>
  <c r="AF724" i="16"/>
  <c r="AG723" i="16"/>
  <c r="AF723" i="16"/>
  <c r="AG722" i="16"/>
  <c r="AF722" i="16"/>
  <c r="AG721" i="16"/>
  <c r="AF721" i="16"/>
  <c r="AG720" i="16"/>
  <c r="AF720" i="16"/>
  <c r="AG719" i="16"/>
  <c r="AF719" i="16"/>
  <c r="AG718" i="16"/>
  <c r="AF718" i="16"/>
  <c r="AG717" i="16"/>
  <c r="AF717" i="16"/>
  <c r="AG716" i="16"/>
  <c r="AF716" i="16"/>
  <c r="AG715" i="16"/>
  <c r="AF715" i="16"/>
  <c r="AG714" i="16"/>
  <c r="AF714" i="16"/>
  <c r="AG713" i="16"/>
  <c r="AF713" i="16"/>
  <c r="AG712" i="16"/>
  <c r="AF712" i="16"/>
  <c r="AG711" i="16"/>
  <c r="AF711" i="16"/>
  <c r="AG710" i="16"/>
  <c r="AF710" i="16"/>
  <c r="AG709" i="16"/>
  <c r="AF709" i="16"/>
  <c r="AG708" i="16"/>
  <c r="AF708" i="16"/>
  <c r="AG707" i="16"/>
  <c r="AF707" i="16"/>
  <c r="AG706" i="16"/>
  <c r="AF706" i="16"/>
  <c r="AG705" i="16"/>
  <c r="AF705" i="16"/>
  <c r="AG704" i="16"/>
  <c r="AF704" i="16"/>
  <c r="AG703" i="16"/>
  <c r="AF703" i="16"/>
  <c r="AG702" i="16"/>
  <c r="AF702" i="16"/>
  <c r="AG701" i="16"/>
  <c r="AF701" i="16"/>
  <c r="AE700" i="16"/>
  <c r="AE699" i="16"/>
  <c r="AE698" i="16"/>
  <c r="AE697" i="16"/>
  <c r="AE696" i="16"/>
  <c r="AE695" i="16"/>
  <c r="AE694" i="16"/>
  <c r="AE693" i="16"/>
  <c r="AE692" i="16"/>
  <c r="AE691" i="16"/>
  <c r="AE690" i="16"/>
  <c r="AE689" i="16"/>
  <c r="AE688" i="16"/>
  <c r="AE687" i="16"/>
  <c r="AE686" i="16"/>
  <c r="AE685" i="16"/>
  <c r="AE684" i="16"/>
  <c r="AE683" i="16"/>
  <c r="AE682" i="16"/>
  <c r="AE681" i="16"/>
  <c r="AE680" i="16"/>
  <c r="AE679" i="16"/>
  <c r="AE678" i="16"/>
  <c r="AE677" i="16"/>
  <c r="AE676" i="16"/>
  <c r="AE675" i="16"/>
  <c r="AE674" i="16"/>
  <c r="AE673" i="16"/>
  <c r="AE672" i="16"/>
  <c r="AE671" i="16"/>
  <c r="AE670" i="16"/>
  <c r="AE669" i="16"/>
  <c r="AE668" i="16"/>
  <c r="AE667" i="16"/>
  <c r="AE666" i="16"/>
  <c r="AE665" i="16"/>
  <c r="AE664" i="16"/>
  <c r="AE663" i="16"/>
  <c r="AE662" i="16"/>
  <c r="AE661" i="16"/>
  <c r="AE660" i="16"/>
  <c r="AE659" i="16"/>
  <c r="AE658" i="16"/>
  <c r="AG657" i="16"/>
  <c r="AE657" i="16"/>
  <c r="AG656" i="16"/>
  <c r="AE656" i="16"/>
  <c r="AG655" i="16"/>
  <c r="AE655" i="16"/>
  <c r="AG654" i="16"/>
  <c r="AE654" i="16"/>
  <c r="AG653" i="16"/>
  <c r="AE653" i="16"/>
  <c r="AG652" i="16"/>
  <c r="AE652" i="16"/>
  <c r="AG651" i="16"/>
  <c r="AE651" i="16"/>
  <c r="AG650" i="16"/>
  <c r="AE650" i="16"/>
  <c r="AG649" i="16"/>
  <c r="AE649" i="16"/>
  <c r="AG648" i="16"/>
  <c r="AE648" i="16"/>
  <c r="AG647" i="16"/>
  <c r="AE647" i="16"/>
  <c r="AG646" i="16"/>
  <c r="AE646" i="16"/>
  <c r="AG645" i="16"/>
  <c r="AF645" i="16"/>
  <c r="AG644" i="16"/>
  <c r="AF644" i="16"/>
  <c r="AG643" i="16"/>
  <c r="AF643" i="16"/>
  <c r="AG642" i="16"/>
  <c r="AF642" i="16"/>
  <c r="AG641" i="16"/>
  <c r="AF641" i="16"/>
  <c r="AG640" i="16"/>
  <c r="AF640" i="16"/>
  <c r="AG639" i="16"/>
  <c r="AF639" i="16"/>
  <c r="AG638" i="16"/>
  <c r="AF638" i="16"/>
  <c r="AG637" i="16"/>
  <c r="AF637" i="16"/>
  <c r="AG636" i="16"/>
  <c r="AF636" i="16"/>
  <c r="AG635" i="16"/>
  <c r="AF635" i="16"/>
  <c r="AG634" i="16"/>
  <c r="AF634" i="16"/>
  <c r="AG633" i="16"/>
  <c r="AE633" i="16"/>
  <c r="AG632" i="16"/>
  <c r="AE632" i="16"/>
  <c r="AG631" i="16"/>
  <c r="AE631" i="16"/>
  <c r="AG630" i="16"/>
  <c r="AE630" i="16"/>
  <c r="AG629" i="16"/>
  <c r="AE629" i="16"/>
  <c r="AG628" i="16"/>
  <c r="AE628" i="16"/>
  <c r="AG627" i="16"/>
  <c r="AE627" i="16"/>
  <c r="AG626" i="16"/>
  <c r="AE626" i="16"/>
  <c r="AG625" i="16"/>
  <c r="AE625" i="16"/>
  <c r="AG624" i="16"/>
  <c r="AE624" i="16"/>
  <c r="AG623" i="16"/>
  <c r="AE623" i="16"/>
  <c r="AG622" i="16"/>
  <c r="AE622" i="16"/>
  <c r="AE621" i="16"/>
  <c r="AE620" i="16"/>
  <c r="AE619" i="16"/>
  <c r="AE618" i="16"/>
  <c r="AE617" i="16"/>
  <c r="AE616" i="16"/>
  <c r="AE615" i="16"/>
  <c r="AE614" i="16"/>
  <c r="AE613" i="16"/>
  <c r="AE612" i="16"/>
  <c r="AE611" i="16"/>
  <c r="AE610" i="16"/>
  <c r="AG609" i="16"/>
  <c r="AF609" i="16"/>
  <c r="AG608" i="16"/>
  <c r="AF608" i="16"/>
  <c r="AG607" i="16"/>
  <c r="AF607" i="16"/>
  <c r="AG606" i="16"/>
  <c r="AF606" i="16"/>
  <c r="AG605" i="16"/>
  <c r="AF605" i="16"/>
  <c r="AG604" i="16"/>
  <c r="AF604" i="16"/>
  <c r="AG603" i="16"/>
  <c r="AF603" i="16"/>
  <c r="AG602" i="16"/>
  <c r="AF602" i="16"/>
  <c r="AG601" i="16"/>
  <c r="AF601" i="16"/>
  <c r="AG600" i="16"/>
  <c r="AF600" i="16"/>
  <c r="AG599" i="16"/>
  <c r="AF599" i="16"/>
  <c r="AG598" i="16"/>
  <c r="AF598" i="16"/>
  <c r="AE597" i="16"/>
  <c r="AE596" i="16"/>
  <c r="AE595" i="16"/>
  <c r="AE594" i="16"/>
  <c r="AE593" i="16"/>
  <c r="AE592" i="16"/>
  <c r="AE591" i="16"/>
  <c r="AE590" i="16"/>
  <c r="AE589" i="16"/>
  <c r="AE588" i="16"/>
  <c r="AE587" i="16"/>
  <c r="AE586" i="16"/>
  <c r="AE585" i="16"/>
  <c r="AE584" i="16"/>
  <c r="AE583" i="16"/>
  <c r="AE582" i="16"/>
  <c r="AE581" i="16"/>
  <c r="AE580" i="16"/>
  <c r="AE579" i="16"/>
  <c r="AE578" i="16"/>
  <c r="AE577" i="16"/>
  <c r="AE576" i="16"/>
  <c r="AE575" i="16"/>
  <c r="AE574" i="16"/>
  <c r="AE573" i="16"/>
  <c r="AE572" i="16"/>
  <c r="AE571" i="16"/>
  <c r="AE570" i="16"/>
  <c r="AE569" i="16"/>
  <c r="AE568" i="16"/>
  <c r="AE567" i="16"/>
  <c r="AE566" i="16"/>
  <c r="AE565" i="16"/>
  <c r="AE564" i="16"/>
  <c r="AE563" i="16"/>
  <c r="AE562" i="16"/>
  <c r="AE561" i="16"/>
  <c r="AE560" i="16"/>
  <c r="AE559" i="16"/>
  <c r="AE558" i="16"/>
  <c r="AE557" i="16"/>
  <c r="AE556" i="16"/>
  <c r="AE555" i="16"/>
  <c r="AE554" i="16"/>
  <c r="AE553" i="16"/>
  <c r="AE552" i="16"/>
  <c r="AE551" i="16"/>
  <c r="AE550" i="16"/>
  <c r="AE549" i="16"/>
  <c r="AE548" i="16"/>
  <c r="AE547" i="16"/>
  <c r="AE546" i="16"/>
  <c r="AE545" i="16"/>
  <c r="AE544" i="16"/>
  <c r="AG543" i="16"/>
  <c r="AF543" i="16"/>
  <c r="AG542" i="16"/>
  <c r="AF542" i="16"/>
  <c r="AG541" i="16"/>
  <c r="AF541" i="16"/>
  <c r="AG540" i="16"/>
  <c r="AF540" i="16"/>
  <c r="AG539" i="16"/>
  <c r="AF539" i="16"/>
  <c r="AG538" i="16"/>
  <c r="AF538" i="16"/>
  <c r="AG537" i="16"/>
  <c r="AF537" i="16"/>
  <c r="AG536" i="16"/>
  <c r="AF536" i="16"/>
  <c r="AG535" i="16"/>
  <c r="AF535" i="16"/>
  <c r="AG534" i="16"/>
  <c r="AF534" i="16"/>
  <c r="AG533" i="16"/>
  <c r="AF533" i="16"/>
  <c r="AG532" i="16"/>
  <c r="AF532" i="16"/>
  <c r="AG531" i="16"/>
  <c r="AF531" i="16"/>
  <c r="AG530" i="16"/>
  <c r="AF530" i="16"/>
  <c r="AG529" i="16"/>
  <c r="AF529" i="16"/>
  <c r="AG528" i="16"/>
  <c r="AF528" i="16"/>
  <c r="AG527" i="16"/>
  <c r="AF527" i="16"/>
  <c r="AG526" i="16"/>
  <c r="AF526" i="16"/>
  <c r="AG525" i="16"/>
  <c r="AF525" i="16"/>
  <c r="AG524" i="16"/>
  <c r="AF524" i="16"/>
  <c r="AG523" i="16"/>
  <c r="AF523" i="16"/>
  <c r="AG522" i="16"/>
  <c r="AF522" i="16"/>
  <c r="AG521" i="16"/>
  <c r="AF521" i="16"/>
  <c r="AG520" i="16"/>
  <c r="AF520" i="16"/>
  <c r="AG519" i="16"/>
  <c r="AF519" i="16"/>
  <c r="AG518" i="16"/>
  <c r="AF518" i="16"/>
  <c r="AG517" i="16"/>
  <c r="AF517" i="16"/>
  <c r="AG516" i="16"/>
  <c r="AF516" i="16"/>
  <c r="AG515" i="16"/>
  <c r="AF515" i="16"/>
  <c r="AG514" i="16"/>
  <c r="AF514" i="16"/>
  <c r="AG513" i="16"/>
  <c r="AF513" i="16"/>
  <c r="AG512" i="16"/>
  <c r="AF512" i="16"/>
  <c r="AG511" i="16"/>
  <c r="AF511" i="16"/>
  <c r="AG510" i="16"/>
  <c r="AF510" i="16"/>
  <c r="AG509" i="16"/>
  <c r="AF509" i="16"/>
  <c r="AG508" i="16"/>
  <c r="AF508" i="16"/>
  <c r="AG507" i="16"/>
  <c r="AF507" i="16"/>
  <c r="AG506" i="16"/>
  <c r="AF506" i="16"/>
  <c r="AE505" i="16"/>
  <c r="AE504" i="16"/>
  <c r="AE503" i="16"/>
  <c r="AE502" i="16"/>
  <c r="AE501" i="16"/>
  <c r="AE500" i="16"/>
  <c r="AE499" i="16"/>
  <c r="AE498" i="16"/>
  <c r="AE497" i="16"/>
  <c r="AE496" i="16"/>
  <c r="AE495" i="16"/>
  <c r="AE494" i="16"/>
  <c r="AE493" i="16"/>
  <c r="AE492" i="16"/>
  <c r="AE491" i="16"/>
  <c r="AE490" i="16"/>
  <c r="AE489" i="16"/>
  <c r="AE488" i="16"/>
  <c r="AE487" i="16"/>
  <c r="AE486" i="16"/>
  <c r="AE485" i="16"/>
  <c r="AE484" i="16"/>
  <c r="AE483" i="16"/>
  <c r="AE482" i="16"/>
  <c r="AE481" i="16"/>
  <c r="AE480" i="16"/>
  <c r="AE479" i="16"/>
  <c r="AE478" i="16"/>
  <c r="AE477" i="16"/>
  <c r="AE476" i="16"/>
  <c r="AE475" i="16"/>
  <c r="AE474" i="16"/>
  <c r="AE473" i="16"/>
  <c r="AE472" i="16"/>
  <c r="AE471" i="16"/>
  <c r="AE470" i="16"/>
  <c r="AE469" i="16"/>
  <c r="AE468" i="16"/>
  <c r="AE467" i="16"/>
  <c r="AE466" i="16"/>
  <c r="AE465" i="16"/>
  <c r="AE464" i="16"/>
  <c r="AE463" i="16"/>
  <c r="AE462" i="16"/>
  <c r="AD425" i="16"/>
  <c r="AC425" i="16"/>
  <c r="AB425" i="16"/>
  <c r="AD424" i="16"/>
  <c r="AC424" i="16"/>
  <c r="AB424" i="16"/>
  <c r="AD423" i="16"/>
  <c r="AC423" i="16"/>
  <c r="AB423" i="16"/>
  <c r="AD422" i="16"/>
  <c r="AC422" i="16"/>
  <c r="AB422" i="16"/>
  <c r="AD421" i="16"/>
  <c r="AC421" i="16"/>
  <c r="AB421" i="16"/>
  <c r="AD420" i="16"/>
  <c r="AC420" i="16"/>
  <c r="AB420" i="16"/>
  <c r="AD419" i="16"/>
  <c r="AC419" i="16"/>
  <c r="AB419" i="16"/>
  <c r="AD418" i="16"/>
  <c r="AC418" i="16"/>
  <c r="AB418" i="16"/>
  <c r="AD417" i="16"/>
  <c r="AC417" i="16"/>
  <c r="AB417" i="16"/>
  <c r="AD416" i="16"/>
  <c r="AC416" i="16"/>
  <c r="AB416" i="16"/>
  <c r="AD415" i="16"/>
  <c r="AC415" i="16"/>
  <c r="AB415" i="16"/>
  <c r="AD414" i="16"/>
  <c r="AC414" i="16"/>
  <c r="AB414" i="16"/>
  <c r="AD413" i="16"/>
  <c r="AC413" i="16"/>
  <c r="AB413" i="16"/>
  <c r="AD412" i="16"/>
  <c r="AC412" i="16"/>
  <c r="AB412" i="16"/>
  <c r="AD411" i="16"/>
  <c r="AC411" i="16"/>
  <c r="AB411" i="16"/>
  <c r="AD410" i="16"/>
  <c r="AC410" i="16"/>
  <c r="AB410" i="16"/>
  <c r="AD409" i="16"/>
  <c r="AC409" i="16"/>
  <c r="AB409" i="16"/>
  <c r="AD408" i="16"/>
  <c r="AC408" i="16"/>
  <c r="AB408" i="16"/>
  <c r="AD407" i="16"/>
  <c r="AC407" i="16"/>
  <c r="AB407" i="16"/>
  <c r="AD406" i="16"/>
  <c r="AC406" i="16"/>
  <c r="AB406" i="16"/>
  <c r="AD405" i="16"/>
  <c r="AC405" i="16"/>
  <c r="AB405" i="16"/>
  <c r="AD404" i="16"/>
  <c r="AC404" i="16"/>
  <c r="AB404" i="16"/>
  <c r="AD403" i="16"/>
  <c r="AC403" i="16"/>
  <c r="AB403" i="16"/>
  <c r="AD402" i="16"/>
  <c r="AC402" i="16"/>
  <c r="AB402" i="16"/>
  <c r="AD401" i="16"/>
  <c r="AC401" i="16"/>
  <c r="AB401" i="16"/>
  <c r="AD400" i="16"/>
  <c r="AC400" i="16"/>
  <c r="AB400" i="16"/>
  <c r="AD399" i="16"/>
  <c r="AC399" i="16"/>
  <c r="AB399" i="16"/>
  <c r="AD398" i="16"/>
  <c r="AC398" i="16"/>
  <c r="AB398" i="16"/>
  <c r="AD397" i="16"/>
  <c r="AC397" i="16"/>
  <c r="AB397" i="16"/>
  <c r="AD396" i="16"/>
  <c r="AC396" i="16"/>
  <c r="AB396" i="16"/>
  <c r="AD395" i="16"/>
  <c r="AC395" i="16"/>
  <c r="AB395" i="16"/>
  <c r="AD394" i="16"/>
  <c r="AC394" i="16"/>
  <c r="AB394" i="16"/>
  <c r="AD393" i="16"/>
  <c r="AC393" i="16"/>
  <c r="AB393" i="16"/>
  <c r="AD392" i="16"/>
  <c r="AC392" i="16"/>
  <c r="AB392" i="16"/>
  <c r="AD391" i="16"/>
  <c r="AC391" i="16"/>
  <c r="AB391" i="16"/>
  <c r="AD390" i="16"/>
  <c r="AC390" i="16"/>
  <c r="AB390" i="16"/>
  <c r="AD389" i="16"/>
  <c r="AC389" i="16"/>
  <c r="AB389" i="16"/>
  <c r="AD388" i="16"/>
  <c r="AC388" i="16"/>
  <c r="AB388" i="16"/>
  <c r="AD387" i="16"/>
  <c r="AC387" i="16"/>
  <c r="AB387" i="16"/>
  <c r="AD386" i="16"/>
  <c r="AC386" i="16"/>
  <c r="AB386" i="16"/>
  <c r="AD385" i="16"/>
  <c r="AC385" i="16"/>
  <c r="AB385" i="16"/>
  <c r="AD384" i="16"/>
  <c r="AC384" i="16"/>
  <c r="AB384" i="16"/>
  <c r="AD383" i="16"/>
  <c r="AC383" i="16"/>
  <c r="AB383" i="16"/>
  <c r="AD382" i="16"/>
  <c r="AC382" i="16"/>
  <c r="AB382" i="16"/>
  <c r="AD381" i="16"/>
  <c r="AC381" i="16"/>
  <c r="AB381" i="16"/>
  <c r="AD380" i="16"/>
  <c r="AC380" i="16"/>
  <c r="AB380" i="16"/>
  <c r="AD379" i="16"/>
  <c r="AC379" i="16"/>
  <c r="AB379" i="16"/>
  <c r="AD378" i="16"/>
  <c r="AC378" i="16"/>
  <c r="AB378" i="16"/>
  <c r="AD377" i="16"/>
  <c r="AC377" i="16"/>
  <c r="AB377" i="16"/>
  <c r="AD376" i="16"/>
  <c r="AC376" i="16"/>
  <c r="AB376" i="16"/>
  <c r="AD375" i="16"/>
  <c r="AC375" i="16"/>
  <c r="AB375" i="16"/>
  <c r="AD374" i="16"/>
  <c r="AC374" i="16"/>
  <c r="AB374" i="16"/>
  <c r="AD373" i="16"/>
  <c r="AC373" i="16"/>
  <c r="AB373" i="16"/>
  <c r="AD372" i="16"/>
  <c r="AC372" i="16"/>
  <c r="AB372" i="16"/>
  <c r="AD371" i="16"/>
  <c r="AC371" i="16"/>
  <c r="AB371" i="16"/>
  <c r="AD370" i="16"/>
  <c r="AC370" i="16"/>
  <c r="AB370" i="16"/>
  <c r="AD369" i="16"/>
  <c r="AC369" i="16"/>
  <c r="AB369" i="16"/>
  <c r="AD368" i="16"/>
  <c r="AC368" i="16"/>
  <c r="AB368" i="16"/>
  <c r="AD367" i="16"/>
  <c r="AC367" i="16"/>
  <c r="AB367" i="16"/>
  <c r="AD366" i="16"/>
  <c r="AC366" i="16"/>
  <c r="AB366" i="16"/>
  <c r="AD365" i="16"/>
  <c r="AC365" i="16"/>
  <c r="AB365" i="16"/>
  <c r="AD364" i="16"/>
  <c r="AC364" i="16"/>
  <c r="AB364" i="16"/>
  <c r="AD363" i="16"/>
  <c r="AC363" i="16"/>
  <c r="AB363" i="16"/>
  <c r="AD362" i="16"/>
  <c r="AC362" i="16"/>
  <c r="AB362" i="16"/>
  <c r="AD361" i="16"/>
  <c r="AC361" i="16"/>
  <c r="AB361" i="16"/>
  <c r="AD360" i="16"/>
  <c r="AC360" i="16"/>
  <c r="AB360" i="16"/>
  <c r="AD359" i="16"/>
  <c r="AC359" i="16"/>
  <c r="AB359" i="16"/>
  <c r="AD358" i="16"/>
  <c r="AC358" i="16"/>
  <c r="AB358" i="16"/>
  <c r="AD357" i="16"/>
  <c r="AC357" i="16"/>
  <c r="AB357" i="16"/>
  <c r="AD356" i="16"/>
  <c r="AC356" i="16"/>
  <c r="AB356" i="16"/>
  <c r="AD355" i="16"/>
  <c r="AC355" i="16"/>
  <c r="AB355" i="16"/>
  <c r="AD354" i="16"/>
  <c r="AC354" i="16"/>
  <c r="AB354" i="16"/>
  <c r="AG255" i="16"/>
  <c r="AG254" i="16"/>
  <c r="AG253" i="16"/>
  <c r="AG252" i="16"/>
  <c r="AG251" i="16"/>
  <c r="AG250" i="16"/>
  <c r="AG249" i="16"/>
  <c r="AG248" i="16"/>
  <c r="AG247" i="16"/>
  <c r="AG246" i="16"/>
  <c r="AG245" i="16"/>
  <c r="AG244" i="16"/>
  <c r="AG243" i="16"/>
  <c r="AE243" i="16"/>
  <c r="AG242" i="16"/>
  <c r="AE242" i="16"/>
  <c r="AG241" i="16"/>
  <c r="AE241" i="16"/>
  <c r="AG240" i="16"/>
  <c r="AE240" i="16"/>
  <c r="AG239" i="16"/>
  <c r="AE239" i="16"/>
  <c r="AG238" i="16"/>
  <c r="AE238" i="16"/>
  <c r="AG237" i="16"/>
  <c r="AE237" i="16"/>
  <c r="AG236" i="16"/>
  <c r="AE236" i="16"/>
  <c r="AG235" i="16"/>
  <c r="AE235" i="16"/>
  <c r="AG234" i="16"/>
  <c r="AE234" i="16"/>
  <c r="AG233" i="16"/>
  <c r="AE233" i="16"/>
  <c r="AG232" i="16"/>
  <c r="AE232" i="16"/>
  <c r="AG231" i="16"/>
  <c r="AG230" i="16"/>
  <c r="AG229" i="16"/>
  <c r="AG228" i="16"/>
  <c r="AG227" i="16"/>
  <c r="AG226" i="16"/>
  <c r="AG225" i="16"/>
  <c r="AG224" i="16"/>
  <c r="AG223" i="16"/>
  <c r="AG222" i="16"/>
  <c r="AG221" i="16"/>
  <c r="AG220" i="16"/>
  <c r="AG166" i="16"/>
  <c r="AF166" i="16"/>
  <c r="AB166" i="16"/>
  <c r="AG165" i="16"/>
  <c r="AF165" i="16"/>
  <c r="AB165" i="16"/>
  <c r="AG164" i="16"/>
  <c r="AF164" i="16"/>
  <c r="AB164" i="16"/>
  <c r="AG163" i="16"/>
  <c r="AF163" i="16"/>
  <c r="AB163" i="16"/>
  <c r="AG162" i="16"/>
  <c r="AF162" i="16"/>
  <c r="AB162" i="16"/>
  <c r="AG161" i="16"/>
  <c r="AF161" i="16"/>
  <c r="AB161" i="16"/>
  <c r="AG160" i="16"/>
  <c r="AF160" i="16"/>
  <c r="AB160" i="16"/>
  <c r="AG159" i="16"/>
  <c r="AF159" i="16"/>
  <c r="AB159" i="16"/>
  <c r="AG158" i="16"/>
  <c r="AF158" i="16"/>
  <c r="AB158" i="16"/>
  <c r="AG157" i="16"/>
  <c r="AF157" i="16"/>
  <c r="AG156" i="16"/>
  <c r="AF156" i="16"/>
  <c r="AG155" i="16"/>
  <c r="AF155" i="16"/>
  <c r="AE154" i="16"/>
  <c r="AC154" i="16"/>
  <c r="AE153" i="16"/>
  <c r="AD153" i="16"/>
  <c r="AC153" i="16"/>
  <c r="AE152" i="16"/>
  <c r="AD152" i="16"/>
  <c r="AC152" i="16"/>
  <c r="AE151" i="16"/>
  <c r="AD151" i="16"/>
  <c r="AE150" i="16"/>
  <c r="AC150" i="16"/>
  <c r="AE149" i="16"/>
  <c r="AD149" i="16"/>
  <c r="AC149" i="16"/>
  <c r="AE148" i="16"/>
  <c r="AD148" i="16"/>
  <c r="AC148" i="16"/>
  <c r="AE147" i="16"/>
  <c r="AD147" i="16"/>
  <c r="AE146" i="16"/>
  <c r="AC146" i="16"/>
  <c r="AG145" i="16"/>
  <c r="AF145" i="16"/>
  <c r="AB145" i="16"/>
  <c r="AG144" i="16"/>
  <c r="AF144" i="16"/>
  <c r="AB144" i="16"/>
  <c r="AG143" i="16"/>
  <c r="AF143" i="16"/>
  <c r="AB143" i="16"/>
  <c r="AG142" i="16"/>
  <c r="AF142" i="16"/>
  <c r="AB142" i="16"/>
  <c r="AG141" i="16"/>
  <c r="AF141" i="16"/>
  <c r="AB141" i="16"/>
  <c r="AG140" i="16"/>
  <c r="AF140" i="16"/>
  <c r="AB140" i="16"/>
  <c r="AG139" i="16"/>
  <c r="AF139" i="16"/>
  <c r="AB139" i="16"/>
  <c r="AG138" i="16"/>
  <c r="AF138" i="16"/>
  <c r="AB138" i="16"/>
  <c r="AG137" i="16"/>
  <c r="AF137" i="16"/>
  <c r="AB137" i="16"/>
  <c r="AE136" i="16"/>
  <c r="AD136" i="16"/>
  <c r="AC136" i="16"/>
  <c r="AE135" i="16"/>
  <c r="AD135" i="16"/>
  <c r="AC135" i="16"/>
  <c r="AE134" i="16"/>
  <c r="AD134" i="16"/>
  <c r="AC134" i="16"/>
  <c r="AE133" i="16"/>
  <c r="AD133" i="16"/>
  <c r="AC133" i="16"/>
  <c r="AE132" i="16"/>
  <c r="AD132" i="16"/>
  <c r="AE131" i="16"/>
  <c r="AD131" i="16"/>
  <c r="AC131" i="16"/>
  <c r="AE130" i="16"/>
  <c r="AD130" i="16"/>
  <c r="AC130" i="16"/>
  <c r="AE129" i="16"/>
  <c r="AD129" i="16"/>
  <c r="AC129" i="16"/>
  <c r="AE128" i="16"/>
  <c r="AD128" i="16"/>
  <c r="AE127" i="16"/>
  <c r="AD127" i="16"/>
  <c r="AC127" i="16"/>
  <c r="AE126" i="16"/>
  <c r="AD126" i="16"/>
  <c r="AC126" i="16"/>
  <c r="AE125" i="16"/>
  <c r="AD125" i="16"/>
  <c r="AC125" i="16"/>
  <c r="AE124" i="16"/>
  <c r="AD124" i="16"/>
  <c r="AC124" i="16"/>
  <c r="AE123" i="16"/>
  <c r="AD123" i="16"/>
  <c r="AC123" i="16"/>
  <c r="AE122" i="16"/>
  <c r="AD122" i="16"/>
  <c r="AC122" i="16"/>
  <c r="AG121" i="16"/>
  <c r="AF121" i="16"/>
  <c r="AB121" i="16"/>
  <c r="AG120" i="16"/>
  <c r="AF120" i="16"/>
  <c r="AB120" i="16"/>
  <c r="AG119" i="16"/>
  <c r="AF119" i="16"/>
  <c r="AB119" i="16"/>
  <c r="AG118" i="16"/>
  <c r="AF118" i="16"/>
  <c r="AB118" i="16"/>
  <c r="AG117" i="16"/>
  <c r="AF117" i="16"/>
  <c r="AB117" i="16"/>
  <c r="AG116" i="16"/>
  <c r="AF116" i="16"/>
  <c r="AB116" i="16"/>
  <c r="AE115" i="16"/>
  <c r="AD115" i="16"/>
  <c r="AC115" i="16"/>
  <c r="AE114" i="16"/>
  <c r="AD114" i="16"/>
  <c r="AC114" i="16"/>
  <c r="AE113" i="16"/>
  <c r="AC113" i="16"/>
  <c r="AE112" i="16"/>
  <c r="AD112" i="16"/>
  <c r="AC112" i="16"/>
  <c r="AE111" i="16"/>
  <c r="AE110" i="16"/>
  <c r="AE109" i="16"/>
  <c r="AE108" i="16"/>
  <c r="AE107" i="16"/>
  <c r="AE106" i="16"/>
  <c r="AE105" i="16"/>
  <c r="AE104" i="16"/>
  <c r="AE103" i="16"/>
  <c r="AE102" i="16"/>
  <c r="AE101" i="16"/>
  <c r="AE100" i="16"/>
  <c r="AE99" i="16"/>
  <c r="AE98" i="16"/>
  <c r="AE97" i="16"/>
  <c r="AE96" i="16"/>
  <c r="AE95" i="16"/>
  <c r="AE94" i="16"/>
  <c r="AE93" i="16"/>
  <c r="AE92" i="16"/>
  <c r="AE91" i="16"/>
  <c r="AE90" i="16"/>
  <c r="AE89" i="16"/>
  <c r="AE88" i="16"/>
  <c r="AE87" i="16"/>
  <c r="AG86" i="16"/>
  <c r="AF86" i="16"/>
  <c r="AG85" i="16"/>
  <c r="AF85" i="16"/>
  <c r="AG84" i="16"/>
  <c r="AF84" i="16"/>
  <c r="AG83" i="16"/>
  <c r="AF83" i="16"/>
  <c r="AG82" i="16"/>
  <c r="AF82" i="16"/>
  <c r="AG81" i="16"/>
  <c r="AF81" i="16"/>
  <c r="AG80" i="16"/>
  <c r="AF80" i="16"/>
  <c r="AG79" i="16"/>
  <c r="AF79" i="16"/>
  <c r="AG78" i="16"/>
  <c r="AF78" i="16"/>
  <c r="AG77" i="16"/>
  <c r="AF77" i="16"/>
  <c r="AG76" i="16"/>
  <c r="AF76" i="16"/>
  <c r="AG75" i="16"/>
  <c r="AF75" i="16"/>
  <c r="AG74" i="16"/>
  <c r="AF74" i="16"/>
  <c r="AG73" i="16"/>
  <c r="AF73" i="16"/>
  <c r="AG72" i="16"/>
  <c r="AF72" i="16"/>
  <c r="AG71" i="16"/>
  <c r="AF71" i="16"/>
  <c r="AG70" i="16"/>
  <c r="AF70" i="16"/>
  <c r="AG69" i="16"/>
  <c r="AF69" i="16"/>
  <c r="AE68" i="16"/>
  <c r="AE67" i="16"/>
  <c r="AE66" i="16"/>
  <c r="AE65" i="16"/>
  <c r="AE64" i="16"/>
  <c r="AE63" i="16"/>
  <c r="AE62" i="16"/>
  <c r="AE61" i="16"/>
  <c r="AE60" i="16"/>
  <c r="AE59" i="16"/>
  <c r="AE58" i="16"/>
  <c r="AE57" i="16"/>
  <c r="AE56" i="16"/>
  <c r="AE55" i="16"/>
  <c r="AE54" i="16"/>
  <c r="AE53" i="16"/>
  <c r="AE52" i="16"/>
  <c r="AE51" i="16"/>
  <c r="AE50" i="16"/>
  <c r="AE49" i="16"/>
  <c r="AE48" i="16"/>
  <c r="AE47" i="16"/>
  <c r="AE46" i="16"/>
  <c r="AE45" i="16"/>
  <c r="AE44" i="16"/>
  <c r="AE43" i="16"/>
  <c r="AE42" i="16"/>
  <c r="AE41" i="16"/>
  <c r="AE40" i="16"/>
  <c r="AE39" i="16"/>
  <c r="AE38" i="16"/>
  <c r="AE37" i="16"/>
  <c r="AG36" i="16"/>
  <c r="AF36" i="16"/>
  <c r="AG35" i="16"/>
  <c r="AF35" i="16"/>
  <c r="AG34" i="16"/>
  <c r="AF34" i="16"/>
  <c r="AG33" i="16"/>
  <c r="AF33" i="16"/>
  <c r="AG32" i="16"/>
  <c r="AF32" i="16"/>
  <c r="AG31" i="16"/>
  <c r="AF31" i="16"/>
  <c r="AG30" i="16"/>
  <c r="AF30" i="16"/>
  <c r="AG29" i="16"/>
  <c r="AF29" i="16"/>
  <c r="AG28" i="16"/>
  <c r="AF28" i="16"/>
  <c r="AG27" i="16"/>
  <c r="AF27" i="16"/>
  <c r="AG26" i="16"/>
  <c r="AF26" i="16"/>
  <c r="AG25" i="16"/>
  <c r="AF25" i="16"/>
  <c r="AE24" i="16"/>
  <c r="AE23" i="16"/>
  <c r="AE22" i="16"/>
  <c r="AE21" i="16"/>
  <c r="AE20" i="16"/>
  <c r="AE19" i="16"/>
  <c r="AE18" i="16"/>
  <c r="AE17" i="16"/>
  <c r="AE16" i="16"/>
  <c r="AE15" i="16"/>
  <c r="AE14" i="16"/>
  <c r="AE13" i="16"/>
  <c r="AE12" i="16"/>
  <c r="X2102" i="16"/>
  <c r="AD2102" i="16" s="1"/>
  <c r="W2102" i="16"/>
  <c r="AC2102" i="16" s="1"/>
  <c r="V2102" i="16"/>
  <c r="AB2102" i="16" s="1"/>
  <c r="X2101" i="16"/>
  <c r="AD2101" i="16" s="1"/>
  <c r="W2101" i="16"/>
  <c r="AC2101" i="16" s="1"/>
  <c r="V2101" i="16"/>
  <c r="AB2101" i="16" s="1"/>
  <c r="X2100" i="16"/>
  <c r="AD2100" i="16" s="1"/>
  <c r="W2100" i="16"/>
  <c r="AC2100" i="16" s="1"/>
  <c r="V2100" i="16"/>
  <c r="AB2100" i="16" s="1"/>
  <c r="X2099" i="16"/>
  <c r="AD2099" i="16" s="1"/>
  <c r="W2099" i="16"/>
  <c r="AC2099" i="16" s="1"/>
  <c r="V2099" i="16"/>
  <c r="AB2099" i="16" s="1"/>
  <c r="X2098" i="16"/>
  <c r="AD2098" i="16" s="1"/>
  <c r="W2098" i="16"/>
  <c r="AC2098" i="16" s="1"/>
  <c r="V2098" i="16"/>
  <c r="AB2098" i="16" s="1"/>
  <c r="X2097" i="16"/>
  <c r="AD2097" i="16" s="1"/>
  <c r="W2097" i="16"/>
  <c r="AC2097" i="16" s="1"/>
  <c r="V2097" i="16"/>
  <c r="AB2097" i="16" s="1"/>
  <c r="X2096" i="16"/>
  <c r="AD2096" i="16" s="1"/>
  <c r="W2096" i="16"/>
  <c r="AC2096" i="16" s="1"/>
  <c r="V2096" i="16"/>
  <c r="AB2096" i="16" s="1"/>
  <c r="X2095" i="16"/>
  <c r="AD2095" i="16" s="1"/>
  <c r="W2095" i="16"/>
  <c r="AC2095" i="16" s="1"/>
  <c r="V2095" i="16"/>
  <c r="AB2095" i="16" s="1"/>
  <c r="X2094" i="16"/>
  <c r="AD2094" i="16" s="1"/>
  <c r="W2094" i="16"/>
  <c r="AC2094" i="16" s="1"/>
  <c r="V2094" i="16"/>
  <c r="AB2094" i="16" s="1"/>
  <c r="X2093" i="16"/>
  <c r="AD2093" i="16" s="1"/>
  <c r="W2093" i="16"/>
  <c r="AC2093" i="16" s="1"/>
  <c r="V2093" i="16"/>
  <c r="AB2093" i="16" s="1"/>
  <c r="X2092" i="16"/>
  <c r="AD2092" i="16" s="1"/>
  <c r="W2092" i="16"/>
  <c r="AC2092" i="16" s="1"/>
  <c r="V2092" i="16"/>
  <c r="AB2092" i="16" s="1"/>
  <c r="X2091" i="16"/>
  <c r="AD2091" i="16" s="1"/>
  <c r="W2091" i="16"/>
  <c r="AC2091" i="16" s="1"/>
  <c r="V2091" i="16"/>
  <c r="AB2091" i="16" s="1"/>
  <c r="X2090" i="16"/>
  <c r="AD2090" i="16" s="1"/>
  <c r="W2090" i="16"/>
  <c r="AC2090" i="16" s="1"/>
  <c r="V2090" i="16"/>
  <c r="AB2090" i="16" s="1"/>
  <c r="X2089" i="16"/>
  <c r="AD2089" i="16" s="1"/>
  <c r="W2089" i="16"/>
  <c r="AC2089" i="16" s="1"/>
  <c r="V2089" i="16"/>
  <c r="AB2089" i="16" s="1"/>
  <c r="X2088" i="16"/>
  <c r="AD2088" i="16" s="1"/>
  <c r="W2088" i="16"/>
  <c r="AC2088" i="16" s="1"/>
  <c r="V2088" i="16"/>
  <c r="AB2088" i="16" s="1"/>
  <c r="X2087" i="16"/>
  <c r="AD2087" i="16" s="1"/>
  <c r="W2087" i="16"/>
  <c r="AC2087" i="16" s="1"/>
  <c r="V2087" i="16"/>
  <c r="AB2087" i="16" s="1"/>
  <c r="X2086" i="16"/>
  <c r="AD2086" i="16" s="1"/>
  <c r="W2086" i="16"/>
  <c r="AC2086" i="16" s="1"/>
  <c r="V2086" i="16"/>
  <c r="AB2086" i="16" s="1"/>
  <c r="X2085" i="16"/>
  <c r="AD2085" i="16" s="1"/>
  <c r="W2085" i="16"/>
  <c r="AC2085" i="16" s="1"/>
  <c r="V2085" i="16"/>
  <c r="AB2085" i="16" s="1"/>
  <c r="X2084" i="16"/>
  <c r="AD2084" i="16" s="1"/>
  <c r="W2084" i="16"/>
  <c r="AC2084" i="16" s="1"/>
  <c r="V2084" i="16"/>
  <c r="AB2084" i="16" s="1"/>
  <c r="X2083" i="16"/>
  <c r="AD2083" i="16" s="1"/>
  <c r="W2083" i="16"/>
  <c r="AC2083" i="16" s="1"/>
  <c r="V2083" i="16"/>
  <c r="AB2083" i="16" s="1"/>
  <c r="X2082" i="16"/>
  <c r="AD2082" i="16" s="1"/>
  <c r="W2082" i="16"/>
  <c r="AC2082" i="16" s="1"/>
  <c r="V2082" i="16"/>
  <c r="AB2082" i="16" s="1"/>
  <c r="X2081" i="16"/>
  <c r="AD2081" i="16" s="1"/>
  <c r="W2081" i="16"/>
  <c r="AC2081" i="16" s="1"/>
  <c r="V2081" i="16"/>
  <c r="AB2081" i="16" s="1"/>
  <c r="X2080" i="16"/>
  <c r="AD2080" i="16" s="1"/>
  <c r="W2080" i="16"/>
  <c r="AC2080" i="16" s="1"/>
  <c r="V2080" i="16"/>
  <c r="AB2080" i="16" s="1"/>
  <c r="X2079" i="16"/>
  <c r="AD2079" i="16" s="1"/>
  <c r="W2079" i="16"/>
  <c r="AC2079" i="16" s="1"/>
  <c r="V2079" i="16"/>
  <c r="AB2079" i="16" s="1"/>
  <c r="X2078" i="16"/>
  <c r="AD2078" i="16" s="1"/>
  <c r="W2078" i="16"/>
  <c r="AC2078" i="16" s="1"/>
  <c r="V2078" i="16"/>
  <c r="AB2078" i="16" s="1"/>
  <c r="X2077" i="16"/>
  <c r="AD2077" i="16" s="1"/>
  <c r="W2077" i="16"/>
  <c r="AC2077" i="16" s="1"/>
  <c r="V2077" i="16"/>
  <c r="AB2077" i="16" s="1"/>
  <c r="X2076" i="16"/>
  <c r="AD2076" i="16" s="1"/>
  <c r="W2076" i="16"/>
  <c r="AC2076" i="16" s="1"/>
  <c r="V2076" i="16"/>
  <c r="AB2076" i="16" s="1"/>
  <c r="X2075" i="16"/>
  <c r="AD2075" i="16" s="1"/>
  <c r="W2075" i="16"/>
  <c r="AC2075" i="16" s="1"/>
  <c r="V2075" i="16"/>
  <c r="AB2075" i="16" s="1"/>
  <c r="X2074" i="16"/>
  <c r="AD2074" i="16" s="1"/>
  <c r="W2074" i="16"/>
  <c r="AC2074" i="16" s="1"/>
  <c r="V2074" i="16"/>
  <c r="AB2074" i="16" s="1"/>
  <c r="V2073" i="16"/>
  <c r="AB2073" i="16" s="1"/>
  <c r="V2072" i="16"/>
  <c r="AB2072" i="16" s="1"/>
  <c r="V2071" i="16"/>
  <c r="AB2071" i="16" s="1"/>
  <c r="V2070" i="16"/>
  <c r="AB2070" i="16" s="1"/>
  <c r="V2069" i="16"/>
  <c r="AB2069" i="16" s="1"/>
  <c r="V2068" i="16"/>
  <c r="AB2068" i="16" s="1"/>
  <c r="V2067" i="16"/>
  <c r="AB2067" i="16" s="1"/>
  <c r="V2066" i="16"/>
  <c r="AB2066" i="16" s="1"/>
  <c r="V2065" i="16"/>
  <c r="AB2065" i="16" s="1"/>
  <c r="V2064" i="16"/>
  <c r="AB2064" i="16" s="1"/>
  <c r="V2063" i="16"/>
  <c r="AB2063" i="16" s="1"/>
  <c r="V2062" i="16"/>
  <c r="AB2062" i="16" s="1"/>
  <c r="V2061" i="16"/>
  <c r="AB2061" i="16" s="1"/>
  <c r="V2060" i="16"/>
  <c r="AB2060" i="16" s="1"/>
  <c r="V2059" i="16"/>
  <c r="AB2059" i="16" s="1"/>
  <c r="V2058" i="16"/>
  <c r="AB2058" i="16" s="1"/>
  <c r="V2057" i="16"/>
  <c r="AB2057" i="16" s="1"/>
  <c r="V2056" i="16"/>
  <c r="AB2056" i="16" s="1"/>
  <c r="V2055" i="16"/>
  <c r="AB2055" i="16" s="1"/>
  <c r="V2054" i="16"/>
  <c r="AB2054" i="16" s="1"/>
  <c r="V2053" i="16"/>
  <c r="AB2053" i="16" s="1"/>
  <c r="V2052" i="16"/>
  <c r="AB2052" i="16" s="1"/>
  <c r="V2051" i="16"/>
  <c r="AB2051" i="16" s="1"/>
  <c r="V2050" i="16"/>
  <c r="AB2050" i="16" s="1"/>
  <c r="V2049" i="16"/>
  <c r="AB2049" i="16" s="1"/>
  <c r="V2048" i="16"/>
  <c r="AB2048" i="16" s="1"/>
  <c r="V2047" i="16"/>
  <c r="AB2047" i="16" s="1"/>
  <c r="V2046" i="16"/>
  <c r="AB2046" i="16" s="1"/>
  <c r="V2045" i="16"/>
  <c r="AB2045" i="16" s="1"/>
  <c r="V2044" i="16"/>
  <c r="AB2044" i="16" s="1"/>
  <c r="V2043" i="16"/>
  <c r="AB2043" i="16" s="1"/>
  <c r="V2042" i="16"/>
  <c r="AB2042" i="16" s="1"/>
  <c r="V2041" i="16"/>
  <c r="AB2041" i="16" s="1"/>
  <c r="V2040" i="16"/>
  <c r="AB2040" i="16" s="1"/>
  <c r="X2039" i="16"/>
  <c r="AD2039" i="16" s="1"/>
  <c r="W2039" i="16"/>
  <c r="AC2039" i="16" s="1"/>
  <c r="V2039" i="16"/>
  <c r="AB2039" i="16" s="1"/>
  <c r="X2038" i="16"/>
  <c r="AD2038" i="16" s="1"/>
  <c r="W2038" i="16"/>
  <c r="AC2038" i="16" s="1"/>
  <c r="V2038" i="16"/>
  <c r="AB2038" i="16" s="1"/>
  <c r="X2037" i="16"/>
  <c r="AD2037" i="16" s="1"/>
  <c r="W2037" i="16"/>
  <c r="AC2037" i="16" s="1"/>
  <c r="V2037" i="16"/>
  <c r="AB2037" i="16" s="1"/>
  <c r="X2036" i="16"/>
  <c r="AD2036" i="16" s="1"/>
  <c r="W2036" i="16"/>
  <c r="AC2036" i="16" s="1"/>
  <c r="V2036" i="16"/>
  <c r="AB2036" i="16" s="1"/>
  <c r="X2035" i="16"/>
  <c r="AD2035" i="16" s="1"/>
  <c r="W2035" i="16"/>
  <c r="AC2035" i="16" s="1"/>
  <c r="V2035" i="16"/>
  <c r="AB2035" i="16" s="1"/>
  <c r="X2034" i="16"/>
  <c r="AD2034" i="16" s="1"/>
  <c r="W2034" i="16"/>
  <c r="AC2034" i="16" s="1"/>
  <c r="V2034" i="16"/>
  <c r="AB2034" i="16" s="1"/>
  <c r="X2033" i="16"/>
  <c r="AD2033" i="16" s="1"/>
  <c r="W2033" i="16"/>
  <c r="AC2033" i="16" s="1"/>
  <c r="V2033" i="16"/>
  <c r="AB2033" i="16" s="1"/>
  <c r="X2032" i="16"/>
  <c r="AD2032" i="16" s="1"/>
  <c r="W2032" i="16"/>
  <c r="AC2032" i="16" s="1"/>
  <c r="V2032" i="16"/>
  <c r="AB2032" i="16" s="1"/>
  <c r="X2031" i="16"/>
  <c r="AD2031" i="16" s="1"/>
  <c r="W2031" i="16"/>
  <c r="AC2031" i="16" s="1"/>
  <c r="V2031" i="16"/>
  <c r="AB2031" i="16" s="1"/>
  <c r="X2030" i="16"/>
  <c r="AD2030" i="16" s="1"/>
  <c r="W2030" i="16"/>
  <c r="AC2030" i="16" s="1"/>
  <c r="V2030" i="16"/>
  <c r="AB2030" i="16" s="1"/>
  <c r="X2029" i="16"/>
  <c r="AD2029" i="16" s="1"/>
  <c r="W2029" i="16"/>
  <c r="AC2029" i="16" s="1"/>
  <c r="V2029" i="16"/>
  <c r="AB2029" i="16" s="1"/>
  <c r="X2028" i="16"/>
  <c r="AD2028" i="16" s="1"/>
  <c r="W2028" i="16"/>
  <c r="AC2028" i="16" s="1"/>
  <c r="V2028" i="16"/>
  <c r="AB2028" i="16" s="1"/>
  <c r="X2027" i="16"/>
  <c r="AD2027" i="16" s="1"/>
  <c r="W2027" i="16"/>
  <c r="AC2027" i="16" s="1"/>
  <c r="V2027" i="16"/>
  <c r="AB2027" i="16" s="1"/>
  <c r="X2026" i="16"/>
  <c r="AD2026" i="16" s="1"/>
  <c r="W2026" i="16"/>
  <c r="AC2026" i="16" s="1"/>
  <c r="V2026" i="16"/>
  <c r="AB2026" i="16" s="1"/>
  <c r="X2025" i="16"/>
  <c r="AD2025" i="16" s="1"/>
  <c r="W2025" i="16"/>
  <c r="AC2025" i="16" s="1"/>
  <c r="V2025" i="16"/>
  <c r="AB2025" i="16" s="1"/>
  <c r="X2024" i="16"/>
  <c r="AD2024" i="16" s="1"/>
  <c r="W2024" i="16"/>
  <c r="AC2024" i="16" s="1"/>
  <c r="V2024" i="16"/>
  <c r="AB2024" i="16" s="1"/>
  <c r="X2023" i="16"/>
  <c r="AD2023" i="16" s="1"/>
  <c r="W2023" i="16"/>
  <c r="AC2023" i="16" s="1"/>
  <c r="V2023" i="16"/>
  <c r="AB2023" i="16" s="1"/>
  <c r="X2022" i="16"/>
  <c r="AD2022" i="16" s="1"/>
  <c r="W2022" i="16"/>
  <c r="AC2022" i="16" s="1"/>
  <c r="V2022" i="16"/>
  <c r="AB2022" i="16" s="1"/>
  <c r="X2021" i="16"/>
  <c r="AD2021" i="16" s="1"/>
  <c r="W2021" i="16"/>
  <c r="AC2021" i="16" s="1"/>
  <c r="V2021" i="16"/>
  <c r="AB2021" i="16" s="1"/>
  <c r="X2020" i="16"/>
  <c r="AD2020" i="16" s="1"/>
  <c r="W2020" i="16"/>
  <c r="AC2020" i="16" s="1"/>
  <c r="V2020" i="16"/>
  <c r="AB2020" i="16" s="1"/>
  <c r="X2019" i="16"/>
  <c r="AD2019" i="16" s="1"/>
  <c r="W2019" i="16"/>
  <c r="AC2019" i="16" s="1"/>
  <c r="V2019" i="16"/>
  <c r="AB2019" i="16" s="1"/>
  <c r="X2018" i="16"/>
  <c r="AD2018" i="16" s="1"/>
  <c r="W2018" i="16"/>
  <c r="AC2018" i="16" s="1"/>
  <c r="V2018" i="16"/>
  <c r="AB2018" i="16" s="1"/>
  <c r="X2017" i="16"/>
  <c r="AD2017" i="16" s="1"/>
  <c r="W2017" i="16"/>
  <c r="AC2017" i="16" s="1"/>
  <c r="V2017" i="16"/>
  <c r="AB2017" i="16" s="1"/>
  <c r="X2016" i="16"/>
  <c r="AD2016" i="16" s="1"/>
  <c r="W2016" i="16"/>
  <c r="AC2016" i="16" s="1"/>
  <c r="V2016" i="16"/>
  <c r="AB2016" i="16" s="1"/>
  <c r="X2015" i="16"/>
  <c r="AD2015" i="16" s="1"/>
  <c r="W2015" i="16"/>
  <c r="AC2015" i="16" s="1"/>
  <c r="V2015" i="16"/>
  <c r="AB2015" i="16" s="1"/>
  <c r="X2014" i="16"/>
  <c r="AD2014" i="16" s="1"/>
  <c r="W2014" i="16"/>
  <c r="AC2014" i="16" s="1"/>
  <c r="V2014" i="16"/>
  <c r="AB2014" i="16" s="1"/>
  <c r="X2013" i="16"/>
  <c r="AD2013" i="16" s="1"/>
  <c r="W2013" i="16"/>
  <c r="AC2013" i="16" s="1"/>
  <c r="V2013" i="16"/>
  <c r="AB2013" i="16" s="1"/>
  <c r="X2012" i="16"/>
  <c r="AD2012" i="16" s="1"/>
  <c r="W2012" i="16"/>
  <c r="AC2012" i="16" s="1"/>
  <c r="V2012" i="16"/>
  <c r="AB2012" i="16" s="1"/>
  <c r="X2011" i="16"/>
  <c r="AD2011" i="16" s="1"/>
  <c r="W2011" i="16"/>
  <c r="AC2011" i="16" s="1"/>
  <c r="V2011" i="16"/>
  <c r="AB2011" i="16" s="1"/>
  <c r="X2010" i="16"/>
  <c r="AD2010" i="16" s="1"/>
  <c r="W2010" i="16"/>
  <c r="AC2010" i="16" s="1"/>
  <c r="V2010" i="16"/>
  <c r="AB2010" i="16" s="1"/>
  <c r="X2009" i="16"/>
  <c r="AD2009" i="16" s="1"/>
  <c r="W2009" i="16"/>
  <c r="AC2009" i="16" s="1"/>
  <c r="V2009" i="16"/>
  <c r="AB2009" i="16" s="1"/>
  <c r="X2008" i="16"/>
  <c r="AD2008" i="16" s="1"/>
  <c r="W2008" i="16"/>
  <c r="AC2008" i="16" s="1"/>
  <c r="V2008" i="16"/>
  <c r="AB2008" i="16" s="1"/>
  <c r="X2007" i="16"/>
  <c r="AD2007" i="16" s="1"/>
  <c r="W2007" i="16"/>
  <c r="AC2007" i="16" s="1"/>
  <c r="V2007" i="16"/>
  <c r="AB2007" i="16" s="1"/>
  <c r="X2006" i="16"/>
  <c r="AD2006" i="16" s="1"/>
  <c r="W2006" i="16"/>
  <c r="AC2006" i="16" s="1"/>
  <c r="V2006" i="16"/>
  <c r="AB2006" i="16" s="1"/>
  <c r="X2005" i="16"/>
  <c r="AD2005" i="16" s="1"/>
  <c r="W2005" i="16"/>
  <c r="AC2005" i="16" s="1"/>
  <c r="V2005" i="16"/>
  <c r="AB2005" i="16" s="1"/>
  <c r="X2004" i="16"/>
  <c r="AD2004" i="16" s="1"/>
  <c r="W2004" i="16"/>
  <c r="AC2004" i="16" s="1"/>
  <c r="V2004" i="16"/>
  <c r="AB2004" i="16" s="1"/>
  <c r="X2003" i="16"/>
  <c r="AD2003" i="16" s="1"/>
  <c r="W2003" i="16"/>
  <c r="AC2003" i="16" s="1"/>
  <c r="V2003" i="16"/>
  <c r="AB2003" i="16" s="1"/>
  <c r="X2002" i="16"/>
  <c r="AD2002" i="16" s="1"/>
  <c r="W2002" i="16"/>
  <c r="AC2002" i="16" s="1"/>
  <c r="V2002" i="16"/>
  <c r="AB2002" i="16" s="1"/>
  <c r="X2001" i="16"/>
  <c r="AD2001" i="16" s="1"/>
  <c r="W2001" i="16"/>
  <c r="AC2001" i="16" s="1"/>
  <c r="V2001" i="16"/>
  <c r="AB2001" i="16" s="1"/>
  <c r="X2000" i="16"/>
  <c r="AD2000" i="16" s="1"/>
  <c r="W2000" i="16"/>
  <c r="AC2000" i="16" s="1"/>
  <c r="V2000" i="16"/>
  <c r="AB2000" i="16" s="1"/>
  <c r="X1999" i="16"/>
  <c r="AD1999" i="16" s="1"/>
  <c r="W1999" i="16"/>
  <c r="AC1999" i="16" s="1"/>
  <c r="V1999" i="16"/>
  <c r="AB1999" i="16" s="1"/>
  <c r="X1998" i="16"/>
  <c r="AD1998" i="16" s="1"/>
  <c r="W1998" i="16"/>
  <c r="AC1998" i="16" s="1"/>
  <c r="V1998" i="16"/>
  <c r="AB1998" i="16" s="1"/>
  <c r="X1997" i="16"/>
  <c r="AD1997" i="16" s="1"/>
  <c r="W1997" i="16"/>
  <c r="AC1997" i="16" s="1"/>
  <c r="V1997" i="16"/>
  <c r="AB1997" i="16" s="1"/>
  <c r="X1996" i="16"/>
  <c r="AD1996" i="16" s="1"/>
  <c r="W1996" i="16"/>
  <c r="AC1996" i="16" s="1"/>
  <c r="V1996" i="16"/>
  <c r="AB1996" i="16" s="1"/>
  <c r="X1995" i="16"/>
  <c r="AD1995" i="16" s="1"/>
  <c r="W1995" i="16"/>
  <c r="AC1995" i="16" s="1"/>
  <c r="V1995" i="16"/>
  <c r="AB1995" i="16" s="1"/>
  <c r="X1994" i="16"/>
  <c r="AD1994" i="16" s="1"/>
  <c r="W1994" i="16"/>
  <c r="AC1994" i="16" s="1"/>
  <c r="V1994" i="16"/>
  <c r="AB1994" i="16" s="1"/>
  <c r="X1993" i="16"/>
  <c r="AD1993" i="16" s="1"/>
  <c r="W1993" i="16"/>
  <c r="AC1993" i="16" s="1"/>
  <c r="V1993" i="16"/>
  <c r="AB1993" i="16" s="1"/>
  <c r="X1992" i="16"/>
  <c r="AD1992" i="16" s="1"/>
  <c r="W1992" i="16"/>
  <c r="AC1992" i="16" s="1"/>
  <c r="V1992" i="16"/>
  <c r="AB1992" i="16" s="1"/>
  <c r="X1991" i="16"/>
  <c r="AD1991" i="16" s="1"/>
  <c r="W1991" i="16"/>
  <c r="AC1991" i="16" s="1"/>
  <c r="V1991" i="16"/>
  <c r="AB1991" i="16" s="1"/>
  <c r="X1990" i="16"/>
  <c r="AD1990" i="16" s="1"/>
  <c r="W1990" i="16"/>
  <c r="AC1990" i="16" s="1"/>
  <c r="V1990" i="16"/>
  <c r="AB1990" i="16" s="1"/>
  <c r="X1989" i="16"/>
  <c r="AD1989" i="16" s="1"/>
  <c r="W1989" i="16"/>
  <c r="AC1989" i="16" s="1"/>
  <c r="V1989" i="16"/>
  <c r="AB1989" i="16" s="1"/>
  <c r="X1988" i="16"/>
  <c r="AD1988" i="16" s="1"/>
  <c r="W1988" i="16"/>
  <c r="AC1988" i="16" s="1"/>
  <c r="V1988" i="16"/>
  <c r="AB1988" i="16" s="1"/>
  <c r="X1987" i="16"/>
  <c r="AD1987" i="16" s="1"/>
  <c r="W1987" i="16"/>
  <c r="AC1987" i="16" s="1"/>
  <c r="V1987" i="16"/>
  <c r="AB1987" i="16" s="1"/>
  <c r="X1986" i="16"/>
  <c r="AD1986" i="16" s="1"/>
  <c r="W1986" i="16"/>
  <c r="AC1986" i="16" s="1"/>
  <c r="V1986" i="16"/>
  <c r="AB1986" i="16" s="1"/>
  <c r="X1985" i="16"/>
  <c r="AD1985" i="16" s="1"/>
  <c r="W1985" i="16"/>
  <c r="AC1985" i="16" s="1"/>
  <c r="V1985" i="16"/>
  <c r="AB1985" i="16" s="1"/>
  <c r="X1984" i="16"/>
  <c r="AD1984" i="16" s="1"/>
  <c r="W1984" i="16"/>
  <c r="AC1984" i="16" s="1"/>
  <c r="V1984" i="16"/>
  <c r="AB1984" i="16" s="1"/>
  <c r="X1983" i="16"/>
  <c r="AD1983" i="16" s="1"/>
  <c r="W1983" i="16"/>
  <c r="AC1983" i="16" s="1"/>
  <c r="V1983" i="16"/>
  <c r="AB1983" i="16" s="1"/>
  <c r="X1982" i="16"/>
  <c r="AD1982" i="16" s="1"/>
  <c r="W1982" i="16"/>
  <c r="AC1982" i="16" s="1"/>
  <c r="V1982" i="16"/>
  <c r="AB1982" i="16" s="1"/>
  <c r="X1981" i="16"/>
  <c r="AD1981" i="16" s="1"/>
  <c r="W1981" i="16"/>
  <c r="AC1981" i="16" s="1"/>
  <c r="V1981" i="16"/>
  <c r="AB1981" i="16" s="1"/>
  <c r="X1980" i="16"/>
  <c r="AD1980" i="16" s="1"/>
  <c r="W1980" i="16"/>
  <c r="AC1980" i="16" s="1"/>
  <c r="V1980" i="16"/>
  <c r="AB1980" i="16" s="1"/>
  <c r="X1979" i="16"/>
  <c r="AD1979" i="16" s="1"/>
  <c r="W1979" i="16"/>
  <c r="AC1979" i="16" s="1"/>
  <c r="V1979" i="16"/>
  <c r="AB1979" i="16" s="1"/>
  <c r="X1978" i="16"/>
  <c r="AD1978" i="16" s="1"/>
  <c r="W1978" i="16"/>
  <c r="AC1978" i="16" s="1"/>
  <c r="V1978" i="16"/>
  <c r="AB1978" i="16" s="1"/>
  <c r="X1977" i="16"/>
  <c r="AD1977" i="16" s="1"/>
  <c r="W1977" i="16"/>
  <c r="AC1977" i="16" s="1"/>
  <c r="V1977" i="16"/>
  <c r="AB1977" i="16" s="1"/>
  <c r="X1976" i="16"/>
  <c r="AD1976" i="16" s="1"/>
  <c r="W1976" i="16"/>
  <c r="AC1976" i="16" s="1"/>
  <c r="V1976" i="16"/>
  <c r="AB1976" i="16" s="1"/>
  <c r="X1975" i="16"/>
  <c r="AD1975" i="16" s="1"/>
  <c r="W1975" i="16"/>
  <c r="AC1975" i="16" s="1"/>
  <c r="V1975" i="16"/>
  <c r="AB1975" i="16" s="1"/>
  <c r="X1974" i="16"/>
  <c r="AD1974" i="16" s="1"/>
  <c r="W1974" i="16"/>
  <c r="AC1974" i="16" s="1"/>
  <c r="V1974" i="16"/>
  <c r="AB1974" i="16" s="1"/>
  <c r="X1973" i="16"/>
  <c r="AD1973" i="16" s="1"/>
  <c r="W1973" i="16"/>
  <c r="AC1973" i="16" s="1"/>
  <c r="V1973" i="16"/>
  <c r="AB1973" i="16" s="1"/>
  <c r="X1972" i="16"/>
  <c r="AD1972" i="16" s="1"/>
  <c r="W1972" i="16"/>
  <c r="AC1972" i="16" s="1"/>
  <c r="V1972" i="16"/>
  <c r="AB1972" i="16" s="1"/>
  <c r="X1971" i="16"/>
  <c r="AD1971" i="16" s="1"/>
  <c r="W1971" i="16"/>
  <c r="AC1971" i="16" s="1"/>
  <c r="V1971" i="16"/>
  <c r="AB1971" i="16" s="1"/>
  <c r="X1970" i="16"/>
  <c r="AD1970" i="16" s="1"/>
  <c r="W1970" i="16"/>
  <c r="AC1970" i="16" s="1"/>
  <c r="V1970" i="16"/>
  <c r="AB1970" i="16" s="1"/>
  <c r="X1969" i="16"/>
  <c r="AD1969" i="16" s="1"/>
  <c r="W1969" i="16"/>
  <c r="AC1969" i="16" s="1"/>
  <c r="V1969" i="16"/>
  <c r="AB1969" i="16" s="1"/>
  <c r="X1968" i="16"/>
  <c r="AD1968" i="16" s="1"/>
  <c r="W1968" i="16"/>
  <c r="AC1968" i="16" s="1"/>
  <c r="V1968" i="16"/>
  <c r="AB1968" i="16" s="1"/>
  <c r="X1967" i="16"/>
  <c r="AD1967" i="16" s="1"/>
  <c r="W1967" i="16"/>
  <c r="AC1967" i="16" s="1"/>
  <c r="V1967" i="16"/>
  <c r="AB1967" i="16" s="1"/>
  <c r="X1966" i="16"/>
  <c r="AD1966" i="16" s="1"/>
  <c r="W1966" i="16"/>
  <c r="AC1966" i="16" s="1"/>
  <c r="V1966" i="16"/>
  <c r="AB1966" i="16" s="1"/>
  <c r="X1965" i="16"/>
  <c r="AD1965" i="16" s="1"/>
  <c r="W1965" i="16"/>
  <c r="AC1965" i="16" s="1"/>
  <c r="V1965" i="16"/>
  <c r="AB1965" i="16" s="1"/>
  <c r="X1964" i="16"/>
  <c r="AD1964" i="16" s="1"/>
  <c r="W1964" i="16"/>
  <c r="AC1964" i="16" s="1"/>
  <c r="V1964" i="16"/>
  <c r="AB1964" i="16" s="1"/>
  <c r="X1963" i="16"/>
  <c r="AD1963" i="16" s="1"/>
  <c r="W1963" i="16"/>
  <c r="AC1963" i="16" s="1"/>
  <c r="V1963" i="16"/>
  <c r="AB1963" i="16" s="1"/>
  <c r="X1962" i="16"/>
  <c r="AD1962" i="16" s="1"/>
  <c r="W1962" i="16"/>
  <c r="AC1962" i="16" s="1"/>
  <c r="V1962" i="16"/>
  <c r="AB1962" i="16" s="1"/>
  <c r="X1961" i="16"/>
  <c r="AD1961" i="16" s="1"/>
  <c r="W1961" i="16"/>
  <c r="AC1961" i="16" s="1"/>
  <c r="V1961" i="16"/>
  <c r="AB1961" i="16" s="1"/>
  <c r="X1960" i="16"/>
  <c r="AD1960" i="16" s="1"/>
  <c r="W1960" i="16"/>
  <c r="AC1960" i="16" s="1"/>
  <c r="V1960" i="16"/>
  <c r="AB1960" i="16" s="1"/>
  <c r="X1959" i="16"/>
  <c r="AD1959" i="16" s="1"/>
  <c r="W1959" i="16"/>
  <c r="AC1959" i="16" s="1"/>
  <c r="V1959" i="16"/>
  <c r="AB1959" i="16" s="1"/>
  <c r="X1958" i="16"/>
  <c r="AD1958" i="16" s="1"/>
  <c r="W1958" i="16"/>
  <c r="AC1958" i="16" s="1"/>
  <c r="V1958" i="16"/>
  <c r="AB1958" i="16" s="1"/>
  <c r="X1957" i="16"/>
  <c r="AD1957" i="16" s="1"/>
  <c r="W1957" i="16"/>
  <c r="AC1957" i="16" s="1"/>
  <c r="V1957" i="16"/>
  <c r="AB1957" i="16" s="1"/>
  <c r="X1956" i="16"/>
  <c r="AD1956" i="16" s="1"/>
  <c r="W1956" i="16"/>
  <c r="AC1956" i="16" s="1"/>
  <c r="V1956" i="16"/>
  <c r="AB1956" i="16" s="1"/>
  <c r="X1955" i="16"/>
  <c r="AD1955" i="16" s="1"/>
  <c r="W1955" i="16"/>
  <c r="AC1955" i="16" s="1"/>
  <c r="V1955" i="16"/>
  <c r="AB1955" i="16" s="1"/>
  <c r="X1954" i="16"/>
  <c r="AD1954" i="16" s="1"/>
  <c r="W1954" i="16"/>
  <c r="AC1954" i="16" s="1"/>
  <c r="V1954" i="16"/>
  <c r="AB1954" i="16" s="1"/>
  <c r="X1953" i="16"/>
  <c r="AD1953" i="16" s="1"/>
  <c r="W1953" i="16"/>
  <c r="AC1953" i="16" s="1"/>
  <c r="V1953" i="16"/>
  <c r="AB1953" i="16" s="1"/>
  <c r="X1952" i="16"/>
  <c r="AD1952" i="16" s="1"/>
  <c r="W1952" i="16"/>
  <c r="AC1952" i="16" s="1"/>
  <c r="V1952" i="16"/>
  <c r="AB1952" i="16" s="1"/>
  <c r="X1951" i="16"/>
  <c r="AD1951" i="16" s="1"/>
  <c r="W1951" i="16"/>
  <c r="AC1951" i="16" s="1"/>
  <c r="V1951" i="16"/>
  <c r="AB1951" i="16" s="1"/>
  <c r="X1950" i="16"/>
  <c r="AD1950" i="16" s="1"/>
  <c r="W1950" i="16"/>
  <c r="AC1950" i="16" s="1"/>
  <c r="V1950" i="16"/>
  <c r="AB1950" i="16" s="1"/>
  <c r="X1949" i="16"/>
  <c r="AD1949" i="16" s="1"/>
  <c r="W1949" i="16"/>
  <c r="AC1949" i="16" s="1"/>
  <c r="V1949" i="16"/>
  <c r="AB1949" i="16" s="1"/>
  <c r="X1948" i="16"/>
  <c r="AD1948" i="16" s="1"/>
  <c r="W1948" i="16"/>
  <c r="AC1948" i="16" s="1"/>
  <c r="V1948" i="16"/>
  <c r="AB1948" i="16" s="1"/>
  <c r="X1947" i="16"/>
  <c r="AD1947" i="16" s="1"/>
  <c r="W1947" i="16"/>
  <c r="AC1947" i="16" s="1"/>
  <c r="V1947" i="16"/>
  <c r="AB1947" i="16" s="1"/>
  <c r="X1946" i="16"/>
  <c r="AD1946" i="16" s="1"/>
  <c r="W1946" i="16"/>
  <c r="AC1946" i="16" s="1"/>
  <c r="V1946" i="16"/>
  <c r="AB1946" i="16" s="1"/>
  <c r="X1945" i="16"/>
  <c r="AD1945" i="16" s="1"/>
  <c r="W1945" i="16"/>
  <c r="AC1945" i="16" s="1"/>
  <c r="V1945" i="16"/>
  <c r="AB1945" i="16" s="1"/>
  <c r="X1944" i="16"/>
  <c r="AD1944" i="16" s="1"/>
  <c r="W1944" i="16"/>
  <c r="AC1944" i="16" s="1"/>
  <c r="V1944" i="16"/>
  <c r="AB1944" i="16" s="1"/>
  <c r="X1943" i="16"/>
  <c r="AD1943" i="16" s="1"/>
  <c r="W1943" i="16"/>
  <c r="AC1943" i="16" s="1"/>
  <c r="V1943" i="16"/>
  <c r="AB1943" i="16" s="1"/>
  <c r="X1942" i="16"/>
  <c r="AD1942" i="16" s="1"/>
  <c r="W1942" i="16"/>
  <c r="AC1942" i="16" s="1"/>
  <c r="V1942" i="16"/>
  <c r="AB1942" i="16" s="1"/>
  <c r="X1941" i="16"/>
  <c r="AD1941" i="16" s="1"/>
  <c r="W1941" i="16"/>
  <c r="AC1941" i="16" s="1"/>
  <c r="V1941" i="16"/>
  <c r="AB1941" i="16" s="1"/>
  <c r="X1940" i="16"/>
  <c r="AD1940" i="16" s="1"/>
  <c r="W1940" i="16"/>
  <c r="AC1940" i="16" s="1"/>
  <c r="V1940" i="16"/>
  <c r="AB1940" i="16" s="1"/>
  <c r="X1939" i="16"/>
  <c r="AD1939" i="16" s="1"/>
  <c r="W1939" i="16"/>
  <c r="AC1939" i="16" s="1"/>
  <c r="V1939" i="16"/>
  <c r="AB1939" i="16" s="1"/>
  <c r="X1938" i="16"/>
  <c r="AD1938" i="16" s="1"/>
  <c r="W1938" i="16"/>
  <c r="AC1938" i="16" s="1"/>
  <c r="V1938" i="16"/>
  <c r="AB1938" i="16" s="1"/>
  <c r="X1937" i="16"/>
  <c r="AD1937" i="16" s="1"/>
  <c r="W1937" i="16"/>
  <c r="AC1937" i="16" s="1"/>
  <c r="V1937" i="16"/>
  <c r="AB1937" i="16" s="1"/>
  <c r="X1936" i="16"/>
  <c r="AD1936" i="16" s="1"/>
  <c r="W1936" i="16"/>
  <c r="AC1936" i="16" s="1"/>
  <c r="V1936" i="16"/>
  <c r="AB1936" i="16" s="1"/>
  <c r="X1935" i="16"/>
  <c r="AD1935" i="16" s="1"/>
  <c r="W1935" i="16"/>
  <c r="AC1935" i="16" s="1"/>
  <c r="V1935" i="16"/>
  <c r="AB1935" i="16" s="1"/>
  <c r="X1934" i="16"/>
  <c r="AD1934" i="16" s="1"/>
  <c r="W1934" i="16"/>
  <c r="AC1934" i="16" s="1"/>
  <c r="V1934" i="16"/>
  <c r="AB1934" i="16" s="1"/>
  <c r="X1933" i="16"/>
  <c r="AD1933" i="16" s="1"/>
  <c r="W1933" i="16"/>
  <c r="AC1933" i="16" s="1"/>
  <c r="V1933" i="16"/>
  <c r="AB1933" i="16" s="1"/>
  <c r="X1932" i="16"/>
  <c r="AD1932" i="16" s="1"/>
  <c r="W1932" i="16"/>
  <c r="AC1932" i="16" s="1"/>
  <c r="V1932" i="16"/>
  <c r="AB1932" i="16" s="1"/>
  <c r="X1931" i="16"/>
  <c r="AD1931" i="16" s="1"/>
  <c r="W1931" i="16"/>
  <c r="AC1931" i="16" s="1"/>
  <c r="V1931" i="16"/>
  <c r="AB1931" i="16" s="1"/>
  <c r="X1930" i="16"/>
  <c r="AD1930" i="16" s="1"/>
  <c r="W1930" i="16"/>
  <c r="AC1930" i="16" s="1"/>
  <c r="V1930" i="16"/>
  <c r="AB1930" i="16" s="1"/>
  <c r="X1929" i="16"/>
  <c r="AD1929" i="16" s="1"/>
  <c r="W1929" i="16"/>
  <c r="AC1929" i="16" s="1"/>
  <c r="V1929" i="16"/>
  <c r="AB1929" i="16" s="1"/>
  <c r="X1928" i="16"/>
  <c r="AD1928" i="16" s="1"/>
  <c r="W1928" i="16"/>
  <c r="AC1928" i="16" s="1"/>
  <c r="V1928" i="16"/>
  <c r="AB1928" i="16" s="1"/>
  <c r="X1927" i="16"/>
  <c r="AD1927" i="16" s="1"/>
  <c r="W1927" i="16"/>
  <c r="AC1927" i="16" s="1"/>
  <c r="V1927" i="16"/>
  <c r="AB1927" i="16" s="1"/>
  <c r="X1926" i="16"/>
  <c r="AD1926" i="16" s="1"/>
  <c r="W1926" i="16"/>
  <c r="AC1926" i="16" s="1"/>
  <c r="V1926" i="16"/>
  <c r="AB1926" i="16" s="1"/>
  <c r="X1925" i="16"/>
  <c r="AD1925" i="16" s="1"/>
  <c r="W1925" i="16"/>
  <c r="AC1925" i="16" s="1"/>
  <c r="V1925" i="16"/>
  <c r="AB1925" i="16" s="1"/>
  <c r="X1924" i="16"/>
  <c r="AD1924" i="16" s="1"/>
  <c r="W1924" i="16"/>
  <c r="AC1924" i="16" s="1"/>
  <c r="V1924" i="16"/>
  <c r="AB1924" i="16" s="1"/>
  <c r="X1923" i="16"/>
  <c r="AD1923" i="16" s="1"/>
  <c r="W1923" i="16"/>
  <c r="AC1923" i="16" s="1"/>
  <c r="V1923" i="16"/>
  <c r="AB1923" i="16" s="1"/>
  <c r="X1922" i="16"/>
  <c r="AD1922" i="16" s="1"/>
  <c r="W1922" i="16"/>
  <c r="AC1922" i="16" s="1"/>
  <c r="V1922" i="16"/>
  <c r="AB1922" i="16" s="1"/>
  <c r="X1921" i="16"/>
  <c r="AD1921" i="16" s="1"/>
  <c r="W1921" i="16"/>
  <c r="AC1921" i="16" s="1"/>
  <c r="V1921" i="16"/>
  <c r="AB1921" i="16" s="1"/>
  <c r="X1920" i="16"/>
  <c r="AD1920" i="16" s="1"/>
  <c r="W1920" i="16"/>
  <c r="AC1920" i="16" s="1"/>
  <c r="V1920" i="16"/>
  <c r="AB1920" i="16" s="1"/>
  <c r="X1919" i="16"/>
  <c r="AD1919" i="16" s="1"/>
  <c r="W1919" i="16"/>
  <c r="AC1919" i="16" s="1"/>
  <c r="V1919" i="16"/>
  <c r="AB1919" i="16" s="1"/>
  <c r="X1918" i="16"/>
  <c r="AD1918" i="16" s="1"/>
  <c r="W1918" i="16"/>
  <c r="AC1918" i="16" s="1"/>
  <c r="V1918" i="16"/>
  <c r="AB1918" i="16" s="1"/>
  <c r="X1917" i="16"/>
  <c r="AD1917" i="16" s="1"/>
  <c r="W1917" i="16"/>
  <c r="AC1917" i="16" s="1"/>
  <c r="V1917" i="16"/>
  <c r="AB1917" i="16" s="1"/>
  <c r="X1916" i="16"/>
  <c r="AD1916" i="16" s="1"/>
  <c r="W1916" i="16"/>
  <c r="AC1916" i="16" s="1"/>
  <c r="V1916" i="16"/>
  <c r="AB1916" i="16" s="1"/>
  <c r="X1915" i="16"/>
  <c r="AD1915" i="16" s="1"/>
  <c r="W1915" i="16"/>
  <c r="AC1915" i="16" s="1"/>
  <c r="V1915" i="16"/>
  <c r="AB1915" i="16" s="1"/>
  <c r="X1914" i="16"/>
  <c r="AD1914" i="16" s="1"/>
  <c r="W1914" i="16"/>
  <c r="AC1914" i="16" s="1"/>
  <c r="V1914" i="16"/>
  <c r="AB1914" i="16" s="1"/>
  <c r="X1913" i="16"/>
  <c r="AD1913" i="16" s="1"/>
  <c r="W1913" i="16"/>
  <c r="AC1913" i="16" s="1"/>
  <c r="V1913" i="16"/>
  <c r="AB1913" i="16" s="1"/>
  <c r="X1912" i="16"/>
  <c r="AD1912" i="16" s="1"/>
  <c r="W1912" i="16"/>
  <c r="AC1912" i="16" s="1"/>
  <c r="V1912" i="16"/>
  <c r="AB1912" i="16" s="1"/>
  <c r="X1911" i="16"/>
  <c r="AD1911" i="16" s="1"/>
  <c r="W1911" i="16"/>
  <c r="AC1911" i="16" s="1"/>
  <c r="V1911" i="16"/>
  <c r="AB1911" i="16" s="1"/>
  <c r="X1910" i="16"/>
  <c r="AD1910" i="16" s="1"/>
  <c r="W1910" i="16"/>
  <c r="AC1910" i="16" s="1"/>
  <c r="V1910" i="16"/>
  <c r="AB1910" i="16" s="1"/>
  <c r="X1909" i="16"/>
  <c r="AD1909" i="16" s="1"/>
  <c r="W1909" i="16"/>
  <c r="AC1909" i="16" s="1"/>
  <c r="V1909" i="16"/>
  <c r="AB1909" i="16" s="1"/>
  <c r="X1908" i="16"/>
  <c r="AD1908" i="16" s="1"/>
  <c r="W1908" i="16"/>
  <c r="AC1908" i="16" s="1"/>
  <c r="V1908" i="16"/>
  <c r="AB1908" i="16" s="1"/>
  <c r="X1907" i="16"/>
  <c r="AD1907" i="16" s="1"/>
  <c r="W1907" i="16"/>
  <c r="AC1907" i="16" s="1"/>
  <c r="V1907" i="16"/>
  <c r="AB1907" i="16" s="1"/>
  <c r="X1906" i="16"/>
  <c r="AD1906" i="16" s="1"/>
  <c r="W1906" i="16"/>
  <c r="AC1906" i="16" s="1"/>
  <c r="V1906" i="16"/>
  <c r="AB1906" i="16" s="1"/>
  <c r="X1905" i="16"/>
  <c r="AD1905" i="16" s="1"/>
  <c r="W1905" i="16"/>
  <c r="AC1905" i="16" s="1"/>
  <c r="V1905" i="16"/>
  <c r="AB1905" i="16" s="1"/>
  <c r="X1904" i="16"/>
  <c r="AD1904" i="16" s="1"/>
  <c r="W1904" i="16"/>
  <c r="AC1904" i="16" s="1"/>
  <c r="V1904" i="16"/>
  <c r="AB1904" i="16" s="1"/>
  <c r="X1903" i="16"/>
  <c r="AD1903" i="16" s="1"/>
  <c r="W1903" i="16"/>
  <c r="AC1903" i="16" s="1"/>
  <c r="V1903" i="16"/>
  <c r="AB1903" i="16" s="1"/>
  <c r="X1902" i="16"/>
  <c r="AD1902" i="16" s="1"/>
  <c r="W1902" i="16"/>
  <c r="AC1902" i="16" s="1"/>
  <c r="V1902" i="16"/>
  <c r="AB1902" i="16" s="1"/>
  <c r="X1901" i="16"/>
  <c r="AD1901" i="16" s="1"/>
  <c r="W1901" i="16"/>
  <c r="AC1901" i="16" s="1"/>
  <c r="V1901" i="16"/>
  <c r="AB1901" i="16" s="1"/>
  <c r="X1900" i="16"/>
  <c r="AD1900" i="16" s="1"/>
  <c r="W1900" i="16"/>
  <c r="AC1900" i="16" s="1"/>
  <c r="V1900" i="16"/>
  <c r="AB1900" i="16" s="1"/>
  <c r="X1899" i="16"/>
  <c r="AD1899" i="16" s="1"/>
  <c r="W1899" i="16"/>
  <c r="AC1899" i="16" s="1"/>
  <c r="V1899" i="16"/>
  <c r="AB1899" i="16" s="1"/>
  <c r="X1898" i="16"/>
  <c r="AD1898" i="16" s="1"/>
  <c r="W1898" i="16"/>
  <c r="AC1898" i="16" s="1"/>
  <c r="V1898" i="16"/>
  <c r="AB1898" i="16" s="1"/>
  <c r="X1897" i="16"/>
  <c r="AD1897" i="16" s="1"/>
  <c r="W1897" i="16"/>
  <c r="AC1897" i="16" s="1"/>
  <c r="V1897" i="16"/>
  <c r="AB1897" i="16" s="1"/>
  <c r="X1896" i="16"/>
  <c r="AD1896" i="16" s="1"/>
  <c r="W1896" i="16"/>
  <c r="AC1896" i="16" s="1"/>
  <c r="V1896" i="16"/>
  <c r="AB1896" i="16" s="1"/>
  <c r="X1895" i="16"/>
  <c r="AD1895" i="16" s="1"/>
  <c r="W1895" i="16"/>
  <c r="AC1895" i="16" s="1"/>
  <c r="V1895" i="16"/>
  <c r="AB1895" i="16" s="1"/>
  <c r="X1894" i="16"/>
  <c r="AD1894" i="16" s="1"/>
  <c r="W1894" i="16"/>
  <c r="AC1894" i="16" s="1"/>
  <c r="V1894" i="16"/>
  <c r="AB1894" i="16" s="1"/>
  <c r="X1893" i="16"/>
  <c r="AD1893" i="16" s="1"/>
  <c r="W1893" i="16"/>
  <c r="AC1893" i="16" s="1"/>
  <c r="V1893" i="16"/>
  <c r="AB1893" i="16" s="1"/>
  <c r="X1892" i="16"/>
  <c r="AD1892" i="16" s="1"/>
  <c r="W1892" i="16"/>
  <c r="AC1892" i="16" s="1"/>
  <c r="V1892" i="16"/>
  <c r="AB1892" i="16" s="1"/>
  <c r="X1891" i="16"/>
  <c r="AD1891" i="16" s="1"/>
  <c r="W1891" i="16"/>
  <c r="AC1891" i="16" s="1"/>
  <c r="V1891" i="16"/>
  <c r="AB1891" i="16" s="1"/>
  <c r="X1890" i="16"/>
  <c r="AD1890" i="16" s="1"/>
  <c r="W1890" i="16"/>
  <c r="AC1890" i="16" s="1"/>
  <c r="V1890" i="16"/>
  <c r="AB1890" i="16" s="1"/>
  <c r="X1889" i="16"/>
  <c r="AD1889" i="16" s="1"/>
  <c r="W1889" i="16"/>
  <c r="AC1889" i="16" s="1"/>
  <c r="V1889" i="16"/>
  <c r="AB1889" i="16" s="1"/>
  <c r="X1888" i="16"/>
  <c r="AD1888" i="16" s="1"/>
  <c r="W1888" i="16"/>
  <c r="AC1888" i="16" s="1"/>
  <c r="V1888" i="16"/>
  <c r="AB1888" i="16" s="1"/>
  <c r="X1887" i="16"/>
  <c r="AD1887" i="16" s="1"/>
  <c r="W1887" i="16"/>
  <c r="AC1887" i="16" s="1"/>
  <c r="V1887" i="16"/>
  <c r="AB1887" i="16" s="1"/>
  <c r="X1886" i="16"/>
  <c r="AD1886" i="16" s="1"/>
  <c r="W1886" i="16"/>
  <c r="AC1886" i="16" s="1"/>
  <c r="V1886" i="16"/>
  <c r="AB1886" i="16" s="1"/>
  <c r="X1885" i="16"/>
  <c r="AD1885" i="16" s="1"/>
  <c r="W1885" i="16"/>
  <c r="AC1885" i="16" s="1"/>
  <c r="V1885" i="16"/>
  <c r="AB1885" i="16" s="1"/>
  <c r="X1884" i="16"/>
  <c r="AD1884" i="16" s="1"/>
  <c r="W1884" i="16"/>
  <c r="AC1884" i="16" s="1"/>
  <c r="V1884" i="16"/>
  <c r="AB1884" i="16" s="1"/>
  <c r="X1883" i="16"/>
  <c r="AD1883" i="16" s="1"/>
  <c r="W1883" i="16"/>
  <c r="AC1883" i="16" s="1"/>
  <c r="V1883" i="16"/>
  <c r="AB1883" i="16" s="1"/>
  <c r="X1882" i="16"/>
  <c r="AD1882" i="16" s="1"/>
  <c r="W1882" i="16"/>
  <c r="AC1882" i="16" s="1"/>
  <c r="V1882" i="16"/>
  <c r="AB1882" i="16" s="1"/>
  <c r="X1881" i="16"/>
  <c r="AD1881" i="16" s="1"/>
  <c r="W1881" i="16"/>
  <c r="AC1881" i="16" s="1"/>
  <c r="V1881" i="16"/>
  <c r="AB1881" i="16" s="1"/>
  <c r="X1880" i="16"/>
  <c r="AD1880" i="16" s="1"/>
  <c r="W1880" i="16"/>
  <c r="AC1880" i="16" s="1"/>
  <c r="V1880" i="16"/>
  <c r="AB1880" i="16" s="1"/>
  <c r="X1879" i="16"/>
  <c r="AD1879" i="16" s="1"/>
  <c r="W1879" i="16"/>
  <c r="AC1879" i="16" s="1"/>
  <c r="V1879" i="16"/>
  <c r="AB1879" i="16" s="1"/>
  <c r="X1878" i="16"/>
  <c r="AD1878" i="16" s="1"/>
  <c r="W1878" i="16"/>
  <c r="AC1878" i="16" s="1"/>
  <c r="V1878" i="16"/>
  <c r="AB1878" i="16" s="1"/>
  <c r="X1877" i="16"/>
  <c r="AD1877" i="16" s="1"/>
  <c r="W1877" i="16"/>
  <c r="AC1877" i="16" s="1"/>
  <c r="V1877" i="16"/>
  <c r="AB1877" i="16" s="1"/>
  <c r="X1876" i="16"/>
  <c r="AD1876" i="16" s="1"/>
  <c r="W1876" i="16"/>
  <c r="AC1876" i="16" s="1"/>
  <c r="V1876" i="16"/>
  <c r="AB1876" i="16" s="1"/>
  <c r="X1875" i="16"/>
  <c r="AD1875" i="16" s="1"/>
  <c r="W1875" i="16"/>
  <c r="AC1875" i="16" s="1"/>
  <c r="V1875" i="16"/>
  <c r="AB1875" i="16" s="1"/>
  <c r="X1874" i="16"/>
  <c r="AD1874" i="16" s="1"/>
  <c r="W1874" i="16"/>
  <c r="AC1874" i="16" s="1"/>
  <c r="V1874" i="16"/>
  <c r="AB1874" i="16" s="1"/>
  <c r="X1873" i="16"/>
  <c r="AD1873" i="16" s="1"/>
  <c r="W1873" i="16"/>
  <c r="AC1873" i="16" s="1"/>
  <c r="V1873" i="16"/>
  <c r="AB1873" i="16" s="1"/>
  <c r="X1872" i="16"/>
  <c r="AD1872" i="16" s="1"/>
  <c r="W1872" i="16"/>
  <c r="AC1872" i="16" s="1"/>
  <c r="V1872" i="16"/>
  <c r="AB1872" i="16" s="1"/>
  <c r="X1871" i="16"/>
  <c r="AD1871" i="16" s="1"/>
  <c r="W1871" i="16"/>
  <c r="AC1871" i="16" s="1"/>
  <c r="V1871" i="16"/>
  <c r="AB1871" i="16" s="1"/>
  <c r="X1870" i="16"/>
  <c r="AD1870" i="16" s="1"/>
  <c r="W1870" i="16"/>
  <c r="AC1870" i="16" s="1"/>
  <c r="V1870" i="16"/>
  <c r="AB1870" i="16" s="1"/>
  <c r="X1869" i="16"/>
  <c r="AD1869" i="16" s="1"/>
  <c r="W1869" i="16"/>
  <c r="AC1869" i="16" s="1"/>
  <c r="V1869" i="16"/>
  <c r="AB1869" i="16" s="1"/>
  <c r="X1868" i="16"/>
  <c r="AD1868" i="16" s="1"/>
  <c r="W1868" i="16"/>
  <c r="AC1868" i="16" s="1"/>
  <c r="V1868" i="16"/>
  <c r="AB1868" i="16" s="1"/>
  <c r="X1867" i="16"/>
  <c r="AD1867" i="16" s="1"/>
  <c r="W1867" i="16"/>
  <c r="AC1867" i="16" s="1"/>
  <c r="V1867" i="16"/>
  <c r="AB1867" i="16" s="1"/>
  <c r="X1866" i="16"/>
  <c r="AD1866" i="16" s="1"/>
  <c r="W1866" i="16"/>
  <c r="AC1866" i="16" s="1"/>
  <c r="V1866" i="16"/>
  <c r="AB1866" i="16" s="1"/>
  <c r="X1865" i="16"/>
  <c r="AD1865" i="16" s="1"/>
  <c r="W1865" i="16"/>
  <c r="AC1865" i="16" s="1"/>
  <c r="V1865" i="16"/>
  <c r="AB1865" i="16" s="1"/>
  <c r="X1864" i="16"/>
  <c r="AD1864" i="16" s="1"/>
  <c r="W1864" i="16"/>
  <c r="AC1864" i="16" s="1"/>
  <c r="V1864" i="16"/>
  <c r="AB1864" i="16" s="1"/>
  <c r="X1863" i="16"/>
  <c r="AD1863" i="16" s="1"/>
  <c r="W1863" i="16"/>
  <c r="AC1863" i="16" s="1"/>
  <c r="V1863" i="16"/>
  <c r="AB1863" i="16" s="1"/>
  <c r="X1862" i="16"/>
  <c r="AD1862" i="16" s="1"/>
  <c r="W1862" i="16"/>
  <c r="AC1862" i="16" s="1"/>
  <c r="V1862" i="16"/>
  <c r="AB1862" i="16" s="1"/>
  <c r="X1861" i="16"/>
  <c r="AD1861" i="16" s="1"/>
  <c r="W1861" i="16"/>
  <c r="AC1861" i="16" s="1"/>
  <c r="V1861" i="16"/>
  <c r="AB1861" i="16" s="1"/>
  <c r="X1860" i="16"/>
  <c r="AD1860" i="16" s="1"/>
  <c r="W1860" i="16"/>
  <c r="AC1860" i="16" s="1"/>
  <c r="V1860" i="16"/>
  <c r="AB1860" i="16" s="1"/>
  <c r="X1859" i="16"/>
  <c r="AD1859" i="16" s="1"/>
  <c r="W1859" i="16"/>
  <c r="AC1859" i="16" s="1"/>
  <c r="V1859" i="16"/>
  <c r="AB1859" i="16" s="1"/>
  <c r="X1858" i="16"/>
  <c r="AD1858" i="16" s="1"/>
  <c r="W1858" i="16"/>
  <c r="AC1858" i="16" s="1"/>
  <c r="V1858" i="16"/>
  <c r="AB1858" i="16" s="1"/>
  <c r="X1857" i="16"/>
  <c r="AD1857" i="16" s="1"/>
  <c r="W1857" i="16"/>
  <c r="AC1857" i="16" s="1"/>
  <c r="V1857" i="16"/>
  <c r="AB1857" i="16" s="1"/>
  <c r="X1856" i="16"/>
  <c r="AD1856" i="16" s="1"/>
  <c r="W1856" i="16"/>
  <c r="AC1856" i="16" s="1"/>
  <c r="V1856" i="16"/>
  <c r="AB1856" i="16" s="1"/>
  <c r="X1855" i="16"/>
  <c r="AD1855" i="16" s="1"/>
  <c r="W1855" i="16"/>
  <c r="AC1855" i="16" s="1"/>
  <c r="V1855" i="16"/>
  <c r="AB1855" i="16" s="1"/>
  <c r="X1854" i="16"/>
  <c r="AD1854" i="16" s="1"/>
  <c r="W1854" i="16"/>
  <c r="AC1854" i="16" s="1"/>
  <c r="V1854" i="16"/>
  <c r="AB1854" i="16" s="1"/>
  <c r="X1853" i="16"/>
  <c r="AD1853" i="16" s="1"/>
  <c r="W1853" i="16"/>
  <c r="AC1853" i="16" s="1"/>
  <c r="V1853" i="16"/>
  <c r="AB1853" i="16" s="1"/>
  <c r="X1852" i="16"/>
  <c r="AD1852" i="16" s="1"/>
  <c r="W1852" i="16"/>
  <c r="AC1852" i="16" s="1"/>
  <c r="V1852" i="16"/>
  <c r="AB1852" i="16" s="1"/>
  <c r="X1851" i="16"/>
  <c r="AD1851" i="16" s="1"/>
  <c r="W1851" i="16"/>
  <c r="AC1851" i="16" s="1"/>
  <c r="V1851" i="16"/>
  <c r="AB1851" i="16" s="1"/>
  <c r="X1850" i="16"/>
  <c r="AD1850" i="16" s="1"/>
  <c r="W1850" i="16"/>
  <c r="AC1850" i="16" s="1"/>
  <c r="V1850" i="16"/>
  <c r="AB1850" i="16" s="1"/>
  <c r="X1849" i="16"/>
  <c r="AD1849" i="16" s="1"/>
  <c r="W1849" i="16"/>
  <c r="AC1849" i="16" s="1"/>
  <c r="V1849" i="16"/>
  <c r="AB1849" i="16" s="1"/>
  <c r="X1848" i="16"/>
  <c r="AD1848" i="16" s="1"/>
  <c r="W1848" i="16"/>
  <c r="AC1848" i="16" s="1"/>
  <c r="V1848" i="16"/>
  <c r="AB1848" i="16" s="1"/>
  <c r="X1847" i="16"/>
  <c r="AD1847" i="16" s="1"/>
  <c r="W1847" i="16"/>
  <c r="AC1847" i="16" s="1"/>
  <c r="V1847" i="16"/>
  <c r="AB1847" i="16" s="1"/>
  <c r="X1846" i="16"/>
  <c r="AD1846" i="16" s="1"/>
  <c r="W1846" i="16"/>
  <c r="AC1846" i="16" s="1"/>
  <c r="V1846" i="16"/>
  <c r="AB1846" i="16" s="1"/>
  <c r="X1845" i="16"/>
  <c r="AD1845" i="16" s="1"/>
  <c r="W1845" i="16"/>
  <c r="AC1845" i="16" s="1"/>
  <c r="V1845" i="16"/>
  <c r="AB1845" i="16" s="1"/>
  <c r="X1844" i="16"/>
  <c r="AD1844" i="16" s="1"/>
  <c r="W1844" i="16"/>
  <c r="AC1844" i="16" s="1"/>
  <c r="V1844" i="16"/>
  <c r="AB1844" i="16" s="1"/>
  <c r="X1843" i="16"/>
  <c r="AD1843" i="16" s="1"/>
  <c r="W1843" i="16"/>
  <c r="AC1843" i="16" s="1"/>
  <c r="V1843" i="16"/>
  <c r="AB1843" i="16" s="1"/>
  <c r="X1842" i="16"/>
  <c r="AD1842" i="16" s="1"/>
  <c r="W1842" i="16"/>
  <c r="AC1842" i="16" s="1"/>
  <c r="V1842" i="16"/>
  <c r="AB1842" i="16" s="1"/>
  <c r="X1841" i="16"/>
  <c r="AD1841" i="16" s="1"/>
  <c r="W1841" i="16"/>
  <c r="AC1841" i="16" s="1"/>
  <c r="V1841" i="16"/>
  <c r="AB1841" i="16" s="1"/>
  <c r="X1840" i="16"/>
  <c r="AD1840" i="16" s="1"/>
  <c r="W1840" i="16"/>
  <c r="AC1840" i="16" s="1"/>
  <c r="V1840" i="16"/>
  <c r="AB1840" i="16" s="1"/>
  <c r="X1839" i="16"/>
  <c r="AD1839" i="16" s="1"/>
  <c r="W1839" i="16"/>
  <c r="AC1839" i="16" s="1"/>
  <c r="V1839" i="16"/>
  <c r="AB1839" i="16" s="1"/>
  <c r="X1838" i="16"/>
  <c r="AD1838" i="16" s="1"/>
  <c r="W1838" i="16"/>
  <c r="AC1838" i="16" s="1"/>
  <c r="V1838" i="16"/>
  <c r="AB1838" i="16" s="1"/>
  <c r="X1837" i="16"/>
  <c r="AD1837" i="16" s="1"/>
  <c r="W1837" i="16"/>
  <c r="AC1837" i="16" s="1"/>
  <c r="V1837" i="16"/>
  <c r="AB1837" i="16" s="1"/>
  <c r="X1836" i="16"/>
  <c r="AD1836" i="16" s="1"/>
  <c r="W1836" i="16"/>
  <c r="AC1836" i="16" s="1"/>
  <c r="V1836" i="16"/>
  <c r="AB1836" i="16" s="1"/>
  <c r="X1835" i="16"/>
  <c r="AD1835" i="16" s="1"/>
  <c r="W1835" i="16"/>
  <c r="AC1835" i="16" s="1"/>
  <c r="V1835" i="16"/>
  <c r="AB1835" i="16" s="1"/>
  <c r="X1834" i="16"/>
  <c r="AD1834" i="16" s="1"/>
  <c r="W1834" i="16"/>
  <c r="AC1834" i="16" s="1"/>
  <c r="V1834" i="16"/>
  <c r="AB1834" i="16" s="1"/>
  <c r="X1833" i="16"/>
  <c r="AD1833" i="16" s="1"/>
  <c r="W1833" i="16"/>
  <c r="AC1833" i="16" s="1"/>
  <c r="V1833" i="16"/>
  <c r="AB1833" i="16" s="1"/>
  <c r="X1832" i="16"/>
  <c r="AD1832" i="16" s="1"/>
  <c r="W1832" i="16"/>
  <c r="AC1832" i="16" s="1"/>
  <c r="V1832" i="16"/>
  <c r="AB1832" i="16" s="1"/>
  <c r="X1831" i="16"/>
  <c r="AD1831" i="16" s="1"/>
  <c r="W1831" i="16"/>
  <c r="AC1831" i="16" s="1"/>
  <c r="V1831" i="16"/>
  <c r="AB1831" i="16" s="1"/>
  <c r="X1830" i="16"/>
  <c r="AD1830" i="16" s="1"/>
  <c r="W1830" i="16"/>
  <c r="AC1830" i="16" s="1"/>
  <c r="V1830" i="16"/>
  <c r="AB1830" i="16" s="1"/>
  <c r="X1829" i="16"/>
  <c r="AD1829" i="16" s="1"/>
  <c r="W1829" i="16"/>
  <c r="AC1829" i="16" s="1"/>
  <c r="V1829" i="16"/>
  <c r="AB1829" i="16" s="1"/>
  <c r="X1828" i="16"/>
  <c r="AD1828" i="16" s="1"/>
  <c r="W1828" i="16"/>
  <c r="AC1828" i="16" s="1"/>
  <c r="V1828" i="16"/>
  <c r="AB1828" i="16" s="1"/>
  <c r="X1827" i="16"/>
  <c r="AD1827" i="16" s="1"/>
  <c r="W1827" i="16"/>
  <c r="AC1827" i="16" s="1"/>
  <c r="V1827" i="16"/>
  <c r="AB1827" i="16" s="1"/>
  <c r="X1826" i="16"/>
  <c r="AD1826" i="16" s="1"/>
  <c r="W1826" i="16"/>
  <c r="AC1826" i="16" s="1"/>
  <c r="V1826" i="16"/>
  <c r="AB1826" i="16" s="1"/>
  <c r="X1825" i="16"/>
  <c r="AD1825" i="16" s="1"/>
  <c r="W1825" i="16"/>
  <c r="AC1825" i="16" s="1"/>
  <c r="V1825" i="16"/>
  <c r="AB1825" i="16" s="1"/>
  <c r="X1824" i="16"/>
  <c r="AD1824" i="16" s="1"/>
  <c r="W1824" i="16"/>
  <c r="AC1824" i="16" s="1"/>
  <c r="V1824" i="16"/>
  <c r="AB1824" i="16" s="1"/>
  <c r="X1823" i="16"/>
  <c r="AD1823" i="16" s="1"/>
  <c r="W1823" i="16"/>
  <c r="AC1823" i="16" s="1"/>
  <c r="V1823" i="16"/>
  <c r="AB1823" i="16" s="1"/>
  <c r="X1822" i="16"/>
  <c r="AD1822" i="16" s="1"/>
  <c r="W1822" i="16"/>
  <c r="AC1822" i="16" s="1"/>
  <c r="V1822" i="16"/>
  <c r="AB1822" i="16" s="1"/>
  <c r="X1821" i="16"/>
  <c r="AD1821" i="16" s="1"/>
  <c r="W1821" i="16"/>
  <c r="AC1821" i="16" s="1"/>
  <c r="V1821" i="16"/>
  <c r="AB1821" i="16" s="1"/>
  <c r="X1820" i="16"/>
  <c r="AD1820" i="16" s="1"/>
  <c r="W1820" i="16"/>
  <c r="AC1820" i="16" s="1"/>
  <c r="V1820" i="16"/>
  <c r="AB1820" i="16" s="1"/>
  <c r="X1819" i="16"/>
  <c r="AD1819" i="16" s="1"/>
  <c r="W1819" i="16"/>
  <c r="AC1819" i="16" s="1"/>
  <c r="V1819" i="16"/>
  <c r="AB1819" i="16" s="1"/>
  <c r="X1818" i="16"/>
  <c r="AD1818" i="16" s="1"/>
  <c r="W1818" i="16"/>
  <c r="AC1818" i="16" s="1"/>
  <c r="V1818" i="16"/>
  <c r="AB1818" i="16" s="1"/>
  <c r="X1817" i="16"/>
  <c r="AD1817" i="16" s="1"/>
  <c r="W1817" i="16"/>
  <c r="AC1817" i="16" s="1"/>
  <c r="V1817" i="16"/>
  <c r="AB1817" i="16" s="1"/>
  <c r="X1816" i="16"/>
  <c r="AD1816" i="16" s="1"/>
  <c r="W1816" i="16"/>
  <c r="AC1816" i="16" s="1"/>
  <c r="V1816" i="16"/>
  <c r="AB1816" i="16" s="1"/>
  <c r="X1815" i="16"/>
  <c r="AD1815" i="16" s="1"/>
  <c r="W1815" i="16"/>
  <c r="AC1815" i="16" s="1"/>
  <c r="V1815" i="16"/>
  <c r="AB1815" i="16" s="1"/>
  <c r="X1814" i="16"/>
  <c r="AD1814" i="16" s="1"/>
  <c r="W1814" i="16"/>
  <c r="AC1814" i="16" s="1"/>
  <c r="V1814" i="16"/>
  <c r="AB1814" i="16" s="1"/>
  <c r="X1813" i="16"/>
  <c r="AD1813" i="16" s="1"/>
  <c r="W1813" i="16"/>
  <c r="AC1813" i="16" s="1"/>
  <c r="V1813" i="16"/>
  <c r="AB1813" i="16" s="1"/>
  <c r="X1812" i="16"/>
  <c r="AD1812" i="16" s="1"/>
  <c r="W1812" i="16"/>
  <c r="AC1812" i="16" s="1"/>
  <c r="V1812" i="16"/>
  <c r="AB1812" i="16" s="1"/>
  <c r="X1811" i="16"/>
  <c r="AD1811" i="16" s="1"/>
  <c r="W1811" i="16"/>
  <c r="AC1811" i="16" s="1"/>
  <c r="V1811" i="16"/>
  <c r="AB1811" i="16" s="1"/>
  <c r="X1810" i="16"/>
  <c r="AD1810" i="16" s="1"/>
  <c r="W1810" i="16"/>
  <c r="AC1810" i="16" s="1"/>
  <c r="V1810" i="16"/>
  <c r="AB1810" i="16" s="1"/>
  <c r="X1809" i="16"/>
  <c r="AD1809" i="16" s="1"/>
  <c r="W1809" i="16"/>
  <c r="AC1809" i="16" s="1"/>
  <c r="V1809" i="16"/>
  <c r="AB1809" i="16" s="1"/>
  <c r="X1808" i="16"/>
  <c r="AD1808" i="16" s="1"/>
  <c r="W1808" i="16"/>
  <c r="AC1808" i="16" s="1"/>
  <c r="V1808" i="16"/>
  <c r="AB1808" i="16" s="1"/>
  <c r="X1807" i="16"/>
  <c r="AD1807" i="16" s="1"/>
  <c r="W1807" i="16"/>
  <c r="AC1807" i="16" s="1"/>
  <c r="V1807" i="16"/>
  <c r="AB1807" i="16" s="1"/>
  <c r="X1806" i="16"/>
  <c r="AD1806" i="16" s="1"/>
  <c r="W1806" i="16"/>
  <c r="AC1806" i="16" s="1"/>
  <c r="V1806" i="16"/>
  <c r="AB1806" i="16" s="1"/>
  <c r="X1805" i="16"/>
  <c r="AD1805" i="16" s="1"/>
  <c r="W1805" i="16"/>
  <c r="AC1805" i="16" s="1"/>
  <c r="V1805" i="16"/>
  <c r="AB1805" i="16" s="1"/>
  <c r="X1804" i="16"/>
  <c r="AD1804" i="16" s="1"/>
  <c r="W1804" i="16"/>
  <c r="AC1804" i="16" s="1"/>
  <c r="V1804" i="16"/>
  <c r="AB1804" i="16" s="1"/>
  <c r="X1803" i="16"/>
  <c r="AD1803" i="16" s="1"/>
  <c r="W1803" i="16"/>
  <c r="AC1803" i="16" s="1"/>
  <c r="V1803" i="16"/>
  <c r="AB1803" i="16" s="1"/>
  <c r="X1802" i="16"/>
  <c r="AD1802" i="16" s="1"/>
  <c r="W1802" i="16"/>
  <c r="AC1802" i="16" s="1"/>
  <c r="V1802" i="16"/>
  <c r="AB1802" i="16" s="1"/>
  <c r="X1801" i="16"/>
  <c r="AD1801" i="16" s="1"/>
  <c r="W1801" i="16"/>
  <c r="AC1801" i="16" s="1"/>
  <c r="V1801" i="16"/>
  <c r="AB1801" i="16" s="1"/>
  <c r="X1800" i="16"/>
  <c r="AD1800" i="16" s="1"/>
  <c r="W1800" i="16"/>
  <c r="AC1800" i="16" s="1"/>
  <c r="V1800" i="16"/>
  <c r="AB1800" i="16" s="1"/>
  <c r="X1799" i="16"/>
  <c r="AD1799" i="16" s="1"/>
  <c r="W1799" i="16"/>
  <c r="AC1799" i="16" s="1"/>
  <c r="V1799" i="16"/>
  <c r="AB1799" i="16" s="1"/>
  <c r="X1798" i="16"/>
  <c r="AD1798" i="16" s="1"/>
  <c r="W1798" i="16"/>
  <c r="AC1798" i="16" s="1"/>
  <c r="V1798" i="16"/>
  <c r="AB1798" i="16" s="1"/>
  <c r="X1797" i="16"/>
  <c r="AD1797" i="16" s="1"/>
  <c r="W1797" i="16"/>
  <c r="AC1797" i="16" s="1"/>
  <c r="V1797" i="16"/>
  <c r="AB1797" i="16" s="1"/>
  <c r="X1796" i="16"/>
  <c r="AD1796" i="16" s="1"/>
  <c r="W1796" i="16"/>
  <c r="AC1796" i="16" s="1"/>
  <c r="V1796" i="16"/>
  <c r="AB1796" i="16" s="1"/>
  <c r="X1795" i="16"/>
  <c r="AD1795" i="16" s="1"/>
  <c r="W1795" i="16"/>
  <c r="AC1795" i="16" s="1"/>
  <c r="V1795" i="16"/>
  <c r="AB1795" i="16" s="1"/>
  <c r="X1794" i="16"/>
  <c r="AD1794" i="16" s="1"/>
  <c r="W1794" i="16"/>
  <c r="AC1794" i="16" s="1"/>
  <c r="V1794" i="16"/>
  <c r="AB1794" i="16" s="1"/>
  <c r="X1793" i="16"/>
  <c r="AD1793" i="16" s="1"/>
  <c r="W1793" i="16"/>
  <c r="AC1793" i="16" s="1"/>
  <c r="V1793" i="16"/>
  <c r="AB1793" i="16" s="1"/>
  <c r="X1792" i="16"/>
  <c r="AD1792" i="16" s="1"/>
  <c r="W1792" i="16"/>
  <c r="AC1792" i="16" s="1"/>
  <c r="V1792" i="16"/>
  <c r="AB1792" i="16" s="1"/>
  <c r="X1791" i="16"/>
  <c r="AD1791" i="16" s="1"/>
  <c r="W1791" i="16"/>
  <c r="AC1791" i="16" s="1"/>
  <c r="V1791" i="16"/>
  <c r="AB1791" i="16" s="1"/>
  <c r="X1790" i="16"/>
  <c r="AD1790" i="16" s="1"/>
  <c r="W1790" i="16"/>
  <c r="AC1790" i="16" s="1"/>
  <c r="V1790" i="16"/>
  <c r="AB1790" i="16" s="1"/>
  <c r="X1789" i="16"/>
  <c r="AD1789" i="16" s="1"/>
  <c r="W1789" i="16"/>
  <c r="AC1789" i="16" s="1"/>
  <c r="V1789" i="16"/>
  <c r="AB1789" i="16" s="1"/>
  <c r="X1788" i="16"/>
  <c r="AD1788" i="16" s="1"/>
  <c r="W1788" i="16"/>
  <c r="AC1788" i="16" s="1"/>
  <c r="V1788" i="16"/>
  <c r="AB1788" i="16" s="1"/>
  <c r="X1787" i="16"/>
  <c r="AD1787" i="16" s="1"/>
  <c r="W1787" i="16"/>
  <c r="AC1787" i="16" s="1"/>
  <c r="V1787" i="16"/>
  <c r="AB1787" i="16" s="1"/>
  <c r="X1786" i="16"/>
  <c r="AD1786" i="16" s="1"/>
  <c r="W1786" i="16"/>
  <c r="AC1786" i="16" s="1"/>
  <c r="V1786" i="16"/>
  <c r="AB1786" i="16" s="1"/>
  <c r="X1785" i="16"/>
  <c r="AD1785" i="16" s="1"/>
  <c r="W1785" i="16"/>
  <c r="AC1785" i="16" s="1"/>
  <c r="V1785" i="16"/>
  <c r="AB1785" i="16" s="1"/>
  <c r="X1784" i="16"/>
  <c r="AD1784" i="16" s="1"/>
  <c r="W1784" i="16"/>
  <c r="AC1784" i="16" s="1"/>
  <c r="V1784" i="16"/>
  <c r="AB1784" i="16" s="1"/>
  <c r="X1783" i="16"/>
  <c r="AD1783" i="16" s="1"/>
  <c r="W1783" i="16"/>
  <c r="AC1783" i="16" s="1"/>
  <c r="V1783" i="16"/>
  <c r="AB1783" i="16" s="1"/>
  <c r="X1782" i="16"/>
  <c r="AD1782" i="16" s="1"/>
  <c r="W1782" i="16"/>
  <c r="AC1782" i="16" s="1"/>
  <c r="V1782" i="16"/>
  <c r="AB1782" i="16" s="1"/>
  <c r="X1781" i="16"/>
  <c r="AD1781" i="16" s="1"/>
  <c r="W1781" i="16"/>
  <c r="AC1781" i="16" s="1"/>
  <c r="V1781" i="16"/>
  <c r="AB1781" i="16" s="1"/>
  <c r="X1780" i="16"/>
  <c r="AD1780" i="16" s="1"/>
  <c r="W1780" i="16"/>
  <c r="AC1780" i="16" s="1"/>
  <c r="V1780" i="16"/>
  <c r="AB1780" i="16" s="1"/>
  <c r="X1779" i="16"/>
  <c r="AD1779" i="16" s="1"/>
  <c r="W1779" i="16"/>
  <c r="AC1779" i="16" s="1"/>
  <c r="V1779" i="16"/>
  <c r="AB1779" i="16" s="1"/>
  <c r="X1778" i="16"/>
  <c r="AD1778" i="16" s="1"/>
  <c r="W1778" i="16"/>
  <c r="AC1778" i="16" s="1"/>
  <c r="V1778" i="16"/>
  <c r="AB1778" i="16" s="1"/>
  <c r="X1777" i="16"/>
  <c r="AD1777" i="16" s="1"/>
  <c r="W1777" i="16"/>
  <c r="AC1777" i="16" s="1"/>
  <c r="V1777" i="16"/>
  <c r="AB1777" i="16" s="1"/>
  <c r="X1776" i="16"/>
  <c r="AD1776" i="16" s="1"/>
  <c r="W1776" i="16"/>
  <c r="AC1776" i="16" s="1"/>
  <c r="V1776" i="16"/>
  <c r="AB1776" i="16" s="1"/>
  <c r="X1775" i="16"/>
  <c r="AD1775" i="16" s="1"/>
  <c r="W1775" i="16"/>
  <c r="AC1775" i="16" s="1"/>
  <c r="V1775" i="16"/>
  <c r="AB1775" i="16" s="1"/>
  <c r="X1774" i="16"/>
  <c r="AD1774" i="16" s="1"/>
  <c r="W1774" i="16"/>
  <c r="AC1774" i="16" s="1"/>
  <c r="V1774" i="16"/>
  <c r="AB1774" i="16" s="1"/>
  <c r="X1773" i="16"/>
  <c r="AD1773" i="16" s="1"/>
  <c r="W1773" i="16"/>
  <c r="AC1773" i="16" s="1"/>
  <c r="V1773" i="16"/>
  <c r="AB1773" i="16" s="1"/>
  <c r="X1772" i="16"/>
  <c r="AD1772" i="16" s="1"/>
  <c r="W1772" i="16"/>
  <c r="AC1772" i="16" s="1"/>
  <c r="V1772" i="16"/>
  <c r="AB1772" i="16" s="1"/>
  <c r="X1771" i="16"/>
  <c r="AD1771" i="16" s="1"/>
  <c r="W1771" i="16"/>
  <c r="AC1771" i="16" s="1"/>
  <c r="V1771" i="16"/>
  <c r="AB1771" i="16" s="1"/>
  <c r="X1770" i="16"/>
  <c r="AD1770" i="16" s="1"/>
  <c r="W1770" i="16"/>
  <c r="AC1770" i="16" s="1"/>
  <c r="V1770" i="16"/>
  <c r="AB1770" i="16" s="1"/>
  <c r="X1769" i="16"/>
  <c r="AD1769" i="16" s="1"/>
  <c r="W1769" i="16"/>
  <c r="AC1769" i="16" s="1"/>
  <c r="V1769" i="16"/>
  <c r="AB1769" i="16" s="1"/>
  <c r="X1768" i="16"/>
  <c r="AD1768" i="16" s="1"/>
  <c r="W1768" i="16"/>
  <c r="AC1768" i="16" s="1"/>
  <c r="V1768" i="16"/>
  <c r="AB1768" i="16" s="1"/>
  <c r="X1767" i="16"/>
  <c r="AD1767" i="16" s="1"/>
  <c r="W1767" i="16"/>
  <c r="AC1767" i="16" s="1"/>
  <c r="V1767" i="16"/>
  <c r="AB1767" i="16" s="1"/>
  <c r="X1766" i="16"/>
  <c r="AD1766" i="16" s="1"/>
  <c r="W1766" i="16"/>
  <c r="AC1766" i="16" s="1"/>
  <c r="V1766" i="16"/>
  <c r="AB1766" i="16" s="1"/>
  <c r="X1765" i="16"/>
  <c r="AD1765" i="16" s="1"/>
  <c r="W1765" i="16"/>
  <c r="AC1765" i="16" s="1"/>
  <c r="V1765" i="16"/>
  <c r="AB1765" i="16" s="1"/>
  <c r="X1764" i="16"/>
  <c r="AD1764" i="16" s="1"/>
  <c r="W1764" i="16"/>
  <c r="AC1764" i="16" s="1"/>
  <c r="V1764" i="16"/>
  <c r="AB1764" i="16" s="1"/>
  <c r="X1763" i="16"/>
  <c r="AD1763" i="16" s="1"/>
  <c r="W1763" i="16"/>
  <c r="AC1763" i="16" s="1"/>
  <c r="V1763" i="16"/>
  <c r="AB1763" i="16" s="1"/>
  <c r="X1762" i="16"/>
  <c r="AD1762" i="16" s="1"/>
  <c r="W1762" i="16"/>
  <c r="AC1762" i="16" s="1"/>
  <c r="V1762" i="16"/>
  <c r="AB1762" i="16" s="1"/>
  <c r="X1761" i="16"/>
  <c r="AD1761" i="16" s="1"/>
  <c r="W1761" i="16"/>
  <c r="AC1761" i="16" s="1"/>
  <c r="V1761" i="16"/>
  <c r="AB1761" i="16" s="1"/>
  <c r="X1760" i="16"/>
  <c r="AD1760" i="16" s="1"/>
  <c r="W1760" i="16"/>
  <c r="AC1760" i="16" s="1"/>
  <c r="V1760" i="16"/>
  <c r="AB1760" i="16" s="1"/>
  <c r="X1759" i="16"/>
  <c r="AD1759" i="16" s="1"/>
  <c r="W1759" i="16"/>
  <c r="AC1759" i="16" s="1"/>
  <c r="V1759" i="16"/>
  <c r="AB1759" i="16" s="1"/>
  <c r="X1758" i="16"/>
  <c r="AD1758" i="16" s="1"/>
  <c r="W1758" i="16"/>
  <c r="AC1758" i="16" s="1"/>
  <c r="V1758" i="16"/>
  <c r="AB1758" i="16" s="1"/>
  <c r="X1757" i="16"/>
  <c r="AD1757" i="16" s="1"/>
  <c r="W1757" i="16"/>
  <c r="AC1757" i="16" s="1"/>
  <c r="V1757" i="16"/>
  <c r="AB1757" i="16" s="1"/>
  <c r="X1756" i="16"/>
  <c r="AD1756" i="16" s="1"/>
  <c r="W1756" i="16"/>
  <c r="AC1756" i="16" s="1"/>
  <c r="V1756" i="16"/>
  <c r="AB1756" i="16" s="1"/>
  <c r="X1755" i="16"/>
  <c r="AD1755" i="16" s="1"/>
  <c r="W1755" i="16"/>
  <c r="AC1755" i="16" s="1"/>
  <c r="V1755" i="16"/>
  <c r="AB1755" i="16" s="1"/>
  <c r="X1754" i="16"/>
  <c r="AD1754" i="16" s="1"/>
  <c r="W1754" i="16"/>
  <c r="AC1754" i="16" s="1"/>
  <c r="V1754" i="16"/>
  <c r="AB1754" i="16" s="1"/>
  <c r="X1753" i="16"/>
  <c r="AD1753" i="16" s="1"/>
  <c r="W1753" i="16"/>
  <c r="AC1753" i="16" s="1"/>
  <c r="V1753" i="16"/>
  <c r="AB1753" i="16" s="1"/>
  <c r="X1752" i="16"/>
  <c r="AD1752" i="16" s="1"/>
  <c r="W1752" i="16"/>
  <c r="AC1752" i="16" s="1"/>
  <c r="V1752" i="16"/>
  <c r="AB1752" i="16" s="1"/>
  <c r="X1751" i="16"/>
  <c r="AD1751" i="16" s="1"/>
  <c r="W1751" i="16"/>
  <c r="AC1751" i="16" s="1"/>
  <c r="V1751" i="16"/>
  <c r="AB1751" i="16" s="1"/>
  <c r="X1750" i="16"/>
  <c r="AD1750" i="16" s="1"/>
  <c r="W1750" i="16"/>
  <c r="AC1750" i="16" s="1"/>
  <c r="V1750" i="16"/>
  <c r="AB1750" i="16" s="1"/>
  <c r="X1749" i="16"/>
  <c r="AD1749" i="16" s="1"/>
  <c r="W1749" i="16"/>
  <c r="AC1749" i="16" s="1"/>
  <c r="V1749" i="16"/>
  <c r="AB1749" i="16" s="1"/>
  <c r="X1748" i="16"/>
  <c r="AD1748" i="16" s="1"/>
  <c r="W1748" i="16"/>
  <c r="AC1748" i="16" s="1"/>
  <c r="V1748" i="16"/>
  <c r="AB1748" i="16" s="1"/>
  <c r="X1747" i="16"/>
  <c r="AD1747" i="16" s="1"/>
  <c r="W1747" i="16"/>
  <c r="AC1747" i="16" s="1"/>
  <c r="V1747" i="16"/>
  <c r="AB1747" i="16" s="1"/>
  <c r="X1746" i="16"/>
  <c r="AD1746" i="16" s="1"/>
  <c r="W1746" i="16"/>
  <c r="AC1746" i="16" s="1"/>
  <c r="V1746" i="16"/>
  <c r="AB1746" i="16" s="1"/>
  <c r="X1745" i="16"/>
  <c r="AD1745" i="16" s="1"/>
  <c r="W1745" i="16"/>
  <c r="AC1745" i="16" s="1"/>
  <c r="V1745" i="16"/>
  <c r="AB1745" i="16" s="1"/>
  <c r="X1744" i="16"/>
  <c r="AD1744" i="16" s="1"/>
  <c r="W1744" i="16"/>
  <c r="AC1744" i="16" s="1"/>
  <c r="V1744" i="16"/>
  <c r="AB1744" i="16" s="1"/>
  <c r="X1743" i="16"/>
  <c r="AD1743" i="16" s="1"/>
  <c r="W1743" i="16"/>
  <c r="AC1743" i="16" s="1"/>
  <c r="V1743" i="16"/>
  <c r="AB1743" i="16" s="1"/>
  <c r="X1742" i="16"/>
  <c r="AD1742" i="16" s="1"/>
  <c r="W1742" i="16"/>
  <c r="AC1742" i="16" s="1"/>
  <c r="V1742" i="16"/>
  <c r="AB1742" i="16" s="1"/>
  <c r="X1741" i="16"/>
  <c r="AD1741" i="16" s="1"/>
  <c r="W1741" i="16"/>
  <c r="AC1741" i="16" s="1"/>
  <c r="V1741" i="16"/>
  <c r="AB1741" i="16" s="1"/>
  <c r="X1740" i="16"/>
  <c r="AD1740" i="16" s="1"/>
  <c r="W1740" i="16"/>
  <c r="AC1740" i="16" s="1"/>
  <c r="V1740" i="16"/>
  <c r="AB1740" i="16" s="1"/>
  <c r="X1739" i="16"/>
  <c r="AD1739" i="16" s="1"/>
  <c r="W1739" i="16"/>
  <c r="AC1739" i="16" s="1"/>
  <c r="V1739" i="16"/>
  <c r="AB1739" i="16" s="1"/>
  <c r="X1738" i="16"/>
  <c r="AD1738" i="16" s="1"/>
  <c r="W1738" i="16"/>
  <c r="AC1738" i="16" s="1"/>
  <c r="V1738" i="16"/>
  <c r="AB1738" i="16" s="1"/>
  <c r="X1737" i="16"/>
  <c r="AD1737" i="16" s="1"/>
  <c r="W1737" i="16"/>
  <c r="AC1737" i="16" s="1"/>
  <c r="V1737" i="16"/>
  <c r="AB1737" i="16" s="1"/>
  <c r="X1736" i="16"/>
  <c r="AD1736" i="16" s="1"/>
  <c r="W1736" i="16"/>
  <c r="AC1736" i="16" s="1"/>
  <c r="V1736" i="16"/>
  <c r="AB1736" i="16" s="1"/>
  <c r="X1735" i="16"/>
  <c r="AD1735" i="16" s="1"/>
  <c r="W1735" i="16"/>
  <c r="AC1735" i="16" s="1"/>
  <c r="V1735" i="16"/>
  <c r="AB1735" i="16" s="1"/>
  <c r="X1734" i="16"/>
  <c r="AD1734" i="16" s="1"/>
  <c r="W1734" i="16"/>
  <c r="AC1734" i="16" s="1"/>
  <c r="V1734" i="16"/>
  <c r="AB1734" i="16" s="1"/>
  <c r="X1733" i="16"/>
  <c r="AD1733" i="16" s="1"/>
  <c r="W1733" i="16"/>
  <c r="AC1733" i="16" s="1"/>
  <c r="V1733" i="16"/>
  <c r="AB1733" i="16" s="1"/>
  <c r="X1732" i="16"/>
  <c r="AD1732" i="16" s="1"/>
  <c r="W1732" i="16"/>
  <c r="AC1732" i="16" s="1"/>
  <c r="V1732" i="16"/>
  <c r="AB1732" i="16" s="1"/>
  <c r="X1731" i="16"/>
  <c r="AD1731" i="16" s="1"/>
  <c r="W1731" i="16"/>
  <c r="AC1731" i="16" s="1"/>
  <c r="V1731" i="16"/>
  <c r="AB1731" i="16" s="1"/>
  <c r="X1730" i="16"/>
  <c r="AD1730" i="16" s="1"/>
  <c r="W1730" i="16"/>
  <c r="AC1730" i="16" s="1"/>
  <c r="V1730" i="16"/>
  <c r="AB1730" i="16" s="1"/>
  <c r="X1729" i="16"/>
  <c r="AD1729" i="16" s="1"/>
  <c r="W1729" i="16"/>
  <c r="AC1729" i="16" s="1"/>
  <c r="V1729" i="16"/>
  <c r="AB1729" i="16" s="1"/>
  <c r="X1728" i="16"/>
  <c r="AD1728" i="16" s="1"/>
  <c r="W1728" i="16"/>
  <c r="AC1728" i="16" s="1"/>
  <c r="V1728" i="16"/>
  <c r="AB1728" i="16" s="1"/>
  <c r="X1727" i="16"/>
  <c r="AD1727" i="16" s="1"/>
  <c r="W1727" i="16"/>
  <c r="AC1727" i="16" s="1"/>
  <c r="V1727" i="16"/>
  <c r="AB1727" i="16" s="1"/>
  <c r="X1726" i="16"/>
  <c r="AD1726" i="16" s="1"/>
  <c r="W1726" i="16"/>
  <c r="AC1726" i="16" s="1"/>
  <c r="V1726" i="16"/>
  <c r="AB1726" i="16" s="1"/>
  <c r="X1725" i="16"/>
  <c r="AD1725" i="16" s="1"/>
  <c r="W1725" i="16"/>
  <c r="AC1725" i="16" s="1"/>
  <c r="V1725" i="16"/>
  <c r="AB1725" i="16" s="1"/>
  <c r="X1724" i="16"/>
  <c r="AD1724" i="16" s="1"/>
  <c r="W1724" i="16"/>
  <c r="AC1724" i="16" s="1"/>
  <c r="V1724" i="16"/>
  <c r="AB1724" i="16" s="1"/>
  <c r="X1723" i="16"/>
  <c r="AD1723" i="16" s="1"/>
  <c r="W1723" i="16"/>
  <c r="AC1723" i="16" s="1"/>
  <c r="V1723" i="16"/>
  <c r="AB1723" i="16" s="1"/>
  <c r="X1722" i="16"/>
  <c r="AD1722" i="16" s="1"/>
  <c r="W1722" i="16"/>
  <c r="AC1722" i="16" s="1"/>
  <c r="V1722" i="16"/>
  <c r="AB1722" i="16" s="1"/>
  <c r="X1721" i="16"/>
  <c r="AD1721" i="16" s="1"/>
  <c r="W1721" i="16"/>
  <c r="AC1721" i="16" s="1"/>
  <c r="V1721" i="16"/>
  <c r="AB1721" i="16" s="1"/>
  <c r="X1720" i="16"/>
  <c r="AD1720" i="16" s="1"/>
  <c r="W1720" i="16"/>
  <c r="AC1720" i="16" s="1"/>
  <c r="V1720" i="16"/>
  <c r="AB1720" i="16" s="1"/>
  <c r="X1719" i="16"/>
  <c r="AD1719" i="16" s="1"/>
  <c r="W1719" i="16"/>
  <c r="AC1719" i="16" s="1"/>
  <c r="V1719" i="16"/>
  <c r="AB1719" i="16" s="1"/>
  <c r="X1718" i="16"/>
  <c r="AD1718" i="16" s="1"/>
  <c r="W1718" i="16"/>
  <c r="AC1718" i="16" s="1"/>
  <c r="V1718" i="16"/>
  <c r="AB1718" i="16" s="1"/>
  <c r="X1717" i="16"/>
  <c r="AD1717" i="16" s="1"/>
  <c r="W1717" i="16"/>
  <c r="AC1717" i="16" s="1"/>
  <c r="V1717" i="16"/>
  <c r="AB1717" i="16" s="1"/>
  <c r="X1716" i="16"/>
  <c r="AD1716" i="16" s="1"/>
  <c r="W1716" i="16"/>
  <c r="AC1716" i="16" s="1"/>
  <c r="V1716" i="16"/>
  <c r="AB1716" i="16" s="1"/>
  <c r="X1715" i="16"/>
  <c r="AD1715" i="16" s="1"/>
  <c r="W1715" i="16"/>
  <c r="AC1715" i="16" s="1"/>
  <c r="V1715" i="16"/>
  <c r="AB1715" i="16" s="1"/>
  <c r="X1714" i="16"/>
  <c r="AD1714" i="16" s="1"/>
  <c r="W1714" i="16"/>
  <c r="AC1714" i="16" s="1"/>
  <c r="V1714" i="16"/>
  <c r="AB1714" i="16" s="1"/>
  <c r="X1713" i="16"/>
  <c r="AD1713" i="16" s="1"/>
  <c r="W1713" i="16"/>
  <c r="AC1713" i="16" s="1"/>
  <c r="V1713" i="16"/>
  <c r="AB1713" i="16" s="1"/>
  <c r="X1712" i="16"/>
  <c r="AD1712" i="16" s="1"/>
  <c r="W1712" i="16"/>
  <c r="AC1712" i="16" s="1"/>
  <c r="V1712" i="16"/>
  <c r="AB1712" i="16" s="1"/>
  <c r="X1711" i="16"/>
  <c r="AD1711" i="16" s="1"/>
  <c r="W1711" i="16"/>
  <c r="AC1711" i="16" s="1"/>
  <c r="V1711" i="16"/>
  <c r="AB1711" i="16" s="1"/>
  <c r="X1710" i="16"/>
  <c r="AD1710" i="16" s="1"/>
  <c r="W1710" i="16"/>
  <c r="AC1710" i="16" s="1"/>
  <c r="V1710" i="16"/>
  <c r="AB1710" i="16" s="1"/>
  <c r="X1709" i="16"/>
  <c r="AD1709" i="16" s="1"/>
  <c r="W1709" i="16"/>
  <c r="AC1709" i="16" s="1"/>
  <c r="V1709" i="16"/>
  <c r="AB1709" i="16" s="1"/>
  <c r="X1708" i="16"/>
  <c r="AD1708" i="16" s="1"/>
  <c r="W1708" i="16"/>
  <c r="AC1708" i="16" s="1"/>
  <c r="V1708" i="16"/>
  <c r="AB1708" i="16" s="1"/>
  <c r="X1707" i="16"/>
  <c r="AD1707" i="16" s="1"/>
  <c r="W1707" i="16"/>
  <c r="AC1707" i="16" s="1"/>
  <c r="V1707" i="16"/>
  <c r="AB1707" i="16" s="1"/>
  <c r="X1706" i="16"/>
  <c r="AD1706" i="16" s="1"/>
  <c r="W1706" i="16"/>
  <c r="AC1706" i="16" s="1"/>
  <c r="V1706" i="16"/>
  <c r="AB1706" i="16" s="1"/>
  <c r="X1705" i="16"/>
  <c r="AD1705" i="16" s="1"/>
  <c r="W1705" i="16"/>
  <c r="AC1705" i="16" s="1"/>
  <c r="V1705" i="16"/>
  <c r="AB1705" i="16" s="1"/>
  <c r="X1704" i="16"/>
  <c r="AD1704" i="16" s="1"/>
  <c r="W1704" i="16"/>
  <c r="AC1704" i="16" s="1"/>
  <c r="V1704" i="16"/>
  <c r="AB1704" i="16" s="1"/>
  <c r="X1703" i="16"/>
  <c r="AD1703" i="16" s="1"/>
  <c r="W1703" i="16"/>
  <c r="AC1703" i="16" s="1"/>
  <c r="V1703" i="16"/>
  <c r="AB1703" i="16" s="1"/>
  <c r="X1702" i="16"/>
  <c r="AD1702" i="16" s="1"/>
  <c r="W1702" i="16"/>
  <c r="AC1702" i="16" s="1"/>
  <c r="V1702" i="16"/>
  <c r="AB1702" i="16" s="1"/>
  <c r="X1701" i="16"/>
  <c r="AD1701" i="16" s="1"/>
  <c r="W1701" i="16"/>
  <c r="AC1701" i="16" s="1"/>
  <c r="V1701" i="16"/>
  <c r="AB1701" i="16" s="1"/>
  <c r="X1700" i="16"/>
  <c r="AD1700" i="16" s="1"/>
  <c r="W1700" i="16"/>
  <c r="AC1700" i="16" s="1"/>
  <c r="V1700" i="16"/>
  <c r="AB1700" i="16" s="1"/>
  <c r="X1699" i="16"/>
  <c r="AD1699" i="16" s="1"/>
  <c r="W1699" i="16"/>
  <c r="AC1699" i="16" s="1"/>
  <c r="V1699" i="16"/>
  <c r="AB1699" i="16" s="1"/>
  <c r="X1698" i="16"/>
  <c r="AD1698" i="16" s="1"/>
  <c r="W1698" i="16"/>
  <c r="AC1698" i="16" s="1"/>
  <c r="V1698" i="16"/>
  <c r="AB1698" i="16" s="1"/>
  <c r="X1697" i="16"/>
  <c r="AD1697" i="16" s="1"/>
  <c r="W1697" i="16"/>
  <c r="AC1697" i="16" s="1"/>
  <c r="V1697" i="16"/>
  <c r="AB1697" i="16" s="1"/>
  <c r="X1696" i="16"/>
  <c r="AD1696" i="16" s="1"/>
  <c r="W1696" i="16"/>
  <c r="AC1696" i="16" s="1"/>
  <c r="V1696" i="16"/>
  <c r="AB1696" i="16" s="1"/>
  <c r="X1695" i="16"/>
  <c r="AD1695" i="16" s="1"/>
  <c r="W1695" i="16"/>
  <c r="AC1695" i="16" s="1"/>
  <c r="V1695" i="16"/>
  <c r="AB1695" i="16" s="1"/>
  <c r="X1694" i="16"/>
  <c r="AD1694" i="16" s="1"/>
  <c r="W1694" i="16"/>
  <c r="AC1694" i="16" s="1"/>
  <c r="V1694" i="16"/>
  <c r="AB1694" i="16" s="1"/>
  <c r="X1693" i="16"/>
  <c r="AD1693" i="16" s="1"/>
  <c r="W1693" i="16"/>
  <c r="AC1693" i="16" s="1"/>
  <c r="V1693" i="16"/>
  <c r="AB1693" i="16" s="1"/>
  <c r="X1692" i="16"/>
  <c r="AD1692" i="16" s="1"/>
  <c r="W1692" i="16"/>
  <c r="AC1692" i="16" s="1"/>
  <c r="V1692" i="16"/>
  <c r="AB1692" i="16" s="1"/>
  <c r="X1691" i="16"/>
  <c r="AD1691" i="16" s="1"/>
  <c r="W1691" i="16"/>
  <c r="AC1691" i="16" s="1"/>
  <c r="V1691" i="16"/>
  <c r="AB1691" i="16" s="1"/>
  <c r="X1690" i="16"/>
  <c r="AD1690" i="16" s="1"/>
  <c r="W1690" i="16"/>
  <c r="AC1690" i="16" s="1"/>
  <c r="V1690" i="16"/>
  <c r="AB1690" i="16" s="1"/>
  <c r="X1689" i="16"/>
  <c r="AD1689" i="16" s="1"/>
  <c r="W1689" i="16"/>
  <c r="AC1689" i="16" s="1"/>
  <c r="V1689" i="16"/>
  <c r="AB1689" i="16" s="1"/>
  <c r="X1688" i="16"/>
  <c r="AD1688" i="16" s="1"/>
  <c r="W1688" i="16"/>
  <c r="AC1688" i="16" s="1"/>
  <c r="V1688" i="16"/>
  <c r="AB1688" i="16" s="1"/>
  <c r="X1687" i="16"/>
  <c r="AD1687" i="16" s="1"/>
  <c r="W1687" i="16"/>
  <c r="AC1687" i="16" s="1"/>
  <c r="V1687" i="16"/>
  <c r="AB1687" i="16" s="1"/>
  <c r="X1686" i="16"/>
  <c r="AD1686" i="16" s="1"/>
  <c r="W1686" i="16"/>
  <c r="AC1686" i="16" s="1"/>
  <c r="V1686" i="16"/>
  <c r="AB1686" i="16" s="1"/>
  <c r="X1685" i="16"/>
  <c r="AD1685" i="16" s="1"/>
  <c r="W1685" i="16"/>
  <c r="AC1685" i="16" s="1"/>
  <c r="V1685" i="16"/>
  <c r="AB1685" i="16" s="1"/>
  <c r="X1684" i="16"/>
  <c r="AD1684" i="16" s="1"/>
  <c r="W1684" i="16"/>
  <c r="AC1684" i="16" s="1"/>
  <c r="V1684" i="16"/>
  <c r="AB1684" i="16" s="1"/>
  <c r="X1683" i="16"/>
  <c r="AD1683" i="16" s="1"/>
  <c r="W1683" i="16"/>
  <c r="AC1683" i="16" s="1"/>
  <c r="V1683" i="16"/>
  <c r="AB1683" i="16" s="1"/>
  <c r="X1682" i="16"/>
  <c r="AD1682" i="16" s="1"/>
  <c r="W1682" i="16"/>
  <c r="AC1682" i="16" s="1"/>
  <c r="V1682" i="16"/>
  <c r="AB1682" i="16" s="1"/>
  <c r="X1681" i="16"/>
  <c r="AD1681" i="16" s="1"/>
  <c r="W1681" i="16"/>
  <c r="AC1681" i="16" s="1"/>
  <c r="V1681" i="16"/>
  <c r="AB1681" i="16" s="1"/>
  <c r="X1680" i="16"/>
  <c r="AD1680" i="16" s="1"/>
  <c r="W1680" i="16"/>
  <c r="AC1680" i="16" s="1"/>
  <c r="V1680" i="16"/>
  <c r="AB1680" i="16" s="1"/>
  <c r="X1679" i="16"/>
  <c r="AD1679" i="16" s="1"/>
  <c r="W1679" i="16"/>
  <c r="AC1679" i="16" s="1"/>
  <c r="V1679" i="16"/>
  <c r="AB1679" i="16" s="1"/>
  <c r="X1678" i="16"/>
  <c r="AD1678" i="16" s="1"/>
  <c r="W1678" i="16"/>
  <c r="AC1678" i="16" s="1"/>
  <c r="V1678" i="16"/>
  <c r="AB1678" i="16" s="1"/>
  <c r="X1677" i="16"/>
  <c r="AD1677" i="16" s="1"/>
  <c r="W1677" i="16"/>
  <c r="AC1677" i="16" s="1"/>
  <c r="V1677" i="16"/>
  <c r="AB1677" i="16" s="1"/>
  <c r="X1676" i="16"/>
  <c r="AD1676" i="16" s="1"/>
  <c r="W1676" i="16"/>
  <c r="AC1676" i="16" s="1"/>
  <c r="V1676" i="16"/>
  <c r="AB1676" i="16" s="1"/>
  <c r="X1675" i="16"/>
  <c r="AD1675" i="16" s="1"/>
  <c r="W1675" i="16"/>
  <c r="AC1675" i="16" s="1"/>
  <c r="V1675" i="16"/>
  <c r="AB1675" i="16" s="1"/>
  <c r="X1674" i="16"/>
  <c r="AD1674" i="16" s="1"/>
  <c r="W1674" i="16"/>
  <c r="AC1674" i="16" s="1"/>
  <c r="V1674" i="16"/>
  <c r="AB1674" i="16" s="1"/>
  <c r="X1673" i="16"/>
  <c r="AD1673" i="16" s="1"/>
  <c r="W1673" i="16"/>
  <c r="AC1673" i="16" s="1"/>
  <c r="V1673" i="16"/>
  <c r="AB1673" i="16" s="1"/>
  <c r="X1672" i="16"/>
  <c r="AD1672" i="16" s="1"/>
  <c r="W1672" i="16"/>
  <c r="AC1672" i="16" s="1"/>
  <c r="V1672" i="16"/>
  <c r="AB1672" i="16" s="1"/>
  <c r="X1671" i="16"/>
  <c r="AD1671" i="16" s="1"/>
  <c r="W1671" i="16"/>
  <c r="AC1671" i="16" s="1"/>
  <c r="V1671" i="16"/>
  <c r="AB1671" i="16" s="1"/>
  <c r="X1670" i="16"/>
  <c r="AD1670" i="16" s="1"/>
  <c r="W1670" i="16"/>
  <c r="AC1670" i="16" s="1"/>
  <c r="V1670" i="16"/>
  <c r="AB1670" i="16" s="1"/>
  <c r="X1669" i="16"/>
  <c r="AD1669" i="16" s="1"/>
  <c r="W1669" i="16"/>
  <c r="AC1669" i="16" s="1"/>
  <c r="V1669" i="16"/>
  <c r="AB1669" i="16" s="1"/>
  <c r="X1668" i="16"/>
  <c r="AD1668" i="16" s="1"/>
  <c r="W1668" i="16"/>
  <c r="AC1668" i="16" s="1"/>
  <c r="V1668" i="16"/>
  <c r="AB1668" i="16" s="1"/>
  <c r="X1667" i="16"/>
  <c r="AD1667" i="16" s="1"/>
  <c r="W1667" i="16"/>
  <c r="AC1667" i="16" s="1"/>
  <c r="V1667" i="16"/>
  <c r="AB1667" i="16" s="1"/>
  <c r="X1666" i="16"/>
  <c r="AD1666" i="16" s="1"/>
  <c r="W1666" i="16"/>
  <c r="AC1666" i="16" s="1"/>
  <c r="V1666" i="16"/>
  <c r="AB1666" i="16" s="1"/>
  <c r="X1665" i="16"/>
  <c r="AD1665" i="16" s="1"/>
  <c r="W1665" i="16"/>
  <c r="AC1665" i="16" s="1"/>
  <c r="V1665" i="16"/>
  <c r="AB1665" i="16" s="1"/>
  <c r="X1664" i="16"/>
  <c r="AD1664" i="16" s="1"/>
  <c r="W1664" i="16"/>
  <c r="AC1664" i="16" s="1"/>
  <c r="V1664" i="16"/>
  <c r="AB1664" i="16" s="1"/>
  <c r="X1663" i="16"/>
  <c r="AD1663" i="16" s="1"/>
  <c r="W1663" i="16"/>
  <c r="AC1663" i="16" s="1"/>
  <c r="V1663" i="16"/>
  <c r="AB1663" i="16" s="1"/>
  <c r="X1662" i="16"/>
  <c r="AD1662" i="16" s="1"/>
  <c r="W1662" i="16"/>
  <c r="AC1662" i="16" s="1"/>
  <c r="V1662" i="16"/>
  <c r="AB1662" i="16" s="1"/>
  <c r="X1661" i="16"/>
  <c r="AD1661" i="16" s="1"/>
  <c r="W1661" i="16"/>
  <c r="AC1661" i="16" s="1"/>
  <c r="V1661" i="16"/>
  <c r="AB1661" i="16" s="1"/>
  <c r="X1660" i="16"/>
  <c r="AD1660" i="16" s="1"/>
  <c r="W1660" i="16"/>
  <c r="AC1660" i="16" s="1"/>
  <c r="V1660" i="16"/>
  <c r="AB1660" i="16" s="1"/>
  <c r="X1659" i="16"/>
  <c r="AD1659" i="16" s="1"/>
  <c r="W1659" i="16"/>
  <c r="AC1659" i="16" s="1"/>
  <c r="V1659" i="16"/>
  <c r="AB1659" i="16" s="1"/>
  <c r="X1658" i="16"/>
  <c r="AD1658" i="16" s="1"/>
  <c r="W1658" i="16"/>
  <c r="AC1658" i="16" s="1"/>
  <c r="V1658" i="16"/>
  <c r="AB1658" i="16" s="1"/>
  <c r="X1657" i="16"/>
  <c r="AD1657" i="16" s="1"/>
  <c r="W1657" i="16"/>
  <c r="AC1657" i="16" s="1"/>
  <c r="V1657" i="16"/>
  <c r="AB1657" i="16" s="1"/>
  <c r="X1656" i="16"/>
  <c r="AD1656" i="16" s="1"/>
  <c r="W1656" i="16"/>
  <c r="AC1656" i="16" s="1"/>
  <c r="V1656" i="16"/>
  <c r="AB1656" i="16" s="1"/>
  <c r="X1655" i="16"/>
  <c r="AD1655" i="16" s="1"/>
  <c r="W1655" i="16"/>
  <c r="AC1655" i="16" s="1"/>
  <c r="V1655" i="16"/>
  <c r="AB1655" i="16" s="1"/>
  <c r="X1654" i="16"/>
  <c r="AD1654" i="16" s="1"/>
  <c r="W1654" i="16"/>
  <c r="AC1654" i="16" s="1"/>
  <c r="V1654" i="16"/>
  <c r="AB1654" i="16" s="1"/>
  <c r="X1653" i="16"/>
  <c r="AD1653" i="16" s="1"/>
  <c r="W1653" i="16"/>
  <c r="AC1653" i="16" s="1"/>
  <c r="V1653" i="16"/>
  <c r="AB1653" i="16" s="1"/>
  <c r="X1652" i="16"/>
  <c r="AD1652" i="16" s="1"/>
  <c r="W1652" i="16"/>
  <c r="AC1652" i="16" s="1"/>
  <c r="V1652" i="16"/>
  <c r="AB1652" i="16" s="1"/>
  <c r="X1651" i="16"/>
  <c r="AD1651" i="16" s="1"/>
  <c r="W1651" i="16"/>
  <c r="AC1651" i="16" s="1"/>
  <c r="V1651" i="16"/>
  <c r="AB1651" i="16" s="1"/>
  <c r="X1650" i="16"/>
  <c r="AD1650" i="16" s="1"/>
  <c r="W1650" i="16"/>
  <c r="AC1650" i="16" s="1"/>
  <c r="V1650" i="16"/>
  <c r="AB1650" i="16" s="1"/>
  <c r="X1649" i="16"/>
  <c r="AD1649" i="16" s="1"/>
  <c r="W1649" i="16"/>
  <c r="AC1649" i="16" s="1"/>
  <c r="V1649" i="16"/>
  <c r="AB1649" i="16" s="1"/>
  <c r="X1648" i="16"/>
  <c r="AD1648" i="16" s="1"/>
  <c r="W1648" i="16"/>
  <c r="AC1648" i="16" s="1"/>
  <c r="V1648" i="16"/>
  <c r="AB1648" i="16" s="1"/>
  <c r="X1647" i="16"/>
  <c r="AD1647" i="16" s="1"/>
  <c r="W1647" i="16"/>
  <c r="AC1647" i="16" s="1"/>
  <c r="V1647" i="16"/>
  <c r="AB1647" i="16" s="1"/>
  <c r="X1646" i="16"/>
  <c r="AD1646" i="16" s="1"/>
  <c r="W1646" i="16"/>
  <c r="AC1646" i="16" s="1"/>
  <c r="V1646" i="16"/>
  <c r="AB1646" i="16" s="1"/>
  <c r="X1645" i="16"/>
  <c r="AD1645" i="16" s="1"/>
  <c r="W1645" i="16"/>
  <c r="AC1645" i="16" s="1"/>
  <c r="V1645" i="16"/>
  <c r="AB1645" i="16" s="1"/>
  <c r="X1644" i="16"/>
  <c r="AD1644" i="16" s="1"/>
  <c r="W1644" i="16"/>
  <c r="AC1644" i="16" s="1"/>
  <c r="V1644" i="16"/>
  <c r="AB1644" i="16" s="1"/>
  <c r="X1643" i="16"/>
  <c r="AD1643" i="16" s="1"/>
  <c r="W1643" i="16"/>
  <c r="AC1643" i="16" s="1"/>
  <c r="V1643" i="16"/>
  <c r="AB1643" i="16" s="1"/>
  <c r="X1642" i="16"/>
  <c r="AD1642" i="16" s="1"/>
  <c r="W1642" i="16"/>
  <c r="AC1642" i="16" s="1"/>
  <c r="V1642" i="16"/>
  <c r="AB1642" i="16" s="1"/>
  <c r="X1641" i="16"/>
  <c r="AD1641" i="16" s="1"/>
  <c r="W1641" i="16"/>
  <c r="AC1641" i="16" s="1"/>
  <c r="V1641" i="16"/>
  <c r="AB1641" i="16" s="1"/>
  <c r="X1640" i="16"/>
  <c r="AD1640" i="16" s="1"/>
  <c r="W1640" i="16"/>
  <c r="AC1640" i="16" s="1"/>
  <c r="V1640" i="16"/>
  <c r="AB1640" i="16" s="1"/>
  <c r="X1639" i="16"/>
  <c r="AD1639" i="16" s="1"/>
  <c r="W1639" i="16"/>
  <c r="AC1639" i="16" s="1"/>
  <c r="V1639" i="16"/>
  <c r="AB1639" i="16" s="1"/>
  <c r="X1638" i="16"/>
  <c r="AD1638" i="16" s="1"/>
  <c r="W1638" i="16"/>
  <c r="AC1638" i="16" s="1"/>
  <c r="V1638" i="16"/>
  <c r="AB1638" i="16" s="1"/>
  <c r="X1637" i="16"/>
  <c r="AD1637" i="16" s="1"/>
  <c r="W1637" i="16"/>
  <c r="AC1637" i="16" s="1"/>
  <c r="V1637" i="16"/>
  <c r="AB1637" i="16" s="1"/>
  <c r="X1636" i="16"/>
  <c r="AD1636" i="16" s="1"/>
  <c r="W1636" i="16"/>
  <c r="AC1636" i="16" s="1"/>
  <c r="V1636" i="16"/>
  <c r="AB1636" i="16" s="1"/>
  <c r="X1635" i="16"/>
  <c r="AD1635" i="16" s="1"/>
  <c r="W1635" i="16"/>
  <c r="AC1635" i="16" s="1"/>
  <c r="V1635" i="16"/>
  <c r="AB1635" i="16" s="1"/>
  <c r="X1634" i="16"/>
  <c r="AD1634" i="16" s="1"/>
  <c r="W1634" i="16"/>
  <c r="AC1634" i="16" s="1"/>
  <c r="V1634" i="16"/>
  <c r="AB1634" i="16" s="1"/>
  <c r="X1633" i="16"/>
  <c r="AD1633" i="16" s="1"/>
  <c r="W1633" i="16"/>
  <c r="AC1633" i="16" s="1"/>
  <c r="V1633" i="16"/>
  <c r="AB1633" i="16" s="1"/>
  <c r="X1632" i="16"/>
  <c r="AD1632" i="16" s="1"/>
  <c r="W1632" i="16"/>
  <c r="AC1632" i="16" s="1"/>
  <c r="V1632" i="16"/>
  <c r="AB1632" i="16" s="1"/>
  <c r="X1631" i="16"/>
  <c r="AD1631" i="16" s="1"/>
  <c r="W1631" i="16"/>
  <c r="AC1631" i="16" s="1"/>
  <c r="V1631" i="16"/>
  <c r="AB1631" i="16" s="1"/>
  <c r="X1630" i="16"/>
  <c r="AD1630" i="16" s="1"/>
  <c r="W1630" i="16"/>
  <c r="AC1630" i="16" s="1"/>
  <c r="V1630" i="16"/>
  <c r="AB1630" i="16" s="1"/>
  <c r="X1629" i="16"/>
  <c r="AD1629" i="16" s="1"/>
  <c r="W1629" i="16"/>
  <c r="AC1629" i="16" s="1"/>
  <c r="V1629" i="16"/>
  <c r="AB1629" i="16" s="1"/>
  <c r="X1628" i="16"/>
  <c r="AD1628" i="16" s="1"/>
  <c r="W1628" i="16"/>
  <c r="AC1628" i="16" s="1"/>
  <c r="V1628" i="16"/>
  <c r="AB1628" i="16" s="1"/>
  <c r="X1627" i="16"/>
  <c r="AD1627" i="16" s="1"/>
  <c r="W1627" i="16"/>
  <c r="AC1627" i="16" s="1"/>
  <c r="V1627" i="16"/>
  <c r="AB1627" i="16" s="1"/>
  <c r="X1626" i="16"/>
  <c r="AD1626" i="16" s="1"/>
  <c r="W1626" i="16"/>
  <c r="AC1626" i="16" s="1"/>
  <c r="V1626" i="16"/>
  <c r="AB1626" i="16" s="1"/>
  <c r="X1625" i="16"/>
  <c r="AD1625" i="16" s="1"/>
  <c r="W1625" i="16"/>
  <c r="AC1625" i="16" s="1"/>
  <c r="V1625" i="16"/>
  <c r="AB1625" i="16" s="1"/>
  <c r="X1624" i="16"/>
  <c r="AD1624" i="16" s="1"/>
  <c r="W1624" i="16"/>
  <c r="AC1624" i="16" s="1"/>
  <c r="V1624" i="16"/>
  <c r="AB1624" i="16" s="1"/>
  <c r="X1623" i="16"/>
  <c r="AD1623" i="16" s="1"/>
  <c r="W1623" i="16"/>
  <c r="AC1623" i="16" s="1"/>
  <c r="V1623" i="16"/>
  <c r="AB1623" i="16" s="1"/>
  <c r="X1622" i="16"/>
  <c r="AD1622" i="16" s="1"/>
  <c r="W1622" i="16"/>
  <c r="AC1622" i="16" s="1"/>
  <c r="V1622" i="16"/>
  <c r="AB1622" i="16" s="1"/>
  <c r="X1621" i="16"/>
  <c r="AD1621" i="16" s="1"/>
  <c r="W1621" i="16"/>
  <c r="AC1621" i="16" s="1"/>
  <c r="V1621" i="16"/>
  <c r="AB1621" i="16" s="1"/>
  <c r="X1620" i="16"/>
  <c r="AD1620" i="16" s="1"/>
  <c r="W1620" i="16"/>
  <c r="AC1620" i="16" s="1"/>
  <c r="V1620" i="16"/>
  <c r="AB1620" i="16" s="1"/>
  <c r="X1619" i="16"/>
  <c r="AD1619" i="16" s="1"/>
  <c r="W1619" i="16"/>
  <c r="AC1619" i="16" s="1"/>
  <c r="V1619" i="16"/>
  <c r="AB1619" i="16" s="1"/>
  <c r="X1618" i="16"/>
  <c r="AD1618" i="16" s="1"/>
  <c r="W1618" i="16"/>
  <c r="AC1618" i="16" s="1"/>
  <c r="V1618" i="16"/>
  <c r="AB1618" i="16" s="1"/>
  <c r="X1617" i="16"/>
  <c r="AD1617" i="16" s="1"/>
  <c r="W1617" i="16"/>
  <c r="AC1617" i="16" s="1"/>
  <c r="V1617" i="16"/>
  <c r="AB1617" i="16" s="1"/>
  <c r="X1616" i="16"/>
  <c r="AD1616" i="16" s="1"/>
  <c r="W1616" i="16"/>
  <c r="AC1616" i="16" s="1"/>
  <c r="V1616" i="16"/>
  <c r="AB1616" i="16" s="1"/>
  <c r="X1615" i="16"/>
  <c r="AD1615" i="16" s="1"/>
  <c r="W1615" i="16"/>
  <c r="AC1615" i="16" s="1"/>
  <c r="V1615" i="16"/>
  <c r="AB1615" i="16" s="1"/>
  <c r="X1614" i="16"/>
  <c r="AD1614" i="16" s="1"/>
  <c r="W1614" i="16"/>
  <c r="AC1614" i="16" s="1"/>
  <c r="V1614" i="16"/>
  <c r="AB1614" i="16" s="1"/>
  <c r="X1613" i="16"/>
  <c r="AD1613" i="16" s="1"/>
  <c r="W1613" i="16"/>
  <c r="AC1613" i="16" s="1"/>
  <c r="V1613" i="16"/>
  <c r="AB1613" i="16" s="1"/>
  <c r="X1612" i="16"/>
  <c r="AD1612" i="16" s="1"/>
  <c r="W1612" i="16"/>
  <c r="AC1612" i="16" s="1"/>
  <c r="V1612" i="16"/>
  <c r="AB1612" i="16" s="1"/>
  <c r="X1611" i="16"/>
  <c r="AD1611" i="16" s="1"/>
  <c r="W1611" i="16"/>
  <c r="AC1611" i="16" s="1"/>
  <c r="V1611" i="16"/>
  <c r="AB1611" i="16" s="1"/>
  <c r="X1610" i="16"/>
  <c r="AD1610" i="16" s="1"/>
  <c r="W1610" i="16"/>
  <c r="AC1610" i="16" s="1"/>
  <c r="V1610" i="16"/>
  <c r="AB1610" i="16" s="1"/>
  <c r="X1609" i="16"/>
  <c r="AD1609" i="16" s="1"/>
  <c r="W1609" i="16"/>
  <c r="AC1609" i="16" s="1"/>
  <c r="V1609" i="16"/>
  <c r="AB1609" i="16" s="1"/>
  <c r="X1608" i="16"/>
  <c r="AD1608" i="16" s="1"/>
  <c r="W1608" i="16"/>
  <c r="AC1608" i="16" s="1"/>
  <c r="V1608" i="16"/>
  <c r="AB1608" i="16" s="1"/>
  <c r="X1607" i="16"/>
  <c r="AD1607" i="16" s="1"/>
  <c r="W1607" i="16"/>
  <c r="AC1607" i="16" s="1"/>
  <c r="V1607" i="16"/>
  <c r="AB1607" i="16" s="1"/>
  <c r="X1606" i="16"/>
  <c r="AD1606" i="16" s="1"/>
  <c r="W1606" i="16"/>
  <c r="AC1606" i="16" s="1"/>
  <c r="V1606" i="16"/>
  <c r="AB1606" i="16" s="1"/>
  <c r="X1605" i="16"/>
  <c r="AD1605" i="16" s="1"/>
  <c r="W1605" i="16"/>
  <c r="AC1605" i="16" s="1"/>
  <c r="V1605" i="16"/>
  <c r="AB1605" i="16" s="1"/>
  <c r="X1604" i="16"/>
  <c r="AD1604" i="16" s="1"/>
  <c r="W1604" i="16"/>
  <c r="AC1604" i="16" s="1"/>
  <c r="V1604" i="16"/>
  <c r="AB1604" i="16" s="1"/>
  <c r="X1603" i="16"/>
  <c r="AD1603" i="16" s="1"/>
  <c r="W1603" i="16"/>
  <c r="AC1603" i="16" s="1"/>
  <c r="V1603" i="16"/>
  <c r="AB1603" i="16" s="1"/>
  <c r="X1602" i="16"/>
  <c r="AD1602" i="16" s="1"/>
  <c r="W1602" i="16"/>
  <c r="AC1602" i="16" s="1"/>
  <c r="V1602" i="16"/>
  <c r="AB1602" i="16" s="1"/>
  <c r="X1601" i="16"/>
  <c r="AD1601" i="16" s="1"/>
  <c r="W1601" i="16"/>
  <c r="AC1601" i="16" s="1"/>
  <c r="V1601" i="16"/>
  <c r="AB1601" i="16" s="1"/>
  <c r="X1600" i="16"/>
  <c r="AD1600" i="16" s="1"/>
  <c r="W1600" i="16"/>
  <c r="AC1600" i="16" s="1"/>
  <c r="V1600" i="16"/>
  <c r="AB1600" i="16" s="1"/>
  <c r="X1599" i="16"/>
  <c r="AD1599" i="16" s="1"/>
  <c r="W1599" i="16"/>
  <c r="AC1599" i="16" s="1"/>
  <c r="V1599" i="16"/>
  <c r="AB1599" i="16" s="1"/>
  <c r="X1598" i="16"/>
  <c r="AD1598" i="16" s="1"/>
  <c r="W1598" i="16"/>
  <c r="AC1598" i="16" s="1"/>
  <c r="V1598" i="16"/>
  <c r="AB1598" i="16" s="1"/>
  <c r="X1597" i="16"/>
  <c r="AD1597" i="16" s="1"/>
  <c r="W1597" i="16"/>
  <c r="AC1597" i="16" s="1"/>
  <c r="V1597" i="16"/>
  <c r="AB1597" i="16" s="1"/>
  <c r="X1596" i="16"/>
  <c r="AD1596" i="16" s="1"/>
  <c r="W1596" i="16"/>
  <c r="AC1596" i="16" s="1"/>
  <c r="V1596" i="16"/>
  <c r="AB1596" i="16" s="1"/>
  <c r="X1595" i="16"/>
  <c r="AD1595" i="16" s="1"/>
  <c r="W1595" i="16"/>
  <c r="AC1595" i="16" s="1"/>
  <c r="V1595" i="16"/>
  <c r="AB1595" i="16" s="1"/>
  <c r="X1594" i="16"/>
  <c r="AD1594" i="16" s="1"/>
  <c r="W1594" i="16"/>
  <c r="AC1594" i="16" s="1"/>
  <c r="V1594" i="16"/>
  <c r="AB1594" i="16" s="1"/>
  <c r="X1593" i="16"/>
  <c r="AD1593" i="16" s="1"/>
  <c r="W1593" i="16"/>
  <c r="AC1593" i="16" s="1"/>
  <c r="V1593" i="16"/>
  <c r="AB1593" i="16" s="1"/>
  <c r="X1592" i="16"/>
  <c r="AD1592" i="16" s="1"/>
  <c r="W1592" i="16"/>
  <c r="AC1592" i="16" s="1"/>
  <c r="V1592" i="16"/>
  <c r="AB1592" i="16" s="1"/>
  <c r="X1591" i="16"/>
  <c r="AD1591" i="16" s="1"/>
  <c r="W1591" i="16"/>
  <c r="AC1591" i="16" s="1"/>
  <c r="V1591" i="16"/>
  <c r="AB1591" i="16" s="1"/>
  <c r="X1590" i="16"/>
  <c r="AD1590" i="16" s="1"/>
  <c r="W1590" i="16"/>
  <c r="AC1590" i="16" s="1"/>
  <c r="V1590" i="16"/>
  <c r="AB1590" i="16" s="1"/>
  <c r="X1589" i="16"/>
  <c r="AD1589" i="16" s="1"/>
  <c r="W1589" i="16"/>
  <c r="AC1589" i="16" s="1"/>
  <c r="V1589" i="16"/>
  <c r="AB1589" i="16" s="1"/>
  <c r="X1588" i="16"/>
  <c r="AD1588" i="16" s="1"/>
  <c r="W1588" i="16"/>
  <c r="AC1588" i="16" s="1"/>
  <c r="V1588" i="16"/>
  <c r="AB1588" i="16" s="1"/>
  <c r="X1587" i="16"/>
  <c r="AD1587" i="16" s="1"/>
  <c r="W1587" i="16"/>
  <c r="AC1587" i="16" s="1"/>
  <c r="V1587" i="16"/>
  <c r="AB1587" i="16" s="1"/>
  <c r="X1586" i="16"/>
  <c r="AD1586" i="16" s="1"/>
  <c r="W1586" i="16"/>
  <c r="AC1586" i="16" s="1"/>
  <c r="V1586" i="16"/>
  <c r="AB1586" i="16" s="1"/>
  <c r="X1585" i="16"/>
  <c r="AD1585" i="16" s="1"/>
  <c r="W1585" i="16"/>
  <c r="AC1585" i="16" s="1"/>
  <c r="V1585" i="16"/>
  <c r="AB1585" i="16" s="1"/>
  <c r="X1584" i="16"/>
  <c r="AD1584" i="16" s="1"/>
  <c r="W1584" i="16"/>
  <c r="AC1584" i="16" s="1"/>
  <c r="V1584" i="16"/>
  <c r="AB1584" i="16" s="1"/>
  <c r="X1583" i="16"/>
  <c r="AD1583" i="16" s="1"/>
  <c r="W1583" i="16"/>
  <c r="AC1583" i="16" s="1"/>
  <c r="V1583" i="16"/>
  <c r="AB1583" i="16" s="1"/>
  <c r="X1582" i="16"/>
  <c r="AD1582" i="16" s="1"/>
  <c r="W1582" i="16"/>
  <c r="AC1582" i="16" s="1"/>
  <c r="V1582" i="16"/>
  <c r="AB1582" i="16" s="1"/>
  <c r="X1581" i="16"/>
  <c r="AD1581" i="16" s="1"/>
  <c r="W1581" i="16"/>
  <c r="AC1581" i="16" s="1"/>
  <c r="V1581" i="16"/>
  <c r="AB1581" i="16" s="1"/>
  <c r="X1580" i="16"/>
  <c r="AD1580" i="16" s="1"/>
  <c r="W1580" i="16"/>
  <c r="AC1580" i="16" s="1"/>
  <c r="V1580" i="16"/>
  <c r="AB1580" i="16" s="1"/>
  <c r="X1579" i="16"/>
  <c r="AD1579" i="16" s="1"/>
  <c r="W1579" i="16"/>
  <c r="AC1579" i="16" s="1"/>
  <c r="V1579" i="16"/>
  <c r="AB1579" i="16" s="1"/>
  <c r="X1578" i="16"/>
  <c r="AD1578" i="16" s="1"/>
  <c r="W1578" i="16"/>
  <c r="AC1578" i="16" s="1"/>
  <c r="V1578" i="16"/>
  <c r="AB1578" i="16" s="1"/>
  <c r="X1577" i="16"/>
  <c r="AD1577" i="16" s="1"/>
  <c r="W1577" i="16"/>
  <c r="AC1577" i="16" s="1"/>
  <c r="V1577" i="16"/>
  <c r="AB1577" i="16" s="1"/>
  <c r="X1576" i="16"/>
  <c r="AD1576" i="16" s="1"/>
  <c r="W1576" i="16"/>
  <c r="AC1576" i="16" s="1"/>
  <c r="V1576" i="16"/>
  <c r="AB1576" i="16" s="1"/>
  <c r="X1575" i="16"/>
  <c r="AD1575" i="16" s="1"/>
  <c r="W1575" i="16"/>
  <c r="AC1575" i="16" s="1"/>
  <c r="V1575" i="16"/>
  <c r="AB1575" i="16" s="1"/>
  <c r="X1574" i="16"/>
  <c r="AD1574" i="16" s="1"/>
  <c r="W1574" i="16"/>
  <c r="AC1574" i="16" s="1"/>
  <c r="V1574" i="16"/>
  <c r="AB1574" i="16" s="1"/>
  <c r="X1573" i="16"/>
  <c r="AD1573" i="16" s="1"/>
  <c r="W1573" i="16"/>
  <c r="AC1573" i="16" s="1"/>
  <c r="V1573" i="16"/>
  <c r="AB1573" i="16" s="1"/>
  <c r="X1572" i="16"/>
  <c r="AD1572" i="16" s="1"/>
  <c r="W1572" i="16"/>
  <c r="AC1572" i="16" s="1"/>
  <c r="V1572" i="16"/>
  <c r="AB1572" i="16" s="1"/>
  <c r="X1571" i="16"/>
  <c r="AD1571" i="16" s="1"/>
  <c r="W1571" i="16"/>
  <c r="AC1571" i="16" s="1"/>
  <c r="V1571" i="16"/>
  <c r="AB1571" i="16" s="1"/>
  <c r="X1570" i="16"/>
  <c r="AD1570" i="16" s="1"/>
  <c r="W1570" i="16"/>
  <c r="AC1570" i="16" s="1"/>
  <c r="V1570" i="16"/>
  <c r="AB1570" i="16" s="1"/>
  <c r="X1569" i="16"/>
  <c r="AD1569" i="16" s="1"/>
  <c r="W1569" i="16"/>
  <c r="AC1569" i="16" s="1"/>
  <c r="V1569" i="16"/>
  <c r="AB1569" i="16" s="1"/>
  <c r="X1568" i="16"/>
  <c r="AD1568" i="16" s="1"/>
  <c r="W1568" i="16"/>
  <c r="AC1568" i="16" s="1"/>
  <c r="V1568" i="16"/>
  <c r="AB1568" i="16" s="1"/>
  <c r="X1567" i="16"/>
  <c r="AD1567" i="16" s="1"/>
  <c r="W1567" i="16"/>
  <c r="AC1567" i="16" s="1"/>
  <c r="V1567" i="16"/>
  <c r="AB1567" i="16" s="1"/>
  <c r="X1566" i="16"/>
  <c r="AD1566" i="16" s="1"/>
  <c r="W1566" i="16"/>
  <c r="AC1566" i="16" s="1"/>
  <c r="V1566" i="16"/>
  <c r="AB1566" i="16" s="1"/>
  <c r="X1565" i="16"/>
  <c r="AD1565" i="16" s="1"/>
  <c r="W1565" i="16"/>
  <c r="AC1565" i="16" s="1"/>
  <c r="V1565" i="16"/>
  <c r="AB1565" i="16" s="1"/>
  <c r="X1564" i="16"/>
  <c r="AD1564" i="16" s="1"/>
  <c r="W1564" i="16"/>
  <c r="AC1564" i="16" s="1"/>
  <c r="V1564" i="16"/>
  <c r="AB1564" i="16" s="1"/>
  <c r="X1563" i="16"/>
  <c r="AD1563" i="16" s="1"/>
  <c r="W1563" i="16"/>
  <c r="AC1563" i="16" s="1"/>
  <c r="V1563" i="16"/>
  <c r="AB1563" i="16" s="1"/>
  <c r="X1562" i="16"/>
  <c r="AD1562" i="16" s="1"/>
  <c r="W1562" i="16"/>
  <c r="AC1562" i="16" s="1"/>
  <c r="V1562" i="16"/>
  <c r="AB1562" i="16" s="1"/>
  <c r="X1561" i="16"/>
  <c r="AD1561" i="16" s="1"/>
  <c r="W1561" i="16"/>
  <c r="AC1561" i="16" s="1"/>
  <c r="V1561" i="16"/>
  <c r="AB1561" i="16" s="1"/>
  <c r="X1560" i="16"/>
  <c r="AD1560" i="16" s="1"/>
  <c r="W1560" i="16"/>
  <c r="AC1560" i="16" s="1"/>
  <c r="V1560" i="16"/>
  <c r="AB1560" i="16" s="1"/>
  <c r="X1559" i="16"/>
  <c r="AD1559" i="16" s="1"/>
  <c r="W1559" i="16"/>
  <c r="AC1559" i="16" s="1"/>
  <c r="V1559" i="16"/>
  <c r="AB1559" i="16" s="1"/>
  <c r="X1558" i="16"/>
  <c r="AD1558" i="16" s="1"/>
  <c r="W1558" i="16"/>
  <c r="AC1558" i="16" s="1"/>
  <c r="V1558" i="16"/>
  <c r="AB1558" i="16" s="1"/>
  <c r="X1557" i="16"/>
  <c r="AD1557" i="16" s="1"/>
  <c r="W1557" i="16"/>
  <c r="AC1557" i="16" s="1"/>
  <c r="V1557" i="16"/>
  <c r="AB1557" i="16" s="1"/>
  <c r="X1556" i="16"/>
  <c r="AD1556" i="16" s="1"/>
  <c r="W1556" i="16"/>
  <c r="AC1556" i="16" s="1"/>
  <c r="V1556" i="16"/>
  <c r="AB1556" i="16" s="1"/>
  <c r="X1555" i="16"/>
  <c r="AD1555" i="16" s="1"/>
  <c r="W1555" i="16"/>
  <c r="AC1555" i="16" s="1"/>
  <c r="V1555" i="16"/>
  <c r="AB1555" i="16" s="1"/>
  <c r="X1554" i="16"/>
  <c r="AD1554" i="16" s="1"/>
  <c r="W1554" i="16"/>
  <c r="AC1554" i="16" s="1"/>
  <c r="V1554" i="16"/>
  <c r="AB1554" i="16" s="1"/>
  <c r="X1553" i="16"/>
  <c r="AD1553" i="16" s="1"/>
  <c r="W1553" i="16"/>
  <c r="AC1553" i="16" s="1"/>
  <c r="V1553" i="16"/>
  <c r="AB1553" i="16" s="1"/>
  <c r="X1552" i="16"/>
  <c r="AD1552" i="16" s="1"/>
  <c r="W1552" i="16"/>
  <c r="AC1552" i="16" s="1"/>
  <c r="V1552" i="16"/>
  <c r="AB1552" i="16" s="1"/>
  <c r="X1551" i="16"/>
  <c r="AD1551" i="16" s="1"/>
  <c r="W1551" i="16"/>
  <c r="AC1551" i="16" s="1"/>
  <c r="V1551" i="16"/>
  <c r="AB1551" i="16" s="1"/>
  <c r="X1550" i="16"/>
  <c r="AD1550" i="16" s="1"/>
  <c r="W1550" i="16"/>
  <c r="AC1550" i="16" s="1"/>
  <c r="V1550" i="16"/>
  <c r="AB1550" i="16" s="1"/>
  <c r="X1549" i="16"/>
  <c r="AD1549" i="16" s="1"/>
  <c r="W1549" i="16"/>
  <c r="AC1549" i="16" s="1"/>
  <c r="V1549" i="16"/>
  <c r="AB1549" i="16" s="1"/>
  <c r="X1548" i="16"/>
  <c r="AD1548" i="16" s="1"/>
  <c r="W1548" i="16"/>
  <c r="AC1548" i="16" s="1"/>
  <c r="V1548" i="16"/>
  <c r="AB1548" i="16" s="1"/>
  <c r="X1547" i="16"/>
  <c r="AD1547" i="16" s="1"/>
  <c r="W1547" i="16"/>
  <c r="AC1547" i="16" s="1"/>
  <c r="V1547" i="16"/>
  <c r="AB1547" i="16" s="1"/>
  <c r="X1546" i="16"/>
  <c r="AD1546" i="16" s="1"/>
  <c r="W1546" i="16"/>
  <c r="AC1546" i="16" s="1"/>
  <c r="V1546" i="16"/>
  <c r="AB1546" i="16" s="1"/>
  <c r="X1545" i="16"/>
  <c r="AD1545" i="16" s="1"/>
  <c r="W1545" i="16"/>
  <c r="AC1545" i="16" s="1"/>
  <c r="V1545" i="16"/>
  <c r="AB1545" i="16" s="1"/>
  <c r="X1544" i="16"/>
  <c r="AD1544" i="16" s="1"/>
  <c r="W1544" i="16"/>
  <c r="AC1544" i="16" s="1"/>
  <c r="V1544" i="16"/>
  <c r="AB1544" i="16" s="1"/>
  <c r="X1543" i="16"/>
  <c r="AD1543" i="16" s="1"/>
  <c r="W1543" i="16"/>
  <c r="AC1543" i="16" s="1"/>
  <c r="V1543" i="16"/>
  <c r="AB1543" i="16" s="1"/>
  <c r="X1542" i="16"/>
  <c r="AD1542" i="16" s="1"/>
  <c r="W1542" i="16"/>
  <c r="AC1542" i="16" s="1"/>
  <c r="V1542" i="16"/>
  <c r="AB1542" i="16" s="1"/>
  <c r="X1541" i="16"/>
  <c r="AD1541" i="16" s="1"/>
  <c r="W1541" i="16"/>
  <c r="AC1541" i="16" s="1"/>
  <c r="V1541" i="16"/>
  <c r="AB1541" i="16" s="1"/>
  <c r="X1540" i="16"/>
  <c r="AD1540" i="16" s="1"/>
  <c r="W1540" i="16"/>
  <c r="AC1540" i="16" s="1"/>
  <c r="V1540" i="16"/>
  <c r="AB1540" i="16" s="1"/>
  <c r="X1539" i="16"/>
  <c r="AD1539" i="16" s="1"/>
  <c r="W1539" i="16"/>
  <c r="AC1539" i="16" s="1"/>
  <c r="V1539" i="16"/>
  <c r="AB1539" i="16" s="1"/>
  <c r="X1538" i="16"/>
  <c r="AD1538" i="16" s="1"/>
  <c r="W1538" i="16"/>
  <c r="AC1538" i="16" s="1"/>
  <c r="V1538" i="16"/>
  <c r="AB1538" i="16" s="1"/>
  <c r="X1537" i="16"/>
  <c r="AD1537" i="16" s="1"/>
  <c r="W1537" i="16"/>
  <c r="AC1537" i="16" s="1"/>
  <c r="V1537" i="16"/>
  <c r="AB1537" i="16" s="1"/>
  <c r="X1536" i="16"/>
  <c r="AD1536" i="16" s="1"/>
  <c r="W1536" i="16"/>
  <c r="AC1536" i="16" s="1"/>
  <c r="V1536" i="16"/>
  <c r="AB1536" i="16" s="1"/>
  <c r="X1535" i="16"/>
  <c r="AD1535" i="16" s="1"/>
  <c r="W1535" i="16"/>
  <c r="AC1535" i="16" s="1"/>
  <c r="V1535" i="16"/>
  <c r="AB1535" i="16" s="1"/>
  <c r="X1534" i="16"/>
  <c r="AD1534" i="16" s="1"/>
  <c r="W1534" i="16"/>
  <c r="AC1534" i="16" s="1"/>
  <c r="V1534" i="16"/>
  <c r="AB1534" i="16" s="1"/>
  <c r="X1533" i="16"/>
  <c r="AD1533" i="16" s="1"/>
  <c r="W1533" i="16"/>
  <c r="AC1533" i="16" s="1"/>
  <c r="V1533" i="16"/>
  <c r="AB1533" i="16" s="1"/>
  <c r="X1532" i="16"/>
  <c r="AD1532" i="16" s="1"/>
  <c r="W1532" i="16"/>
  <c r="AC1532" i="16" s="1"/>
  <c r="V1532" i="16"/>
  <c r="AB1532" i="16" s="1"/>
  <c r="X1531" i="16"/>
  <c r="AD1531" i="16" s="1"/>
  <c r="W1531" i="16"/>
  <c r="AC1531" i="16" s="1"/>
  <c r="V1531" i="16"/>
  <c r="AB1531" i="16" s="1"/>
  <c r="X1530" i="16"/>
  <c r="AD1530" i="16" s="1"/>
  <c r="W1530" i="16"/>
  <c r="AC1530" i="16" s="1"/>
  <c r="V1530" i="16"/>
  <c r="AB1530" i="16" s="1"/>
  <c r="X1529" i="16"/>
  <c r="AD1529" i="16" s="1"/>
  <c r="W1529" i="16"/>
  <c r="AC1529" i="16" s="1"/>
  <c r="V1529" i="16"/>
  <c r="AB1529" i="16" s="1"/>
  <c r="X1528" i="16"/>
  <c r="AD1528" i="16" s="1"/>
  <c r="W1528" i="16"/>
  <c r="AC1528" i="16" s="1"/>
  <c r="V1528" i="16"/>
  <c r="AB1528" i="16" s="1"/>
  <c r="X1527" i="16"/>
  <c r="AD1527" i="16" s="1"/>
  <c r="W1527" i="16"/>
  <c r="AC1527" i="16" s="1"/>
  <c r="V1527" i="16"/>
  <c r="AB1527" i="16" s="1"/>
  <c r="X1526" i="16"/>
  <c r="AD1526" i="16" s="1"/>
  <c r="W1526" i="16"/>
  <c r="AC1526" i="16" s="1"/>
  <c r="V1526" i="16"/>
  <c r="AB1526" i="16" s="1"/>
  <c r="X1525" i="16"/>
  <c r="AD1525" i="16" s="1"/>
  <c r="W1525" i="16"/>
  <c r="AC1525" i="16" s="1"/>
  <c r="V1525" i="16"/>
  <c r="AB1525" i="16" s="1"/>
  <c r="X1524" i="16"/>
  <c r="AD1524" i="16" s="1"/>
  <c r="W1524" i="16"/>
  <c r="AC1524" i="16" s="1"/>
  <c r="V1524" i="16"/>
  <c r="AB1524" i="16" s="1"/>
  <c r="X1523" i="16"/>
  <c r="AD1523" i="16" s="1"/>
  <c r="W1523" i="16"/>
  <c r="AC1523" i="16" s="1"/>
  <c r="V1523" i="16"/>
  <c r="AB1523" i="16" s="1"/>
  <c r="X1522" i="16"/>
  <c r="AD1522" i="16" s="1"/>
  <c r="W1522" i="16"/>
  <c r="AC1522" i="16" s="1"/>
  <c r="V1522" i="16"/>
  <c r="AB1522" i="16" s="1"/>
  <c r="X1521" i="16"/>
  <c r="AD1521" i="16" s="1"/>
  <c r="W1521" i="16"/>
  <c r="AC1521" i="16" s="1"/>
  <c r="V1521" i="16"/>
  <c r="AB1521" i="16" s="1"/>
  <c r="X1520" i="16"/>
  <c r="AD1520" i="16" s="1"/>
  <c r="W1520" i="16"/>
  <c r="AC1520" i="16" s="1"/>
  <c r="V1520" i="16"/>
  <c r="AB1520" i="16" s="1"/>
  <c r="X1519" i="16"/>
  <c r="AD1519" i="16" s="1"/>
  <c r="W1519" i="16"/>
  <c r="AC1519" i="16" s="1"/>
  <c r="V1519" i="16"/>
  <c r="AB1519" i="16" s="1"/>
  <c r="X1518" i="16"/>
  <c r="AD1518" i="16" s="1"/>
  <c r="W1518" i="16"/>
  <c r="AC1518" i="16" s="1"/>
  <c r="V1518" i="16"/>
  <c r="AB1518" i="16" s="1"/>
  <c r="X1517" i="16"/>
  <c r="AD1517" i="16" s="1"/>
  <c r="W1517" i="16"/>
  <c r="AC1517" i="16" s="1"/>
  <c r="V1517" i="16"/>
  <c r="AB1517" i="16" s="1"/>
  <c r="X1516" i="16"/>
  <c r="AD1516" i="16" s="1"/>
  <c r="W1516" i="16"/>
  <c r="AC1516" i="16" s="1"/>
  <c r="V1516" i="16"/>
  <c r="AB1516" i="16" s="1"/>
  <c r="X1515" i="16"/>
  <c r="AD1515" i="16" s="1"/>
  <c r="W1515" i="16"/>
  <c r="AC1515" i="16" s="1"/>
  <c r="V1515" i="16"/>
  <c r="AB1515" i="16" s="1"/>
  <c r="X1514" i="16"/>
  <c r="AD1514" i="16" s="1"/>
  <c r="W1514" i="16"/>
  <c r="AC1514" i="16" s="1"/>
  <c r="V1514" i="16"/>
  <c r="AB1514" i="16" s="1"/>
  <c r="X1513" i="16"/>
  <c r="AD1513" i="16" s="1"/>
  <c r="W1513" i="16"/>
  <c r="AC1513" i="16" s="1"/>
  <c r="V1513" i="16"/>
  <c r="AB1513" i="16" s="1"/>
  <c r="X1512" i="16"/>
  <c r="AD1512" i="16" s="1"/>
  <c r="W1512" i="16"/>
  <c r="AC1512" i="16" s="1"/>
  <c r="V1512" i="16"/>
  <c r="AB1512" i="16" s="1"/>
  <c r="X1511" i="16"/>
  <c r="AD1511" i="16" s="1"/>
  <c r="W1511" i="16"/>
  <c r="AC1511" i="16" s="1"/>
  <c r="V1511" i="16"/>
  <c r="AB1511" i="16" s="1"/>
  <c r="X1510" i="16"/>
  <c r="AD1510" i="16" s="1"/>
  <c r="W1510" i="16"/>
  <c r="AC1510" i="16" s="1"/>
  <c r="V1510" i="16"/>
  <c r="AB1510" i="16" s="1"/>
  <c r="X1509" i="16"/>
  <c r="AD1509" i="16" s="1"/>
  <c r="W1509" i="16"/>
  <c r="AC1509" i="16" s="1"/>
  <c r="V1509" i="16"/>
  <c r="AB1509" i="16" s="1"/>
  <c r="X1508" i="16"/>
  <c r="AD1508" i="16" s="1"/>
  <c r="W1508" i="16"/>
  <c r="AC1508" i="16" s="1"/>
  <c r="V1508" i="16"/>
  <c r="AB1508" i="16" s="1"/>
  <c r="X1507" i="16"/>
  <c r="AD1507" i="16" s="1"/>
  <c r="W1507" i="16"/>
  <c r="AC1507" i="16" s="1"/>
  <c r="V1507" i="16"/>
  <c r="AB1507" i="16" s="1"/>
  <c r="X1506" i="16"/>
  <c r="AD1506" i="16" s="1"/>
  <c r="W1506" i="16"/>
  <c r="AC1506" i="16" s="1"/>
  <c r="V1506" i="16"/>
  <c r="AB1506" i="16" s="1"/>
  <c r="X1505" i="16"/>
  <c r="AD1505" i="16" s="1"/>
  <c r="W1505" i="16"/>
  <c r="AC1505" i="16" s="1"/>
  <c r="V1505" i="16"/>
  <c r="AB1505" i="16" s="1"/>
  <c r="X1504" i="16"/>
  <c r="AD1504" i="16" s="1"/>
  <c r="W1504" i="16"/>
  <c r="AC1504" i="16" s="1"/>
  <c r="V1504" i="16"/>
  <c r="AB1504" i="16" s="1"/>
  <c r="X1503" i="16"/>
  <c r="AD1503" i="16" s="1"/>
  <c r="W1503" i="16"/>
  <c r="AC1503" i="16" s="1"/>
  <c r="V1503" i="16"/>
  <c r="AB1503" i="16" s="1"/>
  <c r="X1502" i="16"/>
  <c r="AD1502" i="16" s="1"/>
  <c r="W1502" i="16"/>
  <c r="AC1502" i="16" s="1"/>
  <c r="V1502" i="16"/>
  <c r="AB1502" i="16" s="1"/>
  <c r="X1501" i="16"/>
  <c r="AD1501" i="16" s="1"/>
  <c r="W1501" i="16"/>
  <c r="AC1501" i="16" s="1"/>
  <c r="V1501" i="16"/>
  <c r="AB1501" i="16" s="1"/>
  <c r="X1500" i="16"/>
  <c r="AD1500" i="16" s="1"/>
  <c r="W1500" i="16"/>
  <c r="AC1500" i="16" s="1"/>
  <c r="V1500" i="16"/>
  <c r="AB1500" i="16" s="1"/>
  <c r="X1499" i="16"/>
  <c r="AD1499" i="16" s="1"/>
  <c r="W1499" i="16"/>
  <c r="AC1499" i="16" s="1"/>
  <c r="V1499" i="16"/>
  <c r="AB1499" i="16" s="1"/>
  <c r="X1498" i="16"/>
  <c r="AD1498" i="16" s="1"/>
  <c r="W1498" i="16"/>
  <c r="AC1498" i="16" s="1"/>
  <c r="V1498" i="16"/>
  <c r="AB1498" i="16" s="1"/>
  <c r="X1497" i="16"/>
  <c r="AD1497" i="16" s="1"/>
  <c r="W1497" i="16"/>
  <c r="AC1497" i="16" s="1"/>
  <c r="V1497" i="16"/>
  <c r="AB1497" i="16" s="1"/>
  <c r="X1496" i="16"/>
  <c r="AD1496" i="16" s="1"/>
  <c r="W1496" i="16"/>
  <c r="AC1496" i="16" s="1"/>
  <c r="V1496" i="16"/>
  <c r="AB1496" i="16" s="1"/>
  <c r="X1495" i="16"/>
  <c r="AD1495" i="16" s="1"/>
  <c r="W1495" i="16"/>
  <c r="AC1495" i="16" s="1"/>
  <c r="V1495" i="16"/>
  <c r="AB1495" i="16" s="1"/>
  <c r="X1494" i="16"/>
  <c r="AD1494" i="16" s="1"/>
  <c r="W1494" i="16"/>
  <c r="AC1494" i="16" s="1"/>
  <c r="V1494" i="16"/>
  <c r="AB1494" i="16" s="1"/>
  <c r="X1493" i="16"/>
  <c r="AD1493" i="16" s="1"/>
  <c r="W1493" i="16"/>
  <c r="AC1493" i="16" s="1"/>
  <c r="V1493" i="16"/>
  <c r="AB1493" i="16" s="1"/>
  <c r="X1492" i="16"/>
  <c r="AD1492" i="16" s="1"/>
  <c r="W1492" i="16"/>
  <c r="AC1492" i="16" s="1"/>
  <c r="V1492" i="16"/>
  <c r="AB1492" i="16" s="1"/>
  <c r="X1491" i="16"/>
  <c r="AD1491" i="16" s="1"/>
  <c r="W1491" i="16"/>
  <c r="AC1491" i="16" s="1"/>
  <c r="V1491" i="16"/>
  <c r="AB1491" i="16" s="1"/>
  <c r="X1490" i="16"/>
  <c r="AD1490" i="16" s="1"/>
  <c r="W1490" i="16"/>
  <c r="AC1490" i="16" s="1"/>
  <c r="V1490" i="16"/>
  <c r="AB1490" i="16" s="1"/>
  <c r="X1489" i="16"/>
  <c r="AD1489" i="16" s="1"/>
  <c r="W1489" i="16"/>
  <c r="AC1489" i="16" s="1"/>
  <c r="V1489" i="16"/>
  <c r="AB1489" i="16" s="1"/>
  <c r="X1488" i="16"/>
  <c r="AD1488" i="16" s="1"/>
  <c r="W1488" i="16"/>
  <c r="AC1488" i="16" s="1"/>
  <c r="V1488" i="16"/>
  <c r="AB1488" i="16" s="1"/>
  <c r="X1487" i="16"/>
  <c r="AD1487" i="16" s="1"/>
  <c r="W1487" i="16"/>
  <c r="AC1487" i="16" s="1"/>
  <c r="V1487" i="16"/>
  <c r="AB1487" i="16" s="1"/>
  <c r="X1486" i="16"/>
  <c r="AD1486" i="16" s="1"/>
  <c r="W1486" i="16"/>
  <c r="AC1486" i="16" s="1"/>
  <c r="V1486" i="16"/>
  <c r="AB1486" i="16" s="1"/>
  <c r="X1485" i="16"/>
  <c r="AD1485" i="16" s="1"/>
  <c r="W1485" i="16"/>
  <c r="AC1485" i="16" s="1"/>
  <c r="V1485" i="16"/>
  <c r="AB1485" i="16" s="1"/>
  <c r="X1484" i="16"/>
  <c r="AD1484" i="16" s="1"/>
  <c r="W1484" i="16"/>
  <c r="AC1484" i="16" s="1"/>
  <c r="V1484" i="16"/>
  <c r="AB1484" i="16" s="1"/>
  <c r="X1483" i="16"/>
  <c r="AD1483" i="16" s="1"/>
  <c r="W1483" i="16"/>
  <c r="AC1483" i="16" s="1"/>
  <c r="V1483" i="16"/>
  <c r="AB1483" i="16" s="1"/>
  <c r="X1482" i="16"/>
  <c r="AD1482" i="16" s="1"/>
  <c r="W1482" i="16"/>
  <c r="AC1482" i="16" s="1"/>
  <c r="V1482" i="16"/>
  <c r="AB1482" i="16" s="1"/>
  <c r="X1481" i="16"/>
  <c r="AD1481" i="16" s="1"/>
  <c r="W1481" i="16"/>
  <c r="AC1481" i="16" s="1"/>
  <c r="V1481" i="16"/>
  <c r="AB1481" i="16" s="1"/>
  <c r="X1480" i="16"/>
  <c r="AD1480" i="16" s="1"/>
  <c r="W1480" i="16"/>
  <c r="AC1480" i="16" s="1"/>
  <c r="V1480" i="16"/>
  <c r="AB1480" i="16" s="1"/>
  <c r="X1479" i="16"/>
  <c r="AD1479" i="16" s="1"/>
  <c r="W1479" i="16"/>
  <c r="AC1479" i="16" s="1"/>
  <c r="V1479" i="16"/>
  <c r="AB1479" i="16" s="1"/>
  <c r="X1478" i="16"/>
  <c r="AD1478" i="16" s="1"/>
  <c r="W1478" i="16"/>
  <c r="AC1478" i="16" s="1"/>
  <c r="V1478" i="16"/>
  <c r="AB1478" i="16" s="1"/>
  <c r="X1477" i="16"/>
  <c r="AD1477" i="16" s="1"/>
  <c r="W1477" i="16"/>
  <c r="AC1477" i="16" s="1"/>
  <c r="V1477" i="16"/>
  <c r="AB1477" i="16" s="1"/>
  <c r="X1476" i="16"/>
  <c r="AD1476" i="16" s="1"/>
  <c r="W1476" i="16"/>
  <c r="AC1476" i="16" s="1"/>
  <c r="V1476" i="16"/>
  <c r="AB1476" i="16" s="1"/>
  <c r="X1475" i="16"/>
  <c r="AD1475" i="16" s="1"/>
  <c r="W1475" i="16"/>
  <c r="AC1475" i="16" s="1"/>
  <c r="V1475" i="16"/>
  <c r="AB1475" i="16" s="1"/>
  <c r="X1474" i="16"/>
  <c r="AD1474" i="16" s="1"/>
  <c r="W1474" i="16"/>
  <c r="AC1474" i="16" s="1"/>
  <c r="V1474" i="16"/>
  <c r="AB1474" i="16" s="1"/>
  <c r="X1473" i="16"/>
  <c r="AD1473" i="16" s="1"/>
  <c r="W1473" i="16"/>
  <c r="AC1473" i="16" s="1"/>
  <c r="V1473" i="16"/>
  <c r="AB1473" i="16" s="1"/>
  <c r="X1472" i="16"/>
  <c r="AD1472" i="16" s="1"/>
  <c r="W1472" i="16"/>
  <c r="AC1472" i="16" s="1"/>
  <c r="V1472" i="16"/>
  <c r="AB1472" i="16" s="1"/>
  <c r="X1471" i="16"/>
  <c r="AD1471" i="16" s="1"/>
  <c r="W1471" i="16"/>
  <c r="AC1471" i="16" s="1"/>
  <c r="V1471" i="16"/>
  <c r="AB1471" i="16" s="1"/>
  <c r="X1470" i="16"/>
  <c r="AD1470" i="16" s="1"/>
  <c r="W1470" i="16"/>
  <c r="AC1470" i="16" s="1"/>
  <c r="V1470" i="16"/>
  <c r="AB1470" i="16" s="1"/>
  <c r="X1469" i="16"/>
  <c r="AD1469" i="16" s="1"/>
  <c r="W1469" i="16"/>
  <c r="AC1469" i="16" s="1"/>
  <c r="V1469" i="16"/>
  <c r="AB1469" i="16" s="1"/>
  <c r="X1468" i="16"/>
  <c r="AD1468" i="16" s="1"/>
  <c r="W1468" i="16"/>
  <c r="AC1468" i="16" s="1"/>
  <c r="V1468" i="16"/>
  <c r="AB1468" i="16" s="1"/>
  <c r="X1467" i="16"/>
  <c r="AD1467" i="16" s="1"/>
  <c r="W1467" i="16"/>
  <c r="AC1467" i="16" s="1"/>
  <c r="V1467" i="16"/>
  <c r="AB1467" i="16" s="1"/>
  <c r="X1466" i="16"/>
  <c r="AD1466" i="16" s="1"/>
  <c r="W1466" i="16"/>
  <c r="AC1466" i="16" s="1"/>
  <c r="V1466" i="16"/>
  <c r="AB1466" i="16" s="1"/>
  <c r="X1465" i="16"/>
  <c r="AD1465" i="16" s="1"/>
  <c r="W1465" i="16"/>
  <c r="AC1465" i="16" s="1"/>
  <c r="V1465" i="16"/>
  <c r="AB1465" i="16" s="1"/>
  <c r="X1464" i="16"/>
  <c r="AD1464" i="16" s="1"/>
  <c r="W1464" i="16"/>
  <c r="AC1464" i="16" s="1"/>
  <c r="V1464" i="16"/>
  <c r="AB1464" i="16" s="1"/>
  <c r="X1463" i="16"/>
  <c r="AD1463" i="16" s="1"/>
  <c r="W1463" i="16"/>
  <c r="AC1463" i="16" s="1"/>
  <c r="V1463" i="16"/>
  <c r="AB1463" i="16" s="1"/>
  <c r="X1462" i="16"/>
  <c r="AD1462" i="16" s="1"/>
  <c r="W1462" i="16"/>
  <c r="AC1462" i="16" s="1"/>
  <c r="V1462" i="16"/>
  <c r="AB1462" i="16" s="1"/>
  <c r="X1461" i="16"/>
  <c r="AD1461" i="16" s="1"/>
  <c r="W1461" i="16"/>
  <c r="AC1461" i="16" s="1"/>
  <c r="V1461" i="16"/>
  <c r="AB1461" i="16" s="1"/>
  <c r="X1460" i="16"/>
  <c r="AD1460" i="16" s="1"/>
  <c r="W1460" i="16"/>
  <c r="AC1460" i="16" s="1"/>
  <c r="V1460" i="16"/>
  <c r="AB1460" i="16" s="1"/>
  <c r="X1459" i="16"/>
  <c r="AD1459" i="16" s="1"/>
  <c r="W1459" i="16"/>
  <c r="AC1459" i="16" s="1"/>
  <c r="V1459" i="16"/>
  <c r="AB1459" i="16" s="1"/>
  <c r="X1458" i="16"/>
  <c r="AD1458" i="16" s="1"/>
  <c r="W1458" i="16"/>
  <c r="AC1458" i="16" s="1"/>
  <c r="V1458" i="16"/>
  <c r="AB1458" i="16" s="1"/>
  <c r="X1457" i="16"/>
  <c r="AD1457" i="16" s="1"/>
  <c r="W1457" i="16"/>
  <c r="AC1457" i="16" s="1"/>
  <c r="V1457" i="16"/>
  <c r="AB1457" i="16" s="1"/>
  <c r="X1456" i="16"/>
  <c r="AD1456" i="16" s="1"/>
  <c r="W1456" i="16"/>
  <c r="AC1456" i="16" s="1"/>
  <c r="V1456" i="16"/>
  <c r="AB1456" i="16" s="1"/>
  <c r="X1455" i="16"/>
  <c r="AD1455" i="16" s="1"/>
  <c r="W1455" i="16"/>
  <c r="AC1455" i="16" s="1"/>
  <c r="V1455" i="16"/>
  <c r="AB1455" i="16" s="1"/>
  <c r="X1454" i="16"/>
  <c r="AD1454" i="16" s="1"/>
  <c r="W1454" i="16"/>
  <c r="AC1454" i="16" s="1"/>
  <c r="V1454" i="16"/>
  <c r="AB1454" i="16" s="1"/>
  <c r="X1453" i="16"/>
  <c r="AD1453" i="16" s="1"/>
  <c r="W1453" i="16"/>
  <c r="AC1453" i="16" s="1"/>
  <c r="V1453" i="16"/>
  <c r="AB1453" i="16" s="1"/>
  <c r="X1452" i="16"/>
  <c r="AD1452" i="16" s="1"/>
  <c r="W1452" i="16"/>
  <c r="AC1452" i="16" s="1"/>
  <c r="V1452" i="16"/>
  <c r="AB1452" i="16" s="1"/>
  <c r="X1451" i="16"/>
  <c r="AD1451" i="16" s="1"/>
  <c r="W1451" i="16"/>
  <c r="AC1451" i="16" s="1"/>
  <c r="V1451" i="16"/>
  <c r="AB1451" i="16" s="1"/>
  <c r="X1450" i="16"/>
  <c r="AD1450" i="16" s="1"/>
  <c r="W1450" i="16"/>
  <c r="AC1450" i="16" s="1"/>
  <c r="V1450" i="16"/>
  <c r="AB1450" i="16" s="1"/>
  <c r="X1449" i="16"/>
  <c r="AD1449" i="16" s="1"/>
  <c r="W1449" i="16"/>
  <c r="AC1449" i="16" s="1"/>
  <c r="V1449" i="16"/>
  <c r="AB1449" i="16" s="1"/>
  <c r="X1448" i="16"/>
  <c r="AD1448" i="16" s="1"/>
  <c r="W1448" i="16"/>
  <c r="AC1448" i="16" s="1"/>
  <c r="V1448" i="16"/>
  <c r="AB1448" i="16" s="1"/>
  <c r="X1447" i="16"/>
  <c r="AD1447" i="16" s="1"/>
  <c r="W1447" i="16"/>
  <c r="AC1447" i="16" s="1"/>
  <c r="V1447" i="16"/>
  <c r="AB1447" i="16" s="1"/>
  <c r="X1446" i="16"/>
  <c r="AD1446" i="16" s="1"/>
  <c r="W1446" i="16"/>
  <c r="AC1446" i="16" s="1"/>
  <c r="V1446" i="16"/>
  <c r="AB1446" i="16" s="1"/>
  <c r="X1445" i="16"/>
  <c r="AD1445" i="16" s="1"/>
  <c r="W1445" i="16"/>
  <c r="AC1445" i="16" s="1"/>
  <c r="V1445" i="16"/>
  <c r="AB1445" i="16" s="1"/>
  <c r="X1444" i="16"/>
  <c r="AD1444" i="16" s="1"/>
  <c r="W1444" i="16"/>
  <c r="AC1444" i="16" s="1"/>
  <c r="V1444" i="16"/>
  <c r="AB1444" i="16" s="1"/>
  <c r="X1443" i="16"/>
  <c r="AD1443" i="16" s="1"/>
  <c r="W1443" i="16"/>
  <c r="AC1443" i="16" s="1"/>
  <c r="V1443" i="16"/>
  <c r="AB1443" i="16" s="1"/>
  <c r="X1442" i="16"/>
  <c r="AD1442" i="16" s="1"/>
  <c r="W1442" i="16"/>
  <c r="AC1442" i="16" s="1"/>
  <c r="V1442" i="16"/>
  <c r="AB1442" i="16" s="1"/>
  <c r="X1441" i="16"/>
  <c r="AD1441" i="16" s="1"/>
  <c r="W1441" i="16"/>
  <c r="AC1441" i="16" s="1"/>
  <c r="V1441" i="16"/>
  <c r="AB1441" i="16" s="1"/>
  <c r="X1440" i="16"/>
  <c r="AD1440" i="16" s="1"/>
  <c r="W1440" i="16"/>
  <c r="AC1440" i="16" s="1"/>
  <c r="V1440" i="16"/>
  <c r="AB1440" i="16" s="1"/>
  <c r="X1439" i="16"/>
  <c r="AD1439" i="16" s="1"/>
  <c r="W1439" i="16"/>
  <c r="AC1439" i="16" s="1"/>
  <c r="V1439" i="16"/>
  <c r="AB1439" i="16" s="1"/>
  <c r="X1438" i="16"/>
  <c r="AD1438" i="16" s="1"/>
  <c r="W1438" i="16"/>
  <c r="AC1438" i="16" s="1"/>
  <c r="V1438" i="16"/>
  <c r="AB1438" i="16" s="1"/>
  <c r="X1437" i="16"/>
  <c r="AD1437" i="16" s="1"/>
  <c r="W1437" i="16"/>
  <c r="AC1437" i="16" s="1"/>
  <c r="V1437" i="16"/>
  <c r="AB1437" i="16" s="1"/>
  <c r="X1436" i="16"/>
  <c r="AD1436" i="16" s="1"/>
  <c r="W1436" i="16"/>
  <c r="AC1436" i="16" s="1"/>
  <c r="V1436" i="16"/>
  <c r="AB1436" i="16" s="1"/>
  <c r="X1435" i="16"/>
  <c r="AD1435" i="16" s="1"/>
  <c r="W1435" i="16"/>
  <c r="AC1435" i="16" s="1"/>
  <c r="V1435" i="16"/>
  <c r="AB1435" i="16" s="1"/>
  <c r="X1434" i="16"/>
  <c r="AD1434" i="16" s="1"/>
  <c r="W1434" i="16"/>
  <c r="AC1434" i="16" s="1"/>
  <c r="V1434" i="16"/>
  <c r="AB1434" i="16" s="1"/>
  <c r="X1433" i="16"/>
  <c r="AD1433" i="16" s="1"/>
  <c r="W1433" i="16"/>
  <c r="AC1433" i="16" s="1"/>
  <c r="V1433" i="16"/>
  <c r="AB1433" i="16" s="1"/>
  <c r="X1432" i="16"/>
  <c r="AD1432" i="16" s="1"/>
  <c r="W1432" i="16"/>
  <c r="AC1432" i="16" s="1"/>
  <c r="V1432" i="16"/>
  <c r="AB1432" i="16" s="1"/>
  <c r="X1431" i="16"/>
  <c r="AD1431" i="16" s="1"/>
  <c r="W1431" i="16"/>
  <c r="AC1431" i="16" s="1"/>
  <c r="V1431" i="16"/>
  <c r="AB1431" i="16" s="1"/>
  <c r="X1430" i="16"/>
  <c r="AD1430" i="16" s="1"/>
  <c r="W1430" i="16"/>
  <c r="AC1430" i="16" s="1"/>
  <c r="V1430" i="16"/>
  <c r="AB1430" i="16" s="1"/>
  <c r="X1429" i="16"/>
  <c r="AD1429" i="16" s="1"/>
  <c r="W1429" i="16"/>
  <c r="AC1429" i="16" s="1"/>
  <c r="V1429" i="16"/>
  <c r="AB1429" i="16" s="1"/>
  <c r="X1428" i="16"/>
  <c r="AD1428" i="16" s="1"/>
  <c r="W1428" i="16"/>
  <c r="AC1428" i="16" s="1"/>
  <c r="V1428" i="16"/>
  <c r="AB1428" i="16" s="1"/>
  <c r="X1427" i="16"/>
  <c r="AD1427" i="16" s="1"/>
  <c r="W1427" i="16"/>
  <c r="AC1427" i="16" s="1"/>
  <c r="V1427" i="16"/>
  <c r="AB1427" i="16" s="1"/>
  <c r="X1426" i="16"/>
  <c r="AD1426" i="16" s="1"/>
  <c r="W1426" i="16"/>
  <c r="AC1426" i="16" s="1"/>
  <c r="V1426" i="16"/>
  <c r="AB1426" i="16" s="1"/>
  <c r="X1425" i="16"/>
  <c r="AD1425" i="16" s="1"/>
  <c r="W1425" i="16"/>
  <c r="AC1425" i="16" s="1"/>
  <c r="V1425" i="16"/>
  <c r="AB1425" i="16" s="1"/>
  <c r="X1424" i="16"/>
  <c r="AD1424" i="16" s="1"/>
  <c r="W1424" i="16"/>
  <c r="AC1424" i="16" s="1"/>
  <c r="V1424" i="16"/>
  <c r="AB1424" i="16" s="1"/>
  <c r="X1423" i="16"/>
  <c r="AD1423" i="16" s="1"/>
  <c r="W1423" i="16"/>
  <c r="AC1423" i="16" s="1"/>
  <c r="V1423" i="16"/>
  <c r="AB1423" i="16" s="1"/>
  <c r="X1422" i="16"/>
  <c r="AD1422" i="16" s="1"/>
  <c r="W1422" i="16"/>
  <c r="AC1422" i="16" s="1"/>
  <c r="V1422" i="16"/>
  <c r="AB1422" i="16" s="1"/>
  <c r="X1421" i="16"/>
  <c r="AD1421" i="16" s="1"/>
  <c r="W1421" i="16"/>
  <c r="AC1421" i="16" s="1"/>
  <c r="V1421" i="16"/>
  <c r="AB1421" i="16" s="1"/>
  <c r="X1420" i="16"/>
  <c r="AD1420" i="16" s="1"/>
  <c r="W1420" i="16"/>
  <c r="AC1420" i="16" s="1"/>
  <c r="V1420" i="16"/>
  <c r="AB1420" i="16" s="1"/>
  <c r="X1419" i="16"/>
  <c r="AD1419" i="16" s="1"/>
  <c r="W1419" i="16"/>
  <c r="AC1419" i="16" s="1"/>
  <c r="V1419" i="16"/>
  <c r="AB1419" i="16" s="1"/>
  <c r="X1418" i="16"/>
  <c r="AD1418" i="16" s="1"/>
  <c r="W1418" i="16"/>
  <c r="AC1418" i="16" s="1"/>
  <c r="V1418" i="16"/>
  <c r="AB1418" i="16" s="1"/>
  <c r="X1417" i="16"/>
  <c r="AD1417" i="16" s="1"/>
  <c r="W1417" i="16"/>
  <c r="AC1417" i="16" s="1"/>
  <c r="V1417" i="16"/>
  <c r="AB1417" i="16" s="1"/>
  <c r="X1416" i="16"/>
  <c r="AD1416" i="16" s="1"/>
  <c r="W1416" i="16"/>
  <c r="AC1416" i="16" s="1"/>
  <c r="V1416" i="16"/>
  <c r="AB1416" i="16" s="1"/>
  <c r="X1415" i="16"/>
  <c r="AD1415" i="16" s="1"/>
  <c r="W1415" i="16"/>
  <c r="AC1415" i="16" s="1"/>
  <c r="V1415" i="16"/>
  <c r="AB1415" i="16" s="1"/>
  <c r="X1414" i="16"/>
  <c r="AD1414" i="16" s="1"/>
  <c r="W1414" i="16"/>
  <c r="AC1414" i="16" s="1"/>
  <c r="V1414" i="16"/>
  <c r="AB1414" i="16" s="1"/>
  <c r="X1413" i="16"/>
  <c r="AD1413" i="16" s="1"/>
  <c r="W1413" i="16"/>
  <c r="AC1413" i="16" s="1"/>
  <c r="V1413" i="16"/>
  <c r="AB1413" i="16" s="1"/>
  <c r="X1412" i="16"/>
  <c r="AD1412" i="16" s="1"/>
  <c r="W1412" i="16"/>
  <c r="AC1412" i="16" s="1"/>
  <c r="V1412" i="16"/>
  <c r="AB1412" i="16" s="1"/>
  <c r="X1411" i="16"/>
  <c r="AD1411" i="16" s="1"/>
  <c r="W1411" i="16"/>
  <c r="AC1411" i="16" s="1"/>
  <c r="V1411" i="16"/>
  <c r="AB1411" i="16" s="1"/>
  <c r="X1410" i="16"/>
  <c r="AD1410" i="16" s="1"/>
  <c r="W1410" i="16"/>
  <c r="AC1410" i="16" s="1"/>
  <c r="V1410" i="16"/>
  <c r="AB1410" i="16" s="1"/>
  <c r="X1409" i="16"/>
  <c r="AD1409" i="16" s="1"/>
  <c r="W1409" i="16"/>
  <c r="AC1409" i="16" s="1"/>
  <c r="V1409" i="16"/>
  <c r="AB1409" i="16" s="1"/>
  <c r="X1408" i="16"/>
  <c r="AD1408" i="16" s="1"/>
  <c r="W1408" i="16"/>
  <c r="AC1408" i="16" s="1"/>
  <c r="V1408" i="16"/>
  <c r="AB1408" i="16" s="1"/>
  <c r="X1407" i="16"/>
  <c r="AD1407" i="16" s="1"/>
  <c r="W1407" i="16"/>
  <c r="AC1407" i="16" s="1"/>
  <c r="V1407" i="16"/>
  <c r="AB1407" i="16" s="1"/>
  <c r="X1406" i="16"/>
  <c r="AD1406" i="16" s="1"/>
  <c r="W1406" i="16"/>
  <c r="AC1406" i="16" s="1"/>
  <c r="V1406" i="16"/>
  <c r="AB1406" i="16" s="1"/>
  <c r="X1405" i="16"/>
  <c r="AD1405" i="16" s="1"/>
  <c r="W1405" i="16"/>
  <c r="AC1405" i="16" s="1"/>
  <c r="V1405" i="16"/>
  <c r="AB1405" i="16" s="1"/>
  <c r="X1404" i="16"/>
  <c r="AD1404" i="16" s="1"/>
  <c r="W1404" i="16"/>
  <c r="AC1404" i="16" s="1"/>
  <c r="V1404" i="16"/>
  <c r="AB1404" i="16" s="1"/>
  <c r="X1403" i="16"/>
  <c r="AD1403" i="16" s="1"/>
  <c r="W1403" i="16"/>
  <c r="AC1403" i="16" s="1"/>
  <c r="V1403" i="16"/>
  <c r="AB1403" i="16" s="1"/>
  <c r="X1402" i="16"/>
  <c r="AD1402" i="16" s="1"/>
  <c r="W1402" i="16"/>
  <c r="AC1402" i="16" s="1"/>
  <c r="V1402" i="16"/>
  <c r="AB1402" i="16" s="1"/>
  <c r="X1401" i="16"/>
  <c r="AD1401" i="16" s="1"/>
  <c r="W1401" i="16"/>
  <c r="AC1401" i="16" s="1"/>
  <c r="V1401" i="16"/>
  <c r="AB1401" i="16" s="1"/>
  <c r="X1400" i="16"/>
  <c r="AD1400" i="16" s="1"/>
  <c r="W1400" i="16"/>
  <c r="AC1400" i="16" s="1"/>
  <c r="V1400" i="16"/>
  <c r="AB1400" i="16" s="1"/>
  <c r="X1399" i="16"/>
  <c r="AD1399" i="16" s="1"/>
  <c r="W1399" i="16"/>
  <c r="AC1399" i="16" s="1"/>
  <c r="V1399" i="16"/>
  <c r="AB1399" i="16" s="1"/>
  <c r="X1398" i="16"/>
  <c r="AD1398" i="16" s="1"/>
  <c r="W1398" i="16"/>
  <c r="AC1398" i="16" s="1"/>
  <c r="V1398" i="16"/>
  <c r="AB1398" i="16" s="1"/>
  <c r="X1397" i="16"/>
  <c r="AD1397" i="16" s="1"/>
  <c r="W1397" i="16"/>
  <c r="AC1397" i="16" s="1"/>
  <c r="V1397" i="16"/>
  <c r="AB1397" i="16" s="1"/>
  <c r="X1396" i="16"/>
  <c r="AD1396" i="16" s="1"/>
  <c r="W1396" i="16"/>
  <c r="AC1396" i="16" s="1"/>
  <c r="V1396" i="16"/>
  <c r="AB1396" i="16" s="1"/>
  <c r="X1395" i="16"/>
  <c r="AD1395" i="16" s="1"/>
  <c r="W1395" i="16"/>
  <c r="AC1395" i="16" s="1"/>
  <c r="V1395" i="16"/>
  <c r="AB1395" i="16" s="1"/>
  <c r="X1394" i="16"/>
  <c r="AD1394" i="16" s="1"/>
  <c r="W1394" i="16"/>
  <c r="AC1394" i="16" s="1"/>
  <c r="V1394" i="16"/>
  <c r="AB1394" i="16" s="1"/>
  <c r="X1393" i="16"/>
  <c r="AD1393" i="16" s="1"/>
  <c r="W1393" i="16"/>
  <c r="AC1393" i="16" s="1"/>
  <c r="V1393" i="16"/>
  <c r="AB1393" i="16" s="1"/>
  <c r="X1392" i="16"/>
  <c r="AD1392" i="16" s="1"/>
  <c r="W1392" i="16"/>
  <c r="AC1392" i="16" s="1"/>
  <c r="V1392" i="16"/>
  <c r="AB1392" i="16" s="1"/>
  <c r="X1391" i="16"/>
  <c r="AD1391" i="16" s="1"/>
  <c r="W1391" i="16"/>
  <c r="AC1391" i="16" s="1"/>
  <c r="V1391" i="16"/>
  <c r="AB1391" i="16" s="1"/>
  <c r="X1390" i="16"/>
  <c r="AD1390" i="16" s="1"/>
  <c r="W1390" i="16"/>
  <c r="AC1390" i="16" s="1"/>
  <c r="V1390" i="16"/>
  <c r="AB1390" i="16" s="1"/>
  <c r="X1389" i="16"/>
  <c r="AD1389" i="16" s="1"/>
  <c r="W1389" i="16"/>
  <c r="AC1389" i="16" s="1"/>
  <c r="V1389" i="16"/>
  <c r="AB1389" i="16" s="1"/>
  <c r="X1388" i="16"/>
  <c r="AD1388" i="16" s="1"/>
  <c r="W1388" i="16"/>
  <c r="AC1388" i="16" s="1"/>
  <c r="V1388" i="16"/>
  <c r="AB1388" i="16" s="1"/>
  <c r="X1387" i="16"/>
  <c r="AD1387" i="16" s="1"/>
  <c r="W1387" i="16"/>
  <c r="AC1387" i="16" s="1"/>
  <c r="V1387" i="16"/>
  <c r="AB1387" i="16" s="1"/>
  <c r="X1386" i="16"/>
  <c r="AD1386" i="16" s="1"/>
  <c r="W1386" i="16"/>
  <c r="AC1386" i="16" s="1"/>
  <c r="V1386" i="16"/>
  <c r="AB1386" i="16" s="1"/>
  <c r="X1385" i="16"/>
  <c r="AD1385" i="16" s="1"/>
  <c r="W1385" i="16"/>
  <c r="AC1385" i="16" s="1"/>
  <c r="V1385" i="16"/>
  <c r="AB1385" i="16" s="1"/>
  <c r="X1384" i="16"/>
  <c r="AD1384" i="16" s="1"/>
  <c r="W1384" i="16"/>
  <c r="AC1384" i="16" s="1"/>
  <c r="V1384" i="16"/>
  <c r="AB1384" i="16" s="1"/>
  <c r="X1383" i="16"/>
  <c r="AD1383" i="16" s="1"/>
  <c r="W1383" i="16"/>
  <c r="AC1383" i="16" s="1"/>
  <c r="V1383" i="16"/>
  <c r="AB1383" i="16" s="1"/>
  <c r="X1382" i="16"/>
  <c r="AD1382" i="16" s="1"/>
  <c r="W1382" i="16"/>
  <c r="AC1382" i="16" s="1"/>
  <c r="V1382" i="16"/>
  <c r="AB1382" i="16" s="1"/>
  <c r="X1381" i="16"/>
  <c r="AD1381" i="16" s="1"/>
  <c r="W1381" i="16"/>
  <c r="AC1381" i="16" s="1"/>
  <c r="V1381" i="16"/>
  <c r="AB1381" i="16" s="1"/>
  <c r="X1380" i="16"/>
  <c r="AD1380" i="16" s="1"/>
  <c r="W1380" i="16"/>
  <c r="AC1380" i="16" s="1"/>
  <c r="V1380" i="16"/>
  <c r="AB1380" i="16" s="1"/>
  <c r="X1379" i="16"/>
  <c r="AD1379" i="16" s="1"/>
  <c r="W1379" i="16"/>
  <c r="AC1379" i="16" s="1"/>
  <c r="V1379" i="16"/>
  <c r="AB1379" i="16" s="1"/>
  <c r="X1378" i="16"/>
  <c r="AD1378" i="16" s="1"/>
  <c r="W1378" i="16"/>
  <c r="AC1378" i="16" s="1"/>
  <c r="V1378" i="16"/>
  <c r="AB1378" i="16" s="1"/>
  <c r="X1377" i="16"/>
  <c r="AD1377" i="16" s="1"/>
  <c r="W1377" i="16"/>
  <c r="AC1377" i="16" s="1"/>
  <c r="V1377" i="16"/>
  <c r="AB1377" i="16" s="1"/>
  <c r="X1376" i="16"/>
  <c r="AD1376" i="16" s="1"/>
  <c r="W1376" i="16"/>
  <c r="AC1376" i="16" s="1"/>
  <c r="V1376" i="16"/>
  <c r="AB1376" i="16" s="1"/>
  <c r="X1375" i="16"/>
  <c r="AD1375" i="16" s="1"/>
  <c r="W1375" i="16"/>
  <c r="AC1375" i="16" s="1"/>
  <c r="V1375" i="16"/>
  <c r="AB1375" i="16" s="1"/>
  <c r="X1374" i="16"/>
  <c r="AD1374" i="16" s="1"/>
  <c r="W1374" i="16"/>
  <c r="AC1374" i="16" s="1"/>
  <c r="V1374" i="16"/>
  <c r="AB1374" i="16" s="1"/>
  <c r="X1373" i="16"/>
  <c r="AD1373" i="16" s="1"/>
  <c r="W1373" i="16"/>
  <c r="AC1373" i="16" s="1"/>
  <c r="V1373" i="16"/>
  <c r="AB1373" i="16" s="1"/>
  <c r="X1372" i="16"/>
  <c r="AD1372" i="16" s="1"/>
  <c r="W1372" i="16"/>
  <c r="AC1372" i="16" s="1"/>
  <c r="V1372" i="16"/>
  <c r="AB1372" i="16" s="1"/>
  <c r="X1371" i="16"/>
  <c r="AD1371" i="16" s="1"/>
  <c r="W1371" i="16"/>
  <c r="AC1371" i="16" s="1"/>
  <c r="V1371" i="16"/>
  <c r="AB1371" i="16" s="1"/>
  <c r="X1370" i="16"/>
  <c r="AD1370" i="16" s="1"/>
  <c r="W1370" i="16"/>
  <c r="AC1370" i="16" s="1"/>
  <c r="V1370" i="16"/>
  <c r="AB1370" i="16" s="1"/>
  <c r="X1369" i="16"/>
  <c r="AD1369" i="16" s="1"/>
  <c r="W1369" i="16"/>
  <c r="AC1369" i="16" s="1"/>
  <c r="V1369" i="16"/>
  <c r="AB1369" i="16" s="1"/>
  <c r="X1368" i="16"/>
  <c r="AD1368" i="16" s="1"/>
  <c r="W1368" i="16"/>
  <c r="AC1368" i="16" s="1"/>
  <c r="V1368" i="16"/>
  <c r="AB1368" i="16" s="1"/>
  <c r="X1367" i="16"/>
  <c r="AD1367" i="16" s="1"/>
  <c r="W1367" i="16"/>
  <c r="AC1367" i="16" s="1"/>
  <c r="V1367" i="16"/>
  <c r="AB1367" i="16" s="1"/>
  <c r="X1366" i="16"/>
  <c r="AD1366" i="16" s="1"/>
  <c r="W1366" i="16"/>
  <c r="AC1366" i="16" s="1"/>
  <c r="V1366" i="16"/>
  <c r="AB1366" i="16" s="1"/>
  <c r="X1365" i="16"/>
  <c r="AD1365" i="16" s="1"/>
  <c r="W1365" i="16"/>
  <c r="AC1365" i="16" s="1"/>
  <c r="V1365" i="16"/>
  <c r="AB1365" i="16" s="1"/>
  <c r="X1364" i="16"/>
  <c r="AD1364" i="16" s="1"/>
  <c r="W1364" i="16"/>
  <c r="AC1364" i="16" s="1"/>
  <c r="V1364" i="16"/>
  <c r="AB1364" i="16" s="1"/>
  <c r="X1363" i="16"/>
  <c r="AD1363" i="16" s="1"/>
  <c r="W1363" i="16"/>
  <c r="AC1363" i="16" s="1"/>
  <c r="V1363" i="16"/>
  <c r="AB1363" i="16" s="1"/>
  <c r="X1362" i="16"/>
  <c r="AD1362" i="16" s="1"/>
  <c r="W1362" i="16"/>
  <c r="AC1362" i="16" s="1"/>
  <c r="V1362" i="16"/>
  <c r="AB1362" i="16" s="1"/>
  <c r="X1361" i="16"/>
  <c r="AD1361" i="16" s="1"/>
  <c r="W1361" i="16"/>
  <c r="AC1361" i="16" s="1"/>
  <c r="V1361" i="16"/>
  <c r="AB1361" i="16" s="1"/>
  <c r="X1360" i="16"/>
  <c r="AD1360" i="16" s="1"/>
  <c r="W1360" i="16"/>
  <c r="AC1360" i="16" s="1"/>
  <c r="V1360" i="16"/>
  <c r="AB1360" i="16" s="1"/>
  <c r="X1359" i="16"/>
  <c r="AD1359" i="16" s="1"/>
  <c r="W1359" i="16"/>
  <c r="AC1359" i="16" s="1"/>
  <c r="V1359" i="16"/>
  <c r="AB1359" i="16" s="1"/>
  <c r="X1358" i="16"/>
  <c r="AD1358" i="16" s="1"/>
  <c r="W1358" i="16"/>
  <c r="AC1358" i="16" s="1"/>
  <c r="V1358" i="16"/>
  <c r="AB1358" i="16" s="1"/>
  <c r="X1357" i="16"/>
  <c r="AD1357" i="16" s="1"/>
  <c r="W1357" i="16"/>
  <c r="AC1357" i="16" s="1"/>
  <c r="V1357" i="16"/>
  <c r="AB1357" i="16" s="1"/>
  <c r="X1356" i="16"/>
  <c r="AD1356" i="16" s="1"/>
  <c r="W1356" i="16"/>
  <c r="AC1356" i="16" s="1"/>
  <c r="V1356" i="16"/>
  <c r="AB1356" i="16" s="1"/>
  <c r="X1355" i="16"/>
  <c r="AD1355" i="16" s="1"/>
  <c r="W1355" i="16"/>
  <c r="AC1355" i="16" s="1"/>
  <c r="V1355" i="16"/>
  <c r="AB1355" i="16" s="1"/>
  <c r="X1354" i="16"/>
  <c r="AD1354" i="16" s="1"/>
  <c r="W1354" i="16"/>
  <c r="AC1354" i="16" s="1"/>
  <c r="V1354" i="16"/>
  <c r="AB1354" i="16" s="1"/>
  <c r="X1353" i="16"/>
  <c r="AD1353" i="16" s="1"/>
  <c r="W1353" i="16"/>
  <c r="AC1353" i="16" s="1"/>
  <c r="V1353" i="16"/>
  <c r="AB1353" i="16" s="1"/>
  <c r="X1352" i="16"/>
  <c r="AD1352" i="16" s="1"/>
  <c r="W1352" i="16"/>
  <c r="AC1352" i="16" s="1"/>
  <c r="V1352" i="16"/>
  <c r="AB1352" i="16" s="1"/>
  <c r="X1351" i="16"/>
  <c r="AD1351" i="16" s="1"/>
  <c r="W1351" i="16"/>
  <c r="AC1351" i="16" s="1"/>
  <c r="V1351" i="16"/>
  <c r="AB1351" i="16" s="1"/>
  <c r="X1350" i="16"/>
  <c r="AD1350" i="16" s="1"/>
  <c r="W1350" i="16"/>
  <c r="AC1350" i="16" s="1"/>
  <c r="V1350" i="16"/>
  <c r="AB1350" i="16" s="1"/>
  <c r="X1349" i="16"/>
  <c r="AD1349" i="16" s="1"/>
  <c r="W1349" i="16"/>
  <c r="AC1349" i="16" s="1"/>
  <c r="V1349" i="16"/>
  <c r="AB1349" i="16" s="1"/>
  <c r="X1348" i="16"/>
  <c r="AD1348" i="16" s="1"/>
  <c r="W1348" i="16"/>
  <c r="AC1348" i="16" s="1"/>
  <c r="V1348" i="16"/>
  <c r="AB1348" i="16" s="1"/>
  <c r="X1347" i="16"/>
  <c r="AD1347" i="16" s="1"/>
  <c r="W1347" i="16"/>
  <c r="AC1347" i="16" s="1"/>
  <c r="V1347" i="16"/>
  <c r="AB1347" i="16" s="1"/>
  <c r="X1346" i="16"/>
  <c r="AD1346" i="16" s="1"/>
  <c r="W1346" i="16"/>
  <c r="AC1346" i="16" s="1"/>
  <c r="V1346" i="16"/>
  <c r="AB1346" i="16" s="1"/>
  <c r="X1345" i="16"/>
  <c r="AD1345" i="16" s="1"/>
  <c r="W1345" i="16"/>
  <c r="AC1345" i="16" s="1"/>
  <c r="V1345" i="16"/>
  <c r="AB1345" i="16" s="1"/>
  <c r="X1344" i="16"/>
  <c r="AD1344" i="16" s="1"/>
  <c r="W1344" i="16"/>
  <c r="AC1344" i="16" s="1"/>
  <c r="V1344" i="16"/>
  <c r="AB1344" i="16" s="1"/>
  <c r="X1343" i="16"/>
  <c r="AD1343" i="16" s="1"/>
  <c r="W1343" i="16"/>
  <c r="AC1343" i="16" s="1"/>
  <c r="V1343" i="16"/>
  <c r="AB1343" i="16" s="1"/>
  <c r="X1342" i="16"/>
  <c r="AD1342" i="16" s="1"/>
  <c r="W1342" i="16"/>
  <c r="AC1342" i="16" s="1"/>
  <c r="V1342" i="16"/>
  <c r="AB1342" i="16" s="1"/>
  <c r="X1341" i="16"/>
  <c r="AD1341" i="16" s="1"/>
  <c r="W1341" i="16"/>
  <c r="AC1341" i="16" s="1"/>
  <c r="V1341" i="16"/>
  <c r="AB1341" i="16" s="1"/>
  <c r="X1340" i="16"/>
  <c r="AD1340" i="16" s="1"/>
  <c r="W1340" i="16"/>
  <c r="AC1340" i="16" s="1"/>
  <c r="V1340" i="16"/>
  <c r="AB1340" i="16" s="1"/>
  <c r="X1339" i="16"/>
  <c r="AD1339" i="16" s="1"/>
  <c r="W1339" i="16"/>
  <c r="AC1339" i="16" s="1"/>
  <c r="V1339" i="16"/>
  <c r="AB1339" i="16" s="1"/>
  <c r="X1338" i="16"/>
  <c r="AD1338" i="16" s="1"/>
  <c r="W1338" i="16"/>
  <c r="AC1338" i="16" s="1"/>
  <c r="V1338" i="16"/>
  <c r="AB1338" i="16" s="1"/>
  <c r="X1337" i="16"/>
  <c r="AD1337" i="16" s="1"/>
  <c r="W1337" i="16"/>
  <c r="AC1337" i="16" s="1"/>
  <c r="V1337" i="16"/>
  <c r="AB1337" i="16" s="1"/>
  <c r="X1336" i="16"/>
  <c r="AD1336" i="16" s="1"/>
  <c r="W1336" i="16"/>
  <c r="AC1336" i="16" s="1"/>
  <c r="V1336" i="16"/>
  <c r="AB1336" i="16" s="1"/>
  <c r="X1335" i="16"/>
  <c r="AD1335" i="16" s="1"/>
  <c r="W1335" i="16"/>
  <c r="AC1335" i="16" s="1"/>
  <c r="V1335" i="16"/>
  <c r="AB1335" i="16" s="1"/>
  <c r="X1334" i="16"/>
  <c r="AD1334" i="16" s="1"/>
  <c r="W1334" i="16"/>
  <c r="AC1334" i="16" s="1"/>
  <c r="V1334" i="16"/>
  <c r="AB1334" i="16" s="1"/>
  <c r="X1333" i="16"/>
  <c r="AD1333" i="16" s="1"/>
  <c r="W1333" i="16"/>
  <c r="AC1333" i="16" s="1"/>
  <c r="V1333" i="16"/>
  <c r="AB1333" i="16" s="1"/>
  <c r="X1332" i="16"/>
  <c r="AD1332" i="16" s="1"/>
  <c r="W1332" i="16"/>
  <c r="AC1332" i="16" s="1"/>
  <c r="V1332" i="16"/>
  <c r="AB1332" i="16" s="1"/>
  <c r="X1331" i="16"/>
  <c r="AD1331" i="16" s="1"/>
  <c r="W1331" i="16"/>
  <c r="AC1331" i="16" s="1"/>
  <c r="V1331" i="16"/>
  <c r="AB1331" i="16" s="1"/>
  <c r="X1330" i="16"/>
  <c r="AD1330" i="16" s="1"/>
  <c r="W1330" i="16"/>
  <c r="AC1330" i="16" s="1"/>
  <c r="V1330" i="16"/>
  <c r="AB1330" i="16" s="1"/>
  <c r="X1329" i="16"/>
  <c r="AD1329" i="16" s="1"/>
  <c r="W1329" i="16"/>
  <c r="AC1329" i="16" s="1"/>
  <c r="V1329" i="16"/>
  <c r="AB1329" i="16" s="1"/>
  <c r="X1328" i="16"/>
  <c r="AD1328" i="16" s="1"/>
  <c r="W1328" i="16"/>
  <c r="AC1328" i="16" s="1"/>
  <c r="V1328" i="16"/>
  <c r="AB1328" i="16" s="1"/>
  <c r="X1327" i="16"/>
  <c r="AD1327" i="16" s="1"/>
  <c r="W1327" i="16"/>
  <c r="AC1327" i="16" s="1"/>
  <c r="V1327" i="16"/>
  <c r="AB1327" i="16" s="1"/>
  <c r="X1326" i="16"/>
  <c r="AD1326" i="16" s="1"/>
  <c r="W1326" i="16"/>
  <c r="AC1326" i="16" s="1"/>
  <c r="V1326" i="16"/>
  <c r="AB1326" i="16" s="1"/>
  <c r="X1325" i="16"/>
  <c r="AD1325" i="16" s="1"/>
  <c r="W1325" i="16"/>
  <c r="AC1325" i="16" s="1"/>
  <c r="V1325" i="16"/>
  <c r="AB1325" i="16" s="1"/>
  <c r="X1324" i="16"/>
  <c r="AD1324" i="16" s="1"/>
  <c r="W1324" i="16"/>
  <c r="AC1324" i="16" s="1"/>
  <c r="V1324" i="16"/>
  <c r="AB1324" i="16" s="1"/>
  <c r="X1323" i="16"/>
  <c r="AD1323" i="16" s="1"/>
  <c r="W1323" i="16"/>
  <c r="AC1323" i="16" s="1"/>
  <c r="V1323" i="16"/>
  <c r="AB1323" i="16" s="1"/>
  <c r="X1322" i="16"/>
  <c r="AD1322" i="16" s="1"/>
  <c r="W1322" i="16"/>
  <c r="AC1322" i="16" s="1"/>
  <c r="V1322" i="16"/>
  <c r="AB1322" i="16" s="1"/>
  <c r="X1321" i="16"/>
  <c r="AD1321" i="16" s="1"/>
  <c r="W1321" i="16"/>
  <c r="AC1321" i="16" s="1"/>
  <c r="V1321" i="16"/>
  <c r="AB1321" i="16" s="1"/>
  <c r="X1320" i="16"/>
  <c r="AD1320" i="16" s="1"/>
  <c r="W1320" i="16"/>
  <c r="AC1320" i="16" s="1"/>
  <c r="V1320" i="16"/>
  <c r="AB1320" i="16" s="1"/>
  <c r="X1319" i="16"/>
  <c r="AD1319" i="16" s="1"/>
  <c r="W1319" i="16"/>
  <c r="AC1319" i="16" s="1"/>
  <c r="V1319" i="16"/>
  <c r="AB1319" i="16" s="1"/>
  <c r="X1318" i="16"/>
  <c r="AD1318" i="16" s="1"/>
  <c r="W1318" i="16"/>
  <c r="AC1318" i="16" s="1"/>
  <c r="V1318" i="16"/>
  <c r="AB1318" i="16" s="1"/>
  <c r="X1317" i="16"/>
  <c r="AD1317" i="16" s="1"/>
  <c r="W1317" i="16"/>
  <c r="AC1317" i="16" s="1"/>
  <c r="V1317" i="16"/>
  <c r="AB1317" i="16" s="1"/>
  <c r="X1316" i="16"/>
  <c r="AD1316" i="16" s="1"/>
  <c r="W1316" i="16"/>
  <c r="AC1316" i="16" s="1"/>
  <c r="V1316" i="16"/>
  <c r="AB1316" i="16" s="1"/>
  <c r="X1315" i="16"/>
  <c r="AD1315" i="16" s="1"/>
  <c r="W1315" i="16"/>
  <c r="AC1315" i="16" s="1"/>
  <c r="V1315" i="16"/>
  <c r="AB1315" i="16" s="1"/>
  <c r="X1314" i="16"/>
  <c r="AD1314" i="16" s="1"/>
  <c r="W1314" i="16"/>
  <c r="AC1314" i="16" s="1"/>
  <c r="V1314" i="16"/>
  <c r="AB1314" i="16" s="1"/>
  <c r="X1313" i="16"/>
  <c r="AD1313" i="16" s="1"/>
  <c r="W1313" i="16"/>
  <c r="AC1313" i="16" s="1"/>
  <c r="V1313" i="16"/>
  <c r="AB1313" i="16" s="1"/>
  <c r="X1312" i="16"/>
  <c r="AD1312" i="16" s="1"/>
  <c r="W1312" i="16"/>
  <c r="AC1312" i="16" s="1"/>
  <c r="V1312" i="16"/>
  <c r="AB1312" i="16" s="1"/>
  <c r="X1311" i="16"/>
  <c r="AD1311" i="16" s="1"/>
  <c r="W1311" i="16"/>
  <c r="AC1311" i="16" s="1"/>
  <c r="V1311" i="16"/>
  <c r="AB1311" i="16" s="1"/>
  <c r="X1310" i="16"/>
  <c r="AD1310" i="16" s="1"/>
  <c r="W1310" i="16"/>
  <c r="AC1310" i="16" s="1"/>
  <c r="V1310" i="16"/>
  <c r="AB1310" i="16" s="1"/>
  <c r="X1309" i="16"/>
  <c r="AD1309" i="16" s="1"/>
  <c r="W1309" i="16"/>
  <c r="AC1309" i="16" s="1"/>
  <c r="V1309" i="16"/>
  <c r="AB1309" i="16" s="1"/>
  <c r="X1308" i="16"/>
  <c r="AD1308" i="16" s="1"/>
  <c r="W1308" i="16"/>
  <c r="AC1308" i="16" s="1"/>
  <c r="V1308" i="16"/>
  <c r="AB1308" i="16" s="1"/>
  <c r="X1307" i="16"/>
  <c r="AD1307" i="16" s="1"/>
  <c r="W1307" i="16"/>
  <c r="AC1307" i="16" s="1"/>
  <c r="V1307" i="16"/>
  <c r="AB1307" i="16" s="1"/>
  <c r="X1306" i="16"/>
  <c r="AD1306" i="16" s="1"/>
  <c r="W1306" i="16"/>
  <c r="AC1306" i="16" s="1"/>
  <c r="V1306" i="16"/>
  <c r="AB1306" i="16" s="1"/>
  <c r="X1305" i="16"/>
  <c r="AD1305" i="16" s="1"/>
  <c r="W1305" i="16"/>
  <c r="AC1305" i="16" s="1"/>
  <c r="V1305" i="16"/>
  <c r="AB1305" i="16" s="1"/>
  <c r="X1304" i="16"/>
  <c r="AD1304" i="16" s="1"/>
  <c r="W1304" i="16"/>
  <c r="AC1304" i="16" s="1"/>
  <c r="V1304" i="16"/>
  <c r="AB1304" i="16" s="1"/>
  <c r="X1303" i="16"/>
  <c r="AD1303" i="16" s="1"/>
  <c r="W1303" i="16"/>
  <c r="AC1303" i="16" s="1"/>
  <c r="V1303" i="16"/>
  <c r="AB1303" i="16" s="1"/>
  <c r="X1302" i="16"/>
  <c r="AD1302" i="16" s="1"/>
  <c r="W1302" i="16"/>
  <c r="AC1302" i="16" s="1"/>
  <c r="V1302" i="16"/>
  <c r="AB1302" i="16" s="1"/>
  <c r="X1301" i="16"/>
  <c r="AD1301" i="16" s="1"/>
  <c r="W1301" i="16"/>
  <c r="AC1301" i="16" s="1"/>
  <c r="V1301" i="16"/>
  <c r="AB1301" i="16" s="1"/>
  <c r="X1300" i="16"/>
  <c r="AD1300" i="16" s="1"/>
  <c r="W1300" i="16"/>
  <c r="AC1300" i="16" s="1"/>
  <c r="V1300" i="16"/>
  <c r="AB1300" i="16" s="1"/>
  <c r="X1299" i="16"/>
  <c r="AD1299" i="16" s="1"/>
  <c r="W1299" i="16"/>
  <c r="AC1299" i="16" s="1"/>
  <c r="V1299" i="16"/>
  <c r="AB1299" i="16" s="1"/>
  <c r="X1298" i="16"/>
  <c r="AD1298" i="16" s="1"/>
  <c r="W1298" i="16"/>
  <c r="AC1298" i="16" s="1"/>
  <c r="V1298" i="16"/>
  <c r="AB1298" i="16" s="1"/>
  <c r="X1297" i="16"/>
  <c r="AD1297" i="16" s="1"/>
  <c r="W1297" i="16"/>
  <c r="AC1297" i="16" s="1"/>
  <c r="V1297" i="16"/>
  <c r="AB1297" i="16" s="1"/>
  <c r="X1296" i="16"/>
  <c r="AD1296" i="16" s="1"/>
  <c r="W1296" i="16"/>
  <c r="AC1296" i="16" s="1"/>
  <c r="V1296" i="16"/>
  <c r="AB1296" i="16" s="1"/>
  <c r="X1295" i="16"/>
  <c r="AD1295" i="16" s="1"/>
  <c r="W1295" i="16"/>
  <c r="AC1295" i="16" s="1"/>
  <c r="V1295" i="16"/>
  <c r="AB1295" i="16" s="1"/>
  <c r="X1294" i="16"/>
  <c r="AD1294" i="16" s="1"/>
  <c r="W1294" i="16"/>
  <c r="AC1294" i="16" s="1"/>
  <c r="V1294" i="16"/>
  <c r="AB1294" i="16" s="1"/>
  <c r="X1293" i="16"/>
  <c r="AD1293" i="16" s="1"/>
  <c r="W1293" i="16"/>
  <c r="AC1293" i="16" s="1"/>
  <c r="V1293" i="16"/>
  <c r="AB1293" i="16" s="1"/>
  <c r="X1292" i="16"/>
  <c r="AD1292" i="16" s="1"/>
  <c r="W1292" i="16"/>
  <c r="AC1292" i="16" s="1"/>
  <c r="V1292" i="16"/>
  <c r="AB1292" i="16" s="1"/>
  <c r="X1291" i="16"/>
  <c r="AD1291" i="16" s="1"/>
  <c r="W1291" i="16"/>
  <c r="AC1291" i="16" s="1"/>
  <c r="V1291" i="16"/>
  <c r="AB1291" i="16" s="1"/>
  <c r="X1290" i="16"/>
  <c r="AD1290" i="16" s="1"/>
  <c r="W1290" i="16"/>
  <c r="AC1290" i="16" s="1"/>
  <c r="V1290" i="16"/>
  <c r="AB1290" i="16" s="1"/>
  <c r="X1289" i="16"/>
  <c r="AD1289" i="16" s="1"/>
  <c r="W1289" i="16"/>
  <c r="AC1289" i="16" s="1"/>
  <c r="V1289" i="16"/>
  <c r="AB1289" i="16" s="1"/>
  <c r="X1288" i="16"/>
  <c r="AD1288" i="16" s="1"/>
  <c r="W1288" i="16"/>
  <c r="AC1288" i="16" s="1"/>
  <c r="V1288" i="16"/>
  <c r="AB1288" i="16" s="1"/>
  <c r="X1287" i="16"/>
  <c r="AD1287" i="16" s="1"/>
  <c r="W1287" i="16"/>
  <c r="AC1287" i="16" s="1"/>
  <c r="V1287" i="16"/>
  <c r="AB1287" i="16" s="1"/>
  <c r="X1286" i="16"/>
  <c r="AD1286" i="16" s="1"/>
  <c r="W1286" i="16"/>
  <c r="AC1286" i="16" s="1"/>
  <c r="V1286" i="16"/>
  <c r="AB1286" i="16" s="1"/>
  <c r="X1285" i="16"/>
  <c r="AD1285" i="16" s="1"/>
  <c r="W1285" i="16"/>
  <c r="AC1285" i="16" s="1"/>
  <c r="V1285" i="16"/>
  <c r="AB1285" i="16" s="1"/>
  <c r="X1284" i="16"/>
  <c r="AD1284" i="16" s="1"/>
  <c r="W1284" i="16"/>
  <c r="AC1284" i="16" s="1"/>
  <c r="V1284" i="16"/>
  <c r="AB1284" i="16" s="1"/>
  <c r="X1283" i="16"/>
  <c r="AD1283" i="16" s="1"/>
  <c r="W1283" i="16"/>
  <c r="AC1283" i="16" s="1"/>
  <c r="V1283" i="16"/>
  <c r="AB1283" i="16" s="1"/>
  <c r="X1282" i="16"/>
  <c r="AD1282" i="16" s="1"/>
  <c r="W1282" i="16"/>
  <c r="AC1282" i="16" s="1"/>
  <c r="V1282" i="16"/>
  <c r="AB1282" i="16" s="1"/>
  <c r="X1281" i="16"/>
  <c r="AD1281" i="16" s="1"/>
  <c r="W1281" i="16"/>
  <c r="AC1281" i="16" s="1"/>
  <c r="V1281" i="16"/>
  <c r="AB1281" i="16" s="1"/>
  <c r="X1280" i="16"/>
  <c r="AD1280" i="16" s="1"/>
  <c r="W1280" i="16"/>
  <c r="AC1280" i="16" s="1"/>
  <c r="V1280" i="16"/>
  <c r="AB1280" i="16" s="1"/>
  <c r="X1279" i="16"/>
  <c r="AD1279" i="16" s="1"/>
  <c r="W1279" i="16"/>
  <c r="AC1279" i="16" s="1"/>
  <c r="V1279" i="16"/>
  <c r="AB1279" i="16" s="1"/>
  <c r="X1278" i="16"/>
  <c r="AD1278" i="16" s="1"/>
  <c r="W1278" i="16"/>
  <c r="AC1278" i="16" s="1"/>
  <c r="V1278" i="16"/>
  <c r="AB1278" i="16" s="1"/>
  <c r="X1277" i="16"/>
  <c r="AD1277" i="16" s="1"/>
  <c r="W1277" i="16"/>
  <c r="AC1277" i="16" s="1"/>
  <c r="V1277" i="16"/>
  <c r="AB1277" i="16" s="1"/>
  <c r="X1276" i="16"/>
  <c r="AD1276" i="16" s="1"/>
  <c r="W1276" i="16"/>
  <c r="AC1276" i="16" s="1"/>
  <c r="V1276" i="16"/>
  <c r="AB1276" i="16" s="1"/>
  <c r="X1275" i="16"/>
  <c r="AD1275" i="16" s="1"/>
  <c r="W1275" i="16"/>
  <c r="AC1275" i="16" s="1"/>
  <c r="V1275" i="16"/>
  <c r="AB1275" i="16" s="1"/>
  <c r="X1274" i="16"/>
  <c r="AD1274" i="16" s="1"/>
  <c r="W1274" i="16"/>
  <c r="AC1274" i="16" s="1"/>
  <c r="V1274" i="16"/>
  <c r="AB1274" i="16" s="1"/>
  <c r="X1273" i="16"/>
  <c r="AD1273" i="16" s="1"/>
  <c r="W1273" i="16"/>
  <c r="AC1273" i="16" s="1"/>
  <c r="V1273" i="16"/>
  <c r="AB1273" i="16" s="1"/>
  <c r="X1272" i="16"/>
  <c r="AD1272" i="16" s="1"/>
  <c r="W1272" i="16"/>
  <c r="AC1272" i="16" s="1"/>
  <c r="V1272" i="16"/>
  <c r="AB1272" i="16" s="1"/>
  <c r="X1271" i="16"/>
  <c r="AD1271" i="16" s="1"/>
  <c r="W1271" i="16"/>
  <c r="AC1271" i="16" s="1"/>
  <c r="V1271" i="16"/>
  <c r="AB1271" i="16" s="1"/>
  <c r="X1270" i="16"/>
  <c r="AD1270" i="16" s="1"/>
  <c r="W1270" i="16"/>
  <c r="AC1270" i="16" s="1"/>
  <c r="V1270" i="16"/>
  <c r="AB1270" i="16" s="1"/>
  <c r="X1269" i="16"/>
  <c r="AD1269" i="16" s="1"/>
  <c r="W1269" i="16"/>
  <c r="AC1269" i="16" s="1"/>
  <c r="V1269" i="16"/>
  <c r="AB1269" i="16" s="1"/>
  <c r="X1268" i="16"/>
  <c r="AD1268" i="16" s="1"/>
  <c r="W1268" i="16"/>
  <c r="AC1268" i="16" s="1"/>
  <c r="V1268" i="16"/>
  <c r="AB1268" i="16" s="1"/>
  <c r="X1267" i="16"/>
  <c r="AD1267" i="16" s="1"/>
  <c r="W1267" i="16"/>
  <c r="AC1267" i="16" s="1"/>
  <c r="V1267" i="16"/>
  <c r="AB1267" i="16" s="1"/>
  <c r="X1266" i="16"/>
  <c r="AD1266" i="16" s="1"/>
  <c r="W1266" i="16"/>
  <c r="AC1266" i="16" s="1"/>
  <c r="V1266" i="16"/>
  <c r="AB1266" i="16" s="1"/>
  <c r="X1265" i="16"/>
  <c r="AD1265" i="16" s="1"/>
  <c r="W1265" i="16"/>
  <c r="AC1265" i="16" s="1"/>
  <c r="V1265" i="16"/>
  <c r="AB1265" i="16" s="1"/>
  <c r="X1264" i="16"/>
  <c r="AD1264" i="16" s="1"/>
  <c r="W1264" i="16"/>
  <c r="AC1264" i="16" s="1"/>
  <c r="V1264" i="16"/>
  <c r="AB1264" i="16" s="1"/>
  <c r="X1263" i="16"/>
  <c r="AD1263" i="16" s="1"/>
  <c r="W1263" i="16"/>
  <c r="AC1263" i="16" s="1"/>
  <c r="V1263" i="16"/>
  <c r="AB1263" i="16" s="1"/>
  <c r="X1262" i="16"/>
  <c r="AD1262" i="16" s="1"/>
  <c r="W1262" i="16"/>
  <c r="AC1262" i="16" s="1"/>
  <c r="V1262" i="16"/>
  <c r="AB1262" i="16" s="1"/>
  <c r="X1261" i="16"/>
  <c r="AD1261" i="16" s="1"/>
  <c r="W1261" i="16"/>
  <c r="AC1261" i="16" s="1"/>
  <c r="V1261" i="16"/>
  <c r="AB1261" i="16" s="1"/>
  <c r="X1260" i="16"/>
  <c r="AD1260" i="16" s="1"/>
  <c r="W1260" i="16"/>
  <c r="AC1260" i="16" s="1"/>
  <c r="V1260" i="16"/>
  <c r="AB1260" i="16" s="1"/>
  <c r="X1259" i="16"/>
  <c r="AD1259" i="16" s="1"/>
  <c r="W1259" i="16"/>
  <c r="AC1259" i="16" s="1"/>
  <c r="V1259" i="16"/>
  <c r="AB1259" i="16" s="1"/>
  <c r="X1258" i="16"/>
  <c r="AD1258" i="16" s="1"/>
  <c r="W1258" i="16"/>
  <c r="AC1258" i="16" s="1"/>
  <c r="V1258" i="16"/>
  <c r="AB1258" i="16" s="1"/>
  <c r="X1257" i="16"/>
  <c r="AD1257" i="16" s="1"/>
  <c r="W1257" i="16"/>
  <c r="AC1257" i="16" s="1"/>
  <c r="V1257" i="16"/>
  <c r="AB1257" i="16" s="1"/>
  <c r="X1256" i="16"/>
  <c r="AD1256" i="16" s="1"/>
  <c r="W1256" i="16"/>
  <c r="AC1256" i="16" s="1"/>
  <c r="V1256" i="16"/>
  <c r="AB1256" i="16" s="1"/>
  <c r="X1255" i="16"/>
  <c r="AD1255" i="16" s="1"/>
  <c r="W1255" i="16"/>
  <c r="AC1255" i="16" s="1"/>
  <c r="V1255" i="16"/>
  <c r="AB1255" i="16" s="1"/>
  <c r="X1254" i="16"/>
  <c r="AD1254" i="16" s="1"/>
  <c r="W1254" i="16"/>
  <c r="AC1254" i="16" s="1"/>
  <c r="V1254" i="16"/>
  <c r="AB1254" i="16" s="1"/>
  <c r="X1253" i="16"/>
  <c r="AD1253" i="16" s="1"/>
  <c r="W1253" i="16"/>
  <c r="AC1253" i="16" s="1"/>
  <c r="V1253" i="16"/>
  <c r="AB1253" i="16" s="1"/>
  <c r="X1252" i="16"/>
  <c r="AD1252" i="16" s="1"/>
  <c r="W1252" i="16"/>
  <c r="AC1252" i="16" s="1"/>
  <c r="V1252" i="16"/>
  <c r="AB1252" i="16" s="1"/>
  <c r="X1251" i="16"/>
  <c r="AD1251" i="16" s="1"/>
  <c r="W1251" i="16"/>
  <c r="AC1251" i="16" s="1"/>
  <c r="V1251" i="16"/>
  <c r="AB1251" i="16" s="1"/>
  <c r="X1250" i="16"/>
  <c r="AD1250" i="16" s="1"/>
  <c r="W1250" i="16"/>
  <c r="AC1250" i="16" s="1"/>
  <c r="V1250" i="16"/>
  <c r="AB1250" i="16" s="1"/>
  <c r="X1249" i="16"/>
  <c r="AD1249" i="16" s="1"/>
  <c r="W1249" i="16"/>
  <c r="AC1249" i="16" s="1"/>
  <c r="V1249" i="16"/>
  <c r="AB1249" i="16" s="1"/>
  <c r="X1248" i="16"/>
  <c r="AD1248" i="16" s="1"/>
  <c r="W1248" i="16"/>
  <c r="AC1248" i="16" s="1"/>
  <c r="V1248" i="16"/>
  <c r="AB1248" i="16" s="1"/>
  <c r="X1247" i="16"/>
  <c r="AD1247" i="16" s="1"/>
  <c r="W1247" i="16"/>
  <c r="AC1247" i="16" s="1"/>
  <c r="V1247" i="16"/>
  <c r="AB1247" i="16" s="1"/>
  <c r="X1246" i="16"/>
  <c r="AD1246" i="16" s="1"/>
  <c r="W1246" i="16"/>
  <c r="AC1246" i="16" s="1"/>
  <c r="V1246" i="16"/>
  <c r="AB1246" i="16" s="1"/>
  <c r="X1245" i="16"/>
  <c r="AD1245" i="16" s="1"/>
  <c r="W1245" i="16"/>
  <c r="AC1245" i="16" s="1"/>
  <c r="V1245" i="16"/>
  <c r="AB1245" i="16" s="1"/>
  <c r="X1244" i="16"/>
  <c r="AD1244" i="16" s="1"/>
  <c r="W1244" i="16"/>
  <c r="AC1244" i="16" s="1"/>
  <c r="V1244" i="16"/>
  <c r="AB1244" i="16" s="1"/>
  <c r="X1243" i="16"/>
  <c r="AD1243" i="16" s="1"/>
  <c r="W1243" i="16"/>
  <c r="AC1243" i="16" s="1"/>
  <c r="V1243" i="16"/>
  <c r="AB1243" i="16" s="1"/>
  <c r="X1242" i="16"/>
  <c r="AD1242" i="16" s="1"/>
  <c r="W1242" i="16"/>
  <c r="AC1242" i="16" s="1"/>
  <c r="V1242" i="16"/>
  <c r="AB1242" i="16" s="1"/>
  <c r="X1241" i="16"/>
  <c r="AD1241" i="16" s="1"/>
  <c r="W1241" i="16"/>
  <c r="AC1241" i="16" s="1"/>
  <c r="V1241" i="16"/>
  <c r="AB1241" i="16" s="1"/>
  <c r="X1240" i="16"/>
  <c r="AD1240" i="16" s="1"/>
  <c r="W1240" i="16"/>
  <c r="AC1240" i="16" s="1"/>
  <c r="V1240" i="16"/>
  <c r="AB1240" i="16" s="1"/>
  <c r="X1239" i="16"/>
  <c r="AD1239" i="16" s="1"/>
  <c r="W1239" i="16"/>
  <c r="AC1239" i="16" s="1"/>
  <c r="V1239" i="16"/>
  <c r="AB1239" i="16" s="1"/>
  <c r="X1238" i="16"/>
  <c r="AD1238" i="16" s="1"/>
  <c r="W1238" i="16"/>
  <c r="AC1238" i="16" s="1"/>
  <c r="V1238" i="16"/>
  <c r="AB1238" i="16" s="1"/>
  <c r="X1237" i="16"/>
  <c r="AD1237" i="16" s="1"/>
  <c r="W1237" i="16"/>
  <c r="AC1237" i="16" s="1"/>
  <c r="V1237" i="16"/>
  <c r="AB1237" i="16" s="1"/>
  <c r="X1236" i="16"/>
  <c r="AD1236" i="16" s="1"/>
  <c r="W1236" i="16"/>
  <c r="AC1236" i="16" s="1"/>
  <c r="V1236" i="16"/>
  <c r="AB1236" i="16" s="1"/>
  <c r="X1235" i="16"/>
  <c r="AD1235" i="16" s="1"/>
  <c r="W1235" i="16"/>
  <c r="AC1235" i="16" s="1"/>
  <c r="V1235" i="16"/>
  <c r="AB1235" i="16" s="1"/>
  <c r="X1234" i="16"/>
  <c r="AD1234" i="16" s="1"/>
  <c r="W1234" i="16"/>
  <c r="AC1234" i="16" s="1"/>
  <c r="V1234" i="16"/>
  <c r="AB1234" i="16" s="1"/>
  <c r="X1233" i="16"/>
  <c r="AD1233" i="16" s="1"/>
  <c r="W1233" i="16"/>
  <c r="AC1233" i="16" s="1"/>
  <c r="V1233" i="16"/>
  <c r="AB1233" i="16" s="1"/>
  <c r="X1232" i="16"/>
  <c r="AD1232" i="16" s="1"/>
  <c r="W1232" i="16"/>
  <c r="AC1232" i="16" s="1"/>
  <c r="V1232" i="16"/>
  <c r="AB1232" i="16" s="1"/>
  <c r="X1231" i="16"/>
  <c r="AD1231" i="16" s="1"/>
  <c r="W1231" i="16"/>
  <c r="AC1231" i="16" s="1"/>
  <c r="V1231" i="16"/>
  <c r="AB1231" i="16" s="1"/>
  <c r="X1230" i="16"/>
  <c r="AD1230" i="16" s="1"/>
  <c r="W1230" i="16"/>
  <c r="AC1230" i="16" s="1"/>
  <c r="V1230" i="16"/>
  <c r="AB1230" i="16" s="1"/>
  <c r="X1229" i="16"/>
  <c r="AD1229" i="16" s="1"/>
  <c r="W1229" i="16"/>
  <c r="AC1229" i="16" s="1"/>
  <c r="V1229" i="16"/>
  <c r="AB1229" i="16" s="1"/>
  <c r="X1228" i="16"/>
  <c r="AD1228" i="16" s="1"/>
  <c r="W1228" i="16"/>
  <c r="AC1228" i="16" s="1"/>
  <c r="V1228" i="16"/>
  <c r="AB1228" i="16" s="1"/>
  <c r="X1227" i="16"/>
  <c r="AD1227" i="16" s="1"/>
  <c r="W1227" i="16"/>
  <c r="AC1227" i="16" s="1"/>
  <c r="V1227" i="16"/>
  <c r="AB1227" i="16" s="1"/>
  <c r="X1226" i="16"/>
  <c r="AD1226" i="16" s="1"/>
  <c r="W1226" i="16"/>
  <c r="AC1226" i="16" s="1"/>
  <c r="V1226" i="16"/>
  <c r="AB1226" i="16" s="1"/>
  <c r="X1225" i="16"/>
  <c r="AD1225" i="16" s="1"/>
  <c r="W1225" i="16"/>
  <c r="AC1225" i="16" s="1"/>
  <c r="V1225" i="16"/>
  <c r="AB1225" i="16" s="1"/>
  <c r="X1224" i="16"/>
  <c r="AD1224" i="16" s="1"/>
  <c r="W1224" i="16"/>
  <c r="AC1224" i="16" s="1"/>
  <c r="V1224" i="16"/>
  <c r="AB1224" i="16" s="1"/>
  <c r="X1223" i="16"/>
  <c r="AD1223" i="16" s="1"/>
  <c r="W1223" i="16"/>
  <c r="AC1223" i="16" s="1"/>
  <c r="V1223" i="16"/>
  <c r="AB1223" i="16" s="1"/>
  <c r="X1222" i="16"/>
  <c r="AD1222" i="16" s="1"/>
  <c r="W1222" i="16"/>
  <c r="AC1222" i="16" s="1"/>
  <c r="V1222" i="16"/>
  <c r="AB1222" i="16" s="1"/>
  <c r="X1221" i="16"/>
  <c r="AD1221" i="16" s="1"/>
  <c r="W1221" i="16"/>
  <c r="AC1221" i="16" s="1"/>
  <c r="V1221" i="16"/>
  <c r="AB1221" i="16" s="1"/>
  <c r="X1220" i="16"/>
  <c r="AD1220" i="16" s="1"/>
  <c r="W1220" i="16"/>
  <c r="AC1220" i="16" s="1"/>
  <c r="V1220" i="16"/>
  <c r="AB1220" i="16" s="1"/>
  <c r="X1219" i="16"/>
  <c r="AD1219" i="16" s="1"/>
  <c r="W1219" i="16"/>
  <c r="AC1219" i="16" s="1"/>
  <c r="V1219" i="16"/>
  <c r="AB1219" i="16" s="1"/>
  <c r="X1218" i="16"/>
  <c r="AD1218" i="16" s="1"/>
  <c r="W1218" i="16"/>
  <c r="AC1218" i="16" s="1"/>
  <c r="V1218" i="16"/>
  <c r="AB1218" i="16" s="1"/>
  <c r="X1217" i="16"/>
  <c r="AD1217" i="16" s="1"/>
  <c r="W1217" i="16"/>
  <c r="AC1217" i="16" s="1"/>
  <c r="V1217" i="16"/>
  <c r="AB1217" i="16" s="1"/>
  <c r="X1216" i="16"/>
  <c r="AD1216" i="16" s="1"/>
  <c r="W1216" i="16"/>
  <c r="AC1216" i="16" s="1"/>
  <c r="V1216" i="16"/>
  <c r="AB1216" i="16" s="1"/>
  <c r="X1215" i="16"/>
  <c r="AD1215" i="16" s="1"/>
  <c r="W1215" i="16"/>
  <c r="AC1215" i="16" s="1"/>
  <c r="V1215" i="16"/>
  <c r="AB1215" i="16" s="1"/>
  <c r="X1214" i="16"/>
  <c r="AD1214" i="16" s="1"/>
  <c r="W1214" i="16"/>
  <c r="AC1214" i="16" s="1"/>
  <c r="V1214" i="16"/>
  <c r="AB1214" i="16" s="1"/>
  <c r="X1213" i="16"/>
  <c r="AD1213" i="16" s="1"/>
  <c r="W1213" i="16"/>
  <c r="AC1213" i="16" s="1"/>
  <c r="V1213" i="16"/>
  <c r="AB1213" i="16" s="1"/>
  <c r="X1212" i="16"/>
  <c r="AD1212" i="16" s="1"/>
  <c r="W1212" i="16"/>
  <c r="AC1212" i="16" s="1"/>
  <c r="V1212" i="16"/>
  <c r="AB1212" i="16" s="1"/>
  <c r="X1211" i="16"/>
  <c r="AD1211" i="16" s="1"/>
  <c r="W1211" i="16"/>
  <c r="AC1211" i="16" s="1"/>
  <c r="V1211" i="16"/>
  <c r="AB1211" i="16" s="1"/>
  <c r="X1210" i="16"/>
  <c r="AD1210" i="16" s="1"/>
  <c r="W1210" i="16"/>
  <c r="AC1210" i="16" s="1"/>
  <c r="V1210" i="16"/>
  <c r="AB1210" i="16" s="1"/>
  <c r="X1209" i="16"/>
  <c r="AD1209" i="16" s="1"/>
  <c r="W1209" i="16"/>
  <c r="AC1209" i="16" s="1"/>
  <c r="V1209" i="16"/>
  <c r="AB1209" i="16" s="1"/>
  <c r="X1208" i="16"/>
  <c r="AD1208" i="16" s="1"/>
  <c r="W1208" i="16"/>
  <c r="AC1208" i="16" s="1"/>
  <c r="V1208" i="16"/>
  <c r="AB1208" i="16" s="1"/>
  <c r="X1207" i="16"/>
  <c r="AD1207" i="16" s="1"/>
  <c r="W1207" i="16"/>
  <c r="AC1207" i="16" s="1"/>
  <c r="V1207" i="16"/>
  <c r="AB1207" i="16" s="1"/>
  <c r="X1206" i="16"/>
  <c r="AD1206" i="16" s="1"/>
  <c r="W1206" i="16"/>
  <c r="AC1206" i="16" s="1"/>
  <c r="V1206" i="16"/>
  <c r="AB1206" i="16" s="1"/>
  <c r="X1205" i="16"/>
  <c r="AD1205" i="16" s="1"/>
  <c r="W1205" i="16"/>
  <c r="AC1205" i="16" s="1"/>
  <c r="V1205" i="16"/>
  <c r="AB1205" i="16" s="1"/>
  <c r="X1204" i="16"/>
  <c r="AD1204" i="16" s="1"/>
  <c r="W1204" i="16"/>
  <c r="AC1204" i="16" s="1"/>
  <c r="V1204" i="16"/>
  <c r="AB1204" i="16" s="1"/>
  <c r="X1203" i="16"/>
  <c r="AD1203" i="16" s="1"/>
  <c r="W1203" i="16"/>
  <c r="AC1203" i="16" s="1"/>
  <c r="V1203" i="16"/>
  <c r="AB1203" i="16" s="1"/>
  <c r="X1202" i="16"/>
  <c r="AD1202" i="16" s="1"/>
  <c r="W1202" i="16"/>
  <c r="AC1202" i="16" s="1"/>
  <c r="V1202" i="16"/>
  <c r="AB1202" i="16" s="1"/>
  <c r="X1201" i="16"/>
  <c r="AD1201" i="16" s="1"/>
  <c r="W1201" i="16"/>
  <c r="AC1201" i="16" s="1"/>
  <c r="V1201" i="16"/>
  <c r="AB1201" i="16" s="1"/>
  <c r="X1200" i="16"/>
  <c r="AD1200" i="16" s="1"/>
  <c r="W1200" i="16"/>
  <c r="AC1200" i="16" s="1"/>
  <c r="V1200" i="16"/>
  <c r="AB1200" i="16" s="1"/>
  <c r="X1199" i="16"/>
  <c r="AD1199" i="16" s="1"/>
  <c r="W1199" i="16"/>
  <c r="AC1199" i="16" s="1"/>
  <c r="V1199" i="16"/>
  <c r="AB1199" i="16" s="1"/>
  <c r="X1198" i="16"/>
  <c r="AD1198" i="16" s="1"/>
  <c r="W1198" i="16"/>
  <c r="AC1198" i="16" s="1"/>
  <c r="V1198" i="16"/>
  <c r="AB1198" i="16" s="1"/>
  <c r="X1197" i="16"/>
  <c r="AD1197" i="16" s="1"/>
  <c r="W1197" i="16"/>
  <c r="AC1197" i="16" s="1"/>
  <c r="V1197" i="16"/>
  <c r="AB1197" i="16" s="1"/>
  <c r="X1196" i="16"/>
  <c r="AD1196" i="16" s="1"/>
  <c r="W1196" i="16"/>
  <c r="AC1196" i="16" s="1"/>
  <c r="V1196" i="16"/>
  <c r="AB1196" i="16" s="1"/>
  <c r="X1195" i="16"/>
  <c r="AD1195" i="16" s="1"/>
  <c r="W1195" i="16"/>
  <c r="AC1195" i="16" s="1"/>
  <c r="V1195" i="16"/>
  <c r="AB1195" i="16" s="1"/>
  <c r="X1194" i="16"/>
  <c r="AD1194" i="16" s="1"/>
  <c r="W1194" i="16"/>
  <c r="AC1194" i="16" s="1"/>
  <c r="V1194" i="16"/>
  <c r="AB1194" i="16" s="1"/>
  <c r="X1193" i="16"/>
  <c r="AD1193" i="16" s="1"/>
  <c r="W1193" i="16"/>
  <c r="AC1193" i="16" s="1"/>
  <c r="V1193" i="16"/>
  <c r="AB1193" i="16" s="1"/>
  <c r="X1192" i="16"/>
  <c r="AD1192" i="16" s="1"/>
  <c r="W1192" i="16"/>
  <c r="AC1192" i="16" s="1"/>
  <c r="V1192" i="16"/>
  <c r="AB1192" i="16" s="1"/>
  <c r="X1191" i="16"/>
  <c r="AD1191" i="16" s="1"/>
  <c r="W1191" i="16"/>
  <c r="AC1191" i="16" s="1"/>
  <c r="V1191" i="16"/>
  <c r="AB1191" i="16" s="1"/>
  <c r="X1190" i="16"/>
  <c r="AD1190" i="16" s="1"/>
  <c r="W1190" i="16"/>
  <c r="AC1190" i="16" s="1"/>
  <c r="V1190" i="16"/>
  <c r="AB1190" i="16" s="1"/>
  <c r="X1189" i="16"/>
  <c r="AD1189" i="16" s="1"/>
  <c r="W1189" i="16"/>
  <c r="AC1189" i="16" s="1"/>
  <c r="V1189" i="16"/>
  <c r="AB1189" i="16" s="1"/>
  <c r="X1188" i="16"/>
  <c r="AD1188" i="16" s="1"/>
  <c r="W1188" i="16"/>
  <c r="AC1188" i="16" s="1"/>
  <c r="V1188" i="16"/>
  <c r="AB1188" i="16" s="1"/>
  <c r="X1187" i="16"/>
  <c r="AD1187" i="16" s="1"/>
  <c r="W1187" i="16"/>
  <c r="AC1187" i="16" s="1"/>
  <c r="V1187" i="16"/>
  <c r="AB1187" i="16" s="1"/>
  <c r="X1186" i="16"/>
  <c r="AD1186" i="16" s="1"/>
  <c r="W1186" i="16"/>
  <c r="AC1186" i="16" s="1"/>
  <c r="V1186" i="16"/>
  <c r="AB1186" i="16" s="1"/>
  <c r="X1185" i="16"/>
  <c r="AD1185" i="16" s="1"/>
  <c r="W1185" i="16"/>
  <c r="AC1185" i="16" s="1"/>
  <c r="V1185" i="16"/>
  <c r="AB1185" i="16" s="1"/>
  <c r="X1184" i="16"/>
  <c r="AD1184" i="16" s="1"/>
  <c r="W1184" i="16"/>
  <c r="AC1184" i="16" s="1"/>
  <c r="V1184" i="16"/>
  <c r="AB1184" i="16" s="1"/>
  <c r="X1183" i="16"/>
  <c r="AD1183" i="16" s="1"/>
  <c r="W1183" i="16"/>
  <c r="AC1183" i="16" s="1"/>
  <c r="V1183" i="16"/>
  <c r="AB1183" i="16" s="1"/>
  <c r="X1182" i="16"/>
  <c r="AD1182" i="16" s="1"/>
  <c r="W1182" i="16"/>
  <c r="AC1182" i="16" s="1"/>
  <c r="V1182" i="16"/>
  <c r="AB1182" i="16" s="1"/>
  <c r="X1181" i="16"/>
  <c r="AD1181" i="16" s="1"/>
  <c r="W1181" i="16"/>
  <c r="AC1181" i="16" s="1"/>
  <c r="V1181" i="16"/>
  <c r="AB1181" i="16" s="1"/>
  <c r="X1180" i="16"/>
  <c r="AD1180" i="16" s="1"/>
  <c r="W1180" i="16"/>
  <c r="AC1180" i="16" s="1"/>
  <c r="V1180" i="16"/>
  <c r="AB1180" i="16" s="1"/>
  <c r="X1179" i="16"/>
  <c r="AD1179" i="16" s="1"/>
  <c r="W1179" i="16"/>
  <c r="AC1179" i="16" s="1"/>
  <c r="V1179" i="16"/>
  <c r="AB1179" i="16" s="1"/>
  <c r="X1178" i="16"/>
  <c r="AD1178" i="16" s="1"/>
  <c r="W1178" i="16"/>
  <c r="AC1178" i="16" s="1"/>
  <c r="V1178" i="16"/>
  <c r="AB1178" i="16" s="1"/>
  <c r="X1177" i="16"/>
  <c r="AD1177" i="16" s="1"/>
  <c r="W1177" i="16"/>
  <c r="AC1177" i="16" s="1"/>
  <c r="V1177" i="16"/>
  <c r="AB1177" i="16" s="1"/>
  <c r="X1176" i="16"/>
  <c r="AD1176" i="16" s="1"/>
  <c r="W1176" i="16"/>
  <c r="AC1176" i="16" s="1"/>
  <c r="V1176" i="16"/>
  <c r="AB1176" i="16" s="1"/>
  <c r="X1175" i="16"/>
  <c r="AD1175" i="16" s="1"/>
  <c r="W1175" i="16"/>
  <c r="AC1175" i="16" s="1"/>
  <c r="V1175" i="16"/>
  <c r="AB1175" i="16" s="1"/>
  <c r="X1174" i="16"/>
  <c r="AD1174" i="16" s="1"/>
  <c r="W1174" i="16"/>
  <c r="AC1174" i="16" s="1"/>
  <c r="V1174" i="16"/>
  <c r="AB1174" i="16" s="1"/>
  <c r="X1173" i="16"/>
  <c r="AD1173" i="16" s="1"/>
  <c r="W1173" i="16"/>
  <c r="AC1173" i="16" s="1"/>
  <c r="V1173" i="16"/>
  <c r="AB1173" i="16" s="1"/>
  <c r="X1172" i="16"/>
  <c r="AD1172" i="16" s="1"/>
  <c r="W1172" i="16"/>
  <c r="AC1172" i="16" s="1"/>
  <c r="V1172" i="16"/>
  <c r="AB1172" i="16" s="1"/>
  <c r="X1171" i="16"/>
  <c r="AD1171" i="16" s="1"/>
  <c r="W1171" i="16"/>
  <c r="AC1171" i="16" s="1"/>
  <c r="V1171" i="16"/>
  <c r="AB1171" i="16" s="1"/>
  <c r="X1170" i="16"/>
  <c r="AD1170" i="16" s="1"/>
  <c r="W1170" i="16"/>
  <c r="AC1170" i="16" s="1"/>
  <c r="V1170" i="16"/>
  <c r="AB1170" i="16" s="1"/>
  <c r="X1169" i="16"/>
  <c r="AD1169" i="16" s="1"/>
  <c r="W1169" i="16"/>
  <c r="AC1169" i="16" s="1"/>
  <c r="V1169" i="16"/>
  <c r="AB1169" i="16" s="1"/>
  <c r="X1168" i="16"/>
  <c r="AD1168" i="16" s="1"/>
  <c r="W1168" i="16"/>
  <c r="AC1168" i="16" s="1"/>
  <c r="V1168" i="16"/>
  <c r="AB1168" i="16" s="1"/>
  <c r="X1167" i="16"/>
  <c r="AD1167" i="16" s="1"/>
  <c r="W1167" i="16"/>
  <c r="AC1167" i="16" s="1"/>
  <c r="V1167" i="16"/>
  <c r="AB1167" i="16" s="1"/>
  <c r="X1166" i="16"/>
  <c r="AD1166" i="16" s="1"/>
  <c r="W1166" i="16"/>
  <c r="AC1166" i="16" s="1"/>
  <c r="V1166" i="16"/>
  <c r="AB1166" i="16" s="1"/>
  <c r="X1165" i="16"/>
  <c r="AD1165" i="16" s="1"/>
  <c r="W1165" i="16"/>
  <c r="AC1165" i="16" s="1"/>
  <c r="V1165" i="16"/>
  <c r="AB1165" i="16" s="1"/>
  <c r="X1164" i="16"/>
  <c r="AD1164" i="16" s="1"/>
  <c r="W1164" i="16"/>
  <c r="AC1164" i="16" s="1"/>
  <c r="V1164" i="16"/>
  <c r="AB1164" i="16" s="1"/>
  <c r="X1163" i="16"/>
  <c r="AD1163" i="16" s="1"/>
  <c r="W1163" i="16"/>
  <c r="AC1163" i="16" s="1"/>
  <c r="V1163" i="16"/>
  <c r="AB1163" i="16" s="1"/>
  <c r="X1162" i="16"/>
  <c r="AD1162" i="16" s="1"/>
  <c r="W1162" i="16"/>
  <c r="AC1162" i="16" s="1"/>
  <c r="V1162" i="16"/>
  <c r="AB1162" i="16" s="1"/>
  <c r="X1161" i="16"/>
  <c r="AD1161" i="16" s="1"/>
  <c r="W1161" i="16"/>
  <c r="AC1161" i="16" s="1"/>
  <c r="V1161" i="16"/>
  <c r="AB1161" i="16" s="1"/>
  <c r="X1160" i="16"/>
  <c r="AD1160" i="16" s="1"/>
  <c r="W1160" i="16"/>
  <c r="AC1160" i="16" s="1"/>
  <c r="V1160" i="16"/>
  <c r="AB1160" i="16" s="1"/>
  <c r="X1159" i="16"/>
  <c r="AD1159" i="16" s="1"/>
  <c r="W1159" i="16"/>
  <c r="AC1159" i="16" s="1"/>
  <c r="V1159" i="16"/>
  <c r="AB1159" i="16" s="1"/>
  <c r="X1158" i="16"/>
  <c r="AD1158" i="16" s="1"/>
  <c r="W1158" i="16"/>
  <c r="AC1158" i="16" s="1"/>
  <c r="V1158" i="16"/>
  <c r="AB1158" i="16" s="1"/>
  <c r="X1157" i="16"/>
  <c r="AD1157" i="16" s="1"/>
  <c r="W1157" i="16"/>
  <c r="AC1157" i="16" s="1"/>
  <c r="V1157" i="16"/>
  <c r="AB1157" i="16" s="1"/>
  <c r="X1156" i="16"/>
  <c r="AD1156" i="16" s="1"/>
  <c r="W1156" i="16"/>
  <c r="AC1156" i="16" s="1"/>
  <c r="V1156" i="16"/>
  <c r="AB1156" i="16" s="1"/>
  <c r="X1155" i="16"/>
  <c r="AD1155" i="16" s="1"/>
  <c r="W1155" i="16"/>
  <c r="AC1155" i="16" s="1"/>
  <c r="V1155" i="16"/>
  <c r="AB1155" i="16" s="1"/>
  <c r="X1154" i="16"/>
  <c r="AD1154" i="16" s="1"/>
  <c r="W1154" i="16"/>
  <c r="AC1154" i="16" s="1"/>
  <c r="V1154" i="16"/>
  <c r="AB1154" i="16" s="1"/>
  <c r="X1153" i="16"/>
  <c r="AD1153" i="16" s="1"/>
  <c r="W1153" i="16"/>
  <c r="AC1153" i="16" s="1"/>
  <c r="V1153" i="16"/>
  <c r="AB1153" i="16" s="1"/>
  <c r="X1152" i="16"/>
  <c r="AD1152" i="16" s="1"/>
  <c r="W1152" i="16"/>
  <c r="AC1152" i="16" s="1"/>
  <c r="V1152" i="16"/>
  <c r="AB1152" i="16" s="1"/>
  <c r="X1151" i="16"/>
  <c r="AD1151" i="16" s="1"/>
  <c r="W1151" i="16"/>
  <c r="AC1151" i="16" s="1"/>
  <c r="V1151" i="16"/>
  <c r="AB1151" i="16" s="1"/>
  <c r="X1150" i="16"/>
  <c r="AD1150" i="16" s="1"/>
  <c r="W1150" i="16"/>
  <c r="AC1150" i="16" s="1"/>
  <c r="V1150" i="16"/>
  <c r="AB1150" i="16" s="1"/>
  <c r="X1149" i="16"/>
  <c r="AD1149" i="16" s="1"/>
  <c r="W1149" i="16"/>
  <c r="AC1149" i="16" s="1"/>
  <c r="V1149" i="16"/>
  <c r="AB1149" i="16" s="1"/>
  <c r="X1148" i="16"/>
  <c r="AD1148" i="16" s="1"/>
  <c r="W1148" i="16"/>
  <c r="AC1148" i="16" s="1"/>
  <c r="V1148" i="16"/>
  <c r="AB1148" i="16" s="1"/>
  <c r="X1147" i="16"/>
  <c r="AD1147" i="16" s="1"/>
  <c r="W1147" i="16"/>
  <c r="AC1147" i="16" s="1"/>
  <c r="V1147" i="16"/>
  <c r="AB1147" i="16" s="1"/>
  <c r="X1146" i="16"/>
  <c r="AD1146" i="16" s="1"/>
  <c r="W1146" i="16"/>
  <c r="AC1146" i="16" s="1"/>
  <c r="V1146" i="16"/>
  <c r="AB1146" i="16" s="1"/>
  <c r="X1145" i="16"/>
  <c r="AD1145" i="16" s="1"/>
  <c r="W1145" i="16"/>
  <c r="AC1145" i="16" s="1"/>
  <c r="V1145" i="16"/>
  <c r="AB1145" i="16" s="1"/>
  <c r="X1144" i="16"/>
  <c r="AD1144" i="16" s="1"/>
  <c r="W1144" i="16"/>
  <c r="AC1144" i="16" s="1"/>
  <c r="V1144" i="16"/>
  <c r="AB1144" i="16" s="1"/>
  <c r="X1143" i="16"/>
  <c r="AD1143" i="16" s="1"/>
  <c r="W1143" i="16"/>
  <c r="AC1143" i="16" s="1"/>
  <c r="V1143" i="16"/>
  <c r="AB1143" i="16" s="1"/>
  <c r="X1142" i="16"/>
  <c r="AD1142" i="16" s="1"/>
  <c r="W1142" i="16"/>
  <c r="AC1142" i="16" s="1"/>
  <c r="V1142" i="16"/>
  <c r="AB1142" i="16" s="1"/>
  <c r="X1141" i="16"/>
  <c r="AD1141" i="16" s="1"/>
  <c r="W1141" i="16"/>
  <c r="AC1141" i="16" s="1"/>
  <c r="V1141" i="16"/>
  <c r="AB1141" i="16" s="1"/>
  <c r="X1140" i="16"/>
  <c r="AD1140" i="16" s="1"/>
  <c r="W1140" i="16"/>
  <c r="AC1140" i="16" s="1"/>
  <c r="V1140" i="16"/>
  <c r="AB1140" i="16" s="1"/>
  <c r="X1139" i="16"/>
  <c r="AD1139" i="16" s="1"/>
  <c r="W1139" i="16"/>
  <c r="AC1139" i="16" s="1"/>
  <c r="V1139" i="16"/>
  <c r="AB1139" i="16" s="1"/>
  <c r="X1138" i="16"/>
  <c r="AD1138" i="16" s="1"/>
  <c r="W1138" i="16"/>
  <c r="AC1138" i="16" s="1"/>
  <c r="V1138" i="16"/>
  <c r="AB1138" i="16" s="1"/>
  <c r="X1137" i="16"/>
  <c r="AD1137" i="16" s="1"/>
  <c r="W1137" i="16"/>
  <c r="AC1137" i="16" s="1"/>
  <c r="V1137" i="16"/>
  <c r="AB1137" i="16" s="1"/>
  <c r="X1136" i="16"/>
  <c r="AD1136" i="16" s="1"/>
  <c r="W1136" i="16"/>
  <c r="AC1136" i="16" s="1"/>
  <c r="V1136" i="16"/>
  <c r="AB1136" i="16" s="1"/>
  <c r="X1135" i="16"/>
  <c r="AD1135" i="16" s="1"/>
  <c r="W1135" i="16"/>
  <c r="AC1135" i="16" s="1"/>
  <c r="V1135" i="16"/>
  <c r="AB1135" i="16" s="1"/>
  <c r="X1134" i="16"/>
  <c r="AD1134" i="16" s="1"/>
  <c r="W1134" i="16"/>
  <c r="AC1134" i="16" s="1"/>
  <c r="V1134" i="16"/>
  <c r="AB1134" i="16" s="1"/>
  <c r="X1133" i="16"/>
  <c r="AD1133" i="16" s="1"/>
  <c r="W1133" i="16"/>
  <c r="AC1133" i="16" s="1"/>
  <c r="V1133" i="16"/>
  <c r="AB1133" i="16" s="1"/>
  <c r="X1132" i="16"/>
  <c r="AD1132" i="16" s="1"/>
  <c r="W1132" i="16"/>
  <c r="AC1132" i="16" s="1"/>
  <c r="V1132" i="16"/>
  <c r="AB1132" i="16" s="1"/>
  <c r="X1131" i="16"/>
  <c r="AD1131" i="16" s="1"/>
  <c r="W1131" i="16"/>
  <c r="AC1131" i="16" s="1"/>
  <c r="V1131" i="16"/>
  <c r="AB1131" i="16" s="1"/>
  <c r="X1130" i="16"/>
  <c r="AD1130" i="16" s="1"/>
  <c r="W1130" i="16"/>
  <c r="AC1130" i="16" s="1"/>
  <c r="V1130" i="16"/>
  <c r="AB1130" i="16" s="1"/>
  <c r="X1129" i="16"/>
  <c r="AD1129" i="16" s="1"/>
  <c r="W1129" i="16"/>
  <c r="AC1129" i="16" s="1"/>
  <c r="V1129" i="16"/>
  <c r="AB1129" i="16" s="1"/>
  <c r="X1128" i="16"/>
  <c r="AD1128" i="16" s="1"/>
  <c r="W1128" i="16"/>
  <c r="AC1128" i="16" s="1"/>
  <c r="V1128" i="16"/>
  <c r="AB1128" i="16" s="1"/>
  <c r="X1127" i="16"/>
  <c r="AD1127" i="16" s="1"/>
  <c r="W1127" i="16"/>
  <c r="AC1127" i="16" s="1"/>
  <c r="V1127" i="16"/>
  <c r="AB1127" i="16" s="1"/>
  <c r="X1126" i="16"/>
  <c r="AD1126" i="16" s="1"/>
  <c r="W1126" i="16"/>
  <c r="AC1126" i="16" s="1"/>
  <c r="V1126" i="16"/>
  <c r="AB1126" i="16" s="1"/>
  <c r="X1125" i="16"/>
  <c r="AD1125" i="16" s="1"/>
  <c r="W1125" i="16"/>
  <c r="AC1125" i="16" s="1"/>
  <c r="V1125" i="16"/>
  <c r="AB1125" i="16" s="1"/>
  <c r="X1124" i="16"/>
  <c r="AD1124" i="16" s="1"/>
  <c r="W1124" i="16"/>
  <c r="AC1124" i="16" s="1"/>
  <c r="V1124" i="16"/>
  <c r="AB1124" i="16" s="1"/>
  <c r="X1123" i="16"/>
  <c r="AD1123" i="16" s="1"/>
  <c r="W1123" i="16"/>
  <c r="AC1123" i="16" s="1"/>
  <c r="V1123" i="16"/>
  <c r="AB1123" i="16" s="1"/>
  <c r="X1122" i="16"/>
  <c r="AD1122" i="16" s="1"/>
  <c r="W1122" i="16"/>
  <c r="AC1122" i="16" s="1"/>
  <c r="V1122" i="16"/>
  <c r="AB1122" i="16" s="1"/>
  <c r="X1121" i="16"/>
  <c r="AD1121" i="16" s="1"/>
  <c r="W1121" i="16"/>
  <c r="AC1121" i="16" s="1"/>
  <c r="V1121" i="16"/>
  <c r="AB1121" i="16" s="1"/>
  <c r="X1120" i="16"/>
  <c r="AD1120" i="16" s="1"/>
  <c r="W1120" i="16"/>
  <c r="AC1120" i="16" s="1"/>
  <c r="V1120" i="16"/>
  <c r="AB1120" i="16" s="1"/>
  <c r="X1119" i="16"/>
  <c r="AD1119" i="16" s="1"/>
  <c r="W1119" i="16"/>
  <c r="AC1119" i="16" s="1"/>
  <c r="V1119" i="16"/>
  <c r="AB1119" i="16" s="1"/>
  <c r="X1118" i="16"/>
  <c r="AD1118" i="16" s="1"/>
  <c r="W1118" i="16"/>
  <c r="AC1118" i="16" s="1"/>
  <c r="V1118" i="16"/>
  <c r="AB1118" i="16" s="1"/>
  <c r="X1117" i="16"/>
  <c r="AD1117" i="16" s="1"/>
  <c r="W1117" i="16"/>
  <c r="AC1117" i="16" s="1"/>
  <c r="V1117" i="16"/>
  <c r="AB1117" i="16" s="1"/>
  <c r="X1116" i="16"/>
  <c r="AD1116" i="16" s="1"/>
  <c r="W1116" i="16"/>
  <c r="AC1116" i="16" s="1"/>
  <c r="V1116" i="16"/>
  <c r="AB1116" i="16" s="1"/>
  <c r="X1115" i="16"/>
  <c r="AD1115" i="16" s="1"/>
  <c r="W1115" i="16"/>
  <c r="AC1115" i="16" s="1"/>
  <c r="V1115" i="16"/>
  <c r="AB1115" i="16" s="1"/>
  <c r="X1114" i="16"/>
  <c r="AD1114" i="16" s="1"/>
  <c r="W1114" i="16"/>
  <c r="AC1114" i="16" s="1"/>
  <c r="V1114" i="16"/>
  <c r="AB1114" i="16" s="1"/>
  <c r="X1113" i="16"/>
  <c r="AD1113" i="16" s="1"/>
  <c r="W1113" i="16"/>
  <c r="AC1113" i="16" s="1"/>
  <c r="V1113" i="16"/>
  <c r="AB1113" i="16" s="1"/>
  <c r="X1112" i="16"/>
  <c r="AD1112" i="16" s="1"/>
  <c r="W1112" i="16"/>
  <c r="AC1112" i="16" s="1"/>
  <c r="V1112" i="16"/>
  <c r="AB1112" i="16" s="1"/>
  <c r="X1111" i="16"/>
  <c r="AD1111" i="16" s="1"/>
  <c r="W1111" i="16"/>
  <c r="AC1111" i="16" s="1"/>
  <c r="V1111" i="16"/>
  <c r="AB1111" i="16" s="1"/>
  <c r="X1110" i="16"/>
  <c r="AD1110" i="16" s="1"/>
  <c r="W1110" i="16"/>
  <c r="AC1110" i="16" s="1"/>
  <c r="V1110" i="16"/>
  <c r="AB1110" i="16" s="1"/>
  <c r="X1109" i="16"/>
  <c r="AD1109" i="16" s="1"/>
  <c r="W1109" i="16"/>
  <c r="AC1109" i="16" s="1"/>
  <c r="V1109" i="16"/>
  <c r="AB1109" i="16" s="1"/>
  <c r="X1108" i="16"/>
  <c r="AD1108" i="16" s="1"/>
  <c r="W1108" i="16"/>
  <c r="AC1108" i="16" s="1"/>
  <c r="V1108" i="16"/>
  <c r="AB1108" i="16" s="1"/>
  <c r="X1107" i="16"/>
  <c r="AD1107" i="16" s="1"/>
  <c r="W1107" i="16"/>
  <c r="AC1107" i="16" s="1"/>
  <c r="V1107" i="16"/>
  <c r="AB1107" i="16" s="1"/>
  <c r="X1106" i="16"/>
  <c r="AD1106" i="16" s="1"/>
  <c r="W1106" i="16"/>
  <c r="AC1106" i="16" s="1"/>
  <c r="V1106" i="16"/>
  <c r="AB1106" i="16" s="1"/>
  <c r="X1105" i="16"/>
  <c r="AD1105" i="16" s="1"/>
  <c r="W1105" i="16"/>
  <c r="AC1105" i="16" s="1"/>
  <c r="V1105" i="16"/>
  <c r="AB1105" i="16" s="1"/>
  <c r="X1104" i="16"/>
  <c r="AD1104" i="16" s="1"/>
  <c r="W1104" i="16"/>
  <c r="AC1104" i="16" s="1"/>
  <c r="V1104" i="16"/>
  <c r="AB1104" i="16" s="1"/>
  <c r="X1103" i="16"/>
  <c r="AD1103" i="16" s="1"/>
  <c r="W1103" i="16"/>
  <c r="AC1103" i="16" s="1"/>
  <c r="V1103" i="16"/>
  <c r="AB1103" i="16" s="1"/>
  <c r="X1102" i="16"/>
  <c r="AD1102" i="16" s="1"/>
  <c r="W1102" i="16"/>
  <c r="AC1102" i="16" s="1"/>
  <c r="V1102" i="16"/>
  <c r="AB1102" i="16" s="1"/>
  <c r="X1101" i="16"/>
  <c r="AD1101" i="16" s="1"/>
  <c r="W1101" i="16"/>
  <c r="AC1101" i="16" s="1"/>
  <c r="V1101" i="16"/>
  <c r="AB1101" i="16" s="1"/>
  <c r="X1100" i="16"/>
  <c r="AD1100" i="16" s="1"/>
  <c r="W1100" i="16"/>
  <c r="AC1100" i="16" s="1"/>
  <c r="V1100" i="16"/>
  <c r="AB1100" i="16" s="1"/>
  <c r="X1099" i="16"/>
  <c r="AD1099" i="16" s="1"/>
  <c r="W1099" i="16"/>
  <c r="AC1099" i="16" s="1"/>
  <c r="V1099" i="16"/>
  <c r="AB1099" i="16" s="1"/>
  <c r="X1098" i="16"/>
  <c r="AD1098" i="16" s="1"/>
  <c r="W1098" i="16"/>
  <c r="AC1098" i="16" s="1"/>
  <c r="V1098" i="16"/>
  <c r="AB1098" i="16" s="1"/>
  <c r="X1097" i="16"/>
  <c r="AD1097" i="16" s="1"/>
  <c r="W1097" i="16"/>
  <c r="AC1097" i="16" s="1"/>
  <c r="V1097" i="16"/>
  <c r="AB1097" i="16" s="1"/>
  <c r="X1096" i="16"/>
  <c r="AD1096" i="16" s="1"/>
  <c r="W1096" i="16"/>
  <c r="AC1096" i="16" s="1"/>
  <c r="V1096" i="16"/>
  <c r="AB1096" i="16" s="1"/>
  <c r="X1095" i="16"/>
  <c r="AD1095" i="16" s="1"/>
  <c r="W1095" i="16"/>
  <c r="AC1095" i="16" s="1"/>
  <c r="V1095" i="16"/>
  <c r="AB1095" i="16" s="1"/>
  <c r="X1094" i="16"/>
  <c r="AD1094" i="16" s="1"/>
  <c r="W1094" i="16"/>
  <c r="AC1094" i="16" s="1"/>
  <c r="V1094" i="16"/>
  <c r="AB1094" i="16" s="1"/>
  <c r="X1093" i="16"/>
  <c r="AD1093" i="16" s="1"/>
  <c r="W1093" i="16"/>
  <c r="AC1093" i="16" s="1"/>
  <c r="V1093" i="16"/>
  <c r="AB1093" i="16" s="1"/>
  <c r="X1092" i="16"/>
  <c r="AD1092" i="16" s="1"/>
  <c r="W1092" i="16"/>
  <c r="AC1092" i="16" s="1"/>
  <c r="V1092" i="16"/>
  <c r="AB1092" i="16" s="1"/>
  <c r="X1091" i="16"/>
  <c r="AD1091" i="16" s="1"/>
  <c r="W1091" i="16"/>
  <c r="AC1091" i="16" s="1"/>
  <c r="V1091" i="16"/>
  <c r="AB1091" i="16" s="1"/>
  <c r="X1090" i="16"/>
  <c r="AD1090" i="16" s="1"/>
  <c r="W1090" i="16"/>
  <c r="AC1090" i="16" s="1"/>
  <c r="V1090" i="16"/>
  <c r="AB1090" i="16" s="1"/>
  <c r="X1089" i="16"/>
  <c r="AD1089" i="16" s="1"/>
  <c r="W1089" i="16"/>
  <c r="AC1089" i="16" s="1"/>
  <c r="V1089" i="16"/>
  <c r="AB1089" i="16" s="1"/>
  <c r="X1088" i="16"/>
  <c r="AD1088" i="16" s="1"/>
  <c r="W1088" i="16"/>
  <c r="AC1088" i="16" s="1"/>
  <c r="V1088" i="16"/>
  <c r="AB1088" i="16" s="1"/>
  <c r="X1087" i="16"/>
  <c r="AD1087" i="16" s="1"/>
  <c r="W1087" i="16"/>
  <c r="AC1087" i="16" s="1"/>
  <c r="V1087" i="16"/>
  <c r="AB1087" i="16" s="1"/>
  <c r="X1086" i="16"/>
  <c r="AD1086" i="16" s="1"/>
  <c r="W1086" i="16"/>
  <c r="AC1086" i="16" s="1"/>
  <c r="V1086" i="16"/>
  <c r="AB1086" i="16" s="1"/>
  <c r="X1085" i="16"/>
  <c r="AD1085" i="16" s="1"/>
  <c r="W1085" i="16"/>
  <c r="AC1085" i="16" s="1"/>
  <c r="V1085" i="16"/>
  <c r="AB1085" i="16" s="1"/>
  <c r="X1084" i="16"/>
  <c r="AD1084" i="16" s="1"/>
  <c r="W1084" i="16"/>
  <c r="AC1084" i="16" s="1"/>
  <c r="V1084" i="16"/>
  <c r="AB1084" i="16" s="1"/>
  <c r="X1083" i="16"/>
  <c r="AD1083" i="16" s="1"/>
  <c r="W1083" i="16"/>
  <c r="AC1083" i="16" s="1"/>
  <c r="V1083" i="16"/>
  <c r="AB1083" i="16" s="1"/>
  <c r="X1082" i="16"/>
  <c r="AD1082" i="16" s="1"/>
  <c r="W1082" i="16"/>
  <c r="AC1082" i="16" s="1"/>
  <c r="V1082" i="16"/>
  <c r="AB1082" i="16" s="1"/>
  <c r="X1081" i="16"/>
  <c r="AD1081" i="16" s="1"/>
  <c r="W1081" i="16"/>
  <c r="AC1081" i="16" s="1"/>
  <c r="V1081" i="16"/>
  <c r="AB1081" i="16" s="1"/>
  <c r="X1080" i="16"/>
  <c r="AD1080" i="16" s="1"/>
  <c r="W1080" i="16"/>
  <c r="AC1080" i="16" s="1"/>
  <c r="V1080" i="16"/>
  <c r="AB1080" i="16" s="1"/>
  <c r="X1079" i="16"/>
  <c r="AD1079" i="16" s="1"/>
  <c r="W1079" i="16"/>
  <c r="AC1079" i="16" s="1"/>
  <c r="V1079" i="16"/>
  <c r="AB1079" i="16" s="1"/>
  <c r="X1078" i="16"/>
  <c r="AD1078" i="16" s="1"/>
  <c r="W1078" i="16"/>
  <c r="AC1078" i="16" s="1"/>
  <c r="V1078" i="16"/>
  <c r="AB1078" i="16" s="1"/>
  <c r="X1077" i="16"/>
  <c r="AD1077" i="16" s="1"/>
  <c r="W1077" i="16"/>
  <c r="AC1077" i="16" s="1"/>
  <c r="V1077" i="16"/>
  <c r="AB1077" i="16" s="1"/>
  <c r="X1076" i="16"/>
  <c r="AD1076" i="16" s="1"/>
  <c r="W1076" i="16"/>
  <c r="AC1076" i="16" s="1"/>
  <c r="V1076" i="16"/>
  <c r="AB1076" i="16" s="1"/>
  <c r="X1075" i="16"/>
  <c r="AD1075" i="16" s="1"/>
  <c r="W1075" i="16"/>
  <c r="AC1075" i="16" s="1"/>
  <c r="V1075" i="16"/>
  <c r="AB1075" i="16" s="1"/>
  <c r="X1074" i="16"/>
  <c r="AD1074" i="16" s="1"/>
  <c r="W1074" i="16"/>
  <c r="AC1074" i="16" s="1"/>
  <c r="V1074" i="16"/>
  <c r="AB1074" i="16" s="1"/>
  <c r="X1073" i="16"/>
  <c r="AD1073" i="16" s="1"/>
  <c r="W1073" i="16"/>
  <c r="AC1073" i="16" s="1"/>
  <c r="V1073" i="16"/>
  <c r="AB1073" i="16" s="1"/>
  <c r="X1072" i="16"/>
  <c r="AD1072" i="16" s="1"/>
  <c r="W1072" i="16"/>
  <c r="AC1072" i="16" s="1"/>
  <c r="V1072" i="16"/>
  <c r="AB1072" i="16" s="1"/>
  <c r="X1071" i="16"/>
  <c r="AD1071" i="16" s="1"/>
  <c r="W1071" i="16"/>
  <c r="AC1071" i="16" s="1"/>
  <c r="V1071" i="16"/>
  <c r="AB1071" i="16" s="1"/>
  <c r="X1070" i="16"/>
  <c r="AD1070" i="16" s="1"/>
  <c r="W1070" i="16"/>
  <c r="AC1070" i="16" s="1"/>
  <c r="V1070" i="16"/>
  <c r="AB1070" i="16" s="1"/>
  <c r="X1069" i="16"/>
  <c r="AD1069" i="16" s="1"/>
  <c r="W1069" i="16"/>
  <c r="AC1069" i="16" s="1"/>
  <c r="V1069" i="16"/>
  <c r="AB1069" i="16" s="1"/>
  <c r="X1068" i="16"/>
  <c r="AD1068" i="16" s="1"/>
  <c r="W1068" i="16"/>
  <c r="AC1068" i="16" s="1"/>
  <c r="V1068" i="16"/>
  <c r="AB1068" i="16" s="1"/>
  <c r="X1067" i="16"/>
  <c r="AD1067" i="16" s="1"/>
  <c r="W1067" i="16"/>
  <c r="AC1067" i="16" s="1"/>
  <c r="V1067" i="16"/>
  <c r="AB1067" i="16" s="1"/>
  <c r="X1066" i="16"/>
  <c r="AD1066" i="16" s="1"/>
  <c r="W1066" i="16"/>
  <c r="AC1066" i="16" s="1"/>
  <c r="V1066" i="16"/>
  <c r="AB1066" i="16" s="1"/>
  <c r="X1065" i="16"/>
  <c r="AD1065" i="16" s="1"/>
  <c r="W1065" i="16"/>
  <c r="AC1065" i="16" s="1"/>
  <c r="V1065" i="16"/>
  <c r="AB1065" i="16" s="1"/>
  <c r="X1064" i="16"/>
  <c r="AD1064" i="16" s="1"/>
  <c r="W1064" i="16"/>
  <c r="AC1064" i="16" s="1"/>
  <c r="V1064" i="16"/>
  <c r="AB1064" i="16" s="1"/>
  <c r="X1063" i="16"/>
  <c r="AD1063" i="16" s="1"/>
  <c r="W1063" i="16"/>
  <c r="AC1063" i="16" s="1"/>
  <c r="V1063" i="16"/>
  <c r="AB1063" i="16" s="1"/>
  <c r="X1062" i="16"/>
  <c r="AD1062" i="16" s="1"/>
  <c r="W1062" i="16"/>
  <c r="AC1062" i="16" s="1"/>
  <c r="V1062" i="16"/>
  <c r="AB1062" i="16" s="1"/>
  <c r="X1061" i="16"/>
  <c r="AD1061" i="16" s="1"/>
  <c r="W1061" i="16"/>
  <c r="AC1061" i="16" s="1"/>
  <c r="V1061" i="16"/>
  <c r="AB1061" i="16" s="1"/>
  <c r="X1060" i="16"/>
  <c r="AD1060" i="16" s="1"/>
  <c r="W1060" i="16"/>
  <c r="AC1060" i="16" s="1"/>
  <c r="V1060" i="16"/>
  <c r="AB1060" i="16" s="1"/>
  <c r="X1059" i="16"/>
  <c r="AD1059" i="16" s="1"/>
  <c r="W1059" i="16"/>
  <c r="AC1059" i="16" s="1"/>
  <c r="V1059" i="16"/>
  <c r="AB1059" i="16" s="1"/>
  <c r="X1058" i="16"/>
  <c r="AD1058" i="16" s="1"/>
  <c r="W1058" i="16"/>
  <c r="AC1058" i="16" s="1"/>
  <c r="V1058" i="16"/>
  <c r="AB1058" i="16" s="1"/>
  <c r="X1057" i="16"/>
  <c r="AD1057" i="16" s="1"/>
  <c r="W1057" i="16"/>
  <c r="AC1057" i="16" s="1"/>
  <c r="V1057" i="16"/>
  <c r="AB1057" i="16" s="1"/>
  <c r="X1056" i="16"/>
  <c r="AD1056" i="16" s="1"/>
  <c r="W1056" i="16"/>
  <c r="AC1056" i="16" s="1"/>
  <c r="V1056" i="16"/>
  <c r="AB1056" i="16" s="1"/>
  <c r="X1055" i="16"/>
  <c r="AD1055" i="16" s="1"/>
  <c r="W1055" i="16"/>
  <c r="AC1055" i="16" s="1"/>
  <c r="V1055" i="16"/>
  <c r="AB1055" i="16" s="1"/>
  <c r="X1054" i="16"/>
  <c r="AD1054" i="16" s="1"/>
  <c r="W1054" i="16"/>
  <c r="AC1054" i="16" s="1"/>
  <c r="V1054" i="16"/>
  <c r="AB1054" i="16" s="1"/>
  <c r="X1053" i="16"/>
  <c r="AD1053" i="16" s="1"/>
  <c r="W1053" i="16"/>
  <c r="AC1053" i="16" s="1"/>
  <c r="V1053" i="16"/>
  <c r="AB1053" i="16" s="1"/>
  <c r="X1052" i="16"/>
  <c r="AD1052" i="16" s="1"/>
  <c r="W1052" i="16"/>
  <c r="AC1052" i="16" s="1"/>
  <c r="V1052" i="16"/>
  <c r="AB1052" i="16" s="1"/>
  <c r="X1051" i="16"/>
  <c r="AD1051" i="16" s="1"/>
  <c r="W1051" i="16"/>
  <c r="AC1051" i="16" s="1"/>
  <c r="V1051" i="16"/>
  <c r="AB1051" i="16" s="1"/>
  <c r="X1050" i="16"/>
  <c r="AD1050" i="16" s="1"/>
  <c r="W1050" i="16"/>
  <c r="AC1050" i="16" s="1"/>
  <c r="V1050" i="16"/>
  <c r="AB1050" i="16" s="1"/>
  <c r="X1049" i="16"/>
  <c r="AD1049" i="16" s="1"/>
  <c r="W1049" i="16"/>
  <c r="AC1049" i="16" s="1"/>
  <c r="V1049" i="16"/>
  <c r="AB1049" i="16" s="1"/>
  <c r="X1048" i="16"/>
  <c r="AD1048" i="16" s="1"/>
  <c r="W1048" i="16"/>
  <c r="AC1048" i="16" s="1"/>
  <c r="V1048" i="16"/>
  <c r="AB1048" i="16" s="1"/>
  <c r="X1047" i="16"/>
  <c r="AD1047" i="16" s="1"/>
  <c r="W1047" i="16"/>
  <c r="AC1047" i="16" s="1"/>
  <c r="V1047" i="16"/>
  <c r="AB1047" i="16" s="1"/>
  <c r="X1046" i="16"/>
  <c r="AD1046" i="16" s="1"/>
  <c r="W1046" i="16"/>
  <c r="AC1046" i="16" s="1"/>
  <c r="V1046" i="16"/>
  <c r="AB1046" i="16" s="1"/>
  <c r="X1045" i="16"/>
  <c r="AD1045" i="16" s="1"/>
  <c r="W1045" i="16"/>
  <c r="AC1045" i="16" s="1"/>
  <c r="V1045" i="16"/>
  <c r="AB1045" i="16" s="1"/>
  <c r="X1044" i="16"/>
  <c r="AD1044" i="16" s="1"/>
  <c r="W1044" i="16"/>
  <c r="AC1044" i="16" s="1"/>
  <c r="V1044" i="16"/>
  <c r="AB1044" i="16" s="1"/>
  <c r="X1043" i="16"/>
  <c r="AD1043" i="16" s="1"/>
  <c r="W1043" i="16"/>
  <c r="AC1043" i="16" s="1"/>
  <c r="V1043" i="16"/>
  <c r="AB1043" i="16" s="1"/>
  <c r="X1042" i="16"/>
  <c r="AD1042" i="16" s="1"/>
  <c r="W1042" i="16"/>
  <c r="AC1042" i="16" s="1"/>
  <c r="V1042" i="16"/>
  <c r="AB1042" i="16" s="1"/>
  <c r="X1041" i="16"/>
  <c r="AD1041" i="16" s="1"/>
  <c r="W1041" i="16"/>
  <c r="AC1041" i="16" s="1"/>
  <c r="V1041" i="16"/>
  <c r="AB1041" i="16" s="1"/>
  <c r="X1040" i="16"/>
  <c r="AD1040" i="16" s="1"/>
  <c r="W1040" i="16"/>
  <c r="AC1040" i="16" s="1"/>
  <c r="V1040" i="16"/>
  <c r="AB1040" i="16" s="1"/>
  <c r="X1039" i="16"/>
  <c r="AD1039" i="16" s="1"/>
  <c r="W1039" i="16"/>
  <c r="AC1039" i="16" s="1"/>
  <c r="V1039" i="16"/>
  <c r="AB1039" i="16" s="1"/>
  <c r="X1038" i="16"/>
  <c r="AD1038" i="16" s="1"/>
  <c r="W1038" i="16"/>
  <c r="AC1038" i="16" s="1"/>
  <c r="V1038" i="16"/>
  <c r="AB1038" i="16" s="1"/>
  <c r="X1037" i="16"/>
  <c r="AD1037" i="16" s="1"/>
  <c r="W1037" i="16"/>
  <c r="AC1037" i="16" s="1"/>
  <c r="V1037" i="16"/>
  <c r="AB1037" i="16" s="1"/>
  <c r="X1036" i="16"/>
  <c r="AD1036" i="16" s="1"/>
  <c r="W1036" i="16"/>
  <c r="AC1036" i="16" s="1"/>
  <c r="V1036" i="16"/>
  <c r="AB1036" i="16" s="1"/>
  <c r="X1035" i="16"/>
  <c r="AD1035" i="16" s="1"/>
  <c r="W1035" i="16"/>
  <c r="AC1035" i="16" s="1"/>
  <c r="V1035" i="16"/>
  <c r="AB1035" i="16" s="1"/>
  <c r="X1034" i="16"/>
  <c r="AD1034" i="16" s="1"/>
  <c r="W1034" i="16"/>
  <c r="AC1034" i="16" s="1"/>
  <c r="V1034" i="16"/>
  <c r="AB1034" i="16" s="1"/>
  <c r="X1033" i="16"/>
  <c r="AD1033" i="16" s="1"/>
  <c r="W1033" i="16"/>
  <c r="AC1033" i="16" s="1"/>
  <c r="V1033" i="16"/>
  <c r="AB1033" i="16" s="1"/>
  <c r="X1032" i="16"/>
  <c r="AD1032" i="16" s="1"/>
  <c r="W1032" i="16"/>
  <c r="AC1032" i="16" s="1"/>
  <c r="V1032" i="16"/>
  <c r="AB1032" i="16" s="1"/>
  <c r="X1031" i="16"/>
  <c r="AD1031" i="16" s="1"/>
  <c r="W1031" i="16"/>
  <c r="AC1031" i="16" s="1"/>
  <c r="V1031" i="16"/>
  <c r="AB1031" i="16" s="1"/>
  <c r="X1030" i="16"/>
  <c r="AD1030" i="16" s="1"/>
  <c r="W1030" i="16"/>
  <c r="AC1030" i="16" s="1"/>
  <c r="V1030" i="16"/>
  <c r="AB1030" i="16" s="1"/>
  <c r="X1029" i="16"/>
  <c r="AD1029" i="16" s="1"/>
  <c r="W1029" i="16"/>
  <c r="AC1029" i="16" s="1"/>
  <c r="V1029" i="16"/>
  <c r="AB1029" i="16" s="1"/>
  <c r="X1028" i="16"/>
  <c r="AD1028" i="16" s="1"/>
  <c r="W1028" i="16"/>
  <c r="AC1028" i="16" s="1"/>
  <c r="V1028" i="16"/>
  <c r="AB1028" i="16" s="1"/>
  <c r="X1027" i="16"/>
  <c r="AD1027" i="16" s="1"/>
  <c r="W1027" i="16"/>
  <c r="AC1027" i="16" s="1"/>
  <c r="V1027" i="16"/>
  <c r="AB1027" i="16" s="1"/>
  <c r="X1026" i="16"/>
  <c r="AD1026" i="16" s="1"/>
  <c r="W1026" i="16"/>
  <c r="AC1026" i="16" s="1"/>
  <c r="V1026" i="16"/>
  <c r="AB1026" i="16" s="1"/>
  <c r="X1025" i="16"/>
  <c r="AD1025" i="16" s="1"/>
  <c r="W1025" i="16"/>
  <c r="AC1025" i="16" s="1"/>
  <c r="V1025" i="16"/>
  <c r="AB1025" i="16" s="1"/>
  <c r="X1024" i="16"/>
  <c r="AD1024" i="16" s="1"/>
  <c r="W1024" i="16"/>
  <c r="AC1024" i="16" s="1"/>
  <c r="V1024" i="16"/>
  <c r="AB1024" i="16" s="1"/>
  <c r="X1023" i="16"/>
  <c r="AD1023" i="16" s="1"/>
  <c r="W1023" i="16"/>
  <c r="AC1023" i="16" s="1"/>
  <c r="V1023" i="16"/>
  <c r="AB1023" i="16" s="1"/>
  <c r="X1022" i="16"/>
  <c r="AD1022" i="16" s="1"/>
  <c r="W1022" i="16"/>
  <c r="AC1022" i="16" s="1"/>
  <c r="V1022" i="16"/>
  <c r="AB1022" i="16" s="1"/>
  <c r="X1021" i="16"/>
  <c r="AD1021" i="16" s="1"/>
  <c r="W1021" i="16"/>
  <c r="AC1021" i="16" s="1"/>
  <c r="V1021" i="16"/>
  <c r="AB1021" i="16" s="1"/>
  <c r="X1020" i="16"/>
  <c r="AD1020" i="16" s="1"/>
  <c r="W1020" i="16"/>
  <c r="AC1020" i="16" s="1"/>
  <c r="V1020" i="16"/>
  <c r="AB1020" i="16" s="1"/>
  <c r="X1019" i="16"/>
  <c r="AD1019" i="16" s="1"/>
  <c r="W1019" i="16"/>
  <c r="AC1019" i="16" s="1"/>
  <c r="V1019" i="16"/>
  <c r="AB1019" i="16" s="1"/>
  <c r="X1018" i="16"/>
  <c r="AD1018" i="16" s="1"/>
  <c r="W1018" i="16"/>
  <c r="AC1018" i="16" s="1"/>
  <c r="V1018" i="16"/>
  <c r="AB1018" i="16" s="1"/>
  <c r="X1017" i="16"/>
  <c r="AD1017" i="16" s="1"/>
  <c r="W1017" i="16"/>
  <c r="AC1017" i="16" s="1"/>
  <c r="V1017" i="16"/>
  <c r="AB1017" i="16" s="1"/>
  <c r="X1016" i="16"/>
  <c r="AD1016" i="16" s="1"/>
  <c r="W1016" i="16"/>
  <c r="AC1016" i="16" s="1"/>
  <c r="V1016" i="16"/>
  <c r="AB1016" i="16" s="1"/>
  <c r="X1015" i="16"/>
  <c r="AD1015" i="16" s="1"/>
  <c r="W1015" i="16"/>
  <c r="AC1015" i="16" s="1"/>
  <c r="V1015" i="16"/>
  <c r="AB1015" i="16" s="1"/>
  <c r="X1014" i="16"/>
  <c r="AD1014" i="16" s="1"/>
  <c r="W1014" i="16"/>
  <c r="AC1014" i="16" s="1"/>
  <c r="V1014" i="16"/>
  <c r="AB1014" i="16" s="1"/>
  <c r="X1013" i="16"/>
  <c r="AD1013" i="16" s="1"/>
  <c r="W1013" i="16"/>
  <c r="AC1013" i="16" s="1"/>
  <c r="V1013" i="16"/>
  <c r="AB1013" i="16" s="1"/>
  <c r="X1012" i="16"/>
  <c r="AD1012" i="16" s="1"/>
  <c r="W1012" i="16"/>
  <c r="AC1012" i="16" s="1"/>
  <c r="V1012" i="16"/>
  <c r="AB1012" i="16" s="1"/>
  <c r="X1011" i="16"/>
  <c r="AD1011" i="16" s="1"/>
  <c r="W1011" i="16"/>
  <c r="AC1011" i="16" s="1"/>
  <c r="V1011" i="16"/>
  <c r="AB1011" i="16" s="1"/>
  <c r="X1010" i="16"/>
  <c r="AD1010" i="16" s="1"/>
  <c r="W1010" i="16"/>
  <c r="AC1010" i="16" s="1"/>
  <c r="V1010" i="16"/>
  <c r="AB1010" i="16" s="1"/>
  <c r="X1009" i="16"/>
  <c r="AD1009" i="16" s="1"/>
  <c r="W1009" i="16"/>
  <c r="AC1009" i="16" s="1"/>
  <c r="V1009" i="16"/>
  <c r="AB1009" i="16" s="1"/>
  <c r="X1008" i="16"/>
  <c r="AD1008" i="16" s="1"/>
  <c r="W1008" i="16"/>
  <c r="AC1008" i="16" s="1"/>
  <c r="V1008" i="16"/>
  <c r="AB1008" i="16" s="1"/>
  <c r="X1007" i="16"/>
  <c r="AD1007" i="16" s="1"/>
  <c r="W1007" i="16"/>
  <c r="AC1007" i="16" s="1"/>
  <c r="V1007" i="16"/>
  <c r="AB1007" i="16" s="1"/>
  <c r="X1006" i="16"/>
  <c r="AD1006" i="16" s="1"/>
  <c r="W1006" i="16"/>
  <c r="AC1006" i="16" s="1"/>
  <c r="V1006" i="16"/>
  <c r="AB1006" i="16" s="1"/>
  <c r="X1005" i="16"/>
  <c r="AD1005" i="16" s="1"/>
  <c r="W1005" i="16"/>
  <c r="AC1005" i="16" s="1"/>
  <c r="V1005" i="16"/>
  <c r="AB1005" i="16" s="1"/>
  <c r="X1004" i="16"/>
  <c r="AD1004" i="16" s="1"/>
  <c r="W1004" i="16"/>
  <c r="AC1004" i="16" s="1"/>
  <c r="V1004" i="16"/>
  <c r="AB1004" i="16" s="1"/>
  <c r="X1003" i="16"/>
  <c r="AD1003" i="16" s="1"/>
  <c r="W1003" i="16"/>
  <c r="AC1003" i="16" s="1"/>
  <c r="V1003" i="16"/>
  <c r="AB1003" i="16" s="1"/>
  <c r="X1002" i="16"/>
  <c r="AD1002" i="16" s="1"/>
  <c r="W1002" i="16"/>
  <c r="AC1002" i="16" s="1"/>
  <c r="V1002" i="16"/>
  <c r="AB1002" i="16" s="1"/>
  <c r="X1001" i="16"/>
  <c r="AD1001" i="16" s="1"/>
  <c r="W1001" i="16"/>
  <c r="AC1001" i="16" s="1"/>
  <c r="V1001" i="16"/>
  <c r="AB1001" i="16" s="1"/>
  <c r="X1000" i="16"/>
  <c r="AD1000" i="16" s="1"/>
  <c r="W1000" i="16"/>
  <c r="AC1000" i="16" s="1"/>
  <c r="V1000" i="16"/>
  <c r="AB1000" i="16" s="1"/>
  <c r="X999" i="16"/>
  <c r="AD999" i="16" s="1"/>
  <c r="W999" i="16"/>
  <c r="AC999" i="16" s="1"/>
  <c r="V999" i="16"/>
  <c r="AB999" i="16" s="1"/>
  <c r="X998" i="16"/>
  <c r="AD998" i="16" s="1"/>
  <c r="W998" i="16"/>
  <c r="AC998" i="16" s="1"/>
  <c r="V998" i="16"/>
  <c r="AB998" i="16" s="1"/>
  <c r="X997" i="16"/>
  <c r="AD997" i="16" s="1"/>
  <c r="W997" i="16"/>
  <c r="AC997" i="16" s="1"/>
  <c r="V997" i="16"/>
  <c r="AB997" i="16" s="1"/>
  <c r="X996" i="16"/>
  <c r="AD996" i="16" s="1"/>
  <c r="W996" i="16"/>
  <c r="AC996" i="16" s="1"/>
  <c r="V996" i="16"/>
  <c r="AB996" i="16" s="1"/>
  <c r="X995" i="16"/>
  <c r="AD995" i="16" s="1"/>
  <c r="W995" i="16"/>
  <c r="AC995" i="16" s="1"/>
  <c r="V995" i="16"/>
  <c r="AB995" i="16" s="1"/>
  <c r="X994" i="16"/>
  <c r="AD994" i="16" s="1"/>
  <c r="W994" i="16"/>
  <c r="AC994" i="16" s="1"/>
  <c r="V994" i="16"/>
  <c r="AB994" i="16" s="1"/>
  <c r="X993" i="16"/>
  <c r="AD993" i="16" s="1"/>
  <c r="W993" i="16"/>
  <c r="AC993" i="16" s="1"/>
  <c r="V993" i="16"/>
  <c r="AB993" i="16" s="1"/>
  <c r="X992" i="16"/>
  <c r="AD992" i="16" s="1"/>
  <c r="W992" i="16"/>
  <c r="AC992" i="16" s="1"/>
  <c r="V992" i="16"/>
  <c r="AB992" i="16" s="1"/>
  <c r="X991" i="16"/>
  <c r="AD991" i="16" s="1"/>
  <c r="W991" i="16"/>
  <c r="AC991" i="16" s="1"/>
  <c r="V991" i="16"/>
  <c r="AB991" i="16" s="1"/>
  <c r="X990" i="16"/>
  <c r="AD990" i="16" s="1"/>
  <c r="W990" i="16"/>
  <c r="AC990" i="16" s="1"/>
  <c r="V990" i="16"/>
  <c r="AB990" i="16" s="1"/>
  <c r="X989" i="16"/>
  <c r="AD989" i="16" s="1"/>
  <c r="W989" i="16"/>
  <c r="AC989" i="16" s="1"/>
  <c r="V989" i="16"/>
  <c r="AB989" i="16" s="1"/>
  <c r="X988" i="16"/>
  <c r="AD988" i="16" s="1"/>
  <c r="W988" i="16"/>
  <c r="AC988" i="16" s="1"/>
  <c r="V988" i="16"/>
  <c r="AB988" i="16" s="1"/>
  <c r="X987" i="16"/>
  <c r="AD987" i="16" s="1"/>
  <c r="W987" i="16"/>
  <c r="AC987" i="16" s="1"/>
  <c r="V987" i="16"/>
  <c r="AB987" i="16" s="1"/>
  <c r="X986" i="16"/>
  <c r="AD986" i="16" s="1"/>
  <c r="W986" i="16"/>
  <c r="AC986" i="16" s="1"/>
  <c r="V986" i="16"/>
  <c r="AB986" i="16" s="1"/>
  <c r="X985" i="16"/>
  <c r="AD985" i="16" s="1"/>
  <c r="W985" i="16"/>
  <c r="AC985" i="16" s="1"/>
  <c r="V985" i="16"/>
  <c r="AB985" i="16" s="1"/>
  <c r="X984" i="16"/>
  <c r="AD984" i="16" s="1"/>
  <c r="W984" i="16"/>
  <c r="AC984" i="16" s="1"/>
  <c r="V984" i="16"/>
  <c r="AB984" i="16" s="1"/>
  <c r="X983" i="16"/>
  <c r="AD983" i="16" s="1"/>
  <c r="W983" i="16"/>
  <c r="AC983" i="16" s="1"/>
  <c r="V983" i="16"/>
  <c r="AB983" i="16" s="1"/>
  <c r="X982" i="16"/>
  <c r="AD982" i="16" s="1"/>
  <c r="W982" i="16"/>
  <c r="AC982" i="16" s="1"/>
  <c r="V982" i="16"/>
  <c r="AB982" i="16" s="1"/>
  <c r="X981" i="16"/>
  <c r="AD981" i="16" s="1"/>
  <c r="W981" i="16"/>
  <c r="AC981" i="16" s="1"/>
  <c r="V981" i="16"/>
  <c r="AB981" i="16" s="1"/>
  <c r="V980" i="16"/>
  <c r="AB980" i="16" s="1"/>
  <c r="V979" i="16"/>
  <c r="AB979" i="16" s="1"/>
  <c r="V978" i="16"/>
  <c r="AB978" i="16" s="1"/>
  <c r="V977" i="16"/>
  <c r="AB977" i="16" s="1"/>
  <c r="V976" i="16"/>
  <c r="AB976" i="16" s="1"/>
  <c r="V975" i="16"/>
  <c r="AB975" i="16" s="1"/>
  <c r="V974" i="16"/>
  <c r="AB974" i="16" s="1"/>
  <c r="V973" i="16"/>
  <c r="AB973" i="16" s="1"/>
  <c r="V972" i="16"/>
  <c r="AB972" i="16" s="1"/>
  <c r="V971" i="16"/>
  <c r="AB971" i="16" s="1"/>
  <c r="V970" i="16"/>
  <c r="AB970" i="16" s="1"/>
  <c r="V969" i="16"/>
  <c r="AB969" i="16" s="1"/>
  <c r="V968" i="16"/>
  <c r="AB968" i="16" s="1"/>
  <c r="V967" i="16"/>
  <c r="AB967" i="16" s="1"/>
  <c r="V966" i="16"/>
  <c r="AB966" i="16" s="1"/>
  <c r="V965" i="16"/>
  <c r="AB965" i="16" s="1"/>
  <c r="V964" i="16"/>
  <c r="AB964" i="16" s="1"/>
  <c r="V963" i="16"/>
  <c r="AB963" i="16" s="1"/>
  <c r="V962" i="16"/>
  <c r="AB962" i="16" s="1"/>
  <c r="V961" i="16"/>
  <c r="AB961" i="16" s="1"/>
  <c r="V960" i="16"/>
  <c r="AB960" i="16" s="1"/>
  <c r="V959" i="16"/>
  <c r="AB959" i="16" s="1"/>
  <c r="V958" i="16"/>
  <c r="AB958" i="16" s="1"/>
  <c r="V957" i="16"/>
  <c r="AB957" i="16" s="1"/>
  <c r="V956" i="16"/>
  <c r="AB956" i="16" s="1"/>
  <c r="V955" i="16"/>
  <c r="AB955" i="16" s="1"/>
  <c r="X954" i="16"/>
  <c r="AD954" i="16" s="1"/>
  <c r="W954" i="16"/>
  <c r="AC954" i="16" s="1"/>
  <c r="X953" i="16"/>
  <c r="AD953" i="16" s="1"/>
  <c r="W953" i="16"/>
  <c r="AC953" i="16" s="1"/>
  <c r="X952" i="16"/>
  <c r="AD952" i="16" s="1"/>
  <c r="W952" i="16"/>
  <c r="AC952" i="16" s="1"/>
  <c r="X951" i="16"/>
  <c r="AD951" i="16" s="1"/>
  <c r="W951" i="16"/>
  <c r="AC951" i="16" s="1"/>
  <c r="X950" i="16"/>
  <c r="AD950" i="16" s="1"/>
  <c r="W950" i="16"/>
  <c r="AC950" i="16" s="1"/>
  <c r="X949" i="16"/>
  <c r="AD949" i="16" s="1"/>
  <c r="W949" i="16"/>
  <c r="AC949" i="16" s="1"/>
  <c r="X948" i="16"/>
  <c r="AD948" i="16" s="1"/>
  <c r="W948" i="16"/>
  <c r="AC948" i="16" s="1"/>
  <c r="X947" i="16"/>
  <c r="AD947" i="16" s="1"/>
  <c r="W947" i="16"/>
  <c r="AC947" i="16" s="1"/>
  <c r="X946" i="16"/>
  <c r="AD946" i="16" s="1"/>
  <c r="W946" i="16"/>
  <c r="AC946" i="16" s="1"/>
  <c r="X945" i="16"/>
  <c r="AD945" i="16" s="1"/>
  <c r="W945" i="16"/>
  <c r="AC945" i="16" s="1"/>
  <c r="X944" i="16"/>
  <c r="AD944" i="16" s="1"/>
  <c r="W944" i="16"/>
  <c r="AC944" i="16" s="1"/>
  <c r="X943" i="16"/>
  <c r="AD943" i="16" s="1"/>
  <c r="W943" i="16"/>
  <c r="AC943" i="16" s="1"/>
  <c r="X942" i="16"/>
  <c r="AD942" i="16" s="1"/>
  <c r="W942" i="16"/>
  <c r="AC942" i="16" s="1"/>
  <c r="X941" i="16"/>
  <c r="AD941" i="16" s="1"/>
  <c r="W941" i="16"/>
  <c r="AC941" i="16" s="1"/>
  <c r="X940" i="16"/>
  <c r="AD940" i="16" s="1"/>
  <c r="W940" i="16"/>
  <c r="AC940" i="16" s="1"/>
  <c r="X939" i="16"/>
  <c r="AD939" i="16" s="1"/>
  <c r="W939" i="16"/>
  <c r="AC939" i="16" s="1"/>
  <c r="X938" i="16"/>
  <c r="AD938" i="16" s="1"/>
  <c r="W938" i="16"/>
  <c r="AC938" i="16" s="1"/>
  <c r="X937" i="16"/>
  <c r="AD937" i="16" s="1"/>
  <c r="W937" i="16"/>
  <c r="AC937" i="16" s="1"/>
  <c r="X936" i="16"/>
  <c r="AD936" i="16" s="1"/>
  <c r="W936" i="16"/>
  <c r="AC936" i="16" s="1"/>
  <c r="X935" i="16"/>
  <c r="AD935" i="16" s="1"/>
  <c r="W935" i="16"/>
  <c r="AC935" i="16" s="1"/>
  <c r="X934" i="16"/>
  <c r="AD934" i="16" s="1"/>
  <c r="W934" i="16"/>
  <c r="AC934" i="16" s="1"/>
  <c r="X933" i="16"/>
  <c r="AD933" i="16" s="1"/>
  <c r="W933" i="16"/>
  <c r="AC933" i="16" s="1"/>
  <c r="X932" i="16"/>
  <c r="AD932" i="16" s="1"/>
  <c r="W932" i="16"/>
  <c r="AC932" i="16" s="1"/>
  <c r="X931" i="16"/>
  <c r="AD931" i="16" s="1"/>
  <c r="W931" i="16"/>
  <c r="AC931" i="16" s="1"/>
  <c r="V930" i="16"/>
  <c r="AB930" i="16" s="1"/>
  <c r="V929" i="16"/>
  <c r="AB929" i="16" s="1"/>
  <c r="V928" i="16"/>
  <c r="AB928" i="16" s="1"/>
  <c r="V927" i="16"/>
  <c r="AB927" i="16" s="1"/>
  <c r="V926" i="16"/>
  <c r="AB926" i="16" s="1"/>
  <c r="V925" i="16"/>
  <c r="AB925" i="16" s="1"/>
  <c r="V924" i="16"/>
  <c r="AB924" i="16" s="1"/>
  <c r="V923" i="16"/>
  <c r="AB923" i="16" s="1"/>
  <c r="V922" i="16"/>
  <c r="AB922" i="16" s="1"/>
  <c r="V921" i="16"/>
  <c r="AB921" i="16" s="1"/>
  <c r="V920" i="16"/>
  <c r="AB920" i="16" s="1"/>
  <c r="V919" i="16"/>
  <c r="AB919" i="16" s="1"/>
  <c r="V918" i="16"/>
  <c r="AB918" i="16" s="1"/>
  <c r="V917" i="16"/>
  <c r="AB917" i="16" s="1"/>
  <c r="V916" i="16"/>
  <c r="AB916" i="16" s="1"/>
  <c r="V915" i="16"/>
  <c r="AB915" i="16" s="1"/>
  <c r="V914" i="16"/>
  <c r="AB914" i="16" s="1"/>
  <c r="V913" i="16"/>
  <c r="AB913" i="16" s="1"/>
  <c r="V912" i="16"/>
  <c r="AB912" i="16" s="1"/>
  <c r="V911" i="16"/>
  <c r="AB911" i="16" s="1"/>
  <c r="V910" i="16"/>
  <c r="AB910" i="16" s="1"/>
  <c r="V909" i="16"/>
  <c r="AB909" i="16" s="1"/>
  <c r="V908" i="16"/>
  <c r="AB908" i="16" s="1"/>
  <c r="V907" i="16"/>
  <c r="AB907" i="16" s="1"/>
  <c r="V906" i="16"/>
  <c r="AB906" i="16" s="1"/>
  <c r="V905" i="16"/>
  <c r="AB905" i="16" s="1"/>
  <c r="V904" i="16"/>
  <c r="AB904" i="16" s="1"/>
  <c r="V903" i="16"/>
  <c r="AB903" i="16" s="1"/>
  <c r="X902" i="16"/>
  <c r="AD902" i="16" s="1"/>
  <c r="W902" i="16"/>
  <c r="AC902" i="16" s="1"/>
  <c r="X901" i="16"/>
  <c r="AD901" i="16" s="1"/>
  <c r="W901" i="16"/>
  <c r="AC901" i="16" s="1"/>
  <c r="X900" i="16"/>
  <c r="AD900" i="16" s="1"/>
  <c r="W900" i="16"/>
  <c r="AC900" i="16" s="1"/>
  <c r="X899" i="16"/>
  <c r="AD899" i="16" s="1"/>
  <c r="W899" i="16"/>
  <c r="AC899" i="16" s="1"/>
  <c r="V898" i="16"/>
  <c r="AB898" i="16" s="1"/>
  <c r="V897" i="16"/>
  <c r="AB897" i="16" s="1"/>
  <c r="V896" i="16"/>
  <c r="AB896" i="16" s="1"/>
  <c r="V895" i="16"/>
  <c r="AB895" i="16" s="1"/>
  <c r="V894" i="16"/>
  <c r="AB894" i="16" s="1"/>
  <c r="X893" i="16"/>
  <c r="AD893" i="16" s="1"/>
  <c r="W893" i="16"/>
  <c r="AC893" i="16" s="1"/>
  <c r="V893" i="16"/>
  <c r="AB893" i="16" s="1"/>
  <c r="X892" i="16"/>
  <c r="AD892" i="16" s="1"/>
  <c r="W892" i="16"/>
  <c r="AC892" i="16" s="1"/>
  <c r="V892" i="16"/>
  <c r="AB892" i="16" s="1"/>
  <c r="X891" i="16"/>
  <c r="AD891" i="16" s="1"/>
  <c r="W891" i="16"/>
  <c r="AC891" i="16" s="1"/>
  <c r="V891" i="16"/>
  <c r="AB891" i="16" s="1"/>
  <c r="X890" i="16"/>
  <c r="AD890" i="16" s="1"/>
  <c r="W890" i="16"/>
  <c r="AC890" i="16" s="1"/>
  <c r="V890" i="16"/>
  <c r="AB890" i="16" s="1"/>
  <c r="X889" i="16"/>
  <c r="AD889" i="16" s="1"/>
  <c r="W889" i="16"/>
  <c r="AC889" i="16" s="1"/>
  <c r="V889" i="16"/>
  <c r="AB889" i="16" s="1"/>
  <c r="X888" i="16"/>
  <c r="AD888" i="16" s="1"/>
  <c r="W888" i="16"/>
  <c r="AC888" i="16" s="1"/>
  <c r="V888" i="16"/>
  <c r="AB888" i="16" s="1"/>
  <c r="X887" i="16"/>
  <c r="AD887" i="16" s="1"/>
  <c r="W887" i="16"/>
  <c r="AC887" i="16" s="1"/>
  <c r="V887" i="16"/>
  <c r="AB887" i="16" s="1"/>
  <c r="X886" i="16"/>
  <c r="AD886" i="16" s="1"/>
  <c r="W886" i="16"/>
  <c r="AC886" i="16" s="1"/>
  <c r="V886" i="16"/>
  <c r="AB886" i="16" s="1"/>
  <c r="X885" i="16"/>
  <c r="AD885" i="16" s="1"/>
  <c r="W885" i="16"/>
  <c r="AC885" i="16" s="1"/>
  <c r="V885" i="16"/>
  <c r="AB885" i="16" s="1"/>
  <c r="X884" i="16"/>
  <c r="AD884" i="16" s="1"/>
  <c r="W884" i="16"/>
  <c r="AC884" i="16" s="1"/>
  <c r="V884" i="16"/>
  <c r="AB884" i="16" s="1"/>
  <c r="X883" i="16"/>
  <c r="AD883" i="16" s="1"/>
  <c r="W883" i="16"/>
  <c r="AC883" i="16" s="1"/>
  <c r="V883" i="16"/>
  <c r="AB883" i="16" s="1"/>
  <c r="X882" i="16"/>
  <c r="AD882" i="16" s="1"/>
  <c r="W882" i="16"/>
  <c r="AC882" i="16" s="1"/>
  <c r="V882" i="16"/>
  <c r="AB882" i="16" s="1"/>
  <c r="X881" i="16"/>
  <c r="AD881" i="16" s="1"/>
  <c r="W881" i="16"/>
  <c r="AC881" i="16" s="1"/>
  <c r="V881" i="16"/>
  <c r="AB881" i="16" s="1"/>
  <c r="X880" i="16"/>
  <c r="AD880" i="16" s="1"/>
  <c r="W880" i="16"/>
  <c r="AC880" i="16" s="1"/>
  <c r="V880" i="16"/>
  <c r="AB880" i="16" s="1"/>
  <c r="X879" i="16"/>
  <c r="AD879" i="16" s="1"/>
  <c r="W879" i="16"/>
  <c r="AC879" i="16" s="1"/>
  <c r="V879" i="16"/>
  <c r="AB879" i="16" s="1"/>
  <c r="X878" i="16"/>
  <c r="AD878" i="16" s="1"/>
  <c r="W878" i="16"/>
  <c r="AC878" i="16" s="1"/>
  <c r="V878" i="16"/>
  <c r="AB878" i="16" s="1"/>
  <c r="X877" i="16"/>
  <c r="AD877" i="16" s="1"/>
  <c r="W877" i="16"/>
  <c r="AC877" i="16" s="1"/>
  <c r="V877" i="16"/>
  <c r="AB877" i="16" s="1"/>
  <c r="X876" i="16"/>
  <c r="AD876" i="16" s="1"/>
  <c r="W876" i="16"/>
  <c r="AC876" i="16" s="1"/>
  <c r="V876" i="16"/>
  <c r="AB876" i="16" s="1"/>
  <c r="X875" i="16"/>
  <c r="AD875" i="16" s="1"/>
  <c r="W875" i="16"/>
  <c r="AC875" i="16" s="1"/>
  <c r="V875" i="16"/>
  <c r="AB875" i="16" s="1"/>
  <c r="X874" i="16"/>
  <c r="AD874" i="16" s="1"/>
  <c r="W874" i="16"/>
  <c r="AC874" i="16" s="1"/>
  <c r="V874" i="16"/>
  <c r="AB874" i="16" s="1"/>
  <c r="X873" i="16"/>
  <c r="AD873" i="16" s="1"/>
  <c r="W873" i="16"/>
  <c r="AC873" i="16" s="1"/>
  <c r="V873" i="16"/>
  <c r="AB873" i="16" s="1"/>
  <c r="X872" i="16"/>
  <c r="AD872" i="16" s="1"/>
  <c r="W872" i="16"/>
  <c r="AC872" i="16" s="1"/>
  <c r="V872" i="16"/>
  <c r="AB872" i="16" s="1"/>
  <c r="X871" i="16"/>
  <c r="AD871" i="16" s="1"/>
  <c r="W871" i="16"/>
  <c r="AC871" i="16" s="1"/>
  <c r="V871" i="16"/>
  <c r="AB871" i="16" s="1"/>
  <c r="X870" i="16"/>
  <c r="AD870" i="16" s="1"/>
  <c r="W870" i="16"/>
  <c r="AC870" i="16" s="1"/>
  <c r="V870" i="16"/>
  <c r="AB870" i="16" s="1"/>
  <c r="X869" i="16"/>
  <c r="AD869" i="16" s="1"/>
  <c r="W869" i="16"/>
  <c r="AC869" i="16" s="1"/>
  <c r="V869" i="16"/>
  <c r="AB869" i="16" s="1"/>
  <c r="X868" i="16"/>
  <c r="AD868" i="16" s="1"/>
  <c r="W868" i="16"/>
  <c r="AC868" i="16" s="1"/>
  <c r="V868" i="16"/>
  <c r="AB868" i="16" s="1"/>
  <c r="X867" i="16"/>
  <c r="AD867" i="16" s="1"/>
  <c r="W867" i="16"/>
  <c r="AC867" i="16" s="1"/>
  <c r="V867" i="16"/>
  <c r="AB867" i="16" s="1"/>
  <c r="X866" i="16"/>
  <c r="AD866" i="16" s="1"/>
  <c r="W866" i="16"/>
  <c r="AC866" i="16" s="1"/>
  <c r="V866" i="16"/>
  <c r="AB866" i="16" s="1"/>
  <c r="X865" i="16"/>
  <c r="AD865" i="16" s="1"/>
  <c r="W865" i="16"/>
  <c r="AC865" i="16" s="1"/>
  <c r="V865" i="16"/>
  <c r="AB865" i="16" s="1"/>
  <c r="X864" i="16"/>
  <c r="AD864" i="16" s="1"/>
  <c r="W864" i="16"/>
  <c r="AC864" i="16" s="1"/>
  <c r="V864" i="16"/>
  <c r="AB864" i="16" s="1"/>
  <c r="X863" i="16"/>
  <c r="AD863" i="16" s="1"/>
  <c r="W863" i="16"/>
  <c r="AC863" i="16" s="1"/>
  <c r="V863" i="16"/>
  <c r="AB863" i="16" s="1"/>
  <c r="X862" i="16"/>
  <c r="AD862" i="16" s="1"/>
  <c r="W862" i="16"/>
  <c r="AC862" i="16" s="1"/>
  <c r="V862" i="16"/>
  <c r="AB862" i="16" s="1"/>
  <c r="X861" i="16"/>
  <c r="AD861" i="16" s="1"/>
  <c r="W861" i="16"/>
  <c r="AC861" i="16" s="1"/>
  <c r="V861" i="16"/>
  <c r="AB861" i="16" s="1"/>
  <c r="X860" i="16"/>
  <c r="AD860" i="16" s="1"/>
  <c r="W860" i="16"/>
  <c r="AC860" i="16" s="1"/>
  <c r="V860" i="16"/>
  <c r="AB860" i="16" s="1"/>
  <c r="X859" i="16"/>
  <c r="AD859" i="16" s="1"/>
  <c r="W859" i="16"/>
  <c r="AC859" i="16" s="1"/>
  <c r="V859" i="16"/>
  <c r="AB859" i="16" s="1"/>
  <c r="X858" i="16"/>
  <c r="AD858" i="16" s="1"/>
  <c r="W858" i="16"/>
  <c r="AC858" i="16" s="1"/>
  <c r="V858" i="16"/>
  <c r="AB858" i="16" s="1"/>
  <c r="X857" i="16"/>
  <c r="AD857" i="16" s="1"/>
  <c r="W857" i="16"/>
  <c r="AC857" i="16" s="1"/>
  <c r="V857" i="16"/>
  <c r="AB857" i="16" s="1"/>
  <c r="X856" i="16"/>
  <c r="AD856" i="16" s="1"/>
  <c r="W856" i="16"/>
  <c r="AC856" i="16" s="1"/>
  <c r="V856" i="16"/>
  <c r="AB856" i="16" s="1"/>
  <c r="X855" i="16"/>
  <c r="AD855" i="16" s="1"/>
  <c r="W855" i="16"/>
  <c r="AC855" i="16" s="1"/>
  <c r="V855" i="16"/>
  <c r="AB855" i="16" s="1"/>
  <c r="X854" i="16"/>
  <c r="AD854" i="16" s="1"/>
  <c r="W854" i="16"/>
  <c r="AC854" i="16" s="1"/>
  <c r="V854" i="16"/>
  <c r="AB854" i="16" s="1"/>
  <c r="X853" i="16"/>
  <c r="AD853" i="16" s="1"/>
  <c r="W853" i="16"/>
  <c r="AC853" i="16" s="1"/>
  <c r="V853" i="16"/>
  <c r="AB853" i="16" s="1"/>
  <c r="X852" i="16"/>
  <c r="AD852" i="16" s="1"/>
  <c r="W852" i="16"/>
  <c r="AC852" i="16" s="1"/>
  <c r="V852" i="16"/>
  <c r="AB852" i="16" s="1"/>
  <c r="X851" i="16"/>
  <c r="AD851" i="16" s="1"/>
  <c r="W851" i="16"/>
  <c r="AC851" i="16" s="1"/>
  <c r="V851" i="16"/>
  <c r="AB851" i="16" s="1"/>
  <c r="X850" i="16"/>
  <c r="AD850" i="16" s="1"/>
  <c r="W850" i="16"/>
  <c r="AC850" i="16" s="1"/>
  <c r="V850" i="16"/>
  <c r="AB850" i="16" s="1"/>
  <c r="X849" i="16"/>
  <c r="AD849" i="16" s="1"/>
  <c r="W849" i="16"/>
  <c r="AC849" i="16" s="1"/>
  <c r="V849" i="16"/>
  <c r="AB849" i="16" s="1"/>
  <c r="X848" i="16"/>
  <c r="AD848" i="16" s="1"/>
  <c r="W848" i="16"/>
  <c r="AC848" i="16" s="1"/>
  <c r="V848" i="16"/>
  <c r="AB848" i="16" s="1"/>
  <c r="X847" i="16"/>
  <c r="AD847" i="16" s="1"/>
  <c r="W847" i="16"/>
  <c r="AC847" i="16" s="1"/>
  <c r="V847" i="16"/>
  <c r="AB847" i="16" s="1"/>
  <c r="X846" i="16"/>
  <c r="AD846" i="16" s="1"/>
  <c r="W846" i="16"/>
  <c r="AC846" i="16" s="1"/>
  <c r="V846" i="16"/>
  <c r="AB846" i="16" s="1"/>
  <c r="X845" i="16"/>
  <c r="AD845" i="16" s="1"/>
  <c r="W845" i="16"/>
  <c r="AC845" i="16" s="1"/>
  <c r="V845" i="16"/>
  <c r="AB845" i="16" s="1"/>
  <c r="X844" i="16"/>
  <c r="AD844" i="16" s="1"/>
  <c r="W844" i="16"/>
  <c r="AC844" i="16" s="1"/>
  <c r="V844" i="16"/>
  <c r="AB844" i="16" s="1"/>
  <c r="X843" i="16"/>
  <c r="AD843" i="16" s="1"/>
  <c r="W843" i="16"/>
  <c r="AC843" i="16" s="1"/>
  <c r="V843" i="16"/>
  <c r="AB843" i="16" s="1"/>
  <c r="X842" i="16"/>
  <c r="AD842" i="16" s="1"/>
  <c r="W842" i="16"/>
  <c r="AC842" i="16" s="1"/>
  <c r="V842" i="16"/>
  <c r="AB842" i="16" s="1"/>
  <c r="X841" i="16"/>
  <c r="AD841" i="16" s="1"/>
  <c r="W841" i="16"/>
  <c r="AC841" i="16" s="1"/>
  <c r="V841" i="16"/>
  <c r="AB841" i="16" s="1"/>
  <c r="X840" i="16"/>
  <c r="AD840" i="16" s="1"/>
  <c r="W840" i="16"/>
  <c r="AC840" i="16" s="1"/>
  <c r="V840" i="16"/>
  <c r="AB840" i="16" s="1"/>
  <c r="X839" i="16"/>
  <c r="AD839" i="16" s="1"/>
  <c r="W839" i="16"/>
  <c r="AC839" i="16" s="1"/>
  <c r="V839" i="16"/>
  <c r="AB839" i="16" s="1"/>
  <c r="X838" i="16"/>
  <c r="AD838" i="16" s="1"/>
  <c r="W838" i="16"/>
  <c r="AC838" i="16" s="1"/>
  <c r="V838" i="16"/>
  <c r="AB838" i="16" s="1"/>
  <c r="X837" i="16"/>
  <c r="AD837" i="16" s="1"/>
  <c r="W837" i="16"/>
  <c r="AC837" i="16" s="1"/>
  <c r="V837" i="16"/>
  <c r="AB837" i="16" s="1"/>
  <c r="X836" i="16"/>
  <c r="AD836" i="16" s="1"/>
  <c r="W836" i="16"/>
  <c r="AC836" i="16" s="1"/>
  <c r="V836" i="16"/>
  <c r="AB836" i="16" s="1"/>
  <c r="X835" i="16"/>
  <c r="AD835" i="16" s="1"/>
  <c r="W835" i="16"/>
  <c r="AC835" i="16" s="1"/>
  <c r="V835" i="16"/>
  <c r="AB835" i="16" s="1"/>
  <c r="X834" i="16"/>
  <c r="AD834" i="16" s="1"/>
  <c r="W834" i="16"/>
  <c r="AC834" i="16" s="1"/>
  <c r="V834" i="16"/>
  <c r="AB834" i="16" s="1"/>
  <c r="X833" i="16"/>
  <c r="AD833" i="16" s="1"/>
  <c r="W833" i="16"/>
  <c r="AC833" i="16" s="1"/>
  <c r="V833" i="16"/>
  <c r="AB833" i="16" s="1"/>
  <c r="X832" i="16"/>
  <c r="AD832" i="16" s="1"/>
  <c r="W832" i="16"/>
  <c r="AC832" i="16" s="1"/>
  <c r="V832" i="16"/>
  <c r="AB832" i="16" s="1"/>
  <c r="X831" i="16"/>
  <c r="AD831" i="16" s="1"/>
  <c r="W831" i="16"/>
  <c r="AC831" i="16" s="1"/>
  <c r="V831" i="16"/>
  <c r="AB831" i="16" s="1"/>
  <c r="X830" i="16"/>
  <c r="AD830" i="16" s="1"/>
  <c r="W830" i="16"/>
  <c r="AC830" i="16" s="1"/>
  <c r="V830" i="16"/>
  <c r="AB830" i="16" s="1"/>
  <c r="X829" i="16"/>
  <c r="AD829" i="16" s="1"/>
  <c r="W829" i="16"/>
  <c r="AC829" i="16" s="1"/>
  <c r="V829" i="16"/>
  <c r="AB829" i="16" s="1"/>
  <c r="X828" i="16"/>
  <c r="AD828" i="16" s="1"/>
  <c r="W828" i="16"/>
  <c r="AC828" i="16" s="1"/>
  <c r="V828" i="16"/>
  <c r="AB828" i="16" s="1"/>
  <c r="X827" i="16"/>
  <c r="AD827" i="16" s="1"/>
  <c r="W827" i="16"/>
  <c r="AC827" i="16" s="1"/>
  <c r="V827" i="16"/>
  <c r="AB827" i="16" s="1"/>
  <c r="X826" i="16"/>
  <c r="AD826" i="16" s="1"/>
  <c r="W826" i="16"/>
  <c r="AC826" i="16" s="1"/>
  <c r="V826" i="16"/>
  <c r="AB826" i="16" s="1"/>
  <c r="X825" i="16"/>
  <c r="AD825" i="16" s="1"/>
  <c r="W825" i="16"/>
  <c r="AC825" i="16" s="1"/>
  <c r="V825" i="16"/>
  <c r="AB825" i="16" s="1"/>
  <c r="X824" i="16"/>
  <c r="AD824" i="16" s="1"/>
  <c r="W824" i="16"/>
  <c r="AC824" i="16" s="1"/>
  <c r="V824" i="16"/>
  <c r="AB824" i="16" s="1"/>
  <c r="X823" i="16"/>
  <c r="AD823" i="16" s="1"/>
  <c r="W823" i="16"/>
  <c r="AC823" i="16" s="1"/>
  <c r="V823" i="16"/>
  <c r="AB823" i="16" s="1"/>
  <c r="X822" i="16"/>
  <c r="AD822" i="16" s="1"/>
  <c r="W822" i="16"/>
  <c r="AC822" i="16" s="1"/>
  <c r="V822" i="16"/>
  <c r="AB822" i="16" s="1"/>
  <c r="X821" i="16"/>
  <c r="AD821" i="16" s="1"/>
  <c r="W821" i="16"/>
  <c r="AC821" i="16" s="1"/>
  <c r="V821" i="16"/>
  <c r="AB821" i="16" s="1"/>
  <c r="X820" i="16"/>
  <c r="AD820" i="16" s="1"/>
  <c r="W820" i="16"/>
  <c r="AC820" i="16" s="1"/>
  <c r="V820" i="16"/>
  <c r="AB820" i="16" s="1"/>
  <c r="X819" i="16"/>
  <c r="AD819" i="16" s="1"/>
  <c r="W819" i="16"/>
  <c r="AC819" i="16" s="1"/>
  <c r="V819" i="16"/>
  <c r="AB819" i="16" s="1"/>
  <c r="X818" i="16"/>
  <c r="AD818" i="16" s="1"/>
  <c r="W818" i="16"/>
  <c r="AC818" i="16" s="1"/>
  <c r="V818" i="16"/>
  <c r="AB818" i="16" s="1"/>
  <c r="X817" i="16"/>
  <c r="AD817" i="16" s="1"/>
  <c r="W817" i="16"/>
  <c r="AC817" i="16" s="1"/>
  <c r="V817" i="16"/>
  <c r="AB817" i="16" s="1"/>
  <c r="X816" i="16"/>
  <c r="AD816" i="16" s="1"/>
  <c r="W816" i="16"/>
  <c r="AC816" i="16" s="1"/>
  <c r="V816" i="16"/>
  <c r="AB816" i="16" s="1"/>
  <c r="X815" i="16"/>
  <c r="AD815" i="16" s="1"/>
  <c r="W815" i="16"/>
  <c r="AC815" i="16" s="1"/>
  <c r="V815" i="16"/>
  <c r="AB815" i="16" s="1"/>
  <c r="X814" i="16"/>
  <c r="AD814" i="16" s="1"/>
  <c r="W814" i="16"/>
  <c r="AC814" i="16" s="1"/>
  <c r="V814" i="16"/>
  <c r="AB814" i="16" s="1"/>
  <c r="X813" i="16"/>
  <c r="AD813" i="16" s="1"/>
  <c r="W813" i="16"/>
  <c r="AC813" i="16" s="1"/>
  <c r="V813" i="16"/>
  <c r="AB813" i="16" s="1"/>
  <c r="X812" i="16"/>
  <c r="AD812" i="16" s="1"/>
  <c r="W812" i="16"/>
  <c r="AC812" i="16" s="1"/>
  <c r="V812" i="16"/>
  <c r="AB812" i="16" s="1"/>
  <c r="X811" i="16"/>
  <c r="AD811" i="16" s="1"/>
  <c r="W811" i="16"/>
  <c r="AC811" i="16" s="1"/>
  <c r="V811" i="16"/>
  <c r="AB811" i="16" s="1"/>
  <c r="X810" i="16"/>
  <c r="AD810" i="16" s="1"/>
  <c r="W810" i="16"/>
  <c r="AC810" i="16" s="1"/>
  <c r="V810" i="16"/>
  <c r="AB810" i="16" s="1"/>
  <c r="X809" i="16"/>
  <c r="AD809" i="16" s="1"/>
  <c r="W809" i="16"/>
  <c r="AC809" i="16" s="1"/>
  <c r="V809" i="16"/>
  <c r="AB809" i="16" s="1"/>
  <c r="X808" i="16"/>
  <c r="AD808" i="16" s="1"/>
  <c r="W808" i="16"/>
  <c r="AC808" i="16" s="1"/>
  <c r="V808" i="16"/>
  <c r="AB808" i="16" s="1"/>
  <c r="X807" i="16"/>
  <c r="AD807" i="16" s="1"/>
  <c r="W807" i="16"/>
  <c r="AC807" i="16" s="1"/>
  <c r="V807" i="16"/>
  <c r="AB807" i="16" s="1"/>
  <c r="X806" i="16"/>
  <c r="AD806" i="16" s="1"/>
  <c r="W806" i="16"/>
  <c r="AC806" i="16" s="1"/>
  <c r="V806" i="16"/>
  <c r="AB806" i="16" s="1"/>
  <c r="X805" i="16"/>
  <c r="AD805" i="16" s="1"/>
  <c r="W805" i="16"/>
  <c r="AC805" i="16" s="1"/>
  <c r="V805" i="16"/>
  <c r="AB805" i="16" s="1"/>
  <c r="X804" i="16"/>
  <c r="AD804" i="16" s="1"/>
  <c r="W804" i="16"/>
  <c r="AC804" i="16" s="1"/>
  <c r="V804" i="16"/>
  <c r="AB804" i="16" s="1"/>
  <c r="X803" i="16"/>
  <c r="AD803" i="16" s="1"/>
  <c r="W803" i="16"/>
  <c r="AC803" i="16" s="1"/>
  <c r="V803" i="16"/>
  <c r="AB803" i="16" s="1"/>
  <c r="X802" i="16"/>
  <c r="AD802" i="16" s="1"/>
  <c r="W802" i="16"/>
  <c r="AC802" i="16" s="1"/>
  <c r="V802" i="16"/>
  <c r="AB802" i="16" s="1"/>
  <c r="X801" i="16"/>
  <c r="AD801" i="16" s="1"/>
  <c r="W801" i="16"/>
  <c r="AC801" i="16" s="1"/>
  <c r="V801" i="16"/>
  <c r="AB801" i="16" s="1"/>
  <c r="X800" i="16"/>
  <c r="AD800" i="16" s="1"/>
  <c r="W800" i="16"/>
  <c r="AC800" i="16" s="1"/>
  <c r="V800" i="16"/>
  <c r="AB800" i="16" s="1"/>
  <c r="X799" i="16"/>
  <c r="AD799" i="16" s="1"/>
  <c r="W799" i="16"/>
  <c r="AC799" i="16" s="1"/>
  <c r="V799" i="16"/>
  <c r="AB799" i="16" s="1"/>
  <c r="X798" i="16"/>
  <c r="AD798" i="16" s="1"/>
  <c r="W798" i="16"/>
  <c r="AC798" i="16" s="1"/>
  <c r="V798" i="16"/>
  <c r="AB798" i="16" s="1"/>
  <c r="X797" i="16"/>
  <c r="AD797" i="16" s="1"/>
  <c r="W797" i="16"/>
  <c r="AC797" i="16" s="1"/>
  <c r="V797" i="16"/>
  <c r="AB797" i="16" s="1"/>
  <c r="X796" i="16"/>
  <c r="AD796" i="16" s="1"/>
  <c r="W796" i="16"/>
  <c r="AC796" i="16" s="1"/>
  <c r="V796" i="16"/>
  <c r="AB796" i="16" s="1"/>
  <c r="X795" i="16"/>
  <c r="AD795" i="16" s="1"/>
  <c r="W795" i="16"/>
  <c r="AC795" i="16" s="1"/>
  <c r="V795" i="16"/>
  <c r="AB795" i="16" s="1"/>
  <c r="X794" i="16"/>
  <c r="AD794" i="16" s="1"/>
  <c r="W794" i="16"/>
  <c r="AC794" i="16" s="1"/>
  <c r="V794" i="16"/>
  <c r="AB794" i="16" s="1"/>
  <c r="X793" i="16"/>
  <c r="AD793" i="16" s="1"/>
  <c r="W793" i="16"/>
  <c r="AC793" i="16" s="1"/>
  <c r="V793" i="16"/>
  <c r="AB793" i="16" s="1"/>
  <c r="X792" i="16"/>
  <c r="AD792" i="16" s="1"/>
  <c r="W792" i="16"/>
  <c r="AC792" i="16" s="1"/>
  <c r="V792" i="16"/>
  <c r="AB792" i="16" s="1"/>
  <c r="X791" i="16"/>
  <c r="AD791" i="16" s="1"/>
  <c r="W791" i="16"/>
  <c r="AC791" i="16" s="1"/>
  <c r="V791" i="16"/>
  <c r="AB791" i="16" s="1"/>
  <c r="X790" i="16"/>
  <c r="AD790" i="16" s="1"/>
  <c r="W790" i="16"/>
  <c r="AC790" i="16" s="1"/>
  <c r="V790" i="16"/>
  <c r="AB790" i="16" s="1"/>
  <c r="X789" i="16"/>
  <c r="AD789" i="16" s="1"/>
  <c r="W789" i="16"/>
  <c r="AC789" i="16" s="1"/>
  <c r="V789" i="16"/>
  <c r="AB789" i="16" s="1"/>
  <c r="X788" i="16"/>
  <c r="AD788" i="16" s="1"/>
  <c r="W788" i="16"/>
  <c r="AC788" i="16" s="1"/>
  <c r="V788" i="16"/>
  <c r="AB788" i="16" s="1"/>
  <c r="X787" i="16"/>
  <c r="AD787" i="16" s="1"/>
  <c r="W787" i="16"/>
  <c r="AC787" i="16" s="1"/>
  <c r="V787" i="16"/>
  <c r="AB787" i="16" s="1"/>
  <c r="X786" i="16"/>
  <c r="AD786" i="16" s="1"/>
  <c r="W786" i="16"/>
  <c r="AC786" i="16" s="1"/>
  <c r="V786" i="16"/>
  <c r="AB786" i="16" s="1"/>
  <c r="X785" i="16"/>
  <c r="AD785" i="16" s="1"/>
  <c r="W785" i="16"/>
  <c r="AC785" i="16" s="1"/>
  <c r="V785" i="16"/>
  <c r="AB785" i="16" s="1"/>
  <c r="X784" i="16"/>
  <c r="AD784" i="16" s="1"/>
  <c r="W784" i="16"/>
  <c r="AC784" i="16" s="1"/>
  <c r="V784" i="16"/>
  <c r="AB784" i="16" s="1"/>
  <c r="X783" i="16"/>
  <c r="AD783" i="16" s="1"/>
  <c r="W783" i="16"/>
  <c r="AC783" i="16" s="1"/>
  <c r="V783" i="16"/>
  <c r="AB783" i="16" s="1"/>
  <c r="X782" i="16"/>
  <c r="AD782" i="16" s="1"/>
  <c r="W782" i="16"/>
  <c r="AC782" i="16" s="1"/>
  <c r="V782" i="16"/>
  <c r="AB782" i="16" s="1"/>
  <c r="X781" i="16"/>
  <c r="AD781" i="16" s="1"/>
  <c r="W781" i="16"/>
  <c r="AC781" i="16" s="1"/>
  <c r="V781" i="16"/>
  <c r="AB781" i="16" s="1"/>
  <c r="X780" i="16"/>
  <c r="AD780" i="16" s="1"/>
  <c r="W780" i="16"/>
  <c r="AC780" i="16" s="1"/>
  <c r="V780" i="16"/>
  <c r="AB780" i="16" s="1"/>
  <c r="X779" i="16"/>
  <c r="AD779" i="16" s="1"/>
  <c r="W779" i="16"/>
  <c r="AC779" i="16" s="1"/>
  <c r="V779" i="16"/>
  <c r="AB779" i="16" s="1"/>
  <c r="X778" i="16"/>
  <c r="AD778" i="16" s="1"/>
  <c r="W778" i="16"/>
  <c r="AC778" i="16" s="1"/>
  <c r="V778" i="16"/>
  <c r="AB778" i="16" s="1"/>
  <c r="X777" i="16"/>
  <c r="AD777" i="16" s="1"/>
  <c r="W777" i="16"/>
  <c r="AC777" i="16" s="1"/>
  <c r="V777" i="16"/>
  <c r="AB777" i="16" s="1"/>
  <c r="X776" i="16"/>
  <c r="AD776" i="16" s="1"/>
  <c r="W776" i="16"/>
  <c r="AC776" i="16" s="1"/>
  <c r="V776" i="16"/>
  <c r="AB776" i="16" s="1"/>
  <c r="X775" i="16"/>
  <c r="AD775" i="16" s="1"/>
  <c r="W775" i="16"/>
  <c r="AC775" i="16" s="1"/>
  <c r="V775" i="16"/>
  <c r="AB775" i="16" s="1"/>
  <c r="X774" i="16"/>
  <c r="AD774" i="16" s="1"/>
  <c r="W774" i="16"/>
  <c r="AC774" i="16" s="1"/>
  <c r="V774" i="16"/>
  <c r="AB774" i="16" s="1"/>
  <c r="X773" i="16"/>
  <c r="AD773" i="16" s="1"/>
  <c r="W773" i="16"/>
  <c r="AC773" i="16" s="1"/>
  <c r="V773" i="16"/>
  <c r="AB773" i="16" s="1"/>
  <c r="X772" i="16"/>
  <c r="AD772" i="16" s="1"/>
  <c r="W772" i="16"/>
  <c r="AC772" i="16" s="1"/>
  <c r="V772" i="16"/>
  <c r="AB772" i="16" s="1"/>
  <c r="X771" i="16"/>
  <c r="AD771" i="16" s="1"/>
  <c r="W771" i="16"/>
  <c r="AC771" i="16" s="1"/>
  <c r="V771" i="16"/>
  <c r="AB771" i="16" s="1"/>
  <c r="X770" i="16"/>
  <c r="AD770" i="16" s="1"/>
  <c r="W770" i="16"/>
  <c r="AC770" i="16" s="1"/>
  <c r="V770" i="16"/>
  <c r="AB770" i="16" s="1"/>
  <c r="X769" i="16"/>
  <c r="AD769" i="16" s="1"/>
  <c r="W769" i="16"/>
  <c r="AC769" i="16" s="1"/>
  <c r="V769" i="16"/>
  <c r="AB769" i="16" s="1"/>
  <c r="X768" i="16"/>
  <c r="AD768" i="16" s="1"/>
  <c r="W768" i="16"/>
  <c r="AC768" i="16" s="1"/>
  <c r="V768" i="16"/>
  <c r="AB768" i="16" s="1"/>
  <c r="X767" i="16"/>
  <c r="AD767" i="16" s="1"/>
  <c r="W767" i="16"/>
  <c r="AC767" i="16" s="1"/>
  <c r="V767" i="16"/>
  <c r="AB767" i="16" s="1"/>
  <c r="X766" i="16"/>
  <c r="AD766" i="16" s="1"/>
  <c r="W766" i="16"/>
  <c r="AC766" i="16" s="1"/>
  <c r="V766" i="16"/>
  <c r="AB766" i="16" s="1"/>
  <c r="X765" i="16"/>
  <c r="AD765" i="16" s="1"/>
  <c r="W765" i="16"/>
  <c r="AC765" i="16" s="1"/>
  <c r="V765" i="16"/>
  <c r="AB765" i="16" s="1"/>
  <c r="X764" i="16"/>
  <c r="AD764" i="16" s="1"/>
  <c r="W764" i="16"/>
  <c r="AC764" i="16" s="1"/>
  <c r="V764" i="16"/>
  <c r="AB764" i="16" s="1"/>
  <c r="X763" i="16"/>
  <c r="AD763" i="16" s="1"/>
  <c r="W763" i="16"/>
  <c r="AC763" i="16" s="1"/>
  <c r="V763" i="16"/>
  <c r="AB763" i="16" s="1"/>
  <c r="X762" i="16"/>
  <c r="AD762" i="16" s="1"/>
  <c r="W762" i="16"/>
  <c r="AC762" i="16" s="1"/>
  <c r="V762" i="16"/>
  <c r="AB762" i="16" s="1"/>
  <c r="X761" i="16"/>
  <c r="AD761" i="16" s="1"/>
  <c r="W761" i="16"/>
  <c r="AC761" i="16" s="1"/>
  <c r="V761" i="16"/>
  <c r="AB761" i="16" s="1"/>
  <c r="X760" i="16"/>
  <c r="AD760" i="16" s="1"/>
  <c r="W760" i="16"/>
  <c r="AC760" i="16" s="1"/>
  <c r="V760" i="16"/>
  <c r="AB760" i="16" s="1"/>
  <c r="X759" i="16"/>
  <c r="AD759" i="16" s="1"/>
  <c r="W759" i="16"/>
  <c r="AC759" i="16" s="1"/>
  <c r="V759" i="16"/>
  <c r="AB759" i="16" s="1"/>
  <c r="X758" i="16"/>
  <c r="AD758" i="16" s="1"/>
  <c r="W758" i="16"/>
  <c r="AC758" i="16" s="1"/>
  <c r="V758" i="16"/>
  <c r="AB758" i="16" s="1"/>
  <c r="X757" i="16"/>
  <c r="AD757" i="16" s="1"/>
  <c r="W757" i="16"/>
  <c r="AC757" i="16" s="1"/>
  <c r="V757" i="16"/>
  <c r="AB757" i="16" s="1"/>
  <c r="X756" i="16"/>
  <c r="AD756" i="16" s="1"/>
  <c r="W756" i="16"/>
  <c r="AC756" i="16" s="1"/>
  <c r="V756" i="16"/>
  <c r="AB756" i="16" s="1"/>
  <c r="X755" i="16"/>
  <c r="AD755" i="16" s="1"/>
  <c r="W755" i="16"/>
  <c r="AC755" i="16" s="1"/>
  <c r="V755" i="16"/>
  <c r="AB755" i="16" s="1"/>
  <c r="X754" i="16"/>
  <c r="AD754" i="16" s="1"/>
  <c r="W754" i="16"/>
  <c r="AC754" i="16" s="1"/>
  <c r="V754" i="16"/>
  <c r="AB754" i="16" s="1"/>
  <c r="X753" i="16"/>
  <c r="AD753" i="16" s="1"/>
  <c r="W753" i="16"/>
  <c r="AC753" i="16" s="1"/>
  <c r="V753" i="16"/>
  <c r="AB753" i="16" s="1"/>
  <c r="X752" i="16"/>
  <c r="AD752" i="16" s="1"/>
  <c r="W752" i="16"/>
  <c r="AC752" i="16" s="1"/>
  <c r="V752" i="16"/>
  <c r="AB752" i="16" s="1"/>
  <c r="X751" i="16"/>
  <c r="AD751" i="16" s="1"/>
  <c r="W751" i="16"/>
  <c r="AC751" i="16" s="1"/>
  <c r="V751" i="16"/>
  <c r="AB751" i="16" s="1"/>
  <c r="X750" i="16"/>
  <c r="AD750" i="16" s="1"/>
  <c r="W750" i="16"/>
  <c r="AC750" i="16" s="1"/>
  <c r="V750" i="16"/>
  <c r="AB750" i="16" s="1"/>
  <c r="X749" i="16"/>
  <c r="AD749" i="16" s="1"/>
  <c r="W749" i="16"/>
  <c r="AC749" i="16" s="1"/>
  <c r="V749" i="16"/>
  <c r="AB749" i="16" s="1"/>
  <c r="X748" i="16"/>
  <c r="AD748" i="16" s="1"/>
  <c r="W748" i="16"/>
  <c r="AC748" i="16" s="1"/>
  <c r="V748" i="16"/>
  <c r="AB748" i="16" s="1"/>
  <c r="X747" i="16"/>
  <c r="AD747" i="16" s="1"/>
  <c r="W747" i="16"/>
  <c r="AC747" i="16" s="1"/>
  <c r="V747" i="16"/>
  <c r="AB747" i="16" s="1"/>
  <c r="X746" i="16"/>
  <c r="AD746" i="16" s="1"/>
  <c r="W746" i="16"/>
  <c r="AC746" i="16" s="1"/>
  <c r="V746" i="16"/>
  <c r="AB746" i="16" s="1"/>
  <c r="X745" i="16"/>
  <c r="AD745" i="16" s="1"/>
  <c r="W745" i="16"/>
  <c r="AC745" i="16" s="1"/>
  <c r="V745" i="16"/>
  <c r="AB745" i="16" s="1"/>
  <c r="X744" i="16"/>
  <c r="AD744" i="16" s="1"/>
  <c r="W744" i="16"/>
  <c r="AC744" i="16" s="1"/>
  <c r="V744" i="16"/>
  <c r="AB744" i="16" s="1"/>
  <c r="X743" i="16"/>
  <c r="AD743" i="16" s="1"/>
  <c r="W743" i="16"/>
  <c r="AC743" i="16" s="1"/>
  <c r="V743" i="16"/>
  <c r="AB743" i="16" s="1"/>
  <c r="X742" i="16"/>
  <c r="AD742" i="16" s="1"/>
  <c r="W742" i="16"/>
  <c r="AC742" i="16" s="1"/>
  <c r="V742" i="16"/>
  <c r="AB742" i="16" s="1"/>
  <c r="X741" i="16"/>
  <c r="AD741" i="16" s="1"/>
  <c r="W741" i="16"/>
  <c r="AC741" i="16" s="1"/>
  <c r="V741" i="16"/>
  <c r="AB741" i="16" s="1"/>
  <c r="X740" i="16"/>
  <c r="AD740" i="16" s="1"/>
  <c r="W740" i="16"/>
  <c r="AC740" i="16" s="1"/>
  <c r="V740" i="16"/>
  <c r="AB740" i="16" s="1"/>
  <c r="X739" i="16"/>
  <c r="AD739" i="16" s="1"/>
  <c r="W739" i="16"/>
  <c r="AC739" i="16" s="1"/>
  <c r="V739" i="16"/>
  <c r="AB739" i="16" s="1"/>
  <c r="X738" i="16"/>
  <c r="AD738" i="16" s="1"/>
  <c r="W738" i="16"/>
  <c r="AC738" i="16" s="1"/>
  <c r="V738" i="16"/>
  <c r="AB738" i="16" s="1"/>
  <c r="X737" i="16"/>
  <c r="AD737" i="16" s="1"/>
  <c r="W737" i="16"/>
  <c r="AC737" i="16" s="1"/>
  <c r="V737" i="16"/>
  <c r="AB737" i="16" s="1"/>
  <c r="X736" i="16"/>
  <c r="AD736" i="16" s="1"/>
  <c r="W736" i="16"/>
  <c r="AC736" i="16" s="1"/>
  <c r="V736" i="16"/>
  <c r="AB736" i="16" s="1"/>
  <c r="X735" i="16"/>
  <c r="AD735" i="16" s="1"/>
  <c r="W735" i="16"/>
  <c r="AC735" i="16" s="1"/>
  <c r="V735" i="16"/>
  <c r="AB735" i="16" s="1"/>
  <c r="X734" i="16"/>
  <c r="AD734" i="16" s="1"/>
  <c r="W734" i="16"/>
  <c r="AC734" i="16" s="1"/>
  <c r="V734" i="16"/>
  <c r="AB734" i="16" s="1"/>
  <c r="X733" i="16"/>
  <c r="AD733" i="16" s="1"/>
  <c r="W733" i="16"/>
  <c r="AC733" i="16" s="1"/>
  <c r="V733" i="16"/>
  <c r="AB733" i="16" s="1"/>
  <c r="X732" i="16"/>
  <c r="AD732" i="16" s="1"/>
  <c r="W732" i="16"/>
  <c r="AC732" i="16" s="1"/>
  <c r="V732" i="16"/>
  <c r="AB732" i="16" s="1"/>
  <c r="X731" i="16"/>
  <c r="AD731" i="16" s="1"/>
  <c r="W731" i="16"/>
  <c r="AC731" i="16" s="1"/>
  <c r="V731" i="16"/>
  <c r="AB731" i="16" s="1"/>
  <c r="X730" i="16"/>
  <c r="AD730" i="16" s="1"/>
  <c r="W730" i="16"/>
  <c r="AC730" i="16" s="1"/>
  <c r="V730" i="16"/>
  <c r="AB730" i="16" s="1"/>
  <c r="X729" i="16"/>
  <c r="AD729" i="16" s="1"/>
  <c r="W729" i="16"/>
  <c r="AC729" i="16" s="1"/>
  <c r="V729" i="16"/>
  <c r="AB729" i="16" s="1"/>
  <c r="X728" i="16"/>
  <c r="AD728" i="16" s="1"/>
  <c r="W728" i="16"/>
  <c r="AC728" i="16" s="1"/>
  <c r="V728" i="16"/>
  <c r="AB728" i="16" s="1"/>
  <c r="X727" i="16"/>
  <c r="AD727" i="16" s="1"/>
  <c r="W727" i="16"/>
  <c r="AC727" i="16" s="1"/>
  <c r="V727" i="16"/>
  <c r="AB727" i="16" s="1"/>
  <c r="X726" i="16"/>
  <c r="AD726" i="16" s="1"/>
  <c r="W726" i="16"/>
  <c r="AC726" i="16" s="1"/>
  <c r="V726" i="16"/>
  <c r="AB726" i="16" s="1"/>
  <c r="X725" i="16"/>
  <c r="AD725" i="16" s="1"/>
  <c r="W725" i="16"/>
  <c r="AC725" i="16" s="1"/>
  <c r="V725" i="16"/>
  <c r="AB725" i="16" s="1"/>
  <c r="X724" i="16"/>
  <c r="AD724" i="16" s="1"/>
  <c r="W724" i="16"/>
  <c r="AC724" i="16" s="1"/>
  <c r="V724" i="16"/>
  <c r="AB724" i="16" s="1"/>
  <c r="X723" i="16"/>
  <c r="AD723" i="16" s="1"/>
  <c r="W723" i="16"/>
  <c r="AC723" i="16" s="1"/>
  <c r="V723" i="16"/>
  <c r="AB723" i="16" s="1"/>
  <c r="X722" i="16"/>
  <c r="AD722" i="16" s="1"/>
  <c r="W722" i="16"/>
  <c r="AC722" i="16" s="1"/>
  <c r="V722" i="16"/>
  <c r="AB722" i="16" s="1"/>
  <c r="X721" i="16"/>
  <c r="AD721" i="16" s="1"/>
  <c r="W721" i="16"/>
  <c r="AC721" i="16" s="1"/>
  <c r="V721" i="16"/>
  <c r="AB721" i="16" s="1"/>
  <c r="X720" i="16"/>
  <c r="AD720" i="16" s="1"/>
  <c r="W720" i="16"/>
  <c r="AC720" i="16" s="1"/>
  <c r="V720" i="16"/>
  <c r="AB720" i="16" s="1"/>
  <c r="X719" i="16"/>
  <c r="AD719" i="16" s="1"/>
  <c r="W719" i="16"/>
  <c r="AC719" i="16" s="1"/>
  <c r="V719" i="16"/>
  <c r="AB719" i="16" s="1"/>
  <c r="X718" i="16"/>
  <c r="AD718" i="16" s="1"/>
  <c r="W718" i="16"/>
  <c r="AC718" i="16" s="1"/>
  <c r="V718" i="16"/>
  <c r="AB718" i="16" s="1"/>
  <c r="X717" i="16"/>
  <c r="AD717" i="16" s="1"/>
  <c r="W717" i="16"/>
  <c r="AC717" i="16" s="1"/>
  <c r="V717" i="16"/>
  <c r="AB717" i="16" s="1"/>
  <c r="X716" i="16"/>
  <c r="AD716" i="16" s="1"/>
  <c r="W716" i="16"/>
  <c r="AC716" i="16" s="1"/>
  <c r="V716" i="16"/>
  <c r="AB716" i="16" s="1"/>
  <c r="X715" i="16"/>
  <c r="AD715" i="16" s="1"/>
  <c r="W715" i="16"/>
  <c r="AC715" i="16" s="1"/>
  <c r="V715" i="16"/>
  <c r="AB715" i="16" s="1"/>
  <c r="X714" i="16"/>
  <c r="AD714" i="16" s="1"/>
  <c r="W714" i="16"/>
  <c r="AC714" i="16" s="1"/>
  <c r="V714" i="16"/>
  <c r="AB714" i="16" s="1"/>
  <c r="X713" i="16"/>
  <c r="AD713" i="16" s="1"/>
  <c r="W713" i="16"/>
  <c r="AC713" i="16" s="1"/>
  <c r="V713" i="16"/>
  <c r="AB713" i="16" s="1"/>
  <c r="X712" i="16"/>
  <c r="AD712" i="16" s="1"/>
  <c r="W712" i="16"/>
  <c r="AC712" i="16" s="1"/>
  <c r="V712" i="16"/>
  <c r="AB712" i="16" s="1"/>
  <c r="X711" i="16"/>
  <c r="AD711" i="16" s="1"/>
  <c r="W711" i="16"/>
  <c r="AC711" i="16" s="1"/>
  <c r="V711" i="16"/>
  <c r="AB711" i="16" s="1"/>
  <c r="X710" i="16"/>
  <c r="AD710" i="16" s="1"/>
  <c r="W710" i="16"/>
  <c r="AC710" i="16" s="1"/>
  <c r="V710" i="16"/>
  <c r="AB710" i="16" s="1"/>
  <c r="X709" i="16"/>
  <c r="AD709" i="16" s="1"/>
  <c r="W709" i="16"/>
  <c r="AC709" i="16" s="1"/>
  <c r="V709" i="16"/>
  <c r="AB709" i="16" s="1"/>
  <c r="X708" i="16"/>
  <c r="AD708" i="16" s="1"/>
  <c r="W708" i="16"/>
  <c r="AC708" i="16" s="1"/>
  <c r="V708" i="16"/>
  <c r="AB708" i="16" s="1"/>
  <c r="X707" i="16"/>
  <c r="AD707" i="16" s="1"/>
  <c r="W707" i="16"/>
  <c r="AC707" i="16" s="1"/>
  <c r="V707" i="16"/>
  <c r="AB707" i="16" s="1"/>
  <c r="X706" i="16"/>
  <c r="AD706" i="16" s="1"/>
  <c r="W706" i="16"/>
  <c r="AC706" i="16" s="1"/>
  <c r="V706" i="16"/>
  <c r="AB706" i="16" s="1"/>
  <c r="X705" i="16"/>
  <c r="AD705" i="16" s="1"/>
  <c r="W705" i="16"/>
  <c r="AC705" i="16" s="1"/>
  <c r="V705" i="16"/>
  <c r="AB705" i="16" s="1"/>
  <c r="X704" i="16"/>
  <c r="AD704" i="16" s="1"/>
  <c r="W704" i="16"/>
  <c r="AC704" i="16" s="1"/>
  <c r="V704" i="16"/>
  <c r="AB704" i="16" s="1"/>
  <c r="X703" i="16"/>
  <c r="AD703" i="16" s="1"/>
  <c r="W703" i="16"/>
  <c r="AC703" i="16" s="1"/>
  <c r="V703" i="16"/>
  <c r="AB703" i="16" s="1"/>
  <c r="X702" i="16"/>
  <c r="AD702" i="16" s="1"/>
  <c r="W702" i="16"/>
  <c r="AC702" i="16" s="1"/>
  <c r="V702" i="16"/>
  <c r="AB702" i="16" s="1"/>
  <c r="X701" i="16"/>
  <c r="AD701" i="16" s="1"/>
  <c r="W701" i="16"/>
  <c r="AC701" i="16" s="1"/>
  <c r="V701" i="16"/>
  <c r="AB701" i="16" s="1"/>
  <c r="X700" i="16"/>
  <c r="AD700" i="16" s="1"/>
  <c r="W700" i="16"/>
  <c r="AC700" i="16" s="1"/>
  <c r="V700" i="16"/>
  <c r="AB700" i="16" s="1"/>
  <c r="X699" i="16"/>
  <c r="AD699" i="16" s="1"/>
  <c r="W699" i="16"/>
  <c r="AC699" i="16" s="1"/>
  <c r="V699" i="16"/>
  <c r="AB699" i="16" s="1"/>
  <c r="X698" i="16"/>
  <c r="AD698" i="16" s="1"/>
  <c r="W698" i="16"/>
  <c r="AC698" i="16" s="1"/>
  <c r="V698" i="16"/>
  <c r="AB698" i="16" s="1"/>
  <c r="X697" i="16"/>
  <c r="AD697" i="16" s="1"/>
  <c r="W697" i="16"/>
  <c r="AC697" i="16" s="1"/>
  <c r="V697" i="16"/>
  <c r="AB697" i="16" s="1"/>
  <c r="X696" i="16"/>
  <c r="AD696" i="16" s="1"/>
  <c r="W696" i="16"/>
  <c r="AC696" i="16" s="1"/>
  <c r="V696" i="16"/>
  <c r="AB696" i="16" s="1"/>
  <c r="X695" i="16"/>
  <c r="AD695" i="16" s="1"/>
  <c r="W695" i="16"/>
  <c r="AC695" i="16" s="1"/>
  <c r="V695" i="16"/>
  <c r="AB695" i="16" s="1"/>
  <c r="X694" i="16"/>
  <c r="AD694" i="16" s="1"/>
  <c r="W694" i="16"/>
  <c r="AC694" i="16" s="1"/>
  <c r="V694" i="16"/>
  <c r="AB694" i="16" s="1"/>
  <c r="X693" i="16"/>
  <c r="AD693" i="16" s="1"/>
  <c r="W693" i="16"/>
  <c r="AC693" i="16" s="1"/>
  <c r="V693" i="16"/>
  <c r="AB693" i="16" s="1"/>
  <c r="X692" i="16"/>
  <c r="AD692" i="16" s="1"/>
  <c r="W692" i="16"/>
  <c r="AC692" i="16" s="1"/>
  <c r="V692" i="16"/>
  <c r="AB692" i="16" s="1"/>
  <c r="X691" i="16"/>
  <c r="AD691" i="16" s="1"/>
  <c r="W691" i="16"/>
  <c r="AC691" i="16" s="1"/>
  <c r="V691" i="16"/>
  <c r="AB691" i="16" s="1"/>
  <c r="X690" i="16"/>
  <c r="AD690" i="16" s="1"/>
  <c r="W690" i="16"/>
  <c r="AC690" i="16" s="1"/>
  <c r="V690" i="16"/>
  <c r="AB690" i="16" s="1"/>
  <c r="X689" i="16"/>
  <c r="AD689" i="16" s="1"/>
  <c r="W689" i="16"/>
  <c r="AC689" i="16" s="1"/>
  <c r="V689" i="16"/>
  <c r="AB689" i="16" s="1"/>
  <c r="X688" i="16"/>
  <c r="AD688" i="16" s="1"/>
  <c r="W688" i="16"/>
  <c r="AC688" i="16" s="1"/>
  <c r="V688" i="16"/>
  <c r="AB688" i="16" s="1"/>
  <c r="X687" i="16"/>
  <c r="AD687" i="16" s="1"/>
  <c r="W687" i="16"/>
  <c r="AC687" i="16" s="1"/>
  <c r="V687" i="16"/>
  <c r="AB687" i="16" s="1"/>
  <c r="X686" i="16"/>
  <c r="AD686" i="16" s="1"/>
  <c r="W686" i="16"/>
  <c r="AC686" i="16" s="1"/>
  <c r="V686" i="16"/>
  <c r="AB686" i="16" s="1"/>
  <c r="X685" i="16"/>
  <c r="AD685" i="16" s="1"/>
  <c r="W685" i="16"/>
  <c r="AC685" i="16" s="1"/>
  <c r="V685" i="16"/>
  <c r="AB685" i="16" s="1"/>
  <c r="X684" i="16"/>
  <c r="AD684" i="16" s="1"/>
  <c r="W684" i="16"/>
  <c r="AC684" i="16" s="1"/>
  <c r="V684" i="16"/>
  <c r="AB684" i="16" s="1"/>
  <c r="X683" i="16"/>
  <c r="AD683" i="16" s="1"/>
  <c r="W683" i="16"/>
  <c r="AC683" i="16" s="1"/>
  <c r="V683" i="16"/>
  <c r="AB683" i="16" s="1"/>
  <c r="X682" i="16"/>
  <c r="AD682" i="16" s="1"/>
  <c r="W682" i="16"/>
  <c r="AC682" i="16" s="1"/>
  <c r="V682" i="16"/>
  <c r="AB682" i="16" s="1"/>
  <c r="X681" i="16"/>
  <c r="AD681" i="16" s="1"/>
  <c r="W681" i="16"/>
  <c r="AC681" i="16" s="1"/>
  <c r="V681" i="16"/>
  <c r="AB681" i="16" s="1"/>
  <c r="X680" i="16"/>
  <c r="AD680" i="16" s="1"/>
  <c r="W680" i="16"/>
  <c r="AC680" i="16" s="1"/>
  <c r="V680" i="16"/>
  <c r="AB680" i="16" s="1"/>
  <c r="X679" i="16"/>
  <c r="AD679" i="16" s="1"/>
  <c r="W679" i="16"/>
  <c r="AC679" i="16" s="1"/>
  <c r="V679" i="16"/>
  <c r="AB679" i="16" s="1"/>
  <c r="X678" i="16"/>
  <c r="AD678" i="16" s="1"/>
  <c r="W678" i="16"/>
  <c r="AC678" i="16" s="1"/>
  <c r="V678" i="16"/>
  <c r="AB678" i="16" s="1"/>
  <c r="X677" i="16"/>
  <c r="AD677" i="16" s="1"/>
  <c r="W677" i="16"/>
  <c r="AC677" i="16" s="1"/>
  <c r="V677" i="16"/>
  <c r="AB677" i="16" s="1"/>
  <c r="X676" i="16"/>
  <c r="AD676" i="16" s="1"/>
  <c r="W676" i="16"/>
  <c r="AC676" i="16" s="1"/>
  <c r="V676" i="16"/>
  <c r="AB676" i="16" s="1"/>
  <c r="X675" i="16"/>
  <c r="AD675" i="16" s="1"/>
  <c r="W675" i="16"/>
  <c r="AC675" i="16" s="1"/>
  <c r="V675" i="16"/>
  <c r="AB675" i="16" s="1"/>
  <c r="X674" i="16"/>
  <c r="AD674" i="16" s="1"/>
  <c r="W674" i="16"/>
  <c r="AC674" i="16" s="1"/>
  <c r="V674" i="16"/>
  <c r="AB674" i="16" s="1"/>
  <c r="X673" i="16"/>
  <c r="AD673" i="16" s="1"/>
  <c r="W673" i="16"/>
  <c r="AC673" i="16" s="1"/>
  <c r="V673" i="16"/>
  <c r="AB673" i="16" s="1"/>
  <c r="X672" i="16"/>
  <c r="AD672" i="16" s="1"/>
  <c r="W672" i="16"/>
  <c r="AC672" i="16" s="1"/>
  <c r="V672" i="16"/>
  <c r="AB672" i="16" s="1"/>
  <c r="X671" i="16"/>
  <c r="AD671" i="16" s="1"/>
  <c r="W671" i="16"/>
  <c r="AC671" i="16" s="1"/>
  <c r="V671" i="16"/>
  <c r="AB671" i="16" s="1"/>
  <c r="X670" i="16"/>
  <c r="AD670" i="16" s="1"/>
  <c r="W670" i="16"/>
  <c r="AC670" i="16" s="1"/>
  <c r="V670" i="16"/>
  <c r="AB670" i="16" s="1"/>
  <c r="X669" i="16"/>
  <c r="AD669" i="16" s="1"/>
  <c r="W669" i="16"/>
  <c r="AC669" i="16" s="1"/>
  <c r="V669" i="16"/>
  <c r="AB669" i="16" s="1"/>
  <c r="X668" i="16"/>
  <c r="AD668" i="16" s="1"/>
  <c r="W668" i="16"/>
  <c r="AC668" i="16" s="1"/>
  <c r="V668" i="16"/>
  <c r="AB668" i="16" s="1"/>
  <c r="X667" i="16"/>
  <c r="AD667" i="16" s="1"/>
  <c r="W667" i="16"/>
  <c r="AC667" i="16" s="1"/>
  <c r="V667" i="16"/>
  <c r="AB667" i="16" s="1"/>
  <c r="X666" i="16"/>
  <c r="AD666" i="16" s="1"/>
  <c r="W666" i="16"/>
  <c r="AC666" i="16" s="1"/>
  <c r="V666" i="16"/>
  <c r="AB666" i="16" s="1"/>
  <c r="X665" i="16"/>
  <c r="AD665" i="16" s="1"/>
  <c r="W665" i="16"/>
  <c r="AC665" i="16" s="1"/>
  <c r="V665" i="16"/>
  <c r="AB665" i="16" s="1"/>
  <c r="X664" i="16"/>
  <c r="AD664" i="16" s="1"/>
  <c r="W664" i="16"/>
  <c r="AC664" i="16" s="1"/>
  <c r="V664" i="16"/>
  <c r="AB664" i="16" s="1"/>
  <c r="X663" i="16"/>
  <c r="AD663" i="16" s="1"/>
  <c r="W663" i="16"/>
  <c r="AC663" i="16" s="1"/>
  <c r="V663" i="16"/>
  <c r="AB663" i="16" s="1"/>
  <c r="X662" i="16"/>
  <c r="AD662" i="16" s="1"/>
  <c r="W662" i="16"/>
  <c r="AC662" i="16" s="1"/>
  <c r="V662" i="16"/>
  <c r="AB662" i="16" s="1"/>
  <c r="X661" i="16"/>
  <c r="AD661" i="16" s="1"/>
  <c r="W661" i="16"/>
  <c r="AC661" i="16" s="1"/>
  <c r="V661" i="16"/>
  <c r="AB661" i="16" s="1"/>
  <c r="X660" i="16"/>
  <c r="AD660" i="16" s="1"/>
  <c r="W660" i="16"/>
  <c r="AC660" i="16" s="1"/>
  <c r="V660" i="16"/>
  <c r="AB660" i="16" s="1"/>
  <c r="X659" i="16"/>
  <c r="AD659" i="16" s="1"/>
  <c r="W659" i="16"/>
  <c r="AC659" i="16" s="1"/>
  <c r="V659" i="16"/>
  <c r="AB659" i="16" s="1"/>
  <c r="X658" i="16"/>
  <c r="AD658" i="16" s="1"/>
  <c r="W658" i="16"/>
  <c r="AC658" i="16" s="1"/>
  <c r="V658" i="16"/>
  <c r="AB658" i="16" s="1"/>
  <c r="X657" i="16"/>
  <c r="AD657" i="16" s="1"/>
  <c r="W657" i="16"/>
  <c r="AC657" i="16" s="1"/>
  <c r="V657" i="16"/>
  <c r="AB657" i="16" s="1"/>
  <c r="X656" i="16"/>
  <c r="AD656" i="16" s="1"/>
  <c r="W656" i="16"/>
  <c r="AC656" i="16" s="1"/>
  <c r="V656" i="16"/>
  <c r="AB656" i="16" s="1"/>
  <c r="X655" i="16"/>
  <c r="AD655" i="16" s="1"/>
  <c r="W655" i="16"/>
  <c r="AC655" i="16" s="1"/>
  <c r="V655" i="16"/>
  <c r="AB655" i="16" s="1"/>
  <c r="X654" i="16"/>
  <c r="AD654" i="16" s="1"/>
  <c r="W654" i="16"/>
  <c r="AC654" i="16" s="1"/>
  <c r="V654" i="16"/>
  <c r="AB654" i="16" s="1"/>
  <c r="X653" i="16"/>
  <c r="AD653" i="16" s="1"/>
  <c r="W653" i="16"/>
  <c r="AC653" i="16" s="1"/>
  <c r="V653" i="16"/>
  <c r="AB653" i="16" s="1"/>
  <c r="X652" i="16"/>
  <c r="AD652" i="16" s="1"/>
  <c r="W652" i="16"/>
  <c r="AC652" i="16" s="1"/>
  <c r="V652" i="16"/>
  <c r="AB652" i="16" s="1"/>
  <c r="X651" i="16"/>
  <c r="AD651" i="16" s="1"/>
  <c r="W651" i="16"/>
  <c r="AC651" i="16" s="1"/>
  <c r="V651" i="16"/>
  <c r="AB651" i="16" s="1"/>
  <c r="X650" i="16"/>
  <c r="AD650" i="16" s="1"/>
  <c r="W650" i="16"/>
  <c r="AC650" i="16" s="1"/>
  <c r="V650" i="16"/>
  <c r="AB650" i="16" s="1"/>
  <c r="X649" i="16"/>
  <c r="AD649" i="16" s="1"/>
  <c r="W649" i="16"/>
  <c r="AC649" i="16" s="1"/>
  <c r="V649" i="16"/>
  <c r="AB649" i="16" s="1"/>
  <c r="X648" i="16"/>
  <c r="AD648" i="16" s="1"/>
  <c r="W648" i="16"/>
  <c r="AC648" i="16" s="1"/>
  <c r="V648" i="16"/>
  <c r="AB648" i="16" s="1"/>
  <c r="X647" i="16"/>
  <c r="AD647" i="16" s="1"/>
  <c r="W647" i="16"/>
  <c r="AC647" i="16" s="1"/>
  <c r="V647" i="16"/>
  <c r="AB647" i="16" s="1"/>
  <c r="X646" i="16"/>
  <c r="AD646" i="16" s="1"/>
  <c r="W646" i="16"/>
  <c r="AC646" i="16" s="1"/>
  <c r="V646" i="16"/>
  <c r="AB646" i="16" s="1"/>
  <c r="X645" i="16"/>
  <c r="AD645" i="16" s="1"/>
  <c r="W645" i="16"/>
  <c r="AC645" i="16" s="1"/>
  <c r="V645" i="16"/>
  <c r="AB645" i="16" s="1"/>
  <c r="X644" i="16"/>
  <c r="AD644" i="16" s="1"/>
  <c r="W644" i="16"/>
  <c r="AC644" i="16" s="1"/>
  <c r="V644" i="16"/>
  <c r="AB644" i="16" s="1"/>
  <c r="X643" i="16"/>
  <c r="AD643" i="16" s="1"/>
  <c r="W643" i="16"/>
  <c r="AC643" i="16" s="1"/>
  <c r="V643" i="16"/>
  <c r="AB643" i="16" s="1"/>
  <c r="X642" i="16"/>
  <c r="AD642" i="16" s="1"/>
  <c r="W642" i="16"/>
  <c r="AC642" i="16" s="1"/>
  <c r="V642" i="16"/>
  <c r="AB642" i="16" s="1"/>
  <c r="X641" i="16"/>
  <c r="AD641" i="16" s="1"/>
  <c r="W641" i="16"/>
  <c r="AC641" i="16" s="1"/>
  <c r="V641" i="16"/>
  <c r="AB641" i="16" s="1"/>
  <c r="X640" i="16"/>
  <c r="AD640" i="16" s="1"/>
  <c r="W640" i="16"/>
  <c r="AC640" i="16" s="1"/>
  <c r="V640" i="16"/>
  <c r="AB640" i="16" s="1"/>
  <c r="X639" i="16"/>
  <c r="AD639" i="16" s="1"/>
  <c r="W639" i="16"/>
  <c r="AC639" i="16" s="1"/>
  <c r="V639" i="16"/>
  <c r="AB639" i="16" s="1"/>
  <c r="X638" i="16"/>
  <c r="AD638" i="16" s="1"/>
  <c r="W638" i="16"/>
  <c r="AC638" i="16" s="1"/>
  <c r="V638" i="16"/>
  <c r="AB638" i="16" s="1"/>
  <c r="X637" i="16"/>
  <c r="AD637" i="16" s="1"/>
  <c r="W637" i="16"/>
  <c r="AC637" i="16" s="1"/>
  <c r="V637" i="16"/>
  <c r="AB637" i="16" s="1"/>
  <c r="X636" i="16"/>
  <c r="AD636" i="16" s="1"/>
  <c r="W636" i="16"/>
  <c r="AC636" i="16" s="1"/>
  <c r="V636" i="16"/>
  <c r="AB636" i="16" s="1"/>
  <c r="X635" i="16"/>
  <c r="AD635" i="16" s="1"/>
  <c r="W635" i="16"/>
  <c r="AC635" i="16" s="1"/>
  <c r="V635" i="16"/>
  <c r="AB635" i="16" s="1"/>
  <c r="X634" i="16"/>
  <c r="AD634" i="16" s="1"/>
  <c r="W634" i="16"/>
  <c r="AC634" i="16" s="1"/>
  <c r="V634" i="16"/>
  <c r="AB634" i="16" s="1"/>
  <c r="X633" i="16"/>
  <c r="AD633" i="16" s="1"/>
  <c r="W633" i="16"/>
  <c r="AC633" i="16" s="1"/>
  <c r="V633" i="16"/>
  <c r="AB633" i="16" s="1"/>
  <c r="X632" i="16"/>
  <c r="AD632" i="16" s="1"/>
  <c r="W632" i="16"/>
  <c r="AC632" i="16" s="1"/>
  <c r="V632" i="16"/>
  <c r="AB632" i="16" s="1"/>
  <c r="X631" i="16"/>
  <c r="AD631" i="16" s="1"/>
  <c r="W631" i="16"/>
  <c r="AC631" i="16" s="1"/>
  <c r="V631" i="16"/>
  <c r="AB631" i="16" s="1"/>
  <c r="X630" i="16"/>
  <c r="AD630" i="16" s="1"/>
  <c r="W630" i="16"/>
  <c r="AC630" i="16" s="1"/>
  <c r="V630" i="16"/>
  <c r="AB630" i="16" s="1"/>
  <c r="X629" i="16"/>
  <c r="AD629" i="16" s="1"/>
  <c r="W629" i="16"/>
  <c r="AC629" i="16" s="1"/>
  <c r="V629" i="16"/>
  <c r="AB629" i="16" s="1"/>
  <c r="X628" i="16"/>
  <c r="AD628" i="16" s="1"/>
  <c r="W628" i="16"/>
  <c r="AC628" i="16" s="1"/>
  <c r="V628" i="16"/>
  <c r="AB628" i="16" s="1"/>
  <c r="X627" i="16"/>
  <c r="AD627" i="16" s="1"/>
  <c r="W627" i="16"/>
  <c r="AC627" i="16" s="1"/>
  <c r="V627" i="16"/>
  <c r="AB627" i="16" s="1"/>
  <c r="X626" i="16"/>
  <c r="AD626" i="16" s="1"/>
  <c r="W626" i="16"/>
  <c r="AC626" i="16" s="1"/>
  <c r="V626" i="16"/>
  <c r="AB626" i="16" s="1"/>
  <c r="X625" i="16"/>
  <c r="AD625" i="16" s="1"/>
  <c r="W625" i="16"/>
  <c r="AC625" i="16" s="1"/>
  <c r="V625" i="16"/>
  <c r="AB625" i="16" s="1"/>
  <c r="X624" i="16"/>
  <c r="AD624" i="16" s="1"/>
  <c r="W624" i="16"/>
  <c r="AC624" i="16" s="1"/>
  <c r="V624" i="16"/>
  <c r="AB624" i="16" s="1"/>
  <c r="X623" i="16"/>
  <c r="AD623" i="16" s="1"/>
  <c r="W623" i="16"/>
  <c r="AC623" i="16" s="1"/>
  <c r="V623" i="16"/>
  <c r="AB623" i="16" s="1"/>
  <c r="X622" i="16"/>
  <c r="AD622" i="16" s="1"/>
  <c r="W622" i="16"/>
  <c r="AC622" i="16" s="1"/>
  <c r="V622" i="16"/>
  <c r="AB622" i="16" s="1"/>
  <c r="X621" i="16"/>
  <c r="AD621" i="16" s="1"/>
  <c r="W621" i="16"/>
  <c r="AC621" i="16" s="1"/>
  <c r="V621" i="16"/>
  <c r="AB621" i="16" s="1"/>
  <c r="X620" i="16"/>
  <c r="AD620" i="16" s="1"/>
  <c r="W620" i="16"/>
  <c r="AC620" i="16" s="1"/>
  <c r="V620" i="16"/>
  <c r="AB620" i="16" s="1"/>
  <c r="X619" i="16"/>
  <c r="AD619" i="16" s="1"/>
  <c r="W619" i="16"/>
  <c r="AC619" i="16" s="1"/>
  <c r="V619" i="16"/>
  <c r="AB619" i="16" s="1"/>
  <c r="X618" i="16"/>
  <c r="AD618" i="16" s="1"/>
  <c r="W618" i="16"/>
  <c r="AC618" i="16" s="1"/>
  <c r="V618" i="16"/>
  <c r="AB618" i="16" s="1"/>
  <c r="X617" i="16"/>
  <c r="AD617" i="16" s="1"/>
  <c r="W617" i="16"/>
  <c r="AC617" i="16" s="1"/>
  <c r="V617" i="16"/>
  <c r="AB617" i="16" s="1"/>
  <c r="X616" i="16"/>
  <c r="AD616" i="16" s="1"/>
  <c r="W616" i="16"/>
  <c r="AC616" i="16" s="1"/>
  <c r="V616" i="16"/>
  <c r="AB616" i="16" s="1"/>
  <c r="X615" i="16"/>
  <c r="AD615" i="16" s="1"/>
  <c r="W615" i="16"/>
  <c r="AC615" i="16" s="1"/>
  <c r="V615" i="16"/>
  <c r="AB615" i="16" s="1"/>
  <c r="X614" i="16"/>
  <c r="AD614" i="16" s="1"/>
  <c r="W614" i="16"/>
  <c r="AC614" i="16" s="1"/>
  <c r="V614" i="16"/>
  <c r="AB614" i="16" s="1"/>
  <c r="X613" i="16"/>
  <c r="AD613" i="16" s="1"/>
  <c r="W613" i="16"/>
  <c r="AC613" i="16" s="1"/>
  <c r="V613" i="16"/>
  <c r="AB613" i="16" s="1"/>
  <c r="X612" i="16"/>
  <c r="AD612" i="16" s="1"/>
  <c r="W612" i="16"/>
  <c r="AC612" i="16" s="1"/>
  <c r="V612" i="16"/>
  <c r="AB612" i="16" s="1"/>
  <c r="X611" i="16"/>
  <c r="AD611" i="16" s="1"/>
  <c r="W611" i="16"/>
  <c r="AC611" i="16" s="1"/>
  <c r="V611" i="16"/>
  <c r="AB611" i="16" s="1"/>
  <c r="X610" i="16"/>
  <c r="AD610" i="16" s="1"/>
  <c r="W610" i="16"/>
  <c r="AC610" i="16" s="1"/>
  <c r="V610" i="16"/>
  <c r="AB610" i="16" s="1"/>
  <c r="X609" i="16"/>
  <c r="AD609" i="16" s="1"/>
  <c r="W609" i="16"/>
  <c r="AC609" i="16" s="1"/>
  <c r="V609" i="16"/>
  <c r="AB609" i="16" s="1"/>
  <c r="X608" i="16"/>
  <c r="AD608" i="16" s="1"/>
  <c r="W608" i="16"/>
  <c r="AC608" i="16" s="1"/>
  <c r="V608" i="16"/>
  <c r="AB608" i="16" s="1"/>
  <c r="X607" i="16"/>
  <c r="AD607" i="16" s="1"/>
  <c r="W607" i="16"/>
  <c r="AC607" i="16" s="1"/>
  <c r="V607" i="16"/>
  <c r="AB607" i="16" s="1"/>
  <c r="X606" i="16"/>
  <c r="AD606" i="16" s="1"/>
  <c r="W606" i="16"/>
  <c r="AC606" i="16" s="1"/>
  <c r="V606" i="16"/>
  <c r="AB606" i="16" s="1"/>
  <c r="X605" i="16"/>
  <c r="AD605" i="16" s="1"/>
  <c r="W605" i="16"/>
  <c r="AC605" i="16" s="1"/>
  <c r="V605" i="16"/>
  <c r="AB605" i="16" s="1"/>
  <c r="X604" i="16"/>
  <c r="AD604" i="16" s="1"/>
  <c r="W604" i="16"/>
  <c r="AC604" i="16" s="1"/>
  <c r="V604" i="16"/>
  <c r="AB604" i="16" s="1"/>
  <c r="X603" i="16"/>
  <c r="AD603" i="16" s="1"/>
  <c r="W603" i="16"/>
  <c r="AC603" i="16" s="1"/>
  <c r="V603" i="16"/>
  <c r="AB603" i="16" s="1"/>
  <c r="X602" i="16"/>
  <c r="AD602" i="16" s="1"/>
  <c r="W602" i="16"/>
  <c r="AC602" i="16" s="1"/>
  <c r="V602" i="16"/>
  <c r="AB602" i="16" s="1"/>
  <c r="X601" i="16"/>
  <c r="AD601" i="16" s="1"/>
  <c r="W601" i="16"/>
  <c r="AC601" i="16" s="1"/>
  <c r="V601" i="16"/>
  <c r="AB601" i="16" s="1"/>
  <c r="X600" i="16"/>
  <c r="AD600" i="16" s="1"/>
  <c r="W600" i="16"/>
  <c r="AC600" i="16" s="1"/>
  <c r="V600" i="16"/>
  <c r="AB600" i="16" s="1"/>
  <c r="X599" i="16"/>
  <c r="AD599" i="16" s="1"/>
  <c r="W599" i="16"/>
  <c r="AC599" i="16" s="1"/>
  <c r="V599" i="16"/>
  <c r="AB599" i="16" s="1"/>
  <c r="X598" i="16"/>
  <c r="AD598" i="16" s="1"/>
  <c r="W598" i="16"/>
  <c r="AC598" i="16" s="1"/>
  <c r="V598" i="16"/>
  <c r="AB598" i="16" s="1"/>
  <c r="X597" i="16"/>
  <c r="AD597" i="16" s="1"/>
  <c r="W597" i="16"/>
  <c r="AC597" i="16" s="1"/>
  <c r="V597" i="16"/>
  <c r="AB597" i="16" s="1"/>
  <c r="X596" i="16"/>
  <c r="AD596" i="16" s="1"/>
  <c r="W596" i="16"/>
  <c r="AC596" i="16" s="1"/>
  <c r="V596" i="16"/>
  <c r="AB596" i="16" s="1"/>
  <c r="X595" i="16"/>
  <c r="AD595" i="16" s="1"/>
  <c r="W595" i="16"/>
  <c r="AC595" i="16" s="1"/>
  <c r="V595" i="16"/>
  <c r="AB595" i="16" s="1"/>
  <c r="X594" i="16"/>
  <c r="AD594" i="16" s="1"/>
  <c r="W594" i="16"/>
  <c r="AC594" i="16" s="1"/>
  <c r="V594" i="16"/>
  <c r="AB594" i="16" s="1"/>
  <c r="X593" i="16"/>
  <c r="AD593" i="16" s="1"/>
  <c r="W593" i="16"/>
  <c r="AC593" i="16" s="1"/>
  <c r="V593" i="16"/>
  <c r="AB593" i="16" s="1"/>
  <c r="X592" i="16"/>
  <c r="AD592" i="16" s="1"/>
  <c r="W592" i="16"/>
  <c r="AC592" i="16" s="1"/>
  <c r="V592" i="16"/>
  <c r="AB592" i="16" s="1"/>
  <c r="X591" i="16"/>
  <c r="AD591" i="16" s="1"/>
  <c r="W591" i="16"/>
  <c r="AC591" i="16" s="1"/>
  <c r="V591" i="16"/>
  <c r="AB591" i="16" s="1"/>
  <c r="X590" i="16"/>
  <c r="AD590" i="16" s="1"/>
  <c r="W590" i="16"/>
  <c r="AC590" i="16" s="1"/>
  <c r="V590" i="16"/>
  <c r="AB590" i="16" s="1"/>
  <c r="X589" i="16"/>
  <c r="AD589" i="16" s="1"/>
  <c r="W589" i="16"/>
  <c r="AC589" i="16" s="1"/>
  <c r="V589" i="16"/>
  <c r="AB589" i="16" s="1"/>
  <c r="X588" i="16"/>
  <c r="AD588" i="16" s="1"/>
  <c r="W588" i="16"/>
  <c r="AC588" i="16" s="1"/>
  <c r="V588" i="16"/>
  <c r="AB588" i="16" s="1"/>
  <c r="X587" i="16"/>
  <c r="AD587" i="16" s="1"/>
  <c r="W587" i="16"/>
  <c r="AC587" i="16" s="1"/>
  <c r="V587" i="16"/>
  <c r="AB587" i="16" s="1"/>
  <c r="X586" i="16"/>
  <c r="AD586" i="16" s="1"/>
  <c r="W586" i="16"/>
  <c r="AC586" i="16" s="1"/>
  <c r="V586" i="16"/>
  <c r="AB586" i="16" s="1"/>
  <c r="X585" i="16"/>
  <c r="AD585" i="16" s="1"/>
  <c r="W585" i="16"/>
  <c r="AC585" i="16" s="1"/>
  <c r="V585" i="16"/>
  <c r="AB585" i="16" s="1"/>
  <c r="X584" i="16"/>
  <c r="AD584" i="16" s="1"/>
  <c r="W584" i="16"/>
  <c r="AC584" i="16" s="1"/>
  <c r="V584" i="16"/>
  <c r="AB584" i="16" s="1"/>
  <c r="X583" i="16"/>
  <c r="AD583" i="16" s="1"/>
  <c r="W583" i="16"/>
  <c r="AC583" i="16" s="1"/>
  <c r="V583" i="16"/>
  <c r="AB583" i="16" s="1"/>
  <c r="X582" i="16"/>
  <c r="AD582" i="16" s="1"/>
  <c r="W582" i="16"/>
  <c r="AC582" i="16" s="1"/>
  <c r="V582" i="16"/>
  <c r="AB582" i="16" s="1"/>
  <c r="X581" i="16"/>
  <c r="AD581" i="16" s="1"/>
  <c r="W581" i="16"/>
  <c r="AC581" i="16" s="1"/>
  <c r="V581" i="16"/>
  <c r="AB581" i="16" s="1"/>
  <c r="X580" i="16"/>
  <c r="AD580" i="16" s="1"/>
  <c r="W580" i="16"/>
  <c r="AC580" i="16" s="1"/>
  <c r="V580" i="16"/>
  <c r="AB580" i="16" s="1"/>
  <c r="X579" i="16"/>
  <c r="AD579" i="16" s="1"/>
  <c r="W579" i="16"/>
  <c r="AC579" i="16" s="1"/>
  <c r="V579" i="16"/>
  <c r="AB579" i="16" s="1"/>
  <c r="X578" i="16"/>
  <c r="AD578" i="16" s="1"/>
  <c r="W578" i="16"/>
  <c r="AC578" i="16" s="1"/>
  <c r="V578" i="16"/>
  <c r="AB578" i="16" s="1"/>
  <c r="X577" i="16"/>
  <c r="AD577" i="16" s="1"/>
  <c r="W577" i="16"/>
  <c r="AC577" i="16" s="1"/>
  <c r="V577" i="16"/>
  <c r="AB577" i="16" s="1"/>
  <c r="X576" i="16"/>
  <c r="AD576" i="16" s="1"/>
  <c r="W576" i="16"/>
  <c r="AC576" i="16" s="1"/>
  <c r="V576" i="16"/>
  <c r="AB576" i="16" s="1"/>
  <c r="X575" i="16"/>
  <c r="AD575" i="16" s="1"/>
  <c r="W575" i="16"/>
  <c r="AC575" i="16" s="1"/>
  <c r="V575" i="16"/>
  <c r="AB575" i="16" s="1"/>
  <c r="X574" i="16"/>
  <c r="AD574" i="16" s="1"/>
  <c r="W574" i="16"/>
  <c r="AC574" i="16" s="1"/>
  <c r="V574" i="16"/>
  <c r="AB574" i="16" s="1"/>
  <c r="X573" i="16"/>
  <c r="AD573" i="16" s="1"/>
  <c r="W573" i="16"/>
  <c r="AC573" i="16" s="1"/>
  <c r="V573" i="16"/>
  <c r="AB573" i="16" s="1"/>
  <c r="X572" i="16"/>
  <c r="AD572" i="16" s="1"/>
  <c r="W572" i="16"/>
  <c r="AC572" i="16" s="1"/>
  <c r="V572" i="16"/>
  <c r="AB572" i="16" s="1"/>
  <c r="X571" i="16"/>
  <c r="AD571" i="16" s="1"/>
  <c r="W571" i="16"/>
  <c r="AC571" i="16" s="1"/>
  <c r="V571" i="16"/>
  <c r="AB571" i="16" s="1"/>
  <c r="X570" i="16"/>
  <c r="AD570" i="16" s="1"/>
  <c r="W570" i="16"/>
  <c r="AC570" i="16" s="1"/>
  <c r="V570" i="16"/>
  <c r="AB570" i="16" s="1"/>
  <c r="X569" i="16"/>
  <c r="AD569" i="16" s="1"/>
  <c r="W569" i="16"/>
  <c r="AC569" i="16" s="1"/>
  <c r="V569" i="16"/>
  <c r="AB569" i="16" s="1"/>
  <c r="X568" i="16"/>
  <c r="AD568" i="16" s="1"/>
  <c r="W568" i="16"/>
  <c r="AC568" i="16" s="1"/>
  <c r="V568" i="16"/>
  <c r="AB568" i="16" s="1"/>
  <c r="X567" i="16"/>
  <c r="AD567" i="16" s="1"/>
  <c r="W567" i="16"/>
  <c r="AC567" i="16" s="1"/>
  <c r="V567" i="16"/>
  <c r="AB567" i="16" s="1"/>
  <c r="X566" i="16"/>
  <c r="AD566" i="16" s="1"/>
  <c r="W566" i="16"/>
  <c r="AC566" i="16" s="1"/>
  <c r="V566" i="16"/>
  <c r="AB566" i="16" s="1"/>
  <c r="X565" i="16"/>
  <c r="AD565" i="16" s="1"/>
  <c r="W565" i="16"/>
  <c r="AC565" i="16" s="1"/>
  <c r="V565" i="16"/>
  <c r="AB565" i="16" s="1"/>
  <c r="X564" i="16"/>
  <c r="AD564" i="16" s="1"/>
  <c r="W564" i="16"/>
  <c r="AC564" i="16" s="1"/>
  <c r="V564" i="16"/>
  <c r="AB564" i="16" s="1"/>
  <c r="X563" i="16"/>
  <c r="AD563" i="16" s="1"/>
  <c r="W563" i="16"/>
  <c r="AC563" i="16" s="1"/>
  <c r="V563" i="16"/>
  <c r="AB563" i="16" s="1"/>
  <c r="X562" i="16"/>
  <c r="AD562" i="16" s="1"/>
  <c r="W562" i="16"/>
  <c r="AC562" i="16" s="1"/>
  <c r="V562" i="16"/>
  <c r="AB562" i="16" s="1"/>
  <c r="X561" i="16"/>
  <c r="AD561" i="16" s="1"/>
  <c r="W561" i="16"/>
  <c r="AC561" i="16" s="1"/>
  <c r="V561" i="16"/>
  <c r="AB561" i="16" s="1"/>
  <c r="X560" i="16"/>
  <c r="AD560" i="16" s="1"/>
  <c r="W560" i="16"/>
  <c r="AC560" i="16" s="1"/>
  <c r="V560" i="16"/>
  <c r="AB560" i="16" s="1"/>
  <c r="X559" i="16"/>
  <c r="AD559" i="16" s="1"/>
  <c r="W559" i="16"/>
  <c r="AC559" i="16" s="1"/>
  <c r="V559" i="16"/>
  <c r="AB559" i="16" s="1"/>
  <c r="X558" i="16"/>
  <c r="AD558" i="16" s="1"/>
  <c r="W558" i="16"/>
  <c r="AC558" i="16" s="1"/>
  <c r="V558" i="16"/>
  <c r="AB558" i="16" s="1"/>
  <c r="X557" i="16"/>
  <c r="AD557" i="16" s="1"/>
  <c r="W557" i="16"/>
  <c r="AC557" i="16" s="1"/>
  <c r="V557" i="16"/>
  <c r="AB557" i="16" s="1"/>
  <c r="X556" i="16"/>
  <c r="AD556" i="16" s="1"/>
  <c r="W556" i="16"/>
  <c r="AC556" i="16" s="1"/>
  <c r="V556" i="16"/>
  <c r="AB556" i="16" s="1"/>
  <c r="X555" i="16"/>
  <c r="AD555" i="16" s="1"/>
  <c r="W555" i="16"/>
  <c r="AC555" i="16" s="1"/>
  <c r="V555" i="16"/>
  <c r="AB555" i="16" s="1"/>
  <c r="X554" i="16"/>
  <c r="AD554" i="16" s="1"/>
  <c r="W554" i="16"/>
  <c r="AC554" i="16" s="1"/>
  <c r="V554" i="16"/>
  <c r="AB554" i="16" s="1"/>
  <c r="X553" i="16"/>
  <c r="AD553" i="16" s="1"/>
  <c r="W553" i="16"/>
  <c r="AC553" i="16" s="1"/>
  <c r="V553" i="16"/>
  <c r="AB553" i="16" s="1"/>
  <c r="X552" i="16"/>
  <c r="AD552" i="16" s="1"/>
  <c r="W552" i="16"/>
  <c r="AC552" i="16" s="1"/>
  <c r="V552" i="16"/>
  <c r="AB552" i="16" s="1"/>
  <c r="X551" i="16"/>
  <c r="AD551" i="16" s="1"/>
  <c r="W551" i="16"/>
  <c r="AC551" i="16" s="1"/>
  <c r="V551" i="16"/>
  <c r="AB551" i="16" s="1"/>
  <c r="X550" i="16"/>
  <c r="AD550" i="16" s="1"/>
  <c r="W550" i="16"/>
  <c r="AC550" i="16" s="1"/>
  <c r="V550" i="16"/>
  <c r="AB550" i="16" s="1"/>
  <c r="X549" i="16"/>
  <c r="AD549" i="16" s="1"/>
  <c r="W549" i="16"/>
  <c r="AC549" i="16" s="1"/>
  <c r="V549" i="16"/>
  <c r="AB549" i="16" s="1"/>
  <c r="X548" i="16"/>
  <c r="AD548" i="16" s="1"/>
  <c r="W548" i="16"/>
  <c r="AC548" i="16" s="1"/>
  <c r="V548" i="16"/>
  <c r="AB548" i="16" s="1"/>
  <c r="X547" i="16"/>
  <c r="AD547" i="16" s="1"/>
  <c r="W547" i="16"/>
  <c r="AC547" i="16" s="1"/>
  <c r="V547" i="16"/>
  <c r="AB547" i="16" s="1"/>
  <c r="X546" i="16"/>
  <c r="AD546" i="16" s="1"/>
  <c r="W546" i="16"/>
  <c r="AC546" i="16" s="1"/>
  <c r="V546" i="16"/>
  <c r="AB546" i="16" s="1"/>
  <c r="X545" i="16"/>
  <c r="AD545" i="16" s="1"/>
  <c r="W545" i="16"/>
  <c r="AC545" i="16" s="1"/>
  <c r="V545" i="16"/>
  <c r="AB545" i="16" s="1"/>
  <c r="X544" i="16"/>
  <c r="AD544" i="16" s="1"/>
  <c r="W544" i="16"/>
  <c r="AC544" i="16" s="1"/>
  <c r="V544" i="16"/>
  <c r="AB544" i="16" s="1"/>
  <c r="X543" i="16"/>
  <c r="AD543" i="16" s="1"/>
  <c r="W543" i="16"/>
  <c r="AC543" i="16" s="1"/>
  <c r="V543" i="16"/>
  <c r="AB543" i="16" s="1"/>
  <c r="X542" i="16"/>
  <c r="AD542" i="16" s="1"/>
  <c r="W542" i="16"/>
  <c r="AC542" i="16" s="1"/>
  <c r="V542" i="16"/>
  <c r="AB542" i="16" s="1"/>
  <c r="X541" i="16"/>
  <c r="AD541" i="16" s="1"/>
  <c r="W541" i="16"/>
  <c r="AC541" i="16" s="1"/>
  <c r="V541" i="16"/>
  <c r="AB541" i="16" s="1"/>
  <c r="X540" i="16"/>
  <c r="AD540" i="16" s="1"/>
  <c r="W540" i="16"/>
  <c r="AC540" i="16" s="1"/>
  <c r="V540" i="16"/>
  <c r="AB540" i="16" s="1"/>
  <c r="X539" i="16"/>
  <c r="AD539" i="16" s="1"/>
  <c r="W539" i="16"/>
  <c r="AC539" i="16" s="1"/>
  <c r="V539" i="16"/>
  <c r="AB539" i="16" s="1"/>
  <c r="X538" i="16"/>
  <c r="AD538" i="16" s="1"/>
  <c r="W538" i="16"/>
  <c r="AC538" i="16" s="1"/>
  <c r="V538" i="16"/>
  <c r="AB538" i="16" s="1"/>
  <c r="X537" i="16"/>
  <c r="AD537" i="16" s="1"/>
  <c r="W537" i="16"/>
  <c r="AC537" i="16" s="1"/>
  <c r="V537" i="16"/>
  <c r="AB537" i="16" s="1"/>
  <c r="X536" i="16"/>
  <c r="AD536" i="16" s="1"/>
  <c r="W536" i="16"/>
  <c r="AC536" i="16" s="1"/>
  <c r="V536" i="16"/>
  <c r="AB536" i="16" s="1"/>
  <c r="X535" i="16"/>
  <c r="AD535" i="16" s="1"/>
  <c r="W535" i="16"/>
  <c r="AC535" i="16" s="1"/>
  <c r="V535" i="16"/>
  <c r="AB535" i="16" s="1"/>
  <c r="X534" i="16"/>
  <c r="AD534" i="16" s="1"/>
  <c r="W534" i="16"/>
  <c r="AC534" i="16" s="1"/>
  <c r="V534" i="16"/>
  <c r="AB534" i="16" s="1"/>
  <c r="X533" i="16"/>
  <c r="AD533" i="16" s="1"/>
  <c r="W533" i="16"/>
  <c r="AC533" i="16" s="1"/>
  <c r="V533" i="16"/>
  <c r="AB533" i="16" s="1"/>
  <c r="X532" i="16"/>
  <c r="AD532" i="16" s="1"/>
  <c r="W532" i="16"/>
  <c r="AC532" i="16" s="1"/>
  <c r="V532" i="16"/>
  <c r="AB532" i="16" s="1"/>
  <c r="X531" i="16"/>
  <c r="AD531" i="16" s="1"/>
  <c r="W531" i="16"/>
  <c r="AC531" i="16" s="1"/>
  <c r="V531" i="16"/>
  <c r="AB531" i="16" s="1"/>
  <c r="X530" i="16"/>
  <c r="AD530" i="16" s="1"/>
  <c r="W530" i="16"/>
  <c r="AC530" i="16" s="1"/>
  <c r="V530" i="16"/>
  <c r="AB530" i="16" s="1"/>
  <c r="X529" i="16"/>
  <c r="AD529" i="16" s="1"/>
  <c r="W529" i="16"/>
  <c r="AC529" i="16" s="1"/>
  <c r="V529" i="16"/>
  <c r="AB529" i="16" s="1"/>
  <c r="X528" i="16"/>
  <c r="AD528" i="16" s="1"/>
  <c r="W528" i="16"/>
  <c r="AC528" i="16" s="1"/>
  <c r="V528" i="16"/>
  <c r="AB528" i="16" s="1"/>
  <c r="X527" i="16"/>
  <c r="AD527" i="16" s="1"/>
  <c r="W527" i="16"/>
  <c r="AC527" i="16" s="1"/>
  <c r="V527" i="16"/>
  <c r="AB527" i="16" s="1"/>
  <c r="X526" i="16"/>
  <c r="AD526" i="16" s="1"/>
  <c r="W526" i="16"/>
  <c r="AC526" i="16" s="1"/>
  <c r="V526" i="16"/>
  <c r="AB526" i="16" s="1"/>
  <c r="X525" i="16"/>
  <c r="AD525" i="16" s="1"/>
  <c r="W525" i="16"/>
  <c r="AC525" i="16" s="1"/>
  <c r="V525" i="16"/>
  <c r="AB525" i="16" s="1"/>
  <c r="X524" i="16"/>
  <c r="AD524" i="16" s="1"/>
  <c r="W524" i="16"/>
  <c r="AC524" i="16" s="1"/>
  <c r="V524" i="16"/>
  <c r="AB524" i="16" s="1"/>
  <c r="X523" i="16"/>
  <c r="AD523" i="16" s="1"/>
  <c r="W523" i="16"/>
  <c r="AC523" i="16" s="1"/>
  <c r="V523" i="16"/>
  <c r="AB523" i="16" s="1"/>
  <c r="X522" i="16"/>
  <c r="AD522" i="16" s="1"/>
  <c r="W522" i="16"/>
  <c r="AC522" i="16" s="1"/>
  <c r="V522" i="16"/>
  <c r="AB522" i="16" s="1"/>
  <c r="X521" i="16"/>
  <c r="AD521" i="16" s="1"/>
  <c r="W521" i="16"/>
  <c r="AC521" i="16" s="1"/>
  <c r="V521" i="16"/>
  <c r="AB521" i="16" s="1"/>
  <c r="X520" i="16"/>
  <c r="AD520" i="16" s="1"/>
  <c r="W520" i="16"/>
  <c r="AC520" i="16" s="1"/>
  <c r="V520" i="16"/>
  <c r="AB520" i="16" s="1"/>
  <c r="X519" i="16"/>
  <c r="AD519" i="16" s="1"/>
  <c r="W519" i="16"/>
  <c r="AC519" i="16" s="1"/>
  <c r="V519" i="16"/>
  <c r="AB519" i="16" s="1"/>
  <c r="X518" i="16"/>
  <c r="AD518" i="16" s="1"/>
  <c r="W518" i="16"/>
  <c r="AC518" i="16" s="1"/>
  <c r="V518" i="16"/>
  <c r="AB518" i="16" s="1"/>
  <c r="X517" i="16"/>
  <c r="AD517" i="16" s="1"/>
  <c r="W517" i="16"/>
  <c r="AC517" i="16" s="1"/>
  <c r="V517" i="16"/>
  <c r="AB517" i="16" s="1"/>
  <c r="X516" i="16"/>
  <c r="AD516" i="16" s="1"/>
  <c r="W516" i="16"/>
  <c r="AC516" i="16" s="1"/>
  <c r="V516" i="16"/>
  <c r="AB516" i="16" s="1"/>
  <c r="X515" i="16"/>
  <c r="AD515" i="16" s="1"/>
  <c r="W515" i="16"/>
  <c r="AC515" i="16" s="1"/>
  <c r="V515" i="16"/>
  <c r="AB515" i="16" s="1"/>
  <c r="X514" i="16"/>
  <c r="AD514" i="16" s="1"/>
  <c r="W514" i="16"/>
  <c r="AC514" i="16" s="1"/>
  <c r="V514" i="16"/>
  <c r="AB514" i="16" s="1"/>
  <c r="X513" i="16"/>
  <c r="AD513" i="16" s="1"/>
  <c r="W513" i="16"/>
  <c r="AC513" i="16" s="1"/>
  <c r="V513" i="16"/>
  <c r="AB513" i="16" s="1"/>
  <c r="X512" i="16"/>
  <c r="AD512" i="16" s="1"/>
  <c r="W512" i="16"/>
  <c r="AC512" i="16" s="1"/>
  <c r="V512" i="16"/>
  <c r="AB512" i="16" s="1"/>
  <c r="X511" i="16"/>
  <c r="AD511" i="16" s="1"/>
  <c r="W511" i="16"/>
  <c r="AC511" i="16" s="1"/>
  <c r="V511" i="16"/>
  <c r="AB511" i="16" s="1"/>
  <c r="X510" i="16"/>
  <c r="AD510" i="16" s="1"/>
  <c r="W510" i="16"/>
  <c r="AC510" i="16" s="1"/>
  <c r="V510" i="16"/>
  <c r="AB510" i="16" s="1"/>
  <c r="X509" i="16"/>
  <c r="AD509" i="16" s="1"/>
  <c r="W509" i="16"/>
  <c r="AC509" i="16" s="1"/>
  <c r="V509" i="16"/>
  <c r="AB509" i="16" s="1"/>
  <c r="X508" i="16"/>
  <c r="AD508" i="16" s="1"/>
  <c r="W508" i="16"/>
  <c r="AC508" i="16" s="1"/>
  <c r="V508" i="16"/>
  <c r="AB508" i="16" s="1"/>
  <c r="X507" i="16"/>
  <c r="AD507" i="16" s="1"/>
  <c r="W507" i="16"/>
  <c r="AC507" i="16" s="1"/>
  <c r="V507" i="16"/>
  <c r="AB507" i="16" s="1"/>
  <c r="X506" i="16"/>
  <c r="AD506" i="16" s="1"/>
  <c r="W506" i="16"/>
  <c r="AC506" i="16" s="1"/>
  <c r="V506" i="16"/>
  <c r="AB506" i="16" s="1"/>
  <c r="X505" i="16"/>
  <c r="AD505" i="16" s="1"/>
  <c r="W505" i="16"/>
  <c r="AC505" i="16" s="1"/>
  <c r="V505" i="16"/>
  <c r="AB505" i="16" s="1"/>
  <c r="X504" i="16"/>
  <c r="AD504" i="16" s="1"/>
  <c r="W504" i="16"/>
  <c r="AC504" i="16" s="1"/>
  <c r="V504" i="16"/>
  <c r="AB504" i="16" s="1"/>
  <c r="X503" i="16"/>
  <c r="AD503" i="16" s="1"/>
  <c r="W503" i="16"/>
  <c r="AC503" i="16" s="1"/>
  <c r="V503" i="16"/>
  <c r="AB503" i="16" s="1"/>
  <c r="X502" i="16"/>
  <c r="AD502" i="16" s="1"/>
  <c r="W502" i="16"/>
  <c r="AC502" i="16" s="1"/>
  <c r="V502" i="16"/>
  <c r="AB502" i="16" s="1"/>
  <c r="X501" i="16"/>
  <c r="AD501" i="16" s="1"/>
  <c r="W501" i="16"/>
  <c r="AC501" i="16" s="1"/>
  <c r="V501" i="16"/>
  <c r="AB501" i="16" s="1"/>
  <c r="X500" i="16"/>
  <c r="AD500" i="16" s="1"/>
  <c r="W500" i="16"/>
  <c r="AC500" i="16" s="1"/>
  <c r="V500" i="16"/>
  <c r="AB500" i="16" s="1"/>
  <c r="X499" i="16"/>
  <c r="AD499" i="16" s="1"/>
  <c r="W499" i="16"/>
  <c r="AC499" i="16" s="1"/>
  <c r="V499" i="16"/>
  <c r="AB499" i="16" s="1"/>
  <c r="X498" i="16"/>
  <c r="AD498" i="16" s="1"/>
  <c r="W498" i="16"/>
  <c r="AC498" i="16" s="1"/>
  <c r="V498" i="16"/>
  <c r="AB498" i="16" s="1"/>
  <c r="X497" i="16"/>
  <c r="AD497" i="16" s="1"/>
  <c r="W497" i="16"/>
  <c r="AC497" i="16" s="1"/>
  <c r="V497" i="16"/>
  <c r="AB497" i="16" s="1"/>
  <c r="X496" i="16"/>
  <c r="AD496" i="16" s="1"/>
  <c r="W496" i="16"/>
  <c r="AC496" i="16" s="1"/>
  <c r="V496" i="16"/>
  <c r="AB496" i="16" s="1"/>
  <c r="X495" i="16"/>
  <c r="AD495" i="16" s="1"/>
  <c r="W495" i="16"/>
  <c r="AC495" i="16" s="1"/>
  <c r="V495" i="16"/>
  <c r="AB495" i="16" s="1"/>
  <c r="X494" i="16"/>
  <c r="AD494" i="16" s="1"/>
  <c r="W494" i="16"/>
  <c r="AC494" i="16" s="1"/>
  <c r="V494" i="16"/>
  <c r="AB494" i="16" s="1"/>
  <c r="X493" i="16"/>
  <c r="AD493" i="16" s="1"/>
  <c r="W493" i="16"/>
  <c r="AC493" i="16" s="1"/>
  <c r="V493" i="16"/>
  <c r="AB493" i="16" s="1"/>
  <c r="X492" i="16"/>
  <c r="AD492" i="16" s="1"/>
  <c r="W492" i="16"/>
  <c r="AC492" i="16" s="1"/>
  <c r="V492" i="16"/>
  <c r="AB492" i="16" s="1"/>
  <c r="X491" i="16"/>
  <c r="AD491" i="16" s="1"/>
  <c r="W491" i="16"/>
  <c r="AC491" i="16" s="1"/>
  <c r="V491" i="16"/>
  <c r="AB491" i="16" s="1"/>
  <c r="X490" i="16"/>
  <c r="AD490" i="16" s="1"/>
  <c r="W490" i="16"/>
  <c r="AC490" i="16" s="1"/>
  <c r="V490" i="16"/>
  <c r="AB490" i="16" s="1"/>
  <c r="X489" i="16"/>
  <c r="AD489" i="16" s="1"/>
  <c r="W489" i="16"/>
  <c r="AC489" i="16" s="1"/>
  <c r="V489" i="16"/>
  <c r="AB489" i="16" s="1"/>
  <c r="X488" i="16"/>
  <c r="AD488" i="16" s="1"/>
  <c r="W488" i="16"/>
  <c r="AC488" i="16" s="1"/>
  <c r="V488" i="16"/>
  <c r="AB488" i="16" s="1"/>
  <c r="X487" i="16"/>
  <c r="AD487" i="16" s="1"/>
  <c r="W487" i="16"/>
  <c r="AC487" i="16" s="1"/>
  <c r="V487" i="16"/>
  <c r="AB487" i="16" s="1"/>
  <c r="X486" i="16"/>
  <c r="AD486" i="16" s="1"/>
  <c r="W486" i="16"/>
  <c r="AC486" i="16" s="1"/>
  <c r="V486" i="16"/>
  <c r="AB486" i="16" s="1"/>
  <c r="X485" i="16"/>
  <c r="AD485" i="16" s="1"/>
  <c r="W485" i="16"/>
  <c r="AC485" i="16" s="1"/>
  <c r="V485" i="16"/>
  <c r="AB485" i="16" s="1"/>
  <c r="X484" i="16"/>
  <c r="AD484" i="16" s="1"/>
  <c r="W484" i="16"/>
  <c r="AC484" i="16" s="1"/>
  <c r="V484" i="16"/>
  <c r="AB484" i="16" s="1"/>
  <c r="X483" i="16"/>
  <c r="AD483" i="16" s="1"/>
  <c r="W483" i="16"/>
  <c r="AC483" i="16" s="1"/>
  <c r="V483" i="16"/>
  <c r="AB483" i="16" s="1"/>
  <c r="X482" i="16"/>
  <c r="AD482" i="16" s="1"/>
  <c r="W482" i="16"/>
  <c r="AC482" i="16" s="1"/>
  <c r="V482" i="16"/>
  <c r="AB482" i="16" s="1"/>
  <c r="X481" i="16"/>
  <c r="AD481" i="16" s="1"/>
  <c r="W481" i="16"/>
  <c r="AC481" i="16" s="1"/>
  <c r="V481" i="16"/>
  <c r="AB481" i="16" s="1"/>
  <c r="X480" i="16"/>
  <c r="AD480" i="16" s="1"/>
  <c r="W480" i="16"/>
  <c r="AC480" i="16" s="1"/>
  <c r="V480" i="16"/>
  <c r="AB480" i="16" s="1"/>
  <c r="X479" i="16"/>
  <c r="AD479" i="16" s="1"/>
  <c r="W479" i="16"/>
  <c r="AC479" i="16" s="1"/>
  <c r="V479" i="16"/>
  <c r="AB479" i="16" s="1"/>
  <c r="X478" i="16"/>
  <c r="AD478" i="16" s="1"/>
  <c r="W478" i="16"/>
  <c r="AC478" i="16" s="1"/>
  <c r="V478" i="16"/>
  <c r="AB478" i="16" s="1"/>
  <c r="X477" i="16"/>
  <c r="AD477" i="16" s="1"/>
  <c r="W477" i="16"/>
  <c r="AC477" i="16" s="1"/>
  <c r="V477" i="16"/>
  <c r="AB477" i="16" s="1"/>
  <c r="X476" i="16"/>
  <c r="AD476" i="16" s="1"/>
  <c r="W476" i="16"/>
  <c r="AC476" i="16" s="1"/>
  <c r="V476" i="16"/>
  <c r="AB476" i="16" s="1"/>
  <c r="X475" i="16"/>
  <c r="AD475" i="16" s="1"/>
  <c r="W475" i="16"/>
  <c r="AC475" i="16" s="1"/>
  <c r="V475" i="16"/>
  <c r="AB475" i="16" s="1"/>
  <c r="X474" i="16"/>
  <c r="AD474" i="16" s="1"/>
  <c r="W474" i="16"/>
  <c r="AC474" i="16" s="1"/>
  <c r="V474" i="16"/>
  <c r="AB474" i="16" s="1"/>
  <c r="X473" i="16"/>
  <c r="AD473" i="16" s="1"/>
  <c r="W473" i="16"/>
  <c r="AC473" i="16" s="1"/>
  <c r="V473" i="16"/>
  <c r="AB473" i="16" s="1"/>
  <c r="X472" i="16"/>
  <c r="AD472" i="16" s="1"/>
  <c r="W472" i="16"/>
  <c r="AC472" i="16" s="1"/>
  <c r="V472" i="16"/>
  <c r="AB472" i="16" s="1"/>
  <c r="X471" i="16"/>
  <c r="AD471" i="16" s="1"/>
  <c r="W471" i="16"/>
  <c r="AC471" i="16" s="1"/>
  <c r="V471" i="16"/>
  <c r="AB471" i="16" s="1"/>
  <c r="X470" i="16"/>
  <c r="AD470" i="16" s="1"/>
  <c r="W470" i="16"/>
  <c r="AC470" i="16" s="1"/>
  <c r="V470" i="16"/>
  <c r="AB470" i="16" s="1"/>
  <c r="X469" i="16"/>
  <c r="AD469" i="16" s="1"/>
  <c r="W469" i="16"/>
  <c r="AC469" i="16" s="1"/>
  <c r="V469" i="16"/>
  <c r="AB469" i="16" s="1"/>
  <c r="X468" i="16"/>
  <c r="AD468" i="16" s="1"/>
  <c r="W468" i="16"/>
  <c r="AC468" i="16" s="1"/>
  <c r="V468" i="16"/>
  <c r="AB468" i="16" s="1"/>
  <c r="X467" i="16"/>
  <c r="AD467" i="16" s="1"/>
  <c r="W467" i="16"/>
  <c r="AC467" i="16" s="1"/>
  <c r="V467" i="16"/>
  <c r="AB467" i="16" s="1"/>
  <c r="X466" i="16"/>
  <c r="AD466" i="16" s="1"/>
  <c r="W466" i="16"/>
  <c r="AC466" i="16" s="1"/>
  <c r="V466" i="16"/>
  <c r="AB466" i="16" s="1"/>
  <c r="X465" i="16"/>
  <c r="AD465" i="16" s="1"/>
  <c r="W465" i="16"/>
  <c r="AC465" i="16" s="1"/>
  <c r="V465" i="16"/>
  <c r="AB465" i="16" s="1"/>
  <c r="X464" i="16"/>
  <c r="AD464" i="16" s="1"/>
  <c r="W464" i="16"/>
  <c r="AC464" i="16" s="1"/>
  <c r="V464" i="16"/>
  <c r="AB464" i="16" s="1"/>
  <c r="X463" i="16"/>
  <c r="AD463" i="16" s="1"/>
  <c r="W463" i="16"/>
  <c r="AC463" i="16" s="1"/>
  <c r="V463" i="16"/>
  <c r="AB463" i="16" s="1"/>
  <c r="X462" i="16"/>
  <c r="AD462" i="16" s="1"/>
  <c r="W462" i="16"/>
  <c r="AC462" i="16" s="1"/>
  <c r="V462" i="16"/>
  <c r="AB462" i="16" s="1"/>
  <c r="X461" i="16"/>
  <c r="AD461" i="16" s="1"/>
  <c r="W461" i="16"/>
  <c r="AC461" i="16" s="1"/>
  <c r="V461" i="16"/>
  <c r="AB461" i="16" s="1"/>
  <c r="X460" i="16"/>
  <c r="AD460" i="16" s="1"/>
  <c r="W460" i="16"/>
  <c r="AC460" i="16" s="1"/>
  <c r="V460" i="16"/>
  <c r="AB460" i="16" s="1"/>
  <c r="X459" i="16"/>
  <c r="AD459" i="16" s="1"/>
  <c r="W459" i="16"/>
  <c r="AC459" i="16" s="1"/>
  <c r="V459" i="16"/>
  <c r="AB459" i="16" s="1"/>
  <c r="X458" i="16"/>
  <c r="AD458" i="16" s="1"/>
  <c r="W458" i="16"/>
  <c r="AC458" i="16" s="1"/>
  <c r="V458" i="16"/>
  <c r="AB458" i="16" s="1"/>
  <c r="X457" i="16"/>
  <c r="AD457" i="16" s="1"/>
  <c r="W457" i="16"/>
  <c r="AC457" i="16" s="1"/>
  <c r="V457" i="16"/>
  <c r="AB457" i="16" s="1"/>
  <c r="X456" i="16"/>
  <c r="AD456" i="16" s="1"/>
  <c r="W456" i="16"/>
  <c r="AC456" i="16" s="1"/>
  <c r="V456" i="16"/>
  <c r="AB456" i="16" s="1"/>
  <c r="X455" i="16"/>
  <c r="AD455" i="16" s="1"/>
  <c r="W455" i="16"/>
  <c r="AC455" i="16" s="1"/>
  <c r="V455" i="16"/>
  <c r="AB455" i="16" s="1"/>
  <c r="X454" i="16"/>
  <c r="AD454" i="16" s="1"/>
  <c r="W454" i="16"/>
  <c r="AC454" i="16" s="1"/>
  <c r="V454" i="16"/>
  <c r="AB454" i="16" s="1"/>
  <c r="X453" i="16"/>
  <c r="AD453" i="16" s="1"/>
  <c r="W453" i="16"/>
  <c r="AC453" i="16" s="1"/>
  <c r="V453" i="16"/>
  <c r="AB453" i="16" s="1"/>
  <c r="X452" i="16"/>
  <c r="AD452" i="16" s="1"/>
  <c r="W452" i="16"/>
  <c r="AC452" i="16" s="1"/>
  <c r="V452" i="16"/>
  <c r="AB452" i="16" s="1"/>
  <c r="X451" i="16"/>
  <c r="AD451" i="16" s="1"/>
  <c r="W451" i="16"/>
  <c r="AC451" i="16" s="1"/>
  <c r="V451" i="16"/>
  <c r="AB451" i="16" s="1"/>
  <c r="X450" i="16"/>
  <c r="AD450" i="16" s="1"/>
  <c r="W450" i="16"/>
  <c r="AC450" i="16" s="1"/>
  <c r="V450" i="16"/>
  <c r="AB450" i="16" s="1"/>
  <c r="X449" i="16"/>
  <c r="AD449" i="16" s="1"/>
  <c r="W449" i="16"/>
  <c r="AC449" i="16" s="1"/>
  <c r="V449" i="16"/>
  <c r="AB449" i="16" s="1"/>
  <c r="X448" i="16"/>
  <c r="AD448" i="16" s="1"/>
  <c r="W448" i="16"/>
  <c r="AC448" i="16" s="1"/>
  <c r="V448" i="16"/>
  <c r="AB448" i="16" s="1"/>
  <c r="X447" i="16"/>
  <c r="AD447" i="16" s="1"/>
  <c r="W447" i="16"/>
  <c r="AC447" i="16" s="1"/>
  <c r="V447" i="16"/>
  <c r="AB447" i="16" s="1"/>
  <c r="X446" i="16"/>
  <c r="AD446" i="16" s="1"/>
  <c r="W446" i="16"/>
  <c r="AC446" i="16" s="1"/>
  <c r="V446" i="16"/>
  <c r="AB446" i="16" s="1"/>
  <c r="X445" i="16"/>
  <c r="AD445" i="16" s="1"/>
  <c r="W445" i="16"/>
  <c r="AC445" i="16" s="1"/>
  <c r="V445" i="16"/>
  <c r="AB445" i="16" s="1"/>
  <c r="X444" i="16"/>
  <c r="AD444" i="16" s="1"/>
  <c r="W444" i="16"/>
  <c r="AC444" i="16" s="1"/>
  <c r="V444" i="16"/>
  <c r="AB444" i="16" s="1"/>
  <c r="X443" i="16"/>
  <c r="AD443" i="16" s="1"/>
  <c r="W443" i="16"/>
  <c r="AC443" i="16" s="1"/>
  <c r="V443" i="16"/>
  <c r="AB443" i="16" s="1"/>
  <c r="X442" i="16"/>
  <c r="AD442" i="16" s="1"/>
  <c r="W442" i="16"/>
  <c r="AC442" i="16" s="1"/>
  <c r="V442" i="16"/>
  <c r="AB442" i="16" s="1"/>
  <c r="X441" i="16"/>
  <c r="AD441" i="16" s="1"/>
  <c r="W441" i="16"/>
  <c r="AC441" i="16" s="1"/>
  <c r="V441" i="16"/>
  <c r="AB441" i="16" s="1"/>
  <c r="X440" i="16"/>
  <c r="AD440" i="16" s="1"/>
  <c r="W440" i="16"/>
  <c r="AC440" i="16" s="1"/>
  <c r="V440" i="16"/>
  <c r="AB440" i="16" s="1"/>
  <c r="X439" i="16"/>
  <c r="AD439" i="16" s="1"/>
  <c r="W439" i="16"/>
  <c r="AC439" i="16" s="1"/>
  <c r="V439" i="16"/>
  <c r="AB439" i="16" s="1"/>
  <c r="X438" i="16"/>
  <c r="AD438" i="16" s="1"/>
  <c r="W438" i="16"/>
  <c r="AC438" i="16" s="1"/>
  <c r="V438" i="16"/>
  <c r="AB438" i="16" s="1"/>
  <c r="X437" i="16"/>
  <c r="AD437" i="16" s="1"/>
  <c r="W437" i="16"/>
  <c r="AC437" i="16" s="1"/>
  <c r="V437" i="16"/>
  <c r="AB437" i="16" s="1"/>
  <c r="X436" i="16"/>
  <c r="AD436" i="16" s="1"/>
  <c r="W436" i="16"/>
  <c r="AC436" i="16" s="1"/>
  <c r="V436" i="16"/>
  <c r="AB436" i="16" s="1"/>
  <c r="X435" i="16"/>
  <c r="AD435" i="16" s="1"/>
  <c r="W435" i="16"/>
  <c r="AC435" i="16" s="1"/>
  <c r="V435" i="16"/>
  <c r="AB435" i="16" s="1"/>
  <c r="X434" i="16"/>
  <c r="AD434" i="16" s="1"/>
  <c r="W434" i="16"/>
  <c r="AC434" i="16" s="1"/>
  <c r="V434" i="16"/>
  <c r="AB434" i="16" s="1"/>
  <c r="X433" i="16"/>
  <c r="AD433" i="16" s="1"/>
  <c r="W433" i="16"/>
  <c r="AC433" i="16" s="1"/>
  <c r="V433" i="16"/>
  <c r="AB433" i="16" s="1"/>
  <c r="X432" i="16"/>
  <c r="AD432" i="16" s="1"/>
  <c r="W432" i="16"/>
  <c r="AC432" i="16" s="1"/>
  <c r="V432" i="16"/>
  <c r="AB432" i="16" s="1"/>
  <c r="X431" i="16"/>
  <c r="AD431" i="16" s="1"/>
  <c r="W431" i="16"/>
  <c r="AC431" i="16" s="1"/>
  <c r="V431" i="16"/>
  <c r="AB431" i="16" s="1"/>
  <c r="X430" i="16"/>
  <c r="AD430" i="16" s="1"/>
  <c r="W430" i="16"/>
  <c r="AC430" i="16" s="1"/>
  <c r="V430" i="16"/>
  <c r="AB430" i="16" s="1"/>
  <c r="X429" i="16"/>
  <c r="AD429" i="16" s="1"/>
  <c r="W429" i="16"/>
  <c r="AC429" i="16" s="1"/>
  <c r="V429" i="16"/>
  <c r="AB429" i="16" s="1"/>
  <c r="X428" i="16"/>
  <c r="AD428" i="16" s="1"/>
  <c r="W428" i="16"/>
  <c r="AC428" i="16" s="1"/>
  <c r="V428" i="16"/>
  <c r="AB428" i="16" s="1"/>
  <c r="X427" i="16"/>
  <c r="AD427" i="16" s="1"/>
  <c r="W427" i="16"/>
  <c r="AC427" i="16" s="1"/>
  <c r="V427" i="16"/>
  <c r="AB427" i="16" s="1"/>
  <c r="X426" i="16"/>
  <c r="AD426" i="16" s="1"/>
  <c r="W426" i="16"/>
  <c r="AC426" i="16" s="1"/>
  <c r="V426" i="16"/>
  <c r="AB426" i="16" s="1"/>
  <c r="X353" i="16"/>
  <c r="AD353" i="16" s="1"/>
  <c r="W353" i="16"/>
  <c r="AC353" i="16" s="1"/>
  <c r="V353" i="16"/>
  <c r="AB353" i="16" s="1"/>
  <c r="X352" i="16"/>
  <c r="AD352" i="16" s="1"/>
  <c r="W352" i="16"/>
  <c r="AC352" i="16" s="1"/>
  <c r="V352" i="16"/>
  <c r="AB352" i="16" s="1"/>
  <c r="X351" i="16"/>
  <c r="AD351" i="16" s="1"/>
  <c r="W351" i="16"/>
  <c r="AC351" i="16" s="1"/>
  <c r="V351" i="16"/>
  <c r="AB351" i="16" s="1"/>
  <c r="X350" i="16"/>
  <c r="AD350" i="16" s="1"/>
  <c r="W350" i="16"/>
  <c r="AC350" i="16" s="1"/>
  <c r="V350" i="16"/>
  <c r="AB350" i="16" s="1"/>
  <c r="X349" i="16"/>
  <c r="AD349" i="16" s="1"/>
  <c r="W349" i="16"/>
  <c r="AC349" i="16" s="1"/>
  <c r="V349" i="16"/>
  <c r="AB349" i="16" s="1"/>
  <c r="X348" i="16"/>
  <c r="AD348" i="16" s="1"/>
  <c r="W348" i="16"/>
  <c r="AC348" i="16" s="1"/>
  <c r="V348" i="16"/>
  <c r="AB348" i="16" s="1"/>
  <c r="X347" i="16"/>
  <c r="AD347" i="16" s="1"/>
  <c r="W347" i="16"/>
  <c r="AC347" i="16" s="1"/>
  <c r="V347" i="16"/>
  <c r="AB347" i="16" s="1"/>
  <c r="X346" i="16"/>
  <c r="AD346" i="16" s="1"/>
  <c r="W346" i="16"/>
  <c r="AC346" i="16" s="1"/>
  <c r="V346" i="16"/>
  <c r="AB346" i="16" s="1"/>
  <c r="X345" i="16"/>
  <c r="AD345" i="16" s="1"/>
  <c r="W345" i="16"/>
  <c r="AC345" i="16" s="1"/>
  <c r="V345" i="16"/>
  <c r="AB345" i="16" s="1"/>
  <c r="X344" i="16"/>
  <c r="AD344" i="16" s="1"/>
  <c r="W344" i="16"/>
  <c r="AC344" i="16" s="1"/>
  <c r="V344" i="16"/>
  <c r="AB344" i="16" s="1"/>
  <c r="X343" i="16"/>
  <c r="AD343" i="16" s="1"/>
  <c r="W343" i="16"/>
  <c r="AC343" i="16" s="1"/>
  <c r="V343" i="16"/>
  <c r="AB343" i="16" s="1"/>
  <c r="X342" i="16"/>
  <c r="AD342" i="16" s="1"/>
  <c r="W342" i="16"/>
  <c r="AC342" i="16" s="1"/>
  <c r="V342" i="16"/>
  <c r="AB342" i="16" s="1"/>
  <c r="X341" i="16"/>
  <c r="AD341" i="16" s="1"/>
  <c r="W341" i="16"/>
  <c r="AC341" i="16" s="1"/>
  <c r="V341" i="16"/>
  <c r="AB341" i="16" s="1"/>
  <c r="X340" i="16"/>
  <c r="AD340" i="16" s="1"/>
  <c r="W340" i="16"/>
  <c r="AC340" i="16" s="1"/>
  <c r="V340" i="16"/>
  <c r="AB340" i="16" s="1"/>
  <c r="X339" i="16"/>
  <c r="AD339" i="16" s="1"/>
  <c r="W339" i="16"/>
  <c r="AC339" i="16" s="1"/>
  <c r="V339" i="16"/>
  <c r="AB339" i="16" s="1"/>
  <c r="X338" i="16"/>
  <c r="AD338" i="16" s="1"/>
  <c r="W338" i="16"/>
  <c r="AC338" i="16" s="1"/>
  <c r="V338" i="16"/>
  <c r="AB338" i="16" s="1"/>
  <c r="X337" i="16"/>
  <c r="AD337" i="16" s="1"/>
  <c r="W337" i="16"/>
  <c r="AC337" i="16" s="1"/>
  <c r="V337" i="16"/>
  <c r="AB337" i="16" s="1"/>
  <c r="X336" i="16"/>
  <c r="AD336" i="16" s="1"/>
  <c r="W336" i="16"/>
  <c r="AC336" i="16" s="1"/>
  <c r="V336" i="16"/>
  <c r="AB336" i="16" s="1"/>
  <c r="X335" i="16"/>
  <c r="AD335" i="16" s="1"/>
  <c r="W335" i="16"/>
  <c r="AC335" i="16" s="1"/>
  <c r="V335" i="16"/>
  <c r="AB335" i="16" s="1"/>
  <c r="X334" i="16"/>
  <c r="AD334" i="16" s="1"/>
  <c r="W334" i="16"/>
  <c r="AC334" i="16" s="1"/>
  <c r="V334" i="16"/>
  <c r="AB334" i="16" s="1"/>
  <c r="X333" i="16"/>
  <c r="AD333" i="16" s="1"/>
  <c r="W333" i="16"/>
  <c r="AC333" i="16" s="1"/>
  <c r="V333" i="16"/>
  <c r="AB333" i="16" s="1"/>
  <c r="X332" i="16"/>
  <c r="AD332" i="16" s="1"/>
  <c r="W332" i="16"/>
  <c r="AC332" i="16" s="1"/>
  <c r="V332" i="16"/>
  <c r="AB332" i="16" s="1"/>
  <c r="X331" i="16"/>
  <c r="AD331" i="16" s="1"/>
  <c r="W331" i="16"/>
  <c r="AC331" i="16" s="1"/>
  <c r="V331" i="16"/>
  <c r="AB331" i="16" s="1"/>
  <c r="X330" i="16"/>
  <c r="AD330" i="16" s="1"/>
  <c r="W330" i="16"/>
  <c r="AC330" i="16" s="1"/>
  <c r="V330" i="16"/>
  <c r="AB330" i="16" s="1"/>
  <c r="X329" i="16"/>
  <c r="AD329" i="16" s="1"/>
  <c r="W329" i="16"/>
  <c r="AC329" i="16" s="1"/>
  <c r="V329" i="16"/>
  <c r="AB329" i="16" s="1"/>
  <c r="X328" i="16"/>
  <c r="AD328" i="16" s="1"/>
  <c r="W328" i="16"/>
  <c r="AC328" i="16" s="1"/>
  <c r="V328" i="16"/>
  <c r="AB328" i="16" s="1"/>
  <c r="X327" i="16"/>
  <c r="AD327" i="16" s="1"/>
  <c r="W327" i="16"/>
  <c r="AC327" i="16" s="1"/>
  <c r="V327" i="16"/>
  <c r="AB327" i="16" s="1"/>
  <c r="X326" i="16"/>
  <c r="AD326" i="16" s="1"/>
  <c r="W326" i="16"/>
  <c r="AC326" i="16" s="1"/>
  <c r="V326" i="16"/>
  <c r="AB326" i="16" s="1"/>
  <c r="X325" i="16"/>
  <c r="AD325" i="16" s="1"/>
  <c r="W325" i="16"/>
  <c r="AC325" i="16" s="1"/>
  <c r="V325" i="16"/>
  <c r="AB325" i="16" s="1"/>
  <c r="X324" i="16"/>
  <c r="AD324" i="16" s="1"/>
  <c r="W324" i="16"/>
  <c r="AC324" i="16" s="1"/>
  <c r="V324" i="16"/>
  <c r="AB324" i="16" s="1"/>
  <c r="X323" i="16"/>
  <c r="AD323" i="16" s="1"/>
  <c r="W323" i="16"/>
  <c r="AC323" i="16" s="1"/>
  <c r="V323" i="16"/>
  <c r="AB323" i="16" s="1"/>
  <c r="X322" i="16"/>
  <c r="AD322" i="16" s="1"/>
  <c r="W322" i="16"/>
  <c r="AC322" i="16" s="1"/>
  <c r="V322" i="16"/>
  <c r="AB322" i="16" s="1"/>
  <c r="X321" i="16"/>
  <c r="AD321" i="16" s="1"/>
  <c r="W321" i="16"/>
  <c r="AC321" i="16" s="1"/>
  <c r="V321" i="16"/>
  <c r="AB321" i="16" s="1"/>
  <c r="X320" i="16"/>
  <c r="AD320" i="16" s="1"/>
  <c r="W320" i="16"/>
  <c r="AC320" i="16" s="1"/>
  <c r="V320" i="16"/>
  <c r="AB320" i="16" s="1"/>
  <c r="X319" i="16"/>
  <c r="AD319" i="16" s="1"/>
  <c r="W319" i="16"/>
  <c r="AC319" i="16" s="1"/>
  <c r="V319" i="16"/>
  <c r="AB319" i="16" s="1"/>
  <c r="X318" i="16"/>
  <c r="AD318" i="16" s="1"/>
  <c r="W318" i="16"/>
  <c r="AC318" i="16" s="1"/>
  <c r="V318" i="16"/>
  <c r="AB318" i="16" s="1"/>
  <c r="X317" i="16"/>
  <c r="AD317" i="16" s="1"/>
  <c r="W317" i="16"/>
  <c r="AC317" i="16" s="1"/>
  <c r="V317" i="16"/>
  <c r="AB317" i="16" s="1"/>
  <c r="X316" i="16"/>
  <c r="AD316" i="16" s="1"/>
  <c r="W316" i="16"/>
  <c r="AC316" i="16" s="1"/>
  <c r="V316" i="16"/>
  <c r="AB316" i="16" s="1"/>
  <c r="X315" i="16"/>
  <c r="AD315" i="16" s="1"/>
  <c r="W315" i="16"/>
  <c r="AC315" i="16" s="1"/>
  <c r="V315" i="16"/>
  <c r="AB315" i="16" s="1"/>
  <c r="X314" i="16"/>
  <c r="AD314" i="16" s="1"/>
  <c r="W314" i="16"/>
  <c r="AC314" i="16" s="1"/>
  <c r="V314" i="16"/>
  <c r="AB314" i="16" s="1"/>
  <c r="X313" i="16"/>
  <c r="AD313" i="16" s="1"/>
  <c r="W313" i="16"/>
  <c r="AC313" i="16" s="1"/>
  <c r="V313" i="16"/>
  <c r="AB313" i="16" s="1"/>
  <c r="X312" i="16"/>
  <c r="AD312" i="16" s="1"/>
  <c r="W312" i="16"/>
  <c r="AC312" i="16" s="1"/>
  <c r="V312" i="16"/>
  <c r="AB312" i="16" s="1"/>
  <c r="X311" i="16"/>
  <c r="AD311" i="16" s="1"/>
  <c r="W311" i="16"/>
  <c r="AC311" i="16" s="1"/>
  <c r="V311" i="16"/>
  <c r="AB311" i="16" s="1"/>
  <c r="X310" i="16"/>
  <c r="AD310" i="16" s="1"/>
  <c r="W310" i="16"/>
  <c r="AC310" i="16" s="1"/>
  <c r="V310" i="16"/>
  <c r="AB310" i="16" s="1"/>
  <c r="X309" i="16"/>
  <c r="AD309" i="16" s="1"/>
  <c r="W309" i="16"/>
  <c r="AC309" i="16" s="1"/>
  <c r="V309" i="16"/>
  <c r="AB309" i="16" s="1"/>
  <c r="X308" i="16"/>
  <c r="AD308" i="16" s="1"/>
  <c r="W308" i="16"/>
  <c r="AC308" i="16" s="1"/>
  <c r="V308" i="16"/>
  <c r="AB308" i="16" s="1"/>
  <c r="X307" i="16"/>
  <c r="AD307" i="16" s="1"/>
  <c r="W307" i="16"/>
  <c r="AC307" i="16" s="1"/>
  <c r="V307" i="16"/>
  <c r="AB307" i="16" s="1"/>
  <c r="X306" i="16"/>
  <c r="AD306" i="16" s="1"/>
  <c r="W306" i="16"/>
  <c r="AC306" i="16" s="1"/>
  <c r="V306" i="16"/>
  <c r="AB306" i="16" s="1"/>
  <c r="X305" i="16"/>
  <c r="AD305" i="16" s="1"/>
  <c r="W305" i="16"/>
  <c r="AC305" i="16" s="1"/>
  <c r="V305" i="16"/>
  <c r="AB305" i="16" s="1"/>
  <c r="X304" i="16"/>
  <c r="AD304" i="16" s="1"/>
  <c r="W304" i="16"/>
  <c r="AC304" i="16" s="1"/>
  <c r="V304" i="16"/>
  <c r="AB304" i="16" s="1"/>
  <c r="X303" i="16"/>
  <c r="AD303" i="16" s="1"/>
  <c r="W303" i="16"/>
  <c r="AC303" i="16" s="1"/>
  <c r="V303" i="16"/>
  <c r="AB303" i="16" s="1"/>
  <c r="X302" i="16"/>
  <c r="AD302" i="16" s="1"/>
  <c r="W302" i="16"/>
  <c r="AC302" i="16" s="1"/>
  <c r="V302" i="16"/>
  <c r="AB302" i="16" s="1"/>
  <c r="X301" i="16"/>
  <c r="AD301" i="16" s="1"/>
  <c r="W301" i="16"/>
  <c r="AC301" i="16" s="1"/>
  <c r="V301" i="16"/>
  <c r="AB301" i="16" s="1"/>
  <c r="X300" i="16"/>
  <c r="AD300" i="16" s="1"/>
  <c r="W300" i="16"/>
  <c r="AC300" i="16" s="1"/>
  <c r="V300" i="16"/>
  <c r="AB300" i="16" s="1"/>
  <c r="X299" i="16"/>
  <c r="AD299" i="16" s="1"/>
  <c r="W299" i="16"/>
  <c r="AC299" i="16" s="1"/>
  <c r="V299" i="16"/>
  <c r="AB299" i="16" s="1"/>
  <c r="X298" i="16"/>
  <c r="AD298" i="16" s="1"/>
  <c r="W298" i="16"/>
  <c r="AC298" i="16" s="1"/>
  <c r="V298" i="16"/>
  <c r="AB298" i="16" s="1"/>
  <c r="X297" i="16"/>
  <c r="AD297" i="16" s="1"/>
  <c r="W297" i="16"/>
  <c r="AC297" i="16" s="1"/>
  <c r="V297" i="16"/>
  <c r="AB297" i="16" s="1"/>
  <c r="X296" i="16"/>
  <c r="AD296" i="16" s="1"/>
  <c r="W296" i="16"/>
  <c r="AC296" i="16" s="1"/>
  <c r="V296" i="16"/>
  <c r="AB296" i="16" s="1"/>
  <c r="X295" i="16"/>
  <c r="AD295" i="16" s="1"/>
  <c r="W295" i="16"/>
  <c r="AC295" i="16" s="1"/>
  <c r="V295" i="16"/>
  <c r="AB295" i="16" s="1"/>
  <c r="X294" i="16"/>
  <c r="AD294" i="16" s="1"/>
  <c r="W294" i="16"/>
  <c r="AC294" i="16" s="1"/>
  <c r="V294" i="16"/>
  <c r="AB294" i="16" s="1"/>
  <c r="X293" i="16"/>
  <c r="AD293" i="16" s="1"/>
  <c r="W293" i="16"/>
  <c r="AC293" i="16" s="1"/>
  <c r="V293" i="16"/>
  <c r="AB293" i="16" s="1"/>
  <c r="X292" i="16"/>
  <c r="AD292" i="16" s="1"/>
  <c r="W292" i="16"/>
  <c r="AC292" i="16" s="1"/>
  <c r="V292" i="16"/>
  <c r="AB292" i="16" s="1"/>
  <c r="X291" i="16"/>
  <c r="AD291" i="16" s="1"/>
  <c r="W291" i="16"/>
  <c r="AC291" i="16" s="1"/>
  <c r="V291" i="16"/>
  <c r="AB291" i="16" s="1"/>
  <c r="X290" i="16"/>
  <c r="AD290" i="16" s="1"/>
  <c r="W290" i="16"/>
  <c r="AC290" i="16" s="1"/>
  <c r="V290" i="16"/>
  <c r="AB290" i="16" s="1"/>
  <c r="X289" i="16"/>
  <c r="AD289" i="16" s="1"/>
  <c r="W289" i="16"/>
  <c r="AC289" i="16" s="1"/>
  <c r="V289" i="16"/>
  <c r="AB289" i="16" s="1"/>
  <c r="X288" i="16"/>
  <c r="AD288" i="16" s="1"/>
  <c r="W288" i="16"/>
  <c r="AC288" i="16" s="1"/>
  <c r="V288" i="16"/>
  <c r="AB288" i="16" s="1"/>
  <c r="X287" i="16"/>
  <c r="AD287" i="16" s="1"/>
  <c r="W287" i="16"/>
  <c r="AC287" i="16" s="1"/>
  <c r="V287" i="16"/>
  <c r="AB287" i="16" s="1"/>
  <c r="X286" i="16"/>
  <c r="AD286" i="16" s="1"/>
  <c r="W286" i="16"/>
  <c r="AC286" i="16" s="1"/>
  <c r="V286" i="16"/>
  <c r="AB286" i="16" s="1"/>
  <c r="X285" i="16"/>
  <c r="AD285" i="16" s="1"/>
  <c r="W285" i="16"/>
  <c r="AC285" i="16" s="1"/>
  <c r="V285" i="16"/>
  <c r="AB285" i="16" s="1"/>
  <c r="X284" i="16"/>
  <c r="AD284" i="16" s="1"/>
  <c r="W284" i="16"/>
  <c r="AC284" i="16" s="1"/>
  <c r="V284" i="16"/>
  <c r="AB284" i="16" s="1"/>
  <c r="X283" i="16"/>
  <c r="AD283" i="16" s="1"/>
  <c r="W283" i="16"/>
  <c r="AC283" i="16" s="1"/>
  <c r="V283" i="16"/>
  <c r="AB283" i="16" s="1"/>
  <c r="X282" i="16"/>
  <c r="AD282" i="16" s="1"/>
  <c r="W282" i="16"/>
  <c r="AC282" i="16" s="1"/>
  <c r="V282" i="16"/>
  <c r="AB282" i="16" s="1"/>
  <c r="X281" i="16"/>
  <c r="AD281" i="16" s="1"/>
  <c r="W281" i="16"/>
  <c r="AC281" i="16" s="1"/>
  <c r="V281" i="16"/>
  <c r="AB281" i="16" s="1"/>
  <c r="X280" i="16"/>
  <c r="AD280" i="16" s="1"/>
  <c r="W280" i="16"/>
  <c r="AC280" i="16" s="1"/>
  <c r="V280" i="16"/>
  <c r="AB280" i="16" s="1"/>
  <c r="X279" i="16"/>
  <c r="AD279" i="16" s="1"/>
  <c r="W279" i="16"/>
  <c r="AC279" i="16" s="1"/>
  <c r="V279" i="16"/>
  <c r="AB279" i="16" s="1"/>
  <c r="X278" i="16"/>
  <c r="AD278" i="16" s="1"/>
  <c r="W278" i="16"/>
  <c r="AC278" i="16" s="1"/>
  <c r="V278" i="16"/>
  <c r="AB278" i="16" s="1"/>
  <c r="X277" i="16"/>
  <c r="AD277" i="16" s="1"/>
  <c r="W277" i="16"/>
  <c r="AC277" i="16" s="1"/>
  <c r="V277" i="16"/>
  <c r="AB277" i="16" s="1"/>
  <c r="X276" i="16"/>
  <c r="AD276" i="16" s="1"/>
  <c r="W276" i="16"/>
  <c r="AC276" i="16" s="1"/>
  <c r="V276" i="16"/>
  <c r="AB276" i="16" s="1"/>
  <c r="X275" i="16"/>
  <c r="AD275" i="16" s="1"/>
  <c r="W275" i="16"/>
  <c r="AC275" i="16" s="1"/>
  <c r="V275" i="16"/>
  <c r="AB275" i="16" s="1"/>
  <c r="X274" i="16"/>
  <c r="AD274" i="16" s="1"/>
  <c r="W274" i="16"/>
  <c r="AC274" i="16" s="1"/>
  <c r="V274" i="16"/>
  <c r="AB274" i="16" s="1"/>
  <c r="X273" i="16"/>
  <c r="AD273" i="16" s="1"/>
  <c r="W273" i="16"/>
  <c r="AC273" i="16" s="1"/>
  <c r="V273" i="16"/>
  <c r="AB273" i="16" s="1"/>
  <c r="X272" i="16"/>
  <c r="AD272" i="16" s="1"/>
  <c r="W272" i="16"/>
  <c r="AC272" i="16" s="1"/>
  <c r="V272" i="16"/>
  <c r="AB272" i="16" s="1"/>
  <c r="X271" i="16"/>
  <c r="AD271" i="16" s="1"/>
  <c r="W271" i="16"/>
  <c r="AC271" i="16" s="1"/>
  <c r="V271" i="16"/>
  <c r="AB271" i="16" s="1"/>
  <c r="X270" i="16"/>
  <c r="AD270" i="16" s="1"/>
  <c r="W270" i="16"/>
  <c r="AC270" i="16" s="1"/>
  <c r="V270" i="16"/>
  <c r="AB270" i="16" s="1"/>
  <c r="X269" i="16"/>
  <c r="AD269" i="16" s="1"/>
  <c r="W269" i="16"/>
  <c r="AC269" i="16" s="1"/>
  <c r="V269" i="16"/>
  <c r="AB269" i="16" s="1"/>
  <c r="X268" i="16"/>
  <c r="AD268" i="16" s="1"/>
  <c r="W268" i="16"/>
  <c r="AC268" i="16" s="1"/>
  <c r="V268" i="16"/>
  <c r="AB268" i="16" s="1"/>
  <c r="X267" i="16"/>
  <c r="AD267" i="16" s="1"/>
  <c r="W267" i="16"/>
  <c r="AC267" i="16" s="1"/>
  <c r="V267" i="16"/>
  <c r="AB267" i="16" s="1"/>
  <c r="X266" i="16"/>
  <c r="AD266" i="16" s="1"/>
  <c r="W266" i="16"/>
  <c r="AC266" i="16" s="1"/>
  <c r="V266" i="16"/>
  <c r="AB266" i="16" s="1"/>
  <c r="X265" i="16"/>
  <c r="AD265" i="16" s="1"/>
  <c r="W265" i="16"/>
  <c r="AC265" i="16" s="1"/>
  <c r="V265" i="16"/>
  <c r="AB265" i="16" s="1"/>
  <c r="X264" i="16"/>
  <c r="AD264" i="16" s="1"/>
  <c r="W264" i="16"/>
  <c r="AC264" i="16" s="1"/>
  <c r="V264" i="16"/>
  <c r="AB264" i="16" s="1"/>
  <c r="X263" i="16"/>
  <c r="AD263" i="16" s="1"/>
  <c r="W263" i="16"/>
  <c r="AC263" i="16" s="1"/>
  <c r="V263" i="16"/>
  <c r="AB263" i="16" s="1"/>
  <c r="X262" i="16"/>
  <c r="AD262" i="16" s="1"/>
  <c r="W262" i="16"/>
  <c r="AC262" i="16" s="1"/>
  <c r="V262" i="16"/>
  <c r="AB262" i="16" s="1"/>
  <c r="X261" i="16"/>
  <c r="AD261" i="16" s="1"/>
  <c r="W261" i="16"/>
  <c r="AC261" i="16" s="1"/>
  <c r="V261" i="16"/>
  <c r="AB261" i="16" s="1"/>
  <c r="X260" i="16"/>
  <c r="AD260" i="16" s="1"/>
  <c r="W260" i="16"/>
  <c r="AC260" i="16" s="1"/>
  <c r="V260" i="16"/>
  <c r="AB260" i="16" s="1"/>
  <c r="X259" i="16"/>
  <c r="AD259" i="16" s="1"/>
  <c r="W259" i="16"/>
  <c r="AC259" i="16" s="1"/>
  <c r="V259" i="16"/>
  <c r="AB259" i="16" s="1"/>
  <c r="X258" i="16"/>
  <c r="AD258" i="16" s="1"/>
  <c r="W258" i="16"/>
  <c r="AC258" i="16" s="1"/>
  <c r="V258" i="16"/>
  <c r="AB258" i="16" s="1"/>
  <c r="X257" i="16"/>
  <c r="AD257" i="16" s="1"/>
  <c r="W257" i="16"/>
  <c r="AC257" i="16" s="1"/>
  <c r="V257" i="16"/>
  <c r="AB257" i="16" s="1"/>
  <c r="X256" i="16"/>
  <c r="AD256" i="16" s="1"/>
  <c r="W256" i="16"/>
  <c r="AC256" i="16" s="1"/>
  <c r="V256" i="16"/>
  <c r="AB256" i="16" s="1"/>
  <c r="X255" i="16"/>
  <c r="AD255" i="16" s="1"/>
  <c r="W255" i="16"/>
  <c r="AC255" i="16" s="1"/>
  <c r="V255" i="16"/>
  <c r="AB255" i="16" s="1"/>
  <c r="X254" i="16"/>
  <c r="AD254" i="16" s="1"/>
  <c r="W254" i="16"/>
  <c r="AC254" i="16" s="1"/>
  <c r="V254" i="16"/>
  <c r="AB254" i="16" s="1"/>
  <c r="X253" i="16"/>
  <c r="AD253" i="16" s="1"/>
  <c r="W253" i="16"/>
  <c r="AC253" i="16" s="1"/>
  <c r="V253" i="16"/>
  <c r="AB253" i="16" s="1"/>
  <c r="X252" i="16"/>
  <c r="AD252" i="16" s="1"/>
  <c r="W252" i="16"/>
  <c r="AC252" i="16" s="1"/>
  <c r="V252" i="16"/>
  <c r="AB252" i="16" s="1"/>
  <c r="X251" i="16"/>
  <c r="AD251" i="16" s="1"/>
  <c r="W251" i="16"/>
  <c r="AC251" i="16" s="1"/>
  <c r="V251" i="16"/>
  <c r="AB251" i="16" s="1"/>
  <c r="X250" i="16"/>
  <c r="AD250" i="16" s="1"/>
  <c r="W250" i="16"/>
  <c r="AC250" i="16" s="1"/>
  <c r="V250" i="16"/>
  <c r="AB250" i="16" s="1"/>
  <c r="X249" i="16"/>
  <c r="AD249" i="16" s="1"/>
  <c r="W249" i="16"/>
  <c r="AC249" i="16" s="1"/>
  <c r="V249" i="16"/>
  <c r="AB249" i="16" s="1"/>
  <c r="X248" i="16"/>
  <c r="AD248" i="16" s="1"/>
  <c r="W248" i="16"/>
  <c r="AC248" i="16" s="1"/>
  <c r="V248" i="16"/>
  <c r="AB248" i="16" s="1"/>
  <c r="X247" i="16"/>
  <c r="AD247" i="16" s="1"/>
  <c r="W247" i="16"/>
  <c r="AC247" i="16" s="1"/>
  <c r="V247" i="16"/>
  <c r="AB247" i="16" s="1"/>
  <c r="X246" i="16"/>
  <c r="AD246" i="16" s="1"/>
  <c r="W246" i="16"/>
  <c r="AC246" i="16" s="1"/>
  <c r="V246" i="16"/>
  <c r="AB246" i="16" s="1"/>
  <c r="X245" i="16"/>
  <c r="AD245" i="16" s="1"/>
  <c r="W245" i="16"/>
  <c r="AC245" i="16" s="1"/>
  <c r="V245" i="16"/>
  <c r="AB245" i="16" s="1"/>
  <c r="X244" i="16"/>
  <c r="AD244" i="16" s="1"/>
  <c r="W244" i="16"/>
  <c r="AC244" i="16" s="1"/>
  <c r="V244" i="16"/>
  <c r="AB244" i="16" s="1"/>
  <c r="X243" i="16"/>
  <c r="AD243" i="16" s="1"/>
  <c r="W243" i="16"/>
  <c r="AC243" i="16" s="1"/>
  <c r="V243" i="16"/>
  <c r="AB243" i="16" s="1"/>
  <c r="X242" i="16"/>
  <c r="AD242" i="16" s="1"/>
  <c r="W242" i="16"/>
  <c r="AC242" i="16" s="1"/>
  <c r="V242" i="16"/>
  <c r="AB242" i="16" s="1"/>
  <c r="X241" i="16"/>
  <c r="AD241" i="16" s="1"/>
  <c r="W241" i="16"/>
  <c r="AC241" i="16" s="1"/>
  <c r="V241" i="16"/>
  <c r="AB241" i="16" s="1"/>
  <c r="X240" i="16"/>
  <c r="AD240" i="16" s="1"/>
  <c r="W240" i="16"/>
  <c r="AC240" i="16" s="1"/>
  <c r="V240" i="16"/>
  <c r="AB240" i="16" s="1"/>
  <c r="X239" i="16"/>
  <c r="AD239" i="16" s="1"/>
  <c r="W239" i="16"/>
  <c r="AC239" i="16" s="1"/>
  <c r="V239" i="16"/>
  <c r="AB239" i="16" s="1"/>
  <c r="X238" i="16"/>
  <c r="AD238" i="16" s="1"/>
  <c r="W238" i="16"/>
  <c r="AC238" i="16" s="1"/>
  <c r="V238" i="16"/>
  <c r="AB238" i="16" s="1"/>
  <c r="X237" i="16"/>
  <c r="AD237" i="16" s="1"/>
  <c r="W237" i="16"/>
  <c r="AC237" i="16" s="1"/>
  <c r="V237" i="16"/>
  <c r="AB237" i="16" s="1"/>
  <c r="X236" i="16"/>
  <c r="AD236" i="16" s="1"/>
  <c r="W236" i="16"/>
  <c r="AC236" i="16" s="1"/>
  <c r="V236" i="16"/>
  <c r="AB236" i="16" s="1"/>
  <c r="X235" i="16"/>
  <c r="AD235" i="16" s="1"/>
  <c r="W235" i="16"/>
  <c r="AC235" i="16" s="1"/>
  <c r="V235" i="16"/>
  <c r="AB235" i="16" s="1"/>
  <c r="X234" i="16"/>
  <c r="AD234" i="16" s="1"/>
  <c r="W234" i="16"/>
  <c r="AC234" i="16" s="1"/>
  <c r="V234" i="16"/>
  <c r="AB234" i="16" s="1"/>
  <c r="X233" i="16"/>
  <c r="AD233" i="16" s="1"/>
  <c r="W233" i="16"/>
  <c r="AC233" i="16" s="1"/>
  <c r="V233" i="16"/>
  <c r="AB233" i="16" s="1"/>
  <c r="X232" i="16"/>
  <c r="AD232" i="16" s="1"/>
  <c r="W232" i="16"/>
  <c r="AC232" i="16" s="1"/>
  <c r="V232" i="16"/>
  <c r="AB232" i="16" s="1"/>
  <c r="X231" i="16"/>
  <c r="AD231" i="16" s="1"/>
  <c r="W231" i="16"/>
  <c r="AC231" i="16" s="1"/>
  <c r="V231" i="16"/>
  <c r="AB231" i="16" s="1"/>
  <c r="X230" i="16"/>
  <c r="AD230" i="16" s="1"/>
  <c r="W230" i="16"/>
  <c r="AC230" i="16" s="1"/>
  <c r="V230" i="16"/>
  <c r="AB230" i="16" s="1"/>
  <c r="X229" i="16"/>
  <c r="AD229" i="16" s="1"/>
  <c r="W229" i="16"/>
  <c r="AC229" i="16" s="1"/>
  <c r="V229" i="16"/>
  <c r="AB229" i="16" s="1"/>
  <c r="X228" i="16"/>
  <c r="AD228" i="16" s="1"/>
  <c r="W228" i="16"/>
  <c r="AC228" i="16" s="1"/>
  <c r="V228" i="16"/>
  <c r="AB228" i="16" s="1"/>
  <c r="X227" i="16"/>
  <c r="AD227" i="16" s="1"/>
  <c r="W227" i="16"/>
  <c r="AC227" i="16" s="1"/>
  <c r="V227" i="16"/>
  <c r="AB227" i="16" s="1"/>
  <c r="X226" i="16"/>
  <c r="AD226" i="16" s="1"/>
  <c r="W226" i="16"/>
  <c r="AC226" i="16" s="1"/>
  <c r="V226" i="16"/>
  <c r="AB226" i="16" s="1"/>
  <c r="X225" i="16"/>
  <c r="AD225" i="16" s="1"/>
  <c r="W225" i="16"/>
  <c r="AC225" i="16" s="1"/>
  <c r="V225" i="16"/>
  <c r="AB225" i="16" s="1"/>
  <c r="X224" i="16"/>
  <c r="AD224" i="16" s="1"/>
  <c r="W224" i="16"/>
  <c r="AC224" i="16" s="1"/>
  <c r="V224" i="16"/>
  <c r="AB224" i="16" s="1"/>
  <c r="X223" i="16"/>
  <c r="AD223" i="16" s="1"/>
  <c r="W223" i="16"/>
  <c r="AC223" i="16" s="1"/>
  <c r="V223" i="16"/>
  <c r="AB223" i="16" s="1"/>
  <c r="X222" i="16"/>
  <c r="AD222" i="16" s="1"/>
  <c r="W222" i="16"/>
  <c r="AC222" i="16" s="1"/>
  <c r="V222" i="16"/>
  <c r="AB222" i="16" s="1"/>
  <c r="X221" i="16"/>
  <c r="AD221" i="16" s="1"/>
  <c r="W221" i="16"/>
  <c r="AC221" i="16" s="1"/>
  <c r="V221" i="16"/>
  <c r="AB221" i="16" s="1"/>
  <c r="X220" i="16"/>
  <c r="AD220" i="16" s="1"/>
  <c r="W220" i="16"/>
  <c r="AC220" i="16" s="1"/>
  <c r="V220" i="16"/>
  <c r="AB220" i="16" s="1"/>
  <c r="X219" i="16"/>
  <c r="AD219" i="16" s="1"/>
  <c r="W219" i="16"/>
  <c r="AC219" i="16" s="1"/>
  <c r="V219" i="16"/>
  <c r="AB219" i="16" s="1"/>
  <c r="X218" i="16"/>
  <c r="AD218" i="16" s="1"/>
  <c r="W218" i="16"/>
  <c r="AC218" i="16" s="1"/>
  <c r="V218" i="16"/>
  <c r="AB218" i="16" s="1"/>
  <c r="X217" i="16"/>
  <c r="AD217" i="16" s="1"/>
  <c r="W217" i="16"/>
  <c r="AC217" i="16" s="1"/>
  <c r="V217" i="16"/>
  <c r="AB217" i="16" s="1"/>
  <c r="X216" i="16"/>
  <c r="AD216" i="16" s="1"/>
  <c r="W216" i="16"/>
  <c r="AC216" i="16" s="1"/>
  <c r="V216" i="16"/>
  <c r="AB216" i="16" s="1"/>
  <c r="X215" i="16"/>
  <c r="AD215" i="16" s="1"/>
  <c r="W215" i="16"/>
  <c r="AC215" i="16" s="1"/>
  <c r="V215" i="16"/>
  <c r="AB215" i="16" s="1"/>
  <c r="X214" i="16"/>
  <c r="AD214" i="16" s="1"/>
  <c r="W214" i="16"/>
  <c r="AC214" i="16" s="1"/>
  <c r="V214" i="16"/>
  <c r="AB214" i="16" s="1"/>
  <c r="X213" i="16"/>
  <c r="AD213" i="16" s="1"/>
  <c r="W213" i="16"/>
  <c r="AC213" i="16" s="1"/>
  <c r="V213" i="16"/>
  <c r="AB213" i="16" s="1"/>
  <c r="X212" i="16"/>
  <c r="AD212" i="16" s="1"/>
  <c r="W212" i="16"/>
  <c r="AC212" i="16" s="1"/>
  <c r="V212" i="16"/>
  <c r="AB212" i="16" s="1"/>
  <c r="X211" i="16"/>
  <c r="AD211" i="16" s="1"/>
  <c r="W211" i="16"/>
  <c r="AC211" i="16" s="1"/>
  <c r="V211" i="16"/>
  <c r="AB211" i="16" s="1"/>
  <c r="X210" i="16"/>
  <c r="AD210" i="16" s="1"/>
  <c r="W210" i="16"/>
  <c r="AC210" i="16" s="1"/>
  <c r="V210" i="16"/>
  <c r="AB210" i="16" s="1"/>
  <c r="X209" i="16"/>
  <c r="AD209" i="16" s="1"/>
  <c r="W209" i="16"/>
  <c r="AC209" i="16" s="1"/>
  <c r="V209" i="16"/>
  <c r="AB209" i="16" s="1"/>
  <c r="X208" i="16"/>
  <c r="AD208" i="16" s="1"/>
  <c r="W208" i="16"/>
  <c r="AC208" i="16" s="1"/>
  <c r="V208" i="16"/>
  <c r="AB208" i="16" s="1"/>
  <c r="X207" i="16"/>
  <c r="AD207" i="16" s="1"/>
  <c r="W207" i="16"/>
  <c r="AC207" i="16" s="1"/>
  <c r="V207" i="16"/>
  <c r="AB207" i="16" s="1"/>
  <c r="X206" i="16"/>
  <c r="AD206" i="16" s="1"/>
  <c r="W206" i="16"/>
  <c r="AC206" i="16" s="1"/>
  <c r="V206" i="16"/>
  <c r="AB206" i="16" s="1"/>
  <c r="X205" i="16"/>
  <c r="AD205" i="16" s="1"/>
  <c r="W205" i="16"/>
  <c r="AC205" i="16" s="1"/>
  <c r="V205" i="16"/>
  <c r="AB205" i="16" s="1"/>
  <c r="X204" i="16"/>
  <c r="AD204" i="16" s="1"/>
  <c r="W204" i="16"/>
  <c r="AC204" i="16" s="1"/>
  <c r="V204" i="16"/>
  <c r="AB204" i="16" s="1"/>
  <c r="X203" i="16"/>
  <c r="AD203" i="16" s="1"/>
  <c r="W203" i="16"/>
  <c r="AC203" i="16" s="1"/>
  <c r="V203" i="16"/>
  <c r="AB203" i="16" s="1"/>
  <c r="X202" i="16"/>
  <c r="AD202" i="16" s="1"/>
  <c r="W202" i="16"/>
  <c r="AC202" i="16" s="1"/>
  <c r="V202" i="16"/>
  <c r="AB202" i="16" s="1"/>
  <c r="X201" i="16"/>
  <c r="AD201" i="16" s="1"/>
  <c r="W201" i="16"/>
  <c r="AC201" i="16" s="1"/>
  <c r="V201" i="16"/>
  <c r="AB201" i="16" s="1"/>
  <c r="X200" i="16"/>
  <c r="AD200" i="16" s="1"/>
  <c r="W200" i="16"/>
  <c r="AC200" i="16" s="1"/>
  <c r="V200" i="16"/>
  <c r="AB200" i="16" s="1"/>
  <c r="X199" i="16"/>
  <c r="AD199" i="16" s="1"/>
  <c r="W199" i="16"/>
  <c r="AC199" i="16" s="1"/>
  <c r="V199" i="16"/>
  <c r="AB199" i="16" s="1"/>
  <c r="X198" i="16"/>
  <c r="AD198" i="16" s="1"/>
  <c r="W198" i="16"/>
  <c r="AC198" i="16" s="1"/>
  <c r="V198" i="16"/>
  <c r="AB198" i="16" s="1"/>
  <c r="X197" i="16"/>
  <c r="AD197" i="16" s="1"/>
  <c r="W197" i="16"/>
  <c r="AC197" i="16" s="1"/>
  <c r="V197" i="16"/>
  <c r="AB197" i="16" s="1"/>
  <c r="X196" i="16"/>
  <c r="AD196" i="16" s="1"/>
  <c r="W196" i="16"/>
  <c r="AC196" i="16" s="1"/>
  <c r="V196" i="16"/>
  <c r="AB196" i="16" s="1"/>
  <c r="X195" i="16"/>
  <c r="AD195" i="16" s="1"/>
  <c r="W195" i="16"/>
  <c r="AC195" i="16" s="1"/>
  <c r="V195" i="16"/>
  <c r="AB195" i="16" s="1"/>
  <c r="X194" i="16"/>
  <c r="AD194" i="16" s="1"/>
  <c r="W194" i="16"/>
  <c r="AC194" i="16" s="1"/>
  <c r="V194" i="16"/>
  <c r="AB194" i="16" s="1"/>
  <c r="X193" i="16"/>
  <c r="AD193" i="16" s="1"/>
  <c r="W193" i="16"/>
  <c r="AC193" i="16" s="1"/>
  <c r="V193" i="16"/>
  <c r="AB193" i="16" s="1"/>
  <c r="X192" i="16"/>
  <c r="AD192" i="16" s="1"/>
  <c r="W192" i="16"/>
  <c r="AC192" i="16" s="1"/>
  <c r="V192" i="16"/>
  <c r="AB192" i="16" s="1"/>
  <c r="X191" i="16"/>
  <c r="AD191" i="16" s="1"/>
  <c r="W191" i="16"/>
  <c r="AC191" i="16" s="1"/>
  <c r="V191" i="16"/>
  <c r="AB191" i="16" s="1"/>
  <c r="X190" i="16"/>
  <c r="AD190" i="16" s="1"/>
  <c r="W190" i="16"/>
  <c r="AC190" i="16" s="1"/>
  <c r="V190" i="16"/>
  <c r="AB190" i="16" s="1"/>
  <c r="X189" i="16"/>
  <c r="AD189" i="16" s="1"/>
  <c r="W189" i="16"/>
  <c r="AC189" i="16" s="1"/>
  <c r="V189" i="16"/>
  <c r="AB189" i="16" s="1"/>
  <c r="X188" i="16"/>
  <c r="AD188" i="16" s="1"/>
  <c r="W188" i="16"/>
  <c r="AC188" i="16" s="1"/>
  <c r="V188" i="16"/>
  <c r="AB188" i="16" s="1"/>
  <c r="X187" i="16"/>
  <c r="AD187" i="16" s="1"/>
  <c r="W187" i="16"/>
  <c r="AC187" i="16" s="1"/>
  <c r="V187" i="16"/>
  <c r="AB187" i="16" s="1"/>
  <c r="X186" i="16"/>
  <c r="AD186" i="16" s="1"/>
  <c r="W186" i="16"/>
  <c r="AC186" i="16" s="1"/>
  <c r="V186" i="16"/>
  <c r="AB186" i="16" s="1"/>
  <c r="X185" i="16"/>
  <c r="AD185" i="16" s="1"/>
  <c r="W185" i="16"/>
  <c r="AC185" i="16" s="1"/>
  <c r="V185" i="16"/>
  <c r="AB185" i="16" s="1"/>
  <c r="X184" i="16"/>
  <c r="AD184" i="16" s="1"/>
  <c r="W184" i="16"/>
  <c r="AC184" i="16" s="1"/>
  <c r="V184" i="16"/>
  <c r="AB184" i="16" s="1"/>
  <c r="X183" i="16"/>
  <c r="AD183" i="16" s="1"/>
  <c r="W183" i="16"/>
  <c r="AC183" i="16" s="1"/>
  <c r="V183" i="16"/>
  <c r="AB183" i="16" s="1"/>
  <c r="X182" i="16"/>
  <c r="AD182" i="16" s="1"/>
  <c r="W182" i="16"/>
  <c r="AC182" i="16" s="1"/>
  <c r="V182" i="16"/>
  <c r="AB182" i="16" s="1"/>
  <c r="X181" i="16"/>
  <c r="AD181" i="16" s="1"/>
  <c r="W181" i="16"/>
  <c r="AC181" i="16" s="1"/>
  <c r="V181" i="16"/>
  <c r="AB181" i="16" s="1"/>
  <c r="X180" i="16"/>
  <c r="AD180" i="16" s="1"/>
  <c r="W180" i="16"/>
  <c r="AC180" i="16" s="1"/>
  <c r="V180" i="16"/>
  <c r="AB180" i="16" s="1"/>
  <c r="X179" i="16"/>
  <c r="AD179" i="16" s="1"/>
  <c r="W179" i="16"/>
  <c r="AC179" i="16" s="1"/>
  <c r="V179" i="16"/>
  <c r="AB179" i="16" s="1"/>
  <c r="X178" i="16"/>
  <c r="AD178" i="16" s="1"/>
  <c r="W178" i="16"/>
  <c r="AC178" i="16" s="1"/>
  <c r="V178" i="16"/>
  <c r="AB178" i="16" s="1"/>
  <c r="X177" i="16"/>
  <c r="AD177" i="16" s="1"/>
  <c r="W177" i="16"/>
  <c r="AC177" i="16" s="1"/>
  <c r="V177" i="16"/>
  <c r="AB177" i="16" s="1"/>
  <c r="X176" i="16"/>
  <c r="AD176" i="16" s="1"/>
  <c r="W176" i="16"/>
  <c r="AC176" i="16" s="1"/>
  <c r="V176" i="16"/>
  <c r="AB176" i="16" s="1"/>
  <c r="X175" i="16"/>
  <c r="AD175" i="16" s="1"/>
  <c r="W175" i="16"/>
  <c r="AC175" i="16" s="1"/>
  <c r="V175" i="16"/>
  <c r="AB175" i="16" s="1"/>
  <c r="X174" i="16"/>
  <c r="AD174" i="16" s="1"/>
  <c r="W174" i="16"/>
  <c r="AC174" i="16" s="1"/>
  <c r="V174" i="16"/>
  <c r="AB174" i="16" s="1"/>
  <c r="X173" i="16"/>
  <c r="AD173" i="16" s="1"/>
  <c r="W173" i="16"/>
  <c r="AC173" i="16" s="1"/>
  <c r="V173" i="16"/>
  <c r="AB173" i="16" s="1"/>
  <c r="X172" i="16"/>
  <c r="AD172" i="16" s="1"/>
  <c r="W172" i="16"/>
  <c r="AC172" i="16" s="1"/>
  <c r="V172" i="16"/>
  <c r="AB172" i="16" s="1"/>
  <c r="X171" i="16"/>
  <c r="AD171" i="16" s="1"/>
  <c r="W171" i="16"/>
  <c r="AC171" i="16" s="1"/>
  <c r="V171" i="16"/>
  <c r="AB171" i="16" s="1"/>
  <c r="X170" i="16"/>
  <c r="AD170" i="16" s="1"/>
  <c r="W170" i="16"/>
  <c r="AC170" i="16" s="1"/>
  <c r="V170" i="16"/>
  <c r="AB170" i="16" s="1"/>
  <c r="X169" i="16"/>
  <c r="AD169" i="16" s="1"/>
  <c r="W169" i="16"/>
  <c r="AC169" i="16" s="1"/>
  <c r="V169" i="16"/>
  <c r="AB169" i="16" s="1"/>
  <c r="X168" i="16"/>
  <c r="AD168" i="16" s="1"/>
  <c r="W168" i="16"/>
  <c r="AC168" i="16" s="1"/>
  <c r="V168" i="16"/>
  <c r="AB168" i="16" s="1"/>
  <c r="X167" i="16"/>
  <c r="AD167" i="16" s="1"/>
  <c r="W167" i="16"/>
  <c r="AC167" i="16" s="1"/>
  <c r="V167" i="16"/>
  <c r="AB167" i="16" s="1"/>
  <c r="X166" i="16"/>
  <c r="AD166" i="16" s="1"/>
  <c r="W166" i="16"/>
  <c r="AC166" i="16" s="1"/>
  <c r="X165" i="16"/>
  <c r="AD165" i="16" s="1"/>
  <c r="W165" i="16"/>
  <c r="AC165" i="16" s="1"/>
  <c r="X164" i="16"/>
  <c r="AD164" i="16" s="1"/>
  <c r="W164" i="16"/>
  <c r="AC164" i="16" s="1"/>
  <c r="X163" i="16"/>
  <c r="AD163" i="16" s="1"/>
  <c r="W163" i="16"/>
  <c r="AC163" i="16" s="1"/>
  <c r="X162" i="16"/>
  <c r="AD162" i="16" s="1"/>
  <c r="W162" i="16"/>
  <c r="AC162" i="16" s="1"/>
  <c r="X161" i="16"/>
  <c r="AD161" i="16" s="1"/>
  <c r="W161" i="16"/>
  <c r="AC161" i="16" s="1"/>
  <c r="X160" i="16"/>
  <c r="AD160" i="16" s="1"/>
  <c r="W160" i="16"/>
  <c r="AC160" i="16" s="1"/>
  <c r="X159" i="16"/>
  <c r="AD159" i="16" s="1"/>
  <c r="W159" i="16"/>
  <c r="AC159" i="16" s="1"/>
  <c r="X158" i="16"/>
  <c r="AD158" i="16" s="1"/>
  <c r="W158" i="16"/>
  <c r="AC158" i="16" s="1"/>
  <c r="X157" i="16"/>
  <c r="AD157" i="16" s="1"/>
  <c r="W157" i="16"/>
  <c r="AC157" i="16" s="1"/>
  <c r="X156" i="16"/>
  <c r="AD156" i="16" s="1"/>
  <c r="W156" i="16"/>
  <c r="AC156" i="16" s="1"/>
  <c r="X155" i="16"/>
  <c r="AD155" i="16" s="1"/>
  <c r="W155" i="16"/>
  <c r="AC155" i="16" s="1"/>
  <c r="V154" i="16"/>
  <c r="AB154" i="16" s="1"/>
  <c r="V153" i="16"/>
  <c r="AB153" i="16" s="1"/>
  <c r="V152" i="16"/>
  <c r="AB152" i="16" s="1"/>
  <c r="V151" i="16"/>
  <c r="AB151" i="16" s="1"/>
  <c r="V150" i="16"/>
  <c r="AB150" i="16" s="1"/>
  <c r="V149" i="16"/>
  <c r="AB149" i="16" s="1"/>
  <c r="V148" i="16"/>
  <c r="AB148" i="16" s="1"/>
  <c r="V147" i="16"/>
  <c r="AB147" i="16" s="1"/>
  <c r="V146" i="16"/>
  <c r="AB146" i="16" s="1"/>
  <c r="X145" i="16"/>
  <c r="AD145" i="16" s="1"/>
  <c r="W145" i="16"/>
  <c r="AC145" i="16" s="1"/>
  <c r="X144" i="16"/>
  <c r="AD144" i="16" s="1"/>
  <c r="W144" i="16"/>
  <c r="AC144" i="16" s="1"/>
  <c r="X143" i="16"/>
  <c r="AD143" i="16" s="1"/>
  <c r="W143" i="16"/>
  <c r="AC143" i="16" s="1"/>
  <c r="X142" i="16"/>
  <c r="AD142" i="16" s="1"/>
  <c r="W142" i="16"/>
  <c r="AC142" i="16" s="1"/>
  <c r="X141" i="16"/>
  <c r="AD141" i="16" s="1"/>
  <c r="W141" i="16"/>
  <c r="AC141" i="16" s="1"/>
  <c r="X140" i="16"/>
  <c r="AD140" i="16" s="1"/>
  <c r="W140" i="16"/>
  <c r="AC140" i="16" s="1"/>
  <c r="X139" i="16"/>
  <c r="AD139" i="16" s="1"/>
  <c r="W139" i="16"/>
  <c r="AC139" i="16" s="1"/>
  <c r="X138" i="16"/>
  <c r="AD138" i="16" s="1"/>
  <c r="W138" i="16"/>
  <c r="AC138" i="16" s="1"/>
  <c r="X137" i="16"/>
  <c r="AD137" i="16" s="1"/>
  <c r="W137" i="16"/>
  <c r="AC137" i="16" s="1"/>
  <c r="V136" i="16"/>
  <c r="AB136" i="16" s="1"/>
  <c r="V135" i="16"/>
  <c r="AB135" i="16" s="1"/>
  <c r="V134" i="16"/>
  <c r="AB134" i="16" s="1"/>
  <c r="V133" i="16"/>
  <c r="AB133" i="16" s="1"/>
  <c r="V132" i="16"/>
  <c r="AB132" i="16" s="1"/>
  <c r="V131" i="16"/>
  <c r="AB131" i="16" s="1"/>
  <c r="V130" i="16"/>
  <c r="AB130" i="16" s="1"/>
  <c r="V129" i="16"/>
  <c r="AB129" i="16" s="1"/>
  <c r="V128" i="16"/>
  <c r="AB128" i="16" s="1"/>
  <c r="V127" i="16"/>
  <c r="AB127" i="16" s="1"/>
  <c r="V126" i="16"/>
  <c r="AB126" i="16" s="1"/>
  <c r="V125" i="16"/>
  <c r="AB125" i="16" s="1"/>
  <c r="V124" i="16"/>
  <c r="AB124" i="16" s="1"/>
  <c r="V123" i="16"/>
  <c r="AB123" i="16" s="1"/>
  <c r="V122" i="16"/>
  <c r="AB122" i="16" s="1"/>
  <c r="X121" i="16"/>
  <c r="AD121" i="16" s="1"/>
  <c r="W121" i="16"/>
  <c r="AC121" i="16" s="1"/>
  <c r="X120" i="16"/>
  <c r="AD120" i="16" s="1"/>
  <c r="W120" i="16"/>
  <c r="AC120" i="16" s="1"/>
  <c r="X119" i="16"/>
  <c r="AD119" i="16" s="1"/>
  <c r="W119" i="16"/>
  <c r="AC119" i="16" s="1"/>
  <c r="X118" i="16"/>
  <c r="AD118" i="16" s="1"/>
  <c r="W118" i="16"/>
  <c r="AC118" i="16" s="1"/>
  <c r="X117" i="16"/>
  <c r="AD117" i="16" s="1"/>
  <c r="W117" i="16"/>
  <c r="AC117" i="16" s="1"/>
  <c r="X116" i="16"/>
  <c r="AD116" i="16" s="1"/>
  <c r="W116" i="16"/>
  <c r="AC116" i="16" s="1"/>
  <c r="V115" i="16"/>
  <c r="AB115" i="16" s="1"/>
  <c r="V114" i="16"/>
  <c r="AB114" i="16" s="1"/>
  <c r="V113" i="16"/>
  <c r="AB113" i="16" s="1"/>
  <c r="V112" i="16"/>
  <c r="AB112" i="16" s="1"/>
  <c r="X111" i="16"/>
  <c r="AD111" i="16" s="1"/>
  <c r="W111" i="16"/>
  <c r="AC111" i="16" s="1"/>
  <c r="V111" i="16"/>
  <c r="AB111" i="16" s="1"/>
  <c r="X110" i="16"/>
  <c r="AD110" i="16" s="1"/>
  <c r="W110" i="16"/>
  <c r="AC110" i="16" s="1"/>
  <c r="V110" i="16"/>
  <c r="AB110" i="16" s="1"/>
  <c r="X109" i="16"/>
  <c r="AD109" i="16" s="1"/>
  <c r="W109" i="16"/>
  <c r="AC109" i="16" s="1"/>
  <c r="V109" i="16"/>
  <c r="AB109" i="16" s="1"/>
  <c r="X108" i="16"/>
  <c r="AD108" i="16" s="1"/>
  <c r="W108" i="16"/>
  <c r="AC108" i="16" s="1"/>
  <c r="V108" i="16"/>
  <c r="AB108" i="16" s="1"/>
  <c r="X107" i="16"/>
  <c r="AD107" i="16" s="1"/>
  <c r="W107" i="16"/>
  <c r="AC107" i="16" s="1"/>
  <c r="V107" i="16"/>
  <c r="AB107" i="16" s="1"/>
  <c r="X106" i="16"/>
  <c r="AD106" i="16" s="1"/>
  <c r="W106" i="16"/>
  <c r="AC106" i="16" s="1"/>
  <c r="V106" i="16"/>
  <c r="AB106" i="16" s="1"/>
  <c r="X105" i="16"/>
  <c r="AD105" i="16" s="1"/>
  <c r="W105" i="16"/>
  <c r="AC105" i="16" s="1"/>
  <c r="V105" i="16"/>
  <c r="AB105" i="16" s="1"/>
  <c r="X104" i="16"/>
  <c r="AD104" i="16" s="1"/>
  <c r="W104" i="16"/>
  <c r="AC104" i="16" s="1"/>
  <c r="V104" i="16"/>
  <c r="AB104" i="16" s="1"/>
  <c r="X103" i="16"/>
  <c r="AD103" i="16" s="1"/>
  <c r="W103" i="16"/>
  <c r="AC103" i="16" s="1"/>
  <c r="V103" i="16"/>
  <c r="AB103" i="16" s="1"/>
  <c r="X102" i="16"/>
  <c r="AD102" i="16" s="1"/>
  <c r="W102" i="16"/>
  <c r="AC102" i="16" s="1"/>
  <c r="V102" i="16"/>
  <c r="AB102" i="16" s="1"/>
  <c r="X101" i="16"/>
  <c r="AD101" i="16" s="1"/>
  <c r="W101" i="16"/>
  <c r="AC101" i="16" s="1"/>
  <c r="V101" i="16"/>
  <c r="AB101" i="16" s="1"/>
  <c r="X100" i="16"/>
  <c r="AD100" i="16" s="1"/>
  <c r="W100" i="16"/>
  <c r="AC100" i="16" s="1"/>
  <c r="V100" i="16"/>
  <c r="AB100" i="16" s="1"/>
  <c r="X99" i="16"/>
  <c r="AD99" i="16" s="1"/>
  <c r="W99" i="16"/>
  <c r="AC99" i="16" s="1"/>
  <c r="V99" i="16"/>
  <c r="AB99" i="16" s="1"/>
  <c r="X98" i="16"/>
  <c r="AD98" i="16" s="1"/>
  <c r="W98" i="16"/>
  <c r="AC98" i="16" s="1"/>
  <c r="V98" i="16"/>
  <c r="AB98" i="16" s="1"/>
  <c r="X97" i="16"/>
  <c r="AD97" i="16" s="1"/>
  <c r="W97" i="16"/>
  <c r="AC97" i="16" s="1"/>
  <c r="V97" i="16"/>
  <c r="AB97" i="16" s="1"/>
  <c r="X96" i="16"/>
  <c r="AD96" i="16" s="1"/>
  <c r="W96" i="16"/>
  <c r="AC96" i="16" s="1"/>
  <c r="V96" i="16"/>
  <c r="AB96" i="16" s="1"/>
  <c r="X95" i="16"/>
  <c r="AD95" i="16" s="1"/>
  <c r="W95" i="16"/>
  <c r="AC95" i="16" s="1"/>
  <c r="V95" i="16"/>
  <c r="AB95" i="16" s="1"/>
  <c r="X94" i="16"/>
  <c r="AD94" i="16" s="1"/>
  <c r="W94" i="16"/>
  <c r="AC94" i="16" s="1"/>
  <c r="V94" i="16"/>
  <c r="AB94" i="16" s="1"/>
  <c r="X93" i="16"/>
  <c r="AD93" i="16" s="1"/>
  <c r="W93" i="16"/>
  <c r="AC93" i="16" s="1"/>
  <c r="V93" i="16"/>
  <c r="AB93" i="16" s="1"/>
  <c r="X92" i="16"/>
  <c r="AD92" i="16" s="1"/>
  <c r="W92" i="16"/>
  <c r="AC92" i="16" s="1"/>
  <c r="V92" i="16"/>
  <c r="AB92" i="16" s="1"/>
  <c r="X91" i="16"/>
  <c r="AD91" i="16" s="1"/>
  <c r="W91" i="16"/>
  <c r="AC91" i="16" s="1"/>
  <c r="V91" i="16"/>
  <c r="AB91" i="16" s="1"/>
  <c r="X90" i="16"/>
  <c r="AD90" i="16" s="1"/>
  <c r="W90" i="16"/>
  <c r="AC90" i="16" s="1"/>
  <c r="V90" i="16"/>
  <c r="AB90" i="16" s="1"/>
  <c r="X89" i="16"/>
  <c r="AD89" i="16" s="1"/>
  <c r="W89" i="16"/>
  <c r="AC89" i="16" s="1"/>
  <c r="V89" i="16"/>
  <c r="AB89" i="16" s="1"/>
  <c r="X88" i="16"/>
  <c r="AD88" i="16" s="1"/>
  <c r="W88" i="16"/>
  <c r="AC88" i="16" s="1"/>
  <c r="V88" i="16"/>
  <c r="AB88" i="16" s="1"/>
  <c r="X87" i="16"/>
  <c r="AD87" i="16" s="1"/>
  <c r="W87" i="16"/>
  <c r="AC87" i="16" s="1"/>
  <c r="V87" i="16"/>
  <c r="AB87" i="16" s="1"/>
  <c r="X86" i="16"/>
  <c r="AD86" i="16" s="1"/>
  <c r="W86" i="16"/>
  <c r="AC86" i="16" s="1"/>
  <c r="V86" i="16"/>
  <c r="AB86" i="16" s="1"/>
  <c r="X85" i="16"/>
  <c r="AD85" i="16" s="1"/>
  <c r="W85" i="16"/>
  <c r="AC85" i="16" s="1"/>
  <c r="V85" i="16"/>
  <c r="AB85" i="16" s="1"/>
  <c r="X84" i="16"/>
  <c r="AD84" i="16" s="1"/>
  <c r="W84" i="16"/>
  <c r="AC84" i="16" s="1"/>
  <c r="V84" i="16"/>
  <c r="AB84" i="16" s="1"/>
  <c r="X83" i="16"/>
  <c r="AD83" i="16" s="1"/>
  <c r="W83" i="16"/>
  <c r="AC83" i="16" s="1"/>
  <c r="V83" i="16"/>
  <c r="AB83" i="16" s="1"/>
  <c r="X82" i="16"/>
  <c r="AD82" i="16" s="1"/>
  <c r="W82" i="16"/>
  <c r="AC82" i="16" s="1"/>
  <c r="V82" i="16"/>
  <c r="AB82" i="16" s="1"/>
  <c r="X81" i="16"/>
  <c r="AD81" i="16" s="1"/>
  <c r="W81" i="16"/>
  <c r="AC81" i="16" s="1"/>
  <c r="V81" i="16"/>
  <c r="AB81" i="16" s="1"/>
  <c r="X80" i="16"/>
  <c r="AD80" i="16" s="1"/>
  <c r="W80" i="16"/>
  <c r="AC80" i="16" s="1"/>
  <c r="V80" i="16"/>
  <c r="AB80" i="16" s="1"/>
  <c r="X79" i="16"/>
  <c r="AD79" i="16" s="1"/>
  <c r="W79" i="16"/>
  <c r="AC79" i="16" s="1"/>
  <c r="V79" i="16"/>
  <c r="AB79" i="16" s="1"/>
  <c r="X78" i="16"/>
  <c r="AD78" i="16" s="1"/>
  <c r="W78" i="16"/>
  <c r="AC78" i="16" s="1"/>
  <c r="V78" i="16"/>
  <c r="AB78" i="16" s="1"/>
  <c r="X77" i="16"/>
  <c r="AD77" i="16" s="1"/>
  <c r="W77" i="16"/>
  <c r="AC77" i="16" s="1"/>
  <c r="V77" i="16"/>
  <c r="AB77" i="16" s="1"/>
  <c r="X76" i="16"/>
  <c r="AD76" i="16" s="1"/>
  <c r="W76" i="16"/>
  <c r="AC76" i="16" s="1"/>
  <c r="V76" i="16"/>
  <c r="AB76" i="16" s="1"/>
  <c r="X75" i="16"/>
  <c r="AD75" i="16" s="1"/>
  <c r="W75" i="16"/>
  <c r="AC75" i="16" s="1"/>
  <c r="V75" i="16"/>
  <c r="AB75" i="16" s="1"/>
  <c r="X74" i="16"/>
  <c r="AD74" i="16" s="1"/>
  <c r="W74" i="16"/>
  <c r="AC74" i="16" s="1"/>
  <c r="V74" i="16"/>
  <c r="AB74" i="16" s="1"/>
  <c r="X73" i="16"/>
  <c r="AD73" i="16" s="1"/>
  <c r="W73" i="16"/>
  <c r="AC73" i="16" s="1"/>
  <c r="V73" i="16"/>
  <c r="AB73" i="16" s="1"/>
  <c r="X72" i="16"/>
  <c r="AD72" i="16" s="1"/>
  <c r="W72" i="16"/>
  <c r="AC72" i="16" s="1"/>
  <c r="V72" i="16"/>
  <c r="AB72" i="16" s="1"/>
  <c r="X71" i="16"/>
  <c r="AD71" i="16" s="1"/>
  <c r="W71" i="16"/>
  <c r="AC71" i="16" s="1"/>
  <c r="V71" i="16"/>
  <c r="AB71" i="16" s="1"/>
  <c r="X70" i="16"/>
  <c r="AD70" i="16" s="1"/>
  <c r="W70" i="16"/>
  <c r="AC70" i="16" s="1"/>
  <c r="V70" i="16"/>
  <c r="AB70" i="16" s="1"/>
  <c r="X69" i="16"/>
  <c r="AD69" i="16" s="1"/>
  <c r="W69" i="16"/>
  <c r="AC69" i="16" s="1"/>
  <c r="V69" i="16"/>
  <c r="AB69" i="16" s="1"/>
  <c r="X68" i="16"/>
  <c r="AD68" i="16" s="1"/>
  <c r="W68" i="16"/>
  <c r="AC68" i="16" s="1"/>
  <c r="V68" i="16"/>
  <c r="AB68" i="16" s="1"/>
  <c r="X67" i="16"/>
  <c r="AD67" i="16" s="1"/>
  <c r="W67" i="16"/>
  <c r="AC67" i="16" s="1"/>
  <c r="V67" i="16"/>
  <c r="AB67" i="16" s="1"/>
  <c r="X66" i="16"/>
  <c r="AD66" i="16" s="1"/>
  <c r="W66" i="16"/>
  <c r="AC66" i="16" s="1"/>
  <c r="V66" i="16"/>
  <c r="AB66" i="16" s="1"/>
  <c r="X65" i="16"/>
  <c r="AD65" i="16" s="1"/>
  <c r="W65" i="16"/>
  <c r="AC65" i="16" s="1"/>
  <c r="V65" i="16"/>
  <c r="AB65" i="16" s="1"/>
  <c r="X64" i="16"/>
  <c r="AD64" i="16" s="1"/>
  <c r="W64" i="16"/>
  <c r="AC64" i="16" s="1"/>
  <c r="V64" i="16"/>
  <c r="AB64" i="16" s="1"/>
  <c r="X63" i="16"/>
  <c r="AD63" i="16" s="1"/>
  <c r="W63" i="16"/>
  <c r="AC63" i="16" s="1"/>
  <c r="V63" i="16"/>
  <c r="AB63" i="16" s="1"/>
  <c r="X62" i="16"/>
  <c r="AD62" i="16" s="1"/>
  <c r="W62" i="16"/>
  <c r="AC62" i="16" s="1"/>
  <c r="V62" i="16"/>
  <c r="AB62" i="16" s="1"/>
  <c r="X61" i="16"/>
  <c r="AD61" i="16" s="1"/>
  <c r="W61" i="16"/>
  <c r="AC61" i="16" s="1"/>
  <c r="V61" i="16"/>
  <c r="AB61" i="16" s="1"/>
  <c r="X60" i="16"/>
  <c r="AD60" i="16" s="1"/>
  <c r="W60" i="16"/>
  <c r="AC60" i="16" s="1"/>
  <c r="V60" i="16"/>
  <c r="AB60" i="16" s="1"/>
  <c r="X59" i="16"/>
  <c r="AD59" i="16" s="1"/>
  <c r="W59" i="16"/>
  <c r="AC59" i="16" s="1"/>
  <c r="V59" i="16"/>
  <c r="AB59" i="16" s="1"/>
  <c r="X58" i="16"/>
  <c r="AD58" i="16" s="1"/>
  <c r="W58" i="16"/>
  <c r="AC58" i="16" s="1"/>
  <c r="V58" i="16"/>
  <c r="AB58" i="16" s="1"/>
  <c r="X57" i="16"/>
  <c r="AD57" i="16" s="1"/>
  <c r="W57" i="16"/>
  <c r="AC57" i="16" s="1"/>
  <c r="V57" i="16"/>
  <c r="AB57" i="16" s="1"/>
  <c r="X56" i="16"/>
  <c r="AD56" i="16" s="1"/>
  <c r="W56" i="16"/>
  <c r="AC56" i="16" s="1"/>
  <c r="V56" i="16"/>
  <c r="AB56" i="16" s="1"/>
  <c r="X55" i="16"/>
  <c r="AD55" i="16" s="1"/>
  <c r="W55" i="16"/>
  <c r="AC55" i="16" s="1"/>
  <c r="V55" i="16"/>
  <c r="AB55" i="16" s="1"/>
  <c r="X54" i="16"/>
  <c r="AD54" i="16" s="1"/>
  <c r="W54" i="16"/>
  <c r="AC54" i="16" s="1"/>
  <c r="V54" i="16"/>
  <c r="AB54" i="16" s="1"/>
  <c r="X53" i="16"/>
  <c r="AD53" i="16" s="1"/>
  <c r="W53" i="16"/>
  <c r="AC53" i="16" s="1"/>
  <c r="V53" i="16"/>
  <c r="AB53" i="16" s="1"/>
  <c r="X52" i="16"/>
  <c r="AD52" i="16" s="1"/>
  <c r="W52" i="16"/>
  <c r="AC52" i="16" s="1"/>
  <c r="V52" i="16"/>
  <c r="AB52" i="16" s="1"/>
  <c r="X51" i="16"/>
  <c r="AD51" i="16" s="1"/>
  <c r="W51" i="16"/>
  <c r="AC51" i="16" s="1"/>
  <c r="V51" i="16"/>
  <c r="AB51" i="16" s="1"/>
  <c r="X50" i="16"/>
  <c r="AD50" i="16" s="1"/>
  <c r="W50" i="16"/>
  <c r="AC50" i="16" s="1"/>
  <c r="V50" i="16"/>
  <c r="AB50" i="16" s="1"/>
  <c r="X49" i="16"/>
  <c r="AD49" i="16" s="1"/>
  <c r="W49" i="16"/>
  <c r="AC49" i="16" s="1"/>
  <c r="V49" i="16"/>
  <c r="AB49" i="16" s="1"/>
  <c r="X48" i="16"/>
  <c r="AD48" i="16" s="1"/>
  <c r="W48" i="16"/>
  <c r="AC48" i="16" s="1"/>
  <c r="V48" i="16"/>
  <c r="AB48" i="16" s="1"/>
  <c r="X47" i="16"/>
  <c r="AD47" i="16" s="1"/>
  <c r="W47" i="16"/>
  <c r="AC47" i="16" s="1"/>
  <c r="V47" i="16"/>
  <c r="AB47" i="16" s="1"/>
  <c r="X46" i="16"/>
  <c r="AD46" i="16" s="1"/>
  <c r="W46" i="16"/>
  <c r="AC46" i="16" s="1"/>
  <c r="V46" i="16"/>
  <c r="AB46" i="16" s="1"/>
  <c r="X45" i="16"/>
  <c r="AD45" i="16" s="1"/>
  <c r="W45" i="16"/>
  <c r="AC45" i="16" s="1"/>
  <c r="V45" i="16"/>
  <c r="AB45" i="16" s="1"/>
  <c r="X44" i="16"/>
  <c r="AD44" i="16" s="1"/>
  <c r="W44" i="16"/>
  <c r="AC44" i="16" s="1"/>
  <c r="V44" i="16"/>
  <c r="AB44" i="16" s="1"/>
  <c r="X43" i="16"/>
  <c r="AD43" i="16" s="1"/>
  <c r="W43" i="16"/>
  <c r="AC43" i="16" s="1"/>
  <c r="V43" i="16"/>
  <c r="AB43" i="16" s="1"/>
  <c r="X42" i="16"/>
  <c r="AD42" i="16" s="1"/>
  <c r="W42" i="16"/>
  <c r="AC42" i="16" s="1"/>
  <c r="V42" i="16"/>
  <c r="AB42" i="16" s="1"/>
  <c r="X41" i="16"/>
  <c r="AD41" i="16" s="1"/>
  <c r="W41" i="16"/>
  <c r="AC41" i="16" s="1"/>
  <c r="V41" i="16"/>
  <c r="AB41" i="16" s="1"/>
  <c r="X40" i="16"/>
  <c r="AD40" i="16" s="1"/>
  <c r="W40" i="16"/>
  <c r="AC40" i="16" s="1"/>
  <c r="V40" i="16"/>
  <c r="AB40" i="16" s="1"/>
  <c r="X39" i="16"/>
  <c r="AD39" i="16" s="1"/>
  <c r="W39" i="16"/>
  <c r="AC39" i="16" s="1"/>
  <c r="V39" i="16"/>
  <c r="AB39" i="16" s="1"/>
  <c r="X38" i="16"/>
  <c r="AD38" i="16" s="1"/>
  <c r="W38" i="16"/>
  <c r="AC38" i="16" s="1"/>
  <c r="V38" i="16"/>
  <c r="AB38" i="16" s="1"/>
  <c r="X37" i="16"/>
  <c r="AD37" i="16" s="1"/>
  <c r="W37" i="16"/>
  <c r="AC37" i="16" s="1"/>
  <c r="V37" i="16"/>
  <c r="AB37" i="16" s="1"/>
  <c r="X36" i="16"/>
  <c r="AD36" i="16" s="1"/>
  <c r="W36" i="16"/>
  <c r="AC36" i="16" s="1"/>
  <c r="V36" i="16"/>
  <c r="AB36" i="16" s="1"/>
  <c r="X35" i="16"/>
  <c r="AD35" i="16" s="1"/>
  <c r="W35" i="16"/>
  <c r="AC35" i="16" s="1"/>
  <c r="V35" i="16"/>
  <c r="AB35" i="16" s="1"/>
  <c r="X34" i="16"/>
  <c r="AD34" i="16" s="1"/>
  <c r="W34" i="16"/>
  <c r="AC34" i="16" s="1"/>
  <c r="V34" i="16"/>
  <c r="AB34" i="16" s="1"/>
  <c r="X33" i="16"/>
  <c r="AD33" i="16" s="1"/>
  <c r="W33" i="16"/>
  <c r="AC33" i="16" s="1"/>
  <c r="V33" i="16"/>
  <c r="AB33" i="16" s="1"/>
  <c r="X32" i="16"/>
  <c r="AD32" i="16" s="1"/>
  <c r="W32" i="16"/>
  <c r="AC32" i="16" s="1"/>
  <c r="V32" i="16"/>
  <c r="AB32" i="16" s="1"/>
  <c r="X31" i="16"/>
  <c r="AD31" i="16" s="1"/>
  <c r="W31" i="16"/>
  <c r="AC31" i="16" s="1"/>
  <c r="V31" i="16"/>
  <c r="AB31" i="16" s="1"/>
  <c r="X30" i="16"/>
  <c r="AD30" i="16" s="1"/>
  <c r="W30" i="16"/>
  <c r="AC30" i="16" s="1"/>
  <c r="V30" i="16"/>
  <c r="AB30" i="16" s="1"/>
  <c r="X29" i="16"/>
  <c r="AD29" i="16" s="1"/>
  <c r="W29" i="16"/>
  <c r="AC29" i="16" s="1"/>
  <c r="V29" i="16"/>
  <c r="AB29" i="16" s="1"/>
  <c r="X28" i="16"/>
  <c r="AD28" i="16" s="1"/>
  <c r="W28" i="16"/>
  <c r="AC28" i="16" s="1"/>
  <c r="V28" i="16"/>
  <c r="AB28" i="16" s="1"/>
  <c r="X27" i="16"/>
  <c r="AD27" i="16" s="1"/>
  <c r="W27" i="16"/>
  <c r="AC27" i="16" s="1"/>
  <c r="V27" i="16"/>
  <c r="AB27" i="16" s="1"/>
  <c r="X26" i="16"/>
  <c r="AD26" i="16" s="1"/>
  <c r="W26" i="16"/>
  <c r="AC26" i="16" s="1"/>
  <c r="V26" i="16"/>
  <c r="AB26" i="16" s="1"/>
  <c r="X25" i="16"/>
  <c r="AD25" i="16" s="1"/>
  <c r="W25" i="16"/>
  <c r="AC25" i="16" s="1"/>
  <c r="V25" i="16"/>
  <c r="AB25" i="16" s="1"/>
  <c r="X24" i="16"/>
  <c r="AD24" i="16" s="1"/>
  <c r="W24" i="16"/>
  <c r="AC24" i="16" s="1"/>
  <c r="V24" i="16"/>
  <c r="AB24" i="16" s="1"/>
  <c r="X23" i="16"/>
  <c r="AD23" i="16" s="1"/>
  <c r="W23" i="16"/>
  <c r="AC23" i="16" s="1"/>
  <c r="V23" i="16"/>
  <c r="AB23" i="16" s="1"/>
  <c r="X22" i="16"/>
  <c r="AD22" i="16" s="1"/>
  <c r="W22" i="16"/>
  <c r="AC22" i="16" s="1"/>
  <c r="V22" i="16"/>
  <c r="AB22" i="16" s="1"/>
  <c r="X21" i="16"/>
  <c r="AD21" i="16" s="1"/>
  <c r="W21" i="16"/>
  <c r="AC21" i="16" s="1"/>
  <c r="V21" i="16"/>
  <c r="AB21" i="16" s="1"/>
  <c r="X20" i="16"/>
  <c r="AD20" i="16" s="1"/>
  <c r="W20" i="16"/>
  <c r="AC20" i="16" s="1"/>
  <c r="V20" i="16"/>
  <c r="AB20" i="16" s="1"/>
  <c r="X19" i="16"/>
  <c r="AD19" i="16" s="1"/>
  <c r="W19" i="16"/>
  <c r="AC19" i="16" s="1"/>
  <c r="V19" i="16"/>
  <c r="AB19" i="16" s="1"/>
  <c r="X18" i="16"/>
  <c r="AD18" i="16" s="1"/>
  <c r="W18" i="16"/>
  <c r="AC18" i="16" s="1"/>
  <c r="V18" i="16"/>
  <c r="AB18" i="16" s="1"/>
  <c r="X17" i="16"/>
  <c r="AD17" i="16" s="1"/>
  <c r="W17" i="16"/>
  <c r="AC17" i="16" s="1"/>
  <c r="V17" i="16"/>
  <c r="AB17" i="16" s="1"/>
  <c r="X16" i="16"/>
  <c r="AD16" i="16" s="1"/>
  <c r="W16" i="16"/>
  <c r="AC16" i="16" s="1"/>
  <c r="V16" i="16"/>
  <c r="AB16" i="16" s="1"/>
  <c r="X15" i="16"/>
  <c r="AD15" i="16" s="1"/>
  <c r="W15" i="16"/>
  <c r="AC15" i="16" s="1"/>
  <c r="V15" i="16"/>
  <c r="AB15" i="16" s="1"/>
  <c r="X14" i="16"/>
  <c r="AD14" i="16" s="1"/>
  <c r="W14" i="16"/>
  <c r="AC14" i="16" s="1"/>
  <c r="V14" i="16"/>
  <c r="AB14" i="16" s="1"/>
  <c r="X13" i="16"/>
  <c r="AD13" i="16" s="1"/>
  <c r="W13" i="16"/>
  <c r="AC13" i="16" s="1"/>
  <c r="V13" i="16"/>
  <c r="AB13" i="16" s="1"/>
  <c r="X12" i="16"/>
  <c r="AD12" i="16" s="1"/>
  <c r="W12" i="16"/>
  <c r="AC12" i="16" s="1"/>
  <c r="V12" i="16"/>
  <c r="AB12" i="16" s="1"/>
  <c r="X11" i="16"/>
  <c r="AD11" i="16" s="1"/>
  <c r="W11" i="16"/>
  <c r="AC11" i="16" s="1"/>
  <c r="V11" i="16"/>
  <c r="AB11" i="16" s="1"/>
  <c r="X10" i="16"/>
  <c r="AD10" i="16" s="1"/>
  <c r="W10" i="16"/>
  <c r="AC10" i="16" s="1"/>
  <c r="V10" i="16"/>
  <c r="AB10" i="16" s="1"/>
  <c r="X9" i="16"/>
  <c r="AD9" i="16" s="1"/>
  <c r="W9" i="16"/>
  <c r="AC9" i="16" s="1"/>
  <c r="V9" i="16"/>
  <c r="AB9" i="16" s="1"/>
  <c r="X8" i="16"/>
  <c r="AD8" i="16" s="1"/>
  <c r="W8" i="16"/>
  <c r="AC8" i="16" s="1"/>
  <c r="V8" i="16"/>
  <c r="AB8" i="16" s="1"/>
  <c r="X7" i="16"/>
  <c r="AD7" i="16" s="1"/>
  <c r="W7" i="16"/>
  <c r="AC7" i="16" s="1"/>
  <c r="V7" i="16"/>
  <c r="AB7" i="16" s="1"/>
  <c r="X6" i="16"/>
  <c r="AD6" i="16" s="1"/>
  <c r="W6" i="16"/>
  <c r="AC6" i="16" s="1"/>
  <c r="V6" i="16"/>
  <c r="AB6" i="16" s="1"/>
  <c r="X5" i="16"/>
  <c r="AD5" i="16" s="1"/>
  <c r="W5" i="16"/>
  <c r="AC5" i="16" s="1"/>
  <c r="V5" i="16"/>
  <c r="AB5" i="16" s="1"/>
  <c r="X4" i="16"/>
  <c r="AD4" i="16" s="1"/>
  <c r="W4" i="16"/>
  <c r="AC4" i="16" s="1"/>
  <c r="V4" i="16"/>
  <c r="AB4" i="16" s="1"/>
  <c r="X3" i="16"/>
  <c r="AD3" i="16" s="1"/>
  <c r="W3" i="16"/>
  <c r="AC3" i="16" s="1"/>
  <c r="V3" i="16"/>
  <c r="AB3" i="16" s="1"/>
  <c r="X2" i="16"/>
  <c r="AD2" i="16" s="1"/>
  <c r="W2" i="16"/>
  <c r="AC2" i="16" s="1"/>
  <c r="V2" i="16"/>
  <c r="AB2" i="16" s="1"/>
  <c r="AD68" i="6"/>
  <c r="AB68" i="6"/>
  <c r="AA68" i="6"/>
  <c r="AA68" i="7" s="1"/>
  <c r="Z68" i="6"/>
  <c r="Y68" i="6"/>
  <c r="X68" i="6"/>
  <c r="AD67" i="6"/>
  <c r="AB67" i="6"/>
  <c r="AA67" i="6"/>
  <c r="Z67" i="6"/>
  <c r="Y67" i="6"/>
  <c r="X67" i="6"/>
  <c r="AD66" i="6"/>
  <c r="AB66" i="6"/>
  <c r="AA66" i="6"/>
  <c r="AA66" i="7" s="1"/>
  <c r="Z66" i="6"/>
  <c r="Y66" i="6"/>
  <c r="X66" i="6"/>
  <c r="AD65" i="6"/>
  <c r="AB65" i="6"/>
  <c r="AA65" i="6"/>
  <c r="Z65" i="6"/>
  <c r="Z65" i="7" s="1"/>
  <c r="Y65" i="6"/>
  <c r="X65" i="6"/>
  <c r="AD64" i="6"/>
  <c r="AB64" i="6"/>
  <c r="AA64" i="6"/>
  <c r="AA64" i="7" s="1"/>
  <c r="Z64" i="6"/>
  <c r="Y64" i="6"/>
  <c r="X64" i="6"/>
  <c r="AD63" i="6"/>
  <c r="AB63" i="6"/>
  <c r="AA63" i="6"/>
  <c r="AA63" i="7" s="1"/>
  <c r="Z63" i="6"/>
  <c r="Y63" i="6"/>
  <c r="X63" i="6"/>
  <c r="AD62" i="6"/>
  <c r="AB62" i="6"/>
  <c r="AA62" i="6"/>
  <c r="Z62" i="6"/>
  <c r="Y62" i="6"/>
  <c r="X62" i="6"/>
  <c r="AD61" i="6"/>
  <c r="AB61" i="6"/>
  <c r="AA61" i="6"/>
  <c r="AA61" i="7" s="1"/>
  <c r="Z61" i="6"/>
  <c r="Y61" i="6"/>
  <c r="X61" i="6"/>
  <c r="AD60" i="6"/>
  <c r="AB60" i="6"/>
  <c r="AA60" i="6"/>
  <c r="AA60" i="7" s="1"/>
  <c r="Z60" i="6"/>
  <c r="Y60" i="6"/>
  <c r="X60" i="6"/>
  <c r="AD59" i="6"/>
  <c r="AB59" i="6"/>
  <c r="AA59" i="6"/>
  <c r="Z59" i="6"/>
  <c r="Z59" i="7" s="1"/>
  <c r="Y59" i="6"/>
  <c r="X59" i="6"/>
  <c r="AD58" i="6"/>
  <c r="AB58" i="6"/>
  <c r="AA58" i="6"/>
  <c r="AA58" i="7" s="1"/>
  <c r="Z58" i="6"/>
  <c r="Y58" i="6"/>
  <c r="X58" i="6"/>
  <c r="AD57" i="6"/>
  <c r="AB57" i="6"/>
  <c r="AA57" i="6"/>
  <c r="Z57" i="6"/>
  <c r="Y57" i="6"/>
  <c r="X57" i="6"/>
  <c r="AD56" i="6"/>
  <c r="AB56" i="6"/>
  <c r="AA56" i="6"/>
  <c r="AA56" i="7" s="1"/>
  <c r="Z56" i="6"/>
  <c r="Y56" i="6"/>
  <c r="X56" i="6"/>
  <c r="AD55" i="6"/>
  <c r="AB55" i="6"/>
  <c r="AA55" i="6"/>
  <c r="AA55" i="7" s="1"/>
  <c r="Z55" i="6"/>
  <c r="Y55" i="6"/>
  <c r="X55" i="6"/>
  <c r="AD54" i="6"/>
  <c r="AB54" i="6"/>
  <c r="AA54" i="6"/>
  <c r="Z54" i="6"/>
  <c r="Y54" i="6"/>
  <c r="X54" i="6"/>
  <c r="AD53" i="6"/>
  <c r="AB53" i="6"/>
  <c r="AA53" i="6"/>
  <c r="AA53" i="7" s="1"/>
  <c r="Z53" i="6"/>
  <c r="Y53" i="6"/>
  <c r="X53" i="6"/>
  <c r="AD52" i="6"/>
  <c r="AB52" i="6"/>
  <c r="AA52" i="6"/>
  <c r="AA52" i="7" s="1"/>
  <c r="Z52" i="6"/>
  <c r="Y52" i="6"/>
  <c r="X52" i="6"/>
  <c r="AD51" i="6"/>
  <c r="AB51" i="6"/>
  <c r="AA51" i="6"/>
  <c r="Z51" i="6"/>
  <c r="Y51" i="6"/>
  <c r="X51" i="6"/>
  <c r="AD50" i="6"/>
  <c r="AB50" i="6"/>
  <c r="AA50" i="6"/>
  <c r="AA50" i="7" s="1"/>
  <c r="Z50" i="6"/>
  <c r="Y50" i="6"/>
  <c r="X50" i="6"/>
  <c r="AD49" i="6"/>
  <c r="AB49" i="6"/>
  <c r="AA49" i="6"/>
  <c r="Z49" i="6"/>
  <c r="Z49" i="7" s="1"/>
  <c r="Y49" i="6"/>
  <c r="X49" i="6"/>
  <c r="AD48" i="6"/>
  <c r="AB48" i="6"/>
  <c r="AA48" i="6"/>
  <c r="AA48" i="7" s="1"/>
  <c r="Z48" i="6"/>
  <c r="Y48" i="6"/>
  <c r="X48" i="6"/>
  <c r="AD47" i="6"/>
  <c r="AB47" i="6"/>
  <c r="AA47" i="6"/>
  <c r="AA47" i="7" s="1"/>
  <c r="Z47" i="6"/>
  <c r="Y47" i="6"/>
  <c r="X47" i="6"/>
  <c r="AD46" i="6"/>
  <c r="AB46" i="6"/>
  <c r="AA46" i="6"/>
  <c r="Z46" i="6"/>
  <c r="Y46" i="6"/>
  <c r="X46" i="6"/>
  <c r="AD45" i="6"/>
  <c r="AB45" i="6"/>
  <c r="AA45" i="6"/>
  <c r="AA45" i="7" s="1"/>
  <c r="Z45" i="6"/>
  <c r="Y45" i="6"/>
  <c r="X45" i="6"/>
  <c r="AD44" i="6"/>
  <c r="AB44" i="6"/>
  <c r="AA44" i="6"/>
  <c r="AA44" i="7" s="1"/>
  <c r="Z44" i="6"/>
  <c r="Y44" i="6"/>
  <c r="X44" i="6"/>
  <c r="AD43" i="6"/>
  <c r="AB43" i="6"/>
  <c r="AA43" i="6"/>
  <c r="Z43" i="6"/>
  <c r="Z43" i="7" s="1"/>
  <c r="Y43" i="6"/>
  <c r="X43" i="6"/>
  <c r="AD42" i="6"/>
  <c r="AC42" i="6"/>
  <c r="AB42" i="6"/>
  <c r="AA42" i="6"/>
  <c r="Z42" i="6"/>
  <c r="Y42" i="6"/>
  <c r="X42" i="6"/>
  <c r="W42" i="6"/>
  <c r="V42" i="6"/>
  <c r="U42" i="6"/>
  <c r="AD41" i="6"/>
  <c r="AB41" i="6"/>
  <c r="AA41" i="6"/>
  <c r="Z41" i="6"/>
  <c r="Y41" i="6"/>
  <c r="X41" i="6"/>
  <c r="AD40" i="6"/>
  <c r="AB40" i="6"/>
  <c r="AA40" i="6"/>
  <c r="AA40" i="7" s="1"/>
  <c r="Z40" i="6"/>
  <c r="Y40" i="6"/>
  <c r="X40" i="6"/>
  <c r="AD39" i="6"/>
  <c r="AB39" i="6"/>
  <c r="AA39" i="6"/>
  <c r="AA39" i="7" s="1"/>
  <c r="Z39" i="6"/>
  <c r="Y39" i="6"/>
  <c r="X39" i="6"/>
  <c r="AD38" i="6"/>
  <c r="AB38" i="6"/>
  <c r="AA38" i="6"/>
  <c r="Z38" i="6"/>
  <c r="Y38" i="6"/>
  <c r="X38" i="6"/>
  <c r="AD37" i="6"/>
  <c r="AC37" i="6"/>
  <c r="AB37" i="6"/>
  <c r="AA37" i="6"/>
  <c r="AA37" i="7" s="1"/>
  <c r="Z37" i="6"/>
  <c r="Y37" i="6"/>
  <c r="X37" i="6"/>
  <c r="W37" i="6"/>
  <c r="V37" i="6"/>
  <c r="U37" i="6"/>
  <c r="AD36" i="6"/>
  <c r="AC36" i="6"/>
  <c r="AB36" i="6"/>
  <c r="AA36" i="6"/>
  <c r="AA36" i="7" s="1"/>
  <c r="Z36" i="6"/>
  <c r="Y36" i="6"/>
  <c r="X36" i="6"/>
  <c r="W36" i="6"/>
  <c r="V36" i="6"/>
  <c r="U36" i="6"/>
  <c r="AD35" i="6"/>
  <c r="AC35" i="6"/>
  <c r="AB35" i="6"/>
  <c r="AA35" i="6"/>
  <c r="Z35" i="6"/>
  <c r="Z35" i="7" s="1"/>
  <c r="Y35" i="6"/>
  <c r="X35" i="6"/>
  <c r="W35" i="6"/>
  <c r="V35" i="6"/>
  <c r="U35" i="6"/>
  <c r="AD34" i="6"/>
  <c r="AC34" i="6"/>
  <c r="AB34" i="6"/>
  <c r="AA34" i="6"/>
  <c r="Z34" i="6"/>
  <c r="Y34" i="6"/>
  <c r="X34" i="6"/>
  <c r="W34" i="6"/>
  <c r="V34" i="6"/>
  <c r="U34" i="6"/>
  <c r="AD33" i="6"/>
  <c r="AC33" i="6"/>
  <c r="AB33" i="6"/>
  <c r="AA33" i="6"/>
  <c r="Z33" i="6"/>
  <c r="Z33" i="7" s="1"/>
  <c r="Y33" i="6"/>
  <c r="X33" i="6"/>
  <c r="W33" i="6"/>
  <c r="V33" i="6"/>
  <c r="U33" i="6"/>
  <c r="AD32" i="6"/>
  <c r="AC32" i="6"/>
  <c r="AB32" i="6"/>
  <c r="AA32" i="6"/>
  <c r="AA32" i="7" s="1"/>
  <c r="Z32" i="6"/>
  <c r="Z32" i="7" s="1"/>
  <c r="Y32" i="6"/>
  <c r="X32" i="6"/>
  <c r="W32" i="6"/>
  <c r="V32" i="6"/>
  <c r="U32" i="6"/>
  <c r="AD31" i="6"/>
  <c r="AC31" i="6"/>
  <c r="AB31" i="6"/>
  <c r="AA31" i="6"/>
  <c r="AA31" i="7" s="1"/>
  <c r="Z31" i="6"/>
  <c r="Z31" i="7" s="1"/>
  <c r="Y31" i="6"/>
  <c r="X31" i="6"/>
  <c r="W31" i="6"/>
  <c r="V31" i="6"/>
  <c r="U31" i="6"/>
  <c r="AD30" i="6"/>
  <c r="AC30" i="6"/>
  <c r="AB30" i="6"/>
  <c r="AA30" i="6"/>
  <c r="AA30" i="7" s="1"/>
  <c r="Z30" i="6"/>
  <c r="Z30" i="7" s="1"/>
  <c r="Y30" i="6"/>
  <c r="X30" i="6"/>
  <c r="W30" i="6"/>
  <c r="V30" i="6"/>
  <c r="U30" i="6"/>
  <c r="AD29" i="6"/>
  <c r="AC29" i="6"/>
  <c r="AB29" i="6"/>
  <c r="AA29" i="6"/>
  <c r="AA29" i="7" s="1"/>
  <c r="Z29" i="6"/>
  <c r="Z29" i="7" s="1"/>
  <c r="Y29" i="6"/>
  <c r="X29" i="6"/>
  <c r="W29" i="6"/>
  <c r="V29" i="6"/>
  <c r="U29" i="6"/>
  <c r="AD28" i="6"/>
  <c r="AC28" i="6"/>
  <c r="AB28" i="6"/>
  <c r="AA28" i="6"/>
  <c r="AA28" i="7" s="1"/>
  <c r="Z28" i="6"/>
  <c r="Z28" i="7" s="1"/>
  <c r="Y28" i="6"/>
  <c r="X28" i="6"/>
  <c r="W28" i="6"/>
  <c r="V28" i="6"/>
  <c r="U28" i="6"/>
  <c r="AD27" i="6"/>
  <c r="AC27" i="6"/>
  <c r="AB27" i="6"/>
  <c r="AA27" i="6"/>
  <c r="AA27" i="7" s="1"/>
  <c r="Z27" i="6"/>
  <c r="Y27" i="6"/>
  <c r="X27" i="6"/>
  <c r="W27" i="6"/>
  <c r="V27" i="6"/>
  <c r="U27" i="6"/>
  <c r="AD26" i="6"/>
  <c r="AC26" i="6"/>
  <c r="AB26" i="6"/>
  <c r="AA26" i="6"/>
  <c r="Z26" i="6"/>
  <c r="Z26" i="7" s="1"/>
  <c r="Y26" i="6"/>
  <c r="X26" i="6"/>
  <c r="W26" i="6"/>
  <c r="V26" i="6"/>
  <c r="U26" i="6"/>
  <c r="AD25" i="6"/>
  <c r="AC25" i="6"/>
  <c r="AB25" i="6"/>
  <c r="AA25" i="6"/>
  <c r="Z25" i="6"/>
  <c r="Z25" i="7" s="1"/>
  <c r="Y25" i="6"/>
  <c r="X25" i="6"/>
  <c r="W25" i="6"/>
  <c r="V25" i="6"/>
  <c r="U25" i="6"/>
  <c r="AD24" i="6"/>
  <c r="AC24" i="6"/>
  <c r="AB24" i="6"/>
  <c r="AA24" i="6"/>
  <c r="AA24" i="7" s="1"/>
  <c r="Z24" i="6"/>
  <c r="Z24" i="7" s="1"/>
  <c r="Y24" i="6"/>
  <c r="X24" i="6"/>
  <c r="W24" i="6"/>
  <c r="V24" i="6"/>
  <c r="U24" i="6"/>
  <c r="AD23" i="6"/>
  <c r="AC23" i="6"/>
  <c r="AB23" i="6"/>
  <c r="AA23" i="6"/>
  <c r="Z23" i="6"/>
  <c r="Z23" i="7" s="1"/>
  <c r="Y23" i="6"/>
  <c r="X23" i="6"/>
  <c r="W23" i="6"/>
  <c r="V23" i="6"/>
  <c r="U23" i="6"/>
  <c r="AD22" i="6"/>
  <c r="AC22" i="6"/>
  <c r="AB22" i="6"/>
  <c r="AA22" i="6"/>
  <c r="AA22" i="7" s="1"/>
  <c r="Z22" i="6"/>
  <c r="Z22" i="7" s="1"/>
  <c r="Y22" i="6"/>
  <c r="X22" i="6"/>
  <c r="W22" i="6"/>
  <c r="V22" i="6"/>
  <c r="U22" i="6"/>
  <c r="AD21" i="6"/>
  <c r="AC21" i="6"/>
  <c r="AB21" i="6"/>
  <c r="AA21" i="6"/>
  <c r="Z21" i="6"/>
  <c r="Y21" i="6"/>
  <c r="X21" i="6"/>
  <c r="W21" i="6"/>
  <c r="V21" i="6"/>
  <c r="U21" i="6"/>
  <c r="AD20" i="6"/>
  <c r="AC20" i="6"/>
  <c r="AB20" i="6"/>
  <c r="AA20" i="6"/>
  <c r="AA20" i="7" s="1"/>
  <c r="Z20" i="6"/>
  <c r="Y20" i="6"/>
  <c r="X20" i="6"/>
  <c r="W20" i="6"/>
  <c r="V20" i="6"/>
  <c r="U20" i="6"/>
  <c r="AD19" i="6"/>
  <c r="AC19" i="6"/>
  <c r="AB19" i="6"/>
  <c r="AA19" i="6"/>
  <c r="Z19" i="6"/>
  <c r="Z19" i="7" s="1"/>
  <c r="Y19" i="6"/>
  <c r="X19" i="6"/>
  <c r="W19" i="6"/>
  <c r="V19" i="6"/>
  <c r="U19" i="6"/>
  <c r="AD18" i="6"/>
  <c r="AC18" i="6"/>
  <c r="AB18" i="6"/>
  <c r="AA18" i="6"/>
  <c r="AA18" i="7" s="1"/>
  <c r="Z18" i="6"/>
  <c r="Z18" i="7" s="1"/>
  <c r="Y18" i="6"/>
  <c r="X18" i="6"/>
  <c r="W18" i="6"/>
  <c r="V18" i="6"/>
  <c r="U18" i="6"/>
  <c r="AD17" i="6"/>
  <c r="AC17" i="6"/>
  <c r="AB17" i="6"/>
  <c r="AA17" i="6"/>
  <c r="AA17" i="7" s="1"/>
  <c r="Z17" i="6"/>
  <c r="Z17" i="7" s="1"/>
  <c r="Y17" i="6"/>
  <c r="X17" i="6"/>
  <c r="W17" i="6"/>
  <c r="V17" i="6"/>
  <c r="U17" i="6"/>
  <c r="AD16" i="6"/>
  <c r="AC16" i="6"/>
  <c r="AB16" i="6"/>
  <c r="AA16" i="6"/>
  <c r="AA16" i="7" s="1"/>
  <c r="Z16" i="6"/>
  <c r="Z16" i="7" s="1"/>
  <c r="Y16" i="6"/>
  <c r="X16" i="6"/>
  <c r="W16" i="6"/>
  <c r="V16" i="6"/>
  <c r="U16" i="6"/>
  <c r="AD15" i="6"/>
  <c r="AC15" i="6"/>
  <c r="AB15" i="6"/>
  <c r="AA15" i="6"/>
  <c r="AA15" i="7" s="1"/>
  <c r="Z15" i="6"/>
  <c r="Z15" i="7" s="1"/>
  <c r="Y15" i="6"/>
  <c r="X15" i="6"/>
  <c r="W15" i="6"/>
  <c r="V15" i="6"/>
  <c r="U15" i="6"/>
  <c r="AD14" i="6"/>
  <c r="AC14" i="6"/>
  <c r="AB14" i="6"/>
  <c r="AA14" i="6"/>
  <c r="AA14" i="7" s="1"/>
  <c r="Z14" i="6"/>
  <c r="Z14" i="7" s="1"/>
  <c r="Y14" i="6"/>
  <c r="X14" i="6"/>
  <c r="W14" i="6"/>
  <c r="V14" i="6"/>
  <c r="U14" i="6"/>
  <c r="AD13" i="6"/>
  <c r="AC13" i="6"/>
  <c r="AB13" i="6"/>
  <c r="AA13" i="6"/>
  <c r="AA13" i="7" s="1"/>
  <c r="Z13" i="6"/>
  <c r="Y13" i="6"/>
  <c r="X13" i="6"/>
  <c r="W13" i="6"/>
  <c r="V13" i="6"/>
  <c r="U13" i="6"/>
  <c r="AD12" i="6"/>
  <c r="AC12" i="6"/>
  <c r="AB12" i="6"/>
  <c r="AA12" i="6"/>
  <c r="AA12" i="7" s="1"/>
  <c r="Z12" i="6"/>
  <c r="Y12" i="6"/>
  <c r="X12" i="6"/>
  <c r="W12" i="6"/>
  <c r="V12" i="6"/>
  <c r="U12" i="6"/>
  <c r="AD11" i="6"/>
  <c r="AC11" i="6"/>
  <c r="AB11" i="6"/>
  <c r="AA11" i="6"/>
  <c r="Z11" i="6"/>
  <c r="Z11" i="7" s="1"/>
  <c r="Y11" i="6"/>
  <c r="X11" i="6"/>
  <c r="W11" i="6"/>
  <c r="V11" i="6"/>
  <c r="U11" i="6"/>
  <c r="AD10" i="6"/>
  <c r="AC10" i="6"/>
  <c r="AB10" i="6"/>
  <c r="AA10" i="6"/>
  <c r="AA10" i="7" s="1"/>
  <c r="Z10" i="6"/>
  <c r="Z10" i="7" s="1"/>
  <c r="Y10" i="6"/>
  <c r="X10" i="6"/>
  <c r="W10" i="6"/>
  <c r="V10" i="6"/>
  <c r="U10" i="6"/>
  <c r="AD9" i="6"/>
  <c r="AC9" i="6"/>
  <c r="AB9" i="6"/>
  <c r="AA9" i="6"/>
  <c r="Z9" i="6"/>
  <c r="Z9" i="7" s="1"/>
  <c r="Y9" i="6"/>
  <c r="X9" i="6"/>
  <c r="W9" i="6"/>
  <c r="V9" i="6"/>
  <c r="U9" i="6"/>
  <c r="AD8" i="6"/>
  <c r="AC8" i="6"/>
  <c r="AB8" i="6"/>
  <c r="AA8" i="6"/>
  <c r="AA8" i="7" s="1"/>
  <c r="Z8" i="6"/>
  <c r="Z8" i="7" s="1"/>
  <c r="Y8" i="6"/>
  <c r="X8" i="6"/>
  <c r="W8" i="6"/>
  <c r="V8" i="6"/>
  <c r="U8" i="6"/>
  <c r="AD7" i="6"/>
  <c r="AC7" i="6"/>
  <c r="AB7" i="6"/>
  <c r="AA7" i="6"/>
  <c r="Z7" i="6"/>
  <c r="Y7" i="6"/>
  <c r="X7" i="6"/>
  <c r="W7" i="6"/>
  <c r="V7" i="6"/>
  <c r="U7" i="6"/>
  <c r="AD6" i="6"/>
  <c r="AC6" i="6"/>
  <c r="AB6" i="6"/>
  <c r="AA6" i="6"/>
  <c r="Z6" i="6"/>
  <c r="Z6" i="7" s="1"/>
  <c r="Y6" i="6"/>
  <c r="X6" i="6"/>
  <c r="W6" i="6"/>
  <c r="V6" i="6"/>
  <c r="U6" i="6"/>
  <c r="AD5" i="6"/>
  <c r="AC5" i="6"/>
  <c r="AB5" i="6"/>
  <c r="AA5" i="6"/>
  <c r="AA5" i="7" s="1"/>
  <c r="Z5" i="6"/>
  <c r="Y5" i="6"/>
  <c r="X5" i="6"/>
  <c r="W5" i="6"/>
  <c r="V5" i="6"/>
  <c r="U5" i="6"/>
  <c r="AP68" i="14"/>
  <c r="AC68" i="14"/>
  <c r="AC68" i="6" s="1"/>
  <c r="W68" i="14"/>
  <c r="W68" i="6" s="1"/>
  <c r="V68" i="14"/>
  <c r="V68" i="6" s="1"/>
  <c r="U68" i="14"/>
  <c r="U68" i="6" s="1"/>
  <c r="AP67" i="14"/>
  <c r="AC67" i="14"/>
  <c r="AC67" i="6" s="1"/>
  <c r="W67" i="14"/>
  <c r="W67" i="6" s="1"/>
  <c r="V67" i="14"/>
  <c r="V67" i="6" s="1"/>
  <c r="U67" i="14"/>
  <c r="U67" i="6" s="1"/>
  <c r="AP66" i="14"/>
  <c r="AC66" i="14"/>
  <c r="AC66" i="6" s="1"/>
  <c r="W66" i="14"/>
  <c r="W66" i="6" s="1"/>
  <c r="V66" i="14"/>
  <c r="V66" i="6" s="1"/>
  <c r="U66" i="14"/>
  <c r="U66" i="6" s="1"/>
  <c r="AP65" i="14"/>
  <c r="AC65" i="14"/>
  <c r="AC65" i="6" s="1"/>
  <c r="W65" i="14"/>
  <c r="W65" i="6" s="1"/>
  <c r="V65" i="14"/>
  <c r="V65" i="6" s="1"/>
  <c r="U65" i="14"/>
  <c r="U65" i="6" s="1"/>
  <c r="AP64" i="14"/>
  <c r="AC64" i="14"/>
  <c r="AC64" i="6" s="1"/>
  <c r="W64" i="14"/>
  <c r="W64" i="6" s="1"/>
  <c r="V64" i="14"/>
  <c r="V64" i="6" s="1"/>
  <c r="U64" i="14"/>
  <c r="U64" i="6" s="1"/>
  <c r="AP63" i="14"/>
  <c r="AC63" i="14"/>
  <c r="AC63" i="6" s="1"/>
  <c r="W63" i="14"/>
  <c r="W63" i="6" s="1"/>
  <c r="V63" i="14"/>
  <c r="V63" i="6" s="1"/>
  <c r="U63" i="14"/>
  <c r="U63" i="6" s="1"/>
  <c r="AP62" i="14"/>
  <c r="AC62" i="14"/>
  <c r="AC62" i="6" s="1"/>
  <c r="W62" i="14"/>
  <c r="W62" i="6" s="1"/>
  <c r="V62" i="14"/>
  <c r="V62" i="6" s="1"/>
  <c r="U62" i="14"/>
  <c r="U62" i="6" s="1"/>
  <c r="AP61" i="14"/>
  <c r="AC61" i="14"/>
  <c r="AC61" i="6" s="1"/>
  <c r="W61" i="14"/>
  <c r="W61" i="6" s="1"/>
  <c r="V61" i="14"/>
  <c r="V61" i="6" s="1"/>
  <c r="U61" i="14"/>
  <c r="U61" i="6" s="1"/>
  <c r="AP60" i="14"/>
  <c r="AC60" i="14"/>
  <c r="AC60" i="6" s="1"/>
  <c r="W60" i="14"/>
  <c r="W60" i="6" s="1"/>
  <c r="V60" i="14"/>
  <c r="V60" i="6" s="1"/>
  <c r="U60" i="14"/>
  <c r="U60" i="6" s="1"/>
  <c r="AP59" i="14"/>
  <c r="AC59" i="14"/>
  <c r="AC59" i="6" s="1"/>
  <c r="W59" i="14"/>
  <c r="W59" i="6" s="1"/>
  <c r="V59" i="14"/>
  <c r="V59" i="6" s="1"/>
  <c r="U59" i="14"/>
  <c r="U59" i="6" s="1"/>
  <c r="AP58" i="14"/>
  <c r="AC58" i="14"/>
  <c r="AC58" i="6" s="1"/>
  <c r="W58" i="14"/>
  <c r="W58" i="6" s="1"/>
  <c r="V58" i="14"/>
  <c r="V58" i="6" s="1"/>
  <c r="U58" i="14"/>
  <c r="U58" i="6" s="1"/>
  <c r="AP57" i="14"/>
  <c r="AC57" i="14"/>
  <c r="AC57" i="6" s="1"/>
  <c r="W57" i="14"/>
  <c r="W57" i="6" s="1"/>
  <c r="V57" i="14"/>
  <c r="V57" i="6" s="1"/>
  <c r="U57" i="14"/>
  <c r="U57" i="6" s="1"/>
  <c r="AP56" i="14"/>
  <c r="AC56" i="14"/>
  <c r="AC56" i="6" s="1"/>
  <c r="W56" i="14"/>
  <c r="W56" i="6" s="1"/>
  <c r="V56" i="14"/>
  <c r="V56" i="6" s="1"/>
  <c r="U56" i="14"/>
  <c r="U56" i="6" s="1"/>
  <c r="AP55" i="14"/>
  <c r="AC55" i="14"/>
  <c r="AC55" i="6" s="1"/>
  <c r="W55" i="14"/>
  <c r="W55" i="6" s="1"/>
  <c r="V55" i="14"/>
  <c r="V55" i="6" s="1"/>
  <c r="U55" i="14"/>
  <c r="U55" i="6" s="1"/>
  <c r="AP54" i="14"/>
  <c r="AC54" i="14"/>
  <c r="AC54" i="6" s="1"/>
  <c r="W54" i="14"/>
  <c r="W54" i="6" s="1"/>
  <c r="V54" i="14"/>
  <c r="V54" i="6" s="1"/>
  <c r="U54" i="14"/>
  <c r="U54" i="6" s="1"/>
  <c r="AP53" i="14"/>
  <c r="AC53" i="14"/>
  <c r="AC53" i="6" s="1"/>
  <c r="W53" i="14"/>
  <c r="W53" i="6" s="1"/>
  <c r="V53" i="14"/>
  <c r="V53" i="6" s="1"/>
  <c r="U53" i="14"/>
  <c r="U53" i="6" s="1"/>
  <c r="AP52" i="14"/>
  <c r="AC52" i="14"/>
  <c r="AC52" i="6" s="1"/>
  <c r="W52" i="14"/>
  <c r="W52" i="6" s="1"/>
  <c r="V52" i="14"/>
  <c r="V52" i="6" s="1"/>
  <c r="U52" i="14"/>
  <c r="U52" i="6" s="1"/>
  <c r="AP51" i="14"/>
  <c r="AC51" i="14"/>
  <c r="AC51" i="6" s="1"/>
  <c r="W51" i="14"/>
  <c r="W51" i="6" s="1"/>
  <c r="V51" i="14"/>
  <c r="V51" i="6" s="1"/>
  <c r="U51" i="14"/>
  <c r="U51" i="6" s="1"/>
  <c r="AP50" i="14"/>
  <c r="AC50" i="14"/>
  <c r="AC50" i="6" s="1"/>
  <c r="W50" i="14"/>
  <c r="W50" i="6" s="1"/>
  <c r="V50" i="14"/>
  <c r="V50" i="6" s="1"/>
  <c r="U50" i="14"/>
  <c r="U50" i="6" s="1"/>
  <c r="AP49" i="14"/>
  <c r="AC49" i="14"/>
  <c r="AC49" i="6" s="1"/>
  <c r="W49" i="14"/>
  <c r="W49" i="6" s="1"/>
  <c r="V49" i="14"/>
  <c r="V49" i="6" s="1"/>
  <c r="U49" i="14"/>
  <c r="U49" i="6" s="1"/>
  <c r="AP48" i="14"/>
  <c r="AC48" i="14"/>
  <c r="AC48" i="6" s="1"/>
  <c r="W48" i="14"/>
  <c r="W48" i="6" s="1"/>
  <c r="V48" i="14"/>
  <c r="V48" i="6" s="1"/>
  <c r="U48" i="14"/>
  <c r="U48" i="6" s="1"/>
  <c r="AP47" i="14"/>
  <c r="AC47" i="14"/>
  <c r="AC47" i="6" s="1"/>
  <c r="W47" i="14"/>
  <c r="W47" i="6" s="1"/>
  <c r="V47" i="14"/>
  <c r="V47" i="6" s="1"/>
  <c r="U47" i="14"/>
  <c r="U47" i="6" s="1"/>
  <c r="AP46" i="14"/>
  <c r="AC46" i="14"/>
  <c r="AC46" i="6" s="1"/>
  <c r="W46" i="14"/>
  <c r="W46" i="6" s="1"/>
  <c r="V46" i="14"/>
  <c r="V46" i="6" s="1"/>
  <c r="U46" i="14"/>
  <c r="U46" i="6" s="1"/>
  <c r="AP45" i="14"/>
  <c r="AC45" i="14"/>
  <c r="AC45" i="6" s="1"/>
  <c r="W45" i="14"/>
  <c r="W45" i="6" s="1"/>
  <c r="V45" i="14"/>
  <c r="V45" i="6" s="1"/>
  <c r="U45" i="14"/>
  <c r="U45" i="6" s="1"/>
  <c r="AP44" i="14"/>
  <c r="AC44" i="14"/>
  <c r="AC44" i="6" s="1"/>
  <c r="W44" i="14"/>
  <c r="W44" i="6" s="1"/>
  <c r="V44" i="14"/>
  <c r="V44" i="6" s="1"/>
  <c r="U44" i="14"/>
  <c r="U44" i="6" s="1"/>
  <c r="AP43" i="14"/>
  <c r="AC43" i="14"/>
  <c r="AC43" i="6" s="1"/>
  <c r="W43" i="14"/>
  <c r="W43" i="6" s="1"/>
  <c r="V43" i="14"/>
  <c r="V43" i="6" s="1"/>
  <c r="U43" i="14"/>
  <c r="U43" i="6" s="1"/>
  <c r="AP41" i="14"/>
  <c r="AC41" i="14"/>
  <c r="AC41" i="6" s="1"/>
  <c r="W41" i="14"/>
  <c r="W41" i="6" s="1"/>
  <c r="V41" i="14"/>
  <c r="V41" i="6" s="1"/>
  <c r="U41" i="14"/>
  <c r="U41" i="6" s="1"/>
  <c r="AP40" i="14"/>
  <c r="AC40" i="14"/>
  <c r="AC40" i="6" s="1"/>
  <c r="W40" i="14"/>
  <c r="W40" i="6" s="1"/>
  <c r="V40" i="14"/>
  <c r="V40" i="6" s="1"/>
  <c r="U40" i="14"/>
  <c r="U40" i="6" s="1"/>
  <c r="AP39" i="14"/>
  <c r="AC39" i="14"/>
  <c r="AC39" i="6" s="1"/>
  <c r="W39" i="14"/>
  <c r="W39" i="6" s="1"/>
  <c r="V39" i="14"/>
  <c r="V39" i="6" s="1"/>
  <c r="U39" i="14"/>
  <c r="U39" i="6" s="1"/>
  <c r="AP38" i="14"/>
  <c r="AC38" i="14"/>
  <c r="AC38" i="6" s="1"/>
  <c r="W38" i="14"/>
  <c r="W38" i="6" s="1"/>
  <c r="V38" i="14"/>
  <c r="V38" i="6" s="1"/>
  <c r="U38" i="14"/>
  <c r="U38" i="6" s="1"/>
  <c r="Y16" i="13"/>
  <c r="Y15" i="13"/>
  <c r="Y13" i="13"/>
  <c r="X56" i="13"/>
  <c r="V56" i="13"/>
  <c r="T56" i="13"/>
  <c r="P56" i="13"/>
  <c r="O56" i="13"/>
  <c r="N56" i="13"/>
  <c r="M56" i="13"/>
  <c r="V55" i="13"/>
  <c r="U55" i="13"/>
  <c r="T55" i="13"/>
  <c r="P55" i="13"/>
  <c r="O55" i="13"/>
  <c r="N55" i="13"/>
  <c r="M55" i="13"/>
  <c r="X54" i="13"/>
  <c r="V54" i="13"/>
  <c r="U54" i="13"/>
  <c r="T54" i="13"/>
  <c r="P54" i="13"/>
  <c r="O54" i="13"/>
  <c r="N54" i="13"/>
  <c r="M54" i="13"/>
  <c r="Y16" i="12"/>
  <c r="Y15" i="12"/>
  <c r="Y13" i="12"/>
  <c r="X56" i="12"/>
  <c r="V56" i="12"/>
  <c r="T56" i="12"/>
  <c r="P56" i="12"/>
  <c r="O56" i="12"/>
  <c r="N56" i="12"/>
  <c r="M56" i="12"/>
  <c r="V55" i="12"/>
  <c r="U55" i="12"/>
  <c r="T55" i="12"/>
  <c r="P55" i="12"/>
  <c r="O55" i="12"/>
  <c r="N55" i="12"/>
  <c r="M55" i="12"/>
  <c r="X54" i="12"/>
  <c r="V54" i="12"/>
  <c r="V58" i="12" s="1"/>
  <c r="U54" i="12"/>
  <c r="U58" i="12" s="1"/>
  <c r="T54" i="12"/>
  <c r="T58" i="12" s="1"/>
  <c r="P54" i="12"/>
  <c r="O54" i="12"/>
  <c r="N54" i="12"/>
  <c r="N58" i="12" s="1"/>
  <c r="M54" i="12"/>
  <c r="Y51" i="11"/>
  <c r="Y50" i="11"/>
  <c r="Y49" i="11"/>
  <c r="Y48" i="11"/>
  <c r="Y47" i="11"/>
  <c r="Y46" i="11"/>
  <c r="Y45" i="11"/>
  <c r="Y44" i="11"/>
  <c r="Y43" i="11"/>
  <c r="Y42" i="11"/>
  <c r="Y41" i="11"/>
  <c r="Y40" i="11"/>
  <c r="Y39" i="11"/>
  <c r="Y38" i="11"/>
  <c r="Y37" i="11"/>
  <c r="Y36" i="11"/>
  <c r="Y35" i="11"/>
  <c r="Y34" i="11"/>
  <c r="Y33" i="11"/>
  <c r="Y32" i="11"/>
  <c r="Y31" i="11"/>
  <c r="Y30" i="11"/>
  <c r="Y29" i="11"/>
  <c r="Y28" i="11"/>
  <c r="Y27" i="11"/>
  <c r="Y26" i="11"/>
  <c r="Y25" i="11"/>
  <c r="Y24" i="11"/>
  <c r="Y23" i="11"/>
  <c r="Y22" i="11"/>
  <c r="Y21" i="11"/>
  <c r="Y20" i="11"/>
  <c r="Y19" i="11"/>
  <c r="Y18" i="11"/>
  <c r="Y17" i="11"/>
  <c r="AA16" i="11"/>
  <c r="Y16" i="11"/>
  <c r="Y15" i="11"/>
  <c r="Y14" i="11"/>
  <c r="Y13" i="11"/>
  <c r="Y12" i="11"/>
  <c r="Y11" i="11"/>
  <c r="Y10" i="11"/>
  <c r="Y9" i="11"/>
  <c r="Y8" i="11"/>
  <c r="Y7" i="11"/>
  <c r="Y6" i="11"/>
  <c r="Y5" i="11"/>
  <c r="X56" i="11"/>
  <c r="V56" i="11"/>
  <c r="T56" i="11"/>
  <c r="P56" i="11"/>
  <c r="O56" i="11"/>
  <c r="N56" i="11"/>
  <c r="M56" i="11"/>
  <c r="V55" i="11"/>
  <c r="U55" i="11"/>
  <c r="T55" i="11"/>
  <c r="P55" i="11"/>
  <c r="O55" i="11"/>
  <c r="N55" i="11"/>
  <c r="M55" i="11"/>
  <c r="X54" i="11"/>
  <c r="V54" i="11"/>
  <c r="V58" i="11" s="1"/>
  <c r="U54" i="11"/>
  <c r="U58" i="11" s="1"/>
  <c r="T54" i="11"/>
  <c r="T58" i="11" s="1"/>
  <c r="P54" i="11"/>
  <c r="P58" i="11" s="1"/>
  <c r="O54" i="11"/>
  <c r="O58" i="11" s="1"/>
  <c r="N54" i="11"/>
  <c r="N58" i="11" s="1"/>
  <c r="M54" i="11"/>
  <c r="X56" i="10"/>
  <c r="X54" i="10"/>
  <c r="V56" i="10"/>
  <c r="V55" i="10"/>
  <c r="V54" i="10"/>
  <c r="U55" i="10"/>
  <c r="U54" i="10"/>
  <c r="T56" i="10"/>
  <c r="T55" i="10"/>
  <c r="T54" i="10"/>
  <c r="R57" i="10"/>
  <c r="R15" i="11" s="1"/>
  <c r="P56" i="10"/>
  <c r="P55" i="10"/>
  <c r="P54" i="10"/>
  <c r="O56" i="10"/>
  <c r="O55" i="10"/>
  <c r="O54" i="10"/>
  <c r="N56" i="10"/>
  <c r="N55" i="10"/>
  <c r="N54" i="10"/>
  <c r="M56" i="10"/>
  <c r="M55" i="10"/>
  <c r="M54" i="10"/>
  <c r="Z51" i="10"/>
  <c r="Z50" i="10"/>
  <c r="Z49" i="10"/>
  <c r="Z48" i="10"/>
  <c r="Z47" i="10"/>
  <c r="Z46" i="10"/>
  <c r="Z45" i="10"/>
  <c r="Z44" i="10"/>
  <c r="Z43" i="10"/>
  <c r="Z42" i="10"/>
  <c r="Z41" i="10"/>
  <c r="Z40" i="10"/>
  <c r="Z39" i="10"/>
  <c r="Z38" i="10"/>
  <c r="Z37" i="10"/>
  <c r="Z36" i="10"/>
  <c r="Z35" i="10"/>
  <c r="Z34" i="10"/>
  <c r="Z33" i="10"/>
  <c r="Z32" i="10"/>
  <c r="Z31" i="10"/>
  <c r="Z30" i="10"/>
  <c r="Z29" i="10"/>
  <c r="Z28" i="10"/>
  <c r="Z27" i="10"/>
  <c r="Z26" i="10"/>
  <c r="Z24" i="10"/>
  <c r="Z23" i="10"/>
  <c r="Z22" i="10"/>
  <c r="Z21" i="10"/>
  <c r="V51" i="10"/>
  <c r="V50" i="10"/>
  <c r="V49" i="10"/>
  <c r="V48" i="10"/>
  <c r="V47" i="10"/>
  <c r="V46" i="10"/>
  <c r="V45" i="10"/>
  <c r="V44" i="10"/>
  <c r="V43" i="10"/>
  <c r="V42" i="10"/>
  <c r="V41" i="10"/>
  <c r="V40" i="10"/>
  <c r="V39" i="10"/>
  <c r="V38" i="10"/>
  <c r="V37" i="10"/>
  <c r="V36" i="10"/>
  <c r="V35" i="10"/>
  <c r="V34" i="10"/>
  <c r="V33" i="10"/>
  <c r="V32" i="10"/>
  <c r="V31" i="10"/>
  <c r="V30" i="10"/>
  <c r="V29" i="10"/>
  <c r="V28" i="10"/>
  <c r="V27" i="10"/>
  <c r="V26" i="10"/>
  <c r="V24" i="10"/>
  <c r="V23" i="10"/>
  <c r="V22" i="10"/>
  <c r="V21" i="10"/>
  <c r="U51" i="10"/>
  <c r="U50" i="10"/>
  <c r="U49" i="10"/>
  <c r="U48" i="10"/>
  <c r="U47" i="10"/>
  <c r="U46" i="10"/>
  <c r="U45" i="10"/>
  <c r="U44" i="10"/>
  <c r="U43" i="10"/>
  <c r="U42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4" i="10"/>
  <c r="U23" i="10"/>
  <c r="U22" i="10"/>
  <c r="U21" i="10"/>
  <c r="T51" i="10"/>
  <c r="T50" i="10"/>
  <c r="T49" i="10"/>
  <c r="T48" i="10"/>
  <c r="T47" i="10"/>
  <c r="T46" i="10"/>
  <c r="T45" i="10"/>
  <c r="T44" i="10"/>
  <c r="T43" i="10"/>
  <c r="T42" i="10"/>
  <c r="T41" i="10"/>
  <c r="T40" i="10"/>
  <c r="T39" i="10"/>
  <c r="T38" i="10"/>
  <c r="T37" i="10"/>
  <c r="T36" i="10"/>
  <c r="T35" i="10"/>
  <c r="T34" i="10"/>
  <c r="T33" i="10"/>
  <c r="T32" i="10"/>
  <c r="T31" i="10"/>
  <c r="T30" i="10"/>
  <c r="T29" i="10"/>
  <c r="T28" i="10"/>
  <c r="T27" i="10"/>
  <c r="T26" i="10"/>
  <c r="T24" i="10"/>
  <c r="T23" i="10"/>
  <c r="T22" i="10"/>
  <c r="T21" i="10"/>
  <c r="R51" i="10"/>
  <c r="R50" i="10"/>
  <c r="R49" i="10"/>
  <c r="R48" i="10"/>
  <c r="R47" i="10"/>
  <c r="R46" i="10"/>
  <c r="R45" i="10"/>
  <c r="R44" i="10"/>
  <c r="R43" i="10"/>
  <c r="R42" i="10"/>
  <c r="R41" i="10"/>
  <c r="R40" i="10"/>
  <c r="R39" i="10"/>
  <c r="R38" i="10"/>
  <c r="R37" i="10"/>
  <c r="R36" i="10"/>
  <c r="R35" i="10"/>
  <c r="R34" i="10"/>
  <c r="R33" i="10"/>
  <c r="R32" i="10"/>
  <c r="R31" i="10"/>
  <c r="R30" i="10"/>
  <c r="R29" i="10"/>
  <c r="R28" i="10"/>
  <c r="R27" i="10"/>
  <c r="R26" i="10"/>
  <c r="R24" i="10"/>
  <c r="R23" i="10"/>
  <c r="R22" i="10"/>
  <c r="R21" i="10"/>
  <c r="P51" i="10"/>
  <c r="P50" i="10"/>
  <c r="P49" i="10"/>
  <c r="P48" i="10"/>
  <c r="P47" i="10"/>
  <c r="P46" i="10"/>
  <c r="P45" i="10"/>
  <c r="P44" i="10"/>
  <c r="P43" i="10"/>
  <c r="P42" i="10"/>
  <c r="P41" i="10"/>
  <c r="P40" i="10"/>
  <c r="P39" i="10"/>
  <c r="P38" i="10"/>
  <c r="P37" i="10"/>
  <c r="P36" i="10"/>
  <c r="P35" i="10"/>
  <c r="P34" i="10"/>
  <c r="P33" i="10"/>
  <c r="P32" i="10"/>
  <c r="P31" i="10"/>
  <c r="P30" i="10"/>
  <c r="P29" i="10"/>
  <c r="P28" i="10"/>
  <c r="P27" i="10"/>
  <c r="P26" i="10"/>
  <c r="P24" i="10"/>
  <c r="P23" i="10"/>
  <c r="P22" i="10"/>
  <c r="P21" i="10"/>
  <c r="O51" i="10"/>
  <c r="O50" i="10"/>
  <c r="O49" i="10"/>
  <c r="O48" i="10"/>
  <c r="O47" i="10"/>
  <c r="O46" i="10"/>
  <c r="O45" i="10"/>
  <c r="O44" i="10"/>
  <c r="O43" i="10"/>
  <c r="O42" i="10"/>
  <c r="O41" i="10"/>
  <c r="O40" i="10"/>
  <c r="O39" i="10"/>
  <c r="O38" i="10"/>
  <c r="O37" i="10"/>
  <c r="O36" i="10"/>
  <c r="O35" i="10"/>
  <c r="O34" i="10"/>
  <c r="O33" i="10"/>
  <c r="O32" i="10"/>
  <c r="O31" i="10"/>
  <c r="O30" i="10"/>
  <c r="O29" i="10"/>
  <c r="O28" i="10"/>
  <c r="O27" i="10"/>
  <c r="O26" i="10"/>
  <c r="O24" i="10"/>
  <c r="O23" i="10"/>
  <c r="O22" i="10"/>
  <c r="O21" i="10"/>
  <c r="N51" i="10"/>
  <c r="N50" i="10"/>
  <c r="N49" i="10"/>
  <c r="N48" i="10"/>
  <c r="N47" i="10"/>
  <c r="N46" i="10"/>
  <c r="N45" i="10"/>
  <c r="N44" i="10"/>
  <c r="N43" i="10"/>
  <c r="N42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4" i="10"/>
  <c r="N23" i="10"/>
  <c r="N22" i="10"/>
  <c r="N21" i="10"/>
  <c r="M51" i="10"/>
  <c r="M50" i="10"/>
  <c r="M49" i="10"/>
  <c r="M48" i="10"/>
  <c r="M47" i="10"/>
  <c r="M46" i="10"/>
  <c r="M45" i="10"/>
  <c r="M44" i="10"/>
  <c r="M43" i="10"/>
  <c r="M42" i="10"/>
  <c r="M41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8" i="10"/>
  <c r="M27" i="10"/>
  <c r="M26" i="10"/>
  <c r="M24" i="10"/>
  <c r="M23" i="10"/>
  <c r="M22" i="10"/>
  <c r="M21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4" i="10"/>
  <c r="L23" i="10"/>
  <c r="L22" i="10"/>
  <c r="L21" i="10"/>
  <c r="AK73" i="9"/>
  <c r="AF73" i="9"/>
  <c r="AP71" i="9" s="1"/>
  <c r="AE73" i="9"/>
  <c r="AO71" i="9" s="1"/>
  <c r="AC73" i="9"/>
  <c r="Y73" i="9"/>
  <c r="X73" i="9"/>
  <c r="W73" i="9"/>
  <c r="S73" i="9"/>
  <c r="R73" i="9"/>
  <c r="Q73" i="9"/>
  <c r="P73" i="9"/>
  <c r="O73" i="9"/>
  <c r="M73" i="9"/>
  <c r="L73" i="9"/>
  <c r="AK72" i="9"/>
  <c r="AF72" i="9"/>
  <c r="AC72" i="9"/>
  <c r="AA72" i="9"/>
  <c r="Z72" i="9"/>
  <c r="Y72" i="9"/>
  <c r="X72" i="9"/>
  <c r="W72" i="9"/>
  <c r="V72" i="9"/>
  <c r="U72" i="9"/>
  <c r="S72" i="9"/>
  <c r="R72" i="9"/>
  <c r="Q72" i="9"/>
  <c r="P72" i="9"/>
  <c r="O72" i="9"/>
  <c r="M72" i="9"/>
  <c r="L72" i="9"/>
  <c r="AL74" i="8"/>
  <c r="AG74" i="8"/>
  <c r="AD74" i="8"/>
  <c r="AB74" i="8"/>
  <c r="T74" i="8"/>
  <c r="AK73" i="8"/>
  <c r="AF73" i="8"/>
  <c r="AE73" i="8"/>
  <c r="AC73" i="8"/>
  <c r="Y73" i="8"/>
  <c r="X73" i="8"/>
  <c r="W73" i="8"/>
  <c r="S73" i="8"/>
  <c r="R73" i="8"/>
  <c r="Q73" i="8"/>
  <c r="P73" i="8"/>
  <c r="O73" i="8"/>
  <c r="M73" i="8"/>
  <c r="L73" i="8"/>
  <c r="AK72" i="8"/>
  <c r="AF72" i="8"/>
  <c r="AP71" i="8" s="1"/>
  <c r="AC72" i="8"/>
  <c r="AA72" i="8"/>
  <c r="Z72" i="8"/>
  <c r="Y72" i="8"/>
  <c r="X72" i="8"/>
  <c r="W72" i="8"/>
  <c r="V72" i="8"/>
  <c r="U72" i="8"/>
  <c r="S72" i="8"/>
  <c r="R72" i="8"/>
  <c r="Q72" i="8"/>
  <c r="P72" i="8"/>
  <c r="O72" i="8"/>
  <c r="M72" i="8"/>
  <c r="L72" i="8"/>
  <c r="AL74" i="7"/>
  <c r="AG74" i="7"/>
  <c r="AD74" i="7"/>
  <c r="AB74" i="7"/>
  <c r="T74" i="7"/>
  <c r="AG68" i="7"/>
  <c r="Z68" i="7"/>
  <c r="AG67" i="7"/>
  <c r="AA67" i="7"/>
  <c r="Z67" i="7"/>
  <c r="AG66" i="7"/>
  <c r="Z66" i="7"/>
  <c r="AG65" i="7"/>
  <c r="AA65" i="7"/>
  <c r="AG64" i="7"/>
  <c r="Z64" i="7"/>
  <c r="AG63" i="7"/>
  <c r="Z63" i="7"/>
  <c r="AG62" i="7"/>
  <c r="AA62" i="7"/>
  <c r="Z62" i="7"/>
  <c r="AG61" i="7"/>
  <c r="Z61" i="7"/>
  <c r="AG60" i="7"/>
  <c r="Z60" i="7"/>
  <c r="AG59" i="7"/>
  <c r="AA59" i="7"/>
  <c r="AG58" i="7"/>
  <c r="Z58" i="7"/>
  <c r="AG57" i="7"/>
  <c r="AA57" i="7"/>
  <c r="Z57" i="7"/>
  <c r="AG56" i="7"/>
  <c r="Z56" i="7"/>
  <c r="AG55" i="7"/>
  <c r="Z55" i="7"/>
  <c r="AG54" i="7"/>
  <c r="AA54" i="7"/>
  <c r="Z54" i="7"/>
  <c r="AG53" i="7"/>
  <c r="Z53" i="7"/>
  <c r="AG52" i="7"/>
  <c r="Z52" i="7"/>
  <c r="AG51" i="7"/>
  <c r="AA51" i="7"/>
  <c r="Z51" i="7"/>
  <c r="AG50" i="7"/>
  <c r="Z50" i="7"/>
  <c r="AG49" i="7"/>
  <c r="AA49" i="7"/>
  <c r="AG48" i="7"/>
  <c r="Z48" i="7"/>
  <c r="AG47" i="7"/>
  <c r="Z47" i="7"/>
  <c r="AG46" i="7"/>
  <c r="AA46" i="7"/>
  <c r="Z46" i="7"/>
  <c r="AG45" i="7"/>
  <c r="Z45" i="7"/>
  <c r="AG44" i="7"/>
  <c r="Z44" i="7"/>
  <c r="AG43" i="7"/>
  <c r="AA43" i="7"/>
  <c r="AG42" i="7"/>
  <c r="AA42" i="7"/>
  <c r="Z42" i="7"/>
  <c r="AG41" i="7"/>
  <c r="AA41" i="7"/>
  <c r="Z41" i="7"/>
  <c r="AG40" i="7"/>
  <c r="Z40" i="7"/>
  <c r="AG39" i="7"/>
  <c r="Z39" i="7"/>
  <c r="AG38" i="7"/>
  <c r="AA38" i="7"/>
  <c r="Z38" i="7"/>
  <c r="AG37" i="7"/>
  <c r="Z37" i="7"/>
  <c r="AG36" i="7"/>
  <c r="Z36" i="7"/>
  <c r="AG35" i="7"/>
  <c r="AA35" i="7"/>
  <c r="AG34" i="7"/>
  <c r="AA34" i="7"/>
  <c r="Z34" i="7"/>
  <c r="AG33" i="7"/>
  <c r="AA33" i="7"/>
  <c r="AG32" i="7"/>
  <c r="AG31" i="7"/>
  <c r="AG30" i="7"/>
  <c r="AG29" i="7"/>
  <c r="AG28" i="7"/>
  <c r="AG27" i="7"/>
  <c r="Z27" i="7"/>
  <c r="AG26" i="7"/>
  <c r="AA26" i="7"/>
  <c r="AG25" i="7"/>
  <c r="AA25" i="7"/>
  <c r="AG24" i="7"/>
  <c r="AG23" i="7"/>
  <c r="AA23" i="7"/>
  <c r="AG22" i="7"/>
  <c r="AG21" i="7"/>
  <c r="AA21" i="7"/>
  <c r="Z21" i="7"/>
  <c r="AG20" i="7"/>
  <c r="Z20" i="7"/>
  <c r="AG19" i="7"/>
  <c r="AA19" i="7"/>
  <c r="AG18" i="7"/>
  <c r="AG17" i="7"/>
  <c r="AG16" i="7"/>
  <c r="AG15" i="7"/>
  <c r="AG14" i="7"/>
  <c r="AG13" i="7"/>
  <c r="Z13" i="7"/>
  <c r="AG12" i="7"/>
  <c r="Z12" i="7"/>
  <c r="AG11" i="7"/>
  <c r="AA11" i="7"/>
  <c r="AG10" i="7"/>
  <c r="AG9" i="7"/>
  <c r="AA9" i="7"/>
  <c r="AG8" i="7"/>
  <c r="AG7" i="7"/>
  <c r="AA7" i="7"/>
  <c r="Z7" i="7"/>
  <c r="AG6" i="7"/>
  <c r="AA6" i="7"/>
  <c r="AG5" i="7"/>
  <c r="Z5" i="7"/>
  <c r="AK73" i="7"/>
  <c r="AF73" i="7"/>
  <c r="AE73" i="7"/>
  <c r="AC73" i="7"/>
  <c r="Y73" i="7"/>
  <c r="X73" i="7"/>
  <c r="W73" i="7"/>
  <c r="S73" i="7"/>
  <c r="R73" i="7"/>
  <c r="Q73" i="7"/>
  <c r="P73" i="7"/>
  <c r="O73" i="7"/>
  <c r="M73" i="7"/>
  <c r="L73" i="7"/>
  <c r="AK72" i="7"/>
  <c r="AF72" i="7"/>
  <c r="AC72" i="7"/>
  <c r="AA72" i="7"/>
  <c r="Z72" i="7"/>
  <c r="Y72" i="7"/>
  <c r="X72" i="7"/>
  <c r="W72" i="7"/>
  <c r="V72" i="7"/>
  <c r="U72" i="7"/>
  <c r="S72" i="7"/>
  <c r="R72" i="7"/>
  <c r="Q72" i="7"/>
  <c r="P72" i="7"/>
  <c r="O72" i="7"/>
  <c r="M72" i="7"/>
  <c r="L72" i="7"/>
  <c r="AP68" i="7"/>
  <c r="AP67" i="7"/>
  <c r="AP66" i="7"/>
  <c r="AP65" i="7"/>
  <c r="AP64" i="7"/>
  <c r="AP63" i="7"/>
  <c r="AP62" i="7"/>
  <c r="AP61" i="7"/>
  <c r="AP60" i="7"/>
  <c r="AP59" i="7"/>
  <c r="AP58" i="7"/>
  <c r="AP57" i="7"/>
  <c r="AP56" i="7"/>
  <c r="AP55" i="7"/>
  <c r="AP54" i="7"/>
  <c r="AP53" i="7"/>
  <c r="AP52" i="7"/>
  <c r="AP51" i="7"/>
  <c r="AP50" i="7"/>
  <c r="AP49" i="7"/>
  <c r="AP48" i="7"/>
  <c r="AP47" i="7"/>
  <c r="AP46" i="7"/>
  <c r="AP45" i="7"/>
  <c r="AP44" i="7"/>
  <c r="AP43" i="7"/>
  <c r="AP41" i="7"/>
  <c r="AP40" i="7"/>
  <c r="AP39" i="7"/>
  <c r="AP38" i="7"/>
  <c r="AA73" i="6"/>
  <c r="Z73" i="6"/>
  <c r="AK75" i="6"/>
  <c r="AK74" i="6"/>
  <c r="AK73" i="6"/>
  <c r="AF75" i="6"/>
  <c r="AF74" i="6"/>
  <c r="AF73" i="6"/>
  <c r="AE75" i="6"/>
  <c r="AE73" i="6"/>
  <c r="AC75" i="6"/>
  <c r="AC74" i="6"/>
  <c r="AC73" i="6"/>
  <c r="AA74" i="6"/>
  <c r="Z74" i="6"/>
  <c r="Y75" i="6"/>
  <c r="Y74" i="6"/>
  <c r="X75" i="6"/>
  <c r="X74" i="6"/>
  <c r="X73" i="6"/>
  <c r="W75" i="6"/>
  <c r="W74" i="6"/>
  <c r="V74" i="6"/>
  <c r="U74" i="6"/>
  <c r="U73" i="6"/>
  <c r="S75" i="6"/>
  <c r="S74" i="6"/>
  <c r="S73" i="6"/>
  <c r="R75" i="6"/>
  <c r="R74" i="6"/>
  <c r="R73" i="6"/>
  <c r="Q75" i="6"/>
  <c r="Q74" i="6"/>
  <c r="Q73" i="6"/>
  <c r="P75" i="6"/>
  <c r="P74" i="6"/>
  <c r="P73" i="6"/>
  <c r="O75" i="6"/>
  <c r="O74" i="6"/>
  <c r="O73" i="6"/>
  <c r="M75" i="6"/>
  <c r="M74" i="6"/>
  <c r="M73" i="6"/>
  <c r="L75" i="6"/>
  <c r="L74" i="6"/>
  <c r="L73" i="6"/>
  <c r="AK33" i="6"/>
  <c r="AK32" i="6"/>
  <c r="AK27" i="6"/>
  <c r="AK26" i="6"/>
  <c r="AK25" i="6"/>
  <c r="AK24" i="6"/>
  <c r="AK23" i="6"/>
  <c r="AK20" i="6"/>
  <c r="AK19" i="6"/>
  <c r="AK14" i="6"/>
  <c r="AK13" i="6"/>
  <c r="AK10" i="6"/>
  <c r="AK9" i="6"/>
  <c r="AK6" i="6"/>
  <c r="AK5" i="6"/>
  <c r="AI68" i="6"/>
  <c r="AI67" i="6"/>
  <c r="AI66" i="6"/>
  <c r="AI65" i="6"/>
  <c r="AI64" i="6"/>
  <c r="AI63" i="6"/>
  <c r="AI62" i="6"/>
  <c r="AI61" i="6"/>
  <c r="AI60" i="6"/>
  <c r="AI59" i="6"/>
  <c r="AI58" i="6"/>
  <c r="AI57" i="6"/>
  <c r="AI56" i="6"/>
  <c r="AI55" i="6"/>
  <c r="AI54" i="6"/>
  <c r="AI53" i="6"/>
  <c r="AI52" i="6"/>
  <c r="AI51" i="6"/>
  <c r="AI50" i="6"/>
  <c r="AI49" i="6"/>
  <c r="AI48" i="6"/>
  <c r="AI47" i="6"/>
  <c r="AI46" i="6"/>
  <c r="AI45" i="6"/>
  <c r="AI44" i="6"/>
  <c r="AI43" i="6"/>
  <c r="AI41" i="6"/>
  <c r="AI40" i="6"/>
  <c r="AI39" i="6"/>
  <c r="AI38" i="6"/>
  <c r="AH68" i="6"/>
  <c r="AH67" i="6"/>
  <c r="AH66" i="6"/>
  <c r="AH65" i="6"/>
  <c r="AH64" i="6"/>
  <c r="AH63" i="6"/>
  <c r="AH62" i="6"/>
  <c r="AH61" i="6"/>
  <c r="AH60" i="6"/>
  <c r="AH59" i="6"/>
  <c r="AH58" i="6"/>
  <c r="AH57" i="6"/>
  <c r="AH56" i="6"/>
  <c r="AH55" i="6"/>
  <c r="AH54" i="6"/>
  <c r="AH53" i="6"/>
  <c r="AH52" i="6"/>
  <c r="AH51" i="6"/>
  <c r="AH50" i="6"/>
  <c r="AH49" i="6"/>
  <c r="AH48" i="6"/>
  <c r="AH47" i="6"/>
  <c r="AH46" i="6"/>
  <c r="AH45" i="6"/>
  <c r="AH44" i="6"/>
  <c r="AH43" i="6"/>
  <c r="AH41" i="6"/>
  <c r="AH40" i="6"/>
  <c r="AH39" i="6"/>
  <c r="AH38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1" i="6"/>
  <c r="S40" i="6"/>
  <c r="S39" i="6"/>
  <c r="S38" i="6"/>
  <c r="R68" i="6"/>
  <c r="R67" i="6"/>
  <c r="R66" i="6"/>
  <c r="R65" i="6"/>
  <c r="R64" i="6"/>
  <c r="R63" i="6"/>
  <c r="R62" i="6"/>
  <c r="R61" i="6"/>
  <c r="R60" i="6"/>
  <c r="R59" i="6"/>
  <c r="R58" i="6"/>
  <c r="R57" i="6"/>
  <c r="R56" i="6"/>
  <c r="R55" i="6"/>
  <c r="R54" i="6"/>
  <c r="R53" i="6"/>
  <c r="R52" i="6"/>
  <c r="R51" i="6"/>
  <c r="R50" i="6"/>
  <c r="R49" i="6"/>
  <c r="R48" i="6"/>
  <c r="R47" i="6"/>
  <c r="Q68" i="6"/>
  <c r="Q67" i="6"/>
  <c r="Q66" i="6"/>
  <c r="Q65" i="6"/>
  <c r="Q64" i="6"/>
  <c r="Q63" i="6"/>
  <c r="Q62" i="6"/>
  <c r="Q61" i="6"/>
  <c r="Q60" i="6"/>
  <c r="Q59" i="6"/>
  <c r="Q58" i="6"/>
  <c r="Q57" i="6"/>
  <c r="Q56" i="6"/>
  <c r="Q55" i="6"/>
  <c r="Q54" i="6"/>
  <c r="Q53" i="6"/>
  <c r="Q52" i="6"/>
  <c r="Q51" i="6"/>
  <c r="Q50" i="6"/>
  <c r="Q49" i="6"/>
  <c r="Q48" i="6"/>
  <c r="Q47" i="6"/>
  <c r="Q42" i="6"/>
  <c r="Q37" i="6"/>
  <c r="Q36" i="6"/>
  <c r="Q35" i="6"/>
  <c r="Q34" i="6"/>
  <c r="Q29" i="6"/>
  <c r="Q28" i="6"/>
  <c r="Q21" i="6"/>
  <c r="Q16" i="6"/>
  <c r="Q15" i="6"/>
  <c r="Q11" i="6"/>
  <c r="Q7" i="6"/>
  <c r="P68" i="6"/>
  <c r="P67" i="6"/>
  <c r="P66" i="6"/>
  <c r="P65" i="6"/>
  <c r="P64" i="6"/>
  <c r="P63" i="6"/>
  <c r="P62" i="6"/>
  <c r="P61" i="6"/>
  <c r="P60" i="6"/>
  <c r="P59" i="6"/>
  <c r="P58" i="6"/>
  <c r="P57" i="6"/>
  <c r="P56" i="6"/>
  <c r="P55" i="6"/>
  <c r="P54" i="6"/>
  <c r="P53" i="6"/>
  <c r="P52" i="6"/>
  <c r="P51" i="6"/>
  <c r="P50" i="6"/>
  <c r="P49" i="6"/>
  <c r="P48" i="6"/>
  <c r="P47" i="6"/>
  <c r="O68" i="6"/>
  <c r="O67" i="6"/>
  <c r="O66" i="6"/>
  <c r="O65" i="6"/>
  <c r="O64" i="6"/>
  <c r="O63" i="6"/>
  <c r="O62" i="6"/>
  <c r="O61" i="6"/>
  <c r="O60" i="6"/>
  <c r="O59" i="6"/>
  <c r="O58" i="6"/>
  <c r="O57" i="6"/>
  <c r="O56" i="6"/>
  <c r="O55" i="6"/>
  <c r="O54" i="6"/>
  <c r="O53" i="6"/>
  <c r="O52" i="6"/>
  <c r="O51" i="6"/>
  <c r="O50" i="6"/>
  <c r="O49" i="6"/>
  <c r="O48" i="6"/>
  <c r="O47" i="6"/>
  <c r="O46" i="6"/>
  <c r="O45" i="6"/>
  <c r="O44" i="6"/>
  <c r="O43" i="6"/>
  <c r="O41" i="6"/>
  <c r="O40" i="6"/>
  <c r="O39" i="6"/>
  <c r="O38" i="6"/>
  <c r="N33" i="6"/>
  <c r="N32" i="6"/>
  <c r="N26" i="6"/>
  <c r="N13" i="6"/>
  <c r="AP68" i="6"/>
  <c r="AP67" i="6"/>
  <c r="AP66" i="6"/>
  <c r="AP65" i="6"/>
  <c r="AP64" i="6"/>
  <c r="AP63" i="6"/>
  <c r="AP62" i="6"/>
  <c r="AP61" i="6"/>
  <c r="AP60" i="6"/>
  <c r="AP59" i="6"/>
  <c r="AP58" i="6"/>
  <c r="AP57" i="6"/>
  <c r="AP56" i="6"/>
  <c r="AP55" i="6"/>
  <c r="AP54" i="6"/>
  <c r="AP53" i="6"/>
  <c r="AP52" i="6"/>
  <c r="AP51" i="6"/>
  <c r="AP50" i="6"/>
  <c r="AP49" i="6"/>
  <c r="AP48" i="6"/>
  <c r="AP47" i="6"/>
  <c r="AP46" i="6"/>
  <c r="AP45" i="6"/>
  <c r="AP44" i="6"/>
  <c r="AP43" i="6"/>
  <c r="AP41" i="6"/>
  <c r="AP40" i="6"/>
  <c r="AP39" i="6"/>
  <c r="AP38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2" i="6"/>
  <c r="L37" i="6"/>
  <c r="L36" i="6"/>
  <c r="L35" i="6"/>
  <c r="L34" i="6"/>
  <c r="L29" i="6"/>
  <c r="L28" i="6"/>
  <c r="L21" i="6"/>
  <c r="L16" i="6"/>
  <c r="L15" i="6"/>
  <c r="L11" i="6"/>
  <c r="L7" i="6"/>
  <c r="AJ73" i="6"/>
  <c r="AI72" i="7"/>
  <c r="AI73" i="6"/>
  <c r="AH73" i="7"/>
  <c r="AH72" i="7"/>
  <c r="AH73" i="6"/>
  <c r="W73" i="6"/>
  <c r="AA73" i="7"/>
  <c r="Z73" i="7"/>
  <c r="V73" i="7"/>
  <c r="F45" i="5"/>
  <c r="E45" i="5"/>
  <c r="F43" i="5"/>
  <c r="D43" i="5"/>
  <c r="E41" i="5"/>
  <c r="D41" i="5"/>
  <c r="F23" i="5"/>
  <c r="D23" i="5"/>
  <c r="AG73" i="6" s="1"/>
  <c r="F20" i="5"/>
  <c r="AD73" i="7" s="1"/>
  <c r="E20" i="5"/>
  <c r="AD72" i="7" s="1"/>
  <c r="D20" i="5"/>
  <c r="AD73" i="6" s="1"/>
  <c r="F18" i="5"/>
  <c r="AB75" i="6" s="1"/>
  <c r="E18" i="5"/>
  <c r="D18" i="5"/>
  <c r="AB73" i="6" s="1"/>
  <c r="T48" i="4"/>
  <c r="S48" i="4"/>
  <c r="R48" i="4"/>
  <c r="Q48" i="4"/>
  <c r="P48" i="4"/>
  <c r="O48" i="4"/>
  <c r="N48" i="4"/>
  <c r="M48" i="4"/>
  <c r="L48" i="4"/>
  <c r="K48" i="4"/>
  <c r="J48" i="4"/>
  <c r="I48" i="4"/>
  <c r="U48" i="4" s="1"/>
  <c r="T47" i="4"/>
  <c r="S47" i="4"/>
  <c r="R47" i="4"/>
  <c r="Q47" i="4"/>
  <c r="P47" i="4"/>
  <c r="O47" i="4"/>
  <c r="N47" i="4"/>
  <c r="M47" i="4"/>
  <c r="L47" i="4"/>
  <c r="K47" i="4"/>
  <c r="J47" i="4"/>
  <c r="I47" i="4"/>
  <c r="U47" i="4" s="1"/>
  <c r="T46" i="4"/>
  <c r="S46" i="4"/>
  <c r="R46" i="4"/>
  <c r="Q46" i="4"/>
  <c r="P46" i="4"/>
  <c r="O46" i="4"/>
  <c r="N46" i="4"/>
  <c r="M46" i="4"/>
  <c r="L46" i="4"/>
  <c r="K46" i="4"/>
  <c r="J46" i="4"/>
  <c r="I46" i="4"/>
  <c r="U46" i="4" s="1"/>
  <c r="T45" i="4"/>
  <c r="S45" i="4"/>
  <c r="R45" i="4"/>
  <c r="Q45" i="4"/>
  <c r="P45" i="4"/>
  <c r="O45" i="4"/>
  <c r="N45" i="4"/>
  <c r="M45" i="4"/>
  <c r="L45" i="4"/>
  <c r="K45" i="4"/>
  <c r="J45" i="4"/>
  <c r="I45" i="4"/>
  <c r="T44" i="4"/>
  <c r="S44" i="4"/>
  <c r="R44" i="4"/>
  <c r="Q44" i="4"/>
  <c r="P44" i="4"/>
  <c r="O44" i="4"/>
  <c r="N44" i="4"/>
  <c r="M44" i="4"/>
  <c r="L44" i="4"/>
  <c r="K44" i="4"/>
  <c r="J44" i="4"/>
  <c r="I44" i="4"/>
  <c r="T43" i="4"/>
  <c r="S43" i="4"/>
  <c r="R43" i="4"/>
  <c r="Q43" i="4"/>
  <c r="P43" i="4"/>
  <c r="O43" i="4"/>
  <c r="N43" i="4"/>
  <c r="M43" i="4"/>
  <c r="L43" i="4"/>
  <c r="K43" i="4"/>
  <c r="J43" i="4"/>
  <c r="I43" i="4"/>
  <c r="T42" i="4"/>
  <c r="S42" i="4"/>
  <c r="R42" i="4"/>
  <c r="Q42" i="4"/>
  <c r="P42" i="4"/>
  <c r="O42" i="4"/>
  <c r="N42" i="4"/>
  <c r="M42" i="4"/>
  <c r="L42" i="4"/>
  <c r="K42" i="4"/>
  <c r="J42" i="4"/>
  <c r="I42" i="4"/>
  <c r="T41" i="4"/>
  <c r="S41" i="4"/>
  <c r="R41" i="4"/>
  <c r="Q41" i="4"/>
  <c r="P41" i="4"/>
  <c r="O41" i="4"/>
  <c r="N41" i="4"/>
  <c r="M41" i="4"/>
  <c r="L41" i="4"/>
  <c r="K41" i="4"/>
  <c r="J41" i="4"/>
  <c r="I41" i="4"/>
  <c r="T40" i="4"/>
  <c r="S40" i="4"/>
  <c r="R40" i="4"/>
  <c r="Q40" i="4"/>
  <c r="P40" i="4"/>
  <c r="O40" i="4"/>
  <c r="N40" i="4"/>
  <c r="M40" i="4"/>
  <c r="L40" i="4"/>
  <c r="K40" i="4"/>
  <c r="J40" i="4"/>
  <c r="I40" i="4"/>
  <c r="T39" i="4"/>
  <c r="S39" i="4"/>
  <c r="R39" i="4"/>
  <c r="Q39" i="4"/>
  <c r="P39" i="4"/>
  <c r="O39" i="4"/>
  <c r="N39" i="4"/>
  <c r="M39" i="4"/>
  <c r="L39" i="4"/>
  <c r="K39" i="4"/>
  <c r="J39" i="4"/>
  <c r="I39" i="4"/>
  <c r="T38" i="4"/>
  <c r="S38" i="4"/>
  <c r="R38" i="4"/>
  <c r="Q38" i="4"/>
  <c r="P38" i="4"/>
  <c r="O38" i="4"/>
  <c r="N38" i="4"/>
  <c r="M38" i="4"/>
  <c r="L38" i="4"/>
  <c r="K38" i="4"/>
  <c r="J38" i="4"/>
  <c r="I38" i="4"/>
  <c r="T37" i="4"/>
  <c r="S37" i="4"/>
  <c r="R37" i="4"/>
  <c r="Q37" i="4"/>
  <c r="P37" i="4"/>
  <c r="O37" i="4"/>
  <c r="N37" i="4"/>
  <c r="M37" i="4"/>
  <c r="L37" i="4"/>
  <c r="K37" i="4"/>
  <c r="J37" i="4"/>
  <c r="I37" i="4"/>
  <c r="T36" i="4"/>
  <c r="S36" i="4"/>
  <c r="R36" i="4"/>
  <c r="Q36" i="4"/>
  <c r="P36" i="4"/>
  <c r="O36" i="4"/>
  <c r="N36" i="4"/>
  <c r="M36" i="4"/>
  <c r="L36" i="4"/>
  <c r="K36" i="4"/>
  <c r="J36" i="4"/>
  <c r="I36" i="4"/>
  <c r="T35" i="4"/>
  <c r="S35" i="4"/>
  <c r="R35" i="4"/>
  <c r="Q35" i="4"/>
  <c r="P35" i="4"/>
  <c r="O35" i="4"/>
  <c r="N35" i="4"/>
  <c r="M35" i="4"/>
  <c r="L35" i="4"/>
  <c r="K35" i="4"/>
  <c r="J35" i="4"/>
  <c r="I35" i="4"/>
  <c r="T34" i="4"/>
  <c r="S34" i="4"/>
  <c r="R34" i="4"/>
  <c r="Q34" i="4"/>
  <c r="P34" i="4"/>
  <c r="O34" i="4"/>
  <c r="N34" i="4"/>
  <c r="M34" i="4"/>
  <c r="L34" i="4"/>
  <c r="K34" i="4"/>
  <c r="J34" i="4"/>
  <c r="I34" i="4"/>
  <c r="T33" i="4"/>
  <c r="S33" i="4"/>
  <c r="R33" i="4"/>
  <c r="Q33" i="4"/>
  <c r="P33" i="4"/>
  <c r="O33" i="4"/>
  <c r="N33" i="4"/>
  <c r="M33" i="4"/>
  <c r="L33" i="4"/>
  <c r="K33" i="4"/>
  <c r="J33" i="4"/>
  <c r="I33" i="4"/>
  <c r="T32" i="4"/>
  <c r="S32" i="4"/>
  <c r="R32" i="4"/>
  <c r="Q32" i="4"/>
  <c r="P32" i="4"/>
  <c r="O32" i="4"/>
  <c r="N32" i="4"/>
  <c r="M32" i="4"/>
  <c r="L32" i="4"/>
  <c r="K32" i="4"/>
  <c r="J32" i="4"/>
  <c r="I32" i="4"/>
  <c r="T31" i="4"/>
  <c r="S31" i="4"/>
  <c r="R31" i="4"/>
  <c r="Q31" i="4"/>
  <c r="P31" i="4"/>
  <c r="O31" i="4"/>
  <c r="N31" i="4"/>
  <c r="M31" i="4"/>
  <c r="L31" i="4"/>
  <c r="K31" i="4"/>
  <c r="J31" i="4"/>
  <c r="I31" i="4"/>
  <c r="T30" i="4"/>
  <c r="S30" i="4"/>
  <c r="R30" i="4"/>
  <c r="Q30" i="4"/>
  <c r="P30" i="4"/>
  <c r="O30" i="4"/>
  <c r="N30" i="4"/>
  <c r="M30" i="4"/>
  <c r="L30" i="4"/>
  <c r="K30" i="4"/>
  <c r="J30" i="4"/>
  <c r="I30" i="4"/>
  <c r="T29" i="4"/>
  <c r="S29" i="4"/>
  <c r="R29" i="4"/>
  <c r="Q29" i="4"/>
  <c r="P29" i="4"/>
  <c r="O29" i="4"/>
  <c r="N29" i="4"/>
  <c r="M29" i="4"/>
  <c r="L29" i="4"/>
  <c r="K29" i="4"/>
  <c r="J29" i="4"/>
  <c r="I29" i="4"/>
  <c r="T28" i="4"/>
  <c r="S28" i="4"/>
  <c r="R28" i="4"/>
  <c r="Q28" i="4"/>
  <c r="P28" i="4"/>
  <c r="O28" i="4"/>
  <c r="N28" i="4"/>
  <c r="M28" i="4"/>
  <c r="L28" i="4"/>
  <c r="K28" i="4"/>
  <c r="J28" i="4"/>
  <c r="I28" i="4"/>
  <c r="T27" i="4"/>
  <c r="S27" i="4"/>
  <c r="R27" i="4"/>
  <c r="Q27" i="4"/>
  <c r="P27" i="4"/>
  <c r="O27" i="4"/>
  <c r="N27" i="4"/>
  <c r="M27" i="4"/>
  <c r="L27" i="4"/>
  <c r="K27" i="4"/>
  <c r="J27" i="4"/>
  <c r="I27" i="4"/>
  <c r="T26" i="4"/>
  <c r="S26" i="4"/>
  <c r="R26" i="4"/>
  <c r="Q26" i="4"/>
  <c r="P26" i="4"/>
  <c r="O26" i="4"/>
  <c r="N26" i="4"/>
  <c r="M26" i="4"/>
  <c r="L26" i="4"/>
  <c r="K26" i="4"/>
  <c r="J26" i="4"/>
  <c r="I26" i="4"/>
  <c r="T25" i="4"/>
  <c r="S25" i="4"/>
  <c r="R25" i="4"/>
  <c r="Q25" i="4"/>
  <c r="P25" i="4"/>
  <c r="O25" i="4"/>
  <c r="N25" i="4"/>
  <c r="M25" i="4"/>
  <c r="L25" i="4"/>
  <c r="K25" i="4"/>
  <c r="J25" i="4"/>
  <c r="I25" i="4"/>
  <c r="T24" i="4"/>
  <c r="S24" i="4"/>
  <c r="R24" i="4"/>
  <c r="Q24" i="4"/>
  <c r="P24" i="4"/>
  <c r="O24" i="4"/>
  <c r="N24" i="4"/>
  <c r="M24" i="4"/>
  <c r="L24" i="4"/>
  <c r="K24" i="4"/>
  <c r="J24" i="4"/>
  <c r="I24" i="4"/>
  <c r="T23" i="4"/>
  <c r="S23" i="4"/>
  <c r="R23" i="4"/>
  <c r="Q23" i="4"/>
  <c r="P23" i="4"/>
  <c r="O23" i="4"/>
  <c r="N23" i="4"/>
  <c r="M23" i="4"/>
  <c r="L23" i="4"/>
  <c r="K23" i="4"/>
  <c r="J23" i="4"/>
  <c r="I23" i="4"/>
  <c r="T22" i="4"/>
  <c r="S22" i="4"/>
  <c r="R22" i="4"/>
  <c r="Q22" i="4"/>
  <c r="P22" i="4"/>
  <c r="O22" i="4"/>
  <c r="N22" i="4"/>
  <c r="M22" i="4"/>
  <c r="L22" i="4"/>
  <c r="K22" i="4"/>
  <c r="J22" i="4"/>
  <c r="I22" i="4"/>
  <c r="T21" i="4"/>
  <c r="S21" i="4"/>
  <c r="R21" i="4"/>
  <c r="Q21" i="4"/>
  <c r="P21" i="4"/>
  <c r="O21" i="4"/>
  <c r="N21" i="4"/>
  <c r="M21" i="4"/>
  <c r="L21" i="4"/>
  <c r="K21" i="4"/>
  <c r="J21" i="4"/>
  <c r="I21" i="4"/>
  <c r="T20" i="4"/>
  <c r="S20" i="4"/>
  <c r="R20" i="4"/>
  <c r="Q20" i="4"/>
  <c r="P20" i="4"/>
  <c r="O20" i="4"/>
  <c r="N20" i="4"/>
  <c r="M20" i="4"/>
  <c r="L20" i="4"/>
  <c r="K20" i="4"/>
  <c r="J20" i="4"/>
  <c r="I20" i="4"/>
  <c r="T19" i="4"/>
  <c r="S19" i="4"/>
  <c r="R19" i="4"/>
  <c r="Q19" i="4"/>
  <c r="P19" i="4"/>
  <c r="O19" i="4"/>
  <c r="N19" i="4"/>
  <c r="M19" i="4"/>
  <c r="L19" i="4"/>
  <c r="K19" i="4"/>
  <c r="J19" i="4"/>
  <c r="I19" i="4"/>
  <c r="T18" i="4"/>
  <c r="S18" i="4"/>
  <c r="R18" i="4"/>
  <c r="Q18" i="4"/>
  <c r="P18" i="4"/>
  <c r="O18" i="4"/>
  <c r="N18" i="4"/>
  <c r="M18" i="4"/>
  <c r="L18" i="4"/>
  <c r="K18" i="4"/>
  <c r="J18" i="4"/>
  <c r="I18" i="4"/>
  <c r="T17" i="4"/>
  <c r="S17" i="4"/>
  <c r="R17" i="4"/>
  <c r="Q17" i="4"/>
  <c r="P17" i="4"/>
  <c r="O17" i="4"/>
  <c r="N17" i="4"/>
  <c r="M17" i="4"/>
  <c r="L17" i="4"/>
  <c r="K17" i="4"/>
  <c r="J17" i="4"/>
  <c r="I17" i="4"/>
  <c r="T16" i="4"/>
  <c r="S16" i="4"/>
  <c r="R16" i="4"/>
  <c r="Q16" i="4"/>
  <c r="P16" i="4"/>
  <c r="O16" i="4"/>
  <c r="N16" i="4"/>
  <c r="M16" i="4"/>
  <c r="L16" i="4"/>
  <c r="K16" i="4"/>
  <c r="J16" i="4"/>
  <c r="I16" i="4"/>
  <c r="T15" i="4"/>
  <c r="S15" i="4"/>
  <c r="R15" i="4"/>
  <c r="Q15" i="4"/>
  <c r="P15" i="4"/>
  <c r="O15" i="4"/>
  <c r="N15" i="4"/>
  <c r="M15" i="4"/>
  <c r="L15" i="4"/>
  <c r="K15" i="4"/>
  <c r="J15" i="4"/>
  <c r="I15" i="4"/>
  <c r="T14" i="4"/>
  <c r="S14" i="4"/>
  <c r="R14" i="4"/>
  <c r="Q14" i="4"/>
  <c r="P14" i="4"/>
  <c r="O14" i="4"/>
  <c r="N14" i="4"/>
  <c r="M14" i="4"/>
  <c r="L14" i="4"/>
  <c r="K14" i="4"/>
  <c r="J14" i="4"/>
  <c r="I14" i="4"/>
  <c r="T13" i="4"/>
  <c r="S13" i="4"/>
  <c r="R13" i="4"/>
  <c r="Q13" i="4"/>
  <c r="P13" i="4"/>
  <c r="O13" i="4"/>
  <c r="N13" i="4"/>
  <c r="M13" i="4"/>
  <c r="L13" i="4"/>
  <c r="K13" i="4"/>
  <c r="J13" i="4"/>
  <c r="I13" i="4"/>
  <c r="T12" i="4"/>
  <c r="S12" i="4"/>
  <c r="R12" i="4"/>
  <c r="Q12" i="4"/>
  <c r="P12" i="4"/>
  <c r="O12" i="4"/>
  <c r="N12" i="4"/>
  <c r="M12" i="4"/>
  <c r="L12" i="4"/>
  <c r="K12" i="4"/>
  <c r="J12" i="4"/>
  <c r="I12" i="4"/>
  <c r="T11" i="4"/>
  <c r="S11" i="4"/>
  <c r="R11" i="4"/>
  <c r="Q11" i="4"/>
  <c r="P11" i="4"/>
  <c r="O11" i="4"/>
  <c r="N11" i="4"/>
  <c r="M11" i="4"/>
  <c r="L11" i="4"/>
  <c r="K11" i="4"/>
  <c r="J11" i="4"/>
  <c r="I11" i="4"/>
  <c r="T10" i="4"/>
  <c r="S10" i="4"/>
  <c r="R10" i="4"/>
  <c r="Q10" i="4"/>
  <c r="P10" i="4"/>
  <c r="O10" i="4"/>
  <c r="N10" i="4"/>
  <c r="M10" i="4"/>
  <c r="L10" i="4"/>
  <c r="K10" i="4"/>
  <c r="J10" i="4"/>
  <c r="I10" i="4"/>
  <c r="T9" i="4"/>
  <c r="S9" i="4"/>
  <c r="R9" i="4"/>
  <c r="Q9" i="4"/>
  <c r="P9" i="4"/>
  <c r="O9" i="4"/>
  <c r="N9" i="4"/>
  <c r="M9" i="4"/>
  <c r="L9" i="4"/>
  <c r="K9" i="4"/>
  <c r="J9" i="4"/>
  <c r="I9" i="4"/>
  <c r="T8" i="4"/>
  <c r="S8" i="4"/>
  <c r="R8" i="4"/>
  <c r="Q8" i="4"/>
  <c r="P8" i="4"/>
  <c r="O8" i="4"/>
  <c r="N8" i="4"/>
  <c r="M8" i="4"/>
  <c r="L8" i="4"/>
  <c r="K8" i="4"/>
  <c r="J8" i="4"/>
  <c r="I8" i="4"/>
  <c r="T7" i="4"/>
  <c r="S7" i="4"/>
  <c r="R7" i="4"/>
  <c r="Q7" i="4"/>
  <c r="P7" i="4"/>
  <c r="O7" i="4"/>
  <c r="N7" i="4"/>
  <c r="M7" i="4"/>
  <c r="L7" i="4"/>
  <c r="K7" i="4"/>
  <c r="J7" i="4"/>
  <c r="I7" i="4"/>
  <c r="T6" i="4"/>
  <c r="S6" i="4"/>
  <c r="R6" i="4"/>
  <c r="Q6" i="4"/>
  <c r="P6" i="4"/>
  <c r="O6" i="4"/>
  <c r="N6" i="4"/>
  <c r="M6" i="4"/>
  <c r="L6" i="4"/>
  <c r="K6" i="4"/>
  <c r="J6" i="4"/>
  <c r="I6" i="4"/>
  <c r="T5" i="4"/>
  <c r="S5" i="4"/>
  <c r="R5" i="4"/>
  <c r="Q5" i="4"/>
  <c r="P5" i="4"/>
  <c r="O5" i="4"/>
  <c r="N5" i="4"/>
  <c r="M5" i="4"/>
  <c r="L5" i="4"/>
  <c r="K5" i="4"/>
  <c r="J5" i="4"/>
  <c r="I5" i="4"/>
  <c r="T4" i="4"/>
  <c r="S4" i="4"/>
  <c r="R4" i="4"/>
  <c r="Q4" i="4"/>
  <c r="P4" i="4"/>
  <c r="O4" i="4"/>
  <c r="N4" i="4"/>
  <c r="M4" i="4"/>
  <c r="L4" i="4"/>
  <c r="K4" i="4"/>
  <c r="J4" i="4"/>
  <c r="I4" i="4"/>
  <c r="T3" i="4"/>
  <c r="S3" i="4"/>
  <c r="R3" i="4"/>
  <c r="Q3" i="4"/>
  <c r="P3" i="4"/>
  <c r="O3" i="4"/>
  <c r="N3" i="4"/>
  <c r="M3" i="4"/>
  <c r="L3" i="4"/>
  <c r="K3" i="4"/>
  <c r="J3" i="4"/>
  <c r="I3" i="4"/>
  <c r="T2" i="4"/>
  <c r="S2" i="4"/>
  <c r="R2" i="4"/>
  <c r="Q2" i="4"/>
  <c r="P2" i="4"/>
  <c r="O2" i="4"/>
  <c r="N2" i="4"/>
  <c r="M2" i="4"/>
  <c r="L2" i="4"/>
  <c r="K2" i="4"/>
  <c r="J2" i="4"/>
  <c r="I2" i="4"/>
  <c r="T65" i="3"/>
  <c r="S65" i="3"/>
  <c r="R65" i="3"/>
  <c r="Q65" i="3"/>
  <c r="P65" i="3"/>
  <c r="O65" i="3"/>
  <c r="N65" i="3"/>
  <c r="M65" i="3"/>
  <c r="L65" i="3"/>
  <c r="K65" i="3"/>
  <c r="J65" i="3"/>
  <c r="I65" i="3"/>
  <c r="T64" i="3"/>
  <c r="S64" i="3"/>
  <c r="R64" i="3"/>
  <c r="Q64" i="3"/>
  <c r="P64" i="3"/>
  <c r="O64" i="3"/>
  <c r="N64" i="3"/>
  <c r="M64" i="3"/>
  <c r="L64" i="3"/>
  <c r="K64" i="3"/>
  <c r="J64" i="3"/>
  <c r="I64" i="3"/>
  <c r="T63" i="3"/>
  <c r="S63" i="3"/>
  <c r="R63" i="3"/>
  <c r="Q63" i="3"/>
  <c r="P63" i="3"/>
  <c r="O63" i="3"/>
  <c r="N63" i="3"/>
  <c r="M63" i="3"/>
  <c r="L63" i="3"/>
  <c r="K63" i="3"/>
  <c r="J63" i="3"/>
  <c r="I63" i="3"/>
  <c r="T62" i="3"/>
  <c r="S62" i="3"/>
  <c r="R62" i="3"/>
  <c r="Q62" i="3"/>
  <c r="P62" i="3"/>
  <c r="O62" i="3"/>
  <c r="N62" i="3"/>
  <c r="M62" i="3"/>
  <c r="L62" i="3"/>
  <c r="K62" i="3"/>
  <c r="J62" i="3"/>
  <c r="I62" i="3"/>
  <c r="T61" i="3"/>
  <c r="S61" i="3"/>
  <c r="R61" i="3"/>
  <c r="Q61" i="3"/>
  <c r="P61" i="3"/>
  <c r="O61" i="3"/>
  <c r="N61" i="3"/>
  <c r="M61" i="3"/>
  <c r="L61" i="3"/>
  <c r="K61" i="3"/>
  <c r="J61" i="3"/>
  <c r="I61" i="3"/>
  <c r="T60" i="3"/>
  <c r="S60" i="3"/>
  <c r="R60" i="3"/>
  <c r="Q60" i="3"/>
  <c r="P60" i="3"/>
  <c r="O60" i="3"/>
  <c r="N60" i="3"/>
  <c r="M60" i="3"/>
  <c r="L60" i="3"/>
  <c r="K60" i="3"/>
  <c r="J60" i="3"/>
  <c r="I60" i="3"/>
  <c r="T59" i="3"/>
  <c r="S59" i="3"/>
  <c r="R59" i="3"/>
  <c r="Q59" i="3"/>
  <c r="P59" i="3"/>
  <c r="O59" i="3"/>
  <c r="N59" i="3"/>
  <c r="M59" i="3"/>
  <c r="L59" i="3"/>
  <c r="K59" i="3"/>
  <c r="J59" i="3"/>
  <c r="I59" i="3"/>
  <c r="T58" i="3"/>
  <c r="S58" i="3"/>
  <c r="R58" i="3"/>
  <c r="Q58" i="3"/>
  <c r="P58" i="3"/>
  <c r="O58" i="3"/>
  <c r="N58" i="3"/>
  <c r="M58" i="3"/>
  <c r="L58" i="3"/>
  <c r="K58" i="3"/>
  <c r="J58" i="3"/>
  <c r="I58" i="3"/>
  <c r="T57" i="3"/>
  <c r="S57" i="3"/>
  <c r="R57" i="3"/>
  <c r="Q57" i="3"/>
  <c r="P57" i="3"/>
  <c r="O57" i="3"/>
  <c r="N57" i="3"/>
  <c r="M57" i="3"/>
  <c r="L57" i="3"/>
  <c r="K57" i="3"/>
  <c r="J57" i="3"/>
  <c r="I57" i="3"/>
  <c r="T56" i="3"/>
  <c r="S56" i="3"/>
  <c r="R56" i="3"/>
  <c r="Q56" i="3"/>
  <c r="P56" i="3"/>
  <c r="O56" i="3"/>
  <c r="N56" i="3"/>
  <c r="M56" i="3"/>
  <c r="L56" i="3"/>
  <c r="K56" i="3"/>
  <c r="J56" i="3"/>
  <c r="I56" i="3"/>
  <c r="T55" i="3"/>
  <c r="S55" i="3"/>
  <c r="R55" i="3"/>
  <c r="Q55" i="3"/>
  <c r="P55" i="3"/>
  <c r="O55" i="3"/>
  <c r="N55" i="3"/>
  <c r="M55" i="3"/>
  <c r="L55" i="3"/>
  <c r="K55" i="3"/>
  <c r="J55" i="3"/>
  <c r="I55" i="3"/>
  <c r="T54" i="3"/>
  <c r="S54" i="3"/>
  <c r="R54" i="3"/>
  <c r="Q54" i="3"/>
  <c r="P54" i="3"/>
  <c r="O54" i="3"/>
  <c r="N54" i="3"/>
  <c r="M54" i="3"/>
  <c r="L54" i="3"/>
  <c r="K54" i="3"/>
  <c r="J54" i="3"/>
  <c r="I54" i="3"/>
  <c r="T53" i="3"/>
  <c r="S53" i="3"/>
  <c r="R53" i="3"/>
  <c r="Q53" i="3"/>
  <c r="P53" i="3"/>
  <c r="O53" i="3"/>
  <c r="N53" i="3"/>
  <c r="M53" i="3"/>
  <c r="L53" i="3"/>
  <c r="K53" i="3"/>
  <c r="J53" i="3"/>
  <c r="I53" i="3"/>
  <c r="T52" i="3"/>
  <c r="S52" i="3"/>
  <c r="R52" i="3"/>
  <c r="Q52" i="3"/>
  <c r="P52" i="3"/>
  <c r="O52" i="3"/>
  <c r="N52" i="3"/>
  <c r="M52" i="3"/>
  <c r="L52" i="3"/>
  <c r="K52" i="3"/>
  <c r="J52" i="3"/>
  <c r="I52" i="3"/>
  <c r="T51" i="3"/>
  <c r="S51" i="3"/>
  <c r="R51" i="3"/>
  <c r="Q51" i="3"/>
  <c r="P51" i="3"/>
  <c r="O51" i="3"/>
  <c r="N51" i="3"/>
  <c r="M51" i="3"/>
  <c r="L51" i="3"/>
  <c r="K51" i="3"/>
  <c r="J51" i="3"/>
  <c r="I51" i="3"/>
  <c r="T50" i="3"/>
  <c r="S50" i="3"/>
  <c r="R50" i="3"/>
  <c r="Q50" i="3"/>
  <c r="P50" i="3"/>
  <c r="O50" i="3"/>
  <c r="N50" i="3"/>
  <c r="M50" i="3"/>
  <c r="L50" i="3"/>
  <c r="K50" i="3"/>
  <c r="J50" i="3"/>
  <c r="I50" i="3"/>
  <c r="T49" i="3"/>
  <c r="S49" i="3"/>
  <c r="R49" i="3"/>
  <c r="Q49" i="3"/>
  <c r="P49" i="3"/>
  <c r="O49" i="3"/>
  <c r="N49" i="3"/>
  <c r="M49" i="3"/>
  <c r="L49" i="3"/>
  <c r="K49" i="3"/>
  <c r="J49" i="3"/>
  <c r="I49" i="3"/>
  <c r="T48" i="3"/>
  <c r="S48" i="3"/>
  <c r="R48" i="3"/>
  <c r="Q48" i="3"/>
  <c r="P48" i="3"/>
  <c r="O48" i="3"/>
  <c r="N48" i="3"/>
  <c r="M48" i="3"/>
  <c r="L48" i="3"/>
  <c r="K48" i="3"/>
  <c r="J48" i="3"/>
  <c r="I48" i="3"/>
  <c r="T47" i="3"/>
  <c r="S47" i="3"/>
  <c r="R47" i="3"/>
  <c r="Q47" i="3"/>
  <c r="P47" i="3"/>
  <c r="O47" i="3"/>
  <c r="N47" i="3"/>
  <c r="M47" i="3"/>
  <c r="L47" i="3"/>
  <c r="K47" i="3"/>
  <c r="J47" i="3"/>
  <c r="I47" i="3"/>
  <c r="T46" i="3"/>
  <c r="S46" i="3"/>
  <c r="R46" i="3"/>
  <c r="Q46" i="3"/>
  <c r="P46" i="3"/>
  <c r="O46" i="3"/>
  <c r="N46" i="3"/>
  <c r="M46" i="3"/>
  <c r="L46" i="3"/>
  <c r="K46" i="3"/>
  <c r="J46" i="3"/>
  <c r="I46" i="3"/>
  <c r="T45" i="3"/>
  <c r="S45" i="3"/>
  <c r="R45" i="3"/>
  <c r="Q45" i="3"/>
  <c r="P45" i="3"/>
  <c r="O45" i="3"/>
  <c r="N45" i="3"/>
  <c r="M45" i="3"/>
  <c r="L45" i="3"/>
  <c r="K45" i="3"/>
  <c r="J45" i="3"/>
  <c r="I45" i="3"/>
  <c r="T44" i="3"/>
  <c r="S44" i="3"/>
  <c r="R44" i="3"/>
  <c r="Q44" i="3"/>
  <c r="P44" i="3"/>
  <c r="O44" i="3"/>
  <c r="N44" i="3"/>
  <c r="M44" i="3"/>
  <c r="L44" i="3"/>
  <c r="K44" i="3"/>
  <c r="J44" i="3"/>
  <c r="I44" i="3"/>
  <c r="T43" i="3"/>
  <c r="S43" i="3"/>
  <c r="R43" i="3"/>
  <c r="Q43" i="3"/>
  <c r="P43" i="3"/>
  <c r="O43" i="3"/>
  <c r="N43" i="3"/>
  <c r="M43" i="3"/>
  <c r="L43" i="3"/>
  <c r="K43" i="3"/>
  <c r="J43" i="3"/>
  <c r="I43" i="3"/>
  <c r="T42" i="3"/>
  <c r="S42" i="3"/>
  <c r="R42" i="3"/>
  <c r="Q42" i="3"/>
  <c r="P42" i="3"/>
  <c r="O42" i="3"/>
  <c r="N42" i="3"/>
  <c r="M42" i="3"/>
  <c r="L42" i="3"/>
  <c r="K42" i="3"/>
  <c r="J42" i="3"/>
  <c r="I42" i="3"/>
  <c r="T41" i="3"/>
  <c r="S41" i="3"/>
  <c r="R41" i="3"/>
  <c r="Q41" i="3"/>
  <c r="P41" i="3"/>
  <c r="O41" i="3"/>
  <c r="N41" i="3"/>
  <c r="M41" i="3"/>
  <c r="L41" i="3"/>
  <c r="K41" i="3"/>
  <c r="J41" i="3"/>
  <c r="I41" i="3"/>
  <c r="T40" i="3"/>
  <c r="S40" i="3"/>
  <c r="R40" i="3"/>
  <c r="Q40" i="3"/>
  <c r="P40" i="3"/>
  <c r="O40" i="3"/>
  <c r="N40" i="3"/>
  <c r="M40" i="3"/>
  <c r="L40" i="3"/>
  <c r="K40" i="3"/>
  <c r="J40" i="3"/>
  <c r="I40" i="3"/>
  <c r="T39" i="3"/>
  <c r="S39" i="3"/>
  <c r="R39" i="3"/>
  <c r="Q39" i="3"/>
  <c r="P39" i="3"/>
  <c r="O39" i="3"/>
  <c r="N39" i="3"/>
  <c r="M39" i="3"/>
  <c r="L39" i="3"/>
  <c r="K39" i="3"/>
  <c r="J39" i="3"/>
  <c r="I39" i="3"/>
  <c r="T38" i="3"/>
  <c r="S38" i="3"/>
  <c r="R38" i="3"/>
  <c r="Q38" i="3"/>
  <c r="P38" i="3"/>
  <c r="O38" i="3"/>
  <c r="N38" i="3"/>
  <c r="M38" i="3"/>
  <c r="L38" i="3"/>
  <c r="K38" i="3"/>
  <c r="J38" i="3"/>
  <c r="I38" i="3"/>
  <c r="T37" i="3"/>
  <c r="S37" i="3"/>
  <c r="R37" i="3"/>
  <c r="Q37" i="3"/>
  <c r="P37" i="3"/>
  <c r="O37" i="3"/>
  <c r="N37" i="3"/>
  <c r="M37" i="3"/>
  <c r="L37" i="3"/>
  <c r="K37" i="3"/>
  <c r="J37" i="3"/>
  <c r="I37" i="3"/>
  <c r="T36" i="3"/>
  <c r="S36" i="3"/>
  <c r="R36" i="3"/>
  <c r="Q36" i="3"/>
  <c r="P36" i="3"/>
  <c r="O36" i="3"/>
  <c r="N36" i="3"/>
  <c r="M36" i="3"/>
  <c r="L36" i="3"/>
  <c r="K36" i="3"/>
  <c r="J36" i="3"/>
  <c r="I36" i="3"/>
  <c r="T35" i="3"/>
  <c r="S35" i="3"/>
  <c r="R35" i="3"/>
  <c r="Q35" i="3"/>
  <c r="P35" i="3"/>
  <c r="O35" i="3"/>
  <c r="N35" i="3"/>
  <c r="M35" i="3"/>
  <c r="L35" i="3"/>
  <c r="K35" i="3"/>
  <c r="J35" i="3"/>
  <c r="I35" i="3"/>
  <c r="T34" i="3"/>
  <c r="S34" i="3"/>
  <c r="R34" i="3"/>
  <c r="Q34" i="3"/>
  <c r="P34" i="3"/>
  <c r="O34" i="3"/>
  <c r="N34" i="3"/>
  <c r="M34" i="3"/>
  <c r="L34" i="3"/>
  <c r="K34" i="3"/>
  <c r="J34" i="3"/>
  <c r="I34" i="3"/>
  <c r="T33" i="3"/>
  <c r="S33" i="3"/>
  <c r="R33" i="3"/>
  <c r="Q33" i="3"/>
  <c r="P33" i="3"/>
  <c r="O33" i="3"/>
  <c r="N33" i="3"/>
  <c r="M33" i="3"/>
  <c r="L33" i="3"/>
  <c r="K33" i="3"/>
  <c r="J33" i="3"/>
  <c r="I33" i="3"/>
  <c r="T32" i="3"/>
  <c r="S32" i="3"/>
  <c r="R32" i="3"/>
  <c r="Q32" i="3"/>
  <c r="P32" i="3"/>
  <c r="O32" i="3"/>
  <c r="N32" i="3"/>
  <c r="M32" i="3"/>
  <c r="L32" i="3"/>
  <c r="K32" i="3"/>
  <c r="J32" i="3"/>
  <c r="I32" i="3"/>
  <c r="T31" i="3"/>
  <c r="S31" i="3"/>
  <c r="R31" i="3"/>
  <c r="Q31" i="3"/>
  <c r="P31" i="3"/>
  <c r="O31" i="3"/>
  <c r="N31" i="3"/>
  <c r="M31" i="3"/>
  <c r="L31" i="3"/>
  <c r="K31" i="3"/>
  <c r="J31" i="3"/>
  <c r="I31" i="3"/>
  <c r="T30" i="3"/>
  <c r="S30" i="3"/>
  <c r="R30" i="3"/>
  <c r="Q30" i="3"/>
  <c r="P30" i="3"/>
  <c r="O30" i="3"/>
  <c r="N30" i="3"/>
  <c r="M30" i="3"/>
  <c r="L30" i="3"/>
  <c r="K30" i="3"/>
  <c r="J30" i="3"/>
  <c r="I30" i="3"/>
  <c r="T29" i="3"/>
  <c r="S29" i="3"/>
  <c r="R29" i="3"/>
  <c r="Q29" i="3"/>
  <c r="P29" i="3"/>
  <c r="O29" i="3"/>
  <c r="N29" i="3"/>
  <c r="M29" i="3"/>
  <c r="L29" i="3"/>
  <c r="K29" i="3"/>
  <c r="J29" i="3"/>
  <c r="I29" i="3"/>
  <c r="T28" i="3"/>
  <c r="S28" i="3"/>
  <c r="R28" i="3"/>
  <c r="Q28" i="3"/>
  <c r="P28" i="3"/>
  <c r="O28" i="3"/>
  <c r="N28" i="3"/>
  <c r="M28" i="3"/>
  <c r="L28" i="3"/>
  <c r="K28" i="3"/>
  <c r="J28" i="3"/>
  <c r="I28" i="3"/>
  <c r="T27" i="3"/>
  <c r="S27" i="3"/>
  <c r="R27" i="3"/>
  <c r="Q27" i="3"/>
  <c r="P27" i="3"/>
  <c r="O27" i="3"/>
  <c r="N27" i="3"/>
  <c r="M27" i="3"/>
  <c r="L27" i="3"/>
  <c r="K27" i="3"/>
  <c r="J27" i="3"/>
  <c r="I27" i="3"/>
  <c r="T26" i="3"/>
  <c r="S26" i="3"/>
  <c r="R26" i="3"/>
  <c r="Q26" i="3"/>
  <c r="P26" i="3"/>
  <c r="O26" i="3"/>
  <c r="N26" i="3"/>
  <c r="M26" i="3"/>
  <c r="L26" i="3"/>
  <c r="K26" i="3"/>
  <c r="J26" i="3"/>
  <c r="I26" i="3"/>
  <c r="T25" i="3"/>
  <c r="S25" i="3"/>
  <c r="R25" i="3"/>
  <c r="Q25" i="3"/>
  <c r="P25" i="3"/>
  <c r="O25" i="3"/>
  <c r="N25" i="3"/>
  <c r="M25" i="3"/>
  <c r="L25" i="3"/>
  <c r="K25" i="3"/>
  <c r="J25" i="3"/>
  <c r="I25" i="3"/>
  <c r="T24" i="3"/>
  <c r="S24" i="3"/>
  <c r="R24" i="3"/>
  <c r="Q24" i="3"/>
  <c r="P24" i="3"/>
  <c r="O24" i="3"/>
  <c r="N24" i="3"/>
  <c r="M24" i="3"/>
  <c r="L24" i="3"/>
  <c r="K24" i="3"/>
  <c r="J24" i="3"/>
  <c r="I24" i="3"/>
  <c r="T23" i="3"/>
  <c r="S23" i="3"/>
  <c r="R23" i="3"/>
  <c r="Q23" i="3"/>
  <c r="P23" i="3"/>
  <c r="O23" i="3"/>
  <c r="N23" i="3"/>
  <c r="M23" i="3"/>
  <c r="L23" i="3"/>
  <c r="K23" i="3"/>
  <c r="J23" i="3"/>
  <c r="I23" i="3"/>
  <c r="R22" i="3"/>
  <c r="T21" i="3"/>
  <c r="S21" i="3"/>
  <c r="R21" i="3"/>
  <c r="Q21" i="3"/>
  <c r="P21" i="3"/>
  <c r="O21" i="3"/>
  <c r="N21" i="3"/>
  <c r="M21" i="3"/>
  <c r="L21" i="3"/>
  <c r="K21" i="3"/>
  <c r="J21" i="3"/>
  <c r="I21" i="3"/>
  <c r="T20" i="3"/>
  <c r="T22" i="3" s="1"/>
  <c r="S20" i="3"/>
  <c r="R20" i="3"/>
  <c r="Q20" i="3"/>
  <c r="Q22" i="3" s="1"/>
  <c r="P20" i="3"/>
  <c r="P22" i="3" s="1"/>
  <c r="O20" i="3"/>
  <c r="O22" i="3" s="1"/>
  <c r="N20" i="3"/>
  <c r="N22" i="3" s="1"/>
  <c r="M20" i="3"/>
  <c r="M22" i="3" s="1"/>
  <c r="L20" i="3"/>
  <c r="L22" i="3" s="1"/>
  <c r="K20" i="3"/>
  <c r="K22" i="3" s="1"/>
  <c r="J20" i="3"/>
  <c r="J22" i="3" s="1"/>
  <c r="I20" i="3"/>
  <c r="I22" i="3" s="1"/>
  <c r="T19" i="3"/>
  <c r="S19" i="3"/>
  <c r="R19" i="3"/>
  <c r="Q19" i="3"/>
  <c r="P19" i="3"/>
  <c r="O19" i="3"/>
  <c r="N19" i="3"/>
  <c r="M19" i="3"/>
  <c r="L19" i="3"/>
  <c r="K19" i="3"/>
  <c r="J19" i="3"/>
  <c r="I19" i="3"/>
  <c r="T18" i="3"/>
  <c r="S18" i="3"/>
  <c r="R18" i="3"/>
  <c r="Q18" i="3"/>
  <c r="P18" i="3"/>
  <c r="O18" i="3"/>
  <c r="N18" i="3"/>
  <c r="M18" i="3"/>
  <c r="L18" i="3"/>
  <c r="K18" i="3"/>
  <c r="J18" i="3"/>
  <c r="I18" i="3"/>
  <c r="T17" i="3"/>
  <c r="S17" i="3"/>
  <c r="R17" i="3"/>
  <c r="Q17" i="3"/>
  <c r="P17" i="3"/>
  <c r="O17" i="3"/>
  <c r="N17" i="3"/>
  <c r="M17" i="3"/>
  <c r="L17" i="3"/>
  <c r="K17" i="3"/>
  <c r="J17" i="3"/>
  <c r="I17" i="3"/>
  <c r="T16" i="3"/>
  <c r="S16" i="3"/>
  <c r="R16" i="3"/>
  <c r="Q16" i="3"/>
  <c r="P16" i="3"/>
  <c r="O16" i="3"/>
  <c r="N16" i="3"/>
  <c r="M16" i="3"/>
  <c r="L16" i="3"/>
  <c r="K16" i="3"/>
  <c r="J16" i="3"/>
  <c r="I16" i="3"/>
  <c r="T15" i="3"/>
  <c r="S15" i="3"/>
  <c r="R15" i="3"/>
  <c r="Q15" i="3"/>
  <c r="P15" i="3"/>
  <c r="O15" i="3"/>
  <c r="N15" i="3"/>
  <c r="M15" i="3"/>
  <c r="L15" i="3"/>
  <c r="K15" i="3"/>
  <c r="J15" i="3"/>
  <c r="I15" i="3"/>
  <c r="T14" i="3"/>
  <c r="S14" i="3"/>
  <c r="R14" i="3"/>
  <c r="Q14" i="3"/>
  <c r="P14" i="3"/>
  <c r="O14" i="3"/>
  <c r="N14" i="3"/>
  <c r="M14" i="3"/>
  <c r="L14" i="3"/>
  <c r="K14" i="3"/>
  <c r="J14" i="3"/>
  <c r="I14" i="3"/>
  <c r="T13" i="3"/>
  <c r="S13" i="3"/>
  <c r="R13" i="3"/>
  <c r="Q13" i="3"/>
  <c r="P13" i="3"/>
  <c r="O13" i="3"/>
  <c r="N13" i="3"/>
  <c r="M13" i="3"/>
  <c r="L13" i="3"/>
  <c r="K13" i="3"/>
  <c r="J13" i="3"/>
  <c r="I13" i="3"/>
  <c r="T12" i="3"/>
  <c r="S12" i="3"/>
  <c r="R12" i="3"/>
  <c r="Q12" i="3"/>
  <c r="P12" i="3"/>
  <c r="O12" i="3"/>
  <c r="N12" i="3"/>
  <c r="M12" i="3"/>
  <c r="L12" i="3"/>
  <c r="K12" i="3"/>
  <c r="J12" i="3"/>
  <c r="I12" i="3"/>
  <c r="T11" i="3"/>
  <c r="S11" i="3"/>
  <c r="R11" i="3"/>
  <c r="Q11" i="3"/>
  <c r="P11" i="3"/>
  <c r="O11" i="3"/>
  <c r="N11" i="3"/>
  <c r="M11" i="3"/>
  <c r="L11" i="3"/>
  <c r="K11" i="3"/>
  <c r="J11" i="3"/>
  <c r="I11" i="3"/>
  <c r="T10" i="3"/>
  <c r="S10" i="3"/>
  <c r="R10" i="3"/>
  <c r="Q10" i="3"/>
  <c r="P10" i="3"/>
  <c r="O10" i="3"/>
  <c r="N10" i="3"/>
  <c r="M10" i="3"/>
  <c r="L10" i="3"/>
  <c r="K10" i="3"/>
  <c r="J10" i="3"/>
  <c r="I10" i="3"/>
  <c r="T9" i="3"/>
  <c r="S9" i="3"/>
  <c r="R9" i="3"/>
  <c r="Q9" i="3"/>
  <c r="P9" i="3"/>
  <c r="O9" i="3"/>
  <c r="N9" i="3"/>
  <c r="M9" i="3"/>
  <c r="L9" i="3"/>
  <c r="K9" i="3"/>
  <c r="J9" i="3"/>
  <c r="I9" i="3"/>
  <c r="T8" i="3"/>
  <c r="S8" i="3"/>
  <c r="R8" i="3"/>
  <c r="Q8" i="3"/>
  <c r="P8" i="3"/>
  <c r="O8" i="3"/>
  <c r="N8" i="3"/>
  <c r="M8" i="3"/>
  <c r="L8" i="3"/>
  <c r="K8" i="3"/>
  <c r="J8" i="3"/>
  <c r="I8" i="3"/>
  <c r="T7" i="3"/>
  <c r="S7" i="3"/>
  <c r="R7" i="3"/>
  <c r="Q7" i="3"/>
  <c r="P7" i="3"/>
  <c r="O7" i="3"/>
  <c r="N7" i="3"/>
  <c r="M7" i="3"/>
  <c r="L7" i="3"/>
  <c r="K7" i="3"/>
  <c r="J7" i="3"/>
  <c r="I7" i="3"/>
  <c r="T6" i="3"/>
  <c r="S6" i="3"/>
  <c r="R6" i="3"/>
  <c r="Q6" i="3"/>
  <c r="P6" i="3"/>
  <c r="O6" i="3"/>
  <c r="N6" i="3"/>
  <c r="M6" i="3"/>
  <c r="L6" i="3"/>
  <c r="K6" i="3"/>
  <c r="J6" i="3"/>
  <c r="I6" i="3"/>
  <c r="T5" i="3"/>
  <c r="S5" i="3"/>
  <c r="R5" i="3"/>
  <c r="Q5" i="3"/>
  <c r="P5" i="3"/>
  <c r="O5" i="3"/>
  <c r="N5" i="3"/>
  <c r="M5" i="3"/>
  <c r="L5" i="3"/>
  <c r="K5" i="3"/>
  <c r="J5" i="3"/>
  <c r="I5" i="3"/>
  <c r="T4" i="3"/>
  <c r="S4" i="3"/>
  <c r="R4" i="3"/>
  <c r="Q4" i="3"/>
  <c r="P4" i="3"/>
  <c r="O4" i="3"/>
  <c r="N4" i="3"/>
  <c r="M4" i="3"/>
  <c r="L4" i="3"/>
  <c r="K4" i="3"/>
  <c r="J4" i="3"/>
  <c r="I4" i="3"/>
  <c r="T3" i="3"/>
  <c r="S3" i="3"/>
  <c r="R3" i="3"/>
  <c r="Q3" i="3"/>
  <c r="P3" i="3"/>
  <c r="O3" i="3"/>
  <c r="N3" i="3"/>
  <c r="M3" i="3"/>
  <c r="L3" i="3"/>
  <c r="K3" i="3"/>
  <c r="J3" i="3"/>
  <c r="I3" i="3"/>
  <c r="T2" i="3"/>
  <c r="S2" i="3"/>
  <c r="R2" i="3"/>
  <c r="Q2" i="3"/>
  <c r="P2" i="3"/>
  <c r="O2" i="3"/>
  <c r="N2" i="3"/>
  <c r="M2" i="3"/>
  <c r="L2" i="3"/>
  <c r="K2" i="3"/>
  <c r="J2" i="3"/>
  <c r="I2" i="3"/>
  <c r="H1" i="2"/>
  <c r="S22" i="3" l="1"/>
  <c r="U3" i="3"/>
  <c r="AC34" i="17"/>
  <c r="AC36" i="17"/>
  <c r="U23" i="3"/>
  <c r="I26" i="14" s="1"/>
  <c r="U24" i="3"/>
  <c r="U25" i="3"/>
  <c r="U26" i="3"/>
  <c r="U27" i="3"/>
  <c r="I30" i="14" s="1"/>
  <c r="U28" i="3"/>
  <c r="U29" i="3"/>
  <c r="U30" i="3"/>
  <c r="I33" i="14" s="1"/>
  <c r="U31" i="3"/>
  <c r="U32" i="3"/>
  <c r="U33" i="3"/>
  <c r="U34" i="3"/>
  <c r="U35" i="3"/>
  <c r="U36" i="3"/>
  <c r="U37" i="3"/>
  <c r="U38" i="3"/>
  <c r="I41" i="14" s="1"/>
  <c r="U39" i="3"/>
  <c r="U40" i="3"/>
  <c r="U41" i="3"/>
  <c r="U42" i="3"/>
  <c r="I45" i="14" s="1"/>
  <c r="U43" i="3"/>
  <c r="U44" i="3"/>
  <c r="U45" i="3"/>
  <c r="U46" i="3"/>
  <c r="U47" i="3"/>
  <c r="U48" i="3"/>
  <c r="U49" i="3"/>
  <c r="U50" i="3"/>
  <c r="I53" i="14" s="1"/>
  <c r="U51" i="3"/>
  <c r="U52" i="3"/>
  <c r="U53" i="3"/>
  <c r="U54" i="3"/>
  <c r="I57" i="14" s="1"/>
  <c r="U55" i="3"/>
  <c r="U56" i="3"/>
  <c r="U57" i="3"/>
  <c r="U58" i="3"/>
  <c r="U59" i="3"/>
  <c r="U60" i="3"/>
  <c r="U61" i="3"/>
  <c r="U62" i="3"/>
  <c r="I65" i="14" s="1"/>
  <c r="U63" i="3"/>
  <c r="U64" i="3"/>
  <c r="U65" i="3"/>
  <c r="U2" i="4"/>
  <c r="I5" i="13" s="1"/>
  <c r="U3" i="4"/>
  <c r="U4" i="4"/>
  <c r="U5" i="4"/>
  <c r="U6" i="4"/>
  <c r="U7" i="4"/>
  <c r="U8" i="4"/>
  <c r="U9" i="4"/>
  <c r="U10" i="4"/>
  <c r="I13" i="13" s="1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I29" i="13" s="1"/>
  <c r="U27" i="4"/>
  <c r="U28" i="4"/>
  <c r="U29" i="4"/>
  <c r="U30" i="4"/>
  <c r="U31" i="4"/>
  <c r="U32" i="4"/>
  <c r="U33" i="4"/>
  <c r="U34" i="4"/>
  <c r="I37" i="13" s="1"/>
  <c r="U35" i="4"/>
  <c r="U36" i="4"/>
  <c r="U37" i="4"/>
  <c r="U38" i="4"/>
  <c r="U39" i="4"/>
  <c r="U40" i="4"/>
  <c r="U41" i="4"/>
  <c r="U42" i="4"/>
  <c r="I45" i="13" s="1"/>
  <c r="U43" i="4"/>
  <c r="U44" i="4"/>
  <c r="U45" i="4"/>
  <c r="U2" i="3"/>
  <c r="U4" i="3"/>
  <c r="U5" i="3"/>
  <c r="U6" i="3"/>
  <c r="U7" i="3"/>
  <c r="I10" i="8" s="1"/>
  <c r="U8" i="3"/>
  <c r="U9" i="3"/>
  <c r="U10" i="3"/>
  <c r="U11" i="3"/>
  <c r="I14" i="8" s="1"/>
  <c r="U12" i="3"/>
  <c r="U13" i="3"/>
  <c r="U14" i="3"/>
  <c r="U15" i="3"/>
  <c r="U16" i="3"/>
  <c r="U17" i="3"/>
  <c r="U18" i="3"/>
  <c r="U19" i="3"/>
  <c r="I22" i="8" s="1"/>
  <c r="U21" i="3"/>
  <c r="AO5" i="16"/>
  <c r="AA11" i="21"/>
  <c r="AC5" i="17"/>
  <c r="AC12" i="17"/>
  <c r="AC14" i="17"/>
  <c r="AC16" i="17"/>
  <c r="AC52" i="17"/>
  <c r="AC54" i="17"/>
  <c r="AC56" i="17"/>
  <c r="AC58" i="17"/>
  <c r="AC60" i="17"/>
  <c r="AC62" i="17"/>
  <c r="AC66" i="17"/>
  <c r="AC70" i="17"/>
  <c r="AC74" i="17"/>
  <c r="AC90" i="17"/>
  <c r="AC94" i="17"/>
  <c r="AC98" i="17"/>
  <c r="AC210" i="17"/>
  <c r="AC214" i="17"/>
  <c r="AC218" i="17"/>
  <c r="AC222" i="17"/>
  <c r="AC226" i="17"/>
  <c r="AC230" i="17"/>
  <c r="AC234" i="17"/>
  <c r="AC238" i="17"/>
  <c r="AC242" i="17"/>
  <c r="AC332" i="17"/>
  <c r="AC336" i="17"/>
  <c r="AC340" i="17"/>
  <c r="AC344" i="17"/>
  <c r="AC348" i="17"/>
  <c r="AC352" i="17"/>
  <c r="AC356" i="17"/>
  <c r="AC360" i="17"/>
  <c r="AC364" i="17"/>
  <c r="AC368" i="17"/>
  <c r="AC372" i="17"/>
  <c r="AC376" i="17"/>
  <c r="AC380" i="17"/>
  <c r="AC384" i="17"/>
  <c r="AC388" i="17"/>
  <c r="AC392" i="17"/>
  <c r="AC396" i="17"/>
  <c r="AC400" i="17"/>
  <c r="AC404" i="17"/>
  <c r="AC408" i="17"/>
  <c r="AC412" i="17"/>
  <c r="AC416" i="17"/>
  <c r="AC420" i="17"/>
  <c r="AC424" i="17"/>
  <c r="AC428" i="17"/>
  <c r="AC432" i="17"/>
  <c r="AC436" i="17"/>
  <c r="AC440" i="17"/>
  <c r="AC8" i="17"/>
  <c r="AC43" i="17"/>
  <c r="AC47" i="17"/>
  <c r="AC106" i="17"/>
  <c r="AC113" i="17"/>
  <c r="AC131" i="17"/>
  <c r="AC167" i="17"/>
  <c r="AC168" i="17"/>
  <c r="AC255" i="17"/>
  <c r="AC259" i="17"/>
  <c r="AC263" i="17"/>
  <c r="AC267" i="17"/>
  <c r="AC271" i="17"/>
  <c r="AC275" i="17"/>
  <c r="AC279" i="17"/>
  <c r="AC38" i="17"/>
  <c r="AC40" i="17"/>
  <c r="AC201" i="17"/>
  <c r="AC205" i="17"/>
  <c r="AC209" i="17"/>
  <c r="AC213" i="17"/>
  <c r="AC217" i="17"/>
  <c r="AC221" i="17"/>
  <c r="AC225" i="17"/>
  <c r="AC229" i="17"/>
  <c r="AC233" i="17"/>
  <c r="AC237" i="17"/>
  <c r="AC241" i="17"/>
  <c r="AC249" i="17"/>
  <c r="AC251" i="17"/>
  <c r="AC281" i="17"/>
  <c r="AC283" i="17"/>
  <c r="AC285" i="17"/>
  <c r="AC287" i="17"/>
  <c r="AC289" i="17"/>
  <c r="AC291" i="17"/>
  <c r="AC293" i="17"/>
  <c r="AC295" i="17"/>
  <c r="AC297" i="17"/>
  <c r="AC299" i="17"/>
  <c r="AC301" i="17"/>
  <c r="AC303" i="17"/>
  <c r="AC331" i="17"/>
  <c r="AC335" i="17"/>
  <c r="AC339" i="17"/>
  <c r="AC343" i="17"/>
  <c r="AC347" i="17"/>
  <c r="AC351" i="17"/>
  <c r="AC355" i="17"/>
  <c r="AC359" i="17"/>
  <c r="AC363" i="17"/>
  <c r="AC367" i="17"/>
  <c r="AC371" i="17"/>
  <c r="AC375" i="17"/>
  <c r="AC379" i="17"/>
  <c r="AC383" i="17"/>
  <c r="AC387" i="17"/>
  <c r="AC391" i="17"/>
  <c r="AC395" i="17"/>
  <c r="AC399" i="17"/>
  <c r="AC403" i="17"/>
  <c r="AC407" i="17"/>
  <c r="AC411" i="17"/>
  <c r="AC415" i="17"/>
  <c r="AC419" i="17"/>
  <c r="AC423" i="17"/>
  <c r="AC427" i="17"/>
  <c r="AC431" i="17"/>
  <c r="AC435" i="17"/>
  <c r="AC11" i="17"/>
  <c r="AC42" i="17"/>
  <c r="AC46" i="17"/>
  <c r="AC50" i="17"/>
  <c r="AC104" i="17"/>
  <c r="AC114" i="17"/>
  <c r="AC122" i="17"/>
  <c r="AC125" i="17"/>
  <c r="AC128" i="17"/>
  <c r="AC147" i="17"/>
  <c r="AC161" i="17"/>
  <c r="AC164" i="17"/>
  <c r="AC165" i="17"/>
  <c r="AC254" i="17"/>
  <c r="AC258" i="17"/>
  <c r="AC262" i="17"/>
  <c r="AC266" i="17"/>
  <c r="AC270" i="17"/>
  <c r="AC274" i="17"/>
  <c r="AC278" i="17"/>
  <c r="AI3" i="21"/>
  <c r="AG8" i="21"/>
  <c r="AI4" i="21"/>
  <c r="Y4" i="21"/>
  <c r="AG4" i="21" s="1"/>
  <c r="AJ4" i="21"/>
  <c r="Y13" i="21"/>
  <c r="D4" i="5"/>
  <c r="I26" i="23"/>
  <c r="I26" i="6"/>
  <c r="I26" i="7"/>
  <c r="I26" i="9"/>
  <c r="I27" i="23"/>
  <c r="I27" i="14"/>
  <c r="I27" i="7"/>
  <c r="I27" i="9"/>
  <c r="I27" i="8"/>
  <c r="I27" i="6"/>
  <c r="I28" i="23"/>
  <c r="I28" i="14"/>
  <c r="I28" i="9"/>
  <c r="I28" i="8"/>
  <c r="I28" i="6"/>
  <c r="I28" i="7"/>
  <c r="I30" i="23"/>
  <c r="I30" i="6"/>
  <c r="I30" i="7"/>
  <c r="I30" i="9"/>
  <c r="I31" i="23"/>
  <c r="I31" i="14"/>
  <c r="I31" i="7"/>
  <c r="I31" i="9"/>
  <c r="I31" i="8"/>
  <c r="I31" i="6"/>
  <c r="I32" i="23"/>
  <c r="I32" i="14"/>
  <c r="I32" i="9"/>
  <c r="I32" i="8"/>
  <c r="I32" i="6"/>
  <c r="I32" i="7"/>
  <c r="I33" i="7"/>
  <c r="I34" i="23"/>
  <c r="I34" i="14"/>
  <c r="I34" i="7"/>
  <c r="I34" i="6"/>
  <c r="I34" i="9"/>
  <c r="I34" i="8"/>
  <c r="I35" i="23"/>
  <c r="I35" i="14"/>
  <c r="I35" i="7"/>
  <c r="I35" i="6"/>
  <c r="I35" i="9"/>
  <c r="I35" i="8"/>
  <c r="I36" i="23"/>
  <c r="I36" i="14"/>
  <c r="I36" i="6"/>
  <c r="I36" i="9"/>
  <c r="I36" i="8"/>
  <c r="I36" i="7"/>
  <c r="I37" i="6"/>
  <c r="I38" i="23"/>
  <c r="I38" i="14"/>
  <c r="I38" i="7"/>
  <c r="I38" i="6"/>
  <c r="I38" i="9"/>
  <c r="I38" i="8"/>
  <c r="I39" i="23"/>
  <c r="I39" i="14"/>
  <c r="I39" i="6"/>
  <c r="I39" i="9"/>
  <c r="I39" i="8"/>
  <c r="I39" i="7"/>
  <c r="I40" i="23"/>
  <c r="I40" i="14"/>
  <c r="I40" i="6"/>
  <c r="I40" i="9"/>
  <c r="I40" i="8"/>
  <c r="I40" i="7"/>
  <c r="I41" i="6"/>
  <c r="I42" i="23"/>
  <c r="I42" i="14"/>
  <c r="I42" i="7"/>
  <c r="I42" i="6"/>
  <c r="I42" i="9"/>
  <c r="I42" i="8"/>
  <c r="I43" i="23"/>
  <c r="I43" i="14"/>
  <c r="I43" i="7"/>
  <c r="I43" i="6"/>
  <c r="I43" i="9"/>
  <c r="I43" i="8"/>
  <c r="I44" i="23"/>
  <c r="I44" i="14"/>
  <c r="I44" i="6"/>
  <c r="I44" i="9"/>
  <c r="I44" i="8"/>
  <c r="I44" i="7"/>
  <c r="I45" i="6"/>
  <c r="I46" i="23"/>
  <c r="I46" i="14"/>
  <c r="I46" i="7"/>
  <c r="I46" i="6"/>
  <c r="I46" i="9"/>
  <c r="I46" i="8"/>
  <c r="I47" i="23"/>
  <c r="I47" i="14"/>
  <c r="I47" i="7"/>
  <c r="I47" i="6"/>
  <c r="I47" i="9"/>
  <c r="I47" i="8"/>
  <c r="I48" i="23"/>
  <c r="I48" i="14"/>
  <c r="I48" i="6"/>
  <c r="I48" i="9"/>
  <c r="I48" i="8"/>
  <c r="I48" i="7"/>
  <c r="I49" i="6"/>
  <c r="I50" i="23"/>
  <c r="I50" i="14"/>
  <c r="I50" i="7"/>
  <c r="I50" i="6"/>
  <c r="I50" i="9"/>
  <c r="I50" i="8"/>
  <c r="I51" i="23"/>
  <c r="I51" i="14"/>
  <c r="I51" i="7"/>
  <c r="I51" i="6"/>
  <c r="I51" i="9"/>
  <c r="I51" i="8"/>
  <c r="I52" i="23"/>
  <c r="I52" i="14"/>
  <c r="I52" i="6"/>
  <c r="I52" i="9"/>
  <c r="I52" i="8"/>
  <c r="I52" i="7"/>
  <c r="I53" i="6"/>
  <c r="I54" i="23"/>
  <c r="I54" i="14"/>
  <c r="I54" i="7"/>
  <c r="I54" i="6"/>
  <c r="I54" i="9"/>
  <c r="I54" i="8"/>
  <c r="I55" i="23"/>
  <c r="I55" i="14"/>
  <c r="I55" i="7"/>
  <c r="I55" i="6"/>
  <c r="I55" i="9"/>
  <c r="I55" i="8"/>
  <c r="I56" i="23"/>
  <c r="I56" i="14"/>
  <c r="I56" i="6"/>
  <c r="I56" i="9"/>
  <c r="I56" i="8"/>
  <c r="I56" i="7"/>
  <c r="I57" i="6"/>
  <c r="I58" i="23"/>
  <c r="I58" i="14"/>
  <c r="I58" i="7"/>
  <c r="I58" i="6"/>
  <c r="I58" i="9"/>
  <c r="I58" i="8"/>
  <c r="I59" i="23"/>
  <c r="I59" i="14"/>
  <c r="I59" i="7"/>
  <c r="I59" i="6"/>
  <c r="I59" i="9"/>
  <c r="I59" i="8"/>
  <c r="I60" i="23"/>
  <c r="I60" i="14"/>
  <c r="I60" i="6"/>
  <c r="I60" i="9"/>
  <c r="I60" i="8"/>
  <c r="I60" i="7"/>
  <c r="I61" i="6"/>
  <c r="I62" i="23"/>
  <c r="I62" i="14"/>
  <c r="I62" i="7"/>
  <c r="I62" i="6"/>
  <c r="I62" i="9"/>
  <c r="I62" i="8"/>
  <c r="I63" i="23"/>
  <c r="I63" i="14"/>
  <c r="I63" i="7"/>
  <c r="I63" i="6"/>
  <c r="I63" i="9"/>
  <c r="I63" i="8"/>
  <c r="I64" i="23"/>
  <c r="I64" i="14"/>
  <c r="I64" i="6"/>
  <c r="I64" i="9"/>
  <c r="I64" i="8"/>
  <c r="I64" i="7"/>
  <c r="I65" i="6"/>
  <c r="I66" i="23"/>
  <c r="I66" i="14"/>
  <c r="I66" i="7"/>
  <c r="I66" i="6"/>
  <c r="I66" i="9"/>
  <c r="I66" i="8"/>
  <c r="I67" i="23"/>
  <c r="I67" i="14"/>
  <c r="I67" i="7"/>
  <c r="I67" i="6"/>
  <c r="I67" i="9"/>
  <c r="I67" i="8"/>
  <c r="I68" i="23"/>
  <c r="I68" i="14"/>
  <c r="I68" i="6"/>
  <c r="I68" i="9"/>
  <c r="I68" i="8"/>
  <c r="I68" i="7"/>
  <c r="I6" i="24"/>
  <c r="I6" i="13"/>
  <c r="I6" i="10"/>
  <c r="I6" i="12"/>
  <c r="I6" i="11"/>
  <c r="I7" i="24"/>
  <c r="I7" i="13"/>
  <c r="I7" i="12"/>
  <c r="I7" i="11"/>
  <c r="I7" i="10"/>
  <c r="I8" i="24"/>
  <c r="I8" i="13"/>
  <c r="I8" i="11"/>
  <c r="I8" i="10"/>
  <c r="I8" i="12"/>
  <c r="I10" i="24"/>
  <c r="I10" i="13"/>
  <c r="I10" i="10"/>
  <c r="I10" i="12"/>
  <c r="I10" i="11"/>
  <c r="I11" i="24"/>
  <c r="I11" i="13"/>
  <c r="I11" i="12"/>
  <c r="I11" i="11"/>
  <c r="I11" i="10"/>
  <c r="I12" i="24"/>
  <c r="I12" i="13"/>
  <c r="I12" i="11"/>
  <c r="I12" i="10"/>
  <c r="I12" i="12"/>
  <c r="I14" i="24"/>
  <c r="I14" i="13"/>
  <c r="I14" i="10"/>
  <c r="I14" i="12"/>
  <c r="I14" i="11"/>
  <c r="I15" i="24"/>
  <c r="U67" i="24" s="1"/>
  <c r="I15" i="13"/>
  <c r="I15" i="12"/>
  <c r="I15" i="11"/>
  <c r="I15" i="10"/>
  <c r="I16" i="24"/>
  <c r="I16" i="13"/>
  <c r="I16" i="11"/>
  <c r="I16" i="10"/>
  <c r="I16" i="12"/>
  <c r="I18" i="24"/>
  <c r="AE70" i="24" s="1"/>
  <c r="I18" i="13"/>
  <c r="I18" i="10"/>
  <c r="I18" i="12"/>
  <c r="I18" i="11"/>
  <c r="I19" i="24"/>
  <c r="I19" i="13"/>
  <c r="I19" i="12"/>
  <c r="I19" i="11"/>
  <c r="I19" i="10"/>
  <c r="I20" i="24"/>
  <c r="AE72" i="24" s="1"/>
  <c r="I20" i="13"/>
  <c r="I20" i="11"/>
  <c r="I20" i="10"/>
  <c r="I20" i="12"/>
  <c r="I22" i="24"/>
  <c r="AH74" i="24" s="1"/>
  <c r="I22" i="13"/>
  <c r="I22" i="10"/>
  <c r="I22" i="12"/>
  <c r="I22" i="11"/>
  <c r="I23" i="24"/>
  <c r="I23" i="13"/>
  <c r="I23" i="12"/>
  <c r="I23" i="11"/>
  <c r="I23" i="10"/>
  <c r="I24" i="24"/>
  <c r="AB76" i="24" s="1"/>
  <c r="I24" i="13"/>
  <c r="I24" i="11"/>
  <c r="I24" i="10"/>
  <c r="I24" i="12"/>
  <c r="I26" i="24"/>
  <c r="I26" i="13"/>
  <c r="I26" i="10"/>
  <c r="I26" i="12"/>
  <c r="I26" i="11"/>
  <c r="I27" i="24"/>
  <c r="I27" i="13"/>
  <c r="I27" i="12"/>
  <c r="I27" i="11"/>
  <c r="I27" i="10"/>
  <c r="I28" i="24"/>
  <c r="Z80" i="24" s="1"/>
  <c r="I28" i="13"/>
  <c r="I28" i="12"/>
  <c r="I28" i="11"/>
  <c r="I28" i="10"/>
  <c r="I30" i="24"/>
  <c r="AE82" i="24" s="1"/>
  <c r="I30" i="13"/>
  <c r="I30" i="12"/>
  <c r="I30" i="10"/>
  <c r="I30" i="11"/>
  <c r="I31" i="24"/>
  <c r="X83" i="24" s="1"/>
  <c r="I31" i="13"/>
  <c r="I31" i="11"/>
  <c r="I31" i="12"/>
  <c r="I31" i="10"/>
  <c r="I32" i="24"/>
  <c r="I32" i="13"/>
  <c r="I32" i="12"/>
  <c r="I32" i="11"/>
  <c r="I32" i="10"/>
  <c r="I34" i="24"/>
  <c r="I34" i="13"/>
  <c r="I34" i="12"/>
  <c r="I34" i="10"/>
  <c r="I34" i="11"/>
  <c r="I35" i="24"/>
  <c r="I35" i="13"/>
  <c r="I35" i="11"/>
  <c r="I35" i="12"/>
  <c r="I35" i="10"/>
  <c r="I36" i="24"/>
  <c r="I36" i="13"/>
  <c r="I36" i="12"/>
  <c r="I36" i="11"/>
  <c r="I36" i="10"/>
  <c r="I38" i="24"/>
  <c r="I38" i="13"/>
  <c r="I38" i="12"/>
  <c r="I38" i="10"/>
  <c r="I38" i="11"/>
  <c r="I39" i="24"/>
  <c r="I39" i="13"/>
  <c r="I39" i="12"/>
  <c r="I39" i="11"/>
  <c r="I39" i="10"/>
  <c r="I40" i="24"/>
  <c r="I40" i="13"/>
  <c r="I40" i="12"/>
  <c r="I40" i="11"/>
  <c r="I40" i="10"/>
  <c r="I42" i="24"/>
  <c r="I42" i="13"/>
  <c r="I42" i="12"/>
  <c r="I42" i="10"/>
  <c r="I42" i="11"/>
  <c r="I43" i="24"/>
  <c r="I43" i="13"/>
  <c r="I43" i="12"/>
  <c r="I43" i="11"/>
  <c r="I43" i="10"/>
  <c r="I44" i="24"/>
  <c r="I44" i="13"/>
  <c r="I44" i="12"/>
  <c r="I44" i="11"/>
  <c r="I44" i="10"/>
  <c r="I46" i="24"/>
  <c r="AD98" i="24" s="1"/>
  <c r="I46" i="13"/>
  <c r="I46" i="12"/>
  <c r="I46" i="10"/>
  <c r="I46" i="11"/>
  <c r="I47" i="24"/>
  <c r="I47" i="13"/>
  <c r="I47" i="11"/>
  <c r="I47" i="12"/>
  <c r="I47" i="10"/>
  <c r="I48" i="24"/>
  <c r="I48" i="13"/>
  <c r="I48" i="12"/>
  <c r="I48" i="11"/>
  <c r="I48" i="10"/>
  <c r="I49" i="24"/>
  <c r="AC101" i="24" s="1"/>
  <c r="I49" i="13"/>
  <c r="I49" i="12"/>
  <c r="I49" i="10"/>
  <c r="I49" i="11"/>
  <c r="I50" i="24"/>
  <c r="I50" i="13"/>
  <c r="I50" i="12"/>
  <c r="I50" i="10"/>
  <c r="I50" i="11"/>
  <c r="I51" i="24"/>
  <c r="I51" i="13"/>
  <c r="I51" i="12"/>
  <c r="I51" i="11"/>
  <c r="I51" i="10"/>
  <c r="U22" i="3"/>
  <c r="I24" i="23"/>
  <c r="I24" i="14"/>
  <c r="I24" i="9"/>
  <c r="I24" i="8"/>
  <c r="I24" i="6"/>
  <c r="I24" i="7"/>
  <c r="I6" i="23"/>
  <c r="I6" i="14"/>
  <c r="I6" i="6"/>
  <c r="I6" i="7"/>
  <c r="I6" i="9"/>
  <c r="I6" i="8"/>
  <c r="I7" i="23"/>
  <c r="I7" i="14"/>
  <c r="I7" i="7"/>
  <c r="I7" i="9"/>
  <c r="I7" i="8"/>
  <c r="I7" i="6"/>
  <c r="I8" i="23"/>
  <c r="I8" i="14"/>
  <c r="I8" i="9"/>
  <c r="I8" i="8"/>
  <c r="I8" i="6"/>
  <c r="I8" i="7"/>
  <c r="I9" i="23"/>
  <c r="I9" i="14"/>
  <c r="I9" i="9"/>
  <c r="I9" i="8"/>
  <c r="I9" i="6"/>
  <c r="I9" i="7"/>
  <c r="I11" i="23"/>
  <c r="I11" i="14"/>
  <c r="I11" i="7"/>
  <c r="I11" i="9"/>
  <c r="I11" i="8"/>
  <c r="I11" i="6"/>
  <c r="I12" i="23"/>
  <c r="I12" i="14"/>
  <c r="I12" i="9"/>
  <c r="I12" i="8"/>
  <c r="I12" i="6"/>
  <c r="I12" i="7"/>
  <c r="I13" i="23"/>
  <c r="I13" i="14"/>
  <c r="I13" i="9"/>
  <c r="I13" i="8"/>
  <c r="I13" i="6"/>
  <c r="I13" i="7"/>
  <c r="I15" i="23"/>
  <c r="I15" i="14"/>
  <c r="I15" i="7"/>
  <c r="I15" i="9"/>
  <c r="I15" i="8"/>
  <c r="I15" i="6"/>
  <c r="I16" i="23"/>
  <c r="I16" i="14"/>
  <c r="I16" i="9"/>
  <c r="I16" i="8"/>
  <c r="I16" i="6"/>
  <c r="I16" i="7"/>
  <c r="I17" i="23"/>
  <c r="I17" i="14"/>
  <c r="I17" i="9"/>
  <c r="I17" i="8"/>
  <c r="I17" i="6"/>
  <c r="I17" i="7"/>
  <c r="I19" i="23"/>
  <c r="I19" i="14"/>
  <c r="I19" i="7"/>
  <c r="I19" i="9"/>
  <c r="I19" i="8"/>
  <c r="I19" i="6"/>
  <c r="I20" i="23"/>
  <c r="I20" i="14"/>
  <c r="I20" i="9"/>
  <c r="I20" i="8"/>
  <c r="I20" i="6"/>
  <c r="I20" i="7"/>
  <c r="I21" i="23"/>
  <c r="I21" i="14"/>
  <c r="I21" i="9"/>
  <c r="I21" i="8"/>
  <c r="I21" i="6"/>
  <c r="I21" i="7"/>
  <c r="AO2" i="16"/>
  <c r="U20" i="3"/>
  <c r="AJ4" i="16"/>
  <c r="AT4" i="16"/>
  <c r="AM74" i="7"/>
  <c r="AJ2" i="16"/>
  <c r="AO4" i="16"/>
  <c r="AT5" i="16"/>
  <c r="AJ5" i="16"/>
  <c r="AT7" i="16"/>
  <c r="AJ7" i="16"/>
  <c r="AO3" i="16"/>
  <c r="AJ6" i="16"/>
  <c r="AO7" i="16"/>
  <c r="AT3" i="16"/>
  <c r="AA9" i="21"/>
  <c r="AA10" i="21"/>
  <c r="AC33" i="17"/>
  <c r="AC35" i="17"/>
  <c r="AC37" i="17"/>
  <c r="AC39" i="17"/>
  <c r="AC41" i="17"/>
  <c r="AC248" i="17"/>
  <c r="AC250" i="17"/>
  <c r="AC280" i="17"/>
  <c r="AC282" i="17"/>
  <c r="AC284" i="17"/>
  <c r="AC286" i="17"/>
  <c r="AC288" i="17"/>
  <c r="AC290" i="17"/>
  <c r="AC292" i="17"/>
  <c r="AC294" i="17"/>
  <c r="AC296" i="17"/>
  <c r="AC298" i="17"/>
  <c r="AC300" i="17"/>
  <c r="AC302" i="17"/>
  <c r="AO6" i="16"/>
  <c r="AA12" i="21"/>
  <c r="AC13" i="17"/>
  <c r="AC15" i="17"/>
  <c r="AC17" i="17"/>
  <c r="AC51" i="17"/>
  <c r="AC53" i="17"/>
  <c r="AC55" i="17"/>
  <c r="AC57" i="17"/>
  <c r="AC59" i="17"/>
  <c r="AC61" i="17"/>
  <c r="AD10" i="21"/>
  <c r="AC146" i="17"/>
  <c r="AC152" i="17"/>
  <c r="AC162" i="17"/>
  <c r="AC163" i="17"/>
  <c r="AC3" i="17"/>
  <c r="AC7" i="17"/>
  <c r="AC64" i="17"/>
  <c r="AC68" i="17"/>
  <c r="AC72" i="17"/>
  <c r="AC88" i="17"/>
  <c r="AC92" i="17"/>
  <c r="AC96" i="17"/>
  <c r="AC208" i="17"/>
  <c r="AC212" i="17"/>
  <c r="AC216" i="17"/>
  <c r="AC220" i="17"/>
  <c r="AC224" i="17"/>
  <c r="AC228" i="17"/>
  <c r="AC232" i="17"/>
  <c r="AC236" i="17"/>
  <c r="AC240" i="17"/>
  <c r="AD9" i="21"/>
  <c r="J1479" i="21"/>
  <c r="M1479" i="21" s="1"/>
  <c r="J1475" i="21"/>
  <c r="M1475" i="21" s="1"/>
  <c r="J1471" i="21"/>
  <c r="M1471" i="21" s="1"/>
  <c r="J1467" i="21"/>
  <c r="M1467" i="21" s="1"/>
  <c r="J1463" i="21"/>
  <c r="M1463" i="21" s="1"/>
  <c r="J1459" i="21"/>
  <c r="M1459" i="21" s="1"/>
  <c r="J1455" i="21"/>
  <c r="M1455" i="21" s="1"/>
  <c r="J1451" i="21"/>
  <c r="M1451" i="21" s="1"/>
  <c r="J1447" i="21"/>
  <c r="M1447" i="21" s="1"/>
  <c r="J1443" i="21"/>
  <c r="M1443" i="21" s="1"/>
  <c r="J1439" i="21"/>
  <c r="M1439" i="21" s="1"/>
  <c r="J1435" i="21"/>
  <c r="M1435" i="21" s="1"/>
  <c r="J1478" i="21"/>
  <c r="M1478" i="21" s="1"/>
  <c r="J1474" i="21"/>
  <c r="M1474" i="21" s="1"/>
  <c r="J1470" i="21"/>
  <c r="M1470" i="21" s="1"/>
  <c r="J1466" i="21"/>
  <c r="M1466" i="21" s="1"/>
  <c r="J1462" i="21"/>
  <c r="M1462" i="21" s="1"/>
  <c r="J1458" i="21"/>
  <c r="M1458" i="21" s="1"/>
  <c r="J1454" i="21"/>
  <c r="M1454" i="21" s="1"/>
  <c r="J1450" i="21"/>
  <c r="M1450" i="21" s="1"/>
  <c r="J1446" i="21"/>
  <c r="M1446" i="21" s="1"/>
  <c r="J1442" i="21"/>
  <c r="M1442" i="21" s="1"/>
  <c r="J1438" i="21"/>
  <c r="M1438" i="21" s="1"/>
  <c r="J1477" i="21"/>
  <c r="M1477" i="21" s="1"/>
  <c r="J1473" i="21"/>
  <c r="M1473" i="21" s="1"/>
  <c r="J1469" i="21"/>
  <c r="M1469" i="21" s="1"/>
  <c r="J1465" i="21"/>
  <c r="M1465" i="21" s="1"/>
  <c r="J1461" i="21"/>
  <c r="M1461" i="21" s="1"/>
  <c r="J1457" i="21"/>
  <c r="M1457" i="21" s="1"/>
  <c r="J1453" i="21"/>
  <c r="M1453" i="21" s="1"/>
  <c r="J1449" i="21"/>
  <c r="M1449" i="21" s="1"/>
  <c r="J1445" i="21"/>
  <c r="M1445" i="21" s="1"/>
  <c r="J1441" i="21"/>
  <c r="M1441" i="21" s="1"/>
  <c r="J1437" i="21"/>
  <c r="M1437" i="21" s="1"/>
  <c r="J1476" i="21"/>
  <c r="M1476" i="21" s="1"/>
  <c r="J1472" i="21"/>
  <c r="M1472" i="21" s="1"/>
  <c r="J1468" i="21"/>
  <c r="M1468" i="21" s="1"/>
  <c r="J1464" i="21"/>
  <c r="M1464" i="21" s="1"/>
  <c r="J1460" i="21"/>
  <c r="M1460" i="21" s="1"/>
  <c r="J1456" i="21"/>
  <c r="M1456" i="21" s="1"/>
  <c r="J1452" i="21"/>
  <c r="M1452" i="21" s="1"/>
  <c r="J1448" i="21"/>
  <c r="M1448" i="21" s="1"/>
  <c r="J1444" i="21"/>
  <c r="M1444" i="21" s="1"/>
  <c r="J1440" i="21"/>
  <c r="M1440" i="21" s="1"/>
  <c r="J1436" i="21"/>
  <c r="M1436" i="21" s="1"/>
  <c r="AC120" i="17"/>
  <c r="AC130" i="17"/>
  <c r="AC133" i="17"/>
  <c r="AC150" i="17"/>
  <c r="AC156" i="17"/>
  <c r="AC166" i="17"/>
  <c r="AC169" i="17"/>
  <c r="AC170" i="17"/>
  <c r="AC203" i="17"/>
  <c r="AC207" i="17"/>
  <c r="AC211" i="17"/>
  <c r="AC215" i="17"/>
  <c r="AC219" i="17"/>
  <c r="AC223" i="17"/>
  <c r="AC227" i="17"/>
  <c r="AC231" i="17"/>
  <c r="AC235" i="17"/>
  <c r="AC239" i="17"/>
  <c r="AC437" i="17"/>
  <c r="AC441" i="17"/>
  <c r="AC445" i="17"/>
  <c r="AC449" i="17"/>
  <c r="AC453" i="17"/>
  <c r="AC457" i="17"/>
  <c r="AC461" i="17"/>
  <c r="AC465" i="17"/>
  <c r="AC469" i="17"/>
  <c r="AC473" i="17"/>
  <c r="AC477" i="17"/>
  <c r="AC481" i="17"/>
  <c r="AC485" i="17"/>
  <c r="AC489" i="17"/>
  <c r="AC493" i="17"/>
  <c r="AC497" i="17"/>
  <c r="AC501" i="17"/>
  <c r="AC505" i="17"/>
  <c r="AC509" i="17"/>
  <c r="AC513" i="17"/>
  <c r="AC517" i="17"/>
  <c r="AC521" i="17"/>
  <c r="AC525" i="17"/>
  <c r="AC529" i="17"/>
  <c r="AC533" i="17"/>
  <c r="AC537" i="17"/>
  <c r="AC585" i="17"/>
  <c r="AC589" i="17"/>
  <c r="AC593" i="17"/>
  <c r="AC597" i="17"/>
  <c r="AC601" i="17"/>
  <c r="AC605" i="17"/>
  <c r="AC609" i="17"/>
  <c r="AC613" i="17"/>
  <c r="AC617" i="17"/>
  <c r="AC621" i="17"/>
  <c r="AC625" i="17"/>
  <c r="AC629" i="17"/>
  <c r="AC18" i="17"/>
  <c r="AC19" i="17"/>
  <c r="AC20" i="17"/>
  <c r="AC21" i="17"/>
  <c r="AC22" i="17"/>
  <c r="AC23" i="17"/>
  <c r="AC24" i="17"/>
  <c r="AC25" i="17"/>
  <c r="AC26" i="17"/>
  <c r="AC27" i="17"/>
  <c r="AC28" i="17"/>
  <c r="AC29" i="17"/>
  <c r="AC30" i="17"/>
  <c r="AC31" i="17"/>
  <c r="AC32" i="17"/>
  <c r="AC112" i="17"/>
  <c r="AC127" i="17"/>
  <c r="AC134" i="17"/>
  <c r="AC136" i="17"/>
  <c r="AC138" i="17"/>
  <c r="AC140" i="17"/>
  <c r="AC142" i="17"/>
  <c r="AC144" i="17"/>
  <c r="AC145" i="17"/>
  <c r="AC151" i="17"/>
  <c r="AC160" i="17"/>
  <c r="AC243" i="17"/>
  <c r="AC244" i="17"/>
  <c r="AC245" i="17"/>
  <c r="AC246" i="17"/>
  <c r="AC247" i="17"/>
  <c r="AC304" i="17"/>
  <c r="AC305" i="17"/>
  <c r="AC306" i="17"/>
  <c r="AC307" i="17"/>
  <c r="AC308" i="17"/>
  <c r="AC310" i="17"/>
  <c r="AC311" i="17"/>
  <c r="AC312" i="17"/>
  <c r="AC314" i="17"/>
  <c r="AC315" i="17"/>
  <c r="AC316" i="17"/>
  <c r="AC317" i="17"/>
  <c r="AC318" i="17"/>
  <c r="AC319" i="17"/>
  <c r="AC320" i="17"/>
  <c r="AC322" i="17"/>
  <c r="AC323" i="17"/>
  <c r="AC324" i="17"/>
  <c r="AC325" i="17"/>
  <c r="AC326" i="17"/>
  <c r="AC327" i="17"/>
  <c r="AC328" i="17"/>
  <c r="AC758" i="17"/>
  <c r="AC759" i="17"/>
  <c r="AC760" i="17"/>
  <c r="AC761" i="17"/>
  <c r="AC762" i="17"/>
  <c r="AC763" i="17"/>
  <c r="AC764" i="17"/>
  <c r="AC765" i="17"/>
  <c r="AC766" i="17"/>
  <c r="AC767" i="17"/>
  <c r="AC768" i="17"/>
  <c r="AC769" i="17"/>
  <c r="AC770" i="17"/>
  <c r="AC771" i="17"/>
  <c r="AC772" i="17"/>
  <c r="AC773" i="17"/>
  <c r="AC774" i="17"/>
  <c r="AC775" i="17"/>
  <c r="AC776" i="17"/>
  <c r="AC777" i="17"/>
  <c r="AC778" i="17"/>
  <c r="AC779" i="17"/>
  <c r="AC780" i="17"/>
  <c r="AC781" i="17"/>
  <c r="AC782" i="17"/>
  <c r="AC783" i="17"/>
  <c r="AC786" i="17"/>
  <c r="AC788" i="17"/>
  <c r="AC790" i="17"/>
  <c r="AC791" i="17"/>
  <c r="X5" i="21"/>
  <c r="AF5" i="21" s="1"/>
  <c r="Y5" i="21"/>
  <c r="AG5" i="21" s="1"/>
  <c r="R11" i="21"/>
  <c r="AJ8" i="21"/>
  <c r="X13" i="21"/>
  <c r="AF13" i="21" s="1"/>
  <c r="X3" i="21"/>
  <c r="AF3" i="21" s="1"/>
  <c r="AG13" i="21"/>
  <c r="M58" i="12"/>
  <c r="P58" i="12"/>
  <c r="S15" i="11"/>
  <c r="R13" i="11"/>
  <c r="R16" i="11"/>
  <c r="BD75" i="23"/>
  <c r="AZ75" i="23"/>
  <c r="AV75" i="23"/>
  <c r="AR75" i="23"/>
  <c r="AN75" i="23"/>
  <c r="AJ75" i="23"/>
  <c r="BC75" i="23"/>
  <c r="AY75" i="23"/>
  <c r="AU75" i="23"/>
  <c r="AQ75" i="23"/>
  <c r="AM75" i="23"/>
  <c r="AI75" i="23"/>
  <c r="BB75" i="23"/>
  <c r="AT75" i="23"/>
  <c r="AL75" i="23"/>
  <c r="BA75" i="23"/>
  <c r="AS75" i="23"/>
  <c r="AK75" i="23"/>
  <c r="AX75" i="23"/>
  <c r="AP75" i="23"/>
  <c r="BD95" i="23"/>
  <c r="AZ95" i="23"/>
  <c r="AV95" i="23"/>
  <c r="AR95" i="23"/>
  <c r="AN95" i="23"/>
  <c r="AJ95" i="23"/>
  <c r="BC95" i="23"/>
  <c r="AY95" i="23"/>
  <c r="AU95" i="23"/>
  <c r="AQ95" i="23"/>
  <c r="AM95" i="23"/>
  <c r="AI95" i="23"/>
  <c r="BB95" i="23"/>
  <c r="AT95" i="23"/>
  <c r="AL95" i="23"/>
  <c r="AO95" i="23"/>
  <c r="BA95" i="23"/>
  <c r="AS95" i="23"/>
  <c r="AK95" i="23"/>
  <c r="AX95" i="23"/>
  <c r="AP95" i="23"/>
  <c r="AW95" i="23"/>
  <c r="BB99" i="23"/>
  <c r="AX99" i="23"/>
  <c r="AT99" i="23"/>
  <c r="AP99" i="23"/>
  <c r="AL99" i="23"/>
  <c r="AZ99" i="23"/>
  <c r="AU99" i="23"/>
  <c r="AO99" i="23"/>
  <c r="AJ99" i="23"/>
  <c r="BD99" i="23"/>
  <c r="AY99" i="23"/>
  <c r="AS99" i="23"/>
  <c r="AN99" i="23"/>
  <c r="AI99" i="23"/>
  <c r="AW99" i="23"/>
  <c r="AM99" i="23"/>
  <c r="AQ99" i="23"/>
  <c r="AV99" i="23"/>
  <c r="AK99" i="23"/>
  <c r="BC99" i="23"/>
  <c r="AR99" i="23"/>
  <c r="BA99" i="23"/>
  <c r="BB103" i="23"/>
  <c r="AX103" i="23"/>
  <c r="AT103" i="23"/>
  <c r="AP103" i="23"/>
  <c r="AL103" i="23"/>
  <c r="BA103" i="23"/>
  <c r="AW103" i="23"/>
  <c r="AS103" i="23"/>
  <c r="AO103" i="23"/>
  <c r="AK103" i="23"/>
  <c r="AY103" i="23"/>
  <c r="AQ103" i="23"/>
  <c r="AI103" i="23"/>
  <c r="BD103" i="23"/>
  <c r="AV103" i="23"/>
  <c r="AN103" i="23"/>
  <c r="BC103" i="23"/>
  <c r="AU103" i="23"/>
  <c r="AM103" i="23"/>
  <c r="AJ103" i="23"/>
  <c r="AZ103" i="23"/>
  <c r="AR103" i="23"/>
  <c r="BB107" i="23"/>
  <c r="AX107" i="23"/>
  <c r="AT107" i="23"/>
  <c r="AP107" i="23"/>
  <c r="AL107" i="23"/>
  <c r="BA107" i="23"/>
  <c r="AW107" i="23"/>
  <c r="AS107" i="23"/>
  <c r="AO107" i="23"/>
  <c r="AK107" i="23"/>
  <c r="P107" i="23"/>
  <c r="AY107" i="23"/>
  <c r="AQ107" i="23"/>
  <c r="AI107" i="23"/>
  <c r="R107" i="23"/>
  <c r="BD107" i="23"/>
  <c r="AV107" i="23"/>
  <c r="AN107" i="23"/>
  <c r="BC107" i="23"/>
  <c r="AU107" i="23"/>
  <c r="AM107" i="23"/>
  <c r="AZ107" i="23"/>
  <c r="AR107" i="23"/>
  <c r="AJ107" i="23"/>
  <c r="BB111" i="23"/>
  <c r="AX111" i="23"/>
  <c r="AT111" i="23"/>
  <c r="AP111" i="23"/>
  <c r="AL111" i="23"/>
  <c r="BA111" i="23"/>
  <c r="AW111" i="23"/>
  <c r="AS111" i="23"/>
  <c r="AO111" i="23"/>
  <c r="AK111" i="23"/>
  <c r="AY111" i="23"/>
  <c r="AQ111" i="23"/>
  <c r="AI111" i="23"/>
  <c r="BD111" i="23"/>
  <c r="AV111" i="23"/>
  <c r="AN111" i="23"/>
  <c r="BC111" i="23"/>
  <c r="AU111" i="23"/>
  <c r="AM111" i="23"/>
  <c r="AZ111" i="23"/>
  <c r="AR111" i="23"/>
  <c r="AJ111" i="23"/>
  <c r="BB115" i="23"/>
  <c r="AX115" i="23"/>
  <c r="AT115" i="23"/>
  <c r="AP115" i="23"/>
  <c r="AL115" i="23"/>
  <c r="BA115" i="23"/>
  <c r="AW115" i="23"/>
  <c r="AS115" i="23"/>
  <c r="AO115" i="23"/>
  <c r="AK115" i="23"/>
  <c r="P115" i="23"/>
  <c r="BD115" i="23"/>
  <c r="AV115" i="23"/>
  <c r="AN115" i="23"/>
  <c r="BC115" i="23"/>
  <c r="AU115" i="23"/>
  <c r="AM115" i="23"/>
  <c r="AY115" i="23"/>
  <c r="AI115" i="23"/>
  <c r="R115" i="23"/>
  <c r="AR115" i="23"/>
  <c r="AQ115" i="23"/>
  <c r="AJ115" i="23"/>
  <c r="AZ115" i="23"/>
  <c r="BB119" i="23"/>
  <c r="AX119" i="23"/>
  <c r="AT119" i="23"/>
  <c r="AP119" i="23"/>
  <c r="AL119" i="23"/>
  <c r="BA119" i="23"/>
  <c r="AW119" i="23"/>
  <c r="AS119" i="23"/>
  <c r="AO119" i="23"/>
  <c r="AK119" i="23"/>
  <c r="BD119" i="23"/>
  <c r="AV119" i="23"/>
  <c r="AN119" i="23"/>
  <c r="BC119" i="23"/>
  <c r="AU119" i="23"/>
  <c r="AM119" i="23"/>
  <c r="AY119" i="23"/>
  <c r="AI119" i="23"/>
  <c r="AR119" i="23"/>
  <c r="AQ119" i="23"/>
  <c r="AJ119" i="23"/>
  <c r="AZ119" i="23"/>
  <c r="BB123" i="23"/>
  <c r="AX123" i="23"/>
  <c r="AT123" i="23"/>
  <c r="AP123" i="23"/>
  <c r="AL123" i="23"/>
  <c r="BA123" i="23"/>
  <c r="AW123" i="23"/>
  <c r="AS123" i="23"/>
  <c r="AO123" i="23"/>
  <c r="AK123" i="23"/>
  <c r="BD123" i="23"/>
  <c r="AV123" i="23"/>
  <c r="AN123" i="23"/>
  <c r="BC123" i="23"/>
  <c r="AU123" i="23"/>
  <c r="AM123" i="23"/>
  <c r="AY123" i="23"/>
  <c r="AI123" i="23"/>
  <c r="AR123" i="23"/>
  <c r="AQ123" i="23"/>
  <c r="AZ123" i="23"/>
  <c r="AJ123" i="23"/>
  <c r="BB127" i="23"/>
  <c r="AX127" i="23"/>
  <c r="AT127" i="23"/>
  <c r="AP127" i="23"/>
  <c r="AL127" i="23"/>
  <c r="BA127" i="23"/>
  <c r="AW127" i="23"/>
  <c r="AS127" i="23"/>
  <c r="AO127" i="23"/>
  <c r="AK127" i="23"/>
  <c r="BD127" i="23"/>
  <c r="AV127" i="23"/>
  <c r="AN127" i="23"/>
  <c r="BC127" i="23"/>
  <c r="AU127" i="23"/>
  <c r="AM127" i="23"/>
  <c r="AY127" i="23"/>
  <c r="AI127" i="23"/>
  <c r="AR127" i="23"/>
  <c r="AQ127" i="23"/>
  <c r="AZ127" i="23"/>
  <c r="AJ127" i="23"/>
  <c r="BB131" i="23"/>
  <c r="AX131" i="23"/>
  <c r="AT131" i="23"/>
  <c r="AP131" i="23"/>
  <c r="AL131" i="23"/>
  <c r="BA131" i="23"/>
  <c r="AW131" i="23"/>
  <c r="AS131" i="23"/>
  <c r="AO131" i="23"/>
  <c r="AK131" i="23"/>
  <c r="BD131" i="23"/>
  <c r="AV131" i="23"/>
  <c r="AN131" i="23"/>
  <c r="BC131" i="23"/>
  <c r="AU131" i="23"/>
  <c r="AM131" i="23"/>
  <c r="AY131" i="23"/>
  <c r="AI131" i="23"/>
  <c r="AR131" i="23"/>
  <c r="AQ131" i="23"/>
  <c r="AZ131" i="23"/>
  <c r="AJ131" i="23"/>
  <c r="BB135" i="23"/>
  <c r="AX135" i="23"/>
  <c r="AT135" i="23"/>
  <c r="AP135" i="23"/>
  <c r="AL135" i="23"/>
  <c r="BA135" i="23"/>
  <c r="AW135" i="23"/>
  <c r="AS135" i="23"/>
  <c r="AO135" i="23"/>
  <c r="AK135" i="23"/>
  <c r="BD135" i="23"/>
  <c r="AV135" i="23"/>
  <c r="AN135" i="23"/>
  <c r="BC135" i="23"/>
  <c r="AU135" i="23"/>
  <c r="AM135" i="23"/>
  <c r="AY135" i="23"/>
  <c r="AI135" i="23"/>
  <c r="AR135" i="23"/>
  <c r="AQ135" i="23"/>
  <c r="AJ135" i="23"/>
  <c r="AZ135" i="23"/>
  <c r="AO75" i="23"/>
  <c r="AW75" i="23"/>
  <c r="AL78" i="23"/>
  <c r="AT78" i="23"/>
  <c r="BB78" i="23"/>
  <c r="AL82" i="23"/>
  <c r="AT82" i="23"/>
  <c r="BB82" i="23"/>
  <c r="AL86" i="23"/>
  <c r="AT86" i="23"/>
  <c r="BB86" i="23"/>
  <c r="AL90" i="23"/>
  <c r="AT90" i="23"/>
  <c r="BB90" i="23"/>
  <c r="AO78" i="23"/>
  <c r="AO82" i="23"/>
  <c r="AO86" i="23"/>
  <c r="AO90" i="23"/>
  <c r="BD78" i="23"/>
  <c r="AZ78" i="23"/>
  <c r="AV78" i="23"/>
  <c r="AR78" i="23"/>
  <c r="AN78" i="23"/>
  <c r="AJ78" i="23"/>
  <c r="BC78" i="23"/>
  <c r="AY78" i="23"/>
  <c r="AU78" i="23"/>
  <c r="AQ78" i="23"/>
  <c r="AM78" i="23"/>
  <c r="AI78" i="23"/>
  <c r="BD82" i="23"/>
  <c r="AZ82" i="23"/>
  <c r="AV82" i="23"/>
  <c r="AR82" i="23"/>
  <c r="AN82" i="23"/>
  <c r="AJ82" i="23"/>
  <c r="BC82" i="23"/>
  <c r="AY82" i="23"/>
  <c r="AU82" i="23"/>
  <c r="AQ82" i="23"/>
  <c r="AM82" i="23"/>
  <c r="AI82" i="23"/>
  <c r="BD86" i="23"/>
  <c r="AZ86" i="23"/>
  <c r="AV86" i="23"/>
  <c r="AR86" i="23"/>
  <c r="AN86" i="23"/>
  <c r="AJ86" i="23"/>
  <c r="BC86" i="23"/>
  <c r="AY86" i="23"/>
  <c r="AU86" i="23"/>
  <c r="AQ86" i="23"/>
  <c r="AM86" i="23"/>
  <c r="AI86" i="23"/>
  <c r="BD90" i="23"/>
  <c r="AZ90" i="23"/>
  <c r="AV90" i="23"/>
  <c r="AR90" i="23"/>
  <c r="AN90" i="23"/>
  <c r="AJ90" i="23"/>
  <c r="BC90" i="23"/>
  <c r="AY90" i="23"/>
  <c r="AU90" i="23"/>
  <c r="AQ90" i="23"/>
  <c r="AM90" i="23"/>
  <c r="AI90" i="23"/>
  <c r="AP78" i="23"/>
  <c r="AX78" i="23"/>
  <c r="AP82" i="23"/>
  <c r="AX82" i="23"/>
  <c r="AP86" i="23"/>
  <c r="AX86" i="23"/>
  <c r="AP90" i="23"/>
  <c r="AX90" i="23"/>
  <c r="BB100" i="23"/>
  <c r="AX100" i="23"/>
  <c r="AT100" i="23"/>
  <c r="AP100" i="23"/>
  <c r="AL100" i="23"/>
  <c r="BB104" i="23"/>
  <c r="AX104" i="23"/>
  <c r="AT104" i="23"/>
  <c r="AP104" i="23"/>
  <c r="AL104" i="23"/>
  <c r="BA104" i="23"/>
  <c r="AW104" i="23"/>
  <c r="AS104" i="23"/>
  <c r="AO104" i="23"/>
  <c r="AK104" i="23"/>
  <c r="BB108" i="23"/>
  <c r="AX108" i="23"/>
  <c r="AT108" i="23"/>
  <c r="AP108" i="23"/>
  <c r="AL108" i="23"/>
  <c r="BA108" i="23"/>
  <c r="AW108" i="23"/>
  <c r="AS108" i="23"/>
  <c r="AO108" i="23"/>
  <c r="AK108" i="23"/>
  <c r="P108" i="23"/>
  <c r="BB112" i="23"/>
  <c r="AX112" i="23"/>
  <c r="AT112" i="23"/>
  <c r="AP112" i="23"/>
  <c r="AL112" i="23"/>
  <c r="BA112" i="23"/>
  <c r="AW112" i="23"/>
  <c r="AS112" i="23"/>
  <c r="AO112" i="23"/>
  <c r="AK112" i="23"/>
  <c r="P112" i="23"/>
  <c r="BB116" i="23"/>
  <c r="AX116" i="23"/>
  <c r="AT116" i="23"/>
  <c r="AP116" i="23"/>
  <c r="AL116" i="23"/>
  <c r="BA116" i="23"/>
  <c r="AW116" i="23"/>
  <c r="AS116" i="23"/>
  <c r="AO116" i="23"/>
  <c r="AK116" i="23"/>
  <c r="AZ116" i="23"/>
  <c r="AR116" i="23"/>
  <c r="AJ116" i="23"/>
  <c r="AY116" i="23"/>
  <c r="AQ116" i="23"/>
  <c r="AI116" i="23"/>
  <c r="BB120" i="23"/>
  <c r="AX120" i="23"/>
  <c r="AT120" i="23"/>
  <c r="AP120" i="23"/>
  <c r="AL120" i="23"/>
  <c r="BA120" i="23"/>
  <c r="AW120" i="23"/>
  <c r="AS120" i="23"/>
  <c r="AO120" i="23"/>
  <c r="AK120" i="23"/>
  <c r="AZ120" i="23"/>
  <c r="AR120" i="23"/>
  <c r="AJ120" i="23"/>
  <c r="AY120" i="23"/>
  <c r="AQ120" i="23"/>
  <c r="AI120" i="23"/>
  <c r="BB124" i="23"/>
  <c r="AX124" i="23"/>
  <c r="AT124" i="23"/>
  <c r="AP124" i="23"/>
  <c r="AL124" i="23"/>
  <c r="BA124" i="23"/>
  <c r="AW124" i="23"/>
  <c r="AS124" i="23"/>
  <c r="AO124" i="23"/>
  <c r="AK124" i="23"/>
  <c r="AZ124" i="23"/>
  <c r="AR124" i="23"/>
  <c r="AJ124" i="23"/>
  <c r="AY124" i="23"/>
  <c r="AQ124" i="23"/>
  <c r="AI124" i="23"/>
  <c r="BB128" i="23"/>
  <c r="AX128" i="23"/>
  <c r="AT128" i="23"/>
  <c r="AP128" i="23"/>
  <c r="AL128" i="23"/>
  <c r="BA128" i="23"/>
  <c r="AW128" i="23"/>
  <c r="AS128" i="23"/>
  <c r="AO128" i="23"/>
  <c r="AK128" i="23"/>
  <c r="AZ128" i="23"/>
  <c r="AR128" i="23"/>
  <c r="AJ128" i="23"/>
  <c r="AY128" i="23"/>
  <c r="AQ128" i="23"/>
  <c r="AI128" i="23"/>
  <c r="BB132" i="23"/>
  <c r="AX132" i="23"/>
  <c r="AT132" i="23"/>
  <c r="AP132" i="23"/>
  <c r="AL132" i="23"/>
  <c r="BA132" i="23"/>
  <c r="AW132" i="23"/>
  <c r="AS132" i="23"/>
  <c r="AO132" i="23"/>
  <c r="AK132" i="23"/>
  <c r="AZ132" i="23"/>
  <c r="AR132" i="23"/>
  <c r="AJ132" i="23"/>
  <c r="AY132" i="23"/>
  <c r="AQ132" i="23"/>
  <c r="AI132" i="23"/>
  <c r="BB136" i="23"/>
  <c r="AX136" i="23"/>
  <c r="AT136" i="23"/>
  <c r="AP136" i="23"/>
  <c r="AL136" i="23"/>
  <c r="BA136" i="23"/>
  <c r="AW136" i="23"/>
  <c r="AS136" i="23"/>
  <c r="AO136" i="23"/>
  <c r="AK136" i="23"/>
  <c r="AZ136" i="23"/>
  <c r="AR136" i="23"/>
  <c r="AJ136" i="23"/>
  <c r="AY136" i="23"/>
  <c r="AQ136" i="23"/>
  <c r="AI136" i="23"/>
  <c r="AI76" i="23"/>
  <c r="AM76" i="23"/>
  <c r="AQ76" i="23"/>
  <c r="AU76" i="23"/>
  <c r="AY76" i="23"/>
  <c r="BC76" i="23"/>
  <c r="AI77" i="23"/>
  <c r="AM77" i="23"/>
  <c r="AQ77" i="23"/>
  <c r="AU77" i="23"/>
  <c r="AY77" i="23"/>
  <c r="BC77" i="23"/>
  <c r="AI80" i="23"/>
  <c r="AM80" i="23"/>
  <c r="AQ80" i="23"/>
  <c r="AU80" i="23"/>
  <c r="AY80" i="23"/>
  <c r="BC80" i="23"/>
  <c r="AI81" i="23"/>
  <c r="AM81" i="23"/>
  <c r="AQ81" i="23"/>
  <c r="AU81" i="23"/>
  <c r="AY81" i="23"/>
  <c r="BC81" i="23"/>
  <c r="AI84" i="23"/>
  <c r="AM84" i="23"/>
  <c r="AQ84" i="23"/>
  <c r="AU84" i="23"/>
  <c r="AY84" i="23"/>
  <c r="BC84" i="23"/>
  <c r="AI85" i="23"/>
  <c r="AM85" i="23"/>
  <c r="AQ85" i="23"/>
  <c r="AU85" i="23"/>
  <c r="AY85" i="23"/>
  <c r="BC85" i="23"/>
  <c r="AI88" i="23"/>
  <c r="AM88" i="23"/>
  <c r="AQ88" i="23"/>
  <c r="AU88" i="23"/>
  <c r="AY88" i="23"/>
  <c r="BC88" i="23"/>
  <c r="AI89" i="23"/>
  <c r="AM89" i="23"/>
  <c r="AQ89" i="23"/>
  <c r="AU89" i="23"/>
  <c r="AY89" i="23"/>
  <c r="BC89" i="23"/>
  <c r="AI93" i="23"/>
  <c r="AM93" i="23"/>
  <c r="AQ93" i="23"/>
  <c r="AU93" i="23"/>
  <c r="AY93" i="23"/>
  <c r="BC93" i="23"/>
  <c r="AI96" i="23"/>
  <c r="AM96" i="23"/>
  <c r="AQ96" i="23"/>
  <c r="AU96" i="23"/>
  <c r="AY96" i="23"/>
  <c r="BC96" i="23"/>
  <c r="AK97" i="23"/>
  <c r="AQ97" i="23"/>
  <c r="AV97" i="23"/>
  <c r="AM100" i="23"/>
  <c r="AR100" i="23"/>
  <c r="AW100" i="23"/>
  <c r="BC100" i="23"/>
  <c r="AK101" i="23"/>
  <c r="AQ101" i="23"/>
  <c r="AV101" i="23"/>
  <c r="AJ104" i="23"/>
  <c r="AR104" i="23"/>
  <c r="AZ104" i="23"/>
  <c r="AN105" i="23"/>
  <c r="AV105" i="23"/>
  <c r="AJ108" i="23"/>
  <c r="AR108" i="23"/>
  <c r="AZ108" i="23"/>
  <c r="AN109" i="23"/>
  <c r="AV109" i="23"/>
  <c r="AJ112" i="23"/>
  <c r="AR112" i="23"/>
  <c r="AZ112" i="23"/>
  <c r="AN113" i="23"/>
  <c r="AV113" i="23"/>
  <c r="AV116" i="23"/>
  <c r="AJ117" i="23"/>
  <c r="AV120" i="23"/>
  <c r="AJ121" i="23"/>
  <c r="AV124" i="23"/>
  <c r="AJ125" i="23"/>
  <c r="AV128" i="23"/>
  <c r="AJ129" i="23"/>
  <c r="AV132" i="23"/>
  <c r="AJ133" i="23"/>
  <c r="AV136" i="23"/>
  <c r="AJ137" i="23"/>
  <c r="BB97" i="23"/>
  <c r="AX97" i="23"/>
  <c r="AT97" i="23"/>
  <c r="AP97" i="23"/>
  <c r="AL97" i="23"/>
  <c r="BB101" i="23"/>
  <c r="AX101" i="23"/>
  <c r="AT101" i="23"/>
  <c r="AP101" i="23"/>
  <c r="AL101" i="23"/>
  <c r="BB105" i="23"/>
  <c r="AX105" i="23"/>
  <c r="AT105" i="23"/>
  <c r="AP105" i="23"/>
  <c r="AL105" i="23"/>
  <c r="BA105" i="23"/>
  <c r="AW105" i="23"/>
  <c r="AS105" i="23"/>
  <c r="AO105" i="23"/>
  <c r="AK105" i="23"/>
  <c r="BB109" i="23"/>
  <c r="AX109" i="23"/>
  <c r="AT109" i="23"/>
  <c r="AP109" i="23"/>
  <c r="AL109" i="23"/>
  <c r="BA109" i="23"/>
  <c r="AW109" i="23"/>
  <c r="AS109" i="23"/>
  <c r="AO109" i="23"/>
  <c r="AK109" i="23"/>
  <c r="P109" i="23"/>
  <c r="BB113" i="23"/>
  <c r="AX113" i="23"/>
  <c r="AT113" i="23"/>
  <c r="AP113" i="23"/>
  <c r="AL113" i="23"/>
  <c r="BA113" i="23"/>
  <c r="AW113" i="23"/>
  <c r="AS113" i="23"/>
  <c r="AO113" i="23"/>
  <c r="AK113" i="23"/>
  <c r="P113" i="23"/>
  <c r="BB117" i="23"/>
  <c r="AX117" i="23"/>
  <c r="AT117" i="23"/>
  <c r="AP117" i="23"/>
  <c r="AL117" i="23"/>
  <c r="BA117" i="23"/>
  <c r="AW117" i="23"/>
  <c r="AS117" i="23"/>
  <c r="AO117" i="23"/>
  <c r="AK117" i="23"/>
  <c r="BD117" i="23"/>
  <c r="AV117" i="23"/>
  <c r="AN117" i="23"/>
  <c r="BC117" i="23"/>
  <c r="AU117" i="23"/>
  <c r="AM117" i="23"/>
  <c r="BB121" i="23"/>
  <c r="AX121" i="23"/>
  <c r="AT121" i="23"/>
  <c r="AP121" i="23"/>
  <c r="AL121" i="23"/>
  <c r="BA121" i="23"/>
  <c r="AW121" i="23"/>
  <c r="AS121" i="23"/>
  <c r="AO121" i="23"/>
  <c r="AK121" i="23"/>
  <c r="BD121" i="23"/>
  <c r="AV121" i="23"/>
  <c r="AN121" i="23"/>
  <c r="BC121" i="23"/>
  <c r="AU121" i="23"/>
  <c r="AM121" i="23"/>
  <c r="BB125" i="23"/>
  <c r="AX125" i="23"/>
  <c r="AT125" i="23"/>
  <c r="AP125" i="23"/>
  <c r="AL125" i="23"/>
  <c r="BA125" i="23"/>
  <c r="AW125" i="23"/>
  <c r="AS125" i="23"/>
  <c r="AO125" i="23"/>
  <c r="AK125" i="23"/>
  <c r="BD125" i="23"/>
  <c r="AV125" i="23"/>
  <c r="AN125" i="23"/>
  <c r="BC125" i="23"/>
  <c r="AU125" i="23"/>
  <c r="AM125" i="23"/>
  <c r="BB129" i="23"/>
  <c r="AX129" i="23"/>
  <c r="AT129" i="23"/>
  <c r="AP129" i="23"/>
  <c r="AL129" i="23"/>
  <c r="BA129" i="23"/>
  <c r="AW129" i="23"/>
  <c r="AS129" i="23"/>
  <c r="AO129" i="23"/>
  <c r="AK129" i="23"/>
  <c r="BD129" i="23"/>
  <c r="AV129" i="23"/>
  <c r="AN129" i="23"/>
  <c r="BC129" i="23"/>
  <c r="AU129" i="23"/>
  <c r="AM129" i="23"/>
  <c r="BB133" i="23"/>
  <c r="AX133" i="23"/>
  <c r="AT133" i="23"/>
  <c r="AP133" i="23"/>
  <c r="AL133" i="23"/>
  <c r="BA133" i="23"/>
  <c r="AW133" i="23"/>
  <c r="AS133" i="23"/>
  <c r="AO133" i="23"/>
  <c r="AK133" i="23"/>
  <c r="BD133" i="23"/>
  <c r="AV133" i="23"/>
  <c r="AN133" i="23"/>
  <c r="BC133" i="23"/>
  <c r="AU133" i="23"/>
  <c r="AM133" i="23"/>
  <c r="BB137" i="23"/>
  <c r="AX137" i="23"/>
  <c r="AT137" i="23"/>
  <c r="AP137" i="23"/>
  <c r="AL137" i="23"/>
  <c r="BA137" i="23"/>
  <c r="AW137" i="23"/>
  <c r="AS137" i="23"/>
  <c r="AO137" i="23"/>
  <c r="AK137" i="23"/>
  <c r="BD137" i="23"/>
  <c r="AV137" i="23"/>
  <c r="AN137" i="23"/>
  <c r="BC137" i="23"/>
  <c r="AU137" i="23"/>
  <c r="AM137" i="23"/>
  <c r="AJ76" i="23"/>
  <c r="AN76" i="23"/>
  <c r="AR76" i="23"/>
  <c r="AV76" i="23"/>
  <c r="AZ76" i="23"/>
  <c r="AJ77" i="23"/>
  <c r="AN77" i="23"/>
  <c r="AR77" i="23"/>
  <c r="AV77" i="23"/>
  <c r="AZ77" i="23"/>
  <c r="AJ80" i="23"/>
  <c r="AN80" i="23"/>
  <c r="AR80" i="23"/>
  <c r="AV80" i="23"/>
  <c r="AZ80" i="23"/>
  <c r="AJ81" i="23"/>
  <c r="AN81" i="23"/>
  <c r="AR81" i="23"/>
  <c r="AV81" i="23"/>
  <c r="AZ81" i="23"/>
  <c r="AJ84" i="23"/>
  <c r="AN84" i="23"/>
  <c r="AR84" i="23"/>
  <c r="AV84" i="23"/>
  <c r="AZ84" i="23"/>
  <c r="AJ85" i="23"/>
  <c r="AN85" i="23"/>
  <c r="AR85" i="23"/>
  <c r="AV85" i="23"/>
  <c r="AZ85" i="23"/>
  <c r="AJ88" i="23"/>
  <c r="AN88" i="23"/>
  <c r="AR88" i="23"/>
  <c r="AV88" i="23"/>
  <c r="AZ88" i="23"/>
  <c r="AJ89" i="23"/>
  <c r="AN89" i="23"/>
  <c r="AR89" i="23"/>
  <c r="AV89" i="23"/>
  <c r="AZ89" i="23"/>
  <c r="AJ93" i="23"/>
  <c r="AN93" i="23"/>
  <c r="AR93" i="23"/>
  <c r="AV93" i="23"/>
  <c r="AZ93" i="23"/>
  <c r="AJ96" i="23"/>
  <c r="AN96" i="23"/>
  <c r="AR96" i="23"/>
  <c r="AV96" i="23"/>
  <c r="AZ96" i="23"/>
  <c r="AM97" i="23"/>
  <c r="AR97" i="23"/>
  <c r="AW97" i="23"/>
  <c r="BC97" i="23"/>
  <c r="AI100" i="23"/>
  <c r="AN100" i="23"/>
  <c r="AS100" i="23"/>
  <c r="AY100" i="23"/>
  <c r="BD100" i="23"/>
  <c r="AM101" i="23"/>
  <c r="AR101" i="23"/>
  <c r="AW101" i="23"/>
  <c r="BC101" i="23"/>
  <c r="AM104" i="23"/>
  <c r="AU104" i="23"/>
  <c r="BC104" i="23"/>
  <c r="AI105" i="23"/>
  <c r="AQ105" i="23"/>
  <c r="AY105" i="23"/>
  <c r="AM108" i="23"/>
  <c r="AU108" i="23"/>
  <c r="BC108" i="23"/>
  <c r="R109" i="23"/>
  <c r="AI109" i="23"/>
  <c r="AQ109" i="23"/>
  <c r="AY109" i="23"/>
  <c r="AM112" i="23"/>
  <c r="AU112" i="23"/>
  <c r="BC112" i="23"/>
  <c r="R113" i="23"/>
  <c r="AI113" i="23"/>
  <c r="AQ113" i="23"/>
  <c r="AY113" i="23"/>
  <c r="AM116" i="23"/>
  <c r="BC116" i="23"/>
  <c r="AQ117" i="23"/>
  <c r="AM120" i="23"/>
  <c r="BC120" i="23"/>
  <c r="AQ121" i="23"/>
  <c r="AM124" i="23"/>
  <c r="BC124" i="23"/>
  <c r="AQ125" i="23"/>
  <c r="AM128" i="23"/>
  <c r="BC128" i="23"/>
  <c r="AQ129" i="23"/>
  <c r="AM132" i="23"/>
  <c r="BC132" i="23"/>
  <c r="AQ133" i="23"/>
  <c r="AM136" i="23"/>
  <c r="BC136" i="23"/>
  <c r="AQ137" i="23"/>
  <c r="AF59" i="24"/>
  <c r="AB59" i="24"/>
  <c r="X59" i="24"/>
  <c r="AE59" i="24"/>
  <c r="AA59" i="24"/>
  <c r="AH59" i="24"/>
  <c r="Z59" i="24"/>
  <c r="AG59" i="24"/>
  <c r="Y59" i="24"/>
  <c r="AF63" i="24"/>
  <c r="AB63" i="24"/>
  <c r="X63" i="24"/>
  <c r="AE63" i="24"/>
  <c r="AA63" i="24"/>
  <c r="AH63" i="24"/>
  <c r="Z63" i="24"/>
  <c r="AG63" i="24"/>
  <c r="Y63" i="24"/>
  <c r="AF67" i="24"/>
  <c r="AB67" i="24"/>
  <c r="X67" i="24"/>
  <c r="AE67" i="24"/>
  <c r="AA67" i="24"/>
  <c r="AH67" i="24"/>
  <c r="Z67" i="24"/>
  <c r="AG67" i="24"/>
  <c r="Y67" i="24"/>
  <c r="AE71" i="24"/>
  <c r="AA71" i="24"/>
  <c r="AD71" i="24"/>
  <c r="Y71" i="24"/>
  <c r="AH71" i="24"/>
  <c r="AC71" i="24"/>
  <c r="X71" i="24"/>
  <c r="AB71" i="24"/>
  <c r="Z71" i="24"/>
  <c r="AE75" i="24"/>
  <c r="AA75" i="24"/>
  <c r="AG75" i="24"/>
  <c r="AB75" i="24"/>
  <c r="AF75" i="24"/>
  <c r="Z75" i="24"/>
  <c r="Y75" i="24"/>
  <c r="AH75" i="24"/>
  <c r="X75" i="24"/>
  <c r="AE79" i="24"/>
  <c r="AA79" i="24"/>
  <c r="AH79" i="24"/>
  <c r="AD79" i="24"/>
  <c r="Z79" i="24"/>
  <c r="AB79" i="24"/>
  <c r="AG79" i="24"/>
  <c r="Y79" i="24"/>
  <c r="X79" i="24"/>
  <c r="AE83" i="24"/>
  <c r="AA83" i="24"/>
  <c r="AH83" i="24"/>
  <c r="AD83" i="24"/>
  <c r="Z83" i="24"/>
  <c r="AB83" i="24"/>
  <c r="AG83" i="24"/>
  <c r="Y83" i="24"/>
  <c r="AF83" i="24"/>
  <c r="AC83" i="24"/>
  <c r="AE87" i="24"/>
  <c r="AA87" i="24"/>
  <c r="AH87" i="24"/>
  <c r="AD87" i="24"/>
  <c r="Z87" i="24"/>
  <c r="AB87" i="24"/>
  <c r="AG87" i="24"/>
  <c r="Y87" i="24"/>
  <c r="X87" i="24"/>
  <c r="AE91" i="24"/>
  <c r="AA91" i="24"/>
  <c r="AH91" i="24"/>
  <c r="AD91" i="24"/>
  <c r="Z91" i="24"/>
  <c r="AB91" i="24"/>
  <c r="AG91" i="24"/>
  <c r="Y91" i="24"/>
  <c r="AF91" i="24"/>
  <c r="AC91" i="24"/>
  <c r="AC59" i="24"/>
  <c r="AC67" i="24"/>
  <c r="AF71" i="24"/>
  <c r="AC75" i="24"/>
  <c r="AC79" i="24"/>
  <c r="AH60" i="24"/>
  <c r="AD60" i="24"/>
  <c r="Z60" i="24"/>
  <c r="AG60" i="24"/>
  <c r="AC60" i="24"/>
  <c r="Y60" i="24"/>
  <c r="AB60" i="24"/>
  <c r="AA60" i="24"/>
  <c r="AH64" i="24"/>
  <c r="AD64" i="24"/>
  <c r="Z64" i="24"/>
  <c r="AG64" i="24"/>
  <c r="AC64" i="24"/>
  <c r="Y64" i="24"/>
  <c r="AB64" i="24"/>
  <c r="AA64" i="24"/>
  <c r="AH68" i="24"/>
  <c r="AD68" i="24"/>
  <c r="Z68" i="24"/>
  <c r="U68" i="24"/>
  <c r="AG68" i="24"/>
  <c r="AC68" i="24"/>
  <c r="Y68" i="24"/>
  <c r="AB68" i="24"/>
  <c r="AA68" i="24"/>
  <c r="AG72" i="24"/>
  <c r="AC72" i="24"/>
  <c r="Y72" i="24"/>
  <c r="AD72" i="24"/>
  <c r="X72" i="24"/>
  <c r="AH72" i="24"/>
  <c r="AB72" i="24"/>
  <c r="AA72" i="24"/>
  <c r="Z72" i="24"/>
  <c r="AG76" i="24"/>
  <c r="AC76" i="24"/>
  <c r="Y76" i="24"/>
  <c r="AF76" i="24"/>
  <c r="AA76" i="24"/>
  <c r="AE76" i="24"/>
  <c r="Z76" i="24"/>
  <c r="X76" i="24"/>
  <c r="AH76" i="24"/>
  <c r="AG80" i="24"/>
  <c r="AC80" i="24"/>
  <c r="Y80" i="24"/>
  <c r="AF80" i="24"/>
  <c r="AB80" i="24"/>
  <c r="X80" i="24"/>
  <c r="AD80" i="24"/>
  <c r="AA80" i="24"/>
  <c r="AH80" i="24"/>
  <c r="AE80" i="24"/>
  <c r="AG84" i="24"/>
  <c r="AC84" i="24"/>
  <c r="Y84" i="24"/>
  <c r="AF84" i="24"/>
  <c r="AB84" i="24"/>
  <c r="X84" i="24"/>
  <c r="AD84" i="24"/>
  <c r="AA84" i="24"/>
  <c r="Z84" i="24"/>
  <c r="AG88" i="24"/>
  <c r="AC88" i="24"/>
  <c r="Y88" i="24"/>
  <c r="AF88" i="24"/>
  <c r="AB88" i="24"/>
  <c r="X88" i="24"/>
  <c r="AD88" i="24"/>
  <c r="AA88" i="24"/>
  <c r="AH88" i="24"/>
  <c r="AE88" i="24"/>
  <c r="AD59" i="24"/>
  <c r="X60" i="24"/>
  <c r="AF64" i="24"/>
  <c r="AD67" i="24"/>
  <c r="X68" i="24"/>
  <c r="AG71" i="24"/>
  <c r="AF72" i="24"/>
  <c r="AD75" i="24"/>
  <c r="AD76" i="24"/>
  <c r="AF79" i="24"/>
  <c r="Z88" i="24"/>
  <c r="X91" i="24"/>
  <c r="AE101" i="24"/>
  <c r="AA101" i="24"/>
  <c r="AH101" i="24"/>
  <c r="AD101" i="24"/>
  <c r="Z101" i="24"/>
  <c r="AG101" i="24"/>
  <c r="Y101" i="24"/>
  <c r="AF101" i="24"/>
  <c r="X101" i="24"/>
  <c r="AB101" i="24"/>
  <c r="AD58" i="24"/>
  <c r="AH62" i="24"/>
  <c r="Y62" i="24"/>
  <c r="Y66" i="24"/>
  <c r="Z70" i="24"/>
  <c r="Y74" i="24"/>
  <c r="AC78" i="24"/>
  <c r="X78" i="24"/>
  <c r="AB82" i="24"/>
  <c r="AC86" i="24"/>
  <c r="AH86" i="24"/>
  <c r="Y90" i="24"/>
  <c r="AE90" i="24"/>
  <c r="AB94" i="24"/>
  <c r="AE94" i="24"/>
  <c r="X98" i="24"/>
  <c r="AG102" i="24"/>
  <c r="X102" i="24"/>
  <c r="X58" i="24"/>
  <c r="AB70" i="24"/>
  <c r="AE95" i="24"/>
  <c r="AA95" i="24"/>
  <c r="AH95" i="24"/>
  <c r="AD95" i="24"/>
  <c r="Z95" i="24"/>
  <c r="AC95" i="24"/>
  <c r="AB95" i="24"/>
  <c r="AE99" i="24"/>
  <c r="AA99" i="24"/>
  <c r="AH99" i="24"/>
  <c r="AD99" i="24"/>
  <c r="Z99" i="24"/>
  <c r="AC99" i="24"/>
  <c r="AB99" i="24"/>
  <c r="AE103" i="24"/>
  <c r="AA103" i="24"/>
  <c r="AH103" i="24"/>
  <c r="AD103" i="24"/>
  <c r="Z103" i="24"/>
  <c r="AC103" i="24"/>
  <c r="AB103" i="24"/>
  <c r="Y95" i="24"/>
  <c r="AG99" i="24"/>
  <c r="Y103" i="24"/>
  <c r="AF92" i="24"/>
  <c r="AB92" i="24"/>
  <c r="X92" i="24"/>
  <c r="AG92" i="24"/>
  <c r="AA92" i="24"/>
  <c r="AE92" i="24"/>
  <c r="Z92" i="24"/>
  <c r="AG96" i="24"/>
  <c r="AC96" i="24"/>
  <c r="Y96" i="24"/>
  <c r="AF96" i="24"/>
  <c r="AB96" i="24"/>
  <c r="X96" i="24"/>
  <c r="AE96" i="24"/>
  <c r="AD96" i="24"/>
  <c r="AG100" i="24"/>
  <c r="AC100" i="24"/>
  <c r="Y100" i="24"/>
  <c r="AF100" i="24"/>
  <c r="AB100" i="24"/>
  <c r="X100" i="24"/>
  <c r="AE100" i="24"/>
  <c r="AD100" i="24"/>
  <c r="AH92" i="24"/>
  <c r="AF95" i="24"/>
  <c r="Z96" i="24"/>
  <c r="X99" i="24"/>
  <c r="AH100" i="24"/>
  <c r="AF103" i="24"/>
  <c r="Z13" i="21"/>
  <c r="AH13" i="21" s="1"/>
  <c r="AJ13" i="21"/>
  <c r="Z5" i="21"/>
  <c r="AH5" i="21" s="1"/>
  <c r="Z3" i="21"/>
  <c r="AH3" i="21" s="1"/>
  <c r="Z4" i="21"/>
  <c r="AH4" i="21" s="1"/>
  <c r="Z8" i="21"/>
  <c r="AJ5" i="21"/>
  <c r="AJ3" i="21"/>
  <c r="U9" i="21"/>
  <c r="AI9" i="21" s="1"/>
  <c r="R9" i="21"/>
  <c r="X9" i="21" s="1"/>
  <c r="R10" i="21"/>
  <c r="M1608" i="21"/>
  <c r="U11" i="21" s="1"/>
  <c r="AI11" i="21" s="1"/>
  <c r="R12" i="21"/>
  <c r="M2074" i="21"/>
  <c r="U12" i="21" s="1"/>
  <c r="AI12" i="21" s="1"/>
  <c r="Y3" i="21"/>
  <c r="AG3" i="21" s="1"/>
  <c r="AI8" i="21"/>
  <c r="X8" i="21"/>
  <c r="AF8" i="21" s="1"/>
  <c r="AH8" i="21"/>
  <c r="AT2" i="16"/>
  <c r="AT8" i="16" s="1"/>
  <c r="AJ9" i="16"/>
  <c r="AT6" i="16"/>
  <c r="AC137" i="17"/>
  <c r="AC139" i="17"/>
  <c r="AC141" i="17"/>
  <c r="AC143" i="17"/>
  <c r="AJ3" i="16"/>
  <c r="AJ8" i="16" s="1"/>
  <c r="AO9" i="16"/>
  <c r="AC132" i="17"/>
  <c r="AC309" i="17"/>
  <c r="AC313" i="17"/>
  <c r="AC321" i="17"/>
  <c r="AC329" i="17"/>
  <c r="AC785" i="17"/>
  <c r="AC787" i="17"/>
  <c r="AC789" i="17"/>
  <c r="AC784" i="17"/>
  <c r="AC2" i="17"/>
  <c r="AC6" i="17"/>
  <c r="AC65" i="17"/>
  <c r="AC69" i="17"/>
  <c r="AC73" i="17"/>
  <c r="AC89" i="17"/>
  <c r="AC93" i="17"/>
  <c r="AC97" i="17"/>
  <c r="AC172" i="17"/>
  <c r="AC174" i="17"/>
  <c r="AC176" i="17"/>
  <c r="AC178" i="17"/>
  <c r="AC180" i="17"/>
  <c r="AC182" i="17"/>
  <c r="AC184" i="17"/>
  <c r="AC186" i="17"/>
  <c r="AC188" i="17"/>
  <c r="AC190" i="17"/>
  <c r="AC192" i="17"/>
  <c r="AC194" i="17"/>
  <c r="AC196" i="17"/>
  <c r="AC198" i="17"/>
  <c r="AC200" i="17"/>
  <c r="AC202" i="17"/>
  <c r="AC204" i="17"/>
  <c r="AC206" i="17"/>
  <c r="AC333" i="17"/>
  <c r="AC337" i="17"/>
  <c r="AC341" i="17"/>
  <c r="AC345" i="17"/>
  <c r="AC349" i="17"/>
  <c r="AC353" i="17"/>
  <c r="AC357" i="17"/>
  <c r="AC361" i="17"/>
  <c r="AC365" i="17"/>
  <c r="AC369" i="17"/>
  <c r="AC373" i="17"/>
  <c r="AC377" i="17"/>
  <c r="AC381" i="17"/>
  <c r="AC385" i="17"/>
  <c r="AC389" i="17"/>
  <c r="AC393" i="17"/>
  <c r="AC397" i="17"/>
  <c r="AC401" i="17"/>
  <c r="AC405" i="17"/>
  <c r="AC409" i="17"/>
  <c r="AC413" i="17"/>
  <c r="AC417" i="17"/>
  <c r="AC421" i="17"/>
  <c r="AC425" i="17"/>
  <c r="AC429" i="17"/>
  <c r="AC433" i="17"/>
  <c r="AC330" i="17"/>
  <c r="AC334" i="17"/>
  <c r="AC338" i="17"/>
  <c r="AC342" i="17"/>
  <c r="AC346" i="17"/>
  <c r="AC350" i="17"/>
  <c r="AC354" i="17"/>
  <c r="AC358" i="17"/>
  <c r="AC362" i="17"/>
  <c r="AC366" i="17"/>
  <c r="AC370" i="17"/>
  <c r="AC374" i="17"/>
  <c r="AC378" i="17"/>
  <c r="AC382" i="17"/>
  <c r="AC386" i="17"/>
  <c r="AC390" i="17"/>
  <c r="AC394" i="17"/>
  <c r="AC398" i="17"/>
  <c r="AC402" i="17"/>
  <c r="AC406" i="17"/>
  <c r="AC410" i="17"/>
  <c r="AC414" i="17"/>
  <c r="AC418" i="17"/>
  <c r="AC422" i="17"/>
  <c r="AC426" i="17"/>
  <c r="AC430" i="17"/>
  <c r="AC439" i="17"/>
  <c r="AC4" i="17"/>
  <c r="AC63" i="17"/>
  <c r="AC67" i="17"/>
  <c r="AC71" i="17"/>
  <c r="AC75" i="17"/>
  <c r="AC76" i="17"/>
  <c r="AC77" i="17"/>
  <c r="AC78" i="17"/>
  <c r="AC79" i="17"/>
  <c r="AC80" i="17"/>
  <c r="AC81" i="17"/>
  <c r="AC82" i="17"/>
  <c r="AC83" i="17"/>
  <c r="AC84" i="17"/>
  <c r="AC85" i="17"/>
  <c r="AC86" i="17"/>
  <c r="AC87" i="17"/>
  <c r="AC91" i="17"/>
  <c r="AC95" i="17"/>
  <c r="AC171" i="17"/>
  <c r="AC173" i="17"/>
  <c r="AC175" i="17"/>
  <c r="AC177" i="17"/>
  <c r="AC179" i="17"/>
  <c r="AC181" i="17"/>
  <c r="AC183" i="17"/>
  <c r="AC185" i="17"/>
  <c r="AC187" i="17"/>
  <c r="AC189" i="17"/>
  <c r="AC191" i="17"/>
  <c r="AC193" i="17"/>
  <c r="AC195" i="17"/>
  <c r="AC197" i="17"/>
  <c r="AC199" i="17"/>
  <c r="AC434" i="17"/>
  <c r="AC438" i="17"/>
  <c r="AC442" i="17"/>
  <c r="AC446" i="17"/>
  <c r="AC450" i="17"/>
  <c r="AC454" i="17"/>
  <c r="AC458" i="17"/>
  <c r="AC462" i="17"/>
  <c r="AC466" i="17"/>
  <c r="AC470" i="17"/>
  <c r="AC474" i="17"/>
  <c r="AC478" i="17"/>
  <c r="AC482" i="17"/>
  <c r="AC486" i="17"/>
  <c r="AC490" i="17"/>
  <c r="AC494" i="17"/>
  <c r="AC498" i="17"/>
  <c r="AC502" i="17"/>
  <c r="AC506" i="17"/>
  <c r="AC510" i="17"/>
  <c r="AC514" i="17"/>
  <c r="AC518" i="17"/>
  <c r="AC522" i="17"/>
  <c r="AC526" i="17"/>
  <c r="AC530" i="17"/>
  <c r="AC534" i="17"/>
  <c r="AC538" i="17"/>
  <c r="AC542" i="17"/>
  <c r="AC546" i="17"/>
  <c r="AC550" i="17"/>
  <c r="AC554" i="17"/>
  <c r="AC558" i="17"/>
  <c r="AC562" i="17"/>
  <c r="AC566" i="17"/>
  <c r="AC570" i="17"/>
  <c r="AC574" i="17"/>
  <c r="AC578" i="17"/>
  <c r="AC582" i="17"/>
  <c r="AC586" i="17"/>
  <c r="AC590" i="17"/>
  <c r="AC594" i="17"/>
  <c r="AC598" i="17"/>
  <c r="AC602" i="17"/>
  <c r="AC606" i="17"/>
  <c r="AC610" i="17"/>
  <c r="AC614" i="17"/>
  <c r="AC618" i="17"/>
  <c r="AC622" i="17"/>
  <c r="AC626" i="17"/>
  <c r="AC630" i="17"/>
  <c r="AC634" i="17"/>
  <c r="AC638" i="17"/>
  <c r="AC642" i="17"/>
  <c r="AC646" i="17"/>
  <c r="AC650" i="17"/>
  <c r="AC654" i="17"/>
  <c r="AC658" i="17"/>
  <c r="AC662" i="17"/>
  <c r="AC666" i="17"/>
  <c r="AC670" i="17"/>
  <c r="AC674" i="17"/>
  <c r="AC678" i="17"/>
  <c r="AC682" i="17"/>
  <c r="AC686" i="17"/>
  <c r="AC690" i="17"/>
  <c r="AC694" i="17"/>
  <c r="AC698" i="17"/>
  <c r="AC702" i="17"/>
  <c r="AC706" i="17"/>
  <c r="AC710" i="17"/>
  <c r="AC714" i="17"/>
  <c r="AC718" i="17"/>
  <c r="AC722" i="17"/>
  <c r="AC726" i="17"/>
  <c r="AC730" i="17"/>
  <c r="AC734" i="17"/>
  <c r="AC738" i="17"/>
  <c r="AC742" i="17"/>
  <c r="AC746" i="17"/>
  <c r="AC751" i="17"/>
  <c r="AC752" i="17"/>
  <c r="AC443" i="17"/>
  <c r="AC447" i="17"/>
  <c r="AC451" i="17"/>
  <c r="AC455" i="17"/>
  <c r="AC459" i="17"/>
  <c r="AC463" i="17"/>
  <c r="AC467" i="17"/>
  <c r="AC471" i="17"/>
  <c r="AC475" i="17"/>
  <c r="AC479" i="17"/>
  <c r="AC483" i="17"/>
  <c r="AC487" i="17"/>
  <c r="AC491" i="17"/>
  <c r="AC495" i="17"/>
  <c r="AC499" i="17"/>
  <c r="AC503" i="17"/>
  <c r="AC507" i="17"/>
  <c r="AC511" i="17"/>
  <c r="AC515" i="17"/>
  <c r="AC519" i="17"/>
  <c r="AC523" i="17"/>
  <c r="AC527" i="17"/>
  <c r="AC531" i="17"/>
  <c r="AC535" i="17"/>
  <c r="AC539" i="17"/>
  <c r="AC543" i="17"/>
  <c r="AC547" i="17"/>
  <c r="AC551" i="17"/>
  <c r="AC555" i="17"/>
  <c r="AC559" i="17"/>
  <c r="AC563" i="17"/>
  <c r="AC567" i="17"/>
  <c r="AC571" i="17"/>
  <c r="AC575" i="17"/>
  <c r="AC579" i="17"/>
  <c r="AC583" i="17"/>
  <c r="AC587" i="17"/>
  <c r="AC591" i="17"/>
  <c r="AC595" i="17"/>
  <c r="AC599" i="17"/>
  <c r="AC603" i="17"/>
  <c r="AC607" i="17"/>
  <c r="AC611" i="17"/>
  <c r="AC615" i="17"/>
  <c r="AC619" i="17"/>
  <c r="AC623" i="17"/>
  <c r="AC627" i="17"/>
  <c r="AC631" i="17"/>
  <c r="AC635" i="17"/>
  <c r="AC639" i="17"/>
  <c r="AC643" i="17"/>
  <c r="AC647" i="17"/>
  <c r="AC651" i="17"/>
  <c r="AC655" i="17"/>
  <c r="AC659" i="17"/>
  <c r="AC663" i="17"/>
  <c r="AC667" i="17"/>
  <c r="AC671" i="17"/>
  <c r="AC675" i="17"/>
  <c r="AC679" i="17"/>
  <c r="AC683" i="17"/>
  <c r="AC687" i="17"/>
  <c r="AC691" i="17"/>
  <c r="AC695" i="17"/>
  <c r="AC699" i="17"/>
  <c r="AC703" i="17"/>
  <c r="AC707" i="17"/>
  <c r="AC711" i="17"/>
  <c r="AC715" i="17"/>
  <c r="AC719" i="17"/>
  <c r="AC723" i="17"/>
  <c r="AC727" i="17"/>
  <c r="AC731" i="17"/>
  <c r="AC735" i="17"/>
  <c r="AC739" i="17"/>
  <c r="AC743" i="17"/>
  <c r="AC747" i="17"/>
  <c r="AC748" i="17"/>
  <c r="AC444" i="17"/>
  <c r="AC448" i="17"/>
  <c r="AC452" i="17"/>
  <c r="AC456" i="17"/>
  <c r="AC460" i="17"/>
  <c r="AC464" i="17"/>
  <c r="AC468" i="17"/>
  <c r="AC472" i="17"/>
  <c r="AC476" i="17"/>
  <c r="AC480" i="17"/>
  <c r="AC484" i="17"/>
  <c r="AC488" i="17"/>
  <c r="AC492" i="17"/>
  <c r="AC496" i="17"/>
  <c r="AC500" i="17"/>
  <c r="AC504" i="17"/>
  <c r="AC508" i="17"/>
  <c r="AC512" i="17"/>
  <c r="AC516" i="17"/>
  <c r="AC520" i="17"/>
  <c r="AC524" i="17"/>
  <c r="AC528" i="17"/>
  <c r="AC532" i="17"/>
  <c r="AC536" i="17"/>
  <c r="AC540" i="17"/>
  <c r="AC544" i="17"/>
  <c r="AC548" i="17"/>
  <c r="AC552" i="17"/>
  <c r="AC556" i="17"/>
  <c r="AC560" i="17"/>
  <c r="AC564" i="17"/>
  <c r="AC568" i="17"/>
  <c r="AC572" i="17"/>
  <c r="AC576" i="17"/>
  <c r="AC580" i="17"/>
  <c r="AC584" i="17"/>
  <c r="AC588" i="17"/>
  <c r="AC592" i="17"/>
  <c r="AC596" i="17"/>
  <c r="AC600" i="17"/>
  <c r="AC604" i="17"/>
  <c r="AC608" i="17"/>
  <c r="AC612" i="17"/>
  <c r="AC616" i="17"/>
  <c r="AC620" i="17"/>
  <c r="AC624" i="17"/>
  <c r="AC628" i="17"/>
  <c r="AC632" i="17"/>
  <c r="AC636" i="17"/>
  <c r="AC640" i="17"/>
  <c r="AC644" i="17"/>
  <c r="AC648" i="17"/>
  <c r="AC652" i="17"/>
  <c r="AC656" i="17"/>
  <c r="AC660" i="17"/>
  <c r="AC664" i="17"/>
  <c r="AC668" i="17"/>
  <c r="AC672" i="17"/>
  <c r="AC676" i="17"/>
  <c r="AC680" i="17"/>
  <c r="AC684" i="17"/>
  <c r="AC688" i="17"/>
  <c r="AC692" i="17"/>
  <c r="AC696" i="17"/>
  <c r="AC700" i="17"/>
  <c r="AC704" i="17"/>
  <c r="AC708" i="17"/>
  <c r="AC712" i="17"/>
  <c r="AC716" i="17"/>
  <c r="AC720" i="17"/>
  <c r="AC724" i="17"/>
  <c r="AC728" i="17"/>
  <c r="AC732" i="17"/>
  <c r="AC736" i="17"/>
  <c r="AC740" i="17"/>
  <c r="AC744" i="17"/>
  <c r="AC754" i="17"/>
  <c r="AC541" i="17"/>
  <c r="AC545" i="17"/>
  <c r="AC549" i="17"/>
  <c r="AC553" i="17"/>
  <c r="AC557" i="17"/>
  <c r="AC561" i="17"/>
  <c r="AC565" i="17"/>
  <c r="AC569" i="17"/>
  <c r="AC573" i="17"/>
  <c r="AC577" i="17"/>
  <c r="AC581" i="17"/>
  <c r="AC633" i="17"/>
  <c r="AC637" i="17"/>
  <c r="AC641" i="17"/>
  <c r="AC645" i="17"/>
  <c r="AC649" i="17"/>
  <c r="AC653" i="17"/>
  <c r="AC657" i="17"/>
  <c r="AC661" i="17"/>
  <c r="AC665" i="17"/>
  <c r="AC669" i="17"/>
  <c r="AC673" i="17"/>
  <c r="AC677" i="17"/>
  <c r="AC681" i="17"/>
  <c r="AC685" i="17"/>
  <c r="AC689" i="17"/>
  <c r="AC693" i="17"/>
  <c r="AC697" i="17"/>
  <c r="AC701" i="17"/>
  <c r="AC705" i="17"/>
  <c r="AC709" i="17"/>
  <c r="AC713" i="17"/>
  <c r="AC717" i="17"/>
  <c r="AC721" i="17"/>
  <c r="AC725" i="17"/>
  <c r="AC729" i="17"/>
  <c r="AC733" i="17"/>
  <c r="AC737" i="17"/>
  <c r="AC741" i="17"/>
  <c r="AC745" i="17"/>
  <c r="AC750" i="17"/>
  <c r="AC755" i="17"/>
  <c r="AC756" i="17"/>
  <c r="AO8" i="16"/>
  <c r="AC749" i="17"/>
  <c r="AC753" i="17"/>
  <c r="AC757" i="17"/>
  <c r="AD71" i="8"/>
  <c r="AD71" i="9"/>
  <c r="AD71" i="7"/>
  <c r="AB71" i="8"/>
  <c r="AB71" i="9"/>
  <c r="AB71" i="7"/>
  <c r="AJ71" i="8"/>
  <c r="AJ71" i="9"/>
  <c r="AJ71" i="7"/>
  <c r="W71" i="8"/>
  <c r="W75" i="8" s="1"/>
  <c r="W71" i="9"/>
  <c r="W71" i="7"/>
  <c r="AI71" i="8"/>
  <c r="AI71" i="9"/>
  <c r="AI71" i="7"/>
  <c r="AG71" i="8"/>
  <c r="AG71" i="9"/>
  <c r="AG71" i="7"/>
  <c r="AH71" i="8"/>
  <c r="AH71" i="9"/>
  <c r="AH71" i="7"/>
  <c r="L71" i="8"/>
  <c r="L75" i="8" s="1"/>
  <c r="L71" i="9"/>
  <c r="L71" i="7"/>
  <c r="Q71" i="8"/>
  <c r="Q75" i="8" s="1"/>
  <c r="Q71" i="9"/>
  <c r="Q71" i="7"/>
  <c r="AH75" i="6"/>
  <c r="AG73" i="9"/>
  <c r="AG73" i="8"/>
  <c r="W54" i="13"/>
  <c r="W54" i="12"/>
  <c r="W54" i="10"/>
  <c r="W54" i="11"/>
  <c r="AA55" i="13"/>
  <c r="AA55" i="12"/>
  <c r="AA55" i="11"/>
  <c r="AA55" i="10"/>
  <c r="U73" i="9"/>
  <c r="U73" i="8"/>
  <c r="F41" i="5"/>
  <c r="U56" i="13"/>
  <c r="U56" i="12"/>
  <c r="U56" i="11"/>
  <c r="U56" i="10"/>
  <c r="AH72" i="9"/>
  <c r="AH72" i="8"/>
  <c r="F28" i="5"/>
  <c r="AI73" i="9"/>
  <c r="AI73" i="8"/>
  <c r="D45" i="5"/>
  <c r="Z54" i="13"/>
  <c r="Z54" i="12"/>
  <c r="Z54" i="11"/>
  <c r="Z54" i="10"/>
  <c r="AD72" i="9"/>
  <c r="AD72" i="8"/>
  <c r="D28" i="5"/>
  <c r="AL73" i="6" s="1"/>
  <c r="W55" i="13"/>
  <c r="W55" i="12"/>
  <c r="W55" i="10"/>
  <c r="W55" i="11"/>
  <c r="AA56" i="13"/>
  <c r="AA56" i="12"/>
  <c r="AA56" i="11"/>
  <c r="AA56" i="10"/>
  <c r="V73" i="9"/>
  <c r="V73" i="8"/>
  <c r="AH73" i="9"/>
  <c r="AH73" i="8"/>
  <c r="Z55" i="13"/>
  <c r="Z55" i="12"/>
  <c r="Z55" i="10"/>
  <c r="Z55" i="11"/>
  <c r="AB72" i="9"/>
  <c r="AB72" i="8"/>
  <c r="AD73" i="9"/>
  <c r="AD73" i="8"/>
  <c r="E28" i="5"/>
  <c r="Y54" i="13"/>
  <c r="Y54" i="11"/>
  <c r="Y54" i="10"/>
  <c r="Y54" i="12"/>
  <c r="F37" i="5"/>
  <c r="R56" i="13"/>
  <c r="R56" i="12"/>
  <c r="R56" i="10"/>
  <c r="R56" i="11"/>
  <c r="Z73" i="9"/>
  <c r="Z73" i="8"/>
  <c r="AJ72" i="9"/>
  <c r="AJ72" i="8"/>
  <c r="Z56" i="13"/>
  <c r="Z56" i="12"/>
  <c r="Z56" i="10"/>
  <c r="Z56" i="11"/>
  <c r="P71" i="8"/>
  <c r="P75" i="8" s="1"/>
  <c r="P71" i="9"/>
  <c r="P71" i="7"/>
  <c r="U71" i="8"/>
  <c r="U71" i="9"/>
  <c r="U71" i="7"/>
  <c r="V75" i="6"/>
  <c r="X71" i="8"/>
  <c r="X75" i="8" s="1"/>
  <c r="X71" i="9"/>
  <c r="X71" i="7"/>
  <c r="AA75" i="6"/>
  <c r="AC71" i="8"/>
  <c r="AC75" i="8" s="1"/>
  <c r="AC71" i="9"/>
  <c r="AC71" i="7"/>
  <c r="AD74" i="6"/>
  <c r="AF71" i="8"/>
  <c r="AF71" i="9"/>
  <c r="AF71" i="7"/>
  <c r="AG75" i="6"/>
  <c r="AJ74" i="6"/>
  <c r="Z71" i="8"/>
  <c r="Z75" i="8" s="1"/>
  <c r="Z58" i="9" s="1"/>
  <c r="Z71" i="9"/>
  <c r="Z71" i="7"/>
  <c r="AI73" i="7"/>
  <c r="AB73" i="9"/>
  <c r="AB73" i="8"/>
  <c r="Y56" i="13"/>
  <c r="Y56" i="12"/>
  <c r="Y56" i="11"/>
  <c r="Y56" i="10"/>
  <c r="AA73" i="9"/>
  <c r="AA73" i="8"/>
  <c r="AI72" i="9"/>
  <c r="AI72" i="8"/>
  <c r="AJ73" i="9"/>
  <c r="AJ73" i="8"/>
  <c r="O71" i="8"/>
  <c r="O75" i="8" s="1"/>
  <c r="O71" i="9"/>
  <c r="O71" i="7"/>
  <c r="S71" i="8"/>
  <c r="S71" i="9"/>
  <c r="S71" i="7"/>
  <c r="AD75" i="6"/>
  <c r="AI74" i="6"/>
  <c r="AJ75" i="6"/>
  <c r="AA71" i="8"/>
  <c r="AA75" i="8" s="1"/>
  <c r="AA65" i="9" s="1"/>
  <c r="AA71" i="9"/>
  <c r="AA71" i="7"/>
  <c r="AB72" i="7"/>
  <c r="AJ72" i="7"/>
  <c r="AB73" i="7"/>
  <c r="AJ73" i="7"/>
  <c r="M71" i="8"/>
  <c r="M75" i="8" s="1"/>
  <c r="M71" i="9"/>
  <c r="M71" i="7"/>
  <c r="R71" i="8"/>
  <c r="R75" i="8" s="1"/>
  <c r="R71" i="9"/>
  <c r="R71" i="7"/>
  <c r="U75" i="6"/>
  <c r="Z75" i="6"/>
  <c r="AB74" i="6"/>
  <c r="AE71" i="8"/>
  <c r="AE71" i="9"/>
  <c r="AE71" i="7"/>
  <c r="AH74" i="6"/>
  <c r="AI75" i="6"/>
  <c r="AK71" i="8"/>
  <c r="AK75" i="8" s="1"/>
  <c r="AK71" i="9"/>
  <c r="AK71" i="7"/>
  <c r="U73" i="7"/>
  <c r="AG73" i="7"/>
  <c r="S16" i="11"/>
  <c r="M58" i="11"/>
  <c r="O58" i="12"/>
  <c r="M16" i="13"/>
  <c r="Z56" i="9"/>
  <c r="Z57" i="9"/>
  <c r="Z49" i="9"/>
  <c r="Z37" i="9"/>
  <c r="Z14" i="9"/>
  <c r="Z45" i="9"/>
  <c r="Z19" i="9"/>
  <c r="Z15" i="9"/>
  <c r="Z12" i="9"/>
  <c r="AA66" i="9"/>
  <c r="AA68" i="9"/>
  <c r="AA60" i="9"/>
  <c r="AA67" i="9"/>
  <c r="AA61" i="9"/>
  <c r="AA53" i="9"/>
  <c r="AA64" i="9"/>
  <c r="AA62" i="9"/>
  <c r="AA52" i="9"/>
  <c r="AA47" i="9"/>
  <c r="AA44" i="9"/>
  <c r="AA41" i="9"/>
  <c r="AA39" i="9"/>
  <c r="AA37" i="9"/>
  <c r="AA59" i="9"/>
  <c r="AA54" i="9"/>
  <c r="AA56" i="9"/>
  <c r="AA57" i="9"/>
  <c r="AA50" i="9"/>
  <c r="AA46" i="9"/>
  <c r="AA49" i="9"/>
  <c r="AA40" i="9"/>
  <c r="AA42" i="9"/>
  <c r="AA31" i="9"/>
  <c r="AA48" i="9"/>
  <c r="AA38" i="9"/>
  <c r="AA30" i="9"/>
  <c r="AA28" i="9"/>
  <c r="AA26" i="9"/>
  <c r="AA24" i="9"/>
  <c r="AA23" i="9"/>
  <c r="AA63" i="9"/>
  <c r="AA32" i="9"/>
  <c r="AA29" i="9"/>
  <c r="AA27" i="9"/>
  <c r="AA20" i="9"/>
  <c r="AA18" i="9"/>
  <c r="AA16" i="9"/>
  <c r="AA13" i="9"/>
  <c r="AA19" i="9"/>
  <c r="AA15" i="9"/>
  <c r="AA10" i="9"/>
  <c r="AA8" i="9"/>
  <c r="AA6" i="9"/>
  <c r="AA17" i="9"/>
  <c r="AA11" i="9"/>
  <c r="AA9" i="9"/>
  <c r="AA5" i="9"/>
  <c r="Z21" i="9" l="1"/>
  <c r="Z64" i="9"/>
  <c r="Z65" i="9"/>
  <c r="Z63" i="9"/>
  <c r="Z48" i="9"/>
  <c r="Z51" i="9"/>
  <c r="Z27" i="9"/>
  <c r="Z30" i="9"/>
  <c r="Z9" i="9"/>
  <c r="Z6" i="9"/>
  <c r="Z61" i="9"/>
  <c r="Z44" i="9"/>
  <c r="Z41" i="9"/>
  <c r="Z26" i="9"/>
  <c r="Z7" i="9"/>
  <c r="Z22" i="9"/>
  <c r="AI6" i="17"/>
  <c r="AD94" i="24"/>
  <c r="Y94" i="24"/>
  <c r="AA94" i="24"/>
  <c r="AF90" i="24"/>
  <c r="Z90" i="24"/>
  <c r="AA86" i="24"/>
  <c r="AG86" i="24"/>
  <c r="AB86" i="24"/>
  <c r="AE86" i="24"/>
  <c r="AG78" i="24"/>
  <c r="Z78" i="24"/>
  <c r="AH78" i="24"/>
  <c r="Z62" i="24"/>
  <c r="X62" i="24"/>
  <c r="AH58" i="24"/>
  <c r="L8" i="26" s="1"/>
  <c r="AC58" i="24"/>
  <c r="I18" i="6"/>
  <c r="I18" i="7"/>
  <c r="I18" i="23"/>
  <c r="I18" i="9"/>
  <c r="P12" i="5"/>
  <c r="P15" i="5" s="1"/>
  <c r="I5" i="23"/>
  <c r="I5" i="6"/>
  <c r="I5" i="14"/>
  <c r="I5" i="7"/>
  <c r="I5" i="9"/>
  <c r="I41" i="12"/>
  <c r="I41" i="10"/>
  <c r="I41" i="24"/>
  <c r="I41" i="11"/>
  <c r="I33" i="12"/>
  <c r="I33" i="10"/>
  <c r="I33" i="24"/>
  <c r="I33" i="11"/>
  <c r="I25" i="12"/>
  <c r="I25" i="10"/>
  <c r="I25" i="24"/>
  <c r="I25" i="11"/>
  <c r="I21" i="10"/>
  <c r="I21" i="12"/>
  <c r="I21" i="24"/>
  <c r="I21" i="11"/>
  <c r="I17" i="10"/>
  <c r="I17" i="12"/>
  <c r="I17" i="24"/>
  <c r="I17" i="11"/>
  <c r="I9" i="10"/>
  <c r="AB53" i="10" s="1"/>
  <c r="I9" i="12"/>
  <c r="I9" i="24"/>
  <c r="I9" i="11"/>
  <c r="I61" i="9"/>
  <c r="I61" i="8"/>
  <c r="I61" i="23"/>
  <c r="I61" i="7"/>
  <c r="I49" i="9"/>
  <c r="I49" i="8"/>
  <c r="I49" i="23"/>
  <c r="I49" i="7"/>
  <c r="I37" i="9"/>
  <c r="I37" i="8"/>
  <c r="I37" i="23"/>
  <c r="I37" i="7"/>
  <c r="AI8" i="17"/>
  <c r="AF62" i="24"/>
  <c r="Z94" i="24"/>
  <c r="AH90" i="24"/>
  <c r="AA74" i="24"/>
  <c r="Y58" i="24"/>
  <c r="I18" i="8"/>
  <c r="I41" i="13"/>
  <c r="I33" i="13"/>
  <c r="I25" i="13"/>
  <c r="I21" i="13"/>
  <c r="I17" i="13"/>
  <c r="I9" i="13"/>
  <c r="I61" i="14"/>
  <c r="I49" i="14"/>
  <c r="I37" i="14"/>
  <c r="Y102" i="24"/>
  <c r="AA102" i="24"/>
  <c r="AD102" i="24"/>
  <c r="AE98" i="24"/>
  <c r="AG98" i="24"/>
  <c r="AB98" i="24"/>
  <c r="Z98" i="24"/>
  <c r="AC82" i="24"/>
  <c r="X82" i="24"/>
  <c r="Y70" i="24"/>
  <c r="X70" i="24"/>
  <c r="AH66" i="24"/>
  <c r="AC66" i="24"/>
  <c r="X66" i="24"/>
  <c r="I22" i="6"/>
  <c r="I22" i="7"/>
  <c r="I22" i="23"/>
  <c r="I22" i="9"/>
  <c r="I14" i="6"/>
  <c r="I14" i="7"/>
  <c r="I14" i="23"/>
  <c r="I14" i="9"/>
  <c r="I10" i="6"/>
  <c r="I10" i="7"/>
  <c r="I10" i="23"/>
  <c r="I10" i="9"/>
  <c r="I45" i="12"/>
  <c r="I45" i="10"/>
  <c r="I45" i="24"/>
  <c r="I45" i="11"/>
  <c r="I37" i="12"/>
  <c r="I37" i="10"/>
  <c r="I37" i="24"/>
  <c r="I37" i="11"/>
  <c r="I29" i="12"/>
  <c r="I29" i="10"/>
  <c r="I29" i="24"/>
  <c r="I29" i="11"/>
  <c r="I13" i="10"/>
  <c r="I13" i="12"/>
  <c r="I13" i="24"/>
  <c r="AG65" i="24" s="1"/>
  <c r="I13" i="11"/>
  <c r="P14" i="5"/>
  <c r="P17" i="5" s="1"/>
  <c r="I5" i="10"/>
  <c r="I5" i="12"/>
  <c r="I5" i="24"/>
  <c r="I5" i="11"/>
  <c r="I65" i="9"/>
  <c r="I65" i="8"/>
  <c r="I65" i="23"/>
  <c r="I65" i="7"/>
  <c r="M87" i="6" s="1"/>
  <c r="I57" i="9"/>
  <c r="I57" i="8"/>
  <c r="I57" i="23"/>
  <c r="I57" i="7"/>
  <c r="I53" i="9"/>
  <c r="I53" i="8"/>
  <c r="I53" i="23"/>
  <c r="I53" i="7"/>
  <c r="I45" i="9"/>
  <c r="I45" i="8"/>
  <c r="I45" i="23"/>
  <c r="I45" i="7"/>
  <c r="I41" i="9"/>
  <c r="I41" i="8"/>
  <c r="I41" i="23"/>
  <c r="I41" i="7"/>
  <c r="I33" i="9"/>
  <c r="I33" i="8"/>
  <c r="I33" i="23"/>
  <c r="I33" i="6"/>
  <c r="I29" i="9"/>
  <c r="I29" i="8"/>
  <c r="I29" i="23"/>
  <c r="I29" i="6"/>
  <c r="AI4" i="17"/>
  <c r="AE102" i="24"/>
  <c r="AB102" i="24"/>
  <c r="AF98" i="24"/>
  <c r="AF94" i="24"/>
  <c r="AC90" i="24"/>
  <c r="X86" i="24"/>
  <c r="AF82" i="24"/>
  <c r="AD78" i="24"/>
  <c r="AC74" i="24"/>
  <c r="AG66" i="24"/>
  <c r="AC62" i="24"/>
  <c r="Z58" i="12"/>
  <c r="AF9" i="21"/>
  <c r="AF66" i="24"/>
  <c r="Z102" i="24"/>
  <c r="AF102" i="24"/>
  <c r="AH98" i="24"/>
  <c r="Y98" i="24"/>
  <c r="AH94" i="24"/>
  <c r="AC94" i="24"/>
  <c r="X90" i="24"/>
  <c r="AG90" i="24"/>
  <c r="AF86" i="24"/>
  <c r="Z82" i="24"/>
  <c r="Y82" i="24"/>
  <c r="AE78" i="24"/>
  <c r="AF74" i="24"/>
  <c r="AG74" i="24"/>
  <c r="AC70" i="24"/>
  <c r="Z66" i="24"/>
  <c r="AG62" i="24"/>
  <c r="AG58" i="24"/>
  <c r="I22" i="14"/>
  <c r="I18" i="14"/>
  <c r="I14" i="14"/>
  <c r="I10" i="14"/>
  <c r="I29" i="7"/>
  <c r="AI2" i="17"/>
  <c r="AI7" i="17"/>
  <c r="AT9" i="16"/>
  <c r="AT10" i="16" s="1"/>
  <c r="AD86" i="24"/>
  <c r="Z74" i="24"/>
  <c r="AF58" i="24"/>
  <c r="AH102" i="24"/>
  <c r="AC102" i="24"/>
  <c r="AA98" i="24"/>
  <c r="AC98" i="24"/>
  <c r="X94" i="24"/>
  <c r="AG94" i="24"/>
  <c r="AB90" i="24"/>
  <c r="Z86" i="24"/>
  <c r="Y86" i="24"/>
  <c r="AH82" i="24"/>
  <c r="AG82" i="24"/>
  <c r="Y78" i="24"/>
  <c r="AB74" i="24"/>
  <c r="AD70" i="24"/>
  <c r="AG70" i="24"/>
  <c r="AD66" i="24"/>
  <c r="AD62" i="24"/>
  <c r="Z58" i="24"/>
  <c r="I5" i="8"/>
  <c r="I29" i="14"/>
  <c r="I30" i="8"/>
  <c r="I26" i="8"/>
  <c r="P13" i="5"/>
  <c r="P16" i="5" s="1"/>
  <c r="F4" i="5"/>
  <c r="E4" i="5"/>
  <c r="E30" i="5"/>
  <c r="F30" i="5"/>
  <c r="AA7" i="9"/>
  <c r="AA21" i="9"/>
  <c r="AA12" i="9"/>
  <c r="AA14" i="9"/>
  <c r="AA22" i="9"/>
  <c r="AA36" i="9"/>
  <c r="AA25" i="9"/>
  <c r="AA34" i="9"/>
  <c r="AA33" i="9"/>
  <c r="AA45" i="9"/>
  <c r="AA51" i="9"/>
  <c r="AA35" i="9"/>
  <c r="AA43" i="9"/>
  <c r="AA55" i="9"/>
  <c r="AA58" i="9"/>
  <c r="Z8" i="9"/>
  <c r="Z13" i="9"/>
  <c r="Z11" i="9"/>
  <c r="Z24" i="9"/>
  <c r="Z31" i="9"/>
  <c r="Z16" i="9"/>
  <c r="Z33" i="9"/>
  <c r="Z32" i="9"/>
  <c r="Z40" i="9"/>
  <c r="Z60" i="9"/>
  <c r="Z50" i="9"/>
  <c r="Z62" i="9"/>
  <c r="Z67" i="9"/>
  <c r="AW90" i="23"/>
  <c r="AS90" i="23"/>
  <c r="AK90" i="23"/>
  <c r="BA90" i="23"/>
  <c r="BD88" i="23"/>
  <c r="BB88" i="23"/>
  <c r="AT88" i="23"/>
  <c r="AL88" i="23"/>
  <c r="BA88" i="23"/>
  <c r="AS88" i="23"/>
  <c r="AK88" i="23"/>
  <c r="AP88" i="23"/>
  <c r="AO88" i="23"/>
  <c r="AX88" i="23"/>
  <c r="AW88" i="23"/>
  <c r="AW86" i="23"/>
  <c r="AK86" i="23"/>
  <c r="BA86" i="23"/>
  <c r="AS86" i="23"/>
  <c r="BD84" i="23"/>
  <c r="BA84" i="23"/>
  <c r="AS84" i="23"/>
  <c r="AK84" i="23"/>
  <c r="AX84" i="23"/>
  <c r="AP84" i="23"/>
  <c r="AO84" i="23"/>
  <c r="BB84" i="23"/>
  <c r="AL84" i="23"/>
  <c r="AW84" i="23"/>
  <c r="AT84" i="23"/>
  <c r="AW82" i="23"/>
  <c r="AK82" i="23"/>
  <c r="BA82" i="23"/>
  <c r="AS82" i="23"/>
  <c r="BD80" i="23"/>
  <c r="BA80" i="23"/>
  <c r="AS80" i="23"/>
  <c r="AK80" i="23"/>
  <c r="AX80" i="23"/>
  <c r="AP80" i="23"/>
  <c r="AO80" i="23"/>
  <c r="BB80" i="23"/>
  <c r="AL80" i="23"/>
  <c r="AW80" i="23"/>
  <c r="AT80" i="23"/>
  <c r="AW78" i="23"/>
  <c r="AS78" i="23"/>
  <c r="AK78" i="23"/>
  <c r="BA78" i="23"/>
  <c r="BD76" i="23"/>
  <c r="BB76" i="23"/>
  <c r="AT76" i="23"/>
  <c r="AL76" i="23"/>
  <c r="BA76" i="23"/>
  <c r="AS76" i="23"/>
  <c r="AK76" i="23"/>
  <c r="AX76" i="23"/>
  <c r="AP76" i="23"/>
  <c r="AW76" i="23"/>
  <c r="P10" i="25" s="1"/>
  <c r="AO76" i="23"/>
  <c r="BD93" i="23"/>
  <c r="AW93" i="23"/>
  <c r="AO93" i="23"/>
  <c r="BB93" i="23"/>
  <c r="AT93" i="23"/>
  <c r="AL93" i="23"/>
  <c r="BA93" i="23"/>
  <c r="AK93" i="23"/>
  <c r="AX93" i="23"/>
  <c r="AB93" i="23"/>
  <c r="AS93" i="23"/>
  <c r="AP93" i="23"/>
  <c r="AB85" i="24"/>
  <c r="Y85" i="24"/>
  <c r="AC77" i="24"/>
  <c r="AB77" i="24"/>
  <c r="AF73" i="24"/>
  <c r="AD73" i="24"/>
  <c r="AH69" i="24"/>
  <c r="AG69" i="24"/>
  <c r="Y69" i="24"/>
  <c r="Z69" i="24"/>
  <c r="Y65" i="24"/>
  <c r="Z61" i="24"/>
  <c r="Y61" i="24"/>
  <c r="AG61" i="24"/>
  <c r="AH61" i="24"/>
  <c r="Z57" i="24"/>
  <c r="D10" i="26" s="1"/>
  <c r="Y57" i="24"/>
  <c r="AG57" i="24"/>
  <c r="K8" i="26" s="1"/>
  <c r="AH57" i="24"/>
  <c r="Z10" i="9"/>
  <c r="Z5" i="9"/>
  <c r="Z53" i="9"/>
  <c r="Z25" i="9"/>
  <c r="Z35" i="9"/>
  <c r="Z20" i="9"/>
  <c r="Z42" i="9"/>
  <c r="Z34" i="9"/>
  <c r="Z47" i="9"/>
  <c r="Z55" i="9"/>
  <c r="Z52" i="9"/>
  <c r="Z59" i="9"/>
  <c r="C10" i="26"/>
  <c r="AW74" i="23"/>
  <c r="AK74" i="23"/>
  <c r="BA74" i="23"/>
  <c r="AS74" i="23"/>
  <c r="I25" i="23"/>
  <c r="I25" i="14"/>
  <c r="I25" i="9"/>
  <c r="AA70" i="9" s="1"/>
  <c r="I25" i="8"/>
  <c r="I25" i="6"/>
  <c r="I25" i="7"/>
  <c r="AA100" i="24"/>
  <c r="Z100" i="24"/>
  <c r="AH96" i="24"/>
  <c r="AA96" i="24"/>
  <c r="AD92" i="24"/>
  <c r="AC92" i="24"/>
  <c r="Y92" i="24"/>
  <c r="AE84" i="24"/>
  <c r="AH84" i="24"/>
  <c r="AF68" i="24"/>
  <c r="AE68" i="24"/>
  <c r="AE64" i="24"/>
  <c r="X64" i="24"/>
  <c r="AF60" i="24"/>
  <c r="AE60" i="24"/>
  <c r="AU136" i="23"/>
  <c r="AN136" i="23"/>
  <c r="BD136" i="23"/>
  <c r="BD132" i="23"/>
  <c r="AU132" i="23"/>
  <c r="AN132" i="23"/>
  <c r="AU128" i="23"/>
  <c r="AN128" i="23"/>
  <c r="BD128" i="23"/>
  <c r="BD124" i="23"/>
  <c r="AU124" i="23"/>
  <c r="AN124" i="23"/>
  <c r="BD120" i="23"/>
  <c r="AU120" i="23"/>
  <c r="AN120" i="23"/>
  <c r="AN116" i="23"/>
  <c r="BD116" i="23"/>
  <c r="AU116" i="23"/>
  <c r="AY112" i="23"/>
  <c r="AI112" i="23"/>
  <c r="AV112" i="23"/>
  <c r="R112" i="23"/>
  <c r="BD112" i="23"/>
  <c r="AQ112" i="23"/>
  <c r="AN112" i="23"/>
  <c r="BD110" i="23"/>
  <c r="AN110" i="23"/>
  <c r="AQ108" i="23"/>
  <c r="BD108" i="23"/>
  <c r="AN108" i="23"/>
  <c r="AY108" i="23"/>
  <c r="AV108" i="23"/>
  <c r="AI108" i="23"/>
  <c r="R108" i="23"/>
  <c r="BD106" i="23"/>
  <c r="AN106" i="23"/>
  <c r="AY104" i="23"/>
  <c r="AI104" i="23"/>
  <c r="AV104" i="23"/>
  <c r="AQ104" i="23"/>
  <c r="AN104" i="23"/>
  <c r="BD104" i="23"/>
  <c r="AR102" i="23"/>
  <c r="BD102" i="23"/>
  <c r="AM102" i="23"/>
  <c r="BA100" i="23"/>
  <c r="AQ100" i="23"/>
  <c r="AZ100" i="23"/>
  <c r="AO100" i="23"/>
  <c r="AV100" i="23"/>
  <c r="AU100" i="23"/>
  <c r="AK100" i="23"/>
  <c r="AJ100" i="23"/>
  <c r="AW98" i="23"/>
  <c r="BC98" i="23"/>
  <c r="AR98" i="23"/>
  <c r="BD96" i="23"/>
  <c r="BA96" i="23"/>
  <c r="AS96" i="23"/>
  <c r="AK96" i="23"/>
  <c r="AX96" i="23"/>
  <c r="AP96" i="23"/>
  <c r="AO96" i="23"/>
  <c r="BB96" i="23"/>
  <c r="AL96" i="23"/>
  <c r="AW96" i="23"/>
  <c r="AT96" i="23"/>
  <c r="AI5" i="17"/>
  <c r="BD89" i="23"/>
  <c r="AX89" i="23"/>
  <c r="AP89" i="23"/>
  <c r="AW89" i="23"/>
  <c r="AO89" i="23"/>
  <c r="BB89" i="23"/>
  <c r="AL89" i="23"/>
  <c r="BA89" i="23"/>
  <c r="AK89" i="23"/>
  <c r="AT89" i="23"/>
  <c r="AS89" i="23"/>
  <c r="BD85" i="23"/>
  <c r="AW85" i="23"/>
  <c r="AO85" i="23"/>
  <c r="BB85" i="23"/>
  <c r="AT85" i="23"/>
  <c r="AL85" i="23"/>
  <c r="BA85" i="23"/>
  <c r="AK85" i="23"/>
  <c r="AX85" i="23"/>
  <c r="AS85" i="23"/>
  <c r="AP85" i="23"/>
  <c r="BD81" i="23"/>
  <c r="AW81" i="23"/>
  <c r="AO81" i="23"/>
  <c r="BB81" i="23"/>
  <c r="AT81" i="23"/>
  <c r="AL81" i="23"/>
  <c r="BA81" i="23"/>
  <c r="AK81" i="23"/>
  <c r="AX81" i="23"/>
  <c r="AS81" i="23"/>
  <c r="AP81" i="23"/>
  <c r="P81" i="6"/>
  <c r="BD77" i="23"/>
  <c r="AX77" i="23"/>
  <c r="AP77" i="23"/>
  <c r="AW77" i="23"/>
  <c r="AO77" i="23"/>
  <c r="BB77" i="23"/>
  <c r="AT77" i="23"/>
  <c r="AL77" i="23"/>
  <c r="BA77" i="23"/>
  <c r="AS77" i="23"/>
  <c r="AK77" i="23"/>
  <c r="M80" i="6"/>
  <c r="AG103" i="24"/>
  <c r="X103" i="24"/>
  <c r="AF99" i="24"/>
  <c r="Y99" i="24"/>
  <c r="X95" i="24"/>
  <c r="AG95" i="24"/>
  <c r="AC87" i="24"/>
  <c r="AF87" i="24"/>
  <c r="AD63" i="24"/>
  <c r="AC63" i="24"/>
  <c r="X12" i="21"/>
  <c r="AF12" i="21" s="1"/>
  <c r="U10" i="21"/>
  <c r="AI10" i="21" s="1"/>
  <c r="I23" i="23"/>
  <c r="I23" i="14"/>
  <c r="I23" i="7"/>
  <c r="I23" i="9"/>
  <c r="I23" i="8"/>
  <c r="I23" i="6"/>
  <c r="AI72" i="6" s="1"/>
  <c r="AI77" i="6" s="1"/>
  <c r="AD90" i="24"/>
  <c r="AA90" i="24"/>
  <c r="AA82" i="24"/>
  <c r="AD82" i="24"/>
  <c r="AF78" i="24"/>
  <c r="AB78" i="24"/>
  <c r="AA78" i="24"/>
  <c r="X74" i="24"/>
  <c r="AD74" i="24"/>
  <c r="AE74" i="24"/>
  <c r="AA70" i="24"/>
  <c r="AH70" i="24"/>
  <c r="AF70" i="24"/>
  <c r="AE66" i="24"/>
  <c r="AA66" i="24"/>
  <c r="AB66" i="24"/>
  <c r="AE62" i="24"/>
  <c r="AB62" i="24"/>
  <c r="AA62" i="24"/>
  <c r="AE58" i="24"/>
  <c r="AB58" i="24"/>
  <c r="AA58" i="24"/>
  <c r="AZ137" i="23"/>
  <c r="AY137" i="23"/>
  <c r="AR137" i="23"/>
  <c r="AI137" i="23"/>
  <c r="M88" i="6"/>
  <c r="AZ133" i="23"/>
  <c r="AI133" i="23"/>
  <c r="AY133" i="23"/>
  <c r="AR133" i="23"/>
  <c r="AZ129" i="23"/>
  <c r="AY129" i="23"/>
  <c r="AR129" i="23"/>
  <c r="AI129" i="23"/>
  <c r="AZ125" i="23"/>
  <c r="AI125" i="23"/>
  <c r="AY125" i="23"/>
  <c r="AR125" i="23"/>
  <c r="AZ121" i="23"/>
  <c r="AY121" i="23"/>
  <c r="AR121" i="23"/>
  <c r="AI121" i="23"/>
  <c r="AZ117" i="23"/>
  <c r="AR117" i="23"/>
  <c r="AI117" i="23"/>
  <c r="AY117" i="23"/>
  <c r="M86" i="6"/>
  <c r="BD113" i="23"/>
  <c r="AR113" i="23"/>
  <c r="BC113" i="23"/>
  <c r="AM113" i="23"/>
  <c r="AJ113" i="23"/>
  <c r="AZ113" i="23"/>
  <c r="AU113" i="23"/>
  <c r="BD109" i="23"/>
  <c r="AZ109" i="23"/>
  <c r="AJ109" i="23"/>
  <c r="AU109" i="23"/>
  <c r="BC109" i="23"/>
  <c r="AR109" i="23"/>
  <c r="AM109" i="23"/>
  <c r="BD105" i="23"/>
  <c r="AR105" i="23"/>
  <c r="BC105" i="23"/>
  <c r="AM105" i="23"/>
  <c r="AZ105" i="23"/>
  <c r="AU105" i="23"/>
  <c r="AJ105" i="23"/>
  <c r="BA101" i="23"/>
  <c r="AZ101" i="23"/>
  <c r="AO101" i="23"/>
  <c r="AY101" i="23"/>
  <c r="AN101" i="23"/>
  <c r="AU101" i="23"/>
  <c r="AS101" i="23"/>
  <c r="AJ101" i="23"/>
  <c r="BD101" i="23"/>
  <c r="AI101" i="23"/>
  <c r="BA97" i="23"/>
  <c r="AY97" i="23"/>
  <c r="AN97" i="23"/>
  <c r="AU97" i="23"/>
  <c r="AJ97" i="23"/>
  <c r="BD97" i="23"/>
  <c r="AI97" i="23"/>
  <c r="AZ97" i="23"/>
  <c r="AS97" i="23"/>
  <c r="AO97" i="23"/>
  <c r="AH75" i="8"/>
  <c r="Z17" i="9"/>
  <c r="Z23" i="9"/>
  <c r="Z28" i="9"/>
  <c r="Z38" i="9"/>
  <c r="Z18" i="9"/>
  <c r="Z29" i="9"/>
  <c r="Z39" i="9"/>
  <c r="Z36" i="9"/>
  <c r="Z43" i="9"/>
  <c r="Z66" i="9"/>
  <c r="Z46" i="9"/>
  <c r="Z54" i="9"/>
  <c r="Z68" i="9"/>
  <c r="AI75" i="8"/>
  <c r="S13" i="11"/>
  <c r="C8" i="26"/>
  <c r="D8" i="25"/>
  <c r="K10" i="26"/>
  <c r="X11" i="21"/>
  <c r="AF11" i="21" s="1"/>
  <c r="AO10" i="16"/>
  <c r="AJ10" i="16"/>
  <c r="E37" i="5"/>
  <c r="R55" i="13"/>
  <c r="R55" i="12"/>
  <c r="R55" i="11"/>
  <c r="R55" i="10"/>
  <c r="M16" i="12"/>
  <c r="M16" i="24" s="1"/>
  <c r="M68" i="24" s="1"/>
  <c r="U75" i="8"/>
  <c r="AL71" i="8"/>
  <c r="AL71" i="9"/>
  <c r="AL71" i="7"/>
  <c r="Z58" i="11"/>
  <c r="W56" i="13"/>
  <c r="W56" i="12"/>
  <c r="W56" i="11"/>
  <c r="W56" i="10"/>
  <c r="S56" i="13"/>
  <c r="S56" i="12"/>
  <c r="S56" i="11"/>
  <c r="S56" i="10"/>
  <c r="AL73" i="9"/>
  <c r="AL73" i="8"/>
  <c r="AL73" i="7"/>
  <c r="AL75" i="6"/>
  <c r="R54" i="13"/>
  <c r="R54" i="12"/>
  <c r="R58" i="12" s="1"/>
  <c r="R54" i="11"/>
  <c r="R54" i="10"/>
  <c r="D37" i="5"/>
  <c r="AL72" i="9"/>
  <c r="AL72" i="8"/>
  <c r="AL74" i="6"/>
  <c r="AL72" i="7"/>
  <c r="AA54" i="13"/>
  <c r="AA54" i="12"/>
  <c r="AA54" i="11"/>
  <c r="AA54" i="10"/>
  <c r="AJ75" i="8"/>
  <c r="Z16" i="13"/>
  <c r="AA16" i="13" s="1"/>
  <c r="N73" i="6"/>
  <c r="D35" i="5"/>
  <c r="AG81" i="24" l="1"/>
  <c r="AE81" i="24"/>
  <c r="Z81" i="24"/>
  <c r="Y81" i="24"/>
  <c r="AA81" i="24"/>
  <c r="X81" i="24"/>
  <c r="AH81" i="24"/>
  <c r="AC81" i="24"/>
  <c r="AD81" i="24"/>
  <c r="AF81" i="24"/>
  <c r="AB81" i="24"/>
  <c r="AB97" i="24"/>
  <c r="AH97" i="24"/>
  <c r="Y97" i="24"/>
  <c r="Z97" i="24"/>
  <c r="AC97" i="24"/>
  <c r="AE97" i="24"/>
  <c r="AG97" i="24"/>
  <c r="AA97" i="24"/>
  <c r="AF97" i="24"/>
  <c r="X97" i="24"/>
  <c r="AD97" i="24"/>
  <c r="AW83" i="23"/>
  <c r="AV83" i="23"/>
  <c r="BC83" i="23"/>
  <c r="AM83" i="23"/>
  <c r="AL83" i="23"/>
  <c r="AX83" i="23"/>
  <c r="AR83" i="23"/>
  <c r="AY83" i="23"/>
  <c r="AI83" i="23"/>
  <c r="BA83" i="23"/>
  <c r="AP83" i="23"/>
  <c r="BD83" i="23"/>
  <c r="AN83" i="23"/>
  <c r="AU83" i="23"/>
  <c r="BB83" i="23"/>
  <c r="AS83" i="23"/>
  <c r="AO83" i="23"/>
  <c r="AQ83" i="23"/>
  <c r="AT83" i="23"/>
  <c r="AJ83" i="23"/>
  <c r="AZ83" i="23"/>
  <c r="AK83" i="23"/>
  <c r="AV87" i="23"/>
  <c r="BC87" i="23"/>
  <c r="AM87" i="23"/>
  <c r="AL87" i="23"/>
  <c r="AX87" i="23"/>
  <c r="AR87" i="23"/>
  <c r="AY87" i="23"/>
  <c r="AI87" i="23"/>
  <c r="BA87" i="23"/>
  <c r="AP87" i="23"/>
  <c r="AO87" i="23"/>
  <c r="BD87" i="23"/>
  <c r="AN87" i="23"/>
  <c r="AU87" i="23"/>
  <c r="BB87" i="23"/>
  <c r="AS87" i="23"/>
  <c r="AJ87" i="23"/>
  <c r="AQ87" i="23"/>
  <c r="AK87" i="23"/>
  <c r="AW87" i="23"/>
  <c r="AT87" i="23"/>
  <c r="AZ87" i="23"/>
  <c r="X57" i="10"/>
  <c r="L10" i="26"/>
  <c r="M57" i="10"/>
  <c r="P53" i="10"/>
  <c r="P58" i="10" s="1"/>
  <c r="Y53" i="10"/>
  <c r="P57" i="10"/>
  <c r="M53" i="10"/>
  <c r="M58" i="10" s="1"/>
  <c r="U53" i="10"/>
  <c r="S53" i="10"/>
  <c r="Z53" i="10"/>
  <c r="O53" i="10"/>
  <c r="U57" i="10"/>
  <c r="T57" i="10"/>
  <c r="W53" i="10"/>
  <c r="V57" i="10"/>
  <c r="V53" i="10"/>
  <c r="V58" i="10" s="1"/>
  <c r="Z57" i="10"/>
  <c r="AA53" i="10"/>
  <c r="X53" i="10"/>
  <c r="X58" i="10" s="1"/>
  <c r="L53" i="10"/>
  <c r="O57" i="10"/>
  <c r="Q53" i="10"/>
  <c r="N53" i="10"/>
  <c r="N57" i="10"/>
  <c r="R53" i="10"/>
  <c r="R58" i="10" s="1"/>
  <c r="T53" i="10"/>
  <c r="P82" i="6"/>
  <c r="M85" i="6"/>
  <c r="M83" i="6" s="1"/>
  <c r="AT74" i="23"/>
  <c r="AZ74" i="23"/>
  <c r="AJ74" i="23"/>
  <c r="AQ74" i="23"/>
  <c r="AX74" i="23"/>
  <c r="BB74" i="23"/>
  <c r="AO74" i="23"/>
  <c r="H10" i="25" s="1"/>
  <c r="AV74" i="23"/>
  <c r="BC74" i="23"/>
  <c r="AM74" i="23"/>
  <c r="AL74" i="23"/>
  <c r="E10" i="25" s="1"/>
  <c r="AN74" i="23"/>
  <c r="AY74" i="23"/>
  <c r="AP74" i="23"/>
  <c r="BD74" i="23"/>
  <c r="W10" i="25" s="1"/>
  <c r="AU74" i="23"/>
  <c r="AR74" i="23"/>
  <c r="AI74" i="23"/>
  <c r="D8" i="26"/>
  <c r="AE65" i="24"/>
  <c r="AC65" i="24"/>
  <c r="X65" i="24"/>
  <c r="AD65" i="24"/>
  <c r="AA65" i="24"/>
  <c r="AF65" i="24"/>
  <c r="AB65" i="24"/>
  <c r="U65" i="24"/>
  <c r="AG89" i="24"/>
  <c r="AE89" i="24"/>
  <c r="Z89" i="24"/>
  <c r="AA89" i="24"/>
  <c r="X89" i="24"/>
  <c r="AH89" i="24"/>
  <c r="AC89" i="24"/>
  <c r="Y89" i="24"/>
  <c r="AB89" i="24"/>
  <c r="AD89" i="24"/>
  <c r="AF89" i="24"/>
  <c r="AO79" i="23"/>
  <c r="AV79" i="23"/>
  <c r="BC79" i="23"/>
  <c r="AM79" i="23"/>
  <c r="AL79" i="23"/>
  <c r="AX79" i="23"/>
  <c r="AR79" i="23"/>
  <c r="AY79" i="23"/>
  <c r="AI79" i="23"/>
  <c r="BA79" i="23"/>
  <c r="AP79" i="23"/>
  <c r="BD79" i="23"/>
  <c r="AN79" i="23"/>
  <c r="AU79" i="23"/>
  <c r="BB79" i="23"/>
  <c r="AS79" i="23"/>
  <c r="AT79" i="23"/>
  <c r="AZ79" i="23"/>
  <c r="AK79" i="23"/>
  <c r="AW79" i="23"/>
  <c r="AJ79" i="23"/>
  <c r="AQ79" i="23"/>
  <c r="AV91" i="23"/>
  <c r="BC91" i="23"/>
  <c r="AM91" i="23"/>
  <c r="AL91" i="23"/>
  <c r="AO91" i="23"/>
  <c r="AR91" i="23"/>
  <c r="AY91" i="23"/>
  <c r="AI91" i="23"/>
  <c r="BA91" i="23"/>
  <c r="AX91" i="23"/>
  <c r="BD91" i="23"/>
  <c r="AN91" i="23"/>
  <c r="AU91" i="23"/>
  <c r="BB91" i="23"/>
  <c r="AS91" i="23"/>
  <c r="AP91" i="23"/>
  <c r="AZ91" i="23"/>
  <c r="AK91" i="23"/>
  <c r="AJ91" i="23"/>
  <c r="AW91" i="23"/>
  <c r="AQ91" i="23"/>
  <c r="AT91" i="23"/>
  <c r="E8" i="25"/>
  <c r="Z65" i="24"/>
  <c r="Y53" i="11"/>
  <c r="X53" i="11"/>
  <c r="BB106" i="23"/>
  <c r="AL106" i="23"/>
  <c r="AO106" i="23"/>
  <c r="AM106" i="23"/>
  <c r="AY106" i="23"/>
  <c r="AX106" i="23"/>
  <c r="AW106" i="23"/>
  <c r="AU106" i="23"/>
  <c r="AQ106" i="23"/>
  <c r="AT106" i="23"/>
  <c r="AS106" i="23"/>
  <c r="AZ106" i="23"/>
  <c r="AI106" i="23"/>
  <c r="AV106" i="23"/>
  <c r="BC106" i="23"/>
  <c r="AJ106" i="23"/>
  <c r="AP106" i="23"/>
  <c r="AK106" i="23"/>
  <c r="AR106" i="23"/>
  <c r="BA106" i="23"/>
  <c r="AV118" i="23"/>
  <c r="AT118" i="23"/>
  <c r="AW118" i="23"/>
  <c r="AZ118" i="23"/>
  <c r="AQ118" i="23"/>
  <c r="AN118" i="23"/>
  <c r="AP118" i="23"/>
  <c r="AO118" i="23"/>
  <c r="AY118" i="23"/>
  <c r="BC118" i="23"/>
  <c r="AL118" i="23"/>
  <c r="AK118" i="23"/>
  <c r="AI118" i="23"/>
  <c r="AM118" i="23"/>
  <c r="AX118" i="23"/>
  <c r="AJ118" i="23"/>
  <c r="BB118" i="23"/>
  <c r="BA118" i="23"/>
  <c r="AR118" i="23"/>
  <c r="AU118" i="23"/>
  <c r="AS118" i="23"/>
  <c r="BD118" i="23"/>
  <c r="AV130" i="23"/>
  <c r="AP130" i="23"/>
  <c r="AS130" i="23"/>
  <c r="AR130" i="23"/>
  <c r="AI130" i="23"/>
  <c r="BC130" i="23"/>
  <c r="AL130" i="23"/>
  <c r="AK130" i="23"/>
  <c r="AQ130" i="23"/>
  <c r="AM130" i="23"/>
  <c r="BB130" i="23"/>
  <c r="BA130" i="23"/>
  <c r="AZ130" i="23"/>
  <c r="AU130" i="23"/>
  <c r="AO130" i="23"/>
  <c r="AN130" i="23"/>
  <c r="AX130" i="23"/>
  <c r="AW130" i="23"/>
  <c r="AJ130" i="23"/>
  <c r="BD130" i="23"/>
  <c r="AT130" i="23"/>
  <c r="AY130" i="23"/>
  <c r="AF61" i="24"/>
  <c r="AA61" i="24"/>
  <c r="X61" i="24"/>
  <c r="AC61" i="24"/>
  <c r="AE61" i="24"/>
  <c r="AD61" i="24"/>
  <c r="AB61" i="24"/>
  <c r="X69" i="24"/>
  <c r="AE69" i="24"/>
  <c r="AA69" i="24"/>
  <c r="AC69" i="24"/>
  <c r="AF69" i="24"/>
  <c r="AD69" i="24"/>
  <c r="AB69" i="24"/>
  <c r="AA73" i="24"/>
  <c r="AG73" i="24"/>
  <c r="K6" i="26" s="1"/>
  <c r="Z73" i="24"/>
  <c r="AC73" i="24"/>
  <c r="X73" i="24"/>
  <c r="AE73" i="24"/>
  <c r="Y73" i="24"/>
  <c r="C6" i="26" s="1"/>
  <c r="AB73" i="24"/>
  <c r="AH73" i="24"/>
  <c r="AF77" i="24"/>
  <c r="AA77" i="24"/>
  <c r="Z77" i="24"/>
  <c r="X77" i="24"/>
  <c r="AD77" i="24"/>
  <c r="AH77" i="24"/>
  <c r="Y77" i="24"/>
  <c r="AG77" i="24"/>
  <c r="AE77" i="24"/>
  <c r="AE85" i="24"/>
  <c r="Z85" i="24"/>
  <c r="AD85" i="24"/>
  <c r="AG85" i="24"/>
  <c r="AF85" i="24"/>
  <c r="X85" i="24"/>
  <c r="AA85" i="24"/>
  <c r="AH85" i="24"/>
  <c r="AC85" i="24"/>
  <c r="AE93" i="24"/>
  <c r="Z93" i="24"/>
  <c r="X93" i="24"/>
  <c r="AD93" i="24"/>
  <c r="AB93" i="24"/>
  <c r="AG93" i="24"/>
  <c r="Y93" i="24"/>
  <c r="AC93" i="24"/>
  <c r="AA93" i="24"/>
  <c r="AH93" i="24"/>
  <c r="AF93" i="24"/>
  <c r="F8" i="26"/>
  <c r="AH65" i="24"/>
  <c r="BD98" i="23"/>
  <c r="AX98" i="23"/>
  <c r="BA98" i="23"/>
  <c r="AZ98" i="23"/>
  <c r="AT98" i="23"/>
  <c r="AV98" i="23"/>
  <c r="AU98" i="23"/>
  <c r="BB98" i="23"/>
  <c r="AK98" i="23"/>
  <c r="AI98" i="23"/>
  <c r="AM98" i="23"/>
  <c r="AP98" i="23"/>
  <c r="AO98" i="23"/>
  <c r="AS98" i="23"/>
  <c r="AL98" i="23"/>
  <c r="AJ98" i="23"/>
  <c r="AN98" i="23"/>
  <c r="AQ98" i="23"/>
  <c r="AY98" i="23"/>
  <c r="BB102" i="23"/>
  <c r="AL102" i="23"/>
  <c r="AQ102" i="23"/>
  <c r="AO102" i="23"/>
  <c r="AW102" i="23"/>
  <c r="AN102" i="23"/>
  <c r="AX102" i="23"/>
  <c r="BA102" i="23"/>
  <c r="AK102" i="23"/>
  <c r="AP102" i="23"/>
  <c r="AU102" i="23"/>
  <c r="AI102" i="23"/>
  <c r="BC102" i="23"/>
  <c r="AJ102" i="23"/>
  <c r="AT102" i="23"/>
  <c r="AS102" i="23"/>
  <c r="AV102" i="23"/>
  <c r="AY102" i="23"/>
  <c r="AZ102" i="23"/>
  <c r="AX110" i="23"/>
  <c r="BA110" i="23"/>
  <c r="AK110" i="23"/>
  <c r="AM110" i="23"/>
  <c r="AY110" i="23"/>
  <c r="AV110" i="23"/>
  <c r="AP110" i="23"/>
  <c r="AO110" i="23"/>
  <c r="AZ110" i="23"/>
  <c r="AI110" i="23"/>
  <c r="AL110" i="23"/>
  <c r="P110" i="23"/>
  <c r="AR110" i="23"/>
  <c r="R110" i="23"/>
  <c r="AS110" i="23"/>
  <c r="AU110" i="23"/>
  <c r="BB110" i="23"/>
  <c r="AW110" i="23"/>
  <c r="BC110" i="23"/>
  <c r="AJ110" i="23"/>
  <c r="AT110" i="23"/>
  <c r="AQ110" i="23"/>
  <c r="AV114" i="23"/>
  <c r="AN114" i="23"/>
  <c r="BB114" i="23"/>
  <c r="AZ114" i="23"/>
  <c r="AY114" i="23"/>
  <c r="P114" i="23"/>
  <c r="AR114" i="23"/>
  <c r="AI114" i="23"/>
  <c r="AW114" i="23"/>
  <c r="AS114" i="23"/>
  <c r="AM114" i="23"/>
  <c r="AQ114" i="23"/>
  <c r="AT114" i="23"/>
  <c r="AO114" i="23"/>
  <c r="BD114" i="23"/>
  <c r="R114" i="23"/>
  <c r="BA114" i="23"/>
  <c r="AU114" i="23"/>
  <c r="AX114" i="23"/>
  <c r="AP114" i="23"/>
  <c r="AK114" i="23"/>
  <c r="AJ114" i="23"/>
  <c r="AL114" i="23"/>
  <c r="BC114" i="23"/>
  <c r="AV122" i="23"/>
  <c r="AX122" i="23"/>
  <c r="BA122" i="23"/>
  <c r="AK122" i="23"/>
  <c r="AY122" i="23"/>
  <c r="BD122" i="23"/>
  <c r="AP122" i="23"/>
  <c r="AO122" i="23"/>
  <c r="AQ122" i="23"/>
  <c r="BC122" i="23"/>
  <c r="AL122" i="23"/>
  <c r="AZ122" i="23"/>
  <c r="AI122" i="23"/>
  <c r="AM122" i="23"/>
  <c r="AT122" i="23"/>
  <c r="AJ122" i="23"/>
  <c r="BB122" i="23"/>
  <c r="AW122" i="23"/>
  <c r="AR122" i="23"/>
  <c r="AU122" i="23"/>
  <c r="AS122" i="23"/>
  <c r="AN122" i="23"/>
  <c r="BB126" i="23"/>
  <c r="AL126" i="23"/>
  <c r="AO126" i="23"/>
  <c r="AJ126" i="23"/>
  <c r="AU126" i="23"/>
  <c r="AM126" i="23"/>
  <c r="AP126" i="23"/>
  <c r="AK126" i="23"/>
  <c r="AQ126" i="23"/>
  <c r="BC126" i="23"/>
  <c r="BA126" i="23"/>
  <c r="AZ126" i="23"/>
  <c r="AI126" i="23"/>
  <c r="AV126" i="23"/>
  <c r="AT126" i="23"/>
  <c r="AN126" i="23"/>
  <c r="AX126" i="23"/>
  <c r="AW126" i="23"/>
  <c r="AR126" i="23"/>
  <c r="BD126" i="23"/>
  <c r="AS126" i="23"/>
  <c r="AY126" i="23"/>
  <c r="AV134" i="23"/>
  <c r="AT134" i="23"/>
  <c r="AW134" i="23"/>
  <c r="AZ134" i="23"/>
  <c r="AQ134" i="23"/>
  <c r="AN134" i="23"/>
  <c r="AL134" i="23"/>
  <c r="AK134" i="23"/>
  <c r="AI134" i="23"/>
  <c r="AM134" i="23"/>
  <c r="BB134" i="23"/>
  <c r="BA134" i="23"/>
  <c r="AR134" i="23"/>
  <c r="AU134" i="23"/>
  <c r="AO134" i="23"/>
  <c r="BC134" i="23"/>
  <c r="AX134" i="23"/>
  <c r="AS134" i="23"/>
  <c r="AJ134" i="23"/>
  <c r="BD134" i="23"/>
  <c r="AP134" i="23"/>
  <c r="AY134" i="23"/>
  <c r="AB57" i="24"/>
  <c r="AD57" i="24"/>
  <c r="X57" i="24"/>
  <c r="AE57" i="24"/>
  <c r="I8" i="26" s="1"/>
  <c r="AA57" i="24"/>
  <c r="AF57" i="24"/>
  <c r="AC57" i="24"/>
  <c r="R58" i="11"/>
  <c r="AI58" i="7"/>
  <c r="AI58" i="9" s="1"/>
  <c r="AI38" i="7"/>
  <c r="AI54" i="7"/>
  <c r="AI52" i="7"/>
  <c r="AI52" i="9" s="1"/>
  <c r="AI36" i="7"/>
  <c r="AI22" i="7"/>
  <c r="AI6" i="7"/>
  <c r="AI20" i="7"/>
  <c r="AI20" i="9" s="1"/>
  <c r="AI5" i="7"/>
  <c r="AI45" i="7"/>
  <c r="AI39" i="7"/>
  <c r="AI61" i="7"/>
  <c r="AI34" i="7"/>
  <c r="AI11" i="7"/>
  <c r="AI27" i="7"/>
  <c r="AI15" i="7"/>
  <c r="AI55" i="7"/>
  <c r="AI47" i="7"/>
  <c r="AI32" i="7"/>
  <c r="AI25" i="7"/>
  <c r="AI57" i="7"/>
  <c r="AI41" i="7"/>
  <c r="AI67" i="7"/>
  <c r="AI17" i="7"/>
  <c r="AI17" i="9" s="1"/>
  <c r="AI46" i="7"/>
  <c r="AI50" i="7"/>
  <c r="AI53" i="7"/>
  <c r="AI40" i="7"/>
  <c r="AI40" i="9" s="1"/>
  <c r="AI14" i="7"/>
  <c r="AI12" i="7"/>
  <c r="AI66" i="7"/>
  <c r="AI65" i="7"/>
  <c r="AI65" i="9" s="1"/>
  <c r="AI8" i="7"/>
  <c r="AI63" i="7"/>
  <c r="AI59" i="7"/>
  <c r="AI49" i="7"/>
  <c r="AI49" i="9" s="1"/>
  <c r="AI51" i="7"/>
  <c r="AI68" i="7"/>
  <c r="AI42" i="7"/>
  <c r="AI30" i="7"/>
  <c r="AI19" i="7"/>
  <c r="AI37" i="7"/>
  <c r="AI9" i="7"/>
  <c r="AI31" i="7"/>
  <c r="AI31" i="9" s="1"/>
  <c r="AI23" i="7"/>
  <c r="AI7" i="7"/>
  <c r="AI10" i="7"/>
  <c r="AI64" i="7"/>
  <c r="AI64" i="9" s="1"/>
  <c r="AI60" i="7"/>
  <c r="AI62" i="7"/>
  <c r="AI56" i="7"/>
  <c r="AI28" i="7"/>
  <c r="AI28" i="9" s="1"/>
  <c r="AI16" i="7"/>
  <c r="AI29" i="7"/>
  <c r="AI21" i="7"/>
  <c r="AI48" i="7"/>
  <c r="AI48" i="9" s="1"/>
  <c r="AI44" i="7"/>
  <c r="AI43" i="7"/>
  <c r="AI26" i="7"/>
  <c r="AI35" i="7"/>
  <c r="AI18" i="7"/>
  <c r="AI24" i="7"/>
  <c r="AI33" i="7"/>
  <c r="AI13" i="7"/>
  <c r="BD92" i="23"/>
  <c r="BB92" i="23"/>
  <c r="AT92" i="23"/>
  <c r="AL92" i="23"/>
  <c r="BA92" i="23"/>
  <c r="AS92" i="23"/>
  <c r="AK92" i="23"/>
  <c r="AP92" i="23"/>
  <c r="I6" i="25" s="1"/>
  <c r="AO92" i="23"/>
  <c r="AX92" i="23"/>
  <c r="AB92" i="23"/>
  <c r="AW92" i="23"/>
  <c r="AI92" i="23"/>
  <c r="AY92" i="23"/>
  <c r="AV92" i="23"/>
  <c r="AM92" i="23"/>
  <c r="BC92" i="23"/>
  <c r="AJ92" i="23"/>
  <c r="AZ92" i="23"/>
  <c r="AQ92" i="23"/>
  <c r="AN92" i="23"/>
  <c r="AU92" i="23"/>
  <c r="AR92" i="23"/>
  <c r="L10" i="25"/>
  <c r="L8" i="25"/>
  <c r="W8" i="25"/>
  <c r="T8" i="25"/>
  <c r="T10" i="25"/>
  <c r="AE70" i="7"/>
  <c r="Z70" i="7"/>
  <c r="Z75" i="7" s="1"/>
  <c r="AA70" i="7"/>
  <c r="AA75" i="7" s="1"/>
  <c r="AG70" i="7"/>
  <c r="AF70" i="7"/>
  <c r="D10" i="25"/>
  <c r="H8" i="25"/>
  <c r="M28" i="6"/>
  <c r="Z72" i="6"/>
  <c r="M50" i="6"/>
  <c r="M66" i="6"/>
  <c r="M15" i="6"/>
  <c r="P72" i="6"/>
  <c r="P77" i="6" s="1"/>
  <c r="M43" i="6"/>
  <c r="M59" i="6"/>
  <c r="M60" i="6"/>
  <c r="M21" i="6"/>
  <c r="V72" i="6"/>
  <c r="M53" i="6"/>
  <c r="M31" i="6"/>
  <c r="M11" i="6"/>
  <c r="M41" i="6"/>
  <c r="M12" i="6"/>
  <c r="M44" i="6"/>
  <c r="M52" i="6"/>
  <c r="AC72" i="6"/>
  <c r="AC77" i="6" s="1"/>
  <c r="M16" i="6"/>
  <c r="M61" i="6"/>
  <c r="M67" i="6"/>
  <c r="M17" i="6"/>
  <c r="R72" i="6"/>
  <c r="R77" i="6" s="1"/>
  <c r="M18" i="6"/>
  <c r="M46" i="6"/>
  <c r="M54" i="6"/>
  <c r="M62" i="6"/>
  <c r="O72" i="6"/>
  <c r="O77" i="6" s="1"/>
  <c r="AE72" i="6"/>
  <c r="AE77" i="6" s="1"/>
  <c r="M30" i="6"/>
  <c r="M42" i="6"/>
  <c r="W72" i="6"/>
  <c r="W77" i="6" s="1"/>
  <c r="M22" i="6"/>
  <c r="M47" i="6"/>
  <c r="M55" i="6"/>
  <c r="M63" i="6"/>
  <c r="AA72" i="6"/>
  <c r="M8" i="6"/>
  <c r="M36" i="6"/>
  <c r="Y72" i="6"/>
  <c r="Y77" i="6" s="1"/>
  <c r="M29" i="6"/>
  <c r="M48" i="6"/>
  <c r="M56" i="6"/>
  <c r="M64" i="6"/>
  <c r="S72" i="6"/>
  <c r="S77" i="6" s="1"/>
  <c r="M7" i="6"/>
  <c r="M34" i="6"/>
  <c r="L72" i="6"/>
  <c r="L77" i="6" s="1"/>
  <c r="AF72" i="6"/>
  <c r="AF77" i="6" s="1"/>
  <c r="M35" i="6"/>
  <c r="M49" i="6"/>
  <c r="M57" i="6"/>
  <c r="M65" i="6"/>
  <c r="M39" i="6"/>
  <c r="M37" i="6"/>
  <c r="M58" i="6"/>
  <c r="U72" i="6"/>
  <c r="U77" i="6" s="1"/>
  <c r="M38" i="6"/>
  <c r="AH72" i="6"/>
  <c r="AH77" i="6" s="1"/>
  <c r="M51" i="6"/>
  <c r="Q72" i="6"/>
  <c r="Q77" i="6" s="1"/>
  <c r="M68" i="6"/>
  <c r="M40" i="6"/>
  <c r="M45" i="6"/>
  <c r="X72" i="6"/>
  <c r="X77" i="6" s="1"/>
  <c r="AW94" i="23"/>
  <c r="P6" i="25" s="1"/>
  <c r="AB94" i="23"/>
  <c r="BA94" i="23"/>
  <c r="AS94" i="23"/>
  <c r="AK94" i="23"/>
  <c r="AL94" i="23"/>
  <c r="AR94" i="23"/>
  <c r="AY94" i="23"/>
  <c r="AI94" i="23"/>
  <c r="AX94" i="23"/>
  <c r="AT94" i="23"/>
  <c r="BD94" i="23"/>
  <c r="AN94" i="23"/>
  <c r="AU94" i="23"/>
  <c r="BB94" i="23"/>
  <c r="AZ94" i="23"/>
  <c r="AJ94" i="23"/>
  <c r="AQ94" i="23"/>
  <c r="AO94" i="23"/>
  <c r="AV94" i="23"/>
  <c r="BC94" i="23"/>
  <c r="AM94" i="23"/>
  <c r="AP94" i="23"/>
  <c r="P8" i="25"/>
  <c r="X10" i="21"/>
  <c r="AF10" i="21" s="1"/>
  <c r="Z70" i="9"/>
  <c r="AI67" i="9"/>
  <c r="AI38" i="9"/>
  <c r="AI63" i="9"/>
  <c r="AI66" i="9"/>
  <c r="R5" i="11"/>
  <c r="R7" i="11"/>
  <c r="R45" i="11"/>
  <c r="R47" i="11"/>
  <c r="R28" i="11"/>
  <c r="R21" i="11"/>
  <c r="R32" i="11"/>
  <c r="R48" i="11"/>
  <c r="R50" i="11"/>
  <c r="R49" i="11"/>
  <c r="R30" i="11"/>
  <c r="R42" i="11"/>
  <c r="R29" i="11"/>
  <c r="R34" i="11"/>
  <c r="AI55" i="9"/>
  <c r="AI5" i="9"/>
  <c r="AI70" i="7"/>
  <c r="AI75" i="7" s="1"/>
  <c r="AI21" i="9"/>
  <c r="AI29" i="9"/>
  <c r="AI6" i="9"/>
  <c r="AI22" i="9"/>
  <c r="AI16" i="9"/>
  <c r="AI36" i="9"/>
  <c r="AI47" i="9"/>
  <c r="S55" i="13"/>
  <c r="S55" i="12"/>
  <c r="S55" i="10"/>
  <c r="S55" i="11"/>
  <c r="AI45" i="9"/>
  <c r="AI44" i="9"/>
  <c r="R57" i="11"/>
  <c r="R16" i="12"/>
  <c r="R13" i="12"/>
  <c r="R15" i="12"/>
  <c r="AI53" i="9"/>
  <c r="AI10" i="9"/>
  <c r="AI7" i="9"/>
  <c r="AI23" i="9"/>
  <c r="AI9" i="9"/>
  <c r="AI37" i="9"/>
  <c r="AI19" i="9"/>
  <c r="AI42" i="9"/>
  <c r="AI43" i="9"/>
  <c r="AI61" i="9"/>
  <c r="AI39" i="9"/>
  <c r="AI60" i="9"/>
  <c r="R16" i="13"/>
  <c r="S16" i="13" s="1"/>
  <c r="R13" i="13"/>
  <c r="S13" i="13" s="1"/>
  <c r="R57" i="12"/>
  <c r="R15" i="13"/>
  <c r="S15" i="13" s="1"/>
  <c r="AI57" i="9"/>
  <c r="AI12" i="8"/>
  <c r="AI12" i="9"/>
  <c r="AI25" i="9"/>
  <c r="AI33" i="9"/>
  <c r="AI14" i="9"/>
  <c r="AI8" i="9"/>
  <c r="AI24" i="9"/>
  <c r="AI32" i="9"/>
  <c r="AI54" i="9"/>
  <c r="AI56" i="9"/>
  <c r="AI62" i="9"/>
  <c r="D46" i="5"/>
  <c r="Q54" i="13"/>
  <c r="Q54" i="12"/>
  <c r="Q54" i="11"/>
  <c r="Q54" i="10"/>
  <c r="P25" i="11"/>
  <c r="P19" i="11"/>
  <c r="P17" i="11"/>
  <c r="P18" i="11"/>
  <c r="P12" i="11"/>
  <c r="P8" i="11"/>
  <c r="P14" i="11"/>
  <c r="P9" i="11"/>
  <c r="P5" i="11"/>
  <c r="P10" i="11"/>
  <c r="P6" i="11"/>
  <c r="P20" i="11"/>
  <c r="P11" i="11"/>
  <c r="P7" i="11"/>
  <c r="P37" i="11"/>
  <c r="P26" i="11"/>
  <c r="P42" i="11"/>
  <c r="P27" i="11"/>
  <c r="P43" i="11"/>
  <c r="P36" i="11"/>
  <c r="P41" i="11"/>
  <c r="P30" i="11"/>
  <c r="P46" i="11"/>
  <c r="P31" i="11"/>
  <c r="P47" i="11"/>
  <c r="P23" i="11"/>
  <c r="P40" i="11"/>
  <c r="P29" i="11"/>
  <c r="P24" i="11"/>
  <c r="P45" i="11"/>
  <c r="P34" i="11"/>
  <c r="P50" i="11"/>
  <c r="P35" i="11"/>
  <c r="P51" i="11"/>
  <c r="P28" i="11"/>
  <c r="P44" i="11"/>
  <c r="P33" i="11"/>
  <c r="P49" i="11"/>
  <c r="P21" i="11"/>
  <c r="P38" i="11"/>
  <c r="P22" i="11"/>
  <c r="P39" i="11"/>
  <c r="P32" i="11"/>
  <c r="P48" i="11"/>
  <c r="V20" i="11"/>
  <c r="V18" i="11"/>
  <c r="V14" i="11"/>
  <c r="V19" i="11"/>
  <c r="V17" i="11"/>
  <c r="V25" i="11"/>
  <c r="V11" i="11"/>
  <c r="V7" i="11"/>
  <c r="V39" i="11"/>
  <c r="V12" i="11"/>
  <c r="V8" i="11"/>
  <c r="V9" i="11"/>
  <c r="V5" i="11"/>
  <c r="V10" i="11"/>
  <c r="V6" i="11"/>
  <c r="V41" i="11"/>
  <c r="V30" i="11"/>
  <c r="V46" i="11"/>
  <c r="V31" i="11"/>
  <c r="V28" i="11"/>
  <c r="V44" i="11"/>
  <c r="V47" i="11"/>
  <c r="V24" i="11"/>
  <c r="V29" i="11"/>
  <c r="V45" i="11"/>
  <c r="V34" i="11"/>
  <c r="V50" i="11"/>
  <c r="V32" i="11"/>
  <c r="V27" i="11"/>
  <c r="V51" i="11"/>
  <c r="V33" i="11"/>
  <c r="V49" i="11"/>
  <c r="V21" i="11"/>
  <c r="V38" i="11"/>
  <c r="V36" i="11"/>
  <c r="V35" i="11"/>
  <c r="V22" i="11"/>
  <c r="V48" i="11"/>
  <c r="V37" i="11"/>
  <c r="V26" i="11"/>
  <c r="V42" i="11"/>
  <c r="V23" i="11"/>
  <c r="V40" i="11"/>
  <c r="V43" i="11"/>
  <c r="N71" i="8"/>
  <c r="N71" i="9"/>
  <c r="N71" i="7"/>
  <c r="AI41" i="9"/>
  <c r="S54" i="13"/>
  <c r="S54" i="12"/>
  <c r="S54" i="10"/>
  <c r="S54" i="11"/>
  <c r="AI50" i="8"/>
  <c r="AI50" i="9"/>
  <c r="AI46" i="9"/>
  <c r="AI18" i="9"/>
  <c r="AI27" i="9"/>
  <c r="AI35" i="9"/>
  <c r="AI11" i="9"/>
  <c r="AI26" i="9"/>
  <c r="AI34" i="9"/>
  <c r="AI68" i="9"/>
  <c r="AI51" i="9"/>
  <c r="Z16" i="12"/>
  <c r="AI59" i="9"/>
  <c r="L54" i="13"/>
  <c r="L54" i="12"/>
  <c r="L54" i="10"/>
  <c r="L54" i="11"/>
  <c r="D10" i="5"/>
  <c r="T73" i="6" s="1"/>
  <c r="AI6" i="8" l="1"/>
  <c r="AI56" i="8"/>
  <c r="AE56" i="23" s="1"/>
  <c r="AE125" i="23" s="1"/>
  <c r="AI34" i="8"/>
  <c r="AI59" i="8"/>
  <c r="AI60" i="8"/>
  <c r="AI14" i="8"/>
  <c r="AI24" i="8"/>
  <c r="AI54" i="8"/>
  <c r="AE54" i="23" s="1"/>
  <c r="AE123" i="23" s="1"/>
  <c r="AI46" i="8"/>
  <c r="AI11" i="8"/>
  <c r="AI51" i="8"/>
  <c r="AI68" i="8"/>
  <c r="AE68" i="23" s="1"/>
  <c r="AE137" i="23" s="1"/>
  <c r="AI27" i="8"/>
  <c r="AI52" i="8"/>
  <c r="AI8" i="8"/>
  <c r="AI53" i="8"/>
  <c r="AE53" i="23" s="1"/>
  <c r="AE122" i="23" s="1"/>
  <c r="AI13" i="8"/>
  <c r="AI35" i="8"/>
  <c r="AI30" i="8"/>
  <c r="AI25" i="8"/>
  <c r="AI15" i="8"/>
  <c r="AI49" i="8"/>
  <c r="AI17" i="8"/>
  <c r="AI15" i="9"/>
  <c r="AI70" i="9" s="1"/>
  <c r="AI32" i="8"/>
  <c r="AI57" i="8"/>
  <c r="AI7" i="8"/>
  <c r="G8" i="26"/>
  <c r="G10" i="26"/>
  <c r="G6" i="26"/>
  <c r="B8" i="26"/>
  <c r="B10" i="26"/>
  <c r="B6" i="26"/>
  <c r="K10" i="25"/>
  <c r="K8" i="25"/>
  <c r="R10" i="25"/>
  <c r="R8" i="25"/>
  <c r="V10" i="25"/>
  <c r="V8" i="25"/>
  <c r="Q10" i="25"/>
  <c r="Q8" i="25"/>
  <c r="M10" i="25"/>
  <c r="M8" i="25"/>
  <c r="R20" i="11"/>
  <c r="R17" i="11"/>
  <c r="R10" i="11"/>
  <c r="R12" i="11"/>
  <c r="R12" i="12" s="1"/>
  <c r="S12" i="12" s="1"/>
  <c r="R46" i="11"/>
  <c r="R44" i="11"/>
  <c r="R35" i="11"/>
  <c r="R37" i="11"/>
  <c r="R37" i="12" s="1"/>
  <c r="S37" i="12" s="1"/>
  <c r="R39" i="11"/>
  <c r="R41" i="11"/>
  <c r="R23" i="11"/>
  <c r="R9" i="11"/>
  <c r="R9" i="12" s="1"/>
  <c r="S9" i="12" s="1"/>
  <c r="R11" i="11"/>
  <c r="R18" i="11"/>
  <c r="R25" i="11"/>
  <c r="R6" i="11"/>
  <c r="R6" i="12" s="1"/>
  <c r="S6" i="12" s="1"/>
  <c r="R8" i="11"/>
  <c r="R27" i="11"/>
  <c r="R33" i="11"/>
  <c r="R51" i="11"/>
  <c r="R51" i="12" s="1"/>
  <c r="S51" i="12" s="1"/>
  <c r="R26" i="11"/>
  <c r="R36" i="11"/>
  <c r="R22" i="11"/>
  <c r="R40" i="11"/>
  <c r="R40" i="12" s="1"/>
  <c r="S40" i="12" s="1"/>
  <c r="R14" i="11"/>
  <c r="O15" i="11"/>
  <c r="O13" i="11"/>
  <c r="O57" i="11"/>
  <c r="O57" i="12"/>
  <c r="O16" i="11"/>
  <c r="Z57" i="12"/>
  <c r="Z13" i="11"/>
  <c r="Z15" i="11"/>
  <c r="Z57" i="11"/>
  <c r="T57" i="12"/>
  <c r="T16" i="11"/>
  <c r="T15" i="11"/>
  <c r="T13" i="11"/>
  <c r="T57" i="11"/>
  <c r="D6" i="26"/>
  <c r="AI26" i="8"/>
  <c r="AI18" i="8"/>
  <c r="AI41" i="8"/>
  <c r="AI33" i="8"/>
  <c r="AE33" i="23" s="1"/>
  <c r="AE102" i="23" s="1"/>
  <c r="AI13" i="9"/>
  <c r="AI30" i="9"/>
  <c r="AI64" i="8"/>
  <c r="R43" i="11"/>
  <c r="R43" i="12" s="1"/>
  <c r="S43" i="12" s="1"/>
  <c r="R24" i="11"/>
  <c r="R38" i="11"/>
  <c r="R31" i="11"/>
  <c r="R19" i="11"/>
  <c r="R19" i="12" s="1"/>
  <c r="S19" i="12" s="1"/>
  <c r="D6" i="25"/>
  <c r="J10" i="26"/>
  <c r="J8" i="26"/>
  <c r="H8" i="26"/>
  <c r="H10" i="26"/>
  <c r="H6" i="26"/>
  <c r="L6" i="26"/>
  <c r="N8" i="25"/>
  <c r="N10" i="25"/>
  <c r="G8" i="25"/>
  <c r="G10" i="25"/>
  <c r="O8" i="25"/>
  <c r="O10" i="25"/>
  <c r="J8" i="25"/>
  <c r="J10" i="25"/>
  <c r="N57" i="12"/>
  <c r="N15" i="11"/>
  <c r="N13" i="11"/>
  <c r="N57" i="11"/>
  <c r="N16" i="11"/>
  <c r="U16" i="11"/>
  <c r="U57" i="11"/>
  <c r="U15" i="11"/>
  <c r="U57" i="12"/>
  <c r="U13" i="11"/>
  <c r="U58" i="10"/>
  <c r="E10" i="26"/>
  <c r="E6" i="26"/>
  <c r="F6" i="26"/>
  <c r="F10" i="26"/>
  <c r="E8" i="26"/>
  <c r="C8" i="25"/>
  <c r="C10" i="25"/>
  <c r="M82" i="6"/>
  <c r="M81" i="6"/>
  <c r="M89" i="6" s="1"/>
  <c r="N58" i="10"/>
  <c r="V57" i="11"/>
  <c r="V57" i="12"/>
  <c r="V16" i="11"/>
  <c r="V13" i="11"/>
  <c r="V15" i="11"/>
  <c r="O58" i="10"/>
  <c r="M22" i="11"/>
  <c r="M31" i="11"/>
  <c r="M20" i="11"/>
  <c r="M17" i="11"/>
  <c r="M12" i="11"/>
  <c r="M10" i="11"/>
  <c r="M21" i="11"/>
  <c r="M45" i="11"/>
  <c r="M36" i="11"/>
  <c r="M35" i="11"/>
  <c r="M32" i="11"/>
  <c r="M25" i="11"/>
  <c r="M8" i="11"/>
  <c r="M44" i="11"/>
  <c r="M47" i="11"/>
  <c r="M50" i="11"/>
  <c r="M37" i="11"/>
  <c r="M48" i="11"/>
  <c r="M27" i="11"/>
  <c r="M41" i="11"/>
  <c r="M26" i="11"/>
  <c r="M51" i="11"/>
  <c r="M19" i="11"/>
  <c r="M7" i="11"/>
  <c r="M5" i="11"/>
  <c r="M23" i="11"/>
  <c r="M30" i="11"/>
  <c r="M49" i="11"/>
  <c r="M18" i="11"/>
  <c r="M6" i="11"/>
  <c r="M29" i="11"/>
  <c r="M24" i="11"/>
  <c r="M34" i="11"/>
  <c r="M42" i="11"/>
  <c r="M33" i="11"/>
  <c r="M14" i="11"/>
  <c r="M11" i="11"/>
  <c r="M9" i="11"/>
  <c r="M28" i="11"/>
  <c r="M40" i="11"/>
  <c r="M46" i="11"/>
  <c r="M39" i="11"/>
  <c r="M38" i="11"/>
  <c r="M43" i="11"/>
  <c r="M57" i="12"/>
  <c r="M57" i="11"/>
  <c r="M13" i="11"/>
  <c r="M15" i="11"/>
  <c r="L6" i="25"/>
  <c r="H6" i="25"/>
  <c r="T6" i="25"/>
  <c r="I10" i="26"/>
  <c r="I6" i="26"/>
  <c r="J6" i="26"/>
  <c r="B8" i="25"/>
  <c r="B10" i="25"/>
  <c r="I10" i="25"/>
  <c r="I8" i="25"/>
  <c r="F8" i="25"/>
  <c r="F10" i="25"/>
  <c r="U10" i="25"/>
  <c r="U8" i="25"/>
  <c r="S10" i="25"/>
  <c r="S8" i="25"/>
  <c r="T58" i="10"/>
  <c r="Z58" i="10"/>
  <c r="P57" i="11"/>
  <c r="P13" i="11"/>
  <c r="P16" i="11"/>
  <c r="P57" i="12"/>
  <c r="P15" i="11"/>
  <c r="AI62" i="8"/>
  <c r="AI61" i="8"/>
  <c r="AI31" i="8"/>
  <c r="AH21" i="7"/>
  <c r="AH21" i="9" s="1"/>
  <c r="AH5" i="7"/>
  <c r="AH30" i="7"/>
  <c r="AH30" i="9" s="1"/>
  <c r="AH19" i="7"/>
  <c r="AH19" i="9" s="1"/>
  <c r="AH22" i="7"/>
  <c r="AH22" i="9" s="1"/>
  <c r="AH6" i="7"/>
  <c r="AH6" i="9" s="1"/>
  <c r="AH29" i="7"/>
  <c r="AH29" i="9" s="1"/>
  <c r="AH20" i="7"/>
  <c r="AH20" i="9" s="1"/>
  <c r="AH49" i="7"/>
  <c r="AH49" i="9" s="1"/>
  <c r="AH44" i="7"/>
  <c r="AH44" i="9" s="1"/>
  <c r="AH57" i="7"/>
  <c r="AH57" i="9" s="1"/>
  <c r="AH67" i="7"/>
  <c r="AH67" i="9" s="1"/>
  <c r="AH46" i="7"/>
  <c r="AH46" i="9" s="1"/>
  <c r="AH56" i="7"/>
  <c r="AH56" i="9" s="1"/>
  <c r="AH66" i="7"/>
  <c r="AH66" i="9" s="1"/>
  <c r="AH64" i="7"/>
  <c r="AH64" i="9" s="1"/>
  <c r="AH68" i="7"/>
  <c r="AH68" i="9" s="1"/>
  <c r="AH43" i="7"/>
  <c r="AH43" i="9" s="1"/>
  <c r="AH18" i="7"/>
  <c r="AH18" i="9" s="1"/>
  <c r="AH36" i="7"/>
  <c r="AH36" i="9" s="1"/>
  <c r="AH28" i="7"/>
  <c r="AH28" i="9" s="1"/>
  <c r="AH16" i="7"/>
  <c r="AH16" i="9" s="1"/>
  <c r="AH17" i="7"/>
  <c r="AH17" i="9" s="1"/>
  <c r="AH35" i="7"/>
  <c r="AH35" i="9" s="1"/>
  <c r="AH27" i="7"/>
  <c r="AH27" i="9" s="1"/>
  <c r="AH15" i="7"/>
  <c r="AH15" i="9" s="1"/>
  <c r="AH54" i="7"/>
  <c r="AH54" i="9" s="1"/>
  <c r="AH41" i="7"/>
  <c r="AH41" i="9" s="1"/>
  <c r="AH62" i="7"/>
  <c r="AH62" i="9" s="1"/>
  <c r="AH53" i="7"/>
  <c r="AH53" i="9" s="1"/>
  <c r="AH61" i="7"/>
  <c r="AH61" i="9" s="1"/>
  <c r="AH37" i="7"/>
  <c r="AH37" i="9" s="1"/>
  <c r="AH13" i="7"/>
  <c r="AH13" i="9" s="1"/>
  <c r="AH34" i="7"/>
  <c r="AH34" i="9" s="1"/>
  <c r="AH26" i="7"/>
  <c r="AH26" i="9" s="1"/>
  <c r="AH11" i="7"/>
  <c r="AH11" i="9" s="1"/>
  <c r="AH14" i="7"/>
  <c r="AH14" i="9" s="1"/>
  <c r="AH33" i="7"/>
  <c r="AH33" i="9" s="1"/>
  <c r="AH25" i="7"/>
  <c r="AH25" i="9" s="1"/>
  <c r="AH12" i="7"/>
  <c r="AH12" i="9" s="1"/>
  <c r="AH47" i="7"/>
  <c r="AH47" i="9" s="1"/>
  <c r="AH40" i="7"/>
  <c r="AH40" i="9" s="1"/>
  <c r="AH58" i="7"/>
  <c r="AH58" i="9" s="1"/>
  <c r="AH45" i="7"/>
  <c r="AH45" i="9" s="1"/>
  <c r="AH38" i="7"/>
  <c r="AH38" i="9" s="1"/>
  <c r="AH60" i="7"/>
  <c r="AH60" i="9" s="1"/>
  <c r="AH59" i="7"/>
  <c r="AH59" i="9" s="1"/>
  <c r="AH42" i="7"/>
  <c r="AH10" i="7"/>
  <c r="AH10" i="9" s="1"/>
  <c r="AH32" i="7"/>
  <c r="AH24" i="7"/>
  <c r="AH24" i="9" s="1"/>
  <c r="AH8" i="7"/>
  <c r="AH9" i="7"/>
  <c r="AH9" i="9" s="1"/>
  <c r="AH31" i="7"/>
  <c r="AH23" i="7"/>
  <c r="AH23" i="9" s="1"/>
  <c r="AH7" i="7"/>
  <c r="AH63" i="7"/>
  <c r="AH63" i="9" s="1"/>
  <c r="AH65" i="7"/>
  <c r="AH51" i="7"/>
  <c r="AH51" i="9" s="1"/>
  <c r="AH52" i="7"/>
  <c r="AH55" i="7"/>
  <c r="AH55" i="9" s="1"/>
  <c r="AH50" i="7"/>
  <c r="AH39" i="7"/>
  <c r="AH39" i="9" s="1"/>
  <c r="AH48" i="7"/>
  <c r="AH48" i="9" s="1"/>
  <c r="M72" i="6"/>
  <c r="M77" i="6" s="1"/>
  <c r="R40" i="7"/>
  <c r="R40" i="9" s="1"/>
  <c r="R34" i="7"/>
  <c r="R34" i="9" s="1"/>
  <c r="R26" i="7"/>
  <c r="R26" i="9" s="1"/>
  <c r="R13" i="7"/>
  <c r="R13" i="9" s="1"/>
  <c r="R22" i="7"/>
  <c r="R22" i="9" s="1"/>
  <c r="R6" i="7"/>
  <c r="R6" i="9" s="1"/>
  <c r="R33" i="7"/>
  <c r="R33" i="9" s="1"/>
  <c r="R25" i="7"/>
  <c r="R25" i="9" s="1"/>
  <c r="R9" i="7"/>
  <c r="R9" i="9" s="1"/>
  <c r="R15" i="7"/>
  <c r="R15" i="9" s="1"/>
  <c r="R49" i="7"/>
  <c r="R49" i="9" s="1"/>
  <c r="R68" i="7"/>
  <c r="R68" i="9" s="1"/>
  <c r="R59" i="7"/>
  <c r="R59" i="9" s="1"/>
  <c r="R58" i="7"/>
  <c r="R58" i="9" s="1"/>
  <c r="R47" i="7"/>
  <c r="R47" i="9" s="1"/>
  <c r="R61" i="7"/>
  <c r="R61" i="9" s="1"/>
  <c r="R46" i="7"/>
  <c r="R46" i="9" s="1"/>
  <c r="R38" i="7"/>
  <c r="R38" i="9" s="1"/>
  <c r="R32" i="7"/>
  <c r="R32" i="9" s="1"/>
  <c r="R24" i="7"/>
  <c r="R24" i="9" s="1"/>
  <c r="R8" i="7"/>
  <c r="R8" i="9" s="1"/>
  <c r="R19" i="7"/>
  <c r="R19" i="9" s="1"/>
  <c r="R45" i="7"/>
  <c r="R45" i="9" s="1"/>
  <c r="R31" i="7"/>
  <c r="R31" i="9" s="1"/>
  <c r="R20" i="7"/>
  <c r="R20" i="9" s="1"/>
  <c r="R43" i="7"/>
  <c r="R43" i="9" s="1"/>
  <c r="R10" i="7"/>
  <c r="R10" i="9" s="1"/>
  <c r="R50" i="7"/>
  <c r="R50" i="9" s="1"/>
  <c r="R65" i="7"/>
  <c r="R65" i="9" s="1"/>
  <c r="R48" i="7"/>
  <c r="R48" i="9" s="1"/>
  <c r="R63" i="7"/>
  <c r="R63" i="9" s="1"/>
  <c r="R62" i="7"/>
  <c r="R62" i="9" s="1"/>
  <c r="R44" i="7"/>
  <c r="R44" i="9" s="1"/>
  <c r="R41" i="7"/>
  <c r="R41" i="9" s="1"/>
  <c r="R30" i="7"/>
  <c r="R30" i="9" s="1"/>
  <c r="R21" i="7"/>
  <c r="R21" i="9" s="1"/>
  <c r="R5" i="7"/>
  <c r="R14" i="7"/>
  <c r="R14" i="9" s="1"/>
  <c r="R37" i="7"/>
  <c r="R37" i="9" s="1"/>
  <c r="R29" i="7"/>
  <c r="R29" i="9" s="1"/>
  <c r="R17" i="7"/>
  <c r="R17" i="9" s="1"/>
  <c r="R23" i="7"/>
  <c r="R23" i="9" s="1"/>
  <c r="R7" i="7"/>
  <c r="R7" i="9" s="1"/>
  <c r="R66" i="7"/>
  <c r="R66" i="9" s="1"/>
  <c r="R52" i="7"/>
  <c r="R52" i="9" s="1"/>
  <c r="R53" i="7"/>
  <c r="R53" i="9" s="1"/>
  <c r="R56" i="7"/>
  <c r="R56" i="9" s="1"/>
  <c r="R67" i="7"/>
  <c r="R67" i="9" s="1"/>
  <c r="R42" i="7"/>
  <c r="R42" i="9" s="1"/>
  <c r="R36" i="7"/>
  <c r="R36" i="9" s="1"/>
  <c r="R28" i="7"/>
  <c r="R28" i="9" s="1"/>
  <c r="R16" i="7"/>
  <c r="R16" i="9" s="1"/>
  <c r="R39" i="7"/>
  <c r="R39" i="9" s="1"/>
  <c r="R11" i="7"/>
  <c r="R11" i="9" s="1"/>
  <c r="R35" i="7"/>
  <c r="R35" i="9" s="1"/>
  <c r="R27" i="7"/>
  <c r="R27" i="9" s="1"/>
  <c r="R12" i="7"/>
  <c r="R12" i="9" s="1"/>
  <c r="R18" i="7"/>
  <c r="R18" i="9" s="1"/>
  <c r="R55" i="7"/>
  <c r="R55" i="9" s="1"/>
  <c r="R51" i="7"/>
  <c r="R51" i="9" s="1"/>
  <c r="R54" i="7"/>
  <c r="R54" i="9" s="1"/>
  <c r="R60" i="7"/>
  <c r="R60" i="9" s="1"/>
  <c r="R57" i="7"/>
  <c r="R57" i="9" s="1"/>
  <c r="R64" i="7"/>
  <c r="R64" i="9" s="1"/>
  <c r="N6" i="25"/>
  <c r="C6" i="25"/>
  <c r="R6" i="25"/>
  <c r="Q6" i="25"/>
  <c r="U6" i="25"/>
  <c r="AI37" i="8"/>
  <c r="AE37" i="23" s="1"/>
  <c r="AE106" i="23" s="1"/>
  <c r="AI45" i="8"/>
  <c r="AC19" i="7"/>
  <c r="AC35" i="7"/>
  <c r="AC27" i="7"/>
  <c r="AC12" i="7"/>
  <c r="AC15" i="7"/>
  <c r="AC34" i="7"/>
  <c r="AC26" i="7"/>
  <c r="AC13" i="7"/>
  <c r="AC52" i="7"/>
  <c r="AC38" i="7"/>
  <c r="AC56" i="7"/>
  <c r="AC43" i="7"/>
  <c r="AC60" i="7"/>
  <c r="AC47" i="7"/>
  <c r="AC64" i="7"/>
  <c r="AC67" i="7"/>
  <c r="AC42" i="7"/>
  <c r="AC14" i="7"/>
  <c r="AC33" i="7"/>
  <c r="AC25" i="7"/>
  <c r="AC9" i="7"/>
  <c r="AC10" i="7"/>
  <c r="AC32" i="7"/>
  <c r="AC24" i="7"/>
  <c r="AC8" i="7"/>
  <c r="AC68" i="7"/>
  <c r="AC55" i="7"/>
  <c r="AC40" i="7"/>
  <c r="AC59" i="7"/>
  <c r="AC45" i="7"/>
  <c r="AC63" i="7"/>
  <c r="AC49" i="7"/>
  <c r="AC37" i="7"/>
  <c r="AC11" i="7"/>
  <c r="AC31" i="7"/>
  <c r="AC20" i="7"/>
  <c r="AC23" i="7"/>
  <c r="AC7" i="7"/>
  <c r="AC30" i="7"/>
  <c r="AC21" i="7"/>
  <c r="AC5" i="7"/>
  <c r="AC57" i="7"/>
  <c r="AC58" i="7"/>
  <c r="AC65" i="7"/>
  <c r="AC53" i="7"/>
  <c r="AC41" i="7"/>
  <c r="AC61" i="7"/>
  <c r="AC46" i="7"/>
  <c r="AC22" i="7"/>
  <c r="AC6" i="7"/>
  <c r="AC29" i="7"/>
  <c r="AC17" i="7"/>
  <c r="AC18" i="7"/>
  <c r="AC36" i="7"/>
  <c r="AC28" i="7"/>
  <c r="AC16" i="7"/>
  <c r="AC50" i="7"/>
  <c r="AC54" i="7"/>
  <c r="AC39" i="7"/>
  <c r="AC62" i="7"/>
  <c r="AC44" i="7"/>
  <c r="AC66" i="7"/>
  <c r="AC48" i="7"/>
  <c r="AC51" i="7"/>
  <c r="V73" i="6"/>
  <c r="Y73" i="6"/>
  <c r="AA63" i="8"/>
  <c r="Z63" i="23" s="1"/>
  <c r="Z132" i="23" s="1"/>
  <c r="AA49" i="8"/>
  <c r="Z49" i="23" s="1"/>
  <c r="Z118" i="23" s="1"/>
  <c r="AA34" i="8"/>
  <c r="Z34" i="23" s="1"/>
  <c r="Z103" i="23" s="1"/>
  <c r="AA57" i="8"/>
  <c r="Z57" i="23" s="1"/>
  <c r="Z126" i="23" s="1"/>
  <c r="AA41" i="8"/>
  <c r="Z41" i="23" s="1"/>
  <c r="Z110" i="23" s="1"/>
  <c r="AA39" i="8"/>
  <c r="Z39" i="23" s="1"/>
  <c r="Z108" i="23" s="1"/>
  <c r="AA21" i="8"/>
  <c r="Z21" i="23" s="1"/>
  <c r="Z90" i="23" s="1"/>
  <c r="AA61" i="8"/>
  <c r="Z61" i="23" s="1"/>
  <c r="Z130" i="23" s="1"/>
  <c r="AA64" i="8"/>
  <c r="Z64" i="23" s="1"/>
  <c r="Z133" i="23" s="1"/>
  <c r="AA35" i="8"/>
  <c r="Z35" i="23" s="1"/>
  <c r="Z104" i="23" s="1"/>
  <c r="AA15" i="8"/>
  <c r="Z15" i="23" s="1"/>
  <c r="Z84" i="23" s="1"/>
  <c r="AA48" i="8"/>
  <c r="Z48" i="23" s="1"/>
  <c r="Z117" i="23" s="1"/>
  <c r="AA22" i="8"/>
  <c r="Z22" i="23" s="1"/>
  <c r="Z91" i="23" s="1"/>
  <c r="AA16" i="8"/>
  <c r="Z16" i="23" s="1"/>
  <c r="Z85" i="23" s="1"/>
  <c r="AA12" i="8"/>
  <c r="Z12" i="23" s="1"/>
  <c r="Z81" i="23" s="1"/>
  <c r="AA7" i="8"/>
  <c r="Z7" i="23" s="1"/>
  <c r="Z76" i="23" s="1"/>
  <c r="AA27" i="8"/>
  <c r="Z27" i="23" s="1"/>
  <c r="Z96" i="23" s="1"/>
  <c r="AA68" i="8"/>
  <c r="Z68" i="23" s="1"/>
  <c r="Z137" i="23" s="1"/>
  <c r="AA58" i="8"/>
  <c r="Z58" i="23" s="1"/>
  <c r="Z127" i="23" s="1"/>
  <c r="AA46" i="8"/>
  <c r="Z46" i="23" s="1"/>
  <c r="Z115" i="23" s="1"/>
  <c r="AA30" i="8"/>
  <c r="Z30" i="23" s="1"/>
  <c r="Z99" i="23" s="1"/>
  <c r="AA54" i="8"/>
  <c r="Z54" i="23" s="1"/>
  <c r="Z123" i="23" s="1"/>
  <c r="AA37" i="8"/>
  <c r="Z37" i="23" s="1"/>
  <c r="Z106" i="23" s="1"/>
  <c r="AA31" i="8"/>
  <c r="Z31" i="23" s="1"/>
  <c r="Z100" i="23" s="1"/>
  <c r="AA44" i="8"/>
  <c r="Z44" i="23" s="1"/>
  <c r="Z113" i="23" s="1"/>
  <c r="AA56" i="8"/>
  <c r="Z56" i="23" s="1"/>
  <c r="Z125" i="23" s="1"/>
  <c r="AA11" i="8"/>
  <c r="Z11" i="23" s="1"/>
  <c r="Z80" i="23" s="1"/>
  <c r="AA40" i="8"/>
  <c r="Z40" i="23" s="1"/>
  <c r="Z109" i="23" s="1"/>
  <c r="AA18" i="8"/>
  <c r="Z18" i="23" s="1"/>
  <c r="Z87" i="23" s="1"/>
  <c r="AA8" i="8"/>
  <c r="Z8" i="23" s="1"/>
  <c r="Z77" i="23" s="1"/>
  <c r="AA5" i="8"/>
  <c r="AA65" i="8"/>
  <c r="Z65" i="23" s="1"/>
  <c r="Z134" i="23" s="1"/>
  <c r="AA55" i="8"/>
  <c r="Z55" i="23" s="1"/>
  <c r="Z124" i="23" s="1"/>
  <c r="AA42" i="8"/>
  <c r="Z42" i="23" s="1"/>
  <c r="Z111" i="23" s="1"/>
  <c r="AA66" i="8"/>
  <c r="Z66" i="23" s="1"/>
  <c r="Z135" i="23" s="1"/>
  <c r="AA51" i="8"/>
  <c r="Z51" i="23" s="1"/>
  <c r="Z120" i="23" s="1"/>
  <c r="AA33" i="8"/>
  <c r="Z33" i="23" s="1"/>
  <c r="Z102" i="23" s="1"/>
  <c r="AA29" i="8"/>
  <c r="Z29" i="23" s="1"/>
  <c r="Z98" i="23" s="1"/>
  <c r="AA13" i="8"/>
  <c r="Z13" i="23" s="1"/>
  <c r="Z82" i="23" s="1"/>
  <c r="AA36" i="8"/>
  <c r="Z36" i="23" s="1"/>
  <c r="Z105" i="23" s="1"/>
  <c r="AA50" i="8"/>
  <c r="Z50" i="23" s="1"/>
  <c r="Z119" i="23" s="1"/>
  <c r="AA23" i="8"/>
  <c r="Z23" i="23" s="1"/>
  <c r="Z92" i="23" s="1"/>
  <c r="AA59" i="8"/>
  <c r="Z59" i="23" s="1"/>
  <c r="Z128" i="23" s="1"/>
  <c r="AA32" i="8"/>
  <c r="Z32" i="23" s="1"/>
  <c r="Z101" i="23" s="1"/>
  <c r="AA14" i="8"/>
  <c r="Z14" i="23" s="1"/>
  <c r="Z83" i="23" s="1"/>
  <c r="AA6" i="8"/>
  <c r="Z6" i="23" s="1"/>
  <c r="Z75" i="23" s="1"/>
  <c r="AA24" i="8"/>
  <c r="Z24" i="23" s="1"/>
  <c r="Z93" i="23" s="1"/>
  <c r="AA60" i="8"/>
  <c r="Z60" i="23" s="1"/>
  <c r="Z129" i="23" s="1"/>
  <c r="AA52" i="8"/>
  <c r="Z52" i="23" s="1"/>
  <c r="Z121" i="23" s="1"/>
  <c r="AA38" i="8"/>
  <c r="Z38" i="23" s="1"/>
  <c r="Z107" i="23" s="1"/>
  <c r="AA62" i="8"/>
  <c r="Z62" i="23" s="1"/>
  <c r="Z131" i="23" s="1"/>
  <c r="AA45" i="8"/>
  <c r="Z45" i="23" s="1"/>
  <c r="Z114" i="23" s="1"/>
  <c r="AA47" i="8"/>
  <c r="Z47" i="23" s="1"/>
  <c r="Z116" i="23" s="1"/>
  <c r="AA25" i="8"/>
  <c r="Z25" i="23" s="1"/>
  <c r="Z94" i="23" s="1"/>
  <c r="AA9" i="8"/>
  <c r="Z9" i="23" s="1"/>
  <c r="Z78" i="23" s="1"/>
  <c r="AA67" i="8"/>
  <c r="Z67" i="23" s="1"/>
  <c r="Z136" i="23" s="1"/>
  <c r="AA43" i="8"/>
  <c r="Z43" i="23" s="1"/>
  <c r="Z112" i="23" s="1"/>
  <c r="AA19" i="8"/>
  <c r="Z19" i="23" s="1"/>
  <c r="Z88" i="23" s="1"/>
  <c r="AA53" i="8"/>
  <c r="Z53" i="23" s="1"/>
  <c r="Z122" i="23" s="1"/>
  <c r="AA26" i="8"/>
  <c r="Z26" i="23" s="1"/>
  <c r="Z95" i="23" s="1"/>
  <c r="AA10" i="8"/>
  <c r="Z10" i="23" s="1"/>
  <c r="Z79" i="23" s="1"/>
  <c r="AA28" i="8"/>
  <c r="Z28" i="23" s="1"/>
  <c r="Z97" i="23" s="1"/>
  <c r="AA20" i="8"/>
  <c r="Z20" i="23" s="1"/>
  <c r="Z89" i="23" s="1"/>
  <c r="AA17" i="8"/>
  <c r="Z17" i="23" s="1"/>
  <c r="Z86" i="23" s="1"/>
  <c r="G6" i="25"/>
  <c r="V6" i="25"/>
  <c r="B6" i="25"/>
  <c r="W6" i="25"/>
  <c r="X59" i="7"/>
  <c r="X59" i="9" s="1"/>
  <c r="X46" i="7"/>
  <c r="X46" i="9" s="1"/>
  <c r="X38" i="7"/>
  <c r="X38" i="9" s="1"/>
  <c r="X54" i="7"/>
  <c r="X54" i="9" s="1"/>
  <c r="X55" i="7"/>
  <c r="X55" i="9" s="1"/>
  <c r="X45" i="7"/>
  <c r="X45" i="9" s="1"/>
  <c r="X61" i="7"/>
  <c r="X61" i="9" s="1"/>
  <c r="X14" i="7"/>
  <c r="X14" i="9" s="1"/>
  <c r="X37" i="7"/>
  <c r="X37" i="9" s="1"/>
  <c r="X29" i="7"/>
  <c r="X29" i="9" s="1"/>
  <c r="X17" i="7"/>
  <c r="X17" i="9" s="1"/>
  <c r="X18" i="7"/>
  <c r="X18" i="9" s="1"/>
  <c r="X53" i="7"/>
  <c r="X53" i="9" s="1"/>
  <c r="X30" i="7"/>
  <c r="X30" i="9" s="1"/>
  <c r="X21" i="7"/>
  <c r="X21" i="9" s="1"/>
  <c r="X5" i="7"/>
  <c r="X66" i="7"/>
  <c r="X66" i="9" s="1"/>
  <c r="X56" i="7"/>
  <c r="X56" i="9" s="1"/>
  <c r="X44" i="7"/>
  <c r="X44" i="9" s="1"/>
  <c r="X65" i="7"/>
  <c r="X65" i="9" s="1"/>
  <c r="X68" i="7"/>
  <c r="X68" i="9" s="1"/>
  <c r="X52" i="7"/>
  <c r="X52" i="9" s="1"/>
  <c r="X43" i="7"/>
  <c r="X43" i="9" s="1"/>
  <c r="X50" i="7"/>
  <c r="X50" i="9" s="1"/>
  <c r="X11" i="7"/>
  <c r="X11" i="9" s="1"/>
  <c r="X35" i="7"/>
  <c r="X35" i="9" s="1"/>
  <c r="X27" i="7"/>
  <c r="X27" i="9" s="1"/>
  <c r="X12" i="7"/>
  <c r="X12" i="9" s="1"/>
  <c r="X15" i="7"/>
  <c r="X15" i="9" s="1"/>
  <c r="X36" i="7"/>
  <c r="X36" i="9" s="1"/>
  <c r="X28" i="7"/>
  <c r="X28" i="9" s="1"/>
  <c r="X16" i="7"/>
  <c r="X16" i="9" s="1"/>
  <c r="X67" i="7"/>
  <c r="X67" i="9" s="1"/>
  <c r="X51" i="7"/>
  <c r="X51" i="9" s="1"/>
  <c r="X42" i="7"/>
  <c r="X42" i="9" s="1"/>
  <c r="X62" i="7"/>
  <c r="X62" i="9" s="1"/>
  <c r="X63" i="7"/>
  <c r="X63" i="9" s="1"/>
  <c r="X49" i="7"/>
  <c r="X49" i="9" s="1"/>
  <c r="X41" i="7"/>
  <c r="X41" i="9" s="1"/>
  <c r="X22" i="7"/>
  <c r="X22" i="9" s="1"/>
  <c r="X6" i="7"/>
  <c r="X6" i="9" s="1"/>
  <c r="X33" i="7"/>
  <c r="X33" i="9" s="1"/>
  <c r="X25" i="7"/>
  <c r="X25" i="9" s="1"/>
  <c r="X9" i="7"/>
  <c r="X9" i="9" s="1"/>
  <c r="X10" i="7"/>
  <c r="X10" i="9" s="1"/>
  <c r="X34" i="7"/>
  <c r="X34" i="9" s="1"/>
  <c r="X26" i="7"/>
  <c r="X26" i="9" s="1"/>
  <c r="X13" i="7"/>
  <c r="X13" i="9" s="1"/>
  <c r="X64" i="7"/>
  <c r="X64" i="9" s="1"/>
  <c r="X48" i="7"/>
  <c r="X48" i="9" s="1"/>
  <c r="X40" i="7"/>
  <c r="X40" i="9" s="1"/>
  <c r="X57" i="7"/>
  <c r="X57" i="9" s="1"/>
  <c r="X60" i="7"/>
  <c r="X60" i="9" s="1"/>
  <c r="X47" i="7"/>
  <c r="X47" i="9" s="1"/>
  <c r="X39" i="7"/>
  <c r="X39" i="9" s="1"/>
  <c r="X19" i="7"/>
  <c r="X19" i="9" s="1"/>
  <c r="X58" i="7"/>
  <c r="X58" i="9" s="1"/>
  <c r="X31" i="7"/>
  <c r="X31" i="9" s="1"/>
  <c r="X20" i="7"/>
  <c r="X20" i="9" s="1"/>
  <c r="X23" i="7"/>
  <c r="X23" i="9" s="1"/>
  <c r="X7" i="7"/>
  <c r="X7" i="9" s="1"/>
  <c r="X32" i="7"/>
  <c r="X32" i="9" s="1"/>
  <c r="X24" i="7"/>
  <c r="X24" i="9" s="1"/>
  <c r="X8" i="7"/>
  <c r="X8" i="9" s="1"/>
  <c r="Q41" i="7"/>
  <c r="Q41" i="9" s="1"/>
  <c r="Q40" i="7"/>
  <c r="Q40" i="9" s="1"/>
  <c r="Q15" i="7"/>
  <c r="Q15" i="9" s="1"/>
  <c r="Q30" i="7"/>
  <c r="Q30" i="9" s="1"/>
  <c r="Q16" i="7"/>
  <c r="Q16" i="9" s="1"/>
  <c r="Q22" i="7"/>
  <c r="Q22" i="9" s="1"/>
  <c r="Q6" i="7"/>
  <c r="Q6" i="9" s="1"/>
  <c r="Q25" i="7"/>
  <c r="Q25" i="9" s="1"/>
  <c r="Q9" i="7"/>
  <c r="Q9" i="9" s="1"/>
  <c r="Q56" i="7"/>
  <c r="Q56" i="9" s="1"/>
  <c r="Q51" i="7"/>
  <c r="Q51" i="9" s="1"/>
  <c r="Q60" i="7"/>
  <c r="Q60" i="9" s="1"/>
  <c r="Q57" i="7"/>
  <c r="Q57" i="9" s="1"/>
  <c r="Q58" i="7"/>
  <c r="Q58" i="9" s="1"/>
  <c r="Q52" i="7"/>
  <c r="Q52" i="9" s="1"/>
  <c r="Q47" i="7"/>
  <c r="Q47" i="9" s="1"/>
  <c r="Q39" i="7"/>
  <c r="Q39" i="9" s="1"/>
  <c r="Q10" i="7"/>
  <c r="Q10" i="9" s="1"/>
  <c r="Q19" i="7"/>
  <c r="Q19" i="9" s="1"/>
  <c r="Q29" i="7"/>
  <c r="Q29" i="9" s="1"/>
  <c r="Q67" i="7"/>
  <c r="Q67" i="9" s="1"/>
  <c r="Q59" i="7"/>
  <c r="Q59" i="9" s="1"/>
  <c r="Q26" i="7"/>
  <c r="Q26" i="9" s="1"/>
  <c r="Q20" i="7"/>
  <c r="Q20" i="9" s="1"/>
  <c r="Q53" i="7"/>
  <c r="Q53" i="9" s="1"/>
  <c r="Q63" i="7"/>
  <c r="Q63" i="9" s="1"/>
  <c r="Q45" i="7"/>
  <c r="Q45" i="9" s="1"/>
  <c r="Q46" i="7"/>
  <c r="Q46" i="9" s="1"/>
  <c r="Q23" i="7"/>
  <c r="Q23" i="9" s="1"/>
  <c r="Q7" i="7"/>
  <c r="Q7" i="9" s="1"/>
  <c r="Q24" i="7"/>
  <c r="Q24" i="9" s="1"/>
  <c r="Q8" i="7"/>
  <c r="Q8" i="9" s="1"/>
  <c r="Q14" i="7"/>
  <c r="Q14" i="9" s="1"/>
  <c r="Q31" i="7"/>
  <c r="Q31" i="9" s="1"/>
  <c r="Q17" i="7"/>
  <c r="Q17" i="9" s="1"/>
  <c r="Q54" i="7"/>
  <c r="Q54" i="9" s="1"/>
  <c r="Q42" i="7"/>
  <c r="Q42" i="9" s="1"/>
  <c r="Q37" i="7"/>
  <c r="Q37" i="9" s="1"/>
  <c r="Q50" i="7"/>
  <c r="Q50" i="9" s="1"/>
  <c r="Q64" i="7"/>
  <c r="Q64" i="9" s="1"/>
  <c r="Q34" i="7"/>
  <c r="Q34" i="9" s="1"/>
  <c r="Q65" i="7"/>
  <c r="Q65" i="9" s="1"/>
  <c r="Q43" i="7"/>
  <c r="Q43" i="9" s="1"/>
  <c r="Q44" i="7"/>
  <c r="Q44" i="9" s="1"/>
  <c r="Q18" i="7"/>
  <c r="Q18" i="9" s="1"/>
  <c r="Q32" i="7"/>
  <c r="Q32" i="9" s="1"/>
  <c r="Q21" i="7"/>
  <c r="Q21" i="9" s="1"/>
  <c r="Q5" i="7"/>
  <c r="Q11" i="7"/>
  <c r="Q11" i="9" s="1"/>
  <c r="Q27" i="7"/>
  <c r="Q27" i="9" s="1"/>
  <c r="Q12" i="7"/>
  <c r="Q12" i="9" s="1"/>
  <c r="Q36" i="7"/>
  <c r="Q36" i="9" s="1"/>
  <c r="Q66" i="7"/>
  <c r="Q66" i="9" s="1"/>
  <c r="Q35" i="7"/>
  <c r="Q35" i="9" s="1"/>
  <c r="Q55" i="7"/>
  <c r="Q55" i="9" s="1"/>
  <c r="Q61" i="7"/>
  <c r="Q61" i="9" s="1"/>
  <c r="Q28" i="7"/>
  <c r="Q28" i="9" s="1"/>
  <c r="Q62" i="7"/>
  <c r="Q62" i="9" s="1"/>
  <c r="Q38" i="7"/>
  <c r="Q38" i="9" s="1"/>
  <c r="Q13" i="7"/>
  <c r="Q13" i="9" s="1"/>
  <c r="Q33" i="7"/>
  <c r="Q33" i="9" s="1"/>
  <c r="Q49" i="7"/>
  <c r="Q49" i="9" s="1"/>
  <c r="Q48" i="7"/>
  <c r="Q48" i="9" s="1"/>
  <c r="Q68" i="7"/>
  <c r="Q68" i="9" s="1"/>
  <c r="U33" i="7"/>
  <c r="U33" i="9" s="1"/>
  <c r="U25" i="7"/>
  <c r="U25" i="9" s="1"/>
  <c r="U9" i="7"/>
  <c r="U9" i="9" s="1"/>
  <c r="U15" i="7"/>
  <c r="U15" i="9" s="1"/>
  <c r="U34" i="7"/>
  <c r="U34" i="9" s="1"/>
  <c r="U26" i="7"/>
  <c r="U26" i="9" s="1"/>
  <c r="U13" i="7"/>
  <c r="U13" i="9" s="1"/>
  <c r="U19" i="7"/>
  <c r="U19" i="9" s="1"/>
  <c r="U51" i="7"/>
  <c r="U51" i="9" s="1"/>
  <c r="U57" i="7"/>
  <c r="U57" i="9" s="1"/>
  <c r="U46" i="7"/>
  <c r="U46" i="9" s="1"/>
  <c r="U67" i="7"/>
  <c r="U67" i="9" s="1"/>
  <c r="U48" i="7"/>
  <c r="U48" i="9" s="1"/>
  <c r="U39" i="7"/>
  <c r="U39" i="9" s="1"/>
  <c r="U38" i="7"/>
  <c r="U38" i="9" s="1"/>
  <c r="U52" i="7"/>
  <c r="U52" i="9" s="1"/>
  <c r="U20" i="7"/>
  <c r="U20" i="9" s="1"/>
  <c r="U32" i="7"/>
  <c r="U32" i="9" s="1"/>
  <c r="U14" i="7"/>
  <c r="U14" i="9" s="1"/>
  <c r="U59" i="7"/>
  <c r="U59" i="9" s="1"/>
  <c r="U50" i="7"/>
  <c r="U50" i="9" s="1"/>
  <c r="U68" i="7"/>
  <c r="U68" i="9" s="1"/>
  <c r="U42" i="7"/>
  <c r="U42" i="9" s="1"/>
  <c r="U8" i="7"/>
  <c r="U8" i="9" s="1"/>
  <c r="U41" i="7"/>
  <c r="U41" i="9" s="1"/>
  <c r="U53" i="7"/>
  <c r="U53" i="9" s="1"/>
  <c r="U37" i="7"/>
  <c r="U37" i="9" s="1"/>
  <c r="U29" i="7"/>
  <c r="U29" i="9" s="1"/>
  <c r="U17" i="7"/>
  <c r="U17" i="9" s="1"/>
  <c r="U23" i="7"/>
  <c r="U23" i="9" s="1"/>
  <c r="U7" i="7"/>
  <c r="U7" i="9" s="1"/>
  <c r="U30" i="7"/>
  <c r="U30" i="9" s="1"/>
  <c r="U21" i="7"/>
  <c r="U21" i="9" s="1"/>
  <c r="U5" i="7"/>
  <c r="U11" i="7"/>
  <c r="U11" i="9" s="1"/>
  <c r="U63" i="7"/>
  <c r="U63" i="9" s="1"/>
  <c r="U44" i="7"/>
  <c r="U44" i="9" s="1"/>
  <c r="U62" i="7"/>
  <c r="U62" i="9" s="1"/>
  <c r="U45" i="7"/>
  <c r="U45" i="9" s="1"/>
  <c r="U66" i="7"/>
  <c r="U66" i="9" s="1"/>
  <c r="U49" i="7"/>
  <c r="U49" i="9" s="1"/>
  <c r="U54" i="7"/>
  <c r="U54" i="9" s="1"/>
  <c r="U35" i="7"/>
  <c r="U35" i="9" s="1"/>
  <c r="U27" i="7"/>
  <c r="U27" i="9" s="1"/>
  <c r="U12" i="7"/>
  <c r="U12" i="9" s="1"/>
  <c r="U18" i="7"/>
  <c r="U18" i="9" s="1"/>
  <c r="U36" i="7"/>
  <c r="U36" i="9" s="1"/>
  <c r="U28" i="7"/>
  <c r="U28" i="9" s="1"/>
  <c r="U16" i="7"/>
  <c r="U16" i="9" s="1"/>
  <c r="U22" i="7"/>
  <c r="U22" i="9" s="1"/>
  <c r="U6" i="7"/>
  <c r="U6" i="9" s="1"/>
  <c r="U60" i="7"/>
  <c r="U60" i="9" s="1"/>
  <c r="U40" i="7"/>
  <c r="U40" i="9" s="1"/>
  <c r="U43" i="7"/>
  <c r="U43" i="9" s="1"/>
  <c r="U61" i="7"/>
  <c r="U61" i="9" s="1"/>
  <c r="U47" i="7"/>
  <c r="U47" i="9" s="1"/>
  <c r="U65" i="7"/>
  <c r="U65" i="9" s="1"/>
  <c r="U55" i="7"/>
  <c r="U55" i="9" s="1"/>
  <c r="U31" i="7"/>
  <c r="U31" i="9" s="1"/>
  <c r="U10" i="7"/>
  <c r="U10" i="9" s="1"/>
  <c r="U24" i="7"/>
  <c r="U24" i="9" s="1"/>
  <c r="U58" i="7"/>
  <c r="U58" i="9" s="1"/>
  <c r="U64" i="7"/>
  <c r="U64" i="9" s="1"/>
  <c r="U56" i="7"/>
  <c r="U56" i="9" s="1"/>
  <c r="S19" i="7"/>
  <c r="S37" i="7"/>
  <c r="S29" i="7"/>
  <c r="S17" i="7"/>
  <c r="S18" i="7"/>
  <c r="S36" i="7"/>
  <c r="S28" i="7"/>
  <c r="S16" i="7"/>
  <c r="S58" i="7"/>
  <c r="S65" i="7"/>
  <c r="S53" i="7"/>
  <c r="S41" i="7"/>
  <c r="S61" i="7"/>
  <c r="S46" i="7"/>
  <c r="S48" i="7"/>
  <c r="S47" i="7"/>
  <c r="S14" i="7"/>
  <c r="S27" i="7"/>
  <c r="S34" i="7"/>
  <c r="S52" i="7"/>
  <c r="S66" i="7"/>
  <c r="S44" i="7"/>
  <c r="S63" i="7"/>
  <c r="S12" i="7"/>
  <c r="S26" i="7"/>
  <c r="S39" i="7"/>
  <c r="S64" i="7"/>
  <c r="S42" i="7"/>
  <c r="S11" i="7"/>
  <c r="S33" i="7"/>
  <c r="S25" i="7"/>
  <c r="S9" i="7"/>
  <c r="S10" i="7"/>
  <c r="S32" i="7"/>
  <c r="S24" i="7"/>
  <c r="S8" i="7"/>
  <c r="S68" i="7"/>
  <c r="S51" i="7"/>
  <c r="S56" i="7"/>
  <c r="S38" i="7"/>
  <c r="S60" i="7"/>
  <c r="S59" i="7"/>
  <c r="S57" i="7"/>
  <c r="S22" i="7"/>
  <c r="S6" i="7"/>
  <c r="S31" i="7"/>
  <c r="S20" i="7"/>
  <c r="S23" i="7"/>
  <c r="S7" i="7"/>
  <c r="S30" i="7"/>
  <c r="S21" i="7"/>
  <c r="S5" i="7"/>
  <c r="S40" i="7"/>
  <c r="S67" i="7"/>
  <c r="S45" i="7"/>
  <c r="S55" i="7"/>
  <c r="S49" i="7"/>
  <c r="S50" i="7"/>
  <c r="S54" i="7"/>
  <c r="S35" i="7"/>
  <c r="S15" i="7"/>
  <c r="S13" i="7"/>
  <c r="S62" i="7"/>
  <c r="S43" i="7"/>
  <c r="P41" i="7"/>
  <c r="P37" i="7"/>
  <c r="P29" i="7"/>
  <c r="P17" i="7"/>
  <c r="P23" i="7"/>
  <c r="P7" i="7"/>
  <c r="P32" i="7"/>
  <c r="P24" i="7"/>
  <c r="P8" i="7"/>
  <c r="P19" i="7"/>
  <c r="P62" i="7"/>
  <c r="P48" i="7"/>
  <c r="P60" i="7"/>
  <c r="P54" i="7"/>
  <c r="P65" i="7"/>
  <c r="P68" i="7"/>
  <c r="P39" i="7"/>
  <c r="P39" i="9" s="1"/>
  <c r="P12" i="7"/>
  <c r="P12" i="9" s="1"/>
  <c r="P42" i="7"/>
  <c r="P42" i="9" s="1"/>
  <c r="P21" i="7"/>
  <c r="P21" i="9" s="1"/>
  <c r="P14" i="7"/>
  <c r="P14" i="9" s="1"/>
  <c r="P50" i="7"/>
  <c r="P50" i="9" s="1"/>
  <c r="P63" i="7"/>
  <c r="P63" i="9" s="1"/>
  <c r="P53" i="7"/>
  <c r="P53" i="9" s="1"/>
  <c r="P27" i="7"/>
  <c r="P27" i="9" s="1"/>
  <c r="P30" i="7"/>
  <c r="P30" i="9" s="1"/>
  <c r="P47" i="7"/>
  <c r="P47" i="9" s="1"/>
  <c r="P59" i="7"/>
  <c r="P59" i="9" s="1"/>
  <c r="P45" i="7"/>
  <c r="P45" i="9" s="1"/>
  <c r="P46" i="7"/>
  <c r="P46" i="9" s="1"/>
  <c r="P33" i="7"/>
  <c r="P33" i="9" s="1"/>
  <c r="P25" i="7"/>
  <c r="P25" i="9" s="1"/>
  <c r="P9" i="7"/>
  <c r="P9" i="9" s="1"/>
  <c r="P15" i="7"/>
  <c r="P15" i="9" s="1"/>
  <c r="P36" i="7"/>
  <c r="P36" i="9" s="1"/>
  <c r="P28" i="7"/>
  <c r="P28" i="9" s="1"/>
  <c r="P16" i="7"/>
  <c r="P16" i="9" s="1"/>
  <c r="P40" i="7"/>
  <c r="P40" i="9" s="1"/>
  <c r="P11" i="7"/>
  <c r="P11" i="9" s="1"/>
  <c r="P52" i="7"/>
  <c r="P52" i="9" s="1"/>
  <c r="P66" i="7"/>
  <c r="P66" i="9" s="1"/>
  <c r="P51" i="7"/>
  <c r="P51" i="9" s="1"/>
  <c r="P64" i="7"/>
  <c r="P64" i="9" s="1"/>
  <c r="P58" i="7"/>
  <c r="P58" i="9" s="1"/>
  <c r="P43" i="7"/>
  <c r="P38" i="7"/>
  <c r="P31" i="7"/>
  <c r="P20" i="7"/>
  <c r="P44" i="7"/>
  <c r="P10" i="7"/>
  <c r="P34" i="7"/>
  <c r="P26" i="7"/>
  <c r="P13" i="7"/>
  <c r="P22" i="7"/>
  <c r="P6" i="7"/>
  <c r="P57" i="7"/>
  <c r="P55" i="7"/>
  <c r="P56" i="7"/>
  <c r="P49" i="7"/>
  <c r="P67" i="7"/>
  <c r="P35" i="7"/>
  <c r="P35" i="9" s="1"/>
  <c r="P18" i="7"/>
  <c r="P18" i="9" s="1"/>
  <c r="P5" i="7"/>
  <c r="P61" i="7"/>
  <c r="P61" i="9" s="1"/>
  <c r="Z67" i="8"/>
  <c r="Y67" i="23" s="1"/>
  <c r="Y136" i="23" s="1"/>
  <c r="Z50" i="8"/>
  <c r="Y50" i="23" s="1"/>
  <c r="Y119" i="23" s="1"/>
  <c r="Z35" i="8"/>
  <c r="Y35" i="23" s="1"/>
  <c r="Y104" i="23" s="1"/>
  <c r="Z52" i="8"/>
  <c r="Y52" i="23" s="1"/>
  <c r="Y121" i="23" s="1"/>
  <c r="Z38" i="8"/>
  <c r="Y38" i="23" s="1"/>
  <c r="Y107" i="23" s="1"/>
  <c r="Z53" i="8"/>
  <c r="Y53" i="23" s="1"/>
  <c r="Y122" i="23" s="1"/>
  <c r="Z26" i="8"/>
  <c r="Y26" i="23" s="1"/>
  <c r="Y95" i="23" s="1"/>
  <c r="Z10" i="8"/>
  <c r="Y10" i="23" s="1"/>
  <c r="Y79" i="23" s="1"/>
  <c r="Z37" i="8"/>
  <c r="Y37" i="23" s="1"/>
  <c r="Y106" i="23" s="1"/>
  <c r="Z28" i="8"/>
  <c r="Y28" i="23" s="1"/>
  <c r="Y97" i="23" s="1"/>
  <c r="Z12" i="8"/>
  <c r="Y12" i="23" s="1"/>
  <c r="Y81" i="23" s="1"/>
  <c r="Z41" i="8"/>
  <c r="Y41" i="23" s="1"/>
  <c r="Y110" i="23" s="1"/>
  <c r="Z19" i="8"/>
  <c r="Y19" i="23" s="1"/>
  <c r="Y88" i="23" s="1"/>
  <c r="Z7" i="8"/>
  <c r="Y7" i="23" s="1"/>
  <c r="Y76" i="23" s="1"/>
  <c r="Z6" i="8"/>
  <c r="Y6" i="23" s="1"/>
  <c r="Y75" i="23" s="1"/>
  <c r="Z21" i="8"/>
  <c r="Y21" i="23" s="1"/>
  <c r="Y90" i="23" s="1"/>
  <c r="Z66" i="8"/>
  <c r="Y66" i="23" s="1"/>
  <c r="Y135" i="23" s="1"/>
  <c r="Z64" i="8"/>
  <c r="Y64" i="23" s="1"/>
  <c r="Y133" i="23" s="1"/>
  <c r="Z47" i="8"/>
  <c r="Y47" i="23" s="1"/>
  <c r="Y116" i="23" s="1"/>
  <c r="Z31" i="8"/>
  <c r="Y31" i="23" s="1"/>
  <c r="Y100" i="23" s="1"/>
  <c r="Z49" i="8"/>
  <c r="Y49" i="23" s="1"/>
  <c r="Y118" i="23" s="1"/>
  <c r="Z34" i="8"/>
  <c r="Y34" i="23" s="1"/>
  <c r="Y103" i="23" s="1"/>
  <c r="Z48" i="8"/>
  <c r="Y48" i="23" s="1"/>
  <c r="Y117" i="23" s="1"/>
  <c r="Z22" i="8"/>
  <c r="Y22" i="23" s="1"/>
  <c r="Y91" i="23" s="1"/>
  <c r="Z57" i="8"/>
  <c r="Y57" i="23" s="1"/>
  <c r="Y126" i="23" s="1"/>
  <c r="Z61" i="8"/>
  <c r="Y61" i="23" s="1"/>
  <c r="Y130" i="23" s="1"/>
  <c r="Z24" i="8"/>
  <c r="Y24" i="23" s="1"/>
  <c r="Y93" i="23" s="1"/>
  <c r="Z68" i="8"/>
  <c r="Y68" i="23" s="1"/>
  <c r="Y137" i="23" s="1"/>
  <c r="Z33" i="8"/>
  <c r="Y33" i="23" s="1"/>
  <c r="Y102" i="23" s="1"/>
  <c r="Z15" i="8"/>
  <c r="Y15" i="23" s="1"/>
  <c r="Y84" i="23" s="1"/>
  <c r="Z29" i="8"/>
  <c r="Y29" i="23" s="1"/>
  <c r="Y98" i="23" s="1"/>
  <c r="Z25" i="8"/>
  <c r="Y25" i="23" s="1"/>
  <c r="Y94" i="23" s="1"/>
  <c r="Z63" i="8"/>
  <c r="Y63" i="23" s="1"/>
  <c r="Y132" i="23" s="1"/>
  <c r="Z60" i="8"/>
  <c r="Y60" i="23" s="1"/>
  <c r="Y129" i="23" s="1"/>
  <c r="Z43" i="8"/>
  <c r="Y43" i="23" s="1"/>
  <c r="Y112" i="23" s="1"/>
  <c r="Z58" i="8"/>
  <c r="Y58" i="23" s="1"/>
  <c r="Y127" i="23" s="1"/>
  <c r="Z46" i="8"/>
  <c r="Y46" i="23" s="1"/>
  <c r="Y115" i="23" s="1"/>
  <c r="Z30" i="8"/>
  <c r="Y30" i="23" s="1"/>
  <c r="Y99" i="23" s="1"/>
  <c r="Z40" i="8"/>
  <c r="Y40" i="23" s="1"/>
  <c r="Y109" i="23" s="1"/>
  <c r="Z18" i="8"/>
  <c r="Y18" i="23" s="1"/>
  <c r="Y87" i="23" s="1"/>
  <c r="Z51" i="8"/>
  <c r="Y51" i="23" s="1"/>
  <c r="Y120" i="23" s="1"/>
  <c r="Z44" i="8"/>
  <c r="Y44" i="23" s="1"/>
  <c r="Y113" i="23" s="1"/>
  <c r="Z20" i="8"/>
  <c r="Y20" i="23" s="1"/>
  <c r="Y89" i="23" s="1"/>
  <c r="Z62" i="8"/>
  <c r="Y62" i="23" s="1"/>
  <c r="Y131" i="23" s="1"/>
  <c r="Z27" i="8"/>
  <c r="Y27" i="23" s="1"/>
  <c r="Y96" i="23" s="1"/>
  <c r="Z11" i="8"/>
  <c r="Y11" i="23" s="1"/>
  <c r="Y80" i="23" s="1"/>
  <c r="Z13" i="8"/>
  <c r="Y13" i="23" s="1"/>
  <c r="Y82" i="23" s="1"/>
  <c r="Z9" i="8"/>
  <c r="Y9" i="23" s="1"/>
  <c r="Y78" i="23" s="1"/>
  <c r="Z65" i="8"/>
  <c r="Y65" i="23" s="1"/>
  <c r="Y134" i="23" s="1"/>
  <c r="Z56" i="8"/>
  <c r="Y56" i="23" s="1"/>
  <c r="Y125" i="23" s="1"/>
  <c r="Z39" i="8"/>
  <c r="Y39" i="23" s="1"/>
  <c r="Y108" i="23" s="1"/>
  <c r="Z55" i="8"/>
  <c r="Y55" i="23" s="1"/>
  <c r="Y124" i="23" s="1"/>
  <c r="Z42" i="8"/>
  <c r="Y42" i="23" s="1"/>
  <c r="Y111" i="23" s="1"/>
  <c r="Z59" i="8"/>
  <c r="Y59" i="23" s="1"/>
  <c r="Y128" i="23" s="1"/>
  <c r="Z32" i="8"/>
  <c r="Y32" i="23" s="1"/>
  <c r="Y101" i="23" s="1"/>
  <c r="Z14" i="8"/>
  <c r="Y14" i="23" s="1"/>
  <c r="Y83" i="23" s="1"/>
  <c r="Z45" i="8"/>
  <c r="Y45" i="23" s="1"/>
  <c r="Y114" i="23" s="1"/>
  <c r="Z36" i="8"/>
  <c r="Y36" i="23" s="1"/>
  <c r="Y105" i="23" s="1"/>
  <c r="Z16" i="8"/>
  <c r="Y16" i="23" s="1"/>
  <c r="Y85" i="23" s="1"/>
  <c r="Z54" i="8"/>
  <c r="Y54" i="23" s="1"/>
  <c r="Y123" i="23" s="1"/>
  <c r="Z23" i="8"/>
  <c r="Y23" i="23" s="1"/>
  <c r="Y92" i="23" s="1"/>
  <c r="Z17" i="8"/>
  <c r="Y17" i="23" s="1"/>
  <c r="Y86" i="23" s="1"/>
  <c r="Z8" i="8"/>
  <c r="Y8" i="23" s="1"/>
  <c r="Y77" i="23" s="1"/>
  <c r="Z5" i="8"/>
  <c r="J6" i="25"/>
  <c r="F6" i="25"/>
  <c r="E6" i="25"/>
  <c r="L41" i="7"/>
  <c r="L41" i="9" s="1"/>
  <c r="L40" i="7"/>
  <c r="L40" i="9" s="1"/>
  <c r="L15" i="7"/>
  <c r="L15" i="9" s="1"/>
  <c r="L30" i="7"/>
  <c r="L30" i="9" s="1"/>
  <c r="L16" i="7"/>
  <c r="L16" i="9" s="1"/>
  <c r="L22" i="7"/>
  <c r="L22" i="9" s="1"/>
  <c r="L6" i="7"/>
  <c r="L6" i="9" s="1"/>
  <c r="L25" i="7"/>
  <c r="L25" i="9" s="1"/>
  <c r="L9" i="7"/>
  <c r="L9" i="9" s="1"/>
  <c r="L66" i="7"/>
  <c r="L66" i="9" s="1"/>
  <c r="L36" i="7"/>
  <c r="L36" i="9" s="1"/>
  <c r="L63" i="7"/>
  <c r="L63" i="9" s="1"/>
  <c r="L29" i="7"/>
  <c r="L29" i="9" s="1"/>
  <c r="L67" i="7"/>
  <c r="L67" i="9" s="1"/>
  <c r="L35" i="7"/>
  <c r="L35" i="9" s="1"/>
  <c r="L56" i="7"/>
  <c r="L56" i="9" s="1"/>
  <c r="L39" i="7"/>
  <c r="L39" i="9" s="1"/>
  <c r="L26" i="7"/>
  <c r="L26" i="9" s="1"/>
  <c r="L19" i="7"/>
  <c r="L19" i="9" s="1"/>
  <c r="L28" i="7"/>
  <c r="L28" i="9" s="1"/>
  <c r="L54" i="7"/>
  <c r="L54" i="9" s="1"/>
  <c r="L52" i="7"/>
  <c r="L52" i="9" s="1"/>
  <c r="L10" i="7"/>
  <c r="L10" i="9" s="1"/>
  <c r="L33" i="7"/>
  <c r="L33" i="9" s="1"/>
  <c r="L48" i="7"/>
  <c r="L48" i="9" s="1"/>
  <c r="L61" i="7"/>
  <c r="L61" i="9" s="1"/>
  <c r="L45" i="7"/>
  <c r="L46" i="7"/>
  <c r="L46" i="9" s="1"/>
  <c r="L23" i="7"/>
  <c r="L7" i="7"/>
  <c r="L7" i="9" s="1"/>
  <c r="L24" i="7"/>
  <c r="L8" i="7"/>
  <c r="L8" i="9" s="1"/>
  <c r="L14" i="7"/>
  <c r="L31" i="7"/>
  <c r="L31" i="9" s="1"/>
  <c r="L17" i="7"/>
  <c r="L37" i="7"/>
  <c r="L37" i="9" s="1"/>
  <c r="L60" i="7"/>
  <c r="L42" i="7"/>
  <c r="L42" i="9" s="1"/>
  <c r="L64" i="7"/>
  <c r="L50" i="7"/>
  <c r="L50" i="9" s="1"/>
  <c r="L68" i="7"/>
  <c r="L58" i="7"/>
  <c r="L58" i="9" s="1"/>
  <c r="L43" i="7"/>
  <c r="L43" i="9" s="1"/>
  <c r="L44" i="7"/>
  <c r="L18" i="7"/>
  <c r="L18" i="9" s="1"/>
  <c r="L32" i="7"/>
  <c r="L32" i="9" s="1"/>
  <c r="L21" i="7"/>
  <c r="L21" i="9" s="1"/>
  <c r="L5" i="7"/>
  <c r="L11" i="7"/>
  <c r="L11" i="9" s="1"/>
  <c r="L27" i="7"/>
  <c r="L27" i="9" s="1"/>
  <c r="L12" i="7"/>
  <c r="L12" i="9" s="1"/>
  <c r="L34" i="7"/>
  <c r="L34" i="9" s="1"/>
  <c r="L65" i="7"/>
  <c r="L65" i="9" s="1"/>
  <c r="L47" i="7"/>
  <c r="L47" i="9" s="1"/>
  <c r="L49" i="7"/>
  <c r="L49" i="9" s="1"/>
  <c r="L51" i="7"/>
  <c r="L51" i="9" s="1"/>
  <c r="L53" i="7"/>
  <c r="L53" i="9" s="1"/>
  <c r="L55" i="7"/>
  <c r="L55" i="9" s="1"/>
  <c r="L38" i="7"/>
  <c r="L38" i="9" s="1"/>
  <c r="L13" i="7"/>
  <c r="L13" i="9" s="1"/>
  <c r="L20" i="7"/>
  <c r="L20" i="9" s="1"/>
  <c r="L59" i="7"/>
  <c r="L59" i="9" s="1"/>
  <c r="L62" i="7"/>
  <c r="L62" i="9" s="1"/>
  <c r="L57" i="7"/>
  <c r="L57" i="9" s="1"/>
  <c r="Y65" i="7"/>
  <c r="Y68" i="7"/>
  <c r="Y52" i="7"/>
  <c r="Y66" i="7"/>
  <c r="Y50" i="7"/>
  <c r="Y33" i="7"/>
  <c r="Y25" i="7"/>
  <c r="Y9" i="7"/>
  <c r="Y23" i="7"/>
  <c r="Y7" i="7"/>
  <c r="Y34" i="7"/>
  <c r="Y26" i="7"/>
  <c r="Y13" i="7"/>
  <c r="Y44" i="7"/>
  <c r="Y11" i="7"/>
  <c r="Y49" i="7"/>
  <c r="Y51" i="7"/>
  <c r="Y59" i="7"/>
  <c r="Y46" i="7"/>
  <c r="Y8" i="7"/>
  <c r="Y67" i="7"/>
  <c r="Y63" i="7"/>
  <c r="Y61" i="7"/>
  <c r="Y20" i="7"/>
  <c r="Y32" i="7"/>
  <c r="Y22" i="7"/>
  <c r="Y29" i="7"/>
  <c r="Y57" i="7"/>
  <c r="Y60" i="7"/>
  <c r="Y47" i="7"/>
  <c r="Y39" i="7"/>
  <c r="Y42" i="7"/>
  <c r="Y17" i="7"/>
  <c r="Y48" i="7"/>
  <c r="Y15" i="7"/>
  <c r="Y38" i="7"/>
  <c r="Y30" i="7"/>
  <c r="Y21" i="7"/>
  <c r="Y5" i="7"/>
  <c r="Y19" i="7"/>
  <c r="Y64" i="7"/>
  <c r="Y54" i="7"/>
  <c r="Y55" i="7"/>
  <c r="Y45" i="7"/>
  <c r="Y37" i="7"/>
  <c r="Y53" i="7"/>
  <c r="Y35" i="7"/>
  <c r="Y27" i="7"/>
  <c r="Y12" i="7"/>
  <c r="Y40" i="7"/>
  <c r="Y10" i="7"/>
  <c r="Y36" i="7"/>
  <c r="Y28" i="7"/>
  <c r="Y16" i="7"/>
  <c r="Y56" i="7"/>
  <c r="Y14" i="7"/>
  <c r="Y43" i="7"/>
  <c r="Y62" i="7"/>
  <c r="Y41" i="7"/>
  <c r="Y31" i="7"/>
  <c r="Y18" i="7"/>
  <c r="Y24" i="7"/>
  <c r="Y6" i="7"/>
  <c r="Y58" i="7"/>
  <c r="W32" i="7"/>
  <c r="W32" i="9" s="1"/>
  <c r="W24" i="7"/>
  <c r="W24" i="9" s="1"/>
  <c r="W8" i="7"/>
  <c r="W8" i="9" s="1"/>
  <c r="W14" i="7"/>
  <c r="W14" i="9" s="1"/>
  <c r="W35" i="7"/>
  <c r="W35" i="9" s="1"/>
  <c r="W27" i="7"/>
  <c r="W27" i="9" s="1"/>
  <c r="W12" i="7"/>
  <c r="W12" i="9" s="1"/>
  <c r="W15" i="7"/>
  <c r="W15" i="9" s="1"/>
  <c r="W50" i="7"/>
  <c r="W50" i="9" s="1"/>
  <c r="W64" i="7"/>
  <c r="W64" i="9" s="1"/>
  <c r="W54" i="7"/>
  <c r="W54" i="9" s="1"/>
  <c r="W57" i="7"/>
  <c r="W57" i="9" s="1"/>
  <c r="W58" i="7"/>
  <c r="W58" i="9" s="1"/>
  <c r="W43" i="7"/>
  <c r="W43" i="9" s="1"/>
  <c r="W62" i="7"/>
  <c r="W62" i="9" s="1"/>
  <c r="W65" i="7"/>
  <c r="W65" i="9" s="1"/>
  <c r="W42" i="7"/>
  <c r="W42" i="9" s="1"/>
  <c r="W30" i="7"/>
  <c r="W30" i="9" s="1"/>
  <c r="W21" i="7"/>
  <c r="W21" i="9" s="1"/>
  <c r="W5" i="7"/>
  <c r="W11" i="7"/>
  <c r="W11" i="9" s="1"/>
  <c r="W33" i="7"/>
  <c r="W33" i="9" s="1"/>
  <c r="W25" i="7"/>
  <c r="W25" i="9" s="1"/>
  <c r="W9" i="7"/>
  <c r="W9" i="9" s="1"/>
  <c r="W10" i="7"/>
  <c r="W10" i="9" s="1"/>
  <c r="W66" i="7"/>
  <c r="W66" i="9" s="1"/>
  <c r="W53" i="7"/>
  <c r="W53" i="9" s="1"/>
  <c r="W51" i="7"/>
  <c r="W51" i="9" s="1"/>
  <c r="W52" i="7"/>
  <c r="W52" i="9" s="1"/>
  <c r="W59" i="7"/>
  <c r="W59" i="9" s="1"/>
  <c r="W60" i="7"/>
  <c r="W60" i="9" s="1"/>
  <c r="W63" i="7"/>
  <c r="W63" i="9" s="1"/>
  <c r="W36" i="7"/>
  <c r="W36" i="9" s="1"/>
  <c r="W28" i="7"/>
  <c r="W28" i="9" s="1"/>
  <c r="W16" i="7"/>
  <c r="W16" i="9" s="1"/>
  <c r="W22" i="7"/>
  <c r="W22" i="9" s="1"/>
  <c r="W6" i="7"/>
  <c r="W6" i="9" s="1"/>
  <c r="W31" i="7"/>
  <c r="W31" i="9" s="1"/>
  <c r="W20" i="7"/>
  <c r="W20" i="9" s="1"/>
  <c r="W23" i="7"/>
  <c r="W23" i="9" s="1"/>
  <c r="W7" i="7"/>
  <c r="W7" i="9" s="1"/>
  <c r="W38" i="7"/>
  <c r="W38" i="9" s="1"/>
  <c r="W55" i="7"/>
  <c r="W55" i="9" s="1"/>
  <c r="W44" i="7"/>
  <c r="W44" i="9" s="1"/>
  <c r="W45" i="7"/>
  <c r="W45" i="9" s="1"/>
  <c r="W48" i="7"/>
  <c r="W48" i="9" s="1"/>
  <c r="W49" i="7"/>
  <c r="W49" i="9" s="1"/>
  <c r="W56" i="7"/>
  <c r="W56" i="9" s="1"/>
  <c r="W34" i="7"/>
  <c r="W34" i="9" s="1"/>
  <c r="W26" i="7"/>
  <c r="W26" i="9" s="1"/>
  <c r="W13" i="7"/>
  <c r="W13" i="9" s="1"/>
  <c r="W19" i="7"/>
  <c r="W19" i="9" s="1"/>
  <c r="W37" i="7"/>
  <c r="W37" i="9" s="1"/>
  <c r="W29" i="7"/>
  <c r="W29" i="9" s="1"/>
  <c r="W17" i="7"/>
  <c r="W17" i="9" s="1"/>
  <c r="W18" i="7"/>
  <c r="W18" i="9" s="1"/>
  <c r="W47" i="7"/>
  <c r="W47" i="9" s="1"/>
  <c r="W67" i="7"/>
  <c r="W67" i="9" s="1"/>
  <c r="W39" i="7"/>
  <c r="W39" i="9" s="1"/>
  <c r="W68" i="7"/>
  <c r="W68" i="9" s="1"/>
  <c r="W41" i="7"/>
  <c r="W41" i="9" s="1"/>
  <c r="W61" i="7"/>
  <c r="W61" i="9" s="1"/>
  <c r="W46" i="7"/>
  <c r="W46" i="9" s="1"/>
  <c r="W40" i="7"/>
  <c r="W40" i="9" s="1"/>
  <c r="O14" i="7"/>
  <c r="O14" i="9" s="1"/>
  <c r="O35" i="7"/>
  <c r="O35" i="9" s="1"/>
  <c r="O27" i="7"/>
  <c r="O27" i="9" s="1"/>
  <c r="O12" i="7"/>
  <c r="O12" i="9" s="1"/>
  <c r="O15" i="7"/>
  <c r="O15" i="9" s="1"/>
  <c r="O34" i="7"/>
  <c r="O34" i="9" s="1"/>
  <c r="O26" i="7"/>
  <c r="O26" i="9" s="1"/>
  <c r="O13" i="7"/>
  <c r="O13" i="9" s="1"/>
  <c r="O58" i="7"/>
  <c r="O58" i="9" s="1"/>
  <c r="O46" i="7"/>
  <c r="O46" i="9" s="1"/>
  <c r="O39" i="7"/>
  <c r="O39" i="9" s="1"/>
  <c r="O51" i="7"/>
  <c r="O51" i="9" s="1"/>
  <c r="O57" i="7"/>
  <c r="O57" i="9" s="1"/>
  <c r="O50" i="7"/>
  <c r="O50" i="9" s="1"/>
  <c r="O65" i="7"/>
  <c r="O65" i="9" s="1"/>
  <c r="O59" i="7"/>
  <c r="O59" i="9" s="1"/>
  <c r="O42" i="7"/>
  <c r="O42" i="9" s="1"/>
  <c r="O11" i="7"/>
  <c r="O11" i="9" s="1"/>
  <c r="O33" i="7"/>
  <c r="O33" i="9" s="1"/>
  <c r="O25" i="7"/>
  <c r="O25" i="9" s="1"/>
  <c r="O9" i="7"/>
  <c r="O10" i="7"/>
  <c r="O10" i="9" s="1"/>
  <c r="O32" i="7"/>
  <c r="O24" i="7"/>
  <c r="O24" i="9" s="1"/>
  <c r="O8" i="7"/>
  <c r="O8" i="9" s="1"/>
  <c r="O52" i="7"/>
  <c r="O52" i="9" s="1"/>
  <c r="O47" i="7"/>
  <c r="O47" i="9" s="1"/>
  <c r="O56" i="7"/>
  <c r="O56" i="9" s="1"/>
  <c r="O67" i="7"/>
  <c r="O62" i="7"/>
  <c r="O62" i="9" s="1"/>
  <c r="O48" i="7"/>
  <c r="O41" i="7"/>
  <c r="O41" i="9" s="1"/>
  <c r="O22" i="7"/>
  <c r="O22" i="9" s="1"/>
  <c r="O6" i="7"/>
  <c r="O6" i="9" s="1"/>
  <c r="O31" i="7"/>
  <c r="O31" i="9" s="1"/>
  <c r="O20" i="7"/>
  <c r="O20" i="9" s="1"/>
  <c r="O23" i="7"/>
  <c r="O23" i="9" s="1"/>
  <c r="O7" i="7"/>
  <c r="O7" i="9" s="1"/>
  <c r="O30" i="7"/>
  <c r="O30" i="9" s="1"/>
  <c r="O21" i="7"/>
  <c r="O21" i="9" s="1"/>
  <c r="O5" i="7"/>
  <c r="O68" i="7"/>
  <c r="O68" i="9" s="1"/>
  <c r="O63" i="7"/>
  <c r="O63" i="9" s="1"/>
  <c r="O49" i="7"/>
  <c r="O49" i="9" s="1"/>
  <c r="O44" i="7"/>
  <c r="O44" i="9" s="1"/>
  <c r="O38" i="7"/>
  <c r="O38" i="9" s="1"/>
  <c r="O64" i="7"/>
  <c r="O64" i="9" s="1"/>
  <c r="O66" i="7"/>
  <c r="O66" i="9" s="1"/>
  <c r="O19" i="7"/>
  <c r="O19" i="9" s="1"/>
  <c r="O37" i="7"/>
  <c r="O37" i="9" s="1"/>
  <c r="O29" i="7"/>
  <c r="O29" i="9" s="1"/>
  <c r="O17" i="7"/>
  <c r="O17" i="9" s="1"/>
  <c r="O18" i="7"/>
  <c r="O18" i="9" s="1"/>
  <c r="O36" i="7"/>
  <c r="O36" i="9" s="1"/>
  <c r="O28" i="7"/>
  <c r="O28" i="9" s="1"/>
  <c r="O16" i="7"/>
  <c r="O16" i="9" s="1"/>
  <c r="O53" i="7"/>
  <c r="O53" i="9" s="1"/>
  <c r="O45" i="7"/>
  <c r="O45" i="9" s="1"/>
  <c r="O61" i="7"/>
  <c r="O61" i="9" s="1"/>
  <c r="O54" i="7"/>
  <c r="O54" i="9" s="1"/>
  <c r="O60" i="7"/>
  <c r="O60" i="9" s="1"/>
  <c r="O55" i="7"/>
  <c r="O55" i="9" s="1"/>
  <c r="O40" i="7"/>
  <c r="O40" i="9" s="1"/>
  <c r="O43" i="7"/>
  <c r="O43" i="9" s="1"/>
  <c r="K6" i="25"/>
  <c r="S6" i="25"/>
  <c r="O6" i="25"/>
  <c r="M6" i="25"/>
  <c r="AI39" i="8"/>
  <c r="AI43" i="8"/>
  <c r="AE43" i="23" s="1"/>
  <c r="AE112" i="23" s="1"/>
  <c r="AI42" i="8"/>
  <c r="AI19" i="8"/>
  <c r="AE19" i="23" s="1"/>
  <c r="AE88" i="23" s="1"/>
  <c r="AI9" i="8"/>
  <c r="AI23" i="8"/>
  <c r="AI10" i="8"/>
  <c r="AI44" i="8"/>
  <c r="AE44" i="23" s="1"/>
  <c r="AE113" i="23" s="1"/>
  <c r="AE6" i="23"/>
  <c r="AE75" i="23" s="1"/>
  <c r="AE49" i="23"/>
  <c r="AE118" i="23" s="1"/>
  <c r="AI47" i="8"/>
  <c r="AE47" i="23" s="1"/>
  <c r="AE116" i="23" s="1"/>
  <c r="AI65" i="8"/>
  <c r="AE65" i="23" s="1"/>
  <c r="AE134" i="23" s="1"/>
  <c r="AE62" i="23"/>
  <c r="AE131" i="23" s="1"/>
  <c r="AI20" i="8"/>
  <c r="AE20" i="23" s="1"/>
  <c r="AE89" i="23" s="1"/>
  <c r="AE51" i="23"/>
  <c r="AE120" i="23" s="1"/>
  <c r="AE34" i="23"/>
  <c r="AE103" i="23" s="1"/>
  <c r="AE11" i="23"/>
  <c r="AE80" i="23" s="1"/>
  <c r="AE35" i="23"/>
  <c r="AE104" i="23" s="1"/>
  <c r="AE46" i="23"/>
  <c r="AE115" i="23" s="1"/>
  <c r="AE24" i="23"/>
  <c r="AE93" i="23" s="1"/>
  <c r="AE14" i="23"/>
  <c r="AE83" i="23" s="1"/>
  <c r="AE25" i="23"/>
  <c r="AE94" i="23" s="1"/>
  <c r="AE13" i="23"/>
  <c r="AE82" i="23" s="1"/>
  <c r="AE60" i="23"/>
  <c r="AE129" i="23" s="1"/>
  <c r="AE39" i="23"/>
  <c r="AE108" i="23" s="1"/>
  <c r="AE42" i="23"/>
  <c r="AE111" i="23" s="1"/>
  <c r="AE9" i="23"/>
  <c r="AE78" i="23" s="1"/>
  <c r="AE23" i="23"/>
  <c r="AE92" i="23" s="1"/>
  <c r="AE10" i="23"/>
  <c r="AE79" i="23" s="1"/>
  <c r="S13" i="12"/>
  <c r="Q13" i="24"/>
  <c r="Q65" i="24" s="1"/>
  <c r="S16" i="12"/>
  <c r="Q16" i="24"/>
  <c r="Q68" i="24" s="1"/>
  <c r="AA16" i="12"/>
  <c r="V16" i="24"/>
  <c r="V68" i="24" s="1"/>
  <c r="AE26" i="23"/>
  <c r="AE95" i="23" s="1"/>
  <c r="AE17" i="23"/>
  <c r="AE86" i="23" s="1"/>
  <c r="AE27" i="23"/>
  <c r="AE96" i="23" s="1"/>
  <c r="AE18" i="23"/>
  <c r="AE87" i="23" s="1"/>
  <c r="AE50" i="23"/>
  <c r="AE119" i="23" s="1"/>
  <c r="AE41" i="23"/>
  <c r="AE110" i="23" s="1"/>
  <c r="AE52" i="23"/>
  <c r="AE121" i="23" s="1"/>
  <c r="AE32" i="23"/>
  <c r="AE101" i="23" s="1"/>
  <c r="AE8" i="23"/>
  <c r="AE77" i="23" s="1"/>
  <c r="AE12" i="23"/>
  <c r="AE81" i="23" s="1"/>
  <c r="AE57" i="23"/>
  <c r="AE126" i="23" s="1"/>
  <c r="AE61" i="23"/>
  <c r="AE130" i="23" s="1"/>
  <c r="AE30" i="23"/>
  <c r="AE99" i="23" s="1"/>
  <c r="AE31" i="23"/>
  <c r="AE100" i="23" s="1"/>
  <c r="AE7" i="23"/>
  <c r="AE76" i="23" s="1"/>
  <c r="AE64" i="23"/>
  <c r="AE133" i="23" s="1"/>
  <c r="AE45" i="23"/>
  <c r="AE114" i="23" s="1"/>
  <c r="AI16" i="8"/>
  <c r="AE16" i="23" s="1"/>
  <c r="AE85" i="23" s="1"/>
  <c r="AE59" i="23"/>
  <c r="AE128" i="23" s="1"/>
  <c r="S15" i="12"/>
  <c r="Q15" i="24"/>
  <c r="Q67" i="24" s="1"/>
  <c r="AI36" i="8"/>
  <c r="AE36" i="23" s="1"/>
  <c r="AE105" i="23" s="1"/>
  <c r="N72" i="9"/>
  <c r="N72" i="8"/>
  <c r="N72" i="7"/>
  <c r="T71" i="8"/>
  <c r="T71" i="9"/>
  <c r="T71" i="7"/>
  <c r="V43" i="12"/>
  <c r="V43" i="13"/>
  <c r="V26" i="12"/>
  <c r="V26" i="13"/>
  <c r="V35" i="12"/>
  <c r="V35" i="13"/>
  <c r="V49" i="12"/>
  <c r="V49" i="13"/>
  <c r="V32" i="12"/>
  <c r="V32" i="13"/>
  <c r="V29" i="12"/>
  <c r="V29" i="13"/>
  <c r="V28" i="12"/>
  <c r="V28" i="13"/>
  <c r="V41" i="12"/>
  <c r="V41" i="13"/>
  <c r="V9" i="12"/>
  <c r="V9" i="13"/>
  <c r="V7" i="12"/>
  <c r="V7" i="13"/>
  <c r="V19" i="12"/>
  <c r="V19" i="13"/>
  <c r="P48" i="12"/>
  <c r="P48" i="13"/>
  <c r="P38" i="12"/>
  <c r="P38" i="13"/>
  <c r="P44" i="12"/>
  <c r="P44" i="13"/>
  <c r="P50" i="12"/>
  <c r="P50" i="13"/>
  <c r="P29" i="12"/>
  <c r="P29" i="13"/>
  <c r="P31" i="12"/>
  <c r="P31" i="13"/>
  <c r="P36" i="12"/>
  <c r="P36" i="13"/>
  <c r="P26" i="12"/>
  <c r="P26" i="13"/>
  <c r="P20" i="12"/>
  <c r="P20" i="13"/>
  <c r="P9" i="12"/>
  <c r="P9" i="13"/>
  <c r="P18" i="12"/>
  <c r="P18" i="13"/>
  <c r="AI67" i="8"/>
  <c r="AE67" i="23" s="1"/>
  <c r="AE136" i="23" s="1"/>
  <c r="AI63" i="8"/>
  <c r="AE63" i="23" s="1"/>
  <c r="AE132" i="23" s="1"/>
  <c r="AI38" i="8"/>
  <c r="AE38" i="23" s="1"/>
  <c r="AE107" i="23" s="1"/>
  <c r="AI66" i="8"/>
  <c r="AE66" i="23" s="1"/>
  <c r="AE135" i="23" s="1"/>
  <c r="AI58" i="8"/>
  <c r="AE58" i="23" s="1"/>
  <c r="AE127" i="23" s="1"/>
  <c r="AI48" i="8"/>
  <c r="AE48" i="23" s="1"/>
  <c r="AE117" i="23" s="1"/>
  <c r="R34" i="12"/>
  <c r="S34" i="12" s="1"/>
  <c r="S34" i="11"/>
  <c r="R34" i="13"/>
  <c r="S34" i="13" s="1"/>
  <c r="R30" i="12"/>
  <c r="S30" i="12" s="1"/>
  <c r="S30" i="11"/>
  <c r="R30" i="13"/>
  <c r="S30" i="13" s="1"/>
  <c r="R24" i="12"/>
  <c r="S24" i="12" s="1"/>
  <c r="S24" i="11"/>
  <c r="R24" i="13"/>
  <c r="S24" i="13" s="1"/>
  <c r="R48" i="12"/>
  <c r="S48" i="12" s="1"/>
  <c r="S48" i="11"/>
  <c r="R48" i="13"/>
  <c r="S48" i="13" s="1"/>
  <c r="R38" i="12"/>
  <c r="S38" i="12" s="1"/>
  <c r="S38" i="11"/>
  <c r="R38" i="13"/>
  <c r="S38" i="13" s="1"/>
  <c r="R28" i="12"/>
  <c r="S28" i="12" s="1"/>
  <c r="S28" i="11"/>
  <c r="R28" i="13"/>
  <c r="S28" i="13" s="1"/>
  <c r="R31" i="12"/>
  <c r="S31" i="12" s="1"/>
  <c r="S31" i="11"/>
  <c r="R31" i="13"/>
  <c r="S31" i="13" s="1"/>
  <c r="R7" i="12"/>
  <c r="S7" i="12" s="1"/>
  <c r="S7" i="11"/>
  <c r="R7" i="13"/>
  <c r="S7" i="13" s="1"/>
  <c r="R5" i="12"/>
  <c r="S5" i="11"/>
  <c r="R5" i="13"/>
  <c r="R53" i="11"/>
  <c r="L57" i="10"/>
  <c r="L58" i="10" s="1"/>
  <c r="V40" i="12"/>
  <c r="V40" i="13"/>
  <c r="V37" i="12"/>
  <c r="V37" i="13"/>
  <c r="V36" i="12"/>
  <c r="V36" i="13"/>
  <c r="V33" i="12"/>
  <c r="V33" i="13"/>
  <c r="V50" i="12"/>
  <c r="V50" i="13"/>
  <c r="V24" i="12"/>
  <c r="V24" i="13"/>
  <c r="V31" i="12"/>
  <c r="V31" i="13"/>
  <c r="V6" i="12"/>
  <c r="V6" i="13"/>
  <c r="V8" i="12"/>
  <c r="V8" i="13"/>
  <c r="V11" i="12"/>
  <c r="V11" i="13"/>
  <c r="V14" i="12"/>
  <c r="V14" i="13"/>
  <c r="P32" i="12"/>
  <c r="P32" i="13"/>
  <c r="P21" i="12"/>
  <c r="P21" i="13"/>
  <c r="P28" i="12"/>
  <c r="P28" i="13"/>
  <c r="P34" i="12"/>
  <c r="P34" i="13"/>
  <c r="P40" i="12"/>
  <c r="P40" i="13"/>
  <c r="P46" i="12"/>
  <c r="P46" i="13"/>
  <c r="P43" i="12"/>
  <c r="P43" i="13"/>
  <c r="P37" i="12"/>
  <c r="P37" i="13"/>
  <c r="P6" i="12"/>
  <c r="P6" i="13"/>
  <c r="P14" i="12"/>
  <c r="P14" i="13"/>
  <c r="P17" i="12"/>
  <c r="P17" i="13"/>
  <c r="R29" i="12"/>
  <c r="S29" i="12" s="1"/>
  <c r="S29" i="11"/>
  <c r="R29" i="13"/>
  <c r="S29" i="13" s="1"/>
  <c r="R42" i="12"/>
  <c r="S42" i="12" s="1"/>
  <c r="S42" i="11"/>
  <c r="R42" i="13"/>
  <c r="S42" i="13" s="1"/>
  <c r="R49" i="12"/>
  <c r="S49" i="12" s="1"/>
  <c r="S49" i="11"/>
  <c r="R49" i="13"/>
  <c r="S49" i="13" s="1"/>
  <c r="R50" i="12"/>
  <c r="S50" i="12" s="1"/>
  <c r="S50" i="11"/>
  <c r="R50" i="13"/>
  <c r="S50" i="13" s="1"/>
  <c r="R32" i="12"/>
  <c r="S32" i="12" s="1"/>
  <c r="S32" i="11"/>
  <c r="R32" i="13"/>
  <c r="S32" i="13" s="1"/>
  <c r="R21" i="12"/>
  <c r="S21" i="12" s="1"/>
  <c r="S21" i="11"/>
  <c r="R21" i="13"/>
  <c r="S21" i="13" s="1"/>
  <c r="R47" i="12"/>
  <c r="S47" i="12" s="1"/>
  <c r="S47" i="11"/>
  <c r="R47" i="13"/>
  <c r="S47" i="13" s="1"/>
  <c r="R45" i="12"/>
  <c r="S45" i="12" s="1"/>
  <c r="S45" i="11"/>
  <c r="R45" i="13"/>
  <c r="S45" i="13" s="1"/>
  <c r="R11" i="12"/>
  <c r="S11" i="12" s="1"/>
  <c r="S11" i="11"/>
  <c r="R11" i="13"/>
  <c r="S11" i="13" s="1"/>
  <c r="R14" i="12"/>
  <c r="S14" i="12" s="1"/>
  <c r="S14" i="11"/>
  <c r="R14" i="13"/>
  <c r="S14" i="13" s="1"/>
  <c r="F35" i="5"/>
  <c r="L56" i="13"/>
  <c r="L56" i="12"/>
  <c r="L58" i="12" s="1"/>
  <c r="L56" i="11"/>
  <c r="L56" i="10"/>
  <c r="N73" i="9"/>
  <c r="N73" i="8"/>
  <c r="N73" i="7"/>
  <c r="E35" i="5"/>
  <c r="L55" i="13"/>
  <c r="L55" i="12"/>
  <c r="L55" i="10"/>
  <c r="L55" i="11"/>
  <c r="L58" i="11" s="1"/>
  <c r="V23" i="12"/>
  <c r="V23" i="13"/>
  <c r="V48" i="12"/>
  <c r="V48" i="13"/>
  <c r="V38" i="12"/>
  <c r="V38" i="13"/>
  <c r="V51" i="12"/>
  <c r="V51" i="13"/>
  <c r="V34" i="12"/>
  <c r="V34" i="13"/>
  <c r="V47" i="12"/>
  <c r="V47" i="13"/>
  <c r="V46" i="12"/>
  <c r="V46" i="13"/>
  <c r="V10" i="12"/>
  <c r="V10" i="13"/>
  <c r="V12" i="12"/>
  <c r="V12" i="13"/>
  <c r="V25" i="12"/>
  <c r="V25" i="13"/>
  <c r="V18" i="12"/>
  <c r="V18" i="13"/>
  <c r="P39" i="12"/>
  <c r="P39" i="13"/>
  <c r="P49" i="12"/>
  <c r="P49" i="13"/>
  <c r="P51" i="12"/>
  <c r="P51" i="13"/>
  <c r="P45" i="12"/>
  <c r="P45" i="13"/>
  <c r="P23" i="12"/>
  <c r="P23" i="13"/>
  <c r="P30" i="12"/>
  <c r="P30" i="13"/>
  <c r="P27" i="12"/>
  <c r="P27" i="13"/>
  <c r="P7" i="12"/>
  <c r="P7" i="13"/>
  <c r="P10" i="12"/>
  <c r="P10" i="13"/>
  <c r="P8" i="12"/>
  <c r="P8" i="13"/>
  <c r="P19" i="12"/>
  <c r="P19" i="13"/>
  <c r="AI5" i="8"/>
  <c r="AE5" i="23" s="1"/>
  <c r="AE74" i="23" s="1"/>
  <c r="R22" i="12"/>
  <c r="S22" i="12" s="1"/>
  <c r="S22" i="11"/>
  <c r="R22" i="13"/>
  <c r="S22" i="13" s="1"/>
  <c r="R36" i="12"/>
  <c r="S36" i="12" s="1"/>
  <c r="S36" i="11"/>
  <c r="R36" i="13"/>
  <c r="S36" i="13" s="1"/>
  <c r="R26" i="12"/>
  <c r="S26" i="12" s="1"/>
  <c r="S26" i="11"/>
  <c r="R26" i="13"/>
  <c r="S26" i="13" s="1"/>
  <c r="R33" i="12"/>
  <c r="S33" i="12" s="1"/>
  <c r="S33" i="11"/>
  <c r="R33" i="13"/>
  <c r="S33" i="13" s="1"/>
  <c r="R27" i="12"/>
  <c r="S27" i="12" s="1"/>
  <c r="S27" i="11"/>
  <c r="R27" i="13"/>
  <c r="S27" i="13" s="1"/>
  <c r="R8" i="12"/>
  <c r="S8" i="12" s="1"/>
  <c r="S8" i="11"/>
  <c r="R8" i="13"/>
  <c r="S8" i="13" s="1"/>
  <c r="R25" i="12"/>
  <c r="S25" i="12" s="1"/>
  <c r="S25" i="11"/>
  <c r="R25" i="13"/>
  <c r="S25" i="13" s="1"/>
  <c r="R18" i="12"/>
  <c r="S18" i="12" s="1"/>
  <c r="S18" i="11"/>
  <c r="R18" i="13"/>
  <c r="S18" i="13" s="1"/>
  <c r="N75" i="8"/>
  <c r="V42" i="12"/>
  <c r="V42" i="13"/>
  <c r="V22" i="12"/>
  <c r="V22" i="13"/>
  <c r="V21" i="12"/>
  <c r="V21" i="13"/>
  <c r="V27" i="12"/>
  <c r="V27" i="13"/>
  <c r="V45" i="12"/>
  <c r="V45" i="13"/>
  <c r="V44" i="12"/>
  <c r="V44" i="13"/>
  <c r="V30" i="12"/>
  <c r="V30" i="13"/>
  <c r="V5" i="12"/>
  <c r="V5" i="13"/>
  <c r="V39" i="12"/>
  <c r="V39" i="13"/>
  <c r="V17" i="12"/>
  <c r="V17" i="13"/>
  <c r="V20" i="12"/>
  <c r="V20" i="13"/>
  <c r="P22" i="12"/>
  <c r="P22" i="13"/>
  <c r="P33" i="12"/>
  <c r="P33" i="13"/>
  <c r="P35" i="12"/>
  <c r="P35" i="13"/>
  <c r="P24" i="12"/>
  <c r="P24" i="13"/>
  <c r="P47" i="12"/>
  <c r="P47" i="13"/>
  <c r="P41" i="12"/>
  <c r="P41" i="13"/>
  <c r="P42" i="12"/>
  <c r="P42" i="13"/>
  <c r="P11" i="12"/>
  <c r="P11" i="13"/>
  <c r="P5" i="12"/>
  <c r="P53" i="11"/>
  <c r="P5" i="13"/>
  <c r="P12" i="12"/>
  <c r="P12" i="13"/>
  <c r="P25" i="12"/>
  <c r="P25" i="13"/>
  <c r="AB54" i="13"/>
  <c r="AB54" i="12"/>
  <c r="AB54" i="10"/>
  <c r="AB54" i="11"/>
  <c r="AI40" i="8"/>
  <c r="AE40" i="23" s="1"/>
  <c r="AE109" i="23" s="1"/>
  <c r="AI28" i="8"/>
  <c r="AE28" i="23" s="1"/>
  <c r="AE97" i="23" s="1"/>
  <c r="AI22" i="8"/>
  <c r="AE22" i="23" s="1"/>
  <c r="AE91" i="23" s="1"/>
  <c r="AI29" i="8"/>
  <c r="AE29" i="23" s="1"/>
  <c r="AE98" i="23" s="1"/>
  <c r="AI21" i="8"/>
  <c r="AE21" i="23" s="1"/>
  <c r="AE90" i="23" s="1"/>
  <c r="AI55" i="8"/>
  <c r="AE55" i="23" s="1"/>
  <c r="AE124" i="23" s="1"/>
  <c r="R23" i="12"/>
  <c r="S23" i="12" s="1"/>
  <c r="S23" i="11"/>
  <c r="R23" i="13"/>
  <c r="S23" i="13" s="1"/>
  <c r="R41" i="12"/>
  <c r="S41" i="12" s="1"/>
  <c r="S41" i="11"/>
  <c r="R41" i="13"/>
  <c r="S41" i="13" s="1"/>
  <c r="R39" i="12"/>
  <c r="S39" i="12" s="1"/>
  <c r="S39" i="11"/>
  <c r="R39" i="13"/>
  <c r="S39" i="13" s="1"/>
  <c r="R37" i="13"/>
  <c r="S37" i="13" s="1"/>
  <c r="R35" i="12"/>
  <c r="S35" i="12" s="1"/>
  <c r="S35" i="11"/>
  <c r="R35" i="13"/>
  <c r="S35" i="13" s="1"/>
  <c r="R44" i="12"/>
  <c r="S44" i="12" s="1"/>
  <c r="S44" i="11"/>
  <c r="R44" i="13"/>
  <c r="S44" i="13" s="1"/>
  <c r="R46" i="12"/>
  <c r="S46" i="12" s="1"/>
  <c r="S46" i="11"/>
  <c r="R46" i="13"/>
  <c r="S46" i="13" s="1"/>
  <c r="R12" i="13"/>
  <c r="S12" i="13" s="1"/>
  <c r="R10" i="12"/>
  <c r="S10" i="12" s="1"/>
  <c r="S10" i="11"/>
  <c r="R10" i="13"/>
  <c r="S10" i="13" s="1"/>
  <c r="R17" i="12"/>
  <c r="S17" i="12" s="1"/>
  <c r="S17" i="11"/>
  <c r="R17" i="13"/>
  <c r="S17" i="13" s="1"/>
  <c r="R20" i="12"/>
  <c r="S20" i="12" s="1"/>
  <c r="S20" i="11"/>
  <c r="R20" i="13"/>
  <c r="S20" i="13" s="1"/>
  <c r="E10" i="5"/>
  <c r="N74" i="6"/>
  <c r="F10" i="5"/>
  <c r="F47" i="5" s="1"/>
  <c r="N75" i="6"/>
  <c r="D47" i="5"/>
  <c r="D29" i="5"/>
  <c r="X8" i="25" l="1"/>
  <c r="X10" i="25"/>
  <c r="M9" i="24"/>
  <c r="M61" i="24" s="1"/>
  <c r="M39" i="12"/>
  <c r="M39" i="13"/>
  <c r="M42" i="12"/>
  <c r="M42" i="24" s="1"/>
  <c r="M94" i="24" s="1"/>
  <c r="M42" i="13"/>
  <c r="M23" i="12"/>
  <c r="M23" i="13"/>
  <c r="M48" i="13"/>
  <c r="M48" i="12"/>
  <c r="M48" i="24" s="1"/>
  <c r="M100" i="24" s="1"/>
  <c r="M44" i="13"/>
  <c r="M44" i="12"/>
  <c r="M10" i="12"/>
  <c r="M10" i="13"/>
  <c r="M31" i="12"/>
  <c r="M31" i="13"/>
  <c r="V13" i="12"/>
  <c r="V13" i="13"/>
  <c r="V53" i="13" s="1"/>
  <c r="N16" i="12"/>
  <c r="N16" i="13"/>
  <c r="M8" i="26"/>
  <c r="S37" i="11"/>
  <c r="S53" i="11" s="1"/>
  <c r="R6" i="13"/>
  <c r="S6" i="13" s="1"/>
  <c r="M23" i="24"/>
  <c r="M75" i="24" s="1"/>
  <c r="AE15" i="23"/>
  <c r="AE84" i="23" s="1"/>
  <c r="U7" i="25" s="1"/>
  <c r="P16" i="12"/>
  <c r="P16" i="13"/>
  <c r="T18" i="11"/>
  <c r="T10" i="11"/>
  <c r="T6" i="11"/>
  <c r="T33" i="11"/>
  <c r="T36" i="11"/>
  <c r="T37" i="11"/>
  <c r="T43" i="11"/>
  <c r="T30" i="11"/>
  <c r="T44" i="11"/>
  <c r="T34" i="11"/>
  <c r="T48" i="11"/>
  <c r="T19" i="11"/>
  <c r="T14" i="11"/>
  <c r="T9" i="11"/>
  <c r="T5" i="11"/>
  <c r="T49" i="11"/>
  <c r="T27" i="11"/>
  <c r="T46" i="11"/>
  <c r="T38" i="11"/>
  <c r="T50" i="11"/>
  <c r="T47" i="11"/>
  <c r="T22" i="11"/>
  <c r="T20" i="11"/>
  <c r="T7" i="11"/>
  <c r="T31" i="11"/>
  <c r="T40" i="11"/>
  <c r="T28" i="11"/>
  <c r="T32" i="11"/>
  <c r="T26" i="11"/>
  <c r="T25" i="11"/>
  <c r="T24" i="11"/>
  <c r="T29" i="11"/>
  <c r="T11" i="11"/>
  <c r="T21" i="11"/>
  <c r="T23" i="11"/>
  <c r="T41" i="11"/>
  <c r="T45" i="11"/>
  <c r="T17" i="11"/>
  <c r="T8" i="11"/>
  <c r="T42" i="11"/>
  <c r="T35" i="11"/>
  <c r="T39" i="11"/>
  <c r="T51" i="11"/>
  <c r="T12" i="11"/>
  <c r="M46" i="12"/>
  <c r="M46" i="13"/>
  <c r="M11" i="12"/>
  <c r="M11" i="13"/>
  <c r="M34" i="13"/>
  <c r="M34" i="12"/>
  <c r="M34" i="24" s="1"/>
  <c r="M86" i="24" s="1"/>
  <c r="M18" i="13"/>
  <c r="M18" i="12"/>
  <c r="M18" i="24" s="1"/>
  <c r="M70" i="24" s="1"/>
  <c r="M5" i="12"/>
  <c r="M5" i="13"/>
  <c r="M53" i="11"/>
  <c r="M26" i="12"/>
  <c r="M26" i="13"/>
  <c r="M37" i="13"/>
  <c r="M37" i="12"/>
  <c r="M8" i="12"/>
  <c r="M8" i="13"/>
  <c r="M8" i="24" s="1"/>
  <c r="M60" i="24" s="1"/>
  <c r="M36" i="12"/>
  <c r="M36" i="24" s="1"/>
  <c r="M88" i="24" s="1"/>
  <c r="M36" i="13"/>
  <c r="M12" i="12"/>
  <c r="M12" i="13"/>
  <c r="M22" i="13"/>
  <c r="M22" i="12"/>
  <c r="M22" i="24" s="1"/>
  <c r="M74" i="24" s="1"/>
  <c r="V16" i="12"/>
  <c r="V16" i="13"/>
  <c r="U15" i="12"/>
  <c r="S15" i="24" s="1"/>
  <c r="S67" i="24" s="1"/>
  <c r="U15" i="13"/>
  <c r="O13" i="12"/>
  <c r="O13" i="13"/>
  <c r="T16" i="13"/>
  <c r="W16" i="11"/>
  <c r="T16" i="12"/>
  <c r="W16" i="12" s="1"/>
  <c r="Z13" i="13"/>
  <c r="AA13" i="13" s="1"/>
  <c r="AA13" i="11"/>
  <c r="Z13" i="12"/>
  <c r="AA13" i="12" s="1"/>
  <c r="S12" i="11"/>
  <c r="R40" i="13"/>
  <c r="S40" i="13" s="1"/>
  <c r="P42" i="24"/>
  <c r="P94" i="24" s="1"/>
  <c r="P35" i="24"/>
  <c r="P87" i="24" s="1"/>
  <c r="T17" i="24"/>
  <c r="T69" i="24" s="1"/>
  <c r="P10" i="24"/>
  <c r="P62" i="24" s="1"/>
  <c r="P27" i="24"/>
  <c r="P79" i="24" s="1"/>
  <c r="P23" i="24"/>
  <c r="P75" i="24" s="1"/>
  <c r="P51" i="24"/>
  <c r="P103" i="24" s="1"/>
  <c r="P39" i="24"/>
  <c r="P91" i="24" s="1"/>
  <c r="T25" i="24"/>
  <c r="T77" i="24" s="1"/>
  <c r="T10" i="24"/>
  <c r="T62" i="24" s="1"/>
  <c r="T51" i="24"/>
  <c r="T103" i="24" s="1"/>
  <c r="T48" i="24"/>
  <c r="T100" i="24" s="1"/>
  <c r="S9" i="11"/>
  <c r="S19" i="11"/>
  <c r="S43" i="11"/>
  <c r="M44" i="24"/>
  <c r="M96" i="24" s="1"/>
  <c r="R16" i="24"/>
  <c r="R68" i="24" s="1"/>
  <c r="T13" i="24"/>
  <c r="T65" i="24" s="1"/>
  <c r="N16" i="24"/>
  <c r="N68" i="24" s="1"/>
  <c r="P13" i="12"/>
  <c r="P13" i="13"/>
  <c r="P53" i="13" s="1"/>
  <c r="M15" i="13"/>
  <c r="M15" i="12"/>
  <c r="M43" i="12"/>
  <c r="M43" i="13"/>
  <c r="M40" i="12"/>
  <c r="M40" i="24" s="1"/>
  <c r="M92" i="24" s="1"/>
  <c r="M40" i="13"/>
  <c r="M14" i="13"/>
  <c r="M14" i="12"/>
  <c r="M14" i="24" s="1"/>
  <c r="M66" i="24" s="1"/>
  <c r="M24" i="13"/>
  <c r="M24" i="12"/>
  <c r="M49" i="13"/>
  <c r="M49" i="12"/>
  <c r="M49" i="24" s="1"/>
  <c r="M101" i="24" s="1"/>
  <c r="M7" i="13"/>
  <c r="M7" i="12"/>
  <c r="M41" i="12"/>
  <c r="M41" i="13"/>
  <c r="M50" i="12"/>
  <c r="M50" i="24" s="1"/>
  <c r="M102" i="24" s="1"/>
  <c r="M50" i="13"/>
  <c r="M25" i="12"/>
  <c r="M25" i="13"/>
  <c r="M45" i="12"/>
  <c r="M45" i="24" s="1"/>
  <c r="M97" i="24" s="1"/>
  <c r="M45" i="13"/>
  <c r="M17" i="12"/>
  <c r="M17" i="13"/>
  <c r="O19" i="11"/>
  <c r="O7" i="11"/>
  <c r="O28" i="11"/>
  <c r="O38" i="11"/>
  <c r="O45" i="11"/>
  <c r="O31" i="11"/>
  <c r="O11" i="11"/>
  <c r="O33" i="11"/>
  <c r="O29" i="11"/>
  <c r="O50" i="11"/>
  <c r="O20" i="11"/>
  <c r="O48" i="11"/>
  <c r="O27" i="11"/>
  <c r="O41" i="11"/>
  <c r="O30" i="11"/>
  <c r="O6" i="11"/>
  <c r="O32" i="11"/>
  <c r="O17" i="11"/>
  <c r="O24" i="11"/>
  <c r="O49" i="11"/>
  <c r="O26" i="11"/>
  <c r="O34" i="11"/>
  <c r="O39" i="11"/>
  <c r="O10" i="11"/>
  <c r="O25" i="11"/>
  <c r="O35" i="11"/>
  <c r="O40" i="11"/>
  <c r="O5" i="11"/>
  <c r="O21" i="11"/>
  <c r="O42" i="11"/>
  <c r="O18" i="11"/>
  <c r="O8" i="11"/>
  <c r="O47" i="11"/>
  <c r="O51" i="11"/>
  <c r="O43" i="11"/>
  <c r="O9" i="11"/>
  <c r="O46" i="11"/>
  <c r="O36" i="11"/>
  <c r="O23" i="11"/>
  <c r="O22" i="11"/>
  <c r="O12" i="11"/>
  <c r="O37" i="11"/>
  <c r="O44" i="11"/>
  <c r="O14" i="11"/>
  <c r="U31" i="11"/>
  <c r="U45" i="11"/>
  <c r="U23" i="11"/>
  <c r="U17" i="11"/>
  <c r="U11" i="11"/>
  <c r="U8" i="11"/>
  <c r="U27" i="11"/>
  <c r="U49" i="11"/>
  <c r="U48" i="11"/>
  <c r="U39" i="11"/>
  <c r="U37" i="11"/>
  <c r="U21" i="11"/>
  <c r="U24" i="11"/>
  <c r="U38" i="11"/>
  <c r="U7" i="11"/>
  <c r="U18" i="11"/>
  <c r="U50" i="11"/>
  <c r="U32" i="11"/>
  <c r="U22" i="11"/>
  <c r="U10" i="11"/>
  <c r="U41" i="11"/>
  <c r="U46" i="11"/>
  <c r="U35" i="11"/>
  <c r="U40" i="11"/>
  <c r="U19" i="11"/>
  <c r="U6" i="11"/>
  <c r="U12" i="11"/>
  <c r="U43" i="11"/>
  <c r="U29" i="11"/>
  <c r="U28" i="11"/>
  <c r="U33" i="11"/>
  <c r="U14" i="11"/>
  <c r="U51" i="11"/>
  <c r="U9" i="11"/>
  <c r="U36" i="11"/>
  <c r="U44" i="11"/>
  <c r="U47" i="11"/>
  <c r="U25" i="11"/>
  <c r="U20" i="11"/>
  <c r="U30" i="11"/>
  <c r="U5" i="11"/>
  <c r="U34" i="11"/>
  <c r="U26" i="11"/>
  <c r="U42" i="11"/>
  <c r="N13" i="13"/>
  <c r="N13" i="12"/>
  <c r="W13" i="11"/>
  <c r="T13" i="12"/>
  <c r="T13" i="13"/>
  <c r="W13" i="13" s="1"/>
  <c r="O16" i="13"/>
  <c r="O16" i="12"/>
  <c r="O15" i="13"/>
  <c r="O15" i="12"/>
  <c r="O15" i="24" s="1"/>
  <c r="O67" i="24" s="1"/>
  <c r="Z14" i="11"/>
  <c r="Z9" i="11"/>
  <c r="Z5" i="11"/>
  <c r="Z18" i="11"/>
  <c r="Z32" i="11"/>
  <c r="Z46" i="11"/>
  <c r="Z24" i="11"/>
  <c r="Z31" i="11"/>
  <c r="Z29" i="11"/>
  <c r="Z22" i="11"/>
  <c r="Z33" i="11"/>
  <c r="Z12" i="11"/>
  <c r="Z8" i="11"/>
  <c r="Z19" i="11"/>
  <c r="Z42" i="11"/>
  <c r="Z48" i="11"/>
  <c r="Z35" i="11"/>
  <c r="Z49" i="11"/>
  <c r="Z39" i="11"/>
  <c r="Z26" i="11"/>
  <c r="Z43" i="11"/>
  <c r="Z30" i="11"/>
  <c r="Z10" i="11"/>
  <c r="Z20" i="11"/>
  <c r="Z34" i="11"/>
  <c r="Z38" i="11"/>
  <c r="Z41" i="11"/>
  <c r="Z7" i="11"/>
  <c r="Z51" i="11"/>
  <c r="Z23" i="11"/>
  <c r="Z25" i="11"/>
  <c r="Z6" i="11"/>
  <c r="Z47" i="11"/>
  <c r="Z36" i="11"/>
  <c r="Z40" i="11"/>
  <c r="Z44" i="11"/>
  <c r="Z11" i="11"/>
  <c r="Z17" i="11"/>
  <c r="Z37" i="11"/>
  <c r="Z21" i="11"/>
  <c r="Z50" i="11"/>
  <c r="Z45" i="11"/>
  <c r="Z27" i="11"/>
  <c r="Z28" i="11"/>
  <c r="M9" i="13"/>
  <c r="M9" i="12"/>
  <c r="M6" i="12"/>
  <c r="M6" i="24" s="1"/>
  <c r="M58" i="24" s="1"/>
  <c r="M6" i="13"/>
  <c r="M51" i="13"/>
  <c r="M51" i="12"/>
  <c r="M51" i="24" s="1"/>
  <c r="M103" i="24" s="1"/>
  <c r="M35" i="12"/>
  <c r="M35" i="24" s="1"/>
  <c r="M87" i="24" s="1"/>
  <c r="M35" i="13"/>
  <c r="N20" i="11"/>
  <c r="N11" i="11"/>
  <c r="N7" i="11"/>
  <c r="N17" i="11"/>
  <c r="N30" i="11"/>
  <c r="N36" i="11"/>
  <c r="N34" i="11"/>
  <c r="N40" i="11"/>
  <c r="N31" i="11"/>
  <c r="N28" i="11"/>
  <c r="N35" i="11"/>
  <c r="N10" i="11"/>
  <c r="N47" i="11"/>
  <c r="N51" i="11"/>
  <c r="N18" i="11"/>
  <c r="N6" i="11"/>
  <c r="N44" i="11"/>
  <c r="N46" i="11"/>
  <c r="N26" i="11"/>
  <c r="N50" i="11"/>
  <c r="N33" i="11"/>
  <c r="N37" i="11"/>
  <c r="N14" i="11"/>
  <c r="N5" i="11"/>
  <c r="N22" i="11"/>
  <c r="N27" i="11"/>
  <c r="N23" i="11"/>
  <c r="N32" i="11"/>
  <c r="N39" i="11"/>
  <c r="N12" i="11"/>
  <c r="N48" i="11"/>
  <c r="N9" i="11"/>
  <c r="N24" i="11"/>
  <c r="N29" i="11"/>
  <c r="N49" i="11"/>
  <c r="N21" i="11"/>
  <c r="N25" i="11"/>
  <c r="N8" i="11"/>
  <c r="N41" i="11"/>
  <c r="N45" i="11"/>
  <c r="N38" i="11"/>
  <c r="N42" i="11"/>
  <c r="N19" i="11"/>
  <c r="N43" i="11"/>
  <c r="M6" i="26"/>
  <c r="R51" i="13"/>
  <c r="S51" i="13" s="1"/>
  <c r="R9" i="13"/>
  <c r="S9" i="13" s="1"/>
  <c r="R19" i="13"/>
  <c r="S19" i="13" s="1"/>
  <c r="R43" i="13"/>
  <c r="S43" i="13" s="1"/>
  <c r="X58" i="12"/>
  <c r="P47" i="24"/>
  <c r="P99" i="24" s="1"/>
  <c r="P22" i="24"/>
  <c r="P74" i="24" s="1"/>
  <c r="V53" i="11"/>
  <c r="S6" i="11"/>
  <c r="S51" i="11"/>
  <c r="S40" i="11"/>
  <c r="P19" i="24"/>
  <c r="P71" i="24" s="1"/>
  <c r="T5" i="24"/>
  <c r="T57" i="24" s="1"/>
  <c r="M39" i="24"/>
  <c r="M91" i="24" s="1"/>
  <c r="P15" i="12"/>
  <c r="P15" i="13"/>
  <c r="M13" i="13"/>
  <c r="M13" i="12"/>
  <c r="M38" i="12"/>
  <c r="M38" i="13"/>
  <c r="M28" i="12"/>
  <c r="M28" i="24" s="1"/>
  <c r="M80" i="24" s="1"/>
  <c r="M28" i="13"/>
  <c r="M33" i="13"/>
  <c r="M33" i="12"/>
  <c r="M33" i="24" s="1"/>
  <c r="M85" i="24" s="1"/>
  <c r="M29" i="12"/>
  <c r="M29" i="24" s="1"/>
  <c r="M81" i="24" s="1"/>
  <c r="M29" i="13"/>
  <c r="M30" i="12"/>
  <c r="M30" i="13"/>
  <c r="M19" i="12"/>
  <c r="M19" i="24" s="1"/>
  <c r="M71" i="24" s="1"/>
  <c r="M19" i="13"/>
  <c r="M27" i="12"/>
  <c r="M27" i="13"/>
  <c r="M47" i="12"/>
  <c r="M47" i="24" s="1"/>
  <c r="M99" i="24" s="1"/>
  <c r="M47" i="13"/>
  <c r="M32" i="12"/>
  <c r="M32" i="13"/>
  <c r="M21" i="12"/>
  <c r="M21" i="24" s="1"/>
  <c r="M73" i="24" s="1"/>
  <c r="M21" i="13"/>
  <c r="M20" i="12"/>
  <c r="M20" i="13"/>
  <c r="V15" i="12"/>
  <c r="T15" i="24" s="1"/>
  <c r="T67" i="24" s="1"/>
  <c r="V15" i="13"/>
  <c r="U13" i="13"/>
  <c r="U13" i="12"/>
  <c r="S13" i="24" s="1"/>
  <c r="S65" i="24" s="1"/>
  <c r="U16" i="13"/>
  <c r="U16" i="12"/>
  <c r="N15" i="12"/>
  <c r="N15" i="13"/>
  <c r="T15" i="12"/>
  <c r="T15" i="13"/>
  <c r="W15" i="13" s="1"/>
  <c r="W15" i="11"/>
  <c r="Z15" i="13"/>
  <c r="AA15" i="13" s="1"/>
  <c r="AA15" i="11"/>
  <c r="Z15" i="12"/>
  <c r="M10" i="26"/>
  <c r="E42" i="5"/>
  <c r="E21" i="5"/>
  <c r="L57" i="11"/>
  <c r="P12" i="24"/>
  <c r="P64" i="24" s="1"/>
  <c r="T27" i="24"/>
  <c r="T79" i="24" s="1"/>
  <c r="T22" i="24"/>
  <c r="T74" i="24" s="1"/>
  <c r="P9" i="24"/>
  <c r="P61" i="24" s="1"/>
  <c r="P26" i="24"/>
  <c r="P78" i="24" s="1"/>
  <c r="P31" i="24"/>
  <c r="P83" i="24" s="1"/>
  <c r="P50" i="24"/>
  <c r="P102" i="24" s="1"/>
  <c r="P38" i="24"/>
  <c r="P90" i="24" s="1"/>
  <c r="T19" i="24"/>
  <c r="T71" i="24" s="1"/>
  <c r="T9" i="24"/>
  <c r="T61" i="24" s="1"/>
  <c r="T28" i="24"/>
  <c r="T80" i="24" s="1"/>
  <c r="T32" i="24"/>
  <c r="T84" i="24" s="1"/>
  <c r="T35" i="24"/>
  <c r="T87" i="24" s="1"/>
  <c r="T43" i="24"/>
  <c r="T95" i="24" s="1"/>
  <c r="O48" i="9"/>
  <c r="O32" i="9"/>
  <c r="Y70" i="7"/>
  <c r="Y75" i="7" s="1"/>
  <c r="L64" i="9"/>
  <c r="L17" i="9"/>
  <c r="L24" i="9"/>
  <c r="L45" i="9"/>
  <c r="P56" i="9"/>
  <c r="P22" i="9"/>
  <c r="P10" i="9"/>
  <c r="P38" i="9"/>
  <c r="P54" i="9"/>
  <c r="P19" i="9"/>
  <c r="P7" i="9"/>
  <c r="P37" i="9"/>
  <c r="U70" i="7"/>
  <c r="U75" i="7" s="1"/>
  <c r="U5" i="9"/>
  <c r="U70" i="9" s="1"/>
  <c r="AD51" i="7"/>
  <c r="AC51" i="9"/>
  <c r="AD51" i="9" s="1"/>
  <c r="AD62" i="7"/>
  <c r="AC62" i="9"/>
  <c r="AD62" i="9" s="1"/>
  <c r="AC16" i="9"/>
  <c r="AD16" i="9" s="1"/>
  <c r="AD16" i="7"/>
  <c r="AD17" i="7"/>
  <c r="AC17" i="9"/>
  <c r="AD17" i="9" s="1"/>
  <c r="AD46" i="7"/>
  <c r="AC46" i="9"/>
  <c r="AD46" i="9" s="1"/>
  <c r="AD65" i="7"/>
  <c r="AC65" i="9"/>
  <c r="AD65" i="9" s="1"/>
  <c r="AD21" i="7"/>
  <c r="AC21" i="9"/>
  <c r="AD21" i="9" s="1"/>
  <c r="AC20" i="9"/>
  <c r="AD20" i="9" s="1"/>
  <c r="AD20" i="7"/>
  <c r="AD49" i="7"/>
  <c r="AC49" i="9"/>
  <c r="AD49" i="9" s="1"/>
  <c r="AD40" i="7"/>
  <c r="AC40" i="9"/>
  <c r="AD40" i="9" s="1"/>
  <c r="AD24" i="7"/>
  <c r="AC24" i="9"/>
  <c r="AD24" i="9" s="1"/>
  <c r="AD25" i="7"/>
  <c r="AC25" i="9"/>
  <c r="AD25" i="9" s="1"/>
  <c r="AC67" i="9"/>
  <c r="AD67" i="9" s="1"/>
  <c r="AD67" i="7"/>
  <c r="AC43" i="9"/>
  <c r="AD43" i="9" s="1"/>
  <c r="AD43" i="7"/>
  <c r="AC13" i="9"/>
  <c r="AD13" i="9" s="1"/>
  <c r="AD13" i="7"/>
  <c r="AC12" i="9"/>
  <c r="AD12" i="9" s="1"/>
  <c r="AD12" i="7"/>
  <c r="AH52" i="9"/>
  <c r="AH7" i="9"/>
  <c r="AH8" i="9"/>
  <c r="AH42" i="9"/>
  <c r="P55" i="9"/>
  <c r="P13" i="9"/>
  <c r="P44" i="9"/>
  <c r="P43" i="9"/>
  <c r="P60" i="9"/>
  <c r="P8" i="9"/>
  <c r="P23" i="9"/>
  <c r="P41" i="9"/>
  <c r="AC48" i="9"/>
  <c r="AD48" i="9" s="1"/>
  <c r="AD48" i="7"/>
  <c r="AC39" i="9"/>
  <c r="AD39" i="9" s="1"/>
  <c r="AD39" i="7"/>
  <c r="AC28" i="9"/>
  <c r="AD28" i="9" s="1"/>
  <c r="AD28" i="7"/>
  <c r="AC29" i="9"/>
  <c r="AD29" i="9" s="1"/>
  <c r="AD29" i="7"/>
  <c r="AC61" i="9"/>
  <c r="AD61" i="9" s="1"/>
  <c r="AD61" i="7"/>
  <c r="AC58" i="9"/>
  <c r="AD58" i="9" s="1"/>
  <c r="AD58" i="7"/>
  <c r="AD30" i="7"/>
  <c r="AC30" i="9"/>
  <c r="AD30" i="9" s="1"/>
  <c r="AC31" i="9"/>
  <c r="AD31" i="9" s="1"/>
  <c r="AD31" i="7"/>
  <c r="AD63" i="7"/>
  <c r="AC63" i="9"/>
  <c r="AD63" i="9" s="1"/>
  <c r="AD55" i="7"/>
  <c r="AC55" i="9"/>
  <c r="AD55" i="9" s="1"/>
  <c r="AD32" i="7"/>
  <c r="AC32" i="9"/>
  <c r="AD32" i="9" s="1"/>
  <c r="AD33" i="7"/>
  <c r="AC33" i="9"/>
  <c r="AD33" i="9" s="1"/>
  <c r="AD64" i="7"/>
  <c r="AC64" i="9"/>
  <c r="AD64" i="9" s="1"/>
  <c r="AD56" i="7"/>
  <c r="AC56" i="9"/>
  <c r="AD56" i="9" s="1"/>
  <c r="AD26" i="7"/>
  <c r="AC26" i="9"/>
  <c r="AD26" i="9" s="1"/>
  <c r="AD27" i="7"/>
  <c r="AC27" i="9"/>
  <c r="AD27" i="9" s="1"/>
  <c r="O70" i="7"/>
  <c r="O75" i="7" s="1"/>
  <c r="O48" i="8" s="1"/>
  <c r="O5" i="9"/>
  <c r="O67" i="9"/>
  <c r="O9" i="9"/>
  <c r="L68" i="9"/>
  <c r="L60" i="9"/>
  <c r="L14" i="9"/>
  <c r="L23" i="9"/>
  <c r="Y5" i="23"/>
  <c r="Y74" i="23" s="1"/>
  <c r="Z70" i="8"/>
  <c r="P67" i="9"/>
  <c r="P57" i="9"/>
  <c r="P26" i="9"/>
  <c r="P20" i="9"/>
  <c r="P68" i="9"/>
  <c r="P48" i="9"/>
  <c r="P24" i="9"/>
  <c r="P17" i="9"/>
  <c r="S70" i="7"/>
  <c r="Q5" i="9"/>
  <c r="Q70" i="9" s="1"/>
  <c r="Q70" i="7"/>
  <c r="Q75" i="7" s="1"/>
  <c r="X70" i="7"/>
  <c r="X75" i="7" s="1"/>
  <c r="X5" i="9"/>
  <c r="X70" i="9" s="1"/>
  <c r="Y71" i="8"/>
  <c r="Y75" i="8" s="1"/>
  <c r="Y71" i="9"/>
  <c r="Y71" i="7"/>
  <c r="AC66" i="9"/>
  <c r="AD66" i="9" s="1"/>
  <c r="AD66" i="7"/>
  <c r="AD54" i="7"/>
  <c r="AC54" i="9"/>
  <c r="AD54" i="9" s="1"/>
  <c r="AD36" i="7"/>
  <c r="AC36" i="9"/>
  <c r="AD36" i="9" s="1"/>
  <c r="AC6" i="9"/>
  <c r="AD6" i="9" s="1"/>
  <c r="AD6" i="7"/>
  <c r="AD41" i="7"/>
  <c r="AC41" i="9"/>
  <c r="AD41" i="9" s="1"/>
  <c r="AD57" i="7"/>
  <c r="AC57" i="9"/>
  <c r="AD57" i="9" s="1"/>
  <c r="AD7" i="7"/>
  <c r="AC7" i="9"/>
  <c r="AD7" i="9" s="1"/>
  <c r="AD11" i="7"/>
  <c r="AC11" i="9"/>
  <c r="AD11" i="9" s="1"/>
  <c r="AD45" i="7"/>
  <c r="AC45" i="9"/>
  <c r="AD45" i="9" s="1"/>
  <c r="AD68" i="7"/>
  <c r="AC68" i="9"/>
  <c r="AD68" i="9" s="1"/>
  <c r="AD10" i="7"/>
  <c r="AC10" i="9"/>
  <c r="AD10" i="9" s="1"/>
  <c r="AD14" i="7"/>
  <c r="AC14" i="9"/>
  <c r="AD14" i="9" s="1"/>
  <c r="AC47" i="9"/>
  <c r="AD47" i="9" s="1"/>
  <c r="AD47" i="7"/>
  <c r="AC38" i="9"/>
  <c r="AD38" i="9" s="1"/>
  <c r="AD38" i="7"/>
  <c r="AC34" i="9"/>
  <c r="AD34" i="9" s="1"/>
  <c r="AD34" i="7"/>
  <c r="AC35" i="9"/>
  <c r="AD35" i="9" s="1"/>
  <c r="AD35" i="7"/>
  <c r="R5" i="9"/>
  <c r="R70" i="9" s="1"/>
  <c r="R70" i="7"/>
  <c r="AH50" i="9"/>
  <c r="AH65" i="9"/>
  <c r="AH31" i="9"/>
  <c r="AH32" i="9"/>
  <c r="AH70" i="7"/>
  <c r="AH75" i="7" s="1"/>
  <c r="AH7" i="8" s="1"/>
  <c r="AD7" i="23" s="1"/>
  <c r="AD76" i="23" s="1"/>
  <c r="AH5" i="9"/>
  <c r="W5" i="9"/>
  <c r="W70" i="9" s="1"/>
  <c r="W70" i="7"/>
  <c r="W75" i="7" s="1"/>
  <c r="L70" i="7"/>
  <c r="L75" i="7" s="1"/>
  <c r="L37" i="8" s="1"/>
  <c r="L37" i="23" s="1"/>
  <c r="L106" i="23" s="1"/>
  <c r="L5" i="9"/>
  <c r="L44" i="9"/>
  <c r="P5" i="9"/>
  <c r="P70" i="7"/>
  <c r="P75" i="7" s="1"/>
  <c r="P54" i="8" s="1"/>
  <c r="P54" i="23" s="1"/>
  <c r="P123" i="23" s="1"/>
  <c r="P49" i="9"/>
  <c r="P6" i="9"/>
  <c r="P34" i="9"/>
  <c r="P31" i="9"/>
  <c r="P65" i="9"/>
  <c r="P62" i="9"/>
  <c r="P32" i="9"/>
  <c r="P29" i="8"/>
  <c r="P29" i="9"/>
  <c r="X6" i="25"/>
  <c r="Z5" i="23"/>
  <c r="Z74" i="23" s="1"/>
  <c r="AA70" i="8"/>
  <c r="V71" i="9"/>
  <c r="V77" i="6"/>
  <c r="V71" i="7"/>
  <c r="V71" i="8"/>
  <c r="V75" i="8" s="1"/>
  <c r="AD44" i="7"/>
  <c r="AC44" i="9"/>
  <c r="AD44" i="9" s="1"/>
  <c r="AD50" i="7"/>
  <c r="AC50" i="9"/>
  <c r="AD50" i="9" s="1"/>
  <c r="AD18" i="7"/>
  <c r="AC18" i="9"/>
  <c r="AD18" i="9" s="1"/>
  <c r="AD22" i="7"/>
  <c r="AC22" i="9"/>
  <c r="AD22" i="9" s="1"/>
  <c r="AD53" i="7"/>
  <c r="AC53" i="9"/>
  <c r="AD53" i="9" s="1"/>
  <c r="AD5" i="7"/>
  <c r="AC70" i="7"/>
  <c r="AC75" i="7" s="1"/>
  <c r="AC5" i="9"/>
  <c r="AD23" i="7"/>
  <c r="AC23" i="9"/>
  <c r="AD23" i="9" s="1"/>
  <c r="AC37" i="9"/>
  <c r="AD37" i="9" s="1"/>
  <c r="AD37" i="7"/>
  <c r="AD59" i="7"/>
  <c r="AC59" i="9"/>
  <c r="AD59" i="9" s="1"/>
  <c r="AD8" i="7"/>
  <c r="AC8" i="9"/>
  <c r="AD8" i="9" s="1"/>
  <c r="AD9" i="7"/>
  <c r="AC9" i="9"/>
  <c r="AD9" i="9" s="1"/>
  <c r="AD42" i="7"/>
  <c r="AC42" i="9"/>
  <c r="AD42" i="9" s="1"/>
  <c r="AD60" i="7"/>
  <c r="AC60" i="9"/>
  <c r="AD60" i="9" s="1"/>
  <c r="AD52" i="7"/>
  <c r="AC52" i="9"/>
  <c r="AD52" i="9" s="1"/>
  <c r="AD15" i="7"/>
  <c r="AC15" i="9"/>
  <c r="AD15" i="9" s="1"/>
  <c r="AD19" i="7"/>
  <c r="AC19" i="9"/>
  <c r="AD19" i="9" s="1"/>
  <c r="M24" i="7"/>
  <c r="M24" i="9" s="1"/>
  <c r="M56" i="7"/>
  <c r="M56" i="9" s="1"/>
  <c r="M16" i="7"/>
  <c r="M16" i="9" s="1"/>
  <c r="M39" i="7"/>
  <c r="M39" i="9" s="1"/>
  <c r="M68" i="7"/>
  <c r="M68" i="9" s="1"/>
  <c r="M29" i="7"/>
  <c r="M29" i="9" s="1"/>
  <c r="M15" i="7"/>
  <c r="M15" i="9" s="1"/>
  <c r="M48" i="7"/>
  <c r="M48" i="9" s="1"/>
  <c r="M38" i="7"/>
  <c r="M38" i="9" s="1"/>
  <c r="M61" i="7"/>
  <c r="M61" i="9" s="1"/>
  <c r="M31" i="7"/>
  <c r="M31" i="9" s="1"/>
  <c r="M27" i="7"/>
  <c r="M27" i="9" s="1"/>
  <c r="M8" i="7"/>
  <c r="M8" i="9" s="1"/>
  <c r="M32" i="7"/>
  <c r="M32" i="9" s="1"/>
  <c r="M67" i="7"/>
  <c r="M67" i="9" s="1"/>
  <c r="M10" i="7"/>
  <c r="M10" i="9" s="1"/>
  <c r="M59" i="7"/>
  <c r="M59" i="9" s="1"/>
  <c r="M43" i="7"/>
  <c r="M43" i="9" s="1"/>
  <c r="M36" i="7"/>
  <c r="M36" i="9" s="1"/>
  <c r="M66" i="7"/>
  <c r="M66" i="9" s="1"/>
  <c r="M45" i="7"/>
  <c r="M45" i="9" s="1"/>
  <c r="M7" i="7"/>
  <c r="M7" i="9" s="1"/>
  <c r="M44" i="7"/>
  <c r="M44" i="9" s="1"/>
  <c r="M34" i="7"/>
  <c r="M34" i="9" s="1"/>
  <c r="M11" i="7"/>
  <c r="M11" i="9" s="1"/>
  <c r="M26" i="7"/>
  <c r="M26" i="9" s="1"/>
  <c r="M17" i="7"/>
  <c r="M17" i="9" s="1"/>
  <c r="M9" i="7"/>
  <c r="M9" i="9" s="1"/>
  <c r="M18" i="7"/>
  <c r="M18" i="9" s="1"/>
  <c r="M20" i="7"/>
  <c r="M20" i="9" s="1"/>
  <c r="M46" i="7"/>
  <c r="M46" i="9" s="1"/>
  <c r="M25" i="7"/>
  <c r="M25" i="9" s="1"/>
  <c r="M28" i="7"/>
  <c r="M28" i="9" s="1"/>
  <c r="M35" i="7"/>
  <c r="M35" i="9" s="1"/>
  <c r="M64" i="7"/>
  <c r="M64" i="9" s="1"/>
  <c r="M51" i="7"/>
  <c r="M51" i="9" s="1"/>
  <c r="M57" i="7"/>
  <c r="M57" i="9" s="1"/>
  <c r="M21" i="7"/>
  <c r="M21" i="9" s="1"/>
  <c r="M65" i="7"/>
  <c r="M65" i="9" s="1"/>
  <c r="M52" i="7"/>
  <c r="M52" i="9" s="1"/>
  <c r="M22" i="7"/>
  <c r="M22" i="9" s="1"/>
  <c r="M23" i="7"/>
  <c r="M23" i="9" s="1"/>
  <c r="M62" i="7"/>
  <c r="M62" i="9" s="1"/>
  <c r="M33" i="7"/>
  <c r="M33" i="9" s="1"/>
  <c r="M30" i="7"/>
  <c r="M30" i="9" s="1"/>
  <c r="M6" i="7"/>
  <c r="M6" i="9" s="1"/>
  <c r="M42" i="7"/>
  <c r="M42" i="9" s="1"/>
  <c r="M14" i="7"/>
  <c r="M14" i="9" s="1"/>
  <c r="M60" i="7"/>
  <c r="M60" i="9" s="1"/>
  <c r="M49" i="7"/>
  <c r="M49" i="9" s="1"/>
  <c r="M12" i="7"/>
  <c r="M12" i="9" s="1"/>
  <c r="M41" i="7"/>
  <c r="M41" i="9" s="1"/>
  <c r="M37" i="7"/>
  <c r="M37" i="9" s="1"/>
  <c r="M53" i="7"/>
  <c r="M53" i="9" s="1"/>
  <c r="M50" i="7"/>
  <c r="M50" i="9" s="1"/>
  <c r="M40" i="7"/>
  <c r="M40" i="9" s="1"/>
  <c r="M19" i="7"/>
  <c r="M19" i="9" s="1"/>
  <c r="M54" i="7"/>
  <c r="M54" i="9" s="1"/>
  <c r="M47" i="7"/>
  <c r="M47" i="9" s="1"/>
  <c r="M5" i="7"/>
  <c r="M55" i="7"/>
  <c r="M55" i="9" s="1"/>
  <c r="M13" i="7"/>
  <c r="M13" i="9" s="1"/>
  <c r="M63" i="7"/>
  <c r="M63" i="9" s="1"/>
  <c r="M58" i="7"/>
  <c r="M58" i="9" s="1"/>
  <c r="P17" i="24"/>
  <c r="P69" i="24" s="1"/>
  <c r="P6" i="24"/>
  <c r="P58" i="24" s="1"/>
  <c r="P43" i="24"/>
  <c r="P95" i="24" s="1"/>
  <c r="P40" i="24"/>
  <c r="P92" i="24" s="1"/>
  <c r="P28" i="24"/>
  <c r="P80" i="24" s="1"/>
  <c r="P32" i="24"/>
  <c r="P84" i="24" s="1"/>
  <c r="T11" i="24"/>
  <c r="T63" i="24" s="1"/>
  <c r="T6" i="24"/>
  <c r="T58" i="24" s="1"/>
  <c r="T24" i="24"/>
  <c r="T76" i="24" s="1"/>
  <c r="T33" i="24"/>
  <c r="T85" i="24" s="1"/>
  <c r="T37" i="24"/>
  <c r="T89" i="24" s="1"/>
  <c r="Q5" i="24"/>
  <c r="Q57" i="24" s="1"/>
  <c r="P18" i="24"/>
  <c r="P70" i="24" s="1"/>
  <c r="P20" i="24"/>
  <c r="P72" i="24" s="1"/>
  <c r="P36" i="24"/>
  <c r="P88" i="24" s="1"/>
  <c r="P29" i="24"/>
  <c r="P81" i="24" s="1"/>
  <c r="P44" i="24"/>
  <c r="P96" i="24" s="1"/>
  <c r="P48" i="24"/>
  <c r="P100" i="24" s="1"/>
  <c r="T7" i="24"/>
  <c r="T59" i="24" s="1"/>
  <c r="T41" i="24"/>
  <c r="T93" i="24" s="1"/>
  <c r="T29" i="24"/>
  <c r="T81" i="24" s="1"/>
  <c r="T49" i="24"/>
  <c r="T101" i="24" s="1"/>
  <c r="T26" i="24"/>
  <c r="T78" i="24" s="1"/>
  <c r="P11" i="24"/>
  <c r="P63" i="24" s="1"/>
  <c r="P41" i="24"/>
  <c r="P93" i="24" s="1"/>
  <c r="P24" i="24"/>
  <c r="P76" i="24" s="1"/>
  <c r="P33" i="24"/>
  <c r="P85" i="24" s="1"/>
  <c r="T20" i="24"/>
  <c r="T72" i="24" s="1"/>
  <c r="T39" i="24"/>
  <c r="T91" i="24" s="1"/>
  <c r="P25" i="24"/>
  <c r="P77" i="24" s="1"/>
  <c r="T30" i="24"/>
  <c r="T82" i="24" s="1"/>
  <c r="T45" i="24"/>
  <c r="T97" i="24" s="1"/>
  <c r="T21" i="24"/>
  <c r="T73" i="24" s="1"/>
  <c r="T42" i="24"/>
  <c r="T94" i="24" s="1"/>
  <c r="P8" i="24"/>
  <c r="P60" i="24" s="1"/>
  <c r="P7" i="24"/>
  <c r="P59" i="24" s="1"/>
  <c r="P30" i="24"/>
  <c r="P82" i="24" s="1"/>
  <c r="P45" i="24"/>
  <c r="P97" i="24" s="1"/>
  <c r="P49" i="24"/>
  <c r="P101" i="24" s="1"/>
  <c r="T18" i="24"/>
  <c r="T70" i="24" s="1"/>
  <c r="T12" i="24"/>
  <c r="T64" i="24" s="1"/>
  <c r="T46" i="24"/>
  <c r="T98" i="24" s="1"/>
  <c r="T34" i="24"/>
  <c r="T86" i="24" s="1"/>
  <c r="T38" i="24"/>
  <c r="T90" i="24" s="1"/>
  <c r="T23" i="24"/>
  <c r="T75" i="24" s="1"/>
  <c r="P14" i="24"/>
  <c r="P66" i="24" s="1"/>
  <c r="P37" i="24"/>
  <c r="P89" i="24" s="1"/>
  <c r="P46" i="24"/>
  <c r="P98" i="24" s="1"/>
  <c r="P34" i="24"/>
  <c r="P86" i="24" s="1"/>
  <c r="P21" i="24"/>
  <c r="P73" i="24" s="1"/>
  <c r="T14" i="24"/>
  <c r="T66" i="24" s="1"/>
  <c r="T8" i="24"/>
  <c r="T60" i="24" s="1"/>
  <c r="T31" i="24"/>
  <c r="T83" i="24" s="1"/>
  <c r="T50" i="24"/>
  <c r="T102" i="24" s="1"/>
  <c r="T36" i="24"/>
  <c r="T88" i="24" s="1"/>
  <c r="T40" i="24"/>
  <c r="T92" i="24" s="1"/>
  <c r="U9" i="25"/>
  <c r="U11" i="25"/>
  <c r="Q45" i="24"/>
  <c r="Q97" i="24" s="1"/>
  <c r="Q50" i="24"/>
  <c r="Q102" i="24" s="1"/>
  <c r="Q12" i="24"/>
  <c r="Q64" i="24" s="1"/>
  <c r="Q37" i="24"/>
  <c r="Q89" i="24" s="1"/>
  <c r="Q8" i="24"/>
  <c r="Q60" i="24" s="1"/>
  <c r="Q26" i="24"/>
  <c r="Q78" i="24" s="1"/>
  <c r="Q42" i="24"/>
  <c r="Q94" i="24" s="1"/>
  <c r="Q7" i="24"/>
  <c r="Q59" i="24" s="1"/>
  <c r="Q48" i="24"/>
  <c r="Q100" i="24" s="1"/>
  <c r="Q34" i="24"/>
  <c r="Q86" i="24" s="1"/>
  <c r="T44" i="24"/>
  <c r="T96" i="24" s="1"/>
  <c r="Q39" i="24"/>
  <c r="Q91" i="24" s="1"/>
  <c r="Q14" i="24"/>
  <c r="Q66" i="24" s="1"/>
  <c r="Q47" i="24"/>
  <c r="Q99" i="24" s="1"/>
  <c r="Q20" i="24"/>
  <c r="Q72" i="24" s="1"/>
  <c r="Q46" i="24"/>
  <c r="Q98" i="24" s="1"/>
  <c r="Q18" i="24"/>
  <c r="Q70" i="24" s="1"/>
  <c r="Q27" i="24"/>
  <c r="Q79" i="24" s="1"/>
  <c r="Q36" i="24"/>
  <c r="Q88" i="24" s="1"/>
  <c r="Q29" i="24"/>
  <c r="Q81" i="24" s="1"/>
  <c r="Q31" i="24"/>
  <c r="Q83" i="24" s="1"/>
  <c r="Q24" i="24"/>
  <c r="Q76" i="24" s="1"/>
  <c r="P5" i="24"/>
  <c r="P57" i="24" s="1"/>
  <c r="Q41" i="24"/>
  <c r="Q93" i="24" s="1"/>
  <c r="Q9" i="24"/>
  <c r="Q61" i="24" s="1"/>
  <c r="Q21" i="24"/>
  <c r="Q73" i="24" s="1"/>
  <c r="Q17" i="24"/>
  <c r="Q69" i="24" s="1"/>
  <c r="Q44" i="24"/>
  <c r="Q96" i="24" s="1"/>
  <c r="Q25" i="24"/>
  <c r="Q77" i="24" s="1"/>
  <c r="Q33" i="24"/>
  <c r="Q85" i="24" s="1"/>
  <c r="Q22" i="24"/>
  <c r="Q74" i="24" s="1"/>
  <c r="Q28" i="24"/>
  <c r="Q80" i="24" s="1"/>
  <c r="Q30" i="24"/>
  <c r="Q82" i="24" s="1"/>
  <c r="Q23" i="24"/>
  <c r="Q75" i="24" s="1"/>
  <c r="Q11" i="24"/>
  <c r="Q63" i="24" s="1"/>
  <c r="Q32" i="24"/>
  <c r="Q84" i="24" s="1"/>
  <c r="Q10" i="24"/>
  <c r="Q62" i="24" s="1"/>
  <c r="Q35" i="24"/>
  <c r="Q87" i="24" s="1"/>
  <c r="Q6" i="24"/>
  <c r="Q58" i="24" s="1"/>
  <c r="Q51" i="24"/>
  <c r="Q103" i="24" s="1"/>
  <c r="Q49" i="24"/>
  <c r="Q101" i="24" s="1"/>
  <c r="Q38" i="24"/>
  <c r="Q90" i="24" s="1"/>
  <c r="Q43" i="24"/>
  <c r="Q95" i="24" s="1"/>
  <c r="T47" i="24"/>
  <c r="T99" i="24" s="1"/>
  <c r="L25" i="11"/>
  <c r="L19" i="11"/>
  <c r="L17" i="11"/>
  <c r="L20" i="11"/>
  <c r="L10" i="11"/>
  <c r="L6" i="11"/>
  <c r="L18" i="11"/>
  <c r="L11" i="11"/>
  <c r="L7" i="11"/>
  <c r="L14" i="11"/>
  <c r="L12" i="11"/>
  <c r="L8" i="11"/>
  <c r="L9" i="11"/>
  <c r="L5" i="11"/>
  <c r="L33" i="11"/>
  <c r="L41" i="11"/>
  <c r="L30" i="11"/>
  <c r="L50" i="11"/>
  <c r="L31" i="11"/>
  <c r="L47" i="11"/>
  <c r="L28" i="11"/>
  <c r="L44" i="11"/>
  <c r="L37" i="11"/>
  <c r="L45" i="11"/>
  <c r="L38" i="11"/>
  <c r="L35" i="11"/>
  <c r="L51" i="11"/>
  <c r="L32" i="11"/>
  <c r="L48" i="11"/>
  <c r="L49" i="11"/>
  <c r="L24" i="11"/>
  <c r="L21" i="11"/>
  <c r="L42" i="11"/>
  <c r="L22" i="11"/>
  <c r="L39" i="11"/>
  <c r="L36" i="11"/>
  <c r="L34" i="11"/>
  <c r="L29" i="11"/>
  <c r="L26" i="11"/>
  <c r="L46" i="11"/>
  <c r="L27" i="11"/>
  <c r="L43" i="11"/>
  <c r="L23" i="11"/>
  <c r="L40" i="11"/>
  <c r="F46" i="5"/>
  <c r="Q56" i="13"/>
  <c r="Q56" i="12"/>
  <c r="Q56" i="10"/>
  <c r="Q56" i="11"/>
  <c r="S5" i="13"/>
  <c r="T74" i="6"/>
  <c r="T72" i="9"/>
  <c r="T72" i="8"/>
  <c r="T72" i="7"/>
  <c r="AM73" i="6"/>
  <c r="AM71" i="9"/>
  <c r="AM71" i="7"/>
  <c r="AM71" i="8" s="1"/>
  <c r="T75" i="6"/>
  <c r="T73" i="9"/>
  <c r="T73" i="8"/>
  <c r="T73" i="7"/>
  <c r="L16" i="11"/>
  <c r="L15" i="11"/>
  <c r="L13" i="11"/>
  <c r="L57" i="12"/>
  <c r="S5" i="12"/>
  <c r="S53" i="12" s="1"/>
  <c r="R53" i="12"/>
  <c r="V53" i="12"/>
  <c r="AI70" i="8"/>
  <c r="Q55" i="13"/>
  <c r="Q55" i="12"/>
  <c r="Q55" i="11"/>
  <c r="Q55" i="10"/>
  <c r="F29" i="5"/>
  <c r="N45" i="12" l="1"/>
  <c r="N45" i="13"/>
  <c r="N21" i="12"/>
  <c r="N21" i="13"/>
  <c r="N32" i="12"/>
  <c r="N32" i="13"/>
  <c r="N50" i="12"/>
  <c r="N50" i="13"/>
  <c r="N10" i="12"/>
  <c r="N10" i="13"/>
  <c r="N17" i="13"/>
  <c r="N17" i="12"/>
  <c r="N17" i="24" s="1"/>
  <c r="N69" i="24" s="1"/>
  <c r="AA21" i="11"/>
  <c r="Z21" i="13"/>
  <c r="AA21" i="13" s="1"/>
  <c r="Z21" i="12"/>
  <c r="AA21" i="12" s="1"/>
  <c r="Z6" i="12"/>
  <c r="AA6" i="12" s="1"/>
  <c r="AA6" i="11"/>
  <c r="Z6" i="13"/>
  <c r="AA6" i="13" s="1"/>
  <c r="AA20" i="11"/>
  <c r="Z20" i="12"/>
  <c r="AA20" i="12" s="1"/>
  <c r="Z20" i="13"/>
  <c r="AA20" i="13" s="1"/>
  <c r="Z26" i="12"/>
  <c r="AA26" i="12" s="1"/>
  <c r="AA26" i="11"/>
  <c r="Z26" i="13"/>
  <c r="AA26" i="13" s="1"/>
  <c r="AA12" i="11"/>
  <c r="Z12" i="13"/>
  <c r="AA12" i="13" s="1"/>
  <c r="Z12" i="12"/>
  <c r="Z31" i="12"/>
  <c r="AA31" i="12" s="1"/>
  <c r="Z31" i="13"/>
  <c r="AA31" i="13" s="1"/>
  <c r="AA31" i="11"/>
  <c r="Z18" i="12"/>
  <c r="AA18" i="12" s="1"/>
  <c r="AA18" i="11"/>
  <c r="Z18" i="13"/>
  <c r="AA18" i="13" s="1"/>
  <c r="U53" i="11"/>
  <c r="U5" i="13"/>
  <c r="U5" i="12"/>
  <c r="S5" i="24"/>
  <c r="S57" i="24" s="1"/>
  <c r="U47" i="13"/>
  <c r="S47" i="24" s="1"/>
  <c r="S99" i="24" s="1"/>
  <c r="U47" i="12"/>
  <c r="U29" i="13"/>
  <c r="U29" i="12"/>
  <c r="S29" i="24" s="1"/>
  <c r="S81" i="24" s="1"/>
  <c r="U41" i="13"/>
  <c r="U41" i="12"/>
  <c r="S41" i="24"/>
  <c r="S93" i="24" s="1"/>
  <c r="U24" i="13"/>
  <c r="U24" i="12"/>
  <c r="S24" i="24"/>
  <c r="S76" i="24" s="1"/>
  <c r="U11" i="12"/>
  <c r="S11" i="24" s="1"/>
  <c r="S63" i="24" s="1"/>
  <c r="U11" i="13"/>
  <c r="O12" i="12"/>
  <c r="O12" i="24" s="1"/>
  <c r="O64" i="24" s="1"/>
  <c r="O12" i="13"/>
  <c r="O47" i="13"/>
  <c r="O47" i="12"/>
  <c r="O47" i="24"/>
  <c r="O99" i="24" s="1"/>
  <c r="O25" i="12"/>
  <c r="O25" i="13"/>
  <c r="O25" i="24"/>
  <c r="O77" i="24" s="1"/>
  <c r="O32" i="12"/>
  <c r="O32" i="24" s="1"/>
  <c r="O84" i="24" s="1"/>
  <c r="O32" i="13"/>
  <c r="O29" i="13"/>
  <c r="O29" i="12"/>
  <c r="O29" i="24" s="1"/>
  <c r="O81" i="24" s="1"/>
  <c r="O45" i="12"/>
  <c r="O45" i="13"/>
  <c r="O45" i="24"/>
  <c r="O97" i="24" s="1"/>
  <c r="T39" i="12"/>
  <c r="W39" i="11"/>
  <c r="T39" i="13"/>
  <c r="R39" i="24" s="1"/>
  <c r="R91" i="24" s="1"/>
  <c r="W21" i="11"/>
  <c r="T21" i="13"/>
  <c r="T21" i="12"/>
  <c r="T40" i="13"/>
  <c r="T40" i="12"/>
  <c r="W40" i="12" s="1"/>
  <c r="W40" i="11"/>
  <c r="W46" i="11"/>
  <c r="T46" i="13"/>
  <c r="T46" i="12"/>
  <c r="W46" i="12" s="1"/>
  <c r="T34" i="12"/>
  <c r="T34" i="13"/>
  <c r="W34" i="11"/>
  <c r="T37" i="12"/>
  <c r="W37" i="11"/>
  <c r="T37" i="13"/>
  <c r="R34" i="24"/>
  <c r="R86" i="24" s="1"/>
  <c r="V31" i="24"/>
  <c r="V83" i="24" s="1"/>
  <c r="I14" i="26"/>
  <c r="C14" i="26"/>
  <c r="J14" i="26"/>
  <c r="G14" i="26"/>
  <c r="B14" i="26"/>
  <c r="L14" i="26"/>
  <c r="H14" i="26"/>
  <c r="E14" i="26"/>
  <c r="D14" i="26"/>
  <c r="K14" i="26"/>
  <c r="F14" i="26"/>
  <c r="M14" i="26"/>
  <c r="N15" i="24"/>
  <c r="N67" i="24" s="1"/>
  <c r="M20" i="24"/>
  <c r="M72" i="24" s="1"/>
  <c r="M32" i="24"/>
  <c r="M84" i="24" s="1"/>
  <c r="M27" i="24"/>
  <c r="M79" i="24" s="1"/>
  <c r="M30" i="24"/>
  <c r="M82" i="24" s="1"/>
  <c r="M38" i="24"/>
  <c r="M90" i="24" s="1"/>
  <c r="P15" i="24"/>
  <c r="P67" i="24" s="1"/>
  <c r="F7" i="26" s="1"/>
  <c r="F13" i="26" s="1"/>
  <c r="N19" i="13"/>
  <c r="N19" i="12"/>
  <c r="N19" i="24" s="1"/>
  <c r="N71" i="24" s="1"/>
  <c r="N41" i="12"/>
  <c r="N41" i="13"/>
  <c r="N49" i="12"/>
  <c r="N49" i="13"/>
  <c r="N48" i="13"/>
  <c r="N48" i="12"/>
  <c r="N48" i="24" s="1"/>
  <c r="N100" i="24" s="1"/>
  <c r="N23" i="12"/>
  <c r="N23" i="13"/>
  <c r="N14" i="13"/>
  <c r="N14" i="12"/>
  <c r="N14" i="24" s="1"/>
  <c r="N66" i="24" s="1"/>
  <c r="N26" i="12"/>
  <c r="N26" i="13"/>
  <c r="N18" i="12"/>
  <c r="N18" i="13"/>
  <c r="N35" i="12"/>
  <c r="N35" i="13"/>
  <c r="N34" i="12"/>
  <c r="N34" i="24" s="1"/>
  <c r="N86" i="24" s="1"/>
  <c r="N34" i="13"/>
  <c r="N7" i="12"/>
  <c r="N7" i="13"/>
  <c r="AA27" i="11"/>
  <c r="Z27" i="13"/>
  <c r="AA27" i="13" s="1"/>
  <c r="Z27" i="12"/>
  <c r="AA27" i="12" s="1"/>
  <c r="Z37" i="12"/>
  <c r="AA37" i="11"/>
  <c r="Z37" i="13"/>
  <c r="AA37" i="13" s="1"/>
  <c r="Z40" i="12"/>
  <c r="AA40" i="12" s="1"/>
  <c r="AA40" i="11"/>
  <c r="Z40" i="13"/>
  <c r="AA40" i="13" s="1"/>
  <c r="AA25" i="11"/>
  <c r="Z25" i="13"/>
  <c r="AA25" i="13" s="1"/>
  <c r="Z25" i="12"/>
  <c r="Z41" i="13"/>
  <c r="AA41" i="13" s="1"/>
  <c r="Z41" i="12"/>
  <c r="AA41" i="12" s="1"/>
  <c r="AA41" i="11"/>
  <c r="Z10" i="13"/>
  <c r="AA10" i="13" s="1"/>
  <c r="AA10" i="11"/>
  <c r="Z10" i="12"/>
  <c r="Z39" i="12"/>
  <c r="AA39" i="12" s="1"/>
  <c r="Z39" i="13"/>
  <c r="AA39" i="13" s="1"/>
  <c r="AA39" i="11"/>
  <c r="Z42" i="12"/>
  <c r="AA42" i="11"/>
  <c r="Z42" i="13"/>
  <c r="AA42" i="13" s="1"/>
  <c r="Z33" i="12"/>
  <c r="Z33" i="13"/>
  <c r="AA33" i="13" s="1"/>
  <c r="AA33" i="11"/>
  <c r="AA24" i="11"/>
  <c r="Z24" i="13"/>
  <c r="AA24" i="13" s="1"/>
  <c r="Z24" i="12"/>
  <c r="Z5" i="12"/>
  <c r="Z53" i="11"/>
  <c r="Z5" i="13"/>
  <c r="AA5" i="11"/>
  <c r="R13" i="24"/>
  <c r="R65" i="24" s="1"/>
  <c r="W13" i="12"/>
  <c r="U42" i="13"/>
  <c r="U42" i="12"/>
  <c r="S42" i="24" s="1"/>
  <c r="S94" i="24" s="1"/>
  <c r="U30" i="13"/>
  <c r="U30" i="12"/>
  <c r="S30" i="24"/>
  <c r="S82" i="24" s="1"/>
  <c r="U44" i="12"/>
  <c r="U44" i="13"/>
  <c r="S44" i="24"/>
  <c r="S96" i="24" s="1"/>
  <c r="U14" i="12"/>
  <c r="S14" i="24" s="1"/>
  <c r="S66" i="24" s="1"/>
  <c r="U14" i="13"/>
  <c r="U43" i="12"/>
  <c r="S43" i="24" s="1"/>
  <c r="S95" i="24" s="1"/>
  <c r="U43" i="13"/>
  <c r="U40" i="12"/>
  <c r="U40" i="13"/>
  <c r="S40" i="24"/>
  <c r="S92" i="24" s="1"/>
  <c r="U10" i="12"/>
  <c r="U10" i="13"/>
  <c r="S10" i="24"/>
  <c r="S62" i="24" s="1"/>
  <c r="U18" i="12"/>
  <c r="S18" i="24" s="1"/>
  <c r="S70" i="24" s="1"/>
  <c r="U18" i="13"/>
  <c r="U21" i="13"/>
  <c r="U21" i="12"/>
  <c r="S21" i="24" s="1"/>
  <c r="S73" i="24" s="1"/>
  <c r="U49" i="12"/>
  <c r="U49" i="13"/>
  <c r="S49" i="24"/>
  <c r="S101" i="24" s="1"/>
  <c r="U17" i="12"/>
  <c r="U17" i="13"/>
  <c r="S17" i="24"/>
  <c r="S69" i="24" s="1"/>
  <c r="O14" i="12"/>
  <c r="O14" i="24" s="1"/>
  <c r="O66" i="24" s="1"/>
  <c r="O14" i="13"/>
  <c r="O22" i="13"/>
  <c r="O22" i="12"/>
  <c r="O22" i="24" s="1"/>
  <c r="O74" i="24" s="1"/>
  <c r="O9" i="13"/>
  <c r="O9" i="12"/>
  <c r="O9" i="24"/>
  <c r="O61" i="24" s="1"/>
  <c r="O8" i="13"/>
  <c r="O8" i="12"/>
  <c r="O8" i="24"/>
  <c r="O60" i="24" s="1"/>
  <c r="O5" i="12"/>
  <c r="O5" i="13"/>
  <c r="O53" i="11"/>
  <c r="O10" i="12"/>
  <c r="O10" i="24" s="1"/>
  <c r="O62" i="24" s="1"/>
  <c r="O10" i="13"/>
  <c r="O49" i="12"/>
  <c r="O49" i="24" s="1"/>
  <c r="O101" i="24" s="1"/>
  <c r="O49" i="13"/>
  <c r="O6" i="13"/>
  <c r="O6" i="12"/>
  <c r="O6" i="24"/>
  <c r="O58" i="24" s="1"/>
  <c r="O48" i="13"/>
  <c r="O48" i="12"/>
  <c r="O48" i="24"/>
  <c r="O100" i="24" s="1"/>
  <c r="O33" i="12"/>
  <c r="O33" i="24" s="1"/>
  <c r="O85" i="24" s="1"/>
  <c r="O33" i="13"/>
  <c r="O38" i="12"/>
  <c r="O38" i="24" s="1"/>
  <c r="O90" i="24" s="1"/>
  <c r="O38" i="13"/>
  <c r="O13" i="24"/>
  <c r="O65" i="24" s="1"/>
  <c r="T16" i="24"/>
  <c r="T68" i="24" s="1"/>
  <c r="M5" i="24"/>
  <c r="M57" i="24" s="1"/>
  <c r="M53" i="12"/>
  <c r="M46" i="24"/>
  <c r="M98" i="24" s="1"/>
  <c r="T35" i="13"/>
  <c r="T35" i="12"/>
  <c r="W35" i="11"/>
  <c r="T45" i="13"/>
  <c r="T45" i="12"/>
  <c r="W45" i="12" s="1"/>
  <c r="W45" i="11"/>
  <c r="T11" i="12"/>
  <c r="T11" i="13"/>
  <c r="W11" i="13" s="1"/>
  <c r="W11" i="11"/>
  <c r="T26" i="13"/>
  <c r="W26" i="13" s="1"/>
  <c r="T26" i="12"/>
  <c r="W26" i="11"/>
  <c r="T31" i="12"/>
  <c r="W31" i="12" s="1"/>
  <c r="T31" i="13"/>
  <c r="W31" i="13" s="1"/>
  <c r="W31" i="11"/>
  <c r="T47" i="13"/>
  <c r="T47" i="12"/>
  <c r="W47" i="11"/>
  <c r="T27" i="13"/>
  <c r="T27" i="12"/>
  <c r="W27" i="11"/>
  <c r="T14" i="13"/>
  <c r="W14" i="13" s="1"/>
  <c r="W14" i="11"/>
  <c r="T14" i="12"/>
  <c r="W44" i="11"/>
  <c r="T44" i="13"/>
  <c r="W44" i="13" s="1"/>
  <c r="T44" i="12"/>
  <c r="W36" i="11"/>
  <c r="T36" i="13"/>
  <c r="T36" i="12"/>
  <c r="T18" i="13"/>
  <c r="W18" i="13" s="1"/>
  <c r="T18" i="12"/>
  <c r="W18" i="11"/>
  <c r="H15" i="26"/>
  <c r="I15" i="26"/>
  <c r="G15" i="26"/>
  <c r="M15" i="26"/>
  <c r="F15" i="26"/>
  <c r="K15" i="26"/>
  <c r="L15" i="26"/>
  <c r="D15" i="26"/>
  <c r="C15" i="26"/>
  <c r="E15" i="26"/>
  <c r="J15" i="26"/>
  <c r="B15" i="26"/>
  <c r="M10" i="24"/>
  <c r="M62" i="24" s="1"/>
  <c r="V13" i="24"/>
  <c r="V65" i="24" s="1"/>
  <c r="R53" i="13"/>
  <c r="V21" i="24"/>
  <c r="V73" i="24" s="1"/>
  <c r="Q40" i="24"/>
  <c r="Q92" i="24" s="1"/>
  <c r="V26" i="24"/>
  <c r="V78" i="24" s="1"/>
  <c r="R11" i="24"/>
  <c r="R63" i="24" s="1"/>
  <c r="J11" i="26"/>
  <c r="N10" i="24"/>
  <c r="N62" i="24" s="1"/>
  <c r="P53" i="12"/>
  <c r="N21" i="24"/>
  <c r="N73" i="24" s="1"/>
  <c r="V15" i="24"/>
  <c r="V67" i="24" s="1"/>
  <c r="AA15" i="12"/>
  <c r="S16" i="24"/>
  <c r="S68" i="24" s="1"/>
  <c r="M13" i="24"/>
  <c r="M65" i="24" s="1"/>
  <c r="N42" i="12"/>
  <c r="N42" i="24" s="1"/>
  <c r="N94" i="24" s="1"/>
  <c r="N42" i="13"/>
  <c r="N8" i="12"/>
  <c r="N8" i="13"/>
  <c r="N29" i="12"/>
  <c r="N29" i="24" s="1"/>
  <c r="N81" i="24" s="1"/>
  <c r="N29" i="13"/>
  <c r="N12" i="13"/>
  <c r="N12" i="12"/>
  <c r="N12" i="24" s="1"/>
  <c r="N64" i="24" s="1"/>
  <c r="N27" i="12"/>
  <c r="N27" i="24" s="1"/>
  <c r="N79" i="24" s="1"/>
  <c r="N27" i="13"/>
  <c r="N37" i="12"/>
  <c r="N37" i="13"/>
  <c r="N46" i="12"/>
  <c r="N46" i="24" s="1"/>
  <c r="N98" i="24" s="1"/>
  <c r="N46" i="13"/>
  <c r="N51" i="12"/>
  <c r="N51" i="13"/>
  <c r="N28" i="13"/>
  <c r="N28" i="12"/>
  <c r="N36" i="13"/>
  <c r="N36" i="12"/>
  <c r="N36" i="24" s="1"/>
  <c r="N88" i="24" s="1"/>
  <c r="N11" i="13"/>
  <c r="N11" i="12"/>
  <c r="Z45" i="12"/>
  <c r="Z45" i="13"/>
  <c r="AA45" i="13" s="1"/>
  <c r="AA45" i="11"/>
  <c r="AA17" i="11"/>
  <c r="Z17" i="13"/>
  <c r="AA17" i="13" s="1"/>
  <c r="Z17" i="12"/>
  <c r="Z36" i="12"/>
  <c r="AA36" i="11"/>
  <c r="Z36" i="13"/>
  <c r="AA36" i="13" s="1"/>
  <c r="Z23" i="12"/>
  <c r="Z23" i="13"/>
  <c r="AA23" i="13" s="1"/>
  <c r="AA23" i="11"/>
  <c r="Z38" i="12"/>
  <c r="AA38" i="11"/>
  <c r="Z38" i="13"/>
  <c r="AA38" i="13" s="1"/>
  <c r="Z30" i="13"/>
  <c r="AA30" i="13" s="1"/>
  <c r="Z30" i="12"/>
  <c r="AA30" i="11"/>
  <c r="Z49" i="13"/>
  <c r="AA49" i="13" s="1"/>
  <c r="AA49" i="11"/>
  <c r="Z49" i="12"/>
  <c r="Z19" i="13"/>
  <c r="AA19" i="13" s="1"/>
  <c r="Z19" i="12"/>
  <c r="AA19" i="11"/>
  <c r="Z22" i="13"/>
  <c r="AA22" i="13" s="1"/>
  <c r="Z22" i="12"/>
  <c r="AA22" i="11"/>
  <c r="Z46" i="13"/>
  <c r="AA46" i="13" s="1"/>
  <c r="AA46" i="11"/>
  <c r="Z46" i="12"/>
  <c r="Z9" i="12"/>
  <c r="Z9" i="13"/>
  <c r="AA9" i="13" s="1"/>
  <c r="AA9" i="11"/>
  <c r="O16" i="24"/>
  <c r="O68" i="24" s="1"/>
  <c r="U26" i="12"/>
  <c r="S26" i="24" s="1"/>
  <c r="S78" i="24" s="1"/>
  <c r="U26" i="13"/>
  <c r="U20" i="13"/>
  <c r="U20" i="12"/>
  <c r="S20" i="24" s="1"/>
  <c r="S72" i="24" s="1"/>
  <c r="U36" i="12"/>
  <c r="U36" i="13"/>
  <c r="S36" i="24"/>
  <c r="S88" i="24" s="1"/>
  <c r="U33" i="12"/>
  <c r="U33" i="13"/>
  <c r="S33" i="24"/>
  <c r="S85" i="24" s="1"/>
  <c r="U12" i="12"/>
  <c r="S12" i="24" s="1"/>
  <c r="S64" i="24" s="1"/>
  <c r="U12" i="13"/>
  <c r="U35" i="12"/>
  <c r="S35" i="24" s="1"/>
  <c r="S87" i="24" s="1"/>
  <c r="U35" i="13"/>
  <c r="U22" i="12"/>
  <c r="U22" i="13"/>
  <c r="S22" i="24"/>
  <c r="S74" i="24" s="1"/>
  <c r="U7" i="12"/>
  <c r="U7" i="13"/>
  <c r="S7" i="24"/>
  <c r="S59" i="24" s="1"/>
  <c r="U37" i="12"/>
  <c r="S37" i="24" s="1"/>
  <c r="S89" i="24" s="1"/>
  <c r="U37" i="13"/>
  <c r="U27" i="12"/>
  <c r="S27" i="24" s="1"/>
  <c r="S79" i="24" s="1"/>
  <c r="U27" i="13"/>
  <c r="U23" i="12"/>
  <c r="U23" i="13"/>
  <c r="S23" i="24"/>
  <c r="S75" i="24" s="1"/>
  <c r="O44" i="13"/>
  <c r="O44" i="12"/>
  <c r="O44" i="24"/>
  <c r="O96" i="24" s="1"/>
  <c r="O23" i="12"/>
  <c r="O23" i="24" s="1"/>
  <c r="O75" i="24" s="1"/>
  <c r="O23" i="13"/>
  <c r="O43" i="12"/>
  <c r="O43" i="24" s="1"/>
  <c r="O95" i="24" s="1"/>
  <c r="O43" i="13"/>
  <c r="O18" i="13"/>
  <c r="O18" i="12"/>
  <c r="O18" i="24"/>
  <c r="O70" i="24" s="1"/>
  <c r="O40" i="12"/>
  <c r="O40" i="13"/>
  <c r="O40" i="24"/>
  <c r="O92" i="24" s="1"/>
  <c r="O39" i="12"/>
  <c r="O39" i="24" s="1"/>
  <c r="O91" i="24" s="1"/>
  <c r="O39" i="13"/>
  <c r="O24" i="13"/>
  <c r="O24" i="12"/>
  <c r="O24" i="24" s="1"/>
  <c r="O76" i="24" s="1"/>
  <c r="O30" i="13"/>
  <c r="O30" i="12"/>
  <c r="O30" i="24"/>
  <c r="O82" i="24" s="1"/>
  <c r="O20" i="12"/>
  <c r="O20" i="13"/>
  <c r="O20" i="24"/>
  <c r="O72" i="24" s="1"/>
  <c r="O11" i="13"/>
  <c r="O11" i="24" s="1"/>
  <c r="O63" i="24" s="1"/>
  <c r="O11" i="12"/>
  <c r="O28" i="13"/>
  <c r="O28" i="12"/>
  <c r="O28" i="24" s="1"/>
  <c r="O80" i="24" s="1"/>
  <c r="M17" i="24"/>
  <c r="M69" i="24" s="1"/>
  <c r="M25" i="24"/>
  <c r="M77" i="24" s="1"/>
  <c r="M41" i="24"/>
  <c r="M93" i="24" s="1"/>
  <c r="M43" i="24"/>
  <c r="M95" i="24" s="1"/>
  <c r="P13" i="24"/>
  <c r="P65" i="24" s="1"/>
  <c r="M12" i="24"/>
  <c r="M64" i="24" s="1"/>
  <c r="M26" i="24"/>
  <c r="M78" i="24" s="1"/>
  <c r="T12" i="12"/>
  <c r="W12" i="11"/>
  <c r="T12" i="13"/>
  <c r="W12" i="13" s="1"/>
  <c r="T42" i="12"/>
  <c r="W42" i="11"/>
  <c r="T42" i="13"/>
  <c r="W41" i="11"/>
  <c r="T41" i="13"/>
  <c r="W41" i="13" s="1"/>
  <c r="T41" i="12"/>
  <c r="T29" i="13"/>
  <c r="T29" i="12"/>
  <c r="W29" i="11"/>
  <c r="T32" i="13"/>
  <c r="T32" i="12"/>
  <c r="W32" i="11"/>
  <c r="W7" i="11"/>
  <c r="T7" i="12"/>
  <c r="T7" i="13"/>
  <c r="W7" i="13" s="1"/>
  <c r="W50" i="11"/>
  <c r="T50" i="13"/>
  <c r="T50" i="12"/>
  <c r="T49" i="12"/>
  <c r="W49" i="11"/>
  <c r="T49" i="13"/>
  <c r="W49" i="13" s="1"/>
  <c r="W19" i="11"/>
  <c r="T19" i="12"/>
  <c r="T19" i="13"/>
  <c r="W19" i="13" s="1"/>
  <c r="T30" i="13"/>
  <c r="W30" i="13" s="1"/>
  <c r="T30" i="12"/>
  <c r="W30" i="11"/>
  <c r="T33" i="13"/>
  <c r="W33" i="13" s="1"/>
  <c r="T33" i="12"/>
  <c r="W33" i="11"/>
  <c r="N43" i="13"/>
  <c r="N43" i="12"/>
  <c r="N43" i="24" s="1"/>
  <c r="N95" i="24" s="1"/>
  <c r="N9" i="13"/>
  <c r="N9" i="24" s="1"/>
  <c r="N61" i="24" s="1"/>
  <c r="N9" i="12"/>
  <c r="N5" i="12"/>
  <c r="N53" i="11"/>
  <c r="N5" i="13"/>
  <c r="N6" i="12"/>
  <c r="N6" i="24" s="1"/>
  <c r="N58" i="24" s="1"/>
  <c r="N6" i="13"/>
  <c r="N40" i="13"/>
  <c r="N40" i="12"/>
  <c r="N40" i="24" s="1"/>
  <c r="N92" i="24" s="1"/>
  <c r="Z28" i="13"/>
  <c r="AA28" i="13" s="1"/>
  <c r="Z28" i="12"/>
  <c r="AA28" i="12" s="1"/>
  <c r="AA28" i="11"/>
  <c r="Z44" i="12"/>
  <c r="Z44" i="13"/>
  <c r="AA44" i="13" s="1"/>
  <c r="AA44" i="11"/>
  <c r="Z7" i="13"/>
  <c r="AA7" i="13" s="1"/>
  <c r="AA7" i="11"/>
  <c r="Z7" i="12"/>
  <c r="Z48" i="12"/>
  <c r="AA48" i="12" s="1"/>
  <c r="AA48" i="11"/>
  <c r="Z48" i="13"/>
  <c r="AA48" i="13" s="1"/>
  <c r="U51" i="13"/>
  <c r="U51" i="12"/>
  <c r="S51" i="24"/>
  <c r="S103" i="24" s="1"/>
  <c r="U19" i="12"/>
  <c r="S19" i="24" s="1"/>
  <c r="S71" i="24" s="1"/>
  <c r="U19" i="13"/>
  <c r="U50" i="12"/>
  <c r="S50" i="24" s="1"/>
  <c r="S102" i="24" s="1"/>
  <c r="U50" i="13"/>
  <c r="U48" i="12"/>
  <c r="U48" i="13"/>
  <c r="S48" i="24"/>
  <c r="S100" i="24" s="1"/>
  <c r="U31" i="12"/>
  <c r="U31" i="13"/>
  <c r="S31" i="24"/>
  <c r="S83" i="24" s="1"/>
  <c r="O46" i="12"/>
  <c r="O46" i="24" s="1"/>
  <c r="O98" i="24" s="1"/>
  <c r="O46" i="13"/>
  <c r="O21" i="13"/>
  <c r="O21" i="12"/>
  <c r="O21" i="24" s="1"/>
  <c r="O73" i="24" s="1"/>
  <c r="O26" i="12"/>
  <c r="O26" i="13"/>
  <c r="O26" i="24"/>
  <c r="O78" i="24" s="1"/>
  <c r="O27" i="13"/>
  <c r="O27" i="12"/>
  <c r="O27" i="24"/>
  <c r="O79" i="24" s="1"/>
  <c r="O19" i="13"/>
  <c r="O19" i="24" s="1"/>
  <c r="O71" i="24" s="1"/>
  <c r="O19" i="12"/>
  <c r="M53" i="13"/>
  <c r="T17" i="13"/>
  <c r="W17" i="13" s="1"/>
  <c r="W17" i="11"/>
  <c r="T17" i="12"/>
  <c r="W25" i="11"/>
  <c r="T25" i="13"/>
  <c r="W25" i="13" s="1"/>
  <c r="T25" i="12"/>
  <c r="W22" i="11"/>
  <c r="T22" i="13"/>
  <c r="W22" i="13" s="1"/>
  <c r="T22" i="12"/>
  <c r="W22" i="12" s="1"/>
  <c r="W9" i="11"/>
  <c r="T9" i="13"/>
  <c r="T9" i="12"/>
  <c r="W9" i="12" s="1"/>
  <c r="W10" i="11"/>
  <c r="T10" i="13"/>
  <c r="W10" i="13" s="1"/>
  <c r="T10" i="12"/>
  <c r="W10" i="12" s="1"/>
  <c r="R21" i="24"/>
  <c r="R73" i="24" s="1"/>
  <c r="V20" i="24"/>
  <c r="V72" i="24" s="1"/>
  <c r="S53" i="13"/>
  <c r="V40" i="24"/>
  <c r="V92" i="24" s="1"/>
  <c r="Q19" i="24"/>
  <c r="Q71" i="24" s="1"/>
  <c r="V39" i="24"/>
  <c r="V91" i="24" s="1"/>
  <c r="N18" i="24"/>
  <c r="N70" i="24" s="1"/>
  <c r="R45" i="24"/>
  <c r="R97" i="24" s="1"/>
  <c r="N49" i="24"/>
  <c r="N101" i="24" s="1"/>
  <c r="O48" i="23"/>
  <c r="O117" i="23" s="1"/>
  <c r="R15" i="24"/>
  <c r="R67" i="24" s="1"/>
  <c r="W15" i="12"/>
  <c r="N38" i="12"/>
  <c r="N38" i="24" s="1"/>
  <c r="N90" i="24" s="1"/>
  <c r="N38" i="13"/>
  <c r="N25" i="12"/>
  <c r="N25" i="13"/>
  <c r="N24" i="12"/>
  <c r="N24" i="24" s="1"/>
  <c r="N76" i="24" s="1"/>
  <c r="N24" i="13"/>
  <c r="N39" i="13"/>
  <c r="N39" i="12"/>
  <c r="N39" i="24" s="1"/>
  <c r="N91" i="24" s="1"/>
  <c r="N22" i="12"/>
  <c r="N22" i="24" s="1"/>
  <c r="N74" i="24" s="1"/>
  <c r="N22" i="13"/>
  <c r="N33" i="13"/>
  <c r="N33" i="12"/>
  <c r="N33" i="24" s="1"/>
  <c r="N85" i="24" s="1"/>
  <c r="N44" i="13"/>
  <c r="N44" i="12"/>
  <c r="N47" i="12"/>
  <c r="N47" i="13"/>
  <c r="N31" i="12"/>
  <c r="N31" i="24" s="1"/>
  <c r="N83" i="24" s="1"/>
  <c r="N31" i="13"/>
  <c r="N30" i="12"/>
  <c r="N30" i="13"/>
  <c r="N20" i="13"/>
  <c r="N20" i="12"/>
  <c r="AA50" i="11"/>
  <c r="Z50" i="12"/>
  <c r="Z50" i="13"/>
  <c r="AA50" i="13" s="1"/>
  <c r="AA11" i="11"/>
  <c r="Z11" i="12"/>
  <c r="Z11" i="13"/>
  <c r="AA11" i="13" s="1"/>
  <c r="Z47" i="12"/>
  <c r="Z47" i="13"/>
  <c r="AA47" i="13" s="1"/>
  <c r="AA47" i="11"/>
  <c r="Z51" i="13"/>
  <c r="AA51" i="13" s="1"/>
  <c r="AA51" i="11"/>
  <c r="Z51" i="12"/>
  <c r="Z34" i="13"/>
  <c r="AA34" i="13" s="1"/>
  <c r="AA34" i="11"/>
  <c r="Z34" i="12"/>
  <c r="AA43" i="11"/>
  <c r="Z43" i="12"/>
  <c r="Z43" i="13"/>
  <c r="AA43" i="13" s="1"/>
  <c r="Z35" i="12"/>
  <c r="AA35" i="11"/>
  <c r="Z35" i="13"/>
  <c r="AA35" i="13" s="1"/>
  <c r="Z8" i="13"/>
  <c r="AA8" i="13" s="1"/>
  <c r="AA8" i="11"/>
  <c r="Z8" i="12"/>
  <c r="Z29" i="12"/>
  <c r="AA29" i="11"/>
  <c r="Z29" i="13"/>
  <c r="AA29" i="13" s="1"/>
  <c r="AA32" i="11"/>
  <c r="Z32" i="12"/>
  <c r="Z32" i="13"/>
  <c r="AA32" i="13" s="1"/>
  <c r="Z14" i="13"/>
  <c r="AA14" i="13" s="1"/>
  <c r="AA14" i="11"/>
  <c r="Z14" i="12"/>
  <c r="N13" i="24"/>
  <c r="N65" i="24" s="1"/>
  <c r="U34" i="13"/>
  <c r="S34" i="24" s="1"/>
  <c r="S86" i="24" s="1"/>
  <c r="U34" i="12"/>
  <c r="U25" i="13"/>
  <c r="U25" i="12"/>
  <c r="S25" i="24" s="1"/>
  <c r="S77" i="24" s="1"/>
  <c r="U9" i="12"/>
  <c r="U9" i="13"/>
  <c r="S9" i="24"/>
  <c r="S61" i="24" s="1"/>
  <c r="U28" i="13"/>
  <c r="U28" i="12"/>
  <c r="S28" i="24"/>
  <c r="S80" i="24" s="1"/>
  <c r="U6" i="12"/>
  <c r="S6" i="24" s="1"/>
  <c r="S58" i="24" s="1"/>
  <c r="U6" i="13"/>
  <c r="U46" i="12"/>
  <c r="U46" i="13"/>
  <c r="S46" i="24"/>
  <c r="S98" i="24" s="1"/>
  <c r="U32" i="12"/>
  <c r="U32" i="13"/>
  <c r="S32" i="24"/>
  <c r="S84" i="24" s="1"/>
  <c r="U38" i="13"/>
  <c r="S38" i="24" s="1"/>
  <c r="S90" i="24" s="1"/>
  <c r="U38" i="12"/>
  <c r="U39" i="13"/>
  <c r="U39" i="12"/>
  <c r="S39" i="24" s="1"/>
  <c r="S91" i="24" s="1"/>
  <c r="U8" i="12"/>
  <c r="U8" i="13"/>
  <c r="S8" i="24"/>
  <c r="S60" i="24" s="1"/>
  <c r="U45" i="13"/>
  <c r="U45" i="12"/>
  <c r="S45" i="24"/>
  <c r="S97" i="24" s="1"/>
  <c r="O37" i="13"/>
  <c r="O37" i="24" s="1"/>
  <c r="O89" i="24" s="1"/>
  <c r="O37" i="12"/>
  <c r="O36" i="12"/>
  <c r="O36" i="24" s="1"/>
  <c r="O88" i="24" s="1"/>
  <c r="O36" i="13"/>
  <c r="O51" i="13"/>
  <c r="O51" i="12"/>
  <c r="O51" i="24"/>
  <c r="O103" i="24" s="1"/>
  <c r="O42" i="12"/>
  <c r="O42" i="13"/>
  <c r="O42" i="24"/>
  <c r="O94" i="24" s="1"/>
  <c r="O35" i="12"/>
  <c r="O35" i="24" s="1"/>
  <c r="O87" i="24" s="1"/>
  <c r="O35" i="13"/>
  <c r="O34" i="13"/>
  <c r="O34" i="12"/>
  <c r="O34" i="24" s="1"/>
  <c r="O86" i="24" s="1"/>
  <c r="O17" i="13"/>
  <c r="O17" i="12"/>
  <c r="O17" i="24"/>
  <c r="O69" i="24" s="1"/>
  <c r="O41" i="12"/>
  <c r="O41" i="13"/>
  <c r="O41" i="24"/>
  <c r="O93" i="24" s="1"/>
  <c r="O50" i="12"/>
  <c r="O50" i="24" s="1"/>
  <c r="O102" i="24" s="1"/>
  <c r="O50" i="13"/>
  <c r="O31" i="12"/>
  <c r="O31" i="24" s="1"/>
  <c r="O83" i="24" s="1"/>
  <c r="O31" i="13"/>
  <c r="O7" i="12"/>
  <c r="O7" i="13"/>
  <c r="O7" i="24"/>
  <c r="O59" i="24" s="1"/>
  <c r="M7" i="24"/>
  <c r="M59" i="24" s="1"/>
  <c r="M24" i="24"/>
  <c r="M76" i="24" s="1"/>
  <c r="M15" i="24"/>
  <c r="M67" i="24" s="1"/>
  <c r="W16" i="13"/>
  <c r="M37" i="24"/>
  <c r="M89" i="24" s="1"/>
  <c r="M11" i="24"/>
  <c r="M63" i="24" s="1"/>
  <c r="T51" i="13"/>
  <c r="W51" i="13" s="1"/>
  <c r="T51" i="12"/>
  <c r="W51" i="11"/>
  <c r="W8" i="11"/>
  <c r="T8" i="12"/>
  <c r="T8" i="13"/>
  <c r="W8" i="13" s="1"/>
  <c r="T23" i="12"/>
  <c r="W23" i="11"/>
  <c r="T23" i="13"/>
  <c r="W23" i="13" s="1"/>
  <c r="W24" i="11"/>
  <c r="T24" i="13"/>
  <c r="W24" i="13" s="1"/>
  <c r="T24" i="12"/>
  <c r="T28" i="12"/>
  <c r="W28" i="11"/>
  <c r="T28" i="13"/>
  <c r="W28" i="13" s="1"/>
  <c r="T20" i="13"/>
  <c r="W20" i="11"/>
  <c r="T20" i="12"/>
  <c r="T38" i="12"/>
  <c r="W38" i="11"/>
  <c r="T38" i="13"/>
  <c r="T5" i="12"/>
  <c r="W5" i="11"/>
  <c r="T5" i="13"/>
  <c r="T53" i="11"/>
  <c r="T48" i="12"/>
  <c r="W48" i="11"/>
  <c r="T48" i="13"/>
  <c r="T43" i="13"/>
  <c r="T43" i="12"/>
  <c r="W43" i="11"/>
  <c r="W6" i="11"/>
  <c r="T6" i="12"/>
  <c r="T6" i="13"/>
  <c r="W6" i="13" s="1"/>
  <c r="P16" i="24"/>
  <c r="P68" i="24" s="1"/>
  <c r="M31" i="24"/>
  <c r="M83" i="24" s="1"/>
  <c r="P29" i="23"/>
  <c r="P98" i="23" s="1"/>
  <c r="P62" i="8"/>
  <c r="P62" i="23" s="1"/>
  <c r="P131" i="23" s="1"/>
  <c r="P31" i="8"/>
  <c r="P31" i="23" s="1"/>
  <c r="P100" i="23" s="1"/>
  <c r="P6" i="8"/>
  <c r="P6" i="23" s="1"/>
  <c r="P75" i="23" s="1"/>
  <c r="P70" i="9"/>
  <c r="P26" i="8"/>
  <c r="P26" i="23" s="1"/>
  <c r="P95" i="23" s="1"/>
  <c r="O67" i="8"/>
  <c r="O67" i="23" s="1"/>
  <c r="O136" i="23" s="1"/>
  <c r="P44" i="8"/>
  <c r="P7" i="8"/>
  <c r="P7" i="23" s="1"/>
  <c r="P76" i="23" s="1"/>
  <c r="P49" i="8"/>
  <c r="P24" i="8"/>
  <c r="P24" i="23" s="1"/>
  <c r="P93" i="23" s="1"/>
  <c r="P68" i="8"/>
  <c r="P68" i="23" s="1"/>
  <c r="P137" i="23" s="1"/>
  <c r="P60" i="8"/>
  <c r="P60" i="23" s="1"/>
  <c r="P129" i="23" s="1"/>
  <c r="J9" i="26"/>
  <c r="P32" i="8"/>
  <c r="P32" i="23" s="1"/>
  <c r="P101" i="23" s="1"/>
  <c r="P65" i="8"/>
  <c r="P65" i="23" s="1"/>
  <c r="P134" i="23" s="1"/>
  <c r="P34" i="8"/>
  <c r="P34" i="23" s="1"/>
  <c r="P103" i="23" s="1"/>
  <c r="P23" i="8"/>
  <c r="P23" i="23" s="1"/>
  <c r="P92" i="23" s="1"/>
  <c r="P17" i="8"/>
  <c r="P17" i="23" s="1"/>
  <c r="P86" i="23" s="1"/>
  <c r="P48" i="8"/>
  <c r="P48" i="23" s="1"/>
  <c r="P117" i="23" s="1"/>
  <c r="P67" i="8"/>
  <c r="P67" i="23" s="1"/>
  <c r="P136" i="23" s="1"/>
  <c r="P55" i="8"/>
  <c r="P55" i="23" s="1"/>
  <c r="P124" i="23" s="1"/>
  <c r="U13" i="25"/>
  <c r="G9" i="26"/>
  <c r="M5" i="9"/>
  <c r="M70" i="9" s="1"/>
  <c r="M70" i="7"/>
  <c r="M75" i="7" s="1"/>
  <c r="M65" i="8" s="1"/>
  <c r="M65" i="23" s="1"/>
  <c r="M134" i="23" s="1"/>
  <c r="AD5" i="9"/>
  <c r="AD70" i="9" s="1"/>
  <c r="AC70" i="9"/>
  <c r="P21" i="8"/>
  <c r="P21" i="23" s="1"/>
  <c r="P90" i="23" s="1"/>
  <c r="P30" i="8"/>
  <c r="P30" i="23" s="1"/>
  <c r="P99" i="23" s="1"/>
  <c r="P50" i="8"/>
  <c r="P50" i="23" s="1"/>
  <c r="P119" i="23" s="1"/>
  <c r="P46" i="8"/>
  <c r="P40" i="8"/>
  <c r="P59" i="8"/>
  <c r="P59" i="23" s="1"/>
  <c r="P128" i="23" s="1"/>
  <c r="P16" i="8"/>
  <c r="P16" i="23" s="1"/>
  <c r="P85" i="23" s="1"/>
  <c r="P39" i="8"/>
  <c r="P63" i="8"/>
  <c r="P63" i="23" s="1"/>
  <c r="P132" i="23" s="1"/>
  <c r="P25" i="8"/>
  <c r="P25" i="23" s="1"/>
  <c r="P94" i="23" s="1"/>
  <c r="P52" i="8"/>
  <c r="P52" i="23" s="1"/>
  <c r="P121" i="23" s="1"/>
  <c r="P5" i="8"/>
  <c r="P33" i="8"/>
  <c r="P33" i="23" s="1"/>
  <c r="P102" i="23" s="1"/>
  <c r="P11" i="8"/>
  <c r="P11" i="23" s="1"/>
  <c r="P80" i="23" s="1"/>
  <c r="P18" i="8"/>
  <c r="P18" i="23" s="1"/>
  <c r="P87" i="23" s="1"/>
  <c r="P53" i="8"/>
  <c r="P53" i="23" s="1"/>
  <c r="P122" i="23" s="1"/>
  <c r="P15" i="8"/>
  <c r="P15" i="23" s="1"/>
  <c r="P84" i="23" s="1"/>
  <c r="P51" i="8"/>
  <c r="P51" i="23" s="1"/>
  <c r="P120" i="23" s="1"/>
  <c r="P47" i="8"/>
  <c r="P47" i="23" s="1"/>
  <c r="P116" i="23" s="1"/>
  <c r="P9" i="8"/>
  <c r="P9" i="23" s="1"/>
  <c r="P78" i="23" s="1"/>
  <c r="P66" i="8"/>
  <c r="P66" i="23" s="1"/>
  <c r="P135" i="23" s="1"/>
  <c r="P35" i="8"/>
  <c r="P35" i="23" s="1"/>
  <c r="P104" i="23" s="1"/>
  <c r="P27" i="8"/>
  <c r="P27" i="23" s="1"/>
  <c r="P96" i="23" s="1"/>
  <c r="P14" i="8"/>
  <c r="P14" i="23" s="1"/>
  <c r="P83" i="23" s="1"/>
  <c r="P28" i="8"/>
  <c r="P28" i="23" s="1"/>
  <c r="P97" i="23" s="1"/>
  <c r="P58" i="8"/>
  <c r="P58" i="23" s="1"/>
  <c r="P127" i="23" s="1"/>
  <c r="P61" i="8"/>
  <c r="P61" i="23" s="1"/>
  <c r="P130" i="23" s="1"/>
  <c r="P36" i="8"/>
  <c r="P36" i="23" s="1"/>
  <c r="P105" i="23" s="1"/>
  <c r="P64" i="8"/>
  <c r="P64" i="23" s="1"/>
  <c r="P133" i="23" s="1"/>
  <c r="P12" i="8"/>
  <c r="P12" i="23" s="1"/>
  <c r="P81" i="23" s="1"/>
  <c r="P45" i="8"/>
  <c r="P42" i="8"/>
  <c r="P42" i="23" s="1"/>
  <c r="P111" i="23" s="1"/>
  <c r="L70" i="9"/>
  <c r="AH70" i="9"/>
  <c r="X65" i="8"/>
  <c r="W65" i="23" s="1"/>
  <c r="W134" i="23" s="1"/>
  <c r="X9" i="8"/>
  <c r="W9" i="23" s="1"/>
  <c r="W78" i="23" s="1"/>
  <c r="X13" i="8"/>
  <c r="W13" i="23" s="1"/>
  <c r="W82" i="23" s="1"/>
  <c r="X41" i="8"/>
  <c r="W41" i="23" s="1"/>
  <c r="W110" i="23" s="1"/>
  <c r="X26" i="8"/>
  <c r="W26" i="23" s="1"/>
  <c r="W95" i="23" s="1"/>
  <c r="X48" i="8"/>
  <c r="W48" i="23" s="1"/>
  <c r="W117" i="23" s="1"/>
  <c r="X60" i="8"/>
  <c r="W60" i="23" s="1"/>
  <c r="W129" i="23" s="1"/>
  <c r="X7" i="8"/>
  <c r="W7" i="23" s="1"/>
  <c r="W76" i="23" s="1"/>
  <c r="X18" i="8"/>
  <c r="W18" i="23" s="1"/>
  <c r="W87" i="23" s="1"/>
  <c r="X54" i="8"/>
  <c r="W54" i="23" s="1"/>
  <c r="W123" i="23" s="1"/>
  <c r="X35" i="8"/>
  <c r="W35" i="23" s="1"/>
  <c r="W104" i="23" s="1"/>
  <c r="X61" i="8"/>
  <c r="W61" i="23" s="1"/>
  <c r="W130" i="23" s="1"/>
  <c r="X21" i="8"/>
  <c r="W21" i="23" s="1"/>
  <c r="W90" i="23" s="1"/>
  <c r="X49" i="8"/>
  <c r="W49" i="23" s="1"/>
  <c r="W118" i="23" s="1"/>
  <c r="X51" i="8"/>
  <c r="W51" i="23" s="1"/>
  <c r="W120" i="23" s="1"/>
  <c r="X67" i="8"/>
  <c r="W67" i="23" s="1"/>
  <c r="W136" i="23" s="1"/>
  <c r="X6" i="8"/>
  <c r="W6" i="23" s="1"/>
  <c r="W75" i="23" s="1"/>
  <c r="X57" i="8"/>
  <c r="W57" i="23" s="1"/>
  <c r="W126" i="23" s="1"/>
  <c r="X23" i="8"/>
  <c r="W23" i="23" s="1"/>
  <c r="W92" i="23" s="1"/>
  <c r="X19" i="8"/>
  <c r="W19" i="23" s="1"/>
  <c r="W88" i="23" s="1"/>
  <c r="X39" i="8"/>
  <c r="W39" i="23" s="1"/>
  <c r="W108" i="23" s="1"/>
  <c r="X24" i="8"/>
  <c r="W24" i="23" s="1"/>
  <c r="W93" i="23" s="1"/>
  <c r="X14" i="8"/>
  <c r="W14" i="23" s="1"/>
  <c r="W83" i="23" s="1"/>
  <c r="X45" i="8"/>
  <c r="W45" i="23" s="1"/>
  <c r="W114" i="23" s="1"/>
  <c r="X46" i="8"/>
  <c r="W46" i="23" s="1"/>
  <c r="W115" i="23" s="1"/>
  <c r="X12" i="8"/>
  <c r="W12" i="23" s="1"/>
  <c r="W81" i="23" s="1"/>
  <c r="X66" i="8"/>
  <c r="W66" i="23" s="1"/>
  <c r="W135" i="23" s="1"/>
  <c r="X59" i="8"/>
  <c r="W59" i="23" s="1"/>
  <c r="W128" i="23" s="1"/>
  <c r="X37" i="8"/>
  <c r="W37" i="23" s="1"/>
  <c r="W106" i="23" s="1"/>
  <c r="X27" i="8"/>
  <c r="W27" i="23" s="1"/>
  <c r="W96" i="23" s="1"/>
  <c r="X34" i="8"/>
  <c r="W34" i="23" s="1"/>
  <c r="W103" i="23" s="1"/>
  <c r="X33" i="8"/>
  <c r="W33" i="23" s="1"/>
  <c r="W102" i="23" s="1"/>
  <c r="X42" i="8"/>
  <c r="W42" i="23" s="1"/>
  <c r="W111" i="23" s="1"/>
  <c r="X25" i="8"/>
  <c r="W25" i="23" s="1"/>
  <c r="W94" i="23" s="1"/>
  <c r="X8" i="8"/>
  <c r="W8" i="23" s="1"/>
  <c r="W77" i="23" s="1"/>
  <c r="X47" i="8"/>
  <c r="W47" i="23" s="1"/>
  <c r="W116" i="23" s="1"/>
  <c r="X64" i="8"/>
  <c r="W64" i="23" s="1"/>
  <c r="W133" i="23" s="1"/>
  <c r="X58" i="8"/>
  <c r="W58" i="23" s="1"/>
  <c r="W127" i="23" s="1"/>
  <c r="X30" i="8"/>
  <c r="W30" i="23" s="1"/>
  <c r="W99" i="23" s="1"/>
  <c r="X29" i="8"/>
  <c r="W29" i="23" s="1"/>
  <c r="W98" i="23" s="1"/>
  <c r="X52" i="8"/>
  <c r="W52" i="23" s="1"/>
  <c r="W121" i="23" s="1"/>
  <c r="X36" i="8"/>
  <c r="W36" i="23" s="1"/>
  <c r="W105" i="23" s="1"/>
  <c r="X44" i="8"/>
  <c r="W44" i="23" s="1"/>
  <c r="W113" i="23" s="1"/>
  <c r="X38" i="8"/>
  <c r="W38" i="23" s="1"/>
  <c r="W107" i="23" s="1"/>
  <c r="X17" i="8"/>
  <c r="W17" i="23" s="1"/>
  <c r="W86" i="23" s="1"/>
  <c r="X15" i="8"/>
  <c r="W15" i="23" s="1"/>
  <c r="W84" i="23" s="1"/>
  <c r="X62" i="8"/>
  <c r="W62" i="23" s="1"/>
  <c r="W131" i="23" s="1"/>
  <c r="X22" i="8"/>
  <c r="W22" i="23" s="1"/>
  <c r="W91" i="23" s="1"/>
  <c r="X63" i="8"/>
  <c r="W63" i="23" s="1"/>
  <c r="W132" i="23" s="1"/>
  <c r="X10" i="8"/>
  <c r="W10" i="23" s="1"/>
  <c r="W79" i="23" s="1"/>
  <c r="X31" i="8"/>
  <c r="W31" i="23" s="1"/>
  <c r="W100" i="23" s="1"/>
  <c r="X32" i="8"/>
  <c r="W32" i="23" s="1"/>
  <c r="W101" i="23" s="1"/>
  <c r="X40" i="8"/>
  <c r="W40" i="23" s="1"/>
  <c r="W109" i="23" s="1"/>
  <c r="X20" i="8"/>
  <c r="W20" i="23" s="1"/>
  <c r="W89" i="23" s="1"/>
  <c r="X5" i="8"/>
  <c r="X50" i="8"/>
  <c r="W50" i="23" s="1"/>
  <c r="W119" i="23" s="1"/>
  <c r="X16" i="8"/>
  <c r="W16" i="23" s="1"/>
  <c r="W85" i="23" s="1"/>
  <c r="X68" i="8"/>
  <c r="W68" i="23" s="1"/>
  <c r="W137" i="23" s="1"/>
  <c r="X55" i="8"/>
  <c r="W55" i="23" s="1"/>
  <c r="W124" i="23" s="1"/>
  <c r="X53" i="8"/>
  <c r="W53" i="23" s="1"/>
  <c r="W122" i="23" s="1"/>
  <c r="X43" i="8"/>
  <c r="W43" i="23" s="1"/>
  <c r="W112" i="23" s="1"/>
  <c r="X28" i="8"/>
  <c r="W28" i="23" s="1"/>
  <c r="W97" i="23" s="1"/>
  <c r="X56" i="8"/>
  <c r="W56" i="23" s="1"/>
  <c r="W125" i="23" s="1"/>
  <c r="X11" i="8"/>
  <c r="W11" i="23" s="1"/>
  <c r="W80" i="23" s="1"/>
  <c r="P20" i="8"/>
  <c r="P20" i="23" s="1"/>
  <c r="P89" i="23" s="1"/>
  <c r="P57" i="8"/>
  <c r="P57" i="23" s="1"/>
  <c r="P126" i="23" s="1"/>
  <c r="L14" i="8"/>
  <c r="L14" i="23" s="1"/>
  <c r="L83" i="23" s="1"/>
  <c r="L50" i="8"/>
  <c r="L50" i="23" s="1"/>
  <c r="L119" i="23" s="1"/>
  <c r="O56" i="8"/>
  <c r="O56" i="23" s="1"/>
  <c r="O125" i="23" s="1"/>
  <c r="AH42" i="8"/>
  <c r="AD42" i="23" s="1"/>
  <c r="AD111" i="23" s="1"/>
  <c r="P10" i="8"/>
  <c r="P10" i="23" s="1"/>
  <c r="P79" i="23" s="1"/>
  <c r="P56" i="8"/>
  <c r="P56" i="23" s="1"/>
  <c r="P125" i="23" s="1"/>
  <c r="O32" i="8"/>
  <c r="O32" i="23" s="1"/>
  <c r="O101" i="23" s="1"/>
  <c r="AC49" i="8"/>
  <c r="AC41" i="8"/>
  <c r="AC12" i="8"/>
  <c r="AC60" i="8"/>
  <c r="AC10" i="8"/>
  <c r="AC29" i="8"/>
  <c r="AC62" i="8"/>
  <c r="AC26" i="8"/>
  <c r="AC59" i="8"/>
  <c r="AC30" i="8"/>
  <c r="AC46" i="8"/>
  <c r="AC34" i="8"/>
  <c r="AC64" i="8"/>
  <c r="AC9" i="8"/>
  <c r="AC37" i="8"/>
  <c r="AC16" i="8"/>
  <c r="AC15" i="8"/>
  <c r="AC67" i="8"/>
  <c r="AC45" i="8"/>
  <c r="AC53" i="8"/>
  <c r="AC17" i="8"/>
  <c r="AC48" i="8"/>
  <c r="AC13" i="8"/>
  <c r="AC42" i="8"/>
  <c r="AC21" i="8"/>
  <c r="AC38" i="8"/>
  <c r="AC24" i="8"/>
  <c r="AC61" i="8"/>
  <c r="AC44" i="8"/>
  <c r="AC55" i="8"/>
  <c r="AC11" i="8"/>
  <c r="AC57" i="8"/>
  <c r="AC50" i="8"/>
  <c r="AC52" i="8"/>
  <c r="AC20" i="8"/>
  <c r="AC28" i="8"/>
  <c r="AC8" i="8"/>
  <c r="AC5" i="8"/>
  <c r="AC6" i="8"/>
  <c r="AC56" i="8"/>
  <c r="AC40" i="8"/>
  <c r="AC22" i="8"/>
  <c r="AC66" i="8"/>
  <c r="AC63" i="8"/>
  <c r="AC7" i="8"/>
  <c r="AC58" i="8"/>
  <c r="AC51" i="8"/>
  <c r="AC19" i="8"/>
  <c r="AC43" i="8"/>
  <c r="AC14" i="8"/>
  <c r="AC23" i="8"/>
  <c r="AC39" i="8"/>
  <c r="AC27" i="8"/>
  <c r="AC68" i="8"/>
  <c r="AC31" i="8"/>
  <c r="AC65" i="8"/>
  <c r="AC36" i="8"/>
  <c r="AC35" i="8"/>
  <c r="AC47" i="8"/>
  <c r="AC25" i="8"/>
  <c r="AC18" i="8"/>
  <c r="AC33" i="8"/>
  <c r="AC54" i="8"/>
  <c r="AC32" i="8"/>
  <c r="L61" i="8"/>
  <c r="L61" i="23" s="1"/>
  <c r="L130" i="23" s="1"/>
  <c r="L7" i="8"/>
  <c r="L7" i="23" s="1"/>
  <c r="L76" i="23" s="1"/>
  <c r="L42" i="8"/>
  <c r="L42" i="23" s="1"/>
  <c r="L111" i="23" s="1"/>
  <c r="L55" i="8"/>
  <c r="L55" i="23" s="1"/>
  <c r="L124" i="23" s="1"/>
  <c r="L34" i="8"/>
  <c r="L34" i="23" s="1"/>
  <c r="L103" i="23" s="1"/>
  <c r="L16" i="8"/>
  <c r="L16" i="23" s="1"/>
  <c r="L85" i="23" s="1"/>
  <c r="L29" i="8"/>
  <c r="L29" i="23" s="1"/>
  <c r="L98" i="23" s="1"/>
  <c r="L39" i="8"/>
  <c r="L39" i="23" s="1"/>
  <c r="L108" i="23" s="1"/>
  <c r="L28" i="8"/>
  <c r="L28" i="23" s="1"/>
  <c r="L97" i="23" s="1"/>
  <c r="L43" i="8"/>
  <c r="L43" i="23" s="1"/>
  <c r="L112" i="23" s="1"/>
  <c r="L11" i="8"/>
  <c r="L11" i="23" s="1"/>
  <c r="L80" i="23" s="1"/>
  <c r="L59" i="8"/>
  <c r="L59" i="23" s="1"/>
  <c r="L128" i="23" s="1"/>
  <c r="L8" i="8"/>
  <c r="L8" i="23" s="1"/>
  <c r="L77" i="23" s="1"/>
  <c r="L32" i="8"/>
  <c r="L32" i="23" s="1"/>
  <c r="L101" i="23" s="1"/>
  <c r="L6" i="8"/>
  <c r="L6" i="23" s="1"/>
  <c r="L75" i="23" s="1"/>
  <c r="L35" i="8"/>
  <c r="L35" i="23" s="1"/>
  <c r="L104" i="23" s="1"/>
  <c r="L10" i="8"/>
  <c r="L10" i="23" s="1"/>
  <c r="L79" i="23" s="1"/>
  <c r="L54" i="8"/>
  <c r="L54" i="23" s="1"/>
  <c r="L123" i="23" s="1"/>
  <c r="L18" i="8"/>
  <c r="L18" i="23" s="1"/>
  <c r="L87" i="23" s="1"/>
  <c r="L12" i="8"/>
  <c r="L12" i="23" s="1"/>
  <c r="L81" i="23" s="1"/>
  <c r="L40" i="8"/>
  <c r="L40" i="23" s="1"/>
  <c r="L109" i="23" s="1"/>
  <c r="L66" i="8"/>
  <c r="L66" i="23" s="1"/>
  <c r="L135" i="23" s="1"/>
  <c r="L26" i="8"/>
  <c r="L26" i="23" s="1"/>
  <c r="L95" i="23" s="1"/>
  <c r="L48" i="8"/>
  <c r="L48" i="23" s="1"/>
  <c r="L117" i="23" s="1"/>
  <c r="L31" i="8"/>
  <c r="L31" i="23" s="1"/>
  <c r="L100" i="23" s="1"/>
  <c r="L58" i="8"/>
  <c r="L58" i="23" s="1"/>
  <c r="L127" i="23" s="1"/>
  <c r="L27" i="8"/>
  <c r="L27" i="23" s="1"/>
  <c r="L96" i="23" s="1"/>
  <c r="L5" i="8"/>
  <c r="L41" i="8"/>
  <c r="L41" i="23" s="1"/>
  <c r="L110" i="23" s="1"/>
  <c r="L9" i="8"/>
  <c r="L9" i="23" s="1"/>
  <c r="L78" i="23" s="1"/>
  <c r="L13" i="8"/>
  <c r="L13" i="23" s="1"/>
  <c r="L82" i="23" s="1"/>
  <c r="L62" i="8"/>
  <c r="L62" i="23" s="1"/>
  <c r="L131" i="23" s="1"/>
  <c r="L21" i="8"/>
  <c r="L21" i="23" s="1"/>
  <c r="L90" i="23" s="1"/>
  <c r="L65" i="8"/>
  <c r="L65" i="23" s="1"/>
  <c r="L134" i="23" s="1"/>
  <c r="L30" i="8"/>
  <c r="L30" i="23" s="1"/>
  <c r="L99" i="23" s="1"/>
  <c r="L63" i="8"/>
  <c r="L63" i="23" s="1"/>
  <c r="L132" i="23" s="1"/>
  <c r="L19" i="8"/>
  <c r="L19" i="23" s="1"/>
  <c r="L88" i="23" s="1"/>
  <c r="L52" i="8"/>
  <c r="L52" i="23" s="1"/>
  <c r="L121" i="23" s="1"/>
  <c r="L47" i="8"/>
  <c r="L47" i="23" s="1"/>
  <c r="L116" i="23" s="1"/>
  <c r="L51" i="8"/>
  <c r="L51" i="23" s="1"/>
  <c r="L120" i="23" s="1"/>
  <c r="L15" i="8"/>
  <c r="L15" i="23" s="1"/>
  <c r="L84" i="23" s="1"/>
  <c r="L36" i="8"/>
  <c r="L36" i="23" s="1"/>
  <c r="L105" i="23" s="1"/>
  <c r="L33" i="8"/>
  <c r="L33" i="23" s="1"/>
  <c r="L102" i="23" s="1"/>
  <c r="L57" i="8"/>
  <c r="L57" i="23" s="1"/>
  <c r="L126" i="23" s="1"/>
  <c r="L49" i="8"/>
  <c r="L49" i="23" s="1"/>
  <c r="L118" i="23" s="1"/>
  <c r="L22" i="8"/>
  <c r="L22" i="23" s="1"/>
  <c r="L91" i="23" s="1"/>
  <c r="L67" i="8"/>
  <c r="L67" i="23" s="1"/>
  <c r="L136" i="23" s="1"/>
  <c r="L20" i="8"/>
  <c r="L20" i="23" s="1"/>
  <c r="L89" i="23" s="1"/>
  <c r="L53" i="8"/>
  <c r="L53" i="23" s="1"/>
  <c r="L122" i="23" s="1"/>
  <c r="L25" i="8"/>
  <c r="L25" i="23" s="1"/>
  <c r="L94" i="23" s="1"/>
  <c r="L56" i="8"/>
  <c r="L56" i="23" s="1"/>
  <c r="L125" i="23" s="1"/>
  <c r="L38" i="8"/>
  <c r="L38" i="23" s="1"/>
  <c r="L107" i="23" s="1"/>
  <c r="AH61" i="8"/>
  <c r="AD61" i="23" s="1"/>
  <c r="AD130" i="23" s="1"/>
  <c r="AH23" i="8"/>
  <c r="AD23" i="23" s="1"/>
  <c r="AD92" i="23" s="1"/>
  <c r="AH39" i="8"/>
  <c r="AD39" i="23" s="1"/>
  <c r="AD108" i="23" s="1"/>
  <c r="AH13" i="8"/>
  <c r="AD13" i="23" s="1"/>
  <c r="AD82" i="23" s="1"/>
  <c r="AH47" i="8"/>
  <c r="AD47" i="23" s="1"/>
  <c r="AD116" i="23" s="1"/>
  <c r="AH6" i="8"/>
  <c r="AD6" i="23" s="1"/>
  <c r="AD75" i="23" s="1"/>
  <c r="AH56" i="8"/>
  <c r="AD56" i="23" s="1"/>
  <c r="AD125" i="23" s="1"/>
  <c r="AH17" i="8"/>
  <c r="AD17" i="23" s="1"/>
  <c r="AD86" i="23" s="1"/>
  <c r="AH62" i="8"/>
  <c r="AD62" i="23" s="1"/>
  <c r="AD131" i="23" s="1"/>
  <c r="AH21" i="8"/>
  <c r="AD21" i="23" s="1"/>
  <c r="AD90" i="23" s="1"/>
  <c r="AH37" i="8"/>
  <c r="AD37" i="23" s="1"/>
  <c r="AD106" i="23" s="1"/>
  <c r="AH12" i="8"/>
  <c r="AD12" i="23" s="1"/>
  <c r="AD81" i="23" s="1"/>
  <c r="AH30" i="8"/>
  <c r="AD30" i="23" s="1"/>
  <c r="AD99" i="23" s="1"/>
  <c r="AH48" i="8"/>
  <c r="AD48" i="23" s="1"/>
  <c r="AD117" i="23" s="1"/>
  <c r="AH10" i="8"/>
  <c r="AD10" i="23" s="1"/>
  <c r="AD79" i="23" s="1"/>
  <c r="AH63" i="8"/>
  <c r="AD63" i="23" s="1"/>
  <c r="AD132" i="23" s="1"/>
  <c r="AH26" i="8"/>
  <c r="AD26" i="23" s="1"/>
  <c r="AD95" i="23" s="1"/>
  <c r="AH58" i="8"/>
  <c r="AD58" i="23" s="1"/>
  <c r="AD127" i="23" s="1"/>
  <c r="AH20" i="8"/>
  <c r="AD20" i="23" s="1"/>
  <c r="AD89" i="23" s="1"/>
  <c r="AH64" i="8"/>
  <c r="AD64" i="23" s="1"/>
  <c r="AD133" i="23" s="1"/>
  <c r="AH27" i="8"/>
  <c r="AD27" i="23" s="1"/>
  <c r="AD96" i="23" s="1"/>
  <c r="AH43" i="8"/>
  <c r="AD43" i="23" s="1"/>
  <c r="AD112" i="23" s="1"/>
  <c r="AH34" i="8"/>
  <c r="AD34" i="23" s="1"/>
  <c r="AD103" i="23" s="1"/>
  <c r="AH40" i="8"/>
  <c r="AD40" i="23" s="1"/>
  <c r="AD109" i="23" s="1"/>
  <c r="AH22" i="8"/>
  <c r="AD22" i="23" s="1"/>
  <c r="AD91" i="23" s="1"/>
  <c r="AH46" i="8"/>
  <c r="AD46" i="23" s="1"/>
  <c r="AD115" i="23" s="1"/>
  <c r="AH35" i="8"/>
  <c r="AD35" i="23" s="1"/>
  <c r="AD104" i="23" s="1"/>
  <c r="AH53" i="8"/>
  <c r="AD53" i="23" s="1"/>
  <c r="AD122" i="23" s="1"/>
  <c r="AH24" i="8"/>
  <c r="AD24" i="23" s="1"/>
  <c r="AD93" i="23" s="1"/>
  <c r="AH51" i="8"/>
  <c r="AD51" i="23" s="1"/>
  <c r="AD120" i="23" s="1"/>
  <c r="AH14" i="8"/>
  <c r="AD14" i="23" s="1"/>
  <c r="AD83" i="23" s="1"/>
  <c r="AH38" i="8"/>
  <c r="AD38" i="23" s="1"/>
  <c r="AD107" i="23" s="1"/>
  <c r="AH5" i="8"/>
  <c r="AH44" i="8"/>
  <c r="AD44" i="23" s="1"/>
  <c r="AD113" i="23" s="1"/>
  <c r="AH18" i="8"/>
  <c r="AD18" i="23" s="1"/>
  <c r="AD87" i="23" s="1"/>
  <c r="AH54" i="8"/>
  <c r="AD54" i="23" s="1"/>
  <c r="AD123" i="23" s="1"/>
  <c r="AH11" i="8"/>
  <c r="AD11" i="23" s="1"/>
  <c r="AD80" i="23" s="1"/>
  <c r="AH45" i="8"/>
  <c r="AD45" i="23" s="1"/>
  <c r="AD114" i="23" s="1"/>
  <c r="AH29" i="8"/>
  <c r="AD29" i="23" s="1"/>
  <c r="AD98" i="23" s="1"/>
  <c r="AH66" i="8"/>
  <c r="AD66" i="23" s="1"/>
  <c r="AD135" i="23" s="1"/>
  <c r="AH15" i="8"/>
  <c r="AD15" i="23" s="1"/>
  <c r="AD84" i="23" s="1"/>
  <c r="AH9" i="8"/>
  <c r="AD9" i="23" s="1"/>
  <c r="AD78" i="23" s="1"/>
  <c r="AH55" i="8"/>
  <c r="AD55" i="23" s="1"/>
  <c r="AD124" i="23" s="1"/>
  <c r="AH25" i="8"/>
  <c r="AD25" i="23" s="1"/>
  <c r="AD94" i="23" s="1"/>
  <c r="AH59" i="8"/>
  <c r="AD59" i="23" s="1"/>
  <c r="AD128" i="23" s="1"/>
  <c r="AH19" i="8"/>
  <c r="AD19" i="23" s="1"/>
  <c r="AD88" i="23" s="1"/>
  <c r="AH67" i="8"/>
  <c r="AD67" i="23" s="1"/>
  <c r="AD136" i="23" s="1"/>
  <c r="AH28" i="8"/>
  <c r="AD28" i="23" s="1"/>
  <c r="AD97" i="23" s="1"/>
  <c r="AH41" i="8"/>
  <c r="AD41" i="23" s="1"/>
  <c r="AD110" i="23" s="1"/>
  <c r="AH33" i="8"/>
  <c r="AD33" i="23" s="1"/>
  <c r="AD102" i="23" s="1"/>
  <c r="AH60" i="8"/>
  <c r="AD60" i="23" s="1"/>
  <c r="AD129" i="23" s="1"/>
  <c r="AH49" i="8"/>
  <c r="AD49" i="23" s="1"/>
  <c r="AD118" i="23" s="1"/>
  <c r="AH36" i="8"/>
  <c r="AD36" i="23" s="1"/>
  <c r="AD105" i="23" s="1"/>
  <c r="AH68" i="8"/>
  <c r="AD68" i="23" s="1"/>
  <c r="AD137" i="23" s="1"/>
  <c r="AH57" i="8"/>
  <c r="AD57" i="23" s="1"/>
  <c r="AD126" i="23" s="1"/>
  <c r="AH16" i="8"/>
  <c r="AD16" i="23" s="1"/>
  <c r="AD85" i="23" s="1"/>
  <c r="AH31" i="8"/>
  <c r="AD31" i="23" s="1"/>
  <c r="AD100" i="23" s="1"/>
  <c r="AH50" i="8"/>
  <c r="AD50" i="23" s="1"/>
  <c r="AD119" i="23" s="1"/>
  <c r="Q65" i="8"/>
  <c r="Q65" i="23" s="1"/>
  <c r="Q134" i="23" s="1"/>
  <c r="Q55" i="8"/>
  <c r="Q55" i="23" s="1"/>
  <c r="Q124" i="23" s="1"/>
  <c r="Q41" i="8"/>
  <c r="Q41" i="23" s="1"/>
  <c r="Q110" i="23" s="1"/>
  <c r="Q9" i="8"/>
  <c r="Q9" i="23" s="1"/>
  <c r="Q78" i="23" s="1"/>
  <c r="Q19" i="8"/>
  <c r="Q19" i="23" s="1"/>
  <c r="Q88" i="23" s="1"/>
  <c r="Q59" i="8"/>
  <c r="Q59" i="23" s="1"/>
  <c r="Q128" i="23" s="1"/>
  <c r="Q45" i="8"/>
  <c r="Q45" i="23" s="1"/>
  <c r="Q114" i="23" s="1"/>
  <c r="Q17" i="8"/>
  <c r="Q17" i="23" s="1"/>
  <c r="Q86" i="23" s="1"/>
  <c r="Q35" i="8"/>
  <c r="Q35" i="23" s="1"/>
  <c r="Q104" i="23" s="1"/>
  <c r="Q40" i="8"/>
  <c r="Q40" i="23" s="1"/>
  <c r="Q109" i="23" s="1"/>
  <c r="Q56" i="8"/>
  <c r="Q56" i="23" s="1"/>
  <c r="Q125" i="23" s="1"/>
  <c r="Q68" i="8"/>
  <c r="Q68" i="23" s="1"/>
  <c r="Q137" i="23" s="1"/>
  <c r="Q31" i="8"/>
  <c r="Q31" i="23" s="1"/>
  <c r="Q100" i="23" s="1"/>
  <c r="Q43" i="8"/>
  <c r="Q43" i="23" s="1"/>
  <c r="Q112" i="23" s="1"/>
  <c r="Q11" i="8"/>
  <c r="Q11" i="23" s="1"/>
  <c r="Q80" i="23" s="1"/>
  <c r="Q28" i="8"/>
  <c r="Q28" i="23" s="1"/>
  <c r="Q97" i="23" s="1"/>
  <c r="Q15" i="8"/>
  <c r="Q15" i="23" s="1"/>
  <c r="Q84" i="23" s="1"/>
  <c r="Q51" i="8"/>
  <c r="Q51" i="23" s="1"/>
  <c r="Q120" i="23" s="1"/>
  <c r="Q20" i="8"/>
  <c r="Q20" i="23" s="1"/>
  <c r="Q89" i="23" s="1"/>
  <c r="Q63" i="8"/>
  <c r="Q63" i="23" s="1"/>
  <c r="Q132" i="23" s="1"/>
  <c r="Q23" i="8"/>
  <c r="Q23" i="23" s="1"/>
  <c r="Q92" i="23" s="1"/>
  <c r="Q42" i="8"/>
  <c r="Q42" i="23" s="1"/>
  <c r="Q111" i="23" s="1"/>
  <c r="Q5" i="8"/>
  <c r="Q61" i="8"/>
  <c r="Q61" i="23" s="1"/>
  <c r="Q130" i="23" s="1"/>
  <c r="Q30" i="8"/>
  <c r="Q30" i="23" s="1"/>
  <c r="Q99" i="23" s="1"/>
  <c r="Q60" i="8"/>
  <c r="Q60" i="23" s="1"/>
  <c r="Q129" i="23" s="1"/>
  <c r="Q39" i="8"/>
  <c r="Q39" i="23" s="1"/>
  <c r="Q108" i="23" s="1"/>
  <c r="Q29" i="8"/>
  <c r="Q29" i="23" s="1"/>
  <c r="Q98" i="23" s="1"/>
  <c r="Q46" i="8"/>
  <c r="Q46" i="23" s="1"/>
  <c r="Q115" i="23" s="1"/>
  <c r="Q54" i="8"/>
  <c r="Q54" i="23" s="1"/>
  <c r="Q123" i="23" s="1"/>
  <c r="Q44" i="8"/>
  <c r="Q44" i="23" s="1"/>
  <c r="Q113" i="23" s="1"/>
  <c r="Q18" i="8"/>
  <c r="Q18" i="23" s="1"/>
  <c r="Q87" i="23" s="1"/>
  <c r="Q12" i="8"/>
  <c r="Q12" i="23" s="1"/>
  <c r="Q81" i="23" s="1"/>
  <c r="Q16" i="8"/>
  <c r="Q16" i="23" s="1"/>
  <c r="Q85" i="23" s="1"/>
  <c r="Q57" i="8"/>
  <c r="Q57" i="23" s="1"/>
  <c r="Q126" i="23" s="1"/>
  <c r="Q38" i="8"/>
  <c r="Q38" i="23" s="1"/>
  <c r="Q107" i="23" s="1"/>
  <c r="Q49" i="8"/>
  <c r="Q49" i="23" s="1"/>
  <c r="Q118" i="23" s="1"/>
  <c r="Q24" i="8"/>
  <c r="Q24" i="23" s="1"/>
  <c r="Q93" i="23" s="1"/>
  <c r="Q50" i="8"/>
  <c r="Q50" i="23" s="1"/>
  <c r="Q119" i="23" s="1"/>
  <c r="Q27" i="8"/>
  <c r="Q27" i="23" s="1"/>
  <c r="Q96" i="23" s="1"/>
  <c r="Q62" i="8"/>
  <c r="Q62" i="23" s="1"/>
  <c r="Q131" i="23" s="1"/>
  <c r="Q22" i="8"/>
  <c r="Q22" i="23" s="1"/>
  <c r="Q91" i="23" s="1"/>
  <c r="Q58" i="8"/>
  <c r="Q58" i="23" s="1"/>
  <c r="Q127" i="23" s="1"/>
  <c r="Q10" i="8"/>
  <c r="Q10" i="23" s="1"/>
  <c r="Q79" i="23" s="1"/>
  <c r="Q67" i="8"/>
  <c r="Q67" i="23" s="1"/>
  <c r="Q136" i="23" s="1"/>
  <c r="Q7" i="8"/>
  <c r="Q7" i="23" s="1"/>
  <c r="Q76" i="23" s="1"/>
  <c r="Q37" i="8"/>
  <c r="Q37" i="23" s="1"/>
  <c r="Q106" i="23" s="1"/>
  <c r="Q32" i="8"/>
  <c r="Q32" i="23" s="1"/>
  <c r="Q101" i="23" s="1"/>
  <c r="Q21" i="8"/>
  <c r="Q21" i="23" s="1"/>
  <c r="Q90" i="23" s="1"/>
  <c r="Q66" i="8"/>
  <c r="Q66" i="23" s="1"/>
  <c r="Q135" i="23" s="1"/>
  <c r="Q6" i="8"/>
  <c r="Q6" i="23" s="1"/>
  <c r="Q75" i="23" s="1"/>
  <c r="Q52" i="8"/>
  <c r="Q52" i="23" s="1"/>
  <c r="Q121" i="23" s="1"/>
  <c r="Q26" i="8"/>
  <c r="Q26" i="23" s="1"/>
  <c r="Q95" i="23" s="1"/>
  <c r="Q53" i="8"/>
  <c r="Q53" i="23" s="1"/>
  <c r="Q122" i="23" s="1"/>
  <c r="Q14" i="8"/>
  <c r="Q14" i="23" s="1"/>
  <c r="Q83" i="23" s="1"/>
  <c r="Q34" i="8"/>
  <c r="Q34" i="23" s="1"/>
  <c r="Q103" i="23" s="1"/>
  <c r="Q36" i="8"/>
  <c r="Q36" i="23" s="1"/>
  <c r="Q105" i="23" s="1"/>
  <c r="Q25" i="8"/>
  <c r="Q25" i="23" s="1"/>
  <c r="Q94" i="23" s="1"/>
  <c r="Q47" i="8"/>
  <c r="Q47" i="23" s="1"/>
  <c r="Q116" i="23" s="1"/>
  <c r="Q13" i="8"/>
  <c r="Q13" i="23" s="1"/>
  <c r="Q82" i="23" s="1"/>
  <c r="Q48" i="8"/>
  <c r="Q48" i="23" s="1"/>
  <c r="Q117" i="23" s="1"/>
  <c r="Q8" i="8"/>
  <c r="Q8" i="23" s="1"/>
  <c r="Q77" i="23" s="1"/>
  <c r="Q64" i="8"/>
  <c r="Q64" i="23" s="1"/>
  <c r="Q133" i="23" s="1"/>
  <c r="Q33" i="8"/>
  <c r="Q33" i="23" s="1"/>
  <c r="Q102" i="23" s="1"/>
  <c r="O9" i="25"/>
  <c r="O11" i="25"/>
  <c r="O7" i="25"/>
  <c r="O13" i="25" s="1"/>
  <c r="L68" i="8"/>
  <c r="L68" i="23" s="1"/>
  <c r="L137" i="23" s="1"/>
  <c r="U39" i="8"/>
  <c r="T39" i="23" s="1"/>
  <c r="T108" i="23" s="1"/>
  <c r="U58" i="8"/>
  <c r="T58" i="23" s="1"/>
  <c r="T127" i="23" s="1"/>
  <c r="U50" i="8"/>
  <c r="T50" i="23" s="1"/>
  <c r="T119" i="23" s="1"/>
  <c r="U14" i="8"/>
  <c r="T14" i="23" s="1"/>
  <c r="T83" i="23" s="1"/>
  <c r="U53" i="8"/>
  <c r="T53" i="23" s="1"/>
  <c r="T122" i="23" s="1"/>
  <c r="U29" i="8"/>
  <c r="T29" i="23" s="1"/>
  <c r="T98" i="23" s="1"/>
  <c r="U7" i="8"/>
  <c r="T7" i="23" s="1"/>
  <c r="T76" i="23" s="1"/>
  <c r="U16" i="8"/>
  <c r="T16" i="23" s="1"/>
  <c r="T85" i="23" s="1"/>
  <c r="U25" i="8"/>
  <c r="T25" i="23" s="1"/>
  <c r="T94" i="23" s="1"/>
  <c r="U46" i="8"/>
  <c r="T46" i="23" s="1"/>
  <c r="T115" i="23" s="1"/>
  <c r="U60" i="8"/>
  <c r="T60" i="23" s="1"/>
  <c r="T129" i="23" s="1"/>
  <c r="U33" i="8"/>
  <c r="T33" i="23" s="1"/>
  <c r="T102" i="23" s="1"/>
  <c r="U43" i="8"/>
  <c r="T43" i="23" s="1"/>
  <c r="T112" i="23" s="1"/>
  <c r="U38" i="8"/>
  <c r="T38" i="23" s="1"/>
  <c r="T107" i="23" s="1"/>
  <c r="U65" i="8"/>
  <c r="T65" i="23" s="1"/>
  <c r="T134" i="23" s="1"/>
  <c r="U51" i="8"/>
  <c r="T51" i="23" s="1"/>
  <c r="T120" i="23" s="1"/>
  <c r="U42" i="8"/>
  <c r="T42" i="23" s="1"/>
  <c r="T111" i="23" s="1"/>
  <c r="U20" i="8"/>
  <c r="T20" i="23" s="1"/>
  <c r="T89" i="23" s="1"/>
  <c r="U59" i="8"/>
  <c r="T59" i="23" s="1"/>
  <c r="T128" i="23" s="1"/>
  <c r="U5" i="8"/>
  <c r="U21" i="8"/>
  <c r="T21" i="23" s="1"/>
  <c r="T90" i="23" s="1"/>
  <c r="U47" i="8"/>
  <c r="T47" i="23" s="1"/>
  <c r="T116" i="23" s="1"/>
  <c r="U15" i="8"/>
  <c r="T15" i="23" s="1"/>
  <c r="T84" i="23" s="1"/>
  <c r="U61" i="8"/>
  <c r="T61" i="23" s="1"/>
  <c r="T130" i="23" s="1"/>
  <c r="U57" i="8"/>
  <c r="T57" i="23" s="1"/>
  <c r="T126" i="23" s="1"/>
  <c r="U11" i="8"/>
  <c r="T11" i="23" s="1"/>
  <c r="T80" i="23" s="1"/>
  <c r="U35" i="8"/>
  <c r="T35" i="23" s="1"/>
  <c r="T104" i="23" s="1"/>
  <c r="U55" i="8"/>
  <c r="T55" i="23" s="1"/>
  <c r="T124" i="23" s="1"/>
  <c r="U34" i="8"/>
  <c r="T34" i="23" s="1"/>
  <c r="T103" i="23" s="1"/>
  <c r="U18" i="8"/>
  <c r="T18" i="23" s="1"/>
  <c r="T87" i="23" s="1"/>
  <c r="U31" i="8"/>
  <c r="T31" i="23" s="1"/>
  <c r="T100" i="23" s="1"/>
  <c r="U32" i="8"/>
  <c r="T32" i="23" s="1"/>
  <c r="T101" i="23" s="1"/>
  <c r="U41" i="8"/>
  <c r="T41" i="23" s="1"/>
  <c r="T110" i="23" s="1"/>
  <c r="U10" i="8"/>
  <c r="T10" i="23" s="1"/>
  <c r="T79" i="23" s="1"/>
  <c r="U64" i="8"/>
  <c r="T64" i="23" s="1"/>
  <c r="T133" i="23" s="1"/>
  <c r="U23" i="8"/>
  <c r="T23" i="23" s="1"/>
  <c r="T92" i="23" s="1"/>
  <c r="U49" i="8"/>
  <c r="T49" i="23" s="1"/>
  <c r="T118" i="23" s="1"/>
  <c r="U37" i="8"/>
  <c r="T37" i="23" s="1"/>
  <c r="T106" i="23" s="1"/>
  <c r="U44" i="8"/>
  <c r="T44" i="23" s="1"/>
  <c r="T113" i="23" s="1"/>
  <c r="U26" i="8"/>
  <c r="T26" i="23" s="1"/>
  <c r="T95" i="23" s="1"/>
  <c r="U27" i="8"/>
  <c r="T27" i="23" s="1"/>
  <c r="T96" i="23" s="1"/>
  <c r="U48" i="8"/>
  <c r="T48" i="23" s="1"/>
  <c r="T117" i="23" s="1"/>
  <c r="U66" i="8"/>
  <c r="T66" i="23" s="1"/>
  <c r="T135" i="23" s="1"/>
  <c r="U36" i="8"/>
  <c r="T36" i="23" s="1"/>
  <c r="T105" i="23" s="1"/>
  <c r="U13" i="8"/>
  <c r="T13" i="23" s="1"/>
  <c r="T82" i="23" s="1"/>
  <c r="U22" i="8"/>
  <c r="T22" i="23" s="1"/>
  <c r="T91" i="23" s="1"/>
  <c r="U56" i="8"/>
  <c r="T56" i="23" s="1"/>
  <c r="T125" i="23" s="1"/>
  <c r="U8" i="8"/>
  <c r="T8" i="23" s="1"/>
  <c r="T77" i="23" s="1"/>
  <c r="U24" i="8"/>
  <c r="T24" i="23" s="1"/>
  <c r="T93" i="23" s="1"/>
  <c r="U68" i="8"/>
  <c r="T68" i="23" s="1"/>
  <c r="T137" i="23" s="1"/>
  <c r="U63" i="8"/>
  <c r="T63" i="23" s="1"/>
  <c r="T132" i="23" s="1"/>
  <c r="U30" i="8"/>
  <c r="T30" i="23" s="1"/>
  <c r="T99" i="23" s="1"/>
  <c r="U62" i="8"/>
  <c r="T62" i="23" s="1"/>
  <c r="T131" i="23" s="1"/>
  <c r="U17" i="8"/>
  <c r="T17" i="23" s="1"/>
  <c r="T86" i="23" s="1"/>
  <c r="U45" i="8"/>
  <c r="T45" i="23" s="1"/>
  <c r="T114" i="23" s="1"/>
  <c r="U12" i="8"/>
  <c r="T12" i="23" s="1"/>
  <c r="T81" i="23" s="1"/>
  <c r="U19" i="8"/>
  <c r="T19" i="23" s="1"/>
  <c r="T88" i="23" s="1"/>
  <c r="U28" i="8"/>
  <c r="T28" i="23" s="1"/>
  <c r="T97" i="23" s="1"/>
  <c r="U52" i="8"/>
  <c r="T52" i="23" s="1"/>
  <c r="T121" i="23" s="1"/>
  <c r="U54" i="8"/>
  <c r="T54" i="23" s="1"/>
  <c r="T123" i="23" s="1"/>
  <c r="U6" i="8"/>
  <c r="T6" i="23" s="1"/>
  <c r="T75" i="23" s="1"/>
  <c r="U67" i="8"/>
  <c r="T67" i="23" s="1"/>
  <c r="T136" i="23" s="1"/>
  <c r="U40" i="8"/>
  <c r="T40" i="23" s="1"/>
  <c r="T109" i="23" s="1"/>
  <c r="U9" i="8"/>
  <c r="T9" i="23" s="1"/>
  <c r="T78" i="23" s="1"/>
  <c r="L24" i="8"/>
  <c r="L24" i="23" s="1"/>
  <c r="L93" i="23" s="1"/>
  <c r="L64" i="8"/>
  <c r="L64" i="23" s="1"/>
  <c r="L133" i="23" s="1"/>
  <c r="M31" i="8"/>
  <c r="M31" i="23" s="1"/>
  <c r="M100" i="23" s="1"/>
  <c r="M50" i="8"/>
  <c r="M50" i="23" s="1"/>
  <c r="M119" i="23" s="1"/>
  <c r="M15" i="8"/>
  <c r="M15" i="23" s="1"/>
  <c r="M84" i="23" s="1"/>
  <c r="M67" i="8"/>
  <c r="M67" i="23" s="1"/>
  <c r="M136" i="23" s="1"/>
  <c r="M44" i="8"/>
  <c r="M44" i="23" s="1"/>
  <c r="M113" i="23" s="1"/>
  <c r="M63" i="8"/>
  <c r="M63" i="23" s="1"/>
  <c r="M132" i="23" s="1"/>
  <c r="AD70" i="7"/>
  <c r="P11" i="25"/>
  <c r="P7" i="25"/>
  <c r="P9" i="25"/>
  <c r="P49" i="23"/>
  <c r="P118" i="23" s="1"/>
  <c r="W56" i="8"/>
  <c r="V56" i="23" s="1"/>
  <c r="V125" i="23" s="1"/>
  <c r="W34" i="8"/>
  <c r="V34" i="23" s="1"/>
  <c r="V103" i="23" s="1"/>
  <c r="W18" i="8"/>
  <c r="V18" i="23" s="1"/>
  <c r="V87" i="23" s="1"/>
  <c r="W40" i="8"/>
  <c r="V40" i="23" s="1"/>
  <c r="V109" i="23" s="1"/>
  <c r="W54" i="8"/>
  <c r="V54" i="23" s="1"/>
  <c r="V123" i="23" s="1"/>
  <c r="W50" i="8"/>
  <c r="V50" i="23" s="1"/>
  <c r="V119" i="23" s="1"/>
  <c r="W12" i="8"/>
  <c r="V12" i="23" s="1"/>
  <c r="V81" i="23" s="1"/>
  <c r="W27" i="8"/>
  <c r="V27" i="23" s="1"/>
  <c r="V96" i="23" s="1"/>
  <c r="W43" i="8"/>
  <c r="V43" i="23" s="1"/>
  <c r="V112" i="23" s="1"/>
  <c r="W30" i="8"/>
  <c r="V30" i="23" s="1"/>
  <c r="V99" i="23" s="1"/>
  <c r="W25" i="8"/>
  <c r="V25" i="23" s="1"/>
  <c r="V94" i="23" s="1"/>
  <c r="W53" i="8"/>
  <c r="V53" i="23" s="1"/>
  <c r="V122" i="23" s="1"/>
  <c r="W31" i="8"/>
  <c r="V31" i="23" s="1"/>
  <c r="V100" i="23" s="1"/>
  <c r="W49" i="8"/>
  <c r="V49" i="23" s="1"/>
  <c r="V118" i="23" s="1"/>
  <c r="W20" i="8"/>
  <c r="V20" i="23" s="1"/>
  <c r="V89" i="23" s="1"/>
  <c r="W46" i="8"/>
  <c r="V46" i="23" s="1"/>
  <c r="V115" i="23" s="1"/>
  <c r="W17" i="8"/>
  <c r="V17" i="23" s="1"/>
  <c r="V86" i="23" s="1"/>
  <c r="W26" i="8"/>
  <c r="V26" i="23" s="1"/>
  <c r="V95" i="23" s="1"/>
  <c r="W67" i="8"/>
  <c r="V67" i="23" s="1"/>
  <c r="V136" i="23" s="1"/>
  <c r="W8" i="8"/>
  <c r="V8" i="23" s="1"/>
  <c r="V77" i="23" s="1"/>
  <c r="W62" i="8"/>
  <c r="V62" i="23" s="1"/>
  <c r="V131" i="23" s="1"/>
  <c r="W15" i="8"/>
  <c r="V15" i="23" s="1"/>
  <c r="V84" i="23" s="1"/>
  <c r="W65" i="8"/>
  <c r="V65" i="23" s="1"/>
  <c r="V134" i="23" s="1"/>
  <c r="W10" i="8"/>
  <c r="V10" i="23" s="1"/>
  <c r="V79" i="23" s="1"/>
  <c r="W52" i="8"/>
  <c r="V52" i="23" s="1"/>
  <c r="V121" i="23" s="1"/>
  <c r="W23" i="8"/>
  <c r="V23" i="23" s="1"/>
  <c r="V92" i="23" s="1"/>
  <c r="W42" i="8"/>
  <c r="V42" i="23" s="1"/>
  <c r="V111" i="23" s="1"/>
  <c r="W66" i="8"/>
  <c r="V66" i="23" s="1"/>
  <c r="V135" i="23" s="1"/>
  <c r="W21" i="8"/>
  <c r="V21" i="23" s="1"/>
  <c r="V90" i="23" s="1"/>
  <c r="W36" i="8"/>
  <c r="V36" i="23" s="1"/>
  <c r="V105" i="23" s="1"/>
  <c r="W7" i="8"/>
  <c r="V7" i="23" s="1"/>
  <c r="V76" i="23" s="1"/>
  <c r="W37" i="8"/>
  <c r="V37" i="23" s="1"/>
  <c r="V106" i="23" s="1"/>
  <c r="W35" i="8"/>
  <c r="V35" i="23" s="1"/>
  <c r="V104" i="23" s="1"/>
  <c r="W24" i="8"/>
  <c r="V24" i="23" s="1"/>
  <c r="V93" i="23" s="1"/>
  <c r="W64" i="8"/>
  <c r="V64" i="23" s="1"/>
  <c r="V133" i="23" s="1"/>
  <c r="W59" i="8"/>
  <c r="V59" i="23" s="1"/>
  <c r="V128" i="23" s="1"/>
  <c r="W45" i="8"/>
  <c r="V45" i="23" s="1"/>
  <c r="V114" i="23" s="1"/>
  <c r="W63" i="8"/>
  <c r="V63" i="23" s="1"/>
  <c r="V132" i="23" s="1"/>
  <c r="W28" i="8"/>
  <c r="V28" i="23" s="1"/>
  <c r="V97" i="23" s="1"/>
  <c r="W38" i="8"/>
  <c r="V38" i="23" s="1"/>
  <c r="V107" i="23" s="1"/>
  <c r="W5" i="8"/>
  <c r="W60" i="8"/>
  <c r="V60" i="23" s="1"/>
  <c r="V129" i="23" s="1"/>
  <c r="W48" i="8"/>
  <c r="V48" i="23" s="1"/>
  <c r="V117" i="23" s="1"/>
  <c r="W51" i="8"/>
  <c r="V51" i="23" s="1"/>
  <c r="V120" i="23" s="1"/>
  <c r="W16" i="8"/>
  <c r="V16" i="23" s="1"/>
  <c r="V85" i="23" s="1"/>
  <c r="W55" i="8"/>
  <c r="V55" i="23" s="1"/>
  <c r="V124" i="23" s="1"/>
  <c r="W13" i="8"/>
  <c r="V13" i="23" s="1"/>
  <c r="V82" i="23" s="1"/>
  <c r="W39" i="8"/>
  <c r="V39" i="23" s="1"/>
  <c r="V108" i="23" s="1"/>
  <c r="W41" i="8"/>
  <c r="V41" i="23" s="1"/>
  <c r="V110" i="23" s="1"/>
  <c r="W29" i="8"/>
  <c r="V29" i="23" s="1"/>
  <c r="V98" i="23" s="1"/>
  <c r="W61" i="8"/>
  <c r="V61" i="23" s="1"/>
  <c r="V130" i="23" s="1"/>
  <c r="W58" i="8"/>
  <c r="V58" i="23" s="1"/>
  <c r="V127" i="23" s="1"/>
  <c r="W32" i="8"/>
  <c r="V32" i="23" s="1"/>
  <c r="V101" i="23" s="1"/>
  <c r="W14" i="8"/>
  <c r="V14" i="23" s="1"/>
  <c r="V83" i="23" s="1"/>
  <c r="W57" i="8"/>
  <c r="V57" i="23" s="1"/>
  <c r="V126" i="23" s="1"/>
  <c r="W11" i="8"/>
  <c r="V11" i="23" s="1"/>
  <c r="V80" i="23" s="1"/>
  <c r="W22" i="8"/>
  <c r="V22" i="23" s="1"/>
  <c r="V91" i="23" s="1"/>
  <c r="W44" i="8"/>
  <c r="V44" i="23" s="1"/>
  <c r="V113" i="23" s="1"/>
  <c r="W33" i="8"/>
  <c r="V33" i="23" s="1"/>
  <c r="V102" i="23" s="1"/>
  <c r="W6" i="8"/>
  <c r="V6" i="23" s="1"/>
  <c r="V75" i="23" s="1"/>
  <c r="W9" i="8"/>
  <c r="V9" i="23" s="1"/>
  <c r="V78" i="23" s="1"/>
  <c r="AH65" i="8"/>
  <c r="AD65" i="23" s="1"/>
  <c r="AD134" i="23" s="1"/>
  <c r="R75" i="7"/>
  <c r="S75" i="7"/>
  <c r="Y56" i="9"/>
  <c r="Y66" i="9"/>
  <c r="Y50" i="9"/>
  <c r="Y13" i="9"/>
  <c r="Y20" i="9"/>
  <c r="Y6" i="9"/>
  <c r="Y58" i="9"/>
  <c r="Y21" i="9"/>
  <c r="Y54" i="9"/>
  <c r="Y40" i="9"/>
  <c r="Y49" i="9"/>
  <c r="Y46" i="9"/>
  <c r="Y39" i="9"/>
  <c r="Y30" i="9"/>
  <c r="Y10" i="9"/>
  <c r="Y52" i="9"/>
  <c r="Y33" i="9"/>
  <c r="Y26" i="9"/>
  <c r="Y25" i="9"/>
  <c r="Y11" i="9"/>
  <c r="Y63" i="9"/>
  <c r="Y18" i="9"/>
  <c r="Y29" i="9"/>
  <c r="Y45" i="9"/>
  <c r="Y36" i="9"/>
  <c r="Y61" i="9"/>
  <c r="Y24" i="9"/>
  <c r="Y42" i="9"/>
  <c r="Y37" i="9"/>
  <c r="Y28" i="9"/>
  <c r="Y65" i="9"/>
  <c r="Y7" i="9"/>
  <c r="Y44" i="9"/>
  <c r="Y68" i="9"/>
  <c r="Y23" i="9"/>
  <c r="Y41" i="9"/>
  <c r="Y32" i="9"/>
  <c r="Y57" i="9"/>
  <c r="Y48" i="9"/>
  <c r="Y19" i="9"/>
  <c r="Y53" i="9"/>
  <c r="Y16" i="9"/>
  <c r="Y31" i="9"/>
  <c r="Y22" i="9"/>
  <c r="Y67" i="9"/>
  <c r="Y17" i="9"/>
  <c r="Y35" i="9"/>
  <c r="Y9" i="9"/>
  <c r="Y43" i="9"/>
  <c r="Y34" i="9"/>
  <c r="Y51" i="9"/>
  <c r="Y8" i="9"/>
  <c r="Y47" i="9"/>
  <c r="Y38" i="9"/>
  <c r="Y27" i="9"/>
  <c r="Y14" i="9"/>
  <c r="Y62" i="9"/>
  <c r="Y59" i="9"/>
  <c r="Y60" i="9"/>
  <c r="Y15" i="9"/>
  <c r="Y5" i="9"/>
  <c r="Y64" i="9"/>
  <c r="Y12" i="9"/>
  <c r="Y55" i="9"/>
  <c r="L60" i="8"/>
  <c r="L60" i="23" s="1"/>
  <c r="L129" i="23" s="1"/>
  <c r="O9" i="8"/>
  <c r="O9" i="23" s="1"/>
  <c r="O78" i="23" s="1"/>
  <c r="O70" i="9"/>
  <c r="P43" i="8"/>
  <c r="P13" i="8"/>
  <c r="P13" i="23" s="1"/>
  <c r="P82" i="23" s="1"/>
  <c r="W47" i="8"/>
  <c r="V47" i="23" s="1"/>
  <c r="V116" i="23" s="1"/>
  <c r="W19" i="8"/>
  <c r="V19" i="23" s="1"/>
  <c r="V88" i="23" s="1"/>
  <c r="AH52" i="8"/>
  <c r="AD52" i="23" s="1"/>
  <c r="AD121" i="23" s="1"/>
  <c r="Y30" i="8"/>
  <c r="Y7" i="8"/>
  <c r="Y33" i="8"/>
  <c r="X33" i="23" s="1"/>
  <c r="X102" i="23" s="1"/>
  <c r="Y52" i="8"/>
  <c r="X52" i="23" s="1"/>
  <c r="X121" i="23" s="1"/>
  <c r="Y34" i="8"/>
  <c r="Y8" i="8"/>
  <c r="Y18" i="8"/>
  <c r="X18" i="23" s="1"/>
  <c r="X87" i="23" s="1"/>
  <c r="Y29" i="8"/>
  <c r="Y47" i="8"/>
  <c r="X47" i="23" s="1"/>
  <c r="X116" i="23" s="1"/>
  <c r="Y24" i="8"/>
  <c r="Y49" i="8"/>
  <c r="X49" i="23" s="1"/>
  <c r="X118" i="23" s="1"/>
  <c r="Y57" i="8"/>
  <c r="Y35" i="8"/>
  <c r="Y56" i="8"/>
  <c r="X56" i="23" s="1"/>
  <c r="X125" i="23" s="1"/>
  <c r="Y14" i="8"/>
  <c r="Y42" i="8"/>
  <c r="X42" i="23" s="1"/>
  <c r="X111" i="23" s="1"/>
  <c r="Y44" i="8"/>
  <c r="X44" i="23" s="1"/>
  <c r="X113" i="23" s="1"/>
  <c r="Y26" i="8"/>
  <c r="X26" i="23" s="1"/>
  <c r="X95" i="23" s="1"/>
  <c r="Y9" i="8"/>
  <c r="Y11" i="8"/>
  <c r="X11" i="23" s="1"/>
  <c r="X80" i="23" s="1"/>
  <c r="Y20" i="8"/>
  <c r="X20" i="23" s="1"/>
  <c r="X89" i="23" s="1"/>
  <c r="Y38" i="8"/>
  <c r="X38" i="23" s="1"/>
  <c r="X107" i="23" s="1"/>
  <c r="Y62" i="8"/>
  <c r="X62" i="23" s="1"/>
  <c r="X131" i="23" s="1"/>
  <c r="Y58" i="8"/>
  <c r="Y31" i="8"/>
  <c r="Y48" i="8"/>
  <c r="Y5" i="8"/>
  <c r="Y64" i="8"/>
  <c r="Y12" i="8"/>
  <c r="Y19" i="8"/>
  <c r="Y54" i="8"/>
  <c r="X54" i="23" s="1"/>
  <c r="X123" i="23" s="1"/>
  <c r="Y40" i="8"/>
  <c r="Y67" i="8"/>
  <c r="X67" i="23" s="1"/>
  <c r="X136" i="23" s="1"/>
  <c r="Y17" i="8"/>
  <c r="X17" i="23" s="1"/>
  <c r="X86" i="23" s="1"/>
  <c r="Y6" i="8"/>
  <c r="Y65" i="8"/>
  <c r="Y13" i="8"/>
  <c r="Y43" i="8"/>
  <c r="X43" i="23" s="1"/>
  <c r="X112" i="23" s="1"/>
  <c r="Y32" i="8"/>
  <c r="X32" i="23" s="1"/>
  <c r="X101" i="23" s="1"/>
  <c r="Y61" i="8"/>
  <c r="Y21" i="8"/>
  <c r="Y46" i="8"/>
  <c r="Y55" i="8"/>
  <c r="Y10" i="8"/>
  <c r="Y45" i="8"/>
  <c r="Y36" i="8"/>
  <c r="X36" i="23" s="1"/>
  <c r="X105" i="23" s="1"/>
  <c r="Y60" i="8"/>
  <c r="X60" i="23" s="1"/>
  <c r="X129" i="23" s="1"/>
  <c r="Y15" i="8"/>
  <c r="X15" i="23" s="1"/>
  <c r="X84" i="23" s="1"/>
  <c r="Y23" i="8"/>
  <c r="Y50" i="8"/>
  <c r="Y68" i="8"/>
  <c r="X68" i="23" s="1"/>
  <c r="X137" i="23" s="1"/>
  <c r="Y51" i="8"/>
  <c r="Y25" i="8"/>
  <c r="Y41" i="8"/>
  <c r="Y63" i="8"/>
  <c r="X63" i="23" s="1"/>
  <c r="X132" i="23" s="1"/>
  <c r="Y59" i="8"/>
  <c r="Y22" i="8"/>
  <c r="Y37" i="8"/>
  <c r="X37" i="23" s="1"/>
  <c r="X106" i="23" s="1"/>
  <c r="Y28" i="8"/>
  <c r="X28" i="23" s="1"/>
  <c r="X97" i="23" s="1"/>
  <c r="Y53" i="8"/>
  <c r="Y16" i="8"/>
  <c r="Y39" i="8"/>
  <c r="X39" i="23" s="1"/>
  <c r="X108" i="23" s="1"/>
  <c r="Y27" i="8"/>
  <c r="X27" i="23" s="1"/>
  <c r="X96" i="23" s="1"/>
  <c r="Y66" i="8"/>
  <c r="M64" i="8"/>
  <c r="M64" i="23" s="1"/>
  <c r="M133" i="23" s="1"/>
  <c r="M12" i="8"/>
  <c r="M12" i="23" s="1"/>
  <c r="M81" i="23" s="1"/>
  <c r="M46" i="8"/>
  <c r="M46" i="23" s="1"/>
  <c r="M115" i="23" s="1"/>
  <c r="M62" i="8"/>
  <c r="M62" i="23" s="1"/>
  <c r="M131" i="23" s="1"/>
  <c r="M36" i="8"/>
  <c r="M36" i="23" s="1"/>
  <c r="M105" i="23" s="1"/>
  <c r="V15" i="7"/>
  <c r="V34" i="7"/>
  <c r="V26" i="7"/>
  <c r="V13" i="7"/>
  <c r="V19" i="7"/>
  <c r="V37" i="7"/>
  <c r="V29" i="7"/>
  <c r="V17" i="7"/>
  <c r="V44" i="7"/>
  <c r="V66" i="7"/>
  <c r="V64" i="7"/>
  <c r="V63" i="7"/>
  <c r="V40" i="7"/>
  <c r="V67" i="7"/>
  <c r="V65" i="7"/>
  <c r="V55" i="7"/>
  <c r="V42" i="7"/>
  <c r="V10" i="7"/>
  <c r="V32" i="7"/>
  <c r="V24" i="7"/>
  <c r="V8" i="7"/>
  <c r="V14" i="7"/>
  <c r="V35" i="7"/>
  <c r="V27" i="7"/>
  <c r="V12" i="7"/>
  <c r="V60" i="7"/>
  <c r="V43" i="7"/>
  <c r="V53" i="7"/>
  <c r="V57" i="7"/>
  <c r="V61" i="7"/>
  <c r="V39" i="7"/>
  <c r="V41" i="7"/>
  <c r="V23" i="7"/>
  <c r="V7" i="7"/>
  <c r="V30" i="7"/>
  <c r="V21" i="7"/>
  <c r="V5" i="7"/>
  <c r="V11" i="7"/>
  <c r="V33" i="7"/>
  <c r="V25" i="7"/>
  <c r="V9" i="7"/>
  <c r="V49" i="7"/>
  <c r="V59" i="7"/>
  <c r="V50" i="7"/>
  <c r="V52" i="7"/>
  <c r="V58" i="7"/>
  <c r="V56" i="7"/>
  <c r="V62" i="7"/>
  <c r="V18" i="7"/>
  <c r="V36" i="7"/>
  <c r="V28" i="7"/>
  <c r="V16" i="7"/>
  <c r="V22" i="7"/>
  <c r="V6" i="7"/>
  <c r="V31" i="7"/>
  <c r="V20" i="7"/>
  <c r="V54" i="7"/>
  <c r="V46" i="7"/>
  <c r="V48" i="7"/>
  <c r="V47" i="7"/>
  <c r="V68" i="7"/>
  <c r="V51" i="7"/>
  <c r="V45" i="7"/>
  <c r="V38" i="7"/>
  <c r="P13" i="25"/>
  <c r="L44" i="8"/>
  <c r="L44" i="23" s="1"/>
  <c r="L113" i="23" s="1"/>
  <c r="AH32" i="8"/>
  <c r="AD32" i="23" s="1"/>
  <c r="AD101" i="23" s="1"/>
  <c r="L23" i="8"/>
  <c r="L23" i="23" s="1"/>
  <c r="L92" i="23" s="1"/>
  <c r="O43" i="8"/>
  <c r="O43" i="23" s="1"/>
  <c r="O112" i="23" s="1"/>
  <c r="O25" i="8"/>
  <c r="O25" i="23" s="1"/>
  <c r="O94" i="23" s="1"/>
  <c r="O24" i="8"/>
  <c r="O24" i="23" s="1"/>
  <c r="O93" i="23" s="1"/>
  <c r="O41" i="8"/>
  <c r="O41" i="23" s="1"/>
  <c r="O110" i="23" s="1"/>
  <c r="O23" i="8"/>
  <c r="O23" i="23" s="1"/>
  <c r="O92" i="23" s="1"/>
  <c r="O64" i="8"/>
  <c r="O64" i="23" s="1"/>
  <c r="O133" i="23" s="1"/>
  <c r="O27" i="8"/>
  <c r="O27" i="23" s="1"/>
  <c r="O96" i="23" s="1"/>
  <c r="O39" i="8"/>
  <c r="O39" i="23" s="1"/>
  <c r="O108" i="23" s="1"/>
  <c r="O6" i="8"/>
  <c r="O6" i="23" s="1"/>
  <c r="O75" i="23" s="1"/>
  <c r="O29" i="8"/>
  <c r="O29" i="23" s="1"/>
  <c r="O98" i="23" s="1"/>
  <c r="O61" i="8"/>
  <c r="O61" i="23" s="1"/>
  <c r="O130" i="23" s="1"/>
  <c r="O68" i="8"/>
  <c r="O68" i="23" s="1"/>
  <c r="O137" i="23" s="1"/>
  <c r="O12" i="8"/>
  <c r="O12" i="23" s="1"/>
  <c r="O81" i="23" s="1"/>
  <c r="O51" i="8"/>
  <c r="O51" i="23" s="1"/>
  <c r="O120" i="23" s="1"/>
  <c r="O17" i="8"/>
  <c r="O17" i="23" s="1"/>
  <c r="O86" i="23" s="1"/>
  <c r="O42" i="8"/>
  <c r="O42" i="23" s="1"/>
  <c r="O111" i="23" s="1"/>
  <c r="O31" i="8"/>
  <c r="O31" i="23" s="1"/>
  <c r="O100" i="23" s="1"/>
  <c r="O52" i="8"/>
  <c r="O52" i="23" s="1"/>
  <c r="O121" i="23" s="1"/>
  <c r="O22" i="8"/>
  <c r="O22" i="23" s="1"/>
  <c r="O91" i="23" s="1"/>
  <c r="O5" i="8"/>
  <c r="O15" i="8"/>
  <c r="O15" i="23" s="1"/>
  <c r="O84" i="23" s="1"/>
  <c r="O57" i="8"/>
  <c r="O57" i="23" s="1"/>
  <c r="O126" i="23" s="1"/>
  <c r="O20" i="8"/>
  <c r="O20" i="23" s="1"/>
  <c r="O89" i="23" s="1"/>
  <c r="O18" i="8"/>
  <c r="O18" i="23" s="1"/>
  <c r="O87" i="23" s="1"/>
  <c r="O60" i="8"/>
  <c r="O60" i="23" s="1"/>
  <c r="O129" i="23" s="1"/>
  <c r="O49" i="8"/>
  <c r="O49" i="23" s="1"/>
  <c r="O118" i="23" s="1"/>
  <c r="O34" i="8"/>
  <c r="O34" i="23" s="1"/>
  <c r="O103" i="23" s="1"/>
  <c r="O50" i="8"/>
  <c r="O50" i="23" s="1"/>
  <c r="O119" i="23" s="1"/>
  <c r="O36" i="8"/>
  <c r="O36" i="23" s="1"/>
  <c r="O105" i="23" s="1"/>
  <c r="O55" i="8"/>
  <c r="O55" i="23" s="1"/>
  <c r="O124" i="23" s="1"/>
  <c r="O33" i="8"/>
  <c r="O33" i="23" s="1"/>
  <c r="O102" i="23" s="1"/>
  <c r="O11" i="8"/>
  <c r="O11" i="23" s="1"/>
  <c r="O80" i="23" s="1"/>
  <c r="O30" i="8"/>
  <c r="O30" i="23" s="1"/>
  <c r="O99" i="23" s="1"/>
  <c r="O63" i="8"/>
  <c r="O63" i="23" s="1"/>
  <c r="O132" i="23" s="1"/>
  <c r="O26" i="8"/>
  <c r="O26" i="23" s="1"/>
  <c r="O95" i="23" s="1"/>
  <c r="O65" i="8"/>
  <c r="O65" i="23" s="1"/>
  <c r="O134" i="23" s="1"/>
  <c r="O7" i="8"/>
  <c r="O7" i="23" s="1"/>
  <c r="O76" i="23" s="1"/>
  <c r="O28" i="8"/>
  <c r="O28" i="23" s="1"/>
  <c r="O97" i="23" s="1"/>
  <c r="O40" i="8"/>
  <c r="O40" i="23" s="1"/>
  <c r="O109" i="23" s="1"/>
  <c r="O38" i="8"/>
  <c r="O38" i="23" s="1"/>
  <c r="O107" i="23" s="1"/>
  <c r="O13" i="8"/>
  <c r="O13" i="23" s="1"/>
  <c r="O82" i="23" s="1"/>
  <c r="O59" i="8"/>
  <c r="O59" i="23" s="1"/>
  <c r="O128" i="23" s="1"/>
  <c r="O16" i="8"/>
  <c r="O16" i="23" s="1"/>
  <c r="O85" i="23" s="1"/>
  <c r="O47" i="8"/>
  <c r="O47" i="23" s="1"/>
  <c r="O116" i="23" s="1"/>
  <c r="O10" i="8"/>
  <c r="O10" i="23" s="1"/>
  <c r="O79" i="23" s="1"/>
  <c r="O62" i="8"/>
  <c r="O62" i="23" s="1"/>
  <c r="O131" i="23" s="1"/>
  <c r="O44" i="8"/>
  <c r="O44" i="23" s="1"/>
  <c r="O113" i="23" s="1"/>
  <c r="O14" i="8"/>
  <c r="O14" i="23" s="1"/>
  <c r="O83" i="23" s="1"/>
  <c r="O58" i="8"/>
  <c r="O58" i="23" s="1"/>
  <c r="O127" i="23" s="1"/>
  <c r="O21" i="8"/>
  <c r="O21" i="23" s="1"/>
  <c r="O90" i="23" s="1"/>
  <c r="O19" i="8"/>
  <c r="O19" i="23" s="1"/>
  <c r="O88" i="23" s="1"/>
  <c r="O53" i="8"/>
  <c r="O53" i="23" s="1"/>
  <c r="O122" i="23" s="1"/>
  <c r="O66" i="8"/>
  <c r="O66" i="23" s="1"/>
  <c r="O135" i="23" s="1"/>
  <c r="O35" i="8"/>
  <c r="O35" i="23" s="1"/>
  <c r="O104" i="23" s="1"/>
  <c r="O46" i="8"/>
  <c r="O46" i="23" s="1"/>
  <c r="O115" i="23" s="1"/>
  <c r="O37" i="8"/>
  <c r="O37" i="23" s="1"/>
  <c r="O106" i="23" s="1"/>
  <c r="O45" i="8"/>
  <c r="O45" i="23" s="1"/>
  <c r="O114" i="23" s="1"/>
  <c r="O54" i="8"/>
  <c r="O54" i="23" s="1"/>
  <c r="O123" i="23" s="1"/>
  <c r="P41" i="8"/>
  <c r="P8" i="8"/>
  <c r="P8" i="23" s="1"/>
  <c r="P77" i="23" s="1"/>
  <c r="O8" i="8"/>
  <c r="O8" i="23" s="1"/>
  <c r="O77" i="23" s="1"/>
  <c r="W68" i="8"/>
  <c r="V68" i="23" s="1"/>
  <c r="V137" i="23" s="1"/>
  <c r="AH8" i="8"/>
  <c r="AD8" i="23" s="1"/>
  <c r="AD77" i="23" s="1"/>
  <c r="P37" i="8"/>
  <c r="P37" i="23" s="1"/>
  <c r="P106" i="23" s="1"/>
  <c r="P19" i="8"/>
  <c r="P19" i="23" s="1"/>
  <c r="P88" i="23" s="1"/>
  <c r="P38" i="8"/>
  <c r="P22" i="8"/>
  <c r="P22" i="23" s="1"/>
  <c r="P91" i="23" s="1"/>
  <c r="L45" i="8"/>
  <c r="L45" i="23" s="1"/>
  <c r="L114" i="23" s="1"/>
  <c r="L17" i="8"/>
  <c r="L17" i="23" s="1"/>
  <c r="L86" i="23" s="1"/>
  <c r="L46" i="8"/>
  <c r="L46" i="23" s="1"/>
  <c r="L115" i="23" s="1"/>
  <c r="J7" i="26"/>
  <c r="J13" i="26" s="1"/>
  <c r="F11" i="26"/>
  <c r="F9" i="26"/>
  <c r="U15" i="25"/>
  <c r="U14" i="25"/>
  <c r="G11" i="26"/>
  <c r="G7" i="26"/>
  <c r="G13" i="26" s="1"/>
  <c r="AE72" i="9"/>
  <c r="AE72" i="8"/>
  <c r="AO71" i="8" s="1"/>
  <c r="AE72" i="7"/>
  <c r="AM75" i="6"/>
  <c r="AM73" i="9"/>
  <c r="AM73" i="8"/>
  <c r="AM73" i="7"/>
  <c r="L15" i="12"/>
  <c r="Q15" i="12" s="1"/>
  <c r="AB15" i="12" s="1"/>
  <c r="L15" i="13"/>
  <c r="Q15" i="13" s="1"/>
  <c r="AB15" i="13" s="1"/>
  <c r="Q15" i="11"/>
  <c r="AB15" i="11" s="1"/>
  <c r="Q43" i="11"/>
  <c r="AB43" i="11" s="1"/>
  <c r="L43" i="12"/>
  <c r="L43" i="13"/>
  <c r="Q29" i="11"/>
  <c r="L29" i="12"/>
  <c r="Q29" i="12" s="1"/>
  <c r="L29" i="13"/>
  <c r="Q22" i="11"/>
  <c r="L22" i="12"/>
  <c r="L22" i="13"/>
  <c r="Q22" i="13" s="1"/>
  <c r="Q49" i="11"/>
  <c r="L49" i="12"/>
  <c r="L49" i="13"/>
  <c r="Q35" i="11"/>
  <c r="AB35" i="11" s="1"/>
  <c r="L35" i="12"/>
  <c r="L35" i="13"/>
  <c r="Q35" i="13" s="1"/>
  <c r="Q44" i="11"/>
  <c r="AB44" i="11" s="1"/>
  <c r="L44" i="12"/>
  <c r="Q44" i="12" s="1"/>
  <c r="L44" i="13"/>
  <c r="Q50" i="11"/>
  <c r="L50" i="12"/>
  <c r="L50" i="13"/>
  <c r="Q50" i="13" s="1"/>
  <c r="L5" i="12"/>
  <c r="L5" i="13"/>
  <c r="L53" i="11"/>
  <c r="Q5" i="11"/>
  <c r="L14" i="12"/>
  <c r="L14" i="13"/>
  <c r="Q14" i="11"/>
  <c r="AB14" i="11" s="1"/>
  <c r="L6" i="12"/>
  <c r="Q6" i="12" s="1"/>
  <c r="L6" i="13"/>
  <c r="Q6" i="13" s="1"/>
  <c r="Q6" i="11"/>
  <c r="Q19" i="11"/>
  <c r="AB19" i="11" s="1"/>
  <c r="L19" i="12"/>
  <c r="Q19" i="12" s="1"/>
  <c r="L19" i="13"/>
  <c r="E43" i="5"/>
  <c r="X55" i="13"/>
  <c r="X55" i="12"/>
  <c r="X55" i="11"/>
  <c r="X55" i="10"/>
  <c r="Q16" i="11"/>
  <c r="AB16" i="11" s="1"/>
  <c r="L16" i="12"/>
  <c r="Q16" i="12" s="1"/>
  <c r="AB16" i="12" s="1"/>
  <c r="L16" i="13"/>
  <c r="Q16" i="13" s="1"/>
  <c r="AB56" i="13"/>
  <c r="AB56" i="12"/>
  <c r="AB56" i="11"/>
  <c r="AB56" i="10"/>
  <c r="Q27" i="11"/>
  <c r="L27" i="12"/>
  <c r="L27" i="13"/>
  <c r="Q27" i="13" s="1"/>
  <c r="Q34" i="11"/>
  <c r="L34" i="12"/>
  <c r="L34" i="13"/>
  <c r="Q42" i="11"/>
  <c r="AB42" i="11" s="1"/>
  <c r="L42" i="12"/>
  <c r="L42" i="13"/>
  <c r="Q42" i="13" s="1"/>
  <c r="Q48" i="11"/>
  <c r="AB48" i="11" s="1"/>
  <c r="L48" i="12"/>
  <c r="Q48" i="12" s="1"/>
  <c r="L48" i="13"/>
  <c r="Q38" i="11"/>
  <c r="L38" i="12"/>
  <c r="L38" i="13"/>
  <c r="Q38" i="13" s="1"/>
  <c r="Q28" i="11"/>
  <c r="L28" i="12"/>
  <c r="L28" i="13"/>
  <c r="Q30" i="11"/>
  <c r="AB30" i="11" s="1"/>
  <c r="L30" i="12"/>
  <c r="L30" i="13"/>
  <c r="L9" i="12"/>
  <c r="Q9" i="12" s="1"/>
  <c r="L9" i="13"/>
  <c r="Q9" i="13" s="1"/>
  <c r="Q9" i="11"/>
  <c r="AB9" i="11" s="1"/>
  <c r="L7" i="12"/>
  <c r="Q7" i="12" s="1"/>
  <c r="L7" i="13"/>
  <c r="Q7" i="13" s="1"/>
  <c r="Q7" i="11"/>
  <c r="AB7" i="11" s="1"/>
  <c r="L10" i="12"/>
  <c r="L10" i="13"/>
  <c r="Q10" i="11"/>
  <c r="Q25" i="11"/>
  <c r="AB25" i="11" s="1"/>
  <c r="L25" i="12"/>
  <c r="Q25" i="12" s="1"/>
  <c r="L25" i="13"/>
  <c r="Q40" i="11"/>
  <c r="AB40" i="11" s="1"/>
  <c r="L40" i="12"/>
  <c r="Q40" i="12" s="1"/>
  <c r="L40" i="13"/>
  <c r="Q46" i="11"/>
  <c r="AB46" i="11" s="1"/>
  <c r="L46" i="12"/>
  <c r="L46" i="13"/>
  <c r="Q46" i="13" s="1"/>
  <c r="Q36" i="11"/>
  <c r="AB36" i="11" s="1"/>
  <c r="L36" i="12"/>
  <c r="L36" i="13"/>
  <c r="Q21" i="11"/>
  <c r="AB21" i="11" s="1"/>
  <c r="L21" i="12"/>
  <c r="L21" i="13"/>
  <c r="Q32" i="11"/>
  <c r="AB32" i="11" s="1"/>
  <c r="L32" i="12"/>
  <c r="Q32" i="12" s="1"/>
  <c r="L32" i="13"/>
  <c r="Q45" i="11"/>
  <c r="L45" i="12"/>
  <c r="Q45" i="12" s="1"/>
  <c r="L45" i="13"/>
  <c r="Q45" i="13" s="1"/>
  <c r="Q47" i="11"/>
  <c r="L47" i="12"/>
  <c r="L47" i="13"/>
  <c r="Q47" i="13" s="1"/>
  <c r="Q41" i="11"/>
  <c r="AB41" i="11" s="1"/>
  <c r="L41" i="12"/>
  <c r="L41" i="13"/>
  <c r="L8" i="12"/>
  <c r="Q8" i="12" s="1"/>
  <c r="L8" i="13"/>
  <c r="Q8" i="13" s="1"/>
  <c r="Q8" i="11"/>
  <c r="L11" i="12"/>
  <c r="Q11" i="12" s="1"/>
  <c r="L11" i="13"/>
  <c r="Q11" i="11"/>
  <c r="AB11" i="11" s="1"/>
  <c r="Q20" i="11"/>
  <c r="L20" i="12"/>
  <c r="Q20" i="12" s="1"/>
  <c r="L20" i="13"/>
  <c r="L13" i="12"/>
  <c r="Q13" i="12" s="1"/>
  <c r="AB13" i="12" s="1"/>
  <c r="L13" i="13"/>
  <c r="Q13" i="13" s="1"/>
  <c r="AB13" i="13" s="1"/>
  <c r="Q13" i="11"/>
  <c r="AB13" i="11" s="1"/>
  <c r="Q23" i="11"/>
  <c r="AB23" i="11" s="1"/>
  <c r="L23" i="12"/>
  <c r="Q23" i="12" s="1"/>
  <c r="L23" i="13"/>
  <c r="Q23" i="13" s="1"/>
  <c r="Q26" i="11"/>
  <c r="AB26" i="11" s="1"/>
  <c r="L26" i="12"/>
  <c r="Q26" i="12" s="1"/>
  <c r="L26" i="13"/>
  <c r="Q26" i="13" s="1"/>
  <c r="Q39" i="11"/>
  <c r="L39" i="12"/>
  <c r="L39" i="13"/>
  <c r="Q39" i="13" s="1"/>
  <c r="Q24" i="11"/>
  <c r="AB24" i="11" s="1"/>
  <c r="L24" i="12"/>
  <c r="L24" i="13"/>
  <c r="Q51" i="11"/>
  <c r="L51" i="12"/>
  <c r="Q51" i="12" s="1"/>
  <c r="L51" i="13"/>
  <c r="Q37" i="11"/>
  <c r="L37" i="12"/>
  <c r="Q37" i="12" s="1"/>
  <c r="L37" i="13"/>
  <c r="Q37" i="13" s="1"/>
  <c r="Q31" i="11"/>
  <c r="L31" i="12"/>
  <c r="L31" i="13"/>
  <c r="Q33" i="11"/>
  <c r="AB33" i="11" s="1"/>
  <c r="L33" i="12"/>
  <c r="L33" i="13"/>
  <c r="Q33" i="13" s="1"/>
  <c r="L12" i="12"/>
  <c r="Q12" i="12" s="1"/>
  <c r="L12" i="13"/>
  <c r="Q12" i="13" s="1"/>
  <c r="Q12" i="11"/>
  <c r="Q18" i="11"/>
  <c r="L18" i="12"/>
  <c r="Q18" i="12" s="1"/>
  <c r="L18" i="13"/>
  <c r="Q18" i="13" s="1"/>
  <c r="Q17" i="11"/>
  <c r="AB17" i="11" s="1"/>
  <c r="L17" i="12"/>
  <c r="L17" i="13"/>
  <c r="Q17" i="13" s="1"/>
  <c r="E23" i="5"/>
  <c r="E47" i="5" s="1"/>
  <c r="AU15" i="16" s="1"/>
  <c r="AE74" i="6"/>
  <c r="R48" i="24" l="1"/>
  <c r="R100" i="24" s="1"/>
  <c r="W48" i="12"/>
  <c r="W20" i="12"/>
  <c r="R20" i="24"/>
  <c r="R72" i="24" s="1"/>
  <c r="AA35" i="12"/>
  <c r="V35" i="24"/>
  <c r="V87" i="24" s="1"/>
  <c r="AA47" i="12"/>
  <c r="V47" i="24"/>
  <c r="V99" i="24" s="1"/>
  <c r="N53" i="13"/>
  <c r="W33" i="12"/>
  <c r="R33" i="24"/>
  <c r="R85" i="24" s="1"/>
  <c r="O53" i="12"/>
  <c r="AA24" i="12"/>
  <c r="V24" i="24"/>
  <c r="V76" i="24" s="1"/>
  <c r="AA42" i="12"/>
  <c r="V42" i="24"/>
  <c r="V94" i="24" s="1"/>
  <c r="Q31" i="13"/>
  <c r="Q36" i="13"/>
  <c r="Q46" i="12"/>
  <c r="AB10" i="11"/>
  <c r="Q28" i="13"/>
  <c r="Q38" i="12"/>
  <c r="Q49" i="13"/>
  <c r="Q22" i="12"/>
  <c r="AB29" i="11"/>
  <c r="X29" i="13" s="1"/>
  <c r="AA50" i="12"/>
  <c r="V50" i="24"/>
  <c r="V102" i="24" s="1"/>
  <c r="AA46" i="12"/>
  <c r="V46" i="24"/>
  <c r="V98" i="24" s="1"/>
  <c r="AA22" i="12"/>
  <c r="V22" i="24"/>
  <c r="V74" i="24" s="1"/>
  <c r="AA17" i="12"/>
  <c r="V17" i="24"/>
  <c r="V69" i="24" s="1"/>
  <c r="V6" i="24"/>
  <c r="V58" i="24" s="1"/>
  <c r="W36" i="13"/>
  <c r="W35" i="13"/>
  <c r="O5" i="24"/>
  <c r="O57" i="24" s="1"/>
  <c r="Z53" i="13"/>
  <c r="AA5" i="13"/>
  <c r="AA53" i="13" s="1"/>
  <c r="AA33" i="12"/>
  <c r="V33" i="24"/>
  <c r="V85" i="24" s="1"/>
  <c r="W40" i="13"/>
  <c r="I9" i="26"/>
  <c r="I11" i="26"/>
  <c r="I7" i="26"/>
  <c r="I13" i="26" s="1"/>
  <c r="N45" i="24"/>
  <c r="N97" i="24" s="1"/>
  <c r="AB18" i="11"/>
  <c r="Q31" i="12"/>
  <c r="Q24" i="13"/>
  <c r="Q39" i="12"/>
  <c r="Q41" i="13"/>
  <c r="AB45" i="11"/>
  <c r="Q21" i="13"/>
  <c r="Q36" i="12"/>
  <c r="Q25" i="13"/>
  <c r="Q10" i="13"/>
  <c r="Q30" i="13"/>
  <c r="Q28" i="12"/>
  <c r="AB38" i="11"/>
  <c r="Q34" i="12"/>
  <c r="AB27" i="11"/>
  <c r="X27" i="13" s="1"/>
  <c r="AB6" i="11"/>
  <c r="Q14" i="13"/>
  <c r="AB50" i="11"/>
  <c r="Q49" i="12"/>
  <c r="AB22" i="11"/>
  <c r="Q43" i="13"/>
  <c r="W48" i="13"/>
  <c r="W5" i="13"/>
  <c r="T53" i="13"/>
  <c r="W20" i="13"/>
  <c r="W24" i="12"/>
  <c r="R24" i="24"/>
  <c r="R76" i="24" s="1"/>
  <c r="AA14" i="12"/>
  <c r="V14" i="24"/>
  <c r="V66" i="24" s="1"/>
  <c r="AA32" i="12"/>
  <c r="V32" i="24"/>
  <c r="V84" i="24" s="1"/>
  <c r="AA29" i="12"/>
  <c r="V29" i="24"/>
  <c r="V81" i="24" s="1"/>
  <c r="AA43" i="12"/>
  <c r="V43" i="24"/>
  <c r="V95" i="24" s="1"/>
  <c r="AA11" i="12"/>
  <c r="V11" i="24"/>
  <c r="V63" i="24" s="1"/>
  <c r="N30" i="24"/>
  <c r="N82" i="24" s="1"/>
  <c r="N47" i="24"/>
  <c r="N99" i="24" s="1"/>
  <c r="N25" i="24"/>
  <c r="N77" i="24" s="1"/>
  <c r="R9" i="24"/>
  <c r="R61" i="24" s="1"/>
  <c r="W9" i="13"/>
  <c r="W17" i="12"/>
  <c r="R17" i="24"/>
  <c r="R69" i="24" s="1"/>
  <c r="N5" i="24"/>
  <c r="N57" i="24" s="1"/>
  <c r="N53" i="12"/>
  <c r="R19" i="24"/>
  <c r="R71" i="24" s="1"/>
  <c r="W19" i="12"/>
  <c r="W49" i="12"/>
  <c r="R49" i="24"/>
  <c r="R101" i="24" s="1"/>
  <c r="W32" i="12"/>
  <c r="R32" i="24"/>
  <c r="R84" i="24" s="1"/>
  <c r="W29" i="13"/>
  <c r="W42" i="13"/>
  <c r="AA49" i="12"/>
  <c r="V49" i="24"/>
  <c r="V101" i="24" s="1"/>
  <c r="AA30" i="12"/>
  <c r="V30" i="24"/>
  <c r="V82" i="24" s="1"/>
  <c r="AA38" i="12"/>
  <c r="V38" i="24"/>
  <c r="V90" i="24" s="1"/>
  <c r="AA45" i="12"/>
  <c r="V45" i="24"/>
  <c r="V97" i="24" s="1"/>
  <c r="N51" i="24"/>
  <c r="N103" i="24" s="1"/>
  <c r="N37" i="24"/>
  <c r="N89" i="24" s="1"/>
  <c r="N8" i="24"/>
  <c r="N60" i="24" s="1"/>
  <c r="V18" i="24"/>
  <c r="V70" i="24" s="1"/>
  <c r="R18" i="24"/>
  <c r="R70" i="24" s="1"/>
  <c r="W18" i="12"/>
  <c r="R14" i="24"/>
  <c r="R66" i="24" s="1"/>
  <c r="W14" i="12"/>
  <c r="R27" i="24"/>
  <c r="R79" i="24" s="1"/>
  <c r="W27" i="12"/>
  <c r="W47" i="13"/>
  <c r="W45" i="13"/>
  <c r="AA25" i="12"/>
  <c r="V25" i="24"/>
  <c r="V77" i="24" s="1"/>
  <c r="AA37" i="12"/>
  <c r="V37" i="24"/>
  <c r="V89" i="24" s="1"/>
  <c r="W37" i="13"/>
  <c r="W34" i="13"/>
  <c r="W21" i="12"/>
  <c r="U53" i="12"/>
  <c r="V28" i="24"/>
  <c r="V80" i="24" s="1"/>
  <c r="R10" i="24"/>
  <c r="R62" i="24" s="1"/>
  <c r="W43" i="12"/>
  <c r="R43" i="24"/>
  <c r="R95" i="24" s="1"/>
  <c r="R5" i="24"/>
  <c r="R57" i="24" s="1"/>
  <c r="T53" i="12"/>
  <c r="W5" i="12"/>
  <c r="W51" i="12"/>
  <c r="R51" i="24"/>
  <c r="R103" i="24" s="1"/>
  <c r="AA34" i="12"/>
  <c r="V34" i="24"/>
  <c r="V86" i="24" s="1"/>
  <c r="AA44" i="12"/>
  <c r="V44" i="24"/>
  <c r="V96" i="24" s="1"/>
  <c r="W50" i="13"/>
  <c r="W42" i="12"/>
  <c r="R42" i="24"/>
  <c r="R94" i="24" s="1"/>
  <c r="AA9" i="12"/>
  <c r="V9" i="24"/>
  <c r="V61" i="24" s="1"/>
  <c r="AA19" i="12"/>
  <c r="V19" i="24"/>
  <c r="V71" i="24" s="1"/>
  <c r="AA36" i="12"/>
  <c r="V36" i="24"/>
  <c r="V88" i="24" s="1"/>
  <c r="R36" i="24"/>
  <c r="R88" i="24" s="1"/>
  <c r="W36" i="12"/>
  <c r="W35" i="12"/>
  <c r="R35" i="24"/>
  <c r="R87" i="24" s="1"/>
  <c r="C7" i="26"/>
  <c r="C13" i="26" s="1"/>
  <c r="C11" i="26"/>
  <c r="AA53" i="11"/>
  <c r="AA10" i="12"/>
  <c r="V10" i="24"/>
  <c r="V62" i="24" s="1"/>
  <c r="W37" i="12"/>
  <c r="AB51" i="11"/>
  <c r="Q20" i="13"/>
  <c r="Q11" i="13"/>
  <c r="Q34" i="13"/>
  <c r="Q27" i="12"/>
  <c r="AB27" i="12" s="1"/>
  <c r="Q50" i="12"/>
  <c r="R6" i="24"/>
  <c r="R58" i="24" s="1"/>
  <c r="W6" i="12"/>
  <c r="W43" i="13"/>
  <c r="W38" i="13"/>
  <c r="W28" i="12"/>
  <c r="R28" i="24"/>
  <c r="R80" i="24" s="1"/>
  <c r="W8" i="12"/>
  <c r="R8" i="24"/>
  <c r="R60" i="24" s="1"/>
  <c r="V27" i="24"/>
  <c r="V79" i="24" s="1"/>
  <c r="W29" i="12"/>
  <c r="R29" i="24"/>
  <c r="R81" i="24" s="1"/>
  <c r="AA23" i="12"/>
  <c r="V23" i="24"/>
  <c r="V75" i="24" s="1"/>
  <c r="R46" i="24"/>
  <c r="R98" i="24" s="1"/>
  <c r="R37" i="24"/>
  <c r="R89" i="24" s="1"/>
  <c r="R31" i="24"/>
  <c r="R83" i="24" s="1"/>
  <c r="W47" i="12"/>
  <c r="R47" i="24"/>
  <c r="R99" i="24" s="1"/>
  <c r="N41" i="24"/>
  <c r="N93" i="24" s="1"/>
  <c r="W46" i="13"/>
  <c r="W39" i="13"/>
  <c r="N32" i="24"/>
  <c r="N84" i="24" s="1"/>
  <c r="Q17" i="12"/>
  <c r="AB37" i="11"/>
  <c r="Q47" i="12"/>
  <c r="AB12" i="11"/>
  <c r="Q33" i="12"/>
  <c r="AB33" i="12" s="1"/>
  <c r="AB31" i="11"/>
  <c r="Q51" i="13"/>
  <c r="Q24" i="12"/>
  <c r="AB39" i="11"/>
  <c r="AB20" i="11"/>
  <c r="AB8" i="11"/>
  <c r="Q41" i="12"/>
  <c r="AB47" i="11"/>
  <c r="Q32" i="13"/>
  <c r="Q21" i="12"/>
  <c r="Q40" i="13"/>
  <c r="Q10" i="12"/>
  <c r="Q30" i="12"/>
  <c r="AB28" i="11"/>
  <c r="Q48" i="13"/>
  <c r="Q42" i="12"/>
  <c r="AB34" i="11"/>
  <c r="AB16" i="13"/>
  <c r="Q19" i="13"/>
  <c r="Q14" i="12"/>
  <c r="AB14" i="12" s="1"/>
  <c r="L5" i="24"/>
  <c r="L57" i="24" s="1"/>
  <c r="Q44" i="13"/>
  <c r="Q35" i="12"/>
  <c r="AB49" i="11"/>
  <c r="Q29" i="13"/>
  <c r="Q43" i="12"/>
  <c r="X66" i="23"/>
  <c r="X135" i="23" s="1"/>
  <c r="X53" i="23"/>
  <c r="X122" i="23" s="1"/>
  <c r="X59" i="23"/>
  <c r="X128" i="23" s="1"/>
  <c r="X10" i="23"/>
  <c r="X79" i="23" s="1"/>
  <c r="X61" i="23"/>
  <c r="X130" i="23" s="1"/>
  <c r="X65" i="23"/>
  <c r="X134" i="23" s="1"/>
  <c r="X40" i="23"/>
  <c r="X109" i="23" s="1"/>
  <c r="X64" i="23"/>
  <c r="X133" i="23" s="1"/>
  <c r="X58" i="23"/>
  <c r="X127" i="23" s="1"/>
  <c r="X57" i="23"/>
  <c r="X126" i="23" s="1"/>
  <c r="W53" i="11"/>
  <c r="R38" i="24"/>
  <c r="R90" i="24" s="1"/>
  <c r="W38" i="12"/>
  <c r="R23" i="24"/>
  <c r="R75" i="24" s="1"/>
  <c r="W23" i="12"/>
  <c r="C9" i="26"/>
  <c r="AA8" i="12"/>
  <c r="V8" i="24"/>
  <c r="V60" i="24" s="1"/>
  <c r="AA51" i="12"/>
  <c r="V51" i="24"/>
  <c r="V103" i="24" s="1"/>
  <c r="N20" i="24"/>
  <c r="N72" i="24" s="1"/>
  <c r="N44" i="24"/>
  <c r="N96" i="24" s="1"/>
  <c r="V48" i="24"/>
  <c r="V100" i="24" s="1"/>
  <c r="R25" i="24"/>
  <c r="R77" i="24" s="1"/>
  <c r="W25" i="12"/>
  <c r="AA7" i="12"/>
  <c r="V7" i="24"/>
  <c r="V59" i="24" s="1"/>
  <c r="R30" i="24"/>
  <c r="R82" i="24" s="1"/>
  <c r="W30" i="12"/>
  <c r="R50" i="24"/>
  <c r="R102" i="24" s="1"/>
  <c r="W50" i="12"/>
  <c r="W7" i="12"/>
  <c r="R7" i="24"/>
  <c r="R59" i="24" s="1"/>
  <c r="W32" i="13"/>
  <c r="W41" i="12"/>
  <c r="R41" i="24"/>
  <c r="R93" i="24" s="1"/>
  <c r="W12" i="12"/>
  <c r="R12" i="24"/>
  <c r="R64" i="24" s="1"/>
  <c r="N11" i="24"/>
  <c r="N63" i="24" s="1"/>
  <c r="N28" i="24"/>
  <c r="N80" i="24" s="1"/>
  <c r="V41" i="24"/>
  <c r="V93" i="24" s="1"/>
  <c r="R40" i="24"/>
  <c r="R92" i="24" s="1"/>
  <c r="R44" i="24"/>
  <c r="R96" i="24" s="1"/>
  <c r="W44" i="12"/>
  <c r="W27" i="13"/>
  <c r="W26" i="12"/>
  <c r="R26" i="24"/>
  <c r="R78" i="24" s="1"/>
  <c r="W11" i="12"/>
  <c r="O53" i="13"/>
  <c r="V5" i="24"/>
  <c r="V57" i="24" s="1"/>
  <c r="AA5" i="12"/>
  <c r="Z53" i="12"/>
  <c r="N7" i="24"/>
  <c r="N59" i="24" s="1"/>
  <c r="N35" i="24"/>
  <c r="N87" i="24" s="1"/>
  <c r="N26" i="24"/>
  <c r="N78" i="24" s="1"/>
  <c r="N23" i="24"/>
  <c r="N75" i="24" s="1"/>
  <c r="W34" i="12"/>
  <c r="W21" i="13"/>
  <c r="W39" i="12"/>
  <c r="U53" i="13"/>
  <c r="AA12" i="12"/>
  <c r="V12" i="24"/>
  <c r="V64" i="24" s="1"/>
  <c r="N50" i="24"/>
  <c r="N102" i="24" s="1"/>
  <c r="R22" i="24"/>
  <c r="R74" i="24" s="1"/>
  <c r="X16" i="23"/>
  <c r="X85" i="23" s="1"/>
  <c r="X34" i="23"/>
  <c r="X103" i="23" s="1"/>
  <c r="X29" i="23"/>
  <c r="X98" i="23" s="1"/>
  <c r="AC16" i="11"/>
  <c r="O5" i="23"/>
  <c r="O74" i="23" s="1"/>
  <c r="O70" i="8"/>
  <c r="V38" i="9"/>
  <c r="AB38" i="9" s="1"/>
  <c r="AB38" i="7"/>
  <c r="V47" i="9"/>
  <c r="AB47" i="9" s="1"/>
  <c r="AB47" i="7"/>
  <c r="V20" i="9"/>
  <c r="AB20" i="9" s="1"/>
  <c r="AB20" i="7"/>
  <c r="V16" i="9"/>
  <c r="AB16" i="9" s="1"/>
  <c r="AB16" i="7"/>
  <c r="AB62" i="7"/>
  <c r="V62" i="9"/>
  <c r="AB62" i="9" s="1"/>
  <c r="AB50" i="7"/>
  <c r="V50" i="9"/>
  <c r="AB50" i="9" s="1"/>
  <c r="AB25" i="7"/>
  <c r="V25" i="9"/>
  <c r="AB25" i="9" s="1"/>
  <c r="AB21" i="7"/>
  <c r="V21" i="9"/>
  <c r="AB21" i="9" s="1"/>
  <c r="V41" i="9"/>
  <c r="AB41" i="9" s="1"/>
  <c r="AB41" i="7"/>
  <c r="V53" i="9"/>
  <c r="AB53" i="9" s="1"/>
  <c r="AB53" i="7"/>
  <c r="V27" i="9"/>
  <c r="AB27" i="9" s="1"/>
  <c r="AB27" i="7"/>
  <c r="V24" i="9"/>
  <c r="AB24" i="9" s="1"/>
  <c r="AB24" i="7"/>
  <c r="AB55" i="7"/>
  <c r="V55" i="9"/>
  <c r="AB55" i="9" s="1"/>
  <c r="AB63" i="7"/>
  <c r="V63" i="9"/>
  <c r="AB63" i="9" s="1"/>
  <c r="V17" i="9"/>
  <c r="AB17" i="9" s="1"/>
  <c r="AB17" i="7"/>
  <c r="AB13" i="7"/>
  <c r="V13" i="9"/>
  <c r="AB13" i="9" s="1"/>
  <c r="X22" i="23"/>
  <c r="X91" i="23" s="1"/>
  <c r="X25" i="23"/>
  <c r="X94" i="23" s="1"/>
  <c r="X23" i="23"/>
  <c r="X92" i="23" s="1"/>
  <c r="X45" i="23"/>
  <c r="X114" i="23" s="1"/>
  <c r="X21" i="23"/>
  <c r="X90" i="23" s="1"/>
  <c r="X13" i="23"/>
  <c r="X82" i="23" s="1"/>
  <c r="X12" i="23"/>
  <c r="X81" i="23" s="1"/>
  <c r="X31" i="23"/>
  <c r="X100" i="23" s="1"/>
  <c r="X35" i="23"/>
  <c r="X104" i="23" s="1"/>
  <c r="Y70" i="9"/>
  <c r="V5" i="23"/>
  <c r="V74" i="23" s="1"/>
  <c r="W70" i="8"/>
  <c r="L5" i="23"/>
  <c r="L74" i="23" s="1"/>
  <c r="L70" i="8"/>
  <c r="AD32" i="8"/>
  <c r="AA32" i="23"/>
  <c r="AA101" i="23" s="1"/>
  <c r="AD25" i="8"/>
  <c r="AA25" i="23"/>
  <c r="AA94" i="23" s="1"/>
  <c r="AD65" i="8"/>
  <c r="AA65" i="23"/>
  <c r="AA134" i="23" s="1"/>
  <c r="AD39" i="8"/>
  <c r="AA39" i="23"/>
  <c r="AA108" i="23" s="1"/>
  <c r="AA19" i="23"/>
  <c r="AA88" i="23" s="1"/>
  <c r="AD19" i="8"/>
  <c r="AD63" i="8"/>
  <c r="AA63" i="23"/>
  <c r="AA132" i="23" s="1"/>
  <c r="AD56" i="8"/>
  <c r="AA56" i="23"/>
  <c r="AA125" i="23" s="1"/>
  <c r="AD28" i="8"/>
  <c r="AA28" i="23"/>
  <c r="AA97" i="23" s="1"/>
  <c r="AA57" i="23"/>
  <c r="AA126" i="23" s="1"/>
  <c r="AD57" i="8"/>
  <c r="AD61" i="8"/>
  <c r="AA61" i="23"/>
  <c r="AA130" i="23" s="1"/>
  <c r="AD42" i="8"/>
  <c r="AA42" i="23"/>
  <c r="AA111" i="23" s="1"/>
  <c r="AD53" i="8"/>
  <c r="AA53" i="23"/>
  <c r="AA122" i="23" s="1"/>
  <c r="AD16" i="8"/>
  <c r="AA16" i="23"/>
  <c r="AA85" i="23" s="1"/>
  <c r="AD34" i="8"/>
  <c r="AA34" i="23"/>
  <c r="AA103" i="23" s="1"/>
  <c r="AD26" i="8"/>
  <c r="AA26" i="23"/>
  <c r="AA95" i="23" s="1"/>
  <c r="AD60" i="8"/>
  <c r="AA60" i="23"/>
  <c r="AA129" i="23" s="1"/>
  <c r="V45" i="9"/>
  <c r="AB45" i="9" s="1"/>
  <c r="AB45" i="7"/>
  <c r="AB48" i="7"/>
  <c r="V48" i="9"/>
  <c r="AB48" i="9" s="1"/>
  <c r="AB31" i="7"/>
  <c r="V31" i="9"/>
  <c r="AB31" i="9" s="1"/>
  <c r="AB28" i="7"/>
  <c r="V28" i="9"/>
  <c r="AB28" i="9" s="1"/>
  <c r="V56" i="9"/>
  <c r="AB56" i="9" s="1"/>
  <c r="AB56" i="7"/>
  <c r="V59" i="9"/>
  <c r="AB59" i="9" s="1"/>
  <c r="AB59" i="7"/>
  <c r="V33" i="9"/>
  <c r="AB33" i="9" s="1"/>
  <c r="AB33" i="7"/>
  <c r="V30" i="9"/>
  <c r="AB30" i="9" s="1"/>
  <c r="AB30" i="7"/>
  <c r="V39" i="9"/>
  <c r="AB39" i="9" s="1"/>
  <c r="AB39" i="7"/>
  <c r="AB43" i="7"/>
  <c r="V43" i="9"/>
  <c r="AB43" i="9" s="1"/>
  <c r="AB35" i="7"/>
  <c r="V35" i="9"/>
  <c r="AB35" i="9" s="1"/>
  <c r="V32" i="9"/>
  <c r="AB32" i="9" s="1"/>
  <c r="AB32" i="7"/>
  <c r="V65" i="9"/>
  <c r="AB65" i="9" s="1"/>
  <c r="AB65" i="7"/>
  <c r="V64" i="9"/>
  <c r="AB64" i="9" s="1"/>
  <c r="AB64" i="7"/>
  <c r="V29" i="9"/>
  <c r="AB29" i="9" s="1"/>
  <c r="AB29" i="7"/>
  <c r="V26" i="9"/>
  <c r="AB26" i="9" s="1"/>
  <c r="AB26" i="7"/>
  <c r="S68" i="8"/>
  <c r="S25" i="8"/>
  <c r="S21" i="8"/>
  <c r="S48" i="8"/>
  <c r="S20" i="8"/>
  <c r="S32" i="8"/>
  <c r="S38" i="8"/>
  <c r="S51" i="8"/>
  <c r="S16" i="8"/>
  <c r="S56" i="8"/>
  <c r="S37" i="8"/>
  <c r="S59" i="8"/>
  <c r="S40" i="8"/>
  <c r="S11" i="8"/>
  <c r="S23" i="8"/>
  <c r="S44" i="8"/>
  <c r="S61" i="8"/>
  <c r="S49" i="8"/>
  <c r="S6" i="8"/>
  <c r="S30" i="8"/>
  <c r="S50" i="8"/>
  <c r="S45" i="8"/>
  <c r="S65" i="8"/>
  <c r="S64" i="8"/>
  <c r="S18" i="8"/>
  <c r="S28" i="8"/>
  <c r="S53" i="8"/>
  <c r="S14" i="8"/>
  <c r="S33" i="8"/>
  <c r="S60" i="8"/>
  <c r="S39" i="8"/>
  <c r="S17" i="8"/>
  <c r="S47" i="8"/>
  <c r="S15" i="8"/>
  <c r="S13" i="8"/>
  <c r="S62" i="8"/>
  <c r="S10" i="8"/>
  <c r="S8" i="8"/>
  <c r="S31" i="8"/>
  <c r="S57" i="8"/>
  <c r="S12" i="8"/>
  <c r="S36" i="8"/>
  <c r="S66" i="8"/>
  <c r="S5" i="8"/>
  <c r="S22" i="8"/>
  <c r="S55" i="8"/>
  <c r="S42" i="8"/>
  <c r="S29" i="8"/>
  <c r="S58" i="8"/>
  <c r="S9" i="8"/>
  <c r="S34" i="8"/>
  <c r="S63" i="8"/>
  <c r="S43" i="8"/>
  <c r="S24" i="8"/>
  <c r="S19" i="8"/>
  <c r="S54" i="8"/>
  <c r="S35" i="8"/>
  <c r="S67" i="8"/>
  <c r="S7" i="8"/>
  <c r="S46" i="8"/>
  <c r="S26" i="8"/>
  <c r="S27" i="8"/>
  <c r="S52" i="8"/>
  <c r="S41" i="8"/>
  <c r="O14" i="25"/>
  <c r="O15" i="25"/>
  <c r="AA54" i="23"/>
  <c r="AA123" i="23" s="1"/>
  <c r="AD54" i="8"/>
  <c r="AA47" i="23"/>
  <c r="AA116" i="23" s="1"/>
  <c r="AD47" i="8"/>
  <c r="AD31" i="8"/>
  <c r="AA31" i="23"/>
  <c r="AA100" i="23" s="1"/>
  <c r="AA23" i="23"/>
  <c r="AA92" i="23" s="1"/>
  <c r="AD23" i="8"/>
  <c r="AA51" i="23"/>
  <c r="AA120" i="23" s="1"/>
  <c r="AD51" i="8"/>
  <c r="AD66" i="8"/>
  <c r="AA66" i="23"/>
  <c r="AA135" i="23" s="1"/>
  <c r="AA6" i="23"/>
  <c r="AA75" i="23" s="1"/>
  <c r="AD6" i="8"/>
  <c r="AD20" i="8"/>
  <c r="AA20" i="23"/>
  <c r="AA89" i="23" s="1"/>
  <c r="AD11" i="8"/>
  <c r="AA11" i="23"/>
  <c r="AA80" i="23" s="1"/>
  <c r="AD24" i="8"/>
  <c r="AA24" i="23"/>
  <c r="AA93" i="23" s="1"/>
  <c r="AD13" i="8"/>
  <c r="AA13" i="23"/>
  <c r="AA82" i="23" s="1"/>
  <c r="AA45" i="23"/>
  <c r="AA114" i="23" s="1"/>
  <c r="AD45" i="8"/>
  <c r="AD37" i="8"/>
  <c r="AA37" i="23"/>
  <c r="AA106" i="23" s="1"/>
  <c r="AD46" i="8"/>
  <c r="AA46" i="23"/>
  <c r="AA115" i="23" s="1"/>
  <c r="AD62" i="8"/>
  <c r="AA62" i="23"/>
  <c r="AA131" i="23" s="1"/>
  <c r="AD12" i="8"/>
  <c r="AA12" i="23"/>
  <c r="AA81" i="23" s="1"/>
  <c r="M35" i="8"/>
  <c r="M35" i="23" s="1"/>
  <c r="M104" i="23" s="1"/>
  <c r="M11" i="8"/>
  <c r="M11" i="23" s="1"/>
  <c r="M80" i="23" s="1"/>
  <c r="M49" i="8"/>
  <c r="M49" i="23" s="1"/>
  <c r="M118" i="23" s="1"/>
  <c r="M58" i="8"/>
  <c r="M58" i="23" s="1"/>
  <c r="M127" i="23" s="1"/>
  <c r="M51" i="8"/>
  <c r="M51" i="23" s="1"/>
  <c r="M120" i="23" s="1"/>
  <c r="M68" i="8"/>
  <c r="M68" i="23" s="1"/>
  <c r="M137" i="23" s="1"/>
  <c r="M61" i="8"/>
  <c r="M61" i="23" s="1"/>
  <c r="M130" i="23" s="1"/>
  <c r="M13" i="8"/>
  <c r="M13" i="23" s="1"/>
  <c r="M82" i="23" s="1"/>
  <c r="M24" i="8"/>
  <c r="M24" i="23" s="1"/>
  <c r="M93" i="23" s="1"/>
  <c r="M43" i="8"/>
  <c r="M43" i="23" s="1"/>
  <c r="M112" i="23" s="1"/>
  <c r="M14" i="8"/>
  <c r="M14" i="23" s="1"/>
  <c r="M83" i="23" s="1"/>
  <c r="M66" i="8"/>
  <c r="M66" i="23" s="1"/>
  <c r="M135" i="23" s="1"/>
  <c r="M37" i="8"/>
  <c r="M37" i="23" s="1"/>
  <c r="M106" i="23" s="1"/>
  <c r="M20" i="8"/>
  <c r="M20" i="23" s="1"/>
  <c r="M89" i="23" s="1"/>
  <c r="M21" i="8"/>
  <c r="M21" i="23" s="1"/>
  <c r="M90" i="23" s="1"/>
  <c r="M54" i="8"/>
  <c r="M54" i="23" s="1"/>
  <c r="M123" i="23" s="1"/>
  <c r="M60" i="8"/>
  <c r="M60" i="23" s="1"/>
  <c r="M129" i="23" s="1"/>
  <c r="M55" i="8"/>
  <c r="M55" i="23" s="1"/>
  <c r="M124" i="23" s="1"/>
  <c r="M33" i="8"/>
  <c r="M33" i="23" s="1"/>
  <c r="M102" i="23" s="1"/>
  <c r="M57" i="8"/>
  <c r="M57" i="23" s="1"/>
  <c r="M126" i="23" s="1"/>
  <c r="M41" i="8"/>
  <c r="M41" i="23" s="1"/>
  <c r="M110" i="23" s="1"/>
  <c r="M29" i="8"/>
  <c r="M29" i="23" s="1"/>
  <c r="M98" i="23" s="1"/>
  <c r="M19" i="8"/>
  <c r="M19" i="23" s="1"/>
  <c r="M88" i="23" s="1"/>
  <c r="M52" i="8"/>
  <c r="M52" i="23" s="1"/>
  <c r="M121" i="23" s="1"/>
  <c r="M7" i="8"/>
  <c r="M7" i="23" s="1"/>
  <c r="M76" i="23" s="1"/>
  <c r="M8" i="8"/>
  <c r="M8" i="23" s="1"/>
  <c r="M77" i="23" s="1"/>
  <c r="M25" i="8"/>
  <c r="M25" i="23" s="1"/>
  <c r="M94" i="23" s="1"/>
  <c r="M22" i="8"/>
  <c r="M22" i="23" s="1"/>
  <c r="M91" i="23" s="1"/>
  <c r="M26" i="8"/>
  <c r="M26" i="23" s="1"/>
  <c r="M95" i="23" s="1"/>
  <c r="M47" i="8"/>
  <c r="M47" i="23" s="1"/>
  <c r="M116" i="23" s="1"/>
  <c r="M53" i="8"/>
  <c r="M53" i="23" s="1"/>
  <c r="M122" i="23" s="1"/>
  <c r="M10" i="8"/>
  <c r="M10" i="23" s="1"/>
  <c r="M79" i="23" s="1"/>
  <c r="M5" i="8"/>
  <c r="M23" i="8"/>
  <c r="M23" i="23" s="1"/>
  <c r="M92" i="23" s="1"/>
  <c r="M45" i="8"/>
  <c r="M45" i="23" s="1"/>
  <c r="M114" i="23" s="1"/>
  <c r="M56" i="8"/>
  <c r="M56" i="23" s="1"/>
  <c r="M125" i="23" s="1"/>
  <c r="M16" i="8"/>
  <c r="M16" i="23" s="1"/>
  <c r="M85" i="23" s="1"/>
  <c r="M40" i="8"/>
  <c r="M40" i="23" s="1"/>
  <c r="M109" i="23" s="1"/>
  <c r="M48" i="8"/>
  <c r="M48" i="23" s="1"/>
  <c r="M117" i="23" s="1"/>
  <c r="M38" i="8"/>
  <c r="M38" i="23" s="1"/>
  <c r="M107" i="23" s="1"/>
  <c r="M39" i="8"/>
  <c r="M39" i="23" s="1"/>
  <c r="M108" i="23" s="1"/>
  <c r="M32" i="8"/>
  <c r="M32" i="23" s="1"/>
  <c r="M101" i="23" s="1"/>
  <c r="M27" i="8"/>
  <c r="M27" i="23" s="1"/>
  <c r="M96" i="23" s="1"/>
  <c r="M59" i="8"/>
  <c r="M59" i="23" s="1"/>
  <c r="M128" i="23" s="1"/>
  <c r="M34" i="8"/>
  <c r="M34" i="23" s="1"/>
  <c r="M103" i="23" s="1"/>
  <c r="M18" i="8"/>
  <c r="M18" i="23" s="1"/>
  <c r="M87" i="23" s="1"/>
  <c r="M6" i="8"/>
  <c r="M6" i="23" s="1"/>
  <c r="M75" i="23" s="1"/>
  <c r="M30" i="8"/>
  <c r="M30" i="23" s="1"/>
  <c r="M99" i="23" s="1"/>
  <c r="M9" i="8"/>
  <c r="M9" i="23" s="1"/>
  <c r="M78" i="23" s="1"/>
  <c r="M42" i="8"/>
  <c r="M42" i="23" s="1"/>
  <c r="M111" i="23" s="1"/>
  <c r="V51" i="9"/>
  <c r="AB51" i="9" s="1"/>
  <c r="AB51" i="7"/>
  <c r="V46" i="9"/>
  <c r="AB46" i="9" s="1"/>
  <c r="AB46" i="7"/>
  <c r="V6" i="9"/>
  <c r="AB6" i="9" s="1"/>
  <c r="AB6" i="7"/>
  <c r="V36" i="9"/>
  <c r="AB36" i="9" s="1"/>
  <c r="AB36" i="7"/>
  <c r="AB58" i="7"/>
  <c r="V58" i="9"/>
  <c r="AB58" i="9" s="1"/>
  <c r="V49" i="9"/>
  <c r="AB49" i="9" s="1"/>
  <c r="AB49" i="7"/>
  <c r="V11" i="9"/>
  <c r="AB11" i="9" s="1"/>
  <c r="AB11" i="7"/>
  <c r="V7" i="9"/>
  <c r="AB7" i="9" s="1"/>
  <c r="AB7" i="7"/>
  <c r="V61" i="9"/>
  <c r="AB61" i="9" s="1"/>
  <c r="AB61" i="7"/>
  <c r="V60" i="9"/>
  <c r="AB60" i="9" s="1"/>
  <c r="AB60" i="7"/>
  <c r="V14" i="9"/>
  <c r="AB14" i="9" s="1"/>
  <c r="AB14" i="7"/>
  <c r="V10" i="9"/>
  <c r="AB10" i="9" s="1"/>
  <c r="AB10" i="7"/>
  <c r="V67" i="9"/>
  <c r="AB67" i="9" s="1"/>
  <c r="AB67" i="7"/>
  <c r="V66" i="9"/>
  <c r="AB66" i="9" s="1"/>
  <c r="AB66" i="7"/>
  <c r="V37" i="9"/>
  <c r="AB37" i="9" s="1"/>
  <c r="AB37" i="7"/>
  <c r="AB34" i="7"/>
  <c r="V34" i="9"/>
  <c r="AB34" i="9" s="1"/>
  <c r="X55" i="23"/>
  <c r="X124" i="23" s="1"/>
  <c r="X5" i="23"/>
  <c r="X74" i="23" s="1"/>
  <c r="Y70" i="8"/>
  <c r="X9" i="23"/>
  <c r="X78" i="23" s="1"/>
  <c r="X14" i="23"/>
  <c r="X83" i="23" s="1"/>
  <c r="X51" i="23"/>
  <c r="X120" i="23" s="1"/>
  <c r="R26" i="8"/>
  <c r="R26" i="23" s="1"/>
  <c r="R95" i="23" s="1"/>
  <c r="R65" i="8"/>
  <c r="R65" i="23" s="1"/>
  <c r="R134" i="23" s="1"/>
  <c r="R46" i="8"/>
  <c r="R8" i="8"/>
  <c r="R8" i="23" s="1"/>
  <c r="R77" i="23" s="1"/>
  <c r="R27" i="8"/>
  <c r="R27" i="23" s="1"/>
  <c r="R96" i="23" s="1"/>
  <c r="R52" i="8"/>
  <c r="R52" i="23" s="1"/>
  <c r="R121" i="23" s="1"/>
  <c r="R62" i="8"/>
  <c r="R62" i="23" s="1"/>
  <c r="R131" i="23" s="1"/>
  <c r="R45" i="8"/>
  <c r="R58" i="8"/>
  <c r="R58" i="23" s="1"/>
  <c r="R127" i="23" s="1"/>
  <c r="R9" i="8"/>
  <c r="R9" i="23" s="1"/>
  <c r="R78" i="23" s="1"/>
  <c r="R34" i="8"/>
  <c r="R34" i="23" s="1"/>
  <c r="R103" i="23" s="1"/>
  <c r="R51" i="8"/>
  <c r="R51" i="23" s="1"/>
  <c r="R120" i="23" s="1"/>
  <c r="R16" i="8"/>
  <c r="R16" i="23" s="1"/>
  <c r="R85" i="23" s="1"/>
  <c r="R56" i="8"/>
  <c r="R56" i="23" s="1"/>
  <c r="R125" i="23" s="1"/>
  <c r="R37" i="8"/>
  <c r="R37" i="23" s="1"/>
  <c r="R106" i="23" s="1"/>
  <c r="R30" i="8"/>
  <c r="R30" i="23" s="1"/>
  <c r="R99" i="23" s="1"/>
  <c r="R59" i="8"/>
  <c r="R59" i="23" s="1"/>
  <c r="R128" i="23" s="1"/>
  <c r="R40" i="8"/>
  <c r="R31" i="8"/>
  <c r="R31" i="23" s="1"/>
  <c r="R100" i="23" s="1"/>
  <c r="R63" i="8"/>
  <c r="R63" i="23" s="1"/>
  <c r="R132" i="23" s="1"/>
  <c r="R32" i="8"/>
  <c r="R32" i="23" s="1"/>
  <c r="R101" i="23" s="1"/>
  <c r="R11" i="8"/>
  <c r="R11" i="23" s="1"/>
  <c r="R80" i="23" s="1"/>
  <c r="R23" i="8"/>
  <c r="R23" i="23" s="1"/>
  <c r="R92" i="23" s="1"/>
  <c r="R48" i="8"/>
  <c r="R48" i="23" s="1"/>
  <c r="R117" i="23" s="1"/>
  <c r="R24" i="8"/>
  <c r="R24" i="23" s="1"/>
  <c r="R93" i="23" s="1"/>
  <c r="R68" i="8"/>
  <c r="R68" i="23" s="1"/>
  <c r="R137" i="23" s="1"/>
  <c r="R25" i="8"/>
  <c r="R25" i="23" s="1"/>
  <c r="R94" i="23" s="1"/>
  <c r="R64" i="8"/>
  <c r="R64" i="23" s="1"/>
  <c r="R133" i="23" s="1"/>
  <c r="R18" i="8"/>
  <c r="R18" i="23" s="1"/>
  <c r="R87" i="23" s="1"/>
  <c r="R28" i="8"/>
  <c r="R28" i="23" s="1"/>
  <c r="R97" i="23" s="1"/>
  <c r="R53" i="8"/>
  <c r="R53" i="23" s="1"/>
  <c r="R122" i="23" s="1"/>
  <c r="R14" i="8"/>
  <c r="R14" i="23" s="1"/>
  <c r="R83" i="23" s="1"/>
  <c r="R33" i="8"/>
  <c r="R33" i="23" s="1"/>
  <c r="R102" i="23" s="1"/>
  <c r="R19" i="8"/>
  <c r="R19" i="23" s="1"/>
  <c r="R88" i="23" s="1"/>
  <c r="R10" i="8"/>
  <c r="R10" i="23" s="1"/>
  <c r="R79" i="23" s="1"/>
  <c r="R39" i="8"/>
  <c r="R17" i="8"/>
  <c r="R17" i="23" s="1"/>
  <c r="R86" i="23" s="1"/>
  <c r="R61" i="8"/>
  <c r="R61" i="23" s="1"/>
  <c r="R130" i="23" s="1"/>
  <c r="R6" i="8"/>
  <c r="R6" i="23" s="1"/>
  <c r="R75" i="23" s="1"/>
  <c r="R57" i="8"/>
  <c r="R57" i="23" s="1"/>
  <c r="R126" i="23" s="1"/>
  <c r="R36" i="8"/>
  <c r="R36" i="23" s="1"/>
  <c r="R105" i="23" s="1"/>
  <c r="R5" i="8"/>
  <c r="R41" i="8"/>
  <c r="R60" i="8"/>
  <c r="R60" i="23" s="1"/>
  <c r="R129" i="23" s="1"/>
  <c r="R50" i="8"/>
  <c r="R50" i="23" s="1"/>
  <c r="R119" i="23" s="1"/>
  <c r="R49" i="8"/>
  <c r="R49" i="23" s="1"/>
  <c r="R118" i="23" s="1"/>
  <c r="R12" i="8"/>
  <c r="R12" i="23" s="1"/>
  <c r="R81" i="23" s="1"/>
  <c r="R66" i="8"/>
  <c r="R66" i="23" s="1"/>
  <c r="R135" i="23" s="1"/>
  <c r="R22" i="8"/>
  <c r="R22" i="23" s="1"/>
  <c r="R91" i="23" s="1"/>
  <c r="R44" i="8"/>
  <c r="R38" i="8"/>
  <c r="R20" i="8"/>
  <c r="R20" i="23" s="1"/>
  <c r="R89" i="23" s="1"/>
  <c r="R55" i="8"/>
  <c r="R55" i="23" s="1"/>
  <c r="R124" i="23" s="1"/>
  <c r="R42" i="8"/>
  <c r="R42" i="23" s="1"/>
  <c r="R111" i="23" s="1"/>
  <c r="R29" i="8"/>
  <c r="R29" i="23" s="1"/>
  <c r="R98" i="23" s="1"/>
  <c r="R43" i="8"/>
  <c r="R47" i="8"/>
  <c r="R47" i="23" s="1"/>
  <c r="R116" i="23" s="1"/>
  <c r="R15" i="8"/>
  <c r="R15" i="23" s="1"/>
  <c r="R84" i="23" s="1"/>
  <c r="R13" i="8"/>
  <c r="R13" i="23" s="1"/>
  <c r="R82" i="23" s="1"/>
  <c r="R54" i="8"/>
  <c r="R54" i="23" s="1"/>
  <c r="R123" i="23" s="1"/>
  <c r="R35" i="8"/>
  <c r="R35" i="23" s="1"/>
  <c r="R104" i="23" s="1"/>
  <c r="R67" i="8"/>
  <c r="R67" i="23" s="1"/>
  <c r="R136" i="23" s="1"/>
  <c r="R7" i="8"/>
  <c r="R7" i="23" s="1"/>
  <c r="R76" i="23" s="1"/>
  <c r="R21" i="8"/>
  <c r="R21" i="23" s="1"/>
  <c r="R90" i="23" s="1"/>
  <c r="P14" i="25"/>
  <c r="P15" i="25"/>
  <c r="T5" i="23"/>
  <c r="T74" i="23" s="1"/>
  <c r="U70" i="8"/>
  <c r="AD33" i="8"/>
  <c r="AA33" i="23"/>
  <c r="AA102" i="23" s="1"/>
  <c r="AD35" i="8"/>
  <c r="AA35" i="23"/>
  <c r="AA104" i="23" s="1"/>
  <c r="AD68" i="8"/>
  <c r="AA68" i="23"/>
  <c r="AA137" i="23" s="1"/>
  <c r="AD14" i="8"/>
  <c r="AA14" i="23"/>
  <c r="AA83" i="23" s="1"/>
  <c r="AA58" i="23"/>
  <c r="AA127" i="23" s="1"/>
  <c r="AD58" i="8"/>
  <c r="AD22" i="8"/>
  <c r="AA22" i="23"/>
  <c r="AA91" i="23" s="1"/>
  <c r="AA5" i="23"/>
  <c r="AA74" i="23" s="1"/>
  <c r="AD5" i="8"/>
  <c r="AC70" i="8"/>
  <c r="AD52" i="8"/>
  <c r="AA52" i="23"/>
  <c r="AA121" i="23" s="1"/>
  <c r="AD55" i="8"/>
  <c r="AA55" i="23"/>
  <c r="AA124" i="23" s="1"/>
  <c r="AD38" i="8"/>
  <c r="AA38" i="23"/>
  <c r="AA107" i="23" s="1"/>
  <c r="AD48" i="8"/>
  <c r="AA48" i="23"/>
  <c r="AA117" i="23" s="1"/>
  <c r="AA67" i="23"/>
  <c r="AA136" i="23" s="1"/>
  <c r="AD67" i="8"/>
  <c r="AD9" i="8"/>
  <c r="AA9" i="23"/>
  <c r="AA78" i="23" s="1"/>
  <c r="AD30" i="8"/>
  <c r="AA30" i="23"/>
  <c r="AA99" i="23" s="1"/>
  <c r="AD29" i="8"/>
  <c r="AA29" i="23"/>
  <c r="AA98" i="23" s="1"/>
  <c r="AD41" i="8"/>
  <c r="AA41" i="23"/>
  <c r="AA110" i="23" s="1"/>
  <c r="W5" i="23"/>
  <c r="W74" i="23" s="1"/>
  <c r="X70" i="8"/>
  <c r="M17" i="8"/>
  <c r="M17" i="23" s="1"/>
  <c r="M86" i="23" s="1"/>
  <c r="X58" i="11"/>
  <c r="AB68" i="7"/>
  <c r="V68" i="9"/>
  <c r="AB68" i="9" s="1"/>
  <c r="AB54" i="7"/>
  <c r="V54" i="9"/>
  <c r="AB54" i="9" s="1"/>
  <c r="AB22" i="7"/>
  <c r="V22" i="9"/>
  <c r="AB22" i="9" s="1"/>
  <c r="AB18" i="7"/>
  <c r="V18" i="9"/>
  <c r="AB18" i="9" s="1"/>
  <c r="V52" i="9"/>
  <c r="AB52" i="9" s="1"/>
  <c r="AB52" i="7"/>
  <c r="AB9" i="7"/>
  <c r="V9" i="9"/>
  <c r="AB9" i="9" s="1"/>
  <c r="AB5" i="7"/>
  <c r="V70" i="7"/>
  <c r="V75" i="7" s="1"/>
  <c r="V48" i="8" s="1"/>
  <c r="V5" i="9"/>
  <c r="AB23" i="7"/>
  <c r="V23" i="9"/>
  <c r="AB23" i="9" s="1"/>
  <c r="AB57" i="7"/>
  <c r="V57" i="9"/>
  <c r="AB57" i="9" s="1"/>
  <c r="AB12" i="7"/>
  <c r="V12" i="9"/>
  <c r="AB12" i="9" s="1"/>
  <c r="AB8" i="7"/>
  <c r="V8" i="9"/>
  <c r="AB8" i="9" s="1"/>
  <c r="AB42" i="7"/>
  <c r="V42" i="9"/>
  <c r="AB42" i="9" s="1"/>
  <c r="V40" i="9"/>
  <c r="AB40" i="9" s="1"/>
  <c r="AB40" i="7"/>
  <c r="V44" i="9"/>
  <c r="AB44" i="9" s="1"/>
  <c r="AB44" i="7"/>
  <c r="AB19" i="7"/>
  <c r="V19" i="9"/>
  <c r="AB19" i="9" s="1"/>
  <c r="AB15" i="7"/>
  <c r="V15" i="9"/>
  <c r="AB15" i="9" s="1"/>
  <c r="X41" i="23"/>
  <c r="X110" i="23" s="1"/>
  <c r="X50" i="23"/>
  <c r="X119" i="23" s="1"/>
  <c r="X46" i="23"/>
  <c r="X115" i="23" s="1"/>
  <c r="X19" i="23"/>
  <c r="X88" i="23" s="1"/>
  <c r="X48" i="23"/>
  <c r="X117" i="23" s="1"/>
  <c r="X24" i="23"/>
  <c r="X93" i="23" s="1"/>
  <c r="X8" i="23"/>
  <c r="X77" i="23" s="1"/>
  <c r="X7" i="23"/>
  <c r="X76" i="23" s="1"/>
  <c r="X30" i="23"/>
  <c r="X99" i="23" s="1"/>
  <c r="X6" i="23"/>
  <c r="X75" i="23" s="1"/>
  <c r="Q5" i="23"/>
  <c r="Q74" i="23" s="1"/>
  <c r="Q70" i="8"/>
  <c r="AD5" i="23"/>
  <c r="AD74" i="23" s="1"/>
  <c r="AH70" i="8"/>
  <c r="AD18" i="8"/>
  <c r="AA18" i="23"/>
  <c r="AA87" i="23" s="1"/>
  <c r="AD36" i="8"/>
  <c r="AA36" i="23"/>
  <c r="AA105" i="23" s="1"/>
  <c r="AA27" i="23"/>
  <c r="AA96" i="23" s="1"/>
  <c r="AD27" i="8"/>
  <c r="AD43" i="8"/>
  <c r="AA43" i="23"/>
  <c r="AA112" i="23" s="1"/>
  <c r="AD7" i="8"/>
  <c r="AA7" i="23"/>
  <c r="AA76" i="23" s="1"/>
  <c r="AD40" i="8"/>
  <c r="AA40" i="23"/>
  <c r="AA109" i="23" s="1"/>
  <c r="AD8" i="8"/>
  <c r="AA8" i="23"/>
  <c r="AA77" i="23" s="1"/>
  <c r="AD50" i="8"/>
  <c r="AA50" i="23"/>
  <c r="AA119" i="23" s="1"/>
  <c r="AD44" i="8"/>
  <c r="AA44" i="23"/>
  <c r="AA113" i="23" s="1"/>
  <c r="AD21" i="8"/>
  <c r="AA21" i="23"/>
  <c r="AA90" i="23" s="1"/>
  <c r="AD17" i="8"/>
  <c r="AA17" i="23"/>
  <c r="AA86" i="23" s="1"/>
  <c r="AD15" i="8"/>
  <c r="AA15" i="23"/>
  <c r="AA84" i="23" s="1"/>
  <c r="AD64" i="8"/>
  <c r="AA64" i="23"/>
  <c r="AA133" i="23" s="1"/>
  <c r="AD59" i="8"/>
  <c r="AA59" i="23"/>
  <c r="AA128" i="23" s="1"/>
  <c r="AA10" i="23"/>
  <c r="AA79" i="23" s="1"/>
  <c r="AD10" i="8"/>
  <c r="AD49" i="8"/>
  <c r="AA49" i="23"/>
  <c r="AA118" i="23" s="1"/>
  <c r="P5" i="23"/>
  <c r="P74" i="23" s="1"/>
  <c r="P70" i="8"/>
  <c r="M28" i="8"/>
  <c r="M28" i="23" s="1"/>
  <c r="M97" i="23" s="1"/>
  <c r="L6" i="24"/>
  <c r="L58" i="24" s="1"/>
  <c r="L44" i="24"/>
  <c r="L96" i="24" s="1"/>
  <c r="L29" i="24"/>
  <c r="L81" i="24" s="1"/>
  <c r="L33" i="24"/>
  <c r="L85" i="24" s="1"/>
  <c r="L24" i="24"/>
  <c r="L76" i="24" s="1"/>
  <c r="L13" i="24"/>
  <c r="L65" i="24" s="1"/>
  <c r="L20" i="24"/>
  <c r="L72" i="24" s="1"/>
  <c r="L47" i="24"/>
  <c r="L99" i="24" s="1"/>
  <c r="L36" i="24"/>
  <c r="L88" i="24" s="1"/>
  <c r="L15" i="24"/>
  <c r="L67" i="24" s="1"/>
  <c r="L7" i="24"/>
  <c r="L59" i="24" s="1"/>
  <c r="L38" i="24"/>
  <c r="L90" i="24" s="1"/>
  <c r="L27" i="24"/>
  <c r="L79" i="24" s="1"/>
  <c r="L14" i="24"/>
  <c r="L66" i="24" s="1"/>
  <c r="L35" i="24"/>
  <c r="L87" i="24" s="1"/>
  <c r="L43" i="24"/>
  <c r="L95" i="24" s="1"/>
  <c r="L17" i="24"/>
  <c r="L69" i="24" s="1"/>
  <c r="L31" i="24"/>
  <c r="L83" i="24" s="1"/>
  <c r="L39" i="24"/>
  <c r="L91" i="24" s="1"/>
  <c r="L11" i="24"/>
  <c r="L63" i="24" s="1"/>
  <c r="L45" i="24"/>
  <c r="L97" i="24" s="1"/>
  <c r="L46" i="24"/>
  <c r="L98" i="24" s="1"/>
  <c r="L9" i="24"/>
  <c r="L61" i="24" s="1"/>
  <c r="L48" i="24"/>
  <c r="L100" i="24" s="1"/>
  <c r="AA458" i="16"/>
  <c r="AA454" i="16"/>
  <c r="AA450" i="16"/>
  <c r="AA446" i="16"/>
  <c r="AA442" i="16"/>
  <c r="AA438" i="16"/>
  <c r="AA434" i="16"/>
  <c r="AA430" i="16"/>
  <c r="AA426" i="16"/>
  <c r="AA461" i="16"/>
  <c r="AA457" i="16"/>
  <c r="AA453" i="16"/>
  <c r="AA449" i="16"/>
  <c r="AA445" i="16"/>
  <c r="AA441" i="16"/>
  <c r="AA437" i="16"/>
  <c r="AA433" i="16"/>
  <c r="AA429" i="16"/>
  <c r="AA460" i="16"/>
  <c r="AA456" i="16"/>
  <c r="AA452" i="16"/>
  <c r="AA448" i="16"/>
  <c r="AA444" i="16"/>
  <c r="AA440" i="16"/>
  <c r="AA436" i="16"/>
  <c r="AA432" i="16"/>
  <c r="AA428" i="16"/>
  <c r="AA206" i="17"/>
  <c r="AA205" i="17"/>
  <c r="AA204" i="17"/>
  <c r="AA203" i="17"/>
  <c r="AA202" i="17"/>
  <c r="AA201" i="17"/>
  <c r="AA200" i="17"/>
  <c r="AA199" i="17"/>
  <c r="AA198" i="17"/>
  <c r="AA197" i="17"/>
  <c r="AA196" i="17"/>
  <c r="AA195" i="17"/>
  <c r="AA194" i="17"/>
  <c r="AA193" i="17"/>
  <c r="AA192" i="17"/>
  <c r="AA191" i="17"/>
  <c r="AA190" i="17"/>
  <c r="AA189" i="17"/>
  <c r="AA188" i="17"/>
  <c r="AA187" i="17"/>
  <c r="AA186" i="17"/>
  <c r="AA185" i="17"/>
  <c r="AA184" i="17"/>
  <c r="AA183" i="17"/>
  <c r="AA182" i="17"/>
  <c r="AA181" i="17"/>
  <c r="AA180" i="17"/>
  <c r="AA179" i="17"/>
  <c r="AA178" i="17"/>
  <c r="AA177" i="17"/>
  <c r="AA176" i="17"/>
  <c r="AA175" i="17"/>
  <c r="AA174" i="17"/>
  <c r="AA173" i="17"/>
  <c r="AA172" i="17"/>
  <c r="AA171" i="17"/>
  <c r="AA459" i="16"/>
  <c r="AA455" i="16"/>
  <c r="AA451" i="16"/>
  <c r="AA447" i="16"/>
  <c r="AA443" i="16"/>
  <c r="AA439" i="16"/>
  <c r="AA435" i="16"/>
  <c r="AA431" i="16"/>
  <c r="AA427" i="16"/>
  <c r="L49" i="24"/>
  <c r="L101" i="24" s="1"/>
  <c r="L18" i="24"/>
  <c r="L70" i="24" s="1"/>
  <c r="L37" i="24"/>
  <c r="L89" i="24" s="1"/>
  <c r="L26" i="24"/>
  <c r="L78" i="24" s="1"/>
  <c r="L8" i="24"/>
  <c r="L60" i="24" s="1"/>
  <c r="L32" i="24"/>
  <c r="L84" i="24" s="1"/>
  <c r="L40" i="24"/>
  <c r="L92" i="24" s="1"/>
  <c r="L25" i="24"/>
  <c r="L77" i="24" s="1"/>
  <c r="L30" i="24"/>
  <c r="L82" i="24" s="1"/>
  <c r="L42" i="24"/>
  <c r="L94" i="24" s="1"/>
  <c r="L19" i="24"/>
  <c r="L71" i="24" s="1"/>
  <c r="L50" i="24"/>
  <c r="L102" i="24" s="1"/>
  <c r="L22" i="24"/>
  <c r="L74" i="24" s="1"/>
  <c r="L12" i="24"/>
  <c r="L64" i="24" s="1"/>
  <c r="L51" i="24"/>
  <c r="L103" i="24" s="1"/>
  <c r="L23" i="24"/>
  <c r="L75" i="24" s="1"/>
  <c r="L41" i="24"/>
  <c r="L93" i="24" s="1"/>
  <c r="L21" i="24"/>
  <c r="L73" i="24" s="1"/>
  <c r="L16" i="24"/>
  <c r="L68" i="24" s="1"/>
  <c r="L10" i="24"/>
  <c r="L62" i="24" s="1"/>
  <c r="L28" i="24"/>
  <c r="L80" i="24" s="1"/>
  <c r="L34" i="24"/>
  <c r="L86" i="24" s="1"/>
  <c r="X18" i="12"/>
  <c r="Y18" i="12" s="1"/>
  <c r="AB18" i="12" s="1"/>
  <c r="X18" i="13"/>
  <c r="X12" i="12"/>
  <c r="Y12" i="12" s="1"/>
  <c r="X12" i="13"/>
  <c r="AG74" i="6"/>
  <c r="AG72" i="9"/>
  <c r="AG72" i="8"/>
  <c r="AG72" i="7"/>
  <c r="X33" i="12"/>
  <c r="Y33" i="12" s="1"/>
  <c r="X33" i="13"/>
  <c r="X24" i="12"/>
  <c r="Y24" i="12" s="1"/>
  <c r="X24" i="13"/>
  <c r="X11" i="12"/>
  <c r="Y11" i="12" s="1"/>
  <c r="AB11" i="12" s="1"/>
  <c r="X11" i="13"/>
  <c r="X41" i="12"/>
  <c r="Y41" i="12" s="1"/>
  <c r="AB41" i="12" s="1"/>
  <c r="X41" i="13"/>
  <c r="X21" i="12"/>
  <c r="Y21" i="12" s="1"/>
  <c r="AB21" i="12" s="1"/>
  <c r="X21" i="13"/>
  <c r="X38" i="12"/>
  <c r="Y38" i="12" s="1"/>
  <c r="AB38" i="12" s="1"/>
  <c r="X38" i="13"/>
  <c r="X27" i="12"/>
  <c r="Y27" i="12" s="1"/>
  <c r="X19" i="12"/>
  <c r="Y19" i="12" s="1"/>
  <c r="AB19" i="12" s="1"/>
  <c r="X19" i="13"/>
  <c r="X14" i="12"/>
  <c r="Y14" i="12" s="1"/>
  <c r="X14" i="13"/>
  <c r="X44" i="12"/>
  <c r="Y44" i="12" s="1"/>
  <c r="AB44" i="12" s="1"/>
  <c r="X44" i="13"/>
  <c r="X29" i="12"/>
  <c r="Y29" i="12" s="1"/>
  <c r="AB29" i="12" s="1"/>
  <c r="AB12" i="12"/>
  <c r="X51" i="13"/>
  <c r="X23" i="12"/>
  <c r="Y23" i="12" s="1"/>
  <c r="AB23" i="12" s="1"/>
  <c r="X23" i="13"/>
  <c r="X32" i="12"/>
  <c r="Y32" i="12" s="1"/>
  <c r="X32" i="13"/>
  <c r="X40" i="12"/>
  <c r="Y40" i="12" s="1"/>
  <c r="AB40" i="12" s="1"/>
  <c r="X40" i="13"/>
  <c r="X9" i="12"/>
  <c r="Y9" i="12" s="1"/>
  <c r="X9" i="13"/>
  <c r="X28" i="12"/>
  <c r="Y28" i="12" s="1"/>
  <c r="AB28" i="12" s="1"/>
  <c r="X28" i="13"/>
  <c r="X34" i="12"/>
  <c r="Y34" i="12" s="1"/>
  <c r="AB34" i="12" s="1"/>
  <c r="X34" i="13"/>
  <c r="E46" i="5"/>
  <c r="Y55" i="13"/>
  <c r="Y55" i="12"/>
  <c r="Y55" i="11"/>
  <c r="Y55" i="10"/>
  <c r="X6" i="12"/>
  <c r="Y6" i="12" s="1"/>
  <c r="X6" i="13"/>
  <c r="L53" i="13"/>
  <c r="Q5" i="13"/>
  <c r="X50" i="12"/>
  <c r="Y50" i="12" s="1"/>
  <c r="AB50" i="12" s="1"/>
  <c r="X50" i="13"/>
  <c r="X22" i="12"/>
  <c r="Y22" i="12" s="1"/>
  <c r="AB22" i="12" s="1"/>
  <c r="X22" i="13"/>
  <c r="X37" i="12"/>
  <c r="Y37" i="12" s="1"/>
  <c r="AB37" i="12" s="1"/>
  <c r="X37" i="13"/>
  <c r="X26" i="12"/>
  <c r="Y26" i="12" s="1"/>
  <c r="AB26" i="12" s="1"/>
  <c r="X26" i="13"/>
  <c r="X45" i="12"/>
  <c r="Y45" i="12" s="1"/>
  <c r="AB45" i="12" s="1"/>
  <c r="X45" i="13"/>
  <c r="X46" i="12"/>
  <c r="Y46" i="12" s="1"/>
  <c r="AB46" i="12" s="1"/>
  <c r="X46" i="13"/>
  <c r="X25" i="12"/>
  <c r="Y25" i="12" s="1"/>
  <c r="X25" i="13"/>
  <c r="X7" i="12"/>
  <c r="Y7" i="12" s="1"/>
  <c r="AB7" i="12" s="1"/>
  <c r="X7" i="13"/>
  <c r="X30" i="12"/>
  <c r="Y30" i="12" s="1"/>
  <c r="AB30" i="12" s="1"/>
  <c r="X30" i="13"/>
  <c r="X42" i="12"/>
  <c r="Y42" i="12" s="1"/>
  <c r="AB42" i="12" s="1"/>
  <c r="X42" i="13"/>
  <c r="L53" i="12"/>
  <c r="Q5" i="12"/>
  <c r="X17" i="12"/>
  <c r="Y17" i="12" s="1"/>
  <c r="X17" i="13"/>
  <c r="X31" i="12"/>
  <c r="Y31" i="12" s="1"/>
  <c r="AB31" i="12" s="1"/>
  <c r="X31" i="13"/>
  <c r="AB24" i="12"/>
  <c r="X20" i="12"/>
  <c r="Y20" i="12" s="1"/>
  <c r="X20" i="13"/>
  <c r="X8" i="12"/>
  <c r="Y8" i="12" s="1"/>
  <c r="X8" i="13"/>
  <c r="X47" i="12"/>
  <c r="Y47" i="12" s="1"/>
  <c r="AB47" i="12" s="1"/>
  <c r="X36" i="12"/>
  <c r="Y36" i="12" s="1"/>
  <c r="X36" i="13"/>
  <c r="X10" i="12"/>
  <c r="Y10" i="12" s="1"/>
  <c r="X10" i="13"/>
  <c r="X48" i="12"/>
  <c r="Y48" i="12" s="1"/>
  <c r="AB48" i="12" s="1"/>
  <c r="X48" i="13"/>
  <c r="AB6" i="12"/>
  <c r="Q53" i="11"/>
  <c r="AB5" i="11"/>
  <c r="X35" i="12"/>
  <c r="Y35" i="12" s="1"/>
  <c r="AB35" i="12" s="1"/>
  <c r="X35" i="13"/>
  <c r="X43" i="12"/>
  <c r="Y43" i="12" s="1"/>
  <c r="AB43" i="12" s="1"/>
  <c r="X43" i="13"/>
  <c r="E29" i="5"/>
  <c r="H11" i="26" l="1"/>
  <c r="H9" i="26"/>
  <c r="H7" i="26"/>
  <c r="H13" i="26" s="1"/>
  <c r="W53" i="13"/>
  <c r="E9" i="26"/>
  <c r="E11" i="26"/>
  <c r="E7" i="26"/>
  <c r="E13" i="26" s="1"/>
  <c r="AB36" i="12"/>
  <c r="AB20" i="12"/>
  <c r="AB17" i="12"/>
  <c r="AB9" i="12"/>
  <c r="AB32" i="12"/>
  <c r="X51" i="12"/>
  <c r="Y51" i="12" s="1"/>
  <c r="AB51" i="12" s="1"/>
  <c r="AB25" i="12"/>
  <c r="W53" i="12"/>
  <c r="D7" i="26"/>
  <c r="D13" i="26" s="1"/>
  <c r="D9" i="26"/>
  <c r="L9" i="26"/>
  <c r="L7" i="26"/>
  <c r="L13" i="26" s="1"/>
  <c r="L11" i="26"/>
  <c r="X39" i="13"/>
  <c r="X49" i="13"/>
  <c r="AB10" i="12"/>
  <c r="X47" i="13"/>
  <c r="U47" i="24" s="1"/>
  <c r="U99" i="24" s="1"/>
  <c r="AB8" i="12"/>
  <c r="X39" i="12"/>
  <c r="Y39" i="12" s="1"/>
  <c r="AB39" i="12" s="1"/>
  <c r="X49" i="12"/>
  <c r="Y49" i="12" s="1"/>
  <c r="AB49" i="12" s="1"/>
  <c r="AA53" i="12"/>
  <c r="D11" i="26"/>
  <c r="AB48" i="8"/>
  <c r="U48" i="23"/>
  <c r="U117" i="23" s="1"/>
  <c r="AB70" i="7"/>
  <c r="J7" i="25"/>
  <c r="J13" i="25" s="1"/>
  <c r="J11" i="25"/>
  <c r="J9" i="25"/>
  <c r="L11" i="25"/>
  <c r="L7" i="25"/>
  <c r="L13" i="25" s="1"/>
  <c r="L9" i="25"/>
  <c r="E7" i="25"/>
  <c r="E13" i="25" s="1"/>
  <c r="E11" i="25"/>
  <c r="E9" i="25"/>
  <c r="F9" i="25"/>
  <c r="F11" i="25"/>
  <c r="F7" i="25"/>
  <c r="F13" i="25" s="1"/>
  <c r="G9" i="25"/>
  <c r="G7" i="25"/>
  <c r="G13" i="25" s="1"/>
  <c r="G11" i="25"/>
  <c r="V39" i="8"/>
  <c r="M9" i="25"/>
  <c r="M7" i="25"/>
  <c r="M13" i="25" s="1"/>
  <c r="M11" i="25"/>
  <c r="AD70" i="8"/>
  <c r="R5" i="23"/>
  <c r="R74" i="23" s="1"/>
  <c r="R70" i="8"/>
  <c r="S75" i="8" s="1"/>
  <c r="S70" i="8"/>
  <c r="V26" i="8"/>
  <c r="V70" i="9"/>
  <c r="AB5" i="9"/>
  <c r="AB70" i="9" s="1"/>
  <c r="Q9" i="25"/>
  <c r="Q7" i="25"/>
  <c r="Q13" i="25" s="1"/>
  <c r="Q11" i="25"/>
  <c r="M5" i="23"/>
  <c r="M74" i="23" s="1"/>
  <c r="M70" i="8"/>
  <c r="B11" i="25"/>
  <c r="B9" i="25"/>
  <c r="B7" i="25"/>
  <c r="B13" i="25" s="1"/>
  <c r="T9" i="25"/>
  <c r="T7" i="25"/>
  <c r="T13" i="25" s="1"/>
  <c r="T11" i="25"/>
  <c r="V38" i="8"/>
  <c r="V63" i="8"/>
  <c r="V17" i="8"/>
  <c r="V13" i="8"/>
  <c r="V53" i="8"/>
  <c r="V19" i="8"/>
  <c r="V14" i="8"/>
  <c r="V12" i="8"/>
  <c r="V22" i="8"/>
  <c r="V7" i="8"/>
  <c r="V25" i="8"/>
  <c r="V45" i="8"/>
  <c r="V33" i="8"/>
  <c r="V36" i="8"/>
  <c r="V47" i="8"/>
  <c r="V46" i="8"/>
  <c r="V44" i="8"/>
  <c r="V10" i="8"/>
  <c r="V29" i="8"/>
  <c r="V60" i="8"/>
  <c r="V64" i="8"/>
  <c r="V37" i="8"/>
  <c r="V61" i="8"/>
  <c r="V18" i="8"/>
  <c r="V57" i="8"/>
  <c r="V32" i="8"/>
  <c r="V30" i="8"/>
  <c r="V50" i="8"/>
  <c r="V28" i="8"/>
  <c r="V49" i="8"/>
  <c r="V6" i="8"/>
  <c r="V52" i="8"/>
  <c r="V59" i="8"/>
  <c r="V54" i="8"/>
  <c r="V16" i="8"/>
  <c r="V55" i="8"/>
  <c r="V40" i="8"/>
  <c r="V23" i="8"/>
  <c r="V65" i="8"/>
  <c r="V15" i="8"/>
  <c r="V66" i="8"/>
  <c r="V9" i="8"/>
  <c r="V42" i="8"/>
  <c r="V21" i="8"/>
  <c r="V35" i="8"/>
  <c r="V62" i="8"/>
  <c r="V31" i="8"/>
  <c r="V27" i="8"/>
  <c r="V41" i="8"/>
  <c r="V24" i="8"/>
  <c r="V34" i="8"/>
  <c r="V67" i="8"/>
  <c r="V58" i="8"/>
  <c r="V8" i="8"/>
  <c r="V5" i="8"/>
  <c r="V11" i="8"/>
  <c r="V56" i="8"/>
  <c r="V51" i="8"/>
  <c r="V68" i="8"/>
  <c r="V20" i="8"/>
  <c r="N7" i="25"/>
  <c r="N13" i="25" s="1"/>
  <c r="N9" i="25"/>
  <c r="N11" i="25"/>
  <c r="V43" i="8"/>
  <c r="B7" i="26"/>
  <c r="B13" i="26" s="1"/>
  <c r="B9" i="26"/>
  <c r="L439" i="21"/>
  <c r="O439" i="21" s="1"/>
  <c r="AG439" i="16"/>
  <c r="L455" i="21"/>
  <c r="O455" i="21" s="1"/>
  <c r="AG455" i="16"/>
  <c r="AG436" i="16"/>
  <c r="L436" i="21"/>
  <c r="O436" i="21" s="1"/>
  <c r="AG452" i="16"/>
  <c r="L452" i="21"/>
  <c r="O452" i="21" s="1"/>
  <c r="AG433" i="16"/>
  <c r="L433" i="21"/>
  <c r="O433" i="21" s="1"/>
  <c r="AG449" i="16"/>
  <c r="L449" i="21"/>
  <c r="O449" i="21" s="1"/>
  <c r="L426" i="21"/>
  <c r="O426" i="21" s="1"/>
  <c r="AG426" i="16"/>
  <c r="L442" i="21"/>
  <c r="O442" i="21" s="1"/>
  <c r="AG442" i="16"/>
  <c r="L458" i="21"/>
  <c r="O458" i="21" s="1"/>
  <c r="AG458" i="16"/>
  <c r="L427" i="21"/>
  <c r="O427" i="21" s="1"/>
  <c r="AG427" i="16"/>
  <c r="L443" i="21"/>
  <c r="O443" i="21" s="1"/>
  <c r="AG443" i="16"/>
  <c r="L459" i="21"/>
  <c r="O459" i="21" s="1"/>
  <c r="AG459" i="16"/>
  <c r="AG440" i="16"/>
  <c r="L440" i="21"/>
  <c r="O440" i="21" s="1"/>
  <c r="AG456" i="16"/>
  <c r="L456" i="21"/>
  <c r="O456" i="21" s="1"/>
  <c r="AG437" i="16"/>
  <c r="L437" i="21"/>
  <c r="O437" i="21" s="1"/>
  <c r="AG453" i="16"/>
  <c r="L453" i="21"/>
  <c r="O453" i="21" s="1"/>
  <c r="L430" i="21"/>
  <c r="O430" i="21" s="1"/>
  <c r="AG430" i="16"/>
  <c r="L446" i="21"/>
  <c r="O446" i="21" s="1"/>
  <c r="AG446" i="16"/>
  <c r="B11" i="26"/>
  <c r="AB53" i="11"/>
  <c r="L431" i="21"/>
  <c r="O431" i="21" s="1"/>
  <c r="AG431" i="16"/>
  <c r="L447" i="21"/>
  <c r="O447" i="21" s="1"/>
  <c r="AG447" i="16"/>
  <c r="AG428" i="16"/>
  <c r="L428" i="21"/>
  <c r="O428" i="21" s="1"/>
  <c r="AG444" i="16"/>
  <c r="L444" i="21"/>
  <c r="O444" i="21" s="1"/>
  <c r="AG460" i="16"/>
  <c r="L460" i="21"/>
  <c r="O460" i="21" s="1"/>
  <c r="AG441" i="16"/>
  <c r="L441" i="21"/>
  <c r="O441" i="21" s="1"/>
  <c r="AG457" i="16"/>
  <c r="L457" i="21"/>
  <c r="O457" i="21" s="1"/>
  <c r="L434" i="21"/>
  <c r="O434" i="21" s="1"/>
  <c r="AG434" i="16"/>
  <c r="L450" i="21"/>
  <c r="O450" i="21" s="1"/>
  <c r="AG450" i="16"/>
  <c r="L435" i="21"/>
  <c r="O435" i="21" s="1"/>
  <c r="AG435" i="16"/>
  <c r="L451" i="21"/>
  <c r="O451" i="21" s="1"/>
  <c r="AG451" i="16"/>
  <c r="AG432" i="16"/>
  <c r="L432" i="21"/>
  <c r="O432" i="21" s="1"/>
  <c r="AG448" i="16"/>
  <c r="L448" i="21"/>
  <c r="O448" i="21" s="1"/>
  <c r="AG429" i="16"/>
  <c r="L429" i="21"/>
  <c r="O429" i="21" s="1"/>
  <c r="AG445" i="16"/>
  <c r="L445" i="21"/>
  <c r="O445" i="21" s="1"/>
  <c r="AG461" i="16"/>
  <c r="L461" i="21"/>
  <c r="O461" i="21" s="1"/>
  <c r="L438" i="21"/>
  <c r="O438" i="21" s="1"/>
  <c r="AG438" i="16"/>
  <c r="L454" i="21"/>
  <c r="O454" i="21" s="1"/>
  <c r="AG454" i="16"/>
  <c r="Y36" i="13"/>
  <c r="AB36" i="13" s="1"/>
  <c r="S19" i="30" s="1"/>
  <c r="U36" i="24"/>
  <c r="U88" i="24" s="1"/>
  <c r="Y17" i="13"/>
  <c r="AB17" i="13" s="1"/>
  <c r="U17" i="24"/>
  <c r="U69" i="24" s="1"/>
  <c r="Y42" i="13"/>
  <c r="AB42" i="13" s="1"/>
  <c r="U42" i="24"/>
  <c r="U94" i="24" s="1"/>
  <c r="Y43" i="13"/>
  <c r="AB43" i="13" s="1"/>
  <c r="U43" i="24"/>
  <c r="U95" i="24" s="1"/>
  <c r="Y8" i="13"/>
  <c r="AB8" i="13" s="1"/>
  <c r="U8" i="24"/>
  <c r="U60" i="24" s="1"/>
  <c r="Y39" i="13"/>
  <c r="AB39" i="13" s="1"/>
  <c r="S23" i="30" s="1"/>
  <c r="U39" i="24"/>
  <c r="U91" i="24" s="1"/>
  <c r="Y49" i="13"/>
  <c r="AB49" i="13" s="1"/>
  <c r="S30" i="30" s="1"/>
  <c r="U49" i="24"/>
  <c r="U101" i="24" s="1"/>
  <c r="Y46" i="13"/>
  <c r="AB46" i="13" s="1"/>
  <c r="U46" i="24"/>
  <c r="U98" i="24" s="1"/>
  <c r="Y28" i="13"/>
  <c r="AB28" i="13" s="1"/>
  <c r="U28" i="24"/>
  <c r="U80" i="24" s="1"/>
  <c r="Y40" i="13"/>
  <c r="AB40" i="13" s="1"/>
  <c r="S24" i="30" s="1"/>
  <c r="U40" i="24"/>
  <c r="U92" i="24" s="1"/>
  <c r="Y23" i="13"/>
  <c r="AB23" i="13" s="1"/>
  <c r="AA1365" i="16" s="1"/>
  <c r="AG1365" i="16" s="1"/>
  <c r="U23" i="24"/>
  <c r="U75" i="24" s="1"/>
  <c r="Y44" i="13"/>
  <c r="AB44" i="13" s="1"/>
  <c r="U44" i="24"/>
  <c r="U96" i="24" s="1"/>
  <c r="Y19" i="13"/>
  <c r="AB19" i="13" s="1"/>
  <c r="S7" i="30" s="1"/>
  <c r="U19" i="24"/>
  <c r="U71" i="24" s="1"/>
  <c r="Y38" i="13"/>
  <c r="AB38" i="13" s="1"/>
  <c r="S22" i="30" s="1"/>
  <c r="U38" i="24"/>
  <c r="U90" i="24" s="1"/>
  <c r="Y41" i="13"/>
  <c r="AB41" i="13" s="1"/>
  <c r="U41" i="24"/>
  <c r="U93" i="24" s="1"/>
  <c r="Y24" i="13"/>
  <c r="AB24" i="13" s="1"/>
  <c r="AA567" i="17" s="1"/>
  <c r="U24" i="24"/>
  <c r="U76" i="24" s="1"/>
  <c r="Y12" i="13"/>
  <c r="AB12" i="13" s="1"/>
  <c r="U12" i="24"/>
  <c r="U64" i="24" s="1"/>
  <c r="Y47" i="13"/>
  <c r="AB47" i="13" s="1"/>
  <c r="Y30" i="13"/>
  <c r="AB30" i="13" s="1"/>
  <c r="S12" i="30" s="1"/>
  <c r="U30" i="24"/>
  <c r="U82" i="24" s="1"/>
  <c r="Y25" i="13"/>
  <c r="AB25" i="13" s="1"/>
  <c r="S8" i="30" s="1"/>
  <c r="U25" i="24"/>
  <c r="U77" i="24" s="1"/>
  <c r="Y26" i="13"/>
  <c r="AB26" i="13" s="1"/>
  <c r="S10" i="30" s="1"/>
  <c r="U26" i="24"/>
  <c r="U78" i="24" s="1"/>
  <c r="Y22" i="13"/>
  <c r="AB22" i="13" s="1"/>
  <c r="AA1281" i="16" s="1"/>
  <c r="AG1281" i="16" s="1"/>
  <c r="U22" i="24"/>
  <c r="U74" i="24" s="1"/>
  <c r="Y34" i="13"/>
  <c r="AB34" i="13" s="1"/>
  <c r="S17" i="30" s="1"/>
  <c r="U34" i="24"/>
  <c r="U86" i="24" s="1"/>
  <c r="Y9" i="13"/>
  <c r="AB9" i="13" s="1"/>
  <c r="U9" i="24"/>
  <c r="U61" i="24" s="1"/>
  <c r="Y32" i="13"/>
  <c r="AB32" i="13" s="1"/>
  <c r="S14" i="30" s="1"/>
  <c r="U32" i="24"/>
  <c r="U84" i="24" s="1"/>
  <c r="Y51" i="13"/>
  <c r="AB51" i="13" s="1"/>
  <c r="S33" i="30" s="1"/>
  <c r="U51" i="24"/>
  <c r="U103" i="24" s="1"/>
  <c r="Y29" i="13"/>
  <c r="AB29" i="13" s="1"/>
  <c r="U29" i="24"/>
  <c r="U81" i="24" s="1"/>
  <c r="Y14" i="13"/>
  <c r="AB14" i="13" s="1"/>
  <c r="U14" i="24"/>
  <c r="U66" i="24" s="1"/>
  <c r="Y27" i="13"/>
  <c r="AB27" i="13" s="1"/>
  <c r="U27" i="24"/>
  <c r="U79" i="24" s="1"/>
  <c r="Y21" i="13"/>
  <c r="AB21" i="13" s="1"/>
  <c r="S11" i="30" s="1"/>
  <c r="U21" i="24"/>
  <c r="U73" i="24" s="1"/>
  <c r="Y11" i="13"/>
  <c r="AB11" i="13" s="1"/>
  <c r="U11" i="24"/>
  <c r="U63" i="24" s="1"/>
  <c r="Y33" i="13"/>
  <c r="AB33" i="13" s="1"/>
  <c r="U33" i="24"/>
  <c r="U85" i="24" s="1"/>
  <c r="Y18" i="13"/>
  <c r="AB18" i="13" s="1"/>
  <c r="S6" i="30" s="1"/>
  <c r="U18" i="24"/>
  <c r="U70" i="24" s="1"/>
  <c r="Y20" i="13"/>
  <c r="AB20" i="13" s="1"/>
  <c r="S9" i="30" s="1"/>
  <c r="U20" i="24"/>
  <c r="U72" i="24" s="1"/>
  <c r="Y45" i="13"/>
  <c r="AB45" i="13" s="1"/>
  <c r="S27" i="30" s="1"/>
  <c r="U45" i="24"/>
  <c r="U97" i="24" s="1"/>
  <c r="Y35" i="13"/>
  <c r="AB35" i="13" s="1"/>
  <c r="S18" i="30" s="1"/>
  <c r="U35" i="24"/>
  <c r="U87" i="24" s="1"/>
  <c r="Y48" i="13"/>
  <c r="AB48" i="13" s="1"/>
  <c r="U48" i="24"/>
  <c r="U100" i="24" s="1"/>
  <c r="Y10" i="13"/>
  <c r="AB10" i="13" s="1"/>
  <c r="U10" i="24"/>
  <c r="U62" i="24" s="1"/>
  <c r="Y31" i="13"/>
  <c r="AB31" i="13" s="1"/>
  <c r="S13" i="30" s="1"/>
  <c r="U31" i="24"/>
  <c r="U83" i="24" s="1"/>
  <c r="Y7" i="13"/>
  <c r="AB7" i="13" s="1"/>
  <c r="U7" i="24"/>
  <c r="U59" i="24" s="1"/>
  <c r="Y37" i="13"/>
  <c r="AB37" i="13" s="1"/>
  <c r="U37" i="24"/>
  <c r="U89" i="24" s="1"/>
  <c r="Y50" i="13"/>
  <c r="AB50" i="13" s="1"/>
  <c r="U50" i="24"/>
  <c r="U102" i="24" s="1"/>
  <c r="Y6" i="13"/>
  <c r="AB6" i="13" s="1"/>
  <c r="G6" i="30" s="1"/>
  <c r="U6" i="24"/>
  <c r="U58" i="24" s="1"/>
  <c r="AA153" i="16"/>
  <c r="AG153" i="16" s="1"/>
  <c r="AA43" i="17"/>
  <c r="AA42" i="17"/>
  <c r="AA1353" i="16"/>
  <c r="AG1353" i="16" s="1"/>
  <c r="AA1341" i="16"/>
  <c r="AG1341" i="16" s="1"/>
  <c r="AA1309" i="16"/>
  <c r="AG1309" i="16" s="1"/>
  <c r="AA1338" i="16"/>
  <c r="AG1338" i="16" s="1"/>
  <c r="AA1368" i="16"/>
  <c r="AG1368" i="16" s="1"/>
  <c r="AA1347" i="16"/>
  <c r="AG1347" i="16" s="1"/>
  <c r="AA1351" i="16"/>
  <c r="AG1351" i="16" s="1"/>
  <c r="AA1330" i="16"/>
  <c r="AG1330" i="16" s="1"/>
  <c r="AA1314" i="16"/>
  <c r="AG1314" i="16" s="1"/>
  <c r="AA474" i="17"/>
  <c r="AA461" i="17"/>
  <c r="AA489" i="17"/>
  <c r="AA463" i="17"/>
  <c r="AA520" i="17"/>
  <c r="AA516" i="17"/>
  <c r="AA510" i="17"/>
  <c r="AA506" i="17"/>
  <c r="AA503" i="17"/>
  <c r="AA491" i="17"/>
  <c r="AA486" i="17"/>
  <c r="AA475" i="17"/>
  <c r="AA459" i="17"/>
  <c r="AA103" i="16"/>
  <c r="AA99" i="16"/>
  <c r="AA95" i="16"/>
  <c r="AA91" i="16"/>
  <c r="AA87" i="16"/>
  <c r="AA49" i="16"/>
  <c r="AA45" i="16"/>
  <c r="AA41" i="16"/>
  <c r="AA37" i="16"/>
  <c r="AA9" i="16"/>
  <c r="AA102" i="16"/>
  <c r="AA98" i="16"/>
  <c r="AA94" i="16"/>
  <c r="AA90" i="16"/>
  <c r="AA48" i="16"/>
  <c r="AA44" i="16"/>
  <c r="AA40" i="16"/>
  <c r="AA8" i="16"/>
  <c r="AA101" i="16"/>
  <c r="AA93" i="16"/>
  <c r="AA43" i="16"/>
  <c r="AA7" i="16"/>
  <c r="AA100" i="16"/>
  <c r="AA92" i="16"/>
  <c r="AA42" i="16"/>
  <c r="AA96" i="16"/>
  <c r="AA38" i="16"/>
  <c r="AA105" i="16"/>
  <c r="AA97" i="16"/>
  <c r="AA89" i="16"/>
  <c r="AA47" i="16"/>
  <c r="AA39" i="16"/>
  <c r="AA11" i="16"/>
  <c r="AA104" i="16"/>
  <c r="AA88" i="16"/>
  <c r="AA46" i="16"/>
  <c r="AA10" i="16"/>
  <c r="AA628" i="17"/>
  <c r="AA624" i="17"/>
  <c r="AA622" i="17"/>
  <c r="AA616" i="17"/>
  <c r="AA1479" i="16"/>
  <c r="AA1471" i="16"/>
  <c r="AA1470" i="16"/>
  <c r="AA1477" i="16"/>
  <c r="AA1469" i="16"/>
  <c r="AA1472" i="16"/>
  <c r="AA1017" i="16"/>
  <c r="AA1013" i="16"/>
  <c r="AA1009" i="16"/>
  <c r="AA1001" i="16"/>
  <c r="AA1022" i="16"/>
  <c r="AA1016" i="16"/>
  <c r="AA1006" i="16"/>
  <c r="AA1000" i="16"/>
  <c r="AA996" i="16"/>
  <c r="AA988" i="16"/>
  <c r="AA984" i="16"/>
  <c r="AA1020" i="16"/>
  <c r="AA1010" i="16"/>
  <c r="AA1004" i="16"/>
  <c r="AA999" i="16"/>
  <c r="AA995" i="16"/>
  <c r="AA991" i="16"/>
  <c r="AA987" i="16"/>
  <c r="AA983" i="16"/>
  <c r="AA1019" i="16"/>
  <c r="AA1008" i="16"/>
  <c r="AA998" i="16"/>
  <c r="AA990" i="16"/>
  <c r="AA982" i="16"/>
  <c r="AA1002" i="16"/>
  <c r="AA1018" i="16"/>
  <c r="AA1007" i="16"/>
  <c r="AA997" i="16"/>
  <c r="AA989" i="16"/>
  <c r="AA981" i="16"/>
  <c r="AA1012" i="16"/>
  <c r="AA985" i="16"/>
  <c r="AA1024" i="16"/>
  <c r="AA1014" i="16"/>
  <c r="AA1003" i="16"/>
  <c r="AA994" i="16"/>
  <c r="AA986" i="16"/>
  <c r="AA1023" i="16"/>
  <c r="AA993" i="16"/>
  <c r="AA575" i="17"/>
  <c r="AM74" i="6"/>
  <c r="AM72" i="9"/>
  <c r="AM72" i="8"/>
  <c r="AM72" i="7"/>
  <c r="Q53" i="13"/>
  <c r="X5" i="12"/>
  <c r="X5" i="13"/>
  <c r="Q53" i="12"/>
  <c r="AB55" i="13"/>
  <c r="AB55" i="12"/>
  <c r="AB55" i="11"/>
  <c r="AB55" i="10"/>
  <c r="AA620" i="17" l="1"/>
  <c r="G20" i="30"/>
  <c r="G25" i="30"/>
  <c r="AA1630" i="16"/>
  <c r="S29" i="30"/>
  <c r="AA1675" i="16"/>
  <c r="S28" i="30"/>
  <c r="AA1077" i="16"/>
  <c r="S5" i="30"/>
  <c r="AA2102" i="16"/>
  <c r="S32" i="30"/>
  <c r="AA1516" i="16"/>
  <c r="AG1516" i="16" s="1"/>
  <c r="S21" i="30"/>
  <c r="S26" i="30"/>
  <c r="S16" i="30"/>
  <c r="G10" i="30"/>
  <c r="G15" i="30"/>
  <c r="G21" i="30"/>
  <c r="G26" i="30"/>
  <c r="AA21" i="17"/>
  <c r="G9" i="30"/>
  <c r="G14" i="30"/>
  <c r="S25" i="30"/>
  <c r="S15" i="30"/>
  <c r="S20" i="30"/>
  <c r="AA1951" i="16"/>
  <c r="S31" i="30"/>
  <c r="AA533" i="17"/>
  <c r="AA1806" i="16"/>
  <c r="AA1427" i="16"/>
  <c r="AG1427" i="16" s="1"/>
  <c r="AA397" i="17"/>
  <c r="AA445" i="17"/>
  <c r="AA1389" i="16"/>
  <c r="AG1389" i="16" s="1"/>
  <c r="AA1799" i="16"/>
  <c r="AG1799" i="16" s="1"/>
  <c r="AA443" i="17"/>
  <c r="AA1639" i="16"/>
  <c r="L1639" i="21" s="1"/>
  <c r="O1639" i="21" s="1"/>
  <c r="AA523" i="17"/>
  <c r="AA1107" i="16"/>
  <c r="AG1107" i="16" s="1"/>
  <c r="AA1392" i="16"/>
  <c r="AG1392" i="16" s="1"/>
  <c r="AA1796" i="16"/>
  <c r="AG1796" i="16" s="1"/>
  <c r="AA1104" i="16"/>
  <c r="AG1104" i="16" s="1"/>
  <c r="AA1251" i="16"/>
  <c r="AG1251" i="16" s="1"/>
  <c r="AA543" i="17"/>
  <c r="AA1665" i="16"/>
  <c r="L1665" i="21" s="1"/>
  <c r="O1665" i="21" s="1"/>
  <c r="AA412" i="17"/>
  <c r="AA1300" i="16"/>
  <c r="AG1300" i="16" s="1"/>
  <c r="AA525" i="17"/>
  <c r="AA1404" i="16"/>
  <c r="AG1404" i="16" s="1"/>
  <c r="AA559" i="17"/>
  <c r="AA1654" i="16"/>
  <c r="AG1654" i="16" s="1"/>
  <c r="AA1109" i="16"/>
  <c r="L1109" i="21" s="1"/>
  <c r="O1109" i="21" s="1"/>
  <c r="AA1248" i="16"/>
  <c r="AG1248" i="16" s="1"/>
  <c r="AA1015" i="16"/>
  <c r="L1015" i="21" s="1"/>
  <c r="O1015" i="21" s="1"/>
  <c r="AA992" i="16"/>
  <c r="AG992" i="16" s="1"/>
  <c r="AA1011" i="16"/>
  <c r="AG1011" i="16" s="1"/>
  <c r="AA1005" i="16"/>
  <c r="AA1021" i="16"/>
  <c r="L1021" i="21" s="1"/>
  <c r="O1021" i="21" s="1"/>
  <c r="AA1468" i="16"/>
  <c r="L1468" i="21" s="1"/>
  <c r="O1468" i="21" s="1"/>
  <c r="AA1478" i="16"/>
  <c r="L1478" i="21" s="1"/>
  <c r="O1478" i="21" s="1"/>
  <c r="AA618" i="17"/>
  <c r="AA626" i="17"/>
  <c r="AA465" i="17"/>
  <c r="AA497" i="17"/>
  <c r="AA514" i="17"/>
  <c r="AA476" i="17"/>
  <c r="AA480" i="17"/>
  <c r="AA1326" i="16"/>
  <c r="AG1326" i="16" s="1"/>
  <c r="AA1359" i="16"/>
  <c r="AG1359" i="16" s="1"/>
  <c r="AA1369" i="16"/>
  <c r="AG1369" i="16" s="1"/>
  <c r="AA1982" i="16"/>
  <c r="L1982" i="21" s="1"/>
  <c r="O1982" i="21" s="1"/>
  <c r="AA537" i="17"/>
  <c r="AA1372" i="16"/>
  <c r="AA1384" i="16"/>
  <c r="AG1384" i="16" s="1"/>
  <c r="AA1421" i="16"/>
  <c r="AG1421" i="16" s="1"/>
  <c r="AA551" i="17"/>
  <c r="AA583" i="17"/>
  <c r="AA1660" i="16"/>
  <c r="AA1686" i="16"/>
  <c r="AG1686" i="16" s="1"/>
  <c r="AA524" i="17"/>
  <c r="AA532" i="17"/>
  <c r="AA540" i="17"/>
  <c r="AA1387" i="16"/>
  <c r="AG1387" i="16" s="1"/>
  <c r="AA1399" i="16"/>
  <c r="AG1399" i="16" s="1"/>
  <c r="AA1422" i="16"/>
  <c r="AG1422" i="16" s="1"/>
  <c r="AA1385" i="16"/>
  <c r="AG1385" i="16" s="1"/>
  <c r="AA542" i="17"/>
  <c r="AA558" i="17"/>
  <c r="AA574" i="17"/>
  <c r="AA1684" i="16"/>
  <c r="AA1661" i="16"/>
  <c r="L1661" i="21" s="1"/>
  <c r="O1661" i="21" s="1"/>
  <c r="AA1813" i="16"/>
  <c r="L1813" i="21" s="1"/>
  <c r="O1813" i="21" s="1"/>
  <c r="AA1802" i="16"/>
  <c r="AA1759" i="16"/>
  <c r="L1759" i="21" s="1"/>
  <c r="O1759" i="21" s="1"/>
  <c r="AA1083" i="16"/>
  <c r="L1083" i="21" s="1"/>
  <c r="O1083" i="21" s="1"/>
  <c r="AA1102" i="16"/>
  <c r="L1102" i="21" s="1"/>
  <c r="O1102" i="21" s="1"/>
  <c r="AA1105" i="16"/>
  <c r="AA1302" i="16"/>
  <c r="AG1302" i="16" s="1"/>
  <c r="AA440" i="17"/>
  <c r="AA409" i="17"/>
  <c r="AA457" i="17"/>
  <c r="AA439" i="17"/>
  <c r="AA1246" i="16"/>
  <c r="AG1246" i="16" s="1"/>
  <c r="AA1295" i="16"/>
  <c r="AG1295" i="16" s="1"/>
  <c r="AA1961" i="16"/>
  <c r="L1961" i="21" s="1"/>
  <c r="O1961" i="21" s="1"/>
  <c r="AA1628" i="16"/>
  <c r="AG1628" i="16" s="1"/>
  <c r="AA528" i="17"/>
  <c r="AA536" i="17"/>
  <c r="AA522" i="17"/>
  <c r="AA1424" i="16"/>
  <c r="AG1424" i="16" s="1"/>
  <c r="AA1379" i="16"/>
  <c r="AG1379" i="16" s="1"/>
  <c r="AA1407" i="16"/>
  <c r="AG1407" i="16" s="1"/>
  <c r="AA1417" i="16"/>
  <c r="AG1417" i="16" s="1"/>
  <c r="AA550" i="17"/>
  <c r="AA566" i="17"/>
  <c r="AA582" i="17"/>
  <c r="AA1816" i="16"/>
  <c r="L1816" i="21" s="1"/>
  <c r="O1816" i="21" s="1"/>
  <c r="AA1693" i="16"/>
  <c r="AA1682" i="16"/>
  <c r="L1682" i="21" s="1"/>
  <c r="O1682" i="21" s="1"/>
  <c r="AA1671" i="16"/>
  <c r="AG1671" i="16" s="1"/>
  <c r="AA1078" i="16"/>
  <c r="AG1078" i="16" s="1"/>
  <c r="AA1100" i="16"/>
  <c r="AA1073" i="16"/>
  <c r="L1073" i="21" s="1"/>
  <c r="O1073" i="21" s="1"/>
  <c r="AA2101" i="16"/>
  <c r="AG2101" i="16" s="1"/>
  <c r="AA419" i="17"/>
  <c r="AA1307" i="16"/>
  <c r="AG1307" i="16" s="1"/>
  <c r="AA435" i="17"/>
  <c r="AA406" i="17"/>
  <c r="AA1255" i="16"/>
  <c r="AG1255" i="16" s="1"/>
  <c r="AA1299" i="16"/>
  <c r="AG1299" i="16" s="1"/>
  <c r="AA1277" i="16"/>
  <c r="AG1277" i="16" s="1"/>
  <c r="AA529" i="17"/>
  <c r="AA1376" i="16"/>
  <c r="AG1376" i="16" s="1"/>
  <c r="AA1412" i="16"/>
  <c r="AG1412" i="16" s="1"/>
  <c r="AA1753" i="16"/>
  <c r="AG1753" i="16" s="1"/>
  <c r="AA1094" i="16"/>
  <c r="AG1094" i="16" s="1"/>
  <c r="AA1106" i="16"/>
  <c r="AG1106" i="16" s="1"/>
  <c r="AA2078" i="16"/>
  <c r="L2078" i="21" s="1"/>
  <c r="O2078" i="21" s="1"/>
  <c r="AA421" i="17"/>
  <c r="AA1280" i="16"/>
  <c r="AG1280" i="16" s="1"/>
  <c r="AA438" i="17"/>
  <c r="AA410" i="17"/>
  <c r="AA1260" i="16"/>
  <c r="AG1260" i="16" s="1"/>
  <c r="AA1247" i="16"/>
  <c r="AG1247" i="16" s="1"/>
  <c r="AA1161" i="16"/>
  <c r="L1161" i="21" s="1"/>
  <c r="O1161" i="21" s="1"/>
  <c r="AA1117" i="16"/>
  <c r="L1117" i="21" s="1"/>
  <c r="O1117" i="21" s="1"/>
  <c r="AA1123" i="16"/>
  <c r="L1123" i="21" s="1"/>
  <c r="O1123" i="21" s="1"/>
  <c r="AA581" i="17"/>
  <c r="AA577" i="17"/>
  <c r="AA573" i="17"/>
  <c r="AA569" i="17"/>
  <c r="AA565" i="17"/>
  <c r="AA561" i="17"/>
  <c r="AA557" i="17"/>
  <c r="AA553" i="17"/>
  <c r="AA549" i="17"/>
  <c r="AA545" i="17"/>
  <c r="AA541" i="17"/>
  <c r="AA1429" i="16"/>
  <c r="AG1429" i="16" s="1"/>
  <c r="AA1413" i="16"/>
  <c r="AG1413" i="16" s="1"/>
  <c r="AA1397" i="16"/>
  <c r="AG1397" i="16" s="1"/>
  <c r="AA1381" i="16"/>
  <c r="AG1381" i="16" s="1"/>
  <c r="AA1423" i="16"/>
  <c r="AG1423" i="16" s="1"/>
  <c r="AA1402" i="16"/>
  <c r="AG1402" i="16" s="1"/>
  <c r="AA1380" i="16"/>
  <c r="AG1380" i="16" s="1"/>
  <c r="AA1416" i="16"/>
  <c r="AG1416" i="16" s="1"/>
  <c r="AA1395" i="16"/>
  <c r="AG1395" i="16" s="1"/>
  <c r="AA1374" i="16"/>
  <c r="AG1374" i="16" s="1"/>
  <c r="AA1415" i="16"/>
  <c r="AG1415" i="16" s="1"/>
  <c r="AA1394" i="16"/>
  <c r="AG1394" i="16" s="1"/>
  <c r="AA584" i="17"/>
  <c r="AA580" i="17"/>
  <c r="AA576" i="17"/>
  <c r="AA572" i="17"/>
  <c r="AA568" i="17"/>
  <c r="AA564" i="17"/>
  <c r="AA560" i="17"/>
  <c r="AA556" i="17"/>
  <c r="AA552" i="17"/>
  <c r="AA548" i="17"/>
  <c r="AA544" i="17"/>
  <c r="AA1434" i="16"/>
  <c r="AG1434" i="16" s="1"/>
  <c r="AA1425" i="16"/>
  <c r="AG1425" i="16" s="1"/>
  <c r="AA1409" i="16"/>
  <c r="AG1409" i="16" s="1"/>
  <c r="AA1393" i="16"/>
  <c r="AG1393" i="16" s="1"/>
  <c r="AA1377" i="16"/>
  <c r="AG1377" i="16" s="1"/>
  <c r="AA1418" i="16"/>
  <c r="AG1418" i="16" s="1"/>
  <c r="AA1396" i="16"/>
  <c r="AG1396" i="16" s="1"/>
  <c r="AA1375" i="16"/>
  <c r="AG1375" i="16" s="1"/>
  <c r="AA1411" i="16"/>
  <c r="AG1411" i="16" s="1"/>
  <c r="AA1390" i="16"/>
  <c r="AG1390" i="16" s="1"/>
  <c r="AA1432" i="16"/>
  <c r="AG1432" i="16" s="1"/>
  <c r="AA1410" i="16"/>
  <c r="AG1410" i="16" s="1"/>
  <c r="AA1388" i="16"/>
  <c r="AG1388" i="16" s="1"/>
  <c r="AA1305" i="16"/>
  <c r="AG1305" i="16" s="1"/>
  <c r="AA1293" i="16"/>
  <c r="AG1293" i="16" s="1"/>
  <c r="AA1269" i="16"/>
  <c r="AG1269" i="16" s="1"/>
  <c r="AA1249" i="16"/>
  <c r="AG1249" i="16" s="1"/>
  <c r="AA1290" i="16"/>
  <c r="AG1290" i="16" s="1"/>
  <c r="AA1258" i="16"/>
  <c r="AG1258" i="16" s="1"/>
  <c r="AA1294" i="16"/>
  <c r="AG1294" i="16" s="1"/>
  <c r="AA1267" i="16"/>
  <c r="AG1267" i="16" s="1"/>
  <c r="AA1303" i="16"/>
  <c r="AG1303" i="16" s="1"/>
  <c r="AA1276" i="16"/>
  <c r="AG1276" i="16" s="1"/>
  <c r="AA1250" i="16"/>
  <c r="AG1250" i="16" s="1"/>
  <c r="AA451" i="17"/>
  <c r="AA436" i="17"/>
  <c r="AA420" i="17"/>
  <c r="AA403" i="17"/>
  <c r="AA1291" i="16"/>
  <c r="AG1291" i="16" s="1"/>
  <c r="AA454" i="17"/>
  <c r="AA444" i="17"/>
  <c r="AA432" i="17"/>
  <c r="AA418" i="17"/>
  <c r="AA407" i="17"/>
  <c r="AA398" i="17"/>
  <c r="AA1286" i="16"/>
  <c r="AG1286" i="16" s="1"/>
  <c r="AA450" i="17"/>
  <c r="AA437" i="17"/>
  <c r="AA426" i="17"/>
  <c r="AA417" i="17"/>
  <c r="AA405" i="17"/>
  <c r="AA1285" i="16"/>
  <c r="AG1285" i="16" s="1"/>
  <c r="AA1265" i="16"/>
  <c r="AG1265" i="16" s="1"/>
  <c r="AA1245" i="16"/>
  <c r="AG1245" i="16" s="1"/>
  <c r="AA1279" i="16"/>
  <c r="AG1279" i="16" s="1"/>
  <c r="AA1252" i="16"/>
  <c r="AG1252" i="16" s="1"/>
  <c r="AA1288" i="16"/>
  <c r="AG1288" i="16" s="1"/>
  <c r="AA1256" i="16"/>
  <c r="AG1256" i="16" s="1"/>
  <c r="AA1298" i="16"/>
  <c r="AG1298" i="16" s="1"/>
  <c r="AA1271" i="16"/>
  <c r="AG1271" i="16" s="1"/>
  <c r="AA1275" i="16"/>
  <c r="AG1275" i="16" s="1"/>
  <c r="AA448" i="17"/>
  <c r="AA433" i="17"/>
  <c r="AA413" i="17"/>
  <c r="AA399" i="17"/>
  <c r="AA1270" i="16"/>
  <c r="AG1270" i="16" s="1"/>
  <c r="AA452" i="17"/>
  <c r="AA441" i="17"/>
  <c r="AA428" i="17"/>
  <c r="AA415" i="17"/>
  <c r="AA404" i="17"/>
  <c r="AA396" i="17"/>
  <c r="AA1264" i="16"/>
  <c r="AG1264" i="16" s="1"/>
  <c r="AA446" i="17"/>
  <c r="AA434" i="17"/>
  <c r="AA423" i="17"/>
  <c r="AA414" i="17"/>
  <c r="AA401" i="17"/>
  <c r="AA1807" i="16"/>
  <c r="AG1807" i="16" s="1"/>
  <c r="AA1755" i="16"/>
  <c r="AG1755" i="16" s="1"/>
  <c r="AA1683" i="16"/>
  <c r="AG1683" i="16" s="1"/>
  <c r="AA1667" i="16"/>
  <c r="AA1814" i="16"/>
  <c r="AG1814" i="16" s="1"/>
  <c r="AA1798" i="16"/>
  <c r="AG1798" i="16" s="1"/>
  <c r="AA1694" i="16"/>
  <c r="L1694" i="21" s="1"/>
  <c r="O1694" i="21" s="1"/>
  <c r="AA1678" i="16"/>
  <c r="AA1662" i="16"/>
  <c r="AG1662" i="16" s="1"/>
  <c r="AA1809" i="16"/>
  <c r="AG1809" i="16" s="1"/>
  <c r="AA1761" i="16"/>
  <c r="AA1689" i="16"/>
  <c r="AA1673" i="16"/>
  <c r="L1673" i="21" s="1"/>
  <c r="O1673" i="21" s="1"/>
  <c r="AA1657" i="16"/>
  <c r="AG1657" i="16" s="1"/>
  <c r="AA1692" i="16"/>
  <c r="AA1800" i="16"/>
  <c r="AA1656" i="16"/>
  <c r="AG1656" i="16" s="1"/>
  <c r="AA1668" i="16"/>
  <c r="AG1668" i="16" s="1"/>
  <c r="AA1760" i="16"/>
  <c r="AA1803" i="16"/>
  <c r="AA1751" i="16"/>
  <c r="AG1751" i="16" s="1"/>
  <c r="AA1679" i="16"/>
  <c r="AG1679" i="16" s="1"/>
  <c r="AA1663" i="16"/>
  <c r="AG1663" i="16" s="1"/>
  <c r="AA1810" i="16"/>
  <c r="AA1762" i="16"/>
  <c r="AG1762" i="16" s="1"/>
  <c r="AA1690" i="16"/>
  <c r="L1690" i="21" s="1"/>
  <c r="O1690" i="21" s="1"/>
  <c r="AA1674" i="16"/>
  <c r="AA1658" i="16"/>
  <c r="L1658" i="21" s="1"/>
  <c r="O1658" i="21" s="1"/>
  <c r="AA1805" i="16"/>
  <c r="L1805" i="21" s="1"/>
  <c r="O1805" i="21" s="1"/>
  <c r="AA1757" i="16"/>
  <c r="AG1757" i="16" s="1"/>
  <c r="AA1685" i="16"/>
  <c r="L1685" i="21" s="1"/>
  <c r="O1685" i="21" s="1"/>
  <c r="AA1669" i="16"/>
  <c r="AG1669" i="16" s="1"/>
  <c r="AA1653" i="16"/>
  <c r="L1653" i="21" s="1"/>
  <c r="O1653" i="21" s="1"/>
  <c r="AA1676" i="16"/>
  <c r="AG1676" i="16" s="1"/>
  <c r="AA1752" i="16"/>
  <c r="AA1812" i="16"/>
  <c r="AG1812" i="16" s="1"/>
  <c r="AA1664" i="16"/>
  <c r="AG1664" i="16" s="1"/>
  <c r="AA1101" i="16"/>
  <c r="L1101" i="21" s="1"/>
  <c r="O1101" i="21" s="1"/>
  <c r="AA1085" i="16"/>
  <c r="AA1069" i="16"/>
  <c r="AG1069" i="16" s="1"/>
  <c r="AA1092" i="16"/>
  <c r="AG1092" i="16" s="1"/>
  <c r="AA1096" i="16"/>
  <c r="AA1075" i="16"/>
  <c r="AA1095" i="16"/>
  <c r="L1095" i="21" s="1"/>
  <c r="O1095" i="21" s="1"/>
  <c r="AA1074" i="16"/>
  <c r="AG1074" i="16" s="1"/>
  <c r="AA1072" i="16"/>
  <c r="L1072" i="21" s="1"/>
  <c r="O1072" i="21" s="1"/>
  <c r="AA1071" i="16"/>
  <c r="AA1067" i="16"/>
  <c r="AG1067" i="16" s="1"/>
  <c r="AA1097" i="16"/>
  <c r="L1097" i="21" s="1"/>
  <c r="O1097" i="21" s="1"/>
  <c r="AA1081" i="16"/>
  <c r="AA1108" i="16"/>
  <c r="AA1087" i="16"/>
  <c r="L1087" i="21" s="1"/>
  <c r="O1087" i="21" s="1"/>
  <c r="AA1091" i="16"/>
  <c r="AG1091" i="16" s="1"/>
  <c r="AA1070" i="16"/>
  <c r="L1070" i="21" s="1"/>
  <c r="O1070" i="21" s="1"/>
  <c r="AA1090" i="16"/>
  <c r="L1090" i="21" s="1"/>
  <c r="O1090" i="21" s="1"/>
  <c r="AA1068" i="16"/>
  <c r="L1068" i="21" s="1"/>
  <c r="O1068" i="21" s="1"/>
  <c r="AA1066" i="16"/>
  <c r="AG1066" i="16" s="1"/>
  <c r="AA1076" i="16"/>
  <c r="AA1088" i="16"/>
  <c r="AA526" i="17"/>
  <c r="AA530" i="17"/>
  <c r="AA534" i="17"/>
  <c r="AA538" i="17"/>
  <c r="AA1414" i="16"/>
  <c r="AG1414" i="16" s="1"/>
  <c r="AA1398" i="16"/>
  <c r="AG1398" i="16" s="1"/>
  <c r="AA1382" i="16"/>
  <c r="AG1382" i="16" s="1"/>
  <c r="AA1378" i="16"/>
  <c r="AG1378" i="16" s="1"/>
  <c r="AA1420" i="16"/>
  <c r="AG1420" i="16" s="1"/>
  <c r="AA1400" i="16"/>
  <c r="AG1400" i="16" s="1"/>
  <c r="AA1386" i="16"/>
  <c r="AG1386" i="16" s="1"/>
  <c r="AA1428" i="16"/>
  <c r="AG1428" i="16" s="1"/>
  <c r="AA1401" i="16"/>
  <c r="AG1401" i="16" s="1"/>
  <c r="AA1433" i="16"/>
  <c r="AG1433" i="16" s="1"/>
  <c r="AA546" i="17"/>
  <c r="AA554" i="17"/>
  <c r="AA562" i="17"/>
  <c r="AA570" i="17"/>
  <c r="AA578" i="17"/>
  <c r="AA1680" i="16"/>
  <c r="AA1672" i="16"/>
  <c r="L1672" i="21" s="1"/>
  <c r="O1672" i="21" s="1"/>
  <c r="AA1756" i="16"/>
  <c r="AG1756" i="16" s="1"/>
  <c r="AA1677" i="16"/>
  <c r="AG1677" i="16" s="1"/>
  <c r="AA1797" i="16"/>
  <c r="AA1666" i="16"/>
  <c r="AG1666" i="16" s="1"/>
  <c r="AA1754" i="16"/>
  <c r="AG1754" i="16" s="1"/>
  <c r="AA1655" i="16"/>
  <c r="AG1655" i="16" s="1"/>
  <c r="AA1687" i="16"/>
  <c r="AA1811" i="16"/>
  <c r="L1811" i="21" s="1"/>
  <c r="O1811" i="21" s="1"/>
  <c r="AA1082" i="16"/>
  <c r="L1082" i="21" s="1"/>
  <c r="O1082" i="21" s="1"/>
  <c r="AA1079" i="16"/>
  <c r="AG1079" i="16" s="1"/>
  <c r="AA1080" i="16"/>
  <c r="AA1098" i="16"/>
  <c r="AG1098" i="16" s="1"/>
  <c r="AA1089" i="16"/>
  <c r="AG1089" i="16" s="1"/>
  <c r="AA2076" i="16"/>
  <c r="AG2076" i="16" s="1"/>
  <c r="AA408" i="17"/>
  <c r="AA429" i="17"/>
  <c r="AA453" i="17"/>
  <c r="AA400" i="17"/>
  <c r="AA422" i="17"/>
  <c r="AA447" i="17"/>
  <c r="AA1259" i="16"/>
  <c r="AG1259" i="16" s="1"/>
  <c r="AA424" i="17"/>
  <c r="AA458" i="17"/>
  <c r="AA1282" i="16"/>
  <c r="AG1282" i="16" s="1"/>
  <c r="AA1272" i="16"/>
  <c r="AG1272" i="16" s="1"/>
  <c r="AA1268" i="16"/>
  <c r="AG1268" i="16" s="1"/>
  <c r="AA1253" i="16"/>
  <c r="AG1253" i="16" s="1"/>
  <c r="AA1301" i="16"/>
  <c r="AG1301" i="16" s="1"/>
  <c r="AA2095" i="16"/>
  <c r="AG2095" i="16" s="1"/>
  <c r="AA2094" i="16"/>
  <c r="AA2093" i="16"/>
  <c r="AG2093" i="16" s="1"/>
  <c r="AA2100" i="16"/>
  <c r="AG2100" i="16" s="1"/>
  <c r="AA2087" i="16"/>
  <c r="AG2087" i="16" s="1"/>
  <c r="AA2086" i="16"/>
  <c r="AA2085" i="16"/>
  <c r="L2085" i="21" s="1"/>
  <c r="O2085" i="21" s="1"/>
  <c r="AA2096" i="16"/>
  <c r="AG2096" i="16" s="1"/>
  <c r="AA1408" i="16"/>
  <c r="AG1408" i="16" s="1"/>
  <c r="AA527" i="17"/>
  <c r="AA531" i="17"/>
  <c r="AA535" i="17"/>
  <c r="AA539" i="17"/>
  <c r="AA1431" i="16"/>
  <c r="AG1431" i="16" s="1"/>
  <c r="AA1419" i="16"/>
  <c r="AG1419" i="16" s="1"/>
  <c r="AA1403" i="16"/>
  <c r="AG1403" i="16" s="1"/>
  <c r="AA1383" i="16"/>
  <c r="AG1383" i="16" s="1"/>
  <c r="AA1426" i="16"/>
  <c r="AG1426" i="16" s="1"/>
  <c r="AA1406" i="16"/>
  <c r="AG1406" i="16" s="1"/>
  <c r="AA1391" i="16"/>
  <c r="AG1391" i="16" s="1"/>
  <c r="AA1373" i="16"/>
  <c r="AG1373" i="16" s="1"/>
  <c r="AA1405" i="16"/>
  <c r="AG1405" i="16" s="1"/>
  <c r="AA1430" i="16"/>
  <c r="AG1430" i="16" s="1"/>
  <c r="AA547" i="17"/>
  <c r="AA555" i="17"/>
  <c r="AA563" i="17"/>
  <c r="AA571" i="17"/>
  <c r="AA579" i="17"/>
  <c r="AA1808" i="16"/>
  <c r="L1808" i="21" s="1"/>
  <c r="O1808" i="21" s="1"/>
  <c r="AA1688" i="16"/>
  <c r="AG1688" i="16" s="1"/>
  <c r="AA1804" i="16"/>
  <c r="AG1804" i="16" s="1"/>
  <c r="AA1681" i="16"/>
  <c r="AG1681" i="16" s="1"/>
  <c r="AA1801" i="16"/>
  <c r="AG1801" i="16" s="1"/>
  <c r="AA1670" i="16"/>
  <c r="AA1758" i="16"/>
  <c r="L1758" i="21" s="1"/>
  <c r="O1758" i="21" s="1"/>
  <c r="AA1659" i="16"/>
  <c r="AG1659" i="16" s="1"/>
  <c r="AA1691" i="16"/>
  <c r="L1691" i="21" s="1"/>
  <c r="O1691" i="21" s="1"/>
  <c r="AA1815" i="16"/>
  <c r="L1815" i="21" s="1"/>
  <c r="O1815" i="21" s="1"/>
  <c r="AA1099" i="16"/>
  <c r="L1099" i="21" s="1"/>
  <c r="O1099" i="21" s="1"/>
  <c r="AA1084" i="16"/>
  <c r="AG1084" i="16" s="1"/>
  <c r="AA1086" i="16"/>
  <c r="L1086" i="21" s="1"/>
  <c r="O1086" i="21" s="1"/>
  <c r="AA1103" i="16"/>
  <c r="AA1093" i="16"/>
  <c r="L1093" i="21" s="1"/>
  <c r="O1093" i="21" s="1"/>
  <c r="AA2077" i="16"/>
  <c r="AG2077" i="16" s="1"/>
  <c r="AA2079" i="16"/>
  <c r="L2079" i="21" s="1"/>
  <c r="O2079" i="21" s="1"/>
  <c r="AA411" i="17"/>
  <c r="AA431" i="17"/>
  <c r="AA456" i="17"/>
  <c r="AA402" i="17"/>
  <c r="AA425" i="17"/>
  <c r="AA449" i="17"/>
  <c r="AA395" i="17"/>
  <c r="AA427" i="17"/>
  <c r="AA1254" i="16"/>
  <c r="AG1254" i="16" s="1"/>
  <c r="AA1292" i="16"/>
  <c r="AG1292" i="16" s="1"/>
  <c r="AA1278" i="16"/>
  <c r="AG1278" i="16" s="1"/>
  <c r="AA1274" i="16"/>
  <c r="AG1274" i="16" s="1"/>
  <c r="AA1261" i="16"/>
  <c r="AG1261" i="16" s="1"/>
  <c r="AA1147" i="16"/>
  <c r="L1147" i="21" s="1"/>
  <c r="O1147" i="21" s="1"/>
  <c r="AA1158" i="16"/>
  <c r="L1158" i="21" s="1"/>
  <c r="O1158" i="21" s="1"/>
  <c r="AA1130" i="16"/>
  <c r="AA1870" i="16"/>
  <c r="AA1116" i="16"/>
  <c r="AG1116" i="16" s="1"/>
  <c r="AA1145" i="16"/>
  <c r="AG1145" i="16" s="1"/>
  <c r="AA1144" i="16"/>
  <c r="AA1169" i="16"/>
  <c r="AA1175" i="16"/>
  <c r="AG1175" i="16" s="1"/>
  <c r="AA1146" i="16"/>
  <c r="AG1146" i="16" s="1"/>
  <c r="AA2004" i="16"/>
  <c r="AA2007" i="16"/>
  <c r="U5" i="24"/>
  <c r="U57" i="24" s="1"/>
  <c r="K11" i="26" s="1"/>
  <c r="M11" i="26" s="1"/>
  <c r="AA1115" i="16"/>
  <c r="L1115" i="21" s="1"/>
  <c r="O1115" i="21" s="1"/>
  <c r="AA1138" i="16"/>
  <c r="AG1138" i="16" s="1"/>
  <c r="AA1176" i="16"/>
  <c r="AG1176" i="16" s="1"/>
  <c r="AA1129" i="16"/>
  <c r="AG1129" i="16" s="1"/>
  <c r="AA1845" i="16"/>
  <c r="AG1845" i="16" s="1"/>
  <c r="AA1895" i="16"/>
  <c r="L1895" i="21" s="1"/>
  <c r="O1895" i="21" s="1"/>
  <c r="AA1547" i="16"/>
  <c r="AG1547" i="16" s="1"/>
  <c r="AA1142" i="16"/>
  <c r="AG1142" i="16" s="1"/>
  <c r="AA1159" i="16"/>
  <c r="AG1159" i="16" s="1"/>
  <c r="AA1155" i="16"/>
  <c r="L1155" i="21" s="1"/>
  <c r="O1155" i="21" s="1"/>
  <c r="AA1167" i="16"/>
  <c r="AA2024" i="16"/>
  <c r="L2024" i="21" s="1"/>
  <c r="O2024" i="21" s="1"/>
  <c r="AA2013" i="16"/>
  <c r="AG2013" i="16" s="1"/>
  <c r="AA1839" i="16"/>
  <c r="AA1371" i="16"/>
  <c r="AG1371" i="16" s="1"/>
  <c r="AA1312" i="16"/>
  <c r="AG1312" i="16" s="1"/>
  <c r="AA502" i="17"/>
  <c r="AA1310" i="16"/>
  <c r="AG1310" i="16" s="1"/>
  <c r="AA1316" i="16"/>
  <c r="AG1316" i="16" s="1"/>
  <c r="AA1325" i="16"/>
  <c r="AG1325" i="16" s="1"/>
  <c r="AA1149" i="16"/>
  <c r="AG1149" i="16" s="1"/>
  <c r="AA652" i="17"/>
  <c r="AA1233" i="16"/>
  <c r="AG1233" i="16" s="1"/>
  <c r="AA6" i="17"/>
  <c r="AA1779" i="16"/>
  <c r="L1779" i="21" s="1"/>
  <c r="O1779" i="21" s="1"/>
  <c r="AA1968" i="16"/>
  <c r="L1968" i="21" s="1"/>
  <c r="O1968" i="21" s="1"/>
  <c r="AA1901" i="16"/>
  <c r="AA1930" i="16"/>
  <c r="AG1930" i="16" s="1"/>
  <c r="AA702" i="17"/>
  <c r="AA613" i="17"/>
  <c r="AA2031" i="16"/>
  <c r="L2031" i="21" s="1"/>
  <c r="O2031" i="21" s="1"/>
  <c r="AA1767" i="16"/>
  <c r="AG1767" i="16" s="1"/>
  <c r="AA561" i="16"/>
  <c r="AG561" i="16" s="1"/>
  <c r="AA592" i="17"/>
  <c r="AA778" i="16"/>
  <c r="AG778" i="16" s="1"/>
  <c r="AA123" i="16"/>
  <c r="AG123" i="16" s="1"/>
  <c r="AA2084" i="16"/>
  <c r="AA2092" i="16"/>
  <c r="AA2089" i="16"/>
  <c r="AG2089" i="16" s="1"/>
  <c r="AA2074" i="16"/>
  <c r="L2074" i="21" s="1"/>
  <c r="AA2090" i="16"/>
  <c r="AG2090" i="16" s="1"/>
  <c r="AA2075" i="16"/>
  <c r="AA2091" i="16"/>
  <c r="AG2091" i="16" s="1"/>
  <c r="AA1297" i="16"/>
  <c r="AG1297" i="16" s="1"/>
  <c r="AA1476" i="16"/>
  <c r="AA1473" i="16"/>
  <c r="AA1474" i="16"/>
  <c r="AG1474" i="16" s="1"/>
  <c r="AA1475" i="16"/>
  <c r="AG1475" i="16" s="1"/>
  <c r="AA617" i="17"/>
  <c r="AA621" i="17"/>
  <c r="AA625" i="17"/>
  <c r="AA629" i="17"/>
  <c r="AA1136" i="16"/>
  <c r="L1136" i="21" s="1"/>
  <c r="O1136" i="21" s="1"/>
  <c r="AA1110" i="16"/>
  <c r="L1570" i="21" s="1"/>
  <c r="AA1132" i="16"/>
  <c r="AG1132" i="16" s="1"/>
  <c r="AA1164" i="16"/>
  <c r="L1164" i="21" s="1"/>
  <c r="O1164" i="21" s="1"/>
  <c r="AA1128" i="16"/>
  <c r="L1128" i="21" s="1"/>
  <c r="O1128" i="21" s="1"/>
  <c r="AA1171" i="16"/>
  <c r="AA1140" i="16"/>
  <c r="AG1140" i="16" s="1"/>
  <c r="AA1172" i="16"/>
  <c r="L1172" i="21" s="1"/>
  <c r="O1172" i="21" s="1"/>
  <c r="AA1137" i="16"/>
  <c r="AG1137" i="16" s="1"/>
  <c r="AA1165" i="16"/>
  <c r="L1165" i="21" s="1"/>
  <c r="O1165" i="21" s="1"/>
  <c r="AA1892" i="16"/>
  <c r="AG1892" i="16" s="1"/>
  <c r="AA1948" i="16"/>
  <c r="L1948" i="21" s="1"/>
  <c r="O1948" i="21" s="1"/>
  <c r="AA1929" i="16"/>
  <c r="AG1929" i="16" s="1"/>
  <c r="AA1842" i="16"/>
  <c r="AA1954" i="16"/>
  <c r="AG1954" i="16" s="1"/>
  <c r="AA1863" i="16"/>
  <c r="AG1863" i="16" s="1"/>
  <c r="AA1983" i="16"/>
  <c r="AA462" i="17"/>
  <c r="AA481" i="17"/>
  <c r="AA496" i="17"/>
  <c r="AA504" i="17"/>
  <c r="AA511" i="17"/>
  <c r="AA519" i="17"/>
  <c r="AA460" i="17"/>
  <c r="AA479" i="17"/>
  <c r="AA1355" i="16"/>
  <c r="AG1355" i="16" s="1"/>
  <c r="AA477" i="17"/>
  <c r="AA1339" i="16"/>
  <c r="AG1339" i="16" s="1"/>
  <c r="AA1346" i="16"/>
  <c r="AG1346" i="16" s="1"/>
  <c r="AA1315" i="16"/>
  <c r="AG1315" i="16" s="1"/>
  <c r="AA1352" i="16"/>
  <c r="AG1352" i="16" s="1"/>
  <c r="AA1332" i="16"/>
  <c r="AG1332" i="16" s="1"/>
  <c r="AA1370" i="16"/>
  <c r="AG1370" i="16" s="1"/>
  <c r="AA1329" i="16"/>
  <c r="AG1329" i="16" s="1"/>
  <c r="AA1361" i="16"/>
  <c r="AG1361" i="16" s="1"/>
  <c r="AA1529" i="16"/>
  <c r="AG1529" i="16" s="1"/>
  <c r="AA569" i="16"/>
  <c r="AG569" i="16" s="1"/>
  <c r="AA1778" i="16"/>
  <c r="AA151" i="16"/>
  <c r="AG151" i="16" s="1"/>
  <c r="AA124" i="16"/>
  <c r="AG124" i="16" s="1"/>
  <c r="AA2080" i="16"/>
  <c r="AG2080" i="16" s="1"/>
  <c r="AA2088" i="16"/>
  <c r="AA2081" i="16"/>
  <c r="AG2081" i="16" s="1"/>
  <c r="AA2097" i="16"/>
  <c r="AG2097" i="16" s="1"/>
  <c r="AA2082" i="16"/>
  <c r="AA2098" i="16"/>
  <c r="AA2083" i="16"/>
  <c r="AG2083" i="16" s="1"/>
  <c r="AA2099" i="16"/>
  <c r="AG2099" i="16" s="1"/>
  <c r="AA416" i="17"/>
  <c r="AA430" i="17"/>
  <c r="AA442" i="17"/>
  <c r="AA455" i="17"/>
  <c r="AA1296" i="16"/>
  <c r="AG1296" i="16" s="1"/>
  <c r="AA1266" i="16"/>
  <c r="AG1266" i="16" s="1"/>
  <c r="AA1287" i="16"/>
  <c r="AG1287" i="16" s="1"/>
  <c r="AA1308" i="16"/>
  <c r="AG1308" i="16" s="1"/>
  <c r="AA1262" i="16"/>
  <c r="AG1262" i="16" s="1"/>
  <c r="AA1283" i="16"/>
  <c r="AG1283" i="16" s="1"/>
  <c r="AA1304" i="16"/>
  <c r="AG1304" i="16" s="1"/>
  <c r="AA1263" i="16"/>
  <c r="AG1263" i="16" s="1"/>
  <c r="AA1284" i="16"/>
  <c r="AG1284" i="16" s="1"/>
  <c r="AA1306" i="16"/>
  <c r="AG1306" i="16" s="1"/>
  <c r="AA1257" i="16"/>
  <c r="AG1257" i="16" s="1"/>
  <c r="AA1273" i="16"/>
  <c r="AG1273" i="16" s="1"/>
  <c r="AA1289" i="16"/>
  <c r="AG1289" i="16" s="1"/>
  <c r="AA1465" i="16"/>
  <c r="AA1466" i="16"/>
  <c r="AG1466" i="16" s="1"/>
  <c r="AA1467" i="16"/>
  <c r="AG1467" i="16" s="1"/>
  <c r="AA615" i="17"/>
  <c r="AA619" i="17"/>
  <c r="AA623" i="17"/>
  <c r="AA627" i="17"/>
  <c r="AA1131" i="16"/>
  <c r="AG1131" i="16" s="1"/>
  <c r="AA1120" i="16"/>
  <c r="L1120" i="21" s="1"/>
  <c r="O1120" i="21" s="1"/>
  <c r="AA1111" i="16"/>
  <c r="AG1111" i="16" s="1"/>
  <c r="AA1143" i="16"/>
  <c r="AG1143" i="16" s="1"/>
  <c r="AA1112" i="16"/>
  <c r="AA1150" i="16"/>
  <c r="AG1150" i="16" s="1"/>
  <c r="AA1119" i="16"/>
  <c r="AG1119" i="16" s="1"/>
  <c r="AA1162" i="16"/>
  <c r="AG1162" i="16" s="1"/>
  <c r="AA1121" i="16"/>
  <c r="L1121" i="21" s="1"/>
  <c r="O1121" i="21" s="1"/>
  <c r="AA1888" i="16"/>
  <c r="AG1888" i="16" s="1"/>
  <c r="AA1896" i="16"/>
  <c r="L1896" i="21" s="1"/>
  <c r="O1896" i="21" s="1"/>
  <c r="AA1877" i="16"/>
  <c r="L1877" i="21" s="1"/>
  <c r="O1877" i="21" s="1"/>
  <c r="AA1989" i="16"/>
  <c r="AA1898" i="16"/>
  <c r="L1898" i="21" s="1"/>
  <c r="O1898" i="21" s="1"/>
  <c r="AA2014" i="16"/>
  <c r="AG2014" i="16" s="1"/>
  <c r="AA1923" i="16"/>
  <c r="L1923" i="21" s="1"/>
  <c r="O1923" i="21" s="1"/>
  <c r="AA2035" i="16"/>
  <c r="L2035" i="21" s="1"/>
  <c r="O2035" i="21" s="1"/>
  <c r="AA472" i="17"/>
  <c r="AA490" i="17"/>
  <c r="AA498" i="17"/>
  <c r="AA508" i="17"/>
  <c r="AA515" i="17"/>
  <c r="AA1328" i="16"/>
  <c r="AG1328" i="16" s="1"/>
  <c r="AA473" i="17"/>
  <c r="AA494" i="17"/>
  <c r="AA464" i="17"/>
  <c r="AA492" i="17"/>
  <c r="AA1324" i="16"/>
  <c r="AG1324" i="16" s="1"/>
  <c r="AA1356" i="16"/>
  <c r="AG1356" i="16" s="1"/>
  <c r="AA1336" i="16"/>
  <c r="AG1336" i="16" s="1"/>
  <c r="AA1311" i="16"/>
  <c r="AG1311" i="16" s="1"/>
  <c r="AA1348" i="16"/>
  <c r="AG1348" i="16" s="1"/>
  <c r="AA1321" i="16"/>
  <c r="AG1321" i="16" s="1"/>
  <c r="AA1345" i="16"/>
  <c r="AG1345" i="16" s="1"/>
  <c r="AA1584" i="16"/>
  <c r="AG1584" i="16" s="1"/>
  <c r="AA1613" i="16"/>
  <c r="L1613" i="21" s="1"/>
  <c r="O1613" i="21" s="1"/>
  <c r="AA662" i="16"/>
  <c r="AA154" i="16"/>
  <c r="AG154" i="16" s="1"/>
  <c r="AA45" i="17"/>
  <c r="AA2000" i="16"/>
  <c r="AG2000" i="16" s="1"/>
  <c r="AA1984" i="16"/>
  <c r="AG1984" i="16" s="1"/>
  <c r="AA1940" i="16"/>
  <c r="AG1940" i="16" s="1"/>
  <c r="AA1864" i="16"/>
  <c r="AG1864" i="16" s="1"/>
  <c r="AA1960" i="16"/>
  <c r="AG1960" i="16" s="1"/>
  <c r="AA1884" i="16"/>
  <c r="L1884" i="21" s="1"/>
  <c r="O1884" i="21" s="1"/>
  <c r="AA2012" i="16"/>
  <c r="AA1861" i="16"/>
  <c r="L1861" i="21" s="1"/>
  <c r="O1861" i="21" s="1"/>
  <c r="AA1885" i="16"/>
  <c r="AG1885" i="16" s="1"/>
  <c r="AA1917" i="16"/>
  <c r="AA1945" i="16"/>
  <c r="AG1945" i="16" s="1"/>
  <c r="AA1973" i="16"/>
  <c r="AG1973" i="16" s="1"/>
  <c r="AA2005" i="16"/>
  <c r="AG2005" i="16" s="1"/>
  <c r="AA2029" i="16"/>
  <c r="AG2029" i="16" s="1"/>
  <c r="AA1854" i="16"/>
  <c r="AA1886" i="16"/>
  <c r="AG1886" i="16" s="1"/>
  <c r="AA1914" i="16"/>
  <c r="L1914" i="21" s="1"/>
  <c r="O1914" i="21" s="1"/>
  <c r="AA1938" i="16"/>
  <c r="L1938" i="21" s="1"/>
  <c r="O1938" i="21" s="1"/>
  <c r="AA1970" i="16"/>
  <c r="AA1998" i="16"/>
  <c r="AG1998" i="16" s="1"/>
  <c r="AA2026" i="16"/>
  <c r="AG2026" i="16" s="1"/>
  <c r="AA1855" i="16"/>
  <c r="AG1855" i="16" s="1"/>
  <c r="AA1879" i="16"/>
  <c r="AA1907" i="16"/>
  <c r="AG1907" i="16" s="1"/>
  <c r="AA1939" i="16"/>
  <c r="AG1939" i="16" s="1"/>
  <c r="AA1967" i="16"/>
  <c r="AG1967" i="16" s="1"/>
  <c r="AA1991" i="16"/>
  <c r="AG1991" i="16" s="1"/>
  <c r="AA2023" i="16"/>
  <c r="AG2023" i="16" s="1"/>
  <c r="AA1825" i="16"/>
  <c r="L1825" i="21" s="1"/>
  <c r="O1825" i="21" s="1"/>
  <c r="AA1177" i="16"/>
  <c r="AG1177" i="16" s="1"/>
  <c r="AA1153" i="16"/>
  <c r="AG1153" i="16" s="1"/>
  <c r="AA1133" i="16"/>
  <c r="AG1133" i="16" s="1"/>
  <c r="AA1113" i="16"/>
  <c r="L1113" i="21" s="1"/>
  <c r="O1113" i="21" s="1"/>
  <c r="AA1151" i="16"/>
  <c r="AG1151" i="16" s="1"/>
  <c r="AA1124" i="16"/>
  <c r="AG1124" i="16" s="1"/>
  <c r="AA1166" i="16"/>
  <c r="AG1166" i="16" s="1"/>
  <c r="AA1134" i="16"/>
  <c r="L1134" i="21" s="1"/>
  <c r="O1134" i="21" s="1"/>
  <c r="AA1180" i="16"/>
  <c r="AG1180" i="16" s="1"/>
  <c r="AA1154" i="16"/>
  <c r="AG1154" i="16" s="1"/>
  <c r="AA1122" i="16"/>
  <c r="AG1122" i="16" s="1"/>
  <c r="AA1126" i="16"/>
  <c r="L1126" i="21" s="1"/>
  <c r="O1126" i="21" s="1"/>
  <c r="AA1152" i="16"/>
  <c r="L1152" i="21" s="1"/>
  <c r="O1152" i="21" s="1"/>
  <c r="AA1174" i="16"/>
  <c r="L1174" i="21" s="1"/>
  <c r="O1174" i="21" s="1"/>
  <c r="AA756" i="17"/>
  <c r="AA739" i="17"/>
  <c r="AA1555" i="16"/>
  <c r="AG1555" i="16" s="1"/>
  <c r="AA664" i="17"/>
  <c r="AA1594" i="16"/>
  <c r="AG1594" i="16" s="1"/>
  <c r="AA1512" i="16"/>
  <c r="AG1512" i="16" s="1"/>
  <c r="AA1936" i="16"/>
  <c r="AG1936" i="16" s="1"/>
  <c r="AA1904" i="16"/>
  <c r="AA1844" i="16"/>
  <c r="AG1844" i="16" s="1"/>
  <c r="AA1972" i="16"/>
  <c r="L1972" i="21" s="1"/>
  <c r="O1972" i="21" s="1"/>
  <c r="AA1880" i="16"/>
  <c r="AG1880" i="16" s="1"/>
  <c r="AA1992" i="16"/>
  <c r="AA1932" i="16"/>
  <c r="AG1932" i="16" s="1"/>
  <c r="AA2028" i="16"/>
  <c r="L2028" i="21" s="1"/>
  <c r="O2028" i="21" s="1"/>
  <c r="AA1865" i="16"/>
  <c r="AA1897" i="16"/>
  <c r="AA1925" i="16"/>
  <c r="L1925" i="21" s="1"/>
  <c r="O1925" i="21" s="1"/>
  <c r="AA1949" i="16"/>
  <c r="L1949" i="21" s="1"/>
  <c r="O1949" i="21" s="1"/>
  <c r="AA1981" i="16"/>
  <c r="AA2009" i="16"/>
  <c r="AA2037" i="16"/>
  <c r="AG2037" i="16" s="1"/>
  <c r="AA1866" i="16"/>
  <c r="L1866" i="21" s="1"/>
  <c r="O1866" i="21" s="1"/>
  <c r="AA1890" i="16"/>
  <c r="AA1918" i="16"/>
  <c r="AA1950" i="16"/>
  <c r="AG1950" i="16" s="1"/>
  <c r="AA1978" i="16"/>
  <c r="L1978" i="21" s="1"/>
  <c r="O1978" i="21" s="1"/>
  <c r="AA2002" i="16"/>
  <c r="AA2034" i="16"/>
  <c r="AA1859" i="16"/>
  <c r="AG1859" i="16" s="1"/>
  <c r="AA1887" i="16"/>
  <c r="L1887" i="21" s="1"/>
  <c r="O1887" i="21" s="1"/>
  <c r="AA1919" i="16"/>
  <c r="L1919" i="21" s="1"/>
  <c r="O1919" i="21" s="1"/>
  <c r="AA1943" i="16"/>
  <c r="AA1971" i="16"/>
  <c r="AG1971" i="16" s="1"/>
  <c r="AA2003" i="16"/>
  <c r="AG2003" i="16" s="1"/>
  <c r="AA1585" i="16"/>
  <c r="AG1585" i="16" s="1"/>
  <c r="AA2058" i="16"/>
  <c r="AG2058" i="16" s="1"/>
  <c r="AA2039" i="16"/>
  <c r="L2069" i="21" s="1"/>
  <c r="AA2019" i="16"/>
  <c r="L2019" i="21" s="1"/>
  <c r="O2019" i="21" s="1"/>
  <c r="AA1999" i="16"/>
  <c r="AG1999" i="16" s="1"/>
  <c r="AA1975" i="16"/>
  <c r="AA1955" i="16"/>
  <c r="AG1955" i="16" s="1"/>
  <c r="AA1935" i="16"/>
  <c r="L1935" i="21" s="1"/>
  <c r="O1935" i="21" s="1"/>
  <c r="AA1911" i="16"/>
  <c r="AG1911" i="16" s="1"/>
  <c r="AA1891" i="16"/>
  <c r="AA1871" i="16"/>
  <c r="L1871" i="21" s="1"/>
  <c r="O1871" i="21" s="1"/>
  <c r="AA1847" i="16"/>
  <c r="AG1847" i="16" s="1"/>
  <c r="AA2030" i="16"/>
  <c r="AG2030" i="16" s="1"/>
  <c r="AA2010" i="16"/>
  <c r="AA1986" i="16"/>
  <c r="AG1986" i="16" s="1"/>
  <c r="AA1966" i="16"/>
  <c r="AG1966" i="16" s="1"/>
  <c r="AA1946" i="16"/>
  <c r="L1946" i="21" s="1"/>
  <c r="O1946" i="21" s="1"/>
  <c r="AA1922" i="16"/>
  <c r="AA1902" i="16"/>
  <c r="AG1902" i="16" s="1"/>
  <c r="AA1882" i="16"/>
  <c r="AG1882" i="16" s="1"/>
  <c r="AA1858" i="16"/>
  <c r="AG1858" i="16" s="1"/>
  <c r="AA1838" i="16"/>
  <c r="AG1838" i="16" s="1"/>
  <c r="AA2021" i="16"/>
  <c r="L2021" i="21" s="1"/>
  <c r="O2021" i="21" s="1"/>
  <c r="AA1997" i="16"/>
  <c r="L1997" i="21" s="1"/>
  <c r="O1997" i="21" s="1"/>
  <c r="AA1977" i="16"/>
  <c r="AG1977" i="16" s="1"/>
  <c r="AA1957" i="16"/>
  <c r="AG1957" i="16" s="1"/>
  <c r="AA1933" i="16"/>
  <c r="AG1933" i="16" s="1"/>
  <c r="AA1913" i="16"/>
  <c r="L1913" i="21" s="1"/>
  <c r="O1913" i="21" s="1"/>
  <c r="AA1893" i="16"/>
  <c r="L1893" i="21" s="1"/>
  <c r="O1893" i="21" s="1"/>
  <c r="AA1869" i="16"/>
  <c r="AA1849" i="16"/>
  <c r="L1849" i="21" s="1"/>
  <c r="O1849" i="21" s="1"/>
  <c r="AA1996" i="16"/>
  <c r="AG1996" i="16" s="1"/>
  <c r="AA1900" i="16"/>
  <c r="AA2008" i="16"/>
  <c r="AA1928" i="16"/>
  <c r="AG1928" i="16" s="1"/>
  <c r="AA2036" i="16"/>
  <c r="AG2036" i="16" s="1"/>
  <c r="AA1956" i="16"/>
  <c r="AA1876" i="16"/>
  <c r="AA2032" i="16"/>
  <c r="AG2032" i="16" s="1"/>
  <c r="AA1872" i="16"/>
  <c r="AG1872" i="16" s="1"/>
  <c r="AA979" i="16"/>
  <c r="AG979" i="16" s="1"/>
  <c r="AA297" i="16"/>
  <c r="AA562" i="16"/>
  <c r="L562" i="21" s="1"/>
  <c r="O562" i="21" s="1"/>
  <c r="AA2016" i="16"/>
  <c r="AG2016" i="16" s="1"/>
  <c r="AA1920" i="16"/>
  <c r="AG1920" i="16" s="1"/>
  <c r="AA1908" i="16"/>
  <c r="AA2020" i="16"/>
  <c r="AG2020" i="16" s="1"/>
  <c r="AA1944" i="16"/>
  <c r="L1944" i="21" s="1"/>
  <c r="O1944" i="21" s="1"/>
  <c r="AA1868" i="16"/>
  <c r="L1868" i="21" s="1"/>
  <c r="O1868" i="21" s="1"/>
  <c r="AA1964" i="16"/>
  <c r="AA1853" i="16"/>
  <c r="AG1853" i="16" s="1"/>
  <c r="AA1881" i="16"/>
  <c r="L1881" i="21" s="1"/>
  <c r="O1881" i="21" s="1"/>
  <c r="AA1909" i="16"/>
  <c r="AG1909" i="16" s="1"/>
  <c r="AA1941" i="16"/>
  <c r="AA1965" i="16"/>
  <c r="AG1965" i="16" s="1"/>
  <c r="AA1993" i="16"/>
  <c r="AG1993" i="16" s="1"/>
  <c r="AA2025" i="16"/>
  <c r="L2025" i="21" s="1"/>
  <c r="O2025" i="21" s="1"/>
  <c r="AA1850" i="16"/>
  <c r="AA1874" i="16"/>
  <c r="AG1874" i="16" s="1"/>
  <c r="AA1906" i="16"/>
  <c r="AG1906" i="16" s="1"/>
  <c r="AA1934" i="16"/>
  <c r="L1934" i="21" s="1"/>
  <c r="O1934" i="21" s="1"/>
  <c r="AA1962" i="16"/>
  <c r="AA1994" i="16"/>
  <c r="AG1994" i="16" s="1"/>
  <c r="AA2018" i="16"/>
  <c r="AG2018" i="16" s="1"/>
  <c r="AA1843" i="16"/>
  <c r="AA1875" i="16"/>
  <c r="AA1903" i="16"/>
  <c r="L1903" i="21" s="1"/>
  <c r="O1903" i="21" s="1"/>
  <c r="AA1927" i="16"/>
  <c r="L1927" i="21" s="1"/>
  <c r="O1927" i="21" s="1"/>
  <c r="AA1959" i="16"/>
  <c r="L1959" i="21" s="1"/>
  <c r="O1959" i="21" s="1"/>
  <c r="AA1987" i="16"/>
  <c r="L1987" i="21" s="1"/>
  <c r="O1987" i="21" s="1"/>
  <c r="AA2015" i="16"/>
  <c r="L2015" i="21" s="1"/>
  <c r="O2015" i="21" s="1"/>
  <c r="AA762" i="16"/>
  <c r="L762" i="21" s="1"/>
  <c r="O762" i="21" s="1"/>
  <c r="AA469" i="17"/>
  <c r="AA484" i="17"/>
  <c r="AA493" i="17"/>
  <c r="AA500" i="17"/>
  <c r="AA507" i="17"/>
  <c r="AA512" i="17"/>
  <c r="AA518" i="17"/>
  <c r="AA1350" i="16"/>
  <c r="AG1350" i="16" s="1"/>
  <c r="AA466" i="17"/>
  <c r="AA485" i="17"/>
  <c r="AA1334" i="16"/>
  <c r="AG1334" i="16" s="1"/>
  <c r="AA468" i="17"/>
  <c r="AA487" i="17"/>
  <c r="AA1360" i="16"/>
  <c r="AG1360" i="16" s="1"/>
  <c r="AA1335" i="16"/>
  <c r="AG1335" i="16" s="1"/>
  <c r="AA1367" i="16"/>
  <c r="AG1367" i="16" s="1"/>
  <c r="AA1331" i="16"/>
  <c r="AG1331" i="16" s="1"/>
  <c r="AA1358" i="16"/>
  <c r="AG1358" i="16" s="1"/>
  <c r="AA1327" i="16"/>
  <c r="AG1327" i="16" s="1"/>
  <c r="AA1354" i="16"/>
  <c r="AG1354" i="16" s="1"/>
  <c r="AA1313" i="16"/>
  <c r="AG1313" i="16" s="1"/>
  <c r="AA1337" i="16"/>
  <c r="AG1337" i="16" s="1"/>
  <c r="AA1357" i="16"/>
  <c r="AG1357" i="16" s="1"/>
  <c r="AA1230" i="16"/>
  <c r="AG1230" i="16" s="1"/>
  <c r="AA1625" i="16"/>
  <c r="AA665" i="16"/>
  <c r="AG665" i="16" s="1"/>
  <c r="AA23" i="17"/>
  <c r="AA47" i="17"/>
  <c r="AA148" i="16"/>
  <c r="AG148" i="16" s="1"/>
  <c r="AA178" i="16"/>
  <c r="AG178" i="16" s="1"/>
  <c r="AA330" i="17"/>
  <c r="AA1179" i="16"/>
  <c r="AG1179" i="16" s="1"/>
  <c r="AA1163" i="16"/>
  <c r="AA1168" i="16"/>
  <c r="AA1127" i="16"/>
  <c r="AG1127" i="16" s="1"/>
  <c r="AA1148" i="16"/>
  <c r="AG1148" i="16" s="1"/>
  <c r="AA1170" i="16"/>
  <c r="AA1118" i="16"/>
  <c r="AA1139" i="16"/>
  <c r="AG1139" i="16" s="1"/>
  <c r="AA1160" i="16"/>
  <c r="AG1160" i="16" s="1"/>
  <c r="AA1114" i="16"/>
  <c r="AA1135" i="16"/>
  <c r="AA1156" i="16"/>
  <c r="AG1156" i="16" s="1"/>
  <c r="AA1178" i="16"/>
  <c r="AG1178" i="16" s="1"/>
  <c r="AA1125" i="16"/>
  <c r="L1125" i="21" s="1"/>
  <c r="O1125" i="21" s="1"/>
  <c r="AA1141" i="16"/>
  <c r="AA1157" i="16"/>
  <c r="AG1157" i="16" s="1"/>
  <c r="AA1173" i="16"/>
  <c r="AG1173" i="16" s="1"/>
  <c r="AA1952" i="16"/>
  <c r="AA1840" i="16"/>
  <c r="AA1856" i="16"/>
  <c r="AG1856" i="16" s="1"/>
  <c r="AA1860" i="16"/>
  <c r="AG1860" i="16" s="1"/>
  <c r="AA1924" i="16"/>
  <c r="L1924" i="21" s="1"/>
  <c r="O1924" i="21" s="1"/>
  <c r="AA1988" i="16"/>
  <c r="L1988" i="21" s="1"/>
  <c r="O1988" i="21" s="1"/>
  <c r="AA1848" i="16"/>
  <c r="AG1848" i="16" s="1"/>
  <c r="AA1912" i="16"/>
  <c r="AG1912" i="16" s="1"/>
  <c r="AA1976" i="16"/>
  <c r="AG1976" i="16" s="1"/>
  <c r="AA1852" i="16"/>
  <c r="AA1916" i="16"/>
  <c r="L1916" i="21" s="1"/>
  <c r="O1916" i="21" s="1"/>
  <c r="AA1980" i="16"/>
  <c r="L1980" i="21" s="1"/>
  <c r="O1980" i="21" s="1"/>
  <c r="AA1841" i="16"/>
  <c r="AG1841" i="16" s="1"/>
  <c r="AA1857" i="16"/>
  <c r="AA1873" i="16"/>
  <c r="AG1873" i="16" s="1"/>
  <c r="AA1889" i="16"/>
  <c r="AG1889" i="16" s="1"/>
  <c r="AA1905" i="16"/>
  <c r="L1905" i="21" s="1"/>
  <c r="O1905" i="21" s="1"/>
  <c r="AA1921" i="16"/>
  <c r="AA1937" i="16"/>
  <c r="AG1937" i="16" s="1"/>
  <c r="AA1953" i="16"/>
  <c r="AG1953" i="16" s="1"/>
  <c r="AA1969" i="16"/>
  <c r="AG1969" i="16" s="1"/>
  <c r="AA1985" i="16"/>
  <c r="AA2001" i="16"/>
  <c r="AG2001" i="16" s="1"/>
  <c r="AA2017" i="16"/>
  <c r="L2017" i="21" s="1"/>
  <c r="O2017" i="21" s="1"/>
  <c r="AA2033" i="16"/>
  <c r="AA1846" i="16"/>
  <c r="AG1846" i="16" s="1"/>
  <c r="AA1862" i="16"/>
  <c r="AG1862" i="16" s="1"/>
  <c r="AA1878" i="16"/>
  <c r="AG1878" i="16" s="1"/>
  <c r="AA1894" i="16"/>
  <c r="AG1894" i="16" s="1"/>
  <c r="AA1910" i="16"/>
  <c r="L1910" i="21" s="1"/>
  <c r="O1910" i="21" s="1"/>
  <c r="AA1926" i="16"/>
  <c r="AG1926" i="16" s="1"/>
  <c r="AA1942" i="16"/>
  <c r="L1942" i="21" s="1"/>
  <c r="O1942" i="21" s="1"/>
  <c r="AA1958" i="16"/>
  <c r="AA1974" i="16"/>
  <c r="AA1990" i="16"/>
  <c r="AG1990" i="16" s="1"/>
  <c r="AA2006" i="16"/>
  <c r="AG2006" i="16" s="1"/>
  <c r="AA2022" i="16"/>
  <c r="AA2038" i="16"/>
  <c r="AA1851" i="16"/>
  <c r="AG1851" i="16" s="1"/>
  <c r="AA1867" i="16"/>
  <c r="L1867" i="21" s="1"/>
  <c r="O1867" i="21" s="1"/>
  <c r="AA1883" i="16"/>
  <c r="AG1883" i="16" s="1"/>
  <c r="AA1899" i="16"/>
  <c r="AG1899" i="16" s="1"/>
  <c r="AA1915" i="16"/>
  <c r="AG1915" i="16" s="1"/>
  <c r="AA1931" i="16"/>
  <c r="AG1931" i="16" s="1"/>
  <c r="AA1947" i="16"/>
  <c r="L1947" i="21" s="1"/>
  <c r="O1947" i="21" s="1"/>
  <c r="AA1963" i="16"/>
  <c r="L1963" i="21" s="1"/>
  <c r="O1963" i="21" s="1"/>
  <c r="AA1979" i="16"/>
  <c r="AG1979" i="16" s="1"/>
  <c r="AA1995" i="16"/>
  <c r="L1995" i="21" s="1"/>
  <c r="O1995" i="21" s="1"/>
  <c r="AA2011" i="16"/>
  <c r="AG2011" i="16" s="1"/>
  <c r="AA2027" i="16"/>
  <c r="AA1344" i="16"/>
  <c r="AG1344" i="16" s="1"/>
  <c r="AA467" i="17"/>
  <c r="AA478" i="17"/>
  <c r="AA488" i="17"/>
  <c r="AA495" i="17"/>
  <c r="AA499" i="17"/>
  <c r="AA505" i="17"/>
  <c r="AA509" i="17"/>
  <c r="AA513" i="17"/>
  <c r="AA517" i="17"/>
  <c r="AA521" i="17"/>
  <c r="AA1366" i="16"/>
  <c r="AG1366" i="16" s="1"/>
  <c r="AA470" i="17"/>
  <c r="AA482" i="17"/>
  <c r="AA501" i="17"/>
  <c r="AA1323" i="16"/>
  <c r="AG1323" i="16" s="1"/>
  <c r="AA471" i="17"/>
  <c r="AA483" i="17"/>
  <c r="AA1318" i="16"/>
  <c r="AG1318" i="16" s="1"/>
  <c r="AA1319" i="16"/>
  <c r="AG1319" i="16" s="1"/>
  <c r="AA1340" i="16"/>
  <c r="AG1340" i="16" s="1"/>
  <c r="AA1362" i="16"/>
  <c r="AG1362" i="16" s="1"/>
  <c r="AA1320" i="16"/>
  <c r="AG1320" i="16" s="1"/>
  <c r="AA1342" i="16"/>
  <c r="AG1342" i="16" s="1"/>
  <c r="AA1363" i="16"/>
  <c r="AG1363" i="16" s="1"/>
  <c r="AA1322" i="16"/>
  <c r="AG1322" i="16" s="1"/>
  <c r="AA1343" i="16"/>
  <c r="AG1343" i="16" s="1"/>
  <c r="AA1364" i="16"/>
  <c r="AG1364" i="16" s="1"/>
  <c r="AA1317" i="16"/>
  <c r="AG1317" i="16" s="1"/>
  <c r="AA1333" i="16"/>
  <c r="AG1333" i="16" s="1"/>
  <c r="AA1349" i="16"/>
  <c r="AG1349" i="16" s="1"/>
  <c r="AA1592" i="16"/>
  <c r="AG1592" i="16" s="1"/>
  <c r="AA1514" i="16"/>
  <c r="AG1514" i="16" s="1"/>
  <c r="AA642" i="17"/>
  <c r="AA710" i="17"/>
  <c r="AA776" i="16"/>
  <c r="L776" i="21" s="1"/>
  <c r="O776" i="21" s="1"/>
  <c r="AA346" i="16"/>
  <c r="AG346" i="16" s="1"/>
  <c r="AA1744" i="16"/>
  <c r="L1744" i="21" s="1"/>
  <c r="O1744" i="21" s="1"/>
  <c r="AA1610" i="16"/>
  <c r="AG1610" i="16" s="1"/>
  <c r="AA816" i="16"/>
  <c r="L906" i="21" s="1"/>
  <c r="AA310" i="16"/>
  <c r="L310" i="21" s="1"/>
  <c r="O310" i="21" s="1"/>
  <c r="AA50" i="17"/>
  <c r="AA150" i="16"/>
  <c r="AG150" i="16" s="1"/>
  <c r="AA125" i="16"/>
  <c r="AG125" i="16" s="1"/>
  <c r="AA152" i="16"/>
  <c r="AG152" i="16" s="1"/>
  <c r="U43" i="23"/>
  <c r="U112" i="23" s="1"/>
  <c r="AB43" i="8"/>
  <c r="AB20" i="8"/>
  <c r="U20" i="23"/>
  <c r="U89" i="23" s="1"/>
  <c r="U11" i="23"/>
  <c r="U80" i="23" s="1"/>
  <c r="AB11" i="8"/>
  <c r="AB67" i="8"/>
  <c r="U67" i="23"/>
  <c r="U136" i="23" s="1"/>
  <c r="AB27" i="8"/>
  <c r="U27" i="23"/>
  <c r="U96" i="23" s="1"/>
  <c r="U21" i="23"/>
  <c r="U90" i="23" s="1"/>
  <c r="AB21" i="8"/>
  <c r="U15" i="23"/>
  <c r="U84" i="23" s="1"/>
  <c r="AB15" i="8"/>
  <c r="AB55" i="8"/>
  <c r="U55" i="23"/>
  <c r="U124" i="23" s="1"/>
  <c r="AB52" i="8"/>
  <c r="U52" i="23"/>
  <c r="U121" i="23" s="1"/>
  <c r="AB50" i="8"/>
  <c r="U50" i="23"/>
  <c r="U119" i="23" s="1"/>
  <c r="AB18" i="8"/>
  <c r="U18" i="23"/>
  <c r="U87" i="23" s="1"/>
  <c r="AB60" i="8"/>
  <c r="U60" i="23"/>
  <c r="U129" i="23" s="1"/>
  <c r="U46" i="23"/>
  <c r="U115" i="23" s="1"/>
  <c r="AB46" i="8"/>
  <c r="AB45" i="8"/>
  <c r="U45" i="23"/>
  <c r="U114" i="23" s="1"/>
  <c r="U12" i="23"/>
  <c r="U81" i="23" s="1"/>
  <c r="AB12" i="8"/>
  <c r="AB13" i="8"/>
  <c r="U13" i="23"/>
  <c r="U82" i="23" s="1"/>
  <c r="B15" i="25"/>
  <c r="B14" i="25"/>
  <c r="H7" i="25"/>
  <c r="H13" i="25" s="1"/>
  <c r="H9" i="25"/>
  <c r="H11" i="25"/>
  <c r="M15" i="25"/>
  <c r="M14" i="25"/>
  <c r="G15" i="25"/>
  <c r="G14" i="25"/>
  <c r="E15" i="25"/>
  <c r="E14" i="25"/>
  <c r="U68" i="23"/>
  <c r="U137" i="23" s="1"/>
  <c r="AB68" i="8"/>
  <c r="U5" i="23"/>
  <c r="U74" i="23" s="1"/>
  <c r="AB5" i="8"/>
  <c r="V70" i="8"/>
  <c r="U34" i="23"/>
  <c r="U103" i="23" s="1"/>
  <c r="AB34" i="8"/>
  <c r="U31" i="23"/>
  <c r="U100" i="23" s="1"/>
  <c r="AB31" i="8"/>
  <c r="AB42" i="8"/>
  <c r="U42" i="23"/>
  <c r="U111" i="23" s="1"/>
  <c r="U65" i="23"/>
  <c r="U134" i="23" s="1"/>
  <c r="AB65" i="8"/>
  <c r="U16" i="23"/>
  <c r="U85" i="23" s="1"/>
  <c r="AB16" i="8"/>
  <c r="U6" i="23"/>
  <c r="U75" i="23" s="1"/>
  <c r="AB6" i="8"/>
  <c r="U30" i="23"/>
  <c r="U99" i="23" s="1"/>
  <c r="AB30" i="8"/>
  <c r="U61" i="23"/>
  <c r="U130" i="23" s="1"/>
  <c r="AB61" i="8"/>
  <c r="AB29" i="8"/>
  <c r="U29" i="23"/>
  <c r="U98" i="23" s="1"/>
  <c r="AB47" i="8"/>
  <c r="U47" i="23"/>
  <c r="U116" i="23" s="1"/>
  <c r="U25" i="23"/>
  <c r="U94" i="23" s="1"/>
  <c r="AB25" i="8"/>
  <c r="U14" i="23"/>
  <c r="U83" i="23" s="1"/>
  <c r="AB14" i="8"/>
  <c r="AB17" i="8"/>
  <c r="U17" i="23"/>
  <c r="U86" i="23" s="1"/>
  <c r="AB26" i="8"/>
  <c r="U26" i="23"/>
  <c r="U95" i="23" s="1"/>
  <c r="U39" i="23"/>
  <c r="U108" i="23" s="1"/>
  <c r="AB39" i="8"/>
  <c r="AA764" i="16"/>
  <c r="N14" i="25"/>
  <c r="N15" i="25"/>
  <c r="U51" i="23"/>
  <c r="U120" i="23" s="1"/>
  <c r="AB51" i="8"/>
  <c r="AB8" i="8"/>
  <c r="U8" i="23"/>
  <c r="U77" i="23" s="1"/>
  <c r="U24" i="23"/>
  <c r="U93" i="23" s="1"/>
  <c r="AB24" i="8"/>
  <c r="AB62" i="8"/>
  <c r="U62" i="23"/>
  <c r="U131" i="23" s="1"/>
  <c r="U9" i="23"/>
  <c r="U78" i="23" s="1"/>
  <c r="AB9" i="8"/>
  <c r="U23" i="23"/>
  <c r="U92" i="23" s="1"/>
  <c r="AB23" i="8"/>
  <c r="AB54" i="8"/>
  <c r="U54" i="23"/>
  <c r="U123" i="23" s="1"/>
  <c r="AB49" i="8"/>
  <c r="U49" i="23"/>
  <c r="U118" i="23" s="1"/>
  <c r="AB32" i="8"/>
  <c r="U32" i="23"/>
  <c r="U101" i="23" s="1"/>
  <c r="AB37" i="8"/>
  <c r="U37" i="23"/>
  <c r="U106" i="23" s="1"/>
  <c r="AB10" i="8"/>
  <c r="U10" i="23"/>
  <c r="U79" i="23" s="1"/>
  <c r="AB36" i="8"/>
  <c r="U36" i="23"/>
  <c r="U105" i="23" s="1"/>
  <c r="AB7" i="8"/>
  <c r="U7" i="23"/>
  <c r="U76" i="23" s="1"/>
  <c r="AB19" i="8"/>
  <c r="U19" i="23"/>
  <c r="U88" i="23" s="1"/>
  <c r="AB63" i="8"/>
  <c r="U63" i="23"/>
  <c r="U132" i="23" s="1"/>
  <c r="T15" i="25"/>
  <c r="T14" i="25"/>
  <c r="Q15" i="25"/>
  <c r="Q14" i="25"/>
  <c r="J15" i="25"/>
  <c r="J14" i="25"/>
  <c r="AB56" i="8"/>
  <c r="U56" i="23"/>
  <c r="U125" i="23" s="1"/>
  <c r="U58" i="23"/>
  <c r="U127" i="23" s="1"/>
  <c r="AB58" i="8"/>
  <c r="AB41" i="8"/>
  <c r="U41" i="23"/>
  <c r="U110" i="23" s="1"/>
  <c r="U35" i="23"/>
  <c r="U104" i="23" s="1"/>
  <c r="AB35" i="8"/>
  <c r="AB66" i="8"/>
  <c r="U66" i="23"/>
  <c r="U135" i="23" s="1"/>
  <c r="AB40" i="8"/>
  <c r="U40" i="23"/>
  <c r="U109" i="23" s="1"/>
  <c r="AB59" i="8"/>
  <c r="U59" i="23"/>
  <c r="U128" i="23" s="1"/>
  <c r="U28" i="23"/>
  <c r="U97" i="23" s="1"/>
  <c r="AB28" i="8"/>
  <c r="U57" i="23"/>
  <c r="U126" i="23" s="1"/>
  <c r="AB57" i="8"/>
  <c r="AB64" i="8"/>
  <c r="U64" i="23"/>
  <c r="U133" i="23" s="1"/>
  <c r="AB44" i="8"/>
  <c r="U44" i="23"/>
  <c r="U113" i="23" s="1"/>
  <c r="U33" i="23"/>
  <c r="U102" i="23" s="1"/>
  <c r="AB33" i="8"/>
  <c r="AB22" i="8"/>
  <c r="U22" i="23"/>
  <c r="U91" i="23" s="1"/>
  <c r="AB53" i="8"/>
  <c r="U53" i="23"/>
  <c r="U122" i="23" s="1"/>
  <c r="AB38" i="8"/>
  <c r="U38" i="23"/>
  <c r="U107" i="23" s="1"/>
  <c r="C9" i="25"/>
  <c r="C11" i="25"/>
  <c r="C7" i="25"/>
  <c r="C13" i="25" s="1"/>
  <c r="S60" i="9"/>
  <c r="S60" i="23" s="1"/>
  <c r="S129" i="23" s="1"/>
  <c r="S12" i="9"/>
  <c r="S12" i="23" s="1"/>
  <c r="S81" i="23" s="1"/>
  <c r="S39" i="9"/>
  <c r="S39" i="23" s="1"/>
  <c r="S108" i="23" s="1"/>
  <c r="S42" i="9"/>
  <c r="S42" i="23" s="1"/>
  <c r="S111" i="23" s="1"/>
  <c r="S23" i="9"/>
  <c r="S23" i="23" s="1"/>
  <c r="S92" i="23" s="1"/>
  <c r="S10" i="9"/>
  <c r="S10" i="23" s="1"/>
  <c r="S79" i="23" s="1"/>
  <c r="S61" i="9"/>
  <c r="S61" i="23" s="1"/>
  <c r="S130" i="23" s="1"/>
  <c r="S15" i="9"/>
  <c r="S15" i="23" s="1"/>
  <c r="S84" i="23" s="1"/>
  <c r="S6" i="9"/>
  <c r="S6" i="23" s="1"/>
  <c r="S75" i="23" s="1"/>
  <c r="S40" i="9"/>
  <c r="S40" i="23" s="1"/>
  <c r="S109" i="23" s="1"/>
  <c r="S52" i="9"/>
  <c r="S52" i="23" s="1"/>
  <c r="S121" i="23" s="1"/>
  <c r="S30" i="9"/>
  <c r="S30" i="23" s="1"/>
  <c r="S99" i="23" s="1"/>
  <c r="S68" i="9"/>
  <c r="S68" i="23" s="1"/>
  <c r="S137" i="23" s="1"/>
  <c r="S62" i="9"/>
  <c r="S62" i="23" s="1"/>
  <c r="S131" i="23" s="1"/>
  <c r="S43" i="9"/>
  <c r="S43" i="23" s="1"/>
  <c r="S112" i="23" s="1"/>
  <c r="S24" i="9"/>
  <c r="S24" i="23" s="1"/>
  <c r="S93" i="23" s="1"/>
  <c r="S54" i="9"/>
  <c r="S54" i="23" s="1"/>
  <c r="S123" i="23" s="1"/>
  <c r="S27" i="9"/>
  <c r="S27" i="23" s="1"/>
  <c r="S96" i="23" s="1"/>
  <c r="S16" i="9"/>
  <c r="S16" i="23" s="1"/>
  <c r="S85" i="23" s="1"/>
  <c r="S67" i="9"/>
  <c r="S67" i="23" s="1"/>
  <c r="S136" i="23" s="1"/>
  <c r="S29" i="9"/>
  <c r="S29" i="23" s="1"/>
  <c r="S98" i="23" s="1"/>
  <c r="S20" i="9"/>
  <c r="S20" i="23" s="1"/>
  <c r="S89" i="23" s="1"/>
  <c r="S47" i="9"/>
  <c r="S47" i="23" s="1"/>
  <c r="S116" i="23" s="1"/>
  <c r="S9" i="9"/>
  <c r="S9" i="23" s="1"/>
  <c r="S78" i="23" s="1"/>
  <c r="S13" i="9"/>
  <c r="S13" i="23" s="1"/>
  <c r="S82" i="23" s="1"/>
  <c r="S57" i="9"/>
  <c r="S57" i="23" s="1"/>
  <c r="S126" i="23" s="1"/>
  <c r="S7" i="9"/>
  <c r="S7" i="23" s="1"/>
  <c r="S76" i="23" s="1"/>
  <c r="S41" i="9"/>
  <c r="S41" i="23" s="1"/>
  <c r="S110" i="23" s="1"/>
  <c r="S22" i="9"/>
  <c r="S22" i="23" s="1"/>
  <c r="S91" i="23" s="1"/>
  <c r="S63" i="9"/>
  <c r="S63" i="23" s="1"/>
  <c r="S132" i="23" s="1"/>
  <c r="S31" i="9"/>
  <c r="S31" i="23" s="1"/>
  <c r="S100" i="23" s="1"/>
  <c r="S38" i="9"/>
  <c r="S38" i="23" s="1"/>
  <c r="S107" i="23" s="1"/>
  <c r="S51" i="9"/>
  <c r="S51" i="23" s="1"/>
  <c r="S120" i="23" s="1"/>
  <c r="S35" i="9"/>
  <c r="S35" i="23" s="1"/>
  <c r="S104" i="23" s="1"/>
  <c r="S28" i="9"/>
  <c r="S28" i="23" s="1"/>
  <c r="S97" i="23" s="1"/>
  <c r="S56" i="9"/>
  <c r="S56" i="23" s="1"/>
  <c r="S125" i="23" s="1"/>
  <c r="S37" i="9"/>
  <c r="S37" i="23" s="1"/>
  <c r="S106" i="23" s="1"/>
  <c r="S8" i="9"/>
  <c r="S8" i="23" s="1"/>
  <c r="S77" i="23" s="1"/>
  <c r="S58" i="9"/>
  <c r="S58" i="23" s="1"/>
  <c r="S127" i="23" s="1"/>
  <c r="S25" i="9"/>
  <c r="S25" i="23" s="1"/>
  <c r="S94" i="23" s="1"/>
  <c r="S26" i="9"/>
  <c r="S26" i="23" s="1"/>
  <c r="S95" i="23" s="1"/>
  <c r="S55" i="9"/>
  <c r="S55" i="23" s="1"/>
  <c r="S124" i="23" s="1"/>
  <c r="S17" i="9"/>
  <c r="S17" i="23" s="1"/>
  <c r="S86" i="23" s="1"/>
  <c r="S44" i="9"/>
  <c r="S44" i="23" s="1"/>
  <c r="S113" i="23" s="1"/>
  <c r="S5" i="9"/>
  <c r="S48" i="9"/>
  <c r="S48" i="23" s="1"/>
  <c r="S117" i="23" s="1"/>
  <c r="S45" i="9"/>
  <c r="S45" i="23" s="1"/>
  <c r="S114" i="23" s="1"/>
  <c r="S46" i="9"/>
  <c r="S46" i="23" s="1"/>
  <c r="S115" i="23" s="1"/>
  <c r="S64" i="9"/>
  <c r="S64" i="23" s="1"/>
  <c r="S133" i="23" s="1"/>
  <c r="S18" i="9"/>
  <c r="S18" i="23" s="1"/>
  <c r="S87" i="23" s="1"/>
  <c r="S11" i="9"/>
  <c r="S11" i="23" s="1"/>
  <c r="S80" i="23" s="1"/>
  <c r="S36" i="9"/>
  <c r="S36" i="23" s="1"/>
  <c r="S105" i="23" s="1"/>
  <c r="S66" i="9"/>
  <c r="S66" i="23" s="1"/>
  <c r="S135" i="23" s="1"/>
  <c r="S50" i="9"/>
  <c r="S50" i="23" s="1"/>
  <c r="S119" i="23" s="1"/>
  <c r="S32" i="9"/>
  <c r="S32" i="23" s="1"/>
  <c r="S101" i="23" s="1"/>
  <c r="S49" i="9"/>
  <c r="S49" i="23" s="1"/>
  <c r="S118" i="23" s="1"/>
  <c r="S33" i="9"/>
  <c r="S33" i="23" s="1"/>
  <c r="S102" i="23" s="1"/>
  <c r="S34" i="9"/>
  <c r="S34" i="23" s="1"/>
  <c r="S103" i="23" s="1"/>
  <c r="S53" i="9"/>
  <c r="S53" i="23" s="1"/>
  <c r="S122" i="23" s="1"/>
  <c r="S14" i="9"/>
  <c r="S14" i="23" s="1"/>
  <c r="S83" i="23" s="1"/>
  <c r="S59" i="9"/>
  <c r="S59" i="23" s="1"/>
  <c r="S128" i="23" s="1"/>
  <c r="S21" i="9"/>
  <c r="S21" i="23" s="1"/>
  <c r="S90" i="23" s="1"/>
  <c r="S65" i="9"/>
  <c r="S65" i="23" s="1"/>
  <c r="S134" i="23" s="1"/>
  <c r="S19" i="9"/>
  <c r="S19" i="23" s="1"/>
  <c r="S88" i="23" s="1"/>
  <c r="F15" i="25"/>
  <c r="F14" i="25"/>
  <c r="L15" i="25"/>
  <c r="L14" i="25"/>
  <c r="AA1600" i="16"/>
  <c r="AG1600" i="16" s="1"/>
  <c r="AA1513" i="16"/>
  <c r="AG1513" i="16" s="1"/>
  <c r="AA1554" i="16"/>
  <c r="AG1554" i="16" s="1"/>
  <c r="AA1579" i="16"/>
  <c r="AG1579" i="16" s="1"/>
  <c r="AA683" i="17"/>
  <c r="AA744" i="17"/>
  <c r="AA299" i="16"/>
  <c r="L299" i="21" s="1"/>
  <c r="O299" i="21" s="1"/>
  <c r="AA210" i="16"/>
  <c r="AG210" i="16" s="1"/>
  <c r="AA6" i="16"/>
  <c r="AA1556" i="16"/>
  <c r="AG1556" i="16" s="1"/>
  <c r="AA1497" i="16"/>
  <c r="AG1497" i="16" s="1"/>
  <c r="AA1482" i="16"/>
  <c r="AG1482" i="16" s="1"/>
  <c r="AA1487" i="16"/>
  <c r="AG1487" i="16" s="1"/>
  <c r="AA636" i="17"/>
  <c r="AA679" i="17"/>
  <c r="AA716" i="17"/>
  <c r="AA196" i="16"/>
  <c r="AA747" i="16"/>
  <c r="AG747" i="16" s="1"/>
  <c r="AA555" i="16"/>
  <c r="AG555" i="16" s="1"/>
  <c r="AA1206" i="16"/>
  <c r="AG1206" i="16" s="1"/>
  <c r="AA792" i="16"/>
  <c r="AG792" i="16" s="1"/>
  <c r="AA185" i="16"/>
  <c r="L185" i="21" s="1"/>
  <c r="O185" i="21" s="1"/>
  <c r="AA1520" i="16"/>
  <c r="AG1520" i="16" s="1"/>
  <c r="AA1604" i="16"/>
  <c r="AG1604" i="16" s="1"/>
  <c r="AA1580" i="16"/>
  <c r="AG1580" i="16" s="1"/>
  <c r="AA1569" i="16"/>
  <c r="AG1569" i="16" s="1"/>
  <c r="AA1534" i="16"/>
  <c r="AG1534" i="16" s="1"/>
  <c r="AA1503" i="16"/>
  <c r="AG1503" i="16" s="1"/>
  <c r="AA631" i="17"/>
  <c r="AA659" i="17"/>
  <c r="AA690" i="17"/>
  <c r="AA731" i="17"/>
  <c r="AA767" i="16"/>
  <c r="AG767" i="16" s="1"/>
  <c r="AA351" i="16"/>
  <c r="AG351" i="16" s="1"/>
  <c r="AA292" i="16"/>
  <c r="AG292" i="16" s="1"/>
  <c r="AA765" i="16"/>
  <c r="AA352" i="17"/>
  <c r="AA65" i="16"/>
  <c r="AG65" i="16" s="1"/>
  <c r="AA267" i="16"/>
  <c r="L267" i="21" s="1"/>
  <c r="O267" i="21" s="1"/>
  <c r="AA497" i="16"/>
  <c r="AA1568" i="16"/>
  <c r="AG1568" i="16" s="1"/>
  <c r="AA1524" i="16"/>
  <c r="AG1524" i="16" s="1"/>
  <c r="AA1544" i="16"/>
  <c r="AG1544" i="16" s="1"/>
  <c r="AA1481" i="16"/>
  <c r="AG1481" i="16" s="1"/>
  <c r="AA1549" i="16"/>
  <c r="AG1549" i="16" s="1"/>
  <c r="AA1502" i="16"/>
  <c r="AG1502" i="16" s="1"/>
  <c r="AA1570" i="16"/>
  <c r="AG1570" i="16" s="1"/>
  <c r="AA1523" i="16"/>
  <c r="AG1523" i="16" s="1"/>
  <c r="AA1599" i="16"/>
  <c r="AG1599" i="16" s="1"/>
  <c r="AA646" i="17"/>
  <c r="AA672" i="17"/>
  <c r="AA696" i="17"/>
  <c r="AA722" i="17"/>
  <c r="AA754" i="17"/>
  <c r="AA546" i="16"/>
  <c r="AG546" i="16" s="1"/>
  <c r="AA199" i="16"/>
  <c r="L199" i="21" s="1"/>
  <c r="O199" i="21" s="1"/>
  <c r="AA857" i="16"/>
  <c r="AG857" i="16" s="1"/>
  <c r="AA566" i="16"/>
  <c r="AG566" i="16" s="1"/>
  <c r="AA337" i="16"/>
  <c r="AG337" i="16" s="1"/>
  <c r="AA883" i="16"/>
  <c r="L883" i="21" s="1"/>
  <c r="O883" i="21" s="1"/>
  <c r="AA620" i="16"/>
  <c r="AG620" i="16" s="1"/>
  <c r="AA393" i="17"/>
  <c r="AA67" i="16"/>
  <c r="L67" i="21" s="1"/>
  <c r="O67" i="21" s="1"/>
  <c r="AA475" i="16"/>
  <c r="AA327" i="16"/>
  <c r="AA481" i="16"/>
  <c r="AG481" i="16" s="1"/>
  <c r="AA478" i="16"/>
  <c r="AG478" i="16" s="1"/>
  <c r="AA617" i="16"/>
  <c r="L617" i="21" s="1"/>
  <c r="O617" i="21" s="1"/>
  <c r="AA200" i="16"/>
  <c r="AA858" i="16"/>
  <c r="AG858" i="16" s="1"/>
  <c r="AA753" i="16"/>
  <c r="AG753" i="16" s="1"/>
  <c r="AA334" i="16"/>
  <c r="AG334" i="16" s="1"/>
  <c r="AA860" i="16"/>
  <c r="AG860" i="16" s="1"/>
  <c r="AA1724" i="16"/>
  <c r="AG1724" i="16" s="1"/>
  <c r="AA1488" i="16"/>
  <c r="AG1488" i="16" s="1"/>
  <c r="AA1536" i="16"/>
  <c r="AG1536" i="16" s="1"/>
  <c r="AA1540" i="16"/>
  <c r="AG1540" i="16" s="1"/>
  <c r="AA1480" i="16"/>
  <c r="AG1480" i="16" s="1"/>
  <c r="AA1576" i="16"/>
  <c r="AG1576" i="16" s="1"/>
  <c r="AA1532" i="16"/>
  <c r="AG1532" i="16" s="1"/>
  <c r="AA1493" i="16"/>
  <c r="AG1493" i="16" s="1"/>
  <c r="AA1521" i="16"/>
  <c r="AG1521" i="16" s="1"/>
  <c r="AA1553" i="16"/>
  <c r="AG1553" i="16" s="1"/>
  <c r="AA1597" i="16"/>
  <c r="AG1597" i="16" s="1"/>
  <c r="AA1506" i="16"/>
  <c r="AG1506" i="16" s="1"/>
  <c r="AA1546" i="16"/>
  <c r="AG1546" i="16" s="1"/>
  <c r="AA1586" i="16"/>
  <c r="AG1586" i="16" s="1"/>
  <c r="AA1491" i="16"/>
  <c r="AG1491" i="16" s="1"/>
  <c r="AA1531" i="16"/>
  <c r="AG1531" i="16" s="1"/>
  <c r="AA1571" i="16"/>
  <c r="AG1571" i="16" s="1"/>
  <c r="AA630" i="17"/>
  <c r="AA638" i="17"/>
  <c r="AA651" i="17"/>
  <c r="AA662" i="17"/>
  <c r="AA674" i="17"/>
  <c r="AA688" i="17"/>
  <c r="AA700" i="17"/>
  <c r="AA711" i="17"/>
  <c r="AA726" i="17"/>
  <c r="AA743" i="17"/>
  <c r="AA203" i="16"/>
  <c r="AA352" i="16"/>
  <c r="AG352" i="16" s="1"/>
  <c r="AA870" i="16"/>
  <c r="AG870" i="16" s="1"/>
  <c r="AA331" i="16"/>
  <c r="AA335" i="16"/>
  <c r="AG335" i="16" s="1"/>
  <c r="AA550" i="16"/>
  <c r="AG550" i="16" s="1"/>
  <c r="AA890" i="16"/>
  <c r="AG890" i="16" s="1"/>
  <c r="AA579" i="16"/>
  <c r="AA194" i="16"/>
  <c r="AA568" i="16"/>
  <c r="L568" i="21" s="1"/>
  <c r="O568" i="21" s="1"/>
  <c r="AA342" i="17"/>
  <c r="AA350" i="17"/>
  <c r="AA1231" i="16"/>
  <c r="AG1231" i="16" s="1"/>
  <c r="AA61" i="16"/>
  <c r="AG61" i="16" s="1"/>
  <c r="AA1765" i="16"/>
  <c r="AG1765" i="16" s="1"/>
  <c r="AA1636" i="16"/>
  <c r="L1636" i="21" s="1"/>
  <c r="O1636" i="21" s="1"/>
  <c r="AA1781" i="16"/>
  <c r="AG1781" i="16" s="1"/>
  <c r="AA1615" i="16"/>
  <c r="L1615" i="21" s="1"/>
  <c r="O1615" i="21" s="1"/>
  <c r="AA264" i="16"/>
  <c r="AG264" i="16" s="1"/>
  <c r="AA503" i="16"/>
  <c r="AG503" i="16" s="1"/>
  <c r="AA812" i="16"/>
  <c r="AG812" i="16" s="1"/>
  <c r="AA695" i="16"/>
  <c r="AG695" i="16" s="1"/>
  <c r="AA802" i="16"/>
  <c r="L802" i="21" s="1"/>
  <c r="O802" i="21" s="1"/>
  <c r="AA1492" i="16"/>
  <c r="AG1492" i="16" s="1"/>
  <c r="AA1588" i="16"/>
  <c r="AG1588" i="16" s="1"/>
  <c r="AA1528" i="16"/>
  <c r="AG1528" i="16" s="1"/>
  <c r="AA1484" i="16"/>
  <c r="AG1484" i="16" s="1"/>
  <c r="AA1596" i="16"/>
  <c r="AG1596" i="16" s="1"/>
  <c r="AA1505" i="16"/>
  <c r="AG1505" i="16" s="1"/>
  <c r="AA1545" i="16"/>
  <c r="AG1545" i="16" s="1"/>
  <c r="AA1577" i="16"/>
  <c r="AG1577" i="16" s="1"/>
  <c r="AA1486" i="16"/>
  <c r="AG1486" i="16" s="1"/>
  <c r="AA1530" i="16"/>
  <c r="AG1530" i="16" s="1"/>
  <c r="AA1566" i="16"/>
  <c r="AG1566" i="16" s="1"/>
  <c r="AA1598" i="16"/>
  <c r="AG1598" i="16" s="1"/>
  <c r="AA1515" i="16"/>
  <c r="AG1515" i="16" s="1"/>
  <c r="AA1551" i="16"/>
  <c r="AG1551" i="16" s="1"/>
  <c r="AA1587" i="16"/>
  <c r="AG1587" i="16" s="1"/>
  <c r="AA635" i="17"/>
  <c r="AA643" i="17"/>
  <c r="AA654" i="17"/>
  <c r="AA668" i="17"/>
  <c r="AA680" i="17"/>
  <c r="AA694" i="17"/>
  <c r="AA707" i="17"/>
  <c r="AA718" i="17"/>
  <c r="AA732" i="17"/>
  <c r="AA752" i="17"/>
  <c r="AA361" i="17"/>
  <c r="AA391" i="17"/>
  <c r="AA58" i="16"/>
  <c r="AG58" i="16" s="1"/>
  <c r="AA1716" i="16"/>
  <c r="AA1723" i="16"/>
  <c r="AA1791" i="16"/>
  <c r="AG1791" i="16" s="1"/>
  <c r="AA1548" i="16"/>
  <c r="AG1548" i="16" s="1"/>
  <c r="AA1489" i="16"/>
  <c r="AG1489" i="16" s="1"/>
  <c r="AA1509" i="16"/>
  <c r="AG1509" i="16" s="1"/>
  <c r="AA1533" i="16"/>
  <c r="AG1533" i="16" s="1"/>
  <c r="AA1565" i="16"/>
  <c r="AG1565" i="16" s="1"/>
  <c r="AA1593" i="16"/>
  <c r="AG1593" i="16" s="1"/>
  <c r="AA1490" i="16"/>
  <c r="AG1490" i="16" s="1"/>
  <c r="AA1522" i="16"/>
  <c r="AG1522" i="16" s="1"/>
  <c r="AA1550" i="16"/>
  <c r="AG1550" i="16" s="1"/>
  <c r="AA1578" i="16"/>
  <c r="AG1578" i="16" s="1"/>
  <c r="AA1483" i="16"/>
  <c r="AG1483" i="16" s="1"/>
  <c r="AA1507" i="16"/>
  <c r="AG1507" i="16" s="1"/>
  <c r="AA1535" i="16"/>
  <c r="AG1535" i="16" s="1"/>
  <c r="AA1567" i="16"/>
  <c r="AG1567" i="16" s="1"/>
  <c r="AA1595" i="16"/>
  <c r="AG1595" i="16" s="1"/>
  <c r="AA632" i="17"/>
  <c r="AA640" i="17"/>
  <c r="AA647" i="17"/>
  <c r="AA658" i="17"/>
  <c r="AA667" i="17"/>
  <c r="AA675" i="17"/>
  <c r="AA686" i="17"/>
  <c r="AA695" i="17"/>
  <c r="AA704" i="17"/>
  <c r="AA715" i="17"/>
  <c r="AA723" i="17"/>
  <c r="AA736" i="17"/>
  <c r="AA750" i="17"/>
  <c r="AA211" i="16"/>
  <c r="AG211" i="16" s="1"/>
  <c r="AA288" i="16"/>
  <c r="AA752" i="16"/>
  <c r="L752" i="21" s="1"/>
  <c r="O752" i="21" s="1"/>
  <c r="AA759" i="16"/>
  <c r="AG759" i="16" s="1"/>
  <c r="AA549" i="16"/>
  <c r="AG549" i="16" s="1"/>
  <c r="AA873" i="16"/>
  <c r="AA284" i="16"/>
  <c r="AG284" i="16" s="1"/>
  <c r="AA618" i="16"/>
  <c r="L618" i="21" s="1"/>
  <c r="O618" i="21" s="1"/>
  <c r="AA281" i="16"/>
  <c r="AG281" i="16" s="1"/>
  <c r="AA571" i="16"/>
  <c r="AA855" i="16"/>
  <c r="AG855" i="16" s="1"/>
  <c r="AA294" i="16"/>
  <c r="AA580" i="16"/>
  <c r="L580" i="21" s="1"/>
  <c r="O580" i="21" s="1"/>
  <c r="AA884" i="16"/>
  <c r="AA383" i="17"/>
  <c r="AA356" i="17"/>
  <c r="AA1217" i="16"/>
  <c r="AG1217" i="16" s="1"/>
  <c r="AA68" i="16"/>
  <c r="L106" i="21" s="1"/>
  <c r="AA1832" i="16"/>
  <c r="AA1722" i="16"/>
  <c r="AA1608" i="16"/>
  <c r="AG1608" i="16" s="1"/>
  <c r="AA1645" i="16"/>
  <c r="L1645" i="21" s="1"/>
  <c r="O1645" i="21" s="1"/>
  <c r="AA1650" i="16"/>
  <c r="AG1650" i="16" s="1"/>
  <c r="AA1651" i="16"/>
  <c r="L1651" i="21" s="1"/>
  <c r="O1651" i="21" s="1"/>
  <c r="AA500" i="16"/>
  <c r="AG500" i="16" s="1"/>
  <c r="AA463" i="16"/>
  <c r="AA308" i="16"/>
  <c r="AG308" i="16" s="1"/>
  <c r="AA329" i="16"/>
  <c r="L356" i="21" s="1"/>
  <c r="AA793" i="16"/>
  <c r="AG793" i="16" s="1"/>
  <c r="AA588" i="16"/>
  <c r="L588" i="21" s="1"/>
  <c r="O588" i="21" s="1"/>
  <c r="AA22" i="17"/>
  <c r="AA648" i="17"/>
  <c r="AA656" i="17"/>
  <c r="AA663" i="17"/>
  <c r="AA670" i="17"/>
  <c r="AA678" i="17"/>
  <c r="AA684" i="17"/>
  <c r="AA691" i="17"/>
  <c r="AA699" i="17"/>
  <c r="AA706" i="17"/>
  <c r="AA712" i="17"/>
  <c r="AA720" i="17"/>
  <c r="AA728" i="17"/>
  <c r="AA738" i="17"/>
  <c r="AA747" i="17"/>
  <c r="AA195" i="16"/>
  <c r="AA621" i="16"/>
  <c r="AG621" i="16" s="1"/>
  <c r="AA296" i="16"/>
  <c r="L296" i="21" s="1"/>
  <c r="O296" i="21" s="1"/>
  <c r="AA744" i="16"/>
  <c r="AG744" i="16" s="1"/>
  <c r="AA295" i="16"/>
  <c r="AA207" i="16"/>
  <c r="L207" i="21" s="1"/>
  <c r="O207" i="21" s="1"/>
  <c r="AA573" i="16"/>
  <c r="AG573" i="16" s="1"/>
  <c r="AA865" i="16"/>
  <c r="AG865" i="16" s="1"/>
  <c r="AA775" i="16"/>
  <c r="AA348" i="16"/>
  <c r="AA740" i="16"/>
  <c r="L740" i="21" s="1"/>
  <c r="O740" i="21" s="1"/>
  <c r="AA209" i="16"/>
  <c r="AG209" i="16" s="1"/>
  <c r="AA349" i="16"/>
  <c r="AA619" i="16"/>
  <c r="AG619" i="16" s="1"/>
  <c r="AA871" i="16"/>
  <c r="AA218" i="16"/>
  <c r="L218" i="21" s="1"/>
  <c r="O218" i="21" s="1"/>
  <c r="AA552" i="16"/>
  <c r="AA754" i="16"/>
  <c r="L754" i="21" s="1"/>
  <c r="O754" i="21" s="1"/>
  <c r="AA1238" i="16"/>
  <c r="AG1238" i="16" s="1"/>
  <c r="AA373" i="17"/>
  <c r="AA376" i="17"/>
  <c r="AA1218" i="16"/>
  <c r="AG1218" i="16" s="1"/>
  <c r="AA55" i="16"/>
  <c r="AA52" i="16"/>
  <c r="AG52" i="16" s="1"/>
  <c r="AA5" i="17"/>
  <c r="AA1713" i="16"/>
  <c r="L1713" i="21" s="1"/>
  <c r="O1713" i="21" s="1"/>
  <c r="AA1826" i="16"/>
  <c r="AA468" i="16"/>
  <c r="L468" i="21" s="1"/>
  <c r="O468" i="21" s="1"/>
  <c r="AA491" i="16"/>
  <c r="L491" i="21" s="1"/>
  <c r="O491" i="21" s="1"/>
  <c r="AA795" i="16"/>
  <c r="AG795" i="16" s="1"/>
  <c r="AA472" i="16"/>
  <c r="L472" i="21" s="1"/>
  <c r="O472" i="21" s="1"/>
  <c r="AA269" i="16"/>
  <c r="L269" i="21" s="1"/>
  <c r="O269" i="21" s="1"/>
  <c r="AA679" i="16"/>
  <c r="AA262" i="16"/>
  <c r="AA668" i="16"/>
  <c r="L668" i="21" s="1"/>
  <c r="O668" i="21" s="1"/>
  <c r="AA727" i="17"/>
  <c r="AA734" i="17"/>
  <c r="AA742" i="17"/>
  <c r="AA748" i="17"/>
  <c r="AA755" i="17"/>
  <c r="AA343" i="16"/>
  <c r="AA885" i="16"/>
  <c r="L885" i="21" s="1"/>
  <c r="O885" i="21" s="1"/>
  <c r="AA304" i="16"/>
  <c r="L304" i="21" s="1"/>
  <c r="O304" i="21" s="1"/>
  <c r="AA578" i="16"/>
  <c r="AG578" i="16" s="1"/>
  <c r="AA862" i="16"/>
  <c r="AA577" i="16"/>
  <c r="AG577" i="16" s="1"/>
  <c r="AA291" i="16"/>
  <c r="AG291" i="16" s="1"/>
  <c r="AA557" i="16"/>
  <c r="AG557" i="16" s="1"/>
  <c r="AA755" i="16"/>
  <c r="AG755" i="16" s="1"/>
  <c r="AA219" i="16"/>
  <c r="AG219" i="16" s="1"/>
  <c r="AA893" i="16"/>
  <c r="AG893" i="16" s="1"/>
  <c r="AA300" i="16"/>
  <c r="AG300" i="16" s="1"/>
  <c r="AA582" i="16"/>
  <c r="AG582" i="16" s="1"/>
  <c r="AA772" i="16"/>
  <c r="AG772" i="16" s="1"/>
  <c r="AA201" i="16"/>
  <c r="AG201" i="16" s="1"/>
  <c r="AA293" i="16"/>
  <c r="L293" i="21" s="1"/>
  <c r="O293" i="21" s="1"/>
  <c r="AA341" i="16"/>
  <c r="L341" i="21" s="1"/>
  <c r="O341" i="21" s="1"/>
  <c r="AA559" i="16"/>
  <c r="AG559" i="16" s="1"/>
  <c r="AA615" i="16"/>
  <c r="AA761" i="16"/>
  <c r="AG761" i="16" s="1"/>
  <c r="AA859" i="16"/>
  <c r="AA891" i="16"/>
  <c r="AG891" i="16" s="1"/>
  <c r="AA214" i="16"/>
  <c r="AG214" i="16" s="1"/>
  <c r="AA302" i="16"/>
  <c r="AG302" i="16" s="1"/>
  <c r="AA548" i="16"/>
  <c r="AG548" i="16" s="1"/>
  <c r="AA572" i="16"/>
  <c r="AG572" i="16" s="1"/>
  <c r="AA742" i="16"/>
  <c r="AA856" i="16"/>
  <c r="AG856" i="16" s="1"/>
  <c r="AA892" i="16"/>
  <c r="AA344" i="17"/>
  <c r="AA368" i="17"/>
  <c r="AA390" i="17"/>
  <c r="AA357" i="17"/>
  <c r="AA338" i="17"/>
  <c r="AA1196" i="16"/>
  <c r="AG1196" i="16" s="1"/>
  <c r="AA1194" i="16"/>
  <c r="AG1194" i="16" s="1"/>
  <c r="AA3" i="16"/>
  <c r="AA59" i="16"/>
  <c r="AG59" i="16" s="1"/>
  <c r="AA106" i="16"/>
  <c r="AG106" i="16" s="1"/>
  <c r="AA1712" i="16"/>
  <c r="AG1712" i="16" s="1"/>
  <c r="AA1708" i="16"/>
  <c r="AA1725" i="16"/>
  <c r="AG1725" i="16" s="1"/>
  <c r="AA1706" i="16"/>
  <c r="AG1706" i="16" s="1"/>
  <c r="AA1699" i="16"/>
  <c r="AG1699" i="16" s="1"/>
  <c r="AA815" i="16"/>
  <c r="L815" i="21" s="1"/>
  <c r="O815" i="21" s="1"/>
  <c r="AA674" i="16"/>
  <c r="L674" i="21" s="1"/>
  <c r="O674" i="21" s="1"/>
  <c r="AA175" i="16"/>
  <c r="AG175" i="16" s="1"/>
  <c r="AA669" i="16"/>
  <c r="AG669" i="16" s="1"/>
  <c r="AA184" i="16"/>
  <c r="AA780" i="16"/>
  <c r="AG780" i="16" s="1"/>
  <c r="AA277" i="16"/>
  <c r="AG277" i="16" s="1"/>
  <c r="AA595" i="16"/>
  <c r="L595" i="21" s="1"/>
  <c r="O595" i="21" s="1"/>
  <c r="AA813" i="16"/>
  <c r="AA326" i="16"/>
  <c r="AG326" i="16" s="1"/>
  <c r="AA700" i="16"/>
  <c r="L700" i="21" s="1"/>
  <c r="O700" i="21" s="1"/>
  <c r="AA163" i="17"/>
  <c r="AA882" i="16"/>
  <c r="AA217" i="16"/>
  <c r="AG217" i="16" s="1"/>
  <c r="AA301" i="16"/>
  <c r="L301" i="21" s="1"/>
  <c r="O301" i="21" s="1"/>
  <c r="AA547" i="16"/>
  <c r="AG547" i="16" s="1"/>
  <c r="AA575" i="16"/>
  <c r="AA745" i="16"/>
  <c r="L745" i="21" s="1"/>
  <c r="O745" i="21" s="1"/>
  <c r="AA777" i="16"/>
  <c r="AG777" i="16" s="1"/>
  <c r="AA875" i="16"/>
  <c r="L875" i="21" s="1"/>
  <c r="O875" i="21" s="1"/>
  <c r="AA198" i="16"/>
  <c r="AG198" i="16" s="1"/>
  <c r="AA290" i="16"/>
  <c r="AG290" i="16" s="1"/>
  <c r="AA342" i="16"/>
  <c r="L342" i="21" s="1"/>
  <c r="O342" i="21" s="1"/>
  <c r="AA556" i="16"/>
  <c r="L556" i="21" s="1"/>
  <c r="O556" i="21" s="1"/>
  <c r="AA612" i="16"/>
  <c r="AA758" i="16"/>
  <c r="AG758" i="16" s="1"/>
  <c r="AA872" i="16"/>
  <c r="L872" i="21" s="1"/>
  <c r="O872" i="21" s="1"/>
  <c r="AA339" i="17"/>
  <c r="AA355" i="17"/>
  <c r="AA375" i="17"/>
  <c r="AA331" i="17"/>
  <c r="AA389" i="17"/>
  <c r="AA367" i="17"/>
  <c r="AA1187" i="16"/>
  <c r="AG1187" i="16" s="1"/>
  <c r="AA1197" i="16"/>
  <c r="AG1197" i="16" s="1"/>
  <c r="AA1764" i="16"/>
  <c r="L1764" i="21" s="1"/>
  <c r="O1764" i="21" s="1"/>
  <c r="AA1705" i="16"/>
  <c r="AA1821" i="16"/>
  <c r="AG1821" i="16" s="1"/>
  <c r="AA1730" i="16"/>
  <c r="L1730" i="21" s="1"/>
  <c r="O1730" i="21" s="1"/>
  <c r="AA1823" i="16"/>
  <c r="AG1823" i="16" s="1"/>
  <c r="AA609" i="17"/>
  <c r="AA1504" i="16"/>
  <c r="AG1504" i="16" s="1"/>
  <c r="AA1552" i="16"/>
  <c r="AG1552" i="16" s="1"/>
  <c r="AA1508" i="16"/>
  <c r="AG1508" i="16" s="1"/>
  <c r="AA1572" i="16"/>
  <c r="AG1572" i="16" s="1"/>
  <c r="AA1496" i="16"/>
  <c r="AG1496" i="16" s="1"/>
  <c r="AA1560" i="16"/>
  <c r="AG1560" i="16" s="1"/>
  <c r="AA1500" i="16"/>
  <c r="AG1500" i="16" s="1"/>
  <c r="AA1564" i="16"/>
  <c r="AG1564" i="16" s="1"/>
  <c r="AA1485" i="16"/>
  <c r="AG1485" i="16" s="1"/>
  <c r="AA1501" i="16"/>
  <c r="AG1501" i="16" s="1"/>
  <c r="AA1517" i="16"/>
  <c r="AG1517" i="16" s="1"/>
  <c r="AA1537" i="16"/>
  <c r="AG1537" i="16" s="1"/>
  <c r="AA1561" i="16"/>
  <c r="AG1561" i="16" s="1"/>
  <c r="AA1581" i="16"/>
  <c r="AG1581" i="16" s="1"/>
  <c r="AA1601" i="16"/>
  <c r="AG1601" i="16" s="1"/>
  <c r="AA1498" i="16"/>
  <c r="AG1498" i="16" s="1"/>
  <c r="AA1518" i="16"/>
  <c r="AG1518" i="16" s="1"/>
  <c r="AA1538" i="16"/>
  <c r="AG1538" i="16" s="1"/>
  <c r="AA1562" i="16"/>
  <c r="AG1562" i="16" s="1"/>
  <c r="AA1582" i="16"/>
  <c r="AG1582" i="16" s="1"/>
  <c r="AA1602" i="16"/>
  <c r="AG1602" i="16" s="1"/>
  <c r="AA1499" i="16"/>
  <c r="AG1499" i="16" s="1"/>
  <c r="AA1519" i="16"/>
  <c r="AG1519" i="16" s="1"/>
  <c r="AA1539" i="16"/>
  <c r="AG1539" i="16" s="1"/>
  <c r="AA1563" i="16"/>
  <c r="AG1563" i="16" s="1"/>
  <c r="AA1583" i="16"/>
  <c r="AG1583" i="16" s="1"/>
  <c r="AA1603" i="16"/>
  <c r="AG1603" i="16" s="1"/>
  <c r="AA634" i="17"/>
  <c r="AA639" i="17"/>
  <c r="AA644" i="17"/>
  <c r="AA650" i="17"/>
  <c r="AA655" i="17"/>
  <c r="AA660" i="17"/>
  <c r="AA666" i="17"/>
  <c r="AA671" i="17"/>
  <c r="AA676" i="17"/>
  <c r="AA682" i="17"/>
  <c r="AA687" i="17"/>
  <c r="AA692" i="17"/>
  <c r="AA698" i="17"/>
  <c r="AA703" i="17"/>
  <c r="AA708" i="17"/>
  <c r="AA714" i="17"/>
  <c r="AA719" i="17"/>
  <c r="AA724" i="17"/>
  <c r="AA730" i="17"/>
  <c r="AA735" i="17"/>
  <c r="AA740" i="17"/>
  <c r="AA746" i="17"/>
  <c r="AA751" i="17"/>
  <c r="AA303" i="16"/>
  <c r="AG303" i="16" s="1"/>
  <c r="AA743" i="16"/>
  <c r="L743" i="21" s="1"/>
  <c r="O743" i="21" s="1"/>
  <c r="AA204" i="16"/>
  <c r="AG204" i="16" s="1"/>
  <c r="AA344" i="16"/>
  <c r="AA570" i="16"/>
  <c r="AG570" i="16" s="1"/>
  <c r="AA760" i="16"/>
  <c r="AA886" i="16"/>
  <c r="AG886" i="16" s="1"/>
  <c r="AA613" i="16"/>
  <c r="AG613" i="16" s="1"/>
  <c r="AA215" i="16"/>
  <c r="AG215" i="16" s="1"/>
  <c r="AA347" i="16"/>
  <c r="AA581" i="16"/>
  <c r="AG581" i="16" s="1"/>
  <c r="AA763" i="16"/>
  <c r="AG763" i="16" s="1"/>
  <c r="AA889" i="16"/>
  <c r="AG889" i="16" s="1"/>
  <c r="AA751" i="16"/>
  <c r="AG751" i="16" s="1"/>
  <c r="AA208" i="16"/>
  <c r="AG208" i="16" s="1"/>
  <c r="AA340" i="16"/>
  <c r="L340" i="21" s="1"/>
  <c r="O340" i="21" s="1"/>
  <c r="AA574" i="16"/>
  <c r="L574" i="21" s="1"/>
  <c r="O574" i="21" s="1"/>
  <c r="AA748" i="16"/>
  <c r="AA874" i="16"/>
  <c r="AG874" i="16" s="1"/>
  <c r="AA205" i="16"/>
  <c r="L205" i="21" s="1"/>
  <c r="O205" i="21" s="1"/>
  <c r="AA285" i="16"/>
  <c r="L285" i="21" s="1"/>
  <c r="O285" i="21" s="1"/>
  <c r="AA333" i="16"/>
  <c r="AA353" i="16"/>
  <c r="L372" i="21" s="1"/>
  <c r="AA563" i="16"/>
  <c r="L563" i="21" s="1"/>
  <c r="O563" i="21" s="1"/>
  <c r="AA611" i="16"/>
  <c r="L611" i="21" s="1"/>
  <c r="O611" i="21" s="1"/>
  <c r="AA749" i="16"/>
  <c r="AA769" i="16"/>
  <c r="AG769" i="16" s="1"/>
  <c r="AA867" i="16"/>
  <c r="AG867" i="16" s="1"/>
  <c r="AA887" i="16"/>
  <c r="AG887" i="16" s="1"/>
  <c r="AA202" i="16"/>
  <c r="AA286" i="16"/>
  <c r="AG286" i="16" s="1"/>
  <c r="AA330" i="16"/>
  <c r="AG330" i="16" s="1"/>
  <c r="AA350" i="16"/>
  <c r="L350" i="21" s="1"/>
  <c r="O350" i="21" s="1"/>
  <c r="AA564" i="16"/>
  <c r="AA584" i="16"/>
  <c r="AA746" i="16"/>
  <c r="AA774" i="16"/>
  <c r="AG774" i="16" s="1"/>
  <c r="AA876" i="16"/>
  <c r="AG876" i="16" s="1"/>
  <c r="AA333" i="17"/>
  <c r="AA349" i="17"/>
  <c r="AA365" i="17"/>
  <c r="AA378" i="17"/>
  <c r="AA1243" i="16"/>
  <c r="AG1243" i="16" s="1"/>
  <c r="AA354" i="17"/>
  <c r="AA382" i="17"/>
  <c r="AA335" i="17"/>
  <c r="AA359" i="17"/>
  <c r="AA1190" i="16"/>
  <c r="AG1190" i="16" s="1"/>
  <c r="AA1182" i="16"/>
  <c r="AG1182" i="16" s="1"/>
  <c r="AA1183" i="16"/>
  <c r="AG1183" i="16" s="1"/>
  <c r="AA1236" i="16"/>
  <c r="AG1236" i="16" s="1"/>
  <c r="AA22" i="16"/>
  <c r="L22" i="21" s="1"/>
  <c r="O22" i="21" s="1"/>
  <c r="AA16" i="16"/>
  <c r="L16" i="21" s="1"/>
  <c r="O16" i="21" s="1"/>
  <c r="AA21" i="16"/>
  <c r="AA1704" i="16"/>
  <c r="AG1704" i="16" s="1"/>
  <c r="AA1697" i="16"/>
  <c r="L1697" i="21" s="1"/>
  <c r="O1697" i="21" s="1"/>
  <c r="AA1737" i="16"/>
  <c r="L1737" i="21" s="1"/>
  <c r="O1737" i="21" s="1"/>
  <c r="AA1833" i="16"/>
  <c r="AA1770" i="16"/>
  <c r="AG1770" i="16" s="1"/>
  <c r="AA757" i="17"/>
  <c r="AA753" i="17"/>
  <c r="AA749" i="17"/>
  <c r="AA745" i="17"/>
  <c r="AA741" i="17"/>
  <c r="AA737" i="17"/>
  <c r="AA733" i="17"/>
  <c r="AA729" i="17"/>
  <c r="AA725" i="17"/>
  <c r="AA721" i="17"/>
  <c r="AA717" i="17"/>
  <c r="AA713" i="17"/>
  <c r="AA709" i="17"/>
  <c r="AA705" i="17"/>
  <c r="AA701" i="17"/>
  <c r="AA697" i="17"/>
  <c r="AA693" i="17"/>
  <c r="AA689" i="17"/>
  <c r="AA685" i="17"/>
  <c r="AA681" i="17"/>
  <c r="AA677" i="17"/>
  <c r="AA673" i="17"/>
  <c r="AA669" i="17"/>
  <c r="AA665" i="17"/>
  <c r="AA661" i="17"/>
  <c r="AA657" i="17"/>
  <c r="AA653" i="17"/>
  <c r="AA649" i="17"/>
  <c r="AA645" i="17"/>
  <c r="AA641" i="17"/>
  <c r="AA637" i="17"/>
  <c r="AA633" i="17"/>
  <c r="AA1607" i="16"/>
  <c r="AG1607" i="16" s="1"/>
  <c r="AA1591" i="16"/>
  <c r="AG1591" i="16" s="1"/>
  <c r="AA1575" i="16"/>
  <c r="AG1575" i="16" s="1"/>
  <c r="AA1559" i="16"/>
  <c r="AG1559" i="16" s="1"/>
  <c r="AA1543" i="16"/>
  <c r="AG1543" i="16" s="1"/>
  <c r="AA1527" i="16"/>
  <c r="AG1527" i="16" s="1"/>
  <c r="AA1511" i="16"/>
  <c r="AG1511" i="16" s="1"/>
  <c r="AA1495" i="16"/>
  <c r="AG1495" i="16" s="1"/>
  <c r="AA1606" i="16"/>
  <c r="AG1606" i="16" s="1"/>
  <c r="AA1590" i="16"/>
  <c r="AG1590" i="16" s="1"/>
  <c r="AA1574" i="16"/>
  <c r="AG1574" i="16" s="1"/>
  <c r="AA1558" i="16"/>
  <c r="AG1558" i="16" s="1"/>
  <c r="AA1542" i="16"/>
  <c r="AG1542" i="16" s="1"/>
  <c r="AA1526" i="16"/>
  <c r="AG1526" i="16" s="1"/>
  <c r="AA1510" i="16"/>
  <c r="AG1510" i="16" s="1"/>
  <c r="AA1494" i="16"/>
  <c r="AG1494" i="16" s="1"/>
  <c r="AA1605" i="16"/>
  <c r="AG1605" i="16" s="1"/>
  <c r="AA1589" i="16"/>
  <c r="AG1589" i="16" s="1"/>
  <c r="AA1573" i="16"/>
  <c r="AG1573" i="16" s="1"/>
  <c r="AA1557" i="16"/>
  <c r="AG1557" i="16" s="1"/>
  <c r="AA1541" i="16"/>
  <c r="AG1541" i="16" s="1"/>
  <c r="AA1525" i="16"/>
  <c r="AG1525" i="16" s="1"/>
  <c r="AA1221" i="16"/>
  <c r="AG1221" i="16" s="1"/>
  <c r="AA1237" i="16"/>
  <c r="AG1237" i="16" s="1"/>
  <c r="AA1213" i="16"/>
  <c r="AG1213" i="16" s="1"/>
  <c r="AA1185" i="16"/>
  <c r="AG1185" i="16" s="1"/>
  <c r="AA1210" i="16"/>
  <c r="AG1210" i="16" s="1"/>
  <c r="AA1235" i="16"/>
  <c r="AG1235" i="16" s="1"/>
  <c r="AA1203" i="16"/>
  <c r="AG1203" i="16" s="1"/>
  <c r="AA1228" i="16"/>
  <c r="AG1228" i="16" s="1"/>
  <c r="AA1191" i="16"/>
  <c r="AG1191" i="16" s="1"/>
  <c r="AA384" i="17"/>
  <c r="AA362" i="17"/>
  <c r="AA348" i="17"/>
  <c r="AA332" i="17"/>
  <c r="AA392" i="17"/>
  <c r="AA379" i="17"/>
  <c r="AA363" i="17"/>
  <c r="AA343" i="17"/>
  <c r="AA1216" i="16"/>
  <c r="AG1216" i="16" s="1"/>
  <c r="AA1229" i="16"/>
  <c r="AG1229" i="16" s="1"/>
  <c r="AA1189" i="16"/>
  <c r="AG1189" i="16" s="1"/>
  <c r="AA1204" i="16"/>
  <c r="AG1204" i="16" s="1"/>
  <c r="AA1214" i="16"/>
  <c r="AG1214" i="16" s="1"/>
  <c r="AA1239" i="16"/>
  <c r="AG1239" i="16" s="1"/>
  <c r="AA1186" i="16"/>
  <c r="AG1186" i="16" s="1"/>
  <c r="AA370" i="17"/>
  <c r="AA351" i="17"/>
  <c r="AA1227" i="16"/>
  <c r="AG1227" i="16" s="1"/>
  <c r="AA388" i="17"/>
  <c r="AA366" i="17"/>
  <c r="AA340" i="17"/>
  <c r="AA1200" i="16"/>
  <c r="AG1200" i="16" s="1"/>
  <c r="AA380" i="17"/>
  <c r="AA371" i="17"/>
  <c r="AA358" i="17"/>
  <c r="AA347" i="17"/>
  <c r="AA336" i="17"/>
  <c r="AA128" i="16"/>
  <c r="AG128" i="16" s="1"/>
  <c r="AA107" i="16"/>
  <c r="AG107" i="16" s="1"/>
  <c r="AA17" i="16"/>
  <c r="AG17" i="16" s="1"/>
  <c r="AA64" i="16"/>
  <c r="AA4" i="16"/>
  <c r="AG4" i="16" s="1"/>
  <c r="AA108" i="16"/>
  <c r="AG108" i="16" s="1"/>
  <c r="AA62" i="16"/>
  <c r="AG62" i="16" s="1"/>
  <c r="AA4" i="17"/>
  <c r="AA5" i="16"/>
  <c r="AG5" i="16" s="1"/>
  <c r="AA24" i="16"/>
  <c r="AG24" i="16" s="1"/>
  <c r="AA15" i="16"/>
  <c r="AG15" i="16" s="1"/>
  <c r="AA63" i="16"/>
  <c r="AA337" i="17"/>
  <c r="AA369" i="17"/>
  <c r="AA1184" i="16"/>
  <c r="AG1184" i="16" s="1"/>
  <c r="AA345" i="17"/>
  <c r="AA377" i="17"/>
  <c r="AA1212" i="16"/>
  <c r="AG1212" i="16" s="1"/>
  <c r="AA1208" i="16"/>
  <c r="AG1208" i="16" s="1"/>
  <c r="AA1226" i="16"/>
  <c r="AG1226" i="16" s="1"/>
  <c r="AA1205" i="16"/>
  <c r="AG1205" i="16" s="1"/>
  <c r="AA1831" i="16"/>
  <c r="AA1731" i="16"/>
  <c r="L1731" i="21" s="1"/>
  <c r="O1731" i="21" s="1"/>
  <c r="AA1707" i="16"/>
  <c r="AG1707" i="16" s="1"/>
  <c r="AA1822" i="16"/>
  <c r="L1822" i="21" s="1"/>
  <c r="O1822" i="21" s="1"/>
  <c r="AA1738" i="16"/>
  <c r="AA1714" i="16"/>
  <c r="L1714" i="21" s="1"/>
  <c r="O1714" i="21" s="1"/>
  <c r="AA1837" i="16"/>
  <c r="AG1837" i="16" s="1"/>
  <c r="AA1817" i="16"/>
  <c r="AG1817" i="16" s="1"/>
  <c r="AA1729" i="16"/>
  <c r="AA1709" i="16"/>
  <c r="AA1820" i="16"/>
  <c r="AG1820" i="16" s="1"/>
  <c r="AA1736" i="16"/>
  <c r="L1736" i="21" s="1"/>
  <c r="O1736" i="21" s="1"/>
  <c r="AA1732" i="16"/>
  <c r="L1732" i="21" s="1"/>
  <c r="O1732" i="21" s="1"/>
  <c r="AA1824" i="16"/>
  <c r="AA1727" i="16"/>
  <c r="AG1727" i="16" s="1"/>
  <c r="AA1834" i="16"/>
  <c r="AG1834" i="16" s="1"/>
  <c r="AA1766" i="16"/>
  <c r="AG1766" i="16" s="1"/>
  <c r="AA1710" i="16"/>
  <c r="AA1771" i="16"/>
  <c r="L1771" i="21" s="1"/>
  <c r="O1771" i="21" s="1"/>
  <c r="AA1711" i="16"/>
  <c r="L1711" i="21" s="1"/>
  <c r="O1711" i="21" s="1"/>
  <c r="AA1818" i="16"/>
  <c r="L1818" i="21" s="1"/>
  <c r="O1818" i="21" s="1"/>
  <c r="AA1726" i="16"/>
  <c r="L1726" i="21" s="1"/>
  <c r="O1726" i="21" s="1"/>
  <c r="AA1698" i="16"/>
  <c r="L1698" i="21" s="1"/>
  <c r="O1698" i="21" s="1"/>
  <c r="AA1769" i="16"/>
  <c r="AA1721" i="16"/>
  <c r="AG1721" i="16" s="1"/>
  <c r="AA1836" i="16"/>
  <c r="L1836" i="21" s="1"/>
  <c r="O1836" i="21" s="1"/>
  <c r="AA1720" i="16"/>
  <c r="AG1720" i="16" s="1"/>
  <c r="AA1728" i="16"/>
  <c r="L1728" i="21" s="1"/>
  <c r="O1728" i="21" s="1"/>
  <c r="AA1025" i="16"/>
  <c r="AA1038" i="16"/>
  <c r="AA1055" i="16"/>
  <c r="AG1055" i="16" s="1"/>
  <c r="AA961" i="16"/>
  <c r="AG961" i="16" s="1"/>
  <c r="AA370" i="16"/>
  <c r="AG370" i="16" s="1"/>
  <c r="AA888" i="16"/>
  <c r="AG888" i="16" s="1"/>
  <c r="AA868" i="16"/>
  <c r="AG868" i="16" s="1"/>
  <c r="AA766" i="16"/>
  <c r="L766" i="21" s="1"/>
  <c r="O766" i="21" s="1"/>
  <c r="AA750" i="16"/>
  <c r="AA616" i="16"/>
  <c r="AG616" i="16" s="1"/>
  <c r="AA576" i="16"/>
  <c r="AG576" i="16" s="1"/>
  <c r="AA560" i="16"/>
  <c r="L560" i="21" s="1"/>
  <c r="O560" i="21" s="1"/>
  <c r="AA544" i="16"/>
  <c r="AG544" i="16" s="1"/>
  <c r="AA338" i="16"/>
  <c r="L338" i="21" s="1"/>
  <c r="O338" i="21" s="1"/>
  <c r="AA298" i="16"/>
  <c r="AG298" i="16" s="1"/>
  <c r="AA282" i="16"/>
  <c r="AA206" i="16"/>
  <c r="AA879" i="16"/>
  <c r="AA863" i="16"/>
  <c r="AG863" i="16" s="1"/>
  <c r="AA773" i="16"/>
  <c r="AG773" i="16" s="1"/>
  <c r="AA757" i="16"/>
  <c r="AA741" i="16"/>
  <c r="AA583" i="16"/>
  <c r="AG583" i="16" s="1"/>
  <c r="AA567" i="16"/>
  <c r="L567" i="21" s="1"/>
  <c r="O567" i="21" s="1"/>
  <c r="AA551" i="16"/>
  <c r="AG551" i="16" s="1"/>
  <c r="AA345" i="16"/>
  <c r="AA305" i="16"/>
  <c r="AG305" i="16" s="1"/>
  <c r="AA289" i="16"/>
  <c r="AA213" i="16"/>
  <c r="L213" i="21" s="1"/>
  <c r="O213" i="21" s="1"/>
  <c r="AA197" i="16"/>
  <c r="AA866" i="16"/>
  <c r="AG866" i="16" s="1"/>
  <c r="AA756" i="16"/>
  <c r="L756" i="21" s="1"/>
  <c r="O756" i="21" s="1"/>
  <c r="AA610" i="16"/>
  <c r="AG610" i="16" s="1"/>
  <c r="AA558" i="16"/>
  <c r="AA332" i="16"/>
  <c r="AG332" i="16" s="1"/>
  <c r="AA216" i="16"/>
  <c r="AG216" i="16" s="1"/>
  <c r="AA869" i="16"/>
  <c r="L869" i="21" s="1"/>
  <c r="O869" i="21" s="1"/>
  <c r="AA545" i="16"/>
  <c r="L545" i="21" s="1"/>
  <c r="O545" i="21" s="1"/>
  <c r="AA881" i="16"/>
  <c r="AG881" i="16" s="1"/>
  <c r="AA771" i="16"/>
  <c r="AA739" i="16"/>
  <c r="AA565" i="16"/>
  <c r="L565" i="21" s="1"/>
  <c r="O565" i="21" s="1"/>
  <c r="AA339" i="16"/>
  <c r="AG339" i="16" s="1"/>
  <c r="AA283" i="16"/>
  <c r="L283" i="21" s="1"/>
  <c r="O283" i="21" s="1"/>
  <c r="AA877" i="16"/>
  <c r="AG877" i="16" s="1"/>
  <c r="AA553" i="16"/>
  <c r="L553" i="21" s="1"/>
  <c r="O553" i="21" s="1"/>
  <c r="AA878" i="16"/>
  <c r="AG878" i="16" s="1"/>
  <c r="AA768" i="16"/>
  <c r="L768" i="21" s="1"/>
  <c r="O768" i="21" s="1"/>
  <c r="AA614" i="16"/>
  <c r="AA554" i="16"/>
  <c r="L554" i="21" s="1"/>
  <c r="O554" i="21" s="1"/>
  <c r="AA336" i="16"/>
  <c r="L336" i="21" s="1"/>
  <c r="O336" i="21" s="1"/>
  <c r="AA212" i="16"/>
  <c r="L212" i="21" s="1"/>
  <c r="O212" i="21" s="1"/>
  <c r="AA861" i="16"/>
  <c r="L861" i="21" s="1"/>
  <c r="O861" i="21" s="1"/>
  <c r="AA585" i="16"/>
  <c r="AG585" i="16" s="1"/>
  <c r="AA287" i="16"/>
  <c r="L287" i="21" s="1"/>
  <c r="O287" i="21" s="1"/>
  <c r="AA595" i="17"/>
  <c r="AA1448" i="16"/>
  <c r="AA1438" i="16"/>
  <c r="L1438" i="21" s="1"/>
  <c r="O1438" i="21" s="1"/>
  <c r="AA1648" i="16"/>
  <c r="AG1648" i="16" s="1"/>
  <c r="AA1640" i="16"/>
  <c r="AG1640" i="16" s="1"/>
  <c r="AA1621" i="16"/>
  <c r="L1621" i="21" s="1"/>
  <c r="O1621" i="21" s="1"/>
  <c r="AA1745" i="16"/>
  <c r="L1745" i="21" s="1"/>
  <c r="O1745" i="21" s="1"/>
  <c r="AA1626" i="16"/>
  <c r="AG1626" i="16" s="1"/>
  <c r="AA1746" i="16"/>
  <c r="AA1619" i="16"/>
  <c r="AG1619" i="16" s="1"/>
  <c r="AA791" i="16"/>
  <c r="AG791" i="16" s="1"/>
  <c r="AA280" i="16"/>
  <c r="AG280" i="16" s="1"/>
  <c r="AA594" i="16"/>
  <c r="AA808" i="16"/>
  <c r="AA783" i="16"/>
  <c r="AG783" i="16" s="1"/>
  <c r="AA323" i="16"/>
  <c r="AG323" i="16" s="1"/>
  <c r="AA597" i="16"/>
  <c r="AA803" i="16"/>
  <c r="AG803" i="16" s="1"/>
  <c r="AA176" i="16"/>
  <c r="AA464" i="16"/>
  <c r="AG464" i="16" s="1"/>
  <c r="AA670" i="16"/>
  <c r="L670" i="21" s="1"/>
  <c r="O670" i="21" s="1"/>
  <c r="AA177" i="16"/>
  <c r="AG177" i="16" s="1"/>
  <c r="AA273" i="16"/>
  <c r="AA469" i="16"/>
  <c r="AG469" i="16" s="1"/>
  <c r="AA591" i="16"/>
  <c r="L591" i="21" s="1"/>
  <c r="O591" i="21" s="1"/>
  <c r="AA683" i="16"/>
  <c r="AG683" i="16" s="1"/>
  <c r="AA797" i="16"/>
  <c r="AG797" i="16" s="1"/>
  <c r="AA258" i="16"/>
  <c r="AG258" i="16" s="1"/>
  <c r="AA318" i="16"/>
  <c r="L318" i="21" s="1"/>
  <c r="O318" i="21" s="1"/>
  <c r="AA494" i="16"/>
  <c r="AG494" i="16" s="1"/>
  <c r="AA688" i="16"/>
  <c r="AA806" i="16"/>
  <c r="AG806" i="16" s="1"/>
  <c r="AA277" i="17"/>
  <c r="AA1795" i="16"/>
  <c r="AG1795" i="16" s="1"/>
  <c r="AA1775" i="16"/>
  <c r="L1775" i="21" s="1"/>
  <c r="O1775" i="21" s="1"/>
  <c r="AA1623" i="16"/>
  <c r="L1623" i="21" s="1"/>
  <c r="O1623" i="21" s="1"/>
  <c r="AA1786" i="16"/>
  <c r="AG1786" i="16" s="1"/>
  <c r="AA1646" i="16"/>
  <c r="AA1614" i="16"/>
  <c r="L1614" i="21" s="1"/>
  <c r="O1614" i="21" s="1"/>
  <c r="AA1749" i="16"/>
  <c r="AG1749" i="16" s="1"/>
  <c r="AA1637" i="16"/>
  <c r="AA1788" i="16"/>
  <c r="AA1624" i="16"/>
  <c r="AA1792" i="16"/>
  <c r="AG1792" i="16" s="1"/>
  <c r="AA1616" i="16"/>
  <c r="AG1616" i="16" s="1"/>
  <c r="AA1652" i="16"/>
  <c r="AA1644" i="16"/>
  <c r="L1644" i="21" s="1"/>
  <c r="O1644" i="21" s="1"/>
  <c r="AA1641" i="16"/>
  <c r="AG1641" i="16" s="1"/>
  <c r="AA1789" i="16"/>
  <c r="AG1789" i="16" s="1"/>
  <c r="AA1634" i="16"/>
  <c r="L1634" i="21" s="1"/>
  <c r="O1634" i="21" s="1"/>
  <c r="AA1790" i="16"/>
  <c r="L1790" i="21" s="1"/>
  <c r="O1790" i="21" s="1"/>
  <c r="AA1647" i="16"/>
  <c r="AG1647" i="16" s="1"/>
  <c r="AA179" i="16"/>
  <c r="AA256" i="16"/>
  <c r="AA476" i="16"/>
  <c r="AG476" i="16" s="1"/>
  <c r="AA682" i="16"/>
  <c r="AG682" i="16" s="1"/>
  <c r="AA467" i="16"/>
  <c r="AG467" i="16" s="1"/>
  <c r="AA191" i="16"/>
  <c r="L191" i="21" s="1"/>
  <c r="O191" i="21" s="1"/>
  <c r="AA471" i="16"/>
  <c r="AG471" i="16" s="1"/>
  <c r="AA693" i="16"/>
  <c r="AG693" i="16" s="1"/>
  <c r="AA483" i="16"/>
  <c r="AG483" i="16" s="1"/>
  <c r="AA268" i="16"/>
  <c r="AA504" i="16"/>
  <c r="AG504" i="16" s="1"/>
  <c r="AA788" i="16"/>
  <c r="AG788" i="16" s="1"/>
  <c r="AA193" i="16"/>
  <c r="L193" i="21" s="1"/>
  <c r="O193" i="21" s="1"/>
  <c r="AA321" i="16"/>
  <c r="AG321" i="16" s="1"/>
  <c r="AA493" i="16"/>
  <c r="L493" i="21" s="1"/>
  <c r="O493" i="21" s="1"/>
  <c r="AA663" i="16"/>
  <c r="AG663" i="16" s="1"/>
  <c r="AA781" i="16"/>
  <c r="AG781" i="16" s="1"/>
  <c r="AA174" i="16"/>
  <c r="AA274" i="16"/>
  <c r="L274" i="21" s="1"/>
  <c r="O274" i="21" s="1"/>
  <c r="AA474" i="16"/>
  <c r="AG474" i="16" s="1"/>
  <c r="AA664" i="16"/>
  <c r="L664" i="21" s="1"/>
  <c r="O664" i="21" s="1"/>
  <c r="AA361" i="16"/>
  <c r="AG361" i="16" s="1"/>
  <c r="AA255" i="17"/>
  <c r="AA794" i="16"/>
  <c r="AG794" i="16" s="1"/>
  <c r="AA680" i="16"/>
  <c r="AG680" i="16" s="1"/>
  <c r="AA498" i="16"/>
  <c r="AA462" i="16"/>
  <c r="L462" i="21" s="1"/>
  <c r="O462" i="21" s="1"/>
  <c r="AA278" i="16"/>
  <c r="AG278" i="16" s="1"/>
  <c r="AA190" i="16"/>
  <c r="AG190" i="16" s="1"/>
  <c r="AA805" i="16"/>
  <c r="AA699" i="16"/>
  <c r="AG699" i="16" s="1"/>
  <c r="AA671" i="16"/>
  <c r="AG671" i="16" s="1"/>
  <c r="AA501" i="16"/>
  <c r="AA477" i="16"/>
  <c r="AA317" i="16"/>
  <c r="L317" i="21" s="1"/>
  <c r="O317" i="21" s="1"/>
  <c r="AA257" i="16"/>
  <c r="AG257" i="16" s="1"/>
  <c r="AA169" i="16"/>
  <c r="L169" i="21" s="1"/>
  <c r="O169" i="21" s="1"/>
  <c r="AA694" i="16"/>
  <c r="AA488" i="16"/>
  <c r="AA276" i="16"/>
  <c r="AG276" i="16" s="1"/>
  <c r="AA799" i="16"/>
  <c r="AA811" i="16"/>
  <c r="L811" i="21" s="1"/>
  <c r="O811" i="21" s="1"/>
  <c r="AA685" i="16"/>
  <c r="AA495" i="16"/>
  <c r="AG495" i="16" s="1"/>
  <c r="AA275" i="16"/>
  <c r="AA807" i="16"/>
  <c r="AA311" i="16"/>
  <c r="L311" i="21" s="1"/>
  <c r="O311" i="21" s="1"/>
  <c r="AA698" i="16"/>
  <c r="AG698" i="16" s="1"/>
  <c r="AA586" i="16"/>
  <c r="AG586" i="16" s="1"/>
  <c r="AA320" i="16"/>
  <c r="AA172" i="16"/>
  <c r="AA279" i="16"/>
  <c r="AG279" i="16" s="1"/>
  <c r="AA19" i="17"/>
  <c r="AA122" i="16"/>
  <c r="AG122" i="16" s="1"/>
  <c r="AA126" i="16"/>
  <c r="AG126" i="16" s="1"/>
  <c r="AA48" i="17"/>
  <c r="AA149" i="16"/>
  <c r="AG149" i="16" s="1"/>
  <c r="AA49" i="17"/>
  <c r="AA1695" i="16"/>
  <c r="AG1695" i="16" s="1"/>
  <c r="AA1715" i="16"/>
  <c r="AA1763" i="16"/>
  <c r="L1763" i="21" s="1"/>
  <c r="O1763" i="21" s="1"/>
  <c r="AA1827" i="16"/>
  <c r="AA482" i="16"/>
  <c r="AG482" i="16" s="1"/>
  <c r="AA596" i="16"/>
  <c r="AA684" i="16"/>
  <c r="AG684" i="16" s="1"/>
  <c r="AA786" i="16"/>
  <c r="AA1464" i="16"/>
  <c r="L1464" i="21" s="1"/>
  <c r="O1464" i="21" s="1"/>
  <c r="AA585" i="17"/>
  <c r="AA2043" i="16"/>
  <c r="AG2043" i="16" s="1"/>
  <c r="AA112" i="16"/>
  <c r="AG112" i="16" s="1"/>
  <c r="AA138" i="17"/>
  <c r="AA1454" i="16"/>
  <c r="AA1441" i="16"/>
  <c r="AG1441" i="16" s="1"/>
  <c r="AA589" i="17"/>
  <c r="AA1030" i="16"/>
  <c r="AG1030" i="16" s="1"/>
  <c r="AA2061" i="16"/>
  <c r="AG2061" i="16" s="1"/>
  <c r="AA403" i="16"/>
  <c r="AG403" i="16" s="1"/>
  <c r="AA115" i="16"/>
  <c r="AG115" i="16" s="1"/>
  <c r="AA1444" i="16"/>
  <c r="L1444" i="21" s="1"/>
  <c r="O1444" i="21" s="1"/>
  <c r="AA1446" i="16"/>
  <c r="AG1446" i="16" s="1"/>
  <c r="AA596" i="17"/>
  <c r="AA1065" i="16"/>
  <c r="AG1065" i="16" s="1"/>
  <c r="AA111" i="17"/>
  <c r="AA11" i="17"/>
  <c r="AA389" i="16"/>
  <c r="AG389" i="16" s="1"/>
  <c r="AA770" i="16"/>
  <c r="AG770" i="16" s="1"/>
  <c r="AA864" i="16"/>
  <c r="L864" i="21" s="1"/>
  <c r="O864" i="21" s="1"/>
  <c r="AA880" i="16"/>
  <c r="AG880" i="16" s="1"/>
  <c r="AA386" i="17"/>
  <c r="AA1222" i="16"/>
  <c r="AG1222" i="16" s="1"/>
  <c r="AA334" i="17"/>
  <c r="AA346" i="17"/>
  <c r="AA360" i="17"/>
  <c r="AA372" i="17"/>
  <c r="AA385" i="17"/>
  <c r="AA394" i="17"/>
  <c r="AA1195" i="16"/>
  <c r="AG1195" i="16" s="1"/>
  <c r="AA341" i="17"/>
  <c r="AA353" i="17"/>
  <c r="AA364" i="17"/>
  <c r="AA381" i="17"/>
  <c r="AA1211" i="16"/>
  <c r="AG1211" i="16" s="1"/>
  <c r="AA1207" i="16"/>
  <c r="AG1207" i="16" s="1"/>
  <c r="AA1234" i="16"/>
  <c r="AG1234" i="16" s="1"/>
  <c r="AA1192" i="16"/>
  <c r="AG1192" i="16" s="1"/>
  <c r="AA1224" i="16"/>
  <c r="AG1224" i="16" s="1"/>
  <c r="AA1188" i="16"/>
  <c r="AG1188" i="16" s="1"/>
  <c r="AA1215" i="16"/>
  <c r="AG1215" i="16" s="1"/>
  <c r="AA1181" i="16"/>
  <c r="AG1181" i="16" s="1"/>
  <c r="AA1201" i="16"/>
  <c r="AG1201" i="16" s="1"/>
  <c r="AA54" i="16"/>
  <c r="AG54" i="16" s="1"/>
  <c r="AA18" i="16"/>
  <c r="AG18" i="16" s="1"/>
  <c r="AA50" i="16"/>
  <c r="AA51" i="16"/>
  <c r="AG51" i="16" s="1"/>
  <c r="AA12" i="16"/>
  <c r="AG12" i="16" s="1"/>
  <c r="AA56" i="16"/>
  <c r="AG56" i="16" s="1"/>
  <c r="AA53" i="16"/>
  <c r="L53" i="21" s="1"/>
  <c r="O53" i="21" s="1"/>
  <c r="AA2" i="17"/>
  <c r="AA1696" i="16"/>
  <c r="AA1700" i="16"/>
  <c r="AG1700" i="16" s="1"/>
  <c r="AA1828" i="16"/>
  <c r="AA1768" i="16"/>
  <c r="AG1768" i="16" s="1"/>
  <c r="AA1772" i="16"/>
  <c r="AG1772" i="16" s="1"/>
  <c r="AA1701" i="16"/>
  <c r="AG1701" i="16" s="1"/>
  <c r="AA1717" i="16"/>
  <c r="AA1733" i="16"/>
  <c r="AG1733" i="16" s="1"/>
  <c r="AA1773" i="16"/>
  <c r="AA1829" i="16"/>
  <c r="AG1829" i="16" s="1"/>
  <c r="AA1702" i="16"/>
  <c r="AA1718" i="16"/>
  <c r="AG1718" i="16" s="1"/>
  <c r="AA1734" i="16"/>
  <c r="AG1734" i="16" s="1"/>
  <c r="AA1774" i="16"/>
  <c r="AG1774" i="16" s="1"/>
  <c r="AA1830" i="16"/>
  <c r="AA1703" i="16"/>
  <c r="AG1703" i="16" s="1"/>
  <c r="AA1719" i="16"/>
  <c r="AA1735" i="16"/>
  <c r="AG1735" i="16" s="1"/>
  <c r="AA1819" i="16"/>
  <c r="AA1835" i="16"/>
  <c r="AG1835" i="16" s="1"/>
  <c r="AA1776" i="16"/>
  <c r="AA1748" i="16"/>
  <c r="L1748" i="21" s="1"/>
  <c r="O1748" i="21" s="1"/>
  <c r="AA1612" i="16"/>
  <c r="AA1609" i="16"/>
  <c r="AG1609" i="16" s="1"/>
  <c r="AA1629" i="16"/>
  <c r="L1629" i="21" s="1"/>
  <c r="O1629" i="21" s="1"/>
  <c r="AA1741" i="16"/>
  <c r="L1741" i="21" s="1"/>
  <c r="O1741" i="21" s="1"/>
  <c r="AA1785" i="16"/>
  <c r="AA1618" i="16"/>
  <c r="AG1618" i="16" s="1"/>
  <c r="AA1642" i="16"/>
  <c r="AG1642" i="16" s="1"/>
  <c r="AA1750" i="16"/>
  <c r="AG1750" i="16" s="1"/>
  <c r="AA1794" i="16"/>
  <c r="AG1794" i="16" s="1"/>
  <c r="AA1631" i="16"/>
  <c r="AG1631" i="16" s="1"/>
  <c r="AA1747" i="16"/>
  <c r="L1747" i="21" s="1"/>
  <c r="O1747" i="21" s="1"/>
  <c r="AA499" i="16"/>
  <c r="AG499" i="16" s="1"/>
  <c r="AA188" i="16"/>
  <c r="L188" i="21" s="1"/>
  <c r="O188" i="21" s="1"/>
  <c r="AA312" i="16"/>
  <c r="AG312" i="16" s="1"/>
  <c r="AA484" i="16"/>
  <c r="L484" i="21" s="1"/>
  <c r="O484" i="21" s="1"/>
  <c r="AA666" i="16"/>
  <c r="AG666" i="16" s="1"/>
  <c r="AA784" i="16"/>
  <c r="AG784" i="16" s="1"/>
  <c r="AA171" i="16"/>
  <c r="AG171" i="16" s="1"/>
  <c r="AA697" i="16"/>
  <c r="L697" i="21" s="1"/>
  <c r="O697" i="21" s="1"/>
  <c r="AA183" i="16"/>
  <c r="AG183" i="16" s="1"/>
  <c r="AA307" i="16"/>
  <c r="AA487" i="16"/>
  <c r="AG487" i="16" s="1"/>
  <c r="AA661" i="16"/>
  <c r="L661" i="21" s="1"/>
  <c r="O661" i="21" s="1"/>
  <c r="AA779" i="16"/>
  <c r="L779" i="21" s="1"/>
  <c r="O779" i="21" s="1"/>
  <c r="AA319" i="16"/>
  <c r="L319" i="21" s="1"/>
  <c r="O319" i="21" s="1"/>
  <c r="AA689" i="16"/>
  <c r="AG689" i="16" s="1"/>
  <c r="AA192" i="16"/>
  <c r="L192" i="21" s="1"/>
  <c r="O192" i="21" s="1"/>
  <c r="AA324" i="16"/>
  <c r="L324" i="21" s="1"/>
  <c r="O324" i="21" s="1"/>
  <c r="AA496" i="16"/>
  <c r="L496" i="21" s="1"/>
  <c r="O496" i="21" s="1"/>
  <c r="AA678" i="16"/>
  <c r="AG678" i="16" s="1"/>
  <c r="AA804" i="16"/>
  <c r="L804" i="21" s="1"/>
  <c r="O804" i="21" s="1"/>
  <c r="AA181" i="16"/>
  <c r="AG181" i="16" s="1"/>
  <c r="AA261" i="16"/>
  <c r="L261" i="21" s="1"/>
  <c r="O261" i="21" s="1"/>
  <c r="AA313" i="16"/>
  <c r="AG313" i="16" s="1"/>
  <c r="AA465" i="16"/>
  <c r="L465" i="21" s="1"/>
  <c r="O465" i="21" s="1"/>
  <c r="AA485" i="16"/>
  <c r="AG485" i="16" s="1"/>
  <c r="AA587" i="16"/>
  <c r="AA667" i="16"/>
  <c r="AG667" i="16" s="1"/>
  <c r="AA687" i="16"/>
  <c r="AA789" i="16"/>
  <c r="AG789" i="16" s="1"/>
  <c r="AA809" i="16"/>
  <c r="AG809" i="16" s="1"/>
  <c r="AA182" i="16"/>
  <c r="AG182" i="16" s="1"/>
  <c r="AA270" i="16"/>
  <c r="AA314" i="16"/>
  <c r="AG314" i="16" s="1"/>
  <c r="AA466" i="16"/>
  <c r="L466" i="21" s="1"/>
  <c r="O466" i="21" s="1"/>
  <c r="AA490" i="16"/>
  <c r="AG490" i="16" s="1"/>
  <c r="AA592" i="16"/>
  <c r="L592" i="21" s="1"/>
  <c r="O592" i="21" s="1"/>
  <c r="AA672" i="16"/>
  <c r="L672" i="21" s="1"/>
  <c r="O672" i="21" s="1"/>
  <c r="AA696" i="16"/>
  <c r="AA790" i="16"/>
  <c r="AG790" i="16" s="1"/>
  <c r="AA810" i="16"/>
  <c r="AA603" i="17"/>
  <c r="AA1435" i="16"/>
  <c r="AA1445" i="16"/>
  <c r="AG1445" i="16" s="1"/>
  <c r="AA1447" i="16"/>
  <c r="AG1447" i="16" s="1"/>
  <c r="AA591" i="17"/>
  <c r="AA597" i="17"/>
  <c r="AA1027" i="16"/>
  <c r="L1027" i="21" s="1"/>
  <c r="O1027" i="21" s="1"/>
  <c r="AA778" i="17"/>
  <c r="AA769" i="17"/>
  <c r="AA367" i="16"/>
  <c r="AG367" i="16" s="1"/>
  <c r="AA418" i="16"/>
  <c r="AG418" i="16" s="1"/>
  <c r="AA127" i="17"/>
  <c r="AA254" i="17"/>
  <c r="AA130" i="16"/>
  <c r="AG130" i="16" s="1"/>
  <c r="AA129" i="16"/>
  <c r="AG129" i="16" s="1"/>
  <c r="AA32" i="17"/>
  <c r="AA1787" i="16"/>
  <c r="L1787" i="21" s="1"/>
  <c r="O1787" i="21" s="1"/>
  <c r="AA1739" i="16"/>
  <c r="AG1739" i="16" s="1"/>
  <c r="AA1635" i="16"/>
  <c r="L1635" i="21" s="1"/>
  <c r="O1635" i="21" s="1"/>
  <c r="AA1453" i="16"/>
  <c r="L1453" i="21" s="1"/>
  <c r="O1453" i="21" s="1"/>
  <c r="AA1437" i="16"/>
  <c r="AA1442" i="16"/>
  <c r="AG1442" i="16" s="1"/>
  <c r="AA587" i="17"/>
  <c r="AA1060" i="16"/>
  <c r="L1060" i="21" s="1"/>
  <c r="O1060" i="21" s="1"/>
  <c r="AA306" i="17"/>
  <c r="AA980" i="16"/>
  <c r="AG980" i="16" s="1"/>
  <c r="AA25" i="17"/>
  <c r="AA137" i="17"/>
  <c r="AA601" i="17"/>
  <c r="AA2068" i="16"/>
  <c r="AG2068" i="16" s="1"/>
  <c r="AA2072" i="16"/>
  <c r="AG2072" i="16" s="1"/>
  <c r="AA791" i="17"/>
  <c r="AA1041" i="16"/>
  <c r="L1041" i="21" s="1"/>
  <c r="O1041" i="21" s="1"/>
  <c r="AA1026" i="16"/>
  <c r="L1026" i="21" s="1"/>
  <c r="O1026" i="21" s="1"/>
  <c r="AA973" i="16"/>
  <c r="AG973" i="16" s="1"/>
  <c r="AA308" i="17"/>
  <c r="AA311" i="17"/>
  <c r="AA323" i="17"/>
  <c r="AA599" i="17"/>
  <c r="AA593" i="17"/>
  <c r="AA588" i="17"/>
  <c r="AA1443" i="16"/>
  <c r="AA1449" i="16"/>
  <c r="AG1449" i="16" s="1"/>
  <c r="AA1436" i="16"/>
  <c r="L1436" i="21" s="1"/>
  <c r="O1436" i="21" s="1"/>
  <c r="AA1440" i="16"/>
  <c r="AG1440" i="16" s="1"/>
  <c r="AA929" i="16"/>
  <c r="AG929" i="16" s="1"/>
  <c r="AA397" i="16"/>
  <c r="AG397" i="16" s="1"/>
  <c r="AA124" i="17"/>
  <c r="AA126" i="17"/>
  <c r="AA814" i="16"/>
  <c r="AA798" i="16"/>
  <c r="AG798" i="16" s="1"/>
  <c r="AA782" i="16"/>
  <c r="AA692" i="16"/>
  <c r="AG692" i="16" s="1"/>
  <c r="AA676" i="16"/>
  <c r="AA660" i="16"/>
  <c r="AA502" i="16"/>
  <c r="AA486" i="16"/>
  <c r="L486" i="21" s="1"/>
  <c r="O486" i="21" s="1"/>
  <c r="AA470" i="16"/>
  <c r="L470" i="21" s="1"/>
  <c r="O470" i="21" s="1"/>
  <c r="AA322" i="16"/>
  <c r="AA306" i="16"/>
  <c r="AA266" i="16"/>
  <c r="AG266" i="16" s="1"/>
  <c r="AA186" i="16"/>
  <c r="L186" i="21" s="1"/>
  <c r="O186" i="21" s="1"/>
  <c r="AA170" i="16"/>
  <c r="AA801" i="16"/>
  <c r="AG801" i="16" s="1"/>
  <c r="AA785" i="16"/>
  <c r="AG785" i="16" s="1"/>
  <c r="AA691" i="16"/>
  <c r="L691" i="21" s="1"/>
  <c r="O691" i="21" s="1"/>
  <c r="AA675" i="16"/>
  <c r="AG675" i="16" s="1"/>
  <c r="AA659" i="16"/>
  <c r="L659" i="21" s="1"/>
  <c r="O659" i="21" s="1"/>
  <c r="AA505" i="16"/>
  <c r="L505" i="21" s="1"/>
  <c r="O505" i="21" s="1"/>
  <c r="AA489" i="16"/>
  <c r="L489" i="21" s="1"/>
  <c r="O489" i="21" s="1"/>
  <c r="AA473" i="16"/>
  <c r="AG473" i="16" s="1"/>
  <c r="AA325" i="16"/>
  <c r="AA309" i="16"/>
  <c r="L309" i="21" s="1"/>
  <c r="O309" i="21" s="1"/>
  <c r="AA265" i="16"/>
  <c r="AA189" i="16"/>
  <c r="AG189" i="16" s="1"/>
  <c r="AA173" i="16"/>
  <c r="AG173" i="16" s="1"/>
  <c r="AA796" i="16"/>
  <c r="L796" i="21" s="1"/>
  <c r="O796" i="21" s="1"/>
  <c r="AA686" i="16"/>
  <c r="AA590" i="16"/>
  <c r="AA480" i="16"/>
  <c r="AA316" i="16"/>
  <c r="AG316" i="16" s="1"/>
  <c r="AA260" i="16"/>
  <c r="AG260" i="16" s="1"/>
  <c r="AA168" i="16"/>
  <c r="L168" i="21" s="1"/>
  <c r="O168" i="21" s="1"/>
  <c r="AA593" i="16"/>
  <c r="AG593" i="16" s="1"/>
  <c r="AA187" i="16"/>
  <c r="L187" i="21" s="1"/>
  <c r="O187" i="21" s="1"/>
  <c r="AA787" i="16"/>
  <c r="AA677" i="16"/>
  <c r="AG677" i="16" s="1"/>
  <c r="AA589" i="16"/>
  <c r="AA479" i="16"/>
  <c r="AG479" i="16" s="1"/>
  <c r="AA315" i="16"/>
  <c r="AG315" i="16" s="1"/>
  <c r="AA259" i="16"/>
  <c r="AA167" i="16"/>
  <c r="L167" i="21" s="1"/>
  <c r="AA673" i="16"/>
  <c r="L673" i="21" s="1"/>
  <c r="O673" i="21" s="1"/>
  <c r="AA271" i="16"/>
  <c r="AG271" i="16" s="1"/>
  <c r="AA800" i="16"/>
  <c r="AG800" i="16" s="1"/>
  <c r="AA690" i="16"/>
  <c r="AA658" i="16"/>
  <c r="AG658" i="16" s="1"/>
  <c r="AA492" i="16"/>
  <c r="L492" i="21" s="1"/>
  <c r="O492" i="21" s="1"/>
  <c r="AA328" i="16"/>
  <c r="AG328" i="16" s="1"/>
  <c r="AA272" i="16"/>
  <c r="AA180" i="16"/>
  <c r="L180" i="21" s="1"/>
  <c r="O180" i="21" s="1"/>
  <c r="AA681" i="16"/>
  <c r="AG681" i="16" s="1"/>
  <c r="AA263" i="16"/>
  <c r="AG263" i="16" s="1"/>
  <c r="AA46" i="17"/>
  <c r="AA20" i="17"/>
  <c r="AA127" i="16"/>
  <c r="AG127" i="16" s="1"/>
  <c r="AA44" i="17"/>
  <c r="AA147" i="16"/>
  <c r="AG147" i="16" s="1"/>
  <c r="AA18" i="17"/>
  <c r="AA146" i="16"/>
  <c r="AG146" i="16" s="1"/>
  <c r="AA1455" i="16"/>
  <c r="L1455" i="21" s="1"/>
  <c r="O1455" i="21" s="1"/>
  <c r="AA611" i="17"/>
  <c r="AA1046" i="16"/>
  <c r="L1046" i="21" s="1"/>
  <c r="O1046" i="21" s="1"/>
  <c r="AA1047" i="16"/>
  <c r="L1047" i="21" s="1"/>
  <c r="O1047" i="21" s="1"/>
  <c r="AA1033" i="16"/>
  <c r="L1033" i="21" s="1"/>
  <c r="O1033" i="21" s="1"/>
  <c r="AA786" i="17"/>
  <c r="AA2045" i="16"/>
  <c r="AG2045" i="16" s="1"/>
  <c r="AA121" i="17"/>
  <c r="AA119" i="17"/>
  <c r="AA165" i="17"/>
  <c r="AA413" i="16"/>
  <c r="AG413" i="16" s="1"/>
  <c r="AA958" i="16"/>
  <c r="AG958" i="16" s="1"/>
  <c r="AA271" i="17"/>
  <c r="AA354" i="16"/>
  <c r="AG354" i="16" s="1"/>
  <c r="AA144" i="17"/>
  <c r="AA915" i="16"/>
  <c r="AG915" i="16" s="1"/>
  <c r="AA1456" i="16"/>
  <c r="AA1462" i="16"/>
  <c r="AG1462" i="16" s="1"/>
  <c r="AA605" i="17"/>
  <c r="AA1439" i="16"/>
  <c r="L1439" i="21" s="1"/>
  <c r="O1439" i="21" s="1"/>
  <c r="AA586" i="17"/>
  <c r="AA590" i="17"/>
  <c r="AA594" i="17"/>
  <c r="AA598" i="17"/>
  <c r="AA1039" i="16"/>
  <c r="L1039" i="21" s="1"/>
  <c r="O1039" i="21" s="1"/>
  <c r="AA1036" i="16"/>
  <c r="AG1036" i="16" s="1"/>
  <c r="AA1048" i="16"/>
  <c r="L1048" i="21" s="1"/>
  <c r="O1048" i="21" s="1"/>
  <c r="AA1057" i="16"/>
  <c r="L1057" i="21" s="1"/>
  <c r="O1057" i="21" s="1"/>
  <c r="AA2071" i="16"/>
  <c r="AG2071" i="16" s="1"/>
  <c r="AA2070" i="16"/>
  <c r="AG2070" i="16" s="1"/>
  <c r="AA2052" i="16"/>
  <c r="AG2052" i="16" s="1"/>
  <c r="AA168" i="17"/>
  <c r="AA154" i="17"/>
  <c r="AA149" i="17"/>
  <c r="AA374" i="16"/>
  <c r="AG374" i="16" s="1"/>
  <c r="AA422" i="16"/>
  <c r="AG422" i="16" s="1"/>
  <c r="AA317" i="17"/>
  <c r="AA133" i="16"/>
  <c r="AG133" i="16" s="1"/>
  <c r="AA106" i="17"/>
  <c r="AA275" i="17"/>
  <c r="AA276" i="17"/>
  <c r="AA261" i="17"/>
  <c r="AA274" i="17"/>
  <c r="AA897" i="16"/>
  <c r="AG897" i="16" s="1"/>
  <c r="AA1241" i="16"/>
  <c r="AG1241" i="16" s="1"/>
  <c r="AA1225" i="16"/>
  <c r="AG1225" i="16" s="1"/>
  <c r="AA1209" i="16"/>
  <c r="AG1209" i="16" s="1"/>
  <c r="AA1193" i="16"/>
  <c r="AG1193" i="16" s="1"/>
  <c r="AA1242" i="16"/>
  <c r="AG1242" i="16" s="1"/>
  <c r="AA1220" i="16"/>
  <c r="AG1220" i="16" s="1"/>
  <c r="AA1199" i="16"/>
  <c r="AG1199" i="16" s="1"/>
  <c r="AA1240" i="16"/>
  <c r="AG1240" i="16" s="1"/>
  <c r="AA1219" i="16"/>
  <c r="AG1219" i="16" s="1"/>
  <c r="AA1198" i="16"/>
  <c r="AG1198" i="16" s="1"/>
  <c r="AA1244" i="16"/>
  <c r="AG1244" i="16" s="1"/>
  <c r="AA1223" i="16"/>
  <c r="AG1223" i="16" s="1"/>
  <c r="AA1202" i="16"/>
  <c r="AG1202" i="16" s="1"/>
  <c r="AA1232" i="16"/>
  <c r="AG1232" i="16" s="1"/>
  <c r="AA387" i="17"/>
  <c r="AA374" i="17"/>
  <c r="AA26" i="17"/>
  <c r="AA9" i="17"/>
  <c r="AA28" i="17"/>
  <c r="AA31" i="17"/>
  <c r="AA135" i="16"/>
  <c r="AG135" i="16" s="1"/>
  <c r="AA10" i="17"/>
  <c r="AA132" i="16"/>
  <c r="AG132" i="16" s="1"/>
  <c r="AA8" i="17"/>
  <c r="AA27" i="17"/>
  <c r="AA7" i="17"/>
  <c r="AA3" i="17"/>
  <c r="AA111" i="16"/>
  <c r="AG111" i="16" s="1"/>
  <c r="AA57" i="16"/>
  <c r="AG57" i="16" s="1"/>
  <c r="AA13" i="16"/>
  <c r="L13" i="21" s="1"/>
  <c r="O13" i="21" s="1"/>
  <c r="AA110" i="16"/>
  <c r="AG110" i="16" s="1"/>
  <c r="AA60" i="16"/>
  <c r="AG60" i="16" s="1"/>
  <c r="AA20" i="16"/>
  <c r="AG20" i="16" s="1"/>
  <c r="AA109" i="16"/>
  <c r="AG109" i="16" s="1"/>
  <c r="AA23" i="16"/>
  <c r="AG23" i="16" s="1"/>
  <c r="AA66" i="16"/>
  <c r="AG66" i="16" s="1"/>
  <c r="AA14" i="16"/>
  <c r="AA2" i="16"/>
  <c r="AG2" i="16" s="1"/>
  <c r="AA19" i="16"/>
  <c r="AG19" i="16" s="1"/>
  <c r="AA1783" i="16"/>
  <c r="L1783" i="21" s="1"/>
  <c r="O1783" i="21" s="1"/>
  <c r="AA1743" i="16"/>
  <c r="AA1643" i="16"/>
  <c r="AG1643" i="16" s="1"/>
  <c r="AA1627" i="16"/>
  <c r="AG1627" i="16" s="1"/>
  <c r="AA1611" i="16"/>
  <c r="AG1611" i="16" s="1"/>
  <c r="AA1782" i="16"/>
  <c r="AA1742" i="16"/>
  <c r="L1742" i="21" s="1"/>
  <c r="O1742" i="21" s="1"/>
  <c r="AA1638" i="16"/>
  <c r="AG1638" i="16" s="1"/>
  <c r="AA1622" i="16"/>
  <c r="AA1793" i="16"/>
  <c r="AA1777" i="16"/>
  <c r="AG1777" i="16" s="1"/>
  <c r="AA1649" i="16"/>
  <c r="AG1649" i="16" s="1"/>
  <c r="AA1633" i="16"/>
  <c r="AA1617" i="16"/>
  <c r="AA1740" i="16"/>
  <c r="L1740" i="21" s="1"/>
  <c r="O1740" i="21" s="1"/>
  <c r="AA1784" i="16"/>
  <c r="AG1784" i="16" s="1"/>
  <c r="AA1780" i="16"/>
  <c r="L1780" i="21" s="1"/>
  <c r="O1780" i="21" s="1"/>
  <c r="AA1620" i="16"/>
  <c r="AA1632" i="16"/>
  <c r="AG1632" i="16" s="1"/>
  <c r="AA1461" i="16"/>
  <c r="AG1461" i="16" s="1"/>
  <c r="AA1463" i="16"/>
  <c r="L1463" i="21" s="1"/>
  <c r="O1463" i="21" s="1"/>
  <c r="AA607" i="17"/>
  <c r="AA1044" i="16"/>
  <c r="AG1044" i="16" s="1"/>
  <c r="AA1051" i="16"/>
  <c r="AG1051" i="16" s="1"/>
  <c r="AA1058" i="16"/>
  <c r="AA1059" i="16"/>
  <c r="AA1049" i="16"/>
  <c r="AG1049" i="16" s="1"/>
  <c r="AA782" i="17"/>
  <c r="AA767" i="17"/>
  <c r="AA776" i="17"/>
  <c r="AA789" i="17"/>
  <c r="AA157" i="17"/>
  <c r="AA322" i="17"/>
  <c r="AA252" i="17"/>
  <c r="AA960" i="16"/>
  <c r="AG960" i="16" s="1"/>
  <c r="AA156" i="17"/>
  <c r="AA407" i="16"/>
  <c r="AG407" i="16" s="1"/>
  <c r="AA955" i="16"/>
  <c r="AG955" i="16" s="1"/>
  <c r="AA978" i="16"/>
  <c r="AG978" i="16" s="1"/>
  <c r="AA141" i="17"/>
  <c r="AA916" i="16"/>
  <c r="AG916" i="16" s="1"/>
  <c r="AA260" i="17"/>
  <c r="AA365" i="16"/>
  <c r="AG365" i="16" s="1"/>
  <c r="AA109" i="17"/>
  <c r="AA382" i="16"/>
  <c r="AG382" i="16" s="1"/>
  <c r="AA898" i="16"/>
  <c r="AG898" i="16" s="1"/>
  <c r="AA1452" i="16"/>
  <c r="AG1452" i="16" s="1"/>
  <c r="AA1450" i="16"/>
  <c r="AA1451" i="16"/>
  <c r="AA600" i="17"/>
  <c r="AA604" i="17"/>
  <c r="AA608" i="17"/>
  <c r="AA612" i="17"/>
  <c r="AA1056" i="16"/>
  <c r="AG1056" i="16" s="1"/>
  <c r="AA1050" i="16"/>
  <c r="AG1050" i="16" s="1"/>
  <c r="AA1040" i="16"/>
  <c r="L1040" i="21" s="1"/>
  <c r="O1040" i="21" s="1"/>
  <c r="AA1031" i="16"/>
  <c r="AG1031" i="16" s="1"/>
  <c r="AA1052" i="16"/>
  <c r="AG1052" i="16" s="1"/>
  <c r="AA1032" i="16"/>
  <c r="AG1032" i="16" s="1"/>
  <c r="AA1054" i="16"/>
  <c r="L1054" i="21" s="1"/>
  <c r="O1054" i="21" s="1"/>
  <c r="AA1029" i="16"/>
  <c r="L1029" i="21" s="1"/>
  <c r="O1029" i="21" s="1"/>
  <c r="AA1045" i="16"/>
  <c r="AG1045" i="16" s="1"/>
  <c r="AA1061" i="16"/>
  <c r="AG1061" i="16" s="1"/>
  <c r="AA2063" i="16"/>
  <c r="AG2063" i="16" s="1"/>
  <c r="AA2055" i="16"/>
  <c r="AG2055" i="16" s="1"/>
  <c r="AA759" i="17"/>
  <c r="AA2042" i="16"/>
  <c r="AG2042" i="16" s="1"/>
  <c r="AA772" i="17"/>
  <c r="AA2057" i="16"/>
  <c r="AG2057" i="16" s="1"/>
  <c r="AA773" i="17"/>
  <c r="AA2064" i="16"/>
  <c r="AG2064" i="16" s="1"/>
  <c r="AA122" i="17"/>
  <c r="AA167" i="17"/>
  <c r="AA314" i="17"/>
  <c r="AA112" i="17"/>
  <c r="AA164" i="17"/>
  <c r="AA366" i="16"/>
  <c r="AG366" i="16" s="1"/>
  <c r="AA904" i="16"/>
  <c r="AG904" i="16" s="1"/>
  <c r="AA155" i="17"/>
  <c r="AA114" i="17"/>
  <c r="AA373" i="16"/>
  <c r="AG373" i="16" s="1"/>
  <c r="AA406" i="16"/>
  <c r="AG406" i="16" s="1"/>
  <c r="AA414" i="16"/>
  <c r="AG414" i="16" s="1"/>
  <c r="AA425" i="16"/>
  <c r="AG425" i="16" s="1"/>
  <c r="AA304" i="17"/>
  <c r="AA966" i="16"/>
  <c r="AG966" i="16" s="1"/>
  <c r="AA957" i="16"/>
  <c r="AG957" i="16" s="1"/>
  <c r="AA362" i="16"/>
  <c r="AG362" i="16" s="1"/>
  <c r="AA139" i="17"/>
  <c r="AA105" i="17"/>
  <c r="AA146" i="17"/>
  <c r="AA378" i="16"/>
  <c r="AG378" i="16" s="1"/>
  <c r="AA394" i="16"/>
  <c r="AG394" i="16" s="1"/>
  <c r="AA919" i="16"/>
  <c r="AG919" i="16" s="1"/>
  <c r="AA913" i="16"/>
  <c r="AG913" i="16" s="1"/>
  <c r="AA1460" i="16"/>
  <c r="AG1460" i="16" s="1"/>
  <c r="AA1457" i="16"/>
  <c r="L1457" i="21" s="1"/>
  <c r="O1457" i="21" s="1"/>
  <c r="AA1458" i="16"/>
  <c r="AG1458" i="16" s="1"/>
  <c r="AA1459" i="16"/>
  <c r="AG1459" i="16" s="1"/>
  <c r="AA602" i="17"/>
  <c r="AA606" i="17"/>
  <c r="AA610" i="17"/>
  <c r="AA614" i="17"/>
  <c r="AA1035" i="16"/>
  <c r="AG1035" i="16" s="1"/>
  <c r="AA1028" i="16"/>
  <c r="AG1028" i="16" s="1"/>
  <c r="AA1034" i="16"/>
  <c r="AG1034" i="16" s="1"/>
  <c r="AA1062" i="16"/>
  <c r="AA1042" i="16"/>
  <c r="AG1042" i="16" s="1"/>
  <c r="AA1063" i="16"/>
  <c r="AG1063" i="16" s="1"/>
  <c r="AA1043" i="16"/>
  <c r="AG1043" i="16" s="1"/>
  <c r="AA1064" i="16"/>
  <c r="L1064" i="21" s="1"/>
  <c r="O1064" i="21" s="1"/>
  <c r="AA1037" i="16"/>
  <c r="AG1037" i="16" s="1"/>
  <c r="AA1053" i="16"/>
  <c r="AG1053" i="16" s="1"/>
  <c r="AA762" i="17"/>
  <c r="AA2051" i="16"/>
  <c r="AG2051" i="16" s="1"/>
  <c r="AA790" i="17"/>
  <c r="AA779" i="17"/>
  <c r="AA2062" i="16"/>
  <c r="AG2062" i="16" s="1"/>
  <c r="AA788" i="17"/>
  <c r="AA761" i="17"/>
  <c r="AA2040" i="16"/>
  <c r="AG2040" i="16" s="1"/>
  <c r="AA118" i="17"/>
  <c r="AA160" i="17"/>
  <c r="AA169" i="17"/>
  <c r="AA972" i="16"/>
  <c r="AG972" i="16" s="1"/>
  <c r="AA150" i="17"/>
  <c r="AA307" i="17"/>
  <c r="AA369" i="16"/>
  <c r="AG369" i="16" s="1"/>
  <c r="AA976" i="16"/>
  <c r="AG976" i="16" s="1"/>
  <c r="AA318" i="17"/>
  <c r="AA159" i="17"/>
  <c r="AA377" i="16"/>
  <c r="AG377" i="16" s="1"/>
  <c r="AA411" i="16"/>
  <c r="AG411" i="16" s="1"/>
  <c r="AA419" i="16"/>
  <c r="AG419" i="16" s="1"/>
  <c r="AA963" i="16"/>
  <c r="AG963" i="16" s="1"/>
  <c r="AA324" i="17"/>
  <c r="AA313" i="17"/>
  <c r="AA969" i="16"/>
  <c r="AG969" i="16" s="1"/>
  <c r="AA113" i="16"/>
  <c r="AG113" i="16" s="1"/>
  <c r="AA24" i="17"/>
  <c r="AA131" i="16"/>
  <c r="AG131" i="16" s="1"/>
  <c r="AA29" i="17"/>
  <c r="AA114" i="16"/>
  <c r="AG114" i="16" s="1"/>
  <c r="AA136" i="16"/>
  <c r="AG136" i="16" s="1"/>
  <c r="AA110" i="17"/>
  <c r="AA259" i="17"/>
  <c r="AA99" i="17"/>
  <c r="AA142" i="17"/>
  <c r="AA357" i="16"/>
  <c r="AG357" i="16" s="1"/>
  <c r="AA108" i="17"/>
  <c r="AA265" i="17"/>
  <c r="AA134" i="17"/>
  <c r="AA270" i="17"/>
  <c r="AA386" i="16"/>
  <c r="AG386" i="16" s="1"/>
  <c r="AA398" i="16"/>
  <c r="AG398" i="16" s="1"/>
  <c r="AA918" i="16"/>
  <c r="AG918" i="16" s="1"/>
  <c r="AA775" i="17"/>
  <c r="AA2046" i="16"/>
  <c r="AG2046" i="16" s="1"/>
  <c r="AA764" i="17"/>
  <c r="AA2041" i="16"/>
  <c r="AG2041" i="16" s="1"/>
  <c r="AA2069" i="16"/>
  <c r="AG2069" i="16" s="1"/>
  <c r="AA785" i="17"/>
  <c r="AA2056" i="16"/>
  <c r="AG2056" i="16" s="1"/>
  <c r="AA148" i="17"/>
  <c r="AA310" i="17"/>
  <c r="AA115" i="17"/>
  <c r="AA327" i="17"/>
  <c r="AA402" i="16"/>
  <c r="AG402" i="16" s="1"/>
  <c r="AA409" i="16"/>
  <c r="AG409" i="16" s="1"/>
  <c r="AA417" i="16"/>
  <c r="AG417" i="16" s="1"/>
  <c r="AA423" i="16"/>
  <c r="AG423" i="16" s="1"/>
  <c r="AA967" i="16"/>
  <c r="AG967" i="16" s="1"/>
  <c r="AA320" i="17"/>
  <c r="AA974" i="16"/>
  <c r="AG974" i="16" s="1"/>
  <c r="AA321" i="17"/>
  <c r="AA977" i="16"/>
  <c r="AG977" i="16" s="1"/>
  <c r="AA30" i="17"/>
  <c r="AA134" i="16"/>
  <c r="AG134" i="16" s="1"/>
  <c r="AA264" i="17"/>
  <c r="AA358" i="16"/>
  <c r="AG358" i="16" s="1"/>
  <c r="AA920" i="16"/>
  <c r="AG920" i="16" s="1"/>
  <c r="AA143" i="17"/>
  <c r="AA908" i="16"/>
  <c r="AG908" i="16" s="1"/>
  <c r="AA135" i="17"/>
  <c r="AA258" i="17"/>
  <c r="AA381" i="16"/>
  <c r="AG381" i="16" s="1"/>
  <c r="AA390" i="16"/>
  <c r="AG390" i="16" s="1"/>
  <c r="AA895" i="16"/>
  <c r="AG895" i="16" s="1"/>
  <c r="AA914" i="16"/>
  <c r="AG914" i="16" s="1"/>
  <c r="AA917" i="16"/>
  <c r="AG917" i="16" s="1"/>
  <c r="K9" i="26"/>
  <c r="M9" i="26" s="1"/>
  <c r="AA2047" i="16"/>
  <c r="AG2047" i="16" s="1"/>
  <c r="AA2067" i="16"/>
  <c r="AG2067" i="16" s="1"/>
  <c r="AA774" i="17"/>
  <c r="AA763" i="17"/>
  <c r="AA783" i="17"/>
  <c r="AA2054" i="16"/>
  <c r="AG2054" i="16" s="1"/>
  <c r="AA760" i="17"/>
  <c r="AA780" i="17"/>
  <c r="AA2053" i="16"/>
  <c r="AG2053" i="16" s="1"/>
  <c r="AA2073" i="16"/>
  <c r="AG2073" i="16" s="1"/>
  <c r="AA777" i="17"/>
  <c r="AA2048" i="16"/>
  <c r="AG2048" i="16" s="1"/>
  <c r="AA371" i="16"/>
  <c r="AG371" i="16" s="1"/>
  <c r="AA147" i="17"/>
  <c r="AA158" i="17"/>
  <c r="AA326" i="17"/>
  <c r="AA152" i="17"/>
  <c r="AA319" i="17"/>
  <c r="AA375" i="16"/>
  <c r="AG375" i="16" s="1"/>
  <c r="AA405" i="16"/>
  <c r="AG405" i="16" s="1"/>
  <c r="AA410" i="16"/>
  <c r="AG410" i="16" s="1"/>
  <c r="AA415" i="16"/>
  <c r="AG415" i="16" s="1"/>
  <c r="AA421" i="16"/>
  <c r="AG421" i="16" s="1"/>
  <c r="AA903" i="16"/>
  <c r="AG903" i="16" s="1"/>
  <c r="AA971" i="16"/>
  <c r="AG971" i="16" s="1"/>
  <c r="AA316" i="17"/>
  <c r="AA962" i="16"/>
  <c r="AG962" i="16" s="1"/>
  <c r="AA305" i="17"/>
  <c r="AA329" i="17"/>
  <c r="AA928" i="16"/>
  <c r="AG928" i="16" s="1"/>
  <c r="AA385" i="16"/>
  <c r="AG385" i="16" s="1"/>
  <c r="AA393" i="16"/>
  <c r="AG393" i="16" s="1"/>
  <c r="AA401" i="16"/>
  <c r="AG401" i="16" s="1"/>
  <c r="AA894" i="16"/>
  <c r="AG894" i="16" s="1"/>
  <c r="AA930" i="16"/>
  <c r="AG930" i="16" s="1"/>
  <c r="AA2060" i="16"/>
  <c r="AG2060" i="16" s="1"/>
  <c r="AA2044" i="16"/>
  <c r="AG2044" i="16" s="1"/>
  <c r="AA781" i="17"/>
  <c r="AA765" i="17"/>
  <c r="AA2065" i="16"/>
  <c r="AG2065" i="16" s="1"/>
  <c r="AA2049" i="16"/>
  <c r="AG2049" i="16" s="1"/>
  <c r="AA784" i="17"/>
  <c r="AA768" i="17"/>
  <c r="AA2066" i="16"/>
  <c r="AG2066" i="16" s="1"/>
  <c r="AA2050" i="16"/>
  <c r="AG2050" i="16" s="1"/>
  <c r="AA787" i="17"/>
  <c r="AA771" i="17"/>
  <c r="AA2059" i="16"/>
  <c r="AG2059" i="16" s="1"/>
  <c r="AA758" i="17"/>
  <c r="AA770" i="17"/>
  <c r="AA766" i="17"/>
  <c r="AA965" i="16"/>
  <c r="AG965" i="16" s="1"/>
  <c r="AA325" i="17"/>
  <c r="AA309" i="17"/>
  <c r="AA970" i="16"/>
  <c r="AG970" i="16" s="1"/>
  <c r="AA328" i="17"/>
  <c r="AA312" i="17"/>
  <c r="AA975" i="16"/>
  <c r="AG975" i="16" s="1"/>
  <c r="AA959" i="16"/>
  <c r="AG959" i="16" s="1"/>
  <c r="AA424" i="16"/>
  <c r="AG424" i="16" s="1"/>
  <c r="AA420" i="16"/>
  <c r="AG420" i="16" s="1"/>
  <c r="AA416" i="16"/>
  <c r="AG416" i="16" s="1"/>
  <c r="AA412" i="16"/>
  <c r="AG412" i="16" s="1"/>
  <c r="AA408" i="16"/>
  <c r="AG408" i="16" s="1"/>
  <c r="AA404" i="16"/>
  <c r="AG404" i="16" s="1"/>
  <c r="AA376" i="16"/>
  <c r="AG376" i="16" s="1"/>
  <c r="AA968" i="16"/>
  <c r="AG968" i="16" s="1"/>
  <c r="AA162" i="17"/>
  <c r="AA120" i="17"/>
  <c r="AA964" i="16"/>
  <c r="AG964" i="16" s="1"/>
  <c r="AA253" i="17"/>
  <c r="AA153" i="17"/>
  <c r="AA117" i="17"/>
  <c r="AA372" i="16"/>
  <c r="AG372" i="16" s="1"/>
  <c r="AA368" i="16"/>
  <c r="AG368" i="16" s="1"/>
  <c r="AA315" i="17"/>
  <c r="AA161" i="17"/>
  <c r="AA116" i="17"/>
  <c r="AA956" i="16"/>
  <c r="AG956" i="16" s="1"/>
  <c r="AA170" i="17"/>
  <c r="AA166" i="17"/>
  <c r="AA151" i="17"/>
  <c r="AA113" i="17"/>
  <c r="AA925" i="16"/>
  <c r="AG925" i="16" s="1"/>
  <c r="AA909" i="16"/>
  <c r="AG909" i="16" s="1"/>
  <c r="AA926" i="16"/>
  <c r="AG926" i="16" s="1"/>
  <c r="AA910" i="16"/>
  <c r="AG910" i="16" s="1"/>
  <c r="AA927" i="16"/>
  <c r="AG927" i="16" s="1"/>
  <c r="AA911" i="16"/>
  <c r="AG911" i="16" s="1"/>
  <c r="AA400" i="16"/>
  <c r="AG400" i="16" s="1"/>
  <c r="AA396" i="16"/>
  <c r="AG396" i="16" s="1"/>
  <c r="AA392" i="16"/>
  <c r="AG392" i="16" s="1"/>
  <c r="AA388" i="16"/>
  <c r="AG388" i="16" s="1"/>
  <c r="AA384" i="16"/>
  <c r="AG384" i="16" s="1"/>
  <c r="AA380" i="16"/>
  <c r="AG380" i="16" s="1"/>
  <c r="AA912" i="16"/>
  <c r="AG912" i="16" s="1"/>
  <c r="AA266" i="17"/>
  <c r="AA247" i="17"/>
  <c r="AA140" i="17"/>
  <c r="AA129" i="17"/>
  <c r="AA101" i="17"/>
  <c r="AA273" i="17"/>
  <c r="AA257" i="17"/>
  <c r="AA130" i="17"/>
  <c r="AA104" i="17"/>
  <c r="AA364" i="16"/>
  <c r="AG364" i="16" s="1"/>
  <c r="AA360" i="16"/>
  <c r="AG360" i="16" s="1"/>
  <c r="AA356" i="16"/>
  <c r="AG356" i="16" s="1"/>
  <c r="AA272" i="17"/>
  <c r="AA256" i="17"/>
  <c r="AA132" i="17"/>
  <c r="AA107" i="17"/>
  <c r="AA896" i="16"/>
  <c r="AG896" i="16" s="1"/>
  <c r="AA267" i="17"/>
  <c r="AA244" i="17"/>
  <c r="AA133" i="17"/>
  <c r="AA102" i="17"/>
  <c r="AA921" i="16"/>
  <c r="AG921" i="16" s="1"/>
  <c r="AA905" i="16"/>
  <c r="AG905" i="16" s="1"/>
  <c r="AA922" i="16"/>
  <c r="AG922" i="16" s="1"/>
  <c r="AA906" i="16"/>
  <c r="AG906" i="16" s="1"/>
  <c r="AA923" i="16"/>
  <c r="AG923" i="16" s="1"/>
  <c r="AA907" i="16"/>
  <c r="AG907" i="16" s="1"/>
  <c r="AA399" i="16"/>
  <c r="AG399" i="16" s="1"/>
  <c r="AA395" i="16"/>
  <c r="AG395" i="16" s="1"/>
  <c r="AA391" i="16"/>
  <c r="AG391" i="16" s="1"/>
  <c r="AA387" i="16"/>
  <c r="AG387" i="16" s="1"/>
  <c r="AA383" i="16"/>
  <c r="AG383" i="16" s="1"/>
  <c r="AA379" i="16"/>
  <c r="AG379" i="16" s="1"/>
  <c r="AA278" i="17"/>
  <c r="AA262" i="17"/>
  <c r="AA243" i="17"/>
  <c r="AA136" i="17"/>
  <c r="AA123" i="17"/>
  <c r="AA924" i="16"/>
  <c r="AG924" i="16" s="1"/>
  <c r="AA269" i="17"/>
  <c r="AA246" i="17"/>
  <c r="AA125" i="17"/>
  <c r="AA100" i="17"/>
  <c r="AA363" i="16"/>
  <c r="AG363" i="16" s="1"/>
  <c r="AA359" i="16"/>
  <c r="AG359" i="16" s="1"/>
  <c r="AA355" i="16"/>
  <c r="AG355" i="16" s="1"/>
  <c r="AA268" i="17"/>
  <c r="AA245" i="17"/>
  <c r="AA131" i="17"/>
  <c r="AA103" i="17"/>
  <c r="AA279" i="17"/>
  <c r="AA263" i="17"/>
  <c r="AA145" i="17"/>
  <c r="AA128" i="17"/>
  <c r="AG1685" i="16"/>
  <c r="AG1012" i="16"/>
  <c r="L1012" i="21"/>
  <c r="O1012" i="21" s="1"/>
  <c r="AG983" i="16"/>
  <c r="L983" i="21"/>
  <c r="O983" i="21" s="1"/>
  <c r="AG996" i="16"/>
  <c r="L996" i="21"/>
  <c r="O996" i="21" s="1"/>
  <c r="L1430" i="21"/>
  <c r="L1411" i="21"/>
  <c r="L1366" i="21"/>
  <c r="L1347" i="21"/>
  <c r="O1347" i="21" s="1"/>
  <c r="L1302" i="21"/>
  <c r="L1283" i="21"/>
  <c r="L1238" i="21"/>
  <c r="L1219" i="21"/>
  <c r="L1397" i="21"/>
  <c r="O1397" i="21" s="1"/>
  <c r="L1376" i="21"/>
  <c r="O1376" i="21" s="1"/>
  <c r="L1333" i="21"/>
  <c r="L1312" i="21"/>
  <c r="L1269" i="21"/>
  <c r="O1269" i="21" s="1"/>
  <c r="L1248" i="21"/>
  <c r="O1248" i="21" s="1"/>
  <c r="L1209" i="21"/>
  <c r="L1199" i="21"/>
  <c r="L1431" i="21"/>
  <c r="L1410" i="21"/>
  <c r="O1410" i="21" s="1"/>
  <c r="L1367" i="21"/>
  <c r="L1346" i="21"/>
  <c r="O1346" i="21" s="1"/>
  <c r="L1303" i="21"/>
  <c r="L1282" i="21"/>
  <c r="L1433" i="21"/>
  <c r="L1348" i="21"/>
  <c r="L1210" i="21"/>
  <c r="O1210" i="21" s="1"/>
  <c r="L1190" i="21"/>
  <c r="L1292" i="21"/>
  <c r="L1234" i="21"/>
  <c r="L1300" i="21"/>
  <c r="L1228" i="21"/>
  <c r="L1404" i="21"/>
  <c r="O1404" i="21" s="1"/>
  <c r="L1329" i="21"/>
  <c r="L1668" i="21"/>
  <c r="O1668" i="21" s="1"/>
  <c r="AG1694" i="16"/>
  <c r="L1755" i="21"/>
  <c r="O1755" i="21" s="1"/>
  <c r="AG1023" i="16"/>
  <c r="L1023" i="21"/>
  <c r="O1023" i="21" s="1"/>
  <c r="AG1014" i="16"/>
  <c r="L1014" i="21"/>
  <c r="O1014" i="21" s="1"/>
  <c r="AG981" i="16"/>
  <c r="L981" i="21"/>
  <c r="AG1018" i="16"/>
  <c r="L1018" i="21"/>
  <c r="O1018" i="21" s="1"/>
  <c r="AG998" i="16"/>
  <c r="L998" i="21"/>
  <c r="O998" i="21" s="1"/>
  <c r="AG987" i="16"/>
  <c r="L987" i="21"/>
  <c r="O987" i="21" s="1"/>
  <c r="AG1004" i="16"/>
  <c r="L1004" i="21"/>
  <c r="O1004" i="21" s="1"/>
  <c r="AG984" i="16"/>
  <c r="L984" i="21"/>
  <c r="O984" i="21" s="1"/>
  <c r="AG1000" i="16"/>
  <c r="L1000" i="21"/>
  <c r="O1000" i="21" s="1"/>
  <c r="AG1022" i="16"/>
  <c r="L1022" i="21"/>
  <c r="O1022" i="21" s="1"/>
  <c r="AG1013" i="16"/>
  <c r="L1013" i="21"/>
  <c r="O1013" i="21" s="1"/>
  <c r="L1092" i="21"/>
  <c r="O1092" i="21" s="1"/>
  <c r="AG1101" i="16"/>
  <c r="L2076" i="21"/>
  <c r="O2076" i="21" s="1"/>
  <c r="AG2102" i="16"/>
  <c r="L2102" i="21"/>
  <c r="O2102" i="21" s="1"/>
  <c r="L2087" i="21"/>
  <c r="O2087" i="21" s="1"/>
  <c r="AG1472" i="16"/>
  <c r="L1472" i="21"/>
  <c r="O1472" i="21" s="1"/>
  <c r="AG1469" i="16"/>
  <c r="L1469" i="21"/>
  <c r="O1469" i="21" s="1"/>
  <c r="AG1470" i="16"/>
  <c r="L1470" i="21"/>
  <c r="O1470" i="21" s="1"/>
  <c r="AG1471" i="16"/>
  <c r="L1471" i="21"/>
  <c r="O1471" i="21" s="1"/>
  <c r="AG88" i="16"/>
  <c r="L88" i="21"/>
  <c r="O88" i="21" s="1"/>
  <c r="AG39" i="16"/>
  <c r="L39" i="21"/>
  <c r="O39" i="21" s="1"/>
  <c r="AG105" i="16"/>
  <c r="L154" i="21"/>
  <c r="L150" i="21"/>
  <c r="L146" i="21"/>
  <c r="L153" i="21"/>
  <c r="O153" i="21" s="1"/>
  <c r="L148" i="21"/>
  <c r="L126" i="21"/>
  <c r="L122" i="21"/>
  <c r="L123" i="21"/>
  <c r="L124" i="21"/>
  <c r="L151" i="21"/>
  <c r="L149" i="21"/>
  <c r="O149" i="21" s="1"/>
  <c r="L147" i="21"/>
  <c r="L127" i="21"/>
  <c r="L125" i="21"/>
  <c r="L152" i="21"/>
  <c r="L105" i="21"/>
  <c r="O105" i="21" s="1"/>
  <c r="AG96" i="16"/>
  <c r="L96" i="21"/>
  <c r="O96" i="21" s="1"/>
  <c r="AG100" i="16"/>
  <c r="L100" i="21"/>
  <c r="O100" i="21" s="1"/>
  <c r="AG43" i="16"/>
  <c r="L43" i="21"/>
  <c r="O43" i="21" s="1"/>
  <c r="AG48" i="16"/>
  <c r="L48" i="21"/>
  <c r="O48" i="21" s="1"/>
  <c r="AG102" i="16"/>
  <c r="L102" i="21"/>
  <c r="O102" i="21" s="1"/>
  <c r="AG9" i="16"/>
  <c r="L9" i="21"/>
  <c r="O9" i="21" s="1"/>
  <c r="AG49" i="16"/>
  <c r="L49" i="21"/>
  <c r="O49" i="21" s="1"/>
  <c r="AG99" i="16"/>
  <c r="L99" i="21"/>
  <c r="O99" i="21" s="1"/>
  <c r="L1178" i="21"/>
  <c r="O1178" i="21" s="1"/>
  <c r="L1976" i="21"/>
  <c r="O1976" i="21" s="1"/>
  <c r="AG1868" i="16"/>
  <c r="AG1982" i="16"/>
  <c r="L2030" i="21"/>
  <c r="O2030" i="21" s="1"/>
  <c r="AG341" i="16"/>
  <c r="L334" i="21"/>
  <c r="O334" i="21" s="1"/>
  <c r="L264" i="21"/>
  <c r="O264" i="21" s="1"/>
  <c r="AG1029" i="16"/>
  <c r="L1663" i="21"/>
  <c r="O1663" i="21" s="1"/>
  <c r="AG1003" i="16"/>
  <c r="L1003" i="21"/>
  <c r="O1003" i="21" s="1"/>
  <c r="AG990" i="16"/>
  <c r="L990" i="21"/>
  <c r="O990" i="21" s="1"/>
  <c r="AG1020" i="16"/>
  <c r="L1020" i="21"/>
  <c r="O1020" i="21" s="1"/>
  <c r="AG1009" i="16"/>
  <c r="L1009" i="21"/>
  <c r="O1009" i="21" s="1"/>
  <c r="AG1816" i="16"/>
  <c r="L1677" i="21"/>
  <c r="O1677" i="21" s="1"/>
  <c r="AG1813" i="16"/>
  <c r="L1655" i="21"/>
  <c r="O1655" i="21" s="1"/>
  <c r="AG986" i="16"/>
  <c r="L986" i="21"/>
  <c r="O986" i="21" s="1"/>
  <c r="AG1024" i="16"/>
  <c r="L1024" i="21"/>
  <c r="O1024" i="21" s="1"/>
  <c r="AG989" i="16"/>
  <c r="L989" i="21"/>
  <c r="O989" i="21" s="1"/>
  <c r="AG1002" i="16"/>
  <c r="L1002" i="21"/>
  <c r="O1002" i="21" s="1"/>
  <c r="AG1008" i="16"/>
  <c r="L1008" i="21"/>
  <c r="O1008" i="21" s="1"/>
  <c r="AG991" i="16"/>
  <c r="L991" i="21"/>
  <c r="O991" i="21" s="1"/>
  <c r="AG1010" i="16"/>
  <c r="L1010" i="21"/>
  <c r="O1010" i="21" s="1"/>
  <c r="AG988" i="16"/>
  <c r="L988" i="21"/>
  <c r="O988" i="21" s="1"/>
  <c r="AG1006" i="16"/>
  <c r="L1006" i="21"/>
  <c r="O1006" i="21" s="1"/>
  <c r="AG1001" i="16"/>
  <c r="L1001" i="21"/>
  <c r="O1001" i="21" s="1"/>
  <c r="AG1017" i="16"/>
  <c r="L1017" i="21"/>
  <c r="O1017" i="21" s="1"/>
  <c r="L1078" i="21"/>
  <c r="O1078" i="21" s="1"/>
  <c r="AG1082" i="16"/>
  <c r="AG1102" i="16"/>
  <c r="AG2084" i="16"/>
  <c r="L2084" i="21"/>
  <c r="O2084" i="21" s="1"/>
  <c r="AG2074" i="16"/>
  <c r="L2091" i="21"/>
  <c r="O2091" i="21" s="1"/>
  <c r="AG104" i="16"/>
  <c r="L104" i="21"/>
  <c r="O104" i="21" s="1"/>
  <c r="AG47" i="16"/>
  <c r="L47" i="21"/>
  <c r="O47" i="21" s="1"/>
  <c r="AG93" i="16"/>
  <c r="L93" i="21"/>
  <c r="O93" i="21" s="1"/>
  <c r="AG8" i="16"/>
  <c r="L8" i="21"/>
  <c r="O8" i="21" s="1"/>
  <c r="AG90" i="16"/>
  <c r="L90" i="21"/>
  <c r="O90" i="21" s="1"/>
  <c r="AG37" i="16"/>
  <c r="L37" i="21"/>
  <c r="O37" i="21" s="1"/>
  <c r="AG87" i="16"/>
  <c r="L87" i="21"/>
  <c r="O87" i="21" s="1"/>
  <c r="AG103" i="16"/>
  <c r="L103" i="21"/>
  <c r="O103" i="21" s="1"/>
  <c r="AG1152" i="16"/>
  <c r="AG1113" i="16"/>
  <c r="AG1161" i="16"/>
  <c r="L1177" i="21"/>
  <c r="O1177" i="21" s="1"/>
  <c r="AG1905" i="16"/>
  <c r="L1969" i="21"/>
  <c r="O1969" i="21" s="1"/>
  <c r="AG2017" i="16"/>
  <c r="L1858" i="21"/>
  <c r="O1858" i="21" s="1"/>
  <c r="AG1938" i="16"/>
  <c r="L1863" i="21"/>
  <c r="O1863" i="21" s="1"/>
  <c r="AG1895" i="16"/>
  <c r="L1911" i="21"/>
  <c r="O1911" i="21" s="1"/>
  <c r="L547" i="21"/>
  <c r="O547" i="21" s="1"/>
  <c r="AG762" i="16"/>
  <c r="L1610" i="21"/>
  <c r="O1610" i="21" s="1"/>
  <c r="AG815" i="16"/>
  <c r="AG470" i="16"/>
  <c r="L692" i="21"/>
  <c r="O692" i="21" s="1"/>
  <c r="L1757" i="21"/>
  <c r="O1757" i="21" s="1"/>
  <c r="AG993" i="16"/>
  <c r="L993" i="21"/>
  <c r="O993" i="21" s="1"/>
  <c r="AG1007" i="16"/>
  <c r="L1007" i="21"/>
  <c r="O1007" i="21" s="1"/>
  <c r="AG999" i="16"/>
  <c r="L999" i="21"/>
  <c r="O999" i="21" s="1"/>
  <c r="AG1016" i="16"/>
  <c r="L1016" i="21"/>
  <c r="O1016" i="21" s="1"/>
  <c r="AG1081" i="16"/>
  <c r="L1081" i="21"/>
  <c r="O1081" i="21" s="1"/>
  <c r="L2099" i="21"/>
  <c r="O2099" i="21" s="1"/>
  <c r="L1796" i="21"/>
  <c r="O1796" i="21" s="1"/>
  <c r="AG1665" i="16"/>
  <c r="AG1806" i="16"/>
  <c r="L1806" i="21"/>
  <c r="O1806" i="21" s="1"/>
  <c r="AG1675" i="16"/>
  <c r="L1675" i="21"/>
  <c r="O1675" i="21" s="1"/>
  <c r="L1799" i="21"/>
  <c r="O1799" i="21" s="1"/>
  <c r="AG994" i="16"/>
  <c r="L994" i="21"/>
  <c r="O994" i="21" s="1"/>
  <c r="AG985" i="16"/>
  <c r="L985" i="21"/>
  <c r="O985" i="21" s="1"/>
  <c r="AG997" i="16"/>
  <c r="L997" i="21"/>
  <c r="O997" i="21" s="1"/>
  <c r="AG982" i="16"/>
  <c r="L982" i="21"/>
  <c r="O982" i="21" s="1"/>
  <c r="AG1019" i="16"/>
  <c r="L1019" i="21"/>
  <c r="O1019" i="21" s="1"/>
  <c r="AG995" i="16"/>
  <c r="L995" i="21"/>
  <c r="O995" i="21" s="1"/>
  <c r="AG1015" i="16"/>
  <c r="L1094" i="21"/>
  <c r="O1094" i="21" s="1"/>
  <c r="AG1099" i="16"/>
  <c r="L1106" i="21"/>
  <c r="O1106" i="21" s="1"/>
  <c r="AG1077" i="16"/>
  <c r="L1077" i="21"/>
  <c r="O1077" i="21" s="1"/>
  <c r="AG1109" i="16"/>
  <c r="L2077" i="21"/>
  <c r="O2077" i="21" s="1"/>
  <c r="AG2079" i="16"/>
  <c r="L2095" i="21"/>
  <c r="O2095" i="21" s="1"/>
  <c r="AG1468" i="16"/>
  <c r="AG1477" i="16"/>
  <c r="L1477" i="21"/>
  <c r="O1477" i="21" s="1"/>
  <c r="AG1478" i="16"/>
  <c r="AG1479" i="16"/>
  <c r="L1479" i="21"/>
  <c r="O1479" i="21" s="1"/>
  <c r="AG10" i="16"/>
  <c r="L10" i="21"/>
  <c r="O10" i="21" s="1"/>
  <c r="AG89" i="16"/>
  <c r="L89" i="21"/>
  <c r="O89" i="21" s="1"/>
  <c r="AG42" i="16"/>
  <c r="L42" i="21"/>
  <c r="O42" i="21" s="1"/>
  <c r="AG101" i="16"/>
  <c r="L101" i="21"/>
  <c r="O101" i="21" s="1"/>
  <c r="AG40" i="16"/>
  <c r="L40" i="21"/>
  <c r="O40" i="21" s="1"/>
  <c r="AG94" i="16"/>
  <c r="L94" i="21"/>
  <c r="O94" i="21" s="1"/>
  <c r="AG41" i="16"/>
  <c r="L41" i="21"/>
  <c r="O41" i="21" s="1"/>
  <c r="AG91" i="16"/>
  <c r="L91" i="21"/>
  <c r="O91" i="21" s="1"/>
  <c r="L1131" i="21"/>
  <c r="O1131" i="21" s="1"/>
  <c r="AG1136" i="16"/>
  <c r="AG1126" i="16"/>
  <c r="L1138" i="21"/>
  <c r="O1138" i="21" s="1"/>
  <c r="L1159" i="21"/>
  <c r="O1159" i="21" s="1"/>
  <c r="L1936" i="21"/>
  <c r="O1936" i="21" s="1"/>
  <c r="AG1968" i="16"/>
  <c r="L1880" i="21"/>
  <c r="O1880" i="21" s="1"/>
  <c r="AG1944" i="16"/>
  <c r="AG2028" i="16"/>
  <c r="L1909" i="21"/>
  <c r="O1909" i="21" s="1"/>
  <c r="AG1925" i="16"/>
  <c r="AG2022" i="16"/>
  <c r="L2022" i="21"/>
  <c r="O2022" i="21" s="1"/>
  <c r="AG1867" i="16"/>
  <c r="AG1947" i="16"/>
  <c r="L2011" i="21"/>
  <c r="O2011" i="21" s="1"/>
  <c r="L569" i="21"/>
  <c r="O569" i="21" s="1"/>
  <c r="L210" i="21"/>
  <c r="O210" i="21" s="1"/>
  <c r="AG53" i="16"/>
  <c r="AG1763" i="16"/>
  <c r="AG1630" i="16"/>
  <c r="L1630" i="21"/>
  <c r="O1630" i="21" s="1"/>
  <c r="AG468" i="16"/>
  <c r="L181" i="21"/>
  <c r="O181" i="21" s="1"/>
  <c r="AG588" i="16"/>
  <c r="L1467" i="21"/>
  <c r="O1467" i="21" s="1"/>
  <c r="AG46" i="16"/>
  <c r="L46" i="21"/>
  <c r="O46" i="21" s="1"/>
  <c r="AG11" i="16"/>
  <c r="L11" i="21"/>
  <c r="O11" i="21" s="1"/>
  <c r="AG97" i="16"/>
  <c r="L97" i="21"/>
  <c r="O97" i="21" s="1"/>
  <c r="AG38" i="16"/>
  <c r="L38" i="21"/>
  <c r="O38" i="21" s="1"/>
  <c r="AG92" i="16"/>
  <c r="L92" i="21"/>
  <c r="O92" i="21" s="1"/>
  <c r="AG7" i="16"/>
  <c r="L7" i="21"/>
  <c r="O7" i="21" s="1"/>
  <c r="AG44" i="16"/>
  <c r="L44" i="21"/>
  <c r="O44" i="21" s="1"/>
  <c r="AG98" i="16"/>
  <c r="L98" i="21"/>
  <c r="O98" i="21" s="1"/>
  <c r="AG45" i="16"/>
  <c r="L45" i="21"/>
  <c r="O45" i="21" s="1"/>
  <c r="AG95" i="16"/>
  <c r="L95" i="21"/>
  <c r="O95" i="21" s="1"/>
  <c r="L1143" i="21"/>
  <c r="O1143" i="21" s="1"/>
  <c r="AG1155" i="16"/>
  <c r="L1151" i="21"/>
  <c r="O1151" i="21" s="1"/>
  <c r="AG1121" i="16"/>
  <c r="L1137" i="21"/>
  <c r="O1137" i="21" s="1"/>
  <c r="L2000" i="21"/>
  <c r="O2000" i="21" s="1"/>
  <c r="AG2004" i="16"/>
  <c r="L2004" i="21"/>
  <c r="O2004" i="21" s="1"/>
  <c r="AG1896" i="16"/>
  <c r="AG1980" i="16"/>
  <c r="AG1865" i="16"/>
  <c r="L1865" i="21"/>
  <c r="O1865" i="21" s="1"/>
  <c r="AG1881" i="16"/>
  <c r="L1929" i="21"/>
  <c r="O1929" i="21" s="1"/>
  <c r="AG1961" i="16"/>
  <c r="L1977" i="21"/>
  <c r="O1977" i="21" s="1"/>
  <c r="AG2025" i="16"/>
  <c r="AG1866" i="16"/>
  <c r="AG1914" i="16"/>
  <c r="AG1946" i="16"/>
  <c r="AG1978" i="16"/>
  <c r="AG1839" i="16"/>
  <c r="L1839" i="21"/>
  <c r="O1839" i="21" s="1"/>
  <c r="AG1887" i="16"/>
  <c r="AG1919" i="16"/>
  <c r="AG1935" i="16"/>
  <c r="AG1951" i="16"/>
  <c r="L1951" i="21"/>
  <c r="O1951" i="21" s="1"/>
  <c r="AG1983" i="16"/>
  <c r="L1983" i="21"/>
  <c r="O1983" i="21" s="1"/>
  <c r="AG299" i="16"/>
  <c r="L755" i="21"/>
  <c r="O755" i="21" s="1"/>
  <c r="L281" i="21"/>
  <c r="O281" i="21" s="1"/>
  <c r="L761" i="21"/>
  <c r="O761" i="21" s="1"/>
  <c r="AG883" i="16"/>
  <c r="L548" i="21"/>
  <c r="O548" i="21" s="1"/>
  <c r="L134" i="21"/>
  <c r="L135" i="21"/>
  <c r="L111" i="21"/>
  <c r="AG1744" i="16"/>
  <c r="AG1645" i="16"/>
  <c r="L784" i="21"/>
  <c r="O784" i="21" s="1"/>
  <c r="L315" i="21"/>
  <c r="O315" i="21" s="1"/>
  <c r="L669" i="21"/>
  <c r="O669" i="21" s="1"/>
  <c r="L260" i="21"/>
  <c r="O260" i="21" s="1"/>
  <c r="AG497" i="16"/>
  <c r="L497" i="21"/>
  <c r="O497" i="21" s="1"/>
  <c r="L684" i="21"/>
  <c r="O684" i="21" s="1"/>
  <c r="AG1026" i="16"/>
  <c r="Y5" i="12"/>
  <c r="X53" i="12"/>
  <c r="Y5" i="13"/>
  <c r="X53" i="13"/>
  <c r="L1451" i="21" l="1"/>
  <c r="O1451" i="21" s="1"/>
  <c r="AG1451" i="16"/>
  <c r="AG686" i="16"/>
  <c r="L686" i="21"/>
  <c r="O686" i="21" s="1"/>
  <c r="L749" i="21"/>
  <c r="O749" i="21" s="1"/>
  <c r="AG749" i="16"/>
  <c r="AG3" i="16"/>
  <c r="L3" i="21"/>
  <c r="O3" i="21" s="1"/>
  <c r="AG343" i="16"/>
  <c r="L343" i="21"/>
  <c r="O343" i="21" s="1"/>
  <c r="L679" i="21"/>
  <c r="O679" i="21" s="1"/>
  <c r="AG679" i="16"/>
  <c r="L873" i="21"/>
  <c r="O873" i="21" s="1"/>
  <c r="AG873" i="16"/>
  <c r="L1716" i="21"/>
  <c r="O1716" i="21" s="1"/>
  <c r="AG1716" i="16"/>
  <c r="AG331" i="16"/>
  <c r="L331" i="21"/>
  <c r="O331" i="21" s="1"/>
  <c r="AG475" i="16"/>
  <c r="L475" i="21"/>
  <c r="O475" i="21" s="1"/>
  <c r="AG2033" i="16"/>
  <c r="L2033" i="21"/>
  <c r="O2033" i="21" s="1"/>
  <c r="AG1170" i="16"/>
  <c r="L1170" i="21"/>
  <c r="O1170" i="21" s="1"/>
  <c r="AG1163" i="16"/>
  <c r="L1163" i="21"/>
  <c r="O1163" i="21" s="1"/>
  <c r="AG1625" i="16"/>
  <c r="L1625" i="21"/>
  <c r="O1625" i="21" s="1"/>
  <c r="L1956" i="21"/>
  <c r="O1956" i="21" s="1"/>
  <c r="AG1956" i="16"/>
  <c r="AG1900" i="16"/>
  <c r="L1900" i="21"/>
  <c r="O1900" i="21" s="1"/>
  <c r="AG2002" i="16"/>
  <c r="L2002" i="21"/>
  <c r="O2002" i="21" s="1"/>
  <c r="L1981" i="21"/>
  <c r="O1981" i="21" s="1"/>
  <c r="AG1981" i="16"/>
  <c r="AG1917" i="16"/>
  <c r="L1917" i="21"/>
  <c r="O1917" i="21" s="1"/>
  <c r="AG1989" i="16"/>
  <c r="L1989" i="21"/>
  <c r="O1989" i="21" s="1"/>
  <c r="AG1112" i="16"/>
  <c r="L1112" i="21"/>
  <c r="O1112" i="21" s="1"/>
  <c r="AG2082" i="16"/>
  <c r="L2082" i="21"/>
  <c r="O2082" i="21" s="1"/>
  <c r="AG1476" i="16"/>
  <c r="L1476" i="21"/>
  <c r="O1476" i="21" s="1"/>
  <c r="AG1076" i="16"/>
  <c r="L1076" i="21"/>
  <c r="O1076" i="21" s="1"/>
  <c r="AG1752" i="16"/>
  <c r="L1752" i="21"/>
  <c r="O1752" i="21" s="1"/>
  <c r="AG1674" i="16"/>
  <c r="L1674" i="21"/>
  <c r="O1674" i="21" s="1"/>
  <c r="AG1760" i="16"/>
  <c r="L1760" i="21"/>
  <c r="O1760" i="21" s="1"/>
  <c r="AG1105" i="16"/>
  <c r="L1105" i="21"/>
  <c r="O1105" i="21" s="1"/>
  <c r="AG1802" i="16"/>
  <c r="L1802" i="21"/>
  <c r="O1802" i="21" s="1"/>
  <c r="L1422" i="21"/>
  <c r="O1422" i="21" s="1"/>
  <c r="L1406" i="21"/>
  <c r="O1406" i="21" s="1"/>
  <c r="L1390" i="21"/>
  <c r="L1374" i="21"/>
  <c r="L1358" i="21"/>
  <c r="L1342" i="21"/>
  <c r="L1326" i="21"/>
  <c r="L1310" i="21"/>
  <c r="O1310" i="21" s="1"/>
  <c r="L1294" i="21"/>
  <c r="O1294" i="21" s="1"/>
  <c r="L1278" i="21"/>
  <c r="O1278" i="21" s="1"/>
  <c r="L1262" i="21"/>
  <c r="O1262" i="21" s="1"/>
  <c r="L1246" i="21"/>
  <c r="L1230" i="21"/>
  <c r="L1214" i="21"/>
  <c r="O1214" i="21" s="1"/>
  <c r="L1421" i="21"/>
  <c r="L1405" i="21"/>
  <c r="L1389" i="21"/>
  <c r="L1373" i="21"/>
  <c r="O1373" i="21" s="1"/>
  <c r="L1357" i="21"/>
  <c r="L1341" i="21"/>
  <c r="O1341" i="21" s="1"/>
  <c r="L1325" i="21"/>
  <c r="L1309" i="21"/>
  <c r="O1309" i="21" s="1"/>
  <c r="L1293" i="21"/>
  <c r="L1277" i="21"/>
  <c r="L1261" i="21"/>
  <c r="L1245" i="21"/>
  <c r="O1245" i="21" s="1"/>
  <c r="L1229" i="21"/>
  <c r="L1213" i="21"/>
  <c r="L1205" i="21"/>
  <c r="L1197" i="21"/>
  <c r="O1197" i="21" s="1"/>
  <c r="L1189" i="21"/>
  <c r="L1181" i="21"/>
  <c r="L1423" i="21"/>
  <c r="L1407" i="21"/>
  <c r="O1407" i="21" s="1"/>
  <c r="L1391" i="21"/>
  <c r="L1375" i="21"/>
  <c r="O1375" i="21" s="1"/>
  <c r="L1359" i="21"/>
  <c r="O1359" i="21" s="1"/>
  <c r="L1343" i="21"/>
  <c r="O1343" i="21" s="1"/>
  <c r="L1327" i="21"/>
  <c r="L1311" i="21"/>
  <c r="L1295" i="21"/>
  <c r="L1279" i="21"/>
  <c r="O1279" i="21" s="1"/>
  <c r="L1263" i="21"/>
  <c r="L1247" i="21"/>
  <c r="L1401" i="21"/>
  <c r="L1337" i="21"/>
  <c r="L1273" i="21"/>
  <c r="L1225" i="21"/>
  <c r="L1202" i="21"/>
  <c r="L1186" i="21"/>
  <c r="O1186" i="21" s="1"/>
  <c r="L1388" i="21"/>
  <c r="L1324" i="21"/>
  <c r="L1260" i="21"/>
  <c r="L1223" i="21"/>
  <c r="O1223" i="21" s="1"/>
  <c r="L1396" i="21"/>
  <c r="L1332" i="21"/>
  <c r="L1268" i="21"/>
  <c r="O1268" i="21" s="1"/>
  <c r="L1217" i="21"/>
  <c r="L1200" i="21"/>
  <c r="L1184" i="21"/>
  <c r="L1372" i="21"/>
  <c r="O1372" i="21" s="1"/>
  <c r="L1308" i="21"/>
  <c r="O1308" i="21" s="1"/>
  <c r="L1244" i="21"/>
  <c r="AG1372" i="16"/>
  <c r="L1419" i="21"/>
  <c r="L1403" i="21"/>
  <c r="O1403" i="21" s="1"/>
  <c r="L1387" i="21"/>
  <c r="L1371" i="21"/>
  <c r="L1355" i="21"/>
  <c r="L1339" i="21"/>
  <c r="O1339" i="21" s="1"/>
  <c r="L1323" i="21"/>
  <c r="L1307" i="21"/>
  <c r="L1291" i="21"/>
  <c r="L1275" i="21"/>
  <c r="O1275" i="21" s="1"/>
  <c r="L1259" i="21"/>
  <c r="L1243" i="21"/>
  <c r="L1227" i="21"/>
  <c r="L1432" i="21"/>
  <c r="L1416" i="21"/>
  <c r="L1400" i="21"/>
  <c r="L1384" i="21"/>
  <c r="L1368" i="21"/>
  <c r="O1368" i="21" s="1"/>
  <c r="L1352" i="21"/>
  <c r="L1336" i="21"/>
  <c r="L1320" i="21"/>
  <c r="O1320" i="21" s="1"/>
  <c r="L1304" i="21"/>
  <c r="O1304" i="21" s="1"/>
  <c r="L1288" i="21"/>
  <c r="L1272" i="21"/>
  <c r="L1256" i="21"/>
  <c r="O1256" i="21" s="1"/>
  <c r="L1240" i="21"/>
  <c r="O1240" i="21" s="1"/>
  <c r="L1224" i="21"/>
  <c r="L1211" i="21"/>
  <c r="L1203" i="21"/>
  <c r="L1195" i="21"/>
  <c r="O1195" i="21" s="1"/>
  <c r="L1187" i="21"/>
  <c r="L1434" i="21"/>
  <c r="L1418" i="21"/>
  <c r="L1402" i="21"/>
  <c r="L1386" i="21"/>
  <c r="O1386" i="21" s="1"/>
  <c r="L1370" i="21"/>
  <c r="O1370" i="21" s="1"/>
  <c r="L1354" i="21"/>
  <c r="L1338" i="21"/>
  <c r="O1338" i="21" s="1"/>
  <c r="L1322" i="21"/>
  <c r="L1306" i="21"/>
  <c r="L1290" i="21"/>
  <c r="L1274" i="21"/>
  <c r="O1274" i="21" s="1"/>
  <c r="L1258" i="21"/>
  <c r="L1242" i="21"/>
  <c r="L1380" i="21"/>
  <c r="O1380" i="21" s="1"/>
  <c r="L1316" i="21"/>
  <c r="O1316" i="21" s="1"/>
  <c r="L1252" i="21"/>
  <c r="L1220" i="21"/>
  <c r="L1198" i="21"/>
  <c r="L1182" i="21"/>
  <c r="O1182" i="21" s="1"/>
  <c r="L1377" i="21"/>
  <c r="L1313" i="21"/>
  <c r="O1313" i="21" s="1"/>
  <c r="L1249" i="21"/>
  <c r="L1218" i="21"/>
  <c r="L1385" i="21"/>
  <c r="L1321" i="21"/>
  <c r="O1321" i="21" s="1"/>
  <c r="L1257" i="21"/>
  <c r="L1212" i="21"/>
  <c r="O1212" i="21" s="1"/>
  <c r="L1196" i="21"/>
  <c r="L1425" i="21"/>
  <c r="L1361" i="21"/>
  <c r="L1297" i="21"/>
  <c r="O1297" i="21" s="1"/>
  <c r="L1231" i="21"/>
  <c r="L1427" i="21"/>
  <c r="O1427" i="21" s="1"/>
  <c r="L1395" i="21"/>
  <c r="L1363" i="21"/>
  <c r="O1363" i="21" s="1"/>
  <c r="L1331" i="21"/>
  <c r="O1331" i="21" s="1"/>
  <c r="L1299" i="21"/>
  <c r="L1267" i="21"/>
  <c r="L1235" i="21"/>
  <c r="O1235" i="21" s="1"/>
  <c r="L1424" i="21"/>
  <c r="L1392" i="21"/>
  <c r="L1360" i="21"/>
  <c r="L1328" i="21"/>
  <c r="O1328" i="21" s="1"/>
  <c r="L1296" i="21"/>
  <c r="O1296" i="21" s="1"/>
  <c r="L1264" i="21"/>
  <c r="L1232" i="21"/>
  <c r="L1207" i="21"/>
  <c r="O1207" i="21" s="1"/>
  <c r="L1191" i="21"/>
  <c r="L1426" i="21"/>
  <c r="L1394" i="21"/>
  <c r="L1362" i="21"/>
  <c r="L1330" i="21"/>
  <c r="O1330" i="21" s="1"/>
  <c r="L1298" i="21"/>
  <c r="L1266" i="21"/>
  <c r="L1412" i="21"/>
  <c r="L1284" i="21"/>
  <c r="O1284" i="21" s="1"/>
  <c r="L1206" i="21"/>
  <c r="O1206" i="21" s="1"/>
  <c r="L1409" i="21"/>
  <c r="L1281" i="21"/>
  <c r="O1281" i="21" s="1"/>
  <c r="L1417" i="21"/>
  <c r="O1417" i="21" s="1"/>
  <c r="L1289" i="21"/>
  <c r="O1289" i="21" s="1"/>
  <c r="L1204" i="21"/>
  <c r="L1393" i="21"/>
  <c r="O1393" i="21" s="1"/>
  <c r="L1265" i="21"/>
  <c r="L1414" i="21"/>
  <c r="L1382" i="21"/>
  <c r="O1382" i="21" s="1"/>
  <c r="L1350" i="21"/>
  <c r="L1318" i="21"/>
  <c r="O1318" i="21" s="1"/>
  <c r="L1286" i="21"/>
  <c r="O1286" i="21" s="1"/>
  <c r="L1254" i="21"/>
  <c r="L1222" i="21"/>
  <c r="O1222" i="21" s="1"/>
  <c r="L1413" i="21"/>
  <c r="L1381" i="21"/>
  <c r="L1349" i="21"/>
  <c r="O1349" i="21" s="1"/>
  <c r="L1317" i="21"/>
  <c r="L1285" i="21"/>
  <c r="L1253" i="21"/>
  <c r="L1221" i="21"/>
  <c r="O1221" i="21" s="1"/>
  <c r="L1201" i="21"/>
  <c r="O1201" i="21" s="1"/>
  <c r="L1185" i="21"/>
  <c r="L1415" i="21"/>
  <c r="O1415" i="21" s="1"/>
  <c r="L1383" i="21"/>
  <c r="O1383" i="21" s="1"/>
  <c r="L1351" i="21"/>
  <c r="O1351" i="21" s="1"/>
  <c r="L1319" i="21"/>
  <c r="L1287" i="21"/>
  <c r="L1255" i="21"/>
  <c r="O1255" i="21" s="1"/>
  <c r="L1369" i="21"/>
  <c r="O1369" i="21" s="1"/>
  <c r="L1241" i="21"/>
  <c r="L1194" i="21"/>
  <c r="L1356" i="21"/>
  <c r="O1356" i="21" s="1"/>
  <c r="L1239" i="21"/>
  <c r="O1239" i="21" s="1"/>
  <c r="L1364" i="21"/>
  <c r="L1233" i="21"/>
  <c r="L1192" i="21"/>
  <c r="L1340" i="21"/>
  <c r="L1226" i="21"/>
  <c r="AG1005" i="16"/>
  <c r="L1005" i="21"/>
  <c r="O1005" i="21" s="1"/>
  <c r="AG261" i="16"/>
  <c r="L503" i="21"/>
  <c r="O503" i="21" s="1"/>
  <c r="L681" i="21"/>
  <c r="O681" i="21" s="1"/>
  <c r="L1767" i="21"/>
  <c r="O1767" i="21" s="1"/>
  <c r="L132" i="21"/>
  <c r="O132" i="21" s="1"/>
  <c r="L198" i="21"/>
  <c r="O198" i="21" s="1"/>
  <c r="L1999" i="21"/>
  <c r="O1999" i="21" s="1"/>
  <c r="L1967" i="21"/>
  <c r="O1967" i="21" s="1"/>
  <c r="L1855" i="21"/>
  <c r="O1855" i="21" s="1"/>
  <c r="L1984" i="21"/>
  <c r="O1984" i="21" s="1"/>
  <c r="AG670" i="16"/>
  <c r="L5" i="21"/>
  <c r="O5" i="21" s="1"/>
  <c r="L1883" i="21"/>
  <c r="O1883" i="21" s="1"/>
  <c r="L1894" i="21"/>
  <c r="O1894" i="21" s="1"/>
  <c r="AG1893" i="16"/>
  <c r="AG1924" i="16"/>
  <c r="AG1128" i="16"/>
  <c r="L1107" i="21"/>
  <c r="O1107" i="21" s="1"/>
  <c r="AG1691" i="16"/>
  <c r="AG1808" i="16"/>
  <c r="AG489" i="16"/>
  <c r="L582" i="21"/>
  <c r="O582" i="21" s="1"/>
  <c r="L1841" i="21"/>
  <c r="O1841" i="21" s="1"/>
  <c r="L2090" i="21"/>
  <c r="O2090" i="21" s="1"/>
  <c r="L2080" i="21"/>
  <c r="O2080" i="21" s="1"/>
  <c r="L1031" i="21"/>
  <c r="O1031" i="21" s="1"/>
  <c r="AG617" i="16"/>
  <c r="AG1934" i="16"/>
  <c r="AG1125" i="16"/>
  <c r="L1215" i="21"/>
  <c r="L1188" i="21"/>
  <c r="L1353" i="21"/>
  <c r="O1353" i="21" s="1"/>
  <c r="L1345" i="21"/>
  <c r="O1345" i="21" s="1"/>
  <c r="L1236" i="21"/>
  <c r="L1250" i="21"/>
  <c r="O1250" i="21" s="1"/>
  <c r="L1314" i="21"/>
  <c r="O1314" i="21" s="1"/>
  <c r="L1378" i="21"/>
  <c r="O1378" i="21" s="1"/>
  <c r="L1183" i="21"/>
  <c r="L1216" i="21"/>
  <c r="L1280" i="21"/>
  <c r="O1280" i="21" s="1"/>
  <c r="L1344" i="21"/>
  <c r="L1408" i="21"/>
  <c r="O1408" i="21" s="1"/>
  <c r="L1251" i="21"/>
  <c r="O1251" i="21" s="1"/>
  <c r="L1315" i="21"/>
  <c r="L1379" i="21"/>
  <c r="O1379" i="21" s="1"/>
  <c r="L1465" i="21"/>
  <c r="O1465" i="21" s="1"/>
  <c r="AG1465" i="16"/>
  <c r="AG265" i="16"/>
  <c r="L265" i="21"/>
  <c r="O265" i="21" s="1"/>
  <c r="L1612" i="21"/>
  <c r="O1612" i="21" s="1"/>
  <c r="AG1612" i="16"/>
  <c r="AG50" i="16"/>
  <c r="L50" i="21"/>
  <c r="O50" i="21" s="1"/>
  <c r="AG333" i="16"/>
  <c r="L333" i="21"/>
  <c r="O333" i="21" s="1"/>
  <c r="AG347" i="16"/>
  <c r="L347" i="21"/>
  <c r="O347" i="21" s="1"/>
  <c r="AG1705" i="16"/>
  <c r="L1705" i="21"/>
  <c r="O1705" i="21" s="1"/>
  <c r="L195" i="21"/>
  <c r="O195" i="21" s="1"/>
  <c r="AG195" i="16"/>
  <c r="AG463" i="16"/>
  <c r="L463" i="21"/>
  <c r="O463" i="21" s="1"/>
  <c r="AG579" i="16"/>
  <c r="L579" i="21"/>
  <c r="O579" i="21" s="1"/>
  <c r="AG765" i="16"/>
  <c r="L765" i="21"/>
  <c r="O765" i="21" s="1"/>
  <c r="AG1958" i="16"/>
  <c r="L1958" i="21"/>
  <c r="O1958" i="21" s="1"/>
  <c r="AG1952" i="16"/>
  <c r="L1952" i="21"/>
  <c r="O1952" i="21" s="1"/>
  <c r="AG1114" i="16"/>
  <c r="L1114" i="21"/>
  <c r="O1114" i="21" s="1"/>
  <c r="AG1843" i="16"/>
  <c r="L1843" i="21"/>
  <c r="O1843" i="21" s="1"/>
  <c r="AG1890" i="16"/>
  <c r="L1890" i="21"/>
  <c r="O1890" i="21" s="1"/>
  <c r="AG662" i="16"/>
  <c r="L662" i="21"/>
  <c r="O662" i="21" s="1"/>
  <c r="AG1144" i="16"/>
  <c r="L1144" i="21"/>
  <c r="O1144" i="21" s="1"/>
  <c r="AG1130" i="16"/>
  <c r="L1130" i="21"/>
  <c r="O1130" i="21" s="1"/>
  <c r="AG1096" i="16"/>
  <c r="L1096" i="21"/>
  <c r="O1096" i="21" s="1"/>
  <c r="L1692" i="21"/>
  <c r="O1692" i="21" s="1"/>
  <c r="AG1692" i="16"/>
  <c r="AG1761" i="16"/>
  <c r="L1761" i="21"/>
  <c r="O1761" i="21" s="1"/>
  <c r="L809" i="21"/>
  <c r="O809" i="21" s="1"/>
  <c r="AG169" i="16"/>
  <c r="L751" i="21"/>
  <c r="O751" i="21" s="1"/>
  <c r="AG1457" i="16"/>
  <c r="AG496" i="16"/>
  <c r="L876" i="21"/>
  <c r="O876" i="21" s="1"/>
  <c r="AG199" i="16"/>
  <c r="L1920" i="21"/>
  <c r="O1920" i="21" s="1"/>
  <c r="L1180" i="21"/>
  <c r="O1180" i="21" s="1"/>
  <c r="AG1086" i="16"/>
  <c r="AG1021" i="16"/>
  <c r="L1801" i="21"/>
  <c r="O1801" i="21" s="1"/>
  <c r="L1441" i="21"/>
  <c r="O1441" i="21" s="1"/>
  <c r="AG491" i="16"/>
  <c r="AG1636" i="16"/>
  <c r="AG1959" i="16"/>
  <c r="AG1884" i="16"/>
  <c r="L1079" i="21"/>
  <c r="O1079" i="21" s="1"/>
  <c r="AG1070" i="16"/>
  <c r="AG2035" i="16"/>
  <c r="L2029" i="21"/>
  <c r="O2029" i="21" s="1"/>
  <c r="AG1072" i="16"/>
  <c r="L1683" i="21"/>
  <c r="O1683" i="21" s="1"/>
  <c r="L1276" i="21"/>
  <c r="L1208" i="21"/>
  <c r="L1428" i="21"/>
  <c r="L1420" i="21"/>
  <c r="L1305" i="21"/>
  <c r="O1305" i="21" s="1"/>
  <c r="L1271" i="21"/>
  <c r="L1335" i="21"/>
  <c r="L1399" i="21"/>
  <c r="O1399" i="21" s="1"/>
  <c r="L1193" i="21"/>
  <c r="L1237" i="21"/>
  <c r="L1301" i="21"/>
  <c r="L1365" i="21"/>
  <c r="O1365" i="21" s="1"/>
  <c r="L1429" i="21"/>
  <c r="O1429" i="21" s="1"/>
  <c r="L1270" i="21"/>
  <c r="O1270" i="21" s="1"/>
  <c r="L1334" i="21"/>
  <c r="L1398" i="21"/>
  <c r="O150" i="21"/>
  <c r="O127" i="21"/>
  <c r="O148" i="21"/>
  <c r="AG1623" i="16"/>
  <c r="AG1613" i="16"/>
  <c r="L1765" i="21"/>
  <c r="O1765" i="21" s="1"/>
  <c r="AG580" i="16"/>
  <c r="L337" i="21"/>
  <c r="O337" i="21" s="1"/>
  <c r="L549" i="21"/>
  <c r="O549" i="21" s="1"/>
  <c r="L1993" i="21"/>
  <c r="O1993" i="21" s="1"/>
  <c r="AG1913" i="16"/>
  <c r="AG1172" i="16"/>
  <c r="AG1134" i="16"/>
  <c r="AG1164" i="16"/>
  <c r="AG1158" i="16"/>
  <c r="AG1737" i="16"/>
  <c r="L302" i="21"/>
  <c r="O302" i="21" s="1"/>
  <c r="AG293" i="16"/>
  <c r="L211" i="21"/>
  <c r="O211" i="21" s="1"/>
  <c r="L2006" i="21"/>
  <c r="O2006" i="21" s="1"/>
  <c r="L1146" i="21"/>
  <c r="O1146" i="21" s="1"/>
  <c r="AG1741" i="16"/>
  <c r="L1774" i="21"/>
  <c r="O1774" i="21" s="1"/>
  <c r="AG1927" i="16"/>
  <c r="AG1948" i="16"/>
  <c r="AG267" i="16"/>
  <c r="AG350" i="16"/>
  <c r="AG1923" i="16"/>
  <c r="L1074" i="21"/>
  <c r="O1074" i="21" s="1"/>
  <c r="L1798" i="21"/>
  <c r="O1798" i="21" s="1"/>
  <c r="O1265" i="21"/>
  <c r="O1409" i="21"/>
  <c r="O1348" i="21"/>
  <c r="O1264" i="21"/>
  <c r="O1392" i="21"/>
  <c r="L1091" i="21"/>
  <c r="O1091" i="21" s="1"/>
  <c r="L52" i="21"/>
  <c r="O52" i="21" s="1"/>
  <c r="AG611" i="16"/>
  <c r="L578" i="21"/>
  <c r="O578" i="21" s="1"/>
  <c r="L2026" i="21"/>
  <c r="O2026" i="21" s="1"/>
  <c r="L1882" i="21"/>
  <c r="O1882" i="21" s="1"/>
  <c r="L1960" i="21"/>
  <c r="O1960" i="21" s="1"/>
  <c r="AG802" i="16"/>
  <c r="L570" i="21"/>
  <c r="O570" i="21" s="1"/>
  <c r="L1931" i="21"/>
  <c r="O1931" i="21" s="1"/>
  <c r="L1878" i="21"/>
  <c r="O1878" i="21" s="1"/>
  <c r="AG1877" i="16"/>
  <c r="L1860" i="21"/>
  <c r="O1860" i="21" s="1"/>
  <c r="L1149" i="21"/>
  <c r="O1149" i="21" s="1"/>
  <c r="L2100" i="21"/>
  <c r="O2100" i="21" s="1"/>
  <c r="L1084" i="21"/>
  <c r="O1084" i="21" s="1"/>
  <c r="L1011" i="21"/>
  <c r="O1011" i="21" s="1"/>
  <c r="AG875" i="16"/>
  <c r="AG1115" i="16"/>
  <c r="L1089" i="21"/>
  <c r="O1089" i="21" s="1"/>
  <c r="L1671" i="21"/>
  <c r="O1671" i="21" s="1"/>
  <c r="L2097" i="21"/>
  <c r="O2097" i="21" s="1"/>
  <c r="AG1690" i="16"/>
  <c r="AG324" i="16"/>
  <c r="AG1825" i="16"/>
  <c r="L1912" i="21"/>
  <c r="O1912" i="21" s="1"/>
  <c r="L2101" i="21"/>
  <c r="O2101" i="21" s="1"/>
  <c r="L2096" i="21"/>
  <c r="O2096" i="21" s="1"/>
  <c r="L1657" i="21"/>
  <c r="O1657" i="21" s="1"/>
  <c r="AG67" i="16"/>
  <c r="L555" i="21"/>
  <c r="O555" i="21" s="1"/>
  <c r="AG1995" i="16"/>
  <c r="AG1942" i="16"/>
  <c r="L1845" i="21"/>
  <c r="O1845" i="21" s="1"/>
  <c r="L300" i="21"/>
  <c r="O300" i="21" s="1"/>
  <c r="AG1972" i="16"/>
  <c r="L1475" i="21"/>
  <c r="O1475" i="21" s="1"/>
  <c r="L1066" i="21"/>
  <c r="O1066" i="21" s="1"/>
  <c r="AG595" i="16"/>
  <c r="AG16" i="16"/>
  <c r="AG285" i="16"/>
  <c r="L1809" i="21"/>
  <c r="O1809" i="21" s="1"/>
  <c r="O1244" i="21"/>
  <c r="O1217" i="21"/>
  <c r="O1332" i="21"/>
  <c r="O1396" i="21"/>
  <c r="O1324" i="21"/>
  <c r="O1273" i="21"/>
  <c r="O1247" i="21"/>
  <c r="O1263" i="21"/>
  <c r="O1295" i="21"/>
  <c r="O1391" i="21"/>
  <c r="O1293" i="21"/>
  <c r="O1389" i="21"/>
  <c r="O1230" i="21"/>
  <c r="O1326" i="21"/>
  <c r="O1374" i="21"/>
  <c r="AG1097" i="16"/>
  <c r="L1676" i="21"/>
  <c r="O1676" i="21" s="1"/>
  <c r="L992" i="21"/>
  <c r="O992" i="21" s="1"/>
  <c r="L2001" i="21"/>
  <c r="O2001" i="21" s="1"/>
  <c r="AG1123" i="16"/>
  <c r="AG1682" i="16"/>
  <c r="AG1095" i="16"/>
  <c r="AG1673" i="16"/>
  <c r="O1340" i="21"/>
  <c r="O1292" i="21"/>
  <c r="O1287" i="21"/>
  <c r="O1285" i="21"/>
  <c r="O1317" i="21"/>
  <c r="O1414" i="21"/>
  <c r="L917" i="21"/>
  <c r="AG1639" i="16"/>
  <c r="L1104" i="21"/>
  <c r="O1104" i="21" s="1"/>
  <c r="L1654" i="21"/>
  <c r="O1654" i="21" s="1"/>
  <c r="AG1087" i="16"/>
  <c r="L2054" i="21"/>
  <c r="O2054" i="21" s="1"/>
  <c r="L1166" i="21"/>
  <c r="O1166" i="21" s="1"/>
  <c r="AG1073" i="16"/>
  <c r="AG1811" i="16"/>
  <c r="AG1661" i="16"/>
  <c r="O151" i="21"/>
  <c r="AG1068" i="16"/>
  <c r="L2093" i="21"/>
  <c r="O2093" i="21" s="1"/>
  <c r="AG1758" i="16"/>
  <c r="AG1672" i="16"/>
  <c r="L1069" i="21"/>
  <c r="O1069" i="21" s="1"/>
  <c r="L1662" i="21"/>
  <c r="O1662" i="21" s="1"/>
  <c r="O1300" i="21"/>
  <c r="O1420" i="21"/>
  <c r="O1271" i="21"/>
  <c r="O1303" i="21"/>
  <c r="O1335" i="21"/>
  <c r="O1301" i="21"/>
  <c r="O1334" i="21"/>
  <c r="O1430" i="21"/>
  <c r="L15" i="21"/>
  <c r="O15" i="21" s="1"/>
  <c r="AG1147" i="16"/>
  <c r="L1628" i="21"/>
  <c r="O1628" i="21" s="1"/>
  <c r="L610" i="21"/>
  <c r="O610" i="21" s="1"/>
  <c r="AG1093" i="16"/>
  <c r="AG1653" i="16"/>
  <c r="L2041" i="21"/>
  <c r="AG1083" i="16"/>
  <c r="AG1805" i="16"/>
  <c r="L791" i="21"/>
  <c r="O791" i="21" s="1"/>
  <c r="AG2085" i="16"/>
  <c r="L2081" i="21"/>
  <c r="O2081" i="21" s="1"/>
  <c r="L321" i="21"/>
  <c r="O321" i="21" s="1"/>
  <c r="L1957" i="21"/>
  <c r="O1957" i="21" s="1"/>
  <c r="AG1988" i="16"/>
  <c r="AG2078" i="16"/>
  <c r="AG1621" i="16"/>
  <c r="AG1759" i="16"/>
  <c r="L683" i="21"/>
  <c r="O683" i="21" s="1"/>
  <c r="L895" i="21"/>
  <c r="L1153" i="21"/>
  <c r="O1153" i="21" s="1"/>
  <c r="AG1658" i="16"/>
  <c r="L1812" i="21"/>
  <c r="O1812" i="21" s="1"/>
  <c r="L1575" i="21"/>
  <c r="O1575" i="21" s="1"/>
  <c r="L907" i="21"/>
  <c r="O907" i="21" s="1"/>
  <c r="L812" i="21"/>
  <c r="O812" i="21" s="1"/>
  <c r="L1124" i="21"/>
  <c r="O1124" i="21" s="1"/>
  <c r="L1538" i="21"/>
  <c r="O1538" i="21" s="1"/>
  <c r="AG1059" i="16"/>
  <c r="L1059" i="21"/>
  <c r="O1059" i="21" s="1"/>
  <c r="AG1617" i="16"/>
  <c r="L1617" i="21"/>
  <c r="O1617" i="21" s="1"/>
  <c r="AG1743" i="16"/>
  <c r="L1743" i="21"/>
  <c r="O1743" i="21" s="1"/>
  <c r="AG660" i="16"/>
  <c r="L660" i="21"/>
  <c r="O660" i="21" s="1"/>
  <c r="AG320" i="16"/>
  <c r="L320" i="21"/>
  <c r="O320" i="21" s="1"/>
  <c r="AG694" i="16"/>
  <c r="L694" i="21"/>
  <c r="O694" i="21" s="1"/>
  <c r="AG805" i="16"/>
  <c r="L805" i="21"/>
  <c r="O805" i="21" s="1"/>
  <c r="AG1646" i="16"/>
  <c r="L1646" i="21"/>
  <c r="O1646" i="21" s="1"/>
  <c r="AG1448" i="16"/>
  <c r="L1448" i="21"/>
  <c r="O1448" i="21" s="1"/>
  <c r="AG1025" i="16"/>
  <c r="L1025" i="21"/>
  <c r="O1025" i="21" s="1"/>
  <c r="AG1831" i="16"/>
  <c r="L1831" i="21"/>
  <c r="O1831" i="21" s="1"/>
  <c r="L262" i="21"/>
  <c r="O262" i="21" s="1"/>
  <c r="AG262" i="16"/>
  <c r="L1832" i="21"/>
  <c r="O1832" i="21" s="1"/>
  <c r="AG1832" i="16"/>
  <c r="AG2027" i="16"/>
  <c r="L2027" i="21"/>
  <c r="O2027" i="21" s="1"/>
  <c r="AG1985" i="16"/>
  <c r="L1985" i="21"/>
  <c r="O1985" i="21" s="1"/>
  <c r="AG1852" i="16"/>
  <c r="L1852" i="21"/>
  <c r="O1852" i="21" s="1"/>
  <c r="AG1135" i="16"/>
  <c r="L1135" i="21"/>
  <c r="O1135" i="21" s="1"/>
  <c r="AG1168" i="16"/>
  <c r="L1168" i="21"/>
  <c r="O1168" i="21" s="1"/>
  <c r="L1962" i="21"/>
  <c r="O1962" i="21" s="1"/>
  <c r="AG1962" i="16"/>
  <c r="AG1964" i="16"/>
  <c r="L1964" i="21"/>
  <c r="O1964" i="21" s="1"/>
  <c r="L2009" i="21"/>
  <c r="O2009" i="21" s="1"/>
  <c r="AG2009" i="16"/>
  <c r="AG1879" i="16"/>
  <c r="L1879" i="21"/>
  <c r="O1879" i="21" s="1"/>
  <c r="L1778" i="21"/>
  <c r="O1778" i="21" s="1"/>
  <c r="AG1778" i="16"/>
  <c r="AG1171" i="16"/>
  <c r="L1171" i="21"/>
  <c r="O1171" i="21" s="1"/>
  <c r="AG1473" i="16"/>
  <c r="L1473" i="21"/>
  <c r="O1473" i="21" s="1"/>
  <c r="AG2092" i="16"/>
  <c r="L2092" i="21"/>
  <c r="O2092" i="21" s="1"/>
  <c r="AG1901" i="16"/>
  <c r="L1901" i="21"/>
  <c r="O1901" i="21" s="1"/>
  <c r="AG1169" i="16"/>
  <c r="L1169" i="21"/>
  <c r="O1169" i="21" s="1"/>
  <c r="AG1670" i="16"/>
  <c r="L1670" i="21"/>
  <c r="O1670" i="21" s="1"/>
  <c r="AG2094" i="16"/>
  <c r="L2094" i="21"/>
  <c r="O2094" i="21" s="1"/>
  <c r="AG1687" i="16"/>
  <c r="L1687" i="21"/>
  <c r="O1687" i="21" s="1"/>
  <c r="AG1108" i="16"/>
  <c r="L1108" i="21"/>
  <c r="O1108" i="21" s="1"/>
  <c r="AG1075" i="16"/>
  <c r="L1075" i="21"/>
  <c r="O1075" i="21" s="1"/>
  <c r="AG1085" i="16"/>
  <c r="L1085" i="21"/>
  <c r="O1085" i="21" s="1"/>
  <c r="AG1810" i="16"/>
  <c r="L1810" i="21"/>
  <c r="O1810" i="21" s="1"/>
  <c r="AG1803" i="16"/>
  <c r="L1803" i="21"/>
  <c r="O1803" i="21" s="1"/>
  <c r="AG1689" i="16"/>
  <c r="L1689" i="21"/>
  <c r="O1689" i="21" s="1"/>
  <c r="L1667" i="21"/>
  <c r="O1667" i="21" s="1"/>
  <c r="AG1667" i="16"/>
  <c r="L1100" i="21"/>
  <c r="O1100" i="21" s="1"/>
  <c r="AG1100" i="16"/>
  <c r="AG1693" i="16"/>
  <c r="L1693" i="21"/>
  <c r="O1693" i="21" s="1"/>
  <c r="AG1684" i="16"/>
  <c r="L1684" i="21"/>
  <c r="O1684" i="21" s="1"/>
  <c r="L494" i="21"/>
  <c r="O494" i="21" s="1"/>
  <c r="L665" i="21"/>
  <c r="O665" i="21" s="1"/>
  <c r="L898" i="21"/>
  <c r="O898" i="21" s="1"/>
  <c r="L911" i="21"/>
  <c r="L1795" i="21"/>
  <c r="O1795" i="21" s="1"/>
  <c r="AG1634" i="16"/>
  <c r="L1766" i="21"/>
  <c r="O1766" i="21" s="1"/>
  <c r="AG1174" i="16"/>
  <c r="L178" i="21"/>
  <c r="O178" i="21" s="1"/>
  <c r="AG191" i="16"/>
  <c r="L1721" i="21"/>
  <c r="O1721" i="21" s="1"/>
  <c r="L544" i="21"/>
  <c r="O544" i="21" s="1"/>
  <c r="L551" i="21"/>
  <c r="O551" i="21" s="1"/>
  <c r="AG1910" i="16"/>
  <c r="L1846" i="21"/>
  <c r="O1846" i="21" s="1"/>
  <c r="L1150" i="21"/>
  <c r="O1150" i="21" s="1"/>
  <c r="AG1815" i="16"/>
  <c r="L1688" i="21"/>
  <c r="O1688" i="21" s="1"/>
  <c r="AG1090" i="16"/>
  <c r="L1577" i="21"/>
  <c r="L189" i="21"/>
  <c r="O189" i="21" s="1"/>
  <c r="L1838" i="21"/>
  <c r="O1838" i="21" s="1"/>
  <c r="AG1793" i="16"/>
  <c r="L1793" i="21"/>
  <c r="O1793" i="21" s="1"/>
  <c r="L170" i="21"/>
  <c r="O170" i="21" s="1"/>
  <c r="AG170" i="16"/>
  <c r="L786" i="21"/>
  <c r="O786" i="21" s="1"/>
  <c r="AG786" i="16"/>
  <c r="AG1652" i="16"/>
  <c r="L1652" i="21"/>
  <c r="O1652" i="21" s="1"/>
  <c r="AG808" i="16"/>
  <c r="L808" i="21"/>
  <c r="O808" i="21" s="1"/>
  <c r="AG614" i="16"/>
  <c r="L614" i="21"/>
  <c r="O614" i="21" s="1"/>
  <c r="AG739" i="16"/>
  <c r="L739" i="21"/>
  <c r="O739" i="21" s="1"/>
  <c r="AG757" i="16"/>
  <c r="L757" i="21"/>
  <c r="O757" i="21" s="1"/>
  <c r="AG1738" i="16"/>
  <c r="L1738" i="21"/>
  <c r="O1738" i="21" s="1"/>
  <c r="AG348" i="16"/>
  <c r="L348" i="21"/>
  <c r="O348" i="21" s="1"/>
  <c r="AG1723" i="16"/>
  <c r="L1723" i="21"/>
  <c r="O1723" i="21" s="1"/>
  <c r="AG327" i="16"/>
  <c r="L327" i="21"/>
  <c r="O327" i="21" s="1"/>
  <c r="L196" i="21"/>
  <c r="O196" i="21" s="1"/>
  <c r="AG196" i="16"/>
  <c r="AG6" i="16"/>
  <c r="L6" i="21"/>
  <c r="O6" i="21" s="1"/>
  <c r="AG816" i="16"/>
  <c r="L918" i="21"/>
  <c r="L928" i="21"/>
  <c r="L912" i="21"/>
  <c r="O912" i="21" s="1"/>
  <c r="L927" i="21"/>
  <c r="O927" i="21" s="1"/>
  <c r="L915" i="21"/>
  <c r="L905" i="21"/>
  <c r="L908" i="21"/>
  <c r="O908" i="21" s="1"/>
  <c r="L816" i="21"/>
  <c r="O816" i="21" s="1"/>
  <c r="L926" i="21"/>
  <c r="L920" i="21"/>
  <c r="L897" i="21"/>
  <c r="O897" i="21" s="1"/>
  <c r="L921" i="21"/>
  <c r="O921" i="21" s="1"/>
  <c r="L930" i="21"/>
  <c r="L914" i="21"/>
  <c r="O914" i="21" s="1"/>
  <c r="L925" i="21"/>
  <c r="O925" i="21" s="1"/>
  <c r="L909" i="21"/>
  <c r="O909" i="21" s="1"/>
  <c r="L923" i="21"/>
  <c r="L913" i="21"/>
  <c r="L896" i="21"/>
  <c r="O896" i="21" s="1"/>
  <c r="L894" i="21"/>
  <c r="L910" i="21"/>
  <c r="AG2038" i="16"/>
  <c r="L2038" i="21"/>
  <c r="O2038" i="21" s="1"/>
  <c r="AG1921" i="16"/>
  <c r="L1921" i="21"/>
  <c r="O1921" i="21" s="1"/>
  <c r="AG1857" i="16"/>
  <c r="L1857" i="21"/>
  <c r="O1857" i="21" s="1"/>
  <c r="L1840" i="21"/>
  <c r="O1840" i="21" s="1"/>
  <c r="AG1840" i="16"/>
  <c r="AG1850" i="16"/>
  <c r="L1850" i="21"/>
  <c r="O1850" i="21" s="1"/>
  <c r="AG297" i="16"/>
  <c r="L297" i="21"/>
  <c r="O297" i="21" s="1"/>
  <c r="AG1876" i="16"/>
  <c r="L1876" i="21"/>
  <c r="O1876" i="21" s="1"/>
  <c r="AG1869" i="16"/>
  <c r="L1869" i="21"/>
  <c r="O1869" i="21" s="1"/>
  <c r="AG1922" i="16"/>
  <c r="L1922" i="21"/>
  <c r="O1922" i="21" s="1"/>
  <c r="AG1891" i="16"/>
  <c r="L1891" i="21"/>
  <c r="O1891" i="21" s="1"/>
  <c r="AG2034" i="16"/>
  <c r="L2034" i="21"/>
  <c r="O2034" i="21" s="1"/>
  <c r="AG1897" i="16"/>
  <c r="L1897" i="21"/>
  <c r="O1897" i="21" s="1"/>
  <c r="AG1970" i="16"/>
  <c r="L1970" i="21"/>
  <c r="O1970" i="21" s="1"/>
  <c r="AG2012" i="16"/>
  <c r="L2012" i="21"/>
  <c r="O2012" i="21" s="1"/>
  <c r="AG2088" i="16"/>
  <c r="L2088" i="21"/>
  <c r="O2088" i="21" s="1"/>
  <c r="AG1110" i="16"/>
  <c r="L1600" i="21"/>
  <c r="O1600" i="21" s="1"/>
  <c r="L1592" i="21"/>
  <c r="O1592" i="21" s="1"/>
  <c r="L1584" i="21"/>
  <c r="O1584" i="21" s="1"/>
  <c r="L1576" i="21"/>
  <c r="O1576" i="21" s="1"/>
  <c r="L1568" i="21"/>
  <c r="L1560" i="21"/>
  <c r="L1552" i="21"/>
  <c r="O1552" i="21" s="1"/>
  <c r="L1544" i="21"/>
  <c r="O1544" i="21" s="1"/>
  <c r="L1536" i="21"/>
  <c r="O1536" i="21" s="1"/>
  <c r="L1528" i="21"/>
  <c r="L1520" i="21"/>
  <c r="O1520" i="21" s="1"/>
  <c r="L1512" i="21"/>
  <c r="O1512" i="21" s="1"/>
  <c r="L1504" i="21"/>
  <c r="L1496" i="21"/>
  <c r="L1488" i="21"/>
  <c r="O1488" i="21" s="1"/>
  <c r="L1480" i="21"/>
  <c r="O1480" i="21" s="1"/>
  <c r="L1579" i="21"/>
  <c r="O1579" i="21" s="1"/>
  <c r="L1547" i="21"/>
  <c r="O1547" i="21" s="1"/>
  <c r="L1515" i="21"/>
  <c r="O1515" i="21" s="1"/>
  <c r="L1601" i="21"/>
  <c r="L1569" i="21"/>
  <c r="L1537" i="21"/>
  <c r="O1537" i="21" s="1"/>
  <c r="L1505" i="21"/>
  <c r="O1505" i="21" s="1"/>
  <c r="L1599" i="21"/>
  <c r="O1599" i="21" s="1"/>
  <c r="L1567" i="21"/>
  <c r="O1567" i="21" s="1"/>
  <c r="L1535" i="21"/>
  <c r="L1503" i="21"/>
  <c r="O1503" i="21" s="1"/>
  <c r="L1597" i="21"/>
  <c r="O1597" i="21" s="1"/>
  <c r="L1565" i="21"/>
  <c r="L1533" i="21"/>
  <c r="L1501" i="21"/>
  <c r="O1501" i="21" s="1"/>
  <c r="L1481" i="21"/>
  <c r="O1481" i="21" s="1"/>
  <c r="L1606" i="21"/>
  <c r="L1598" i="21"/>
  <c r="O1598" i="21" s="1"/>
  <c r="L1590" i="21"/>
  <c r="O1590" i="21" s="1"/>
  <c r="L1582" i="21"/>
  <c r="L1574" i="21"/>
  <c r="L1566" i="21"/>
  <c r="L1558" i="21"/>
  <c r="O1558" i="21" s="1"/>
  <c r="L1550" i="21"/>
  <c r="O1550" i="21" s="1"/>
  <c r="L1542" i="21"/>
  <c r="L1534" i="21"/>
  <c r="L1526" i="21"/>
  <c r="O1526" i="21" s="1"/>
  <c r="L1518" i="21"/>
  <c r="L1510" i="21"/>
  <c r="L1502" i="21"/>
  <c r="L1494" i="21"/>
  <c r="O1494" i="21" s="1"/>
  <c r="L1486" i="21"/>
  <c r="O1486" i="21" s="1"/>
  <c r="L1603" i="21"/>
  <c r="L1571" i="21"/>
  <c r="L1539" i="21"/>
  <c r="O1539" i="21" s="1"/>
  <c r="L1507" i="21"/>
  <c r="O1507" i="21" s="1"/>
  <c r="L1593" i="21"/>
  <c r="L1561" i="21"/>
  <c r="L1529" i="21"/>
  <c r="O1529" i="21" s="1"/>
  <c r="L1497" i="21"/>
  <c r="L1591" i="21"/>
  <c r="L1559" i="21"/>
  <c r="L1527" i="21"/>
  <c r="O1527" i="21" s="1"/>
  <c r="L1495" i="21"/>
  <c r="O1495" i="21" s="1"/>
  <c r="L1589" i="21"/>
  <c r="L1557" i="21"/>
  <c r="L1525" i="21"/>
  <c r="O1525" i="21" s="1"/>
  <c r="L1493" i="21"/>
  <c r="O1493" i="21" s="1"/>
  <c r="L1110" i="21"/>
  <c r="O1110" i="21" s="1"/>
  <c r="L1604" i="21"/>
  <c r="O1604" i="21" s="1"/>
  <c r="L1596" i="21"/>
  <c r="O1596" i="21" s="1"/>
  <c r="L1588" i="21"/>
  <c r="O1588" i="21" s="1"/>
  <c r="L1580" i="21"/>
  <c r="O1580" i="21" s="1"/>
  <c r="L1572" i="21"/>
  <c r="O1572" i="21" s="1"/>
  <c r="L1564" i="21"/>
  <c r="O1564" i="21" s="1"/>
  <c r="L1556" i="21"/>
  <c r="O1556" i="21" s="1"/>
  <c r="L1548" i="21"/>
  <c r="L1540" i="21"/>
  <c r="O1540" i="21" s="1"/>
  <c r="L1532" i="21"/>
  <c r="O1532" i="21" s="1"/>
  <c r="L1524" i="21"/>
  <c r="O1524" i="21" s="1"/>
  <c r="L1516" i="21"/>
  <c r="O1516" i="21" s="1"/>
  <c r="L1508" i="21"/>
  <c r="O1508" i="21" s="1"/>
  <c r="L1500" i="21"/>
  <c r="O1500" i="21" s="1"/>
  <c r="L1492" i="21"/>
  <c r="O1492" i="21" s="1"/>
  <c r="L1484" i="21"/>
  <c r="L1595" i="21"/>
  <c r="O1595" i="21" s="1"/>
  <c r="L1563" i="21"/>
  <c r="O1563" i="21" s="1"/>
  <c r="L1531" i="21"/>
  <c r="O1531" i="21" s="1"/>
  <c r="L1499" i="21"/>
  <c r="L1585" i="21"/>
  <c r="O1585" i="21" s="1"/>
  <c r="L1553" i="21"/>
  <c r="O1553" i="21" s="1"/>
  <c r="L1521" i="21"/>
  <c r="O1521" i="21" s="1"/>
  <c r="L1489" i="21"/>
  <c r="L1583" i="21"/>
  <c r="L1551" i="21"/>
  <c r="O1551" i="21" s="1"/>
  <c r="L1519" i="21"/>
  <c r="O1519" i="21" s="1"/>
  <c r="L1487" i="21"/>
  <c r="O1487" i="21" s="1"/>
  <c r="L1581" i="21"/>
  <c r="L1549" i="21"/>
  <c r="O1549" i="21" s="1"/>
  <c r="L1517" i="21"/>
  <c r="O1517" i="21" s="1"/>
  <c r="L1485" i="21"/>
  <c r="L1594" i="21"/>
  <c r="O1594" i="21" s="1"/>
  <c r="L1562" i="21"/>
  <c r="O1562" i="21" s="1"/>
  <c r="L1530" i="21"/>
  <c r="L1498" i="21"/>
  <c r="L1555" i="21"/>
  <c r="O1555" i="21" s="1"/>
  <c r="L1545" i="21"/>
  <c r="O1545" i="21" s="1"/>
  <c r="L1543" i="21"/>
  <c r="O1543" i="21" s="1"/>
  <c r="L1541" i="21"/>
  <c r="O1541" i="21" s="1"/>
  <c r="L1586" i="21"/>
  <c r="L1554" i="21"/>
  <c r="O1554" i="21" s="1"/>
  <c r="L1522" i="21"/>
  <c r="O1522" i="21" s="1"/>
  <c r="L1490" i="21"/>
  <c r="L1523" i="21"/>
  <c r="O1523" i="21" s="1"/>
  <c r="L1513" i="21"/>
  <c r="O1513" i="21" s="1"/>
  <c r="L1511" i="21"/>
  <c r="O1511" i="21" s="1"/>
  <c r="L1509" i="21"/>
  <c r="L1578" i="21"/>
  <c r="O1578" i="21" s="1"/>
  <c r="L1546" i="21"/>
  <c r="O1546" i="21" s="1"/>
  <c r="L1514" i="21"/>
  <c r="O1514" i="21" s="1"/>
  <c r="L1482" i="21"/>
  <c r="O1482" i="21" s="1"/>
  <c r="L1491" i="21"/>
  <c r="O1491" i="21" s="1"/>
  <c r="L1607" i="21"/>
  <c r="O1607" i="21" s="1"/>
  <c r="L1605" i="21"/>
  <c r="O1605" i="21" s="1"/>
  <c r="L1483" i="21"/>
  <c r="AG1870" i="16"/>
  <c r="L1870" i="21"/>
  <c r="O1870" i="21" s="1"/>
  <c r="AG1660" i="16"/>
  <c r="L1660" i="21"/>
  <c r="O1660" i="21" s="1"/>
  <c r="AG811" i="16"/>
  <c r="L916" i="21"/>
  <c r="O916" i="21" s="1"/>
  <c r="L919" i="21"/>
  <c r="O919" i="21" s="1"/>
  <c r="L922" i="21"/>
  <c r="L1940" i="21"/>
  <c r="O1940" i="21" s="1"/>
  <c r="AG861" i="16"/>
  <c r="AG1117" i="16"/>
  <c r="L177" i="21"/>
  <c r="O177" i="21" s="1"/>
  <c r="L572" i="21"/>
  <c r="O572" i="21" s="1"/>
  <c r="AG869" i="16"/>
  <c r="L1154" i="21"/>
  <c r="O1154" i="21" s="1"/>
  <c r="L1587" i="21"/>
  <c r="O1587" i="21" s="1"/>
  <c r="L1602" i="21"/>
  <c r="L1669" i="21"/>
  <c r="O1669" i="21" s="1"/>
  <c r="O154" i="21"/>
  <c r="AG1620" i="16"/>
  <c r="L1620" i="21"/>
  <c r="O1620" i="21" s="1"/>
  <c r="AG1782" i="16"/>
  <c r="L1782" i="21"/>
  <c r="O1782" i="21" s="1"/>
  <c r="L259" i="21"/>
  <c r="O259" i="21" s="1"/>
  <c r="AG259" i="16"/>
  <c r="L590" i="21"/>
  <c r="O590" i="21" s="1"/>
  <c r="AG590" i="16"/>
  <c r="AG322" i="16"/>
  <c r="L322" i="21"/>
  <c r="O322" i="21" s="1"/>
  <c r="AG807" i="16"/>
  <c r="L807" i="21"/>
  <c r="O807" i="21" s="1"/>
  <c r="AG477" i="16"/>
  <c r="L477" i="21"/>
  <c r="O477" i="21" s="1"/>
  <c r="AG498" i="16"/>
  <c r="L498" i="21"/>
  <c r="O498" i="21" s="1"/>
  <c r="AG174" i="16"/>
  <c r="L174" i="21"/>
  <c r="O174" i="21" s="1"/>
  <c r="AG268" i="16"/>
  <c r="L268" i="21"/>
  <c r="O268" i="21" s="1"/>
  <c r="AG256" i="16"/>
  <c r="L256" i="21"/>
  <c r="O256" i="21" s="1"/>
  <c r="AG1788" i="16"/>
  <c r="L1788" i="21"/>
  <c r="O1788" i="21" s="1"/>
  <c r="AG206" i="16"/>
  <c r="L206" i="21"/>
  <c r="O206" i="21" s="1"/>
  <c r="AG750" i="16"/>
  <c r="L750" i="21"/>
  <c r="O750" i="21" s="1"/>
  <c r="AG1729" i="16"/>
  <c r="L1729" i="21"/>
  <c r="O1729" i="21" s="1"/>
  <c r="AG584" i="16"/>
  <c r="L584" i="21"/>
  <c r="O584" i="21" s="1"/>
  <c r="L425" i="21"/>
  <c r="L375" i="21"/>
  <c r="L194" i="21"/>
  <c r="O194" i="21" s="1"/>
  <c r="AG194" i="16"/>
  <c r="L203" i="21"/>
  <c r="O203" i="21" s="1"/>
  <c r="AG203" i="16"/>
  <c r="L200" i="21"/>
  <c r="O200" i="21" s="1"/>
  <c r="AG200" i="16"/>
  <c r="L764" i="21"/>
  <c r="O764" i="21" s="1"/>
  <c r="AG764" i="16"/>
  <c r="AG1974" i="16"/>
  <c r="L1974" i="21"/>
  <c r="O1974" i="21" s="1"/>
  <c r="L1141" i="21"/>
  <c r="O1141" i="21" s="1"/>
  <c r="AG1141" i="16"/>
  <c r="AG1118" i="16"/>
  <c r="L1118" i="21"/>
  <c r="O1118" i="21" s="1"/>
  <c r="AG1875" i="16"/>
  <c r="L1875" i="21"/>
  <c r="O1875" i="21" s="1"/>
  <c r="AG1941" i="16"/>
  <c r="L1941" i="21"/>
  <c r="O1941" i="21" s="1"/>
  <c r="AG1908" i="16"/>
  <c r="L1908" i="21"/>
  <c r="O1908" i="21" s="1"/>
  <c r="AG2008" i="16"/>
  <c r="L2008" i="21"/>
  <c r="O2008" i="21" s="1"/>
  <c r="AG2010" i="16"/>
  <c r="L2010" i="21"/>
  <c r="O2010" i="21" s="1"/>
  <c r="AG1975" i="16"/>
  <c r="L1975" i="21"/>
  <c r="O1975" i="21" s="1"/>
  <c r="AG1943" i="16"/>
  <c r="L1943" i="21"/>
  <c r="O1943" i="21" s="1"/>
  <c r="AG1918" i="16"/>
  <c r="L1918" i="21"/>
  <c r="O1918" i="21" s="1"/>
  <c r="L1992" i="21"/>
  <c r="O1992" i="21" s="1"/>
  <c r="AG1992" i="16"/>
  <c r="AG1904" i="16"/>
  <c r="L1904" i="21"/>
  <c r="O1904" i="21" s="1"/>
  <c r="AG1854" i="16"/>
  <c r="L1854" i="21"/>
  <c r="O1854" i="21" s="1"/>
  <c r="AG2098" i="16"/>
  <c r="L2098" i="21"/>
  <c r="O2098" i="21" s="1"/>
  <c r="AG1842" i="16"/>
  <c r="L1842" i="21"/>
  <c r="O1842" i="21" s="1"/>
  <c r="AG2075" i="16"/>
  <c r="L2075" i="21"/>
  <c r="O2075" i="21" s="1"/>
  <c r="AG1167" i="16"/>
  <c r="L1167" i="21"/>
  <c r="O1167" i="21" s="1"/>
  <c r="AG2007" i="16"/>
  <c r="L2007" i="21"/>
  <c r="O2007" i="21" s="1"/>
  <c r="AG1103" i="16"/>
  <c r="L1103" i="21"/>
  <c r="O1103" i="21" s="1"/>
  <c r="AG2086" i="16"/>
  <c r="L2086" i="21"/>
  <c r="O2086" i="21" s="1"/>
  <c r="AG1080" i="16"/>
  <c r="L1080" i="21"/>
  <c r="O1080" i="21" s="1"/>
  <c r="AG1797" i="16"/>
  <c r="L1797" i="21"/>
  <c r="O1797" i="21" s="1"/>
  <c r="AG1680" i="16"/>
  <c r="L1680" i="21"/>
  <c r="O1680" i="21" s="1"/>
  <c r="AG1088" i="16"/>
  <c r="L1088" i="21"/>
  <c r="O1088" i="21" s="1"/>
  <c r="AG1071" i="16"/>
  <c r="L1071" i="21"/>
  <c r="O1071" i="21" s="1"/>
  <c r="AG1800" i="16"/>
  <c r="L1800" i="21"/>
  <c r="O1800" i="21" s="1"/>
  <c r="AG1678" i="16"/>
  <c r="L1678" i="21"/>
  <c r="O1678" i="21" s="1"/>
  <c r="L924" i="21"/>
  <c r="O924" i="21" s="1"/>
  <c r="L929" i="21"/>
  <c r="O929" i="21" s="1"/>
  <c r="AG1732" i="16"/>
  <c r="AG1898" i="16"/>
  <c r="L1945" i="21"/>
  <c r="O1945" i="21" s="1"/>
  <c r="L1888" i="21"/>
  <c r="O1888" i="21" s="1"/>
  <c r="L1176" i="21"/>
  <c r="O1176" i="21" s="1"/>
  <c r="L803" i="21"/>
  <c r="O803" i="21" s="1"/>
  <c r="L1619" i="21"/>
  <c r="O1619" i="21" s="1"/>
  <c r="AG1818" i="16"/>
  <c r="L857" i="21"/>
  <c r="O857" i="21" s="1"/>
  <c r="AG752" i="16"/>
  <c r="AG1963" i="16"/>
  <c r="L1899" i="21"/>
  <c r="O1899" i="21" s="1"/>
  <c r="AG1165" i="16"/>
  <c r="AG1120" i="16"/>
  <c r="AG213" i="16"/>
  <c r="AG776" i="16"/>
  <c r="L1991" i="21"/>
  <c r="O1991" i="21" s="1"/>
  <c r="L1573" i="21"/>
  <c r="L1506" i="21"/>
  <c r="O1506" i="21" s="1"/>
  <c r="L877" i="21"/>
  <c r="O877" i="21" s="1"/>
  <c r="AG1987" i="16"/>
  <c r="O1388" i="21"/>
  <c r="O1337" i="21"/>
  <c r="O1261" i="21"/>
  <c r="O1405" i="21"/>
  <c r="O1342" i="21"/>
  <c r="O1358" i="21"/>
  <c r="O1329" i="21"/>
  <c r="O1412" i="21"/>
  <c r="O1266" i="21"/>
  <c r="O1298" i="21"/>
  <c r="O1394" i="21"/>
  <c r="O1426" i="21"/>
  <c r="O1216" i="21"/>
  <c r="O1360" i="21"/>
  <c r="O1424" i="21"/>
  <c r="O1267" i="21"/>
  <c r="O1283" i="21"/>
  <c r="O1299" i="21"/>
  <c r="O1315" i="21"/>
  <c r="O1411" i="21"/>
  <c r="O122" i="21"/>
  <c r="O1233" i="21"/>
  <c r="O1364" i="21"/>
  <c r="O1428" i="21"/>
  <c r="O1241" i="21"/>
  <c r="O1319" i="21"/>
  <c r="O1431" i="21"/>
  <c r="O1253" i="21"/>
  <c r="O1381" i="21"/>
  <c r="O1254" i="21"/>
  <c r="O1302" i="21"/>
  <c r="O1366" i="21"/>
  <c r="O125" i="21"/>
  <c r="O1385" i="21"/>
  <c r="O1249" i="21"/>
  <c r="O1377" i="21"/>
  <c r="O1306" i="21"/>
  <c r="O1434" i="21"/>
  <c r="O1336" i="21"/>
  <c r="O1384" i="21"/>
  <c r="O1416" i="21"/>
  <c r="O1291" i="21"/>
  <c r="O1307" i="21"/>
  <c r="O1323" i="21"/>
  <c r="O1355" i="21"/>
  <c r="O1371" i="21"/>
  <c r="AG2024" i="16"/>
  <c r="L62" i="21"/>
  <c r="O62" i="21" s="1"/>
  <c r="AG2021" i="16"/>
  <c r="L1686" i="21"/>
  <c r="O1686" i="21" s="1"/>
  <c r="L1753" i="21"/>
  <c r="O1753" i="21" s="1"/>
  <c r="L1804" i="21"/>
  <c r="O1804" i="21" s="1"/>
  <c r="L1762" i="21"/>
  <c r="O1762" i="21" s="1"/>
  <c r="AG1060" i="16"/>
  <c r="AG545" i="16"/>
  <c r="L2064" i="21"/>
  <c r="O2064" i="21" s="1"/>
  <c r="L2057" i="21"/>
  <c r="O2057" i="21" s="1"/>
  <c r="L1937" i="21"/>
  <c r="O1937" i="21" s="1"/>
  <c r="L1175" i="21"/>
  <c r="O1175" i="21" s="1"/>
  <c r="L1111" i="21"/>
  <c r="O1111" i="21" s="1"/>
  <c r="L1098" i="21"/>
  <c r="O1098" i="21" s="1"/>
  <c r="L1666" i="21"/>
  <c r="O1666" i="21" s="1"/>
  <c r="L2083" i="21"/>
  <c r="O2083" i="21" s="1"/>
  <c r="L2" i="21"/>
  <c r="L1859" i="21"/>
  <c r="O1859" i="21" s="1"/>
  <c r="L1902" i="21"/>
  <c r="O1902" i="21" s="1"/>
  <c r="L1848" i="21"/>
  <c r="O1848" i="21" s="1"/>
  <c r="L1814" i="21"/>
  <c r="O1814" i="21" s="1"/>
  <c r="O1425" i="21"/>
  <c r="O1252" i="21"/>
  <c r="O1290" i="21"/>
  <c r="O1418" i="21"/>
  <c r="O1387" i="21"/>
  <c r="O1419" i="21"/>
  <c r="L1751" i="21"/>
  <c r="O1751" i="21" s="1"/>
  <c r="L1462" i="21"/>
  <c r="O1462" i="21" s="1"/>
  <c r="AG1836" i="16"/>
  <c r="AG2031" i="16"/>
  <c r="AG1871" i="16"/>
  <c r="AG1916" i="16"/>
  <c r="AG1861" i="16"/>
  <c r="L1116" i="21"/>
  <c r="O1116" i="21" s="1"/>
  <c r="AG562" i="16"/>
  <c r="L2051" i="21"/>
  <c r="L2044" i="21"/>
  <c r="L2073" i="21"/>
  <c r="O2073" i="21" s="1"/>
  <c r="L1954" i="21"/>
  <c r="O1954" i="21" s="1"/>
  <c r="L1873" i="21"/>
  <c r="O1873" i="21" s="1"/>
  <c r="L1864" i="21"/>
  <c r="O1864" i="21" s="1"/>
  <c r="L1844" i="21"/>
  <c r="O1844" i="21" s="1"/>
  <c r="L2089" i="21"/>
  <c r="O2089" i="21" s="1"/>
  <c r="L1998" i="21"/>
  <c r="O1998" i="21" s="1"/>
  <c r="L1853" i="21"/>
  <c r="O1853" i="21" s="1"/>
  <c r="L1067" i="21"/>
  <c r="O1067" i="21" s="1"/>
  <c r="L1807" i="21"/>
  <c r="O1807" i="21" s="1"/>
  <c r="L1656" i="21"/>
  <c r="O1656" i="21" s="1"/>
  <c r="O1260" i="21"/>
  <c r="O1401" i="21"/>
  <c r="O1423" i="21"/>
  <c r="O1277" i="21"/>
  <c r="O1421" i="21"/>
  <c r="O1246" i="21"/>
  <c r="O1390" i="21"/>
  <c r="L1664" i="21"/>
  <c r="O1664" i="21" s="1"/>
  <c r="K7" i="26"/>
  <c r="M7" i="26" s="1"/>
  <c r="M13" i="26" s="1"/>
  <c r="AG185" i="16"/>
  <c r="AG1779" i="16"/>
  <c r="AG1644" i="16"/>
  <c r="L759" i="21"/>
  <c r="O759" i="21" s="1"/>
  <c r="AG1903" i="16"/>
  <c r="AG1849" i="16"/>
  <c r="AG317" i="16"/>
  <c r="L585" i="21"/>
  <c r="O585" i="21" s="1"/>
  <c r="AG310" i="16"/>
  <c r="L384" i="21"/>
  <c r="O384" i="21" s="1"/>
  <c r="L2042" i="21"/>
  <c r="L2060" i="21"/>
  <c r="O2060" i="21" s="1"/>
  <c r="L1986" i="21"/>
  <c r="O1986" i="21" s="1"/>
  <c r="L1140" i="21"/>
  <c r="O1140" i="21" s="1"/>
  <c r="L1955" i="21"/>
  <c r="O1955" i="21" s="1"/>
  <c r="L1932" i="21"/>
  <c r="O1932" i="21" s="1"/>
  <c r="O1282" i="21"/>
  <c r="O1395" i="21"/>
  <c r="L1042" i="21"/>
  <c r="O1042" i="21" s="1"/>
  <c r="L183" i="21"/>
  <c r="O183" i="21" s="1"/>
  <c r="L1647" i="21"/>
  <c r="O1647" i="21" s="1"/>
  <c r="AG574" i="16"/>
  <c r="L316" i="21"/>
  <c r="O316" i="21" s="1"/>
  <c r="L1701" i="21"/>
  <c r="O1701" i="21" s="1"/>
  <c r="L478" i="21"/>
  <c r="O478" i="21" s="1"/>
  <c r="L793" i="21"/>
  <c r="O793" i="21" s="1"/>
  <c r="AG1748" i="16"/>
  <c r="L1712" i="21"/>
  <c r="O1712" i="21" s="1"/>
  <c r="L58" i="21"/>
  <c r="O58" i="21" s="1"/>
  <c r="L19" i="21"/>
  <c r="O19" i="21" s="1"/>
  <c r="L865" i="21"/>
  <c r="O865" i="21" s="1"/>
  <c r="L870" i="21"/>
  <c r="O870" i="21" s="1"/>
  <c r="L546" i="21"/>
  <c r="O546" i="21" s="1"/>
  <c r="L1446" i="21"/>
  <c r="O1446" i="21" s="1"/>
  <c r="AG673" i="16"/>
  <c r="L500" i="21"/>
  <c r="O500" i="21" s="1"/>
  <c r="L889" i="21"/>
  <c r="O889" i="21" s="1"/>
  <c r="L2005" i="21"/>
  <c r="O2005" i="21" s="1"/>
  <c r="L1872" i="21"/>
  <c r="O1872" i="21" s="1"/>
  <c r="L1659" i="21"/>
  <c r="O1659" i="21" s="1"/>
  <c r="L1681" i="21"/>
  <c r="O1681" i="21" s="1"/>
  <c r="L1679" i="21"/>
  <c r="O1679" i="21" s="1"/>
  <c r="AG486" i="16"/>
  <c r="AG269" i="16"/>
  <c r="L18" i="21"/>
  <c r="O18" i="21" s="1"/>
  <c r="AG556" i="16"/>
  <c r="L753" i="21"/>
  <c r="O753" i="21" s="1"/>
  <c r="L1847" i="21"/>
  <c r="O1847" i="21" s="1"/>
  <c r="L2018" i="21"/>
  <c r="O2018" i="21" s="1"/>
  <c r="L1906" i="21"/>
  <c r="O1906" i="21" s="1"/>
  <c r="L2036" i="21"/>
  <c r="O2036" i="21" s="1"/>
  <c r="L1145" i="21"/>
  <c r="O1145" i="21" s="1"/>
  <c r="L1162" i="21"/>
  <c r="O1162" i="21" s="1"/>
  <c r="O1484" i="21"/>
  <c r="O1548" i="21"/>
  <c r="L1754" i="21"/>
  <c r="O1754" i="21" s="1"/>
  <c r="L1756" i="21"/>
  <c r="O1756" i="21" s="1"/>
  <c r="L778" i="21"/>
  <c r="O778" i="21" s="1"/>
  <c r="AG309" i="16"/>
  <c r="AG1740" i="16"/>
  <c r="L774" i="21"/>
  <c r="O774" i="21" s="1"/>
  <c r="L215" i="21"/>
  <c r="O215" i="21" s="1"/>
  <c r="AG2019" i="16"/>
  <c r="L2013" i="21"/>
  <c r="O2013" i="21" s="1"/>
  <c r="AG1949" i="16"/>
  <c r="L1148" i="21"/>
  <c r="O1148" i="21" s="1"/>
  <c r="O1276" i="21"/>
  <c r="O1208" i="21"/>
  <c r="O1433" i="21"/>
  <c r="O1413" i="21"/>
  <c r="O1398" i="21"/>
  <c r="L666" i="21"/>
  <c r="O666" i="21" s="1"/>
  <c r="AG180" i="16"/>
  <c r="L794" i="21"/>
  <c r="O794" i="21" s="1"/>
  <c r="AG796" i="16"/>
  <c r="AG779" i="16"/>
  <c r="L314" i="21"/>
  <c r="O314" i="21" s="1"/>
  <c r="AG1453" i="16"/>
  <c r="AG505" i="16"/>
  <c r="L1889" i="21"/>
  <c r="O1889" i="21" s="1"/>
  <c r="O1497" i="21"/>
  <c r="O1534" i="21"/>
  <c r="AG672" i="16"/>
  <c r="L266" i="21"/>
  <c r="O266" i="21" s="1"/>
  <c r="AG187" i="16"/>
  <c r="L1699" i="21"/>
  <c r="O1699" i="21" s="1"/>
  <c r="AG1764" i="16"/>
  <c r="AG218" i="16"/>
  <c r="L557" i="21"/>
  <c r="O557" i="21" s="1"/>
  <c r="L2003" i="21"/>
  <c r="O2003" i="21" s="1"/>
  <c r="AG1997" i="16"/>
  <c r="L1885" i="21"/>
  <c r="O1885" i="21" s="1"/>
  <c r="O1258" i="21"/>
  <c r="O1402" i="21"/>
  <c r="O1272" i="21"/>
  <c r="O1288" i="21"/>
  <c r="O1400" i="21"/>
  <c r="O1432" i="21"/>
  <c r="O1259" i="21"/>
  <c r="AG1046" i="16"/>
  <c r="L785" i="21"/>
  <c r="O785" i="21" s="1"/>
  <c r="L658" i="21"/>
  <c r="O658" i="21" s="1"/>
  <c r="O1603" i="21"/>
  <c r="L485" i="21"/>
  <c r="O485" i="21" s="1"/>
  <c r="L479" i="21"/>
  <c r="O479" i="21" s="1"/>
  <c r="L56" i="21"/>
  <c r="O56" i="21" s="1"/>
  <c r="L23" i="21"/>
  <c r="O23" i="21" s="1"/>
  <c r="L887" i="21"/>
  <c r="O887" i="21" s="1"/>
  <c r="L209" i="21"/>
  <c r="O209" i="21" s="1"/>
  <c r="O1215" i="21"/>
  <c r="O1234" i="21"/>
  <c r="O1362" i="21"/>
  <c r="O1199" i="21"/>
  <c r="L880" i="21"/>
  <c r="O880" i="21" s="1"/>
  <c r="L1037" i="21"/>
  <c r="O1037" i="21" s="1"/>
  <c r="L1035" i="21"/>
  <c r="O1035" i="21" s="1"/>
  <c r="L1460" i="21"/>
  <c r="O1460" i="21" s="1"/>
  <c r="L789" i="21"/>
  <c r="O789" i="21" s="1"/>
  <c r="L499" i="21"/>
  <c r="O499" i="21" s="1"/>
  <c r="L1750" i="21"/>
  <c r="O1750" i="21" s="1"/>
  <c r="L1823" i="21"/>
  <c r="O1823" i="21" s="1"/>
  <c r="L576" i="21"/>
  <c r="O576" i="21" s="1"/>
  <c r="L1608" i="21"/>
  <c r="L1735" i="21"/>
  <c r="O1735" i="21" s="1"/>
  <c r="L1829" i="21"/>
  <c r="O1829" i="21" s="1"/>
  <c r="L1700" i="21"/>
  <c r="O1700" i="21" s="1"/>
  <c r="L856" i="21"/>
  <c r="O856" i="21" s="1"/>
  <c r="L890" i="21"/>
  <c r="O890" i="21" s="1"/>
  <c r="L744" i="21"/>
  <c r="O744" i="21" s="1"/>
  <c r="L1953" i="21"/>
  <c r="O1953" i="21" s="1"/>
  <c r="L2016" i="21"/>
  <c r="O2016" i="21" s="1"/>
  <c r="O1565" i="21"/>
  <c r="O1535" i="21"/>
  <c r="O1601" i="21"/>
  <c r="AG1698" i="16"/>
  <c r="L292" i="21"/>
  <c r="O292" i="21" s="1"/>
  <c r="L303" i="21"/>
  <c r="O303" i="21" s="1"/>
  <c r="L1939" i="21"/>
  <c r="O1939" i="21" s="1"/>
  <c r="L1966" i="21"/>
  <c r="O1966" i="21" s="1"/>
  <c r="L1996" i="21"/>
  <c r="O1996" i="21" s="1"/>
  <c r="L1173" i="21"/>
  <c r="O1173" i="21" s="1"/>
  <c r="L1160" i="21"/>
  <c r="O1160" i="21" s="1"/>
  <c r="L1179" i="21"/>
  <c r="O1179" i="21" s="1"/>
  <c r="O1194" i="21"/>
  <c r="O1367" i="21"/>
  <c r="O1209" i="21"/>
  <c r="O1333" i="21"/>
  <c r="O1350" i="21"/>
  <c r="AG1048" i="16"/>
  <c r="L1440" i="21"/>
  <c r="O1440" i="21" s="1"/>
  <c r="O918" i="21"/>
  <c r="L698" i="21"/>
  <c r="O698" i="21" s="1"/>
  <c r="L276" i="21"/>
  <c r="O276" i="21" s="1"/>
  <c r="L305" i="21"/>
  <c r="O305" i="21" s="1"/>
  <c r="O1577" i="21"/>
  <c r="O1570" i="21"/>
  <c r="O1586" i="21"/>
  <c r="L323" i="21"/>
  <c r="O323" i="21" s="1"/>
  <c r="L868" i="21"/>
  <c r="O868" i="21" s="1"/>
  <c r="O124" i="21"/>
  <c r="O1322" i="21"/>
  <c r="O1354" i="21"/>
  <c r="L476" i="21"/>
  <c r="O476" i="21" s="1"/>
  <c r="L1994" i="21"/>
  <c r="O1994" i="21" s="1"/>
  <c r="L1930" i="21"/>
  <c r="O1930" i="21" s="1"/>
  <c r="L2032" i="21"/>
  <c r="O2032" i="21" s="1"/>
  <c r="L1122" i="21"/>
  <c r="O1122" i="21" s="1"/>
  <c r="L1142" i="21"/>
  <c r="O1142" i="21" s="1"/>
  <c r="L1466" i="21"/>
  <c r="O1466" i="21" s="1"/>
  <c r="AG274" i="16"/>
  <c r="AG493" i="16"/>
  <c r="AG1775" i="16"/>
  <c r="L747" i="21"/>
  <c r="O747" i="21" s="1"/>
  <c r="L1979" i="21"/>
  <c r="O1979" i="21" s="1"/>
  <c r="L1915" i="21"/>
  <c r="O1915" i="21" s="1"/>
  <c r="L1851" i="21"/>
  <c r="O1851" i="21" s="1"/>
  <c r="L1990" i="21"/>
  <c r="O1990" i="21" s="1"/>
  <c r="L1926" i="21"/>
  <c r="O1926" i="21" s="1"/>
  <c r="L1862" i="21"/>
  <c r="O1862" i="21" s="1"/>
  <c r="L2037" i="21"/>
  <c r="O2037" i="21" s="1"/>
  <c r="L1973" i="21"/>
  <c r="O1973" i="21" s="1"/>
  <c r="L1133" i="21"/>
  <c r="O1133" i="21" s="1"/>
  <c r="L1036" i="21"/>
  <c r="O1036" i="21" s="1"/>
  <c r="L1734" i="21"/>
  <c r="O1734" i="21" s="1"/>
  <c r="L2059" i="21"/>
  <c r="O2059" i="21" s="1"/>
  <c r="L2046" i="21"/>
  <c r="O2046" i="21" s="1"/>
  <c r="L2056" i="21"/>
  <c r="O2056" i="21" s="1"/>
  <c r="L2066" i="21"/>
  <c r="O2066" i="21" s="1"/>
  <c r="L2047" i="21"/>
  <c r="O2047" i="21" s="1"/>
  <c r="L2063" i="21"/>
  <c r="O2063" i="21" s="1"/>
  <c r="L2045" i="21"/>
  <c r="O2045" i="21" s="1"/>
  <c r="L2061" i="21"/>
  <c r="O2061" i="21" s="1"/>
  <c r="AG2039" i="16"/>
  <c r="L1777" i="21"/>
  <c r="O1777" i="21" s="1"/>
  <c r="L17" i="21"/>
  <c r="O17" i="21" s="1"/>
  <c r="O1361" i="21"/>
  <c r="O1257" i="21"/>
  <c r="O1203" i="21"/>
  <c r="O1352" i="21"/>
  <c r="O1227" i="21"/>
  <c r="AG462" i="16"/>
  <c r="L471" i="21"/>
  <c r="O471" i="21" s="1"/>
  <c r="L346" i="21"/>
  <c r="O346" i="21" s="1"/>
  <c r="AG311" i="16"/>
  <c r="AG13" i="16"/>
  <c r="L777" i="21"/>
  <c r="O777" i="21" s="1"/>
  <c r="AG2015" i="16"/>
  <c r="AG1614" i="16"/>
  <c r="L351" i="21"/>
  <c r="O351" i="21" s="1"/>
  <c r="L888" i="21"/>
  <c r="O888" i="21" s="1"/>
  <c r="AG338" i="16"/>
  <c r="L561" i="21"/>
  <c r="O561" i="21" s="1"/>
  <c r="L2039" i="21"/>
  <c r="O2039" i="21" s="1"/>
  <c r="L2067" i="21"/>
  <c r="O2067" i="21" s="1"/>
  <c r="L2048" i="21"/>
  <c r="L2058" i="21"/>
  <c r="O2058" i="21" s="1"/>
  <c r="L2070" i="21"/>
  <c r="O2070" i="21" s="1"/>
  <c r="L2052" i="21"/>
  <c r="O2052" i="21" s="1"/>
  <c r="L2068" i="21"/>
  <c r="O2068" i="21" s="1"/>
  <c r="L2049" i="21"/>
  <c r="O2049" i="21" s="1"/>
  <c r="L2065" i="21"/>
  <c r="O2065" i="21" s="1"/>
  <c r="L2023" i="21"/>
  <c r="O2023" i="21" s="1"/>
  <c r="L1874" i="21"/>
  <c r="O1874" i="21" s="1"/>
  <c r="L1928" i="21"/>
  <c r="O1928" i="21" s="1"/>
  <c r="L1856" i="21"/>
  <c r="O1856" i="21" s="1"/>
  <c r="L1129" i="21"/>
  <c r="O1129" i="21" s="1"/>
  <c r="L1119" i="21"/>
  <c r="O1119" i="21" s="1"/>
  <c r="L1132" i="21"/>
  <c r="O1132" i="21" s="1"/>
  <c r="O1542" i="21"/>
  <c r="O1606" i="21"/>
  <c r="L1474" i="21"/>
  <c r="O1474" i="21" s="1"/>
  <c r="AG1742" i="16"/>
  <c r="AG1731" i="16"/>
  <c r="AG1697" i="16"/>
  <c r="AG568" i="16"/>
  <c r="AG554" i="16"/>
  <c r="L1971" i="21"/>
  <c r="O1971" i="21" s="1"/>
  <c r="L1907" i="21"/>
  <c r="O1907" i="21" s="1"/>
  <c r="L2014" i="21"/>
  <c r="O2014" i="21" s="1"/>
  <c r="L1950" i="21"/>
  <c r="O1950" i="21" s="1"/>
  <c r="L1886" i="21"/>
  <c r="O1886" i="21" s="1"/>
  <c r="L1965" i="21"/>
  <c r="O1965" i="21" s="1"/>
  <c r="L1933" i="21"/>
  <c r="O1933" i="21" s="1"/>
  <c r="L2020" i="21"/>
  <c r="O2020" i="21" s="1"/>
  <c r="L1892" i="21"/>
  <c r="O1892" i="21" s="1"/>
  <c r="L1157" i="21"/>
  <c r="O1157" i="21" s="1"/>
  <c r="L1156" i="21"/>
  <c r="O1156" i="21" s="1"/>
  <c r="L1139" i="21"/>
  <c r="O1139" i="21" s="1"/>
  <c r="L1127" i="21"/>
  <c r="O1127" i="21" s="1"/>
  <c r="O123" i="21"/>
  <c r="O1184" i="21"/>
  <c r="O1200" i="21"/>
  <c r="O1311" i="21"/>
  <c r="O1327" i="21"/>
  <c r="O1213" i="21"/>
  <c r="O1229" i="21"/>
  <c r="O1325" i="21"/>
  <c r="O1357" i="21"/>
  <c r="AG1726" i="16"/>
  <c r="AG1464" i="16"/>
  <c r="L699" i="21"/>
  <c r="O699" i="21" s="1"/>
  <c r="L504" i="21"/>
  <c r="O504" i="21" s="1"/>
  <c r="L481" i="21"/>
  <c r="O481" i="21" s="1"/>
  <c r="AG340" i="16"/>
  <c r="L967" i="21"/>
  <c r="O967" i="21" s="1"/>
  <c r="AG1615" i="16"/>
  <c r="L550" i="21"/>
  <c r="O550" i="21" s="1"/>
  <c r="L2043" i="21"/>
  <c r="O2043" i="21" s="1"/>
  <c r="L2040" i="21"/>
  <c r="O2040" i="21" s="1"/>
  <c r="L2050" i="21"/>
  <c r="O2050" i="21" s="1"/>
  <c r="L2062" i="21"/>
  <c r="L2072" i="21"/>
  <c r="O2072" i="21" s="1"/>
  <c r="L2055" i="21"/>
  <c r="O2055" i="21" s="1"/>
  <c r="L2071" i="21"/>
  <c r="O2071" i="21" s="1"/>
  <c r="L2053" i="21"/>
  <c r="O2053" i="21" s="1"/>
  <c r="L1643" i="21"/>
  <c r="O1643" i="21" s="1"/>
  <c r="L1632" i="21"/>
  <c r="O1632" i="21" s="1"/>
  <c r="O152" i="21"/>
  <c r="O1188" i="21"/>
  <c r="O1190" i="21"/>
  <c r="O1312" i="21"/>
  <c r="O1344" i="21"/>
  <c r="L1794" i="21"/>
  <c r="O1794" i="21" s="1"/>
  <c r="L1459" i="21"/>
  <c r="O1459" i="21" s="1"/>
  <c r="L271" i="21"/>
  <c r="O271" i="21" s="1"/>
  <c r="AG1790" i="16"/>
  <c r="AG1745" i="16"/>
  <c r="L616" i="21"/>
  <c r="O616" i="21" s="1"/>
  <c r="AG691" i="16"/>
  <c r="AG1787" i="16"/>
  <c r="AG1438" i="16"/>
  <c r="L797" i="21"/>
  <c r="O797" i="21" s="1"/>
  <c r="L783" i="21"/>
  <c r="O783" i="21" s="1"/>
  <c r="L1450" i="21"/>
  <c r="O1450" i="21" s="1"/>
  <c r="AG1450" i="16"/>
  <c r="AG787" i="16"/>
  <c r="L787" i="21"/>
  <c r="O787" i="21" s="1"/>
  <c r="AG676" i="16"/>
  <c r="L676" i="21"/>
  <c r="O676" i="21" s="1"/>
  <c r="AG814" i="16"/>
  <c r="L814" i="21"/>
  <c r="O814" i="21" s="1"/>
  <c r="L1443" i="21"/>
  <c r="O1443" i="21" s="1"/>
  <c r="AG1443" i="16"/>
  <c r="L1437" i="21"/>
  <c r="O1437" i="21" s="1"/>
  <c r="AG1437" i="16"/>
  <c r="AG1435" i="16"/>
  <c r="L1435" i="21"/>
  <c r="O1435" i="21" s="1"/>
  <c r="L696" i="21"/>
  <c r="O696" i="21" s="1"/>
  <c r="AG696" i="16"/>
  <c r="L587" i="21"/>
  <c r="O587" i="21" s="1"/>
  <c r="AG587" i="16"/>
  <c r="AG307" i="16"/>
  <c r="L307" i="21"/>
  <c r="O307" i="21" s="1"/>
  <c r="L1785" i="21"/>
  <c r="O1785" i="21" s="1"/>
  <c r="AG1785" i="16"/>
  <c r="L1819" i="21"/>
  <c r="O1819" i="21" s="1"/>
  <c r="AG1819" i="16"/>
  <c r="L1830" i="21"/>
  <c r="O1830" i="21" s="1"/>
  <c r="AG1830" i="16"/>
  <c r="AG1702" i="16"/>
  <c r="L1702" i="21"/>
  <c r="O1702" i="21" s="1"/>
  <c r="AG1717" i="16"/>
  <c r="L1717" i="21"/>
  <c r="O1717" i="21" s="1"/>
  <c r="AG1828" i="16"/>
  <c r="L1828" i="21"/>
  <c r="O1828" i="21" s="1"/>
  <c r="L1827" i="21"/>
  <c r="O1827" i="21" s="1"/>
  <c r="AG1827" i="16"/>
  <c r="AG172" i="16"/>
  <c r="L172" i="21"/>
  <c r="O172" i="21" s="1"/>
  <c r="L685" i="21"/>
  <c r="O685" i="21" s="1"/>
  <c r="AG685" i="16"/>
  <c r="AG488" i="16"/>
  <c r="L488" i="21"/>
  <c r="O488" i="21" s="1"/>
  <c r="L1624" i="21"/>
  <c r="O1624" i="21" s="1"/>
  <c r="AG1624" i="16"/>
  <c r="L688" i="21"/>
  <c r="O688" i="21" s="1"/>
  <c r="AG688" i="16"/>
  <c r="L273" i="21"/>
  <c r="O273" i="21" s="1"/>
  <c r="AG273" i="16"/>
  <c r="AG176" i="16"/>
  <c r="L176" i="21"/>
  <c r="O176" i="21" s="1"/>
  <c r="AG558" i="16"/>
  <c r="L558" i="21"/>
  <c r="O558" i="21" s="1"/>
  <c r="AG197" i="16"/>
  <c r="L197" i="21"/>
  <c r="O197" i="21" s="1"/>
  <c r="L345" i="21"/>
  <c r="O345" i="21" s="1"/>
  <c r="AG345" i="16"/>
  <c r="AG741" i="16"/>
  <c r="L741" i="21"/>
  <c r="O741" i="21" s="1"/>
  <c r="AG879" i="16"/>
  <c r="L879" i="21"/>
  <c r="O879" i="21" s="1"/>
  <c r="AG1038" i="16"/>
  <c r="L1038" i="21"/>
  <c r="O1038" i="21" s="1"/>
  <c r="L1710" i="21"/>
  <c r="O1710" i="21" s="1"/>
  <c r="AG1710" i="16"/>
  <c r="L1824" i="21"/>
  <c r="O1824" i="21" s="1"/>
  <c r="AG1824" i="16"/>
  <c r="L1709" i="21"/>
  <c r="O1709" i="21" s="1"/>
  <c r="AG1709" i="16"/>
  <c r="AG63" i="16"/>
  <c r="L63" i="21"/>
  <c r="O63" i="21" s="1"/>
  <c r="AG64" i="16"/>
  <c r="L64" i="21"/>
  <c r="O64" i="21" s="1"/>
  <c r="AG1833" i="16"/>
  <c r="L1833" i="21"/>
  <c r="O1833" i="21" s="1"/>
  <c r="AG21" i="16"/>
  <c r="L21" i="21"/>
  <c r="O21" i="21" s="1"/>
  <c r="AG564" i="16"/>
  <c r="L564" i="21"/>
  <c r="O564" i="21" s="1"/>
  <c r="L202" i="21"/>
  <c r="O202" i="21" s="1"/>
  <c r="AG202" i="16"/>
  <c r="AG748" i="16"/>
  <c r="L748" i="21"/>
  <c r="O748" i="21" s="1"/>
  <c r="L760" i="21"/>
  <c r="O760" i="21" s="1"/>
  <c r="AG760" i="16"/>
  <c r="AG612" i="16"/>
  <c r="L612" i="21"/>
  <c r="O612" i="21" s="1"/>
  <c r="L575" i="21"/>
  <c r="O575" i="21" s="1"/>
  <c r="AG575" i="16"/>
  <c r="L882" i="21"/>
  <c r="O882" i="21" s="1"/>
  <c r="AG882" i="16"/>
  <c r="AG813" i="16"/>
  <c r="L813" i="21"/>
  <c r="O813" i="21" s="1"/>
  <c r="L184" i="21"/>
  <c r="O184" i="21" s="1"/>
  <c r="AG184" i="16"/>
  <c r="L1708" i="21"/>
  <c r="O1708" i="21" s="1"/>
  <c r="AG1708" i="16"/>
  <c r="AG892" i="16"/>
  <c r="L892" i="21"/>
  <c r="O892" i="21" s="1"/>
  <c r="L859" i="21"/>
  <c r="O859" i="21" s="1"/>
  <c r="AG859" i="16"/>
  <c r="L862" i="21"/>
  <c r="O862" i="21" s="1"/>
  <c r="AG862" i="16"/>
  <c r="L552" i="21"/>
  <c r="O552" i="21" s="1"/>
  <c r="AG552" i="16"/>
  <c r="AG349" i="16"/>
  <c r="L349" i="21"/>
  <c r="O349" i="21" s="1"/>
  <c r="L775" i="21"/>
  <c r="O775" i="21" s="1"/>
  <c r="AG775" i="16"/>
  <c r="L295" i="21"/>
  <c r="O295" i="21" s="1"/>
  <c r="AG295" i="16"/>
  <c r="AG68" i="16"/>
  <c r="L110" i="21"/>
  <c r="O110" i="21" s="1"/>
  <c r="L109" i="21"/>
  <c r="O109" i="21" s="1"/>
  <c r="L107" i="21"/>
  <c r="O107" i="21" s="1"/>
  <c r="L133" i="21"/>
  <c r="O133" i="21" s="1"/>
  <c r="L68" i="21"/>
  <c r="O68" i="21" s="1"/>
  <c r="L130" i="21"/>
  <c r="O130" i="21" s="1"/>
  <c r="L131" i="21"/>
  <c r="O131" i="21" s="1"/>
  <c r="L129" i="21"/>
  <c r="O129" i="21" s="1"/>
  <c r="L113" i="21"/>
  <c r="O113" i="21" s="1"/>
  <c r="L136" i="21"/>
  <c r="O136" i="21" s="1"/>
  <c r="L114" i="21"/>
  <c r="O114" i="21" s="1"/>
  <c r="L112" i="21"/>
  <c r="O112" i="21" s="1"/>
  <c r="L115" i="21"/>
  <c r="O115" i="21" s="1"/>
  <c r="L108" i="21"/>
  <c r="O108" i="21" s="1"/>
  <c r="L128" i="21"/>
  <c r="O128" i="21" s="1"/>
  <c r="AG884" i="16"/>
  <c r="L884" i="21"/>
  <c r="O884" i="21" s="1"/>
  <c r="L571" i="21"/>
  <c r="O571" i="21" s="1"/>
  <c r="AG571" i="16"/>
  <c r="L288" i="21"/>
  <c r="O288" i="21" s="1"/>
  <c r="AG288" i="16"/>
  <c r="L1062" i="21"/>
  <c r="O1062" i="21" s="1"/>
  <c r="AG1062" i="16"/>
  <c r="AG1463" i="16"/>
  <c r="O911" i="21"/>
  <c r="O920" i="21"/>
  <c r="AG188" i="16"/>
  <c r="AG319" i="16"/>
  <c r="AG492" i="16"/>
  <c r="AG565" i="16"/>
  <c r="AG466" i="16"/>
  <c r="AG186" i="16"/>
  <c r="AG1714" i="16"/>
  <c r="AG553" i="16"/>
  <c r="AG743" i="16"/>
  <c r="O1489" i="21"/>
  <c r="O1228" i="21"/>
  <c r="O1183" i="21"/>
  <c r="O1232" i="21"/>
  <c r="O1589" i="21"/>
  <c r="O1591" i="21"/>
  <c r="O1593" i="21"/>
  <c r="O1582" i="21"/>
  <c r="O126" i="21"/>
  <c r="O1226" i="21"/>
  <c r="O1185" i="21"/>
  <c r="O1498" i="21"/>
  <c r="O1189" i="21"/>
  <c r="S5" i="23"/>
  <c r="S74" i="23" s="1"/>
  <c r="S70" i="9"/>
  <c r="AB70" i="8"/>
  <c r="K9" i="25"/>
  <c r="K7" i="25"/>
  <c r="K13" i="25" s="1"/>
  <c r="K11" i="25"/>
  <c r="C15" i="25"/>
  <c r="C14" i="25"/>
  <c r="H14" i="25"/>
  <c r="H15" i="25"/>
  <c r="L790" i="21"/>
  <c r="O790" i="21" s="1"/>
  <c r="L667" i="21"/>
  <c r="O667" i="21" s="1"/>
  <c r="L788" i="21"/>
  <c r="O788" i="21" s="1"/>
  <c r="AG168" i="16"/>
  <c r="L312" i="21"/>
  <c r="O312" i="21" s="1"/>
  <c r="L1650" i="21"/>
  <c r="O1650" i="21" s="1"/>
  <c r="L1618" i="21"/>
  <c r="O1618" i="21" s="1"/>
  <c r="AG754" i="16"/>
  <c r="L366" i="21"/>
  <c r="O366" i="21" s="1"/>
  <c r="L416" i="21"/>
  <c r="O416" i="21" s="1"/>
  <c r="L284" i="21"/>
  <c r="O284" i="21" s="1"/>
  <c r="L335" i="21"/>
  <c r="O335" i="21" s="1"/>
  <c r="AG336" i="16"/>
  <c r="L1609" i="21"/>
  <c r="O1609" i="21" s="1"/>
  <c r="L1704" i="21"/>
  <c r="O1704" i="21" s="1"/>
  <c r="L1055" i="21"/>
  <c r="O1055" i="21" s="1"/>
  <c r="L326" i="21"/>
  <c r="O326" i="21" s="1"/>
  <c r="L313" i="21"/>
  <c r="O313" i="21" s="1"/>
  <c r="L1781" i="21"/>
  <c r="O1781" i="21" s="1"/>
  <c r="L767" i="21"/>
  <c r="O767" i="21" s="1"/>
  <c r="O1561" i="21"/>
  <c r="O1510" i="21"/>
  <c r="O1518" i="21"/>
  <c r="O1574" i="21"/>
  <c r="L482" i="21"/>
  <c r="O482" i="21" s="1"/>
  <c r="L792" i="21"/>
  <c r="O792" i="21" s="1"/>
  <c r="AG1771" i="16"/>
  <c r="AG1713" i="16"/>
  <c r="L878" i="21"/>
  <c r="O878" i="21" s="1"/>
  <c r="O1231" i="21"/>
  <c r="AG1027" i="16"/>
  <c r="L1030" i="21"/>
  <c r="O1030" i="21" s="1"/>
  <c r="AG674" i="16"/>
  <c r="L1749" i="21"/>
  <c r="O1749" i="21" s="1"/>
  <c r="L620" i="21"/>
  <c r="O620" i="21" s="1"/>
  <c r="L402" i="21"/>
  <c r="O402" i="21" s="1"/>
  <c r="L369" i="21"/>
  <c r="O369" i="21" s="1"/>
  <c r="L413" i="21"/>
  <c r="O413" i="21" s="1"/>
  <c r="AG885" i="16"/>
  <c r="L780" i="21"/>
  <c r="O780" i="21" s="1"/>
  <c r="L308" i="21"/>
  <c r="O308" i="21" s="1"/>
  <c r="L1641" i="21"/>
  <c r="O1641" i="21" s="1"/>
  <c r="L1820" i="21"/>
  <c r="O1820" i="21" s="1"/>
  <c r="L860" i="21"/>
  <c r="O860" i="21" s="1"/>
  <c r="L1442" i="21"/>
  <c r="O1442" i="21" s="1"/>
  <c r="L675" i="21"/>
  <c r="O675" i="21" s="1"/>
  <c r="L800" i="21"/>
  <c r="O800" i="21" s="1"/>
  <c r="L1626" i="21"/>
  <c r="O1626" i="21" s="1"/>
  <c r="L208" i="21"/>
  <c r="O208" i="21" s="1"/>
  <c r="O1568" i="21"/>
  <c r="L855" i="21"/>
  <c r="O855" i="21" s="1"/>
  <c r="AG1047" i="16"/>
  <c r="L1837" i="21"/>
  <c r="O1837" i="21" s="1"/>
  <c r="AG745" i="16"/>
  <c r="L422" i="21"/>
  <c r="O422" i="21" s="1"/>
  <c r="L410" i="21"/>
  <c r="O410" i="21" s="1"/>
  <c r="AG353" i="16"/>
  <c r="AG207" i="16"/>
  <c r="AG287" i="16"/>
  <c r="L1445" i="21"/>
  <c r="O1445" i="21" s="1"/>
  <c r="L474" i="21"/>
  <c r="O474" i="21" s="1"/>
  <c r="L280" i="21"/>
  <c r="O280" i="21" s="1"/>
  <c r="L59" i="21"/>
  <c r="O59" i="21" s="1"/>
  <c r="L798" i="21"/>
  <c r="O798" i="21" s="1"/>
  <c r="L473" i="21"/>
  <c r="O473" i="21" s="1"/>
  <c r="L487" i="21"/>
  <c r="O487" i="21" s="1"/>
  <c r="L328" i="21"/>
  <c r="O328" i="21" s="1"/>
  <c r="L1648" i="21"/>
  <c r="O1648" i="21" s="1"/>
  <c r="L51" i="21"/>
  <c r="O51" i="21" s="1"/>
  <c r="L891" i="21"/>
  <c r="O891" i="21" s="1"/>
  <c r="O1483" i="21"/>
  <c r="O1509" i="21"/>
  <c r="O1490" i="21"/>
  <c r="O1530" i="21"/>
  <c r="L682" i="21"/>
  <c r="O682" i="21" s="1"/>
  <c r="L758" i="21"/>
  <c r="O758" i="21" s="1"/>
  <c r="AG1436" i="16"/>
  <c r="AG591" i="16"/>
  <c r="AG167" i="16"/>
  <c r="AG618" i="16"/>
  <c r="AG1064" i="16"/>
  <c r="L695" i="21"/>
  <c r="O695" i="21" s="1"/>
  <c r="AG661" i="16"/>
  <c r="L1817" i="21"/>
  <c r="O1817" i="21" s="1"/>
  <c r="L964" i="21"/>
  <c r="O964" i="21" s="1"/>
  <c r="AG1455" i="16"/>
  <c r="AG1747" i="16"/>
  <c r="L1786" i="21"/>
  <c r="O1786" i="21" s="1"/>
  <c r="L65" i="21"/>
  <c r="O65" i="21" s="1"/>
  <c r="L352" i="21"/>
  <c r="O352" i="21" s="1"/>
  <c r="AG1780" i="16"/>
  <c r="L1724" i="21"/>
  <c r="O1724" i="21" s="1"/>
  <c r="L61" i="21"/>
  <c r="O61" i="21" s="1"/>
  <c r="AG740" i="16"/>
  <c r="L763" i="21"/>
  <c r="O763" i="21" s="1"/>
  <c r="AG1039" i="16"/>
  <c r="AG668" i="16"/>
  <c r="AG1629" i="16"/>
  <c r="AG205" i="16"/>
  <c r="L566" i="21"/>
  <c r="O566" i="21" s="1"/>
  <c r="AG212" i="16"/>
  <c r="L1791" i="21"/>
  <c r="O1791" i="21" s="1"/>
  <c r="L1706" i="21"/>
  <c r="O1706" i="21" s="1"/>
  <c r="AG766" i="16"/>
  <c r="L201" i="21"/>
  <c r="O201" i="21" s="1"/>
  <c r="L970" i="21"/>
  <c r="O970" i="21" s="1"/>
  <c r="AG1033" i="16"/>
  <c r="AG804" i="16"/>
  <c r="AG22" i="16"/>
  <c r="L858" i="21"/>
  <c r="O858" i="21" s="1"/>
  <c r="O1571" i="21"/>
  <c r="O1502" i="21"/>
  <c r="O1566" i="21"/>
  <c r="AG1041" i="16"/>
  <c r="AG700" i="16"/>
  <c r="O894" i="21"/>
  <c r="AG1711" i="16"/>
  <c r="L214" i="21"/>
  <c r="O214" i="21" s="1"/>
  <c r="L680" i="21"/>
  <c r="O680" i="21" s="1"/>
  <c r="L968" i="21"/>
  <c r="O968" i="21" s="1"/>
  <c r="L613" i="21"/>
  <c r="O613" i="21" s="1"/>
  <c r="L378" i="21"/>
  <c r="O378" i="21" s="1"/>
  <c r="AG296" i="16"/>
  <c r="O1533" i="21"/>
  <c r="O1569" i="21"/>
  <c r="O1528" i="21"/>
  <c r="O1560" i="21"/>
  <c r="AG690" i="16"/>
  <c r="L690" i="21"/>
  <c r="O690" i="21" s="1"/>
  <c r="AG589" i="16"/>
  <c r="L589" i="21"/>
  <c r="O589" i="21" s="1"/>
  <c r="AG782" i="16"/>
  <c r="L782" i="21"/>
  <c r="O782" i="21" s="1"/>
  <c r="AG270" i="16"/>
  <c r="L270" i="21"/>
  <c r="O270" i="21" s="1"/>
  <c r="AG1719" i="16"/>
  <c r="L1719" i="21"/>
  <c r="O1719" i="21" s="1"/>
  <c r="AG1715" i="16"/>
  <c r="L1715" i="21"/>
  <c r="O1715" i="21" s="1"/>
  <c r="AG799" i="16"/>
  <c r="L799" i="21"/>
  <c r="O799" i="21" s="1"/>
  <c r="AG501" i="16"/>
  <c r="L501" i="21"/>
  <c r="O501" i="21" s="1"/>
  <c r="AG179" i="16"/>
  <c r="L179" i="21"/>
  <c r="O179" i="21" s="1"/>
  <c r="AG1637" i="16"/>
  <c r="L1637" i="21"/>
  <c r="O1637" i="21" s="1"/>
  <c r="AG597" i="16"/>
  <c r="L597" i="21"/>
  <c r="O597" i="21" s="1"/>
  <c r="AG1746" i="16"/>
  <c r="L1746" i="21"/>
  <c r="O1746" i="21" s="1"/>
  <c r="AG771" i="16"/>
  <c r="L771" i="21"/>
  <c r="O771" i="21" s="1"/>
  <c r="AG282" i="16"/>
  <c r="L282" i="21"/>
  <c r="O282" i="21" s="1"/>
  <c r="AG615" i="16"/>
  <c r="L615" i="21"/>
  <c r="O615" i="21" s="1"/>
  <c r="AG294" i="16"/>
  <c r="L294" i="21"/>
  <c r="O294" i="21" s="1"/>
  <c r="L277" i="21"/>
  <c r="O277" i="21" s="1"/>
  <c r="L586" i="21"/>
  <c r="O586" i="21" s="1"/>
  <c r="L1640" i="21"/>
  <c r="O1640" i="21" s="1"/>
  <c r="O106" i="21"/>
  <c r="L12" i="21"/>
  <c r="O12" i="21" s="1"/>
  <c r="L24" i="21"/>
  <c r="O24" i="21" s="1"/>
  <c r="AG342" i="16"/>
  <c r="L975" i="21"/>
  <c r="O975" i="21" s="1"/>
  <c r="L291" i="21"/>
  <c r="O291" i="21" s="1"/>
  <c r="AG304" i="16"/>
  <c r="L1642" i="21"/>
  <c r="O1642" i="21" s="1"/>
  <c r="L1772" i="21"/>
  <c r="O1772" i="21" s="1"/>
  <c r="AG1444" i="16"/>
  <c r="L467" i="21"/>
  <c r="O467" i="21" s="1"/>
  <c r="AG484" i="16"/>
  <c r="AG301" i="16"/>
  <c r="AG1456" i="16"/>
  <c r="L1456" i="21"/>
  <c r="O1456" i="21" s="1"/>
  <c r="AG480" i="16"/>
  <c r="L480" i="21"/>
  <c r="O480" i="21" s="1"/>
  <c r="AG325" i="16"/>
  <c r="L325" i="21"/>
  <c r="O325" i="21" s="1"/>
  <c r="AG306" i="16"/>
  <c r="L306" i="21"/>
  <c r="O306" i="21" s="1"/>
  <c r="AG1696" i="16"/>
  <c r="L1696" i="21"/>
  <c r="O1696" i="21" s="1"/>
  <c r="AG1454" i="16"/>
  <c r="L1454" i="21"/>
  <c r="O1454" i="21" s="1"/>
  <c r="AG275" i="16"/>
  <c r="L275" i="21"/>
  <c r="O275" i="21" s="1"/>
  <c r="AG289" i="16"/>
  <c r="L289" i="21"/>
  <c r="O289" i="21" s="1"/>
  <c r="AG1769" i="16"/>
  <c r="L1769" i="21"/>
  <c r="O1769" i="21" s="1"/>
  <c r="AG746" i="16"/>
  <c r="L746" i="21"/>
  <c r="O746" i="21" s="1"/>
  <c r="AG742" i="16"/>
  <c r="L742" i="21"/>
  <c r="O742" i="21" s="1"/>
  <c r="L978" i="21"/>
  <c r="O978" i="21" s="1"/>
  <c r="L962" i="21"/>
  <c r="O962" i="21" s="1"/>
  <c r="L972" i="21"/>
  <c r="O972" i="21" s="1"/>
  <c r="L956" i="21"/>
  <c r="O956" i="21" s="1"/>
  <c r="L973" i="21"/>
  <c r="O973" i="21" s="1"/>
  <c r="L963" i="21"/>
  <c r="O963" i="21" s="1"/>
  <c r="L903" i="21"/>
  <c r="O903" i="21" s="1"/>
  <c r="L893" i="21"/>
  <c r="O893" i="21" s="1"/>
  <c r="L974" i="21"/>
  <c r="O974" i="21" s="1"/>
  <c r="L958" i="21"/>
  <c r="O958" i="21" s="1"/>
  <c r="L969" i="21"/>
  <c r="O969" i="21" s="1"/>
  <c r="L904" i="21"/>
  <c r="L971" i="21"/>
  <c r="O971" i="21" s="1"/>
  <c r="L959" i="21"/>
  <c r="O959" i="21" s="1"/>
  <c r="L976" i="21"/>
  <c r="O976" i="21" s="1"/>
  <c r="AG1826" i="16"/>
  <c r="L1826" i="21"/>
  <c r="O1826" i="21" s="1"/>
  <c r="AG329" i="16"/>
  <c r="L398" i="21"/>
  <c r="O398" i="21" s="1"/>
  <c r="L380" i="21"/>
  <c r="O380" i="21" s="1"/>
  <c r="L393" i="21"/>
  <c r="O393" i="21" s="1"/>
  <c r="L365" i="21"/>
  <c r="O365" i="21" s="1"/>
  <c r="L390" i="21"/>
  <c r="O390" i="21" s="1"/>
  <c r="L395" i="21"/>
  <c r="L387" i="21"/>
  <c r="O387" i="21" s="1"/>
  <c r="L386" i="21"/>
  <c r="O386" i="21" s="1"/>
  <c r="L379" i="21"/>
  <c r="O379" i="21" s="1"/>
  <c r="L401" i="21"/>
  <c r="O401" i="21" s="1"/>
  <c r="L392" i="21"/>
  <c r="O392" i="21" s="1"/>
  <c r="L364" i="21"/>
  <c r="O364" i="21" s="1"/>
  <c r="L389" i="21"/>
  <c r="O389" i="21" s="1"/>
  <c r="L361" i="21"/>
  <c r="O361" i="21" s="1"/>
  <c r="L382" i="21"/>
  <c r="O382" i="21" s="1"/>
  <c r="L363" i="21"/>
  <c r="O363" i="21" s="1"/>
  <c r="L362" i="21"/>
  <c r="O362" i="21" s="1"/>
  <c r="L358" i="21"/>
  <c r="O358" i="21" s="1"/>
  <c r="L329" i="21"/>
  <c r="O329" i="21" s="1"/>
  <c r="L397" i="21"/>
  <c r="O397" i="21" s="1"/>
  <c r="L388" i="21"/>
  <c r="O388" i="21" s="1"/>
  <c r="L360" i="21"/>
  <c r="O360" i="21" s="1"/>
  <c r="L385" i="21"/>
  <c r="O385" i="21" s="1"/>
  <c r="L357" i="21"/>
  <c r="O357" i="21" s="1"/>
  <c r="L355" i="21"/>
  <c r="O355" i="21" s="1"/>
  <c r="L394" i="21"/>
  <c r="O394" i="21" s="1"/>
  <c r="L359" i="21"/>
  <c r="O359" i="21" s="1"/>
  <c r="L383" i="21"/>
  <c r="O383" i="21" s="1"/>
  <c r="O928" i="21"/>
  <c r="L54" i="21"/>
  <c r="O54" i="21" s="1"/>
  <c r="AG192" i="16"/>
  <c r="AG756" i="16"/>
  <c r="L955" i="21"/>
  <c r="O955" i="21" s="1"/>
  <c r="L977" i="21"/>
  <c r="L801" i="21"/>
  <c r="O801" i="21" s="1"/>
  <c r="L399" i="21"/>
  <c r="O399" i="21" s="1"/>
  <c r="L400" i="21"/>
  <c r="O400" i="21" s="1"/>
  <c r="AG193" i="16"/>
  <c r="AG283" i="16"/>
  <c r="AG592" i="16"/>
  <c r="AG318" i="16"/>
  <c r="AG465" i="16"/>
  <c r="AG472" i="16"/>
  <c r="AG697" i="16"/>
  <c r="L1789" i="21"/>
  <c r="O1789" i="21" s="1"/>
  <c r="AG1822" i="16"/>
  <c r="L57" i="21"/>
  <c r="O57" i="21" s="1"/>
  <c r="AG864" i="16"/>
  <c r="L330" i="21"/>
  <c r="O330" i="21" s="1"/>
  <c r="L867" i="21"/>
  <c r="O867" i="21" s="1"/>
  <c r="AG664" i="16"/>
  <c r="L593" i="21"/>
  <c r="O593" i="21" s="1"/>
  <c r="AG1651" i="16"/>
  <c r="L1616" i="21"/>
  <c r="O1616" i="21" s="1"/>
  <c r="L1834" i="21"/>
  <c r="O1834" i="21" s="1"/>
  <c r="AG560" i="16"/>
  <c r="L773" i="21"/>
  <c r="O773" i="21" s="1"/>
  <c r="L216" i="21"/>
  <c r="O216" i="21" s="1"/>
  <c r="L957" i="21"/>
  <c r="L979" i="21"/>
  <c r="O979" i="21" s="1"/>
  <c r="L980" i="21"/>
  <c r="O980" i="21" s="1"/>
  <c r="L573" i="21"/>
  <c r="O573" i="21" s="1"/>
  <c r="L1447" i="21"/>
  <c r="O1447" i="21" s="1"/>
  <c r="L190" i="21"/>
  <c r="O190" i="21" s="1"/>
  <c r="L354" i="21"/>
  <c r="O354" i="21" s="1"/>
  <c r="L381" i="21"/>
  <c r="O381" i="21" s="1"/>
  <c r="L483" i="21"/>
  <c r="O483" i="21" s="1"/>
  <c r="L20" i="21"/>
  <c r="O20" i="21" s="1"/>
  <c r="AG563" i="16"/>
  <c r="AG1040" i="16"/>
  <c r="L781" i="21"/>
  <c r="O781" i="21" s="1"/>
  <c r="L175" i="21"/>
  <c r="O175" i="21" s="1"/>
  <c r="AG1783" i="16"/>
  <c r="L1611" i="21"/>
  <c r="O1611" i="21" s="1"/>
  <c r="AG1728" i="16"/>
  <c r="AG768" i="16"/>
  <c r="AG1058" i="16"/>
  <c r="L1058" i="21"/>
  <c r="O1058" i="21" s="1"/>
  <c r="AG1633" i="16"/>
  <c r="L1633" i="21"/>
  <c r="O1633" i="21" s="1"/>
  <c r="AG1622" i="16"/>
  <c r="L1622" i="21"/>
  <c r="O1622" i="21" s="1"/>
  <c r="AG14" i="16"/>
  <c r="L14" i="21"/>
  <c r="O14" i="21" s="1"/>
  <c r="AG272" i="16"/>
  <c r="L272" i="21"/>
  <c r="O272" i="21" s="1"/>
  <c r="AG502" i="16"/>
  <c r="L502" i="21"/>
  <c r="O502" i="21" s="1"/>
  <c r="AG810" i="16"/>
  <c r="L810" i="21"/>
  <c r="O810" i="21" s="1"/>
  <c r="AG687" i="16"/>
  <c r="L687" i="21"/>
  <c r="O687" i="21" s="1"/>
  <c r="AG1776" i="16"/>
  <c r="L1776" i="21"/>
  <c r="O1776" i="21" s="1"/>
  <c r="AG1773" i="16"/>
  <c r="L1773" i="21"/>
  <c r="O1773" i="21" s="1"/>
  <c r="AG596" i="16"/>
  <c r="L596" i="21"/>
  <c r="O596" i="21" s="1"/>
  <c r="AG594" i="16"/>
  <c r="L594" i="21"/>
  <c r="O594" i="21" s="1"/>
  <c r="AG344" i="16"/>
  <c r="L344" i="21"/>
  <c r="O344" i="21" s="1"/>
  <c r="AG55" i="16"/>
  <c r="L55" i="21"/>
  <c r="O55" i="21" s="1"/>
  <c r="AG871" i="16"/>
  <c r="L871" i="21"/>
  <c r="O871" i="21" s="1"/>
  <c r="AG1722" i="16"/>
  <c r="L1722" i="21"/>
  <c r="O1722" i="21" s="1"/>
  <c r="O905" i="21"/>
  <c r="O135" i="21"/>
  <c r="O910" i="21"/>
  <c r="AG1635" i="16"/>
  <c r="AG567" i="16"/>
  <c r="L960" i="21"/>
  <c r="O960" i="21" s="1"/>
  <c r="L965" i="21"/>
  <c r="O965" i="21" s="1"/>
  <c r="L961" i="21"/>
  <c r="O961" i="21" s="1"/>
  <c r="L966" i="21"/>
  <c r="O966" i="21" s="1"/>
  <c r="AG659" i="16"/>
  <c r="L391" i="21"/>
  <c r="O391" i="21" s="1"/>
  <c r="L396" i="21"/>
  <c r="O396" i="21" s="1"/>
  <c r="AG872" i="16"/>
  <c r="AG1054" i="16"/>
  <c r="L173" i="21"/>
  <c r="O173" i="21" s="1"/>
  <c r="AG1730" i="16"/>
  <c r="AG1736" i="16"/>
  <c r="O2051" i="21"/>
  <c r="O2044" i="21"/>
  <c r="O1237" i="21"/>
  <c r="O1238" i="21"/>
  <c r="O425" i="21"/>
  <c r="O1581" i="21"/>
  <c r="O1583" i="21"/>
  <c r="O1499" i="21"/>
  <c r="O1196" i="21"/>
  <c r="O1198" i="21"/>
  <c r="O1220" i="21"/>
  <c r="O1557" i="21"/>
  <c r="O1559" i="21"/>
  <c r="O147" i="21"/>
  <c r="O1225" i="21"/>
  <c r="L1449" i="21"/>
  <c r="O1449" i="21" s="1"/>
  <c r="L806" i="21"/>
  <c r="O806" i="21" s="1"/>
  <c r="L278" i="21"/>
  <c r="O278" i="21" s="1"/>
  <c r="L182" i="21"/>
  <c r="O182" i="21" s="1"/>
  <c r="L678" i="21"/>
  <c r="O678" i="21" s="1"/>
  <c r="L770" i="21"/>
  <c r="O770" i="21" s="1"/>
  <c r="L290" i="21"/>
  <c r="O290" i="21" s="1"/>
  <c r="L404" i="21"/>
  <c r="O404" i="21" s="1"/>
  <c r="L367" i="21"/>
  <c r="O367" i="21" s="1"/>
  <c r="L411" i="21"/>
  <c r="O411" i="21" s="1"/>
  <c r="L374" i="21"/>
  <c r="O374" i="21" s="1"/>
  <c r="L373" i="21"/>
  <c r="O373" i="21" s="1"/>
  <c r="L412" i="21"/>
  <c r="O412" i="21" s="1"/>
  <c r="L376" i="21"/>
  <c r="O376" i="21" s="1"/>
  <c r="L423" i="21"/>
  <c r="O423" i="21" s="1"/>
  <c r="L417" i="21"/>
  <c r="O417" i="21" s="1"/>
  <c r="L874" i="21"/>
  <c r="O874" i="21" s="1"/>
  <c r="L581" i="21"/>
  <c r="O581" i="21" s="1"/>
  <c r="L621" i="21"/>
  <c r="O621" i="21" s="1"/>
  <c r="O1496" i="21"/>
  <c r="O1504" i="21"/>
  <c r="L671" i="21"/>
  <c r="O671" i="21" s="1"/>
  <c r="L469" i="21"/>
  <c r="O469" i="21" s="1"/>
  <c r="L689" i="21"/>
  <c r="O689" i="21" s="1"/>
  <c r="L1770" i="21"/>
  <c r="O1770" i="21" s="1"/>
  <c r="O1218" i="21"/>
  <c r="O1187" i="21"/>
  <c r="O1211" i="21"/>
  <c r="O1224" i="21"/>
  <c r="O1243" i="21"/>
  <c r="L1739" i="21"/>
  <c r="O1739" i="21" s="1"/>
  <c r="L1792" i="21"/>
  <c r="O1792" i="21" s="1"/>
  <c r="L1727" i="21"/>
  <c r="O1727" i="21" s="1"/>
  <c r="L1695" i="21"/>
  <c r="O1695" i="21" s="1"/>
  <c r="L1821" i="21"/>
  <c r="O1821" i="21" s="1"/>
  <c r="L1725" i="21"/>
  <c r="O1725" i="21" s="1"/>
  <c r="L1720" i="21"/>
  <c r="O1720" i="21" s="1"/>
  <c r="L408" i="21"/>
  <c r="O408" i="21" s="1"/>
  <c r="L370" i="21"/>
  <c r="O370" i="21" s="1"/>
  <c r="L415" i="21"/>
  <c r="O415" i="21" s="1"/>
  <c r="L406" i="21"/>
  <c r="O406" i="21" s="1"/>
  <c r="L377" i="21"/>
  <c r="O377" i="21" s="1"/>
  <c r="L419" i="21"/>
  <c r="O419" i="21" s="1"/>
  <c r="L407" i="21"/>
  <c r="O407" i="21" s="1"/>
  <c r="L405" i="21"/>
  <c r="O405" i="21" s="1"/>
  <c r="L421" i="21"/>
  <c r="O421" i="21" s="1"/>
  <c r="L490" i="21"/>
  <c r="O490" i="21" s="1"/>
  <c r="L258" i="21"/>
  <c r="O258" i="21" s="1"/>
  <c r="L663" i="21"/>
  <c r="O663" i="21" s="1"/>
  <c r="L257" i="21"/>
  <c r="O257" i="21" s="1"/>
  <c r="L464" i="21"/>
  <c r="O464" i="21" s="1"/>
  <c r="L693" i="21"/>
  <c r="O693" i="21" s="1"/>
  <c r="L495" i="21"/>
  <c r="O495" i="21" s="1"/>
  <c r="L279" i="21"/>
  <c r="O279" i="21" s="1"/>
  <c r="L1707" i="21"/>
  <c r="O1707" i="21" s="1"/>
  <c r="L4" i="21"/>
  <c r="O4" i="21" s="1"/>
  <c r="L286" i="21"/>
  <c r="O286" i="21" s="1"/>
  <c r="L863" i="21"/>
  <c r="O863" i="21" s="1"/>
  <c r="L583" i="21"/>
  <c r="O583" i="21" s="1"/>
  <c r="L217" i="21"/>
  <c r="O217" i="21" s="1"/>
  <c r="L866" i="21"/>
  <c r="O866" i="21" s="1"/>
  <c r="L332" i="21"/>
  <c r="O332" i="21" s="1"/>
  <c r="L219" i="21"/>
  <c r="O219" i="21" s="1"/>
  <c r="L204" i="21"/>
  <c r="O204" i="21" s="1"/>
  <c r="L1065" i="21"/>
  <c r="O1065" i="21" s="1"/>
  <c r="L795" i="21"/>
  <c r="O795" i="21" s="1"/>
  <c r="L171" i="21"/>
  <c r="O171" i="21" s="1"/>
  <c r="L263" i="21"/>
  <c r="O263" i="21" s="1"/>
  <c r="L1631" i="21"/>
  <c r="O1631" i="21" s="1"/>
  <c r="L1835" i="21"/>
  <c r="O1835" i="21" s="1"/>
  <c r="L1703" i="21"/>
  <c r="O1703" i="21" s="1"/>
  <c r="L1718" i="21"/>
  <c r="O1718" i="21" s="1"/>
  <c r="L1733" i="21"/>
  <c r="O1733" i="21" s="1"/>
  <c r="L1768" i="21"/>
  <c r="O1768" i="21" s="1"/>
  <c r="L298" i="21"/>
  <c r="O298" i="21" s="1"/>
  <c r="L769" i="21"/>
  <c r="O769" i="21" s="1"/>
  <c r="L619" i="21"/>
  <c r="O619" i="21" s="1"/>
  <c r="L881" i="21"/>
  <c r="O881" i="21" s="1"/>
  <c r="L339" i="21"/>
  <c r="O339" i="21" s="1"/>
  <c r="L577" i="21"/>
  <c r="O577" i="21" s="1"/>
  <c r="L886" i="21"/>
  <c r="O886" i="21" s="1"/>
  <c r="O1573" i="21"/>
  <c r="O1602" i="21"/>
  <c r="L677" i="21"/>
  <c r="O677" i="21" s="1"/>
  <c r="L559" i="21"/>
  <c r="O559" i="21" s="1"/>
  <c r="L772" i="21"/>
  <c r="O772" i="21" s="1"/>
  <c r="O1205" i="21"/>
  <c r="O915" i="21"/>
  <c r="L353" i="21"/>
  <c r="O353" i="21" s="1"/>
  <c r="L418" i="21"/>
  <c r="O418" i="21" s="1"/>
  <c r="L371" i="21"/>
  <c r="O371" i="21" s="1"/>
  <c r="L420" i="21"/>
  <c r="O420" i="21" s="1"/>
  <c r="L424" i="21"/>
  <c r="O424" i="21" s="1"/>
  <c r="L403" i="21"/>
  <c r="O403" i="21" s="1"/>
  <c r="L368" i="21"/>
  <c r="O368" i="21" s="1"/>
  <c r="L414" i="21"/>
  <c r="O414" i="21" s="1"/>
  <c r="L409" i="21"/>
  <c r="O409" i="21" s="1"/>
  <c r="L1043" i="21"/>
  <c r="O1043" i="21" s="1"/>
  <c r="O1485" i="21"/>
  <c r="O1204" i="21"/>
  <c r="O1236" i="21"/>
  <c r="O1191" i="21"/>
  <c r="O1181" i="21"/>
  <c r="O146" i="21"/>
  <c r="O1192" i="21"/>
  <c r="O1193" i="21"/>
  <c r="AG1057" i="16"/>
  <c r="AG1439" i="16"/>
  <c r="O2042" i="21"/>
  <c r="L1061" i="21"/>
  <c r="O1061" i="21" s="1"/>
  <c r="L1034" i="21"/>
  <c r="O1034" i="21" s="1"/>
  <c r="L1032" i="21"/>
  <c r="O1032" i="21" s="1"/>
  <c r="O926" i="21"/>
  <c r="L1050" i="21"/>
  <c r="O1050" i="21" s="1"/>
  <c r="L1461" i="21"/>
  <c r="O1461" i="21" s="1"/>
  <c r="L1452" i="21"/>
  <c r="O1452" i="21" s="1"/>
  <c r="O913" i="21"/>
  <c r="O1242" i="21"/>
  <c r="O111" i="21"/>
  <c r="O134" i="21"/>
  <c r="L1053" i="21"/>
  <c r="O1053" i="21" s="1"/>
  <c r="L1063" i="21"/>
  <c r="O1063" i="21" s="1"/>
  <c r="L1028" i="21"/>
  <c r="O1028" i="21" s="1"/>
  <c r="L1458" i="21"/>
  <c r="O1458" i="21" s="1"/>
  <c r="O957" i="21"/>
  <c r="L1049" i="21"/>
  <c r="O1049" i="21" s="1"/>
  <c r="L1051" i="21"/>
  <c r="O1051" i="21" s="1"/>
  <c r="L1044" i="21"/>
  <c r="O1044" i="21" s="1"/>
  <c r="L60" i="21"/>
  <c r="O60" i="21" s="1"/>
  <c r="O2048" i="21"/>
  <c r="L1045" i="21"/>
  <c r="O1045" i="21" s="1"/>
  <c r="L1052" i="21"/>
  <c r="O1052" i="21" s="1"/>
  <c r="L1056" i="21"/>
  <c r="O1056" i="21" s="1"/>
  <c r="L1627" i="21"/>
  <c r="O1627" i="21" s="1"/>
  <c r="L1638" i="21"/>
  <c r="O1638" i="21" s="1"/>
  <c r="L1649" i="21"/>
  <c r="O1649" i="21" s="1"/>
  <c r="L1784" i="21"/>
  <c r="O1784" i="21" s="1"/>
  <c r="L66" i="21"/>
  <c r="O66" i="21" s="1"/>
  <c r="O1202" i="21"/>
  <c r="O923" i="21"/>
  <c r="O917" i="21"/>
  <c r="O906" i="21"/>
  <c r="O372" i="21"/>
  <c r="O904" i="21"/>
  <c r="O395" i="21"/>
  <c r="O2062" i="21"/>
  <c r="O2069" i="21"/>
  <c r="O1219" i="21"/>
  <c r="O895" i="21"/>
  <c r="O922" i="21"/>
  <c r="O375" i="21"/>
  <c r="O356" i="21"/>
  <c r="O2041" i="21"/>
  <c r="O930" i="21"/>
  <c r="O977" i="21"/>
  <c r="O167" i="21"/>
  <c r="O1608" i="21"/>
  <c r="O2074" i="21"/>
  <c r="O2" i="21"/>
  <c r="O981" i="21"/>
  <c r="Y53" i="13"/>
  <c r="AB5" i="13"/>
  <c r="G5" i="30" s="1"/>
  <c r="Y53" i="12"/>
  <c r="AB5" i="12"/>
  <c r="AB53" i="12" s="1"/>
  <c r="AP7" i="16" l="1"/>
  <c r="AQ7" i="16" s="1"/>
  <c r="AC12" i="21"/>
  <c r="W12" i="21"/>
  <c r="T12" i="21"/>
  <c r="K13" i="26"/>
  <c r="AP2" i="16"/>
  <c r="AQ2" i="16" s="1"/>
  <c r="AC6" i="21"/>
  <c r="AC11" i="21"/>
  <c r="AC10" i="21"/>
  <c r="K15" i="25"/>
  <c r="K14" i="25"/>
  <c r="AP4" i="16"/>
  <c r="AQ4" i="16" s="1"/>
  <c r="I7" i="25"/>
  <c r="I13" i="25" s="1"/>
  <c r="I11" i="25"/>
  <c r="I9" i="25"/>
  <c r="AC9" i="21"/>
  <c r="AP3" i="16"/>
  <c r="AQ3" i="16" s="1"/>
  <c r="AC7" i="21"/>
  <c r="T7" i="21"/>
  <c r="AP5" i="16"/>
  <c r="AQ5" i="16" s="1"/>
  <c r="AP6" i="16"/>
  <c r="AQ6" i="16" s="1"/>
  <c r="T9" i="21"/>
  <c r="T6" i="21"/>
  <c r="T11" i="21"/>
  <c r="W10" i="21"/>
  <c r="T10" i="21"/>
  <c r="W9" i="21"/>
  <c r="W6" i="21"/>
  <c r="W11" i="21"/>
  <c r="W7" i="21"/>
  <c r="AB53" i="13"/>
  <c r="Z12" i="21" l="1"/>
  <c r="AH12" i="21"/>
  <c r="I15" i="25"/>
  <c r="I14" i="25"/>
  <c r="Z6" i="21"/>
  <c r="AH6" i="21" s="1"/>
  <c r="AP8" i="16"/>
  <c r="AQ8" i="16" s="1"/>
  <c r="Z7" i="21"/>
  <c r="AH7" i="21" s="1"/>
  <c r="Z9" i="21"/>
  <c r="AH9" i="21" s="1"/>
  <c r="AP9" i="16"/>
  <c r="Z11" i="21"/>
  <c r="AH11" i="21" s="1"/>
  <c r="Z10" i="21"/>
  <c r="AH10" i="21" s="1"/>
  <c r="AQ9" i="16" l="1"/>
  <c r="AP10" i="16"/>
  <c r="AQ10" i="16" s="1"/>
  <c r="J2" i="21"/>
  <c r="K2" i="21"/>
  <c r="M2" i="21"/>
  <c r="N2" i="21"/>
  <c r="J3" i="21"/>
  <c r="K3" i="21"/>
  <c r="M3" i="21"/>
  <c r="N3" i="21"/>
  <c r="J4" i="21"/>
  <c r="K4" i="21"/>
  <c r="M4" i="21"/>
  <c r="N4" i="21"/>
  <c r="J5" i="21"/>
  <c r="K5" i="21"/>
  <c r="M5" i="21"/>
  <c r="N5" i="21"/>
  <c r="J6" i="21"/>
  <c r="K6" i="21"/>
  <c r="M6" i="21"/>
  <c r="N6" i="21"/>
  <c r="R6" i="21"/>
  <c r="S6" i="21"/>
  <c r="U6" i="21"/>
  <c r="V6" i="21"/>
  <c r="X6" i="21"/>
  <c r="Y6" i="21"/>
  <c r="AA6" i="21"/>
  <c r="AB6" i="21"/>
  <c r="AD6" i="21"/>
  <c r="AE6" i="21"/>
  <c r="AF6" i="21"/>
  <c r="AG6" i="21"/>
  <c r="AI6" i="21"/>
  <c r="AJ6" i="21"/>
  <c r="J7" i="21"/>
  <c r="K7" i="21"/>
  <c r="M7" i="21"/>
  <c r="N7" i="21"/>
  <c r="R7" i="21"/>
  <c r="S7" i="21"/>
  <c r="U7" i="21"/>
  <c r="V7" i="21"/>
  <c r="X7" i="21"/>
  <c r="Y7" i="21"/>
  <c r="AA7" i="21"/>
  <c r="AB7" i="21"/>
  <c r="AD7" i="21"/>
  <c r="AE7" i="21"/>
  <c r="AF7" i="21"/>
  <c r="AG7" i="21"/>
  <c r="AI7" i="21"/>
  <c r="AJ7" i="21"/>
  <c r="J8" i="21"/>
  <c r="K8" i="21"/>
  <c r="M8" i="21"/>
  <c r="N8" i="21"/>
  <c r="J9" i="21"/>
  <c r="K9" i="21"/>
  <c r="M9" i="21"/>
  <c r="N9" i="21"/>
  <c r="S9" i="21"/>
  <c r="V9" i="21"/>
  <c r="Y9" i="21"/>
  <c r="AB9" i="21"/>
  <c r="AE9" i="21"/>
  <c r="AG9" i="21"/>
  <c r="AJ9" i="21"/>
  <c r="J10" i="21"/>
  <c r="K10" i="21"/>
  <c r="M10" i="21"/>
  <c r="N10" i="21"/>
  <c r="S10" i="21"/>
  <c r="V10" i="21"/>
  <c r="Y10" i="21"/>
  <c r="AB10" i="21"/>
  <c r="AE10" i="21"/>
  <c r="AG10" i="21"/>
  <c r="AJ10" i="21"/>
  <c r="J11" i="21"/>
  <c r="K11" i="21"/>
  <c r="M11" i="21"/>
  <c r="N11" i="21"/>
  <c r="S11" i="21"/>
  <c r="V11" i="21"/>
  <c r="Y11" i="21"/>
  <c r="AB11" i="21"/>
  <c r="AE11" i="21"/>
  <c r="AG11" i="21"/>
  <c r="AJ11" i="21"/>
  <c r="K12" i="21"/>
  <c r="N12" i="21"/>
  <c r="S12" i="21"/>
  <c r="V12" i="21"/>
  <c r="Y12" i="21"/>
  <c r="AB12" i="21"/>
  <c r="AG12" i="21"/>
  <c r="AJ12" i="21"/>
  <c r="K13" i="21"/>
  <c r="N13" i="21"/>
  <c r="K14" i="21"/>
  <c r="N14" i="21"/>
  <c r="K15" i="21"/>
  <c r="N15" i="21"/>
  <c r="K16" i="21"/>
  <c r="N16" i="21"/>
  <c r="K17" i="21"/>
  <c r="N17" i="21"/>
  <c r="K18" i="21"/>
  <c r="N18" i="21"/>
  <c r="K19" i="21"/>
  <c r="N19" i="21"/>
  <c r="K20" i="21"/>
  <c r="N20" i="21"/>
  <c r="K21" i="21"/>
  <c r="N21" i="21"/>
  <c r="K22" i="21"/>
  <c r="N22" i="21"/>
  <c r="K23" i="21"/>
  <c r="N23" i="21"/>
  <c r="K24" i="21"/>
  <c r="N24" i="21"/>
  <c r="J25" i="21"/>
  <c r="M25" i="21"/>
  <c r="J26" i="21"/>
  <c r="M26" i="21"/>
  <c r="J27" i="21"/>
  <c r="M27" i="21"/>
  <c r="J28" i="21"/>
  <c r="M28" i="21"/>
  <c r="J29" i="21"/>
  <c r="M29" i="21"/>
  <c r="J30" i="21"/>
  <c r="M30" i="21"/>
  <c r="J31" i="21"/>
  <c r="M31" i="21"/>
  <c r="J32" i="21"/>
  <c r="M32" i="21"/>
  <c r="J33" i="21"/>
  <c r="M33" i="21"/>
  <c r="J34" i="21"/>
  <c r="M34" i="21"/>
  <c r="J35" i="21"/>
  <c r="M35" i="21"/>
  <c r="J36" i="21"/>
  <c r="M36" i="21"/>
  <c r="K37" i="21"/>
  <c r="N37" i="21"/>
  <c r="K38" i="21"/>
  <c r="N38" i="21"/>
  <c r="K39" i="21"/>
  <c r="N39" i="21"/>
  <c r="K40" i="21"/>
  <c r="N40" i="21"/>
  <c r="K41" i="21"/>
  <c r="N41" i="21"/>
  <c r="K42" i="21"/>
  <c r="N42" i="21"/>
  <c r="K43" i="21"/>
  <c r="N43" i="21"/>
  <c r="K44" i="21"/>
  <c r="N44" i="21"/>
  <c r="K45" i="21"/>
  <c r="N45" i="21"/>
  <c r="K46" i="21"/>
  <c r="N46" i="21"/>
  <c r="K47" i="21"/>
  <c r="N47" i="21"/>
  <c r="K48" i="21"/>
  <c r="N48" i="21"/>
  <c r="K49" i="21"/>
  <c r="N49" i="21"/>
  <c r="K50" i="21"/>
  <c r="N50" i="21"/>
  <c r="K51" i="21"/>
  <c r="N51" i="21"/>
  <c r="K52" i="21"/>
  <c r="N52" i="21"/>
  <c r="K53" i="21"/>
  <c r="N53" i="21"/>
  <c r="K54" i="21"/>
  <c r="N54" i="21"/>
  <c r="K55" i="21"/>
  <c r="N55" i="21"/>
  <c r="K56" i="21"/>
  <c r="N56" i="21"/>
  <c r="K57" i="21"/>
  <c r="N57" i="21"/>
  <c r="K58" i="21"/>
  <c r="N58" i="21"/>
  <c r="K59" i="21"/>
  <c r="N59" i="21"/>
  <c r="K60" i="21"/>
  <c r="N60" i="21"/>
  <c r="K61" i="21"/>
  <c r="N61" i="21"/>
  <c r="K62" i="21"/>
  <c r="N62" i="21"/>
  <c r="K63" i="21"/>
  <c r="N63" i="21"/>
  <c r="K64" i="21"/>
  <c r="N64" i="21"/>
  <c r="K65" i="21"/>
  <c r="N65" i="21"/>
  <c r="K66" i="21"/>
  <c r="N66" i="21"/>
  <c r="K67" i="21"/>
  <c r="N67" i="21"/>
  <c r="K68" i="21"/>
  <c r="N68" i="21"/>
  <c r="J69" i="21"/>
  <c r="M69" i="21"/>
  <c r="J70" i="21"/>
  <c r="M70" i="21"/>
  <c r="J71" i="21"/>
  <c r="M71" i="21"/>
  <c r="J72" i="21"/>
  <c r="M72" i="21"/>
  <c r="J73" i="21"/>
  <c r="M73" i="21"/>
  <c r="J74" i="21"/>
  <c r="M74" i="21"/>
  <c r="J75" i="21"/>
  <c r="M75" i="21"/>
  <c r="J76" i="21"/>
  <c r="M76" i="21"/>
  <c r="J77" i="21"/>
  <c r="M77" i="21"/>
  <c r="J78" i="21"/>
  <c r="M78" i="21"/>
  <c r="J79" i="21"/>
  <c r="M79" i="21"/>
  <c r="J80" i="21"/>
  <c r="M80" i="21"/>
  <c r="J81" i="21"/>
  <c r="M81" i="21"/>
  <c r="J82" i="21"/>
  <c r="M82" i="21"/>
  <c r="J83" i="21"/>
  <c r="M83" i="21"/>
  <c r="J84" i="21"/>
  <c r="M84" i="21"/>
  <c r="J85" i="21"/>
  <c r="M85" i="21"/>
  <c r="J86" i="21"/>
  <c r="M86" i="21"/>
  <c r="K87" i="21"/>
  <c r="N87" i="21"/>
  <c r="K88" i="21"/>
  <c r="N88" i="21"/>
  <c r="K89" i="21"/>
  <c r="N89" i="21"/>
  <c r="K90" i="21"/>
  <c r="N90" i="21"/>
  <c r="K91" i="21"/>
  <c r="N91" i="21"/>
  <c r="K92" i="21"/>
  <c r="N92" i="21"/>
  <c r="K93" i="21"/>
  <c r="N93" i="21"/>
  <c r="K94" i="21"/>
  <c r="N94" i="21"/>
  <c r="K95" i="21"/>
  <c r="N95" i="21"/>
  <c r="K96" i="21"/>
  <c r="N96" i="21"/>
  <c r="K97" i="21"/>
  <c r="N97" i="21"/>
  <c r="K98" i="21"/>
  <c r="N98" i="21"/>
  <c r="K99" i="21"/>
  <c r="N99" i="21"/>
  <c r="K100" i="21"/>
  <c r="N100" i="21"/>
  <c r="K101" i="21"/>
  <c r="N101" i="21"/>
  <c r="K102" i="21"/>
  <c r="N102" i="21"/>
  <c r="K103" i="21"/>
  <c r="N103" i="21"/>
  <c r="K104" i="21"/>
  <c r="N104" i="21"/>
  <c r="K105" i="21"/>
  <c r="N105" i="21"/>
  <c r="K106" i="21"/>
  <c r="N106" i="21"/>
  <c r="K107" i="21"/>
  <c r="N107" i="21"/>
  <c r="K108" i="21"/>
  <c r="N108" i="21"/>
  <c r="K109" i="21"/>
  <c r="N109" i="21"/>
  <c r="K110" i="21"/>
  <c r="N110" i="21"/>
  <c r="K111" i="21"/>
  <c r="N111" i="21"/>
  <c r="K112" i="21"/>
  <c r="N112" i="21"/>
  <c r="K113" i="21"/>
  <c r="N113" i="21"/>
  <c r="K114" i="21"/>
  <c r="N114" i="21"/>
  <c r="K115" i="21"/>
  <c r="N115" i="21"/>
  <c r="J116" i="21"/>
  <c r="M116" i="21"/>
  <c r="J117" i="21"/>
  <c r="M117" i="21"/>
  <c r="J118" i="21"/>
  <c r="M118" i="21"/>
  <c r="J119" i="21"/>
  <c r="M119" i="21"/>
  <c r="J120" i="21"/>
  <c r="M120" i="21"/>
  <c r="J121" i="21"/>
  <c r="M121" i="21"/>
  <c r="K122" i="21"/>
  <c r="N122" i="21"/>
  <c r="K123" i="21"/>
  <c r="N123" i="21"/>
  <c r="K124" i="21"/>
  <c r="N124" i="21"/>
  <c r="K125" i="21"/>
  <c r="N125" i="21"/>
  <c r="K126" i="21"/>
  <c r="N126" i="21"/>
  <c r="K127" i="21"/>
  <c r="N127" i="21"/>
  <c r="K128" i="21"/>
  <c r="N128" i="21"/>
  <c r="K129" i="21"/>
  <c r="N129" i="21"/>
  <c r="K130" i="21"/>
  <c r="N130" i="21"/>
  <c r="K131" i="21"/>
  <c r="N131" i="21"/>
  <c r="K132" i="21"/>
  <c r="N132" i="21"/>
  <c r="K133" i="21"/>
  <c r="N133" i="21"/>
  <c r="K134" i="21"/>
  <c r="N134" i="21"/>
  <c r="K135" i="21"/>
  <c r="N135" i="21"/>
  <c r="K136" i="21"/>
  <c r="N136" i="21"/>
  <c r="J137" i="21"/>
  <c r="M137" i="21"/>
  <c r="J138" i="21"/>
  <c r="M138" i="21"/>
  <c r="J139" i="21"/>
  <c r="M139" i="21"/>
  <c r="J140" i="21"/>
  <c r="M140" i="21"/>
  <c r="J141" i="21"/>
  <c r="M141" i="21"/>
  <c r="J142" i="21"/>
  <c r="M142" i="21"/>
  <c r="J143" i="21"/>
  <c r="M143" i="21"/>
  <c r="J144" i="21"/>
  <c r="M144" i="21"/>
  <c r="J145" i="21"/>
  <c r="M145" i="21"/>
  <c r="K146" i="21"/>
  <c r="N146" i="21"/>
  <c r="K147" i="21"/>
  <c r="N147" i="21"/>
  <c r="K148" i="21"/>
  <c r="N148" i="21"/>
  <c r="K149" i="21"/>
  <c r="N149" i="21"/>
  <c r="K150" i="21"/>
  <c r="N150" i="21"/>
  <c r="K151" i="21"/>
  <c r="N151" i="21"/>
  <c r="K152" i="21"/>
  <c r="N152" i="21"/>
  <c r="K153" i="21"/>
  <c r="N153" i="21"/>
  <c r="K154" i="21"/>
  <c r="N154" i="21"/>
  <c r="J155" i="21"/>
  <c r="M155" i="21"/>
  <c r="J156" i="21"/>
  <c r="M156" i="21"/>
  <c r="J157" i="21"/>
  <c r="M157" i="21"/>
  <c r="J158" i="21"/>
  <c r="M158" i="21"/>
  <c r="J159" i="21"/>
  <c r="M159" i="21"/>
  <c r="J160" i="21"/>
  <c r="M160" i="21"/>
  <c r="J161" i="21"/>
  <c r="M161" i="21"/>
  <c r="J162" i="21"/>
  <c r="M162" i="21"/>
  <c r="J163" i="21"/>
  <c r="M163" i="21"/>
  <c r="J164" i="21"/>
  <c r="M164" i="21"/>
  <c r="J165" i="21"/>
  <c r="M165" i="21"/>
  <c r="J166" i="21"/>
  <c r="M166" i="21"/>
  <c r="J167" i="21"/>
  <c r="K167" i="21"/>
  <c r="M167" i="21"/>
  <c r="N167" i="21"/>
  <c r="J168" i="21"/>
  <c r="K168" i="21"/>
  <c r="M168" i="21"/>
  <c r="N168" i="21"/>
  <c r="J169" i="21"/>
  <c r="K169" i="21"/>
  <c r="M169" i="21"/>
  <c r="N169" i="21"/>
  <c r="J170" i="21"/>
  <c r="K170" i="21"/>
  <c r="M170" i="21"/>
  <c r="N170" i="21"/>
  <c r="J171" i="21"/>
  <c r="K171" i="21"/>
  <c r="M171" i="21"/>
  <c r="N171" i="21"/>
  <c r="J172" i="21"/>
  <c r="K172" i="21"/>
  <c r="M172" i="21"/>
  <c r="N172" i="21"/>
  <c r="J173" i="21"/>
  <c r="K173" i="21"/>
  <c r="M173" i="21"/>
  <c r="N173" i="21"/>
  <c r="J174" i="21"/>
  <c r="K174" i="21"/>
  <c r="M174" i="21"/>
  <c r="N174" i="21"/>
  <c r="J175" i="21"/>
  <c r="K175" i="21"/>
  <c r="M175" i="21"/>
  <c r="N175" i="21"/>
  <c r="J176" i="21"/>
  <c r="K176" i="21"/>
  <c r="M176" i="21"/>
  <c r="N176" i="21"/>
  <c r="J177" i="21"/>
  <c r="K177" i="21"/>
  <c r="M177" i="21"/>
  <c r="N177" i="21"/>
  <c r="J178" i="21"/>
  <c r="K178" i="21"/>
  <c r="M178" i="21"/>
  <c r="N178" i="21"/>
  <c r="J179" i="21"/>
  <c r="K179" i="21"/>
  <c r="M179" i="21"/>
  <c r="N179" i="21"/>
  <c r="J180" i="21"/>
  <c r="K180" i="21"/>
  <c r="M180" i="21"/>
  <c r="N180" i="21"/>
  <c r="J181" i="21"/>
  <c r="K181" i="21"/>
  <c r="M181" i="21"/>
  <c r="N181" i="21"/>
  <c r="J182" i="21"/>
  <c r="K182" i="21"/>
  <c r="M182" i="21"/>
  <c r="N182" i="21"/>
  <c r="J183" i="21"/>
  <c r="K183" i="21"/>
  <c r="M183" i="21"/>
  <c r="N183" i="21"/>
  <c r="J184" i="21"/>
  <c r="K184" i="21"/>
  <c r="M184" i="21"/>
  <c r="N184" i="21"/>
  <c r="J185" i="21"/>
  <c r="K185" i="21"/>
  <c r="M185" i="21"/>
  <c r="N185" i="21"/>
  <c r="J186" i="21"/>
  <c r="K186" i="21"/>
  <c r="M186" i="21"/>
  <c r="N186" i="21"/>
  <c r="J187" i="21"/>
  <c r="K187" i="21"/>
  <c r="M187" i="21"/>
  <c r="N187" i="21"/>
  <c r="J188" i="21"/>
  <c r="K188" i="21"/>
  <c r="M188" i="21"/>
  <c r="N188" i="21"/>
  <c r="J189" i="21"/>
  <c r="K189" i="21"/>
  <c r="M189" i="21"/>
  <c r="N189" i="21"/>
  <c r="J190" i="21"/>
  <c r="K190" i="21"/>
  <c r="M190" i="21"/>
  <c r="N190" i="21"/>
  <c r="J191" i="21"/>
  <c r="K191" i="21"/>
  <c r="M191" i="21"/>
  <c r="N191" i="21"/>
  <c r="J192" i="21"/>
  <c r="K192" i="21"/>
  <c r="M192" i="21"/>
  <c r="N192" i="21"/>
  <c r="J193" i="21"/>
  <c r="K193" i="21"/>
  <c r="M193" i="21"/>
  <c r="N193" i="21"/>
  <c r="J194" i="21"/>
  <c r="K194" i="21"/>
  <c r="M194" i="21"/>
  <c r="N194" i="21"/>
  <c r="J195" i="21"/>
  <c r="K195" i="21"/>
  <c r="M195" i="21"/>
  <c r="N195" i="21"/>
  <c r="J196" i="21"/>
  <c r="K196" i="21"/>
  <c r="M196" i="21"/>
  <c r="N196" i="21"/>
  <c r="J197" i="21"/>
  <c r="K197" i="21"/>
  <c r="M197" i="21"/>
  <c r="N197" i="21"/>
  <c r="J198" i="21"/>
  <c r="K198" i="21"/>
  <c r="M198" i="21"/>
  <c r="N198" i="21"/>
  <c r="J199" i="21"/>
  <c r="K199" i="21"/>
  <c r="M199" i="21"/>
  <c r="N199" i="21"/>
  <c r="J200" i="21"/>
  <c r="K200" i="21"/>
  <c r="M200" i="21"/>
  <c r="N200" i="21"/>
  <c r="J201" i="21"/>
  <c r="K201" i="21"/>
  <c r="M201" i="21"/>
  <c r="N201" i="21"/>
  <c r="J202" i="21"/>
  <c r="K202" i="21"/>
  <c r="M202" i="21"/>
  <c r="N202" i="21"/>
  <c r="J203" i="21"/>
  <c r="K203" i="21"/>
  <c r="M203" i="21"/>
  <c r="N203" i="21"/>
  <c r="J204" i="21"/>
  <c r="K204" i="21"/>
  <c r="M204" i="21"/>
  <c r="N204" i="21"/>
  <c r="J205" i="21"/>
  <c r="K205" i="21"/>
  <c r="M205" i="21"/>
  <c r="N205" i="21"/>
  <c r="J206" i="21"/>
  <c r="K206" i="21"/>
  <c r="M206" i="21"/>
  <c r="N206" i="21"/>
  <c r="J207" i="21"/>
  <c r="K207" i="21"/>
  <c r="M207" i="21"/>
  <c r="N207" i="21"/>
  <c r="J208" i="21"/>
  <c r="K208" i="21"/>
  <c r="M208" i="21"/>
  <c r="N208" i="21"/>
  <c r="J209" i="21"/>
  <c r="K209" i="21"/>
  <c r="M209" i="21"/>
  <c r="N209" i="21"/>
  <c r="J210" i="21"/>
  <c r="K210" i="21"/>
  <c r="M210" i="21"/>
  <c r="N210" i="21"/>
  <c r="J211" i="21"/>
  <c r="K211" i="21"/>
  <c r="M211" i="21"/>
  <c r="N211" i="21"/>
  <c r="J212" i="21"/>
  <c r="K212" i="21"/>
  <c r="M212" i="21"/>
  <c r="N212" i="21"/>
  <c r="J213" i="21"/>
  <c r="K213" i="21"/>
  <c r="M213" i="21"/>
  <c r="N213" i="21"/>
  <c r="J214" i="21"/>
  <c r="K214" i="21"/>
  <c r="M214" i="21"/>
  <c r="N214" i="21"/>
  <c r="J215" i="21"/>
  <c r="K215" i="21"/>
  <c r="M215" i="21"/>
  <c r="N215" i="21"/>
  <c r="J216" i="21"/>
  <c r="K216" i="21"/>
  <c r="M216" i="21"/>
  <c r="N216" i="21"/>
  <c r="J217" i="21"/>
  <c r="K217" i="21"/>
  <c r="M217" i="21"/>
  <c r="N217" i="21"/>
  <c r="J218" i="21"/>
  <c r="K218" i="21"/>
  <c r="M218" i="21"/>
  <c r="N218" i="21"/>
  <c r="J219" i="21"/>
  <c r="K219" i="21"/>
  <c r="M219" i="21"/>
  <c r="N219" i="21"/>
  <c r="J220" i="21"/>
  <c r="K220" i="21"/>
  <c r="M220" i="21"/>
  <c r="N220" i="21"/>
  <c r="J221" i="21"/>
  <c r="K221" i="21"/>
  <c r="M221" i="21"/>
  <c r="N221" i="21"/>
  <c r="J222" i="21"/>
  <c r="K222" i="21"/>
  <c r="M222" i="21"/>
  <c r="N222" i="21"/>
  <c r="J223" i="21"/>
  <c r="K223" i="21"/>
  <c r="M223" i="21"/>
  <c r="N223" i="21"/>
  <c r="J224" i="21"/>
  <c r="K224" i="21"/>
  <c r="M224" i="21"/>
  <c r="N224" i="21"/>
  <c r="J225" i="21"/>
  <c r="K225" i="21"/>
  <c r="M225" i="21"/>
  <c r="N225" i="21"/>
  <c r="J226" i="21"/>
  <c r="K226" i="21"/>
  <c r="M226" i="21"/>
  <c r="N226" i="21"/>
  <c r="J227" i="21"/>
  <c r="K227" i="21"/>
  <c r="M227" i="21"/>
  <c r="N227" i="21"/>
  <c r="J228" i="21"/>
  <c r="K228" i="21"/>
  <c r="M228" i="21"/>
  <c r="N228" i="21"/>
  <c r="J229" i="21"/>
  <c r="K229" i="21"/>
  <c r="M229" i="21"/>
  <c r="N229" i="21"/>
  <c r="J230" i="21"/>
  <c r="K230" i="21"/>
  <c r="M230" i="21"/>
  <c r="N230" i="21"/>
  <c r="J231" i="21"/>
  <c r="K231" i="21"/>
  <c r="M231" i="21"/>
  <c r="N231" i="21"/>
  <c r="K232" i="21"/>
  <c r="N232" i="21"/>
  <c r="K233" i="21"/>
  <c r="N233" i="21"/>
  <c r="K234" i="21"/>
  <c r="N234" i="21"/>
  <c r="K235" i="21"/>
  <c r="N235" i="21"/>
  <c r="K236" i="21"/>
  <c r="N236" i="21"/>
  <c r="K237" i="21"/>
  <c r="N237" i="21"/>
  <c r="K238" i="21"/>
  <c r="N238" i="21"/>
  <c r="K239" i="21"/>
  <c r="N239" i="21"/>
  <c r="K240" i="21"/>
  <c r="N240" i="21"/>
  <c r="K241" i="21"/>
  <c r="N241" i="21"/>
  <c r="K242" i="21"/>
  <c r="N242" i="21"/>
  <c r="K243" i="21"/>
  <c r="N243" i="21"/>
  <c r="J244" i="21"/>
  <c r="K244" i="21"/>
  <c r="M244" i="21"/>
  <c r="N244" i="21"/>
  <c r="J245" i="21"/>
  <c r="K245" i="21"/>
  <c r="M245" i="21"/>
  <c r="N245" i="21"/>
  <c r="J246" i="21"/>
  <c r="K246" i="21"/>
  <c r="M246" i="21"/>
  <c r="N246" i="21"/>
  <c r="J247" i="21"/>
  <c r="K247" i="21"/>
  <c r="M247" i="21"/>
  <c r="N247" i="21"/>
  <c r="J248" i="21"/>
  <c r="K248" i="21"/>
  <c r="M248" i="21"/>
  <c r="N248" i="21"/>
  <c r="J249" i="21"/>
  <c r="K249" i="21"/>
  <c r="M249" i="21"/>
  <c r="N249" i="21"/>
  <c r="J250" i="21"/>
  <c r="K250" i="21"/>
  <c r="M250" i="21"/>
  <c r="N250" i="21"/>
  <c r="J251" i="21"/>
  <c r="K251" i="21"/>
  <c r="M251" i="21"/>
  <c r="N251" i="21"/>
  <c r="J252" i="21"/>
  <c r="K252" i="21"/>
  <c r="M252" i="21"/>
  <c r="N252" i="21"/>
  <c r="J253" i="21"/>
  <c r="K253" i="21"/>
  <c r="M253" i="21"/>
  <c r="N253" i="21"/>
  <c r="J254" i="21"/>
  <c r="K254" i="21"/>
  <c r="M254" i="21"/>
  <c r="N254" i="21"/>
  <c r="J255" i="21"/>
  <c r="K255" i="21"/>
  <c r="M255" i="21"/>
  <c r="N255" i="21"/>
  <c r="J256" i="21"/>
  <c r="K256" i="21"/>
  <c r="M256" i="21"/>
  <c r="N256" i="21"/>
  <c r="J257" i="21"/>
  <c r="K257" i="21"/>
  <c r="M257" i="21"/>
  <c r="N257" i="21"/>
  <c r="J258" i="21"/>
  <c r="K258" i="21"/>
  <c r="M258" i="21"/>
  <c r="N258" i="21"/>
  <c r="J259" i="21"/>
  <c r="K259" i="21"/>
  <c r="M259" i="21"/>
  <c r="N259" i="21"/>
  <c r="J260" i="21"/>
  <c r="K260" i="21"/>
  <c r="M260" i="21"/>
  <c r="N260" i="21"/>
  <c r="J261" i="21"/>
  <c r="K261" i="21"/>
  <c r="M261" i="21"/>
  <c r="N261" i="21"/>
  <c r="J262" i="21"/>
  <c r="K262" i="21"/>
  <c r="M262" i="21"/>
  <c r="N262" i="21"/>
  <c r="J263" i="21"/>
  <c r="K263" i="21"/>
  <c r="M263" i="21"/>
  <c r="N263" i="21"/>
  <c r="J264" i="21"/>
  <c r="K264" i="21"/>
  <c r="M264" i="21"/>
  <c r="N264" i="21"/>
  <c r="J265" i="21"/>
  <c r="K265" i="21"/>
  <c r="M265" i="21"/>
  <c r="N265" i="21"/>
  <c r="J266" i="21"/>
  <c r="K266" i="21"/>
  <c r="M266" i="21"/>
  <c r="N266" i="21"/>
  <c r="J267" i="21"/>
  <c r="K267" i="21"/>
  <c r="M267" i="21"/>
  <c r="N267" i="21"/>
  <c r="J268" i="21"/>
  <c r="K268" i="21"/>
  <c r="M268" i="21"/>
  <c r="N268" i="21"/>
  <c r="J269" i="21"/>
  <c r="K269" i="21"/>
  <c r="M269" i="21"/>
  <c r="N269" i="21"/>
  <c r="J270" i="21"/>
  <c r="K270" i="21"/>
  <c r="M270" i="21"/>
  <c r="N270" i="21"/>
  <c r="J271" i="21"/>
  <c r="K271" i="21"/>
  <c r="M271" i="21"/>
  <c r="N271" i="21"/>
  <c r="J272" i="21"/>
  <c r="K272" i="21"/>
  <c r="M272" i="21"/>
  <c r="N272" i="21"/>
  <c r="J273" i="21"/>
  <c r="K273" i="21"/>
  <c r="M273" i="21"/>
  <c r="N273" i="21"/>
  <c r="J274" i="21"/>
  <c r="K274" i="21"/>
  <c r="M274" i="21"/>
  <c r="N274" i="21"/>
  <c r="J275" i="21"/>
  <c r="K275" i="21"/>
  <c r="M275" i="21"/>
  <c r="N275" i="21"/>
  <c r="J276" i="21"/>
  <c r="K276" i="21"/>
  <c r="M276" i="21"/>
  <c r="N276" i="21"/>
  <c r="J277" i="21"/>
  <c r="K277" i="21"/>
  <c r="M277" i="21"/>
  <c r="N277" i="21"/>
  <c r="J278" i="21"/>
  <c r="K278" i="21"/>
  <c r="M278" i="21"/>
  <c r="N278" i="21"/>
  <c r="J279" i="21"/>
  <c r="K279" i="21"/>
  <c r="M279" i="21"/>
  <c r="N279" i="21"/>
  <c r="J280" i="21"/>
  <c r="K280" i="21"/>
  <c r="M280" i="21"/>
  <c r="N280" i="21"/>
  <c r="J281" i="21"/>
  <c r="K281" i="21"/>
  <c r="M281" i="21"/>
  <c r="N281" i="21"/>
  <c r="J282" i="21"/>
  <c r="K282" i="21"/>
  <c r="M282" i="21"/>
  <c r="N282" i="21"/>
  <c r="J283" i="21"/>
  <c r="K283" i="21"/>
  <c r="M283" i="21"/>
  <c r="N283" i="21"/>
  <c r="J284" i="21"/>
  <c r="K284" i="21"/>
  <c r="M284" i="21"/>
  <c r="N284" i="21"/>
  <c r="J285" i="21"/>
  <c r="K285" i="21"/>
  <c r="M285" i="21"/>
  <c r="N285" i="21"/>
  <c r="J286" i="21"/>
  <c r="K286" i="21"/>
  <c r="M286" i="21"/>
  <c r="N286" i="21"/>
  <c r="J287" i="21"/>
  <c r="K287" i="21"/>
  <c r="M287" i="21"/>
  <c r="N287" i="21"/>
  <c r="J288" i="21"/>
  <c r="K288" i="21"/>
  <c r="M288" i="21"/>
  <c r="N288" i="21"/>
  <c r="J289" i="21"/>
  <c r="K289" i="21"/>
  <c r="M289" i="21"/>
  <c r="N289" i="21"/>
  <c r="J290" i="21"/>
  <c r="K290" i="21"/>
  <c r="M290" i="21"/>
  <c r="N290" i="21"/>
  <c r="J291" i="21"/>
  <c r="K291" i="21"/>
  <c r="M291" i="21"/>
  <c r="N291" i="21"/>
  <c r="J292" i="21"/>
  <c r="K292" i="21"/>
  <c r="M292" i="21"/>
  <c r="N292" i="21"/>
  <c r="J293" i="21"/>
  <c r="K293" i="21"/>
  <c r="M293" i="21"/>
  <c r="N293" i="21"/>
  <c r="J294" i="21"/>
  <c r="K294" i="21"/>
  <c r="M294" i="21"/>
  <c r="N294" i="21"/>
  <c r="J295" i="21"/>
  <c r="K295" i="21"/>
  <c r="M295" i="21"/>
  <c r="N295" i="21"/>
  <c r="J296" i="21"/>
  <c r="K296" i="21"/>
  <c r="M296" i="21"/>
  <c r="N296" i="21"/>
  <c r="J297" i="21"/>
  <c r="K297" i="21"/>
  <c r="M297" i="21"/>
  <c r="N297" i="21"/>
  <c r="J298" i="21"/>
  <c r="K298" i="21"/>
  <c r="M298" i="21"/>
  <c r="N298" i="21"/>
  <c r="J299" i="21"/>
  <c r="K299" i="21"/>
  <c r="M299" i="21"/>
  <c r="N299" i="21"/>
  <c r="J300" i="21"/>
  <c r="K300" i="21"/>
  <c r="M300" i="21"/>
  <c r="N300" i="21"/>
  <c r="J301" i="21"/>
  <c r="K301" i="21"/>
  <c r="M301" i="21"/>
  <c r="N301" i="21"/>
  <c r="J302" i="21"/>
  <c r="K302" i="21"/>
  <c r="M302" i="21"/>
  <c r="N302" i="21"/>
  <c r="J303" i="21"/>
  <c r="K303" i="21"/>
  <c r="M303" i="21"/>
  <c r="N303" i="21"/>
  <c r="J304" i="21"/>
  <c r="K304" i="21"/>
  <c r="M304" i="21"/>
  <c r="N304" i="21"/>
  <c r="J305" i="21"/>
  <c r="K305" i="21"/>
  <c r="M305" i="21"/>
  <c r="N305" i="21"/>
  <c r="J306" i="21"/>
  <c r="K306" i="21"/>
  <c r="M306" i="21"/>
  <c r="N306" i="21"/>
  <c r="J307" i="21"/>
  <c r="K307" i="21"/>
  <c r="M307" i="21"/>
  <c r="N307" i="21"/>
  <c r="J308" i="21"/>
  <c r="K308" i="21"/>
  <c r="M308" i="21"/>
  <c r="N308" i="21"/>
  <c r="J309" i="21"/>
  <c r="K309" i="21"/>
  <c r="M309" i="21"/>
  <c r="N309" i="21"/>
  <c r="J310" i="21"/>
  <c r="K310" i="21"/>
  <c r="M310" i="21"/>
  <c r="N310" i="21"/>
  <c r="J311" i="21"/>
  <c r="K311" i="21"/>
  <c r="M311" i="21"/>
  <c r="N311" i="21"/>
  <c r="J312" i="21"/>
  <c r="K312" i="21"/>
  <c r="M312" i="21"/>
  <c r="N312" i="21"/>
  <c r="J313" i="21"/>
  <c r="K313" i="21"/>
  <c r="M313" i="21"/>
  <c r="N313" i="21"/>
  <c r="J314" i="21"/>
  <c r="K314" i="21"/>
  <c r="M314" i="21"/>
  <c r="N314" i="21"/>
  <c r="J315" i="21"/>
  <c r="K315" i="21"/>
  <c r="M315" i="21"/>
  <c r="N315" i="21"/>
  <c r="J316" i="21"/>
  <c r="K316" i="21"/>
  <c r="M316" i="21"/>
  <c r="N316" i="21"/>
  <c r="J317" i="21"/>
  <c r="K317" i="21"/>
  <c r="M317" i="21"/>
  <c r="N317" i="21"/>
  <c r="J318" i="21"/>
  <c r="K318" i="21"/>
  <c r="M318" i="21"/>
  <c r="N318" i="21"/>
  <c r="J319" i="21"/>
  <c r="K319" i="21"/>
  <c r="M319" i="21"/>
  <c r="N319" i="21"/>
  <c r="J320" i="21"/>
  <c r="K320" i="21"/>
  <c r="M320" i="21"/>
  <c r="N320" i="21"/>
  <c r="J321" i="21"/>
  <c r="K321" i="21"/>
  <c r="M321" i="21"/>
  <c r="N321" i="21"/>
  <c r="J322" i="21"/>
  <c r="K322" i="21"/>
  <c r="M322" i="21"/>
  <c r="N322" i="21"/>
  <c r="J323" i="21"/>
  <c r="K323" i="21"/>
  <c r="M323" i="21"/>
  <c r="N323" i="21"/>
  <c r="J324" i="21"/>
  <c r="K324" i="21"/>
  <c r="M324" i="21"/>
  <c r="N324" i="21"/>
  <c r="J325" i="21"/>
  <c r="K325" i="21"/>
  <c r="M325" i="21"/>
  <c r="N325" i="21"/>
  <c r="J326" i="21"/>
  <c r="K326" i="21"/>
  <c r="M326" i="21"/>
  <c r="N326" i="21"/>
  <c r="J327" i="21"/>
  <c r="K327" i="21"/>
  <c r="M327" i="21"/>
  <c r="N327" i="21"/>
  <c r="J328" i="21"/>
  <c r="K328" i="21"/>
  <c r="M328" i="21"/>
  <c r="N328" i="21"/>
  <c r="J329" i="21"/>
  <c r="K329" i="21"/>
  <c r="M329" i="21"/>
  <c r="N329" i="21"/>
  <c r="J330" i="21"/>
  <c r="K330" i="21"/>
  <c r="M330" i="21"/>
  <c r="N330" i="21"/>
  <c r="J331" i="21"/>
  <c r="K331" i="21"/>
  <c r="M331" i="21"/>
  <c r="N331" i="21"/>
  <c r="J332" i="21"/>
  <c r="K332" i="21"/>
  <c r="M332" i="21"/>
  <c r="N332" i="21"/>
  <c r="J333" i="21"/>
  <c r="K333" i="21"/>
  <c r="M333" i="21"/>
  <c r="N333" i="21"/>
  <c r="J334" i="21"/>
  <c r="K334" i="21"/>
  <c r="M334" i="21"/>
  <c r="N334" i="21"/>
  <c r="J335" i="21"/>
  <c r="K335" i="21"/>
  <c r="M335" i="21"/>
  <c r="N335" i="21"/>
  <c r="J336" i="21"/>
  <c r="K336" i="21"/>
  <c r="M336" i="21"/>
  <c r="N336" i="21"/>
  <c r="J337" i="21"/>
  <c r="K337" i="21"/>
  <c r="M337" i="21"/>
  <c r="N337" i="21"/>
  <c r="J338" i="21"/>
  <c r="K338" i="21"/>
  <c r="M338" i="21"/>
  <c r="N338" i="21"/>
  <c r="J339" i="21"/>
  <c r="K339" i="21"/>
  <c r="M339" i="21"/>
  <c r="N339" i="21"/>
  <c r="J340" i="21"/>
  <c r="K340" i="21"/>
  <c r="M340" i="21"/>
  <c r="N340" i="21"/>
  <c r="J341" i="21"/>
  <c r="K341" i="21"/>
  <c r="M341" i="21"/>
  <c r="N341" i="21"/>
  <c r="J342" i="21"/>
  <c r="K342" i="21"/>
  <c r="M342" i="21"/>
  <c r="N342" i="21"/>
  <c r="J343" i="21"/>
  <c r="K343" i="21"/>
  <c r="M343" i="21"/>
  <c r="N343" i="21"/>
  <c r="J344" i="21"/>
  <c r="K344" i="21"/>
  <c r="M344" i="21"/>
  <c r="N344" i="21"/>
  <c r="J345" i="21"/>
  <c r="K345" i="21"/>
  <c r="M345" i="21"/>
  <c r="N345" i="21"/>
  <c r="J346" i="21"/>
  <c r="K346" i="21"/>
  <c r="M346" i="21"/>
  <c r="N346" i="21"/>
  <c r="J347" i="21"/>
  <c r="K347" i="21"/>
  <c r="M347" i="21"/>
  <c r="N347" i="21"/>
  <c r="J348" i="21"/>
  <c r="K348" i="21"/>
  <c r="M348" i="21"/>
  <c r="N348" i="21"/>
  <c r="J349" i="21"/>
  <c r="K349" i="21"/>
  <c r="M349" i="21"/>
  <c r="N349" i="21"/>
  <c r="J350" i="21"/>
  <c r="K350" i="21"/>
  <c r="M350" i="21"/>
  <c r="N350" i="21"/>
  <c r="J351" i="21"/>
  <c r="K351" i="21"/>
  <c r="M351" i="21"/>
  <c r="N351" i="21"/>
  <c r="J352" i="21"/>
  <c r="K352" i="21"/>
  <c r="M352" i="21"/>
  <c r="N352" i="21"/>
  <c r="J353" i="21"/>
  <c r="K353" i="21"/>
  <c r="M353" i="21"/>
  <c r="N353" i="21"/>
  <c r="J354" i="21"/>
  <c r="K354" i="21"/>
  <c r="M354" i="21"/>
  <c r="N354" i="21"/>
  <c r="J355" i="21"/>
  <c r="K355" i="21"/>
  <c r="M355" i="21"/>
  <c r="N355" i="21"/>
  <c r="J356" i="21"/>
  <c r="K356" i="21"/>
  <c r="M356" i="21"/>
  <c r="N356" i="21"/>
  <c r="J357" i="21"/>
  <c r="K357" i="21"/>
  <c r="M357" i="21"/>
  <c r="N357" i="21"/>
  <c r="J358" i="21"/>
  <c r="K358" i="21"/>
  <c r="M358" i="21"/>
  <c r="N358" i="21"/>
  <c r="J359" i="21"/>
  <c r="K359" i="21"/>
  <c r="M359" i="21"/>
  <c r="N359" i="21"/>
  <c r="J360" i="21"/>
  <c r="K360" i="21"/>
  <c r="M360" i="21"/>
  <c r="N360" i="21"/>
  <c r="J361" i="21"/>
  <c r="K361" i="21"/>
  <c r="M361" i="21"/>
  <c r="N361" i="21"/>
  <c r="J362" i="21"/>
  <c r="K362" i="21"/>
  <c r="M362" i="21"/>
  <c r="N362" i="21"/>
  <c r="J363" i="21"/>
  <c r="K363" i="21"/>
  <c r="M363" i="21"/>
  <c r="N363" i="21"/>
  <c r="J364" i="21"/>
  <c r="K364" i="21"/>
  <c r="M364" i="21"/>
  <c r="N364" i="21"/>
  <c r="J365" i="21"/>
  <c r="K365" i="21"/>
  <c r="M365" i="21"/>
  <c r="N365" i="21"/>
  <c r="J366" i="21"/>
  <c r="K366" i="21"/>
  <c r="M366" i="21"/>
  <c r="N366" i="21"/>
  <c r="J367" i="21"/>
  <c r="K367" i="21"/>
  <c r="M367" i="21"/>
  <c r="N367" i="21"/>
  <c r="J368" i="21"/>
  <c r="K368" i="21"/>
  <c r="M368" i="21"/>
  <c r="N368" i="21"/>
  <c r="J369" i="21"/>
  <c r="K369" i="21"/>
  <c r="M369" i="21"/>
  <c r="N369" i="21"/>
  <c r="J370" i="21"/>
  <c r="K370" i="21"/>
  <c r="M370" i="21"/>
  <c r="N370" i="21"/>
  <c r="J371" i="21"/>
  <c r="K371" i="21"/>
  <c r="M371" i="21"/>
  <c r="N371" i="21"/>
  <c r="J372" i="21"/>
  <c r="K372" i="21"/>
  <c r="M372" i="21"/>
  <c r="N372" i="21"/>
  <c r="J373" i="21"/>
  <c r="K373" i="21"/>
  <c r="M373" i="21"/>
  <c r="N373" i="21"/>
  <c r="J374" i="21"/>
  <c r="K374" i="21"/>
  <c r="M374" i="21"/>
  <c r="N374" i="21"/>
  <c r="J375" i="21"/>
  <c r="K375" i="21"/>
  <c r="M375" i="21"/>
  <c r="N375" i="21"/>
  <c r="J376" i="21"/>
  <c r="K376" i="21"/>
  <c r="M376" i="21"/>
  <c r="N376" i="21"/>
  <c r="J377" i="21"/>
  <c r="K377" i="21"/>
  <c r="M377" i="21"/>
  <c r="N377" i="21"/>
  <c r="J378" i="21"/>
  <c r="K378" i="21"/>
  <c r="M378" i="21"/>
  <c r="N378" i="21"/>
  <c r="J379" i="21"/>
  <c r="K379" i="21"/>
  <c r="M379" i="21"/>
  <c r="N379" i="21"/>
  <c r="J380" i="21"/>
  <c r="K380" i="21"/>
  <c r="M380" i="21"/>
  <c r="N380" i="21"/>
  <c r="J381" i="21"/>
  <c r="K381" i="21"/>
  <c r="M381" i="21"/>
  <c r="N381" i="21"/>
  <c r="J382" i="21"/>
  <c r="K382" i="21"/>
  <c r="M382" i="21"/>
  <c r="N382" i="21"/>
  <c r="J383" i="21"/>
  <c r="K383" i="21"/>
  <c r="M383" i="21"/>
  <c r="N383" i="21"/>
  <c r="J384" i="21"/>
  <c r="K384" i="21"/>
  <c r="M384" i="21"/>
  <c r="N384" i="21"/>
  <c r="J385" i="21"/>
  <c r="K385" i="21"/>
  <c r="M385" i="21"/>
  <c r="N385" i="21"/>
  <c r="J386" i="21"/>
  <c r="K386" i="21"/>
  <c r="M386" i="21"/>
  <c r="N386" i="21"/>
  <c r="J387" i="21"/>
  <c r="K387" i="21"/>
  <c r="M387" i="21"/>
  <c r="N387" i="21"/>
  <c r="J388" i="21"/>
  <c r="K388" i="21"/>
  <c r="M388" i="21"/>
  <c r="N388" i="21"/>
  <c r="J389" i="21"/>
  <c r="K389" i="21"/>
  <c r="M389" i="21"/>
  <c r="N389" i="21"/>
  <c r="J390" i="21"/>
  <c r="K390" i="21"/>
  <c r="M390" i="21"/>
  <c r="N390" i="21"/>
  <c r="J391" i="21"/>
  <c r="K391" i="21"/>
  <c r="M391" i="21"/>
  <c r="N391" i="21"/>
  <c r="J392" i="21"/>
  <c r="K392" i="21"/>
  <c r="M392" i="21"/>
  <c r="N392" i="21"/>
  <c r="J393" i="21"/>
  <c r="K393" i="21"/>
  <c r="M393" i="21"/>
  <c r="N393" i="21"/>
  <c r="J394" i="21"/>
  <c r="K394" i="21"/>
  <c r="M394" i="21"/>
  <c r="N394" i="21"/>
  <c r="J395" i="21"/>
  <c r="K395" i="21"/>
  <c r="M395" i="21"/>
  <c r="N395" i="21"/>
  <c r="J396" i="21"/>
  <c r="K396" i="21"/>
  <c r="M396" i="21"/>
  <c r="N396" i="21"/>
  <c r="J397" i="21"/>
  <c r="K397" i="21"/>
  <c r="M397" i="21"/>
  <c r="N397" i="21"/>
  <c r="J398" i="21"/>
  <c r="K398" i="21"/>
  <c r="M398" i="21"/>
  <c r="N398" i="21"/>
  <c r="J399" i="21"/>
  <c r="K399" i="21"/>
  <c r="M399" i="21"/>
  <c r="N399" i="21"/>
  <c r="J400" i="21"/>
  <c r="K400" i="21"/>
  <c r="M400" i="21"/>
  <c r="N400" i="21"/>
  <c r="J401" i="21"/>
  <c r="K401" i="21"/>
  <c r="M401" i="21"/>
  <c r="N401" i="21"/>
  <c r="J402" i="21"/>
  <c r="K402" i="21"/>
  <c r="M402" i="21"/>
  <c r="N402" i="21"/>
  <c r="J403" i="21"/>
  <c r="K403" i="21"/>
  <c r="M403" i="21"/>
  <c r="N403" i="21"/>
  <c r="J404" i="21"/>
  <c r="K404" i="21"/>
  <c r="M404" i="21"/>
  <c r="N404" i="21"/>
  <c r="J405" i="21"/>
  <c r="K405" i="21"/>
  <c r="M405" i="21"/>
  <c r="N405" i="21"/>
  <c r="J406" i="21"/>
  <c r="K406" i="21"/>
  <c r="M406" i="21"/>
  <c r="N406" i="21"/>
  <c r="J407" i="21"/>
  <c r="K407" i="21"/>
  <c r="M407" i="21"/>
  <c r="N407" i="21"/>
  <c r="J408" i="21"/>
  <c r="K408" i="21"/>
  <c r="M408" i="21"/>
  <c r="N408" i="21"/>
  <c r="J409" i="21"/>
  <c r="K409" i="21"/>
  <c r="M409" i="21"/>
  <c r="N409" i="21"/>
  <c r="J410" i="21"/>
  <c r="K410" i="21"/>
  <c r="M410" i="21"/>
  <c r="N410" i="21"/>
  <c r="J411" i="21"/>
  <c r="K411" i="21"/>
  <c r="M411" i="21"/>
  <c r="N411" i="21"/>
  <c r="J412" i="21"/>
  <c r="K412" i="21"/>
  <c r="M412" i="21"/>
  <c r="N412" i="21"/>
  <c r="J413" i="21"/>
  <c r="K413" i="21"/>
  <c r="M413" i="21"/>
  <c r="N413" i="21"/>
  <c r="J414" i="21"/>
  <c r="K414" i="21"/>
  <c r="M414" i="21"/>
  <c r="N414" i="21"/>
  <c r="J415" i="21"/>
  <c r="K415" i="21"/>
  <c r="M415" i="21"/>
  <c r="N415" i="21"/>
  <c r="J416" i="21"/>
  <c r="K416" i="21"/>
  <c r="M416" i="21"/>
  <c r="N416" i="21"/>
  <c r="J417" i="21"/>
  <c r="K417" i="21"/>
  <c r="M417" i="21"/>
  <c r="N417" i="21"/>
  <c r="J418" i="21"/>
  <c r="K418" i="21"/>
  <c r="M418" i="21"/>
  <c r="N418" i="21"/>
  <c r="J419" i="21"/>
  <c r="K419" i="21"/>
  <c r="M419" i="21"/>
  <c r="N419" i="21"/>
  <c r="J420" i="21"/>
  <c r="K420" i="21"/>
  <c r="M420" i="21"/>
  <c r="N420" i="21"/>
  <c r="J421" i="21"/>
  <c r="K421" i="21"/>
  <c r="M421" i="21"/>
  <c r="N421" i="21"/>
  <c r="J422" i="21"/>
  <c r="K422" i="21"/>
  <c r="M422" i="21"/>
  <c r="N422" i="21"/>
  <c r="J423" i="21"/>
  <c r="K423" i="21"/>
  <c r="M423" i="21"/>
  <c r="N423" i="21"/>
  <c r="J424" i="21"/>
  <c r="K424" i="21"/>
  <c r="M424" i="21"/>
  <c r="N424" i="21"/>
  <c r="J425" i="21"/>
  <c r="K425" i="21"/>
  <c r="M425" i="21"/>
  <c r="N425" i="21"/>
  <c r="J426" i="21"/>
  <c r="K426" i="21"/>
  <c r="M426" i="21"/>
  <c r="N426" i="21"/>
  <c r="J427" i="21"/>
  <c r="K427" i="21"/>
  <c r="M427" i="21"/>
  <c r="N427" i="21"/>
  <c r="J428" i="21"/>
  <c r="K428" i="21"/>
  <c r="M428" i="21"/>
  <c r="N428" i="21"/>
  <c r="J429" i="21"/>
  <c r="K429" i="21"/>
  <c r="M429" i="21"/>
  <c r="N429" i="21"/>
  <c r="J430" i="21"/>
  <c r="K430" i="21"/>
  <c r="M430" i="21"/>
  <c r="N430" i="21"/>
  <c r="J431" i="21"/>
  <c r="K431" i="21"/>
  <c r="M431" i="21"/>
  <c r="N431" i="21"/>
  <c r="J432" i="21"/>
  <c r="K432" i="21"/>
  <c r="M432" i="21"/>
  <c r="N432" i="21"/>
  <c r="J433" i="21"/>
  <c r="K433" i="21"/>
  <c r="M433" i="21"/>
  <c r="N433" i="21"/>
  <c r="J434" i="21"/>
  <c r="K434" i="21"/>
  <c r="M434" i="21"/>
  <c r="N434" i="21"/>
  <c r="J435" i="21"/>
  <c r="K435" i="21"/>
  <c r="M435" i="21"/>
  <c r="N435" i="21"/>
  <c r="J436" i="21"/>
  <c r="K436" i="21"/>
  <c r="M436" i="21"/>
  <c r="N436" i="21"/>
  <c r="J437" i="21"/>
  <c r="K437" i="21"/>
  <c r="M437" i="21"/>
  <c r="N437" i="21"/>
  <c r="J438" i="21"/>
  <c r="K438" i="21"/>
  <c r="M438" i="21"/>
  <c r="N438" i="21"/>
  <c r="J439" i="21"/>
  <c r="K439" i="21"/>
  <c r="M439" i="21"/>
  <c r="N439" i="21"/>
  <c r="J440" i="21"/>
  <c r="K440" i="21"/>
  <c r="M440" i="21"/>
  <c r="N440" i="21"/>
  <c r="J441" i="21"/>
  <c r="K441" i="21"/>
  <c r="M441" i="21"/>
  <c r="N441" i="21"/>
  <c r="J442" i="21"/>
  <c r="K442" i="21"/>
  <c r="M442" i="21"/>
  <c r="N442" i="21"/>
  <c r="J443" i="21"/>
  <c r="K443" i="21"/>
  <c r="M443" i="21"/>
  <c r="N443" i="21"/>
  <c r="J444" i="21"/>
  <c r="K444" i="21"/>
  <c r="M444" i="21"/>
  <c r="N444" i="21"/>
  <c r="J445" i="21"/>
  <c r="K445" i="21"/>
  <c r="M445" i="21"/>
  <c r="N445" i="21"/>
  <c r="J446" i="21"/>
  <c r="K446" i="21"/>
  <c r="M446" i="21"/>
  <c r="N446" i="21"/>
  <c r="J447" i="21"/>
  <c r="K447" i="21"/>
  <c r="M447" i="21"/>
  <c r="N447" i="21"/>
  <c r="J448" i="21"/>
  <c r="K448" i="21"/>
  <c r="M448" i="21"/>
  <c r="N448" i="21"/>
  <c r="J449" i="21"/>
  <c r="K449" i="21"/>
  <c r="M449" i="21"/>
  <c r="N449" i="21"/>
  <c r="J450" i="21"/>
  <c r="K450" i="21"/>
  <c r="M450" i="21"/>
  <c r="N450" i="21"/>
  <c r="J451" i="21"/>
  <c r="K451" i="21"/>
  <c r="M451" i="21"/>
  <c r="N451" i="21"/>
  <c r="J452" i="21"/>
  <c r="K452" i="21"/>
  <c r="M452" i="21"/>
  <c r="N452" i="21"/>
  <c r="J453" i="21"/>
  <c r="K453" i="21"/>
  <c r="M453" i="21"/>
  <c r="N453" i="21"/>
  <c r="J454" i="21"/>
  <c r="K454" i="21"/>
  <c r="M454" i="21"/>
  <c r="N454" i="21"/>
  <c r="J455" i="21"/>
  <c r="K455" i="21"/>
  <c r="M455" i="21"/>
  <c r="N455" i="21"/>
  <c r="J456" i="21"/>
  <c r="K456" i="21"/>
  <c r="M456" i="21"/>
  <c r="N456" i="21"/>
  <c r="J457" i="21"/>
  <c r="K457" i="21"/>
  <c r="M457" i="21"/>
  <c r="N457" i="21"/>
  <c r="J458" i="21"/>
  <c r="K458" i="21"/>
  <c r="M458" i="21"/>
  <c r="N458" i="21"/>
  <c r="J459" i="21"/>
  <c r="K459" i="21"/>
  <c r="M459" i="21"/>
  <c r="N459" i="21"/>
  <c r="J460" i="21"/>
  <c r="K460" i="21"/>
  <c r="M460" i="21"/>
  <c r="N460" i="21"/>
  <c r="J461" i="21"/>
  <c r="K461" i="21"/>
  <c r="M461" i="21"/>
  <c r="N461" i="21"/>
  <c r="K462" i="21"/>
  <c r="N462" i="21"/>
  <c r="K463" i="21"/>
  <c r="N463" i="21"/>
  <c r="K464" i="21"/>
  <c r="N464" i="21"/>
  <c r="K465" i="21"/>
  <c r="N465" i="21"/>
  <c r="K466" i="21"/>
  <c r="N466" i="21"/>
  <c r="K467" i="21"/>
  <c r="N467" i="21"/>
  <c r="K468" i="21"/>
  <c r="N468" i="21"/>
  <c r="K469" i="21"/>
  <c r="N469" i="21"/>
  <c r="K470" i="21"/>
  <c r="N470" i="21"/>
  <c r="K471" i="21"/>
  <c r="N471" i="21"/>
  <c r="K472" i="21"/>
  <c r="N472" i="21"/>
  <c r="K473" i="21"/>
  <c r="N473" i="21"/>
  <c r="K474" i="21"/>
  <c r="N474" i="21"/>
  <c r="K475" i="21"/>
  <c r="N475" i="21"/>
  <c r="K476" i="21"/>
  <c r="N476" i="21"/>
  <c r="K477" i="21"/>
  <c r="N477" i="21"/>
  <c r="K478" i="21"/>
  <c r="N478" i="21"/>
  <c r="K479" i="21"/>
  <c r="N479" i="21"/>
  <c r="K480" i="21"/>
  <c r="N480" i="21"/>
  <c r="K481" i="21"/>
  <c r="N481" i="21"/>
  <c r="K482" i="21"/>
  <c r="N482" i="21"/>
  <c r="K483" i="21"/>
  <c r="N483" i="21"/>
  <c r="K484" i="21"/>
  <c r="N484" i="21"/>
  <c r="K485" i="21"/>
  <c r="N485" i="21"/>
  <c r="K486" i="21"/>
  <c r="N486" i="21"/>
  <c r="K487" i="21"/>
  <c r="N487" i="21"/>
  <c r="K488" i="21"/>
  <c r="N488" i="21"/>
  <c r="K489" i="21"/>
  <c r="N489" i="21"/>
  <c r="K490" i="21"/>
  <c r="N490" i="21"/>
  <c r="K491" i="21"/>
  <c r="N491" i="21"/>
  <c r="K492" i="21"/>
  <c r="N492" i="21"/>
  <c r="K493" i="21"/>
  <c r="N493" i="21"/>
  <c r="K494" i="21"/>
  <c r="N494" i="21"/>
  <c r="K495" i="21"/>
  <c r="N495" i="21"/>
  <c r="K496" i="21"/>
  <c r="N496" i="21"/>
  <c r="K497" i="21"/>
  <c r="N497" i="21"/>
  <c r="K498" i="21"/>
  <c r="N498" i="21"/>
  <c r="K499" i="21"/>
  <c r="N499" i="21"/>
  <c r="K500" i="21"/>
  <c r="N500" i="21"/>
  <c r="K501" i="21"/>
  <c r="N501" i="21"/>
  <c r="K502" i="21"/>
  <c r="N502" i="21"/>
  <c r="K503" i="21"/>
  <c r="N503" i="21"/>
  <c r="K504" i="21"/>
  <c r="N504" i="21"/>
  <c r="K505" i="21"/>
  <c r="N505" i="21"/>
  <c r="J506" i="21"/>
  <c r="M506" i="21"/>
  <c r="J507" i="21"/>
  <c r="M507" i="21"/>
  <c r="J508" i="21"/>
  <c r="M508" i="21"/>
  <c r="J509" i="21"/>
  <c r="M509" i="21"/>
  <c r="J510" i="21"/>
  <c r="M510" i="21"/>
  <c r="J511" i="21"/>
  <c r="M511" i="21"/>
  <c r="J512" i="21"/>
  <c r="M512" i="21"/>
  <c r="J513" i="21"/>
  <c r="M513" i="21"/>
  <c r="J514" i="21"/>
  <c r="M514" i="21"/>
  <c r="J515" i="21"/>
  <c r="M515" i="21"/>
  <c r="J516" i="21"/>
  <c r="M516" i="21"/>
  <c r="J517" i="21"/>
  <c r="M517" i="21"/>
  <c r="J518" i="21"/>
  <c r="M518" i="21"/>
  <c r="J519" i="21"/>
  <c r="M519" i="21"/>
  <c r="J520" i="21"/>
  <c r="M520" i="21"/>
  <c r="J521" i="21"/>
  <c r="M521" i="21"/>
  <c r="J522" i="21"/>
  <c r="M522" i="21"/>
  <c r="J523" i="21"/>
  <c r="M523" i="21"/>
  <c r="J524" i="21"/>
  <c r="M524" i="21"/>
  <c r="J525" i="21"/>
  <c r="M525" i="21"/>
  <c r="J526" i="21"/>
  <c r="M526" i="21"/>
  <c r="J527" i="21"/>
  <c r="M527" i="21"/>
  <c r="J528" i="21"/>
  <c r="M528" i="21"/>
  <c r="J529" i="21"/>
  <c r="M529" i="21"/>
  <c r="J530" i="21"/>
  <c r="M530" i="21"/>
  <c r="J531" i="21"/>
  <c r="M531" i="21"/>
  <c r="J532" i="21"/>
  <c r="M532" i="21"/>
  <c r="J533" i="21"/>
  <c r="M533" i="21"/>
  <c r="J534" i="21"/>
  <c r="M534" i="21"/>
  <c r="J535" i="21"/>
  <c r="M535" i="21"/>
  <c r="J536" i="21"/>
  <c r="M536" i="21"/>
  <c r="J537" i="21"/>
  <c r="M537" i="21"/>
  <c r="J538" i="21"/>
  <c r="M538" i="21"/>
  <c r="J539" i="21"/>
  <c r="M539" i="21"/>
  <c r="J540" i="21"/>
  <c r="M540" i="21"/>
  <c r="J541" i="21"/>
  <c r="M541" i="21"/>
  <c r="J542" i="21"/>
  <c r="M542" i="21"/>
  <c r="J543" i="21"/>
  <c r="M543" i="21"/>
  <c r="K544" i="21"/>
  <c r="N544" i="21"/>
  <c r="K545" i="21"/>
  <c r="N545" i="21"/>
  <c r="K546" i="21"/>
  <c r="N546" i="21"/>
  <c r="K547" i="21"/>
  <c r="N547" i="21"/>
  <c r="K548" i="21"/>
  <c r="N548" i="21"/>
  <c r="K549" i="21"/>
  <c r="N549" i="21"/>
  <c r="K550" i="21"/>
  <c r="N550" i="21"/>
  <c r="K551" i="21"/>
  <c r="N551" i="21"/>
  <c r="K552" i="21"/>
  <c r="N552" i="21"/>
  <c r="K553" i="21"/>
  <c r="N553" i="21"/>
  <c r="K554" i="21"/>
  <c r="N554" i="21"/>
  <c r="K555" i="21"/>
  <c r="N555" i="21"/>
  <c r="K556" i="21"/>
  <c r="N556" i="21"/>
  <c r="K557" i="21"/>
  <c r="N557" i="21"/>
  <c r="K558" i="21"/>
  <c r="N558" i="21"/>
  <c r="K559" i="21"/>
  <c r="N559" i="21"/>
  <c r="K560" i="21"/>
  <c r="N560" i="21"/>
  <c r="K561" i="21"/>
  <c r="N561" i="21"/>
  <c r="K562" i="21"/>
  <c r="N562" i="21"/>
  <c r="K563" i="21"/>
  <c r="N563" i="21"/>
  <c r="K564" i="21"/>
  <c r="N564" i="21"/>
  <c r="K565" i="21"/>
  <c r="N565" i="21"/>
  <c r="K566" i="21"/>
  <c r="N566" i="21"/>
  <c r="K567" i="21"/>
  <c r="N567" i="21"/>
  <c r="K568" i="21"/>
  <c r="N568" i="21"/>
  <c r="K569" i="21"/>
  <c r="N569" i="21"/>
  <c r="K570" i="21"/>
  <c r="N570" i="21"/>
  <c r="K571" i="21"/>
  <c r="N571" i="21"/>
  <c r="K572" i="21"/>
  <c r="N572" i="21"/>
  <c r="K573" i="21"/>
  <c r="N573" i="21"/>
  <c r="K574" i="21"/>
  <c r="N574" i="21"/>
  <c r="K575" i="21"/>
  <c r="N575" i="21"/>
  <c r="K576" i="21"/>
  <c r="N576" i="21"/>
  <c r="K577" i="21"/>
  <c r="N577" i="21"/>
  <c r="K578" i="21"/>
  <c r="N578" i="21"/>
  <c r="K579" i="21"/>
  <c r="N579" i="21"/>
  <c r="K580" i="21"/>
  <c r="N580" i="21"/>
  <c r="K581" i="21"/>
  <c r="N581" i="21"/>
  <c r="K582" i="21"/>
  <c r="N582" i="21"/>
  <c r="K583" i="21"/>
  <c r="N583" i="21"/>
  <c r="K584" i="21"/>
  <c r="N584" i="21"/>
  <c r="K585" i="21"/>
  <c r="N585" i="21"/>
  <c r="K586" i="21"/>
  <c r="N586" i="21"/>
  <c r="K587" i="21"/>
  <c r="N587" i="21"/>
  <c r="K588" i="21"/>
  <c r="N588" i="21"/>
  <c r="K589" i="21"/>
  <c r="N589" i="21"/>
  <c r="K590" i="21"/>
  <c r="N590" i="21"/>
  <c r="K591" i="21"/>
  <c r="N591" i="21"/>
  <c r="K592" i="21"/>
  <c r="N592" i="21"/>
  <c r="K593" i="21"/>
  <c r="N593" i="21"/>
  <c r="K594" i="21"/>
  <c r="N594" i="21"/>
  <c r="K595" i="21"/>
  <c r="N595" i="21"/>
  <c r="K596" i="21"/>
  <c r="N596" i="21"/>
  <c r="K597" i="21"/>
  <c r="N597" i="21"/>
  <c r="J598" i="21"/>
  <c r="M598" i="21"/>
  <c r="J599" i="21"/>
  <c r="M599" i="21"/>
  <c r="J600" i="21"/>
  <c r="M600" i="21"/>
  <c r="J601" i="21"/>
  <c r="M601" i="21"/>
  <c r="J602" i="21"/>
  <c r="M602" i="21"/>
  <c r="J603" i="21"/>
  <c r="M603" i="21"/>
  <c r="J604" i="21"/>
  <c r="M604" i="21"/>
  <c r="J605" i="21"/>
  <c r="M605" i="21"/>
  <c r="J606" i="21"/>
  <c r="M606" i="21"/>
  <c r="J607" i="21"/>
  <c r="M607" i="21"/>
  <c r="J608" i="21"/>
  <c r="M608" i="21"/>
  <c r="J609" i="21"/>
  <c r="M609" i="21"/>
  <c r="K610" i="21"/>
  <c r="N610" i="21"/>
  <c r="K611" i="21"/>
  <c r="N611" i="21"/>
  <c r="K612" i="21"/>
  <c r="N612" i="21"/>
  <c r="K613" i="21"/>
  <c r="N613" i="21"/>
  <c r="K614" i="21"/>
  <c r="N614" i="21"/>
  <c r="K615" i="21"/>
  <c r="N615" i="21"/>
  <c r="K616" i="21"/>
  <c r="N616" i="21"/>
  <c r="K617" i="21"/>
  <c r="N617" i="21"/>
  <c r="K618" i="21"/>
  <c r="N618" i="21"/>
  <c r="K619" i="21"/>
  <c r="N619" i="21"/>
  <c r="K620" i="21"/>
  <c r="N620" i="21"/>
  <c r="K621" i="21"/>
  <c r="N621" i="21"/>
  <c r="K622" i="21"/>
  <c r="N622" i="21"/>
  <c r="K623" i="21"/>
  <c r="N623" i="21"/>
  <c r="K624" i="21"/>
  <c r="N624" i="21"/>
  <c r="K625" i="21"/>
  <c r="N625" i="21"/>
  <c r="K626" i="21"/>
  <c r="N626" i="21"/>
  <c r="K627" i="21"/>
  <c r="N627" i="21"/>
  <c r="K628" i="21"/>
  <c r="N628" i="21"/>
  <c r="K629" i="21"/>
  <c r="N629" i="21"/>
  <c r="K630" i="21"/>
  <c r="N630" i="21"/>
  <c r="K631" i="21"/>
  <c r="N631" i="21"/>
  <c r="K632" i="21"/>
  <c r="N632" i="21"/>
  <c r="K633" i="21"/>
  <c r="N633" i="21"/>
  <c r="J634" i="21"/>
  <c r="M634" i="21"/>
  <c r="J635" i="21"/>
  <c r="M635" i="21"/>
  <c r="J636" i="21"/>
  <c r="M636" i="21"/>
  <c r="J637" i="21"/>
  <c r="M637" i="21"/>
  <c r="J638" i="21"/>
  <c r="M638" i="21"/>
  <c r="J639" i="21"/>
  <c r="M639" i="21"/>
  <c r="J640" i="21"/>
  <c r="M640" i="21"/>
  <c r="J641" i="21"/>
  <c r="M641" i="21"/>
  <c r="J642" i="21"/>
  <c r="M642" i="21"/>
  <c r="J643" i="21"/>
  <c r="M643" i="21"/>
  <c r="J644" i="21"/>
  <c r="M644" i="21"/>
  <c r="J645" i="21"/>
  <c r="M645" i="21"/>
  <c r="K646" i="21"/>
  <c r="N646" i="21"/>
  <c r="K647" i="21"/>
  <c r="N647" i="21"/>
  <c r="K648" i="21"/>
  <c r="N648" i="21"/>
  <c r="K649" i="21"/>
  <c r="N649" i="21"/>
  <c r="K650" i="21"/>
  <c r="N650" i="21"/>
  <c r="K651" i="21"/>
  <c r="N651" i="21"/>
  <c r="K652" i="21"/>
  <c r="N652" i="21"/>
  <c r="K653" i="21"/>
  <c r="N653" i="21"/>
  <c r="K654" i="21"/>
  <c r="N654" i="21"/>
  <c r="K655" i="21"/>
  <c r="N655" i="21"/>
  <c r="K656" i="21"/>
  <c r="N656" i="21"/>
  <c r="K657" i="21"/>
  <c r="N657" i="21"/>
  <c r="K658" i="21"/>
  <c r="N658" i="21"/>
  <c r="K659" i="21"/>
  <c r="N659" i="21"/>
  <c r="K660" i="21"/>
  <c r="N660" i="21"/>
  <c r="K661" i="21"/>
  <c r="N661" i="21"/>
  <c r="K662" i="21"/>
  <c r="N662" i="21"/>
  <c r="K663" i="21"/>
  <c r="N663" i="21"/>
  <c r="K664" i="21"/>
  <c r="N664" i="21"/>
  <c r="K665" i="21"/>
  <c r="N665" i="21"/>
  <c r="K666" i="21"/>
  <c r="N666" i="21"/>
  <c r="K667" i="21"/>
  <c r="N667" i="21"/>
  <c r="K668" i="21"/>
  <c r="N668" i="21"/>
  <c r="K669" i="21"/>
  <c r="N669" i="21"/>
  <c r="K670" i="21"/>
  <c r="N670" i="21"/>
  <c r="K671" i="21"/>
  <c r="N671" i="21"/>
  <c r="K672" i="21"/>
  <c r="N672" i="21"/>
  <c r="K673" i="21"/>
  <c r="N673" i="21"/>
  <c r="K674" i="21"/>
  <c r="N674" i="21"/>
  <c r="K675" i="21"/>
  <c r="N675" i="21"/>
  <c r="K676" i="21"/>
  <c r="N676" i="21"/>
  <c r="K677" i="21"/>
  <c r="N677" i="21"/>
  <c r="K678" i="21"/>
  <c r="N678" i="21"/>
  <c r="K679" i="21"/>
  <c r="N679" i="21"/>
  <c r="K680" i="21"/>
  <c r="N680" i="21"/>
  <c r="K681" i="21"/>
  <c r="N681" i="21"/>
  <c r="K682" i="21"/>
  <c r="N682" i="21"/>
  <c r="K683" i="21"/>
  <c r="N683" i="21"/>
  <c r="K684" i="21"/>
  <c r="N684" i="21"/>
  <c r="K685" i="21"/>
  <c r="N685" i="21"/>
  <c r="K686" i="21"/>
  <c r="N686" i="21"/>
  <c r="K687" i="21"/>
  <c r="N687" i="21"/>
  <c r="K688" i="21"/>
  <c r="N688" i="21"/>
  <c r="K689" i="21"/>
  <c r="N689" i="21"/>
  <c r="K690" i="21"/>
  <c r="N690" i="21"/>
  <c r="K691" i="21"/>
  <c r="N691" i="21"/>
  <c r="K692" i="21"/>
  <c r="N692" i="21"/>
  <c r="K693" i="21"/>
  <c r="N693" i="21"/>
  <c r="K694" i="21"/>
  <c r="N694" i="21"/>
  <c r="K695" i="21"/>
  <c r="N695" i="21"/>
  <c r="K696" i="21"/>
  <c r="N696" i="21"/>
  <c r="K697" i="21"/>
  <c r="N697" i="21"/>
  <c r="K698" i="21"/>
  <c r="N698" i="21"/>
  <c r="K699" i="21"/>
  <c r="N699" i="21"/>
  <c r="K700" i="21"/>
  <c r="N700" i="21"/>
  <c r="J701" i="21"/>
  <c r="M701" i="21"/>
  <c r="J702" i="21"/>
  <c r="M702" i="21"/>
  <c r="J703" i="21"/>
  <c r="M703" i="21"/>
  <c r="J704" i="21"/>
  <c r="M704" i="21"/>
  <c r="J705" i="21"/>
  <c r="M705" i="21"/>
  <c r="J706" i="21"/>
  <c r="M706" i="21"/>
  <c r="J707" i="21"/>
  <c r="M707" i="21"/>
  <c r="J708" i="21"/>
  <c r="M708" i="21"/>
  <c r="J709" i="21"/>
  <c r="M709" i="21"/>
  <c r="J710" i="21"/>
  <c r="M710" i="21"/>
  <c r="J711" i="21"/>
  <c r="M711" i="21"/>
  <c r="J712" i="21"/>
  <c r="M712" i="21"/>
  <c r="J713" i="21"/>
  <c r="M713" i="21"/>
  <c r="J714" i="21"/>
  <c r="M714" i="21"/>
  <c r="J715" i="21"/>
  <c r="M715" i="21"/>
  <c r="J716" i="21"/>
  <c r="M716" i="21"/>
  <c r="J717" i="21"/>
  <c r="M717" i="21"/>
  <c r="J718" i="21"/>
  <c r="M718" i="21"/>
  <c r="J719" i="21"/>
  <c r="M719" i="21"/>
  <c r="J720" i="21"/>
  <c r="M720" i="21"/>
  <c r="J721" i="21"/>
  <c r="M721" i="21"/>
  <c r="J722" i="21"/>
  <c r="M722" i="21"/>
  <c r="J723" i="21"/>
  <c r="M723" i="21"/>
  <c r="J724" i="21"/>
  <c r="M724" i="21"/>
  <c r="J725" i="21"/>
  <c r="M725" i="21"/>
  <c r="J726" i="21"/>
  <c r="M726" i="21"/>
  <c r="J727" i="21"/>
  <c r="M727" i="21"/>
  <c r="J728" i="21"/>
  <c r="M728" i="21"/>
  <c r="J729" i="21"/>
  <c r="M729" i="21"/>
  <c r="J730" i="21"/>
  <c r="M730" i="21"/>
  <c r="J731" i="21"/>
  <c r="M731" i="21"/>
  <c r="J732" i="21"/>
  <c r="M732" i="21"/>
  <c r="J733" i="21"/>
  <c r="M733" i="21"/>
  <c r="J734" i="21"/>
  <c r="M734" i="21"/>
  <c r="J735" i="21"/>
  <c r="M735" i="21"/>
  <c r="J736" i="21"/>
  <c r="M736" i="21"/>
  <c r="J737" i="21"/>
  <c r="M737" i="21"/>
  <c r="J738" i="21"/>
  <c r="M738" i="21"/>
  <c r="K739" i="21"/>
  <c r="N739" i="21"/>
  <c r="K740" i="21"/>
  <c r="N740" i="21"/>
  <c r="K741" i="21"/>
  <c r="N741" i="21"/>
  <c r="K742" i="21"/>
  <c r="N742" i="21"/>
  <c r="K743" i="21"/>
  <c r="N743" i="21"/>
  <c r="K744" i="21"/>
  <c r="N744" i="21"/>
  <c r="K745" i="21"/>
  <c r="N745" i="21"/>
  <c r="K746" i="21"/>
  <c r="N746" i="21"/>
  <c r="K747" i="21"/>
  <c r="N747" i="21"/>
  <c r="K748" i="21"/>
  <c r="N748" i="21"/>
  <c r="K749" i="21"/>
  <c r="N749" i="21"/>
  <c r="K750" i="21"/>
  <c r="N750" i="21"/>
  <c r="K751" i="21"/>
  <c r="N751" i="21"/>
  <c r="K752" i="21"/>
  <c r="N752" i="21"/>
  <c r="K753" i="21"/>
  <c r="N753" i="21"/>
  <c r="K754" i="21"/>
  <c r="N754" i="21"/>
  <c r="K755" i="21"/>
  <c r="N755" i="21"/>
  <c r="K756" i="21"/>
  <c r="N756" i="21"/>
  <c r="K757" i="21"/>
  <c r="N757" i="21"/>
  <c r="K758" i="21"/>
  <c r="N758" i="21"/>
  <c r="K759" i="21"/>
  <c r="N759" i="21"/>
  <c r="K760" i="21"/>
  <c r="N760" i="21"/>
  <c r="K761" i="21"/>
  <c r="N761" i="21"/>
  <c r="K762" i="21"/>
  <c r="N762" i="21"/>
  <c r="K763" i="21"/>
  <c r="N763" i="21"/>
  <c r="K764" i="21"/>
  <c r="N764" i="21"/>
  <c r="K765" i="21"/>
  <c r="N765" i="21"/>
  <c r="K766" i="21"/>
  <c r="N766" i="21"/>
  <c r="K767" i="21"/>
  <c r="N767" i="21"/>
  <c r="K768" i="21"/>
  <c r="N768" i="21"/>
  <c r="K769" i="21"/>
  <c r="N769" i="21"/>
  <c r="K770" i="21"/>
  <c r="N770" i="21"/>
  <c r="K771" i="21"/>
  <c r="N771" i="21"/>
  <c r="K772" i="21"/>
  <c r="N772" i="21"/>
  <c r="K773" i="21"/>
  <c r="N773" i="21"/>
  <c r="K774" i="21"/>
  <c r="N774" i="21"/>
  <c r="K775" i="21"/>
  <c r="N775" i="21"/>
  <c r="K776" i="21"/>
  <c r="N776" i="21"/>
  <c r="K777" i="21"/>
  <c r="N777" i="21"/>
  <c r="K778" i="21"/>
  <c r="N778" i="21"/>
  <c r="K779" i="21"/>
  <c r="N779" i="21"/>
  <c r="K780" i="21"/>
  <c r="N780" i="21"/>
  <c r="K781" i="21"/>
  <c r="N781" i="21"/>
  <c r="K782" i="21"/>
  <c r="N782" i="21"/>
  <c r="K783" i="21"/>
  <c r="N783" i="21"/>
  <c r="K784" i="21"/>
  <c r="N784" i="21"/>
  <c r="K785" i="21"/>
  <c r="N785" i="21"/>
  <c r="K786" i="21"/>
  <c r="N786" i="21"/>
  <c r="K787" i="21"/>
  <c r="N787" i="21"/>
  <c r="K788" i="21"/>
  <c r="N788" i="21"/>
  <c r="K789" i="21"/>
  <c r="N789" i="21"/>
  <c r="K790" i="21"/>
  <c r="N790" i="21"/>
  <c r="K791" i="21"/>
  <c r="N791" i="21"/>
  <c r="K792" i="21"/>
  <c r="N792" i="21"/>
  <c r="K793" i="21"/>
  <c r="N793" i="21"/>
  <c r="K794" i="21"/>
  <c r="N794" i="21"/>
  <c r="K795" i="21"/>
  <c r="N795" i="21"/>
  <c r="K796" i="21"/>
  <c r="N796" i="21"/>
  <c r="K797" i="21"/>
  <c r="N797" i="21"/>
  <c r="K798" i="21"/>
  <c r="N798" i="21"/>
  <c r="K799" i="21"/>
  <c r="N799" i="21"/>
  <c r="K800" i="21"/>
  <c r="N800" i="21"/>
  <c r="K801" i="21"/>
  <c r="N801" i="21"/>
  <c r="K802" i="21"/>
  <c r="N802" i="21"/>
  <c r="K803" i="21"/>
  <c r="N803" i="21"/>
  <c r="K804" i="21"/>
  <c r="N804" i="21"/>
  <c r="K805" i="21"/>
  <c r="N805" i="21"/>
  <c r="K806" i="21"/>
  <c r="N806" i="21"/>
  <c r="K807" i="21"/>
  <c r="N807" i="21"/>
  <c r="K808" i="21"/>
  <c r="N808" i="21"/>
  <c r="K809" i="21"/>
  <c r="N809" i="21"/>
  <c r="K810" i="21"/>
  <c r="N810" i="21"/>
  <c r="K811" i="21"/>
  <c r="N811" i="21"/>
  <c r="K812" i="21"/>
  <c r="N812" i="21"/>
  <c r="K813" i="21"/>
  <c r="N813" i="21"/>
  <c r="K814" i="21"/>
  <c r="N814" i="21"/>
  <c r="K815" i="21"/>
  <c r="N815" i="21"/>
  <c r="K816" i="21"/>
  <c r="N816" i="21"/>
  <c r="J817" i="21"/>
  <c r="M817" i="21"/>
  <c r="J818" i="21"/>
  <c r="M818" i="21"/>
  <c r="J819" i="21"/>
  <c r="M819" i="21"/>
  <c r="J820" i="21"/>
  <c r="M820" i="21"/>
  <c r="J821" i="21"/>
  <c r="M821" i="21"/>
  <c r="J822" i="21"/>
  <c r="M822" i="21"/>
  <c r="J823" i="21"/>
  <c r="M823" i="21"/>
  <c r="J824" i="21"/>
  <c r="M824" i="21"/>
  <c r="J825" i="21"/>
  <c r="M825" i="21"/>
  <c r="J826" i="21"/>
  <c r="M826" i="21"/>
  <c r="J827" i="21"/>
  <c r="M827" i="21"/>
  <c r="J828" i="21"/>
  <c r="M828" i="21"/>
  <c r="J829" i="21"/>
  <c r="M829" i="21"/>
  <c r="J830" i="21"/>
  <c r="M830" i="21"/>
  <c r="J831" i="21"/>
  <c r="M831" i="21"/>
  <c r="J832" i="21"/>
  <c r="M832" i="21"/>
  <c r="J833" i="21"/>
  <c r="M833" i="21"/>
  <c r="J834" i="21"/>
  <c r="M834" i="21"/>
  <c r="J835" i="21"/>
  <c r="M835" i="21"/>
  <c r="J836" i="21"/>
  <c r="M836" i="21"/>
  <c r="J837" i="21"/>
  <c r="M837" i="21"/>
  <c r="J838" i="21"/>
  <c r="M838" i="21"/>
  <c r="J839" i="21"/>
  <c r="M839" i="21"/>
  <c r="J840" i="21"/>
  <c r="M840" i="21"/>
  <c r="J841" i="21"/>
  <c r="M841" i="21"/>
  <c r="J842" i="21"/>
  <c r="M842" i="21"/>
  <c r="J843" i="21"/>
  <c r="M843" i="21"/>
  <c r="J844" i="21"/>
  <c r="M844" i="21"/>
  <c r="J845" i="21"/>
  <c r="M845" i="21"/>
  <c r="J846" i="21"/>
  <c r="M846" i="21"/>
  <c r="J847" i="21"/>
  <c r="M847" i="21"/>
  <c r="J848" i="21"/>
  <c r="M848" i="21"/>
  <c r="J849" i="21"/>
  <c r="M849" i="21"/>
  <c r="J850" i="21"/>
  <c r="M850" i="21"/>
  <c r="J851" i="21"/>
  <c r="M851" i="21"/>
  <c r="J852" i="21"/>
  <c r="M852" i="21"/>
  <c r="J853" i="21"/>
  <c r="M853" i="21"/>
  <c r="J854" i="21"/>
  <c r="M854" i="21"/>
  <c r="K855" i="21"/>
  <c r="N855" i="21"/>
  <c r="K856" i="21"/>
  <c r="N856" i="21"/>
  <c r="K857" i="21"/>
  <c r="N857" i="21"/>
  <c r="K858" i="21"/>
  <c r="N858" i="21"/>
  <c r="K859" i="21"/>
  <c r="N859" i="21"/>
  <c r="K860" i="21"/>
  <c r="N860" i="21"/>
  <c r="K861" i="21"/>
  <c r="N861" i="21"/>
  <c r="K862" i="21"/>
  <c r="N862" i="21"/>
  <c r="K863" i="21"/>
  <c r="N863" i="21"/>
  <c r="K864" i="21"/>
  <c r="N864" i="21"/>
  <c r="K865" i="21"/>
  <c r="N865" i="21"/>
  <c r="K866" i="21"/>
  <c r="N866" i="21"/>
  <c r="K867" i="21"/>
  <c r="N867" i="21"/>
  <c r="K868" i="21"/>
  <c r="N868" i="21"/>
  <c r="K869" i="21"/>
  <c r="N869" i="21"/>
  <c r="K870" i="21"/>
  <c r="N870" i="21"/>
  <c r="K871" i="21"/>
  <c r="N871" i="21"/>
  <c r="K872" i="21"/>
  <c r="N872" i="21"/>
  <c r="K873" i="21"/>
  <c r="N873" i="21"/>
  <c r="K874" i="21"/>
  <c r="N874" i="21"/>
  <c r="K875" i="21"/>
  <c r="N875" i="21"/>
  <c r="K876" i="21"/>
  <c r="N876" i="21"/>
  <c r="K877" i="21"/>
  <c r="N877" i="21"/>
  <c r="K878" i="21"/>
  <c r="N878" i="21"/>
  <c r="K879" i="21"/>
  <c r="N879" i="21"/>
  <c r="K880" i="21"/>
  <c r="N880" i="21"/>
  <c r="K881" i="21"/>
  <c r="N881" i="21"/>
  <c r="K882" i="21"/>
  <c r="N882" i="21"/>
  <c r="K883" i="21"/>
  <c r="N883" i="21"/>
  <c r="K884" i="21"/>
  <c r="N884" i="21"/>
  <c r="K885" i="21"/>
  <c r="N885" i="21"/>
  <c r="K886" i="21"/>
  <c r="N886" i="21"/>
  <c r="K887" i="21"/>
  <c r="N887" i="21"/>
  <c r="K888" i="21"/>
  <c r="N888" i="21"/>
  <c r="K889" i="21"/>
  <c r="N889" i="21"/>
  <c r="K890" i="21"/>
  <c r="N890" i="21"/>
  <c r="K891" i="21"/>
  <c r="N891" i="21"/>
  <c r="K892" i="21"/>
  <c r="N892" i="21"/>
  <c r="K893" i="21"/>
  <c r="N893" i="21"/>
  <c r="K894" i="21"/>
  <c r="N894" i="21"/>
  <c r="K895" i="21"/>
  <c r="N895" i="21"/>
  <c r="K896" i="21"/>
  <c r="N896" i="21"/>
  <c r="K897" i="21"/>
  <c r="N897" i="21"/>
  <c r="K898" i="21"/>
  <c r="N898" i="21"/>
  <c r="J899" i="21"/>
  <c r="M899" i="21"/>
  <c r="J900" i="21"/>
  <c r="M900" i="21"/>
  <c r="J901" i="21"/>
  <c r="M901" i="21"/>
  <c r="J902" i="21"/>
  <c r="M902" i="21"/>
  <c r="K903" i="21"/>
  <c r="N903" i="21"/>
  <c r="K904" i="21"/>
  <c r="N904" i="21"/>
  <c r="K905" i="21"/>
  <c r="N905" i="21"/>
  <c r="K906" i="21"/>
  <c r="N906" i="21"/>
  <c r="K907" i="21"/>
  <c r="N907" i="21"/>
  <c r="K908" i="21"/>
  <c r="N908" i="21"/>
  <c r="K909" i="21"/>
  <c r="N909" i="21"/>
  <c r="K910" i="21"/>
  <c r="N910" i="21"/>
  <c r="K911" i="21"/>
  <c r="N911" i="21"/>
  <c r="K912" i="21"/>
  <c r="N912" i="21"/>
  <c r="K913" i="21"/>
  <c r="N913" i="21"/>
  <c r="K914" i="21"/>
  <c r="N914" i="21"/>
  <c r="K915" i="21"/>
  <c r="N915" i="21"/>
  <c r="K916" i="21"/>
  <c r="N916" i="21"/>
  <c r="K917" i="21"/>
  <c r="N917" i="21"/>
  <c r="K918" i="21"/>
  <c r="N918" i="21"/>
  <c r="K919" i="21"/>
  <c r="N919" i="21"/>
  <c r="K920" i="21"/>
  <c r="N920" i="21"/>
  <c r="K921" i="21"/>
  <c r="N921" i="21"/>
  <c r="K922" i="21"/>
  <c r="N922" i="21"/>
  <c r="K923" i="21"/>
  <c r="N923" i="21"/>
  <c r="K924" i="21"/>
  <c r="N924" i="21"/>
  <c r="K925" i="21"/>
  <c r="N925" i="21"/>
  <c r="K926" i="21"/>
  <c r="N926" i="21"/>
  <c r="K927" i="21"/>
  <c r="N927" i="21"/>
  <c r="K928" i="21"/>
  <c r="N928" i="21"/>
  <c r="K929" i="21"/>
  <c r="N929" i="21"/>
  <c r="K930" i="21"/>
  <c r="N930" i="21"/>
  <c r="J931" i="21"/>
  <c r="M931" i="21"/>
  <c r="J932" i="21"/>
  <c r="M932" i="21"/>
  <c r="J933" i="21"/>
  <c r="M933" i="21"/>
  <c r="J934" i="21"/>
  <c r="M934" i="21"/>
  <c r="J935" i="21"/>
  <c r="M935" i="21"/>
  <c r="J936" i="21"/>
  <c r="M936" i="21"/>
  <c r="J937" i="21"/>
  <c r="M937" i="21"/>
  <c r="J938" i="21"/>
  <c r="M938" i="21"/>
  <c r="J939" i="21"/>
  <c r="M939" i="21"/>
  <c r="J940" i="21"/>
  <c r="M940" i="21"/>
  <c r="J941" i="21"/>
  <c r="M941" i="21"/>
  <c r="J942" i="21"/>
  <c r="M942" i="21"/>
  <c r="J943" i="21"/>
  <c r="M943" i="21"/>
  <c r="J944" i="21"/>
  <c r="M944" i="21"/>
  <c r="J945" i="21"/>
  <c r="M945" i="21"/>
  <c r="J946" i="21"/>
  <c r="M946" i="21"/>
  <c r="J947" i="21"/>
  <c r="M947" i="21"/>
  <c r="J948" i="21"/>
  <c r="M948" i="21"/>
  <c r="J949" i="21"/>
  <c r="M949" i="21"/>
  <c r="J950" i="21"/>
  <c r="M950" i="21"/>
  <c r="J951" i="21"/>
  <c r="M951" i="21"/>
  <c r="J952" i="21"/>
  <c r="M952" i="21"/>
  <c r="J953" i="21"/>
  <c r="M953" i="21"/>
  <c r="J954" i="21"/>
  <c r="M954" i="21"/>
  <c r="K955" i="21"/>
  <c r="N955" i="21"/>
  <c r="K956" i="21"/>
  <c r="N956" i="21"/>
  <c r="K957" i="21"/>
  <c r="N957" i="21"/>
  <c r="K958" i="21"/>
  <c r="N958" i="21"/>
  <c r="K959" i="21"/>
  <c r="N959" i="21"/>
  <c r="K960" i="21"/>
  <c r="N960" i="21"/>
  <c r="K961" i="21"/>
  <c r="N961" i="21"/>
  <c r="K962" i="21"/>
  <c r="N962" i="21"/>
  <c r="K963" i="21"/>
  <c r="N963" i="21"/>
  <c r="K964" i="21"/>
  <c r="N964" i="21"/>
  <c r="K965" i="21"/>
  <c r="N965" i="21"/>
  <c r="K966" i="21"/>
  <c r="N966" i="21"/>
  <c r="K967" i="21"/>
  <c r="N967" i="21"/>
  <c r="K968" i="21"/>
  <c r="N968" i="21"/>
  <c r="K969" i="21"/>
  <c r="N969" i="21"/>
  <c r="K970" i="21"/>
  <c r="N970" i="21"/>
  <c r="K971" i="21"/>
  <c r="N971" i="21"/>
  <c r="K972" i="21"/>
  <c r="N972" i="21"/>
  <c r="K973" i="21"/>
  <c r="N973" i="21"/>
  <c r="K974" i="21"/>
  <c r="N974" i="21"/>
  <c r="K975" i="21"/>
  <c r="N975" i="21"/>
  <c r="K976" i="21"/>
  <c r="N976" i="21"/>
  <c r="K977" i="21"/>
  <c r="N977" i="21"/>
  <c r="K978" i="21"/>
  <c r="N978" i="21"/>
  <c r="K979" i="21"/>
  <c r="N979" i="21"/>
  <c r="K980" i="21"/>
  <c r="N980" i="21"/>
  <c r="K981" i="21"/>
  <c r="N981" i="21"/>
  <c r="K982" i="21"/>
  <c r="N982" i="21"/>
  <c r="K983" i="21"/>
  <c r="N983" i="21"/>
  <c r="K984" i="21"/>
  <c r="N984" i="21"/>
  <c r="K985" i="21"/>
  <c r="N985" i="21"/>
  <c r="K986" i="21"/>
  <c r="N986" i="21"/>
  <c r="K987" i="21"/>
  <c r="N987" i="21"/>
  <c r="K988" i="21"/>
  <c r="N988" i="21"/>
  <c r="K989" i="21"/>
  <c r="N989" i="21"/>
  <c r="K990" i="21"/>
  <c r="N990" i="21"/>
  <c r="K991" i="21"/>
  <c r="N991" i="21"/>
  <c r="K992" i="21"/>
  <c r="N992" i="21"/>
  <c r="K993" i="21"/>
  <c r="N993" i="21"/>
  <c r="K994" i="21"/>
  <c r="N994" i="21"/>
  <c r="K995" i="21"/>
  <c r="N995" i="21"/>
  <c r="K996" i="21"/>
  <c r="N996" i="21"/>
  <c r="K997" i="21"/>
  <c r="N997" i="21"/>
  <c r="K998" i="21"/>
  <c r="N998" i="21"/>
  <c r="K999" i="21"/>
  <c r="N999" i="21"/>
  <c r="K1000" i="21"/>
  <c r="N1000" i="21"/>
  <c r="K1001" i="21"/>
  <c r="N1001" i="21"/>
  <c r="K1002" i="21"/>
  <c r="N1002" i="21"/>
  <c r="K1003" i="21"/>
  <c r="N1003" i="21"/>
  <c r="K1004" i="21"/>
  <c r="N1004" i="21"/>
  <c r="K1005" i="21"/>
  <c r="N1005" i="21"/>
  <c r="K1006" i="21"/>
  <c r="N1006" i="21"/>
  <c r="K1007" i="21"/>
  <c r="N1007" i="21"/>
  <c r="K1008" i="21"/>
  <c r="N1008" i="21"/>
  <c r="K1009" i="21"/>
  <c r="N1009" i="21"/>
  <c r="K1010" i="21"/>
  <c r="N1010" i="21"/>
  <c r="K1011" i="21"/>
  <c r="N1011" i="21"/>
  <c r="K1012" i="21"/>
  <c r="N1012" i="21"/>
  <c r="K1013" i="21"/>
  <c r="N1013" i="21"/>
  <c r="K1014" i="21"/>
  <c r="N1014" i="21"/>
  <c r="K1015" i="21"/>
  <c r="N1015" i="21"/>
  <c r="K1016" i="21"/>
  <c r="N1016" i="21"/>
  <c r="K1017" i="21"/>
  <c r="N1017" i="21"/>
  <c r="K1018" i="21"/>
  <c r="N1018" i="21"/>
  <c r="K1019" i="21"/>
  <c r="N1019" i="21"/>
  <c r="K1020" i="21"/>
  <c r="N1020" i="21"/>
  <c r="K1021" i="21"/>
  <c r="N1021" i="21"/>
  <c r="K1022" i="21"/>
  <c r="N1022" i="21"/>
  <c r="K1023" i="21"/>
  <c r="N1023" i="21"/>
  <c r="K1024" i="21"/>
  <c r="N1024" i="21"/>
  <c r="K1025" i="21"/>
  <c r="N1025" i="21"/>
  <c r="K1026" i="21"/>
  <c r="N1026" i="21"/>
  <c r="K1027" i="21"/>
  <c r="N1027" i="21"/>
  <c r="K1028" i="21"/>
  <c r="N1028" i="21"/>
  <c r="K1029" i="21"/>
  <c r="N1029" i="21"/>
  <c r="K1030" i="21"/>
  <c r="N1030" i="21"/>
  <c r="K1031" i="21"/>
  <c r="N1031" i="21"/>
  <c r="K1032" i="21"/>
  <c r="N1032" i="21"/>
  <c r="K1033" i="21"/>
  <c r="N1033" i="21"/>
  <c r="K1034" i="21"/>
  <c r="N1034" i="21"/>
  <c r="K1035" i="21"/>
  <c r="N1035" i="21"/>
  <c r="K1036" i="21"/>
  <c r="N1036" i="21"/>
  <c r="K1037" i="21"/>
  <c r="N1037" i="21"/>
  <c r="K1038" i="21"/>
  <c r="N1038" i="21"/>
  <c r="K1039" i="21"/>
  <c r="N1039" i="21"/>
  <c r="K1040" i="21"/>
  <c r="N1040" i="21"/>
  <c r="K1041" i="21"/>
  <c r="N1041" i="21"/>
  <c r="K1042" i="21"/>
  <c r="N1042" i="21"/>
  <c r="K1043" i="21"/>
  <c r="N1043" i="21"/>
  <c r="K1044" i="21"/>
  <c r="N1044" i="21"/>
  <c r="K1045" i="21"/>
  <c r="N1045" i="21"/>
  <c r="K1046" i="21"/>
  <c r="N1046" i="21"/>
  <c r="K1047" i="21"/>
  <c r="N1047" i="21"/>
  <c r="K1048" i="21"/>
  <c r="N1048" i="21"/>
  <c r="K1049" i="21"/>
  <c r="N1049" i="21"/>
  <c r="K1050" i="21"/>
  <c r="N1050" i="21"/>
  <c r="K1051" i="21"/>
  <c r="N1051" i="21"/>
  <c r="K1052" i="21"/>
  <c r="N1052" i="21"/>
  <c r="K1053" i="21"/>
  <c r="N1053" i="21"/>
  <c r="K1054" i="21"/>
  <c r="N1054" i="21"/>
  <c r="K1055" i="21"/>
  <c r="N1055" i="21"/>
  <c r="K1056" i="21"/>
  <c r="N1056" i="21"/>
  <c r="K1057" i="21"/>
  <c r="N1057" i="21"/>
  <c r="K1058" i="21"/>
  <c r="N1058" i="21"/>
  <c r="K1059" i="21"/>
  <c r="N1059" i="21"/>
  <c r="K1060" i="21"/>
  <c r="N1060" i="21"/>
  <c r="K1061" i="21"/>
  <c r="N1061" i="21"/>
  <c r="K1062" i="21"/>
  <c r="N1062" i="21"/>
  <c r="K1063" i="21"/>
  <c r="N1063" i="21"/>
  <c r="K1064" i="21"/>
  <c r="N1064" i="21"/>
  <c r="K1065" i="21"/>
  <c r="N1065" i="21"/>
  <c r="K1066" i="21"/>
  <c r="N1066" i="21"/>
  <c r="K1067" i="21"/>
  <c r="N1067" i="21"/>
  <c r="K1068" i="21"/>
  <c r="N1068" i="21"/>
  <c r="K1069" i="21"/>
  <c r="N1069" i="21"/>
  <c r="K1070" i="21"/>
  <c r="N1070" i="21"/>
  <c r="K1071" i="21"/>
  <c r="N1071" i="21"/>
  <c r="K1072" i="21"/>
  <c r="N1072" i="21"/>
  <c r="K1073" i="21"/>
  <c r="N1073" i="21"/>
  <c r="K1074" i="21"/>
  <c r="N1074" i="21"/>
  <c r="K1075" i="21"/>
  <c r="N1075" i="21"/>
  <c r="K1076" i="21"/>
  <c r="N1076" i="21"/>
  <c r="K1077" i="21"/>
  <c r="N1077" i="21"/>
  <c r="K1078" i="21"/>
  <c r="N1078" i="21"/>
  <c r="K1079" i="21"/>
  <c r="N1079" i="21"/>
  <c r="K1080" i="21"/>
  <c r="N1080" i="21"/>
  <c r="K1081" i="21"/>
  <c r="N1081" i="21"/>
  <c r="K1082" i="21"/>
  <c r="N1082" i="21"/>
  <c r="K1083" i="21"/>
  <c r="N1083" i="21"/>
  <c r="K1084" i="21"/>
  <c r="N1084" i="21"/>
  <c r="K1085" i="21"/>
  <c r="N1085" i="21"/>
  <c r="K1086" i="21"/>
  <c r="N1086" i="21"/>
  <c r="K1087" i="21"/>
  <c r="N1087" i="21"/>
  <c r="K1088" i="21"/>
  <c r="N1088" i="21"/>
  <c r="K1089" i="21"/>
  <c r="N1089" i="21"/>
  <c r="K1090" i="21"/>
  <c r="N1090" i="21"/>
  <c r="K1091" i="21"/>
  <c r="N1091" i="21"/>
  <c r="K1092" i="21"/>
  <c r="N1092" i="21"/>
  <c r="K1093" i="21"/>
  <c r="N1093" i="21"/>
  <c r="K1094" i="21"/>
  <c r="N1094" i="21"/>
  <c r="K1095" i="21"/>
  <c r="N1095" i="21"/>
  <c r="K1096" i="21"/>
  <c r="N1096" i="21"/>
  <c r="K1097" i="21"/>
  <c r="N1097" i="21"/>
  <c r="K1098" i="21"/>
  <c r="N1098" i="21"/>
  <c r="K1099" i="21"/>
  <c r="N1099" i="21"/>
  <c r="K1100" i="21"/>
  <c r="N1100" i="21"/>
  <c r="K1101" i="21"/>
  <c r="N1101" i="21"/>
  <c r="K1102" i="21"/>
  <c r="N1102" i="21"/>
  <c r="K1103" i="21"/>
  <c r="N1103" i="21"/>
  <c r="K1104" i="21"/>
  <c r="N1104" i="21"/>
  <c r="K1105" i="21"/>
  <c r="N1105" i="21"/>
  <c r="K1106" i="21"/>
  <c r="N1106" i="21"/>
  <c r="K1107" i="21"/>
  <c r="N1107" i="21"/>
  <c r="K1108" i="21"/>
  <c r="N1108" i="21"/>
  <c r="K1109" i="21"/>
  <c r="N1109" i="21"/>
  <c r="K1110" i="21"/>
  <c r="N1110" i="21"/>
  <c r="K1111" i="21"/>
  <c r="N1111" i="21"/>
  <c r="K1112" i="21"/>
  <c r="N1112" i="21"/>
  <c r="K1113" i="21"/>
  <c r="N1113" i="21"/>
  <c r="K1114" i="21"/>
  <c r="N1114" i="21"/>
  <c r="K1115" i="21"/>
  <c r="N1115" i="21"/>
  <c r="K1116" i="21"/>
  <c r="N1116" i="21"/>
  <c r="K1117" i="21"/>
  <c r="N1117" i="21"/>
  <c r="K1118" i="21"/>
  <c r="N1118" i="21"/>
  <c r="K1119" i="21"/>
  <c r="N1119" i="21"/>
  <c r="K1120" i="21"/>
  <c r="N1120" i="21"/>
  <c r="K1121" i="21"/>
  <c r="N1121" i="21"/>
  <c r="K1122" i="21"/>
  <c r="N1122" i="21"/>
  <c r="K1123" i="21"/>
  <c r="N1123" i="21"/>
  <c r="K1124" i="21"/>
  <c r="N1124" i="21"/>
  <c r="K1125" i="21"/>
  <c r="N1125" i="21"/>
  <c r="K1126" i="21"/>
  <c r="N1126" i="21"/>
  <c r="K1127" i="21"/>
  <c r="N1127" i="21"/>
  <c r="K1128" i="21"/>
  <c r="N1128" i="21"/>
  <c r="K1129" i="21"/>
  <c r="N1129" i="21"/>
  <c r="K1130" i="21"/>
  <c r="N1130" i="21"/>
  <c r="K1131" i="21"/>
  <c r="N1131" i="21"/>
  <c r="K1132" i="21"/>
  <c r="N1132" i="21"/>
  <c r="K1133" i="21"/>
  <c r="N1133" i="21"/>
  <c r="K1134" i="21"/>
  <c r="N1134" i="21"/>
  <c r="K1135" i="21"/>
  <c r="N1135" i="21"/>
  <c r="K1136" i="21"/>
  <c r="N1136" i="21"/>
  <c r="K1137" i="21"/>
  <c r="N1137" i="21"/>
  <c r="K1138" i="21"/>
  <c r="N1138" i="21"/>
  <c r="K1139" i="21"/>
  <c r="N1139" i="21"/>
  <c r="K1140" i="21"/>
  <c r="N1140" i="21"/>
  <c r="K1141" i="21"/>
  <c r="N1141" i="21"/>
  <c r="K1142" i="21"/>
  <c r="N1142" i="21"/>
  <c r="K1143" i="21"/>
  <c r="N1143" i="21"/>
  <c r="K1144" i="21"/>
  <c r="N1144" i="21"/>
  <c r="K1145" i="21"/>
  <c r="N1145" i="21"/>
  <c r="K1146" i="21"/>
  <c r="N1146" i="21"/>
  <c r="K1147" i="21"/>
  <c r="N1147" i="21"/>
  <c r="K1148" i="21"/>
  <c r="N1148" i="21"/>
  <c r="K1149" i="21"/>
  <c r="N1149" i="21"/>
  <c r="K1150" i="21"/>
  <c r="N1150" i="21"/>
  <c r="K1151" i="21"/>
  <c r="N1151" i="21"/>
  <c r="K1152" i="21"/>
  <c r="N1152" i="21"/>
  <c r="K1153" i="21"/>
  <c r="N1153" i="21"/>
  <c r="K1154" i="21"/>
  <c r="N1154" i="21"/>
  <c r="K1155" i="21"/>
  <c r="N1155" i="21"/>
  <c r="K1156" i="21"/>
  <c r="N1156" i="21"/>
  <c r="K1157" i="21"/>
  <c r="N1157" i="21"/>
  <c r="K1158" i="21"/>
  <c r="N1158" i="21"/>
  <c r="K1159" i="21"/>
  <c r="N1159" i="21"/>
  <c r="K1160" i="21"/>
  <c r="N1160" i="21"/>
  <c r="K1161" i="21"/>
  <c r="N1161" i="21"/>
  <c r="K1162" i="21"/>
  <c r="N1162" i="21"/>
  <c r="K1163" i="21"/>
  <c r="N1163" i="21"/>
  <c r="K1164" i="21"/>
  <c r="N1164" i="21"/>
  <c r="K1165" i="21"/>
  <c r="N1165" i="21"/>
  <c r="K1166" i="21"/>
  <c r="N1166" i="21"/>
  <c r="K1167" i="21"/>
  <c r="N1167" i="21"/>
  <c r="K1168" i="21"/>
  <c r="N1168" i="21"/>
  <c r="K1169" i="21"/>
  <c r="N1169" i="21"/>
  <c r="K1170" i="21"/>
  <c r="N1170" i="21"/>
  <c r="K1171" i="21"/>
  <c r="N1171" i="21"/>
  <c r="K1172" i="21"/>
  <c r="N1172" i="21"/>
  <c r="K1173" i="21"/>
  <c r="N1173" i="21"/>
  <c r="K1174" i="21"/>
  <c r="N1174" i="21"/>
  <c r="K1175" i="21"/>
  <c r="N1175" i="21"/>
  <c r="K1176" i="21"/>
  <c r="N1176" i="21"/>
  <c r="K1177" i="21"/>
  <c r="N1177" i="21"/>
  <c r="K1178" i="21"/>
  <c r="N1178" i="21"/>
  <c r="K1179" i="21"/>
  <c r="N1179" i="21"/>
  <c r="K1180" i="21"/>
  <c r="N1180" i="21"/>
  <c r="K1181" i="21"/>
  <c r="N1181" i="21"/>
  <c r="K1182" i="21"/>
  <c r="N1182" i="21"/>
  <c r="K1183" i="21"/>
  <c r="N1183" i="21"/>
  <c r="K1184" i="21"/>
  <c r="N1184" i="21"/>
  <c r="K1185" i="21"/>
  <c r="N1185" i="21"/>
  <c r="K1186" i="21"/>
  <c r="N1186" i="21"/>
  <c r="K1187" i="21"/>
  <c r="N1187" i="21"/>
  <c r="K1188" i="21"/>
  <c r="N1188" i="21"/>
  <c r="K1189" i="21"/>
  <c r="N1189" i="21"/>
  <c r="K1190" i="21"/>
  <c r="N1190" i="21"/>
  <c r="K1191" i="21"/>
  <c r="N1191" i="21"/>
  <c r="K1192" i="21"/>
  <c r="N1192" i="21"/>
  <c r="K1193" i="21"/>
  <c r="N1193" i="21"/>
  <c r="K1194" i="21"/>
  <c r="N1194" i="21"/>
  <c r="K1195" i="21"/>
  <c r="N1195" i="21"/>
  <c r="K1196" i="21"/>
  <c r="N1196" i="21"/>
  <c r="K1197" i="21"/>
  <c r="N1197" i="21"/>
  <c r="K1198" i="21"/>
  <c r="N1198" i="21"/>
  <c r="K1199" i="21"/>
  <c r="N1199" i="21"/>
  <c r="K1200" i="21"/>
  <c r="N1200" i="21"/>
  <c r="K1201" i="21"/>
  <c r="N1201" i="21"/>
  <c r="K1202" i="21"/>
  <c r="N1202" i="21"/>
  <c r="K1203" i="21"/>
  <c r="N1203" i="21"/>
  <c r="K1204" i="21"/>
  <c r="N1204" i="21"/>
  <c r="K1205" i="21"/>
  <c r="N1205" i="21"/>
  <c r="K1206" i="21"/>
  <c r="N1206" i="21"/>
  <c r="K1207" i="21"/>
  <c r="N1207" i="21"/>
  <c r="K1208" i="21"/>
  <c r="N1208" i="21"/>
  <c r="K1209" i="21"/>
  <c r="N1209" i="21"/>
  <c r="K1210" i="21"/>
  <c r="N1210" i="21"/>
  <c r="K1211" i="21"/>
  <c r="N1211" i="21"/>
  <c r="K1212" i="21"/>
  <c r="N1212" i="21"/>
  <c r="K1213" i="21"/>
  <c r="N1213" i="21"/>
  <c r="K1214" i="21"/>
  <c r="N1214" i="21"/>
  <c r="K1215" i="21"/>
  <c r="N1215" i="21"/>
  <c r="K1216" i="21"/>
  <c r="N1216" i="21"/>
  <c r="K1217" i="21"/>
  <c r="N1217" i="21"/>
  <c r="K1218" i="21"/>
  <c r="N1218" i="21"/>
  <c r="K1219" i="21"/>
  <c r="N1219" i="21"/>
  <c r="K1220" i="21"/>
  <c r="N1220" i="21"/>
  <c r="K1221" i="21"/>
  <c r="N1221" i="21"/>
  <c r="K1222" i="21"/>
  <c r="N1222" i="21"/>
  <c r="K1223" i="21"/>
  <c r="N1223" i="21"/>
  <c r="K1224" i="21"/>
  <c r="N1224" i="21"/>
  <c r="K1225" i="21"/>
  <c r="N1225" i="21"/>
  <c r="K1226" i="21"/>
  <c r="N1226" i="21"/>
  <c r="K1227" i="21"/>
  <c r="N1227" i="21"/>
  <c r="K1228" i="21"/>
  <c r="N1228" i="21"/>
  <c r="K1229" i="21"/>
  <c r="N1229" i="21"/>
  <c r="K1230" i="21"/>
  <c r="N1230" i="21"/>
  <c r="K1231" i="21"/>
  <c r="N1231" i="21"/>
  <c r="K1232" i="21"/>
  <c r="N1232" i="21"/>
  <c r="K1233" i="21"/>
  <c r="N1233" i="21"/>
  <c r="K1234" i="21"/>
  <c r="N1234" i="21"/>
  <c r="K1235" i="21"/>
  <c r="N1235" i="21"/>
  <c r="K1236" i="21"/>
  <c r="N1236" i="21"/>
  <c r="K1237" i="21"/>
  <c r="N1237" i="21"/>
  <c r="K1238" i="21"/>
  <c r="N1238" i="21"/>
  <c r="K1239" i="21"/>
  <c r="N1239" i="21"/>
  <c r="K1240" i="21"/>
  <c r="N1240" i="21"/>
  <c r="K1241" i="21"/>
  <c r="N1241" i="21"/>
  <c r="K1242" i="21"/>
  <c r="N1242" i="21"/>
  <c r="K1243" i="21"/>
  <c r="N1243" i="21"/>
  <c r="K1244" i="21"/>
  <c r="N1244" i="21"/>
  <c r="K1245" i="21"/>
  <c r="N1245" i="21"/>
  <c r="K1246" i="21"/>
  <c r="N1246" i="21"/>
  <c r="K1247" i="21"/>
  <c r="N1247" i="21"/>
  <c r="K1248" i="21"/>
  <c r="N1248" i="21"/>
  <c r="K1249" i="21"/>
  <c r="N1249" i="21"/>
  <c r="K1250" i="21"/>
  <c r="N1250" i="21"/>
  <c r="K1251" i="21"/>
  <c r="N1251" i="21"/>
  <c r="K1252" i="21"/>
  <c r="N1252" i="21"/>
  <c r="K1253" i="21"/>
  <c r="N1253" i="21"/>
  <c r="K1254" i="21"/>
  <c r="N1254" i="21"/>
  <c r="K1255" i="21"/>
  <c r="N1255" i="21"/>
  <c r="K1256" i="21"/>
  <c r="N1256" i="21"/>
  <c r="K1257" i="21"/>
  <c r="N1257" i="21"/>
  <c r="K1258" i="21"/>
  <c r="N1258" i="21"/>
  <c r="K1259" i="21"/>
  <c r="N1259" i="21"/>
  <c r="K1260" i="21"/>
  <c r="N1260" i="21"/>
  <c r="K1261" i="21"/>
  <c r="N1261" i="21"/>
  <c r="K1262" i="21"/>
  <c r="N1262" i="21"/>
  <c r="K1263" i="21"/>
  <c r="N1263" i="21"/>
  <c r="K1264" i="21"/>
  <c r="N1264" i="21"/>
  <c r="K1265" i="21"/>
  <c r="N1265" i="21"/>
  <c r="K1266" i="21"/>
  <c r="N1266" i="21"/>
  <c r="K1267" i="21"/>
  <c r="N1267" i="21"/>
  <c r="K1268" i="21"/>
  <c r="N1268" i="21"/>
  <c r="K1269" i="21"/>
  <c r="N1269" i="21"/>
  <c r="K1270" i="21"/>
  <c r="N1270" i="21"/>
  <c r="K1271" i="21"/>
  <c r="N1271" i="21"/>
  <c r="K1272" i="21"/>
  <c r="N1272" i="21"/>
  <c r="K1273" i="21"/>
  <c r="N1273" i="21"/>
  <c r="K1274" i="21"/>
  <c r="N1274" i="21"/>
  <c r="K1275" i="21"/>
  <c r="N1275" i="21"/>
  <c r="K1276" i="21"/>
  <c r="N1276" i="21"/>
  <c r="K1277" i="21"/>
  <c r="N1277" i="21"/>
  <c r="K1278" i="21"/>
  <c r="N1278" i="21"/>
  <c r="K1279" i="21"/>
  <c r="N1279" i="21"/>
  <c r="K1280" i="21"/>
  <c r="N1280" i="21"/>
  <c r="K1281" i="21"/>
  <c r="N1281" i="21"/>
  <c r="K1282" i="21"/>
  <c r="N1282" i="21"/>
  <c r="K1283" i="21"/>
  <c r="N1283" i="21"/>
  <c r="K1284" i="21"/>
  <c r="N1284" i="21"/>
  <c r="K1285" i="21"/>
  <c r="N1285" i="21"/>
  <c r="K1286" i="21"/>
  <c r="N1286" i="21"/>
  <c r="K1287" i="21"/>
  <c r="N1287" i="21"/>
  <c r="K1288" i="21"/>
  <c r="N1288" i="21"/>
  <c r="K1289" i="21"/>
  <c r="N1289" i="21"/>
  <c r="K1290" i="21"/>
  <c r="N1290" i="21"/>
  <c r="K1291" i="21"/>
  <c r="N1291" i="21"/>
  <c r="K1292" i="21"/>
  <c r="N1292" i="21"/>
  <c r="K1293" i="21"/>
  <c r="N1293" i="21"/>
  <c r="K1294" i="21"/>
  <c r="N1294" i="21"/>
  <c r="K1295" i="21"/>
  <c r="N1295" i="21"/>
  <c r="K1296" i="21"/>
  <c r="N1296" i="21"/>
  <c r="K1297" i="21"/>
  <c r="N1297" i="21"/>
  <c r="K1298" i="21"/>
  <c r="N1298" i="21"/>
  <c r="K1299" i="21"/>
  <c r="N1299" i="21"/>
  <c r="K1300" i="21"/>
  <c r="N1300" i="21"/>
  <c r="K1301" i="21"/>
  <c r="N1301" i="21"/>
  <c r="K1302" i="21"/>
  <c r="N1302" i="21"/>
  <c r="K1303" i="21"/>
  <c r="N1303" i="21"/>
  <c r="K1304" i="21"/>
  <c r="N1304" i="21"/>
  <c r="K1305" i="21"/>
  <c r="N1305" i="21"/>
  <c r="K1306" i="21"/>
  <c r="N1306" i="21"/>
  <c r="K1307" i="21"/>
  <c r="N1307" i="21"/>
  <c r="K1308" i="21"/>
  <c r="N1308" i="21"/>
  <c r="K1309" i="21"/>
  <c r="N1309" i="21"/>
  <c r="K1310" i="21"/>
  <c r="N1310" i="21"/>
  <c r="K1311" i="21"/>
  <c r="N1311" i="21"/>
  <c r="K1312" i="21"/>
  <c r="N1312" i="21"/>
  <c r="K1313" i="21"/>
  <c r="N1313" i="21"/>
  <c r="K1314" i="21"/>
  <c r="N1314" i="21"/>
  <c r="K1315" i="21"/>
  <c r="N1315" i="21"/>
  <c r="K1316" i="21"/>
  <c r="N1316" i="21"/>
  <c r="K1317" i="21"/>
  <c r="N1317" i="21"/>
  <c r="K1318" i="21"/>
  <c r="N1318" i="21"/>
  <c r="K1319" i="21"/>
  <c r="N1319" i="21"/>
  <c r="K1320" i="21"/>
  <c r="N1320" i="21"/>
  <c r="K1321" i="21"/>
  <c r="N1321" i="21"/>
  <c r="K1322" i="21"/>
  <c r="N1322" i="21"/>
  <c r="K1323" i="21"/>
  <c r="N1323" i="21"/>
  <c r="K1324" i="21"/>
  <c r="N1324" i="21"/>
  <c r="K1325" i="21"/>
  <c r="N1325" i="21"/>
  <c r="K1326" i="21"/>
  <c r="N1326" i="21"/>
  <c r="K1327" i="21"/>
  <c r="N1327" i="21"/>
  <c r="K1328" i="21"/>
  <c r="N1328" i="21"/>
  <c r="K1329" i="21"/>
  <c r="N1329" i="21"/>
  <c r="K1330" i="21"/>
  <c r="N1330" i="21"/>
  <c r="K1331" i="21"/>
  <c r="N1331" i="21"/>
  <c r="K1332" i="21"/>
  <c r="N1332" i="21"/>
  <c r="K1333" i="21"/>
  <c r="N1333" i="21"/>
  <c r="K1334" i="21"/>
  <c r="N1334" i="21"/>
  <c r="K1335" i="21"/>
  <c r="N1335" i="21"/>
  <c r="K1336" i="21"/>
  <c r="N1336" i="21"/>
  <c r="K1337" i="21"/>
  <c r="N1337" i="21"/>
  <c r="K1338" i="21"/>
  <c r="N1338" i="21"/>
  <c r="K1339" i="21"/>
  <c r="N1339" i="21"/>
  <c r="K1340" i="21"/>
  <c r="N1340" i="21"/>
  <c r="K1341" i="21"/>
  <c r="N1341" i="21"/>
  <c r="K1342" i="21"/>
  <c r="N1342" i="21"/>
  <c r="K1343" i="21"/>
  <c r="N1343" i="21"/>
  <c r="K1344" i="21"/>
  <c r="N1344" i="21"/>
  <c r="K1345" i="21"/>
  <c r="N1345" i="21"/>
  <c r="K1346" i="21"/>
  <c r="N1346" i="21"/>
  <c r="K1347" i="21"/>
  <c r="N1347" i="21"/>
  <c r="K1348" i="21"/>
  <c r="N1348" i="21"/>
  <c r="K1349" i="21"/>
  <c r="N1349" i="21"/>
  <c r="K1350" i="21"/>
  <c r="N1350" i="21"/>
  <c r="K1351" i="21"/>
  <c r="N1351" i="21"/>
  <c r="K1352" i="21"/>
  <c r="N1352" i="21"/>
  <c r="K1353" i="21"/>
  <c r="N1353" i="21"/>
  <c r="K1354" i="21"/>
  <c r="N1354" i="21"/>
  <c r="K1355" i="21"/>
  <c r="N1355" i="21"/>
  <c r="K1356" i="21"/>
  <c r="N1356" i="21"/>
  <c r="K1357" i="21"/>
  <c r="N1357" i="21"/>
  <c r="K1358" i="21"/>
  <c r="N1358" i="21"/>
  <c r="K1359" i="21"/>
  <c r="N1359" i="21"/>
  <c r="K1360" i="21"/>
  <c r="N1360" i="21"/>
  <c r="K1361" i="21"/>
  <c r="N1361" i="21"/>
  <c r="K1362" i="21"/>
  <c r="N1362" i="21"/>
  <c r="K1363" i="21"/>
  <c r="N1363" i="21"/>
  <c r="K1364" i="21"/>
  <c r="N1364" i="21"/>
  <c r="K1365" i="21"/>
  <c r="N1365" i="21"/>
  <c r="K1366" i="21"/>
  <c r="N1366" i="21"/>
  <c r="K1367" i="21"/>
  <c r="N1367" i="21"/>
  <c r="K1368" i="21"/>
  <c r="N1368" i="21"/>
  <c r="K1369" i="21"/>
  <c r="N1369" i="21"/>
  <c r="K1370" i="21"/>
  <c r="N1370" i="21"/>
  <c r="K1371" i="21"/>
  <c r="N1371" i="21"/>
  <c r="K1372" i="21"/>
  <c r="N1372" i="21"/>
  <c r="K1373" i="21"/>
  <c r="N1373" i="21"/>
  <c r="K1374" i="21"/>
  <c r="N1374" i="21"/>
  <c r="K1375" i="21"/>
  <c r="N1375" i="21"/>
  <c r="K1376" i="21"/>
  <c r="N1376" i="21"/>
  <c r="K1377" i="21"/>
  <c r="N1377" i="21"/>
  <c r="K1378" i="21"/>
  <c r="N1378" i="21"/>
  <c r="K1379" i="21"/>
  <c r="N1379" i="21"/>
  <c r="K1380" i="21"/>
  <c r="N1380" i="21"/>
  <c r="K1381" i="21"/>
  <c r="N1381" i="21"/>
  <c r="K1382" i="21"/>
  <c r="N1382" i="21"/>
  <c r="K1383" i="21"/>
  <c r="N1383" i="21"/>
  <c r="K1384" i="21"/>
  <c r="N1384" i="21"/>
  <c r="K1385" i="21"/>
  <c r="N1385" i="21"/>
  <c r="K1386" i="21"/>
  <c r="N1386" i="21"/>
  <c r="K1387" i="21"/>
  <c r="N1387" i="21"/>
  <c r="K1388" i="21"/>
  <c r="N1388" i="21"/>
  <c r="K1389" i="21"/>
  <c r="N1389" i="21"/>
  <c r="K1390" i="21"/>
  <c r="N1390" i="21"/>
  <c r="K1391" i="21"/>
  <c r="N1391" i="21"/>
  <c r="K1392" i="21"/>
  <c r="N1392" i="21"/>
  <c r="K1393" i="21"/>
  <c r="N1393" i="21"/>
  <c r="K1394" i="21"/>
  <c r="N1394" i="21"/>
  <c r="K1395" i="21"/>
  <c r="N1395" i="21"/>
  <c r="K1396" i="21"/>
  <c r="N1396" i="21"/>
  <c r="K1397" i="21"/>
  <c r="N1397" i="21"/>
  <c r="K1398" i="21"/>
  <c r="N1398" i="21"/>
  <c r="K1399" i="21"/>
  <c r="N1399" i="21"/>
  <c r="K1400" i="21"/>
  <c r="N1400" i="21"/>
  <c r="K1401" i="21"/>
  <c r="N1401" i="21"/>
  <c r="K1402" i="21"/>
  <c r="N1402" i="21"/>
  <c r="K1403" i="21"/>
  <c r="N1403" i="21"/>
  <c r="K1404" i="21"/>
  <c r="N1404" i="21"/>
  <c r="K1405" i="21"/>
  <c r="N1405" i="21"/>
  <c r="K1406" i="21"/>
  <c r="N1406" i="21"/>
  <c r="K1407" i="21"/>
  <c r="N1407" i="21"/>
  <c r="K1408" i="21"/>
  <c r="N1408" i="21"/>
  <c r="K1409" i="21"/>
  <c r="N1409" i="21"/>
  <c r="K1410" i="21"/>
  <c r="N1410" i="21"/>
  <c r="K1411" i="21"/>
  <c r="N1411" i="21"/>
  <c r="K1412" i="21"/>
  <c r="N1412" i="21"/>
  <c r="K1413" i="21"/>
  <c r="N1413" i="21"/>
  <c r="K1414" i="21"/>
  <c r="N1414" i="21"/>
  <c r="K1415" i="21"/>
  <c r="N1415" i="21"/>
  <c r="K1416" i="21"/>
  <c r="N1416" i="21"/>
  <c r="K1417" i="21"/>
  <c r="N1417" i="21"/>
  <c r="K1418" i="21"/>
  <c r="N1418" i="21"/>
  <c r="K1419" i="21"/>
  <c r="N1419" i="21"/>
  <c r="K1420" i="21"/>
  <c r="N1420" i="21"/>
  <c r="K1421" i="21"/>
  <c r="N1421" i="21"/>
  <c r="K1422" i="21"/>
  <c r="N1422" i="21"/>
  <c r="K1423" i="21"/>
  <c r="N1423" i="21"/>
  <c r="K1424" i="21"/>
  <c r="N1424" i="21"/>
  <c r="K1425" i="21"/>
  <c r="N1425" i="21"/>
  <c r="K1426" i="21"/>
  <c r="N1426" i="21"/>
  <c r="K1427" i="21"/>
  <c r="N1427" i="21"/>
  <c r="K1428" i="21"/>
  <c r="N1428" i="21"/>
  <c r="K1429" i="21"/>
  <c r="N1429" i="21"/>
  <c r="K1430" i="21"/>
  <c r="N1430" i="21"/>
  <c r="K1431" i="21"/>
  <c r="N1431" i="21"/>
  <c r="K1432" i="21"/>
  <c r="N1432" i="21"/>
  <c r="K1433" i="21"/>
  <c r="N1433" i="21"/>
  <c r="K1434" i="21"/>
  <c r="N1434" i="21"/>
  <c r="K1435" i="21"/>
  <c r="N1435" i="21"/>
  <c r="K1436" i="21"/>
  <c r="N1436" i="21"/>
  <c r="K1437" i="21"/>
  <c r="N1437" i="21"/>
  <c r="K1438" i="21"/>
  <c r="N1438" i="21"/>
  <c r="K1439" i="21"/>
  <c r="N1439" i="21"/>
  <c r="K1440" i="21"/>
  <c r="N1440" i="21"/>
  <c r="K1441" i="21"/>
  <c r="N1441" i="21"/>
  <c r="K1442" i="21"/>
  <c r="N1442" i="21"/>
  <c r="K1443" i="21"/>
  <c r="N1443" i="21"/>
  <c r="K1444" i="21"/>
  <c r="N1444" i="21"/>
  <c r="K1445" i="21"/>
  <c r="N1445" i="21"/>
  <c r="K1446" i="21"/>
  <c r="N1446" i="21"/>
  <c r="K1447" i="21"/>
  <c r="N1447" i="21"/>
  <c r="K1448" i="21"/>
  <c r="N1448" i="21"/>
  <c r="K1449" i="21"/>
  <c r="N1449" i="21"/>
  <c r="K1450" i="21"/>
  <c r="N1450" i="21"/>
  <c r="K1451" i="21"/>
  <c r="N1451" i="21"/>
  <c r="K1452" i="21"/>
  <c r="N1452" i="21"/>
  <c r="K1453" i="21"/>
  <c r="N1453" i="21"/>
  <c r="K1454" i="21"/>
  <c r="N1454" i="21"/>
  <c r="K1455" i="21"/>
  <c r="N1455" i="21"/>
  <c r="K1456" i="21"/>
  <c r="N1456" i="21"/>
  <c r="K1457" i="21"/>
  <c r="N1457" i="21"/>
  <c r="K1458" i="21"/>
  <c r="N1458" i="21"/>
  <c r="K1459" i="21"/>
  <c r="N1459" i="21"/>
  <c r="K1460" i="21"/>
  <c r="N1460" i="21"/>
  <c r="K1461" i="21"/>
  <c r="N1461" i="21"/>
  <c r="K1462" i="21"/>
  <c r="N1462" i="21"/>
  <c r="K1463" i="21"/>
  <c r="N1463" i="21"/>
  <c r="K1464" i="21"/>
  <c r="N1464" i="21"/>
  <c r="K1465" i="21"/>
  <c r="N1465" i="21"/>
  <c r="K1466" i="21"/>
  <c r="N1466" i="21"/>
  <c r="K1467" i="21"/>
  <c r="N1467" i="21"/>
  <c r="K1468" i="21"/>
  <c r="N1468" i="21"/>
  <c r="K1469" i="21"/>
  <c r="N1469" i="21"/>
  <c r="K1470" i="21"/>
  <c r="N1470" i="21"/>
  <c r="K1471" i="21"/>
  <c r="N1471" i="21"/>
  <c r="K1472" i="21"/>
  <c r="N1472" i="21"/>
  <c r="K1473" i="21"/>
  <c r="N1473" i="21"/>
  <c r="K1474" i="21"/>
  <c r="N1474" i="21"/>
  <c r="K1475" i="21"/>
  <c r="N1475" i="21"/>
  <c r="K1476" i="21"/>
  <c r="N1476" i="21"/>
  <c r="K1477" i="21"/>
  <c r="N1477" i="21"/>
  <c r="K1478" i="21"/>
  <c r="N1478" i="21"/>
  <c r="K1479" i="21"/>
  <c r="N1479" i="21"/>
  <c r="K1480" i="21"/>
  <c r="N1480" i="21"/>
  <c r="K1481" i="21"/>
  <c r="N1481" i="21"/>
  <c r="K1482" i="21"/>
  <c r="N1482" i="21"/>
  <c r="K1483" i="21"/>
  <c r="N1483" i="21"/>
  <c r="K1484" i="21"/>
  <c r="N1484" i="21"/>
  <c r="K1485" i="21"/>
  <c r="N1485" i="21"/>
  <c r="K1486" i="21"/>
  <c r="N1486" i="21"/>
  <c r="K1487" i="21"/>
  <c r="N1487" i="21"/>
  <c r="K1488" i="21"/>
  <c r="N1488" i="21"/>
  <c r="K1489" i="21"/>
  <c r="N1489" i="21"/>
  <c r="K1490" i="21"/>
  <c r="N1490" i="21"/>
  <c r="K1491" i="21"/>
  <c r="N1491" i="21"/>
  <c r="K1492" i="21"/>
  <c r="N1492" i="21"/>
  <c r="K1493" i="21"/>
  <c r="N1493" i="21"/>
  <c r="K1494" i="21"/>
  <c r="N1494" i="21"/>
  <c r="K1495" i="21"/>
  <c r="N1495" i="21"/>
  <c r="K1496" i="21"/>
  <c r="N1496" i="21"/>
  <c r="K1497" i="21"/>
  <c r="N1497" i="21"/>
  <c r="K1498" i="21"/>
  <c r="N1498" i="21"/>
  <c r="K1499" i="21"/>
  <c r="N1499" i="21"/>
  <c r="K1500" i="21"/>
  <c r="N1500" i="21"/>
  <c r="K1501" i="21"/>
  <c r="N1501" i="21"/>
  <c r="K1502" i="21"/>
  <c r="N1502" i="21"/>
  <c r="K1503" i="21"/>
  <c r="N1503" i="21"/>
  <c r="K1504" i="21"/>
  <c r="N1504" i="21"/>
  <c r="K1505" i="21"/>
  <c r="N1505" i="21"/>
  <c r="K1506" i="21"/>
  <c r="N1506" i="21"/>
  <c r="K1507" i="21"/>
  <c r="N1507" i="21"/>
  <c r="K1508" i="21"/>
  <c r="N1508" i="21"/>
  <c r="K1509" i="21"/>
  <c r="N1509" i="21"/>
  <c r="K1510" i="21"/>
  <c r="N1510" i="21"/>
  <c r="K1511" i="21"/>
  <c r="N1511" i="21"/>
  <c r="K1512" i="21"/>
  <c r="N1512" i="21"/>
  <c r="K1513" i="21"/>
  <c r="N1513" i="21"/>
  <c r="K1514" i="21"/>
  <c r="N1514" i="21"/>
  <c r="K1515" i="21"/>
  <c r="N1515" i="21"/>
  <c r="K1516" i="21"/>
  <c r="N1516" i="21"/>
  <c r="K1517" i="21"/>
  <c r="N1517" i="21"/>
  <c r="K1518" i="21"/>
  <c r="N1518" i="21"/>
  <c r="K1519" i="21"/>
  <c r="N1519" i="21"/>
  <c r="K1520" i="21"/>
  <c r="N1520" i="21"/>
  <c r="K1521" i="21"/>
  <c r="N1521" i="21"/>
  <c r="K1522" i="21"/>
  <c r="N1522" i="21"/>
  <c r="K1523" i="21"/>
  <c r="N1523" i="21"/>
  <c r="K1524" i="21"/>
  <c r="N1524" i="21"/>
  <c r="K1525" i="21"/>
  <c r="N1525" i="21"/>
  <c r="K1526" i="21"/>
  <c r="N1526" i="21"/>
  <c r="K1527" i="21"/>
  <c r="N1527" i="21"/>
  <c r="K1528" i="21"/>
  <c r="N1528" i="21"/>
  <c r="K1529" i="21"/>
  <c r="N1529" i="21"/>
  <c r="K1530" i="21"/>
  <c r="N1530" i="21"/>
  <c r="K1531" i="21"/>
  <c r="N1531" i="21"/>
  <c r="K1532" i="21"/>
  <c r="N1532" i="21"/>
  <c r="K1533" i="21"/>
  <c r="N1533" i="21"/>
  <c r="K1534" i="21"/>
  <c r="N1534" i="21"/>
  <c r="K1535" i="21"/>
  <c r="N1535" i="21"/>
  <c r="K1536" i="21"/>
  <c r="N1536" i="21"/>
  <c r="K1537" i="21"/>
  <c r="N1537" i="21"/>
  <c r="K1538" i="21"/>
  <c r="N1538" i="21"/>
  <c r="K1539" i="21"/>
  <c r="N1539" i="21"/>
  <c r="K1540" i="21"/>
  <c r="N1540" i="21"/>
  <c r="K1541" i="21"/>
  <c r="N1541" i="21"/>
  <c r="K1542" i="21"/>
  <c r="N1542" i="21"/>
  <c r="K1543" i="21"/>
  <c r="N1543" i="21"/>
  <c r="K1544" i="21"/>
  <c r="N1544" i="21"/>
  <c r="K1545" i="21"/>
  <c r="N1545" i="21"/>
  <c r="K1546" i="21"/>
  <c r="N1546" i="21"/>
  <c r="K1547" i="21"/>
  <c r="N1547" i="21"/>
  <c r="K1548" i="21"/>
  <c r="N1548" i="21"/>
  <c r="K1549" i="21"/>
  <c r="N1549" i="21"/>
  <c r="K1550" i="21"/>
  <c r="N1550" i="21"/>
  <c r="K1551" i="21"/>
  <c r="N1551" i="21"/>
  <c r="K1552" i="21"/>
  <c r="N1552" i="21"/>
  <c r="K1553" i="21"/>
  <c r="N1553" i="21"/>
  <c r="K1554" i="21"/>
  <c r="N1554" i="21"/>
  <c r="K1555" i="21"/>
  <c r="N1555" i="21"/>
  <c r="K1556" i="21"/>
  <c r="N1556" i="21"/>
  <c r="K1557" i="21"/>
  <c r="N1557" i="21"/>
  <c r="K1558" i="21"/>
  <c r="N1558" i="21"/>
  <c r="K1559" i="21"/>
  <c r="N1559" i="21"/>
  <c r="K1560" i="21"/>
  <c r="N1560" i="21"/>
  <c r="K1561" i="21"/>
  <c r="N1561" i="21"/>
  <c r="K1562" i="21"/>
  <c r="N1562" i="21"/>
  <c r="K1563" i="21"/>
  <c r="N1563" i="21"/>
  <c r="K1564" i="21"/>
  <c r="N1564" i="21"/>
  <c r="K1565" i="21"/>
  <c r="N1565" i="21"/>
  <c r="K1566" i="21"/>
  <c r="N1566" i="21"/>
  <c r="K1567" i="21"/>
  <c r="N1567" i="21"/>
  <c r="K1568" i="21"/>
  <c r="N1568" i="21"/>
  <c r="K1569" i="21"/>
  <c r="N1569" i="21"/>
  <c r="K1570" i="21"/>
  <c r="N1570" i="21"/>
  <c r="K1571" i="21"/>
  <c r="N1571" i="21"/>
  <c r="K1572" i="21"/>
  <c r="N1572" i="21"/>
  <c r="K1573" i="21"/>
  <c r="N1573" i="21"/>
  <c r="K1574" i="21"/>
  <c r="N1574" i="21"/>
  <c r="K1575" i="21"/>
  <c r="N1575" i="21"/>
  <c r="K1576" i="21"/>
  <c r="N1576" i="21"/>
  <c r="K1577" i="21"/>
  <c r="N1577" i="21"/>
  <c r="K1578" i="21"/>
  <c r="N1578" i="21"/>
  <c r="K1579" i="21"/>
  <c r="N1579" i="21"/>
  <c r="K1580" i="21"/>
  <c r="N1580" i="21"/>
  <c r="K1581" i="21"/>
  <c r="N1581" i="21"/>
  <c r="K1582" i="21"/>
  <c r="N1582" i="21"/>
  <c r="K1583" i="21"/>
  <c r="N1583" i="21"/>
  <c r="K1584" i="21"/>
  <c r="N1584" i="21"/>
  <c r="K1585" i="21"/>
  <c r="N1585" i="21"/>
  <c r="K1586" i="21"/>
  <c r="N1586" i="21"/>
  <c r="K1587" i="21"/>
  <c r="N1587" i="21"/>
  <c r="K1588" i="21"/>
  <c r="N1588" i="21"/>
  <c r="K1589" i="21"/>
  <c r="N1589" i="21"/>
  <c r="K1590" i="21"/>
  <c r="N1590" i="21"/>
  <c r="K1591" i="21"/>
  <c r="N1591" i="21"/>
  <c r="K1592" i="21"/>
  <c r="N1592" i="21"/>
  <c r="K1593" i="21"/>
  <c r="N1593" i="21"/>
  <c r="K1594" i="21"/>
  <c r="N1594" i="21"/>
  <c r="K1595" i="21"/>
  <c r="N1595" i="21"/>
  <c r="K1596" i="21"/>
  <c r="N1596" i="21"/>
  <c r="K1597" i="21"/>
  <c r="N1597" i="21"/>
  <c r="K1598" i="21"/>
  <c r="N1598" i="21"/>
  <c r="K1599" i="21"/>
  <c r="N1599" i="21"/>
  <c r="K1600" i="21"/>
  <c r="N1600" i="21"/>
  <c r="K1601" i="21"/>
  <c r="N1601" i="21"/>
  <c r="K1602" i="21"/>
  <c r="N1602" i="21"/>
  <c r="K1603" i="21"/>
  <c r="N1603" i="21"/>
  <c r="K1604" i="21"/>
  <c r="N1604" i="21"/>
  <c r="K1605" i="21"/>
  <c r="N1605" i="21"/>
  <c r="K1606" i="21"/>
  <c r="N1606" i="21"/>
  <c r="K1607" i="21"/>
  <c r="N1607" i="21"/>
  <c r="K1608" i="21"/>
  <c r="N1608" i="21"/>
  <c r="K1609" i="21"/>
  <c r="N1609" i="21"/>
  <c r="K1610" i="21"/>
  <c r="N1610" i="21"/>
  <c r="K1611" i="21"/>
  <c r="N1611" i="21"/>
  <c r="K1612" i="21"/>
  <c r="N1612" i="21"/>
  <c r="K1613" i="21"/>
  <c r="N1613" i="21"/>
  <c r="K1614" i="21"/>
  <c r="N1614" i="21"/>
  <c r="K1615" i="21"/>
  <c r="N1615" i="21"/>
  <c r="K1616" i="21"/>
  <c r="N1616" i="21"/>
  <c r="K1617" i="21"/>
  <c r="N1617" i="21"/>
  <c r="K1618" i="21"/>
  <c r="N1618" i="21"/>
  <c r="K1619" i="21"/>
  <c r="N1619" i="21"/>
  <c r="K1620" i="21"/>
  <c r="N1620" i="21"/>
  <c r="K1621" i="21"/>
  <c r="N1621" i="21"/>
  <c r="K1622" i="21"/>
  <c r="N1622" i="21"/>
  <c r="K1623" i="21"/>
  <c r="N1623" i="21"/>
  <c r="K1624" i="21"/>
  <c r="N1624" i="21"/>
  <c r="K1625" i="21"/>
  <c r="N1625" i="21"/>
  <c r="K1626" i="21"/>
  <c r="N1626" i="21"/>
  <c r="K1627" i="21"/>
  <c r="N1627" i="21"/>
  <c r="K1628" i="21"/>
  <c r="N1628" i="21"/>
  <c r="K1629" i="21"/>
  <c r="N1629" i="21"/>
  <c r="K1630" i="21"/>
  <c r="N1630" i="21"/>
  <c r="K1631" i="21"/>
  <c r="N1631" i="21"/>
  <c r="K1632" i="21"/>
  <c r="N1632" i="21"/>
  <c r="K1633" i="21"/>
  <c r="N1633" i="21"/>
  <c r="K1634" i="21"/>
  <c r="N1634" i="21"/>
  <c r="K1635" i="21"/>
  <c r="N1635" i="21"/>
  <c r="K1636" i="21"/>
  <c r="N1636" i="21"/>
  <c r="K1637" i="21"/>
  <c r="N1637" i="21"/>
  <c r="K1638" i="21"/>
  <c r="N1638" i="21"/>
  <c r="K1639" i="21"/>
  <c r="N1639" i="21"/>
  <c r="K1640" i="21"/>
  <c r="N1640" i="21"/>
  <c r="K1641" i="21"/>
  <c r="N1641" i="21"/>
  <c r="K1642" i="21"/>
  <c r="N1642" i="21"/>
  <c r="K1643" i="21"/>
  <c r="N1643" i="21"/>
  <c r="K1644" i="21"/>
  <c r="N1644" i="21"/>
  <c r="K1645" i="21"/>
  <c r="N1645" i="21"/>
  <c r="K1646" i="21"/>
  <c r="N1646" i="21"/>
  <c r="K1647" i="21"/>
  <c r="N1647" i="21"/>
  <c r="K1648" i="21"/>
  <c r="N1648" i="21"/>
  <c r="K1649" i="21"/>
  <c r="N1649" i="21"/>
  <c r="K1650" i="21"/>
  <c r="N1650" i="21"/>
  <c r="K1651" i="21"/>
  <c r="N1651" i="21"/>
  <c r="K1652" i="21"/>
  <c r="N1652" i="21"/>
  <c r="K1653" i="21"/>
  <c r="N1653" i="21"/>
  <c r="K1654" i="21"/>
  <c r="N1654" i="21"/>
  <c r="K1655" i="21"/>
  <c r="N1655" i="21"/>
  <c r="K1656" i="21"/>
  <c r="N1656" i="21"/>
  <c r="K1657" i="21"/>
  <c r="N1657" i="21"/>
  <c r="K1658" i="21"/>
  <c r="N1658" i="21"/>
  <c r="K1659" i="21"/>
  <c r="N1659" i="21"/>
  <c r="K1660" i="21"/>
  <c r="N1660" i="21"/>
  <c r="K1661" i="21"/>
  <c r="N1661" i="21"/>
  <c r="K1662" i="21"/>
  <c r="N1662" i="21"/>
  <c r="K1663" i="21"/>
  <c r="N1663" i="21"/>
  <c r="K1664" i="21"/>
  <c r="N1664" i="21"/>
  <c r="K1665" i="21"/>
  <c r="N1665" i="21"/>
  <c r="K1666" i="21"/>
  <c r="N1666" i="21"/>
  <c r="K1667" i="21"/>
  <c r="N1667" i="21"/>
  <c r="K1668" i="21"/>
  <c r="N1668" i="21"/>
  <c r="K1669" i="21"/>
  <c r="N1669" i="21"/>
  <c r="K1670" i="21"/>
  <c r="N1670" i="21"/>
  <c r="K1671" i="21"/>
  <c r="N1671" i="21"/>
  <c r="K1672" i="21"/>
  <c r="N1672" i="21"/>
  <c r="K1673" i="21"/>
  <c r="N1673" i="21"/>
  <c r="K1674" i="21"/>
  <c r="N1674" i="21"/>
  <c r="K1675" i="21"/>
  <c r="N1675" i="21"/>
  <c r="K1676" i="21"/>
  <c r="N1676" i="21"/>
  <c r="K1677" i="21"/>
  <c r="N1677" i="21"/>
  <c r="K1678" i="21"/>
  <c r="N1678" i="21"/>
  <c r="K1679" i="21"/>
  <c r="N1679" i="21"/>
  <c r="K1680" i="21"/>
  <c r="N1680" i="21"/>
  <c r="K1681" i="21"/>
  <c r="N1681" i="21"/>
  <c r="K1682" i="21"/>
  <c r="N1682" i="21"/>
  <c r="K1683" i="21"/>
  <c r="N1683" i="21"/>
  <c r="K1684" i="21"/>
  <c r="N1684" i="21"/>
  <c r="K1685" i="21"/>
  <c r="N1685" i="21"/>
  <c r="K1686" i="21"/>
  <c r="N1686" i="21"/>
  <c r="K1687" i="21"/>
  <c r="N1687" i="21"/>
  <c r="K1688" i="21"/>
  <c r="N1688" i="21"/>
  <c r="K1689" i="21"/>
  <c r="N1689" i="21"/>
  <c r="K1690" i="21"/>
  <c r="N1690" i="21"/>
  <c r="K1691" i="21"/>
  <c r="N1691" i="21"/>
  <c r="K1692" i="21"/>
  <c r="N1692" i="21"/>
  <c r="K1693" i="21"/>
  <c r="N1693" i="21"/>
  <c r="K1694" i="21"/>
  <c r="N1694" i="21"/>
  <c r="K1695" i="21"/>
  <c r="N1695" i="21"/>
  <c r="K1696" i="21"/>
  <c r="N1696" i="21"/>
  <c r="K1697" i="21"/>
  <c r="N1697" i="21"/>
  <c r="K1698" i="21"/>
  <c r="N1698" i="21"/>
  <c r="K1699" i="21"/>
  <c r="N1699" i="21"/>
  <c r="K1700" i="21"/>
  <c r="N1700" i="21"/>
  <c r="K1701" i="21"/>
  <c r="N1701" i="21"/>
  <c r="K1702" i="21"/>
  <c r="N1702" i="21"/>
  <c r="K1703" i="21"/>
  <c r="N1703" i="21"/>
  <c r="K1704" i="21"/>
  <c r="N1704" i="21"/>
  <c r="K1705" i="21"/>
  <c r="N1705" i="21"/>
  <c r="K1706" i="21"/>
  <c r="N1706" i="21"/>
  <c r="K1707" i="21"/>
  <c r="N1707" i="21"/>
  <c r="K1708" i="21"/>
  <c r="N1708" i="21"/>
  <c r="K1709" i="21"/>
  <c r="N1709" i="21"/>
  <c r="K1710" i="21"/>
  <c r="N1710" i="21"/>
  <c r="K1711" i="21"/>
  <c r="N1711" i="21"/>
  <c r="K1712" i="21"/>
  <c r="N1712" i="21"/>
  <c r="K1713" i="21"/>
  <c r="N1713" i="21"/>
  <c r="K1714" i="21"/>
  <c r="N1714" i="21"/>
  <c r="K1715" i="21"/>
  <c r="N1715" i="21"/>
  <c r="K1716" i="21"/>
  <c r="N1716" i="21"/>
  <c r="K1717" i="21"/>
  <c r="N1717" i="21"/>
  <c r="K1718" i="21"/>
  <c r="N1718" i="21"/>
  <c r="K1719" i="21"/>
  <c r="N1719" i="21"/>
  <c r="K1720" i="21"/>
  <c r="N1720" i="21"/>
  <c r="K1721" i="21"/>
  <c r="N1721" i="21"/>
  <c r="K1722" i="21"/>
  <c r="N1722" i="21"/>
  <c r="K1723" i="21"/>
  <c r="N1723" i="21"/>
  <c r="K1724" i="21"/>
  <c r="N1724" i="21"/>
  <c r="K1725" i="21"/>
  <c r="N1725" i="21"/>
  <c r="K1726" i="21"/>
  <c r="N1726" i="21"/>
  <c r="K1727" i="21"/>
  <c r="N1727" i="21"/>
  <c r="K1728" i="21"/>
  <c r="N1728" i="21"/>
  <c r="K1729" i="21"/>
  <c r="N1729" i="21"/>
  <c r="K1730" i="21"/>
  <c r="N1730" i="21"/>
  <c r="K1731" i="21"/>
  <c r="N1731" i="21"/>
  <c r="K1732" i="21"/>
  <c r="N1732" i="21"/>
  <c r="K1733" i="21"/>
  <c r="N1733" i="21"/>
  <c r="K1734" i="21"/>
  <c r="N1734" i="21"/>
  <c r="K1735" i="21"/>
  <c r="N1735" i="21"/>
  <c r="K1736" i="21"/>
  <c r="N1736" i="21"/>
  <c r="K1737" i="21"/>
  <c r="N1737" i="21"/>
  <c r="K1738" i="21"/>
  <c r="N1738" i="21"/>
  <c r="K1739" i="21"/>
  <c r="N1739" i="21"/>
  <c r="K1740" i="21"/>
  <c r="N1740" i="21"/>
  <c r="K1741" i="21"/>
  <c r="N1741" i="21"/>
  <c r="K1742" i="21"/>
  <c r="N1742" i="21"/>
  <c r="K1743" i="21"/>
  <c r="N1743" i="21"/>
  <c r="K1744" i="21"/>
  <c r="N1744" i="21"/>
  <c r="K1745" i="21"/>
  <c r="N1745" i="21"/>
  <c r="K1746" i="21"/>
  <c r="N1746" i="21"/>
  <c r="K1747" i="21"/>
  <c r="N1747" i="21"/>
  <c r="K1748" i="21"/>
  <c r="N1748" i="21"/>
  <c r="K1749" i="21"/>
  <c r="N1749" i="21"/>
  <c r="K1750" i="21"/>
  <c r="N1750" i="21"/>
  <c r="K1751" i="21"/>
  <c r="N1751" i="21"/>
  <c r="K1752" i="21"/>
  <c r="N1752" i="21"/>
  <c r="K1753" i="21"/>
  <c r="N1753" i="21"/>
  <c r="K1754" i="21"/>
  <c r="N1754" i="21"/>
  <c r="K1755" i="21"/>
  <c r="N1755" i="21"/>
  <c r="K1756" i="21"/>
  <c r="N1756" i="21"/>
  <c r="K1757" i="21"/>
  <c r="N1757" i="21"/>
  <c r="K1758" i="21"/>
  <c r="N1758" i="21"/>
  <c r="K1759" i="21"/>
  <c r="N1759" i="21"/>
  <c r="K1760" i="21"/>
  <c r="N1760" i="21"/>
  <c r="K1761" i="21"/>
  <c r="N1761" i="21"/>
  <c r="K1762" i="21"/>
  <c r="N1762" i="21"/>
  <c r="K1763" i="21"/>
  <c r="N1763" i="21"/>
  <c r="K1764" i="21"/>
  <c r="N1764" i="21"/>
  <c r="K1765" i="21"/>
  <c r="N1765" i="21"/>
  <c r="K1766" i="21"/>
  <c r="N1766" i="21"/>
  <c r="K1767" i="21"/>
  <c r="N1767" i="21"/>
  <c r="K1768" i="21"/>
  <c r="N1768" i="21"/>
  <c r="K1769" i="21"/>
  <c r="N1769" i="21"/>
  <c r="K1770" i="21"/>
  <c r="N1770" i="21"/>
  <c r="K1771" i="21"/>
  <c r="N1771" i="21"/>
  <c r="K1772" i="21"/>
  <c r="N1772" i="21"/>
  <c r="K1773" i="21"/>
  <c r="N1773" i="21"/>
  <c r="K1774" i="21"/>
  <c r="N1774" i="21"/>
  <c r="K1775" i="21"/>
  <c r="N1775" i="21"/>
  <c r="K1776" i="21"/>
  <c r="N1776" i="21"/>
  <c r="K1777" i="21"/>
  <c r="N1777" i="21"/>
  <c r="K1778" i="21"/>
  <c r="N1778" i="21"/>
  <c r="K1779" i="21"/>
  <c r="N1779" i="21"/>
  <c r="K1780" i="21"/>
  <c r="N1780" i="21"/>
  <c r="K1781" i="21"/>
  <c r="N1781" i="21"/>
  <c r="K1782" i="21"/>
  <c r="N1782" i="21"/>
  <c r="K1783" i="21"/>
  <c r="N1783" i="21"/>
  <c r="K1784" i="21"/>
  <c r="N1784" i="21"/>
  <c r="K1785" i="21"/>
  <c r="N1785" i="21"/>
  <c r="K1786" i="21"/>
  <c r="N1786" i="21"/>
  <c r="K1787" i="21"/>
  <c r="N1787" i="21"/>
  <c r="K1788" i="21"/>
  <c r="N1788" i="21"/>
  <c r="K1789" i="21"/>
  <c r="N1789" i="21"/>
  <c r="K1790" i="21"/>
  <c r="N1790" i="21"/>
  <c r="K1791" i="21"/>
  <c r="N1791" i="21"/>
  <c r="K1792" i="21"/>
  <c r="N1792" i="21"/>
  <c r="K1793" i="21"/>
  <c r="N1793" i="21"/>
  <c r="K1794" i="21"/>
  <c r="N1794" i="21"/>
  <c r="K1795" i="21"/>
  <c r="N1795" i="21"/>
  <c r="K1796" i="21"/>
  <c r="N1796" i="21"/>
  <c r="K1797" i="21"/>
  <c r="N1797" i="21"/>
  <c r="K1798" i="21"/>
  <c r="N1798" i="21"/>
  <c r="K1799" i="21"/>
  <c r="N1799" i="21"/>
  <c r="K1800" i="21"/>
  <c r="N1800" i="21"/>
  <c r="K1801" i="21"/>
  <c r="N1801" i="21"/>
  <c r="K1802" i="21"/>
  <c r="N1802" i="21"/>
  <c r="K1803" i="21"/>
  <c r="N1803" i="21"/>
  <c r="K1804" i="21"/>
  <c r="N1804" i="21"/>
  <c r="K1805" i="21"/>
  <c r="N1805" i="21"/>
  <c r="K1806" i="21"/>
  <c r="N1806" i="21"/>
  <c r="K1807" i="21"/>
  <c r="N1807" i="21"/>
  <c r="K1808" i="21"/>
  <c r="N1808" i="21"/>
  <c r="K1809" i="21"/>
  <c r="N1809" i="21"/>
  <c r="K1810" i="21"/>
  <c r="N1810" i="21"/>
  <c r="K1811" i="21"/>
  <c r="N1811" i="21"/>
  <c r="K1812" i="21"/>
  <c r="N1812" i="21"/>
  <c r="K1813" i="21"/>
  <c r="N1813" i="21"/>
  <c r="K1814" i="21"/>
  <c r="N1814" i="21"/>
  <c r="K1815" i="21"/>
  <c r="N1815" i="21"/>
  <c r="K1816" i="21"/>
  <c r="N1816" i="21"/>
  <c r="K1817" i="21"/>
  <c r="N1817" i="21"/>
  <c r="K1818" i="21"/>
  <c r="N1818" i="21"/>
  <c r="K1819" i="21"/>
  <c r="N1819" i="21"/>
  <c r="K1820" i="21"/>
  <c r="N1820" i="21"/>
  <c r="K1821" i="21"/>
  <c r="N1821" i="21"/>
  <c r="K1822" i="21"/>
  <c r="N1822" i="21"/>
  <c r="K1823" i="21"/>
  <c r="N1823" i="21"/>
  <c r="K1824" i="21"/>
  <c r="N1824" i="21"/>
  <c r="K1825" i="21"/>
  <c r="N1825" i="21"/>
  <c r="K1826" i="21"/>
  <c r="N1826" i="21"/>
  <c r="K1827" i="21"/>
  <c r="N1827" i="21"/>
  <c r="K1828" i="21"/>
  <c r="N1828" i="21"/>
  <c r="K1829" i="21"/>
  <c r="N1829" i="21"/>
  <c r="K1830" i="21"/>
  <c r="N1830" i="21"/>
  <c r="K1831" i="21"/>
  <c r="N1831" i="21"/>
  <c r="K1832" i="21"/>
  <c r="N1832" i="21"/>
  <c r="K1833" i="21"/>
  <c r="N1833" i="21"/>
  <c r="K1834" i="21"/>
  <c r="N1834" i="21"/>
  <c r="K1835" i="21"/>
  <c r="N1835" i="21"/>
  <c r="K1836" i="21"/>
  <c r="N1836" i="21"/>
  <c r="K1837" i="21"/>
  <c r="N1837" i="21"/>
  <c r="K1838" i="21"/>
  <c r="N1838" i="21"/>
  <c r="K1839" i="21"/>
  <c r="N1839" i="21"/>
  <c r="K1840" i="21"/>
  <c r="N1840" i="21"/>
  <c r="K1841" i="21"/>
  <c r="N1841" i="21"/>
  <c r="K1842" i="21"/>
  <c r="N1842" i="21"/>
  <c r="K1843" i="21"/>
  <c r="N1843" i="21"/>
  <c r="K1844" i="21"/>
  <c r="N1844" i="21"/>
  <c r="K1845" i="21"/>
  <c r="N1845" i="21"/>
  <c r="K1846" i="21"/>
  <c r="N1846" i="21"/>
  <c r="K1847" i="21"/>
  <c r="N1847" i="21"/>
  <c r="K1848" i="21"/>
  <c r="N1848" i="21"/>
  <c r="K1849" i="21"/>
  <c r="N1849" i="21"/>
  <c r="K1850" i="21"/>
  <c r="N1850" i="21"/>
  <c r="K1851" i="21"/>
  <c r="N1851" i="21"/>
  <c r="K1852" i="21"/>
  <c r="N1852" i="21"/>
  <c r="K1853" i="21"/>
  <c r="N1853" i="21"/>
  <c r="K1854" i="21"/>
  <c r="N1854" i="21"/>
  <c r="K1855" i="21"/>
  <c r="N1855" i="21"/>
  <c r="K1856" i="21"/>
  <c r="N1856" i="21"/>
  <c r="K1857" i="21"/>
  <c r="N1857" i="21"/>
  <c r="K1858" i="21"/>
  <c r="N1858" i="21"/>
  <c r="K1859" i="21"/>
  <c r="N1859" i="21"/>
  <c r="K1860" i="21"/>
  <c r="N1860" i="21"/>
  <c r="K1861" i="21"/>
  <c r="N1861" i="21"/>
  <c r="K1862" i="21"/>
  <c r="N1862" i="21"/>
  <c r="K1863" i="21"/>
  <c r="N1863" i="21"/>
  <c r="K1864" i="21"/>
  <c r="N1864" i="21"/>
  <c r="K1865" i="21"/>
  <c r="N1865" i="21"/>
  <c r="K1866" i="21"/>
  <c r="N1866" i="21"/>
  <c r="K1867" i="21"/>
  <c r="N1867" i="21"/>
  <c r="K1868" i="21"/>
  <c r="N1868" i="21"/>
  <c r="K1869" i="21"/>
  <c r="N1869" i="21"/>
  <c r="K1870" i="21"/>
  <c r="N1870" i="21"/>
  <c r="K1871" i="21"/>
  <c r="N1871" i="21"/>
  <c r="K1872" i="21"/>
  <c r="N1872" i="21"/>
  <c r="K1873" i="21"/>
  <c r="N1873" i="21"/>
  <c r="K1874" i="21"/>
  <c r="N1874" i="21"/>
  <c r="K1875" i="21"/>
  <c r="N1875" i="21"/>
  <c r="K1876" i="21"/>
  <c r="N1876" i="21"/>
  <c r="K1877" i="21"/>
  <c r="N1877" i="21"/>
  <c r="K1878" i="21"/>
  <c r="N1878" i="21"/>
  <c r="K1879" i="21"/>
  <c r="N1879" i="21"/>
  <c r="K1880" i="21"/>
  <c r="N1880" i="21"/>
  <c r="K1881" i="21"/>
  <c r="N1881" i="21"/>
  <c r="K1882" i="21"/>
  <c r="N1882" i="21"/>
  <c r="K1883" i="21"/>
  <c r="N1883" i="21"/>
  <c r="K1884" i="21"/>
  <c r="N1884" i="21"/>
  <c r="K1885" i="21"/>
  <c r="N1885" i="21"/>
  <c r="K1886" i="21"/>
  <c r="N1886" i="21"/>
  <c r="K1887" i="21"/>
  <c r="N1887" i="21"/>
  <c r="K1888" i="21"/>
  <c r="N1888" i="21"/>
  <c r="K1889" i="21"/>
  <c r="N1889" i="21"/>
  <c r="K1890" i="21"/>
  <c r="N1890" i="21"/>
  <c r="K1891" i="21"/>
  <c r="N1891" i="21"/>
  <c r="K1892" i="21"/>
  <c r="N1892" i="21"/>
  <c r="K1893" i="21"/>
  <c r="N1893" i="21"/>
  <c r="K1894" i="21"/>
  <c r="N1894" i="21"/>
  <c r="K1895" i="21"/>
  <c r="N1895" i="21"/>
  <c r="K1896" i="21"/>
  <c r="N1896" i="21"/>
  <c r="K1897" i="21"/>
  <c r="N1897" i="21"/>
  <c r="K1898" i="21"/>
  <c r="N1898" i="21"/>
  <c r="K1899" i="21"/>
  <c r="N1899" i="21"/>
  <c r="K1900" i="21"/>
  <c r="N1900" i="21"/>
  <c r="K1901" i="21"/>
  <c r="N1901" i="21"/>
  <c r="K1902" i="21"/>
  <c r="N1902" i="21"/>
  <c r="K1903" i="21"/>
  <c r="N1903" i="21"/>
  <c r="K1904" i="21"/>
  <c r="N1904" i="21"/>
  <c r="K1905" i="21"/>
  <c r="N1905" i="21"/>
  <c r="K1906" i="21"/>
  <c r="N1906" i="21"/>
  <c r="K1907" i="21"/>
  <c r="N1907" i="21"/>
  <c r="K1908" i="21"/>
  <c r="N1908" i="21"/>
  <c r="K1909" i="21"/>
  <c r="N1909" i="21"/>
  <c r="K1910" i="21"/>
  <c r="N1910" i="21"/>
  <c r="K1911" i="21"/>
  <c r="N1911" i="21"/>
  <c r="K1912" i="21"/>
  <c r="N1912" i="21"/>
  <c r="K1913" i="21"/>
  <c r="N1913" i="21"/>
  <c r="K1914" i="21"/>
  <c r="N1914" i="21"/>
  <c r="K1915" i="21"/>
  <c r="N1915" i="21"/>
  <c r="K1916" i="21"/>
  <c r="N1916" i="21"/>
  <c r="K1917" i="21"/>
  <c r="N1917" i="21"/>
  <c r="K1918" i="21"/>
  <c r="N1918" i="21"/>
  <c r="K1919" i="21"/>
  <c r="N1919" i="21"/>
  <c r="K1920" i="21"/>
  <c r="N1920" i="21"/>
  <c r="K1921" i="21"/>
  <c r="N1921" i="21"/>
  <c r="K1922" i="21"/>
  <c r="N1922" i="21"/>
  <c r="K1923" i="21"/>
  <c r="N1923" i="21"/>
  <c r="K1924" i="21"/>
  <c r="N1924" i="21"/>
  <c r="K1925" i="21"/>
  <c r="N1925" i="21"/>
  <c r="K1926" i="21"/>
  <c r="N1926" i="21"/>
  <c r="K1927" i="21"/>
  <c r="N1927" i="21"/>
  <c r="K1928" i="21"/>
  <c r="N1928" i="21"/>
  <c r="K1929" i="21"/>
  <c r="N1929" i="21"/>
  <c r="K1930" i="21"/>
  <c r="N1930" i="21"/>
  <c r="K1931" i="21"/>
  <c r="N1931" i="21"/>
  <c r="K1932" i="21"/>
  <c r="N1932" i="21"/>
  <c r="K1933" i="21"/>
  <c r="N1933" i="21"/>
  <c r="K1934" i="21"/>
  <c r="N1934" i="21"/>
  <c r="K1935" i="21"/>
  <c r="N1935" i="21"/>
  <c r="K1936" i="21"/>
  <c r="N1936" i="21"/>
  <c r="K1937" i="21"/>
  <c r="N1937" i="21"/>
  <c r="K1938" i="21"/>
  <c r="N1938" i="21"/>
  <c r="K1939" i="21"/>
  <c r="N1939" i="21"/>
  <c r="K1940" i="21"/>
  <c r="N1940" i="21"/>
  <c r="K1941" i="21"/>
  <c r="N1941" i="21"/>
  <c r="K1942" i="21"/>
  <c r="N1942" i="21"/>
  <c r="K1943" i="21"/>
  <c r="N1943" i="21"/>
  <c r="K1944" i="21"/>
  <c r="N1944" i="21"/>
  <c r="K1945" i="21"/>
  <c r="N1945" i="21"/>
  <c r="K1946" i="21"/>
  <c r="N1946" i="21"/>
  <c r="K1947" i="21"/>
  <c r="N1947" i="21"/>
  <c r="K1948" i="21"/>
  <c r="N1948" i="21"/>
  <c r="K1949" i="21"/>
  <c r="N1949" i="21"/>
  <c r="K1950" i="21"/>
  <c r="N1950" i="21"/>
  <c r="K1951" i="21"/>
  <c r="N1951" i="21"/>
  <c r="K1952" i="21"/>
  <c r="N1952" i="21"/>
  <c r="K1953" i="21"/>
  <c r="N1953" i="21"/>
  <c r="K1954" i="21"/>
  <c r="N1954" i="21"/>
  <c r="K1955" i="21"/>
  <c r="N1955" i="21"/>
  <c r="K1956" i="21"/>
  <c r="N1956" i="21"/>
  <c r="K1957" i="21"/>
  <c r="N1957" i="21"/>
  <c r="K1958" i="21"/>
  <c r="N1958" i="21"/>
  <c r="K1959" i="21"/>
  <c r="N1959" i="21"/>
  <c r="K1960" i="21"/>
  <c r="N1960" i="21"/>
  <c r="K1961" i="21"/>
  <c r="N1961" i="21"/>
  <c r="K1962" i="21"/>
  <c r="N1962" i="21"/>
  <c r="K1963" i="21"/>
  <c r="N1963" i="21"/>
  <c r="K1964" i="21"/>
  <c r="N1964" i="21"/>
  <c r="K1965" i="21"/>
  <c r="N1965" i="21"/>
  <c r="K1966" i="21"/>
  <c r="N1966" i="21"/>
  <c r="K1967" i="21"/>
  <c r="N1967" i="21"/>
  <c r="K1968" i="21"/>
  <c r="N1968" i="21"/>
  <c r="K1969" i="21"/>
  <c r="N1969" i="21"/>
  <c r="K1970" i="21"/>
  <c r="N1970" i="21"/>
  <c r="K1971" i="21"/>
  <c r="N1971" i="21"/>
  <c r="K1972" i="21"/>
  <c r="N1972" i="21"/>
  <c r="K1973" i="21"/>
  <c r="N1973" i="21"/>
  <c r="K1974" i="21"/>
  <c r="N1974" i="21"/>
  <c r="K1975" i="21"/>
  <c r="N1975" i="21"/>
  <c r="K1976" i="21"/>
  <c r="N1976" i="21"/>
  <c r="K1977" i="21"/>
  <c r="N1977" i="21"/>
  <c r="K1978" i="21"/>
  <c r="N1978" i="21"/>
  <c r="K1979" i="21"/>
  <c r="N1979" i="21"/>
  <c r="K1980" i="21"/>
  <c r="N1980" i="21"/>
  <c r="K1981" i="21"/>
  <c r="N1981" i="21"/>
  <c r="K1982" i="21"/>
  <c r="N1982" i="21"/>
  <c r="K1983" i="21"/>
  <c r="N1983" i="21"/>
  <c r="K1984" i="21"/>
  <c r="N1984" i="21"/>
  <c r="K1985" i="21"/>
  <c r="N1985" i="21"/>
  <c r="K1986" i="21"/>
  <c r="N1986" i="21"/>
  <c r="K1987" i="21"/>
  <c r="N1987" i="21"/>
  <c r="K1988" i="21"/>
  <c r="N1988" i="21"/>
  <c r="K1989" i="21"/>
  <c r="N1989" i="21"/>
  <c r="K1990" i="21"/>
  <c r="N1990" i="21"/>
  <c r="K1991" i="21"/>
  <c r="N1991" i="21"/>
  <c r="K1992" i="21"/>
  <c r="N1992" i="21"/>
  <c r="K1993" i="21"/>
  <c r="N1993" i="21"/>
  <c r="K1994" i="21"/>
  <c r="N1994" i="21"/>
  <c r="K1995" i="21"/>
  <c r="N1995" i="21"/>
  <c r="K1996" i="21"/>
  <c r="N1996" i="21"/>
  <c r="K1997" i="21"/>
  <c r="N1997" i="21"/>
  <c r="K1998" i="21"/>
  <c r="N1998" i="21"/>
  <c r="K1999" i="21"/>
  <c r="N1999" i="21"/>
  <c r="K2000" i="21"/>
  <c r="N2000" i="21"/>
  <c r="K2001" i="21"/>
  <c r="N2001" i="21"/>
  <c r="K2002" i="21"/>
  <c r="N2002" i="21"/>
  <c r="K2003" i="21"/>
  <c r="N2003" i="21"/>
  <c r="K2004" i="21"/>
  <c r="N2004" i="21"/>
  <c r="K2005" i="21"/>
  <c r="N2005" i="21"/>
  <c r="K2006" i="21"/>
  <c r="N2006" i="21"/>
  <c r="K2007" i="21"/>
  <c r="N2007" i="21"/>
  <c r="K2008" i="21"/>
  <c r="N2008" i="21"/>
  <c r="K2009" i="21"/>
  <c r="N2009" i="21"/>
  <c r="K2010" i="21"/>
  <c r="N2010" i="21"/>
  <c r="K2011" i="21"/>
  <c r="N2011" i="21"/>
  <c r="K2012" i="21"/>
  <c r="N2012" i="21"/>
  <c r="K2013" i="21"/>
  <c r="N2013" i="21"/>
  <c r="K2014" i="21"/>
  <c r="N2014" i="21"/>
  <c r="K2015" i="21"/>
  <c r="N2015" i="21"/>
  <c r="K2016" i="21"/>
  <c r="N2016" i="21"/>
  <c r="K2017" i="21"/>
  <c r="N2017" i="21"/>
  <c r="K2018" i="21"/>
  <c r="N2018" i="21"/>
  <c r="K2019" i="21"/>
  <c r="N2019" i="21"/>
  <c r="K2020" i="21"/>
  <c r="N2020" i="21"/>
  <c r="K2021" i="21"/>
  <c r="N2021" i="21"/>
  <c r="K2022" i="21"/>
  <c r="N2022" i="21"/>
  <c r="K2023" i="21"/>
  <c r="N2023" i="21"/>
  <c r="K2024" i="21"/>
  <c r="N2024" i="21"/>
  <c r="K2025" i="21"/>
  <c r="N2025" i="21"/>
  <c r="K2026" i="21"/>
  <c r="N2026" i="21"/>
  <c r="K2027" i="21"/>
  <c r="N2027" i="21"/>
  <c r="K2028" i="21"/>
  <c r="N2028" i="21"/>
  <c r="K2029" i="21"/>
  <c r="N2029" i="21"/>
  <c r="K2030" i="21"/>
  <c r="N2030" i="21"/>
  <c r="K2031" i="21"/>
  <c r="N2031" i="21"/>
  <c r="K2032" i="21"/>
  <c r="N2032" i="21"/>
  <c r="K2033" i="21"/>
  <c r="N2033" i="21"/>
  <c r="K2034" i="21"/>
  <c r="N2034" i="21"/>
  <c r="K2035" i="21"/>
  <c r="N2035" i="21"/>
  <c r="K2036" i="21"/>
  <c r="N2036" i="21"/>
  <c r="K2037" i="21"/>
  <c r="N2037" i="21"/>
  <c r="K2038" i="21"/>
  <c r="N2038" i="21"/>
  <c r="K2039" i="21"/>
  <c r="N2039" i="21"/>
  <c r="K2040" i="21"/>
  <c r="N2040" i="21"/>
  <c r="K2041" i="21"/>
  <c r="N2041" i="21"/>
  <c r="K2042" i="21"/>
  <c r="N2042" i="21"/>
  <c r="K2043" i="21"/>
  <c r="N2043" i="21"/>
  <c r="K2044" i="21"/>
  <c r="N2044" i="21"/>
  <c r="K2045" i="21"/>
  <c r="N2045" i="21"/>
  <c r="K2046" i="21"/>
  <c r="N2046" i="21"/>
  <c r="K2047" i="21"/>
  <c r="N2047" i="21"/>
  <c r="K2048" i="21"/>
  <c r="N2048" i="21"/>
  <c r="K2049" i="21"/>
  <c r="N2049" i="21"/>
  <c r="K2050" i="21"/>
  <c r="N2050" i="21"/>
  <c r="K2051" i="21"/>
  <c r="N2051" i="21"/>
  <c r="K2052" i="21"/>
  <c r="N2052" i="21"/>
  <c r="K2053" i="21"/>
  <c r="N2053" i="21"/>
  <c r="K2054" i="21"/>
  <c r="N2054" i="21"/>
  <c r="K2055" i="21"/>
  <c r="N2055" i="21"/>
  <c r="K2056" i="21"/>
  <c r="N2056" i="21"/>
  <c r="K2057" i="21"/>
  <c r="N2057" i="21"/>
  <c r="K2058" i="21"/>
  <c r="N2058" i="21"/>
  <c r="K2059" i="21"/>
  <c r="N2059" i="21"/>
  <c r="K2060" i="21"/>
  <c r="N2060" i="21"/>
  <c r="K2061" i="21"/>
  <c r="N2061" i="21"/>
  <c r="K2062" i="21"/>
  <c r="N2062" i="21"/>
  <c r="K2063" i="21"/>
  <c r="N2063" i="21"/>
  <c r="K2064" i="21"/>
  <c r="N2064" i="21"/>
  <c r="K2065" i="21"/>
  <c r="N2065" i="21"/>
  <c r="K2066" i="21"/>
  <c r="N2066" i="21"/>
  <c r="K2067" i="21"/>
  <c r="N2067" i="21"/>
  <c r="K2068" i="21"/>
  <c r="N2068" i="21"/>
  <c r="K2069" i="21"/>
  <c r="N2069" i="21"/>
  <c r="K2070" i="21"/>
  <c r="N2070" i="21"/>
  <c r="K2071" i="21"/>
  <c r="N2071" i="21"/>
  <c r="K2072" i="21"/>
  <c r="N2072" i="21"/>
  <c r="K2073" i="21"/>
  <c r="N2073" i="21"/>
  <c r="K2074" i="21"/>
  <c r="N2074" i="21"/>
  <c r="K2075" i="21"/>
  <c r="N2075" i="21"/>
  <c r="K2076" i="21"/>
  <c r="N2076" i="21"/>
  <c r="K2077" i="21"/>
  <c r="N2077" i="21"/>
  <c r="K2078" i="21"/>
  <c r="N2078" i="21"/>
  <c r="K2079" i="21"/>
  <c r="N2079" i="21"/>
  <c r="K2080" i="21"/>
  <c r="N2080" i="21"/>
  <c r="K2081" i="21"/>
  <c r="N2081" i="21"/>
  <c r="K2082" i="21"/>
  <c r="N2082" i="21"/>
  <c r="K2083" i="21"/>
  <c r="N2083" i="21"/>
  <c r="K2084" i="21"/>
  <c r="N2084" i="21"/>
  <c r="K2085" i="21"/>
  <c r="N2085" i="21"/>
  <c r="K2086" i="21"/>
  <c r="N2086" i="21"/>
  <c r="K2087" i="21"/>
  <c r="N2087" i="21"/>
  <c r="K2088" i="21"/>
  <c r="N2088" i="21"/>
  <c r="K2089" i="21"/>
  <c r="N2089" i="21"/>
  <c r="K2090" i="21"/>
  <c r="N2090" i="21"/>
  <c r="K2091" i="21"/>
  <c r="N2091" i="21"/>
  <c r="K2092" i="21"/>
  <c r="N2092" i="21"/>
  <c r="K2093" i="21"/>
  <c r="N2093" i="21"/>
  <c r="K2094" i="21"/>
  <c r="N2094" i="21"/>
  <c r="K2095" i="21"/>
  <c r="N2095" i="21"/>
  <c r="K2096" i="21"/>
  <c r="N2096" i="21"/>
  <c r="K2097" i="21"/>
  <c r="N2097" i="21"/>
  <c r="K2098" i="21"/>
  <c r="N2098" i="21"/>
  <c r="K2099" i="21"/>
  <c r="N2099" i="21"/>
  <c r="K2100" i="21"/>
  <c r="N2100" i="21"/>
  <c r="K2101" i="21"/>
  <c r="N2101" i="21"/>
  <c r="K2102" i="21"/>
  <c r="N2102" i="21"/>
  <c r="D48" i="5"/>
  <c r="E48" i="5"/>
  <c r="F48" i="5"/>
  <c r="D49" i="5"/>
  <c r="E49" i="5"/>
  <c r="F49" i="5"/>
  <c r="Y2" i="16"/>
  <c r="Z2" i="16"/>
  <c r="AE2" i="16"/>
  <c r="AF2" i="16"/>
  <c r="AK2" i="16"/>
  <c r="AL2" i="16"/>
  <c r="AU2" i="16"/>
  <c r="AV2" i="16"/>
  <c r="Y3" i="16"/>
  <c r="Z3" i="16"/>
  <c r="AE3" i="16"/>
  <c r="AF3" i="16"/>
  <c r="AK3" i="16"/>
  <c r="AL3" i="16"/>
  <c r="AU3" i="16"/>
  <c r="AV3" i="16"/>
  <c r="Y4" i="16"/>
  <c r="Z4" i="16"/>
  <c r="AE4" i="16"/>
  <c r="AF4" i="16"/>
  <c r="AK4" i="16"/>
  <c r="AL4" i="16"/>
  <c r="AU4" i="16"/>
  <c r="AV4" i="16"/>
  <c r="Y5" i="16"/>
  <c r="Z5" i="16"/>
  <c r="AE5" i="16"/>
  <c r="AF5" i="16"/>
  <c r="AK5" i="16"/>
  <c r="AL5" i="16"/>
  <c r="AU5" i="16"/>
  <c r="AV5" i="16"/>
  <c r="Y6" i="16"/>
  <c r="Z6" i="16"/>
  <c r="AE6" i="16"/>
  <c r="AF6" i="16"/>
  <c r="AK6" i="16"/>
  <c r="AL6" i="16"/>
  <c r="AU6" i="16"/>
  <c r="AV6" i="16"/>
  <c r="Y7" i="16"/>
  <c r="Z7" i="16"/>
  <c r="AE7" i="16"/>
  <c r="AF7" i="16"/>
  <c r="AK7" i="16"/>
  <c r="AL7" i="16"/>
  <c r="AU7" i="16"/>
  <c r="AV7" i="16"/>
  <c r="Y8" i="16"/>
  <c r="Z8" i="16"/>
  <c r="AE8" i="16"/>
  <c r="AF8" i="16"/>
  <c r="AK8" i="16"/>
  <c r="AL8" i="16"/>
  <c r="AU8" i="16"/>
  <c r="AV8" i="16"/>
  <c r="Y9" i="16"/>
  <c r="Z9" i="16"/>
  <c r="AE9" i="16"/>
  <c r="AF9" i="16"/>
  <c r="AK9" i="16"/>
  <c r="AL9" i="16"/>
  <c r="AU9" i="16"/>
  <c r="AV9" i="16"/>
  <c r="Y10" i="16"/>
  <c r="Z10" i="16"/>
  <c r="AE10" i="16"/>
  <c r="AF10" i="16"/>
  <c r="AK10" i="16"/>
  <c r="AL10" i="16"/>
  <c r="AU10" i="16"/>
  <c r="AV10" i="16"/>
  <c r="Y11" i="16"/>
  <c r="Z11" i="16"/>
  <c r="AE11" i="16"/>
  <c r="AF11" i="16"/>
  <c r="Z12" i="16"/>
  <c r="AF12" i="16"/>
  <c r="Z13" i="16"/>
  <c r="AF13" i="16"/>
  <c r="AU13" i="16"/>
  <c r="Z14" i="16"/>
  <c r="AF14" i="16"/>
  <c r="Z15" i="16"/>
  <c r="AF15" i="16"/>
  <c r="Z16" i="16"/>
  <c r="AF16" i="16"/>
  <c r="Z17" i="16"/>
  <c r="AF17" i="16"/>
  <c r="Z18" i="16"/>
  <c r="AF18" i="16"/>
  <c r="AU18" i="16"/>
  <c r="Z19" i="16"/>
  <c r="AF19" i="16"/>
  <c r="Z20" i="16"/>
  <c r="AF20" i="16"/>
  <c r="Z21" i="16"/>
  <c r="AF21" i="16"/>
  <c r="Z22" i="16"/>
  <c r="AF22" i="16"/>
  <c r="Z23" i="16"/>
  <c r="AF23" i="16"/>
  <c r="Z24" i="16"/>
  <c r="AF24" i="16"/>
  <c r="Y25" i="16"/>
  <c r="AE25" i="16"/>
  <c r="Y26" i="16"/>
  <c r="AE26" i="16"/>
  <c r="Y27" i="16"/>
  <c r="AE27" i="16"/>
  <c r="Y28" i="16"/>
  <c r="AE28" i="16"/>
  <c r="Y29" i="16"/>
  <c r="AE29" i="16"/>
  <c r="Y30" i="16"/>
  <c r="AE30" i="16"/>
  <c r="Y31" i="16"/>
  <c r="AE31" i="16"/>
  <c r="Y32" i="16"/>
  <c r="AE32" i="16"/>
  <c r="Y33" i="16"/>
  <c r="AE33" i="16"/>
  <c r="Y34" i="16"/>
  <c r="AE34" i="16"/>
  <c r="Y35" i="16"/>
  <c r="AE35" i="16"/>
  <c r="Y36" i="16"/>
  <c r="AE36" i="16"/>
  <c r="Z37" i="16"/>
  <c r="AF37" i="16"/>
  <c r="Z38" i="16"/>
  <c r="AF38" i="16"/>
  <c r="Z39" i="16"/>
  <c r="AF39" i="16"/>
  <c r="Z40" i="16"/>
  <c r="AF40" i="16"/>
  <c r="Z41" i="16"/>
  <c r="AF41" i="16"/>
  <c r="Z42" i="16"/>
  <c r="AF42" i="16"/>
  <c r="Z43" i="16"/>
  <c r="AF43" i="16"/>
  <c r="Z44" i="16"/>
  <c r="AF44" i="16"/>
  <c r="Z45" i="16"/>
  <c r="AF45" i="16"/>
  <c r="Z46" i="16"/>
  <c r="AF46" i="16"/>
  <c r="Z47" i="16"/>
  <c r="AF47" i="16"/>
  <c r="Z48" i="16"/>
  <c r="AF48" i="16"/>
  <c r="Z49" i="16"/>
  <c r="AF49" i="16"/>
  <c r="Z50" i="16"/>
  <c r="AF50" i="16"/>
  <c r="Z51" i="16"/>
  <c r="AF51" i="16"/>
  <c r="Z52" i="16"/>
  <c r="AF52" i="16"/>
  <c r="Z53" i="16"/>
  <c r="AF53" i="16"/>
  <c r="Z54" i="16"/>
  <c r="AF54" i="16"/>
  <c r="Z55" i="16"/>
  <c r="AF55" i="16"/>
  <c r="Z56" i="16"/>
  <c r="AF56" i="16"/>
  <c r="Z57" i="16"/>
  <c r="AF57" i="16"/>
  <c r="Z58" i="16"/>
  <c r="AF58" i="16"/>
  <c r="Z59" i="16"/>
  <c r="AF59" i="16"/>
  <c r="Z60" i="16"/>
  <c r="AF60" i="16"/>
  <c r="Z61" i="16"/>
  <c r="AF61" i="16"/>
  <c r="Z62" i="16"/>
  <c r="AF62" i="16"/>
  <c r="Z63" i="16"/>
  <c r="AF63" i="16"/>
  <c r="Z64" i="16"/>
  <c r="AF64" i="16"/>
  <c r="Z65" i="16"/>
  <c r="AF65" i="16"/>
  <c r="Z66" i="16"/>
  <c r="AF66" i="16"/>
  <c r="Z67" i="16"/>
  <c r="AF67" i="16"/>
  <c r="Z68" i="16"/>
  <c r="AF68" i="16"/>
  <c r="Y69" i="16"/>
  <c r="AE69" i="16"/>
  <c r="Y70" i="16"/>
  <c r="AE70" i="16"/>
  <c r="Y71" i="16"/>
  <c r="AE71" i="16"/>
  <c r="Y72" i="16"/>
  <c r="AE72" i="16"/>
  <c r="Y73" i="16"/>
  <c r="AE73" i="16"/>
  <c r="Y74" i="16"/>
  <c r="AE74" i="16"/>
  <c r="Y75" i="16"/>
  <c r="AE75" i="16"/>
  <c r="Y76" i="16"/>
  <c r="AE76" i="16"/>
  <c r="Y77" i="16"/>
  <c r="AE77" i="16"/>
  <c r="Y78" i="16"/>
  <c r="AE78" i="16"/>
  <c r="Y79" i="16"/>
  <c r="AE79" i="16"/>
  <c r="Y80" i="16"/>
  <c r="AE80" i="16"/>
  <c r="Y81" i="16"/>
  <c r="AE81" i="16"/>
  <c r="Y82" i="16"/>
  <c r="AE82" i="16"/>
  <c r="Y83" i="16"/>
  <c r="AE83" i="16"/>
  <c r="Y84" i="16"/>
  <c r="AE84" i="16"/>
  <c r="Y85" i="16"/>
  <c r="AE85" i="16"/>
  <c r="Y86" i="16"/>
  <c r="AE86" i="16"/>
  <c r="Z87" i="16"/>
  <c r="AF87" i="16"/>
  <c r="Z88" i="16"/>
  <c r="AF88" i="16"/>
  <c r="Z89" i="16"/>
  <c r="AF89" i="16"/>
  <c r="Z90" i="16"/>
  <c r="AF90" i="16"/>
  <c r="Z91" i="16"/>
  <c r="AF91" i="16"/>
  <c r="Z92" i="16"/>
  <c r="AF92" i="16"/>
  <c r="Z93" i="16"/>
  <c r="AF93" i="16"/>
  <c r="Z94" i="16"/>
  <c r="AF94" i="16"/>
  <c r="Z95" i="16"/>
  <c r="AF95" i="16"/>
  <c r="Z96" i="16"/>
  <c r="AF96" i="16"/>
  <c r="Z97" i="16"/>
  <c r="AF97" i="16"/>
  <c r="Z98" i="16"/>
  <c r="AF98" i="16"/>
  <c r="Z99" i="16"/>
  <c r="AF99" i="16"/>
  <c r="Z100" i="16"/>
  <c r="AF100" i="16"/>
  <c r="Z101" i="16"/>
  <c r="AF101" i="16"/>
  <c r="Z102" i="16"/>
  <c r="AF102" i="16"/>
  <c r="Z103" i="16"/>
  <c r="AF103" i="16"/>
  <c r="Z104" i="16"/>
  <c r="AF104" i="16"/>
  <c r="Z105" i="16"/>
  <c r="AF105" i="16"/>
  <c r="Z106" i="16"/>
  <c r="AF106" i="16"/>
  <c r="Z107" i="16"/>
  <c r="AF107" i="16"/>
  <c r="Z108" i="16"/>
  <c r="AF108" i="16"/>
  <c r="Z109" i="16"/>
  <c r="AF109" i="16"/>
  <c r="Z110" i="16"/>
  <c r="AF110" i="16"/>
  <c r="Z111" i="16"/>
  <c r="AF111" i="16"/>
  <c r="Z112" i="16"/>
  <c r="AF112" i="16"/>
  <c r="Z113" i="16"/>
  <c r="AF113" i="16"/>
  <c r="Z114" i="16"/>
  <c r="AF114" i="16"/>
  <c r="Z115" i="16"/>
  <c r="AF115" i="16"/>
  <c r="Y116" i="16"/>
  <c r="AE116" i="16"/>
  <c r="Y117" i="16"/>
  <c r="AE117" i="16"/>
  <c r="Y118" i="16"/>
  <c r="AE118" i="16"/>
  <c r="Y119" i="16"/>
  <c r="AE119" i="16"/>
  <c r="Y120" i="16"/>
  <c r="AE120" i="16"/>
  <c r="Y121" i="16"/>
  <c r="AE121" i="16"/>
  <c r="Z122" i="16"/>
  <c r="AF122" i="16"/>
  <c r="Z123" i="16"/>
  <c r="AF123" i="16"/>
  <c r="Z124" i="16"/>
  <c r="AF124" i="16"/>
  <c r="Z125" i="16"/>
  <c r="AF125" i="16"/>
  <c r="Z126" i="16"/>
  <c r="AF126" i="16"/>
  <c r="Z127" i="16"/>
  <c r="AF127" i="16"/>
  <c r="Z128" i="16"/>
  <c r="AF128" i="16"/>
  <c r="Z129" i="16"/>
  <c r="AF129" i="16"/>
  <c r="Z130" i="16"/>
  <c r="AF130" i="16"/>
  <c r="Z131" i="16"/>
  <c r="AF131" i="16"/>
  <c r="Z132" i="16"/>
  <c r="AF132" i="16"/>
  <c r="Z133" i="16"/>
  <c r="AF133" i="16"/>
  <c r="Z134" i="16"/>
  <c r="AF134" i="16"/>
  <c r="Z135" i="16"/>
  <c r="AF135" i="16"/>
  <c r="Z136" i="16"/>
  <c r="AF136" i="16"/>
  <c r="Y137" i="16"/>
  <c r="AE137" i="16"/>
  <c r="Y138" i="16"/>
  <c r="AE138" i="16"/>
  <c r="Y139" i="16"/>
  <c r="AE139" i="16"/>
  <c r="Y140" i="16"/>
  <c r="AE140" i="16"/>
  <c r="Y141" i="16"/>
  <c r="AE141" i="16"/>
  <c r="Y142" i="16"/>
  <c r="AE142" i="16"/>
  <c r="Y143" i="16"/>
  <c r="AE143" i="16"/>
  <c r="Y144" i="16"/>
  <c r="AE144" i="16"/>
  <c r="Y145" i="16"/>
  <c r="AE145" i="16"/>
  <c r="Z146" i="16"/>
  <c r="AF146" i="16"/>
  <c r="Z147" i="16"/>
  <c r="AF147" i="16"/>
  <c r="Z148" i="16"/>
  <c r="AF148" i="16"/>
  <c r="Z149" i="16"/>
  <c r="AF149" i="16"/>
  <c r="Z150" i="16"/>
  <c r="AF150" i="16"/>
  <c r="Z151" i="16"/>
  <c r="AF151" i="16"/>
  <c r="Z152" i="16"/>
  <c r="AF152" i="16"/>
  <c r="Z153" i="16"/>
  <c r="AF153" i="16"/>
  <c r="Z154" i="16"/>
  <c r="AF154" i="16"/>
  <c r="Y155" i="16"/>
  <c r="AE155" i="16"/>
  <c r="Y156" i="16"/>
  <c r="AE156" i="16"/>
  <c r="Y157" i="16"/>
  <c r="AE157" i="16"/>
  <c r="Y158" i="16"/>
  <c r="AE158" i="16"/>
  <c r="Y159" i="16"/>
  <c r="AE159" i="16"/>
  <c r="Y160" i="16"/>
  <c r="AE160" i="16"/>
  <c r="Y161" i="16"/>
  <c r="AE161" i="16"/>
  <c r="Y162" i="16"/>
  <c r="AE162" i="16"/>
  <c r="Y163" i="16"/>
  <c r="AE163" i="16"/>
  <c r="Y164" i="16"/>
  <c r="AE164" i="16"/>
  <c r="Y165" i="16"/>
  <c r="AE165" i="16"/>
  <c r="Y166" i="16"/>
  <c r="AE166" i="16"/>
  <c r="Y167" i="16"/>
  <c r="Z167" i="16"/>
  <c r="AE167" i="16"/>
  <c r="AF167" i="16"/>
  <c r="Y168" i="16"/>
  <c r="Z168" i="16"/>
  <c r="AE168" i="16"/>
  <c r="AF168" i="16"/>
  <c r="Y169" i="16"/>
  <c r="Z169" i="16"/>
  <c r="AE169" i="16"/>
  <c r="AF169" i="16"/>
  <c r="Y170" i="16"/>
  <c r="Z170" i="16"/>
  <c r="AE170" i="16"/>
  <c r="AF170" i="16"/>
  <c r="Y171" i="16"/>
  <c r="Z171" i="16"/>
  <c r="AE171" i="16"/>
  <c r="AF171" i="16"/>
  <c r="Y172" i="16"/>
  <c r="Z172" i="16"/>
  <c r="AE172" i="16"/>
  <c r="AF172" i="16"/>
  <c r="Y173" i="16"/>
  <c r="Z173" i="16"/>
  <c r="AE173" i="16"/>
  <c r="AF173" i="16"/>
  <c r="Y174" i="16"/>
  <c r="Z174" i="16"/>
  <c r="AE174" i="16"/>
  <c r="AF174" i="16"/>
  <c r="Y175" i="16"/>
  <c r="Z175" i="16"/>
  <c r="AE175" i="16"/>
  <c r="AF175" i="16"/>
  <c r="Y176" i="16"/>
  <c r="Z176" i="16"/>
  <c r="AE176" i="16"/>
  <c r="AF176" i="16"/>
  <c r="Y177" i="16"/>
  <c r="Z177" i="16"/>
  <c r="AE177" i="16"/>
  <c r="AF177" i="16"/>
  <c r="Y178" i="16"/>
  <c r="Z178" i="16"/>
  <c r="AE178" i="16"/>
  <c r="AF178" i="16"/>
  <c r="Y179" i="16"/>
  <c r="Z179" i="16"/>
  <c r="AE179" i="16"/>
  <c r="AF179" i="16"/>
  <c r="Y180" i="16"/>
  <c r="Z180" i="16"/>
  <c r="AE180" i="16"/>
  <c r="AF180" i="16"/>
  <c r="Y181" i="16"/>
  <c r="Z181" i="16"/>
  <c r="AE181" i="16"/>
  <c r="AF181" i="16"/>
  <c r="Y182" i="16"/>
  <c r="Z182" i="16"/>
  <c r="AE182" i="16"/>
  <c r="AF182" i="16"/>
  <c r="Y183" i="16"/>
  <c r="Z183" i="16"/>
  <c r="AE183" i="16"/>
  <c r="AF183" i="16"/>
  <c r="Y184" i="16"/>
  <c r="Z184" i="16"/>
  <c r="AE184" i="16"/>
  <c r="AF184" i="16"/>
  <c r="Y185" i="16"/>
  <c r="Z185" i="16"/>
  <c r="AE185" i="16"/>
  <c r="AF185" i="16"/>
  <c r="Y186" i="16"/>
  <c r="Z186" i="16"/>
  <c r="AE186" i="16"/>
  <c r="AF186" i="16"/>
  <c r="Y187" i="16"/>
  <c r="Z187" i="16"/>
  <c r="AE187" i="16"/>
  <c r="AF187" i="16"/>
  <c r="Y188" i="16"/>
  <c r="Z188" i="16"/>
  <c r="AE188" i="16"/>
  <c r="AF188" i="16"/>
  <c r="Y189" i="16"/>
  <c r="Z189" i="16"/>
  <c r="AE189" i="16"/>
  <c r="AF189" i="16"/>
  <c r="Y190" i="16"/>
  <c r="Z190" i="16"/>
  <c r="AE190" i="16"/>
  <c r="AF190" i="16"/>
  <c r="Y191" i="16"/>
  <c r="Z191" i="16"/>
  <c r="AE191" i="16"/>
  <c r="AF191" i="16"/>
  <c r="Y192" i="16"/>
  <c r="Z192" i="16"/>
  <c r="AE192" i="16"/>
  <c r="AF192" i="16"/>
  <c r="Y193" i="16"/>
  <c r="Z193" i="16"/>
  <c r="AE193" i="16"/>
  <c r="AF193" i="16"/>
  <c r="Y194" i="16"/>
  <c r="Z194" i="16"/>
  <c r="AE194" i="16"/>
  <c r="AF194" i="16"/>
  <c r="Y195" i="16"/>
  <c r="Z195" i="16"/>
  <c r="AE195" i="16"/>
  <c r="AF195" i="16"/>
  <c r="Y196" i="16"/>
  <c r="Z196" i="16"/>
  <c r="AE196" i="16"/>
  <c r="AF196" i="16"/>
  <c r="Y197" i="16"/>
  <c r="Z197" i="16"/>
  <c r="AE197" i="16"/>
  <c r="AF197" i="16"/>
  <c r="Y198" i="16"/>
  <c r="Z198" i="16"/>
  <c r="AE198" i="16"/>
  <c r="AF198" i="16"/>
  <c r="Y199" i="16"/>
  <c r="Z199" i="16"/>
  <c r="AE199" i="16"/>
  <c r="AF199" i="16"/>
  <c r="Y200" i="16"/>
  <c r="Z200" i="16"/>
  <c r="AE200" i="16"/>
  <c r="AF200" i="16"/>
  <c r="Y201" i="16"/>
  <c r="Z201" i="16"/>
  <c r="AE201" i="16"/>
  <c r="AF201" i="16"/>
  <c r="Y202" i="16"/>
  <c r="Z202" i="16"/>
  <c r="AE202" i="16"/>
  <c r="AF202" i="16"/>
  <c r="Y203" i="16"/>
  <c r="Z203" i="16"/>
  <c r="AE203" i="16"/>
  <c r="AF203" i="16"/>
  <c r="Y204" i="16"/>
  <c r="Z204" i="16"/>
  <c r="AE204" i="16"/>
  <c r="AF204" i="16"/>
  <c r="Y205" i="16"/>
  <c r="Z205" i="16"/>
  <c r="AE205" i="16"/>
  <c r="AF205" i="16"/>
  <c r="Y206" i="16"/>
  <c r="Z206" i="16"/>
  <c r="AE206" i="16"/>
  <c r="AF206" i="16"/>
  <c r="Y207" i="16"/>
  <c r="Z207" i="16"/>
  <c r="AE207" i="16"/>
  <c r="AF207" i="16"/>
  <c r="Y208" i="16"/>
  <c r="Z208" i="16"/>
  <c r="AE208" i="16"/>
  <c r="AF208" i="16"/>
  <c r="Y209" i="16"/>
  <c r="Z209" i="16"/>
  <c r="AE209" i="16"/>
  <c r="AF209" i="16"/>
  <c r="Y210" i="16"/>
  <c r="Z210" i="16"/>
  <c r="AE210" i="16"/>
  <c r="AF210" i="16"/>
  <c r="Y211" i="16"/>
  <c r="Z211" i="16"/>
  <c r="AE211" i="16"/>
  <c r="AF211" i="16"/>
  <c r="Y212" i="16"/>
  <c r="Z212" i="16"/>
  <c r="AE212" i="16"/>
  <c r="AF212" i="16"/>
  <c r="Y213" i="16"/>
  <c r="Z213" i="16"/>
  <c r="AE213" i="16"/>
  <c r="AF213" i="16"/>
  <c r="Y214" i="16"/>
  <c r="Z214" i="16"/>
  <c r="AE214" i="16"/>
  <c r="AF214" i="16"/>
  <c r="Y215" i="16"/>
  <c r="Z215" i="16"/>
  <c r="AE215" i="16"/>
  <c r="AF215" i="16"/>
  <c r="Y216" i="16"/>
  <c r="Z216" i="16"/>
  <c r="AE216" i="16"/>
  <c r="AF216" i="16"/>
  <c r="Y217" i="16"/>
  <c r="Z217" i="16"/>
  <c r="AE217" i="16"/>
  <c r="AF217" i="16"/>
  <c r="Y218" i="16"/>
  <c r="Z218" i="16"/>
  <c r="AE218" i="16"/>
  <c r="AF218" i="16"/>
  <c r="Y219" i="16"/>
  <c r="Z219" i="16"/>
  <c r="AE219" i="16"/>
  <c r="AF219" i="16"/>
  <c r="Y220" i="16"/>
  <c r="Z220" i="16"/>
  <c r="AE220" i="16"/>
  <c r="AF220" i="16"/>
  <c r="Y221" i="16"/>
  <c r="Z221" i="16"/>
  <c r="AE221" i="16"/>
  <c r="AF221" i="16"/>
  <c r="Y222" i="16"/>
  <c r="Z222" i="16"/>
  <c r="AE222" i="16"/>
  <c r="AF222" i="16"/>
  <c r="Y223" i="16"/>
  <c r="Z223" i="16"/>
  <c r="AE223" i="16"/>
  <c r="AF223" i="16"/>
  <c r="Y224" i="16"/>
  <c r="Z224" i="16"/>
  <c r="AE224" i="16"/>
  <c r="AF224" i="16"/>
  <c r="Y225" i="16"/>
  <c r="Z225" i="16"/>
  <c r="AE225" i="16"/>
  <c r="AF225" i="16"/>
  <c r="Y226" i="16"/>
  <c r="Z226" i="16"/>
  <c r="AE226" i="16"/>
  <c r="AF226" i="16"/>
  <c r="Y227" i="16"/>
  <c r="Z227" i="16"/>
  <c r="AE227" i="16"/>
  <c r="AF227" i="16"/>
  <c r="Y228" i="16"/>
  <c r="Z228" i="16"/>
  <c r="AE228" i="16"/>
  <c r="AF228" i="16"/>
  <c r="Y229" i="16"/>
  <c r="Z229" i="16"/>
  <c r="AE229" i="16"/>
  <c r="AF229" i="16"/>
  <c r="Y230" i="16"/>
  <c r="Z230" i="16"/>
  <c r="AE230" i="16"/>
  <c r="AF230" i="16"/>
  <c r="Y231" i="16"/>
  <c r="Z231" i="16"/>
  <c r="AE231" i="16"/>
  <c r="AF231" i="16"/>
  <c r="Z232" i="16"/>
  <c r="AF232" i="16"/>
  <c r="Z233" i="16"/>
  <c r="AF233" i="16"/>
  <c r="Z234" i="16"/>
  <c r="AF234" i="16"/>
  <c r="Z235" i="16"/>
  <c r="AF235" i="16"/>
  <c r="Z236" i="16"/>
  <c r="AF236" i="16"/>
  <c r="Z237" i="16"/>
  <c r="AF237" i="16"/>
  <c r="Z238" i="16"/>
  <c r="AF238" i="16"/>
  <c r="Z239" i="16"/>
  <c r="AF239" i="16"/>
  <c r="Z240" i="16"/>
  <c r="AF240" i="16"/>
  <c r="Z241" i="16"/>
  <c r="AF241" i="16"/>
  <c r="Z242" i="16"/>
  <c r="AF242" i="16"/>
  <c r="Z243" i="16"/>
  <c r="AF243" i="16"/>
  <c r="Y244" i="16"/>
  <c r="Z244" i="16"/>
  <c r="AE244" i="16"/>
  <c r="AF244" i="16"/>
  <c r="Y245" i="16"/>
  <c r="Z245" i="16"/>
  <c r="AE245" i="16"/>
  <c r="AF245" i="16"/>
  <c r="Y246" i="16"/>
  <c r="Z246" i="16"/>
  <c r="AE246" i="16"/>
  <c r="AF246" i="16"/>
  <c r="Y247" i="16"/>
  <c r="Z247" i="16"/>
  <c r="AE247" i="16"/>
  <c r="AF247" i="16"/>
  <c r="Y248" i="16"/>
  <c r="Z248" i="16"/>
  <c r="AE248" i="16"/>
  <c r="AF248" i="16"/>
  <c r="Y249" i="16"/>
  <c r="Z249" i="16"/>
  <c r="AE249" i="16"/>
  <c r="AF249" i="16"/>
  <c r="Y250" i="16"/>
  <c r="Z250" i="16"/>
  <c r="AE250" i="16"/>
  <c r="AF250" i="16"/>
  <c r="Y251" i="16"/>
  <c r="Z251" i="16"/>
  <c r="AE251" i="16"/>
  <c r="AF251" i="16"/>
  <c r="Y252" i="16"/>
  <c r="Z252" i="16"/>
  <c r="AE252" i="16"/>
  <c r="AF252" i="16"/>
  <c r="Y253" i="16"/>
  <c r="Z253" i="16"/>
  <c r="AE253" i="16"/>
  <c r="AF253" i="16"/>
  <c r="Y254" i="16"/>
  <c r="Z254" i="16"/>
  <c r="AE254" i="16"/>
  <c r="AF254" i="16"/>
  <c r="Y255" i="16"/>
  <c r="Z255" i="16"/>
  <c r="AE255" i="16"/>
  <c r="AF255" i="16"/>
  <c r="Y256" i="16"/>
  <c r="Z256" i="16"/>
  <c r="AE256" i="16"/>
  <c r="AF256" i="16"/>
  <c r="Y257" i="16"/>
  <c r="Z257" i="16"/>
  <c r="AE257" i="16"/>
  <c r="AF257" i="16"/>
  <c r="Y258" i="16"/>
  <c r="Z258" i="16"/>
  <c r="AE258" i="16"/>
  <c r="AF258" i="16"/>
  <c r="Y259" i="16"/>
  <c r="Z259" i="16"/>
  <c r="AE259" i="16"/>
  <c r="AF259" i="16"/>
  <c r="Y260" i="16"/>
  <c r="Z260" i="16"/>
  <c r="AE260" i="16"/>
  <c r="AF260" i="16"/>
  <c r="Y261" i="16"/>
  <c r="Z261" i="16"/>
  <c r="AE261" i="16"/>
  <c r="AF261" i="16"/>
  <c r="Y262" i="16"/>
  <c r="Z262" i="16"/>
  <c r="AE262" i="16"/>
  <c r="AF262" i="16"/>
  <c r="Y263" i="16"/>
  <c r="Z263" i="16"/>
  <c r="AE263" i="16"/>
  <c r="AF263" i="16"/>
  <c r="Y264" i="16"/>
  <c r="Z264" i="16"/>
  <c r="AE264" i="16"/>
  <c r="AF264" i="16"/>
  <c r="Y265" i="16"/>
  <c r="Z265" i="16"/>
  <c r="AE265" i="16"/>
  <c r="AF265" i="16"/>
  <c r="Y266" i="16"/>
  <c r="Z266" i="16"/>
  <c r="AE266" i="16"/>
  <c r="AF266" i="16"/>
  <c r="Y267" i="16"/>
  <c r="Z267" i="16"/>
  <c r="AE267" i="16"/>
  <c r="AF267" i="16"/>
  <c r="Y268" i="16"/>
  <c r="Z268" i="16"/>
  <c r="AE268" i="16"/>
  <c r="AF268" i="16"/>
  <c r="Y269" i="16"/>
  <c r="Z269" i="16"/>
  <c r="AE269" i="16"/>
  <c r="AF269" i="16"/>
  <c r="Y270" i="16"/>
  <c r="Z270" i="16"/>
  <c r="AE270" i="16"/>
  <c r="AF270" i="16"/>
  <c r="Y271" i="16"/>
  <c r="Z271" i="16"/>
  <c r="AE271" i="16"/>
  <c r="AF271" i="16"/>
  <c r="Y272" i="16"/>
  <c r="Z272" i="16"/>
  <c r="AE272" i="16"/>
  <c r="AF272" i="16"/>
  <c r="Y273" i="16"/>
  <c r="Z273" i="16"/>
  <c r="AE273" i="16"/>
  <c r="AF273" i="16"/>
  <c r="Y274" i="16"/>
  <c r="Z274" i="16"/>
  <c r="AE274" i="16"/>
  <c r="AF274" i="16"/>
  <c r="Y275" i="16"/>
  <c r="Z275" i="16"/>
  <c r="AE275" i="16"/>
  <c r="AF275" i="16"/>
  <c r="Y276" i="16"/>
  <c r="Z276" i="16"/>
  <c r="AE276" i="16"/>
  <c r="AF276" i="16"/>
  <c r="Y277" i="16"/>
  <c r="Z277" i="16"/>
  <c r="AE277" i="16"/>
  <c r="AF277" i="16"/>
  <c r="Y278" i="16"/>
  <c r="Z278" i="16"/>
  <c r="AE278" i="16"/>
  <c r="AF278" i="16"/>
  <c r="Y279" i="16"/>
  <c r="Z279" i="16"/>
  <c r="AE279" i="16"/>
  <c r="AF279" i="16"/>
  <c r="Y280" i="16"/>
  <c r="Z280" i="16"/>
  <c r="AE280" i="16"/>
  <c r="AF280" i="16"/>
  <c r="Y281" i="16"/>
  <c r="Z281" i="16"/>
  <c r="AE281" i="16"/>
  <c r="AF281" i="16"/>
  <c r="Y282" i="16"/>
  <c r="Z282" i="16"/>
  <c r="AE282" i="16"/>
  <c r="AF282" i="16"/>
  <c r="Y283" i="16"/>
  <c r="Z283" i="16"/>
  <c r="AE283" i="16"/>
  <c r="AF283" i="16"/>
  <c r="Y284" i="16"/>
  <c r="Z284" i="16"/>
  <c r="AE284" i="16"/>
  <c r="AF284" i="16"/>
  <c r="Y285" i="16"/>
  <c r="Z285" i="16"/>
  <c r="AE285" i="16"/>
  <c r="AF285" i="16"/>
  <c r="Y286" i="16"/>
  <c r="Z286" i="16"/>
  <c r="AE286" i="16"/>
  <c r="AF286" i="16"/>
  <c r="Y287" i="16"/>
  <c r="Z287" i="16"/>
  <c r="AE287" i="16"/>
  <c r="AF287" i="16"/>
  <c r="Y288" i="16"/>
  <c r="Z288" i="16"/>
  <c r="AE288" i="16"/>
  <c r="AF288" i="16"/>
  <c r="Y289" i="16"/>
  <c r="Z289" i="16"/>
  <c r="AE289" i="16"/>
  <c r="AF289" i="16"/>
  <c r="Y290" i="16"/>
  <c r="Z290" i="16"/>
  <c r="AE290" i="16"/>
  <c r="AF290" i="16"/>
  <c r="Y291" i="16"/>
  <c r="Z291" i="16"/>
  <c r="AE291" i="16"/>
  <c r="AF291" i="16"/>
  <c r="Y292" i="16"/>
  <c r="Z292" i="16"/>
  <c r="AE292" i="16"/>
  <c r="AF292" i="16"/>
  <c r="Y293" i="16"/>
  <c r="Z293" i="16"/>
  <c r="AE293" i="16"/>
  <c r="AF293" i="16"/>
  <c r="Y294" i="16"/>
  <c r="Z294" i="16"/>
  <c r="AE294" i="16"/>
  <c r="AF294" i="16"/>
  <c r="Y295" i="16"/>
  <c r="Z295" i="16"/>
  <c r="AE295" i="16"/>
  <c r="AF295" i="16"/>
  <c r="Y296" i="16"/>
  <c r="Z296" i="16"/>
  <c r="AE296" i="16"/>
  <c r="AF296" i="16"/>
  <c r="Y297" i="16"/>
  <c r="Z297" i="16"/>
  <c r="AE297" i="16"/>
  <c r="AF297" i="16"/>
  <c r="Y298" i="16"/>
  <c r="Z298" i="16"/>
  <c r="AE298" i="16"/>
  <c r="AF298" i="16"/>
  <c r="Y299" i="16"/>
  <c r="Z299" i="16"/>
  <c r="AE299" i="16"/>
  <c r="AF299" i="16"/>
  <c r="Y300" i="16"/>
  <c r="Z300" i="16"/>
  <c r="AE300" i="16"/>
  <c r="AF300" i="16"/>
  <c r="Y301" i="16"/>
  <c r="Z301" i="16"/>
  <c r="AE301" i="16"/>
  <c r="AF301" i="16"/>
  <c r="Y302" i="16"/>
  <c r="Z302" i="16"/>
  <c r="AE302" i="16"/>
  <c r="AF302" i="16"/>
  <c r="Y303" i="16"/>
  <c r="Z303" i="16"/>
  <c r="AE303" i="16"/>
  <c r="AF303" i="16"/>
  <c r="Y304" i="16"/>
  <c r="Z304" i="16"/>
  <c r="AE304" i="16"/>
  <c r="AF304" i="16"/>
  <c r="Y305" i="16"/>
  <c r="Z305" i="16"/>
  <c r="AE305" i="16"/>
  <c r="AF305" i="16"/>
  <c r="Y306" i="16"/>
  <c r="Z306" i="16"/>
  <c r="AE306" i="16"/>
  <c r="AF306" i="16"/>
  <c r="Y307" i="16"/>
  <c r="Z307" i="16"/>
  <c r="AE307" i="16"/>
  <c r="AF307" i="16"/>
  <c r="Y308" i="16"/>
  <c r="Z308" i="16"/>
  <c r="AE308" i="16"/>
  <c r="AF308" i="16"/>
  <c r="Y309" i="16"/>
  <c r="Z309" i="16"/>
  <c r="AE309" i="16"/>
  <c r="AF309" i="16"/>
  <c r="Y310" i="16"/>
  <c r="Z310" i="16"/>
  <c r="AE310" i="16"/>
  <c r="AF310" i="16"/>
  <c r="Y311" i="16"/>
  <c r="Z311" i="16"/>
  <c r="AE311" i="16"/>
  <c r="AF311" i="16"/>
  <c r="Y312" i="16"/>
  <c r="Z312" i="16"/>
  <c r="AE312" i="16"/>
  <c r="AF312" i="16"/>
  <c r="Y313" i="16"/>
  <c r="Z313" i="16"/>
  <c r="AE313" i="16"/>
  <c r="AF313" i="16"/>
  <c r="Y314" i="16"/>
  <c r="Z314" i="16"/>
  <c r="AE314" i="16"/>
  <c r="AF314" i="16"/>
  <c r="Y315" i="16"/>
  <c r="Z315" i="16"/>
  <c r="AE315" i="16"/>
  <c r="AF315" i="16"/>
  <c r="Y316" i="16"/>
  <c r="Z316" i="16"/>
  <c r="AE316" i="16"/>
  <c r="AF316" i="16"/>
  <c r="Y317" i="16"/>
  <c r="Z317" i="16"/>
  <c r="AE317" i="16"/>
  <c r="AF317" i="16"/>
  <c r="Y318" i="16"/>
  <c r="Z318" i="16"/>
  <c r="AE318" i="16"/>
  <c r="AF318" i="16"/>
  <c r="Y319" i="16"/>
  <c r="Z319" i="16"/>
  <c r="AE319" i="16"/>
  <c r="AF319" i="16"/>
  <c r="Y320" i="16"/>
  <c r="Z320" i="16"/>
  <c r="AE320" i="16"/>
  <c r="AF320" i="16"/>
  <c r="Y321" i="16"/>
  <c r="Z321" i="16"/>
  <c r="AE321" i="16"/>
  <c r="AF321" i="16"/>
  <c r="Y322" i="16"/>
  <c r="Z322" i="16"/>
  <c r="AE322" i="16"/>
  <c r="AF322" i="16"/>
  <c r="Y323" i="16"/>
  <c r="Z323" i="16"/>
  <c r="AE323" i="16"/>
  <c r="AF323" i="16"/>
  <c r="Y324" i="16"/>
  <c r="Z324" i="16"/>
  <c r="AE324" i="16"/>
  <c r="AF324" i="16"/>
  <c r="Y325" i="16"/>
  <c r="Z325" i="16"/>
  <c r="AE325" i="16"/>
  <c r="AF325" i="16"/>
  <c r="Y326" i="16"/>
  <c r="Z326" i="16"/>
  <c r="AE326" i="16"/>
  <c r="AF326" i="16"/>
  <c r="Y327" i="16"/>
  <c r="Z327" i="16"/>
  <c r="AE327" i="16"/>
  <c r="AF327" i="16"/>
  <c r="Y328" i="16"/>
  <c r="Z328" i="16"/>
  <c r="AE328" i="16"/>
  <c r="AF328" i="16"/>
  <c r="Y329" i="16"/>
  <c r="Z329" i="16"/>
  <c r="AE329" i="16"/>
  <c r="AF329" i="16"/>
  <c r="Y330" i="16"/>
  <c r="Z330" i="16"/>
  <c r="AE330" i="16"/>
  <c r="AF330" i="16"/>
  <c r="Y331" i="16"/>
  <c r="Z331" i="16"/>
  <c r="AE331" i="16"/>
  <c r="AF331" i="16"/>
  <c r="Y332" i="16"/>
  <c r="Z332" i="16"/>
  <c r="AE332" i="16"/>
  <c r="AF332" i="16"/>
  <c r="Y333" i="16"/>
  <c r="Z333" i="16"/>
  <c r="AE333" i="16"/>
  <c r="AF333" i="16"/>
  <c r="Y334" i="16"/>
  <c r="Z334" i="16"/>
  <c r="AE334" i="16"/>
  <c r="AF334" i="16"/>
  <c r="Y335" i="16"/>
  <c r="Z335" i="16"/>
  <c r="AE335" i="16"/>
  <c r="AF335" i="16"/>
  <c r="Y336" i="16"/>
  <c r="Z336" i="16"/>
  <c r="AE336" i="16"/>
  <c r="AF336" i="16"/>
  <c r="Y337" i="16"/>
  <c r="Z337" i="16"/>
  <c r="AE337" i="16"/>
  <c r="AF337" i="16"/>
  <c r="Y338" i="16"/>
  <c r="Z338" i="16"/>
  <c r="AE338" i="16"/>
  <c r="AF338" i="16"/>
  <c r="Y339" i="16"/>
  <c r="Z339" i="16"/>
  <c r="AE339" i="16"/>
  <c r="AF339" i="16"/>
  <c r="Y340" i="16"/>
  <c r="Z340" i="16"/>
  <c r="AE340" i="16"/>
  <c r="AF340" i="16"/>
  <c r="Y341" i="16"/>
  <c r="Z341" i="16"/>
  <c r="AE341" i="16"/>
  <c r="AF341" i="16"/>
  <c r="Y342" i="16"/>
  <c r="Z342" i="16"/>
  <c r="AE342" i="16"/>
  <c r="AF342" i="16"/>
  <c r="Y343" i="16"/>
  <c r="Z343" i="16"/>
  <c r="AE343" i="16"/>
  <c r="AF343" i="16"/>
  <c r="Y344" i="16"/>
  <c r="Z344" i="16"/>
  <c r="AE344" i="16"/>
  <c r="AF344" i="16"/>
  <c r="Y345" i="16"/>
  <c r="Z345" i="16"/>
  <c r="AE345" i="16"/>
  <c r="AF345" i="16"/>
  <c r="Y346" i="16"/>
  <c r="Z346" i="16"/>
  <c r="AE346" i="16"/>
  <c r="AF346" i="16"/>
  <c r="Y347" i="16"/>
  <c r="Z347" i="16"/>
  <c r="AE347" i="16"/>
  <c r="AF347" i="16"/>
  <c r="Y348" i="16"/>
  <c r="Z348" i="16"/>
  <c r="AE348" i="16"/>
  <c r="AF348" i="16"/>
  <c r="Y349" i="16"/>
  <c r="Z349" i="16"/>
  <c r="AE349" i="16"/>
  <c r="AF349" i="16"/>
  <c r="Y350" i="16"/>
  <c r="Z350" i="16"/>
  <c r="AE350" i="16"/>
  <c r="AF350" i="16"/>
  <c r="Y351" i="16"/>
  <c r="Z351" i="16"/>
  <c r="AE351" i="16"/>
  <c r="AF351" i="16"/>
  <c r="Y352" i="16"/>
  <c r="Z352" i="16"/>
  <c r="AE352" i="16"/>
  <c r="AF352" i="16"/>
  <c r="Y353" i="16"/>
  <c r="Z353" i="16"/>
  <c r="AE353" i="16"/>
  <c r="AF353" i="16"/>
  <c r="Y354" i="16"/>
  <c r="Z354" i="16"/>
  <c r="AE354" i="16"/>
  <c r="AF354" i="16"/>
  <c r="Y355" i="16"/>
  <c r="Z355" i="16"/>
  <c r="AE355" i="16"/>
  <c r="AF355" i="16"/>
  <c r="Y356" i="16"/>
  <c r="Z356" i="16"/>
  <c r="AE356" i="16"/>
  <c r="AF356" i="16"/>
  <c r="Y357" i="16"/>
  <c r="Z357" i="16"/>
  <c r="AE357" i="16"/>
  <c r="AF357" i="16"/>
  <c r="Y358" i="16"/>
  <c r="Z358" i="16"/>
  <c r="AE358" i="16"/>
  <c r="AF358" i="16"/>
  <c r="Y359" i="16"/>
  <c r="Z359" i="16"/>
  <c r="AE359" i="16"/>
  <c r="AF359" i="16"/>
  <c r="Y360" i="16"/>
  <c r="Z360" i="16"/>
  <c r="AE360" i="16"/>
  <c r="AF360" i="16"/>
  <c r="Y361" i="16"/>
  <c r="Z361" i="16"/>
  <c r="AE361" i="16"/>
  <c r="AF361" i="16"/>
  <c r="Y362" i="16"/>
  <c r="Z362" i="16"/>
  <c r="AE362" i="16"/>
  <c r="AF362" i="16"/>
  <c r="Y363" i="16"/>
  <c r="Z363" i="16"/>
  <c r="AE363" i="16"/>
  <c r="AF363" i="16"/>
  <c r="Y364" i="16"/>
  <c r="Z364" i="16"/>
  <c r="AE364" i="16"/>
  <c r="AF364" i="16"/>
  <c r="Y365" i="16"/>
  <c r="Z365" i="16"/>
  <c r="AE365" i="16"/>
  <c r="AF365" i="16"/>
  <c r="Y366" i="16"/>
  <c r="Z366" i="16"/>
  <c r="AE366" i="16"/>
  <c r="AF366" i="16"/>
  <c r="Y367" i="16"/>
  <c r="Z367" i="16"/>
  <c r="AE367" i="16"/>
  <c r="AF367" i="16"/>
  <c r="Y368" i="16"/>
  <c r="Z368" i="16"/>
  <c r="AE368" i="16"/>
  <c r="AF368" i="16"/>
  <c r="Y369" i="16"/>
  <c r="Z369" i="16"/>
  <c r="AE369" i="16"/>
  <c r="AF369" i="16"/>
  <c r="Y370" i="16"/>
  <c r="Z370" i="16"/>
  <c r="AE370" i="16"/>
  <c r="AF370" i="16"/>
  <c r="Y371" i="16"/>
  <c r="Z371" i="16"/>
  <c r="AE371" i="16"/>
  <c r="AF371" i="16"/>
  <c r="Y372" i="16"/>
  <c r="Z372" i="16"/>
  <c r="AE372" i="16"/>
  <c r="AF372" i="16"/>
  <c r="Y373" i="16"/>
  <c r="Z373" i="16"/>
  <c r="AE373" i="16"/>
  <c r="AF373" i="16"/>
  <c r="Y374" i="16"/>
  <c r="Z374" i="16"/>
  <c r="AE374" i="16"/>
  <c r="AF374" i="16"/>
  <c r="Y375" i="16"/>
  <c r="Z375" i="16"/>
  <c r="AE375" i="16"/>
  <c r="AF375" i="16"/>
  <c r="Y376" i="16"/>
  <c r="Z376" i="16"/>
  <c r="AE376" i="16"/>
  <c r="AF376" i="16"/>
  <c r="Y377" i="16"/>
  <c r="Z377" i="16"/>
  <c r="AE377" i="16"/>
  <c r="AF377" i="16"/>
  <c r="Y378" i="16"/>
  <c r="Z378" i="16"/>
  <c r="AE378" i="16"/>
  <c r="AF378" i="16"/>
  <c r="Y379" i="16"/>
  <c r="Z379" i="16"/>
  <c r="AE379" i="16"/>
  <c r="AF379" i="16"/>
  <c r="Y380" i="16"/>
  <c r="Z380" i="16"/>
  <c r="AE380" i="16"/>
  <c r="AF380" i="16"/>
  <c r="Y381" i="16"/>
  <c r="Z381" i="16"/>
  <c r="AE381" i="16"/>
  <c r="AF381" i="16"/>
  <c r="Y382" i="16"/>
  <c r="Z382" i="16"/>
  <c r="AE382" i="16"/>
  <c r="AF382" i="16"/>
  <c r="Y383" i="16"/>
  <c r="Z383" i="16"/>
  <c r="AE383" i="16"/>
  <c r="AF383" i="16"/>
  <c r="Y384" i="16"/>
  <c r="Z384" i="16"/>
  <c r="AE384" i="16"/>
  <c r="AF384" i="16"/>
  <c r="Y385" i="16"/>
  <c r="Z385" i="16"/>
  <c r="AE385" i="16"/>
  <c r="AF385" i="16"/>
  <c r="Y386" i="16"/>
  <c r="Z386" i="16"/>
  <c r="AE386" i="16"/>
  <c r="AF386" i="16"/>
  <c r="Y387" i="16"/>
  <c r="Z387" i="16"/>
  <c r="AE387" i="16"/>
  <c r="AF387" i="16"/>
  <c r="Y388" i="16"/>
  <c r="Z388" i="16"/>
  <c r="AE388" i="16"/>
  <c r="AF388" i="16"/>
  <c r="Y389" i="16"/>
  <c r="Z389" i="16"/>
  <c r="AE389" i="16"/>
  <c r="AF389" i="16"/>
  <c r="Y390" i="16"/>
  <c r="Z390" i="16"/>
  <c r="AE390" i="16"/>
  <c r="AF390" i="16"/>
  <c r="Y391" i="16"/>
  <c r="Z391" i="16"/>
  <c r="AE391" i="16"/>
  <c r="AF391" i="16"/>
  <c r="Y392" i="16"/>
  <c r="Z392" i="16"/>
  <c r="AE392" i="16"/>
  <c r="AF392" i="16"/>
  <c r="Y393" i="16"/>
  <c r="Z393" i="16"/>
  <c r="AE393" i="16"/>
  <c r="AF393" i="16"/>
  <c r="Y394" i="16"/>
  <c r="Z394" i="16"/>
  <c r="AE394" i="16"/>
  <c r="AF394" i="16"/>
  <c r="Y395" i="16"/>
  <c r="Z395" i="16"/>
  <c r="AE395" i="16"/>
  <c r="AF395" i="16"/>
  <c r="Y396" i="16"/>
  <c r="Z396" i="16"/>
  <c r="AE396" i="16"/>
  <c r="AF396" i="16"/>
  <c r="Y397" i="16"/>
  <c r="Z397" i="16"/>
  <c r="AE397" i="16"/>
  <c r="AF397" i="16"/>
  <c r="Y398" i="16"/>
  <c r="Z398" i="16"/>
  <c r="AE398" i="16"/>
  <c r="AF398" i="16"/>
  <c r="Y399" i="16"/>
  <c r="Z399" i="16"/>
  <c r="AE399" i="16"/>
  <c r="AF399" i="16"/>
  <c r="Y400" i="16"/>
  <c r="Z400" i="16"/>
  <c r="AE400" i="16"/>
  <c r="AF400" i="16"/>
  <c r="Y401" i="16"/>
  <c r="Z401" i="16"/>
  <c r="AE401" i="16"/>
  <c r="AF401" i="16"/>
  <c r="Y402" i="16"/>
  <c r="Z402" i="16"/>
  <c r="AE402" i="16"/>
  <c r="AF402" i="16"/>
  <c r="Y403" i="16"/>
  <c r="Z403" i="16"/>
  <c r="AE403" i="16"/>
  <c r="AF403" i="16"/>
  <c r="Y404" i="16"/>
  <c r="Z404" i="16"/>
  <c r="AE404" i="16"/>
  <c r="AF404" i="16"/>
  <c r="Y405" i="16"/>
  <c r="Z405" i="16"/>
  <c r="AE405" i="16"/>
  <c r="AF405" i="16"/>
  <c r="Y406" i="16"/>
  <c r="Z406" i="16"/>
  <c r="AE406" i="16"/>
  <c r="AF406" i="16"/>
  <c r="Y407" i="16"/>
  <c r="Z407" i="16"/>
  <c r="AE407" i="16"/>
  <c r="AF407" i="16"/>
  <c r="Y408" i="16"/>
  <c r="Z408" i="16"/>
  <c r="AE408" i="16"/>
  <c r="AF408" i="16"/>
  <c r="Y409" i="16"/>
  <c r="Z409" i="16"/>
  <c r="AE409" i="16"/>
  <c r="AF409" i="16"/>
  <c r="Y410" i="16"/>
  <c r="Z410" i="16"/>
  <c r="AE410" i="16"/>
  <c r="AF410" i="16"/>
  <c r="Y411" i="16"/>
  <c r="Z411" i="16"/>
  <c r="AE411" i="16"/>
  <c r="AF411" i="16"/>
  <c r="Y412" i="16"/>
  <c r="Z412" i="16"/>
  <c r="AE412" i="16"/>
  <c r="AF412" i="16"/>
  <c r="Y413" i="16"/>
  <c r="Z413" i="16"/>
  <c r="AE413" i="16"/>
  <c r="AF413" i="16"/>
  <c r="Y414" i="16"/>
  <c r="Z414" i="16"/>
  <c r="AE414" i="16"/>
  <c r="AF414" i="16"/>
  <c r="Y415" i="16"/>
  <c r="Z415" i="16"/>
  <c r="AE415" i="16"/>
  <c r="AF415" i="16"/>
  <c r="Y416" i="16"/>
  <c r="Z416" i="16"/>
  <c r="AE416" i="16"/>
  <c r="AF416" i="16"/>
  <c r="Y417" i="16"/>
  <c r="Z417" i="16"/>
  <c r="AE417" i="16"/>
  <c r="AF417" i="16"/>
  <c r="Y418" i="16"/>
  <c r="Z418" i="16"/>
  <c r="AE418" i="16"/>
  <c r="AF418" i="16"/>
  <c r="Y419" i="16"/>
  <c r="Z419" i="16"/>
  <c r="AE419" i="16"/>
  <c r="AF419" i="16"/>
  <c r="Y420" i="16"/>
  <c r="Z420" i="16"/>
  <c r="AE420" i="16"/>
  <c r="AF420" i="16"/>
  <c r="Y421" i="16"/>
  <c r="Z421" i="16"/>
  <c r="AE421" i="16"/>
  <c r="AF421" i="16"/>
  <c r="Y422" i="16"/>
  <c r="Z422" i="16"/>
  <c r="AE422" i="16"/>
  <c r="AF422" i="16"/>
  <c r="Y423" i="16"/>
  <c r="Z423" i="16"/>
  <c r="AE423" i="16"/>
  <c r="AF423" i="16"/>
  <c r="Y424" i="16"/>
  <c r="Z424" i="16"/>
  <c r="AE424" i="16"/>
  <c r="AF424" i="16"/>
  <c r="Y425" i="16"/>
  <c r="Z425" i="16"/>
  <c r="AE425" i="16"/>
  <c r="AF425" i="16"/>
  <c r="Y426" i="16"/>
  <c r="Z426" i="16"/>
  <c r="AE426" i="16"/>
  <c r="AF426" i="16"/>
  <c r="Y427" i="16"/>
  <c r="Z427" i="16"/>
  <c r="AE427" i="16"/>
  <c r="AF427" i="16"/>
  <c r="Y428" i="16"/>
  <c r="Z428" i="16"/>
  <c r="AE428" i="16"/>
  <c r="AF428" i="16"/>
  <c r="Y429" i="16"/>
  <c r="Z429" i="16"/>
  <c r="AE429" i="16"/>
  <c r="AF429" i="16"/>
  <c r="Y430" i="16"/>
  <c r="Z430" i="16"/>
  <c r="AE430" i="16"/>
  <c r="AF430" i="16"/>
  <c r="Y431" i="16"/>
  <c r="Z431" i="16"/>
  <c r="AE431" i="16"/>
  <c r="AF431" i="16"/>
  <c r="Y432" i="16"/>
  <c r="Z432" i="16"/>
  <c r="AE432" i="16"/>
  <c r="AF432" i="16"/>
  <c r="Y433" i="16"/>
  <c r="Z433" i="16"/>
  <c r="AE433" i="16"/>
  <c r="AF433" i="16"/>
  <c r="Y434" i="16"/>
  <c r="Z434" i="16"/>
  <c r="AE434" i="16"/>
  <c r="AF434" i="16"/>
  <c r="Y435" i="16"/>
  <c r="Z435" i="16"/>
  <c r="AE435" i="16"/>
  <c r="AF435" i="16"/>
  <c r="Y436" i="16"/>
  <c r="Z436" i="16"/>
  <c r="AE436" i="16"/>
  <c r="AF436" i="16"/>
  <c r="Y437" i="16"/>
  <c r="Z437" i="16"/>
  <c r="AE437" i="16"/>
  <c r="AF437" i="16"/>
  <c r="Y438" i="16"/>
  <c r="Z438" i="16"/>
  <c r="AE438" i="16"/>
  <c r="AF438" i="16"/>
  <c r="Y439" i="16"/>
  <c r="Z439" i="16"/>
  <c r="AE439" i="16"/>
  <c r="AF439" i="16"/>
  <c r="Y440" i="16"/>
  <c r="Z440" i="16"/>
  <c r="AE440" i="16"/>
  <c r="AF440" i="16"/>
  <c r="Y441" i="16"/>
  <c r="Z441" i="16"/>
  <c r="AE441" i="16"/>
  <c r="AF441" i="16"/>
  <c r="Y442" i="16"/>
  <c r="Z442" i="16"/>
  <c r="AE442" i="16"/>
  <c r="AF442" i="16"/>
  <c r="Y443" i="16"/>
  <c r="Z443" i="16"/>
  <c r="AE443" i="16"/>
  <c r="AF443" i="16"/>
  <c r="Y444" i="16"/>
  <c r="Z444" i="16"/>
  <c r="AE444" i="16"/>
  <c r="AF444" i="16"/>
  <c r="Y445" i="16"/>
  <c r="Z445" i="16"/>
  <c r="AE445" i="16"/>
  <c r="AF445" i="16"/>
  <c r="Y446" i="16"/>
  <c r="Z446" i="16"/>
  <c r="AE446" i="16"/>
  <c r="AF446" i="16"/>
  <c r="Y447" i="16"/>
  <c r="Z447" i="16"/>
  <c r="AE447" i="16"/>
  <c r="AF447" i="16"/>
  <c r="Y448" i="16"/>
  <c r="Z448" i="16"/>
  <c r="AE448" i="16"/>
  <c r="AF448" i="16"/>
  <c r="Y449" i="16"/>
  <c r="Z449" i="16"/>
  <c r="AE449" i="16"/>
  <c r="AF449" i="16"/>
  <c r="Y450" i="16"/>
  <c r="Z450" i="16"/>
  <c r="AE450" i="16"/>
  <c r="AF450" i="16"/>
  <c r="Y451" i="16"/>
  <c r="Z451" i="16"/>
  <c r="AE451" i="16"/>
  <c r="AF451" i="16"/>
  <c r="Y452" i="16"/>
  <c r="Z452" i="16"/>
  <c r="AE452" i="16"/>
  <c r="AF452" i="16"/>
  <c r="Y453" i="16"/>
  <c r="Z453" i="16"/>
  <c r="AE453" i="16"/>
  <c r="AF453" i="16"/>
  <c r="Y454" i="16"/>
  <c r="Z454" i="16"/>
  <c r="AE454" i="16"/>
  <c r="AF454" i="16"/>
  <c r="Y455" i="16"/>
  <c r="Z455" i="16"/>
  <c r="AE455" i="16"/>
  <c r="AF455" i="16"/>
  <c r="Y456" i="16"/>
  <c r="Z456" i="16"/>
  <c r="AE456" i="16"/>
  <c r="AF456" i="16"/>
  <c r="Y457" i="16"/>
  <c r="Z457" i="16"/>
  <c r="AE457" i="16"/>
  <c r="AF457" i="16"/>
  <c r="Y458" i="16"/>
  <c r="Z458" i="16"/>
  <c r="AE458" i="16"/>
  <c r="AF458" i="16"/>
  <c r="Y459" i="16"/>
  <c r="Z459" i="16"/>
  <c r="AE459" i="16"/>
  <c r="AF459" i="16"/>
  <c r="Y460" i="16"/>
  <c r="Z460" i="16"/>
  <c r="AE460" i="16"/>
  <c r="AF460" i="16"/>
  <c r="Y461" i="16"/>
  <c r="Z461" i="16"/>
  <c r="AE461" i="16"/>
  <c r="AF461" i="16"/>
  <c r="Z462" i="16"/>
  <c r="AF462" i="16"/>
  <c r="Z463" i="16"/>
  <c r="AF463" i="16"/>
  <c r="Z464" i="16"/>
  <c r="AF464" i="16"/>
  <c r="Z465" i="16"/>
  <c r="AF465" i="16"/>
  <c r="Z466" i="16"/>
  <c r="AF466" i="16"/>
  <c r="Z467" i="16"/>
  <c r="AF467" i="16"/>
  <c r="Z468" i="16"/>
  <c r="AF468" i="16"/>
  <c r="Z469" i="16"/>
  <c r="AF469" i="16"/>
  <c r="Z470" i="16"/>
  <c r="AF470" i="16"/>
  <c r="Z471" i="16"/>
  <c r="AF471" i="16"/>
  <c r="Z472" i="16"/>
  <c r="AF472" i="16"/>
  <c r="Z473" i="16"/>
  <c r="AF473" i="16"/>
  <c r="Z474" i="16"/>
  <c r="AF474" i="16"/>
  <c r="Z475" i="16"/>
  <c r="AF475" i="16"/>
  <c r="Z476" i="16"/>
  <c r="AF476" i="16"/>
  <c r="Z477" i="16"/>
  <c r="AF477" i="16"/>
  <c r="Z478" i="16"/>
  <c r="AF478" i="16"/>
  <c r="Z479" i="16"/>
  <c r="AF479" i="16"/>
  <c r="Z480" i="16"/>
  <c r="AF480" i="16"/>
  <c r="Z481" i="16"/>
  <c r="AF481" i="16"/>
  <c r="Z482" i="16"/>
  <c r="AF482" i="16"/>
  <c r="Z483" i="16"/>
  <c r="AF483" i="16"/>
  <c r="Z484" i="16"/>
  <c r="AF484" i="16"/>
  <c r="Z485" i="16"/>
  <c r="AF485" i="16"/>
  <c r="Z486" i="16"/>
  <c r="AF486" i="16"/>
  <c r="Z487" i="16"/>
  <c r="AF487" i="16"/>
  <c r="Z488" i="16"/>
  <c r="AF488" i="16"/>
  <c r="Z489" i="16"/>
  <c r="AF489" i="16"/>
  <c r="Z490" i="16"/>
  <c r="AF490" i="16"/>
  <c r="Z491" i="16"/>
  <c r="AF491" i="16"/>
  <c r="Z492" i="16"/>
  <c r="AF492" i="16"/>
  <c r="Z493" i="16"/>
  <c r="AF493" i="16"/>
  <c r="Z494" i="16"/>
  <c r="AF494" i="16"/>
  <c r="Z495" i="16"/>
  <c r="AF495" i="16"/>
  <c r="Z496" i="16"/>
  <c r="AF496" i="16"/>
  <c r="Z497" i="16"/>
  <c r="AF497" i="16"/>
  <c r="Z498" i="16"/>
  <c r="AF498" i="16"/>
  <c r="Z499" i="16"/>
  <c r="AF499" i="16"/>
  <c r="Z500" i="16"/>
  <c r="AF500" i="16"/>
  <c r="Z501" i="16"/>
  <c r="AF501" i="16"/>
  <c r="Z502" i="16"/>
  <c r="AF502" i="16"/>
  <c r="Z503" i="16"/>
  <c r="AF503" i="16"/>
  <c r="Z504" i="16"/>
  <c r="AF504" i="16"/>
  <c r="Z505" i="16"/>
  <c r="AF505" i="16"/>
  <c r="Y506" i="16"/>
  <c r="AE506" i="16"/>
  <c r="Y507" i="16"/>
  <c r="AE507" i="16"/>
  <c r="Y508" i="16"/>
  <c r="AE508" i="16"/>
  <c r="Y509" i="16"/>
  <c r="AE509" i="16"/>
  <c r="Y510" i="16"/>
  <c r="AE510" i="16"/>
  <c r="Y511" i="16"/>
  <c r="AE511" i="16"/>
  <c r="Y512" i="16"/>
  <c r="AE512" i="16"/>
  <c r="Y513" i="16"/>
  <c r="AE513" i="16"/>
  <c r="Y514" i="16"/>
  <c r="AE514" i="16"/>
  <c r="Y515" i="16"/>
  <c r="AE515" i="16"/>
  <c r="Y516" i="16"/>
  <c r="AE516" i="16"/>
  <c r="Y517" i="16"/>
  <c r="AE517" i="16"/>
  <c r="Y518" i="16"/>
  <c r="AE518" i="16"/>
  <c r="Y519" i="16"/>
  <c r="AE519" i="16"/>
  <c r="Y520" i="16"/>
  <c r="AE520" i="16"/>
  <c r="Y521" i="16"/>
  <c r="AE521" i="16"/>
  <c r="Y522" i="16"/>
  <c r="AE522" i="16"/>
  <c r="Y523" i="16"/>
  <c r="AE523" i="16"/>
  <c r="Y524" i="16"/>
  <c r="AE524" i="16"/>
  <c r="Y525" i="16"/>
  <c r="AE525" i="16"/>
  <c r="Y526" i="16"/>
  <c r="AE526" i="16"/>
  <c r="Y527" i="16"/>
  <c r="AE527" i="16"/>
  <c r="Y528" i="16"/>
  <c r="AE528" i="16"/>
  <c r="Y529" i="16"/>
  <c r="AE529" i="16"/>
  <c r="Y530" i="16"/>
  <c r="AE530" i="16"/>
  <c r="Y531" i="16"/>
  <c r="AE531" i="16"/>
  <c r="Y532" i="16"/>
  <c r="AE532" i="16"/>
  <c r="Y533" i="16"/>
  <c r="AE533" i="16"/>
  <c r="Y534" i="16"/>
  <c r="AE534" i="16"/>
  <c r="Y535" i="16"/>
  <c r="AE535" i="16"/>
  <c r="Y536" i="16"/>
  <c r="AE536" i="16"/>
  <c r="Y537" i="16"/>
  <c r="AE537" i="16"/>
  <c r="Y538" i="16"/>
  <c r="AE538" i="16"/>
  <c r="Y539" i="16"/>
  <c r="AE539" i="16"/>
  <c r="Y540" i="16"/>
  <c r="AE540" i="16"/>
  <c r="Y541" i="16"/>
  <c r="AE541" i="16"/>
  <c r="Y542" i="16"/>
  <c r="AE542" i="16"/>
  <c r="Y543" i="16"/>
  <c r="AE543" i="16"/>
  <c r="Z544" i="16"/>
  <c r="AF544" i="16"/>
  <c r="Z545" i="16"/>
  <c r="AF545" i="16"/>
  <c r="Z546" i="16"/>
  <c r="AF546" i="16"/>
  <c r="Z547" i="16"/>
  <c r="AF547" i="16"/>
  <c r="Z548" i="16"/>
  <c r="AF548" i="16"/>
  <c r="Z549" i="16"/>
  <c r="AF549" i="16"/>
  <c r="Z550" i="16"/>
  <c r="AF550" i="16"/>
  <c r="Z551" i="16"/>
  <c r="AF551" i="16"/>
  <c r="Z552" i="16"/>
  <c r="AF552" i="16"/>
  <c r="Z553" i="16"/>
  <c r="AF553" i="16"/>
  <c r="Z554" i="16"/>
  <c r="AF554" i="16"/>
  <c r="Z555" i="16"/>
  <c r="AF555" i="16"/>
  <c r="Z556" i="16"/>
  <c r="AF556" i="16"/>
  <c r="Z557" i="16"/>
  <c r="AF557" i="16"/>
  <c r="Z558" i="16"/>
  <c r="AF558" i="16"/>
  <c r="Z559" i="16"/>
  <c r="AF559" i="16"/>
  <c r="Z560" i="16"/>
  <c r="AF560" i="16"/>
  <c r="Z561" i="16"/>
  <c r="AF561" i="16"/>
  <c r="Z562" i="16"/>
  <c r="AF562" i="16"/>
  <c r="Z563" i="16"/>
  <c r="AF563" i="16"/>
  <c r="Z564" i="16"/>
  <c r="AF564" i="16"/>
  <c r="Z565" i="16"/>
  <c r="AF565" i="16"/>
  <c r="Z566" i="16"/>
  <c r="AF566" i="16"/>
  <c r="Z567" i="16"/>
  <c r="AF567" i="16"/>
  <c r="Z568" i="16"/>
  <c r="AF568" i="16"/>
  <c r="Z569" i="16"/>
  <c r="AF569" i="16"/>
  <c r="Z570" i="16"/>
  <c r="AF570" i="16"/>
  <c r="Z571" i="16"/>
  <c r="AF571" i="16"/>
  <c r="Z572" i="16"/>
  <c r="AF572" i="16"/>
  <c r="Z573" i="16"/>
  <c r="AF573" i="16"/>
  <c r="Z574" i="16"/>
  <c r="AF574" i="16"/>
  <c r="Z575" i="16"/>
  <c r="AF575" i="16"/>
  <c r="Z576" i="16"/>
  <c r="AF576" i="16"/>
  <c r="Z577" i="16"/>
  <c r="AF577" i="16"/>
  <c r="Z578" i="16"/>
  <c r="AF578" i="16"/>
  <c r="Z579" i="16"/>
  <c r="AF579" i="16"/>
  <c r="Z580" i="16"/>
  <c r="AF580" i="16"/>
  <c r="Z581" i="16"/>
  <c r="AF581" i="16"/>
  <c r="Z582" i="16"/>
  <c r="AF582" i="16"/>
  <c r="Z583" i="16"/>
  <c r="AF583" i="16"/>
  <c r="Z584" i="16"/>
  <c r="AF584" i="16"/>
  <c r="Z585" i="16"/>
  <c r="AF585" i="16"/>
  <c r="Z586" i="16"/>
  <c r="AF586" i="16"/>
  <c r="Z587" i="16"/>
  <c r="AF587" i="16"/>
  <c r="Z588" i="16"/>
  <c r="AF588" i="16"/>
  <c r="Z589" i="16"/>
  <c r="AF589" i="16"/>
  <c r="Z590" i="16"/>
  <c r="AF590" i="16"/>
  <c r="Z591" i="16"/>
  <c r="AF591" i="16"/>
  <c r="Z592" i="16"/>
  <c r="AF592" i="16"/>
  <c r="Z593" i="16"/>
  <c r="AF593" i="16"/>
  <c r="Z594" i="16"/>
  <c r="AF594" i="16"/>
  <c r="Z595" i="16"/>
  <c r="AF595" i="16"/>
  <c r="Z596" i="16"/>
  <c r="AF596" i="16"/>
  <c r="Z597" i="16"/>
  <c r="AF597" i="16"/>
  <c r="Y598" i="16"/>
  <c r="AE598" i="16"/>
  <c r="Y599" i="16"/>
  <c r="AE599" i="16"/>
  <c r="Y600" i="16"/>
  <c r="AE600" i="16"/>
  <c r="Y601" i="16"/>
  <c r="AE601" i="16"/>
  <c r="Y602" i="16"/>
  <c r="AE602" i="16"/>
  <c r="Y603" i="16"/>
  <c r="AE603" i="16"/>
  <c r="Y604" i="16"/>
  <c r="AE604" i="16"/>
  <c r="Y605" i="16"/>
  <c r="AE605" i="16"/>
  <c r="Y606" i="16"/>
  <c r="AE606" i="16"/>
  <c r="Y607" i="16"/>
  <c r="AE607" i="16"/>
  <c r="Y608" i="16"/>
  <c r="AE608" i="16"/>
  <c r="Y609" i="16"/>
  <c r="AE609" i="16"/>
  <c r="Z610" i="16"/>
  <c r="AF610" i="16"/>
  <c r="Z611" i="16"/>
  <c r="AF611" i="16"/>
  <c r="Z612" i="16"/>
  <c r="AF612" i="16"/>
  <c r="Z613" i="16"/>
  <c r="AF613" i="16"/>
  <c r="Z614" i="16"/>
  <c r="AF614" i="16"/>
  <c r="Z615" i="16"/>
  <c r="AF615" i="16"/>
  <c r="Z616" i="16"/>
  <c r="AF616" i="16"/>
  <c r="Z617" i="16"/>
  <c r="AF617" i="16"/>
  <c r="Z618" i="16"/>
  <c r="AF618" i="16"/>
  <c r="Z619" i="16"/>
  <c r="AF619" i="16"/>
  <c r="Z620" i="16"/>
  <c r="AF620" i="16"/>
  <c r="Z621" i="16"/>
  <c r="AF621" i="16"/>
  <c r="Z622" i="16"/>
  <c r="AF622" i="16"/>
  <c r="Z623" i="16"/>
  <c r="AF623" i="16"/>
  <c r="Z624" i="16"/>
  <c r="AF624" i="16"/>
  <c r="Z625" i="16"/>
  <c r="AF625" i="16"/>
  <c r="Z626" i="16"/>
  <c r="AF626" i="16"/>
  <c r="Z627" i="16"/>
  <c r="AF627" i="16"/>
  <c r="Z628" i="16"/>
  <c r="AF628" i="16"/>
  <c r="Z629" i="16"/>
  <c r="AF629" i="16"/>
  <c r="Z630" i="16"/>
  <c r="AF630" i="16"/>
  <c r="Z631" i="16"/>
  <c r="AF631" i="16"/>
  <c r="Z632" i="16"/>
  <c r="AF632" i="16"/>
  <c r="Z633" i="16"/>
  <c r="AF633" i="16"/>
  <c r="Y634" i="16"/>
  <c r="AE634" i="16"/>
  <c r="Y635" i="16"/>
  <c r="AE635" i="16"/>
  <c r="Y636" i="16"/>
  <c r="AE636" i="16"/>
  <c r="Y637" i="16"/>
  <c r="AE637" i="16"/>
  <c r="Y638" i="16"/>
  <c r="AE638" i="16"/>
  <c r="Y639" i="16"/>
  <c r="AE639" i="16"/>
  <c r="Y640" i="16"/>
  <c r="AE640" i="16"/>
  <c r="Y641" i="16"/>
  <c r="AE641" i="16"/>
  <c r="Y642" i="16"/>
  <c r="AE642" i="16"/>
  <c r="Y643" i="16"/>
  <c r="AE643" i="16"/>
  <c r="Y644" i="16"/>
  <c r="AE644" i="16"/>
  <c r="Y645" i="16"/>
  <c r="AE645" i="16"/>
  <c r="Z646" i="16"/>
  <c r="AF646" i="16"/>
  <c r="Z647" i="16"/>
  <c r="AF647" i="16"/>
  <c r="Z648" i="16"/>
  <c r="AF648" i="16"/>
  <c r="Z649" i="16"/>
  <c r="AF649" i="16"/>
  <c r="Z650" i="16"/>
  <c r="AF650" i="16"/>
  <c r="Z651" i="16"/>
  <c r="AF651" i="16"/>
  <c r="Z652" i="16"/>
  <c r="AF652" i="16"/>
  <c r="Z653" i="16"/>
  <c r="AF653" i="16"/>
  <c r="Z654" i="16"/>
  <c r="AF654" i="16"/>
  <c r="Z655" i="16"/>
  <c r="AF655" i="16"/>
  <c r="Z656" i="16"/>
  <c r="AF656" i="16"/>
  <c r="Z657" i="16"/>
  <c r="AF657" i="16"/>
  <c r="Z658" i="16"/>
  <c r="AF658" i="16"/>
  <c r="Z659" i="16"/>
  <c r="AF659" i="16"/>
  <c r="Z660" i="16"/>
  <c r="AF660" i="16"/>
  <c r="Z661" i="16"/>
  <c r="AF661" i="16"/>
  <c r="Z662" i="16"/>
  <c r="AF662" i="16"/>
  <c r="Z663" i="16"/>
  <c r="AF663" i="16"/>
  <c r="Z664" i="16"/>
  <c r="AF664" i="16"/>
  <c r="Z665" i="16"/>
  <c r="AF665" i="16"/>
  <c r="Z666" i="16"/>
  <c r="AF666" i="16"/>
  <c r="Z667" i="16"/>
  <c r="AF667" i="16"/>
  <c r="Z668" i="16"/>
  <c r="AF668" i="16"/>
  <c r="Z669" i="16"/>
  <c r="AF669" i="16"/>
  <c r="Z670" i="16"/>
  <c r="AF670" i="16"/>
  <c r="Z671" i="16"/>
  <c r="AF671" i="16"/>
  <c r="Z672" i="16"/>
  <c r="AF672" i="16"/>
  <c r="Z673" i="16"/>
  <c r="AF673" i="16"/>
  <c r="Z674" i="16"/>
  <c r="AF674" i="16"/>
  <c r="Z675" i="16"/>
  <c r="AF675" i="16"/>
  <c r="Z676" i="16"/>
  <c r="AF676" i="16"/>
  <c r="Z677" i="16"/>
  <c r="AF677" i="16"/>
  <c r="Z678" i="16"/>
  <c r="AF678" i="16"/>
  <c r="Z679" i="16"/>
  <c r="AF679" i="16"/>
  <c r="Z680" i="16"/>
  <c r="AF680" i="16"/>
  <c r="Z681" i="16"/>
  <c r="AF681" i="16"/>
  <c r="Z682" i="16"/>
  <c r="AF682" i="16"/>
  <c r="Z683" i="16"/>
  <c r="AF683" i="16"/>
  <c r="Z684" i="16"/>
  <c r="AF684" i="16"/>
  <c r="Z685" i="16"/>
  <c r="AF685" i="16"/>
  <c r="Z686" i="16"/>
  <c r="AF686" i="16"/>
  <c r="Z687" i="16"/>
  <c r="AF687" i="16"/>
  <c r="Z688" i="16"/>
  <c r="AF688" i="16"/>
  <c r="Z689" i="16"/>
  <c r="AF689" i="16"/>
  <c r="Z690" i="16"/>
  <c r="AF690" i="16"/>
  <c r="Z691" i="16"/>
  <c r="AF691" i="16"/>
  <c r="Z692" i="16"/>
  <c r="AF692" i="16"/>
  <c r="Z693" i="16"/>
  <c r="AF693" i="16"/>
  <c r="Z694" i="16"/>
  <c r="AF694" i="16"/>
  <c r="Z695" i="16"/>
  <c r="AF695" i="16"/>
  <c r="Z696" i="16"/>
  <c r="AF696" i="16"/>
  <c r="Z697" i="16"/>
  <c r="AF697" i="16"/>
  <c r="Z698" i="16"/>
  <c r="AF698" i="16"/>
  <c r="Z699" i="16"/>
  <c r="AF699" i="16"/>
  <c r="Z700" i="16"/>
  <c r="AF700" i="16"/>
  <c r="Y701" i="16"/>
  <c r="AE701" i="16"/>
  <c r="Y702" i="16"/>
  <c r="AE702" i="16"/>
  <c r="Y703" i="16"/>
  <c r="AE703" i="16"/>
  <c r="Y704" i="16"/>
  <c r="AE704" i="16"/>
  <c r="Y705" i="16"/>
  <c r="AE705" i="16"/>
  <c r="Y706" i="16"/>
  <c r="AE706" i="16"/>
  <c r="Y707" i="16"/>
  <c r="AE707" i="16"/>
  <c r="Y708" i="16"/>
  <c r="AE708" i="16"/>
  <c r="Y709" i="16"/>
  <c r="AE709" i="16"/>
  <c r="Y710" i="16"/>
  <c r="AE710" i="16"/>
  <c r="Y711" i="16"/>
  <c r="AE711" i="16"/>
  <c r="Y712" i="16"/>
  <c r="AE712" i="16"/>
  <c r="Y713" i="16"/>
  <c r="AE713" i="16"/>
  <c r="Y714" i="16"/>
  <c r="AE714" i="16"/>
  <c r="Y715" i="16"/>
  <c r="AE715" i="16"/>
  <c r="Y716" i="16"/>
  <c r="AE716" i="16"/>
  <c r="Y717" i="16"/>
  <c r="AE717" i="16"/>
  <c r="Y718" i="16"/>
  <c r="AE718" i="16"/>
  <c r="Y719" i="16"/>
  <c r="AE719" i="16"/>
  <c r="Y720" i="16"/>
  <c r="AE720" i="16"/>
  <c r="Y721" i="16"/>
  <c r="AE721" i="16"/>
  <c r="Y722" i="16"/>
  <c r="AE722" i="16"/>
  <c r="Y723" i="16"/>
  <c r="AE723" i="16"/>
  <c r="Y724" i="16"/>
  <c r="AE724" i="16"/>
  <c r="Y725" i="16"/>
  <c r="AE725" i="16"/>
  <c r="Y726" i="16"/>
  <c r="AE726" i="16"/>
  <c r="Y727" i="16"/>
  <c r="AE727" i="16"/>
  <c r="Y728" i="16"/>
  <c r="AE728" i="16"/>
  <c r="Y729" i="16"/>
  <c r="AE729" i="16"/>
  <c r="Y730" i="16"/>
  <c r="AE730" i="16"/>
  <c r="Y731" i="16"/>
  <c r="AE731" i="16"/>
  <c r="Y732" i="16"/>
  <c r="AE732" i="16"/>
  <c r="Y733" i="16"/>
  <c r="AE733" i="16"/>
  <c r="Y734" i="16"/>
  <c r="AE734" i="16"/>
  <c r="Y735" i="16"/>
  <c r="AE735" i="16"/>
  <c r="Y736" i="16"/>
  <c r="AE736" i="16"/>
  <c r="Y737" i="16"/>
  <c r="AE737" i="16"/>
  <c r="Y738" i="16"/>
  <c r="AE738" i="16"/>
  <c r="Z739" i="16"/>
  <c r="AF739" i="16"/>
  <c r="Z740" i="16"/>
  <c r="AF740" i="16"/>
  <c r="Z741" i="16"/>
  <c r="AF741" i="16"/>
  <c r="Z742" i="16"/>
  <c r="AF742" i="16"/>
  <c r="Z743" i="16"/>
  <c r="AF743" i="16"/>
  <c r="Z744" i="16"/>
  <c r="AF744" i="16"/>
  <c r="Z745" i="16"/>
  <c r="AF745" i="16"/>
  <c r="Z746" i="16"/>
  <c r="AF746" i="16"/>
  <c r="Z747" i="16"/>
  <c r="AF747" i="16"/>
  <c r="Z748" i="16"/>
  <c r="AF748" i="16"/>
  <c r="Z749" i="16"/>
  <c r="AF749" i="16"/>
  <c r="Z750" i="16"/>
  <c r="AF750" i="16"/>
  <c r="Z751" i="16"/>
  <c r="AF751" i="16"/>
  <c r="Z752" i="16"/>
  <c r="AF752" i="16"/>
  <c r="Z753" i="16"/>
  <c r="AF753" i="16"/>
  <c r="Z754" i="16"/>
  <c r="AF754" i="16"/>
  <c r="Z755" i="16"/>
  <c r="AF755" i="16"/>
  <c r="Z756" i="16"/>
  <c r="AF756" i="16"/>
  <c r="Z757" i="16"/>
  <c r="AF757" i="16"/>
  <c r="Z758" i="16"/>
  <c r="AF758" i="16"/>
  <c r="Z759" i="16"/>
  <c r="AF759" i="16"/>
  <c r="Z760" i="16"/>
  <c r="AF760" i="16"/>
  <c r="Z761" i="16"/>
  <c r="AF761" i="16"/>
  <c r="Z762" i="16"/>
  <c r="AF762" i="16"/>
  <c r="Z763" i="16"/>
  <c r="AF763" i="16"/>
  <c r="Z764" i="16"/>
  <c r="AF764" i="16"/>
  <c r="Z765" i="16"/>
  <c r="AF765" i="16"/>
  <c r="Z766" i="16"/>
  <c r="AF766" i="16"/>
  <c r="Z767" i="16"/>
  <c r="AF767" i="16"/>
  <c r="Z768" i="16"/>
  <c r="AF768" i="16"/>
  <c r="Z769" i="16"/>
  <c r="AF769" i="16"/>
  <c r="Z770" i="16"/>
  <c r="AF770" i="16"/>
  <c r="Z771" i="16"/>
  <c r="AF771" i="16"/>
  <c r="Z772" i="16"/>
  <c r="AF772" i="16"/>
  <c r="Z773" i="16"/>
  <c r="AF773" i="16"/>
  <c r="Z774" i="16"/>
  <c r="AF774" i="16"/>
  <c r="Z775" i="16"/>
  <c r="AF775" i="16"/>
  <c r="Z776" i="16"/>
  <c r="AF776" i="16"/>
  <c r="Z777" i="16"/>
  <c r="AF777" i="16"/>
  <c r="Z778" i="16"/>
  <c r="AF778" i="16"/>
  <c r="Z779" i="16"/>
  <c r="AF779" i="16"/>
  <c r="Z780" i="16"/>
  <c r="AF780" i="16"/>
  <c r="Z781" i="16"/>
  <c r="AF781" i="16"/>
  <c r="Z782" i="16"/>
  <c r="AF782" i="16"/>
  <c r="Z783" i="16"/>
  <c r="AF783" i="16"/>
  <c r="Z784" i="16"/>
  <c r="AF784" i="16"/>
  <c r="Z785" i="16"/>
  <c r="AF785" i="16"/>
  <c r="Z786" i="16"/>
  <c r="AF786" i="16"/>
  <c r="Z787" i="16"/>
  <c r="AF787" i="16"/>
  <c r="Z788" i="16"/>
  <c r="AF788" i="16"/>
  <c r="Z789" i="16"/>
  <c r="AF789" i="16"/>
  <c r="Z790" i="16"/>
  <c r="AF790" i="16"/>
  <c r="Z791" i="16"/>
  <c r="AF791" i="16"/>
  <c r="Z792" i="16"/>
  <c r="AF792" i="16"/>
  <c r="Z793" i="16"/>
  <c r="AF793" i="16"/>
  <c r="Z794" i="16"/>
  <c r="AF794" i="16"/>
  <c r="Z795" i="16"/>
  <c r="AF795" i="16"/>
  <c r="Z796" i="16"/>
  <c r="AF796" i="16"/>
  <c r="Z797" i="16"/>
  <c r="AF797" i="16"/>
  <c r="Z798" i="16"/>
  <c r="AF798" i="16"/>
  <c r="Z799" i="16"/>
  <c r="AF799" i="16"/>
  <c r="Z800" i="16"/>
  <c r="AF800" i="16"/>
  <c r="Z801" i="16"/>
  <c r="AF801" i="16"/>
  <c r="Z802" i="16"/>
  <c r="AF802" i="16"/>
  <c r="Z803" i="16"/>
  <c r="AF803" i="16"/>
  <c r="Z804" i="16"/>
  <c r="AF804" i="16"/>
  <c r="Z805" i="16"/>
  <c r="AF805" i="16"/>
  <c r="Z806" i="16"/>
  <c r="AF806" i="16"/>
  <c r="Z807" i="16"/>
  <c r="AF807" i="16"/>
  <c r="Z808" i="16"/>
  <c r="AF808" i="16"/>
  <c r="Z809" i="16"/>
  <c r="AF809" i="16"/>
  <c r="Z810" i="16"/>
  <c r="AF810" i="16"/>
  <c r="Z811" i="16"/>
  <c r="AF811" i="16"/>
  <c r="Z812" i="16"/>
  <c r="AF812" i="16"/>
  <c r="Z813" i="16"/>
  <c r="AF813" i="16"/>
  <c r="Z814" i="16"/>
  <c r="AF814" i="16"/>
  <c r="Z815" i="16"/>
  <c r="AF815" i="16"/>
  <c r="Z816" i="16"/>
  <c r="AF816" i="16"/>
  <c r="Y817" i="16"/>
  <c r="AE817" i="16"/>
  <c r="Y818" i="16"/>
  <c r="AE818" i="16"/>
  <c r="Y819" i="16"/>
  <c r="AE819" i="16"/>
  <c r="Y820" i="16"/>
  <c r="AE820" i="16"/>
  <c r="Y821" i="16"/>
  <c r="AE821" i="16"/>
  <c r="Y822" i="16"/>
  <c r="AE822" i="16"/>
  <c r="Y823" i="16"/>
  <c r="AE823" i="16"/>
  <c r="Y824" i="16"/>
  <c r="AE824" i="16"/>
  <c r="Y825" i="16"/>
  <c r="AE825" i="16"/>
  <c r="Y826" i="16"/>
  <c r="AE826" i="16"/>
  <c r="Y827" i="16"/>
  <c r="AE827" i="16"/>
  <c r="Y828" i="16"/>
  <c r="AE828" i="16"/>
  <c r="Y829" i="16"/>
  <c r="AE829" i="16"/>
  <c r="Y830" i="16"/>
  <c r="AE830" i="16"/>
  <c r="Y831" i="16"/>
  <c r="AE831" i="16"/>
  <c r="Y832" i="16"/>
  <c r="AE832" i="16"/>
  <c r="Y833" i="16"/>
  <c r="AE833" i="16"/>
  <c r="Y834" i="16"/>
  <c r="AE834" i="16"/>
  <c r="Y835" i="16"/>
  <c r="AE835" i="16"/>
  <c r="Y836" i="16"/>
  <c r="AE836" i="16"/>
  <c r="Y837" i="16"/>
  <c r="AE837" i="16"/>
  <c r="Y838" i="16"/>
  <c r="AE838" i="16"/>
  <c r="Y839" i="16"/>
  <c r="AE839" i="16"/>
  <c r="Y840" i="16"/>
  <c r="AE840" i="16"/>
  <c r="Y841" i="16"/>
  <c r="AE841" i="16"/>
  <c r="Y842" i="16"/>
  <c r="AE842" i="16"/>
  <c r="Y843" i="16"/>
  <c r="AE843" i="16"/>
  <c r="Y844" i="16"/>
  <c r="AE844" i="16"/>
  <c r="Y845" i="16"/>
  <c r="AE845" i="16"/>
  <c r="Y846" i="16"/>
  <c r="AE846" i="16"/>
  <c r="Y847" i="16"/>
  <c r="AE847" i="16"/>
  <c r="Y848" i="16"/>
  <c r="AE848" i="16"/>
  <c r="Y849" i="16"/>
  <c r="AE849" i="16"/>
  <c r="Y850" i="16"/>
  <c r="AE850" i="16"/>
  <c r="Y851" i="16"/>
  <c r="AE851" i="16"/>
  <c r="Y852" i="16"/>
  <c r="AE852" i="16"/>
  <c r="Y853" i="16"/>
  <c r="AE853" i="16"/>
  <c r="Y854" i="16"/>
  <c r="AE854" i="16"/>
  <c r="Z855" i="16"/>
  <c r="AF855" i="16"/>
  <c r="Z856" i="16"/>
  <c r="AF856" i="16"/>
  <c r="Z857" i="16"/>
  <c r="AF857" i="16"/>
  <c r="Z858" i="16"/>
  <c r="AF858" i="16"/>
  <c r="Z859" i="16"/>
  <c r="AF859" i="16"/>
  <c r="Z860" i="16"/>
  <c r="AF860" i="16"/>
  <c r="Z861" i="16"/>
  <c r="AF861" i="16"/>
  <c r="Z862" i="16"/>
  <c r="AF862" i="16"/>
  <c r="Z863" i="16"/>
  <c r="AF863" i="16"/>
  <c r="Z864" i="16"/>
  <c r="AF864" i="16"/>
  <c r="Z865" i="16"/>
  <c r="AF865" i="16"/>
  <c r="Z866" i="16"/>
  <c r="AF866" i="16"/>
  <c r="Z867" i="16"/>
  <c r="AF867" i="16"/>
  <c r="Z868" i="16"/>
  <c r="AF868" i="16"/>
  <c r="Z869" i="16"/>
  <c r="AF869" i="16"/>
  <c r="Z870" i="16"/>
  <c r="AF870" i="16"/>
  <c r="Z871" i="16"/>
  <c r="AF871" i="16"/>
  <c r="Z872" i="16"/>
  <c r="AF872" i="16"/>
  <c r="Z873" i="16"/>
  <c r="AF873" i="16"/>
  <c r="Z874" i="16"/>
  <c r="AF874" i="16"/>
  <c r="Z875" i="16"/>
  <c r="AF875" i="16"/>
  <c r="Z876" i="16"/>
  <c r="AF876" i="16"/>
  <c r="Z877" i="16"/>
  <c r="AF877" i="16"/>
  <c r="Z878" i="16"/>
  <c r="AF878" i="16"/>
  <c r="Z879" i="16"/>
  <c r="AF879" i="16"/>
  <c r="Z880" i="16"/>
  <c r="AF880" i="16"/>
  <c r="Z881" i="16"/>
  <c r="AF881" i="16"/>
  <c r="Z882" i="16"/>
  <c r="AF882" i="16"/>
  <c r="Z883" i="16"/>
  <c r="AF883" i="16"/>
  <c r="Z884" i="16"/>
  <c r="AF884" i="16"/>
  <c r="Z885" i="16"/>
  <c r="AF885" i="16"/>
  <c r="Z886" i="16"/>
  <c r="AF886" i="16"/>
  <c r="Z887" i="16"/>
  <c r="AF887" i="16"/>
  <c r="Z888" i="16"/>
  <c r="AF888" i="16"/>
  <c r="Z889" i="16"/>
  <c r="AF889" i="16"/>
  <c r="Z890" i="16"/>
  <c r="AF890" i="16"/>
  <c r="Z891" i="16"/>
  <c r="AF891" i="16"/>
  <c r="Z892" i="16"/>
  <c r="AF892" i="16"/>
  <c r="Z893" i="16"/>
  <c r="AF893" i="16"/>
  <c r="Z894" i="16"/>
  <c r="AF894" i="16"/>
  <c r="Z895" i="16"/>
  <c r="AF895" i="16"/>
  <c r="Z896" i="16"/>
  <c r="AF896" i="16"/>
  <c r="Z897" i="16"/>
  <c r="AF897" i="16"/>
  <c r="Z898" i="16"/>
  <c r="AF898" i="16"/>
  <c r="Y899" i="16"/>
  <c r="AE899" i="16"/>
  <c r="Y900" i="16"/>
  <c r="AE900" i="16"/>
  <c r="Y901" i="16"/>
  <c r="AE901" i="16"/>
  <c r="Y902" i="16"/>
  <c r="AE902" i="16"/>
  <c r="Z903" i="16"/>
  <c r="AF903" i="16"/>
  <c r="Z904" i="16"/>
  <c r="AF904" i="16"/>
  <c r="Z905" i="16"/>
  <c r="AF905" i="16"/>
  <c r="Z906" i="16"/>
  <c r="AF906" i="16"/>
  <c r="Z907" i="16"/>
  <c r="AF907" i="16"/>
  <c r="Z908" i="16"/>
  <c r="AF908" i="16"/>
  <c r="Z909" i="16"/>
  <c r="AF909" i="16"/>
  <c r="Z910" i="16"/>
  <c r="AF910" i="16"/>
  <c r="Z911" i="16"/>
  <c r="AF911" i="16"/>
  <c r="Z912" i="16"/>
  <c r="AF912" i="16"/>
  <c r="Z913" i="16"/>
  <c r="AF913" i="16"/>
  <c r="Z914" i="16"/>
  <c r="AF914" i="16"/>
  <c r="Z915" i="16"/>
  <c r="AF915" i="16"/>
  <c r="Z916" i="16"/>
  <c r="AF916" i="16"/>
  <c r="Z917" i="16"/>
  <c r="AF917" i="16"/>
  <c r="Z918" i="16"/>
  <c r="AF918" i="16"/>
  <c r="Z919" i="16"/>
  <c r="AF919" i="16"/>
  <c r="Z920" i="16"/>
  <c r="AF920" i="16"/>
  <c r="Z921" i="16"/>
  <c r="AF921" i="16"/>
  <c r="Z922" i="16"/>
  <c r="AF922" i="16"/>
  <c r="Z923" i="16"/>
  <c r="AF923" i="16"/>
  <c r="Z924" i="16"/>
  <c r="AF924" i="16"/>
  <c r="Z925" i="16"/>
  <c r="AF925" i="16"/>
  <c r="Z926" i="16"/>
  <c r="AF926" i="16"/>
  <c r="Z927" i="16"/>
  <c r="AF927" i="16"/>
  <c r="Z928" i="16"/>
  <c r="AF928" i="16"/>
  <c r="Z929" i="16"/>
  <c r="AF929" i="16"/>
  <c r="Z930" i="16"/>
  <c r="AF930" i="16"/>
  <c r="Y931" i="16"/>
  <c r="AE931" i="16"/>
  <c r="Y932" i="16"/>
  <c r="AE932" i="16"/>
  <c r="Y933" i="16"/>
  <c r="AE933" i="16"/>
  <c r="Y934" i="16"/>
  <c r="AE934" i="16"/>
  <c r="Y935" i="16"/>
  <c r="AE935" i="16"/>
  <c r="Y936" i="16"/>
  <c r="AE936" i="16"/>
  <c r="Y937" i="16"/>
  <c r="AE937" i="16"/>
  <c r="Y938" i="16"/>
  <c r="AE938" i="16"/>
  <c r="Y939" i="16"/>
  <c r="AE939" i="16"/>
  <c r="Y940" i="16"/>
  <c r="AE940" i="16"/>
  <c r="Y941" i="16"/>
  <c r="AE941" i="16"/>
  <c r="Y942" i="16"/>
  <c r="AE942" i="16"/>
  <c r="Y943" i="16"/>
  <c r="AE943" i="16"/>
  <c r="Y944" i="16"/>
  <c r="AE944" i="16"/>
  <c r="Y945" i="16"/>
  <c r="AE945" i="16"/>
  <c r="Y946" i="16"/>
  <c r="AE946" i="16"/>
  <c r="Y947" i="16"/>
  <c r="AE947" i="16"/>
  <c r="Y948" i="16"/>
  <c r="AE948" i="16"/>
  <c r="Y949" i="16"/>
  <c r="AE949" i="16"/>
  <c r="Y950" i="16"/>
  <c r="AE950" i="16"/>
  <c r="Y951" i="16"/>
  <c r="AE951" i="16"/>
  <c r="Y952" i="16"/>
  <c r="AE952" i="16"/>
  <c r="Y953" i="16"/>
  <c r="AE953" i="16"/>
  <c r="Y954" i="16"/>
  <c r="AE954" i="16"/>
  <c r="Z955" i="16"/>
  <c r="AF955" i="16"/>
  <c r="Z956" i="16"/>
  <c r="AF956" i="16"/>
  <c r="Z957" i="16"/>
  <c r="AF957" i="16"/>
  <c r="Z958" i="16"/>
  <c r="AF958" i="16"/>
  <c r="Z959" i="16"/>
  <c r="AF959" i="16"/>
  <c r="Z960" i="16"/>
  <c r="AF960" i="16"/>
  <c r="Z961" i="16"/>
  <c r="AF961" i="16"/>
  <c r="Z962" i="16"/>
  <c r="AF962" i="16"/>
  <c r="Z963" i="16"/>
  <c r="AF963" i="16"/>
  <c r="Z964" i="16"/>
  <c r="AF964" i="16"/>
  <c r="Z965" i="16"/>
  <c r="AF965" i="16"/>
  <c r="Z966" i="16"/>
  <c r="AF966" i="16"/>
  <c r="Z967" i="16"/>
  <c r="AF967" i="16"/>
  <c r="Z968" i="16"/>
  <c r="AF968" i="16"/>
  <c r="Z969" i="16"/>
  <c r="AF969" i="16"/>
  <c r="Z970" i="16"/>
  <c r="AF970" i="16"/>
  <c r="Z971" i="16"/>
  <c r="AF971" i="16"/>
  <c r="Z972" i="16"/>
  <c r="AF972" i="16"/>
  <c r="Z973" i="16"/>
  <c r="AF973" i="16"/>
  <c r="Z974" i="16"/>
  <c r="AF974" i="16"/>
  <c r="Z975" i="16"/>
  <c r="AF975" i="16"/>
  <c r="Z976" i="16"/>
  <c r="AF976" i="16"/>
  <c r="Z977" i="16"/>
  <c r="AF977" i="16"/>
  <c r="Z978" i="16"/>
  <c r="AF978" i="16"/>
  <c r="Z979" i="16"/>
  <c r="AF979" i="16"/>
  <c r="Z980" i="16"/>
  <c r="AF980" i="16"/>
  <c r="Z981" i="16"/>
  <c r="AF981" i="16"/>
  <c r="Z982" i="16"/>
  <c r="AF982" i="16"/>
  <c r="Z983" i="16"/>
  <c r="AF983" i="16"/>
  <c r="Z984" i="16"/>
  <c r="AF984" i="16"/>
  <c r="Z985" i="16"/>
  <c r="AF985" i="16"/>
  <c r="Z986" i="16"/>
  <c r="AF986" i="16"/>
  <c r="Z987" i="16"/>
  <c r="AF987" i="16"/>
  <c r="Z988" i="16"/>
  <c r="AF988" i="16"/>
  <c r="Z989" i="16"/>
  <c r="AF989" i="16"/>
  <c r="Z990" i="16"/>
  <c r="AF990" i="16"/>
  <c r="Z991" i="16"/>
  <c r="AF991" i="16"/>
  <c r="Z992" i="16"/>
  <c r="AF992" i="16"/>
  <c r="Z993" i="16"/>
  <c r="AF993" i="16"/>
  <c r="Z994" i="16"/>
  <c r="AF994" i="16"/>
  <c r="Z995" i="16"/>
  <c r="AF995" i="16"/>
  <c r="Z996" i="16"/>
  <c r="AF996" i="16"/>
  <c r="Z997" i="16"/>
  <c r="AF997" i="16"/>
  <c r="Z998" i="16"/>
  <c r="AF998" i="16"/>
  <c r="Z999" i="16"/>
  <c r="AF999" i="16"/>
  <c r="Z1000" i="16"/>
  <c r="AF1000" i="16"/>
  <c r="Z1001" i="16"/>
  <c r="AF1001" i="16"/>
  <c r="Z1002" i="16"/>
  <c r="AF1002" i="16"/>
  <c r="Z1003" i="16"/>
  <c r="AF1003" i="16"/>
  <c r="Z1004" i="16"/>
  <c r="AF1004" i="16"/>
  <c r="Z1005" i="16"/>
  <c r="AF1005" i="16"/>
  <c r="Z1006" i="16"/>
  <c r="AF1006" i="16"/>
  <c r="Z1007" i="16"/>
  <c r="AF1007" i="16"/>
  <c r="Z1008" i="16"/>
  <c r="AF1008" i="16"/>
  <c r="Z1009" i="16"/>
  <c r="AF1009" i="16"/>
  <c r="Z1010" i="16"/>
  <c r="AF1010" i="16"/>
  <c r="Z1011" i="16"/>
  <c r="AF1011" i="16"/>
  <c r="Z1012" i="16"/>
  <c r="AF1012" i="16"/>
  <c r="Z1013" i="16"/>
  <c r="AF1013" i="16"/>
  <c r="Z1014" i="16"/>
  <c r="AF1014" i="16"/>
  <c r="Z1015" i="16"/>
  <c r="AF1015" i="16"/>
  <c r="Z1016" i="16"/>
  <c r="AF1016" i="16"/>
  <c r="Z1017" i="16"/>
  <c r="AF1017" i="16"/>
  <c r="Z1018" i="16"/>
  <c r="AF1018" i="16"/>
  <c r="Z1019" i="16"/>
  <c r="AF1019" i="16"/>
  <c r="Z1020" i="16"/>
  <c r="AF1020" i="16"/>
  <c r="Z1021" i="16"/>
  <c r="AF1021" i="16"/>
  <c r="Z1022" i="16"/>
  <c r="AF1022" i="16"/>
  <c r="Z1023" i="16"/>
  <c r="AF1023" i="16"/>
  <c r="Z1024" i="16"/>
  <c r="AF1024" i="16"/>
  <c r="Z1025" i="16"/>
  <c r="AF1025" i="16"/>
  <c r="Z1026" i="16"/>
  <c r="AF1026" i="16"/>
  <c r="Z1027" i="16"/>
  <c r="AF1027" i="16"/>
  <c r="Z1028" i="16"/>
  <c r="AF1028" i="16"/>
  <c r="Z1029" i="16"/>
  <c r="AF1029" i="16"/>
  <c r="Z1030" i="16"/>
  <c r="AF1030" i="16"/>
  <c r="Z1031" i="16"/>
  <c r="AF1031" i="16"/>
  <c r="Z1032" i="16"/>
  <c r="AF1032" i="16"/>
  <c r="Z1033" i="16"/>
  <c r="AF1033" i="16"/>
  <c r="Z1034" i="16"/>
  <c r="AF1034" i="16"/>
  <c r="Z1035" i="16"/>
  <c r="AF1035" i="16"/>
  <c r="Z1036" i="16"/>
  <c r="AF1036" i="16"/>
  <c r="Z1037" i="16"/>
  <c r="AF1037" i="16"/>
  <c r="Z1038" i="16"/>
  <c r="AF1038" i="16"/>
  <c r="Z1039" i="16"/>
  <c r="AF1039" i="16"/>
  <c r="Z1040" i="16"/>
  <c r="AF1040" i="16"/>
  <c r="Z1041" i="16"/>
  <c r="AF1041" i="16"/>
  <c r="Z1042" i="16"/>
  <c r="AF1042" i="16"/>
  <c r="Z1043" i="16"/>
  <c r="AF1043" i="16"/>
  <c r="Z1044" i="16"/>
  <c r="AF1044" i="16"/>
  <c r="Z1045" i="16"/>
  <c r="AF1045" i="16"/>
  <c r="Z1046" i="16"/>
  <c r="AF1046" i="16"/>
  <c r="Z1047" i="16"/>
  <c r="AF1047" i="16"/>
  <c r="Z1048" i="16"/>
  <c r="AF1048" i="16"/>
  <c r="Z1049" i="16"/>
  <c r="AF1049" i="16"/>
  <c r="Z1050" i="16"/>
  <c r="AF1050" i="16"/>
  <c r="Z1051" i="16"/>
  <c r="AF1051" i="16"/>
  <c r="Z1052" i="16"/>
  <c r="AF1052" i="16"/>
  <c r="Z1053" i="16"/>
  <c r="AF1053" i="16"/>
  <c r="Z1054" i="16"/>
  <c r="AF1054" i="16"/>
  <c r="Z1055" i="16"/>
  <c r="AF1055" i="16"/>
  <c r="Z1056" i="16"/>
  <c r="AF1056" i="16"/>
  <c r="Z1057" i="16"/>
  <c r="AF1057" i="16"/>
  <c r="Z1058" i="16"/>
  <c r="AF1058" i="16"/>
  <c r="Z1059" i="16"/>
  <c r="AF1059" i="16"/>
  <c r="Z1060" i="16"/>
  <c r="AF1060" i="16"/>
  <c r="Z1061" i="16"/>
  <c r="AF1061" i="16"/>
  <c r="Z1062" i="16"/>
  <c r="AF1062" i="16"/>
  <c r="Z1063" i="16"/>
  <c r="AF1063" i="16"/>
  <c r="Z1064" i="16"/>
  <c r="AF1064" i="16"/>
  <c r="Z1065" i="16"/>
  <c r="AF1065" i="16"/>
  <c r="Z1066" i="16"/>
  <c r="AF1066" i="16"/>
  <c r="Z1067" i="16"/>
  <c r="AF1067" i="16"/>
  <c r="Z1068" i="16"/>
  <c r="AF1068" i="16"/>
  <c r="Z1069" i="16"/>
  <c r="AF1069" i="16"/>
  <c r="Z1070" i="16"/>
  <c r="AF1070" i="16"/>
  <c r="Z1071" i="16"/>
  <c r="AF1071" i="16"/>
  <c r="Z1072" i="16"/>
  <c r="AF1072" i="16"/>
  <c r="Z1073" i="16"/>
  <c r="AF1073" i="16"/>
  <c r="Z1074" i="16"/>
  <c r="AF1074" i="16"/>
  <c r="Z1075" i="16"/>
  <c r="AF1075" i="16"/>
  <c r="Z1076" i="16"/>
  <c r="AF1076" i="16"/>
  <c r="Z1077" i="16"/>
  <c r="AF1077" i="16"/>
  <c r="Z1078" i="16"/>
  <c r="AF1078" i="16"/>
  <c r="Z1079" i="16"/>
  <c r="AF1079" i="16"/>
  <c r="Z1080" i="16"/>
  <c r="AF1080" i="16"/>
  <c r="Z1081" i="16"/>
  <c r="AF1081" i="16"/>
  <c r="Z1082" i="16"/>
  <c r="AF1082" i="16"/>
  <c r="Z1083" i="16"/>
  <c r="AF1083" i="16"/>
  <c r="Z1084" i="16"/>
  <c r="AF1084" i="16"/>
  <c r="Z1085" i="16"/>
  <c r="AF1085" i="16"/>
  <c r="Z1086" i="16"/>
  <c r="AF1086" i="16"/>
  <c r="Z1087" i="16"/>
  <c r="AF1087" i="16"/>
  <c r="Z1088" i="16"/>
  <c r="AF1088" i="16"/>
  <c r="Z1089" i="16"/>
  <c r="AF1089" i="16"/>
  <c r="Z1090" i="16"/>
  <c r="AF1090" i="16"/>
  <c r="Z1091" i="16"/>
  <c r="AF1091" i="16"/>
  <c r="Z1092" i="16"/>
  <c r="AF1092" i="16"/>
  <c r="Z1093" i="16"/>
  <c r="AF1093" i="16"/>
  <c r="Z1094" i="16"/>
  <c r="AF1094" i="16"/>
  <c r="Z1095" i="16"/>
  <c r="AF1095" i="16"/>
  <c r="Z1096" i="16"/>
  <c r="AF1096" i="16"/>
  <c r="Z1097" i="16"/>
  <c r="AF1097" i="16"/>
  <c r="Z1098" i="16"/>
  <c r="AF1098" i="16"/>
  <c r="Z1099" i="16"/>
  <c r="AF1099" i="16"/>
  <c r="Z1100" i="16"/>
  <c r="AF1100" i="16"/>
  <c r="Z1101" i="16"/>
  <c r="AF1101" i="16"/>
  <c r="Z1102" i="16"/>
  <c r="AF1102" i="16"/>
  <c r="Z1103" i="16"/>
  <c r="AF1103" i="16"/>
  <c r="Z1104" i="16"/>
  <c r="AF1104" i="16"/>
  <c r="Z1105" i="16"/>
  <c r="AF1105" i="16"/>
  <c r="Z1106" i="16"/>
  <c r="AF1106" i="16"/>
  <c r="Z1107" i="16"/>
  <c r="AF1107" i="16"/>
  <c r="Z1108" i="16"/>
  <c r="AF1108" i="16"/>
  <c r="Z1109" i="16"/>
  <c r="AF1109" i="16"/>
  <c r="Z1110" i="16"/>
  <c r="AF1110" i="16"/>
  <c r="Z1111" i="16"/>
  <c r="AF1111" i="16"/>
  <c r="Z1112" i="16"/>
  <c r="AF1112" i="16"/>
  <c r="Z1113" i="16"/>
  <c r="AF1113" i="16"/>
  <c r="Z1114" i="16"/>
  <c r="AF1114" i="16"/>
  <c r="Z1115" i="16"/>
  <c r="AF1115" i="16"/>
  <c r="Z1116" i="16"/>
  <c r="AF1116" i="16"/>
  <c r="Z1117" i="16"/>
  <c r="AF1117" i="16"/>
  <c r="Z1118" i="16"/>
  <c r="AF1118" i="16"/>
  <c r="Z1119" i="16"/>
  <c r="AF1119" i="16"/>
  <c r="Z1120" i="16"/>
  <c r="AF1120" i="16"/>
  <c r="Z1121" i="16"/>
  <c r="AF1121" i="16"/>
  <c r="Z1122" i="16"/>
  <c r="AF1122" i="16"/>
  <c r="Z1123" i="16"/>
  <c r="AF1123" i="16"/>
  <c r="Z1124" i="16"/>
  <c r="AF1124" i="16"/>
  <c r="Z1125" i="16"/>
  <c r="AF1125" i="16"/>
  <c r="Z1126" i="16"/>
  <c r="AF1126" i="16"/>
  <c r="Z1127" i="16"/>
  <c r="AF1127" i="16"/>
  <c r="Z1128" i="16"/>
  <c r="AF1128" i="16"/>
  <c r="Z1129" i="16"/>
  <c r="AF1129" i="16"/>
  <c r="Z1130" i="16"/>
  <c r="AF1130" i="16"/>
  <c r="Z1131" i="16"/>
  <c r="AF1131" i="16"/>
  <c r="Z1132" i="16"/>
  <c r="AF1132" i="16"/>
  <c r="Z1133" i="16"/>
  <c r="AF1133" i="16"/>
  <c r="Z1134" i="16"/>
  <c r="AF1134" i="16"/>
  <c r="Z1135" i="16"/>
  <c r="AF1135" i="16"/>
  <c r="Z1136" i="16"/>
  <c r="AF1136" i="16"/>
  <c r="Z1137" i="16"/>
  <c r="AF1137" i="16"/>
  <c r="Z1138" i="16"/>
  <c r="AF1138" i="16"/>
  <c r="Z1139" i="16"/>
  <c r="AF1139" i="16"/>
  <c r="Z1140" i="16"/>
  <c r="AF1140" i="16"/>
  <c r="Z1141" i="16"/>
  <c r="AF1141" i="16"/>
  <c r="Z1142" i="16"/>
  <c r="AF1142" i="16"/>
  <c r="Z1143" i="16"/>
  <c r="AF1143" i="16"/>
  <c r="Z1144" i="16"/>
  <c r="AF1144" i="16"/>
  <c r="Z1145" i="16"/>
  <c r="AF1145" i="16"/>
  <c r="Z1146" i="16"/>
  <c r="AF1146" i="16"/>
  <c r="Z1147" i="16"/>
  <c r="AF1147" i="16"/>
  <c r="Z1148" i="16"/>
  <c r="AF1148" i="16"/>
  <c r="Z1149" i="16"/>
  <c r="AF1149" i="16"/>
  <c r="Z1150" i="16"/>
  <c r="AF1150" i="16"/>
  <c r="Z1151" i="16"/>
  <c r="AF1151" i="16"/>
  <c r="Z1152" i="16"/>
  <c r="AF1152" i="16"/>
  <c r="Z1153" i="16"/>
  <c r="AF1153" i="16"/>
  <c r="Z1154" i="16"/>
  <c r="AF1154" i="16"/>
  <c r="Z1155" i="16"/>
  <c r="AF1155" i="16"/>
  <c r="Z1156" i="16"/>
  <c r="AF1156" i="16"/>
  <c r="Z1157" i="16"/>
  <c r="AF1157" i="16"/>
  <c r="Z1158" i="16"/>
  <c r="AF1158" i="16"/>
  <c r="Z1159" i="16"/>
  <c r="AF1159" i="16"/>
  <c r="Z1160" i="16"/>
  <c r="AF1160" i="16"/>
  <c r="Z1161" i="16"/>
  <c r="AF1161" i="16"/>
  <c r="Z1162" i="16"/>
  <c r="AF1162" i="16"/>
  <c r="Z1163" i="16"/>
  <c r="AF1163" i="16"/>
  <c r="Z1164" i="16"/>
  <c r="AF1164" i="16"/>
  <c r="Z1165" i="16"/>
  <c r="AF1165" i="16"/>
  <c r="Z1166" i="16"/>
  <c r="AF1166" i="16"/>
  <c r="Z1167" i="16"/>
  <c r="AF1167" i="16"/>
  <c r="Z1168" i="16"/>
  <c r="AF1168" i="16"/>
  <c r="Z1169" i="16"/>
  <c r="AF1169" i="16"/>
  <c r="Z1170" i="16"/>
  <c r="AF1170" i="16"/>
  <c r="Z1171" i="16"/>
  <c r="AF1171" i="16"/>
  <c r="Z1172" i="16"/>
  <c r="AF1172" i="16"/>
  <c r="Z1173" i="16"/>
  <c r="AF1173" i="16"/>
  <c r="Z1174" i="16"/>
  <c r="AF1174" i="16"/>
  <c r="Z1175" i="16"/>
  <c r="AF1175" i="16"/>
  <c r="Z1176" i="16"/>
  <c r="AF1176" i="16"/>
  <c r="Z1177" i="16"/>
  <c r="AF1177" i="16"/>
  <c r="Z1178" i="16"/>
  <c r="AF1178" i="16"/>
  <c r="Z1179" i="16"/>
  <c r="AF1179" i="16"/>
  <c r="Z1180" i="16"/>
  <c r="AF1180" i="16"/>
  <c r="Z1181" i="16"/>
  <c r="AF1181" i="16"/>
  <c r="Z1182" i="16"/>
  <c r="AF1182" i="16"/>
  <c r="Z1183" i="16"/>
  <c r="AF1183" i="16"/>
  <c r="Z1184" i="16"/>
  <c r="AF1184" i="16"/>
  <c r="Z1185" i="16"/>
  <c r="AF1185" i="16"/>
  <c r="Z1186" i="16"/>
  <c r="AF1186" i="16"/>
  <c r="Z1187" i="16"/>
  <c r="AF1187" i="16"/>
  <c r="Z1188" i="16"/>
  <c r="AF1188" i="16"/>
  <c r="Z1189" i="16"/>
  <c r="AF1189" i="16"/>
  <c r="Z1190" i="16"/>
  <c r="AF1190" i="16"/>
  <c r="Z1191" i="16"/>
  <c r="AF1191" i="16"/>
  <c r="Z1192" i="16"/>
  <c r="AF1192" i="16"/>
  <c r="Z1193" i="16"/>
  <c r="AF1193" i="16"/>
  <c r="Z1194" i="16"/>
  <c r="AF1194" i="16"/>
  <c r="Z1195" i="16"/>
  <c r="AF1195" i="16"/>
  <c r="Z1196" i="16"/>
  <c r="AF1196" i="16"/>
  <c r="Z1197" i="16"/>
  <c r="AF1197" i="16"/>
  <c r="Z1198" i="16"/>
  <c r="AF1198" i="16"/>
  <c r="Z1199" i="16"/>
  <c r="AF1199" i="16"/>
  <c r="Z1200" i="16"/>
  <c r="AF1200" i="16"/>
  <c r="Z1201" i="16"/>
  <c r="AF1201" i="16"/>
  <c r="Z1202" i="16"/>
  <c r="AF1202" i="16"/>
  <c r="Z1203" i="16"/>
  <c r="AF1203" i="16"/>
  <c r="Z1204" i="16"/>
  <c r="AF1204" i="16"/>
  <c r="Z1205" i="16"/>
  <c r="AF1205" i="16"/>
  <c r="Z1206" i="16"/>
  <c r="AF1206" i="16"/>
  <c r="Z1207" i="16"/>
  <c r="AF1207" i="16"/>
  <c r="Z1208" i="16"/>
  <c r="AF1208" i="16"/>
  <c r="Z1209" i="16"/>
  <c r="AF1209" i="16"/>
  <c r="Z1210" i="16"/>
  <c r="AF1210" i="16"/>
  <c r="Z1211" i="16"/>
  <c r="AF1211" i="16"/>
  <c r="Z1212" i="16"/>
  <c r="AF1212" i="16"/>
  <c r="Z1213" i="16"/>
  <c r="AF1213" i="16"/>
  <c r="Z1214" i="16"/>
  <c r="AF1214" i="16"/>
  <c r="Z1215" i="16"/>
  <c r="AF1215" i="16"/>
  <c r="Z1216" i="16"/>
  <c r="AF1216" i="16"/>
  <c r="Z1217" i="16"/>
  <c r="AF1217" i="16"/>
  <c r="Z1218" i="16"/>
  <c r="AF1218" i="16"/>
  <c r="Z1219" i="16"/>
  <c r="AF1219" i="16"/>
  <c r="Z1220" i="16"/>
  <c r="AF1220" i="16"/>
  <c r="Z1221" i="16"/>
  <c r="AF1221" i="16"/>
  <c r="Z1222" i="16"/>
  <c r="AF1222" i="16"/>
  <c r="Z1223" i="16"/>
  <c r="AF1223" i="16"/>
  <c r="Z1224" i="16"/>
  <c r="AF1224" i="16"/>
  <c r="Z1225" i="16"/>
  <c r="AF1225" i="16"/>
  <c r="Z1226" i="16"/>
  <c r="AF1226" i="16"/>
  <c r="Z1227" i="16"/>
  <c r="AF1227" i="16"/>
  <c r="Z1228" i="16"/>
  <c r="AF1228" i="16"/>
  <c r="Z1229" i="16"/>
  <c r="AF1229" i="16"/>
  <c r="Z1230" i="16"/>
  <c r="AF1230" i="16"/>
  <c r="Z1231" i="16"/>
  <c r="AF1231" i="16"/>
  <c r="Z1232" i="16"/>
  <c r="AF1232" i="16"/>
  <c r="Z1233" i="16"/>
  <c r="AF1233" i="16"/>
  <c r="Z1234" i="16"/>
  <c r="AF1234" i="16"/>
  <c r="Z1235" i="16"/>
  <c r="AF1235" i="16"/>
  <c r="Z1236" i="16"/>
  <c r="AF1236" i="16"/>
  <c r="Z1237" i="16"/>
  <c r="AF1237" i="16"/>
  <c r="Z1238" i="16"/>
  <c r="AF1238" i="16"/>
  <c r="Z1239" i="16"/>
  <c r="AF1239" i="16"/>
  <c r="Z1240" i="16"/>
  <c r="AF1240" i="16"/>
  <c r="Z1241" i="16"/>
  <c r="AF1241" i="16"/>
  <c r="Z1242" i="16"/>
  <c r="AF1242" i="16"/>
  <c r="Z1243" i="16"/>
  <c r="AF1243" i="16"/>
  <c r="Z1244" i="16"/>
  <c r="AF1244" i="16"/>
  <c r="Z1245" i="16"/>
  <c r="AF1245" i="16"/>
  <c r="Z1246" i="16"/>
  <c r="AF1246" i="16"/>
  <c r="Z1247" i="16"/>
  <c r="AF1247" i="16"/>
  <c r="Z1248" i="16"/>
  <c r="AF1248" i="16"/>
  <c r="Z1249" i="16"/>
  <c r="AF1249" i="16"/>
  <c r="Z1250" i="16"/>
  <c r="AF1250" i="16"/>
  <c r="Z1251" i="16"/>
  <c r="AF1251" i="16"/>
  <c r="Z1252" i="16"/>
  <c r="AF1252" i="16"/>
  <c r="Z1253" i="16"/>
  <c r="AF1253" i="16"/>
  <c r="Z1254" i="16"/>
  <c r="AF1254" i="16"/>
  <c r="Z1255" i="16"/>
  <c r="AF1255" i="16"/>
  <c r="Z1256" i="16"/>
  <c r="AF1256" i="16"/>
  <c r="Z1257" i="16"/>
  <c r="AF1257" i="16"/>
  <c r="Z1258" i="16"/>
  <c r="AF1258" i="16"/>
  <c r="Z1259" i="16"/>
  <c r="AF1259" i="16"/>
  <c r="Z1260" i="16"/>
  <c r="AF1260" i="16"/>
  <c r="Z1261" i="16"/>
  <c r="AF1261" i="16"/>
  <c r="Z1262" i="16"/>
  <c r="AF1262" i="16"/>
  <c r="Z1263" i="16"/>
  <c r="AF1263" i="16"/>
  <c r="Z1264" i="16"/>
  <c r="AF1264" i="16"/>
  <c r="Z1265" i="16"/>
  <c r="AF1265" i="16"/>
  <c r="Z1266" i="16"/>
  <c r="AF1266" i="16"/>
  <c r="Z1267" i="16"/>
  <c r="AF1267" i="16"/>
  <c r="Z1268" i="16"/>
  <c r="AF1268" i="16"/>
  <c r="Z1269" i="16"/>
  <c r="AF1269" i="16"/>
  <c r="Z1270" i="16"/>
  <c r="AF1270" i="16"/>
  <c r="Z1271" i="16"/>
  <c r="AF1271" i="16"/>
  <c r="Z1272" i="16"/>
  <c r="AF1272" i="16"/>
  <c r="Z1273" i="16"/>
  <c r="AF1273" i="16"/>
  <c r="Z1274" i="16"/>
  <c r="AF1274" i="16"/>
  <c r="Z1275" i="16"/>
  <c r="AF1275" i="16"/>
  <c r="Z1276" i="16"/>
  <c r="AF1276" i="16"/>
  <c r="Z1277" i="16"/>
  <c r="AF1277" i="16"/>
  <c r="Z1278" i="16"/>
  <c r="AF1278" i="16"/>
  <c r="Z1279" i="16"/>
  <c r="AF1279" i="16"/>
  <c r="Z1280" i="16"/>
  <c r="AF1280" i="16"/>
  <c r="Z1281" i="16"/>
  <c r="AF1281" i="16"/>
  <c r="Z1282" i="16"/>
  <c r="AF1282" i="16"/>
  <c r="Z1283" i="16"/>
  <c r="AF1283" i="16"/>
  <c r="Z1284" i="16"/>
  <c r="AF1284" i="16"/>
  <c r="Z1285" i="16"/>
  <c r="AF1285" i="16"/>
  <c r="Z1286" i="16"/>
  <c r="AF1286" i="16"/>
  <c r="Z1287" i="16"/>
  <c r="AF1287" i="16"/>
  <c r="Z1288" i="16"/>
  <c r="AF1288" i="16"/>
  <c r="Z1289" i="16"/>
  <c r="AF1289" i="16"/>
  <c r="Z1290" i="16"/>
  <c r="AF1290" i="16"/>
  <c r="Z1291" i="16"/>
  <c r="AF1291" i="16"/>
  <c r="Z1292" i="16"/>
  <c r="AF1292" i="16"/>
  <c r="Z1293" i="16"/>
  <c r="AF1293" i="16"/>
  <c r="Z1294" i="16"/>
  <c r="AF1294" i="16"/>
  <c r="Z1295" i="16"/>
  <c r="AF1295" i="16"/>
  <c r="Z1296" i="16"/>
  <c r="AF1296" i="16"/>
  <c r="Z1297" i="16"/>
  <c r="AF1297" i="16"/>
  <c r="Z1298" i="16"/>
  <c r="AF1298" i="16"/>
  <c r="Z1299" i="16"/>
  <c r="AF1299" i="16"/>
  <c r="Z1300" i="16"/>
  <c r="AF1300" i="16"/>
  <c r="Z1301" i="16"/>
  <c r="AF1301" i="16"/>
  <c r="Z1302" i="16"/>
  <c r="AF1302" i="16"/>
  <c r="Z1303" i="16"/>
  <c r="AF1303" i="16"/>
  <c r="Z1304" i="16"/>
  <c r="AF1304" i="16"/>
  <c r="Z1305" i="16"/>
  <c r="AF1305" i="16"/>
  <c r="Z1306" i="16"/>
  <c r="AF1306" i="16"/>
  <c r="Z1307" i="16"/>
  <c r="AF1307" i="16"/>
  <c r="Z1308" i="16"/>
  <c r="AF1308" i="16"/>
  <c r="Z1309" i="16"/>
  <c r="AF1309" i="16"/>
  <c r="Z1310" i="16"/>
  <c r="AF1310" i="16"/>
  <c r="Z1311" i="16"/>
  <c r="AF1311" i="16"/>
  <c r="Z1312" i="16"/>
  <c r="AF1312" i="16"/>
  <c r="Z1313" i="16"/>
  <c r="AF1313" i="16"/>
  <c r="Z1314" i="16"/>
  <c r="AF1314" i="16"/>
  <c r="Z1315" i="16"/>
  <c r="AF1315" i="16"/>
  <c r="Z1316" i="16"/>
  <c r="AF1316" i="16"/>
  <c r="Z1317" i="16"/>
  <c r="AF1317" i="16"/>
  <c r="Z1318" i="16"/>
  <c r="AF1318" i="16"/>
  <c r="Z1319" i="16"/>
  <c r="AF1319" i="16"/>
  <c r="Z1320" i="16"/>
  <c r="AF1320" i="16"/>
  <c r="Z1321" i="16"/>
  <c r="AF1321" i="16"/>
  <c r="Z1322" i="16"/>
  <c r="AF1322" i="16"/>
  <c r="Z1323" i="16"/>
  <c r="AF1323" i="16"/>
  <c r="Z1324" i="16"/>
  <c r="AF1324" i="16"/>
  <c r="Z1325" i="16"/>
  <c r="AF1325" i="16"/>
  <c r="Z1326" i="16"/>
  <c r="AF1326" i="16"/>
  <c r="Z1327" i="16"/>
  <c r="AF1327" i="16"/>
  <c r="Z1328" i="16"/>
  <c r="AF1328" i="16"/>
  <c r="Z1329" i="16"/>
  <c r="AF1329" i="16"/>
  <c r="Z1330" i="16"/>
  <c r="AF1330" i="16"/>
  <c r="Z1331" i="16"/>
  <c r="AF1331" i="16"/>
  <c r="Z1332" i="16"/>
  <c r="AF1332" i="16"/>
  <c r="Z1333" i="16"/>
  <c r="AF1333" i="16"/>
  <c r="Z1334" i="16"/>
  <c r="AF1334" i="16"/>
  <c r="Z1335" i="16"/>
  <c r="AF1335" i="16"/>
  <c r="Z1336" i="16"/>
  <c r="AF1336" i="16"/>
  <c r="Z1337" i="16"/>
  <c r="AF1337" i="16"/>
  <c r="Z1338" i="16"/>
  <c r="AF1338" i="16"/>
  <c r="Z1339" i="16"/>
  <c r="AF1339" i="16"/>
  <c r="Z1340" i="16"/>
  <c r="AF1340" i="16"/>
  <c r="Z1341" i="16"/>
  <c r="AF1341" i="16"/>
  <c r="Z1342" i="16"/>
  <c r="AF1342" i="16"/>
  <c r="Z1343" i="16"/>
  <c r="AF1343" i="16"/>
  <c r="Z1344" i="16"/>
  <c r="AF1344" i="16"/>
  <c r="Z1345" i="16"/>
  <c r="AF1345" i="16"/>
  <c r="Z1346" i="16"/>
  <c r="AF1346" i="16"/>
  <c r="Z1347" i="16"/>
  <c r="AF1347" i="16"/>
  <c r="Z1348" i="16"/>
  <c r="AF1348" i="16"/>
  <c r="Z1349" i="16"/>
  <c r="AF1349" i="16"/>
  <c r="Z1350" i="16"/>
  <c r="AF1350" i="16"/>
  <c r="Z1351" i="16"/>
  <c r="AF1351" i="16"/>
  <c r="Z1352" i="16"/>
  <c r="AF1352" i="16"/>
  <c r="Z1353" i="16"/>
  <c r="AF1353" i="16"/>
  <c r="Z1354" i="16"/>
  <c r="AF1354" i="16"/>
  <c r="Z1355" i="16"/>
  <c r="AF1355" i="16"/>
  <c r="Z1356" i="16"/>
  <c r="AF1356" i="16"/>
  <c r="Z1357" i="16"/>
  <c r="AF1357" i="16"/>
  <c r="Z1358" i="16"/>
  <c r="AF1358" i="16"/>
  <c r="Z1359" i="16"/>
  <c r="AF1359" i="16"/>
  <c r="Z1360" i="16"/>
  <c r="AF1360" i="16"/>
  <c r="Z1361" i="16"/>
  <c r="AF1361" i="16"/>
  <c r="Z1362" i="16"/>
  <c r="AF1362" i="16"/>
  <c r="Z1363" i="16"/>
  <c r="AF1363" i="16"/>
  <c r="Z1364" i="16"/>
  <c r="AF1364" i="16"/>
  <c r="Z1365" i="16"/>
  <c r="AF1365" i="16"/>
  <c r="Z1366" i="16"/>
  <c r="AF1366" i="16"/>
  <c r="Z1367" i="16"/>
  <c r="AF1367" i="16"/>
  <c r="Z1368" i="16"/>
  <c r="AF1368" i="16"/>
  <c r="Z1369" i="16"/>
  <c r="AF1369" i="16"/>
  <c r="Z1370" i="16"/>
  <c r="AF1370" i="16"/>
  <c r="Z1371" i="16"/>
  <c r="AF1371" i="16"/>
  <c r="Z1372" i="16"/>
  <c r="AF1372" i="16"/>
  <c r="Z1373" i="16"/>
  <c r="AF1373" i="16"/>
  <c r="Z1374" i="16"/>
  <c r="AF1374" i="16"/>
  <c r="Z1375" i="16"/>
  <c r="AF1375" i="16"/>
  <c r="Z1376" i="16"/>
  <c r="AF1376" i="16"/>
  <c r="Z1377" i="16"/>
  <c r="AF1377" i="16"/>
  <c r="Z1378" i="16"/>
  <c r="AF1378" i="16"/>
  <c r="Z1379" i="16"/>
  <c r="AF1379" i="16"/>
  <c r="Z1380" i="16"/>
  <c r="AF1380" i="16"/>
  <c r="Z1381" i="16"/>
  <c r="AF1381" i="16"/>
  <c r="Z1382" i="16"/>
  <c r="AF1382" i="16"/>
  <c r="Z1383" i="16"/>
  <c r="AF1383" i="16"/>
  <c r="Z1384" i="16"/>
  <c r="AF1384" i="16"/>
  <c r="Z1385" i="16"/>
  <c r="AF1385" i="16"/>
  <c r="Z1386" i="16"/>
  <c r="AF1386" i="16"/>
  <c r="Z1387" i="16"/>
  <c r="AF1387" i="16"/>
  <c r="Z1388" i="16"/>
  <c r="AF1388" i="16"/>
  <c r="Z1389" i="16"/>
  <c r="AF1389" i="16"/>
  <c r="Z1390" i="16"/>
  <c r="AF1390" i="16"/>
  <c r="Z1391" i="16"/>
  <c r="AF1391" i="16"/>
  <c r="Z1392" i="16"/>
  <c r="AF1392" i="16"/>
  <c r="Z1393" i="16"/>
  <c r="AF1393" i="16"/>
  <c r="Z1394" i="16"/>
  <c r="AF1394" i="16"/>
  <c r="Z1395" i="16"/>
  <c r="AF1395" i="16"/>
  <c r="Z1396" i="16"/>
  <c r="AF1396" i="16"/>
  <c r="Z1397" i="16"/>
  <c r="AF1397" i="16"/>
  <c r="Z1398" i="16"/>
  <c r="AF1398" i="16"/>
  <c r="Z1399" i="16"/>
  <c r="AF1399" i="16"/>
  <c r="Z1400" i="16"/>
  <c r="AF1400" i="16"/>
  <c r="Z1401" i="16"/>
  <c r="AF1401" i="16"/>
  <c r="Z1402" i="16"/>
  <c r="AF1402" i="16"/>
  <c r="Z1403" i="16"/>
  <c r="AF1403" i="16"/>
  <c r="Z1404" i="16"/>
  <c r="AF1404" i="16"/>
  <c r="Z1405" i="16"/>
  <c r="AF1405" i="16"/>
  <c r="Z1406" i="16"/>
  <c r="AF1406" i="16"/>
  <c r="Z1407" i="16"/>
  <c r="AF1407" i="16"/>
  <c r="Z1408" i="16"/>
  <c r="AF1408" i="16"/>
  <c r="Z1409" i="16"/>
  <c r="AF1409" i="16"/>
  <c r="Z1410" i="16"/>
  <c r="AF1410" i="16"/>
  <c r="Z1411" i="16"/>
  <c r="AF1411" i="16"/>
  <c r="Z1412" i="16"/>
  <c r="AF1412" i="16"/>
  <c r="Z1413" i="16"/>
  <c r="AF1413" i="16"/>
  <c r="Z1414" i="16"/>
  <c r="AF1414" i="16"/>
  <c r="Z1415" i="16"/>
  <c r="AF1415" i="16"/>
  <c r="Z1416" i="16"/>
  <c r="AF1416" i="16"/>
  <c r="Z1417" i="16"/>
  <c r="AF1417" i="16"/>
  <c r="Z1418" i="16"/>
  <c r="AF1418" i="16"/>
  <c r="Z1419" i="16"/>
  <c r="AF1419" i="16"/>
  <c r="Z1420" i="16"/>
  <c r="AF1420" i="16"/>
  <c r="Z1421" i="16"/>
  <c r="AF1421" i="16"/>
  <c r="Z1422" i="16"/>
  <c r="AF1422" i="16"/>
  <c r="Z1423" i="16"/>
  <c r="AF1423" i="16"/>
  <c r="Z1424" i="16"/>
  <c r="AF1424" i="16"/>
  <c r="Z1425" i="16"/>
  <c r="AF1425" i="16"/>
  <c r="Z1426" i="16"/>
  <c r="AF1426" i="16"/>
  <c r="Z1427" i="16"/>
  <c r="AF1427" i="16"/>
  <c r="Z1428" i="16"/>
  <c r="AF1428" i="16"/>
  <c r="Z1429" i="16"/>
  <c r="AF1429" i="16"/>
  <c r="Z1430" i="16"/>
  <c r="AF1430" i="16"/>
  <c r="Z1431" i="16"/>
  <c r="AF1431" i="16"/>
  <c r="Z1432" i="16"/>
  <c r="AF1432" i="16"/>
  <c r="Z1433" i="16"/>
  <c r="AF1433" i="16"/>
  <c r="Z1434" i="16"/>
  <c r="AF1434" i="16"/>
  <c r="Z1435" i="16"/>
  <c r="AF1435" i="16"/>
  <c r="Z1436" i="16"/>
  <c r="AF1436" i="16"/>
  <c r="Z1437" i="16"/>
  <c r="AF1437" i="16"/>
  <c r="Z1438" i="16"/>
  <c r="AF1438" i="16"/>
  <c r="Z1439" i="16"/>
  <c r="AF1439" i="16"/>
  <c r="Z1440" i="16"/>
  <c r="AF1440" i="16"/>
  <c r="Z1441" i="16"/>
  <c r="AF1441" i="16"/>
  <c r="Z1442" i="16"/>
  <c r="AF1442" i="16"/>
  <c r="Z1443" i="16"/>
  <c r="AF1443" i="16"/>
  <c r="Z1444" i="16"/>
  <c r="AF1444" i="16"/>
  <c r="Z1445" i="16"/>
  <c r="AF1445" i="16"/>
  <c r="Z1446" i="16"/>
  <c r="AF1446" i="16"/>
  <c r="Z1447" i="16"/>
  <c r="AF1447" i="16"/>
  <c r="Z1448" i="16"/>
  <c r="AF1448" i="16"/>
  <c r="Z1449" i="16"/>
  <c r="AF1449" i="16"/>
  <c r="Z1450" i="16"/>
  <c r="AF1450" i="16"/>
  <c r="Z1451" i="16"/>
  <c r="AF1451" i="16"/>
  <c r="Z1452" i="16"/>
  <c r="AF1452" i="16"/>
  <c r="Z1453" i="16"/>
  <c r="AF1453" i="16"/>
  <c r="Z1454" i="16"/>
  <c r="AF1454" i="16"/>
  <c r="Z1455" i="16"/>
  <c r="AF1455" i="16"/>
  <c r="Z1456" i="16"/>
  <c r="AF1456" i="16"/>
  <c r="Z1457" i="16"/>
  <c r="AF1457" i="16"/>
  <c r="Z1458" i="16"/>
  <c r="AF1458" i="16"/>
  <c r="Z1459" i="16"/>
  <c r="AF1459" i="16"/>
  <c r="Z1460" i="16"/>
  <c r="AF1460" i="16"/>
  <c r="Z1461" i="16"/>
  <c r="AF1461" i="16"/>
  <c r="Z1462" i="16"/>
  <c r="AF1462" i="16"/>
  <c r="Z1463" i="16"/>
  <c r="AF1463" i="16"/>
  <c r="Z1464" i="16"/>
  <c r="AF1464" i="16"/>
  <c r="Z1465" i="16"/>
  <c r="AF1465" i="16"/>
  <c r="Z1466" i="16"/>
  <c r="AF1466" i="16"/>
  <c r="Z1467" i="16"/>
  <c r="AF1467" i="16"/>
  <c r="Z1468" i="16"/>
  <c r="AF1468" i="16"/>
  <c r="Z1469" i="16"/>
  <c r="AF1469" i="16"/>
  <c r="Z1470" i="16"/>
  <c r="AF1470" i="16"/>
  <c r="Z1471" i="16"/>
  <c r="AF1471" i="16"/>
  <c r="Z1472" i="16"/>
  <c r="AF1472" i="16"/>
  <c r="Z1473" i="16"/>
  <c r="AF1473" i="16"/>
  <c r="Z1474" i="16"/>
  <c r="AF1474" i="16"/>
  <c r="Z1475" i="16"/>
  <c r="AF1475" i="16"/>
  <c r="Z1476" i="16"/>
  <c r="AF1476" i="16"/>
  <c r="Z1477" i="16"/>
  <c r="AF1477" i="16"/>
  <c r="Z1478" i="16"/>
  <c r="AF1478" i="16"/>
  <c r="Z1479" i="16"/>
  <c r="AF1479" i="16"/>
  <c r="Z1480" i="16"/>
  <c r="AF1480" i="16"/>
  <c r="Z1481" i="16"/>
  <c r="AF1481" i="16"/>
  <c r="Z1482" i="16"/>
  <c r="AF1482" i="16"/>
  <c r="Z1483" i="16"/>
  <c r="AF1483" i="16"/>
  <c r="Z1484" i="16"/>
  <c r="AF1484" i="16"/>
  <c r="Z1485" i="16"/>
  <c r="AF1485" i="16"/>
  <c r="Z1486" i="16"/>
  <c r="AF1486" i="16"/>
  <c r="Z1487" i="16"/>
  <c r="AF1487" i="16"/>
  <c r="Z1488" i="16"/>
  <c r="AF1488" i="16"/>
  <c r="Z1489" i="16"/>
  <c r="AF1489" i="16"/>
  <c r="Z1490" i="16"/>
  <c r="AF1490" i="16"/>
  <c r="Z1491" i="16"/>
  <c r="AF1491" i="16"/>
  <c r="Z1492" i="16"/>
  <c r="AF1492" i="16"/>
  <c r="Z1493" i="16"/>
  <c r="AF1493" i="16"/>
  <c r="Z1494" i="16"/>
  <c r="AF1494" i="16"/>
  <c r="Z1495" i="16"/>
  <c r="AF1495" i="16"/>
  <c r="Z1496" i="16"/>
  <c r="AF1496" i="16"/>
  <c r="Z1497" i="16"/>
  <c r="AF1497" i="16"/>
  <c r="Z1498" i="16"/>
  <c r="AF1498" i="16"/>
  <c r="Z1499" i="16"/>
  <c r="AF1499" i="16"/>
  <c r="Z1500" i="16"/>
  <c r="AF1500" i="16"/>
  <c r="Z1501" i="16"/>
  <c r="AF1501" i="16"/>
  <c r="Z1502" i="16"/>
  <c r="AF1502" i="16"/>
  <c r="Z1503" i="16"/>
  <c r="AF1503" i="16"/>
  <c r="Z1504" i="16"/>
  <c r="AF1504" i="16"/>
  <c r="Z1505" i="16"/>
  <c r="AF1505" i="16"/>
  <c r="Z1506" i="16"/>
  <c r="AF1506" i="16"/>
  <c r="Z1507" i="16"/>
  <c r="AF1507" i="16"/>
  <c r="Z1508" i="16"/>
  <c r="AF1508" i="16"/>
  <c r="Z1509" i="16"/>
  <c r="AF1509" i="16"/>
  <c r="Z1510" i="16"/>
  <c r="AF1510" i="16"/>
  <c r="Z1511" i="16"/>
  <c r="AF1511" i="16"/>
  <c r="Z1512" i="16"/>
  <c r="AF1512" i="16"/>
  <c r="Z1513" i="16"/>
  <c r="AF1513" i="16"/>
  <c r="Z1514" i="16"/>
  <c r="AF1514" i="16"/>
  <c r="Z1515" i="16"/>
  <c r="AF1515" i="16"/>
  <c r="Z1516" i="16"/>
  <c r="AF1516" i="16"/>
  <c r="Z1517" i="16"/>
  <c r="AF1517" i="16"/>
  <c r="Z1518" i="16"/>
  <c r="AF1518" i="16"/>
  <c r="Z1519" i="16"/>
  <c r="AF1519" i="16"/>
  <c r="Z1520" i="16"/>
  <c r="AF1520" i="16"/>
  <c r="Z1521" i="16"/>
  <c r="AF1521" i="16"/>
  <c r="Z1522" i="16"/>
  <c r="AF1522" i="16"/>
  <c r="Z1523" i="16"/>
  <c r="AF1523" i="16"/>
  <c r="Z1524" i="16"/>
  <c r="AF1524" i="16"/>
  <c r="Z1525" i="16"/>
  <c r="AF1525" i="16"/>
  <c r="Z1526" i="16"/>
  <c r="AF1526" i="16"/>
  <c r="Z1527" i="16"/>
  <c r="AF1527" i="16"/>
  <c r="Z1528" i="16"/>
  <c r="AF1528" i="16"/>
  <c r="Z1529" i="16"/>
  <c r="AF1529" i="16"/>
  <c r="Z1530" i="16"/>
  <c r="AF1530" i="16"/>
  <c r="Z1531" i="16"/>
  <c r="AF1531" i="16"/>
  <c r="Z1532" i="16"/>
  <c r="AF1532" i="16"/>
  <c r="Z1533" i="16"/>
  <c r="AF1533" i="16"/>
  <c r="Z1534" i="16"/>
  <c r="AF1534" i="16"/>
  <c r="Z1535" i="16"/>
  <c r="AF1535" i="16"/>
  <c r="Z1536" i="16"/>
  <c r="AF1536" i="16"/>
  <c r="Z1537" i="16"/>
  <c r="AF1537" i="16"/>
  <c r="Z1538" i="16"/>
  <c r="AF1538" i="16"/>
  <c r="Z1539" i="16"/>
  <c r="AF1539" i="16"/>
  <c r="Z1540" i="16"/>
  <c r="AF1540" i="16"/>
  <c r="Z1541" i="16"/>
  <c r="AF1541" i="16"/>
  <c r="Z1542" i="16"/>
  <c r="AF1542" i="16"/>
  <c r="Z1543" i="16"/>
  <c r="AF1543" i="16"/>
  <c r="Z1544" i="16"/>
  <c r="AF1544" i="16"/>
  <c r="Z1545" i="16"/>
  <c r="AF1545" i="16"/>
  <c r="Z1546" i="16"/>
  <c r="AF1546" i="16"/>
  <c r="Z1547" i="16"/>
  <c r="AF1547" i="16"/>
  <c r="Z1548" i="16"/>
  <c r="AF1548" i="16"/>
  <c r="Z1549" i="16"/>
  <c r="AF1549" i="16"/>
  <c r="Z1550" i="16"/>
  <c r="AF1550" i="16"/>
  <c r="Z1551" i="16"/>
  <c r="AF1551" i="16"/>
  <c r="Z1552" i="16"/>
  <c r="AF1552" i="16"/>
  <c r="Z1553" i="16"/>
  <c r="AF1553" i="16"/>
  <c r="Z1554" i="16"/>
  <c r="AF1554" i="16"/>
  <c r="Z1555" i="16"/>
  <c r="AF1555" i="16"/>
  <c r="Z1556" i="16"/>
  <c r="AF1556" i="16"/>
  <c r="Z1557" i="16"/>
  <c r="AF1557" i="16"/>
  <c r="Z1558" i="16"/>
  <c r="AF1558" i="16"/>
  <c r="Z1559" i="16"/>
  <c r="AF1559" i="16"/>
  <c r="Z1560" i="16"/>
  <c r="AF1560" i="16"/>
  <c r="Z1561" i="16"/>
  <c r="AF1561" i="16"/>
  <c r="Z1562" i="16"/>
  <c r="AF1562" i="16"/>
  <c r="Z1563" i="16"/>
  <c r="AF1563" i="16"/>
  <c r="Z1564" i="16"/>
  <c r="AF1564" i="16"/>
  <c r="Z1565" i="16"/>
  <c r="AF1565" i="16"/>
  <c r="Z1566" i="16"/>
  <c r="AF1566" i="16"/>
  <c r="Z1567" i="16"/>
  <c r="AF1567" i="16"/>
  <c r="Z1568" i="16"/>
  <c r="AF1568" i="16"/>
  <c r="Z1569" i="16"/>
  <c r="AF1569" i="16"/>
  <c r="Z1570" i="16"/>
  <c r="AF1570" i="16"/>
  <c r="Z1571" i="16"/>
  <c r="AF1571" i="16"/>
  <c r="Z1572" i="16"/>
  <c r="AF1572" i="16"/>
  <c r="Z1573" i="16"/>
  <c r="AF1573" i="16"/>
  <c r="Z1574" i="16"/>
  <c r="AF1574" i="16"/>
  <c r="Z1575" i="16"/>
  <c r="AF1575" i="16"/>
  <c r="Z1576" i="16"/>
  <c r="AF1576" i="16"/>
  <c r="Z1577" i="16"/>
  <c r="AF1577" i="16"/>
  <c r="Z1578" i="16"/>
  <c r="AF1578" i="16"/>
  <c r="Z1579" i="16"/>
  <c r="AF1579" i="16"/>
  <c r="Z1580" i="16"/>
  <c r="AF1580" i="16"/>
  <c r="Z1581" i="16"/>
  <c r="AF1581" i="16"/>
  <c r="Z1582" i="16"/>
  <c r="AF1582" i="16"/>
  <c r="Z1583" i="16"/>
  <c r="AF1583" i="16"/>
  <c r="Z1584" i="16"/>
  <c r="AF1584" i="16"/>
  <c r="Z1585" i="16"/>
  <c r="AF1585" i="16"/>
  <c r="Z1586" i="16"/>
  <c r="AF1586" i="16"/>
  <c r="Z1587" i="16"/>
  <c r="AF1587" i="16"/>
  <c r="Z1588" i="16"/>
  <c r="AF1588" i="16"/>
  <c r="Z1589" i="16"/>
  <c r="AF1589" i="16"/>
  <c r="Z1590" i="16"/>
  <c r="AF1590" i="16"/>
  <c r="Z1591" i="16"/>
  <c r="AF1591" i="16"/>
  <c r="Z1592" i="16"/>
  <c r="AF1592" i="16"/>
  <c r="Z1593" i="16"/>
  <c r="AF1593" i="16"/>
  <c r="Z1594" i="16"/>
  <c r="AF1594" i="16"/>
  <c r="Z1595" i="16"/>
  <c r="AF1595" i="16"/>
  <c r="Z1596" i="16"/>
  <c r="AF1596" i="16"/>
  <c r="Z1597" i="16"/>
  <c r="AF1597" i="16"/>
  <c r="Z1598" i="16"/>
  <c r="AF1598" i="16"/>
  <c r="Z1599" i="16"/>
  <c r="AF1599" i="16"/>
  <c r="Z1600" i="16"/>
  <c r="AF1600" i="16"/>
  <c r="Z1601" i="16"/>
  <c r="AF1601" i="16"/>
  <c r="Z1602" i="16"/>
  <c r="AF1602" i="16"/>
  <c r="Z1603" i="16"/>
  <c r="AF1603" i="16"/>
  <c r="Z1604" i="16"/>
  <c r="AF1604" i="16"/>
  <c r="Z1605" i="16"/>
  <c r="AF1605" i="16"/>
  <c r="Z1606" i="16"/>
  <c r="AF1606" i="16"/>
  <c r="Z1607" i="16"/>
  <c r="AF1607" i="16"/>
  <c r="Z1608" i="16"/>
  <c r="AF1608" i="16"/>
  <c r="Z1609" i="16"/>
  <c r="AF1609" i="16"/>
  <c r="Z1610" i="16"/>
  <c r="AF1610" i="16"/>
  <c r="Z1611" i="16"/>
  <c r="AF1611" i="16"/>
  <c r="Z1612" i="16"/>
  <c r="AF1612" i="16"/>
  <c r="Z1613" i="16"/>
  <c r="AF1613" i="16"/>
  <c r="Z1614" i="16"/>
  <c r="AF1614" i="16"/>
  <c r="Z1615" i="16"/>
  <c r="AF1615" i="16"/>
  <c r="Z1616" i="16"/>
  <c r="AF1616" i="16"/>
  <c r="Z1617" i="16"/>
  <c r="AF1617" i="16"/>
  <c r="Z1618" i="16"/>
  <c r="AF1618" i="16"/>
  <c r="Z1619" i="16"/>
  <c r="AF1619" i="16"/>
  <c r="Z1620" i="16"/>
  <c r="AF1620" i="16"/>
  <c r="Z1621" i="16"/>
  <c r="AF1621" i="16"/>
  <c r="Z1622" i="16"/>
  <c r="AF1622" i="16"/>
  <c r="Z1623" i="16"/>
  <c r="AF1623" i="16"/>
  <c r="Z1624" i="16"/>
  <c r="AF1624" i="16"/>
  <c r="Z1625" i="16"/>
  <c r="AF1625" i="16"/>
  <c r="Z1626" i="16"/>
  <c r="AF1626" i="16"/>
  <c r="Z1627" i="16"/>
  <c r="AF1627" i="16"/>
  <c r="Z1628" i="16"/>
  <c r="AF1628" i="16"/>
  <c r="Z1629" i="16"/>
  <c r="AF1629" i="16"/>
  <c r="Z1630" i="16"/>
  <c r="AF1630" i="16"/>
  <c r="Z1631" i="16"/>
  <c r="AF1631" i="16"/>
  <c r="Z1632" i="16"/>
  <c r="AF1632" i="16"/>
  <c r="Z1633" i="16"/>
  <c r="AF1633" i="16"/>
  <c r="Z1634" i="16"/>
  <c r="AF1634" i="16"/>
  <c r="Z1635" i="16"/>
  <c r="AF1635" i="16"/>
  <c r="Z1636" i="16"/>
  <c r="AF1636" i="16"/>
  <c r="Z1637" i="16"/>
  <c r="AF1637" i="16"/>
  <c r="Z1638" i="16"/>
  <c r="AF1638" i="16"/>
  <c r="Z1639" i="16"/>
  <c r="AF1639" i="16"/>
  <c r="Z1640" i="16"/>
  <c r="AF1640" i="16"/>
  <c r="Z1641" i="16"/>
  <c r="AF1641" i="16"/>
  <c r="Z1642" i="16"/>
  <c r="AF1642" i="16"/>
  <c r="Z1643" i="16"/>
  <c r="AF1643" i="16"/>
  <c r="Z1644" i="16"/>
  <c r="AF1644" i="16"/>
  <c r="Z1645" i="16"/>
  <c r="AF1645" i="16"/>
  <c r="Z1646" i="16"/>
  <c r="AF1646" i="16"/>
  <c r="Z1647" i="16"/>
  <c r="AF1647" i="16"/>
  <c r="Z1648" i="16"/>
  <c r="AF1648" i="16"/>
  <c r="Z1649" i="16"/>
  <c r="AF1649" i="16"/>
  <c r="Z1650" i="16"/>
  <c r="AF1650" i="16"/>
  <c r="Z1651" i="16"/>
  <c r="AF1651" i="16"/>
  <c r="Z1652" i="16"/>
  <c r="AF1652" i="16"/>
  <c r="Z1653" i="16"/>
  <c r="AF1653" i="16"/>
  <c r="Z1654" i="16"/>
  <c r="AF1654" i="16"/>
  <c r="Z1655" i="16"/>
  <c r="AF1655" i="16"/>
  <c r="Z1656" i="16"/>
  <c r="AF1656" i="16"/>
  <c r="Z1657" i="16"/>
  <c r="AF1657" i="16"/>
  <c r="Z1658" i="16"/>
  <c r="AF1658" i="16"/>
  <c r="Z1659" i="16"/>
  <c r="AF1659" i="16"/>
  <c r="Z1660" i="16"/>
  <c r="AF1660" i="16"/>
  <c r="Z1661" i="16"/>
  <c r="AF1661" i="16"/>
  <c r="Z1662" i="16"/>
  <c r="AF1662" i="16"/>
  <c r="Z1663" i="16"/>
  <c r="AF1663" i="16"/>
  <c r="Z1664" i="16"/>
  <c r="AF1664" i="16"/>
  <c r="Z1665" i="16"/>
  <c r="AF1665" i="16"/>
  <c r="Z1666" i="16"/>
  <c r="AF1666" i="16"/>
  <c r="Z1667" i="16"/>
  <c r="AF1667" i="16"/>
  <c r="Z1668" i="16"/>
  <c r="AF1668" i="16"/>
  <c r="Z1669" i="16"/>
  <c r="AF1669" i="16"/>
  <c r="Z1670" i="16"/>
  <c r="AF1670" i="16"/>
  <c r="Z1671" i="16"/>
  <c r="AF1671" i="16"/>
  <c r="Z1672" i="16"/>
  <c r="AF1672" i="16"/>
  <c r="Z1673" i="16"/>
  <c r="AF1673" i="16"/>
  <c r="Z1674" i="16"/>
  <c r="AF1674" i="16"/>
  <c r="Z1675" i="16"/>
  <c r="AF1675" i="16"/>
  <c r="Z1676" i="16"/>
  <c r="AF1676" i="16"/>
  <c r="Z1677" i="16"/>
  <c r="AF1677" i="16"/>
  <c r="Z1678" i="16"/>
  <c r="AF1678" i="16"/>
  <c r="Z1679" i="16"/>
  <c r="AF1679" i="16"/>
  <c r="Z1680" i="16"/>
  <c r="AF1680" i="16"/>
  <c r="Z1681" i="16"/>
  <c r="AF1681" i="16"/>
  <c r="Z1682" i="16"/>
  <c r="AF1682" i="16"/>
  <c r="Z1683" i="16"/>
  <c r="AF1683" i="16"/>
  <c r="Z1684" i="16"/>
  <c r="AF1684" i="16"/>
  <c r="Z1685" i="16"/>
  <c r="AF1685" i="16"/>
  <c r="Z1686" i="16"/>
  <c r="AF1686" i="16"/>
  <c r="Z1687" i="16"/>
  <c r="AF1687" i="16"/>
  <c r="Z1688" i="16"/>
  <c r="AF1688" i="16"/>
  <c r="Z1689" i="16"/>
  <c r="AF1689" i="16"/>
  <c r="Z1690" i="16"/>
  <c r="AF1690" i="16"/>
  <c r="Z1691" i="16"/>
  <c r="AF1691" i="16"/>
  <c r="Z1692" i="16"/>
  <c r="AF1692" i="16"/>
  <c r="Z1693" i="16"/>
  <c r="AF1693" i="16"/>
  <c r="Z1694" i="16"/>
  <c r="AF1694" i="16"/>
  <c r="Z1695" i="16"/>
  <c r="AF1695" i="16"/>
  <c r="Z1696" i="16"/>
  <c r="AF1696" i="16"/>
  <c r="Z1697" i="16"/>
  <c r="AF1697" i="16"/>
  <c r="Z1698" i="16"/>
  <c r="AF1698" i="16"/>
  <c r="Z1699" i="16"/>
  <c r="AF1699" i="16"/>
  <c r="Z1700" i="16"/>
  <c r="AF1700" i="16"/>
  <c r="Z1701" i="16"/>
  <c r="AF1701" i="16"/>
  <c r="Z1702" i="16"/>
  <c r="AF1702" i="16"/>
  <c r="Z1703" i="16"/>
  <c r="AF1703" i="16"/>
  <c r="Z1704" i="16"/>
  <c r="AF1704" i="16"/>
  <c r="Z1705" i="16"/>
  <c r="AF1705" i="16"/>
  <c r="Z1706" i="16"/>
  <c r="AF1706" i="16"/>
  <c r="Z1707" i="16"/>
  <c r="AF1707" i="16"/>
  <c r="Z1708" i="16"/>
  <c r="AF1708" i="16"/>
  <c r="Z1709" i="16"/>
  <c r="AF1709" i="16"/>
  <c r="Z1710" i="16"/>
  <c r="AF1710" i="16"/>
  <c r="Z1711" i="16"/>
  <c r="AF1711" i="16"/>
  <c r="Z1712" i="16"/>
  <c r="AF1712" i="16"/>
  <c r="Z1713" i="16"/>
  <c r="AF1713" i="16"/>
  <c r="Z1714" i="16"/>
  <c r="AF1714" i="16"/>
  <c r="Z1715" i="16"/>
  <c r="AF1715" i="16"/>
  <c r="Z1716" i="16"/>
  <c r="AF1716" i="16"/>
  <c r="Z1717" i="16"/>
  <c r="AF1717" i="16"/>
  <c r="Z1718" i="16"/>
  <c r="AF1718" i="16"/>
  <c r="Z1719" i="16"/>
  <c r="AF1719" i="16"/>
  <c r="Z1720" i="16"/>
  <c r="AF1720" i="16"/>
  <c r="Z1721" i="16"/>
  <c r="AF1721" i="16"/>
  <c r="Z1722" i="16"/>
  <c r="AF1722" i="16"/>
  <c r="Z1723" i="16"/>
  <c r="AF1723" i="16"/>
  <c r="Z1724" i="16"/>
  <c r="AF1724" i="16"/>
  <c r="Z1725" i="16"/>
  <c r="AF1725" i="16"/>
  <c r="Z1726" i="16"/>
  <c r="AF1726" i="16"/>
  <c r="Z1727" i="16"/>
  <c r="AF1727" i="16"/>
  <c r="Z1728" i="16"/>
  <c r="AF1728" i="16"/>
  <c r="Z1729" i="16"/>
  <c r="AF1729" i="16"/>
  <c r="Z1730" i="16"/>
  <c r="AF1730" i="16"/>
  <c r="Z1731" i="16"/>
  <c r="AF1731" i="16"/>
  <c r="Z1732" i="16"/>
  <c r="AF1732" i="16"/>
  <c r="Z1733" i="16"/>
  <c r="AF1733" i="16"/>
  <c r="Z1734" i="16"/>
  <c r="AF1734" i="16"/>
  <c r="Z1735" i="16"/>
  <c r="AF1735" i="16"/>
  <c r="Z1736" i="16"/>
  <c r="AF1736" i="16"/>
  <c r="Z1737" i="16"/>
  <c r="AF1737" i="16"/>
  <c r="Z1738" i="16"/>
  <c r="AF1738" i="16"/>
  <c r="Z1739" i="16"/>
  <c r="AF1739" i="16"/>
  <c r="Z1740" i="16"/>
  <c r="AF1740" i="16"/>
  <c r="Z1741" i="16"/>
  <c r="AF1741" i="16"/>
  <c r="Z1742" i="16"/>
  <c r="AF1742" i="16"/>
  <c r="Z1743" i="16"/>
  <c r="AF1743" i="16"/>
  <c r="Z1744" i="16"/>
  <c r="AF1744" i="16"/>
  <c r="Z1745" i="16"/>
  <c r="AF1745" i="16"/>
  <c r="Z1746" i="16"/>
  <c r="AF1746" i="16"/>
  <c r="Z1747" i="16"/>
  <c r="AF1747" i="16"/>
  <c r="Z1748" i="16"/>
  <c r="AF1748" i="16"/>
  <c r="Z1749" i="16"/>
  <c r="AF1749" i="16"/>
  <c r="Z1750" i="16"/>
  <c r="AF1750" i="16"/>
  <c r="Z1751" i="16"/>
  <c r="AF1751" i="16"/>
  <c r="Z1752" i="16"/>
  <c r="AF1752" i="16"/>
  <c r="Z1753" i="16"/>
  <c r="AF1753" i="16"/>
  <c r="Z1754" i="16"/>
  <c r="AF1754" i="16"/>
  <c r="Z1755" i="16"/>
  <c r="AF1755" i="16"/>
  <c r="Z1756" i="16"/>
  <c r="AF1756" i="16"/>
  <c r="Z1757" i="16"/>
  <c r="AF1757" i="16"/>
  <c r="Z1758" i="16"/>
  <c r="AF1758" i="16"/>
  <c r="Z1759" i="16"/>
  <c r="AF1759" i="16"/>
  <c r="Z1760" i="16"/>
  <c r="AF1760" i="16"/>
  <c r="Z1761" i="16"/>
  <c r="AF1761" i="16"/>
  <c r="Z1762" i="16"/>
  <c r="AF1762" i="16"/>
  <c r="Z1763" i="16"/>
  <c r="AF1763" i="16"/>
  <c r="Z1764" i="16"/>
  <c r="AF1764" i="16"/>
  <c r="Z1765" i="16"/>
  <c r="AF1765" i="16"/>
  <c r="Z1766" i="16"/>
  <c r="AF1766" i="16"/>
  <c r="Z1767" i="16"/>
  <c r="AF1767" i="16"/>
  <c r="Z1768" i="16"/>
  <c r="AF1768" i="16"/>
  <c r="Z1769" i="16"/>
  <c r="AF1769" i="16"/>
  <c r="Z1770" i="16"/>
  <c r="AF1770" i="16"/>
  <c r="Z1771" i="16"/>
  <c r="AF1771" i="16"/>
  <c r="Z1772" i="16"/>
  <c r="AF1772" i="16"/>
  <c r="Z1773" i="16"/>
  <c r="AF1773" i="16"/>
  <c r="Z1774" i="16"/>
  <c r="AF1774" i="16"/>
  <c r="Z1775" i="16"/>
  <c r="AF1775" i="16"/>
  <c r="Z1776" i="16"/>
  <c r="AF1776" i="16"/>
  <c r="Z1777" i="16"/>
  <c r="AF1777" i="16"/>
  <c r="Z1778" i="16"/>
  <c r="AF1778" i="16"/>
  <c r="Z1779" i="16"/>
  <c r="AF1779" i="16"/>
  <c r="Z1780" i="16"/>
  <c r="AF1780" i="16"/>
  <c r="Z1781" i="16"/>
  <c r="AF1781" i="16"/>
  <c r="Z1782" i="16"/>
  <c r="AF1782" i="16"/>
  <c r="Z1783" i="16"/>
  <c r="AF1783" i="16"/>
  <c r="Z1784" i="16"/>
  <c r="AF1784" i="16"/>
  <c r="Z1785" i="16"/>
  <c r="AF1785" i="16"/>
  <c r="Z1786" i="16"/>
  <c r="AF1786" i="16"/>
  <c r="Z1787" i="16"/>
  <c r="AF1787" i="16"/>
  <c r="Z1788" i="16"/>
  <c r="AF1788" i="16"/>
  <c r="Z1789" i="16"/>
  <c r="AF1789" i="16"/>
  <c r="Z1790" i="16"/>
  <c r="AF1790" i="16"/>
  <c r="Z1791" i="16"/>
  <c r="AF1791" i="16"/>
  <c r="Z1792" i="16"/>
  <c r="AF1792" i="16"/>
  <c r="Z1793" i="16"/>
  <c r="AF1793" i="16"/>
  <c r="Z1794" i="16"/>
  <c r="AF1794" i="16"/>
  <c r="Z1795" i="16"/>
  <c r="AF1795" i="16"/>
  <c r="Z1796" i="16"/>
  <c r="AF1796" i="16"/>
  <c r="Z1797" i="16"/>
  <c r="AF1797" i="16"/>
  <c r="Z1798" i="16"/>
  <c r="AF1798" i="16"/>
  <c r="Z1799" i="16"/>
  <c r="AF1799" i="16"/>
  <c r="Z1800" i="16"/>
  <c r="AF1800" i="16"/>
  <c r="Z1801" i="16"/>
  <c r="AF1801" i="16"/>
  <c r="Z1802" i="16"/>
  <c r="AF1802" i="16"/>
  <c r="Z1803" i="16"/>
  <c r="AF1803" i="16"/>
  <c r="Z1804" i="16"/>
  <c r="AF1804" i="16"/>
  <c r="Z1805" i="16"/>
  <c r="AF1805" i="16"/>
  <c r="Z1806" i="16"/>
  <c r="AF1806" i="16"/>
  <c r="Z1807" i="16"/>
  <c r="AF1807" i="16"/>
  <c r="Z1808" i="16"/>
  <c r="AF1808" i="16"/>
  <c r="Z1809" i="16"/>
  <c r="AF1809" i="16"/>
  <c r="Z1810" i="16"/>
  <c r="AF1810" i="16"/>
  <c r="Z1811" i="16"/>
  <c r="AF1811" i="16"/>
  <c r="Z1812" i="16"/>
  <c r="AF1812" i="16"/>
  <c r="Z1813" i="16"/>
  <c r="AF1813" i="16"/>
  <c r="Z1814" i="16"/>
  <c r="AF1814" i="16"/>
  <c r="Z1815" i="16"/>
  <c r="AF1815" i="16"/>
  <c r="Z1816" i="16"/>
  <c r="AF1816" i="16"/>
  <c r="Z1817" i="16"/>
  <c r="AF1817" i="16"/>
  <c r="Z1818" i="16"/>
  <c r="AF1818" i="16"/>
  <c r="Z1819" i="16"/>
  <c r="AF1819" i="16"/>
  <c r="Z1820" i="16"/>
  <c r="AF1820" i="16"/>
  <c r="Z1821" i="16"/>
  <c r="AF1821" i="16"/>
  <c r="Z1822" i="16"/>
  <c r="AF1822" i="16"/>
  <c r="Z1823" i="16"/>
  <c r="AF1823" i="16"/>
  <c r="Z1824" i="16"/>
  <c r="AF1824" i="16"/>
  <c r="Z1825" i="16"/>
  <c r="AF1825" i="16"/>
  <c r="Z1826" i="16"/>
  <c r="AF1826" i="16"/>
  <c r="Z1827" i="16"/>
  <c r="AF1827" i="16"/>
  <c r="Z1828" i="16"/>
  <c r="AF1828" i="16"/>
  <c r="Z1829" i="16"/>
  <c r="AF1829" i="16"/>
  <c r="Z1830" i="16"/>
  <c r="AF1830" i="16"/>
  <c r="Z1831" i="16"/>
  <c r="AF1831" i="16"/>
  <c r="Z1832" i="16"/>
  <c r="AF1832" i="16"/>
  <c r="Z1833" i="16"/>
  <c r="AF1833" i="16"/>
  <c r="Z1834" i="16"/>
  <c r="AF1834" i="16"/>
  <c r="Z1835" i="16"/>
  <c r="AF1835" i="16"/>
  <c r="Z1836" i="16"/>
  <c r="AF1836" i="16"/>
  <c r="Z1837" i="16"/>
  <c r="AF1837" i="16"/>
  <c r="Z1838" i="16"/>
  <c r="AF1838" i="16"/>
  <c r="Z1839" i="16"/>
  <c r="AF1839" i="16"/>
  <c r="Z1840" i="16"/>
  <c r="AF1840" i="16"/>
  <c r="Z1841" i="16"/>
  <c r="AF1841" i="16"/>
  <c r="Z1842" i="16"/>
  <c r="AF1842" i="16"/>
  <c r="Z1843" i="16"/>
  <c r="AF1843" i="16"/>
  <c r="Z1844" i="16"/>
  <c r="AF1844" i="16"/>
  <c r="Z1845" i="16"/>
  <c r="AF1845" i="16"/>
  <c r="Z1846" i="16"/>
  <c r="AF1846" i="16"/>
  <c r="Z1847" i="16"/>
  <c r="AF1847" i="16"/>
  <c r="Z1848" i="16"/>
  <c r="AF1848" i="16"/>
  <c r="Z1849" i="16"/>
  <c r="AF1849" i="16"/>
  <c r="Z1850" i="16"/>
  <c r="AF1850" i="16"/>
  <c r="Z1851" i="16"/>
  <c r="AF1851" i="16"/>
  <c r="Z1852" i="16"/>
  <c r="AF1852" i="16"/>
  <c r="Z1853" i="16"/>
  <c r="AF1853" i="16"/>
  <c r="Z1854" i="16"/>
  <c r="AF1854" i="16"/>
  <c r="Z1855" i="16"/>
  <c r="AF1855" i="16"/>
  <c r="Z1856" i="16"/>
  <c r="AF1856" i="16"/>
  <c r="Z1857" i="16"/>
  <c r="AF1857" i="16"/>
  <c r="Z1858" i="16"/>
  <c r="AF1858" i="16"/>
  <c r="Z1859" i="16"/>
  <c r="AF1859" i="16"/>
  <c r="Z1860" i="16"/>
  <c r="AF1860" i="16"/>
  <c r="Z1861" i="16"/>
  <c r="AF1861" i="16"/>
  <c r="Z1862" i="16"/>
  <c r="AF1862" i="16"/>
  <c r="Z1863" i="16"/>
  <c r="AF1863" i="16"/>
  <c r="Z1864" i="16"/>
  <c r="AF1864" i="16"/>
  <c r="Z1865" i="16"/>
  <c r="AF1865" i="16"/>
  <c r="Z1866" i="16"/>
  <c r="AF1866" i="16"/>
  <c r="Z1867" i="16"/>
  <c r="AF1867" i="16"/>
  <c r="Z1868" i="16"/>
  <c r="AF1868" i="16"/>
  <c r="Z1869" i="16"/>
  <c r="AF1869" i="16"/>
  <c r="Z1870" i="16"/>
  <c r="AF1870" i="16"/>
  <c r="Z1871" i="16"/>
  <c r="AF1871" i="16"/>
  <c r="Z1872" i="16"/>
  <c r="AF1872" i="16"/>
  <c r="Z1873" i="16"/>
  <c r="AF1873" i="16"/>
  <c r="Z1874" i="16"/>
  <c r="AF1874" i="16"/>
  <c r="Z1875" i="16"/>
  <c r="AF1875" i="16"/>
  <c r="Z1876" i="16"/>
  <c r="AF1876" i="16"/>
  <c r="Z1877" i="16"/>
  <c r="AF1877" i="16"/>
  <c r="Z1878" i="16"/>
  <c r="AF1878" i="16"/>
  <c r="Z1879" i="16"/>
  <c r="AF1879" i="16"/>
  <c r="Z1880" i="16"/>
  <c r="AF1880" i="16"/>
  <c r="Z1881" i="16"/>
  <c r="AF1881" i="16"/>
  <c r="Z1882" i="16"/>
  <c r="AF1882" i="16"/>
  <c r="Z1883" i="16"/>
  <c r="AF1883" i="16"/>
  <c r="Z1884" i="16"/>
  <c r="AF1884" i="16"/>
  <c r="Z1885" i="16"/>
  <c r="AF1885" i="16"/>
  <c r="Z1886" i="16"/>
  <c r="AF1886" i="16"/>
  <c r="Z1887" i="16"/>
  <c r="AF1887" i="16"/>
  <c r="Z1888" i="16"/>
  <c r="AF1888" i="16"/>
  <c r="Z1889" i="16"/>
  <c r="AF1889" i="16"/>
  <c r="Z1890" i="16"/>
  <c r="AF1890" i="16"/>
  <c r="Z1891" i="16"/>
  <c r="AF1891" i="16"/>
  <c r="Z1892" i="16"/>
  <c r="AF1892" i="16"/>
  <c r="Z1893" i="16"/>
  <c r="AF1893" i="16"/>
  <c r="Z1894" i="16"/>
  <c r="AF1894" i="16"/>
  <c r="Z1895" i="16"/>
  <c r="AF1895" i="16"/>
  <c r="Z1896" i="16"/>
  <c r="AF1896" i="16"/>
  <c r="Z1897" i="16"/>
  <c r="AF1897" i="16"/>
  <c r="Z1898" i="16"/>
  <c r="AF1898" i="16"/>
  <c r="Z1899" i="16"/>
  <c r="AF1899" i="16"/>
  <c r="Z1900" i="16"/>
  <c r="AF1900" i="16"/>
  <c r="Z1901" i="16"/>
  <c r="AF1901" i="16"/>
  <c r="Z1902" i="16"/>
  <c r="AF1902" i="16"/>
  <c r="Z1903" i="16"/>
  <c r="AF1903" i="16"/>
  <c r="Z1904" i="16"/>
  <c r="AF1904" i="16"/>
  <c r="Z1905" i="16"/>
  <c r="AF1905" i="16"/>
  <c r="Z1906" i="16"/>
  <c r="AF1906" i="16"/>
  <c r="Z1907" i="16"/>
  <c r="AF1907" i="16"/>
  <c r="Z1908" i="16"/>
  <c r="AF1908" i="16"/>
  <c r="Z1909" i="16"/>
  <c r="AF1909" i="16"/>
  <c r="Z1910" i="16"/>
  <c r="AF1910" i="16"/>
  <c r="Z1911" i="16"/>
  <c r="AF1911" i="16"/>
  <c r="Z1912" i="16"/>
  <c r="AF1912" i="16"/>
  <c r="Z1913" i="16"/>
  <c r="AF1913" i="16"/>
  <c r="Z1914" i="16"/>
  <c r="AF1914" i="16"/>
  <c r="Z1915" i="16"/>
  <c r="AF1915" i="16"/>
  <c r="Z1916" i="16"/>
  <c r="AF1916" i="16"/>
  <c r="Z1917" i="16"/>
  <c r="AF1917" i="16"/>
  <c r="Z1918" i="16"/>
  <c r="AF1918" i="16"/>
  <c r="Z1919" i="16"/>
  <c r="AF1919" i="16"/>
  <c r="Z1920" i="16"/>
  <c r="AF1920" i="16"/>
  <c r="Z1921" i="16"/>
  <c r="AF1921" i="16"/>
  <c r="Z1922" i="16"/>
  <c r="AF1922" i="16"/>
  <c r="Z1923" i="16"/>
  <c r="AF1923" i="16"/>
  <c r="Z1924" i="16"/>
  <c r="AF1924" i="16"/>
  <c r="Z1925" i="16"/>
  <c r="AF1925" i="16"/>
  <c r="Z1926" i="16"/>
  <c r="AF1926" i="16"/>
  <c r="Z1927" i="16"/>
  <c r="AF1927" i="16"/>
  <c r="Z1928" i="16"/>
  <c r="AF1928" i="16"/>
  <c r="Z1929" i="16"/>
  <c r="AF1929" i="16"/>
  <c r="Z1930" i="16"/>
  <c r="AF1930" i="16"/>
  <c r="Z1931" i="16"/>
  <c r="AF1931" i="16"/>
  <c r="Z1932" i="16"/>
  <c r="AF1932" i="16"/>
  <c r="Z1933" i="16"/>
  <c r="AF1933" i="16"/>
  <c r="Z1934" i="16"/>
  <c r="AF1934" i="16"/>
  <c r="Z1935" i="16"/>
  <c r="AF1935" i="16"/>
  <c r="Z1936" i="16"/>
  <c r="AF1936" i="16"/>
  <c r="Z1937" i="16"/>
  <c r="AF1937" i="16"/>
  <c r="Z1938" i="16"/>
  <c r="AF1938" i="16"/>
  <c r="Z1939" i="16"/>
  <c r="AF1939" i="16"/>
  <c r="Z1940" i="16"/>
  <c r="AF1940" i="16"/>
  <c r="Z1941" i="16"/>
  <c r="AF1941" i="16"/>
  <c r="Z1942" i="16"/>
  <c r="AF1942" i="16"/>
  <c r="Z1943" i="16"/>
  <c r="AF1943" i="16"/>
  <c r="Z1944" i="16"/>
  <c r="AF1944" i="16"/>
  <c r="Z1945" i="16"/>
  <c r="AF1945" i="16"/>
  <c r="Z1946" i="16"/>
  <c r="AF1946" i="16"/>
  <c r="Z1947" i="16"/>
  <c r="AF1947" i="16"/>
  <c r="Z1948" i="16"/>
  <c r="AF1948" i="16"/>
  <c r="Z1949" i="16"/>
  <c r="AF1949" i="16"/>
  <c r="Z1950" i="16"/>
  <c r="AF1950" i="16"/>
  <c r="Z1951" i="16"/>
  <c r="AF1951" i="16"/>
  <c r="Z1952" i="16"/>
  <c r="AF1952" i="16"/>
  <c r="Z1953" i="16"/>
  <c r="AF1953" i="16"/>
  <c r="Z1954" i="16"/>
  <c r="AF1954" i="16"/>
  <c r="Z1955" i="16"/>
  <c r="AF1955" i="16"/>
  <c r="Z1956" i="16"/>
  <c r="AF1956" i="16"/>
  <c r="Z1957" i="16"/>
  <c r="AF1957" i="16"/>
  <c r="Z1958" i="16"/>
  <c r="AF1958" i="16"/>
  <c r="Z1959" i="16"/>
  <c r="AF1959" i="16"/>
  <c r="Z1960" i="16"/>
  <c r="AF1960" i="16"/>
  <c r="Z1961" i="16"/>
  <c r="AF1961" i="16"/>
  <c r="Z1962" i="16"/>
  <c r="AF1962" i="16"/>
  <c r="Z1963" i="16"/>
  <c r="AF1963" i="16"/>
  <c r="Z1964" i="16"/>
  <c r="AF1964" i="16"/>
  <c r="Z1965" i="16"/>
  <c r="AF1965" i="16"/>
  <c r="Z1966" i="16"/>
  <c r="AF1966" i="16"/>
  <c r="Z1967" i="16"/>
  <c r="AF1967" i="16"/>
  <c r="Z1968" i="16"/>
  <c r="AF1968" i="16"/>
  <c r="Z1969" i="16"/>
  <c r="AF1969" i="16"/>
  <c r="Z1970" i="16"/>
  <c r="AF1970" i="16"/>
  <c r="Z1971" i="16"/>
  <c r="AF1971" i="16"/>
  <c r="Z1972" i="16"/>
  <c r="AF1972" i="16"/>
  <c r="Z1973" i="16"/>
  <c r="AF1973" i="16"/>
  <c r="Z1974" i="16"/>
  <c r="AF1974" i="16"/>
  <c r="Z1975" i="16"/>
  <c r="AF1975" i="16"/>
  <c r="Z1976" i="16"/>
  <c r="AF1976" i="16"/>
  <c r="Z1977" i="16"/>
  <c r="AF1977" i="16"/>
  <c r="Z1978" i="16"/>
  <c r="AF1978" i="16"/>
  <c r="Z1979" i="16"/>
  <c r="AF1979" i="16"/>
  <c r="Z1980" i="16"/>
  <c r="AF1980" i="16"/>
  <c r="Z1981" i="16"/>
  <c r="AF1981" i="16"/>
  <c r="Z1982" i="16"/>
  <c r="AF1982" i="16"/>
  <c r="Z1983" i="16"/>
  <c r="AF1983" i="16"/>
  <c r="Z1984" i="16"/>
  <c r="AF1984" i="16"/>
  <c r="Z1985" i="16"/>
  <c r="AF1985" i="16"/>
  <c r="Z1986" i="16"/>
  <c r="AF1986" i="16"/>
  <c r="Z1987" i="16"/>
  <c r="AF1987" i="16"/>
  <c r="Z1988" i="16"/>
  <c r="AF1988" i="16"/>
  <c r="Z1989" i="16"/>
  <c r="AF1989" i="16"/>
  <c r="Z1990" i="16"/>
  <c r="AF1990" i="16"/>
  <c r="Z1991" i="16"/>
  <c r="AF1991" i="16"/>
  <c r="Z1992" i="16"/>
  <c r="AF1992" i="16"/>
  <c r="Z1993" i="16"/>
  <c r="AF1993" i="16"/>
  <c r="Z1994" i="16"/>
  <c r="AF1994" i="16"/>
  <c r="Z1995" i="16"/>
  <c r="AF1995" i="16"/>
  <c r="Z1996" i="16"/>
  <c r="AF1996" i="16"/>
  <c r="Z1997" i="16"/>
  <c r="AF1997" i="16"/>
  <c r="Z1998" i="16"/>
  <c r="AF1998" i="16"/>
  <c r="Z1999" i="16"/>
  <c r="AF1999" i="16"/>
  <c r="Z2000" i="16"/>
  <c r="AF2000" i="16"/>
  <c r="Z2001" i="16"/>
  <c r="AF2001" i="16"/>
  <c r="Z2002" i="16"/>
  <c r="AF2002" i="16"/>
  <c r="Z2003" i="16"/>
  <c r="AF2003" i="16"/>
  <c r="Z2004" i="16"/>
  <c r="AF2004" i="16"/>
  <c r="Z2005" i="16"/>
  <c r="AF2005" i="16"/>
  <c r="Z2006" i="16"/>
  <c r="AF2006" i="16"/>
  <c r="Z2007" i="16"/>
  <c r="AF2007" i="16"/>
  <c r="Z2008" i="16"/>
  <c r="AF2008" i="16"/>
  <c r="Z2009" i="16"/>
  <c r="AF2009" i="16"/>
  <c r="Z2010" i="16"/>
  <c r="AF2010" i="16"/>
  <c r="Z2011" i="16"/>
  <c r="AF2011" i="16"/>
  <c r="Z2012" i="16"/>
  <c r="AF2012" i="16"/>
  <c r="Z2013" i="16"/>
  <c r="AF2013" i="16"/>
  <c r="Z2014" i="16"/>
  <c r="AF2014" i="16"/>
  <c r="Z2015" i="16"/>
  <c r="AF2015" i="16"/>
  <c r="Z2016" i="16"/>
  <c r="AF2016" i="16"/>
  <c r="Z2017" i="16"/>
  <c r="AF2017" i="16"/>
  <c r="Z2018" i="16"/>
  <c r="AF2018" i="16"/>
  <c r="Z2019" i="16"/>
  <c r="AF2019" i="16"/>
  <c r="Z2020" i="16"/>
  <c r="AF2020" i="16"/>
  <c r="Z2021" i="16"/>
  <c r="AF2021" i="16"/>
  <c r="Z2022" i="16"/>
  <c r="AF2022" i="16"/>
  <c r="Z2023" i="16"/>
  <c r="AF2023" i="16"/>
  <c r="Z2024" i="16"/>
  <c r="AF2024" i="16"/>
  <c r="Z2025" i="16"/>
  <c r="AF2025" i="16"/>
  <c r="Z2026" i="16"/>
  <c r="AF2026" i="16"/>
  <c r="Z2027" i="16"/>
  <c r="AF2027" i="16"/>
  <c r="Z2028" i="16"/>
  <c r="AF2028" i="16"/>
  <c r="Z2029" i="16"/>
  <c r="AF2029" i="16"/>
  <c r="Z2030" i="16"/>
  <c r="AF2030" i="16"/>
  <c r="Z2031" i="16"/>
  <c r="AF2031" i="16"/>
  <c r="Z2032" i="16"/>
  <c r="AF2032" i="16"/>
  <c r="Z2033" i="16"/>
  <c r="AF2033" i="16"/>
  <c r="Z2034" i="16"/>
  <c r="AF2034" i="16"/>
  <c r="Z2035" i="16"/>
  <c r="AF2035" i="16"/>
  <c r="Z2036" i="16"/>
  <c r="AF2036" i="16"/>
  <c r="Z2037" i="16"/>
  <c r="AF2037" i="16"/>
  <c r="Z2038" i="16"/>
  <c r="AF2038" i="16"/>
  <c r="Z2039" i="16"/>
  <c r="AF2039" i="16"/>
  <c r="Z2040" i="16"/>
  <c r="AF2040" i="16"/>
  <c r="Z2041" i="16"/>
  <c r="AF2041" i="16"/>
  <c r="Z2042" i="16"/>
  <c r="AF2042" i="16"/>
  <c r="Z2043" i="16"/>
  <c r="AF2043" i="16"/>
  <c r="Z2044" i="16"/>
  <c r="AF2044" i="16"/>
  <c r="Z2045" i="16"/>
  <c r="AF2045" i="16"/>
  <c r="Z2046" i="16"/>
  <c r="AF2046" i="16"/>
  <c r="Z2047" i="16"/>
  <c r="AF2047" i="16"/>
  <c r="Z2048" i="16"/>
  <c r="AF2048" i="16"/>
  <c r="Z2049" i="16"/>
  <c r="AF2049" i="16"/>
  <c r="Z2050" i="16"/>
  <c r="AF2050" i="16"/>
  <c r="Z2051" i="16"/>
  <c r="AF2051" i="16"/>
  <c r="Z2052" i="16"/>
  <c r="AF2052" i="16"/>
  <c r="Z2053" i="16"/>
  <c r="AF2053" i="16"/>
  <c r="Z2054" i="16"/>
  <c r="AF2054" i="16"/>
  <c r="Z2055" i="16"/>
  <c r="AF2055" i="16"/>
  <c r="Z2056" i="16"/>
  <c r="AF2056" i="16"/>
  <c r="Z2057" i="16"/>
  <c r="AF2057" i="16"/>
  <c r="Z2058" i="16"/>
  <c r="AF2058" i="16"/>
  <c r="Z2059" i="16"/>
  <c r="AF2059" i="16"/>
  <c r="Z2060" i="16"/>
  <c r="AF2060" i="16"/>
  <c r="Z2061" i="16"/>
  <c r="AF2061" i="16"/>
  <c r="Z2062" i="16"/>
  <c r="AF2062" i="16"/>
  <c r="Z2063" i="16"/>
  <c r="AF2063" i="16"/>
  <c r="Z2064" i="16"/>
  <c r="AF2064" i="16"/>
  <c r="Z2065" i="16"/>
  <c r="AF2065" i="16"/>
  <c r="Z2066" i="16"/>
  <c r="AF2066" i="16"/>
  <c r="Z2067" i="16"/>
  <c r="AF2067" i="16"/>
  <c r="Z2068" i="16"/>
  <c r="AF2068" i="16"/>
  <c r="Z2069" i="16"/>
  <c r="AF2069" i="16"/>
  <c r="Z2070" i="16"/>
  <c r="AF2070" i="16"/>
  <c r="Z2071" i="16"/>
  <c r="AF2071" i="16"/>
  <c r="Z2072" i="16"/>
  <c r="AF2072" i="16"/>
  <c r="Z2073" i="16"/>
  <c r="AF2073" i="16"/>
  <c r="Z2074" i="16"/>
  <c r="AF2074" i="16"/>
  <c r="Z2075" i="16"/>
  <c r="AF2075" i="16"/>
  <c r="Z2076" i="16"/>
  <c r="AF2076" i="16"/>
  <c r="Z2077" i="16"/>
  <c r="AF2077" i="16"/>
  <c r="Z2078" i="16"/>
  <c r="AF2078" i="16"/>
  <c r="Z2079" i="16"/>
  <c r="AF2079" i="16"/>
  <c r="Z2080" i="16"/>
  <c r="AF2080" i="16"/>
  <c r="Z2081" i="16"/>
  <c r="AF2081" i="16"/>
  <c r="Z2082" i="16"/>
  <c r="AF2082" i="16"/>
  <c r="Z2083" i="16"/>
  <c r="AF2083" i="16"/>
  <c r="Z2084" i="16"/>
  <c r="AF2084" i="16"/>
  <c r="Z2085" i="16"/>
  <c r="AF2085" i="16"/>
  <c r="Z2086" i="16"/>
  <c r="AF2086" i="16"/>
  <c r="Z2087" i="16"/>
  <c r="AF2087" i="16"/>
  <c r="Z2088" i="16"/>
  <c r="AF2088" i="16"/>
  <c r="Z2089" i="16"/>
  <c r="AF2089" i="16"/>
  <c r="Z2090" i="16"/>
  <c r="AF2090" i="16"/>
  <c r="Z2091" i="16"/>
  <c r="AF2091" i="16"/>
  <c r="Z2092" i="16"/>
  <c r="AF2092" i="16"/>
  <c r="Z2093" i="16"/>
  <c r="AF2093" i="16"/>
  <c r="Z2094" i="16"/>
  <c r="AF2094" i="16"/>
  <c r="Z2095" i="16"/>
  <c r="AF2095" i="16"/>
  <c r="Z2096" i="16"/>
  <c r="AF2096" i="16"/>
  <c r="Z2097" i="16"/>
  <c r="AF2097" i="16"/>
  <c r="Z2098" i="16"/>
  <c r="AF2098" i="16"/>
  <c r="Z2099" i="16"/>
  <c r="AF2099" i="16"/>
  <c r="Z2100" i="16"/>
  <c r="AF2100" i="16"/>
  <c r="Z2101" i="16"/>
  <c r="AF2101" i="16"/>
  <c r="Z2102" i="16"/>
  <c r="AF2102" i="16"/>
  <c r="D7" i="25"/>
  <c r="R7" i="25"/>
  <c r="S7" i="25"/>
  <c r="V7" i="25"/>
  <c r="W7" i="25"/>
  <c r="X7" i="25"/>
  <c r="D9" i="25"/>
  <c r="R9" i="25"/>
  <c r="S9" i="25"/>
  <c r="V9" i="25"/>
  <c r="W9" i="25"/>
  <c r="X9" i="25"/>
  <c r="D11" i="25"/>
  <c r="R11" i="25"/>
  <c r="S11" i="25"/>
  <c r="V11" i="25"/>
  <c r="W11" i="25"/>
  <c r="X11" i="25"/>
  <c r="D13" i="25"/>
  <c r="R13" i="25"/>
  <c r="S13" i="25"/>
  <c r="V13" i="25"/>
  <c r="W13" i="25"/>
  <c r="X13" i="25"/>
  <c r="D14" i="25"/>
  <c r="R14" i="25"/>
  <c r="S14" i="25"/>
  <c r="V14" i="25"/>
  <c r="W14" i="25"/>
  <c r="X14" i="25"/>
  <c r="D15" i="25"/>
  <c r="R15" i="25"/>
  <c r="S15" i="25"/>
  <c r="V15" i="25"/>
  <c r="W15" i="25"/>
  <c r="X15" i="25"/>
  <c r="Z2" i="17"/>
  <c r="AE2" i="17"/>
  <c r="AJ2" i="17"/>
  <c r="Z3" i="17"/>
  <c r="AE3" i="17"/>
  <c r="Z4" i="17"/>
  <c r="AE4" i="17"/>
  <c r="AJ4" i="17"/>
  <c r="Z5" i="17"/>
  <c r="AE5" i="17"/>
  <c r="AJ5" i="17"/>
  <c r="Z6" i="17"/>
  <c r="AE6" i="17"/>
  <c r="AJ6" i="17"/>
  <c r="Z7" i="17"/>
  <c r="AE7" i="17"/>
  <c r="AJ7" i="17"/>
  <c r="Z8" i="17"/>
  <c r="AE8" i="17"/>
  <c r="AJ8" i="17"/>
  <c r="Z9" i="17"/>
  <c r="AE9" i="17"/>
  <c r="Z10" i="17"/>
  <c r="AE10" i="17"/>
  <c r="Z11" i="17"/>
  <c r="AE11" i="17"/>
  <c r="Y12" i="17"/>
  <c r="AD12" i="17"/>
  <c r="Y13" i="17"/>
  <c r="AD13" i="17"/>
  <c r="Y14" i="17"/>
  <c r="AD14" i="17"/>
  <c r="Y15" i="17"/>
  <c r="AD15" i="17"/>
  <c r="Y16" i="17"/>
  <c r="AD16" i="17"/>
  <c r="Y17" i="17"/>
  <c r="AD17" i="17"/>
  <c r="Z18" i="17"/>
  <c r="AE18" i="17"/>
  <c r="Z19" i="17"/>
  <c r="AE19" i="17"/>
  <c r="Z20" i="17"/>
  <c r="AE20" i="17"/>
  <c r="Z21" i="17"/>
  <c r="AE21" i="17"/>
  <c r="Z22" i="17"/>
  <c r="AE22" i="17"/>
  <c r="Z23" i="17"/>
  <c r="AE23" i="17"/>
  <c r="Z24" i="17"/>
  <c r="AE24" i="17"/>
  <c r="Z25" i="17"/>
  <c r="AE25" i="17"/>
  <c r="Z26" i="17"/>
  <c r="AE26" i="17"/>
  <c r="Z27" i="17"/>
  <c r="AE27" i="17"/>
  <c r="Z28" i="17"/>
  <c r="AE28" i="17"/>
  <c r="Z29" i="17"/>
  <c r="AE29" i="17"/>
  <c r="Z30" i="17"/>
  <c r="AE30" i="17"/>
  <c r="Z31" i="17"/>
  <c r="AE31" i="17"/>
  <c r="Z32" i="17"/>
  <c r="AE32" i="17"/>
  <c r="Y33" i="17"/>
  <c r="AD33" i="17"/>
  <c r="Y34" i="17"/>
  <c r="AD34" i="17"/>
  <c r="Y35" i="17"/>
  <c r="AD35" i="17"/>
  <c r="Y36" i="17"/>
  <c r="AD36" i="17"/>
  <c r="Y37" i="17"/>
  <c r="AD37" i="17"/>
  <c r="Y38" i="17"/>
  <c r="AD38" i="17"/>
  <c r="Y39" i="17"/>
  <c r="AD39" i="17"/>
  <c r="Y40" i="17"/>
  <c r="AD40" i="17"/>
  <c r="Y41" i="17"/>
  <c r="AD41" i="17"/>
  <c r="Z42" i="17"/>
  <c r="AE42" i="17"/>
  <c r="Z43" i="17"/>
  <c r="AE43" i="17"/>
  <c r="Z44" i="17"/>
  <c r="AE44" i="17"/>
  <c r="Z45" i="17"/>
  <c r="AE45" i="17"/>
  <c r="Z46" i="17"/>
  <c r="AE46" i="17"/>
  <c r="Z47" i="17"/>
  <c r="AE47" i="17"/>
  <c r="Z48" i="17"/>
  <c r="AE48" i="17"/>
  <c r="Z49" i="17"/>
  <c r="AE49" i="17"/>
  <c r="Z50" i="17"/>
  <c r="AE50" i="17"/>
  <c r="Y51" i="17"/>
  <c r="AD51" i="17"/>
  <c r="Y52" i="17"/>
  <c r="AD52" i="17"/>
  <c r="Y53" i="17"/>
  <c r="AD53" i="17"/>
  <c r="Y54" i="17"/>
  <c r="AD54" i="17"/>
  <c r="Y55" i="17"/>
  <c r="AD55" i="17"/>
  <c r="Y56" i="17"/>
  <c r="AD56" i="17"/>
  <c r="Y57" i="17"/>
  <c r="AD57" i="17"/>
  <c r="Y58" i="17"/>
  <c r="AD58" i="17"/>
  <c r="Y59" i="17"/>
  <c r="AD59" i="17"/>
  <c r="Y60" i="17"/>
  <c r="AD60" i="17"/>
  <c r="Y61" i="17"/>
  <c r="AD61" i="17"/>
  <c r="Y62" i="17"/>
  <c r="AD62" i="17"/>
  <c r="Y63" i="17"/>
  <c r="Z63" i="17"/>
  <c r="AD63" i="17"/>
  <c r="AE63" i="17"/>
  <c r="Y64" i="17"/>
  <c r="Z64" i="17"/>
  <c r="AD64" i="17"/>
  <c r="AE64" i="17"/>
  <c r="Y65" i="17"/>
  <c r="Z65" i="17"/>
  <c r="AD65" i="17"/>
  <c r="AE65" i="17"/>
  <c r="Y66" i="17"/>
  <c r="Z66" i="17"/>
  <c r="AD66" i="17"/>
  <c r="AE66" i="17"/>
  <c r="Y67" i="17"/>
  <c r="Z67" i="17"/>
  <c r="AD67" i="17"/>
  <c r="AE67" i="17"/>
  <c r="Y68" i="17"/>
  <c r="Z68" i="17"/>
  <c r="AD68" i="17"/>
  <c r="AE68" i="17"/>
  <c r="Y69" i="17"/>
  <c r="Z69" i="17"/>
  <c r="AD69" i="17"/>
  <c r="AE69" i="17"/>
  <c r="Y70" i="17"/>
  <c r="Z70" i="17"/>
  <c r="AD70" i="17"/>
  <c r="AE70" i="17"/>
  <c r="Y71" i="17"/>
  <c r="Z71" i="17"/>
  <c r="AD71" i="17"/>
  <c r="AE71" i="17"/>
  <c r="Y72" i="17"/>
  <c r="Z72" i="17"/>
  <c r="AD72" i="17"/>
  <c r="AE72" i="17"/>
  <c r="Y73" i="17"/>
  <c r="Z73" i="17"/>
  <c r="AD73" i="17"/>
  <c r="AE73" i="17"/>
  <c r="Y74" i="17"/>
  <c r="Z74" i="17"/>
  <c r="AD74" i="17"/>
  <c r="AE74" i="17"/>
  <c r="Z75" i="17"/>
  <c r="AE75" i="17"/>
  <c r="Z76" i="17"/>
  <c r="AE76" i="17"/>
  <c r="Z77" i="17"/>
  <c r="AE77" i="17"/>
  <c r="Z78" i="17"/>
  <c r="AE78" i="17"/>
  <c r="Z79" i="17"/>
  <c r="AE79" i="17"/>
  <c r="Z80" i="17"/>
  <c r="AE80" i="17"/>
  <c r="Z81" i="17"/>
  <c r="AE81" i="17"/>
  <c r="Z82" i="17"/>
  <c r="AE82" i="17"/>
  <c r="Z83" i="17"/>
  <c r="AE83" i="17"/>
  <c r="Z84" i="17"/>
  <c r="AE84" i="17"/>
  <c r="Z85" i="17"/>
  <c r="AE85" i="17"/>
  <c r="Z86" i="17"/>
  <c r="AE86" i="17"/>
  <c r="Y87" i="17"/>
  <c r="Z87" i="17"/>
  <c r="AD87" i="17"/>
  <c r="AE87" i="17"/>
  <c r="Y88" i="17"/>
  <c r="Z88" i="17"/>
  <c r="AD88" i="17"/>
  <c r="AE88" i="17"/>
  <c r="Y89" i="17"/>
  <c r="Z89" i="17"/>
  <c r="AD89" i="17"/>
  <c r="AE89" i="17"/>
  <c r="Y90" i="17"/>
  <c r="Z90" i="17"/>
  <c r="AD90" i="17"/>
  <c r="AE90" i="17"/>
  <c r="Y91" i="17"/>
  <c r="Z91" i="17"/>
  <c r="AD91" i="17"/>
  <c r="AE91" i="17"/>
  <c r="Y92" i="17"/>
  <c r="Z92" i="17"/>
  <c r="AD92" i="17"/>
  <c r="AE92" i="17"/>
  <c r="Y93" i="17"/>
  <c r="Z93" i="17"/>
  <c r="AD93" i="17"/>
  <c r="AE93" i="17"/>
  <c r="Y94" i="17"/>
  <c r="Z94" i="17"/>
  <c r="AD94" i="17"/>
  <c r="AE94" i="17"/>
  <c r="Y95" i="17"/>
  <c r="Z95" i="17"/>
  <c r="AD95" i="17"/>
  <c r="AE95" i="17"/>
  <c r="Y96" i="17"/>
  <c r="Z96" i="17"/>
  <c r="AD96" i="17"/>
  <c r="AE96" i="17"/>
  <c r="Y97" i="17"/>
  <c r="Z97" i="17"/>
  <c r="AD97" i="17"/>
  <c r="AE97" i="17"/>
  <c r="Y98" i="17"/>
  <c r="Z98" i="17"/>
  <c r="AD98" i="17"/>
  <c r="AE98" i="17"/>
  <c r="Y99" i="17"/>
  <c r="Z99" i="17"/>
  <c r="AD99" i="17"/>
  <c r="AE99" i="17"/>
  <c r="Y100" i="17"/>
  <c r="Z100" i="17"/>
  <c r="AD100" i="17"/>
  <c r="AE100" i="17"/>
  <c r="Y101" i="17"/>
  <c r="Z101" i="17"/>
  <c r="AD101" i="17"/>
  <c r="AE101" i="17"/>
  <c r="Y102" i="17"/>
  <c r="Z102" i="17"/>
  <c r="AD102" i="17"/>
  <c r="AE102" i="17"/>
  <c r="Y103" i="17"/>
  <c r="Z103" i="17"/>
  <c r="AD103" i="17"/>
  <c r="AE103" i="17"/>
  <c r="Y104" i="17"/>
  <c r="Z104" i="17"/>
  <c r="AD104" i="17"/>
  <c r="AE104" i="17"/>
  <c r="Y105" i="17"/>
  <c r="Z105" i="17"/>
  <c r="AD105" i="17"/>
  <c r="AE105" i="17"/>
  <c r="Y106" i="17"/>
  <c r="Z106" i="17"/>
  <c r="AD106" i="17"/>
  <c r="AE106" i="17"/>
  <c r="Y107" i="17"/>
  <c r="Z107" i="17"/>
  <c r="AD107" i="17"/>
  <c r="AE107" i="17"/>
  <c r="Y108" i="17"/>
  <c r="Z108" i="17"/>
  <c r="AD108" i="17"/>
  <c r="AE108" i="17"/>
  <c r="Y109" i="17"/>
  <c r="Z109" i="17"/>
  <c r="AD109" i="17"/>
  <c r="AE109" i="17"/>
  <c r="Y110" i="17"/>
  <c r="Z110" i="17"/>
  <c r="AD110" i="17"/>
  <c r="AE110" i="17"/>
  <c r="Y111" i="17"/>
  <c r="Z111" i="17"/>
  <c r="AD111" i="17"/>
  <c r="AE111" i="17"/>
  <c r="Y112" i="17"/>
  <c r="Z112" i="17"/>
  <c r="AD112" i="17"/>
  <c r="AE112" i="17"/>
  <c r="Y113" i="17"/>
  <c r="Z113" i="17"/>
  <c r="AD113" i="17"/>
  <c r="AE113" i="17"/>
  <c r="Y114" i="17"/>
  <c r="Z114" i="17"/>
  <c r="AD114" i="17"/>
  <c r="AE114" i="17"/>
  <c r="Y115" i="17"/>
  <c r="Z115" i="17"/>
  <c r="AD115" i="17"/>
  <c r="AE115" i="17"/>
  <c r="Y116" i="17"/>
  <c r="Z116" i="17"/>
  <c r="AD116" i="17"/>
  <c r="AE116" i="17"/>
  <c r="Y117" i="17"/>
  <c r="Z117" i="17"/>
  <c r="AD117" i="17"/>
  <c r="AE117" i="17"/>
  <c r="Y118" i="17"/>
  <c r="Z118" i="17"/>
  <c r="AD118" i="17"/>
  <c r="AE118" i="17"/>
  <c r="Y119" i="17"/>
  <c r="Z119" i="17"/>
  <c r="AD119" i="17"/>
  <c r="AE119" i="17"/>
  <c r="Y120" i="17"/>
  <c r="Z120" i="17"/>
  <c r="AD120" i="17"/>
  <c r="AE120" i="17"/>
  <c r="Y121" i="17"/>
  <c r="Z121" i="17"/>
  <c r="AD121" i="17"/>
  <c r="AE121" i="17"/>
  <c r="Y122" i="17"/>
  <c r="Z122" i="17"/>
  <c r="AD122" i="17"/>
  <c r="AE122" i="17"/>
  <c r="Y123" i="17"/>
  <c r="Z123" i="17"/>
  <c r="AD123" i="17"/>
  <c r="AE123" i="17"/>
  <c r="Y124" i="17"/>
  <c r="Z124" i="17"/>
  <c r="AD124" i="17"/>
  <c r="AE124" i="17"/>
  <c r="Y125" i="17"/>
  <c r="Z125" i="17"/>
  <c r="AD125" i="17"/>
  <c r="AE125" i="17"/>
  <c r="Y126" i="17"/>
  <c r="Z126" i="17"/>
  <c r="AD126" i="17"/>
  <c r="AE126" i="17"/>
  <c r="Y127" i="17"/>
  <c r="Z127" i="17"/>
  <c r="AD127" i="17"/>
  <c r="AE127" i="17"/>
  <c r="Y128" i="17"/>
  <c r="Z128" i="17"/>
  <c r="AD128" i="17"/>
  <c r="AE128" i="17"/>
  <c r="Y129" i="17"/>
  <c r="Z129" i="17"/>
  <c r="AD129" i="17"/>
  <c r="AE129" i="17"/>
  <c r="Y130" i="17"/>
  <c r="Z130" i="17"/>
  <c r="AD130" i="17"/>
  <c r="AE130" i="17"/>
  <c r="Y131" i="17"/>
  <c r="Z131" i="17"/>
  <c r="AD131" i="17"/>
  <c r="AE131" i="17"/>
  <c r="Y132" i="17"/>
  <c r="Z132" i="17"/>
  <c r="AD132" i="17"/>
  <c r="AE132" i="17"/>
  <c r="Y133" i="17"/>
  <c r="Z133" i="17"/>
  <c r="AD133" i="17"/>
  <c r="AE133" i="17"/>
  <c r="Y134" i="17"/>
  <c r="Z134" i="17"/>
  <c r="AD134" i="17"/>
  <c r="AE134" i="17"/>
  <c r="Y135" i="17"/>
  <c r="Z135" i="17"/>
  <c r="AD135" i="17"/>
  <c r="AE135" i="17"/>
  <c r="Y136" i="17"/>
  <c r="Z136" i="17"/>
  <c r="AD136" i="17"/>
  <c r="AE136" i="17"/>
  <c r="Y137" i="17"/>
  <c r="Z137" i="17"/>
  <c r="AD137" i="17"/>
  <c r="AE137" i="17"/>
  <c r="Y138" i="17"/>
  <c r="Z138" i="17"/>
  <c r="AD138" i="17"/>
  <c r="AE138" i="17"/>
  <c r="Y139" i="17"/>
  <c r="Z139" i="17"/>
  <c r="AD139" i="17"/>
  <c r="AE139" i="17"/>
  <c r="Y140" i="17"/>
  <c r="Z140" i="17"/>
  <c r="AD140" i="17"/>
  <c r="AE140" i="17"/>
  <c r="Y141" i="17"/>
  <c r="Z141" i="17"/>
  <c r="AD141" i="17"/>
  <c r="AE141" i="17"/>
  <c r="Y142" i="17"/>
  <c r="Z142" i="17"/>
  <c r="AD142" i="17"/>
  <c r="AE142" i="17"/>
  <c r="Y143" i="17"/>
  <c r="Z143" i="17"/>
  <c r="AD143" i="17"/>
  <c r="AE143" i="17"/>
  <c r="Y144" i="17"/>
  <c r="Z144" i="17"/>
  <c r="AD144" i="17"/>
  <c r="AE144" i="17"/>
  <c r="Y145" i="17"/>
  <c r="Z145" i="17"/>
  <c r="AD145" i="17"/>
  <c r="AE145" i="17"/>
  <c r="Y146" i="17"/>
  <c r="Z146" i="17"/>
  <c r="AD146" i="17"/>
  <c r="AE146" i="17"/>
  <c r="Y147" i="17"/>
  <c r="Z147" i="17"/>
  <c r="AD147" i="17"/>
  <c r="AE147" i="17"/>
  <c r="Y148" i="17"/>
  <c r="Z148" i="17"/>
  <c r="AD148" i="17"/>
  <c r="AE148" i="17"/>
  <c r="Y149" i="17"/>
  <c r="Z149" i="17"/>
  <c r="AD149" i="17"/>
  <c r="AE149" i="17"/>
  <c r="Y150" i="17"/>
  <c r="Z150" i="17"/>
  <c r="AD150" i="17"/>
  <c r="AE150" i="17"/>
  <c r="Y151" i="17"/>
  <c r="Z151" i="17"/>
  <c r="AD151" i="17"/>
  <c r="AE151" i="17"/>
  <c r="Y152" i="17"/>
  <c r="Z152" i="17"/>
  <c r="AD152" i="17"/>
  <c r="AE152" i="17"/>
  <c r="Y153" i="17"/>
  <c r="Z153" i="17"/>
  <c r="AD153" i="17"/>
  <c r="AE153" i="17"/>
  <c r="Y154" i="17"/>
  <c r="Z154" i="17"/>
  <c r="AD154" i="17"/>
  <c r="AE154" i="17"/>
  <c r="Y155" i="17"/>
  <c r="Z155" i="17"/>
  <c r="AD155" i="17"/>
  <c r="AE155" i="17"/>
  <c r="Y156" i="17"/>
  <c r="Z156" i="17"/>
  <c r="AD156" i="17"/>
  <c r="AE156" i="17"/>
  <c r="Y157" i="17"/>
  <c r="Z157" i="17"/>
  <c r="AD157" i="17"/>
  <c r="AE157" i="17"/>
  <c r="Y158" i="17"/>
  <c r="Z158" i="17"/>
  <c r="AD158" i="17"/>
  <c r="AE158" i="17"/>
  <c r="Y159" i="17"/>
  <c r="Z159" i="17"/>
  <c r="AD159" i="17"/>
  <c r="AE159" i="17"/>
  <c r="Y160" i="17"/>
  <c r="Z160" i="17"/>
  <c r="AD160" i="17"/>
  <c r="AE160" i="17"/>
  <c r="Y161" i="17"/>
  <c r="Z161" i="17"/>
  <c r="AD161" i="17"/>
  <c r="AE161" i="17"/>
  <c r="Y162" i="17"/>
  <c r="Z162" i="17"/>
  <c r="AD162" i="17"/>
  <c r="AE162" i="17"/>
  <c r="Y163" i="17"/>
  <c r="Z163" i="17"/>
  <c r="AD163" i="17"/>
  <c r="AE163" i="17"/>
  <c r="Y164" i="17"/>
  <c r="Z164" i="17"/>
  <c r="AD164" i="17"/>
  <c r="AE164" i="17"/>
  <c r="Y165" i="17"/>
  <c r="Z165" i="17"/>
  <c r="AD165" i="17"/>
  <c r="AE165" i="17"/>
  <c r="Y166" i="17"/>
  <c r="Z166" i="17"/>
  <c r="AD166" i="17"/>
  <c r="AE166" i="17"/>
  <c r="Y167" i="17"/>
  <c r="Z167" i="17"/>
  <c r="AD167" i="17"/>
  <c r="AE167" i="17"/>
  <c r="Y168" i="17"/>
  <c r="Z168" i="17"/>
  <c r="AD168" i="17"/>
  <c r="AE168" i="17"/>
  <c r="Y169" i="17"/>
  <c r="Z169" i="17"/>
  <c r="AD169" i="17"/>
  <c r="AE169" i="17"/>
  <c r="Y170" i="17"/>
  <c r="Z170" i="17"/>
  <c r="AD170" i="17"/>
  <c r="AE170" i="17"/>
  <c r="Y171" i="17"/>
  <c r="Z171" i="17"/>
  <c r="AD171" i="17"/>
  <c r="AE171" i="17"/>
  <c r="Y172" i="17"/>
  <c r="Z172" i="17"/>
  <c r="AD172" i="17"/>
  <c r="AE172" i="17"/>
  <c r="Y173" i="17"/>
  <c r="Z173" i="17"/>
  <c r="AD173" i="17"/>
  <c r="AE173" i="17"/>
  <c r="Y174" i="17"/>
  <c r="Z174" i="17"/>
  <c r="AD174" i="17"/>
  <c r="AE174" i="17"/>
  <c r="Y175" i="17"/>
  <c r="Z175" i="17"/>
  <c r="AD175" i="17"/>
  <c r="AE175" i="17"/>
  <c r="Y176" i="17"/>
  <c r="Z176" i="17"/>
  <c r="AD176" i="17"/>
  <c r="AE176" i="17"/>
  <c r="Y177" i="17"/>
  <c r="Z177" i="17"/>
  <c r="AD177" i="17"/>
  <c r="AE177" i="17"/>
  <c r="Y178" i="17"/>
  <c r="Z178" i="17"/>
  <c r="AD178" i="17"/>
  <c r="AE178" i="17"/>
  <c r="Y179" i="17"/>
  <c r="Z179" i="17"/>
  <c r="AD179" i="17"/>
  <c r="AE179" i="17"/>
  <c r="Y180" i="17"/>
  <c r="Z180" i="17"/>
  <c r="AD180" i="17"/>
  <c r="AE180" i="17"/>
  <c r="Y181" i="17"/>
  <c r="Z181" i="17"/>
  <c r="AD181" i="17"/>
  <c r="AE181" i="17"/>
  <c r="Y182" i="17"/>
  <c r="Z182" i="17"/>
  <c r="AD182" i="17"/>
  <c r="AE182" i="17"/>
  <c r="Y183" i="17"/>
  <c r="Z183" i="17"/>
  <c r="AD183" i="17"/>
  <c r="AE183" i="17"/>
  <c r="Y184" i="17"/>
  <c r="Z184" i="17"/>
  <c r="AD184" i="17"/>
  <c r="AE184" i="17"/>
  <c r="Y185" i="17"/>
  <c r="Z185" i="17"/>
  <c r="AD185" i="17"/>
  <c r="AE185" i="17"/>
  <c r="Y186" i="17"/>
  <c r="Z186" i="17"/>
  <c r="AD186" i="17"/>
  <c r="AE186" i="17"/>
  <c r="Y187" i="17"/>
  <c r="Z187" i="17"/>
  <c r="AD187" i="17"/>
  <c r="AE187" i="17"/>
  <c r="Y188" i="17"/>
  <c r="Z188" i="17"/>
  <c r="AD188" i="17"/>
  <c r="AE188" i="17"/>
  <c r="Y189" i="17"/>
  <c r="Z189" i="17"/>
  <c r="AD189" i="17"/>
  <c r="AE189" i="17"/>
  <c r="Y190" i="17"/>
  <c r="Z190" i="17"/>
  <c r="AD190" i="17"/>
  <c r="AE190" i="17"/>
  <c r="Y191" i="17"/>
  <c r="Z191" i="17"/>
  <c r="AD191" i="17"/>
  <c r="AE191" i="17"/>
  <c r="Y192" i="17"/>
  <c r="Z192" i="17"/>
  <c r="AD192" i="17"/>
  <c r="AE192" i="17"/>
  <c r="Y193" i="17"/>
  <c r="Z193" i="17"/>
  <c r="AD193" i="17"/>
  <c r="AE193" i="17"/>
  <c r="Y194" i="17"/>
  <c r="Z194" i="17"/>
  <c r="AD194" i="17"/>
  <c r="AE194" i="17"/>
  <c r="Y195" i="17"/>
  <c r="Z195" i="17"/>
  <c r="AD195" i="17"/>
  <c r="AE195" i="17"/>
  <c r="Y196" i="17"/>
  <c r="Z196" i="17"/>
  <c r="AD196" i="17"/>
  <c r="AE196" i="17"/>
  <c r="Y197" i="17"/>
  <c r="Z197" i="17"/>
  <c r="AD197" i="17"/>
  <c r="AE197" i="17"/>
  <c r="Y198" i="17"/>
  <c r="Z198" i="17"/>
  <c r="AD198" i="17"/>
  <c r="AE198" i="17"/>
  <c r="Y199" i="17"/>
  <c r="Z199" i="17"/>
  <c r="AD199" i="17"/>
  <c r="AE199" i="17"/>
  <c r="Y200" i="17"/>
  <c r="Z200" i="17"/>
  <c r="AD200" i="17"/>
  <c r="AE200" i="17"/>
  <c r="Y201" i="17"/>
  <c r="Z201" i="17"/>
  <c r="AD201" i="17"/>
  <c r="AE201" i="17"/>
  <c r="Y202" i="17"/>
  <c r="Z202" i="17"/>
  <c r="AD202" i="17"/>
  <c r="AE202" i="17"/>
  <c r="Y203" i="17"/>
  <c r="Z203" i="17"/>
  <c r="AD203" i="17"/>
  <c r="AE203" i="17"/>
  <c r="Y204" i="17"/>
  <c r="Z204" i="17"/>
  <c r="AD204" i="17"/>
  <c r="AE204" i="17"/>
  <c r="Y205" i="17"/>
  <c r="Z205" i="17"/>
  <c r="AD205" i="17"/>
  <c r="AE205" i="17"/>
  <c r="Y206" i="17"/>
  <c r="Z206" i="17"/>
  <c r="AD206" i="17"/>
  <c r="AE206" i="17"/>
  <c r="Z207" i="17"/>
  <c r="AE207" i="17"/>
  <c r="Z208" i="17"/>
  <c r="AE208" i="17"/>
  <c r="Z209" i="17"/>
  <c r="AE209" i="17"/>
  <c r="Z210" i="17"/>
  <c r="AE210" i="17"/>
  <c r="Z211" i="17"/>
  <c r="AE211" i="17"/>
  <c r="Z212" i="17"/>
  <c r="AE212" i="17"/>
  <c r="Z213" i="17"/>
  <c r="AE213" i="17"/>
  <c r="Z214" i="17"/>
  <c r="AE214" i="17"/>
  <c r="Z215" i="17"/>
  <c r="AE215" i="17"/>
  <c r="Z216" i="17"/>
  <c r="AE216" i="17"/>
  <c r="Z217" i="17"/>
  <c r="AE217" i="17"/>
  <c r="Z218" i="17"/>
  <c r="AE218" i="17"/>
  <c r="Y219" i="17"/>
  <c r="AD219" i="17"/>
  <c r="Y220" i="17"/>
  <c r="AD220" i="17"/>
  <c r="Y221" i="17"/>
  <c r="AD221" i="17"/>
  <c r="Y222" i="17"/>
  <c r="AD222" i="17"/>
  <c r="Y223" i="17"/>
  <c r="AD223" i="17"/>
  <c r="Y224" i="17"/>
  <c r="AD224" i="17"/>
  <c r="Y225" i="17"/>
  <c r="AD225" i="17"/>
  <c r="Y226" i="17"/>
  <c r="AD226" i="17"/>
  <c r="Y227" i="17"/>
  <c r="AD227" i="17"/>
  <c r="Y228" i="17"/>
  <c r="AD228" i="17"/>
  <c r="Y229" i="17"/>
  <c r="AD229" i="17"/>
  <c r="Y230" i="17"/>
  <c r="AD230" i="17"/>
  <c r="Z231" i="17"/>
  <c r="AE231" i="17"/>
  <c r="Z232" i="17"/>
  <c r="AE232" i="17"/>
  <c r="Z233" i="17"/>
  <c r="AE233" i="17"/>
  <c r="Z234" i="17"/>
  <c r="AE234" i="17"/>
  <c r="Z235" i="17"/>
  <c r="AE235" i="17"/>
  <c r="Z236" i="17"/>
  <c r="AE236" i="17"/>
  <c r="Z237" i="17"/>
  <c r="AE237" i="17"/>
  <c r="Z238" i="17"/>
  <c r="AE238" i="17"/>
  <c r="Z239" i="17"/>
  <c r="AE239" i="17"/>
  <c r="Z240" i="17"/>
  <c r="AE240" i="17"/>
  <c r="Z241" i="17"/>
  <c r="AE241" i="17"/>
  <c r="Z242" i="17"/>
  <c r="AE242" i="17"/>
  <c r="Z243" i="17"/>
  <c r="AE243" i="17"/>
  <c r="Z244" i="17"/>
  <c r="AE244" i="17"/>
  <c r="Z245" i="17"/>
  <c r="AE245" i="17"/>
  <c r="Z246" i="17"/>
  <c r="AE246" i="17"/>
  <c r="Z247" i="17"/>
  <c r="AE247" i="17"/>
  <c r="Y248" i="17"/>
  <c r="AD248" i="17"/>
  <c r="Y249" i="17"/>
  <c r="AD249" i="17"/>
  <c r="Y250" i="17"/>
  <c r="AD250" i="17"/>
  <c r="Y251" i="17"/>
  <c r="AD251" i="17"/>
  <c r="Z252" i="17"/>
  <c r="AE252" i="17"/>
  <c r="Z253" i="17"/>
  <c r="AE253" i="17"/>
  <c r="Z254" i="17"/>
  <c r="AE254" i="17"/>
  <c r="Z255" i="17"/>
  <c r="AE255" i="17"/>
  <c r="Z256" i="17"/>
  <c r="AE256" i="17"/>
  <c r="Z257" i="17"/>
  <c r="AE257" i="17"/>
  <c r="Z258" i="17"/>
  <c r="AE258" i="17"/>
  <c r="Z259" i="17"/>
  <c r="AE259" i="17"/>
  <c r="Z260" i="17"/>
  <c r="AE260" i="17"/>
  <c r="Z261" i="17"/>
  <c r="AE261" i="17"/>
  <c r="Z262" i="17"/>
  <c r="AE262" i="17"/>
  <c r="Z263" i="17"/>
  <c r="AE263" i="17"/>
  <c r="Z264" i="17"/>
  <c r="AE264" i="17"/>
  <c r="Z265" i="17"/>
  <c r="AE265" i="17"/>
  <c r="Z266" i="17"/>
  <c r="AE266" i="17"/>
  <c r="Z267" i="17"/>
  <c r="AE267" i="17"/>
  <c r="Z268" i="17"/>
  <c r="AE268" i="17"/>
  <c r="Z269" i="17"/>
  <c r="AE269" i="17"/>
  <c r="Z270" i="17"/>
  <c r="AE270" i="17"/>
  <c r="Z271" i="17"/>
  <c r="AE271" i="17"/>
  <c r="Z272" i="17"/>
  <c r="AE272" i="17"/>
  <c r="Z273" i="17"/>
  <c r="AE273" i="17"/>
  <c r="Z274" i="17"/>
  <c r="AE274" i="17"/>
  <c r="Z275" i="17"/>
  <c r="AE275" i="17"/>
  <c r="Z276" i="17"/>
  <c r="AE276" i="17"/>
  <c r="Z277" i="17"/>
  <c r="AE277" i="17"/>
  <c r="Z278" i="17"/>
  <c r="AE278" i="17"/>
  <c r="Z279" i="17"/>
  <c r="AE279" i="17"/>
  <c r="Y280" i="17"/>
  <c r="AD280" i="17"/>
  <c r="Y281" i="17"/>
  <c r="AD281" i="17"/>
  <c r="Y282" i="17"/>
  <c r="AD282" i="17"/>
  <c r="Y283" i="17"/>
  <c r="AD283" i="17"/>
  <c r="Y284" i="17"/>
  <c r="AD284" i="17"/>
  <c r="Y285" i="17"/>
  <c r="AD285" i="17"/>
  <c r="Y286" i="17"/>
  <c r="AD286" i="17"/>
  <c r="Y287" i="17"/>
  <c r="AD287" i="17"/>
  <c r="Y288" i="17"/>
  <c r="AD288" i="17"/>
  <c r="Y289" i="17"/>
  <c r="AD289" i="17"/>
  <c r="Y290" i="17"/>
  <c r="AD290" i="17"/>
  <c r="Y291" i="17"/>
  <c r="AD291" i="17"/>
  <c r="Y292" i="17"/>
  <c r="AD292" i="17"/>
  <c r="Y293" i="17"/>
  <c r="AD293" i="17"/>
  <c r="Y294" i="17"/>
  <c r="AD294" i="17"/>
  <c r="Y295" i="17"/>
  <c r="AD295" i="17"/>
  <c r="Y296" i="17"/>
  <c r="AD296" i="17"/>
  <c r="Y297" i="17"/>
  <c r="AD297" i="17"/>
  <c r="Y298" i="17"/>
  <c r="AD298" i="17"/>
  <c r="Y299" i="17"/>
  <c r="AD299" i="17"/>
  <c r="Y300" i="17"/>
  <c r="AD300" i="17"/>
  <c r="Y301" i="17"/>
  <c r="AD301" i="17"/>
  <c r="Y302" i="17"/>
  <c r="AD302" i="17"/>
  <c r="Y303" i="17"/>
  <c r="AD303" i="17"/>
  <c r="Z304" i="17"/>
  <c r="AE304" i="17"/>
  <c r="Z305" i="17"/>
  <c r="AE305" i="17"/>
  <c r="Z306" i="17"/>
  <c r="AE306" i="17"/>
  <c r="Z307" i="17"/>
  <c r="AE307" i="17"/>
  <c r="Z308" i="17"/>
  <c r="AE308" i="17"/>
  <c r="Z309" i="17"/>
  <c r="AE309" i="17"/>
  <c r="Z310" i="17"/>
  <c r="AE310" i="17"/>
  <c r="Z311" i="17"/>
  <c r="AE311" i="17"/>
  <c r="Z312" i="17"/>
  <c r="AE312" i="17"/>
  <c r="Z313" i="17"/>
  <c r="AE313" i="17"/>
  <c r="Z314" i="17"/>
  <c r="AE314" i="17"/>
  <c r="Z315" i="17"/>
  <c r="AE315" i="17"/>
  <c r="Z316" i="17"/>
  <c r="AE316" i="17"/>
  <c r="Z317" i="17"/>
  <c r="AE317" i="17"/>
  <c r="Z318" i="17"/>
  <c r="AE318" i="17"/>
  <c r="Z319" i="17"/>
  <c r="AE319" i="17"/>
  <c r="Z320" i="17"/>
  <c r="AE320" i="17"/>
  <c r="Z321" i="17"/>
  <c r="AE321" i="17"/>
  <c r="Z322" i="17"/>
  <c r="AE322" i="17"/>
  <c r="Z323" i="17"/>
  <c r="AE323" i="17"/>
  <c r="Z324" i="17"/>
  <c r="AE324" i="17"/>
  <c r="Z325" i="17"/>
  <c r="AE325" i="17"/>
  <c r="Z326" i="17"/>
  <c r="AE326" i="17"/>
  <c r="Z327" i="17"/>
  <c r="AE327" i="17"/>
  <c r="Z328" i="17"/>
  <c r="AE328" i="17"/>
  <c r="Z329" i="17"/>
  <c r="AE329" i="17"/>
  <c r="Z330" i="17"/>
  <c r="AE330" i="17"/>
  <c r="Z331" i="17"/>
  <c r="AE331" i="17"/>
  <c r="Z332" i="17"/>
  <c r="AE332" i="17"/>
  <c r="Z333" i="17"/>
  <c r="AE333" i="17"/>
  <c r="Z334" i="17"/>
  <c r="AE334" i="17"/>
  <c r="Z335" i="17"/>
  <c r="AE335" i="17"/>
  <c r="Z336" i="17"/>
  <c r="AE336" i="17"/>
  <c r="Z337" i="17"/>
  <c r="AE337" i="17"/>
  <c r="Z338" i="17"/>
  <c r="AE338" i="17"/>
  <c r="Z339" i="17"/>
  <c r="AE339" i="17"/>
  <c r="Z340" i="17"/>
  <c r="AE340" i="17"/>
  <c r="Z341" i="17"/>
  <c r="AE341" i="17"/>
  <c r="Z342" i="17"/>
  <c r="AE342" i="17"/>
  <c r="Z343" i="17"/>
  <c r="AE343" i="17"/>
  <c r="Z344" i="17"/>
  <c r="AE344" i="17"/>
  <c r="Z345" i="17"/>
  <c r="AE345" i="17"/>
  <c r="Z346" i="17"/>
  <c r="AE346" i="17"/>
  <c r="Z347" i="17"/>
  <c r="AE347" i="17"/>
  <c r="Z348" i="17"/>
  <c r="AE348" i="17"/>
  <c r="Z349" i="17"/>
  <c r="AE349" i="17"/>
  <c r="Z350" i="17"/>
  <c r="AE350" i="17"/>
  <c r="Z351" i="17"/>
  <c r="AE351" i="17"/>
  <c r="Z352" i="17"/>
  <c r="AE352" i="17"/>
  <c r="Z353" i="17"/>
  <c r="AE353" i="17"/>
  <c r="Z354" i="17"/>
  <c r="AE354" i="17"/>
  <c r="Z355" i="17"/>
  <c r="AE355" i="17"/>
  <c r="Z356" i="17"/>
  <c r="AE356" i="17"/>
  <c r="Z357" i="17"/>
  <c r="AE357" i="17"/>
  <c r="Z358" i="17"/>
  <c r="AE358" i="17"/>
  <c r="Z359" i="17"/>
  <c r="AE359" i="17"/>
  <c r="Z360" i="17"/>
  <c r="AE360" i="17"/>
  <c r="Z361" i="17"/>
  <c r="AE361" i="17"/>
  <c r="Z362" i="17"/>
  <c r="AE362" i="17"/>
  <c r="Z363" i="17"/>
  <c r="AE363" i="17"/>
  <c r="Z364" i="17"/>
  <c r="AE364" i="17"/>
  <c r="Z365" i="17"/>
  <c r="AE365" i="17"/>
  <c r="Z366" i="17"/>
  <c r="AE366" i="17"/>
  <c r="Z367" i="17"/>
  <c r="AE367" i="17"/>
  <c r="Z368" i="17"/>
  <c r="AE368" i="17"/>
  <c r="Z369" i="17"/>
  <c r="AE369" i="17"/>
  <c r="Z370" i="17"/>
  <c r="AE370" i="17"/>
  <c r="Z371" i="17"/>
  <c r="AE371" i="17"/>
  <c r="Z372" i="17"/>
  <c r="AE372" i="17"/>
  <c r="Z373" i="17"/>
  <c r="AE373" i="17"/>
  <c r="Z374" i="17"/>
  <c r="AE374" i="17"/>
  <c r="Z375" i="17"/>
  <c r="AE375" i="17"/>
  <c r="Z376" i="17"/>
  <c r="AE376" i="17"/>
  <c r="Z377" i="17"/>
  <c r="AE377" i="17"/>
  <c r="Z378" i="17"/>
  <c r="AE378" i="17"/>
  <c r="Z379" i="17"/>
  <c r="AE379" i="17"/>
  <c r="Z380" i="17"/>
  <c r="AE380" i="17"/>
  <c r="Z381" i="17"/>
  <c r="AE381" i="17"/>
  <c r="Z382" i="17"/>
  <c r="AE382" i="17"/>
  <c r="Z383" i="17"/>
  <c r="AE383" i="17"/>
  <c r="Z384" i="17"/>
  <c r="AE384" i="17"/>
  <c r="Z385" i="17"/>
  <c r="AE385" i="17"/>
  <c r="Z386" i="17"/>
  <c r="AE386" i="17"/>
  <c r="Z387" i="17"/>
  <c r="AE387" i="17"/>
  <c r="Z388" i="17"/>
  <c r="AE388" i="17"/>
  <c r="Z389" i="17"/>
  <c r="AE389" i="17"/>
  <c r="Z390" i="17"/>
  <c r="AE390" i="17"/>
  <c r="Z391" i="17"/>
  <c r="AE391" i="17"/>
  <c r="Z392" i="17"/>
  <c r="AE392" i="17"/>
  <c r="Z393" i="17"/>
  <c r="AE393" i="17"/>
  <c r="Z394" i="17"/>
  <c r="AE394" i="17"/>
  <c r="Z395" i="17"/>
  <c r="AE395" i="17"/>
  <c r="Z396" i="17"/>
  <c r="AE396" i="17"/>
  <c r="Z397" i="17"/>
  <c r="AE397" i="17"/>
  <c r="Z398" i="17"/>
  <c r="AE398" i="17"/>
  <c r="Z399" i="17"/>
  <c r="AE399" i="17"/>
  <c r="Z400" i="17"/>
  <c r="AE400" i="17"/>
  <c r="Z401" i="17"/>
  <c r="AE401" i="17"/>
  <c r="Z402" i="17"/>
  <c r="AE402" i="17"/>
  <c r="Z403" i="17"/>
  <c r="AE403" i="17"/>
  <c r="Z404" i="17"/>
  <c r="AE404" i="17"/>
  <c r="Z405" i="17"/>
  <c r="AE405" i="17"/>
  <c r="Z406" i="17"/>
  <c r="AE406" i="17"/>
  <c r="Z407" i="17"/>
  <c r="AE407" i="17"/>
  <c r="Z408" i="17"/>
  <c r="AE408" i="17"/>
  <c r="Z409" i="17"/>
  <c r="AE409" i="17"/>
  <c r="Z410" i="17"/>
  <c r="AE410" i="17"/>
  <c r="Z411" i="17"/>
  <c r="AE411" i="17"/>
  <c r="Z412" i="17"/>
  <c r="AE412" i="17"/>
  <c r="Z413" i="17"/>
  <c r="AE413" i="17"/>
  <c r="Z414" i="17"/>
  <c r="AE414" i="17"/>
  <c r="Z415" i="17"/>
  <c r="AE415" i="17"/>
  <c r="Z416" i="17"/>
  <c r="AE416" i="17"/>
  <c r="Z417" i="17"/>
  <c r="AE417" i="17"/>
  <c r="Z418" i="17"/>
  <c r="AE418" i="17"/>
  <c r="Z419" i="17"/>
  <c r="AE419" i="17"/>
  <c r="Z420" i="17"/>
  <c r="AE420" i="17"/>
  <c r="Z421" i="17"/>
  <c r="AE421" i="17"/>
  <c r="Z422" i="17"/>
  <c r="AE422" i="17"/>
  <c r="Z423" i="17"/>
  <c r="AE423" i="17"/>
  <c r="Z424" i="17"/>
  <c r="AE424" i="17"/>
  <c r="Z425" i="17"/>
  <c r="AE425" i="17"/>
  <c r="Z426" i="17"/>
  <c r="AE426" i="17"/>
  <c r="Z427" i="17"/>
  <c r="AE427" i="17"/>
  <c r="Z428" i="17"/>
  <c r="AE428" i="17"/>
  <c r="Z429" i="17"/>
  <c r="AE429" i="17"/>
  <c r="Z430" i="17"/>
  <c r="AE430" i="17"/>
  <c r="Z431" i="17"/>
  <c r="AE431" i="17"/>
  <c r="Z432" i="17"/>
  <c r="AE432" i="17"/>
  <c r="Z433" i="17"/>
  <c r="AE433" i="17"/>
  <c r="Z434" i="17"/>
  <c r="AE434" i="17"/>
  <c r="Z435" i="17"/>
  <c r="AE435" i="17"/>
  <c r="Z436" i="17"/>
  <c r="AE436" i="17"/>
  <c r="Z437" i="17"/>
  <c r="AE437" i="17"/>
  <c r="Z438" i="17"/>
  <c r="AE438" i="17"/>
  <c r="Z439" i="17"/>
  <c r="AE439" i="17"/>
  <c r="Z440" i="17"/>
  <c r="AE440" i="17"/>
  <c r="Z441" i="17"/>
  <c r="AE441" i="17"/>
  <c r="Z442" i="17"/>
  <c r="AE442" i="17"/>
  <c r="Z443" i="17"/>
  <c r="AE443" i="17"/>
  <c r="Z444" i="17"/>
  <c r="AE444" i="17"/>
  <c r="Z445" i="17"/>
  <c r="AE445" i="17"/>
  <c r="Z446" i="17"/>
  <c r="AE446" i="17"/>
  <c r="Z447" i="17"/>
  <c r="AE447" i="17"/>
  <c r="Z448" i="17"/>
  <c r="AE448" i="17"/>
  <c r="Z449" i="17"/>
  <c r="AE449" i="17"/>
  <c r="Z450" i="17"/>
  <c r="AE450" i="17"/>
  <c r="Z451" i="17"/>
  <c r="AE451" i="17"/>
  <c r="Z452" i="17"/>
  <c r="AE452" i="17"/>
  <c r="Z453" i="17"/>
  <c r="AE453" i="17"/>
  <c r="Z454" i="17"/>
  <c r="AE454" i="17"/>
  <c r="Z455" i="17"/>
  <c r="AE455" i="17"/>
  <c r="Z456" i="17"/>
  <c r="AE456" i="17"/>
  <c r="Z457" i="17"/>
  <c r="AE457" i="17"/>
  <c r="Z458" i="17"/>
  <c r="AE458" i="17"/>
  <c r="Z459" i="17"/>
  <c r="AE459" i="17"/>
  <c r="Z460" i="17"/>
  <c r="AE460" i="17"/>
  <c r="Z461" i="17"/>
  <c r="AE461" i="17"/>
  <c r="Z462" i="17"/>
  <c r="AE462" i="17"/>
  <c r="Z463" i="17"/>
  <c r="AE463" i="17"/>
  <c r="Z464" i="17"/>
  <c r="AE464" i="17"/>
  <c r="Z465" i="17"/>
  <c r="AE465" i="17"/>
  <c r="Z466" i="17"/>
  <c r="AE466" i="17"/>
  <c r="Z467" i="17"/>
  <c r="AE467" i="17"/>
  <c r="Z468" i="17"/>
  <c r="AE468" i="17"/>
  <c r="Z469" i="17"/>
  <c r="AE469" i="17"/>
  <c r="Z470" i="17"/>
  <c r="AE470" i="17"/>
  <c r="Z471" i="17"/>
  <c r="AE471" i="17"/>
  <c r="Z472" i="17"/>
  <c r="AE472" i="17"/>
  <c r="Z473" i="17"/>
  <c r="AE473" i="17"/>
  <c r="Z474" i="17"/>
  <c r="AE474" i="17"/>
  <c r="Z475" i="17"/>
  <c r="AE475" i="17"/>
  <c r="Z476" i="17"/>
  <c r="AE476" i="17"/>
  <c r="Z477" i="17"/>
  <c r="AE477" i="17"/>
  <c r="Z478" i="17"/>
  <c r="AE478" i="17"/>
  <c r="Z479" i="17"/>
  <c r="AE479" i="17"/>
  <c r="Z480" i="17"/>
  <c r="AE480" i="17"/>
  <c r="Z481" i="17"/>
  <c r="AE481" i="17"/>
  <c r="Z482" i="17"/>
  <c r="AE482" i="17"/>
  <c r="Z483" i="17"/>
  <c r="AE483" i="17"/>
  <c r="Z484" i="17"/>
  <c r="AE484" i="17"/>
  <c r="Z485" i="17"/>
  <c r="AE485" i="17"/>
  <c r="Z486" i="17"/>
  <c r="AE486" i="17"/>
  <c r="Z487" i="17"/>
  <c r="AE487" i="17"/>
  <c r="Z488" i="17"/>
  <c r="AE488" i="17"/>
  <c r="Z489" i="17"/>
  <c r="AE489" i="17"/>
  <c r="Z490" i="17"/>
  <c r="AE490" i="17"/>
  <c r="Z491" i="17"/>
  <c r="AE491" i="17"/>
  <c r="Z492" i="17"/>
  <c r="AE492" i="17"/>
  <c r="Z493" i="17"/>
  <c r="AE493" i="17"/>
  <c r="Z494" i="17"/>
  <c r="AE494" i="17"/>
  <c r="Z495" i="17"/>
  <c r="AE495" i="17"/>
  <c r="Z496" i="17"/>
  <c r="AE496" i="17"/>
  <c r="Z497" i="17"/>
  <c r="AE497" i="17"/>
  <c r="Z498" i="17"/>
  <c r="AE498" i="17"/>
  <c r="Z499" i="17"/>
  <c r="AE499" i="17"/>
  <c r="Z500" i="17"/>
  <c r="AE500" i="17"/>
  <c r="Z501" i="17"/>
  <c r="AE501" i="17"/>
  <c r="Z502" i="17"/>
  <c r="AE502" i="17"/>
  <c r="Z503" i="17"/>
  <c r="AE503" i="17"/>
  <c r="Z504" i="17"/>
  <c r="AE504" i="17"/>
  <c r="Z505" i="17"/>
  <c r="AE505" i="17"/>
  <c r="Z506" i="17"/>
  <c r="AE506" i="17"/>
  <c r="Z507" i="17"/>
  <c r="AE507" i="17"/>
  <c r="Z508" i="17"/>
  <c r="AE508" i="17"/>
  <c r="Z509" i="17"/>
  <c r="AE509" i="17"/>
  <c r="Z510" i="17"/>
  <c r="AE510" i="17"/>
  <c r="Z511" i="17"/>
  <c r="AE511" i="17"/>
  <c r="Z512" i="17"/>
  <c r="AE512" i="17"/>
  <c r="Z513" i="17"/>
  <c r="AE513" i="17"/>
  <c r="Z514" i="17"/>
  <c r="AE514" i="17"/>
  <c r="Z515" i="17"/>
  <c r="AE515" i="17"/>
  <c r="Z516" i="17"/>
  <c r="AE516" i="17"/>
  <c r="Z517" i="17"/>
  <c r="AE517" i="17"/>
  <c r="Z518" i="17"/>
  <c r="AE518" i="17"/>
  <c r="Z519" i="17"/>
  <c r="AE519" i="17"/>
  <c r="Z520" i="17"/>
  <c r="AE520" i="17"/>
  <c r="Z521" i="17"/>
  <c r="AE521" i="17"/>
  <c r="Z522" i="17"/>
  <c r="AE522" i="17"/>
  <c r="Z523" i="17"/>
  <c r="AE523" i="17"/>
  <c r="Z524" i="17"/>
  <c r="AE524" i="17"/>
  <c r="Z525" i="17"/>
  <c r="AE525" i="17"/>
  <c r="Z526" i="17"/>
  <c r="AE526" i="17"/>
  <c r="Z527" i="17"/>
  <c r="AE527" i="17"/>
  <c r="Z528" i="17"/>
  <c r="AE528" i="17"/>
  <c r="Z529" i="17"/>
  <c r="AE529" i="17"/>
  <c r="Z530" i="17"/>
  <c r="AE530" i="17"/>
  <c r="Z531" i="17"/>
  <c r="AE531" i="17"/>
  <c r="Z532" i="17"/>
  <c r="AE532" i="17"/>
  <c r="Z533" i="17"/>
  <c r="AE533" i="17"/>
  <c r="Z534" i="17"/>
  <c r="AE534" i="17"/>
  <c r="Z535" i="17"/>
  <c r="AE535" i="17"/>
  <c r="Z536" i="17"/>
  <c r="AE536" i="17"/>
  <c r="Z537" i="17"/>
  <c r="AE537" i="17"/>
  <c r="Z538" i="17"/>
  <c r="AE538" i="17"/>
  <c r="Z539" i="17"/>
  <c r="AE539" i="17"/>
  <c r="Z540" i="17"/>
  <c r="AE540" i="17"/>
  <c r="Z541" i="17"/>
  <c r="AE541" i="17"/>
  <c r="Z542" i="17"/>
  <c r="AE542" i="17"/>
  <c r="Z543" i="17"/>
  <c r="AE543" i="17"/>
  <c r="Z544" i="17"/>
  <c r="AE544" i="17"/>
  <c r="Z545" i="17"/>
  <c r="AE545" i="17"/>
  <c r="Z546" i="17"/>
  <c r="AE546" i="17"/>
  <c r="Z547" i="17"/>
  <c r="AE547" i="17"/>
  <c r="Z548" i="17"/>
  <c r="AE548" i="17"/>
  <c r="Z549" i="17"/>
  <c r="AE549" i="17"/>
  <c r="Z550" i="17"/>
  <c r="AE550" i="17"/>
  <c r="Z551" i="17"/>
  <c r="AE551" i="17"/>
  <c r="Z552" i="17"/>
  <c r="AE552" i="17"/>
  <c r="Z553" i="17"/>
  <c r="AE553" i="17"/>
  <c r="Z554" i="17"/>
  <c r="AE554" i="17"/>
  <c r="Z555" i="17"/>
  <c r="AE555" i="17"/>
  <c r="Z556" i="17"/>
  <c r="AE556" i="17"/>
  <c r="Z557" i="17"/>
  <c r="AE557" i="17"/>
  <c r="Z558" i="17"/>
  <c r="AE558" i="17"/>
  <c r="Z559" i="17"/>
  <c r="AE559" i="17"/>
  <c r="Z560" i="17"/>
  <c r="AE560" i="17"/>
  <c r="Z561" i="17"/>
  <c r="AE561" i="17"/>
  <c r="Z562" i="17"/>
  <c r="AE562" i="17"/>
  <c r="Z563" i="17"/>
  <c r="AE563" i="17"/>
  <c r="Z564" i="17"/>
  <c r="AE564" i="17"/>
  <c r="Z565" i="17"/>
  <c r="AE565" i="17"/>
  <c r="Z566" i="17"/>
  <c r="AE566" i="17"/>
  <c r="Z567" i="17"/>
  <c r="AE567" i="17"/>
  <c r="Z568" i="17"/>
  <c r="AE568" i="17"/>
  <c r="Z569" i="17"/>
  <c r="AE569" i="17"/>
  <c r="Z570" i="17"/>
  <c r="AE570" i="17"/>
  <c r="Z571" i="17"/>
  <c r="AE571" i="17"/>
  <c r="Z572" i="17"/>
  <c r="AE572" i="17"/>
  <c r="Z573" i="17"/>
  <c r="AE573" i="17"/>
  <c r="Z574" i="17"/>
  <c r="AE574" i="17"/>
  <c r="Z575" i="17"/>
  <c r="AE575" i="17"/>
  <c r="Z576" i="17"/>
  <c r="AE576" i="17"/>
  <c r="Z577" i="17"/>
  <c r="AE577" i="17"/>
  <c r="Z578" i="17"/>
  <c r="AE578" i="17"/>
  <c r="Z579" i="17"/>
  <c r="AE579" i="17"/>
  <c r="Z580" i="17"/>
  <c r="AE580" i="17"/>
  <c r="Z581" i="17"/>
  <c r="AE581" i="17"/>
  <c r="Z582" i="17"/>
  <c r="AE582" i="17"/>
  <c r="Z583" i="17"/>
  <c r="AE583" i="17"/>
  <c r="Z584" i="17"/>
  <c r="AE584" i="17"/>
  <c r="Z585" i="17"/>
  <c r="AE585" i="17"/>
  <c r="Z586" i="17"/>
  <c r="AE586" i="17"/>
  <c r="Z587" i="17"/>
  <c r="AE587" i="17"/>
  <c r="Z588" i="17"/>
  <c r="AE588" i="17"/>
  <c r="Z589" i="17"/>
  <c r="AE589" i="17"/>
  <c r="Z590" i="17"/>
  <c r="AE590" i="17"/>
  <c r="Z591" i="17"/>
  <c r="AE591" i="17"/>
  <c r="Z592" i="17"/>
  <c r="AE592" i="17"/>
  <c r="Z593" i="17"/>
  <c r="AE593" i="17"/>
  <c r="Z594" i="17"/>
  <c r="AE594" i="17"/>
  <c r="Z595" i="17"/>
  <c r="AE595" i="17"/>
  <c r="Z596" i="17"/>
  <c r="AE596" i="17"/>
  <c r="Z597" i="17"/>
  <c r="AE597" i="17"/>
  <c r="Z598" i="17"/>
  <c r="AE598" i="17"/>
  <c r="Z599" i="17"/>
  <c r="AE599" i="17"/>
  <c r="Z600" i="17"/>
  <c r="AE600" i="17"/>
  <c r="Z601" i="17"/>
  <c r="AE601" i="17"/>
  <c r="Z602" i="17"/>
  <c r="AE602" i="17"/>
  <c r="Z603" i="17"/>
  <c r="AE603" i="17"/>
  <c r="Z604" i="17"/>
  <c r="AE604" i="17"/>
  <c r="Z605" i="17"/>
  <c r="AE605" i="17"/>
  <c r="Z606" i="17"/>
  <c r="AE606" i="17"/>
  <c r="Z607" i="17"/>
  <c r="AE607" i="17"/>
  <c r="Z608" i="17"/>
  <c r="AE608" i="17"/>
  <c r="Z609" i="17"/>
  <c r="AE609" i="17"/>
  <c r="Z610" i="17"/>
  <c r="AE610" i="17"/>
  <c r="Z611" i="17"/>
  <c r="AE611" i="17"/>
  <c r="Z612" i="17"/>
  <c r="AE612" i="17"/>
  <c r="Z613" i="17"/>
  <c r="AE613" i="17"/>
  <c r="Z614" i="17"/>
  <c r="AE614" i="17"/>
  <c r="Z615" i="17"/>
  <c r="AE615" i="17"/>
  <c r="Z616" i="17"/>
  <c r="AE616" i="17"/>
  <c r="Z617" i="17"/>
  <c r="AE617" i="17"/>
  <c r="Z618" i="17"/>
  <c r="AE618" i="17"/>
  <c r="Z619" i="17"/>
  <c r="AE619" i="17"/>
  <c r="Z620" i="17"/>
  <c r="AE620" i="17"/>
  <c r="Z621" i="17"/>
  <c r="AE621" i="17"/>
  <c r="Z622" i="17"/>
  <c r="AE622" i="17"/>
  <c r="Z623" i="17"/>
  <c r="AE623" i="17"/>
  <c r="Z624" i="17"/>
  <c r="AE624" i="17"/>
  <c r="Z625" i="17"/>
  <c r="AE625" i="17"/>
  <c r="Z626" i="17"/>
  <c r="AE626" i="17"/>
  <c r="Z627" i="17"/>
  <c r="AE627" i="17"/>
  <c r="Z628" i="17"/>
  <c r="AE628" i="17"/>
  <c r="Z629" i="17"/>
  <c r="AE629" i="17"/>
  <c r="Z630" i="17"/>
  <c r="AE630" i="17"/>
  <c r="Z631" i="17"/>
  <c r="AE631" i="17"/>
  <c r="Z632" i="17"/>
  <c r="AE632" i="17"/>
  <c r="Z633" i="17"/>
  <c r="AE633" i="17"/>
  <c r="Z634" i="17"/>
  <c r="AE634" i="17"/>
  <c r="Z635" i="17"/>
  <c r="AE635" i="17"/>
  <c r="Z636" i="17"/>
  <c r="AE636" i="17"/>
  <c r="Z637" i="17"/>
  <c r="AE637" i="17"/>
  <c r="Z638" i="17"/>
  <c r="AE638" i="17"/>
  <c r="Z639" i="17"/>
  <c r="AE639" i="17"/>
  <c r="Z640" i="17"/>
  <c r="AE640" i="17"/>
  <c r="Z641" i="17"/>
  <c r="AE641" i="17"/>
  <c r="Z642" i="17"/>
  <c r="AE642" i="17"/>
  <c r="Z643" i="17"/>
  <c r="AE643" i="17"/>
  <c r="Z644" i="17"/>
  <c r="AE644" i="17"/>
  <c r="Z645" i="17"/>
  <c r="AE645" i="17"/>
  <c r="Z646" i="17"/>
  <c r="AE646" i="17"/>
  <c r="Z647" i="17"/>
  <c r="AE647" i="17"/>
  <c r="Z648" i="17"/>
  <c r="AE648" i="17"/>
  <c r="Z649" i="17"/>
  <c r="AE649" i="17"/>
  <c r="Z650" i="17"/>
  <c r="AE650" i="17"/>
  <c r="Z651" i="17"/>
  <c r="AE651" i="17"/>
  <c r="Z652" i="17"/>
  <c r="AE652" i="17"/>
  <c r="Z653" i="17"/>
  <c r="AE653" i="17"/>
  <c r="Z654" i="17"/>
  <c r="AE654" i="17"/>
  <c r="Z655" i="17"/>
  <c r="AE655" i="17"/>
  <c r="Z656" i="17"/>
  <c r="AE656" i="17"/>
  <c r="Z657" i="17"/>
  <c r="AE657" i="17"/>
  <c r="Z658" i="17"/>
  <c r="AE658" i="17"/>
  <c r="Z659" i="17"/>
  <c r="AE659" i="17"/>
  <c r="Z660" i="17"/>
  <c r="AE660" i="17"/>
  <c r="Z661" i="17"/>
  <c r="AE661" i="17"/>
  <c r="Z662" i="17"/>
  <c r="AE662" i="17"/>
  <c r="Z663" i="17"/>
  <c r="AE663" i="17"/>
  <c r="Z664" i="17"/>
  <c r="AE664" i="17"/>
  <c r="Z665" i="17"/>
  <c r="AE665" i="17"/>
  <c r="Z666" i="17"/>
  <c r="AE666" i="17"/>
  <c r="Z667" i="17"/>
  <c r="AE667" i="17"/>
  <c r="Z668" i="17"/>
  <c r="AE668" i="17"/>
  <c r="Z669" i="17"/>
  <c r="AE669" i="17"/>
  <c r="Z670" i="17"/>
  <c r="AE670" i="17"/>
  <c r="Z671" i="17"/>
  <c r="AE671" i="17"/>
  <c r="Z672" i="17"/>
  <c r="AE672" i="17"/>
  <c r="Z673" i="17"/>
  <c r="AE673" i="17"/>
  <c r="Z674" i="17"/>
  <c r="AE674" i="17"/>
  <c r="Z675" i="17"/>
  <c r="AE675" i="17"/>
  <c r="Z676" i="17"/>
  <c r="AE676" i="17"/>
  <c r="Z677" i="17"/>
  <c r="AE677" i="17"/>
  <c r="Z678" i="17"/>
  <c r="AE678" i="17"/>
  <c r="Z679" i="17"/>
  <c r="AE679" i="17"/>
  <c r="Z680" i="17"/>
  <c r="AE680" i="17"/>
  <c r="Z681" i="17"/>
  <c r="AE681" i="17"/>
  <c r="Z682" i="17"/>
  <c r="AE682" i="17"/>
  <c r="Z683" i="17"/>
  <c r="AE683" i="17"/>
  <c r="Z684" i="17"/>
  <c r="AE684" i="17"/>
  <c r="Z685" i="17"/>
  <c r="AE685" i="17"/>
  <c r="Z686" i="17"/>
  <c r="AE686" i="17"/>
  <c r="Z687" i="17"/>
  <c r="AE687" i="17"/>
  <c r="Z688" i="17"/>
  <c r="AE688" i="17"/>
  <c r="Z689" i="17"/>
  <c r="AE689" i="17"/>
  <c r="Z690" i="17"/>
  <c r="AE690" i="17"/>
  <c r="Z691" i="17"/>
  <c r="AE691" i="17"/>
  <c r="Z692" i="17"/>
  <c r="AE692" i="17"/>
  <c r="Z693" i="17"/>
  <c r="AE693" i="17"/>
  <c r="Z694" i="17"/>
  <c r="AE694" i="17"/>
  <c r="Z695" i="17"/>
  <c r="AE695" i="17"/>
  <c r="Z696" i="17"/>
  <c r="AE696" i="17"/>
  <c r="Z697" i="17"/>
  <c r="AE697" i="17"/>
  <c r="Z698" i="17"/>
  <c r="AE698" i="17"/>
  <c r="Z699" i="17"/>
  <c r="AE699" i="17"/>
  <c r="Z700" i="17"/>
  <c r="AE700" i="17"/>
  <c r="Z701" i="17"/>
  <c r="AE701" i="17"/>
  <c r="Z702" i="17"/>
  <c r="AE702" i="17"/>
  <c r="Z703" i="17"/>
  <c r="AE703" i="17"/>
  <c r="Z704" i="17"/>
  <c r="AE704" i="17"/>
  <c r="Z705" i="17"/>
  <c r="AE705" i="17"/>
  <c r="Z706" i="17"/>
  <c r="AE706" i="17"/>
  <c r="Z707" i="17"/>
  <c r="AE707" i="17"/>
  <c r="Z708" i="17"/>
  <c r="AE708" i="17"/>
  <c r="Z709" i="17"/>
  <c r="AE709" i="17"/>
  <c r="Z710" i="17"/>
  <c r="AE710" i="17"/>
  <c r="Z711" i="17"/>
  <c r="AE711" i="17"/>
  <c r="Z712" i="17"/>
  <c r="AE712" i="17"/>
  <c r="Z713" i="17"/>
  <c r="AE713" i="17"/>
  <c r="Z714" i="17"/>
  <c r="AE714" i="17"/>
  <c r="Z715" i="17"/>
  <c r="AE715" i="17"/>
  <c r="Z716" i="17"/>
  <c r="AE716" i="17"/>
  <c r="Z717" i="17"/>
  <c r="AE717" i="17"/>
  <c r="Z718" i="17"/>
  <c r="AE718" i="17"/>
  <c r="Z719" i="17"/>
  <c r="AE719" i="17"/>
  <c r="Z720" i="17"/>
  <c r="AE720" i="17"/>
  <c r="Z721" i="17"/>
  <c r="AE721" i="17"/>
  <c r="Z722" i="17"/>
  <c r="AE722" i="17"/>
  <c r="Z723" i="17"/>
  <c r="AE723" i="17"/>
  <c r="Z724" i="17"/>
  <c r="AE724" i="17"/>
  <c r="Z725" i="17"/>
  <c r="AE725" i="17"/>
  <c r="Z726" i="17"/>
  <c r="AE726" i="17"/>
  <c r="Z727" i="17"/>
  <c r="AE727" i="17"/>
  <c r="Z728" i="17"/>
  <c r="AE728" i="17"/>
  <c r="Z729" i="17"/>
  <c r="AE729" i="17"/>
  <c r="Z730" i="17"/>
  <c r="AE730" i="17"/>
  <c r="Z731" i="17"/>
  <c r="AE731" i="17"/>
  <c r="Z732" i="17"/>
  <c r="AE732" i="17"/>
  <c r="Z733" i="17"/>
  <c r="AE733" i="17"/>
  <c r="Z734" i="17"/>
  <c r="AE734" i="17"/>
  <c r="Z735" i="17"/>
  <c r="AE735" i="17"/>
  <c r="Z736" i="17"/>
  <c r="AE736" i="17"/>
  <c r="Z737" i="17"/>
  <c r="AE737" i="17"/>
  <c r="Z738" i="17"/>
  <c r="AE738" i="17"/>
  <c r="Z739" i="17"/>
  <c r="AE739" i="17"/>
  <c r="Z740" i="17"/>
  <c r="AE740" i="17"/>
  <c r="Z741" i="17"/>
  <c r="AE741" i="17"/>
  <c r="Z742" i="17"/>
  <c r="AE742" i="17"/>
  <c r="Z743" i="17"/>
  <c r="AE743" i="17"/>
  <c r="Z744" i="17"/>
  <c r="AE744" i="17"/>
  <c r="Z745" i="17"/>
  <c r="AE745" i="17"/>
  <c r="Z746" i="17"/>
  <c r="AE746" i="17"/>
  <c r="Z747" i="17"/>
  <c r="AE747" i="17"/>
  <c r="Z748" i="17"/>
  <c r="AE748" i="17"/>
  <c r="Z749" i="17"/>
  <c r="AE749" i="17"/>
  <c r="Z750" i="17"/>
  <c r="AE750" i="17"/>
  <c r="Z751" i="17"/>
  <c r="AE751" i="17"/>
  <c r="Z752" i="17"/>
  <c r="AE752" i="17"/>
  <c r="Z753" i="17"/>
  <c r="AE753" i="17"/>
  <c r="Z754" i="17"/>
  <c r="AE754" i="17"/>
  <c r="Z755" i="17"/>
  <c r="AE755" i="17"/>
  <c r="Z756" i="17"/>
  <c r="AE756" i="17"/>
  <c r="Z757" i="17"/>
  <c r="AE757" i="17"/>
  <c r="Z758" i="17"/>
  <c r="AE758" i="17"/>
  <c r="Z759" i="17"/>
  <c r="AE759" i="17"/>
  <c r="Z760" i="17"/>
  <c r="AE760" i="17"/>
  <c r="Z761" i="17"/>
  <c r="AE761" i="17"/>
  <c r="Z762" i="17"/>
  <c r="AE762" i="17"/>
  <c r="Z763" i="17"/>
  <c r="AE763" i="17"/>
  <c r="Z764" i="17"/>
  <c r="AE764" i="17"/>
  <c r="Z765" i="17"/>
  <c r="AE765" i="17"/>
  <c r="Z766" i="17"/>
  <c r="AE766" i="17"/>
  <c r="Z767" i="17"/>
  <c r="AE767" i="17"/>
  <c r="Z768" i="17"/>
  <c r="AE768" i="17"/>
  <c r="Z769" i="17"/>
  <c r="AE769" i="17"/>
  <c r="Z770" i="17"/>
  <c r="AE770" i="17"/>
  <c r="Z771" i="17"/>
  <c r="AE771" i="17"/>
  <c r="Z772" i="17"/>
  <c r="AE772" i="17"/>
  <c r="Z773" i="17"/>
  <c r="AE773" i="17"/>
  <c r="Z774" i="17"/>
  <c r="AE774" i="17"/>
  <c r="Z775" i="17"/>
  <c r="AE775" i="17"/>
  <c r="Z776" i="17"/>
  <c r="AE776" i="17"/>
  <c r="Z777" i="17"/>
  <c r="AE777" i="17"/>
  <c r="Z778" i="17"/>
  <c r="AE778" i="17"/>
  <c r="Z779" i="17"/>
  <c r="AE779" i="17"/>
  <c r="Z780" i="17"/>
  <c r="AE780" i="17"/>
  <c r="Z781" i="17"/>
  <c r="AE781" i="17"/>
  <c r="Z782" i="17"/>
  <c r="AE782" i="17"/>
  <c r="Z783" i="17"/>
  <c r="AE783" i="17"/>
  <c r="Z784" i="17"/>
  <c r="AE784" i="17"/>
  <c r="Z785" i="17"/>
  <c r="AE785" i="17"/>
  <c r="Z786" i="17"/>
  <c r="AE786" i="17"/>
  <c r="Z787" i="17"/>
  <c r="AE787" i="17"/>
  <c r="Z788" i="17"/>
  <c r="AE788" i="17"/>
  <c r="Z789" i="17"/>
  <c r="AE789" i="17"/>
  <c r="Z790" i="17"/>
  <c r="AE790" i="17"/>
  <c r="Z791" i="17"/>
  <c r="AE791" i="17"/>
  <c r="E5" i="30"/>
  <c r="F5" i="30"/>
  <c r="H5" i="30"/>
  <c r="I5" i="30"/>
  <c r="R5" i="30"/>
  <c r="U5" i="30"/>
  <c r="E6" i="30"/>
  <c r="F6" i="30"/>
  <c r="H6" i="30"/>
  <c r="I6" i="30"/>
  <c r="R6" i="30"/>
  <c r="U6" i="30"/>
  <c r="E7" i="30"/>
  <c r="F7" i="30"/>
  <c r="H7" i="30"/>
  <c r="I7" i="30"/>
  <c r="R7" i="30"/>
  <c r="U7" i="30"/>
  <c r="E8" i="30"/>
  <c r="F8" i="30"/>
  <c r="H8" i="30"/>
  <c r="I8" i="30"/>
  <c r="R8" i="30"/>
  <c r="U8" i="30"/>
  <c r="E9" i="30"/>
  <c r="F9" i="30"/>
  <c r="H9" i="30"/>
  <c r="I9" i="30"/>
  <c r="R9" i="30"/>
  <c r="U9" i="30"/>
  <c r="E10" i="30"/>
  <c r="F10" i="30"/>
  <c r="H10" i="30"/>
  <c r="I10" i="30"/>
  <c r="R10" i="30"/>
  <c r="U10" i="30"/>
  <c r="E11" i="30"/>
  <c r="F11" i="30"/>
  <c r="H11" i="30"/>
  <c r="I11" i="30"/>
  <c r="R11" i="30"/>
  <c r="U11" i="30"/>
  <c r="E12" i="30"/>
  <c r="F12" i="30"/>
  <c r="H12" i="30"/>
  <c r="I12" i="30"/>
  <c r="R12" i="30"/>
  <c r="U12" i="30"/>
  <c r="E13" i="30"/>
  <c r="H13" i="30"/>
  <c r="R13" i="30"/>
  <c r="U13" i="30"/>
  <c r="F14" i="30"/>
  <c r="I14" i="30"/>
  <c r="R14" i="30"/>
  <c r="U14" i="30"/>
  <c r="F15" i="30"/>
  <c r="I15" i="30"/>
  <c r="R15" i="30"/>
  <c r="U15" i="30"/>
  <c r="E16" i="30"/>
  <c r="H16" i="30"/>
  <c r="R16" i="30"/>
  <c r="U16" i="30"/>
  <c r="F17" i="30"/>
  <c r="I17" i="30"/>
  <c r="R17" i="30"/>
  <c r="U17" i="30"/>
  <c r="F18" i="30"/>
  <c r="I18" i="30"/>
  <c r="R18" i="30"/>
  <c r="U18" i="30"/>
  <c r="E19" i="30"/>
  <c r="H19" i="30"/>
  <c r="R19" i="30"/>
  <c r="U19" i="30"/>
  <c r="E20" i="30"/>
  <c r="F20" i="30"/>
  <c r="H20" i="30"/>
  <c r="I20" i="30"/>
  <c r="R20" i="30"/>
  <c r="U20" i="30"/>
  <c r="E21" i="30"/>
  <c r="F21" i="30"/>
  <c r="H21" i="30"/>
  <c r="I21" i="30"/>
  <c r="R21" i="30"/>
  <c r="U21" i="30"/>
  <c r="E22" i="30"/>
  <c r="F22" i="30"/>
  <c r="H22" i="30"/>
  <c r="I22" i="30"/>
  <c r="R22" i="30"/>
  <c r="U22" i="30"/>
  <c r="E23" i="30"/>
  <c r="F23" i="30"/>
  <c r="H23" i="30"/>
  <c r="I23" i="30"/>
  <c r="R23" i="30"/>
  <c r="U23" i="30"/>
  <c r="E24" i="30"/>
  <c r="H24" i="30"/>
  <c r="R24" i="30"/>
  <c r="U24" i="30"/>
  <c r="F25" i="30"/>
  <c r="I25" i="30"/>
  <c r="R25" i="30"/>
  <c r="U25" i="30"/>
  <c r="F26" i="30"/>
  <c r="I26" i="30"/>
  <c r="R26" i="30"/>
  <c r="U26" i="30"/>
  <c r="E27" i="30"/>
  <c r="H27" i="30"/>
  <c r="R27" i="30"/>
  <c r="U27" i="30"/>
  <c r="F28" i="30"/>
  <c r="I28" i="30"/>
  <c r="R28" i="30"/>
  <c r="U28" i="30"/>
  <c r="F29" i="30"/>
  <c r="I29" i="30"/>
  <c r="R29" i="30"/>
  <c r="U29" i="30"/>
  <c r="E30" i="30"/>
  <c r="F30" i="30"/>
  <c r="H30" i="30"/>
  <c r="I30" i="30"/>
  <c r="R30" i="30"/>
  <c r="U30" i="30"/>
  <c r="E31" i="30"/>
  <c r="F31" i="30"/>
  <c r="H31" i="30"/>
  <c r="I31" i="30"/>
  <c r="R31" i="30"/>
  <c r="U31" i="30"/>
  <c r="R32" i="30"/>
  <c r="U32" i="30"/>
  <c r="E33" i="30"/>
  <c r="H33" i="30"/>
  <c r="R33" i="30"/>
  <c r="U33" i="30"/>
  <c r="Q34" i="30"/>
  <c r="T34" i="30"/>
  <c r="Q35" i="30"/>
  <c r="T35" i="30"/>
  <c r="N7" i="6"/>
  <c r="AJ7" i="6"/>
  <c r="AK7" i="6"/>
  <c r="N8" i="6"/>
  <c r="AJ8" i="6"/>
  <c r="AK8" i="6"/>
  <c r="N11" i="6"/>
  <c r="AJ11" i="6"/>
  <c r="AK11" i="6"/>
  <c r="N12" i="6"/>
  <c r="AJ12" i="6"/>
  <c r="AK12" i="6"/>
  <c r="N15" i="6"/>
  <c r="AJ15" i="6"/>
  <c r="AK15" i="6"/>
  <c r="N16" i="6"/>
  <c r="AJ16" i="6"/>
  <c r="AK16" i="6"/>
  <c r="N17" i="6"/>
  <c r="AJ17" i="6"/>
  <c r="AK17" i="6"/>
  <c r="N18" i="6"/>
  <c r="AJ18" i="6"/>
  <c r="AK18" i="6"/>
  <c r="N21" i="6"/>
  <c r="AJ21" i="6"/>
  <c r="AK21" i="6"/>
  <c r="N22" i="6"/>
  <c r="AJ22" i="6"/>
  <c r="AK22" i="6"/>
  <c r="N28" i="6"/>
  <c r="AJ28" i="6"/>
  <c r="AK28" i="6"/>
  <c r="N29" i="6"/>
  <c r="AJ29" i="6"/>
  <c r="AK29" i="6"/>
  <c r="N30" i="6"/>
  <c r="AJ30" i="6"/>
  <c r="AK30" i="6"/>
  <c r="N31" i="6"/>
  <c r="AJ31" i="6"/>
  <c r="AK31" i="6"/>
  <c r="N34" i="6"/>
  <c r="AJ34" i="6"/>
  <c r="AK34" i="6"/>
  <c r="N35" i="6"/>
  <c r="AJ35" i="6"/>
  <c r="AK35" i="6"/>
  <c r="N36" i="6"/>
  <c r="AJ36" i="6"/>
  <c r="AK36" i="6"/>
  <c r="N37" i="6"/>
  <c r="AJ37" i="6"/>
  <c r="AK37" i="6"/>
  <c r="N38" i="6"/>
  <c r="AJ38" i="6"/>
  <c r="AK38" i="6"/>
  <c r="N39" i="6"/>
  <c r="AJ39" i="6"/>
  <c r="AK39" i="6"/>
  <c r="N40" i="6"/>
  <c r="AJ40" i="6"/>
  <c r="AK40" i="6"/>
  <c r="N41" i="6"/>
  <c r="AJ41" i="6"/>
  <c r="AK41" i="6"/>
  <c r="N42" i="6"/>
  <c r="AJ42" i="6"/>
  <c r="AK42" i="6"/>
  <c r="N43" i="6"/>
  <c r="AJ43" i="6"/>
  <c r="AK43" i="6"/>
  <c r="N44" i="6"/>
  <c r="AJ44" i="6"/>
  <c r="AK44" i="6"/>
  <c r="N45" i="6"/>
  <c r="AJ45" i="6"/>
  <c r="AK45" i="6"/>
  <c r="N46" i="6"/>
  <c r="AJ46" i="6"/>
  <c r="AK46" i="6"/>
  <c r="N47" i="6"/>
  <c r="AJ47" i="6"/>
  <c r="AK47" i="6"/>
  <c r="N48" i="6"/>
  <c r="AJ48" i="6"/>
  <c r="AK48" i="6"/>
  <c r="N49" i="6"/>
  <c r="AJ49" i="6"/>
  <c r="AK49" i="6"/>
  <c r="N50" i="6"/>
  <c r="AJ50" i="6"/>
  <c r="AK50" i="6"/>
  <c r="N51" i="6"/>
  <c r="AJ51" i="6"/>
  <c r="AK51" i="6"/>
  <c r="N52" i="6"/>
  <c r="AJ52" i="6"/>
  <c r="AK52" i="6"/>
  <c r="N53" i="6"/>
  <c r="AJ53" i="6"/>
  <c r="AK53" i="6"/>
  <c r="N54" i="6"/>
  <c r="AJ54" i="6"/>
  <c r="AK54" i="6"/>
  <c r="N55" i="6"/>
  <c r="AJ55" i="6"/>
  <c r="AK55" i="6"/>
  <c r="N56" i="6"/>
  <c r="AJ56" i="6"/>
  <c r="AK56" i="6"/>
  <c r="N57" i="6"/>
  <c r="AJ57" i="6"/>
  <c r="AK57" i="6"/>
  <c r="N58" i="6"/>
  <c r="AJ58" i="6"/>
  <c r="AK58" i="6"/>
  <c r="N59" i="6"/>
  <c r="AJ59" i="6"/>
  <c r="AK59" i="6"/>
  <c r="N60" i="6"/>
  <c r="AJ60" i="6"/>
  <c r="AK60" i="6"/>
  <c r="N61" i="6"/>
  <c r="AJ61" i="6"/>
  <c r="AK61" i="6"/>
  <c r="N62" i="6"/>
  <c r="AJ62" i="6"/>
  <c r="AK62" i="6"/>
  <c r="N63" i="6"/>
  <c r="AJ63" i="6"/>
  <c r="AK63" i="6"/>
  <c r="N64" i="6"/>
  <c r="AJ64" i="6"/>
  <c r="AK64" i="6"/>
  <c r="N65" i="6"/>
  <c r="AJ65" i="6"/>
  <c r="AK65" i="6"/>
  <c r="N66" i="6"/>
  <c r="AJ66" i="6"/>
  <c r="AK66" i="6"/>
  <c r="N67" i="6"/>
  <c r="AJ67" i="6"/>
  <c r="AK67" i="6"/>
  <c r="N68" i="6"/>
  <c r="AJ68" i="6"/>
  <c r="AK68" i="6"/>
  <c r="N72" i="6"/>
  <c r="AJ72" i="6"/>
  <c r="AK72" i="6"/>
  <c r="N77" i="6"/>
  <c r="AJ77" i="6"/>
  <c r="AK77" i="6"/>
  <c r="L80" i="6"/>
  <c r="N80" i="6"/>
  <c r="L81" i="6"/>
  <c r="N81" i="6"/>
  <c r="O81" i="6"/>
  <c r="L82" i="6"/>
  <c r="N82" i="6"/>
  <c r="O82" i="6"/>
  <c r="L83" i="6"/>
  <c r="N83" i="6"/>
  <c r="N84" i="6"/>
  <c r="L85" i="6"/>
  <c r="L86" i="6"/>
  <c r="L87" i="6"/>
  <c r="L88" i="6"/>
  <c r="L89" i="6"/>
  <c r="N5" i="23"/>
  <c r="AB5" i="23"/>
  <c r="AC5" i="23"/>
  <c r="AF5" i="23"/>
  <c r="AG5" i="23"/>
  <c r="N6" i="23"/>
  <c r="AB6" i="23"/>
  <c r="AC6" i="23"/>
  <c r="AF6" i="23"/>
  <c r="AG6" i="23"/>
  <c r="N7" i="23"/>
  <c r="AB7" i="23"/>
  <c r="AC7" i="23"/>
  <c r="AF7" i="23"/>
  <c r="AG7" i="23"/>
  <c r="N8" i="23"/>
  <c r="AB8" i="23"/>
  <c r="AC8" i="23"/>
  <c r="AF8" i="23"/>
  <c r="AG8" i="23"/>
  <c r="N9" i="23"/>
  <c r="AB9" i="23"/>
  <c r="AC9" i="23"/>
  <c r="AF9" i="23"/>
  <c r="AG9" i="23"/>
  <c r="N10" i="23"/>
  <c r="AB10" i="23"/>
  <c r="AC10" i="23"/>
  <c r="AF10" i="23"/>
  <c r="AG10" i="23"/>
  <c r="N11" i="23"/>
  <c r="AB11" i="23"/>
  <c r="AC11" i="23"/>
  <c r="AF11" i="23"/>
  <c r="AG11" i="23"/>
  <c r="N12" i="23"/>
  <c r="AB12" i="23"/>
  <c r="AC12" i="23"/>
  <c r="AF12" i="23"/>
  <c r="AG12" i="23"/>
  <c r="N13" i="23"/>
  <c r="AB13" i="23"/>
  <c r="AC13" i="23"/>
  <c r="AF13" i="23"/>
  <c r="AG13" i="23"/>
  <c r="N14" i="23"/>
  <c r="AB14" i="23"/>
  <c r="AC14" i="23"/>
  <c r="AF14" i="23"/>
  <c r="AG14" i="23"/>
  <c r="N15" i="23"/>
  <c r="AB15" i="23"/>
  <c r="AC15" i="23"/>
  <c r="AF15" i="23"/>
  <c r="AG15" i="23"/>
  <c r="N16" i="23"/>
  <c r="AB16" i="23"/>
  <c r="AC16" i="23"/>
  <c r="AF16" i="23"/>
  <c r="AG16" i="23"/>
  <c r="N17" i="23"/>
  <c r="AB17" i="23"/>
  <c r="AC17" i="23"/>
  <c r="AF17" i="23"/>
  <c r="AG17" i="23"/>
  <c r="N18" i="23"/>
  <c r="AB18" i="23"/>
  <c r="AC18" i="23"/>
  <c r="AF18" i="23"/>
  <c r="AG18" i="23"/>
  <c r="N19" i="23"/>
  <c r="AB19" i="23"/>
  <c r="AC19" i="23"/>
  <c r="AF19" i="23"/>
  <c r="AG19" i="23"/>
  <c r="N20" i="23"/>
  <c r="AB20" i="23"/>
  <c r="AC20" i="23"/>
  <c r="AF20" i="23"/>
  <c r="AG20" i="23"/>
  <c r="N21" i="23"/>
  <c r="AB21" i="23"/>
  <c r="AC21" i="23"/>
  <c r="AF21" i="23"/>
  <c r="AG21" i="23"/>
  <c r="N22" i="23"/>
  <c r="AB22" i="23"/>
  <c r="AC22" i="23"/>
  <c r="AF22" i="23"/>
  <c r="AG22" i="23"/>
  <c r="N23" i="23"/>
  <c r="AC23" i="23"/>
  <c r="AF23" i="23"/>
  <c r="AG23" i="23"/>
  <c r="N24" i="23"/>
  <c r="AC24" i="23"/>
  <c r="AF24" i="23"/>
  <c r="AG24" i="23"/>
  <c r="N25" i="23"/>
  <c r="AC25" i="23"/>
  <c r="AF25" i="23"/>
  <c r="AG25" i="23"/>
  <c r="N26" i="23"/>
  <c r="AB26" i="23"/>
  <c r="AC26" i="23"/>
  <c r="AF26" i="23"/>
  <c r="AG26" i="23"/>
  <c r="N27" i="23"/>
  <c r="AB27" i="23"/>
  <c r="AC27" i="23"/>
  <c r="AF27" i="23"/>
  <c r="AG27" i="23"/>
  <c r="N28" i="23"/>
  <c r="AB28" i="23"/>
  <c r="AC28" i="23"/>
  <c r="AF28" i="23"/>
  <c r="AG28" i="23"/>
  <c r="N29" i="23"/>
  <c r="AB29" i="23"/>
  <c r="AC29" i="23"/>
  <c r="AF29" i="23"/>
  <c r="AG29" i="23"/>
  <c r="N30" i="23"/>
  <c r="AB30" i="23"/>
  <c r="AC30" i="23"/>
  <c r="AF30" i="23"/>
  <c r="AG30" i="23"/>
  <c r="N31" i="23"/>
  <c r="AB31" i="23"/>
  <c r="AC31" i="23"/>
  <c r="AF31" i="23"/>
  <c r="AG31" i="23"/>
  <c r="N32" i="23"/>
  <c r="AB32" i="23"/>
  <c r="AC32" i="23"/>
  <c r="AF32" i="23"/>
  <c r="AG32" i="23"/>
  <c r="N33" i="23"/>
  <c r="AB33" i="23"/>
  <c r="AC33" i="23"/>
  <c r="AF33" i="23"/>
  <c r="AG33" i="23"/>
  <c r="N34" i="23"/>
  <c r="AB34" i="23"/>
  <c r="AC34" i="23"/>
  <c r="AF34" i="23"/>
  <c r="AG34" i="23"/>
  <c r="N35" i="23"/>
  <c r="AB35" i="23"/>
  <c r="AC35" i="23"/>
  <c r="AF35" i="23"/>
  <c r="AG35" i="23"/>
  <c r="N36" i="23"/>
  <c r="AB36" i="23"/>
  <c r="AC36" i="23"/>
  <c r="AF36" i="23"/>
  <c r="AG36" i="23"/>
  <c r="N37" i="23"/>
  <c r="AB37" i="23"/>
  <c r="AC37" i="23"/>
  <c r="AF37" i="23"/>
  <c r="AG37" i="23"/>
  <c r="N38" i="23"/>
  <c r="AB38" i="23"/>
  <c r="AC38" i="23"/>
  <c r="AF38" i="23"/>
  <c r="AG38" i="23"/>
  <c r="N39" i="23"/>
  <c r="AB39" i="23"/>
  <c r="AC39" i="23"/>
  <c r="AF39" i="23"/>
  <c r="AG39" i="23"/>
  <c r="N40" i="23"/>
  <c r="AB40" i="23"/>
  <c r="AC40" i="23"/>
  <c r="AF40" i="23"/>
  <c r="AG40" i="23"/>
  <c r="N41" i="23"/>
  <c r="AB41" i="23"/>
  <c r="AC41" i="23"/>
  <c r="AF41" i="23"/>
  <c r="AG41" i="23"/>
  <c r="N42" i="23"/>
  <c r="AB42" i="23"/>
  <c r="AC42" i="23"/>
  <c r="AF42" i="23"/>
  <c r="AG42" i="23"/>
  <c r="N43" i="23"/>
  <c r="AB43" i="23"/>
  <c r="AC43" i="23"/>
  <c r="AF43" i="23"/>
  <c r="AG43" i="23"/>
  <c r="N44" i="23"/>
  <c r="AB44" i="23"/>
  <c r="AC44" i="23"/>
  <c r="AF44" i="23"/>
  <c r="AG44" i="23"/>
  <c r="N45" i="23"/>
  <c r="AB45" i="23"/>
  <c r="AC45" i="23"/>
  <c r="AF45" i="23"/>
  <c r="AG45" i="23"/>
  <c r="N46" i="23"/>
  <c r="AB46" i="23"/>
  <c r="AC46" i="23"/>
  <c r="AF46" i="23"/>
  <c r="AG46" i="23"/>
  <c r="N47" i="23"/>
  <c r="AB47" i="23"/>
  <c r="AC47" i="23"/>
  <c r="AF47" i="23"/>
  <c r="AG47" i="23"/>
  <c r="N48" i="23"/>
  <c r="AB48" i="23"/>
  <c r="AC48" i="23"/>
  <c r="AF48" i="23"/>
  <c r="AG48" i="23"/>
  <c r="N49" i="23"/>
  <c r="AB49" i="23"/>
  <c r="AC49" i="23"/>
  <c r="AF49" i="23"/>
  <c r="AG49" i="23"/>
  <c r="N50" i="23"/>
  <c r="AB50" i="23"/>
  <c r="AC50" i="23"/>
  <c r="AF50" i="23"/>
  <c r="AG50" i="23"/>
  <c r="N51" i="23"/>
  <c r="AB51" i="23"/>
  <c r="AC51" i="23"/>
  <c r="AF51" i="23"/>
  <c r="AG51" i="23"/>
  <c r="N52" i="23"/>
  <c r="AB52" i="23"/>
  <c r="AC52" i="23"/>
  <c r="AF52" i="23"/>
  <c r="AG52" i="23"/>
  <c r="N53" i="23"/>
  <c r="AB53" i="23"/>
  <c r="AC53" i="23"/>
  <c r="AF53" i="23"/>
  <c r="AG53" i="23"/>
  <c r="N54" i="23"/>
  <c r="AB54" i="23"/>
  <c r="AC54" i="23"/>
  <c r="AF54" i="23"/>
  <c r="AG54" i="23"/>
  <c r="N55" i="23"/>
  <c r="AB55" i="23"/>
  <c r="AC55" i="23"/>
  <c r="AF55" i="23"/>
  <c r="AG55" i="23"/>
  <c r="N56" i="23"/>
  <c r="AB56" i="23"/>
  <c r="AC56" i="23"/>
  <c r="AF56" i="23"/>
  <c r="AG56" i="23"/>
  <c r="N57" i="23"/>
  <c r="AB57" i="23"/>
  <c r="AC57" i="23"/>
  <c r="AF57" i="23"/>
  <c r="AG57" i="23"/>
  <c r="N58" i="23"/>
  <c r="AB58" i="23"/>
  <c r="AC58" i="23"/>
  <c r="AF58" i="23"/>
  <c r="AG58" i="23"/>
  <c r="N59" i="23"/>
  <c r="AB59" i="23"/>
  <c r="AC59" i="23"/>
  <c r="AF59" i="23"/>
  <c r="AG59" i="23"/>
  <c r="N60" i="23"/>
  <c r="AB60" i="23"/>
  <c r="AC60" i="23"/>
  <c r="AF60" i="23"/>
  <c r="AG60" i="23"/>
  <c r="N61" i="23"/>
  <c r="AB61" i="23"/>
  <c r="AC61" i="23"/>
  <c r="AF61" i="23"/>
  <c r="AG61" i="23"/>
  <c r="N62" i="23"/>
  <c r="AB62" i="23"/>
  <c r="AC62" i="23"/>
  <c r="AF62" i="23"/>
  <c r="AG62" i="23"/>
  <c r="N63" i="23"/>
  <c r="AB63" i="23"/>
  <c r="AC63" i="23"/>
  <c r="AF63" i="23"/>
  <c r="AG63" i="23"/>
  <c r="N64" i="23"/>
  <c r="AB64" i="23"/>
  <c r="AC64" i="23"/>
  <c r="AF64" i="23"/>
  <c r="AG64" i="23"/>
  <c r="N65" i="23"/>
  <c r="AB65" i="23"/>
  <c r="AC65" i="23"/>
  <c r="AF65" i="23"/>
  <c r="AG65" i="23"/>
  <c r="N66" i="23"/>
  <c r="AB66" i="23"/>
  <c r="AC66" i="23"/>
  <c r="AF66" i="23"/>
  <c r="AG66" i="23"/>
  <c r="N67" i="23"/>
  <c r="AB67" i="23"/>
  <c r="AC67" i="23"/>
  <c r="AF67" i="23"/>
  <c r="AG67" i="23"/>
  <c r="N68" i="23"/>
  <c r="AB68" i="23"/>
  <c r="AC68" i="23"/>
  <c r="AF68" i="23"/>
  <c r="AG68" i="23"/>
  <c r="N74" i="23"/>
  <c r="AB74" i="23"/>
  <c r="AC74" i="23"/>
  <c r="AF74" i="23"/>
  <c r="AG74" i="23"/>
  <c r="N75" i="23"/>
  <c r="AB75" i="23"/>
  <c r="AC75" i="23"/>
  <c r="AF75" i="23"/>
  <c r="AG75" i="23"/>
  <c r="N76" i="23"/>
  <c r="AB76" i="23"/>
  <c r="AC76" i="23"/>
  <c r="AF76" i="23"/>
  <c r="AG76" i="23"/>
  <c r="N77" i="23"/>
  <c r="AB77" i="23"/>
  <c r="AC77" i="23"/>
  <c r="AF77" i="23"/>
  <c r="AG77" i="23"/>
  <c r="N78" i="23"/>
  <c r="AB78" i="23"/>
  <c r="AC78" i="23"/>
  <c r="AF78" i="23"/>
  <c r="AG78" i="23"/>
  <c r="N79" i="23"/>
  <c r="AB79" i="23"/>
  <c r="AC79" i="23"/>
  <c r="AF79" i="23"/>
  <c r="AG79" i="23"/>
  <c r="N80" i="23"/>
  <c r="AB80" i="23"/>
  <c r="AC80" i="23"/>
  <c r="AF80" i="23"/>
  <c r="AG80" i="23"/>
  <c r="N81" i="23"/>
  <c r="AB81" i="23"/>
  <c r="AC81" i="23"/>
  <c r="AF81" i="23"/>
  <c r="AG81" i="23"/>
  <c r="N82" i="23"/>
  <c r="AB82" i="23"/>
  <c r="AC82" i="23"/>
  <c r="AF82" i="23"/>
  <c r="AG82" i="23"/>
  <c r="N83" i="23"/>
  <c r="AB83" i="23"/>
  <c r="AC83" i="23"/>
  <c r="AF83" i="23"/>
  <c r="AG83" i="23"/>
  <c r="N84" i="23"/>
  <c r="AB84" i="23"/>
  <c r="AC84" i="23"/>
  <c r="AF84" i="23"/>
  <c r="AG84" i="23"/>
  <c r="N85" i="23"/>
  <c r="AB85" i="23"/>
  <c r="AC85" i="23"/>
  <c r="AF85" i="23"/>
  <c r="AG85" i="23"/>
  <c r="N86" i="23"/>
  <c r="AB86" i="23"/>
  <c r="AC86" i="23"/>
  <c r="AF86" i="23"/>
  <c r="AG86" i="23"/>
  <c r="N87" i="23"/>
  <c r="AB87" i="23"/>
  <c r="AC87" i="23"/>
  <c r="AF87" i="23"/>
  <c r="AG87" i="23"/>
  <c r="N88" i="23"/>
  <c r="AB88" i="23"/>
  <c r="AC88" i="23"/>
  <c r="AF88" i="23"/>
  <c r="AG88" i="23"/>
  <c r="N89" i="23"/>
  <c r="AB89" i="23"/>
  <c r="AC89" i="23"/>
  <c r="AF89" i="23"/>
  <c r="AG89" i="23"/>
  <c r="N90" i="23"/>
  <c r="AB90" i="23"/>
  <c r="AC90" i="23"/>
  <c r="AF90" i="23"/>
  <c r="AG90" i="23"/>
  <c r="N91" i="23"/>
  <c r="AB91" i="23"/>
  <c r="AC91" i="23"/>
  <c r="AF91" i="23"/>
  <c r="AG91" i="23"/>
  <c r="N92" i="23"/>
  <c r="AC92" i="23"/>
  <c r="AF92" i="23"/>
  <c r="AG92" i="23"/>
  <c r="N93" i="23"/>
  <c r="AC93" i="23"/>
  <c r="AF93" i="23"/>
  <c r="AG93" i="23"/>
  <c r="N94" i="23"/>
  <c r="AC94" i="23"/>
  <c r="AF94" i="23"/>
  <c r="AG94" i="23"/>
  <c r="N95" i="23"/>
  <c r="AB95" i="23"/>
  <c r="AC95" i="23"/>
  <c r="AF95" i="23"/>
  <c r="AG95" i="23"/>
  <c r="N96" i="23"/>
  <c r="AB96" i="23"/>
  <c r="AC96" i="23"/>
  <c r="AF96" i="23"/>
  <c r="AG96" i="23"/>
  <c r="N97" i="23"/>
  <c r="AB97" i="23"/>
  <c r="AC97" i="23"/>
  <c r="AF97" i="23"/>
  <c r="AG97" i="23"/>
  <c r="N98" i="23"/>
  <c r="AB98" i="23"/>
  <c r="AC98" i="23"/>
  <c r="AF98" i="23"/>
  <c r="AG98" i="23"/>
  <c r="N99" i="23"/>
  <c r="AB99" i="23"/>
  <c r="AC99" i="23"/>
  <c r="AF99" i="23"/>
  <c r="AG99" i="23"/>
  <c r="N100" i="23"/>
  <c r="AB100" i="23"/>
  <c r="AC100" i="23"/>
  <c r="AF100" i="23"/>
  <c r="AG100" i="23"/>
  <c r="N101" i="23"/>
  <c r="AB101" i="23"/>
  <c r="AC101" i="23"/>
  <c r="AF101" i="23"/>
  <c r="AG101" i="23"/>
  <c r="N102" i="23"/>
  <c r="AB102" i="23"/>
  <c r="AC102" i="23"/>
  <c r="AF102" i="23"/>
  <c r="AG102" i="23"/>
  <c r="N103" i="23"/>
  <c r="AB103" i="23"/>
  <c r="AC103" i="23"/>
  <c r="AF103" i="23"/>
  <c r="AG103" i="23"/>
  <c r="N104" i="23"/>
  <c r="AB104" i="23"/>
  <c r="AC104" i="23"/>
  <c r="AF104" i="23"/>
  <c r="AG104" i="23"/>
  <c r="N105" i="23"/>
  <c r="AB105" i="23"/>
  <c r="AC105" i="23"/>
  <c r="AF105" i="23"/>
  <c r="AG105" i="23"/>
  <c r="N106" i="23"/>
  <c r="AB106" i="23"/>
  <c r="AC106" i="23"/>
  <c r="AF106" i="23"/>
  <c r="AG106" i="23"/>
  <c r="N107" i="23"/>
  <c r="AB107" i="23"/>
  <c r="AC107" i="23"/>
  <c r="AF107" i="23"/>
  <c r="AG107" i="23"/>
  <c r="N108" i="23"/>
  <c r="AB108" i="23"/>
  <c r="AC108" i="23"/>
  <c r="AF108" i="23"/>
  <c r="AG108" i="23"/>
  <c r="N109" i="23"/>
  <c r="AB109" i="23"/>
  <c r="AC109" i="23"/>
  <c r="AF109" i="23"/>
  <c r="AG109" i="23"/>
  <c r="N110" i="23"/>
  <c r="AB110" i="23"/>
  <c r="AC110" i="23"/>
  <c r="AF110" i="23"/>
  <c r="AG110" i="23"/>
  <c r="N111" i="23"/>
  <c r="AB111" i="23"/>
  <c r="AC111" i="23"/>
  <c r="AF111" i="23"/>
  <c r="AG111" i="23"/>
  <c r="N112" i="23"/>
  <c r="AB112" i="23"/>
  <c r="AC112" i="23"/>
  <c r="AF112" i="23"/>
  <c r="AG112" i="23"/>
  <c r="N113" i="23"/>
  <c r="AB113" i="23"/>
  <c r="AC113" i="23"/>
  <c r="AF113" i="23"/>
  <c r="AG113" i="23"/>
  <c r="N114" i="23"/>
  <c r="AB114" i="23"/>
  <c r="AC114" i="23"/>
  <c r="AF114" i="23"/>
  <c r="AG114" i="23"/>
  <c r="N115" i="23"/>
  <c r="AB115" i="23"/>
  <c r="AC115" i="23"/>
  <c r="AF115" i="23"/>
  <c r="AG115" i="23"/>
  <c r="N116" i="23"/>
  <c r="AB116" i="23"/>
  <c r="AC116" i="23"/>
  <c r="AF116" i="23"/>
  <c r="AG116" i="23"/>
  <c r="N117" i="23"/>
  <c r="AB117" i="23"/>
  <c r="AC117" i="23"/>
  <c r="AF117" i="23"/>
  <c r="AG117" i="23"/>
  <c r="N118" i="23"/>
  <c r="AB118" i="23"/>
  <c r="AC118" i="23"/>
  <c r="AF118" i="23"/>
  <c r="AG118" i="23"/>
  <c r="N119" i="23"/>
  <c r="AB119" i="23"/>
  <c r="AC119" i="23"/>
  <c r="AF119" i="23"/>
  <c r="AG119" i="23"/>
  <c r="N120" i="23"/>
  <c r="AB120" i="23"/>
  <c r="AC120" i="23"/>
  <c r="AF120" i="23"/>
  <c r="AG120" i="23"/>
  <c r="N121" i="23"/>
  <c r="AB121" i="23"/>
  <c r="AC121" i="23"/>
  <c r="AF121" i="23"/>
  <c r="AG121" i="23"/>
  <c r="N122" i="23"/>
  <c r="AB122" i="23"/>
  <c r="AC122" i="23"/>
  <c r="AF122" i="23"/>
  <c r="AG122" i="23"/>
  <c r="N123" i="23"/>
  <c r="AB123" i="23"/>
  <c r="AC123" i="23"/>
  <c r="AF123" i="23"/>
  <c r="AG123" i="23"/>
  <c r="N124" i="23"/>
  <c r="AB124" i="23"/>
  <c r="AC124" i="23"/>
  <c r="AF124" i="23"/>
  <c r="AG124" i="23"/>
  <c r="N125" i="23"/>
  <c r="AB125" i="23"/>
  <c r="AC125" i="23"/>
  <c r="AF125" i="23"/>
  <c r="AG125" i="23"/>
  <c r="N126" i="23"/>
  <c r="AB126" i="23"/>
  <c r="AC126" i="23"/>
  <c r="AF126" i="23"/>
  <c r="AG126" i="23"/>
  <c r="N127" i="23"/>
  <c r="AB127" i="23"/>
  <c r="AC127" i="23"/>
  <c r="AF127" i="23"/>
  <c r="AG127" i="23"/>
  <c r="N128" i="23"/>
  <c r="AB128" i="23"/>
  <c r="AC128" i="23"/>
  <c r="AF128" i="23"/>
  <c r="AG128" i="23"/>
  <c r="N129" i="23"/>
  <c r="AB129" i="23"/>
  <c r="AC129" i="23"/>
  <c r="AF129" i="23"/>
  <c r="AG129" i="23"/>
  <c r="N130" i="23"/>
  <c r="AB130" i="23"/>
  <c r="AC130" i="23"/>
  <c r="AF130" i="23"/>
  <c r="AG130" i="23"/>
  <c r="N131" i="23"/>
  <c r="AB131" i="23"/>
  <c r="AC131" i="23"/>
  <c r="AF131" i="23"/>
  <c r="AG131" i="23"/>
  <c r="N132" i="23"/>
  <c r="AB132" i="23"/>
  <c r="AC132" i="23"/>
  <c r="AF132" i="23"/>
  <c r="AG132" i="23"/>
  <c r="N133" i="23"/>
  <c r="AB133" i="23"/>
  <c r="AC133" i="23"/>
  <c r="AF133" i="23"/>
  <c r="AG133" i="23"/>
  <c r="N134" i="23"/>
  <c r="AB134" i="23"/>
  <c r="AC134" i="23"/>
  <c r="AF134" i="23"/>
  <c r="AG134" i="23"/>
  <c r="N135" i="23"/>
  <c r="AB135" i="23"/>
  <c r="AC135" i="23"/>
  <c r="AF135" i="23"/>
  <c r="AG135" i="23"/>
  <c r="N136" i="23"/>
  <c r="AB136" i="23"/>
  <c r="AC136" i="23"/>
  <c r="AF136" i="23"/>
  <c r="AG136" i="23"/>
  <c r="N137" i="23"/>
  <c r="AB137" i="23"/>
  <c r="AC137" i="23"/>
  <c r="AF137" i="23"/>
  <c r="AG137" i="23"/>
  <c r="N5" i="7"/>
  <c r="T5" i="7"/>
  <c r="AJ5" i="7"/>
  <c r="AK5" i="7"/>
  <c r="AL5" i="7"/>
  <c r="AM5" i="7"/>
  <c r="N6" i="7"/>
  <c r="T6" i="7"/>
  <c r="AJ6" i="7"/>
  <c r="AK6" i="7"/>
  <c r="AL6" i="7"/>
  <c r="AM6" i="7"/>
  <c r="N7" i="7"/>
  <c r="T7" i="7"/>
  <c r="AJ7" i="7"/>
  <c r="AK7" i="7"/>
  <c r="AL7" i="7"/>
  <c r="AM7" i="7"/>
  <c r="N8" i="7"/>
  <c r="T8" i="7"/>
  <c r="AJ8" i="7"/>
  <c r="AK8" i="7"/>
  <c r="AL8" i="7"/>
  <c r="AM8" i="7"/>
  <c r="N9" i="7"/>
  <c r="T9" i="7"/>
  <c r="AJ9" i="7"/>
  <c r="AK9" i="7"/>
  <c r="AL9" i="7"/>
  <c r="AM9" i="7"/>
  <c r="N10" i="7"/>
  <c r="T10" i="7"/>
  <c r="AJ10" i="7"/>
  <c r="AK10" i="7"/>
  <c r="AL10" i="7"/>
  <c r="AM10" i="7"/>
  <c r="N11" i="7"/>
  <c r="T11" i="7"/>
  <c r="AJ11" i="7"/>
  <c r="AK11" i="7"/>
  <c r="AL11" i="7"/>
  <c r="AM11" i="7"/>
  <c r="N12" i="7"/>
  <c r="T12" i="7"/>
  <c r="AJ12" i="7"/>
  <c r="AK12" i="7"/>
  <c r="AL12" i="7"/>
  <c r="AM12" i="7"/>
  <c r="N13" i="7"/>
  <c r="T13" i="7"/>
  <c r="AJ13" i="7"/>
  <c r="AK13" i="7"/>
  <c r="AL13" i="7"/>
  <c r="AM13" i="7"/>
  <c r="N14" i="7"/>
  <c r="T14" i="7"/>
  <c r="AJ14" i="7"/>
  <c r="AK14" i="7"/>
  <c r="AL14" i="7"/>
  <c r="AM14" i="7"/>
  <c r="N15" i="7"/>
  <c r="T15" i="7"/>
  <c r="AJ15" i="7"/>
  <c r="AK15" i="7"/>
  <c r="AL15" i="7"/>
  <c r="AM15" i="7"/>
  <c r="N16" i="7"/>
  <c r="T16" i="7"/>
  <c r="AJ16" i="7"/>
  <c r="AK16" i="7"/>
  <c r="AL16" i="7"/>
  <c r="AM16" i="7"/>
  <c r="N17" i="7"/>
  <c r="T17" i="7"/>
  <c r="AJ17" i="7"/>
  <c r="AK17" i="7"/>
  <c r="AL17" i="7"/>
  <c r="AM17" i="7"/>
  <c r="N18" i="7"/>
  <c r="T18" i="7"/>
  <c r="AJ18" i="7"/>
  <c r="AK18" i="7"/>
  <c r="AL18" i="7"/>
  <c r="AM18" i="7"/>
  <c r="N19" i="7"/>
  <c r="T19" i="7"/>
  <c r="AJ19" i="7"/>
  <c r="AK19" i="7"/>
  <c r="AL19" i="7"/>
  <c r="AM19" i="7"/>
  <c r="N20" i="7"/>
  <c r="T20" i="7"/>
  <c r="AJ20" i="7"/>
  <c r="AK20" i="7"/>
  <c r="AL20" i="7"/>
  <c r="AM20" i="7"/>
  <c r="N21" i="7"/>
  <c r="T21" i="7"/>
  <c r="AJ21" i="7"/>
  <c r="AK21" i="7"/>
  <c r="AL21" i="7"/>
  <c r="AM21" i="7"/>
  <c r="N22" i="7"/>
  <c r="T22" i="7"/>
  <c r="AJ22" i="7"/>
  <c r="AK22" i="7"/>
  <c r="AL22" i="7"/>
  <c r="AM22" i="7"/>
  <c r="N23" i="7"/>
  <c r="T23" i="7"/>
  <c r="AJ23" i="7"/>
  <c r="AK23" i="7"/>
  <c r="AL23" i="7"/>
  <c r="AM23" i="7"/>
  <c r="N24" i="7"/>
  <c r="T24" i="7"/>
  <c r="AJ24" i="7"/>
  <c r="AK24" i="7"/>
  <c r="AL24" i="7"/>
  <c r="AM24" i="7"/>
  <c r="N25" i="7"/>
  <c r="T25" i="7"/>
  <c r="AJ25" i="7"/>
  <c r="AK25" i="7"/>
  <c r="AL25" i="7"/>
  <c r="AM25" i="7"/>
  <c r="N26" i="7"/>
  <c r="T26" i="7"/>
  <c r="AJ26" i="7"/>
  <c r="AK26" i="7"/>
  <c r="AL26" i="7"/>
  <c r="AM26" i="7"/>
  <c r="N27" i="7"/>
  <c r="T27" i="7"/>
  <c r="AJ27" i="7"/>
  <c r="AK27" i="7"/>
  <c r="AL27" i="7"/>
  <c r="AM27" i="7"/>
  <c r="N28" i="7"/>
  <c r="T28" i="7"/>
  <c r="AJ28" i="7"/>
  <c r="AK28" i="7"/>
  <c r="AL28" i="7"/>
  <c r="AM28" i="7"/>
  <c r="N29" i="7"/>
  <c r="T29" i="7"/>
  <c r="AJ29" i="7"/>
  <c r="AK29" i="7"/>
  <c r="AL29" i="7"/>
  <c r="AM29" i="7"/>
  <c r="N30" i="7"/>
  <c r="T30" i="7"/>
  <c r="AJ30" i="7"/>
  <c r="AK30" i="7"/>
  <c r="AL30" i="7"/>
  <c r="AM30" i="7"/>
  <c r="N31" i="7"/>
  <c r="T31" i="7"/>
  <c r="AJ31" i="7"/>
  <c r="AK31" i="7"/>
  <c r="AL31" i="7"/>
  <c r="AM31" i="7"/>
  <c r="N32" i="7"/>
  <c r="T32" i="7"/>
  <c r="AJ32" i="7"/>
  <c r="AK32" i="7"/>
  <c r="AL32" i="7"/>
  <c r="AM32" i="7"/>
  <c r="N33" i="7"/>
  <c r="T33" i="7"/>
  <c r="AJ33" i="7"/>
  <c r="AK33" i="7"/>
  <c r="AL33" i="7"/>
  <c r="AM33" i="7"/>
  <c r="N34" i="7"/>
  <c r="T34" i="7"/>
  <c r="AJ34" i="7"/>
  <c r="AK34" i="7"/>
  <c r="AL34" i="7"/>
  <c r="AM34" i="7"/>
  <c r="N35" i="7"/>
  <c r="T35" i="7"/>
  <c r="AJ35" i="7"/>
  <c r="AK35" i="7"/>
  <c r="AL35" i="7"/>
  <c r="AM35" i="7"/>
  <c r="N36" i="7"/>
  <c r="T36" i="7"/>
  <c r="AJ36" i="7"/>
  <c r="AK36" i="7"/>
  <c r="AL36" i="7"/>
  <c r="AM36" i="7"/>
  <c r="N37" i="7"/>
  <c r="T37" i="7"/>
  <c r="AJ37" i="7"/>
  <c r="AK37" i="7"/>
  <c r="AL37" i="7"/>
  <c r="AM37" i="7"/>
  <c r="N38" i="7"/>
  <c r="T38" i="7"/>
  <c r="AJ38" i="7"/>
  <c r="AK38" i="7"/>
  <c r="AL38" i="7"/>
  <c r="AM38" i="7"/>
  <c r="N39" i="7"/>
  <c r="T39" i="7"/>
  <c r="AJ39" i="7"/>
  <c r="AK39" i="7"/>
  <c r="AL39" i="7"/>
  <c r="AM39" i="7"/>
  <c r="N40" i="7"/>
  <c r="T40" i="7"/>
  <c r="AJ40" i="7"/>
  <c r="AK40" i="7"/>
  <c r="AL40" i="7"/>
  <c r="AM40" i="7"/>
  <c r="N41" i="7"/>
  <c r="T41" i="7"/>
  <c r="AJ41" i="7"/>
  <c r="AK41" i="7"/>
  <c r="AL41" i="7"/>
  <c r="AM41" i="7"/>
  <c r="N42" i="7"/>
  <c r="T42" i="7"/>
  <c r="AJ42" i="7"/>
  <c r="AK42" i="7"/>
  <c r="AL42" i="7"/>
  <c r="AM42" i="7"/>
  <c r="N43" i="7"/>
  <c r="T43" i="7"/>
  <c r="AJ43" i="7"/>
  <c r="AK43" i="7"/>
  <c r="AL43" i="7"/>
  <c r="AM43" i="7"/>
  <c r="N44" i="7"/>
  <c r="T44" i="7"/>
  <c r="AJ44" i="7"/>
  <c r="AK44" i="7"/>
  <c r="AL44" i="7"/>
  <c r="AM44" i="7"/>
  <c r="N45" i="7"/>
  <c r="T45" i="7"/>
  <c r="AJ45" i="7"/>
  <c r="AK45" i="7"/>
  <c r="AL45" i="7"/>
  <c r="AM45" i="7"/>
  <c r="N46" i="7"/>
  <c r="T46" i="7"/>
  <c r="AJ46" i="7"/>
  <c r="AK46" i="7"/>
  <c r="AL46" i="7"/>
  <c r="AM46" i="7"/>
  <c r="N47" i="7"/>
  <c r="T47" i="7"/>
  <c r="AJ47" i="7"/>
  <c r="AK47" i="7"/>
  <c r="AL47" i="7"/>
  <c r="AM47" i="7"/>
  <c r="N48" i="7"/>
  <c r="T48" i="7"/>
  <c r="AJ48" i="7"/>
  <c r="AK48" i="7"/>
  <c r="AL48" i="7"/>
  <c r="AM48" i="7"/>
  <c r="N49" i="7"/>
  <c r="T49" i="7"/>
  <c r="AJ49" i="7"/>
  <c r="AK49" i="7"/>
  <c r="AL49" i="7"/>
  <c r="AM49" i="7"/>
  <c r="N50" i="7"/>
  <c r="T50" i="7"/>
  <c r="AJ50" i="7"/>
  <c r="AK50" i="7"/>
  <c r="AL50" i="7"/>
  <c r="AM50" i="7"/>
  <c r="N51" i="7"/>
  <c r="T51" i="7"/>
  <c r="AJ51" i="7"/>
  <c r="AK51" i="7"/>
  <c r="AL51" i="7"/>
  <c r="AM51" i="7"/>
  <c r="N52" i="7"/>
  <c r="T52" i="7"/>
  <c r="AJ52" i="7"/>
  <c r="AK52" i="7"/>
  <c r="AL52" i="7"/>
  <c r="AM52" i="7"/>
  <c r="N53" i="7"/>
  <c r="T53" i="7"/>
  <c r="AJ53" i="7"/>
  <c r="AK53" i="7"/>
  <c r="AL53" i="7"/>
  <c r="AM53" i="7"/>
  <c r="N54" i="7"/>
  <c r="T54" i="7"/>
  <c r="AJ54" i="7"/>
  <c r="AK54" i="7"/>
  <c r="AL54" i="7"/>
  <c r="AM54" i="7"/>
  <c r="N55" i="7"/>
  <c r="T55" i="7"/>
  <c r="AJ55" i="7"/>
  <c r="AK55" i="7"/>
  <c r="AL55" i="7"/>
  <c r="AM55" i="7"/>
  <c r="N56" i="7"/>
  <c r="T56" i="7"/>
  <c r="AJ56" i="7"/>
  <c r="AK56" i="7"/>
  <c r="AL56" i="7"/>
  <c r="AM56" i="7"/>
  <c r="N57" i="7"/>
  <c r="T57" i="7"/>
  <c r="AJ57" i="7"/>
  <c r="AK57" i="7"/>
  <c r="AL57" i="7"/>
  <c r="AM57" i="7"/>
  <c r="N58" i="7"/>
  <c r="T58" i="7"/>
  <c r="AJ58" i="7"/>
  <c r="AK58" i="7"/>
  <c r="AL58" i="7"/>
  <c r="AM58" i="7"/>
  <c r="N59" i="7"/>
  <c r="T59" i="7"/>
  <c r="AJ59" i="7"/>
  <c r="AK59" i="7"/>
  <c r="AL59" i="7"/>
  <c r="AM59" i="7"/>
  <c r="N60" i="7"/>
  <c r="T60" i="7"/>
  <c r="AJ60" i="7"/>
  <c r="AK60" i="7"/>
  <c r="AL60" i="7"/>
  <c r="AM60" i="7"/>
  <c r="N61" i="7"/>
  <c r="T61" i="7"/>
  <c r="AJ61" i="7"/>
  <c r="AK61" i="7"/>
  <c r="AL61" i="7"/>
  <c r="AM61" i="7"/>
  <c r="N62" i="7"/>
  <c r="T62" i="7"/>
  <c r="AJ62" i="7"/>
  <c r="AK62" i="7"/>
  <c r="AL62" i="7"/>
  <c r="AM62" i="7"/>
  <c r="N63" i="7"/>
  <c r="T63" i="7"/>
  <c r="AJ63" i="7"/>
  <c r="AK63" i="7"/>
  <c r="AL63" i="7"/>
  <c r="AM63" i="7"/>
  <c r="N64" i="7"/>
  <c r="T64" i="7"/>
  <c r="AJ64" i="7"/>
  <c r="AK64" i="7"/>
  <c r="AL64" i="7"/>
  <c r="AM64" i="7"/>
  <c r="N65" i="7"/>
  <c r="T65" i="7"/>
  <c r="AJ65" i="7"/>
  <c r="AK65" i="7"/>
  <c r="AL65" i="7"/>
  <c r="AM65" i="7"/>
  <c r="N66" i="7"/>
  <c r="T66" i="7"/>
  <c r="AJ66" i="7"/>
  <c r="AK66" i="7"/>
  <c r="AL66" i="7"/>
  <c r="AM66" i="7"/>
  <c r="N67" i="7"/>
  <c r="T67" i="7"/>
  <c r="AJ67" i="7"/>
  <c r="AK67" i="7"/>
  <c r="AL67" i="7"/>
  <c r="AM67" i="7"/>
  <c r="N68" i="7"/>
  <c r="T68" i="7"/>
  <c r="AJ68" i="7"/>
  <c r="AK68" i="7"/>
  <c r="AL68" i="7"/>
  <c r="AM68" i="7"/>
  <c r="N70" i="7"/>
  <c r="T70" i="7"/>
  <c r="AJ70" i="7"/>
  <c r="AK70" i="7"/>
  <c r="AL70" i="7"/>
  <c r="AM70" i="7"/>
  <c r="N75" i="7"/>
  <c r="AE75" i="7"/>
  <c r="AF75" i="7"/>
  <c r="AJ75" i="7"/>
  <c r="AK75" i="7"/>
  <c r="N5" i="8"/>
  <c r="T5" i="8"/>
  <c r="AE5" i="8"/>
  <c r="AF5" i="8"/>
  <c r="AG5" i="8"/>
  <c r="AJ5" i="8"/>
  <c r="AK5" i="8"/>
  <c r="AL5" i="8"/>
  <c r="AM5" i="8"/>
  <c r="AO5" i="8"/>
  <c r="AP5" i="8"/>
  <c r="N6" i="8"/>
  <c r="T6" i="8"/>
  <c r="AE6" i="8"/>
  <c r="AF6" i="8"/>
  <c r="AG6" i="8"/>
  <c r="AJ6" i="8"/>
  <c r="AK6" i="8"/>
  <c r="AL6" i="8"/>
  <c r="AM6" i="8"/>
  <c r="AO6" i="8"/>
  <c r="AP6" i="8"/>
  <c r="N7" i="8"/>
  <c r="T7" i="8"/>
  <c r="AE7" i="8"/>
  <c r="AF7" i="8"/>
  <c r="AG7" i="8"/>
  <c r="AJ7" i="8"/>
  <c r="AK7" i="8"/>
  <c r="AL7" i="8"/>
  <c r="AM7" i="8"/>
  <c r="AO7" i="8"/>
  <c r="AP7" i="8"/>
  <c r="N8" i="8"/>
  <c r="T8" i="8"/>
  <c r="AE8" i="8"/>
  <c r="AF8" i="8"/>
  <c r="AG8" i="8"/>
  <c r="AJ8" i="8"/>
  <c r="AK8" i="8"/>
  <c r="AL8" i="8"/>
  <c r="AM8" i="8"/>
  <c r="AO8" i="8"/>
  <c r="AP8" i="8"/>
  <c r="N9" i="8"/>
  <c r="T9" i="8"/>
  <c r="AE9" i="8"/>
  <c r="AF9" i="8"/>
  <c r="AG9" i="8"/>
  <c r="AJ9" i="8"/>
  <c r="AK9" i="8"/>
  <c r="AL9" i="8"/>
  <c r="AM9" i="8"/>
  <c r="AO9" i="8"/>
  <c r="AP9" i="8"/>
  <c r="N10" i="8"/>
  <c r="T10" i="8"/>
  <c r="AE10" i="8"/>
  <c r="AF10" i="8"/>
  <c r="AG10" i="8"/>
  <c r="AJ10" i="8"/>
  <c r="AK10" i="8"/>
  <c r="AL10" i="8"/>
  <c r="AM10" i="8"/>
  <c r="AO10" i="8"/>
  <c r="AP10" i="8"/>
  <c r="N11" i="8"/>
  <c r="T11" i="8"/>
  <c r="AE11" i="8"/>
  <c r="AF11" i="8"/>
  <c r="AG11" i="8"/>
  <c r="AJ11" i="8"/>
  <c r="AK11" i="8"/>
  <c r="AL11" i="8"/>
  <c r="AM11" i="8"/>
  <c r="AO11" i="8"/>
  <c r="AP11" i="8"/>
  <c r="N12" i="8"/>
  <c r="T12" i="8"/>
  <c r="AE12" i="8"/>
  <c r="AF12" i="8"/>
  <c r="AG12" i="8"/>
  <c r="AJ12" i="8"/>
  <c r="AK12" i="8"/>
  <c r="AL12" i="8"/>
  <c r="AM12" i="8"/>
  <c r="AO12" i="8"/>
  <c r="AP12" i="8"/>
  <c r="N13" i="8"/>
  <c r="T13" i="8"/>
  <c r="AE13" i="8"/>
  <c r="AF13" i="8"/>
  <c r="AG13" i="8"/>
  <c r="AJ13" i="8"/>
  <c r="AK13" i="8"/>
  <c r="AL13" i="8"/>
  <c r="AM13" i="8"/>
  <c r="AO13" i="8"/>
  <c r="AP13" i="8"/>
  <c r="N14" i="8"/>
  <c r="T14" i="8"/>
  <c r="AE14" i="8"/>
  <c r="AF14" i="8"/>
  <c r="AG14" i="8"/>
  <c r="AJ14" i="8"/>
  <c r="AK14" i="8"/>
  <c r="AL14" i="8"/>
  <c r="AM14" i="8"/>
  <c r="AO14" i="8"/>
  <c r="AP14" i="8"/>
  <c r="N15" i="8"/>
  <c r="T15" i="8"/>
  <c r="AE15" i="8"/>
  <c r="AF15" i="8"/>
  <c r="AG15" i="8"/>
  <c r="AJ15" i="8"/>
  <c r="AK15" i="8"/>
  <c r="AL15" i="8"/>
  <c r="AM15" i="8"/>
  <c r="AO15" i="8"/>
  <c r="AP15" i="8"/>
  <c r="N16" i="8"/>
  <c r="T16" i="8"/>
  <c r="AE16" i="8"/>
  <c r="AF16" i="8"/>
  <c r="AG16" i="8"/>
  <c r="AJ16" i="8"/>
  <c r="AK16" i="8"/>
  <c r="AL16" i="8"/>
  <c r="AM16" i="8"/>
  <c r="AO16" i="8"/>
  <c r="AP16" i="8"/>
  <c r="N17" i="8"/>
  <c r="T17" i="8"/>
  <c r="AE17" i="8"/>
  <c r="AF17" i="8"/>
  <c r="AG17" i="8"/>
  <c r="AJ17" i="8"/>
  <c r="AK17" i="8"/>
  <c r="AL17" i="8"/>
  <c r="AM17" i="8"/>
  <c r="AO17" i="8"/>
  <c r="AP17" i="8"/>
  <c r="N18" i="8"/>
  <c r="T18" i="8"/>
  <c r="AE18" i="8"/>
  <c r="AF18" i="8"/>
  <c r="AG18" i="8"/>
  <c r="AJ18" i="8"/>
  <c r="AK18" i="8"/>
  <c r="AL18" i="8"/>
  <c r="AM18" i="8"/>
  <c r="AO18" i="8"/>
  <c r="AP18" i="8"/>
  <c r="N19" i="8"/>
  <c r="T19" i="8"/>
  <c r="AE19" i="8"/>
  <c r="AF19" i="8"/>
  <c r="AG19" i="8"/>
  <c r="AJ19" i="8"/>
  <c r="AK19" i="8"/>
  <c r="AL19" i="8"/>
  <c r="AM19" i="8"/>
  <c r="AO19" i="8"/>
  <c r="AP19" i="8"/>
  <c r="N20" i="8"/>
  <c r="T20" i="8"/>
  <c r="AE20" i="8"/>
  <c r="AF20" i="8"/>
  <c r="AG20" i="8"/>
  <c r="AJ20" i="8"/>
  <c r="AK20" i="8"/>
  <c r="AL20" i="8"/>
  <c r="AM20" i="8"/>
  <c r="AO20" i="8"/>
  <c r="AP20" i="8"/>
  <c r="N21" i="8"/>
  <c r="T21" i="8"/>
  <c r="AE21" i="8"/>
  <c r="AF21" i="8"/>
  <c r="AG21" i="8"/>
  <c r="AJ21" i="8"/>
  <c r="AK21" i="8"/>
  <c r="AL21" i="8"/>
  <c r="AM21" i="8"/>
  <c r="AO21" i="8"/>
  <c r="AP21" i="8"/>
  <c r="N22" i="8"/>
  <c r="T22" i="8"/>
  <c r="AE22" i="8"/>
  <c r="AF22" i="8"/>
  <c r="AG22" i="8"/>
  <c r="AJ22" i="8"/>
  <c r="AK22" i="8"/>
  <c r="AL22" i="8"/>
  <c r="AM22" i="8"/>
  <c r="AO22" i="8"/>
  <c r="AP22" i="8"/>
  <c r="N23" i="8"/>
  <c r="T23" i="8"/>
  <c r="AF23" i="8"/>
  <c r="AG23" i="8"/>
  <c r="AJ23" i="8"/>
  <c r="AK23" i="8"/>
  <c r="AL23" i="8"/>
  <c r="AM23" i="8"/>
  <c r="AP23" i="8"/>
  <c r="N24" i="8"/>
  <c r="T24" i="8"/>
  <c r="AF24" i="8"/>
  <c r="AG24" i="8"/>
  <c r="AJ24" i="8"/>
  <c r="AK24" i="8"/>
  <c r="AL24" i="8"/>
  <c r="AM24" i="8"/>
  <c r="AP24" i="8"/>
  <c r="N25" i="8"/>
  <c r="T25" i="8"/>
  <c r="AF25" i="8"/>
  <c r="AG25" i="8"/>
  <c r="AJ25" i="8"/>
  <c r="AK25" i="8"/>
  <c r="AL25" i="8"/>
  <c r="AM25" i="8"/>
  <c r="AP25" i="8"/>
  <c r="N26" i="8"/>
  <c r="T26" i="8"/>
  <c r="AE26" i="8"/>
  <c r="AF26" i="8"/>
  <c r="AG26" i="8"/>
  <c r="AJ26" i="8"/>
  <c r="AK26" i="8"/>
  <c r="AL26" i="8"/>
  <c r="AM26" i="8"/>
  <c r="AO26" i="8"/>
  <c r="AP26" i="8"/>
  <c r="N27" i="8"/>
  <c r="T27" i="8"/>
  <c r="AE27" i="8"/>
  <c r="AF27" i="8"/>
  <c r="AG27" i="8"/>
  <c r="AJ27" i="8"/>
  <c r="AK27" i="8"/>
  <c r="AL27" i="8"/>
  <c r="AM27" i="8"/>
  <c r="AO27" i="8"/>
  <c r="AP27" i="8"/>
  <c r="N28" i="8"/>
  <c r="T28" i="8"/>
  <c r="AE28" i="8"/>
  <c r="AF28" i="8"/>
  <c r="AG28" i="8"/>
  <c r="AJ28" i="8"/>
  <c r="AK28" i="8"/>
  <c r="AL28" i="8"/>
  <c r="AM28" i="8"/>
  <c r="AO28" i="8"/>
  <c r="AP28" i="8"/>
  <c r="N29" i="8"/>
  <c r="T29" i="8"/>
  <c r="AE29" i="8"/>
  <c r="AF29" i="8"/>
  <c r="AG29" i="8"/>
  <c r="AJ29" i="8"/>
  <c r="AK29" i="8"/>
  <c r="AL29" i="8"/>
  <c r="AM29" i="8"/>
  <c r="AO29" i="8"/>
  <c r="AP29" i="8"/>
  <c r="N30" i="8"/>
  <c r="T30" i="8"/>
  <c r="AE30" i="8"/>
  <c r="AF30" i="8"/>
  <c r="AG30" i="8"/>
  <c r="AJ30" i="8"/>
  <c r="AK30" i="8"/>
  <c r="AL30" i="8"/>
  <c r="AM30" i="8"/>
  <c r="AO30" i="8"/>
  <c r="AP30" i="8"/>
  <c r="N31" i="8"/>
  <c r="T31" i="8"/>
  <c r="AE31" i="8"/>
  <c r="AF31" i="8"/>
  <c r="AG31" i="8"/>
  <c r="AJ31" i="8"/>
  <c r="AK31" i="8"/>
  <c r="AL31" i="8"/>
  <c r="AM31" i="8"/>
  <c r="AO31" i="8"/>
  <c r="AP31" i="8"/>
  <c r="N32" i="8"/>
  <c r="T32" i="8"/>
  <c r="AE32" i="8"/>
  <c r="AF32" i="8"/>
  <c r="AG32" i="8"/>
  <c r="AJ32" i="8"/>
  <c r="AK32" i="8"/>
  <c r="AL32" i="8"/>
  <c r="AM32" i="8"/>
  <c r="AO32" i="8"/>
  <c r="AP32" i="8"/>
  <c r="N33" i="8"/>
  <c r="T33" i="8"/>
  <c r="AE33" i="8"/>
  <c r="AF33" i="8"/>
  <c r="AG33" i="8"/>
  <c r="AJ33" i="8"/>
  <c r="AK33" i="8"/>
  <c r="AL33" i="8"/>
  <c r="AM33" i="8"/>
  <c r="AO33" i="8"/>
  <c r="AP33" i="8"/>
  <c r="N34" i="8"/>
  <c r="T34" i="8"/>
  <c r="AE34" i="8"/>
  <c r="AF34" i="8"/>
  <c r="AG34" i="8"/>
  <c r="AJ34" i="8"/>
  <c r="AK34" i="8"/>
  <c r="AL34" i="8"/>
  <c r="AM34" i="8"/>
  <c r="AO34" i="8"/>
  <c r="AP34" i="8"/>
  <c r="N35" i="8"/>
  <c r="T35" i="8"/>
  <c r="AE35" i="8"/>
  <c r="AF35" i="8"/>
  <c r="AG35" i="8"/>
  <c r="AJ35" i="8"/>
  <c r="AK35" i="8"/>
  <c r="AL35" i="8"/>
  <c r="AM35" i="8"/>
  <c r="AO35" i="8"/>
  <c r="AP35" i="8"/>
  <c r="N36" i="8"/>
  <c r="T36" i="8"/>
  <c r="AE36" i="8"/>
  <c r="AF36" i="8"/>
  <c r="AG36" i="8"/>
  <c r="AJ36" i="8"/>
  <c r="AK36" i="8"/>
  <c r="AL36" i="8"/>
  <c r="AM36" i="8"/>
  <c r="AO36" i="8"/>
  <c r="AP36" i="8"/>
  <c r="N37" i="8"/>
  <c r="T37" i="8"/>
  <c r="AE37" i="8"/>
  <c r="AF37" i="8"/>
  <c r="AG37" i="8"/>
  <c r="AJ37" i="8"/>
  <c r="AK37" i="8"/>
  <c r="AL37" i="8"/>
  <c r="AM37" i="8"/>
  <c r="AO37" i="8"/>
  <c r="AP37" i="8"/>
  <c r="N38" i="8"/>
  <c r="T38" i="8"/>
  <c r="AE38" i="8"/>
  <c r="AF38" i="8"/>
  <c r="AG38" i="8"/>
  <c r="AJ38" i="8"/>
  <c r="AK38" i="8"/>
  <c r="AL38" i="8"/>
  <c r="AM38" i="8"/>
  <c r="AO38" i="8"/>
  <c r="AP38" i="8"/>
  <c r="N39" i="8"/>
  <c r="T39" i="8"/>
  <c r="AE39" i="8"/>
  <c r="AF39" i="8"/>
  <c r="AG39" i="8"/>
  <c r="AJ39" i="8"/>
  <c r="AK39" i="8"/>
  <c r="AL39" i="8"/>
  <c r="AM39" i="8"/>
  <c r="AO39" i="8"/>
  <c r="AP39" i="8"/>
  <c r="N40" i="8"/>
  <c r="T40" i="8"/>
  <c r="AE40" i="8"/>
  <c r="AF40" i="8"/>
  <c r="AG40" i="8"/>
  <c r="AJ40" i="8"/>
  <c r="AK40" i="8"/>
  <c r="AL40" i="8"/>
  <c r="AM40" i="8"/>
  <c r="AO40" i="8"/>
  <c r="AP40" i="8"/>
  <c r="N41" i="8"/>
  <c r="T41" i="8"/>
  <c r="AE41" i="8"/>
  <c r="AF41" i="8"/>
  <c r="AG41" i="8"/>
  <c r="AJ41" i="8"/>
  <c r="AK41" i="8"/>
  <c r="AL41" i="8"/>
  <c r="AM41" i="8"/>
  <c r="AO41" i="8"/>
  <c r="AP41" i="8"/>
  <c r="N42" i="8"/>
  <c r="T42" i="8"/>
  <c r="AE42" i="8"/>
  <c r="AF42" i="8"/>
  <c r="AG42" i="8"/>
  <c r="AJ42" i="8"/>
  <c r="AK42" i="8"/>
  <c r="AL42" i="8"/>
  <c r="AM42" i="8"/>
  <c r="AO42" i="8"/>
  <c r="AP42" i="8"/>
  <c r="N43" i="8"/>
  <c r="T43" i="8"/>
  <c r="AE43" i="8"/>
  <c r="AF43" i="8"/>
  <c r="AG43" i="8"/>
  <c r="AJ43" i="8"/>
  <c r="AK43" i="8"/>
  <c r="AL43" i="8"/>
  <c r="AM43" i="8"/>
  <c r="AO43" i="8"/>
  <c r="AP43" i="8"/>
  <c r="N44" i="8"/>
  <c r="T44" i="8"/>
  <c r="AE44" i="8"/>
  <c r="AF44" i="8"/>
  <c r="AG44" i="8"/>
  <c r="AJ44" i="8"/>
  <c r="AK44" i="8"/>
  <c r="AL44" i="8"/>
  <c r="AM44" i="8"/>
  <c r="AO44" i="8"/>
  <c r="AP44" i="8"/>
  <c r="N45" i="8"/>
  <c r="T45" i="8"/>
  <c r="AE45" i="8"/>
  <c r="AF45" i="8"/>
  <c r="AG45" i="8"/>
  <c r="AJ45" i="8"/>
  <c r="AK45" i="8"/>
  <c r="AL45" i="8"/>
  <c r="AM45" i="8"/>
  <c r="AO45" i="8"/>
  <c r="AP45" i="8"/>
  <c r="N46" i="8"/>
  <c r="T46" i="8"/>
  <c r="AE46" i="8"/>
  <c r="AF46" i="8"/>
  <c r="AG46" i="8"/>
  <c r="AJ46" i="8"/>
  <c r="AK46" i="8"/>
  <c r="AL46" i="8"/>
  <c r="AM46" i="8"/>
  <c r="AO46" i="8"/>
  <c r="AP46" i="8"/>
  <c r="N47" i="8"/>
  <c r="T47" i="8"/>
  <c r="AE47" i="8"/>
  <c r="AF47" i="8"/>
  <c r="AG47" i="8"/>
  <c r="AJ47" i="8"/>
  <c r="AK47" i="8"/>
  <c r="AL47" i="8"/>
  <c r="AM47" i="8"/>
  <c r="AO47" i="8"/>
  <c r="AP47" i="8"/>
  <c r="N48" i="8"/>
  <c r="T48" i="8"/>
  <c r="AE48" i="8"/>
  <c r="AF48" i="8"/>
  <c r="AG48" i="8"/>
  <c r="AJ48" i="8"/>
  <c r="AK48" i="8"/>
  <c r="AL48" i="8"/>
  <c r="AM48" i="8"/>
  <c r="AO48" i="8"/>
  <c r="AP48" i="8"/>
  <c r="N49" i="8"/>
  <c r="T49" i="8"/>
  <c r="AE49" i="8"/>
  <c r="AF49" i="8"/>
  <c r="AG49" i="8"/>
  <c r="AJ49" i="8"/>
  <c r="AK49" i="8"/>
  <c r="AL49" i="8"/>
  <c r="AM49" i="8"/>
  <c r="AO49" i="8"/>
  <c r="AP49" i="8"/>
  <c r="N50" i="8"/>
  <c r="T50" i="8"/>
  <c r="AE50" i="8"/>
  <c r="AF50" i="8"/>
  <c r="AG50" i="8"/>
  <c r="AJ50" i="8"/>
  <c r="AK50" i="8"/>
  <c r="AL50" i="8"/>
  <c r="AM50" i="8"/>
  <c r="AO50" i="8"/>
  <c r="AP50" i="8"/>
  <c r="N51" i="8"/>
  <c r="T51" i="8"/>
  <c r="AE51" i="8"/>
  <c r="AF51" i="8"/>
  <c r="AG51" i="8"/>
  <c r="AJ51" i="8"/>
  <c r="AK51" i="8"/>
  <c r="AL51" i="8"/>
  <c r="AM51" i="8"/>
  <c r="AO51" i="8"/>
  <c r="AP51" i="8"/>
  <c r="N52" i="8"/>
  <c r="T52" i="8"/>
  <c r="AE52" i="8"/>
  <c r="AF52" i="8"/>
  <c r="AG52" i="8"/>
  <c r="AJ52" i="8"/>
  <c r="AK52" i="8"/>
  <c r="AL52" i="8"/>
  <c r="AM52" i="8"/>
  <c r="AO52" i="8"/>
  <c r="AP52" i="8"/>
  <c r="N53" i="8"/>
  <c r="T53" i="8"/>
  <c r="AE53" i="8"/>
  <c r="AF53" i="8"/>
  <c r="AG53" i="8"/>
  <c r="AJ53" i="8"/>
  <c r="AK53" i="8"/>
  <c r="AL53" i="8"/>
  <c r="AM53" i="8"/>
  <c r="AO53" i="8"/>
  <c r="AP53" i="8"/>
  <c r="N54" i="8"/>
  <c r="T54" i="8"/>
  <c r="AE54" i="8"/>
  <c r="AF54" i="8"/>
  <c r="AG54" i="8"/>
  <c r="AJ54" i="8"/>
  <c r="AK54" i="8"/>
  <c r="AL54" i="8"/>
  <c r="AM54" i="8"/>
  <c r="AO54" i="8"/>
  <c r="AP54" i="8"/>
  <c r="N55" i="8"/>
  <c r="T55" i="8"/>
  <c r="AE55" i="8"/>
  <c r="AF55" i="8"/>
  <c r="AG55" i="8"/>
  <c r="AJ55" i="8"/>
  <c r="AK55" i="8"/>
  <c r="AL55" i="8"/>
  <c r="AM55" i="8"/>
  <c r="AO55" i="8"/>
  <c r="AP55" i="8"/>
  <c r="N56" i="8"/>
  <c r="T56" i="8"/>
  <c r="AE56" i="8"/>
  <c r="AF56" i="8"/>
  <c r="AG56" i="8"/>
  <c r="AJ56" i="8"/>
  <c r="AK56" i="8"/>
  <c r="AL56" i="8"/>
  <c r="AM56" i="8"/>
  <c r="AO56" i="8"/>
  <c r="AP56" i="8"/>
  <c r="N57" i="8"/>
  <c r="T57" i="8"/>
  <c r="AE57" i="8"/>
  <c r="AF57" i="8"/>
  <c r="AG57" i="8"/>
  <c r="AJ57" i="8"/>
  <c r="AK57" i="8"/>
  <c r="AL57" i="8"/>
  <c r="AM57" i="8"/>
  <c r="AO57" i="8"/>
  <c r="AP57" i="8"/>
  <c r="N58" i="8"/>
  <c r="T58" i="8"/>
  <c r="AE58" i="8"/>
  <c r="AF58" i="8"/>
  <c r="AG58" i="8"/>
  <c r="AJ58" i="8"/>
  <c r="AK58" i="8"/>
  <c r="AL58" i="8"/>
  <c r="AM58" i="8"/>
  <c r="AO58" i="8"/>
  <c r="AP58" i="8"/>
  <c r="N59" i="8"/>
  <c r="T59" i="8"/>
  <c r="AE59" i="8"/>
  <c r="AF59" i="8"/>
  <c r="AG59" i="8"/>
  <c r="AJ59" i="8"/>
  <c r="AK59" i="8"/>
  <c r="AL59" i="8"/>
  <c r="AM59" i="8"/>
  <c r="AO59" i="8"/>
  <c r="AP59" i="8"/>
  <c r="N60" i="8"/>
  <c r="T60" i="8"/>
  <c r="AE60" i="8"/>
  <c r="AF60" i="8"/>
  <c r="AG60" i="8"/>
  <c r="AJ60" i="8"/>
  <c r="AK60" i="8"/>
  <c r="AL60" i="8"/>
  <c r="AM60" i="8"/>
  <c r="AO60" i="8"/>
  <c r="AP60" i="8"/>
  <c r="N61" i="8"/>
  <c r="T61" i="8"/>
  <c r="AE61" i="8"/>
  <c r="AF61" i="8"/>
  <c r="AG61" i="8"/>
  <c r="AJ61" i="8"/>
  <c r="AK61" i="8"/>
  <c r="AL61" i="8"/>
  <c r="AM61" i="8"/>
  <c r="AO61" i="8"/>
  <c r="AP61" i="8"/>
  <c r="N62" i="8"/>
  <c r="T62" i="8"/>
  <c r="AE62" i="8"/>
  <c r="AF62" i="8"/>
  <c r="AG62" i="8"/>
  <c r="AJ62" i="8"/>
  <c r="AK62" i="8"/>
  <c r="AL62" i="8"/>
  <c r="AM62" i="8"/>
  <c r="AO62" i="8"/>
  <c r="AP62" i="8"/>
  <c r="N63" i="8"/>
  <c r="T63" i="8"/>
  <c r="AE63" i="8"/>
  <c r="AF63" i="8"/>
  <c r="AG63" i="8"/>
  <c r="AJ63" i="8"/>
  <c r="AK63" i="8"/>
  <c r="AL63" i="8"/>
  <c r="AM63" i="8"/>
  <c r="AO63" i="8"/>
  <c r="AP63" i="8"/>
  <c r="N64" i="8"/>
  <c r="T64" i="8"/>
  <c r="AE64" i="8"/>
  <c r="AF64" i="8"/>
  <c r="AG64" i="8"/>
  <c r="AJ64" i="8"/>
  <c r="AK64" i="8"/>
  <c r="AL64" i="8"/>
  <c r="AM64" i="8"/>
  <c r="AO64" i="8"/>
  <c r="AP64" i="8"/>
  <c r="N65" i="8"/>
  <c r="T65" i="8"/>
  <c r="AE65" i="8"/>
  <c r="AF65" i="8"/>
  <c r="AG65" i="8"/>
  <c r="AJ65" i="8"/>
  <c r="AK65" i="8"/>
  <c r="AL65" i="8"/>
  <c r="AM65" i="8"/>
  <c r="AO65" i="8"/>
  <c r="AP65" i="8"/>
  <c r="N66" i="8"/>
  <c r="T66" i="8"/>
  <c r="AE66" i="8"/>
  <c r="AF66" i="8"/>
  <c r="AG66" i="8"/>
  <c r="AJ66" i="8"/>
  <c r="AK66" i="8"/>
  <c r="AL66" i="8"/>
  <c r="AM66" i="8"/>
  <c r="AO66" i="8"/>
  <c r="AP66" i="8"/>
  <c r="N67" i="8"/>
  <c r="T67" i="8"/>
  <c r="AE67" i="8"/>
  <c r="AF67" i="8"/>
  <c r="AG67" i="8"/>
  <c r="AJ67" i="8"/>
  <c r="AK67" i="8"/>
  <c r="AL67" i="8"/>
  <c r="AM67" i="8"/>
  <c r="AO67" i="8"/>
  <c r="AP67" i="8"/>
  <c r="N68" i="8"/>
  <c r="T68" i="8"/>
  <c r="AE68" i="8"/>
  <c r="AF68" i="8"/>
  <c r="AG68" i="8"/>
  <c r="AJ68" i="8"/>
  <c r="AK68" i="8"/>
  <c r="AL68" i="8"/>
  <c r="AM68" i="8"/>
  <c r="AO68" i="8"/>
  <c r="AP68" i="8"/>
  <c r="N70" i="8"/>
  <c r="T70" i="8"/>
  <c r="AE70" i="8"/>
  <c r="AF70" i="8"/>
  <c r="AG70" i="8"/>
  <c r="AJ70" i="8"/>
  <c r="AK70" i="8"/>
  <c r="AL70" i="8"/>
  <c r="AM70" i="8"/>
  <c r="AO70" i="8"/>
  <c r="AP70" i="8"/>
  <c r="AO72" i="8"/>
  <c r="AP72" i="8"/>
  <c r="AE75" i="8"/>
  <c r="AF75" i="8"/>
  <c r="N5" i="9"/>
  <c r="T5" i="9"/>
  <c r="AE5" i="9"/>
  <c r="AF5" i="9"/>
  <c r="AG5" i="9"/>
  <c r="AJ5" i="9"/>
  <c r="AK5" i="9"/>
  <c r="AL5" i="9"/>
  <c r="AM5" i="9"/>
  <c r="AO5" i="9"/>
  <c r="AP5" i="9"/>
  <c r="N6" i="9"/>
  <c r="T6" i="9"/>
  <c r="AE6" i="9"/>
  <c r="AF6" i="9"/>
  <c r="AG6" i="9"/>
  <c r="AJ6" i="9"/>
  <c r="AK6" i="9"/>
  <c r="AL6" i="9"/>
  <c r="AM6" i="9"/>
  <c r="AO6" i="9"/>
  <c r="AP6" i="9"/>
  <c r="N7" i="9"/>
  <c r="T7" i="9"/>
  <c r="AE7" i="9"/>
  <c r="AF7" i="9"/>
  <c r="AG7" i="9"/>
  <c r="AJ7" i="9"/>
  <c r="AK7" i="9"/>
  <c r="AL7" i="9"/>
  <c r="AM7" i="9"/>
  <c r="AO7" i="9"/>
  <c r="AP7" i="9"/>
  <c r="N8" i="9"/>
  <c r="T8" i="9"/>
  <c r="AE8" i="9"/>
  <c r="AF8" i="9"/>
  <c r="AG8" i="9"/>
  <c r="AJ8" i="9"/>
  <c r="AK8" i="9"/>
  <c r="AL8" i="9"/>
  <c r="AM8" i="9"/>
  <c r="AO8" i="9"/>
  <c r="AP8" i="9"/>
  <c r="N9" i="9"/>
  <c r="T9" i="9"/>
  <c r="AE9" i="9"/>
  <c r="AF9" i="9"/>
  <c r="AG9" i="9"/>
  <c r="AJ9" i="9"/>
  <c r="AK9" i="9"/>
  <c r="AL9" i="9"/>
  <c r="AM9" i="9"/>
  <c r="AO9" i="9"/>
  <c r="AP9" i="9"/>
  <c r="N10" i="9"/>
  <c r="T10" i="9"/>
  <c r="AE10" i="9"/>
  <c r="AF10" i="9"/>
  <c r="AG10" i="9"/>
  <c r="AJ10" i="9"/>
  <c r="AK10" i="9"/>
  <c r="AL10" i="9"/>
  <c r="AM10" i="9"/>
  <c r="AO10" i="9"/>
  <c r="AP10" i="9"/>
  <c r="N11" i="9"/>
  <c r="T11" i="9"/>
  <c r="AE11" i="9"/>
  <c r="AF11" i="9"/>
  <c r="AG11" i="9"/>
  <c r="AJ11" i="9"/>
  <c r="AK11" i="9"/>
  <c r="AL11" i="9"/>
  <c r="AM11" i="9"/>
  <c r="AO11" i="9"/>
  <c r="AP11" i="9"/>
  <c r="N12" i="9"/>
  <c r="T12" i="9"/>
  <c r="AE12" i="9"/>
  <c r="AF12" i="9"/>
  <c r="AG12" i="9"/>
  <c r="AJ12" i="9"/>
  <c r="AK12" i="9"/>
  <c r="AL12" i="9"/>
  <c r="AM12" i="9"/>
  <c r="AO12" i="9"/>
  <c r="AP12" i="9"/>
  <c r="N13" i="9"/>
  <c r="T13" i="9"/>
  <c r="AE13" i="9"/>
  <c r="AF13" i="9"/>
  <c r="AG13" i="9"/>
  <c r="AJ13" i="9"/>
  <c r="AK13" i="9"/>
  <c r="AL13" i="9"/>
  <c r="AM13" i="9"/>
  <c r="AO13" i="9"/>
  <c r="AP13" i="9"/>
  <c r="N14" i="9"/>
  <c r="T14" i="9"/>
  <c r="AE14" i="9"/>
  <c r="AF14" i="9"/>
  <c r="AG14" i="9"/>
  <c r="AJ14" i="9"/>
  <c r="AK14" i="9"/>
  <c r="AL14" i="9"/>
  <c r="AM14" i="9"/>
  <c r="AO14" i="9"/>
  <c r="AP14" i="9"/>
  <c r="N15" i="9"/>
  <c r="T15" i="9"/>
  <c r="AE15" i="9"/>
  <c r="AF15" i="9"/>
  <c r="AG15" i="9"/>
  <c r="AJ15" i="9"/>
  <c r="AK15" i="9"/>
  <c r="AL15" i="9"/>
  <c r="AM15" i="9"/>
  <c r="AO15" i="9"/>
  <c r="AP15" i="9"/>
  <c r="N16" i="9"/>
  <c r="T16" i="9"/>
  <c r="AE16" i="9"/>
  <c r="AF16" i="9"/>
  <c r="AG16" i="9"/>
  <c r="AJ16" i="9"/>
  <c r="AK16" i="9"/>
  <c r="AL16" i="9"/>
  <c r="AM16" i="9"/>
  <c r="AO16" i="9"/>
  <c r="AP16" i="9"/>
  <c r="N17" i="9"/>
  <c r="T17" i="9"/>
  <c r="AE17" i="9"/>
  <c r="AF17" i="9"/>
  <c r="AG17" i="9"/>
  <c r="AJ17" i="9"/>
  <c r="AK17" i="9"/>
  <c r="AL17" i="9"/>
  <c r="AM17" i="9"/>
  <c r="AO17" i="9"/>
  <c r="AP17" i="9"/>
  <c r="N18" i="9"/>
  <c r="T18" i="9"/>
  <c r="AE18" i="9"/>
  <c r="AF18" i="9"/>
  <c r="AG18" i="9"/>
  <c r="AJ18" i="9"/>
  <c r="AK18" i="9"/>
  <c r="AL18" i="9"/>
  <c r="AM18" i="9"/>
  <c r="AO18" i="9"/>
  <c r="AP18" i="9"/>
  <c r="N19" i="9"/>
  <c r="T19" i="9"/>
  <c r="AE19" i="9"/>
  <c r="AF19" i="9"/>
  <c r="AG19" i="9"/>
  <c r="AJ19" i="9"/>
  <c r="AK19" i="9"/>
  <c r="AL19" i="9"/>
  <c r="AM19" i="9"/>
  <c r="AO19" i="9"/>
  <c r="AP19" i="9"/>
  <c r="N20" i="9"/>
  <c r="T20" i="9"/>
  <c r="AE20" i="9"/>
  <c r="AF20" i="9"/>
  <c r="AG20" i="9"/>
  <c r="AJ20" i="9"/>
  <c r="AK20" i="9"/>
  <c r="AL20" i="9"/>
  <c r="AM20" i="9"/>
  <c r="AO20" i="9"/>
  <c r="AP20" i="9"/>
  <c r="N21" i="9"/>
  <c r="T21" i="9"/>
  <c r="AE21" i="9"/>
  <c r="AF21" i="9"/>
  <c r="AG21" i="9"/>
  <c r="AJ21" i="9"/>
  <c r="AK21" i="9"/>
  <c r="AL21" i="9"/>
  <c r="AM21" i="9"/>
  <c r="AO21" i="9"/>
  <c r="AP21" i="9"/>
  <c r="N22" i="9"/>
  <c r="T22" i="9"/>
  <c r="AE22" i="9"/>
  <c r="AF22" i="9"/>
  <c r="AG22" i="9"/>
  <c r="AJ22" i="9"/>
  <c r="AK22" i="9"/>
  <c r="AL22" i="9"/>
  <c r="AM22" i="9"/>
  <c r="AO22" i="9"/>
  <c r="AP22" i="9"/>
  <c r="N23" i="9"/>
  <c r="T23" i="9"/>
  <c r="AF23" i="9"/>
  <c r="AG23" i="9"/>
  <c r="AJ23" i="9"/>
  <c r="AK23" i="9"/>
  <c r="AL23" i="9"/>
  <c r="AM23" i="9"/>
  <c r="AP23" i="9"/>
  <c r="N24" i="9"/>
  <c r="T24" i="9"/>
  <c r="AF24" i="9"/>
  <c r="AG24" i="9"/>
  <c r="AJ24" i="9"/>
  <c r="AK24" i="9"/>
  <c r="AL24" i="9"/>
  <c r="AM24" i="9"/>
  <c r="AP24" i="9"/>
  <c r="N25" i="9"/>
  <c r="T25" i="9"/>
  <c r="AF25" i="9"/>
  <c r="AG25" i="9"/>
  <c r="AJ25" i="9"/>
  <c r="AK25" i="9"/>
  <c r="AL25" i="9"/>
  <c r="AM25" i="9"/>
  <c r="AP25" i="9"/>
  <c r="N26" i="9"/>
  <c r="T26" i="9"/>
  <c r="AE26" i="9"/>
  <c r="AF26" i="9"/>
  <c r="AG26" i="9"/>
  <c r="AJ26" i="9"/>
  <c r="AK26" i="9"/>
  <c r="AL26" i="9"/>
  <c r="AM26" i="9"/>
  <c r="AO26" i="9"/>
  <c r="AP26" i="9"/>
  <c r="N27" i="9"/>
  <c r="T27" i="9"/>
  <c r="AE27" i="9"/>
  <c r="AF27" i="9"/>
  <c r="AG27" i="9"/>
  <c r="AJ27" i="9"/>
  <c r="AK27" i="9"/>
  <c r="AL27" i="9"/>
  <c r="AM27" i="9"/>
  <c r="AO27" i="9"/>
  <c r="AP27" i="9"/>
  <c r="N28" i="9"/>
  <c r="T28" i="9"/>
  <c r="AE28" i="9"/>
  <c r="AF28" i="9"/>
  <c r="AG28" i="9"/>
  <c r="AJ28" i="9"/>
  <c r="AK28" i="9"/>
  <c r="AL28" i="9"/>
  <c r="AM28" i="9"/>
  <c r="AO28" i="9"/>
  <c r="AP28" i="9"/>
  <c r="N29" i="9"/>
  <c r="T29" i="9"/>
  <c r="AE29" i="9"/>
  <c r="AF29" i="9"/>
  <c r="AG29" i="9"/>
  <c r="AJ29" i="9"/>
  <c r="AK29" i="9"/>
  <c r="AL29" i="9"/>
  <c r="AM29" i="9"/>
  <c r="AO29" i="9"/>
  <c r="AP29" i="9"/>
  <c r="N30" i="9"/>
  <c r="T30" i="9"/>
  <c r="AE30" i="9"/>
  <c r="AF30" i="9"/>
  <c r="AG30" i="9"/>
  <c r="AJ30" i="9"/>
  <c r="AK30" i="9"/>
  <c r="AL30" i="9"/>
  <c r="AM30" i="9"/>
  <c r="AO30" i="9"/>
  <c r="AP30" i="9"/>
  <c r="N31" i="9"/>
  <c r="T31" i="9"/>
  <c r="AE31" i="9"/>
  <c r="AF31" i="9"/>
  <c r="AG31" i="9"/>
  <c r="AJ31" i="9"/>
  <c r="AK31" i="9"/>
  <c r="AL31" i="9"/>
  <c r="AM31" i="9"/>
  <c r="AO31" i="9"/>
  <c r="AP31" i="9"/>
  <c r="N32" i="9"/>
  <c r="T32" i="9"/>
  <c r="AE32" i="9"/>
  <c r="AF32" i="9"/>
  <c r="AG32" i="9"/>
  <c r="AJ32" i="9"/>
  <c r="AK32" i="9"/>
  <c r="AL32" i="9"/>
  <c r="AM32" i="9"/>
  <c r="AO32" i="9"/>
  <c r="AP32" i="9"/>
  <c r="N33" i="9"/>
  <c r="T33" i="9"/>
  <c r="AE33" i="9"/>
  <c r="AF33" i="9"/>
  <c r="AG33" i="9"/>
  <c r="AJ33" i="9"/>
  <c r="AK33" i="9"/>
  <c r="AL33" i="9"/>
  <c r="AM33" i="9"/>
  <c r="AO33" i="9"/>
  <c r="AP33" i="9"/>
  <c r="N34" i="9"/>
  <c r="T34" i="9"/>
  <c r="AE34" i="9"/>
  <c r="AF34" i="9"/>
  <c r="AG34" i="9"/>
  <c r="AJ34" i="9"/>
  <c r="AK34" i="9"/>
  <c r="AL34" i="9"/>
  <c r="AM34" i="9"/>
  <c r="AO34" i="9"/>
  <c r="AP34" i="9"/>
  <c r="N35" i="9"/>
  <c r="T35" i="9"/>
  <c r="AE35" i="9"/>
  <c r="AF35" i="9"/>
  <c r="AG35" i="9"/>
  <c r="AJ35" i="9"/>
  <c r="AK35" i="9"/>
  <c r="AL35" i="9"/>
  <c r="AM35" i="9"/>
  <c r="AO35" i="9"/>
  <c r="AP35" i="9"/>
  <c r="N36" i="9"/>
  <c r="T36" i="9"/>
  <c r="AE36" i="9"/>
  <c r="AF36" i="9"/>
  <c r="AG36" i="9"/>
  <c r="AJ36" i="9"/>
  <c r="AK36" i="9"/>
  <c r="AL36" i="9"/>
  <c r="AM36" i="9"/>
  <c r="AO36" i="9"/>
  <c r="AP36" i="9"/>
  <c r="N37" i="9"/>
  <c r="T37" i="9"/>
  <c r="AE37" i="9"/>
  <c r="AF37" i="9"/>
  <c r="AG37" i="9"/>
  <c r="AJ37" i="9"/>
  <c r="AK37" i="9"/>
  <c r="AL37" i="9"/>
  <c r="AM37" i="9"/>
  <c r="AO37" i="9"/>
  <c r="AP37" i="9"/>
  <c r="N38" i="9"/>
  <c r="T38" i="9"/>
  <c r="AE38" i="9"/>
  <c r="AF38" i="9"/>
  <c r="AG38" i="9"/>
  <c r="AJ38" i="9"/>
  <c r="AK38" i="9"/>
  <c r="AL38" i="9"/>
  <c r="AM38" i="9"/>
  <c r="AO38" i="9"/>
  <c r="AP38" i="9"/>
  <c r="N39" i="9"/>
  <c r="T39" i="9"/>
  <c r="AE39" i="9"/>
  <c r="AF39" i="9"/>
  <c r="AG39" i="9"/>
  <c r="AJ39" i="9"/>
  <c r="AK39" i="9"/>
  <c r="AL39" i="9"/>
  <c r="AM39" i="9"/>
  <c r="AO39" i="9"/>
  <c r="AP39" i="9"/>
  <c r="N40" i="9"/>
  <c r="T40" i="9"/>
  <c r="AE40" i="9"/>
  <c r="AF40" i="9"/>
  <c r="AG40" i="9"/>
  <c r="AJ40" i="9"/>
  <c r="AK40" i="9"/>
  <c r="AL40" i="9"/>
  <c r="AM40" i="9"/>
  <c r="AO40" i="9"/>
  <c r="AP40" i="9"/>
  <c r="N41" i="9"/>
  <c r="T41" i="9"/>
  <c r="AE41" i="9"/>
  <c r="AF41" i="9"/>
  <c r="AG41" i="9"/>
  <c r="AJ41" i="9"/>
  <c r="AK41" i="9"/>
  <c r="AL41" i="9"/>
  <c r="AM41" i="9"/>
  <c r="AO41" i="9"/>
  <c r="AP41" i="9"/>
  <c r="N42" i="9"/>
  <c r="T42" i="9"/>
  <c r="AE42" i="9"/>
  <c r="AF42" i="9"/>
  <c r="AG42" i="9"/>
  <c r="AJ42" i="9"/>
  <c r="AK42" i="9"/>
  <c r="AL42" i="9"/>
  <c r="AM42" i="9"/>
  <c r="AO42" i="9"/>
  <c r="AP42" i="9"/>
  <c r="N43" i="9"/>
  <c r="T43" i="9"/>
  <c r="AE43" i="9"/>
  <c r="AF43" i="9"/>
  <c r="AG43" i="9"/>
  <c r="AJ43" i="9"/>
  <c r="AK43" i="9"/>
  <c r="AL43" i="9"/>
  <c r="AM43" i="9"/>
  <c r="AO43" i="9"/>
  <c r="AP43" i="9"/>
  <c r="N44" i="9"/>
  <c r="T44" i="9"/>
  <c r="AE44" i="9"/>
  <c r="AF44" i="9"/>
  <c r="AG44" i="9"/>
  <c r="AJ44" i="9"/>
  <c r="AK44" i="9"/>
  <c r="AL44" i="9"/>
  <c r="AM44" i="9"/>
  <c r="AO44" i="9"/>
  <c r="AP44" i="9"/>
  <c r="N45" i="9"/>
  <c r="T45" i="9"/>
  <c r="AE45" i="9"/>
  <c r="AF45" i="9"/>
  <c r="AG45" i="9"/>
  <c r="AJ45" i="9"/>
  <c r="AK45" i="9"/>
  <c r="AL45" i="9"/>
  <c r="AM45" i="9"/>
  <c r="AO45" i="9"/>
  <c r="AP45" i="9"/>
  <c r="N46" i="9"/>
  <c r="T46" i="9"/>
  <c r="AE46" i="9"/>
  <c r="AF46" i="9"/>
  <c r="AG46" i="9"/>
  <c r="AJ46" i="9"/>
  <c r="AK46" i="9"/>
  <c r="AL46" i="9"/>
  <c r="AM46" i="9"/>
  <c r="AO46" i="9"/>
  <c r="AP46" i="9"/>
  <c r="N47" i="9"/>
  <c r="T47" i="9"/>
  <c r="AE47" i="9"/>
  <c r="AF47" i="9"/>
  <c r="AG47" i="9"/>
  <c r="AJ47" i="9"/>
  <c r="AK47" i="9"/>
  <c r="AL47" i="9"/>
  <c r="AM47" i="9"/>
  <c r="AO47" i="9"/>
  <c r="AP47" i="9"/>
  <c r="N48" i="9"/>
  <c r="T48" i="9"/>
  <c r="AE48" i="9"/>
  <c r="AF48" i="9"/>
  <c r="AG48" i="9"/>
  <c r="AJ48" i="9"/>
  <c r="AK48" i="9"/>
  <c r="AL48" i="9"/>
  <c r="AM48" i="9"/>
  <c r="AO48" i="9"/>
  <c r="AP48" i="9"/>
  <c r="N49" i="9"/>
  <c r="T49" i="9"/>
  <c r="AE49" i="9"/>
  <c r="AF49" i="9"/>
  <c r="AG49" i="9"/>
  <c r="AJ49" i="9"/>
  <c r="AK49" i="9"/>
  <c r="AL49" i="9"/>
  <c r="AM49" i="9"/>
  <c r="AO49" i="9"/>
  <c r="AP49" i="9"/>
  <c r="N50" i="9"/>
  <c r="T50" i="9"/>
  <c r="AE50" i="9"/>
  <c r="AF50" i="9"/>
  <c r="AG50" i="9"/>
  <c r="AJ50" i="9"/>
  <c r="AK50" i="9"/>
  <c r="AL50" i="9"/>
  <c r="AM50" i="9"/>
  <c r="AO50" i="9"/>
  <c r="AP50" i="9"/>
  <c r="N51" i="9"/>
  <c r="T51" i="9"/>
  <c r="AE51" i="9"/>
  <c r="AF51" i="9"/>
  <c r="AG51" i="9"/>
  <c r="AJ51" i="9"/>
  <c r="AK51" i="9"/>
  <c r="AL51" i="9"/>
  <c r="AM51" i="9"/>
  <c r="AO51" i="9"/>
  <c r="AP51" i="9"/>
  <c r="N52" i="9"/>
  <c r="T52" i="9"/>
  <c r="AE52" i="9"/>
  <c r="AF52" i="9"/>
  <c r="AG52" i="9"/>
  <c r="AJ52" i="9"/>
  <c r="AK52" i="9"/>
  <c r="AL52" i="9"/>
  <c r="AM52" i="9"/>
  <c r="AO52" i="9"/>
  <c r="AP52" i="9"/>
  <c r="N53" i="9"/>
  <c r="T53" i="9"/>
  <c r="AE53" i="9"/>
  <c r="AF53" i="9"/>
  <c r="AG53" i="9"/>
  <c r="AJ53" i="9"/>
  <c r="AK53" i="9"/>
  <c r="AL53" i="9"/>
  <c r="AM53" i="9"/>
  <c r="AO53" i="9"/>
  <c r="AP53" i="9"/>
  <c r="N54" i="9"/>
  <c r="T54" i="9"/>
  <c r="AE54" i="9"/>
  <c r="AF54" i="9"/>
  <c r="AG54" i="9"/>
  <c r="AJ54" i="9"/>
  <c r="AK54" i="9"/>
  <c r="AL54" i="9"/>
  <c r="AM54" i="9"/>
  <c r="AO54" i="9"/>
  <c r="AP54" i="9"/>
  <c r="N55" i="9"/>
  <c r="T55" i="9"/>
  <c r="AE55" i="9"/>
  <c r="AF55" i="9"/>
  <c r="AG55" i="9"/>
  <c r="AJ55" i="9"/>
  <c r="AK55" i="9"/>
  <c r="AL55" i="9"/>
  <c r="AM55" i="9"/>
  <c r="AO55" i="9"/>
  <c r="AP55" i="9"/>
  <c r="N56" i="9"/>
  <c r="T56" i="9"/>
  <c r="AE56" i="9"/>
  <c r="AF56" i="9"/>
  <c r="AG56" i="9"/>
  <c r="AJ56" i="9"/>
  <c r="AK56" i="9"/>
  <c r="AL56" i="9"/>
  <c r="AM56" i="9"/>
  <c r="AO56" i="9"/>
  <c r="AP56" i="9"/>
  <c r="N57" i="9"/>
  <c r="T57" i="9"/>
  <c r="AE57" i="9"/>
  <c r="AF57" i="9"/>
  <c r="AG57" i="9"/>
  <c r="AJ57" i="9"/>
  <c r="AK57" i="9"/>
  <c r="AL57" i="9"/>
  <c r="AM57" i="9"/>
  <c r="AO57" i="9"/>
  <c r="AP57" i="9"/>
  <c r="N58" i="9"/>
  <c r="T58" i="9"/>
  <c r="AE58" i="9"/>
  <c r="AF58" i="9"/>
  <c r="AG58" i="9"/>
  <c r="AJ58" i="9"/>
  <c r="AK58" i="9"/>
  <c r="AL58" i="9"/>
  <c r="AM58" i="9"/>
  <c r="AO58" i="9"/>
  <c r="AP58" i="9"/>
  <c r="N59" i="9"/>
  <c r="T59" i="9"/>
  <c r="AE59" i="9"/>
  <c r="AF59" i="9"/>
  <c r="AG59" i="9"/>
  <c r="AJ59" i="9"/>
  <c r="AK59" i="9"/>
  <c r="AL59" i="9"/>
  <c r="AM59" i="9"/>
  <c r="AO59" i="9"/>
  <c r="AP59" i="9"/>
  <c r="N60" i="9"/>
  <c r="T60" i="9"/>
  <c r="AE60" i="9"/>
  <c r="AF60" i="9"/>
  <c r="AG60" i="9"/>
  <c r="AJ60" i="9"/>
  <c r="AK60" i="9"/>
  <c r="AL60" i="9"/>
  <c r="AM60" i="9"/>
  <c r="AO60" i="9"/>
  <c r="AP60" i="9"/>
  <c r="N61" i="9"/>
  <c r="T61" i="9"/>
  <c r="AE61" i="9"/>
  <c r="AF61" i="9"/>
  <c r="AG61" i="9"/>
  <c r="AJ61" i="9"/>
  <c r="AK61" i="9"/>
  <c r="AL61" i="9"/>
  <c r="AM61" i="9"/>
  <c r="AO61" i="9"/>
  <c r="AP61" i="9"/>
  <c r="N62" i="9"/>
  <c r="T62" i="9"/>
  <c r="AE62" i="9"/>
  <c r="AF62" i="9"/>
  <c r="AG62" i="9"/>
  <c r="AJ62" i="9"/>
  <c r="AK62" i="9"/>
  <c r="AL62" i="9"/>
  <c r="AM62" i="9"/>
  <c r="AO62" i="9"/>
  <c r="AP62" i="9"/>
  <c r="N63" i="9"/>
  <c r="T63" i="9"/>
  <c r="AE63" i="9"/>
  <c r="AF63" i="9"/>
  <c r="AG63" i="9"/>
  <c r="AJ63" i="9"/>
  <c r="AK63" i="9"/>
  <c r="AL63" i="9"/>
  <c r="AM63" i="9"/>
  <c r="AO63" i="9"/>
  <c r="AP63" i="9"/>
  <c r="N64" i="9"/>
  <c r="T64" i="9"/>
  <c r="AE64" i="9"/>
  <c r="AF64" i="9"/>
  <c r="AG64" i="9"/>
  <c r="AJ64" i="9"/>
  <c r="AK64" i="9"/>
  <c r="AL64" i="9"/>
  <c r="AM64" i="9"/>
  <c r="AO64" i="9"/>
  <c r="AP64" i="9"/>
  <c r="N65" i="9"/>
  <c r="T65" i="9"/>
  <c r="AE65" i="9"/>
  <c r="AF65" i="9"/>
  <c r="AG65" i="9"/>
  <c r="AJ65" i="9"/>
  <c r="AK65" i="9"/>
  <c r="AL65" i="9"/>
  <c r="AM65" i="9"/>
  <c r="AO65" i="9"/>
  <c r="AP65" i="9"/>
  <c r="N66" i="9"/>
  <c r="T66" i="9"/>
  <c r="AE66" i="9"/>
  <c r="AF66" i="9"/>
  <c r="AG66" i="9"/>
  <c r="AJ66" i="9"/>
  <c r="AK66" i="9"/>
  <c r="AL66" i="9"/>
  <c r="AM66" i="9"/>
  <c r="AO66" i="9"/>
  <c r="AP66" i="9"/>
  <c r="N67" i="9"/>
  <c r="T67" i="9"/>
  <c r="AE67" i="9"/>
  <c r="AF67" i="9"/>
  <c r="AG67" i="9"/>
  <c r="AJ67" i="9"/>
  <c r="AK67" i="9"/>
  <c r="AL67" i="9"/>
  <c r="AM67" i="9"/>
  <c r="AO67" i="9"/>
  <c r="AP67" i="9"/>
  <c r="N68" i="9"/>
  <c r="T68" i="9"/>
  <c r="AE68" i="9"/>
  <c r="AF68" i="9"/>
  <c r="AG68" i="9"/>
  <c r="AJ68" i="9"/>
  <c r="AK68" i="9"/>
  <c r="AL68" i="9"/>
  <c r="AM68" i="9"/>
  <c r="AO68" i="9"/>
  <c r="AP68" i="9"/>
  <c r="N70" i="9"/>
  <c r="T70" i="9"/>
  <c r="AE70" i="9"/>
  <c r="AF70" i="9"/>
  <c r="AG70" i="9"/>
  <c r="AJ70" i="9"/>
  <c r="AK70" i="9"/>
  <c r="AL70" i="9"/>
  <c r="AM70" i="9"/>
  <c r="AO70" i="9"/>
  <c r="AP70" i="9"/>
  <c r="AO72" i="9"/>
  <c r="AP72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C33" authorId="0" shapeId="0" xr:uid="{514A7595-6476-48A4-8BD9-9E7773989439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C8AE6EC-A536-481F-B280-A351CE57051B}" name="Conexão" type="7" refreshedVersion="8" background="1" saveData="1"/>
  <connection id="2" xr16:uid="{32CB4006-B694-447B-8E74-0DD5918C2904}" name="Conexão1" type="7" refreshedVersion="8" background="1" saveData="1"/>
  <connection id="3" xr16:uid="{988F5CBD-EA2A-4843-91FC-8820C099173A}" name="Conexão2" type="7" refreshedVersion="8" background="1" saveData="1"/>
</connections>
</file>

<file path=xl/sharedStrings.xml><?xml version="1.0" encoding="utf-8"?>
<sst xmlns="http://schemas.openxmlformats.org/spreadsheetml/2006/main" count="76988" uniqueCount="1515">
  <si>
    <t>TipoMercado</t>
  </si>
  <si>
    <t>Subgrupo</t>
  </si>
  <si>
    <t>Modalidade</t>
  </si>
  <si>
    <t>Classe</t>
  </si>
  <si>
    <t>Subclasse</t>
  </si>
  <si>
    <t>Detalhe</t>
  </si>
  <si>
    <t>Agente</t>
  </si>
  <si>
    <t>Posto</t>
  </si>
  <si>
    <t>AnoMes</t>
  </si>
  <si>
    <t>D</t>
  </si>
  <si>
    <t>Daj</t>
  </si>
  <si>
    <t>TUSD_E</t>
  </si>
  <si>
    <t>TUSD_Eaj</t>
  </si>
  <si>
    <t>TE_E</t>
  </si>
  <si>
    <t>TE_Eaj</t>
  </si>
  <si>
    <t>UC</t>
  </si>
  <si>
    <t>OPÇÃO</t>
  </si>
  <si>
    <t>CóD. AUX.</t>
  </si>
  <si>
    <t>CóD. AUX. TUSD R$/kW</t>
  </si>
  <si>
    <t>CóD. AUX. TUSD R$/MWh</t>
  </si>
  <si>
    <t>CóD. AUX. TE R$/MWh</t>
  </si>
  <si>
    <t>Regular</t>
  </si>
  <si>
    <t>B1</t>
  </si>
  <si>
    <t>Convencional</t>
  </si>
  <si>
    <t>Residencial</t>
  </si>
  <si>
    <t>Não se aplica</t>
  </si>
  <si>
    <t>CATIVO</t>
  </si>
  <si>
    <t>Refaturamento - Regular</t>
  </si>
  <si>
    <t>Sistema Isolado - Regular</t>
  </si>
  <si>
    <t>Sistema Isolado - Refaturamento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</si>
  <si>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</si>
  <si>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</si>
  <si>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</si>
  <si>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</si>
  <si>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</si>
  <si>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Branca</t>
  </si>
  <si>
    <t>Ponta</t>
  </si>
  <si>
    <t>Fora ponta</t>
  </si>
  <si>
    <t>Intermediário</t>
  </si>
  <si>
    <t>B3</t>
  </si>
  <si>
    <t>Industrial</t>
  </si>
  <si>
    <t>A4</t>
  </si>
  <si>
    <t>Azul</t>
  </si>
  <si>
    <t>A3a</t>
  </si>
  <si>
    <t>Verde</t>
  </si>
  <si>
    <t>Comercial</t>
  </si>
  <si>
    <t>B2</t>
  </si>
  <si>
    <t>Rural</t>
  </si>
  <si>
    <t>Poder público</t>
  </si>
  <si>
    <t>B4</t>
  </si>
  <si>
    <t>Iluminação pública</t>
  </si>
  <si>
    <t>Iluminação pública – B4a</t>
  </si>
  <si>
    <t>Serviço público</t>
  </si>
  <si>
    <t>Água, esgoto e saneamento</t>
  </si>
  <si>
    <t>Consumo próprio</t>
  </si>
  <si>
    <t>Agropecuária rural</t>
  </si>
  <si>
    <t>IRRIG./AQUIC.</t>
  </si>
  <si>
    <t>IRRIG./AQUIC. PR</t>
  </si>
  <si>
    <t>Aquicultura</t>
  </si>
  <si>
    <t>PROJETADO</t>
  </si>
  <si>
    <t>Fonte incentivada</t>
  </si>
  <si>
    <t>LIVRE</t>
  </si>
  <si>
    <t>Distribuição</t>
  </si>
  <si>
    <t>Amazonas Energia</t>
  </si>
  <si>
    <t>SUPRIMENTO</t>
  </si>
  <si>
    <t>TIPO ALERTA</t>
  </si>
  <si>
    <t>DETALHE ALERTA</t>
  </si>
  <si>
    <t>ABA</t>
  </si>
  <si>
    <t>LINHA</t>
  </si>
  <si>
    <t>COLUNA</t>
  </si>
  <si>
    <t>VARIÁVEL AUXILIAR</t>
  </si>
  <si>
    <t>SUBGRUPO</t>
  </si>
  <si>
    <t>MODALIDADE</t>
  </si>
  <si>
    <t>CLASSE</t>
  </si>
  <si>
    <t>SUBCLASSE</t>
  </si>
  <si>
    <t>DETALHE</t>
  </si>
  <si>
    <t>NOME UC</t>
  </si>
  <si>
    <t>POSTO</t>
  </si>
  <si>
    <t>UNIDADE</t>
  </si>
  <si>
    <t>SOMA MERCADO</t>
  </si>
  <si>
    <t>A3</t>
  </si>
  <si>
    <t>Energia horária</t>
  </si>
  <si>
    <t>MWh</t>
  </si>
  <si>
    <t>EP</t>
  </si>
  <si>
    <t>EFP</t>
  </si>
  <si>
    <t>kW</t>
  </si>
  <si>
    <t>DP</t>
  </si>
  <si>
    <t>DFP</t>
  </si>
  <si>
    <t>E</t>
  </si>
  <si>
    <t>APE</t>
  </si>
  <si>
    <t>Energia convencional</t>
  </si>
  <si>
    <t>Geração</t>
  </si>
  <si>
    <t>Energia suprimento concessionária</t>
  </si>
  <si>
    <t>&lt;500GWh</t>
  </si>
  <si>
    <t>Energia suprimento permissionária</t>
  </si>
  <si>
    <t>B</t>
  </si>
  <si>
    <t>TIPO 01</t>
  </si>
  <si>
    <t>TIPO 02</t>
  </si>
  <si>
    <t>EINT</t>
  </si>
  <si>
    <t>Energia convencional pré-pagamento</t>
  </si>
  <si>
    <t>Convencional pré-pagamento</t>
  </si>
  <si>
    <t>Cooperativa de eletrificação rural</t>
  </si>
  <si>
    <t>Serviço público de irrigação rural</t>
  </si>
  <si>
    <t>Iluminação pública – B4b</t>
  </si>
  <si>
    <t>CHAVE TUSD</t>
  </si>
  <si>
    <t>44531A3aAzulNão se aplicaNão se aplicaNão se aplicaNão se aplicaFora ponta</t>
  </si>
  <si>
    <t>44562A3aAzulNão se aplicaNão se aplicaNão se aplicaNão se aplicaFora ponta</t>
  </si>
  <si>
    <t>44593A3aAzulNão se aplicaNão se aplicaNão se aplicaNão se aplicaFora ponta</t>
  </si>
  <si>
    <t>44621A3aAzulNão se aplicaNão se aplicaNão se aplicaNão se aplicaFora ponta</t>
  </si>
  <si>
    <t>44652A3aAzulNão se aplicaNão se aplicaNão se aplicaNão se aplicaFora ponta</t>
  </si>
  <si>
    <t>44531A3aAzulNão se aplicaNão se aplicaNão se aplicaNão se aplicaPonta</t>
  </si>
  <si>
    <t>44562A3aAzulNão se aplicaNão se aplicaNão se aplicaNão se aplicaPonta</t>
  </si>
  <si>
    <t>44593A3aAzulNão se aplicaNão se aplicaNão se aplicaNão se aplicaPonta</t>
  </si>
  <si>
    <t>44621A3aAzulNão se aplicaNão se aplicaNão se aplicaNão se aplicaPonta</t>
  </si>
  <si>
    <t>44652A3aAzulNão se aplicaNão se aplicaNão se aplicaNão se aplicaPonta</t>
  </si>
  <si>
    <t>44531A3aVerdeNão se aplicaNão se aplicaNão se aplicaNão se aplicaFora ponta</t>
  </si>
  <si>
    <t>44562A3aVerdeNão se aplicaNão se aplicaNão se aplicaNão se aplicaFora ponta</t>
  </si>
  <si>
    <t>44593A3aVerdeNão se aplicaNão se aplicaNão se aplicaNão se aplicaFora ponta</t>
  </si>
  <si>
    <t>44621A3aVerdeNão se aplicaNão se aplicaNão se aplicaNão se aplicaFora ponta</t>
  </si>
  <si>
    <t>44652A3aVerdeNão se aplicaNão se aplicaNão se aplicaNão se aplicaFora ponta</t>
  </si>
  <si>
    <t>44682A3aVerdeNão se aplicaNão se aplicaNão se aplicaNão se aplicaFora ponta</t>
  </si>
  <si>
    <t>44713A3aVerdeNão se aplicaNão se aplicaNão se aplicaNão se aplicaFora ponta</t>
  </si>
  <si>
    <t>44743A3aVerdeNão se aplicaNão se aplicaNão se aplicaNão se aplicaFora ponta</t>
  </si>
  <si>
    <t>44774A3aVerdeNão se aplicaNão se aplicaNão se aplicaNão se aplicaFora ponta</t>
  </si>
  <si>
    <t>44805A3aVerdeNão se aplicaNão se aplicaNão se aplicaNão se aplicaFora ponta</t>
  </si>
  <si>
    <t>44835A3aVerdeNão se aplicaNão se aplicaNão se aplicaNão se aplicaFora ponta</t>
  </si>
  <si>
    <t>44866A3aVerdeNão se aplicaNão se aplicaNão se aplicaNão se aplicaFora ponta</t>
  </si>
  <si>
    <t>44531A3aVerdeNão se aplicaNão se aplicaNão se aplicaNão se aplicaNão se aplica</t>
  </si>
  <si>
    <t>44562A3aVerdeNão se aplicaNão se aplicaNão se aplicaNão se aplicaNão se aplica</t>
  </si>
  <si>
    <t>44593A3aVerdeNão se aplicaNão se aplicaNão se aplicaNão se aplicaNão se aplica</t>
  </si>
  <si>
    <t>44621A3aVerdeNão se aplicaNão se aplicaNão se aplicaNão se aplicaNão se aplica</t>
  </si>
  <si>
    <t>44652A3aVerdeNão se aplicaNão se aplicaNão se aplicaNão se aplicaNão se aplica</t>
  </si>
  <si>
    <t>44682A3aVerdeNão se aplicaNão se aplicaNão se aplicaNão se aplicaNão se aplica</t>
  </si>
  <si>
    <t>44713A3aVerdeNão se aplicaNão se aplicaNão se aplicaNão se aplicaNão se aplica</t>
  </si>
  <si>
    <t>44743A3aVerdeNão se aplicaNão se aplicaNão se aplicaNão se aplicaNão se aplica</t>
  </si>
  <si>
    <t>44774A3aVerdeNão se aplicaNão se aplicaNão se aplicaNão se aplicaNão se aplica</t>
  </si>
  <si>
    <t>44805A3aVerdeNão se aplicaNão se aplicaNão se aplicaNão se aplicaNão se aplica</t>
  </si>
  <si>
    <t>44835A3aVerdeNão se aplicaNão se aplicaNão se aplicaNão se aplicaNão se aplica</t>
  </si>
  <si>
    <t>44866A3aVerdeNão se aplicaNão se aplicaNão se aplicaNão se aplicaNão se aplica</t>
  </si>
  <si>
    <t>44531A3aVerdeNão se aplicaNão se aplicaNão se aplicaNão se aplicaPonta</t>
  </si>
  <si>
    <t>44562A3aVerdeNão se aplicaNão se aplicaNão se aplicaNão se aplicaPonta</t>
  </si>
  <si>
    <t>44593A3aVerdeNão se aplicaNão se aplicaNão se aplicaNão se aplicaPonta</t>
  </si>
  <si>
    <t>44621A3aVerdeNão se aplicaNão se aplicaNão se aplicaNão se aplicaPonta</t>
  </si>
  <si>
    <t>44652A3aVerdeNão se aplicaNão se aplicaNão se aplicaNão se aplicaPonta</t>
  </si>
  <si>
    <t>44682A3aVerdeNão se aplicaNão se aplicaNão se aplicaNão se aplicaPonta</t>
  </si>
  <si>
    <t>44713A3aVerdeNão se aplicaNão se aplicaNão se aplicaNão se aplicaPonta</t>
  </si>
  <si>
    <t>44743A3aVerdeNão se aplicaNão se aplicaNão se aplicaNão se aplicaPonta</t>
  </si>
  <si>
    <t>44774A3aVerdeNão se aplicaNão se aplicaNão se aplicaNão se aplicaPonta</t>
  </si>
  <si>
    <t>44805A3aVerdeNão se aplicaNão se aplicaNão se aplicaNão se aplicaPonta</t>
  </si>
  <si>
    <t>44835A3aVerdeNão se aplicaNão se aplicaNão se aplicaNão se aplicaPonta</t>
  </si>
  <si>
    <t>44866A3aVerdeNão se aplicaNão se aplicaNão se aplicaNão se aplicaPonta</t>
  </si>
  <si>
    <t>44531A4AzulNão se aplicaNão se aplicaNão se aplicaNão se aplicaFora ponta</t>
  </si>
  <si>
    <t>44562A4AzulNão se aplicaNão se aplicaNão se aplicaNão se aplicaFora ponta</t>
  </si>
  <si>
    <t>44593A4AzulNão se aplicaNão se aplicaNão se aplicaNão se aplicaFora ponta</t>
  </si>
  <si>
    <t>44621A4AzulNão se aplicaNão se aplicaNão se aplicaNão se aplicaFora ponta</t>
  </si>
  <si>
    <t>44652A4AzulNão se aplicaNão se aplicaNão se aplicaNão se aplicaFora ponta</t>
  </si>
  <si>
    <t>44682A4AzulNão se aplicaNão se aplicaNão se aplicaNão se aplicaFora ponta</t>
  </si>
  <si>
    <t>44713A4AzulNão se aplicaNão se aplicaNão se aplicaNão se aplicaFora ponta</t>
  </si>
  <si>
    <t>44743A4AzulNão se aplicaNão se aplicaNão se aplicaNão se aplicaFora ponta</t>
  </si>
  <si>
    <t>44774A4AzulNão se aplicaNão se aplicaNão se aplicaNão se aplicaFora ponta</t>
  </si>
  <si>
    <t>44805A4AzulNão se aplicaNão se aplicaNão se aplicaNão se aplicaFora ponta</t>
  </si>
  <si>
    <t>44835A4AzulNão se aplicaNão se aplicaNão se aplicaNão se aplicaFora ponta</t>
  </si>
  <si>
    <t>44866A4AzulNão se aplicaNão se aplicaNão se aplicaNão se aplicaFora ponta</t>
  </si>
  <si>
    <t>44531A4AzulNão se aplicaNão se aplicaNão se aplicaNão se aplicaPonta</t>
  </si>
  <si>
    <t>44562A4AzulNão se aplicaNão se aplicaNão se aplicaNão se aplicaPonta</t>
  </si>
  <si>
    <t>44593A4AzulNão se aplicaNão se aplicaNão se aplicaNão se aplicaPonta</t>
  </si>
  <si>
    <t>44621A4AzulNão se aplicaNão se aplicaNão se aplicaNão se aplicaPonta</t>
  </si>
  <si>
    <t>44652A4AzulNão se aplicaNão se aplicaNão se aplicaNão se aplicaPonta</t>
  </si>
  <si>
    <t>44682A4AzulNão se aplicaNão se aplicaNão se aplicaNão se aplicaPonta</t>
  </si>
  <si>
    <t>44713A4AzulNão se aplicaNão se aplicaNão se aplicaNão se aplicaPonta</t>
  </si>
  <si>
    <t>44743A4AzulNão se aplicaNão se aplicaNão se aplicaNão se aplicaPonta</t>
  </si>
  <si>
    <t>44774A4AzulNão se aplicaNão se aplicaNão se aplicaNão se aplicaPonta</t>
  </si>
  <si>
    <t>44805A4AzulNão se aplicaNão se aplicaNão se aplicaNão se aplicaPonta</t>
  </si>
  <si>
    <t>44835A4AzulNão se aplicaNão se aplicaNão se aplicaNão se aplicaPonta</t>
  </si>
  <si>
    <t>44866A4AzulNão se aplicaNão se aplicaNão se aplicaNão se aplicaPonta</t>
  </si>
  <si>
    <t>44531A4AzulNão se aplicaNão se aplicaNão se aplicaNão se aplicaNão se aplica</t>
  </si>
  <si>
    <t>44562A4AzulNão se aplicaNão se aplicaNão se aplicaNão se aplicaNão se aplica</t>
  </si>
  <si>
    <t>44593A4AzulNão se aplicaNão se aplicaNão se aplicaNão se aplicaNão se aplica</t>
  </si>
  <si>
    <t>44621A4AzulNão se aplicaNão se aplicaNão se aplicaNão se aplicaNão se aplica</t>
  </si>
  <si>
    <t>44652A4AzulNão se aplicaNão se aplicaNão se aplicaNão se aplicaNão se aplica</t>
  </si>
  <si>
    <t>44682A4AzulNão se aplicaNão se aplicaNão se aplicaNão se aplicaNão se aplica</t>
  </si>
  <si>
    <t>44713A4AzulNão se aplicaNão se aplicaNão se aplicaNão se aplicaNão se aplica</t>
  </si>
  <si>
    <t>44743A4AzulNão se aplicaNão se aplicaNão se aplicaNão se aplicaNão se aplica</t>
  </si>
  <si>
    <t>44774A4AzulNão se aplicaNão se aplicaNão se aplicaNão se aplicaNão se aplica</t>
  </si>
  <si>
    <t>44805A4AzulNão se aplicaNão se aplicaNão se aplicaNão se aplicaNão se aplica</t>
  </si>
  <si>
    <t>44835A4AzulNão se aplicaNão se aplicaNão se aplicaNão se aplicaNão se aplica</t>
  </si>
  <si>
    <t>44866A4AzulNão se aplicaNão se aplicaNão se aplicaNão se aplicaNão se aplica</t>
  </si>
  <si>
    <t>44531A4DistribuiçãoNão se aplicaNão se aplicaNão se aplicaAmazonas EnergiaFora ponta</t>
  </si>
  <si>
    <t>44562A4DistribuiçãoNão se aplicaNão se aplicaNão se aplicaAmazonas EnergiaFora ponta</t>
  </si>
  <si>
    <t>44593A4DistribuiçãoNão se aplicaNão se aplicaNão se aplicaAmazonas EnergiaFora ponta</t>
  </si>
  <si>
    <t>44621A4DistribuiçãoNão se aplicaNão se aplicaNão se aplicaAmazonas EnergiaFora ponta</t>
  </si>
  <si>
    <t>44652A4DistribuiçãoNão se aplicaNão se aplicaNão se aplicaAmazonas EnergiaFora ponta</t>
  </si>
  <si>
    <t>44682A4DistribuiçãoNão se aplicaNão se aplicaNão se aplicaAmazonas EnergiaFora ponta</t>
  </si>
  <si>
    <t>44713A4DistribuiçãoNão se aplicaNão se aplicaNão se aplicaAmazonas EnergiaFora ponta</t>
  </si>
  <si>
    <t>44743A4DistribuiçãoNão se aplicaNão se aplicaNão se aplicaAmazonas EnergiaFora ponta</t>
  </si>
  <si>
    <t>44774A4DistribuiçãoNão se aplicaNão se aplicaNão se aplicaAmazonas EnergiaFora ponta</t>
  </si>
  <si>
    <t>44805A4DistribuiçãoNão se aplicaNão se aplicaNão se aplicaAmazonas EnergiaFora ponta</t>
  </si>
  <si>
    <t>44835A4DistribuiçãoNão se aplicaNão se aplicaNão se aplicaAmazonas EnergiaFora ponta</t>
  </si>
  <si>
    <t>44866A4DistribuiçãoNão se aplicaNão se aplicaNão se aplicaAmazonas EnergiaFora ponta</t>
  </si>
  <si>
    <t>44531A4DistribuiçãoNão se aplicaNão se aplicaNão se aplicaAmazonas EnergiaNão se aplica</t>
  </si>
  <si>
    <t>44562A4DistribuiçãoNão se aplicaNão se aplicaNão se aplicaAmazonas EnergiaNão se aplica</t>
  </si>
  <si>
    <t>44593A4DistribuiçãoNão se aplicaNão se aplicaNão se aplicaAmazonas EnergiaNão se aplica</t>
  </si>
  <si>
    <t>44621A4DistribuiçãoNão se aplicaNão se aplicaNão se aplicaAmazonas EnergiaNão se aplica</t>
  </si>
  <si>
    <t>44652A4DistribuiçãoNão se aplicaNão se aplicaNão se aplicaAmazonas EnergiaNão se aplica</t>
  </si>
  <si>
    <t>44682A4DistribuiçãoNão se aplicaNão se aplicaNão se aplicaAmazonas EnergiaNão se aplica</t>
  </si>
  <si>
    <t>44713A4DistribuiçãoNão se aplicaNão se aplicaNão se aplicaAmazonas EnergiaNão se aplica</t>
  </si>
  <si>
    <t>44743A4DistribuiçãoNão se aplicaNão se aplicaNão se aplicaAmazonas EnergiaNão se aplica</t>
  </si>
  <si>
    <t>44774A4DistribuiçãoNão se aplicaNão se aplicaNão se aplicaAmazonas EnergiaNão se aplica</t>
  </si>
  <si>
    <t>44805A4DistribuiçãoNão se aplicaNão se aplicaNão se aplicaAmazonas EnergiaNão se aplica</t>
  </si>
  <si>
    <t>44835A4DistribuiçãoNão se aplicaNão se aplicaNão se aplicaAmazonas EnergiaNão se aplica</t>
  </si>
  <si>
    <t>44866A4DistribuiçãoNão se aplicaNão se aplicaNão se aplicaAmazonas EnergiaNão se aplica</t>
  </si>
  <si>
    <t>44531A4DistribuiçãoNão se aplicaNão se aplicaNão se aplicaAmazonas EnergiaPonta</t>
  </si>
  <si>
    <t>44562A4DistribuiçãoNão se aplicaNão se aplicaNão se aplicaAmazonas EnergiaPonta</t>
  </si>
  <si>
    <t>44593A4DistribuiçãoNão se aplicaNão se aplicaNão se aplicaAmazonas EnergiaPonta</t>
  </si>
  <si>
    <t>44621A4DistribuiçãoNão se aplicaNão se aplicaNão se aplicaAmazonas EnergiaPonta</t>
  </si>
  <si>
    <t>44652A4DistribuiçãoNão se aplicaNão se aplicaNão se aplicaAmazonas EnergiaPonta</t>
  </si>
  <si>
    <t>44682A4DistribuiçãoNão se aplicaNão se aplicaNão se aplicaAmazonas EnergiaPonta</t>
  </si>
  <si>
    <t>44713A4DistribuiçãoNão se aplicaNão se aplicaNão se aplicaAmazonas EnergiaPonta</t>
  </si>
  <si>
    <t>44743A4DistribuiçãoNão se aplicaNão se aplicaNão se aplicaAmazonas EnergiaPonta</t>
  </si>
  <si>
    <t>44774A4DistribuiçãoNão se aplicaNão se aplicaNão se aplicaAmazonas EnergiaPonta</t>
  </si>
  <si>
    <t>44805A4DistribuiçãoNão se aplicaNão se aplicaNão se aplicaAmazonas EnergiaPonta</t>
  </si>
  <si>
    <t>44835A4DistribuiçãoNão se aplicaNão se aplicaNão se aplicaAmazonas EnergiaPonta</t>
  </si>
  <si>
    <t>44866A4DistribuiçãoNão se aplicaNão se aplicaNão se aplicaAmazonas EnergiaPonta</t>
  </si>
  <si>
    <t>44531A4VerdeNão se aplicaNão se aplicaNão se aplicaNão se aplicaFora ponta</t>
  </si>
  <si>
    <t>44562A4VerdeNão se aplicaNão se aplicaNão se aplicaNão se aplicaFora ponta</t>
  </si>
  <si>
    <t>44593A4VerdeNão se aplicaNão se aplicaNão se aplicaNão se aplicaFora ponta</t>
  </si>
  <si>
    <t>44621A4VerdeNão se aplicaNão se aplicaNão se aplicaNão se aplicaFora ponta</t>
  </si>
  <si>
    <t>44652A4VerdeNão se aplicaNão se aplicaNão se aplicaNão se aplicaFora ponta</t>
  </si>
  <si>
    <t>44682A4VerdeNão se aplicaNão se aplicaNão se aplicaNão se aplicaFora ponta</t>
  </si>
  <si>
    <t>44713A4VerdeNão se aplicaNão se aplicaNão se aplicaNão se aplicaFora ponta</t>
  </si>
  <si>
    <t>44743A4VerdeNão se aplicaNão se aplicaNão se aplicaNão se aplicaFora ponta</t>
  </si>
  <si>
    <t>44774A4VerdeNão se aplicaNão se aplicaNão se aplicaNão se aplicaFora ponta</t>
  </si>
  <si>
    <t>44805A4VerdeNão se aplicaNão se aplicaNão se aplicaNão se aplicaFora ponta</t>
  </si>
  <si>
    <t>44835A4VerdeNão se aplicaNão se aplicaNão se aplicaNão se aplicaFora ponta</t>
  </si>
  <si>
    <t>44866A4VerdeNão se aplicaNão se aplicaNão se aplicaNão se aplicaFora ponta</t>
  </si>
  <si>
    <t>44531A4VerdeNão se aplicaNão se aplicaNão se aplicaNão se aplicaNão se aplica</t>
  </si>
  <si>
    <t>44562A4VerdeNão se aplicaNão se aplicaNão se aplicaNão se aplicaNão se aplica</t>
  </si>
  <si>
    <t>44593A4VerdeNão se aplicaNão se aplicaNão se aplicaNão se aplicaNão se aplica</t>
  </si>
  <si>
    <t>44621A4VerdeNão se aplicaNão se aplicaNão se aplicaNão se aplicaNão se aplica</t>
  </si>
  <si>
    <t>44652A4VerdeNão se aplicaNão se aplicaNão se aplicaNão se aplicaNão se aplica</t>
  </si>
  <si>
    <t>44682A4VerdeNão se aplicaNão se aplicaNão se aplicaNão se aplicaNão se aplica</t>
  </si>
  <si>
    <t>44713A4VerdeNão se aplicaNão se aplicaNão se aplicaNão se aplicaNão se aplica</t>
  </si>
  <si>
    <t>44743A4VerdeNão se aplicaNão se aplicaNão se aplicaNão se aplicaNão se aplica</t>
  </si>
  <si>
    <t>44774A4VerdeNão se aplicaNão se aplicaNão se aplicaNão se aplicaNão se aplica</t>
  </si>
  <si>
    <t>44805A4VerdeNão se aplicaNão se aplicaNão se aplicaNão se aplicaNão se aplica</t>
  </si>
  <si>
    <t>44835A4VerdeNão se aplicaNão se aplicaNão se aplicaNão se aplicaNão se aplica</t>
  </si>
  <si>
    <t>44866A4VerdeNão se aplicaNão se aplicaNão se aplicaNão se aplicaNão se aplica</t>
  </si>
  <si>
    <t>44531A4VerdeNão se aplicaNão se aplicaNão se aplicaNão se aplicaPonta</t>
  </si>
  <si>
    <t>44562A4VerdeNão se aplicaNão se aplicaNão se aplicaNão se aplicaPonta</t>
  </si>
  <si>
    <t>44593A4VerdeNão se aplicaNão se aplicaNão se aplicaNão se aplicaPonta</t>
  </si>
  <si>
    <t>44621A4VerdeNão se aplicaNão se aplicaNão se aplicaNão se aplicaPonta</t>
  </si>
  <si>
    <t>44652A4VerdeNão se aplicaNão se aplicaNão se aplicaNão se aplicaPonta</t>
  </si>
  <si>
    <t>44682A4VerdeNão se aplicaNão se aplicaNão se aplicaNão se aplicaPonta</t>
  </si>
  <si>
    <t>44713A4VerdeNão se aplicaNão se aplicaNão se aplicaNão se aplicaPonta</t>
  </si>
  <si>
    <t>44743A4VerdeNão se aplicaNão se aplicaNão se aplicaNão se aplicaPonta</t>
  </si>
  <si>
    <t>44774A4VerdeNão se aplicaNão se aplicaNão se aplicaNão se aplicaPonta</t>
  </si>
  <si>
    <t>44805A4VerdeNão se aplicaNão se aplicaNão se aplicaNão se aplicaPonta</t>
  </si>
  <si>
    <t>44835A4VerdeNão se aplicaNão se aplicaNão se aplicaNão se aplicaPonta</t>
  </si>
  <si>
    <t>44866A4VerdeNão se aplicaNão se aplicaNão se aplicaNão se aplicaPonta</t>
  </si>
  <si>
    <t>44531B1BrancaResidencialResidencialNão se aplicaNão se aplicaFora ponta</t>
  </si>
  <si>
    <t>44562B1BrancaResidencialResidencialNão se aplicaNão se aplicaFora ponta</t>
  </si>
  <si>
    <t>44593B1BrancaResidencialResidencialNão se aplicaNão se aplicaFora ponta</t>
  </si>
  <si>
    <t>44621B1BrancaResidencialResidencialNão se aplicaNão se aplicaFora ponta</t>
  </si>
  <si>
    <t>44652B1BrancaResidencialResidencialNão se aplicaNão se aplicaFora ponta</t>
  </si>
  <si>
    <t>44682B1BrancaResidencialResidencialNão se aplicaNão se aplicaFora ponta</t>
  </si>
  <si>
    <t>44713B1BrancaResidencialResidencialNão se aplicaNão se aplicaFora ponta</t>
  </si>
  <si>
    <t>44743B1BrancaResidencialResidencialNão se aplicaNão se aplicaFora ponta</t>
  </si>
  <si>
    <t>44774B1BrancaResidencialResidencialNão se aplicaNão se aplicaFora ponta</t>
  </si>
  <si>
    <t>44805B1BrancaResidencialResidencialNão se aplicaNão se aplicaFora ponta</t>
  </si>
  <si>
    <t>44835B1BrancaResidencialResidencialNão se aplicaNão se aplicaFora ponta</t>
  </si>
  <si>
    <t>44866B1BrancaResidencialResidencialNão se aplicaNão se aplicaFora ponta</t>
  </si>
  <si>
    <t>44531B1BrancaResidencialResidencialNão se aplicaNão se aplicaIntermediário</t>
  </si>
  <si>
    <t>44562B1BrancaResidencialResidencialNão se aplicaNão se aplicaIntermediário</t>
  </si>
  <si>
    <t>44593B1BrancaResidencialResidencialNão se aplicaNão se aplicaIntermediário</t>
  </si>
  <si>
    <t>44621B1BrancaResidencialResidencialNão se aplicaNão se aplicaIntermediário</t>
  </si>
  <si>
    <t>44652B1BrancaResidencialResidencialNão se aplicaNão se aplicaIntermediário</t>
  </si>
  <si>
    <t>44682B1BrancaResidencialResidencialNão se aplicaNão se aplicaIntermediário</t>
  </si>
  <si>
    <t>44713B1BrancaResidencialResidencialNão se aplicaNão se aplicaIntermediário</t>
  </si>
  <si>
    <t>44743B1BrancaResidencialResidencialNão se aplicaNão se aplicaIntermediário</t>
  </si>
  <si>
    <t>44774B1BrancaResidencialResidencialNão se aplicaNão se aplicaIntermediário</t>
  </si>
  <si>
    <t>44805B1BrancaResidencialResidencialNão se aplicaNão se aplicaIntermediário</t>
  </si>
  <si>
    <t>44835B1BrancaResidencialResidencialNão se aplicaNão se aplicaIntermediário</t>
  </si>
  <si>
    <t>44866B1BrancaResidencialResidencialNão se aplicaNão se aplicaIntermediário</t>
  </si>
  <si>
    <t>44531B1BrancaResidencialResidencialNão se aplicaNão se aplicaPonta</t>
  </si>
  <si>
    <t>44562B1BrancaResidencialResidencialNão se aplicaNão se aplicaPonta</t>
  </si>
  <si>
    <t>44593B1BrancaResidencialResidencialNão se aplicaNão se aplicaPonta</t>
  </si>
  <si>
    <t>44621B1BrancaResidencialResidencialNão se aplicaNão se aplicaPonta</t>
  </si>
  <si>
    <t>44652B1BrancaResidencialResidencialNão se aplicaNão se aplicaPonta</t>
  </si>
  <si>
    <t>44682B1BrancaResidencialResidencialNão se aplicaNão se aplicaPonta</t>
  </si>
  <si>
    <t>44713B1BrancaResidencialResidencialNão se aplicaNão se aplicaPonta</t>
  </si>
  <si>
    <t>44743B1BrancaResidencialResidencialNão se aplicaNão se aplicaPonta</t>
  </si>
  <si>
    <t>44774B1BrancaResidencialResidencialNão se aplicaNão se aplicaPonta</t>
  </si>
  <si>
    <t>44805B1BrancaResidencialResidencialNão se aplicaNão se aplicaPonta</t>
  </si>
  <si>
    <t>44835B1BrancaResidencialResidencialNão se aplicaNão se aplicaPonta</t>
  </si>
  <si>
    <t>44866B1BrancaResidencialResidencialNão se aplicaNão se aplicaPonta</t>
  </si>
  <si>
    <t>44531B1ConvencionalResidencialResidencialNão se aplicaNão se aplicaNão se aplica</t>
  </si>
  <si>
    <t>44562B1ConvencionalResidencialResidencialNão se aplicaNão se aplicaNão se aplica</t>
  </si>
  <si>
    <t>44593B1ConvencionalResidencialResidencialNão se aplicaNão se aplicaNão se aplica</t>
  </si>
  <si>
    <t>44621B1ConvencionalResidencialResidencialNão se aplicaNão se aplicaNão se aplica</t>
  </si>
  <si>
    <t>44652B1ConvencionalResidencialResidencialNão se aplicaNão se aplicaNão se aplica</t>
  </si>
  <si>
    <t>44682B1ConvencionalResidencialResidencialNão se aplicaNão se aplicaNão se aplica</t>
  </si>
  <si>
    <t>44713B1ConvencionalResidencialResidencialNão se aplicaNão se aplicaNão se aplica</t>
  </si>
  <si>
    <t>44743B1ConvencionalResidencialResidencialNão se aplicaNão se aplicaNão se aplica</t>
  </si>
  <si>
    <t>44774B1ConvencionalResidencialResidencialNão se aplicaNão se aplicaNão se aplica</t>
  </si>
  <si>
    <t>44805B1ConvencionalResidencialResidencialNão se aplicaNão se aplicaNão se aplica</t>
  </si>
  <si>
    <t>44835B1ConvencionalResidencialResidencialNão se aplicaNão se aplicaNão se aplica</t>
  </si>
  <si>
    <t>44866B1ConvencionalResidencialResidencialNão se aplicaNão se aplicaNão se aplica</t>
  </si>
  <si>
    <t>44531B1ConvencionalResidencialResidencial baixa renda – faixa 01Não se aplicaNão se aplicaNão se aplica</t>
  </si>
  <si>
    <t>44562B1ConvencionalResidencialResidencial baixa renda – faixa 01Não se aplicaNão se aplicaNão se aplica</t>
  </si>
  <si>
    <t>44593B1ConvencionalResidencialResidencial baixa renda – faixa 01Não se aplicaNão se aplicaNão se aplica</t>
  </si>
  <si>
    <t>44621B1ConvencionalResidencialResidencial baixa renda – faixa 01Não se aplicaNão se aplicaNão se aplica</t>
  </si>
  <si>
    <t>44652B1ConvencionalResidencialResidencial baixa renda – faixa 01Não se aplicaNão se aplicaNão se aplica</t>
  </si>
  <si>
    <t>44682B1ConvencionalResidencialResidencial baixa renda – faixa 01Não se aplicaNão se aplicaNão se aplica</t>
  </si>
  <si>
    <t>44713B1ConvencionalResidencialResidencial baixa renda – faixa 01Não se aplicaNão se aplicaNão se aplica</t>
  </si>
  <si>
    <t>44743B1ConvencionalResidencialResidencial baixa renda – faixa 01Não se aplicaNão se aplicaNão se aplica</t>
  </si>
  <si>
    <t>44774B1ConvencionalResidencialResidencial baixa renda – faixa 01Não se aplicaNão se aplicaNão se aplica</t>
  </si>
  <si>
    <t>44805B1ConvencionalResidencialResidencial baixa renda – faixa 01Não se aplicaNão se aplicaNão se aplica</t>
  </si>
  <si>
    <t>44835B1ConvencionalResidencialResidencial baixa renda – faixa 01Não se aplicaNão se aplicaNão se aplica</t>
  </si>
  <si>
    <t>44866B1ConvencionalResidencialResidencial baixa renda – faixa 01Não se aplicaNão se aplicaNão se aplica</t>
  </si>
  <si>
    <t>44531B1ConvencionalResidencialResidencial baixa renda – faixa 02Não se aplicaNão se aplicaNão se aplica</t>
  </si>
  <si>
    <t>44562B1ConvencionalResidencialResidencial baixa renda – faixa 02Não se aplicaNão se aplicaNão se aplica</t>
  </si>
  <si>
    <t>44593B1ConvencionalResidencialResidencial baixa renda – faixa 02Não se aplicaNão se aplicaNão se aplica</t>
  </si>
  <si>
    <t>44621B1ConvencionalResidencialResidencial baixa renda – faixa 02Não se aplicaNão se aplicaNão se aplica</t>
  </si>
  <si>
    <t>44652B1ConvencionalResidencialResidencial baixa renda – faixa 02Não se aplicaNão se aplicaNão se aplica</t>
  </si>
  <si>
    <t>44682B1ConvencionalResidencialResidencial baixa renda – faixa 02Não se aplicaNão se aplicaNão se aplica</t>
  </si>
  <si>
    <t>44713B1ConvencionalResidencialResidencial baixa renda – faixa 02Não se aplicaNão se aplicaNão se aplica</t>
  </si>
  <si>
    <t>44743B1ConvencionalResidencialResidencial baixa renda – faixa 02Não se aplicaNão se aplicaNão se aplica</t>
  </si>
  <si>
    <t>44774B1ConvencionalResidencialResidencial baixa renda – faixa 02Não se aplicaNão se aplicaNão se aplica</t>
  </si>
  <si>
    <t>44805B1ConvencionalResidencialResidencial baixa renda – faixa 02Não se aplicaNão se aplicaNão se aplica</t>
  </si>
  <si>
    <t>44835B1ConvencionalResidencialResidencial baixa renda – faixa 02Não se aplicaNão se aplicaNão se aplica</t>
  </si>
  <si>
    <t>44866B1ConvencionalResidencialResidencial baixa renda – faixa 02Não se aplicaNão se aplicaNão se aplica</t>
  </si>
  <si>
    <t>44531B1ConvencionalResidencialResidencial baixa renda – faixa 03Não se aplicaNão se aplicaNão se aplica</t>
  </si>
  <si>
    <t>44562B1ConvencionalResidencialResidencial baixa renda – faixa 03Não se aplicaNão se aplicaNão se aplica</t>
  </si>
  <si>
    <t>44593B1ConvencionalResidencialResidencial baixa renda – faixa 03Não se aplicaNão se aplicaNão se aplica</t>
  </si>
  <si>
    <t>44621B1ConvencionalResidencialResidencial baixa renda – faixa 03Não se aplicaNão se aplicaNão se aplica</t>
  </si>
  <si>
    <t>44652B1ConvencionalResidencialResidencial baixa renda – faixa 03Não se aplicaNão se aplicaNão se aplica</t>
  </si>
  <si>
    <t>44682B1ConvencionalResidencialResidencial baixa renda – faixa 03Não se aplicaNão se aplicaNão se aplica</t>
  </si>
  <si>
    <t>44713B1ConvencionalResidencialResidencial baixa renda – faixa 03Não se aplicaNão se aplicaNão se aplica</t>
  </si>
  <si>
    <t>44743B1ConvencionalResidencialResidencial baixa renda – faixa 03Não se aplicaNão se aplicaNão se aplica</t>
  </si>
  <si>
    <t>44774B1ConvencionalResidencialResidencial baixa renda – faixa 03Não se aplicaNão se aplicaNão se aplica</t>
  </si>
  <si>
    <t>44805B1ConvencionalResidencialResidencial baixa renda – faixa 03Não se aplicaNão se aplicaNão se aplica</t>
  </si>
  <si>
    <t>44835B1ConvencionalResidencialResidencial baixa renda – faixa 03Não se aplicaNão se aplicaNão se aplica</t>
  </si>
  <si>
    <t>44866B1ConvencionalResidencialResidencial baixa renda – faixa 03Não se aplicaNão se aplicaNão se aplica</t>
  </si>
  <si>
    <t>44531B1ConvencionalResidencialResidencial baixa renda – faixa 04Não se aplicaNão se aplicaNão se aplica</t>
  </si>
  <si>
    <t>44562B1ConvencionalResidencialResidencial baixa renda – faixa 04Não se aplicaNão se aplicaNão se aplica</t>
  </si>
  <si>
    <t>44593B1ConvencionalResidencialResidencial baixa renda – faixa 04Não se aplicaNão se aplicaNão se aplica</t>
  </si>
  <si>
    <t>44621B1ConvencionalResidencialResidencial baixa renda – faixa 04Não se aplicaNão se aplicaNão se aplica</t>
  </si>
  <si>
    <t>44652B1ConvencionalResidencialResidencial baixa renda – faixa 04Não se aplicaNão se aplicaNão se aplica</t>
  </si>
  <si>
    <t>44682B1ConvencionalResidencialResidencial baixa renda – faixa 04Não se aplicaNão se aplicaNão se aplica</t>
  </si>
  <si>
    <t>44713B1ConvencionalResidencialResidencial baixa renda – faixa 04Não se aplicaNão se aplicaNão se aplica</t>
  </si>
  <si>
    <t>44743B1ConvencionalResidencialResidencial baixa renda – faixa 04Não se aplicaNão se aplicaNão se aplica</t>
  </si>
  <si>
    <t>44774B1ConvencionalResidencialResidencial baixa renda – faixa 04Não se aplicaNão se aplicaNão se aplica</t>
  </si>
  <si>
    <t>44805B1ConvencionalResidencialResidencial baixa renda – faixa 04Não se aplicaNão se aplicaNão se aplica</t>
  </si>
  <si>
    <t>44835B1ConvencionalResidencialResidencial baixa renda – faixa 04Não se aplicaNão se aplicaNão se aplica</t>
  </si>
  <si>
    <t>44866B1ConvencionalResidencialResidencial baixa renda – faixa 04Não se aplicaNão se aplicaNão se aplica</t>
  </si>
  <si>
    <t>44531B2BrancaRuralNão se aplicaNão se aplicaNão se aplicaFora ponta</t>
  </si>
  <si>
    <t>44562B2BrancaRuralNão se aplicaNão se aplicaNão se aplicaFora ponta</t>
  </si>
  <si>
    <t>44593B2BrancaRuralNão se aplicaNão se aplicaNão se aplicaFora ponta</t>
  </si>
  <si>
    <t>44621B2BrancaRuralNão se aplicaNão se aplicaNão se aplicaFora ponta</t>
  </si>
  <si>
    <t>44652B2BrancaRuralNão se aplicaNão se aplicaNão se aplicaFora ponta</t>
  </si>
  <si>
    <t>44682B2BrancaRuralNão se aplicaNão se aplicaNão se aplicaFora ponta</t>
  </si>
  <si>
    <t>44713B2BrancaRuralNão se aplicaNão se aplicaNão se aplicaFora ponta</t>
  </si>
  <si>
    <t>44743B2BrancaRuralNão se aplicaNão se aplicaNão se aplicaFora ponta</t>
  </si>
  <si>
    <t>44774B2BrancaRuralNão se aplicaNão se aplicaNão se aplicaFora ponta</t>
  </si>
  <si>
    <t>44805B2BrancaRuralNão se aplicaNão se aplicaNão se aplicaFora ponta</t>
  </si>
  <si>
    <t>44835B2BrancaRuralNão se aplicaNão se aplicaNão se aplicaFora ponta</t>
  </si>
  <si>
    <t>44866B2BrancaRuralNão se aplicaNão se aplicaNão se aplicaFora ponta</t>
  </si>
  <si>
    <t>44531B2BrancaRuralNão se aplicaNão se aplicaNão se aplicaIntermediário</t>
  </si>
  <si>
    <t>44562B2BrancaRuralNão se aplicaNão se aplicaNão se aplicaIntermediário</t>
  </si>
  <si>
    <t>44593B2BrancaRuralNão se aplicaNão se aplicaNão se aplicaIntermediário</t>
  </si>
  <si>
    <t>44621B2BrancaRuralNão se aplicaNão se aplicaNão se aplicaIntermediário</t>
  </si>
  <si>
    <t>44652B2BrancaRuralNão se aplicaNão se aplicaNão se aplicaIntermediário</t>
  </si>
  <si>
    <t>44682B2BrancaRuralNão se aplicaNão se aplicaNão se aplicaIntermediário</t>
  </si>
  <si>
    <t>44713B2BrancaRuralNão se aplicaNão se aplicaNão se aplicaIntermediário</t>
  </si>
  <si>
    <t>44743B2BrancaRuralNão se aplicaNão se aplicaNão se aplicaIntermediário</t>
  </si>
  <si>
    <t>44774B2BrancaRuralNão se aplicaNão se aplicaNão se aplicaIntermediário</t>
  </si>
  <si>
    <t>44805B2BrancaRuralNão se aplicaNão se aplicaNão se aplicaIntermediário</t>
  </si>
  <si>
    <t>44835B2BrancaRuralNão se aplicaNão se aplicaNão se aplicaIntermediário</t>
  </si>
  <si>
    <t>44866B2BrancaRuralNão se aplicaNão se aplicaNão se aplicaIntermediário</t>
  </si>
  <si>
    <t>44531B2BrancaRuralNão se aplicaNão se aplicaNão se aplicaPonta</t>
  </si>
  <si>
    <t>44562B2BrancaRuralNão se aplicaNão se aplicaNão se aplicaPonta</t>
  </si>
  <si>
    <t>44593B2BrancaRuralNão se aplicaNão se aplicaNão se aplicaPonta</t>
  </si>
  <si>
    <t>44621B2BrancaRuralNão se aplicaNão se aplicaNão se aplicaPonta</t>
  </si>
  <si>
    <t>44652B2BrancaRuralNão se aplicaNão se aplicaNão se aplicaPonta</t>
  </si>
  <si>
    <t>44682B2BrancaRuralNão se aplicaNão se aplicaNão se aplicaPonta</t>
  </si>
  <si>
    <t>44713B2BrancaRuralNão se aplicaNão se aplicaNão se aplicaPonta</t>
  </si>
  <si>
    <t>44743B2BrancaRuralNão se aplicaNão se aplicaNão se aplicaPonta</t>
  </si>
  <si>
    <t>44774B2BrancaRuralNão se aplicaNão se aplicaNão se aplicaPonta</t>
  </si>
  <si>
    <t>44805B2BrancaRuralNão se aplicaNão se aplicaNão se aplicaPonta</t>
  </si>
  <si>
    <t>44835B2BrancaRuralNão se aplicaNão se aplicaNão se aplicaPonta</t>
  </si>
  <si>
    <t>44866B2BrancaRuralNão se aplicaNão se aplicaNão se aplicaPonta</t>
  </si>
  <si>
    <t>44531B2ConvencionalRuralNão se aplicaNão se aplicaNão se aplicaNão se aplica</t>
  </si>
  <si>
    <t>44562B2ConvencionalRuralNão se aplicaNão se aplicaNão se aplicaNão se aplica</t>
  </si>
  <si>
    <t>44593B2ConvencionalRuralNão se aplicaNão se aplicaNão se aplicaNão se aplica</t>
  </si>
  <si>
    <t>44621B2ConvencionalRuralNão se aplicaNão se aplicaNão se aplicaNão se aplica</t>
  </si>
  <si>
    <t>44652B2ConvencionalRuralNão se aplicaNão se aplicaNão se aplicaNão se aplica</t>
  </si>
  <si>
    <t>44682B2ConvencionalRuralNão se aplicaNão se aplicaNão se aplicaNão se aplica</t>
  </si>
  <si>
    <t>44713B2ConvencionalRuralNão se aplicaNão se aplicaNão se aplicaNão se aplica</t>
  </si>
  <si>
    <t>44743B2ConvencionalRuralNão se aplicaNão se aplicaNão se aplicaNão se aplica</t>
  </si>
  <si>
    <t>44774B2ConvencionalRuralNão se aplicaNão se aplicaNão se aplicaNão se aplica</t>
  </si>
  <si>
    <t>44805B2ConvencionalRuralNão se aplicaNão se aplicaNão se aplicaNão se aplica</t>
  </si>
  <si>
    <t>44835B2ConvencionalRuralNão se aplicaNão se aplicaNão se aplicaNão se aplica</t>
  </si>
  <si>
    <t>44866B2ConvencionalRuralNão se aplicaNão se aplicaNão se aplicaNão se aplica</t>
  </si>
  <si>
    <t>44531B3BrancaNão se aplicaNão se aplicaNão se aplicaNão se aplicaFora ponta</t>
  </si>
  <si>
    <t>44562B3BrancaNão se aplicaNão se aplicaNão se aplicaNão se aplicaFora ponta</t>
  </si>
  <si>
    <t>44593B3BrancaNão se aplicaNão se aplicaNão se aplicaNão se aplicaFora ponta</t>
  </si>
  <si>
    <t>44621B3BrancaNão se aplicaNão se aplicaNão se aplicaNão se aplicaFora ponta</t>
  </si>
  <si>
    <t>44652B3BrancaNão se aplicaNão se aplicaNão se aplicaNão se aplicaFora ponta</t>
  </si>
  <si>
    <t>44682B3BrancaNão se aplicaNão se aplicaNão se aplicaNão se aplicaFora ponta</t>
  </si>
  <si>
    <t>44713B3BrancaNão se aplicaNão se aplicaNão se aplicaNão se aplicaFora ponta</t>
  </si>
  <si>
    <t>44743B3BrancaNão se aplicaNão se aplicaNão se aplicaNão se aplicaFora ponta</t>
  </si>
  <si>
    <t>44774B3BrancaNão se aplicaNão se aplicaNão se aplicaNão se aplicaFora ponta</t>
  </si>
  <si>
    <t>44805B3BrancaNão se aplicaNão se aplicaNão se aplicaNão se aplicaFora ponta</t>
  </si>
  <si>
    <t>44835B3BrancaNão se aplicaNão se aplicaNão se aplicaNão se aplicaFora ponta</t>
  </si>
  <si>
    <t>44866B3BrancaNão se aplicaNão se aplicaNão se aplicaNão se aplicaFora ponta</t>
  </si>
  <si>
    <t>44531B3BrancaNão se aplicaNão se aplicaNão se aplicaNão se aplicaIntermediário</t>
  </si>
  <si>
    <t>44562B3BrancaNão se aplicaNão se aplicaNão se aplicaNão se aplicaIntermediário</t>
  </si>
  <si>
    <t>44593B3BrancaNão se aplicaNão se aplicaNão se aplicaNão se aplicaIntermediário</t>
  </si>
  <si>
    <t>44621B3BrancaNão se aplicaNão se aplicaNão se aplicaNão se aplicaIntermediário</t>
  </si>
  <si>
    <t>44652B3BrancaNão se aplicaNão se aplicaNão se aplicaNão se aplicaIntermediário</t>
  </si>
  <si>
    <t>44682B3BrancaNão se aplicaNão se aplicaNão se aplicaNão se aplicaIntermediário</t>
  </si>
  <si>
    <t>44713B3BrancaNão se aplicaNão se aplicaNão se aplicaNão se aplicaIntermediário</t>
  </si>
  <si>
    <t>44743B3BrancaNão se aplicaNão se aplicaNão se aplicaNão se aplicaIntermediário</t>
  </si>
  <si>
    <t>44774B3BrancaNão se aplicaNão se aplicaNão se aplicaNão se aplicaIntermediário</t>
  </si>
  <si>
    <t>44805B3BrancaNão se aplicaNão se aplicaNão se aplicaNão se aplicaIntermediário</t>
  </si>
  <si>
    <t>44835B3BrancaNão se aplicaNão se aplicaNão se aplicaNão se aplicaIntermediário</t>
  </si>
  <si>
    <t>44866B3BrancaNão se aplicaNão se aplicaNão se aplicaNão se aplicaIntermediário</t>
  </si>
  <si>
    <t>44531B3BrancaNão se aplicaNão se aplicaNão se aplicaNão se aplicaPonta</t>
  </si>
  <si>
    <t>44562B3BrancaNão se aplicaNão se aplicaNão se aplicaNão se aplicaPonta</t>
  </si>
  <si>
    <t>44593B3BrancaNão se aplicaNão se aplicaNão se aplicaNão se aplicaPonta</t>
  </si>
  <si>
    <t>44621B3BrancaNão se aplicaNão se aplicaNão se aplicaNão se aplicaPonta</t>
  </si>
  <si>
    <t>44652B3BrancaNão se aplicaNão se aplicaNão se aplicaNão se aplicaPonta</t>
  </si>
  <si>
    <t>44682B3BrancaNão se aplicaNão se aplicaNão se aplicaNão se aplicaPonta</t>
  </si>
  <si>
    <t>44713B3BrancaNão se aplicaNão se aplicaNão se aplicaNão se aplicaPonta</t>
  </si>
  <si>
    <t>44743B3BrancaNão se aplicaNão se aplicaNão se aplicaNão se aplicaPonta</t>
  </si>
  <si>
    <t>44774B3BrancaNão se aplicaNão se aplicaNão se aplicaNão se aplicaPonta</t>
  </si>
  <si>
    <t>44805B3BrancaNão se aplicaNão se aplicaNão se aplicaNão se aplicaPonta</t>
  </si>
  <si>
    <t>44835B3BrancaNão se aplicaNão se aplicaNão se aplicaNão se aplicaPonta</t>
  </si>
  <si>
    <t>44866B3BrancaNão se aplicaNão se aplicaNão se aplicaNão se aplicaPonta</t>
  </si>
  <si>
    <t>44531B3ConvencionalNão se aplicaNão se aplicaNão se aplicaNão se aplicaNão se aplica</t>
  </si>
  <si>
    <t>44562B3ConvencionalNão se aplicaNão se aplicaNão se aplicaNão se aplicaNão se aplica</t>
  </si>
  <si>
    <t>44593B3ConvencionalNão se aplicaNão se aplicaNão se aplicaNão se aplicaNão se aplica</t>
  </si>
  <si>
    <t>44621B3ConvencionalNão se aplicaNão se aplicaNão se aplicaNão se aplicaNão se aplica</t>
  </si>
  <si>
    <t>44652B3ConvencionalNão se aplicaNão se aplicaNão se aplicaNão se aplicaNão se aplica</t>
  </si>
  <si>
    <t>44682B3ConvencionalNão se aplicaNão se aplicaNão se aplicaNão se aplicaNão se aplica</t>
  </si>
  <si>
    <t>44713B3ConvencionalNão se aplicaNão se aplicaNão se aplicaNão se aplicaNão se aplica</t>
  </si>
  <si>
    <t>44743B3ConvencionalNão se aplicaNão se aplicaNão se aplicaNão se aplicaNão se aplica</t>
  </si>
  <si>
    <t>44774B3ConvencionalNão se aplicaNão se aplicaNão se aplicaNão se aplicaNão se aplica</t>
  </si>
  <si>
    <t>44805B3ConvencionalNão se aplicaNão se aplicaNão se aplicaNão se aplicaNão se aplica</t>
  </si>
  <si>
    <t>44835B3ConvencionalNão se aplicaNão se aplicaNão se aplicaNão se aplicaNão se aplica</t>
  </si>
  <si>
    <t>44866B3ConvencionalNão se aplicaNão se aplicaNão se aplicaNão se aplicaNão se aplica</t>
  </si>
  <si>
    <t>44531B4ConvencionalIluminação públicaIluminação pública – B4aNão se aplicaNão se aplicaNão se aplica</t>
  </si>
  <si>
    <t>44562B4ConvencionalIluminação públicaIluminação pública – B4aNão se aplicaNão se aplicaNão se aplica</t>
  </si>
  <si>
    <t>44593B4ConvencionalIluminação públicaIluminação pública – B4aNão se aplicaNão se aplicaNão se aplica</t>
  </si>
  <si>
    <t>44621B4ConvencionalIluminação públicaIluminação pública – B4aNão se aplicaNão se aplicaNão se aplica</t>
  </si>
  <si>
    <t>44652B4ConvencionalIluminação públicaIluminação pública – B4aNão se aplicaNão se aplicaNão se aplica</t>
  </si>
  <si>
    <t>44682B4ConvencionalIluminação públicaIluminação pública – B4aNão se aplicaNão se aplicaNão se aplica</t>
  </si>
  <si>
    <t>44713B4ConvencionalIluminação públicaIluminação pública – B4aNão se aplicaNão se aplicaNão se aplica</t>
  </si>
  <si>
    <t>44743B4ConvencionalIluminação públicaIluminação pública – B4aNão se aplicaNão se aplicaNão se aplica</t>
  </si>
  <si>
    <t>44774B4ConvencionalIluminação públicaIluminação pública – B4aNão se aplicaNão se aplicaNão se aplica</t>
  </si>
  <si>
    <t>44805B4ConvencionalIluminação públicaIluminação pública – B4aNão se aplicaNão se aplicaNão se aplica</t>
  </si>
  <si>
    <t>44835B4ConvencionalIluminação públicaIluminação pública – B4aNão se aplicaNão se aplicaNão se aplica</t>
  </si>
  <si>
    <t>44866B4ConvencionalIluminação públicaIluminação pública – B4aNão se aplicaNão se aplicaNão se aplica</t>
  </si>
  <si>
    <t>CHAVE TE</t>
  </si>
  <si>
    <t>44531A3aEnergia horáriaNão se aplicaNão se aplicaNão se aplicaNão se aplicaFora ponta</t>
  </si>
  <si>
    <t>44562A3aEnergia horáriaNão se aplicaNão se aplicaNão se aplicaNão se aplicaFora ponta</t>
  </si>
  <si>
    <t>44593A3aEnergia horáriaNão se aplicaNão se aplicaNão se aplicaNão se aplicaFora ponta</t>
  </si>
  <si>
    <t>44621A3aEnergia horáriaNão se aplicaNão se aplicaNão se aplicaNão se aplicaFora ponta</t>
  </si>
  <si>
    <t>44652A3aEnergia horáriaNão se aplicaNão se aplicaNão se aplicaNão se aplicaFora ponta</t>
  </si>
  <si>
    <t>44531A3aEnergia horáriaNão se aplicaNão se aplicaNão se aplicaNão se aplicaPonta</t>
  </si>
  <si>
    <t>44562A3aEnergia horáriaNão se aplicaNão se aplicaNão se aplicaNão se aplicaPonta</t>
  </si>
  <si>
    <t>44593A3aEnergia horáriaNão se aplicaNão se aplicaNão se aplicaNão se aplicaPonta</t>
  </si>
  <si>
    <t>44621A3aEnergia horáriaNão se aplicaNão se aplicaNão se aplicaNão se aplicaPonta</t>
  </si>
  <si>
    <t>44652A3aEnergia horáriaNão se aplicaNão se aplicaNão se aplicaNão se aplicaPonta</t>
  </si>
  <si>
    <t>44682A3aEnergia horáriaNão se aplicaNão se aplicaNão se aplicaNão se aplicaFora ponta</t>
  </si>
  <si>
    <t>44713A3aEnergia horáriaNão se aplicaNão se aplicaNão se aplicaNão se aplicaFora ponta</t>
  </si>
  <si>
    <t>44743A3aEnergia horáriaNão se aplicaNão se aplicaNão se aplicaNão se aplicaFora ponta</t>
  </si>
  <si>
    <t>44774A3aEnergia horáriaNão se aplicaNão se aplicaNão se aplicaNão se aplicaFora ponta</t>
  </si>
  <si>
    <t>44805A3aEnergia horáriaNão se aplicaNão se aplicaNão se aplicaNão se aplicaFora ponta</t>
  </si>
  <si>
    <t>44835A3aEnergia horáriaNão se aplicaNão se aplicaNão se aplicaNão se aplicaFora ponta</t>
  </si>
  <si>
    <t>44866A3aEnergia horáriaNão se aplicaNão se aplicaNão se aplicaNão se aplicaFora ponta</t>
  </si>
  <si>
    <t>CUIDADO</t>
  </si>
  <si>
    <t>Desculpe, mas não foi encontrado posto Não se aplica, modalidade Energia horária, subgrupo A3a no banco de regras.</t>
  </si>
  <si>
    <t>Mercado_Receita</t>
  </si>
  <si>
    <t>S</t>
  </si>
  <si>
    <t>44682A3aEnergia horáriaNão se aplicaNão se aplicaNão se aplicaNão se aplicaPonta</t>
  </si>
  <si>
    <t>44713A3aEnergia horáriaNão se aplicaNão se aplicaNão se aplicaNão se aplicaPonta</t>
  </si>
  <si>
    <t>44743A3aEnergia horáriaNão se aplicaNão se aplicaNão se aplicaNão se aplicaPonta</t>
  </si>
  <si>
    <t>44774A3aEnergia horáriaNão se aplicaNão se aplicaNão se aplicaNão se aplicaPonta</t>
  </si>
  <si>
    <t>44805A3aEnergia horáriaNão se aplicaNão se aplicaNão se aplicaNão se aplicaPonta</t>
  </si>
  <si>
    <t>44835A3aEnergia horáriaNão se aplicaNão se aplicaNão se aplicaNão se aplicaPonta</t>
  </si>
  <si>
    <t>44866A3aEnergia horáriaNão se aplicaNão se aplicaNão se aplicaNão se aplicaPonta</t>
  </si>
  <si>
    <t>44531A4Energia horáriaNão se aplicaNão se aplicaNão se aplicaNão se aplicaFora ponta</t>
  </si>
  <si>
    <t>44562A4Energia horáriaNão se aplicaNão se aplicaNão se aplicaNão se aplicaFora ponta</t>
  </si>
  <si>
    <t>44593A4Energia horáriaNão se aplicaNão se aplicaNão se aplicaNão se aplicaFora ponta</t>
  </si>
  <si>
    <t>44621A4Energia horáriaNão se aplicaNão se aplicaNão se aplicaNão se aplicaFora ponta</t>
  </si>
  <si>
    <t>44652A4Energia horáriaNão se aplicaNão se aplicaNão se aplicaNão se aplicaFora ponta</t>
  </si>
  <si>
    <t>44682A4Energia horáriaNão se aplicaNão se aplicaNão se aplicaNão se aplicaFora ponta</t>
  </si>
  <si>
    <t>44713A4Energia horáriaNão se aplicaNão se aplicaNão se aplicaNão se aplicaFora ponta</t>
  </si>
  <si>
    <t>44743A4Energia horáriaNão se aplicaNão se aplicaNão se aplicaNão se aplicaFora ponta</t>
  </si>
  <si>
    <t>44774A4Energia horáriaNão se aplicaNão se aplicaNão se aplicaNão se aplicaFora ponta</t>
  </si>
  <si>
    <t>44805A4Energia horáriaNão se aplicaNão se aplicaNão se aplicaNão se aplicaFora ponta</t>
  </si>
  <si>
    <t>44835A4Energia horáriaNão se aplicaNão se aplicaNão se aplicaNão se aplicaFora ponta</t>
  </si>
  <si>
    <t>44866A4Energia horáriaNão se aplicaNão se aplicaNão se aplicaNão se aplicaFora ponta</t>
  </si>
  <si>
    <t>44531A4Energia horáriaNão se aplicaNão se aplicaNão se aplicaNão se aplicaPonta</t>
  </si>
  <si>
    <t>44562A4Energia horáriaNão se aplicaNão se aplicaNão se aplicaNão se aplicaPonta</t>
  </si>
  <si>
    <t>44593A4Energia horáriaNão se aplicaNão se aplicaNão se aplicaNão se aplicaPonta</t>
  </si>
  <si>
    <t>44621A4Energia horáriaNão se aplicaNão se aplicaNão se aplicaNão se aplicaPonta</t>
  </si>
  <si>
    <t>44652A4Energia horáriaNão se aplicaNão se aplicaNão se aplicaNão se aplicaPonta</t>
  </si>
  <si>
    <t>44682A4Energia horáriaNão se aplicaNão se aplicaNão se aplicaNão se aplicaPonta</t>
  </si>
  <si>
    <t>44713A4Energia horáriaNão se aplicaNão se aplicaNão se aplicaNão se aplicaPonta</t>
  </si>
  <si>
    <t>44743A4Energia horáriaNão se aplicaNão se aplicaNão se aplicaNão se aplicaPonta</t>
  </si>
  <si>
    <t>44774A4Energia horáriaNão se aplicaNão se aplicaNão se aplicaNão se aplicaPonta</t>
  </si>
  <si>
    <t>44805A4Energia horáriaNão se aplicaNão se aplicaNão se aplicaNão se aplicaPonta</t>
  </si>
  <si>
    <t>44835A4Energia horáriaNão se aplicaNão se aplicaNão se aplicaNão se aplicaPonta</t>
  </si>
  <si>
    <t>44866A4Energia horáriaNão se aplicaNão se aplicaNão se aplicaNão se aplicaPonta</t>
  </si>
  <si>
    <t>44531A4Energia suprimento concessionáriaNão se aplicaNão se aplicaNão se aplicaNão se aplicaNão se aplica</t>
  </si>
  <si>
    <t>44562A4Energia suprimento concessionáriaNão se aplicaNão se aplicaNão se aplicaNão se aplicaNão se aplica</t>
  </si>
  <si>
    <t>44593A4Energia suprimento concessionáriaNão se aplicaNão se aplicaNão se aplicaNão se aplicaNão se aplica</t>
  </si>
  <si>
    <t>44621A4Energia suprimento concessionáriaNão se aplicaNão se aplicaNão se aplicaNão se aplicaNão se aplica</t>
  </si>
  <si>
    <t>44652A4Energia suprimento concessionáriaNão se aplicaNão se aplicaNão se aplicaNão se aplicaNão se aplica</t>
  </si>
  <si>
    <t>44682A4Energia suprimento concessionáriaNão se aplicaNão se aplicaNão se aplicaNão se aplicaNão se aplica</t>
  </si>
  <si>
    <t>44713A4Energia suprimento concessionáriaNão se aplicaNão se aplicaNão se aplicaNão se aplicaNão se aplica</t>
  </si>
  <si>
    <t>44743A4Energia suprimento concessionáriaNão se aplicaNão se aplicaNão se aplicaNão se aplicaNão se aplica</t>
  </si>
  <si>
    <t>44774A4Energia suprimento concessionáriaNão se aplicaNão se aplicaNão se aplicaNão se aplicaNão se aplica</t>
  </si>
  <si>
    <t>44805A4Energia suprimento concessionáriaNão se aplicaNão se aplicaNão se aplicaNão se aplicaNão se aplica</t>
  </si>
  <si>
    <t>44835A4Energia suprimento concessionáriaNão se aplicaNão se aplicaNão se aplicaNão se aplicaNão se aplica</t>
  </si>
  <si>
    <t>44866A4Energia suprimento concessionáriaNão se aplicaNão se aplicaNão se aplicaNão se aplicaNão se aplica</t>
  </si>
  <si>
    <t>Desculpe, mas não foi encontrado posto Não se aplica, modalidade Energia horária, subgrupo A4 no banco de regras.</t>
  </si>
  <si>
    <t>44531B1Energia horáriaResidencialResidencialNão se aplicaNão se aplicaFora ponta</t>
  </si>
  <si>
    <t>44562B1Energia horáriaResidencialResidencialNão se aplicaNão se aplicaFora ponta</t>
  </si>
  <si>
    <t>44593B1Energia horáriaResidencialResidencialNão se aplicaNão se aplicaFora ponta</t>
  </si>
  <si>
    <t>44621B1Energia horáriaResidencialResidencialNão se aplicaNão se aplicaFora ponta</t>
  </si>
  <si>
    <t>44652B1Energia horáriaResidencialResidencialNão se aplicaNão se aplicaFora ponta</t>
  </si>
  <si>
    <t>44682B1Energia horáriaResidencialResidencialNão se aplicaNão se aplicaFora ponta</t>
  </si>
  <si>
    <t>44713B1Energia horáriaResidencialResidencialNão se aplicaNão se aplicaFora ponta</t>
  </si>
  <si>
    <t>44743B1Energia horáriaResidencialResidencialNão se aplicaNão se aplicaFora ponta</t>
  </si>
  <si>
    <t>44774B1Energia horáriaResidencialResidencialNão se aplicaNão se aplicaFora ponta</t>
  </si>
  <si>
    <t>44805B1Energia horáriaResidencialResidencialNão se aplicaNão se aplicaFora ponta</t>
  </si>
  <si>
    <t>44835B1Energia horáriaResidencialResidencialNão se aplicaNão se aplicaFora ponta</t>
  </si>
  <si>
    <t>44866B1Energia horáriaResidencialResidencialNão se aplicaNão se aplicaFora ponta</t>
  </si>
  <si>
    <t>44531B1Energia horáriaResidencialResidencialNão se aplicaNão se aplicaIntermediário</t>
  </si>
  <si>
    <t>44562B1Energia horáriaResidencialResidencialNão se aplicaNão se aplicaIntermediário</t>
  </si>
  <si>
    <t>44593B1Energia horáriaResidencialResidencialNão se aplicaNão se aplicaIntermediário</t>
  </si>
  <si>
    <t>44621B1Energia horáriaResidencialResidencialNão se aplicaNão se aplicaIntermediário</t>
  </si>
  <si>
    <t>44652B1Energia horáriaResidencialResidencialNão se aplicaNão se aplicaIntermediário</t>
  </si>
  <si>
    <t>44682B1Energia horáriaResidencialResidencialNão se aplicaNão se aplicaIntermediário</t>
  </si>
  <si>
    <t>44713B1Energia horáriaResidencialResidencialNão se aplicaNão se aplicaIntermediário</t>
  </si>
  <si>
    <t>44743B1Energia horáriaResidencialResidencialNão se aplicaNão se aplicaIntermediário</t>
  </si>
  <si>
    <t>44774B1Energia horáriaResidencialResidencialNão se aplicaNão se aplicaIntermediário</t>
  </si>
  <si>
    <t>44805B1Energia horáriaResidencialResidencialNão se aplicaNão se aplicaIntermediário</t>
  </si>
  <si>
    <t>44835B1Energia horáriaResidencialResidencialNão se aplicaNão se aplicaIntermediário</t>
  </si>
  <si>
    <t>44866B1Energia horáriaResidencialResidencialNão se aplicaNão se aplicaIntermediário</t>
  </si>
  <si>
    <t>44531B1Energia horáriaResidencialResidencialNão se aplicaNão se aplicaPonta</t>
  </si>
  <si>
    <t>44562B1Energia horáriaResidencialResidencialNão se aplicaNão se aplicaPonta</t>
  </si>
  <si>
    <t>44593B1Energia horáriaResidencialResidencialNão se aplicaNão se aplicaPonta</t>
  </si>
  <si>
    <t>44621B1Energia horáriaResidencialResidencialNão se aplicaNão se aplicaPonta</t>
  </si>
  <si>
    <t>44652B1Energia horáriaResidencialResidencialNão se aplicaNão se aplicaPonta</t>
  </si>
  <si>
    <t>44682B1Energia horáriaResidencialResidencialNão se aplicaNão se aplicaPonta</t>
  </si>
  <si>
    <t>44713B1Energia horáriaResidencialResidencialNão se aplicaNão se aplicaPonta</t>
  </si>
  <si>
    <t>44743B1Energia horáriaResidencialResidencialNão se aplicaNão se aplicaPonta</t>
  </si>
  <si>
    <t>44774B1Energia horáriaResidencialResidencialNão se aplicaNão se aplicaPonta</t>
  </si>
  <si>
    <t>44805B1Energia horáriaResidencialResidencialNão se aplicaNão se aplicaPonta</t>
  </si>
  <si>
    <t>44835B1Energia horáriaResidencialResidencialNão se aplicaNão se aplicaPonta</t>
  </si>
  <si>
    <t>44866B1Energia horáriaResidencialResidencialNão se aplicaNão se aplicaPonta</t>
  </si>
  <si>
    <t>44531B1Energia convencionalResidencialResidencialNão se aplicaNão se aplicaNão se aplica</t>
  </si>
  <si>
    <t>44562B1Energia convencionalResidencialResidencialNão se aplicaNão se aplicaNão se aplica</t>
  </si>
  <si>
    <t>44593B1Energia convencionalResidencialResidencialNão se aplicaNão se aplicaNão se aplica</t>
  </si>
  <si>
    <t>44621B1Energia convencionalResidencialResidencialNão se aplicaNão se aplicaNão se aplica</t>
  </si>
  <si>
    <t>44652B1Energia convencionalResidencialResidencialNão se aplicaNão se aplicaNão se aplica</t>
  </si>
  <si>
    <t>44682B1Energia convencionalResidencialResidencialNão se aplicaNão se aplicaNão se aplica</t>
  </si>
  <si>
    <t>44713B1Energia convencionalResidencialResidencialNão se aplicaNão se aplicaNão se aplica</t>
  </si>
  <si>
    <t>44743B1Energia convencionalResidencialResidencialNão se aplicaNão se aplicaNão se aplica</t>
  </si>
  <si>
    <t>44774B1Energia convencionalResidencialResidencialNão se aplicaNão se aplicaNão se aplica</t>
  </si>
  <si>
    <t>44805B1Energia convencionalResidencialResidencialNão se aplicaNão se aplicaNão se aplica</t>
  </si>
  <si>
    <t>44835B1Energia convencionalResidencialResidencialNão se aplicaNão se aplicaNão se aplica</t>
  </si>
  <si>
    <t>44866B1Energia convencionalResidencialResidencialNão se aplicaNão se aplicaNão se aplica</t>
  </si>
  <si>
    <t>44531B1Energia convencionalResidencialResidencial baixa renda – faixa 01Não se aplicaNão se aplicaNão se aplica</t>
  </si>
  <si>
    <t>44562B1Energia convencionalResidencialResidencial baixa renda – faixa 01Não se aplicaNão se aplicaNão se aplica</t>
  </si>
  <si>
    <t>44593B1Energia convencionalResidencialResidencial baixa renda – faixa 01Não se aplicaNão se aplicaNão se aplica</t>
  </si>
  <si>
    <t>44621B1Energia convencionalResidencialResidencial baixa renda – faixa 01Não se aplicaNão se aplicaNão se aplica</t>
  </si>
  <si>
    <t>44652B1Energia convencionalResidencialResidencial baixa renda – faixa 01Não se aplicaNão se aplicaNão se aplica</t>
  </si>
  <si>
    <t>44682B1Energia convencionalResidencialResidencial baixa renda – faixa 01Não se aplicaNão se aplicaNão se aplica</t>
  </si>
  <si>
    <t>44713B1Energia convencionalResidencialResidencial baixa renda – faixa 01Não se aplicaNão se aplicaNão se aplica</t>
  </si>
  <si>
    <t>44743B1Energia convencionalResidencialResidencial baixa renda – faixa 01Não se aplicaNão se aplicaNão se aplica</t>
  </si>
  <si>
    <t>44774B1Energia convencionalResidencialResidencial baixa renda – faixa 01Não se aplicaNão se aplicaNão se aplica</t>
  </si>
  <si>
    <t>44805B1Energia convencionalResidencialResidencial baixa renda – faixa 01Não se aplicaNão se aplicaNão se aplica</t>
  </si>
  <si>
    <t>44835B1Energia convencionalResidencialResidencial baixa renda – faixa 01Não se aplicaNão se aplicaNão se aplica</t>
  </si>
  <si>
    <t>44866B1Energia convencionalResidencialResidencial baixa renda – faixa 01Não se aplicaNão se aplicaNão se aplica</t>
  </si>
  <si>
    <t>44531B1Energia convencionalResidencialResidencial baixa renda – faixa 02Não se aplicaNão se aplicaNão se aplica</t>
  </si>
  <si>
    <t>44562B1Energia convencionalResidencialResidencial baixa renda – faixa 02Não se aplicaNão se aplicaNão se aplica</t>
  </si>
  <si>
    <t>44593B1Energia convencionalResidencialResidencial baixa renda – faixa 02Não se aplicaNão se aplicaNão se aplica</t>
  </si>
  <si>
    <t>44621B1Energia convencionalResidencialResidencial baixa renda – faixa 02Não se aplicaNão se aplicaNão se aplica</t>
  </si>
  <si>
    <t>44652B1Energia convencionalResidencialResidencial baixa renda – faixa 02Não se aplicaNão se aplicaNão se aplica</t>
  </si>
  <si>
    <t>44682B1Energia convencionalResidencialResidencial baixa renda – faixa 02Não se aplicaNão se aplicaNão se aplica</t>
  </si>
  <si>
    <t>44713B1Energia convencionalResidencialResidencial baixa renda – faixa 02Não se aplicaNão se aplicaNão se aplica</t>
  </si>
  <si>
    <t>44743B1Energia convencionalResidencialResidencial baixa renda – faixa 02Não se aplicaNão se aplicaNão se aplica</t>
  </si>
  <si>
    <t>44774B1Energia convencionalResidencialResidencial baixa renda – faixa 02Não se aplicaNão se aplicaNão se aplica</t>
  </si>
  <si>
    <t>44805B1Energia convencionalResidencialResidencial baixa renda – faixa 02Não se aplicaNão se aplicaNão se aplica</t>
  </si>
  <si>
    <t>44835B1Energia convencionalResidencialResidencial baixa renda – faixa 02Não se aplicaNão se aplicaNão se aplica</t>
  </si>
  <si>
    <t>44866B1Energia convencionalResidencialResidencial baixa renda – faixa 02Não se aplicaNão se aplicaNão se aplica</t>
  </si>
  <si>
    <t>44531B1Energia convencionalResidencialResidencial baixa renda – faixa 03Não se aplicaNão se aplicaNão se aplica</t>
  </si>
  <si>
    <t>44562B1Energia convencionalResidencialResidencial baixa renda – faixa 03Não se aplicaNão se aplicaNão se aplica</t>
  </si>
  <si>
    <t>44593B1Energia convencionalResidencialResidencial baixa renda – faixa 03Não se aplicaNão se aplicaNão se aplica</t>
  </si>
  <si>
    <t>44621B1Energia convencionalResidencialResidencial baixa renda – faixa 03Não se aplicaNão se aplicaNão se aplica</t>
  </si>
  <si>
    <t>44652B1Energia convencionalResidencialResidencial baixa renda – faixa 03Não se aplicaNão se aplicaNão se aplica</t>
  </si>
  <si>
    <t>44682B1Energia convencionalResidencialResidencial baixa renda – faixa 03Não se aplicaNão se aplicaNão se aplica</t>
  </si>
  <si>
    <t>44713B1Energia convencionalResidencialResidencial baixa renda – faixa 03Não se aplicaNão se aplicaNão se aplica</t>
  </si>
  <si>
    <t>44743B1Energia convencionalResidencialResidencial baixa renda – faixa 03Não se aplicaNão se aplicaNão se aplica</t>
  </si>
  <si>
    <t>44774B1Energia convencionalResidencialResidencial baixa renda – faixa 03Não se aplicaNão se aplicaNão se aplica</t>
  </si>
  <si>
    <t>44805B1Energia convencionalResidencialResidencial baixa renda – faixa 03Não se aplicaNão se aplicaNão se aplica</t>
  </si>
  <si>
    <t>44835B1Energia convencionalResidencialResidencial baixa renda – faixa 03Não se aplicaNão se aplicaNão se aplica</t>
  </si>
  <si>
    <t>44866B1Energia convencionalResidencialResidencial baixa renda – faixa 03Não se aplicaNão se aplicaNão se aplica</t>
  </si>
  <si>
    <t>44531B1Energia convencionalResidencialResidencial baixa renda – faixa 04Não se aplicaNão se aplicaNão se aplica</t>
  </si>
  <si>
    <t>44562B1Energia convencionalResidencialResidencial baixa renda – faixa 04Não se aplicaNão se aplicaNão se aplica</t>
  </si>
  <si>
    <t>44593B1Energia convencionalResidencialResidencial baixa renda – faixa 04Não se aplicaNão se aplicaNão se aplica</t>
  </si>
  <si>
    <t>44621B1Energia convencionalResidencialResidencial baixa renda – faixa 04Não se aplicaNão se aplicaNão se aplica</t>
  </si>
  <si>
    <t>44652B1Energia convencionalResidencialResidencial baixa renda – faixa 04Não se aplicaNão se aplicaNão se aplica</t>
  </si>
  <si>
    <t>44682B1Energia convencionalResidencialResidencial baixa renda – faixa 04Não se aplicaNão se aplicaNão se aplica</t>
  </si>
  <si>
    <t>44713B1Energia convencionalResidencialResidencial baixa renda – faixa 04Não se aplicaNão se aplicaNão se aplica</t>
  </si>
  <si>
    <t>44743B1Energia convencionalResidencialResidencial baixa renda – faixa 04Não se aplicaNão se aplicaNão se aplica</t>
  </si>
  <si>
    <t>44774B1Energia convencionalResidencialResidencial baixa renda – faixa 04Não se aplicaNão se aplicaNão se aplica</t>
  </si>
  <si>
    <t>44805B1Energia convencionalResidencialResidencial baixa renda – faixa 04Não se aplicaNão se aplicaNão se aplica</t>
  </si>
  <si>
    <t>44835B1Energia convencionalResidencialResidencial baixa renda – faixa 04Não se aplicaNão se aplicaNão se aplica</t>
  </si>
  <si>
    <t>44866B1Energia convencionalResidencialResidencial baixa renda – faixa 04Não se aplicaNão se aplicaNão se aplica</t>
  </si>
  <si>
    <t>44531B2Energia horáriaRuralNão se aplicaNão se aplicaNão se aplicaFora ponta</t>
  </si>
  <si>
    <t>44562B2Energia horáriaRuralNão se aplicaNão se aplicaNão se aplicaFora ponta</t>
  </si>
  <si>
    <t>44593B2Energia horáriaRuralNão se aplicaNão se aplicaNão se aplicaFora ponta</t>
  </si>
  <si>
    <t>44621B2Energia horáriaRuralNão se aplicaNão se aplicaNão se aplicaFora ponta</t>
  </si>
  <si>
    <t>44652B2Energia horáriaRuralNão se aplicaNão se aplicaNão se aplicaFora ponta</t>
  </si>
  <si>
    <t>44682B2Energia horáriaRuralNão se aplicaNão se aplicaNão se aplicaFora ponta</t>
  </si>
  <si>
    <t>44713B2Energia horáriaRuralNão se aplicaNão se aplicaNão se aplicaFora ponta</t>
  </si>
  <si>
    <t>44743B2Energia horáriaRuralNão se aplicaNão se aplicaNão se aplicaFora ponta</t>
  </si>
  <si>
    <t>44774B2Energia horáriaRuralNão se aplicaNão se aplicaNão se aplicaFora ponta</t>
  </si>
  <si>
    <t>44805B2Energia horáriaRuralNão se aplicaNão se aplicaNão se aplicaFora ponta</t>
  </si>
  <si>
    <t>44835B2Energia horáriaRuralNão se aplicaNão se aplicaNão se aplicaFora ponta</t>
  </si>
  <si>
    <t>44866B2Energia horáriaRuralNão se aplicaNão se aplicaNão se aplicaFora ponta</t>
  </si>
  <si>
    <t>44531B2Energia horáriaRuralNão se aplicaNão se aplicaNão se aplicaIntermediário</t>
  </si>
  <si>
    <t>44562B2Energia horáriaRuralNão se aplicaNão se aplicaNão se aplicaIntermediário</t>
  </si>
  <si>
    <t>44593B2Energia horáriaRuralNão se aplicaNão se aplicaNão se aplicaIntermediário</t>
  </si>
  <si>
    <t>44621B2Energia horáriaRuralNão se aplicaNão se aplicaNão se aplicaIntermediário</t>
  </si>
  <si>
    <t>44652B2Energia horáriaRuralNão se aplicaNão se aplicaNão se aplicaIntermediário</t>
  </si>
  <si>
    <t>44682B2Energia horáriaRuralNão se aplicaNão se aplicaNão se aplicaIntermediário</t>
  </si>
  <si>
    <t>44713B2Energia horáriaRuralNão se aplicaNão se aplicaNão se aplicaIntermediário</t>
  </si>
  <si>
    <t>44743B2Energia horáriaRuralNão se aplicaNão se aplicaNão se aplicaIntermediário</t>
  </si>
  <si>
    <t>44774B2Energia horáriaRuralNão se aplicaNão se aplicaNão se aplicaIntermediário</t>
  </si>
  <si>
    <t>44805B2Energia horáriaRuralNão se aplicaNão se aplicaNão se aplicaIntermediário</t>
  </si>
  <si>
    <t>44835B2Energia horáriaRuralNão se aplicaNão se aplicaNão se aplicaIntermediário</t>
  </si>
  <si>
    <t>44866B2Energia horáriaRuralNão se aplicaNão se aplicaNão se aplicaIntermediário</t>
  </si>
  <si>
    <t>44531B2Energia horáriaRuralNão se aplicaNão se aplicaNão se aplicaPonta</t>
  </si>
  <si>
    <t>44562B2Energia horáriaRuralNão se aplicaNão se aplicaNão se aplicaPonta</t>
  </si>
  <si>
    <t>44593B2Energia horáriaRuralNão se aplicaNão se aplicaNão se aplicaPonta</t>
  </si>
  <si>
    <t>44621B2Energia horáriaRuralNão se aplicaNão se aplicaNão se aplicaPonta</t>
  </si>
  <si>
    <t>44652B2Energia horáriaRuralNão se aplicaNão se aplicaNão se aplicaPonta</t>
  </si>
  <si>
    <t>44682B2Energia horáriaRuralNão se aplicaNão se aplicaNão se aplicaPonta</t>
  </si>
  <si>
    <t>44713B2Energia horáriaRuralNão se aplicaNão se aplicaNão se aplicaPonta</t>
  </si>
  <si>
    <t>44743B2Energia horáriaRuralNão se aplicaNão se aplicaNão se aplicaPonta</t>
  </si>
  <si>
    <t>44774B2Energia horáriaRuralNão se aplicaNão se aplicaNão se aplicaPonta</t>
  </si>
  <si>
    <t>44805B2Energia horáriaRuralNão se aplicaNão se aplicaNão se aplicaPonta</t>
  </si>
  <si>
    <t>44835B2Energia horáriaRuralNão se aplicaNão se aplicaNão se aplicaPonta</t>
  </si>
  <si>
    <t>44866B2Energia horáriaRuralNão se aplicaNão se aplicaNão se aplicaPonta</t>
  </si>
  <si>
    <t>44531B2Energia convencionalRuralNão se aplicaNão se aplicaNão se aplicaNão se aplica</t>
  </si>
  <si>
    <t>44562B2Energia convencionalRuralNão se aplicaNão se aplicaNão se aplicaNão se aplica</t>
  </si>
  <si>
    <t>44593B2Energia convencionalRuralNão se aplicaNão se aplicaNão se aplicaNão se aplica</t>
  </si>
  <si>
    <t>44621B2Energia convencionalRuralNão se aplicaNão se aplicaNão se aplicaNão se aplica</t>
  </si>
  <si>
    <t>44652B2Energia convencionalRuralNão se aplicaNão se aplicaNão se aplicaNão se aplica</t>
  </si>
  <si>
    <t>44682B2Energia convencionalRuralNão se aplicaNão se aplicaNão se aplicaNão se aplica</t>
  </si>
  <si>
    <t>44713B2Energia convencionalRuralNão se aplicaNão se aplicaNão se aplicaNão se aplica</t>
  </si>
  <si>
    <t>44743B2Energia convencionalRuralNão se aplicaNão se aplicaNão se aplicaNão se aplica</t>
  </si>
  <si>
    <t>44774B2Energia convencionalRuralNão se aplicaNão se aplicaNão se aplicaNão se aplica</t>
  </si>
  <si>
    <t>44805B2Energia convencionalRuralNão se aplicaNão se aplicaNão se aplicaNão se aplica</t>
  </si>
  <si>
    <t>44835B2Energia convencionalRuralNão se aplicaNão se aplicaNão se aplicaNão se aplica</t>
  </si>
  <si>
    <t>44866B2Energia convencionalRuralNão se aplicaNão se aplicaNão se aplicaNão se aplica</t>
  </si>
  <si>
    <t>44531B3Energia horáriaNão se aplicaNão se aplicaNão se aplicaNão se aplicaFora ponta</t>
  </si>
  <si>
    <t>44562B3Energia horáriaNão se aplicaNão se aplicaNão se aplicaNão se aplicaFora ponta</t>
  </si>
  <si>
    <t>44593B3Energia horáriaNão se aplicaNão se aplicaNão se aplicaNão se aplicaFora ponta</t>
  </si>
  <si>
    <t>44621B3Energia horáriaNão se aplicaNão se aplicaNão se aplicaNão se aplicaFora ponta</t>
  </si>
  <si>
    <t>44652B3Energia horáriaNão se aplicaNão se aplicaNão se aplicaNão se aplicaFora ponta</t>
  </si>
  <si>
    <t>44682B3Energia horáriaNão se aplicaNão se aplicaNão se aplicaNão se aplicaFora ponta</t>
  </si>
  <si>
    <t>44713B3Energia horáriaNão se aplicaNão se aplicaNão se aplicaNão se aplicaFora ponta</t>
  </si>
  <si>
    <t>44743B3Energia horáriaNão se aplicaNão se aplicaNão se aplicaNão se aplicaFora ponta</t>
  </si>
  <si>
    <t>44774B3Energia horáriaNão se aplicaNão se aplicaNão se aplicaNão se aplicaFora ponta</t>
  </si>
  <si>
    <t>44805B3Energia horáriaNão se aplicaNão se aplicaNão se aplicaNão se aplicaFora ponta</t>
  </si>
  <si>
    <t>44835B3Energia horáriaNão se aplicaNão se aplicaNão se aplicaNão se aplicaFora ponta</t>
  </si>
  <si>
    <t>44866B3Energia horáriaNão se aplicaNão se aplicaNão se aplicaNão se aplicaFora ponta</t>
  </si>
  <si>
    <t>44531B3Energia horáriaNão se aplicaNão se aplicaNão se aplicaNão se aplicaIntermediário</t>
  </si>
  <si>
    <t>44562B3Energia horáriaNão se aplicaNão se aplicaNão se aplicaNão se aplicaIntermediário</t>
  </si>
  <si>
    <t>44593B3Energia horáriaNão se aplicaNão se aplicaNão se aplicaNão se aplicaIntermediário</t>
  </si>
  <si>
    <t>44621B3Energia horáriaNão se aplicaNão se aplicaNão se aplicaNão se aplicaIntermediário</t>
  </si>
  <si>
    <t>44652B3Energia horáriaNão se aplicaNão se aplicaNão se aplicaNão se aplicaIntermediário</t>
  </si>
  <si>
    <t>44682B3Energia horáriaNão se aplicaNão se aplicaNão se aplicaNão se aplicaIntermediário</t>
  </si>
  <si>
    <t>44713B3Energia horáriaNão se aplicaNão se aplicaNão se aplicaNão se aplicaIntermediário</t>
  </si>
  <si>
    <t>44743B3Energia horáriaNão se aplicaNão se aplicaNão se aplicaNão se aplicaIntermediário</t>
  </si>
  <si>
    <t>44774B3Energia horáriaNão se aplicaNão se aplicaNão se aplicaNão se aplicaIntermediário</t>
  </si>
  <si>
    <t>44805B3Energia horáriaNão se aplicaNão se aplicaNão se aplicaNão se aplicaIntermediário</t>
  </si>
  <si>
    <t>44835B3Energia horáriaNão se aplicaNão se aplicaNão se aplicaNão se aplicaIntermediário</t>
  </si>
  <si>
    <t>44866B3Energia horáriaNão se aplicaNão se aplicaNão se aplicaNão se aplicaIntermediário</t>
  </si>
  <si>
    <t>44531B3Energia horáriaNão se aplicaNão se aplicaNão se aplicaNão se aplicaPonta</t>
  </si>
  <si>
    <t>44562B3Energia horáriaNão se aplicaNão se aplicaNão se aplicaNão se aplicaPonta</t>
  </si>
  <si>
    <t>44593B3Energia horáriaNão se aplicaNão se aplicaNão se aplicaNão se aplicaPonta</t>
  </si>
  <si>
    <t>44621B3Energia horáriaNão se aplicaNão se aplicaNão se aplicaNão se aplicaPonta</t>
  </si>
  <si>
    <t>44652B3Energia horáriaNão se aplicaNão se aplicaNão se aplicaNão se aplicaPonta</t>
  </si>
  <si>
    <t>44682B3Energia horáriaNão se aplicaNão se aplicaNão se aplicaNão se aplicaPonta</t>
  </si>
  <si>
    <t>44713B3Energia horáriaNão se aplicaNão se aplicaNão se aplicaNão se aplicaPonta</t>
  </si>
  <si>
    <t>44743B3Energia horáriaNão se aplicaNão se aplicaNão se aplicaNão se aplicaPonta</t>
  </si>
  <si>
    <t>44774B3Energia horáriaNão se aplicaNão se aplicaNão se aplicaNão se aplicaPonta</t>
  </si>
  <si>
    <t>44805B3Energia horáriaNão se aplicaNão se aplicaNão se aplicaNão se aplicaPonta</t>
  </si>
  <si>
    <t>44835B3Energia horáriaNão se aplicaNão se aplicaNão se aplicaNão se aplicaPonta</t>
  </si>
  <si>
    <t>44866B3Energia horáriaNão se aplicaNão se aplicaNão se aplicaNão se aplicaPonta</t>
  </si>
  <si>
    <t>44531B3Energia convencionalNão se aplicaNão se aplicaNão se aplicaNão se aplicaNão se aplica</t>
  </si>
  <si>
    <t>44562B3Energia convencionalNão se aplicaNão se aplicaNão se aplicaNão se aplicaNão se aplica</t>
  </si>
  <si>
    <t>44593B3Energia convencionalNão se aplicaNão se aplicaNão se aplicaNão se aplicaNão se aplica</t>
  </si>
  <si>
    <t>44621B3Energia convencionalNão se aplicaNão se aplicaNão se aplicaNão se aplicaNão se aplica</t>
  </si>
  <si>
    <t>44652B3Energia convencionalNão se aplicaNão se aplicaNão se aplicaNão se aplicaNão se aplica</t>
  </si>
  <si>
    <t>44682B3Energia convencionalNão se aplicaNão se aplicaNão se aplicaNão se aplicaNão se aplica</t>
  </si>
  <si>
    <t>44713B3Energia convencionalNão se aplicaNão se aplicaNão se aplicaNão se aplicaNão se aplica</t>
  </si>
  <si>
    <t>44743B3Energia convencionalNão se aplicaNão se aplicaNão se aplicaNão se aplicaNão se aplica</t>
  </si>
  <si>
    <t>44774B3Energia convencionalNão se aplicaNão se aplicaNão se aplicaNão se aplicaNão se aplica</t>
  </si>
  <si>
    <t>44805B3Energia convencionalNão se aplicaNão se aplicaNão se aplicaNão se aplicaNão se aplica</t>
  </si>
  <si>
    <t>44835B3Energia convencionalNão se aplicaNão se aplicaNão se aplicaNão se aplicaNão se aplica</t>
  </si>
  <si>
    <t>44866B3Energia convencionalNão se aplicaNão se aplicaNão se aplicaNão se aplicaNão se aplica</t>
  </si>
  <si>
    <t>44531B4Energia convencionalIluminação públicaIluminação pública – B4aNão se aplicaNão se aplicaNão se aplica</t>
  </si>
  <si>
    <t>44562B4Energia convencionalIluminação públicaIluminação pública – B4aNão se aplicaNão se aplicaNão se aplica</t>
  </si>
  <si>
    <t>44593B4Energia convencionalIluminação públicaIluminação pública – B4aNão se aplicaNão se aplicaNão se aplica</t>
  </si>
  <si>
    <t>44621B4Energia convencionalIluminação públicaIluminação pública – B4aNão se aplicaNão se aplicaNão se aplica</t>
  </si>
  <si>
    <t>44652B4Energia convencionalIluminação públicaIluminação pública – B4aNão se aplicaNão se aplicaNão se aplica</t>
  </si>
  <si>
    <t>44682B4Energia convencionalIluminação públicaIluminação pública – B4aNão se aplicaNão se aplicaNão se aplica</t>
  </si>
  <si>
    <t>44713B4Energia convencionalIluminação públicaIluminação pública – B4aNão se aplicaNão se aplicaNão se aplica</t>
  </si>
  <si>
    <t>44743B4Energia convencionalIluminação públicaIluminação pública – B4aNão se aplicaNão se aplicaNão se aplica</t>
  </si>
  <si>
    <t>44774B4Energia convencionalIluminação públicaIluminação pública – B4aNão se aplicaNão se aplicaNão se aplica</t>
  </si>
  <si>
    <t>44805B4Energia convencionalIluminação públicaIluminação pública – B4aNão se aplicaNão se aplicaNão se aplica</t>
  </si>
  <si>
    <t>44835B4Energia convencionalIluminação públicaIluminação pública – B4aNão se aplicaNão se aplicaNão se aplica</t>
  </si>
  <si>
    <t>44866B4Energia convencionalIluminação públicaIluminação pública – B4aNão se aplicaNão se aplicaNão se aplica</t>
  </si>
  <si>
    <t>RECEITA VERIFICADA</t>
  </si>
  <si>
    <t>TUSD</t>
  </si>
  <si>
    <t>ENCARGO</t>
  </si>
  <si>
    <t>TFSEE</t>
  </si>
  <si>
    <t>P&amp;D</t>
  </si>
  <si>
    <t>ONS</t>
  </si>
  <si>
    <t>CCC</t>
  </si>
  <si>
    <t>CDE</t>
  </si>
  <si>
    <t>PROINFA</t>
  </si>
  <si>
    <t>LIMINAR 1</t>
  </si>
  <si>
    <t>SUBTOTAL</t>
  </si>
  <si>
    <t>FIO A</t>
  </si>
  <si>
    <t>TUSD RB</t>
  </si>
  <si>
    <t>TUSD FR</t>
  </si>
  <si>
    <t>CONEXAO T</t>
  </si>
  <si>
    <t>CONEXAO D</t>
  </si>
  <si>
    <t>CUSD</t>
  </si>
  <si>
    <t>TUSDG-T</t>
  </si>
  <si>
    <t>TUSDG-ONS</t>
  </si>
  <si>
    <t>FIO B</t>
  </si>
  <si>
    <t>DISTRIBUICAO</t>
  </si>
  <si>
    <t>Nao se aplica</t>
  </si>
  <si>
    <t>SUBSIDIO</t>
  </si>
  <si>
    <t>OUTROS</t>
  </si>
  <si>
    <t>PERDAS</t>
  </si>
  <si>
    <t>PERDAS TECNICAS</t>
  </si>
  <si>
    <t>PERDAS RB/ PERDAS D</t>
  </si>
  <si>
    <t>PERDAS NAO TECNICAS</t>
  </si>
  <si>
    <t>RI</t>
  </si>
  <si>
    <t>TE</t>
  </si>
  <si>
    <t>ESS/ERR</t>
  </si>
  <si>
    <t>CFURH</t>
  </si>
  <si>
    <t>CDE ELET</t>
  </si>
  <si>
    <t>ENERGIA</t>
  </si>
  <si>
    <t>ENERGIA REVENDA</t>
  </si>
  <si>
    <t>ITAIPU</t>
  </si>
  <si>
    <t>TUST ITAIPU</t>
  </si>
  <si>
    <t>TUST CI</t>
  </si>
  <si>
    <t>PERDAS RB/C</t>
  </si>
  <si>
    <t>TOTAL</t>
  </si>
  <si>
    <t>TIPO TARIFA</t>
  </si>
  <si>
    <t>GRUPO DE CUSTO</t>
  </si>
  <si>
    <t>CUSTO</t>
  </si>
  <si>
    <t>BASE ECONÔMICA</t>
  </si>
  <si>
    <t>BASE FINANCEIRA</t>
  </si>
  <si>
    <t>CVA</t>
  </si>
  <si>
    <t>Parâmetros de cálculo</t>
  </si>
  <si>
    <t>IRP ECONÔMICO (%)</t>
  </si>
  <si>
    <t>IRP FINANCEIRO (%)</t>
  </si>
  <si>
    <t>IGP-M (%)</t>
  </si>
  <si>
    <t>ALÍQUOTA P&amp;D (%)</t>
  </si>
  <si>
    <t>PROJEÇÃO MERC. (%)</t>
  </si>
  <si>
    <t>Perdas TOTAIS (MWh)</t>
  </si>
  <si>
    <t>Perdas Técnicas (MWh)</t>
  </si>
  <si>
    <t>Perdas Não Técnicas (MWh)</t>
  </si>
  <si>
    <t>Perdas na RB (sobre perdas na D) (MWh)</t>
  </si>
  <si>
    <t>Perdas na RB (sobre mercado cativo) (MWh)</t>
  </si>
  <si>
    <t>ENERGIA REQUERIDA (MWh)</t>
  </si>
  <si>
    <t>PROINFA (MWh)</t>
  </si>
  <si>
    <t>MIX COMPRA (R$/MWh)</t>
  </si>
  <si>
    <t>ENERGIA ECON. (R$)</t>
  </si>
  <si>
    <t>ENERGIA FIN. (R$)</t>
  </si>
  <si>
    <t>ENERGIA CVA (R$)</t>
  </si>
  <si>
    <t>RB FIN. (R$)</t>
  </si>
  <si>
    <t>RB CVA (R$)</t>
  </si>
  <si>
    <t>P&amp;D FIN. (R$)</t>
  </si>
  <si>
    <t>P&amp;D CVA (R$)</t>
  </si>
  <si>
    <t>VERSÃO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</si>
  <si>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</si>
  <si>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</si>
  <si>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</si>
  <si>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</si>
  <si>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</si>
  <si>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</si>
  <si>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</si>
  <si>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</si>
  <si>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</si>
  <si>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</si>
  <si>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</si>
  <si>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</si>
  <si>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</si>
  <si>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</si>
  <si>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</si>
  <si>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</si>
  <si>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</si>
  <si>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Conexão CONS. A1</t>
  </si>
  <si>
    <t>CDE ENERGIA ACR</t>
  </si>
  <si>
    <t>CDE Covid TUSD</t>
  </si>
  <si>
    <t>P&amp;D ECON. (R$)</t>
  </si>
  <si>
    <t>CUSTOS</t>
  </si>
  <si>
    <t>CDE Covid TE</t>
  </si>
  <si>
    <t>ABA Merc. Rec. TUSD (kW)</t>
  </si>
  <si>
    <t>ABA Merc. Rec. TUSD (MWh)</t>
  </si>
  <si>
    <t>ABA Merc. Rec. TE (MWh)</t>
  </si>
  <si>
    <t>ABA Merc. TUSD TUSD (kW)</t>
  </si>
  <si>
    <t>ABA Merc. TUSD TUSD (MWh)</t>
  </si>
  <si>
    <t>ABA Merc. TE TE (MWh)</t>
  </si>
  <si>
    <t>TESTE TUSD (kW)</t>
  </si>
  <si>
    <t>TESTE TUSD (MWh)</t>
  </si>
  <si>
    <t>TESTE TE (MWh)</t>
  </si>
  <si>
    <t>Resolução</t>
  </si>
  <si>
    <t>RESOLUÇÃO HOMOLOGATÓRIA Nº 2.989, DE 7 DE DEZEMBRO DE 2021</t>
  </si>
  <si>
    <t>MERC.</t>
  </si>
  <si>
    <t>TR TUSD</t>
  </si>
  <si>
    <t>VAR AUX</t>
  </si>
  <si>
    <t>CUSTO REC. CAR.</t>
  </si>
  <si>
    <t>CUSTO REC. GER.</t>
  </si>
  <si>
    <t>CUSTO REC. DEM.</t>
  </si>
  <si>
    <t>CON. D/T</t>
  </si>
  <si>
    <t>COEF. AJ. BE</t>
  </si>
  <si>
    <t>TUSD BE</t>
  </si>
  <si>
    <t>CUSTO TEÓRICO</t>
  </si>
  <si>
    <t>COEF. AJ. BF</t>
  </si>
  <si>
    <t>(SUB)GRUPO</t>
  </si>
  <si>
    <t>TUSD (R$)</t>
  </si>
  <si>
    <t>TUSD (MWh)</t>
  </si>
  <si>
    <t>PNT (R$/MWh)</t>
  </si>
  <si>
    <t>VAR. AX01</t>
  </si>
  <si>
    <t>VAR. AX02</t>
  </si>
  <si>
    <t>TUSD BF</t>
  </si>
  <si>
    <t>COEF. AJ. CVA</t>
  </si>
  <si>
    <t>AUX. SUBS.</t>
  </si>
  <si>
    <t>TUSD CVA</t>
  </si>
  <si>
    <t>TR TE</t>
  </si>
  <si>
    <t>BASE TEÓRICA</t>
  </si>
  <si>
    <t>TE SUP.</t>
  </si>
  <si>
    <t>COEF. AJ. BE CDE S/ ACR</t>
  </si>
  <si>
    <t>COEF. AJ. BE CDE SÓ ACR</t>
  </si>
  <si>
    <t>TE BE</t>
  </si>
  <si>
    <t>TE BF</t>
  </si>
  <si>
    <t>TE CVA</t>
  </si>
  <si>
    <t>TOTAL ABAS</t>
  </si>
  <si>
    <t>AVALIAÇÃO</t>
  </si>
  <si>
    <t>Coeficientes de transição</t>
  </si>
  <si>
    <t>A2</t>
  </si>
  <si>
    <t>AS</t>
  </si>
  <si>
    <t>Carga</t>
  </si>
  <si>
    <t>Ajustado para o passo 4 da transição. Não altere.</t>
  </si>
  <si>
    <t>TipoTarifa</t>
  </si>
  <si>
    <t>UP</t>
  </si>
  <si>
    <t>US</t>
  </si>
  <si>
    <t>UT</t>
  </si>
  <si>
    <t>AnoRef</t>
  </si>
  <si>
    <t>Evento</t>
  </si>
  <si>
    <t>Potência</t>
  </si>
  <si>
    <t>Ativa</t>
  </si>
  <si>
    <t>Energia</t>
  </si>
  <si>
    <t>CÓD.</t>
  </si>
  <si>
    <t>TUSD (R$/kW)</t>
  </si>
  <si>
    <t>TUSD (R$/MWh)</t>
  </si>
  <si>
    <t>TE (R$/MWh)</t>
  </si>
  <si>
    <t>TUSD (R$/kW) NOVA</t>
  </si>
  <si>
    <t>TUSD (R$/MWh) NOVA</t>
  </si>
  <si>
    <t>TE (R$/MWh) NOVA</t>
  </si>
  <si>
    <t>Empresa</t>
  </si>
  <si>
    <t>Ramo</t>
  </si>
  <si>
    <t>Tipo</t>
  </si>
  <si>
    <t>Unidade</t>
  </si>
  <si>
    <t>Percentual Desconto</t>
  </si>
  <si>
    <t>modalidade</t>
  </si>
  <si>
    <t>subgrupo</t>
  </si>
  <si>
    <t>classe</t>
  </si>
  <si>
    <t>subclasse</t>
  </si>
  <si>
    <t>detalhe</t>
  </si>
  <si>
    <t>Passo atual</t>
  </si>
  <si>
    <t>desconto 0 - 8</t>
  </si>
  <si>
    <t>Planilha CUSTO</t>
  </si>
  <si>
    <t>Planilha Custo</t>
  </si>
  <si>
    <t xml:space="preserve">Branca </t>
  </si>
  <si>
    <t xml:space="preserve">Convencional </t>
  </si>
  <si>
    <t>RA0 ou RV - TUSD (kW)</t>
  </si>
  <si>
    <t>RA0 ou RV - TUSD (MWh)</t>
  </si>
  <si>
    <t>RA0 ou RV - TE (MWh)</t>
  </si>
  <si>
    <t>RA1 ou RRD - TUSD (kW)</t>
  </si>
  <si>
    <t>RA1 ou RRD - TUSD (MWh)</t>
  </si>
  <si>
    <t>RA1 ou RRD - TE (MWh)</t>
  </si>
  <si>
    <t>RA0 ou RV - TUSD</t>
  </si>
  <si>
    <t>RA1 ou RRD - TUSD</t>
  </si>
  <si>
    <t>VARIAÇÃO</t>
  </si>
  <si>
    <t>RA0 ou RV - TE</t>
  </si>
  <si>
    <t>RA1 ou RRD - TE</t>
  </si>
  <si>
    <t>RA0 ou RV</t>
  </si>
  <si>
    <t>RA1 ou RRD</t>
  </si>
  <si>
    <t>A</t>
  </si>
  <si>
    <t>A+B</t>
  </si>
  <si>
    <t>Rótulos de Linha</t>
  </si>
  <si>
    <t>Soma de RA0 ou RV - TUSD (kW)</t>
  </si>
  <si>
    <t>Soma de RA1 ou RRD - TUSD (kW)</t>
  </si>
  <si>
    <t>Soma de RA0 ou RV - TUSD (MWh)</t>
  </si>
  <si>
    <t>Soma de RA1 ou RRD - TUSD (MWh)</t>
  </si>
  <si>
    <t>Soma de RA0 ou RV - TE (MWh)</t>
  </si>
  <si>
    <t>Soma de RA1 ou RRD - TE (MWh)</t>
  </si>
  <si>
    <t>Soma de Variação TUSD</t>
  </si>
  <si>
    <t>Soma de Variação TE</t>
  </si>
  <si>
    <t>Soma de Variação</t>
  </si>
  <si>
    <t>SUBSIDIO kW - TV</t>
  </si>
  <si>
    <t>SUBSIDIO MWh - TV</t>
  </si>
  <si>
    <t>SUBSIDIO kW - TN</t>
  </si>
  <si>
    <t>SUBSIDIO MWh - TN</t>
  </si>
  <si>
    <t>TIPO</t>
  </si>
  <si>
    <t>SUBSIDIO RURAL</t>
  </si>
  <si>
    <t>SUBSIDIO IRRIGANTE/AQUICULTOR</t>
  </si>
  <si>
    <t>SUBSIDIO ÁGUA, ESGOTO E SANEAMENTO</t>
  </si>
  <si>
    <t>SUBSIDIO CARGA FONTE INCENTIVADA</t>
  </si>
  <si>
    <t>SUBSIDIO DISTRIBUIÇÃO</t>
  </si>
  <si>
    <t>SUBSIDIO BAIXA RENDA</t>
  </si>
  <si>
    <t>R$ (TV)</t>
  </si>
  <si>
    <t>R$ (TN)</t>
  </si>
  <si>
    <t>SUBSIDIO GERAÇÃO FONTE INCENTIVADA</t>
  </si>
  <si>
    <t>AJUSTE ABRACE</t>
  </si>
  <si>
    <t>(vazio)</t>
  </si>
  <si>
    <t>Soma de SUBSIDIO kW - TV</t>
  </si>
  <si>
    <t>Soma de SUBSIDIO MWh - TV</t>
  </si>
  <si>
    <t>Soma de SUBSIDIO kW - TN</t>
  </si>
  <si>
    <t>Soma de SUBSIDIO MWh - TN</t>
  </si>
  <si>
    <t>Soma de TOTAL TV</t>
  </si>
  <si>
    <t>Soma de TOTAL TN</t>
  </si>
  <si>
    <t>Convencional1RuralNão se aplicaRuralB2</t>
  </si>
  <si>
    <t>2021</t>
  </si>
  <si>
    <t>Convencional1RuralCooperativa de eletrificação ruralPlanilha CUSTOB2</t>
  </si>
  <si>
    <t>Azul1Serviço públicoÁgua, esgoto e saneamentoPlanilha CUSTOA3</t>
  </si>
  <si>
    <t>Verde1Serviço públicoÁgua, esgoto e saneamentoPlanilha CUSTOA3</t>
  </si>
  <si>
    <t>Convencional 1Serviço públicoÁgua, esgoto e saneamentoPlanilha CUSTOA3</t>
  </si>
  <si>
    <t>Azul1RuralNão se aplicaPlanilha CustoA3a</t>
  </si>
  <si>
    <t>Verde1RuralNão se aplicaPlanilha CustoA3a</t>
  </si>
  <si>
    <t>Convencional1RuralNão se aplicaPlanilha CustoA3a</t>
  </si>
  <si>
    <t>Azul1Serviço públicoÁgua, esgoto e saneamentoPlanilha CUSTOA3a</t>
  </si>
  <si>
    <t>Verde1Serviço públicoÁgua, esgoto e saneamentoPlanilha CUSTOA3a</t>
  </si>
  <si>
    <t>Convencional 1Serviço públicoÁgua, esgoto e saneamentoPlanilha CUSTOA3a</t>
  </si>
  <si>
    <t>Azul1RuralNão se aplicaPlanilha CustoA4</t>
  </si>
  <si>
    <t>Verde1RuralNão se aplicaPlanilha CustoA4</t>
  </si>
  <si>
    <t>Convencional1RuralNão se aplicaPlanilha CustoA4</t>
  </si>
  <si>
    <t>Azul1Serviço públicoÁgua, esgoto e saneamentoPlanilha CUSTOA4</t>
  </si>
  <si>
    <t>Verde1Serviço públicoÁgua, esgoto e saneamentoPlanilha CUSTOA4</t>
  </si>
  <si>
    <t>Convencional 1Serviço públicoÁgua, esgoto e saneamentoPlanilha CUSTOA4</t>
  </si>
  <si>
    <t>Branca1RuralNão se aplicaRuralB2</t>
  </si>
  <si>
    <t>Branca 1RuralCooperativa de eletrificação ruralPlanilha CUSTOB2</t>
  </si>
  <si>
    <t>Convencional1RuralServiço público de irrigação ruralPlanilha CUSTOB2</t>
  </si>
  <si>
    <t>Branca 1RuralServiço público de irrigação ruralPlanilha CUSTOB2</t>
  </si>
  <si>
    <t>Convencional1Serviço públicoÁgua, esgoto e saneamentoPlanilha CUSTOB3</t>
  </si>
  <si>
    <t>Branca1Serviço públicoÁgua, esgoto e saneamentoPlanilha CUSTOB3</t>
  </si>
  <si>
    <t>Chave</t>
  </si>
  <si>
    <t>Cod</t>
  </si>
  <si>
    <t>idagente</t>
  </si>
  <si>
    <t>IdUC</t>
  </si>
  <si>
    <t>SubClasse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</si>
  <si>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</si>
  <si>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</si>
  <si>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</si>
  <si>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</si>
  <si>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</si>
  <si>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</si>
  <si>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</si>
  <si>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</si>
  <si>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</si>
  <si>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Passo_Atual</t>
  </si>
  <si>
    <t>TUSD kW R$</t>
  </si>
  <si>
    <t>TUSD MW R$</t>
  </si>
  <si>
    <t>TE MWh R$</t>
  </si>
  <si>
    <t>SUB TUSD kW R$</t>
  </si>
  <si>
    <t>SUB TUSD MW R$</t>
  </si>
  <si>
    <t>SUB TE MWh R$</t>
  </si>
  <si>
    <t>TABELA CONSISTÊNCIA</t>
  </si>
  <si>
    <t>A1</t>
  </si>
  <si>
    <t>TUSD kW COMP. PR. R$</t>
  </si>
  <si>
    <t>TUSD MWh COMP. PR. R$</t>
  </si>
  <si>
    <t>TE MWh COMP. PR. R$</t>
  </si>
  <si>
    <t>TUSD kW SUB. PR. R$</t>
  </si>
  <si>
    <t>TUSD MWh SUB. PR. R$</t>
  </si>
  <si>
    <t>TE MWh SUB. PR. R$</t>
  </si>
  <si>
    <t>TUSD kW EFT. PR. R$</t>
  </si>
  <si>
    <t>TUSD MWh EFT. PR. R$</t>
  </si>
  <si>
    <t>TE MWh EFT. PR. R$</t>
  </si>
  <si>
    <t>TUSD kW EFT. VR. R$</t>
  </si>
  <si>
    <t>TUSD MWh EFT. VR. R$</t>
  </si>
  <si>
    <t>TE MWh EFT. VR. R$</t>
  </si>
  <si>
    <t>TUSD kW SUB. VR. R$</t>
  </si>
  <si>
    <t>TUSD+TE MWh SUB. VR. R$</t>
  </si>
  <si>
    <t>EFT. TUSD kW</t>
  </si>
  <si>
    <t>EFT. TUSD MWh</t>
  </si>
  <si>
    <t>EFT. TE MWh</t>
  </si>
  <si>
    <t>SUB. TUSD kW</t>
  </si>
  <si>
    <t>SUB. TUSD+TE MWh</t>
  </si>
  <si>
    <t>PLANILHA</t>
  </si>
  <si>
    <t>ERRO DETECTADO</t>
  </si>
  <si>
    <t>TABELA 1 - TARIFAS DE APLICAÇÃO E BASE ECONÔMICA PARA O GRUPO A</t>
  </si>
  <si>
    <t>ACESSANTE</t>
  </si>
  <si>
    <t>TARIFAS DE APLICAÇÃO</t>
  </si>
  <si>
    <t>R$/kW</t>
  </si>
  <si>
    <t>R$/MWh</t>
  </si>
  <si>
    <t>P</t>
  </si>
  <si>
    <t>FP</t>
  </si>
  <si>
    <t>Azul APE</t>
  </si>
  <si>
    <t>NA</t>
  </si>
  <si>
    <t>Verde APE</t>
  </si>
  <si>
    <t>TABELA 2 - TARIFAS DE APLICAÇÃO E BASE ECONÔMICA PARA O GRUPO B</t>
  </si>
  <si>
    <t>BRANCA</t>
  </si>
  <si>
    <t>RESIDENCIAL</t>
  </si>
  <si>
    <t>INT</t>
  </si>
  <si>
    <t>PRÉ-PAGAMENTO</t>
  </si>
  <si>
    <t>BAIXA RENDA</t>
  </si>
  <si>
    <t>CONVENCIONAL</t>
  </si>
  <si>
    <t>RURAL</t>
  </si>
  <si>
    <t>NÃO SE APLICA</t>
  </si>
  <si>
    <t>COOPERATIVA DE ELETRIFICAÇÃO RURAL</t>
  </si>
  <si>
    <t>SERVIÇO PÚBLICO DE IRRIGAÇÃO RURAL</t>
  </si>
  <si>
    <t>ILUMINAÇÃO PÚBLICA</t>
  </si>
  <si>
    <t>ILUMINAÇÃO PÚBLICA – B4A</t>
  </si>
  <si>
    <t>ILUMINAÇÃO PÚBLICA – B4B</t>
  </si>
  <si>
    <t>GERAÇÃO</t>
  </si>
  <si>
    <t>TUSD BASE FINANCEIRA NOVA</t>
  </si>
  <si>
    <t>TUSD BASE FINANCEIRA VIGENTE</t>
  </si>
  <si>
    <t>A3Azul</t>
  </si>
  <si>
    <t>A3AzulNão se aplica</t>
  </si>
  <si>
    <t>A3AzulNão se aplicaNão se aplica</t>
  </si>
  <si>
    <t>A3AzulNão se aplicaNão se aplicaNão se aplica</t>
  </si>
  <si>
    <t>A3AzulNão se aplicaNão se aplicaNão se aplicaNão se aplica</t>
  </si>
  <si>
    <t>A3AzulNão se aplicaNão se aplicaNão se aplicaNão se aplicaDP</t>
  </si>
  <si>
    <t>A3AzulNão se aplicaNão se aplicaNão se aplicaNão se aplicaDFP</t>
  </si>
  <si>
    <t>A3AzulNão se aplicaNão se aplicaNão se aplicaNão se aplicaE</t>
  </si>
  <si>
    <t>A3AzulNão se aplicaNão se aplicaAPE</t>
  </si>
  <si>
    <t>A3AzulNão se aplicaNão se aplicaAPENão se aplica</t>
  </si>
  <si>
    <t>A3AzulNão se aplicaNão se aplicaAPENão se aplicaE</t>
  </si>
  <si>
    <t>A3aAzul</t>
  </si>
  <si>
    <t>A3aAzulNão se aplica</t>
  </si>
  <si>
    <t>A3aAzulNão se aplicaNão se aplica</t>
  </si>
  <si>
    <t>A3aAzulNão se aplicaNão se aplicaNão se aplica</t>
  </si>
  <si>
    <t>A3aAzulNão se aplicaNão se aplicaNão se aplicaNão se aplica</t>
  </si>
  <si>
    <t>A3aAzulNão se aplicaNão se aplicaNão se aplicaNão se aplicaDP</t>
  </si>
  <si>
    <t>A3aAzulNão se aplicaNão se aplicaNão se aplicaNão se aplicaDFP</t>
  </si>
  <si>
    <t>A3aAzulNão se aplicaNão se aplicaNão se aplicaNão se aplicaE</t>
  </si>
  <si>
    <t>A3aAzulNão se aplicaNão se aplicaAPE</t>
  </si>
  <si>
    <t>A3aAzulNão se aplicaNão se aplicaAPENão se aplica</t>
  </si>
  <si>
    <t>A3aAzulNão se aplicaNão se aplicaAPENão se aplicaE</t>
  </si>
  <si>
    <t>A3aGeração</t>
  </si>
  <si>
    <t>A3aGeraçãoNão se aplica</t>
  </si>
  <si>
    <t>A3aGeraçãoNão se aplicaNão se aplica</t>
  </si>
  <si>
    <t>A3aGeraçãoNão se aplicaNão se aplicaNão se aplica</t>
  </si>
  <si>
    <t>A3aGeraçãoNão se aplicaNão se aplicaNão se aplicaNão se aplica</t>
  </si>
  <si>
    <t>A3aGeraçãoNão se aplicaNão se aplicaNão se aplicaNão se aplicaD</t>
  </si>
  <si>
    <t>A3aVerde</t>
  </si>
  <si>
    <t>A3aVerdeNão se aplica</t>
  </si>
  <si>
    <t>A3aVerdeNão se aplicaNão se aplica</t>
  </si>
  <si>
    <t>A3aVerdeNão se aplicaNão se aplicaNão se aplica</t>
  </si>
  <si>
    <t>A3aVerdeNão se aplicaNão se aplicaNão se aplicaNão se aplica</t>
  </si>
  <si>
    <t>A3aVerdeNão se aplicaNão se aplicaNão se aplicaNão se aplicaD</t>
  </si>
  <si>
    <t>A3aVerdeNão se aplicaNão se aplicaNão se aplicaNão se aplicaEP</t>
  </si>
  <si>
    <t>A3aVerdeNão se aplicaNão se aplicaNão se aplicaNão se aplicaEFP</t>
  </si>
  <si>
    <t>A3aVerdeNão se aplicaNão se aplicaAPE</t>
  </si>
  <si>
    <t>A3aVerdeNão se aplicaNão se aplicaAPENão se aplica</t>
  </si>
  <si>
    <t>A3aVerdeNão se aplicaNão se aplicaAPENão se aplicaEP</t>
  </si>
  <si>
    <t>A3aVerdeNão se aplicaNão se aplicaAPENão se aplicaEFP</t>
  </si>
  <si>
    <t>A4Azul</t>
  </si>
  <si>
    <t>A4AzulNão se aplica</t>
  </si>
  <si>
    <t>A4AzulNão se aplicaNão se aplica</t>
  </si>
  <si>
    <t>A4AzulNão se aplicaNão se aplicaNão se aplica</t>
  </si>
  <si>
    <t>A4AzulNão se aplicaNão se aplicaNão se aplicaNão se aplica</t>
  </si>
  <si>
    <t>A4AzulNão se aplicaNão se aplicaNão se aplicaNão se aplicaDP</t>
  </si>
  <si>
    <t>A4AzulNão se aplicaNão se aplicaNão se aplicaNão se aplicaDFP</t>
  </si>
  <si>
    <t>A4AzulNão se aplicaNão se aplicaNão se aplicaNão se aplicaE</t>
  </si>
  <si>
    <t>A4AzulNão se aplicaNão se aplicaAPE</t>
  </si>
  <si>
    <t>A4AzulNão se aplicaNão se aplicaAPENão se aplica</t>
  </si>
  <si>
    <t>A4AzulNão se aplicaNão se aplicaAPENão se aplicaE</t>
  </si>
  <si>
    <t>A4Distribuição</t>
  </si>
  <si>
    <t>A4DistribuiçãoNão se aplica</t>
  </si>
  <si>
    <t>A4DistribuiçãoNão se aplicaNão se aplica</t>
  </si>
  <si>
    <t>A4DistribuiçãoNão se aplicaNão se aplicaNão se aplica</t>
  </si>
  <si>
    <t>A4DistribuiçãoNão se aplicaNão se aplicaNão se aplicaAmazonas Energia</t>
  </si>
  <si>
    <t>A4DistribuiçãoNão se aplicaNão se aplicaNão se aplicaAmazonas EnergiaDP</t>
  </si>
  <si>
    <t>A4DistribuiçãoNão se aplicaNão se aplicaNão se aplicaAmazonas EnergiaDFP</t>
  </si>
  <si>
    <t>A4DistribuiçãoNão se aplicaNão se aplicaNão se aplicaAmazonas EnergiaE</t>
  </si>
  <si>
    <t>A4Geração</t>
  </si>
  <si>
    <t>A4GeraçãoNão se aplica</t>
  </si>
  <si>
    <t>A4GeraçãoNão se aplicaNão se aplica</t>
  </si>
  <si>
    <t>A4GeraçãoNão se aplicaNão se aplicaNão se aplica</t>
  </si>
  <si>
    <t>A4GeraçãoNão se aplicaNão se aplicaNão se aplicaNão se aplica</t>
  </si>
  <si>
    <t>A4GeraçãoNão se aplicaNão se aplicaNão se aplicaNão se aplicaD</t>
  </si>
  <si>
    <t>A4Verde</t>
  </si>
  <si>
    <t>A4VerdeNão se aplica</t>
  </si>
  <si>
    <t>A4VerdeNão se aplicaNão se aplica</t>
  </si>
  <si>
    <t>A4VerdeNão se aplicaNão se aplicaNão se aplica</t>
  </si>
  <si>
    <t>A4VerdeNão se aplicaNão se aplicaNão se aplicaNão se aplica</t>
  </si>
  <si>
    <t>A4VerdeNão se aplicaNão se aplicaNão se aplicaNão se aplicaD</t>
  </si>
  <si>
    <t>A4VerdeNão se aplicaNão se aplicaNão se aplicaNão se aplicaEP</t>
  </si>
  <si>
    <t>A4VerdeNão se aplicaNão se aplicaNão se aplicaNão se aplicaEFP</t>
  </si>
  <si>
    <t>A4VerdeNão se aplicaNão se aplicaAPE</t>
  </si>
  <si>
    <t>A4VerdeNão se aplicaNão se aplicaAPENão se aplica</t>
  </si>
  <si>
    <t>A4VerdeNão se aplicaNão se aplicaAPENão se aplicaEP</t>
  </si>
  <si>
    <t>A4VerdeNão se aplicaNão se aplicaAPENão se aplicaEFP</t>
  </si>
  <si>
    <t>BGeração</t>
  </si>
  <si>
    <t>BGeraçãoNão se aplica</t>
  </si>
  <si>
    <t>BGeraçãoNão se aplicaNão se aplica</t>
  </si>
  <si>
    <t>BGeraçãoNão se aplicaNão se aplicaTIPO 01</t>
  </si>
  <si>
    <t>BGeraçãoNão se aplicaNão se aplicaTIPO 01Não se aplica</t>
  </si>
  <si>
    <t>BGeraçãoNão se aplicaNão se aplicaTIPO 01Não se aplicaD</t>
  </si>
  <si>
    <t>BGeraçãoNão se aplicaNão se aplicaTIPO 02</t>
  </si>
  <si>
    <t>BGeraçãoNão se aplicaNão se aplicaTIPO 02Não se aplica</t>
  </si>
  <si>
    <t>BGeraçãoNão se aplicaNão se aplicaTIPO 02Não se aplicaD</t>
  </si>
  <si>
    <t>B1Branca</t>
  </si>
  <si>
    <t>B1BrancaResidencial</t>
  </si>
  <si>
    <t>B1BrancaResidencialResidencial</t>
  </si>
  <si>
    <t>B1BrancaResidencialResidencialNão se aplica</t>
  </si>
  <si>
    <t>B1BrancaResidencialResidencialNão se aplicaNão se aplica</t>
  </si>
  <si>
    <t>B1BrancaResidencialResidencialNão se aplicaNão se aplicaEP</t>
  </si>
  <si>
    <t>B1BrancaResidencialResidencialNão se aplicaNão se aplicaEINT</t>
  </si>
  <si>
    <t>B1BrancaResidencialResidencialNão se aplicaNão se aplicaEFP</t>
  </si>
  <si>
    <t>B1Convencional</t>
  </si>
  <si>
    <t>B1ConvencionalResidencial</t>
  </si>
  <si>
    <t>B1ConvencionalResidencialResidencial</t>
  </si>
  <si>
    <t>B1ConvencionalResidencialResidencialNão se aplica</t>
  </si>
  <si>
    <t>B1ConvencionalResidencialResidencialNão se aplicaNão se aplica</t>
  </si>
  <si>
    <t>B1ConvencionalResidencialResidencialNão se aplicaNão se aplicaE</t>
  </si>
  <si>
    <t>B1ConvencionalResidencialResidencial baixa renda – faixa 01</t>
  </si>
  <si>
    <t>B1ConvencionalResidencialResidencial baixa renda – faixa 01Não se aplica</t>
  </si>
  <si>
    <t>B1ConvencionalResidencialResidencial baixa renda – faixa 01Não se aplicaNão se aplica</t>
  </si>
  <si>
    <t>B1ConvencionalResidencialResidencial baixa renda – faixa 01Não se aplicaNão se aplicaE</t>
  </si>
  <si>
    <t>B1ConvencionalResidencialResidencial baixa renda – faixa 02</t>
  </si>
  <si>
    <t>B1ConvencionalResidencialResidencial baixa renda – faixa 02Não se aplica</t>
  </si>
  <si>
    <t>B1ConvencionalResidencialResidencial baixa renda – faixa 02Não se aplicaNão se aplica</t>
  </si>
  <si>
    <t>B1ConvencionalResidencialResidencial baixa renda – faixa 02Não se aplicaNão se aplicaE</t>
  </si>
  <si>
    <t>B1ConvencionalResidencialResidencial baixa renda – faixa 03</t>
  </si>
  <si>
    <t>B1ConvencionalResidencialResidencial baixa renda – faixa 03Não se aplica</t>
  </si>
  <si>
    <t>B1ConvencionalResidencialResidencial baixa renda – faixa 03Não se aplicaNão se aplica</t>
  </si>
  <si>
    <t>B1ConvencionalResidencialResidencial baixa renda – faixa 03Não se aplicaNão se aplicaE</t>
  </si>
  <si>
    <t>B1ConvencionalResidencialResidencial baixa renda – faixa 04</t>
  </si>
  <si>
    <t>B1ConvencionalResidencialResidencial baixa renda – faixa 04Não se aplica</t>
  </si>
  <si>
    <t>B1ConvencionalResidencialResidencial baixa renda – faixa 04Não se aplicaNão se aplica</t>
  </si>
  <si>
    <t>B1ConvencionalResidencialResidencial baixa renda – faixa 04Não se aplicaNão se aplicaE</t>
  </si>
  <si>
    <t>B1Convencional pré-pagamento</t>
  </si>
  <si>
    <t>B1Convencional pré-pagamentoResidencial</t>
  </si>
  <si>
    <t>B1Convencional pré-pagamentoResidencialResidencial</t>
  </si>
  <si>
    <t>B1Convencional pré-pagamentoResidencialResidencialNão se aplica</t>
  </si>
  <si>
    <t>B1Convencional pré-pagamentoResidencialResidencialNão se aplicaNão se aplica</t>
  </si>
  <si>
    <t>B1Convencional pré-pagamentoResidencialResidencialNão se aplicaNão se aplicaE</t>
  </si>
  <si>
    <t>B1Convencional pré-pagamentoResidencialResidencial baixa renda – faixa 01</t>
  </si>
  <si>
    <t>B1Convencional pré-pagamentoResidencialResidencial baixa renda – faixa 01Não se aplica</t>
  </si>
  <si>
    <t>B1Convencional pré-pagamentoResidencialResidencial baixa renda – faixa 01Não se aplicaNão se aplica</t>
  </si>
  <si>
    <t>B1Convencional pré-pagamentoResidencialResidencial baixa renda – faixa 01Não se aplicaNão se aplicaE</t>
  </si>
  <si>
    <t>B1Convencional pré-pagamentoResidencialResidencial baixa renda – faixa 02</t>
  </si>
  <si>
    <t>B1Convencional pré-pagamentoResidencialResidencial baixa renda – faixa 02Não se aplica</t>
  </si>
  <si>
    <t>B1Convencional pré-pagamentoResidencialResidencial baixa renda – faixa 02Não se aplicaNão se aplica</t>
  </si>
  <si>
    <t>B1Convencional pré-pagamentoResidencialResidencial baixa renda – faixa 02Não se aplicaNão se aplicaE</t>
  </si>
  <si>
    <t>B1Convencional pré-pagamentoResidencialResidencial baixa renda – faixa 03</t>
  </si>
  <si>
    <t>B1Convencional pré-pagamentoResidencialResidencial baixa renda – faixa 03Não se aplica</t>
  </si>
  <si>
    <t>B1Convencional pré-pagamentoResidencialResidencial baixa renda – faixa 03Não se aplicaNão se aplica</t>
  </si>
  <si>
    <t>B1Convencional pré-pagamentoResidencialResidencial baixa renda – faixa 03Não se aplicaNão se aplicaE</t>
  </si>
  <si>
    <t>B1Convencional pré-pagamentoResidencialResidencial baixa renda – faixa 04</t>
  </si>
  <si>
    <t>B1Convencional pré-pagamentoResidencialResidencial baixa renda – faixa 04Não se aplica</t>
  </si>
  <si>
    <t>B1Convencional pré-pagamentoResidencialResidencial baixa renda – faixa 04Não se aplicaNão se aplica</t>
  </si>
  <si>
    <t>B1Convencional pré-pagamentoResidencialResidencial baixa renda – faixa 04Não se aplicaNão se aplicaE</t>
  </si>
  <si>
    <t>B2Branca</t>
  </si>
  <si>
    <t>B2BrancaRural</t>
  </si>
  <si>
    <t>B2BrancaRuralNão se aplica</t>
  </si>
  <si>
    <t>B2BrancaRuralNão se aplicaNão se aplica</t>
  </si>
  <si>
    <t>B2BrancaRuralNão se aplicaNão se aplicaNão se aplica</t>
  </si>
  <si>
    <t>B2BrancaRuralNão se aplicaNão se aplicaNão se aplicaEP</t>
  </si>
  <si>
    <t>B2BrancaRuralNão se aplicaNão se aplicaNão se aplicaEINT</t>
  </si>
  <si>
    <t>B2BrancaRuralNão se aplicaNão se aplicaNão se aplicaEFP</t>
  </si>
  <si>
    <t>B2Convencional</t>
  </si>
  <si>
    <t>B2ConvencionalRural</t>
  </si>
  <si>
    <t>B2ConvencionalRuralNão se aplica</t>
  </si>
  <si>
    <t>B2ConvencionalRuralNão se aplicaNão se aplica</t>
  </si>
  <si>
    <t>B2ConvencionalRuralNão se aplicaNão se aplicaNão se aplica</t>
  </si>
  <si>
    <t>B2ConvencionalRuralNão se aplicaNão se aplicaNão se aplicaE</t>
  </si>
  <si>
    <t>B2BrancaRuralCooperativa de eletrificação rural</t>
  </si>
  <si>
    <t>B2BrancaRuralCooperativa de eletrificação ruralNão se aplica</t>
  </si>
  <si>
    <t>B2BrancaRuralCooperativa de eletrificação ruralNão se aplicaNão se aplica</t>
  </si>
  <si>
    <t>B2BrancaRuralCooperativa de eletrificação ruralNão se aplicaNão se aplicaEP</t>
  </si>
  <si>
    <t>B2BrancaRuralCooperativa de eletrificação ruralNão se aplicaNão se aplicaEINT</t>
  </si>
  <si>
    <t>B2BrancaRuralCooperativa de eletrificação ruralNão se aplicaNão se aplicaEFP</t>
  </si>
  <si>
    <t>B2ConvencionalRuralCooperativa de eletrificação rural</t>
  </si>
  <si>
    <t>B2ConvencionalRuralCooperativa de eletrificação ruralNão se aplica</t>
  </si>
  <si>
    <t>B2ConvencionalRuralCooperativa de eletrificação ruralNão se aplicaNão se aplica</t>
  </si>
  <si>
    <t>B2ConvencionalRuralCooperativa de eletrificação ruralNão se aplicaNão se aplicaE</t>
  </si>
  <si>
    <t>B2BrancaRuralServiço público de irrigação rural</t>
  </si>
  <si>
    <t>B2BrancaRuralServiço público de irrigação ruralNão se aplica</t>
  </si>
  <si>
    <t>B2BrancaRuralServiço público de irrigação ruralNão se aplicaNão se aplica</t>
  </si>
  <si>
    <t>B2BrancaRuralServiço público de irrigação ruralNão se aplicaNão se aplicaEP</t>
  </si>
  <si>
    <t>B2BrancaRuralServiço público de irrigação ruralNão se aplicaNão se aplicaEINT</t>
  </si>
  <si>
    <t>B2BrancaRuralServiço público de irrigação ruralNão se aplicaNão se aplicaEFP</t>
  </si>
  <si>
    <t>B2ConvencionalRuralServiço público de irrigação rural</t>
  </si>
  <si>
    <t>B2ConvencionalRuralServiço público de irrigação ruralNão se aplica</t>
  </si>
  <si>
    <t>B2ConvencionalRuralServiço público de irrigação ruralNão se aplicaNão se aplica</t>
  </si>
  <si>
    <t>B2ConvencionalRuralServiço público de irrigação ruralNão se aplicaNão se aplicaE</t>
  </si>
  <si>
    <t>B2Convencional pré-pagamento</t>
  </si>
  <si>
    <t>B2Convencional pré-pagamentoRural</t>
  </si>
  <si>
    <t>B2Convencional pré-pagamentoRuralNão se aplica</t>
  </si>
  <si>
    <t>B2Convencional pré-pagamentoRuralNão se aplicaNão se aplica</t>
  </si>
  <si>
    <t>B2Convencional pré-pagamentoRuralNão se aplicaNão se aplicaNão se aplica</t>
  </si>
  <si>
    <t>B2Convencional pré-pagamentoRuralNão se aplicaNão se aplicaNão se aplicaE</t>
  </si>
  <si>
    <t>B2Convencional pré-pagamentoRuralCooperativa de eletrificação rural</t>
  </si>
  <si>
    <t>B2Convencional pré-pagamentoRuralCooperativa de eletrificação ruralNão se aplica</t>
  </si>
  <si>
    <t>B2Convencional pré-pagamentoRuralCooperativa de eletrificação ruralNão se aplicaNão se aplica</t>
  </si>
  <si>
    <t>B2Convencional pré-pagamentoRuralCooperativa de eletrificação ruralNão se aplicaNão se aplicaE</t>
  </si>
  <si>
    <t>B2Convencional pré-pagamentoRuralServiço público de irrigação rural</t>
  </si>
  <si>
    <t>B2Convencional pré-pagamentoRuralServiço público de irrigação ruralNão se aplica</t>
  </si>
  <si>
    <t>B2Convencional pré-pagamentoRuralServiço público de irrigação ruralNão se aplicaNão se aplica</t>
  </si>
  <si>
    <t>B2Convencional pré-pagamentoRuralServiço público de irrigação ruralNão se aplicaNão se aplicaE</t>
  </si>
  <si>
    <t>B3Branca</t>
  </si>
  <si>
    <t>B3BrancaNão se aplica</t>
  </si>
  <si>
    <t>B3BrancaNão se aplicaNão se aplica</t>
  </si>
  <si>
    <t>B3BrancaNão se aplicaNão se aplicaNão se aplica</t>
  </si>
  <si>
    <t>B3BrancaNão se aplicaNão se aplicaNão se aplicaNão se aplica</t>
  </si>
  <si>
    <t>B3BrancaNão se aplicaNão se aplicaNão se aplicaNão se aplicaEP</t>
  </si>
  <si>
    <t>B3BrancaNão se aplicaNão se aplicaNão se aplicaNão se aplicaEINT</t>
  </si>
  <si>
    <t>B3BrancaNão se aplicaNão se aplicaNão se aplicaNão se aplicaEFP</t>
  </si>
  <si>
    <t>B3Convencional</t>
  </si>
  <si>
    <t>B3ConvencionalNão se aplica</t>
  </si>
  <si>
    <t>B3ConvencionalNão se aplicaNão se aplica</t>
  </si>
  <si>
    <t>B3ConvencionalNão se aplicaNão se aplicaNão se aplica</t>
  </si>
  <si>
    <t>B3ConvencionalNão se aplicaNão se aplicaNão se aplicaNão se aplica</t>
  </si>
  <si>
    <t>B3ConvencionalNão se aplicaNão se aplicaNão se aplicaNão se aplicaE</t>
  </si>
  <si>
    <t>B3Convencional pré-pagamento</t>
  </si>
  <si>
    <t>B3Convencional pré-pagamentoNão se aplica</t>
  </si>
  <si>
    <t>B3Convencional pré-pagamentoNão se aplicaNão se aplica</t>
  </si>
  <si>
    <t>B3Convencional pré-pagamentoNão se aplicaNão se aplicaNão se aplica</t>
  </si>
  <si>
    <t>B3Convencional pré-pagamentoNão se aplicaNão se aplicaNão se aplicaNão se aplica</t>
  </si>
  <si>
    <t>B3Convencional pré-pagamentoNão se aplicaNão se aplicaNão se aplicaNão se aplicaE</t>
  </si>
  <si>
    <t>B4Convencional</t>
  </si>
  <si>
    <t>B4ConvencionalIluminação pública</t>
  </si>
  <si>
    <t>B4ConvencionalIluminação públicaIluminação pública – B4a</t>
  </si>
  <si>
    <t>B4ConvencionalIluminação públicaIluminação pública – B4aNão se aplica</t>
  </si>
  <si>
    <t>B4ConvencionalIluminação públicaIluminação pública – B4aNão se aplicaNão se aplica</t>
  </si>
  <si>
    <t>B4ConvencionalIluminação públicaIluminação pública – B4aNão se aplicaNão se aplicaE</t>
  </si>
  <si>
    <t>B4ConvencionalIluminação públicaIluminação pública – B4b</t>
  </si>
  <si>
    <t>B4ConvencionalIluminação públicaIluminação pública – B4bNão se aplica</t>
  </si>
  <si>
    <t>B4ConvencionalIluminação públicaIluminação pública – B4bNão se aplicaNão se aplica</t>
  </si>
  <si>
    <t>B4ConvencionalIluminação públicaIluminação pública – B4bNão se aplicaNão se aplicaE</t>
  </si>
  <si>
    <t>TE BASE FINANCEIRA NOVA</t>
  </si>
  <si>
    <t>TE BASE FINANCEIRA VIGENTE</t>
  </si>
  <si>
    <t>A3Energia horária</t>
  </si>
  <si>
    <t>A3Energia horáriaNão se aplica</t>
  </si>
  <si>
    <t>A3Energia horáriaNão se aplicaNão se aplica</t>
  </si>
  <si>
    <t>A3Energia horáriaNão se aplicaNão se aplicaNão se aplica</t>
  </si>
  <si>
    <t>A3Energia horáriaNão se aplicaNão se aplicaNão se aplicaNão se aplica</t>
  </si>
  <si>
    <t>A3Energia horáriaNão se aplicaNão se aplicaNão se aplicaNão se aplicaEP</t>
  </si>
  <si>
    <t>A3Energia horáriaNão se aplicaNão se aplicaNão se aplicaNão se aplicaEFP</t>
  </si>
  <si>
    <t>A3Energia convencional</t>
  </si>
  <si>
    <t>A3Energia convencionalNão se aplica</t>
  </si>
  <si>
    <t>A3Energia convencionalNão se aplicaNão se aplica</t>
  </si>
  <si>
    <t>A3Energia convencionalNão se aplicaNão se aplicaNão se aplica</t>
  </si>
  <si>
    <t>A3Energia convencionalNão se aplicaNão se aplicaNão se aplicaNão se aplica</t>
  </si>
  <si>
    <t>A3Energia convencionalNão se aplicaNão se aplicaNão se aplicaNão se aplicaE</t>
  </si>
  <si>
    <t>A3aEnergia horária</t>
  </si>
  <si>
    <t>A3aEnergia horáriaNão se aplica</t>
  </si>
  <si>
    <t>A3aEnergia horáriaNão se aplicaNão se aplica</t>
  </si>
  <si>
    <t>A3aEnergia horáriaNão se aplicaNão se aplicaNão se aplica</t>
  </si>
  <si>
    <t>A3aEnergia horáriaNão se aplicaNão se aplicaNão se aplicaNão se aplica</t>
  </si>
  <si>
    <t>A3aEnergia horáriaNão se aplicaNão se aplicaNão se aplicaNão se aplicaEP</t>
  </si>
  <si>
    <t>A3aEnergia horáriaNão se aplicaNão se aplicaNão se aplicaNão se aplicaEFP</t>
  </si>
  <si>
    <t>A3aEnergia convencional</t>
  </si>
  <si>
    <t>A3aEnergia convencionalNão se aplica</t>
  </si>
  <si>
    <t>A3aEnergia convencionalNão se aplicaNão se aplica</t>
  </si>
  <si>
    <t>A3aEnergia convencionalNão se aplicaNão se aplicaNão se aplica</t>
  </si>
  <si>
    <t>A3aEnergia convencionalNão se aplicaNão se aplicaNão se aplicaNão se aplica</t>
  </si>
  <si>
    <t>A3aEnergia convencionalNão se aplicaNão se aplicaNão se aplicaNão se aplicaE</t>
  </si>
  <si>
    <t>A4Energia horária</t>
  </si>
  <si>
    <t>A4Energia horáriaNão se aplica</t>
  </si>
  <si>
    <t>A4Energia horáriaNão se aplicaNão se aplica</t>
  </si>
  <si>
    <t>A4Energia horáriaNão se aplicaNão se aplicaNão se aplica</t>
  </si>
  <si>
    <t>A4Energia horáriaNão se aplicaNão se aplicaNão se aplicaNão se aplica</t>
  </si>
  <si>
    <t>A4Energia horáriaNão se aplicaNão se aplicaNão se aplicaNão se aplicaEP</t>
  </si>
  <si>
    <t>A4Energia horáriaNão se aplicaNão se aplicaNão se aplicaNão se aplicaEFP</t>
  </si>
  <si>
    <t>A4Energia suprimento concessionária</t>
  </si>
  <si>
    <t>A4Energia suprimento concessionáriaNão se aplica</t>
  </si>
  <si>
    <t>A4Energia suprimento concessionáriaNão se aplicaNão se aplica</t>
  </si>
  <si>
    <t>A4Energia suprimento concessionáriaNão se aplicaNão se aplica&lt;500GWh</t>
  </si>
  <si>
    <t>A4Energia suprimento concessionáriaNão se aplicaNão se aplica&lt;500GWhNão se aplica</t>
  </si>
  <si>
    <t>A4Energia suprimento concessionáriaNão se aplicaNão se aplica&lt;500GWhNão se aplicaE</t>
  </si>
  <si>
    <t>A4Energia convencional</t>
  </si>
  <si>
    <t>A4Energia convencionalNão se aplica</t>
  </si>
  <si>
    <t>A4Energia convencionalNão se aplicaNão se aplica</t>
  </si>
  <si>
    <t>A4Energia convencionalNão se aplicaNão se aplicaNão se aplica</t>
  </si>
  <si>
    <t>A4Energia convencionalNão se aplicaNão se aplicaNão se aplicaNão se aplica</t>
  </si>
  <si>
    <t>A4Energia convencionalNão se aplicaNão se aplicaNão se aplicaNão se aplicaE</t>
  </si>
  <si>
    <t>A4Energia suprimento permissionária</t>
  </si>
  <si>
    <t>A4Energia suprimento permissionáriaNão se aplica</t>
  </si>
  <si>
    <t>A4Energia suprimento permissionáriaNão se aplicaNão se aplica</t>
  </si>
  <si>
    <t>A4Energia suprimento permissionáriaNão se aplicaNão se aplica&lt;500GWh</t>
  </si>
  <si>
    <t>A4Energia suprimento permissionáriaNão se aplicaNão se aplica&lt;500GWhNão se aplica</t>
  </si>
  <si>
    <t>A4Energia suprimento permissionáriaNão se aplicaNão se aplica&lt;500GWhNão se aplicaE</t>
  </si>
  <si>
    <t>A4Energia suprimento concessionáriaNão se aplicaNão se aplicaNão se aplica</t>
  </si>
  <si>
    <t>A4Energia suprimento concessionáriaNão se aplicaNão se aplicaNão se aplicaNão se aplica</t>
  </si>
  <si>
    <t>A4Energia suprimento concessionáriaNão se aplicaNão se aplicaNão se aplicaNão se aplicaE</t>
  </si>
  <si>
    <t>B1Energia horária</t>
  </si>
  <si>
    <t>B1Energia horáriaResidencial</t>
  </si>
  <si>
    <t>B1Energia horáriaResidencialResidencial</t>
  </si>
  <si>
    <t>B1Energia horáriaResidencialResidencialNão se aplica</t>
  </si>
  <si>
    <t>B1Energia horáriaResidencialResidencialNão se aplicaNão se aplica</t>
  </si>
  <si>
    <t>B1Energia horáriaResidencialResidencialNão se aplicaNão se aplicaEP</t>
  </si>
  <si>
    <t>B1Energia horáriaResidencialResidencialNão se aplicaNão se aplicaEINT</t>
  </si>
  <si>
    <t>B1Energia horáriaResidencialResidencialNão se aplicaNão se aplicaEFP</t>
  </si>
  <si>
    <t>B1Energia convencional</t>
  </si>
  <si>
    <t>B1Energia convencionalResidencial</t>
  </si>
  <si>
    <t>B1Energia convencionalResidencialResidencial</t>
  </si>
  <si>
    <t>B1Energia convencionalResidencialResidencialNão se aplica</t>
  </si>
  <si>
    <t>B1Energia convencionalResidencialResidencialNão se aplicaNão se aplica</t>
  </si>
  <si>
    <t>B1Energia convencionalResidencialResidencialNão se aplicaNão se aplicaE</t>
  </si>
  <si>
    <t>B1Energia convencionalResidencialResidencial baixa renda – faixa 01</t>
  </si>
  <si>
    <t>B1Energia convencionalResidencialResidencial baixa renda – faixa 01Não se aplica</t>
  </si>
  <si>
    <t>B1Energia convencionalResidencialResidencial baixa renda – faixa 01Não se aplicaNão se aplica</t>
  </si>
  <si>
    <t>B1Energia convencionalResidencialResidencial baixa renda – faixa 01Não se aplicaNão se aplicaE</t>
  </si>
  <si>
    <t>B1Energia convencionalResidencialResidencial baixa renda – faixa 02</t>
  </si>
  <si>
    <t>B1Energia convencionalResidencialResidencial baixa renda – faixa 02Não se aplica</t>
  </si>
  <si>
    <t>B1Energia convencionalResidencialResidencial baixa renda – faixa 02Não se aplicaNão se aplica</t>
  </si>
  <si>
    <t>B1Energia convencionalResidencialResidencial baixa renda – faixa 02Não se aplicaNão se aplicaE</t>
  </si>
  <si>
    <t>B1Energia convencionalResidencialResidencial baixa renda – faixa 03</t>
  </si>
  <si>
    <t>B1Energia convencionalResidencialResidencial baixa renda – faixa 03Não se aplica</t>
  </si>
  <si>
    <t>B1Energia convencionalResidencialResidencial baixa renda – faixa 03Não se aplicaNão se aplica</t>
  </si>
  <si>
    <t>B1Energia convencionalResidencialResidencial baixa renda – faixa 03Não se aplicaNão se aplicaE</t>
  </si>
  <si>
    <t>B1Energia convencionalResidencialResidencial baixa renda – faixa 04</t>
  </si>
  <si>
    <t>B1Energia convencionalResidencialResidencial baixa renda – faixa 04Não se aplica</t>
  </si>
  <si>
    <t>B1Energia convencionalResidencialResidencial baixa renda – faixa 04Não se aplicaNão se aplica</t>
  </si>
  <si>
    <t>B1Energia convencionalResidencialResidencial baixa renda – faixa 04Não se aplicaNão se aplicaE</t>
  </si>
  <si>
    <t>B1Energia convencional pré-pagamento</t>
  </si>
  <si>
    <t>B1Energia convencional pré-pagamentoResidencial</t>
  </si>
  <si>
    <t>B1Energia convencional pré-pagamentoResidencialResidencial</t>
  </si>
  <si>
    <t>B1Energia convencional pré-pagamentoResidencialResidencialNão se aplica</t>
  </si>
  <si>
    <t>B1Energia convencional pré-pagamentoResidencialResidencialNão se aplicaNão se aplica</t>
  </si>
  <si>
    <t>B1Energia convencional pré-pagamentoResidencialResidencialNão se aplicaNão se aplicaE</t>
  </si>
  <si>
    <t>B1Energia convencional pré-pagamentoResidencialResidencial baixa renda – faixa 01</t>
  </si>
  <si>
    <t>B1Energia convencional pré-pagamentoResidencialResidencial baixa renda – faixa 01Não se aplica</t>
  </si>
  <si>
    <t>B1Energia convencional pré-pagamentoResidencialResidencial baixa renda – faixa 01Não se aplicaNão se aplica</t>
  </si>
  <si>
    <t>B1Energia convencional pré-pagamentoResidencialResidencial baixa renda – faixa 01Não se aplicaNão se aplicaE</t>
  </si>
  <si>
    <t>B1Energia convencional pré-pagamentoResidencialResidencial baixa renda – faixa 02</t>
  </si>
  <si>
    <t>B1Energia convencional pré-pagamentoResidencialResidencial baixa renda – faixa 02Não se aplica</t>
  </si>
  <si>
    <t>B1Energia convencional pré-pagamentoResidencialResidencial baixa renda – faixa 02Não se aplicaNão se aplica</t>
  </si>
  <si>
    <t>B1Energia convencional pré-pagamentoResidencialResidencial baixa renda – faixa 02Não se aplicaNão se aplicaE</t>
  </si>
  <si>
    <t>B1Energia convencional pré-pagamentoResidencialResidencial baixa renda – faixa 03</t>
  </si>
  <si>
    <t>B1Energia convencional pré-pagamentoResidencialResidencial baixa renda – faixa 03Não se aplica</t>
  </si>
  <si>
    <t>B1Energia convencional pré-pagamentoResidencialResidencial baixa renda – faixa 03Não se aplicaNão se aplica</t>
  </si>
  <si>
    <t>B1Energia convencional pré-pagamentoResidencialResidencial baixa renda – faixa 03Não se aplicaNão se aplicaE</t>
  </si>
  <si>
    <t>B1Energia convencional pré-pagamentoResidencialResidencial baixa renda – faixa 04</t>
  </si>
  <si>
    <t>B1Energia convencional pré-pagamentoResidencialResidencial baixa renda – faixa 04Não se aplica</t>
  </si>
  <si>
    <t>B1Energia convencional pré-pagamentoResidencialResidencial baixa renda – faixa 04Não se aplicaNão se aplica</t>
  </si>
  <si>
    <t>B1Energia convencional pré-pagamentoResidencialResidencial baixa renda – faixa 04Não se aplicaNão se aplicaE</t>
  </si>
  <si>
    <t>B2Energia horária</t>
  </si>
  <si>
    <t>B2Energia horáriaRural</t>
  </si>
  <si>
    <t>B2Energia horáriaRuralNão se aplica</t>
  </si>
  <si>
    <t>B2Energia horáriaRuralNão se aplicaNão se aplica</t>
  </si>
  <si>
    <t>B2Energia horáriaRuralNão se aplicaNão se aplicaNão se aplica</t>
  </si>
  <si>
    <t>B2Energia horáriaRuralNão se aplicaNão se aplicaNão se aplicaEP</t>
  </si>
  <si>
    <t>B2Energia horáriaRuralNão se aplicaNão se aplicaNão se aplicaEINT</t>
  </si>
  <si>
    <t>B2Energia horáriaRuralNão se aplicaNão se aplicaNão se aplicaEFP</t>
  </si>
  <si>
    <t>B2Energia convencional</t>
  </si>
  <si>
    <t>B2Energia convencionalRural</t>
  </si>
  <si>
    <t>B2Energia convencionalRuralNão se aplica</t>
  </si>
  <si>
    <t>B2Energia convencionalRuralNão se aplicaNão se aplica</t>
  </si>
  <si>
    <t>B2Energia convencionalRuralNão se aplicaNão se aplicaNão se aplica</t>
  </si>
  <si>
    <t>B2Energia convencionalRuralNão se aplicaNão se aplicaNão se aplicaE</t>
  </si>
  <si>
    <t>B2Energia horáriaRuralCooperativa de eletrificação rural</t>
  </si>
  <si>
    <t>B2Energia horáriaRuralCooperativa de eletrificação ruralNão se aplica</t>
  </si>
  <si>
    <t>B2Energia horáriaRuralCooperativa de eletrificação ruralNão se aplicaNão se aplica</t>
  </si>
  <si>
    <t>B2Energia horáriaRuralCooperativa de eletrificação ruralNão se aplicaNão se aplicaEP</t>
  </si>
  <si>
    <t>B2Energia horáriaRuralCooperativa de eletrificação ruralNão se aplicaNão se aplicaEINT</t>
  </si>
  <si>
    <t>B2Energia horáriaRuralCooperativa de eletrificação ruralNão se aplicaNão se aplicaEFP</t>
  </si>
  <si>
    <t>B2Energia convencionalRuralCooperativa de eletrificação rural</t>
  </si>
  <si>
    <t>B2Energia convencionalRuralCooperativa de eletrificação ruralNão se aplica</t>
  </si>
  <si>
    <t>B2Energia convencionalRuralCooperativa de eletrificação ruralNão se aplicaNão se aplica</t>
  </si>
  <si>
    <t>B2Energia convencionalRuralCooperativa de eletrificação ruralNão se aplicaNão se aplicaE</t>
  </si>
  <si>
    <t>B2Energia horáriaRuralServiço público de irrigação rural</t>
  </si>
  <si>
    <t>B2Energia horáriaRuralServiço público de irrigação ruralNão se aplica</t>
  </si>
  <si>
    <t>B2Energia horáriaRuralServiço público de irrigação ruralNão se aplicaNão se aplica</t>
  </si>
  <si>
    <t>B2Energia horáriaRuralServiço público de irrigação ruralNão se aplicaNão se aplicaEP</t>
  </si>
  <si>
    <t>B2Energia horáriaRuralServiço público de irrigação ruralNão se aplicaNão se aplicaEINT</t>
  </si>
  <si>
    <t>B2Energia horáriaRuralServiço público de irrigação ruralNão se aplicaNão se aplicaEFP</t>
  </si>
  <si>
    <t>B2Energia convencionalRuralServiço público de irrigação rural</t>
  </si>
  <si>
    <t>B2Energia convencionalRuralServiço público de irrigação ruralNão se aplica</t>
  </si>
  <si>
    <t>B2Energia convencionalRuralServiço público de irrigação ruralNão se aplicaNão se aplica</t>
  </si>
  <si>
    <t>B2Energia convencionalRuralServiço público de irrigação ruralNão se aplicaNão se aplicaE</t>
  </si>
  <si>
    <t>B2Energia convencional pré-pagamento</t>
  </si>
  <si>
    <t>B2Energia convencional pré-pagamentoRural</t>
  </si>
  <si>
    <t>B2Energia convencional pré-pagamentoRuralNão se aplica</t>
  </si>
  <si>
    <t>B2Energia convencional pré-pagamentoRuralNão se aplicaNão se aplica</t>
  </si>
  <si>
    <t>B2Energia convencional pré-pagamentoRuralNão se aplicaNão se aplicaNão se aplica</t>
  </si>
  <si>
    <t>B2Energia convencional pré-pagamentoRuralNão se aplicaNão se aplicaNão se aplicaE</t>
  </si>
  <si>
    <t>B2Energia convencional pré-pagamentoRuralCooperativa de eletrificação rural</t>
  </si>
  <si>
    <t>B2Energia convencional pré-pagamentoRuralCooperativa de eletrificação ruralNão se aplica</t>
  </si>
  <si>
    <t>B2Energia convencional pré-pagamentoRuralCooperativa de eletrificação ruralNão se aplicaNão se aplica</t>
  </si>
  <si>
    <t>B2Energia convencional pré-pagamentoRuralCooperativa de eletrificação ruralNão se aplicaNão se aplicaE</t>
  </si>
  <si>
    <t>B2Energia convencional pré-pagamentoRuralServiço público de irrigação rural</t>
  </si>
  <si>
    <t>B2Energia convencional pré-pagamentoRuralServiço público de irrigação ruralNão se aplica</t>
  </si>
  <si>
    <t>B2Energia convencional pré-pagamentoRuralServiço público de irrigação ruralNão se aplicaNão se aplica</t>
  </si>
  <si>
    <t>B2Energia convencional pré-pagamentoRuralServiço público de irrigação ruralNão se aplicaNão se aplicaE</t>
  </si>
  <si>
    <t>B3Energia horária</t>
  </si>
  <si>
    <t>B3Energia horáriaNão se aplica</t>
  </si>
  <si>
    <t>B3Energia horáriaNão se aplicaNão se aplica</t>
  </si>
  <si>
    <t>B3Energia horáriaNão se aplicaNão se aplicaNão se aplica</t>
  </si>
  <si>
    <t>B3Energia horáriaNão se aplicaNão se aplicaNão se aplicaNão se aplica</t>
  </si>
  <si>
    <t>B3Energia horáriaNão se aplicaNão se aplicaNão se aplicaNão se aplicaEP</t>
  </si>
  <si>
    <t>B3Energia horáriaNão se aplicaNão se aplicaNão se aplicaNão se aplicaEINT</t>
  </si>
  <si>
    <t>B3Energia horáriaNão se aplicaNão se aplicaNão se aplicaNão se aplicaEFP</t>
  </si>
  <si>
    <t>B3Energia convencional</t>
  </si>
  <si>
    <t>B3Energia convencionalNão se aplica</t>
  </si>
  <si>
    <t>B3Energia convencionalNão se aplicaNão se aplica</t>
  </si>
  <si>
    <t>B3Energia convencionalNão se aplicaNão se aplicaNão se aplica</t>
  </si>
  <si>
    <t>B3Energia convencionalNão se aplicaNão se aplicaNão se aplicaNão se aplica</t>
  </si>
  <si>
    <t>B3Energia convencionalNão se aplicaNão se aplicaNão se aplicaNão se aplicaE</t>
  </si>
  <si>
    <t>B3Energia convencional pré-pagamento</t>
  </si>
  <si>
    <t>B3Energia convencional pré-pagamentoNão se aplica</t>
  </si>
  <si>
    <t>B3Energia convencional pré-pagamentoNão se aplicaNão se aplica</t>
  </si>
  <si>
    <t>B3Energia convencional pré-pagamentoNão se aplicaNão se aplicaNão se aplica</t>
  </si>
  <si>
    <t>B3Energia convencional pré-pagamentoNão se aplicaNão se aplicaNão se aplicaNão se aplica</t>
  </si>
  <si>
    <t>B3Energia convencional pré-pagamentoNão se aplicaNão se aplicaNão se aplicaNão se aplicaE</t>
  </si>
  <si>
    <t>B4Energia convencional</t>
  </si>
  <si>
    <t>B4Energia convencionalIluminação pública</t>
  </si>
  <si>
    <t>B4Energia convencionalIluminação públicaIluminação pública – B4a</t>
  </si>
  <si>
    <t>B4Energia convencionalIluminação públicaIluminação pública – B4aNão se aplica</t>
  </si>
  <si>
    <t>B4Energia convencionalIluminação públicaIluminação pública – B4aNão se aplicaNão se aplica</t>
  </si>
  <si>
    <t>B4Energia convencionalIluminação públicaIluminação pública – B4aNão se aplicaNão se aplicaE</t>
  </si>
  <si>
    <t>B4Energia convencionalIluminação públicaIluminação pública – B4b</t>
  </si>
  <si>
    <t>B4Energia convencionalIluminação públicaIluminação pública – B4bNão se aplica</t>
  </si>
  <si>
    <t>B4Energia convencionalIluminação públicaIluminação pública – B4bNão se aplicaNão se aplica</t>
  </si>
  <si>
    <t>B4Energia convencionalIluminação públicaIluminação pública – B4bNão se aplicaNão se aplicaE</t>
  </si>
  <si>
    <t>CUSTOS REGULATÓRIOS</t>
  </si>
  <si>
    <t>TOTAL RA0/RV</t>
  </si>
  <si>
    <t>TOTAL RA1/RRD</t>
  </si>
  <si>
    <t>TOTAL SUBGRUPO A0</t>
  </si>
  <si>
    <t>TOTAL SUBGRUPO A1</t>
  </si>
  <si>
    <t>TOTAL ANÁLISE A0</t>
  </si>
  <si>
    <t>TOTAL ANÁLISE A1</t>
  </si>
  <si>
    <t>CHAVE</t>
  </si>
  <si>
    <t>VAR. GLOBAL</t>
  </si>
  <si>
    <t>VAR. SELEÇÃO SUBG.</t>
  </si>
  <si>
    <t>VAR. SELEÇÃO MDT</t>
  </si>
  <si>
    <t>Coef Transição 0,8</t>
  </si>
  <si>
    <t>FRC</t>
  </si>
  <si>
    <t>OPERAÇÃO E MANUTENÇÃO - O&amp;M (R$)</t>
  </si>
  <si>
    <t>TAXA DE DEPRECIAÇÃO - D (%)</t>
  </si>
  <si>
    <t>PARCELA B REVISÃO (R$)</t>
  </si>
  <si>
    <t>CARGA TRIBUTÁRIA (%)</t>
  </si>
  <si>
    <t>WACC ANTES DOS TRIBUTOS (%)</t>
  </si>
  <si>
    <t>VALOR</t>
  </si>
  <si>
    <t>DESCRIÇÃO PARÂMETROS</t>
  </si>
  <si>
    <t>TUSD FIO B - FORA PONTA (R$/kW)</t>
  </si>
  <si>
    <t>K</t>
  </si>
  <si>
    <t>B4b</t>
  </si>
  <si>
    <t>B4a</t>
  </si>
  <si>
    <t>B2-IRRIGANTE</t>
  </si>
  <si>
    <t>B2-RURAL</t>
  </si>
  <si>
    <t>SUBGRUPO TARIFÁRIO</t>
  </si>
  <si>
    <t>Total TUSD</t>
  </si>
  <si>
    <t>Total TE</t>
  </si>
  <si>
    <t>TUSD_CDE_COVID</t>
  </si>
  <si>
    <t>TUSD_TFSEE</t>
  </si>
  <si>
    <t>TUSD_PeD</t>
  </si>
  <si>
    <t>TUSD_ONS</t>
  </si>
  <si>
    <t>TUSD_CCC</t>
  </si>
  <si>
    <t>TUSD_CDE</t>
  </si>
  <si>
    <t>TUSD_PROINFA</t>
  </si>
  <si>
    <t>Liminar1</t>
  </si>
  <si>
    <t>TUSD_RB</t>
  </si>
  <si>
    <t>TUSD_FR</t>
  </si>
  <si>
    <t>TUSD_CCT</t>
  </si>
  <si>
    <t>TUSD_CCD</t>
  </si>
  <si>
    <t>TUSD_CUSD</t>
  </si>
  <si>
    <t>TUSDG_T</t>
  </si>
  <si>
    <t>TUSDG_ONS</t>
  </si>
  <si>
    <t>TUSD_FioB</t>
  </si>
  <si>
    <t>TUSD Subsidio</t>
  </si>
  <si>
    <t>TUSD BENEFICIO_L14299</t>
  </si>
  <si>
    <t>TUSD Outros</t>
  </si>
  <si>
    <t>TUSD_PT</t>
  </si>
  <si>
    <t>TUSD_Per_RB_D</t>
  </si>
  <si>
    <t>TUSD_PNT</t>
  </si>
  <si>
    <t>TUSD_RI</t>
  </si>
  <si>
    <t>TE_CDE_COVID</t>
  </si>
  <si>
    <t>TE_CDE_ELET</t>
  </si>
  <si>
    <t>TE_PeD</t>
  </si>
  <si>
    <t>TE_ESSERR</t>
  </si>
  <si>
    <t>TE_CFURH</t>
  </si>
  <si>
    <t>TE_ENERGIA</t>
  </si>
  <si>
    <t>TE_TRANSPORTE_ITAIPU</t>
  </si>
  <si>
    <t>TE_TUST_ITAIPU</t>
  </si>
  <si>
    <t>TE_TUST_CI</t>
  </si>
  <si>
    <t>TE Subsidio</t>
  </si>
  <si>
    <t>TE BENEFICIO_L14299</t>
  </si>
  <si>
    <t>TE_Per_RB</t>
  </si>
  <si>
    <t>Baixa Renda</t>
  </si>
  <si>
    <t>Perdas</t>
  </si>
  <si>
    <t xml:space="preserve">TUSD </t>
  </si>
  <si>
    <t xml:space="preserve">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</si>
</sst>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(* #,##0.00_);_(* \(#,##0.00\);_(* &quot;-&quot;??_);_(@_)"/>
    <numFmt numFmtId="165" formatCode="#,##0.00%_);[Red]\(#,##0.00%\)"/>
    <numFmt numFmtId="166" formatCode="#0.00%;[Red]#0.00%"/>
    <numFmt numFmtId="167" formatCode="0.00%_);[Red]\(0.00%\)"/>
    <numFmt numFmtId="168" formatCode="#,##0.00_);[Red]\(#,##0.00\)"/>
    <numFmt numFmtId="169" formatCode="#,##0.00_ ;[Red]\-#,##0.00\ "/>
    <numFmt numFmtId="170" formatCode="#,##0.00;[Red]#,##0.00"/>
  </numFmts>
  <fonts count="15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b/>
      <sz val="11"/>
      <color theme="1"/>
      <name val="Calibri"/>
      <family val="2"/>
      <scheme val="minor"/>
    </font>
    <font>
      <sz val="8"/>
      <color indexed="10"/>
      <name val="Arial"/>
      <family val="2"/>
    </font>
    <font>
      <sz val="8"/>
      <color theme="0" tint="-0.34998626667073579"/>
      <name val="Arial"/>
      <family val="2"/>
    </font>
    <font>
      <b/>
      <sz val="6"/>
      <name val="Arial"/>
      <family val="2"/>
    </font>
    <font>
      <sz val="8"/>
      <color theme="3" tint="-0.249977111117893"/>
      <name val="Arial"/>
      <family val="2"/>
    </font>
    <font>
      <b/>
      <sz val="8"/>
      <color theme="0"/>
      <name val="Arial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 tint="4.9989318521683403E-2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indexed="65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theme="3" tint="-0.49998474074526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12" fillId="0" borderId="0" applyFont="0" applyFill="0" applyBorder="0" applyAlignment="0" applyProtection="0"/>
  </cellStyleXfs>
  <cellXfs count="130">
    <xf numFmtId="0" fontId="0" fillId="0" borderId="0" xfId="0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40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0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7" fontId="4" fillId="0" borderId="1" xfId="0" applyNumberFormat="1" applyFont="1" applyBorder="1" applyAlignment="1">
      <alignment horizontal="center" vertical="center"/>
    </xf>
    <xf numFmtId="40" fontId="3" fillId="0" borderId="1" xfId="0" applyNumberFormat="1" applyFon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0" fontId="3" fillId="0" borderId="0" xfId="0" applyFont="1"/>
    <xf numFmtId="40" fontId="3" fillId="0" borderId="0" xfId="0" applyNumberFormat="1" applyFont="1" applyAlignment="1">
      <alignment vertical="center"/>
    </xf>
    <xf numFmtId="0" fontId="3" fillId="0" borderId="1" xfId="0" applyFont="1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40" fontId="3" fillId="0" borderId="8" xfId="0" applyNumberFormat="1" applyFont="1" applyBorder="1" applyAlignment="1">
      <alignment vertical="center"/>
    </xf>
    <xf numFmtId="40" fontId="4" fillId="0" borderId="8" xfId="0" applyNumberFormat="1" applyFont="1" applyBorder="1" applyAlignment="1">
      <alignment horizontal="center" vertical="center"/>
    </xf>
    <xf numFmtId="40" fontId="3" fillId="0" borderId="9" xfId="0" applyNumberFormat="1" applyFont="1" applyBorder="1" applyAlignment="1">
      <alignment vertical="center"/>
    </xf>
    <xf numFmtId="40" fontId="4" fillId="0" borderId="9" xfId="0" applyNumberFormat="1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left" vertical="center"/>
    </xf>
    <xf numFmtId="40" fontId="3" fillId="0" borderId="13" xfId="0" applyNumberFormat="1" applyFont="1" applyBorder="1" applyAlignment="1">
      <alignment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40" fontId="3" fillId="0" borderId="13" xfId="0" applyNumberFormat="1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40" fontId="4" fillId="0" borderId="13" xfId="0" applyNumberFormat="1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0" fillId="0" borderId="10" xfId="0" applyBorder="1"/>
    <xf numFmtId="0" fontId="0" fillId="0" borderId="13" xfId="0" applyBorder="1"/>
    <xf numFmtId="0" fontId="2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40" fontId="1" fillId="0" borderId="13" xfId="0" applyNumberFormat="1" applyFont="1" applyBorder="1" applyAlignment="1">
      <alignment horizontal="center" vertical="center"/>
    </xf>
    <xf numFmtId="166" fontId="1" fillId="0" borderId="13" xfId="0" applyNumberFormat="1" applyFont="1" applyBorder="1" applyAlignment="1">
      <alignment horizontal="center" vertical="center"/>
    </xf>
    <xf numFmtId="40" fontId="3" fillId="0" borderId="0" xfId="0" applyNumberFormat="1" applyFont="1"/>
    <xf numFmtId="167" fontId="3" fillId="0" borderId="0" xfId="0" applyNumberFormat="1" applyFont="1"/>
    <xf numFmtId="0" fontId="3" fillId="0" borderId="13" xfId="0" applyFont="1" applyBorder="1"/>
    <xf numFmtId="0" fontId="4" fillId="0" borderId="13" xfId="0" applyFont="1" applyBorder="1"/>
    <xf numFmtId="40" fontId="1" fillId="2" borderId="0" xfId="0" applyNumberFormat="1" applyFont="1" applyFill="1" applyAlignment="1">
      <alignment horizontal="center" vertical="center"/>
    </xf>
    <xf numFmtId="40" fontId="7" fillId="2" borderId="0" xfId="0" applyNumberFormat="1" applyFont="1" applyFill="1" applyAlignment="1">
      <alignment horizontal="center" vertical="center"/>
    </xf>
    <xf numFmtId="14" fontId="2" fillId="0" borderId="13" xfId="0" applyNumberFormat="1" applyFont="1" applyBorder="1" applyAlignment="1">
      <alignment horizontal="center" vertical="center"/>
    </xf>
    <xf numFmtId="14" fontId="1" fillId="0" borderId="13" xfId="0" applyNumberFormat="1" applyFont="1" applyBorder="1" applyAlignment="1">
      <alignment horizontal="center" vertical="center"/>
    </xf>
    <xf numFmtId="40" fontId="3" fillId="0" borderId="13" xfId="0" applyNumberFormat="1" applyFont="1" applyBorder="1"/>
    <xf numFmtId="40" fontId="2" fillId="0" borderId="13" xfId="0" applyNumberFormat="1" applyFont="1" applyBorder="1" applyAlignment="1">
      <alignment horizontal="center" vertical="center"/>
    </xf>
    <xf numFmtId="165" fontId="3" fillId="0" borderId="0" xfId="0" applyNumberFormat="1" applyFont="1"/>
    <xf numFmtId="0" fontId="3" fillId="0" borderId="13" xfId="0" applyFont="1" applyBorder="1" applyAlignment="1">
      <alignment vertical="center"/>
    </xf>
    <xf numFmtId="169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165" fontId="3" fillId="0" borderId="13" xfId="0" applyNumberFormat="1" applyFont="1" applyBorder="1" applyAlignment="1">
      <alignment vertical="center"/>
    </xf>
    <xf numFmtId="40" fontId="3" fillId="0" borderId="13" xfId="0" applyNumberFormat="1" applyFont="1" applyBorder="1" applyAlignment="1">
      <alignment horizontal="left" vertical="center" indent="1"/>
    </xf>
    <xf numFmtId="40" fontId="3" fillId="0" borderId="13" xfId="0" quotePrefix="1" applyNumberFormat="1" applyFont="1" applyBorder="1" applyAlignment="1">
      <alignment horizontal="left" vertical="center" indent="1"/>
    </xf>
    <xf numFmtId="40" fontId="8" fillId="0" borderId="0" xfId="0" applyNumberFormat="1" applyFont="1" applyAlignment="1">
      <alignment horizontal="center" vertical="center"/>
    </xf>
    <xf numFmtId="40" fontId="4" fillId="3" borderId="13" xfId="0" applyNumberFormat="1" applyFont="1" applyFill="1" applyBorder="1" applyAlignment="1">
      <alignment horizontal="center" vertical="center"/>
    </xf>
    <xf numFmtId="0" fontId="3" fillId="0" borderId="0" xfId="0" pivotButton="1" applyFont="1"/>
    <xf numFmtId="168" fontId="3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3" fillId="0" borderId="0" xfId="0" applyFont="1" applyAlignment="1">
      <alignment horizontal="left" indent="2"/>
    </xf>
    <xf numFmtId="0" fontId="3" fillId="0" borderId="0" xfId="0" applyFont="1" applyAlignment="1">
      <alignment horizontal="left" indent="3"/>
    </xf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5"/>
    </xf>
    <xf numFmtId="0" fontId="3" fillId="0" borderId="0" xfId="0" applyFont="1" applyAlignment="1">
      <alignment horizontal="left" indent="6"/>
    </xf>
    <xf numFmtId="0" fontId="3" fillId="0" borderId="0" xfId="0" applyFont="1" applyAlignment="1">
      <alignment horizontal="left" indent="7"/>
    </xf>
    <xf numFmtId="14" fontId="3" fillId="0" borderId="0" xfId="0" applyNumberFormat="1" applyFont="1" applyAlignment="1">
      <alignment horizontal="left" indent="8"/>
    </xf>
    <xf numFmtId="0" fontId="9" fillId="4" borderId="0" xfId="0" applyFont="1" applyFill="1" applyAlignment="1">
      <alignment horizontal="center" vertical="center"/>
    </xf>
    <xf numFmtId="10" fontId="3" fillId="0" borderId="0" xfId="0" applyNumberFormat="1" applyFont="1"/>
    <xf numFmtId="2" fontId="10" fillId="5" borderId="15" xfId="0" applyNumberFormat="1" applyFont="1" applyFill="1" applyBorder="1" applyAlignment="1">
      <alignment horizontal="center" vertical="center"/>
    </xf>
    <xf numFmtId="0" fontId="10" fillId="5" borderId="15" xfId="0" applyFont="1" applyFill="1" applyBorder="1" applyAlignment="1">
      <alignment horizontal="left" vertical="center" indent="1"/>
    </xf>
    <xf numFmtId="4" fontId="10" fillId="6" borderId="0" xfId="0" applyNumberFormat="1" applyFont="1" applyFill="1" applyAlignment="1">
      <alignment vertical="center"/>
    </xf>
    <xf numFmtId="0" fontId="10" fillId="6" borderId="0" xfId="0" applyFont="1" applyFill="1" applyAlignment="1">
      <alignment horizontal="left" vertical="center" indent="1"/>
    </xf>
    <xf numFmtId="10" fontId="10" fillId="5" borderId="0" xfId="0" applyNumberFormat="1" applyFont="1" applyFill="1" applyAlignment="1">
      <alignment vertical="center"/>
    </xf>
    <xf numFmtId="0" fontId="10" fillId="5" borderId="0" xfId="0" applyFont="1" applyFill="1" applyAlignment="1">
      <alignment horizontal="left" vertical="center" indent="1"/>
    </xf>
    <xf numFmtId="10" fontId="10" fillId="6" borderId="0" xfId="0" applyNumberFormat="1" applyFont="1" applyFill="1" applyAlignment="1">
      <alignment vertical="center"/>
    </xf>
    <xf numFmtId="0" fontId="11" fillId="7" borderId="16" xfId="0" applyFont="1" applyFill="1" applyBorder="1" applyAlignment="1">
      <alignment horizontal="center" vertical="center"/>
    </xf>
    <xf numFmtId="40" fontId="10" fillId="5" borderId="15" xfId="0" applyNumberFormat="1" applyFont="1" applyFill="1" applyBorder="1" applyAlignment="1">
      <alignment horizontal="center" vertical="center"/>
    </xf>
    <xf numFmtId="170" fontId="10" fillId="6" borderId="0" xfId="0" applyNumberFormat="1" applyFont="1" applyFill="1" applyAlignment="1">
      <alignment horizontal="center" vertical="center"/>
    </xf>
    <xf numFmtId="164" fontId="3" fillId="0" borderId="0" xfId="1" applyFont="1" applyAlignment="1">
      <alignment vertical="center"/>
    </xf>
    <xf numFmtId="4" fontId="14" fillId="8" borderId="18" xfId="0" applyNumberFormat="1" applyFont="1" applyFill="1" applyBorder="1"/>
    <xf numFmtId="4" fontId="14" fillId="8" borderId="12" xfId="0" applyNumberFormat="1" applyFont="1" applyFill="1" applyBorder="1"/>
    <xf numFmtId="4" fontId="14" fillId="8" borderId="19" xfId="0" applyNumberFormat="1" applyFont="1" applyFill="1" applyBorder="1"/>
    <xf numFmtId="4" fontId="14" fillId="8" borderId="6" xfId="0" applyNumberFormat="1" applyFont="1" applyFill="1" applyBorder="1"/>
    <xf numFmtId="4" fontId="14" fillId="8" borderId="13" xfId="0" applyNumberFormat="1" applyFont="1" applyFill="1" applyBorder="1"/>
    <xf numFmtId="4" fontId="14" fillId="8" borderId="5" xfId="0" applyNumberFormat="1" applyFont="1" applyFill="1" applyBorder="1"/>
    <xf numFmtId="4" fontId="14" fillId="8" borderId="20" xfId="0" applyNumberFormat="1" applyFont="1" applyFill="1" applyBorder="1"/>
    <xf numFmtId="4" fontId="14" fillId="8" borderId="10" xfId="0" applyNumberFormat="1" applyFont="1" applyFill="1" applyBorder="1"/>
    <xf numFmtId="4" fontId="14" fillId="8" borderId="17" xfId="0" applyNumberFormat="1" applyFont="1" applyFill="1" applyBorder="1"/>
    <xf numFmtId="4" fontId="14" fillId="8" borderId="12" xfId="0" applyNumberFormat="1" applyFont="1" applyFill="1" applyBorder="1" applyAlignment="1">
      <alignment horizontal="center"/>
    </xf>
    <xf numFmtId="4" fontId="14" fillId="8" borderId="19" xfId="0" applyNumberFormat="1" applyFont="1" applyFill="1" applyBorder="1" applyAlignment="1">
      <alignment horizontal="center"/>
    </xf>
    <xf numFmtId="40" fontId="3" fillId="0" borderId="1" xfId="0" applyNumberFormat="1" applyFont="1" applyBorder="1" applyAlignment="1">
      <alignment horizontal="left" vertical="center"/>
    </xf>
    <xf numFmtId="40" fontId="0" fillId="0" borderId="1" xfId="0" applyNumberForma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0" fillId="0" borderId="1" xfId="0" applyNumberFormat="1" applyBorder="1" applyAlignment="1">
      <alignment vertical="center"/>
    </xf>
    <xf numFmtId="0" fontId="3" fillId="0" borderId="13" xfId="0" applyFont="1" applyBorder="1" applyAlignment="1">
      <alignment vertical="center"/>
    </xf>
    <xf numFmtId="0" fontId="0" fillId="0" borderId="13" xfId="0" applyBorder="1" applyAlignment="1">
      <alignment vertical="center"/>
    </xf>
    <xf numFmtId="0" fontId="3" fillId="0" borderId="5" xfId="0" applyFont="1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6" xfId="0" applyBorder="1" applyAlignment="1">
      <alignment vertical="center"/>
    </xf>
    <xf numFmtId="0" fontId="4" fillId="0" borderId="14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40" fontId="3" fillId="0" borderId="8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40" fontId="4" fillId="0" borderId="10" xfId="0" applyNumberFormat="1" applyFont="1" applyBorder="1" applyAlignment="1">
      <alignment horizontal="center" vertical="center"/>
    </xf>
    <xf numFmtId="40" fontId="6" fillId="0" borderId="11" xfId="0" applyNumberFormat="1" applyFont="1" applyBorder="1" applyAlignment="1">
      <alignment horizontal="center" vertical="center"/>
    </xf>
    <xf numFmtId="40" fontId="6" fillId="0" borderId="12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0" fontId="4" fillId="0" borderId="13" xfId="0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left" vertical="center"/>
    </xf>
    <xf numFmtId="0" fontId="3" fillId="0" borderId="10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" fontId="14" fillId="8" borderId="13" xfId="0" applyNumberFormat="1" applyFont="1" applyFill="1" applyBorder="1" applyAlignment="1">
      <alignment horizontal="center"/>
    </xf>
    <xf numFmtId="4" fontId="14" fillId="8" borderId="5" xfId="0" applyNumberFormat="1" applyFont="1" applyFill="1" applyBorder="1" applyAlignment="1">
      <alignment horizontal="center"/>
    </xf>
    <xf numFmtId="4" fontId="14" fillId="8" borderId="12" xfId="0" applyNumberFormat="1" applyFont="1" applyFill="1" applyBorder="1" applyAlignment="1">
      <alignment horizontal="center"/>
    </xf>
    <xf numFmtId="4" fontId="14" fillId="8" borderId="19" xfId="0" applyNumberFormat="1" applyFont="1" applyFill="1" applyBorder="1" applyAlignment="1">
      <alignment horizontal="center"/>
    </xf>
  </cellXfs>
  <cellStyles count="2">
    <cellStyle name="Normal" xfId="0" builtinId="0"/>
    <cellStyle name="Vírgula" xfId="1" builtinId="3"/>
  </cellStyles>
  <dxfs count="1351"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8" formatCode="#,##0.00_);[Red]\(#,##0.00\)"/>
    </dxf>
    <dxf>
      <numFmt numFmtId="168" formatCode="#,##0.00_);[Red]\(#,##0.00\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7" formatCode="0.00%_);[Red]\(0.00%\)"/>
    </dxf>
    <dxf>
      <numFmt numFmtId="167" formatCode="0.00%_);[Red]\(0.00%\)"/>
    </dxf>
    <dxf>
      <numFmt numFmtId="168" formatCode="#,##0.00_);[Red]\(#,##0.00\)"/>
    </dxf>
    <dxf>
      <numFmt numFmtId="168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TUSD'!$A$13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TUSD'!$B$13:$W$13</c:f>
              <c:numCache>
                <c:formatCode>#,##0.00%_);[Red]\(#,##0.00%\)</c:formatCode>
                <c:ptCount val="22"/>
                <c:pt idx="0">
                  <c:v>-5.805401629695818E-3</c:v>
                </c:pt>
                <c:pt idx="1">
                  <c:v>1.5456556355502758E-4</c:v>
                </c:pt>
                <c:pt idx="2">
                  <c:v>9.1561467592012405E-4</c:v>
                </c:pt>
                <c:pt idx="3">
                  <c:v>0</c:v>
                </c:pt>
                <c:pt idx="4">
                  <c:v>0</c:v>
                </c:pt>
                <c:pt idx="5">
                  <c:v>5.1538591562070871E-2</c:v>
                </c:pt>
                <c:pt idx="6">
                  <c:v>1.6333588361811049E-2</c:v>
                </c:pt>
                <c:pt idx="7">
                  <c:v>0</c:v>
                </c:pt>
                <c:pt idx="8">
                  <c:v>1.470334185926034E-2</c:v>
                </c:pt>
                <c:pt idx="9">
                  <c:v>1.0758652716610423E-2</c:v>
                </c:pt>
                <c:pt idx="10">
                  <c:v>8.9518544547629339E-4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4.6252797364759256E-2</c:v>
                </c:pt>
                <c:pt idx="16">
                  <c:v>-0.10113908638342868</c:v>
                </c:pt>
                <c:pt idx="17">
                  <c:v>0</c:v>
                </c:pt>
                <c:pt idx="18">
                  <c:v>2.4198945783643233E-2</c:v>
                </c:pt>
                <c:pt idx="19">
                  <c:v>1.2754552844093804E-3</c:v>
                </c:pt>
                <c:pt idx="20">
                  <c:v>2.3575552861949792E-2</c:v>
                </c:pt>
                <c:pt idx="21">
                  <c:v>5.1619697473859862E-3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14-4F36-8B00-6F8C02E6A4F6}"/>
            </c:ext>
          </c:extLst>
        </c:ser>
        <c:ser>
          <c:idx val="1"/>
          <c:order val="1"/>
          <c:tx>
            <c:strRef>
              <c:f>'RESUMO TUSD'!$A$14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TUSD'!$B$14:$W$14</c:f>
              <c:numCache>
                <c:formatCode>#,##0.00%_);[Red]\(#,##0.00%\)</c:formatCode>
                <c:ptCount val="22"/>
                <c:pt idx="0">
                  <c:v>-1.9569640995159825E-2</c:v>
                </c:pt>
                <c:pt idx="1">
                  <c:v>1.0021932679110067E-4</c:v>
                </c:pt>
                <c:pt idx="2">
                  <c:v>5.6191733426213977E-4</c:v>
                </c:pt>
                <c:pt idx="3">
                  <c:v>0</c:v>
                </c:pt>
                <c:pt idx="4">
                  <c:v>0</c:v>
                </c:pt>
                <c:pt idx="5">
                  <c:v>9.8522158316122765E-2</c:v>
                </c:pt>
                <c:pt idx="6">
                  <c:v>5.208641184529568E-2</c:v>
                </c:pt>
                <c:pt idx="7">
                  <c:v>0</c:v>
                </c:pt>
                <c:pt idx="8">
                  <c:v>1.5092171789435135E-2</c:v>
                </c:pt>
                <c:pt idx="9">
                  <c:v>1.0953845639975812E-2</c:v>
                </c:pt>
                <c:pt idx="10">
                  <c:v>9.1057684521417682E-4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2.8364312938598583E-2</c:v>
                </c:pt>
                <c:pt idx="16">
                  <c:v>-0.10392348615201147</c:v>
                </c:pt>
                <c:pt idx="17">
                  <c:v>0</c:v>
                </c:pt>
                <c:pt idx="18">
                  <c:v>5.7179801977656423E-2</c:v>
                </c:pt>
                <c:pt idx="19">
                  <c:v>3.0168729195457931E-3</c:v>
                </c:pt>
                <c:pt idx="20">
                  <c:v>2.6381411945084414E-2</c:v>
                </c:pt>
                <c:pt idx="21">
                  <c:v>6.125225461899593E-3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14-4F36-8B00-6F8C02E6A4F6}"/>
            </c:ext>
          </c:extLst>
        </c:ser>
        <c:ser>
          <c:idx val="2"/>
          <c:order val="2"/>
          <c:tx>
            <c:strRef>
              <c:f>'RESUMO TUSD'!$A$15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TUSD'!$B$15:$W$15</c:f>
              <c:numCache>
                <c:formatCode>#,##0.00%_);[Red]\(#,##0.00%\)</c:formatCode>
                <c:ptCount val="22"/>
                <c:pt idx="0">
                  <c:v>-1.9569640995159825E-2</c:v>
                </c:pt>
                <c:pt idx="1">
                  <c:v>1.0021932679110067E-4</c:v>
                </c:pt>
                <c:pt idx="2">
                  <c:v>5.6191733426213977E-4</c:v>
                </c:pt>
                <c:pt idx="3">
                  <c:v>0</c:v>
                </c:pt>
                <c:pt idx="4">
                  <c:v>0</c:v>
                </c:pt>
                <c:pt idx="5">
                  <c:v>9.8522158316122765E-2</c:v>
                </c:pt>
                <c:pt idx="6">
                  <c:v>5.208641184529568E-2</c:v>
                </c:pt>
                <c:pt idx="7">
                  <c:v>0</c:v>
                </c:pt>
                <c:pt idx="8">
                  <c:v>1.5092171789435135E-2</c:v>
                </c:pt>
                <c:pt idx="9">
                  <c:v>1.0953845639975812E-2</c:v>
                </c:pt>
                <c:pt idx="10">
                  <c:v>9.1057684521417682E-4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2.8364312938598583E-2</c:v>
                </c:pt>
                <c:pt idx="16">
                  <c:v>-0.10392348615201147</c:v>
                </c:pt>
                <c:pt idx="17">
                  <c:v>0</c:v>
                </c:pt>
                <c:pt idx="18">
                  <c:v>5.7179801977656423E-2</c:v>
                </c:pt>
                <c:pt idx="19">
                  <c:v>3.0168729195457931E-3</c:v>
                </c:pt>
                <c:pt idx="20">
                  <c:v>2.6381411945084414E-2</c:v>
                </c:pt>
                <c:pt idx="21">
                  <c:v>6.125225461899593E-3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14-4F36-8B00-6F8C02E6A4F6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2214-4F36-8B00-6F8C02E6A4F6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2214-4F36-8B00-6F8C02E6A4F6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2214-4F36-8B00-6F8C02E6A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416488"/>
        <c:axId val="857418456"/>
      </c:radarChart>
      <c:catAx>
        <c:axId val="85741648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857418456"/>
        <c:crosses val="autoZero"/>
        <c:auto val="1"/>
        <c:lblAlgn val="ctr"/>
        <c:lblOffset val="100"/>
        <c:noMultiLvlLbl val="0"/>
      </c:catAx>
      <c:valAx>
        <c:axId val="857418456"/>
        <c:scaling>
          <c:orientation val="minMax"/>
        </c:scaling>
        <c:delete val="0"/>
        <c:axPos val="l"/>
        <c:majorGridlines/>
        <c:numFmt formatCode="#,##0.00%_);[Red]\(#,##0.00%\)" sourceLinked="1"/>
        <c:majorTickMark val="out"/>
        <c:minorTickMark val="none"/>
        <c:tickLblPos val="nextTo"/>
        <c:crossAx val="857416488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TE'!$A$13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TE'!$B$13:$L$13</c:f>
              <c:numCache>
                <c:formatCode>#,##0.00%_);[Red]\(#,##0.00%\)</c:formatCode>
                <c:ptCount val="11"/>
                <c:pt idx="0">
                  <c:v>2.7862334709563711E-3</c:v>
                </c:pt>
                <c:pt idx="1">
                  <c:v>4.5504255497039639E-2</c:v>
                </c:pt>
                <c:pt idx="2">
                  <c:v>0</c:v>
                </c:pt>
                <c:pt idx="3">
                  <c:v>2.6733608533419266E-2</c:v>
                </c:pt>
                <c:pt idx="4">
                  <c:v>-9.3907687634843307E-2</c:v>
                </c:pt>
                <c:pt idx="5">
                  <c:v>0.46996530579450818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-0.11463305866503359</c:v>
                </c:pt>
                <c:pt idx="10">
                  <c:v>1.2341326826551478E-2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38-4BCA-ADD8-C0B9CE9E8227}"/>
            </c:ext>
          </c:extLst>
        </c:ser>
        <c:ser>
          <c:idx val="1"/>
          <c:order val="1"/>
          <c:tx>
            <c:strRef>
              <c:f>'RESUMO TE'!$A$14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TE'!$B$14:$L$14</c:f>
              <c:numCache>
                <c:formatCode>#,##0.00%_);[Red]\(#,##0.00%\)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38-4BCA-ADD8-C0B9CE9E8227}"/>
            </c:ext>
          </c:extLst>
        </c:ser>
        <c:ser>
          <c:idx val="2"/>
          <c:order val="2"/>
          <c:tx>
            <c:strRef>
              <c:f>'RESUMO TE'!$A$15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TE'!$B$15:$L$15</c:f>
              <c:numCache>
                <c:formatCode>#,##0.00%_);[Red]\(#,##0.00%\)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38-4BCA-ADD8-C0B9CE9E8227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8D38-4BCA-ADD8-C0B9CE9E8227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8D38-4BCA-ADD8-C0B9CE9E8227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8D38-4BCA-ADD8-C0B9CE9E8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9078840"/>
        <c:axId val="859078512"/>
      </c:radarChart>
      <c:catAx>
        <c:axId val="85907884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859078512"/>
        <c:crosses val="autoZero"/>
        <c:auto val="1"/>
        <c:lblAlgn val="ctr"/>
        <c:lblOffset val="100"/>
        <c:noMultiLvlLbl val="0"/>
      </c:catAx>
      <c:valAx>
        <c:axId val="859078512"/>
        <c:scaling>
          <c:orientation val="minMax"/>
        </c:scaling>
        <c:delete val="0"/>
        <c:axPos val="l"/>
        <c:majorGridlines/>
        <c:numFmt formatCode="#,##0.00%_);[Red]\(#,##0.00%\)" sourceLinked="1"/>
        <c:majorTickMark val="out"/>
        <c:minorTickMark val="none"/>
        <c:tickLblPos val="nextTo"/>
        <c:crossAx val="859078840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16</xdr:row>
      <xdr:rowOff>0</xdr:rowOff>
    </xdr:from>
    <xdr:to>
      <xdr:col>11</xdr:col>
      <xdr:colOff>638176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4F04A06-747B-96FD-06CE-3F7FFA842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123826</xdr:colOff>
      <xdr:row>16</xdr:row>
      <xdr:rowOff>0</xdr:rowOff>
    </xdr:from>
    <xdr:to>
      <xdr:col>12</xdr:col>
      <xdr:colOff>142876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FDCE1EB-7CD9-89EF-BDD2-25E69FDA13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890.411770023151" createdVersion="5" refreshedVersion="8" minRefreshableVersion="3" recordCount="790" xr:uid="{1E0481ED-9D37-456C-BB68-924618FC2E4F}">
  <cacheSource type="worksheet">
    <worksheetSource name="Subsidio"/>
  </cacheSource>
  <cacheFields count="34">
    <cacheField name="TipoMercado" numFmtId="0">
      <sharedItems/>
    </cacheField>
    <cacheField name="Subgrupo" numFmtId="0">
      <sharedItems count="5">
        <s v="A3a"/>
        <s v="A4"/>
        <s v="B1"/>
        <s v="B2"/>
        <s v="B3"/>
      </sharedItems>
    </cacheField>
    <cacheField name="Modalidade" numFmtId="0">
      <sharedItems count="5">
        <s v="Verde"/>
        <s v="Azul"/>
        <s v="Distribuição"/>
        <s v="Convencional"/>
        <s v="Branca"/>
      </sharedItems>
    </cacheField>
    <cacheField name="Classe" numFmtId="0">
      <sharedItems count="5">
        <s v="Rural"/>
        <s v="Serviço público"/>
        <s v="Industrial"/>
        <s v="Não se aplica"/>
        <s v="Residencial"/>
      </sharedItems>
    </cacheField>
    <cacheField name="Subclasse" numFmtId="0">
      <sharedItems count="9">
        <s v="Agropecuária rural"/>
        <s v="Não se aplica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  <s v="Aquicultura"/>
      </sharedItems>
    </cacheField>
    <cacheField name="Detalhe" numFmtId="0">
      <sharedItems count="4">
        <s v="IRRIG./AQUIC. PR"/>
        <s v="Não se aplica"/>
        <s v="Fonte incentivada"/>
        <s v="IRRIG./AQUIC."/>
      </sharedItems>
    </cacheField>
    <cacheField name="Agente" numFmtId="0">
      <sharedItems count="2">
        <s v="Não se aplica"/>
        <s v="Amazonas Energia"/>
      </sharedItems>
    </cacheField>
    <cacheField name="Posto" numFmtId="0">
      <sharedItems count="4">
        <s v="Fora ponta"/>
        <s v="Não se aplica"/>
        <s v="Ponta"/>
        <s v="Intermediário"/>
      </sharedItems>
    </cacheField>
    <cacheField name="AnoMes" numFmtId="14">
      <sharedItems containsSemiMixedTypes="0" containsNonDate="0" containsDate="1" containsString="0" minDate="2021-12-01T00:00:00" maxDate="2022-11-02T00:00:00" count="12">
        <d v="2022-06-01T00:00:00"/>
        <d v="2022-07-01T00:00:00"/>
        <d v="2022-08-01T00:00:00"/>
        <d v="2022-09-01T00:00:00"/>
        <d v="2022-10-01T00:00:00"/>
        <d v="2022-11-01T00:00:00"/>
        <d v="2022-03-01T00:00:00"/>
        <d v="2022-04-01T00:00:00"/>
        <d v="2022-05-01T00:00:00"/>
        <d v="2021-12-01T00:00:00"/>
        <d v="2022-01-01T00:00:00"/>
        <d v="2022-02-01T00:00:00"/>
      </sharedItems>
    </cacheField>
    <cacheField name="D" numFmtId="40">
      <sharedItems containsSemiMixedTypes="0" containsString="0" containsNumber="1" containsInteger="1" minValue="0" maxValue="10423"/>
    </cacheField>
    <cacheField name="Daj" numFmtId="40">
      <sharedItems containsSemiMixedTypes="0" containsString="0" containsNumber="1" minValue="0" maxValue="6695"/>
    </cacheField>
    <cacheField name="TUSD_E" numFmtId="40">
      <sharedItems containsSemiMixedTypes="0" containsString="0" containsNumber="1" minValue="-487.476" maxValue="30655.42"/>
    </cacheField>
    <cacheField name="TUSD_Eaj" numFmtId="40">
      <sharedItems containsSemiMixedTypes="0" containsString="0" containsNumber="1" minValue="-487.476" maxValue="30655.42"/>
    </cacheField>
    <cacheField name="TE_E" numFmtId="40">
      <sharedItems containsSemiMixedTypes="0" containsString="0" containsNumber="1" minValue="-487.476" maxValue="30655.42"/>
    </cacheField>
    <cacheField name="TE_Eaj" numFmtId="40">
      <sharedItems containsSemiMixedTypes="0" containsString="0" containsNumber="1" minValue="-487.476" maxValue="30655.42"/>
    </cacheField>
    <cacheField name="UC" numFmtId="40">
      <sharedItems containsSemiMixedTypes="0" containsString="0" containsNumber="1" containsInteger="1" minValue="-108" maxValue="133989"/>
    </cacheField>
    <cacheField name="OPÇÃO" numFmtId="0">
      <sharedItems/>
    </cacheField>
    <cacheField name="CóD. AUX." numFmtId="0">
      <sharedItems containsSemiMixedTypes="0" containsString="0" containsNumber="1" containsInteger="1" minValue="0" maxValue="7019"/>
    </cacheField>
    <cacheField name="CóD. AUX. TUSD R$/kW" numFmtId="0">
      <sharedItems containsSemiMixedTypes="0" containsString="0" containsNumber="1" containsInteger="1" minValue="0" maxValue="27"/>
    </cacheField>
    <cacheField name="CóD. AUX. TUSD R$/MWh" numFmtId="0">
      <sharedItems containsSemiMixedTypes="0" containsString="0" containsNumber="1" containsInteger="1" minValue="0" maxValue="67"/>
    </cacheField>
    <cacheField name="CóD. AUX. TE R$/MWh" numFmtId="0">
      <sharedItems containsSemiMixedTypes="0" containsString="0" containsNumber="1" containsInteger="1" minValue="0" maxValue="111"/>
    </cacheField>
    <cacheField name="TUSD (R$/kW)" numFmtId="40">
      <sharedItems containsSemiMixedTypes="0" containsString="0" containsNumber="1" minValue="0" maxValue="56.22"/>
    </cacheField>
    <cacheField name="TUSD (R$/MWh)" numFmtId="40">
      <sharedItems containsSemiMixedTypes="0" containsString="0" containsNumber="1" minValue="0" maxValue="1448.96"/>
    </cacheField>
    <cacheField name="TE (R$/MWh)" numFmtId="40">
      <sharedItems containsSemiMixedTypes="0" containsString="0" containsNumber="1" minValue="0" maxValue="259.488"/>
    </cacheField>
    <cacheField name="TUSD (R$/kW) NOVA" numFmtId="40">
      <sharedItems containsString="0" containsBlank="1" containsNumber="1" minValue="9.6075845340944266" maxValue="56.30075009771577"/>
    </cacheField>
    <cacheField name="TUSD (R$/MWh) NOVA" numFmtId="40">
      <sharedItems containsString="0" containsBlank="1" containsNumber="1" minValue="15.923920705156663" maxValue="1479.9458225851192"/>
    </cacheField>
    <cacheField name="TE (R$/MWh) NOVA" numFmtId="40">
      <sharedItems containsString="0" containsBlank="1" containsNumber="1" minValue="80.755470090026847" maxValue="355.44973741322258"/>
    </cacheField>
    <cacheField name="SUBSIDIO kW - TV" numFmtId="40">
      <sharedItems containsSemiMixedTypes="0" containsString="0" containsNumber="1" minValue="0" maxValue="140921.99649599998"/>
    </cacheField>
    <cacheField name="SUBSIDIO MWh - TV" numFmtId="40">
      <sharedItems containsSemiMixedTypes="0" containsString="0" containsNumber="1" minValue="-18724.3431408" maxValue="650915.45664000011"/>
    </cacheField>
    <cacheField name="SUBSIDIO kW - TN" numFmtId="40">
      <sharedItems containsSemiMixedTypes="0" containsString="0" containsNumber="1" minValue="0" maxValue="141124.40604753597"/>
    </cacheField>
    <cacheField name="SUBSIDIO MWh - TN" numFmtId="40">
      <sharedItems containsSemiMixedTypes="0" containsString="0" containsNumber="1" minValue="-10718.320247353502" maxValue="729566.72543395124"/>
    </cacheField>
    <cacheField name="TIPO" numFmtId="0">
      <sharedItems containsBlank="1" count="7">
        <s v="SUBSIDIO IRRIGANTE/AQUICULTOR"/>
        <s v="SUBSIDIO RURAL"/>
        <s v="SUBSIDIO ÁGUA, ESGOTO E SANEAMENTO"/>
        <s v="SUBSIDIO CARGA FONTE INCENTIVADA"/>
        <s v="SUBSIDIO DISTRIBUIÇÃO"/>
        <m/>
        <s v="SUBSIDIO BAIXA RENDA"/>
      </sharedItems>
    </cacheField>
    <cacheField name="TOTAL TV" numFmtId="0" formula="'SUBSIDIO kW - TV'+'SUBSIDIO MWh - TV'" databaseField="0"/>
    <cacheField name="TOTAL TN" numFmtId="0" formula="'SUBSIDIO kW - TN'+'SUBSIDIO MWh - T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890.411770601851" createdVersion="5" refreshedVersion="8" minRefreshableVersion="3" recordCount="2101" xr:uid="{E9B6FD99-1042-42CB-82CD-94B708BF7227}">
  <cacheSource type="worksheet">
    <worksheetSource name="Efeito"/>
  </cacheSource>
  <cacheFields count="36">
    <cacheField name="TipoMercado" numFmtId="0">
      <sharedItems/>
    </cacheField>
    <cacheField name="Subgrupo" numFmtId="0">
      <sharedItems count="6">
        <s v="A3a"/>
        <s v="A4"/>
        <s v="B1"/>
        <s v="B2"/>
        <s v="B3"/>
        <s v="B4"/>
      </sharedItems>
    </cacheField>
    <cacheField name="Modalidade" numFmtId="0">
      <sharedItems count="5">
        <s v="Azul"/>
        <s v="Verde"/>
        <s v="Distribuição"/>
        <s v="Branca"/>
        <s v="Convencional"/>
      </sharedItems>
    </cacheField>
    <cacheField name="Classe" numFmtId="0">
      <sharedItems count="9">
        <s v="Comercial"/>
        <s v="Industrial"/>
        <s v="Rural"/>
        <s v="Serviço público"/>
        <s v="Poder público"/>
        <s v="Não se aplica"/>
        <s v="Consumo próprio"/>
        <s v="Residencial"/>
        <s v="Iluminação pública"/>
      </sharedItems>
    </cacheField>
    <cacheField name="Subclasse" numFmtId="0">
      <sharedItems count="10">
        <s v="Não se aplica"/>
        <s v="Agropecuária rural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  <s v="Aquicultura"/>
        <s v="Iluminação pública – B4a"/>
      </sharedItems>
    </cacheField>
    <cacheField name="Detalhe" numFmtId="0">
      <sharedItems count="4">
        <s v="Não se aplica"/>
        <s v="IRRIG./AQUIC. PR"/>
        <s v="Fonte incentivada"/>
        <s v="IRRIG./AQUIC."/>
      </sharedItems>
    </cacheField>
    <cacheField name="Agente" numFmtId="0">
      <sharedItems count="2">
        <s v="Não se aplica"/>
        <s v="Amazonas Energia"/>
      </sharedItems>
    </cacheField>
    <cacheField name="Posto" numFmtId="0">
      <sharedItems count="4">
        <s v="Fora ponta"/>
        <s v="Ponta"/>
        <s v="Não se aplica"/>
        <s v="Intermediário"/>
      </sharedItems>
    </cacheField>
    <cacheField name="AnoMes" numFmtId="14">
      <sharedItems containsSemiMixedTypes="0" containsNonDate="0" containsDate="1" containsString="0" minDate="2021-12-01T00:00:00" maxDate="2022-11-02T00:00:00" count="12"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  <d v="2022-11-01T00:00:00"/>
      </sharedItems>
    </cacheField>
    <cacheField name="D" numFmtId="40">
      <sharedItems containsSemiMixedTypes="0" containsString="0" containsNumber="1" containsInteger="1" minValue="-539" maxValue="28576"/>
    </cacheField>
    <cacheField name="Daj" numFmtId="40">
      <sharedItems containsSemiMixedTypes="0" containsString="0" containsNumber="1" minValue="-539" maxValue="28576"/>
    </cacheField>
    <cacheField name="TUSD_E" numFmtId="40">
      <sharedItems containsSemiMixedTypes="0" containsString="0" containsNumber="1" minValue="-487.476" maxValue="33206.495999999999"/>
    </cacheField>
    <cacheField name="TUSD_Eaj" numFmtId="40">
      <sharedItems containsSemiMixedTypes="0" containsString="0" containsNumber="1" minValue="-487.476" maxValue="33206.495999999999"/>
    </cacheField>
    <cacheField name="TE_E" numFmtId="40">
      <sharedItems containsSemiMixedTypes="0" containsString="0" containsNumber="1" minValue="-487.476" maxValue="33206.495999999999"/>
    </cacheField>
    <cacheField name="TE_Eaj" numFmtId="40">
      <sharedItems containsSemiMixedTypes="0" containsString="0" containsNumber="1" minValue="-487.476" maxValue="33206.495999999999"/>
    </cacheField>
    <cacheField name="UC" numFmtId="40">
      <sharedItems containsSemiMixedTypes="0" containsString="0" containsNumber="1" containsInteger="1" minValue="-230" maxValue="133989"/>
    </cacheField>
    <cacheField name="OPÇÃO" numFmtId="0">
      <sharedItems count="3">
        <s v="CATIVO"/>
        <s v="LIVRE"/>
        <s v="SUPRIMENTO"/>
      </sharedItems>
    </cacheField>
    <cacheField name="CóD. AUX." numFmtId="0">
      <sharedItems containsSemiMixedTypes="0" containsString="0" containsNumber="1" containsInteger="1" minValue="0" maxValue="7019"/>
    </cacheField>
    <cacheField name="CóD. AUX. TUSD R$/kW" numFmtId="40">
      <sharedItems containsSemiMixedTypes="0" containsString="0" containsNumber="1" containsInteger="1" minValue="0" maxValue="27"/>
    </cacheField>
    <cacheField name="CóD. AUX. TUSD R$/MWh" numFmtId="40">
      <sharedItems containsSemiMixedTypes="0" containsString="0" containsNumber="1" containsInteger="1" minValue="0" maxValue="69"/>
    </cacheField>
    <cacheField name="CóD. AUX. TE R$/MWh" numFmtId="40">
      <sharedItems containsSemiMixedTypes="0" containsString="0" containsNumber="1" containsInteger="1" minValue="0" maxValue="113"/>
    </cacheField>
    <cacheField name="TUSD (R$/kW)" numFmtId="40">
      <sharedItems containsSemiMixedTypes="0" containsString="0" containsNumber="1" minValue="0" maxValue="56.22"/>
    </cacheField>
    <cacheField name="TUSD (R$/MWh)" numFmtId="40">
      <sharedItems containsSemiMixedTypes="0" containsString="0" containsNumber="1" minValue="0" maxValue="1448.96"/>
    </cacheField>
    <cacheField name="TE (R$/MWh)" numFmtId="40">
      <sharedItems containsSemiMixedTypes="0" containsString="0" containsNumber="1" minValue="0" maxValue="270.3"/>
    </cacheField>
    <cacheField name="TUSD (R$/kW) NOVA" numFmtId="40">
      <sharedItems containsString="0" containsBlank="1" containsNumber="1" minValue="9.6075845340944266" maxValue="56.30075009771577"/>
    </cacheField>
    <cacheField name="TUSD (R$/MWh) NOVA" numFmtId="40">
      <sharedItems containsString="0" containsBlank="1" containsNumber="1" minValue="15.923920705156663" maxValue="1479.9458225851192"/>
    </cacheField>
    <cacheField name="TE (R$/MWh) NOVA" numFmtId="40">
      <sharedItems containsString="0" containsBlank="1" containsNumber="1" minValue="80.755470090026847" maxValue="362.70381368696184"/>
    </cacheField>
    <cacheField name="RA0 ou RV - TUSD (kW)" numFmtId="40">
      <sharedItems containsSemiMixedTypes="0" containsString="0" containsNumber="1" minValue="-30302.579999999998" maxValue="565804.80000000005"/>
    </cacheField>
    <cacheField name="RA0 ou RV - TUSD (MWh)" numFmtId="40">
      <sharedItems containsSemiMixedTypes="0" containsString="0" containsNumber="1" minValue="-212434.24118399998" maxValue="15394531.545600001"/>
    </cacheField>
    <cacheField name="RA0 ou RV - TE (MWh)" numFmtId="40">
      <sharedItems containsSemiMixedTypes="0" containsString="0" containsNumber="1" minValue="-80913.80135519999" maxValue="5863603.0636800006"/>
    </cacheField>
    <cacheField name="RA1 ou RRD - TUSD (kW)" numFmtId="40">
      <sharedItems containsSemiMixedTypes="0" containsString="0" containsNumber="1" minValue="-30346.104302668798" maxValue="589032.1293459218"/>
    </cacheField>
    <cacheField name="RA1 ou RRD - TUSD (MWh)" numFmtId="40">
      <sharedItems containsSemiMixedTypes="0" containsString="0" containsNumber="1" minValue="-237457.98438401727" maxValue="16675729.991245314"/>
    </cacheField>
    <cacheField name="RA1 ou RRD - TE (MWh)" numFmtId="40">
      <sharedItems containsSemiMixedTypes="0" containsString="0" containsNumber="1" minValue="-109101.03694707929" maxValue="7661731.9843502752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0">
  <r>
    <s v="Regular"/>
    <x v="0"/>
    <x v="0"/>
    <x v="0"/>
    <x v="0"/>
    <x v="0"/>
    <x v="0"/>
    <x v="0"/>
    <x v="0"/>
    <n v="0"/>
    <n v="0"/>
    <n v="0.68300000000000005"/>
    <n v="0.1366"/>
    <n v="0.68300000000000005"/>
    <n v="0.1366"/>
    <n v="0"/>
    <s v="CATIVO"/>
    <n v="0"/>
    <n v="0"/>
    <n v="14"/>
    <n v="72"/>
    <n v="0"/>
    <n v="84.31"/>
    <n v="168.06"/>
    <m/>
    <n v="113.43802162385306"/>
    <n v="218.7322873480222"/>
    <n v="0"/>
    <n v="137.89496800000001"/>
    <n v="0"/>
    <n v="181.49785682223262"/>
    <x v="0"/>
  </r>
  <r>
    <s v="Regular"/>
    <x v="0"/>
    <x v="0"/>
    <x v="0"/>
    <x v="0"/>
    <x v="0"/>
    <x v="0"/>
    <x v="0"/>
    <x v="1"/>
    <n v="0"/>
    <n v="0"/>
    <n v="1.639"/>
    <n v="0.32779999999999998"/>
    <n v="1.639"/>
    <n v="0.32779999999999998"/>
    <n v="0"/>
    <s v="CATIVO"/>
    <n v="0"/>
    <n v="0"/>
    <n v="14"/>
    <n v="72"/>
    <n v="0"/>
    <n v="84.31"/>
    <n v="168.06"/>
    <m/>
    <n v="113.43802162385306"/>
    <n v="218.7322873480222"/>
    <n v="0"/>
    <n v="330.90754399999997"/>
    <n v="0"/>
    <n v="435.54170912392283"/>
    <x v="0"/>
  </r>
  <r>
    <s v="Regular"/>
    <x v="0"/>
    <x v="0"/>
    <x v="0"/>
    <x v="0"/>
    <x v="0"/>
    <x v="0"/>
    <x v="0"/>
    <x v="2"/>
    <n v="0"/>
    <n v="0"/>
    <n v="1.837"/>
    <n v="0.3674"/>
    <n v="1.837"/>
    <n v="0.3674"/>
    <n v="0"/>
    <s v="CATIVO"/>
    <n v="0"/>
    <n v="0"/>
    <n v="14"/>
    <n v="72"/>
    <n v="0"/>
    <n v="84.31"/>
    <n v="168.06"/>
    <m/>
    <n v="113.43802162385306"/>
    <n v="218.7322873480222"/>
    <n v="0"/>
    <n v="370.88295199999999"/>
    <n v="0"/>
    <n v="488.15748606506787"/>
    <x v="0"/>
  </r>
  <r>
    <s v="Regular"/>
    <x v="0"/>
    <x v="0"/>
    <x v="0"/>
    <x v="0"/>
    <x v="0"/>
    <x v="0"/>
    <x v="0"/>
    <x v="3"/>
    <n v="0"/>
    <n v="0"/>
    <n v="0.99299999999999999"/>
    <n v="0.1986"/>
    <n v="0.99299999999999999"/>
    <n v="0.1986"/>
    <n v="0"/>
    <s v="CATIVO"/>
    <n v="0"/>
    <n v="0"/>
    <n v="14"/>
    <n v="72"/>
    <n v="0"/>
    <n v="84.31"/>
    <n v="168.06"/>
    <m/>
    <n v="113.43802162385306"/>
    <n v="218.7322873480222"/>
    <n v="0"/>
    <n v="200.48272800000001"/>
    <n v="0"/>
    <n v="263.87609344725769"/>
    <x v="0"/>
  </r>
  <r>
    <s v="Regular"/>
    <x v="0"/>
    <x v="0"/>
    <x v="0"/>
    <x v="0"/>
    <x v="0"/>
    <x v="0"/>
    <x v="0"/>
    <x v="4"/>
    <n v="0"/>
    <n v="0"/>
    <n v="1.141"/>
    <n v="0.22819999999999999"/>
    <n v="1.141"/>
    <n v="0.22819999999999999"/>
    <n v="0"/>
    <s v="CATIVO"/>
    <n v="0"/>
    <n v="0"/>
    <n v="14"/>
    <n v="72"/>
    <n v="0"/>
    <n v="84.31"/>
    <n v="168.06"/>
    <m/>
    <n v="113.43802162385306"/>
    <n v="218.7322873480222"/>
    <n v="0"/>
    <n v="230.363336"/>
    <n v="0"/>
    <n v="303.20505802952778"/>
    <x v="0"/>
  </r>
  <r>
    <s v="PROJETADO"/>
    <x v="0"/>
    <x v="0"/>
    <x v="0"/>
    <x v="0"/>
    <x v="0"/>
    <x v="0"/>
    <x v="0"/>
    <x v="5"/>
    <n v="0"/>
    <n v="0"/>
    <n v="1.141"/>
    <n v="0.22819999999999999"/>
    <n v="1.141"/>
    <n v="0.22819999999999999"/>
    <n v="0"/>
    <s v="CATIVO"/>
    <n v="0"/>
    <n v="0"/>
    <n v="14"/>
    <n v="72"/>
    <n v="0"/>
    <n v="84.31"/>
    <n v="168.06"/>
    <m/>
    <n v="113.43802162385306"/>
    <n v="218.7322873480222"/>
    <n v="0"/>
    <n v="230.363336"/>
    <n v="0"/>
    <n v="303.20505802952778"/>
    <x v="0"/>
  </r>
  <r>
    <s v="Regular"/>
    <x v="0"/>
    <x v="0"/>
    <x v="0"/>
    <x v="0"/>
    <x v="1"/>
    <x v="0"/>
    <x v="0"/>
    <x v="2"/>
    <n v="0"/>
    <n v="0"/>
    <n v="0.73499999999999999"/>
    <n v="0.73499999999999999"/>
    <n v="0.73499999999999999"/>
    <n v="0.73499999999999999"/>
    <n v="0"/>
    <s v="CATIVO"/>
    <n v="0"/>
    <n v="0"/>
    <n v="14"/>
    <n v="72"/>
    <n v="0"/>
    <n v="80.937600000000003"/>
    <n v="161.33760000000001"/>
    <m/>
    <n v="111.16926119137599"/>
    <n v="214.35764160106174"/>
    <n v="0"/>
    <n v="7.4196780000000002"/>
    <n v="0"/>
    <n v="4.8829035418865665"/>
    <x v="1"/>
  </r>
  <r>
    <s v="Regular"/>
    <x v="0"/>
    <x v="0"/>
    <x v="0"/>
    <x v="0"/>
    <x v="1"/>
    <x v="0"/>
    <x v="0"/>
    <x v="3"/>
    <n v="0"/>
    <n v="0"/>
    <n v="0.71299999999999997"/>
    <n v="0.71299999999999997"/>
    <n v="0.71299999999999997"/>
    <n v="0.71299999999999997"/>
    <n v="0"/>
    <s v="CATIVO"/>
    <n v="0"/>
    <n v="0"/>
    <n v="14"/>
    <n v="72"/>
    <n v="0"/>
    <n v="80.937600000000003"/>
    <n v="161.33760000000001"/>
    <m/>
    <n v="111.16926119137599"/>
    <n v="214.35764160106174"/>
    <n v="0"/>
    <n v="7.1975924000000004"/>
    <n v="0"/>
    <n v="4.7367486059389412"/>
    <x v="1"/>
  </r>
  <r>
    <s v="Regular"/>
    <x v="0"/>
    <x v="0"/>
    <x v="0"/>
    <x v="0"/>
    <x v="1"/>
    <x v="0"/>
    <x v="0"/>
    <x v="4"/>
    <n v="0"/>
    <n v="0"/>
    <n v="0.50800000000000001"/>
    <n v="0.50800000000000001"/>
    <n v="0.50800000000000001"/>
    <n v="0.50800000000000001"/>
    <n v="0"/>
    <s v="CATIVO"/>
    <n v="0"/>
    <n v="0"/>
    <n v="14"/>
    <n v="72"/>
    <n v="0"/>
    <n v="80.937600000000003"/>
    <n v="161.33760000000001"/>
    <m/>
    <n v="111.16926119137599"/>
    <n v="214.35764160106174"/>
    <n v="0"/>
    <n v="5.1281584000000002"/>
    <n v="0"/>
    <n v="3.3748503391542526"/>
    <x v="1"/>
  </r>
  <r>
    <s v="PROJETADO"/>
    <x v="0"/>
    <x v="0"/>
    <x v="0"/>
    <x v="0"/>
    <x v="1"/>
    <x v="0"/>
    <x v="0"/>
    <x v="5"/>
    <n v="0"/>
    <n v="0"/>
    <n v="0.50800000000000001"/>
    <n v="0.50800000000000001"/>
    <n v="0.50800000000000001"/>
    <n v="0.50800000000000001"/>
    <n v="0"/>
    <s v="CATIVO"/>
    <n v="0"/>
    <n v="0"/>
    <n v="14"/>
    <n v="72"/>
    <n v="0"/>
    <n v="80.937600000000003"/>
    <n v="161.33760000000001"/>
    <m/>
    <n v="111.16926119137599"/>
    <n v="214.35764160106174"/>
    <n v="0"/>
    <n v="5.1281584000000002"/>
    <n v="0"/>
    <n v="3.3748503391542526"/>
    <x v="1"/>
  </r>
  <r>
    <s v="Regular"/>
    <x v="0"/>
    <x v="0"/>
    <x v="0"/>
    <x v="0"/>
    <x v="1"/>
    <x v="0"/>
    <x v="1"/>
    <x v="0"/>
    <n v="15"/>
    <n v="15"/>
    <n v="0"/>
    <n v="0"/>
    <n v="0"/>
    <n v="0"/>
    <n v="1"/>
    <s v="CATIVO"/>
    <n v="0"/>
    <n v="12"/>
    <n v="0"/>
    <n v="0"/>
    <n v="19.007999999999999"/>
    <n v="0"/>
    <n v="0"/>
    <n v="20.200569945373857"/>
    <m/>
    <m/>
    <n v="11.88"/>
    <n v="0"/>
    <n v="6.1838479424613855"/>
    <n v="0"/>
    <x v="1"/>
  </r>
  <r>
    <s v="Regular"/>
    <x v="0"/>
    <x v="0"/>
    <x v="0"/>
    <x v="0"/>
    <x v="1"/>
    <x v="0"/>
    <x v="1"/>
    <x v="1"/>
    <n v="15"/>
    <n v="15"/>
    <n v="0"/>
    <n v="0"/>
    <n v="0"/>
    <n v="0"/>
    <n v="1"/>
    <s v="CATIVO"/>
    <n v="0"/>
    <n v="12"/>
    <n v="0"/>
    <n v="0"/>
    <n v="19.007999999999999"/>
    <n v="0"/>
    <n v="0"/>
    <n v="20.200569945373857"/>
    <m/>
    <m/>
    <n v="11.88"/>
    <n v="0"/>
    <n v="6.1838479424613855"/>
    <n v="0"/>
    <x v="1"/>
  </r>
  <r>
    <s v="Regular"/>
    <x v="0"/>
    <x v="0"/>
    <x v="0"/>
    <x v="0"/>
    <x v="1"/>
    <x v="0"/>
    <x v="1"/>
    <x v="2"/>
    <n v="15"/>
    <n v="15"/>
    <n v="0"/>
    <n v="0"/>
    <n v="0"/>
    <n v="0"/>
    <n v="1"/>
    <s v="CATIVO"/>
    <n v="0"/>
    <n v="12"/>
    <n v="0"/>
    <n v="0"/>
    <n v="19.007999999999999"/>
    <n v="0"/>
    <n v="0"/>
    <n v="20.200569945373857"/>
    <m/>
    <m/>
    <n v="11.88"/>
    <n v="0"/>
    <n v="6.1838479424613855"/>
    <n v="0"/>
    <x v="1"/>
  </r>
  <r>
    <s v="Regular"/>
    <x v="0"/>
    <x v="0"/>
    <x v="0"/>
    <x v="0"/>
    <x v="1"/>
    <x v="0"/>
    <x v="1"/>
    <x v="3"/>
    <n v="14"/>
    <n v="14"/>
    <n v="0"/>
    <n v="0"/>
    <n v="0"/>
    <n v="0"/>
    <n v="1"/>
    <s v="CATIVO"/>
    <n v="0"/>
    <n v="12"/>
    <n v="0"/>
    <n v="0"/>
    <n v="19.007999999999999"/>
    <n v="0"/>
    <n v="0"/>
    <n v="20.200569945373857"/>
    <m/>
    <m/>
    <n v="11.088000000000001"/>
    <n v="0"/>
    <n v="5.7715914129639598"/>
    <n v="0"/>
    <x v="1"/>
  </r>
  <r>
    <s v="Regular"/>
    <x v="0"/>
    <x v="0"/>
    <x v="0"/>
    <x v="0"/>
    <x v="1"/>
    <x v="0"/>
    <x v="1"/>
    <x v="4"/>
    <n v="14"/>
    <n v="14"/>
    <n v="0"/>
    <n v="0"/>
    <n v="0"/>
    <n v="0"/>
    <n v="1"/>
    <s v="CATIVO"/>
    <n v="0"/>
    <n v="12"/>
    <n v="0"/>
    <n v="0"/>
    <n v="19.007999999999999"/>
    <n v="0"/>
    <n v="0"/>
    <n v="20.200569945373857"/>
    <m/>
    <m/>
    <n v="11.088000000000001"/>
    <n v="0"/>
    <n v="5.7715914129639598"/>
    <n v="0"/>
    <x v="1"/>
  </r>
  <r>
    <s v="PROJETADO"/>
    <x v="0"/>
    <x v="0"/>
    <x v="0"/>
    <x v="0"/>
    <x v="1"/>
    <x v="0"/>
    <x v="1"/>
    <x v="5"/>
    <n v="14"/>
    <n v="14"/>
    <n v="0"/>
    <n v="0"/>
    <n v="0"/>
    <n v="0"/>
    <n v="1"/>
    <s v="CATIVO"/>
    <n v="0"/>
    <n v="12"/>
    <n v="0"/>
    <n v="0"/>
    <n v="19.007999999999999"/>
    <n v="0"/>
    <n v="0"/>
    <n v="20.200569945373857"/>
    <m/>
    <m/>
    <n v="11.088000000000001"/>
    <n v="0"/>
    <n v="5.7715914129639598"/>
    <n v="0"/>
    <x v="1"/>
  </r>
  <r>
    <s v="Regular"/>
    <x v="0"/>
    <x v="0"/>
    <x v="0"/>
    <x v="0"/>
    <x v="1"/>
    <x v="0"/>
    <x v="2"/>
    <x v="0"/>
    <n v="0"/>
    <n v="0"/>
    <n v="6.0000000000000001E-3"/>
    <n v="6.0000000000000001E-3"/>
    <n v="6.0000000000000001E-3"/>
    <n v="6.0000000000000001E-3"/>
    <n v="0"/>
    <s v="CATIVO"/>
    <n v="0"/>
    <n v="0"/>
    <n v="13"/>
    <n v="71"/>
    <n v="0"/>
    <n v="1391.0016000000001"/>
    <n v="259.488"/>
    <m/>
    <n v="1450.3469061334167"/>
    <n v="355.44973741322258"/>
    <n v="0"/>
    <n v="0.41262240000000006"/>
    <n v="0"/>
    <n v="0.22111795635264975"/>
    <x v="1"/>
  </r>
  <r>
    <s v="Regular"/>
    <x v="0"/>
    <x v="0"/>
    <x v="0"/>
    <x v="0"/>
    <x v="1"/>
    <x v="0"/>
    <x v="2"/>
    <x v="1"/>
    <n v="0"/>
    <n v="0"/>
    <n v="7.0000000000000001E-3"/>
    <n v="7.0000000000000001E-3"/>
    <n v="7.0000000000000001E-3"/>
    <n v="7.0000000000000001E-3"/>
    <n v="0"/>
    <s v="CATIVO"/>
    <n v="0"/>
    <n v="0"/>
    <n v="13"/>
    <n v="71"/>
    <n v="0"/>
    <n v="1391.0016000000001"/>
    <n v="259.488"/>
    <m/>
    <n v="1450.3469061334167"/>
    <n v="355.44973741322258"/>
    <n v="0"/>
    <n v="0.48139280000000012"/>
    <n v="0"/>
    <n v="0.25797094907809143"/>
    <x v="1"/>
  </r>
  <r>
    <s v="Regular"/>
    <x v="0"/>
    <x v="0"/>
    <x v="0"/>
    <x v="0"/>
    <x v="1"/>
    <x v="0"/>
    <x v="2"/>
    <x v="2"/>
    <n v="0"/>
    <n v="0"/>
    <n v="1.2E-2"/>
    <n v="1.2E-2"/>
    <n v="1.2E-2"/>
    <n v="1.2E-2"/>
    <n v="0"/>
    <s v="CATIVO"/>
    <n v="0"/>
    <n v="0"/>
    <n v="13"/>
    <n v="71"/>
    <n v="0"/>
    <n v="1391.0016000000001"/>
    <n v="259.488"/>
    <m/>
    <n v="1450.3469061334167"/>
    <n v="355.44973741322258"/>
    <n v="0"/>
    <n v="0.82524480000000011"/>
    <n v="0"/>
    <n v="0.44223591270529949"/>
    <x v="1"/>
  </r>
  <r>
    <s v="Regular"/>
    <x v="0"/>
    <x v="0"/>
    <x v="0"/>
    <x v="0"/>
    <x v="1"/>
    <x v="0"/>
    <x v="2"/>
    <x v="3"/>
    <n v="0"/>
    <n v="0"/>
    <n v="1.2E-2"/>
    <n v="1.2E-2"/>
    <n v="1.2E-2"/>
    <n v="1.2E-2"/>
    <n v="0"/>
    <s v="CATIVO"/>
    <n v="0"/>
    <n v="0"/>
    <n v="13"/>
    <n v="71"/>
    <n v="0"/>
    <n v="1391.0016000000001"/>
    <n v="259.488"/>
    <m/>
    <n v="1450.3469061334167"/>
    <n v="355.44973741322258"/>
    <n v="0"/>
    <n v="0.82524480000000011"/>
    <n v="0"/>
    <n v="0.44223591270529949"/>
    <x v="1"/>
  </r>
  <r>
    <s v="Regular"/>
    <x v="0"/>
    <x v="0"/>
    <x v="0"/>
    <x v="0"/>
    <x v="1"/>
    <x v="0"/>
    <x v="2"/>
    <x v="4"/>
    <n v="0"/>
    <n v="0"/>
    <n v="8.0000000000000002E-3"/>
    <n v="8.0000000000000002E-3"/>
    <n v="8.0000000000000002E-3"/>
    <n v="8.0000000000000002E-3"/>
    <n v="0"/>
    <s v="CATIVO"/>
    <n v="0"/>
    <n v="0"/>
    <n v="13"/>
    <n v="71"/>
    <n v="0"/>
    <n v="1391.0016000000001"/>
    <n v="259.488"/>
    <m/>
    <n v="1450.3469061334167"/>
    <n v="355.44973741322258"/>
    <n v="0"/>
    <n v="0.55016320000000007"/>
    <n v="0"/>
    <n v="0.29482394180353294"/>
    <x v="1"/>
  </r>
  <r>
    <s v="PROJETADO"/>
    <x v="0"/>
    <x v="0"/>
    <x v="0"/>
    <x v="0"/>
    <x v="1"/>
    <x v="0"/>
    <x v="2"/>
    <x v="5"/>
    <n v="0"/>
    <n v="0"/>
    <n v="8.0000000000000002E-3"/>
    <n v="8.0000000000000002E-3"/>
    <n v="8.0000000000000002E-3"/>
    <n v="8.0000000000000002E-3"/>
    <n v="0"/>
    <s v="CATIVO"/>
    <n v="0"/>
    <n v="0"/>
    <n v="13"/>
    <n v="71"/>
    <n v="0"/>
    <n v="1391.0016000000001"/>
    <n v="259.488"/>
    <m/>
    <n v="1450.3469061334167"/>
    <n v="355.44973741322258"/>
    <n v="0"/>
    <n v="0.55016320000000007"/>
    <n v="0"/>
    <n v="0.29482394180353294"/>
    <x v="1"/>
  </r>
  <r>
    <s v="Regular"/>
    <x v="0"/>
    <x v="0"/>
    <x v="0"/>
    <x v="1"/>
    <x v="1"/>
    <x v="0"/>
    <x v="0"/>
    <x v="6"/>
    <n v="0"/>
    <n v="0"/>
    <n v="7.3620000000000001"/>
    <n v="7.3620000000000001"/>
    <n v="7.3620000000000001"/>
    <n v="7.3620000000000001"/>
    <n v="0"/>
    <s v="CATIVO"/>
    <n v="0"/>
    <n v="0"/>
    <n v="14"/>
    <n v="72"/>
    <n v="0"/>
    <n v="80.937600000000003"/>
    <n v="161.33760000000001"/>
    <m/>
    <n v="111.16926119137599"/>
    <n v="214.35764160106174"/>
    <n v="0"/>
    <n v="74.317917600000015"/>
    <n v="0"/>
    <n v="48.908756293018918"/>
    <x v="1"/>
  </r>
  <r>
    <s v="Regular"/>
    <x v="0"/>
    <x v="0"/>
    <x v="0"/>
    <x v="1"/>
    <x v="1"/>
    <x v="0"/>
    <x v="0"/>
    <x v="7"/>
    <n v="0"/>
    <n v="0"/>
    <n v="7.01"/>
    <n v="7.01"/>
    <n v="7.01"/>
    <n v="7.01"/>
    <n v="0"/>
    <s v="CATIVO"/>
    <n v="0"/>
    <n v="0"/>
    <n v="14"/>
    <n v="72"/>
    <n v="0"/>
    <n v="80.937600000000003"/>
    <n v="161.33760000000001"/>
    <m/>
    <n v="111.16926119137599"/>
    <n v="214.35764160106174"/>
    <n v="0"/>
    <n v="70.764548000000005"/>
    <n v="0"/>
    <n v="46.570277317856913"/>
    <x v="1"/>
  </r>
  <r>
    <s v="Regular"/>
    <x v="0"/>
    <x v="0"/>
    <x v="0"/>
    <x v="1"/>
    <x v="1"/>
    <x v="0"/>
    <x v="0"/>
    <x v="8"/>
    <n v="0"/>
    <n v="0"/>
    <n v="16.87"/>
    <n v="16.87"/>
    <n v="16.87"/>
    <n v="16.87"/>
    <n v="0"/>
    <s v="CATIVO"/>
    <n v="0"/>
    <n v="0"/>
    <n v="14"/>
    <n v="72"/>
    <n v="0"/>
    <n v="80.937600000000003"/>
    <n v="161.33760000000001"/>
    <m/>
    <n v="111.16926119137599"/>
    <n v="214.35764160106174"/>
    <n v="0"/>
    <n v="170.29927600000002"/>
    <n v="0"/>
    <n v="112.07426224711071"/>
    <x v="1"/>
  </r>
  <r>
    <s v="Regular"/>
    <x v="0"/>
    <x v="0"/>
    <x v="0"/>
    <x v="1"/>
    <x v="1"/>
    <x v="0"/>
    <x v="0"/>
    <x v="0"/>
    <n v="0"/>
    <n v="0"/>
    <n v="9.4410000000000007"/>
    <n v="9.4410000000000007"/>
    <n v="9.4410000000000007"/>
    <n v="9.4410000000000007"/>
    <n v="0"/>
    <s v="CATIVO"/>
    <n v="0"/>
    <n v="0"/>
    <n v="14"/>
    <n v="72"/>
    <n v="0"/>
    <n v="80.937600000000003"/>
    <n v="161.33760000000001"/>
    <m/>
    <n v="111.16926119137599"/>
    <n v="214.35764160106174"/>
    <n v="0"/>
    <n v="95.305006800000001"/>
    <n v="0"/>
    <n v="62.720397740069501"/>
    <x v="1"/>
  </r>
  <r>
    <s v="Regular"/>
    <x v="0"/>
    <x v="0"/>
    <x v="0"/>
    <x v="1"/>
    <x v="1"/>
    <x v="0"/>
    <x v="0"/>
    <x v="1"/>
    <n v="0"/>
    <n v="0"/>
    <n v="8.7940000000000005"/>
    <n v="8.7940000000000005"/>
    <n v="8.7940000000000005"/>
    <n v="8.7940000000000005"/>
    <n v="0"/>
    <s v="CATIVO"/>
    <n v="0"/>
    <n v="0"/>
    <n v="14"/>
    <n v="72"/>
    <n v="0"/>
    <n v="80.937600000000003"/>
    <n v="161.33760000000001"/>
    <m/>
    <n v="111.16926119137599"/>
    <n v="214.35764160106174"/>
    <n v="0"/>
    <n v="88.77367120000001"/>
    <n v="0"/>
    <n v="58.422113941973429"/>
    <x v="1"/>
  </r>
  <r>
    <s v="Regular"/>
    <x v="0"/>
    <x v="0"/>
    <x v="0"/>
    <x v="1"/>
    <x v="1"/>
    <x v="0"/>
    <x v="0"/>
    <x v="2"/>
    <n v="0"/>
    <n v="0"/>
    <n v="3.9180000000000001"/>
    <n v="3.9180000000000001"/>
    <n v="3.9180000000000001"/>
    <n v="3.9180000000000001"/>
    <n v="0"/>
    <s v="CATIVO"/>
    <n v="0"/>
    <n v="0"/>
    <n v="14"/>
    <n v="72"/>
    <n v="0"/>
    <n v="80.937600000000003"/>
    <n v="161.33760000000001"/>
    <m/>
    <n v="111.16926119137599"/>
    <n v="214.35764160106174"/>
    <n v="0"/>
    <n v="39.551426400000011"/>
    <n v="0"/>
    <n v="26.028865411036147"/>
    <x v="1"/>
  </r>
  <r>
    <s v="Regular"/>
    <x v="0"/>
    <x v="0"/>
    <x v="0"/>
    <x v="1"/>
    <x v="1"/>
    <x v="0"/>
    <x v="0"/>
    <x v="3"/>
    <n v="0"/>
    <n v="0"/>
    <n v="6.423"/>
    <n v="6.423"/>
    <n v="6.423"/>
    <n v="6.423"/>
    <n v="0"/>
    <s v="CATIVO"/>
    <n v="0"/>
    <n v="0"/>
    <n v="14"/>
    <n v="72"/>
    <n v="0"/>
    <n v="80.937600000000003"/>
    <n v="161.33760000000001"/>
    <m/>
    <n v="111.16926119137599"/>
    <n v="214.35764160106174"/>
    <n v="0"/>
    <n v="64.8389004"/>
    <n v="0"/>
    <n v="42.670597890527098"/>
    <x v="1"/>
  </r>
  <r>
    <s v="Regular"/>
    <x v="0"/>
    <x v="0"/>
    <x v="0"/>
    <x v="1"/>
    <x v="1"/>
    <x v="0"/>
    <x v="0"/>
    <x v="4"/>
    <n v="0"/>
    <n v="0"/>
    <n v="4.0030000000000001"/>
    <n v="4.0030000000000001"/>
    <n v="4.0030000000000001"/>
    <n v="4.0030000000000001"/>
    <n v="0"/>
    <s v="CATIVO"/>
    <n v="0"/>
    <n v="0"/>
    <n v="14"/>
    <n v="72"/>
    <n v="0"/>
    <n v="80.937600000000003"/>
    <n v="161.33760000000001"/>
    <m/>
    <n v="111.16926119137599"/>
    <n v="214.35764160106174"/>
    <n v="0"/>
    <n v="40.409484400000011"/>
    <n v="0"/>
    <n v="26.593554936288331"/>
    <x v="1"/>
  </r>
  <r>
    <s v="PROJETADO"/>
    <x v="0"/>
    <x v="0"/>
    <x v="0"/>
    <x v="1"/>
    <x v="1"/>
    <x v="0"/>
    <x v="0"/>
    <x v="5"/>
    <n v="0"/>
    <n v="0"/>
    <n v="4.0030000000000001"/>
    <n v="4.0030000000000001"/>
    <n v="4.0030000000000001"/>
    <n v="4.0030000000000001"/>
    <n v="0"/>
    <s v="CATIVO"/>
    <n v="0"/>
    <n v="0"/>
    <n v="14"/>
    <n v="72"/>
    <n v="0"/>
    <n v="80.937600000000003"/>
    <n v="161.33760000000001"/>
    <m/>
    <n v="111.16926119137599"/>
    <n v="214.35764160106174"/>
    <n v="0"/>
    <n v="40.409484400000011"/>
    <n v="0"/>
    <n v="26.593554936288331"/>
    <x v="1"/>
  </r>
  <r>
    <s v="Regular"/>
    <x v="0"/>
    <x v="0"/>
    <x v="0"/>
    <x v="1"/>
    <x v="1"/>
    <x v="0"/>
    <x v="1"/>
    <x v="6"/>
    <n v="108"/>
    <n v="108"/>
    <n v="0"/>
    <n v="0"/>
    <n v="0"/>
    <n v="0"/>
    <n v="1"/>
    <s v="CATIVO"/>
    <n v="0"/>
    <n v="12"/>
    <n v="0"/>
    <n v="0"/>
    <n v="19.007999999999999"/>
    <n v="0"/>
    <n v="0"/>
    <n v="20.200569945373857"/>
    <m/>
    <m/>
    <n v="85.536000000000001"/>
    <n v="0"/>
    <n v="44.523705185721973"/>
    <n v="0"/>
    <x v="1"/>
  </r>
  <r>
    <s v="Regular"/>
    <x v="0"/>
    <x v="0"/>
    <x v="0"/>
    <x v="1"/>
    <x v="1"/>
    <x v="0"/>
    <x v="1"/>
    <x v="7"/>
    <n v="160"/>
    <n v="160"/>
    <n v="0"/>
    <n v="0"/>
    <n v="0"/>
    <n v="0"/>
    <n v="2"/>
    <s v="CATIVO"/>
    <n v="0"/>
    <n v="12"/>
    <n v="0"/>
    <n v="0"/>
    <n v="19.007999999999999"/>
    <n v="0"/>
    <n v="0"/>
    <n v="20.200569945373857"/>
    <m/>
    <m/>
    <n v="126.72"/>
    <n v="0"/>
    <n v="65.961044719588102"/>
    <n v="0"/>
    <x v="1"/>
  </r>
  <r>
    <s v="Regular"/>
    <x v="0"/>
    <x v="0"/>
    <x v="0"/>
    <x v="1"/>
    <x v="1"/>
    <x v="0"/>
    <x v="1"/>
    <x v="8"/>
    <n v="173"/>
    <n v="173"/>
    <n v="0"/>
    <n v="0"/>
    <n v="0"/>
    <n v="0"/>
    <n v="2"/>
    <s v="CATIVO"/>
    <n v="0"/>
    <n v="12"/>
    <n v="0"/>
    <n v="0"/>
    <n v="19.007999999999999"/>
    <n v="0"/>
    <n v="0"/>
    <n v="20.200569945373857"/>
    <m/>
    <m/>
    <n v="137.01599999999999"/>
    <n v="0"/>
    <n v="71.320379603054647"/>
    <n v="0"/>
    <x v="1"/>
  </r>
  <r>
    <s v="Regular"/>
    <x v="0"/>
    <x v="0"/>
    <x v="0"/>
    <x v="1"/>
    <x v="1"/>
    <x v="0"/>
    <x v="1"/>
    <x v="0"/>
    <n v="186"/>
    <n v="186"/>
    <n v="0"/>
    <n v="0"/>
    <n v="0"/>
    <n v="0"/>
    <n v="2"/>
    <s v="CATIVO"/>
    <n v="0"/>
    <n v="12"/>
    <n v="0"/>
    <n v="0"/>
    <n v="19.007999999999999"/>
    <n v="0"/>
    <n v="0"/>
    <n v="20.200569945373857"/>
    <m/>
    <m/>
    <n v="147.31200000000001"/>
    <n v="0"/>
    <n v="76.679714486521192"/>
    <n v="0"/>
    <x v="1"/>
  </r>
  <r>
    <s v="Regular"/>
    <x v="0"/>
    <x v="0"/>
    <x v="0"/>
    <x v="1"/>
    <x v="1"/>
    <x v="0"/>
    <x v="1"/>
    <x v="1"/>
    <n v="138"/>
    <n v="138"/>
    <n v="0"/>
    <n v="0"/>
    <n v="0"/>
    <n v="0"/>
    <n v="2"/>
    <s v="CATIVO"/>
    <n v="0"/>
    <n v="12"/>
    <n v="0"/>
    <n v="0"/>
    <n v="19.007999999999999"/>
    <n v="0"/>
    <n v="0"/>
    <n v="20.200569945373857"/>
    <m/>
    <m/>
    <n v="109.29600000000001"/>
    <n v="0"/>
    <n v="56.89140107064474"/>
    <n v="0"/>
    <x v="1"/>
  </r>
  <r>
    <s v="Regular"/>
    <x v="0"/>
    <x v="0"/>
    <x v="0"/>
    <x v="1"/>
    <x v="1"/>
    <x v="0"/>
    <x v="1"/>
    <x v="2"/>
    <n v="37"/>
    <n v="37"/>
    <n v="0"/>
    <n v="0"/>
    <n v="0"/>
    <n v="0"/>
    <n v="2"/>
    <s v="CATIVO"/>
    <n v="0"/>
    <n v="12"/>
    <n v="0"/>
    <n v="0"/>
    <n v="19.007999999999999"/>
    <n v="0"/>
    <n v="0"/>
    <n v="20.200569945373857"/>
    <m/>
    <m/>
    <n v="29.303999999999998"/>
    <n v="0"/>
    <n v="15.25349159140475"/>
    <n v="0"/>
    <x v="1"/>
  </r>
  <r>
    <s v="Regular"/>
    <x v="0"/>
    <x v="0"/>
    <x v="0"/>
    <x v="1"/>
    <x v="1"/>
    <x v="0"/>
    <x v="1"/>
    <x v="3"/>
    <n v="170"/>
    <n v="170"/>
    <n v="0"/>
    <n v="0"/>
    <n v="0"/>
    <n v="0"/>
    <n v="2"/>
    <s v="CATIVO"/>
    <n v="0"/>
    <n v="12"/>
    <n v="0"/>
    <n v="0"/>
    <n v="19.007999999999999"/>
    <n v="0"/>
    <n v="0"/>
    <n v="20.200569945373857"/>
    <m/>
    <m/>
    <n v="134.63999999999999"/>
    <n v="0"/>
    <n v="70.083610014562353"/>
    <n v="0"/>
    <x v="1"/>
  </r>
  <r>
    <s v="Regular"/>
    <x v="0"/>
    <x v="0"/>
    <x v="0"/>
    <x v="1"/>
    <x v="1"/>
    <x v="0"/>
    <x v="1"/>
    <x v="4"/>
    <n v="85"/>
    <n v="85"/>
    <n v="0"/>
    <n v="0"/>
    <n v="0"/>
    <n v="0"/>
    <n v="2"/>
    <s v="CATIVO"/>
    <n v="0"/>
    <n v="12"/>
    <n v="0"/>
    <n v="0"/>
    <n v="19.007999999999999"/>
    <n v="0"/>
    <n v="0"/>
    <n v="20.200569945373857"/>
    <m/>
    <m/>
    <n v="67.319999999999993"/>
    <n v="0"/>
    <n v="35.041805007281177"/>
    <n v="0"/>
    <x v="1"/>
  </r>
  <r>
    <s v="PROJETADO"/>
    <x v="0"/>
    <x v="0"/>
    <x v="0"/>
    <x v="1"/>
    <x v="1"/>
    <x v="0"/>
    <x v="1"/>
    <x v="5"/>
    <n v="85"/>
    <n v="85"/>
    <n v="0"/>
    <n v="0"/>
    <n v="0"/>
    <n v="0"/>
    <n v="2"/>
    <s v="CATIVO"/>
    <n v="0"/>
    <n v="12"/>
    <n v="0"/>
    <n v="0"/>
    <n v="19.007999999999999"/>
    <n v="0"/>
    <n v="0"/>
    <n v="20.200569945373857"/>
    <m/>
    <m/>
    <n v="67.319999999999993"/>
    <n v="0"/>
    <n v="35.041805007281177"/>
    <n v="0"/>
    <x v="1"/>
  </r>
  <r>
    <s v="Regular"/>
    <x v="0"/>
    <x v="0"/>
    <x v="0"/>
    <x v="1"/>
    <x v="1"/>
    <x v="0"/>
    <x v="2"/>
    <x v="6"/>
    <n v="0"/>
    <n v="0"/>
    <n v="1.2589999999999999"/>
    <n v="1.2589999999999999"/>
    <n v="1.2589999999999999"/>
    <n v="1.2589999999999999"/>
    <n v="0"/>
    <s v="CATIVO"/>
    <n v="0"/>
    <n v="0"/>
    <n v="13"/>
    <n v="71"/>
    <n v="0"/>
    <n v="1391.0016000000001"/>
    <n v="259.488"/>
    <m/>
    <n v="1450.3469061334167"/>
    <n v="355.44973741322258"/>
    <n v="0"/>
    <n v="86.581933599999999"/>
    <n v="0"/>
    <n v="46.397917841331001"/>
    <x v="1"/>
  </r>
  <r>
    <s v="Regular"/>
    <x v="0"/>
    <x v="0"/>
    <x v="0"/>
    <x v="1"/>
    <x v="1"/>
    <x v="0"/>
    <x v="2"/>
    <x v="7"/>
    <n v="0"/>
    <n v="0"/>
    <n v="0.70099999999999996"/>
    <n v="0.70099999999999996"/>
    <n v="0.70099999999999996"/>
    <n v="0.70099999999999996"/>
    <n v="0"/>
    <s v="CATIVO"/>
    <n v="0"/>
    <n v="0"/>
    <n v="13"/>
    <n v="71"/>
    <n v="0"/>
    <n v="1391.0016000000001"/>
    <n v="259.488"/>
    <m/>
    <n v="1450.3469061334167"/>
    <n v="355.44973741322258"/>
    <n v="0"/>
    <n v="48.208050400000005"/>
    <n v="0"/>
    <n v="25.833947900534568"/>
    <x v="1"/>
  </r>
  <r>
    <s v="Regular"/>
    <x v="0"/>
    <x v="0"/>
    <x v="0"/>
    <x v="1"/>
    <x v="1"/>
    <x v="0"/>
    <x v="2"/>
    <x v="8"/>
    <n v="0"/>
    <n v="0"/>
    <n v="2.1110000000000002"/>
    <n v="2.1110000000000002"/>
    <n v="2.1110000000000002"/>
    <n v="2.1110000000000002"/>
    <n v="0"/>
    <s v="CATIVO"/>
    <n v="0"/>
    <n v="0"/>
    <n v="13"/>
    <n v="71"/>
    <n v="0"/>
    <n v="1391.0016000000001"/>
    <n v="259.488"/>
    <m/>
    <n v="1450.3469061334167"/>
    <n v="355.44973741322258"/>
    <n v="0"/>
    <n v="145.17431440000001"/>
    <n v="0"/>
    <n v="77.796667643407261"/>
    <x v="1"/>
  </r>
  <r>
    <s v="Regular"/>
    <x v="0"/>
    <x v="0"/>
    <x v="0"/>
    <x v="1"/>
    <x v="1"/>
    <x v="0"/>
    <x v="2"/>
    <x v="0"/>
    <n v="0"/>
    <n v="0"/>
    <n v="1.43"/>
    <n v="1.43"/>
    <n v="1.43"/>
    <n v="1.43"/>
    <n v="0"/>
    <s v="CATIVO"/>
    <n v="0"/>
    <n v="0"/>
    <n v="13"/>
    <n v="71"/>
    <n v="0"/>
    <n v="1391.0016000000001"/>
    <n v="259.488"/>
    <m/>
    <n v="1450.3469061334167"/>
    <n v="355.44973741322258"/>
    <n v="0"/>
    <n v="98.341672000000003"/>
    <n v="0"/>
    <n v="52.699779597381514"/>
    <x v="1"/>
  </r>
  <r>
    <s v="Regular"/>
    <x v="0"/>
    <x v="0"/>
    <x v="0"/>
    <x v="1"/>
    <x v="1"/>
    <x v="0"/>
    <x v="2"/>
    <x v="1"/>
    <n v="0"/>
    <n v="0"/>
    <n v="1.331"/>
    <n v="1.331"/>
    <n v="1.331"/>
    <n v="1.331"/>
    <n v="0"/>
    <s v="CATIVO"/>
    <n v="0"/>
    <n v="0"/>
    <n v="13"/>
    <n v="71"/>
    <n v="0"/>
    <n v="1391.0016000000001"/>
    <n v="259.488"/>
    <m/>
    <n v="1450.3469061334167"/>
    <n v="355.44973741322258"/>
    <n v="0"/>
    <n v="91.5334024"/>
    <n v="0"/>
    <n v="49.051333317562793"/>
    <x v="1"/>
  </r>
  <r>
    <s v="Regular"/>
    <x v="0"/>
    <x v="0"/>
    <x v="0"/>
    <x v="1"/>
    <x v="1"/>
    <x v="0"/>
    <x v="2"/>
    <x v="2"/>
    <n v="0"/>
    <n v="0"/>
    <n v="0.73199999999999998"/>
    <n v="0.73199999999999998"/>
    <n v="0.73199999999999998"/>
    <n v="0.73199999999999998"/>
    <n v="0"/>
    <s v="CATIVO"/>
    <n v="0"/>
    <n v="0"/>
    <n v="13"/>
    <n v="71"/>
    <n v="0"/>
    <n v="1391.0016000000001"/>
    <n v="259.488"/>
    <m/>
    <n v="1450.3469061334167"/>
    <n v="355.44973741322258"/>
    <n v="0"/>
    <n v="50.339932800000007"/>
    <n v="0"/>
    <n v="26.976390675023264"/>
    <x v="1"/>
  </r>
  <r>
    <s v="Regular"/>
    <x v="0"/>
    <x v="0"/>
    <x v="0"/>
    <x v="1"/>
    <x v="1"/>
    <x v="0"/>
    <x v="2"/>
    <x v="3"/>
    <n v="0"/>
    <n v="0"/>
    <n v="0.79300000000000004"/>
    <n v="0.79300000000000004"/>
    <n v="0.79300000000000004"/>
    <n v="0.79300000000000004"/>
    <n v="0"/>
    <s v="CATIVO"/>
    <n v="0"/>
    <n v="0"/>
    <n v="13"/>
    <n v="71"/>
    <n v="0"/>
    <n v="1391.0016000000001"/>
    <n v="259.488"/>
    <m/>
    <n v="1450.3469061334167"/>
    <n v="355.44973741322258"/>
    <n v="0"/>
    <n v="54.534927200000006"/>
    <n v="0"/>
    <n v="29.224423231275207"/>
    <x v="1"/>
  </r>
  <r>
    <s v="Regular"/>
    <x v="0"/>
    <x v="0"/>
    <x v="0"/>
    <x v="1"/>
    <x v="1"/>
    <x v="0"/>
    <x v="2"/>
    <x v="4"/>
    <n v="0"/>
    <n v="0"/>
    <n v="0.61499999999999999"/>
    <n v="0.61499999999999999"/>
    <n v="0.61499999999999999"/>
    <n v="0.61499999999999999"/>
    <n v="0"/>
    <s v="CATIVO"/>
    <n v="0"/>
    <n v="0"/>
    <n v="13"/>
    <n v="71"/>
    <n v="0"/>
    <n v="1391.0016000000001"/>
    <n v="259.488"/>
    <m/>
    <n v="1450.3469061334167"/>
    <n v="355.44973741322258"/>
    <n v="0"/>
    <n v="42.293796"/>
    <n v="0"/>
    <n v="22.664590526146593"/>
    <x v="1"/>
  </r>
  <r>
    <s v="PROJETADO"/>
    <x v="0"/>
    <x v="0"/>
    <x v="0"/>
    <x v="1"/>
    <x v="1"/>
    <x v="0"/>
    <x v="2"/>
    <x v="5"/>
    <n v="0"/>
    <n v="0"/>
    <n v="0.61499999999999999"/>
    <n v="0.61499999999999999"/>
    <n v="0.61499999999999999"/>
    <n v="0.61499999999999999"/>
    <n v="0"/>
    <s v="CATIVO"/>
    <n v="0"/>
    <n v="0"/>
    <n v="13"/>
    <n v="71"/>
    <n v="0"/>
    <n v="1391.0016000000001"/>
    <n v="259.488"/>
    <m/>
    <n v="1450.3469061334167"/>
    <n v="355.44973741322258"/>
    <n v="0"/>
    <n v="42.293796"/>
    <n v="0"/>
    <n v="22.664590526146593"/>
    <x v="1"/>
  </r>
  <r>
    <s v="Regular"/>
    <x v="0"/>
    <x v="0"/>
    <x v="1"/>
    <x v="2"/>
    <x v="1"/>
    <x v="0"/>
    <x v="1"/>
    <x v="9"/>
    <n v="35"/>
    <n v="35"/>
    <n v="0"/>
    <n v="0"/>
    <n v="0"/>
    <n v="0"/>
    <n v="1"/>
    <s v="CATIVO"/>
    <n v="0"/>
    <n v="12"/>
    <n v="0"/>
    <n v="0"/>
    <n v="18.611999999999998"/>
    <n v="0"/>
    <n v="0"/>
    <n v="19.994441680625144"/>
    <m/>
    <m/>
    <n v="41.58"/>
    <n v="0"/>
    <n v="21.64346779861485"/>
    <n v="0"/>
    <x v="2"/>
  </r>
  <r>
    <s v="Regular"/>
    <x v="0"/>
    <x v="0"/>
    <x v="1"/>
    <x v="2"/>
    <x v="1"/>
    <x v="0"/>
    <x v="1"/>
    <x v="10"/>
    <n v="35"/>
    <n v="35"/>
    <n v="0"/>
    <n v="0"/>
    <n v="0"/>
    <n v="0"/>
    <n v="1"/>
    <s v="CATIVO"/>
    <n v="0"/>
    <n v="12"/>
    <n v="0"/>
    <n v="0"/>
    <n v="18.611999999999998"/>
    <n v="0"/>
    <n v="0"/>
    <n v="19.994441680625144"/>
    <m/>
    <m/>
    <n v="41.58"/>
    <n v="0"/>
    <n v="21.64346779861485"/>
    <n v="0"/>
    <x v="2"/>
  </r>
  <r>
    <s v="Regular"/>
    <x v="0"/>
    <x v="0"/>
    <x v="1"/>
    <x v="2"/>
    <x v="1"/>
    <x v="0"/>
    <x v="1"/>
    <x v="11"/>
    <n v="35"/>
    <n v="35"/>
    <n v="0"/>
    <n v="0"/>
    <n v="0"/>
    <n v="0"/>
    <n v="1"/>
    <s v="CATIVO"/>
    <n v="0"/>
    <n v="12"/>
    <n v="0"/>
    <n v="0"/>
    <n v="18.611999999999998"/>
    <n v="0"/>
    <n v="0"/>
    <n v="19.994441680625144"/>
    <m/>
    <m/>
    <n v="41.58"/>
    <n v="0"/>
    <n v="21.64346779861485"/>
    <n v="0"/>
    <x v="2"/>
  </r>
  <r>
    <s v="Regular"/>
    <x v="0"/>
    <x v="0"/>
    <x v="1"/>
    <x v="2"/>
    <x v="1"/>
    <x v="0"/>
    <x v="1"/>
    <x v="6"/>
    <n v="35"/>
    <n v="35"/>
    <n v="0"/>
    <n v="0"/>
    <n v="0"/>
    <n v="0"/>
    <n v="1"/>
    <s v="CATIVO"/>
    <n v="0"/>
    <n v="12"/>
    <n v="0"/>
    <n v="0"/>
    <n v="18.611999999999998"/>
    <n v="0"/>
    <n v="0"/>
    <n v="19.994441680625144"/>
    <m/>
    <m/>
    <n v="41.58"/>
    <n v="0"/>
    <n v="21.64346779861485"/>
    <n v="0"/>
    <x v="2"/>
  </r>
  <r>
    <s v="Regular"/>
    <x v="0"/>
    <x v="0"/>
    <x v="1"/>
    <x v="2"/>
    <x v="1"/>
    <x v="0"/>
    <x v="1"/>
    <x v="7"/>
    <n v="35"/>
    <n v="35"/>
    <n v="0"/>
    <n v="0"/>
    <n v="0"/>
    <n v="0"/>
    <n v="1"/>
    <s v="CATIVO"/>
    <n v="0"/>
    <n v="12"/>
    <n v="0"/>
    <n v="0"/>
    <n v="18.611999999999998"/>
    <n v="0"/>
    <n v="0"/>
    <n v="19.994441680625144"/>
    <m/>
    <m/>
    <n v="41.58"/>
    <n v="0"/>
    <n v="21.64346779861485"/>
    <n v="0"/>
    <x v="2"/>
  </r>
  <r>
    <s v="Regular"/>
    <x v="0"/>
    <x v="0"/>
    <x v="1"/>
    <x v="2"/>
    <x v="1"/>
    <x v="0"/>
    <x v="1"/>
    <x v="8"/>
    <n v="35"/>
    <n v="35"/>
    <n v="0"/>
    <n v="0"/>
    <n v="0"/>
    <n v="0"/>
    <n v="1"/>
    <s v="CATIVO"/>
    <n v="0"/>
    <n v="12"/>
    <n v="0"/>
    <n v="0"/>
    <n v="18.611999999999998"/>
    <n v="0"/>
    <n v="0"/>
    <n v="19.994441680625144"/>
    <m/>
    <m/>
    <n v="41.58"/>
    <n v="0"/>
    <n v="21.64346779861485"/>
    <n v="0"/>
    <x v="2"/>
  </r>
  <r>
    <s v="Regular"/>
    <x v="0"/>
    <x v="0"/>
    <x v="1"/>
    <x v="2"/>
    <x v="1"/>
    <x v="0"/>
    <x v="1"/>
    <x v="0"/>
    <n v="35"/>
    <n v="35"/>
    <n v="0"/>
    <n v="0"/>
    <n v="0"/>
    <n v="0"/>
    <n v="1"/>
    <s v="CATIVO"/>
    <n v="0"/>
    <n v="12"/>
    <n v="0"/>
    <n v="0"/>
    <n v="18.611999999999998"/>
    <n v="0"/>
    <n v="0"/>
    <n v="19.994441680625144"/>
    <m/>
    <m/>
    <n v="41.58"/>
    <n v="0"/>
    <n v="21.64346779861485"/>
    <n v="0"/>
    <x v="2"/>
  </r>
  <r>
    <s v="Regular"/>
    <x v="0"/>
    <x v="0"/>
    <x v="1"/>
    <x v="2"/>
    <x v="1"/>
    <x v="0"/>
    <x v="1"/>
    <x v="1"/>
    <n v="35"/>
    <n v="35"/>
    <n v="0"/>
    <n v="0"/>
    <n v="0"/>
    <n v="0"/>
    <n v="1"/>
    <s v="CATIVO"/>
    <n v="0"/>
    <n v="12"/>
    <n v="0"/>
    <n v="0"/>
    <n v="18.611999999999998"/>
    <n v="0"/>
    <n v="0"/>
    <n v="19.994441680625144"/>
    <m/>
    <m/>
    <n v="41.58"/>
    <n v="0"/>
    <n v="21.64346779861485"/>
    <n v="0"/>
    <x v="2"/>
  </r>
  <r>
    <s v="Regular"/>
    <x v="0"/>
    <x v="0"/>
    <x v="1"/>
    <x v="2"/>
    <x v="1"/>
    <x v="0"/>
    <x v="1"/>
    <x v="2"/>
    <n v="35"/>
    <n v="35"/>
    <n v="0"/>
    <n v="0"/>
    <n v="0"/>
    <n v="0"/>
    <n v="1"/>
    <s v="CATIVO"/>
    <n v="0"/>
    <n v="12"/>
    <n v="0"/>
    <n v="0"/>
    <n v="18.611999999999998"/>
    <n v="0"/>
    <n v="0"/>
    <n v="19.994441680625144"/>
    <m/>
    <m/>
    <n v="41.58"/>
    <n v="0"/>
    <n v="21.64346779861485"/>
    <n v="0"/>
    <x v="2"/>
  </r>
  <r>
    <s v="Regular"/>
    <x v="0"/>
    <x v="0"/>
    <x v="1"/>
    <x v="2"/>
    <x v="1"/>
    <x v="0"/>
    <x v="1"/>
    <x v="3"/>
    <n v="35"/>
    <n v="35"/>
    <n v="0"/>
    <n v="0"/>
    <n v="0"/>
    <n v="0"/>
    <n v="1"/>
    <s v="CATIVO"/>
    <n v="0"/>
    <n v="12"/>
    <n v="0"/>
    <n v="0"/>
    <n v="18.611999999999998"/>
    <n v="0"/>
    <n v="0"/>
    <n v="19.994441680625144"/>
    <m/>
    <m/>
    <n v="41.58"/>
    <n v="0"/>
    <n v="21.64346779861485"/>
    <n v="0"/>
    <x v="2"/>
  </r>
  <r>
    <s v="Regular"/>
    <x v="0"/>
    <x v="0"/>
    <x v="1"/>
    <x v="2"/>
    <x v="1"/>
    <x v="0"/>
    <x v="1"/>
    <x v="4"/>
    <n v="35"/>
    <n v="35"/>
    <n v="0"/>
    <n v="0"/>
    <n v="0"/>
    <n v="0"/>
    <n v="1"/>
    <s v="CATIVO"/>
    <n v="0"/>
    <n v="12"/>
    <n v="0"/>
    <n v="0"/>
    <n v="18.611999999999998"/>
    <n v="0"/>
    <n v="0"/>
    <n v="19.994441680625144"/>
    <m/>
    <m/>
    <n v="41.58"/>
    <n v="0"/>
    <n v="21.64346779861485"/>
    <n v="0"/>
    <x v="2"/>
  </r>
  <r>
    <s v="PROJETADO"/>
    <x v="0"/>
    <x v="0"/>
    <x v="1"/>
    <x v="2"/>
    <x v="1"/>
    <x v="0"/>
    <x v="1"/>
    <x v="5"/>
    <n v="35"/>
    <n v="35"/>
    <n v="0"/>
    <n v="0"/>
    <n v="0"/>
    <n v="0"/>
    <n v="1"/>
    <s v="CATIVO"/>
    <n v="0"/>
    <n v="12"/>
    <n v="0"/>
    <n v="0"/>
    <n v="18.611999999999998"/>
    <n v="0"/>
    <n v="0"/>
    <n v="19.994441680625144"/>
    <m/>
    <m/>
    <n v="41.58"/>
    <n v="0"/>
    <n v="21.64346779861485"/>
    <n v="0"/>
    <x v="2"/>
  </r>
  <r>
    <s v="Regular"/>
    <x v="1"/>
    <x v="1"/>
    <x v="2"/>
    <x v="1"/>
    <x v="2"/>
    <x v="0"/>
    <x v="0"/>
    <x v="9"/>
    <n v="4858"/>
    <n v="2164.7248"/>
    <n v="0"/>
    <n v="0"/>
    <n v="0"/>
    <n v="0"/>
    <n v="0"/>
    <s v="LIVRE"/>
    <n v="0"/>
    <n v="20"/>
    <n v="0"/>
    <n v="0"/>
    <n v="19.8"/>
    <n v="0"/>
    <n v="0"/>
    <n v="20.612826474871284"/>
    <n v="113.43802162385306"/>
    <m/>
    <n v="53326.848960000003"/>
    <n v="0"/>
    <n v="55516.014346674252"/>
    <n v="0"/>
    <x v="3"/>
  </r>
  <r>
    <s v="Regular"/>
    <x v="1"/>
    <x v="1"/>
    <x v="2"/>
    <x v="1"/>
    <x v="2"/>
    <x v="0"/>
    <x v="0"/>
    <x v="10"/>
    <n v="4864"/>
    <n v="2281.7024000000001"/>
    <n v="0"/>
    <n v="0"/>
    <n v="0"/>
    <n v="0"/>
    <n v="0"/>
    <s v="LIVRE"/>
    <n v="0"/>
    <n v="20"/>
    <n v="0"/>
    <n v="0"/>
    <n v="19.8"/>
    <n v="0"/>
    <n v="0"/>
    <n v="20.612826474871284"/>
    <n v="113.43802162385306"/>
    <m/>
    <n v="51129.492480000001"/>
    <n v="0"/>
    <n v="53228.452335276575"/>
    <n v="0"/>
    <x v="3"/>
  </r>
  <r>
    <s v="Regular"/>
    <x v="1"/>
    <x v="1"/>
    <x v="2"/>
    <x v="1"/>
    <x v="2"/>
    <x v="0"/>
    <x v="0"/>
    <x v="11"/>
    <n v="4856"/>
    <n v="2446.4528"/>
    <n v="0"/>
    <n v="0"/>
    <n v="0"/>
    <n v="0"/>
    <n v="0"/>
    <s v="LIVRE"/>
    <n v="0"/>
    <n v="20"/>
    <n v="0"/>
    <n v="0"/>
    <n v="19.8"/>
    <n v="0"/>
    <n v="0"/>
    <n v="20.612826474871284"/>
    <n v="113.43802162385306"/>
    <m/>
    <n v="47709.03456"/>
    <n v="0"/>
    <n v="49667.578316611973"/>
    <n v="0"/>
    <x v="3"/>
  </r>
  <r>
    <s v="Regular"/>
    <x v="1"/>
    <x v="1"/>
    <x v="2"/>
    <x v="1"/>
    <x v="2"/>
    <x v="0"/>
    <x v="0"/>
    <x v="6"/>
    <n v="4846"/>
    <n v="2428.3305999999998"/>
    <n v="0"/>
    <n v="0"/>
    <n v="0"/>
    <n v="0"/>
    <n v="0"/>
    <s v="LIVRE"/>
    <n v="0"/>
    <n v="20"/>
    <n v="0"/>
    <n v="0"/>
    <n v="19.8"/>
    <n v="0"/>
    <n v="0"/>
    <n v="20.612826474871284"/>
    <n v="113.43802162385306"/>
    <m/>
    <n v="47869.854120000004"/>
    <n v="0"/>
    <n v="49834.999815806179"/>
    <n v="0"/>
    <x v="3"/>
  </r>
  <r>
    <s v="Regular"/>
    <x v="1"/>
    <x v="1"/>
    <x v="2"/>
    <x v="1"/>
    <x v="2"/>
    <x v="0"/>
    <x v="0"/>
    <x v="7"/>
    <n v="4846"/>
    <n v="2429.7844"/>
    <n v="0"/>
    <n v="0"/>
    <n v="0"/>
    <n v="0"/>
    <n v="0"/>
    <s v="LIVRE"/>
    <n v="0"/>
    <n v="20"/>
    <n v="0"/>
    <n v="0"/>
    <n v="19.8"/>
    <n v="0"/>
    <n v="0"/>
    <n v="20.612826474871284"/>
    <n v="113.43802162385306"/>
    <m/>
    <n v="47841.068879999999"/>
    <n v="0"/>
    <n v="49805.032888677"/>
    <n v="0"/>
    <x v="3"/>
  </r>
  <r>
    <s v="Regular"/>
    <x v="1"/>
    <x v="1"/>
    <x v="2"/>
    <x v="1"/>
    <x v="2"/>
    <x v="0"/>
    <x v="0"/>
    <x v="8"/>
    <n v="4856"/>
    <n v="2432.3703999999998"/>
    <n v="0"/>
    <n v="0"/>
    <n v="0"/>
    <n v="0"/>
    <n v="0"/>
    <s v="LIVRE"/>
    <n v="0"/>
    <n v="20"/>
    <n v="0"/>
    <n v="0"/>
    <n v="19.8"/>
    <n v="0"/>
    <n v="0"/>
    <n v="20.612826474871284"/>
    <n v="113.43802162385306"/>
    <m/>
    <n v="47987.866080000007"/>
    <n v="0"/>
    <n v="49957.856384161707"/>
    <n v="0"/>
    <x v="3"/>
  </r>
  <r>
    <s v="Regular"/>
    <x v="1"/>
    <x v="1"/>
    <x v="2"/>
    <x v="1"/>
    <x v="2"/>
    <x v="0"/>
    <x v="0"/>
    <x v="0"/>
    <n v="4853"/>
    <n v="2429.4117999999999"/>
    <n v="0"/>
    <n v="0"/>
    <n v="0"/>
    <n v="0"/>
    <n v="0"/>
    <s v="LIVRE"/>
    <n v="0"/>
    <n v="20"/>
    <n v="0"/>
    <n v="0"/>
    <n v="19.8"/>
    <n v="0"/>
    <n v="0"/>
    <n v="20.612826474871284"/>
    <n v="113.43802162385306"/>
    <m/>
    <n v="47987.046360000008"/>
    <n v="0"/>
    <n v="49957.003013145644"/>
    <n v="0"/>
    <x v="3"/>
  </r>
  <r>
    <s v="Regular"/>
    <x v="1"/>
    <x v="1"/>
    <x v="2"/>
    <x v="1"/>
    <x v="2"/>
    <x v="0"/>
    <x v="0"/>
    <x v="1"/>
    <n v="4864"/>
    <n v="2440.7552000000001"/>
    <n v="0"/>
    <n v="0"/>
    <n v="0"/>
    <n v="0"/>
    <n v="0"/>
    <s v="LIVRE"/>
    <n v="0"/>
    <n v="20"/>
    <n v="0"/>
    <n v="0"/>
    <n v="19.8"/>
    <n v="0"/>
    <n v="0"/>
    <n v="20.612826474871284"/>
    <n v="113.43802162385306"/>
    <m/>
    <n v="47980.247040000002"/>
    <n v="0"/>
    <n v="49949.924568534167"/>
    <n v="0"/>
    <x v="3"/>
  </r>
  <r>
    <s v="Regular"/>
    <x v="1"/>
    <x v="1"/>
    <x v="2"/>
    <x v="1"/>
    <x v="2"/>
    <x v="0"/>
    <x v="0"/>
    <x v="2"/>
    <n v="4868"/>
    <n v="2436.4340000000002"/>
    <n v="0"/>
    <n v="0"/>
    <n v="0"/>
    <n v="0"/>
    <n v="0"/>
    <s v="LIVRE"/>
    <n v="0"/>
    <n v="20"/>
    <n v="0"/>
    <n v="0"/>
    <n v="19.8"/>
    <n v="0"/>
    <n v="0"/>
    <n v="20.612826474871284"/>
    <n v="113.43802162385306"/>
    <m/>
    <n v="48145.006799999996"/>
    <n v="0"/>
    <n v="50121.448020196862"/>
    <n v="0"/>
    <x v="3"/>
  </r>
  <r>
    <s v="Regular"/>
    <x v="1"/>
    <x v="1"/>
    <x v="2"/>
    <x v="1"/>
    <x v="2"/>
    <x v="0"/>
    <x v="0"/>
    <x v="3"/>
    <n v="4901"/>
    <n v="2451.9703"/>
    <n v="0"/>
    <n v="0"/>
    <n v="0"/>
    <n v="0"/>
    <n v="0"/>
    <s v="LIVRE"/>
    <n v="0"/>
    <n v="20"/>
    <n v="0"/>
    <n v="0"/>
    <n v="19.8"/>
    <n v="0"/>
    <n v="0"/>
    <n v="20.612826474871284"/>
    <n v="113.43802162385306"/>
    <m/>
    <n v="48490.788060000006"/>
    <n v="0"/>
    <n v="50481.424237906082"/>
    <n v="0"/>
    <x v="3"/>
  </r>
  <r>
    <s v="Regular"/>
    <x v="1"/>
    <x v="1"/>
    <x v="2"/>
    <x v="1"/>
    <x v="2"/>
    <x v="0"/>
    <x v="0"/>
    <x v="4"/>
    <n v="5033"/>
    <n v="2531.0956999999999"/>
    <n v="0"/>
    <n v="0"/>
    <n v="0"/>
    <n v="0"/>
    <n v="0"/>
    <s v="LIVRE"/>
    <n v="0"/>
    <n v="20"/>
    <n v="0"/>
    <n v="0"/>
    <n v="19.8"/>
    <n v="0"/>
    <n v="0"/>
    <n v="20.612826474871284"/>
    <n v="113.43802162385306"/>
    <m/>
    <n v="49537.705140000005"/>
    <n v="0"/>
    <n v="51571.319192634313"/>
    <n v="0"/>
    <x v="3"/>
  </r>
  <r>
    <s v="PROJETADO"/>
    <x v="1"/>
    <x v="1"/>
    <x v="2"/>
    <x v="1"/>
    <x v="2"/>
    <x v="0"/>
    <x v="0"/>
    <x v="5"/>
    <n v="5033"/>
    <n v="2531.0956999999999"/>
    <n v="0"/>
    <n v="0"/>
    <n v="0"/>
    <n v="0"/>
    <n v="0"/>
    <s v="LIVRE"/>
    <n v="0"/>
    <n v="20"/>
    <n v="0"/>
    <n v="0"/>
    <n v="19.8"/>
    <n v="0"/>
    <n v="0"/>
    <n v="20.612826474871284"/>
    <n v="113.43802162385306"/>
    <m/>
    <n v="49537.705140000005"/>
    <n v="0"/>
    <n v="51571.319192634313"/>
    <n v="0"/>
    <x v="3"/>
  </r>
  <r>
    <s v="Regular"/>
    <x v="1"/>
    <x v="1"/>
    <x v="2"/>
    <x v="1"/>
    <x v="2"/>
    <x v="0"/>
    <x v="1"/>
    <x v="9"/>
    <n v="0"/>
    <n v="0"/>
    <n v="2019.317"/>
    <n v="2019.317"/>
    <n v="0"/>
    <n v="0"/>
    <n v="12"/>
    <s v="LIVRE"/>
    <n v="0"/>
    <n v="0"/>
    <n v="21"/>
    <n v="0"/>
    <n v="0"/>
    <n v="84.31"/>
    <n v="0"/>
    <m/>
    <n v="113.43802162385306"/>
    <m/>
    <n v="0"/>
    <n v="0"/>
    <n v="0"/>
    <n v="0"/>
    <x v="3"/>
  </r>
  <r>
    <s v="Regular"/>
    <x v="1"/>
    <x v="1"/>
    <x v="2"/>
    <x v="1"/>
    <x v="2"/>
    <x v="0"/>
    <x v="1"/>
    <x v="10"/>
    <n v="0"/>
    <n v="0"/>
    <n v="2064.0639999999999"/>
    <n v="2064.0639999999999"/>
    <n v="0"/>
    <n v="0"/>
    <n v="12"/>
    <s v="LIVRE"/>
    <n v="0"/>
    <n v="0"/>
    <n v="21"/>
    <n v="0"/>
    <n v="0"/>
    <n v="84.31"/>
    <n v="0"/>
    <m/>
    <n v="113.43802162385306"/>
    <m/>
    <n v="0"/>
    <n v="0"/>
    <n v="0"/>
    <n v="0"/>
    <x v="3"/>
  </r>
  <r>
    <s v="Regular"/>
    <x v="1"/>
    <x v="1"/>
    <x v="2"/>
    <x v="1"/>
    <x v="2"/>
    <x v="0"/>
    <x v="1"/>
    <x v="11"/>
    <n v="0"/>
    <n v="0"/>
    <n v="2016.529"/>
    <n v="2016.529"/>
    <n v="0"/>
    <n v="0"/>
    <n v="12"/>
    <s v="LIVRE"/>
    <n v="0"/>
    <n v="0"/>
    <n v="21"/>
    <n v="0"/>
    <n v="0"/>
    <n v="84.31"/>
    <n v="0"/>
    <m/>
    <n v="113.43802162385306"/>
    <m/>
    <n v="0"/>
    <n v="0"/>
    <n v="0"/>
    <n v="0"/>
    <x v="3"/>
  </r>
  <r>
    <s v="Regular"/>
    <x v="1"/>
    <x v="1"/>
    <x v="2"/>
    <x v="1"/>
    <x v="2"/>
    <x v="0"/>
    <x v="1"/>
    <x v="6"/>
    <n v="0"/>
    <n v="0"/>
    <n v="1755.4349999999999"/>
    <n v="1755.4349999999999"/>
    <n v="0"/>
    <n v="0"/>
    <n v="12"/>
    <s v="LIVRE"/>
    <n v="0"/>
    <n v="0"/>
    <n v="21"/>
    <n v="0"/>
    <n v="0"/>
    <n v="84.31"/>
    <n v="0"/>
    <m/>
    <n v="113.43802162385306"/>
    <m/>
    <n v="0"/>
    <n v="0"/>
    <n v="0"/>
    <n v="0"/>
    <x v="3"/>
  </r>
  <r>
    <s v="Regular"/>
    <x v="1"/>
    <x v="1"/>
    <x v="2"/>
    <x v="1"/>
    <x v="2"/>
    <x v="0"/>
    <x v="1"/>
    <x v="7"/>
    <n v="0"/>
    <n v="0"/>
    <n v="1929.7170000000001"/>
    <n v="1929.7170000000001"/>
    <n v="0"/>
    <n v="0"/>
    <n v="12"/>
    <s v="LIVRE"/>
    <n v="0"/>
    <n v="0"/>
    <n v="21"/>
    <n v="0"/>
    <n v="0"/>
    <n v="84.31"/>
    <n v="0"/>
    <m/>
    <n v="113.43802162385306"/>
    <m/>
    <n v="0"/>
    <n v="0"/>
    <n v="0"/>
    <n v="0"/>
    <x v="3"/>
  </r>
  <r>
    <s v="Regular"/>
    <x v="1"/>
    <x v="1"/>
    <x v="2"/>
    <x v="1"/>
    <x v="2"/>
    <x v="0"/>
    <x v="1"/>
    <x v="8"/>
    <n v="0"/>
    <n v="0"/>
    <n v="1867.058"/>
    <n v="1867.058"/>
    <n v="0"/>
    <n v="0"/>
    <n v="12"/>
    <s v="LIVRE"/>
    <n v="0"/>
    <n v="0"/>
    <n v="21"/>
    <n v="0"/>
    <n v="0"/>
    <n v="84.31"/>
    <n v="0"/>
    <m/>
    <n v="113.43802162385306"/>
    <m/>
    <n v="0"/>
    <n v="0"/>
    <n v="0"/>
    <n v="0"/>
    <x v="3"/>
  </r>
  <r>
    <s v="Regular"/>
    <x v="1"/>
    <x v="1"/>
    <x v="2"/>
    <x v="1"/>
    <x v="2"/>
    <x v="0"/>
    <x v="1"/>
    <x v="0"/>
    <n v="0"/>
    <n v="0"/>
    <n v="1875.107"/>
    <n v="1875.107"/>
    <n v="0"/>
    <n v="0"/>
    <n v="12"/>
    <s v="LIVRE"/>
    <n v="0"/>
    <n v="0"/>
    <n v="21"/>
    <n v="0"/>
    <n v="0"/>
    <n v="84.31"/>
    <n v="0"/>
    <m/>
    <n v="113.43802162385306"/>
    <m/>
    <n v="0"/>
    <n v="0"/>
    <n v="0"/>
    <n v="0"/>
    <x v="3"/>
  </r>
  <r>
    <s v="Regular"/>
    <x v="1"/>
    <x v="1"/>
    <x v="2"/>
    <x v="1"/>
    <x v="2"/>
    <x v="0"/>
    <x v="1"/>
    <x v="1"/>
    <n v="0"/>
    <n v="0"/>
    <n v="1747.7439999999999"/>
    <n v="1747.7439999999999"/>
    <n v="0"/>
    <n v="0"/>
    <n v="12"/>
    <s v="LIVRE"/>
    <n v="0"/>
    <n v="0"/>
    <n v="21"/>
    <n v="0"/>
    <n v="0"/>
    <n v="84.31"/>
    <n v="0"/>
    <m/>
    <n v="113.43802162385306"/>
    <m/>
    <n v="0"/>
    <n v="0"/>
    <n v="0"/>
    <n v="0"/>
    <x v="3"/>
  </r>
  <r>
    <s v="Regular"/>
    <x v="1"/>
    <x v="1"/>
    <x v="2"/>
    <x v="1"/>
    <x v="2"/>
    <x v="0"/>
    <x v="1"/>
    <x v="2"/>
    <n v="0"/>
    <n v="0"/>
    <n v="1954.0909999999999"/>
    <n v="1954.0909999999999"/>
    <n v="0"/>
    <n v="0"/>
    <n v="12"/>
    <s v="LIVRE"/>
    <n v="0"/>
    <n v="0"/>
    <n v="21"/>
    <n v="0"/>
    <n v="0"/>
    <n v="84.31"/>
    <n v="0"/>
    <m/>
    <n v="113.43802162385306"/>
    <m/>
    <n v="0"/>
    <n v="0"/>
    <n v="0"/>
    <n v="0"/>
    <x v="3"/>
  </r>
  <r>
    <s v="Regular"/>
    <x v="1"/>
    <x v="1"/>
    <x v="2"/>
    <x v="1"/>
    <x v="2"/>
    <x v="0"/>
    <x v="1"/>
    <x v="3"/>
    <n v="0"/>
    <n v="0"/>
    <n v="1663.943"/>
    <n v="1663.943"/>
    <n v="0"/>
    <n v="0"/>
    <n v="12"/>
    <s v="LIVRE"/>
    <n v="0"/>
    <n v="0"/>
    <n v="21"/>
    <n v="0"/>
    <n v="0"/>
    <n v="84.31"/>
    <n v="0"/>
    <m/>
    <n v="113.43802162385306"/>
    <m/>
    <n v="0"/>
    <n v="0"/>
    <n v="0"/>
    <n v="0"/>
    <x v="3"/>
  </r>
  <r>
    <s v="Regular"/>
    <x v="1"/>
    <x v="1"/>
    <x v="2"/>
    <x v="1"/>
    <x v="2"/>
    <x v="0"/>
    <x v="1"/>
    <x v="4"/>
    <n v="0"/>
    <n v="0"/>
    <n v="1688.5150000000001"/>
    <n v="1688.5150000000001"/>
    <n v="0"/>
    <n v="0"/>
    <n v="13"/>
    <s v="LIVRE"/>
    <n v="0"/>
    <n v="0"/>
    <n v="21"/>
    <n v="0"/>
    <n v="0"/>
    <n v="84.31"/>
    <n v="0"/>
    <m/>
    <n v="113.43802162385306"/>
    <m/>
    <n v="0"/>
    <n v="0"/>
    <n v="0"/>
    <n v="0"/>
    <x v="3"/>
  </r>
  <r>
    <s v="PROJETADO"/>
    <x v="1"/>
    <x v="1"/>
    <x v="2"/>
    <x v="1"/>
    <x v="2"/>
    <x v="0"/>
    <x v="1"/>
    <x v="5"/>
    <n v="0"/>
    <n v="0"/>
    <n v="1688.5150000000001"/>
    <n v="1688.5150000000001"/>
    <n v="0"/>
    <n v="0"/>
    <n v="13"/>
    <s v="LIVRE"/>
    <n v="0"/>
    <n v="0"/>
    <n v="21"/>
    <n v="0"/>
    <n v="0"/>
    <n v="84.31"/>
    <n v="0"/>
    <m/>
    <n v="113.43802162385306"/>
    <m/>
    <n v="0"/>
    <n v="0"/>
    <n v="0"/>
    <n v="0"/>
    <x v="3"/>
  </r>
  <r>
    <s v="Regular"/>
    <x v="1"/>
    <x v="1"/>
    <x v="2"/>
    <x v="1"/>
    <x v="2"/>
    <x v="0"/>
    <x v="2"/>
    <x v="9"/>
    <n v="4457"/>
    <n v="1950.3832"/>
    <n v="0"/>
    <n v="0"/>
    <n v="0"/>
    <n v="0"/>
    <n v="0"/>
    <s v="LIVRE"/>
    <n v="0"/>
    <n v="19"/>
    <n v="0"/>
    <n v="0"/>
    <n v="56.22"/>
    <n v="0"/>
    <n v="0"/>
    <n v="56.30075009771577"/>
    <n v="113.43802162385306"/>
    <m/>
    <n v="140921.99649599998"/>
    <n v="0"/>
    <n v="141124.40604753597"/>
    <n v="0"/>
    <x v="3"/>
  </r>
  <r>
    <s v="Regular"/>
    <x v="1"/>
    <x v="1"/>
    <x v="2"/>
    <x v="1"/>
    <x v="2"/>
    <x v="0"/>
    <x v="2"/>
    <x v="10"/>
    <n v="4470"/>
    <n v="2077.2089999999998"/>
    <n v="0"/>
    <n v="0"/>
    <n v="0"/>
    <n v="0"/>
    <n v="0"/>
    <s v="LIVRE"/>
    <n v="0"/>
    <n v="19"/>
    <n v="0"/>
    <n v="0"/>
    <n v="56.22"/>
    <n v="0"/>
    <n v="0"/>
    <n v="56.30075009771577"/>
    <n v="113.43802162385306"/>
    <m/>
    <n v="134522.71002"/>
    <n v="0"/>
    <n v="134715.92812706344"/>
    <n v="0"/>
    <x v="3"/>
  </r>
  <r>
    <s v="Regular"/>
    <x v="1"/>
    <x v="1"/>
    <x v="2"/>
    <x v="1"/>
    <x v="2"/>
    <x v="0"/>
    <x v="2"/>
    <x v="11"/>
    <n v="4490"/>
    <n v="2261.1640000000002"/>
    <n v="0"/>
    <n v="0"/>
    <n v="0"/>
    <n v="0"/>
    <n v="0"/>
    <s v="LIVRE"/>
    <n v="0"/>
    <n v="19"/>
    <n v="0"/>
    <n v="0"/>
    <n v="56.22"/>
    <n v="0"/>
    <n v="0"/>
    <n v="56.30075009771577"/>
    <n v="113.43802162385306"/>
    <m/>
    <n v="125305.15991999999"/>
    <n v="0"/>
    <n v="125485.13864479242"/>
    <n v="0"/>
    <x v="3"/>
  </r>
  <r>
    <s v="Regular"/>
    <x v="1"/>
    <x v="1"/>
    <x v="2"/>
    <x v="1"/>
    <x v="2"/>
    <x v="0"/>
    <x v="2"/>
    <x v="6"/>
    <n v="4461"/>
    <n v="2234.9609999999998"/>
    <n v="0"/>
    <n v="0"/>
    <n v="0"/>
    <n v="0"/>
    <n v="0"/>
    <s v="LIVRE"/>
    <n v="0"/>
    <n v="19"/>
    <n v="0"/>
    <n v="0"/>
    <n v="56.22"/>
    <n v="0"/>
    <n v="0"/>
    <n v="56.30075009771577"/>
    <n v="113.43802162385306"/>
    <m/>
    <n v="125147.91258"/>
    <n v="0"/>
    <n v="125327.66544676913"/>
    <n v="0"/>
    <x v="3"/>
  </r>
  <r>
    <s v="Regular"/>
    <x v="1"/>
    <x v="1"/>
    <x v="2"/>
    <x v="1"/>
    <x v="2"/>
    <x v="0"/>
    <x v="2"/>
    <x v="7"/>
    <n v="4443"/>
    <n v="2227.7202000000002"/>
    <n v="0"/>
    <n v="0"/>
    <n v="0"/>
    <n v="0"/>
    <n v="0"/>
    <s v="LIVRE"/>
    <n v="0"/>
    <n v="19"/>
    <n v="0"/>
    <n v="0"/>
    <n v="56.22"/>
    <n v="0"/>
    <n v="0"/>
    <n v="56.30075009771577"/>
    <n v="113.43802162385306"/>
    <m/>
    <n v="124543.03035599999"/>
    <n v="0"/>
    <n v="124721.91441631776"/>
    <n v="0"/>
    <x v="3"/>
  </r>
  <r>
    <s v="Regular"/>
    <x v="1"/>
    <x v="1"/>
    <x v="2"/>
    <x v="1"/>
    <x v="2"/>
    <x v="0"/>
    <x v="2"/>
    <x v="8"/>
    <n v="4444"/>
    <n v="2225.9996000000001"/>
    <n v="0"/>
    <n v="0"/>
    <n v="0"/>
    <n v="0"/>
    <n v="0"/>
    <s v="LIVRE"/>
    <n v="0"/>
    <n v="19"/>
    <n v="0"/>
    <n v="0"/>
    <n v="56.22"/>
    <n v="0"/>
    <n v="0"/>
    <n v="56.30075009771577"/>
    <n v="113.43802162385306"/>
    <m/>
    <n v="124695.98248799999"/>
    <n v="0"/>
    <n v="124875.08623703361"/>
    <n v="0"/>
    <x v="3"/>
  </r>
  <r>
    <s v="Regular"/>
    <x v="1"/>
    <x v="1"/>
    <x v="2"/>
    <x v="1"/>
    <x v="2"/>
    <x v="0"/>
    <x v="2"/>
    <x v="0"/>
    <n v="4443"/>
    <n v="2224.1658000000002"/>
    <n v="0"/>
    <n v="0"/>
    <n v="0"/>
    <n v="0"/>
    <n v="0"/>
    <s v="LIVRE"/>
    <n v="0"/>
    <n v="19"/>
    <n v="0"/>
    <n v="0"/>
    <n v="56.22"/>
    <n v="0"/>
    <n v="0"/>
    <n v="56.30075009771577"/>
    <n v="113.43802162385306"/>
    <m/>
    <n v="124742.85872399999"/>
    <n v="0"/>
    <n v="124922.02980246508"/>
    <n v="0"/>
    <x v="3"/>
  </r>
  <r>
    <s v="Regular"/>
    <x v="1"/>
    <x v="1"/>
    <x v="2"/>
    <x v="1"/>
    <x v="2"/>
    <x v="0"/>
    <x v="2"/>
    <x v="1"/>
    <n v="4443"/>
    <n v="2229.4974000000002"/>
    <n v="0"/>
    <n v="0"/>
    <n v="0"/>
    <n v="0"/>
    <n v="0"/>
    <s v="LIVRE"/>
    <n v="0"/>
    <n v="19"/>
    <n v="0"/>
    <n v="0"/>
    <n v="56.22"/>
    <n v="0"/>
    <n v="0"/>
    <n v="56.30075009771577"/>
    <n v="113.43802162385306"/>
    <m/>
    <n v="124443.11617199998"/>
    <n v="0"/>
    <n v="124621.8567232441"/>
    <n v="0"/>
    <x v="3"/>
  </r>
  <r>
    <s v="Regular"/>
    <x v="1"/>
    <x v="1"/>
    <x v="2"/>
    <x v="1"/>
    <x v="2"/>
    <x v="0"/>
    <x v="2"/>
    <x v="2"/>
    <n v="4466"/>
    <n v="2235.2330000000002"/>
    <n v="0"/>
    <n v="0"/>
    <n v="0"/>
    <n v="0"/>
    <n v="0"/>
    <s v="LIVRE"/>
    <n v="0"/>
    <n v="19"/>
    <n v="0"/>
    <n v="0"/>
    <n v="56.22"/>
    <n v="0"/>
    <n v="0"/>
    <n v="56.30075009771577"/>
    <n v="113.43802162385306"/>
    <m/>
    <n v="125413.72073999999"/>
    <n v="0"/>
    <n v="125593.8553932311"/>
    <n v="0"/>
    <x v="3"/>
  </r>
  <r>
    <s v="Regular"/>
    <x v="1"/>
    <x v="1"/>
    <x v="2"/>
    <x v="1"/>
    <x v="2"/>
    <x v="0"/>
    <x v="2"/>
    <x v="3"/>
    <n v="4524"/>
    <n v="2263.3571999999999"/>
    <n v="0"/>
    <n v="0"/>
    <n v="0"/>
    <n v="0"/>
    <n v="0"/>
    <s v="LIVRE"/>
    <n v="0"/>
    <n v="19"/>
    <n v="0"/>
    <n v="0"/>
    <n v="56.22"/>
    <n v="0"/>
    <n v="0"/>
    <n v="56.30075009771577"/>
    <n v="113.43802162385306"/>
    <m/>
    <n v="127093.338216"/>
    <n v="0"/>
    <n v="127275.88534300045"/>
    <n v="0"/>
    <x v="3"/>
  </r>
  <r>
    <s v="Regular"/>
    <x v="1"/>
    <x v="1"/>
    <x v="2"/>
    <x v="1"/>
    <x v="2"/>
    <x v="0"/>
    <x v="2"/>
    <x v="4"/>
    <n v="4597"/>
    <n v="2311.8312999999998"/>
    <n v="0"/>
    <n v="0"/>
    <n v="0"/>
    <n v="0"/>
    <n v="0"/>
    <s v="LIVRE"/>
    <n v="0"/>
    <n v="19"/>
    <n v="0"/>
    <n v="0"/>
    <n v="56.22"/>
    <n v="0"/>
    <n v="0"/>
    <n v="56.30075009771577"/>
    <n v="113.43802162385306"/>
    <m/>
    <n v="128472.18431400001"/>
    <n v="0"/>
    <n v="128656.71190982203"/>
    <n v="0"/>
    <x v="3"/>
  </r>
  <r>
    <s v="PROJETADO"/>
    <x v="1"/>
    <x v="1"/>
    <x v="2"/>
    <x v="1"/>
    <x v="2"/>
    <x v="0"/>
    <x v="2"/>
    <x v="5"/>
    <n v="4597"/>
    <n v="2311.8312999999998"/>
    <n v="0"/>
    <n v="0"/>
    <n v="0"/>
    <n v="0"/>
    <n v="0"/>
    <s v="LIVRE"/>
    <n v="0"/>
    <n v="19"/>
    <n v="0"/>
    <n v="0"/>
    <n v="56.22"/>
    <n v="0"/>
    <n v="0"/>
    <n v="56.30075009771577"/>
    <n v="113.43802162385306"/>
    <m/>
    <n v="128472.18431400001"/>
    <n v="0"/>
    <n v="128656.71190982203"/>
    <n v="0"/>
    <x v="3"/>
  </r>
  <r>
    <s v="Regular"/>
    <x v="1"/>
    <x v="1"/>
    <x v="0"/>
    <x v="1"/>
    <x v="1"/>
    <x v="0"/>
    <x v="0"/>
    <x v="9"/>
    <n v="37"/>
    <n v="37"/>
    <n v="2.7469999999999999"/>
    <n v="2.7469999999999999"/>
    <n v="2.7469999999999999"/>
    <n v="2.7469999999999999"/>
    <n v="0"/>
    <s v="CATIVO"/>
    <n v="0"/>
    <n v="20"/>
    <n v="21"/>
    <n v="75"/>
    <n v="19.007999999999999"/>
    <n v="80.937600000000003"/>
    <n v="161.33760000000001"/>
    <n v="20.200569945373857"/>
    <n v="111.16926119137599"/>
    <n v="214.35764160106174"/>
    <n v="29.303999999999998"/>
    <n v="27.730415600000004"/>
    <n v="15.25349159140475"/>
    <n v="18.249436774914823"/>
    <x v="1"/>
  </r>
  <r>
    <s v="Regular"/>
    <x v="1"/>
    <x v="1"/>
    <x v="0"/>
    <x v="1"/>
    <x v="1"/>
    <x v="0"/>
    <x v="0"/>
    <x v="10"/>
    <n v="38"/>
    <n v="38"/>
    <n v="2.8290000000000002"/>
    <n v="2.8290000000000002"/>
    <n v="2.8290000000000002"/>
    <n v="2.8290000000000002"/>
    <n v="0"/>
    <s v="CATIVO"/>
    <n v="0"/>
    <n v="20"/>
    <n v="21"/>
    <n v="75"/>
    <n v="19.007999999999999"/>
    <n v="80.937600000000003"/>
    <n v="161.33760000000001"/>
    <n v="20.200569945373857"/>
    <n v="111.16926119137599"/>
    <n v="214.35764160106174"/>
    <n v="30.096"/>
    <n v="28.558189200000008"/>
    <n v="15.665748120902176"/>
    <n v="18.794196081628705"/>
    <x v="1"/>
  </r>
  <r>
    <s v="Regular"/>
    <x v="1"/>
    <x v="1"/>
    <x v="0"/>
    <x v="1"/>
    <x v="1"/>
    <x v="0"/>
    <x v="0"/>
    <x v="11"/>
    <n v="43"/>
    <n v="43"/>
    <n v="2.4849999999999999"/>
    <n v="2.4849999999999999"/>
    <n v="2.4849999999999999"/>
    <n v="2.4849999999999999"/>
    <n v="0"/>
    <s v="CATIVO"/>
    <n v="0"/>
    <n v="20"/>
    <n v="21"/>
    <n v="75"/>
    <n v="19.007999999999999"/>
    <n v="80.937600000000003"/>
    <n v="161.33760000000001"/>
    <n v="20.200569945373857"/>
    <n v="111.16926119137599"/>
    <n v="214.35764160106174"/>
    <n v="34.055999999999997"/>
    <n v="25.085577999999998"/>
    <n v="17.727030768389302"/>
    <n v="16.508864355902197"/>
    <x v="1"/>
  </r>
  <r>
    <s v="Regular"/>
    <x v="1"/>
    <x v="1"/>
    <x v="0"/>
    <x v="1"/>
    <x v="1"/>
    <x v="0"/>
    <x v="0"/>
    <x v="6"/>
    <n v="46"/>
    <n v="46"/>
    <n v="2.7090000000000001"/>
    <n v="2.7090000000000001"/>
    <n v="2.7090000000000001"/>
    <n v="2.7090000000000001"/>
    <n v="0"/>
    <s v="CATIVO"/>
    <n v="0"/>
    <n v="20"/>
    <n v="21"/>
    <n v="75"/>
    <n v="19.007999999999999"/>
    <n v="80.937600000000003"/>
    <n v="161.33760000000001"/>
    <n v="20.200569945373857"/>
    <n v="111.16926119137599"/>
    <n v="214.35764160106174"/>
    <n v="36.432000000000002"/>
    <n v="27.346813200000007"/>
    <n v="18.963800356881585"/>
    <n v="17.996987340096201"/>
    <x v="1"/>
  </r>
  <r>
    <s v="Regular"/>
    <x v="1"/>
    <x v="1"/>
    <x v="0"/>
    <x v="1"/>
    <x v="1"/>
    <x v="0"/>
    <x v="0"/>
    <x v="7"/>
    <n v="39"/>
    <n v="39"/>
    <n v="3.3929999999999998"/>
    <n v="3.3929999999999998"/>
    <n v="3.3929999999999998"/>
    <n v="3.3929999999999998"/>
    <n v="0"/>
    <s v="CATIVO"/>
    <n v="0"/>
    <n v="20"/>
    <n v="21"/>
    <n v="75"/>
    <n v="19.007999999999999"/>
    <n v="80.937600000000003"/>
    <n v="161.33760000000001"/>
    <n v="20.200569945373857"/>
    <n v="111.16926119137599"/>
    <n v="214.35764160106174"/>
    <n v="30.888000000000002"/>
    <n v="34.251656400000002"/>
    <n v="16.078004650399603"/>
    <n v="22.541077166831453"/>
    <x v="1"/>
  </r>
  <r>
    <s v="Regular"/>
    <x v="1"/>
    <x v="1"/>
    <x v="0"/>
    <x v="1"/>
    <x v="1"/>
    <x v="0"/>
    <x v="0"/>
    <x v="8"/>
    <n v="40"/>
    <n v="40"/>
    <n v="5.5970000000000004"/>
    <n v="5.5970000000000004"/>
    <n v="5.5970000000000004"/>
    <n v="5.5970000000000004"/>
    <n v="0"/>
    <s v="CATIVO"/>
    <n v="0"/>
    <n v="20"/>
    <n v="21"/>
    <n v="75"/>
    <n v="19.007999999999999"/>
    <n v="80.937600000000003"/>
    <n v="161.33760000000001"/>
    <n v="20.200569945373857"/>
    <n v="111.16926119137599"/>
    <n v="214.35764160106174"/>
    <n v="31.68"/>
    <n v="56.500595600000011"/>
    <n v="16.490261179897026"/>
    <n v="37.183144386311724"/>
    <x v="1"/>
  </r>
  <r>
    <s v="Regular"/>
    <x v="1"/>
    <x v="1"/>
    <x v="0"/>
    <x v="1"/>
    <x v="1"/>
    <x v="0"/>
    <x v="0"/>
    <x v="0"/>
    <n v="37"/>
    <n v="37"/>
    <n v="5.2489999999999997"/>
    <n v="5.2489999999999997"/>
    <n v="5.2489999999999997"/>
    <n v="5.2489999999999997"/>
    <n v="0"/>
    <s v="CATIVO"/>
    <n v="0"/>
    <n v="20"/>
    <n v="21"/>
    <n v="75"/>
    <n v="19.007999999999999"/>
    <n v="80.937600000000003"/>
    <n v="161.33760000000001"/>
    <n v="20.200569945373857"/>
    <n v="111.16926119137599"/>
    <n v="214.35764160106174"/>
    <n v="29.303999999999998"/>
    <n v="52.987605200000004"/>
    <n v="15.25349159140475"/>
    <n v="34.871239035867461"/>
    <x v="1"/>
  </r>
  <r>
    <s v="Regular"/>
    <x v="1"/>
    <x v="1"/>
    <x v="0"/>
    <x v="1"/>
    <x v="1"/>
    <x v="0"/>
    <x v="0"/>
    <x v="1"/>
    <n v="36"/>
    <n v="36"/>
    <n v="5.2160000000000002"/>
    <n v="5.2160000000000002"/>
    <n v="5.2160000000000002"/>
    <n v="5.2160000000000002"/>
    <n v="0"/>
    <s v="CATIVO"/>
    <n v="0"/>
    <n v="20"/>
    <n v="21"/>
    <n v="75"/>
    <n v="19.007999999999999"/>
    <n v="80.937600000000003"/>
    <n v="161.33760000000001"/>
    <n v="20.200569945373857"/>
    <n v="111.16926119137599"/>
    <n v="214.35764160106174"/>
    <n v="28.512"/>
    <n v="52.654476800000005"/>
    <n v="14.841235061907323"/>
    <n v="34.65200663194603"/>
    <x v="1"/>
  </r>
  <r>
    <s v="Regular"/>
    <x v="1"/>
    <x v="1"/>
    <x v="0"/>
    <x v="1"/>
    <x v="1"/>
    <x v="0"/>
    <x v="0"/>
    <x v="2"/>
    <n v="40"/>
    <n v="40"/>
    <n v="6.2619999999999996"/>
    <n v="6.2619999999999996"/>
    <n v="6.2619999999999996"/>
    <n v="6.2619999999999996"/>
    <n v="0"/>
    <s v="CATIVO"/>
    <n v="0"/>
    <n v="20"/>
    <n v="21"/>
    <n v="75"/>
    <n v="19.007999999999999"/>
    <n v="80.937600000000003"/>
    <n v="161.33760000000001"/>
    <n v="20.200569945373857"/>
    <n v="111.16926119137599"/>
    <n v="214.35764160106174"/>
    <n v="31.68"/>
    <n v="63.213637599999998"/>
    <n v="16.490261179897026"/>
    <n v="41.601009495637655"/>
    <x v="1"/>
  </r>
  <r>
    <s v="Regular"/>
    <x v="1"/>
    <x v="1"/>
    <x v="0"/>
    <x v="1"/>
    <x v="1"/>
    <x v="0"/>
    <x v="0"/>
    <x v="3"/>
    <n v="38"/>
    <n v="38"/>
    <n v="6.8289999999999997"/>
    <n v="6.8289999999999997"/>
    <n v="6.8289999999999997"/>
    <n v="6.8289999999999997"/>
    <n v="0"/>
    <s v="CATIVO"/>
    <n v="0"/>
    <n v="20"/>
    <n v="21"/>
    <n v="75"/>
    <n v="19.007999999999999"/>
    <n v="80.937600000000003"/>
    <n v="161.33760000000001"/>
    <n v="20.200569945373857"/>
    <n v="111.16926119137599"/>
    <n v="214.35764160106174"/>
    <n v="30.096"/>
    <n v="68.937389199999998"/>
    <n v="15.665748120902176"/>
    <n v="45.367820799378727"/>
    <x v="1"/>
  </r>
  <r>
    <s v="Regular"/>
    <x v="1"/>
    <x v="1"/>
    <x v="0"/>
    <x v="1"/>
    <x v="1"/>
    <x v="0"/>
    <x v="0"/>
    <x v="4"/>
    <n v="41"/>
    <n v="41"/>
    <n v="6.1150000000000002"/>
    <n v="6.1150000000000002"/>
    <n v="6.1150000000000002"/>
    <n v="6.1150000000000002"/>
    <n v="0"/>
    <s v="CATIVO"/>
    <n v="0"/>
    <n v="20"/>
    <n v="21"/>
    <n v="75"/>
    <n v="19.007999999999999"/>
    <n v="80.937600000000003"/>
    <n v="161.33760000000001"/>
    <n v="20.200569945373857"/>
    <n v="111.16926119137599"/>
    <n v="214.35764160106174"/>
    <n v="32.472000000000001"/>
    <n v="61.729702000000017"/>
    <n v="16.902517709394452"/>
    <n v="40.624428787260349"/>
    <x v="1"/>
  </r>
  <r>
    <s v="PROJETADO"/>
    <x v="1"/>
    <x v="1"/>
    <x v="0"/>
    <x v="1"/>
    <x v="1"/>
    <x v="0"/>
    <x v="0"/>
    <x v="5"/>
    <n v="41"/>
    <n v="41"/>
    <n v="6.1150000000000002"/>
    <n v="6.1150000000000002"/>
    <n v="6.1150000000000002"/>
    <n v="6.1150000000000002"/>
    <n v="0"/>
    <s v="CATIVO"/>
    <n v="0"/>
    <n v="20"/>
    <n v="21"/>
    <n v="75"/>
    <n v="19.007999999999999"/>
    <n v="80.937600000000003"/>
    <n v="161.33760000000001"/>
    <n v="20.200569945373857"/>
    <n v="111.16926119137599"/>
    <n v="214.35764160106174"/>
    <n v="32.472000000000001"/>
    <n v="61.729702000000017"/>
    <n v="16.902517709394452"/>
    <n v="40.624428787260349"/>
    <x v="1"/>
  </r>
  <r>
    <s v="Regular"/>
    <x v="1"/>
    <x v="1"/>
    <x v="0"/>
    <x v="1"/>
    <x v="1"/>
    <x v="0"/>
    <x v="2"/>
    <x v="9"/>
    <n v="7"/>
    <n v="7"/>
    <n v="0.246"/>
    <n v="0.246"/>
    <n v="0.246"/>
    <n v="0.246"/>
    <n v="0"/>
    <s v="CATIVO"/>
    <n v="0"/>
    <n v="19"/>
    <n v="21"/>
    <n v="74"/>
    <n v="53.971199999999996"/>
    <n v="80.937600000000003"/>
    <n v="259.488"/>
    <n v="55.174735095761456"/>
    <n v="111.16926119137599"/>
    <n v="355.44973741322258"/>
    <n v="15.741599999999998"/>
    <n v="3.4893624000000001"/>
    <n v="7.8821050136802091"/>
    <n v="2.3426178297292091"/>
    <x v="1"/>
  </r>
  <r>
    <s v="Regular"/>
    <x v="1"/>
    <x v="1"/>
    <x v="0"/>
    <x v="1"/>
    <x v="1"/>
    <x v="0"/>
    <x v="2"/>
    <x v="10"/>
    <n v="7"/>
    <n v="7"/>
    <n v="0.246"/>
    <n v="0.246"/>
    <n v="0.246"/>
    <n v="0.246"/>
    <n v="0"/>
    <s v="CATIVO"/>
    <n v="0"/>
    <n v="19"/>
    <n v="21"/>
    <n v="74"/>
    <n v="53.971199999999996"/>
    <n v="80.937600000000003"/>
    <n v="259.488"/>
    <n v="55.174735095761456"/>
    <n v="111.16926119137599"/>
    <n v="355.44973741322258"/>
    <n v="15.741599999999998"/>
    <n v="3.4893624000000001"/>
    <n v="7.8821050136802091"/>
    <n v="2.3426178297292091"/>
    <x v="1"/>
  </r>
  <r>
    <s v="Regular"/>
    <x v="1"/>
    <x v="1"/>
    <x v="0"/>
    <x v="1"/>
    <x v="1"/>
    <x v="0"/>
    <x v="2"/>
    <x v="11"/>
    <n v="7"/>
    <n v="7"/>
    <n v="0.23400000000000001"/>
    <n v="0.23400000000000001"/>
    <n v="0.23400000000000001"/>
    <n v="0.23400000000000001"/>
    <n v="0"/>
    <s v="CATIVO"/>
    <n v="0"/>
    <n v="19"/>
    <n v="21"/>
    <n v="74"/>
    <n v="53.971199999999996"/>
    <n v="80.937600000000003"/>
    <n v="259.488"/>
    <n v="55.174735095761456"/>
    <n v="111.16926119137599"/>
    <n v="355.44973741322258"/>
    <n v="15.741599999999998"/>
    <n v="3.3191496000000007"/>
    <n v="7.8821050136802091"/>
    <n v="2.2283437892546134"/>
    <x v="1"/>
  </r>
  <r>
    <s v="Regular"/>
    <x v="1"/>
    <x v="1"/>
    <x v="0"/>
    <x v="1"/>
    <x v="1"/>
    <x v="0"/>
    <x v="2"/>
    <x v="6"/>
    <n v="8"/>
    <n v="8"/>
    <n v="0.26100000000000001"/>
    <n v="0.26100000000000001"/>
    <n v="0.26100000000000001"/>
    <n v="0.26100000000000001"/>
    <n v="0"/>
    <s v="CATIVO"/>
    <n v="0"/>
    <n v="19"/>
    <n v="21"/>
    <n v="74"/>
    <n v="53.971199999999996"/>
    <n v="80.937600000000003"/>
    <n v="259.488"/>
    <n v="55.174735095761456"/>
    <n v="111.16926119137599"/>
    <n v="355.44973741322258"/>
    <n v="17.990400000000001"/>
    <n v="3.7021284000000008"/>
    <n v="9.0081200156345247"/>
    <n v="2.4854603803224533"/>
    <x v="1"/>
  </r>
  <r>
    <s v="Regular"/>
    <x v="1"/>
    <x v="1"/>
    <x v="0"/>
    <x v="1"/>
    <x v="1"/>
    <x v="0"/>
    <x v="2"/>
    <x v="7"/>
    <n v="8"/>
    <n v="8"/>
    <n v="0.28599999999999998"/>
    <n v="0.28599999999999998"/>
    <n v="0.28599999999999998"/>
    <n v="0.28599999999999998"/>
    <n v="0"/>
    <s v="CATIVO"/>
    <n v="0"/>
    <n v="19"/>
    <n v="21"/>
    <n v="74"/>
    <n v="53.971199999999996"/>
    <n v="80.937600000000003"/>
    <n v="259.488"/>
    <n v="55.174735095761456"/>
    <n v="111.16926119137599"/>
    <n v="355.44973741322258"/>
    <n v="17.990400000000001"/>
    <n v="4.0567383999999995"/>
    <n v="9.0081200156345247"/>
    <n v="2.723531297977861"/>
    <x v="1"/>
  </r>
  <r>
    <s v="Regular"/>
    <x v="1"/>
    <x v="1"/>
    <x v="0"/>
    <x v="1"/>
    <x v="1"/>
    <x v="0"/>
    <x v="2"/>
    <x v="8"/>
    <n v="9"/>
    <n v="9"/>
    <n v="0.26700000000000002"/>
    <n v="0.26700000000000002"/>
    <n v="0.26700000000000002"/>
    <n v="0.26700000000000002"/>
    <n v="0"/>
    <s v="CATIVO"/>
    <n v="0"/>
    <n v="19"/>
    <n v="21"/>
    <n v="74"/>
    <n v="53.971199999999996"/>
    <n v="80.937600000000003"/>
    <n v="259.488"/>
    <n v="55.174735095761456"/>
    <n v="111.16926119137599"/>
    <n v="355.44973741322258"/>
    <n v="20.2392"/>
    <n v="3.7872348000000007"/>
    <n v="10.134135017588839"/>
    <n v="2.5425974005597518"/>
    <x v="1"/>
  </r>
  <r>
    <s v="Regular"/>
    <x v="1"/>
    <x v="1"/>
    <x v="0"/>
    <x v="1"/>
    <x v="1"/>
    <x v="0"/>
    <x v="2"/>
    <x v="0"/>
    <n v="8"/>
    <n v="8"/>
    <n v="0.23100000000000001"/>
    <n v="0.23100000000000001"/>
    <n v="0.23100000000000001"/>
    <n v="0.23100000000000001"/>
    <n v="0"/>
    <s v="CATIVO"/>
    <n v="0"/>
    <n v="19"/>
    <n v="21"/>
    <n v="74"/>
    <n v="53.971199999999996"/>
    <n v="80.937600000000003"/>
    <n v="259.488"/>
    <n v="55.174735095761456"/>
    <n v="111.16926119137599"/>
    <n v="355.44973741322258"/>
    <n v="17.990400000000001"/>
    <n v="3.2765964000000003"/>
    <n v="9.0081200156345247"/>
    <n v="2.1997752791359648"/>
    <x v="1"/>
  </r>
  <r>
    <s v="Regular"/>
    <x v="1"/>
    <x v="1"/>
    <x v="0"/>
    <x v="1"/>
    <x v="1"/>
    <x v="0"/>
    <x v="2"/>
    <x v="1"/>
    <n v="10"/>
    <n v="10"/>
    <n v="0.222"/>
    <n v="0.222"/>
    <n v="0.222"/>
    <n v="0.222"/>
    <n v="0"/>
    <s v="CATIVO"/>
    <n v="0"/>
    <n v="19"/>
    <n v="21"/>
    <n v="74"/>
    <n v="53.971199999999996"/>
    <n v="80.937600000000003"/>
    <n v="259.488"/>
    <n v="55.174735095761456"/>
    <n v="111.16926119137599"/>
    <n v="355.44973741322258"/>
    <n v="22.488000000000003"/>
    <n v="3.1489368000000004"/>
    <n v="11.260150019543154"/>
    <n v="2.1140697487800177"/>
    <x v="1"/>
  </r>
  <r>
    <s v="Regular"/>
    <x v="1"/>
    <x v="1"/>
    <x v="0"/>
    <x v="1"/>
    <x v="1"/>
    <x v="0"/>
    <x v="2"/>
    <x v="2"/>
    <n v="10"/>
    <n v="10"/>
    <n v="0.34300000000000003"/>
    <n v="0.34300000000000003"/>
    <n v="0.34300000000000003"/>
    <n v="0.34300000000000003"/>
    <n v="0"/>
    <s v="CATIVO"/>
    <n v="0"/>
    <n v="19"/>
    <n v="21"/>
    <n v="74"/>
    <n v="53.971199999999996"/>
    <n v="80.937600000000003"/>
    <n v="259.488"/>
    <n v="55.174735095761456"/>
    <n v="111.16926119137599"/>
    <n v="355.44973741322258"/>
    <n v="22.488000000000003"/>
    <n v="4.8652492000000001"/>
    <n v="11.260150019543154"/>
    <n v="3.2663329902321907"/>
    <x v="1"/>
  </r>
  <r>
    <s v="Regular"/>
    <x v="1"/>
    <x v="1"/>
    <x v="0"/>
    <x v="1"/>
    <x v="1"/>
    <x v="0"/>
    <x v="2"/>
    <x v="3"/>
    <n v="21"/>
    <n v="21"/>
    <n v="0.36"/>
    <n v="0.36"/>
    <n v="0.36"/>
    <n v="0.36"/>
    <n v="0"/>
    <s v="CATIVO"/>
    <n v="0"/>
    <n v="19"/>
    <n v="21"/>
    <n v="74"/>
    <n v="53.971199999999996"/>
    <n v="80.937600000000003"/>
    <n v="259.488"/>
    <n v="55.174735095761456"/>
    <n v="111.16926119137599"/>
    <n v="355.44973741322258"/>
    <n v="47.224800000000002"/>
    <n v="5.1063840000000003"/>
    <n v="23.646315041040626"/>
    <n v="3.4282212142378672"/>
    <x v="1"/>
  </r>
  <r>
    <s v="Regular"/>
    <x v="1"/>
    <x v="1"/>
    <x v="0"/>
    <x v="1"/>
    <x v="1"/>
    <x v="0"/>
    <x v="2"/>
    <x v="4"/>
    <n v="9"/>
    <n v="9"/>
    <n v="0.318"/>
    <n v="0.318"/>
    <n v="0.318"/>
    <n v="0.318"/>
    <n v="0"/>
    <s v="CATIVO"/>
    <n v="0"/>
    <n v="19"/>
    <n v="21"/>
    <n v="74"/>
    <n v="53.971199999999996"/>
    <n v="80.937600000000003"/>
    <n v="259.488"/>
    <n v="55.174735095761456"/>
    <n v="111.16926119137599"/>
    <n v="355.44973741322258"/>
    <n v="20.2392"/>
    <n v="4.5106392000000008"/>
    <n v="10.134135017588839"/>
    <n v="3.028262072576783"/>
    <x v="1"/>
  </r>
  <r>
    <s v="PROJETADO"/>
    <x v="1"/>
    <x v="1"/>
    <x v="0"/>
    <x v="1"/>
    <x v="1"/>
    <x v="0"/>
    <x v="2"/>
    <x v="5"/>
    <n v="9"/>
    <n v="9"/>
    <n v="0.318"/>
    <n v="0.318"/>
    <n v="0.318"/>
    <n v="0.318"/>
    <n v="0"/>
    <s v="CATIVO"/>
    <n v="0"/>
    <n v="19"/>
    <n v="21"/>
    <n v="74"/>
    <n v="53.971199999999996"/>
    <n v="80.937600000000003"/>
    <n v="259.488"/>
    <n v="55.174735095761456"/>
    <n v="111.16926119137599"/>
    <n v="355.44973741322258"/>
    <n v="20.2392"/>
    <n v="4.5106392000000008"/>
    <n v="10.134135017588839"/>
    <n v="3.028262072576783"/>
    <x v="1"/>
  </r>
  <r>
    <s v="Regular"/>
    <x v="1"/>
    <x v="1"/>
    <x v="1"/>
    <x v="2"/>
    <x v="1"/>
    <x v="0"/>
    <x v="0"/>
    <x v="9"/>
    <n v="1956"/>
    <n v="1956"/>
    <n v="541.90200000000004"/>
    <n v="541.90200000000004"/>
    <n v="541.90200000000004"/>
    <n v="541.90200000000004"/>
    <n v="0"/>
    <s v="CATIVO"/>
    <n v="0"/>
    <n v="20"/>
    <n v="21"/>
    <n v="75"/>
    <n v="18.611999999999998"/>
    <n v="79.251400000000004"/>
    <n v="157.97639999999998"/>
    <n v="19.994441680625144"/>
    <n v="110.03488097513747"/>
    <n v="212.17031872758153"/>
    <n v="2323.7280000000001"/>
    <n v="8205.5884644000016"/>
    <n v="1209.5606575454469"/>
    <n v="5400.1126431743151"/>
    <x v="2"/>
  </r>
  <r>
    <s v="Sistema Isolado - Regular"/>
    <x v="1"/>
    <x v="1"/>
    <x v="1"/>
    <x v="2"/>
    <x v="1"/>
    <x v="0"/>
    <x v="0"/>
    <x v="9"/>
    <n v="97"/>
    <n v="97"/>
    <n v="37.679000000000002"/>
    <n v="37.679000000000002"/>
    <n v="37.679000000000002"/>
    <n v="37.679000000000002"/>
    <n v="0"/>
    <s v="CATIVO"/>
    <n v="0"/>
    <n v="20"/>
    <n v="21"/>
    <n v="75"/>
    <n v="18.611999999999998"/>
    <n v="79.251400000000004"/>
    <n v="157.97639999999998"/>
    <n v="19.994441680625144"/>
    <n v="110.03488097513747"/>
    <n v="212.17031872758153"/>
    <n v="115.23599999999999"/>
    <n v="570.54295380000008"/>
    <n v="59.983325041875432"/>
    <n v="375.47535215253862"/>
    <x v="2"/>
  </r>
  <r>
    <s v="Regular"/>
    <x v="1"/>
    <x v="1"/>
    <x v="1"/>
    <x v="2"/>
    <x v="1"/>
    <x v="0"/>
    <x v="0"/>
    <x v="10"/>
    <n v="158"/>
    <n v="158"/>
    <n v="92.040999999999997"/>
    <n v="92.040999999999997"/>
    <n v="92.040999999999997"/>
    <n v="92.040999999999997"/>
    <n v="0"/>
    <s v="CATIVO"/>
    <n v="0"/>
    <n v="20"/>
    <n v="21"/>
    <n v="75"/>
    <n v="18.611999999999998"/>
    <n v="79.251400000000004"/>
    <n v="157.97639999999998"/>
    <n v="19.994441680625144"/>
    <n v="110.03488097513747"/>
    <n v="212.17031872758153"/>
    <n v="187.70400000000001"/>
    <n v="1393.7032301999998"/>
    <n v="97.704797490889874"/>
    <n v="917.19862224241103"/>
    <x v="2"/>
  </r>
  <r>
    <s v="Sistema Isolado - Regular"/>
    <x v="1"/>
    <x v="1"/>
    <x v="1"/>
    <x v="2"/>
    <x v="1"/>
    <x v="0"/>
    <x v="0"/>
    <x v="10"/>
    <n v="91"/>
    <n v="91"/>
    <n v="36.326000000000001"/>
    <n v="36.326000000000001"/>
    <n v="36.326000000000001"/>
    <n v="36.326000000000001"/>
    <n v="0"/>
    <s v="CATIVO"/>
    <n v="0"/>
    <n v="20"/>
    <n v="21"/>
    <n v="75"/>
    <n v="18.611999999999998"/>
    <n v="79.251400000000004"/>
    <n v="157.97639999999998"/>
    <n v="19.994441680625144"/>
    <n v="110.03488097513747"/>
    <n v="212.17031872758153"/>
    <n v="108.10799999999999"/>
    <n v="550.05555719999995"/>
    <n v="56.2730162763986"/>
    <n v="361.9925593113702"/>
    <x v="2"/>
  </r>
  <r>
    <s v="Regular"/>
    <x v="1"/>
    <x v="1"/>
    <x v="1"/>
    <x v="2"/>
    <x v="1"/>
    <x v="0"/>
    <x v="0"/>
    <x v="11"/>
    <n v="156"/>
    <n v="156"/>
    <n v="85.494"/>
    <n v="85.494"/>
    <n v="85.494"/>
    <n v="85.494"/>
    <n v="0"/>
    <s v="CATIVO"/>
    <n v="0"/>
    <n v="20"/>
    <n v="21"/>
    <n v="75"/>
    <n v="18.611999999999998"/>
    <n v="79.251400000000004"/>
    <n v="157.97639999999998"/>
    <n v="19.994441680625144"/>
    <n v="110.03488097513747"/>
    <n v="212.17031872758153"/>
    <n v="185.328"/>
    <n v="1294.5672468"/>
    <n v="96.468027902397594"/>
    <n v="851.95705185724523"/>
    <x v="2"/>
  </r>
  <r>
    <s v="Sistema Isolado - Regular"/>
    <x v="1"/>
    <x v="1"/>
    <x v="1"/>
    <x v="2"/>
    <x v="1"/>
    <x v="0"/>
    <x v="0"/>
    <x v="11"/>
    <n v="90"/>
    <n v="90"/>
    <n v="40.375"/>
    <n v="40.375"/>
    <n v="40.375"/>
    <n v="40.375"/>
    <n v="0"/>
    <s v="CATIVO"/>
    <n v="0"/>
    <n v="20"/>
    <n v="21"/>
    <n v="75"/>
    <n v="18.611999999999998"/>
    <n v="79.251400000000004"/>
    <n v="157.97639999999998"/>
    <n v="19.994441680625144"/>
    <n v="110.03488097513747"/>
    <n v="212.17031872758153"/>
    <n v="106.91999999999999"/>
    <n v="611.36632499999985"/>
    <n v="55.65463148215246"/>
    <n v="402.34128674218391"/>
    <x v="2"/>
  </r>
  <r>
    <s v="Regular"/>
    <x v="1"/>
    <x v="1"/>
    <x v="1"/>
    <x v="2"/>
    <x v="1"/>
    <x v="0"/>
    <x v="0"/>
    <x v="6"/>
    <n v="160"/>
    <n v="160"/>
    <n v="93.093000000000004"/>
    <n v="93.093000000000004"/>
    <n v="93.093000000000004"/>
    <n v="93.093000000000004"/>
    <n v="0"/>
    <s v="CATIVO"/>
    <n v="0"/>
    <n v="20"/>
    <n v="21"/>
    <n v="75"/>
    <n v="18.611999999999998"/>
    <n v="79.251400000000004"/>
    <n v="157.97639999999998"/>
    <n v="19.994441680625144"/>
    <n v="110.03488097513747"/>
    <n v="212.17031872758153"/>
    <n v="190.07999999999996"/>
    <n v="1409.6328246"/>
    <n v="98.941567079382153"/>
    <n v="927.68191719356366"/>
    <x v="2"/>
  </r>
  <r>
    <s v="Sistema Isolado - Regular"/>
    <x v="1"/>
    <x v="1"/>
    <x v="1"/>
    <x v="2"/>
    <x v="1"/>
    <x v="0"/>
    <x v="0"/>
    <x v="6"/>
    <n v="91"/>
    <n v="91"/>
    <n v="36.768999999999998"/>
    <n v="36.768999999999998"/>
    <n v="36.768999999999998"/>
    <n v="36.768999999999998"/>
    <n v="0"/>
    <s v="CATIVO"/>
    <n v="0"/>
    <n v="20"/>
    <n v="21"/>
    <n v="75"/>
    <n v="18.611999999999998"/>
    <n v="79.251400000000004"/>
    <n v="157.97639999999998"/>
    <n v="19.994441680625144"/>
    <n v="110.03488097513747"/>
    <n v="212.17031872758153"/>
    <n v="108.10799999999999"/>
    <n v="556.76355179999996"/>
    <n v="56.2730162763986"/>
    <n v="366.40710271760639"/>
    <x v="2"/>
  </r>
  <r>
    <s v="Regular"/>
    <x v="1"/>
    <x v="1"/>
    <x v="1"/>
    <x v="2"/>
    <x v="1"/>
    <x v="0"/>
    <x v="0"/>
    <x v="7"/>
    <n v="160"/>
    <n v="160"/>
    <n v="88.587000000000003"/>
    <n v="88.587000000000003"/>
    <n v="88.587000000000003"/>
    <n v="88.587000000000003"/>
    <n v="0"/>
    <s v="CATIVO"/>
    <n v="0"/>
    <n v="20"/>
    <n v="21"/>
    <n v="75"/>
    <n v="18.611999999999998"/>
    <n v="79.251400000000004"/>
    <n v="157.97639999999998"/>
    <n v="19.994441680625144"/>
    <n v="110.03488097513747"/>
    <n v="212.17031872758153"/>
    <n v="190.07999999999996"/>
    <n v="1341.4020714000001"/>
    <n v="98.941567079382153"/>
    <n v="882.77913482674546"/>
    <x v="2"/>
  </r>
  <r>
    <s v="Sistema Isolado - Regular"/>
    <x v="1"/>
    <x v="1"/>
    <x v="1"/>
    <x v="2"/>
    <x v="1"/>
    <x v="0"/>
    <x v="0"/>
    <x v="7"/>
    <n v="93"/>
    <n v="93"/>
    <n v="39.274999999999999"/>
    <n v="39.274999999999999"/>
    <n v="39.274999999999999"/>
    <n v="39.274999999999999"/>
    <n v="0"/>
    <s v="CATIVO"/>
    <n v="0"/>
    <n v="20"/>
    <n v="21"/>
    <n v="75"/>
    <n v="18.611999999999998"/>
    <n v="79.251400000000004"/>
    <n v="157.97639999999998"/>
    <n v="19.994441680625144"/>
    <n v="110.03488097513747"/>
    <n v="212.17031872758153"/>
    <n v="110.48399999999999"/>
    <n v="594.70990499999994"/>
    <n v="57.50978586489088"/>
    <n v="391.37966654611199"/>
    <x v="2"/>
  </r>
  <r>
    <s v="Regular"/>
    <x v="1"/>
    <x v="1"/>
    <x v="1"/>
    <x v="2"/>
    <x v="1"/>
    <x v="0"/>
    <x v="0"/>
    <x v="8"/>
    <n v="158"/>
    <n v="158"/>
    <n v="92.653000000000006"/>
    <n v="92.653000000000006"/>
    <n v="92.653000000000006"/>
    <n v="92.653000000000006"/>
    <n v="0"/>
    <s v="CATIVO"/>
    <n v="0"/>
    <n v="20"/>
    <n v="21"/>
    <n v="75"/>
    <n v="18.611999999999998"/>
    <n v="79.251400000000004"/>
    <n v="157.97639999999998"/>
    <n v="19.994441680625144"/>
    <n v="110.03488097513747"/>
    <n v="212.17031872758153"/>
    <n v="187.70400000000001"/>
    <n v="1402.9702566000001"/>
    <n v="97.704797490889874"/>
    <n v="923.29726911513467"/>
    <x v="2"/>
  </r>
  <r>
    <s v="Sistema Isolado - Regular"/>
    <x v="1"/>
    <x v="1"/>
    <x v="1"/>
    <x v="2"/>
    <x v="1"/>
    <x v="0"/>
    <x v="0"/>
    <x v="8"/>
    <n v="94"/>
    <n v="94"/>
    <n v="38.981999999999999"/>
    <n v="38.981999999999999"/>
    <n v="38.981999999999999"/>
    <n v="38.981999999999999"/>
    <n v="0"/>
    <s v="CATIVO"/>
    <n v="0"/>
    <n v="20"/>
    <n v="21"/>
    <n v="75"/>
    <n v="18.611999999999998"/>
    <n v="79.251400000000004"/>
    <n v="157.97639999999998"/>
    <n v="19.994441680625144"/>
    <n v="110.03488097513747"/>
    <n v="212.17031872758153"/>
    <n v="111.67199999999998"/>
    <n v="590.27324039999996"/>
    <n v="58.128170659137012"/>
    <n v="388.45988953024926"/>
    <x v="2"/>
  </r>
  <r>
    <s v="Regular"/>
    <x v="1"/>
    <x v="1"/>
    <x v="1"/>
    <x v="2"/>
    <x v="1"/>
    <x v="0"/>
    <x v="0"/>
    <x v="0"/>
    <n v="159"/>
    <n v="159"/>
    <n v="85.656000000000006"/>
    <n v="85.656000000000006"/>
    <n v="85.656000000000006"/>
    <n v="85.656000000000006"/>
    <n v="0"/>
    <s v="CATIVO"/>
    <n v="0"/>
    <n v="20"/>
    <n v="21"/>
    <n v="75"/>
    <n v="18.611999999999998"/>
    <n v="79.251400000000004"/>
    <n v="157.97639999999998"/>
    <n v="19.994441680625144"/>
    <n v="110.03488097513747"/>
    <n v="212.17031872758153"/>
    <n v="188.892"/>
    <n v="1297.0202832"/>
    <n v="98.323182285136014"/>
    <n v="853.57139955884838"/>
    <x v="2"/>
  </r>
  <r>
    <s v="Sistema Isolado - Regular"/>
    <x v="1"/>
    <x v="1"/>
    <x v="1"/>
    <x v="2"/>
    <x v="1"/>
    <x v="0"/>
    <x v="0"/>
    <x v="0"/>
    <n v="93"/>
    <n v="93"/>
    <n v="45.875"/>
    <n v="45.875"/>
    <n v="45.875"/>
    <n v="45.875"/>
    <n v="0"/>
    <s v="CATIVO"/>
    <n v="0"/>
    <n v="20"/>
    <n v="21"/>
    <n v="75"/>
    <n v="18.611999999999998"/>
    <n v="79.251400000000004"/>
    <n v="157.97639999999998"/>
    <n v="19.994441680625144"/>
    <n v="110.03488097513747"/>
    <n v="212.17031872758153"/>
    <n v="110.48399999999999"/>
    <n v="694.64842499999997"/>
    <n v="57.50978586489088"/>
    <n v="457.14938772254334"/>
    <x v="2"/>
  </r>
  <r>
    <s v="Regular"/>
    <x v="1"/>
    <x v="1"/>
    <x v="1"/>
    <x v="2"/>
    <x v="1"/>
    <x v="0"/>
    <x v="0"/>
    <x v="1"/>
    <n v="155"/>
    <n v="155"/>
    <n v="93.438999999999993"/>
    <n v="93.438999999999993"/>
    <n v="93.438999999999993"/>
    <n v="93.438999999999993"/>
    <n v="0"/>
    <s v="CATIVO"/>
    <n v="0"/>
    <n v="20"/>
    <n v="21"/>
    <n v="75"/>
    <n v="18.611999999999998"/>
    <n v="79.251400000000004"/>
    <n v="157.97639999999998"/>
    <n v="19.994441680625144"/>
    <n v="110.03488097513747"/>
    <n v="212.17031872758153"/>
    <n v="184.14"/>
    <n v="1414.8720258000001"/>
    <n v="95.849643108151454"/>
    <n v="931.12984500069149"/>
    <x v="2"/>
  </r>
  <r>
    <s v="Sistema Isolado - Regular"/>
    <x v="1"/>
    <x v="1"/>
    <x v="1"/>
    <x v="2"/>
    <x v="1"/>
    <x v="0"/>
    <x v="0"/>
    <x v="1"/>
    <n v="94"/>
    <n v="94"/>
    <n v="47.609000000000002"/>
    <n v="47.609000000000002"/>
    <n v="47.609000000000002"/>
    <n v="47.609000000000002"/>
    <n v="0"/>
    <s v="CATIVO"/>
    <n v="0"/>
    <n v="20"/>
    <n v="21"/>
    <n v="75"/>
    <n v="18.611999999999998"/>
    <n v="79.251400000000004"/>
    <n v="157.97639999999998"/>
    <n v="19.994441680625144"/>
    <n v="110.03488097513747"/>
    <n v="212.17031872758153"/>
    <n v="111.67199999999998"/>
    <n v="720.90499980000004"/>
    <n v="58.128170659137012"/>
    <n v="474.42888719526024"/>
    <x v="2"/>
  </r>
  <r>
    <s v="Regular"/>
    <x v="1"/>
    <x v="1"/>
    <x v="1"/>
    <x v="2"/>
    <x v="1"/>
    <x v="0"/>
    <x v="0"/>
    <x v="2"/>
    <n v="161"/>
    <n v="161"/>
    <n v="95.522999999999996"/>
    <n v="95.522999999999996"/>
    <n v="95.522999999999996"/>
    <n v="95.522999999999996"/>
    <n v="0"/>
    <s v="CATIVO"/>
    <n v="0"/>
    <n v="20"/>
    <n v="21"/>
    <n v="75"/>
    <n v="18.611999999999998"/>
    <n v="79.251400000000004"/>
    <n v="157.97639999999998"/>
    <n v="19.994441680625144"/>
    <n v="110.03488097513747"/>
    <n v="212.17031872758153"/>
    <n v="191.26799999999997"/>
    <n v="1446.4283705999999"/>
    <n v="99.559951873628293"/>
    <n v="951.8971327176132"/>
    <x v="2"/>
  </r>
  <r>
    <s v="Sistema Isolado - Regular"/>
    <x v="1"/>
    <x v="1"/>
    <x v="1"/>
    <x v="2"/>
    <x v="1"/>
    <x v="0"/>
    <x v="0"/>
    <x v="2"/>
    <n v="104"/>
    <n v="104"/>
    <n v="48.96"/>
    <n v="48.96"/>
    <n v="48.96"/>
    <n v="48.96"/>
    <n v="0"/>
    <s v="CATIVO"/>
    <n v="0"/>
    <n v="20"/>
    <n v="21"/>
    <n v="75"/>
    <n v="18.611999999999998"/>
    <n v="79.251400000000004"/>
    <n v="157.97639999999998"/>
    <n v="19.994441680625144"/>
    <n v="110.03488097513747"/>
    <n v="212.17031872758153"/>
    <n v="123.55199999999999"/>
    <n v="741.36211199999991"/>
    <n v="64.312018601598396"/>
    <n v="487.89174981789034"/>
    <x v="2"/>
  </r>
  <r>
    <s v="Regular"/>
    <x v="1"/>
    <x v="1"/>
    <x v="1"/>
    <x v="2"/>
    <x v="1"/>
    <x v="0"/>
    <x v="0"/>
    <x v="3"/>
    <n v="162"/>
    <n v="162"/>
    <n v="92.162000000000006"/>
    <n v="92.162000000000006"/>
    <n v="92.162000000000006"/>
    <n v="92.162000000000006"/>
    <n v="0"/>
    <s v="CATIVO"/>
    <n v="0"/>
    <n v="20"/>
    <n v="21"/>
    <n v="75"/>
    <n v="18.611999999999998"/>
    <n v="79.251400000000004"/>
    <n v="157.97639999999998"/>
    <n v="19.994441680625144"/>
    <n v="110.03488097513747"/>
    <n v="212.17031872758153"/>
    <n v="192.45599999999999"/>
    <n v="1395.5354364"/>
    <n v="100.17833666787443"/>
    <n v="918.40440046397907"/>
    <x v="2"/>
  </r>
  <r>
    <s v="Sistema Isolado - Regular"/>
    <x v="1"/>
    <x v="1"/>
    <x v="1"/>
    <x v="2"/>
    <x v="1"/>
    <x v="0"/>
    <x v="0"/>
    <x v="3"/>
    <n v="120"/>
    <n v="120"/>
    <n v="51.665999999999997"/>
    <n v="51.665999999999997"/>
    <n v="51.665999999999997"/>
    <n v="51.665999999999997"/>
    <n v="0"/>
    <s v="CATIVO"/>
    <n v="0"/>
    <n v="20"/>
    <n v="21"/>
    <n v="75"/>
    <n v="18.611999999999998"/>
    <n v="79.251400000000004"/>
    <n v="157.97639999999998"/>
    <n v="19.994441680625144"/>
    <n v="110.03488097513747"/>
    <n v="212.17031872758153"/>
    <n v="142.56"/>
    <n v="782.33690520000005"/>
    <n v="74.206175309536619"/>
    <n v="514.85733550022712"/>
    <x v="2"/>
  </r>
  <r>
    <s v="Regular"/>
    <x v="1"/>
    <x v="1"/>
    <x v="1"/>
    <x v="2"/>
    <x v="1"/>
    <x v="0"/>
    <x v="0"/>
    <x v="4"/>
    <n v="211"/>
    <n v="211"/>
    <n v="133.714"/>
    <n v="133.714"/>
    <n v="133.714"/>
    <n v="133.714"/>
    <n v="0"/>
    <s v="CATIVO"/>
    <n v="0"/>
    <n v="20"/>
    <n v="21"/>
    <n v="75"/>
    <n v="18.611999999999998"/>
    <n v="79.251400000000004"/>
    <n v="157.97639999999998"/>
    <n v="19.994441680625144"/>
    <n v="110.03488097513747"/>
    <n v="212.17031872758153"/>
    <n v="250.66799999999998"/>
    <n v="2024.7241307999998"/>
    <n v="130.47919158593521"/>
    <n v="1332.47462081596"/>
    <x v="2"/>
  </r>
  <r>
    <s v="Sistema Isolado - Regular"/>
    <x v="1"/>
    <x v="1"/>
    <x v="1"/>
    <x v="2"/>
    <x v="1"/>
    <x v="0"/>
    <x v="0"/>
    <x v="4"/>
    <n v="171"/>
    <n v="171"/>
    <n v="98.372"/>
    <n v="98.372"/>
    <n v="98.372"/>
    <n v="98.372"/>
    <n v="0"/>
    <s v="CATIVO"/>
    <n v="0"/>
    <n v="20"/>
    <n v="21"/>
    <n v="75"/>
    <n v="18.611999999999998"/>
    <n v="79.251400000000004"/>
    <n v="157.97639999999998"/>
    <n v="19.994441680625144"/>
    <n v="110.03488097513747"/>
    <n v="212.17031872758153"/>
    <n v="203.14799999999997"/>
    <n v="1489.5684984"/>
    <n v="105.74379981608968"/>
    <n v="980.28772902543938"/>
    <x v="2"/>
  </r>
  <r>
    <s v="PROJETADO"/>
    <x v="1"/>
    <x v="1"/>
    <x v="1"/>
    <x v="2"/>
    <x v="1"/>
    <x v="0"/>
    <x v="0"/>
    <x v="5"/>
    <n v="211"/>
    <n v="211"/>
    <n v="133.714"/>
    <n v="133.714"/>
    <n v="133.714"/>
    <n v="133.714"/>
    <n v="0"/>
    <s v="CATIVO"/>
    <n v="0"/>
    <n v="20"/>
    <n v="21"/>
    <n v="75"/>
    <n v="18.611999999999998"/>
    <n v="79.251400000000004"/>
    <n v="157.97639999999998"/>
    <n v="19.994441680625144"/>
    <n v="110.03488097513747"/>
    <n v="212.17031872758153"/>
    <n v="250.66799999999998"/>
    <n v="2024.7241307999998"/>
    <n v="130.47919158593521"/>
    <n v="1332.47462081596"/>
    <x v="2"/>
  </r>
  <r>
    <s v="PROJETADO"/>
    <x v="1"/>
    <x v="1"/>
    <x v="1"/>
    <x v="2"/>
    <x v="1"/>
    <x v="0"/>
    <x v="0"/>
    <x v="5"/>
    <n v="171"/>
    <n v="171"/>
    <n v="98.372"/>
    <n v="98.372"/>
    <n v="98.372"/>
    <n v="98.372"/>
    <n v="0"/>
    <s v="CATIVO"/>
    <n v="0"/>
    <n v="20"/>
    <n v="21"/>
    <n v="75"/>
    <n v="18.611999999999998"/>
    <n v="79.251400000000004"/>
    <n v="157.97639999999998"/>
    <n v="19.994441680625144"/>
    <n v="110.03488097513747"/>
    <n v="212.17031872758153"/>
    <n v="203.14799999999997"/>
    <n v="1489.5684984"/>
    <n v="105.74379981608968"/>
    <n v="980.28772902543938"/>
    <x v="2"/>
  </r>
  <r>
    <s v="Regular"/>
    <x v="1"/>
    <x v="1"/>
    <x v="1"/>
    <x v="2"/>
    <x v="1"/>
    <x v="0"/>
    <x v="2"/>
    <x v="9"/>
    <n v="1953"/>
    <n v="1953"/>
    <n v="58.834000000000003"/>
    <n v="58.834000000000003"/>
    <n v="58.834000000000003"/>
    <n v="58.834000000000003"/>
    <n v="0"/>
    <s v="CATIVO"/>
    <n v="0"/>
    <n v="19"/>
    <n v="21"/>
    <n v="74"/>
    <n v="52.846799999999995"/>
    <n v="79.251400000000004"/>
    <n v="254.08199999999999"/>
    <n v="54.611727594784298"/>
    <n v="110.03488097513747"/>
    <n v="351.82269927635298"/>
    <n v="6587.8595999999998"/>
    <n v="1251.7874844"/>
    <n v="3298.660948225167"/>
    <n v="840.39986216029456"/>
    <x v="2"/>
  </r>
  <r>
    <s v="Sistema Isolado - Regular"/>
    <x v="1"/>
    <x v="1"/>
    <x v="1"/>
    <x v="2"/>
    <x v="1"/>
    <x v="0"/>
    <x v="2"/>
    <x v="9"/>
    <n v="95"/>
    <n v="95"/>
    <n v="4.5919999999999996"/>
    <n v="4.5919999999999996"/>
    <n v="4.5919999999999996"/>
    <n v="4.5919999999999996"/>
    <n v="0"/>
    <s v="CATIVO"/>
    <n v="0"/>
    <n v="19"/>
    <n v="21"/>
    <n v="74"/>
    <n v="52.846799999999995"/>
    <n v="79.251400000000004"/>
    <n v="254.08199999999999"/>
    <n v="54.611727594784298"/>
    <n v="110.03488097513747"/>
    <n v="351.82269927635298"/>
    <n v="320.45399999999995"/>
    <n v="97.702147199999999"/>
    <n v="160.45713777848994"/>
    <n v="65.593299232417849"/>
    <x v="2"/>
  </r>
  <r>
    <s v="Regular"/>
    <x v="1"/>
    <x v="1"/>
    <x v="1"/>
    <x v="2"/>
    <x v="1"/>
    <x v="0"/>
    <x v="2"/>
    <x v="10"/>
    <n v="157"/>
    <n v="157"/>
    <n v="10.702"/>
    <n v="10.702"/>
    <n v="10.702"/>
    <n v="10.702"/>
    <n v="0"/>
    <s v="CATIVO"/>
    <n v="0"/>
    <n v="19"/>
    <n v="21"/>
    <n v="74"/>
    <n v="52.846799999999995"/>
    <n v="79.251400000000004"/>
    <n v="254.08199999999999"/>
    <n v="54.611727594784298"/>
    <n v="110.03488097513747"/>
    <n v="351.82269927635298"/>
    <n v="529.5924"/>
    <n v="227.7021732"/>
    <n v="265.17653296024122"/>
    <n v="152.87009764489019"/>
    <x v="2"/>
  </r>
  <r>
    <s v="Sistema Isolado - Regular"/>
    <x v="1"/>
    <x v="1"/>
    <x v="1"/>
    <x v="2"/>
    <x v="1"/>
    <x v="0"/>
    <x v="2"/>
    <x v="10"/>
    <n v="89"/>
    <n v="89"/>
    <n v="5.6580000000000004"/>
    <n v="5.6580000000000004"/>
    <n v="5.6580000000000004"/>
    <n v="5.6580000000000004"/>
    <n v="0"/>
    <s v="CATIVO"/>
    <n v="0"/>
    <n v="19"/>
    <n v="21"/>
    <n v="74"/>
    <n v="52.846799999999995"/>
    <n v="79.251400000000004"/>
    <n v="254.08199999999999"/>
    <n v="54.611727594784298"/>
    <n v="110.03488097513747"/>
    <n v="351.82269927635298"/>
    <n v="300.21479999999997"/>
    <n v="120.38300280000001"/>
    <n v="150.32300276090112"/>
    <n v="80.820315125657714"/>
    <x v="2"/>
  </r>
  <r>
    <s v="Regular"/>
    <x v="1"/>
    <x v="1"/>
    <x v="1"/>
    <x v="2"/>
    <x v="1"/>
    <x v="0"/>
    <x v="2"/>
    <x v="11"/>
    <n v="155"/>
    <n v="155"/>
    <n v="10.286"/>
    <n v="10.286"/>
    <n v="10.286"/>
    <n v="10.286"/>
    <n v="0"/>
    <s v="CATIVO"/>
    <n v="0"/>
    <n v="19"/>
    <n v="21"/>
    <n v="74"/>
    <n v="52.846799999999995"/>
    <n v="79.251400000000004"/>
    <n v="254.08199999999999"/>
    <n v="54.611727594784298"/>
    <n v="110.03488097513747"/>
    <n v="351.82269927635298"/>
    <n v="522.846"/>
    <n v="218.85110760000001"/>
    <n v="261.79848795437834"/>
    <n v="146.92784754021125"/>
    <x v="2"/>
  </r>
  <r>
    <s v="Sistema Isolado - Regular"/>
    <x v="1"/>
    <x v="1"/>
    <x v="1"/>
    <x v="2"/>
    <x v="1"/>
    <x v="0"/>
    <x v="2"/>
    <x v="11"/>
    <n v="87"/>
    <n v="87"/>
    <n v="4.9939999999999998"/>
    <n v="4.9939999999999998"/>
    <n v="4.9939999999999998"/>
    <n v="4.9939999999999998"/>
    <n v="0"/>
    <s v="CATIVO"/>
    <n v="0"/>
    <n v="19"/>
    <n v="21"/>
    <n v="74"/>
    <n v="52.846799999999995"/>
    <n v="79.251400000000004"/>
    <n v="254.08199999999999"/>
    <n v="54.611727594784298"/>
    <n v="110.03488097513747"/>
    <n v="351.82269927635298"/>
    <n v="293.46839999999997"/>
    <n v="106.25534039999999"/>
    <n v="146.94495775503816"/>
    <n v="71.335569766266289"/>
    <x v="2"/>
  </r>
  <r>
    <s v="Regular"/>
    <x v="1"/>
    <x v="1"/>
    <x v="1"/>
    <x v="2"/>
    <x v="1"/>
    <x v="0"/>
    <x v="2"/>
    <x v="6"/>
    <n v="152"/>
    <n v="152"/>
    <n v="11.295"/>
    <n v="11.295"/>
    <n v="11.295"/>
    <n v="11.295"/>
    <n v="0"/>
    <s v="CATIVO"/>
    <n v="0"/>
    <n v="19"/>
    <n v="21"/>
    <n v="74"/>
    <n v="52.846799999999995"/>
    <n v="79.251400000000004"/>
    <n v="254.08199999999999"/>
    <n v="54.611727594784298"/>
    <n v="110.03488097513747"/>
    <n v="351.82269927635298"/>
    <n v="512.7263999999999"/>
    <n v="240.31919700000003"/>
    <n v="256.73142044558392"/>
    <n v="161.34066089506962"/>
    <x v="2"/>
  </r>
  <r>
    <s v="Sistema Isolado - Regular"/>
    <x v="1"/>
    <x v="1"/>
    <x v="1"/>
    <x v="2"/>
    <x v="1"/>
    <x v="0"/>
    <x v="2"/>
    <x v="6"/>
    <n v="89"/>
    <n v="89"/>
    <n v="4.6829999999999998"/>
    <n v="4.6829999999999998"/>
    <n v="4.6829999999999998"/>
    <n v="4.6829999999999998"/>
    <n v="0"/>
    <s v="CATIVO"/>
    <n v="0"/>
    <n v="19"/>
    <n v="21"/>
    <n v="74"/>
    <n v="52.846799999999995"/>
    <n v="79.251400000000004"/>
    <n v="254.08199999999999"/>
    <n v="54.611727594784298"/>
    <n v="110.03488097513747"/>
    <n v="351.82269927635298"/>
    <n v="300.21479999999997"/>
    <n v="99.63831780000001"/>
    <n v="150.32300276090112"/>
    <n v="66.893166442816366"/>
    <x v="2"/>
  </r>
  <r>
    <s v="Regular"/>
    <x v="1"/>
    <x v="1"/>
    <x v="1"/>
    <x v="2"/>
    <x v="1"/>
    <x v="0"/>
    <x v="2"/>
    <x v="7"/>
    <n v="152"/>
    <n v="152"/>
    <n v="10.167"/>
    <n v="10.167"/>
    <n v="10.167"/>
    <n v="10.167"/>
    <n v="0"/>
    <s v="CATIVO"/>
    <n v="0"/>
    <n v="19"/>
    <n v="21"/>
    <n v="74"/>
    <n v="52.846799999999995"/>
    <n v="79.251400000000004"/>
    <n v="254.08199999999999"/>
    <n v="54.611727594784298"/>
    <n v="110.03488097513747"/>
    <n v="351.82269927635298"/>
    <n v="512.7263999999999"/>
    <n v="216.3191922"/>
    <n v="256.73142044558392"/>
    <n v="145.22802118815164"/>
    <x v="2"/>
  </r>
  <r>
    <s v="Sistema Isolado - Regular"/>
    <x v="1"/>
    <x v="1"/>
    <x v="1"/>
    <x v="2"/>
    <x v="1"/>
    <x v="0"/>
    <x v="2"/>
    <x v="7"/>
    <n v="90"/>
    <n v="90"/>
    <n v="5.32"/>
    <n v="5.32"/>
    <n v="5.32"/>
    <n v="5.32"/>
    <n v="0"/>
    <s v="CATIVO"/>
    <n v="0"/>
    <n v="19"/>
    <n v="21"/>
    <n v="74"/>
    <n v="52.846799999999995"/>
    <n v="79.251400000000004"/>
    <n v="254.08199999999999"/>
    <n v="54.611727594784298"/>
    <n v="110.03488097513747"/>
    <n v="351.82269927635298"/>
    <n v="303.58799999999997"/>
    <n v="113.19151199999999"/>
    <n v="152.01202526383258"/>
    <n v="75.992236915606071"/>
    <x v="2"/>
  </r>
  <r>
    <s v="Regular"/>
    <x v="1"/>
    <x v="1"/>
    <x v="1"/>
    <x v="2"/>
    <x v="1"/>
    <x v="0"/>
    <x v="2"/>
    <x v="8"/>
    <n v="158"/>
    <n v="158"/>
    <n v="10.941000000000001"/>
    <n v="10.941000000000001"/>
    <n v="10.941000000000001"/>
    <n v="10.941000000000001"/>
    <n v="0"/>
    <s v="CATIVO"/>
    <n v="0"/>
    <n v="19"/>
    <n v="21"/>
    <n v="74"/>
    <n v="52.846799999999995"/>
    <n v="79.251400000000004"/>
    <n v="254.08199999999999"/>
    <n v="54.611727594784298"/>
    <n v="110.03488097513747"/>
    <n v="351.82269927635298"/>
    <n v="532.96559999999999"/>
    <n v="232.78728060000003"/>
    <n v="266.86555546317277"/>
    <n v="156.28403460406878"/>
    <x v="2"/>
  </r>
  <r>
    <s v="Sistema Isolado - Regular"/>
    <x v="1"/>
    <x v="1"/>
    <x v="1"/>
    <x v="2"/>
    <x v="1"/>
    <x v="0"/>
    <x v="2"/>
    <x v="8"/>
    <n v="89"/>
    <n v="89"/>
    <n v="3.4540000000000002"/>
    <n v="3.4540000000000002"/>
    <n v="3.4540000000000002"/>
    <n v="3.4540000000000002"/>
    <n v="0"/>
    <s v="CATIVO"/>
    <n v="0"/>
    <n v="19"/>
    <n v="21"/>
    <n v="74"/>
    <n v="52.846799999999995"/>
    <n v="79.251400000000004"/>
    <n v="254.08199999999999"/>
    <n v="54.611727594784298"/>
    <n v="110.03488097513747"/>
    <n v="351.82269927635298"/>
    <n v="300.21479999999997"/>
    <n v="73.489376400000012"/>
    <n v="150.32300276090112"/>
    <n v="49.337816974906644"/>
    <x v="2"/>
  </r>
  <r>
    <s v="Regular"/>
    <x v="1"/>
    <x v="1"/>
    <x v="1"/>
    <x v="2"/>
    <x v="1"/>
    <x v="0"/>
    <x v="2"/>
    <x v="0"/>
    <n v="158"/>
    <n v="158"/>
    <n v="10.625999999999999"/>
    <n v="10.625999999999999"/>
    <n v="10.625999999999999"/>
    <n v="10.625999999999999"/>
    <n v="0"/>
    <s v="CATIVO"/>
    <n v="0"/>
    <n v="19"/>
    <n v="21"/>
    <n v="74"/>
    <n v="52.846799999999995"/>
    <n v="79.251400000000004"/>
    <n v="254.08199999999999"/>
    <n v="54.611727594784298"/>
    <n v="110.03488097513747"/>
    <n v="351.82269927635298"/>
    <n v="532.96559999999999"/>
    <n v="226.08515159999999"/>
    <n v="266.86555546317277"/>
    <n v="151.78449426038156"/>
    <x v="2"/>
  </r>
  <r>
    <s v="Sistema Isolado - Regular"/>
    <x v="1"/>
    <x v="1"/>
    <x v="1"/>
    <x v="2"/>
    <x v="1"/>
    <x v="0"/>
    <x v="2"/>
    <x v="0"/>
    <n v="91"/>
    <n v="91"/>
    <n v="1.837"/>
    <n v="1.837"/>
    <n v="1.837"/>
    <n v="1.837"/>
    <n v="0"/>
    <s v="CATIVO"/>
    <n v="0"/>
    <n v="19"/>
    <n v="21"/>
    <n v="74"/>
    <n v="52.846799999999995"/>
    <n v="79.251400000000004"/>
    <n v="254.08199999999999"/>
    <n v="54.611727594784298"/>
    <n v="110.03488097513747"/>
    <n v="351.82269927635298"/>
    <n v="306.96120000000002"/>
    <n v="39.0851142"/>
    <n v="153.70104776676405"/>
    <n v="26.240176543979008"/>
    <x v="2"/>
  </r>
  <r>
    <s v="Regular"/>
    <x v="1"/>
    <x v="1"/>
    <x v="1"/>
    <x v="2"/>
    <x v="1"/>
    <x v="0"/>
    <x v="2"/>
    <x v="1"/>
    <n v="155"/>
    <n v="155"/>
    <n v="11.025"/>
    <n v="11.025"/>
    <n v="11.025"/>
    <n v="11.025"/>
    <n v="0"/>
    <s v="CATIVO"/>
    <n v="0"/>
    <n v="19"/>
    <n v="21"/>
    <n v="74"/>
    <n v="52.846799999999995"/>
    <n v="79.251400000000004"/>
    <n v="254.08199999999999"/>
    <n v="54.611727594784298"/>
    <n v="110.03488097513747"/>
    <n v="351.82269927635298"/>
    <n v="522.846"/>
    <n v="234.57451500000002"/>
    <n v="261.79848795437834"/>
    <n v="157.48391202905202"/>
    <x v="2"/>
  </r>
  <r>
    <s v="Sistema Isolado - Regular"/>
    <x v="1"/>
    <x v="1"/>
    <x v="1"/>
    <x v="2"/>
    <x v="1"/>
    <x v="0"/>
    <x v="2"/>
    <x v="1"/>
    <n v="92"/>
    <n v="92"/>
    <n v="3.1419999999999999"/>
    <n v="3.1419999999999999"/>
    <n v="3.1419999999999999"/>
    <n v="3.1419999999999999"/>
    <n v="0"/>
    <s v="CATIVO"/>
    <n v="0"/>
    <n v="19"/>
    <n v="21"/>
    <n v="74"/>
    <n v="52.846799999999995"/>
    <n v="79.251400000000004"/>
    <n v="254.08199999999999"/>
    <n v="54.611727594784298"/>
    <n v="110.03488097513747"/>
    <n v="351.82269927635298"/>
    <n v="310.33439999999996"/>
    <n v="66.851077200000006"/>
    <n v="155.39007026969554"/>
    <n v="44.881129396397412"/>
    <x v="2"/>
  </r>
  <r>
    <s v="Regular"/>
    <x v="1"/>
    <x v="1"/>
    <x v="1"/>
    <x v="2"/>
    <x v="1"/>
    <x v="0"/>
    <x v="2"/>
    <x v="2"/>
    <n v="160"/>
    <n v="160"/>
    <n v="11.971"/>
    <n v="11.971"/>
    <n v="11.971"/>
    <n v="11.971"/>
    <n v="0"/>
    <s v="CATIVO"/>
    <n v="0"/>
    <n v="19"/>
    <n v="21"/>
    <n v="74"/>
    <n v="52.846799999999995"/>
    <n v="79.251400000000004"/>
    <n v="254.08199999999999"/>
    <n v="54.611727594784298"/>
    <n v="110.03488097513747"/>
    <n v="351.82269927635298"/>
    <n v="539.71199999999999"/>
    <n v="254.7021786"/>
    <n v="270.24360046903564"/>
    <n v="170.99681731517293"/>
    <x v="2"/>
  </r>
  <r>
    <s v="Sistema Isolado - Regular"/>
    <x v="1"/>
    <x v="1"/>
    <x v="1"/>
    <x v="2"/>
    <x v="1"/>
    <x v="0"/>
    <x v="2"/>
    <x v="2"/>
    <n v="92"/>
    <n v="92"/>
    <n v="2.6739999999999999"/>
    <n v="2.6739999999999999"/>
    <n v="2.6739999999999999"/>
    <n v="2.6739999999999999"/>
    <n v="0"/>
    <s v="CATIVO"/>
    <n v="0"/>
    <n v="19"/>
    <n v="21"/>
    <n v="74"/>
    <n v="52.846799999999995"/>
    <n v="79.251400000000004"/>
    <n v="254.08199999999999"/>
    <n v="54.611727594784298"/>
    <n v="110.03488097513747"/>
    <n v="351.82269927635298"/>
    <n v="310.33439999999996"/>
    <n v="56.893628399999997"/>
    <n v="155.39007026969554"/>
    <n v="38.196098028633571"/>
    <x v="2"/>
  </r>
  <r>
    <s v="Regular"/>
    <x v="1"/>
    <x v="1"/>
    <x v="1"/>
    <x v="2"/>
    <x v="1"/>
    <x v="0"/>
    <x v="2"/>
    <x v="3"/>
    <n v="160"/>
    <n v="160"/>
    <n v="11.391999999999999"/>
    <n v="11.391999999999999"/>
    <n v="11.391999999999999"/>
    <n v="11.391999999999999"/>
    <n v="0"/>
    <s v="CATIVO"/>
    <n v="0"/>
    <n v="19"/>
    <n v="21"/>
    <n v="74"/>
    <n v="52.846799999999995"/>
    <n v="79.251400000000004"/>
    <n v="254.08199999999999"/>
    <n v="54.611727594784298"/>
    <n v="110.03488097513747"/>
    <n v="351.82269927635298"/>
    <n v="539.71199999999999"/>
    <n v="242.38302719999999"/>
    <n v="270.24360046903564"/>
    <n v="162.72623363582409"/>
    <x v="2"/>
  </r>
  <r>
    <s v="Sistema Isolado - Regular"/>
    <x v="1"/>
    <x v="1"/>
    <x v="1"/>
    <x v="2"/>
    <x v="1"/>
    <x v="0"/>
    <x v="2"/>
    <x v="3"/>
    <n v="104"/>
    <n v="104"/>
    <n v="1.718"/>
    <n v="1.718"/>
    <n v="1.718"/>
    <n v="1.718"/>
    <n v="0"/>
    <s v="CATIVO"/>
    <n v="0"/>
    <n v="19"/>
    <n v="21"/>
    <n v="74"/>
    <n v="52.846799999999995"/>
    <n v="79.251400000000004"/>
    <n v="254.08199999999999"/>
    <n v="54.611727594784298"/>
    <n v="110.03488097513747"/>
    <n v="351.82269927635298"/>
    <n v="350.81279999999998"/>
    <n v="36.553198800000004"/>
    <n v="175.65834030487321"/>
    <n v="24.540350191919398"/>
    <x v="2"/>
  </r>
  <r>
    <s v="Regular"/>
    <x v="1"/>
    <x v="1"/>
    <x v="1"/>
    <x v="2"/>
    <x v="1"/>
    <x v="0"/>
    <x v="2"/>
    <x v="4"/>
    <n v="209"/>
    <n v="209"/>
    <n v="14.791"/>
    <n v="14.791"/>
    <n v="14.791"/>
    <n v="14.791"/>
    <n v="0"/>
    <s v="CATIVO"/>
    <n v="0"/>
    <n v="19"/>
    <n v="21"/>
    <n v="74"/>
    <n v="52.846799999999995"/>
    <n v="79.251400000000004"/>
    <n v="254.08199999999999"/>
    <n v="54.611727594784298"/>
    <n v="110.03488097513747"/>
    <n v="351.82269927635298"/>
    <n v="704.99879999999985"/>
    <n v="314.70219059999999"/>
    <n v="353.00570311267785"/>
    <n v="211.27841658246788"/>
    <x v="2"/>
  </r>
  <r>
    <s v="Sistema Isolado - Regular"/>
    <x v="1"/>
    <x v="1"/>
    <x v="1"/>
    <x v="2"/>
    <x v="1"/>
    <x v="0"/>
    <x v="2"/>
    <x v="4"/>
    <n v="163"/>
    <n v="163"/>
    <n v="7.6289999999999996"/>
    <n v="7.6289999999999996"/>
    <n v="7.6289999999999996"/>
    <n v="7.6289999999999996"/>
    <n v="0"/>
    <s v="CATIVO"/>
    <n v="0"/>
    <n v="19"/>
    <n v="21"/>
    <n v="74"/>
    <n v="52.846799999999995"/>
    <n v="79.251400000000004"/>
    <n v="254.08199999999999"/>
    <n v="54.611727594784298"/>
    <n v="110.03488097513747"/>
    <n v="351.82269927635298"/>
    <n v="549.83159999999998"/>
    <n v="162.31918139999996"/>
    <n v="275.31066797783012"/>
    <n v="108.97458184758619"/>
    <x v="2"/>
  </r>
  <r>
    <s v="PROJETADO"/>
    <x v="1"/>
    <x v="1"/>
    <x v="1"/>
    <x v="2"/>
    <x v="1"/>
    <x v="0"/>
    <x v="2"/>
    <x v="5"/>
    <n v="209"/>
    <n v="209"/>
    <n v="14.791"/>
    <n v="14.791"/>
    <n v="14.791"/>
    <n v="14.791"/>
    <n v="0"/>
    <s v="CATIVO"/>
    <n v="0"/>
    <n v="19"/>
    <n v="21"/>
    <n v="74"/>
    <n v="52.846799999999995"/>
    <n v="79.251400000000004"/>
    <n v="254.08199999999999"/>
    <n v="54.611727594784298"/>
    <n v="110.03488097513747"/>
    <n v="351.82269927635298"/>
    <n v="704.99879999999985"/>
    <n v="314.70219059999999"/>
    <n v="353.00570311267785"/>
    <n v="211.27841658246788"/>
    <x v="2"/>
  </r>
  <r>
    <s v="PROJETADO"/>
    <x v="1"/>
    <x v="1"/>
    <x v="1"/>
    <x v="2"/>
    <x v="1"/>
    <x v="0"/>
    <x v="2"/>
    <x v="5"/>
    <n v="163"/>
    <n v="163"/>
    <n v="7.6289999999999996"/>
    <n v="7.6289999999999996"/>
    <n v="7.6289999999999996"/>
    <n v="7.6289999999999996"/>
    <n v="0"/>
    <s v="CATIVO"/>
    <n v="0"/>
    <n v="19"/>
    <n v="21"/>
    <n v="74"/>
    <n v="52.846799999999995"/>
    <n v="79.251400000000004"/>
    <n v="254.08199999999999"/>
    <n v="54.611727594784298"/>
    <n v="110.03488097513747"/>
    <n v="351.82269927635298"/>
    <n v="549.83159999999998"/>
    <n v="162.31918139999996"/>
    <n v="275.31066797783012"/>
    <n v="108.97458184758619"/>
    <x v="2"/>
  </r>
  <r>
    <s v="Regular"/>
    <x v="1"/>
    <x v="2"/>
    <x v="3"/>
    <x v="1"/>
    <x v="1"/>
    <x v="1"/>
    <x v="0"/>
    <x v="9"/>
    <n v="1568"/>
    <n v="1568"/>
    <n v="689.67899999999997"/>
    <n v="689.67899999999997"/>
    <n v="0"/>
    <n v="0"/>
    <n v="0"/>
    <s v="SUPRIMENTO"/>
    <n v="7019"/>
    <n v="24"/>
    <n v="25"/>
    <n v="0"/>
    <n v="7.64"/>
    <n v="10.28"/>
    <n v="0"/>
    <n v="9.6075845340944266"/>
    <n v="15.923920705156663"/>
    <n v="220.41354565838213"/>
    <n v="0"/>
    <n v="0"/>
    <n v="0"/>
    <n v="0"/>
    <x v="4"/>
  </r>
  <r>
    <s v="Regular"/>
    <x v="1"/>
    <x v="2"/>
    <x v="3"/>
    <x v="1"/>
    <x v="1"/>
    <x v="1"/>
    <x v="0"/>
    <x v="10"/>
    <n v="1478"/>
    <n v="1478"/>
    <n v="761.09"/>
    <n v="761.09"/>
    <n v="0"/>
    <n v="0"/>
    <n v="0"/>
    <s v="SUPRIMENTO"/>
    <n v="7019"/>
    <n v="24"/>
    <n v="25"/>
    <n v="0"/>
    <n v="7.64"/>
    <n v="10.28"/>
    <n v="0"/>
    <n v="9.6075845340944266"/>
    <n v="15.923920705156663"/>
    <n v="220.41354565838213"/>
    <n v="0"/>
    <n v="0"/>
    <n v="0"/>
    <n v="0"/>
    <x v="4"/>
  </r>
  <r>
    <s v="Regular"/>
    <x v="1"/>
    <x v="2"/>
    <x v="3"/>
    <x v="1"/>
    <x v="1"/>
    <x v="1"/>
    <x v="0"/>
    <x v="11"/>
    <n v="1568"/>
    <n v="1568"/>
    <n v="747.32"/>
    <n v="747.32"/>
    <n v="0"/>
    <n v="0"/>
    <n v="0"/>
    <s v="SUPRIMENTO"/>
    <n v="7019"/>
    <n v="24"/>
    <n v="25"/>
    <n v="0"/>
    <n v="7.64"/>
    <n v="10.28"/>
    <n v="0"/>
    <n v="9.6075845340944266"/>
    <n v="15.923920705156663"/>
    <n v="220.41354565838213"/>
    <n v="0"/>
    <n v="0"/>
    <n v="0"/>
    <n v="0"/>
    <x v="4"/>
  </r>
  <r>
    <s v="Regular"/>
    <x v="1"/>
    <x v="2"/>
    <x v="3"/>
    <x v="1"/>
    <x v="1"/>
    <x v="1"/>
    <x v="0"/>
    <x v="6"/>
    <n v="1500"/>
    <n v="1500"/>
    <n v="668.10199999999998"/>
    <n v="668.10199999999998"/>
    <n v="0"/>
    <n v="0"/>
    <n v="0"/>
    <s v="SUPRIMENTO"/>
    <n v="7019"/>
    <n v="24"/>
    <n v="25"/>
    <n v="0"/>
    <n v="7.64"/>
    <n v="10.28"/>
    <n v="0"/>
    <n v="9.6075845340944266"/>
    <n v="15.923920705156663"/>
    <n v="220.41354565838213"/>
    <n v="0"/>
    <n v="0"/>
    <n v="0"/>
    <n v="0"/>
    <x v="4"/>
  </r>
  <r>
    <s v="Regular"/>
    <x v="1"/>
    <x v="2"/>
    <x v="3"/>
    <x v="1"/>
    <x v="1"/>
    <x v="1"/>
    <x v="0"/>
    <x v="7"/>
    <n v="1500"/>
    <n v="1500"/>
    <n v="751.74900000000002"/>
    <n v="751.74900000000002"/>
    <n v="0"/>
    <n v="0"/>
    <n v="0"/>
    <s v="SUPRIMENTO"/>
    <n v="7019"/>
    <n v="24"/>
    <n v="25"/>
    <n v="0"/>
    <n v="7.64"/>
    <n v="10.28"/>
    <n v="0"/>
    <n v="9.6075845340944266"/>
    <n v="15.923920705156663"/>
    <n v="220.41354565838213"/>
    <n v="0"/>
    <n v="0"/>
    <n v="0"/>
    <n v="0"/>
    <x v="4"/>
  </r>
  <r>
    <s v="Regular"/>
    <x v="1"/>
    <x v="2"/>
    <x v="3"/>
    <x v="1"/>
    <x v="1"/>
    <x v="1"/>
    <x v="0"/>
    <x v="8"/>
    <n v="1657"/>
    <n v="1657"/>
    <n v="747.19600000000003"/>
    <n v="747.19600000000003"/>
    <n v="0"/>
    <n v="0"/>
    <n v="0"/>
    <s v="SUPRIMENTO"/>
    <n v="7019"/>
    <n v="24"/>
    <n v="25"/>
    <n v="0"/>
    <n v="7.64"/>
    <n v="10.28"/>
    <n v="0"/>
    <n v="9.6075845340944266"/>
    <n v="15.923920705156663"/>
    <n v="220.41354565838213"/>
    <n v="0"/>
    <n v="0"/>
    <n v="0"/>
    <n v="0"/>
    <x v="4"/>
  </r>
  <r>
    <s v="Regular"/>
    <x v="1"/>
    <x v="2"/>
    <x v="3"/>
    <x v="1"/>
    <x v="1"/>
    <x v="1"/>
    <x v="0"/>
    <x v="0"/>
    <n v="1523"/>
    <n v="1523"/>
    <n v="757.09199999999998"/>
    <n v="757.09199999999998"/>
    <n v="0"/>
    <n v="0"/>
    <n v="0"/>
    <s v="SUPRIMENTO"/>
    <n v="7019"/>
    <n v="24"/>
    <n v="25"/>
    <n v="0"/>
    <n v="7.64"/>
    <n v="10.28"/>
    <n v="0"/>
    <n v="9.6075845340944266"/>
    <n v="15.923920705156663"/>
    <n v="220.41354565838213"/>
    <n v="0"/>
    <n v="0"/>
    <n v="0"/>
    <n v="0"/>
    <x v="4"/>
  </r>
  <r>
    <s v="Regular"/>
    <x v="1"/>
    <x v="2"/>
    <x v="3"/>
    <x v="1"/>
    <x v="1"/>
    <x v="1"/>
    <x v="0"/>
    <x v="1"/>
    <n v="1456"/>
    <n v="1456"/>
    <n v="711.88800000000003"/>
    <n v="711.88800000000003"/>
    <n v="0"/>
    <n v="0"/>
    <n v="0"/>
    <s v="SUPRIMENTO"/>
    <n v="7019"/>
    <n v="24"/>
    <n v="25"/>
    <n v="0"/>
    <n v="7.64"/>
    <n v="10.28"/>
    <n v="0"/>
    <n v="9.6075845340944266"/>
    <n v="15.923920705156663"/>
    <n v="220.41354565838213"/>
    <n v="0"/>
    <n v="0"/>
    <n v="0"/>
    <n v="0"/>
    <x v="4"/>
  </r>
  <r>
    <s v="Regular"/>
    <x v="1"/>
    <x v="2"/>
    <x v="3"/>
    <x v="1"/>
    <x v="1"/>
    <x v="1"/>
    <x v="0"/>
    <x v="2"/>
    <n v="1568"/>
    <n v="1568"/>
    <n v="766.42700000000002"/>
    <n v="766.42700000000002"/>
    <n v="0"/>
    <n v="0"/>
    <n v="0"/>
    <s v="SUPRIMENTO"/>
    <n v="7019"/>
    <n v="24"/>
    <n v="25"/>
    <n v="0"/>
    <n v="7.64"/>
    <n v="10.28"/>
    <n v="0"/>
    <n v="9.6075845340944266"/>
    <n v="15.923920705156663"/>
    <n v="220.41354565838213"/>
    <n v="0"/>
    <n v="0"/>
    <n v="0"/>
    <n v="0"/>
    <x v="4"/>
  </r>
  <r>
    <s v="Regular"/>
    <x v="1"/>
    <x v="2"/>
    <x v="3"/>
    <x v="1"/>
    <x v="1"/>
    <x v="1"/>
    <x v="0"/>
    <x v="3"/>
    <n v="1680"/>
    <n v="1680"/>
    <n v="775.72900000000004"/>
    <n v="775.72900000000004"/>
    <n v="0"/>
    <n v="0"/>
    <n v="0"/>
    <s v="SUPRIMENTO"/>
    <n v="7019"/>
    <n v="24"/>
    <n v="25"/>
    <n v="0"/>
    <n v="7.64"/>
    <n v="10.28"/>
    <n v="0"/>
    <n v="9.6075845340944266"/>
    <n v="15.923920705156663"/>
    <n v="220.41354565838213"/>
    <n v="0"/>
    <n v="0"/>
    <n v="0"/>
    <n v="0"/>
    <x v="4"/>
  </r>
  <r>
    <s v="Regular"/>
    <x v="1"/>
    <x v="2"/>
    <x v="3"/>
    <x v="1"/>
    <x v="1"/>
    <x v="1"/>
    <x v="0"/>
    <x v="4"/>
    <n v="1826"/>
    <n v="1826"/>
    <n v="828.01499999999999"/>
    <n v="828.01499999999999"/>
    <n v="0"/>
    <n v="0"/>
    <n v="0"/>
    <s v="SUPRIMENTO"/>
    <n v="7019"/>
    <n v="24"/>
    <n v="25"/>
    <n v="0"/>
    <n v="7.64"/>
    <n v="10.28"/>
    <n v="0"/>
    <n v="9.6075845340944266"/>
    <n v="15.923920705156663"/>
    <n v="220.41354565838213"/>
    <n v="0"/>
    <n v="0"/>
    <n v="0"/>
    <n v="0"/>
    <x v="4"/>
  </r>
  <r>
    <s v="PROJETADO"/>
    <x v="1"/>
    <x v="2"/>
    <x v="3"/>
    <x v="1"/>
    <x v="1"/>
    <x v="1"/>
    <x v="0"/>
    <x v="5"/>
    <n v="1826"/>
    <n v="1826"/>
    <n v="828.01499999999999"/>
    <n v="828.01499999999999"/>
    <n v="0"/>
    <n v="0"/>
    <n v="0"/>
    <s v="SUPRIMENTO"/>
    <n v="7019"/>
    <n v="24"/>
    <n v="25"/>
    <n v="0"/>
    <n v="7.64"/>
    <n v="10.28"/>
    <n v="0"/>
    <n v="9.6075845340944266"/>
    <n v="15.923920705156663"/>
    <n v="220.41354565838213"/>
    <n v="0"/>
    <n v="0"/>
    <n v="0"/>
    <n v="0"/>
    <x v="4"/>
  </r>
  <r>
    <s v="Regular"/>
    <x v="1"/>
    <x v="2"/>
    <x v="3"/>
    <x v="1"/>
    <x v="1"/>
    <x v="1"/>
    <x v="1"/>
    <x v="9"/>
    <n v="0"/>
    <n v="0"/>
    <n v="0"/>
    <n v="0"/>
    <n v="763.34699999999998"/>
    <n v="763.34699999999998"/>
    <n v="0"/>
    <s v="SUPRIMENTO"/>
    <n v="7019"/>
    <n v="0"/>
    <n v="0"/>
    <n v="79"/>
    <n v="0"/>
    <n v="0"/>
    <n v="157.19999999999999"/>
    <n v="23.06170442884541"/>
    <n v="15.923920705156663"/>
    <n v="220.41354565838213"/>
    <n v="0"/>
    <n v="0"/>
    <n v="0"/>
    <n v="0"/>
    <x v="4"/>
  </r>
  <r>
    <s v="Regular"/>
    <x v="1"/>
    <x v="2"/>
    <x v="3"/>
    <x v="1"/>
    <x v="1"/>
    <x v="1"/>
    <x v="1"/>
    <x v="10"/>
    <n v="0"/>
    <n v="0"/>
    <n v="0"/>
    <n v="0"/>
    <n v="850.53300000000002"/>
    <n v="850.53300000000002"/>
    <n v="0"/>
    <s v="SUPRIMENTO"/>
    <n v="7019"/>
    <n v="0"/>
    <n v="0"/>
    <n v="79"/>
    <n v="0"/>
    <n v="0"/>
    <n v="157.19999999999999"/>
    <n v="23.06170442884541"/>
    <n v="15.923920705156663"/>
    <n v="220.41354565838213"/>
    <n v="0"/>
    <n v="0"/>
    <n v="0"/>
    <n v="0"/>
    <x v="4"/>
  </r>
  <r>
    <s v="Regular"/>
    <x v="1"/>
    <x v="2"/>
    <x v="3"/>
    <x v="1"/>
    <x v="1"/>
    <x v="1"/>
    <x v="1"/>
    <x v="11"/>
    <n v="0"/>
    <n v="0"/>
    <n v="0"/>
    <n v="0"/>
    <n v="830.18299999999999"/>
    <n v="830.18299999999999"/>
    <n v="0"/>
    <s v="SUPRIMENTO"/>
    <n v="7019"/>
    <n v="0"/>
    <n v="0"/>
    <n v="79"/>
    <n v="0"/>
    <n v="0"/>
    <n v="157.19999999999999"/>
    <n v="23.06170442884541"/>
    <n v="15.923920705156663"/>
    <n v="220.41354565838213"/>
    <n v="0"/>
    <n v="0"/>
    <n v="0"/>
    <n v="0"/>
    <x v="4"/>
  </r>
  <r>
    <s v="Regular"/>
    <x v="1"/>
    <x v="2"/>
    <x v="3"/>
    <x v="1"/>
    <x v="1"/>
    <x v="1"/>
    <x v="1"/>
    <x v="6"/>
    <n v="0"/>
    <n v="0"/>
    <n v="0"/>
    <n v="0"/>
    <n v="745.49400000000003"/>
    <n v="745.49400000000003"/>
    <n v="0"/>
    <s v="SUPRIMENTO"/>
    <n v="7019"/>
    <n v="0"/>
    <n v="0"/>
    <n v="79"/>
    <n v="0"/>
    <n v="0"/>
    <n v="157.19999999999999"/>
    <n v="23.06170442884541"/>
    <n v="15.923920705156663"/>
    <n v="220.41354565838213"/>
    <n v="0"/>
    <n v="0"/>
    <n v="0"/>
    <n v="0"/>
    <x v="4"/>
  </r>
  <r>
    <s v="Regular"/>
    <x v="1"/>
    <x v="2"/>
    <x v="3"/>
    <x v="1"/>
    <x v="1"/>
    <x v="1"/>
    <x v="1"/>
    <x v="7"/>
    <n v="0"/>
    <n v="0"/>
    <n v="0"/>
    <n v="0"/>
    <n v="836.30399999999997"/>
    <n v="836.30399999999997"/>
    <n v="0"/>
    <s v="SUPRIMENTO"/>
    <n v="7019"/>
    <n v="0"/>
    <n v="0"/>
    <n v="79"/>
    <n v="0"/>
    <n v="0"/>
    <n v="157.19999999999999"/>
    <n v="23.06170442884541"/>
    <n v="15.923920705156663"/>
    <n v="220.41354565838213"/>
    <n v="0"/>
    <n v="0"/>
    <n v="0"/>
    <n v="0"/>
    <x v="4"/>
  </r>
  <r>
    <s v="Regular"/>
    <x v="1"/>
    <x v="2"/>
    <x v="3"/>
    <x v="1"/>
    <x v="1"/>
    <x v="1"/>
    <x v="1"/>
    <x v="8"/>
    <n v="0"/>
    <n v="0"/>
    <n v="0"/>
    <n v="0"/>
    <n v="823.65300000000002"/>
    <n v="823.65300000000002"/>
    <n v="0"/>
    <s v="SUPRIMENTO"/>
    <n v="7019"/>
    <n v="0"/>
    <n v="0"/>
    <n v="79"/>
    <n v="0"/>
    <n v="0"/>
    <n v="157.19999999999999"/>
    <n v="23.06170442884541"/>
    <n v="15.923920705156663"/>
    <n v="220.41354565838213"/>
    <n v="0"/>
    <n v="0"/>
    <n v="0"/>
    <n v="0"/>
    <x v="4"/>
  </r>
  <r>
    <s v="Regular"/>
    <x v="1"/>
    <x v="2"/>
    <x v="3"/>
    <x v="1"/>
    <x v="1"/>
    <x v="1"/>
    <x v="1"/>
    <x v="0"/>
    <n v="0"/>
    <n v="0"/>
    <n v="0"/>
    <n v="0"/>
    <n v="839.31100000000004"/>
    <n v="839.31100000000004"/>
    <n v="0"/>
    <s v="SUPRIMENTO"/>
    <n v="7019"/>
    <n v="0"/>
    <n v="0"/>
    <n v="79"/>
    <n v="0"/>
    <n v="0"/>
    <n v="157.19999999999999"/>
    <n v="23.06170442884541"/>
    <n v="15.923920705156663"/>
    <n v="220.41354565838213"/>
    <n v="0"/>
    <n v="0"/>
    <n v="0"/>
    <n v="0"/>
    <x v="4"/>
  </r>
  <r>
    <s v="Regular"/>
    <x v="1"/>
    <x v="2"/>
    <x v="3"/>
    <x v="1"/>
    <x v="1"/>
    <x v="1"/>
    <x v="1"/>
    <x v="1"/>
    <n v="0"/>
    <n v="0"/>
    <n v="0"/>
    <n v="0"/>
    <n v="791.92899999999997"/>
    <n v="791.92899999999997"/>
    <n v="0"/>
    <s v="SUPRIMENTO"/>
    <n v="7019"/>
    <n v="0"/>
    <n v="0"/>
    <n v="79"/>
    <n v="0"/>
    <n v="0"/>
    <n v="157.19999999999999"/>
    <n v="23.06170442884541"/>
    <n v="15.923920705156663"/>
    <n v="220.41354565838213"/>
    <n v="0"/>
    <n v="0"/>
    <n v="0"/>
    <n v="0"/>
    <x v="4"/>
  </r>
  <r>
    <s v="Regular"/>
    <x v="1"/>
    <x v="2"/>
    <x v="3"/>
    <x v="1"/>
    <x v="1"/>
    <x v="1"/>
    <x v="1"/>
    <x v="2"/>
    <n v="0"/>
    <n v="0"/>
    <n v="0"/>
    <n v="0"/>
    <n v="854.55399999999997"/>
    <n v="854.55399999999997"/>
    <n v="0"/>
    <s v="SUPRIMENTO"/>
    <n v="7019"/>
    <n v="0"/>
    <n v="0"/>
    <n v="79"/>
    <n v="0"/>
    <n v="0"/>
    <n v="157.19999999999999"/>
    <n v="23.06170442884541"/>
    <n v="15.923920705156663"/>
    <n v="220.41354565838213"/>
    <n v="0"/>
    <n v="0"/>
    <n v="0"/>
    <n v="0"/>
    <x v="4"/>
  </r>
  <r>
    <s v="Regular"/>
    <x v="1"/>
    <x v="2"/>
    <x v="3"/>
    <x v="1"/>
    <x v="1"/>
    <x v="1"/>
    <x v="1"/>
    <x v="3"/>
    <n v="0"/>
    <n v="0"/>
    <n v="0"/>
    <n v="0"/>
    <n v="871.35400000000004"/>
    <n v="871.35400000000004"/>
    <n v="0"/>
    <s v="SUPRIMENTO"/>
    <n v="7019"/>
    <n v="0"/>
    <n v="0"/>
    <n v="79"/>
    <n v="0"/>
    <n v="0"/>
    <n v="157.19999999999999"/>
    <n v="23.06170442884541"/>
    <n v="15.923920705156663"/>
    <n v="220.41354565838213"/>
    <n v="0"/>
    <n v="0"/>
    <n v="0"/>
    <n v="0"/>
    <x v="4"/>
  </r>
  <r>
    <s v="Regular"/>
    <x v="1"/>
    <x v="2"/>
    <x v="3"/>
    <x v="1"/>
    <x v="1"/>
    <x v="1"/>
    <x v="1"/>
    <x v="4"/>
    <n v="0"/>
    <n v="0"/>
    <n v="0"/>
    <n v="0"/>
    <n v="921.48900000000003"/>
    <n v="921.48900000000003"/>
    <n v="0"/>
    <s v="SUPRIMENTO"/>
    <n v="7019"/>
    <n v="0"/>
    <n v="0"/>
    <n v="79"/>
    <n v="0"/>
    <n v="0"/>
    <n v="157.19999999999999"/>
    <n v="23.06170442884541"/>
    <n v="15.923920705156663"/>
    <n v="220.41354565838213"/>
    <n v="0"/>
    <n v="0"/>
    <n v="0"/>
    <n v="0"/>
    <x v="4"/>
  </r>
  <r>
    <s v="PROJETADO"/>
    <x v="1"/>
    <x v="2"/>
    <x v="3"/>
    <x v="1"/>
    <x v="1"/>
    <x v="1"/>
    <x v="1"/>
    <x v="5"/>
    <n v="0"/>
    <n v="0"/>
    <n v="0"/>
    <n v="0"/>
    <n v="921.48900000000003"/>
    <n v="921.48900000000003"/>
    <n v="0"/>
    <s v="SUPRIMENTO"/>
    <n v="7019"/>
    <n v="0"/>
    <n v="0"/>
    <n v="79"/>
    <n v="0"/>
    <n v="0"/>
    <n v="157.19999999999999"/>
    <n v="23.06170442884541"/>
    <n v="15.923920705156663"/>
    <n v="220.41354565838213"/>
    <n v="0"/>
    <n v="0"/>
    <n v="0"/>
    <n v="0"/>
    <x v="4"/>
  </r>
  <r>
    <s v="Regular"/>
    <x v="1"/>
    <x v="2"/>
    <x v="3"/>
    <x v="1"/>
    <x v="1"/>
    <x v="1"/>
    <x v="2"/>
    <x v="9"/>
    <n v="1523"/>
    <n v="1523"/>
    <n v="73.668000000000006"/>
    <n v="73.668000000000006"/>
    <n v="0"/>
    <n v="0"/>
    <n v="0"/>
    <s v="SUPRIMENTO"/>
    <n v="7019"/>
    <n v="23"/>
    <n v="25"/>
    <n v="0"/>
    <n v="15.78"/>
    <n v="10.28"/>
    <n v="0"/>
    <n v="18.686277631598585"/>
    <n v="15.923920705156663"/>
    <n v="220.41354565838213"/>
    <n v="0"/>
    <n v="0"/>
    <n v="0"/>
    <n v="0"/>
    <x v="4"/>
  </r>
  <r>
    <s v="Regular"/>
    <x v="1"/>
    <x v="2"/>
    <x v="3"/>
    <x v="1"/>
    <x v="1"/>
    <x v="1"/>
    <x v="2"/>
    <x v="10"/>
    <n v="1456"/>
    <n v="1456"/>
    <n v="89.442999999999998"/>
    <n v="89.442999999999998"/>
    <n v="0"/>
    <n v="0"/>
    <n v="0"/>
    <s v="SUPRIMENTO"/>
    <n v="7019"/>
    <n v="23"/>
    <n v="25"/>
    <n v="0"/>
    <n v="15.78"/>
    <n v="10.28"/>
    <n v="0"/>
    <n v="18.686277631598585"/>
    <n v="15.923920705156663"/>
    <n v="220.41354565838213"/>
    <n v="0"/>
    <n v="0"/>
    <n v="0"/>
    <n v="0"/>
    <x v="4"/>
  </r>
  <r>
    <s v="Regular"/>
    <x v="1"/>
    <x v="2"/>
    <x v="3"/>
    <x v="1"/>
    <x v="1"/>
    <x v="1"/>
    <x v="2"/>
    <x v="11"/>
    <n v="1568"/>
    <n v="1568"/>
    <n v="82.863"/>
    <n v="82.863"/>
    <n v="0"/>
    <n v="0"/>
    <n v="0"/>
    <s v="SUPRIMENTO"/>
    <n v="7019"/>
    <n v="23"/>
    <n v="25"/>
    <n v="0"/>
    <n v="15.78"/>
    <n v="10.28"/>
    <n v="0"/>
    <n v="18.686277631598585"/>
    <n v="15.923920705156663"/>
    <n v="220.41354565838213"/>
    <n v="0"/>
    <n v="0"/>
    <n v="0"/>
    <n v="0"/>
    <x v="4"/>
  </r>
  <r>
    <s v="Regular"/>
    <x v="1"/>
    <x v="2"/>
    <x v="3"/>
    <x v="1"/>
    <x v="1"/>
    <x v="1"/>
    <x v="2"/>
    <x v="6"/>
    <n v="1500"/>
    <n v="1500"/>
    <n v="77.391999999999996"/>
    <n v="77.391999999999996"/>
    <n v="0"/>
    <n v="0"/>
    <n v="0"/>
    <s v="SUPRIMENTO"/>
    <n v="7019"/>
    <n v="23"/>
    <n v="25"/>
    <n v="0"/>
    <n v="15.78"/>
    <n v="10.28"/>
    <n v="0"/>
    <n v="18.686277631598585"/>
    <n v="15.923920705156663"/>
    <n v="220.41354565838213"/>
    <n v="0"/>
    <n v="0"/>
    <n v="0"/>
    <n v="0"/>
    <x v="4"/>
  </r>
  <r>
    <s v="Regular"/>
    <x v="1"/>
    <x v="2"/>
    <x v="3"/>
    <x v="1"/>
    <x v="1"/>
    <x v="1"/>
    <x v="2"/>
    <x v="7"/>
    <n v="1478"/>
    <n v="1478"/>
    <n v="84.554000000000002"/>
    <n v="84.554000000000002"/>
    <n v="0"/>
    <n v="0"/>
    <n v="0"/>
    <s v="SUPRIMENTO"/>
    <n v="7019"/>
    <n v="23"/>
    <n v="25"/>
    <n v="0"/>
    <n v="15.78"/>
    <n v="10.28"/>
    <n v="0"/>
    <n v="18.686277631598585"/>
    <n v="15.923920705156663"/>
    <n v="220.41354565838213"/>
    <n v="0"/>
    <n v="0"/>
    <n v="0"/>
    <n v="0"/>
    <x v="4"/>
  </r>
  <r>
    <s v="Regular"/>
    <x v="1"/>
    <x v="2"/>
    <x v="3"/>
    <x v="1"/>
    <x v="1"/>
    <x v="1"/>
    <x v="2"/>
    <x v="8"/>
    <n v="1612"/>
    <n v="1612"/>
    <n v="76.456000000000003"/>
    <n v="76.456000000000003"/>
    <n v="0"/>
    <n v="0"/>
    <n v="0"/>
    <s v="SUPRIMENTO"/>
    <n v="7019"/>
    <n v="23"/>
    <n v="25"/>
    <n v="0"/>
    <n v="15.78"/>
    <n v="10.28"/>
    <n v="0"/>
    <n v="18.686277631598585"/>
    <n v="15.923920705156663"/>
    <n v="220.41354565838213"/>
    <n v="0"/>
    <n v="0"/>
    <n v="0"/>
    <n v="0"/>
    <x v="4"/>
  </r>
  <r>
    <s v="Regular"/>
    <x v="1"/>
    <x v="2"/>
    <x v="3"/>
    <x v="1"/>
    <x v="1"/>
    <x v="1"/>
    <x v="2"/>
    <x v="0"/>
    <n v="1545"/>
    <n v="1545"/>
    <n v="82.218999999999994"/>
    <n v="82.218999999999994"/>
    <n v="0"/>
    <n v="0"/>
    <n v="0"/>
    <s v="SUPRIMENTO"/>
    <n v="7019"/>
    <n v="23"/>
    <n v="25"/>
    <n v="0"/>
    <n v="15.78"/>
    <n v="10.28"/>
    <n v="0"/>
    <n v="18.686277631598585"/>
    <n v="15.923920705156663"/>
    <n v="220.41354565838213"/>
    <n v="0"/>
    <n v="0"/>
    <n v="0"/>
    <n v="0"/>
    <x v="4"/>
  </r>
  <r>
    <s v="Regular"/>
    <x v="1"/>
    <x v="2"/>
    <x v="3"/>
    <x v="1"/>
    <x v="1"/>
    <x v="1"/>
    <x v="2"/>
    <x v="1"/>
    <n v="1456"/>
    <n v="1456"/>
    <n v="80.040000000000006"/>
    <n v="80.040000000000006"/>
    <n v="0"/>
    <n v="0"/>
    <n v="0"/>
    <s v="SUPRIMENTO"/>
    <n v="7019"/>
    <n v="23"/>
    <n v="25"/>
    <n v="0"/>
    <n v="15.78"/>
    <n v="10.28"/>
    <n v="0"/>
    <n v="18.686277631598585"/>
    <n v="15.923920705156663"/>
    <n v="220.41354565838213"/>
    <n v="0"/>
    <n v="0"/>
    <n v="0"/>
    <n v="0"/>
    <x v="4"/>
  </r>
  <r>
    <s v="Regular"/>
    <x v="1"/>
    <x v="2"/>
    <x v="3"/>
    <x v="1"/>
    <x v="1"/>
    <x v="1"/>
    <x v="2"/>
    <x v="2"/>
    <n v="1545"/>
    <n v="1545"/>
    <n v="88.126999999999995"/>
    <n v="88.126999999999995"/>
    <n v="0"/>
    <n v="0"/>
    <n v="0"/>
    <s v="SUPRIMENTO"/>
    <n v="7019"/>
    <n v="23"/>
    <n v="25"/>
    <n v="0"/>
    <n v="15.78"/>
    <n v="10.28"/>
    <n v="0"/>
    <n v="18.686277631598585"/>
    <n v="15.923920705156663"/>
    <n v="220.41354565838213"/>
    <n v="0"/>
    <n v="0"/>
    <n v="0"/>
    <n v="0"/>
    <x v="4"/>
  </r>
  <r>
    <s v="Regular"/>
    <x v="1"/>
    <x v="2"/>
    <x v="3"/>
    <x v="1"/>
    <x v="1"/>
    <x v="1"/>
    <x v="2"/>
    <x v="3"/>
    <n v="1646"/>
    <n v="1646"/>
    <n v="95.625"/>
    <n v="95.625"/>
    <n v="0"/>
    <n v="0"/>
    <n v="0"/>
    <s v="SUPRIMENTO"/>
    <n v="7019"/>
    <n v="23"/>
    <n v="25"/>
    <n v="0"/>
    <n v="15.78"/>
    <n v="10.28"/>
    <n v="0"/>
    <n v="18.686277631598585"/>
    <n v="15.923920705156663"/>
    <n v="220.41354565838213"/>
    <n v="0"/>
    <n v="0"/>
    <n v="0"/>
    <n v="0"/>
    <x v="4"/>
  </r>
  <r>
    <s v="Regular"/>
    <x v="1"/>
    <x v="2"/>
    <x v="3"/>
    <x v="1"/>
    <x v="1"/>
    <x v="1"/>
    <x v="2"/>
    <x v="4"/>
    <n v="1825"/>
    <n v="1825"/>
    <n v="93.472999999999999"/>
    <n v="93.472999999999999"/>
    <n v="0"/>
    <n v="0"/>
    <n v="0"/>
    <s v="SUPRIMENTO"/>
    <n v="7019"/>
    <n v="23"/>
    <n v="25"/>
    <n v="0"/>
    <n v="15.78"/>
    <n v="10.28"/>
    <n v="0"/>
    <n v="18.686277631598585"/>
    <n v="15.923920705156663"/>
    <n v="220.41354565838213"/>
    <n v="0"/>
    <n v="0"/>
    <n v="0"/>
    <n v="0"/>
    <x v="4"/>
  </r>
  <r>
    <s v="PROJETADO"/>
    <x v="1"/>
    <x v="2"/>
    <x v="3"/>
    <x v="1"/>
    <x v="1"/>
    <x v="1"/>
    <x v="2"/>
    <x v="5"/>
    <n v="1825"/>
    <n v="1825"/>
    <n v="93.472999999999999"/>
    <n v="93.472999999999999"/>
    <n v="0"/>
    <n v="0"/>
    <n v="0"/>
    <s v="SUPRIMENTO"/>
    <n v="7019"/>
    <n v="23"/>
    <n v="25"/>
    <n v="0"/>
    <n v="15.78"/>
    <n v="10.28"/>
    <n v="0"/>
    <n v="18.686277631598585"/>
    <n v="15.923920705156663"/>
    <n v="220.41354565838213"/>
    <n v="0"/>
    <n v="0"/>
    <n v="0"/>
    <n v="0"/>
    <x v="4"/>
  </r>
  <r>
    <s v="Regular"/>
    <x v="1"/>
    <x v="0"/>
    <x v="2"/>
    <x v="1"/>
    <x v="2"/>
    <x v="0"/>
    <x v="0"/>
    <x v="9"/>
    <n v="0"/>
    <n v="0"/>
    <n v="2450.3670000000002"/>
    <n v="2450.3670000000002"/>
    <n v="0"/>
    <n v="0"/>
    <n v="0"/>
    <s v="LIVRE"/>
    <n v="0"/>
    <n v="0"/>
    <n v="29"/>
    <n v="0"/>
    <n v="0"/>
    <n v="84.31"/>
    <n v="0"/>
    <m/>
    <n v="113.43802162385306"/>
    <m/>
    <n v="0"/>
    <n v="0"/>
    <n v="0"/>
    <n v="0"/>
    <x v="3"/>
  </r>
  <r>
    <s v="Regular"/>
    <x v="1"/>
    <x v="0"/>
    <x v="2"/>
    <x v="1"/>
    <x v="2"/>
    <x v="0"/>
    <x v="0"/>
    <x v="10"/>
    <n v="0"/>
    <n v="0"/>
    <n v="2744.922"/>
    <n v="2744.922"/>
    <n v="0"/>
    <n v="0"/>
    <n v="0"/>
    <s v="LIVRE"/>
    <n v="0"/>
    <n v="0"/>
    <n v="29"/>
    <n v="0"/>
    <n v="0"/>
    <n v="84.31"/>
    <n v="0"/>
    <m/>
    <n v="113.43802162385306"/>
    <m/>
    <n v="0"/>
    <n v="0"/>
    <n v="0"/>
    <n v="0"/>
    <x v="3"/>
  </r>
  <r>
    <s v="Regular"/>
    <x v="1"/>
    <x v="0"/>
    <x v="2"/>
    <x v="1"/>
    <x v="2"/>
    <x v="0"/>
    <x v="0"/>
    <x v="11"/>
    <n v="0"/>
    <n v="0"/>
    <n v="2716.1419999999998"/>
    <n v="2716.1419999999998"/>
    <n v="0"/>
    <n v="0"/>
    <n v="0"/>
    <s v="LIVRE"/>
    <n v="0"/>
    <n v="0"/>
    <n v="29"/>
    <n v="0"/>
    <n v="0"/>
    <n v="84.31"/>
    <n v="0"/>
    <m/>
    <n v="113.43802162385306"/>
    <m/>
    <n v="0"/>
    <n v="0"/>
    <n v="0"/>
    <n v="0"/>
    <x v="3"/>
  </r>
  <r>
    <s v="Regular"/>
    <x v="1"/>
    <x v="0"/>
    <x v="2"/>
    <x v="1"/>
    <x v="2"/>
    <x v="0"/>
    <x v="0"/>
    <x v="6"/>
    <n v="0"/>
    <n v="0"/>
    <n v="2189.94"/>
    <n v="2189.94"/>
    <n v="0"/>
    <n v="0"/>
    <n v="0"/>
    <s v="LIVRE"/>
    <n v="0"/>
    <n v="0"/>
    <n v="29"/>
    <n v="0"/>
    <n v="0"/>
    <n v="84.31"/>
    <n v="0"/>
    <m/>
    <n v="113.43802162385306"/>
    <m/>
    <n v="0"/>
    <n v="0"/>
    <n v="0"/>
    <n v="0"/>
    <x v="3"/>
  </r>
  <r>
    <s v="Regular"/>
    <x v="1"/>
    <x v="0"/>
    <x v="2"/>
    <x v="1"/>
    <x v="2"/>
    <x v="0"/>
    <x v="0"/>
    <x v="7"/>
    <n v="0"/>
    <n v="0"/>
    <n v="2757.8380000000002"/>
    <n v="2757.8380000000002"/>
    <n v="0"/>
    <n v="0"/>
    <n v="0"/>
    <s v="LIVRE"/>
    <n v="0"/>
    <n v="0"/>
    <n v="29"/>
    <n v="0"/>
    <n v="0"/>
    <n v="84.31"/>
    <n v="0"/>
    <m/>
    <n v="113.43802162385306"/>
    <m/>
    <n v="0"/>
    <n v="0"/>
    <n v="0"/>
    <n v="0"/>
    <x v="3"/>
  </r>
  <r>
    <s v="Regular"/>
    <x v="1"/>
    <x v="0"/>
    <x v="2"/>
    <x v="1"/>
    <x v="2"/>
    <x v="0"/>
    <x v="0"/>
    <x v="8"/>
    <n v="0"/>
    <n v="0"/>
    <n v="2743.1109999999999"/>
    <n v="2743.1109999999999"/>
    <n v="0"/>
    <n v="0"/>
    <n v="0"/>
    <s v="LIVRE"/>
    <n v="0"/>
    <n v="0"/>
    <n v="29"/>
    <n v="0"/>
    <n v="0"/>
    <n v="84.31"/>
    <n v="0"/>
    <m/>
    <n v="113.43802162385306"/>
    <m/>
    <n v="0"/>
    <n v="0"/>
    <n v="0"/>
    <n v="0"/>
    <x v="3"/>
  </r>
  <r>
    <s v="Regular"/>
    <x v="1"/>
    <x v="0"/>
    <x v="2"/>
    <x v="1"/>
    <x v="2"/>
    <x v="0"/>
    <x v="0"/>
    <x v="0"/>
    <n v="0"/>
    <n v="0"/>
    <n v="2862.6149999999998"/>
    <n v="2862.6149999999998"/>
    <n v="0"/>
    <n v="0"/>
    <n v="0"/>
    <s v="LIVRE"/>
    <n v="0"/>
    <n v="0"/>
    <n v="29"/>
    <n v="0"/>
    <n v="0"/>
    <n v="84.31"/>
    <n v="0"/>
    <m/>
    <n v="113.43802162385306"/>
    <m/>
    <n v="0"/>
    <n v="0"/>
    <n v="0"/>
    <n v="0"/>
    <x v="3"/>
  </r>
  <r>
    <s v="Regular"/>
    <x v="1"/>
    <x v="0"/>
    <x v="2"/>
    <x v="1"/>
    <x v="2"/>
    <x v="0"/>
    <x v="0"/>
    <x v="1"/>
    <n v="0"/>
    <n v="0"/>
    <n v="2650.5569999999998"/>
    <n v="2650.5569999999998"/>
    <n v="0"/>
    <n v="0"/>
    <n v="0"/>
    <s v="LIVRE"/>
    <n v="0"/>
    <n v="0"/>
    <n v="29"/>
    <n v="0"/>
    <n v="0"/>
    <n v="84.31"/>
    <n v="0"/>
    <m/>
    <n v="113.43802162385306"/>
    <m/>
    <n v="0"/>
    <n v="0"/>
    <n v="0"/>
    <n v="0"/>
    <x v="3"/>
  </r>
  <r>
    <s v="Regular"/>
    <x v="1"/>
    <x v="0"/>
    <x v="2"/>
    <x v="1"/>
    <x v="2"/>
    <x v="0"/>
    <x v="0"/>
    <x v="2"/>
    <n v="0"/>
    <n v="0"/>
    <n v="2895.6869999999999"/>
    <n v="2895.6869999999999"/>
    <n v="0"/>
    <n v="0"/>
    <n v="0"/>
    <s v="LIVRE"/>
    <n v="0"/>
    <n v="0"/>
    <n v="29"/>
    <n v="0"/>
    <n v="0"/>
    <n v="84.31"/>
    <n v="0"/>
    <m/>
    <n v="113.43802162385306"/>
    <m/>
    <n v="0"/>
    <n v="0"/>
    <n v="0"/>
    <n v="0"/>
    <x v="3"/>
  </r>
  <r>
    <s v="Regular"/>
    <x v="1"/>
    <x v="0"/>
    <x v="2"/>
    <x v="1"/>
    <x v="2"/>
    <x v="0"/>
    <x v="0"/>
    <x v="3"/>
    <n v="0"/>
    <n v="0"/>
    <n v="2887.0039999999999"/>
    <n v="2887.0039999999999"/>
    <n v="0"/>
    <n v="0"/>
    <n v="0"/>
    <s v="LIVRE"/>
    <n v="0"/>
    <n v="0"/>
    <n v="29"/>
    <n v="0"/>
    <n v="0"/>
    <n v="84.31"/>
    <n v="0"/>
    <m/>
    <n v="113.43802162385306"/>
    <m/>
    <n v="0"/>
    <n v="0"/>
    <n v="0"/>
    <n v="0"/>
    <x v="3"/>
  </r>
  <r>
    <s v="Regular"/>
    <x v="1"/>
    <x v="0"/>
    <x v="2"/>
    <x v="1"/>
    <x v="2"/>
    <x v="0"/>
    <x v="0"/>
    <x v="4"/>
    <n v="0"/>
    <n v="0"/>
    <n v="2789.5140000000001"/>
    <n v="2789.5140000000001"/>
    <n v="0"/>
    <n v="0"/>
    <n v="0"/>
    <s v="LIVRE"/>
    <n v="0"/>
    <n v="0"/>
    <n v="29"/>
    <n v="0"/>
    <n v="0"/>
    <n v="84.31"/>
    <n v="0"/>
    <m/>
    <n v="113.43802162385306"/>
    <m/>
    <n v="0"/>
    <n v="0"/>
    <n v="0"/>
    <n v="0"/>
    <x v="3"/>
  </r>
  <r>
    <s v="PROJETADO"/>
    <x v="1"/>
    <x v="0"/>
    <x v="2"/>
    <x v="1"/>
    <x v="2"/>
    <x v="0"/>
    <x v="0"/>
    <x v="5"/>
    <n v="0"/>
    <n v="0"/>
    <n v="2789.5140000000001"/>
    <n v="2789.5140000000001"/>
    <n v="0"/>
    <n v="0"/>
    <n v="0"/>
    <s v="LIVRE"/>
    <n v="0"/>
    <n v="0"/>
    <n v="29"/>
    <n v="0"/>
    <n v="0"/>
    <n v="84.31"/>
    <n v="0"/>
    <m/>
    <n v="113.43802162385306"/>
    <m/>
    <n v="0"/>
    <n v="0"/>
    <n v="0"/>
    <n v="0"/>
    <x v="3"/>
  </r>
  <r>
    <s v="Regular"/>
    <x v="1"/>
    <x v="0"/>
    <x v="2"/>
    <x v="1"/>
    <x v="2"/>
    <x v="0"/>
    <x v="1"/>
    <x v="9"/>
    <n v="10411"/>
    <n v="4047.7968000000001"/>
    <n v="0"/>
    <n v="0"/>
    <n v="0"/>
    <n v="0"/>
    <n v="24"/>
    <s v="LIVRE"/>
    <n v="0"/>
    <n v="27"/>
    <n v="0"/>
    <n v="0"/>
    <n v="19.8"/>
    <n v="0"/>
    <n v="0"/>
    <n v="20.612826474871284"/>
    <m/>
    <m/>
    <n v="125991.42336"/>
    <n v="0"/>
    <n v="131163.60338594567"/>
    <n v="0"/>
    <x v="3"/>
  </r>
  <r>
    <s v="Regular"/>
    <x v="1"/>
    <x v="0"/>
    <x v="2"/>
    <x v="1"/>
    <x v="2"/>
    <x v="0"/>
    <x v="1"/>
    <x v="10"/>
    <n v="10420"/>
    <n v="4182.5879999999997"/>
    <n v="0"/>
    <n v="0"/>
    <n v="0"/>
    <n v="0"/>
    <n v="24"/>
    <s v="LIVRE"/>
    <n v="0"/>
    <n v="27"/>
    <n v="0"/>
    <n v="0"/>
    <n v="19.8"/>
    <n v="0"/>
    <n v="0"/>
    <n v="20.612826474871284"/>
    <m/>
    <m/>
    <n v="123500.75760000001"/>
    <n v="0"/>
    <n v="128570.69120827985"/>
    <n v="0"/>
    <x v="3"/>
  </r>
  <r>
    <s v="Regular"/>
    <x v="1"/>
    <x v="0"/>
    <x v="2"/>
    <x v="1"/>
    <x v="2"/>
    <x v="0"/>
    <x v="1"/>
    <x v="11"/>
    <n v="10412"/>
    <n v="4457.3771999999999"/>
    <n v="0"/>
    <n v="0"/>
    <n v="0"/>
    <n v="0"/>
    <n v="24"/>
    <s v="LIVRE"/>
    <n v="0"/>
    <n v="27"/>
    <n v="0"/>
    <n v="0"/>
    <n v="19.8"/>
    <n v="0"/>
    <n v="0"/>
    <n v="20.612826474871284"/>
    <m/>
    <m/>
    <n v="117901.53144000001"/>
    <n v="0"/>
    <n v="122741.60649971217"/>
    <n v="0"/>
    <x v="3"/>
  </r>
  <r>
    <s v="Regular"/>
    <x v="1"/>
    <x v="0"/>
    <x v="2"/>
    <x v="1"/>
    <x v="2"/>
    <x v="0"/>
    <x v="1"/>
    <x v="6"/>
    <n v="10391"/>
    <n v="4422.4096"/>
    <n v="0"/>
    <n v="0"/>
    <n v="0"/>
    <n v="0"/>
    <n v="24"/>
    <s v="LIVRE"/>
    <n v="0"/>
    <n v="27"/>
    <n v="0"/>
    <n v="0"/>
    <n v="19.8"/>
    <n v="0"/>
    <n v="0"/>
    <n v="20.612826474871284"/>
    <m/>
    <m/>
    <n v="118178.08992"/>
    <n v="0"/>
    <n v="123029.51821478258"/>
    <n v="0"/>
    <x v="3"/>
  </r>
  <r>
    <s v="Regular"/>
    <x v="1"/>
    <x v="0"/>
    <x v="2"/>
    <x v="1"/>
    <x v="2"/>
    <x v="0"/>
    <x v="1"/>
    <x v="7"/>
    <n v="10411"/>
    <n v="5072.2392"/>
    <n v="0"/>
    <n v="0"/>
    <n v="0"/>
    <n v="0"/>
    <n v="24"/>
    <s v="LIVRE"/>
    <n v="0"/>
    <n v="27"/>
    <n v="0"/>
    <n v="0"/>
    <n v="19.8"/>
    <n v="0"/>
    <n v="0"/>
    <n v="20.612826474871284"/>
    <m/>
    <m/>
    <n v="105707.46384000001"/>
    <n v="0"/>
    <n v="110046.949961245"/>
    <n v="0"/>
    <x v="3"/>
  </r>
  <r>
    <s v="Regular"/>
    <x v="1"/>
    <x v="0"/>
    <x v="2"/>
    <x v="1"/>
    <x v="2"/>
    <x v="0"/>
    <x v="1"/>
    <x v="8"/>
    <n v="10423"/>
    <n v="5010.3361000000004"/>
    <n v="0"/>
    <n v="0"/>
    <n v="0"/>
    <n v="0"/>
    <n v="24"/>
    <s v="LIVRE"/>
    <n v="0"/>
    <n v="27"/>
    <n v="0"/>
    <n v="0"/>
    <n v="19.8"/>
    <n v="0"/>
    <n v="0"/>
    <n v="20.612826474871284"/>
    <m/>
    <m/>
    <n v="107170.74522"/>
    <n v="0"/>
    <n v="111570.30173750005"/>
    <n v="0"/>
    <x v="3"/>
  </r>
  <r>
    <s v="Regular"/>
    <x v="1"/>
    <x v="0"/>
    <x v="2"/>
    <x v="1"/>
    <x v="2"/>
    <x v="0"/>
    <x v="1"/>
    <x v="0"/>
    <n v="10016"/>
    <n v="4800.6688000000004"/>
    <n v="0"/>
    <n v="0"/>
    <n v="0"/>
    <n v="0"/>
    <n v="24"/>
    <s v="LIVRE"/>
    <n v="0"/>
    <n v="27"/>
    <n v="0"/>
    <n v="0"/>
    <n v="19.8"/>
    <n v="0"/>
    <n v="0"/>
    <n v="20.612826474871284"/>
    <m/>
    <m/>
    <n v="103263.55776"/>
    <n v="0"/>
    <n v="107502.71703458221"/>
    <n v="0"/>
    <x v="3"/>
  </r>
  <r>
    <s v="Regular"/>
    <x v="1"/>
    <x v="0"/>
    <x v="2"/>
    <x v="1"/>
    <x v="2"/>
    <x v="0"/>
    <x v="1"/>
    <x v="1"/>
    <n v="10022"/>
    <n v="4855.6589999999997"/>
    <n v="0"/>
    <n v="0"/>
    <n v="0"/>
    <n v="0"/>
    <n v="24"/>
    <s v="LIVRE"/>
    <n v="0"/>
    <n v="27"/>
    <n v="0"/>
    <n v="0"/>
    <n v="19.8"/>
    <n v="0"/>
    <n v="0"/>
    <n v="20.612826474871284"/>
    <m/>
    <m/>
    <n v="102293.55180000002"/>
    <n v="0"/>
    <n v="106492.890543013"/>
    <n v="0"/>
    <x v="3"/>
  </r>
  <r>
    <s v="Regular"/>
    <x v="1"/>
    <x v="0"/>
    <x v="2"/>
    <x v="1"/>
    <x v="2"/>
    <x v="0"/>
    <x v="1"/>
    <x v="2"/>
    <n v="10030"/>
    <n v="4800.3580000000002"/>
    <n v="0"/>
    <n v="0"/>
    <n v="0"/>
    <n v="0"/>
    <n v="24"/>
    <s v="LIVRE"/>
    <n v="0"/>
    <n v="27"/>
    <n v="0"/>
    <n v="0"/>
    <n v="19.8"/>
    <n v="0"/>
    <n v="0"/>
    <n v="20.612826474871284"/>
    <m/>
    <m/>
    <n v="103546.91160000001"/>
    <n v="0"/>
    <n v="107797.70307169881"/>
    <n v="0"/>
    <x v="3"/>
  </r>
  <r>
    <s v="Regular"/>
    <x v="1"/>
    <x v="0"/>
    <x v="2"/>
    <x v="1"/>
    <x v="2"/>
    <x v="0"/>
    <x v="1"/>
    <x v="3"/>
    <n v="9994"/>
    <n v="4837.0959999999995"/>
    <n v="0"/>
    <n v="0"/>
    <n v="0"/>
    <n v="0"/>
    <n v="24"/>
    <s v="LIVRE"/>
    <n v="0"/>
    <n v="27"/>
    <n v="0"/>
    <n v="0"/>
    <n v="19.8"/>
    <n v="0"/>
    <n v="0"/>
    <n v="20.612826474871284"/>
    <m/>
    <m/>
    <n v="102106.69920000002"/>
    <n v="0"/>
    <n v="106298.36729956963"/>
    <n v="0"/>
    <x v="3"/>
  </r>
  <r>
    <s v="Regular"/>
    <x v="1"/>
    <x v="0"/>
    <x v="2"/>
    <x v="1"/>
    <x v="2"/>
    <x v="0"/>
    <x v="1"/>
    <x v="4"/>
    <n v="10210"/>
    <n v="4988.6059999999998"/>
    <n v="0"/>
    <n v="0"/>
    <n v="0"/>
    <n v="0"/>
    <n v="25"/>
    <s v="LIVRE"/>
    <n v="0"/>
    <n v="27"/>
    <n v="0"/>
    <n v="0"/>
    <n v="19.8"/>
    <n v="0"/>
    <n v="0"/>
    <n v="20.612826474871284"/>
    <m/>
    <m/>
    <n v="103383.6012"/>
    <n v="0"/>
    <n v="107627.68847893407"/>
    <n v="0"/>
    <x v="3"/>
  </r>
  <r>
    <s v="PROJETADO"/>
    <x v="1"/>
    <x v="0"/>
    <x v="2"/>
    <x v="1"/>
    <x v="2"/>
    <x v="0"/>
    <x v="1"/>
    <x v="5"/>
    <n v="10210"/>
    <n v="4988.6059999999998"/>
    <n v="0"/>
    <n v="0"/>
    <n v="0"/>
    <n v="0"/>
    <n v="25"/>
    <s v="LIVRE"/>
    <n v="0"/>
    <n v="27"/>
    <n v="0"/>
    <n v="0"/>
    <n v="19.8"/>
    <n v="0"/>
    <n v="0"/>
    <n v="20.612826474871284"/>
    <m/>
    <m/>
    <n v="103383.6012"/>
    <n v="0"/>
    <n v="107627.68847893407"/>
    <n v="0"/>
    <x v="3"/>
  </r>
  <r>
    <s v="Regular"/>
    <x v="1"/>
    <x v="0"/>
    <x v="2"/>
    <x v="1"/>
    <x v="2"/>
    <x v="0"/>
    <x v="2"/>
    <x v="9"/>
    <n v="0"/>
    <n v="0"/>
    <n v="245.66200000000001"/>
    <n v="97.748909800000007"/>
    <n v="0"/>
    <n v="0"/>
    <n v="0"/>
    <s v="LIVRE"/>
    <n v="0"/>
    <n v="0"/>
    <n v="28"/>
    <n v="0"/>
    <n v="0"/>
    <n v="1448.96"/>
    <n v="0"/>
    <m/>
    <n v="1479.9458225851192"/>
    <m/>
    <n v="0"/>
    <n v="214320.15117619201"/>
    <n v="0"/>
    <n v="218903.35994714595"/>
    <x v="3"/>
  </r>
  <r>
    <s v="Regular"/>
    <x v="1"/>
    <x v="0"/>
    <x v="2"/>
    <x v="1"/>
    <x v="2"/>
    <x v="0"/>
    <x v="2"/>
    <x v="10"/>
    <n v="0"/>
    <n v="0"/>
    <n v="290.80900000000003"/>
    <n v="132.0563669"/>
    <n v="0"/>
    <n v="0"/>
    <n v="0"/>
    <s v="LIVRE"/>
    <n v="0"/>
    <n v="0"/>
    <n v="28"/>
    <n v="0"/>
    <n v="0"/>
    <n v="1448.96"/>
    <n v="0"/>
    <m/>
    <n v="1479.9458225851192"/>
    <m/>
    <n v="0"/>
    <n v="230026.21525657605"/>
    <n v="0"/>
    <n v="234945.29618073316"/>
    <x v="3"/>
  </r>
  <r>
    <s v="Regular"/>
    <x v="1"/>
    <x v="0"/>
    <x v="2"/>
    <x v="1"/>
    <x v="2"/>
    <x v="0"/>
    <x v="2"/>
    <x v="11"/>
    <n v="0"/>
    <n v="0"/>
    <n v="257.99400000000003"/>
    <n v="129.40979039999999"/>
    <n v="0"/>
    <n v="0"/>
    <n v="0"/>
    <s v="LIVRE"/>
    <n v="0"/>
    <n v="0"/>
    <n v="28"/>
    <n v="0"/>
    <n v="0"/>
    <n v="1448.96"/>
    <n v="0"/>
    <m/>
    <n v="1479.9458225851192"/>
    <m/>
    <n v="0"/>
    <n v="186313.37634201607"/>
    <n v="0"/>
    <n v="190297.66384792945"/>
    <x v="3"/>
  </r>
  <r>
    <s v="Regular"/>
    <x v="1"/>
    <x v="0"/>
    <x v="2"/>
    <x v="1"/>
    <x v="2"/>
    <x v="0"/>
    <x v="2"/>
    <x v="6"/>
    <n v="0"/>
    <n v="0"/>
    <n v="236.024"/>
    <n v="108.31141359999999"/>
    <n v="0"/>
    <n v="0"/>
    <n v="0"/>
    <s v="LIVRE"/>
    <n v="0"/>
    <n v="0"/>
    <n v="28"/>
    <n v="0"/>
    <n v="0"/>
    <n v="1448.96"/>
    <n v="0"/>
    <m/>
    <n v="1479.9458225851192"/>
    <m/>
    <n v="0"/>
    <n v="185050.429190144"/>
    <n v="0"/>
    <n v="189007.70873422112"/>
    <x v="3"/>
  </r>
  <r>
    <s v="Regular"/>
    <x v="1"/>
    <x v="0"/>
    <x v="2"/>
    <x v="1"/>
    <x v="2"/>
    <x v="0"/>
    <x v="2"/>
    <x v="7"/>
    <n v="0"/>
    <n v="0"/>
    <n v="292.24799999999999"/>
    <n v="136.8597384"/>
    <n v="0"/>
    <n v="0"/>
    <n v="0"/>
    <s v="LIVRE"/>
    <n v="0"/>
    <n v="0"/>
    <n v="28"/>
    <n v="0"/>
    <n v="0"/>
    <n v="1448.96"/>
    <n v="0"/>
    <m/>
    <n v="1479.9458225851192"/>
    <m/>
    <n v="0"/>
    <n v="225151.375527936"/>
    <n v="0"/>
    <n v="229966.20863368368"/>
    <x v="3"/>
  </r>
  <r>
    <s v="Regular"/>
    <x v="1"/>
    <x v="0"/>
    <x v="2"/>
    <x v="1"/>
    <x v="2"/>
    <x v="0"/>
    <x v="2"/>
    <x v="8"/>
    <n v="0"/>
    <n v="0"/>
    <n v="261.45400000000001"/>
    <n v="129.26285759999999"/>
    <n v="0"/>
    <n v="0"/>
    <n v="0"/>
    <s v="LIVRE"/>
    <n v="0"/>
    <n v="0"/>
    <n v="28"/>
    <n v="0"/>
    <n v="0"/>
    <n v="1448.96"/>
    <n v="0"/>
    <m/>
    <n v="1479.9458225851192"/>
    <m/>
    <n v="0"/>
    <n v="191539.67769190404"/>
    <n v="0"/>
    <n v="195635.72897763466"/>
    <x v="3"/>
  </r>
  <r>
    <s v="Regular"/>
    <x v="1"/>
    <x v="0"/>
    <x v="2"/>
    <x v="1"/>
    <x v="2"/>
    <x v="0"/>
    <x v="2"/>
    <x v="0"/>
    <n v="0"/>
    <n v="0"/>
    <n v="301.29399999999998"/>
    <n v="153.11761079999999"/>
    <n v="0"/>
    <n v="0"/>
    <n v="0"/>
    <s v="LIVRE"/>
    <n v="0"/>
    <n v="0"/>
    <n v="28"/>
    <n v="0"/>
    <n v="0"/>
    <n v="1448.96"/>
    <n v="0"/>
    <m/>
    <n v="1479.9458225851192"/>
    <m/>
    <n v="0"/>
    <n v="214701.66089523199"/>
    <n v="0"/>
    <n v="219293.02820228675"/>
    <x v="3"/>
  </r>
  <r>
    <s v="Regular"/>
    <x v="1"/>
    <x v="0"/>
    <x v="2"/>
    <x v="1"/>
    <x v="2"/>
    <x v="0"/>
    <x v="2"/>
    <x v="1"/>
    <n v="0"/>
    <n v="0"/>
    <n v="268.952"/>
    <n v="141.33427599999999"/>
    <n v="0"/>
    <n v="0"/>
    <n v="0"/>
    <s v="LIVRE"/>
    <n v="0"/>
    <n v="0"/>
    <n v="28"/>
    <n v="0"/>
    <n v="0"/>
    <n v="1448.96"/>
    <n v="0"/>
    <m/>
    <n v="1479.9458225851192"/>
    <m/>
    <n v="0"/>
    <n v="184912.97736704003"/>
    <n v="0"/>
    <n v="188867.31752162072"/>
    <x v="3"/>
  </r>
  <r>
    <s v="Regular"/>
    <x v="1"/>
    <x v="0"/>
    <x v="2"/>
    <x v="1"/>
    <x v="2"/>
    <x v="0"/>
    <x v="2"/>
    <x v="2"/>
    <n v="0"/>
    <n v="0"/>
    <n v="279.03699999999998"/>
    <n v="149.53592829999999"/>
    <n v="0"/>
    <n v="0"/>
    <n v="0"/>
    <s v="LIVRE"/>
    <n v="0"/>
    <n v="0"/>
    <n v="28"/>
    <n v="0"/>
    <n v="0"/>
    <n v="1448.96"/>
    <n v="0"/>
    <m/>
    <n v="1479.9458225851192"/>
    <m/>
    <n v="0"/>
    <n v="187641.87285043197"/>
    <n v="0"/>
    <n v="191654.57008271097"/>
    <x v="3"/>
  </r>
  <r>
    <s v="Regular"/>
    <x v="1"/>
    <x v="0"/>
    <x v="2"/>
    <x v="1"/>
    <x v="2"/>
    <x v="0"/>
    <x v="2"/>
    <x v="3"/>
    <n v="0"/>
    <n v="0"/>
    <n v="328.87700000000001"/>
    <n v="161.0839546"/>
    <n v="0"/>
    <n v="0"/>
    <n v="0"/>
    <s v="LIVRE"/>
    <n v="0"/>
    <n v="0"/>
    <n v="28"/>
    <n v="0"/>
    <n v="0"/>
    <n v="1448.96"/>
    <n v="0"/>
    <m/>
    <n v="1479.9458225851192"/>
    <m/>
    <n v="0"/>
    <n v="243125.41106278403"/>
    <n v="0"/>
    <n v="248324.61659856528"/>
    <x v="3"/>
  </r>
  <r>
    <s v="Regular"/>
    <x v="1"/>
    <x v="0"/>
    <x v="2"/>
    <x v="1"/>
    <x v="2"/>
    <x v="0"/>
    <x v="2"/>
    <x v="4"/>
    <n v="0"/>
    <n v="0"/>
    <n v="299.41699999999997"/>
    <n v="144.1992272"/>
    <n v="0"/>
    <n v="0"/>
    <n v="0"/>
    <s v="LIVRE"/>
    <n v="0"/>
    <n v="0"/>
    <n v="28"/>
    <n v="0"/>
    <n v="0"/>
    <n v="1448.96"/>
    <n v="0"/>
    <m/>
    <n v="1479.9458225851192"/>
    <m/>
    <n v="0"/>
    <n v="224904.34407628796"/>
    <n v="0"/>
    <n v="229713.8944463261"/>
    <x v="3"/>
  </r>
  <r>
    <s v="PROJETADO"/>
    <x v="1"/>
    <x v="0"/>
    <x v="2"/>
    <x v="1"/>
    <x v="2"/>
    <x v="0"/>
    <x v="2"/>
    <x v="5"/>
    <n v="0"/>
    <n v="0"/>
    <n v="299.41699999999997"/>
    <n v="144.1992272"/>
    <n v="0"/>
    <n v="0"/>
    <n v="0"/>
    <s v="LIVRE"/>
    <n v="0"/>
    <n v="0"/>
    <n v="28"/>
    <n v="0"/>
    <n v="0"/>
    <n v="1448.96"/>
    <n v="0"/>
    <m/>
    <n v="1479.9458225851192"/>
    <m/>
    <n v="0"/>
    <n v="224904.34407628796"/>
    <n v="0"/>
    <n v="229713.8944463261"/>
    <x v="3"/>
  </r>
  <r>
    <s v="Regular"/>
    <x v="1"/>
    <x v="0"/>
    <x v="0"/>
    <x v="1"/>
    <x v="1"/>
    <x v="0"/>
    <x v="0"/>
    <x v="1"/>
    <n v="0"/>
    <n v="0"/>
    <n v="2.1999999999999999E-2"/>
    <n v="2.1999999999999999E-2"/>
    <n v="2.1999999999999999E-2"/>
    <n v="2.1999999999999999E-2"/>
    <n v="0"/>
    <s v="CATIVO"/>
    <n v="0"/>
    <n v="0"/>
    <n v="29"/>
    <n v="75"/>
    <n v="0"/>
    <n v="80.937600000000003"/>
    <n v="161.33760000000001"/>
    <m/>
    <n v="111.16926119137599"/>
    <n v="214.35764160106174"/>
    <n v="0"/>
    <n v="0.22208559999999999"/>
    <n v="0"/>
    <n v="0.1461549359476251"/>
    <x v="1"/>
  </r>
  <r>
    <s v="Regular"/>
    <x v="1"/>
    <x v="0"/>
    <x v="0"/>
    <x v="1"/>
    <x v="1"/>
    <x v="0"/>
    <x v="0"/>
    <x v="2"/>
    <n v="0"/>
    <n v="0"/>
    <n v="8.2000000000000003E-2"/>
    <n v="8.2000000000000003E-2"/>
    <n v="8.2000000000000003E-2"/>
    <n v="8.2000000000000003E-2"/>
    <n v="0"/>
    <s v="CATIVO"/>
    <n v="0"/>
    <n v="0"/>
    <n v="29"/>
    <n v="75"/>
    <n v="0"/>
    <n v="80.937600000000003"/>
    <n v="161.33760000000001"/>
    <m/>
    <n v="111.16926119137599"/>
    <n v="214.35764160106174"/>
    <n v="0"/>
    <n v="0.82777360000000022"/>
    <n v="0"/>
    <n v="0.5447593067138754"/>
    <x v="1"/>
  </r>
  <r>
    <s v="Regular"/>
    <x v="1"/>
    <x v="0"/>
    <x v="0"/>
    <x v="1"/>
    <x v="1"/>
    <x v="0"/>
    <x v="0"/>
    <x v="3"/>
    <n v="0"/>
    <n v="0"/>
    <n v="2E-3"/>
    <n v="2E-3"/>
    <n v="2E-3"/>
    <n v="2E-3"/>
    <n v="0"/>
    <s v="CATIVO"/>
    <n v="0"/>
    <n v="0"/>
    <n v="29"/>
    <n v="75"/>
    <n v="0"/>
    <n v="80.937600000000003"/>
    <n v="161.33760000000001"/>
    <m/>
    <n v="111.16926119137599"/>
    <n v="214.35764160106174"/>
    <n v="0"/>
    <n v="2.0189600000000002E-2"/>
    <n v="0"/>
    <n v="1.328681235887501E-2"/>
    <x v="1"/>
  </r>
  <r>
    <s v="Regular"/>
    <x v="1"/>
    <x v="0"/>
    <x v="0"/>
    <x v="1"/>
    <x v="1"/>
    <x v="0"/>
    <x v="0"/>
    <x v="4"/>
    <n v="0"/>
    <n v="0"/>
    <n v="1E-3"/>
    <n v="1E-3"/>
    <n v="1E-3"/>
    <n v="1E-3"/>
    <n v="0"/>
    <s v="CATIVO"/>
    <n v="0"/>
    <n v="0"/>
    <n v="29"/>
    <n v="75"/>
    <n v="0"/>
    <n v="80.937600000000003"/>
    <n v="161.33760000000001"/>
    <m/>
    <n v="111.16926119137599"/>
    <n v="214.35764160106174"/>
    <n v="0"/>
    <n v="1.0094800000000001E-2"/>
    <n v="0"/>
    <n v="6.6434061794375049E-3"/>
    <x v="1"/>
  </r>
  <r>
    <s v="PROJETADO"/>
    <x v="1"/>
    <x v="0"/>
    <x v="0"/>
    <x v="1"/>
    <x v="1"/>
    <x v="0"/>
    <x v="0"/>
    <x v="5"/>
    <n v="0"/>
    <n v="0"/>
    <n v="1E-3"/>
    <n v="1E-3"/>
    <n v="1E-3"/>
    <n v="1E-3"/>
    <n v="0"/>
    <s v="CATIVO"/>
    <n v="0"/>
    <n v="0"/>
    <n v="29"/>
    <n v="75"/>
    <n v="0"/>
    <n v="80.937600000000003"/>
    <n v="161.33760000000001"/>
    <m/>
    <n v="111.16926119137599"/>
    <n v="214.35764160106174"/>
    <n v="0"/>
    <n v="1.0094800000000001E-2"/>
    <n v="0"/>
    <n v="6.6434061794375049E-3"/>
    <x v="1"/>
  </r>
  <r>
    <s v="Regular"/>
    <x v="1"/>
    <x v="0"/>
    <x v="0"/>
    <x v="1"/>
    <x v="1"/>
    <x v="0"/>
    <x v="1"/>
    <x v="2"/>
    <n v="15"/>
    <n v="15"/>
    <n v="0"/>
    <n v="0"/>
    <n v="0"/>
    <n v="0"/>
    <n v="1"/>
    <s v="CATIVO"/>
    <n v="0"/>
    <n v="27"/>
    <n v="0"/>
    <n v="0"/>
    <n v="19.007999999999999"/>
    <n v="0"/>
    <n v="0"/>
    <n v="20.200569945373857"/>
    <m/>
    <m/>
    <n v="11.88"/>
    <n v="0"/>
    <n v="6.1838479424613855"/>
    <n v="0"/>
    <x v="1"/>
  </r>
  <r>
    <s v="Regular"/>
    <x v="1"/>
    <x v="0"/>
    <x v="0"/>
    <x v="1"/>
    <x v="1"/>
    <x v="0"/>
    <x v="1"/>
    <x v="3"/>
    <n v="1"/>
    <n v="1"/>
    <n v="0"/>
    <n v="0"/>
    <n v="0"/>
    <n v="0"/>
    <n v="1"/>
    <s v="CATIVO"/>
    <n v="0"/>
    <n v="27"/>
    <n v="0"/>
    <n v="0"/>
    <n v="19.007999999999999"/>
    <n v="0"/>
    <n v="0"/>
    <n v="20.200569945373857"/>
    <m/>
    <m/>
    <n v="0.79200000000000004"/>
    <n v="0"/>
    <n v="0.41225652949742569"/>
    <n v="0"/>
    <x v="1"/>
  </r>
  <r>
    <s v="Regular"/>
    <x v="1"/>
    <x v="0"/>
    <x v="0"/>
    <x v="1"/>
    <x v="1"/>
    <x v="0"/>
    <x v="1"/>
    <x v="4"/>
    <n v="1"/>
    <n v="1"/>
    <n v="0"/>
    <n v="0"/>
    <n v="0"/>
    <n v="0"/>
    <n v="1"/>
    <s v="CATIVO"/>
    <n v="0"/>
    <n v="27"/>
    <n v="0"/>
    <n v="0"/>
    <n v="19.007999999999999"/>
    <n v="0"/>
    <n v="0"/>
    <n v="20.200569945373857"/>
    <m/>
    <m/>
    <n v="0.79200000000000004"/>
    <n v="0"/>
    <n v="0.41225652949742569"/>
    <n v="0"/>
    <x v="1"/>
  </r>
  <r>
    <s v="PROJETADO"/>
    <x v="1"/>
    <x v="0"/>
    <x v="0"/>
    <x v="1"/>
    <x v="1"/>
    <x v="0"/>
    <x v="1"/>
    <x v="5"/>
    <n v="1"/>
    <n v="1"/>
    <n v="0"/>
    <n v="0"/>
    <n v="0"/>
    <n v="0"/>
    <n v="1"/>
    <s v="CATIVO"/>
    <n v="0"/>
    <n v="27"/>
    <n v="0"/>
    <n v="0"/>
    <n v="19.007999999999999"/>
    <n v="0"/>
    <n v="0"/>
    <n v="20.200569945373857"/>
    <m/>
    <m/>
    <n v="0.79200000000000004"/>
    <n v="0"/>
    <n v="0.41225652949742569"/>
    <n v="0"/>
    <x v="1"/>
  </r>
  <r>
    <s v="Refaturamento - Regular"/>
    <x v="1"/>
    <x v="0"/>
    <x v="0"/>
    <x v="1"/>
    <x v="1"/>
    <x v="0"/>
    <x v="2"/>
    <x v="9"/>
    <n v="0"/>
    <n v="0"/>
    <n v="-0.35899999999999999"/>
    <n v="-0.35899999999999999"/>
    <n v="-0.35899999999999999"/>
    <n v="-0.35899999999999999"/>
    <n v="0"/>
    <s v="CATIVO"/>
    <n v="0"/>
    <n v="0"/>
    <n v="28"/>
    <n v="74"/>
    <n v="0"/>
    <n v="1391.0016000000001"/>
    <n v="259.488"/>
    <m/>
    <n v="1450.3469061334167"/>
    <n v="355.44973741322258"/>
    <n v="0"/>
    <n v="-24.688573599999998"/>
    <n v="0"/>
    <n v="-13.230224388433539"/>
    <x v="1"/>
  </r>
  <r>
    <s v="Regular"/>
    <x v="1"/>
    <x v="0"/>
    <x v="0"/>
    <x v="1"/>
    <x v="1"/>
    <x v="0"/>
    <x v="2"/>
    <x v="1"/>
    <n v="0"/>
    <n v="0"/>
    <n v="2E-3"/>
    <n v="2E-3"/>
    <n v="2E-3"/>
    <n v="2E-3"/>
    <n v="0"/>
    <s v="CATIVO"/>
    <n v="0"/>
    <n v="0"/>
    <n v="28"/>
    <n v="74"/>
    <n v="0"/>
    <n v="1391.0016000000001"/>
    <n v="259.488"/>
    <m/>
    <n v="1450.3469061334167"/>
    <n v="355.44973741322258"/>
    <n v="0"/>
    <n v="0.13754080000000002"/>
    <n v="0"/>
    <n v="7.3705985450883235E-2"/>
    <x v="1"/>
  </r>
  <r>
    <s v="Regular"/>
    <x v="1"/>
    <x v="0"/>
    <x v="1"/>
    <x v="2"/>
    <x v="1"/>
    <x v="0"/>
    <x v="0"/>
    <x v="9"/>
    <n v="0"/>
    <n v="0"/>
    <n v="2337.0320000000002"/>
    <n v="2337.0320000000002"/>
    <n v="2337.0320000000002"/>
    <n v="2337.0320000000002"/>
    <n v="0"/>
    <s v="CATIVO"/>
    <n v="0"/>
    <n v="0"/>
    <n v="29"/>
    <n v="75"/>
    <n v="0"/>
    <n v="79.251400000000004"/>
    <n v="157.97639999999998"/>
    <m/>
    <n v="110.03488097513747"/>
    <n v="212.17031872758153"/>
    <n v="0"/>
    <n v="35387.805950400005"/>
    <n v="0"/>
    <n v="23288.77924551479"/>
    <x v="2"/>
  </r>
  <r>
    <s v="Sistema Isolado - Regular"/>
    <x v="1"/>
    <x v="0"/>
    <x v="1"/>
    <x v="2"/>
    <x v="1"/>
    <x v="0"/>
    <x v="0"/>
    <x v="9"/>
    <n v="0"/>
    <n v="0"/>
    <n v="325.91500000000002"/>
    <n v="325.91500000000002"/>
    <n v="325.91500000000002"/>
    <n v="325.91500000000002"/>
    <n v="0"/>
    <s v="CATIVO"/>
    <n v="0"/>
    <n v="0"/>
    <n v="29"/>
    <n v="75"/>
    <n v="0"/>
    <n v="79.251400000000004"/>
    <n v="157.97639999999998"/>
    <m/>
    <n v="110.03488097513747"/>
    <n v="212.17031872758153"/>
    <n v="0"/>
    <n v="4935.0701129999998"/>
    <n v="0"/>
    <n v="3247.7785874570618"/>
    <x v="2"/>
  </r>
  <r>
    <s v="Regular"/>
    <x v="1"/>
    <x v="0"/>
    <x v="1"/>
    <x v="2"/>
    <x v="1"/>
    <x v="0"/>
    <x v="0"/>
    <x v="10"/>
    <n v="0"/>
    <n v="0"/>
    <n v="2800.4690000000001"/>
    <n v="2800.4690000000001"/>
    <n v="2800.4690000000001"/>
    <n v="2800.4690000000001"/>
    <n v="0"/>
    <s v="CATIVO"/>
    <n v="0"/>
    <n v="0"/>
    <n v="29"/>
    <n v="75"/>
    <n v="0"/>
    <n v="79.251400000000004"/>
    <n v="157.97639999999998"/>
    <m/>
    <n v="110.03488097513747"/>
    <n v="212.17031872758153"/>
    <n v="0"/>
    <n v="42405.261691799999"/>
    <n v="0"/>
    <n v="27906.979589884759"/>
    <x v="2"/>
  </r>
  <r>
    <s v="Sistema Isolado - Regular"/>
    <x v="1"/>
    <x v="0"/>
    <x v="1"/>
    <x v="2"/>
    <x v="1"/>
    <x v="0"/>
    <x v="0"/>
    <x v="10"/>
    <n v="0"/>
    <n v="0"/>
    <n v="348.46"/>
    <n v="348.46"/>
    <n v="348.46"/>
    <n v="348.46"/>
    <n v="0"/>
    <s v="CATIVO"/>
    <n v="0"/>
    <n v="0"/>
    <n v="29"/>
    <n v="75"/>
    <n v="0"/>
    <n v="79.251400000000004"/>
    <n v="157.97639999999998"/>
    <m/>
    <n v="110.03488097513747"/>
    <n v="212.17031872758153"/>
    <n v="0"/>
    <n v="5276.4510119999995"/>
    <n v="0"/>
    <n v="3472.4419759301895"/>
    <x v="2"/>
  </r>
  <r>
    <s v="Regular"/>
    <x v="1"/>
    <x v="0"/>
    <x v="1"/>
    <x v="2"/>
    <x v="1"/>
    <x v="0"/>
    <x v="0"/>
    <x v="11"/>
    <n v="0"/>
    <n v="0"/>
    <n v="2556.0419999999999"/>
    <n v="2556.0419999999999"/>
    <n v="2556.0419999999999"/>
    <n v="2556.0419999999999"/>
    <n v="0"/>
    <s v="CATIVO"/>
    <n v="0"/>
    <n v="0"/>
    <n v="29"/>
    <n v="75"/>
    <n v="0"/>
    <n v="79.251400000000004"/>
    <n v="157.97639999999998"/>
    <m/>
    <n v="110.03488097513747"/>
    <n v="212.17031872758153"/>
    <n v="0"/>
    <n v="38704.099172399998"/>
    <n v="0"/>
    <n v="25471.2378265527"/>
    <x v="2"/>
  </r>
  <r>
    <s v="Sistema Isolado - Regular"/>
    <x v="1"/>
    <x v="0"/>
    <x v="1"/>
    <x v="2"/>
    <x v="1"/>
    <x v="0"/>
    <x v="0"/>
    <x v="11"/>
    <n v="0"/>
    <n v="0"/>
    <n v="328.28699999999998"/>
    <n v="328.28699999999998"/>
    <n v="328.28699999999998"/>
    <n v="328.28699999999998"/>
    <n v="0"/>
    <s v="CATIVO"/>
    <n v="0"/>
    <n v="0"/>
    <n v="29"/>
    <n v="75"/>
    <n v="0"/>
    <n v="79.251400000000004"/>
    <n v="157.97639999999998"/>
    <m/>
    <n v="110.03488097513747"/>
    <n v="212.17031872758153"/>
    <n v="0"/>
    <n v="4970.9874113999986"/>
    <n v="0"/>
    <n v="3271.4158266434997"/>
    <x v="2"/>
  </r>
  <r>
    <s v="Regular"/>
    <x v="1"/>
    <x v="0"/>
    <x v="1"/>
    <x v="2"/>
    <x v="1"/>
    <x v="0"/>
    <x v="0"/>
    <x v="6"/>
    <n v="0"/>
    <n v="0"/>
    <n v="2638.0169999999998"/>
    <n v="2638.0169999999998"/>
    <n v="2638.0169999999998"/>
    <n v="2638.0169999999998"/>
    <n v="0"/>
    <s v="CATIVO"/>
    <n v="0"/>
    <n v="0"/>
    <n v="29"/>
    <n v="75"/>
    <n v="0"/>
    <n v="79.251400000000004"/>
    <n v="157.97639999999998"/>
    <m/>
    <n v="110.03488097513747"/>
    <n v="212.17031872758153"/>
    <n v="0"/>
    <n v="39945.381017399995"/>
    <n v="0"/>
    <n v="26288.127658891783"/>
    <x v="2"/>
  </r>
  <r>
    <s v="Sistema Isolado - Regular"/>
    <x v="1"/>
    <x v="0"/>
    <x v="1"/>
    <x v="2"/>
    <x v="1"/>
    <x v="0"/>
    <x v="0"/>
    <x v="6"/>
    <n v="0"/>
    <n v="0"/>
    <n v="324.35599999999999"/>
    <n v="324.35599999999999"/>
    <n v="324.35599999999999"/>
    <n v="324.35599999999999"/>
    <n v="0"/>
    <s v="CATIVO"/>
    <n v="0"/>
    <n v="0"/>
    <n v="29"/>
    <n v="75"/>
    <n v="0"/>
    <n v="79.251400000000004"/>
    <n v="157.97639999999998"/>
    <m/>
    <n v="110.03488097513747"/>
    <n v="212.17031872758153"/>
    <n v="0"/>
    <n v="4911.4634231999999"/>
    <n v="0"/>
    <n v="3232.2429821064475"/>
    <x v="2"/>
  </r>
  <r>
    <s v="Regular"/>
    <x v="1"/>
    <x v="0"/>
    <x v="1"/>
    <x v="2"/>
    <x v="1"/>
    <x v="0"/>
    <x v="0"/>
    <x v="7"/>
    <n v="0"/>
    <n v="0"/>
    <n v="2707.72"/>
    <n v="2707.72"/>
    <n v="2707.72"/>
    <n v="2707.72"/>
    <n v="0"/>
    <s v="CATIVO"/>
    <n v="0"/>
    <n v="0"/>
    <n v="29"/>
    <n v="75"/>
    <n v="0"/>
    <n v="79.251400000000004"/>
    <n v="157.97639999999998"/>
    <m/>
    <n v="110.03488097513747"/>
    <n v="212.17031872758153"/>
    <n v="0"/>
    <n v="41000.837783999996"/>
    <n v="0"/>
    <n v="26982.725670279786"/>
    <x v="2"/>
  </r>
  <r>
    <s v="Sistema Isolado - Regular"/>
    <x v="1"/>
    <x v="0"/>
    <x v="1"/>
    <x v="2"/>
    <x v="1"/>
    <x v="0"/>
    <x v="0"/>
    <x v="7"/>
    <n v="0"/>
    <n v="0"/>
    <n v="341.45400000000001"/>
    <n v="341.45400000000001"/>
    <n v="341.45400000000001"/>
    <n v="341.45400000000001"/>
    <n v="0"/>
    <s v="CATIVO"/>
    <n v="0"/>
    <n v="0"/>
    <n v="29"/>
    <n v="75"/>
    <n v="0"/>
    <n v="79.251400000000004"/>
    <n v="157.97639999999998"/>
    <m/>
    <n v="110.03488097513747"/>
    <n v="212.17031872758153"/>
    <n v="0"/>
    <n v="5170.3647588000013"/>
    <n v="0"/>
    <n v="3402.6264203904807"/>
    <x v="2"/>
  </r>
  <r>
    <s v="Regular"/>
    <x v="1"/>
    <x v="0"/>
    <x v="1"/>
    <x v="2"/>
    <x v="1"/>
    <x v="0"/>
    <x v="0"/>
    <x v="8"/>
    <n v="0"/>
    <n v="0"/>
    <n v="2835.127"/>
    <n v="2835.127"/>
    <n v="2835.127"/>
    <n v="2835.127"/>
    <n v="0"/>
    <s v="CATIVO"/>
    <n v="0"/>
    <n v="0"/>
    <n v="29"/>
    <n v="75"/>
    <n v="0"/>
    <n v="79.251400000000004"/>
    <n v="157.97639999999998"/>
    <m/>
    <n v="110.03488097513747"/>
    <n v="212.17031872758153"/>
    <n v="0"/>
    <n v="42930.060059400006"/>
    <n v="0"/>
    <n v="28252.350346935171"/>
    <x v="2"/>
  </r>
  <r>
    <s v="Sistema Isolado - Regular"/>
    <x v="1"/>
    <x v="0"/>
    <x v="1"/>
    <x v="2"/>
    <x v="1"/>
    <x v="0"/>
    <x v="0"/>
    <x v="8"/>
    <n v="0"/>
    <n v="0"/>
    <n v="347.22"/>
    <n v="347.22"/>
    <n v="347.22"/>
    <n v="347.22"/>
    <n v="0"/>
    <s v="CATIVO"/>
    <n v="0"/>
    <n v="0"/>
    <n v="29"/>
    <n v="75"/>
    <n v="0"/>
    <n v="79.251400000000004"/>
    <n v="157.97639999999998"/>
    <m/>
    <n v="110.03488097513747"/>
    <n v="212.17031872758153"/>
    <n v="0"/>
    <n v="5257.6746840000005"/>
    <n v="0"/>
    <n v="3460.0852404364359"/>
    <x v="2"/>
  </r>
  <r>
    <s v="Regular"/>
    <x v="1"/>
    <x v="0"/>
    <x v="1"/>
    <x v="2"/>
    <x v="1"/>
    <x v="0"/>
    <x v="0"/>
    <x v="0"/>
    <n v="0"/>
    <n v="0"/>
    <n v="2605.1640000000002"/>
    <n v="2605.1640000000002"/>
    <n v="2605.1640000000002"/>
    <n v="2605.1640000000002"/>
    <n v="0"/>
    <s v="CATIVO"/>
    <n v="0"/>
    <n v="0"/>
    <n v="29"/>
    <n v="75"/>
    <n v="0"/>
    <n v="79.251400000000004"/>
    <n v="157.97639999999998"/>
    <m/>
    <n v="110.03488097513747"/>
    <n v="212.17031872758153"/>
    <n v="0"/>
    <n v="39447.914320800002"/>
    <n v="0"/>
    <n v="25960.743924072191"/>
    <x v="2"/>
  </r>
  <r>
    <s v="Sistema Isolado - Regular"/>
    <x v="1"/>
    <x v="0"/>
    <x v="1"/>
    <x v="2"/>
    <x v="1"/>
    <x v="0"/>
    <x v="0"/>
    <x v="0"/>
    <n v="0"/>
    <n v="0"/>
    <n v="350.101"/>
    <n v="350.101"/>
    <n v="350.101"/>
    <n v="350.101"/>
    <n v="0"/>
    <s v="CATIVO"/>
    <n v="0"/>
    <n v="0"/>
    <n v="29"/>
    <n v="75"/>
    <n v="0"/>
    <n v="79.251400000000004"/>
    <n v="157.97639999999998"/>
    <m/>
    <n v="110.03488097513747"/>
    <n v="212.17031872758153"/>
    <n v="0"/>
    <n v="5301.2993621999995"/>
    <n v="0"/>
    <n v="3488.794720240875"/>
    <x v="2"/>
  </r>
  <r>
    <s v="Regular"/>
    <x v="1"/>
    <x v="0"/>
    <x v="1"/>
    <x v="2"/>
    <x v="1"/>
    <x v="0"/>
    <x v="0"/>
    <x v="1"/>
    <n v="0"/>
    <n v="0"/>
    <n v="2857.5189999999998"/>
    <n v="2857.5189999999998"/>
    <n v="2857.5189999999998"/>
    <n v="2857.5189999999998"/>
    <n v="0"/>
    <s v="CATIVO"/>
    <n v="0"/>
    <n v="0"/>
    <n v="29"/>
    <n v="75"/>
    <n v="0"/>
    <n v="79.251400000000004"/>
    <n v="157.97639999999998"/>
    <m/>
    <n v="110.03488097513747"/>
    <n v="212.17031872758153"/>
    <n v="0"/>
    <n v="43269.12420179999"/>
    <n v="0"/>
    <n v="28475.489073690118"/>
    <x v="2"/>
  </r>
  <r>
    <s v="Refaturamento - Regular"/>
    <x v="1"/>
    <x v="0"/>
    <x v="1"/>
    <x v="2"/>
    <x v="1"/>
    <x v="0"/>
    <x v="0"/>
    <x v="1"/>
    <n v="0"/>
    <n v="0"/>
    <n v="-347.2"/>
    <n v="-347.2"/>
    <n v="-347.2"/>
    <n v="-347.2"/>
    <n v="0"/>
    <s v="CATIVO"/>
    <n v="0"/>
    <n v="0"/>
    <n v="29"/>
    <n v="75"/>
    <n v="0"/>
    <n v="79.251400000000004"/>
    <n v="157.97639999999998"/>
    <m/>
    <n v="110.03488097513747"/>
    <n v="212.17031872758153"/>
    <n v="0"/>
    <n v="-5257.3718399999998"/>
    <n v="0"/>
    <n v="-3459.8859382510527"/>
    <x v="2"/>
  </r>
  <r>
    <s v="Sistema Isolado - Regular"/>
    <x v="1"/>
    <x v="0"/>
    <x v="1"/>
    <x v="2"/>
    <x v="1"/>
    <x v="0"/>
    <x v="0"/>
    <x v="1"/>
    <n v="0"/>
    <n v="0"/>
    <n v="345.75400000000002"/>
    <n v="345.75400000000002"/>
    <n v="345.75400000000002"/>
    <n v="345.75400000000002"/>
    <n v="0"/>
    <s v="CATIVO"/>
    <n v="0"/>
    <n v="0"/>
    <n v="29"/>
    <n v="75"/>
    <n v="0"/>
    <n v="79.251400000000004"/>
    <n v="157.97639999999998"/>
    <m/>
    <n v="110.03488097513747"/>
    <n v="212.17031872758153"/>
    <n v="0"/>
    <n v="5235.4762188000004"/>
    <n v="0"/>
    <n v="3445.476390247853"/>
    <x v="2"/>
  </r>
  <r>
    <s v="Regular"/>
    <x v="1"/>
    <x v="0"/>
    <x v="1"/>
    <x v="2"/>
    <x v="1"/>
    <x v="0"/>
    <x v="0"/>
    <x v="2"/>
    <n v="0"/>
    <n v="0"/>
    <n v="2959.0990000000002"/>
    <n v="2959.0990000000002"/>
    <n v="2959.0990000000002"/>
    <n v="2959.0990000000002"/>
    <n v="0"/>
    <s v="CATIVO"/>
    <n v="0"/>
    <n v="0"/>
    <n v="29"/>
    <n v="75"/>
    <n v="0"/>
    <n v="79.251400000000004"/>
    <n v="157.97639999999998"/>
    <m/>
    <n v="110.03488097513747"/>
    <n v="212.17031872758153"/>
    <n v="0"/>
    <n v="44807.268877800001"/>
    <n v="0"/>
    <n v="29487.744873251013"/>
    <x v="2"/>
  </r>
  <r>
    <s v="Refaturamento - Regular"/>
    <x v="1"/>
    <x v="0"/>
    <x v="1"/>
    <x v="2"/>
    <x v="1"/>
    <x v="0"/>
    <x v="0"/>
    <x v="2"/>
    <n v="0"/>
    <n v="0"/>
    <n v="-74.131"/>
    <n v="-74.131"/>
    <n v="-74.131"/>
    <n v="-74.131"/>
    <n v="0"/>
    <s v="CATIVO"/>
    <n v="0"/>
    <n v="0"/>
    <n v="29"/>
    <n v="75"/>
    <n v="0"/>
    <n v="79.251400000000004"/>
    <n v="157.97639999999998"/>
    <m/>
    <n v="110.03488097513747"/>
    <n v="212.17031872758153"/>
    <n v="0"/>
    <n v="-1122.5064282000001"/>
    <n v="0"/>
    <n v="-738.72351523182249"/>
    <x v="2"/>
  </r>
  <r>
    <s v="Sistema Isolado - Regular"/>
    <x v="1"/>
    <x v="0"/>
    <x v="1"/>
    <x v="2"/>
    <x v="1"/>
    <x v="0"/>
    <x v="0"/>
    <x v="2"/>
    <n v="0"/>
    <n v="0"/>
    <n v="347.33"/>
    <n v="347.33"/>
    <n v="347.33"/>
    <n v="347.33"/>
    <n v="0"/>
    <s v="CATIVO"/>
    <n v="0"/>
    <n v="0"/>
    <n v="29"/>
    <n v="75"/>
    <n v="0"/>
    <n v="79.251400000000004"/>
    <n v="157.97639999999998"/>
    <m/>
    <n v="110.03488097513747"/>
    <n v="212.17031872758153"/>
    <n v="0"/>
    <n v="5259.3403259999995"/>
    <n v="0"/>
    <n v="3461.1814024560431"/>
    <x v="2"/>
  </r>
  <r>
    <s v="Regular"/>
    <x v="1"/>
    <x v="0"/>
    <x v="1"/>
    <x v="2"/>
    <x v="1"/>
    <x v="0"/>
    <x v="0"/>
    <x v="3"/>
    <n v="0"/>
    <n v="0"/>
    <n v="2789.5410000000002"/>
    <n v="2789.5410000000002"/>
    <n v="2789.5410000000002"/>
    <n v="2789.5410000000002"/>
    <n v="0"/>
    <s v="CATIVO"/>
    <n v="0"/>
    <n v="0"/>
    <n v="29"/>
    <n v="75"/>
    <n v="0"/>
    <n v="79.251400000000004"/>
    <n v="157.97639999999998"/>
    <m/>
    <n v="110.03488097513747"/>
    <n v="212.17031872758153"/>
    <n v="0"/>
    <n v="42239.787730199998"/>
    <n v="0"/>
    <n v="27798.080875791416"/>
    <x v="2"/>
  </r>
  <r>
    <s v="Sistema Isolado - Regular"/>
    <x v="1"/>
    <x v="0"/>
    <x v="1"/>
    <x v="2"/>
    <x v="1"/>
    <x v="0"/>
    <x v="0"/>
    <x v="3"/>
    <n v="0"/>
    <n v="0"/>
    <n v="345.07299999999998"/>
    <n v="345.07299999999998"/>
    <n v="345.07299999999998"/>
    <n v="345.07299999999998"/>
    <n v="0"/>
    <s v="CATIVO"/>
    <n v="0"/>
    <n v="0"/>
    <n v="29"/>
    <n v="75"/>
    <n v="0"/>
    <n v="79.251400000000004"/>
    <n v="157.97639999999998"/>
    <m/>
    <n v="110.03488097513747"/>
    <n v="212.17031872758153"/>
    <n v="0"/>
    <n v="5225.1643805999993"/>
    <n v="0"/>
    <n v="3438.6901508355572"/>
    <x v="2"/>
  </r>
  <r>
    <s v="Regular"/>
    <x v="1"/>
    <x v="0"/>
    <x v="1"/>
    <x v="2"/>
    <x v="1"/>
    <x v="0"/>
    <x v="0"/>
    <x v="4"/>
    <n v="0"/>
    <n v="0"/>
    <n v="2803.8290000000002"/>
    <n v="2803.8290000000002"/>
    <n v="2803.8290000000002"/>
    <n v="2803.8290000000002"/>
    <n v="0"/>
    <s v="CATIVO"/>
    <n v="0"/>
    <n v="0"/>
    <n v="29"/>
    <n v="75"/>
    <n v="0"/>
    <n v="79.251400000000004"/>
    <n v="157.97639999999998"/>
    <m/>
    <n v="110.03488097513747"/>
    <n v="212.17031872758153"/>
    <n v="0"/>
    <n v="42456.139483800005"/>
    <n v="0"/>
    <n v="27940.462357029126"/>
    <x v="2"/>
  </r>
  <r>
    <s v="Sistema Isolado - Regular"/>
    <x v="1"/>
    <x v="0"/>
    <x v="1"/>
    <x v="2"/>
    <x v="1"/>
    <x v="0"/>
    <x v="0"/>
    <x v="4"/>
    <n v="0"/>
    <n v="0"/>
    <n v="387.18"/>
    <n v="387.18"/>
    <n v="387.18"/>
    <n v="387.18"/>
    <n v="0"/>
    <s v="CATIVO"/>
    <n v="0"/>
    <n v="0"/>
    <n v="29"/>
    <n v="75"/>
    <n v="0"/>
    <n v="79.251400000000004"/>
    <n v="157.97639999999998"/>
    <m/>
    <n v="110.03488097513747"/>
    <n v="212.17031872758153"/>
    <n v="0"/>
    <n v="5862.7569960000001"/>
    <n v="0"/>
    <n v="3858.2910068319202"/>
    <x v="2"/>
  </r>
  <r>
    <s v="PROJETADO"/>
    <x v="1"/>
    <x v="0"/>
    <x v="1"/>
    <x v="2"/>
    <x v="1"/>
    <x v="0"/>
    <x v="0"/>
    <x v="5"/>
    <n v="0"/>
    <n v="0"/>
    <n v="2803.8290000000002"/>
    <n v="2803.8290000000002"/>
    <n v="2803.8290000000002"/>
    <n v="2803.8290000000002"/>
    <n v="0"/>
    <s v="CATIVO"/>
    <n v="0"/>
    <n v="0"/>
    <n v="29"/>
    <n v="75"/>
    <n v="0"/>
    <n v="79.251400000000004"/>
    <n v="157.97639999999998"/>
    <m/>
    <n v="110.03488097513747"/>
    <n v="212.17031872758153"/>
    <n v="0"/>
    <n v="42456.139483800005"/>
    <n v="0"/>
    <n v="27940.462357029126"/>
    <x v="2"/>
  </r>
  <r>
    <s v="PROJETADO"/>
    <x v="1"/>
    <x v="0"/>
    <x v="1"/>
    <x v="2"/>
    <x v="1"/>
    <x v="0"/>
    <x v="0"/>
    <x v="5"/>
    <n v="0"/>
    <n v="0"/>
    <n v="387.18"/>
    <n v="387.18"/>
    <n v="387.18"/>
    <n v="387.18"/>
    <n v="0"/>
    <s v="CATIVO"/>
    <n v="0"/>
    <n v="0"/>
    <n v="29"/>
    <n v="75"/>
    <n v="0"/>
    <n v="79.251400000000004"/>
    <n v="157.97639999999998"/>
    <m/>
    <n v="110.03488097513747"/>
    <n v="212.17031872758153"/>
    <n v="0"/>
    <n v="5862.7569960000001"/>
    <n v="0"/>
    <n v="3858.2910068319202"/>
    <x v="2"/>
  </r>
  <r>
    <s v="Regular"/>
    <x v="1"/>
    <x v="0"/>
    <x v="1"/>
    <x v="2"/>
    <x v="1"/>
    <x v="0"/>
    <x v="1"/>
    <x v="9"/>
    <n v="5681"/>
    <n v="5681"/>
    <n v="0"/>
    <n v="0"/>
    <n v="0"/>
    <n v="0"/>
    <n v="29"/>
    <s v="CATIVO"/>
    <n v="0"/>
    <n v="27"/>
    <n v="0"/>
    <n v="0"/>
    <n v="18.611999999999998"/>
    <n v="0"/>
    <n v="0"/>
    <n v="19.994441680625144"/>
    <m/>
    <m/>
    <n v="6749.0279999999993"/>
    <n v="0"/>
    <n v="3513.0440161123124"/>
    <n v="0"/>
    <x v="2"/>
  </r>
  <r>
    <s v="Sistema Isolado - Regular"/>
    <x v="1"/>
    <x v="0"/>
    <x v="1"/>
    <x v="2"/>
    <x v="1"/>
    <x v="0"/>
    <x v="1"/>
    <x v="9"/>
    <n v="979"/>
    <n v="979"/>
    <n v="0"/>
    <n v="0"/>
    <n v="0"/>
    <n v="0"/>
    <n v="10"/>
    <s v="CATIVO"/>
    <n v="0"/>
    <n v="27"/>
    <n v="0"/>
    <n v="0"/>
    <n v="18.611999999999998"/>
    <n v="0"/>
    <n v="0"/>
    <n v="19.994441680625144"/>
    <m/>
    <m/>
    <n v="1163.0519999999999"/>
    <n v="0"/>
    <n v="605.3987135669696"/>
    <n v="0"/>
    <x v="2"/>
  </r>
  <r>
    <s v="Regular"/>
    <x v="1"/>
    <x v="0"/>
    <x v="1"/>
    <x v="2"/>
    <x v="1"/>
    <x v="0"/>
    <x v="1"/>
    <x v="10"/>
    <n v="6635"/>
    <n v="6635"/>
    <n v="0"/>
    <n v="0"/>
    <n v="0"/>
    <n v="0"/>
    <n v="29"/>
    <s v="CATIVO"/>
    <n v="0"/>
    <n v="27"/>
    <n v="0"/>
    <n v="0"/>
    <n v="18.611999999999998"/>
    <n v="0"/>
    <n v="0"/>
    <n v="19.994441680625144"/>
    <m/>
    <m/>
    <n v="7882.38"/>
    <n v="0"/>
    <n v="4102.983109823128"/>
    <n v="0"/>
    <x v="2"/>
  </r>
  <r>
    <s v="Sistema Isolado - Regular"/>
    <x v="1"/>
    <x v="0"/>
    <x v="1"/>
    <x v="2"/>
    <x v="1"/>
    <x v="0"/>
    <x v="1"/>
    <x v="10"/>
    <n v="965"/>
    <n v="965"/>
    <n v="0"/>
    <n v="0"/>
    <n v="0"/>
    <n v="0"/>
    <n v="10"/>
    <s v="CATIVO"/>
    <n v="0"/>
    <n v="27"/>
    <n v="0"/>
    <n v="0"/>
    <n v="18.611999999999998"/>
    <n v="0"/>
    <n v="0"/>
    <n v="19.994441680625144"/>
    <m/>
    <m/>
    <n v="1146.4199999999998"/>
    <n v="0"/>
    <n v="596.74132644752353"/>
    <n v="0"/>
    <x v="2"/>
  </r>
  <r>
    <s v="Regular"/>
    <x v="1"/>
    <x v="0"/>
    <x v="1"/>
    <x v="2"/>
    <x v="1"/>
    <x v="0"/>
    <x v="1"/>
    <x v="11"/>
    <n v="6429"/>
    <n v="6429"/>
    <n v="0"/>
    <n v="0"/>
    <n v="0"/>
    <n v="0"/>
    <n v="29"/>
    <s v="CATIVO"/>
    <n v="0"/>
    <n v="27"/>
    <n v="0"/>
    <n v="0"/>
    <n v="18.611999999999998"/>
    <n v="0"/>
    <n v="0"/>
    <n v="19.994441680625144"/>
    <m/>
    <m/>
    <n v="7637.652"/>
    <n v="0"/>
    <n v="3975.5958422084241"/>
    <n v="0"/>
    <x v="2"/>
  </r>
  <r>
    <s v="Sistema Isolado - Regular"/>
    <x v="1"/>
    <x v="0"/>
    <x v="1"/>
    <x v="2"/>
    <x v="1"/>
    <x v="0"/>
    <x v="1"/>
    <x v="11"/>
    <n v="970"/>
    <n v="970"/>
    <n v="0"/>
    <n v="0"/>
    <n v="0"/>
    <n v="0"/>
    <n v="10"/>
    <s v="CATIVO"/>
    <n v="0"/>
    <n v="27"/>
    <n v="0"/>
    <n v="0"/>
    <n v="18.611999999999998"/>
    <n v="0"/>
    <n v="0"/>
    <n v="19.994441680625144"/>
    <m/>
    <m/>
    <n v="1152.3600000000001"/>
    <n v="0"/>
    <n v="599.83325041875435"/>
    <n v="0"/>
    <x v="2"/>
  </r>
  <r>
    <s v="Regular"/>
    <x v="1"/>
    <x v="0"/>
    <x v="1"/>
    <x v="2"/>
    <x v="1"/>
    <x v="0"/>
    <x v="1"/>
    <x v="6"/>
    <n v="6431"/>
    <n v="6431"/>
    <n v="0"/>
    <n v="0"/>
    <n v="0"/>
    <n v="0"/>
    <n v="29"/>
    <s v="CATIVO"/>
    <n v="0"/>
    <n v="27"/>
    <n v="0"/>
    <n v="0"/>
    <n v="18.611999999999998"/>
    <n v="0"/>
    <n v="0"/>
    <n v="19.994441680625144"/>
    <m/>
    <m/>
    <n v="7640.0279999999984"/>
    <n v="0"/>
    <n v="3976.8326117969164"/>
    <n v="0"/>
    <x v="2"/>
  </r>
  <r>
    <s v="Sistema Isolado - Regular"/>
    <x v="1"/>
    <x v="0"/>
    <x v="1"/>
    <x v="2"/>
    <x v="1"/>
    <x v="0"/>
    <x v="1"/>
    <x v="6"/>
    <n v="974"/>
    <n v="974"/>
    <n v="0"/>
    <n v="0"/>
    <n v="0"/>
    <n v="0"/>
    <n v="10"/>
    <s v="CATIVO"/>
    <n v="0"/>
    <n v="27"/>
    <n v="0"/>
    <n v="0"/>
    <n v="18.611999999999998"/>
    <n v="0"/>
    <n v="0"/>
    <n v="19.994441680625144"/>
    <m/>
    <m/>
    <n v="1157.1120000000001"/>
    <n v="0"/>
    <n v="602.30678959573891"/>
    <n v="0"/>
    <x v="2"/>
  </r>
  <r>
    <s v="Regular"/>
    <x v="1"/>
    <x v="0"/>
    <x v="1"/>
    <x v="2"/>
    <x v="1"/>
    <x v="0"/>
    <x v="1"/>
    <x v="7"/>
    <n v="6380"/>
    <n v="6380"/>
    <n v="0"/>
    <n v="0"/>
    <n v="0"/>
    <n v="0"/>
    <n v="29"/>
    <s v="CATIVO"/>
    <n v="0"/>
    <n v="27"/>
    <n v="0"/>
    <n v="0"/>
    <n v="18.611999999999998"/>
    <n v="0"/>
    <n v="0"/>
    <n v="19.994441680625144"/>
    <m/>
    <m/>
    <n v="7579.44"/>
    <n v="0"/>
    <n v="3945.2949872903632"/>
    <n v="0"/>
    <x v="2"/>
  </r>
  <r>
    <s v="Sistema Isolado - Regular"/>
    <x v="1"/>
    <x v="0"/>
    <x v="1"/>
    <x v="2"/>
    <x v="1"/>
    <x v="0"/>
    <x v="1"/>
    <x v="7"/>
    <n v="1001"/>
    <n v="1001"/>
    <n v="0"/>
    <n v="0"/>
    <n v="0"/>
    <n v="0"/>
    <n v="10"/>
    <s v="CATIVO"/>
    <n v="0"/>
    <n v="27"/>
    <n v="0"/>
    <n v="0"/>
    <n v="18.611999999999998"/>
    <n v="0"/>
    <n v="0"/>
    <n v="19.994441680625144"/>
    <m/>
    <m/>
    <n v="1189.1879999999999"/>
    <n v="0"/>
    <n v="619.00317904038457"/>
    <n v="0"/>
    <x v="2"/>
  </r>
  <r>
    <s v="Regular"/>
    <x v="1"/>
    <x v="0"/>
    <x v="1"/>
    <x v="2"/>
    <x v="1"/>
    <x v="0"/>
    <x v="1"/>
    <x v="8"/>
    <n v="6385"/>
    <n v="6385"/>
    <n v="0"/>
    <n v="0"/>
    <n v="0"/>
    <n v="0"/>
    <n v="29"/>
    <s v="CATIVO"/>
    <n v="0"/>
    <n v="27"/>
    <n v="0"/>
    <n v="0"/>
    <n v="18.611999999999998"/>
    <n v="0"/>
    <n v="0"/>
    <n v="19.994441680625144"/>
    <m/>
    <m/>
    <n v="7585.3799999999992"/>
    <n v="0"/>
    <n v="3948.3869112615944"/>
    <n v="0"/>
    <x v="2"/>
  </r>
  <r>
    <s v="Sistema Isolado - Regular"/>
    <x v="1"/>
    <x v="0"/>
    <x v="1"/>
    <x v="2"/>
    <x v="1"/>
    <x v="0"/>
    <x v="1"/>
    <x v="8"/>
    <n v="976"/>
    <n v="976"/>
    <n v="0"/>
    <n v="0"/>
    <n v="0"/>
    <n v="0"/>
    <n v="10"/>
    <s v="CATIVO"/>
    <n v="0"/>
    <n v="27"/>
    <n v="0"/>
    <n v="0"/>
    <n v="18.611999999999998"/>
    <n v="0"/>
    <n v="0"/>
    <n v="19.994441680625144"/>
    <m/>
    <m/>
    <n v="1159.4880000000001"/>
    <n v="0"/>
    <n v="603.54355918423119"/>
    <n v="0"/>
    <x v="2"/>
  </r>
  <r>
    <s v="Regular"/>
    <x v="1"/>
    <x v="0"/>
    <x v="1"/>
    <x v="2"/>
    <x v="1"/>
    <x v="0"/>
    <x v="1"/>
    <x v="0"/>
    <n v="6466"/>
    <n v="6466"/>
    <n v="0"/>
    <n v="0"/>
    <n v="0"/>
    <n v="0"/>
    <n v="29"/>
    <s v="CATIVO"/>
    <n v="0"/>
    <n v="27"/>
    <n v="0"/>
    <n v="0"/>
    <n v="18.611999999999998"/>
    <n v="0"/>
    <n v="0"/>
    <n v="19.994441680625144"/>
    <m/>
    <m/>
    <n v="7681.6080000000002"/>
    <n v="0"/>
    <n v="3998.4760795955312"/>
    <n v="0"/>
    <x v="2"/>
  </r>
  <r>
    <s v="Sistema Isolado - Regular"/>
    <x v="1"/>
    <x v="0"/>
    <x v="1"/>
    <x v="2"/>
    <x v="1"/>
    <x v="0"/>
    <x v="1"/>
    <x v="0"/>
    <n v="972"/>
    <n v="972"/>
    <n v="0"/>
    <n v="0"/>
    <n v="0"/>
    <n v="0"/>
    <n v="10"/>
    <s v="CATIVO"/>
    <n v="0"/>
    <n v="27"/>
    <n v="0"/>
    <n v="0"/>
    <n v="18.611999999999998"/>
    <n v="0"/>
    <n v="0"/>
    <n v="19.994441680625144"/>
    <m/>
    <m/>
    <n v="1154.7359999999999"/>
    <n v="0"/>
    <n v="601.07002000724651"/>
    <n v="0"/>
    <x v="2"/>
  </r>
  <r>
    <s v="Regular"/>
    <x v="1"/>
    <x v="0"/>
    <x v="1"/>
    <x v="2"/>
    <x v="1"/>
    <x v="0"/>
    <x v="1"/>
    <x v="1"/>
    <n v="6283"/>
    <n v="6283"/>
    <n v="0"/>
    <n v="0"/>
    <n v="0"/>
    <n v="0"/>
    <n v="30"/>
    <s v="CATIVO"/>
    <n v="0"/>
    <n v="27"/>
    <n v="0"/>
    <n v="0"/>
    <n v="18.611999999999998"/>
    <n v="0"/>
    <n v="0"/>
    <n v="19.994441680625144"/>
    <m/>
    <m/>
    <n v="7464.2039999999997"/>
    <n v="0"/>
    <n v="3885.3116622484881"/>
    <n v="0"/>
    <x v="2"/>
  </r>
  <r>
    <s v="Sistema Isolado - Regular"/>
    <x v="1"/>
    <x v="0"/>
    <x v="1"/>
    <x v="2"/>
    <x v="1"/>
    <x v="0"/>
    <x v="1"/>
    <x v="1"/>
    <n v="968"/>
    <n v="968"/>
    <n v="0"/>
    <n v="0"/>
    <n v="0"/>
    <n v="0"/>
    <n v="10"/>
    <s v="CATIVO"/>
    <n v="0"/>
    <n v="27"/>
    <n v="0"/>
    <n v="0"/>
    <n v="18.611999999999998"/>
    <n v="0"/>
    <n v="0"/>
    <n v="19.994441680625144"/>
    <m/>
    <m/>
    <n v="1149.9839999999999"/>
    <n v="0"/>
    <n v="598.59648083026207"/>
    <n v="0"/>
    <x v="2"/>
  </r>
  <r>
    <s v="Regular"/>
    <x v="1"/>
    <x v="0"/>
    <x v="1"/>
    <x v="2"/>
    <x v="1"/>
    <x v="0"/>
    <x v="1"/>
    <x v="2"/>
    <n v="6345"/>
    <n v="6345"/>
    <n v="0"/>
    <n v="0"/>
    <n v="0"/>
    <n v="0"/>
    <n v="30"/>
    <s v="CATIVO"/>
    <n v="0"/>
    <n v="27"/>
    <n v="0"/>
    <n v="0"/>
    <n v="18.611999999999998"/>
    <n v="0"/>
    <n v="0"/>
    <n v="19.994441680625144"/>
    <m/>
    <m/>
    <n v="7537.8599999999988"/>
    <n v="0"/>
    <n v="3923.6515194917488"/>
    <n v="0"/>
    <x v="2"/>
  </r>
  <r>
    <s v="Sistema Isolado - Regular"/>
    <x v="1"/>
    <x v="0"/>
    <x v="1"/>
    <x v="2"/>
    <x v="1"/>
    <x v="0"/>
    <x v="1"/>
    <x v="2"/>
    <n v="972"/>
    <n v="972"/>
    <n v="0"/>
    <n v="0"/>
    <n v="0"/>
    <n v="0"/>
    <n v="10"/>
    <s v="CATIVO"/>
    <n v="0"/>
    <n v="27"/>
    <n v="0"/>
    <n v="0"/>
    <n v="18.611999999999998"/>
    <n v="0"/>
    <n v="0"/>
    <n v="19.994441680625144"/>
    <m/>
    <m/>
    <n v="1154.7359999999999"/>
    <n v="0"/>
    <n v="601.07002000724651"/>
    <n v="0"/>
    <x v="2"/>
  </r>
  <r>
    <s v="Regular"/>
    <x v="1"/>
    <x v="0"/>
    <x v="1"/>
    <x v="2"/>
    <x v="1"/>
    <x v="0"/>
    <x v="1"/>
    <x v="3"/>
    <n v="6631"/>
    <n v="6631"/>
    <n v="0"/>
    <n v="0"/>
    <n v="0"/>
    <n v="0"/>
    <n v="29"/>
    <s v="CATIVO"/>
    <n v="0"/>
    <n v="27"/>
    <n v="0"/>
    <n v="0"/>
    <n v="18.611999999999998"/>
    <n v="0"/>
    <n v="0"/>
    <n v="19.994441680625144"/>
    <m/>
    <m/>
    <n v="7877.6279999999997"/>
    <n v="0"/>
    <n v="4100.5095706461434"/>
    <n v="0"/>
    <x v="2"/>
  </r>
  <r>
    <s v="Sistema Isolado - Regular"/>
    <x v="1"/>
    <x v="0"/>
    <x v="1"/>
    <x v="2"/>
    <x v="1"/>
    <x v="0"/>
    <x v="1"/>
    <x v="3"/>
    <n v="975"/>
    <n v="975"/>
    <n v="0"/>
    <n v="0"/>
    <n v="0"/>
    <n v="0"/>
    <n v="10"/>
    <s v="CATIVO"/>
    <n v="0"/>
    <n v="27"/>
    <n v="0"/>
    <n v="0"/>
    <n v="18.611999999999998"/>
    <n v="0"/>
    <n v="0"/>
    <n v="19.994441680625144"/>
    <m/>
    <m/>
    <n v="1158.2999999999997"/>
    <n v="0"/>
    <n v="602.92517438998493"/>
    <n v="0"/>
    <x v="2"/>
  </r>
  <r>
    <s v="Regular"/>
    <x v="1"/>
    <x v="0"/>
    <x v="1"/>
    <x v="2"/>
    <x v="1"/>
    <x v="0"/>
    <x v="1"/>
    <x v="4"/>
    <n v="6695"/>
    <n v="6695"/>
    <n v="0"/>
    <n v="0"/>
    <n v="0"/>
    <n v="0"/>
    <n v="29"/>
    <s v="CATIVO"/>
    <n v="0"/>
    <n v="27"/>
    <n v="0"/>
    <n v="0"/>
    <n v="18.611999999999998"/>
    <n v="0"/>
    <n v="0"/>
    <n v="19.994441680625144"/>
    <m/>
    <m/>
    <n v="7953.6599999999989"/>
    <n v="0"/>
    <n v="4140.0861974778963"/>
    <n v="0"/>
    <x v="2"/>
  </r>
  <r>
    <s v="Sistema Isolado - Regular"/>
    <x v="1"/>
    <x v="0"/>
    <x v="1"/>
    <x v="2"/>
    <x v="1"/>
    <x v="0"/>
    <x v="1"/>
    <x v="4"/>
    <n v="1139"/>
    <n v="1139"/>
    <n v="0"/>
    <n v="0"/>
    <n v="0"/>
    <n v="0"/>
    <n v="13"/>
    <s v="CATIVO"/>
    <n v="0"/>
    <n v="27"/>
    <n v="0"/>
    <n v="0"/>
    <n v="18.611999999999998"/>
    <n v="0"/>
    <n v="0"/>
    <n v="19.994441680625144"/>
    <m/>
    <m/>
    <n v="1353.1320000000001"/>
    <n v="0"/>
    <n v="704.34028064635174"/>
    <n v="0"/>
    <x v="2"/>
  </r>
  <r>
    <s v="PROJETADO"/>
    <x v="1"/>
    <x v="0"/>
    <x v="1"/>
    <x v="2"/>
    <x v="1"/>
    <x v="0"/>
    <x v="1"/>
    <x v="5"/>
    <n v="6695"/>
    <n v="6695"/>
    <n v="0"/>
    <n v="0"/>
    <n v="0"/>
    <n v="0"/>
    <n v="29"/>
    <s v="CATIVO"/>
    <n v="0"/>
    <n v="27"/>
    <n v="0"/>
    <n v="0"/>
    <n v="18.611999999999998"/>
    <n v="0"/>
    <n v="0"/>
    <n v="19.994441680625144"/>
    <m/>
    <m/>
    <n v="7953.6599999999989"/>
    <n v="0"/>
    <n v="4140.0861974778963"/>
    <n v="0"/>
    <x v="2"/>
  </r>
  <r>
    <s v="PROJETADO"/>
    <x v="1"/>
    <x v="0"/>
    <x v="1"/>
    <x v="2"/>
    <x v="1"/>
    <x v="0"/>
    <x v="1"/>
    <x v="5"/>
    <n v="1139"/>
    <n v="1139"/>
    <n v="0"/>
    <n v="0"/>
    <n v="0"/>
    <n v="0"/>
    <n v="13"/>
    <s v="CATIVO"/>
    <n v="0"/>
    <n v="27"/>
    <n v="0"/>
    <n v="0"/>
    <n v="18.611999999999998"/>
    <n v="0"/>
    <n v="0"/>
    <n v="19.994441680625144"/>
    <m/>
    <m/>
    <n v="1353.1320000000001"/>
    <n v="0"/>
    <n v="704.34028064635174"/>
    <n v="0"/>
    <x v="2"/>
  </r>
  <r>
    <s v="Regular"/>
    <x v="1"/>
    <x v="0"/>
    <x v="1"/>
    <x v="2"/>
    <x v="1"/>
    <x v="0"/>
    <x v="2"/>
    <x v="9"/>
    <n v="0"/>
    <n v="0"/>
    <n v="240.178"/>
    <n v="240.178"/>
    <n v="240.178"/>
    <n v="240.178"/>
    <n v="0"/>
    <s v="CATIVO"/>
    <n v="0"/>
    <n v="0"/>
    <n v="28"/>
    <n v="74"/>
    <n v="0"/>
    <n v="1362.0224000000001"/>
    <n v="254.08199999999999"/>
    <m/>
    <n v="1435.5474479075656"/>
    <n v="351.82269927635298"/>
    <n v="0"/>
    <n v="24775.705696800003"/>
    <n v="0"/>
    <n v="13276.917130216674"/>
    <x v="2"/>
  </r>
  <r>
    <s v="Sistema Isolado - Regular"/>
    <x v="1"/>
    <x v="0"/>
    <x v="1"/>
    <x v="2"/>
    <x v="1"/>
    <x v="0"/>
    <x v="2"/>
    <x v="9"/>
    <n v="0"/>
    <n v="0"/>
    <n v="32.902000000000001"/>
    <n v="32.902000000000001"/>
    <n v="32.902000000000001"/>
    <n v="32.902000000000001"/>
    <n v="0"/>
    <s v="CATIVO"/>
    <n v="0"/>
    <n v="0"/>
    <n v="28"/>
    <n v="74"/>
    <n v="0"/>
    <n v="1362.0224000000001"/>
    <n v="254.08199999999999"/>
    <m/>
    <n v="1435.5474479075656"/>
    <n v="351.82269927635298"/>
    <n v="0"/>
    <n v="3394.0255512000003"/>
    <n v="0"/>
    <n v="1818.8057499787201"/>
    <x v="2"/>
  </r>
  <r>
    <s v="Regular"/>
    <x v="1"/>
    <x v="0"/>
    <x v="1"/>
    <x v="2"/>
    <x v="1"/>
    <x v="0"/>
    <x v="2"/>
    <x v="10"/>
    <n v="0"/>
    <n v="0"/>
    <n v="277.27300000000002"/>
    <n v="277.27300000000002"/>
    <n v="277.27300000000002"/>
    <n v="277.27300000000002"/>
    <n v="0"/>
    <s v="CATIVO"/>
    <n v="0"/>
    <n v="0"/>
    <n v="28"/>
    <n v="74"/>
    <n v="0"/>
    <n v="1362.0224000000001"/>
    <n v="254.08199999999999"/>
    <m/>
    <n v="1435.5474479075656"/>
    <n v="351.82269927635298"/>
    <n v="0"/>
    <n v="28602.262678800005"/>
    <n v="0"/>
    <n v="15327.509777942063"/>
    <x v="2"/>
  </r>
  <r>
    <s v="Sistema Isolado - Regular"/>
    <x v="1"/>
    <x v="0"/>
    <x v="1"/>
    <x v="2"/>
    <x v="1"/>
    <x v="0"/>
    <x v="2"/>
    <x v="10"/>
    <n v="0"/>
    <n v="0"/>
    <n v="35.567999999999998"/>
    <n v="35.567999999999998"/>
    <n v="35.567999999999998"/>
    <n v="35.567999999999998"/>
    <n v="0"/>
    <s v="CATIVO"/>
    <n v="0"/>
    <n v="0"/>
    <n v="28"/>
    <n v="74"/>
    <n v="0"/>
    <n v="1362.0224000000001"/>
    <n v="254.08199999999999"/>
    <m/>
    <n v="1435.5474479075656"/>
    <n v="351.82269927635298"/>
    <n v="0"/>
    <n v="3669.0383808000006"/>
    <n v="0"/>
    <n v="1966.180867887761"/>
    <x v="2"/>
  </r>
  <r>
    <s v="Regular"/>
    <x v="1"/>
    <x v="0"/>
    <x v="1"/>
    <x v="2"/>
    <x v="1"/>
    <x v="0"/>
    <x v="2"/>
    <x v="11"/>
    <n v="0"/>
    <n v="0"/>
    <n v="249.84299999999999"/>
    <n v="249.84299999999999"/>
    <n v="249.84299999999999"/>
    <n v="249.84299999999999"/>
    <n v="0"/>
    <s v="CATIVO"/>
    <n v="0"/>
    <n v="0"/>
    <n v="28"/>
    <n v="74"/>
    <n v="0"/>
    <n v="1362.0224000000001"/>
    <n v="254.08199999999999"/>
    <m/>
    <n v="1435.5474479075656"/>
    <n v="351.82269927635298"/>
    <n v="0"/>
    <n v="25772.704570800001"/>
    <n v="0"/>
    <n v="13811.193392253766"/>
    <x v="2"/>
  </r>
  <r>
    <s v="Refaturamento - Regular"/>
    <x v="1"/>
    <x v="0"/>
    <x v="1"/>
    <x v="2"/>
    <x v="1"/>
    <x v="0"/>
    <x v="2"/>
    <x v="11"/>
    <n v="0"/>
    <n v="0"/>
    <n v="-1E-3"/>
    <n v="-1E-3"/>
    <n v="-1E-3"/>
    <n v="-1E-3"/>
    <n v="0"/>
    <s v="CATIVO"/>
    <n v="0"/>
    <n v="0"/>
    <n v="28"/>
    <n v="74"/>
    <n v="0"/>
    <n v="1362.0224000000001"/>
    <n v="254.08199999999999"/>
    <m/>
    <n v="1435.5474479075656"/>
    <n v="351.82269927635298"/>
    <n v="0"/>
    <n v="-0.1031556"/>
    <n v="0"/>
    <n v="-5.527948908816243E-2"/>
    <x v="2"/>
  </r>
  <r>
    <s v="Sistema Isolado - Regular"/>
    <x v="1"/>
    <x v="0"/>
    <x v="1"/>
    <x v="2"/>
    <x v="1"/>
    <x v="0"/>
    <x v="2"/>
    <x v="11"/>
    <n v="0"/>
    <n v="0"/>
    <n v="33.691000000000003"/>
    <n v="33.691000000000003"/>
    <n v="33.691000000000003"/>
    <n v="33.691000000000003"/>
    <n v="0"/>
    <s v="CATIVO"/>
    <n v="0"/>
    <n v="0"/>
    <n v="28"/>
    <n v="74"/>
    <n v="0"/>
    <n v="1362.0224000000001"/>
    <n v="254.08199999999999"/>
    <m/>
    <n v="1435.5474479075656"/>
    <n v="351.82269927635298"/>
    <n v="0"/>
    <n v="3475.4153196000011"/>
    <n v="0"/>
    <n v="1862.4212668692808"/>
    <x v="2"/>
  </r>
  <r>
    <s v="Regular"/>
    <x v="1"/>
    <x v="0"/>
    <x v="1"/>
    <x v="2"/>
    <x v="1"/>
    <x v="0"/>
    <x v="2"/>
    <x v="6"/>
    <n v="0"/>
    <n v="0"/>
    <n v="264.14299999999997"/>
    <n v="264.14299999999997"/>
    <n v="264.14299999999997"/>
    <n v="264.14299999999997"/>
    <n v="0"/>
    <s v="CATIVO"/>
    <n v="0"/>
    <n v="0"/>
    <n v="28"/>
    <n v="74"/>
    <n v="0"/>
    <n v="1362.0224000000001"/>
    <n v="254.08199999999999"/>
    <m/>
    <n v="1435.5474479075656"/>
    <n v="351.82269927635298"/>
    <n v="0"/>
    <n v="27247.829650799995"/>
    <n v="0"/>
    <n v="14601.690086214488"/>
    <x v="2"/>
  </r>
  <r>
    <s v="Sistema Isolado - Regular"/>
    <x v="1"/>
    <x v="0"/>
    <x v="1"/>
    <x v="2"/>
    <x v="1"/>
    <x v="0"/>
    <x v="2"/>
    <x v="6"/>
    <n v="0"/>
    <n v="0"/>
    <n v="34.070999999999998"/>
    <n v="34.070999999999998"/>
    <n v="34.070999999999998"/>
    <n v="34.070999999999998"/>
    <n v="0"/>
    <s v="CATIVO"/>
    <n v="0"/>
    <n v="0"/>
    <n v="28"/>
    <n v="74"/>
    <n v="0"/>
    <n v="1362.0224000000001"/>
    <n v="254.08199999999999"/>
    <m/>
    <n v="1435.5474479075656"/>
    <n v="351.82269927635298"/>
    <n v="0"/>
    <n v="3514.6144475999999"/>
    <n v="0"/>
    <n v="1883.4274727227821"/>
    <x v="2"/>
  </r>
  <r>
    <s v="Regular"/>
    <x v="1"/>
    <x v="0"/>
    <x v="1"/>
    <x v="2"/>
    <x v="1"/>
    <x v="0"/>
    <x v="2"/>
    <x v="7"/>
    <n v="0"/>
    <n v="0"/>
    <n v="251.489"/>
    <n v="251.489"/>
    <n v="251.489"/>
    <n v="251.489"/>
    <n v="0"/>
    <s v="CATIVO"/>
    <n v="0"/>
    <n v="0"/>
    <n v="28"/>
    <n v="74"/>
    <n v="0"/>
    <n v="1362.0224000000001"/>
    <n v="254.08199999999999"/>
    <m/>
    <n v="1435.5474479075656"/>
    <n v="351.82269927635298"/>
    <n v="0"/>
    <n v="25942.498688400003"/>
    <n v="0"/>
    <n v="13902.18343129288"/>
    <x v="2"/>
  </r>
  <r>
    <s v="Sistema Isolado - Regular"/>
    <x v="1"/>
    <x v="0"/>
    <x v="1"/>
    <x v="2"/>
    <x v="1"/>
    <x v="0"/>
    <x v="2"/>
    <x v="7"/>
    <n v="0"/>
    <n v="0"/>
    <n v="33.68"/>
    <n v="33.68"/>
    <n v="33.68"/>
    <n v="33.68"/>
    <n v="0"/>
    <s v="CATIVO"/>
    <n v="0"/>
    <n v="0"/>
    <n v="28"/>
    <n v="74"/>
    <n v="0"/>
    <n v="1362.0224000000001"/>
    <n v="254.08199999999999"/>
    <m/>
    <n v="1435.5474479075656"/>
    <n v="351.82269927635298"/>
    <n v="0"/>
    <n v="3474.2806080000005"/>
    <n v="0"/>
    <n v="1861.8131924893107"/>
    <x v="2"/>
  </r>
  <r>
    <s v="Regular"/>
    <x v="1"/>
    <x v="0"/>
    <x v="1"/>
    <x v="2"/>
    <x v="1"/>
    <x v="0"/>
    <x v="2"/>
    <x v="8"/>
    <n v="0"/>
    <n v="0"/>
    <n v="271.93599999999998"/>
    <n v="271.93599999999998"/>
    <n v="271.93599999999998"/>
    <n v="271.93599999999998"/>
    <n v="0"/>
    <s v="CATIVO"/>
    <n v="0"/>
    <n v="0"/>
    <n v="28"/>
    <n v="74"/>
    <n v="0"/>
    <n v="1362.0224000000001"/>
    <n v="254.08199999999999"/>
    <m/>
    <n v="1435.5474479075656"/>
    <n v="351.82269927635298"/>
    <n v="0"/>
    <n v="28051.7212416"/>
    <n v="0"/>
    <n v="15032.483144678536"/>
    <x v="2"/>
  </r>
  <r>
    <s v="Sistema Isolado - Regular"/>
    <x v="1"/>
    <x v="0"/>
    <x v="1"/>
    <x v="2"/>
    <x v="1"/>
    <x v="0"/>
    <x v="2"/>
    <x v="8"/>
    <n v="0"/>
    <n v="0"/>
    <n v="33.322000000000003"/>
    <n v="33.322000000000003"/>
    <n v="33.322000000000003"/>
    <n v="33.322000000000003"/>
    <n v="0"/>
    <s v="CATIVO"/>
    <n v="0"/>
    <n v="0"/>
    <n v="28"/>
    <n v="74"/>
    <n v="0"/>
    <n v="1362.0224000000001"/>
    <n v="254.08199999999999"/>
    <m/>
    <n v="1435.5474479075656"/>
    <n v="351.82269927635298"/>
    <n v="0"/>
    <n v="3437.3509032000006"/>
    <n v="0"/>
    <n v="1842.0231353957486"/>
    <x v="2"/>
  </r>
  <r>
    <s v="Regular"/>
    <x v="1"/>
    <x v="0"/>
    <x v="1"/>
    <x v="2"/>
    <x v="1"/>
    <x v="0"/>
    <x v="2"/>
    <x v="0"/>
    <n v="0"/>
    <n v="0"/>
    <n v="258.11"/>
    <n v="258.11"/>
    <n v="258.11"/>
    <n v="258.11"/>
    <n v="0"/>
    <s v="CATIVO"/>
    <n v="0"/>
    <n v="0"/>
    <n v="28"/>
    <n v="74"/>
    <n v="0"/>
    <n v="1362.0224000000001"/>
    <n v="254.08199999999999"/>
    <m/>
    <n v="1435.5474479075656"/>
    <n v="351.82269927635298"/>
    <n v="0"/>
    <n v="26625.491916000003"/>
    <n v="0"/>
    <n v="14268.188928545604"/>
    <x v="2"/>
  </r>
  <r>
    <s v="Sistema Isolado - Regular"/>
    <x v="1"/>
    <x v="0"/>
    <x v="1"/>
    <x v="2"/>
    <x v="1"/>
    <x v="0"/>
    <x v="2"/>
    <x v="0"/>
    <n v="0"/>
    <n v="0"/>
    <n v="35.677"/>
    <n v="35.677"/>
    <n v="35.677"/>
    <n v="35.677"/>
    <n v="0"/>
    <s v="CATIVO"/>
    <n v="0"/>
    <n v="0"/>
    <n v="28"/>
    <n v="74"/>
    <n v="0"/>
    <n v="1362.0224000000001"/>
    <n v="254.08199999999999"/>
    <m/>
    <n v="1435.5474479075656"/>
    <n v="351.82269927635298"/>
    <n v="0"/>
    <n v="3680.2823412000002"/>
    <n v="0"/>
    <n v="1972.2063321983708"/>
    <x v="2"/>
  </r>
  <r>
    <s v="Regular"/>
    <x v="1"/>
    <x v="0"/>
    <x v="1"/>
    <x v="2"/>
    <x v="1"/>
    <x v="0"/>
    <x v="2"/>
    <x v="1"/>
    <n v="0"/>
    <n v="0"/>
    <n v="276.87799999999999"/>
    <n v="276.87799999999999"/>
    <n v="276.87799999999999"/>
    <n v="276.87799999999999"/>
    <n v="0"/>
    <s v="CATIVO"/>
    <n v="0"/>
    <n v="0"/>
    <n v="28"/>
    <n v="74"/>
    <n v="0"/>
    <n v="1362.0224000000001"/>
    <n v="254.08199999999999"/>
    <m/>
    <n v="1435.5474479075656"/>
    <n v="351.82269927635298"/>
    <n v="0"/>
    <n v="28561.516216799999"/>
    <n v="0"/>
    <n v="15305.674379752236"/>
    <x v="2"/>
  </r>
  <r>
    <s v="Sistema Isolado - Regular"/>
    <x v="1"/>
    <x v="0"/>
    <x v="1"/>
    <x v="2"/>
    <x v="1"/>
    <x v="0"/>
    <x v="2"/>
    <x v="1"/>
    <n v="0"/>
    <n v="0"/>
    <n v="34.813000000000002"/>
    <n v="34.813000000000002"/>
    <n v="34.813000000000002"/>
    <n v="34.813000000000002"/>
    <n v="0"/>
    <s v="CATIVO"/>
    <n v="0"/>
    <n v="0"/>
    <n v="28"/>
    <n v="74"/>
    <n v="0"/>
    <n v="1362.0224000000001"/>
    <n v="254.08199999999999"/>
    <m/>
    <n v="1435.5474479075656"/>
    <n v="351.82269927635298"/>
    <n v="0"/>
    <n v="3591.1559028000006"/>
    <n v="0"/>
    <n v="1924.4448536261989"/>
    <x v="2"/>
  </r>
  <r>
    <s v="Regular"/>
    <x v="1"/>
    <x v="0"/>
    <x v="1"/>
    <x v="2"/>
    <x v="1"/>
    <x v="0"/>
    <x v="2"/>
    <x v="2"/>
    <n v="0"/>
    <n v="0"/>
    <n v="298.75900000000001"/>
    <n v="298.75900000000001"/>
    <n v="298.75900000000001"/>
    <n v="298.75900000000001"/>
    <n v="0"/>
    <s v="CATIVO"/>
    <n v="0"/>
    <n v="0"/>
    <n v="28"/>
    <n v="74"/>
    <n v="0"/>
    <n v="1362.0224000000001"/>
    <n v="254.08199999999999"/>
    <m/>
    <n v="1435.5474479075656"/>
    <n v="351.82269927635298"/>
    <n v="0"/>
    <n v="30818.663900400003"/>
    <n v="0"/>
    <n v="16515.244880490318"/>
    <x v="2"/>
  </r>
  <r>
    <s v="Refaturamento - Regular"/>
    <x v="1"/>
    <x v="0"/>
    <x v="1"/>
    <x v="2"/>
    <x v="1"/>
    <x v="0"/>
    <x v="2"/>
    <x v="2"/>
    <n v="0"/>
    <n v="0"/>
    <n v="-6.2350000000000003"/>
    <n v="-6.2350000000000003"/>
    <n v="-6.2350000000000003"/>
    <n v="-6.2350000000000003"/>
    <n v="0"/>
    <s v="CATIVO"/>
    <n v="0"/>
    <n v="0"/>
    <n v="28"/>
    <n v="74"/>
    <n v="0"/>
    <n v="1362.0224000000001"/>
    <n v="254.08199999999999"/>
    <m/>
    <n v="1435.5474479075656"/>
    <n v="351.82269927635298"/>
    <n v="0"/>
    <n v="-643.17516599999999"/>
    <n v="0"/>
    <n v="-344.6676144646928"/>
    <x v="2"/>
  </r>
  <r>
    <s v="Sistema Isolado - Regular"/>
    <x v="1"/>
    <x v="0"/>
    <x v="1"/>
    <x v="2"/>
    <x v="1"/>
    <x v="0"/>
    <x v="2"/>
    <x v="2"/>
    <n v="0"/>
    <n v="0"/>
    <n v="35.14"/>
    <n v="35.14"/>
    <n v="35.14"/>
    <n v="35.14"/>
    <n v="0"/>
    <s v="CATIVO"/>
    <n v="0"/>
    <n v="0"/>
    <n v="28"/>
    <n v="74"/>
    <n v="0"/>
    <n v="1362.0224000000001"/>
    <n v="254.08199999999999"/>
    <m/>
    <n v="1435.5474479075656"/>
    <n v="351.82269927635298"/>
    <n v="0"/>
    <n v="3624.887784"/>
    <n v="0"/>
    <n v="1942.5212465580275"/>
    <x v="2"/>
  </r>
  <r>
    <s v="Regular"/>
    <x v="1"/>
    <x v="0"/>
    <x v="1"/>
    <x v="2"/>
    <x v="1"/>
    <x v="0"/>
    <x v="2"/>
    <x v="3"/>
    <n v="0"/>
    <n v="0"/>
    <n v="283.12200000000001"/>
    <n v="283.12200000000001"/>
    <n v="283.12200000000001"/>
    <n v="283.12200000000001"/>
    <n v="0"/>
    <s v="CATIVO"/>
    <n v="0"/>
    <n v="0"/>
    <n v="28"/>
    <n v="74"/>
    <n v="0"/>
    <n v="1362.0224000000001"/>
    <n v="254.08199999999999"/>
    <m/>
    <n v="1435.5474479075656"/>
    <n v="351.82269927635298"/>
    <n v="0"/>
    <n v="29205.619783200003"/>
    <n v="0"/>
    <n v="15650.839509618723"/>
    <x v="2"/>
  </r>
  <r>
    <s v="Sistema Isolado - Regular"/>
    <x v="1"/>
    <x v="0"/>
    <x v="1"/>
    <x v="2"/>
    <x v="1"/>
    <x v="0"/>
    <x v="2"/>
    <x v="3"/>
    <n v="0"/>
    <n v="0"/>
    <n v="35.819000000000003"/>
    <n v="35.819000000000003"/>
    <n v="35.819000000000003"/>
    <n v="35.819000000000003"/>
    <n v="0"/>
    <s v="CATIVO"/>
    <n v="0"/>
    <n v="0"/>
    <n v="28"/>
    <n v="74"/>
    <n v="0"/>
    <n v="1362.0224000000001"/>
    <n v="254.08199999999999"/>
    <m/>
    <n v="1435.5474479075656"/>
    <n v="351.82269927635298"/>
    <n v="0"/>
    <n v="3694.9304364"/>
    <n v="0"/>
    <n v="1980.0560196488902"/>
    <x v="2"/>
  </r>
  <r>
    <s v="Regular"/>
    <x v="1"/>
    <x v="0"/>
    <x v="1"/>
    <x v="2"/>
    <x v="1"/>
    <x v="0"/>
    <x v="2"/>
    <x v="4"/>
    <n v="0"/>
    <n v="0"/>
    <n v="260.20999999999998"/>
    <n v="260.20999999999998"/>
    <n v="260.20999999999998"/>
    <n v="260.20999999999998"/>
    <n v="0"/>
    <s v="CATIVO"/>
    <n v="0"/>
    <n v="0"/>
    <n v="28"/>
    <n v="74"/>
    <n v="0"/>
    <n v="1362.0224000000001"/>
    <n v="254.08199999999999"/>
    <m/>
    <n v="1435.5474479075656"/>
    <n v="351.82269927635298"/>
    <n v="0"/>
    <n v="26842.118676000002"/>
    <n v="0"/>
    <n v="14384.275855630745"/>
    <x v="2"/>
  </r>
  <r>
    <s v="Sistema Isolado - Regular"/>
    <x v="1"/>
    <x v="0"/>
    <x v="1"/>
    <x v="2"/>
    <x v="1"/>
    <x v="0"/>
    <x v="2"/>
    <x v="4"/>
    <n v="0"/>
    <n v="0"/>
    <n v="38.566000000000003"/>
    <n v="38.566000000000003"/>
    <n v="38.566000000000003"/>
    <n v="38.566000000000003"/>
    <n v="0"/>
    <s v="CATIVO"/>
    <n v="0"/>
    <n v="0"/>
    <n v="28"/>
    <n v="74"/>
    <n v="0"/>
    <n v="1362.0224000000001"/>
    <n v="254.08199999999999"/>
    <m/>
    <n v="1435.5474479075656"/>
    <n v="351.82269927635298"/>
    <n v="0"/>
    <n v="3978.2988696000007"/>
    <n v="0"/>
    <n v="2131.9087761740725"/>
    <x v="2"/>
  </r>
  <r>
    <s v="PROJETADO"/>
    <x v="1"/>
    <x v="0"/>
    <x v="1"/>
    <x v="2"/>
    <x v="1"/>
    <x v="0"/>
    <x v="2"/>
    <x v="5"/>
    <n v="0"/>
    <n v="0"/>
    <n v="260.20999999999998"/>
    <n v="260.20999999999998"/>
    <n v="260.20999999999998"/>
    <n v="260.20999999999998"/>
    <n v="0"/>
    <s v="CATIVO"/>
    <n v="0"/>
    <n v="0"/>
    <n v="28"/>
    <n v="74"/>
    <n v="0"/>
    <n v="1362.0224000000001"/>
    <n v="254.08199999999999"/>
    <m/>
    <n v="1435.5474479075656"/>
    <n v="351.82269927635298"/>
    <n v="0"/>
    <n v="26842.118676000002"/>
    <n v="0"/>
    <n v="14384.275855630745"/>
    <x v="2"/>
  </r>
  <r>
    <s v="PROJETADO"/>
    <x v="1"/>
    <x v="0"/>
    <x v="1"/>
    <x v="2"/>
    <x v="1"/>
    <x v="0"/>
    <x v="2"/>
    <x v="5"/>
    <n v="0"/>
    <n v="0"/>
    <n v="38.566000000000003"/>
    <n v="38.566000000000003"/>
    <n v="38.566000000000003"/>
    <n v="38.566000000000003"/>
    <n v="0"/>
    <s v="CATIVO"/>
    <n v="0"/>
    <n v="0"/>
    <n v="28"/>
    <n v="74"/>
    <n v="0"/>
    <n v="1362.0224000000001"/>
    <n v="254.08199999999999"/>
    <m/>
    <n v="1435.5474479075656"/>
    <n v="351.82269927635298"/>
    <n v="0"/>
    <n v="3978.2988696000007"/>
    <n v="0"/>
    <n v="2131.9087761740725"/>
    <x v="2"/>
  </r>
  <r>
    <s v="Regular"/>
    <x v="2"/>
    <x v="3"/>
    <x v="4"/>
    <x v="3"/>
    <x v="1"/>
    <x v="0"/>
    <x v="1"/>
    <x v="9"/>
    <n v="0"/>
    <n v="0"/>
    <n v="30655.42"/>
    <n v="30655.42"/>
    <n v="30655.42"/>
    <n v="30655.42"/>
    <n v="133989"/>
    <s v="CATIVO"/>
    <n v="0"/>
    <n v="0"/>
    <n v="39"/>
    <n v="83"/>
    <n v="0"/>
    <n v="463.6"/>
    <n v="176.58"/>
    <m/>
    <n v="502.18276542172094"/>
    <n v="230.72991454293387"/>
    <n v="0"/>
    <n v="0"/>
    <n v="0"/>
    <n v="0"/>
    <x v="5"/>
  </r>
  <r>
    <s v="Regular"/>
    <x v="2"/>
    <x v="3"/>
    <x v="4"/>
    <x v="4"/>
    <x v="1"/>
    <x v="0"/>
    <x v="1"/>
    <x v="9"/>
    <n v="0"/>
    <n v="0"/>
    <n v="1084.356"/>
    <n v="1084.356"/>
    <n v="1084.356"/>
    <n v="1084.356"/>
    <n v="2464"/>
    <s v="CATIVO"/>
    <n v="0"/>
    <n v="0"/>
    <n v="40"/>
    <n v="84"/>
    <n v="0"/>
    <n v="141.44"/>
    <n v="61.8"/>
    <m/>
    <n v="147.04798364303241"/>
    <n v="80.755470090026847"/>
    <n v="0"/>
    <n v="409301.01576000004"/>
    <n v="0"/>
    <n v="458751.50634144974"/>
    <x v="6"/>
  </r>
  <r>
    <s v="Refaturamento - Regular"/>
    <x v="2"/>
    <x v="3"/>
    <x v="4"/>
    <x v="4"/>
    <x v="1"/>
    <x v="0"/>
    <x v="1"/>
    <x v="9"/>
    <n v="0"/>
    <n v="0"/>
    <n v="-4.7779999999999996"/>
    <n v="-4.7779999999999996"/>
    <n v="-4.7779999999999996"/>
    <n v="-4.7779999999999996"/>
    <n v="109"/>
    <s v="CATIVO"/>
    <n v="0"/>
    <n v="0"/>
    <n v="40"/>
    <n v="84"/>
    <n v="0"/>
    <n v="141.44"/>
    <n v="61.8"/>
    <m/>
    <n v="147.04798364303241"/>
    <n v="80.755470090026847"/>
    <n v="0"/>
    <n v="-1803.50388"/>
    <n v="0"/>
    <n v="-2021.3976750250347"/>
    <x v="6"/>
  </r>
  <r>
    <s v="Sistema Isolado - Regular"/>
    <x v="2"/>
    <x v="3"/>
    <x v="4"/>
    <x v="4"/>
    <x v="1"/>
    <x v="0"/>
    <x v="1"/>
    <x v="9"/>
    <n v="0"/>
    <n v="0"/>
    <n v="580.52"/>
    <n v="580.52"/>
    <n v="580.52"/>
    <n v="580.52"/>
    <n v="1686"/>
    <s v="CATIVO"/>
    <n v="0"/>
    <n v="0"/>
    <n v="40"/>
    <n v="84"/>
    <n v="0"/>
    <n v="141.44"/>
    <n v="61.8"/>
    <m/>
    <n v="147.04798364303241"/>
    <n v="80.755470090026847"/>
    <n v="0"/>
    <n v="219123.07920000001"/>
    <n v="0"/>
    <n v="245596.8560706432"/>
    <x v="6"/>
  </r>
  <r>
    <s v="Sistema Isolado - Refaturamento"/>
    <x v="2"/>
    <x v="3"/>
    <x v="4"/>
    <x v="4"/>
    <x v="1"/>
    <x v="0"/>
    <x v="1"/>
    <x v="9"/>
    <n v="0"/>
    <n v="0"/>
    <n v="2.4940000000000002"/>
    <n v="2.4940000000000002"/>
    <n v="2.4940000000000002"/>
    <n v="2.4940000000000002"/>
    <n v="39"/>
    <s v="CATIVO"/>
    <n v="0"/>
    <n v="0"/>
    <n v="40"/>
    <n v="84"/>
    <n v="0"/>
    <n v="141.44"/>
    <n v="61.8"/>
    <m/>
    <n v="147.04798364303241"/>
    <n v="80.755470090026847"/>
    <n v="0"/>
    <n v="941.38524000000018"/>
    <n v="0"/>
    <n v="1055.120510990464"/>
    <x v="6"/>
  </r>
  <r>
    <s v="Sistema de Compensação"/>
    <x v="2"/>
    <x v="3"/>
    <x v="4"/>
    <x v="4"/>
    <x v="1"/>
    <x v="0"/>
    <x v="1"/>
    <x v="9"/>
    <n v="0"/>
    <n v="0"/>
    <n v="0.87"/>
    <n v="0.87"/>
    <n v="0.87"/>
    <n v="0.87"/>
    <n v="0"/>
    <s v="CATIVO"/>
    <n v="0"/>
    <n v="0"/>
    <n v="40"/>
    <n v="84"/>
    <n v="0"/>
    <n v="141.44"/>
    <n v="61.8"/>
    <m/>
    <n v="147.04798364303241"/>
    <n v="80.755470090026847"/>
    <n v="0"/>
    <n v="328.39020000000005"/>
    <n v="0"/>
    <n v="368.06529453155719"/>
    <x v="6"/>
  </r>
  <r>
    <s v="Sistema de Compensação"/>
    <x v="2"/>
    <x v="3"/>
    <x v="4"/>
    <x v="4"/>
    <x v="1"/>
    <x v="0"/>
    <x v="1"/>
    <x v="9"/>
    <n v="0"/>
    <n v="0"/>
    <n v="0.33900000000000002"/>
    <n v="0.33900000000000002"/>
    <n v="0.33900000000000002"/>
    <n v="0.33900000000000002"/>
    <n v="1"/>
    <s v="CATIVO"/>
    <n v="0"/>
    <n v="0"/>
    <n v="40"/>
    <n v="84"/>
    <n v="0"/>
    <n v="141.44"/>
    <n v="61.8"/>
    <m/>
    <n v="147.04798364303241"/>
    <n v="80.755470090026847"/>
    <n v="0"/>
    <n v="127.95894000000003"/>
    <n v="0"/>
    <n v="143.41854580022746"/>
    <x v="6"/>
  </r>
  <r>
    <s v="Regular"/>
    <x v="2"/>
    <x v="3"/>
    <x v="4"/>
    <x v="4"/>
    <x v="1"/>
    <x v="0"/>
    <x v="1"/>
    <x v="10"/>
    <n v="0"/>
    <n v="0"/>
    <n v="1094.567"/>
    <n v="1094.567"/>
    <n v="1094.567"/>
    <n v="1094.567"/>
    <n v="2408"/>
    <s v="CATIVO"/>
    <n v="0"/>
    <n v="0"/>
    <n v="40"/>
    <n v="84"/>
    <n v="0"/>
    <n v="141.44"/>
    <n v="61.8"/>
    <m/>
    <n v="147.04798364303241"/>
    <n v="80.755470090026847"/>
    <n v="0"/>
    <n v="413155.25982000004"/>
    <n v="0"/>
    <n v="463071.4083212908"/>
    <x v="6"/>
  </r>
  <r>
    <s v="Refaturamento - Regular"/>
    <x v="2"/>
    <x v="3"/>
    <x v="4"/>
    <x v="4"/>
    <x v="1"/>
    <x v="0"/>
    <x v="1"/>
    <x v="10"/>
    <n v="0"/>
    <n v="0"/>
    <n v="25.379000000000001"/>
    <n v="25.379000000000001"/>
    <n v="25.379000000000001"/>
    <n v="25.379000000000001"/>
    <n v="165"/>
    <s v="CATIVO"/>
    <n v="0"/>
    <n v="0"/>
    <n v="40"/>
    <n v="84"/>
    <n v="0"/>
    <n v="141.44"/>
    <n v="61.8"/>
    <m/>
    <n v="147.04798364303241"/>
    <n v="80.755470090026847"/>
    <n v="0"/>
    <n v="9579.5573400000012"/>
    <n v="0"/>
    <n v="10736.93001139815"/>
    <x v="6"/>
  </r>
  <r>
    <s v="Sistema Isolado - Regular"/>
    <x v="2"/>
    <x v="3"/>
    <x v="4"/>
    <x v="4"/>
    <x v="1"/>
    <x v="0"/>
    <x v="1"/>
    <x v="10"/>
    <n v="0"/>
    <n v="0"/>
    <n v="585.21799999999996"/>
    <n v="585.21799999999996"/>
    <n v="585.21799999999996"/>
    <n v="585.21799999999996"/>
    <n v="1685"/>
    <s v="CATIVO"/>
    <n v="0"/>
    <n v="0"/>
    <n v="40"/>
    <n v="84"/>
    <n v="0"/>
    <n v="141.44"/>
    <n v="61.8"/>
    <m/>
    <n v="147.04798364303241"/>
    <n v="80.755470090026847"/>
    <n v="0"/>
    <n v="220896.38628000001"/>
    <n v="0"/>
    <n v="247584.40866111362"/>
    <x v="6"/>
  </r>
  <r>
    <s v="Sistema Isolado - Refaturamento"/>
    <x v="2"/>
    <x v="3"/>
    <x v="4"/>
    <x v="4"/>
    <x v="1"/>
    <x v="0"/>
    <x v="1"/>
    <x v="10"/>
    <n v="0"/>
    <n v="0"/>
    <n v="4.0890000000000004"/>
    <n v="4.0890000000000004"/>
    <n v="4.0890000000000004"/>
    <n v="4.0890000000000004"/>
    <n v="46"/>
    <s v="CATIVO"/>
    <n v="0"/>
    <n v="0"/>
    <n v="40"/>
    <n v="84"/>
    <n v="0"/>
    <n v="141.44"/>
    <n v="61.8"/>
    <m/>
    <n v="147.04798364303241"/>
    <n v="80.755470090026847"/>
    <n v="0"/>
    <n v="1543.4339400000003"/>
    <n v="0"/>
    <n v="1729.906884298319"/>
    <x v="6"/>
  </r>
  <r>
    <s v="Sistema de Compensação"/>
    <x v="2"/>
    <x v="3"/>
    <x v="4"/>
    <x v="4"/>
    <x v="1"/>
    <x v="0"/>
    <x v="1"/>
    <x v="10"/>
    <n v="0"/>
    <n v="0"/>
    <n v="1.02"/>
    <n v="1.02"/>
    <n v="1.02"/>
    <n v="1.02"/>
    <n v="0"/>
    <s v="CATIVO"/>
    <n v="0"/>
    <n v="0"/>
    <n v="40"/>
    <n v="84"/>
    <n v="0"/>
    <n v="141.44"/>
    <n v="61.8"/>
    <m/>
    <n v="147.04798364303241"/>
    <n v="80.755470090026847"/>
    <n v="0"/>
    <n v="385.00920000000002"/>
    <n v="0"/>
    <n v="431.5248280714809"/>
    <x v="6"/>
  </r>
  <r>
    <s v="Sistema de Compensação"/>
    <x v="2"/>
    <x v="3"/>
    <x v="4"/>
    <x v="4"/>
    <x v="1"/>
    <x v="0"/>
    <x v="1"/>
    <x v="10"/>
    <n v="0"/>
    <n v="0"/>
    <n v="0.20200000000000001"/>
    <n v="0.20200000000000001"/>
    <n v="0.20200000000000001"/>
    <n v="0.20200000000000001"/>
    <n v="1"/>
    <s v="CATIVO"/>
    <n v="0"/>
    <n v="0"/>
    <n v="40"/>
    <n v="84"/>
    <n v="0"/>
    <n v="141.44"/>
    <n v="61.8"/>
    <m/>
    <n v="147.04798364303241"/>
    <n v="80.755470090026847"/>
    <n v="0"/>
    <n v="76.246920000000017"/>
    <n v="0"/>
    <n v="85.458838500430531"/>
    <x v="6"/>
  </r>
  <r>
    <s v="Regular"/>
    <x v="2"/>
    <x v="3"/>
    <x v="4"/>
    <x v="4"/>
    <x v="1"/>
    <x v="0"/>
    <x v="1"/>
    <x v="11"/>
    <n v="0"/>
    <n v="0"/>
    <n v="1200.49"/>
    <n v="1200.49"/>
    <n v="1200.49"/>
    <n v="1200.49"/>
    <n v="2787"/>
    <s v="CATIVO"/>
    <n v="0"/>
    <n v="0"/>
    <n v="40"/>
    <n v="84"/>
    <n v="0"/>
    <n v="141.44"/>
    <n v="61.8"/>
    <m/>
    <n v="147.04798364303241"/>
    <n v="80.755470090026847"/>
    <n v="0"/>
    <n v="453136.95540000004"/>
    <n v="0"/>
    <n v="507883.56946228637"/>
    <x v="6"/>
  </r>
  <r>
    <s v="Refaturamento - Regular"/>
    <x v="2"/>
    <x v="3"/>
    <x v="4"/>
    <x v="4"/>
    <x v="1"/>
    <x v="0"/>
    <x v="1"/>
    <x v="11"/>
    <n v="0"/>
    <n v="0"/>
    <n v="0.39100000000000001"/>
    <n v="0.39100000000000001"/>
    <n v="0.39100000000000001"/>
    <n v="0.39100000000000001"/>
    <n v="56"/>
    <s v="CATIVO"/>
    <n v="0"/>
    <n v="0"/>
    <n v="40"/>
    <n v="84"/>
    <n v="0"/>
    <n v="141.44"/>
    <n v="61.8"/>
    <m/>
    <n v="147.04798364303241"/>
    <n v="80.755470090026847"/>
    <n v="0"/>
    <n v="147.58686000000003"/>
    <n v="0"/>
    <n v="165.41785076073435"/>
    <x v="6"/>
  </r>
  <r>
    <s v="Sistema Isolado - Regular"/>
    <x v="2"/>
    <x v="3"/>
    <x v="4"/>
    <x v="4"/>
    <x v="1"/>
    <x v="0"/>
    <x v="1"/>
    <x v="11"/>
    <n v="0"/>
    <n v="0"/>
    <n v="609.83699999999999"/>
    <n v="609.83699999999999"/>
    <n v="609.83699999999999"/>
    <n v="609.83699999999999"/>
    <n v="1822"/>
    <s v="CATIVO"/>
    <n v="0"/>
    <n v="0"/>
    <n v="40"/>
    <n v="84"/>
    <n v="0"/>
    <n v="141.44"/>
    <n v="61.8"/>
    <m/>
    <n v="147.04798364303241"/>
    <n v="80.755470090026847"/>
    <n v="0"/>
    <n v="230189.07402000003"/>
    <n v="0"/>
    <n v="257999.81036924283"/>
    <x v="6"/>
  </r>
  <r>
    <s v="Sistema Isolado - Refaturamento"/>
    <x v="2"/>
    <x v="3"/>
    <x v="4"/>
    <x v="4"/>
    <x v="1"/>
    <x v="0"/>
    <x v="1"/>
    <x v="11"/>
    <n v="0"/>
    <n v="0"/>
    <n v="-0.86899999999999999"/>
    <n v="-0.86899999999999999"/>
    <n v="-0.86899999999999999"/>
    <n v="-0.86899999999999999"/>
    <n v="8"/>
    <s v="CATIVO"/>
    <n v="0"/>
    <n v="0"/>
    <n v="40"/>
    <n v="84"/>
    <n v="0"/>
    <n v="141.44"/>
    <n v="61.8"/>
    <m/>
    <n v="147.04798364303241"/>
    <n v="80.755470090026847"/>
    <n v="0"/>
    <n v="-328.01274000000001"/>
    <n v="0"/>
    <n v="-367.6422309746244"/>
    <x v="6"/>
  </r>
  <r>
    <s v="Sistema de Compensação"/>
    <x v="2"/>
    <x v="3"/>
    <x v="4"/>
    <x v="4"/>
    <x v="1"/>
    <x v="0"/>
    <x v="1"/>
    <x v="11"/>
    <n v="0"/>
    <n v="0"/>
    <n v="1.17"/>
    <n v="1.17"/>
    <n v="1.17"/>
    <n v="1.17"/>
    <n v="0"/>
    <s v="CATIVO"/>
    <n v="0"/>
    <n v="0"/>
    <n v="40"/>
    <n v="84"/>
    <n v="0"/>
    <n v="141.44"/>
    <n v="61.8"/>
    <m/>
    <n v="147.04798364303241"/>
    <n v="80.755470090026847"/>
    <n v="0"/>
    <n v="441.62819999999999"/>
    <n v="0"/>
    <n v="494.98436161140449"/>
    <x v="6"/>
  </r>
  <r>
    <s v="Sistema de Compensação"/>
    <x v="2"/>
    <x v="3"/>
    <x v="4"/>
    <x v="4"/>
    <x v="1"/>
    <x v="0"/>
    <x v="1"/>
    <x v="11"/>
    <n v="0"/>
    <n v="0"/>
    <n v="0.24099999999999999"/>
    <n v="0.24099999999999999"/>
    <n v="0.24099999999999999"/>
    <n v="0.24099999999999999"/>
    <n v="1"/>
    <s v="CATIVO"/>
    <n v="0"/>
    <n v="0"/>
    <n v="40"/>
    <n v="84"/>
    <n v="0"/>
    <n v="141.44"/>
    <n v="61.8"/>
    <m/>
    <n v="147.04798364303241"/>
    <n v="80.755470090026847"/>
    <n v="0"/>
    <n v="90.967860000000002"/>
    <n v="0"/>
    <n v="101.95831722081067"/>
    <x v="6"/>
  </r>
  <r>
    <s v="Regular"/>
    <x v="2"/>
    <x v="3"/>
    <x v="4"/>
    <x v="4"/>
    <x v="1"/>
    <x v="0"/>
    <x v="1"/>
    <x v="6"/>
    <n v="0"/>
    <n v="0"/>
    <n v="1246.335"/>
    <n v="1246.335"/>
    <n v="1246.335"/>
    <n v="1246.335"/>
    <n v="2714"/>
    <s v="CATIVO"/>
    <n v="0"/>
    <n v="0"/>
    <n v="40"/>
    <n v="84"/>
    <n v="0"/>
    <n v="141.44"/>
    <n v="61.8"/>
    <m/>
    <n v="147.04798364303241"/>
    <n v="80.755470090026847"/>
    <n v="0"/>
    <n v="470441.60910000006"/>
    <n v="0"/>
    <n v="527278.91822987166"/>
    <x v="6"/>
  </r>
  <r>
    <s v="Refaturamento - Regular"/>
    <x v="2"/>
    <x v="3"/>
    <x v="4"/>
    <x v="4"/>
    <x v="1"/>
    <x v="0"/>
    <x v="1"/>
    <x v="6"/>
    <n v="0"/>
    <n v="0"/>
    <n v="-6.5339999999999998"/>
    <n v="-6.5339999999999998"/>
    <n v="-6.5339999999999998"/>
    <n v="-6.5339999999999998"/>
    <n v="32"/>
    <s v="CATIVO"/>
    <n v="0"/>
    <n v="0"/>
    <n v="40"/>
    <n v="84"/>
    <n v="0"/>
    <n v="141.44"/>
    <n v="61.8"/>
    <m/>
    <n v="147.04798364303241"/>
    <n v="80.755470090026847"/>
    <n v="0"/>
    <n v="-2466.3236400000001"/>
    <n v="0"/>
    <n v="-2764.2972809990742"/>
    <x v="6"/>
  </r>
  <r>
    <s v="Sistema Isolado - Regular"/>
    <x v="2"/>
    <x v="3"/>
    <x v="4"/>
    <x v="4"/>
    <x v="1"/>
    <x v="0"/>
    <x v="1"/>
    <x v="6"/>
    <n v="0"/>
    <n v="0"/>
    <n v="618.73599999999999"/>
    <n v="618.73599999999999"/>
    <n v="618.73599999999999"/>
    <n v="618.73599999999999"/>
    <n v="1837"/>
    <s v="CATIVO"/>
    <n v="0"/>
    <n v="0"/>
    <n v="40"/>
    <n v="84"/>
    <n v="0"/>
    <n v="141.44"/>
    <n v="61.8"/>
    <m/>
    <n v="147.04798364303241"/>
    <n v="80.755470090026847"/>
    <n v="0"/>
    <n v="233548.09056000001"/>
    <n v="0"/>
    <n v="261764.65296238803"/>
    <x v="6"/>
  </r>
  <r>
    <s v="Sistema Isolado - Refaturamento"/>
    <x v="2"/>
    <x v="3"/>
    <x v="4"/>
    <x v="4"/>
    <x v="1"/>
    <x v="0"/>
    <x v="1"/>
    <x v="6"/>
    <n v="0"/>
    <n v="0"/>
    <n v="3.1789999999999998"/>
    <n v="3.1789999999999998"/>
    <n v="3.1789999999999998"/>
    <n v="3.1789999999999998"/>
    <n v="51"/>
    <s v="CATIVO"/>
    <n v="0"/>
    <n v="0"/>
    <n v="40"/>
    <n v="84"/>
    <n v="0"/>
    <n v="141.44"/>
    <n v="61.8"/>
    <m/>
    <n v="147.04798364303241"/>
    <n v="80.755470090026847"/>
    <n v="0"/>
    <n v="1199.94534"/>
    <n v="0"/>
    <n v="1344.9190474894485"/>
    <x v="6"/>
  </r>
  <r>
    <s v="Sistema de Compensação"/>
    <x v="2"/>
    <x v="3"/>
    <x v="4"/>
    <x v="4"/>
    <x v="1"/>
    <x v="0"/>
    <x v="1"/>
    <x v="6"/>
    <n v="0"/>
    <n v="0"/>
    <n v="1.29"/>
    <n v="1.29"/>
    <n v="1.29"/>
    <n v="1.29"/>
    <n v="0"/>
    <s v="CATIVO"/>
    <n v="0"/>
    <n v="0"/>
    <n v="40"/>
    <n v="84"/>
    <n v="0"/>
    <n v="141.44"/>
    <n v="61.8"/>
    <m/>
    <n v="147.04798364303241"/>
    <n v="80.755470090026847"/>
    <n v="0"/>
    <n v="486.92340000000007"/>
    <n v="0"/>
    <n v="545.75198844334352"/>
    <x v="6"/>
  </r>
  <r>
    <s v="Regular"/>
    <x v="2"/>
    <x v="3"/>
    <x v="4"/>
    <x v="4"/>
    <x v="1"/>
    <x v="0"/>
    <x v="1"/>
    <x v="7"/>
    <n v="0"/>
    <n v="0"/>
    <n v="1293.701"/>
    <n v="1293.701"/>
    <n v="1293.701"/>
    <n v="1293.701"/>
    <n v="2880"/>
    <s v="CATIVO"/>
    <n v="0"/>
    <n v="0"/>
    <n v="40"/>
    <n v="84"/>
    <n v="0"/>
    <n v="141.44"/>
    <n v="61.8"/>
    <m/>
    <n v="147.04798364303241"/>
    <n v="80.755470090026847"/>
    <n v="0"/>
    <n v="488320.37946000008"/>
    <n v="0"/>
    <n v="547317.74666755181"/>
    <x v="6"/>
  </r>
  <r>
    <s v="Refaturamento - Regular"/>
    <x v="2"/>
    <x v="3"/>
    <x v="4"/>
    <x v="4"/>
    <x v="1"/>
    <x v="0"/>
    <x v="1"/>
    <x v="7"/>
    <n v="0"/>
    <n v="0"/>
    <n v="-1.2669999999999999"/>
    <n v="-1.2669999999999999"/>
    <n v="-1.2669999999999999"/>
    <n v="-1.2669999999999999"/>
    <n v="41"/>
    <s v="CATIVO"/>
    <n v="0"/>
    <n v="0"/>
    <n v="40"/>
    <n v="84"/>
    <n v="0"/>
    <n v="141.44"/>
    <n v="61.8"/>
    <m/>
    <n v="147.04798364303241"/>
    <n v="80.755470090026847"/>
    <n v="0"/>
    <n v="-478.24182000000002"/>
    <n v="0"/>
    <n v="-536.02152663388847"/>
    <x v="6"/>
  </r>
  <r>
    <s v="Sistema Isolado - Regular"/>
    <x v="2"/>
    <x v="3"/>
    <x v="4"/>
    <x v="4"/>
    <x v="1"/>
    <x v="0"/>
    <x v="1"/>
    <x v="7"/>
    <n v="0"/>
    <n v="0"/>
    <n v="629.86800000000005"/>
    <n v="629.86800000000005"/>
    <n v="629.86800000000005"/>
    <n v="629.86800000000005"/>
    <n v="1817"/>
    <s v="CATIVO"/>
    <n v="0"/>
    <n v="0"/>
    <n v="40"/>
    <n v="84"/>
    <n v="0"/>
    <n v="141.44"/>
    <n v="61.8"/>
    <m/>
    <n v="147.04798364303241"/>
    <n v="80.755470090026847"/>
    <n v="0"/>
    <n v="237749.97528000004"/>
    <n v="0"/>
    <n v="266474.19647816423"/>
    <x v="6"/>
  </r>
  <r>
    <s v="Sistema Isolado - Refaturamento"/>
    <x v="2"/>
    <x v="3"/>
    <x v="4"/>
    <x v="4"/>
    <x v="1"/>
    <x v="0"/>
    <x v="1"/>
    <x v="7"/>
    <n v="0"/>
    <n v="0"/>
    <n v="0.79700000000000004"/>
    <n v="0.79700000000000004"/>
    <n v="0.79700000000000004"/>
    <n v="0.79700000000000004"/>
    <n v="99"/>
    <s v="CATIVO"/>
    <n v="0"/>
    <n v="0"/>
    <n v="40"/>
    <n v="84"/>
    <n v="0"/>
    <n v="141.44"/>
    <n v="61.8"/>
    <m/>
    <n v="147.04798364303241"/>
    <n v="80.755470090026847"/>
    <n v="0"/>
    <n v="300.83562000000006"/>
    <n v="0"/>
    <n v="337.18165487546105"/>
    <x v="6"/>
  </r>
  <r>
    <s v="Sistema de Compensação"/>
    <x v="2"/>
    <x v="3"/>
    <x v="4"/>
    <x v="4"/>
    <x v="1"/>
    <x v="0"/>
    <x v="1"/>
    <x v="7"/>
    <n v="0"/>
    <n v="0"/>
    <n v="1.41"/>
    <n v="1.41"/>
    <n v="1.41"/>
    <n v="1.41"/>
    <n v="0"/>
    <s v="CATIVO"/>
    <n v="0"/>
    <n v="0"/>
    <n v="40"/>
    <n v="84"/>
    <n v="0"/>
    <n v="141.44"/>
    <n v="61.8"/>
    <m/>
    <n v="147.04798364303241"/>
    <n v="80.755470090026847"/>
    <n v="0"/>
    <n v="532.21860000000004"/>
    <n v="0"/>
    <n v="596.51961527528238"/>
    <x v="6"/>
  </r>
  <r>
    <s v="Regular"/>
    <x v="2"/>
    <x v="3"/>
    <x v="4"/>
    <x v="4"/>
    <x v="1"/>
    <x v="0"/>
    <x v="1"/>
    <x v="8"/>
    <n v="0"/>
    <n v="0"/>
    <n v="1272.3420000000001"/>
    <n v="1272.3420000000001"/>
    <n v="1272.3420000000001"/>
    <n v="1272.3420000000001"/>
    <n v="2882"/>
    <s v="CATIVO"/>
    <n v="0"/>
    <n v="0"/>
    <n v="40"/>
    <n v="84"/>
    <n v="0"/>
    <n v="141.44"/>
    <n v="61.8"/>
    <m/>
    <n v="147.04798364303241"/>
    <n v="80.755470090026847"/>
    <n v="0"/>
    <n v="480258.21132000006"/>
    <n v="0"/>
    <n v="538281.53215502365"/>
    <x v="6"/>
  </r>
  <r>
    <s v="Refaturamento - Regular"/>
    <x v="2"/>
    <x v="3"/>
    <x v="4"/>
    <x v="4"/>
    <x v="1"/>
    <x v="0"/>
    <x v="1"/>
    <x v="8"/>
    <n v="0"/>
    <n v="0"/>
    <n v="-5.1760000000000002"/>
    <n v="-5.1760000000000002"/>
    <n v="-5.1760000000000002"/>
    <n v="-5.1760000000000002"/>
    <n v="23"/>
    <s v="CATIVO"/>
    <n v="0"/>
    <n v="0"/>
    <n v="40"/>
    <n v="84"/>
    <n v="0"/>
    <n v="141.44"/>
    <n v="61.8"/>
    <m/>
    <n v="147.04798364303241"/>
    <n v="80.755470090026847"/>
    <n v="0"/>
    <n v="-1953.7329600000003"/>
    <n v="0"/>
    <n v="-2189.7769706842992"/>
    <x v="6"/>
  </r>
  <r>
    <s v="Sistema Isolado - Regular"/>
    <x v="2"/>
    <x v="3"/>
    <x v="4"/>
    <x v="4"/>
    <x v="1"/>
    <x v="0"/>
    <x v="1"/>
    <x v="8"/>
    <n v="0"/>
    <n v="0"/>
    <n v="621.33199999999999"/>
    <n v="621.33199999999999"/>
    <n v="621.33199999999999"/>
    <n v="621.33199999999999"/>
    <n v="1815"/>
    <s v="CATIVO"/>
    <n v="0"/>
    <n v="0"/>
    <n v="40"/>
    <n v="84"/>
    <n v="0"/>
    <n v="141.44"/>
    <n v="61.8"/>
    <m/>
    <n v="147.04798364303241"/>
    <n v="80.755470090026847"/>
    <n v="0"/>
    <n v="234527.97672000001"/>
    <n v="0"/>
    <n v="262862.92595618562"/>
    <x v="6"/>
  </r>
  <r>
    <s v="Sistema Isolado - Refaturamento"/>
    <x v="2"/>
    <x v="3"/>
    <x v="4"/>
    <x v="4"/>
    <x v="1"/>
    <x v="0"/>
    <x v="1"/>
    <x v="8"/>
    <n v="0"/>
    <n v="0"/>
    <n v="4.4800000000000004"/>
    <n v="4.4800000000000004"/>
    <n v="4.4800000000000004"/>
    <n v="4.4800000000000004"/>
    <n v="112"/>
    <s v="CATIVO"/>
    <n v="0"/>
    <n v="0"/>
    <n v="40"/>
    <n v="84"/>
    <n v="0"/>
    <n v="141.44"/>
    <n v="61.8"/>
    <m/>
    <n v="147.04798364303241"/>
    <n v="80.755470090026847"/>
    <n v="0"/>
    <n v="1691.0208000000002"/>
    <n v="0"/>
    <n v="1895.3247350590534"/>
    <x v="6"/>
  </r>
  <r>
    <s v="Sistema de Compensação"/>
    <x v="2"/>
    <x v="3"/>
    <x v="4"/>
    <x v="4"/>
    <x v="1"/>
    <x v="0"/>
    <x v="1"/>
    <x v="8"/>
    <n v="0"/>
    <n v="0"/>
    <n v="1.38"/>
    <n v="1.38"/>
    <n v="1.38"/>
    <n v="1.38"/>
    <n v="0"/>
    <s v="CATIVO"/>
    <n v="0"/>
    <n v="0"/>
    <n v="40"/>
    <n v="84"/>
    <n v="0"/>
    <n v="141.44"/>
    <n v="61.8"/>
    <m/>
    <n v="147.04798364303241"/>
    <n v="80.755470090026847"/>
    <n v="0"/>
    <n v="520.89480000000003"/>
    <n v="0"/>
    <n v="583.82770856729758"/>
    <x v="6"/>
  </r>
  <r>
    <s v="Regular"/>
    <x v="2"/>
    <x v="3"/>
    <x v="4"/>
    <x v="4"/>
    <x v="1"/>
    <x v="0"/>
    <x v="1"/>
    <x v="0"/>
    <n v="0"/>
    <n v="0"/>
    <n v="1297.2560000000001"/>
    <n v="1297.2560000000001"/>
    <n v="1297.2560000000001"/>
    <n v="1297.2560000000001"/>
    <n v="3032"/>
    <s v="CATIVO"/>
    <n v="0"/>
    <n v="0"/>
    <n v="40"/>
    <n v="84"/>
    <n v="0"/>
    <n v="141.44"/>
    <n v="61.8"/>
    <m/>
    <n v="147.04798364303241"/>
    <n v="80.755470090026847"/>
    <n v="0"/>
    <n v="489662.24976000009"/>
    <n v="0"/>
    <n v="548821.73761244805"/>
    <x v="6"/>
  </r>
  <r>
    <s v="Refaturamento - Regular"/>
    <x v="2"/>
    <x v="3"/>
    <x v="4"/>
    <x v="4"/>
    <x v="1"/>
    <x v="0"/>
    <x v="1"/>
    <x v="0"/>
    <n v="0"/>
    <n v="0"/>
    <n v="6.46"/>
    <n v="6.46"/>
    <n v="6.46"/>
    <n v="6.46"/>
    <n v="48"/>
    <s v="CATIVO"/>
    <n v="0"/>
    <n v="0"/>
    <n v="40"/>
    <n v="84"/>
    <n v="0"/>
    <n v="141.44"/>
    <n v="61.8"/>
    <m/>
    <n v="147.04798364303241"/>
    <n v="80.755470090026847"/>
    <n v="0"/>
    <n v="2438.3916000000004"/>
    <n v="0"/>
    <n v="2732.9905777860454"/>
    <x v="6"/>
  </r>
  <r>
    <s v="Sistema Isolado - Regular"/>
    <x v="2"/>
    <x v="3"/>
    <x v="4"/>
    <x v="4"/>
    <x v="1"/>
    <x v="0"/>
    <x v="1"/>
    <x v="0"/>
    <n v="0"/>
    <n v="0"/>
    <n v="629.74400000000003"/>
    <n v="629.74400000000003"/>
    <n v="629.74400000000003"/>
    <n v="629.74400000000003"/>
    <n v="1821"/>
    <s v="CATIVO"/>
    <n v="0"/>
    <n v="0"/>
    <n v="40"/>
    <n v="84"/>
    <n v="0"/>
    <n v="141.44"/>
    <n v="61.8"/>
    <m/>
    <n v="147.04798364303241"/>
    <n v="80.755470090026847"/>
    <n v="0"/>
    <n v="237703.17024000004"/>
    <n v="0"/>
    <n v="266421.73659710458"/>
    <x v="6"/>
  </r>
  <r>
    <s v="Sistema Isolado - Refaturamento"/>
    <x v="2"/>
    <x v="3"/>
    <x v="4"/>
    <x v="4"/>
    <x v="1"/>
    <x v="0"/>
    <x v="1"/>
    <x v="0"/>
    <n v="0"/>
    <n v="0"/>
    <n v="1.1140000000000001"/>
    <n v="1.1140000000000001"/>
    <n v="1.1140000000000001"/>
    <n v="1.1140000000000001"/>
    <n v="10"/>
    <s v="CATIVO"/>
    <n v="0"/>
    <n v="0"/>
    <n v="40"/>
    <n v="84"/>
    <n v="0"/>
    <n v="141.44"/>
    <n v="61.8"/>
    <m/>
    <n v="147.04798364303241"/>
    <n v="80.755470090026847"/>
    <n v="0"/>
    <n v="420.49044000000009"/>
    <n v="0"/>
    <n v="471.29280242316639"/>
    <x v="6"/>
  </r>
  <r>
    <s v="Sistema de Compensação"/>
    <x v="2"/>
    <x v="3"/>
    <x v="4"/>
    <x v="4"/>
    <x v="1"/>
    <x v="0"/>
    <x v="1"/>
    <x v="0"/>
    <n v="0"/>
    <n v="0"/>
    <n v="1.44"/>
    <n v="1.44"/>
    <n v="1.44"/>
    <n v="1.44"/>
    <n v="0"/>
    <s v="CATIVO"/>
    <n v="0"/>
    <n v="0"/>
    <n v="40"/>
    <n v="84"/>
    <n v="0"/>
    <n v="141.44"/>
    <n v="61.8"/>
    <m/>
    <n v="147.04798364303241"/>
    <n v="80.755470090026847"/>
    <n v="0"/>
    <n v="543.54240000000004"/>
    <n v="0"/>
    <n v="609.21152198326706"/>
    <x v="6"/>
  </r>
  <r>
    <s v="Regular"/>
    <x v="2"/>
    <x v="3"/>
    <x v="4"/>
    <x v="4"/>
    <x v="1"/>
    <x v="0"/>
    <x v="1"/>
    <x v="1"/>
    <n v="0"/>
    <n v="0"/>
    <n v="1337.239"/>
    <n v="1337.239"/>
    <n v="1337.239"/>
    <n v="1337.239"/>
    <n v="3072"/>
    <s v="CATIVO"/>
    <n v="0"/>
    <n v="0"/>
    <n v="40"/>
    <n v="84"/>
    <n v="0"/>
    <n v="141.44"/>
    <n v="61.8"/>
    <m/>
    <n v="147.04798364303241"/>
    <n v="80.755470090026847"/>
    <n v="0"/>
    <n v="504754.23294000007"/>
    <n v="0"/>
    <n v="565737.08780929318"/>
    <x v="6"/>
  </r>
  <r>
    <s v="Refaturamento - Regular"/>
    <x v="2"/>
    <x v="3"/>
    <x v="4"/>
    <x v="4"/>
    <x v="1"/>
    <x v="0"/>
    <x v="1"/>
    <x v="1"/>
    <n v="0"/>
    <n v="0"/>
    <n v="10.766"/>
    <n v="10.766"/>
    <n v="10.766"/>
    <n v="10.766"/>
    <n v="61"/>
    <s v="CATIVO"/>
    <n v="0"/>
    <n v="0"/>
    <n v="40"/>
    <n v="84"/>
    <n v="0"/>
    <n v="141.44"/>
    <n v="61.8"/>
    <m/>
    <n v="147.04798364303241"/>
    <n v="80.755470090026847"/>
    <n v="0"/>
    <n v="4063.7343600000004"/>
    <n v="0"/>
    <n v="4554.7022539387872"/>
    <x v="6"/>
  </r>
  <r>
    <s v="Sistema Isolado - Regular"/>
    <x v="2"/>
    <x v="3"/>
    <x v="4"/>
    <x v="4"/>
    <x v="1"/>
    <x v="0"/>
    <x v="1"/>
    <x v="1"/>
    <n v="0"/>
    <n v="0"/>
    <n v="650.20100000000002"/>
    <n v="650.20100000000002"/>
    <n v="650.20100000000002"/>
    <n v="650.20100000000002"/>
    <n v="1741"/>
    <s v="CATIVO"/>
    <n v="0"/>
    <n v="0"/>
    <n v="40"/>
    <n v="84"/>
    <n v="0"/>
    <n v="141.44"/>
    <n v="61.8"/>
    <m/>
    <n v="147.04798364303241"/>
    <n v="80.755470090026847"/>
    <n v="0"/>
    <n v="245424.86946000005"/>
    <n v="0"/>
    <n v="275076.34778127936"/>
    <x v="6"/>
  </r>
  <r>
    <s v="Sistema Isolado - Refaturamento"/>
    <x v="2"/>
    <x v="3"/>
    <x v="4"/>
    <x v="4"/>
    <x v="1"/>
    <x v="0"/>
    <x v="1"/>
    <x v="1"/>
    <n v="0"/>
    <n v="0"/>
    <n v="0.53400000000000003"/>
    <n v="0.53400000000000003"/>
    <n v="0.53400000000000003"/>
    <n v="0.53400000000000003"/>
    <n v="15"/>
    <s v="CATIVO"/>
    <n v="0"/>
    <n v="0"/>
    <n v="40"/>
    <n v="84"/>
    <n v="0"/>
    <n v="141.44"/>
    <n v="61.8"/>
    <m/>
    <n v="147.04798364303241"/>
    <n v="80.755470090026847"/>
    <n v="0"/>
    <n v="201.56364000000002"/>
    <n v="0"/>
    <n v="225.91593940212823"/>
    <x v="6"/>
  </r>
  <r>
    <s v="Sistema de Compensação"/>
    <x v="2"/>
    <x v="3"/>
    <x v="4"/>
    <x v="4"/>
    <x v="1"/>
    <x v="0"/>
    <x v="1"/>
    <x v="1"/>
    <n v="0"/>
    <n v="0"/>
    <n v="1.56"/>
    <n v="1.56"/>
    <n v="1.56"/>
    <n v="1.56"/>
    <n v="0"/>
    <s v="CATIVO"/>
    <n v="0"/>
    <n v="0"/>
    <n v="40"/>
    <n v="84"/>
    <n v="0"/>
    <n v="141.44"/>
    <n v="61.8"/>
    <m/>
    <n v="147.04798364303241"/>
    <n v="80.755470090026847"/>
    <n v="0"/>
    <n v="588.83760000000007"/>
    <n v="0"/>
    <n v="659.97914881520603"/>
    <x v="6"/>
  </r>
  <r>
    <s v="Regular"/>
    <x v="2"/>
    <x v="3"/>
    <x v="4"/>
    <x v="4"/>
    <x v="1"/>
    <x v="0"/>
    <x v="1"/>
    <x v="2"/>
    <n v="0"/>
    <n v="0"/>
    <n v="1083.0219999999999"/>
    <n v="1083.0219999999999"/>
    <n v="1083.0219999999999"/>
    <n v="1083.0219999999999"/>
    <n v="2005"/>
    <s v="CATIVO"/>
    <n v="0"/>
    <n v="0"/>
    <n v="40"/>
    <n v="84"/>
    <n v="0"/>
    <n v="141.44"/>
    <n v="61.8"/>
    <m/>
    <n v="147.04798364303241"/>
    <n v="80.755470090026847"/>
    <n v="0"/>
    <n v="408797.48412000004"/>
    <n v="0"/>
    <n v="458187.13955650129"/>
    <x v="6"/>
  </r>
  <r>
    <s v="Refaturamento - Regular"/>
    <x v="2"/>
    <x v="3"/>
    <x v="4"/>
    <x v="4"/>
    <x v="1"/>
    <x v="0"/>
    <x v="1"/>
    <x v="2"/>
    <n v="0"/>
    <n v="0"/>
    <n v="6.1360000000000001"/>
    <n v="6.1360000000000001"/>
    <n v="6.1360000000000001"/>
    <n v="6.1360000000000001"/>
    <n v="31"/>
    <s v="CATIVO"/>
    <n v="0"/>
    <n v="0"/>
    <n v="40"/>
    <n v="84"/>
    <n v="0"/>
    <n v="141.44"/>
    <n v="61.8"/>
    <m/>
    <n v="147.04798364303241"/>
    <n v="80.755470090026847"/>
    <n v="0"/>
    <n v="2316.0945600000005"/>
    <n v="0"/>
    <n v="2595.9179853398105"/>
    <x v="6"/>
  </r>
  <r>
    <s v="Sistema Isolado - Regular"/>
    <x v="2"/>
    <x v="3"/>
    <x v="4"/>
    <x v="4"/>
    <x v="1"/>
    <x v="0"/>
    <x v="1"/>
    <x v="2"/>
    <n v="0"/>
    <n v="0"/>
    <n v="916.375"/>
    <n v="916.375"/>
    <n v="916.375"/>
    <n v="916.375"/>
    <n v="2596"/>
    <s v="CATIVO"/>
    <n v="0"/>
    <n v="0"/>
    <n v="40"/>
    <n v="84"/>
    <n v="0"/>
    <n v="141.44"/>
    <n v="61.8"/>
    <m/>
    <n v="147.04798364303241"/>
    <n v="80.755470090026847"/>
    <n v="0"/>
    <n v="345894.90750000003"/>
    <n v="0"/>
    <n v="387684.86698431696"/>
    <x v="6"/>
  </r>
  <r>
    <s v="Sistema Isolado - Refaturamento"/>
    <x v="2"/>
    <x v="3"/>
    <x v="4"/>
    <x v="4"/>
    <x v="1"/>
    <x v="0"/>
    <x v="1"/>
    <x v="2"/>
    <n v="0"/>
    <n v="0"/>
    <n v="2.6059999999999999"/>
    <n v="2.6059999999999999"/>
    <n v="2.6059999999999999"/>
    <n v="2.6059999999999999"/>
    <n v="30"/>
    <s v="CATIVO"/>
    <n v="0"/>
    <n v="0"/>
    <n v="40"/>
    <n v="84"/>
    <n v="0"/>
    <n v="141.44"/>
    <n v="61.8"/>
    <m/>
    <n v="147.04798364303241"/>
    <n v="80.755470090026847"/>
    <n v="0"/>
    <n v="983.6607600000001"/>
    <n v="0"/>
    <n v="1102.5036293669402"/>
    <x v="6"/>
  </r>
  <r>
    <s v="Sistema de Compensação"/>
    <x v="2"/>
    <x v="3"/>
    <x v="4"/>
    <x v="4"/>
    <x v="1"/>
    <x v="0"/>
    <x v="1"/>
    <x v="2"/>
    <n v="0"/>
    <n v="0"/>
    <n v="1.62"/>
    <n v="1.62"/>
    <n v="1.62"/>
    <n v="1.62"/>
    <n v="0"/>
    <s v="CATIVO"/>
    <n v="0"/>
    <n v="0"/>
    <n v="40"/>
    <n v="84"/>
    <n v="0"/>
    <n v="141.44"/>
    <n v="61.8"/>
    <m/>
    <n v="147.04798364303241"/>
    <n v="80.755470090026847"/>
    <n v="0"/>
    <n v="611.48520000000008"/>
    <n v="0"/>
    <n v="685.36296223117552"/>
    <x v="6"/>
  </r>
  <r>
    <s v="Sistema de Compensação"/>
    <x v="2"/>
    <x v="3"/>
    <x v="4"/>
    <x v="4"/>
    <x v="1"/>
    <x v="0"/>
    <x v="1"/>
    <x v="2"/>
    <n v="0"/>
    <n v="0"/>
    <n v="0.624"/>
    <n v="0.624"/>
    <n v="0.624"/>
    <n v="0.624"/>
    <n v="1"/>
    <s v="CATIVO"/>
    <n v="0"/>
    <n v="0"/>
    <n v="40"/>
    <n v="84"/>
    <n v="0"/>
    <n v="141.44"/>
    <n v="61.8"/>
    <m/>
    <n v="147.04798364303241"/>
    <n v="80.755470090026847"/>
    <n v="0"/>
    <n v="235.53504000000001"/>
    <n v="0"/>
    <n v="263.9916595260824"/>
    <x v="6"/>
  </r>
  <r>
    <s v="Regular"/>
    <x v="2"/>
    <x v="3"/>
    <x v="4"/>
    <x v="4"/>
    <x v="1"/>
    <x v="0"/>
    <x v="1"/>
    <x v="3"/>
    <n v="0"/>
    <n v="0"/>
    <n v="1373.327"/>
    <n v="1373.327"/>
    <n v="1373.327"/>
    <n v="1373.327"/>
    <n v="2934"/>
    <s v="CATIVO"/>
    <n v="0"/>
    <n v="0"/>
    <n v="40"/>
    <n v="84"/>
    <n v="0"/>
    <n v="141.44"/>
    <n v="61.8"/>
    <m/>
    <n v="147.04798364303241"/>
    <n v="80.755470090026847"/>
    <n v="0"/>
    <n v="518376.00942000007"/>
    <n v="0"/>
    <n v="581004.60545188491"/>
    <x v="6"/>
  </r>
  <r>
    <s v="Refaturamento - Regular"/>
    <x v="2"/>
    <x v="3"/>
    <x v="4"/>
    <x v="4"/>
    <x v="1"/>
    <x v="0"/>
    <x v="1"/>
    <x v="3"/>
    <n v="0"/>
    <n v="0"/>
    <n v="2.96"/>
    <n v="2.96"/>
    <n v="2.96"/>
    <n v="2.96"/>
    <n v="19"/>
    <s v="CATIVO"/>
    <n v="0"/>
    <n v="0"/>
    <n v="40"/>
    <n v="84"/>
    <n v="0"/>
    <n v="141.44"/>
    <n v="61.8"/>
    <m/>
    <n v="147.04798364303241"/>
    <n v="80.755470090026847"/>
    <n v="0"/>
    <n v="1117.2816"/>
    <n v="0"/>
    <n v="1252.2681285211602"/>
    <x v="6"/>
  </r>
  <r>
    <s v="Sistema Isolado - Regular"/>
    <x v="2"/>
    <x v="3"/>
    <x v="4"/>
    <x v="4"/>
    <x v="1"/>
    <x v="0"/>
    <x v="1"/>
    <x v="3"/>
    <n v="0"/>
    <n v="0"/>
    <n v="658.04600000000005"/>
    <n v="658.04600000000005"/>
    <n v="658.04600000000005"/>
    <n v="658.04600000000005"/>
    <n v="1671"/>
    <s v="CATIVO"/>
    <n v="0"/>
    <n v="0"/>
    <n v="40"/>
    <n v="84"/>
    <n v="0"/>
    <n v="141.44"/>
    <n v="61.8"/>
    <m/>
    <n v="147.04798364303241"/>
    <n v="80.755470090026847"/>
    <n v="0"/>
    <n v="248386.04316000003"/>
    <n v="0"/>
    <n v="278395.28138541739"/>
    <x v="6"/>
  </r>
  <r>
    <s v="Sistema Isolado - Refaturamento"/>
    <x v="2"/>
    <x v="3"/>
    <x v="4"/>
    <x v="4"/>
    <x v="1"/>
    <x v="0"/>
    <x v="1"/>
    <x v="3"/>
    <n v="0"/>
    <n v="0"/>
    <n v="-0.13900000000000001"/>
    <n v="-0.13900000000000001"/>
    <n v="-0.13900000000000001"/>
    <n v="-0.13900000000000001"/>
    <n v="2"/>
    <s v="CATIVO"/>
    <n v="0"/>
    <n v="0"/>
    <n v="40"/>
    <n v="84"/>
    <n v="0"/>
    <n v="141.44"/>
    <n v="61.8"/>
    <m/>
    <n v="147.04798364303241"/>
    <n v="80.755470090026847"/>
    <n v="0"/>
    <n v="-52.466940000000008"/>
    <n v="0"/>
    <n v="-58.805834413662595"/>
    <x v="6"/>
  </r>
  <r>
    <s v="Sistema de Compensação"/>
    <x v="2"/>
    <x v="3"/>
    <x v="4"/>
    <x v="4"/>
    <x v="1"/>
    <x v="0"/>
    <x v="1"/>
    <x v="3"/>
    <n v="0"/>
    <n v="0"/>
    <n v="1.86"/>
    <n v="1.86"/>
    <n v="1.86"/>
    <n v="1.86"/>
    <n v="0"/>
    <s v="CATIVO"/>
    <n v="0"/>
    <n v="0"/>
    <n v="40"/>
    <n v="84"/>
    <n v="0"/>
    <n v="141.44"/>
    <n v="61.8"/>
    <m/>
    <n v="147.04798364303241"/>
    <n v="80.755470090026847"/>
    <n v="0"/>
    <n v="702.07560000000012"/>
    <n v="0"/>
    <n v="786.89821589505334"/>
    <x v="6"/>
  </r>
  <r>
    <s v="Regular"/>
    <x v="2"/>
    <x v="3"/>
    <x v="4"/>
    <x v="4"/>
    <x v="1"/>
    <x v="0"/>
    <x v="1"/>
    <x v="4"/>
    <n v="0"/>
    <n v="0"/>
    <n v="1398.9880000000001"/>
    <n v="1398.9880000000001"/>
    <n v="1398.9880000000001"/>
    <n v="1398.9880000000001"/>
    <n v="2757"/>
    <s v="CATIVO"/>
    <n v="0"/>
    <n v="0"/>
    <n v="40"/>
    <n v="84"/>
    <n v="0"/>
    <n v="141.44"/>
    <n v="61.8"/>
    <m/>
    <n v="147.04798364303241"/>
    <n v="80.755470090026847"/>
    <n v="0"/>
    <n v="528062.01048000006"/>
    <n v="0"/>
    <n v="591860.83938633814"/>
    <x v="6"/>
  </r>
  <r>
    <s v="Refaturamento - Regular"/>
    <x v="2"/>
    <x v="3"/>
    <x v="4"/>
    <x v="4"/>
    <x v="1"/>
    <x v="0"/>
    <x v="1"/>
    <x v="4"/>
    <n v="0"/>
    <n v="0"/>
    <n v="3.2320000000000002"/>
    <n v="3.2320000000000002"/>
    <n v="3.2320000000000002"/>
    <n v="3.2320000000000002"/>
    <n v="39"/>
    <s v="CATIVO"/>
    <n v="0"/>
    <n v="0"/>
    <n v="40"/>
    <n v="84"/>
    <n v="0"/>
    <n v="141.44"/>
    <n v="61.8"/>
    <m/>
    <n v="147.04798364303241"/>
    <n v="80.755470090026847"/>
    <n v="0"/>
    <n v="1219.9507200000003"/>
    <n v="0"/>
    <n v="1367.3414160068885"/>
    <x v="6"/>
  </r>
  <r>
    <s v="Sistema Isolado - Regular"/>
    <x v="2"/>
    <x v="3"/>
    <x v="4"/>
    <x v="4"/>
    <x v="1"/>
    <x v="0"/>
    <x v="1"/>
    <x v="4"/>
    <n v="0"/>
    <n v="0"/>
    <n v="674.40800000000002"/>
    <n v="674.40800000000002"/>
    <n v="674.40800000000002"/>
    <n v="674.40800000000002"/>
    <n v="1569"/>
    <s v="CATIVO"/>
    <n v="0"/>
    <n v="0"/>
    <n v="40"/>
    <n v="84"/>
    <n v="0"/>
    <n v="141.44"/>
    <n v="61.8"/>
    <m/>
    <n v="147.04798364303241"/>
    <n v="80.755470090026847"/>
    <n v="0"/>
    <n v="254562.04368000003"/>
    <n v="0"/>
    <n v="285317.44730395224"/>
    <x v="6"/>
  </r>
  <r>
    <s v="Sistema Isolado - Refaturamento"/>
    <x v="2"/>
    <x v="3"/>
    <x v="4"/>
    <x v="4"/>
    <x v="1"/>
    <x v="0"/>
    <x v="1"/>
    <x v="4"/>
    <n v="0"/>
    <n v="0"/>
    <n v="0.439"/>
    <n v="0.439"/>
    <n v="0.439"/>
    <n v="0.439"/>
    <n v="49"/>
    <s v="CATIVO"/>
    <n v="0"/>
    <n v="0"/>
    <n v="40"/>
    <n v="84"/>
    <n v="0"/>
    <n v="141.44"/>
    <n v="61.8"/>
    <m/>
    <n v="147.04798364303241"/>
    <n v="80.755470090026847"/>
    <n v="0"/>
    <n v="165.70494000000002"/>
    <n v="0"/>
    <n v="185.72490149350992"/>
    <x v="6"/>
  </r>
  <r>
    <s v="Sistema de Compensação"/>
    <x v="2"/>
    <x v="3"/>
    <x v="4"/>
    <x v="4"/>
    <x v="1"/>
    <x v="0"/>
    <x v="1"/>
    <x v="4"/>
    <n v="0"/>
    <n v="0"/>
    <n v="1.95"/>
    <n v="1.95"/>
    <n v="1.95"/>
    <n v="1.95"/>
    <n v="0"/>
    <s v="CATIVO"/>
    <n v="0"/>
    <n v="0"/>
    <n v="40"/>
    <n v="84"/>
    <n v="0"/>
    <n v="141.44"/>
    <n v="61.8"/>
    <m/>
    <n v="147.04798364303241"/>
    <n v="80.755470090026847"/>
    <n v="0"/>
    <n v="736.04700000000003"/>
    <n v="0"/>
    <n v="824.97393601900751"/>
    <x v="6"/>
  </r>
  <r>
    <s v="PROJETADO"/>
    <x v="2"/>
    <x v="3"/>
    <x v="4"/>
    <x v="4"/>
    <x v="1"/>
    <x v="0"/>
    <x v="1"/>
    <x v="5"/>
    <n v="0"/>
    <n v="0"/>
    <n v="1398.9880000000001"/>
    <n v="1398.9880000000001"/>
    <n v="1398.9880000000001"/>
    <n v="1398.9880000000001"/>
    <n v="2757"/>
    <s v="CATIVO"/>
    <n v="0"/>
    <n v="0"/>
    <n v="40"/>
    <n v="84"/>
    <n v="0"/>
    <n v="141.44"/>
    <n v="61.8"/>
    <m/>
    <n v="147.04798364303241"/>
    <n v="80.755470090026847"/>
    <n v="0"/>
    <n v="528062.01048000006"/>
    <n v="0"/>
    <n v="591860.83938633814"/>
    <x v="6"/>
  </r>
  <r>
    <s v="PROJETADO"/>
    <x v="2"/>
    <x v="3"/>
    <x v="4"/>
    <x v="4"/>
    <x v="1"/>
    <x v="0"/>
    <x v="1"/>
    <x v="5"/>
    <n v="0"/>
    <n v="0"/>
    <n v="3.2320000000000002"/>
    <n v="3.2320000000000002"/>
    <n v="3.2320000000000002"/>
    <n v="3.2320000000000002"/>
    <n v="39"/>
    <s v="CATIVO"/>
    <n v="0"/>
    <n v="0"/>
    <n v="40"/>
    <n v="84"/>
    <n v="0"/>
    <n v="141.44"/>
    <n v="61.8"/>
    <m/>
    <n v="147.04798364303241"/>
    <n v="80.755470090026847"/>
    <n v="0"/>
    <n v="1219.9507200000003"/>
    <n v="0"/>
    <n v="1367.3414160068885"/>
    <x v="6"/>
  </r>
  <r>
    <s v="PROJETADO"/>
    <x v="2"/>
    <x v="3"/>
    <x v="4"/>
    <x v="4"/>
    <x v="1"/>
    <x v="0"/>
    <x v="1"/>
    <x v="5"/>
    <n v="0"/>
    <n v="0"/>
    <n v="674.40800000000002"/>
    <n v="674.40800000000002"/>
    <n v="674.40800000000002"/>
    <n v="674.40800000000002"/>
    <n v="1569"/>
    <s v="CATIVO"/>
    <n v="0"/>
    <n v="0"/>
    <n v="40"/>
    <n v="84"/>
    <n v="0"/>
    <n v="141.44"/>
    <n v="61.8"/>
    <m/>
    <n v="147.04798364303241"/>
    <n v="80.755470090026847"/>
    <n v="0"/>
    <n v="254562.04368000003"/>
    <n v="0"/>
    <n v="285317.44730395224"/>
    <x v="6"/>
  </r>
  <r>
    <s v="PROJETADO"/>
    <x v="2"/>
    <x v="3"/>
    <x v="4"/>
    <x v="4"/>
    <x v="1"/>
    <x v="0"/>
    <x v="1"/>
    <x v="5"/>
    <n v="0"/>
    <n v="0"/>
    <n v="0.439"/>
    <n v="0.439"/>
    <n v="0.439"/>
    <n v="0.439"/>
    <n v="49"/>
    <s v="CATIVO"/>
    <n v="0"/>
    <n v="0"/>
    <n v="40"/>
    <n v="84"/>
    <n v="0"/>
    <n v="141.44"/>
    <n v="61.8"/>
    <m/>
    <n v="147.04798364303241"/>
    <n v="80.755470090026847"/>
    <n v="0"/>
    <n v="165.70494000000002"/>
    <n v="0"/>
    <n v="185.72490149350992"/>
    <x v="6"/>
  </r>
  <r>
    <s v="PROJETADO"/>
    <x v="2"/>
    <x v="3"/>
    <x v="4"/>
    <x v="4"/>
    <x v="1"/>
    <x v="0"/>
    <x v="1"/>
    <x v="5"/>
    <n v="0"/>
    <n v="0"/>
    <n v="1.95"/>
    <n v="1.95"/>
    <n v="1.95"/>
    <n v="1.95"/>
    <n v="0"/>
    <s v="CATIVO"/>
    <n v="0"/>
    <n v="0"/>
    <n v="40"/>
    <n v="84"/>
    <n v="0"/>
    <n v="141.44"/>
    <n v="61.8"/>
    <m/>
    <n v="147.04798364303241"/>
    <n v="80.755470090026847"/>
    <n v="0"/>
    <n v="736.04700000000003"/>
    <n v="0"/>
    <n v="824.97393601900751"/>
    <x v="6"/>
  </r>
  <r>
    <s v="Regular"/>
    <x v="2"/>
    <x v="3"/>
    <x v="4"/>
    <x v="5"/>
    <x v="1"/>
    <x v="0"/>
    <x v="1"/>
    <x v="9"/>
    <n v="0"/>
    <n v="0"/>
    <n v="2133.8649999999998"/>
    <n v="2133.8649999999998"/>
    <n v="2133.8649999999998"/>
    <n v="2133.8649999999998"/>
    <n v="8045"/>
    <s v="CATIVO"/>
    <n v="0"/>
    <n v="0"/>
    <n v="41"/>
    <n v="85"/>
    <n v="0"/>
    <n v="242.47"/>
    <n v="105.95"/>
    <m/>
    <n v="252.08225767376987"/>
    <n v="138.43794872576032"/>
    <n v="0"/>
    <n v="495654.16220000002"/>
    <n v="0"/>
    <n v="555544.9334858224"/>
    <x v="6"/>
  </r>
  <r>
    <s v="Refaturamento - Regular"/>
    <x v="2"/>
    <x v="3"/>
    <x v="4"/>
    <x v="5"/>
    <x v="1"/>
    <x v="0"/>
    <x v="1"/>
    <x v="9"/>
    <n v="0"/>
    <n v="0"/>
    <n v="-29.978000000000002"/>
    <n v="-29.978000000000002"/>
    <n v="-29.978000000000002"/>
    <n v="-29.978000000000002"/>
    <n v="-33"/>
    <s v="CATIVO"/>
    <n v="0"/>
    <n v="0"/>
    <n v="41"/>
    <n v="85"/>
    <n v="0"/>
    <n v="242.47"/>
    <n v="105.95"/>
    <m/>
    <n v="252.08225767376987"/>
    <n v="138.43794872576032"/>
    <n v="0"/>
    <n v="-6963.2898400000013"/>
    <n v="0"/>
    <n v="-7804.6764982967461"/>
    <x v="6"/>
  </r>
  <r>
    <s v="Sistema Isolado - Regular"/>
    <x v="2"/>
    <x v="3"/>
    <x v="4"/>
    <x v="5"/>
    <x v="1"/>
    <x v="0"/>
    <x v="1"/>
    <x v="9"/>
    <n v="0"/>
    <n v="0"/>
    <n v="1049.431"/>
    <n v="1049.431"/>
    <n v="1049.431"/>
    <n v="1049.431"/>
    <n v="6694"/>
    <s v="CATIVO"/>
    <n v="0"/>
    <n v="0"/>
    <n v="41"/>
    <n v="85"/>
    <n v="0"/>
    <n v="242.47"/>
    <n v="105.95"/>
    <m/>
    <n v="252.08225767376987"/>
    <n v="138.43794872576032"/>
    <n v="0"/>
    <n v="243761.83268000005"/>
    <n v="0"/>
    <n v="273216.00714804366"/>
    <x v="6"/>
  </r>
  <r>
    <s v="Sistema Isolado - Refaturamento"/>
    <x v="2"/>
    <x v="3"/>
    <x v="4"/>
    <x v="5"/>
    <x v="1"/>
    <x v="0"/>
    <x v="1"/>
    <x v="9"/>
    <n v="0"/>
    <n v="0"/>
    <n v="-1.8089999999999999"/>
    <n v="-1.8089999999999999"/>
    <n v="-1.8089999999999999"/>
    <n v="-1.8089999999999999"/>
    <n v="-34"/>
    <s v="CATIVO"/>
    <n v="0"/>
    <n v="0"/>
    <n v="41"/>
    <n v="85"/>
    <n v="0"/>
    <n v="242.47"/>
    <n v="105.95"/>
    <m/>
    <n v="252.08225767376987"/>
    <n v="138.43794872576032"/>
    <n v="0"/>
    <n v="-420.19452000000007"/>
    <n v="0"/>
    <n v="-470.96736891783348"/>
    <x v="6"/>
  </r>
  <r>
    <s v="Sistema de Compensação"/>
    <x v="2"/>
    <x v="3"/>
    <x v="4"/>
    <x v="5"/>
    <x v="1"/>
    <x v="0"/>
    <x v="1"/>
    <x v="9"/>
    <n v="0"/>
    <n v="0"/>
    <n v="1.46"/>
    <n v="1.46"/>
    <n v="1.46"/>
    <n v="1.46"/>
    <n v="0"/>
    <s v="CATIVO"/>
    <n v="0"/>
    <n v="0"/>
    <n v="41"/>
    <n v="85"/>
    <n v="0"/>
    <n v="242.47"/>
    <n v="105.95"/>
    <m/>
    <n v="252.08225767376987"/>
    <n v="138.43794872576032"/>
    <n v="0"/>
    <n v="339.12880000000001"/>
    <n v="0"/>
    <n v="380.10633422887611"/>
    <x v="6"/>
  </r>
  <r>
    <s v="Sistema de Compensação"/>
    <x v="2"/>
    <x v="3"/>
    <x v="4"/>
    <x v="5"/>
    <x v="1"/>
    <x v="0"/>
    <x v="1"/>
    <x v="9"/>
    <n v="0"/>
    <n v="0"/>
    <n v="-7.0000000000000007E-2"/>
    <n v="-7.0000000000000007E-2"/>
    <n v="-7.0000000000000007E-2"/>
    <n v="-7.0000000000000007E-2"/>
    <n v="0"/>
    <s v="CATIVO"/>
    <n v="0"/>
    <n v="0"/>
    <n v="41"/>
    <n v="85"/>
    <n v="0"/>
    <n v="242.47"/>
    <n v="105.95"/>
    <m/>
    <n v="252.08225767376987"/>
    <n v="138.43794872576032"/>
    <n v="0"/>
    <n v="-16.259600000000002"/>
    <n v="0"/>
    <n v="-18.224276298644746"/>
    <x v="6"/>
  </r>
  <r>
    <s v="Regular"/>
    <x v="2"/>
    <x v="3"/>
    <x v="4"/>
    <x v="5"/>
    <x v="1"/>
    <x v="0"/>
    <x v="1"/>
    <x v="10"/>
    <n v="0"/>
    <n v="0"/>
    <n v="2159.6320000000001"/>
    <n v="2159.6320000000001"/>
    <n v="2159.6320000000001"/>
    <n v="2159.6320000000001"/>
    <n v="8160"/>
    <s v="CATIVO"/>
    <n v="0"/>
    <n v="0"/>
    <n v="41"/>
    <n v="85"/>
    <n v="0"/>
    <n v="242.47"/>
    <n v="105.95"/>
    <m/>
    <n v="252.08225767376987"/>
    <n v="138.43794872576032"/>
    <n v="0"/>
    <n v="501639.3209600001"/>
    <n v="0"/>
    <n v="562253.28959135362"/>
    <x v="6"/>
  </r>
  <r>
    <s v="Refaturamento - Regular"/>
    <x v="2"/>
    <x v="3"/>
    <x v="4"/>
    <x v="5"/>
    <x v="1"/>
    <x v="0"/>
    <x v="1"/>
    <x v="10"/>
    <n v="0"/>
    <n v="0"/>
    <n v="-11.404"/>
    <n v="-11.404"/>
    <n v="-11.404"/>
    <n v="-11.404"/>
    <n v="-36"/>
    <s v="CATIVO"/>
    <n v="0"/>
    <n v="0"/>
    <n v="41"/>
    <n v="85"/>
    <n v="0"/>
    <n v="242.47"/>
    <n v="105.95"/>
    <m/>
    <n v="252.08225767376987"/>
    <n v="138.43794872576032"/>
    <n v="0"/>
    <n v="-2648.9211200000004"/>
    <n v="0"/>
    <n v="-2968.9949558534954"/>
    <x v="6"/>
  </r>
  <r>
    <s v="Sistema Isolado - Regular"/>
    <x v="2"/>
    <x v="3"/>
    <x v="4"/>
    <x v="5"/>
    <x v="1"/>
    <x v="0"/>
    <x v="1"/>
    <x v="10"/>
    <n v="0"/>
    <n v="0"/>
    <n v="1060.7249999999999"/>
    <n v="1060.7249999999999"/>
    <n v="1060.7249999999999"/>
    <n v="1060.7249999999999"/>
    <n v="6694"/>
    <s v="CATIVO"/>
    <n v="0"/>
    <n v="0"/>
    <n v="41"/>
    <n v="85"/>
    <n v="0"/>
    <n v="242.47"/>
    <n v="105.95"/>
    <m/>
    <n v="252.08225767376987"/>
    <n v="138.43794872576032"/>
    <n v="0"/>
    <n v="246385.20300000001"/>
    <n v="0"/>
    <n v="276156.36395542778"/>
    <x v="6"/>
  </r>
  <r>
    <s v="Sistema Isolado - Refaturamento"/>
    <x v="2"/>
    <x v="3"/>
    <x v="4"/>
    <x v="5"/>
    <x v="1"/>
    <x v="0"/>
    <x v="1"/>
    <x v="10"/>
    <n v="0"/>
    <n v="0"/>
    <n v="-2.4180000000000001"/>
    <n v="-2.4180000000000001"/>
    <n v="-2.4180000000000001"/>
    <n v="-2.4180000000000001"/>
    <n v="-37"/>
    <s v="CATIVO"/>
    <n v="0"/>
    <n v="0"/>
    <n v="41"/>
    <n v="85"/>
    <n v="0"/>
    <n v="242.47"/>
    <n v="105.95"/>
    <m/>
    <n v="252.08225767376987"/>
    <n v="138.43794872576032"/>
    <n v="0"/>
    <n v="-561.65304000000015"/>
    <n v="0"/>
    <n v="-629.51857271604285"/>
    <x v="6"/>
  </r>
  <r>
    <s v="Sistema de Compensação"/>
    <x v="2"/>
    <x v="3"/>
    <x v="4"/>
    <x v="5"/>
    <x v="1"/>
    <x v="0"/>
    <x v="1"/>
    <x v="10"/>
    <n v="0"/>
    <n v="0"/>
    <n v="1.5229999999999999"/>
    <n v="1.5229999999999999"/>
    <n v="1.5229999999999999"/>
    <n v="1.5229999999999999"/>
    <n v="0"/>
    <s v="CATIVO"/>
    <n v="0"/>
    <n v="0"/>
    <n v="41"/>
    <n v="85"/>
    <n v="0"/>
    <n v="242.47"/>
    <n v="105.95"/>
    <m/>
    <n v="252.08225767376987"/>
    <n v="138.43794872576032"/>
    <n v="0"/>
    <n v="353.76244000000003"/>
    <n v="0"/>
    <n v="396.50818289765635"/>
    <x v="6"/>
  </r>
  <r>
    <s v="Sistema de Compensação"/>
    <x v="2"/>
    <x v="3"/>
    <x v="4"/>
    <x v="5"/>
    <x v="1"/>
    <x v="0"/>
    <x v="1"/>
    <x v="10"/>
    <n v="0"/>
    <n v="0"/>
    <n v="-7.0000000000000007E-2"/>
    <n v="-7.0000000000000007E-2"/>
    <n v="-7.0000000000000007E-2"/>
    <n v="-7.0000000000000007E-2"/>
    <n v="0"/>
    <s v="CATIVO"/>
    <n v="0"/>
    <n v="0"/>
    <n v="41"/>
    <n v="85"/>
    <n v="0"/>
    <n v="242.47"/>
    <n v="105.95"/>
    <m/>
    <n v="252.08225767376987"/>
    <n v="138.43794872576032"/>
    <n v="0"/>
    <n v="-16.259600000000002"/>
    <n v="0"/>
    <n v="-18.224276298644746"/>
    <x v="6"/>
  </r>
  <r>
    <s v="Regular"/>
    <x v="2"/>
    <x v="3"/>
    <x v="4"/>
    <x v="5"/>
    <x v="1"/>
    <x v="0"/>
    <x v="1"/>
    <x v="11"/>
    <n v="0"/>
    <n v="0"/>
    <n v="2301.9749999999999"/>
    <n v="2301.9749999999999"/>
    <n v="2301.9749999999999"/>
    <n v="2301.9749999999999"/>
    <n v="10619"/>
    <s v="CATIVO"/>
    <n v="0"/>
    <n v="0"/>
    <n v="41"/>
    <n v="85"/>
    <n v="0"/>
    <n v="242.47"/>
    <n v="105.95"/>
    <m/>
    <n v="252.08225767376987"/>
    <n v="138.43794872576032"/>
    <n v="0"/>
    <n v="534702.75300000003"/>
    <n v="0"/>
    <n v="599311.83475103904"/>
    <x v="6"/>
  </r>
  <r>
    <s v="Refaturamento - Regular"/>
    <x v="2"/>
    <x v="3"/>
    <x v="4"/>
    <x v="5"/>
    <x v="1"/>
    <x v="0"/>
    <x v="1"/>
    <x v="11"/>
    <n v="0"/>
    <n v="0"/>
    <n v="-11.833"/>
    <n v="-11.833"/>
    <n v="-11.833"/>
    <n v="-11.833"/>
    <n v="-11"/>
    <s v="CATIVO"/>
    <n v="0"/>
    <n v="0"/>
    <n v="41"/>
    <n v="85"/>
    <n v="0"/>
    <n v="242.47"/>
    <n v="105.95"/>
    <m/>
    <n v="252.08225767376987"/>
    <n v="138.43794872576032"/>
    <n v="0"/>
    <n v="-2748.5692400000003"/>
    <n v="0"/>
    <n v="-3080.6837348837612"/>
    <x v="6"/>
  </r>
  <r>
    <s v="Sistema Isolado - Regular"/>
    <x v="2"/>
    <x v="3"/>
    <x v="4"/>
    <x v="5"/>
    <x v="1"/>
    <x v="0"/>
    <x v="1"/>
    <x v="11"/>
    <n v="0"/>
    <n v="0"/>
    <n v="1070.5719999999999"/>
    <n v="1070.5719999999999"/>
    <n v="1070.5719999999999"/>
    <n v="1070.5719999999999"/>
    <n v="7907"/>
    <s v="CATIVO"/>
    <n v="0"/>
    <n v="0"/>
    <n v="41"/>
    <n v="85"/>
    <n v="0"/>
    <n v="242.47"/>
    <n v="105.95"/>
    <m/>
    <n v="252.08225767376987"/>
    <n v="138.43794872576032"/>
    <n v="0"/>
    <n v="248672.46416"/>
    <n v="0"/>
    <n v="278719.99893703859"/>
    <x v="6"/>
  </r>
  <r>
    <s v="Sistema Isolado - Refaturamento"/>
    <x v="2"/>
    <x v="3"/>
    <x v="4"/>
    <x v="5"/>
    <x v="1"/>
    <x v="0"/>
    <x v="1"/>
    <x v="11"/>
    <n v="0"/>
    <n v="0"/>
    <n v="-1.7230000000000001"/>
    <n v="-1.7230000000000001"/>
    <n v="-1.7230000000000001"/>
    <n v="-1.7230000000000001"/>
    <n v="-3"/>
    <s v="CATIVO"/>
    <n v="0"/>
    <n v="0"/>
    <n v="41"/>
    <n v="85"/>
    <n v="0"/>
    <n v="242.47"/>
    <n v="105.95"/>
    <m/>
    <n v="252.08225767376987"/>
    <n v="138.43794872576032"/>
    <n v="0"/>
    <n v="-400.21844000000004"/>
    <n v="0"/>
    <n v="-448.57754375092713"/>
    <x v="6"/>
  </r>
  <r>
    <s v="Sistema de Compensação"/>
    <x v="2"/>
    <x v="3"/>
    <x v="4"/>
    <x v="5"/>
    <x v="1"/>
    <x v="0"/>
    <x v="1"/>
    <x v="11"/>
    <n v="0"/>
    <n v="0"/>
    <n v="1.607"/>
    <n v="1.607"/>
    <n v="1.607"/>
    <n v="1.607"/>
    <n v="0"/>
    <s v="CATIVO"/>
    <n v="0"/>
    <n v="0"/>
    <n v="41"/>
    <n v="85"/>
    <n v="0"/>
    <n v="242.47"/>
    <n v="105.95"/>
    <m/>
    <n v="252.08225767376987"/>
    <n v="138.43794872576032"/>
    <n v="0"/>
    <n v="373.27396000000005"/>
    <n v="0"/>
    <n v="418.37731445603009"/>
    <x v="6"/>
  </r>
  <r>
    <s v="Sistema de Compensação"/>
    <x v="2"/>
    <x v="3"/>
    <x v="4"/>
    <x v="5"/>
    <x v="1"/>
    <x v="0"/>
    <x v="1"/>
    <x v="11"/>
    <n v="0"/>
    <n v="0"/>
    <n v="-7.0000000000000007E-2"/>
    <n v="-7.0000000000000007E-2"/>
    <n v="-7.0000000000000007E-2"/>
    <n v="-7.0000000000000007E-2"/>
    <n v="0"/>
    <s v="CATIVO"/>
    <n v="0"/>
    <n v="0"/>
    <n v="41"/>
    <n v="85"/>
    <n v="0"/>
    <n v="242.47"/>
    <n v="105.95"/>
    <m/>
    <n v="252.08225767376987"/>
    <n v="138.43794872576032"/>
    <n v="0"/>
    <n v="-16.259600000000002"/>
    <n v="0"/>
    <n v="-18.224276298644746"/>
    <x v="6"/>
  </r>
  <r>
    <s v="Regular"/>
    <x v="2"/>
    <x v="3"/>
    <x v="4"/>
    <x v="5"/>
    <x v="1"/>
    <x v="0"/>
    <x v="1"/>
    <x v="6"/>
    <n v="0"/>
    <n v="0"/>
    <n v="2431.069"/>
    <n v="2431.069"/>
    <n v="2431.069"/>
    <n v="2431.069"/>
    <n v="10017"/>
    <s v="CATIVO"/>
    <n v="0"/>
    <n v="0"/>
    <n v="41"/>
    <n v="85"/>
    <n v="0"/>
    <n v="242.47"/>
    <n v="105.95"/>
    <m/>
    <n v="252.08225767376987"/>
    <n v="138.43794872576032"/>
    <n v="0"/>
    <n v="564688.70732000005"/>
    <n v="0"/>
    <n v="632921.04510099976"/>
    <x v="6"/>
  </r>
  <r>
    <s v="Refaturamento - Regular"/>
    <x v="2"/>
    <x v="3"/>
    <x v="4"/>
    <x v="5"/>
    <x v="1"/>
    <x v="0"/>
    <x v="1"/>
    <x v="6"/>
    <n v="0"/>
    <n v="0"/>
    <n v="-18.042999999999999"/>
    <n v="-18.042999999999999"/>
    <n v="-18.042999999999999"/>
    <n v="-18.042999999999999"/>
    <n v="-5"/>
    <s v="CATIVO"/>
    <n v="0"/>
    <n v="0"/>
    <n v="41"/>
    <n v="85"/>
    <n v="0"/>
    <n v="242.47"/>
    <n v="105.95"/>
    <m/>
    <n v="252.08225767376987"/>
    <n v="138.43794872576032"/>
    <n v="0"/>
    <n v="-4191.0280400000001"/>
    <n v="0"/>
    <n v="-4697.4373893778156"/>
    <x v="6"/>
  </r>
  <r>
    <s v="Sistema Isolado - Regular"/>
    <x v="2"/>
    <x v="3"/>
    <x v="4"/>
    <x v="5"/>
    <x v="1"/>
    <x v="0"/>
    <x v="1"/>
    <x v="6"/>
    <n v="0"/>
    <n v="0"/>
    <n v="1100.816"/>
    <n v="1100.816"/>
    <n v="1100.816"/>
    <n v="1100.816"/>
    <n v="7501"/>
    <s v="CATIVO"/>
    <n v="0"/>
    <n v="0"/>
    <n v="41"/>
    <n v="85"/>
    <n v="0"/>
    <n v="242.47"/>
    <n v="105.95"/>
    <m/>
    <n v="252.08225767376987"/>
    <n v="138.43794872576032"/>
    <n v="0"/>
    <n v="255697.54048000005"/>
    <n v="0"/>
    <n v="286593.9276852702"/>
    <x v="6"/>
  </r>
  <r>
    <s v="Sistema Isolado - Refaturamento"/>
    <x v="2"/>
    <x v="3"/>
    <x v="4"/>
    <x v="5"/>
    <x v="1"/>
    <x v="0"/>
    <x v="1"/>
    <x v="6"/>
    <n v="0"/>
    <n v="0"/>
    <n v="-2.6819999999999999"/>
    <n v="-2.6819999999999999"/>
    <n v="-2.6819999999999999"/>
    <n v="-2.6819999999999999"/>
    <n v="-31"/>
    <s v="CATIVO"/>
    <n v="0"/>
    <n v="0"/>
    <n v="41"/>
    <n v="85"/>
    <n v="0"/>
    <n v="242.47"/>
    <n v="105.95"/>
    <m/>
    <n v="252.08225767376987"/>
    <n v="138.43794872576032"/>
    <n v="0"/>
    <n v="-622.97496000000001"/>
    <n v="0"/>
    <n v="-698.25012904236007"/>
    <x v="6"/>
  </r>
  <r>
    <s v="Sistema de Compensação"/>
    <x v="2"/>
    <x v="3"/>
    <x v="4"/>
    <x v="5"/>
    <x v="1"/>
    <x v="0"/>
    <x v="1"/>
    <x v="6"/>
    <n v="0"/>
    <n v="0"/>
    <n v="1.8180000000000001"/>
    <n v="1.8180000000000001"/>
    <n v="1.8180000000000001"/>
    <n v="1.8180000000000001"/>
    <n v="1"/>
    <s v="CATIVO"/>
    <n v="0"/>
    <n v="0"/>
    <n v="41"/>
    <n v="85"/>
    <n v="0"/>
    <n v="242.47"/>
    <n v="105.95"/>
    <m/>
    <n v="252.08225767376987"/>
    <n v="138.43794872576032"/>
    <n v="0"/>
    <n v="422.28504000000009"/>
    <n v="0"/>
    <n v="473.31049015623068"/>
    <x v="6"/>
  </r>
  <r>
    <s v="Regular"/>
    <x v="2"/>
    <x v="3"/>
    <x v="4"/>
    <x v="5"/>
    <x v="1"/>
    <x v="0"/>
    <x v="1"/>
    <x v="7"/>
    <n v="0"/>
    <n v="0"/>
    <n v="2521.8629999999998"/>
    <n v="2521.8629999999998"/>
    <n v="2521.8629999999998"/>
    <n v="2521.8629999999998"/>
    <n v="10413"/>
    <s v="CATIVO"/>
    <n v="0"/>
    <n v="0"/>
    <n v="41"/>
    <n v="85"/>
    <n v="0"/>
    <n v="242.47"/>
    <n v="105.95"/>
    <m/>
    <n v="252.08225767376987"/>
    <n v="138.43794872576032"/>
    <n v="0"/>
    <n v="585778.33764000004"/>
    <n v="0"/>
    <n v="656558.97284755902"/>
    <x v="6"/>
  </r>
  <r>
    <s v="Refaturamento - Regular"/>
    <x v="2"/>
    <x v="3"/>
    <x v="4"/>
    <x v="5"/>
    <x v="1"/>
    <x v="0"/>
    <x v="1"/>
    <x v="7"/>
    <n v="0"/>
    <n v="0"/>
    <n v="-9.798"/>
    <n v="-9.798"/>
    <n v="-9.798"/>
    <n v="-9.798"/>
    <n v="-7"/>
    <s v="CATIVO"/>
    <n v="0"/>
    <n v="0"/>
    <n v="41"/>
    <n v="85"/>
    <n v="0"/>
    <n v="242.47"/>
    <n v="105.95"/>
    <m/>
    <n v="252.08225767376987"/>
    <n v="138.43794872576032"/>
    <n v="0"/>
    <n v="-2275.8794400000002"/>
    <n v="0"/>
    <n v="-2550.8779882017316"/>
    <x v="6"/>
  </r>
  <r>
    <s v="Sistema Isolado - Regular"/>
    <x v="2"/>
    <x v="3"/>
    <x v="4"/>
    <x v="5"/>
    <x v="1"/>
    <x v="0"/>
    <x v="1"/>
    <x v="7"/>
    <n v="0"/>
    <n v="0"/>
    <n v="1131.9100000000001"/>
    <n v="1131.9100000000001"/>
    <n v="1131.9100000000001"/>
    <n v="1131.9100000000001"/>
    <n v="7524"/>
    <s v="CATIVO"/>
    <n v="0"/>
    <n v="0"/>
    <n v="41"/>
    <n v="85"/>
    <n v="0"/>
    <n v="242.47"/>
    <n v="105.95"/>
    <m/>
    <n v="252.08225767376987"/>
    <n v="138.43794872576032"/>
    <n v="0"/>
    <n v="262920.05480000004"/>
    <n v="0"/>
    <n v="294689.15121712821"/>
    <x v="6"/>
  </r>
  <r>
    <s v="Sistema Isolado - Refaturamento"/>
    <x v="2"/>
    <x v="3"/>
    <x v="4"/>
    <x v="5"/>
    <x v="1"/>
    <x v="0"/>
    <x v="1"/>
    <x v="7"/>
    <n v="0"/>
    <n v="0"/>
    <n v="-6.3710000000000004"/>
    <n v="-6.3710000000000004"/>
    <n v="-6.3710000000000004"/>
    <n v="-6.3710000000000004"/>
    <n v="-108"/>
    <s v="CATIVO"/>
    <n v="0"/>
    <n v="0"/>
    <n v="41"/>
    <n v="85"/>
    <n v="0"/>
    <n v="242.47"/>
    <n v="105.95"/>
    <m/>
    <n v="252.08225767376987"/>
    <n v="138.43794872576032"/>
    <n v="0"/>
    <n v="-1479.8558800000003"/>
    <n v="0"/>
    <n v="-1658.6694899809384"/>
    <x v="6"/>
  </r>
  <r>
    <s v="Sistema de Compensação"/>
    <x v="2"/>
    <x v="3"/>
    <x v="4"/>
    <x v="5"/>
    <x v="1"/>
    <x v="0"/>
    <x v="1"/>
    <x v="7"/>
    <n v="0"/>
    <n v="0"/>
    <n v="1.722"/>
    <n v="1.722"/>
    <n v="1.722"/>
    <n v="1.722"/>
    <n v="1"/>
    <s v="CATIVO"/>
    <n v="0"/>
    <n v="0"/>
    <n v="41"/>
    <n v="85"/>
    <n v="0"/>
    <n v="242.47"/>
    <n v="105.95"/>
    <m/>
    <n v="252.08225767376987"/>
    <n v="138.43794872576032"/>
    <n v="0"/>
    <n v="399.98616000000004"/>
    <n v="0"/>
    <n v="448.31719694666072"/>
    <x v="6"/>
  </r>
  <r>
    <s v="Regular"/>
    <x v="2"/>
    <x v="3"/>
    <x v="4"/>
    <x v="5"/>
    <x v="1"/>
    <x v="0"/>
    <x v="1"/>
    <x v="8"/>
    <n v="0"/>
    <n v="0"/>
    <n v="2471.2730000000001"/>
    <n v="2471.2730000000001"/>
    <n v="2471.2730000000001"/>
    <n v="2471.2730000000001"/>
    <n v="10459"/>
    <s v="CATIVO"/>
    <n v="0"/>
    <n v="0"/>
    <n v="41"/>
    <n v="85"/>
    <n v="0"/>
    <n v="242.47"/>
    <n v="105.95"/>
    <m/>
    <n v="252.08225767376987"/>
    <n v="138.43794872576032"/>
    <n v="0"/>
    <n v="574027.29244000011"/>
    <n v="0"/>
    <n v="643388.0280197243"/>
    <x v="6"/>
  </r>
  <r>
    <s v="Refaturamento - Regular"/>
    <x v="2"/>
    <x v="3"/>
    <x v="4"/>
    <x v="5"/>
    <x v="1"/>
    <x v="0"/>
    <x v="1"/>
    <x v="8"/>
    <n v="0"/>
    <n v="0"/>
    <n v="-10.853"/>
    <n v="-10.853"/>
    <n v="-10.853"/>
    <n v="-10.853"/>
    <n v="-3"/>
    <s v="CATIVO"/>
    <n v="0"/>
    <n v="0"/>
    <n v="41"/>
    <n v="85"/>
    <n v="0"/>
    <n v="242.47"/>
    <n v="105.95"/>
    <m/>
    <n v="252.08225767376987"/>
    <n v="138.43794872576032"/>
    <n v="0"/>
    <n v="-2520.9348400000003"/>
    <n v="0"/>
    <n v="-2825.5438667027347"/>
    <x v="6"/>
  </r>
  <r>
    <s v="Sistema Isolado - Regular"/>
    <x v="2"/>
    <x v="3"/>
    <x v="4"/>
    <x v="5"/>
    <x v="1"/>
    <x v="0"/>
    <x v="1"/>
    <x v="8"/>
    <n v="0"/>
    <n v="0"/>
    <n v="1102.3599999999999"/>
    <n v="1102.3599999999999"/>
    <n v="1102.3599999999999"/>
    <n v="1102.3599999999999"/>
    <n v="7805"/>
    <s v="CATIVO"/>
    <n v="0"/>
    <n v="0"/>
    <n v="41"/>
    <n v="85"/>
    <n v="0"/>
    <n v="242.47"/>
    <n v="105.95"/>
    <m/>
    <n v="252.08225767376987"/>
    <n v="138.43794872576032"/>
    <n v="0"/>
    <n v="256056.1808"/>
    <n v="0"/>
    <n v="286995.90315105743"/>
    <x v="6"/>
  </r>
  <r>
    <s v="Sistema Isolado - Refaturamento"/>
    <x v="2"/>
    <x v="3"/>
    <x v="4"/>
    <x v="5"/>
    <x v="1"/>
    <x v="0"/>
    <x v="1"/>
    <x v="8"/>
    <n v="0"/>
    <n v="0"/>
    <n v="-3.1150000000000002"/>
    <n v="-3.1150000000000002"/>
    <n v="-3.1150000000000002"/>
    <n v="-3.1150000000000002"/>
    <n v="-99"/>
    <s v="CATIVO"/>
    <n v="0"/>
    <n v="0"/>
    <n v="41"/>
    <n v="85"/>
    <n v="0"/>
    <n v="242.47"/>
    <n v="105.95"/>
    <m/>
    <n v="252.08225767376987"/>
    <n v="138.43794872576032"/>
    <n v="0"/>
    <n v="-723.5522000000002"/>
    <n v="0"/>
    <n v="-810.98029528969118"/>
    <x v="6"/>
  </r>
  <r>
    <s v="Sistema de Compensação"/>
    <x v="2"/>
    <x v="3"/>
    <x v="4"/>
    <x v="5"/>
    <x v="1"/>
    <x v="0"/>
    <x v="1"/>
    <x v="8"/>
    <n v="0"/>
    <n v="0"/>
    <n v="1.6970000000000001"/>
    <n v="1.6970000000000001"/>
    <n v="1.6970000000000001"/>
    <n v="1.6970000000000001"/>
    <n v="1"/>
    <s v="CATIVO"/>
    <n v="0"/>
    <n v="0"/>
    <n v="41"/>
    <n v="85"/>
    <n v="0"/>
    <n v="242.47"/>
    <n v="105.95"/>
    <m/>
    <n v="252.08225767376987"/>
    <n v="138.43794872576032"/>
    <n v="0"/>
    <n v="394.17916000000008"/>
    <n v="0"/>
    <n v="441.80852684000189"/>
    <x v="6"/>
  </r>
  <r>
    <s v="Regular"/>
    <x v="2"/>
    <x v="3"/>
    <x v="4"/>
    <x v="5"/>
    <x v="1"/>
    <x v="0"/>
    <x v="1"/>
    <x v="0"/>
    <n v="0"/>
    <n v="0"/>
    <n v="2481.6579999999999"/>
    <n v="2481.6579999999999"/>
    <n v="2481.6579999999999"/>
    <n v="2481.6579999999999"/>
    <n v="11949"/>
    <s v="CATIVO"/>
    <n v="0"/>
    <n v="0"/>
    <n v="41"/>
    <n v="85"/>
    <n v="0"/>
    <n v="242.47"/>
    <n v="105.95"/>
    <m/>
    <n v="252.08225767376987"/>
    <n v="138.43794872576032"/>
    <n v="0"/>
    <n v="576439.5202400001"/>
    <n v="0"/>
    <n v="646091.72958203033"/>
    <x v="6"/>
  </r>
  <r>
    <s v="Refaturamento - Regular"/>
    <x v="2"/>
    <x v="3"/>
    <x v="4"/>
    <x v="5"/>
    <x v="1"/>
    <x v="0"/>
    <x v="1"/>
    <x v="0"/>
    <n v="0"/>
    <n v="0"/>
    <n v="-4.3730000000000002"/>
    <n v="-4.3730000000000002"/>
    <n v="-4.3730000000000002"/>
    <n v="-4.3730000000000002"/>
    <n v="-11"/>
    <s v="CATIVO"/>
    <n v="0"/>
    <n v="0"/>
    <n v="41"/>
    <n v="85"/>
    <n v="0"/>
    <n v="242.47"/>
    <n v="105.95"/>
    <m/>
    <n v="252.08225767376987"/>
    <n v="138.43794872576032"/>
    <n v="0"/>
    <n v="-1015.7604400000001"/>
    <n v="0"/>
    <n v="-1138.496575056764"/>
    <x v="6"/>
  </r>
  <r>
    <s v="Sistema Isolado - Regular"/>
    <x v="2"/>
    <x v="3"/>
    <x v="4"/>
    <x v="5"/>
    <x v="1"/>
    <x v="0"/>
    <x v="1"/>
    <x v="0"/>
    <n v="0"/>
    <n v="0"/>
    <n v="1104.2239999999999"/>
    <n v="1104.2239999999999"/>
    <n v="1104.2239999999999"/>
    <n v="1104.2239999999999"/>
    <n v="8313"/>
    <s v="CATIVO"/>
    <n v="0"/>
    <n v="0"/>
    <n v="41"/>
    <n v="85"/>
    <n v="0"/>
    <n v="242.47"/>
    <n v="105.95"/>
    <m/>
    <n v="252.08225767376987"/>
    <n v="138.43794872576032"/>
    <n v="0"/>
    <n v="256489.15072000001"/>
    <n v="0"/>
    <n v="287481.18959420989"/>
    <x v="6"/>
  </r>
  <r>
    <s v="Sistema Isolado - Refaturamento"/>
    <x v="2"/>
    <x v="3"/>
    <x v="4"/>
    <x v="5"/>
    <x v="1"/>
    <x v="0"/>
    <x v="1"/>
    <x v="0"/>
    <n v="0"/>
    <n v="0"/>
    <n v="-0.39600000000000002"/>
    <n v="-0.39600000000000002"/>
    <n v="-0.39600000000000002"/>
    <n v="-0.39600000000000002"/>
    <n v="-7"/>
    <s v="CATIVO"/>
    <n v="0"/>
    <n v="0"/>
    <n v="41"/>
    <n v="85"/>
    <n v="0"/>
    <n v="242.47"/>
    <n v="105.95"/>
    <m/>
    <n v="252.08225767376987"/>
    <n v="138.43794872576032"/>
    <n v="0"/>
    <n v="-91.982880000000023"/>
    <n v="0"/>
    <n v="-103.097334489476"/>
    <x v="6"/>
  </r>
  <r>
    <s v="Sistema de Compensação"/>
    <x v="2"/>
    <x v="3"/>
    <x v="4"/>
    <x v="5"/>
    <x v="1"/>
    <x v="0"/>
    <x v="1"/>
    <x v="0"/>
    <n v="0"/>
    <n v="0"/>
    <n v="1.655"/>
    <n v="1.655"/>
    <n v="1.655"/>
    <n v="1.655"/>
    <n v="1"/>
    <s v="CATIVO"/>
    <n v="0"/>
    <n v="0"/>
    <n v="41"/>
    <n v="85"/>
    <n v="0"/>
    <n v="242.47"/>
    <n v="105.95"/>
    <m/>
    <n v="252.08225767376987"/>
    <n v="138.43794872576032"/>
    <n v="0"/>
    <n v="384.42340000000007"/>
    <n v="0"/>
    <n v="430.87396106081508"/>
    <x v="6"/>
  </r>
  <r>
    <s v="Regular"/>
    <x v="2"/>
    <x v="3"/>
    <x v="4"/>
    <x v="5"/>
    <x v="1"/>
    <x v="0"/>
    <x v="1"/>
    <x v="1"/>
    <n v="0"/>
    <n v="0"/>
    <n v="2615.866"/>
    <n v="2615.866"/>
    <n v="2615.866"/>
    <n v="2615.866"/>
    <n v="10528"/>
    <s v="CATIVO"/>
    <n v="0"/>
    <n v="0"/>
    <n v="41"/>
    <n v="85"/>
    <n v="0"/>
    <n v="242.47"/>
    <n v="105.95"/>
    <m/>
    <n v="252.08225767376987"/>
    <n v="138.43794872576032"/>
    <n v="0"/>
    <n v="607613.3544800001"/>
    <n v="0"/>
    <n v="681032.35348900908"/>
    <x v="6"/>
  </r>
  <r>
    <s v="Refaturamento - Regular"/>
    <x v="2"/>
    <x v="3"/>
    <x v="4"/>
    <x v="5"/>
    <x v="1"/>
    <x v="0"/>
    <x v="1"/>
    <x v="1"/>
    <n v="0"/>
    <n v="0"/>
    <n v="-4.8159999999999998"/>
    <n v="-4.8159999999999998"/>
    <n v="-4.8159999999999998"/>
    <n v="-4.8159999999999998"/>
    <n v="-9"/>
    <s v="CATIVO"/>
    <n v="0"/>
    <n v="0"/>
    <n v="41"/>
    <n v="85"/>
    <n v="0"/>
    <n v="242.47"/>
    <n v="105.95"/>
    <m/>
    <n v="252.08225767376987"/>
    <n v="138.43794872576032"/>
    <n v="0"/>
    <n v="-1118.66048"/>
    <n v="0"/>
    <n v="-1253.8302093467585"/>
    <x v="6"/>
  </r>
  <r>
    <s v="Sistema Isolado - Regular"/>
    <x v="2"/>
    <x v="3"/>
    <x v="4"/>
    <x v="5"/>
    <x v="1"/>
    <x v="0"/>
    <x v="1"/>
    <x v="1"/>
    <n v="0"/>
    <n v="0"/>
    <n v="1186.0730000000001"/>
    <n v="1186.0730000000001"/>
    <n v="1186.0730000000001"/>
    <n v="1186.0730000000001"/>
    <n v="7615"/>
    <s v="CATIVO"/>
    <n v="0"/>
    <n v="0"/>
    <n v="41"/>
    <n v="85"/>
    <n v="0"/>
    <n v="242.47"/>
    <n v="105.95"/>
    <m/>
    <n v="252.08225767376987"/>
    <n v="138.43794872576032"/>
    <n v="0"/>
    <n v="275501.03644000005"/>
    <n v="0"/>
    <n v="308790.3151766067"/>
    <x v="6"/>
  </r>
  <r>
    <s v="Sistema Isolado - Refaturamento"/>
    <x v="2"/>
    <x v="3"/>
    <x v="4"/>
    <x v="5"/>
    <x v="1"/>
    <x v="0"/>
    <x v="1"/>
    <x v="1"/>
    <n v="0"/>
    <n v="0"/>
    <n v="-0.629"/>
    <n v="-0.629"/>
    <n v="-0.629"/>
    <n v="-0.629"/>
    <n v="-10"/>
    <s v="CATIVO"/>
    <n v="0"/>
    <n v="0"/>
    <n v="41"/>
    <n v="85"/>
    <n v="0"/>
    <n v="242.47"/>
    <n v="105.95"/>
    <m/>
    <n v="252.08225767376987"/>
    <n v="138.43794872576032"/>
    <n v="0"/>
    <n v="-146.10412000000002"/>
    <n v="0"/>
    <n v="-163.75813988353636"/>
    <x v="6"/>
  </r>
  <r>
    <s v="Sistema de Compensação"/>
    <x v="2"/>
    <x v="3"/>
    <x v="4"/>
    <x v="5"/>
    <x v="1"/>
    <x v="0"/>
    <x v="1"/>
    <x v="1"/>
    <n v="0"/>
    <n v="0"/>
    <n v="1.877"/>
    <n v="1.877"/>
    <n v="1.877"/>
    <n v="1.877"/>
    <n v="1"/>
    <s v="CATIVO"/>
    <n v="0"/>
    <n v="0"/>
    <n v="41"/>
    <n v="85"/>
    <n v="0"/>
    <n v="242.47"/>
    <n v="105.95"/>
    <m/>
    <n v="252.08225767376987"/>
    <n v="138.43794872576032"/>
    <n v="0"/>
    <n v="435.98956000000004"/>
    <n v="0"/>
    <n v="488.67095160794554"/>
    <x v="6"/>
  </r>
  <r>
    <s v="Regular"/>
    <x v="2"/>
    <x v="3"/>
    <x v="4"/>
    <x v="5"/>
    <x v="1"/>
    <x v="0"/>
    <x v="1"/>
    <x v="2"/>
    <n v="0"/>
    <n v="0"/>
    <n v="2214.701"/>
    <n v="2214.701"/>
    <n v="2214.701"/>
    <n v="2214.701"/>
    <n v="6120"/>
    <s v="CATIVO"/>
    <n v="0"/>
    <n v="0"/>
    <n v="41"/>
    <n v="85"/>
    <n v="0"/>
    <n v="242.47"/>
    <n v="105.95"/>
    <m/>
    <n v="252.08225767376987"/>
    <n v="138.43794872576032"/>
    <n v="0"/>
    <n v="514430.74828000006"/>
    <n v="0"/>
    <n v="576590.32775549742"/>
    <x v="6"/>
  </r>
  <r>
    <s v="Refaturamento - Regular"/>
    <x v="2"/>
    <x v="3"/>
    <x v="4"/>
    <x v="5"/>
    <x v="1"/>
    <x v="0"/>
    <x v="1"/>
    <x v="2"/>
    <n v="0"/>
    <n v="0"/>
    <n v="-2.077"/>
    <n v="-2.077"/>
    <n v="-2.077"/>
    <n v="-2.077"/>
    <n v="-4"/>
    <s v="CATIVO"/>
    <n v="0"/>
    <n v="0"/>
    <n v="41"/>
    <n v="85"/>
    <n v="0"/>
    <n v="242.47"/>
    <n v="105.95"/>
    <m/>
    <n v="252.08225767376987"/>
    <n v="138.43794872576032"/>
    <n v="0"/>
    <n v="-482.44556000000006"/>
    <n v="0"/>
    <n v="-540.74031246121626"/>
    <x v="6"/>
  </r>
  <r>
    <s v="Sistema Isolado - Regular"/>
    <x v="2"/>
    <x v="3"/>
    <x v="4"/>
    <x v="5"/>
    <x v="1"/>
    <x v="0"/>
    <x v="1"/>
    <x v="2"/>
    <n v="0"/>
    <n v="0"/>
    <n v="1644.7819999999999"/>
    <n v="1644.7819999999999"/>
    <n v="1644.7819999999999"/>
    <n v="1644.7819999999999"/>
    <n v="11294"/>
    <s v="CATIVO"/>
    <n v="0"/>
    <n v="0"/>
    <n v="41"/>
    <n v="85"/>
    <n v="0"/>
    <n v="242.47"/>
    <n v="105.95"/>
    <m/>
    <n v="252.08225767376987"/>
    <n v="138.43794872576032"/>
    <n v="0"/>
    <n v="382049.96296000003"/>
    <n v="0"/>
    <n v="428213.7374148214"/>
    <x v="6"/>
  </r>
  <r>
    <s v="Sistema Isolado - Refaturamento"/>
    <x v="2"/>
    <x v="3"/>
    <x v="4"/>
    <x v="5"/>
    <x v="1"/>
    <x v="0"/>
    <x v="1"/>
    <x v="2"/>
    <n v="0"/>
    <n v="0"/>
    <n v="-1.8680000000000001"/>
    <n v="-1.8680000000000001"/>
    <n v="-1.8680000000000001"/>
    <n v="-1.8680000000000001"/>
    <n v="-14"/>
    <s v="CATIVO"/>
    <n v="0"/>
    <n v="0"/>
    <n v="41"/>
    <n v="85"/>
    <n v="0"/>
    <n v="242.47"/>
    <n v="105.95"/>
    <m/>
    <n v="252.08225767376987"/>
    <n v="138.43794872576032"/>
    <n v="0"/>
    <n v="-433.89904000000007"/>
    <n v="0"/>
    <n v="-486.32783036954839"/>
    <x v="6"/>
  </r>
  <r>
    <s v="Sistema de Compensação"/>
    <x v="2"/>
    <x v="3"/>
    <x v="4"/>
    <x v="5"/>
    <x v="1"/>
    <x v="0"/>
    <x v="1"/>
    <x v="2"/>
    <n v="0"/>
    <n v="0"/>
    <n v="2.0299999999999998"/>
    <n v="2.0299999999999998"/>
    <n v="2.0299999999999998"/>
    <n v="2.0299999999999998"/>
    <n v="0"/>
    <s v="CATIVO"/>
    <n v="0"/>
    <n v="0"/>
    <n v="41"/>
    <n v="85"/>
    <n v="0"/>
    <n v="242.47"/>
    <n v="105.95"/>
    <m/>
    <n v="252.08225767376987"/>
    <n v="138.43794872576032"/>
    <n v="0"/>
    <n v="471.52840000000003"/>
    <n v="0"/>
    <n v="528.50401266069753"/>
    <x v="6"/>
  </r>
  <r>
    <s v="Sistema de Compensação"/>
    <x v="2"/>
    <x v="3"/>
    <x v="4"/>
    <x v="5"/>
    <x v="1"/>
    <x v="0"/>
    <x v="1"/>
    <x v="2"/>
    <n v="0"/>
    <n v="0"/>
    <n v="-0.02"/>
    <n v="-0.02"/>
    <n v="-0.02"/>
    <n v="-0.02"/>
    <n v="0"/>
    <s v="CATIVO"/>
    <n v="0"/>
    <n v="0"/>
    <n v="41"/>
    <n v="85"/>
    <n v="0"/>
    <n v="242.47"/>
    <n v="105.95"/>
    <m/>
    <n v="252.08225767376987"/>
    <n v="138.43794872576032"/>
    <n v="0"/>
    <n v="-4.6456000000000008"/>
    <n v="0"/>
    <n v="-5.2069360853270705"/>
    <x v="6"/>
  </r>
  <r>
    <s v="Regular"/>
    <x v="2"/>
    <x v="3"/>
    <x v="4"/>
    <x v="5"/>
    <x v="1"/>
    <x v="0"/>
    <x v="1"/>
    <x v="3"/>
    <n v="0"/>
    <n v="0"/>
    <n v="2698.616"/>
    <n v="2698.616"/>
    <n v="2698.616"/>
    <n v="2698.616"/>
    <n v="10741"/>
    <s v="CATIVO"/>
    <n v="0"/>
    <n v="0"/>
    <n v="41"/>
    <n v="85"/>
    <n v="0"/>
    <n v="242.47"/>
    <n v="105.95"/>
    <m/>
    <n v="252.08225767376987"/>
    <n v="138.43794872576032"/>
    <n v="0"/>
    <n v="626834.52448000002"/>
    <n v="0"/>
    <n v="702576.05154204986"/>
    <x v="6"/>
  </r>
  <r>
    <s v="Refaturamento - Regular"/>
    <x v="2"/>
    <x v="3"/>
    <x v="4"/>
    <x v="5"/>
    <x v="1"/>
    <x v="0"/>
    <x v="1"/>
    <x v="3"/>
    <n v="0"/>
    <n v="0"/>
    <n v="-4.7080000000000002"/>
    <n v="-4.7080000000000002"/>
    <n v="-4.7080000000000002"/>
    <n v="-4.7080000000000002"/>
    <n v="0"/>
    <s v="CATIVO"/>
    <n v="0"/>
    <n v="0"/>
    <n v="41"/>
    <n v="85"/>
    <n v="0"/>
    <n v="242.47"/>
    <n v="105.95"/>
    <m/>
    <n v="252.08225767376987"/>
    <n v="138.43794872576032"/>
    <n v="0"/>
    <n v="-1093.5742400000001"/>
    <n v="0"/>
    <n v="-1225.7127544859923"/>
    <x v="6"/>
  </r>
  <r>
    <s v="Sistema Isolado - Regular"/>
    <x v="2"/>
    <x v="3"/>
    <x v="4"/>
    <x v="5"/>
    <x v="1"/>
    <x v="0"/>
    <x v="1"/>
    <x v="3"/>
    <n v="0"/>
    <n v="0"/>
    <n v="1204.258"/>
    <n v="1204.258"/>
    <n v="1204.258"/>
    <n v="1204.258"/>
    <n v="7781"/>
    <s v="CATIVO"/>
    <n v="0"/>
    <n v="0"/>
    <n v="41"/>
    <n v="85"/>
    <n v="0"/>
    <n v="242.47"/>
    <n v="105.95"/>
    <m/>
    <n v="252.08225767376987"/>
    <n v="138.43794872576032"/>
    <n v="0"/>
    <n v="279725.04824000003"/>
    <n v="0"/>
    <n v="313524.72181219037"/>
    <x v="6"/>
  </r>
  <r>
    <s v="Sistema Isolado - Refaturamento"/>
    <x v="2"/>
    <x v="3"/>
    <x v="4"/>
    <x v="5"/>
    <x v="1"/>
    <x v="0"/>
    <x v="1"/>
    <x v="3"/>
    <n v="0"/>
    <n v="0"/>
    <n v="-0.36"/>
    <n v="-0.36"/>
    <n v="-0.36"/>
    <n v="-0.36"/>
    <n v="-4"/>
    <s v="CATIVO"/>
    <n v="0"/>
    <n v="0"/>
    <n v="41"/>
    <n v="85"/>
    <n v="0"/>
    <n v="242.47"/>
    <n v="105.95"/>
    <m/>
    <n v="252.08225767376987"/>
    <n v="138.43794872576032"/>
    <n v="0"/>
    <n v="-83.620800000000003"/>
    <n v="0"/>
    <n v="-93.724849535887259"/>
    <x v="6"/>
  </r>
  <r>
    <s v="Sistema de Compensação"/>
    <x v="2"/>
    <x v="3"/>
    <x v="4"/>
    <x v="5"/>
    <x v="1"/>
    <x v="0"/>
    <x v="1"/>
    <x v="3"/>
    <n v="0"/>
    <n v="0"/>
    <n v="2.3959999999999999"/>
    <n v="2.3959999999999999"/>
    <n v="2.3959999999999999"/>
    <n v="2.3959999999999999"/>
    <n v="2"/>
    <s v="CATIVO"/>
    <n v="0"/>
    <n v="0"/>
    <n v="41"/>
    <n v="85"/>
    <n v="0"/>
    <n v="242.47"/>
    <n v="105.95"/>
    <m/>
    <n v="252.08225767376987"/>
    <n v="138.43794872576032"/>
    <n v="0"/>
    <n v="556.54288000000008"/>
    <n v="0"/>
    <n v="623.790943022183"/>
    <x v="6"/>
  </r>
  <r>
    <s v="Regular"/>
    <x v="2"/>
    <x v="3"/>
    <x v="4"/>
    <x v="5"/>
    <x v="1"/>
    <x v="0"/>
    <x v="1"/>
    <x v="4"/>
    <n v="0"/>
    <n v="0"/>
    <n v="2802.288"/>
    <n v="2802.288"/>
    <n v="2802.288"/>
    <n v="2802.288"/>
    <n v="9559"/>
    <s v="CATIVO"/>
    <n v="0"/>
    <n v="0"/>
    <n v="41"/>
    <n v="85"/>
    <n v="0"/>
    <n v="242.47"/>
    <n v="105.95"/>
    <m/>
    <n v="252.08225767376987"/>
    <n v="138.43794872576032"/>
    <n v="0"/>
    <n v="650915.45664000011"/>
    <n v="0"/>
    <n v="729566.72543395124"/>
    <x v="6"/>
  </r>
  <r>
    <s v="Refaturamento - Regular"/>
    <x v="2"/>
    <x v="3"/>
    <x v="4"/>
    <x v="5"/>
    <x v="1"/>
    <x v="0"/>
    <x v="1"/>
    <x v="4"/>
    <n v="0"/>
    <n v="0"/>
    <n v="-7.4139999999999997"/>
    <n v="-7.4139999999999997"/>
    <n v="-7.4139999999999997"/>
    <n v="-7.4139999999999997"/>
    <n v="-3"/>
    <s v="CATIVO"/>
    <n v="0"/>
    <n v="0"/>
    <n v="41"/>
    <n v="85"/>
    <n v="0"/>
    <n v="242.47"/>
    <n v="105.95"/>
    <m/>
    <n v="252.08225767376987"/>
    <n v="138.43794872576032"/>
    <n v="0"/>
    <n v="-1722.1239200000002"/>
    <n v="0"/>
    <n v="-1930.2112068307447"/>
    <x v="6"/>
  </r>
  <r>
    <s v="Sistema Isolado - Regular"/>
    <x v="2"/>
    <x v="3"/>
    <x v="4"/>
    <x v="5"/>
    <x v="1"/>
    <x v="0"/>
    <x v="1"/>
    <x v="4"/>
    <n v="0"/>
    <n v="0"/>
    <n v="1254.0550000000001"/>
    <n v="1254.0550000000001"/>
    <n v="1254.0550000000001"/>
    <n v="1254.0550000000001"/>
    <n v="7651"/>
    <s v="CATIVO"/>
    <n v="0"/>
    <n v="0"/>
    <n v="41"/>
    <n v="85"/>
    <n v="0"/>
    <n v="242.47"/>
    <n v="105.95"/>
    <m/>
    <n v="252.08225767376987"/>
    <n v="138.43794872576032"/>
    <n v="0"/>
    <n v="291291.89540000004"/>
    <n v="0"/>
    <n v="326489.21162424196"/>
    <x v="6"/>
  </r>
  <r>
    <s v="Sistema Isolado - Refaturamento"/>
    <x v="2"/>
    <x v="3"/>
    <x v="4"/>
    <x v="5"/>
    <x v="1"/>
    <x v="0"/>
    <x v="1"/>
    <x v="4"/>
    <n v="0"/>
    <n v="0"/>
    <n v="-3.7069999999999999"/>
    <n v="-3.7069999999999999"/>
    <n v="-3.7069999999999999"/>
    <n v="-3.7069999999999999"/>
    <n v="-4"/>
    <s v="CATIVO"/>
    <n v="0"/>
    <n v="0"/>
    <n v="41"/>
    <n v="85"/>
    <n v="0"/>
    <n v="242.47"/>
    <n v="105.95"/>
    <m/>
    <n v="252.08225767376987"/>
    <n v="138.43794872576032"/>
    <n v="0"/>
    <n v="-861.06196000000011"/>
    <n v="0"/>
    <n v="-965.10560341537234"/>
    <x v="6"/>
  </r>
  <r>
    <s v="Sistema de Compensação"/>
    <x v="2"/>
    <x v="3"/>
    <x v="4"/>
    <x v="5"/>
    <x v="1"/>
    <x v="0"/>
    <x v="1"/>
    <x v="4"/>
    <n v="0"/>
    <n v="0"/>
    <n v="2.5870000000000002"/>
    <n v="2.5870000000000002"/>
    <n v="2.5870000000000002"/>
    <n v="2.5870000000000002"/>
    <n v="0"/>
    <s v="CATIVO"/>
    <n v="0"/>
    <n v="0"/>
    <n v="41"/>
    <n v="85"/>
    <n v="0"/>
    <n v="242.47"/>
    <n v="105.95"/>
    <m/>
    <n v="252.08225767376987"/>
    <n v="138.43794872576032"/>
    <n v="0"/>
    <n v="600.90836000000013"/>
    <n v="0"/>
    <n v="673.51718263705652"/>
    <x v="6"/>
  </r>
  <r>
    <s v="PROJETADO"/>
    <x v="2"/>
    <x v="3"/>
    <x v="4"/>
    <x v="5"/>
    <x v="1"/>
    <x v="0"/>
    <x v="1"/>
    <x v="5"/>
    <n v="0"/>
    <n v="0"/>
    <n v="2802.288"/>
    <n v="2802.288"/>
    <n v="2802.288"/>
    <n v="2802.288"/>
    <n v="9559"/>
    <s v="CATIVO"/>
    <n v="0"/>
    <n v="0"/>
    <n v="41"/>
    <n v="85"/>
    <n v="0"/>
    <n v="242.47"/>
    <n v="105.95"/>
    <m/>
    <n v="252.08225767376987"/>
    <n v="138.43794872576032"/>
    <n v="0"/>
    <n v="650915.45664000011"/>
    <n v="0"/>
    <n v="729566.72543395124"/>
    <x v="6"/>
  </r>
  <r>
    <s v="PROJETADO"/>
    <x v="2"/>
    <x v="3"/>
    <x v="4"/>
    <x v="5"/>
    <x v="1"/>
    <x v="0"/>
    <x v="1"/>
    <x v="5"/>
    <n v="0"/>
    <n v="0"/>
    <n v="-7.4139999999999997"/>
    <n v="-7.4139999999999997"/>
    <n v="-7.4139999999999997"/>
    <n v="-7.4139999999999997"/>
    <n v="-3"/>
    <s v="CATIVO"/>
    <n v="0"/>
    <n v="0"/>
    <n v="41"/>
    <n v="85"/>
    <n v="0"/>
    <n v="242.47"/>
    <n v="105.95"/>
    <m/>
    <n v="252.08225767376987"/>
    <n v="138.43794872576032"/>
    <n v="0"/>
    <n v="-1722.1239200000002"/>
    <n v="0"/>
    <n v="-1930.2112068307447"/>
    <x v="6"/>
  </r>
  <r>
    <s v="PROJETADO"/>
    <x v="2"/>
    <x v="3"/>
    <x v="4"/>
    <x v="5"/>
    <x v="1"/>
    <x v="0"/>
    <x v="1"/>
    <x v="5"/>
    <n v="0"/>
    <n v="0"/>
    <n v="1254.0550000000001"/>
    <n v="1254.0550000000001"/>
    <n v="1254.0550000000001"/>
    <n v="1254.0550000000001"/>
    <n v="7651"/>
    <s v="CATIVO"/>
    <n v="0"/>
    <n v="0"/>
    <n v="41"/>
    <n v="85"/>
    <n v="0"/>
    <n v="242.47"/>
    <n v="105.95"/>
    <m/>
    <n v="252.08225767376987"/>
    <n v="138.43794872576032"/>
    <n v="0"/>
    <n v="291291.89540000004"/>
    <n v="0"/>
    <n v="326489.21162424196"/>
    <x v="6"/>
  </r>
  <r>
    <s v="PROJETADO"/>
    <x v="2"/>
    <x v="3"/>
    <x v="4"/>
    <x v="5"/>
    <x v="1"/>
    <x v="0"/>
    <x v="1"/>
    <x v="5"/>
    <n v="0"/>
    <n v="0"/>
    <n v="-3.7069999999999999"/>
    <n v="-3.7069999999999999"/>
    <n v="-3.7069999999999999"/>
    <n v="-3.7069999999999999"/>
    <n v="-4"/>
    <s v="CATIVO"/>
    <n v="0"/>
    <n v="0"/>
    <n v="41"/>
    <n v="85"/>
    <n v="0"/>
    <n v="242.47"/>
    <n v="105.95"/>
    <m/>
    <n v="252.08225767376987"/>
    <n v="138.43794872576032"/>
    <n v="0"/>
    <n v="-861.06196000000011"/>
    <n v="0"/>
    <n v="-965.10560341537234"/>
    <x v="6"/>
  </r>
  <r>
    <s v="PROJETADO"/>
    <x v="2"/>
    <x v="3"/>
    <x v="4"/>
    <x v="5"/>
    <x v="1"/>
    <x v="0"/>
    <x v="1"/>
    <x v="5"/>
    <n v="0"/>
    <n v="0"/>
    <n v="2.5870000000000002"/>
    <n v="2.5870000000000002"/>
    <n v="2.5870000000000002"/>
    <n v="2.5870000000000002"/>
    <n v="0"/>
    <s v="CATIVO"/>
    <n v="0"/>
    <n v="0"/>
    <n v="41"/>
    <n v="85"/>
    <n v="0"/>
    <n v="242.47"/>
    <n v="105.95"/>
    <m/>
    <n v="252.08225767376987"/>
    <n v="138.43794872576032"/>
    <n v="0"/>
    <n v="600.90836000000013"/>
    <n v="0"/>
    <n v="673.51718263705652"/>
    <x v="6"/>
  </r>
  <r>
    <s v="Regular"/>
    <x v="2"/>
    <x v="3"/>
    <x v="4"/>
    <x v="6"/>
    <x v="1"/>
    <x v="0"/>
    <x v="1"/>
    <x v="9"/>
    <n v="0"/>
    <n v="0"/>
    <n v="1946.9680000000001"/>
    <n v="1946.9680000000001"/>
    <n v="1946.9680000000001"/>
    <n v="1946.9680000000001"/>
    <n v="17173"/>
    <s v="CATIVO"/>
    <n v="0"/>
    <n v="0"/>
    <n v="42"/>
    <n v="86"/>
    <n v="0"/>
    <n v="363.71"/>
    <n v="158.91999999999999"/>
    <m/>
    <n v="378.12338651065483"/>
    <n v="207.6569230886405"/>
    <n v="0"/>
    <n v="113060.43176000015"/>
    <n v="0"/>
    <n v="126721.72420221333"/>
    <x v="6"/>
  </r>
  <r>
    <s v="Refaturamento - Regular"/>
    <x v="2"/>
    <x v="3"/>
    <x v="4"/>
    <x v="6"/>
    <x v="1"/>
    <x v="0"/>
    <x v="1"/>
    <x v="9"/>
    <n v="0"/>
    <n v="0"/>
    <n v="-29.727"/>
    <n v="-29.727"/>
    <n v="-29.727"/>
    <n v="-29.727"/>
    <n v="-55"/>
    <s v="CATIVO"/>
    <n v="0"/>
    <n v="0"/>
    <n v="42"/>
    <n v="86"/>
    <n v="0"/>
    <n v="363.71"/>
    <n v="158.91999999999999"/>
    <m/>
    <n v="378.12338651065483"/>
    <n v="207.6569230886405"/>
    <n v="0"/>
    <n v="-1726.2468900000024"/>
    <n v="0"/>
    <n v="-1934.832362606471"/>
    <x v="6"/>
  </r>
  <r>
    <s v="Sistema Isolado - Regular"/>
    <x v="2"/>
    <x v="3"/>
    <x v="4"/>
    <x v="6"/>
    <x v="1"/>
    <x v="0"/>
    <x v="1"/>
    <x v="9"/>
    <n v="0"/>
    <n v="0"/>
    <n v="679.99"/>
    <n v="679.99"/>
    <n v="679.99"/>
    <n v="679.99"/>
    <n v="8647"/>
    <s v="CATIVO"/>
    <n v="0"/>
    <n v="0"/>
    <n v="42"/>
    <n v="86"/>
    <n v="0"/>
    <n v="363.71"/>
    <n v="158.91999999999999"/>
    <m/>
    <n v="378.12338651065483"/>
    <n v="207.6569230886405"/>
    <n v="0"/>
    <n v="39487.019300000051"/>
    <n v="0"/>
    <n v="44258.305858269392"/>
    <x v="6"/>
  </r>
  <r>
    <s v="Sistema Isolado - Refaturamento"/>
    <x v="2"/>
    <x v="3"/>
    <x v="4"/>
    <x v="6"/>
    <x v="1"/>
    <x v="0"/>
    <x v="1"/>
    <x v="9"/>
    <n v="0"/>
    <n v="0"/>
    <n v="-0.59099999999999997"/>
    <n v="-0.59099999999999997"/>
    <n v="-0.59099999999999997"/>
    <n v="-0.59099999999999997"/>
    <n v="-7"/>
    <s v="CATIVO"/>
    <n v="0"/>
    <n v="0"/>
    <n v="42"/>
    <n v="86"/>
    <n v="0"/>
    <n v="363.71"/>
    <n v="158.91999999999999"/>
    <m/>
    <n v="378.12338651065483"/>
    <n v="207.6569230886405"/>
    <n v="0"/>
    <n v="-34.319370000000042"/>
    <n v="0"/>
    <n v="-38.466240330353692"/>
    <x v="6"/>
  </r>
  <r>
    <s v="Sistema de Compensação"/>
    <x v="2"/>
    <x v="3"/>
    <x v="4"/>
    <x v="6"/>
    <x v="1"/>
    <x v="0"/>
    <x v="1"/>
    <x v="9"/>
    <n v="0"/>
    <n v="0"/>
    <n v="1.887"/>
    <n v="1.887"/>
    <n v="1.887"/>
    <n v="1.887"/>
    <n v="1"/>
    <s v="CATIVO"/>
    <n v="0"/>
    <n v="0"/>
    <n v="42"/>
    <n v="86"/>
    <n v="0"/>
    <n v="363.71"/>
    <n v="158.91999999999999"/>
    <m/>
    <n v="378.12338651065483"/>
    <n v="207.6569230886405"/>
    <n v="0"/>
    <n v="109.57809000000015"/>
    <n v="0"/>
    <n v="122.81860491265216"/>
    <x v="6"/>
  </r>
  <r>
    <s v="Sistema de Compensação"/>
    <x v="2"/>
    <x v="3"/>
    <x v="4"/>
    <x v="6"/>
    <x v="1"/>
    <x v="0"/>
    <x v="1"/>
    <x v="9"/>
    <n v="0"/>
    <n v="0"/>
    <n v="-0.12"/>
    <n v="-0.12"/>
    <n v="-0.12"/>
    <n v="-0.12"/>
    <n v="0"/>
    <s v="CATIVO"/>
    <n v="0"/>
    <n v="0"/>
    <n v="42"/>
    <n v="86"/>
    <n v="0"/>
    <n v="363.71"/>
    <n v="158.91999999999999"/>
    <m/>
    <n v="378.12338651065483"/>
    <n v="207.6569230886405"/>
    <n v="0"/>
    <n v="-6.9684000000000088"/>
    <n v="0"/>
    <n v="-7.8104041279905978"/>
    <x v="6"/>
  </r>
  <r>
    <s v="Regular"/>
    <x v="2"/>
    <x v="3"/>
    <x v="4"/>
    <x v="6"/>
    <x v="1"/>
    <x v="0"/>
    <x v="1"/>
    <x v="10"/>
    <n v="0"/>
    <n v="0"/>
    <n v="1980.35"/>
    <n v="1980.35"/>
    <n v="1980.35"/>
    <n v="1980.35"/>
    <n v="17131"/>
    <s v="CATIVO"/>
    <n v="0"/>
    <n v="0"/>
    <n v="42"/>
    <n v="86"/>
    <n v="0"/>
    <n v="363.71"/>
    <n v="158.91999999999999"/>
    <m/>
    <n v="378.12338651065483"/>
    <n v="207.6569230886405"/>
    <n v="0"/>
    <n v="114998.92450000015"/>
    <n v="0"/>
    <n v="128894.44845721817"/>
    <x v="6"/>
  </r>
  <r>
    <s v="Refaturamento - Regular"/>
    <x v="2"/>
    <x v="3"/>
    <x v="4"/>
    <x v="6"/>
    <x v="1"/>
    <x v="0"/>
    <x v="1"/>
    <x v="10"/>
    <n v="0"/>
    <n v="0"/>
    <n v="-11.058999999999999"/>
    <n v="-11.058999999999999"/>
    <n v="-11.058999999999999"/>
    <n v="-11.058999999999999"/>
    <n v="-81"/>
    <s v="CATIVO"/>
    <n v="0"/>
    <n v="0"/>
    <n v="42"/>
    <n v="86"/>
    <n v="0"/>
    <n v="363.71"/>
    <n v="158.91999999999999"/>
    <m/>
    <n v="378.12338651065483"/>
    <n v="207.6569230886405"/>
    <n v="0"/>
    <n v="-642.19613000000084"/>
    <n v="0"/>
    <n v="-719.79382709540016"/>
    <x v="6"/>
  </r>
  <r>
    <s v="Sistema Isolado - Regular"/>
    <x v="2"/>
    <x v="3"/>
    <x v="4"/>
    <x v="6"/>
    <x v="1"/>
    <x v="0"/>
    <x v="1"/>
    <x v="10"/>
    <n v="0"/>
    <n v="0"/>
    <n v="698.64099999999996"/>
    <n v="698.64099999999996"/>
    <n v="698.64099999999996"/>
    <n v="698.64099999999996"/>
    <n v="8716"/>
    <s v="CATIVO"/>
    <n v="0"/>
    <n v="0"/>
    <n v="42"/>
    <n v="86"/>
    <n v="0"/>
    <n v="363.71"/>
    <n v="158.91999999999999"/>
    <m/>
    <n v="378.12338651065483"/>
    <n v="207.6569230886405"/>
    <n v="0"/>
    <n v="40570.082870000049"/>
    <n v="0"/>
    <n v="45472.237919862324"/>
    <x v="6"/>
  </r>
  <r>
    <s v="Sistema Isolado - Refaturamento"/>
    <x v="2"/>
    <x v="3"/>
    <x v="4"/>
    <x v="6"/>
    <x v="1"/>
    <x v="0"/>
    <x v="1"/>
    <x v="10"/>
    <n v="0"/>
    <n v="0"/>
    <n v="-0.83499999999999996"/>
    <n v="-0.83499999999999996"/>
    <n v="-0.83499999999999996"/>
    <n v="-0.83499999999999996"/>
    <n v="-15"/>
    <s v="CATIVO"/>
    <n v="0"/>
    <n v="0"/>
    <n v="42"/>
    <n v="86"/>
    <n v="0"/>
    <n v="363.71"/>
    <n v="158.91999999999999"/>
    <m/>
    <n v="378.12338651065483"/>
    <n v="207.6569230886405"/>
    <n v="0"/>
    <n v="-48.488450000000064"/>
    <n v="0"/>
    <n v="-54.347395390601243"/>
    <x v="6"/>
  </r>
  <r>
    <s v="Sistema de Compensação"/>
    <x v="2"/>
    <x v="3"/>
    <x v="4"/>
    <x v="6"/>
    <x v="1"/>
    <x v="0"/>
    <x v="1"/>
    <x v="10"/>
    <n v="0"/>
    <n v="0"/>
    <n v="1.1519999999999999"/>
    <n v="1.1519999999999999"/>
    <n v="1.1519999999999999"/>
    <n v="1.1519999999999999"/>
    <n v="4"/>
    <s v="CATIVO"/>
    <n v="0"/>
    <n v="0"/>
    <n v="42"/>
    <n v="86"/>
    <n v="0"/>
    <n v="363.71"/>
    <n v="158.91999999999999"/>
    <m/>
    <n v="378.12338651065483"/>
    <n v="207.6569230886405"/>
    <n v="0"/>
    <n v="66.89664000000009"/>
    <n v="0"/>
    <n v="74.979879628709739"/>
    <x v="6"/>
  </r>
  <r>
    <s v="Sistema de Compensação"/>
    <x v="2"/>
    <x v="3"/>
    <x v="4"/>
    <x v="6"/>
    <x v="1"/>
    <x v="0"/>
    <x v="1"/>
    <x v="10"/>
    <n v="0"/>
    <n v="0"/>
    <n v="-0.12"/>
    <n v="-0.12"/>
    <n v="-0.12"/>
    <n v="-0.12"/>
    <n v="0"/>
    <s v="CATIVO"/>
    <n v="0"/>
    <n v="0"/>
    <n v="42"/>
    <n v="86"/>
    <n v="0"/>
    <n v="363.71"/>
    <n v="158.91999999999999"/>
    <m/>
    <n v="378.12338651065483"/>
    <n v="207.6569230886405"/>
    <n v="0"/>
    <n v="-6.9684000000000088"/>
    <n v="0"/>
    <n v="-7.8104041279905978"/>
    <x v="6"/>
  </r>
  <r>
    <s v="Regular"/>
    <x v="2"/>
    <x v="3"/>
    <x v="4"/>
    <x v="6"/>
    <x v="1"/>
    <x v="0"/>
    <x v="1"/>
    <x v="11"/>
    <n v="0"/>
    <n v="0"/>
    <n v="1915.366"/>
    <n v="1915.366"/>
    <n v="1915.366"/>
    <n v="1915.366"/>
    <n v="18658"/>
    <s v="CATIVO"/>
    <n v="0"/>
    <n v="0"/>
    <n v="42"/>
    <n v="86"/>
    <n v="0"/>
    <n v="363.71"/>
    <n v="158.91999999999999"/>
    <m/>
    <n v="378.12338651065483"/>
    <n v="207.6569230886405"/>
    <n v="0"/>
    <n v="111225.30362000015"/>
    <n v="0"/>
    <n v="124664.85427510701"/>
    <x v="6"/>
  </r>
  <r>
    <s v="Refaturamento - Regular"/>
    <x v="2"/>
    <x v="3"/>
    <x v="4"/>
    <x v="6"/>
    <x v="1"/>
    <x v="0"/>
    <x v="1"/>
    <x v="11"/>
    <n v="0"/>
    <n v="0"/>
    <n v="-12.904"/>
    <n v="-12.904"/>
    <n v="-12.904"/>
    <n v="-12.904"/>
    <n v="-22"/>
    <s v="CATIVO"/>
    <n v="0"/>
    <n v="0"/>
    <n v="42"/>
    <n v="86"/>
    <n v="0"/>
    <n v="363.71"/>
    <n v="158.91999999999999"/>
    <m/>
    <n v="378.12338651065483"/>
    <n v="207.6569230886405"/>
    <n v="0"/>
    <n v="-749.33528000000103"/>
    <n v="0"/>
    <n v="-839.87879056325562"/>
    <x v="6"/>
  </r>
  <r>
    <s v="Sistema Isolado - Regular"/>
    <x v="2"/>
    <x v="3"/>
    <x v="4"/>
    <x v="6"/>
    <x v="1"/>
    <x v="0"/>
    <x v="1"/>
    <x v="11"/>
    <n v="0"/>
    <n v="0"/>
    <n v="631.60599999999999"/>
    <n v="631.60599999999999"/>
    <n v="631.60599999999999"/>
    <n v="631.60599999999999"/>
    <n v="8574"/>
    <s v="CATIVO"/>
    <n v="0"/>
    <n v="0"/>
    <n v="42"/>
    <n v="86"/>
    <n v="0"/>
    <n v="363.71"/>
    <n v="158.91999999999999"/>
    <m/>
    <n v="378.12338651065483"/>
    <n v="207.6569230886405"/>
    <n v="0"/>
    <n v="36677.360420000048"/>
    <n v="0"/>
    <n v="41109.150913863581"/>
    <x v="6"/>
  </r>
  <r>
    <s v="Sistema Isolado - Refaturamento"/>
    <x v="2"/>
    <x v="3"/>
    <x v="4"/>
    <x v="6"/>
    <x v="1"/>
    <x v="0"/>
    <x v="1"/>
    <x v="11"/>
    <n v="0"/>
    <n v="0"/>
    <n v="-1.839"/>
    <n v="-1.839"/>
    <n v="-1.839"/>
    <n v="-1.839"/>
    <n v="-2"/>
    <s v="CATIVO"/>
    <n v="0"/>
    <n v="0"/>
    <n v="42"/>
    <n v="86"/>
    <n v="0"/>
    <n v="363.71"/>
    <n v="158.91999999999999"/>
    <m/>
    <n v="378.12338651065483"/>
    <n v="207.6569230886405"/>
    <n v="0"/>
    <n v="-106.79073000000014"/>
    <n v="0"/>
    <n v="-119.69444326145592"/>
    <x v="6"/>
  </r>
  <r>
    <s v="Sistema de Compensação"/>
    <x v="2"/>
    <x v="3"/>
    <x v="4"/>
    <x v="6"/>
    <x v="1"/>
    <x v="0"/>
    <x v="1"/>
    <x v="11"/>
    <n v="0"/>
    <n v="0"/>
    <n v="1.286"/>
    <n v="1.286"/>
    <n v="1.286"/>
    <n v="1.286"/>
    <n v="5"/>
    <s v="CATIVO"/>
    <n v="0"/>
    <n v="0"/>
    <n v="42"/>
    <n v="86"/>
    <n v="0"/>
    <n v="363.71"/>
    <n v="158.91999999999999"/>
    <m/>
    <n v="378.12338651065483"/>
    <n v="207.6569230886405"/>
    <n v="0"/>
    <n v="74.678020000000103"/>
    <n v="0"/>
    <n v="83.701497571632586"/>
    <x v="6"/>
  </r>
  <r>
    <s v="Sistema de Compensação"/>
    <x v="2"/>
    <x v="3"/>
    <x v="4"/>
    <x v="6"/>
    <x v="1"/>
    <x v="0"/>
    <x v="1"/>
    <x v="11"/>
    <n v="0"/>
    <n v="0"/>
    <n v="-0.12"/>
    <n v="-0.12"/>
    <n v="-0.12"/>
    <n v="-0.12"/>
    <n v="0"/>
    <s v="CATIVO"/>
    <n v="0"/>
    <n v="0"/>
    <n v="42"/>
    <n v="86"/>
    <n v="0"/>
    <n v="363.71"/>
    <n v="158.91999999999999"/>
    <m/>
    <n v="378.12338651065483"/>
    <n v="207.6569230886405"/>
    <n v="0"/>
    <n v="-6.9684000000000088"/>
    <n v="0"/>
    <n v="-7.8104041279905978"/>
    <x v="6"/>
  </r>
  <r>
    <s v="Regular"/>
    <x v="2"/>
    <x v="3"/>
    <x v="4"/>
    <x v="6"/>
    <x v="1"/>
    <x v="0"/>
    <x v="1"/>
    <x v="6"/>
    <n v="0"/>
    <n v="0"/>
    <n v="2132.096"/>
    <n v="2132.096"/>
    <n v="2132.096"/>
    <n v="2132.096"/>
    <n v="19774"/>
    <s v="CATIVO"/>
    <n v="0"/>
    <n v="0"/>
    <n v="42"/>
    <n v="86"/>
    <n v="0"/>
    <n v="363.71"/>
    <n v="158.91999999999999"/>
    <m/>
    <n v="378.12338651065483"/>
    <n v="207.6569230886405"/>
    <n v="0"/>
    <n v="123810.81472000017"/>
    <n v="0"/>
    <n v="138771.09499726869"/>
    <x v="6"/>
  </r>
  <r>
    <s v="Refaturamento - Regular"/>
    <x v="2"/>
    <x v="3"/>
    <x v="4"/>
    <x v="6"/>
    <x v="1"/>
    <x v="0"/>
    <x v="1"/>
    <x v="6"/>
    <n v="0"/>
    <n v="0"/>
    <n v="-17.984000000000002"/>
    <n v="-17.984000000000002"/>
    <n v="-17.984000000000002"/>
    <n v="-17.984000000000002"/>
    <n v="-5"/>
    <s v="CATIVO"/>
    <n v="0"/>
    <n v="0"/>
    <n v="42"/>
    <n v="86"/>
    <n v="0"/>
    <n v="363.71"/>
    <n v="158.91999999999999"/>
    <m/>
    <n v="378.12338651065483"/>
    <n v="207.6569230886405"/>
    <n v="0"/>
    <n v="-1044.3308800000016"/>
    <n v="0"/>
    <n v="-1170.5192319815244"/>
    <x v="6"/>
  </r>
  <r>
    <s v="Sistema Isolado - Regular"/>
    <x v="2"/>
    <x v="3"/>
    <x v="4"/>
    <x v="6"/>
    <x v="1"/>
    <x v="0"/>
    <x v="1"/>
    <x v="6"/>
    <n v="0"/>
    <n v="0"/>
    <n v="690.65200000000004"/>
    <n v="690.65200000000004"/>
    <n v="690.65200000000004"/>
    <n v="690.65200000000004"/>
    <n v="8988"/>
    <s v="CATIVO"/>
    <n v="0"/>
    <n v="0"/>
    <n v="42"/>
    <n v="86"/>
    <n v="0"/>
    <n v="363.71"/>
    <n v="158.91999999999999"/>
    <m/>
    <n v="378.12338651065483"/>
    <n v="207.6569230886405"/>
    <n v="0"/>
    <n v="40106.161640000057"/>
    <n v="0"/>
    <n v="44952.260265041361"/>
    <x v="6"/>
  </r>
  <r>
    <s v="Sistema Isolado - Refaturamento"/>
    <x v="2"/>
    <x v="3"/>
    <x v="4"/>
    <x v="6"/>
    <x v="1"/>
    <x v="0"/>
    <x v="1"/>
    <x v="6"/>
    <n v="0"/>
    <n v="0"/>
    <n v="-1.0860000000000001"/>
    <n v="-1.0860000000000001"/>
    <n v="-1.0860000000000001"/>
    <n v="-1.0860000000000001"/>
    <n v="-14"/>
    <s v="CATIVO"/>
    <n v="0"/>
    <n v="0"/>
    <n v="42"/>
    <n v="86"/>
    <n v="0"/>
    <n v="363.71"/>
    <n v="158.91999999999999"/>
    <m/>
    <n v="378.12338651065483"/>
    <n v="207.6569230886405"/>
    <n v="0"/>
    <n v="-63.064020000000092"/>
    <n v="0"/>
    <n v="-70.68415735831492"/>
    <x v="6"/>
  </r>
  <r>
    <s v="Sistema de Compensação"/>
    <x v="2"/>
    <x v="3"/>
    <x v="4"/>
    <x v="6"/>
    <x v="1"/>
    <x v="0"/>
    <x v="1"/>
    <x v="6"/>
    <n v="0"/>
    <n v="0"/>
    <n v="1.1200000000000001"/>
    <n v="1.1200000000000001"/>
    <n v="1.1200000000000001"/>
    <n v="1.1200000000000001"/>
    <n v="5"/>
    <s v="CATIVO"/>
    <n v="0"/>
    <n v="0"/>
    <n v="42"/>
    <n v="86"/>
    <n v="0"/>
    <n v="363.71"/>
    <n v="158.91999999999999"/>
    <m/>
    <n v="378.12338651065483"/>
    <n v="207.6569230886405"/>
    <n v="0"/>
    <n v="65.038400000000095"/>
    <n v="0"/>
    <n v="72.897105194578927"/>
    <x v="6"/>
  </r>
  <r>
    <s v="Regular"/>
    <x v="2"/>
    <x v="3"/>
    <x v="4"/>
    <x v="6"/>
    <x v="1"/>
    <x v="0"/>
    <x v="1"/>
    <x v="7"/>
    <n v="0"/>
    <n v="0"/>
    <n v="2202.0889999999999"/>
    <n v="2202.0889999999999"/>
    <n v="2202.0889999999999"/>
    <n v="2202.0889999999999"/>
    <n v="20561"/>
    <s v="CATIVO"/>
    <n v="0"/>
    <n v="0"/>
    <n v="42"/>
    <n v="86"/>
    <n v="0"/>
    <n v="363.71"/>
    <n v="158.91999999999999"/>
    <m/>
    <n v="378.12338651065483"/>
    <n v="207.6569230886405"/>
    <n v="0"/>
    <n v="127875.30823000017"/>
    <n v="0"/>
    <n v="143326.70846502241"/>
    <x v="6"/>
  </r>
  <r>
    <s v="Refaturamento - Regular"/>
    <x v="2"/>
    <x v="3"/>
    <x v="4"/>
    <x v="6"/>
    <x v="1"/>
    <x v="0"/>
    <x v="1"/>
    <x v="7"/>
    <n v="0"/>
    <n v="0"/>
    <n v="-10.914999999999999"/>
    <n v="-10.914999999999999"/>
    <n v="-10.914999999999999"/>
    <n v="-10.914999999999999"/>
    <n v="-7"/>
    <s v="CATIVO"/>
    <n v="0"/>
    <n v="0"/>
    <n v="42"/>
    <n v="86"/>
    <n v="0"/>
    <n v="363.71"/>
    <n v="158.91999999999999"/>
    <m/>
    <n v="378.12338651065483"/>
    <n v="207.6569230886405"/>
    <n v="0"/>
    <n v="-633.83405000000084"/>
    <n v="0"/>
    <n v="-710.42134214181146"/>
    <x v="6"/>
  </r>
  <r>
    <s v="Sistema Isolado - Regular"/>
    <x v="2"/>
    <x v="3"/>
    <x v="4"/>
    <x v="6"/>
    <x v="1"/>
    <x v="0"/>
    <x v="1"/>
    <x v="7"/>
    <n v="0"/>
    <n v="0"/>
    <n v="715.89200000000005"/>
    <n v="715.89200000000005"/>
    <n v="715.89200000000005"/>
    <n v="715.89200000000005"/>
    <n v="9310"/>
    <s v="CATIVO"/>
    <n v="0"/>
    <n v="0"/>
    <n v="42"/>
    <n v="86"/>
    <n v="0"/>
    <n v="363.71"/>
    <n v="158.91999999999999"/>
    <m/>
    <n v="378.12338651065483"/>
    <n v="207.6569230886405"/>
    <n v="0"/>
    <n v="41571.84844000006"/>
    <n v="0"/>
    <n v="46595.048599962051"/>
    <x v="6"/>
  </r>
  <r>
    <s v="Sistema Isolado - Refaturamento"/>
    <x v="2"/>
    <x v="3"/>
    <x v="4"/>
    <x v="6"/>
    <x v="1"/>
    <x v="0"/>
    <x v="1"/>
    <x v="7"/>
    <n v="0"/>
    <n v="0"/>
    <n v="-1.1240000000000001"/>
    <n v="-1.1240000000000001"/>
    <n v="-1.1240000000000001"/>
    <n v="-1.1240000000000001"/>
    <n v="-42"/>
    <s v="CATIVO"/>
    <n v="0"/>
    <n v="0"/>
    <n v="42"/>
    <n v="86"/>
    <n v="0"/>
    <n v="363.71"/>
    <n v="158.91999999999999"/>
    <m/>
    <n v="378.12338651065483"/>
    <n v="207.6569230886405"/>
    <n v="0"/>
    <n v="-65.270680000000098"/>
    <n v="0"/>
    <n v="-73.157451998845275"/>
    <x v="6"/>
  </r>
  <r>
    <s v="Sistema de Compensação"/>
    <x v="2"/>
    <x v="3"/>
    <x v="4"/>
    <x v="6"/>
    <x v="1"/>
    <x v="0"/>
    <x v="1"/>
    <x v="7"/>
    <n v="0"/>
    <n v="0"/>
    <n v="1.546"/>
    <n v="1.546"/>
    <n v="1.546"/>
    <n v="1.546"/>
    <n v="7"/>
    <s v="CATIVO"/>
    <n v="0"/>
    <n v="0"/>
    <n v="42"/>
    <n v="86"/>
    <n v="0"/>
    <n v="363.71"/>
    <n v="158.91999999999999"/>
    <m/>
    <n v="378.12338651065483"/>
    <n v="207.6569230886405"/>
    <n v="0"/>
    <n v="89.776220000000123"/>
    <n v="0"/>
    <n v="100.62403984894554"/>
    <x v="6"/>
  </r>
  <r>
    <s v="Regular"/>
    <x v="2"/>
    <x v="3"/>
    <x v="4"/>
    <x v="6"/>
    <x v="1"/>
    <x v="0"/>
    <x v="1"/>
    <x v="8"/>
    <n v="0"/>
    <n v="0"/>
    <n v="2136.712"/>
    <n v="2136.712"/>
    <n v="2136.712"/>
    <n v="2136.712"/>
    <n v="19961"/>
    <s v="CATIVO"/>
    <n v="0"/>
    <n v="0"/>
    <n v="42"/>
    <n v="86"/>
    <n v="0"/>
    <n v="363.71"/>
    <n v="158.91999999999999"/>
    <m/>
    <n v="378.12338651065483"/>
    <n v="207.6569230886405"/>
    <n v="0"/>
    <n v="124078.86584000017"/>
    <n v="0"/>
    <n v="139071.53520939205"/>
    <x v="6"/>
  </r>
  <r>
    <s v="Refaturamento - Regular"/>
    <x v="2"/>
    <x v="3"/>
    <x v="4"/>
    <x v="6"/>
    <x v="1"/>
    <x v="0"/>
    <x v="1"/>
    <x v="8"/>
    <n v="0"/>
    <n v="0"/>
    <n v="-11.265000000000001"/>
    <n v="-11.265000000000001"/>
    <n v="-11.265000000000001"/>
    <n v="-11.265000000000001"/>
    <n v="-6"/>
    <s v="CATIVO"/>
    <n v="0"/>
    <n v="0"/>
    <n v="42"/>
    <n v="86"/>
    <n v="0"/>
    <n v="363.71"/>
    <n v="158.91999999999999"/>
    <m/>
    <n v="378.12338651065483"/>
    <n v="207.6569230886405"/>
    <n v="0"/>
    <n v="-654.1585500000009"/>
    <n v="0"/>
    <n v="-733.20168751511744"/>
    <x v="6"/>
  </r>
  <r>
    <s v="Sistema Isolado - Regular"/>
    <x v="2"/>
    <x v="3"/>
    <x v="4"/>
    <x v="6"/>
    <x v="1"/>
    <x v="0"/>
    <x v="1"/>
    <x v="8"/>
    <n v="0"/>
    <n v="0"/>
    <n v="669.12400000000002"/>
    <n v="669.12400000000002"/>
    <n v="669.12400000000002"/>
    <n v="669.12400000000002"/>
    <n v="8927"/>
    <s v="CATIVO"/>
    <n v="0"/>
    <n v="0"/>
    <n v="42"/>
    <n v="86"/>
    <n v="0"/>
    <n v="363.71"/>
    <n v="158.91999999999999"/>
    <m/>
    <n v="378.12338651065483"/>
    <n v="207.6569230886405"/>
    <n v="0"/>
    <n v="38856.030680000054"/>
    <n v="0"/>
    <n v="43551.073764479843"/>
    <x v="6"/>
  </r>
  <r>
    <s v="Sistema Isolado - Refaturamento"/>
    <x v="2"/>
    <x v="3"/>
    <x v="4"/>
    <x v="6"/>
    <x v="1"/>
    <x v="0"/>
    <x v="1"/>
    <x v="8"/>
    <n v="0"/>
    <n v="0"/>
    <n v="-1.2549999999999999"/>
    <n v="-1.2549999999999999"/>
    <n v="-1.2549999999999999"/>
    <n v="-1.2549999999999999"/>
    <n v="-6"/>
    <s v="CATIVO"/>
    <n v="0"/>
    <n v="0"/>
    <n v="42"/>
    <n v="86"/>
    <n v="0"/>
    <n v="363.71"/>
    <n v="158.91999999999999"/>
    <m/>
    <n v="378.12338651065483"/>
    <n v="207.6569230886405"/>
    <n v="0"/>
    <n v="-72.877850000000095"/>
    <n v="0"/>
    <n v="-81.683809838568337"/>
    <x v="6"/>
  </r>
  <r>
    <s v="Sistema de Compensação"/>
    <x v="2"/>
    <x v="3"/>
    <x v="4"/>
    <x v="6"/>
    <x v="1"/>
    <x v="0"/>
    <x v="1"/>
    <x v="8"/>
    <n v="0"/>
    <n v="0"/>
    <n v="1.0049999999999999"/>
    <n v="1.0049999999999999"/>
    <n v="1.0049999999999999"/>
    <n v="1.0049999999999999"/>
    <n v="5"/>
    <s v="CATIVO"/>
    <n v="0"/>
    <n v="0"/>
    <n v="42"/>
    <n v="86"/>
    <n v="0"/>
    <n v="363.71"/>
    <n v="158.91999999999999"/>
    <m/>
    <n v="378.12338651065483"/>
    <n v="207.6569230886405"/>
    <n v="0"/>
    <n v="58.360350000000075"/>
    <n v="0"/>
    <n v="65.412134571921257"/>
    <x v="6"/>
  </r>
  <r>
    <s v="Regular"/>
    <x v="2"/>
    <x v="3"/>
    <x v="4"/>
    <x v="6"/>
    <x v="1"/>
    <x v="0"/>
    <x v="1"/>
    <x v="0"/>
    <n v="0"/>
    <n v="0"/>
    <n v="1966.913"/>
    <n v="1966.913"/>
    <n v="1966.913"/>
    <n v="1966.913"/>
    <n v="20598"/>
    <s v="CATIVO"/>
    <n v="0"/>
    <n v="0"/>
    <n v="42"/>
    <n v="86"/>
    <n v="0"/>
    <n v="363.71"/>
    <n v="158.91999999999999"/>
    <m/>
    <n v="378.12338651065483"/>
    <n v="207.6569230886405"/>
    <n v="0"/>
    <n v="114218.63791000015"/>
    <n v="0"/>
    <n v="128019.87845498644"/>
    <x v="6"/>
  </r>
  <r>
    <s v="Refaturamento - Regular"/>
    <x v="2"/>
    <x v="3"/>
    <x v="4"/>
    <x v="6"/>
    <x v="1"/>
    <x v="0"/>
    <x v="1"/>
    <x v="0"/>
    <n v="0"/>
    <n v="0"/>
    <n v="-4.7759999999999998"/>
    <n v="-4.7759999999999998"/>
    <n v="-4.7759999999999998"/>
    <n v="-4.7759999999999998"/>
    <n v="-12"/>
    <s v="CATIVO"/>
    <n v="0"/>
    <n v="0"/>
    <n v="42"/>
    <n v="86"/>
    <n v="0"/>
    <n v="363.71"/>
    <n v="158.91999999999999"/>
    <m/>
    <n v="378.12338651065483"/>
    <n v="207.6569230886405"/>
    <n v="0"/>
    <n v="-277.34232000000037"/>
    <n v="0"/>
    <n v="-310.85408429402582"/>
    <x v="6"/>
  </r>
  <r>
    <s v="Sistema Isolado - Regular"/>
    <x v="2"/>
    <x v="3"/>
    <x v="4"/>
    <x v="6"/>
    <x v="1"/>
    <x v="0"/>
    <x v="1"/>
    <x v="0"/>
    <n v="0"/>
    <n v="0"/>
    <n v="631.46799999999996"/>
    <n v="631.46799999999996"/>
    <n v="631.46799999999996"/>
    <n v="631.46799999999996"/>
    <n v="8796"/>
    <s v="CATIVO"/>
    <n v="0"/>
    <n v="0"/>
    <n v="42"/>
    <n v="86"/>
    <n v="0"/>
    <n v="363.71"/>
    <n v="158.91999999999999"/>
    <m/>
    <n v="378.12338651065483"/>
    <n v="207.6569230886405"/>
    <n v="0"/>
    <n v="36669.346760000044"/>
    <n v="0"/>
    <n v="41100.168949116392"/>
    <x v="6"/>
  </r>
  <r>
    <s v="Sistema Isolado - Refaturamento"/>
    <x v="2"/>
    <x v="3"/>
    <x v="4"/>
    <x v="6"/>
    <x v="1"/>
    <x v="0"/>
    <x v="1"/>
    <x v="0"/>
    <n v="0"/>
    <n v="0"/>
    <n v="-0.307"/>
    <n v="-0.307"/>
    <n v="-0.307"/>
    <n v="-0.307"/>
    <n v="-1"/>
    <s v="CATIVO"/>
    <n v="0"/>
    <n v="0"/>
    <n v="42"/>
    <n v="86"/>
    <n v="0"/>
    <n v="363.71"/>
    <n v="158.91999999999999"/>
    <m/>
    <n v="378.12338651065483"/>
    <n v="207.6569230886405"/>
    <n v="0"/>
    <n v="-17.827490000000022"/>
    <n v="0"/>
    <n v="-19.981617227442612"/>
    <x v="6"/>
  </r>
  <r>
    <s v="Sistema de Compensação"/>
    <x v="2"/>
    <x v="3"/>
    <x v="4"/>
    <x v="6"/>
    <x v="1"/>
    <x v="0"/>
    <x v="1"/>
    <x v="0"/>
    <n v="0"/>
    <n v="0"/>
    <n v="0.88500000000000001"/>
    <n v="0.88500000000000001"/>
    <n v="0.88500000000000001"/>
    <n v="0.88500000000000001"/>
    <n v="10"/>
    <s v="CATIVO"/>
    <n v="0"/>
    <n v="0"/>
    <n v="42"/>
    <n v="86"/>
    <n v="0"/>
    <n v="363.71"/>
    <n v="158.91999999999999"/>
    <m/>
    <n v="378.12338651065483"/>
    <n v="207.6569230886405"/>
    <n v="0"/>
    <n v="51.391950000000072"/>
    <n v="0"/>
    <n v="57.601730443930663"/>
    <x v="6"/>
  </r>
  <r>
    <s v="Regular"/>
    <x v="2"/>
    <x v="3"/>
    <x v="4"/>
    <x v="6"/>
    <x v="1"/>
    <x v="0"/>
    <x v="1"/>
    <x v="1"/>
    <n v="0"/>
    <n v="0"/>
    <n v="2318.8159999999998"/>
    <n v="2318.8159999999998"/>
    <n v="2318.8159999999998"/>
    <n v="2318.8159999999998"/>
    <n v="21029"/>
    <s v="CATIVO"/>
    <n v="0"/>
    <n v="0"/>
    <n v="42"/>
    <n v="86"/>
    <n v="0"/>
    <n v="363.71"/>
    <n v="158.91999999999999"/>
    <m/>
    <n v="378.12338651065483"/>
    <n v="207.6569230886405"/>
    <n v="0"/>
    <n v="134653.64512000018"/>
    <n v="0"/>
    <n v="150924.08382042203"/>
    <x v="6"/>
  </r>
  <r>
    <s v="Refaturamento - Regular"/>
    <x v="2"/>
    <x v="3"/>
    <x v="4"/>
    <x v="6"/>
    <x v="1"/>
    <x v="0"/>
    <x v="1"/>
    <x v="1"/>
    <n v="0"/>
    <n v="0"/>
    <n v="-4.03"/>
    <n v="-4.03"/>
    <n v="-4.03"/>
    <n v="-4.03"/>
    <n v="-20"/>
    <s v="CATIVO"/>
    <n v="0"/>
    <n v="0"/>
    <n v="42"/>
    <n v="86"/>
    <n v="0"/>
    <n v="363.71"/>
    <n v="158.91999999999999"/>
    <m/>
    <n v="378.12338651065483"/>
    <n v="207.6569230886405"/>
    <n v="0"/>
    <n v="-234.02210000000034"/>
    <n v="0"/>
    <n v="-262.29940529835096"/>
    <x v="6"/>
  </r>
  <r>
    <s v="Sistema Isolado - Regular"/>
    <x v="2"/>
    <x v="3"/>
    <x v="4"/>
    <x v="6"/>
    <x v="1"/>
    <x v="0"/>
    <x v="1"/>
    <x v="1"/>
    <n v="0"/>
    <n v="0"/>
    <n v="761.06799999999998"/>
    <n v="761.06799999999998"/>
    <n v="761.06799999999998"/>
    <n v="761.06799999999998"/>
    <n v="9648"/>
    <s v="CATIVO"/>
    <n v="0"/>
    <n v="0"/>
    <n v="42"/>
    <n v="86"/>
    <n v="0"/>
    <n v="363.71"/>
    <n v="158.91999999999999"/>
    <m/>
    <n v="378.12338651065483"/>
    <n v="207.6569230886405"/>
    <n v="0"/>
    <n v="44195.218760000062"/>
    <n v="0"/>
    <n v="49535.405407346239"/>
    <x v="6"/>
  </r>
  <r>
    <s v="Sistema Isolado - Refaturamento"/>
    <x v="2"/>
    <x v="3"/>
    <x v="4"/>
    <x v="6"/>
    <x v="1"/>
    <x v="0"/>
    <x v="1"/>
    <x v="1"/>
    <n v="0"/>
    <n v="0"/>
    <n v="-0.58199999999999996"/>
    <n v="-0.58199999999999996"/>
    <n v="-0.58199999999999996"/>
    <n v="-0.58199999999999996"/>
    <n v="-1"/>
    <s v="CATIVO"/>
    <n v="0"/>
    <n v="0"/>
    <n v="42"/>
    <n v="86"/>
    <n v="0"/>
    <n v="363.71"/>
    <n v="158.91999999999999"/>
    <m/>
    <n v="378.12338651065483"/>
    <n v="207.6569230886405"/>
    <n v="0"/>
    <n v="-33.796740000000042"/>
    <n v="0"/>
    <n v="-37.880460020754398"/>
    <x v="6"/>
  </r>
  <r>
    <s v="Sistema de Compensação"/>
    <x v="2"/>
    <x v="3"/>
    <x v="4"/>
    <x v="6"/>
    <x v="1"/>
    <x v="0"/>
    <x v="1"/>
    <x v="1"/>
    <n v="0"/>
    <n v="0"/>
    <n v="1.5429999999999999"/>
    <n v="1.5429999999999999"/>
    <n v="1.5429999999999999"/>
    <n v="1.5429999999999999"/>
    <n v="7"/>
    <s v="CATIVO"/>
    <n v="0"/>
    <n v="0"/>
    <n v="42"/>
    <n v="86"/>
    <n v="0"/>
    <n v="363.71"/>
    <n v="158.91999999999999"/>
    <m/>
    <n v="378.12338651065483"/>
    <n v="207.6569230886405"/>
    <n v="0"/>
    <n v="89.602010000000121"/>
    <n v="0"/>
    <n v="100.42877974574577"/>
    <x v="6"/>
  </r>
  <r>
    <s v="Regular"/>
    <x v="2"/>
    <x v="3"/>
    <x v="4"/>
    <x v="6"/>
    <x v="1"/>
    <x v="0"/>
    <x v="1"/>
    <x v="2"/>
    <n v="0"/>
    <n v="0"/>
    <n v="2242.2280000000001"/>
    <n v="2242.2280000000001"/>
    <n v="2242.2280000000001"/>
    <n v="2242.2280000000001"/>
    <n v="17330"/>
    <s v="CATIVO"/>
    <n v="0"/>
    <n v="0"/>
    <n v="42"/>
    <n v="86"/>
    <n v="0"/>
    <n v="363.71"/>
    <n v="158.91999999999999"/>
    <m/>
    <n v="378.12338651065483"/>
    <n v="207.6569230886405"/>
    <n v="0"/>
    <n v="130206.17996000018"/>
    <n v="0"/>
    <n v="145939.2235591342"/>
    <x v="6"/>
  </r>
  <r>
    <s v="Refaturamento - Regular"/>
    <x v="2"/>
    <x v="3"/>
    <x v="4"/>
    <x v="6"/>
    <x v="1"/>
    <x v="0"/>
    <x v="1"/>
    <x v="2"/>
    <n v="0"/>
    <n v="0"/>
    <n v="-1.9630000000000001"/>
    <n v="-1.9630000000000001"/>
    <n v="-1.9630000000000001"/>
    <n v="-1.9630000000000001"/>
    <n v="-16"/>
    <s v="CATIVO"/>
    <n v="0"/>
    <n v="0"/>
    <n v="42"/>
    <n v="86"/>
    <n v="0"/>
    <n v="363.71"/>
    <n v="158.91999999999999"/>
    <m/>
    <n v="378.12338651065483"/>
    <n v="207.6569230886405"/>
    <n v="0"/>
    <n v="-113.99141000000016"/>
    <n v="0"/>
    <n v="-127.76519419371287"/>
    <x v="6"/>
  </r>
  <r>
    <s v="Sistema Isolado - Regular"/>
    <x v="2"/>
    <x v="3"/>
    <x v="4"/>
    <x v="6"/>
    <x v="1"/>
    <x v="0"/>
    <x v="1"/>
    <x v="2"/>
    <n v="0"/>
    <n v="0"/>
    <n v="1030.547"/>
    <n v="1030.547"/>
    <n v="1030.547"/>
    <n v="1030.547"/>
    <n v="13096"/>
    <s v="CATIVO"/>
    <n v="0"/>
    <n v="0"/>
    <n v="42"/>
    <n v="86"/>
    <n v="0"/>
    <n v="363.71"/>
    <n v="158.91999999999999"/>
    <m/>
    <n v="378.12338651065483"/>
    <n v="207.6569230886405"/>
    <n v="0"/>
    <n v="59843.864290000085"/>
    <n v="0"/>
    <n v="67074.904524069396"/>
    <x v="6"/>
  </r>
  <r>
    <s v="Sistema Isolado - Refaturamento"/>
    <x v="2"/>
    <x v="3"/>
    <x v="4"/>
    <x v="6"/>
    <x v="1"/>
    <x v="0"/>
    <x v="1"/>
    <x v="2"/>
    <n v="0"/>
    <n v="0"/>
    <n v="-2.016"/>
    <n v="-2.016"/>
    <n v="-2.016"/>
    <n v="-2.016"/>
    <n v="-8"/>
    <s v="CATIVO"/>
    <n v="0"/>
    <n v="0"/>
    <n v="42"/>
    <n v="86"/>
    <n v="0"/>
    <n v="363.71"/>
    <n v="158.91999999999999"/>
    <m/>
    <n v="378.12338651065483"/>
    <n v="207.6569230886405"/>
    <n v="0"/>
    <n v="-117.06912000000015"/>
    <n v="0"/>
    <n v="-131.21478935024206"/>
    <x v="6"/>
  </r>
  <r>
    <s v="Sistema de Compensação"/>
    <x v="2"/>
    <x v="3"/>
    <x v="4"/>
    <x v="6"/>
    <x v="1"/>
    <x v="0"/>
    <x v="1"/>
    <x v="2"/>
    <n v="0"/>
    <n v="0"/>
    <n v="1.619"/>
    <n v="1.619"/>
    <n v="1.619"/>
    <n v="1.619"/>
    <n v="9"/>
    <s v="CATIVO"/>
    <n v="0"/>
    <n v="0"/>
    <n v="42"/>
    <n v="86"/>
    <n v="0"/>
    <n v="363.71"/>
    <n v="158.91999999999999"/>
    <m/>
    <n v="378.12338651065483"/>
    <n v="207.6569230886405"/>
    <n v="0"/>
    <n v="94.015330000000134"/>
    <n v="0"/>
    <n v="105.37536902680648"/>
    <x v="6"/>
  </r>
  <r>
    <s v="Regular"/>
    <x v="2"/>
    <x v="3"/>
    <x v="4"/>
    <x v="6"/>
    <x v="1"/>
    <x v="0"/>
    <x v="1"/>
    <x v="3"/>
    <n v="0"/>
    <n v="0"/>
    <n v="2420.0030000000002"/>
    <n v="2420.0030000000002"/>
    <n v="2420.0030000000002"/>
    <n v="2420.0030000000002"/>
    <n v="21267"/>
    <s v="CATIVO"/>
    <n v="0"/>
    <n v="0"/>
    <n v="42"/>
    <n v="86"/>
    <n v="0"/>
    <n v="363.71"/>
    <n v="158.91999999999999"/>
    <m/>
    <n v="378.12338651065483"/>
    <n v="207.6569230886405"/>
    <n v="0"/>
    <n v="140529.5742100002"/>
    <n v="0"/>
    <n v="157510.01184124695"/>
    <x v="6"/>
  </r>
  <r>
    <s v="Refaturamento - Regular"/>
    <x v="2"/>
    <x v="3"/>
    <x v="4"/>
    <x v="6"/>
    <x v="1"/>
    <x v="0"/>
    <x v="1"/>
    <x v="3"/>
    <n v="0"/>
    <n v="0"/>
    <n v="-5.4390000000000001"/>
    <n v="-5.4390000000000001"/>
    <n v="-5.4390000000000001"/>
    <n v="-5.4390000000000001"/>
    <n v="-3"/>
    <s v="CATIVO"/>
    <n v="0"/>
    <n v="0"/>
    <n v="42"/>
    <n v="86"/>
    <n v="0"/>
    <n v="363.71"/>
    <n v="158.91999999999999"/>
    <m/>
    <n v="378.12338651065483"/>
    <n v="207.6569230886405"/>
    <n v="0"/>
    <n v="-315.84273000000042"/>
    <n v="0"/>
    <n v="-354.00656710117386"/>
    <x v="6"/>
  </r>
  <r>
    <s v="Sistema Isolado - Regular"/>
    <x v="2"/>
    <x v="3"/>
    <x v="4"/>
    <x v="6"/>
    <x v="1"/>
    <x v="0"/>
    <x v="1"/>
    <x v="3"/>
    <n v="0"/>
    <n v="0"/>
    <n v="785.86599999999999"/>
    <n v="785.86599999999999"/>
    <n v="785.86599999999999"/>
    <n v="785.86599999999999"/>
    <n v="9611"/>
    <s v="CATIVO"/>
    <n v="0"/>
    <n v="0"/>
    <n v="42"/>
    <n v="86"/>
    <n v="0"/>
    <n v="363.71"/>
    <n v="158.91999999999999"/>
    <m/>
    <n v="378.12338651065483"/>
    <n v="207.6569230886405"/>
    <n v="0"/>
    <n v="45635.238620000062"/>
    <n v="0"/>
    <n v="51149.425420395492"/>
    <x v="6"/>
  </r>
  <r>
    <s v="Sistema Isolado - Refaturamento"/>
    <x v="2"/>
    <x v="3"/>
    <x v="4"/>
    <x v="6"/>
    <x v="1"/>
    <x v="0"/>
    <x v="1"/>
    <x v="3"/>
    <n v="0"/>
    <n v="0"/>
    <n v="-0.48"/>
    <n v="-0.48"/>
    <n v="-0.48"/>
    <n v="-0.48"/>
    <n v="0"/>
    <s v="CATIVO"/>
    <n v="0"/>
    <n v="0"/>
    <n v="42"/>
    <n v="86"/>
    <n v="0"/>
    <n v="363.71"/>
    <n v="158.91999999999999"/>
    <m/>
    <n v="378.12338651065483"/>
    <n v="207.6569230886405"/>
    <n v="0"/>
    <n v="-27.873600000000035"/>
    <n v="0"/>
    <n v="-31.241616511962391"/>
    <x v="6"/>
  </r>
  <r>
    <s v="Sistema de Compensação"/>
    <x v="2"/>
    <x v="3"/>
    <x v="4"/>
    <x v="6"/>
    <x v="1"/>
    <x v="0"/>
    <x v="1"/>
    <x v="3"/>
    <n v="0"/>
    <n v="0"/>
    <n v="1.736"/>
    <n v="1.736"/>
    <n v="1.736"/>
    <n v="1.736"/>
    <n v="7"/>
    <s v="CATIVO"/>
    <n v="0"/>
    <n v="0"/>
    <n v="42"/>
    <n v="86"/>
    <n v="0"/>
    <n v="363.71"/>
    <n v="158.91999999999999"/>
    <m/>
    <n v="378.12338651065483"/>
    <n v="207.6569230886405"/>
    <n v="0"/>
    <n v="100.80952000000013"/>
    <n v="0"/>
    <n v="112.99051305159732"/>
    <x v="6"/>
  </r>
  <r>
    <s v="Regular"/>
    <x v="2"/>
    <x v="3"/>
    <x v="4"/>
    <x v="6"/>
    <x v="1"/>
    <x v="0"/>
    <x v="1"/>
    <x v="4"/>
    <n v="0"/>
    <n v="0"/>
    <n v="2705.0569999999998"/>
    <n v="2705.0569999999998"/>
    <n v="2705.0569999999998"/>
    <n v="2705.0569999999998"/>
    <n v="21473"/>
    <s v="CATIVO"/>
    <n v="0"/>
    <n v="0"/>
    <n v="42"/>
    <n v="86"/>
    <n v="0"/>
    <n v="363.71"/>
    <n v="158.91999999999999"/>
    <m/>
    <n v="378.12338651065483"/>
    <n v="207.6569230886405"/>
    <n v="0"/>
    <n v="157082.65999000019"/>
    <n v="0"/>
    <n v="176063.23632708218"/>
    <x v="6"/>
  </r>
  <r>
    <s v="Refaturamento - Regular"/>
    <x v="2"/>
    <x v="3"/>
    <x v="4"/>
    <x v="6"/>
    <x v="1"/>
    <x v="0"/>
    <x v="1"/>
    <x v="4"/>
    <n v="0"/>
    <n v="0"/>
    <n v="-8.7959999999999994"/>
    <n v="-8.7959999999999994"/>
    <n v="-8.7959999999999994"/>
    <n v="-8.7959999999999994"/>
    <n v="-7"/>
    <s v="CATIVO"/>
    <n v="0"/>
    <n v="0"/>
    <n v="42"/>
    <n v="86"/>
    <n v="0"/>
    <n v="363.71"/>
    <n v="158.91999999999999"/>
    <m/>
    <n v="378.12338651065483"/>
    <n v="207.6569230886405"/>
    <n v="0"/>
    <n v="-510.78372000000064"/>
    <n v="0"/>
    <n v="-572.50262258171085"/>
    <x v="6"/>
  </r>
  <r>
    <s v="Sistema Isolado - Regular"/>
    <x v="2"/>
    <x v="3"/>
    <x v="4"/>
    <x v="6"/>
    <x v="1"/>
    <x v="0"/>
    <x v="1"/>
    <x v="4"/>
    <n v="0"/>
    <n v="0"/>
    <n v="864.66600000000005"/>
    <n v="864.66600000000005"/>
    <n v="864.66600000000005"/>
    <n v="864.66600000000005"/>
    <n v="9951"/>
    <s v="CATIVO"/>
    <n v="0"/>
    <n v="0"/>
    <n v="42"/>
    <n v="86"/>
    <n v="0"/>
    <n v="363.71"/>
    <n v="158.91999999999999"/>
    <m/>
    <n v="378.12338651065483"/>
    <n v="207.6569230886405"/>
    <n v="0"/>
    <n v="50211.154620000074"/>
    <n v="0"/>
    <n v="56278.257464442657"/>
    <x v="6"/>
  </r>
  <r>
    <s v="Sistema Isolado - Refaturamento"/>
    <x v="2"/>
    <x v="3"/>
    <x v="4"/>
    <x v="6"/>
    <x v="1"/>
    <x v="0"/>
    <x v="1"/>
    <x v="4"/>
    <n v="0"/>
    <n v="0"/>
    <n v="-6.1689999999999996"/>
    <n v="-6.1689999999999996"/>
    <n v="-6.1689999999999996"/>
    <n v="-6.1689999999999996"/>
    <n v="0"/>
    <s v="CATIVO"/>
    <n v="0"/>
    <n v="0"/>
    <n v="42"/>
    <n v="86"/>
    <n v="0"/>
    <n v="363.71"/>
    <n v="158.91999999999999"/>
    <m/>
    <n v="378.12338651065483"/>
    <n v="207.6569230886405"/>
    <n v="0"/>
    <n v="-358.23383000000047"/>
    <n v="0"/>
    <n v="-401.51985887978333"/>
    <x v="6"/>
  </r>
  <r>
    <s v="Sistema de Compensação"/>
    <x v="2"/>
    <x v="3"/>
    <x v="4"/>
    <x v="6"/>
    <x v="1"/>
    <x v="0"/>
    <x v="1"/>
    <x v="4"/>
    <n v="0"/>
    <n v="0"/>
    <n v="2.1469999999999998"/>
    <n v="2.1469999999999998"/>
    <n v="2.1469999999999998"/>
    <n v="2.1469999999999998"/>
    <n v="5"/>
    <s v="CATIVO"/>
    <n v="0"/>
    <n v="0"/>
    <n v="42"/>
    <n v="86"/>
    <n v="0"/>
    <n v="363.71"/>
    <n v="158.91999999999999"/>
    <m/>
    <n v="378.12338651065483"/>
    <n v="207.6569230886405"/>
    <n v="0"/>
    <n v="124.67629000000015"/>
    <n v="0"/>
    <n v="139.74114718996512"/>
    <x v="6"/>
  </r>
  <r>
    <s v="PROJETADO"/>
    <x v="2"/>
    <x v="3"/>
    <x v="4"/>
    <x v="6"/>
    <x v="1"/>
    <x v="0"/>
    <x v="1"/>
    <x v="5"/>
    <n v="0"/>
    <n v="0"/>
    <n v="2705.0569999999998"/>
    <n v="2705.0569999999998"/>
    <n v="2705.0569999999998"/>
    <n v="2705.0569999999998"/>
    <n v="21473"/>
    <s v="CATIVO"/>
    <n v="0"/>
    <n v="0"/>
    <n v="42"/>
    <n v="86"/>
    <n v="0"/>
    <n v="363.71"/>
    <n v="158.91999999999999"/>
    <m/>
    <n v="378.12338651065483"/>
    <n v="207.6569230886405"/>
    <n v="0"/>
    <n v="157082.65999000019"/>
    <n v="0"/>
    <n v="176063.23632708218"/>
    <x v="6"/>
  </r>
  <r>
    <s v="PROJETADO"/>
    <x v="2"/>
    <x v="3"/>
    <x v="4"/>
    <x v="6"/>
    <x v="1"/>
    <x v="0"/>
    <x v="1"/>
    <x v="5"/>
    <n v="0"/>
    <n v="0"/>
    <n v="-8.7959999999999994"/>
    <n v="-8.7959999999999994"/>
    <n v="-8.7959999999999994"/>
    <n v="-8.7959999999999994"/>
    <n v="-7"/>
    <s v="CATIVO"/>
    <n v="0"/>
    <n v="0"/>
    <n v="42"/>
    <n v="86"/>
    <n v="0"/>
    <n v="363.71"/>
    <n v="158.91999999999999"/>
    <m/>
    <n v="378.12338651065483"/>
    <n v="207.6569230886405"/>
    <n v="0"/>
    <n v="-510.78372000000064"/>
    <n v="0"/>
    <n v="-572.50262258171085"/>
    <x v="6"/>
  </r>
  <r>
    <s v="PROJETADO"/>
    <x v="2"/>
    <x v="3"/>
    <x v="4"/>
    <x v="6"/>
    <x v="1"/>
    <x v="0"/>
    <x v="1"/>
    <x v="5"/>
    <n v="0"/>
    <n v="0"/>
    <n v="864.66600000000005"/>
    <n v="864.66600000000005"/>
    <n v="864.66600000000005"/>
    <n v="864.66600000000005"/>
    <n v="9951"/>
    <s v="CATIVO"/>
    <n v="0"/>
    <n v="0"/>
    <n v="42"/>
    <n v="86"/>
    <n v="0"/>
    <n v="363.71"/>
    <n v="158.91999999999999"/>
    <m/>
    <n v="378.12338651065483"/>
    <n v="207.6569230886405"/>
    <n v="0"/>
    <n v="50211.154620000074"/>
    <n v="0"/>
    <n v="56278.257464442657"/>
    <x v="6"/>
  </r>
  <r>
    <s v="PROJETADO"/>
    <x v="2"/>
    <x v="3"/>
    <x v="4"/>
    <x v="6"/>
    <x v="1"/>
    <x v="0"/>
    <x v="1"/>
    <x v="5"/>
    <n v="0"/>
    <n v="0"/>
    <n v="-6.1689999999999996"/>
    <n v="-6.1689999999999996"/>
    <n v="-6.1689999999999996"/>
    <n v="-6.1689999999999996"/>
    <n v="0"/>
    <s v="CATIVO"/>
    <n v="0"/>
    <n v="0"/>
    <n v="42"/>
    <n v="86"/>
    <n v="0"/>
    <n v="363.71"/>
    <n v="158.91999999999999"/>
    <m/>
    <n v="378.12338651065483"/>
    <n v="207.6569230886405"/>
    <n v="0"/>
    <n v="-358.23383000000047"/>
    <n v="0"/>
    <n v="-401.51985887978333"/>
    <x v="6"/>
  </r>
  <r>
    <s v="PROJETADO"/>
    <x v="2"/>
    <x v="3"/>
    <x v="4"/>
    <x v="6"/>
    <x v="1"/>
    <x v="0"/>
    <x v="1"/>
    <x v="5"/>
    <n v="0"/>
    <n v="0"/>
    <n v="2.1469999999999998"/>
    <n v="2.1469999999999998"/>
    <n v="2.1469999999999998"/>
    <n v="2.1469999999999998"/>
    <n v="5"/>
    <s v="CATIVO"/>
    <n v="0"/>
    <n v="0"/>
    <n v="42"/>
    <n v="86"/>
    <n v="0"/>
    <n v="363.71"/>
    <n v="158.91999999999999"/>
    <m/>
    <n v="378.12338651065483"/>
    <n v="207.6569230886405"/>
    <n v="0"/>
    <n v="124.67629000000015"/>
    <n v="0"/>
    <n v="139.74114718996512"/>
    <x v="6"/>
  </r>
  <r>
    <s v="Regular"/>
    <x v="2"/>
    <x v="3"/>
    <x v="4"/>
    <x v="7"/>
    <x v="1"/>
    <x v="0"/>
    <x v="1"/>
    <x v="9"/>
    <n v="0"/>
    <n v="0"/>
    <n v="1049.191"/>
    <n v="1049.191"/>
    <n v="1049.191"/>
    <n v="1049.191"/>
    <n v="8530"/>
    <s v="CATIVO"/>
    <n v="0"/>
    <n v="0"/>
    <n v="43"/>
    <n v="87"/>
    <n v="0"/>
    <n v="404.12"/>
    <n v="176.58"/>
    <m/>
    <n v="420.1370961229498"/>
    <n v="230.72991454293387"/>
    <n v="0"/>
    <n v="2.9819801738995012E-11"/>
    <n v="0"/>
    <n v="-2.9819801738995012E-11"/>
    <x v="6"/>
  </r>
  <r>
    <s v="Refaturamento - Regular"/>
    <x v="2"/>
    <x v="3"/>
    <x v="4"/>
    <x v="7"/>
    <x v="1"/>
    <x v="0"/>
    <x v="1"/>
    <x v="9"/>
    <n v="0"/>
    <n v="0"/>
    <n v="-42.261000000000003"/>
    <n v="-42.261000000000003"/>
    <n v="-42.261000000000003"/>
    <n v="-42.261000000000003"/>
    <n v="-91"/>
    <s v="CATIVO"/>
    <n v="0"/>
    <n v="0"/>
    <n v="43"/>
    <n v="87"/>
    <n v="0"/>
    <n v="404.12"/>
    <n v="176.58"/>
    <m/>
    <n v="420.1370961229498"/>
    <n v="230.72991454293387"/>
    <n v="0"/>
    <n v="-1.2011298622383038E-12"/>
    <n v="0"/>
    <n v="1.2011298622383038E-12"/>
    <x v="6"/>
  </r>
  <r>
    <s v="Sistema Isolado - Regular"/>
    <x v="2"/>
    <x v="3"/>
    <x v="4"/>
    <x v="7"/>
    <x v="1"/>
    <x v="0"/>
    <x v="1"/>
    <x v="9"/>
    <n v="0"/>
    <n v="0"/>
    <n v="269.61799999999999"/>
    <n v="269.61799999999999"/>
    <n v="269.61799999999999"/>
    <n v="269.61799999999999"/>
    <n v="2565"/>
    <s v="CATIVO"/>
    <n v="0"/>
    <n v="0"/>
    <n v="43"/>
    <n v="87"/>
    <n v="0"/>
    <n v="404.12"/>
    <n v="176.58"/>
    <m/>
    <n v="420.1370961229498"/>
    <n v="230.72991454293387"/>
    <n v="0"/>
    <n v="7.6630044532066675E-12"/>
    <n v="0"/>
    <n v="-7.6630044532066675E-12"/>
    <x v="6"/>
  </r>
  <r>
    <s v="Sistema Isolado - Refaturamento"/>
    <x v="2"/>
    <x v="3"/>
    <x v="4"/>
    <x v="7"/>
    <x v="1"/>
    <x v="0"/>
    <x v="1"/>
    <x v="9"/>
    <n v="0"/>
    <n v="0"/>
    <n v="-0.51400000000000001"/>
    <n v="-0.51400000000000001"/>
    <n v="-0.51400000000000001"/>
    <n v="-0.51400000000000001"/>
    <n v="-4"/>
    <s v="CATIVO"/>
    <n v="0"/>
    <n v="0"/>
    <n v="43"/>
    <n v="87"/>
    <n v="0"/>
    <n v="404.12"/>
    <n v="176.58"/>
    <m/>
    <n v="420.1370961229498"/>
    <n v="230.72991454293387"/>
    <n v="0"/>
    <n v="-1.460875864722766E-14"/>
    <n v="0"/>
    <n v="1.460875864722766E-14"/>
    <x v="6"/>
  </r>
  <r>
    <s v="Sistema de Compensação"/>
    <x v="2"/>
    <x v="3"/>
    <x v="4"/>
    <x v="7"/>
    <x v="1"/>
    <x v="0"/>
    <x v="1"/>
    <x v="9"/>
    <n v="0"/>
    <n v="0"/>
    <n v="4.2859999999999996"/>
    <n v="4.2859999999999996"/>
    <n v="4.2859999999999996"/>
    <n v="4.2859999999999996"/>
    <n v="28"/>
    <s v="CATIVO"/>
    <n v="0"/>
    <n v="0"/>
    <n v="43"/>
    <n v="87"/>
    <n v="0"/>
    <n v="404.12"/>
    <n v="176.58"/>
    <m/>
    <n v="420.1370961229498"/>
    <n v="230.72991454293387"/>
    <n v="0"/>
    <n v="1.2181544661871156E-13"/>
    <n v="0"/>
    <n v="-1.2181544661871156E-13"/>
    <x v="6"/>
  </r>
  <r>
    <s v="Sistema de Compensação"/>
    <x v="2"/>
    <x v="3"/>
    <x v="4"/>
    <x v="7"/>
    <x v="1"/>
    <x v="0"/>
    <x v="1"/>
    <x v="9"/>
    <n v="0"/>
    <n v="0"/>
    <n v="-2.1970000000000001"/>
    <n v="-2.1970000000000001"/>
    <n v="-2.1970000000000001"/>
    <n v="-2.1970000000000001"/>
    <n v="-1"/>
    <s v="CATIVO"/>
    <n v="0"/>
    <n v="0"/>
    <n v="43"/>
    <n v="87"/>
    <n v="0"/>
    <n v="404.12"/>
    <n v="176.58"/>
    <m/>
    <n v="420.1370961229498"/>
    <n v="230.72991454293387"/>
    <n v="0"/>
    <n v="-6.2442495618597606E-14"/>
    <n v="0"/>
    <n v="6.2442495618597606E-14"/>
    <x v="6"/>
  </r>
  <r>
    <s v="Regular"/>
    <x v="2"/>
    <x v="3"/>
    <x v="4"/>
    <x v="7"/>
    <x v="1"/>
    <x v="0"/>
    <x v="1"/>
    <x v="10"/>
    <n v="0"/>
    <n v="0"/>
    <n v="1096.509"/>
    <n v="1096.509"/>
    <n v="1096.509"/>
    <n v="1096.509"/>
    <n v="8858"/>
    <s v="CATIVO"/>
    <n v="0"/>
    <n v="0"/>
    <n v="43"/>
    <n v="87"/>
    <n v="0"/>
    <n v="404.12"/>
    <n v="176.58"/>
    <m/>
    <n v="420.1370961229498"/>
    <n v="230.72991454293387"/>
    <n v="0"/>
    <n v="3.1164660185822868E-11"/>
    <n v="0"/>
    <n v="-3.1164660185822868E-11"/>
    <x v="6"/>
  </r>
  <r>
    <s v="Refaturamento - Regular"/>
    <x v="2"/>
    <x v="3"/>
    <x v="4"/>
    <x v="7"/>
    <x v="1"/>
    <x v="0"/>
    <x v="1"/>
    <x v="10"/>
    <n v="0"/>
    <n v="0"/>
    <n v="-17.289000000000001"/>
    <n v="-17.289000000000001"/>
    <n v="-17.289000000000001"/>
    <n v="-17.289000000000001"/>
    <n v="-52"/>
    <s v="CATIVO"/>
    <n v="0"/>
    <n v="0"/>
    <n v="43"/>
    <n v="87"/>
    <n v="0"/>
    <n v="404.12"/>
    <n v="176.58"/>
    <m/>
    <n v="420.1370961229498"/>
    <n v="230.72991454293387"/>
    <n v="0"/>
    <n v="-4.9138293434225493E-13"/>
    <n v="0"/>
    <n v="4.9138293434225493E-13"/>
    <x v="6"/>
  </r>
  <r>
    <s v="Sistema Isolado - Regular"/>
    <x v="2"/>
    <x v="3"/>
    <x v="4"/>
    <x v="7"/>
    <x v="1"/>
    <x v="0"/>
    <x v="1"/>
    <x v="10"/>
    <n v="0"/>
    <n v="0"/>
    <n v="281.786"/>
    <n v="281.786"/>
    <n v="281.786"/>
    <n v="281.786"/>
    <n v="2654"/>
    <s v="CATIVO"/>
    <n v="0"/>
    <n v="0"/>
    <n v="43"/>
    <n v="87"/>
    <n v="0"/>
    <n v="404.12"/>
    <n v="176.58"/>
    <m/>
    <n v="420.1370961229498"/>
    <n v="230.72991454293387"/>
    <n v="0"/>
    <n v="8.0088398135558237E-12"/>
    <n v="0"/>
    <n v="-8.0088398135558237E-12"/>
    <x v="6"/>
  </r>
  <r>
    <s v="Sistema Isolado - Refaturamento"/>
    <x v="2"/>
    <x v="3"/>
    <x v="4"/>
    <x v="7"/>
    <x v="1"/>
    <x v="0"/>
    <x v="1"/>
    <x v="10"/>
    <n v="0"/>
    <n v="0"/>
    <n v="-4.2779999999999996"/>
    <n v="-4.2779999999999996"/>
    <n v="-4.2779999999999996"/>
    <n v="-4.2779999999999996"/>
    <n v="-5"/>
    <s v="CATIVO"/>
    <n v="0"/>
    <n v="0"/>
    <n v="43"/>
    <n v="87"/>
    <n v="0"/>
    <n v="404.12"/>
    <n v="176.58"/>
    <m/>
    <n v="420.1370961229498"/>
    <n v="230.72991454293387"/>
    <n v="0"/>
    <n v="-1.2158807294326833E-13"/>
    <n v="0"/>
    <n v="1.2158807294326833E-13"/>
    <x v="6"/>
  </r>
  <r>
    <s v="Sistema de Compensação"/>
    <x v="2"/>
    <x v="3"/>
    <x v="4"/>
    <x v="7"/>
    <x v="1"/>
    <x v="0"/>
    <x v="1"/>
    <x v="10"/>
    <n v="0"/>
    <n v="0"/>
    <n v="3.492"/>
    <n v="3.492"/>
    <n v="3.492"/>
    <n v="3.492"/>
    <n v="30"/>
    <s v="CATIVO"/>
    <n v="0"/>
    <n v="0"/>
    <n v="43"/>
    <n v="87"/>
    <n v="0"/>
    <n v="404.12"/>
    <n v="176.58"/>
    <m/>
    <n v="420.1370961229498"/>
    <n v="230.72991454293387"/>
    <n v="0"/>
    <n v="9.9248609330970794E-14"/>
    <n v="0"/>
    <n v="-9.9248609330970794E-14"/>
    <x v="6"/>
  </r>
  <r>
    <s v="Sistema de Compensação"/>
    <x v="2"/>
    <x v="3"/>
    <x v="4"/>
    <x v="7"/>
    <x v="1"/>
    <x v="0"/>
    <x v="1"/>
    <x v="10"/>
    <n v="0"/>
    <n v="0"/>
    <n v="-0.03"/>
    <n v="-0.03"/>
    <n v="-0.03"/>
    <n v="-0.03"/>
    <n v="-1"/>
    <s v="CATIVO"/>
    <n v="0"/>
    <n v="0"/>
    <n v="43"/>
    <n v="87"/>
    <n v="0"/>
    <n v="404.12"/>
    <n v="176.58"/>
    <m/>
    <n v="420.1370961229498"/>
    <n v="230.72991454293387"/>
    <n v="0"/>
    <n v="-8.5265128291212019E-16"/>
    <n v="0"/>
    <n v="8.5265128291212019E-16"/>
    <x v="6"/>
  </r>
  <r>
    <s v="Regular"/>
    <x v="2"/>
    <x v="3"/>
    <x v="4"/>
    <x v="7"/>
    <x v="1"/>
    <x v="0"/>
    <x v="1"/>
    <x v="11"/>
    <n v="0"/>
    <n v="0"/>
    <n v="990.79200000000003"/>
    <n v="990.79200000000003"/>
    <n v="990.79200000000003"/>
    <n v="990.79200000000003"/>
    <n v="8031"/>
    <s v="CATIVO"/>
    <n v="0"/>
    <n v="0"/>
    <n v="43"/>
    <n v="87"/>
    <n v="0"/>
    <n v="404.12"/>
    <n v="176.58"/>
    <m/>
    <n v="420.1370961229498"/>
    <n v="230.72991454293387"/>
    <n v="0"/>
    <n v="2.8160002329968848E-11"/>
    <n v="0"/>
    <n v="-2.8160002329968848E-11"/>
    <x v="6"/>
  </r>
  <r>
    <s v="Refaturamento - Regular"/>
    <x v="2"/>
    <x v="3"/>
    <x v="4"/>
    <x v="7"/>
    <x v="1"/>
    <x v="0"/>
    <x v="1"/>
    <x v="11"/>
    <n v="0"/>
    <n v="0"/>
    <n v="-3.859"/>
    <n v="-3.859"/>
    <n v="-3.859"/>
    <n v="-3.859"/>
    <n v="-40"/>
    <s v="CATIVO"/>
    <n v="0"/>
    <n v="0"/>
    <n v="43"/>
    <n v="87"/>
    <n v="0"/>
    <n v="404.12"/>
    <n v="176.58"/>
    <m/>
    <n v="420.1370961229498"/>
    <n v="230.72991454293387"/>
    <n v="0"/>
    <n v="-1.0967937669192906E-13"/>
    <n v="0"/>
    <n v="1.0967937669192906E-13"/>
    <x v="6"/>
  </r>
  <r>
    <s v="Sistema Isolado - Regular"/>
    <x v="2"/>
    <x v="3"/>
    <x v="4"/>
    <x v="7"/>
    <x v="1"/>
    <x v="0"/>
    <x v="1"/>
    <x v="11"/>
    <n v="0"/>
    <n v="0"/>
    <n v="227.375"/>
    <n v="227.375"/>
    <n v="227.375"/>
    <n v="227.375"/>
    <n v="2266"/>
    <s v="CATIVO"/>
    <n v="0"/>
    <n v="0"/>
    <n v="43"/>
    <n v="87"/>
    <n v="0"/>
    <n v="404.12"/>
    <n v="176.58"/>
    <m/>
    <n v="420.1370961229498"/>
    <n v="230.72991454293387"/>
    <n v="0"/>
    <n v="6.4623861817381112E-12"/>
    <n v="0"/>
    <n v="-6.4623861817381112E-12"/>
    <x v="6"/>
  </r>
  <r>
    <s v="Sistema Isolado - Refaturamento"/>
    <x v="2"/>
    <x v="3"/>
    <x v="4"/>
    <x v="7"/>
    <x v="1"/>
    <x v="0"/>
    <x v="1"/>
    <x v="11"/>
    <n v="0"/>
    <n v="0"/>
    <n v="-14.207000000000001"/>
    <n v="-14.207000000000001"/>
    <n v="-14.207000000000001"/>
    <n v="-14.207000000000001"/>
    <n v="-5"/>
    <s v="CATIVO"/>
    <n v="0"/>
    <n v="0"/>
    <n v="43"/>
    <n v="87"/>
    <n v="0"/>
    <n v="404.12"/>
    <n v="176.58"/>
    <m/>
    <n v="420.1370961229498"/>
    <n v="230.72991454293387"/>
    <n v="0"/>
    <n v="-4.0378722587774975E-13"/>
    <n v="0"/>
    <n v="4.0378722587774975E-13"/>
    <x v="6"/>
  </r>
  <r>
    <s v="Sistema de Compensação"/>
    <x v="2"/>
    <x v="3"/>
    <x v="4"/>
    <x v="7"/>
    <x v="1"/>
    <x v="0"/>
    <x v="1"/>
    <x v="11"/>
    <n v="0"/>
    <n v="0"/>
    <n v="2.3650000000000002"/>
    <n v="2.3650000000000002"/>
    <n v="2.3650000000000002"/>
    <n v="2.3650000000000002"/>
    <n v="34"/>
    <s v="CATIVO"/>
    <n v="0"/>
    <n v="0"/>
    <n v="43"/>
    <n v="87"/>
    <n v="0"/>
    <n v="404.12"/>
    <n v="176.58"/>
    <m/>
    <n v="420.1370961229498"/>
    <n v="230.72991454293387"/>
    <n v="0"/>
    <n v="6.7217342802905484E-14"/>
    <n v="0"/>
    <n v="-6.7217342802905484E-14"/>
    <x v="6"/>
  </r>
  <r>
    <s v="Sistema de Compensação"/>
    <x v="2"/>
    <x v="3"/>
    <x v="4"/>
    <x v="7"/>
    <x v="1"/>
    <x v="0"/>
    <x v="1"/>
    <x v="11"/>
    <n v="0"/>
    <n v="0"/>
    <n v="-2.9000000000000001E-2"/>
    <n v="-2.9000000000000001E-2"/>
    <n v="-2.9000000000000001E-2"/>
    <n v="-2.9000000000000001E-2"/>
    <n v="-1"/>
    <s v="CATIVO"/>
    <n v="0"/>
    <n v="0"/>
    <n v="43"/>
    <n v="87"/>
    <n v="0"/>
    <n v="404.12"/>
    <n v="176.58"/>
    <m/>
    <n v="420.1370961229498"/>
    <n v="230.72991454293387"/>
    <n v="0"/>
    <n v="-8.2422957348171626E-16"/>
    <n v="0"/>
    <n v="8.2422957348171626E-16"/>
    <x v="6"/>
  </r>
  <r>
    <s v="Regular"/>
    <x v="2"/>
    <x v="3"/>
    <x v="4"/>
    <x v="7"/>
    <x v="1"/>
    <x v="0"/>
    <x v="1"/>
    <x v="6"/>
    <n v="0"/>
    <n v="0"/>
    <n v="1061.9000000000001"/>
    <n v="1061.9000000000001"/>
    <n v="1061.9000000000001"/>
    <n v="1061.9000000000001"/>
    <n v="9110"/>
    <s v="CATIVO"/>
    <n v="0"/>
    <n v="0"/>
    <n v="43"/>
    <n v="87"/>
    <n v="0"/>
    <n v="404.12"/>
    <n v="176.58"/>
    <m/>
    <n v="420.1370961229498"/>
    <n v="230.72991454293387"/>
    <n v="0"/>
    <n v="3.0181013244146018E-11"/>
    <n v="0"/>
    <n v="-3.0181013244146018E-11"/>
    <x v="6"/>
  </r>
  <r>
    <s v="Refaturamento - Regular"/>
    <x v="2"/>
    <x v="3"/>
    <x v="4"/>
    <x v="7"/>
    <x v="1"/>
    <x v="0"/>
    <x v="1"/>
    <x v="6"/>
    <n v="0"/>
    <n v="0"/>
    <n v="-5.4640000000000004"/>
    <n v="-5.4640000000000004"/>
    <n v="-5.4640000000000004"/>
    <n v="-5.4640000000000004"/>
    <n v="-23"/>
    <s v="CATIVO"/>
    <n v="0"/>
    <n v="0"/>
    <n v="43"/>
    <n v="87"/>
    <n v="0"/>
    <n v="404.12"/>
    <n v="176.58"/>
    <m/>
    <n v="420.1370961229498"/>
    <n v="230.72991454293387"/>
    <n v="0"/>
    <n v="-1.5529622032772751E-13"/>
    <n v="0"/>
    <n v="1.5529622032772751E-13"/>
    <x v="6"/>
  </r>
  <r>
    <s v="Sistema Isolado - Regular"/>
    <x v="2"/>
    <x v="3"/>
    <x v="4"/>
    <x v="7"/>
    <x v="1"/>
    <x v="0"/>
    <x v="1"/>
    <x v="6"/>
    <n v="0"/>
    <n v="0"/>
    <n v="257.94900000000001"/>
    <n v="257.94900000000001"/>
    <n v="257.94900000000001"/>
    <n v="257.94900000000001"/>
    <n v="2548"/>
    <s v="CATIVO"/>
    <n v="0"/>
    <n v="0"/>
    <n v="43"/>
    <n v="87"/>
    <n v="0"/>
    <n v="404.12"/>
    <n v="176.58"/>
    <m/>
    <n v="420.1370961229498"/>
    <n v="230.72991454293387"/>
    <n v="0"/>
    <n v="7.3313515258632837E-12"/>
    <n v="0"/>
    <n v="-7.3313515258632837E-12"/>
    <x v="6"/>
  </r>
  <r>
    <s v="Sistema Isolado - Refaturamento"/>
    <x v="2"/>
    <x v="3"/>
    <x v="4"/>
    <x v="7"/>
    <x v="1"/>
    <x v="0"/>
    <x v="1"/>
    <x v="6"/>
    <n v="0"/>
    <n v="0"/>
    <n v="-0.50700000000000001"/>
    <n v="-0.50700000000000001"/>
    <n v="-0.50700000000000001"/>
    <n v="-0.50700000000000001"/>
    <n v="-6"/>
    <s v="CATIVO"/>
    <n v="0"/>
    <n v="0"/>
    <n v="43"/>
    <n v="87"/>
    <n v="0"/>
    <n v="404.12"/>
    <n v="176.58"/>
    <m/>
    <n v="420.1370961229498"/>
    <n v="230.72991454293387"/>
    <n v="0"/>
    <n v="-1.4409806681214832E-14"/>
    <n v="0"/>
    <n v="1.4409806681214832E-14"/>
    <x v="6"/>
  </r>
  <r>
    <s v="Sistema de Compensação"/>
    <x v="2"/>
    <x v="3"/>
    <x v="4"/>
    <x v="7"/>
    <x v="1"/>
    <x v="0"/>
    <x v="1"/>
    <x v="6"/>
    <n v="0"/>
    <n v="0"/>
    <n v="2.5219999999999998"/>
    <n v="2.5219999999999998"/>
    <n v="2.5219999999999998"/>
    <n v="2.5219999999999998"/>
    <n v="37"/>
    <s v="CATIVO"/>
    <n v="0"/>
    <n v="0"/>
    <n v="43"/>
    <n v="87"/>
    <n v="0"/>
    <n v="404.12"/>
    <n v="176.58"/>
    <m/>
    <n v="420.1370961229498"/>
    <n v="230.72991454293387"/>
    <n v="0"/>
    <n v="7.1679551183478901E-14"/>
    <n v="0"/>
    <n v="-7.1679551183478901E-14"/>
    <x v="6"/>
  </r>
  <r>
    <s v="Regular"/>
    <x v="2"/>
    <x v="3"/>
    <x v="4"/>
    <x v="7"/>
    <x v="1"/>
    <x v="0"/>
    <x v="1"/>
    <x v="7"/>
    <n v="0"/>
    <n v="0"/>
    <n v="1132.326"/>
    <n v="1132.326"/>
    <n v="1132.326"/>
    <n v="1132.326"/>
    <n v="9345"/>
    <s v="CATIVO"/>
    <n v="0"/>
    <n v="0"/>
    <n v="43"/>
    <n v="87"/>
    <n v="0"/>
    <n v="404.12"/>
    <n v="176.58"/>
    <m/>
    <n v="420.1370961229498"/>
    <n v="230.72991454293387"/>
    <n v="0"/>
    <n v="3.2182640552491649E-11"/>
    <n v="0"/>
    <n v="-3.2182640552491649E-11"/>
    <x v="6"/>
  </r>
  <r>
    <s v="Refaturamento - Regular"/>
    <x v="2"/>
    <x v="3"/>
    <x v="4"/>
    <x v="7"/>
    <x v="1"/>
    <x v="0"/>
    <x v="1"/>
    <x v="7"/>
    <n v="0"/>
    <n v="0"/>
    <n v="2.7719999999999998"/>
    <n v="2.7719999999999998"/>
    <n v="2.7719999999999998"/>
    <n v="2.7719999999999998"/>
    <n v="-34"/>
    <s v="CATIVO"/>
    <n v="0"/>
    <n v="0"/>
    <n v="43"/>
    <n v="87"/>
    <n v="0"/>
    <n v="404.12"/>
    <n v="176.58"/>
    <m/>
    <n v="420.1370961229498"/>
    <n v="230.72991454293387"/>
    <n v="0"/>
    <n v="7.8784978541079903E-14"/>
    <n v="0"/>
    <n v="-7.8784978541079903E-14"/>
    <x v="6"/>
  </r>
  <r>
    <s v="Sistema Isolado - Regular"/>
    <x v="2"/>
    <x v="3"/>
    <x v="4"/>
    <x v="7"/>
    <x v="1"/>
    <x v="0"/>
    <x v="1"/>
    <x v="7"/>
    <n v="0"/>
    <n v="0"/>
    <n v="269.14"/>
    <n v="269.14"/>
    <n v="269.14"/>
    <n v="269.14"/>
    <n v="2632"/>
    <s v="CATIVO"/>
    <n v="0"/>
    <n v="0"/>
    <n v="43"/>
    <n v="87"/>
    <n v="0"/>
    <n v="404.12"/>
    <n v="176.58"/>
    <m/>
    <n v="420.1370961229498"/>
    <n v="230.72991454293387"/>
    <n v="0"/>
    <n v="7.6494188760989342E-12"/>
    <n v="0"/>
    <n v="-7.6494188760989342E-12"/>
    <x v="6"/>
  </r>
  <r>
    <s v="Sistema Isolado - Refaturamento"/>
    <x v="2"/>
    <x v="3"/>
    <x v="4"/>
    <x v="7"/>
    <x v="1"/>
    <x v="0"/>
    <x v="1"/>
    <x v="7"/>
    <n v="0"/>
    <n v="0"/>
    <n v="-1.2090000000000001"/>
    <n v="-1.2090000000000001"/>
    <n v="-1.2090000000000001"/>
    <n v="-1.2090000000000001"/>
    <n v="-14"/>
    <s v="CATIVO"/>
    <n v="0"/>
    <n v="0"/>
    <n v="43"/>
    <n v="87"/>
    <n v="0"/>
    <n v="404.12"/>
    <n v="176.58"/>
    <m/>
    <n v="420.1370961229498"/>
    <n v="230.72991454293387"/>
    <n v="0"/>
    <n v="-3.4361846701358447E-14"/>
    <n v="0"/>
    <n v="3.4361846701358447E-14"/>
    <x v="6"/>
  </r>
  <r>
    <s v="Sistema de Compensação"/>
    <x v="2"/>
    <x v="3"/>
    <x v="4"/>
    <x v="7"/>
    <x v="1"/>
    <x v="0"/>
    <x v="1"/>
    <x v="7"/>
    <n v="0"/>
    <n v="0"/>
    <n v="1.9550000000000001"/>
    <n v="1.9550000000000001"/>
    <n v="1.9550000000000001"/>
    <n v="1.9550000000000001"/>
    <n v="39"/>
    <s v="CATIVO"/>
    <n v="0"/>
    <n v="0"/>
    <n v="43"/>
    <n v="87"/>
    <n v="0"/>
    <n v="404.12"/>
    <n v="176.58"/>
    <m/>
    <n v="420.1370961229498"/>
    <n v="230.72991454293387"/>
    <n v="0"/>
    <n v="5.5564441936439837E-14"/>
    <n v="0"/>
    <n v="-5.5564441936439837E-14"/>
    <x v="6"/>
  </r>
  <r>
    <s v="Regular"/>
    <x v="2"/>
    <x v="3"/>
    <x v="4"/>
    <x v="7"/>
    <x v="1"/>
    <x v="0"/>
    <x v="1"/>
    <x v="8"/>
    <n v="0"/>
    <n v="0"/>
    <n v="1108.713"/>
    <n v="1108.713"/>
    <n v="1108.713"/>
    <n v="1108.713"/>
    <n v="9125"/>
    <s v="CATIVO"/>
    <n v="0"/>
    <n v="0"/>
    <n v="43"/>
    <n v="87"/>
    <n v="0"/>
    <n v="404.12"/>
    <n v="176.58"/>
    <m/>
    <n v="420.1370961229498"/>
    <n v="230.72991454293387"/>
    <n v="0"/>
    <n v="3.1511518727711517E-11"/>
    <n v="0"/>
    <n v="-3.1511518727711517E-11"/>
    <x v="6"/>
  </r>
  <r>
    <s v="Refaturamento - Regular"/>
    <x v="2"/>
    <x v="3"/>
    <x v="4"/>
    <x v="7"/>
    <x v="1"/>
    <x v="0"/>
    <x v="1"/>
    <x v="8"/>
    <n v="0"/>
    <n v="0"/>
    <n v="3.0230000000000001"/>
    <n v="3.0230000000000001"/>
    <n v="3.0230000000000001"/>
    <n v="3.0230000000000001"/>
    <n v="-18"/>
    <s v="CATIVO"/>
    <n v="0"/>
    <n v="0"/>
    <n v="43"/>
    <n v="87"/>
    <n v="0"/>
    <n v="404.12"/>
    <n v="176.58"/>
    <m/>
    <n v="420.1370961229498"/>
    <n v="230.72991454293387"/>
    <n v="0"/>
    <n v="8.5918827608111318E-14"/>
    <n v="0"/>
    <n v="-8.5918827608111318E-14"/>
    <x v="6"/>
  </r>
  <r>
    <s v="Sistema Isolado - Regular"/>
    <x v="2"/>
    <x v="3"/>
    <x v="4"/>
    <x v="7"/>
    <x v="1"/>
    <x v="0"/>
    <x v="1"/>
    <x v="8"/>
    <n v="0"/>
    <n v="0"/>
    <n v="238.76499999999999"/>
    <n v="238.76499999999999"/>
    <n v="238.76499999999999"/>
    <n v="238.76499999999999"/>
    <n v="2296"/>
    <s v="CATIVO"/>
    <n v="0"/>
    <n v="0"/>
    <n v="43"/>
    <n v="87"/>
    <n v="0"/>
    <n v="404.12"/>
    <n v="176.58"/>
    <m/>
    <n v="420.1370961229498"/>
    <n v="230.72991454293387"/>
    <n v="0"/>
    <n v="6.7861094521504124E-12"/>
    <n v="0"/>
    <n v="-6.7861094521504124E-12"/>
    <x v="6"/>
  </r>
  <r>
    <s v="Sistema Isolado - Refaturamento"/>
    <x v="2"/>
    <x v="3"/>
    <x v="4"/>
    <x v="7"/>
    <x v="1"/>
    <x v="0"/>
    <x v="1"/>
    <x v="8"/>
    <n v="0"/>
    <n v="0"/>
    <n v="-6.2050000000000001"/>
    <n v="-6.2050000000000001"/>
    <n v="-6.2050000000000001"/>
    <n v="-6.2050000000000001"/>
    <n v="-8"/>
    <s v="CATIVO"/>
    <n v="0"/>
    <n v="0"/>
    <n v="43"/>
    <n v="87"/>
    <n v="0"/>
    <n v="404.12"/>
    <n v="176.58"/>
    <m/>
    <n v="420.1370961229498"/>
    <n v="230.72991454293387"/>
    <n v="0"/>
    <n v="-1.7635670701565687E-13"/>
    <n v="0"/>
    <n v="1.7635670701565687E-13"/>
    <x v="6"/>
  </r>
  <r>
    <s v="Sistema de Compensação"/>
    <x v="2"/>
    <x v="3"/>
    <x v="4"/>
    <x v="7"/>
    <x v="1"/>
    <x v="0"/>
    <x v="1"/>
    <x v="8"/>
    <n v="0"/>
    <n v="0"/>
    <n v="2.3730000000000002"/>
    <n v="2.3730000000000002"/>
    <n v="2.3730000000000002"/>
    <n v="2.3730000000000002"/>
    <n v="40"/>
    <s v="CATIVO"/>
    <n v="0"/>
    <n v="0"/>
    <n v="43"/>
    <n v="87"/>
    <n v="0"/>
    <n v="404.12"/>
    <n v="176.58"/>
    <m/>
    <n v="420.1370961229498"/>
    <n v="230.72991454293387"/>
    <n v="0"/>
    <n v="6.7444716478348716E-14"/>
    <n v="0"/>
    <n v="-6.7444716478348716E-14"/>
    <x v="6"/>
  </r>
  <r>
    <s v="Regular"/>
    <x v="2"/>
    <x v="3"/>
    <x v="4"/>
    <x v="7"/>
    <x v="1"/>
    <x v="0"/>
    <x v="1"/>
    <x v="0"/>
    <n v="0"/>
    <n v="0"/>
    <n v="862.18299999999999"/>
    <n v="862.18299999999999"/>
    <n v="862.18299999999999"/>
    <n v="862.18299999999999"/>
    <n v="7680"/>
    <s v="CATIVO"/>
    <n v="0"/>
    <n v="0"/>
    <n v="43"/>
    <n v="87"/>
    <n v="0"/>
    <n v="404.12"/>
    <n v="176.58"/>
    <m/>
    <n v="420.1370961229498"/>
    <n v="230.72991454293387"/>
    <n v="0"/>
    <n v="2.4504714701834018E-11"/>
    <n v="0"/>
    <n v="-2.4504714701834018E-11"/>
    <x v="6"/>
  </r>
  <r>
    <s v="Refaturamento - Regular"/>
    <x v="2"/>
    <x v="3"/>
    <x v="4"/>
    <x v="7"/>
    <x v="1"/>
    <x v="0"/>
    <x v="1"/>
    <x v="0"/>
    <n v="0"/>
    <n v="0"/>
    <n v="-39.286000000000001"/>
    <n v="-39.286000000000001"/>
    <n v="-39.286000000000001"/>
    <n v="-39.286000000000001"/>
    <n v="-24"/>
    <s v="CATIVO"/>
    <n v="0"/>
    <n v="0"/>
    <n v="43"/>
    <n v="87"/>
    <n v="0"/>
    <n v="404.12"/>
    <n v="176.58"/>
    <m/>
    <n v="420.1370961229498"/>
    <n v="230.72991454293387"/>
    <n v="0"/>
    <n v="-1.1165752766828519E-12"/>
    <n v="0"/>
    <n v="1.1165752766828519E-12"/>
    <x v="6"/>
  </r>
  <r>
    <s v="Sistema Isolado - Regular"/>
    <x v="2"/>
    <x v="3"/>
    <x v="4"/>
    <x v="7"/>
    <x v="1"/>
    <x v="0"/>
    <x v="1"/>
    <x v="0"/>
    <n v="0"/>
    <n v="0"/>
    <n v="197.06899999999999"/>
    <n v="197.06899999999999"/>
    <n v="197.06899999999999"/>
    <n v="197.06899999999999"/>
    <n v="2066"/>
    <s v="CATIVO"/>
    <n v="0"/>
    <n v="0"/>
    <n v="43"/>
    <n v="87"/>
    <n v="0"/>
    <n v="404.12"/>
    <n v="176.58"/>
    <m/>
    <n v="420.1370961229498"/>
    <n v="230.72991454293387"/>
    <n v="0"/>
    <n v="5.601037855740287E-12"/>
    <n v="0"/>
    <n v="-5.601037855740287E-12"/>
    <x v="6"/>
  </r>
  <r>
    <s v="Sistema Isolado - Refaturamento"/>
    <x v="2"/>
    <x v="3"/>
    <x v="4"/>
    <x v="7"/>
    <x v="1"/>
    <x v="0"/>
    <x v="1"/>
    <x v="0"/>
    <n v="0"/>
    <n v="0"/>
    <n v="-4.6539999999999999"/>
    <n v="-4.6539999999999999"/>
    <n v="-4.6539999999999999"/>
    <n v="-4.6539999999999999"/>
    <n v="-2"/>
    <s v="CATIVO"/>
    <n v="0"/>
    <n v="0"/>
    <n v="43"/>
    <n v="87"/>
    <n v="0"/>
    <n v="404.12"/>
    <n v="176.58"/>
    <m/>
    <n v="420.1370961229498"/>
    <n v="230.72991454293387"/>
    <n v="0"/>
    <n v="-1.3227463568910025E-13"/>
    <n v="0"/>
    <n v="1.3227463568910025E-13"/>
    <x v="6"/>
  </r>
  <r>
    <s v="Sistema de Compensação"/>
    <x v="2"/>
    <x v="3"/>
    <x v="4"/>
    <x v="7"/>
    <x v="1"/>
    <x v="0"/>
    <x v="1"/>
    <x v="0"/>
    <n v="0"/>
    <n v="0"/>
    <n v="2.633"/>
    <n v="2.633"/>
    <n v="2.633"/>
    <n v="2.633"/>
    <n v="37"/>
    <s v="CATIVO"/>
    <n v="0"/>
    <n v="0"/>
    <n v="43"/>
    <n v="87"/>
    <n v="0"/>
    <n v="404.12"/>
    <n v="176.58"/>
    <m/>
    <n v="420.1370961229498"/>
    <n v="230.72991454293387"/>
    <n v="0"/>
    <n v="7.4834360930253752E-14"/>
    <n v="0"/>
    <n v="-7.4834360930253752E-14"/>
    <x v="6"/>
  </r>
  <r>
    <s v="Regular"/>
    <x v="2"/>
    <x v="3"/>
    <x v="4"/>
    <x v="7"/>
    <x v="1"/>
    <x v="0"/>
    <x v="1"/>
    <x v="1"/>
    <n v="0"/>
    <n v="0"/>
    <n v="1246.318"/>
    <n v="1246.318"/>
    <n v="1246.318"/>
    <n v="1246.318"/>
    <n v="9969"/>
    <s v="CATIVO"/>
    <n v="0"/>
    <n v="0"/>
    <n v="43"/>
    <n v="87"/>
    <n v="0"/>
    <n v="404.12"/>
    <n v="176.58"/>
    <m/>
    <n v="420.1370961229498"/>
    <n v="230.72991454293387"/>
    <n v="0"/>
    <n v="3.5422488053882261E-11"/>
    <n v="0"/>
    <n v="-3.5422488053882261E-11"/>
    <x v="6"/>
  </r>
  <r>
    <s v="Refaturamento - Regular"/>
    <x v="2"/>
    <x v="3"/>
    <x v="4"/>
    <x v="7"/>
    <x v="1"/>
    <x v="0"/>
    <x v="1"/>
    <x v="1"/>
    <n v="0"/>
    <n v="0"/>
    <n v="-28.143000000000001"/>
    <n v="-28.143000000000001"/>
    <n v="-28.143000000000001"/>
    <n v="-28.143000000000001"/>
    <n v="-28"/>
    <s v="CATIVO"/>
    <n v="0"/>
    <n v="0"/>
    <n v="43"/>
    <n v="87"/>
    <n v="0"/>
    <n v="404.12"/>
    <n v="176.58"/>
    <m/>
    <n v="420.1370961229498"/>
    <n v="230.72991454293387"/>
    <n v="0"/>
    <n v="-7.9987216849986E-13"/>
    <n v="0"/>
    <n v="7.9987216849986E-13"/>
    <x v="6"/>
  </r>
  <r>
    <s v="Sistema Isolado - Regular"/>
    <x v="2"/>
    <x v="3"/>
    <x v="4"/>
    <x v="7"/>
    <x v="1"/>
    <x v="0"/>
    <x v="1"/>
    <x v="1"/>
    <n v="0"/>
    <n v="0"/>
    <n v="281.52499999999998"/>
    <n v="281.52499999999998"/>
    <n v="281.52499999999998"/>
    <n v="281.52499999999998"/>
    <n v="2679"/>
    <s v="CATIVO"/>
    <n v="0"/>
    <n v="0"/>
    <n v="43"/>
    <n v="87"/>
    <n v="0"/>
    <n v="404.12"/>
    <n v="176.58"/>
    <m/>
    <n v="420.1370961229498"/>
    <n v="230.72991454293387"/>
    <n v="0"/>
    <n v="8.0014217473944875E-12"/>
    <n v="0"/>
    <n v="-8.0014217473944875E-12"/>
    <x v="6"/>
  </r>
  <r>
    <s v="Sistema Isolado - Refaturamento"/>
    <x v="2"/>
    <x v="3"/>
    <x v="4"/>
    <x v="7"/>
    <x v="1"/>
    <x v="0"/>
    <x v="1"/>
    <x v="1"/>
    <n v="0"/>
    <n v="0"/>
    <n v="-5.6539999999999999"/>
    <n v="-5.6539999999999999"/>
    <n v="-5.6539999999999999"/>
    <n v="-5.6539999999999999"/>
    <n v="-4"/>
    <s v="CATIVO"/>
    <n v="0"/>
    <n v="0"/>
    <n v="43"/>
    <n v="87"/>
    <n v="0"/>
    <n v="404.12"/>
    <n v="176.58"/>
    <m/>
    <n v="420.1370961229498"/>
    <n v="230.72991454293387"/>
    <n v="0"/>
    <n v="-1.6069634511950426E-13"/>
    <n v="0"/>
    <n v="1.6069634511950426E-13"/>
    <x v="6"/>
  </r>
  <r>
    <s v="Sistema de Compensação"/>
    <x v="2"/>
    <x v="3"/>
    <x v="4"/>
    <x v="7"/>
    <x v="1"/>
    <x v="0"/>
    <x v="1"/>
    <x v="1"/>
    <n v="0"/>
    <n v="0"/>
    <n v="2.7109999999999999"/>
    <n v="2.7109999999999999"/>
    <n v="2.7109999999999999"/>
    <n v="2.7109999999999999"/>
    <n v="44"/>
    <s v="CATIVO"/>
    <n v="0"/>
    <n v="0"/>
    <n v="43"/>
    <n v="87"/>
    <n v="0"/>
    <n v="404.12"/>
    <n v="176.58"/>
    <m/>
    <n v="420.1370961229498"/>
    <n v="230.72991454293387"/>
    <n v="0"/>
    <n v="7.705125426582526E-14"/>
    <n v="0"/>
    <n v="-7.705125426582526E-14"/>
    <x v="6"/>
  </r>
  <r>
    <s v="Regular"/>
    <x v="2"/>
    <x v="3"/>
    <x v="4"/>
    <x v="7"/>
    <x v="1"/>
    <x v="0"/>
    <x v="1"/>
    <x v="2"/>
    <n v="0"/>
    <n v="0"/>
    <n v="1378.7329999999999"/>
    <n v="1378.7329999999999"/>
    <n v="1378.7329999999999"/>
    <n v="1378.7329999999999"/>
    <n v="10564"/>
    <s v="CATIVO"/>
    <n v="0"/>
    <n v="0"/>
    <n v="43"/>
    <n v="87"/>
    <n v="0"/>
    <n v="404.12"/>
    <n v="176.58"/>
    <m/>
    <n v="420.1370961229498"/>
    <n v="230.72991454293387"/>
    <n v="0"/>
    <n v="3.9185948708109207E-11"/>
    <n v="0"/>
    <n v="-3.9185948708109207E-11"/>
    <x v="6"/>
  </r>
  <r>
    <s v="Refaturamento - Regular"/>
    <x v="2"/>
    <x v="3"/>
    <x v="4"/>
    <x v="7"/>
    <x v="1"/>
    <x v="0"/>
    <x v="1"/>
    <x v="2"/>
    <n v="0"/>
    <n v="0"/>
    <n v="-17.792000000000002"/>
    <n v="-17.792000000000002"/>
    <n v="-17.792000000000002"/>
    <n v="-17.792000000000002"/>
    <n v="-11"/>
    <s v="CATIVO"/>
    <n v="0"/>
    <n v="0"/>
    <n v="43"/>
    <n v="87"/>
    <n v="0"/>
    <n v="404.12"/>
    <n v="176.58"/>
    <m/>
    <n v="420.1370961229498"/>
    <n v="230.72991454293387"/>
    <n v="0"/>
    <n v="-5.0567905418574815E-13"/>
    <n v="0"/>
    <n v="5.0567905418574815E-13"/>
    <x v="6"/>
  </r>
  <r>
    <s v="Sistema Isolado - Regular"/>
    <x v="2"/>
    <x v="3"/>
    <x v="4"/>
    <x v="7"/>
    <x v="1"/>
    <x v="0"/>
    <x v="1"/>
    <x v="2"/>
    <n v="0"/>
    <n v="0"/>
    <n v="424.41399999999999"/>
    <n v="424.41399999999999"/>
    <n v="424.41399999999999"/>
    <n v="424.41399999999999"/>
    <n v="3671"/>
    <s v="CATIVO"/>
    <n v="0"/>
    <n v="0"/>
    <n v="43"/>
    <n v="87"/>
    <n v="0"/>
    <n v="404.12"/>
    <n v="176.58"/>
    <m/>
    <n v="420.1370961229498"/>
    <n v="230.72991454293387"/>
    <n v="0"/>
    <n v="1.2062571386195486E-11"/>
    <n v="0"/>
    <n v="-1.2062571386195486E-11"/>
    <x v="6"/>
  </r>
  <r>
    <s v="Sistema Isolado - Refaturamento"/>
    <x v="2"/>
    <x v="3"/>
    <x v="4"/>
    <x v="7"/>
    <x v="1"/>
    <x v="0"/>
    <x v="1"/>
    <x v="2"/>
    <n v="0"/>
    <n v="0"/>
    <n v="-8.952"/>
    <n v="-8.952"/>
    <n v="-8.952"/>
    <n v="-8.952"/>
    <n v="-12"/>
    <s v="CATIVO"/>
    <n v="0"/>
    <n v="0"/>
    <n v="43"/>
    <n v="87"/>
    <n v="0"/>
    <n v="404.12"/>
    <n v="176.58"/>
    <m/>
    <n v="420.1370961229498"/>
    <n v="230.72991454293387"/>
    <n v="0"/>
    <n v="-2.5443114282097667E-13"/>
    <n v="0"/>
    <n v="2.5443114282097667E-13"/>
    <x v="6"/>
  </r>
  <r>
    <s v="Sistema de Compensação"/>
    <x v="2"/>
    <x v="3"/>
    <x v="4"/>
    <x v="7"/>
    <x v="1"/>
    <x v="0"/>
    <x v="1"/>
    <x v="2"/>
    <n v="0"/>
    <n v="0"/>
    <n v="5.4349999999999996"/>
    <n v="5.4349999999999996"/>
    <n v="5.4349999999999996"/>
    <n v="5.4349999999999996"/>
    <n v="45"/>
    <s v="CATIVO"/>
    <n v="0"/>
    <n v="0"/>
    <n v="43"/>
    <n v="87"/>
    <n v="0"/>
    <n v="404.12"/>
    <n v="176.58"/>
    <m/>
    <n v="420.1370961229498"/>
    <n v="230.72991454293387"/>
    <n v="0"/>
    <n v="1.5447199075424577E-13"/>
    <n v="0"/>
    <n v="-1.5447199075424577E-13"/>
    <x v="6"/>
  </r>
  <r>
    <s v="Regular"/>
    <x v="2"/>
    <x v="3"/>
    <x v="4"/>
    <x v="7"/>
    <x v="1"/>
    <x v="0"/>
    <x v="1"/>
    <x v="3"/>
    <n v="0"/>
    <n v="0"/>
    <n v="1355.74"/>
    <n v="1355.74"/>
    <n v="1355.74"/>
    <n v="1355.74"/>
    <n v="10852"/>
    <s v="CATIVO"/>
    <n v="0"/>
    <n v="0"/>
    <n v="43"/>
    <n v="87"/>
    <n v="0"/>
    <n v="404.12"/>
    <n v="176.58"/>
    <m/>
    <n v="420.1370961229498"/>
    <n v="230.72991454293387"/>
    <n v="0"/>
    <n v="3.8532448343175929E-11"/>
    <n v="0"/>
    <n v="-3.8532448343175929E-11"/>
    <x v="6"/>
  </r>
  <r>
    <s v="Refaturamento - Regular"/>
    <x v="2"/>
    <x v="3"/>
    <x v="4"/>
    <x v="7"/>
    <x v="1"/>
    <x v="0"/>
    <x v="1"/>
    <x v="3"/>
    <n v="0"/>
    <n v="0"/>
    <n v="-15.724"/>
    <n v="-15.724"/>
    <n v="-15.724"/>
    <n v="-15.724"/>
    <n v="-18"/>
    <s v="CATIVO"/>
    <n v="0"/>
    <n v="0"/>
    <n v="43"/>
    <n v="87"/>
    <n v="0"/>
    <n v="404.12"/>
    <n v="176.58"/>
    <m/>
    <n v="420.1370961229498"/>
    <n v="230.72991454293387"/>
    <n v="0"/>
    <n v="-4.4690295908367262E-13"/>
    <n v="0"/>
    <n v="4.4690295908367262E-13"/>
    <x v="6"/>
  </r>
  <r>
    <s v="Sistema Isolado - Regular"/>
    <x v="2"/>
    <x v="3"/>
    <x v="4"/>
    <x v="7"/>
    <x v="1"/>
    <x v="0"/>
    <x v="1"/>
    <x v="3"/>
    <n v="0"/>
    <n v="0"/>
    <n v="344.08600000000001"/>
    <n v="344.08600000000001"/>
    <n v="344.08600000000001"/>
    <n v="344.08600000000001"/>
    <n v="2879"/>
    <s v="CATIVO"/>
    <n v="0"/>
    <n v="0"/>
    <n v="43"/>
    <n v="87"/>
    <n v="0"/>
    <n v="404.12"/>
    <n v="176.58"/>
    <m/>
    <n v="420.1370961229498"/>
    <n v="230.72991454293387"/>
    <n v="0"/>
    <n v="9.7795123110699937E-12"/>
    <n v="0"/>
    <n v="-9.7795123110699937E-12"/>
    <x v="6"/>
  </r>
  <r>
    <s v="Sistema Isolado - Refaturamento"/>
    <x v="2"/>
    <x v="3"/>
    <x v="4"/>
    <x v="7"/>
    <x v="1"/>
    <x v="0"/>
    <x v="1"/>
    <x v="3"/>
    <n v="0"/>
    <n v="0"/>
    <n v="-4.3019999999999996"/>
    <n v="-4.3019999999999996"/>
    <n v="-4.3019999999999996"/>
    <n v="-4.3019999999999996"/>
    <n v="-4"/>
    <s v="CATIVO"/>
    <n v="0"/>
    <n v="0"/>
    <n v="43"/>
    <n v="87"/>
    <n v="0"/>
    <n v="404.12"/>
    <n v="176.58"/>
    <m/>
    <n v="420.1370961229498"/>
    <n v="230.72991454293387"/>
    <n v="0"/>
    <n v="-1.2227019396959803E-13"/>
    <n v="0"/>
    <n v="1.2227019396959803E-13"/>
    <x v="6"/>
  </r>
  <r>
    <s v="Sistema de Compensação"/>
    <x v="2"/>
    <x v="3"/>
    <x v="4"/>
    <x v="7"/>
    <x v="1"/>
    <x v="0"/>
    <x v="1"/>
    <x v="3"/>
    <n v="0"/>
    <n v="0"/>
    <n v="7.8170000000000002"/>
    <n v="7.8170000000000002"/>
    <n v="7.8170000000000002"/>
    <n v="7.8170000000000002"/>
    <n v="53"/>
    <s v="CATIVO"/>
    <n v="0"/>
    <n v="0"/>
    <n v="43"/>
    <n v="87"/>
    <n v="0"/>
    <n v="404.12"/>
    <n v="176.58"/>
    <m/>
    <n v="420.1370961229498"/>
    <n v="230.72991454293387"/>
    <n v="0"/>
    <n v="2.2217250261746813E-13"/>
    <n v="0"/>
    <n v="-2.2217250261746813E-13"/>
    <x v="6"/>
  </r>
  <r>
    <s v="Regular"/>
    <x v="2"/>
    <x v="3"/>
    <x v="4"/>
    <x v="7"/>
    <x v="1"/>
    <x v="0"/>
    <x v="1"/>
    <x v="4"/>
    <n v="0"/>
    <n v="0"/>
    <n v="1772.847"/>
    <n v="1772.847"/>
    <n v="1772.847"/>
    <n v="1772.847"/>
    <n v="12858"/>
    <s v="CATIVO"/>
    <n v="0"/>
    <n v="0"/>
    <n v="43"/>
    <n v="87"/>
    <n v="0"/>
    <n v="404.12"/>
    <n v="176.58"/>
    <m/>
    <n v="420.1370961229498"/>
    <n v="230.72991454293387"/>
    <n v="0"/>
    <n v="5.0387342298563453E-11"/>
    <n v="0"/>
    <n v="-5.0387342298563453E-11"/>
    <x v="6"/>
  </r>
  <r>
    <s v="Refaturamento - Regular"/>
    <x v="2"/>
    <x v="3"/>
    <x v="4"/>
    <x v="7"/>
    <x v="1"/>
    <x v="0"/>
    <x v="1"/>
    <x v="4"/>
    <n v="0"/>
    <n v="0"/>
    <n v="-13.37"/>
    <n v="-13.37"/>
    <n v="-13.37"/>
    <n v="-13.37"/>
    <n v="-33"/>
    <s v="CATIVO"/>
    <n v="0"/>
    <n v="0"/>
    <n v="43"/>
    <n v="87"/>
    <n v="0"/>
    <n v="404.12"/>
    <n v="176.58"/>
    <m/>
    <n v="420.1370961229498"/>
    <n v="230.72991454293387"/>
    <n v="0"/>
    <n v="-3.7999825508450156E-13"/>
    <n v="0"/>
    <n v="3.7999825508450156E-13"/>
    <x v="6"/>
  </r>
  <r>
    <s v="Sistema Isolado - Regular"/>
    <x v="2"/>
    <x v="3"/>
    <x v="4"/>
    <x v="7"/>
    <x v="1"/>
    <x v="0"/>
    <x v="1"/>
    <x v="4"/>
    <n v="0"/>
    <n v="0"/>
    <n v="391.74"/>
    <n v="391.74"/>
    <n v="391.74"/>
    <n v="391.74"/>
    <n v="3327"/>
    <s v="CATIVO"/>
    <n v="0"/>
    <n v="0"/>
    <n v="43"/>
    <n v="87"/>
    <n v="0"/>
    <n v="404.12"/>
    <n v="176.58"/>
    <m/>
    <n v="420.1370961229498"/>
    <n v="230.72991454293387"/>
    <n v="0"/>
    <n v="1.1133920452266466E-11"/>
    <n v="0"/>
    <n v="-1.1133920452266466E-11"/>
    <x v="6"/>
  </r>
  <r>
    <s v="Sistema Isolado - Refaturamento"/>
    <x v="2"/>
    <x v="3"/>
    <x v="4"/>
    <x v="7"/>
    <x v="1"/>
    <x v="0"/>
    <x v="1"/>
    <x v="4"/>
    <n v="0"/>
    <n v="0"/>
    <n v="-46.872"/>
    <n v="-46.872"/>
    <n v="-46.872"/>
    <n v="-46.872"/>
    <n v="-52"/>
    <s v="CATIVO"/>
    <n v="0"/>
    <n v="0"/>
    <n v="43"/>
    <n v="87"/>
    <n v="0"/>
    <n v="404.12"/>
    <n v="176.58"/>
    <m/>
    <n v="420.1370961229498"/>
    <n v="230.72991454293387"/>
    <n v="0"/>
    <n v="-1.3321823644218966E-12"/>
    <n v="0"/>
    <n v="1.3321823644218966E-12"/>
    <x v="6"/>
  </r>
  <r>
    <s v="Sistema de Compensação"/>
    <x v="2"/>
    <x v="3"/>
    <x v="4"/>
    <x v="7"/>
    <x v="1"/>
    <x v="0"/>
    <x v="1"/>
    <x v="4"/>
    <n v="0"/>
    <n v="0"/>
    <n v="10.426"/>
    <n v="10.426"/>
    <n v="10.426"/>
    <n v="10.426"/>
    <n v="60"/>
    <s v="CATIVO"/>
    <n v="0"/>
    <n v="0"/>
    <n v="43"/>
    <n v="87"/>
    <n v="0"/>
    <n v="404.12"/>
    <n v="176.58"/>
    <m/>
    <n v="420.1370961229498"/>
    <n v="230.72991454293387"/>
    <n v="0"/>
    <n v="2.9632474252139219E-13"/>
    <n v="0"/>
    <n v="-2.9632474252139219E-13"/>
    <x v="6"/>
  </r>
  <r>
    <s v="PROJETADO"/>
    <x v="2"/>
    <x v="3"/>
    <x v="4"/>
    <x v="7"/>
    <x v="1"/>
    <x v="0"/>
    <x v="1"/>
    <x v="5"/>
    <n v="0"/>
    <n v="0"/>
    <n v="1772.847"/>
    <n v="1772.847"/>
    <n v="1772.847"/>
    <n v="1772.847"/>
    <n v="12858"/>
    <s v="CATIVO"/>
    <n v="0"/>
    <n v="0"/>
    <n v="43"/>
    <n v="87"/>
    <n v="0"/>
    <n v="404.12"/>
    <n v="176.58"/>
    <m/>
    <n v="420.1370961229498"/>
    <n v="230.72991454293387"/>
    <n v="0"/>
    <n v="5.0387342298563453E-11"/>
    <n v="0"/>
    <n v="-5.0387342298563453E-11"/>
    <x v="6"/>
  </r>
  <r>
    <s v="PROJETADO"/>
    <x v="2"/>
    <x v="3"/>
    <x v="4"/>
    <x v="7"/>
    <x v="1"/>
    <x v="0"/>
    <x v="1"/>
    <x v="5"/>
    <n v="0"/>
    <n v="0"/>
    <n v="-13.37"/>
    <n v="-13.37"/>
    <n v="-13.37"/>
    <n v="-13.37"/>
    <n v="-33"/>
    <s v="CATIVO"/>
    <n v="0"/>
    <n v="0"/>
    <n v="43"/>
    <n v="87"/>
    <n v="0"/>
    <n v="404.12"/>
    <n v="176.58"/>
    <m/>
    <n v="420.1370961229498"/>
    <n v="230.72991454293387"/>
    <n v="0"/>
    <n v="-3.7999825508450156E-13"/>
    <n v="0"/>
    <n v="3.7999825508450156E-13"/>
    <x v="6"/>
  </r>
  <r>
    <s v="PROJETADO"/>
    <x v="2"/>
    <x v="3"/>
    <x v="4"/>
    <x v="7"/>
    <x v="1"/>
    <x v="0"/>
    <x v="1"/>
    <x v="5"/>
    <n v="0"/>
    <n v="0"/>
    <n v="391.74"/>
    <n v="391.74"/>
    <n v="391.74"/>
    <n v="391.74"/>
    <n v="3327"/>
    <s v="CATIVO"/>
    <n v="0"/>
    <n v="0"/>
    <n v="43"/>
    <n v="87"/>
    <n v="0"/>
    <n v="404.12"/>
    <n v="176.58"/>
    <m/>
    <n v="420.1370961229498"/>
    <n v="230.72991454293387"/>
    <n v="0"/>
    <n v="1.1133920452266466E-11"/>
    <n v="0"/>
    <n v="-1.1133920452266466E-11"/>
    <x v="6"/>
  </r>
  <r>
    <s v="PROJETADO"/>
    <x v="2"/>
    <x v="3"/>
    <x v="4"/>
    <x v="7"/>
    <x v="1"/>
    <x v="0"/>
    <x v="1"/>
    <x v="5"/>
    <n v="0"/>
    <n v="0"/>
    <n v="-46.872"/>
    <n v="-46.872"/>
    <n v="-46.872"/>
    <n v="-46.872"/>
    <n v="-52"/>
    <s v="CATIVO"/>
    <n v="0"/>
    <n v="0"/>
    <n v="43"/>
    <n v="87"/>
    <n v="0"/>
    <n v="404.12"/>
    <n v="176.58"/>
    <m/>
    <n v="420.1370961229498"/>
    <n v="230.72991454293387"/>
    <n v="0"/>
    <n v="-1.3321823644218966E-12"/>
    <n v="0"/>
    <n v="1.3321823644218966E-12"/>
    <x v="6"/>
  </r>
  <r>
    <s v="PROJETADO"/>
    <x v="2"/>
    <x v="3"/>
    <x v="4"/>
    <x v="7"/>
    <x v="1"/>
    <x v="0"/>
    <x v="1"/>
    <x v="5"/>
    <n v="0"/>
    <n v="0"/>
    <n v="10.426"/>
    <n v="10.426"/>
    <n v="10.426"/>
    <n v="10.426"/>
    <n v="60"/>
    <s v="CATIVO"/>
    <n v="0"/>
    <n v="0"/>
    <n v="43"/>
    <n v="87"/>
    <n v="0"/>
    <n v="404.12"/>
    <n v="176.58"/>
    <m/>
    <n v="420.1370961229498"/>
    <n v="230.72991454293387"/>
    <n v="0"/>
    <n v="2.9632474252139219E-13"/>
    <n v="0"/>
    <n v="-2.9632474252139219E-13"/>
    <x v="6"/>
  </r>
  <r>
    <s v="Regular"/>
    <x v="3"/>
    <x v="4"/>
    <x v="0"/>
    <x v="1"/>
    <x v="1"/>
    <x v="0"/>
    <x v="0"/>
    <x v="9"/>
    <n v="0"/>
    <n v="0"/>
    <n v="5.8879999999999999"/>
    <n v="5.8879999999999999"/>
    <n v="5.8879999999999999"/>
    <n v="5.8879999999999999"/>
    <n v="0"/>
    <s v="CATIVO"/>
    <n v="0"/>
    <n v="0"/>
    <n v="51"/>
    <n v="95"/>
    <n v="0"/>
    <n v="287.89999999999998"/>
    <n v="147.88999999999999"/>
    <m/>
    <n v="344.7711243000881"/>
    <n v="205.60835010714086"/>
    <n v="0"/>
    <n v="163.78286297872341"/>
    <n v="0"/>
    <n v="206.84900076445305"/>
    <x v="1"/>
  </r>
  <r>
    <s v="Sistema Isolado - Regular"/>
    <x v="3"/>
    <x v="4"/>
    <x v="0"/>
    <x v="1"/>
    <x v="1"/>
    <x v="0"/>
    <x v="0"/>
    <x v="9"/>
    <n v="0"/>
    <n v="0"/>
    <n v="1.2999999999999999E-2"/>
    <n v="1.2999999999999999E-2"/>
    <n v="1.2999999999999999E-2"/>
    <n v="1.2999999999999999E-2"/>
    <n v="0"/>
    <s v="CATIVO"/>
    <n v="0"/>
    <n v="0"/>
    <n v="51"/>
    <n v="95"/>
    <n v="0"/>
    <n v="287.89999999999998"/>
    <n v="147.88999999999999"/>
    <m/>
    <n v="344.7711243000881"/>
    <n v="205.60835010714086"/>
    <n v="0"/>
    <n v="0.36161297872340425"/>
    <n v="0"/>
    <n v="0.4566978617421687"/>
    <x v="1"/>
  </r>
  <r>
    <s v="Regular"/>
    <x v="3"/>
    <x v="4"/>
    <x v="0"/>
    <x v="1"/>
    <x v="1"/>
    <x v="0"/>
    <x v="0"/>
    <x v="10"/>
    <n v="0"/>
    <n v="0"/>
    <n v="6.4119999999999999"/>
    <n v="6.4119999999999999"/>
    <n v="6.4119999999999999"/>
    <n v="6.4119999999999999"/>
    <n v="0"/>
    <s v="CATIVO"/>
    <n v="0"/>
    <n v="0"/>
    <n v="51"/>
    <n v="95"/>
    <n v="0"/>
    <n v="287.89999999999998"/>
    <n v="147.88999999999999"/>
    <m/>
    <n v="344.7711243000881"/>
    <n v="205.60835010714086"/>
    <n v="0"/>
    <n v="178.35864765957444"/>
    <n v="0"/>
    <n v="225.2574376531374"/>
    <x v="1"/>
  </r>
  <r>
    <s v="Sistema Isolado - Regular"/>
    <x v="3"/>
    <x v="4"/>
    <x v="0"/>
    <x v="1"/>
    <x v="1"/>
    <x v="0"/>
    <x v="0"/>
    <x v="10"/>
    <n v="0"/>
    <n v="0"/>
    <n v="0.223"/>
    <n v="0.223"/>
    <n v="0.223"/>
    <n v="0.223"/>
    <n v="0"/>
    <s v="CATIVO"/>
    <n v="0"/>
    <n v="0"/>
    <n v="51"/>
    <n v="95"/>
    <n v="0"/>
    <n v="287.89999999999998"/>
    <n v="147.88999999999999"/>
    <m/>
    <n v="344.7711243000881"/>
    <n v="205.60835010714086"/>
    <n v="0"/>
    <n v="6.2030534042553196"/>
    <n v="0"/>
    <n v="7.834124859115664"/>
    <x v="1"/>
  </r>
  <r>
    <s v="Regular"/>
    <x v="3"/>
    <x v="4"/>
    <x v="0"/>
    <x v="1"/>
    <x v="1"/>
    <x v="0"/>
    <x v="0"/>
    <x v="11"/>
    <n v="0"/>
    <n v="0"/>
    <n v="5.51"/>
    <n v="5.51"/>
    <n v="5.51"/>
    <n v="5.51"/>
    <n v="0"/>
    <s v="CATIVO"/>
    <n v="0"/>
    <n v="0"/>
    <n v="51"/>
    <n v="95"/>
    <n v="0"/>
    <n v="287.89999999999998"/>
    <n v="147.88999999999999"/>
    <m/>
    <n v="344.7711243000881"/>
    <n v="205.60835010714086"/>
    <n v="0"/>
    <n v="153.26827021276597"/>
    <n v="0"/>
    <n v="193.56963216918072"/>
    <x v="1"/>
  </r>
  <r>
    <s v="Sistema Isolado - Regular"/>
    <x v="3"/>
    <x v="4"/>
    <x v="0"/>
    <x v="1"/>
    <x v="1"/>
    <x v="0"/>
    <x v="0"/>
    <x v="11"/>
    <n v="0"/>
    <n v="0"/>
    <n v="0.25"/>
    <n v="0.25"/>
    <n v="0.25"/>
    <n v="0.25"/>
    <n v="0"/>
    <s v="CATIVO"/>
    <n v="0"/>
    <n v="0"/>
    <n v="51"/>
    <n v="95"/>
    <n v="0"/>
    <n v="287.89999999999998"/>
    <n v="147.88999999999999"/>
    <m/>
    <n v="344.7711243000881"/>
    <n v="205.60835010714086"/>
    <n v="0"/>
    <n v="6.9540957446808509"/>
    <n v="0"/>
    <n v="8.7826511873493995"/>
    <x v="1"/>
  </r>
  <r>
    <s v="Regular"/>
    <x v="3"/>
    <x v="4"/>
    <x v="0"/>
    <x v="1"/>
    <x v="1"/>
    <x v="0"/>
    <x v="0"/>
    <x v="6"/>
    <n v="0"/>
    <n v="0"/>
    <n v="5.5250000000000004"/>
    <n v="5.5250000000000004"/>
    <n v="5.5250000000000004"/>
    <n v="5.5250000000000004"/>
    <n v="0"/>
    <s v="CATIVO"/>
    <n v="0"/>
    <n v="0"/>
    <n v="51"/>
    <n v="95"/>
    <n v="0"/>
    <n v="287.89999999999998"/>
    <n v="147.88999999999999"/>
    <m/>
    <n v="344.7711243000881"/>
    <n v="205.60835010714086"/>
    <n v="0"/>
    <n v="153.6855159574468"/>
    <n v="0"/>
    <n v="194.0965912404217"/>
    <x v="1"/>
  </r>
  <r>
    <s v="Regular"/>
    <x v="3"/>
    <x v="4"/>
    <x v="0"/>
    <x v="1"/>
    <x v="1"/>
    <x v="0"/>
    <x v="0"/>
    <x v="7"/>
    <n v="0"/>
    <n v="0"/>
    <n v="4.8090000000000002"/>
    <n v="4.8090000000000002"/>
    <n v="4.8090000000000002"/>
    <n v="4.8090000000000002"/>
    <n v="0"/>
    <s v="CATIVO"/>
    <n v="0"/>
    <n v="0"/>
    <n v="51"/>
    <n v="95"/>
    <n v="0"/>
    <n v="287.89999999999998"/>
    <n v="147.88999999999999"/>
    <m/>
    <n v="344.7711243000881"/>
    <n v="205.60835010714086"/>
    <n v="0"/>
    <n v="133.76898574468083"/>
    <n v="0"/>
    <n v="168.94307823985304"/>
    <x v="1"/>
  </r>
  <r>
    <s v="Regular"/>
    <x v="3"/>
    <x v="4"/>
    <x v="0"/>
    <x v="1"/>
    <x v="1"/>
    <x v="0"/>
    <x v="0"/>
    <x v="8"/>
    <n v="0"/>
    <n v="0"/>
    <n v="6.3789999999999996"/>
    <n v="6.3789999999999996"/>
    <n v="6.3789999999999996"/>
    <n v="6.3789999999999996"/>
    <n v="0"/>
    <s v="CATIVO"/>
    <n v="0"/>
    <n v="0"/>
    <n v="51"/>
    <n v="95"/>
    <n v="0"/>
    <n v="287.89999999999998"/>
    <n v="147.88999999999999"/>
    <m/>
    <n v="344.7711243000881"/>
    <n v="205.60835010714086"/>
    <n v="0"/>
    <n v="177.44070702127658"/>
    <n v="0"/>
    <n v="224.09812769640726"/>
    <x v="1"/>
  </r>
  <r>
    <s v="Regular"/>
    <x v="3"/>
    <x v="4"/>
    <x v="0"/>
    <x v="1"/>
    <x v="1"/>
    <x v="0"/>
    <x v="0"/>
    <x v="0"/>
    <n v="0"/>
    <n v="0"/>
    <n v="5.6680000000000001"/>
    <n v="5.6680000000000001"/>
    <n v="5.6680000000000001"/>
    <n v="5.6680000000000001"/>
    <n v="0"/>
    <s v="CATIVO"/>
    <n v="0"/>
    <n v="0"/>
    <n v="51"/>
    <n v="95"/>
    <n v="0"/>
    <n v="287.89999999999998"/>
    <n v="147.88999999999999"/>
    <m/>
    <n v="344.7711243000881"/>
    <n v="205.60835010714086"/>
    <n v="0"/>
    <n v="157.66325872340425"/>
    <n v="0"/>
    <n v="199.12026771958557"/>
    <x v="1"/>
  </r>
  <r>
    <s v="Regular"/>
    <x v="3"/>
    <x v="4"/>
    <x v="0"/>
    <x v="1"/>
    <x v="1"/>
    <x v="0"/>
    <x v="0"/>
    <x v="1"/>
    <n v="0"/>
    <n v="0"/>
    <n v="5.7770000000000001"/>
    <n v="5.7770000000000001"/>
    <n v="5.7770000000000001"/>
    <n v="5.7770000000000001"/>
    <n v="0"/>
    <s v="CATIVO"/>
    <n v="0"/>
    <n v="0"/>
    <n v="51"/>
    <n v="95"/>
    <n v="0"/>
    <n v="287.89999999999998"/>
    <n v="147.88999999999999"/>
    <m/>
    <n v="344.7711243000881"/>
    <n v="205.60835010714086"/>
    <n v="0"/>
    <n v="160.69524446808509"/>
    <n v="0"/>
    <n v="202.94950363726991"/>
    <x v="1"/>
  </r>
  <r>
    <s v="Regular"/>
    <x v="3"/>
    <x v="4"/>
    <x v="0"/>
    <x v="1"/>
    <x v="1"/>
    <x v="0"/>
    <x v="0"/>
    <x v="2"/>
    <n v="0"/>
    <n v="0"/>
    <n v="7.75"/>
    <n v="7.75"/>
    <n v="7.75"/>
    <n v="7.75"/>
    <n v="0"/>
    <s v="CATIVO"/>
    <n v="0"/>
    <n v="0"/>
    <n v="51"/>
    <n v="95"/>
    <n v="0"/>
    <n v="287.89999999999998"/>
    <n v="147.88999999999999"/>
    <m/>
    <n v="344.7711243000881"/>
    <n v="205.60835010714086"/>
    <n v="0"/>
    <n v="215.57696808510636"/>
    <n v="0"/>
    <n v="272.26218680783131"/>
    <x v="1"/>
  </r>
  <r>
    <s v="Regular"/>
    <x v="3"/>
    <x v="4"/>
    <x v="0"/>
    <x v="1"/>
    <x v="1"/>
    <x v="0"/>
    <x v="0"/>
    <x v="3"/>
    <n v="0"/>
    <n v="0"/>
    <n v="6.0750000000000002"/>
    <n v="6.0750000000000002"/>
    <n v="6.0750000000000002"/>
    <n v="6.0750000000000002"/>
    <n v="0"/>
    <s v="CATIVO"/>
    <n v="0"/>
    <n v="0"/>
    <n v="51"/>
    <n v="95"/>
    <n v="0"/>
    <n v="287.89999999999998"/>
    <n v="147.88999999999999"/>
    <m/>
    <n v="344.7711243000881"/>
    <n v="205.60835010714086"/>
    <n v="0"/>
    <n v="168.98452659574468"/>
    <n v="0"/>
    <n v="213.41842385259039"/>
    <x v="1"/>
  </r>
  <r>
    <s v="Regular"/>
    <x v="3"/>
    <x v="4"/>
    <x v="0"/>
    <x v="1"/>
    <x v="1"/>
    <x v="0"/>
    <x v="0"/>
    <x v="4"/>
    <n v="0"/>
    <n v="0"/>
    <n v="6.5540000000000003"/>
    <n v="6.5540000000000003"/>
    <n v="6.5540000000000003"/>
    <n v="6.5540000000000003"/>
    <n v="0"/>
    <s v="CATIVO"/>
    <n v="0"/>
    <n v="0"/>
    <n v="51"/>
    <n v="95"/>
    <n v="0"/>
    <n v="287.89999999999998"/>
    <n v="147.88999999999999"/>
    <m/>
    <n v="344.7711243000881"/>
    <n v="205.60835010714086"/>
    <n v="0"/>
    <n v="182.3085740425532"/>
    <n v="0"/>
    <n v="230.24598352755189"/>
    <x v="1"/>
  </r>
  <r>
    <s v="PROJETADO"/>
    <x v="3"/>
    <x v="4"/>
    <x v="0"/>
    <x v="1"/>
    <x v="1"/>
    <x v="0"/>
    <x v="0"/>
    <x v="5"/>
    <n v="0"/>
    <n v="0"/>
    <n v="6.5540000000000003"/>
    <n v="6.5540000000000003"/>
    <n v="6.5540000000000003"/>
    <n v="6.5540000000000003"/>
    <n v="0"/>
    <s v="CATIVO"/>
    <n v="0"/>
    <n v="0"/>
    <n v="51"/>
    <n v="95"/>
    <n v="0"/>
    <n v="287.89999999999998"/>
    <n v="147.88999999999999"/>
    <m/>
    <n v="344.7711243000881"/>
    <n v="205.60835010714086"/>
    <n v="0"/>
    <n v="182.3085740425532"/>
    <n v="0"/>
    <n v="230.24598352755189"/>
    <x v="1"/>
  </r>
  <r>
    <s v="Regular"/>
    <x v="3"/>
    <x v="4"/>
    <x v="0"/>
    <x v="1"/>
    <x v="1"/>
    <x v="0"/>
    <x v="3"/>
    <x v="9"/>
    <n v="0"/>
    <n v="0"/>
    <n v="3.6999999999999998E-2"/>
    <n v="3.6999999999999998E-2"/>
    <n v="3.6999999999999998E-2"/>
    <n v="3.6999999999999998E-2"/>
    <n v="0"/>
    <s v="CATIVO"/>
    <n v="0"/>
    <n v="0"/>
    <n v="50"/>
    <n v="94"/>
    <n v="0"/>
    <n v="663.5"/>
    <n v="147.88999999999999"/>
    <m/>
    <n v="742.93032649344707"/>
    <n v="205.60835010714086"/>
    <n v="0"/>
    <n v="1.9162614893617023"/>
    <n v="0"/>
    <n v="2.2401658106950055"/>
    <x v="1"/>
  </r>
  <r>
    <s v="Sistema Isolado - Regular"/>
    <x v="3"/>
    <x v="4"/>
    <x v="0"/>
    <x v="1"/>
    <x v="1"/>
    <x v="0"/>
    <x v="3"/>
    <x v="9"/>
    <n v="0"/>
    <n v="0"/>
    <n v="1E-3"/>
    <n v="1E-3"/>
    <n v="1E-3"/>
    <n v="1E-3"/>
    <n v="0"/>
    <s v="CATIVO"/>
    <n v="0"/>
    <n v="0"/>
    <n v="50"/>
    <n v="94"/>
    <n v="0"/>
    <n v="663.5"/>
    <n v="147.88999999999999"/>
    <m/>
    <n v="742.93032649344707"/>
    <n v="205.60835010714086"/>
    <n v="0"/>
    <n v="5.1790851063829788E-2"/>
    <n v="0"/>
    <n v="6.0545021910675817E-2"/>
    <x v="1"/>
  </r>
  <r>
    <s v="Regular"/>
    <x v="3"/>
    <x v="4"/>
    <x v="0"/>
    <x v="1"/>
    <x v="1"/>
    <x v="0"/>
    <x v="3"/>
    <x v="10"/>
    <n v="0"/>
    <n v="0"/>
    <n v="5.5E-2"/>
    <n v="5.5E-2"/>
    <n v="5.5E-2"/>
    <n v="5.5E-2"/>
    <n v="0"/>
    <s v="CATIVO"/>
    <n v="0"/>
    <n v="0"/>
    <n v="50"/>
    <n v="94"/>
    <n v="0"/>
    <n v="663.5"/>
    <n v="147.88999999999999"/>
    <m/>
    <n v="742.93032649344707"/>
    <n v="205.60835010714086"/>
    <n v="0"/>
    <n v="2.8484968085106379"/>
    <n v="0"/>
    <n v="3.3299762050871706"/>
    <x v="1"/>
  </r>
  <r>
    <s v="Sistema Isolado - Regular"/>
    <x v="3"/>
    <x v="4"/>
    <x v="0"/>
    <x v="1"/>
    <x v="1"/>
    <x v="0"/>
    <x v="3"/>
    <x v="10"/>
    <n v="0"/>
    <n v="0"/>
    <n v="0.01"/>
    <n v="0.01"/>
    <n v="0.01"/>
    <n v="0.01"/>
    <n v="0"/>
    <s v="CATIVO"/>
    <n v="0"/>
    <n v="0"/>
    <n v="50"/>
    <n v="94"/>
    <n v="0"/>
    <n v="663.5"/>
    <n v="147.88999999999999"/>
    <m/>
    <n v="742.93032649344707"/>
    <n v="205.60835010714086"/>
    <n v="0"/>
    <n v="0.51790851063829779"/>
    <n v="0"/>
    <n v="0.60545021910675823"/>
    <x v="1"/>
  </r>
  <r>
    <s v="Regular"/>
    <x v="3"/>
    <x v="4"/>
    <x v="0"/>
    <x v="1"/>
    <x v="1"/>
    <x v="0"/>
    <x v="3"/>
    <x v="11"/>
    <n v="0"/>
    <n v="0"/>
    <n v="3.5000000000000003E-2"/>
    <n v="3.5000000000000003E-2"/>
    <n v="3.5000000000000003E-2"/>
    <n v="3.5000000000000003E-2"/>
    <n v="0"/>
    <s v="CATIVO"/>
    <n v="0"/>
    <n v="0"/>
    <n v="50"/>
    <n v="94"/>
    <n v="0"/>
    <n v="663.5"/>
    <n v="147.88999999999999"/>
    <m/>
    <n v="742.93032649344707"/>
    <n v="205.60835010714086"/>
    <n v="0"/>
    <n v="1.812679787234043"/>
    <n v="0"/>
    <n v="2.119075766873654"/>
    <x v="1"/>
  </r>
  <r>
    <s v="Sistema Isolado - Regular"/>
    <x v="3"/>
    <x v="4"/>
    <x v="0"/>
    <x v="1"/>
    <x v="1"/>
    <x v="0"/>
    <x v="3"/>
    <x v="11"/>
    <n v="0"/>
    <n v="0"/>
    <n v="1.4999999999999999E-2"/>
    <n v="1.4999999999999999E-2"/>
    <n v="1.4999999999999999E-2"/>
    <n v="1.4999999999999999E-2"/>
    <n v="0"/>
    <s v="CATIVO"/>
    <n v="0"/>
    <n v="0"/>
    <n v="50"/>
    <n v="94"/>
    <n v="0"/>
    <n v="663.5"/>
    <n v="147.88999999999999"/>
    <m/>
    <n v="742.93032649344707"/>
    <n v="205.60835010714086"/>
    <n v="0"/>
    <n v="0.77686276595744674"/>
    <n v="0"/>
    <n v="0.90817532866013739"/>
    <x v="1"/>
  </r>
  <r>
    <s v="Regular"/>
    <x v="3"/>
    <x v="4"/>
    <x v="0"/>
    <x v="1"/>
    <x v="1"/>
    <x v="0"/>
    <x v="3"/>
    <x v="6"/>
    <n v="0"/>
    <n v="0"/>
    <n v="3.6999999999999998E-2"/>
    <n v="3.6999999999999998E-2"/>
    <n v="3.6999999999999998E-2"/>
    <n v="3.6999999999999998E-2"/>
    <n v="0"/>
    <s v="CATIVO"/>
    <n v="0"/>
    <n v="0"/>
    <n v="50"/>
    <n v="94"/>
    <n v="0"/>
    <n v="663.5"/>
    <n v="147.88999999999999"/>
    <m/>
    <n v="742.93032649344707"/>
    <n v="205.60835010714086"/>
    <n v="0"/>
    <n v="1.9162614893617023"/>
    <n v="0"/>
    <n v="2.2401658106950055"/>
    <x v="1"/>
  </r>
  <r>
    <s v="Regular"/>
    <x v="3"/>
    <x v="4"/>
    <x v="0"/>
    <x v="1"/>
    <x v="1"/>
    <x v="0"/>
    <x v="3"/>
    <x v="7"/>
    <n v="0"/>
    <n v="0"/>
    <n v="3.7999999999999999E-2"/>
    <n v="3.7999999999999999E-2"/>
    <n v="3.7999999999999999E-2"/>
    <n v="3.7999999999999999E-2"/>
    <n v="0"/>
    <s v="CATIVO"/>
    <n v="0"/>
    <n v="0"/>
    <n v="50"/>
    <n v="94"/>
    <n v="0"/>
    <n v="663.5"/>
    <n v="147.88999999999999"/>
    <m/>
    <n v="742.93032649344707"/>
    <n v="205.60835010714086"/>
    <n v="0"/>
    <n v="1.9680523404255321"/>
    <n v="0"/>
    <n v="2.3007108326056813"/>
    <x v="1"/>
  </r>
  <r>
    <s v="Regular"/>
    <x v="3"/>
    <x v="4"/>
    <x v="0"/>
    <x v="1"/>
    <x v="1"/>
    <x v="0"/>
    <x v="3"/>
    <x v="8"/>
    <n v="0"/>
    <n v="0"/>
    <n v="3.1E-2"/>
    <n v="3.1E-2"/>
    <n v="3.1E-2"/>
    <n v="3.1E-2"/>
    <n v="0"/>
    <s v="CATIVO"/>
    <n v="0"/>
    <n v="0"/>
    <n v="50"/>
    <n v="94"/>
    <n v="0"/>
    <n v="663.5"/>
    <n v="147.88999999999999"/>
    <m/>
    <n v="742.93032649344707"/>
    <n v="205.60835010714086"/>
    <n v="0"/>
    <n v="1.6055163829787233"/>
    <n v="0"/>
    <n v="1.8768956792309506"/>
    <x v="1"/>
  </r>
  <r>
    <s v="Regular"/>
    <x v="3"/>
    <x v="4"/>
    <x v="0"/>
    <x v="1"/>
    <x v="1"/>
    <x v="0"/>
    <x v="3"/>
    <x v="0"/>
    <n v="0"/>
    <n v="0"/>
    <n v="3.6999999999999998E-2"/>
    <n v="3.6999999999999998E-2"/>
    <n v="3.6999999999999998E-2"/>
    <n v="3.6999999999999998E-2"/>
    <n v="0"/>
    <s v="CATIVO"/>
    <n v="0"/>
    <n v="0"/>
    <n v="50"/>
    <n v="94"/>
    <n v="0"/>
    <n v="663.5"/>
    <n v="147.88999999999999"/>
    <m/>
    <n v="742.93032649344707"/>
    <n v="205.60835010714086"/>
    <n v="0"/>
    <n v="1.9162614893617023"/>
    <n v="0"/>
    <n v="2.2401658106950055"/>
    <x v="1"/>
  </r>
  <r>
    <s v="Regular"/>
    <x v="3"/>
    <x v="4"/>
    <x v="0"/>
    <x v="1"/>
    <x v="1"/>
    <x v="0"/>
    <x v="3"/>
    <x v="1"/>
    <n v="0"/>
    <n v="0"/>
    <n v="5.1999999999999998E-2"/>
    <n v="5.1999999999999998E-2"/>
    <n v="5.1999999999999998E-2"/>
    <n v="5.1999999999999998E-2"/>
    <n v="0"/>
    <s v="CATIVO"/>
    <n v="0"/>
    <n v="0"/>
    <n v="50"/>
    <n v="94"/>
    <n v="0"/>
    <n v="663.5"/>
    <n v="147.88999999999999"/>
    <m/>
    <n v="742.93032649344707"/>
    <n v="205.60835010714086"/>
    <n v="0"/>
    <n v="2.6931242553191486"/>
    <n v="0"/>
    <n v="3.1483411393551433"/>
    <x v="1"/>
  </r>
  <r>
    <s v="Regular"/>
    <x v="3"/>
    <x v="4"/>
    <x v="0"/>
    <x v="1"/>
    <x v="1"/>
    <x v="0"/>
    <x v="3"/>
    <x v="2"/>
    <n v="0"/>
    <n v="0"/>
    <n v="5.5E-2"/>
    <n v="5.5E-2"/>
    <n v="5.5E-2"/>
    <n v="5.5E-2"/>
    <n v="0"/>
    <s v="CATIVO"/>
    <n v="0"/>
    <n v="0"/>
    <n v="50"/>
    <n v="94"/>
    <n v="0"/>
    <n v="663.5"/>
    <n v="147.88999999999999"/>
    <m/>
    <n v="742.93032649344707"/>
    <n v="205.60835010714086"/>
    <n v="0"/>
    <n v="2.8484968085106379"/>
    <n v="0"/>
    <n v="3.3299762050871706"/>
    <x v="1"/>
  </r>
  <r>
    <s v="Regular"/>
    <x v="3"/>
    <x v="4"/>
    <x v="0"/>
    <x v="1"/>
    <x v="1"/>
    <x v="0"/>
    <x v="3"/>
    <x v="3"/>
    <n v="0"/>
    <n v="0"/>
    <n v="4.5999999999999999E-2"/>
    <n v="4.5999999999999999E-2"/>
    <n v="4.5999999999999999E-2"/>
    <n v="4.5999999999999999E-2"/>
    <n v="0"/>
    <s v="CATIVO"/>
    <n v="0"/>
    <n v="0"/>
    <n v="50"/>
    <n v="94"/>
    <n v="0"/>
    <n v="663.5"/>
    <n v="147.88999999999999"/>
    <m/>
    <n v="742.93032649344707"/>
    <n v="205.60835010714086"/>
    <n v="0"/>
    <n v="2.3823791489361703"/>
    <n v="0"/>
    <n v="2.7850710078910881"/>
    <x v="1"/>
  </r>
  <r>
    <s v="Regular"/>
    <x v="3"/>
    <x v="4"/>
    <x v="0"/>
    <x v="1"/>
    <x v="1"/>
    <x v="0"/>
    <x v="3"/>
    <x v="4"/>
    <n v="0"/>
    <n v="0"/>
    <n v="4.9000000000000002E-2"/>
    <n v="4.9000000000000002E-2"/>
    <n v="4.9000000000000002E-2"/>
    <n v="4.9000000000000002E-2"/>
    <n v="0"/>
    <s v="CATIVO"/>
    <n v="0"/>
    <n v="0"/>
    <n v="50"/>
    <n v="94"/>
    <n v="0"/>
    <n v="663.5"/>
    <n v="147.88999999999999"/>
    <m/>
    <n v="742.93032649344707"/>
    <n v="205.60835010714086"/>
    <n v="0"/>
    <n v="2.5377517021276597"/>
    <n v="0"/>
    <n v="2.966706073623115"/>
    <x v="1"/>
  </r>
  <r>
    <s v="PROJETADO"/>
    <x v="3"/>
    <x v="4"/>
    <x v="0"/>
    <x v="1"/>
    <x v="1"/>
    <x v="0"/>
    <x v="3"/>
    <x v="5"/>
    <n v="0"/>
    <n v="0"/>
    <n v="4.9000000000000002E-2"/>
    <n v="4.9000000000000002E-2"/>
    <n v="4.9000000000000002E-2"/>
    <n v="4.9000000000000002E-2"/>
    <n v="0"/>
    <s v="CATIVO"/>
    <n v="0"/>
    <n v="0"/>
    <n v="50"/>
    <n v="94"/>
    <n v="0"/>
    <n v="663.5"/>
    <n v="147.88999999999999"/>
    <m/>
    <n v="742.93032649344707"/>
    <n v="205.60835010714086"/>
    <n v="0"/>
    <n v="2.5377517021276597"/>
    <n v="0"/>
    <n v="2.966706073623115"/>
    <x v="1"/>
  </r>
  <r>
    <s v="Regular"/>
    <x v="3"/>
    <x v="4"/>
    <x v="0"/>
    <x v="1"/>
    <x v="1"/>
    <x v="0"/>
    <x v="2"/>
    <x v="9"/>
    <n v="0"/>
    <n v="0"/>
    <n v="0.29199999999999998"/>
    <n v="0.29199999999999998"/>
    <n v="0.29199999999999998"/>
    <n v="0.29199999999999998"/>
    <n v="0"/>
    <s v="CATIVO"/>
    <n v="0"/>
    <n v="0"/>
    <n v="49"/>
    <n v="93"/>
    <n v="0"/>
    <n v="1039.0999999999999"/>
    <n v="237.87"/>
    <m/>
    <n v="1141.089509550284"/>
    <n v="340.94158486574412"/>
    <n v="0"/>
    <n v="23.800547234042554"/>
    <n v="0"/>
    <n v="27.622536993796608"/>
    <x v="1"/>
  </r>
  <r>
    <s v="Sistema Isolado - Regular"/>
    <x v="3"/>
    <x v="4"/>
    <x v="0"/>
    <x v="1"/>
    <x v="1"/>
    <x v="0"/>
    <x v="2"/>
    <x v="9"/>
    <n v="0"/>
    <n v="0"/>
    <n v="1E-3"/>
    <n v="1E-3"/>
    <n v="1E-3"/>
    <n v="1E-3"/>
    <n v="0"/>
    <s v="CATIVO"/>
    <n v="0"/>
    <n v="0"/>
    <n v="49"/>
    <n v="93"/>
    <n v="0"/>
    <n v="1039.0999999999999"/>
    <n v="237.87"/>
    <m/>
    <n v="1141.089509550284"/>
    <n v="340.94158486574412"/>
    <n v="0"/>
    <n v="8.1508723404255315E-2"/>
    <n v="0"/>
    <n v="9.4597729430810309E-2"/>
    <x v="1"/>
  </r>
  <r>
    <s v="Regular"/>
    <x v="3"/>
    <x v="4"/>
    <x v="0"/>
    <x v="1"/>
    <x v="1"/>
    <x v="0"/>
    <x v="2"/>
    <x v="10"/>
    <n v="0"/>
    <n v="0"/>
    <n v="0.29599999999999999"/>
    <n v="0.29599999999999999"/>
    <n v="0.29599999999999999"/>
    <n v="0.29599999999999999"/>
    <n v="0"/>
    <s v="CATIVO"/>
    <n v="0"/>
    <n v="0"/>
    <n v="49"/>
    <n v="93"/>
    <n v="0"/>
    <n v="1039.0999999999999"/>
    <n v="237.87"/>
    <m/>
    <n v="1141.089509550284"/>
    <n v="340.94158486574412"/>
    <n v="0"/>
    <n v="24.126582127659571"/>
    <n v="0"/>
    <n v="28.000927911519849"/>
    <x v="1"/>
  </r>
  <r>
    <s v="Sistema Isolado - Regular"/>
    <x v="3"/>
    <x v="4"/>
    <x v="0"/>
    <x v="1"/>
    <x v="1"/>
    <x v="0"/>
    <x v="2"/>
    <x v="10"/>
    <n v="0"/>
    <n v="0"/>
    <n v="1.2999999999999999E-2"/>
    <n v="1.2999999999999999E-2"/>
    <n v="1.2999999999999999E-2"/>
    <n v="1.2999999999999999E-2"/>
    <n v="0"/>
    <s v="CATIVO"/>
    <n v="0"/>
    <n v="0"/>
    <n v="49"/>
    <n v="93"/>
    <n v="0"/>
    <n v="1039.0999999999999"/>
    <n v="237.87"/>
    <m/>
    <n v="1141.089509550284"/>
    <n v="340.94158486574412"/>
    <n v="0"/>
    <n v="1.0596134042553191"/>
    <n v="0"/>
    <n v="1.229770482600534"/>
    <x v="1"/>
  </r>
  <r>
    <s v="Regular"/>
    <x v="3"/>
    <x v="4"/>
    <x v="0"/>
    <x v="1"/>
    <x v="1"/>
    <x v="0"/>
    <x v="2"/>
    <x v="11"/>
    <n v="0"/>
    <n v="0"/>
    <n v="0.315"/>
    <n v="0.315"/>
    <n v="0.315"/>
    <n v="0.315"/>
    <n v="0"/>
    <s v="CATIVO"/>
    <n v="0"/>
    <n v="0"/>
    <n v="49"/>
    <n v="93"/>
    <n v="0"/>
    <n v="1039.0999999999999"/>
    <n v="237.87"/>
    <m/>
    <n v="1141.089509550284"/>
    <n v="340.94158486574412"/>
    <n v="0"/>
    <n v="25.675247872340424"/>
    <n v="0"/>
    <n v="29.798284770705244"/>
    <x v="1"/>
  </r>
  <r>
    <s v="Sistema Isolado - Regular"/>
    <x v="3"/>
    <x v="4"/>
    <x v="0"/>
    <x v="1"/>
    <x v="1"/>
    <x v="0"/>
    <x v="2"/>
    <x v="11"/>
    <n v="0"/>
    <n v="0"/>
    <n v="1.7999999999999999E-2"/>
    <n v="1.7999999999999999E-2"/>
    <n v="1.7999999999999999E-2"/>
    <n v="1.7999999999999999E-2"/>
    <n v="0"/>
    <s v="CATIVO"/>
    <n v="0"/>
    <n v="0"/>
    <n v="49"/>
    <n v="93"/>
    <n v="0"/>
    <n v="1039.0999999999999"/>
    <n v="237.87"/>
    <m/>
    <n v="1141.089509550284"/>
    <n v="340.94158486574412"/>
    <n v="0"/>
    <n v="1.4671570212765956"/>
    <n v="0"/>
    <n v="1.7027591297545854"/>
    <x v="1"/>
  </r>
  <r>
    <s v="Regular"/>
    <x v="3"/>
    <x v="4"/>
    <x v="0"/>
    <x v="1"/>
    <x v="1"/>
    <x v="0"/>
    <x v="2"/>
    <x v="6"/>
    <n v="0"/>
    <n v="0"/>
    <n v="0.23400000000000001"/>
    <n v="0.23400000000000001"/>
    <n v="0.23400000000000001"/>
    <n v="0.23400000000000001"/>
    <n v="0"/>
    <s v="CATIVO"/>
    <n v="0"/>
    <n v="0"/>
    <n v="49"/>
    <n v="93"/>
    <n v="0"/>
    <n v="1039.0999999999999"/>
    <n v="237.87"/>
    <m/>
    <n v="1141.089509550284"/>
    <n v="340.94158486574412"/>
    <n v="0"/>
    <n v="19.073041276595742"/>
    <n v="0"/>
    <n v="22.135868686809616"/>
    <x v="1"/>
  </r>
  <r>
    <s v="Regular"/>
    <x v="3"/>
    <x v="4"/>
    <x v="0"/>
    <x v="1"/>
    <x v="1"/>
    <x v="0"/>
    <x v="2"/>
    <x v="7"/>
    <n v="0"/>
    <n v="0"/>
    <n v="0.26700000000000002"/>
    <n v="0.26700000000000002"/>
    <n v="0.26700000000000002"/>
    <n v="0.26700000000000002"/>
    <n v="0"/>
    <s v="CATIVO"/>
    <n v="0"/>
    <n v="0"/>
    <n v="49"/>
    <n v="93"/>
    <n v="0"/>
    <n v="1039.0999999999999"/>
    <n v="237.87"/>
    <m/>
    <n v="1141.089509550284"/>
    <n v="340.94158486574412"/>
    <n v="0"/>
    <n v="21.762829148936174"/>
    <n v="0"/>
    <n v="25.257593758026349"/>
    <x v="1"/>
  </r>
  <r>
    <s v="Regular"/>
    <x v="3"/>
    <x v="4"/>
    <x v="0"/>
    <x v="1"/>
    <x v="1"/>
    <x v="0"/>
    <x v="2"/>
    <x v="8"/>
    <n v="0"/>
    <n v="0"/>
    <n v="0.34200000000000003"/>
    <n v="0.34200000000000003"/>
    <n v="0.34200000000000003"/>
    <n v="0.34200000000000003"/>
    <n v="0"/>
    <s v="CATIVO"/>
    <n v="0"/>
    <n v="0"/>
    <n v="49"/>
    <n v="93"/>
    <n v="0"/>
    <n v="1039.0999999999999"/>
    <n v="237.87"/>
    <m/>
    <n v="1141.089509550284"/>
    <n v="340.94158486574412"/>
    <n v="0"/>
    <n v="27.875983404255322"/>
    <n v="0"/>
    <n v="32.352423465337132"/>
    <x v="1"/>
  </r>
  <r>
    <s v="Regular"/>
    <x v="3"/>
    <x v="4"/>
    <x v="0"/>
    <x v="1"/>
    <x v="1"/>
    <x v="0"/>
    <x v="2"/>
    <x v="0"/>
    <n v="0"/>
    <n v="0"/>
    <n v="0.26200000000000001"/>
    <n v="0.26200000000000001"/>
    <n v="0.26200000000000001"/>
    <n v="0.26200000000000001"/>
    <n v="0"/>
    <s v="CATIVO"/>
    <n v="0"/>
    <n v="0"/>
    <n v="49"/>
    <n v="93"/>
    <n v="0"/>
    <n v="1039.0999999999999"/>
    <n v="237.87"/>
    <m/>
    <n v="1141.089509550284"/>
    <n v="340.94158486574412"/>
    <n v="0"/>
    <n v="21.355285531914891"/>
    <n v="0"/>
    <n v="24.784605110872302"/>
    <x v="1"/>
  </r>
  <r>
    <s v="Regular"/>
    <x v="3"/>
    <x v="4"/>
    <x v="0"/>
    <x v="1"/>
    <x v="1"/>
    <x v="0"/>
    <x v="2"/>
    <x v="1"/>
    <n v="0"/>
    <n v="0"/>
    <n v="0.24"/>
    <n v="0.24"/>
    <n v="0.24"/>
    <n v="0.24"/>
    <n v="0"/>
    <s v="CATIVO"/>
    <n v="0"/>
    <n v="0"/>
    <n v="49"/>
    <n v="93"/>
    <n v="0"/>
    <n v="1039.0999999999999"/>
    <n v="237.87"/>
    <m/>
    <n v="1141.089509550284"/>
    <n v="340.94158486574412"/>
    <n v="0"/>
    <n v="19.562093617021272"/>
    <n v="0"/>
    <n v="22.703455063394472"/>
    <x v="1"/>
  </r>
  <r>
    <s v="Regular"/>
    <x v="3"/>
    <x v="4"/>
    <x v="0"/>
    <x v="1"/>
    <x v="1"/>
    <x v="0"/>
    <x v="2"/>
    <x v="2"/>
    <n v="0"/>
    <n v="0"/>
    <n v="0.29899999999999999"/>
    <n v="0.29899999999999999"/>
    <n v="0.29899999999999999"/>
    <n v="0.29899999999999999"/>
    <n v="0"/>
    <s v="CATIVO"/>
    <n v="0"/>
    <n v="0"/>
    <n v="49"/>
    <n v="93"/>
    <n v="0"/>
    <n v="1039.0999999999999"/>
    <n v="237.87"/>
    <m/>
    <n v="1141.089509550284"/>
    <n v="340.94158486574412"/>
    <n v="0"/>
    <n v="24.371108297872336"/>
    <n v="0"/>
    <n v="28.28472109981228"/>
    <x v="1"/>
  </r>
  <r>
    <s v="Regular"/>
    <x v="3"/>
    <x v="4"/>
    <x v="0"/>
    <x v="1"/>
    <x v="1"/>
    <x v="0"/>
    <x v="2"/>
    <x v="3"/>
    <n v="0"/>
    <n v="0"/>
    <n v="0.23599999999999999"/>
    <n v="0.23599999999999999"/>
    <n v="0.23599999999999999"/>
    <n v="0.23599999999999999"/>
    <n v="0"/>
    <s v="CATIVO"/>
    <n v="0"/>
    <n v="0"/>
    <n v="49"/>
    <n v="93"/>
    <n v="0"/>
    <n v="1039.0999999999999"/>
    <n v="237.87"/>
    <m/>
    <n v="1141.089509550284"/>
    <n v="340.94158486574412"/>
    <n v="0"/>
    <n v="19.236058723404252"/>
    <n v="0"/>
    <n v="22.325064145671231"/>
    <x v="1"/>
  </r>
  <r>
    <s v="Regular"/>
    <x v="3"/>
    <x v="4"/>
    <x v="0"/>
    <x v="1"/>
    <x v="1"/>
    <x v="0"/>
    <x v="2"/>
    <x v="4"/>
    <n v="0"/>
    <n v="0"/>
    <n v="0.309"/>
    <n v="0.309"/>
    <n v="0.309"/>
    <n v="0.309"/>
    <n v="0"/>
    <s v="CATIVO"/>
    <n v="0"/>
    <n v="0"/>
    <n v="49"/>
    <n v="93"/>
    <n v="0"/>
    <n v="1039.0999999999999"/>
    <n v="237.87"/>
    <m/>
    <n v="1141.089509550284"/>
    <n v="340.94158486574412"/>
    <n v="0"/>
    <n v="25.18619553191489"/>
    <n v="0"/>
    <n v="29.230698394120381"/>
    <x v="1"/>
  </r>
  <r>
    <s v="PROJETADO"/>
    <x v="3"/>
    <x v="4"/>
    <x v="0"/>
    <x v="1"/>
    <x v="1"/>
    <x v="0"/>
    <x v="2"/>
    <x v="5"/>
    <n v="0"/>
    <n v="0"/>
    <n v="0.309"/>
    <n v="0.309"/>
    <n v="0.309"/>
    <n v="0.309"/>
    <n v="0"/>
    <s v="CATIVO"/>
    <n v="0"/>
    <n v="0"/>
    <n v="49"/>
    <n v="93"/>
    <n v="0"/>
    <n v="1039.0999999999999"/>
    <n v="237.87"/>
    <m/>
    <n v="1141.089509550284"/>
    <n v="340.94158486574412"/>
    <n v="0"/>
    <n v="25.18619553191489"/>
    <n v="0"/>
    <n v="29.230698394120381"/>
    <x v="1"/>
  </r>
  <r>
    <s v="Regular"/>
    <x v="3"/>
    <x v="3"/>
    <x v="0"/>
    <x v="0"/>
    <x v="3"/>
    <x v="0"/>
    <x v="1"/>
    <x v="9"/>
    <n v="0"/>
    <n v="0"/>
    <n v="3.9769999999999999"/>
    <n v="3.9769999999999999"/>
    <n v="3.9769999999999999"/>
    <n v="3.9769999999999999"/>
    <n v="0"/>
    <s v="CATIVO"/>
    <n v="0"/>
    <n v="0"/>
    <n v="52"/>
    <n v="96"/>
    <n v="0"/>
    <n v="407.97"/>
    <n v="155.38999999999999"/>
    <m/>
    <n v="472.05179949641769"/>
    <n v="216.88611967035783"/>
    <n v="0"/>
    <n v="305.51314000000019"/>
    <n v="0"/>
    <n v="174.88762369316586"/>
    <x v="1"/>
  </r>
  <r>
    <s v="Sistema Isolado - Regular"/>
    <x v="3"/>
    <x v="3"/>
    <x v="0"/>
    <x v="0"/>
    <x v="3"/>
    <x v="0"/>
    <x v="1"/>
    <x v="9"/>
    <n v="0"/>
    <n v="0"/>
    <n v="6.8330000000000002"/>
    <n v="6.8330000000000002"/>
    <n v="6.8330000000000002"/>
    <n v="6.8330000000000002"/>
    <n v="0"/>
    <s v="CATIVO"/>
    <n v="0"/>
    <n v="0"/>
    <n v="52"/>
    <n v="96"/>
    <n v="0"/>
    <n v="407.97"/>
    <n v="155.38999999999999"/>
    <m/>
    <n v="472.05179949641769"/>
    <n v="216.88611967035783"/>
    <n v="0"/>
    <n v="524.91106000000036"/>
    <n v="0"/>
    <n v="300.47954053190904"/>
    <x v="1"/>
  </r>
  <r>
    <s v="Sistema Isolado - Refaturamento"/>
    <x v="3"/>
    <x v="3"/>
    <x v="0"/>
    <x v="0"/>
    <x v="3"/>
    <x v="0"/>
    <x v="1"/>
    <x v="9"/>
    <n v="0"/>
    <n v="0"/>
    <n v="0.05"/>
    <n v="0.05"/>
    <n v="0.05"/>
    <n v="0.05"/>
    <n v="0"/>
    <s v="CATIVO"/>
    <n v="0"/>
    <n v="0"/>
    <n v="52"/>
    <n v="96"/>
    <n v="0"/>
    <n v="407.97"/>
    <n v="155.38999999999999"/>
    <m/>
    <n v="472.05179949641769"/>
    <n v="216.88611967035783"/>
    <n v="0"/>
    <n v="3.8410000000000029"/>
    <n v="0"/>
    <n v="2.1987380398939638"/>
    <x v="1"/>
  </r>
  <r>
    <s v="Regular"/>
    <x v="3"/>
    <x v="3"/>
    <x v="0"/>
    <x v="0"/>
    <x v="3"/>
    <x v="0"/>
    <x v="1"/>
    <x v="10"/>
    <n v="0"/>
    <n v="0"/>
    <n v="3.988"/>
    <n v="3.988"/>
    <n v="3.988"/>
    <n v="3.988"/>
    <n v="0"/>
    <s v="CATIVO"/>
    <n v="0"/>
    <n v="0"/>
    <n v="52"/>
    <n v="96"/>
    <n v="0"/>
    <n v="407.97"/>
    <n v="155.38999999999999"/>
    <m/>
    <n v="472.05179949641769"/>
    <n v="216.88611967035783"/>
    <n v="0"/>
    <n v="306.35816000000023"/>
    <n v="0"/>
    <n v="175.37134606194252"/>
    <x v="1"/>
  </r>
  <r>
    <s v="Sistema Isolado - Regular"/>
    <x v="3"/>
    <x v="3"/>
    <x v="0"/>
    <x v="0"/>
    <x v="3"/>
    <x v="0"/>
    <x v="1"/>
    <x v="10"/>
    <n v="0"/>
    <n v="0"/>
    <n v="0.13700000000000001"/>
    <n v="0.13700000000000001"/>
    <n v="0.13700000000000001"/>
    <n v="0.13700000000000001"/>
    <n v="0"/>
    <s v="CATIVO"/>
    <n v="0"/>
    <n v="0"/>
    <n v="52"/>
    <n v="96"/>
    <n v="0"/>
    <n v="407.97"/>
    <n v="155.38999999999999"/>
    <m/>
    <n v="472.05179949641769"/>
    <n v="216.88611967035783"/>
    <n v="0"/>
    <n v="10.524340000000008"/>
    <n v="0"/>
    <n v="6.0245422293094606"/>
    <x v="1"/>
  </r>
  <r>
    <s v="Sistema Isolado - Refaturamento"/>
    <x v="3"/>
    <x v="3"/>
    <x v="0"/>
    <x v="0"/>
    <x v="3"/>
    <x v="0"/>
    <x v="1"/>
    <x v="10"/>
    <n v="0"/>
    <n v="0"/>
    <n v="-6.13"/>
    <n v="-6.13"/>
    <n v="-6.13"/>
    <n v="-6.13"/>
    <n v="0"/>
    <s v="CATIVO"/>
    <n v="0"/>
    <n v="0"/>
    <n v="52"/>
    <n v="96"/>
    <n v="0"/>
    <n v="407.97"/>
    <n v="155.38999999999999"/>
    <m/>
    <n v="472.05179949641769"/>
    <n v="216.88611967035783"/>
    <n v="0"/>
    <n v="-470.90660000000031"/>
    <n v="0"/>
    <n v="-269.56528369099993"/>
    <x v="1"/>
  </r>
  <r>
    <s v="Regular"/>
    <x v="3"/>
    <x v="3"/>
    <x v="0"/>
    <x v="0"/>
    <x v="3"/>
    <x v="0"/>
    <x v="1"/>
    <x v="11"/>
    <n v="0"/>
    <n v="0"/>
    <n v="4.5960000000000001"/>
    <n v="4.5960000000000001"/>
    <n v="4.5960000000000001"/>
    <n v="4.5960000000000001"/>
    <n v="0"/>
    <s v="CATIVO"/>
    <n v="0"/>
    <n v="0"/>
    <n v="52"/>
    <n v="96"/>
    <n v="0"/>
    <n v="407.97"/>
    <n v="155.38999999999999"/>
    <m/>
    <n v="472.05179949641769"/>
    <n v="216.88611967035783"/>
    <n v="0"/>
    <n v="353.06472000000025"/>
    <n v="0"/>
    <n v="202.10800062705312"/>
    <x v="1"/>
  </r>
  <r>
    <s v="Sistema Isolado - Regular"/>
    <x v="3"/>
    <x v="3"/>
    <x v="0"/>
    <x v="0"/>
    <x v="3"/>
    <x v="0"/>
    <x v="1"/>
    <x v="11"/>
    <n v="0"/>
    <n v="0"/>
    <n v="0.128"/>
    <n v="0.128"/>
    <n v="0.128"/>
    <n v="0.128"/>
    <n v="0"/>
    <s v="CATIVO"/>
    <n v="0"/>
    <n v="0"/>
    <n v="52"/>
    <n v="96"/>
    <n v="0"/>
    <n v="407.97"/>
    <n v="155.38999999999999"/>
    <m/>
    <n v="472.05179949641769"/>
    <n v="216.88611967035783"/>
    <n v="0"/>
    <n v="9.832960000000007"/>
    <n v="0"/>
    <n v="5.6287693821285467"/>
    <x v="1"/>
  </r>
  <r>
    <s v="Sistema Isolado - Refaturamento"/>
    <x v="3"/>
    <x v="3"/>
    <x v="0"/>
    <x v="0"/>
    <x v="3"/>
    <x v="0"/>
    <x v="1"/>
    <x v="11"/>
    <n v="0"/>
    <n v="0"/>
    <n v="-4.6050000000000004"/>
    <n v="-4.6050000000000004"/>
    <n v="-4.6050000000000004"/>
    <n v="-4.6050000000000004"/>
    <n v="0"/>
    <s v="CATIVO"/>
    <n v="0"/>
    <n v="0"/>
    <n v="52"/>
    <n v="96"/>
    <n v="0"/>
    <n v="407.97"/>
    <n v="155.38999999999999"/>
    <m/>
    <n v="472.05179949641769"/>
    <n v="216.88611967035783"/>
    <n v="0"/>
    <n v="-353.75610000000029"/>
    <n v="0"/>
    <n v="-202.50377347423407"/>
    <x v="1"/>
  </r>
  <r>
    <s v="Regular"/>
    <x v="3"/>
    <x v="3"/>
    <x v="0"/>
    <x v="0"/>
    <x v="3"/>
    <x v="0"/>
    <x v="1"/>
    <x v="6"/>
    <n v="0"/>
    <n v="0"/>
    <n v="5.0549999999999997"/>
    <n v="5.0549999999999997"/>
    <n v="5.0549999999999997"/>
    <n v="5.0549999999999997"/>
    <n v="0"/>
    <s v="CATIVO"/>
    <n v="0"/>
    <n v="0"/>
    <n v="52"/>
    <n v="96"/>
    <n v="0"/>
    <n v="407.97"/>
    <n v="155.38999999999999"/>
    <m/>
    <n v="472.05179949641769"/>
    <n v="216.88611967035783"/>
    <n v="0"/>
    <n v="388.32510000000025"/>
    <n v="0"/>
    <n v="222.2924158332797"/>
    <x v="1"/>
  </r>
  <r>
    <s v="Sistema Isolado - Regular"/>
    <x v="3"/>
    <x v="3"/>
    <x v="0"/>
    <x v="0"/>
    <x v="3"/>
    <x v="0"/>
    <x v="1"/>
    <x v="6"/>
    <n v="0"/>
    <n v="0"/>
    <n v="1.7999999999999999E-2"/>
    <n v="1.7999999999999999E-2"/>
    <n v="1.7999999999999999E-2"/>
    <n v="1.7999999999999999E-2"/>
    <n v="0"/>
    <s v="CATIVO"/>
    <n v="0"/>
    <n v="0"/>
    <n v="52"/>
    <n v="96"/>
    <n v="0"/>
    <n v="407.97"/>
    <n v="155.38999999999999"/>
    <m/>
    <n v="472.05179949641769"/>
    <n v="216.88611967035783"/>
    <n v="0"/>
    <n v="1.3827600000000009"/>
    <n v="0"/>
    <n v="0.79154569436182676"/>
    <x v="1"/>
  </r>
  <r>
    <s v="Regular"/>
    <x v="3"/>
    <x v="3"/>
    <x v="0"/>
    <x v="0"/>
    <x v="3"/>
    <x v="0"/>
    <x v="1"/>
    <x v="7"/>
    <n v="0"/>
    <n v="0"/>
    <n v="3.76"/>
    <n v="3.76"/>
    <n v="3.76"/>
    <n v="3.76"/>
    <n v="0"/>
    <s v="CATIVO"/>
    <n v="0"/>
    <n v="0"/>
    <n v="52"/>
    <n v="96"/>
    <n v="0"/>
    <n v="407.97"/>
    <n v="155.38999999999999"/>
    <m/>
    <n v="472.05179949641769"/>
    <n v="216.88611967035783"/>
    <n v="0"/>
    <n v="288.84320000000019"/>
    <n v="0"/>
    <n v="165.34510060002606"/>
    <x v="1"/>
  </r>
  <r>
    <s v="Refaturamento - Regular"/>
    <x v="3"/>
    <x v="3"/>
    <x v="0"/>
    <x v="0"/>
    <x v="3"/>
    <x v="0"/>
    <x v="1"/>
    <x v="7"/>
    <n v="0"/>
    <n v="0"/>
    <n v="-12.438000000000001"/>
    <n v="-12.438000000000001"/>
    <n v="-12.438000000000001"/>
    <n v="-12.438000000000001"/>
    <n v="0"/>
    <s v="CATIVO"/>
    <n v="0"/>
    <n v="0"/>
    <n v="52"/>
    <n v="96"/>
    <n v="0"/>
    <n v="407.97"/>
    <n v="155.38999999999999"/>
    <m/>
    <n v="472.05179949641769"/>
    <n v="216.88611967035783"/>
    <n v="0"/>
    <n v="-955.4871600000007"/>
    <n v="0"/>
    <n v="-546.95807480402243"/>
    <x v="1"/>
  </r>
  <r>
    <s v="Sistema Isolado - Regular"/>
    <x v="3"/>
    <x v="3"/>
    <x v="0"/>
    <x v="0"/>
    <x v="3"/>
    <x v="0"/>
    <x v="1"/>
    <x v="7"/>
    <n v="0"/>
    <n v="0"/>
    <n v="0.57199999999999995"/>
    <n v="0.57199999999999995"/>
    <n v="0.57199999999999995"/>
    <n v="0.57199999999999995"/>
    <n v="0"/>
    <s v="CATIVO"/>
    <n v="0"/>
    <n v="0"/>
    <n v="52"/>
    <n v="96"/>
    <n v="0"/>
    <n v="407.97"/>
    <n v="155.38999999999999"/>
    <m/>
    <n v="472.05179949641769"/>
    <n v="216.88611967035783"/>
    <n v="0"/>
    <n v="43.941040000000022"/>
    <n v="0"/>
    <n v="25.153563176386939"/>
    <x v="1"/>
  </r>
  <r>
    <s v="Regular"/>
    <x v="3"/>
    <x v="3"/>
    <x v="0"/>
    <x v="0"/>
    <x v="3"/>
    <x v="0"/>
    <x v="1"/>
    <x v="8"/>
    <n v="0"/>
    <n v="0"/>
    <n v="15.972"/>
    <n v="15.972"/>
    <n v="15.972"/>
    <n v="15.972"/>
    <n v="0"/>
    <s v="CATIVO"/>
    <n v="0"/>
    <n v="0"/>
    <n v="52"/>
    <n v="96"/>
    <n v="0"/>
    <n v="407.97"/>
    <n v="155.38999999999999"/>
    <m/>
    <n v="472.05179949641769"/>
    <n v="216.88611967035783"/>
    <n v="0"/>
    <n v="1226.9690400000009"/>
    <n v="0"/>
    <n v="702.36487946372768"/>
    <x v="1"/>
  </r>
  <r>
    <s v="Refaturamento - Regular"/>
    <x v="3"/>
    <x v="3"/>
    <x v="0"/>
    <x v="0"/>
    <x v="3"/>
    <x v="0"/>
    <x v="1"/>
    <x v="8"/>
    <n v="0"/>
    <n v="0"/>
    <n v="-0.25700000000000001"/>
    <n v="-0.25700000000000001"/>
    <n v="-0.25700000000000001"/>
    <n v="-0.25700000000000001"/>
    <n v="0"/>
    <s v="CATIVO"/>
    <n v="0"/>
    <n v="0"/>
    <n v="52"/>
    <n v="96"/>
    <n v="0"/>
    <n v="407.97"/>
    <n v="155.38999999999999"/>
    <m/>
    <n v="472.05179949641769"/>
    <n v="216.88611967035783"/>
    <n v="0"/>
    <n v="-19.742740000000012"/>
    <n v="0"/>
    <n v="-11.301513525054972"/>
    <x v="1"/>
  </r>
  <r>
    <s v="Sistema Isolado - Regular"/>
    <x v="3"/>
    <x v="3"/>
    <x v="0"/>
    <x v="0"/>
    <x v="3"/>
    <x v="0"/>
    <x v="1"/>
    <x v="8"/>
    <n v="0"/>
    <n v="0"/>
    <n v="2.573"/>
    <n v="2.573"/>
    <n v="2.573"/>
    <n v="2.573"/>
    <n v="0"/>
    <s v="CATIVO"/>
    <n v="0"/>
    <n v="0"/>
    <n v="52"/>
    <n v="96"/>
    <n v="0"/>
    <n v="407.97"/>
    <n v="155.38999999999999"/>
    <m/>
    <n v="472.05179949641769"/>
    <n v="216.88611967035783"/>
    <n v="0"/>
    <n v="197.65786000000011"/>
    <n v="0"/>
    <n v="113.14705953294336"/>
    <x v="1"/>
  </r>
  <r>
    <s v="Regular"/>
    <x v="3"/>
    <x v="3"/>
    <x v="0"/>
    <x v="0"/>
    <x v="3"/>
    <x v="0"/>
    <x v="1"/>
    <x v="0"/>
    <n v="0"/>
    <n v="0"/>
    <n v="9.6989999999999998"/>
    <n v="9.6989999999999998"/>
    <n v="9.6989999999999998"/>
    <n v="9.6989999999999998"/>
    <n v="0"/>
    <s v="CATIVO"/>
    <n v="0"/>
    <n v="0"/>
    <n v="52"/>
    <n v="96"/>
    <n v="0"/>
    <n v="407.97"/>
    <n v="155.38999999999999"/>
    <m/>
    <n v="472.05179949641769"/>
    <n v="216.88611967035783"/>
    <n v="0"/>
    <n v="745.07718000000045"/>
    <n v="0"/>
    <n v="426.51120497863104"/>
    <x v="1"/>
  </r>
  <r>
    <s v="Refaturamento - Regular"/>
    <x v="3"/>
    <x v="3"/>
    <x v="0"/>
    <x v="0"/>
    <x v="3"/>
    <x v="0"/>
    <x v="1"/>
    <x v="0"/>
    <n v="0"/>
    <n v="0"/>
    <n v="-7.1219999999999999"/>
    <n v="-7.1219999999999999"/>
    <n v="-7.1219999999999999"/>
    <n v="-7.1219999999999999"/>
    <n v="0"/>
    <s v="CATIVO"/>
    <n v="0"/>
    <n v="0"/>
    <n v="52"/>
    <n v="96"/>
    <n v="0"/>
    <n v="407.97"/>
    <n v="155.38999999999999"/>
    <m/>
    <n v="472.05179949641769"/>
    <n v="216.88611967035783"/>
    <n v="0"/>
    <n v="-547.11204000000032"/>
    <n v="0"/>
    <n v="-313.18824640249613"/>
    <x v="1"/>
  </r>
  <r>
    <s v="Sistema Isolado - Regular"/>
    <x v="3"/>
    <x v="3"/>
    <x v="0"/>
    <x v="0"/>
    <x v="3"/>
    <x v="0"/>
    <x v="1"/>
    <x v="0"/>
    <n v="0"/>
    <n v="0"/>
    <n v="1.0009999999999999"/>
    <n v="1.0009999999999999"/>
    <n v="1.0009999999999999"/>
    <n v="1.0009999999999999"/>
    <n v="0"/>
    <s v="CATIVO"/>
    <n v="0"/>
    <n v="0"/>
    <n v="52"/>
    <n v="96"/>
    <n v="0"/>
    <n v="407.97"/>
    <n v="155.38999999999999"/>
    <m/>
    <n v="472.05179949641769"/>
    <n v="216.88611967035783"/>
    <n v="0"/>
    <n v="76.896820000000048"/>
    <n v="0"/>
    <n v="44.018735558677143"/>
    <x v="1"/>
  </r>
  <r>
    <s v="Regular"/>
    <x v="3"/>
    <x v="3"/>
    <x v="0"/>
    <x v="0"/>
    <x v="3"/>
    <x v="0"/>
    <x v="1"/>
    <x v="1"/>
    <n v="0"/>
    <n v="0"/>
    <n v="3.0059999999999998"/>
    <n v="3.0059999999999998"/>
    <n v="3.0059999999999998"/>
    <n v="3.0059999999999998"/>
    <n v="0"/>
    <s v="CATIVO"/>
    <n v="0"/>
    <n v="0"/>
    <n v="52"/>
    <n v="96"/>
    <n v="0"/>
    <n v="407.97"/>
    <n v="155.38999999999999"/>
    <m/>
    <n v="472.05179949641769"/>
    <n v="216.88611967035783"/>
    <n v="0"/>
    <n v="230.92092000000014"/>
    <n v="0"/>
    <n v="132.18813095842506"/>
    <x v="1"/>
  </r>
  <r>
    <s v="Sistema Isolado - Regular"/>
    <x v="3"/>
    <x v="3"/>
    <x v="0"/>
    <x v="0"/>
    <x v="3"/>
    <x v="0"/>
    <x v="1"/>
    <x v="1"/>
    <n v="0"/>
    <n v="0"/>
    <n v="1.712"/>
    <n v="1.712"/>
    <n v="1.712"/>
    <n v="1.712"/>
    <n v="0"/>
    <s v="CATIVO"/>
    <n v="0"/>
    <n v="0"/>
    <n v="52"/>
    <n v="96"/>
    <n v="0"/>
    <n v="407.97"/>
    <n v="155.38999999999999"/>
    <m/>
    <n v="472.05179949641769"/>
    <n v="216.88611967035783"/>
    <n v="0"/>
    <n v="131.51584000000008"/>
    <n v="0"/>
    <n v="75.28479048596931"/>
    <x v="1"/>
  </r>
  <r>
    <s v="Regular"/>
    <x v="3"/>
    <x v="3"/>
    <x v="0"/>
    <x v="0"/>
    <x v="3"/>
    <x v="0"/>
    <x v="1"/>
    <x v="2"/>
    <n v="0"/>
    <n v="0"/>
    <n v="1.7569999999999999"/>
    <n v="1.7569999999999999"/>
    <n v="1.7569999999999999"/>
    <n v="1.7569999999999999"/>
    <n v="0"/>
    <s v="CATIVO"/>
    <n v="0"/>
    <n v="0"/>
    <n v="52"/>
    <n v="96"/>
    <n v="0"/>
    <n v="407.97"/>
    <n v="155.38999999999999"/>
    <m/>
    <n v="472.05179949641769"/>
    <n v="216.88611967035783"/>
    <n v="0"/>
    <n v="134.97274000000007"/>
    <n v="0"/>
    <n v="77.263654721873877"/>
    <x v="1"/>
  </r>
  <r>
    <s v="Sistema Isolado - Regular"/>
    <x v="3"/>
    <x v="3"/>
    <x v="0"/>
    <x v="0"/>
    <x v="3"/>
    <x v="0"/>
    <x v="1"/>
    <x v="2"/>
    <n v="0"/>
    <n v="0"/>
    <n v="2.359"/>
    <n v="2.359"/>
    <n v="2.359"/>
    <n v="2.359"/>
    <n v="0"/>
    <s v="CATIVO"/>
    <n v="0"/>
    <n v="0"/>
    <n v="52"/>
    <n v="96"/>
    <n v="0"/>
    <n v="407.97"/>
    <n v="155.38999999999999"/>
    <m/>
    <n v="472.05179949641769"/>
    <n v="216.88611967035783"/>
    <n v="0"/>
    <n v="181.21838000000011"/>
    <n v="0"/>
    <n v="103.73646072219719"/>
    <x v="1"/>
  </r>
  <r>
    <s v="Regular"/>
    <x v="3"/>
    <x v="3"/>
    <x v="0"/>
    <x v="0"/>
    <x v="3"/>
    <x v="0"/>
    <x v="1"/>
    <x v="3"/>
    <n v="0"/>
    <n v="0"/>
    <n v="4.3470000000000004"/>
    <n v="4.3470000000000004"/>
    <n v="4.3470000000000004"/>
    <n v="4.3470000000000004"/>
    <n v="0"/>
    <s v="CATIVO"/>
    <n v="0"/>
    <n v="0"/>
    <n v="52"/>
    <n v="96"/>
    <n v="0"/>
    <n v="407.97"/>
    <n v="155.38999999999999"/>
    <m/>
    <n v="472.05179949641769"/>
    <n v="216.88611967035783"/>
    <n v="0"/>
    <n v="333.93654000000026"/>
    <n v="0"/>
    <n v="191.1582851883812"/>
    <x v="1"/>
  </r>
  <r>
    <s v="Sistema Isolado - Regular"/>
    <x v="3"/>
    <x v="3"/>
    <x v="0"/>
    <x v="0"/>
    <x v="3"/>
    <x v="0"/>
    <x v="1"/>
    <x v="3"/>
    <n v="0"/>
    <n v="0"/>
    <n v="2.4380000000000002"/>
    <n v="2.4380000000000002"/>
    <n v="2.4380000000000002"/>
    <n v="2.4380000000000002"/>
    <n v="0"/>
    <s v="CATIVO"/>
    <n v="0"/>
    <n v="0"/>
    <n v="52"/>
    <n v="96"/>
    <n v="0"/>
    <n v="407.97"/>
    <n v="155.38999999999999"/>
    <m/>
    <n v="472.05179949641769"/>
    <n v="216.88611967035783"/>
    <n v="0"/>
    <n v="187.28716000000014"/>
    <n v="0"/>
    <n v="107.21046682522967"/>
    <x v="1"/>
  </r>
  <r>
    <s v="Regular"/>
    <x v="3"/>
    <x v="3"/>
    <x v="0"/>
    <x v="0"/>
    <x v="3"/>
    <x v="0"/>
    <x v="1"/>
    <x v="4"/>
    <n v="0"/>
    <n v="0"/>
    <n v="7.6920000000000002"/>
    <n v="7.6920000000000002"/>
    <n v="7.6920000000000002"/>
    <n v="7.6920000000000002"/>
    <n v="0"/>
    <s v="CATIVO"/>
    <n v="0"/>
    <n v="0"/>
    <n v="52"/>
    <n v="96"/>
    <n v="0"/>
    <n v="407.97"/>
    <n v="155.38999999999999"/>
    <m/>
    <n v="472.05179949641769"/>
    <n v="216.88611967035783"/>
    <n v="0"/>
    <n v="590.89944000000037"/>
    <n v="0"/>
    <n v="338.25386005728734"/>
    <x v="1"/>
  </r>
  <r>
    <s v="Sistema Isolado - Regular"/>
    <x v="3"/>
    <x v="3"/>
    <x v="0"/>
    <x v="0"/>
    <x v="3"/>
    <x v="0"/>
    <x v="1"/>
    <x v="4"/>
    <n v="0"/>
    <n v="0"/>
    <n v="3.1509999999999998"/>
    <n v="3.1509999999999998"/>
    <n v="3.1509999999999998"/>
    <n v="3.1509999999999998"/>
    <n v="0"/>
    <s v="CATIVO"/>
    <n v="0"/>
    <n v="0"/>
    <n v="52"/>
    <n v="96"/>
    <n v="0"/>
    <n v="407.97"/>
    <n v="155.38999999999999"/>
    <m/>
    <n v="472.05179949641769"/>
    <n v="216.88611967035783"/>
    <n v="0"/>
    <n v="242.05982000000014"/>
    <n v="0"/>
    <n v="138.56447127411758"/>
    <x v="1"/>
  </r>
  <r>
    <s v="PROJETADO"/>
    <x v="3"/>
    <x v="3"/>
    <x v="0"/>
    <x v="0"/>
    <x v="3"/>
    <x v="0"/>
    <x v="1"/>
    <x v="5"/>
    <n v="0"/>
    <n v="0"/>
    <n v="7.6920000000000002"/>
    <n v="7.6920000000000002"/>
    <n v="7.6920000000000002"/>
    <n v="7.6920000000000002"/>
    <n v="0"/>
    <s v="CATIVO"/>
    <n v="0"/>
    <n v="0"/>
    <n v="52"/>
    <n v="96"/>
    <n v="0"/>
    <n v="407.97"/>
    <n v="155.38999999999999"/>
    <m/>
    <n v="472.05179949641769"/>
    <n v="216.88611967035783"/>
    <n v="0"/>
    <n v="590.89944000000037"/>
    <n v="0"/>
    <n v="338.25386005728734"/>
    <x v="1"/>
  </r>
  <r>
    <s v="PROJETADO"/>
    <x v="3"/>
    <x v="3"/>
    <x v="0"/>
    <x v="0"/>
    <x v="3"/>
    <x v="0"/>
    <x v="1"/>
    <x v="5"/>
    <n v="0"/>
    <n v="0"/>
    <n v="3.1509999999999998"/>
    <n v="3.1509999999999998"/>
    <n v="3.1509999999999998"/>
    <n v="3.1509999999999998"/>
    <n v="0"/>
    <s v="CATIVO"/>
    <n v="0"/>
    <n v="0"/>
    <n v="52"/>
    <n v="96"/>
    <n v="0"/>
    <n v="407.97"/>
    <n v="155.38999999999999"/>
    <m/>
    <n v="472.05179949641769"/>
    <n v="216.88611967035783"/>
    <n v="0"/>
    <n v="242.05982000000014"/>
    <n v="0"/>
    <n v="138.56447127411758"/>
    <x v="1"/>
  </r>
  <r>
    <s v="Regular"/>
    <x v="3"/>
    <x v="3"/>
    <x v="0"/>
    <x v="0"/>
    <x v="0"/>
    <x v="0"/>
    <x v="1"/>
    <x v="9"/>
    <n v="0"/>
    <n v="0"/>
    <n v="1.8819999999999999"/>
    <n v="0.62105999999999995"/>
    <n v="1.8819999999999999"/>
    <n v="0.62105999999999995"/>
    <n v="0"/>
    <s v="CATIVO"/>
    <n v="0"/>
    <n v="0"/>
    <n v="52"/>
    <n v="96"/>
    <n v="0"/>
    <n v="407.97"/>
    <n v="155.38999999999999"/>
    <m/>
    <n v="472.05179949641769"/>
    <n v="216.88611967035783"/>
    <n v="0"/>
    <n v="854.9383984000001"/>
    <n v="0"/>
    <n v="951.46987961576258"/>
    <x v="0"/>
  </r>
  <r>
    <s v="Sistema Isolado - Regular"/>
    <x v="3"/>
    <x v="3"/>
    <x v="0"/>
    <x v="0"/>
    <x v="0"/>
    <x v="0"/>
    <x v="1"/>
    <x v="9"/>
    <n v="0"/>
    <n v="0"/>
    <n v="1.224"/>
    <n v="0.40392"/>
    <n v="1.224"/>
    <n v="0.40392"/>
    <n v="0"/>
    <s v="CATIVO"/>
    <n v="0"/>
    <n v="0"/>
    <n v="52"/>
    <n v="96"/>
    <n v="0"/>
    <n v="407.97"/>
    <n v="155.38999999999999"/>
    <m/>
    <n v="472.05179949641769"/>
    <n v="216.88611967035783"/>
    <n v="0"/>
    <n v="556.02794879999999"/>
    <n v="0"/>
    <n v="618.80931596689345"/>
    <x v="0"/>
  </r>
  <r>
    <s v="Regular"/>
    <x v="3"/>
    <x v="3"/>
    <x v="0"/>
    <x v="0"/>
    <x v="0"/>
    <x v="0"/>
    <x v="1"/>
    <x v="10"/>
    <n v="0"/>
    <n v="0"/>
    <n v="1.351"/>
    <n v="0.44583"/>
    <n v="1.351"/>
    <n v="0.44583"/>
    <n v="0"/>
    <s v="CATIVO"/>
    <n v="0"/>
    <n v="0"/>
    <n v="52"/>
    <n v="96"/>
    <n v="0"/>
    <n v="407.97"/>
    <n v="155.38999999999999"/>
    <m/>
    <n v="472.05179949641769"/>
    <n v="216.88611967035783"/>
    <n v="0"/>
    <n v="613.72039120000011"/>
    <n v="0"/>
    <n v="683.01583813012508"/>
    <x v="0"/>
  </r>
  <r>
    <s v="Sistema Isolado - Regular"/>
    <x v="3"/>
    <x v="3"/>
    <x v="0"/>
    <x v="0"/>
    <x v="0"/>
    <x v="0"/>
    <x v="1"/>
    <x v="10"/>
    <n v="0"/>
    <n v="0"/>
    <n v="3.8969999999999998"/>
    <n v="1.2860100000000001"/>
    <n v="3.8969999999999998"/>
    <n v="1.2860100000000001"/>
    <n v="0"/>
    <s v="CATIVO"/>
    <n v="0"/>
    <n v="0"/>
    <n v="52"/>
    <n v="96"/>
    <n v="0"/>
    <n v="407.97"/>
    <n v="155.38999999999999"/>
    <m/>
    <n v="472.05179949641769"/>
    <n v="216.88611967035783"/>
    <n v="0"/>
    <n v="1770.2948664"/>
    <n v="0"/>
    <n v="1970.1796603945945"/>
    <x v="0"/>
  </r>
  <r>
    <s v="Sistema Isolado - Refaturamento"/>
    <x v="3"/>
    <x v="3"/>
    <x v="0"/>
    <x v="0"/>
    <x v="0"/>
    <x v="0"/>
    <x v="1"/>
    <x v="10"/>
    <n v="0"/>
    <n v="0"/>
    <n v="0.48799999999999999"/>
    <n v="0.16103999999999999"/>
    <n v="0.48799999999999999"/>
    <n v="0.16103999999999999"/>
    <n v="0"/>
    <s v="CATIVO"/>
    <n v="0"/>
    <n v="0"/>
    <n v="52"/>
    <n v="96"/>
    <n v="0"/>
    <n v="407.97"/>
    <n v="155.38999999999999"/>
    <m/>
    <n v="472.05179949641769"/>
    <n v="216.88611967035783"/>
    <n v="0"/>
    <n v="221.68434560000003"/>
    <n v="0"/>
    <n v="246.71482532013403"/>
    <x v="0"/>
  </r>
  <r>
    <s v="Regular"/>
    <x v="3"/>
    <x v="3"/>
    <x v="0"/>
    <x v="0"/>
    <x v="0"/>
    <x v="0"/>
    <x v="1"/>
    <x v="11"/>
    <n v="0"/>
    <n v="0"/>
    <n v="1.948"/>
    <n v="0.64283999999999997"/>
    <n v="1.948"/>
    <n v="0.64283999999999997"/>
    <n v="0"/>
    <s v="CATIVO"/>
    <n v="0"/>
    <n v="0"/>
    <n v="52"/>
    <n v="96"/>
    <n v="0"/>
    <n v="407.97"/>
    <n v="155.38999999999999"/>
    <m/>
    <n v="472.05179949641769"/>
    <n v="216.88611967035783"/>
    <n v="0"/>
    <n v="884.92029760000003"/>
    <n v="0"/>
    <n v="984.83704861397746"/>
    <x v="0"/>
  </r>
  <r>
    <s v="Sistema Isolado - Regular"/>
    <x v="3"/>
    <x v="3"/>
    <x v="0"/>
    <x v="0"/>
    <x v="0"/>
    <x v="0"/>
    <x v="1"/>
    <x v="11"/>
    <n v="0"/>
    <n v="0"/>
    <n v="1.242"/>
    <n v="0.40986"/>
    <n v="1.242"/>
    <n v="0.40986"/>
    <n v="0"/>
    <s v="CATIVO"/>
    <n v="0"/>
    <n v="0"/>
    <n v="52"/>
    <n v="96"/>
    <n v="0"/>
    <n v="407.97"/>
    <n v="155.38999999999999"/>
    <m/>
    <n v="472.05179949641769"/>
    <n v="216.88611967035783"/>
    <n v="0"/>
    <n v="564.20483040000011"/>
    <n v="0"/>
    <n v="627.90945296640666"/>
    <x v="0"/>
  </r>
  <r>
    <s v="Sistema Isolado - Refaturamento"/>
    <x v="3"/>
    <x v="3"/>
    <x v="0"/>
    <x v="0"/>
    <x v="0"/>
    <x v="0"/>
    <x v="1"/>
    <x v="11"/>
    <n v="0"/>
    <n v="0"/>
    <n v="4.5549999999999997"/>
    <n v="1.50315"/>
    <n v="4.5549999999999997"/>
    <n v="1.50315"/>
    <n v="0"/>
    <s v="CATIVO"/>
    <n v="0"/>
    <n v="0"/>
    <n v="52"/>
    <n v="96"/>
    <n v="0"/>
    <n v="407.97"/>
    <n v="155.38999999999999"/>
    <m/>
    <n v="472.05179949641769"/>
    <n v="216.88611967035783"/>
    <n v="0"/>
    <n v="2069.2053160000005"/>
    <n v="0"/>
    <n v="2302.8402240434639"/>
    <x v="0"/>
  </r>
  <r>
    <s v="Regular"/>
    <x v="3"/>
    <x v="3"/>
    <x v="0"/>
    <x v="0"/>
    <x v="0"/>
    <x v="0"/>
    <x v="1"/>
    <x v="6"/>
    <n v="0"/>
    <n v="0"/>
    <n v="1.423"/>
    <n v="0.46959000000000001"/>
    <n v="1.423"/>
    <n v="0.46959000000000001"/>
    <n v="0"/>
    <s v="CATIVO"/>
    <n v="0"/>
    <n v="0"/>
    <n v="52"/>
    <n v="96"/>
    <n v="0"/>
    <n v="407.97"/>
    <n v="155.38999999999999"/>
    <m/>
    <n v="472.05179949641769"/>
    <n v="216.88611967035783"/>
    <n v="0"/>
    <n v="646.42791760000011"/>
    <n v="0"/>
    <n v="719.41638612817769"/>
    <x v="0"/>
  </r>
  <r>
    <s v="Sistema Isolado - Regular"/>
    <x v="3"/>
    <x v="3"/>
    <x v="0"/>
    <x v="0"/>
    <x v="0"/>
    <x v="0"/>
    <x v="1"/>
    <x v="6"/>
    <n v="0"/>
    <n v="0"/>
    <n v="0.879"/>
    <n v="0.29006999999999999"/>
    <n v="0.879"/>
    <n v="0.29006999999999999"/>
    <n v="0"/>
    <s v="CATIVO"/>
    <n v="0"/>
    <n v="0"/>
    <n v="52"/>
    <n v="96"/>
    <n v="0"/>
    <n v="407.97"/>
    <n v="155.38999999999999"/>
    <m/>
    <n v="472.05179949641769"/>
    <n v="216.88611967035783"/>
    <n v="0"/>
    <n v="399.30438479999998"/>
    <n v="0"/>
    <n v="444.39002347622488"/>
    <x v="0"/>
  </r>
  <r>
    <s v="Regular"/>
    <x v="3"/>
    <x v="3"/>
    <x v="0"/>
    <x v="0"/>
    <x v="0"/>
    <x v="0"/>
    <x v="1"/>
    <x v="7"/>
    <n v="0"/>
    <n v="0"/>
    <n v="1.024"/>
    <n v="0.33792"/>
    <n v="1.024"/>
    <n v="0.33792"/>
    <n v="0"/>
    <s v="CATIVO"/>
    <n v="0"/>
    <n v="0"/>
    <n v="52"/>
    <n v="96"/>
    <n v="0"/>
    <n v="407.97"/>
    <n v="155.38999999999999"/>
    <m/>
    <n v="472.05179949641769"/>
    <n v="216.88611967035783"/>
    <n v="0"/>
    <n v="465.1737088000001"/>
    <n v="0"/>
    <n v="517.69668263896972"/>
    <x v="0"/>
  </r>
  <r>
    <s v="Refaturamento - Regular"/>
    <x v="3"/>
    <x v="3"/>
    <x v="0"/>
    <x v="0"/>
    <x v="0"/>
    <x v="0"/>
    <x v="1"/>
    <x v="7"/>
    <n v="0"/>
    <n v="0"/>
    <n v="-8.6999999999999994E-2"/>
    <n v="-2.8709999999999999E-2"/>
    <n v="-8.6999999999999994E-2"/>
    <n v="-2.8709999999999999E-2"/>
    <n v="0"/>
    <s v="CATIVO"/>
    <n v="0"/>
    <n v="0"/>
    <n v="52"/>
    <n v="96"/>
    <n v="0"/>
    <n v="407.97"/>
    <n v="155.38999999999999"/>
    <m/>
    <n v="472.05179949641769"/>
    <n v="216.88611967035783"/>
    <n v="0"/>
    <n v="-39.521594399999998"/>
    <n v="0"/>
    <n v="-43.983995497646831"/>
    <x v="0"/>
  </r>
  <r>
    <s v="Sistema Isolado - Regular"/>
    <x v="3"/>
    <x v="3"/>
    <x v="0"/>
    <x v="0"/>
    <x v="0"/>
    <x v="0"/>
    <x v="1"/>
    <x v="7"/>
    <n v="0"/>
    <n v="0"/>
    <n v="0.90600000000000003"/>
    <n v="0.29898000000000002"/>
    <n v="0.90600000000000003"/>
    <n v="0.29898000000000002"/>
    <n v="0"/>
    <s v="CATIVO"/>
    <n v="0"/>
    <n v="0"/>
    <n v="52"/>
    <n v="96"/>
    <n v="0"/>
    <n v="407.97"/>
    <n v="155.38999999999999"/>
    <m/>
    <n v="472.05179949641769"/>
    <n v="216.88611967035783"/>
    <n v="0"/>
    <n v="411.56970720000004"/>
    <n v="0"/>
    <n v="458.0402289754947"/>
    <x v="0"/>
  </r>
  <r>
    <s v="Regular"/>
    <x v="3"/>
    <x v="3"/>
    <x v="0"/>
    <x v="0"/>
    <x v="0"/>
    <x v="0"/>
    <x v="1"/>
    <x v="8"/>
    <n v="0"/>
    <n v="0"/>
    <n v="2.7010000000000001"/>
    <n v="0.89132999999999996"/>
    <n v="2.7010000000000001"/>
    <n v="0.89132999999999996"/>
    <n v="0"/>
    <s v="CATIVO"/>
    <n v="0"/>
    <n v="0"/>
    <n v="52"/>
    <n v="96"/>
    <n v="0"/>
    <n v="407.97"/>
    <n v="155.38999999999999"/>
    <m/>
    <n v="472.05179949641769"/>
    <n v="216.88611967035783"/>
    <n v="0"/>
    <n v="1226.9865112000002"/>
    <n v="0"/>
    <n v="1365.5261130936108"/>
    <x v="0"/>
  </r>
  <r>
    <s v="Refaturamento - Regular"/>
    <x v="3"/>
    <x v="3"/>
    <x v="0"/>
    <x v="0"/>
    <x v="0"/>
    <x v="0"/>
    <x v="1"/>
    <x v="8"/>
    <n v="0"/>
    <n v="0"/>
    <n v="-0.23799999999999999"/>
    <n v="-7.8539999999999999E-2"/>
    <n v="-0.23799999999999999"/>
    <n v="-7.8539999999999999E-2"/>
    <n v="0"/>
    <s v="CATIVO"/>
    <n v="0"/>
    <n v="0"/>
    <n v="52"/>
    <n v="96"/>
    <n v="0"/>
    <n v="407.97"/>
    <n v="155.38999999999999"/>
    <m/>
    <n v="472.05179949641769"/>
    <n v="216.88611967035783"/>
    <n v="0"/>
    <n v="-108.11654560000001"/>
    <n v="0"/>
    <n v="-120.32403366022928"/>
    <x v="0"/>
  </r>
  <r>
    <s v="Sistema Isolado - Regular"/>
    <x v="3"/>
    <x v="3"/>
    <x v="0"/>
    <x v="0"/>
    <x v="0"/>
    <x v="0"/>
    <x v="1"/>
    <x v="8"/>
    <n v="0"/>
    <n v="0"/>
    <n v="0.95699999999999996"/>
    <n v="0.31580999999999998"/>
    <n v="0.95699999999999996"/>
    <n v="0.31580999999999998"/>
    <n v="0"/>
    <s v="CATIVO"/>
    <n v="0"/>
    <n v="0"/>
    <n v="52"/>
    <n v="96"/>
    <n v="0"/>
    <n v="407.97"/>
    <n v="155.38999999999999"/>
    <m/>
    <n v="472.05179949641769"/>
    <n v="216.88611967035783"/>
    <n v="0"/>
    <n v="434.73753840000001"/>
    <n v="0"/>
    <n v="483.82395047411518"/>
    <x v="0"/>
  </r>
  <r>
    <s v="Regular"/>
    <x v="3"/>
    <x v="3"/>
    <x v="0"/>
    <x v="0"/>
    <x v="0"/>
    <x v="0"/>
    <x v="1"/>
    <x v="0"/>
    <n v="0"/>
    <n v="0"/>
    <n v="3.1280000000000001"/>
    <n v="1.03224"/>
    <n v="3.1280000000000001"/>
    <n v="1.03224"/>
    <n v="0"/>
    <s v="CATIVO"/>
    <n v="0"/>
    <n v="0"/>
    <n v="52"/>
    <n v="96"/>
    <n v="0"/>
    <n v="407.97"/>
    <n v="155.38999999999999"/>
    <m/>
    <n v="472.05179949641769"/>
    <n v="216.88611967035783"/>
    <n v="0"/>
    <n v="1420.9603136000005"/>
    <n v="0"/>
    <n v="1581.401585248728"/>
    <x v="0"/>
  </r>
  <r>
    <s v="Sistema Isolado - Regular"/>
    <x v="3"/>
    <x v="3"/>
    <x v="0"/>
    <x v="0"/>
    <x v="0"/>
    <x v="0"/>
    <x v="1"/>
    <x v="0"/>
    <n v="0"/>
    <n v="0"/>
    <n v="1.5840000000000001"/>
    <n v="0.52271999999999996"/>
    <n v="1.5840000000000001"/>
    <n v="0.52271999999999996"/>
    <n v="0"/>
    <s v="CATIVO"/>
    <n v="0"/>
    <n v="0"/>
    <n v="52"/>
    <n v="96"/>
    <n v="0"/>
    <n v="407.97"/>
    <n v="155.38999999999999"/>
    <m/>
    <n v="472.05179949641769"/>
    <n v="216.88611967035783"/>
    <n v="0"/>
    <n v="719.56558080000013"/>
    <n v="0"/>
    <n v="800.8120559571563"/>
    <x v="0"/>
  </r>
  <r>
    <s v="Regular"/>
    <x v="3"/>
    <x v="3"/>
    <x v="0"/>
    <x v="0"/>
    <x v="0"/>
    <x v="0"/>
    <x v="1"/>
    <x v="1"/>
    <n v="0"/>
    <n v="0"/>
    <n v="6.5789999999999997"/>
    <n v="2.1710699999999998"/>
    <n v="6.5789999999999997"/>
    <n v="2.1710699999999998"/>
    <n v="0"/>
    <s v="CATIVO"/>
    <n v="0"/>
    <n v="0"/>
    <n v="52"/>
    <n v="96"/>
    <n v="0"/>
    <n v="407.97"/>
    <n v="155.38999999999999"/>
    <m/>
    <n v="472.05179949641769"/>
    <n v="216.88611967035783"/>
    <n v="0"/>
    <n v="2988.6502248000006"/>
    <n v="0"/>
    <n v="3326.1000733220526"/>
    <x v="0"/>
  </r>
  <r>
    <s v="Sistema Isolado - Regular"/>
    <x v="3"/>
    <x v="3"/>
    <x v="0"/>
    <x v="0"/>
    <x v="0"/>
    <x v="0"/>
    <x v="1"/>
    <x v="1"/>
    <n v="0"/>
    <n v="0"/>
    <n v="1.6679999999999999"/>
    <n v="0.55044000000000004"/>
    <n v="1.6679999999999999"/>
    <n v="0.55044000000000004"/>
    <n v="0"/>
    <s v="CATIVO"/>
    <n v="0"/>
    <n v="0"/>
    <n v="52"/>
    <n v="96"/>
    <n v="0"/>
    <n v="407.97"/>
    <n v="155.38999999999999"/>
    <m/>
    <n v="472.05179949641769"/>
    <n v="216.88611967035783"/>
    <n v="0"/>
    <n v="757.72436160000007"/>
    <n v="0"/>
    <n v="843.27936195488417"/>
    <x v="0"/>
  </r>
  <r>
    <s v="Regular"/>
    <x v="3"/>
    <x v="3"/>
    <x v="0"/>
    <x v="0"/>
    <x v="0"/>
    <x v="0"/>
    <x v="1"/>
    <x v="2"/>
    <n v="0"/>
    <n v="0"/>
    <n v="7.8360000000000003"/>
    <n v="2.58588"/>
    <n v="7.8360000000000003"/>
    <n v="2.58588"/>
    <n v="0"/>
    <s v="CATIVO"/>
    <n v="0"/>
    <n v="0"/>
    <n v="52"/>
    <n v="96"/>
    <n v="0"/>
    <n v="407.97"/>
    <n v="155.38999999999999"/>
    <m/>
    <n v="472.05179949641769"/>
    <n v="216.88611967035783"/>
    <n v="0"/>
    <n v="3559.6691232000007"/>
    <n v="0"/>
    <n v="3961.5929737880538"/>
    <x v="0"/>
  </r>
  <r>
    <s v="Sistema Isolado - Regular"/>
    <x v="3"/>
    <x v="3"/>
    <x v="0"/>
    <x v="0"/>
    <x v="0"/>
    <x v="0"/>
    <x v="1"/>
    <x v="2"/>
    <n v="0"/>
    <n v="0"/>
    <n v="3.8460000000000001"/>
    <n v="1.26918"/>
    <n v="3.8460000000000001"/>
    <n v="1.26918"/>
    <n v="0"/>
    <s v="CATIVO"/>
    <n v="0"/>
    <n v="0"/>
    <n v="52"/>
    <n v="96"/>
    <n v="0"/>
    <n v="407.97"/>
    <n v="155.38999999999999"/>
    <m/>
    <n v="472.05179949641769"/>
    <n v="216.88611967035783"/>
    <n v="0"/>
    <n v="1747.1270352000001"/>
    <n v="0"/>
    <n v="1944.3959388959743"/>
    <x v="0"/>
  </r>
  <r>
    <s v="Regular"/>
    <x v="3"/>
    <x v="3"/>
    <x v="0"/>
    <x v="0"/>
    <x v="0"/>
    <x v="0"/>
    <x v="1"/>
    <x v="3"/>
    <n v="0"/>
    <n v="0"/>
    <n v="5.8609999999999998"/>
    <n v="1.9341299999999999"/>
    <n v="5.8609999999999998"/>
    <n v="1.9341299999999999"/>
    <n v="0"/>
    <s v="CATIVO"/>
    <n v="0"/>
    <n v="0"/>
    <n v="52"/>
    <n v="96"/>
    <n v="0"/>
    <n v="407.97"/>
    <n v="155.38999999999999"/>
    <m/>
    <n v="472.05179949641769"/>
    <n v="216.88611967035783"/>
    <n v="0"/>
    <n v="2662.4835032000001"/>
    <n v="0"/>
    <n v="2963.1057196748061"/>
    <x v="0"/>
  </r>
  <r>
    <s v="Sistema Isolado - Regular"/>
    <x v="3"/>
    <x v="3"/>
    <x v="0"/>
    <x v="0"/>
    <x v="0"/>
    <x v="0"/>
    <x v="1"/>
    <x v="3"/>
    <n v="0"/>
    <n v="0"/>
    <n v="2.2930000000000001"/>
    <n v="0.75668999999999997"/>
    <n v="2.2930000000000001"/>
    <n v="0.75668999999999997"/>
    <n v="0"/>
    <s v="CATIVO"/>
    <n v="0"/>
    <n v="0"/>
    <n v="52"/>
    <n v="96"/>
    <n v="0"/>
    <n v="407.97"/>
    <n v="155.38999999999999"/>
    <m/>
    <n v="472.05179949641769"/>
    <n v="216.88611967035783"/>
    <n v="0"/>
    <n v="1041.6438616000003"/>
    <n v="0"/>
    <n v="1159.2563411046463"/>
    <x v="0"/>
  </r>
  <r>
    <s v="Regular"/>
    <x v="3"/>
    <x v="3"/>
    <x v="0"/>
    <x v="0"/>
    <x v="0"/>
    <x v="0"/>
    <x v="1"/>
    <x v="4"/>
    <n v="0"/>
    <n v="0"/>
    <n v="3.5070000000000001"/>
    <n v="1.1573100000000001"/>
    <n v="3.5070000000000001"/>
    <n v="1.1573100000000001"/>
    <n v="0"/>
    <s v="CATIVO"/>
    <n v="0"/>
    <n v="0"/>
    <n v="52"/>
    <n v="96"/>
    <n v="0"/>
    <n v="407.97"/>
    <n v="155.38999999999999"/>
    <m/>
    <n v="472.05179949641769"/>
    <n v="216.88611967035783"/>
    <n v="0"/>
    <n v="1593.1290984"/>
    <n v="0"/>
    <n v="1773.0100254051433"/>
    <x v="0"/>
  </r>
  <r>
    <s v="Sistema Isolado - Regular"/>
    <x v="3"/>
    <x v="3"/>
    <x v="0"/>
    <x v="0"/>
    <x v="0"/>
    <x v="0"/>
    <x v="1"/>
    <x v="4"/>
    <n v="0"/>
    <n v="0"/>
    <n v="2.9489999999999998"/>
    <n v="0.97316999999999998"/>
    <n v="2.9489999999999998"/>
    <n v="0.97316999999999998"/>
    <n v="0"/>
    <s v="CATIVO"/>
    <n v="0"/>
    <n v="0"/>
    <n v="52"/>
    <n v="96"/>
    <n v="0"/>
    <n v="407.97"/>
    <n v="155.38999999999999"/>
    <m/>
    <n v="472.05179949641769"/>
    <n v="216.88611967035783"/>
    <n v="0"/>
    <n v="1339.6457688"/>
    <n v="0"/>
    <n v="1490.9057784202359"/>
    <x v="0"/>
  </r>
  <r>
    <s v="PROJETADO"/>
    <x v="3"/>
    <x v="3"/>
    <x v="0"/>
    <x v="0"/>
    <x v="0"/>
    <x v="0"/>
    <x v="1"/>
    <x v="5"/>
    <n v="0"/>
    <n v="0"/>
    <n v="3.5070000000000001"/>
    <n v="1.1573100000000001"/>
    <n v="3.5070000000000001"/>
    <n v="1.1573100000000001"/>
    <n v="0"/>
    <s v="CATIVO"/>
    <n v="0"/>
    <n v="0"/>
    <n v="52"/>
    <n v="96"/>
    <n v="0"/>
    <n v="407.97"/>
    <n v="155.38999999999999"/>
    <m/>
    <n v="472.05179949641769"/>
    <n v="216.88611967035783"/>
    <n v="0"/>
    <n v="1593.1290984"/>
    <n v="0"/>
    <n v="1773.0100254051433"/>
    <x v="0"/>
  </r>
  <r>
    <s v="PROJETADO"/>
    <x v="3"/>
    <x v="3"/>
    <x v="0"/>
    <x v="0"/>
    <x v="0"/>
    <x v="0"/>
    <x v="1"/>
    <x v="5"/>
    <n v="0"/>
    <n v="0"/>
    <n v="2.9489999999999998"/>
    <n v="0.97316999999999998"/>
    <n v="2.9489999999999998"/>
    <n v="0.97316999999999998"/>
    <n v="0"/>
    <s v="CATIVO"/>
    <n v="0"/>
    <n v="0"/>
    <n v="52"/>
    <n v="96"/>
    <n v="0"/>
    <n v="407.97"/>
    <n v="155.38999999999999"/>
    <m/>
    <n v="472.05179949641769"/>
    <n v="216.88611967035783"/>
    <n v="0"/>
    <n v="1339.6457688"/>
    <n v="0"/>
    <n v="1490.9057784202359"/>
    <x v="0"/>
  </r>
  <r>
    <s v="Regular"/>
    <x v="3"/>
    <x v="3"/>
    <x v="0"/>
    <x v="8"/>
    <x v="3"/>
    <x v="0"/>
    <x v="1"/>
    <x v="8"/>
    <n v="0"/>
    <n v="0"/>
    <n v="0.30099999999999999"/>
    <n v="0.30099999999999999"/>
    <n v="0.30099999999999999"/>
    <n v="0.30099999999999999"/>
    <n v="0"/>
    <s v="CATIVO"/>
    <n v="0"/>
    <n v="0"/>
    <n v="52"/>
    <n v="96"/>
    <n v="0"/>
    <n v="407.97"/>
    <n v="155.38999999999999"/>
    <m/>
    <n v="472.05179949641769"/>
    <n v="216.88611967035783"/>
    <n v="0"/>
    <n v="23.122820000000015"/>
    <n v="0"/>
    <n v="13.23640300016166"/>
    <x v="1"/>
  </r>
  <r>
    <s v="Regular"/>
    <x v="3"/>
    <x v="3"/>
    <x v="0"/>
    <x v="8"/>
    <x v="3"/>
    <x v="0"/>
    <x v="1"/>
    <x v="0"/>
    <n v="0"/>
    <n v="0"/>
    <n v="0.25700000000000001"/>
    <n v="0.25700000000000001"/>
    <n v="0.25700000000000001"/>
    <n v="0.25700000000000001"/>
    <n v="0"/>
    <s v="CATIVO"/>
    <n v="0"/>
    <n v="0"/>
    <n v="52"/>
    <n v="96"/>
    <n v="0"/>
    <n v="407.97"/>
    <n v="155.38999999999999"/>
    <m/>
    <n v="472.05179949641769"/>
    <n v="216.88611967035783"/>
    <n v="0"/>
    <n v="19.742740000000012"/>
    <n v="0"/>
    <n v="11.301513525054972"/>
    <x v="1"/>
  </r>
  <r>
    <s v="Regular"/>
    <x v="3"/>
    <x v="3"/>
    <x v="0"/>
    <x v="8"/>
    <x v="3"/>
    <x v="0"/>
    <x v="1"/>
    <x v="1"/>
    <n v="0"/>
    <n v="0"/>
    <n v="0.27400000000000002"/>
    <n v="0.27400000000000002"/>
    <n v="0.27400000000000002"/>
    <n v="0.27400000000000002"/>
    <n v="0"/>
    <s v="CATIVO"/>
    <n v="0"/>
    <n v="0"/>
    <n v="52"/>
    <n v="96"/>
    <n v="0"/>
    <n v="407.97"/>
    <n v="155.38999999999999"/>
    <m/>
    <n v="472.05179949641769"/>
    <n v="216.88611967035783"/>
    <n v="0"/>
    <n v="21.048680000000015"/>
    <n v="0"/>
    <n v="12.049084458618921"/>
    <x v="1"/>
  </r>
  <r>
    <s v="Regular"/>
    <x v="3"/>
    <x v="3"/>
    <x v="0"/>
    <x v="8"/>
    <x v="3"/>
    <x v="0"/>
    <x v="1"/>
    <x v="2"/>
    <n v="0"/>
    <n v="0"/>
    <n v="0.23"/>
    <n v="0.23"/>
    <n v="0.23"/>
    <n v="0.23"/>
    <n v="0"/>
    <s v="CATIVO"/>
    <n v="0"/>
    <n v="0"/>
    <n v="52"/>
    <n v="96"/>
    <n v="0"/>
    <n v="407.97"/>
    <n v="155.38999999999999"/>
    <m/>
    <n v="472.05179949641769"/>
    <n v="216.88611967035783"/>
    <n v="0"/>
    <n v="17.668600000000012"/>
    <n v="0"/>
    <n v="10.114194983512233"/>
    <x v="1"/>
  </r>
  <r>
    <s v="Regular"/>
    <x v="3"/>
    <x v="3"/>
    <x v="0"/>
    <x v="1"/>
    <x v="1"/>
    <x v="0"/>
    <x v="1"/>
    <x v="9"/>
    <n v="0"/>
    <n v="0"/>
    <n v="3806.0970000000002"/>
    <n v="3806.0970000000002"/>
    <n v="3806.0970000000002"/>
    <n v="3806.0970000000002"/>
    <n v="21162"/>
    <s v="CATIVO"/>
    <n v="0"/>
    <n v="0"/>
    <n v="52"/>
    <n v="96"/>
    <n v="0"/>
    <n v="407.97"/>
    <n v="155.38999999999999"/>
    <m/>
    <n v="472.05179949641769"/>
    <n v="216.88611967035783"/>
    <n v="0"/>
    <n v="292384.3715400002"/>
    <n v="0"/>
    <n v="167372.20514852591"/>
    <x v="1"/>
  </r>
  <r>
    <s v="Refaturamento - Regular"/>
    <x v="3"/>
    <x v="3"/>
    <x v="0"/>
    <x v="1"/>
    <x v="1"/>
    <x v="0"/>
    <x v="1"/>
    <x v="9"/>
    <n v="0"/>
    <n v="0"/>
    <n v="-53.863999999999997"/>
    <n v="-53.863999999999997"/>
    <n v="-53.863999999999997"/>
    <n v="-53.863999999999997"/>
    <n v="-17"/>
    <s v="CATIVO"/>
    <n v="0"/>
    <n v="0"/>
    <n v="52"/>
    <n v="96"/>
    <n v="0"/>
    <n v="407.97"/>
    <n v="155.38999999999999"/>
    <m/>
    <n v="472.05179949641769"/>
    <n v="216.88611967035783"/>
    <n v="0"/>
    <n v="-4137.8324800000028"/>
    <n v="0"/>
    <n v="-2368.656515616969"/>
    <x v="1"/>
  </r>
  <r>
    <s v="Sistema Isolado - Regular"/>
    <x v="3"/>
    <x v="3"/>
    <x v="0"/>
    <x v="1"/>
    <x v="1"/>
    <x v="0"/>
    <x v="1"/>
    <x v="9"/>
    <n v="0"/>
    <n v="0"/>
    <n v="742.30700000000002"/>
    <n v="742.30700000000002"/>
    <n v="742.30700000000002"/>
    <n v="742.30700000000002"/>
    <n v="4882"/>
    <s v="CATIVO"/>
    <n v="0"/>
    <n v="0"/>
    <n v="52"/>
    <n v="96"/>
    <n v="0"/>
    <n v="407.97"/>
    <n v="155.38999999999999"/>
    <m/>
    <n v="472.05179949641769"/>
    <n v="216.88611967035783"/>
    <n v="0"/>
    <n v="57024.023740000041"/>
    <n v="0"/>
    <n v="32642.772763591369"/>
    <x v="1"/>
  </r>
  <r>
    <s v="Sistema Isolado - Refaturamento"/>
    <x v="3"/>
    <x v="3"/>
    <x v="0"/>
    <x v="1"/>
    <x v="1"/>
    <x v="0"/>
    <x v="1"/>
    <x v="9"/>
    <n v="0"/>
    <n v="0"/>
    <n v="-0.57199999999999995"/>
    <n v="-0.57199999999999995"/>
    <n v="-0.57199999999999995"/>
    <n v="-0.57199999999999995"/>
    <n v="-6"/>
    <s v="CATIVO"/>
    <n v="0"/>
    <n v="0"/>
    <n v="52"/>
    <n v="96"/>
    <n v="0"/>
    <n v="407.97"/>
    <n v="155.38999999999999"/>
    <m/>
    <n v="472.05179949641769"/>
    <n v="216.88611967035783"/>
    <n v="0"/>
    <n v="-43.941040000000022"/>
    <n v="0"/>
    <n v="-25.153563176386939"/>
    <x v="1"/>
  </r>
  <r>
    <s v="Sistema de Compensação"/>
    <x v="3"/>
    <x v="3"/>
    <x v="0"/>
    <x v="1"/>
    <x v="1"/>
    <x v="0"/>
    <x v="1"/>
    <x v="9"/>
    <n v="0"/>
    <n v="0"/>
    <n v="33.865000000000002"/>
    <n v="33.865000000000002"/>
    <n v="33.865000000000002"/>
    <n v="33.865000000000002"/>
    <n v="188"/>
    <s v="CATIVO"/>
    <n v="0"/>
    <n v="0"/>
    <n v="52"/>
    <n v="96"/>
    <n v="0"/>
    <n v="407.97"/>
    <n v="155.38999999999999"/>
    <m/>
    <n v="472.05179949641769"/>
    <n v="216.88611967035783"/>
    <n v="0"/>
    <n v="2601.509300000002"/>
    <n v="0"/>
    <n v="1489.2052744201815"/>
    <x v="1"/>
  </r>
  <r>
    <s v="Sistema de Compensação"/>
    <x v="3"/>
    <x v="3"/>
    <x v="0"/>
    <x v="1"/>
    <x v="1"/>
    <x v="0"/>
    <x v="1"/>
    <x v="9"/>
    <n v="0"/>
    <n v="0"/>
    <n v="2.5419999999999998"/>
    <n v="2.5419999999999998"/>
    <n v="2.5419999999999998"/>
    <n v="2.5419999999999998"/>
    <n v="0"/>
    <s v="CATIVO"/>
    <n v="0"/>
    <n v="0"/>
    <n v="52"/>
    <n v="96"/>
    <n v="0"/>
    <n v="407.97"/>
    <n v="155.38999999999999"/>
    <m/>
    <n v="472.05179949641769"/>
    <n v="216.88611967035783"/>
    <n v="0"/>
    <n v="195.27644000000012"/>
    <n v="0"/>
    <n v="111.7838419482091"/>
    <x v="1"/>
  </r>
  <r>
    <s v="Regular"/>
    <x v="3"/>
    <x v="3"/>
    <x v="0"/>
    <x v="1"/>
    <x v="1"/>
    <x v="0"/>
    <x v="1"/>
    <x v="10"/>
    <n v="0"/>
    <n v="0"/>
    <n v="3887.748"/>
    <n v="3887.748"/>
    <n v="3887.748"/>
    <n v="3887.748"/>
    <n v="21159"/>
    <s v="CATIVO"/>
    <n v="0"/>
    <n v="0"/>
    <n v="52"/>
    <n v="96"/>
    <n v="0"/>
    <n v="407.97"/>
    <n v="155.38999999999999"/>
    <m/>
    <n v="472.05179949641769"/>
    <n v="216.88611967035783"/>
    <n v="0"/>
    <n v="298656.80136000022"/>
    <n v="0"/>
    <n v="170962.78834243355"/>
    <x v="1"/>
  </r>
  <r>
    <s v="Refaturamento - Regular"/>
    <x v="3"/>
    <x v="3"/>
    <x v="0"/>
    <x v="1"/>
    <x v="1"/>
    <x v="0"/>
    <x v="1"/>
    <x v="10"/>
    <n v="0"/>
    <n v="0"/>
    <n v="-23.393999999999998"/>
    <n v="-23.393999999999998"/>
    <n v="-23.393999999999998"/>
    <n v="-23.393999999999998"/>
    <n v="-23"/>
    <s v="CATIVO"/>
    <n v="0"/>
    <n v="0"/>
    <n v="52"/>
    <n v="96"/>
    <n v="0"/>
    <n v="407.97"/>
    <n v="155.38999999999999"/>
    <m/>
    <n v="472.05179949641769"/>
    <n v="216.88611967035783"/>
    <n v="0"/>
    <n v="-1797.1270800000011"/>
    <n v="0"/>
    <n v="-1028.7455541055876"/>
    <x v="1"/>
  </r>
  <r>
    <s v="Sistema Isolado - Regular"/>
    <x v="3"/>
    <x v="3"/>
    <x v="0"/>
    <x v="1"/>
    <x v="1"/>
    <x v="0"/>
    <x v="1"/>
    <x v="10"/>
    <n v="0"/>
    <n v="0"/>
    <n v="748.86"/>
    <n v="748.86"/>
    <n v="748.86"/>
    <n v="748.86"/>
    <n v="4864"/>
    <s v="CATIVO"/>
    <n v="0"/>
    <n v="0"/>
    <n v="52"/>
    <n v="96"/>
    <n v="0"/>
    <n v="407.97"/>
    <n v="155.38999999999999"/>
    <m/>
    <n v="472.05179949641769"/>
    <n v="216.88611967035783"/>
    <n v="0"/>
    <n v="57527.425200000042"/>
    <n v="0"/>
    <n v="32930.93937109987"/>
    <x v="1"/>
  </r>
  <r>
    <s v="Sistema Isolado - Refaturamento"/>
    <x v="3"/>
    <x v="3"/>
    <x v="0"/>
    <x v="1"/>
    <x v="1"/>
    <x v="0"/>
    <x v="1"/>
    <x v="10"/>
    <n v="0"/>
    <n v="0"/>
    <n v="-2.786"/>
    <n v="-2.786"/>
    <n v="-2.786"/>
    <n v="-2.786"/>
    <n v="-20"/>
    <s v="CATIVO"/>
    <n v="0"/>
    <n v="0"/>
    <n v="52"/>
    <n v="96"/>
    <n v="0"/>
    <n v="407.97"/>
    <n v="155.38999999999999"/>
    <m/>
    <n v="472.05179949641769"/>
    <n v="216.88611967035783"/>
    <n v="0"/>
    <n v="-214.02052000000015"/>
    <n v="0"/>
    <n v="-122.51368358289164"/>
    <x v="1"/>
  </r>
  <r>
    <s v="Sistema de Compensação"/>
    <x v="3"/>
    <x v="3"/>
    <x v="0"/>
    <x v="1"/>
    <x v="1"/>
    <x v="0"/>
    <x v="1"/>
    <x v="10"/>
    <n v="0"/>
    <n v="0"/>
    <n v="39.856999999999999"/>
    <n v="39.856999999999999"/>
    <n v="39.856999999999999"/>
    <n v="39.856999999999999"/>
    <n v="203"/>
    <s v="CATIVO"/>
    <n v="0"/>
    <n v="0"/>
    <n v="52"/>
    <n v="96"/>
    <n v="0"/>
    <n v="407.97"/>
    <n v="155.38999999999999"/>
    <m/>
    <n v="472.05179949641769"/>
    <n v="216.88611967035783"/>
    <n v="0"/>
    <n v="3061.8147400000021"/>
    <n v="0"/>
    <n v="1752.702041121074"/>
    <x v="1"/>
  </r>
  <r>
    <s v="Sistema de Compensação"/>
    <x v="3"/>
    <x v="3"/>
    <x v="0"/>
    <x v="1"/>
    <x v="1"/>
    <x v="0"/>
    <x v="1"/>
    <x v="10"/>
    <n v="0"/>
    <n v="0"/>
    <n v="-1.012"/>
    <n v="-1.012"/>
    <n v="-1.012"/>
    <n v="-1.012"/>
    <n v="0"/>
    <s v="CATIVO"/>
    <n v="0"/>
    <n v="0"/>
    <n v="52"/>
    <n v="96"/>
    <n v="0"/>
    <n v="407.97"/>
    <n v="155.38999999999999"/>
    <m/>
    <n v="472.05179949641769"/>
    <n v="216.88611967035783"/>
    <n v="0"/>
    <n v="-77.741840000000053"/>
    <n v="0"/>
    <n v="-44.502457927453818"/>
    <x v="1"/>
  </r>
  <r>
    <s v="Regular"/>
    <x v="3"/>
    <x v="3"/>
    <x v="0"/>
    <x v="1"/>
    <x v="1"/>
    <x v="0"/>
    <x v="1"/>
    <x v="11"/>
    <n v="0"/>
    <n v="0"/>
    <n v="3613.3420000000001"/>
    <n v="3613.3420000000001"/>
    <n v="3613.3420000000001"/>
    <n v="3613.3420000000001"/>
    <n v="21006"/>
    <s v="CATIVO"/>
    <n v="0"/>
    <n v="0"/>
    <n v="52"/>
    <n v="96"/>
    <n v="0"/>
    <n v="407.97"/>
    <n v="155.38999999999999"/>
    <m/>
    <n v="472.05179949641769"/>
    <n v="216.88611967035783"/>
    <n v="0"/>
    <n v="277576.93244000018"/>
    <n v="0"/>
    <n v="158895.85013093069"/>
    <x v="1"/>
  </r>
  <r>
    <s v="Refaturamento - Regular"/>
    <x v="3"/>
    <x v="3"/>
    <x v="0"/>
    <x v="1"/>
    <x v="1"/>
    <x v="0"/>
    <x v="1"/>
    <x v="11"/>
    <n v="0"/>
    <n v="0"/>
    <n v="-33.165999999999997"/>
    <n v="-33.165999999999997"/>
    <n v="-33.165999999999997"/>
    <n v="-33.165999999999997"/>
    <n v="-4"/>
    <s v="CATIVO"/>
    <n v="0"/>
    <n v="0"/>
    <n v="52"/>
    <n v="96"/>
    <n v="0"/>
    <n v="407.97"/>
    <n v="155.38999999999999"/>
    <m/>
    <n v="472.05179949641769"/>
    <n v="216.88611967035783"/>
    <n v="0"/>
    <n v="-2547.8121200000014"/>
    <n v="0"/>
    <n v="-1458.4669166224637"/>
    <x v="1"/>
  </r>
  <r>
    <s v="Sistema Isolado - Regular"/>
    <x v="3"/>
    <x v="3"/>
    <x v="0"/>
    <x v="1"/>
    <x v="1"/>
    <x v="0"/>
    <x v="1"/>
    <x v="11"/>
    <n v="0"/>
    <n v="0"/>
    <n v="702.58799999999997"/>
    <n v="702.58799999999997"/>
    <n v="702.58799999999997"/>
    <n v="702.58799999999997"/>
    <n v="4804"/>
    <s v="CATIVO"/>
    <n v="0"/>
    <n v="0"/>
    <n v="52"/>
    <n v="96"/>
    <n v="0"/>
    <n v="407.97"/>
    <n v="155.38999999999999"/>
    <m/>
    <n v="472.05179949641769"/>
    <n v="216.88611967035783"/>
    <n v="0"/>
    <n v="53972.81016000003"/>
    <n v="0"/>
    <n v="30896.139239460401"/>
    <x v="1"/>
  </r>
  <r>
    <s v="Sistema Isolado - Refaturamento"/>
    <x v="3"/>
    <x v="3"/>
    <x v="0"/>
    <x v="1"/>
    <x v="1"/>
    <x v="0"/>
    <x v="1"/>
    <x v="11"/>
    <n v="0"/>
    <n v="0"/>
    <n v="-5.923"/>
    <n v="-5.923"/>
    <n v="-5.923"/>
    <n v="-5.923"/>
    <n v="-3"/>
    <s v="CATIVO"/>
    <n v="0"/>
    <n v="0"/>
    <n v="52"/>
    <n v="96"/>
    <n v="0"/>
    <n v="407.97"/>
    <n v="155.38999999999999"/>
    <m/>
    <n v="472.05179949641769"/>
    <n v="216.88611967035783"/>
    <n v="0"/>
    <n v="-455.00486000000029"/>
    <n v="0"/>
    <n v="-260.4625082058389"/>
    <x v="1"/>
  </r>
  <r>
    <s v="Sistema de Compensação"/>
    <x v="3"/>
    <x v="3"/>
    <x v="0"/>
    <x v="1"/>
    <x v="1"/>
    <x v="0"/>
    <x v="1"/>
    <x v="11"/>
    <n v="0"/>
    <n v="0"/>
    <n v="36.982999999999997"/>
    <n v="36.982999999999997"/>
    <n v="36.982999999999997"/>
    <n v="36.982999999999997"/>
    <n v="217"/>
    <s v="CATIVO"/>
    <n v="0"/>
    <n v="0"/>
    <n v="52"/>
    <n v="96"/>
    <n v="0"/>
    <n v="407.97"/>
    <n v="155.38999999999999"/>
    <m/>
    <n v="472.05179949641769"/>
    <n v="216.88611967035783"/>
    <n v="0"/>
    <n v="2841.0340600000018"/>
    <n v="0"/>
    <n v="1626.3185785879689"/>
    <x v="1"/>
  </r>
  <r>
    <s v="Sistema de Compensação"/>
    <x v="3"/>
    <x v="3"/>
    <x v="0"/>
    <x v="1"/>
    <x v="1"/>
    <x v="0"/>
    <x v="1"/>
    <x v="11"/>
    <n v="0"/>
    <n v="0"/>
    <n v="-0.374"/>
    <n v="-0.374"/>
    <n v="-0.374"/>
    <n v="-0.374"/>
    <n v="0"/>
    <s v="CATIVO"/>
    <n v="0"/>
    <n v="0"/>
    <n v="52"/>
    <n v="96"/>
    <n v="0"/>
    <n v="407.97"/>
    <n v="155.38999999999999"/>
    <m/>
    <n v="472.05179949641769"/>
    <n v="216.88611967035783"/>
    <n v="0"/>
    <n v="-28.730680000000017"/>
    <n v="0"/>
    <n v="-16.446560538406846"/>
    <x v="1"/>
  </r>
  <r>
    <s v="Regular"/>
    <x v="3"/>
    <x v="3"/>
    <x v="0"/>
    <x v="1"/>
    <x v="1"/>
    <x v="0"/>
    <x v="1"/>
    <x v="6"/>
    <n v="0"/>
    <n v="0"/>
    <n v="2898.288"/>
    <n v="2898.288"/>
    <n v="2898.288"/>
    <n v="2898.288"/>
    <n v="15380"/>
    <s v="CATIVO"/>
    <n v="0"/>
    <n v="0"/>
    <n v="52"/>
    <n v="96"/>
    <n v="0"/>
    <n v="407.97"/>
    <n v="155.38999999999999"/>
    <m/>
    <n v="472.05179949641769"/>
    <n v="216.88611967035783"/>
    <n v="0"/>
    <n v="222646.48416000014"/>
    <n v="0"/>
    <n v="127451.52152336392"/>
    <x v="1"/>
  </r>
  <r>
    <s v="Refaturamento - Regular"/>
    <x v="3"/>
    <x v="3"/>
    <x v="0"/>
    <x v="1"/>
    <x v="1"/>
    <x v="0"/>
    <x v="1"/>
    <x v="6"/>
    <n v="0"/>
    <n v="0"/>
    <n v="-52.097000000000001"/>
    <n v="-52.097000000000001"/>
    <n v="-52.097000000000001"/>
    <n v="-52.097000000000001"/>
    <n v="-33"/>
    <s v="CATIVO"/>
    <n v="0"/>
    <n v="0"/>
    <n v="52"/>
    <n v="96"/>
    <n v="0"/>
    <n v="407.97"/>
    <n v="155.38999999999999"/>
    <m/>
    <n v="472.05179949641769"/>
    <n v="216.88611967035783"/>
    <n v="0"/>
    <n v="-4002.0915400000026"/>
    <n v="0"/>
    <n v="-2290.9531132871166"/>
    <x v="1"/>
  </r>
  <r>
    <s v="Sistema Isolado - Regular"/>
    <x v="3"/>
    <x v="3"/>
    <x v="0"/>
    <x v="1"/>
    <x v="1"/>
    <x v="0"/>
    <x v="1"/>
    <x v="6"/>
    <n v="0"/>
    <n v="0"/>
    <n v="529.798"/>
    <n v="529.798"/>
    <n v="529.798"/>
    <n v="529.798"/>
    <n v="3489"/>
    <s v="CATIVO"/>
    <n v="0"/>
    <n v="0"/>
    <n v="52"/>
    <n v="96"/>
    <n v="0"/>
    <n v="407.97"/>
    <n v="155.38999999999999"/>
    <m/>
    <n v="472.05179949641769"/>
    <n v="216.88611967035783"/>
    <n v="0"/>
    <n v="40699.082360000029"/>
    <n v="0"/>
    <n v="23297.74032119484"/>
    <x v="1"/>
  </r>
  <r>
    <s v="Sistema Isolado - Refaturamento"/>
    <x v="3"/>
    <x v="3"/>
    <x v="0"/>
    <x v="1"/>
    <x v="1"/>
    <x v="0"/>
    <x v="1"/>
    <x v="6"/>
    <n v="0"/>
    <n v="0"/>
    <n v="-3.395"/>
    <n v="-3.395"/>
    <n v="-3.395"/>
    <n v="-3.395"/>
    <n v="0"/>
    <s v="CATIVO"/>
    <n v="0"/>
    <n v="0"/>
    <n v="52"/>
    <n v="96"/>
    <n v="0"/>
    <n v="407.97"/>
    <n v="155.38999999999999"/>
    <m/>
    <n v="472.05179949641769"/>
    <n v="216.88611967035783"/>
    <n v="0"/>
    <n v="-260.80390000000017"/>
    <n v="0"/>
    <n v="-149.29431290880012"/>
    <x v="1"/>
  </r>
  <r>
    <s v="Sistema de Compensação"/>
    <x v="3"/>
    <x v="3"/>
    <x v="0"/>
    <x v="1"/>
    <x v="1"/>
    <x v="0"/>
    <x v="1"/>
    <x v="6"/>
    <n v="0"/>
    <n v="0"/>
    <n v="41.938000000000002"/>
    <n v="41.938000000000002"/>
    <n v="41.938000000000002"/>
    <n v="41.938000000000002"/>
    <n v="218"/>
    <s v="CATIVO"/>
    <n v="0"/>
    <n v="0"/>
    <n v="52"/>
    <n v="96"/>
    <n v="0"/>
    <n v="407.97"/>
    <n v="155.38999999999999"/>
    <m/>
    <n v="472.05179949641769"/>
    <n v="216.88611967035783"/>
    <n v="0"/>
    <n v="3221.6771600000025"/>
    <n v="0"/>
    <n v="1844.2135183414609"/>
    <x v="1"/>
  </r>
  <r>
    <s v="Sistema de Compensação"/>
    <x v="3"/>
    <x v="3"/>
    <x v="0"/>
    <x v="1"/>
    <x v="1"/>
    <x v="0"/>
    <x v="1"/>
    <x v="6"/>
    <n v="0"/>
    <n v="0"/>
    <n v="-9.4E-2"/>
    <n v="-9.4E-2"/>
    <n v="-9.4E-2"/>
    <n v="-9.4E-2"/>
    <n v="0"/>
    <s v="CATIVO"/>
    <n v="0"/>
    <n v="0"/>
    <n v="52"/>
    <n v="96"/>
    <n v="0"/>
    <n v="407.97"/>
    <n v="155.38999999999999"/>
    <m/>
    <n v="472.05179949641769"/>
    <n v="216.88611967035783"/>
    <n v="0"/>
    <n v="-7.2210800000000051"/>
    <n v="0"/>
    <n v="-4.1336275150006516"/>
    <x v="1"/>
  </r>
  <r>
    <s v="Regular"/>
    <x v="3"/>
    <x v="3"/>
    <x v="0"/>
    <x v="1"/>
    <x v="1"/>
    <x v="0"/>
    <x v="1"/>
    <x v="7"/>
    <n v="0"/>
    <n v="0"/>
    <n v="2877.9259999999999"/>
    <n v="2877.9259999999999"/>
    <n v="2877.9259999999999"/>
    <n v="2877.9259999999999"/>
    <n v="15383"/>
    <s v="CATIVO"/>
    <n v="0"/>
    <n v="0"/>
    <n v="52"/>
    <n v="96"/>
    <n v="0"/>
    <n v="407.97"/>
    <n v="155.38999999999999"/>
    <m/>
    <n v="472.05179949641769"/>
    <n v="216.88611967035783"/>
    <n v="0"/>
    <n v="221082.27532000013"/>
    <n v="0"/>
    <n v="126556.10744399749"/>
    <x v="1"/>
  </r>
  <r>
    <s v="Refaturamento - Regular"/>
    <x v="3"/>
    <x v="3"/>
    <x v="0"/>
    <x v="1"/>
    <x v="1"/>
    <x v="0"/>
    <x v="1"/>
    <x v="7"/>
    <n v="0"/>
    <n v="0"/>
    <n v="-9.7509999999999994"/>
    <n v="-9.7509999999999994"/>
    <n v="-9.7509999999999994"/>
    <n v="-9.7509999999999994"/>
    <n v="-4"/>
    <s v="CATIVO"/>
    <n v="0"/>
    <n v="0"/>
    <n v="52"/>
    <n v="96"/>
    <n v="0"/>
    <n v="407.97"/>
    <n v="155.38999999999999"/>
    <m/>
    <n v="472.05179949641769"/>
    <n v="216.88611967035783"/>
    <n v="0"/>
    <n v="-749.07182000000046"/>
    <n v="0"/>
    <n v="-428.79789254012076"/>
    <x v="1"/>
  </r>
  <r>
    <s v="Sistema Isolado - Regular"/>
    <x v="3"/>
    <x v="3"/>
    <x v="0"/>
    <x v="1"/>
    <x v="1"/>
    <x v="0"/>
    <x v="1"/>
    <x v="7"/>
    <n v="0"/>
    <n v="0"/>
    <n v="526.774"/>
    <n v="526.774"/>
    <n v="526.774"/>
    <n v="526.774"/>
    <n v="3478"/>
    <s v="CATIVO"/>
    <n v="0"/>
    <n v="0"/>
    <n v="52"/>
    <n v="96"/>
    <n v="0"/>
    <n v="407.97"/>
    <n v="155.38999999999999"/>
    <m/>
    <n v="472.05179949641769"/>
    <n v="216.88611967035783"/>
    <n v="0"/>
    <n v="40466.778680000025"/>
    <n v="0"/>
    <n v="23164.760644542053"/>
    <x v="1"/>
  </r>
  <r>
    <s v="Sistema de Compensação"/>
    <x v="3"/>
    <x v="3"/>
    <x v="0"/>
    <x v="1"/>
    <x v="1"/>
    <x v="0"/>
    <x v="1"/>
    <x v="7"/>
    <n v="0"/>
    <n v="0"/>
    <n v="48.956000000000003"/>
    <n v="48.956000000000003"/>
    <n v="48.956000000000003"/>
    <n v="48.956000000000003"/>
    <n v="231"/>
    <s v="CATIVO"/>
    <n v="0"/>
    <n v="0"/>
    <n v="52"/>
    <n v="96"/>
    <n v="0"/>
    <n v="407.97"/>
    <n v="155.38999999999999"/>
    <m/>
    <n v="472.05179949641769"/>
    <n v="216.88611967035783"/>
    <n v="0"/>
    <n v="3760.7999200000027"/>
    <n v="0"/>
    <n v="2152.8283896209778"/>
    <x v="1"/>
  </r>
  <r>
    <s v="Sistema de Compensação"/>
    <x v="3"/>
    <x v="3"/>
    <x v="0"/>
    <x v="1"/>
    <x v="1"/>
    <x v="0"/>
    <x v="1"/>
    <x v="7"/>
    <n v="0"/>
    <n v="0"/>
    <n v="-0.71"/>
    <n v="-0.71"/>
    <n v="-0.71"/>
    <n v="-0.71"/>
    <n v="0"/>
    <s v="CATIVO"/>
    <n v="0"/>
    <n v="0"/>
    <n v="52"/>
    <n v="96"/>
    <n v="0"/>
    <n v="407.97"/>
    <n v="155.38999999999999"/>
    <m/>
    <n v="472.05179949641769"/>
    <n v="216.88611967035783"/>
    <n v="0"/>
    <n v="-54.54220000000003"/>
    <n v="0"/>
    <n v="-31.22208016649428"/>
    <x v="1"/>
  </r>
  <r>
    <s v="Regular"/>
    <x v="3"/>
    <x v="3"/>
    <x v="0"/>
    <x v="1"/>
    <x v="1"/>
    <x v="0"/>
    <x v="1"/>
    <x v="8"/>
    <n v="0"/>
    <n v="0"/>
    <n v="3004.248"/>
    <n v="3004.248"/>
    <n v="3004.248"/>
    <n v="3004.248"/>
    <n v="15425"/>
    <s v="CATIVO"/>
    <n v="0"/>
    <n v="0"/>
    <n v="52"/>
    <n v="96"/>
    <n v="0"/>
    <n v="407.97"/>
    <n v="155.38999999999999"/>
    <m/>
    <n v="472.05179949641769"/>
    <n v="216.88611967035783"/>
    <n v="0"/>
    <n v="230786.33136000016"/>
    <n v="0"/>
    <n v="132111.0871775072"/>
    <x v="1"/>
  </r>
  <r>
    <s v="Refaturamento - Regular"/>
    <x v="3"/>
    <x v="3"/>
    <x v="0"/>
    <x v="1"/>
    <x v="1"/>
    <x v="0"/>
    <x v="1"/>
    <x v="8"/>
    <n v="0"/>
    <n v="0"/>
    <n v="-31.387"/>
    <n v="-31.387"/>
    <n v="-31.387"/>
    <n v="-31.387"/>
    <n v="-3"/>
    <s v="CATIVO"/>
    <n v="0"/>
    <n v="0"/>
    <n v="52"/>
    <n v="96"/>
    <n v="0"/>
    <n v="407.97"/>
    <n v="155.38999999999999"/>
    <m/>
    <n v="472.05179949641769"/>
    <n v="216.88611967035783"/>
    <n v="0"/>
    <n v="-2411.1493400000018"/>
    <n v="0"/>
    <n v="-1380.2358171630367"/>
    <x v="1"/>
  </r>
  <r>
    <s v="Sistema Isolado - Regular"/>
    <x v="3"/>
    <x v="3"/>
    <x v="0"/>
    <x v="1"/>
    <x v="1"/>
    <x v="0"/>
    <x v="1"/>
    <x v="8"/>
    <n v="0"/>
    <n v="0"/>
    <n v="555.50800000000004"/>
    <n v="555.50800000000004"/>
    <n v="555.50800000000004"/>
    <n v="555.50800000000004"/>
    <n v="3483"/>
    <s v="CATIVO"/>
    <n v="0"/>
    <n v="0"/>
    <n v="52"/>
    <n v="96"/>
    <n v="0"/>
    <n v="407.97"/>
    <n v="155.38999999999999"/>
    <m/>
    <n v="472.05179949641769"/>
    <n v="216.88611967035783"/>
    <n v="0"/>
    <n v="42674.124560000033"/>
    <n v="0"/>
    <n v="24428.331421308318"/>
    <x v="1"/>
  </r>
  <r>
    <s v="Sistema Isolado - Refaturamento"/>
    <x v="3"/>
    <x v="3"/>
    <x v="0"/>
    <x v="1"/>
    <x v="1"/>
    <x v="0"/>
    <x v="1"/>
    <x v="8"/>
    <n v="0"/>
    <n v="0"/>
    <n v="-0.11799999999999999"/>
    <n v="-0.11799999999999999"/>
    <n v="-0.11799999999999999"/>
    <n v="-0.11799999999999999"/>
    <n v="0"/>
    <s v="CATIVO"/>
    <n v="0"/>
    <n v="0"/>
    <n v="52"/>
    <n v="96"/>
    <n v="0"/>
    <n v="407.97"/>
    <n v="155.38999999999999"/>
    <m/>
    <n v="472.05179949641769"/>
    <n v="216.88611967035783"/>
    <n v="0"/>
    <n v="-9.064760000000005"/>
    <n v="0"/>
    <n v="-5.1890217741497535"/>
    <x v="1"/>
  </r>
  <r>
    <s v="Sistema de Compensação"/>
    <x v="3"/>
    <x v="3"/>
    <x v="0"/>
    <x v="1"/>
    <x v="1"/>
    <x v="0"/>
    <x v="1"/>
    <x v="8"/>
    <n v="0"/>
    <n v="0"/>
    <n v="50.243000000000002"/>
    <n v="50.243000000000002"/>
    <n v="50.243000000000002"/>
    <n v="50.243000000000002"/>
    <n v="266"/>
    <s v="CATIVO"/>
    <n v="0"/>
    <n v="0"/>
    <n v="52"/>
    <n v="96"/>
    <n v="0"/>
    <n v="407.97"/>
    <n v="155.38999999999999"/>
    <m/>
    <n v="472.05179949641769"/>
    <n v="216.88611967035783"/>
    <n v="0"/>
    <n v="3859.6672600000029"/>
    <n v="0"/>
    <n v="2209.4239067678482"/>
    <x v="1"/>
  </r>
  <r>
    <s v="Sistema de Compensação"/>
    <x v="3"/>
    <x v="3"/>
    <x v="0"/>
    <x v="1"/>
    <x v="1"/>
    <x v="0"/>
    <x v="1"/>
    <x v="8"/>
    <n v="0"/>
    <n v="0"/>
    <n v="-4.1109999999999998"/>
    <n v="-4.1109999999999998"/>
    <n v="-4.1109999999999998"/>
    <n v="-4.1109999999999998"/>
    <n v="0"/>
    <s v="CATIVO"/>
    <n v="0"/>
    <n v="0"/>
    <n v="52"/>
    <n v="96"/>
    <n v="0"/>
    <n v="407.97"/>
    <n v="155.38999999999999"/>
    <m/>
    <n v="472.05179949641769"/>
    <n v="216.88611967035783"/>
    <n v="0"/>
    <n v="-315.80702000000019"/>
    <n v="0"/>
    <n v="-180.78024164008167"/>
    <x v="1"/>
  </r>
  <r>
    <s v="Regular"/>
    <x v="3"/>
    <x v="3"/>
    <x v="0"/>
    <x v="1"/>
    <x v="1"/>
    <x v="0"/>
    <x v="1"/>
    <x v="0"/>
    <n v="0"/>
    <n v="0"/>
    <n v="2815.1010000000001"/>
    <n v="2815.1010000000001"/>
    <n v="2815.1010000000001"/>
    <n v="2815.1010000000001"/>
    <n v="15374"/>
    <s v="CATIVO"/>
    <n v="0"/>
    <n v="0"/>
    <n v="52"/>
    <n v="96"/>
    <n v="0"/>
    <n v="407.97"/>
    <n v="155.38999999999999"/>
    <m/>
    <n v="472.05179949641769"/>
    <n v="216.88611967035783"/>
    <n v="0"/>
    <n v="216256.05882000015"/>
    <n v="0"/>
    <n v="123793.39309687074"/>
    <x v="1"/>
  </r>
  <r>
    <s v="Refaturamento - Regular"/>
    <x v="3"/>
    <x v="3"/>
    <x v="0"/>
    <x v="1"/>
    <x v="1"/>
    <x v="0"/>
    <x v="1"/>
    <x v="0"/>
    <n v="0"/>
    <n v="0"/>
    <n v="-58.545999999999999"/>
    <n v="-58.545999999999999"/>
    <n v="-58.545999999999999"/>
    <n v="-58.545999999999999"/>
    <n v="-9"/>
    <s v="CATIVO"/>
    <n v="0"/>
    <n v="0"/>
    <n v="52"/>
    <n v="96"/>
    <n v="0"/>
    <n v="407.97"/>
    <n v="155.38999999999999"/>
    <m/>
    <n v="472.05179949641769"/>
    <n v="216.88611967035783"/>
    <n v="0"/>
    <n v="-4497.5037200000024"/>
    <n v="0"/>
    <n v="-2574.5463456726397"/>
    <x v="1"/>
  </r>
  <r>
    <s v="Sistema Isolado - Regular"/>
    <x v="3"/>
    <x v="3"/>
    <x v="0"/>
    <x v="1"/>
    <x v="1"/>
    <x v="0"/>
    <x v="1"/>
    <x v="0"/>
    <n v="0"/>
    <n v="0"/>
    <n v="540.92100000000005"/>
    <n v="540.92100000000005"/>
    <n v="540.92100000000005"/>
    <n v="540.92100000000005"/>
    <n v="3559"/>
    <s v="CATIVO"/>
    <n v="0"/>
    <n v="0"/>
    <n v="52"/>
    <n v="96"/>
    <n v="0"/>
    <n v="407.97"/>
    <n v="155.38999999999999"/>
    <m/>
    <n v="472.05179949641769"/>
    <n v="216.88611967035783"/>
    <n v="0"/>
    <n v="41553.55122000003"/>
    <n v="0"/>
    <n v="23786.871585549656"/>
    <x v="1"/>
  </r>
  <r>
    <s v="Sistema Isolado - Refaturamento"/>
    <x v="3"/>
    <x v="3"/>
    <x v="0"/>
    <x v="1"/>
    <x v="1"/>
    <x v="0"/>
    <x v="1"/>
    <x v="0"/>
    <n v="0"/>
    <n v="0"/>
    <n v="-19.776"/>
    <n v="-19.776"/>
    <n v="-19.776"/>
    <n v="-19.776"/>
    <n v="-4"/>
    <s v="CATIVO"/>
    <n v="0"/>
    <n v="0"/>
    <n v="52"/>
    <n v="96"/>
    <n v="0"/>
    <n v="407.97"/>
    <n v="155.38999999999999"/>
    <m/>
    <n v="472.05179949641769"/>
    <n v="216.88611967035783"/>
    <n v="0"/>
    <n v="-1519.192320000001"/>
    <n v="0"/>
    <n v="-869.64486953886046"/>
    <x v="1"/>
  </r>
  <r>
    <s v="Sistema de Compensação"/>
    <x v="3"/>
    <x v="3"/>
    <x v="0"/>
    <x v="1"/>
    <x v="1"/>
    <x v="0"/>
    <x v="1"/>
    <x v="0"/>
    <n v="0"/>
    <n v="0"/>
    <n v="46.615000000000002"/>
    <n v="46.615000000000002"/>
    <n v="46.615000000000002"/>
    <n v="46.615000000000002"/>
    <n v="288"/>
    <s v="CATIVO"/>
    <n v="0"/>
    <n v="0"/>
    <n v="52"/>
    <n v="96"/>
    <n v="0"/>
    <n v="407.97"/>
    <n v="155.38999999999999"/>
    <m/>
    <n v="472.05179949641769"/>
    <n v="216.88611967035783"/>
    <n v="0"/>
    <n v="3580.9643000000024"/>
    <n v="0"/>
    <n v="2049.8834745931422"/>
    <x v="1"/>
  </r>
  <r>
    <s v="Sistema de Compensação"/>
    <x v="3"/>
    <x v="3"/>
    <x v="0"/>
    <x v="1"/>
    <x v="1"/>
    <x v="0"/>
    <x v="1"/>
    <x v="0"/>
    <n v="0"/>
    <n v="0"/>
    <n v="1.7000000000000001E-2"/>
    <n v="1.7000000000000001E-2"/>
    <n v="1.7000000000000001E-2"/>
    <n v="1.7000000000000001E-2"/>
    <n v="0"/>
    <s v="CATIVO"/>
    <n v="0"/>
    <n v="0"/>
    <n v="52"/>
    <n v="96"/>
    <n v="0"/>
    <n v="407.97"/>
    <n v="155.38999999999999"/>
    <m/>
    <n v="472.05179949641769"/>
    <n v="216.88611967035783"/>
    <n v="0"/>
    <n v="1.305940000000001"/>
    <n v="0"/>
    <n v="0.74757093356394766"/>
    <x v="1"/>
  </r>
  <r>
    <s v="Regular"/>
    <x v="3"/>
    <x v="3"/>
    <x v="0"/>
    <x v="1"/>
    <x v="1"/>
    <x v="0"/>
    <x v="1"/>
    <x v="1"/>
    <n v="0"/>
    <n v="0"/>
    <n v="3019.623"/>
    <n v="3019.623"/>
    <n v="3019.623"/>
    <n v="3019.623"/>
    <n v="15356"/>
    <s v="CATIVO"/>
    <n v="0"/>
    <n v="0"/>
    <n v="52"/>
    <n v="96"/>
    <n v="0"/>
    <n v="407.97"/>
    <n v="155.38999999999999"/>
    <m/>
    <n v="472.05179949641769"/>
    <n v="216.88611967035783"/>
    <n v="0"/>
    <n v="231967.43886000014"/>
    <n v="0"/>
    <n v="132787.1991247746"/>
    <x v="1"/>
  </r>
  <r>
    <s v="Refaturamento - Regular"/>
    <x v="3"/>
    <x v="3"/>
    <x v="0"/>
    <x v="1"/>
    <x v="1"/>
    <x v="0"/>
    <x v="1"/>
    <x v="1"/>
    <n v="0"/>
    <n v="0"/>
    <n v="-23.911000000000001"/>
    <n v="-23.911000000000001"/>
    <n v="-23.911000000000001"/>
    <n v="-23.911000000000001"/>
    <n v="-26"/>
    <s v="CATIVO"/>
    <n v="0"/>
    <n v="0"/>
    <n v="52"/>
    <n v="96"/>
    <n v="0"/>
    <n v="407.97"/>
    <n v="155.38999999999999"/>
    <m/>
    <n v="472.05179949641769"/>
    <n v="216.88611967035783"/>
    <n v="0"/>
    <n v="-1836.8430200000014"/>
    <n v="0"/>
    <n v="-1051.4805054380913"/>
    <x v="1"/>
  </r>
  <r>
    <s v="Sistema Isolado - Regular"/>
    <x v="3"/>
    <x v="3"/>
    <x v="0"/>
    <x v="1"/>
    <x v="1"/>
    <x v="0"/>
    <x v="1"/>
    <x v="1"/>
    <n v="0"/>
    <n v="0"/>
    <n v="582.73400000000004"/>
    <n v="582.73400000000004"/>
    <n v="582.73400000000004"/>
    <n v="582.73400000000004"/>
    <n v="3633"/>
    <s v="CATIVO"/>
    <n v="0"/>
    <n v="0"/>
    <n v="52"/>
    <n v="96"/>
    <n v="0"/>
    <n v="407.97"/>
    <n v="155.38999999999999"/>
    <m/>
    <n v="472.05179949641769"/>
    <n v="216.88611967035783"/>
    <n v="0"/>
    <n v="44765.625880000029"/>
    <n v="0"/>
    <n v="25625.58825879138"/>
    <x v="1"/>
  </r>
  <r>
    <s v="Sistema Isolado - Refaturamento"/>
    <x v="3"/>
    <x v="3"/>
    <x v="0"/>
    <x v="1"/>
    <x v="1"/>
    <x v="0"/>
    <x v="1"/>
    <x v="1"/>
    <n v="0"/>
    <n v="0"/>
    <n v="-0.622"/>
    <n v="-0.622"/>
    <n v="-0.622"/>
    <n v="-0.622"/>
    <n v="0"/>
    <s v="CATIVO"/>
    <n v="0"/>
    <n v="0"/>
    <n v="52"/>
    <n v="96"/>
    <n v="0"/>
    <n v="407.97"/>
    <n v="155.38999999999999"/>
    <m/>
    <n v="472.05179949641769"/>
    <n v="216.88611967035783"/>
    <n v="0"/>
    <n v="-47.78204000000003"/>
    <n v="0"/>
    <n v="-27.352301216280907"/>
    <x v="1"/>
  </r>
  <r>
    <s v="Sistema de Compensação"/>
    <x v="3"/>
    <x v="3"/>
    <x v="0"/>
    <x v="1"/>
    <x v="1"/>
    <x v="0"/>
    <x v="1"/>
    <x v="1"/>
    <n v="0"/>
    <n v="0"/>
    <n v="46.082999999999998"/>
    <n v="46.082999999999998"/>
    <n v="46.082999999999998"/>
    <n v="46.082999999999998"/>
    <n v="297"/>
    <s v="CATIVO"/>
    <n v="0"/>
    <n v="0"/>
    <n v="52"/>
    <n v="96"/>
    <n v="0"/>
    <n v="407.97"/>
    <n v="155.38999999999999"/>
    <m/>
    <n v="472.05179949641769"/>
    <n v="216.88611967035783"/>
    <n v="0"/>
    <n v="3540.0960600000021"/>
    <n v="0"/>
    <n v="2026.4889018486704"/>
    <x v="1"/>
  </r>
  <r>
    <s v="Sistema de Compensação"/>
    <x v="3"/>
    <x v="3"/>
    <x v="0"/>
    <x v="1"/>
    <x v="1"/>
    <x v="0"/>
    <x v="1"/>
    <x v="1"/>
    <n v="0"/>
    <n v="0"/>
    <n v="-1.7749999999999999"/>
    <n v="-1.7749999999999999"/>
    <n v="-1.7749999999999999"/>
    <n v="-1.7749999999999999"/>
    <n v="0"/>
    <s v="CATIVO"/>
    <n v="0"/>
    <n v="0"/>
    <n v="52"/>
    <n v="96"/>
    <n v="0"/>
    <n v="407.97"/>
    <n v="155.38999999999999"/>
    <m/>
    <n v="472.05179949641769"/>
    <n v="216.88611967035783"/>
    <n v="0"/>
    <n v="-136.35550000000009"/>
    <n v="0"/>
    <n v="-78.055200416235706"/>
    <x v="1"/>
  </r>
  <r>
    <s v="Regular"/>
    <x v="3"/>
    <x v="3"/>
    <x v="0"/>
    <x v="1"/>
    <x v="1"/>
    <x v="0"/>
    <x v="1"/>
    <x v="2"/>
    <n v="0"/>
    <n v="0"/>
    <n v="3155.2730000000001"/>
    <n v="3155.2730000000001"/>
    <n v="3155.2730000000001"/>
    <n v="3155.2730000000001"/>
    <n v="15334"/>
    <s v="CATIVO"/>
    <n v="0"/>
    <n v="0"/>
    <n v="52"/>
    <n v="96"/>
    <n v="0"/>
    <n v="407.97"/>
    <n v="155.38999999999999"/>
    <m/>
    <n v="472.05179949641769"/>
    <n v="216.88611967035783"/>
    <n v="0"/>
    <n v="242388.07186000017"/>
    <n v="0"/>
    <n v="138752.37542700692"/>
    <x v="1"/>
  </r>
  <r>
    <s v="Refaturamento - Regular"/>
    <x v="3"/>
    <x v="3"/>
    <x v="0"/>
    <x v="1"/>
    <x v="1"/>
    <x v="0"/>
    <x v="1"/>
    <x v="2"/>
    <n v="0"/>
    <n v="0"/>
    <n v="-14.010999999999999"/>
    <n v="-14.010999999999999"/>
    <n v="-14.010999999999999"/>
    <n v="-14.010999999999999"/>
    <n v="-7"/>
    <s v="CATIVO"/>
    <n v="0"/>
    <n v="0"/>
    <n v="52"/>
    <n v="96"/>
    <n v="0"/>
    <n v="407.97"/>
    <n v="155.38999999999999"/>
    <m/>
    <n v="472.05179949641769"/>
    <n v="216.88611967035783"/>
    <n v="0"/>
    <n v="-1076.3250200000007"/>
    <n v="0"/>
    <n v="-616.13037353908646"/>
    <x v="1"/>
  </r>
  <r>
    <s v="Sistema Isolado - Regular"/>
    <x v="3"/>
    <x v="3"/>
    <x v="0"/>
    <x v="1"/>
    <x v="1"/>
    <x v="0"/>
    <x v="1"/>
    <x v="2"/>
    <n v="0"/>
    <n v="0"/>
    <n v="603.70399999999995"/>
    <n v="603.70399999999995"/>
    <n v="603.70399999999995"/>
    <n v="603.70399999999995"/>
    <n v="3643"/>
    <s v="CATIVO"/>
    <n v="0"/>
    <n v="0"/>
    <n v="52"/>
    <n v="96"/>
    <n v="0"/>
    <n v="407.97"/>
    <n v="155.38999999999999"/>
    <m/>
    <n v="472.05179949641769"/>
    <n v="216.88611967035783"/>
    <n v="0"/>
    <n v="46376.541280000027"/>
    <n v="0"/>
    <n v="26547.738992722905"/>
    <x v="1"/>
  </r>
  <r>
    <s v="Sistema Isolado - Refaturamento"/>
    <x v="3"/>
    <x v="3"/>
    <x v="0"/>
    <x v="1"/>
    <x v="1"/>
    <x v="0"/>
    <x v="1"/>
    <x v="2"/>
    <n v="0"/>
    <n v="0"/>
    <n v="-10.214"/>
    <n v="-10.214"/>
    <n v="-10.214"/>
    <n v="-10.214"/>
    <n v="-1"/>
    <s v="CATIVO"/>
    <n v="0"/>
    <n v="0"/>
    <n v="52"/>
    <n v="96"/>
    <n v="0"/>
    <n v="407.97"/>
    <n v="155.38999999999999"/>
    <m/>
    <n v="472.05179949641769"/>
    <n v="216.88611967035783"/>
    <n v="0"/>
    <n v="-784.6394800000005"/>
    <n v="0"/>
    <n v="-449.15820678953889"/>
    <x v="1"/>
  </r>
  <r>
    <s v="Sistema de Compensação"/>
    <x v="3"/>
    <x v="3"/>
    <x v="0"/>
    <x v="1"/>
    <x v="1"/>
    <x v="0"/>
    <x v="1"/>
    <x v="2"/>
    <n v="0"/>
    <n v="0"/>
    <n v="48.884999999999998"/>
    <n v="48.884999999999998"/>
    <n v="48.884999999999998"/>
    <n v="48.884999999999998"/>
    <n v="327"/>
    <s v="CATIVO"/>
    <n v="0"/>
    <n v="0"/>
    <n v="52"/>
    <n v="96"/>
    <n v="0"/>
    <n v="407.97"/>
    <n v="155.38999999999999"/>
    <m/>
    <n v="472.05179949641769"/>
    <n v="216.88611967035783"/>
    <n v="0"/>
    <n v="3755.3457000000021"/>
    <n v="0"/>
    <n v="2149.7061816043279"/>
    <x v="1"/>
  </r>
  <r>
    <s v="Regular"/>
    <x v="3"/>
    <x v="3"/>
    <x v="0"/>
    <x v="1"/>
    <x v="1"/>
    <x v="0"/>
    <x v="1"/>
    <x v="3"/>
    <n v="0"/>
    <n v="0"/>
    <n v="3011.6759999999999"/>
    <n v="3011.6759999999999"/>
    <n v="3011.6759999999999"/>
    <n v="3011.6759999999999"/>
    <n v="15309"/>
    <s v="CATIVO"/>
    <n v="0"/>
    <n v="0"/>
    <n v="52"/>
    <n v="96"/>
    <n v="0"/>
    <n v="407.97"/>
    <n v="155.38999999999999"/>
    <m/>
    <n v="472.05179949641769"/>
    <n v="216.88611967035783"/>
    <n v="0"/>
    <n v="231356.95032000015"/>
    <n v="0"/>
    <n v="132437.73170071383"/>
    <x v="1"/>
  </r>
  <r>
    <s v="Refaturamento - Regular"/>
    <x v="3"/>
    <x v="3"/>
    <x v="0"/>
    <x v="1"/>
    <x v="1"/>
    <x v="0"/>
    <x v="1"/>
    <x v="3"/>
    <n v="0"/>
    <n v="0"/>
    <n v="-22.221"/>
    <n v="-22.221"/>
    <n v="-22.221"/>
    <n v="-22.221"/>
    <n v="-7"/>
    <s v="CATIVO"/>
    <n v="0"/>
    <n v="0"/>
    <n v="52"/>
    <n v="96"/>
    <n v="0"/>
    <n v="407.97"/>
    <n v="155.38999999999999"/>
    <m/>
    <n v="472.05179949641769"/>
    <n v="216.88611967035783"/>
    <n v="0"/>
    <n v="-1707.0172200000011"/>
    <n v="0"/>
    <n v="-977.16315968967524"/>
    <x v="1"/>
  </r>
  <r>
    <s v="Sistema Isolado - Regular"/>
    <x v="3"/>
    <x v="3"/>
    <x v="0"/>
    <x v="1"/>
    <x v="1"/>
    <x v="0"/>
    <x v="1"/>
    <x v="3"/>
    <n v="0"/>
    <n v="0"/>
    <n v="608.98199999999997"/>
    <n v="608.98199999999997"/>
    <n v="608.98199999999997"/>
    <n v="608.98199999999997"/>
    <n v="3679"/>
    <s v="CATIVO"/>
    <n v="0"/>
    <n v="0"/>
    <n v="52"/>
    <n v="96"/>
    <n v="0"/>
    <n v="407.97"/>
    <n v="155.38999999999999"/>
    <m/>
    <n v="472.05179949641769"/>
    <n v="216.88611967035783"/>
    <n v="0"/>
    <n v="46781.997240000026"/>
    <n v="0"/>
    <n v="26779.837780214111"/>
    <x v="1"/>
  </r>
  <r>
    <s v="Sistema de Compensação"/>
    <x v="3"/>
    <x v="3"/>
    <x v="0"/>
    <x v="1"/>
    <x v="1"/>
    <x v="0"/>
    <x v="1"/>
    <x v="3"/>
    <n v="0"/>
    <n v="0"/>
    <n v="45.816000000000003"/>
    <n v="45.816000000000003"/>
    <n v="45.816000000000003"/>
    <n v="45.816000000000003"/>
    <n v="337"/>
    <s v="CATIVO"/>
    <n v="0"/>
    <n v="0"/>
    <n v="52"/>
    <n v="96"/>
    <n v="0"/>
    <n v="407.97"/>
    <n v="155.38999999999999"/>
    <m/>
    <n v="472.05179949641769"/>
    <n v="216.88611967035783"/>
    <n v="0"/>
    <n v="3519.5851200000025"/>
    <n v="0"/>
    <n v="2014.7476407156366"/>
    <x v="1"/>
  </r>
  <r>
    <s v="Regular"/>
    <x v="3"/>
    <x v="3"/>
    <x v="0"/>
    <x v="1"/>
    <x v="1"/>
    <x v="0"/>
    <x v="1"/>
    <x v="4"/>
    <n v="0"/>
    <n v="0"/>
    <n v="3097.9110000000001"/>
    <n v="3097.9110000000001"/>
    <n v="3097.9110000000001"/>
    <n v="3097.9110000000001"/>
    <n v="15296"/>
    <s v="CATIVO"/>
    <n v="0"/>
    <n v="0"/>
    <n v="52"/>
    <n v="96"/>
    <n v="0"/>
    <n v="407.97"/>
    <n v="155.38999999999999"/>
    <m/>
    <n v="472.05179949641769"/>
    <n v="216.88611967035783"/>
    <n v="0"/>
    <n v="237981.52302000017"/>
    <n v="0"/>
    <n v="136229.89519811896"/>
    <x v="1"/>
  </r>
  <r>
    <s v="Refaturamento - Regular"/>
    <x v="3"/>
    <x v="3"/>
    <x v="0"/>
    <x v="1"/>
    <x v="1"/>
    <x v="0"/>
    <x v="1"/>
    <x v="4"/>
    <n v="0"/>
    <n v="0"/>
    <n v="-27.672999999999998"/>
    <n v="-27.672999999999998"/>
    <n v="-27.672999999999998"/>
    <n v="-27.672999999999998"/>
    <n v="-6"/>
    <s v="CATIVO"/>
    <n v="0"/>
    <n v="0"/>
    <n v="52"/>
    <n v="96"/>
    <n v="0"/>
    <n v="407.97"/>
    <n v="155.38999999999999"/>
    <m/>
    <n v="472.05179949641769"/>
    <n v="216.88611967035783"/>
    <n v="0"/>
    <n v="-2125.8398600000014"/>
    <n v="0"/>
    <n v="-1216.9135555597129"/>
    <x v="1"/>
  </r>
  <r>
    <s v="Sistema Isolado - Regular"/>
    <x v="3"/>
    <x v="3"/>
    <x v="0"/>
    <x v="1"/>
    <x v="1"/>
    <x v="0"/>
    <x v="1"/>
    <x v="4"/>
    <n v="0"/>
    <n v="0"/>
    <n v="586.95500000000004"/>
    <n v="586.95500000000004"/>
    <n v="586.95500000000004"/>
    <n v="586.95500000000004"/>
    <n v="3664"/>
    <s v="CATIVO"/>
    <n v="0"/>
    <n v="0"/>
    <n v="52"/>
    <n v="96"/>
    <n v="0"/>
    <n v="407.97"/>
    <n v="155.38999999999999"/>
    <m/>
    <n v="472.05179949641769"/>
    <n v="216.88611967035783"/>
    <n v="0"/>
    <n v="45089.883100000035"/>
    <n v="0"/>
    <n v="25811.205724119227"/>
    <x v="1"/>
  </r>
  <r>
    <s v="Sistema Isolado - Refaturamento"/>
    <x v="3"/>
    <x v="3"/>
    <x v="0"/>
    <x v="1"/>
    <x v="1"/>
    <x v="0"/>
    <x v="1"/>
    <x v="4"/>
    <n v="0"/>
    <n v="0"/>
    <n v="-6.76"/>
    <n v="-6.76"/>
    <n v="-6.76"/>
    <n v="-6.76"/>
    <n v="0"/>
    <s v="CATIVO"/>
    <n v="0"/>
    <n v="0"/>
    <n v="52"/>
    <n v="96"/>
    <n v="0"/>
    <n v="407.97"/>
    <n v="155.38999999999999"/>
    <m/>
    <n v="472.05179949641769"/>
    <n v="216.88611967035783"/>
    <n v="0"/>
    <n v="-519.30320000000029"/>
    <n v="0"/>
    <n v="-297.26938299366384"/>
    <x v="1"/>
  </r>
  <r>
    <s v="Sistema de Compensação"/>
    <x v="3"/>
    <x v="3"/>
    <x v="0"/>
    <x v="1"/>
    <x v="1"/>
    <x v="0"/>
    <x v="1"/>
    <x v="4"/>
    <n v="0"/>
    <n v="0"/>
    <n v="52.517000000000003"/>
    <n v="52.517000000000003"/>
    <n v="52.517000000000003"/>
    <n v="52.517000000000003"/>
    <n v="343"/>
    <s v="CATIVO"/>
    <n v="0"/>
    <n v="0"/>
    <n v="52"/>
    <n v="96"/>
    <n v="0"/>
    <n v="407.97"/>
    <n v="155.38999999999999"/>
    <m/>
    <n v="472.05179949641769"/>
    <n v="216.88611967035783"/>
    <n v="0"/>
    <n v="4034.3559400000026"/>
    <n v="0"/>
    <n v="2309.4225128222256"/>
    <x v="1"/>
  </r>
  <r>
    <s v="PROJETADO"/>
    <x v="3"/>
    <x v="3"/>
    <x v="0"/>
    <x v="1"/>
    <x v="1"/>
    <x v="0"/>
    <x v="1"/>
    <x v="5"/>
    <n v="0"/>
    <n v="0"/>
    <n v="3097.9110000000001"/>
    <n v="3097.9110000000001"/>
    <n v="3097.9110000000001"/>
    <n v="3097.9110000000001"/>
    <n v="15296"/>
    <s v="CATIVO"/>
    <n v="0"/>
    <n v="0"/>
    <n v="52"/>
    <n v="96"/>
    <n v="0"/>
    <n v="407.97"/>
    <n v="155.38999999999999"/>
    <m/>
    <n v="472.05179949641769"/>
    <n v="216.88611967035783"/>
    <n v="0"/>
    <n v="237981.52302000017"/>
    <n v="0"/>
    <n v="136229.89519811896"/>
    <x v="1"/>
  </r>
  <r>
    <s v="PROJETADO"/>
    <x v="3"/>
    <x v="3"/>
    <x v="0"/>
    <x v="1"/>
    <x v="1"/>
    <x v="0"/>
    <x v="1"/>
    <x v="5"/>
    <n v="0"/>
    <n v="0"/>
    <n v="-27.672999999999998"/>
    <n v="-27.672999999999998"/>
    <n v="-27.672999999999998"/>
    <n v="-27.672999999999998"/>
    <n v="-6"/>
    <s v="CATIVO"/>
    <n v="0"/>
    <n v="0"/>
    <n v="52"/>
    <n v="96"/>
    <n v="0"/>
    <n v="407.97"/>
    <n v="155.38999999999999"/>
    <m/>
    <n v="472.05179949641769"/>
    <n v="216.88611967035783"/>
    <n v="0"/>
    <n v="-2125.8398600000014"/>
    <n v="0"/>
    <n v="-1216.9135555597129"/>
    <x v="1"/>
  </r>
  <r>
    <s v="PROJETADO"/>
    <x v="3"/>
    <x v="3"/>
    <x v="0"/>
    <x v="1"/>
    <x v="1"/>
    <x v="0"/>
    <x v="1"/>
    <x v="5"/>
    <n v="0"/>
    <n v="0"/>
    <n v="586.95500000000004"/>
    <n v="586.95500000000004"/>
    <n v="586.95500000000004"/>
    <n v="586.95500000000004"/>
    <n v="3664"/>
    <s v="CATIVO"/>
    <n v="0"/>
    <n v="0"/>
    <n v="52"/>
    <n v="96"/>
    <n v="0"/>
    <n v="407.97"/>
    <n v="155.38999999999999"/>
    <m/>
    <n v="472.05179949641769"/>
    <n v="216.88611967035783"/>
    <n v="0"/>
    <n v="45089.883100000035"/>
    <n v="0"/>
    <n v="25811.205724119227"/>
    <x v="1"/>
  </r>
  <r>
    <s v="PROJETADO"/>
    <x v="3"/>
    <x v="3"/>
    <x v="0"/>
    <x v="1"/>
    <x v="1"/>
    <x v="0"/>
    <x v="1"/>
    <x v="5"/>
    <n v="0"/>
    <n v="0"/>
    <n v="-6.76"/>
    <n v="-6.76"/>
    <n v="-6.76"/>
    <n v="-6.76"/>
    <n v="0"/>
    <s v="CATIVO"/>
    <n v="0"/>
    <n v="0"/>
    <n v="52"/>
    <n v="96"/>
    <n v="0"/>
    <n v="407.97"/>
    <n v="155.38999999999999"/>
    <m/>
    <n v="472.05179949641769"/>
    <n v="216.88611967035783"/>
    <n v="0"/>
    <n v="-519.30320000000029"/>
    <n v="0"/>
    <n v="-297.26938299366384"/>
    <x v="1"/>
  </r>
  <r>
    <s v="PROJETADO"/>
    <x v="3"/>
    <x v="3"/>
    <x v="0"/>
    <x v="1"/>
    <x v="1"/>
    <x v="0"/>
    <x v="1"/>
    <x v="5"/>
    <n v="0"/>
    <n v="0"/>
    <n v="52.517000000000003"/>
    <n v="52.517000000000003"/>
    <n v="52.517000000000003"/>
    <n v="52.517000000000003"/>
    <n v="343"/>
    <s v="CATIVO"/>
    <n v="0"/>
    <n v="0"/>
    <n v="52"/>
    <n v="96"/>
    <n v="0"/>
    <n v="407.97"/>
    <n v="155.38999999999999"/>
    <m/>
    <n v="472.05179949641769"/>
    <n v="216.88611967035783"/>
    <n v="0"/>
    <n v="4034.3559400000026"/>
    <n v="0"/>
    <n v="2309.4225128222256"/>
    <x v="1"/>
  </r>
  <r>
    <s v="Regular"/>
    <x v="4"/>
    <x v="3"/>
    <x v="1"/>
    <x v="2"/>
    <x v="1"/>
    <x v="0"/>
    <x v="1"/>
    <x v="9"/>
    <n v="0"/>
    <n v="0"/>
    <n v="207.70500000000001"/>
    <n v="207.70500000000001"/>
    <n v="207.70500000000001"/>
    <n v="207.70500000000001"/>
    <n v="85"/>
    <s v="CATIVO"/>
    <n v="0"/>
    <n v="0"/>
    <n v="67"/>
    <n v="111"/>
    <n v="0"/>
    <n v="435.78399999999999"/>
    <n v="165.98519999999999"/>
    <m/>
    <n v="487.11728245906932"/>
    <n v="223.80801710664585"/>
    <n v="0"/>
    <n v="7978.1152140000004"/>
    <n v="0"/>
    <n v="4566.8888457617586"/>
    <x v="2"/>
  </r>
  <r>
    <s v="Sistema Isolado - Regular"/>
    <x v="4"/>
    <x v="3"/>
    <x v="1"/>
    <x v="2"/>
    <x v="1"/>
    <x v="0"/>
    <x v="1"/>
    <x v="9"/>
    <n v="0"/>
    <n v="0"/>
    <n v="578.97699999999998"/>
    <n v="578.97699999999998"/>
    <n v="578.97699999999998"/>
    <n v="578.97699999999998"/>
    <n v="111"/>
    <s v="CATIVO"/>
    <n v="0"/>
    <n v="0"/>
    <n v="67"/>
    <n v="111"/>
    <n v="0"/>
    <n v="435.78399999999999"/>
    <n v="165.98519999999999"/>
    <m/>
    <n v="487.11728245906932"/>
    <n v="223.80801710664585"/>
    <n v="0"/>
    <n v="22238.969751599998"/>
    <n v="0"/>
    <n v="12730.187541236879"/>
    <x v="2"/>
  </r>
  <r>
    <s v="Regular"/>
    <x v="4"/>
    <x v="3"/>
    <x v="1"/>
    <x v="2"/>
    <x v="1"/>
    <x v="0"/>
    <x v="1"/>
    <x v="10"/>
    <n v="0"/>
    <n v="0"/>
    <n v="227.67"/>
    <n v="227.67"/>
    <n v="227.67"/>
    <n v="227.67"/>
    <n v="83"/>
    <s v="CATIVO"/>
    <n v="0"/>
    <n v="0"/>
    <n v="67"/>
    <n v="111"/>
    <n v="0"/>
    <n v="435.78399999999999"/>
    <n v="165.98519999999999"/>
    <m/>
    <n v="487.11728245906932"/>
    <n v="223.80801710664585"/>
    <n v="0"/>
    <n v="8744.986836"/>
    <n v="0"/>
    <n v="5005.8668954265886"/>
    <x v="2"/>
  </r>
  <r>
    <s v="Sistema Isolado - Regular"/>
    <x v="4"/>
    <x v="3"/>
    <x v="1"/>
    <x v="2"/>
    <x v="1"/>
    <x v="0"/>
    <x v="1"/>
    <x v="10"/>
    <n v="0"/>
    <n v="0"/>
    <n v="583.32899999999995"/>
    <n v="583.32899999999995"/>
    <n v="583.32899999999995"/>
    <n v="583.32899999999995"/>
    <n v="111"/>
    <s v="CATIVO"/>
    <n v="0"/>
    <n v="0"/>
    <n v="67"/>
    <n v="111"/>
    <n v="0"/>
    <n v="435.78399999999999"/>
    <n v="165.98519999999999"/>
    <m/>
    <n v="487.11728245906932"/>
    <n v="223.80801710664585"/>
    <n v="0"/>
    <n v="22406.133553200001"/>
    <n v="0"/>
    <n v="12825.876620733061"/>
    <x v="2"/>
  </r>
  <r>
    <s v="Regular"/>
    <x v="4"/>
    <x v="3"/>
    <x v="1"/>
    <x v="2"/>
    <x v="1"/>
    <x v="0"/>
    <x v="1"/>
    <x v="11"/>
    <n v="0"/>
    <n v="0"/>
    <n v="212.714"/>
    <n v="212.714"/>
    <n v="212.714"/>
    <n v="212.714"/>
    <n v="83"/>
    <s v="CATIVO"/>
    <n v="0"/>
    <n v="0"/>
    <n v="67"/>
    <n v="111"/>
    <n v="0"/>
    <n v="435.78399999999999"/>
    <n v="165.98519999999999"/>
    <m/>
    <n v="487.11728245906932"/>
    <n v="223.80801710664585"/>
    <n v="0"/>
    <n v="8170.5149111999999"/>
    <n v="0"/>
    <n v="4677.0236341800473"/>
    <x v="2"/>
  </r>
  <r>
    <s v="Refaturamento - Regular"/>
    <x v="4"/>
    <x v="3"/>
    <x v="1"/>
    <x v="2"/>
    <x v="1"/>
    <x v="0"/>
    <x v="1"/>
    <x v="11"/>
    <n v="0"/>
    <n v="0"/>
    <n v="4.2999999999999997E-2"/>
    <n v="4.2999999999999997E-2"/>
    <n v="4.2999999999999997E-2"/>
    <n v="4.2999999999999997E-2"/>
    <n v="0"/>
    <s v="CATIVO"/>
    <n v="0"/>
    <n v="0"/>
    <n v="67"/>
    <n v="111"/>
    <n v="0"/>
    <n v="435.78399999999999"/>
    <n v="165.98519999999999"/>
    <m/>
    <n v="487.11728245906932"/>
    <n v="223.80801710664585"/>
    <n v="0"/>
    <n v="1.6516644"/>
    <n v="0"/>
    <n v="0.94545735715440449"/>
    <x v="2"/>
  </r>
  <r>
    <s v="Sistema Isolado - Regular"/>
    <x v="4"/>
    <x v="3"/>
    <x v="1"/>
    <x v="2"/>
    <x v="1"/>
    <x v="0"/>
    <x v="1"/>
    <x v="11"/>
    <n v="0"/>
    <n v="0"/>
    <n v="576.90099999999995"/>
    <n v="576.90099999999995"/>
    <n v="576.90099999999995"/>
    <n v="576.90099999999995"/>
    <n v="111"/>
    <s v="CATIVO"/>
    <n v="0"/>
    <n v="0"/>
    <n v="67"/>
    <n v="111"/>
    <n v="0"/>
    <n v="435.78399999999999"/>
    <n v="165.98519999999999"/>
    <m/>
    <n v="487.11728245906932"/>
    <n v="223.80801710664585"/>
    <n v="0"/>
    <n v="22159.228930799996"/>
    <n v="0"/>
    <n v="12684.54173952868"/>
    <x v="2"/>
  </r>
  <r>
    <s v="Regular"/>
    <x v="4"/>
    <x v="3"/>
    <x v="1"/>
    <x v="2"/>
    <x v="1"/>
    <x v="0"/>
    <x v="1"/>
    <x v="6"/>
    <n v="0"/>
    <n v="0"/>
    <n v="199.59299999999999"/>
    <n v="199.59299999999999"/>
    <n v="199.59299999999999"/>
    <n v="199.59299999999999"/>
    <n v="81"/>
    <s v="CATIVO"/>
    <n v="0"/>
    <n v="0"/>
    <n v="67"/>
    <n v="111"/>
    <n v="0"/>
    <n v="435.78399999999999"/>
    <n v="165.98519999999999"/>
    <m/>
    <n v="487.11728245906932"/>
    <n v="223.80801710664585"/>
    <n v="0"/>
    <n v="7666.5268043999995"/>
    <n v="0"/>
    <n v="4388.5272159655597"/>
    <x v="2"/>
  </r>
  <r>
    <s v="Sistema Isolado - Regular"/>
    <x v="4"/>
    <x v="3"/>
    <x v="1"/>
    <x v="2"/>
    <x v="1"/>
    <x v="0"/>
    <x v="1"/>
    <x v="6"/>
    <n v="0"/>
    <n v="0"/>
    <n v="556.97799999999995"/>
    <n v="556.97799999999995"/>
    <n v="556.97799999999995"/>
    <n v="556.97799999999995"/>
    <n v="110"/>
    <s v="CATIVO"/>
    <n v="0"/>
    <n v="0"/>
    <n v="67"/>
    <n v="111"/>
    <n v="0"/>
    <n v="435.78399999999999"/>
    <n v="165.98519999999999"/>
    <m/>
    <n v="487.11728245906932"/>
    <n v="223.80801710664585"/>
    <n v="0"/>
    <n v="21393.970562399998"/>
    <n v="0"/>
    <n v="12246.487159840604"/>
    <x v="2"/>
  </r>
  <r>
    <s v="Regular"/>
    <x v="4"/>
    <x v="3"/>
    <x v="1"/>
    <x v="2"/>
    <x v="1"/>
    <x v="0"/>
    <x v="1"/>
    <x v="7"/>
    <n v="0"/>
    <n v="0"/>
    <n v="228.82"/>
    <n v="228.82"/>
    <n v="228.82"/>
    <n v="228.82"/>
    <n v="64"/>
    <s v="CATIVO"/>
    <n v="0"/>
    <n v="0"/>
    <n v="67"/>
    <n v="111"/>
    <n v="0"/>
    <n v="435.78399999999999"/>
    <n v="165.98519999999999"/>
    <m/>
    <n v="487.11728245906932"/>
    <n v="223.80801710664585"/>
    <n v="0"/>
    <n v="8789.159255999999"/>
    <n v="0"/>
    <n v="5031.1523828853697"/>
    <x v="2"/>
  </r>
  <r>
    <s v="Sistema Isolado - Regular"/>
    <x v="4"/>
    <x v="3"/>
    <x v="1"/>
    <x v="2"/>
    <x v="1"/>
    <x v="0"/>
    <x v="1"/>
    <x v="7"/>
    <n v="0"/>
    <n v="0"/>
    <n v="619.88599999999997"/>
    <n v="619.88599999999997"/>
    <n v="619.88599999999997"/>
    <n v="619.88599999999997"/>
    <n v="110"/>
    <s v="CATIVO"/>
    <n v="0"/>
    <n v="0"/>
    <n v="67"/>
    <n v="111"/>
    <n v="0"/>
    <n v="435.78399999999999"/>
    <n v="165.98519999999999"/>
    <m/>
    <n v="487.11728245906932"/>
    <n v="223.80801710664585"/>
    <n v="0"/>
    <n v="23810.3171688"/>
    <n v="0"/>
    <n v="13629.669285977101"/>
    <x v="2"/>
  </r>
  <r>
    <s v="Regular"/>
    <x v="4"/>
    <x v="3"/>
    <x v="1"/>
    <x v="2"/>
    <x v="1"/>
    <x v="0"/>
    <x v="1"/>
    <x v="8"/>
    <n v="0"/>
    <n v="0"/>
    <n v="192.78"/>
    <n v="192.78"/>
    <n v="192.78"/>
    <n v="192.78"/>
    <n v="44"/>
    <s v="CATIVO"/>
    <n v="0"/>
    <n v="0"/>
    <n v="67"/>
    <n v="111"/>
    <n v="0"/>
    <n v="435.78399999999999"/>
    <n v="165.98519999999999"/>
    <m/>
    <n v="487.11728245906932"/>
    <n v="223.80801710664585"/>
    <n v="0"/>
    <n v="7404.8340239999998"/>
    <n v="0"/>
    <n v="4238.7271933075845"/>
    <x v="2"/>
  </r>
  <r>
    <s v="Refaturamento - Regular"/>
    <x v="4"/>
    <x v="3"/>
    <x v="1"/>
    <x v="2"/>
    <x v="1"/>
    <x v="0"/>
    <x v="1"/>
    <x v="8"/>
    <n v="0"/>
    <n v="0"/>
    <n v="-0.1"/>
    <n v="-0.1"/>
    <n v="-0.1"/>
    <n v="-0.1"/>
    <n v="-1"/>
    <s v="CATIVO"/>
    <n v="0"/>
    <n v="0"/>
    <n v="67"/>
    <n v="111"/>
    <n v="0"/>
    <n v="435.78399999999999"/>
    <n v="165.98519999999999"/>
    <m/>
    <n v="487.11728245906932"/>
    <n v="223.80801710664585"/>
    <n v="0"/>
    <n v="-3.8410799999999998"/>
    <n v="0"/>
    <n v="-2.1987380398939647"/>
    <x v="2"/>
  </r>
  <r>
    <s v="Sistema Isolado - Regular"/>
    <x v="4"/>
    <x v="3"/>
    <x v="1"/>
    <x v="2"/>
    <x v="1"/>
    <x v="0"/>
    <x v="1"/>
    <x v="8"/>
    <n v="0"/>
    <n v="0"/>
    <n v="583.01499999999999"/>
    <n v="583.01499999999999"/>
    <n v="583.01499999999999"/>
    <n v="583.01499999999999"/>
    <n v="115"/>
    <s v="CATIVO"/>
    <n v="0"/>
    <n v="0"/>
    <n v="67"/>
    <n v="111"/>
    <n v="0"/>
    <n v="435.78399999999999"/>
    <n v="165.98519999999999"/>
    <m/>
    <n v="487.11728245906932"/>
    <n v="223.80801710664585"/>
    <n v="0"/>
    <n v="22394.072561999998"/>
    <n v="0"/>
    <n v="12818.972583287796"/>
    <x v="2"/>
  </r>
  <r>
    <s v="Regular"/>
    <x v="4"/>
    <x v="3"/>
    <x v="1"/>
    <x v="2"/>
    <x v="1"/>
    <x v="0"/>
    <x v="1"/>
    <x v="0"/>
    <n v="0"/>
    <n v="0"/>
    <n v="225.28800000000001"/>
    <n v="225.28800000000001"/>
    <n v="225.28800000000001"/>
    <n v="225.28800000000001"/>
    <n v="54"/>
    <s v="CATIVO"/>
    <n v="0"/>
    <n v="0"/>
    <n v="67"/>
    <n v="111"/>
    <n v="0"/>
    <n v="435.78399999999999"/>
    <n v="165.98519999999999"/>
    <m/>
    <n v="487.11728245906932"/>
    <n v="223.80801710664585"/>
    <n v="0"/>
    <n v="8653.4923104000009"/>
    <n v="0"/>
    <n v="4953.4929553163147"/>
    <x v="2"/>
  </r>
  <r>
    <s v="Sistema Isolado - Regular"/>
    <x v="4"/>
    <x v="3"/>
    <x v="1"/>
    <x v="2"/>
    <x v="1"/>
    <x v="0"/>
    <x v="1"/>
    <x v="0"/>
    <n v="0"/>
    <n v="0"/>
    <n v="608.83100000000002"/>
    <n v="608.83100000000002"/>
    <n v="608.83100000000002"/>
    <n v="608.83100000000002"/>
    <n v="118"/>
    <s v="CATIVO"/>
    <n v="0"/>
    <n v="0"/>
    <n v="67"/>
    <n v="111"/>
    <n v="0"/>
    <n v="435.78399999999999"/>
    <n v="165.98519999999999"/>
    <m/>
    <n v="487.11728245906932"/>
    <n v="223.80801710664585"/>
    <n v="0"/>
    <n v="23385.685774799997"/>
    <n v="0"/>
    <n v="13386.598795666823"/>
    <x v="2"/>
  </r>
  <r>
    <s v="Regular"/>
    <x v="4"/>
    <x v="3"/>
    <x v="1"/>
    <x v="2"/>
    <x v="1"/>
    <x v="0"/>
    <x v="1"/>
    <x v="1"/>
    <n v="0"/>
    <n v="0"/>
    <n v="212.22800000000001"/>
    <n v="212.22800000000001"/>
    <n v="212.22800000000001"/>
    <n v="212.22800000000001"/>
    <n v="54"/>
    <s v="CATIVO"/>
    <n v="0"/>
    <n v="0"/>
    <n v="67"/>
    <n v="111"/>
    <n v="0"/>
    <n v="435.78399999999999"/>
    <n v="165.98519999999999"/>
    <m/>
    <n v="487.11728245906932"/>
    <n v="223.80801710664585"/>
    <n v="0"/>
    <n v="8151.8472624000005"/>
    <n v="0"/>
    <n v="4666.3377673061632"/>
    <x v="2"/>
  </r>
  <r>
    <s v="Sistema Isolado - Regular"/>
    <x v="4"/>
    <x v="3"/>
    <x v="1"/>
    <x v="2"/>
    <x v="1"/>
    <x v="0"/>
    <x v="1"/>
    <x v="1"/>
    <n v="0"/>
    <n v="0"/>
    <n v="624.28899999999999"/>
    <n v="624.28899999999999"/>
    <n v="624.28899999999999"/>
    <n v="624.28899999999999"/>
    <n v="119"/>
    <s v="CATIVO"/>
    <n v="0"/>
    <n v="0"/>
    <n v="67"/>
    <n v="111"/>
    <n v="0"/>
    <n v="435.78399999999999"/>
    <n v="165.98519999999999"/>
    <m/>
    <n v="487.11728245906932"/>
    <n v="223.80801710664585"/>
    <n v="0"/>
    <n v="23979.439921199995"/>
    <n v="0"/>
    <n v="13726.479721873631"/>
    <x v="2"/>
  </r>
  <r>
    <s v="Sistema Isolado - Refaturamento"/>
    <x v="4"/>
    <x v="3"/>
    <x v="1"/>
    <x v="2"/>
    <x v="1"/>
    <x v="0"/>
    <x v="1"/>
    <x v="1"/>
    <n v="0"/>
    <n v="0"/>
    <n v="-0.21299999999999999"/>
    <n v="-0.21299999999999999"/>
    <n v="-0.21299999999999999"/>
    <n v="-0.21299999999999999"/>
    <n v="0"/>
    <s v="CATIVO"/>
    <n v="0"/>
    <n v="0"/>
    <n v="67"/>
    <n v="111"/>
    <n v="0"/>
    <n v="435.78399999999999"/>
    <n v="165.98519999999999"/>
    <m/>
    <n v="487.11728245906932"/>
    <n v="223.80801710664585"/>
    <n v="0"/>
    <n v="-8.1815003999999991"/>
    <n v="0"/>
    <n v="-4.6833120249741436"/>
    <x v="2"/>
  </r>
  <r>
    <s v="Regular"/>
    <x v="4"/>
    <x v="3"/>
    <x v="1"/>
    <x v="2"/>
    <x v="1"/>
    <x v="0"/>
    <x v="1"/>
    <x v="2"/>
    <n v="0"/>
    <n v="0"/>
    <n v="595.33299999999997"/>
    <n v="595.33299999999997"/>
    <n v="595.33299999999997"/>
    <n v="595.33299999999997"/>
    <n v="57"/>
    <s v="CATIVO"/>
    <n v="0"/>
    <n v="0"/>
    <n v="67"/>
    <n v="111"/>
    <n v="0"/>
    <n v="435.78399999999999"/>
    <n v="165.98519999999999"/>
    <m/>
    <n v="487.11728245906932"/>
    <n v="223.80801710664585"/>
    <n v="0"/>
    <n v="22867.2167964"/>
    <n v="0"/>
    <n v="13089.813135041935"/>
    <x v="2"/>
  </r>
  <r>
    <s v="Refaturamento - Regular"/>
    <x v="4"/>
    <x v="3"/>
    <x v="1"/>
    <x v="2"/>
    <x v="1"/>
    <x v="0"/>
    <x v="1"/>
    <x v="2"/>
    <n v="0"/>
    <n v="0"/>
    <n v="-487.476"/>
    <n v="-487.476"/>
    <n v="-487.476"/>
    <n v="-487.476"/>
    <n v="-1"/>
    <s v="CATIVO"/>
    <n v="0"/>
    <n v="0"/>
    <n v="67"/>
    <n v="111"/>
    <n v="0"/>
    <n v="435.78399999999999"/>
    <n v="165.98519999999999"/>
    <m/>
    <n v="487.11728245906932"/>
    <n v="223.80801710664585"/>
    <n v="0"/>
    <n v="-18724.3431408"/>
    <n v="0"/>
    <n v="-10718.320247353502"/>
    <x v="2"/>
  </r>
  <r>
    <s v="Sistema Isolado - Regular"/>
    <x v="4"/>
    <x v="3"/>
    <x v="1"/>
    <x v="2"/>
    <x v="1"/>
    <x v="0"/>
    <x v="1"/>
    <x v="2"/>
    <n v="0"/>
    <n v="0"/>
    <n v="640.26900000000001"/>
    <n v="640.26900000000001"/>
    <n v="640.26900000000001"/>
    <n v="640.26900000000001"/>
    <n v="120"/>
    <s v="CATIVO"/>
    <n v="0"/>
    <n v="0"/>
    <n v="67"/>
    <n v="111"/>
    <n v="0"/>
    <n v="435.78399999999999"/>
    <n v="165.98519999999999"/>
    <m/>
    <n v="487.11728245906932"/>
    <n v="223.80801710664585"/>
    <n v="0"/>
    <n v="24593.2445052"/>
    <n v="0"/>
    <n v="14077.838060648686"/>
    <x v="2"/>
  </r>
  <r>
    <s v="Sistema Isolado - Refaturamento"/>
    <x v="4"/>
    <x v="3"/>
    <x v="1"/>
    <x v="2"/>
    <x v="1"/>
    <x v="0"/>
    <x v="1"/>
    <x v="2"/>
    <n v="0"/>
    <n v="0"/>
    <n v="-3.7069999999999999"/>
    <n v="-3.7069999999999999"/>
    <n v="-3.7069999999999999"/>
    <n v="-3.7069999999999999"/>
    <n v="-1"/>
    <s v="CATIVO"/>
    <n v="0"/>
    <n v="0"/>
    <n v="67"/>
    <n v="111"/>
    <n v="0"/>
    <n v="435.78399999999999"/>
    <n v="165.98519999999999"/>
    <m/>
    <n v="487.11728245906932"/>
    <n v="223.80801710664585"/>
    <n v="0"/>
    <n v="-142.38883559999999"/>
    <n v="0"/>
    <n v="-81.50721913886926"/>
    <x v="2"/>
  </r>
  <r>
    <s v="Regular"/>
    <x v="4"/>
    <x v="3"/>
    <x v="1"/>
    <x v="2"/>
    <x v="1"/>
    <x v="0"/>
    <x v="1"/>
    <x v="3"/>
    <n v="0"/>
    <n v="0"/>
    <n v="184.00700000000001"/>
    <n v="184.00700000000001"/>
    <n v="184.00700000000001"/>
    <n v="184.00700000000001"/>
    <n v="55"/>
    <s v="CATIVO"/>
    <n v="0"/>
    <n v="0"/>
    <n v="67"/>
    <n v="111"/>
    <n v="0"/>
    <n v="435.78399999999999"/>
    <n v="165.98519999999999"/>
    <m/>
    <n v="487.11728245906932"/>
    <n v="223.80801710664585"/>
    <n v="0"/>
    <n v="7067.8560755999997"/>
    <n v="0"/>
    <n v="4045.8319050676873"/>
    <x v="2"/>
  </r>
  <r>
    <s v="Sistema Isolado - Regular"/>
    <x v="4"/>
    <x v="3"/>
    <x v="1"/>
    <x v="2"/>
    <x v="1"/>
    <x v="0"/>
    <x v="1"/>
    <x v="3"/>
    <n v="0"/>
    <n v="0"/>
    <n v="626.57399999999996"/>
    <n v="626.57399999999996"/>
    <n v="626.57399999999996"/>
    <n v="626.57399999999996"/>
    <n v="119"/>
    <s v="CATIVO"/>
    <n v="0"/>
    <n v="0"/>
    <n v="67"/>
    <n v="111"/>
    <n v="0"/>
    <n v="435.78399999999999"/>
    <n v="165.98519999999999"/>
    <m/>
    <n v="487.11728245906932"/>
    <n v="223.80801710664585"/>
    <n v="0"/>
    <n v="24067.208599199999"/>
    <n v="0"/>
    <n v="13776.720886085208"/>
    <x v="2"/>
  </r>
  <r>
    <s v="Sistema Isolado - Refaturamento"/>
    <x v="4"/>
    <x v="3"/>
    <x v="1"/>
    <x v="2"/>
    <x v="1"/>
    <x v="0"/>
    <x v="1"/>
    <x v="3"/>
    <n v="0"/>
    <n v="0"/>
    <n v="-0.17100000000000001"/>
    <n v="-0.17100000000000001"/>
    <n v="-0.17100000000000001"/>
    <n v="-0.17100000000000001"/>
    <n v="0"/>
    <s v="CATIVO"/>
    <n v="0"/>
    <n v="0"/>
    <n v="67"/>
    <n v="111"/>
    <n v="0"/>
    <n v="435.78399999999999"/>
    <n v="165.98519999999999"/>
    <m/>
    <n v="487.11728245906932"/>
    <n v="223.80801710664585"/>
    <n v="0"/>
    <n v="-6.5682467999999998"/>
    <n v="0"/>
    <n v="-3.7598420482186796"/>
    <x v="2"/>
  </r>
  <r>
    <s v="Regular"/>
    <x v="4"/>
    <x v="3"/>
    <x v="1"/>
    <x v="2"/>
    <x v="1"/>
    <x v="0"/>
    <x v="1"/>
    <x v="4"/>
    <n v="0"/>
    <n v="0"/>
    <n v="143.55099999999999"/>
    <n v="143.55099999999999"/>
    <n v="143.55099999999999"/>
    <n v="143.55099999999999"/>
    <n v="55"/>
    <s v="CATIVO"/>
    <n v="0"/>
    <n v="0"/>
    <n v="67"/>
    <n v="111"/>
    <n v="0"/>
    <n v="435.78399999999999"/>
    <n v="165.98519999999999"/>
    <m/>
    <n v="487.11728245906932"/>
    <n v="223.80801710664585"/>
    <n v="0"/>
    <n v="5513.9087507999993"/>
    <n v="0"/>
    <n v="3156.3104436481844"/>
    <x v="2"/>
  </r>
  <r>
    <s v="Refaturamento - Regular"/>
    <x v="4"/>
    <x v="3"/>
    <x v="1"/>
    <x v="2"/>
    <x v="1"/>
    <x v="0"/>
    <x v="1"/>
    <x v="4"/>
    <n v="0"/>
    <n v="0"/>
    <n v="-0.1"/>
    <n v="-0.1"/>
    <n v="-0.1"/>
    <n v="-0.1"/>
    <n v="-1"/>
    <s v="CATIVO"/>
    <n v="0"/>
    <n v="0"/>
    <n v="67"/>
    <n v="111"/>
    <n v="0"/>
    <n v="435.78399999999999"/>
    <n v="165.98519999999999"/>
    <m/>
    <n v="487.11728245906932"/>
    <n v="223.80801710664585"/>
    <n v="0"/>
    <n v="-3.8410799999999998"/>
    <n v="0"/>
    <n v="-2.1987380398939647"/>
    <x v="2"/>
  </r>
  <r>
    <s v="Sistema Isolado - Regular"/>
    <x v="4"/>
    <x v="3"/>
    <x v="1"/>
    <x v="2"/>
    <x v="1"/>
    <x v="0"/>
    <x v="1"/>
    <x v="4"/>
    <n v="0"/>
    <n v="0"/>
    <n v="529.55600000000004"/>
    <n v="529.55600000000004"/>
    <n v="529.55600000000004"/>
    <n v="529.55600000000004"/>
    <n v="120"/>
    <s v="CATIVO"/>
    <n v="0"/>
    <n v="0"/>
    <n v="67"/>
    <n v="111"/>
    <n v="0"/>
    <n v="435.78399999999999"/>
    <n v="165.98519999999999"/>
    <m/>
    <n v="487.11728245906932"/>
    <n v="223.80801710664585"/>
    <n v="0"/>
    <n v="20340.669604800001"/>
    <n v="0"/>
    <n v="11643.549214540883"/>
    <x v="2"/>
  </r>
  <r>
    <s v="Sistema Isolado - Refaturamento"/>
    <x v="4"/>
    <x v="3"/>
    <x v="1"/>
    <x v="2"/>
    <x v="1"/>
    <x v="0"/>
    <x v="1"/>
    <x v="4"/>
    <n v="0"/>
    <n v="0"/>
    <n v="-0.17499999999999999"/>
    <n v="-0.17499999999999999"/>
    <n v="-0.17499999999999999"/>
    <n v="-0.17499999999999999"/>
    <n v="0"/>
    <s v="CATIVO"/>
    <n v="0"/>
    <n v="0"/>
    <n v="67"/>
    <n v="111"/>
    <n v="0"/>
    <n v="435.78399999999999"/>
    <n v="165.98519999999999"/>
    <m/>
    <n v="487.11728245906932"/>
    <n v="223.80801710664585"/>
    <n v="0"/>
    <n v="-6.7218899999999993"/>
    <n v="0"/>
    <n v="-3.8477915698144374"/>
    <x v="2"/>
  </r>
  <r>
    <s v="PROJETADO"/>
    <x v="4"/>
    <x v="3"/>
    <x v="1"/>
    <x v="2"/>
    <x v="1"/>
    <x v="0"/>
    <x v="1"/>
    <x v="5"/>
    <n v="0"/>
    <n v="0"/>
    <n v="143.55099999999999"/>
    <n v="143.55099999999999"/>
    <n v="143.55099999999999"/>
    <n v="143.55099999999999"/>
    <n v="55"/>
    <s v="CATIVO"/>
    <n v="0"/>
    <n v="0"/>
    <n v="67"/>
    <n v="111"/>
    <n v="0"/>
    <n v="435.78399999999999"/>
    <n v="165.98519999999999"/>
    <m/>
    <n v="487.11728245906932"/>
    <n v="223.80801710664585"/>
    <n v="0"/>
    <n v="5513.9087507999993"/>
    <n v="0"/>
    <n v="3156.3104436481844"/>
    <x v="2"/>
  </r>
  <r>
    <s v="PROJETADO"/>
    <x v="4"/>
    <x v="3"/>
    <x v="1"/>
    <x v="2"/>
    <x v="1"/>
    <x v="0"/>
    <x v="1"/>
    <x v="5"/>
    <n v="0"/>
    <n v="0"/>
    <n v="-0.1"/>
    <n v="-0.1"/>
    <n v="-0.1"/>
    <n v="-0.1"/>
    <n v="-1"/>
    <s v="CATIVO"/>
    <n v="0"/>
    <n v="0"/>
    <n v="67"/>
    <n v="111"/>
    <n v="0"/>
    <n v="435.78399999999999"/>
    <n v="165.98519999999999"/>
    <m/>
    <n v="487.11728245906932"/>
    <n v="223.80801710664585"/>
    <n v="0"/>
    <n v="-3.8410799999999998"/>
    <n v="0"/>
    <n v="-2.1987380398939647"/>
    <x v="2"/>
  </r>
  <r>
    <s v="PROJETADO"/>
    <x v="4"/>
    <x v="3"/>
    <x v="1"/>
    <x v="2"/>
    <x v="1"/>
    <x v="0"/>
    <x v="1"/>
    <x v="5"/>
    <n v="0"/>
    <n v="0"/>
    <n v="529.55600000000004"/>
    <n v="529.55600000000004"/>
    <n v="529.55600000000004"/>
    <n v="529.55600000000004"/>
    <n v="120"/>
    <s v="CATIVO"/>
    <n v="0"/>
    <n v="0"/>
    <n v="67"/>
    <n v="111"/>
    <n v="0"/>
    <n v="435.78399999999999"/>
    <n v="165.98519999999999"/>
    <m/>
    <n v="487.11728245906932"/>
    <n v="223.80801710664585"/>
    <n v="0"/>
    <n v="20340.669604800001"/>
    <n v="0"/>
    <n v="11643.549214540883"/>
    <x v="2"/>
  </r>
  <r>
    <s v="PROJETADO"/>
    <x v="4"/>
    <x v="3"/>
    <x v="1"/>
    <x v="2"/>
    <x v="1"/>
    <x v="0"/>
    <x v="1"/>
    <x v="5"/>
    <n v="0"/>
    <n v="0"/>
    <n v="-0.17499999999999999"/>
    <n v="-0.17499999999999999"/>
    <n v="-0.17499999999999999"/>
    <n v="-0.17499999999999999"/>
    <n v="0"/>
    <s v="CATIVO"/>
    <n v="0"/>
    <n v="0"/>
    <n v="67"/>
    <n v="111"/>
    <n v="0"/>
    <n v="435.78399999999999"/>
    <n v="165.98519999999999"/>
    <m/>
    <n v="487.11728245906932"/>
    <n v="223.80801710664585"/>
    <n v="0"/>
    <n v="-6.7218899999999993"/>
    <n v="0"/>
    <n v="-3.8477915698144374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01">
  <r>
    <s v="Regular"/>
    <x v="0"/>
    <x v="0"/>
    <x v="0"/>
    <x v="0"/>
    <x v="0"/>
    <x v="0"/>
    <x v="0"/>
    <x v="0"/>
    <n v="207"/>
    <n v="207"/>
    <n v="0"/>
    <n v="0"/>
    <n v="0"/>
    <n v="0"/>
    <n v="0"/>
    <x v="0"/>
    <n v="0"/>
    <n v="4"/>
    <n v="0"/>
    <n v="0"/>
    <n v="19.8"/>
    <n v="0"/>
    <n v="0"/>
    <n v="20.612826474871284"/>
    <n v="113.43802162385306"/>
    <n v="218.7322873480222"/>
    <n v="4098.6000000000004"/>
    <n v="0"/>
    <n v="0"/>
    <n v="4266.8550802983555"/>
    <n v="0"/>
    <n v="0"/>
  </r>
  <r>
    <s v="Regular"/>
    <x v="0"/>
    <x v="0"/>
    <x v="0"/>
    <x v="0"/>
    <x v="0"/>
    <x v="0"/>
    <x v="0"/>
    <x v="1"/>
    <n v="207"/>
    <n v="207"/>
    <n v="0"/>
    <n v="0"/>
    <n v="0"/>
    <n v="0"/>
    <n v="0"/>
    <x v="0"/>
    <n v="0"/>
    <n v="4"/>
    <n v="0"/>
    <n v="0"/>
    <n v="19.8"/>
    <n v="0"/>
    <n v="0"/>
    <n v="20.612826474871284"/>
    <n v="113.43802162385306"/>
    <n v="218.7322873480222"/>
    <n v="4098.6000000000004"/>
    <n v="0"/>
    <n v="0"/>
    <n v="4266.8550802983555"/>
    <n v="0"/>
    <n v="0"/>
  </r>
  <r>
    <s v="Regular"/>
    <x v="0"/>
    <x v="0"/>
    <x v="0"/>
    <x v="0"/>
    <x v="0"/>
    <x v="0"/>
    <x v="0"/>
    <x v="2"/>
    <n v="207"/>
    <n v="207"/>
    <n v="0"/>
    <n v="0"/>
    <n v="0"/>
    <n v="0"/>
    <n v="0"/>
    <x v="0"/>
    <n v="0"/>
    <n v="4"/>
    <n v="0"/>
    <n v="0"/>
    <n v="19.8"/>
    <n v="0"/>
    <n v="0"/>
    <n v="20.612826474871284"/>
    <n v="113.43802162385306"/>
    <n v="218.7322873480222"/>
    <n v="4098.6000000000004"/>
    <n v="0"/>
    <n v="0"/>
    <n v="4266.8550802983555"/>
    <n v="0"/>
    <n v="0"/>
  </r>
  <r>
    <s v="Regular"/>
    <x v="0"/>
    <x v="0"/>
    <x v="0"/>
    <x v="0"/>
    <x v="0"/>
    <x v="0"/>
    <x v="0"/>
    <x v="3"/>
    <n v="207"/>
    <n v="207"/>
    <n v="0"/>
    <n v="0"/>
    <n v="0"/>
    <n v="0"/>
    <n v="0"/>
    <x v="0"/>
    <n v="0"/>
    <n v="4"/>
    <n v="0"/>
    <n v="0"/>
    <n v="19.8"/>
    <n v="0"/>
    <n v="0"/>
    <n v="20.612826474871284"/>
    <n v="113.43802162385306"/>
    <n v="218.7322873480222"/>
    <n v="4098.6000000000004"/>
    <n v="0"/>
    <n v="0"/>
    <n v="4266.8550802983555"/>
    <n v="0"/>
    <n v="0"/>
  </r>
  <r>
    <s v="Regular"/>
    <x v="0"/>
    <x v="0"/>
    <x v="0"/>
    <x v="0"/>
    <x v="0"/>
    <x v="0"/>
    <x v="0"/>
    <x v="4"/>
    <n v="207"/>
    <n v="207"/>
    <n v="0"/>
    <n v="0"/>
    <n v="0"/>
    <n v="0"/>
    <n v="0"/>
    <x v="0"/>
    <n v="0"/>
    <n v="4"/>
    <n v="0"/>
    <n v="0"/>
    <n v="19.8"/>
    <n v="0"/>
    <n v="0"/>
    <n v="20.612826474871284"/>
    <n v="113.43802162385306"/>
    <n v="218.7322873480222"/>
    <n v="4098.6000000000004"/>
    <n v="0"/>
    <n v="0"/>
    <n v="4266.8550802983555"/>
    <n v="0"/>
    <n v="0"/>
  </r>
  <r>
    <s v="Regular"/>
    <x v="0"/>
    <x v="0"/>
    <x v="0"/>
    <x v="0"/>
    <x v="0"/>
    <x v="0"/>
    <x v="1"/>
    <x v="0"/>
    <n v="30"/>
    <n v="30"/>
    <n v="0"/>
    <n v="0"/>
    <n v="0"/>
    <n v="0"/>
    <n v="0"/>
    <x v="0"/>
    <n v="0"/>
    <n v="1"/>
    <n v="0"/>
    <n v="0"/>
    <n v="56.22"/>
    <n v="0"/>
    <n v="0"/>
    <n v="56.30075009771577"/>
    <n v="113.43802162385306"/>
    <n v="362.70381368696184"/>
    <n v="1686.6"/>
    <n v="0"/>
    <n v="0"/>
    <n v="1689.0225029314731"/>
    <n v="0"/>
    <n v="0"/>
  </r>
  <r>
    <s v="Regular"/>
    <x v="0"/>
    <x v="0"/>
    <x v="0"/>
    <x v="0"/>
    <x v="0"/>
    <x v="0"/>
    <x v="1"/>
    <x v="1"/>
    <n v="30"/>
    <n v="30"/>
    <n v="0"/>
    <n v="0"/>
    <n v="0"/>
    <n v="0"/>
    <n v="0"/>
    <x v="0"/>
    <n v="0"/>
    <n v="1"/>
    <n v="0"/>
    <n v="0"/>
    <n v="56.22"/>
    <n v="0"/>
    <n v="0"/>
    <n v="56.30075009771577"/>
    <n v="113.43802162385306"/>
    <n v="362.70381368696184"/>
    <n v="1686.6"/>
    <n v="0"/>
    <n v="0"/>
    <n v="1689.0225029314731"/>
    <n v="0"/>
    <n v="0"/>
  </r>
  <r>
    <s v="Regular"/>
    <x v="0"/>
    <x v="0"/>
    <x v="0"/>
    <x v="0"/>
    <x v="0"/>
    <x v="0"/>
    <x v="1"/>
    <x v="2"/>
    <n v="30"/>
    <n v="30"/>
    <n v="0"/>
    <n v="0"/>
    <n v="0"/>
    <n v="0"/>
    <n v="0"/>
    <x v="0"/>
    <n v="0"/>
    <n v="1"/>
    <n v="0"/>
    <n v="0"/>
    <n v="56.22"/>
    <n v="0"/>
    <n v="0"/>
    <n v="56.30075009771577"/>
    <n v="113.43802162385306"/>
    <n v="362.70381368696184"/>
    <n v="1686.6"/>
    <n v="0"/>
    <n v="0"/>
    <n v="1689.0225029314731"/>
    <n v="0"/>
    <n v="0"/>
  </r>
  <r>
    <s v="Regular"/>
    <x v="0"/>
    <x v="0"/>
    <x v="0"/>
    <x v="0"/>
    <x v="0"/>
    <x v="0"/>
    <x v="1"/>
    <x v="3"/>
    <n v="30"/>
    <n v="30"/>
    <n v="0"/>
    <n v="0"/>
    <n v="0"/>
    <n v="0"/>
    <n v="0"/>
    <x v="0"/>
    <n v="0"/>
    <n v="1"/>
    <n v="0"/>
    <n v="0"/>
    <n v="56.22"/>
    <n v="0"/>
    <n v="0"/>
    <n v="56.30075009771577"/>
    <n v="113.43802162385306"/>
    <n v="362.70381368696184"/>
    <n v="1686.6"/>
    <n v="0"/>
    <n v="0"/>
    <n v="1689.0225029314731"/>
    <n v="0"/>
    <n v="0"/>
  </r>
  <r>
    <s v="Regular"/>
    <x v="0"/>
    <x v="0"/>
    <x v="0"/>
    <x v="0"/>
    <x v="0"/>
    <x v="0"/>
    <x v="1"/>
    <x v="4"/>
    <n v="30"/>
    <n v="30"/>
    <n v="0"/>
    <n v="0"/>
    <n v="0"/>
    <n v="0"/>
    <n v="0"/>
    <x v="0"/>
    <n v="0"/>
    <n v="1"/>
    <n v="0"/>
    <n v="0"/>
    <n v="56.22"/>
    <n v="0"/>
    <n v="0"/>
    <n v="56.30075009771577"/>
    <n v="113.43802162385306"/>
    <n v="362.70381368696184"/>
    <n v="1686.6"/>
    <n v="0"/>
    <n v="0"/>
    <n v="1689.0225029314731"/>
    <n v="0"/>
    <n v="0"/>
  </r>
  <r>
    <s v="Regular"/>
    <x v="0"/>
    <x v="1"/>
    <x v="0"/>
    <x v="0"/>
    <x v="0"/>
    <x v="0"/>
    <x v="0"/>
    <x v="0"/>
    <n v="0"/>
    <n v="0"/>
    <n v="14.657999999999999"/>
    <n v="14.657999999999999"/>
    <n v="14.657999999999999"/>
    <n v="14.657999999999999"/>
    <n v="0"/>
    <x v="0"/>
    <n v="0"/>
    <n v="0"/>
    <n v="14"/>
    <n v="72"/>
    <n v="0"/>
    <n v="84.31"/>
    <n v="168.06"/>
    <m/>
    <n v="113.43802162385306"/>
    <n v="218.7322873480222"/>
    <n v="0"/>
    <n v="1235.8159800000001"/>
    <n v="2463.4234799999999"/>
    <n v="0"/>
    <n v="1662.7745209624381"/>
    <n v="3206.1778679473091"/>
  </r>
  <r>
    <s v="Regular"/>
    <x v="0"/>
    <x v="1"/>
    <x v="0"/>
    <x v="0"/>
    <x v="0"/>
    <x v="0"/>
    <x v="0"/>
    <x v="1"/>
    <n v="0"/>
    <n v="0"/>
    <n v="10.865"/>
    <n v="10.865"/>
    <n v="10.865"/>
    <n v="10.865"/>
    <n v="0"/>
    <x v="0"/>
    <n v="0"/>
    <n v="0"/>
    <n v="14"/>
    <n v="72"/>
    <n v="0"/>
    <n v="84.31"/>
    <n v="168.06"/>
    <m/>
    <n v="113.43802162385306"/>
    <n v="218.7322873480222"/>
    <n v="0"/>
    <n v="916.0281500000001"/>
    <n v="1825.9719"/>
    <n v="0"/>
    <n v="1232.5041049431636"/>
    <n v="2376.5263020362613"/>
  </r>
  <r>
    <s v="Regular"/>
    <x v="0"/>
    <x v="1"/>
    <x v="0"/>
    <x v="0"/>
    <x v="0"/>
    <x v="0"/>
    <x v="0"/>
    <x v="2"/>
    <n v="0"/>
    <n v="0"/>
    <n v="9.2089999999999996"/>
    <n v="9.2089999999999996"/>
    <n v="9.2089999999999996"/>
    <n v="9.2089999999999996"/>
    <n v="0"/>
    <x v="0"/>
    <n v="0"/>
    <n v="0"/>
    <n v="14"/>
    <n v="72"/>
    <n v="0"/>
    <n v="84.31"/>
    <n v="168.06"/>
    <m/>
    <n v="113.43802162385306"/>
    <n v="218.7322873480222"/>
    <n v="0"/>
    <n v="776.41079000000002"/>
    <n v="1547.66454"/>
    <n v="0"/>
    <n v="1044.6507411340629"/>
    <n v="2014.3056341879362"/>
  </r>
  <r>
    <s v="Regular"/>
    <x v="0"/>
    <x v="1"/>
    <x v="0"/>
    <x v="0"/>
    <x v="0"/>
    <x v="0"/>
    <x v="0"/>
    <x v="3"/>
    <n v="0"/>
    <n v="0"/>
    <n v="7.3259999999999996"/>
    <n v="7.3259999999999996"/>
    <n v="7.3259999999999996"/>
    <n v="7.3259999999999996"/>
    <n v="0"/>
    <x v="0"/>
    <n v="0"/>
    <n v="0"/>
    <n v="14"/>
    <n v="72"/>
    <n v="0"/>
    <n v="84.31"/>
    <n v="168.06"/>
    <m/>
    <n v="113.43802162385306"/>
    <n v="218.7322873480222"/>
    <n v="0"/>
    <n v="617.65505999999993"/>
    <n v="1231.2075600000001"/>
    <n v="0"/>
    <n v="831.04694641634751"/>
    <n v="1602.4327371116105"/>
  </r>
  <r>
    <s v="Regular"/>
    <x v="0"/>
    <x v="1"/>
    <x v="0"/>
    <x v="0"/>
    <x v="0"/>
    <x v="0"/>
    <x v="0"/>
    <x v="4"/>
    <n v="0"/>
    <n v="0"/>
    <n v="9.3279999999999994"/>
    <n v="9.3279999999999994"/>
    <n v="9.3279999999999994"/>
    <n v="9.3279999999999994"/>
    <n v="0"/>
    <x v="0"/>
    <n v="0"/>
    <n v="0"/>
    <n v="14"/>
    <n v="72"/>
    <n v="0"/>
    <n v="84.31"/>
    <n v="168.06"/>
    <m/>
    <n v="113.43802162385306"/>
    <n v="218.7322873480222"/>
    <n v="0"/>
    <n v="786.44367999999997"/>
    <n v="1567.6636799999999"/>
    <n v="0"/>
    <n v="1058.1498657073014"/>
    <n v="2040.334776382351"/>
  </r>
  <r>
    <s v="Regular"/>
    <x v="0"/>
    <x v="1"/>
    <x v="0"/>
    <x v="0"/>
    <x v="0"/>
    <x v="0"/>
    <x v="0"/>
    <x v="5"/>
    <n v="0"/>
    <n v="0"/>
    <n v="11.054"/>
    <n v="11.054"/>
    <n v="11.054"/>
    <n v="11.054"/>
    <n v="0"/>
    <x v="0"/>
    <n v="0"/>
    <n v="0"/>
    <n v="14"/>
    <n v="72"/>
    <n v="0"/>
    <n v="84.31"/>
    <n v="168.06"/>
    <m/>
    <n v="113.43802162385306"/>
    <n v="218.7322873480222"/>
    <n v="0"/>
    <n v="931.96274000000005"/>
    <n v="1857.73524"/>
    <n v="0"/>
    <n v="1253.9438910300717"/>
    <n v="2417.8667043450373"/>
  </r>
  <r>
    <s v="Regular"/>
    <x v="0"/>
    <x v="1"/>
    <x v="0"/>
    <x v="0"/>
    <x v="0"/>
    <x v="0"/>
    <x v="0"/>
    <x v="6"/>
    <n v="0"/>
    <n v="0"/>
    <n v="8.875"/>
    <n v="8.875"/>
    <n v="8.875"/>
    <n v="8.875"/>
    <n v="0"/>
    <x v="0"/>
    <n v="0"/>
    <n v="0"/>
    <n v="14"/>
    <n v="72"/>
    <n v="0"/>
    <n v="84.31"/>
    <n v="168.06"/>
    <m/>
    <n v="113.43802162385306"/>
    <n v="218.7322873480222"/>
    <n v="0"/>
    <n v="748.25125000000003"/>
    <n v="1491.5325"/>
    <n v="0"/>
    <n v="1006.7624419116959"/>
    <n v="1941.249050213697"/>
  </r>
  <r>
    <s v="Regular"/>
    <x v="0"/>
    <x v="1"/>
    <x v="0"/>
    <x v="0"/>
    <x v="0"/>
    <x v="0"/>
    <x v="0"/>
    <x v="7"/>
    <n v="0"/>
    <n v="0"/>
    <n v="17.614999999999998"/>
    <n v="17.614999999999998"/>
    <n v="17.614999999999998"/>
    <n v="17.614999999999998"/>
    <n v="0"/>
    <x v="0"/>
    <n v="0"/>
    <n v="0"/>
    <n v="14"/>
    <n v="72"/>
    <n v="0"/>
    <n v="84.31"/>
    <n v="168.06"/>
    <m/>
    <n v="113.43802162385306"/>
    <n v="218.7322873480222"/>
    <n v="0"/>
    <n v="1485.1206499999998"/>
    <n v="2960.3768999999998"/>
    <n v="0"/>
    <n v="1998.2107509041714"/>
    <n v="3852.9692416354105"/>
  </r>
  <r>
    <s v="Refaturamento - Regular"/>
    <x v="0"/>
    <x v="1"/>
    <x v="0"/>
    <x v="0"/>
    <x v="0"/>
    <x v="0"/>
    <x v="0"/>
    <x v="7"/>
    <n v="0"/>
    <n v="0"/>
    <n v="-0.65600000000000003"/>
    <n v="-0.65600000000000003"/>
    <n v="-0.65600000000000003"/>
    <n v="-0.65600000000000003"/>
    <n v="0"/>
    <x v="0"/>
    <n v="0"/>
    <n v="0"/>
    <n v="14"/>
    <n v="72"/>
    <n v="0"/>
    <n v="84.31"/>
    <n v="168.06"/>
    <m/>
    <n v="113.43802162385306"/>
    <n v="218.7322873480222"/>
    <n v="0"/>
    <n v="-55.307360000000003"/>
    <n v="-110.24736"/>
    <n v="0"/>
    <n v="-74.41534218524761"/>
    <n v="-143.48838050030255"/>
  </r>
  <r>
    <s v="Regular"/>
    <x v="0"/>
    <x v="1"/>
    <x v="0"/>
    <x v="0"/>
    <x v="0"/>
    <x v="0"/>
    <x v="0"/>
    <x v="8"/>
    <n v="0"/>
    <n v="0"/>
    <n v="26.512"/>
    <n v="26.512"/>
    <n v="26.512"/>
    <n v="26.512"/>
    <n v="0"/>
    <x v="0"/>
    <n v="0"/>
    <n v="0"/>
    <n v="14"/>
    <n v="72"/>
    <n v="0"/>
    <n v="84.31"/>
    <n v="168.06"/>
    <m/>
    <n v="113.43802162385306"/>
    <n v="218.7322873480222"/>
    <n v="0"/>
    <n v="2235.2267200000001"/>
    <n v="4455.6067199999998"/>
    <n v="0"/>
    <n v="3007.4688292915926"/>
    <n v="5799.0304021707643"/>
  </r>
  <r>
    <s v="Regular"/>
    <x v="0"/>
    <x v="1"/>
    <x v="0"/>
    <x v="0"/>
    <x v="0"/>
    <x v="0"/>
    <x v="0"/>
    <x v="9"/>
    <n v="0"/>
    <n v="0"/>
    <n v="24.059000000000001"/>
    <n v="24.059000000000001"/>
    <n v="24.059000000000001"/>
    <n v="24.059000000000001"/>
    <n v="0"/>
    <x v="0"/>
    <n v="0"/>
    <n v="0"/>
    <n v="14"/>
    <n v="72"/>
    <n v="0"/>
    <n v="84.31"/>
    <n v="168.06"/>
    <m/>
    <n v="113.43802162385306"/>
    <n v="218.7322873480222"/>
    <n v="0"/>
    <n v="2028.4142900000002"/>
    <n v="4043.35554"/>
    <n v="0"/>
    <n v="2729.2053622482808"/>
    <n v="5262.480101306066"/>
  </r>
  <r>
    <s v="Regular"/>
    <x v="0"/>
    <x v="1"/>
    <x v="0"/>
    <x v="0"/>
    <x v="0"/>
    <x v="0"/>
    <x v="0"/>
    <x v="10"/>
    <n v="0"/>
    <n v="0"/>
    <n v="24.488"/>
    <n v="24.488"/>
    <n v="24.488"/>
    <n v="24.488"/>
    <n v="0"/>
    <x v="0"/>
    <n v="0"/>
    <n v="0"/>
    <n v="14"/>
    <n v="72"/>
    <n v="0"/>
    <n v="84.31"/>
    <n v="168.06"/>
    <m/>
    <n v="113.43802162385306"/>
    <n v="218.7322873480222"/>
    <n v="0"/>
    <n v="2064.5832799999998"/>
    <n v="4115.4532799999997"/>
    <n v="0"/>
    <n v="2777.8702735249135"/>
    <n v="5356.3162525783673"/>
  </r>
  <r>
    <s v="PROJETADO"/>
    <x v="0"/>
    <x v="1"/>
    <x v="0"/>
    <x v="0"/>
    <x v="0"/>
    <x v="0"/>
    <x v="0"/>
    <x v="11"/>
    <n v="0"/>
    <n v="0"/>
    <n v="24.488"/>
    <n v="24.488"/>
    <n v="24.488"/>
    <n v="24.488"/>
    <n v="0"/>
    <x v="0"/>
    <n v="0"/>
    <n v="0"/>
    <n v="14"/>
    <n v="72"/>
    <n v="0"/>
    <n v="84.31"/>
    <n v="168.06"/>
    <m/>
    <n v="113.43802162385306"/>
    <n v="218.7322873480222"/>
    <n v="0"/>
    <n v="2064.5832799999998"/>
    <n v="4115.4532799999997"/>
    <n v="0"/>
    <n v="2777.8702735249135"/>
    <n v="5356.3162525783673"/>
  </r>
  <r>
    <s v="Regular"/>
    <x v="0"/>
    <x v="1"/>
    <x v="0"/>
    <x v="0"/>
    <x v="0"/>
    <x v="0"/>
    <x v="2"/>
    <x v="0"/>
    <n v="180"/>
    <n v="180"/>
    <n v="0"/>
    <n v="0"/>
    <n v="0"/>
    <n v="0"/>
    <n v="2"/>
    <x v="0"/>
    <n v="0"/>
    <n v="12"/>
    <n v="0"/>
    <n v="0"/>
    <n v="19.8"/>
    <n v="0"/>
    <n v="0"/>
    <n v="20.612826474871284"/>
    <m/>
    <m/>
    <n v="3564"/>
    <n v="0"/>
    <n v="0"/>
    <n v="3710.308765476831"/>
    <n v="0"/>
    <n v="0"/>
  </r>
  <r>
    <s v="Regular"/>
    <x v="0"/>
    <x v="1"/>
    <x v="0"/>
    <x v="0"/>
    <x v="0"/>
    <x v="0"/>
    <x v="2"/>
    <x v="1"/>
    <n v="180"/>
    <n v="180"/>
    <n v="0"/>
    <n v="0"/>
    <n v="0"/>
    <n v="0"/>
    <n v="2"/>
    <x v="0"/>
    <n v="0"/>
    <n v="12"/>
    <n v="0"/>
    <n v="0"/>
    <n v="19.8"/>
    <n v="0"/>
    <n v="0"/>
    <n v="20.612826474871284"/>
    <m/>
    <m/>
    <n v="3564"/>
    <n v="0"/>
    <n v="0"/>
    <n v="3710.308765476831"/>
    <n v="0"/>
    <n v="0"/>
  </r>
  <r>
    <s v="Regular"/>
    <x v="0"/>
    <x v="1"/>
    <x v="0"/>
    <x v="0"/>
    <x v="0"/>
    <x v="0"/>
    <x v="2"/>
    <x v="2"/>
    <n v="190"/>
    <n v="190"/>
    <n v="0"/>
    <n v="0"/>
    <n v="0"/>
    <n v="0"/>
    <n v="2"/>
    <x v="0"/>
    <n v="0"/>
    <n v="12"/>
    <n v="0"/>
    <n v="0"/>
    <n v="19.8"/>
    <n v="0"/>
    <n v="0"/>
    <n v="20.612826474871284"/>
    <m/>
    <m/>
    <n v="3762"/>
    <n v="0"/>
    <n v="0"/>
    <n v="3916.4370302255438"/>
    <n v="0"/>
    <n v="0"/>
  </r>
  <r>
    <s v="Regular"/>
    <x v="0"/>
    <x v="1"/>
    <x v="0"/>
    <x v="0"/>
    <x v="0"/>
    <x v="0"/>
    <x v="2"/>
    <x v="3"/>
    <n v="190"/>
    <n v="190"/>
    <n v="0"/>
    <n v="0"/>
    <n v="0"/>
    <n v="0"/>
    <n v="2"/>
    <x v="0"/>
    <n v="0"/>
    <n v="12"/>
    <n v="0"/>
    <n v="0"/>
    <n v="19.8"/>
    <n v="0"/>
    <n v="0"/>
    <n v="20.612826474871284"/>
    <m/>
    <m/>
    <n v="3762"/>
    <n v="0"/>
    <n v="0"/>
    <n v="3916.4370302255438"/>
    <n v="0"/>
    <n v="0"/>
  </r>
  <r>
    <s v="Regular"/>
    <x v="0"/>
    <x v="1"/>
    <x v="0"/>
    <x v="0"/>
    <x v="0"/>
    <x v="0"/>
    <x v="2"/>
    <x v="4"/>
    <n v="200"/>
    <n v="200"/>
    <n v="0"/>
    <n v="0"/>
    <n v="0"/>
    <n v="0"/>
    <n v="2"/>
    <x v="0"/>
    <n v="0"/>
    <n v="12"/>
    <n v="0"/>
    <n v="0"/>
    <n v="19.8"/>
    <n v="0"/>
    <n v="0"/>
    <n v="20.612826474871284"/>
    <m/>
    <m/>
    <n v="3960"/>
    <n v="0"/>
    <n v="0"/>
    <n v="4122.5652949742571"/>
    <n v="0"/>
    <n v="0"/>
  </r>
  <r>
    <s v="Regular"/>
    <x v="0"/>
    <x v="1"/>
    <x v="0"/>
    <x v="0"/>
    <x v="0"/>
    <x v="0"/>
    <x v="2"/>
    <x v="5"/>
    <n v="417"/>
    <n v="417"/>
    <n v="0"/>
    <n v="0"/>
    <n v="0"/>
    <n v="0"/>
    <n v="3"/>
    <x v="0"/>
    <n v="0"/>
    <n v="12"/>
    <n v="0"/>
    <n v="0"/>
    <n v="19.8"/>
    <n v="0"/>
    <n v="0"/>
    <n v="20.612826474871284"/>
    <m/>
    <m/>
    <n v="8256.6"/>
    <n v="0"/>
    <n v="0"/>
    <n v="8595.5486400213249"/>
    <n v="0"/>
    <n v="0"/>
  </r>
  <r>
    <s v="Regular"/>
    <x v="0"/>
    <x v="1"/>
    <x v="0"/>
    <x v="0"/>
    <x v="0"/>
    <x v="0"/>
    <x v="2"/>
    <x v="6"/>
    <n v="357"/>
    <n v="357"/>
    <n v="0"/>
    <n v="0"/>
    <n v="0"/>
    <n v="0"/>
    <n v="2"/>
    <x v="0"/>
    <n v="0"/>
    <n v="12"/>
    <n v="0"/>
    <n v="0"/>
    <n v="19.8"/>
    <n v="0"/>
    <n v="0"/>
    <n v="20.612826474871284"/>
    <m/>
    <m/>
    <n v="7068.6"/>
    <n v="0"/>
    <n v="0"/>
    <n v="7358.779051529048"/>
    <n v="0"/>
    <n v="0"/>
  </r>
  <r>
    <s v="Regular"/>
    <x v="0"/>
    <x v="1"/>
    <x v="0"/>
    <x v="0"/>
    <x v="0"/>
    <x v="0"/>
    <x v="2"/>
    <x v="7"/>
    <n v="357"/>
    <n v="357"/>
    <n v="0"/>
    <n v="0"/>
    <n v="0"/>
    <n v="0"/>
    <n v="2"/>
    <x v="0"/>
    <n v="0"/>
    <n v="12"/>
    <n v="0"/>
    <n v="0"/>
    <n v="19.8"/>
    <n v="0"/>
    <n v="0"/>
    <n v="20.612826474871284"/>
    <m/>
    <m/>
    <n v="7068.6"/>
    <n v="0"/>
    <n v="0"/>
    <n v="7358.779051529048"/>
    <n v="0"/>
    <n v="0"/>
  </r>
  <r>
    <s v="Regular"/>
    <x v="0"/>
    <x v="1"/>
    <x v="0"/>
    <x v="0"/>
    <x v="0"/>
    <x v="0"/>
    <x v="2"/>
    <x v="8"/>
    <n v="357"/>
    <n v="357"/>
    <n v="0"/>
    <n v="0"/>
    <n v="0"/>
    <n v="0"/>
    <n v="2"/>
    <x v="0"/>
    <n v="0"/>
    <n v="12"/>
    <n v="0"/>
    <n v="0"/>
    <n v="19.8"/>
    <n v="0"/>
    <n v="0"/>
    <n v="20.612826474871284"/>
    <m/>
    <m/>
    <n v="7068.6"/>
    <n v="0"/>
    <n v="0"/>
    <n v="7358.779051529048"/>
    <n v="0"/>
    <n v="0"/>
  </r>
  <r>
    <s v="Regular"/>
    <x v="0"/>
    <x v="1"/>
    <x v="0"/>
    <x v="0"/>
    <x v="0"/>
    <x v="0"/>
    <x v="2"/>
    <x v="9"/>
    <n v="357"/>
    <n v="357"/>
    <n v="0"/>
    <n v="0"/>
    <n v="0"/>
    <n v="0"/>
    <n v="2"/>
    <x v="0"/>
    <n v="0"/>
    <n v="12"/>
    <n v="0"/>
    <n v="0"/>
    <n v="19.8"/>
    <n v="0"/>
    <n v="0"/>
    <n v="20.612826474871284"/>
    <m/>
    <m/>
    <n v="7068.6"/>
    <n v="0"/>
    <n v="0"/>
    <n v="7358.779051529048"/>
    <n v="0"/>
    <n v="0"/>
  </r>
  <r>
    <s v="Regular"/>
    <x v="0"/>
    <x v="1"/>
    <x v="0"/>
    <x v="0"/>
    <x v="0"/>
    <x v="0"/>
    <x v="2"/>
    <x v="10"/>
    <n v="278"/>
    <n v="278"/>
    <n v="0"/>
    <n v="0"/>
    <n v="0"/>
    <n v="0"/>
    <n v="2"/>
    <x v="0"/>
    <n v="0"/>
    <n v="12"/>
    <n v="0"/>
    <n v="0"/>
    <n v="19.8"/>
    <n v="0"/>
    <n v="0"/>
    <n v="20.612826474871284"/>
    <m/>
    <m/>
    <n v="5504.4000000000005"/>
    <n v="0"/>
    <n v="0"/>
    <n v="5730.3657600142169"/>
    <n v="0"/>
    <n v="0"/>
  </r>
  <r>
    <s v="PROJETADO"/>
    <x v="0"/>
    <x v="1"/>
    <x v="0"/>
    <x v="0"/>
    <x v="0"/>
    <x v="0"/>
    <x v="2"/>
    <x v="11"/>
    <n v="278"/>
    <n v="278"/>
    <n v="0"/>
    <n v="0"/>
    <n v="0"/>
    <n v="0"/>
    <n v="2"/>
    <x v="0"/>
    <n v="0"/>
    <n v="12"/>
    <n v="0"/>
    <n v="0"/>
    <n v="19.8"/>
    <n v="0"/>
    <n v="0"/>
    <n v="20.612826474871284"/>
    <m/>
    <m/>
    <n v="5504.4000000000005"/>
    <n v="0"/>
    <n v="0"/>
    <n v="5730.3657600142169"/>
    <n v="0"/>
    <n v="0"/>
  </r>
  <r>
    <s v="Regular"/>
    <x v="0"/>
    <x v="1"/>
    <x v="0"/>
    <x v="0"/>
    <x v="0"/>
    <x v="0"/>
    <x v="1"/>
    <x v="0"/>
    <n v="0"/>
    <n v="0"/>
    <n v="1.23"/>
    <n v="1.23"/>
    <n v="1.23"/>
    <n v="1.23"/>
    <n v="0"/>
    <x v="0"/>
    <n v="0"/>
    <n v="0"/>
    <n v="13"/>
    <n v="71"/>
    <n v="0"/>
    <n v="1448.96"/>
    <n v="270.3"/>
    <m/>
    <n v="1479.9458225851192"/>
    <n v="362.70381368696184"/>
    <n v="0"/>
    <n v="1782.2208000000001"/>
    <n v="332.46899999999999"/>
    <n v="0"/>
    <n v="1820.3333617796966"/>
    <n v="446.12569083496305"/>
  </r>
  <r>
    <s v="Regular"/>
    <x v="0"/>
    <x v="1"/>
    <x v="0"/>
    <x v="0"/>
    <x v="0"/>
    <x v="0"/>
    <x v="1"/>
    <x v="1"/>
    <n v="0"/>
    <n v="0"/>
    <n v="1.23"/>
    <n v="1.23"/>
    <n v="1.23"/>
    <n v="1.23"/>
    <n v="0"/>
    <x v="0"/>
    <n v="0"/>
    <n v="0"/>
    <n v="13"/>
    <n v="71"/>
    <n v="0"/>
    <n v="1448.96"/>
    <n v="270.3"/>
    <m/>
    <n v="1479.9458225851192"/>
    <n v="362.70381368696184"/>
    <n v="0"/>
    <n v="1782.2208000000001"/>
    <n v="332.46899999999999"/>
    <n v="0"/>
    <n v="1820.3333617796966"/>
    <n v="446.12569083496305"/>
  </r>
  <r>
    <s v="Regular"/>
    <x v="0"/>
    <x v="1"/>
    <x v="0"/>
    <x v="0"/>
    <x v="0"/>
    <x v="0"/>
    <x v="1"/>
    <x v="2"/>
    <n v="0"/>
    <n v="0"/>
    <n v="0.78600000000000003"/>
    <n v="0.78600000000000003"/>
    <n v="0.78600000000000003"/>
    <n v="0.78600000000000003"/>
    <n v="0"/>
    <x v="0"/>
    <n v="0"/>
    <n v="0"/>
    <n v="13"/>
    <n v="71"/>
    <n v="0"/>
    <n v="1448.96"/>
    <n v="270.3"/>
    <m/>
    <n v="1479.9458225851192"/>
    <n v="362.70381368696184"/>
    <n v="0"/>
    <n v="1138.88256"/>
    <n v="212.45580000000001"/>
    <n v="0"/>
    <n v="1163.2374165519038"/>
    <n v="285.08519755795203"/>
  </r>
  <r>
    <s v="Regular"/>
    <x v="0"/>
    <x v="1"/>
    <x v="0"/>
    <x v="0"/>
    <x v="0"/>
    <x v="0"/>
    <x v="1"/>
    <x v="3"/>
    <n v="0"/>
    <n v="0"/>
    <n v="0.73799999999999999"/>
    <n v="0.73799999999999999"/>
    <n v="0.73799999999999999"/>
    <n v="0.73799999999999999"/>
    <n v="0"/>
    <x v="0"/>
    <n v="0"/>
    <n v="0"/>
    <n v="13"/>
    <n v="71"/>
    <n v="0"/>
    <n v="1448.96"/>
    <n v="270.3"/>
    <m/>
    <n v="1479.9458225851192"/>
    <n v="362.70381368696184"/>
    <n v="0"/>
    <n v="1069.33248"/>
    <n v="199.48140000000001"/>
    <n v="0"/>
    <n v="1092.200017067818"/>
    <n v="267.67541450097781"/>
  </r>
  <r>
    <s v="Regular"/>
    <x v="0"/>
    <x v="1"/>
    <x v="0"/>
    <x v="0"/>
    <x v="0"/>
    <x v="0"/>
    <x v="1"/>
    <x v="4"/>
    <n v="0"/>
    <n v="0"/>
    <n v="0.90100000000000002"/>
    <n v="0.90100000000000002"/>
    <n v="0.90100000000000002"/>
    <n v="0.90100000000000002"/>
    <n v="0"/>
    <x v="0"/>
    <n v="0"/>
    <n v="0"/>
    <n v="13"/>
    <n v="71"/>
    <n v="0"/>
    <n v="1448.96"/>
    <n v="270.3"/>
    <m/>
    <n v="1479.9458225851192"/>
    <n v="362.70381368696184"/>
    <n v="0"/>
    <n v="1305.51296"/>
    <n v="243.54030000000003"/>
    <n v="0"/>
    <n v="1333.4311861491924"/>
    <n v="326.79613613195261"/>
  </r>
  <r>
    <s v="Regular"/>
    <x v="0"/>
    <x v="1"/>
    <x v="0"/>
    <x v="0"/>
    <x v="0"/>
    <x v="0"/>
    <x v="1"/>
    <x v="5"/>
    <n v="0"/>
    <n v="0"/>
    <n v="0.94799999999999995"/>
    <n v="0.94799999999999995"/>
    <n v="0.94799999999999995"/>
    <n v="0.94799999999999995"/>
    <n v="0"/>
    <x v="0"/>
    <n v="0"/>
    <n v="0"/>
    <n v="13"/>
    <n v="71"/>
    <n v="0"/>
    <n v="1448.96"/>
    <n v="270.3"/>
    <m/>
    <n v="1479.9458225851192"/>
    <n v="362.70381368696184"/>
    <n v="0"/>
    <n v="1373.6140800000001"/>
    <n v="256.24439999999998"/>
    <n v="0"/>
    <n v="1402.988639810693"/>
    <n v="343.84321537523982"/>
  </r>
  <r>
    <s v="Regular"/>
    <x v="0"/>
    <x v="1"/>
    <x v="0"/>
    <x v="0"/>
    <x v="0"/>
    <x v="0"/>
    <x v="1"/>
    <x v="6"/>
    <n v="0"/>
    <n v="0"/>
    <n v="1.119"/>
    <n v="1.119"/>
    <n v="1.119"/>
    <n v="1.119"/>
    <n v="0"/>
    <x v="0"/>
    <n v="0"/>
    <n v="0"/>
    <n v="13"/>
    <n v="71"/>
    <n v="0"/>
    <n v="1448.96"/>
    <n v="270.3"/>
    <m/>
    <n v="1479.9458225851192"/>
    <n v="362.70381368696184"/>
    <n v="0"/>
    <n v="1621.38624"/>
    <n v="302.46570000000003"/>
    <n v="0"/>
    <n v="1656.0593754727483"/>
    <n v="405.86556751571027"/>
  </r>
  <r>
    <s v="Regular"/>
    <x v="0"/>
    <x v="1"/>
    <x v="0"/>
    <x v="0"/>
    <x v="0"/>
    <x v="0"/>
    <x v="1"/>
    <x v="7"/>
    <n v="0"/>
    <n v="0"/>
    <n v="1.821"/>
    <n v="1.821"/>
    <n v="1.821"/>
    <n v="1.821"/>
    <n v="0"/>
    <x v="0"/>
    <n v="0"/>
    <n v="0"/>
    <n v="13"/>
    <n v="71"/>
    <n v="0"/>
    <n v="1448.96"/>
    <n v="270.3"/>
    <m/>
    <n v="1479.9458225851192"/>
    <n v="362.70381368696184"/>
    <n v="0"/>
    <n v="2638.5561600000001"/>
    <n v="492.21629999999999"/>
    <n v="0"/>
    <n v="2694.9813429275018"/>
    <n v="660.48364472395747"/>
  </r>
  <r>
    <s v="Refaturamento - Regular"/>
    <x v="0"/>
    <x v="1"/>
    <x v="0"/>
    <x v="0"/>
    <x v="0"/>
    <x v="0"/>
    <x v="1"/>
    <x v="7"/>
    <n v="0"/>
    <n v="0"/>
    <n v="-0.36899999999999999"/>
    <n v="-0.36899999999999999"/>
    <n v="-0.36899999999999999"/>
    <n v="-0.36899999999999999"/>
    <n v="0"/>
    <x v="0"/>
    <n v="0"/>
    <n v="0"/>
    <n v="13"/>
    <n v="71"/>
    <n v="0"/>
    <n v="1448.96"/>
    <n v="270.3"/>
    <m/>
    <n v="1479.9458225851192"/>
    <n v="362.70381368696184"/>
    <n v="0"/>
    <n v="-534.66624000000002"/>
    <n v="-99.740700000000004"/>
    <n v="0"/>
    <n v="-546.10000853390898"/>
    <n v="-133.8377072504889"/>
  </r>
  <r>
    <s v="Regular"/>
    <x v="0"/>
    <x v="1"/>
    <x v="0"/>
    <x v="0"/>
    <x v="0"/>
    <x v="0"/>
    <x v="1"/>
    <x v="8"/>
    <n v="0"/>
    <n v="0"/>
    <n v="2.5630000000000002"/>
    <n v="2.5630000000000002"/>
    <n v="2.5630000000000002"/>
    <n v="2.5630000000000002"/>
    <n v="0"/>
    <x v="0"/>
    <n v="0"/>
    <n v="0"/>
    <n v="13"/>
    <n v="71"/>
    <n v="0"/>
    <n v="1448.96"/>
    <n v="270.3"/>
    <m/>
    <n v="1479.9458225851192"/>
    <n v="362.70381368696184"/>
    <n v="0"/>
    <n v="3713.6844800000003"/>
    <n v="692.77890000000002"/>
    <n v="0"/>
    <n v="3793.1011432856608"/>
    <n v="929.6098744796833"/>
  </r>
  <r>
    <s v="Regular"/>
    <x v="0"/>
    <x v="1"/>
    <x v="0"/>
    <x v="0"/>
    <x v="0"/>
    <x v="0"/>
    <x v="1"/>
    <x v="9"/>
    <n v="0"/>
    <n v="0"/>
    <n v="3.8279999999999998"/>
    <n v="3.8279999999999998"/>
    <n v="3.8279999999999998"/>
    <n v="3.8279999999999998"/>
    <n v="0"/>
    <x v="0"/>
    <n v="0"/>
    <n v="0"/>
    <n v="13"/>
    <n v="71"/>
    <n v="0"/>
    <n v="1448.96"/>
    <n v="270.3"/>
    <m/>
    <n v="1479.9458225851192"/>
    <n v="362.70381368696184"/>
    <n v="0"/>
    <n v="5546.61888"/>
    <n v="1034.7084"/>
    <n v="0"/>
    <n v="5665.2326088558366"/>
    <n v="1388.4301987936899"/>
  </r>
  <r>
    <s v="Regular"/>
    <x v="0"/>
    <x v="1"/>
    <x v="0"/>
    <x v="0"/>
    <x v="0"/>
    <x v="0"/>
    <x v="1"/>
    <x v="10"/>
    <n v="0"/>
    <n v="0"/>
    <n v="3.883"/>
    <n v="3.883"/>
    <n v="3.883"/>
    <n v="3.883"/>
    <n v="0"/>
    <x v="0"/>
    <n v="0"/>
    <n v="0"/>
    <n v="13"/>
    <n v="71"/>
    <n v="0"/>
    <n v="1448.96"/>
    <n v="270.3"/>
    <m/>
    <n v="1479.9458225851192"/>
    <n v="362.70381368696184"/>
    <n v="0"/>
    <n v="5626.3116799999998"/>
    <n v="1049.5749000000001"/>
    <n v="0"/>
    <n v="5746.6296290980181"/>
    <n v="1408.3789085464728"/>
  </r>
  <r>
    <s v="PROJETADO"/>
    <x v="0"/>
    <x v="1"/>
    <x v="0"/>
    <x v="0"/>
    <x v="0"/>
    <x v="0"/>
    <x v="1"/>
    <x v="11"/>
    <n v="0"/>
    <n v="0"/>
    <n v="3.883"/>
    <n v="3.883"/>
    <n v="3.883"/>
    <n v="3.883"/>
    <n v="0"/>
    <x v="0"/>
    <n v="0"/>
    <n v="0"/>
    <n v="13"/>
    <n v="71"/>
    <n v="0"/>
    <n v="1448.96"/>
    <n v="270.3"/>
    <m/>
    <n v="1479.9458225851192"/>
    <n v="362.70381368696184"/>
    <n v="0"/>
    <n v="5626.3116799999998"/>
    <n v="1049.5749000000001"/>
    <n v="0"/>
    <n v="5746.6296290980181"/>
    <n v="1408.3789085464728"/>
  </r>
  <r>
    <s v="Regular"/>
    <x v="0"/>
    <x v="1"/>
    <x v="1"/>
    <x v="0"/>
    <x v="0"/>
    <x v="0"/>
    <x v="0"/>
    <x v="0"/>
    <n v="0"/>
    <n v="0"/>
    <n v="100.328"/>
    <n v="100.328"/>
    <n v="100.328"/>
    <n v="100.328"/>
    <n v="0"/>
    <x v="0"/>
    <n v="0"/>
    <n v="0"/>
    <n v="14"/>
    <n v="72"/>
    <n v="0"/>
    <n v="84.31"/>
    <n v="168.06"/>
    <m/>
    <n v="113.43802162385306"/>
    <n v="218.7322873480222"/>
    <n v="0"/>
    <n v="8458.6536800000013"/>
    <n v="16861.123680000001"/>
    <n v="0"/>
    <n v="11381.00983347793"/>
    <n v="21944.972925052371"/>
  </r>
  <r>
    <s v="Refaturamento - Regular"/>
    <x v="0"/>
    <x v="1"/>
    <x v="1"/>
    <x v="0"/>
    <x v="0"/>
    <x v="0"/>
    <x v="0"/>
    <x v="0"/>
    <n v="0"/>
    <n v="0"/>
    <n v="-3.5"/>
    <n v="-3.5"/>
    <n v="-3.5"/>
    <n v="-3.5"/>
    <n v="0"/>
    <x v="0"/>
    <n v="0"/>
    <n v="0"/>
    <n v="14"/>
    <n v="72"/>
    <n v="0"/>
    <n v="84.31"/>
    <n v="168.06"/>
    <m/>
    <n v="113.43802162385306"/>
    <n v="218.7322873480222"/>
    <n v="0"/>
    <n v="-295.08500000000004"/>
    <n v="-588.21"/>
    <n v="0"/>
    <n v="-397.03307568348572"/>
    <n v="-765.56300571807765"/>
  </r>
  <r>
    <s v="Regular"/>
    <x v="0"/>
    <x v="1"/>
    <x v="1"/>
    <x v="0"/>
    <x v="0"/>
    <x v="0"/>
    <x v="0"/>
    <x v="1"/>
    <n v="0"/>
    <n v="0"/>
    <n v="97.162999999999997"/>
    <n v="97.162999999999997"/>
    <n v="97.162999999999997"/>
    <n v="97.162999999999997"/>
    <n v="0"/>
    <x v="0"/>
    <n v="0"/>
    <n v="0"/>
    <n v="14"/>
    <n v="72"/>
    <n v="0"/>
    <n v="84.31"/>
    <n v="168.06"/>
    <m/>
    <n v="113.43802162385306"/>
    <n v="218.7322873480222"/>
    <n v="0"/>
    <n v="8191.8125300000002"/>
    <n v="16329.21378"/>
    <n v="0"/>
    <n v="11021.978495038435"/>
    <n v="21252.68523559588"/>
  </r>
  <r>
    <s v="Regular"/>
    <x v="0"/>
    <x v="1"/>
    <x v="1"/>
    <x v="0"/>
    <x v="0"/>
    <x v="0"/>
    <x v="0"/>
    <x v="2"/>
    <n v="0"/>
    <n v="0"/>
    <n v="81.328999999999994"/>
    <n v="81.328999999999994"/>
    <n v="81.328999999999994"/>
    <n v="81.328999999999994"/>
    <n v="0"/>
    <x v="0"/>
    <n v="0"/>
    <n v="0"/>
    <n v="14"/>
    <n v="72"/>
    <n v="0"/>
    <n v="84.31"/>
    <n v="168.06"/>
    <m/>
    <n v="113.43802162385306"/>
    <n v="218.7322873480222"/>
    <n v="0"/>
    <n v="6856.8479899999993"/>
    <n v="13668.151739999999"/>
    <n v="0"/>
    <n v="9225.8008606463445"/>
    <n v="17789.278197727297"/>
  </r>
  <r>
    <s v="Regular"/>
    <x v="0"/>
    <x v="1"/>
    <x v="1"/>
    <x v="0"/>
    <x v="0"/>
    <x v="0"/>
    <x v="0"/>
    <x v="3"/>
    <n v="0"/>
    <n v="0"/>
    <n v="97.367999999999995"/>
    <n v="97.367999999999995"/>
    <n v="97.367999999999995"/>
    <n v="97.367999999999995"/>
    <n v="0"/>
    <x v="0"/>
    <n v="0"/>
    <n v="0"/>
    <n v="14"/>
    <n v="72"/>
    <n v="0"/>
    <n v="84.31"/>
    <n v="168.06"/>
    <m/>
    <n v="113.43802162385306"/>
    <n v="218.7322873480222"/>
    <n v="0"/>
    <n v="8209.0960799999993"/>
    <n v="16363.666079999999"/>
    <n v="0"/>
    <n v="11045.233289471324"/>
    <n v="21297.525354502224"/>
  </r>
  <r>
    <s v="Regular"/>
    <x v="0"/>
    <x v="1"/>
    <x v="1"/>
    <x v="0"/>
    <x v="0"/>
    <x v="0"/>
    <x v="0"/>
    <x v="4"/>
    <n v="0"/>
    <n v="0"/>
    <n v="169.136"/>
    <n v="169.136"/>
    <n v="169.136"/>
    <n v="169.136"/>
    <n v="0"/>
    <x v="0"/>
    <n v="0"/>
    <n v="0"/>
    <n v="14"/>
    <n v="72"/>
    <n v="0"/>
    <n v="84.31"/>
    <n v="168.06"/>
    <m/>
    <n v="113.43802162385306"/>
    <n v="218.7322873480222"/>
    <n v="0"/>
    <n v="14259.856159999999"/>
    <n v="28424.996159999999"/>
    <n v="0"/>
    <n v="19186.45322537201"/>
    <n v="36995.504152895082"/>
  </r>
  <r>
    <s v="Regular"/>
    <x v="0"/>
    <x v="1"/>
    <x v="1"/>
    <x v="0"/>
    <x v="0"/>
    <x v="0"/>
    <x v="0"/>
    <x v="5"/>
    <n v="0"/>
    <n v="0"/>
    <n v="90.632999999999996"/>
    <n v="90.632999999999996"/>
    <n v="90.632999999999996"/>
    <n v="90.632999999999996"/>
    <n v="0"/>
    <x v="0"/>
    <n v="0"/>
    <n v="0"/>
    <n v="14"/>
    <n v="72"/>
    <n v="0"/>
    <n v="84.31"/>
    <n v="168.06"/>
    <m/>
    <n v="113.43802162385306"/>
    <n v="218.7322873480222"/>
    <n v="0"/>
    <n v="7641.2682299999997"/>
    <n v="15231.78198"/>
    <n v="0"/>
    <n v="10281.228213834675"/>
    <n v="19824.363399213296"/>
  </r>
  <r>
    <s v="Regular"/>
    <x v="0"/>
    <x v="1"/>
    <x v="1"/>
    <x v="0"/>
    <x v="0"/>
    <x v="0"/>
    <x v="0"/>
    <x v="6"/>
    <n v="0"/>
    <n v="0"/>
    <n v="92.483000000000004"/>
    <n v="92.483000000000004"/>
    <n v="92.483000000000004"/>
    <n v="92.483000000000004"/>
    <n v="0"/>
    <x v="0"/>
    <n v="0"/>
    <n v="0"/>
    <n v="14"/>
    <n v="72"/>
    <n v="0"/>
    <n v="84.31"/>
    <n v="168.06"/>
    <m/>
    <n v="113.43802162385306"/>
    <n v="218.7322873480222"/>
    <n v="0"/>
    <n v="7797.2417300000006"/>
    <n v="15542.692980000002"/>
    <n v="0"/>
    <n v="10491.088553838803"/>
    <n v="20229.018130807137"/>
  </r>
  <r>
    <s v="Refaturamento - Regular"/>
    <x v="0"/>
    <x v="1"/>
    <x v="1"/>
    <x v="0"/>
    <x v="0"/>
    <x v="0"/>
    <x v="0"/>
    <x v="6"/>
    <n v="0"/>
    <n v="0"/>
    <n v="18.795000000000002"/>
    <n v="18.795000000000002"/>
    <n v="18.795000000000002"/>
    <n v="18.795000000000002"/>
    <n v="0"/>
    <x v="0"/>
    <n v="0"/>
    <n v="0"/>
    <n v="14"/>
    <n v="72"/>
    <n v="0"/>
    <n v="84.31"/>
    <n v="168.06"/>
    <m/>
    <n v="113.43802162385306"/>
    <n v="218.7322873480222"/>
    <n v="0"/>
    <n v="1584.6064500000002"/>
    <n v="3158.6877000000004"/>
    <n v="0"/>
    <n v="2132.0676164203182"/>
    <n v="4111.0733407060779"/>
  </r>
  <r>
    <s v="Regular"/>
    <x v="0"/>
    <x v="1"/>
    <x v="1"/>
    <x v="0"/>
    <x v="0"/>
    <x v="0"/>
    <x v="0"/>
    <x v="7"/>
    <n v="0"/>
    <n v="0"/>
    <n v="98.061000000000007"/>
    <n v="98.061000000000007"/>
    <n v="98.061000000000007"/>
    <n v="98.061000000000007"/>
    <n v="0"/>
    <x v="0"/>
    <n v="0"/>
    <n v="0"/>
    <n v="14"/>
    <n v="72"/>
    <n v="0"/>
    <n v="84.31"/>
    <n v="168.06"/>
    <m/>
    <n v="113.43802162385306"/>
    <n v="218.7322873480222"/>
    <n v="0"/>
    <n v="8267.5229100000015"/>
    <n v="16480.131660000003"/>
    <n v="0"/>
    <n v="11123.845838456657"/>
    <n v="21449.106829634406"/>
  </r>
  <r>
    <s v="Refaturamento - Regular"/>
    <x v="0"/>
    <x v="1"/>
    <x v="1"/>
    <x v="0"/>
    <x v="0"/>
    <x v="0"/>
    <x v="0"/>
    <x v="7"/>
    <n v="0"/>
    <n v="0"/>
    <n v="11.252000000000001"/>
    <n v="11.252000000000001"/>
    <n v="11.252000000000001"/>
    <n v="11.252000000000001"/>
    <n v="0"/>
    <x v="0"/>
    <n v="0"/>
    <n v="0"/>
    <n v="14"/>
    <n v="72"/>
    <n v="0"/>
    <n v="84.31"/>
    <n v="168.06"/>
    <m/>
    <n v="113.43802162385306"/>
    <n v="218.7322873480222"/>
    <n v="0"/>
    <n v="948.6561200000001"/>
    <n v="1891.0111200000001"/>
    <n v="0"/>
    <n v="1276.4046193115946"/>
    <n v="2461.1756972399457"/>
  </r>
  <r>
    <s v="Regular"/>
    <x v="0"/>
    <x v="1"/>
    <x v="1"/>
    <x v="0"/>
    <x v="0"/>
    <x v="0"/>
    <x v="0"/>
    <x v="8"/>
    <n v="0"/>
    <n v="0"/>
    <n v="120.149"/>
    <n v="120.149"/>
    <n v="120.149"/>
    <n v="120.149"/>
    <n v="0"/>
    <x v="0"/>
    <n v="0"/>
    <n v="0"/>
    <n v="14"/>
    <n v="72"/>
    <n v="0"/>
    <n v="84.31"/>
    <n v="168.06"/>
    <m/>
    <n v="113.43802162385306"/>
    <n v="218.7322873480222"/>
    <n v="0"/>
    <n v="10129.762189999999"/>
    <n v="20192.24094"/>
    <n v="0"/>
    <n v="13629.464860084321"/>
    <n v="26280.465592577519"/>
  </r>
  <r>
    <s v="Refaturamento - Regular"/>
    <x v="0"/>
    <x v="1"/>
    <x v="1"/>
    <x v="0"/>
    <x v="0"/>
    <x v="0"/>
    <x v="0"/>
    <x v="8"/>
    <n v="0"/>
    <n v="0"/>
    <n v="-35.484000000000002"/>
    <n v="-35.484000000000002"/>
    <n v="-35.484000000000002"/>
    <n v="-35.484000000000002"/>
    <n v="0"/>
    <x v="0"/>
    <n v="0"/>
    <n v="0"/>
    <n v="14"/>
    <n v="72"/>
    <n v="0"/>
    <n v="84.31"/>
    <n v="168.06"/>
    <m/>
    <n v="113.43802162385306"/>
    <n v="218.7322873480222"/>
    <n v="0"/>
    <n v="-2991.6560400000003"/>
    <n v="-5963.4410400000006"/>
    <n v="0"/>
    <n v="-4025.2347593008021"/>
    <n v="-7761.4964842572199"/>
  </r>
  <r>
    <s v="Regular"/>
    <x v="0"/>
    <x v="1"/>
    <x v="1"/>
    <x v="0"/>
    <x v="0"/>
    <x v="0"/>
    <x v="0"/>
    <x v="9"/>
    <n v="0"/>
    <n v="0"/>
    <n v="266.03699999999998"/>
    <n v="266.03699999999998"/>
    <n v="266.03699999999998"/>
    <n v="266.03699999999998"/>
    <n v="0"/>
    <x v="0"/>
    <n v="0"/>
    <n v="0"/>
    <n v="14"/>
    <n v="72"/>
    <n v="0"/>
    <n v="84.31"/>
    <n v="168.06"/>
    <m/>
    <n v="113.43802162385306"/>
    <n v="218.7322873480222"/>
    <n v="0"/>
    <n v="22429.579469999997"/>
    <n v="44710.178219999994"/>
    <n v="0"/>
    <n v="30178.710958744996"/>
    <n v="58190.881529205777"/>
  </r>
  <r>
    <s v="Refaturamento - Regular"/>
    <x v="0"/>
    <x v="1"/>
    <x v="1"/>
    <x v="0"/>
    <x v="0"/>
    <x v="0"/>
    <x v="0"/>
    <x v="9"/>
    <n v="0"/>
    <n v="0"/>
    <n v="10.262"/>
    <n v="10.262"/>
    <n v="10.262"/>
    <n v="10.262"/>
    <n v="0"/>
    <x v="0"/>
    <n v="0"/>
    <n v="0"/>
    <n v="14"/>
    <n v="72"/>
    <n v="0"/>
    <n v="84.31"/>
    <n v="168.06"/>
    <m/>
    <n v="113.43802162385306"/>
    <n v="218.7322873480222"/>
    <n v="0"/>
    <n v="865.18922000000009"/>
    <n v="1724.6317200000001"/>
    <n v="0"/>
    <n v="1164.1009779039803"/>
    <n v="2244.630732765404"/>
  </r>
  <r>
    <s v="Regular"/>
    <x v="0"/>
    <x v="1"/>
    <x v="1"/>
    <x v="0"/>
    <x v="0"/>
    <x v="0"/>
    <x v="0"/>
    <x v="10"/>
    <n v="0"/>
    <n v="0"/>
    <n v="143.50800000000001"/>
    <n v="143.50800000000001"/>
    <n v="143.50800000000001"/>
    <n v="143.50800000000001"/>
    <n v="0"/>
    <x v="0"/>
    <n v="0"/>
    <n v="0"/>
    <n v="14"/>
    <n v="72"/>
    <n v="0"/>
    <n v="84.31"/>
    <n v="168.06"/>
    <m/>
    <n v="113.43802162385306"/>
    <n v="218.7322873480222"/>
    <n v="0"/>
    <n v="12099.15948"/>
    <n v="24117.95448"/>
    <n v="0"/>
    <n v="16279.263607195906"/>
    <n v="31389.833092739973"/>
  </r>
  <r>
    <s v="Sistema de Compensação"/>
    <x v="0"/>
    <x v="1"/>
    <x v="1"/>
    <x v="0"/>
    <x v="0"/>
    <x v="0"/>
    <x v="0"/>
    <x v="10"/>
    <n v="0"/>
    <n v="0"/>
    <n v="8.3000000000000004E-2"/>
    <n v="8.3000000000000004E-2"/>
    <n v="8.3000000000000004E-2"/>
    <n v="8.3000000000000004E-2"/>
    <n v="0"/>
    <x v="0"/>
    <n v="0"/>
    <n v="0"/>
    <n v="14"/>
    <n v="72"/>
    <n v="0"/>
    <n v="84.31"/>
    <n v="168.06"/>
    <m/>
    <n v="113.43802162385306"/>
    <n v="218.7322873480222"/>
    <n v="0"/>
    <n v="6.9977300000000007"/>
    <n v="13.948980000000001"/>
    <n v="0"/>
    <n v="9.4153557947798046"/>
    <n v="18.154779849885845"/>
  </r>
  <r>
    <s v="PROJETADO"/>
    <x v="0"/>
    <x v="1"/>
    <x v="1"/>
    <x v="0"/>
    <x v="0"/>
    <x v="0"/>
    <x v="0"/>
    <x v="11"/>
    <n v="0"/>
    <n v="0"/>
    <n v="143.50800000000001"/>
    <n v="143.50800000000001"/>
    <n v="143.50800000000001"/>
    <n v="143.50800000000001"/>
    <n v="0"/>
    <x v="0"/>
    <n v="0"/>
    <n v="0"/>
    <n v="14"/>
    <n v="72"/>
    <n v="0"/>
    <n v="84.31"/>
    <n v="168.06"/>
    <m/>
    <n v="113.43802162385306"/>
    <n v="218.7322873480222"/>
    <n v="0"/>
    <n v="12099.15948"/>
    <n v="24117.95448"/>
    <n v="0"/>
    <n v="16279.263607195906"/>
    <n v="31389.833092739973"/>
  </r>
  <r>
    <s v="PROJETADO"/>
    <x v="0"/>
    <x v="1"/>
    <x v="1"/>
    <x v="0"/>
    <x v="0"/>
    <x v="0"/>
    <x v="0"/>
    <x v="11"/>
    <n v="0"/>
    <n v="0"/>
    <n v="8.3000000000000004E-2"/>
    <n v="8.3000000000000004E-2"/>
    <n v="8.3000000000000004E-2"/>
    <n v="8.3000000000000004E-2"/>
    <n v="0"/>
    <x v="0"/>
    <n v="0"/>
    <n v="0"/>
    <n v="14"/>
    <n v="72"/>
    <n v="0"/>
    <n v="84.31"/>
    <n v="168.06"/>
    <m/>
    <n v="113.43802162385306"/>
    <n v="218.7322873480222"/>
    <n v="0"/>
    <n v="6.9977300000000007"/>
    <n v="13.948980000000001"/>
    <n v="0"/>
    <n v="9.4153557947798046"/>
    <n v="18.154779849885845"/>
  </r>
  <r>
    <s v="Regular"/>
    <x v="0"/>
    <x v="1"/>
    <x v="1"/>
    <x v="0"/>
    <x v="0"/>
    <x v="0"/>
    <x v="2"/>
    <x v="0"/>
    <n v="412"/>
    <n v="412"/>
    <n v="0"/>
    <n v="0"/>
    <n v="0"/>
    <n v="0"/>
    <n v="3"/>
    <x v="0"/>
    <n v="0"/>
    <n v="12"/>
    <n v="0"/>
    <n v="0"/>
    <n v="19.8"/>
    <n v="0"/>
    <n v="0"/>
    <n v="20.612826474871284"/>
    <m/>
    <m/>
    <n v="8157.6"/>
    <n v="0"/>
    <n v="0"/>
    <n v="8492.4845076469683"/>
    <n v="0"/>
    <n v="0"/>
  </r>
  <r>
    <s v="Regular"/>
    <x v="0"/>
    <x v="1"/>
    <x v="1"/>
    <x v="0"/>
    <x v="0"/>
    <x v="0"/>
    <x v="2"/>
    <x v="1"/>
    <n v="401"/>
    <n v="401"/>
    <n v="0"/>
    <n v="0"/>
    <n v="0"/>
    <n v="0"/>
    <n v="3"/>
    <x v="0"/>
    <n v="0"/>
    <n v="12"/>
    <n v="0"/>
    <n v="0"/>
    <n v="19.8"/>
    <n v="0"/>
    <n v="0"/>
    <n v="20.612826474871284"/>
    <m/>
    <m/>
    <n v="7939.8"/>
    <n v="0"/>
    <n v="0"/>
    <n v="8265.7434164233855"/>
    <n v="0"/>
    <n v="0"/>
  </r>
  <r>
    <s v="Regular"/>
    <x v="0"/>
    <x v="1"/>
    <x v="1"/>
    <x v="0"/>
    <x v="0"/>
    <x v="0"/>
    <x v="2"/>
    <x v="2"/>
    <n v="398"/>
    <n v="398"/>
    <n v="0"/>
    <n v="0"/>
    <n v="0"/>
    <n v="0"/>
    <n v="3"/>
    <x v="0"/>
    <n v="0"/>
    <n v="12"/>
    <n v="0"/>
    <n v="0"/>
    <n v="19.8"/>
    <n v="0"/>
    <n v="0"/>
    <n v="20.612826474871284"/>
    <m/>
    <m/>
    <n v="7880.4000000000005"/>
    <n v="0"/>
    <n v="0"/>
    <n v="8203.9049369987715"/>
    <n v="0"/>
    <n v="0"/>
  </r>
  <r>
    <s v="Regular"/>
    <x v="0"/>
    <x v="1"/>
    <x v="1"/>
    <x v="0"/>
    <x v="0"/>
    <x v="0"/>
    <x v="2"/>
    <x v="3"/>
    <n v="466"/>
    <n v="466"/>
    <n v="0"/>
    <n v="0"/>
    <n v="0"/>
    <n v="0"/>
    <n v="3"/>
    <x v="0"/>
    <n v="0"/>
    <n v="12"/>
    <n v="0"/>
    <n v="0"/>
    <n v="19.8"/>
    <n v="0"/>
    <n v="0"/>
    <n v="20.612826474871284"/>
    <m/>
    <m/>
    <n v="9226.8000000000011"/>
    <n v="0"/>
    <n v="0"/>
    <n v="9605.5771372900181"/>
    <n v="0"/>
    <n v="0"/>
  </r>
  <r>
    <s v="Regular"/>
    <x v="0"/>
    <x v="1"/>
    <x v="1"/>
    <x v="0"/>
    <x v="0"/>
    <x v="0"/>
    <x v="2"/>
    <x v="4"/>
    <n v="404"/>
    <n v="404"/>
    <n v="0"/>
    <n v="0"/>
    <n v="0"/>
    <n v="0"/>
    <n v="4"/>
    <x v="0"/>
    <n v="0"/>
    <n v="12"/>
    <n v="0"/>
    <n v="0"/>
    <n v="19.8"/>
    <n v="0"/>
    <n v="0"/>
    <n v="20.612826474871284"/>
    <m/>
    <m/>
    <n v="7999.2000000000007"/>
    <n v="0"/>
    <n v="0"/>
    <n v="8327.5818958479995"/>
    <n v="0"/>
    <n v="0"/>
  </r>
  <r>
    <s v="Regular"/>
    <x v="0"/>
    <x v="1"/>
    <x v="1"/>
    <x v="0"/>
    <x v="0"/>
    <x v="0"/>
    <x v="2"/>
    <x v="5"/>
    <n v="398"/>
    <n v="398"/>
    <n v="0"/>
    <n v="0"/>
    <n v="0"/>
    <n v="0"/>
    <n v="3"/>
    <x v="0"/>
    <n v="0"/>
    <n v="12"/>
    <n v="0"/>
    <n v="0"/>
    <n v="19.8"/>
    <n v="0"/>
    <n v="0"/>
    <n v="20.612826474871284"/>
    <m/>
    <m/>
    <n v="7880.4000000000005"/>
    <n v="0"/>
    <n v="0"/>
    <n v="8203.9049369987715"/>
    <n v="0"/>
    <n v="0"/>
  </r>
  <r>
    <s v="Regular"/>
    <x v="0"/>
    <x v="1"/>
    <x v="1"/>
    <x v="0"/>
    <x v="0"/>
    <x v="0"/>
    <x v="2"/>
    <x v="6"/>
    <n v="406"/>
    <n v="406"/>
    <n v="0"/>
    <n v="0"/>
    <n v="0"/>
    <n v="0"/>
    <n v="3"/>
    <x v="0"/>
    <n v="0"/>
    <n v="12"/>
    <n v="0"/>
    <n v="0"/>
    <n v="19.8"/>
    <n v="0"/>
    <n v="0"/>
    <n v="20.612826474871284"/>
    <m/>
    <m/>
    <n v="8038.8"/>
    <n v="0"/>
    <n v="0"/>
    <n v="8368.8075487977403"/>
    <n v="0"/>
    <n v="0"/>
  </r>
  <r>
    <s v="Refaturamento - Regular"/>
    <x v="0"/>
    <x v="1"/>
    <x v="1"/>
    <x v="0"/>
    <x v="0"/>
    <x v="0"/>
    <x v="2"/>
    <x v="6"/>
    <n v="46"/>
    <n v="46"/>
    <n v="0"/>
    <n v="0"/>
    <n v="0"/>
    <n v="0"/>
    <n v="0"/>
    <x v="0"/>
    <n v="0"/>
    <n v="12"/>
    <n v="0"/>
    <n v="0"/>
    <n v="19.8"/>
    <n v="0"/>
    <n v="0"/>
    <n v="20.612826474871284"/>
    <m/>
    <m/>
    <n v="910.80000000000007"/>
    <n v="0"/>
    <n v="0"/>
    <n v="948.19001784407908"/>
    <n v="0"/>
    <n v="0"/>
  </r>
  <r>
    <s v="Regular"/>
    <x v="0"/>
    <x v="1"/>
    <x v="1"/>
    <x v="0"/>
    <x v="0"/>
    <x v="0"/>
    <x v="2"/>
    <x v="7"/>
    <n v="413"/>
    <n v="413"/>
    <n v="0"/>
    <n v="0"/>
    <n v="0"/>
    <n v="0"/>
    <n v="3"/>
    <x v="0"/>
    <n v="0"/>
    <n v="12"/>
    <n v="0"/>
    <n v="0"/>
    <n v="19.8"/>
    <n v="0"/>
    <n v="0"/>
    <n v="20.612826474871284"/>
    <m/>
    <m/>
    <n v="8177.4000000000005"/>
    <n v="0"/>
    <n v="0"/>
    <n v="8513.0973341218396"/>
    <n v="0"/>
    <n v="0"/>
  </r>
  <r>
    <s v="Refaturamento - Regular"/>
    <x v="0"/>
    <x v="1"/>
    <x v="1"/>
    <x v="0"/>
    <x v="0"/>
    <x v="0"/>
    <x v="2"/>
    <x v="7"/>
    <n v="40"/>
    <n v="40"/>
    <n v="0"/>
    <n v="0"/>
    <n v="0"/>
    <n v="0"/>
    <n v="0"/>
    <x v="0"/>
    <n v="0"/>
    <n v="12"/>
    <n v="0"/>
    <n v="0"/>
    <n v="19.8"/>
    <n v="0"/>
    <n v="0"/>
    <n v="20.612826474871284"/>
    <m/>
    <m/>
    <n v="792"/>
    <n v="0"/>
    <n v="0"/>
    <n v="824.51305899485135"/>
    <n v="0"/>
    <n v="0"/>
  </r>
  <r>
    <s v="Regular"/>
    <x v="0"/>
    <x v="1"/>
    <x v="1"/>
    <x v="0"/>
    <x v="0"/>
    <x v="0"/>
    <x v="2"/>
    <x v="8"/>
    <n v="501"/>
    <n v="501"/>
    <n v="0"/>
    <n v="0"/>
    <n v="0"/>
    <n v="0"/>
    <n v="3"/>
    <x v="0"/>
    <n v="0"/>
    <n v="12"/>
    <n v="0"/>
    <n v="0"/>
    <n v="19.8"/>
    <n v="0"/>
    <n v="0"/>
    <n v="20.612826474871284"/>
    <m/>
    <m/>
    <n v="9919.8000000000011"/>
    <n v="0"/>
    <n v="0"/>
    <n v="10327.026063910513"/>
    <n v="0"/>
    <n v="0"/>
  </r>
  <r>
    <s v="Refaturamento - Regular"/>
    <x v="0"/>
    <x v="1"/>
    <x v="1"/>
    <x v="0"/>
    <x v="0"/>
    <x v="0"/>
    <x v="2"/>
    <x v="8"/>
    <n v="37"/>
    <n v="37"/>
    <n v="0"/>
    <n v="0"/>
    <n v="0"/>
    <n v="0"/>
    <n v="-1"/>
    <x v="0"/>
    <n v="0"/>
    <n v="12"/>
    <n v="0"/>
    <n v="0"/>
    <n v="19.8"/>
    <n v="0"/>
    <n v="0"/>
    <n v="20.612826474871284"/>
    <m/>
    <m/>
    <n v="732.6"/>
    <n v="0"/>
    <n v="0"/>
    <n v="762.67457957023748"/>
    <n v="0"/>
    <n v="0"/>
  </r>
  <r>
    <s v="Regular"/>
    <x v="0"/>
    <x v="1"/>
    <x v="1"/>
    <x v="0"/>
    <x v="0"/>
    <x v="0"/>
    <x v="2"/>
    <x v="9"/>
    <n v="550"/>
    <n v="550"/>
    <n v="0"/>
    <n v="0"/>
    <n v="0"/>
    <n v="0"/>
    <n v="5"/>
    <x v="0"/>
    <n v="0"/>
    <n v="12"/>
    <n v="0"/>
    <n v="0"/>
    <n v="19.8"/>
    <n v="0"/>
    <n v="0"/>
    <n v="20.612826474871284"/>
    <m/>
    <m/>
    <n v="10890"/>
    <n v="0"/>
    <n v="0"/>
    <n v="11337.054561179206"/>
    <n v="0"/>
    <n v="0"/>
  </r>
  <r>
    <s v="Refaturamento - Regular"/>
    <x v="0"/>
    <x v="1"/>
    <x v="1"/>
    <x v="0"/>
    <x v="0"/>
    <x v="0"/>
    <x v="2"/>
    <x v="9"/>
    <n v="29"/>
    <n v="29"/>
    <n v="0"/>
    <n v="0"/>
    <n v="0"/>
    <n v="0"/>
    <n v="0"/>
    <x v="0"/>
    <n v="0"/>
    <n v="12"/>
    <n v="0"/>
    <n v="0"/>
    <n v="19.8"/>
    <n v="0"/>
    <n v="0"/>
    <n v="20.612826474871284"/>
    <m/>
    <m/>
    <n v="574.20000000000005"/>
    <n v="0"/>
    <n v="0"/>
    <n v="597.77196777126721"/>
    <n v="0"/>
    <n v="0"/>
  </r>
  <r>
    <s v="Regular"/>
    <x v="0"/>
    <x v="1"/>
    <x v="1"/>
    <x v="0"/>
    <x v="0"/>
    <x v="0"/>
    <x v="2"/>
    <x v="10"/>
    <n v="544"/>
    <n v="544"/>
    <n v="0"/>
    <n v="0"/>
    <n v="0"/>
    <n v="0"/>
    <n v="4"/>
    <x v="0"/>
    <n v="0"/>
    <n v="12"/>
    <n v="0"/>
    <n v="0"/>
    <n v="19.8"/>
    <n v="0"/>
    <n v="0"/>
    <n v="20.612826474871284"/>
    <m/>
    <m/>
    <n v="10771.2"/>
    <n v="0"/>
    <n v="0"/>
    <n v="11213.377602329978"/>
    <n v="0"/>
    <n v="0"/>
  </r>
  <r>
    <s v="Sistema de Compensação"/>
    <x v="0"/>
    <x v="1"/>
    <x v="1"/>
    <x v="0"/>
    <x v="0"/>
    <x v="0"/>
    <x v="2"/>
    <x v="10"/>
    <n v="30"/>
    <n v="30"/>
    <n v="0"/>
    <n v="0"/>
    <n v="0"/>
    <n v="0"/>
    <n v="1"/>
    <x v="0"/>
    <n v="0"/>
    <n v="12"/>
    <n v="0"/>
    <n v="0"/>
    <n v="19.8"/>
    <n v="0"/>
    <n v="0"/>
    <n v="20.612826474871284"/>
    <m/>
    <m/>
    <n v="594"/>
    <n v="0"/>
    <n v="0"/>
    <n v="618.38479424613854"/>
    <n v="0"/>
    <n v="0"/>
  </r>
  <r>
    <s v="PROJETADO"/>
    <x v="0"/>
    <x v="1"/>
    <x v="1"/>
    <x v="0"/>
    <x v="0"/>
    <x v="0"/>
    <x v="2"/>
    <x v="11"/>
    <n v="544"/>
    <n v="544"/>
    <n v="0"/>
    <n v="0"/>
    <n v="0"/>
    <n v="0"/>
    <n v="4"/>
    <x v="0"/>
    <n v="0"/>
    <n v="12"/>
    <n v="0"/>
    <n v="0"/>
    <n v="19.8"/>
    <n v="0"/>
    <n v="0"/>
    <n v="20.612826474871284"/>
    <m/>
    <m/>
    <n v="10771.2"/>
    <n v="0"/>
    <n v="0"/>
    <n v="11213.377602329978"/>
    <n v="0"/>
    <n v="0"/>
  </r>
  <r>
    <s v="PROJETADO"/>
    <x v="0"/>
    <x v="1"/>
    <x v="1"/>
    <x v="0"/>
    <x v="0"/>
    <x v="0"/>
    <x v="2"/>
    <x v="11"/>
    <n v="30"/>
    <n v="30"/>
    <n v="0"/>
    <n v="0"/>
    <n v="0"/>
    <n v="0"/>
    <n v="1"/>
    <x v="0"/>
    <n v="0"/>
    <n v="12"/>
    <n v="0"/>
    <n v="0"/>
    <n v="19.8"/>
    <n v="0"/>
    <n v="0"/>
    <n v="20.612826474871284"/>
    <m/>
    <m/>
    <n v="594"/>
    <n v="0"/>
    <n v="0"/>
    <n v="618.38479424613854"/>
    <n v="0"/>
    <n v="0"/>
  </r>
  <r>
    <s v="Regular"/>
    <x v="0"/>
    <x v="1"/>
    <x v="1"/>
    <x v="0"/>
    <x v="0"/>
    <x v="0"/>
    <x v="1"/>
    <x v="0"/>
    <n v="0"/>
    <n v="0"/>
    <n v="9.4849999999999994"/>
    <n v="9.4849999999999994"/>
    <n v="9.4849999999999994"/>
    <n v="9.4849999999999994"/>
    <n v="0"/>
    <x v="0"/>
    <n v="0"/>
    <n v="0"/>
    <n v="13"/>
    <n v="71"/>
    <n v="0"/>
    <n v="1448.96"/>
    <n v="270.3"/>
    <m/>
    <n v="1479.9458225851192"/>
    <n v="362.70381368696184"/>
    <n v="0"/>
    <n v="13743.3856"/>
    <n v="2563.7955000000002"/>
    <n v="0"/>
    <n v="14037.286127219855"/>
    <n v="3440.2456728208326"/>
  </r>
  <r>
    <s v="Refaturamento - Regular"/>
    <x v="0"/>
    <x v="1"/>
    <x v="1"/>
    <x v="0"/>
    <x v="0"/>
    <x v="0"/>
    <x v="1"/>
    <x v="0"/>
    <n v="0"/>
    <n v="0"/>
    <n v="0.875"/>
    <n v="0.875"/>
    <n v="0.875"/>
    <n v="0.875"/>
    <n v="0"/>
    <x v="0"/>
    <n v="0"/>
    <n v="0"/>
    <n v="13"/>
    <n v="71"/>
    <n v="0"/>
    <n v="1448.96"/>
    <n v="270.3"/>
    <m/>
    <n v="1479.9458225851192"/>
    <n v="362.70381368696184"/>
    <n v="0"/>
    <n v="1267.8400000000001"/>
    <n v="236.51250000000002"/>
    <n v="0"/>
    <n v="1294.9525947619793"/>
    <n v="317.3658369760916"/>
  </r>
  <r>
    <s v="Regular"/>
    <x v="0"/>
    <x v="1"/>
    <x v="1"/>
    <x v="0"/>
    <x v="0"/>
    <x v="0"/>
    <x v="1"/>
    <x v="1"/>
    <n v="0"/>
    <n v="0"/>
    <n v="7.1970000000000001"/>
    <n v="7.1970000000000001"/>
    <n v="7.1970000000000001"/>
    <n v="7.1970000000000001"/>
    <n v="0"/>
    <x v="0"/>
    <n v="0"/>
    <n v="0"/>
    <n v="13"/>
    <n v="71"/>
    <n v="0"/>
    <n v="1448.96"/>
    <n v="270.3"/>
    <m/>
    <n v="1479.9458225851192"/>
    <n v="362.70381368696184"/>
    <n v="0"/>
    <n v="10428.16512"/>
    <n v="1945.3491000000001"/>
    <n v="0"/>
    <n v="10651.170085145102"/>
    <n v="2610.3793471050644"/>
  </r>
  <r>
    <s v="Regular"/>
    <x v="0"/>
    <x v="1"/>
    <x v="1"/>
    <x v="0"/>
    <x v="0"/>
    <x v="0"/>
    <x v="1"/>
    <x v="2"/>
    <n v="0"/>
    <n v="0"/>
    <n v="8.7309999999999999"/>
    <n v="8.7309999999999999"/>
    <n v="8.7309999999999999"/>
    <n v="8.7309999999999999"/>
    <n v="0"/>
    <x v="0"/>
    <n v="0"/>
    <n v="0"/>
    <n v="13"/>
    <n v="71"/>
    <n v="0"/>
    <n v="1448.96"/>
    <n v="270.3"/>
    <m/>
    <n v="1479.9458225851192"/>
    <n v="362.70381368696184"/>
    <n v="0"/>
    <n v="12650.86976"/>
    <n v="2359.9893000000002"/>
    <n v="0"/>
    <n v="12921.406976990676"/>
    <n v="3166.7669973008637"/>
  </r>
  <r>
    <s v="Regular"/>
    <x v="0"/>
    <x v="1"/>
    <x v="1"/>
    <x v="0"/>
    <x v="0"/>
    <x v="0"/>
    <x v="1"/>
    <x v="3"/>
    <n v="0"/>
    <n v="0"/>
    <n v="10.263"/>
    <n v="10.263"/>
    <n v="10.263"/>
    <n v="10.263"/>
    <n v="0"/>
    <x v="0"/>
    <n v="0"/>
    <n v="0"/>
    <n v="13"/>
    <n v="71"/>
    <n v="0"/>
    <n v="1448.96"/>
    <n v="270.3"/>
    <m/>
    <n v="1479.9458225851192"/>
    <n v="362.70381368696184"/>
    <n v="0"/>
    <n v="14870.67648"/>
    <n v="2774.0889000000002"/>
    <n v="0"/>
    <n v="15188.683977191078"/>
    <n v="3722.4292398692892"/>
  </r>
  <r>
    <s v="Regular"/>
    <x v="0"/>
    <x v="1"/>
    <x v="1"/>
    <x v="0"/>
    <x v="0"/>
    <x v="0"/>
    <x v="1"/>
    <x v="4"/>
    <n v="0"/>
    <n v="0"/>
    <n v="19.585999999999999"/>
    <n v="19.585999999999999"/>
    <n v="19.585999999999999"/>
    <n v="19.585999999999999"/>
    <n v="0"/>
    <x v="0"/>
    <n v="0"/>
    <n v="0"/>
    <n v="13"/>
    <n v="71"/>
    <n v="0"/>
    <n v="1448.96"/>
    <n v="270.3"/>
    <m/>
    <n v="1479.9458225851192"/>
    <n v="362.70381368696184"/>
    <n v="0"/>
    <n v="28379.330559999999"/>
    <n v="5294.0958000000001"/>
    <n v="0"/>
    <n v="28986.218881152145"/>
    <n v="7103.9168948728338"/>
  </r>
  <r>
    <s v="Regular"/>
    <x v="0"/>
    <x v="1"/>
    <x v="1"/>
    <x v="0"/>
    <x v="0"/>
    <x v="0"/>
    <x v="1"/>
    <x v="5"/>
    <n v="0"/>
    <n v="0"/>
    <n v="9.1869999999999994"/>
    <n v="9.1869999999999994"/>
    <n v="9.1869999999999994"/>
    <n v="9.1869999999999994"/>
    <n v="0"/>
    <x v="0"/>
    <n v="0"/>
    <n v="0"/>
    <n v="13"/>
    <n v="71"/>
    <n v="0"/>
    <n v="1448.96"/>
    <n v="270.3"/>
    <m/>
    <n v="1479.9458225851192"/>
    <n v="362.70381368696184"/>
    <n v="0"/>
    <n v="13311.595519999999"/>
    <n v="2483.2460999999998"/>
    <n v="0"/>
    <n v="13596.262272089489"/>
    <n v="3332.1599363421183"/>
  </r>
  <r>
    <s v="Regular"/>
    <x v="0"/>
    <x v="1"/>
    <x v="1"/>
    <x v="0"/>
    <x v="0"/>
    <x v="0"/>
    <x v="1"/>
    <x v="6"/>
    <n v="0"/>
    <n v="0"/>
    <n v="9.0530000000000008"/>
    <n v="9.0530000000000008"/>
    <n v="9.0530000000000008"/>
    <n v="9.0530000000000008"/>
    <n v="0"/>
    <x v="0"/>
    <n v="0"/>
    <n v="0"/>
    <n v="13"/>
    <n v="71"/>
    <n v="0"/>
    <n v="1448.96"/>
    <n v="270.3"/>
    <m/>
    <n v="1479.9458225851192"/>
    <n v="362.70381368696184"/>
    <n v="0"/>
    <n v="13117.434880000001"/>
    <n v="2447.0259000000005"/>
    <n v="0"/>
    <n v="13397.949531863085"/>
    <n v="3283.5576253080658"/>
  </r>
  <r>
    <s v="Refaturamento - Regular"/>
    <x v="0"/>
    <x v="1"/>
    <x v="1"/>
    <x v="0"/>
    <x v="0"/>
    <x v="0"/>
    <x v="1"/>
    <x v="6"/>
    <n v="0"/>
    <n v="0"/>
    <n v="1.24"/>
    <n v="1.24"/>
    <n v="1.24"/>
    <n v="1.24"/>
    <n v="0"/>
    <x v="0"/>
    <n v="0"/>
    <n v="0"/>
    <n v="13"/>
    <n v="71"/>
    <n v="0"/>
    <n v="1448.96"/>
    <n v="270.3"/>
    <m/>
    <n v="1479.9458225851192"/>
    <n v="362.70381368696184"/>
    <n v="0"/>
    <n v="1796.7103999999999"/>
    <n v="335.17200000000003"/>
    <n v="0"/>
    <n v="1835.1328200055477"/>
    <n v="449.75272897183265"/>
  </r>
  <r>
    <s v="Regular"/>
    <x v="0"/>
    <x v="1"/>
    <x v="1"/>
    <x v="0"/>
    <x v="0"/>
    <x v="0"/>
    <x v="1"/>
    <x v="7"/>
    <n v="0"/>
    <n v="0"/>
    <n v="9.2959999999999994"/>
    <n v="9.2959999999999994"/>
    <n v="9.2959999999999994"/>
    <n v="9.2959999999999994"/>
    <n v="0"/>
    <x v="0"/>
    <n v="0"/>
    <n v="0"/>
    <n v="13"/>
    <n v="71"/>
    <n v="0"/>
    <n v="1448.96"/>
    <n v="270.3"/>
    <m/>
    <n v="1479.9458225851192"/>
    <n v="362.70381368696184"/>
    <n v="0"/>
    <n v="13469.532159999999"/>
    <n v="2512.7087999999999"/>
    <n v="0"/>
    <n v="13757.576366751267"/>
    <n v="3371.694652033997"/>
  </r>
  <r>
    <s v="Refaturamento - Regular"/>
    <x v="0"/>
    <x v="1"/>
    <x v="1"/>
    <x v="0"/>
    <x v="0"/>
    <x v="0"/>
    <x v="1"/>
    <x v="7"/>
    <n v="0"/>
    <n v="0"/>
    <n v="0.19400000000000001"/>
    <n v="0.19400000000000001"/>
    <n v="0.19400000000000001"/>
    <n v="0.19400000000000001"/>
    <n v="0"/>
    <x v="0"/>
    <n v="0"/>
    <n v="0"/>
    <n v="13"/>
    <n v="71"/>
    <n v="0"/>
    <n v="1448.96"/>
    <n v="270.3"/>
    <m/>
    <n v="1479.9458225851192"/>
    <n v="362.70381368696184"/>
    <n v="0"/>
    <n v="281.09824000000003"/>
    <n v="52.438200000000002"/>
    <n v="0"/>
    <n v="287.10948958151312"/>
    <n v="70.364539855270593"/>
  </r>
  <r>
    <s v="Regular"/>
    <x v="0"/>
    <x v="1"/>
    <x v="1"/>
    <x v="0"/>
    <x v="0"/>
    <x v="0"/>
    <x v="1"/>
    <x v="8"/>
    <n v="0"/>
    <n v="0"/>
    <n v="11.917"/>
    <n v="11.917"/>
    <n v="11.917"/>
    <n v="11.917"/>
    <n v="0"/>
    <x v="0"/>
    <n v="0"/>
    <n v="0"/>
    <n v="13"/>
    <n v="71"/>
    <n v="0"/>
    <n v="1448.96"/>
    <n v="270.3"/>
    <m/>
    <n v="1479.9458225851192"/>
    <n v="362.70381368696184"/>
    <n v="0"/>
    <n v="17267.25632"/>
    <n v="3221.1651000000002"/>
    <n v="0"/>
    <n v="17636.514367746866"/>
    <n v="4322.3413477075237"/>
  </r>
  <r>
    <s v="Refaturamento - Regular"/>
    <x v="0"/>
    <x v="1"/>
    <x v="1"/>
    <x v="0"/>
    <x v="0"/>
    <x v="0"/>
    <x v="1"/>
    <x v="8"/>
    <n v="0"/>
    <n v="0"/>
    <n v="-6.24"/>
    <n v="-6.24"/>
    <n v="-6.24"/>
    <n v="-6.24"/>
    <n v="0"/>
    <x v="0"/>
    <n v="0"/>
    <n v="0"/>
    <n v="13"/>
    <n v="71"/>
    <n v="0"/>
    <n v="1448.96"/>
    <n v="270.3"/>
    <m/>
    <n v="1479.9458225851192"/>
    <n v="362.70381368696184"/>
    <n v="0"/>
    <n v="-9041.510400000001"/>
    <n v="-1686.672"/>
    <n v="0"/>
    <n v="-9234.8619329311441"/>
    <n v="-2263.2717974066418"/>
  </r>
  <r>
    <s v="Regular"/>
    <x v="0"/>
    <x v="1"/>
    <x v="1"/>
    <x v="0"/>
    <x v="0"/>
    <x v="0"/>
    <x v="1"/>
    <x v="9"/>
    <n v="0"/>
    <n v="0"/>
    <n v="13.198"/>
    <n v="13.198"/>
    <n v="13.198"/>
    <n v="13.198"/>
    <n v="0"/>
    <x v="0"/>
    <n v="0"/>
    <n v="0"/>
    <n v="13"/>
    <n v="71"/>
    <n v="0"/>
    <n v="1448.96"/>
    <n v="270.3"/>
    <m/>
    <n v="1479.9458225851192"/>
    <n v="362.70381368696184"/>
    <n v="0"/>
    <n v="19123.374080000001"/>
    <n v="3567.4194000000002"/>
    <n v="0"/>
    <n v="19532.324966478405"/>
    <n v="4786.9649330405227"/>
  </r>
  <r>
    <s v="Refaturamento - Regular"/>
    <x v="0"/>
    <x v="1"/>
    <x v="1"/>
    <x v="0"/>
    <x v="0"/>
    <x v="0"/>
    <x v="1"/>
    <x v="9"/>
    <n v="0"/>
    <n v="0"/>
    <n v="1.0429999999999999"/>
    <n v="1.0429999999999999"/>
    <n v="1.0429999999999999"/>
    <n v="1.0429999999999999"/>
    <n v="0"/>
    <x v="0"/>
    <n v="0"/>
    <n v="0"/>
    <n v="13"/>
    <n v="71"/>
    <n v="0"/>
    <n v="1448.96"/>
    <n v="270.3"/>
    <m/>
    <n v="1479.9458225851192"/>
    <n v="362.70381368696184"/>
    <n v="0"/>
    <n v="1511.2652799999998"/>
    <n v="281.92289999999997"/>
    <n v="0"/>
    <n v="1543.5834929562793"/>
    <n v="378.30007767550114"/>
  </r>
  <r>
    <s v="Regular"/>
    <x v="0"/>
    <x v="1"/>
    <x v="1"/>
    <x v="0"/>
    <x v="0"/>
    <x v="0"/>
    <x v="1"/>
    <x v="10"/>
    <n v="0"/>
    <n v="0"/>
    <n v="12.943"/>
    <n v="12.943"/>
    <n v="12.943"/>
    <n v="12.943"/>
    <n v="0"/>
    <x v="0"/>
    <n v="0"/>
    <n v="0"/>
    <n v="13"/>
    <n v="71"/>
    <n v="0"/>
    <n v="1448.96"/>
    <n v="270.3"/>
    <m/>
    <n v="1479.9458225851192"/>
    <n v="362.70381368696184"/>
    <n v="0"/>
    <n v="18753.889279999999"/>
    <n v="3498.4929000000002"/>
    <n v="0"/>
    <n v="19154.938781719196"/>
    <n v="4694.4754605503467"/>
  </r>
  <r>
    <s v="Sistema de Compensação"/>
    <x v="0"/>
    <x v="1"/>
    <x v="1"/>
    <x v="0"/>
    <x v="0"/>
    <x v="0"/>
    <x v="1"/>
    <x v="10"/>
    <n v="0"/>
    <n v="0"/>
    <n v="1.4999999999999999E-2"/>
    <n v="1.4999999999999999E-2"/>
    <n v="1.4999999999999999E-2"/>
    <n v="1.4999999999999999E-2"/>
    <n v="0"/>
    <x v="0"/>
    <n v="0"/>
    <n v="0"/>
    <n v="13"/>
    <n v="71"/>
    <n v="0"/>
    <n v="1448.96"/>
    <n v="270.3"/>
    <m/>
    <n v="1479.9458225851192"/>
    <n v="362.70381368696184"/>
    <n v="0"/>
    <n v="21.734400000000001"/>
    <n v="4.0545"/>
    <n v="0"/>
    <n v="22.199187338776788"/>
    <n v="5.4405572053044278"/>
  </r>
  <r>
    <s v="PROJETADO"/>
    <x v="0"/>
    <x v="1"/>
    <x v="1"/>
    <x v="0"/>
    <x v="0"/>
    <x v="0"/>
    <x v="1"/>
    <x v="11"/>
    <n v="0"/>
    <n v="0"/>
    <n v="12.943"/>
    <n v="12.943"/>
    <n v="12.943"/>
    <n v="12.943"/>
    <n v="0"/>
    <x v="0"/>
    <n v="0"/>
    <n v="0"/>
    <n v="13"/>
    <n v="71"/>
    <n v="0"/>
    <n v="1448.96"/>
    <n v="270.3"/>
    <m/>
    <n v="1479.9458225851192"/>
    <n v="362.70381368696184"/>
    <n v="0"/>
    <n v="18753.889279999999"/>
    <n v="3498.4929000000002"/>
    <n v="0"/>
    <n v="19154.938781719196"/>
    <n v="4694.4754605503467"/>
  </r>
  <r>
    <s v="PROJETADO"/>
    <x v="0"/>
    <x v="1"/>
    <x v="1"/>
    <x v="0"/>
    <x v="0"/>
    <x v="0"/>
    <x v="1"/>
    <x v="11"/>
    <n v="0"/>
    <n v="0"/>
    <n v="1.4999999999999999E-2"/>
    <n v="1.4999999999999999E-2"/>
    <n v="1.4999999999999999E-2"/>
    <n v="1.4999999999999999E-2"/>
    <n v="0"/>
    <x v="0"/>
    <n v="0"/>
    <n v="0"/>
    <n v="13"/>
    <n v="71"/>
    <n v="0"/>
    <n v="1448.96"/>
    <n v="270.3"/>
    <m/>
    <n v="1479.9458225851192"/>
    <n v="362.70381368696184"/>
    <n v="0"/>
    <n v="21.734400000000001"/>
    <n v="4.0545"/>
    <n v="0"/>
    <n v="22.199187338776788"/>
    <n v="5.4405572053044278"/>
  </r>
  <r>
    <s v="Regular"/>
    <x v="0"/>
    <x v="1"/>
    <x v="2"/>
    <x v="1"/>
    <x v="1"/>
    <x v="0"/>
    <x v="0"/>
    <x v="6"/>
    <n v="0"/>
    <n v="0"/>
    <n v="0.68300000000000005"/>
    <n v="0.1366"/>
    <n v="0.68300000000000005"/>
    <n v="0.1366"/>
    <n v="0"/>
    <x v="0"/>
    <n v="0"/>
    <n v="0"/>
    <n v="14"/>
    <n v="72"/>
    <n v="0"/>
    <n v="84.31"/>
    <n v="168.06"/>
    <m/>
    <n v="113.43802162385306"/>
    <n v="218.7322873480222"/>
    <n v="0"/>
    <n v="11.516745999999999"/>
    <n v="22.956996"/>
    <n v="0"/>
    <n v="15.495633753818328"/>
    <n v="29.87883045173983"/>
  </r>
  <r>
    <s v="Regular"/>
    <x v="0"/>
    <x v="1"/>
    <x v="2"/>
    <x v="1"/>
    <x v="1"/>
    <x v="0"/>
    <x v="0"/>
    <x v="7"/>
    <n v="0"/>
    <n v="0"/>
    <n v="1.639"/>
    <n v="0.32779999999999998"/>
    <n v="1.639"/>
    <n v="0.32779999999999998"/>
    <n v="0"/>
    <x v="0"/>
    <n v="0"/>
    <n v="0"/>
    <n v="14"/>
    <n v="72"/>
    <n v="0"/>
    <n v="84.31"/>
    <n v="168.06"/>
    <m/>
    <n v="113.43802162385306"/>
    <n v="218.7322873480222"/>
    <n v="0"/>
    <n v="27.636817999999998"/>
    <n v="55.090067999999995"/>
    <n v="0"/>
    <n v="37.184983488299032"/>
    <n v="71.700443792681668"/>
  </r>
  <r>
    <s v="Regular"/>
    <x v="0"/>
    <x v="1"/>
    <x v="2"/>
    <x v="1"/>
    <x v="1"/>
    <x v="0"/>
    <x v="0"/>
    <x v="8"/>
    <n v="0"/>
    <n v="0"/>
    <n v="1.837"/>
    <n v="0.3674"/>
    <n v="1.837"/>
    <n v="0.3674"/>
    <n v="0"/>
    <x v="0"/>
    <n v="0"/>
    <n v="0"/>
    <n v="14"/>
    <n v="72"/>
    <n v="0"/>
    <n v="84.31"/>
    <n v="168.06"/>
    <m/>
    <n v="113.43802162385306"/>
    <n v="218.7322873480222"/>
    <n v="0"/>
    <n v="30.975494000000001"/>
    <n v="61.745244"/>
    <n v="0"/>
    <n v="41.677129144603612"/>
    <n v="80.362242371663356"/>
  </r>
  <r>
    <s v="Regular"/>
    <x v="0"/>
    <x v="1"/>
    <x v="2"/>
    <x v="1"/>
    <x v="1"/>
    <x v="0"/>
    <x v="0"/>
    <x v="9"/>
    <n v="0"/>
    <n v="0"/>
    <n v="0.99299999999999999"/>
    <n v="0.1986"/>
    <n v="0.99299999999999999"/>
    <n v="0.1986"/>
    <n v="0"/>
    <x v="0"/>
    <n v="0"/>
    <n v="0"/>
    <n v="14"/>
    <n v="72"/>
    <n v="0"/>
    <n v="84.31"/>
    <n v="168.06"/>
    <m/>
    <n v="113.43802162385306"/>
    <n v="218.7322873480222"/>
    <n v="0"/>
    <n v="16.743966"/>
    <n v="33.376716000000002"/>
    <n v="0"/>
    <n v="22.528791094497219"/>
    <n v="43.440232267317207"/>
  </r>
  <r>
    <s v="Regular"/>
    <x v="0"/>
    <x v="1"/>
    <x v="2"/>
    <x v="1"/>
    <x v="1"/>
    <x v="0"/>
    <x v="0"/>
    <x v="10"/>
    <n v="0"/>
    <n v="0"/>
    <n v="1.141"/>
    <n v="0.22819999999999999"/>
    <n v="1.141"/>
    <n v="0.22819999999999999"/>
    <n v="0"/>
    <x v="0"/>
    <n v="0"/>
    <n v="0"/>
    <n v="14"/>
    <n v="72"/>
    <n v="0"/>
    <n v="84.31"/>
    <n v="168.06"/>
    <m/>
    <n v="113.43802162385306"/>
    <n v="218.7322873480222"/>
    <n v="0"/>
    <n v="19.239542"/>
    <n v="38.351292000000001"/>
    <n v="0"/>
    <n v="25.886556534563265"/>
    <n v="49.914707972818661"/>
  </r>
  <r>
    <s v="PROJETADO"/>
    <x v="0"/>
    <x v="1"/>
    <x v="2"/>
    <x v="1"/>
    <x v="1"/>
    <x v="0"/>
    <x v="0"/>
    <x v="11"/>
    <n v="0"/>
    <n v="0"/>
    <n v="1.141"/>
    <n v="0.22819999999999999"/>
    <n v="1.141"/>
    <n v="0.22819999999999999"/>
    <n v="0"/>
    <x v="0"/>
    <n v="0"/>
    <n v="0"/>
    <n v="14"/>
    <n v="72"/>
    <n v="0"/>
    <n v="84.31"/>
    <n v="168.06"/>
    <m/>
    <n v="113.43802162385306"/>
    <n v="218.7322873480222"/>
    <n v="0"/>
    <n v="19.239542"/>
    <n v="38.351292000000001"/>
    <n v="0"/>
    <n v="25.886556534563265"/>
    <n v="49.914707972818661"/>
  </r>
  <r>
    <s v="Regular"/>
    <x v="0"/>
    <x v="1"/>
    <x v="2"/>
    <x v="1"/>
    <x v="0"/>
    <x v="0"/>
    <x v="0"/>
    <x v="8"/>
    <n v="0"/>
    <n v="0"/>
    <n v="0.73499999999999999"/>
    <n v="0.73499999999999999"/>
    <n v="0.73499999999999999"/>
    <n v="0.73499999999999999"/>
    <n v="0"/>
    <x v="0"/>
    <n v="0"/>
    <n v="0"/>
    <n v="14"/>
    <n v="72"/>
    <n v="0"/>
    <n v="80.937600000000003"/>
    <n v="161.33760000000001"/>
    <m/>
    <n v="111.16926119137599"/>
    <n v="214.35764160106174"/>
    <n v="0"/>
    <n v="59.489136000000002"/>
    <n v="118.58313600000001"/>
    <n v="0"/>
    <n v="81.709406975661352"/>
    <n v="157.55286657678039"/>
  </r>
  <r>
    <s v="Regular"/>
    <x v="0"/>
    <x v="1"/>
    <x v="2"/>
    <x v="1"/>
    <x v="0"/>
    <x v="0"/>
    <x v="0"/>
    <x v="9"/>
    <n v="0"/>
    <n v="0"/>
    <n v="0.71299999999999997"/>
    <n v="0.71299999999999997"/>
    <n v="0.71299999999999997"/>
    <n v="0.71299999999999997"/>
    <n v="0"/>
    <x v="0"/>
    <n v="0"/>
    <n v="0"/>
    <n v="14"/>
    <n v="72"/>
    <n v="0"/>
    <n v="80.937600000000003"/>
    <n v="161.33760000000001"/>
    <m/>
    <n v="111.16926119137599"/>
    <n v="214.35764160106174"/>
    <n v="0"/>
    <n v="57.708508799999997"/>
    <n v="115.0337088"/>
    <n v="0"/>
    <n v="79.263683229451075"/>
    <n v="152.83699846155702"/>
  </r>
  <r>
    <s v="Regular"/>
    <x v="0"/>
    <x v="1"/>
    <x v="2"/>
    <x v="1"/>
    <x v="0"/>
    <x v="0"/>
    <x v="0"/>
    <x v="10"/>
    <n v="0"/>
    <n v="0"/>
    <n v="0.50800000000000001"/>
    <n v="0.50800000000000001"/>
    <n v="0.50800000000000001"/>
    <n v="0.50800000000000001"/>
    <n v="0"/>
    <x v="0"/>
    <n v="0"/>
    <n v="0"/>
    <n v="14"/>
    <n v="72"/>
    <n v="0"/>
    <n v="80.937600000000003"/>
    <n v="161.33760000000001"/>
    <m/>
    <n v="111.16926119137599"/>
    <n v="214.35764160106174"/>
    <n v="0"/>
    <n v="41.116300800000005"/>
    <n v="81.959500800000001"/>
    <n v="0"/>
    <n v="56.473984685219008"/>
    <n v="108.89368193333937"/>
  </r>
  <r>
    <s v="PROJETADO"/>
    <x v="0"/>
    <x v="1"/>
    <x v="2"/>
    <x v="1"/>
    <x v="0"/>
    <x v="0"/>
    <x v="0"/>
    <x v="11"/>
    <n v="0"/>
    <n v="0"/>
    <n v="0.50800000000000001"/>
    <n v="0.50800000000000001"/>
    <n v="0.50800000000000001"/>
    <n v="0.50800000000000001"/>
    <n v="0"/>
    <x v="0"/>
    <n v="0"/>
    <n v="0"/>
    <n v="14"/>
    <n v="72"/>
    <n v="0"/>
    <n v="80.937600000000003"/>
    <n v="161.33760000000001"/>
    <m/>
    <n v="111.16926119137599"/>
    <n v="214.35764160106174"/>
    <n v="0"/>
    <n v="41.116300800000005"/>
    <n v="81.959500800000001"/>
    <n v="0"/>
    <n v="56.473984685219008"/>
    <n v="108.89368193333937"/>
  </r>
  <r>
    <s v="Regular"/>
    <x v="0"/>
    <x v="1"/>
    <x v="2"/>
    <x v="1"/>
    <x v="0"/>
    <x v="0"/>
    <x v="2"/>
    <x v="6"/>
    <n v="15"/>
    <n v="15"/>
    <n v="0"/>
    <n v="0"/>
    <n v="0"/>
    <n v="0"/>
    <n v="1"/>
    <x v="0"/>
    <n v="0"/>
    <n v="12"/>
    <n v="0"/>
    <n v="0"/>
    <n v="19.007999999999999"/>
    <n v="0"/>
    <n v="0"/>
    <n v="20.200569945373857"/>
    <m/>
    <m/>
    <n v="285.12"/>
    <n v="0"/>
    <n v="0"/>
    <n v="303.00854918060787"/>
    <n v="0"/>
    <n v="0"/>
  </r>
  <r>
    <s v="Regular"/>
    <x v="0"/>
    <x v="1"/>
    <x v="2"/>
    <x v="1"/>
    <x v="0"/>
    <x v="0"/>
    <x v="2"/>
    <x v="7"/>
    <n v="15"/>
    <n v="15"/>
    <n v="0"/>
    <n v="0"/>
    <n v="0"/>
    <n v="0"/>
    <n v="1"/>
    <x v="0"/>
    <n v="0"/>
    <n v="12"/>
    <n v="0"/>
    <n v="0"/>
    <n v="19.007999999999999"/>
    <n v="0"/>
    <n v="0"/>
    <n v="20.200569945373857"/>
    <m/>
    <m/>
    <n v="285.12"/>
    <n v="0"/>
    <n v="0"/>
    <n v="303.00854918060787"/>
    <n v="0"/>
    <n v="0"/>
  </r>
  <r>
    <s v="Regular"/>
    <x v="0"/>
    <x v="1"/>
    <x v="2"/>
    <x v="1"/>
    <x v="0"/>
    <x v="0"/>
    <x v="2"/>
    <x v="8"/>
    <n v="15"/>
    <n v="15"/>
    <n v="0"/>
    <n v="0"/>
    <n v="0"/>
    <n v="0"/>
    <n v="1"/>
    <x v="0"/>
    <n v="0"/>
    <n v="12"/>
    <n v="0"/>
    <n v="0"/>
    <n v="19.007999999999999"/>
    <n v="0"/>
    <n v="0"/>
    <n v="20.200569945373857"/>
    <m/>
    <m/>
    <n v="285.12"/>
    <n v="0"/>
    <n v="0"/>
    <n v="303.00854918060787"/>
    <n v="0"/>
    <n v="0"/>
  </r>
  <r>
    <s v="Regular"/>
    <x v="0"/>
    <x v="1"/>
    <x v="2"/>
    <x v="1"/>
    <x v="0"/>
    <x v="0"/>
    <x v="2"/>
    <x v="9"/>
    <n v="14"/>
    <n v="14"/>
    <n v="0"/>
    <n v="0"/>
    <n v="0"/>
    <n v="0"/>
    <n v="1"/>
    <x v="0"/>
    <n v="0"/>
    <n v="12"/>
    <n v="0"/>
    <n v="0"/>
    <n v="19.007999999999999"/>
    <n v="0"/>
    <n v="0"/>
    <n v="20.200569945373857"/>
    <m/>
    <m/>
    <n v="266.11199999999997"/>
    <n v="0"/>
    <n v="0"/>
    <n v="282.80797923523403"/>
    <n v="0"/>
    <n v="0"/>
  </r>
  <r>
    <s v="Regular"/>
    <x v="0"/>
    <x v="1"/>
    <x v="2"/>
    <x v="1"/>
    <x v="0"/>
    <x v="0"/>
    <x v="2"/>
    <x v="10"/>
    <n v="14"/>
    <n v="14"/>
    <n v="0"/>
    <n v="0"/>
    <n v="0"/>
    <n v="0"/>
    <n v="1"/>
    <x v="0"/>
    <n v="0"/>
    <n v="12"/>
    <n v="0"/>
    <n v="0"/>
    <n v="19.007999999999999"/>
    <n v="0"/>
    <n v="0"/>
    <n v="20.200569945373857"/>
    <m/>
    <m/>
    <n v="266.11199999999997"/>
    <n v="0"/>
    <n v="0"/>
    <n v="282.80797923523403"/>
    <n v="0"/>
    <n v="0"/>
  </r>
  <r>
    <s v="PROJETADO"/>
    <x v="0"/>
    <x v="1"/>
    <x v="2"/>
    <x v="1"/>
    <x v="0"/>
    <x v="0"/>
    <x v="2"/>
    <x v="11"/>
    <n v="14"/>
    <n v="14"/>
    <n v="0"/>
    <n v="0"/>
    <n v="0"/>
    <n v="0"/>
    <n v="1"/>
    <x v="0"/>
    <n v="0"/>
    <n v="12"/>
    <n v="0"/>
    <n v="0"/>
    <n v="19.007999999999999"/>
    <n v="0"/>
    <n v="0"/>
    <n v="20.200569945373857"/>
    <m/>
    <m/>
    <n v="266.11199999999997"/>
    <n v="0"/>
    <n v="0"/>
    <n v="282.80797923523403"/>
    <n v="0"/>
    <n v="0"/>
  </r>
  <r>
    <s v="Regular"/>
    <x v="0"/>
    <x v="1"/>
    <x v="2"/>
    <x v="1"/>
    <x v="0"/>
    <x v="0"/>
    <x v="1"/>
    <x v="6"/>
    <n v="0"/>
    <n v="0"/>
    <n v="6.0000000000000001E-3"/>
    <n v="6.0000000000000001E-3"/>
    <n v="6.0000000000000001E-3"/>
    <n v="6.0000000000000001E-3"/>
    <n v="0"/>
    <x v="0"/>
    <n v="0"/>
    <n v="0"/>
    <n v="13"/>
    <n v="71"/>
    <n v="0"/>
    <n v="1391.0016000000001"/>
    <n v="259.488"/>
    <m/>
    <n v="1450.3469061334167"/>
    <n v="355.44973741322258"/>
    <n v="0"/>
    <n v="8.3460096000000004"/>
    <n v="1.5569280000000001"/>
    <n v="0"/>
    <n v="8.7020814368005013"/>
    <n v="2.1326984244793357"/>
  </r>
  <r>
    <s v="Regular"/>
    <x v="0"/>
    <x v="1"/>
    <x v="2"/>
    <x v="1"/>
    <x v="0"/>
    <x v="0"/>
    <x v="1"/>
    <x v="7"/>
    <n v="0"/>
    <n v="0"/>
    <n v="7.0000000000000001E-3"/>
    <n v="7.0000000000000001E-3"/>
    <n v="7.0000000000000001E-3"/>
    <n v="7.0000000000000001E-3"/>
    <n v="0"/>
    <x v="0"/>
    <n v="0"/>
    <n v="0"/>
    <n v="13"/>
    <n v="71"/>
    <n v="0"/>
    <n v="1391.0016000000001"/>
    <n v="259.488"/>
    <m/>
    <n v="1450.3469061334167"/>
    <n v="355.44973741322258"/>
    <n v="0"/>
    <n v="9.7370112000000013"/>
    <n v="1.816416"/>
    <n v="0"/>
    <n v="10.152428342933918"/>
    <n v="2.4881481618925583"/>
  </r>
  <r>
    <s v="Regular"/>
    <x v="0"/>
    <x v="1"/>
    <x v="2"/>
    <x v="1"/>
    <x v="0"/>
    <x v="0"/>
    <x v="1"/>
    <x v="8"/>
    <n v="0"/>
    <n v="0"/>
    <n v="1.2E-2"/>
    <n v="1.2E-2"/>
    <n v="1.2E-2"/>
    <n v="1.2E-2"/>
    <n v="0"/>
    <x v="0"/>
    <n v="0"/>
    <n v="0"/>
    <n v="13"/>
    <n v="71"/>
    <n v="0"/>
    <n v="1391.0016000000001"/>
    <n v="259.488"/>
    <m/>
    <n v="1450.3469061334167"/>
    <n v="355.44973741322258"/>
    <n v="0"/>
    <n v="16.692019200000001"/>
    <n v="3.1138560000000002"/>
    <n v="0"/>
    <n v="17.404162873601003"/>
    <n v="4.2653968489586713"/>
  </r>
  <r>
    <s v="Regular"/>
    <x v="0"/>
    <x v="1"/>
    <x v="2"/>
    <x v="1"/>
    <x v="0"/>
    <x v="0"/>
    <x v="1"/>
    <x v="9"/>
    <n v="0"/>
    <n v="0"/>
    <n v="1.2E-2"/>
    <n v="1.2E-2"/>
    <n v="1.2E-2"/>
    <n v="1.2E-2"/>
    <n v="0"/>
    <x v="0"/>
    <n v="0"/>
    <n v="0"/>
    <n v="13"/>
    <n v="71"/>
    <n v="0"/>
    <n v="1391.0016000000001"/>
    <n v="259.488"/>
    <m/>
    <n v="1450.3469061334167"/>
    <n v="355.44973741322258"/>
    <n v="0"/>
    <n v="16.692019200000001"/>
    <n v="3.1138560000000002"/>
    <n v="0"/>
    <n v="17.404162873601003"/>
    <n v="4.2653968489586713"/>
  </r>
  <r>
    <s v="Regular"/>
    <x v="0"/>
    <x v="1"/>
    <x v="2"/>
    <x v="1"/>
    <x v="0"/>
    <x v="0"/>
    <x v="1"/>
    <x v="10"/>
    <n v="0"/>
    <n v="0"/>
    <n v="8.0000000000000002E-3"/>
    <n v="8.0000000000000002E-3"/>
    <n v="8.0000000000000002E-3"/>
    <n v="8.0000000000000002E-3"/>
    <n v="0"/>
    <x v="0"/>
    <n v="0"/>
    <n v="0"/>
    <n v="13"/>
    <n v="71"/>
    <n v="0"/>
    <n v="1391.0016000000001"/>
    <n v="259.488"/>
    <m/>
    <n v="1450.3469061334167"/>
    <n v="355.44973741322258"/>
    <n v="0"/>
    <n v="11.1280128"/>
    <n v="2.075904"/>
    <n v="0"/>
    <n v="11.602775249067333"/>
    <n v="2.8435978993057809"/>
  </r>
  <r>
    <s v="PROJETADO"/>
    <x v="0"/>
    <x v="1"/>
    <x v="2"/>
    <x v="1"/>
    <x v="0"/>
    <x v="0"/>
    <x v="1"/>
    <x v="11"/>
    <n v="0"/>
    <n v="0"/>
    <n v="8.0000000000000002E-3"/>
    <n v="8.0000000000000002E-3"/>
    <n v="8.0000000000000002E-3"/>
    <n v="8.0000000000000002E-3"/>
    <n v="0"/>
    <x v="0"/>
    <n v="0"/>
    <n v="0"/>
    <n v="13"/>
    <n v="71"/>
    <n v="0"/>
    <n v="1391.0016000000001"/>
    <n v="259.488"/>
    <m/>
    <n v="1450.3469061334167"/>
    <n v="355.44973741322258"/>
    <n v="0"/>
    <n v="11.1280128"/>
    <n v="2.075904"/>
    <n v="0"/>
    <n v="11.602775249067333"/>
    <n v="2.8435978993057809"/>
  </r>
  <r>
    <s v="Regular"/>
    <x v="0"/>
    <x v="1"/>
    <x v="2"/>
    <x v="0"/>
    <x v="0"/>
    <x v="0"/>
    <x v="0"/>
    <x v="3"/>
    <n v="0"/>
    <n v="0"/>
    <n v="7.3620000000000001"/>
    <n v="7.3620000000000001"/>
    <n v="7.3620000000000001"/>
    <n v="7.3620000000000001"/>
    <n v="0"/>
    <x v="0"/>
    <n v="0"/>
    <n v="0"/>
    <n v="14"/>
    <n v="72"/>
    <n v="0"/>
    <n v="80.937600000000003"/>
    <n v="161.33760000000001"/>
    <m/>
    <n v="111.16926119137599"/>
    <n v="214.35764160106174"/>
    <n v="0"/>
    <n v="595.86261120000006"/>
    <n v="1187.7674112"/>
    <n v="0"/>
    <n v="818.42810089091006"/>
    <n v="1578.1009574670165"/>
  </r>
  <r>
    <s v="Regular"/>
    <x v="0"/>
    <x v="1"/>
    <x v="2"/>
    <x v="0"/>
    <x v="0"/>
    <x v="0"/>
    <x v="0"/>
    <x v="4"/>
    <n v="0"/>
    <n v="0"/>
    <n v="7.01"/>
    <n v="7.01"/>
    <n v="7.01"/>
    <n v="7.01"/>
    <n v="0"/>
    <x v="0"/>
    <n v="0"/>
    <n v="0"/>
    <n v="14"/>
    <n v="72"/>
    <n v="0"/>
    <n v="80.937600000000003"/>
    <n v="161.33760000000001"/>
    <m/>
    <n v="111.16926119137599"/>
    <n v="214.35764160106174"/>
    <n v="0"/>
    <n v="567.37257599999998"/>
    <n v="1130.976576"/>
    <n v="0"/>
    <n v="779.29652095154574"/>
    <n v="1502.6470676234428"/>
  </r>
  <r>
    <s v="Regular"/>
    <x v="0"/>
    <x v="1"/>
    <x v="2"/>
    <x v="0"/>
    <x v="0"/>
    <x v="0"/>
    <x v="0"/>
    <x v="5"/>
    <n v="0"/>
    <n v="0"/>
    <n v="16.87"/>
    <n v="16.87"/>
    <n v="16.87"/>
    <n v="16.87"/>
    <n v="0"/>
    <x v="0"/>
    <n v="0"/>
    <n v="0"/>
    <n v="14"/>
    <n v="72"/>
    <n v="0"/>
    <n v="80.937600000000003"/>
    <n v="161.33760000000001"/>
    <m/>
    <n v="111.16926119137599"/>
    <n v="214.35764160106174"/>
    <n v="0"/>
    <n v="1365.417312"/>
    <n v="2721.7653120000004"/>
    <n v="0"/>
    <n v="1875.4254362985132"/>
    <n v="3616.2134138099118"/>
  </r>
  <r>
    <s v="Regular"/>
    <x v="0"/>
    <x v="1"/>
    <x v="2"/>
    <x v="0"/>
    <x v="0"/>
    <x v="0"/>
    <x v="0"/>
    <x v="6"/>
    <n v="0"/>
    <n v="0"/>
    <n v="9.4410000000000007"/>
    <n v="9.4410000000000007"/>
    <n v="9.4410000000000007"/>
    <n v="9.4410000000000007"/>
    <n v="0"/>
    <x v="0"/>
    <n v="0"/>
    <n v="0"/>
    <n v="14"/>
    <n v="72"/>
    <n v="0"/>
    <n v="80.937600000000003"/>
    <n v="161.33760000000001"/>
    <m/>
    <n v="111.16926119137599"/>
    <n v="214.35764160106174"/>
    <n v="0"/>
    <n v="764.13188160000004"/>
    <n v="1523.1882816000002"/>
    <n v="0"/>
    <n v="1049.5489949077808"/>
    <n v="2023.7504943556241"/>
  </r>
  <r>
    <s v="Regular"/>
    <x v="0"/>
    <x v="1"/>
    <x v="2"/>
    <x v="0"/>
    <x v="0"/>
    <x v="0"/>
    <x v="0"/>
    <x v="7"/>
    <n v="0"/>
    <n v="0"/>
    <n v="8.7940000000000005"/>
    <n v="8.7940000000000005"/>
    <n v="8.7940000000000005"/>
    <n v="8.7940000000000005"/>
    <n v="0"/>
    <x v="0"/>
    <n v="0"/>
    <n v="0"/>
    <n v="14"/>
    <n v="72"/>
    <n v="0"/>
    <n v="80.937600000000003"/>
    <n v="161.33760000000001"/>
    <m/>
    <n v="111.16926119137599"/>
    <n v="214.35764160106174"/>
    <n v="0"/>
    <n v="711.76525440000012"/>
    <n v="1418.8028544000001"/>
    <n v="0"/>
    <n v="977.62248291696051"/>
    <n v="1885.061100239737"/>
  </r>
  <r>
    <s v="Regular"/>
    <x v="0"/>
    <x v="1"/>
    <x v="2"/>
    <x v="0"/>
    <x v="0"/>
    <x v="0"/>
    <x v="0"/>
    <x v="8"/>
    <n v="0"/>
    <n v="0"/>
    <n v="3.9180000000000001"/>
    <n v="3.9180000000000001"/>
    <n v="3.9180000000000001"/>
    <n v="3.9180000000000001"/>
    <n v="0"/>
    <x v="0"/>
    <n v="0"/>
    <n v="0"/>
    <n v="14"/>
    <n v="72"/>
    <n v="0"/>
    <n v="80.937600000000003"/>
    <n v="161.33760000000001"/>
    <m/>
    <n v="111.16926119137599"/>
    <n v="214.35764160106174"/>
    <n v="0"/>
    <n v="317.11351680000001"/>
    <n v="632.12071680000008"/>
    <n v="0"/>
    <n v="435.56116534781114"/>
    <n v="839.85323979295993"/>
  </r>
  <r>
    <s v="Regular"/>
    <x v="0"/>
    <x v="1"/>
    <x v="2"/>
    <x v="0"/>
    <x v="0"/>
    <x v="0"/>
    <x v="0"/>
    <x v="9"/>
    <n v="0"/>
    <n v="0"/>
    <n v="6.423"/>
    <n v="6.423"/>
    <n v="6.423"/>
    <n v="6.423"/>
    <n v="0"/>
    <x v="0"/>
    <n v="0"/>
    <n v="0"/>
    <n v="14"/>
    <n v="72"/>
    <n v="0"/>
    <n v="80.937600000000003"/>
    <n v="161.33760000000001"/>
    <m/>
    <n v="111.16926119137599"/>
    <n v="214.35764160106174"/>
    <n v="0"/>
    <n v="519.86220479999997"/>
    <n v="1036.2714048"/>
    <n v="0"/>
    <n v="714.04016463220808"/>
    <n v="1376.8191320036196"/>
  </r>
  <r>
    <s v="Regular"/>
    <x v="0"/>
    <x v="1"/>
    <x v="2"/>
    <x v="0"/>
    <x v="0"/>
    <x v="0"/>
    <x v="0"/>
    <x v="10"/>
    <n v="0"/>
    <n v="0"/>
    <n v="4.0030000000000001"/>
    <n v="4.0030000000000001"/>
    <n v="4.0030000000000001"/>
    <n v="4.0030000000000001"/>
    <n v="0"/>
    <x v="0"/>
    <n v="0"/>
    <n v="0"/>
    <n v="14"/>
    <n v="72"/>
    <n v="0"/>
    <n v="80.937600000000003"/>
    <n v="161.33760000000001"/>
    <m/>
    <n v="111.16926119137599"/>
    <n v="214.35764160106174"/>
    <n v="0"/>
    <n v="323.99321280000004"/>
    <n v="645.83441280000011"/>
    <n v="0"/>
    <n v="445.01055254907811"/>
    <n v="858.07363932905014"/>
  </r>
  <r>
    <s v="PROJETADO"/>
    <x v="0"/>
    <x v="1"/>
    <x v="2"/>
    <x v="0"/>
    <x v="0"/>
    <x v="0"/>
    <x v="0"/>
    <x v="11"/>
    <n v="0"/>
    <n v="0"/>
    <n v="4.0030000000000001"/>
    <n v="4.0030000000000001"/>
    <n v="4.0030000000000001"/>
    <n v="4.0030000000000001"/>
    <n v="0"/>
    <x v="0"/>
    <n v="0"/>
    <n v="0"/>
    <n v="14"/>
    <n v="72"/>
    <n v="0"/>
    <n v="80.937600000000003"/>
    <n v="161.33760000000001"/>
    <m/>
    <n v="111.16926119137599"/>
    <n v="214.35764160106174"/>
    <n v="0"/>
    <n v="323.99321280000004"/>
    <n v="645.83441280000011"/>
    <n v="0"/>
    <n v="445.01055254907811"/>
    <n v="858.07363932905014"/>
  </r>
  <r>
    <s v="Regular"/>
    <x v="0"/>
    <x v="1"/>
    <x v="2"/>
    <x v="0"/>
    <x v="0"/>
    <x v="0"/>
    <x v="2"/>
    <x v="3"/>
    <n v="108"/>
    <n v="108"/>
    <n v="0"/>
    <n v="0"/>
    <n v="0"/>
    <n v="0"/>
    <n v="1"/>
    <x v="0"/>
    <n v="0"/>
    <n v="12"/>
    <n v="0"/>
    <n v="0"/>
    <n v="19.007999999999999"/>
    <n v="0"/>
    <n v="0"/>
    <n v="20.200569945373857"/>
    <m/>
    <m/>
    <n v="2052.864"/>
    <n v="0"/>
    <n v="0"/>
    <n v="2181.6615541003766"/>
    <n v="0"/>
    <n v="0"/>
  </r>
  <r>
    <s v="Regular"/>
    <x v="0"/>
    <x v="1"/>
    <x v="2"/>
    <x v="0"/>
    <x v="0"/>
    <x v="0"/>
    <x v="2"/>
    <x v="4"/>
    <n v="160"/>
    <n v="160"/>
    <n v="0"/>
    <n v="0"/>
    <n v="0"/>
    <n v="0"/>
    <n v="2"/>
    <x v="0"/>
    <n v="0"/>
    <n v="12"/>
    <n v="0"/>
    <n v="0"/>
    <n v="19.007999999999999"/>
    <n v="0"/>
    <n v="0"/>
    <n v="20.200569945373857"/>
    <m/>
    <m/>
    <n v="3041.2799999999997"/>
    <n v="0"/>
    <n v="0"/>
    <n v="3232.0911912598172"/>
    <n v="0"/>
    <n v="0"/>
  </r>
  <r>
    <s v="Regular"/>
    <x v="0"/>
    <x v="1"/>
    <x v="2"/>
    <x v="0"/>
    <x v="0"/>
    <x v="0"/>
    <x v="2"/>
    <x v="5"/>
    <n v="173"/>
    <n v="173"/>
    <n v="0"/>
    <n v="0"/>
    <n v="0"/>
    <n v="0"/>
    <n v="2"/>
    <x v="0"/>
    <n v="0"/>
    <n v="12"/>
    <n v="0"/>
    <n v="0"/>
    <n v="19.007999999999999"/>
    <n v="0"/>
    <n v="0"/>
    <n v="20.200569945373857"/>
    <m/>
    <m/>
    <n v="3288.384"/>
    <n v="0"/>
    <n v="0"/>
    <n v="3494.6986005496774"/>
    <n v="0"/>
    <n v="0"/>
  </r>
  <r>
    <s v="Regular"/>
    <x v="0"/>
    <x v="1"/>
    <x v="2"/>
    <x v="0"/>
    <x v="0"/>
    <x v="0"/>
    <x v="2"/>
    <x v="6"/>
    <n v="186"/>
    <n v="186"/>
    <n v="0"/>
    <n v="0"/>
    <n v="0"/>
    <n v="0"/>
    <n v="2"/>
    <x v="0"/>
    <n v="0"/>
    <n v="12"/>
    <n v="0"/>
    <n v="0"/>
    <n v="19.007999999999999"/>
    <n v="0"/>
    <n v="0"/>
    <n v="20.200569945373857"/>
    <m/>
    <m/>
    <n v="3535.4879999999998"/>
    <n v="0"/>
    <n v="0"/>
    <n v="3757.3060098395376"/>
    <n v="0"/>
    <n v="0"/>
  </r>
  <r>
    <s v="Regular"/>
    <x v="0"/>
    <x v="1"/>
    <x v="2"/>
    <x v="0"/>
    <x v="0"/>
    <x v="0"/>
    <x v="2"/>
    <x v="7"/>
    <n v="138"/>
    <n v="138"/>
    <n v="0"/>
    <n v="0"/>
    <n v="0"/>
    <n v="0"/>
    <n v="2"/>
    <x v="0"/>
    <n v="0"/>
    <n v="12"/>
    <n v="0"/>
    <n v="0"/>
    <n v="19.007999999999999"/>
    <n v="0"/>
    <n v="0"/>
    <n v="20.200569945373857"/>
    <m/>
    <m/>
    <n v="2623.1039999999998"/>
    <n v="0"/>
    <n v="0"/>
    <n v="2787.6786524615923"/>
    <n v="0"/>
    <n v="0"/>
  </r>
  <r>
    <s v="Regular"/>
    <x v="0"/>
    <x v="1"/>
    <x v="2"/>
    <x v="0"/>
    <x v="0"/>
    <x v="0"/>
    <x v="2"/>
    <x v="8"/>
    <n v="37"/>
    <n v="37"/>
    <n v="0"/>
    <n v="0"/>
    <n v="0"/>
    <n v="0"/>
    <n v="2"/>
    <x v="0"/>
    <n v="0"/>
    <n v="12"/>
    <n v="0"/>
    <n v="0"/>
    <n v="19.007999999999999"/>
    <n v="0"/>
    <n v="0"/>
    <n v="20.200569945373857"/>
    <m/>
    <m/>
    <n v="703.29599999999994"/>
    <n v="0"/>
    <n v="0"/>
    <n v="747.4210879788327"/>
    <n v="0"/>
    <n v="0"/>
  </r>
  <r>
    <s v="Regular"/>
    <x v="0"/>
    <x v="1"/>
    <x v="2"/>
    <x v="0"/>
    <x v="0"/>
    <x v="0"/>
    <x v="2"/>
    <x v="9"/>
    <n v="170"/>
    <n v="170"/>
    <n v="0"/>
    <n v="0"/>
    <n v="0"/>
    <n v="0"/>
    <n v="2"/>
    <x v="0"/>
    <n v="0"/>
    <n v="12"/>
    <n v="0"/>
    <n v="0"/>
    <n v="19.007999999999999"/>
    <n v="0"/>
    <n v="0"/>
    <n v="20.200569945373857"/>
    <m/>
    <m/>
    <n v="3231.3599999999997"/>
    <n v="0"/>
    <n v="0"/>
    <n v="3434.0968907135557"/>
    <n v="0"/>
    <n v="0"/>
  </r>
  <r>
    <s v="Regular"/>
    <x v="0"/>
    <x v="1"/>
    <x v="2"/>
    <x v="0"/>
    <x v="0"/>
    <x v="0"/>
    <x v="2"/>
    <x v="10"/>
    <n v="85"/>
    <n v="85"/>
    <n v="0"/>
    <n v="0"/>
    <n v="0"/>
    <n v="0"/>
    <n v="2"/>
    <x v="0"/>
    <n v="0"/>
    <n v="12"/>
    <n v="0"/>
    <n v="0"/>
    <n v="19.007999999999999"/>
    <n v="0"/>
    <n v="0"/>
    <n v="20.200569945373857"/>
    <m/>
    <m/>
    <n v="1615.6799999999998"/>
    <n v="0"/>
    <n v="0"/>
    <n v="1717.0484453567778"/>
    <n v="0"/>
    <n v="0"/>
  </r>
  <r>
    <s v="PROJETADO"/>
    <x v="0"/>
    <x v="1"/>
    <x v="2"/>
    <x v="0"/>
    <x v="0"/>
    <x v="0"/>
    <x v="2"/>
    <x v="11"/>
    <n v="85"/>
    <n v="85"/>
    <n v="0"/>
    <n v="0"/>
    <n v="0"/>
    <n v="0"/>
    <n v="2"/>
    <x v="0"/>
    <n v="0"/>
    <n v="12"/>
    <n v="0"/>
    <n v="0"/>
    <n v="19.007999999999999"/>
    <n v="0"/>
    <n v="0"/>
    <n v="20.200569945373857"/>
    <m/>
    <m/>
    <n v="1615.6799999999998"/>
    <n v="0"/>
    <n v="0"/>
    <n v="1717.0484453567778"/>
    <n v="0"/>
    <n v="0"/>
  </r>
  <r>
    <s v="Regular"/>
    <x v="0"/>
    <x v="1"/>
    <x v="2"/>
    <x v="0"/>
    <x v="0"/>
    <x v="0"/>
    <x v="1"/>
    <x v="3"/>
    <n v="0"/>
    <n v="0"/>
    <n v="1.2589999999999999"/>
    <n v="1.2589999999999999"/>
    <n v="1.2589999999999999"/>
    <n v="1.2589999999999999"/>
    <n v="0"/>
    <x v="0"/>
    <n v="0"/>
    <n v="0"/>
    <n v="13"/>
    <n v="71"/>
    <n v="0"/>
    <n v="1391.0016000000001"/>
    <n v="259.488"/>
    <m/>
    <n v="1450.3469061334167"/>
    <n v="355.44973741322258"/>
    <n v="0"/>
    <n v="1751.2710144"/>
    <n v="326.69539199999997"/>
    <n v="0"/>
    <n v="1825.9867548219715"/>
    <n v="447.5112194032472"/>
  </r>
  <r>
    <s v="Regular"/>
    <x v="0"/>
    <x v="1"/>
    <x v="2"/>
    <x v="0"/>
    <x v="0"/>
    <x v="0"/>
    <x v="1"/>
    <x v="4"/>
    <n v="0"/>
    <n v="0"/>
    <n v="0.70099999999999996"/>
    <n v="0.70099999999999996"/>
    <n v="0.70099999999999996"/>
    <n v="0.70099999999999996"/>
    <n v="0"/>
    <x v="0"/>
    <n v="0"/>
    <n v="0"/>
    <n v="13"/>
    <n v="71"/>
    <n v="0"/>
    <n v="1391.0016000000001"/>
    <n v="259.488"/>
    <m/>
    <n v="1450.3469061334167"/>
    <n v="355.44973741322258"/>
    <n v="0"/>
    <n v="975.09212159999993"/>
    <n v="181.90108799999999"/>
    <n v="0"/>
    <n v="1016.693181199525"/>
    <n v="249.170265926669"/>
  </r>
  <r>
    <s v="Regular"/>
    <x v="0"/>
    <x v="1"/>
    <x v="2"/>
    <x v="0"/>
    <x v="0"/>
    <x v="0"/>
    <x v="1"/>
    <x v="5"/>
    <n v="0"/>
    <n v="0"/>
    <n v="2.1110000000000002"/>
    <n v="2.1110000000000002"/>
    <n v="2.1110000000000002"/>
    <n v="2.1110000000000002"/>
    <n v="0"/>
    <x v="0"/>
    <n v="0"/>
    <n v="0"/>
    <n v="13"/>
    <n v="71"/>
    <n v="0"/>
    <n v="1391.0016000000001"/>
    <n v="259.488"/>
    <m/>
    <n v="1450.3469061334167"/>
    <n v="355.44973741322258"/>
    <n v="0"/>
    <n v="2936.4043776000003"/>
    <n v="547.77916800000003"/>
    <n v="0"/>
    <n v="3061.6823188476428"/>
    <n v="750.35439567931292"/>
  </r>
  <r>
    <s v="Regular"/>
    <x v="0"/>
    <x v="1"/>
    <x v="2"/>
    <x v="0"/>
    <x v="0"/>
    <x v="0"/>
    <x v="1"/>
    <x v="6"/>
    <n v="0"/>
    <n v="0"/>
    <n v="1.43"/>
    <n v="1.43"/>
    <n v="1.43"/>
    <n v="1.43"/>
    <n v="0"/>
    <x v="0"/>
    <n v="0"/>
    <n v="0"/>
    <n v="13"/>
    <n v="71"/>
    <n v="0"/>
    <n v="1391.0016000000001"/>
    <n v="259.488"/>
    <m/>
    <n v="1450.3469061334167"/>
    <n v="355.44973741322258"/>
    <n v="0"/>
    <n v="1989.132288"/>
    <n v="371.06783999999999"/>
    <n v="0"/>
    <n v="2073.9960757707859"/>
    <n v="508.29312450090828"/>
  </r>
  <r>
    <s v="Regular"/>
    <x v="0"/>
    <x v="1"/>
    <x v="2"/>
    <x v="0"/>
    <x v="0"/>
    <x v="0"/>
    <x v="1"/>
    <x v="7"/>
    <n v="0"/>
    <n v="0"/>
    <n v="1.331"/>
    <n v="1.331"/>
    <n v="1.331"/>
    <n v="1.331"/>
    <n v="0"/>
    <x v="0"/>
    <n v="0"/>
    <n v="0"/>
    <n v="13"/>
    <n v="71"/>
    <n v="0"/>
    <n v="1391.0016000000001"/>
    <n v="259.488"/>
    <m/>
    <n v="1450.3469061334167"/>
    <n v="355.44973741322258"/>
    <n v="0"/>
    <n v="1851.4231296"/>
    <n v="345.37852800000002"/>
    <n v="0"/>
    <n v="1930.4117320635776"/>
    <n v="473.10360049699926"/>
  </r>
  <r>
    <s v="Regular"/>
    <x v="0"/>
    <x v="1"/>
    <x v="2"/>
    <x v="0"/>
    <x v="0"/>
    <x v="0"/>
    <x v="1"/>
    <x v="8"/>
    <n v="0"/>
    <n v="0"/>
    <n v="0.73199999999999998"/>
    <n v="0.73199999999999998"/>
    <n v="0.73199999999999998"/>
    <n v="0.73199999999999998"/>
    <n v="0"/>
    <x v="0"/>
    <n v="0"/>
    <n v="0"/>
    <n v="13"/>
    <n v="71"/>
    <n v="0"/>
    <n v="1391.0016000000001"/>
    <n v="259.488"/>
    <m/>
    <n v="1450.3469061334167"/>
    <n v="355.44973741322258"/>
    <n v="0"/>
    <n v="1018.2131712"/>
    <n v="189.94521599999999"/>
    <n v="0"/>
    <n v="1061.6539352896609"/>
    <n v="260.1892077864789"/>
  </r>
  <r>
    <s v="Regular"/>
    <x v="0"/>
    <x v="1"/>
    <x v="2"/>
    <x v="0"/>
    <x v="0"/>
    <x v="0"/>
    <x v="1"/>
    <x v="9"/>
    <n v="0"/>
    <n v="0"/>
    <n v="0.79300000000000004"/>
    <n v="0.79300000000000004"/>
    <n v="0.79300000000000004"/>
    <n v="0.79300000000000004"/>
    <n v="0"/>
    <x v="0"/>
    <n v="0"/>
    <n v="0"/>
    <n v="13"/>
    <n v="71"/>
    <n v="0"/>
    <n v="1391.0016000000001"/>
    <n v="259.488"/>
    <m/>
    <n v="1450.3469061334167"/>
    <n v="355.44973741322258"/>
    <n v="0"/>
    <n v="1103.0642688"/>
    <n v="205.77398400000001"/>
    <n v="0"/>
    <n v="1150.1250965637996"/>
    <n v="281.87164176868549"/>
  </r>
  <r>
    <s v="Regular"/>
    <x v="0"/>
    <x v="1"/>
    <x v="2"/>
    <x v="0"/>
    <x v="0"/>
    <x v="0"/>
    <x v="1"/>
    <x v="10"/>
    <n v="0"/>
    <n v="0"/>
    <n v="0.61499999999999999"/>
    <n v="0.61499999999999999"/>
    <n v="0.61499999999999999"/>
    <n v="0.61499999999999999"/>
    <n v="0"/>
    <x v="0"/>
    <n v="0"/>
    <n v="0"/>
    <n v="13"/>
    <n v="71"/>
    <n v="0"/>
    <n v="1391.0016000000001"/>
    <n v="259.488"/>
    <m/>
    <n v="1450.3469061334167"/>
    <n v="355.44973741322258"/>
    <n v="0"/>
    <n v="855.46598400000005"/>
    <n v="159.58511999999999"/>
    <n v="0"/>
    <n v="891.96334727205124"/>
    <n v="218.60158850913189"/>
  </r>
  <r>
    <s v="PROJETADO"/>
    <x v="0"/>
    <x v="1"/>
    <x v="2"/>
    <x v="0"/>
    <x v="0"/>
    <x v="0"/>
    <x v="1"/>
    <x v="11"/>
    <n v="0"/>
    <n v="0"/>
    <n v="0.61499999999999999"/>
    <n v="0.61499999999999999"/>
    <n v="0.61499999999999999"/>
    <n v="0.61499999999999999"/>
    <n v="0"/>
    <x v="0"/>
    <n v="0"/>
    <n v="0"/>
    <n v="13"/>
    <n v="71"/>
    <n v="0"/>
    <n v="1391.0016000000001"/>
    <n v="259.488"/>
    <m/>
    <n v="1450.3469061334167"/>
    <n v="355.44973741322258"/>
    <n v="0"/>
    <n v="855.46598400000005"/>
    <n v="159.58511999999999"/>
    <n v="0"/>
    <n v="891.96334727205124"/>
    <n v="218.60158850913189"/>
  </r>
  <r>
    <s v="Regular"/>
    <x v="0"/>
    <x v="1"/>
    <x v="3"/>
    <x v="2"/>
    <x v="0"/>
    <x v="0"/>
    <x v="2"/>
    <x v="0"/>
    <n v="35"/>
    <n v="35"/>
    <n v="0"/>
    <n v="0"/>
    <n v="0"/>
    <n v="0"/>
    <n v="1"/>
    <x v="0"/>
    <n v="0"/>
    <n v="12"/>
    <n v="0"/>
    <n v="0"/>
    <n v="18.611999999999998"/>
    <n v="0"/>
    <n v="0"/>
    <n v="19.994441680625144"/>
    <m/>
    <m/>
    <n v="651.41999999999996"/>
    <n v="0"/>
    <n v="0"/>
    <n v="699.80545882188005"/>
    <n v="0"/>
    <n v="0"/>
  </r>
  <r>
    <s v="Regular"/>
    <x v="0"/>
    <x v="1"/>
    <x v="3"/>
    <x v="2"/>
    <x v="0"/>
    <x v="0"/>
    <x v="2"/>
    <x v="1"/>
    <n v="35"/>
    <n v="35"/>
    <n v="0"/>
    <n v="0"/>
    <n v="0"/>
    <n v="0"/>
    <n v="1"/>
    <x v="0"/>
    <n v="0"/>
    <n v="12"/>
    <n v="0"/>
    <n v="0"/>
    <n v="18.611999999999998"/>
    <n v="0"/>
    <n v="0"/>
    <n v="19.994441680625144"/>
    <m/>
    <m/>
    <n v="651.41999999999996"/>
    <n v="0"/>
    <n v="0"/>
    <n v="699.80545882188005"/>
    <n v="0"/>
    <n v="0"/>
  </r>
  <r>
    <s v="Regular"/>
    <x v="0"/>
    <x v="1"/>
    <x v="3"/>
    <x v="2"/>
    <x v="0"/>
    <x v="0"/>
    <x v="2"/>
    <x v="2"/>
    <n v="35"/>
    <n v="35"/>
    <n v="0"/>
    <n v="0"/>
    <n v="0"/>
    <n v="0"/>
    <n v="1"/>
    <x v="0"/>
    <n v="0"/>
    <n v="12"/>
    <n v="0"/>
    <n v="0"/>
    <n v="18.611999999999998"/>
    <n v="0"/>
    <n v="0"/>
    <n v="19.994441680625144"/>
    <m/>
    <m/>
    <n v="651.41999999999996"/>
    <n v="0"/>
    <n v="0"/>
    <n v="699.80545882188005"/>
    <n v="0"/>
    <n v="0"/>
  </r>
  <r>
    <s v="Regular"/>
    <x v="0"/>
    <x v="1"/>
    <x v="3"/>
    <x v="2"/>
    <x v="0"/>
    <x v="0"/>
    <x v="2"/>
    <x v="3"/>
    <n v="35"/>
    <n v="35"/>
    <n v="0"/>
    <n v="0"/>
    <n v="0"/>
    <n v="0"/>
    <n v="1"/>
    <x v="0"/>
    <n v="0"/>
    <n v="12"/>
    <n v="0"/>
    <n v="0"/>
    <n v="18.611999999999998"/>
    <n v="0"/>
    <n v="0"/>
    <n v="19.994441680625144"/>
    <m/>
    <m/>
    <n v="651.41999999999996"/>
    <n v="0"/>
    <n v="0"/>
    <n v="699.80545882188005"/>
    <n v="0"/>
    <n v="0"/>
  </r>
  <r>
    <s v="Regular"/>
    <x v="0"/>
    <x v="1"/>
    <x v="3"/>
    <x v="2"/>
    <x v="0"/>
    <x v="0"/>
    <x v="2"/>
    <x v="4"/>
    <n v="35"/>
    <n v="35"/>
    <n v="0"/>
    <n v="0"/>
    <n v="0"/>
    <n v="0"/>
    <n v="1"/>
    <x v="0"/>
    <n v="0"/>
    <n v="12"/>
    <n v="0"/>
    <n v="0"/>
    <n v="18.611999999999998"/>
    <n v="0"/>
    <n v="0"/>
    <n v="19.994441680625144"/>
    <m/>
    <m/>
    <n v="651.41999999999996"/>
    <n v="0"/>
    <n v="0"/>
    <n v="699.80545882188005"/>
    <n v="0"/>
    <n v="0"/>
  </r>
  <r>
    <s v="Regular"/>
    <x v="0"/>
    <x v="1"/>
    <x v="3"/>
    <x v="2"/>
    <x v="0"/>
    <x v="0"/>
    <x v="2"/>
    <x v="5"/>
    <n v="35"/>
    <n v="35"/>
    <n v="0"/>
    <n v="0"/>
    <n v="0"/>
    <n v="0"/>
    <n v="1"/>
    <x v="0"/>
    <n v="0"/>
    <n v="12"/>
    <n v="0"/>
    <n v="0"/>
    <n v="18.611999999999998"/>
    <n v="0"/>
    <n v="0"/>
    <n v="19.994441680625144"/>
    <m/>
    <m/>
    <n v="651.41999999999996"/>
    <n v="0"/>
    <n v="0"/>
    <n v="699.80545882188005"/>
    <n v="0"/>
    <n v="0"/>
  </r>
  <r>
    <s v="Regular"/>
    <x v="0"/>
    <x v="1"/>
    <x v="3"/>
    <x v="2"/>
    <x v="0"/>
    <x v="0"/>
    <x v="2"/>
    <x v="6"/>
    <n v="35"/>
    <n v="35"/>
    <n v="0"/>
    <n v="0"/>
    <n v="0"/>
    <n v="0"/>
    <n v="1"/>
    <x v="0"/>
    <n v="0"/>
    <n v="12"/>
    <n v="0"/>
    <n v="0"/>
    <n v="18.611999999999998"/>
    <n v="0"/>
    <n v="0"/>
    <n v="19.994441680625144"/>
    <m/>
    <m/>
    <n v="651.41999999999996"/>
    <n v="0"/>
    <n v="0"/>
    <n v="699.80545882188005"/>
    <n v="0"/>
    <n v="0"/>
  </r>
  <r>
    <s v="Regular"/>
    <x v="0"/>
    <x v="1"/>
    <x v="3"/>
    <x v="2"/>
    <x v="0"/>
    <x v="0"/>
    <x v="2"/>
    <x v="7"/>
    <n v="35"/>
    <n v="35"/>
    <n v="0"/>
    <n v="0"/>
    <n v="0"/>
    <n v="0"/>
    <n v="1"/>
    <x v="0"/>
    <n v="0"/>
    <n v="12"/>
    <n v="0"/>
    <n v="0"/>
    <n v="18.611999999999998"/>
    <n v="0"/>
    <n v="0"/>
    <n v="19.994441680625144"/>
    <m/>
    <m/>
    <n v="651.41999999999996"/>
    <n v="0"/>
    <n v="0"/>
    <n v="699.80545882188005"/>
    <n v="0"/>
    <n v="0"/>
  </r>
  <r>
    <s v="Regular"/>
    <x v="0"/>
    <x v="1"/>
    <x v="3"/>
    <x v="2"/>
    <x v="0"/>
    <x v="0"/>
    <x v="2"/>
    <x v="8"/>
    <n v="35"/>
    <n v="35"/>
    <n v="0"/>
    <n v="0"/>
    <n v="0"/>
    <n v="0"/>
    <n v="1"/>
    <x v="0"/>
    <n v="0"/>
    <n v="12"/>
    <n v="0"/>
    <n v="0"/>
    <n v="18.611999999999998"/>
    <n v="0"/>
    <n v="0"/>
    <n v="19.994441680625144"/>
    <m/>
    <m/>
    <n v="651.41999999999996"/>
    <n v="0"/>
    <n v="0"/>
    <n v="699.80545882188005"/>
    <n v="0"/>
    <n v="0"/>
  </r>
  <r>
    <s v="Regular"/>
    <x v="0"/>
    <x v="1"/>
    <x v="3"/>
    <x v="2"/>
    <x v="0"/>
    <x v="0"/>
    <x v="2"/>
    <x v="9"/>
    <n v="35"/>
    <n v="35"/>
    <n v="0"/>
    <n v="0"/>
    <n v="0"/>
    <n v="0"/>
    <n v="1"/>
    <x v="0"/>
    <n v="0"/>
    <n v="12"/>
    <n v="0"/>
    <n v="0"/>
    <n v="18.611999999999998"/>
    <n v="0"/>
    <n v="0"/>
    <n v="19.994441680625144"/>
    <m/>
    <m/>
    <n v="651.41999999999996"/>
    <n v="0"/>
    <n v="0"/>
    <n v="699.80545882188005"/>
    <n v="0"/>
    <n v="0"/>
  </r>
  <r>
    <s v="Regular"/>
    <x v="0"/>
    <x v="1"/>
    <x v="3"/>
    <x v="2"/>
    <x v="0"/>
    <x v="0"/>
    <x v="2"/>
    <x v="10"/>
    <n v="35"/>
    <n v="35"/>
    <n v="0"/>
    <n v="0"/>
    <n v="0"/>
    <n v="0"/>
    <n v="1"/>
    <x v="0"/>
    <n v="0"/>
    <n v="12"/>
    <n v="0"/>
    <n v="0"/>
    <n v="18.611999999999998"/>
    <n v="0"/>
    <n v="0"/>
    <n v="19.994441680625144"/>
    <m/>
    <m/>
    <n v="651.41999999999996"/>
    <n v="0"/>
    <n v="0"/>
    <n v="699.80545882188005"/>
    <n v="0"/>
    <n v="0"/>
  </r>
  <r>
    <s v="PROJETADO"/>
    <x v="0"/>
    <x v="1"/>
    <x v="3"/>
    <x v="2"/>
    <x v="0"/>
    <x v="0"/>
    <x v="2"/>
    <x v="11"/>
    <n v="35"/>
    <n v="35"/>
    <n v="0"/>
    <n v="0"/>
    <n v="0"/>
    <n v="0"/>
    <n v="1"/>
    <x v="0"/>
    <n v="0"/>
    <n v="12"/>
    <n v="0"/>
    <n v="0"/>
    <n v="18.611999999999998"/>
    <n v="0"/>
    <n v="0"/>
    <n v="19.994441680625144"/>
    <m/>
    <m/>
    <n v="651.41999999999996"/>
    <n v="0"/>
    <n v="0"/>
    <n v="699.80545882188005"/>
    <n v="0"/>
    <n v="0"/>
  </r>
  <r>
    <s v="Regular"/>
    <x v="1"/>
    <x v="0"/>
    <x v="0"/>
    <x v="0"/>
    <x v="0"/>
    <x v="0"/>
    <x v="0"/>
    <x v="0"/>
    <n v="1773"/>
    <n v="1773"/>
    <n v="478.97800000000001"/>
    <n v="478.97800000000001"/>
    <n v="478.97800000000001"/>
    <n v="478.97800000000001"/>
    <n v="0"/>
    <x v="0"/>
    <n v="0"/>
    <n v="20"/>
    <n v="21"/>
    <n v="75"/>
    <n v="19.8"/>
    <n v="84.31"/>
    <n v="168.06"/>
    <n v="20.612826474871284"/>
    <n v="113.43802162385306"/>
    <n v="218.7322873480222"/>
    <n v="35105.4"/>
    <n v="40382.635180000005"/>
    <n v="80497.042679999999"/>
    <n v="36546.541339946787"/>
    <n v="54334.316721349889"/>
    <n v="104767.95352938097"/>
  </r>
  <r>
    <s v="Sistema Isolado - Regular"/>
    <x v="1"/>
    <x v="0"/>
    <x v="0"/>
    <x v="0"/>
    <x v="0"/>
    <x v="0"/>
    <x v="0"/>
    <x v="0"/>
    <n v="130"/>
    <n v="130"/>
    <n v="8.9600000000000009"/>
    <n v="8.9600000000000009"/>
    <n v="8.9600000000000009"/>
    <n v="8.9600000000000009"/>
    <n v="0"/>
    <x v="0"/>
    <n v="0"/>
    <n v="20"/>
    <n v="21"/>
    <n v="75"/>
    <n v="19.8"/>
    <n v="84.31"/>
    <n v="168.06"/>
    <n v="20.612826474871284"/>
    <n v="113.43802162385306"/>
    <n v="218.7322873480222"/>
    <n v="2574"/>
    <n v="755.41760000000011"/>
    <n v="1505.8176000000001"/>
    <n v="2679.667441733267"/>
    <n v="1016.4046737497235"/>
    <n v="1959.8412946382791"/>
  </r>
  <r>
    <s v="Regular"/>
    <x v="1"/>
    <x v="0"/>
    <x v="0"/>
    <x v="0"/>
    <x v="0"/>
    <x v="0"/>
    <x v="0"/>
    <x v="1"/>
    <n v="1811"/>
    <n v="1811"/>
    <n v="489.76299999999998"/>
    <n v="489.76299999999998"/>
    <n v="489.76299999999998"/>
    <n v="489.76299999999998"/>
    <n v="0"/>
    <x v="0"/>
    <n v="0"/>
    <n v="20"/>
    <n v="21"/>
    <n v="75"/>
    <n v="19.8"/>
    <n v="84.31"/>
    <n v="168.06"/>
    <n v="20.612826474871284"/>
    <n v="113.43802162385306"/>
    <n v="218.7322873480222"/>
    <n v="35857.800000000003"/>
    <n v="41291.918530000003"/>
    <n v="82309.569779999991"/>
    <n v="37329.828745991894"/>
    <n v="55557.745784563143"/>
    <n v="107126.98124842939"/>
  </r>
  <r>
    <s v="Sistema Isolado - Regular"/>
    <x v="1"/>
    <x v="0"/>
    <x v="0"/>
    <x v="0"/>
    <x v="0"/>
    <x v="0"/>
    <x v="0"/>
    <x v="1"/>
    <n v="130"/>
    <n v="130"/>
    <n v="8.9600000000000009"/>
    <n v="8.9600000000000009"/>
    <n v="8.9600000000000009"/>
    <n v="8.9600000000000009"/>
    <n v="0"/>
    <x v="0"/>
    <n v="0"/>
    <n v="20"/>
    <n v="21"/>
    <n v="75"/>
    <n v="19.8"/>
    <n v="84.31"/>
    <n v="168.06"/>
    <n v="20.612826474871284"/>
    <n v="113.43802162385306"/>
    <n v="218.7322873480222"/>
    <n v="2574"/>
    <n v="755.41760000000011"/>
    <n v="1505.8176000000001"/>
    <n v="2679.667441733267"/>
    <n v="1016.4046737497235"/>
    <n v="1959.8412946382791"/>
  </r>
  <r>
    <s v="Regular"/>
    <x v="1"/>
    <x v="0"/>
    <x v="0"/>
    <x v="0"/>
    <x v="0"/>
    <x v="0"/>
    <x v="0"/>
    <x v="2"/>
    <n v="2467"/>
    <n v="2467"/>
    <n v="586.88"/>
    <n v="586.88"/>
    <n v="586.88"/>
    <n v="586.88"/>
    <n v="0"/>
    <x v="0"/>
    <n v="0"/>
    <n v="20"/>
    <n v="21"/>
    <n v="75"/>
    <n v="19.8"/>
    <n v="84.31"/>
    <n v="168.06"/>
    <n v="20.612826474871284"/>
    <n v="113.43802162385306"/>
    <n v="218.7322873480222"/>
    <n v="48846.6"/>
    <n v="49479.852800000001"/>
    <n v="98631.052800000005"/>
    <n v="50851.842913507455"/>
    <n v="66574.506130606882"/>
    <n v="128369.60479880727"/>
  </r>
  <r>
    <s v="Sistema Isolado - Regular"/>
    <x v="1"/>
    <x v="0"/>
    <x v="0"/>
    <x v="0"/>
    <x v="0"/>
    <x v="0"/>
    <x v="0"/>
    <x v="2"/>
    <n v="130"/>
    <n v="130"/>
    <n v="9.3949999999999996"/>
    <n v="9.3949999999999996"/>
    <n v="9.3949999999999996"/>
    <n v="9.3949999999999996"/>
    <n v="0"/>
    <x v="0"/>
    <n v="0"/>
    <n v="20"/>
    <n v="21"/>
    <n v="75"/>
    <n v="19.8"/>
    <n v="84.31"/>
    <n v="168.06"/>
    <n v="20.612826474871284"/>
    <n v="113.43802162385306"/>
    <n v="218.7322873480222"/>
    <n v="2574"/>
    <n v="792.09244999999999"/>
    <n v="1578.9237000000001"/>
    <n v="2679.667441733267"/>
    <n v="1065.7502131560996"/>
    <n v="2054.9898396346684"/>
  </r>
  <r>
    <s v="Regular"/>
    <x v="1"/>
    <x v="0"/>
    <x v="0"/>
    <x v="0"/>
    <x v="0"/>
    <x v="0"/>
    <x v="0"/>
    <x v="3"/>
    <n v="2478"/>
    <n v="2478"/>
    <n v="607.45799999999997"/>
    <n v="607.45799999999997"/>
    <n v="607.45799999999997"/>
    <n v="607.45799999999997"/>
    <n v="0"/>
    <x v="0"/>
    <n v="0"/>
    <n v="20"/>
    <n v="21"/>
    <n v="75"/>
    <n v="19.8"/>
    <n v="84.31"/>
    <n v="168.06"/>
    <n v="20.612826474871284"/>
    <n v="113.43802162385306"/>
    <n v="218.7322873480222"/>
    <n v="49064.4"/>
    <n v="51214.78398"/>
    <n v="102089.39147999999"/>
    <n v="51078.584004731041"/>
    <n v="68908.833739582522"/>
    <n v="132870.67780785487"/>
  </r>
  <r>
    <s v="Refaturamento - Regular"/>
    <x v="1"/>
    <x v="0"/>
    <x v="0"/>
    <x v="0"/>
    <x v="0"/>
    <x v="0"/>
    <x v="0"/>
    <x v="3"/>
    <n v="0"/>
    <n v="0"/>
    <n v="-9.9600000000000009"/>
    <n v="-9.9600000000000009"/>
    <n v="-9.9600000000000009"/>
    <n v="-9.9600000000000009"/>
    <n v="0"/>
    <x v="0"/>
    <n v="0"/>
    <n v="0"/>
    <n v="21"/>
    <n v="75"/>
    <n v="0"/>
    <n v="84.31"/>
    <n v="168.06"/>
    <n v="20.612826474871284"/>
    <n v="113.43802162385306"/>
    <n v="218.7322873480222"/>
    <n v="0"/>
    <n v="-839.72760000000005"/>
    <n v="-1673.8776000000003"/>
    <n v="0"/>
    <n v="-1129.8426953735766"/>
    <n v="-2178.5735819863012"/>
  </r>
  <r>
    <s v="Sistema Isolado - Regular"/>
    <x v="1"/>
    <x v="0"/>
    <x v="0"/>
    <x v="0"/>
    <x v="0"/>
    <x v="0"/>
    <x v="0"/>
    <x v="3"/>
    <n v="130"/>
    <n v="130"/>
    <n v="8.2460000000000004"/>
    <n v="8.2460000000000004"/>
    <n v="8.2460000000000004"/>
    <n v="8.2460000000000004"/>
    <n v="0"/>
    <x v="0"/>
    <n v="0"/>
    <n v="20"/>
    <n v="21"/>
    <n v="75"/>
    <n v="19.8"/>
    <n v="84.31"/>
    <n v="168.06"/>
    <n v="20.612826474871284"/>
    <n v="113.43802162385306"/>
    <n v="218.7322873480222"/>
    <n v="2574"/>
    <n v="695.22026000000005"/>
    <n v="1385.82276"/>
    <n v="2679.667441733267"/>
    <n v="935.40992631029235"/>
    <n v="1803.6664414717911"/>
  </r>
  <r>
    <s v="Regular"/>
    <x v="1"/>
    <x v="0"/>
    <x v="0"/>
    <x v="0"/>
    <x v="0"/>
    <x v="0"/>
    <x v="0"/>
    <x v="4"/>
    <n v="2554"/>
    <n v="2554"/>
    <n v="629.32000000000005"/>
    <n v="629.32000000000005"/>
    <n v="629.32000000000005"/>
    <n v="629.32000000000005"/>
    <n v="0"/>
    <x v="0"/>
    <n v="0"/>
    <n v="20"/>
    <n v="21"/>
    <n v="75"/>
    <n v="19.8"/>
    <n v="84.31"/>
    <n v="168.06"/>
    <n v="20.612826474871284"/>
    <n v="113.43802162385306"/>
    <n v="218.7322873480222"/>
    <n v="50569.200000000004"/>
    <n v="53057.969200000007"/>
    <n v="105763.51920000001"/>
    <n v="52645.158816821262"/>
    <n v="71388.815768323213"/>
    <n v="137652.60307385735"/>
  </r>
  <r>
    <s v="Sistema Isolado - Regular"/>
    <x v="1"/>
    <x v="0"/>
    <x v="0"/>
    <x v="0"/>
    <x v="0"/>
    <x v="0"/>
    <x v="0"/>
    <x v="4"/>
    <n v="130"/>
    <n v="130"/>
    <n v="9.0210000000000008"/>
    <n v="9.0210000000000008"/>
    <n v="9.0210000000000008"/>
    <n v="9.0210000000000008"/>
    <n v="0"/>
    <x v="0"/>
    <n v="0"/>
    <n v="20"/>
    <n v="21"/>
    <n v="75"/>
    <n v="19.8"/>
    <n v="84.31"/>
    <n v="168.06"/>
    <n v="20.612826474871284"/>
    <n v="113.43802162385306"/>
    <n v="218.7322873480222"/>
    <n v="2574"/>
    <n v="760.56051000000014"/>
    <n v="1516.0692600000002"/>
    <n v="2679.667441733267"/>
    <n v="1023.3243930687786"/>
    <n v="1973.1839641665083"/>
  </r>
  <r>
    <s v="Regular"/>
    <x v="1"/>
    <x v="0"/>
    <x v="0"/>
    <x v="0"/>
    <x v="0"/>
    <x v="0"/>
    <x v="0"/>
    <x v="5"/>
    <n v="2560"/>
    <n v="2560"/>
    <n v="646.39300000000003"/>
    <n v="646.39300000000003"/>
    <n v="646.39300000000003"/>
    <n v="646.39300000000003"/>
    <n v="0"/>
    <x v="0"/>
    <n v="0"/>
    <n v="20"/>
    <n v="21"/>
    <n v="75"/>
    <n v="19.8"/>
    <n v="84.31"/>
    <n v="168.06"/>
    <n v="20.612826474871284"/>
    <n v="113.43802162385306"/>
    <n v="218.7322873480222"/>
    <n v="50688"/>
    <n v="54497.393830000001"/>
    <n v="108632.80758000001"/>
    <n v="52768.835775670486"/>
    <n v="73325.543111507257"/>
    <n v="141387.01941575011"/>
  </r>
  <r>
    <s v="Sistema Isolado - Regular"/>
    <x v="1"/>
    <x v="0"/>
    <x v="0"/>
    <x v="0"/>
    <x v="0"/>
    <x v="0"/>
    <x v="0"/>
    <x v="5"/>
    <n v="130"/>
    <n v="130"/>
    <n v="8.6969999999999992"/>
    <n v="8.6969999999999992"/>
    <n v="8.6969999999999992"/>
    <n v="8.6969999999999992"/>
    <n v="0"/>
    <x v="0"/>
    <n v="0"/>
    <n v="20"/>
    <n v="21"/>
    <n v="75"/>
    <n v="19.8"/>
    <n v="84.31"/>
    <n v="168.06"/>
    <n v="20.612826474871284"/>
    <n v="113.43802162385306"/>
    <n v="218.7322873480222"/>
    <n v="2574"/>
    <n v="733.24406999999997"/>
    <n v="1461.6178199999999"/>
    <n v="2679.667441733267"/>
    <n v="986.57047406264996"/>
    <n v="1902.314703065749"/>
  </r>
  <r>
    <s v="Regular"/>
    <x v="1"/>
    <x v="0"/>
    <x v="0"/>
    <x v="0"/>
    <x v="0"/>
    <x v="0"/>
    <x v="0"/>
    <x v="6"/>
    <n v="2516"/>
    <n v="2516"/>
    <n v="577.08799999999997"/>
    <n v="577.08799999999997"/>
    <n v="577.08799999999997"/>
    <n v="577.08799999999997"/>
    <n v="0"/>
    <x v="0"/>
    <n v="0"/>
    <n v="20"/>
    <n v="21"/>
    <n v="75"/>
    <n v="19.8"/>
    <n v="84.31"/>
    <n v="168.06"/>
    <n v="20.612826474871284"/>
    <n v="113.43802162385306"/>
    <n v="218.7322873480222"/>
    <n v="49816.800000000003"/>
    <n v="48654.289279999997"/>
    <n v="96985.409279999993"/>
    <n v="51861.871410776148"/>
    <n v="65463.721022866113"/>
    <n v="126227.77824109542"/>
  </r>
  <r>
    <s v="Sistema Isolado - Regular"/>
    <x v="1"/>
    <x v="0"/>
    <x v="0"/>
    <x v="0"/>
    <x v="0"/>
    <x v="0"/>
    <x v="0"/>
    <x v="6"/>
    <n v="130"/>
    <n v="130"/>
    <n v="8.875"/>
    <n v="8.875"/>
    <n v="8.875"/>
    <n v="8.875"/>
    <n v="0"/>
    <x v="0"/>
    <n v="0"/>
    <n v="20"/>
    <n v="21"/>
    <n v="75"/>
    <n v="19.8"/>
    <n v="84.31"/>
    <n v="168.06"/>
    <n v="20.612826474871284"/>
    <n v="113.43802162385306"/>
    <n v="218.7322873480222"/>
    <n v="2574"/>
    <n v="748.25125000000003"/>
    <n v="1491.5325"/>
    <n v="2679.667441733267"/>
    <n v="1006.7624419116959"/>
    <n v="1941.249050213697"/>
  </r>
  <r>
    <s v="Regular"/>
    <x v="1"/>
    <x v="0"/>
    <x v="0"/>
    <x v="0"/>
    <x v="0"/>
    <x v="0"/>
    <x v="0"/>
    <x v="7"/>
    <n v="2528"/>
    <n v="2528"/>
    <n v="617.68600000000004"/>
    <n v="617.68600000000004"/>
    <n v="617.68600000000004"/>
    <n v="617.68600000000004"/>
    <n v="0"/>
    <x v="0"/>
    <n v="0"/>
    <n v="20"/>
    <n v="21"/>
    <n v="75"/>
    <n v="19.8"/>
    <n v="84.31"/>
    <n v="168.06"/>
    <n v="20.612826474871284"/>
    <n v="113.43802162385306"/>
    <n v="218.7322873480222"/>
    <n v="50054.400000000001"/>
    <n v="52077.106660000005"/>
    <n v="103808.30916"/>
    <n v="52109.225328474604"/>
    <n v="70069.077824751308"/>
    <n v="135107.87164285046"/>
  </r>
  <r>
    <s v="Sistema Isolado - Regular"/>
    <x v="1"/>
    <x v="0"/>
    <x v="0"/>
    <x v="0"/>
    <x v="0"/>
    <x v="0"/>
    <x v="0"/>
    <x v="7"/>
    <n v="130"/>
    <n v="130"/>
    <n v="8.7219999999999995"/>
    <n v="8.7219999999999995"/>
    <n v="8.7219999999999995"/>
    <n v="8.7219999999999995"/>
    <n v="0"/>
    <x v="0"/>
    <n v="0"/>
    <n v="20"/>
    <n v="21"/>
    <n v="75"/>
    <n v="19.8"/>
    <n v="84.31"/>
    <n v="168.06"/>
    <n v="20.612826474871284"/>
    <n v="113.43802162385306"/>
    <n v="218.7322873480222"/>
    <n v="2574"/>
    <n v="735.35181999999998"/>
    <n v="1465.8193199999998"/>
    <n v="2679.667441733267"/>
    <n v="989.40642460324636"/>
    <n v="1907.7830102494495"/>
  </r>
  <r>
    <s v="Regular"/>
    <x v="1"/>
    <x v="0"/>
    <x v="0"/>
    <x v="0"/>
    <x v="0"/>
    <x v="0"/>
    <x v="0"/>
    <x v="8"/>
    <n v="2562"/>
    <n v="2562"/>
    <n v="619.73800000000006"/>
    <n v="619.73800000000006"/>
    <n v="619.73800000000006"/>
    <n v="619.73800000000006"/>
    <n v="0"/>
    <x v="0"/>
    <n v="0"/>
    <n v="20"/>
    <n v="21"/>
    <n v="75"/>
    <n v="19.8"/>
    <n v="84.31"/>
    <n v="168.06"/>
    <n v="20.612826474871284"/>
    <n v="113.43802162385306"/>
    <n v="218.7322873480222"/>
    <n v="50727.6"/>
    <n v="52250.110780000003"/>
    <n v="104153.16828000001"/>
    <n v="52810.061428620225"/>
    <n v="70301.85264512345"/>
    <n v="135556.7102964886"/>
  </r>
  <r>
    <s v="Sistema Isolado - Regular"/>
    <x v="1"/>
    <x v="0"/>
    <x v="0"/>
    <x v="0"/>
    <x v="0"/>
    <x v="0"/>
    <x v="0"/>
    <x v="8"/>
    <n v="130"/>
    <n v="130"/>
    <n v="9.4540000000000006"/>
    <n v="9.4540000000000006"/>
    <n v="9.4540000000000006"/>
    <n v="9.4540000000000006"/>
    <n v="0"/>
    <x v="0"/>
    <n v="0"/>
    <n v="20"/>
    <n v="21"/>
    <n v="75"/>
    <n v="19.8"/>
    <n v="84.31"/>
    <n v="168.06"/>
    <n v="20.612826474871284"/>
    <n v="113.43802162385306"/>
    <n v="218.7322873480222"/>
    <n v="2574"/>
    <n v="797.0667400000001"/>
    <n v="1588.83924"/>
    <n v="2679.667441733267"/>
    <n v="1072.4430564319068"/>
    <n v="2067.8950445882019"/>
  </r>
  <r>
    <s v="Regular"/>
    <x v="1"/>
    <x v="0"/>
    <x v="0"/>
    <x v="0"/>
    <x v="0"/>
    <x v="0"/>
    <x v="0"/>
    <x v="9"/>
    <n v="2384"/>
    <n v="2384"/>
    <n v="571.19000000000005"/>
    <n v="571.19000000000005"/>
    <n v="571.19000000000005"/>
    <n v="571.19000000000005"/>
    <n v="0"/>
    <x v="0"/>
    <n v="0"/>
    <n v="20"/>
    <n v="21"/>
    <n v="75"/>
    <n v="19.8"/>
    <n v="84.31"/>
    <n v="168.06"/>
    <n v="20.612826474871284"/>
    <n v="113.43802162385306"/>
    <n v="218.7322873480222"/>
    <n v="47203.200000000004"/>
    <n v="48157.028900000005"/>
    <n v="95994.191400000011"/>
    <n v="49140.97831609314"/>
    <n v="64794.663571328638"/>
    <n v="124937.69521031682"/>
  </r>
  <r>
    <s v="Sistema Isolado - Regular"/>
    <x v="1"/>
    <x v="0"/>
    <x v="0"/>
    <x v="0"/>
    <x v="0"/>
    <x v="0"/>
    <x v="0"/>
    <x v="9"/>
    <n v="130"/>
    <n v="130"/>
    <n v="9.0190000000000001"/>
    <n v="9.0190000000000001"/>
    <n v="9.0190000000000001"/>
    <n v="9.0190000000000001"/>
    <n v="0"/>
    <x v="0"/>
    <n v="0"/>
    <n v="20"/>
    <n v="21"/>
    <n v="75"/>
    <n v="19.8"/>
    <n v="84.31"/>
    <n v="168.06"/>
    <n v="20.612826474871284"/>
    <n v="113.43802162385306"/>
    <n v="218.7322873480222"/>
    <n v="2574"/>
    <n v="760.39188999999999"/>
    <n v="1515.73314"/>
    <n v="2679.667441733267"/>
    <n v="1023.0975170255308"/>
    <n v="1972.7464995918122"/>
  </r>
  <r>
    <s v="Regular"/>
    <x v="1"/>
    <x v="0"/>
    <x v="0"/>
    <x v="0"/>
    <x v="0"/>
    <x v="0"/>
    <x v="0"/>
    <x v="10"/>
    <n v="2387"/>
    <n v="2387"/>
    <n v="623.178"/>
    <n v="623.178"/>
    <n v="623.178"/>
    <n v="623.178"/>
    <n v="0"/>
    <x v="0"/>
    <n v="0"/>
    <n v="20"/>
    <n v="21"/>
    <n v="75"/>
    <n v="19.8"/>
    <n v="84.31"/>
    <n v="168.06"/>
    <n v="20.612826474871284"/>
    <n v="113.43802162385306"/>
    <n v="218.7322873480222"/>
    <n v="47262.6"/>
    <n v="52540.137179999998"/>
    <n v="104731.29468000001"/>
    <n v="49202.816795517756"/>
    <n v="70692.0794395095"/>
    <n v="136309.14936496576"/>
  </r>
  <r>
    <s v="Refaturamento - Regular"/>
    <x v="1"/>
    <x v="0"/>
    <x v="0"/>
    <x v="0"/>
    <x v="0"/>
    <x v="0"/>
    <x v="0"/>
    <x v="10"/>
    <n v="0"/>
    <n v="0"/>
    <n v="-2.6440000000000001"/>
    <n v="-2.6440000000000001"/>
    <n v="-2.6440000000000001"/>
    <n v="-2.6440000000000001"/>
    <n v="0"/>
    <x v="0"/>
    <n v="0"/>
    <n v="0"/>
    <n v="21"/>
    <n v="75"/>
    <n v="0"/>
    <n v="84.31"/>
    <n v="168.06"/>
    <n v="20.612826474871284"/>
    <n v="113.43802162385306"/>
    <n v="218.7322873480222"/>
    <n v="0"/>
    <n v="-222.91564000000002"/>
    <n v="-444.35064000000006"/>
    <n v="0"/>
    <n v="-299.93012917346749"/>
    <n v="-578.3281677481707"/>
  </r>
  <r>
    <s v="Sistema Isolado - Regular"/>
    <x v="1"/>
    <x v="0"/>
    <x v="0"/>
    <x v="0"/>
    <x v="0"/>
    <x v="0"/>
    <x v="0"/>
    <x v="10"/>
    <n v="130"/>
    <n v="130"/>
    <n v="9.3919999999999995"/>
    <n v="9.3919999999999995"/>
    <n v="9.3919999999999995"/>
    <n v="9.3919999999999995"/>
    <n v="0"/>
    <x v="0"/>
    <n v="0"/>
    <n v="20"/>
    <n v="21"/>
    <n v="75"/>
    <n v="19.8"/>
    <n v="84.31"/>
    <n v="168.06"/>
    <n v="20.612826474871284"/>
    <n v="113.43802162385306"/>
    <n v="218.7322873480222"/>
    <n v="2574"/>
    <n v="791.83951999999999"/>
    <n v="1578.4195199999999"/>
    <n v="2679.667441733267"/>
    <n v="1065.409899091228"/>
    <n v="2054.3336427726244"/>
  </r>
  <r>
    <s v="PROJETADO"/>
    <x v="1"/>
    <x v="0"/>
    <x v="0"/>
    <x v="0"/>
    <x v="0"/>
    <x v="0"/>
    <x v="0"/>
    <x v="11"/>
    <n v="2387"/>
    <n v="2387"/>
    <n v="623.178"/>
    <n v="623.178"/>
    <n v="623.178"/>
    <n v="623.178"/>
    <n v="0"/>
    <x v="0"/>
    <n v="0"/>
    <n v="20"/>
    <n v="21"/>
    <n v="75"/>
    <n v="19.8"/>
    <n v="84.31"/>
    <n v="168.06"/>
    <n v="20.612826474871284"/>
    <n v="113.43802162385306"/>
    <n v="218.7322873480222"/>
    <n v="47262.6"/>
    <n v="52540.137179999998"/>
    <n v="104731.29468000001"/>
    <n v="49202.816795517756"/>
    <n v="70692.0794395095"/>
    <n v="136309.14936496576"/>
  </r>
  <r>
    <s v="PROJETADO"/>
    <x v="1"/>
    <x v="0"/>
    <x v="0"/>
    <x v="0"/>
    <x v="0"/>
    <x v="0"/>
    <x v="0"/>
    <x v="11"/>
    <n v="0"/>
    <n v="0"/>
    <n v="-2.6440000000000001"/>
    <n v="-2.6440000000000001"/>
    <n v="-2.6440000000000001"/>
    <n v="-2.6440000000000001"/>
    <n v="0"/>
    <x v="0"/>
    <n v="0"/>
    <n v="0"/>
    <n v="21"/>
    <n v="75"/>
    <n v="0"/>
    <n v="84.31"/>
    <n v="168.06"/>
    <n v="20.612826474871284"/>
    <n v="113.43802162385306"/>
    <n v="218.7322873480222"/>
    <n v="0"/>
    <n v="-222.91564000000002"/>
    <n v="-444.35064000000006"/>
    <n v="0"/>
    <n v="-299.93012917346749"/>
    <n v="-578.3281677481707"/>
  </r>
  <r>
    <s v="PROJETADO"/>
    <x v="1"/>
    <x v="0"/>
    <x v="0"/>
    <x v="0"/>
    <x v="0"/>
    <x v="0"/>
    <x v="0"/>
    <x v="11"/>
    <n v="130"/>
    <n v="130"/>
    <n v="9.3919999999999995"/>
    <n v="9.3919999999999995"/>
    <n v="9.3919999999999995"/>
    <n v="9.3919999999999995"/>
    <n v="0"/>
    <x v="0"/>
    <n v="0"/>
    <n v="20"/>
    <n v="21"/>
    <n v="75"/>
    <n v="19.8"/>
    <n v="84.31"/>
    <n v="168.06"/>
    <n v="20.612826474871284"/>
    <n v="113.43802162385306"/>
    <n v="218.7322873480222"/>
    <n v="2574"/>
    <n v="791.83951999999999"/>
    <n v="1578.4195199999999"/>
    <n v="2679.667441733267"/>
    <n v="1065.409899091228"/>
    <n v="2054.3336427726244"/>
  </r>
  <r>
    <s v="Regular"/>
    <x v="1"/>
    <x v="0"/>
    <x v="0"/>
    <x v="0"/>
    <x v="0"/>
    <x v="0"/>
    <x v="1"/>
    <x v="0"/>
    <n v="1579"/>
    <n v="1579"/>
    <n v="49.622999999999998"/>
    <n v="49.622999999999998"/>
    <n v="49.622999999999998"/>
    <n v="49.622999999999998"/>
    <n v="0"/>
    <x v="0"/>
    <n v="0"/>
    <n v="19"/>
    <n v="21"/>
    <n v="74"/>
    <n v="56.22"/>
    <n v="84.31"/>
    <n v="270.3"/>
    <n v="56.30075009771577"/>
    <n v="113.43802162385306"/>
    <n v="362.70381368696184"/>
    <n v="88771.38"/>
    <n v="4183.7151299999996"/>
    <n v="13413.0969"/>
    <n v="88898.884404293203"/>
    <n v="5629.1349470404602"/>
    <n v="17998.451346588106"/>
  </r>
  <r>
    <s v="Sistema Isolado - Regular"/>
    <x v="1"/>
    <x v="0"/>
    <x v="0"/>
    <x v="0"/>
    <x v="0"/>
    <x v="0"/>
    <x v="1"/>
    <x v="0"/>
    <n v="40"/>
    <n v="40"/>
    <n v="1.1200000000000001"/>
    <n v="1.1200000000000001"/>
    <n v="1.1200000000000001"/>
    <n v="1.1200000000000001"/>
    <n v="0"/>
    <x v="0"/>
    <n v="0"/>
    <n v="19"/>
    <n v="21"/>
    <n v="74"/>
    <n v="56.22"/>
    <n v="84.31"/>
    <n v="270.3"/>
    <n v="56.30075009771577"/>
    <n v="113.43802162385306"/>
    <n v="362.70381368696184"/>
    <n v="2248.8000000000002"/>
    <n v="94.427200000000013"/>
    <n v="302.73600000000005"/>
    <n v="2252.030003908631"/>
    <n v="127.05058421871544"/>
    <n v="406.22827132939727"/>
  </r>
  <r>
    <s v="Regular"/>
    <x v="1"/>
    <x v="0"/>
    <x v="0"/>
    <x v="0"/>
    <x v="0"/>
    <x v="0"/>
    <x v="1"/>
    <x v="1"/>
    <n v="1614"/>
    <n v="1614"/>
    <n v="49.591000000000001"/>
    <n v="49.591000000000001"/>
    <n v="49.591000000000001"/>
    <n v="49.591000000000001"/>
    <n v="0"/>
    <x v="0"/>
    <n v="0"/>
    <n v="19"/>
    <n v="21"/>
    <n v="74"/>
    <n v="56.22"/>
    <n v="84.31"/>
    <n v="270.3"/>
    <n v="56.30075009771577"/>
    <n v="113.43802162385306"/>
    <n v="362.70381368696184"/>
    <n v="90739.08"/>
    <n v="4181.01721"/>
    <n v="13404.447300000002"/>
    <n v="90869.410657713248"/>
    <n v="5625.5049303484975"/>
    <n v="17986.844824550124"/>
  </r>
  <r>
    <s v="Sistema Isolado - Regular"/>
    <x v="1"/>
    <x v="0"/>
    <x v="0"/>
    <x v="0"/>
    <x v="0"/>
    <x v="0"/>
    <x v="1"/>
    <x v="1"/>
    <n v="40"/>
    <n v="40"/>
    <n v="0.56000000000000005"/>
    <n v="0.56000000000000005"/>
    <n v="0.56000000000000005"/>
    <n v="0.56000000000000005"/>
    <n v="0"/>
    <x v="0"/>
    <n v="0"/>
    <n v="19"/>
    <n v="21"/>
    <n v="74"/>
    <n v="56.22"/>
    <n v="84.31"/>
    <n v="270.3"/>
    <n v="56.30075009771577"/>
    <n v="113.43802162385306"/>
    <n v="362.70381368696184"/>
    <n v="2248.8000000000002"/>
    <n v="47.213600000000007"/>
    <n v="151.36800000000002"/>
    <n v="2252.030003908631"/>
    <n v="63.525292109357721"/>
    <n v="203.11413566469864"/>
  </r>
  <r>
    <s v="Regular"/>
    <x v="1"/>
    <x v="0"/>
    <x v="0"/>
    <x v="0"/>
    <x v="0"/>
    <x v="0"/>
    <x v="1"/>
    <x v="2"/>
    <n v="2159"/>
    <n v="2159"/>
    <n v="58.023000000000003"/>
    <n v="58.023000000000003"/>
    <n v="58.023000000000003"/>
    <n v="58.023000000000003"/>
    <n v="0"/>
    <x v="0"/>
    <n v="0"/>
    <n v="19"/>
    <n v="21"/>
    <n v="74"/>
    <n v="56.22"/>
    <n v="84.31"/>
    <n v="270.3"/>
    <n v="56.30075009771577"/>
    <n v="113.43802162385306"/>
    <n v="362.70381368696184"/>
    <n v="121378.98"/>
    <n v="4891.9191300000002"/>
    <n v="15683.616900000001"/>
    <n v="121553.31946096834"/>
    <n v="6582.0143286808261"/>
    <n v="21045.163381558588"/>
  </r>
  <r>
    <s v="Sistema Isolado - Regular"/>
    <x v="1"/>
    <x v="0"/>
    <x v="0"/>
    <x v="0"/>
    <x v="0"/>
    <x v="0"/>
    <x v="1"/>
    <x v="2"/>
    <n v="40"/>
    <n v="40"/>
    <n v="1.0189999999999999"/>
    <n v="1.0189999999999999"/>
    <n v="1.0189999999999999"/>
    <n v="1.0189999999999999"/>
    <n v="0"/>
    <x v="0"/>
    <n v="0"/>
    <n v="19"/>
    <n v="21"/>
    <n v="74"/>
    <n v="56.22"/>
    <n v="84.31"/>
    <n v="270.3"/>
    <n v="56.30075009771577"/>
    <n v="113.43802162385306"/>
    <n v="362.70381368696184"/>
    <n v="2248.8000000000002"/>
    <n v="85.91189"/>
    <n v="275.4357"/>
    <n v="2252.030003908631"/>
    <n v="115.59334403470626"/>
    <n v="369.59518614701409"/>
  </r>
  <r>
    <s v="Regular"/>
    <x v="1"/>
    <x v="0"/>
    <x v="0"/>
    <x v="0"/>
    <x v="0"/>
    <x v="0"/>
    <x v="1"/>
    <x v="3"/>
    <n v="2165"/>
    <n v="2165"/>
    <n v="60.366999999999997"/>
    <n v="60.366999999999997"/>
    <n v="60.366999999999997"/>
    <n v="60.366999999999997"/>
    <n v="0"/>
    <x v="0"/>
    <n v="0"/>
    <n v="19"/>
    <n v="21"/>
    <n v="74"/>
    <n v="56.22"/>
    <n v="84.31"/>
    <n v="270.3"/>
    <n v="56.30075009771577"/>
    <n v="113.43802162385306"/>
    <n v="362.70381368696184"/>
    <n v="121716.3"/>
    <n v="5089.5417699999998"/>
    <n v="16317.2001"/>
    <n v="121891.12396155464"/>
    <n v="6847.9130513671371"/>
    <n v="21895.341120840825"/>
  </r>
  <r>
    <s v="Sistema Isolado - Regular"/>
    <x v="1"/>
    <x v="0"/>
    <x v="0"/>
    <x v="0"/>
    <x v="0"/>
    <x v="0"/>
    <x v="1"/>
    <x v="3"/>
    <n v="40"/>
    <n v="40"/>
    <n v="0.76200000000000001"/>
    <n v="0.76200000000000001"/>
    <n v="0.76200000000000001"/>
    <n v="0.76200000000000001"/>
    <n v="0"/>
    <x v="0"/>
    <n v="0"/>
    <n v="19"/>
    <n v="21"/>
    <n v="74"/>
    <n v="56.22"/>
    <n v="84.31"/>
    <n v="270.3"/>
    <n v="56.30075009771577"/>
    <n v="113.43802162385306"/>
    <n v="362.70381368696184"/>
    <n v="2248.8000000000002"/>
    <n v="64.244219999999999"/>
    <n v="205.96860000000001"/>
    <n v="2252.030003908631"/>
    <n v="86.439772477376039"/>
    <n v="276.38030602946492"/>
  </r>
  <r>
    <s v="Regular"/>
    <x v="1"/>
    <x v="0"/>
    <x v="0"/>
    <x v="0"/>
    <x v="0"/>
    <x v="0"/>
    <x v="1"/>
    <x v="4"/>
    <n v="2176"/>
    <n v="2176"/>
    <n v="55.744"/>
    <n v="55.744"/>
    <n v="55.744"/>
    <n v="55.744"/>
    <n v="0"/>
    <x v="0"/>
    <n v="0"/>
    <n v="19"/>
    <n v="21"/>
    <n v="74"/>
    <n v="56.22"/>
    <n v="84.31"/>
    <n v="270.3"/>
    <n v="56.30075009771577"/>
    <n v="113.43802162385306"/>
    <n v="362.70381368696184"/>
    <n v="122334.72"/>
    <n v="4699.77664"/>
    <n v="15067.603200000001"/>
    <n v="122510.43221262952"/>
    <n v="6323.4890774000651"/>
    <n v="20218.561390166"/>
  </r>
  <r>
    <s v="Sistema Isolado - Regular"/>
    <x v="1"/>
    <x v="0"/>
    <x v="0"/>
    <x v="0"/>
    <x v="0"/>
    <x v="0"/>
    <x v="1"/>
    <x v="4"/>
    <n v="40"/>
    <n v="40"/>
    <n v="0.84499999999999997"/>
    <n v="0.84499999999999997"/>
    <n v="0.84499999999999997"/>
    <n v="0.84499999999999997"/>
    <n v="0"/>
    <x v="0"/>
    <n v="0"/>
    <n v="19"/>
    <n v="21"/>
    <n v="74"/>
    <n v="56.22"/>
    <n v="84.31"/>
    <n v="270.3"/>
    <n v="56.30075009771577"/>
    <n v="113.43802162385306"/>
    <n v="362.70381368696184"/>
    <n v="2248.8000000000002"/>
    <n v="71.241950000000003"/>
    <n v="228.40350000000001"/>
    <n v="2252.030003908631"/>
    <n v="95.855128272155838"/>
    <n v="306.48472256548274"/>
  </r>
  <r>
    <s v="Regular"/>
    <x v="1"/>
    <x v="0"/>
    <x v="0"/>
    <x v="0"/>
    <x v="0"/>
    <x v="0"/>
    <x v="1"/>
    <x v="5"/>
    <n v="2189"/>
    <n v="2189"/>
    <n v="61.994999999999997"/>
    <n v="61.994999999999997"/>
    <n v="61.994999999999997"/>
    <n v="61.994999999999997"/>
    <n v="0"/>
    <x v="0"/>
    <n v="0"/>
    <n v="19"/>
    <n v="21"/>
    <n v="74"/>
    <n v="56.22"/>
    <n v="84.31"/>
    <n v="270.3"/>
    <n v="56.30075009771577"/>
    <n v="113.43802162385306"/>
    <n v="362.70381368696184"/>
    <n v="123065.58"/>
    <n v="5226.7984500000002"/>
    <n v="16757.248500000002"/>
    <n v="123242.34196389982"/>
    <n v="7032.5901505707698"/>
    <n v="22485.822929523198"/>
  </r>
  <r>
    <s v="Sistema Isolado - Regular"/>
    <x v="1"/>
    <x v="0"/>
    <x v="0"/>
    <x v="0"/>
    <x v="0"/>
    <x v="0"/>
    <x v="1"/>
    <x v="5"/>
    <n v="40"/>
    <n v="40"/>
    <n v="0.72299999999999998"/>
    <n v="0.72299999999999998"/>
    <n v="0.72299999999999998"/>
    <n v="0.72299999999999998"/>
    <n v="0"/>
    <x v="0"/>
    <n v="0"/>
    <n v="19"/>
    <n v="21"/>
    <n v="74"/>
    <n v="56.22"/>
    <n v="84.31"/>
    <n v="270.3"/>
    <n v="56.30075009771577"/>
    <n v="113.43802162385306"/>
    <n v="362.70381368696184"/>
    <n v="2248.8000000000002"/>
    <n v="60.956130000000002"/>
    <n v="195.42689999999999"/>
    <n v="2252.030003908631"/>
    <n v="82.015689634045756"/>
    <n v="262.23485729567341"/>
  </r>
  <r>
    <s v="Regular"/>
    <x v="1"/>
    <x v="0"/>
    <x v="0"/>
    <x v="0"/>
    <x v="0"/>
    <x v="0"/>
    <x v="1"/>
    <x v="6"/>
    <n v="2171"/>
    <n v="2171"/>
    <n v="60.171999999999997"/>
    <n v="60.171999999999997"/>
    <n v="60.171999999999997"/>
    <n v="60.171999999999997"/>
    <n v="0"/>
    <x v="0"/>
    <n v="0"/>
    <n v="19"/>
    <n v="21"/>
    <n v="74"/>
    <n v="56.22"/>
    <n v="84.31"/>
    <n v="270.3"/>
    <n v="56.30075009771577"/>
    <n v="113.43802162385306"/>
    <n v="362.70381368696184"/>
    <n v="122053.62"/>
    <n v="5073.1013199999998"/>
    <n v="16264.491599999999"/>
    <n v="122228.92846214093"/>
    <n v="6825.7926371504864"/>
    <n v="21824.613877171865"/>
  </r>
  <r>
    <s v="Sistema Isolado - Regular"/>
    <x v="1"/>
    <x v="0"/>
    <x v="0"/>
    <x v="0"/>
    <x v="0"/>
    <x v="0"/>
    <x v="1"/>
    <x v="6"/>
    <n v="40"/>
    <n v="40"/>
    <n v="0.81200000000000006"/>
    <n v="0.81200000000000006"/>
    <n v="0.81200000000000006"/>
    <n v="0.81200000000000006"/>
    <n v="0"/>
    <x v="0"/>
    <n v="0"/>
    <n v="19"/>
    <n v="21"/>
    <n v="74"/>
    <n v="56.22"/>
    <n v="84.31"/>
    <n v="270.3"/>
    <n v="56.30075009771577"/>
    <n v="113.43802162385306"/>
    <n v="362.70381368696184"/>
    <n v="2248.8000000000002"/>
    <n v="68.459720000000004"/>
    <n v="219.48360000000002"/>
    <n v="2252.030003908631"/>
    <n v="92.111673558568697"/>
    <n v="294.51549671381304"/>
  </r>
  <r>
    <s v="Regular"/>
    <x v="1"/>
    <x v="0"/>
    <x v="0"/>
    <x v="0"/>
    <x v="0"/>
    <x v="0"/>
    <x v="1"/>
    <x v="7"/>
    <n v="2173"/>
    <n v="2173"/>
    <n v="62.667999999999999"/>
    <n v="62.667999999999999"/>
    <n v="62.667999999999999"/>
    <n v="62.667999999999999"/>
    <n v="0"/>
    <x v="0"/>
    <n v="0"/>
    <n v="19"/>
    <n v="21"/>
    <n v="74"/>
    <n v="56.22"/>
    <n v="84.31"/>
    <n v="270.3"/>
    <n v="56.30075009771577"/>
    <n v="113.43802162385306"/>
    <n v="362.70381368696184"/>
    <n v="122166.06"/>
    <n v="5283.5390800000005"/>
    <n v="16939.160400000001"/>
    <n v="122341.52996233637"/>
    <n v="7108.9339391236235"/>
    <n v="22729.922596134526"/>
  </r>
  <r>
    <s v="Sistema Isolado - Regular"/>
    <x v="1"/>
    <x v="0"/>
    <x v="0"/>
    <x v="0"/>
    <x v="0"/>
    <x v="0"/>
    <x v="1"/>
    <x v="7"/>
    <n v="40"/>
    <n v="40"/>
    <n v="0.82399999999999995"/>
    <n v="0.82399999999999995"/>
    <n v="0.82399999999999995"/>
    <n v="0.82399999999999995"/>
    <n v="0"/>
    <x v="0"/>
    <n v="0"/>
    <n v="19"/>
    <n v="21"/>
    <n v="74"/>
    <n v="56.22"/>
    <n v="84.31"/>
    <n v="270.3"/>
    <n v="56.30075009771577"/>
    <n v="113.43802162385306"/>
    <n v="362.70381368696184"/>
    <n v="2248.8000000000002"/>
    <n v="69.471440000000001"/>
    <n v="222.72720000000001"/>
    <n v="2252.030003908631"/>
    <n v="93.472929818054922"/>
    <n v="298.86794247805653"/>
  </r>
  <r>
    <s v="Regular"/>
    <x v="1"/>
    <x v="0"/>
    <x v="0"/>
    <x v="0"/>
    <x v="0"/>
    <x v="0"/>
    <x v="1"/>
    <x v="8"/>
    <n v="2179"/>
    <n v="2179"/>
    <n v="66.736000000000004"/>
    <n v="66.736000000000004"/>
    <n v="66.736000000000004"/>
    <n v="66.736000000000004"/>
    <n v="0"/>
    <x v="0"/>
    <n v="0"/>
    <n v="19"/>
    <n v="21"/>
    <n v="74"/>
    <n v="56.22"/>
    <n v="84.31"/>
    <n v="270.3"/>
    <n v="56.30075009771577"/>
    <n v="113.43802162385306"/>
    <n v="362.70381368696184"/>
    <n v="122503.38"/>
    <n v="5626.5121600000002"/>
    <n v="18038.740800000003"/>
    <n v="122679.33446292266"/>
    <n v="7570.3998110894581"/>
    <n v="24205.401710213086"/>
  </r>
  <r>
    <s v="Sistema Isolado - Regular"/>
    <x v="1"/>
    <x v="0"/>
    <x v="0"/>
    <x v="0"/>
    <x v="0"/>
    <x v="0"/>
    <x v="1"/>
    <x v="8"/>
    <n v="40"/>
    <n v="40"/>
    <n v="0.84099999999999997"/>
    <n v="0.84099999999999997"/>
    <n v="0.84099999999999997"/>
    <n v="0.84099999999999997"/>
    <n v="0"/>
    <x v="0"/>
    <n v="0"/>
    <n v="19"/>
    <n v="21"/>
    <n v="74"/>
    <n v="56.22"/>
    <n v="84.31"/>
    <n v="270.3"/>
    <n v="56.30075009771577"/>
    <n v="113.43802162385306"/>
    <n v="362.70381368696184"/>
    <n v="2248.8000000000002"/>
    <n v="70.904709999999994"/>
    <n v="227.32230000000001"/>
    <n v="2252.030003908631"/>
    <n v="95.401376185660425"/>
    <n v="305.03390731073489"/>
  </r>
  <r>
    <s v="Regular"/>
    <x v="1"/>
    <x v="0"/>
    <x v="0"/>
    <x v="0"/>
    <x v="0"/>
    <x v="0"/>
    <x v="1"/>
    <x v="9"/>
    <n v="2002"/>
    <n v="2002"/>
    <n v="59.268999999999998"/>
    <n v="59.268999999999998"/>
    <n v="59.268999999999998"/>
    <n v="59.268999999999998"/>
    <n v="0"/>
    <x v="0"/>
    <n v="0"/>
    <n v="19"/>
    <n v="21"/>
    <n v="74"/>
    <n v="56.22"/>
    <n v="84.31"/>
    <n v="270.3"/>
    <n v="56.30075009771577"/>
    <n v="113.43802162385306"/>
    <n v="362.70381368696184"/>
    <n v="112552.44"/>
    <n v="4996.9693900000002"/>
    <n v="16020.4107"/>
    <n v="112714.10169562697"/>
    <n v="6723.3581036241467"/>
    <n v="21497.09233341254"/>
  </r>
  <r>
    <s v="Sistema Isolado - Regular"/>
    <x v="1"/>
    <x v="0"/>
    <x v="0"/>
    <x v="0"/>
    <x v="0"/>
    <x v="0"/>
    <x v="1"/>
    <x v="9"/>
    <n v="40"/>
    <n v="40"/>
    <n v="0.876"/>
    <n v="0.876"/>
    <n v="0.876"/>
    <n v="0.876"/>
    <n v="0"/>
    <x v="0"/>
    <n v="0"/>
    <n v="19"/>
    <n v="21"/>
    <n v="74"/>
    <n v="56.22"/>
    <n v="84.31"/>
    <n v="270.3"/>
    <n v="56.30075009771577"/>
    <n v="113.43802162385306"/>
    <n v="362.70381368696184"/>
    <n v="2248.8000000000002"/>
    <n v="73.855559999999997"/>
    <n v="236.78280000000001"/>
    <n v="2252.030003908631"/>
    <n v="99.37170694249528"/>
    <n v="317.72854078977855"/>
  </r>
  <r>
    <s v="Regular"/>
    <x v="1"/>
    <x v="0"/>
    <x v="0"/>
    <x v="0"/>
    <x v="0"/>
    <x v="0"/>
    <x v="1"/>
    <x v="10"/>
    <n v="2018"/>
    <n v="2018"/>
    <n v="60.3"/>
    <n v="60.3"/>
    <n v="60.3"/>
    <n v="60.3"/>
    <n v="0"/>
    <x v="0"/>
    <n v="0"/>
    <n v="19"/>
    <n v="21"/>
    <n v="74"/>
    <n v="56.22"/>
    <n v="84.31"/>
    <n v="270.3"/>
    <n v="56.30075009771577"/>
    <n v="113.43802162385306"/>
    <n v="362.70381368696184"/>
    <n v="113451.95999999999"/>
    <n v="5083.893"/>
    <n v="16299.09"/>
    <n v="113614.91369719042"/>
    <n v="6840.3127039183391"/>
    <n v="21871.039965323798"/>
  </r>
  <r>
    <s v="Refaturamento - Regular"/>
    <x v="1"/>
    <x v="0"/>
    <x v="0"/>
    <x v="0"/>
    <x v="0"/>
    <x v="0"/>
    <x v="1"/>
    <x v="10"/>
    <n v="0"/>
    <n v="0"/>
    <n v="-0.252"/>
    <n v="-0.252"/>
    <n v="-0.252"/>
    <n v="-0.252"/>
    <n v="0"/>
    <x v="0"/>
    <n v="0"/>
    <n v="0"/>
    <n v="21"/>
    <n v="74"/>
    <n v="0"/>
    <n v="84.31"/>
    <n v="270.3"/>
    <n v="56.30075009771577"/>
    <n v="113.43802162385306"/>
    <n v="362.70381368696184"/>
    <n v="0"/>
    <n v="-21.246120000000001"/>
    <n v="-68.115600000000001"/>
    <n v="0"/>
    <n v="-28.586381449210972"/>
    <n v="-91.401361049114385"/>
  </r>
  <r>
    <s v="Sistema Isolado - Regular"/>
    <x v="1"/>
    <x v="0"/>
    <x v="0"/>
    <x v="0"/>
    <x v="0"/>
    <x v="0"/>
    <x v="1"/>
    <x v="10"/>
    <n v="40"/>
    <n v="40"/>
    <n v="0.86599999999999999"/>
    <n v="0.86599999999999999"/>
    <n v="0.86599999999999999"/>
    <n v="0.86599999999999999"/>
    <n v="0"/>
    <x v="0"/>
    <n v="0"/>
    <n v="19"/>
    <n v="21"/>
    <n v="74"/>
    <n v="56.22"/>
    <n v="84.31"/>
    <n v="270.3"/>
    <n v="56.30075009771577"/>
    <n v="113.43802162385306"/>
    <n v="362.70381368696184"/>
    <n v="2248.8000000000002"/>
    <n v="73.012460000000004"/>
    <n v="234.07980000000001"/>
    <n v="2252.030003908631"/>
    <n v="98.237326726256754"/>
    <n v="314.10150265290895"/>
  </r>
  <r>
    <s v="PROJETADO"/>
    <x v="1"/>
    <x v="0"/>
    <x v="0"/>
    <x v="0"/>
    <x v="0"/>
    <x v="0"/>
    <x v="1"/>
    <x v="11"/>
    <n v="2018"/>
    <n v="2018"/>
    <n v="60.3"/>
    <n v="60.3"/>
    <n v="60.3"/>
    <n v="60.3"/>
    <n v="0"/>
    <x v="0"/>
    <n v="0"/>
    <n v="19"/>
    <n v="21"/>
    <n v="74"/>
    <n v="56.22"/>
    <n v="84.31"/>
    <n v="270.3"/>
    <n v="56.30075009771577"/>
    <n v="113.43802162385306"/>
    <n v="362.70381368696184"/>
    <n v="113451.95999999999"/>
    <n v="5083.893"/>
    <n v="16299.09"/>
    <n v="113614.91369719042"/>
    <n v="6840.3127039183391"/>
    <n v="21871.039965323798"/>
  </r>
  <r>
    <s v="PROJETADO"/>
    <x v="1"/>
    <x v="0"/>
    <x v="0"/>
    <x v="0"/>
    <x v="0"/>
    <x v="0"/>
    <x v="1"/>
    <x v="11"/>
    <n v="0"/>
    <n v="0"/>
    <n v="-0.252"/>
    <n v="-0.252"/>
    <n v="-0.252"/>
    <n v="-0.252"/>
    <n v="0"/>
    <x v="0"/>
    <n v="0"/>
    <n v="0"/>
    <n v="21"/>
    <n v="74"/>
    <n v="0"/>
    <n v="84.31"/>
    <n v="270.3"/>
    <n v="56.30075009771577"/>
    <n v="113.43802162385306"/>
    <n v="362.70381368696184"/>
    <n v="0"/>
    <n v="-21.246120000000001"/>
    <n v="-68.115600000000001"/>
    <n v="0"/>
    <n v="-28.586381449210972"/>
    <n v="-91.401361049114385"/>
  </r>
  <r>
    <s v="PROJETADO"/>
    <x v="1"/>
    <x v="0"/>
    <x v="0"/>
    <x v="0"/>
    <x v="0"/>
    <x v="0"/>
    <x v="1"/>
    <x v="11"/>
    <n v="40"/>
    <n v="40"/>
    <n v="0.86599999999999999"/>
    <n v="0.86599999999999999"/>
    <n v="0.86599999999999999"/>
    <n v="0.86599999999999999"/>
    <n v="0"/>
    <x v="0"/>
    <n v="0"/>
    <n v="19"/>
    <n v="21"/>
    <n v="74"/>
    <n v="56.22"/>
    <n v="84.31"/>
    <n v="270.3"/>
    <n v="56.30075009771577"/>
    <n v="113.43802162385306"/>
    <n v="362.70381368696184"/>
    <n v="2248.8000000000002"/>
    <n v="73.012460000000004"/>
    <n v="234.07980000000001"/>
    <n v="2252.030003908631"/>
    <n v="98.237326726256754"/>
    <n v="314.10150265290895"/>
  </r>
  <r>
    <s v="Regular"/>
    <x v="1"/>
    <x v="0"/>
    <x v="1"/>
    <x v="0"/>
    <x v="2"/>
    <x v="0"/>
    <x v="0"/>
    <x v="0"/>
    <n v="4858"/>
    <n v="2164.7248"/>
    <n v="0"/>
    <n v="0"/>
    <n v="0"/>
    <n v="0"/>
    <n v="0"/>
    <x v="1"/>
    <n v="0"/>
    <n v="20"/>
    <n v="0"/>
    <n v="0"/>
    <n v="19.8"/>
    <n v="0"/>
    <n v="0"/>
    <n v="20.612826474871284"/>
    <n v="113.43802162385306"/>
    <m/>
    <n v="42861.551039999998"/>
    <n v="0"/>
    <n v="0"/>
    <n v="44621.096668250444"/>
    <n v="0"/>
    <n v="0"/>
  </r>
  <r>
    <s v="Regular"/>
    <x v="1"/>
    <x v="0"/>
    <x v="1"/>
    <x v="0"/>
    <x v="2"/>
    <x v="0"/>
    <x v="0"/>
    <x v="1"/>
    <n v="4864"/>
    <n v="2281.7024000000001"/>
    <n v="0"/>
    <n v="0"/>
    <n v="0"/>
    <n v="0"/>
    <n v="0"/>
    <x v="1"/>
    <n v="0"/>
    <n v="20"/>
    <n v="0"/>
    <n v="0"/>
    <n v="19.8"/>
    <n v="0"/>
    <n v="0"/>
    <n v="20.612826474871284"/>
    <n v="113.43802162385306"/>
    <m/>
    <n v="45177.707520000004"/>
    <n v="0"/>
    <n v="0"/>
    <n v="47032.335638497352"/>
    <n v="0"/>
    <n v="0"/>
  </r>
  <r>
    <s v="Regular"/>
    <x v="1"/>
    <x v="0"/>
    <x v="1"/>
    <x v="0"/>
    <x v="2"/>
    <x v="0"/>
    <x v="0"/>
    <x v="2"/>
    <n v="4856"/>
    <n v="2446.4528"/>
    <n v="0"/>
    <n v="0"/>
    <n v="0"/>
    <n v="0"/>
    <n v="0"/>
    <x v="1"/>
    <n v="0"/>
    <n v="20"/>
    <n v="0"/>
    <n v="0"/>
    <n v="19.8"/>
    <n v="0"/>
    <n v="0"/>
    <n v="20.612826474871284"/>
    <n v="113.43802162385306"/>
    <m/>
    <n v="48439.765440000003"/>
    <n v="0"/>
    <n v="0"/>
    <n v="50428.307045362984"/>
    <n v="0"/>
    <n v="0"/>
  </r>
  <r>
    <s v="Regular"/>
    <x v="1"/>
    <x v="0"/>
    <x v="1"/>
    <x v="0"/>
    <x v="2"/>
    <x v="0"/>
    <x v="0"/>
    <x v="3"/>
    <n v="4846"/>
    <n v="2428.3305999999998"/>
    <n v="0"/>
    <n v="0"/>
    <n v="0"/>
    <n v="0"/>
    <n v="0"/>
    <x v="1"/>
    <n v="0"/>
    <n v="20"/>
    <n v="0"/>
    <n v="0"/>
    <n v="19.8"/>
    <n v="0"/>
    <n v="0"/>
    <n v="20.612826474871284"/>
    <n v="113.43802162385306"/>
    <m/>
    <n v="48080.945879999999"/>
    <n v="0"/>
    <n v="0"/>
    <n v="50054.757281420061"/>
    <n v="0"/>
    <n v="0"/>
  </r>
  <r>
    <s v="Regular"/>
    <x v="1"/>
    <x v="0"/>
    <x v="1"/>
    <x v="0"/>
    <x v="2"/>
    <x v="0"/>
    <x v="0"/>
    <x v="4"/>
    <n v="4846"/>
    <n v="2429.7844"/>
    <n v="0"/>
    <n v="0"/>
    <n v="0"/>
    <n v="0"/>
    <n v="0"/>
    <x v="1"/>
    <n v="0"/>
    <n v="20"/>
    <n v="0"/>
    <n v="0"/>
    <n v="19.8"/>
    <n v="0"/>
    <n v="0"/>
    <n v="20.612826474871284"/>
    <n v="113.43802162385306"/>
    <m/>
    <n v="48109.731120000004"/>
    <n v="0"/>
    <n v="0"/>
    <n v="50084.72420854924"/>
    <n v="0"/>
    <n v="0"/>
  </r>
  <r>
    <s v="Regular"/>
    <x v="1"/>
    <x v="0"/>
    <x v="1"/>
    <x v="0"/>
    <x v="2"/>
    <x v="0"/>
    <x v="0"/>
    <x v="5"/>
    <n v="4856"/>
    <n v="2432.3703999999998"/>
    <n v="0"/>
    <n v="0"/>
    <n v="0"/>
    <n v="0"/>
    <n v="0"/>
    <x v="1"/>
    <n v="0"/>
    <n v="20"/>
    <n v="0"/>
    <n v="0"/>
    <n v="19.8"/>
    <n v="0"/>
    <n v="0"/>
    <n v="20.612826474871284"/>
    <n v="113.43802162385306"/>
    <m/>
    <n v="48160.933919999996"/>
    <n v="0"/>
    <n v="0"/>
    <n v="50138.02897781325"/>
    <n v="0"/>
    <n v="0"/>
  </r>
  <r>
    <s v="Regular"/>
    <x v="1"/>
    <x v="0"/>
    <x v="1"/>
    <x v="0"/>
    <x v="2"/>
    <x v="0"/>
    <x v="0"/>
    <x v="6"/>
    <n v="4853"/>
    <n v="2429.4117999999999"/>
    <n v="0"/>
    <n v="0"/>
    <n v="0"/>
    <n v="0"/>
    <n v="0"/>
    <x v="1"/>
    <n v="0"/>
    <n v="20"/>
    <n v="0"/>
    <n v="0"/>
    <n v="19.8"/>
    <n v="0"/>
    <n v="0"/>
    <n v="20.612826474871284"/>
    <n v="113.43802162385306"/>
    <m/>
    <n v="48102.353640000001"/>
    <n v="0"/>
    <n v="0"/>
    <n v="50077.043869404697"/>
    <n v="0"/>
    <n v="0"/>
  </r>
  <r>
    <s v="Regular"/>
    <x v="1"/>
    <x v="0"/>
    <x v="1"/>
    <x v="0"/>
    <x v="2"/>
    <x v="0"/>
    <x v="0"/>
    <x v="7"/>
    <n v="4864"/>
    <n v="2440.7552000000001"/>
    <n v="0"/>
    <n v="0"/>
    <n v="0"/>
    <n v="0"/>
    <n v="0"/>
    <x v="1"/>
    <n v="0"/>
    <n v="20"/>
    <n v="0"/>
    <n v="0"/>
    <n v="19.8"/>
    <n v="0"/>
    <n v="0"/>
    <n v="20.612826474871284"/>
    <n v="113.43802162385306"/>
    <m/>
    <n v="48326.952960000002"/>
    <n v="0"/>
    <n v="0"/>
    <n v="50310.863405239754"/>
    <n v="0"/>
    <n v="0"/>
  </r>
  <r>
    <s v="Regular"/>
    <x v="1"/>
    <x v="0"/>
    <x v="1"/>
    <x v="0"/>
    <x v="2"/>
    <x v="0"/>
    <x v="0"/>
    <x v="8"/>
    <n v="4868"/>
    <n v="2436.4340000000002"/>
    <n v="0"/>
    <n v="0"/>
    <n v="0"/>
    <n v="0"/>
    <n v="0"/>
    <x v="1"/>
    <n v="0"/>
    <n v="20"/>
    <n v="0"/>
    <n v="0"/>
    <n v="19.8"/>
    <n v="0"/>
    <n v="0"/>
    <n v="20.612826474871284"/>
    <n v="113.43802162385306"/>
    <m/>
    <n v="48241.393200000006"/>
    <n v="0"/>
    <n v="0"/>
    <n v="50221.791259476544"/>
    <n v="0"/>
    <n v="0"/>
  </r>
  <r>
    <s v="Regular"/>
    <x v="1"/>
    <x v="0"/>
    <x v="1"/>
    <x v="0"/>
    <x v="2"/>
    <x v="0"/>
    <x v="0"/>
    <x v="9"/>
    <n v="4901"/>
    <n v="2451.9703"/>
    <n v="0"/>
    <n v="0"/>
    <n v="0"/>
    <n v="0"/>
    <n v="0"/>
    <x v="1"/>
    <n v="0"/>
    <n v="20"/>
    <n v="0"/>
    <n v="0"/>
    <n v="19.8"/>
    <n v="0"/>
    <n v="0"/>
    <n v="20.612826474871284"/>
    <n v="113.43802162385306"/>
    <m/>
    <n v="48549.011940000004"/>
    <n v="0"/>
    <n v="0"/>
    <n v="50542.038315438083"/>
    <n v="0"/>
    <n v="0"/>
  </r>
  <r>
    <s v="Regular"/>
    <x v="1"/>
    <x v="0"/>
    <x v="1"/>
    <x v="0"/>
    <x v="2"/>
    <x v="0"/>
    <x v="0"/>
    <x v="10"/>
    <n v="5033"/>
    <n v="2531.0956999999999"/>
    <n v="0"/>
    <n v="0"/>
    <n v="0"/>
    <n v="0"/>
    <n v="0"/>
    <x v="1"/>
    <n v="0"/>
    <n v="20"/>
    <n v="0"/>
    <n v="0"/>
    <n v="19.8"/>
    <n v="0"/>
    <n v="0"/>
    <n v="20.612826474871284"/>
    <n v="113.43802162385306"/>
    <m/>
    <n v="50115.694859999996"/>
    <n v="0"/>
    <n v="0"/>
    <n v="52173.036455392859"/>
    <n v="0"/>
    <n v="0"/>
  </r>
  <r>
    <s v="PROJETADO"/>
    <x v="1"/>
    <x v="0"/>
    <x v="1"/>
    <x v="0"/>
    <x v="2"/>
    <x v="0"/>
    <x v="0"/>
    <x v="11"/>
    <n v="5033"/>
    <n v="2531.0956999999999"/>
    <n v="0"/>
    <n v="0"/>
    <n v="0"/>
    <n v="0"/>
    <n v="0"/>
    <x v="1"/>
    <n v="0"/>
    <n v="20"/>
    <n v="0"/>
    <n v="0"/>
    <n v="19.8"/>
    <n v="0"/>
    <n v="0"/>
    <n v="20.612826474871284"/>
    <n v="113.43802162385306"/>
    <m/>
    <n v="50115.694859999996"/>
    <n v="0"/>
    <n v="0"/>
    <n v="52173.036455392859"/>
    <n v="0"/>
    <n v="0"/>
  </r>
  <r>
    <s v="Regular"/>
    <x v="1"/>
    <x v="0"/>
    <x v="1"/>
    <x v="0"/>
    <x v="2"/>
    <x v="0"/>
    <x v="2"/>
    <x v="0"/>
    <n v="0"/>
    <n v="0"/>
    <n v="2019.317"/>
    <n v="2019.317"/>
    <n v="0"/>
    <n v="0"/>
    <n v="12"/>
    <x v="1"/>
    <n v="0"/>
    <n v="0"/>
    <n v="21"/>
    <n v="0"/>
    <n v="0"/>
    <n v="84.31"/>
    <n v="0"/>
    <m/>
    <n v="113.43802162385306"/>
    <m/>
    <n v="0"/>
    <n v="170248.61627"/>
    <n v="0"/>
    <n v="0"/>
    <n v="229067.32551141409"/>
    <n v="0"/>
  </r>
  <r>
    <s v="Regular"/>
    <x v="1"/>
    <x v="0"/>
    <x v="1"/>
    <x v="0"/>
    <x v="2"/>
    <x v="0"/>
    <x v="2"/>
    <x v="1"/>
    <n v="0"/>
    <n v="0"/>
    <n v="2064.0639999999999"/>
    <n v="2064.0639999999999"/>
    <n v="0"/>
    <n v="0"/>
    <n v="12"/>
    <x v="1"/>
    <n v="0"/>
    <n v="0"/>
    <n v="21"/>
    <n v="0"/>
    <n v="0"/>
    <n v="84.31"/>
    <n v="0"/>
    <m/>
    <n v="113.43802162385306"/>
    <m/>
    <n v="0"/>
    <n v="174021.23583999998"/>
    <n v="0"/>
    <n v="0"/>
    <n v="234143.33666501663"/>
    <n v="0"/>
  </r>
  <r>
    <s v="Regular"/>
    <x v="1"/>
    <x v="0"/>
    <x v="1"/>
    <x v="0"/>
    <x v="2"/>
    <x v="0"/>
    <x v="2"/>
    <x v="2"/>
    <n v="0"/>
    <n v="0"/>
    <n v="2016.529"/>
    <n v="2016.529"/>
    <n v="0"/>
    <n v="0"/>
    <n v="12"/>
    <x v="1"/>
    <n v="0"/>
    <n v="0"/>
    <n v="21"/>
    <n v="0"/>
    <n v="0"/>
    <n v="84.31"/>
    <n v="0"/>
    <m/>
    <n v="113.43802162385306"/>
    <m/>
    <n v="0"/>
    <n v="170013.55999000001"/>
    <n v="0"/>
    <n v="0"/>
    <n v="228751.06030712678"/>
    <n v="0"/>
  </r>
  <r>
    <s v="Regular"/>
    <x v="1"/>
    <x v="0"/>
    <x v="1"/>
    <x v="0"/>
    <x v="2"/>
    <x v="0"/>
    <x v="2"/>
    <x v="3"/>
    <n v="0"/>
    <n v="0"/>
    <n v="1755.4349999999999"/>
    <n v="1755.4349999999999"/>
    <n v="0"/>
    <n v="0"/>
    <n v="12"/>
    <x v="1"/>
    <n v="0"/>
    <n v="0"/>
    <n v="21"/>
    <n v="0"/>
    <n v="0"/>
    <n v="84.31"/>
    <n v="0"/>
    <m/>
    <n v="113.43802162385306"/>
    <m/>
    <n v="0"/>
    <n v="148000.72485"/>
    <n v="0"/>
    <n v="0"/>
    <n v="199133.07348926848"/>
    <n v="0"/>
  </r>
  <r>
    <s v="Regular"/>
    <x v="1"/>
    <x v="0"/>
    <x v="1"/>
    <x v="0"/>
    <x v="2"/>
    <x v="0"/>
    <x v="2"/>
    <x v="4"/>
    <n v="0"/>
    <n v="0"/>
    <n v="1929.7170000000001"/>
    <n v="1929.7170000000001"/>
    <n v="0"/>
    <n v="0"/>
    <n v="12"/>
    <x v="1"/>
    <n v="0"/>
    <n v="0"/>
    <n v="21"/>
    <n v="0"/>
    <n v="0"/>
    <n v="84.31"/>
    <n v="0"/>
    <m/>
    <n v="113.43802162385306"/>
    <m/>
    <n v="0"/>
    <n v="162694.44027000002"/>
    <n v="0"/>
    <n v="0"/>
    <n v="218903.27877391686"/>
    <n v="0"/>
  </r>
  <r>
    <s v="Regular"/>
    <x v="1"/>
    <x v="0"/>
    <x v="1"/>
    <x v="0"/>
    <x v="2"/>
    <x v="0"/>
    <x v="2"/>
    <x v="5"/>
    <n v="0"/>
    <n v="0"/>
    <n v="1867.058"/>
    <n v="1867.058"/>
    <n v="0"/>
    <n v="0"/>
    <n v="12"/>
    <x v="1"/>
    <n v="0"/>
    <n v="0"/>
    <n v="21"/>
    <n v="0"/>
    <n v="0"/>
    <n v="84.31"/>
    <n v="0"/>
    <m/>
    <n v="113.43802162385306"/>
    <m/>
    <n v="0"/>
    <n v="157411.65998"/>
    <n v="0"/>
    <n v="0"/>
    <n v="211795.36577698783"/>
    <n v="0"/>
  </r>
  <r>
    <s v="Regular"/>
    <x v="1"/>
    <x v="0"/>
    <x v="1"/>
    <x v="0"/>
    <x v="2"/>
    <x v="0"/>
    <x v="2"/>
    <x v="6"/>
    <n v="0"/>
    <n v="0"/>
    <n v="1875.107"/>
    <n v="1875.107"/>
    <n v="0"/>
    <n v="0"/>
    <n v="12"/>
    <x v="1"/>
    <n v="0"/>
    <n v="0"/>
    <n v="21"/>
    <n v="0"/>
    <n v="0"/>
    <n v="84.31"/>
    <n v="0"/>
    <m/>
    <n v="113.43802162385306"/>
    <m/>
    <n v="0"/>
    <n v="158090.27116999999"/>
    <n v="0"/>
    <n v="0"/>
    <n v="212708.42841303823"/>
    <n v="0"/>
  </r>
  <r>
    <s v="Regular"/>
    <x v="1"/>
    <x v="0"/>
    <x v="1"/>
    <x v="0"/>
    <x v="2"/>
    <x v="0"/>
    <x v="2"/>
    <x v="7"/>
    <n v="0"/>
    <n v="0"/>
    <n v="1747.7439999999999"/>
    <n v="1747.7439999999999"/>
    <n v="0"/>
    <n v="0"/>
    <n v="12"/>
    <x v="1"/>
    <n v="0"/>
    <n v="0"/>
    <n v="21"/>
    <n v="0"/>
    <n v="0"/>
    <n v="84.31"/>
    <n v="0"/>
    <m/>
    <n v="113.43802162385306"/>
    <m/>
    <n v="0"/>
    <n v="147352.29663999999"/>
    <n v="0"/>
    <n v="0"/>
    <n v="198260.62166495944"/>
    <n v="0"/>
  </r>
  <r>
    <s v="Regular"/>
    <x v="1"/>
    <x v="0"/>
    <x v="1"/>
    <x v="0"/>
    <x v="2"/>
    <x v="0"/>
    <x v="2"/>
    <x v="8"/>
    <n v="0"/>
    <n v="0"/>
    <n v="1954.0909999999999"/>
    <n v="1954.0909999999999"/>
    <n v="0"/>
    <n v="0"/>
    <n v="12"/>
    <x v="1"/>
    <n v="0"/>
    <n v="0"/>
    <n v="21"/>
    <n v="0"/>
    <n v="0"/>
    <n v="84.31"/>
    <n v="0"/>
    <m/>
    <n v="113.43802162385306"/>
    <m/>
    <n v="0"/>
    <n v="164749.41221000001"/>
    <n v="0"/>
    <n v="0"/>
    <n v="221668.21711297665"/>
    <n v="0"/>
  </r>
  <r>
    <s v="Regular"/>
    <x v="1"/>
    <x v="0"/>
    <x v="1"/>
    <x v="0"/>
    <x v="2"/>
    <x v="0"/>
    <x v="2"/>
    <x v="9"/>
    <n v="0"/>
    <n v="0"/>
    <n v="1663.943"/>
    <n v="1663.943"/>
    <n v="0"/>
    <n v="0"/>
    <n v="12"/>
    <x v="1"/>
    <n v="0"/>
    <n v="0"/>
    <n v="21"/>
    <n v="0"/>
    <n v="0"/>
    <n v="84.31"/>
    <n v="0"/>
    <m/>
    <n v="113.43802162385306"/>
    <m/>
    <n v="0"/>
    <n v="140287.03432999999"/>
    <n v="0"/>
    <n v="0"/>
    <n v="188754.40201485893"/>
    <n v="0"/>
  </r>
  <r>
    <s v="Regular"/>
    <x v="1"/>
    <x v="0"/>
    <x v="1"/>
    <x v="0"/>
    <x v="2"/>
    <x v="0"/>
    <x v="2"/>
    <x v="10"/>
    <n v="0"/>
    <n v="0"/>
    <n v="1688.5150000000001"/>
    <n v="1688.5150000000001"/>
    <n v="0"/>
    <n v="0"/>
    <n v="13"/>
    <x v="1"/>
    <n v="0"/>
    <n v="0"/>
    <n v="21"/>
    <n v="0"/>
    <n v="0"/>
    <n v="84.31"/>
    <n v="0"/>
    <m/>
    <n v="113.43802162385306"/>
    <m/>
    <n v="0"/>
    <n v="142358.69965000002"/>
    <n v="0"/>
    <n v="0"/>
    <n v="191541.80108220025"/>
    <n v="0"/>
  </r>
  <r>
    <s v="PROJETADO"/>
    <x v="1"/>
    <x v="0"/>
    <x v="1"/>
    <x v="0"/>
    <x v="2"/>
    <x v="0"/>
    <x v="2"/>
    <x v="11"/>
    <n v="0"/>
    <n v="0"/>
    <n v="1688.5150000000001"/>
    <n v="1688.5150000000001"/>
    <n v="0"/>
    <n v="0"/>
    <n v="13"/>
    <x v="1"/>
    <n v="0"/>
    <n v="0"/>
    <n v="21"/>
    <n v="0"/>
    <n v="0"/>
    <n v="84.31"/>
    <n v="0"/>
    <m/>
    <n v="113.43802162385306"/>
    <m/>
    <n v="0"/>
    <n v="142358.69965000002"/>
    <n v="0"/>
    <n v="0"/>
    <n v="191541.80108220025"/>
    <n v="0"/>
  </r>
  <r>
    <s v="Regular"/>
    <x v="1"/>
    <x v="0"/>
    <x v="1"/>
    <x v="0"/>
    <x v="2"/>
    <x v="0"/>
    <x v="1"/>
    <x v="0"/>
    <n v="4457"/>
    <n v="1950.3832"/>
    <n v="0"/>
    <n v="0"/>
    <n v="0"/>
    <n v="0"/>
    <n v="0"/>
    <x v="1"/>
    <n v="0"/>
    <n v="19"/>
    <n v="0"/>
    <n v="0"/>
    <n v="56.22"/>
    <n v="0"/>
    <n v="0"/>
    <n v="56.30075009771577"/>
    <n v="113.43802162385306"/>
    <m/>
    <n v="109650.543504"/>
    <n v="0"/>
    <n v="0"/>
    <n v="109808.03713798319"/>
    <n v="0"/>
    <n v="0"/>
  </r>
  <r>
    <s v="Regular"/>
    <x v="1"/>
    <x v="0"/>
    <x v="1"/>
    <x v="0"/>
    <x v="2"/>
    <x v="0"/>
    <x v="1"/>
    <x v="1"/>
    <n v="4470"/>
    <n v="2077.2089999999998"/>
    <n v="0"/>
    <n v="0"/>
    <n v="0"/>
    <n v="0"/>
    <n v="0"/>
    <x v="1"/>
    <n v="0"/>
    <n v="19"/>
    <n v="0"/>
    <n v="0"/>
    <n v="56.22"/>
    <n v="0"/>
    <n v="0"/>
    <n v="56.30075009771577"/>
    <n v="113.43802162385306"/>
    <m/>
    <n v="116780.68997999998"/>
    <n v="0"/>
    <n v="0"/>
    <n v="116948.42480972607"/>
    <n v="0"/>
    <n v="0"/>
  </r>
  <r>
    <s v="Regular"/>
    <x v="1"/>
    <x v="0"/>
    <x v="1"/>
    <x v="0"/>
    <x v="2"/>
    <x v="0"/>
    <x v="1"/>
    <x v="2"/>
    <n v="4490"/>
    <n v="2261.1640000000002"/>
    <n v="0"/>
    <n v="0"/>
    <n v="0"/>
    <n v="0"/>
    <n v="0"/>
    <x v="1"/>
    <n v="0"/>
    <n v="19"/>
    <n v="0"/>
    <n v="0"/>
    <n v="56.22"/>
    <n v="0"/>
    <n v="0"/>
    <n v="56.30075009771577"/>
    <n v="113.43802162385306"/>
    <m/>
    <n v="127122.64008000001"/>
    <n v="0"/>
    <n v="0"/>
    <n v="127305.2292939514"/>
    <n v="0"/>
    <n v="0"/>
  </r>
  <r>
    <s v="Regular"/>
    <x v="1"/>
    <x v="0"/>
    <x v="1"/>
    <x v="0"/>
    <x v="2"/>
    <x v="0"/>
    <x v="1"/>
    <x v="3"/>
    <n v="4461"/>
    <n v="2234.9609999999998"/>
    <n v="0"/>
    <n v="0"/>
    <n v="0"/>
    <n v="0"/>
    <n v="0"/>
    <x v="1"/>
    <n v="0"/>
    <n v="19"/>
    <n v="0"/>
    <n v="0"/>
    <n v="56.22"/>
    <n v="0"/>
    <n v="0"/>
    <n v="56.30075009771577"/>
    <n v="113.43802162385306"/>
    <m/>
    <n v="125649.50741999998"/>
    <n v="0"/>
    <n v="0"/>
    <n v="125829.98073914093"/>
    <n v="0"/>
    <n v="0"/>
  </r>
  <r>
    <s v="Regular"/>
    <x v="1"/>
    <x v="0"/>
    <x v="1"/>
    <x v="0"/>
    <x v="2"/>
    <x v="0"/>
    <x v="1"/>
    <x v="4"/>
    <n v="4443"/>
    <n v="2227.7202000000002"/>
    <n v="0"/>
    <n v="0"/>
    <n v="0"/>
    <n v="0"/>
    <n v="0"/>
    <x v="1"/>
    <n v="0"/>
    <n v="19"/>
    <n v="0"/>
    <n v="0"/>
    <n v="56.22"/>
    <n v="0"/>
    <n v="0"/>
    <n v="56.30075009771577"/>
    <n v="113.43802162385306"/>
    <m/>
    <n v="125242.429644"/>
    <n v="0"/>
    <n v="0"/>
    <n v="125422.31826783341"/>
    <n v="0"/>
    <n v="0"/>
  </r>
  <r>
    <s v="Regular"/>
    <x v="1"/>
    <x v="0"/>
    <x v="1"/>
    <x v="0"/>
    <x v="2"/>
    <x v="0"/>
    <x v="1"/>
    <x v="5"/>
    <n v="4444"/>
    <n v="2225.9996000000001"/>
    <n v="0"/>
    <n v="0"/>
    <n v="0"/>
    <n v="0"/>
    <n v="0"/>
    <x v="1"/>
    <n v="0"/>
    <n v="19"/>
    <n v="0"/>
    <n v="0"/>
    <n v="56.22"/>
    <n v="0"/>
    <n v="0"/>
    <n v="56.30075009771577"/>
    <n v="113.43802162385306"/>
    <m/>
    <n v="125145.697512"/>
    <n v="0"/>
    <n v="0"/>
    <n v="125325.44719721527"/>
    <n v="0"/>
    <n v="0"/>
  </r>
  <r>
    <s v="Regular"/>
    <x v="1"/>
    <x v="0"/>
    <x v="1"/>
    <x v="0"/>
    <x v="2"/>
    <x v="0"/>
    <x v="1"/>
    <x v="6"/>
    <n v="4443"/>
    <n v="2224.1658000000002"/>
    <n v="0"/>
    <n v="0"/>
    <n v="0"/>
    <n v="0"/>
    <n v="0"/>
    <x v="1"/>
    <n v="0"/>
    <n v="19"/>
    <n v="0"/>
    <n v="0"/>
    <n v="56.22"/>
    <n v="0"/>
    <n v="0"/>
    <n v="56.30075009771577"/>
    <n v="113.43802162385306"/>
    <m/>
    <n v="125042.60127600002"/>
    <n v="0"/>
    <n v="0"/>
    <n v="125222.20288168608"/>
    <n v="0"/>
    <n v="0"/>
  </r>
  <r>
    <s v="Regular"/>
    <x v="1"/>
    <x v="0"/>
    <x v="1"/>
    <x v="0"/>
    <x v="2"/>
    <x v="0"/>
    <x v="1"/>
    <x v="7"/>
    <n v="4443"/>
    <n v="2229.4974000000002"/>
    <n v="0"/>
    <n v="0"/>
    <n v="0"/>
    <n v="0"/>
    <n v="0"/>
    <x v="1"/>
    <n v="0"/>
    <n v="19"/>
    <n v="0"/>
    <n v="0"/>
    <n v="56.22"/>
    <n v="0"/>
    <n v="0"/>
    <n v="56.30075009771577"/>
    <n v="113.43802162385306"/>
    <m/>
    <n v="125342.34382800001"/>
    <n v="0"/>
    <n v="0"/>
    <n v="125522.37596090707"/>
    <n v="0"/>
    <n v="0"/>
  </r>
  <r>
    <s v="Regular"/>
    <x v="1"/>
    <x v="0"/>
    <x v="1"/>
    <x v="0"/>
    <x v="2"/>
    <x v="0"/>
    <x v="1"/>
    <x v="8"/>
    <n v="4466"/>
    <n v="2235.2330000000002"/>
    <n v="0"/>
    <n v="0"/>
    <n v="0"/>
    <n v="0"/>
    <n v="0"/>
    <x v="1"/>
    <n v="0"/>
    <n v="19"/>
    <n v="0"/>
    <n v="0"/>
    <n v="56.22"/>
    <n v="0"/>
    <n v="0"/>
    <n v="56.30075009771577"/>
    <n v="113.43802162385306"/>
    <m/>
    <n v="125664.79926000001"/>
    <n v="0"/>
    <n v="0"/>
    <n v="125845.29454316752"/>
    <n v="0"/>
    <n v="0"/>
  </r>
  <r>
    <s v="Regular"/>
    <x v="1"/>
    <x v="0"/>
    <x v="1"/>
    <x v="0"/>
    <x v="2"/>
    <x v="0"/>
    <x v="1"/>
    <x v="9"/>
    <n v="4524"/>
    <n v="2263.3571999999999"/>
    <n v="0"/>
    <n v="0"/>
    <n v="0"/>
    <n v="0"/>
    <n v="0"/>
    <x v="1"/>
    <n v="0"/>
    <n v="19"/>
    <n v="0"/>
    <n v="0"/>
    <n v="56.22"/>
    <n v="0"/>
    <n v="0"/>
    <n v="56.30075009771577"/>
    <n v="113.43802162385306"/>
    <m/>
    <n v="127245.941784"/>
    <n v="0"/>
    <n v="0"/>
    <n v="127428.70809906568"/>
    <n v="0"/>
    <n v="0"/>
  </r>
  <r>
    <s v="Regular"/>
    <x v="1"/>
    <x v="0"/>
    <x v="1"/>
    <x v="0"/>
    <x v="2"/>
    <x v="0"/>
    <x v="1"/>
    <x v="10"/>
    <n v="4597"/>
    <n v="2311.8312999999998"/>
    <n v="0"/>
    <n v="0"/>
    <n v="0"/>
    <n v="0"/>
    <n v="0"/>
    <x v="1"/>
    <n v="0"/>
    <n v="19"/>
    <n v="0"/>
    <n v="0"/>
    <n v="56.22"/>
    <n v="0"/>
    <n v="0"/>
    <n v="56.30075009771577"/>
    <n v="113.43802162385306"/>
    <m/>
    <n v="129971.15568599998"/>
    <n v="0"/>
    <n v="0"/>
    <n v="130157.83628937737"/>
    <n v="0"/>
    <n v="0"/>
  </r>
  <r>
    <s v="PROJETADO"/>
    <x v="1"/>
    <x v="0"/>
    <x v="1"/>
    <x v="0"/>
    <x v="2"/>
    <x v="0"/>
    <x v="1"/>
    <x v="11"/>
    <n v="4597"/>
    <n v="2311.8312999999998"/>
    <n v="0"/>
    <n v="0"/>
    <n v="0"/>
    <n v="0"/>
    <n v="0"/>
    <x v="1"/>
    <n v="0"/>
    <n v="19"/>
    <n v="0"/>
    <n v="0"/>
    <n v="56.22"/>
    <n v="0"/>
    <n v="0"/>
    <n v="56.30075009771577"/>
    <n v="113.43802162385306"/>
    <m/>
    <n v="129971.15568599998"/>
    <n v="0"/>
    <n v="0"/>
    <n v="130157.83628937737"/>
    <n v="0"/>
    <n v="0"/>
  </r>
  <r>
    <s v="Regular"/>
    <x v="1"/>
    <x v="0"/>
    <x v="1"/>
    <x v="0"/>
    <x v="0"/>
    <x v="0"/>
    <x v="0"/>
    <x v="0"/>
    <n v="135"/>
    <n v="135"/>
    <n v="33.343000000000004"/>
    <n v="33.343000000000004"/>
    <n v="33.343000000000004"/>
    <n v="33.343000000000004"/>
    <n v="0"/>
    <x v="0"/>
    <n v="0"/>
    <n v="20"/>
    <n v="21"/>
    <n v="75"/>
    <n v="19.8"/>
    <n v="84.31"/>
    <n v="168.06"/>
    <n v="20.612826474871284"/>
    <n v="113.43802162385306"/>
    <n v="218.7322873480222"/>
    <n v="2673"/>
    <n v="2811.1483300000004"/>
    <n v="5603.6245800000006"/>
    <n v="2782.7315741076231"/>
    <n v="3782.363955004133"/>
    <n v="7293.1906570451047"/>
  </r>
  <r>
    <s v="Sistema Isolado - Regular"/>
    <x v="1"/>
    <x v="0"/>
    <x v="1"/>
    <x v="0"/>
    <x v="0"/>
    <x v="0"/>
    <x v="0"/>
    <x v="0"/>
    <n v="1112"/>
    <n v="1112"/>
    <n v="468.44"/>
    <n v="468.44"/>
    <n v="468.44"/>
    <n v="468.44"/>
    <n v="0"/>
    <x v="0"/>
    <n v="0"/>
    <n v="20"/>
    <n v="21"/>
    <n v="75"/>
    <n v="19.8"/>
    <n v="84.31"/>
    <n v="168.06"/>
    <n v="20.612826474871284"/>
    <n v="113.43802162385306"/>
    <n v="218.7322873480222"/>
    <n v="22017.600000000002"/>
    <n v="39494.176400000004"/>
    <n v="78726.026400000002"/>
    <n v="22921.463040056868"/>
    <n v="53138.906849477731"/>
    <n v="102462.95268530752"/>
  </r>
  <r>
    <s v="Regular"/>
    <x v="1"/>
    <x v="0"/>
    <x v="1"/>
    <x v="0"/>
    <x v="0"/>
    <x v="0"/>
    <x v="0"/>
    <x v="1"/>
    <n v="135"/>
    <n v="135"/>
    <n v="34.088000000000001"/>
    <n v="34.088000000000001"/>
    <n v="34.088000000000001"/>
    <n v="34.088000000000001"/>
    <n v="0"/>
    <x v="0"/>
    <n v="0"/>
    <n v="20"/>
    <n v="21"/>
    <n v="75"/>
    <n v="19.8"/>
    <n v="84.31"/>
    <n v="168.06"/>
    <n v="20.612826474871284"/>
    <n v="113.43802162385306"/>
    <n v="218.7322873480222"/>
    <n v="2673"/>
    <n v="2873.95928"/>
    <n v="5728.8292799999999"/>
    <n v="2782.7315741076231"/>
    <n v="3866.8752811139034"/>
    <n v="7456.1462111193805"/>
  </r>
  <r>
    <s v="Sistema Isolado - Regular"/>
    <x v="1"/>
    <x v="0"/>
    <x v="1"/>
    <x v="0"/>
    <x v="0"/>
    <x v="0"/>
    <x v="0"/>
    <x v="1"/>
    <n v="1134"/>
    <n v="1134"/>
    <n v="486.98899999999998"/>
    <n v="486.98899999999998"/>
    <n v="486.98899999999998"/>
    <n v="486.98899999999998"/>
    <n v="0"/>
    <x v="0"/>
    <n v="0"/>
    <n v="20"/>
    <n v="21"/>
    <n v="75"/>
    <n v="19.8"/>
    <n v="84.31"/>
    <n v="168.06"/>
    <n v="20.612826474871284"/>
    <n v="113.43802162385306"/>
    <n v="218.7322873480222"/>
    <n v="22453.200000000001"/>
    <n v="41058.042589999997"/>
    <n v="81843.371339999998"/>
    <n v="23374.945222504037"/>
    <n v="55243.068712578577"/>
    <n v="106520.21788332598"/>
  </r>
  <r>
    <s v="Regular"/>
    <x v="1"/>
    <x v="0"/>
    <x v="1"/>
    <x v="0"/>
    <x v="0"/>
    <x v="0"/>
    <x v="0"/>
    <x v="2"/>
    <n v="140"/>
    <n v="140"/>
    <n v="31.1"/>
    <n v="31.1"/>
    <n v="31.1"/>
    <n v="31.1"/>
    <n v="0"/>
    <x v="0"/>
    <n v="0"/>
    <n v="20"/>
    <n v="21"/>
    <n v="75"/>
    <n v="19.8"/>
    <n v="84.31"/>
    <n v="168.06"/>
    <n v="20.612826474871284"/>
    <n v="113.43802162385306"/>
    <n v="218.7322873480222"/>
    <n v="2772"/>
    <n v="2622.0410000000002"/>
    <n v="5226.6660000000002"/>
    <n v="2885.7957064819798"/>
    <n v="3527.9224725018303"/>
    <n v="6802.5741365234908"/>
  </r>
  <r>
    <s v="Sistema Isolado - Regular"/>
    <x v="1"/>
    <x v="0"/>
    <x v="1"/>
    <x v="0"/>
    <x v="0"/>
    <x v="0"/>
    <x v="0"/>
    <x v="2"/>
    <n v="1091"/>
    <n v="1091"/>
    <n v="432.06"/>
    <n v="432.06"/>
    <n v="432.06"/>
    <n v="432.06"/>
    <n v="0"/>
    <x v="0"/>
    <n v="0"/>
    <n v="20"/>
    <n v="21"/>
    <n v="75"/>
    <n v="19.8"/>
    <n v="84.31"/>
    <n v="168.06"/>
    <n v="20.612826474871284"/>
    <n v="113.43802162385306"/>
    <n v="218.7322873480222"/>
    <n v="21601.8"/>
    <n v="36426.978600000002"/>
    <n v="72612.003599999996"/>
    <n v="22488.593684084572"/>
    <n v="49012.031622801951"/>
    <n v="94505.472071586468"/>
  </r>
  <r>
    <s v="Regular"/>
    <x v="1"/>
    <x v="0"/>
    <x v="1"/>
    <x v="0"/>
    <x v="0"/>
    <x v="0"/>
    <x v="0"/>
    <x v="3"/>
    <n v="135"/>
    <n v="135"/>
    <n v="37.292999999999999"/>
    <n v="37.292999999999999"/>
    <n v="37.292999999999999"/>
    <n v="37.292999999999999"/>
    <n v="0"/>
    <x v="0"/>
    <n v="0"/>
    <n v="20"/>
    <n v="21"/>
    <n v="75"/>
    <n v="19.8"/>
    <n v="84.31"/>
    <n v="168.06"/>
    <n v="20.612826474871284"/>
    <n v="113.43802162385306"/>
    <n v="218.7322873480222"/>
    <n v="2673"/>
    <n v="3144.17283"/>
    <n v="6267.4615800000001"/>
    <n v="2782.7315741076231"/>
    <n v="4230.4441404183517"/>
    <n v="8157.1831920697914"/>
  </r>
  <r>
    <s v="Sistema Isolado - Regular"/>
    <x v="1"/>
    <x v="0"/>
    <x v="1"/>
    <x v="0"/>
    <x v="0"/>
    <x v="0"/>
    <x v="0"/>
    <x v="3"/>
    <n v="1125"/>
    <n v="1125"/>
    <n v="492.60399999999998"/>
    <n v="492.60399999999998"/>
    <n v="492.60399999999998"/>
    <n v="492.60399999999998"/>
    <n v="0"/>
    <x v="0"/>
    <n v="0"/>
    <n v="20"/>
    <n v="21"/>
    <n v="75"/>
    <n v="19.8"/>
    <n v="84.31"/>
    <n v="168.06"/>
    <n v="20.612826474871284"/>
    <n v="113.43802162385306"/>
    <n v="218.7322873480222"/>
    <n v="22275"/>
    <n v="41531.443240000001"/>
    <n v="82787.02824"/>
    <n v="23189.429784230193"/>
    <n v="55880.023203996512"/>
    <n v="107748.39967678512"/>
  </r>
  <r>
    <s v="Regular"/>
    <x v="1"/>
    <x v="0"/>
    <x v="1"/>
    <x v="0"/>
    <x v="0"/>
    <x v="0"/>
    <x v="0"/>
    <x v="4"/>
    <n v="144"/>
    <n v="144"/>
    <n v="38.927"/>
    <n v="38.927"/>
    <n v="38.927"/>
    <n v="38.927"/>
    <n v="0"/>
    <x v="0"/>
    <n v="0"/>
    <n v="20"/>
    <n v="21"/>
    <n v="75"/>
    <n v="19.8"/>
    <n v="84.31"/>
    <n v="168.06"/>
    <n v="20.612826474871284"/>
    <n v="113.43802162385306"/>
    <n v="218.7322873480222"/>
    <n v="2851.2000000000003"/>
    <n v="3281.9353700000001"/>
    <n v="6542.0716199999997"/>
    <n v="2968.2470123814646"/>
    <n v="4415.8018677517284"/>
    <n v="8514.5917495964604"/>
  </r>
  <r>
    <s v="Sistema Isolado - Regular"/>
    <x v="1"/>
    <x v="0"/>
    <x v="1"/>
    <x v="0"/>
    <x v="0"/>
    <x v="0"/>
    <x v="0"/>
    <x v="4"/>
    <n v="1075"/>
    <n v="1075"/>
    <n v="433.584"/>
    <n v="433.584"/>
    <n v="433.584"/>
    <n v="433.584"/>
    <n v="0"/>
    <x v="0"/>
    <n v="0"/>
    <n v="20"/>
    <n v="21"/>
    <n v="75"/>
    <n v="19.8"/>
    <n v="84.31"/>
    <n v="168.06"/>
    <n v="20.612826474871284"/>
    <n v="113.43802162385306"/>
    <n v="218.7322873480222"/>
    <n v="21285"/>
    <n v="36555.467040000003"/>
    <n v="72868.127040000007"/>
    <n v="22158.78846048663"/>
    <n v="49184.911167756705"/>
    <n v="94838.820077504861"/>
  </r>
  <r>
    <s v="Regular"/>
    <x v="1"/>
    <x v="0"/>
    <x v="1"/>
    <x v="0"/>
    <x v="0"/>
    <x v="0"/>
    <x v="0"/>
    <x v="5"/>
    <n v="138"/>
    <n v="138"/>
    <n v="45.073"/>
    <n v="45.073"/>
    <n v="45.073"/>
    <n v="45.073"/>
    <n v="0"/>
    <x v="0"/>
    <n v="0"/>
    <n v="20"/>
    <n v="21"/>
    <n v="75"/>
    <n v="19.8"/>
    <n v="84.31"/>
    <n v="168.06"/>
    <n v="20.612826474871284"/>
    <n v="113.43802162385306"/>
    <n v="218.7322873480222"/>
    <n v="2732.4"/>
    <n v="3800.1046300000003"/>
    <n v="7574.9683800000003"/>
    <n v="2844.5700535322371"/>
    <n v="5112.9919486519293"/>
    <n v="9858.9203876374049"/>
  </r>
  <r>
    <s v="Sistema Isolado - Regular"/>
    <x v="1"/>
    <x v="0"/>
    <x v="1"/>
    <x v="0"/>
    <x v="0"/>
    <x v="0"/>
    <x v="0"/>
    <x v="5"/>
    <n v="900"/>
    <n v="900"/>
    <n v="407.54500000000002"/>
    <n v="407.54500000000002"/>
    <n v="407.54500000000002"/>
    <n v="407.54500000000002"/>
    <n v="0"/>
    <x v="0"/>
    <n v="0"/>
    <n v="20"/>
    <n v="21"/>
    <n v="75"/>
    <n v="19.8"/>
    <n v="84.31"/>
    <n v="168.06"/>
    <n v="20.612826474871284"/>
    <n v="113.43802162385306"/>
    <n v="218.7322873480222"/>
    <n v="17820"/>
    <n v="34360.118950000004"/>
    <n v="68492.012700000007"/>
    <n v="18551.543827384154"/>
    <n v="46231.098522693195"/>
    <n v="89143.250047249705"/>
  </r>
  <r>
    <s v="Regular"/>
    <x v="1"/>
    <x v="0"/>
    <x v="1"/>
    <x v="0"/>
    <x v="0"/>
    <x v="0"/>
    <x v="0"/>
    <x v="6"/>
    <n v="135"/>
    <n v="135"/>
    <n v="39.171999999999997"/>
    <n v="39.171999999999997"/>
    <n v="39.171999999999997"/>
    <n v="39.171999999999997"/>
    <n v="0"/>
    <x v="0"/>
    <n v="0"/>
    <n v="20"/>
    <n v="21"/>
    <n v="75"/>
    <n v="19.8"/>
    <n v="84.31"/>
    <n v="168.06"/>
    <n v="20.612826474871284"/>
    <n v="113.43802162385306"/>
    <n v="218.7322873480222"/>
    <n v="2673"/>
    <n v="3302.59132"/>
    <n v="6583.2463199999993"/>
    <n v="2782.7315741076231"/>
    <n v="4443.5941830495722"/>
    <n v="8568.1811599967241"/>
  </r>
  <r>
    <s v="Refaturamento - Regular"/>
    <x v="1"/>
    <x v="0"/>
    <x v="1"/>
    <x v="0"/>
    <x v="0"/>
    <x v="0"/>
    <x v="0"/>
    <x v="6"/>
    <n v="180"/>
    <n v="180"/>
    <n v="21.28"/>
    <n v="21.28"/>
    <n v="21.28"/>
    <n v="21.28"/>
    <n v="0"/>
    <x v="0"/>
    <n v="0"/>
    <n v="20"/>
    <n v="21"/>
    <n v="75"/>
    <n v="19.8"/>
    <n v="84.31"/>
    <n v="168.06"/>
    <n v="20.612826474871284"/>
    <n v="113.43802162385306"/>
    <n v="218.7322873480222"/>
    <n v="3564"/>
    <n v="1794.1168000000002"/>
    <n v="3576.3168000000001"/>
    <n v="3710.308765476831"/>
    <n v="2413.9611001555932"/>
    <n v="4654.6230747659129"/>
  </r>
  <r>
    <s v="Sistema Isolado - Regular"/>
    <x v="1"/>
    <x v="0"/>
    <x v="1"/>
    <x v="0"/>
    <x v="0"/>
    <x v="0"/>
    <x v="0"/>
    <x v="6"/>
    <n v="1117"/>
    <n v="1117"/>
    <n v="525.85400000000004"/>
    <n v="525.85400000000004"/>
    <n v="525.85400000000004"/>
    <n v="525.85400000000004"/>
    <n v="0"/>
    <x v="0"/>
    <n v="0"/>
    <n v="20"/>
    <n v="21"/>
    <n v="75"/>
    <n v="19.8"/>
    <n v="84.31"/>
    <n v="168.06"/>
    <n v="20.612826474871284"/>
    <n v="113.43802162385306"/>
    <n v="218.7322873480222"/>
    <n v="22116.600000000002"/>
    <n v="44334.750740000003"/>
    <n v="88375.02324000001"/>
    <n v="23024.527172431222"/>
    <n v="59651.837422989629"/>
    <n v="115021.24823110687"/>
  </r>
  <r>
    <s v="Regular"/>
    <x v="1"/>
    <x v="0"/>
    <x v="1"/>
    <x v="0"/>
    <x v="0"/>
    <x v="0"/>
    <x v="0"/>
    <x v="7"/>
    <n v="147"/>
    <n v="147"/>
    <n v="43.637999999999998"/>
    <n v="43.637999999999998"/>
    <n v="43.637999999999998"/>
    <n v="43.637999999999998"/>
    <n v="0"/>
    <x v="0"/>
    <n v="0"/>
    <n v="20"/>
    <n v="21"/>
    <n v="75"/>
    <n v="19.8"/>
    <n v="84.31"/>
    <n v="168.06"/>
    <n v="20.612826474871284"/>
    <n v="113.43802162385306"/>
    <n v="218.7322873480222"/>
    <n v="2910.6"/>
    <n v="3679.11978"/>
    <n v="7333.8022799999999"/>
    <n v="3030.0854918060786"/>
    <n v="4950.2083876216993"/>
    <n v="9545.0395552929931"/>
  </r>
  <r>
    <s v="Sistema Isolado - Regular"/>
    <x v="1"/>
    <x v="0"/>
    <x v="1"/>
    <x v="0"/>
    <x v="0"/>
    <x v="0"/>
    <x v="0"/>
    <x v="7"/>
    <n v="1120"/>
    <n v="1120"/>
    <n v="505.18299999999999"/>
    <n v="505.18299999999999"/>
    <n v="505.18299999999999"/>
    <n v="505.18299999999999"/>
    <n v="0"/>
    <x v="0"/>
    <n v="0"/>
    <n v="20"/>
    <n v="21"/>
    <n v="75"/>
    <n v="19.8"/>
    <n v="84.31"/>
    <n v="168.06"/>
    <n v="20.612826474871284"/>
    <n v="113.43802162385306"/>
    <n v="218.7322873480222"/>
    <n v="22176"/>
    <n v="42591.978730000003"/>
    <n v="84901.054980000001"/>
    <n v="23086.365651855838"/>
    <n v="57306.960078002958"/>
    <n v="110499.83311933589"/>
  </r>
  <r>
    <s v="Regular"/>
    <x v="1"/>
    <x v="0"/>
    <x v="1"/>
    <x v="0"/>
    <x v="0"/>
    <x v="0"/>
    <x v="0"/>
    <x v="8"/>
    <n v="145"/>
    <n v="145"/>
    <n v="43.432000000000002"/>
    <n v="43.432000000000002"/>
    <n v="43.432000000000002"/>
    <n v="43.432000000000002"/>
    <n v="0"/>
    <x v="0"/>
    <n v="0"/>
    <n v="20"/>
    <n v="21"/>
    <n v="75"/>
    <n v="19.8"/>
    <n v="84.31"/>
    <n v="168.06"/>
    <n v="20.612826474871284"/>
    <n v="113.43802162385306"/>
    <n v="218.7322873480222"/>
    <n v="2871"/>
    <n v="3661.7519200000002"/>
    <n v="7299.1819200000009"/>
    <n v="2988.859838856336"/>
    <n v="4926.8401551671868"/>
    <n v="9499.9807040993001"/>
  </r>
  <r>
    <s v="Sistema Isolado - Regular"/>
    <x v="1"/>
    <x v="0"/>
    <x v="1"/>
    <x v="0"/>
    <x v="0"/>
    <x v="0"/>
    <x v="0"/>
    <x v="8"/>
    <n v="1137"/>
    <n v="1137"/>
    <n v="543.13400000000001"/>
    <n v="543.13400000000001"/>
    <n v="543.13400000000001"/>
    <n v="543.13400000000001"/>
    <n v="0"/>
    <x v="0"/>
    <n v="0"/>
    <n v="20"/>
    <n v="21"/>
    <n v="75"/>
    <n v="19.8"/>
    <n v="84.31"/>
    <n v="168.06"/>
    <n v="20.612826474871284"/>
    <n v="113.43802162385306"/>
    <n v="218.7322873480222"/>
    <n v="22512.600000000002"/>
    <n v="45791.627540000001"/>
    <n v="91279.100040000005"/>
    <n v="23436.783701928649"/>
    <n v="61612.046436649813"/>
    <n v="118800.9421564807"/>
  </r>
  <r>
    <s v="Regular"/>
    <x v="1"/>
    <x v="0"/>
    <x v="1"/>
    <x v="0"/>
    <x v="0"/>
    <x v="0"/>
    <x v="0"/>
    <x v="9"/>
    <n v="142"/>
    <n v="142"/>
    <n v="44.18"/>
    <n v="44.18"/>
    <n v="44.18"/>
    <n v="44.18"/>
    <n v="0"/>
    <x v="0"/>
    <n v="0"/>
    <n v="20"/>
    <n v="21"/>
    <n v="75"/>
    <n v="19.8"/>
    <n v="84.31"/>
    <n v="168.06"/>
    <n v="20.612826474871284"/>
    <n v="113.43802162385306"/>
    <n v="218.7322873480222"/>
    <n v="2811.6"/>
    <n v="3724.8157999999999"/>
    <n v="7424.8908000000001"/>
    <n v="2927.0213594317224"/>
    <n v="5011.6917953418279"/>
    <n v="9663.5924550356212"/>
  </r>
  <r>
    <s v="Sistema Isolado - Regular"/>
    <x v="1"/>
    <x v="0"/>
    <x v="1"/>
    <x v="0"/>
    <x v="0"/>
    <x v="0"/>
    <x v="0"/>
    <x v="9"/>
    <n v="1241"/>
    <n v="1241"/>
    <n v="584.41800000000001"/>
    <n v="584.41800000000001"/>
    <n v="584.41800000000001"/>
    <n v="584.41800000000001"/>
    <n v="0"/>
    <x v="0"/>
    <n v="0"/>
    <n v="20"/>
    <n v="21"/>
    <n v="75"/>
    <n v="19.8"/>
    <n v="84.31"/>
    <n v="168.06"/>
    <n v="20.612826474871284"/>
    <n v="113.43802162385306"/>
    <n v="218.7322873480222"/>
    <n v="24571.8"/>
    <n v="49272.281580000003"/>
    <n v="98217.289080000002"/>
    <n v="25580.517655315263"/>
    <n v="66295.221721368958"/>
    <n v="127831.08590735644"/>
  </r>
  <r>
    <s v="Regular"/>
    <x v="1"/>
    <x v="0"/>
    <x v="1"/>
    <x v="0"/>
    <x v="0"/>
    <x v="0"/>
    <x v="0"/>
    <x v="10"/>
    <n v="203"/>
    <n v="203"/>
    <n v="54.765000000000001"/>
    <n v="54.765000000000001"/>
    <n v="54.765000000000001"/>
    <n v="54.765000000000001"/>
    <n v="0"/>
    <x v="0"/>
    <n v="0"/>
    <n v="20"/>
    <n v="21"/>
    <n v="75"/>
    <n v="19.8"/>
    <n v="84.31"/>
    <n v="168.06"/>
    <n v="20.612826474871284"/>
    <n v="113.43802162385306"/>
    <n v="218.7322873480222"/>
    <n v="4019.4"/>
    <n v="4617.2371499999999"/>
    <n v="9203.8058999999994"/>
    <n v="4184.4037743988702"/>
    <n v="6212.4332542303127"/>
    <n v="11978.873716614436"/>
  </r>
  <r>
    <s v="Sistema Isolado - Regular"/>
    <x v="1"/>
    <x v="0"/>
    <x v="1"/>
    <x v="0"/>
    <x v="0"/>
    <x v="0"/>
    <x v="0"/>
    <x v="10"/>
    <n v="1168"/>
    <n v="1168"/>
    <n v="563.94299999999998"/>
    <n v="563.94299999999998"/>
    <n v="563.94299999999998"/>
    <n v="563.94299999999998"/>
    <n v="0"/>
    <x v="0"/>
    <n v="0"/>
    <n v="20"/>
    <n v="21"/>
    <n v="75"/>
    <n v="19.8"/>
    <n v="84.31"/>
    <n v="168.06"/>
    <n v="20.612826474871284"/>
    <n v="113.43802162385306"/>
    <n v="218.7322873480222"/>
    <n v="23126.400000000001"/>
    <n v="47546.034330000002"/>
    <n v="94776.260580000002"/>
    <n v="24075.781322649658"/>
    <n v="63972.578228620565"/>
    <n v="123352.54232390568"/>
  </r>
  <r>
    <s v="PROJETADO"/>
    <x v="1"/>
    <x v="0"/>
    <x v="1"/>
    <x v="0"/>
    <x v="0"/>
    <x v="0"/>
    <x v="0"/>
    <x v="11"/>
    <n v="203"/>
    <n v="203"/>
    <n v="54.765000000000001"/>
    <n v="54.765000000000001"/>
    <n v="54.765000000000001"/>
    <n v="54.765000000000001"/>
    <n v="0"/>
    <x v="0"/>
    <n v="0"/>
    <n v="20"/>
    <n v="21"/>
    <n v="75"/>
    <n v="19.8"/>
    <n v="84.31"/>
    <n v="168.06"/>
    <n v="20.612826474871284"/>
    <n v="113.43802162385306"/>
    <n v="218.7322873480222"/>
    <n v="4019.4"/>
    <n v="4617.2371499999999"/>
    <n v="9203.8058999999994"/>
    <n v="4184.4037743988702"/>
    <n v="6212.4332542303127"/>
    <n v="11978.873716614436"/>
  </r>
  <r>
    <s v="PROJETADO"/>
    <x v="1"/>
    <x v="0"/>
    <x v="1"/>
    <x v="0"/>
    <x v="0"/>
    <x v="0"/>
    <x v="0"/>
    <x v="11"/>
    <n v="1168"/>
    <n v="1168"/>
    <n v="563.94299999999998"/>
    <n v="563.94299999999998"/>
    <n v="563.94299999999998"/>
    <n v="563.94299999999998"/>
    <n v="0"/>
    <x v="0"/>
    <n v="0"/>
    <n v="20"/>
    <n v="21"/>
    <n v="75"/>
    <n v="19.8"/>
    <n v="84.31"/>
    <n v="168.06"/>
    <n v="20.612826474871284"/>
    <n v="113.43802162385306"/>
    <n v="218.7322873480222"/>
    <n v="23126.400000000001"/>
    <n v="47546.034330000002"/>
    <n v="94776.260580000002"/>
    <n v="24075.781322649658"/>
    <n v="63972.578228620565"/>
    <n v="123352.54232390568"/>
  </r>
  <r>
    <s v="Regular"/>
    <x v="1"/>
    <x v="0"/>
    <x v="1"/>
    <x v="0"/>
    <x v="0"/>
    <x v="0"/>
    <x v="1"/>
    <x v="0"/>
    <n v="115"/>
    <n v="115"/>
    <n v="3.351"/>
    <n v="3.351"/>
    <n v="3.351"/>
    <n v="3.351"/>
    <n v="0"/>
    <x v="0"/>
    <n v="0"/>
    <n v="19"/>
    <n v="21"/>
    <n v="74"/>
    <n v="56.22"/>
    <n v="84.31"/>
    <n v="270.3"/>
    <n v="56.30075009771577"/>
    <n v="113.43802162385306"/>
    <n v="362.70381368696184"/>
    <n v="6465.3"/>
    <n v="282.52280999999999"/>
    <n v="905.77530000000002"/>
    <n v="6474.5862612373139"/>
    <n v="380.13081046153161"/>
    <n v="1215.420479665009"/>
  </r>
  <r>
    <s v="Sistema Isolado - Regular"/>
    <x v="1"/>
    <x v="0"/>
    <x v="1"/>
    <x v="0"/>
    <x v="0"/>
    <x v="0"/>
    <x v="1"/>
    <x v="0"/>
    <n v="1262"/>
    <n v="1262"/>
    <n v="53.48"/>
    <n v="53.48"/>
    <n v="53.48"/>
    <n v="53.48"/>
    <n v="0"/>
    <x v="0"/>
    <n v="0"/>
    <n v="19"/>
    <n v="21"/>
    <n v="74"/>
    <n v="56.22"/>
    <n v="84.31"/>
    <n v="270.3"/>
    <n v="56.30075009771577"/>
    <n v="113.43802162385306"/>
    <n v="362.70381368696184"/>
    <n v="70949.64"/>
    <n v="4508.8987999999999"/>
    <n v="14455.644"/>
    <n v="71051.546623317307"/>
    <n v="6066.6653964436609"/>
    <n v="19397.399955978719"/>
  </r>
  <r>
    <s v="Regular"/>
    <x v="1"/>
    <x v="0"/>
    <x v="1"/>
    <x v="0"/>
    <x v="0"/>
    <x v="0"/>
    <x v="1"/>
    <x v="1"/>
    <n v="115"/>
    <n v="115"/>
    <n v="3.431"/>
    <n v="3.431"/>
    <n v="3.431"/>
    <n v="3.431"/>
    <n v="0"/>
    <x v="0"/>
    <n v="0"/>
    <n v="19"/>
    <n v="21"/>
    <n v="74"/>
    <n v="56.22"/>
    <n v="84.31"/>
    <n v="270.3"/>
    <n v="56.30075009771577"/>
    <n v="113.43802162385306"/>
    <n v="362.70381368696184"/>
    <n v="6465.3"/>
    <n v="289.26760999999999"/>
    <n v="927.39930000000004"/>
    <n v="6474.5862612373139"/>
    <n v="389.20585219143987"/>
    <n v="1244.436784759966"/>
  </r>
  <r>
    <s v="Sistema Isolado - Regular"/>
    <x v="1"/>
    <x v="0"/>
    <x v="1"/>
    <x v="0"/>
    <x v="0"/>
    <x v="0"/>
    <x v="1"/>
    <x v="1"/>
    <n v="1262"/>
    <n v="1262"/>
    <n v="51.027999999999999"/>
    <n v="51.027999999999999"/>
    <n v="51.027999999999999"/>
    <n v="51.027999999999999"/>
    <n v="0"/>
    <x v="0"/>
    <n v="0"/>
    <n v="19"/>
    <n v="21"/>
    <n v="74"/>
    <n v="56.22"/>
    <n v="84.31"/>
    <n v="270.3"/>
    <n v="56.30075009771577"/>
    <n v="113.43802162385306"/>
    <n v="362.70381368696184"/>
    <n v="70949.64"/>
    <n v="4302.1706800000002"/>
    <n v="13792.868399999999"/>
    <n v="71051.546623317307"/>
    <n v="5788.5153674219737"/>
    <n v="18508.05020481829"/>
  </r>
  <r>
    <s v="Regular"/>
    <x v="1"/>
    <x v="0"/>
    <x v="1"/>
    <x v="0"/>
    <x v="0"/>
    <x v="0"/>
    <x v="1"/>
    <x v="2"/>
    <n v="115"/>
    <n v="115"/>
    <n v="3.3140000000000001"/>
    <n v="3.3140000000000001"/>
    <n v="3.3140000000000001"/>
    <n v="3.3140000000000001"/>
    <n v="0"/>
    <x v="0"/>
    <n v="0"/>
    <n v="19"/>
    <n v="21"/>
    <n v="74"/>
    <n v="56.22"/>
    <n v="84.31"/>
    <n v="270.3"/>
    <n v="56.30075009771577"/>
    <n v="113.43802162385306"/>
    <n v="362.70381368696184"/>
    <n v="6465.3"/>
    <n v="279.40334000000001"/>
    <n v="895.77420000000006"/>
    <n v="6474.5862612373139"/>
    <n v="375.93360366144907"/>
    <n v="1202.0004385585914"/>
  </r>
  <r>
    <s v="Sistema Isolado - Regular"/>
    <x v="1"/>
    <x v="0"/>
    <x v="1"/>
    <x v="0"/>
    <x v="0"/>
    <x v="0"/>
    <x v="1"/>
    <x v="2"/>
    <n v="1262"/>
    <n v="1262"/>
    <n v="47.726999999999997"/>
    <n v="47.726999999999997"/>
    <n v="47.726999999999997"/>
    <n v="47.726999999999997"/>
    <n v="0"/>
    <x v="0"/>
    <n v="0"/>
    <n v="19"/>
    <n v="21"/>
    <n v="74"/>
    <n v="56.22"/>
    <n v="84.31"/>
    <n v="270.3"/>
    <n v="56.30075009771577"/>
    <n v="113.43802162385306"/>
    <n v="362.70381368696184"/>
    <n v="70949.64"/>
    <n v="4023.86337"/>
    <n v="12900.608099999999"/>
    <n v="71051.546623317307"/>
    <n v="5414.0564580416349"/>
    <n v="17310.764915837626"/>
  </r>
  <r>
    <s v="Regular"/>
    <x v="1"/>
    <x v="0"/>
    <x v="1"/>
    <x v="0"/>
    <x v="0"/>
    <x v="0"/>
    <x v="1"/>
    <x v="3"/>
    <n v="115"/>
    <n v="115"/>
    <n v="3.6890000000000001"/>
    <n v="3.6890000000000001"/>
    <n v="3.6890000000000001"/>
    <n v="3.6890000000000001"/>
    <n v="0"/>
    <x v="0"/>
    <n v="0"/>
    <n v="19"/>
    <n v="21"/>
    <n v="74"/>
    <n v="56.22"/>
    <n v="84.31"/>
    <n v="270.3"/>
    <n v="56.30075009771577"/>
    <n v="113.43802162385306"/>
    <n v="362.70381368696184"/>
    <n v="6465.3"/>
    <n v="311.01958999999999"/>
    <n v="997.13670000000002"/>
    <n v="6474.5862612373139"/>
    <n v="418.47286177039393"/>
    <n v="1338.0143686912022"/>
  </r>
  <r>
    <s v="Sistema Isolado - Regular"/>
    <x v="1"/>
    <x v="0"/>
    <x v="1"/>
    <x v="0"/>
    <x v="0"/>
    <x v="0"/>
    <x v="1"/>
    <x v="3"/>
    <n v="1262"/>
    <n v="1262"/>
    <n v="52.881999999999998"/>
    <n v="52.881999999999998"/>
    <n v="52.881999999999998"/>
    <n v="52.881999999999998"/>
    <n v="0"/>
    <x v="0"/>
    <n v="0"/>
    <n v="19"/>
    <n v="21"/>
    <n v="74"/>
    <n v="56.22"/>
    <n v="84.31"/>
    <n v="270.3"/>
    <n v="56.30075009771577"/>
    <n v="113.43802162385306"/>
    <n v="362.70381368696184"/>
    <n v="70949.64"/>
    <n v="4458.4814200000001"/>
    <n v="14294.0046"/>
    <n v="71051.546623317307"/>
    <n v="5998.8294595125972"/>
    <n v="19180.503075393914"/>
  </r>
  <r>
    <s v="Regular"/>
    <x v="1"/>
    <x v="0"/>
    <x v="1"/>
    <x v="0"/>
    <x v="0"/>
    <x v="0"/>
    <x v="1"/>
    <x v="4"/>
    <n v="131"/>
    <n v="131"/>
    <n v="3.6890000000000001"/>
    <n v="3.6890000000000001"/>
    <n v="3.6890000000000001"/>
    <n v="3.6890000000000001"/>
    <n v="0"/>
    <x v="0"/>
    <n v="0"/>
    <n v="19"/>
    <n v="21"/>
    <n v="74"/>
    <n v="56.22"/>
    <n v="84.31"/>
    <n v="270.3"/>
    <n v="56.30075009771577"/>
    <n v="113.43802162385306"/>
    <n v="362.70381368696184"/>
    <n v="7364.82"/>
    <n v="311.01958999999999"/>
    <n v="997.13670000000002"/>
    <n v="7375.3982628007661"/>
    <n v="418.47286177039393"/>
    <n v="1338.0143686912022"/>
  </r>
  <r>
    <s v="Sistema Isolado - Regular"/>
    <x v="1"/>
    <x v="0"/>
    <x v="1"/>
    <x v="0"/>
    <x v="0"/>
    <x v="0"/>
    <x v="1"/>
    <x v="4"/>
    <n v="1262"/>
    <n v="1262"/>
    <n v="45.524999999999999"/>
    <n v="45.524999999999999"/>
    <n v="45.524999999999999"/>
    <n v="45.524999999999999"/>
    <n v="0"/>
    <x v="0"/>
    <n v="0"/>
    <n v="19"/>
    <n v="21"/>
    <n v="74"/>
    <n v="56.22"/>
    <n v="84.31"/>
    <n v="270.3"/>
    <n v="56.30075009771577"/>
    <n v="113.43802162385306"/>
    <n v="362.70381368696184"/>
    <n v="70949.64"/>
    <n v="3838.2127500000001"/>
    <n v="12305.407499999999"/>
    <n v="71051.546623317307"/>
    <n v="5164.26593442591"/>
    <n v="16512.091118098939"/>
  </r>
  <r>
    <s v="Regular"/>
    <x v="1"/>
    <x v="0"/>
    <x v="1"/>
    <x v="0"/>
    <x v="0"/>
    <x v="0"/>
    <x v="1"/>
    <x v="5"/>
    <n v="122"/>
    <n v="122"/>
    <n v="4.5220000000000002"/>
    <n v="4.5220000000000002"/>
    <n v="4.5220000000000002"/>
    <n v="4.5220000000000002"/>
    <n v="0"/>
    <x v="0"/>
    <n v="0"/>
    <n v="19"/>
    <n v="21"/>
    <n v="74"/>
    <n v="56.22"/>
    <n v="84.31"/>
    <n v="270.3"/>
    <n v="56.30075009771577"/>
    <n v="113.43802162385306"/>
    <n v="362.70381368696184"/>
    <n v="6858.84"/>
    <n v="381.24982000000006"/>
    <n v="1222.2966000000001"/>
    <n v="6868.6915119213236"/>
    <n v="512.96673378306355"/>
    <n v="1640.1466454924416"/>
  </r>
  <r>
    <s v="Sistema Isolado - Regular"/>
    <x v="1"/>
    <x v="0"/>
    <x v="1"/>
    <x v="0"/>
    <x v="0"/>
    <x v="0"/>
    <x v="1"/>
    <x v="5"/>
    <n v="1262"/>
    <n v="1262"/>
    <n v="43.823"/>
    <n v="43.823"/>
    <n v="43.823"/>
    <n v="43.823"/>
    <n v="0"/>
    <x v="0"/>
    <n v="0"/>
    <n v="19"/>
    <n v="21"/>
    <n v="74"/>
    <n v="56.22"/>
    <n v="84.31"/>
    <n v="270.3"/>
    <n v="56.30075009771577"/>
    <n v="113.43802162385306"/>
    <n v="362.70381368696184"/>
    <n v="70949.64"/>
    <n v="3694.71713"/>
    <n v="11845.356900000001"/>
    <n v="71051.546623317307"/>
    <n v="4971.1944216221127"/>
    <n v="15894.769227203729"/>
  </r>
  <r>
    <s v="Regular"/>
    <x v="1"/>
    <x v="0"/>
    <x v="1"/>
    <x v="0"/>
    <x v="0"/>
    <x v="0"/>
    <x v="1"/>
    <x v="6"/>
    <n v="119"/>
    <n v="119"/>
    <n v="4.0279999999999996"/>
    <n v="4.0279999999999996"/>
    <n v="4.0279999999999996"/>
    <n v="4.0279999999999996"/>
    <n v="0"/>
    <x v="0"/>
    <n v="0"/>
    <n v="19"/>
    <n v="21"/>
    <n v="74"/>
    <n v="56.22"/>
    <n v="84.31"/>
    <n v="270.3"/>
    <n v="56.30075009771577"/>
    <n v="113.43802162385306"/>
    <n v="362.70381368696184"/>
    <n v="6690.18"/>
    <n v="339.60067999999995"/>
    <n v="1088.7683999999999"/>
    <n v="6699.789261628177"/>
    <n v="456.92835110088009"/>
    <n v="1460.9709615310821"/>
  </r>
  <r>
    <s v="Refaturamento - Regular"/>
    <x v="1"/>
    <x v="0"/>
    <x v="1"/>
    <x v="0"/>
    <x v="0"/>
    <x v="0"/>
    <x v="1"/>
    <x v="6"/>
    <n v="-539"/>
    <n v="-539"/>
    <n v="1.1200000000000001"/>
    <n v="1.1200000000000001"/>
    <n v="1.1200000000000001"/>
    <n v="1.1200000000000001"/>
    <n v="0"/>
    <x v="0"/>
    <n v="0"/>
    <n v="19"/>
    <n v="21"/>
    <n v="74"/>
    <n v="56.22"/>
    <n v="84.31"/>
    <n v="270.3"/>
    <n v="56.30075009771577"/>
    <n v="113.43802162385306"/>
    <n v="362.70381368696184"/>
    <n v="-30302.579999999998"/>
    <n v="94.427200000000013"/>
    <n v="302.73600000000005"/>
    <n v="-30346.104302668798"/>
    <n v="127.05058421871544"/>
    <n v="406.22827132939727"/>
  </r>
  <r>
    <s v="Sistema Isolado - Regular"/>
    <x v="1"/>
    <x v="0"/>
    <x v="1"/>
    <x v="0"/>
    <x v="0"/>
    <x v="0"/>
    <x v="1"/>
    <x v="6"/>
    <n v="1262"/>
    <n v="1262"/>
    <n v="57.436999999999998"/>
    <n v="57.436999999999998"/>
    <n v="57.436999999999998"/>
    <n v="57.436999999999998"/>
    <n v="0"/>
    <x v="0"/>
    <n v="0"/>
    <n v="19"/>
    <n v="21"/>
    <n v="74"/>
    <n v="56.22"/>
    <n v="84.31"/>
    <n v="270.3"/>
    <n v="56.30075009771577"/>
    <n v="113.43802162385306"/>
    <n v="362.70381368696184"/>
    <n v="70949.64"/>
    <n v="4842.5134699999999"/>
    <n v="15525.221100000001"/>
    <n v="71051.546623317307"/>
    <n v="6515.5396480092477"/>
    <n v="20832.618946738025"/>
  </r>
  <r>
    <s v="Regular"/>
    <x v="1"/>
    <x v="0"/>
    <x v="1"/>
    <x v="0"/>
    <x v="0"/>
    <x v="0"/>
    <x v="1"/>
    <x v="7"/>
    <n v="126"/>
    <n v="126"/>
    <n v="4.3890000000000002"/>
    <n v="4.3890000000000002"/>
    <n v="4.3890000000000002"/>
    <n v="4.3890000000000002"/>
    <n v="0"/>
    <x v="0"/>
    <n v="0"/>
    <n v="19"/>
    <n v="21"/>
    <n v="74"/>
    <n v="56.22"/>
    <n v="84.31"/>
    <n v="270.3"/>
    <n v="56.30075009771577"/>
    <n v="113.43802162385306"/>
    <n v="362.70381368696184"/>
    <n v="7083.72"/>
    <n v="370.03659000000005"/>
    <n v="1186.3467000000001"/>
    <n v="7093.8945123121866"/>
    <n v="497.87947690709109"/>
    <n v="1591.9070382720756"/>
  </r>
  <r>
    <s v="Sistema Isolado - Regular"/>
    <x v="1"/>
    <x v="0"/>
    <x v="1"/>
    <x v="0"/>
    <x v="0"/>
    <x v="0"/>
    <x v="1"/>
    <x v="7"/>
    <n v="1262"/>
    <n v="1262"/>
    <n v="53.774000000000001"/>
    <n v="53.774000000000001"/>
    <n v="53.774000000000001"/>
    <n v="53.774000000000001"/>
    <n v="0"/>
    <x v="0"/>
    <n v="0"/>
    <n v="19"/>
    <n v="21"/>
    <n v="74"/>
    <n v="56.22"/>
    <n v="84.31"/>
    <n v="270.3"/>
    <n v="56.30075009771577"/>
    <n v="113.43802162385306"/>
    <n v="362.70381368696184"/>
    <n v="70949.64"/>
    <n v="4533.6859400000003"/>
    <n v="14535.112200000001"/>
    <n v="71051.546623317307"/>
    <n v="6100.0161748010742"/>
    <n v="19504.034877202685"/>
  </r>
  <r>
    <s v="Regular"/>
    <x v="1"/>
    <x v="0"/>
    <x v="1"/>
    <x v="0"/>
    <x v="0"/>
    <x v="0"/>
    <x v="1"/>
    <x v="8"/>
    <n v="121"/>
    <n v="121"/>
    <n v="4.6399999999999997"/>
    <n v="4.6399999999999997"/>
    <n v="4.6399999999999997"/>
    <n v="4.6399999999999997"/>
    <n v="0"/>
    <x v="0"/>
    <n v="0"/>
    <n v="19"/>
    <n v="21"/>
    <n v="74"/>
    <n v="56.22"/>
    <n v="84.31"/>
    <n v="270.3"/>
    <n v="56.30075009771577"/>
    <n v="113.43802162385306"/>
    <n v="362.70381368696184"/>
    <n v="6802.62"/>
    <n v="391.19839999999999"/>
    <n v="1254.192"/>
    <n v="6812.390761823608"/>
    <n v="526.35242033467819"/>
    <n v="1682.9456955075027"/>
  </r>
  <r>
    <s v="Sistema Isolado - Regular"/>
    <x v="1"/>
    <x v="0"/>
    <x v="1"/>
    <x v="0"/>
    <x v="0"/>
    <x v="0"/>
    <x v="1"/>
    <x v="8"/>
    <n v="1278"/>
    <n v="1278"/>
    <n v="62.19"/>
    <n v="62.19"/>
    <n v="62.19"/>
    <n v="62.19"/>
    <n v="0"/>
    <x v="0"/>
    <n v="0"/>
    <n v="19"/>
    <n v="21"/>
    <n v="74"/>
    <n v="56.22"/>
    <n v="84.31"/>
    <n v="270.3"/>
    <n v="56.30075009771577"/>
    <n v="113.43802162385306"/>
    <n v="362.70381368696184"/>
    <n v="71849.16"/>
    <n v="5243.2389000000003"/>
    <n v="16809.956999999999"/>
    <n v="71952.358624880755"/>
    <n v="7054.7105647874214"/>
    <n v="22556.550173192154"/>
  </r>
  <r>
    <s v="Regular"/>
    <x v="1"/>
    <x v="0"/>
    <x v="1"/>
    <x v="0"/>
    <x v="0"/>
    <x v="0"/>
    <x v="1"/>
    <x v="9"/>
    <n v="125"/>
    <n v="125"/>
    <n v="4.391"/>
    <n v="4.391"/>
    <n v="4.391"/>
    <n v="4.391"/>
    <n v="0"/>
    <x v="0"/>
    <n v="0"/>
    <n v="19"/>
    <n v="21"/>
    <n v="74"/>
    <n v="56.22"/>
    <n v="84.31"/>
    <n v="270.3"/>
    <n v="56.30075009771577"/>
    <n v="113.43802162385306"/>
    <n v="362.70381368696184"/>
    <n v="7027.5"/>
    <n v="370.20521000000002"/>
    <n v="1186.8873000000001"/>
    <n v="7037.5937622144711"/>
    <n v="498.10635295033882"/>
    <n v="1592.6324458994495"/>
  </r>
  <r>
    <s v="Sistema Isolado - Regular"/>
    <x v="1"/>
    <x v="0"/>
    <x v="1"/>
    <x v="0"/>
    <x v="0"/>
    <x v="0"/>
    <x v="1"/>
    <x v="9"/>
    <n v="1312"/>
    <n v="1312"/>
    <n v="61.639000000000003"/>
    <n v="61.639000000000003"/>
    <n v="61.639000000000003"/>
    <n v="61.639000000000003"/>
    <n v="0"/>
    <x v="0"/>
    <n v="0"/>
    <n v="19"/>
    <n v="21"/>
    <n v="74"/>
    <n v="56.22"/>
    <n v="84.31"/>
    <n v="270.3"/>
    <n v="56.30075009771577"/>
    <n v="113.43802162385306"/>
    <n v="362.70381368696184"/>
    <n v="73760.639999999999"/>
    <n v="5196.7840900000001"/>
    <n v="16661.021700000001"/>
    <n v="73866.584128203089"/>
    <n v="6992.2062148726791"/>
    <n v="22356.700371850642"/>
  </r>
  <r>
    <s v="Regular"/>
    <x v="1"/>
    <x v="0"/>
    <x v="1"/>
    <x v="0"/>
    <x v="0"/>
    <x v="0"/>
    <x v="1"/>
    <x v="10"/>
    <n v="156"/>
    <n v="156"/>
    <n v="4.9740000000000002"/>
    <n v="4.9740000000000002"/>
    <n v="4.9740000000000002"/>
    <n v="4.9740000000000002"/>
    <n v="0"/>
    <x v="0"/>
    <n v="0"/>
    <n v="19"/>
    <n v="21"/>
    <n v="74"/>
    <n v="56.22"/>
    <n v="84.31"/>
    <n v="270.3"/>
    <n v="56.30075009771577"/>
    <n v="113.43802162385306"/>
    <n v="362.70381368696184"/>
    <n v="8770.32"/>
    <n v="419.35794000000004"/>
    <n v="1344.4722000000002"/>
    <n v="8782.91701524366"/>
    <n v="564.24071955704517"/>
    <n v="1804.0887692789483"/>
  </r>
  <r>
    <s v="Sistema Isolado - Regular"/>
    <x v="1"/>
    <x v="0"/>
    <x v="1"/>
    <x v="0"/>
    <x v="0"/>
    <x v="0"/>
    <x v="1"/>
    <x v="10"/>
    <n v="1262"/>
    <n v="1262"/>
    <n v="54.927"/>
    <n v="54.927"/>
    <n v="54.927"/>
    <n v="54.927"/>
    <n v="0"/>
    <x v="0"/>
    <n v="0"/>
    <n v="19"/>
    <n v="21"/>
    <n v="74"/>
    <n v="56.22"/>
    <n v="84.31"/>
    <n v="270.3"/>
    <n v="56.30075009771577"/>
    <n v="113.43802162385306"/>
    <n v="362.70381368696184"/>
    <n v="70949.64"/>
    <n v="4630.8953700000002"/>
    <n v="14846.768100000001"/>
    <n v="71051.546623317307"/>
    <n v="6230.8102137333772"/>
    <n v="19922.232374383751"/>
  </r>
  <r>
    <s v="PROJETADO"/>
    <x v="1"/>
    <x v="0"/>
    <x v="1"/>
    <x v="0"/>
    <x v="0"/>
    <x v="0"/>
    <x v="1"/>
    <x v="11"/>
    <n v="156"/>
    <n v="156"/>
    <n v="4.9740000000000002"/>
    <n v="4.9740000000000002"/>
    <n v="4.9740000000000002"/>
    <n v="4.9740000000000002"/>
    <n v="0"/>
    <x v="0"/>
    <n v="0"/>
    <n v="19"/>
    <n v="21"/>
    <n v="74"/>
    <n v="56.22"/>
    <n v="84.31"/>
    <n v="270.3"/>
    <n v="56.30075009771577"/>
    <n v="113.43802162385306"/>
    <n v="362.70381368696184"/>
    <n v="8770.32"/>
    <n v="419.35794000000004"/>
    <n v="1344.4722000000002"/>
    <n v="8782.91701524366"/>
    <n v="564.24071955704517"/>
    <n v="1804.0887692789483"/>
  </r>
  <r>
    <s v="PROJETADO"/>
    <x v="1"/>
    <x v="0"/>
    <x v="1"/>
    <x v="0"/>
    <x v="0"/>
    <x v="0"/>
    <x v="1"/>
    <x v="11"/>
    <n v="1262"/>
    <n v="1262"/>
    <n v="54.927"/>
    <n v="54.927"/>
    <n v="54.927"/>
    <n v="54.927"/>
    <n v="0"/>
    <x v="0"/>
    <n v="0"/>
    <n v="19"/>
    <n v="21"/>
    <n v="74"/>
    <n v="56.22"/>
    <n v="84.31"/>
    <n v="270.3"/>
    <n v="56.30075009771577"/>
    <n v="113.43802162385306"/>
    <n v="362.70381368696184"/>
    <n v="70949.64"/>
    <n v="4630.8953700000002"/>
    <n v="14846.768100000001"/>
    <n v="71051.546623317307"/>
    <n v="6230.8102137333772"/>
    <n v="19922.232374383751"/>
  </r>
  <r>
    <s v="Regular"/>
    <x v="1"/>
    <x v="0"/>
    <x v="4"/>
    <x v="0"/>
    <x v="0"/>
    <x v="0"/>
    <x v="0"/>
    <x v="0"/>
    <n v="2389"/>
    <n v="2389"/>
    <n v="737.77300000000002"/>
    <n v="737.77300000000002"/>
    <n v="737.77300000000002"/>
    <n v="737.77300000000002"/>
    <n v="0"/>
    <x v="0"/>
    <n v="0"/>
    <n v="20"/>
    <n v="21"/>
    <n v="75"/>
    <n v="19.8"/>
    <n v="84.31"/>
    <n v="168.06"/>
    <n v="20.612826474871284"/>
    <n v="113.43802162385306"/>
    <n v="218.7322873480222"/>
    <n v="47302.200000000004"/>
    <n v="62201.641630000006"/>
    <n v="123990.13038"/>
    <n v="49244.042448467495"/>
    <n v="83691.509527494942"/>
    <n v="161374.7758336124"/>
  </r>
  <r>
    <s v="Sistema de Compensação"/>
    <x v="1"/>
    <x v="0"/>
    <x v="4"/>
    <x v="0"/>
    <x v="0"/>
    <x v="0"/>
    <x v="0"/>
    <x v="0"/>
    <n v="1140"/>
    <n v="1140"/>
    <n v="303.10000000000002"/>
    <n v="303.10000000000002"/>
    <n v="303.10000000000002"/>
    <n v="303.10000000000002"/>
    <n v="0"/>
    <x v="0"/>
    <n v="0"/>
    <n v="20"/>
    <n v="21"/>
    <n v="75"/>
    <n v="19.8"/>
    <n v="84.31"/>
    <n v="168.06"/>
    <n v="20.612826474871284"/>
    <n v="113.43802162385306"/>
    <n v="218.7322873480222"/>
    <n v="22572"/>
    <n v="25554.361000000004"/>
    <n v="50938.986000000004"/>
    <n v="23498.622181353265"/>
    <n v="34383.064354189868"/>
    <n v="66297.756295185536"/>
  </r>
  <r>
    <s v="Regular"/>
    <x v="1"/>
    <x v="0"/>
    <x v="4"/>
    <x v="0"/>
    <x v="0"/>
    <x v="0"/>
    <x v="0"/>
    <x v="1"/>
    <n v="2463"/>
    <n v="2463"/>
    <n v="767.35500000000002"/>
    <n v="767.35500000000002"/>
    <n v="767.35500000000002"/>
    <n v="767.35500000000002"/>
    <n v="0"/>
    <x v="0"/>
    <n v="0"/>
    <n v="20"/>
    <n v="21"/>
    <n v="75"/>
    <n v="19.8"/>
    <n v="84.31"/>
    <n v="168.06"/>
    <n v="20.612826474871284"/>
    <n v="113.43802162385306"/>
    <n v="218.7322873480222"/>
    <n v="48767.4"/>
    <n v="64695.700050000007"/>
    <n v="128961.68130000001"/>
    <n v="50769.391607607969"/>
    <n v="87047.23308317177"/>
    <n v="167845.31435794156"/>
  </r>
  <r>
    <s v="Sistema de Compensação"/>
    <x v="1"/>
    <x v="0"/>
    <x v="4"/>
    <x v="0"/>
    <x v="0"/>
    <x v="0"/>
    <x v="0"/>
    <x v="1"/>
    <n v="1140"/>
    <n v="1140"/>
    <n v="317.91800000000001"/>
    <n v="317.91800000000001"/>
    <n v="317.91800000000001"/>
    <n v="317.91800000000001"/>
    <n v="0"/>
    <x v="0"/>
    <n v="0"/>
    <n v="20"/>
    <n v="21"/>
    <n v="75"/>
    <n v="19.8"/>
    <n v="84.31"/>
    <n v="168.06"/>
    <n v="20.612826474871284"/>
    <n v="113.43802162385306"/>
    <n v="218.7322873480222"/>
    <n v="22572"/>
    <n v="26803.666580000001"/>
    <n v="53429.299080000004"/>
    <n v="23498.622181353265"/>
    <n v="36063.988958612121"/>
    <n v="69538.931329108527"/>
  </r>
  <r>
    <s v="Regular"/>
    <x v="1"/>
    <x v="0"/>
    <x v="4"/>
    <x v="0"/>
    <x v="0"/>
    <x v="0"/>
    <x v="0"/>
    <x v="2"/>
    <n v="1682"/>
    <n v="1682"/>
    <n v="510.48700000000002"/>
    <n v="510.48700000000002"/>
    <n v="510.48700000000002"/>
    <n v="510.48700000000002"/>
    <n v="0"/>
    <x v="0"/>
    <n v="0"/>
    <n v="20"/>
    <n v="21"/>
    <n v="75"/>
    <n v="19.8"/>
    <n v="84.31"/>
    <n v="168.06"/>
    <n v="20.612826474871284"/>
    <n v="113.43802162385306"/>
    <n v="218.7322873480222"/>
    <n v="33303.599999999999"/>
    <n v="43039.158970000004"/>
    <n v="85792.445220000009"/>
    <n v="34670.774130733502"/>
    <n v="57908.635344695882"/>
    <n v="111659.98917142981"/>
  </r>
  <r>
    <s v="Sistema de Compensação"/>
    <x v="1"/>
    <x v="0"/>
    <x v="4"/>
    <x v="0"/>
    <x v="0"/>
    <x v="0"/>
    <x v="0"/>
    <x v="2"/>
    <n v="1140"/>
    <n v="1140"/>
    <n v="280.5"/>
    <n v="280.5"/>
    <n v="280.5"/>
    <n v="280.5"/>
    <n v="0"/>
    <x v="0"/>
    <n v="0"/>
    <n v="20"/>
    <n v="21"/>
    <n v="75"/>
    <n v="19.8"/>
    <n v="84.31"/>
    <n v="168.06"/>
    <n v="20.612826474871284"/>
    <n v="113.43802162385306"/>
    <n v="218.7322873480222"/>
    <n v="22572"/>
    <n v="23648.955000000002"/>
    <n v="47140.83"/>
    <n v="23498.622181353265"/>
    <n v="31819.365065490783"/>
    <n v="61354.406601120223"/>
  </r>
  <r>
    <s v="Regular"/>
    <x v="1"/>
    <x v="0"/>
    <x v="4"/>
    <x v="0"/>
    <x v="0"/>
    <x v="0"/>
    <x v="0"/>
    <x v="3"/>
    <n v="1705"/>
    <n v="1705"/>
    <n v="548.88099999999997"/>
    <n v="548.88099999999997"/>
    <n v="548.88099999999997"/>
    <n v="548.88099999999997"/>
    <n v="0"/>
    <x v="0"/>
    <n v="0"/>
    <n v="20"/>
    <n v="21"/>
    <n v="75"/>
    <n v="19.8"/>
    <n v="84.31"/>
    <n v="168.06"/>
    <n v="20.612826474871284"/>
    <n v="113.43802162385306"/>
    <n v="218.7322873480222"/>
    <n v="33759"/>
    <n v="46276.15711"/>
    <n v="92244.940860000002"/>
    <n v="35144.869139655537"/>
    <n v="62263.974746922089"/>
    <n v="120057.99661186976"/>
  </r>
  <r>
    <s v="Sistema de Compensação"/>
    <x v="1"/>
    <x v="0"/>
    <x v="4"/>
    <x v="0"/>
    <x v="0"/>
    <x v="0"/>
    <x v="0"/>
    <x v="3"/>
    <n v="1140"/>
    <n v="1140"/>
    <n v="302.62700000000001"/>
    <n v="302.62700000000001"/>
    <n v="302.62700000000001"/>
    <n v="302.62700000000001"/>
    <n v="0"/>
    <x v="0"/>
    <n v="0"/>
    <n v="20"/>
    <n v="21"/>
    <n v="75"/>
    <n v="19.8"/>
    <n v="84.31"/>
    <n v="168.06"/>
    <n v="20.612826474871284"/>
    <n v="113.43802162385306"/>
    <n v="218.7322873480222"/>
    <n v="22572"/>
    <n v="25514.482370000002"/>
    <n v="50859.493620000001"/>
    <n v="23498.622181353265"/>
    <n v="34329.408169961782"/>
    <n v="66194.295923269921"/>
  </r>
  <r>
    <s v="Regular"/>
    <x v="1"/>
    <x v="0"/>
    <x v="4"/>
    <x v="0"/>
    <x v="0"/>
    <x v="0"/>
    <x v="0"/>
    <x v="4"/>
    <n v="1703"/>
    <n v="1703"/>
    <n v="564.62199999999996"/>
    <n v="564.62199999999996"/>
    <n v="564.62199999999996"/>
    <n v="564.62199999999996"/>
    <n v="0"/>
    <x v="0"/>
    <n v="0"/>
    <n v="20"/>
    <n v="21"/>
    <n v="75"/>
    <n v="19.8"/>
    <n v="84.31"/>
    <n v="168.06"/>
    <n v="20.612826474871284"/>
    <n v="113.43802162385306"/>
    <n v="218.7322873480222"/>
    <n v="33719.4"/>
    <n v="47603.28082"/>
    <n v="94890.373319999999"/>
    <n v="35103.643486705798"/>
    <n v="64049.602645303159"/>
    <n v="123501.06154701498"/>
  </r>
  <r>
    <s v="Sistema de Compensação"/>
    <x v="1"/>
    <x v="0"/>
    <x v="4"/>
    <x v="0"/>
    <x v="0"/>
    <x v="0"/>
    <x v="0"/>
    <x v="4"/>
    <n v="1140"/>
    <n v="1140"/>
    <n v="312.62200000000001"/>
    <n v="312.62200000000001"/>
    <n v="312.62200000000001"/>
    <n v="312.62200000000001"/>
    <n v="0"/>
    <x v="0"/>
    <n v="0"/>
    <n v="20"/>
    <n v="21"/>
    <n v="75"/>
    <n v="19.8"/>
    <n v="84.31"/>
    <n v="168.06"/>
    <n v="20.612826474871284"/>
    <n v="113.43802162385306"/>
    <n v="218.7322873480222"/>
    <n v="22572"/>
    <n v="26357.160820000001"/>
    <n v="52539.253320000003"/>
    <n v="23498.622181353265"/>
    <n v="35463.221196092192"/>
    <n v="68380.525135313394"/>
  </r>
  <r>
    <s v="Regular"/>
    <x v="1"/>
    <x v="0"/>
    <x v="4"/>
    <x v="0"/>
    <x v="0"/>
    <x v="0"/>
    <x v="0"/>
    <x v="5"/>
    <n v="1703"/>
    <n v="1703"/>
    <n v="548.59100000000001"/>
    <n v="548.59100000000001"/>
    <n v="548.59100000000001"/>
    <n v="548.59100000000001"/>
    <n v="0"/>
    <x v="0"/>
    <n v="0"/>
    <n v="20"/>
    <n v="21"/>
    <n v="75"/>
    <n v="19.8"/>
    <n v="84.31"/>
    <n v="168.06"/>
    <n v="20.612826474871284"/>
    <n v="113.43802162385306"/>
    <n v="218.7322873480222"/>
    <n v="33719.4"/>
    <n v="46251.70721"/>
    <n v="92196.203460000004"/>
    <n v="35103.643486705798"/>
    <n v="62231.077720651178"/>
    <n v="119994.56424853885"/>
  </r>
  <r>
    <s v="Sistema de Compensação"/>
    <x v="1"/>
    <x v="0"/>
    <x v="4"/>
    <x v="0"/>
    <x v="0"/>
    <x v="0"/>
    <x v="0"/>
    <x v="5"/>
    <n v="1140"/>
    <n v="1140"/>
    <n v="307.63900000000001"/>
    <n v="307.63900000000001"/>
    <n v="307.63900000000001"/>
    <n v="307.63900000000001"/>
    <n v="0"/>
    <x v="0"/>
    <n v="0"/>
    <n v="20"/>
    <n v="21"/>
    <n v="75"/>
    <n v="19.8"/>
    <n v="84.31"/>
    <n v="168.06"/>
    <n v="20.612826474871284"/>
    <n v="113.43802162385306"/>
    <n v="218.7322873480222"/>
    <n v="22572"/>
    <n v="25937.044090000003"/>
    <n v="51701.810340000004"/>
    <n v="23498.622181353265"/>
    <n v="34897.959534340531"/>
    <n v="67290.582147458204"/>
  </r>
  <r>
    <s v="Regular"/>
    <x v="1"/>
    <x v="0"/>
    <x v="4"/>
    <x v="0"/>
    <x v="0"/>
    <x v="0"/>
    <x v="0"/>
    <x v="6"/>
    <n v="1688"/>
    <n v="1688"/>
    <n v="480.68799999999999"/>
    <n v="480.68799999999999"/>
    <n v="480.68799999999999"/>
    <n v="480.68799999999999"/>
    <n v="0"/>
    <x v="0"/>
    <n v="0"/>
    <n v="20"/>
    <n v="21"/>
    <n v="75"/>
    <n v="19.8"/>
    <n v="84.31"/>
    <n v="168.06"/>
    <n v="20.612826474871284"/>
    <n v="113.43802162385306"/>
    <n v="218.7322873480222"/>
    <n v="33422.400000000001"/>
    <n v="40526.80528"/>
    <n v="80784.425279999996"/>
    <n v="34794.451089582726"/>
    <n v="54528.295738326677"/>
    <n v="105141.98574074609"/>
  </r>
  <r>
    <s v="Sistema de Compensação"/>
    <x v="1"/>
    <x v="0"/>
    <x v="4"/>
    <x v="0"/>
    <x v="0"/>
    <x v="0"/>
    <x v="0"/>
    <x v="6"/>
    <n v="1140"/>
    <n v="1140"/>
    <n v="270.94299999999998"/>
    <n v="270.94299999999998"/>
    <n v="270.94299999999998"/>
    <n v="270.94299999999998"/>
    <n v="0"/>
    <x v="0"/>
    <n v="0"/>
    <n v="20"/>
    <n v="21"/>
    <n v="75"/>
    <n v="19.8"/>
    <n v="84.31"/>
    <n v="168.06"/>
    <n v="20.612826474871284"/>
    <n v="113.43802162385306"/>
    <n v="218.7322873480222"/>
    <n v="22572"/>
    <n v="22843.20433"/>
    <n v="45534.68058"/>
    <n v="23498.622181353265"/>
    <n v="30735.237892831618"/>
    <n v="59263.982130935176"/>
  </r>
  <r>
    <s v="Regular"/>
    <x v="1"/>
    <x v="0"/>
    <x v="4"/>
    <x v="0"/>
    <x v="0"/>
    <x v="0"/>
    <x v="0"/>
    <x v="7"/>
    <n v="1720"/>
    <n v="1720"/>
    <n v="579.803"/>
    <n v="579.803"/>
    <n v="579.803"/>
    <n v="579.803"/>
    <n v="0"/>
    <x v="0"/>
    <n v="0"/>
    <n v="20"/>
    <n v="21"/>
    <n v="75"/>
    <n v="19.8"/>
    <n v="84.31"/>
    <n v="168.06"/>
    <n v="20.612826474871284"/>
    <n v="113.43802162385306"/>
    <n v="218.7322873480222"/>
    <n v="34056"/>
    <n v="48883.190930000004"/>
    <n v="97441.692179999998"/>
    <n v="35454.061536778609"/>
    <n v="65771.70525157488"/>
    <n v="126821.63640124531"/>
  </r>
  <r>
    <s v="Sistema de Compensação"/>
    <x v="1"/>
    <x v="0"/>
    <x v="4"/>
    <x v="0"/>
    <x v="0"/>
    <x v="0"/>
    <x v="0"/>
    <x v="7"/>
    <n v="1140"/>
    <n v="1140"/>
    <n v="337.56599999999997"/>
    <n v="337.56599999999997"/>
    <n v="337.56599999999997"/>
    <n v="337.56599999999997"/>
    <n v="0"/>
    <x v="0"/>
    <n v="0"/>
    <n v="20"/>
    <n v="21"/>
    <n v="75"/>
    <n v="19.8"/>
    <n v="84.31"/>
    <n v="168.06"/>
    <n v="20.612826474871284"/>
    <n v="113.43802162385306"/>
    <n v="218.7322873480222"/>
    <n v="22572"/>
    <n v="28460.189459999998"/>
    <n v="56731.341959999998"/>
    <n v="23498.622181353265"/>
    <n v="38292.81920747758"/>
    <n v="73836.583310922462"/>
  </r>
  <r>
    <s v="Regular"/>
    <x v="1"/>
    <x v="0"/>
    <x v="4"/>
    <x v="0"/>
    <x v="0"/>
    <x v="0"/>
    <x v="0"/>
    <x v="8"/>
    <n v="1744"/>
    <n v="1744"/>
    <n v="536.50900000000001"/>
    <n v="536.50900000000001"/>
    <n v="536.50900000000001"/>
    <n v="536.50900000000001"/>
    <n v="0"/>
    <x v="0"/>
    <n v="0"/>
    <n v="20"/>
    <n v="21"/>
    <n v="75"/>
    <n v="19.8"/>
    <n v="84.31"/>
    <n v="168.06"/>
    <n v="20.612826474871284"/>
    <n v="113.43802162385306"/>
    <n v="218.7322873480222"/>
    <n v="34531.200000000004"/>
    <n v="45233.073790000002"/>
    <n v="90165.702539999998"/>
    <n v="35948.76937217552"/>
    <n v="60860.519543391783"/>
    <n v="117351.84075280004"/>
  </r>
  <r>
    <s v="Sistema de Compensação"/>
    <x v="1"/>
    <x v="0"/>
    <x v="4"/>
    <x v="0"/>
    <x v="0"/>
    <x v="0"/>
    <x v="0"/>
    <x v="8"/>
    <n v="1140"/>
    <n v="1140"/>
    <n v="304.15899999999999"/>
    <n v="304.15899999999999"/>
    <n v="304.15899999999999"/>
    <n v="304.15899999999999"/>
    <n v="0"/>
    <x v="0"/>
    <n v="0"/>
    <n v="20"/>
    <n v="21"/>
    <n v="75"/>
    <n v="19.8"/>
    <n v="84.31"/>
    <n v="168.06"/>
    <n v="20.612826474871284"/>
    <n v="113.43802162385306"/>
    <n v="218.7322873480222"/>
    <n v="22572"/>
    <n v="25643.64529"/>
    <n v="51116.961539999997"/>
    <n v="23498.622181353265"/>
    <n v="34503.195219089524"/>
    <n v="66529.393787487075"/>
  </r>
  <r>
    <s v="Regular"/>
    <x v="1"/>
    <x v="0"/>
    <x v="4"/>
    <x v="0"/>
    <x v="0"/>
    <x v="0"/>
    <x v="0"/>
    <x v="9"/>
    <n v="1811"/>
    <n v="1811"/>
    <n v="558.41399999999999"/>
    <n v="558.41399999999999"/>
    <n v="558.41399999999999"/>
    <n v="558.41399999999999"/>
    <n v="0"/>
    <x v="0"/>
    <n v="0"/>
    <n v="20"/>
    <n v="21"/>
    <n v="75"/>
    <n v="19.8"/>
    <n v="84.31"/>
    <n v="168.06"/>
    <n v="20.612826474871284"/>
    <n v="113.43802162385306"/>
    <n v="218.7322873480222"/>
    <n v="35857.800000000003"/>
    <n v="47079.884339999997"/>
    <n v="93847.056840000005"/>
    <n v="37329.828745991894"/>
    <n v="63345.379407062283"/>
    <n v="122143.17150715846"/>
  </r>
  <r>
    <s v="Sistema de Compensação"/>
    <x v="1"/>
    <x v="0"/>
    <x v="4"/>
    <x v="0"/>
    <x v="0"/>
    <x v="0"/>
    <x v="0"/>
    <x v="9"/>
    <n v="1140"/>
    <n v="1140"/>
    <n v="319.80399999999997"/>
    <n v="319.80399999999997"/>
    <n v="319.80399999999997"/>
    <n v="319.80399999999997"/>
    <n v="0"/>
    <x v="0"/>
    <n v="0"/>
    <n v="20"/>
    <n v="21"/>
    <n v="75"/>
    <n v="19.8"/>
    <n v="84.31"/>
    <n v="168.06"/>
    <n v="20.612826474871284"/>
    <n v="113.43802162385306"/>
    <n v="218.7322873480222"/>
    <n v="22572"/>
    <n v="26962.675239999997"/>
    <n v="53746.260239999996"/>
    <n v="23498.622181353265"/>
    <n v="36277.933067394704"/>
    <n v="69951.460423046883"/>
  </r>
  <r>
    <s v="Regular"/>
    <x v="1"/>
    <x v="0"/>
    <x v="4"/>
    <x v="0"/>
    <x v="0"/>
    <x v="0"/>
    <x v="0"/>
    <x v="10"/>
    <n v="1764"/>
    <n v="1764"/>
    <n v="600.80999999999995"/>
    <n v="600.80999999999995"/>
    <n v="600.80999999999995"/>
    <n v="600.80999999999995"/>
    <n v="0"/>
    <x v="0"/>
    <n v="0"/>
    <n v="20"/>
    <n v="21"/>
    <n v="75"/>
    <n v="19.8"/>
    <n v="84.31"/>
    <n v="168.06"/>
    <n v="20.612826474871284"/>
    <n v="113.43802162385306"/>
    <n v="218.7322873480222"/>
    <n v="34927.200000000004"/>
    <n v="50654.291099999995"/>
    <n v="100972.1286"/>
    <n v="36361.025901672947"/>
    <n v="68154.697771827152"/>
    <n v="131416.5455615652"/>
  </r>
  <r>
    <s v="Sistema de Compensação"/>
    <x v="1"/>
    <x v="0"/>
    <x v="4"/>
    <x v="0"/>
    <x v="0"/>
    <x v="0"/>
    <x v="0"/>
    <x v="10"/>
    <n v="1140"/>
    <n v="1140"/>
    <n v="338.12"/>
    <n v="338.12"/>
    <n v="338.12"/>
    <n v="338.12"/>
    <n v="0"/>
    <x v="0"/>
    <n v="0"/>
    <n v="20"/>
    <n v="21"/>
    <n v="75"/>
    <n v="19.8"/>
    <n v="84.31"/>
    <n v="168.06"/>
    <n v="20.612826474871284"/>
    <n v="113.43802162385306"/>
    <n v="218.7322873480222"/>
    <n v="22572"/>
    <n v="28506.897199999999"/>
    <n v="56824.447200000002"/>
    <n v="23498.622181353265"/>
    <n v="38355.663871457196"/>
    <n v="73957.76099811327"/>
  </r>
  <r>
    <s v="PROJETADO"/>
    <x v="1"/>
    <x v="0"/>
    <x v="4"/>
    <x v="0"/>
    <x v="0"/>
    <x v="0"/>
    <x v="0"/>
    <x v="11"/>
    <n v="1764"/>
    <n v="1764"/>
    <n v="600.80999999999995"/>
    <n v="600.80999999999995"/>
    <n v="600.80999999999995"/>
    <n v="600.80999999999995"/>
    <n v="0"/>
    <x v="0"/>
    <n v="0"/>
    <n v="20"/>
    <n v="21"/>
    <n v="75"/>
    <n v="19.8"/>
    <n v="84.31"/>
    <n v="168.06"/>
    <n v="20.612826474871284"/>
    <n v="113.43802162385306"/>
    <n v="218.7322873480222"/>
    <n v="34927.200000000004"/>
    <n v="50654.291099999995"/>
    <n v="100972.1286"/>
    <n v="36361.025901672947"/>
    <n v="68154.697771827152"/>
    <n v="131416.5455615652"/>
  </r>
  <r>
    <s v="PROJETADO"/>
    <x v="1"/>
    <x v="0"/>
    <x v="4"/>
    <x v="0"/>
    <x v="0"/>
    <x v="0"/>
    <x v="0"/>
    <x v="11"/>
    <n v="1140"/>
    <n v="1140"/>
    <n v="338.12"/>
    <n v="338.12"/>
    <n v="338.12"/>
    <n v="338.12"/>
    <n v="0"/>
    <x v="0"/>
    <n v="0"/>
    <n v="20"/>
    <n v="21"/>
    <n v="75"/>
    <n v="19.8"/>
    <n v="84.31"/>
    <n v="168.06"/>
    <n v="20.612826474871284"/>
    <n v="113.43802162385306"/>
    <n v="218.7322873480222"/>
    <n v="22572"/>
    <n v="28506.897199999999"/>
    <n v="56824.447200000002"/>
    <n v="23498.622181353265"/>
    <n v="38355.663871457196"/>
    <n v="73957.76099811327"/>
  </r>
  <r>
    <s v="Regular"/>
    <x v="1"/>
    <x v="0"/>
    <x v="4"/>
    <x v="0"/>
    <x v="0"/>
    <x v="0"/>
    <x v="1"/>
    <x v="0"/>
    <n v="2047"/>
    <n v="2047"/>
    <n v="67.457999999999998"/>
    <n v="67.457999999999998"/>
    <n v="67.457999999999998"/>
    <n v="67.457999999999998"/>
    <n v="0"/>
    <x v="0"/>
    <n v="0"/>
    <n v="19"/>
    <n v="21"/>
    <n v="74"/>
    <n v="56.22"/>
    <n v="84.31"/>
    <n v="270.3"/>
    <n v="56.30075009771577"/>
    <n v="113.43802162385306"/>
    <n v="362.70381368696184"/>
    <n v="115082.34"/>
    <n v="5687.3839799999996"/>
    <n v="18233.897400000002"/>
    <n v="115247.63545002419"/>
    <n v="7652.3020627018795"/>
    <n v="24467.273863695071"/>
  </r>
  <r>
    <s v="Sistema de Compensação"/>
    <x v="1"/>
    <x v="0"/>
    <x v="4"/>
    <x v="0"/>
    <x v="0"/>
    <x v="0"/>
    <x v="1"/>
    <x v="0"/>
    <n v="740"/>
    <n v="740"/>
    <n v="27.3"/>
    <n v="27.3"/>
    <n v="27.3"/>
    <n v="27.3"/>
    <n v="0"/>
    <x v="0"/>
    <n v="0"/>
    <n v="19"/>
    <n v="21"/>
    <n v="74"/>
    <n v="56.22"/>
    <n v="84.31"/>
    <n v="270.3"/>
    <n v="56.30075009771577"/>
    <n v="113.43802162385306"/>
    <n v="362.70381368696184"/>
    <n v="41602.799999999996"/>
    <n v="2301.663"/>
    <n v="7379.1900000000005"/>
    <n v="41662.555072309668"/>
    <n v="3096.8579903311888"/>
    <n v="9901.814113654058"/>
  </r>
  <r>
    <s v="Regular"/>
    <x v="1"/>
    <x v="0"/>
    <x v="4"/>
    <x v="0"/>
    <x v="0"/>
    <x v="0"/>
    <x v="1"/>
    <x v="1"/>
    <n v="2013"/>
    <n v="2013"/>
    <n v="65.040999999999997"/>
    <n v="65.040999999999997"/>
    <n v="65.040999999999997"/>
    <n v="65.040999999999997"/>
    <n v="0"/>
    <x v="0"/>
    <n v="0"/>
    <n v="19"/>
    <n v="21"/>
    <n v="74"/>
    <n v="56.22"/>
    <n v="84.31"/>
    <n v="270.3"/>
    <n v="56.30075009771577"/>
    <n v="113.43802162385306"/>
    <n v="362.70381368696184"/>
    <n v="113170.86"/>
    <n v="5483.60671"/>
    <n v="17580.582299999998"/>
    <n v="113333.40994670184"/>
    <n v="7378.1223644370266"/>
    <n v="23590.618746013683"/>
  </r>
  <r>
    <s v="Sistema de Compensação"/>
    <x v="1"/>
    <x v="0"/>
    <x v="4"/>
    <x v="0"/>
    <x v="0"/>
    <x v="0"/>
    <x v="1"/>
    <x v="1"/>
    <n v="740"/>
    <n v="740"/>
    <n v="26.396999999999998"/>
    <n v="26.396999999999998"/>
    <n v="26.396999999999998"/>
    <n v="26.396999999999998"/>
    <n v="0"/>
    <x v="0"/>
    <n v="0"/>
    <n v="19"/>
    <n v="21"/>
    <n v="74"/>
    <n v="56.22"/>
    <n v="84.31"/>
    <n v="270.3"/>
    <n v="56.30075009771577"/>
    <n v="113.43802162385306"/>
    <n v="362.70381368696184"/>
    <n v="41602.799999999996"/>
    <n v="2225.53107"/>
    <n v="7135.1090999999997"/>
    <n v="41662.555072309668"/>
    <n v="2994.4234568048491"/>
    <n v="9574.2925698947311"/>
  </r>
  <r>
    <s v="Regular"/>
    <x v="1"/>
    <x v="0"/>
    <x v="4"/>
    <x v="0"/>
    <x v="0"/>
    <x v="0"/>
    <x v="1"/>
    <x v="2"/>
    <n v="1414"/>
    <n v="1414"/>
    <n v="51.313000000000002"/>
    <n v="51.313000000000002"/>
    <n v="51.313000000000002"/>
    <n v="51.313000000000002"/>
    <n v="0"/>
    <x v="0"/>
    <n v="0"/>
    <n v="19"/>
    <n v="21"/>
    <n v="74"/>
    <n v="56.22"/>
    <n v="84.31"/>
    <n v="270.3"/>
    <n v="56.30075009771577"/>
    <n v="113.43802162385306"/>
    <n v="362.70381368696184"/>
    <n v="79495.08"/>
    <n v="4326.1990300000007"/>
    <n v="13869.903900000001"/>
    <n v="79609.260638170104"/>
    <n v="5820.8452035847722"/>
    <n v="18611.420791719072"/>
  </r>
  <r>
    <s v="Sistema de Compensação"/>
    <x v="1"/>
    <x v="0"/>
    <x v="4"/>
    <x v="0"/>
    <x v="0"/>
    <x v="0"/>
    <x v="1"/>
    <x v="2"/>
    <n v="740"/>
    <n v="740"/>
    <n v="23.911999999999999"/>
    <n v="23.911999999999999"/>
    <n v="23.911999999999999"/>
    <n v="23.911999999999999"/>
    <n v="0"/>
    <x v="0"/>
    <n v="0"/>
    <n v="19"/>
    <n v="21"/>
    <n v="74"/>
    <n v="56.22"/>
    <n v="84.31"/>
    <n v="270.3"/>
    <n v="56.30075009771577"/>
    <n v="113.43802162385306"/>
    <n v="362.70381368696184"/>
    <n v="41602.799999999996"/>
    <n v="2016.02072"/>
    <n v="6463.4135999999999"/>
    <n v="41662.555072309668"/>
    <n v="2712.5299730695742"/>
    <n v="8672.9735928826303"/>
  </r>
  <r>
    <s v="Regular"/>
    <x v="1"/>
    <x v="0"/>
    <x v="4"/>
    <x v="0"/>
    <x v="0"/>
    <x v="0"/>
    <x v="1"/>
    <x v="3"/>
    <n v="1408"/>
    <n v="1408"/>
    <n v="53.42"/>
    <n v="53.42"/>
    <n v="53.42"/>
    <n v="53.42"/>
    <n v="0"/>
    <x v="0"/>
    <n v="0"/>
    <n v="19"/>
    <n v="21"/>
    <n v="74"/>
    <n v="56.22"/>
    <n v="84.31"/>
    <n v="270.3"/>
    <n v="56.30075009771577"/>
    <n v="113.43802162385306"/>
    <n v="362.70381368696184"/>
    <n v="79157.759999999995"/>
    <n v="4503.8402000000006"/>
    <n v="14439.426000000001"/>
    <n v="79271.456137583809"/>
    <n v="6059.8591151462306"/>
    <n v="19375.6377271575"/>
  </r>
  <r>
    <s v="Sistema de Compensação"/>
    <x v="1"/>
    <x v="0"/>
    <x v="4"/>
    <x v="0"/>
    <x v="0"/>
    <x v="0"/>
    <x v="1"/>
    <x v="3"/>
    <n v="740"/>
    <n v="740"/>
    <n v="26.34"/>
    <n v="26.34"/>
    <n v="26.34"/>
    <n v="26.34"/>
    <n v="0"/>
    <x v="0"/>
    <n v="0"/>
    <n v="19"/>
    <n v="21"/>
    <n v="74"/>
    <n v="56.22"/>
    <n v="84.31"/>
    <n v="270.3"/>
    <n v="56.30075009771577"/>
    <n v="113.43802162385306"/>
    <n v="362.70381368696184"/>
    <n v="41602.799999999996"/>
    <n v="2220.7254000000003"/>
    <n v="7119.7020000000002"/>
    <n v="41662.555072309668"/>
    <n v="2987.9574895722894"/>
    <n v="9553.6184525145745"/>
  </r>
  <r>
    <s v="Regular"/>
    <x v="1"/>
    <x v="0"/>
    <x v="4"/>
    <x v="0"/>
    <x v="0"/>
    <x v="0"/>
    <x v="1"/>
    <x v="4"/>
    <n v="1386"/>
    <n v="1386"/>
    <n v="49.207000000000001"/>
    <n v="49.207000000000001"/>
    <n v="49.207000000000001"/>
    <n v="49.207000000000001"/>
    <n v="0"/>
    <x v="0"/>
    <n v="0"/>
    <n v="19"/>
    <n v="21"/>
    <n v="74"/>
    <n v="56.22"/>
    <n v="84.31"/>
    <n v="270.3"/>
    <n v="56.30075009771577"/>
    <n v="113.43802162385306"/>
    <n v="362.70381368696184"/>
    <n v="77920.92"/>
    <n v="4148.6421700000001"/>
    <n v="13300.652100000001"/>
    <n v="78032.839635434051"/>
    <n v="5581.9447300449374"/>
    <n v="17847.566560094332"/>
  </r>
  <r>
    <s v="Sistema de Compensação"/>
    <x v="1"/>
    <x v="0"/>
    <x v="4"/>
    <x v="0"/>
    <x v="0"/>
    <x v="0"/>
    <x v="1"/>
    <x v="4"/>
    <n v="740"/>
    <n v="740"/>
    <n v="24.145"/>
    <n v="24.145"/>
    <n v="24.145"/>
    <n v="24.145"/>
    <n v="0"/>
    <x v="0"/>
    <n v="0"/>
    <n v="19"/>
    <n v="21"/>
    <n v="74"/>
    <n v="56.22"/>
    <n v="84.31"/>
    <n v="270.3"/>
    <n v="56.30075009771577"/>
    <n v="113.43802162385306"/>
    <n v="362.70381368696184"/>
    <n v="41602.799999999996"/>
    <n v="2035.6649500000001"/>
    <n v="6526.3935000000001"/>
    <n v="41662.555072309668"/>
    <n v="2738.9610321079322"/>
    <n v="8757.4835814716935"/>
  </r>
  <r>
    <s v="Regular"/>
    <x v="1"/>
    <x v="0"/>
    <x v="4"/>
    <x v="0"/>
    <x v="0"/>
    <x v="0"/>
    <x v="1"/>
    <x v="5"/>
    <n v="1387"/>
    <n v="1387"/>
    <n v="52.664999999999999"/>
    <n v="52.664999999999999"/>
    <n v="52.664999999999999"/>
    <n v="52.664999999999999"/>
    <n v="0"/>
    <x v="0"/>
    <n v="0"/>
    <n v="19"/>
    <n v="21"/>
    <n v="74"/>
    <n v="56.22"/>
    <n v="84.31"/>
    <n v="270.3"/>
    <n v="56.30075009771577"/>
    <n v="113.43802162385306"/>
    <n v="362.70381368696184"/>
    <n v="77977.14"/>
    <n v="4440.1861500000005"/>
    <n v="14235.3495"/>
    <n v="78089.140385531777"/>
    <n v="5974.213408820221"/>
    <n v="19101.796347823845"/>
  </r>
  <r>
    <s v="Sistema de Compensação"/>
    <x v="1"/>
    <x v="0"/>
    <x v="4"/>
    <x v="0"/>
    <x v="0"/>
    <x v="0"/>
    <x v="1"/>
    <x v="5"/>
    <n v="740"/>
    <n v="740"/>
    <n v="26.248999999999999"/>
    <n v="26.248999999999999"/>
    <n v="26.248999999999999"/>
    <n v="26.248999999999999"/>
    <n v="0"/>
    <x v="0"/>
    <n v="0"/>
    <n v="19"/>
    <n v="21"/>
    <n v="74"/>
    <n v="56.22"/>
    <n v="84.31"/>
    <n v="270.3"/>
    <n v="56.30075009771577"/>
    <n v="113.43802162385306"/>
    <n v="362.70381368696184"/>
    <n v="41602.799999999996"/>
    <n v="2213.0531900000001"/>
    <n v="7095.1046999999999"/>
    <n v="41662.555072309668"/>
    <n v="2977.634629604519"/>
    <n v="9520.6124054690608"/>
  </r>
  <r>
    <s v="Regular"/>
    <x v="1"/>
    <x v="0"/>
    <x v="4"/>
    <x v="0"/>
    <x v="0"/>
    <x v="0"/>
    <x v="1"/>
    <x v="6"/>
    <n v="1385"/>
    <n v="1385"/>
    <n v="49.054000000000002"/>
    <n v="49.054000000000002"/>
    <n v="49.054000000000002"/>
    <n v="49.054000000000002"/>
    <n v="0"/>
    <x v="0"/>
    <n v="0"/>
    <n v="19"/>
    <n v="21"/>
    <n v="74"/>
    <n v="56.22"/>
    <n v="84.31"/>
    <n v="270.3"/>
    <n v="56.30075009771577"/>
    <n v="113.43802162385306"/>
    <n v="362.70381368696184"/>
    <n v="77864.7"/>
    <n v="4135.7427400000006"/>
    <n v="13259.296200000001"/>
    <n v="77976.53888533634"/>
    <n v="5564.5887127364886"/>
    <n v="17792.072876600228"/>
  </r>
  <r>
    <s v="Sistema de Compensação"/>
    <x v="1"/>
    <x v="0"/>
    <x v="4"/>
    <x v="0"/>
    <x v="0"/>
    <x v="0"/>
    <x v="1"/>
    <x v="6"/>
    <n v="740"/>
    <n v="740"/>
    <n v="24.1"/>
    <n v="24.1"/>
    <n v="24.1"/>
    <n v="24.1"/>
    <n v="0"/>
    <x v="0"/>
    <n v="0"/>
    <n v="19"/>
    <n v="21"/>
    <n v="74"/>
    <n v="56.22"/>
    <n v="84.31"/>
    <n v="270.3"/>
    <n v="56.30075009771577"/>
    <n v="113.43802162385306"/>
    <n v="362.70381368696184"/>
    <n v="41602.799999999996"/>
    <n v="2031.8710000000001"/>
    <n v="6514.2300000000005"/>
    <n v="41662.555072309668"/>
    <n v="2733.8563211348587"/>
    <n v="8741.1619098557803"/>
  </r>
  <r>
    <s v="Regular"/>
    <x v="1"/>
    <x v="0"/>
    <x v="4"/>
    <x v="0"/>
    <x v="0"/>
    <x v="0"/>
    <x v="1"/>
    <x v="7"/>
    <n v="1459"/>
    <n v="1459"/>
    <n v="55.912999999999997"/>
    <n v="55.912999999999997"/>
    <n v="55.912999999999997"/>
    <n v="55.912999999999997"/>
    <n v="0"/>
    <x v="0"/>
    <n v="0"/>
    <n v="19"/>
    <n v="21"/>
    <n v="74"/>
    <n v="56.22"/>
    <n v="84.31"/>
    <n v="270.3"/>
    <n v="56.30075009771577"/>
    <n v="113.43802162385306"/>
    <n v="362.70381368696184"/>
    <n v="82024.98"/>
    <n v="4714.0250299999998"/>
    <n v="15113.2839"/>
    <n v="82142.794392567303"/>
    <n v="6342.6601030544962"/>
    <n v="20279.858334679095"/>
  </r>
  <r>
    <s v="Sistema de Compensação"/>
    <x v="1"/>
    <x v="0"/>
    <x v="4"/>
    <x v="0"/>
    <x v="0"/>
    <x v="0"/>
    <x v="1"/>
    <x v="7"/>
    <n v="740"/>
    <n v="740"/>
    <n v="28.207999999999998"/>
    <n v="28.207999999999998"/>
    <n v="28.207999999999998"/>
    <n v="28.207999999999998"/>
    <n v="0"/>
    <x v="0"/>
    <n v="0"/>
    <n v="19"/>
    <n v="21"/>
    <n v="74"/>
    <n v="56.22"/>
    <n v="84.31"/>
    <n v="270.3"/>
    <n v="56.30075009771577"/>
    <n v="113.43802162385306"/>
    <n v="362.70381368696184"/>
    <n v="41602.799999999996"/>
    <n v="2378.21648"/>
    <n v="7624.6224000000002"/>
    <n v="41662.555072309668"/>
    <n v="3199.8597139656467"/>
    <n v="10231.149176481818"/>
  </r>
  <r>
    <s v="Regular"/>
    <x v="1"/>
    <x v="0"/>
    <x v="4"/>
    <x v="0"/>
    <x v="0"/>
    <x v="0"/>
    <x v="1"/>
    <x v="8"/>
    <n v="1428"/>
    <n v="1428"/>
    <n v="56.360999999999997"/>
    <n v="56.360999999999997"/>
    <n v="56.360999999999997"/>
    <n v="56.360999999999997"/>
    <n v="0"/>
    <x v="0"/>
    <n v="0"/>
    <n v="19"/>
    <n v="21"/>
    <n v="74"/>
    <n v="56.22"/>
    <n v="84.31"/>
    <n v="270.3"/>
    <n v="56.30075009771577"/>
    <n v="113.43802162385306"/>
    <n v="362.70381368696184"/>
    <n v="80282.16"/>
    <n v="4751.7959099999998"/>
    <n v="15234.3783"/>
    <n v="80397.471139538116"/>
    <n v="6393.4803367419818"/>
    <n v="20442.349643210855"/>
  </r>
  <r>
    <s v="Sistema de Compensação"/>
    <x v="1"/>
    <x v="0"/>
    <x v="4"/>
    <x v="0"/>
    <x v="0"/>
    <x v="0"/>
    <x v="1"/>
    <x v="8"/>
    <n v="740"/>
    <n v="740"/>
    <n v="26.832000000000001"/>
    <n v="26.832000000000001"/>
    <n v="26.832000000000001"/>
    <n v="26.832000000000001"/>
    <n v="0"/>
    <x v="0"/>
    <n v="0"/>
    <n v="19"/>
    <n v="21"/>
    <n v="74"/>
    <n v="56.22"/>
    <n v="84.31"/>
    <n v="270.3"/>
    <n v="56.30075009771577"/>
    <n v="113.43802162385306"/>
    <n v="362.70381368696184"/>
    <n v="41602.799999999996"/>
    <n v="2262.2059200000003"/>
    <n v="7252.6896000000006"/>
    <n v="41662.555072309668"/>
    <n v="3043.7689962112254"/>
    <n v="9732.0687288485606"/>
  </r>
  <r>
    <s v="Regular"/>
    <x v="1"/>
    <x v="0"/>
    <x v="4"/>
    <x v="0"/>
    <x v="0"/>
    <x v="0"/>
    <x v="1"/>
    <x v="9"/>
    <n v="1468"/>
    <n v="1468"/>
    <n v="53"/>
    <n v="53"/>
    <n v="53"/>
    <n v="53"/>
    <n v="0"/>
    <x v="0"/>
    <n v="0"/>
    <n v="19"/>
    <n v="21"/>
    <n v="74"/>
    <n v="56.22"/>
    <n v="84.31"/>
    <n v="270.3"/>
    <n v="56.30075009771577"/>
    <n v="113.43802162385306"/>
    <n v="362.70381368696184"/>
    <n v="82530.959999999992"/>
    <n v="4468.43"/>
    <n v="14325.900000000001"/>
    <n v="82649.501143446745"/>
    <n v="6012.2151460642126"/>
    <n v="19223.302125408976"/>
  </r>
  <r>
    <s v="Sistema de Compensação"/>
    <x v="1"/>
    <x v="0"/>
    <x v="4"/>
    <x v="0"/>
    <x v="0"/>
    <x v="0"/>
    <x v="1"/>
    <x v="9"/>
    <n v="740"/>
    <n v="740"/>
    <n v="26.718"/>
    <n v="26.718"/>
    <n v="26.718"/>
    <n v="26.718"/>
    <n v="0"/>
    <x v="0"/>
    <n v="0"/>
    <n v="19"/>
    <n v="21"/>
    <n v="74"/>
    <n v="56.22"/>
    <n v="84.31"/>
    <n v="270.3"/>
    <n v="56.30075009771577"/>
    <n v="113.43802162385306"/>
    <n v="362.70381368696184"/>
    <n v="41602.799999999996"/>
    <n v="2252.59458"/>
    <n v="7221.8753999999999"/>
    <n v="41662.555072309668"/>
    <n v="3030.837061746106"/>
    <n v="9690.7204940882457"/>
  </r>
  <r>
    <s v="Regular"/>
    <x v="1"/>
    <x v="0"/>
    <x v="4"/>
    <x v="0"/>
    <x v="0"/>
    <x v="0"/>
    <x v="1"/>
    <x v="10"/>
    <n v="1468"/>
    <n v="1468"/>
    <n v="53.523000000000003"/>
    <n v="53.523000000000003"/>
    <n v="53.523000000000003"/>
    <n v="53.523000000000003"/>
    <n v="0"/>
    <x v="0"/>
    <n v="0"/>
    <n v="19"/>
    <n v="21"/>
    <n v="74"/>
    <n v="56.22"/>
    <n v="84.31"/>
    <n v="270.3"/>
    <n v="56.30075009771577"/>
    <n v="113.43802162385306"/>
    <n v="362.70381368696184"/>
    <n v="82530.959999999992"/>
    <n v="4512.5241300000007"/>
    <n v="14467.266900000002"/>
    <n v="82649.501143446745"/>
    <n v="6071.5432313734873"/>
    <n v="19412.996219967259"/>
  </r>
  <r>
    <s v="Sistema de Compensação"/>
    <x v="1"/>
    <x v="0"/>
    <x v="4"/>
    <x v="0"/>
    <x v="0"/>
    <x v="0"/>
    <x v="1"/>
    <x v="10"/>
    <n v="740"/>
    <n v="740"/>
    <n v="25.954000000000001"/>
    <n v="25.954000000000001"/>
    <n v="25.954000000000001"/>
    <n v="25.954000000000001"/>
    <n v="0"/>
    <x v="0"/>
    <n v="0"/>
    <n v="19"/>
    <n v="21"/>
    <n v="74"/>
    <n v="56.22"/>
    <n v="84.31"/>
    <n v="270.3"/>
    <n v="56.30075009771577"/>
    <n v="113.43802162385306"/>
    <n v="362.70381368696184"/>
    <n v="41602.799999999996"/>
    <n v="2188.18174"/>
    <n v="7015.3662000000004"/>
    <n v="41662.555072309668"/>
    <n v="2944.1704132254822"/>
    <n v="9413.6147804314078"/>
  </r>
  <r>
    <s v="PROJETADO"/>
    <x v="1"/>
    <x v="0"/>
    <x v="4"/>
    <x v="0"/>
    <x v="0"/>
    <x v="0"/>
    <x v="1"/>
    <x v="11"/>
    <n v="1468"/>
    <n v="1468"/>
    <n v="53.523000000000003"/>
    <n v="53.523000000000003"/>
    <n v="53.523000000000003"/>
    <n v="53.523000000000003"/>
    <n v="0"/>
    <x v="0"/>
    <n v="0"/>
    <n v="19"/>
    <n v="21"/>
    <n v="74"/>
    <n v="56.22"/>
    <n v="84.31"/>
    <n v="270.3"/>
    <n v="56.30075009771577"/>
    <n v="113.43802162385306"/>
    <n v="362.70381368696184"/>
    <n v="82530.959999999992"/>
    <n v="4512.5241300000007"/>
    <n v="14467.266900000002"/>
    <n v="82649.501143446745"/>
    <n v="6071.5432313734873"/>
    <n v="19412.996219967259"/>
  </r>
  <r>
    <s v="PROJETADO"/>
    <x v="1"/>
    <x v="0"/>
    <x v="4"/>
    <x v="0"/>
    <x v="0"/>
    <x v="0"/>
    <x v="1"/>
    <x v="11"/>
    <n v="740"/>
    <n v="740"/>
    <n v="25.954000000000001"/>
    <n v="25.954000000000001"/>
    <n v="25.954000000000001"/>
    <n v="25.954000000000001"/>
    <n v="0"/>
    <x v="0"/>
    <n v="0"/>
    <n v="19"/>
    <n v="21"/>
    <n v="74"/>
    <n v="56.22"/>
    <n v="84.31"/>
    <n v="270.3"/>
    <n v="56.30075009771577"/>
    <n v="113.43802162385306"/>
    <n v="362.70381368696184"/>
    <n v="41602.799999999996"/>
    <n v="2188.18174"/>
    <n v="7015.3662000000004"/>
    <n v="41662.555072309668"/>
    <n v="2944.1704132254822"/>
    <n v="9413.6147804314078"/>
  </r>
  <r>
    <s v="Regular"/>
    <x v="1"/>
    <x v="0"/>
    <x v="2"/>
    <x v="0"/>
    <x v="0"/>
    <x v="0"/>
    <x v="0"/>
    <x v="0"/>
    <n v="37"/>
    <n v="37"/>
    <n v="2.7469999999999999"/>
    <n v="2.7469999999999999"/>
    <n v="2.7469999999999999"/>
    <n v="2.7469999999999999"/>
    <n v="0"/>
    <x v="0"/>
    <n v="0"/>
    <n v="20"/>
    <n v="21"/>
    <n v="75"/>
    <n v="19.007999999999999"/>
    <n v="80.937600000000003"/>
    <n v="161.33760000000001"/>
    <n v="20.200569945373857"/>
    <n v="111.16926119137599"/>
    <n v="214.35764160106174"/>
    <n v="703.29599999999994"/>
    <n v="222.33558719999999"/>
    <n v="443.19438719999999"/>
    <n v="747.4210879788327"/>
    <n v="305.38196049270982"/>
    <n v="588.84044147811653"/>
  </r>
  <r>
    <s v="Regular"/>
    <x v="1"/>
    <x v="0"/>
    <x v="2"/>
    <x v="0"/>
    <x v="0"/>
    <x v="0"/>
    <x v="0"/>
    <x v="1"/>
    <n v="38"/>
    <n v="38"/>
    <n v="2.8290000000000002"/>
    <n v="2.8290000000000002"/>
    <n v="2.8290000000000002"/>
    <n v="2.8290000000000002"/>
    <n v="0"/>
    <x v="0"/>
    <n v="0"/>
    <n v="20"/>
    <n v="21"/>
    <n v="75"/>
    <n v="19.007999999999999"/>
    <n v="80.937600000000003"/>
    <n v="161.33760000000001"/>
    <n v="20.200569945373857"/>
    <n v="111.16926119137599"/>
    <n v="214.35764160106174"/>
    <n v="722.30399999999997"/>
    <n v="228.97247040000002"/>
    <n v="456.42407040000006"/>
    <n v="767.6216579242066"/>
    <n v="314.49783991040272"/>
    <n v="606.41776808940369"/>
  </r>
  <r>
    <s v="Regular"/>
    <x v="1"/>
    <x v="0"/>
    <x v="2"/>
    <x v="0"/>
    <x v="0"/>
    <x v="0"/>
    <x v="0"/>
    <x v="2"/>
    <n v="43"/>
    <n v="43"/>
    <n v="2.4849999999999999"/>
    <n v="2.4849999999999999"/>
    <n v="2.4849999999999999"/>
    <n v="2.4849999999999999"/>
    <n v="0"/>
    <x v="0"/>
    <n v="0"/>
    <n v="20"/>
    <n v="21"/>
    <n v="75"/>
    <n v="19.007999999999999"/>
    <n v="80.937600000000003"/>
    <n v="161.33760000000001"/>
    <n v="20.200569945373857"/>
    <n v="111.16926119137599"/>
    <n v="214.35764160106174"/>
    <n v="817.34399999999994"/>
    <n v="201.12993599999999"/>
    <n v="400.92393600000003"/>
    <n v="868.62450765107587"/>
    <n v="276.25561406056931"/>
    <n v="532.6787393786384"/>
  </r>
  <r>
    <s v="Regular"/>
    <x v="1"/>
    <x v="0"/>
    <x v="2"/>
    <x v="0"/>
    <x v="0"/>
    <x v="0"/>
    <x v="0"/>
    <x v="3"/>
    <n v="46"/>
    <n v="46"/>
    <n v="2.7090000000000001"/>
    <n v="2.7090000000000001"/>
    <n v="2.7090000000000001"/>
    <n v="2.7090000000000001"/>
    <n v="0"/>
    <x v="0"/>
    <n v="0"/>
    <n v="20"/>
    <n v="21"/>
    <n v="75"/>
    <n v="19.007999999999999"/>
    <n v="80.937600000000003"/>
    <n v="161.33760000000001"/>
    <n v="20.200569945373857"/>
    <n v="111.16926119137599"/>
    <n v="214.35764160106174"/>
    <n v="874.36799999999994"/>
    <n v="219.25995840000002"/>
    <n v="437.06355840000003"/>
    <n v="929.22621748719746"/>
    <n v="301.15752856743757"/>
    <n v="580.69485109727623"/>
  </r>
  <r>
    <s v="Regular"/>
    <x v="1"/>
    <x v="0"/>
    <x v="2"/>
    <x v="0"/>
    <x v="0"/>
    <x v="0"/>
    <x v="0"/>
    <x v="4"/>
    <n v="39"/>
    <n v="39"/>
    <n v="3.3929999999999998"/>
    <n v="3.3929999999999998"/>
    <n v="3.3929999999999998"/>
    <n v="3.3929999999999998"/>
    <n v="0"/>
    <x v="0"/>
    <n v="0"/>
    <n v="20"/>
    <n v="21"/>
    <n v="75"/>
    <n v="19.007999999999999"/>
    <n v="80.937600000000003"/>
    <n v="161.33760000000001"/>
    <n v="20.200569945373857"/>
    <n v="111.16926119137599"/>
    <n v="214.35764160106174"/>
    <n v="741.31200000000001"/>
    <n v="274.62127679999998"/>
    <n v="547.41847680000001"/>
    <n v="787.82222786958039"/>
    <n v="377.19730322233875"/>
    <n v="727.31547795240249"/>
  </r>
  <r>
    <s v="Regular"/>
    <x v="1"/>
    <x v="0"/>
    <x v="2"/>
    <x v="0"/>
    <x v="0"/>
    <x v="0"/>
    <x v="0"/>
    <x v="5"/>
    <n v="40"/>
    <n v="40"/>
    <n v="5.5970000000000004"/>
    <n v="5.5970000000000004"/>
    <n v="5.5970000000000004"/>
    <n v="5.5970000000000004"/>
    <n v="0"/>
    <x v="0"/>
    <n v="0"/>
    <n v="20"/>
    <n v="21"/>
    <n v="75"/>
    <n v="19.007999999999999"/>
    <n v="80.937600000000003"/>
    <n v="161.33760000000001"/>
    <n v="20.200569945373857"/>
    <n v="111.16926119137599"/>
    <n v="214.35764160106174"/>
    <n v="760.31999999999994"/>
    <n v="453.00774720000004"/>
    <n v="903.00654720000011"/>
    <n v="808.02279781495429"/>
    <n v="622.21435488813154"/>
    <n v="1199.7597200411426"/>
  </r>
  <r>
    <s v="Regular"/>
    <x v="1"/>
    <x v="0"/>
    <x v="2"/>
    <x v="0"/>
    <x v="0"/>
    <x v="0"/>
    <x v="0"/>
    <x v="6"/>
    <n v="37"/>
    <n v="37"/>
    <n v="5.2489999999999997"/>
    <n v="5.2489999999999997"/>
    <n v="5.2489999999999997"/>
    <n v="5.2489999999999997"/>
    <n v="0"/>
    <x v="0"/>
    <n v="0"/>
    <n v="20"/>
    <n v="21"/>
    <n v="75"/>
    <n v="19.007999999999999"/>
    <n v="80.937600000000003"/>
    <n v="161.33760000000001"/>
    <n v="20.200569945373857"/>
    <n v="111.16926119137599"/>
    <n v="214.35764160106174"/>
    <n v="703.29599999999994"/>
    <n v="424.84146240000001"/>
    <n v="846.86106240000004"/>
    <n v="747.4210879788327"/>
    <n v="583.52745199353251"/>
    <n v="1125.1632607639731"/>
  </r>
  <r>
    <s v="Regular"/>
    <x v="1"/>
    <x v="0"/>
    <x v="2"/>
    <x v="0"/>
    <x v="0"/>
    <x v="0"/>
    <x v="0"/>
    <x v="7"/>
    <n v="36"/>
    <n v="36"/>
    <n v="5.2160000000000002"/>
    <n v="5.2160000000000002"/>
    <n v="5.2160000000000002"/>
    <n v="5.2160000000000002"/>
    <n v="0"/>
    <x v="0"/>
    <n v="0"/>
    <n v="20"/>
    <n v="21"/>
    <n v="75"/>
    <n v="19.007999999999999"/>
    <n v="80.937600000000003"/>
    <n v="161.33760000000001"/>
    <n v="20.200569945373857"/>
    <n v="111.16926119137599"/>
    <n v="214.35764160106174"/>
    <n v="684.28800000000001"/>
    <n v="422.17052160000003"/>
    <n v="841.53692160000003"/>
    <n v="727.2205180334588"/>
    <n v="579.8588663742172"/>
    <n v="1118.0894585911381"/>
  </r>
  <r>
    <s v="Regular"/>
    <x v="1"/>
    <x v="0"/>
    <x v="2"/>
    <x v="0"/>
    <x v="0"/>
    <x v="0"/>
    <x v="0"/>
    <x v="8"/>
    <n v="40"/>
    <n v="40"/>
    <n v="6.2619999999999996"/>
    <n v="6.2619999999999996"/>
    <n v="6.2619999999999996"/>
    <n v="6.2619999999999996"/>
    <n v="0"/>
    <x v="0"/>
    <n v="0"/>
    <n v="20"/>
    <n v="21"/>
    <n v="75"/>
    <n v="19.007999999999999"/>
    <n v="80.937600000000003"/>
    <n v="161.33760000000001"/>
    <n v="20.200569945373857"/>
    <n v="111.16926119137599"/>
    <n v="214.35764160106174"/>
    <n v="760.31999999999994"/>
    <n v="506.8312512"/>
    <n v="1010.2960512"/>
    <n v="808.02279781495429"/>
    <n v="696.14191358039648"/>
    <n v="1342.3075517058485"/>
  </r>
  <r>
    <s v="Regular"/>
    <x v="1"/>
    <x v="0"/>
    <x v="2"/>
    <x v="0"/>
    <x v="0"/>
    <x v="0"/>
    <x v="0"/>
    <x v="9"/>
    <n v="38"/>
    <n v="38"/>
    <n v="6.8289999999999997"/>
    <n v="6.8289999999999997"/>
    <n v="6.8289999999999997"/>
    <n v="6.8289999999999997"/>
    <n v="0"/>
    <x v="0"/>
    <n v="0"/>
    <n v="20"/>
    <n v="21"/>
    <n v="75"/>
    <n v="19.007999999999999"/>
    <n v="80.937600000000003"/>
    <n v="161.33760000000001"/>
    <n v="20.200569945373857"/>
    <n v="111.16926119137599"/>
    <n v="214.35764160106174"/>
    <n v="722.30399999999997"/>
    <n v="552.72287040000003"/>
    <n v="1101.7744703999999"/>
    <n v="767.6216579242066"/>
    <n v="759.17488467590658"/>
    <n v="1463.8483344936506"/>
  </r>
  <r>
    <s v="Regular"/>
    <x v="1"/>
    <x v="0"/>
    <x v="2"/>
    <x v="0"/>
    <x v="0"/>
    <x v="0"/>
    <x v="0"/>
    <x v="10"/>
    <n v="41"/>
    <n v="41"/>
    <n v="6.1150000000000002"/>
    <n v="6.1150000000000002"/>
    <n v="6.1150000000000002"/>
    <n v="6.1150000000000002"/>
    <n v="0"/>
    <x v="0"/>
    <n v="0"/>
    <n v="20"/>
    <n v="21"/>
    <n v="75"/>
    <n v="19.007999999999999"/>
    <n v="80.937600000000003"/>
    <n v="161.33760000000001"/>
    <n v="20.200569945373857"/>
    <n v="111.16926119137599"/>
    <n v="214.35764160106174"/>
    <n v="779.32799999999997"/>
    <n v="494.93342400000006"/>
    <n v="986.57942400000013"/>
    <n v="828.22336776032819"/>
    <n v="679.80003218526429"/>
    <n v="1310.7969783904925"/>
  </r>
  <r>
    <s v="PROJETADO"/>
    <x v="1"/>
    <x v="0"/>
    <x v="2"/>
    <x v="0"/>
    <x v="0"/>
    <x v="0"/>
    <x v="0"/>
    <x v="11"/>
    <n v="41"/>
    <n v="41"/>
    <n v="6.1150000000000002"/>
    <n v="6.1150000000000002"/>
    <n v="6.1150000000000002"/>
    <n v="6.1150000000000002"/>
    <n v="0"/>
    <x v="0"/>
    <n v="0"/>
    <n v="20"/>
    <n v="21"/>
    <n v="75"/>
    <n v="19.007999999999999"/>
    <n v="80.937600000000003"/>
    <n v="161.33760000000001"/>
    <n v="20.200569945373857"/>
    <n v="111.16926119137599"/>
    <n v="214.35764160106174"/>
    <n v="779.32799999999997"/>
    <n v="494.93342400000006"/>
    <n v="986.57942400000013"/>
    <n v="828.22336776032819"/>
    <n v="679.80003218526429"/>
    <n v="1310.7969783904925"/>
  </r>
  <r>
    <s v="Regular"/>
    <x v="1"/>
    <x v="0"/>
    <x v="2"/>
    <x v="0"/>
    <x v="0"/>
    <x v="0"/>
    <x v="1"/>
    <x v="0"/>
    <n v="7"/>
    <n v="7"/>
    <n v="0.246"/>
    <n v="0.246"/>
    <n v="0.246"/>
    <n v="0.246"/>
    <n v="0"/>
    <x v="0"/>
    <n v="0"/>
    <n v="19"/>
    <n v="21"/>
    <n v="74"/>
    <n v="53.971199999999996"/>
    <n v="80.937600000000003"/>
    <n v="259.488"/>
    <n v="55.174735095761456"/>
    <n v="111.16926119137599"/>
    <n v="355.44973741322258"/>
    <n v="377.79839999999996"/>
    <n v="19.910649599999999"/>
    <n v="63.834047999999996"/>
    <n v="386.22314567033021"/>
    <n v="27.347638253078493"/>
    <n v="87.440635403652749"/>
  </r>
  <r>
    <s v="Regular"/>
    <x v="1"/>
    <x v="0"/>
    <x v="2"/>
    <x v="0"/>
    <x v="0"/>
    <x v="0"/>
    <x v="1"/>
    <x v="1"/>
    <n v="7"/>
    <n v="7"/>
    <n v="0.246"/>
    <n v="0.246"/>
    <n v="0.246"/>
    <n v="0.246"/>
    <n v="0"/>
    <x v="0"/>
    <n v="0"/>
    <n v="19"/>
    <n v="21"/>
    <n v="74"/>
    <n v="53.971199999999996"/>
    <n v="80.937600000000003"/>
    <n v="259.488"/>
    <n v="55.174735095761456"/>
    <n v="111.16926119137599"/>
    <n v="355.44973741322258"/>
    <n v="377.79839999999996"/>
    <n v="19.910649599999999"/>
    <n v="63.834047999999996"/>
    <n v="386.22314567033021"/>
    <n v="27.347638253078493"/>
    <n v="87.440635403652749"/>
  </r>
  <r>
    <s v="Regular"/>
    <x v="1"/>
    <x v="0"/>
    <x v="2"/>
    <x v="0"/>
    <x v="0"/>
    <x v="0"/>
    <x v="1"/>
    <x v="2"/>
    <n v="7"/>
    <n v="7"/>
    <n v="0.23400000000000001"/>
    <n v="0.23400000000000001"/>
    <n v="0.23400000000000001"/>
    <n v="0.23400000000000001"/>
    <n v="0"/>
    <x v="0"/>
    <n v="0"/>
    <n v="19"/>
    <n v="21"/>
    <n v="74"/>
    <n v="53.971199999999996"/>
    <n v="80.937600000000003"/>
    <n v="259.488"/>
    <n v="55.174735095761456"/>
    <n v="111.16926119137599"/>
    <n v="355.44973741322258"/>
    <n v="377.79839999999996"/>
    <n v="18.939398400000002"/>
    <n v="60.720192000000004"/>
    <n v="386.22314567033021"/>
    <n v="26.013607118781984"/>
    <n v="83.17523855469409"/>
  </r>
  <r>
    <s v="Regular"/>
    <x v="1"/>
    <x v="0"/>
    <x v="2"/>
    <x v="0"/>
    <x v="0"/>
    <x v="0"/>
    <x v="1"/>
    <x v="3"/>
    <n v="8"/>
    <n v="8"/>
    <n v="0.26100000000000001"/>
    <n v="0.26100000000000001"/>
    <n v="0.26100000000000001"/>
    <n v="0.26100000000000001"/>
    <n v="0"/>
    <x v="0"/>
    <n v="0"/>
    <n v="19"/>
    <n v="21"/>
    <n v="74"/>
    <n v="53.971199999999996"/>
    <n v="80.937600000000003"/>
    <n v="259.488"/>
    <n v="55.174735095761456"/>
    <n v="111.16926119137599"/>
    <n v="355.44973741322258"/>
    <n v="431.76959999999997"/>
    <n v="21.124713600000003"/>
    <n v="67.726368000000008"/>
    <n v="441.39788076609165"/>
    <n v="29.015177170949137"/>
    <n v="92.772381464851094"/>
  </r>
  <r>
    <s v="Regular"/>
    <x v="1"/>
    <x v="0"/>
    <x v="2"/>
    <x v="0"/>
    <x v="0"/>
    <x v="0"/>
    <x v="1"/>
    <x v="4"/>
    <n v="8"/>
    <n v="8"/>
    <n v="0.28599999999999998"/>
    <n v="0.28599999999999998"/>
    <n v="0.28599999999999998"/>
    <n v="0.28599999999999998"/>
    <n v="0"/>
    <x v="0"/>
    <n v="0"/>
    <n v="19"/>
    <n v="21"/>
    <n v="74"/>
    <n v="53.971199999999996"/>
    <n v="80.937600000000003"/>
    <n v="259.488"/>
    <n v="55.174735095761456"/>
    <n v="111.16926119137599"/>
    <n v="355.44973741322258"/>
    <n v="431.76959999999997"/>
    <n v="23.148153600000001"/>
    <n v="74.213567999999995"/>
    <n v="441.39788076609165"/>
    <n v="31.794408700733531"/>
    <n v="101.65862490018165"/>
  </r>
  <r>
    <s v="Regular"/>
    <x v="1"/>
    <x v="0"/>
    <x v="2"/>
    <x v="0"/>
    <x v="0"/>
    <x v="0"/>
    <x v="1"/>
    <x v="5"/>
    <n v="9"/>
    <n v="9"/>
    <n v="0.26700000000000002"/>
    <n v="0.26700000000000002"/>
    <n v="0.26700000000000002"/>
    <n v="0.26700000000000002"/>
    <n v="0"/>
    <x v="0"/>
    <n v="0"/>
    <n v="19"/>
    <n v="21"/>
    <n v="74"/>
    <n v="53.971199999999996"/>
    <n v="80.937600000000003"/>
    <n v="259.488"/>
    <n v="55.174735095761456"/>
    <n v="111.16926119137599"/>
    <n v="355.44973741322258"/>
    <n v="485.74079999999998"/>
    <n v="21.610339200000002"/>
    <n v="69.283296000000007"/>
    <n v="496.57261586185308"/>
    <n v="29.682192738097392"/>
    <n v="94.905079889330437"/>
  </r>
  <r>
    <s v="Regular"/>
    <x v="1"/>
    <x v="0"/>
    <x v="2"/>
    <x v="0"/>
    <x v="0"/>
    <x v="0"/>
    <x v="1"/>
    <x v="6"/>
    <n v="8"/>
    <n v="8"/>
    <n v="0.23100000000000001"/>
    <n v="0.23100000000000001"/>
    <n v="0.23100000000000001"/>
    <n v="0.23100000000000001"/>
    <n v="0"/>
    <x v="0"/>
    <n v="0"/>
    <n v="19"/>
    <n v="21"/>
    <n v="74"/>
    <n v="53.971199999999996"/>
    <n v="80.937600000000003"/>
    <n v="259.488"/>
    <n v="55.174735095761456"/>
    <n v="111.16926119137599"/>
    <n v="355.44973741322258"/>
    <n v="431.76959999999997"/>
    <n v="18.696585600000002"/>
    <n v="59.941728000000005"/>
    <n v="441.39788076609165"/>
    <n v="25.680099335207856"/>
    <n v="82.108889342454418"/>
  </r>
  <r>
    <s v="Regular"/>
    <x v="1"/>
    <x v="0"/>
    <x v="2"/>
    <x v="0"/>
    <x v="0"/>
    <x v="0"/>
    <x v="1"/>
    <x v="7"/>
    <n v="10"/>
    <n v="10"/>
    <n v="0.222"/>
    <n v="0.222"/>
    <n v="0.222"/>
    <n v="0.222"/>
    <n v="0"/>
    <x v="0"/>
    <n v="0"/>
    <n v="19"/>
    <n v="21"/>
    <n v="74"/>
    <n v="53.971199999999996"/>
    <n v="80.937600000000003"/>
    <n v="259.488"/>
    <n v="55.174735095761456"/>
    <n v="111.16926119137599"/>
    <n v="355.44973741322258"/>
    <n v="539.71199999999999"/>
    <n v="17.968147200000001"/>
    <n v="57.606335999999999"/>
    <n v="551.74735095761457"/>
    <n v="24.679575984485471"/>
    <n v="78.909841705735417"/>
  </r>
  <r>
    <s v="Regular"/>
    <x v="1"/>
    <x v="0"/>
    <x v="2"/>
    <x v="0"/>
    <x v="0"/>
    <x v="0"/>
    <x v="1"/>
    <x v="8"/>
    <n v="10"/>
    <n v="10"/>
    <n v="0.34300000000000003"/>
    <n v="0.34300000000000003"/>
    <n v="0.34300000000000003"/>
    <n v="0.34300000000000003"/>
    <n v="0"/>
    <x v="0"/>
    <n v="0"/>
    <n v="19"/>
    <n v="21"/>
    <n v="74"/>
    <n v="53.971199999999996"/>
    <n v="80.937600000000003"/>
    <n v="259.488"/>
    <n v="55.174735095761456"/>
    <n v="111.16926119137599"/>
    <n v="355.44973741322258"/>
    <n v="539.71199999999999"/>
    <n v="27.761596800000003"/>
    <n v="89.004384000000002"/>
    <n v="551.74735095761457"/>
    <n v="38.131056588641968"/>
    <n v="121.91925993273536"/>
  </r>
  <r>
    <s v="Regular"/>
    <x v="1"/>
    <x v="0"/>
    <x v="2"/>
    <x v="0"/>
    <x v="0"/>
    <x v="0"/>
    <x v="1"/>
    <x v="9"/>
    <n v="21"/>
    <n v="21"/>
    <n v="0.36"/>
    <n v="0.36"/>
    <n v="0.36"/>
    <n v="0.36"/>
    <n v="0"/>
    <x v="0"/>
    <n v="0"/>
    <n v="19"/>
    <n v="21"/>
    <n v="74"/>
    <n v="53.971199999999996"/>
    <n v="80.937600000000003"/>
    <n v="259.488"/>
    <n v="55.174735095761456"/>
    <n v="111.16926119137599"/>
    <n v="355.44973741322258"/>
    <n v="1133.3951999999999"/>
    <n v="29.137536000000001"/>
    <n v="93.415679999999995"/>
    <n v="1158.6694370109906"/>
    <n v="40.020934028895354"/>
    <n v="127.96190546876012"/>
  </r>
  <r>
    <s v="Regular"/>
    <x v="1"/>
    <x v="0"/>
    <x v="2"/>
    <x v="0"/>
    <x v="0"/>
    <x v="0"/>
    <x v="1"/>
    <x v="10"/>
    <n v="9"/>
    <n v="9"/>
    <n v="0.318"/>
    <n v="0.318"/>
    <n v="0.318"/>
    <n v="0.318"/>
    <n v="0"/>
    <x v="0"/>
    <n v="0"/>
    <n v="19"/>
    <n v="21"/>
    <n v="74"/>
    <n v="53.971199999999996"/>
    <n v="80.937600000000003"/>
    <n v="259.488"/>
    <n v="55.174735095761456"/>
    <n v="111.16926119137599"/>
    <n v="355.44973741322258"/>
    <n v="485.74079999999998"/>
    <n v="25.738156800000002"/>
    <n v="82.517184"/>
    <n v="496.57261586185308"/>
    <n v="35.351825058857564"/>
    <n v="113.03301649740479"/>
  </r>
  <r>
    <s v="PROJETADO"/>
    <x v="1"/>
    <x v="0"/>
    <x v="2"/>
    <x v="0"/>
    <x v="0"/>
    <x v="0"/>
    <x v="1"/>
    <x v="11"/>
    <n v="9"/>
    <n v="9"/>
    <n v="0.318"/>
    <n v="0.318"/>
    <n v="0.318"/>
    <n v="0.318"/>
    <n v="0"/>
    <x v="0"/>
    <n v="0"/>
    <n v="19"/>
    <n v="21"/>
    <n v="74"/>
    <n v="53.971199999999996"/>
    <n v="80.937600000000003"/>
    <n v="259.488"/>
    <n v="55.174735095761456"/>
    <n v="111.16926119137599"/>
    <n v="355.44973741322258"/>
    <n v="485.74079999999998"/>
    <n v="25.738156800000002"/>
    <n v="82.517184"/>
    <n v="496.57261586185308"/>
    <n v="35.351825058857564"/>
    <n v="113.03301649740479"/>
  </r>
  <r>
    <s v="Regular"/>
    <x v="1"/>
    <x v="0"/>
    <x v="3"/>
    <x v="2"/>
    <x v="0"/>
    <x v="0"/>
    <x v="0"/>
    <x v="0"/>
    <n v="1956"/>
    <n v="1956"/>
    <n v="541.90200000000004"/>
    <n v="541.90200000000004"/>
    <n v="541.90200000000004"/>
    <n v="541.90200000000004"/>
    <n v="0"/>
    <x v="0"/>
    <n v="0"/>
    <n v="20"/>
    <n v="21"/>
    <n v="75"/>
    <n v="18.611999999999998"/>
    <n v="79.251400000000004"/>
    <n v="157.97639999999998"/>
    <n v="19.994441680625144"/>
    <n v="110.03488097513747"/>
    <n v="212.17031872758153"/>
    <n v="36405.072"/>
    <n v="42946.492162800008"/>
    <n v="85607.727112799999"/>
    <n v="39109.127927302783"/>
    <n v="59628.122070188947"/>
    <n v="114975.5200591139"/>
  </r>
  <r>
    <s v="Sistema Isolado - Regular"/>
    <x v="1"/>
    <x v="0"/>
    <x v="3"/>
    <x v="2"/>
    <x v="0"/>
    <x v="0"/>
    <x v="0"/>
    <x v="0"/>
    <n v="97"/>
    <n v="97"/>
    <n v="37.679000000000002"/>
    <n v="37.679000000000002"/>
    <n v="37.679000000000002"/>
    <n v="37.679000000000002"/>
    <n v="0"/>
    <x v="0"/>
    <n v="0"/>
    <n v="20"/>
    <n v="21"/>
    <n v="75"/>
    <n v="18.611999999999998"/>
    <n v="79.251400000000004"/>
    <n v="157.97639999999998"/>
    <n v="19.994441680625144"/>
    <n v="110.03488097513747"/>
    <n v="212.17031872758153"/>
    <n v="1805.3639999999998"/>
    <n v="2986.1135006000004"/>
    <n v="5952.3927755999994"/>
    <n v="1939.460843020639"/>
    <n v="4146.0042802622047"/>
    <n v="7994.365439336545"/>
  </r>
  <r>
    <s v="Regular"/>
    <x v="1"/>
    <x v="0"/>
    <x v="3"/>
    <x v="2"/>
    <x v="0"/>
    <x v="0"/>
    <x v="0"/>
    <x v="1"/>
    <n v="158"/>
    <n v="158"/>
    <n v="92.040999999999997"/>
    <n v="92.040999999999997"/>
    <n v="92.040999999999997"/>
    <n v="92.040999999999997"/>
    <n v="0"/>
    <x v="0"/>
    <n v="0"/>
    <n v="20"/>
    <n v="21"/>
    <n v="75"/>
    <n v="18.611999999999998"/>
    <n v="79.251400000000004"/>
    <n v="157.97639999999998"/>
    <n v="19.994441680625144"/>
    <n v="110.03488097513747"/>
    <n v="212.17031872758153"/>
    <n v="2940.6959999999999"/>
    <n v="7294.3781073999999"/>
    <n v="14540.305832399998"/>
    <n v="3159.1217855387727"/>
    <n v="10127.720479832627"/>
    <n v="19528.36830600533"/>
  </r>
  <r>
    <s v="Sistema Isolado - Regular"/>
    <x v="1"/>
    <x v="0"/>
    <x v="3"/>
    <x v="2"/>
    <x v="0"/>
    <x v="0"/>
    <x v="0"/>
    <x v="1"/>
    <n v="91"/>
    <n v="91"/>
    <n v="36.326000000000001"/>
    <n v="36.326000000000001"/>
    <n v="36.326000000000001"/>
    <n v="36.326000000000001"/>
    <n v="0"/>
    <x v="0"/>
    <n v="0"/>
    <n v="20"/>
    <n v="21"/>
    <n v="75"/>
    <n v="18.611999999999998"/>
    <n v="79.251400000000004"/>
    <n v="157.97639999999998"/>
    <n v="19.994441680625144"/>
    <n v="110.03488097513747"/>
    <n v="212.17031872758153"/>
    <n v="1693.6919999999998"/>
    <n v="2878.8863564000003"/>
    <n v="5738.6507063999998"/>
    <n v="1819.4941929368881"/>
    <n v="3997.127086302844"/>
    <n v="7707.2989980981265"/>
  </r>
  <r>
    <s v="Regular"/>
    <x v="1"/>
    <x v="0"/>
    <x v="3"/>
    <x v="2"/>
    <x v="0"/>
    <x v="0"/>
    <x v="0"/>
    <x v="2"/>
    <n v="156"/>
    <n v="156"/>
    <n v="85.494"/>
    <n v="85.494"/>
    <n v="85.494"/>
    <n v="85.494"/>
    <n v="0"/>
    <x v="0"/>
    <n v="0"/>
    <n v="20"/>
    <n v="21"/>
    <n v="75"/>
    <n v="18.611999999999998"/>
    <n v="79.251400000000004"/>
    <n v="157.97639999999998"/>
    <n v="19.994441680625144"/>
    <n v="110.03488097513747"/>
    <n v="212.17031872758153"/>
    <n v="2903.4719999999998"/>
    <n v="6775.5191916000003"/>
    <n v="13506.034341599998"/>
    <n v="3119.1329021775223"/>
    <n v="9407.3221140884034"/>
    <n v="18139.289229295857"/>
  </r>
  <r>
    <s v="Sistema Isolado - Regular"/>
    <x v="1"/>
    <x v="0"/>
    <x v="3"/>
    <x v="2"/>
    <x v="0"/>
    <x v="0"/>
    <x v="0"/>
    <x v="2"/>
    <n v="90"/>
    <n v="90"/>
    <n v="40.375"/>
    <n v="40.375"/>
    <n v="40.375"/>
    <n v="40.375"/>
    <n v="0"/>
    <x v="0"/>
    <n v="0"/>
    <n v="20"/>
    <n v="21"/>
    <n v="75"/>
    <n v="18.611999999999998"/>
    <n v="79.251400000000004"/>
    <n v="157.97639999999998"/>
    <n v="19.994441680625144"/>
    <n v="110.03488097513747"/>
    <n v="212.17031872758153"/>
    <n v="1675.08"/>
    <n v="3199.775275"/>
    <n v="6378.2971499999994"/>
    <n v="1799.4997512562629"/>
    <n v="4442.6583193711749"/>
    <n v="8566.3766186261037"/>
  </r>
  <r>
    <s v="Regular"/>
    <x v="1"/>
    <x v="0"/>
    <x v="3"/>
    <x v="2"/>
    <x v="0"/>
    <x v="0"/>
    <x v="0"/>
    <x v="3"/>
    <n v="160"/>
    <n v="160"/>
    <n v="93.093000000000004"/>
    <n v="93.093000000000004"/>
    <n v="93.093000000000004"/>
    <n v="93.093000000000004"/>
    <n v="0"/>
    <x v="0"/>
    <n v="0"/>
    <n v="20"/>
    <n v="21"/>
    <n v="75"/>
    <n v="18.611999999999998"/>
    <n v="79.251400000000004"/>
    <n v="157.97639999999998"/>
    <n v="19.994441680625144"/>
    <n v="110.03488097513747"/>
    <n v="212.17031872758153"/>
    <n v="2977.9199999999996"/>
    <n v="7377.7505802000005"/>
    <n v="14706.497005199999"/>
    <n v="3199.110668900023"/>
    <n v="10243.477174618472"/>
    <n v="19751.57148130675"/>
  </r>
  <r>
    <s v="Sistema Isolado - Regular"/>
    <x v="1"/>
    <x v="0"/>
    <x v="3"/>
    <x v="2"/>
    <x v="0"/>
    <x v="0"/>
    <x v="0"/>
    <x v="3"/>
    <n v="91"/>
    <n v="91"/>
    <n v="36.768999999999998"/>
    <n v="36.768999999999998"/>
    <n v="36.768999999999998"/>
    <n v="36.768999999999998"/>
    <n v="0"/>
    <x v="0"/>
    <n v="0"/>
    <n v="20"/>
    <n v="21"/>
    <n v="75"/>
    <n v="18.611999999999998"/>
    <n v="79.251400000000004"/>
    <n v="157.97639999999998"/>
    <n v="19.994441680625144"/>
    <n v="110.03488097513747"/>
    <n v="212.17031872758153"/>
    <n v="1693.6919999999998"/>
    <n v="2913.9947265999999"/>
    <n v="5808.6342515999995"/>
    <n v="1819.4941929368881"/>
    <n v="4045.8725385748294"/>
    <n v="7801.2904492944454"/>
  </r>
  <r>
    <s v="Regular"/>
    <x v="1"/>
    <x v="0"/>
    <x v="3"/>
    <x v="2"/>
    <x v="0"/>
    <x v="0"/>
    <x v="0"/>
    <x v="4"/>
    <n v="160"/>
    <n v="160"/>
    <n v="88.587000000000003"/>
    <n v="88.587000000000003"/>
    <n v="88.587000000000003"/>
    <n v="88.587000000000003"/>
    <n v="0"/>
    <x v="0"/>
    <n v="0"/>
    <n v="20"/>
    <n v="21"/>
    <n v="75"/>
    <n v="18.611999999999998"/>
    <n v="79.251400000000004"/>
    <n v="157.97639999999998"/>
    <n v="19.994441680625144"/>
    <n v="110.03488097513747"/>
    <n v="212.17031872758153"/>
    <n v="2977.9199999999996"/>
    <n v="7020.6437718000006"/>
    <n v="13994.655346799998"/>
    <n v="3199.110668900023"/>
    <n v="9747.6600009445028"/>
    <n v="18795.532025120265"/>
  </r>
  <r>
    <s v="Sistema Isolado - Regular"/>
    <x v="1"/>
    <x v="0"/>
    <x v="3"/>
    <x v="2"/>
    <x v="0"/>
    <x v="0"/>
    <x v="0"/>
    <x v="4"/>
    <n v="93"/>
    <n v="93"/>
    <n v="39.274999999999999"/>
    <n v="39.274999999999999"/>
    <n v="39.274999999999999"/>
    <n v="39.274999999999999"/>
    <n v="0"/>
    <x v="0"/>
    <n v="0"/>
    <n v="20"/>
    <n v="21"/>
    <n v="75"/>
    <n v="18.611999999999998"/>
    <n v="79.251400000000004"/>
    <n v="157.97639999999998"/>
    <n v="19.994441680625144"/>
    <n v="110.03488097513747"/>
    <n v="212.17031872758153"/>
    <n v="1730.9159999999999"/>
    <n v="3112.598735"/>
    <n v="6204.5231099999992"/>
    <n v="1859.4830762981385"/>
    <n v="4321.6199502985237"/>
    <n v="8332.9892680257635"/>
  </r>
  <r>
    <s v="Regular"/>
    <x v="1"/>
    <x v="0"/>
    <x v="3"/>
    <x v="2"/>
    <x v="0"/>
    <x v="0"/>
    <x v="0"/>
    <x v="5"/>
    <n v="158"/>
    <n v="158"/>
    <n v="92.653000000000006"/>
    <n v="92.653000000000006"/>
    <n v="92.653000000000006"/>
    <n v="92.653000000000006"/>
    <n v="0"/>
    <x v="0"/>
    <n v="0"/>
    <n v="20"/>
    <n v="21"/>
    <n v="75"/>
    <n v="18.611999999999998"/>
    <n v="79.251400000000004"/>
    <n v="157.97639999999998"/>
    <n v="19.994441680625144"/>
    <n v="110.03488097513747"/>
    <n v="212.17031872758153"/>
    <n v="2940.6959999999999"/>
    <n v="7342.8799642000013"/>
    <n v="14636.9873892"/>
    <n v="3159.1217855387727"/>
    <n v="10195.061826989413"/>
    <n v="19658.216541066613"/>
  </r>
  <r>
    <s v="Sistema Isolado - Regular"/>
    <x v="1"/>
    <x v="0"/>
    <x v="3"/>
    <x v="2"/>
    <x v="0"/>
    <x v="0"/>
    <x v="0"/>
    <x v="5"/>
    <n v="94"/>
    <n v="94"/>
    <n v="38.981999999999999"/>
    <n v="38.981999999999999"/>
    <n v="38.981999999999999"/>
    <n v="38.981999999999999"/>
    <n v="0"/>
    <x v="0"/>
    <n v="0"/>
    <n v="20"/>
    <n v="21"/>
    <n v="75"/>
    <n v="18.611999999999998"/>
    <n v="79.251400000000004"/>
    <n v="157.97639999999998"/>
    <n v="19.994441680625144"/>
    <n v="110.03488097513747"/>
    <n v="212.17031872758153"/>
    <n v="1749.5279999999998"/>
    <n v="3089.3780747999999"/>
    <n v="6158.2360247999995"/>
    <n v="1879.4775179787634"/>
    <n v="4289.3797301728091"/>
    <n v="8270.8233646385834"/>
  </r>
  <r>
    <s v="Regular"/>
    <x v="1"/>
    <x v="0"/>
    <x v="3"/>
    <x v="2"/>
    <x v="0"/>
    <x v="0"/>
    <x v="0"/>
    <x v="6"/>
    <n v="159"/>
    <n v="159"/>
    <n v="85.656000000000006"/>
    <n v="85.656000000000006"/>
    <n v="85.656000000000006"/>
    <n v="85.656000000000006"/>
    <n v="0"/>
    <x v="0"/>
    <n v="0"/>
    <n v="20"/>
    <n v="21"/>
    <n v="75"/>
    <n v="18.611999999999998"/>
    <n v="79.251400000000004"/>
    <n v="157.97639999999998"/>
    <n v="19.994441680625144"/>
    <n v="110.03488097513747"/>
    <n v="212.17031872758153"/>
    <n v="2959.3079999999995"/>
    <n v="6788.3579184000009"/>
    <n v="13531.6265184"/>
    <n v="3179.1162272193978"/>
    <n v="9425.1477648063756"/>
    <n v="18173.660820929726"/>
  </r>
  <r>
    <s v="Sistema Isolado - Regular"/>
    <x v="1"/>
    <x v="0"/>
    <x v="3"/>
    <x v="2"/>
    <x v="0"/>
    <x v="0"/>
    <x v="0"/>
    <x v="6"/>
    <n v="93"/>
    <n v="93"/>
    <n v="45.875"/>
    <n v="45.875"/>
    <n v="45.875"/>
    <n v="45.875"/>
    <n v="0"/>
    <x v="0"/>
    <n v="0"/>
    <n v="20"/>
    <n v="21"/>
    <n v="75"/>
    <n v="18.611999999999998"/>
    <n v="79.251400000000004"/>
    <n v="157.97639999999998"/>
    <n v="19.994441680625144"/>
    <n v="110.03488097513747"/>
    <n v="212.17031872758153"/>
    <n v="1730.9159999999999"/>
    <n v="3635.6579750000001"/>
    <n v="7247.1673499999997"/>
    <n v="1859.4830762981385"/>
    <n v="5047.850164734431"/>
    <n v="9733.3133716278026"/>
  </r>
  <r>
    <s v="Regular"/>
    <x v="1"/>
    <x v="0"/>
    <x v="3"/>
    <x v="2"/>
    <x v="0"/>
    <x v="0"/>
    <x v="0"/>
    <x v="7"/>
    <n v="155"/>
    <n v="155"/>
    <n v="93.438999999999993"/>
    <n v="93.438999999999993"/>
    <n v="93.438999999999993"/>
    <n v="93.438999999999993"/>
    <n v="0"/>
    <x v="0"/>
    <n v="0"/>
    <n v="20"/>
    <n v="21"/>
    <n v="75"/>
    <n v="18.611999999999998"/>
    <n v="79.251400000000004"/>
    <n v="157.97639999999998"/>
    <n v="19.994441680625144"/>
    <n v="110.03488097513747"/>
    <n v="212.17031872758153"/>
    <n v="2884.8599999999997"/>
    <n v="7405.1715646000002"/>
    <n v="14761.156839599997"/>
    <n v="3099.1384604968971"/>
    <n v="10281.549243435869"/>
    <n v="19824.98241158649"/>
  </r>
  <r>
    <s v="Sistema Isolado - Regular"/>
    <x v="1"/>
    <x v="0"/>
    <x v="3"/>
    <x v="2"/>
    <x v="0"/>
    <x v="0"/>
    <x v="0"/>
    <x v="7"/>
    <n v="94"/>
    <n v="94"/>
    <n v="47.609000000000002"/>
    <n v="47.609000000000002"/>
    <n v="47.609000000000002"/>
    <n v="47.609000000000002"/>
    <n v="0"/>
    <x v="0"/>
    <n v="0"/>
    <n v="20"/>
    <n v="21"/>
    <n v="75"/>
    <n v="18.611999999999998"/>
    <n v="79.251400000000004"/>
    <n v="157.97639999999998"/>
    <n v="19.994441680625144"/>
    <n v="110.03488097513747"/>
    <n v="212.17031872758153"/>
    <n v="1749.5279999999998"/>
    <n v="3773.0799026000004"/>
    <n v="7521.0984275999999"/>
    <n v="1879.4775179787634"/>
    <n v="5238.6506483453195"/>
    <n v="10101.216704301429"/>
  </r>
  <r>
    <s v="Regular"/>
    <x v="1"/>
    <x v="0"/>
    <x v="3"/>
    <x v="2"/>
    <x v="0"/>
    <x v="0"/>
    <x v="0"/>
    <x v="8"/>
    <n v="161"/>
    <n v="161"/>
    <n v="95.522999999999996"/>
    <n v="95.522999999999996"/>
    <n v="95.522999999999996"/>
    <n v="95.522999999999996"/>
    <n v="0"/>
    <x v="0"/>
    <n v="0"/>
    <n v="20"/>
    <n v="21"/>
    <n v="75"/>
    <n v="18.611999999999998"/>
    <n v="79.251400000000004"/>
    <n v="157.97639999999998"/>
    <n v="19.994441680625144"/>
    <n v="110.03488097513747"/>
    <n v="212.17031872758153"/>
    <n v="2996.5319999999997"/>
    <n v="7570.3314822000002"/>
    <n v="15090.379657199997"/>
    <n v="3219.1051105806482"/>
    <n v="10510.861935388057"/>
    <n v="20267.14535581477"/>
  </r>
  <r>
    <s v="Sistema Isolado - Regular"/>
    <x v="1"/>
    <x v="0"/>
    <x v="3"/>
    <x v="2"/>
    <x v="0"/>
    <x v="0"/>
    <x v="0"/>
    <x v="8"/>
    <n v="104"/>
    <n v="104"/>
    <n v="48.96"/>
    <n v="48.96"/>
    <n v="48.96"/>
    <n v="48.96"/>
    <n v="0"/>
    <x v="0"/>
    <n v="0"/>
    <n v="20"/>
    <n v="21"/>
    <n v="75"/>
    <n v="18.611999999999998"/>
    <n v="79.251400000000004"/>
    <n v="157.97639999999998"/>
    <n v="19.994441680625144"/>
    <n v="110.03488097513747"/>
    <n v="212.17031872758153"/>
    <n v="1935.6479999999999"/>
    <n v="3880.1485440000001"/>
    <n v="7734.524543999999"/>
    <n v="2079.4219347850149"/>
    <n v="5387.3077725427302"/>
    <n v="10387.858804902391"/>
  </r>
  <r>
    <s v="Regular"/>
    <x v="1"/>
    <x v="0"/>
    <x v="3"/>
    <x v="2"/>
    <x v="0"/>
    <x v="0"/>
    <x v="0"/>
    <x v="9"/>
    <n v="162"/>
    <n v="162"/>
    <n v="92.162000000000006"/>
    <n v="92.162000000000006"/>
    <n v="92.162000000000006"/>
    <n v="92.162000000000006"/>
    <n v="0"/>
    <x v="0"/>
    <n v="0"/>
    <n v="20"/>
    <n v="21"/>
    <n v="75"/>
    <n v="18.611999999999998"/>
    <n v="79.251400000000004"/>
    <n v="157.97639999999998"/>
    <n v="19.994441680625144"/>
    <n v="110.03488097513747"/>
    <n v="212.17031872758153"/>
    <n v="3015.1439999999998"/>
    <n v="7303.967526800001"/>
    <n v="14559.4209768"/>
    <n v="3239.0995522612734"/>
    <n v="10141.03470043062"/>
    <n v="19554.040914571371"/>
  </r>
  <r>
    <s v="Sistema Isolado - Regular"/>
    <x v="1"/>
    <x v="0"/>
    <x v="3"/>
    <x v="2"/>
    <x v="0"/>
    <x v="0"/>
    <x v="0"/>
    <x v="9"/>
    <n v="120"/>
    <n v="120"/>
    <n v="51.665999999999997"/>
    <n v="51.665999999999997"/>
    <n v="51.665999999999997"/>
    <n v="51.665999999999997"/>
    <n v="0"/>
    <x v="0"/>
    <n v="0"/>
    <n v="20"/>
    <n v="21"/>
    <n v="75"/>
    <n v="18.611999999999998"/>
    <n v="79.251400000000004"/>
    <n v="157.97639999999998"/>
    <n v="19.994441680625144"/>
    <n v="110.03488097513747"/>
    <n v="212.17031872758153"/>
    <n v="2233.4399999999996"/>
    <n v="4094.6028323999999"/>
    <n v="8162.0086823999991"/>
    <n v="2399.3330016750174"/>
    <n v="5685.0621604614525"/>
    <n v="10961.991687379226"/>
  </r>
  <r>
    <s v="Regular"/>
    <x v="1"/>
    <x v="0"/>
    <x v="3"/>
    <x v="2"/>
    <x v="0"/>
    <x v="0"/>
    <x v="0"/>
    <x v="10"/>
    <n v="211"/>
    <n v="211"/>
    <n v="133.714"/>
    <n v="133.714"/>
    <n v="133.714"/>
    <n v="133.714"/>
    <n v="0"/>
    <x v="0"/>
    <n v="0"/>
    <n v="20"/>
    <n v="21"/>
    <n v="75"/>
    <n v="18.611999999999998"/>
    <n v="79.251400000000004"/>
    <n v="157.97639999999998"/>
    <n v="19.994441680625144"/>
    <n v="110.03488097513747"/>
    <n v="212.17031872758153"/>
    <n v="3927.1319999999996"/>
    <n v="10597.0216996"/>
    <n v="21123.656349599998"/>
    <n v="4218.8271946119057"/>
    <n v="14713.204074709531"/>
    <n v="28370.141998339837"/>
  </r>
  <r>
    <s v="Sistema Isolado - Regular"/>
    <x v="1"/>
    <x v="0"/>
    <x v="3"/>
    <x v="2"/>
    <x v="0"/>
    <x v="0"/>
    <x v="0"/>
    <x v="10"/>
    <n v="171"/>
    <n v="171"/>
    <n v="98.372"/>
    <n v="98.372"/>
    <n v="98.372"/>
    <n v="98.372"/>
    <n v="0"/>
    <x v="0"/>
    <n v="0"/>
    <n v="20"/>
    <n v="21"/>
    <n v="75"/>
    <n v="18.611999999999998"/>
    <n v="79.251400000000004"/>
    <n v="157.97639999999998"/>
    <n v="19.994441680625144"/>
    <n v="110.03488097513747"/>
    <n v="212.17031872758153"/>
    <n v="3182.6519999999996"/>
    <n v="7796.1187208000001"/>
    <n v="15540.454420799999"/>
    <n v="3419.0495273868996"/>
    <n v="10824.351311286224"/>
    <n v="20871.618593869651"/>
  </r>
  <r>
    <s v="PROJETADO"/>
    <x v="1"/>
    <x v="0"/>
    <x v="3"/>
    <x v="2"/>
    <x v="0"/>
    <x v="0"/>
    <x v="0"/>
    <x v="11"/>
    <n v="211"/>
    <n v="211"/>
    <n v="133.714"/>
    <n v="133.714"/>
    <n v="133.714"/>
    <n v="133.714"/>
    <n v="0"/>
    <x v="0"/>
    <n v="0"/>
    <n v="20"/>
    <n v="21"/>
    <n v="75"/>
    <n v="18.611999999999998"/>
    <n v="79.251400000000004"/>
    <n v="157.97639999999998"/>
    <n v="19.994441680625144"/>
    <n v="110.03488097513747"/>
    <n v="212.17031872758153"/>
    <n v="3927.1319999999996"/>
    <n v="10597.0216996"/>
    <n v="21123.656349599998"/>
    <n v="4218.8271946119057"/>
    <n v="14713.204074709531"/>
    <n v="28370.141998339837"/>
  </r>
  <r>
    <s v="PROJETADO"/>
    <x v="1"/>
    <x v="0"/>
    <x v="3"/>
    <x v="2"/>
    <x v="0"/>
    <x v="0"/>
    <x v="0"/>
    <x v="11"/>
    <n v="171"/>
    <n v="171"/>
    <n v="98.372"/>
    <n v="98.372"/>
    <n v="98.372"/>
    <n v="98.372"/>
    <n v="0"/>
    <x v="0"/>
    <n v="0"/>
    <n v="20"/>
    <n v="21"/>
    <n v="75"/>
    <n v="18.611999999999998"/>
    <n v="79.251400000000004"/>
    <n v="157.97639999999998"/>
    <n v="19.994441680625144"/>
    <n v="110.03488097513747"/>
    <n v="212.17031872758153"/>
    <n v="3182.6519999999996"/>
    <n v="7796.1187208000001"/>
    <n v="15540.454420799999"/>
    <n v="3419.0495273868996"/>
    <n v="10824.351311286224"/>
    <n v="20871.618593869651"/>
  </r>
  <r>
    <s v="Regular"/>
    <x v="1"/>
    <x v="0"/>
    <x v="3"/>
    <x v="2"/>
    <x v="0"/>
    <x v="0"/>
    <x v="1"/>
    <x v="0"/>
    <n v="1953"/>
    <n v="1953"/>
    <n v="58.834000000000003"/>
    <n v="58.834000000000003"/>
    <n v="58.834000000000003"/>
    <n v="58.834000000000003"/>
    <n v="0"/>
    <x v="0"/>
    <n v="0"/>
    <n v="19"/>
    <n v="21"/>
    <n v="74"/>
    <n v="52.846799999999995"/>
    <n v="79.251400000000004"/>
    <n v="254.08199999999999"/>
    <n v="54.611727594784298"/>
    <n v="110.03488097513747"/>
    <n v="351.82269927635298"/>
    <n v="103209.80039999999"/>
    <n v="4662.6768676000002"/>
    <n v="14948.660388"/>
    <n v="106656.70399261374"/>
    <n v="6473.7921872912384"/>
    <n v="20699.136689224953"/>
  </r>
  <r>
    <s v="Sistema Isolado - Regular"/>
    <x v="1"/>
    <x v="0"/>
    <x v="3"/>
    <x v="2"/>
    <x v="0"/>
    <x v="0"/>
    <x v="1"/>
    <x v="0"/>
    <n v="95"/>
    <n v="95"/>
    <n v="4.5919999999999996"/>
    <n v="4.5919999999999996"/>
    <n v="4.5919999999999996"/>
    <n v="4.5919999999999996"/>
    <n v="0"/>
    <x v="0"/>
    <n v="0"/>
    <n v="19"/>
    <n v="21"/>
    <n v="74"/>
    <n v="52.846799999999995"/>
    <n v="79.251400000000004"/>
    <n v="254.08199999999999"/>
    <n v="54.611727594784298"/>
    <n v="110.03488097513747"/>
    <n v="351.82269927635298"/>
    <n v="5020.4459999999999"/>
    <n v="363.92242879999998"/>
    <n v="1166.7445439999999"/>
    <n v="5188.1141215045081"/>
    <n v="505.28017343783119"/>
    <n v="1615.5698350770128"/>
  </r>
  <r>
    <s v="Regular"/>
    <x v="1"/>
    <x v="0"/>
    <x v="3"/>
    <x v="2"/>
    <x v="0"/>
    <x v="0"/>
    <x v="1"/>
    <x v="1"/>
    <n v="157"/>
    <n v="157"/>
    <n v="10.702"/>
    <n v="10.702"/>
    <n v="10.702"/>
    <n v="10.702"/>
    <n v="0"/>
    <x v="0"/>
    <n v="0"/>
    <n v="19"/>
    <n v="21"/>
    <n v="74"/>
    <n v="52.846799999999995"/>
    <n v="79.251400000000004"/>
    <n v="254.08199999999999"/>
    <n v="54.611727594784298"/>
    <n v="110.03488097513747"/>
    <n v="351.82269927635298"/>
    <n v="8296.9475999999995"/>
    <n v="848.14848280000001"/>
    <n v="2719.1855639999999"/>
    <n v="8574.0412323811343"/>
    <n v="1177.5932961959211"/>
    <n v="3765.2065276555295"/>
  </r>
  <r>
    <s v="Sistema Isolado - Regular"/>
    <x v="1"/>
    <x v="0"/>
    <x v="3"/>
    <x v="2"/>
    <x v="0"/>
    <x v="0"/>
    <x v="1"/>
    <x v="1"/>
    <n v="89"/>
    <n v="89"/>
    <n v="5.6580000000000004"/>
    <n v="5.6580000000000004"/>
    <n v="5.6580000000000004"/>
    <n v="5.6580000000000004"/>
    <n v="0"/>
    <x v="0"/>
    <n v="0"/>
    <n v="19"/>
    <n v="21"/>
    <n v="74"/>
    <n v="52.846799999999995"/>
    <n v="79.251400000000004"/>
    <n v="254.08199999999999"/>
    <n v="54.611727594784298"/>
    <n v="110.03488097513747"/>
    <n v="351.82269927635298"/>
    <n v="4703.3651999999993"/>
    <n v="448.40442120000006"/>
    <n v="1437.5959560000001"/>
    <n v="4860.443755935803"/>
    <n v="622.57735655732779"/>
    <n v="1990.6128325056052"/>
  </r>
  <r>
    <s v="Regular"/>
    <x v="1"/>
    <x v="0"/>
    <x v="3"/>
    <x v="2"/>
    <x v="0"/>
    <x v="0"/>
    <x v="1"/>
    <x v="2"/>
    <n v="155"/>
    <n v="155"/>
    <n v="10.286"/>
    <n v="10.286"/>
    <n v="10.286"/>
    <n v="10.286"/>
    <n v="0"/>
    <x v="0"/>
    <n v="0"/>
    <n v="19"/>
    <n v="21"/>
    <n v="74"/>
    <n v="52.846799999999995"/>
    <n v="79.251400000000004"/>
    <n v="254.08199999999999"/>
    <n v="54.611727594784298"/>
    <n v="110.03488097513747"/>
    <n v="351.82269927635298"/>
    <n v="8191.253999999999"/>
    <n v="815.17990039999995"/>
    <n v="2613.4874519999998"/>
    <n v="8464.8177771915671"/>
    <n v="1131.8187857102639"/>
    <n v="3618.8482847565665"/>
  </r>
  <r>
    <s v="Sistema Isolado - Regular"/>
    <x v="1"/>
    <x v="0"/>
    <x v="3"/>
    <x v="2"/>
    <x v="0"/>
    <x v="0"/>
    <x v="1"/>
    <x v="2"/>
    <n v="87"/>
    <n v="87"/>
    <n v="4.9939999999999998"/>
    <n v="4.9939999999999998"/>
    <n v="4.9939999999999998"/>
    <n v="4.9939999999999998"/>
    <n v="0"/>
    <x v="0"/>
    <n v="0"/>
    <n v="19"/>
    <n v="21"/>
    <n v="74"/>
    <n v="52.846799999999995"/>
    <n v="79.251400000000004"/>
    <n v="254.08199999999999"/>
    <n v="54.611727594784298"/>
    <n v="110.03488097513747"/>
    <n v="351.82269927635298"/>
    <n v="4597.6715999999997"/>
    <n v="395.78149159999998"/>
    <n v="1268.8855079999998"/>
    <n v="4751.220300746234"/>
    <n v="549.5141955898365"/>
    <n v="1757.0025601861066"/>
  </r>
  <r>
    <s v="Regular"/>
    <x v="1"/>
    <x v="0"/>
    <x v="3"/>
    <x v="2"/>
    <x v="0"/>
    <x v="0"/>
    <x v="1"/>
    <x v="3"/>
    <n v="152"/>
    <n v="152"/>
    <n v="11.295"/>
    <n v="11.295"/>
    <n v="11.295"/>
    <n v="11.295"/>
    <n v="0"/>
    <x v="0"/>
    <n v="0"/>
    <n v="19"/>
    <n v="21"/>
    <n v="74"/>
    <n v="52.846799999999995"/>
    <n v="79.251400000000004"/>
    <n v="254.08199999999999"/>
    <n v="54.611727594784298"/>
    <n v="110.03488097513747"/>
    <n v="351.82269927635298"/>
    <n v="8032.7135999999991"/>
    <n v="895.14456300000006"/>
    <n v="2869.85619"/>
    <n v="8300.9825944072127"/>
    <n v="1242.8439806141778"/>
    <n v="3973.8373883264067"/>
  </r>
  <r>
    <s v="Sistema Isolado - Regular"/>
    <x v="1"/>
    <x v="0"/>
    <x v="3"/>
    <x v="2"/>
    <x v="0"/>
    <x v="0"/>
    <x v="1"/>
    <x v="3"/>
    <n v="89"/>
    <n v="89"/>
    <n v="4.6829999999999998"/>
    <n v="4.6829999999999998"/>
    <n v="4.6829999999999998"/>
    <n v="4.6829999999999998"/>
    <n v="0"/>
    <x v="0"/>
    <n v="0"/>
    <n v="19"/>
    <n v="21"/>
    <n v="74"/>
    <n v="52.846799999999995"/>
    <n v="79.251400000000004"/>
    <n v="254.08199999999999"/>
    <n v="54.611727594784298"/>
    <n v="110.03488097513747"/>
    <n v="351.82269927635298"/>
    <n v="4703.3651999999993"/>
    <n v="371.13430620000003"/>
    <n v="1189.866006"/>
    <n v="4860.443755935803"/>
    <n v="515.29334760656877"/>
    <n v="1647.5857007111608"/>
  </r>
  <r>
    <s v="Regular"/>
    <x v="1"/>
    <x v="0"/>
    <x v="3"/>
    <x v="2"/>
    <x v="0"/>
    <x v="0"/>
    <x v="1"/>
    <x v="4"/>
    <n v="152"/>
    <n v="152"/>
    <n v="10.167"/>
    <n v="10.167"/>
    <n v="10.167"/>
    <n v="10.167"/>
    <n v="0"/>
    <x v="0"/>
    <n v="0"/>
    <n v="19"/>
    <n v="21"/>
    <n v="74"/>
    <n v="52.846799999999995"/>
    <n v="79.251400000000004"/>
    <n v="254.08199999999999"/>
    <n v="54.611727594784298"/>
    <n v="110.03488097513747"/>
    <n v="351.82269927635298"/>
    <n v="8032.7135999999991"/>
    <n v="805.74898380000002"/>
    <n v="2583.251694"/>
    <n v="8300.9825944072127"/>
    <n v="1118.7246348742226"/>
    <n v="3576.9813835426808"/>
  </r>
  <r>
    <s v="Sistema Isolado - Regular"/>
    <x v="1"/>
    <x v="0"/>
    <x v="3"/>
    <x v="2"/>
    <x v="0"/>
    <x v="0"/>
    <x v="1"/>
    <x v="4"/>
    <n v="90"/>
    <n v="90"/>
    <n v="5.32"/>
    <n v="5.32"/>
    <n v="5.32"/>
    <n v="5.32"/>
    <n v="0"/>
    <x v="0"/>
    <n v="0"/>
    <n v="19"/>
    <n v="21"/>
    <n v="74"/>
    <n v="52.846799999999995"/>
    <n v="79.251400000000004"/>
    <n v="254.08199999999999"/>
    <n v="54.611727594784298"/>
    <n v="110.03488097513747"/>
    <n v="351.82269927635298"/>
    <n v="4756.2119999999995"/>
    <n v="421.61744800000002"/>
    <n v="1351.71624"/>
    <n v="4915.0554835305866"/>
    <n v="585.38556678773136"/>
    <n v="1871.6967601501979"/>
  </r>
  <r>
    <s v="Regular"/>
    <x v="1"/>
    <x v="0"/>
    <x v="3"/>
    <x v="2"/>
    <x v="0"/>
    <x v="0"/>
    <x v="1"/>
    <x v="5"/>
    <n v="158"/>
    <n v="158"/>
    <n v="10.941000000000001"/>
    <n v="10.941000000000001"/>
    <n v="10.941000000000001"/>
    <n v="10.941000000000001"/>
    <n v="0"/>
    <x v="0"/>
    <n v="0"/>
    <n v="19"/>
    <n v="21"/>
    <n v="74"/>
    <n v="52.846799999999995"/>
    <n v="79.251400000000004"/>
    <n v="254.08199999999999"/>
    <n v="54.611727594784298"/>
    <n v="110.03488097513747"/>
    <n v="351.82269927635298"/>
    <n v="8349.7943999999989"/>
    <n v="867.08956740000008"/>
    <n v="2779.9111620000003"/>
    <n v="8628.6529599759197"/>
    <n v="1203.8916327489792"/>
    <n v="3849.2921527825783"/>
  </r>
  <r>
    <s v="Sistema Isolado - Regular"/>
    <x v="1"/>
    <x v="0"/>
    <x v="3"/>
    <x v="2"/>
    <x v="0"/>
    <x v="0"/>
    <x v="1"/>
    <x v="5"/>
    <n v="89"/>
    <n v="89"/>
    <n v="3.4540000000000002"/>
    <n v="3.4540000000000002"/>
    <n v="3.4540000000000002"/>
    <n v="3.4540000000000002"/>
    <n v="0"/>
    <x v="0"/>
    <n v="0"/>
    <n v="19"/>
    <n v="21"/>
    <n v="74"/>
    <n v="52.846799999999995"/>
    <n v="79.251400000000004"/>
    <n v="254.08199999999999"/>
    <n v="54.611727594784298"/>
    <n v="110.03488097513747"/>
    <n v="351.82269927635298"/>
    <n v="4703.3651999999993"/>
    <n v="273.73433560000001"/>
    <n v="877.59922800000004"/>
    <n v="4860.443755935803"/>
    <n v="380.06047888812486"/>
    <n v="1215.1956033005233"/>
  </r>
  <r>
    <s v="Regular"/>
    <x v="1"/>
    <x v="0"/>
    <x v="3"/>
    <x v="2"/>
    <x v="0"/>
    <x v="0"/>
    <x v="1"/>
    <x v="6"/>
    <n v="158"/>
    <n v="158"/>
    <n v="10.625999999999999"/>
    <n v="10.625999999999999"/>
    <n v="10.625999999999999"/>
    <n v="10.625999999999999"/>
    <n v="0"/>
    <x v="0"/>
    <n v="0"/>
    <n v="19"/>
    <n v="21"/>
    <n v="74"/>
    <n v="52.846799999999995"/>
    <n v="79.251400000000004"/>
    <n v="254.08199999999999"/>
    <n v="54.611727594784298"/>
    <n v="110.03488097513747"/>
    <n v="351.82269927635298"/>
    <n v="8349.7943999999989"/>
    <n v="842.12537640000005"/>
    <n v="2699.8753319999996"/>
    <n v="8628.6529599759197"/>
    <n v="1169.2306452418106"/>
    <n v="3738.4680025105267"/>
  </r>
  <r>
    <s v="Sistema Isolado - Regular"/>
    <x v="1"/>
    <x v="0"/>
    <x v="3"/>
    <x v="2"/>
    <x v="0"/>
    <x v="0"/>
    <x v="1"/>
    <x v="6"/>
    <n v="91"/>
    <n v="91"/>
    <n v="1.837"/>
    <n v="1.837"/>
    <n v="1.837"/>
    <n v="1.837"/>
    <n v="0"/>
    <x v="0"/>
    <n v="0"/>
    <n v="19"/>
    <n v="21"/>
    <n v="74"/>
    <n v="52.846799999999995"/>
    <n v="79.251400000000004"/>
    <n v="254.08199999999999"/>
    <n v="54.611727594784298"/>
    <n v="110.03488097513747"/>
    <n v="351.82269927635298"/>
    <n v="4809.0587999999998"/>
    <n v="145.58482180000001"/>
    <n v="466.74863399999998"/>
    <n v="4969.6672111253711"/>
    <n v="202.13407635132754"/>
    <n v="646.29829857066045"/>
  </r>
  <r>
    <s v="Regular"/>
    <x v="1"/>
    <x v="0"/>
    <x v="3"/>
    <x v="2"/>
    <x v="0"/>
    <x v="0"/>
    <x v="1"/>
    <x v="7"/>
    <n v="155"/>
    <n v="155"/>
    <n v="11.025"/>
    <n v="11.025"/>
    <n v="11.025"/>
    <n v="11.025"/>
    <n v="0"/>
    <x v="0"/>
    <n v="0"/>
    <n v="19"/>
    <n v="21"/>
    <n v="74"/>
    <n v="52.846799999999995"/>
    <n v="79.251400000000004"/>
    <n v="254.08199999999999"/>
    <n v="54.611727594784298"/>
    <n v="110.03488097513747"/>
    <n v="351.82269927635298"/>
    <n v="8191.253999999999"/>
    <n v="873.74668500000007"/>
    <n v="2801.25405"/>
    <n v="8464.8177771915671"/>
    <n v="1213.1345627508906"/>
    <n v="3878.8452595217918"/>
  </r>
  <r>
    <s v="Sistema Isolado - Regular"/>
    <x v="1"/>
    <x v="0"/>
    <x v="3"/>
    <x v="2"/>
    <x v="0"/>
    <x v="0"/>
    <x v="1"/>
    <x v="7"/>
    <n v="92"/>
    <n v="92"/>
    <n v="3.1419999999999999"/>
    <n v="3.1419999999999999"/>
    <n v="3.1419999999999999"/>
    <n v="3.1419999999999999"/>
    <n v="0"/>
    <x v="0"/>
    <n v="0"/>
    <n v="19"/>
    <n v="21"/>
    <n v="74"/>
    <n v="52.846799999999995"/>
    <n v="79.251400000000004"/>
    <n v="254.08199999999999"/>
    <n v="54.611727594784298"/>
    <n v="110.03488097513747"/>
    <n v="351.82269927635298"/>
    <n v="4861.9055999999991"/>
    <n v="249.00789879999999"/>
    <n v="798.32564400000001"/>
    <n v="5024.2789387201556"/>
    <n v="345.72959602388192"/>
    <n v="1105.4269211263011"/>
  </r>
  <r>
    <s v="Regular"/>
    <x v="1"/>
    <x v="0"/>
    <x v="3"/>
    <x v="2"/>
    <x v="0"/>
    <x v="0"/>
    <x v="1"/>
    <x v="8"/>
    <n v="160"/>
    <n v="160"/>
    <n v="11.971"/>
    <n v="11.971"/>
    <n v="11.971"/>
    <n v="11.971"/>
    <n v="0"/>
    <x v="0"/>
    <n v="0"/>
    <n v="19"/>
    <n v="21"/>
    <n v="74"/>
    <n v="52.846799999999995"/>
    <n v="79.251400000000004"/>
    <n v="254.08199999999999"/>
    <n v="54.611727594784298"/>
    <n v="110.03488097513747"/>
    <n v="351.82269927635298"/>
    <n v="8455.4879999999994"/>
    <n v="948.71850940000002"/>
    <n v="3041.6156219999998"/>
    <n v="8737.8764151654868"/>
    <n v="1317.2275601533706"/>
    <n v="4211.6695330372213"/>
  </r>
  <r>
    <s v="Sistema Isolado - Regular"/>
    <x v="1"/>
    <x v="0"/>
    <x v="3"/>
    <x v="2"/>
    <x v="0"/>
    <x v="0"/>
    <x v="1"/>
    <x v="8"/>
    <n v="92"/>
    <n v="92"/>
    <n v="2.6739999999999999"/>
    <n v="2.6739999999999999"/>
    <n v="2.6739999999999999"/>
    <n v="2.6739999999999999"/>
    <n v="0"/>
    <x v="0"/>
    <n v="0"/>
    <n v="19"/>
    <n v="21"/>
    <n v="74"/>
    <n v="52.846799999999995"/>
    <n v="79.251400000000004"/>
    <n v="254.08199999999999"/>
    <n v="54.611727594784298"/>
    <n v="110.03488097513747"/>
    <n v="351.82269927635298"/>
    <n v="4861.9055999999991"/>
    <n v="211.91824360000001"/>
    <n v="679.41526799999997"/>
    <n v="5024.2789387201556"/>
    <n v="294.2332717275176"/>
    <n v="940.77389786496781"/>
  </r>
  <r>
    <s v="Regular"/>
    <x v="1"/>
    <x v="0"/>
    <x v="3"/>
    <x v="2"/>
    <x v="0"/>
    <x v="0"/>
    <x v="1"/>
    <x v="9"/>
    <n v="160"/>
    <n v="160"/>
    <n v="11.391999999999999"/>
    <n v="11.391999999999999"/>
    <n v="11.391999999999999"/>
    <n v="11.391999999999999"/>
    <n v="0"/>
    <x v="0"/>
    <n v="0"/>
    <n v="19"/>
    <n v="21"/>
    <n v="74"/>
    <n v="52.846799999999995"/>
    <n v="79.251400000000004"/>
    <n v="254.08199999999999"/>
    <n v="54.611727594784298"/>
    <n v="110.03488097513747"/>
    <n v="351.82269927635298"/>
    <n v="8455.4879999999994"/>
    <n v="902.83194879999996"/>
    <n v="2894.5021439999996"/>
    <n v="8737.8764151654868"/>
    <n v="1253.517364068766"/>
    <n v="4007.9641901562131"/>
  </r>
  <r>
    <s v="Sistema Isolado - Regular"/>
    <x v="1"/>
    <x v="0"/>
    <x v="3"/>
    <x v="2"/>
    <x v="0"/>
    <x v="0"/>
    <x v="1"/>
    <x v="9"/>
    <n v="104"/>
    <n v="104"/>
    <n v="1.718"/>
    <n v="1.718"/>
    <n v="1.718"/>
    <n v="1.718"/>
    <n v="0"/>
    <x v="0"/>
    <n v="0"/>
    <n v="19"/>
    <n v="21"/>
    <n v="74"/>
    <n v="52.846799999999995"/>
    <n v="79.251400000000004"/>
    <n v="254.08199999999999"/>
    <n v="54.611727594784298"/>
    <n v="110.03488097513747"/>
    <n v="351.82269927635298"/>
    <n v="5496.0671999999995"/>
    <n v="136.1539052"/>
    <n v="436.51287600000001"/>
    <n v="5679.6196698575668"/>
    <n v="189.03992551528617"/>
    <n v="604.43139735677437"/>
  </r>
  <r>
    <s v="Regular"/>
    <x v="1"/>
    <x v="0"/>
    <x v="3"/>
    <x v="2"/>
    <x v="0"/>
    <x v="0"/>
    <x v="1"/>
    <x v="10"/>
    <n v="209"/>
    <n v="209"/>
    <n v="14.791"/>
    <n v="14.791"/>
    <n v="14.791"/>
    <n v="14.791"/>
    <n v="0"/>
    <x v="0"/>
    <n v="0"/>
    <n v="19"/>
    <n v="21"/>
    <n v="74"/>
    <n v="52.846799999999995"/>
    <n v="79.251400000000004"/>
    <n v="254.08199999999999"/>
    <n v="54.611727594784298"/>
    <n v="110.03488097513747"/>
    <n v="351.82269927635298"/>
    <n v="11044.981199999998"/>
    <n v="1172.2074574000001"/>
    <n v="3758.1268620000001"/>
    <n v="11413.851067309919"/>
    <n v="1627.5259245032582"/>
    <n v="5203.8095449965367"/>
  </r>
  <r>
    <s v="Sistema Isolado - Regular"/>
    <x v="1"/>
    <x v="0"/>
    <x v="3"/>
    <x v="2"/>
    <x v="0"/>
    <x v="0"/>
    <x v="1"/>
    <x v="10"/>
    <n v="163"/>
    <n v="163"/>
    <n v="7.6289999999999996"/>
    <n v="7.6289999999999996"/>
    <n v="7.6289999999999996"/>
    <n v="7.6289999999999996"/>
    <n v="0"/>
    <x v="0"/>
    <n v="0"/>
    <n v="19"/>
    <n v="21"/>
    <n v="74"/>
    <n v="52.846799999999995"/>
    <n v="79.251400000000004"/>
    <n v="254.08199999999999"/>
    <n v="54.611727594784298"/>
    <n v="110.03488097513747"/>
    <n v="351.82269927635298"/>
    <n v="8614.0283999999992"/>
    <n v="604.60893060000001"/>
    <n v="1938.3915779999998"/>
    <n v="8901.7115979498412"/>
    <n v="839.45610695932373"/>
    <n v="2684.0553727792967"/>
  </r>
  <r>
    <s v="PROJETADO"/>
    <x v="1"/>
    <x v="0"/>
    <x v="3"/>
    <x v="2"/>
    <x v="0"/>
    <x v="0"/>
    <x v="1"/>
    <x v="11"/>
    <n v="209"/>
    <n v="209"/>
    <n v="14.791"/>
    <n v="14.791"/>
    <n v="14.791"/>
    <n v="14.791"/>
    <n v="0"/>
    <x v="0"/>
    <n v="0"/>
    <n v="19"/>
    <n v="21"/>
    <n v="74"/>
    <n v="52.846799999999995"/>
    <n v="79.251400000000004"/>
    <n v="254.08199999999999"/>
    <n v="54.611727594784298"/>
    <n v="110.03488097513747"/>
    <n v="351.82269927635298"/>
    <n v="11044.981199999998"/>
    <n v="1172.2074574000001"/>
    <n v="3758.1268620000001"/>
    <n v="11413.851067309919"/>
    <n v="1627.5259245032582"/>
    <n v="5203.8095449965367"/>
  </r>
  <r>
    <s v="PROJETADO"/>
    <x v="1"/>
    <x v="0"/>
    <x v="3"/>
    <x v="2"/>
    <x v="0"/>
    <x v="0"/>
    <x v="1"/>
    <x v="11"/>
    <n v="163"/>
    <n v="163"/>
    <n v="7.6289999999999996"/>
    <n v="7.6289999999999996"/>
    <n v="7.6289999999999996"/>
    <n v="7.6289999999999996"/>
    <n v="0"/>
    <x v="0"/>
    <n v="0"/>
    <n v="19"/>
    <n v="21"/>
    <n v="74"/>
    <n v="52.846799999999995"/>
    <n v="79.251400000000004"/>
    <n v="254.08199999999999"/>
    <n v="54.611727594784298"/>
    <n v="110.03488097513747"/>
    <n v="351.82269927635298"/>
    <n v="8614.0283999999992"/>
    <n v="604.60893060000001"/>
    <n v="1938.3915779999998"/>
    <n v="8901.7115979498412"/>
    <n v="839.45610695932373"/>
    <n v="2684.0553727792967"/>
  </r>
  <r>
    <s v="Regular"/>
    <x v="1"/>
    <x v="2"/>
    <x v="5"/>
    <x v="0"/>
    <x v="0"/>
    <x v="1"/>
    <x v="0"/>
    <x v="0"/>
    <n v="1568"/>
    <n v="1568"/>
    <n v="689.67899999999997"/>
    <n v="689.67899999999997"/>
    <n v="0"/>
    <n v="0"/>
    <n v="0"/>
    <x v="2"/>
    <n v="7019"/>
    <n v="24"/>
    <n v="25"/>
    <n v="0"/>
    <n v="7.64"/>
    <n v="10.28"/>
    <n v="0"/>
    <n v="9.6075845340944266"/>
    <n v="15.923920705156663"/>
    <n v="220.41354565838213"/>
    <n v="11979.519999999999"/>
    <n v="7089.9001199999993"/>
    <n v="0"/>
    <n v="15064.69254946006"/>
    <n v="10982.393708011741"/>
    <n v="0"/>
  </r>
  <r>
    <s v="Regular"/>
    <x v="1"/>
    <x v="2"/>
    <x v="5"/>
    <x v="0"/>
    <x v="0"/>
    <x v="1"/>
    <x v="0"/>
    <x v="1"/>
    <n v="1478"/>
    <n v="1478"/>
    <n v="761.09"/>
    <n v="761.09"/>
    <n v="0"/>
    <n v="0"/>
    <n v="0"/>
    <x v="2"/>
    <n v="7019"/>
    <n v="24"/>
    <n v="25"/>
    <n v="0"/>
    <n v="7.64"/>
    <n v="10.28"/>
    <n v="0"/>
    <n v="9.6075845340944266"/>
    <n v="15.923920705156663"/>
    <n v="220.41354565838213"/>
    <n v="11291.92"/>
    <n v="7824.0051999999996"/>
    <n v="0"/>
    <n v="14200.009941391563"/>
    <n v="12119.536809487685"/>
    <n v="0"/>
  </r>
  <r>
    <s v="Regular"/>
    <x v="1"/>
    <x v="2"/>
    <x v="5"/>
    <x v="0"/>
    <x v="0"/>
    <x v="1"/>
    <x v="0"/>
    <x v="2"/>
    <n v="1568"/>
    <n v="1568"/>
    <n v="747.32"/>
    <n v="747.32"/>
    <n v="0"/>
    <n v="0"/>
    <n v="0"/>
    <x v="2"/>
    <n v="7019"/>
    <n v="24"/>
    <n v="25"/>
    <n v="0"/>
    <n v="7.64"/>
    <n v="10.28"/>
    <n v="0"/>
    <n v="9.6075845340944266"/>
    <n v="15.923920705156663"/>
    <n v="220.41354565838213"/>
    <n v="11979.519999999999"/>
    <n v="7682.4495999999999"/>
    <n v="0"/>
    <n v="15064.69254946006"/>
    <n v="11900.264421377678"/>
    <n v="0"/>
  </r>
  <r>
    <s v="Regular"/>
    <x v="1"/>
    <x v="2"/>
    <x v="5"/>
    <x v="0"/>
    <x v="0"/>
    <x v="1"/>
    <x v="0"/>
    <x v="3"/>
    <n v="1500"/>
    <n v="1500"/>
    <n v="668.10199999999998"/>
    <n v="668.10199999999998"/>
    <n v="0"/>
    <n v="0"/>
    <n v="0"/>
    <x v="2"/>
    <n v="7019"/>
    <n v="24"/>
    <n v="25"/>
    <n v="0"/>
    <n v="7.64"/>
    <n v="10.28"/>
    <n v="0"/>
    <n v="9.6075845340944266"/>
    <n v="15.923920705156663"/>
    <n v="220.41354565838213"/>
    <n v="11460"/>
    <n v="6868.0885599999992"/>
    <n v="0"/>
    <n v="14411.37680114164"/>
    <n v="10638.803270956576"/>
    <n v="0"/>
  </r>
  <r>
    <s v="Regular"/>
    <x v="1"/>
    <x v="2"/>
    <x v="5"/>
    <x v="0"/>
    <x v="0"/>
    <x v="1"/>
    <x v="0"/>
    <x v="4"/>
    <n v="1500"/>
    <n v="1500"/>
    <n v="751.74900000000002"/>
    <n v="751.74900000000002"/>
    <n v="0"/>
    <n v="0"/>
    <n v="0"/>
    <x v="2"/>
    <n v="7019"/>
    <n v="24"/>
    <n v="25"/>
    <n v="0"/>
    <n v="7.64"/>
    <n v="10.28"/>
    <n v="0"/>
    <n v="9.6075845340944266"/>
    <n v="15.923920705156663"/>
    <n v="220.41354565838213"/>
    <n v="11460"/>
    <n v="7727.9797199999994"/>
    <n v="0"/>
    <n v="14411.37680114164"/>
    <n v="11970.791466180817"/>
    <n v="0"/>
  </r>
  <r>
    <s v="Regular"/>
    <x v="1"/>
    <x v="2"/>
    <x v="5"/>
    <x v="0"/>
    <x v="0"/>
    <x v="1"/>
    <x v="0"/>
    <x v="5"/>
    <n v="1657"/>
    <n v="1657"/>
    <n v="747.19600000000003"/>
    <n v="747.19600000000003"/>
    <n v="0"/>
    <n v="0"/>
    <n v="0"/>
    <x v="2"/>
    <n v="7019"/>
    <n v="24"/>
    <n v="25"/>
    <n v="0"/>
    <n v="7.64"/>
    <n v="10.28"/>
    <n v="0"/>
    <n v="9.6075845340944266"/>
    <n v="15.923920705156663"/>
    <n v="220.41354565838213"/>
    <n v="12659.48"/>
    <n v="7681.1748799999996"/>
    <n v="0"/>
    <n v="15919.767572994464"/>
    <n v="11898.289855210238"/>
    <n v="0"/>
  </r>
  <r>
    <s v="Regular"/>
    <x v="1"/>
    <x v="2"/>
    <x v="5"/>
    <x v="0"/>
    <x v="0"/>
    <x v="1"/>
    <x v="0"/>
    <x v="6"/>
    <n v="1523"/>
    <n v="1523"/>
    <n v="757.09199999999998"/>
    <n v="757.09199999999998"/>
    <n v="0"/>
    <n v="0"/>
    <n v="0"/>
    <x v="2"/>
    <n v="7019"/>
    <n v="24"/>
    <n v="25"/>
    <n v="0"/>
    <n v="7.64"/>
    <n v="10.28"/>
    <n v="0"/>
    <n v="9.6075845340944266"/>
    <n v="15.923920705156663"/>
    <n v="220.41354565838213"/>
    <n v="11635.72"/>
    <n v="7782.9057599999996"/>
    <n v="0"/>
    <n v="14632.351245425813"/>
    <n v="12055.872974508467"/>
    <n v="0"/>
  </r>
  <r>
    <s v="Regular"/>
    <x v="1"/>
    <x v="2"/>
    <x v="5"/>
    <x v="0"/>
    <x v="0"/>
    <x v="1"/>
    <x v="0"/>
    <x v="7"/>
    <n v="1456"/>
    <n v="1456"/>
    <n v="711.88800000000003"/>
    <n v="711.88800000000003"/>
    <n v="0"/>
    <n v="0"/>
    <n v="0"/>
    <x v="2"/>
    <n v="7019"/>
    <n v="24"/>
    <n v="25"/>
    <n v="0"/>
    <n v="7.64"/>
    <n v="10.28"/>
    <n v="0"/>
    <n v="9.6075845340944266"/>
    <n v="15.923920705156663"/>
    <n v="220.41354565838213"/>
    <n v="11123.84"/>
    <n v="7318.2086399999998"/>
    <n v="0"/>
    <n v="13988.643081641485"/>
    <n v="11336.048062952566"/>
    <n v="0"/>
  </r>
  <r>
    <s v="Regular"/>
    <x v="1"/>
    <x v="2"/>
    <x v="5"/>
    <x v="0"/>
    <x v="0"/>
    <x v="1"/>
    <x v="0"/>
    <x v="8"/>
    <n v="1568"/>
    <n v="1568"/>
    <n v="766.42700000000002"/>
    <n v="766.42700000000002"/>
    <n v="0"/>
    <n v="0"/>
    <n v="0"/>
    <x v="2"/>
    <n v="7019"/>
    <n v="24"/>
    <n v="25"/>
    <n v="0"/>
    <n v="7.64"/>
    <n v="10.28"/>
    <n v="0"/>
    <n v="9.6075845340944266"/>
    <n v="15.923920705156663"/>
    <n v="220.41354565838213"/>
    <n v="11979.519999999999"/>
    <n v="7878.8695600000001"/>
    <n v="0"/>
    <n v="15064.69254946006"/>
    <n v="12204.522774291107"/>
    <n v="0"/>
  </r>
  <r>
    <s v="Regular"/>
    <x v="1"/>
    <x v="2"/>
    <x v="5"/>
    <x v="0"/>
    <x v="0"/>
    <x v="1"/>
    <x v="0"/>
    <x v="9"/>
    <n v="1680"/>
    <n v="1680"/>
    <n v="775.72900000000004"/>
    <n v="775.72900000000004"/>
    <n v="0"/>
    <n v="0"/>
    <n v="0"/>
    <x v="2"/>
    <n v="7019"/>
    <n v="24"/>
    <n v="25"/>
    <n v="0"/>
    <n v="7.64"/>
    <n v="10.28"/>
    <n v="0"/>
    <n v="9.6075845340944266"/>
    <n v="15.923920705156663"/>
    <n v="220.41354565838213"/>
    <n v="12835.199999999999"/>
    <n v="7974.4941200000003"/>
    <n v="0"/>
    <n v="16140.742017278637"/>
    <n v="12352.647084690474"/>
    <n v="0"/>
  </r>
  <r>
    <s v="Regular"/>
    <x v="1"/>
    <x v="2"/>
    <x v="5"/>
    <x v="0"/>
    <x v="0"/>
    <x v="1"/>
    <x v="0"/>
    <x v="10"/>
    <n v="1826"/>
    <n v="1826"/>
    <n v="828.01499999999999"/>
    <n v="828.01499999999999"/>
    <n v="0"/>
    <n v="0"/>
    <n v="0"/>
    <x v="2"/>
    <n v="7019"/>
    <n v="24"/>
    <n v="25"/>
    <n v="0"/>
    <n v="7.64"/>
    <n v="10.28"/>
    <n v="0"/>
    <n v="9.6075845340944266"/>
    <n v="15.923920705156663"/>
    <n v="220.41354565838213"/>
    <n v="13950.64"/>
    <n v="8511.9941999999992"/>
    <n v="0"/>
    <n v="17543.449359256421"/>
    <n v="13185.245202680293"/>
    <n v="0"/>
  </r>
  <r>
    <s v="PROJETADO"/>
    <x v="1"/>
    <x v="2"/>
    <x v="5"/>
    <x v="0"/>
    <x v="0"/>
    <x v="1"/>
    <x v="0"/>
    <x v="11"/>
    <n v="1826"/>
    <n v="1826"/>
    <n v="828.01499999999999"/>
    <n v="828.01499999999999"/>
    <n v="0"/>
    <n v="0"/>
    <n v="0"/>
    <x v="2"/>
    <n v="7019"/>
    <n v="24"/>
    <n v="25"/>
    <n v="0"/>
    <n v="7.64"/>
    <n v="10.28"/>
    <n v="0"/>
    <n v="9.6075845340944266"/>
    <n v="15.923920705156663"/>
    <n v="220.41354565838213"/>
    <n v="13950.64"/>
    <n v="8511.9941999999992"/>
    <n v="0"/>
    <n v="17543.449359256421"/>
    <n v="13185.245202680293"/>
    <n v="0"/>
  </r>
  <r>
    <s v="Regular"/>
    <x v="1"/>
    <x v="2"/>
    <x v="5"/>
    <x v="0"/>
    <x v="0"/>
    <x v="1"/>
    <x v="2"/>
    <x v="0"/>
    <n v="0"/>
    <n v="0"/>
    <n v="0"/>
    <n v="0"/>
    <n v="763.34699999999998"/>
    <n v="763.34699999999998"/>
    <n v="0"/>
    <x v="2"/>
    <n v="7019"/>
    <n v="0"/>
    <n v="0"/>
    <n v="79"/>
    <n v="0"/>
    <n v="0"/>
    <n v="157.19999999999999"/>
    <n v="23.06170442884541"/>
    <n v="15.923920705156663"/>
    <n v="220.41354565838213"/>
    <n v="0"/>
    <n v="0"/>
    <n v="119998.14839999999"/>
    <n v="0"/>
    <n v="0"/>
    <n v="168252.01883768901"/>
  </r>
  <r>
    <s v="Regular"/>
    <x v="1"/>
    <x v="2"/>
    <x v="5"/>
    <x v="0"/>
    <x v="0"/>
    <x v="1"/>
    <x v="2"/>
    <x v="1"/>
    <n v="0"/>
    <n v="0"/>
    <n v="0"/>
    <n v="0"/>
    <n v="850.53300000000002"/>
    <n v="850.53300000000002"/>
    <n v="0"/>
    <x v="2"/>
    <n v="7019"/>
    <n v="0"/>
    <n v="0"/>
    <n v="79"/>
    <n v="0"/>
    <n v="0"/>
    <n v="157.19999999999999"/>
    <n v="23.06170442884541"/>
    <n v="15.923920705156663"/>
    <n v="220.41354565838213"/>
    <n v="0"/>
    <n v="0"/>
    <n v="133703.78759999998"/>
    <n v="0"/>
    <n v="0"/>
    <n v="187468.99422946075"/>
  </r>
  <r>
    <s v="Regular"/>
    <x v="1"/>
    <x v="2"/>
    <x v="5"/>
    <x v="0"/>
    <x v="0"/>
    <x v="1"/>
    <x v="2"/>
    <x v="2"/>
    <n v="0"/>
    <n v="0"/>
    <n v="0"/>
    <n v="0"/>
    <n v="830.18299999999999"/>
    <n v="830.18299999999999"/>
    <n v="0"/>
    <x v="2"/>
    <n v="7019"/>
    <n v="0"/>
    <n v="0"/>
    <n v="79"/>
    <n v="0"/>
    <n v="0"/>
    <n v="157.19999999999999"/>
    <n v="23.06170442884541"/>
    <n v="15.923920705156663"/>
    <n v="220.41354565838213"/>
    <n v="0"/>
    <n v="0"/>
    <n v="130504.76759999999"/>
    <n v="0"/>
    <n v="0"/>
    <n v="182983.57857531265"/>
  </r>
  <r>
    <s v="Regular"/>
    <x v="1"/>
    <x v="2"/>
    <x v="5"/>
    <x v="0"/>
    <x v="0"/>
    <x v="1"/>
    <x v="2"/>
    <x v="3"/>
    <n v="0"/>
    <n v="0"/>
    <n v="0"/>
    <n v="0"/>
    <n v="745.49400000000003"/>
    <n v="745.49400000000003"/>
    <n v="0"/>
    <x v="2"/>
    <n v="7019"/>
    <n v="0"/>
    <n v="0"/>
    <n v="79"/>
    <n v="0"/>
    <n v="0"/>
    <n v="157.19999999999999"/>
    <n v="23.06170442884541"/>
    <n v="15.923920705156663"/>
    <n v="220.41354565838213"/>
    <n v="0"/>
    <n v="0"/>
    <n v="117191.6568"/>
    <n v="0"/>
    <n v="0"/>
    <n v="164316.97580704992"/>
  </r>
  <r>
    <s v="Regular"/>
    <x v="1"/>
    <x v="2"/>
    <x v="5"/>
    <x v="0"/>
    <x v="0"/>
    <x v="1"/>
    <x v="2"/>
    <x v="4"/>
    <n v="0"/>
    <n v="0"/>
    <n v="0"/>
    <n v="0"/>
    <n v="836.30399999999997"/>
    <n v="836.30399999999997"/>
    <n v="0"/>
    <x v="2"/>
    <n v="7019"/>
    <n v="0"/>
    <n v="0"/>
    <n v="79"/>
    <n v="0"/>
    <n v="0"/>
    <n v="157.19999999999999"/>
    <n v="23.06170442884541"/>
    <n v="15.923920705156663"/>
    <n v="220.41354565838213"/>
    <n v="0"/>
    <n v="0"/>
    <n v="131466.98879999999"/>
    <n v="0"/>
    <n v="0"/>
    <n v="184332.72988828761"/>
  </r>
  <r>
    <s v="Regular"/>
    <x v="1"/>
    <x v="2"/>
    <x v="5"/>
    <x v="0"/>
    <x v="0"/>
    <x v="1"/>
    <x v="2"/>
    <x v="5"/>
    <n v="0"/>
    <n v="0"/>
    <n v="0"/>
    <n v="0"/>
    <n v="823.65300000000002"/>
    <n v="823.65300000000002"/>
    <n v="0"/>
    <x v="2"/>
    <n v="7019"/>
    <n v="0"/>
    <n v="0"/>
    <n v="79"/>
    <n v="0"/>
    <n v="0"/>
    <n v="157.19999999999999"/>
    <n v="23.06170442884541"/>
    <n v="15.923920705156663"/>
    <n v="220.41354565838213"/>
    <n v="0"/>
    <n v="0"/>
    <n v="129478.25159999999"/>
    <n v="0"/>
    <n v="0"/>
    <n v="181544.27812216344"/>
  </r>
  <r>
    <s v="Regular"/>
    <x v="1"/>
    <x v="2"/>
    <x v="5"/>
    <x v="0"/>
    <x v="0"/>
    <x v="1"/>
    <x v="2"/>
    <x v="6"/>
    <n v="0"/>
    <n v="0"/>
    <n v="0"/>
    <n v="0"/>
    <n v="839.31100000000004"/>
    <n v="839.31100000000004"/>
    <n v="0"/>
    <x v="2"/>
    <n v="7019"/>
    <n v="0"/>
    <n v="0"/>
    <n v="79"/>
    <n v="0"/>
    <n v="0"/>
    <n v="157.19999999999999"/>
    <n v="23.06170442884541"/>
    <n v="15.923920705156663"/>
    <n v="220.41354565838213"/>
    <n v="0"/>
    <n v="0"/>
    <n v="131939.68919999999"/>
    <n v="0"/>
    <n v="0"/>
    <n v="184995.51342008237"/>
  </r>
  <r>
    <s v="Regular"/>
    <x v="1"/>
    <x v="2"/>
    <x v="5"/>
    <x v="0"/>
    <x v="0"/>
    <x v="1"/>
    <x v="2"/>
    <x v="7"/>
    <n v="0"/>
    <n v="0"/>
    <n v="0"/>
    <n v="0"/>
    <n v="791.92899999999997"/>
    <n v="791.92899999999997"/>
    <n v="0"/>
    <x v="2"/>
    <n v="7019"/>
    <n v="0"/>
    <n v="0"/>
    <n v="79"/>
    <n v="0"/>
    <n v="0"/>
    <n v="157.19999999999999"/>
    <n v="23.06170442884541"/>
    <n v="15.923920705156663"/>
    <n v="220.41354565838213"/>
    <n v="0"/>
    <n v="0"/>
    <n v="124491.23879999999"/>
    <n v="0"/>
    <n v="0"/>
    <n v="174551.87879969689"/>
  </r>
  <r>
    <s v="Regular"/>
    <x v="1"/>
    <x v="2"/>
    <x v="5"/>
    <x v="0"/>
    <x v="0"/>
    <x v="1"/>
    <x v="2"/>
    <x v="8"/>
    <n v="0"/>
    <n v="0"/>
    <n v="0"/>
    <n v="0"/>
    <n v="854.55399999999997"/>
    <n v="854.55399999999997"/>
    <n v="0"/>
    <x v="2"/>
    <n v="7019"/>
    <n v="0"/>
    <n v="0"/>
    <n v="79"/>
    <n v="0"/>
    <n v="0"/>
    <n v="157.19999999999999"/>
    <n v="23.06170442884541"/>
    <n v="15.923920705156663"/>
    <n v="220.41354565838213"/>
    <n v="0"/>
    <n v="0"/>
    <n v="134335.88879999999"/>
    <n v="0"/>
    <n v="0"/>
    <n v="188355.27709655309"/>
  </r>
  <r>
    <s v="Regular"/>
    <x v="1"/>
    <x v="2"/>
    <x v="5"/>
    <x v="0"/>
    <x v="0"/>
    <x v="1"/>
    <x v="2"/>
    <x v="9"/>
    <n v="0"/>
    <n v="0"/>
    <n v="0"/>
    <n v="0"/>
    <n v="871.35400000000004"/>
    <n v="871.35400000000004"/>
    <n v="0"/>
    <x v="2"/>
    <n v="7019"/>
    <n v="0"/>
    <n v="0"/>
    <n v="79"/>
    <n v="0"/>
    <n v="0"/>
    <n v="157.19999999999999"/>
    <n v="23.06170442884541"/>
    <n v="15.923920705156663"/>
    <n v="220.41354565838213"/>
    <n v="0"/>
    <n v="0"/>
    <n v="136976.84880000001"/>
    <n v="0"/>
    <n v="0"/>
    <n v="192058.22466361392"/>
  </r>
  <r>
    <s v="Regular"/>
    <x v="1"/>
    <x v="2"/>
    <x v="5"/>
    <x v="0"/>
    <x v="0"/>
    <x v="1"/>
    <x v="2"/>
    <x v="10"/>
    <n v="0"/>
    <n v="0"/>
    <n v="0"/>
    <n v="0"/>
    <n v="921.48900000000003"/>
    <n v="921.48900000000003"/>
    <n v="0"/>
    <x v="2"/>
    <n v="7019"/>
    <n v="0"/>
    <n v="0"/>
    <n v="79"/>
    <n v="0"/>
    <n v="0"/>
    <n v="157.19999999999999"/>
    <n v="23.06170442884541"/>
    <n v="15.923920705156663"/>
    <n v="220.41354565838213"/>
    <n v="0"/>
    <n v="0"/>
    <n v="144858.07079999999"/>
    <n v="0"/>
    <n v="0"/>
    <n v="203108.65777519689"/>
  </r>
  <r>
    <s v="PROJETADO"/>
    <x v="1"/>
    <x v="2"/>
    <x v="5"/>
    <x v="0"/>
    <x v="0"/>
    <x v="1"/>
    <x v="2"/>
    <x v="11"/>
    <n v="0"/>
    <n v="0"/>
    <n v="0"/>
    <n v="0"/>
    <n v="921.48900000000003"/>
    <n v="921.48900000000003"/>
    <n v="0"/>
    <x v="2"/>
    <n v="7019"/>
    <n v="0"/>
    <n v="0"/>
    <n v="79"/>
    <n v="0"/>
    <n v="0"/>
    <n v="157.19999999999999"/>
    <n v="23.06170442884541"/>
    <n v="15.923920705156663"/>
    <n v="220.41354565838213"/>
    <n v="0"/>
    <n v="0"/>
    <n v="144858.07079999999"/>
    <n v="0"/>
    <n v="0"/>
    <n v="203108.65777519689"/>
  </r>
  <r>
    <s v="Regular"/>
    <x v="1"/>
    <x v="2"/>
    <x v="5"/>
    <x v="0"/>
    <x v="0"/>
    <x v="1"/>
    <x v="1"/>
    <x v="0"/>
    <n v="1523"/>
    <n v="1523"/>
    <n v="73.668000000000006"/>
    <n v="73.668000000000006"/>
    <n v="0"/>
    <n v="0"/>
    <n v="0"/>
    <x v="2"/>
    <n v="7019"/>
    <n v="23"/>
    <n v="25"/>
    <n v="0"/>
    <n v="15.78"/>
    <n v="10.28"/>
    <n v="0"/>
    <n v="18.686277631598585"/>
    <n v="15.923920705156663"/>
    <n v="220.41354565838213"/>
    <n v="24032.94"/>
    <n v="757.30704000000003"/>
    <n v="0"/>
    <n v="28459.200832924646"/>
    <n v="1173.0833905074812"/>
    <n v="0"/>
  </r>
  <r>
    <s v="Regular"/>
    <x v="1"/>
    <x v="2"/>
    <x v="5"/>
    <x v="0"/>
    <x v="0"/>
    <x v="1"/>
    <x v="1"/>
    <x v="1"/>
    <n v="1456"/>
    <n v="1456"/>
    <n v="89.442999999999998"/>
    <n v="89.442999999999998"/>
    <n v="0"/>
    <n v="0"/>
    <n v="0"/>
    <x v="2"/>
    <n v="7019"/>
    <n v="23"/>
    <n v="25"/>
    <n v="0"/>
    <n v="15.78"/>
    <n v="10.28"/>
    <n v="0"/>
    <n v="18.686277631598585"/>
    <n v="15.923920705156663"/>
    <n v="220.41354565838213"/>
    <n v="22975.68"/>
    <n v="919.47403999999995"/>
    <n v="0"/>
    <n v="27207.220231607542"/>
    <n v="1424.2832396313274"/>
    <n v="0"/>
  </r>
  <r>
    <s v="Regular"/>
    <x v="1"/>
    <x v="2"/>
    <x v="5"/>
    <x v="0"/>
    <x v="0"/>
    <x v="1"/>
    <x v="1"/>
    <x v="2"/>
    <n v="1568"/>
    <n v="1568"/>
    <n v="82.863"/>
    <n v="82.863"/>
    <n v="0"/>
    <n v="0"/>
    <n v="0"/>
    <x v="2"/>
    <n v="7019"/>
    <n v="23"/>
    <n v="25"/>
    <n v="0"/>
    <n v="15.78"/>
    <n v="10.28"/>
    <n v="0"/>
    <n v="18.686277631598585"/>
    <n v="15.923920705156663"/>
    <n v="220.41354565838213"/>
    <n v="24743.039999999997"/>
    <n v="851.83163999999999"/>
    <n v="0"/>
    <n v="29300.083326346583"/>
    <n v="1319.5038413913965"/>
    <n v="0"/>
  </r>
  <r>
    <s v="Regular"/>
    <x v="1"/>
    <x v="2"/>
    <x v="5"/>
    <x v="0"/>
    <x v="0"/>
    <x v="1"/>
    <x v="1"/>
    <x v="3"/>
    <n v="1500"/>
    <n v="1500"/>
    <n v="77.391999999999996"/>
    <n v="77.391999999999996"/>
    <n v="0"/>
    <n v="0"/>
    <n v="0"/>
    <x v="2"/>
    <n v="7019"/>
    <n v="23"/>
    <n v="25"/>
    <n v="0"/>
    <n v="15.78"/>
    <n v="10.28"/>
    <n v="0"/>
    <n v="18.686277631598585"/>
    <n v="15.923920705156663"/>
    <n v="220.41354565838213"/>
    <n v="23670"/>
    <n v="795.58975999999996"/>
    <n v="0"/>
    <n v="28029.416447397878"/>
    <n v="1232.3840712134843"/>
    <n v="0"/>
  </r>
  <r>
    <s v="Regular"/>
    <x v="1"/>
    <x v="2"/>
    <x v="5"/>
    <x v="0"/>
    <x v="0"/>
    <x v="1"/>
    <x v="1"/>
    <x v="4"/>
    <n v="1478"/>
    <n v="1478"/>
    <n v="84.554000000000002"/>
    <n v="84.554000000000002"/>
    <n v="0"/>
    <n v="0"/>
    <n v="0"/>
    <x v="2"/>
    <n v="7019"/>
    <n v="23"/>
    <n v="25"/>
    <n v="0"/>
    <n v="15.78"/>
    <n v="10.28"/>
    <n v="0"/>
    <n v="18.686277631598585"/>
    <n v="15.923920705156663"/>
    <n v="220.41354565838213"/>
    <n v="23322.84"/>
    <n v="869.21511999999996"/>
    <n v="0"/>
    <n v="27618.318339502708"/>
    <n v="1346.4311913038164"/>
    <n v="0"/>
  </r>
  <r>
    <s v="Regular"/>
    <x v="1"/>
    <x v="2"/>
    <x v="5"/>
    <x v="0"/>
    <x v="0"/>
    <x v="1"/>
    <x v="1"/>
    <x v="5"/>
    <n v="1612"/>
    <n v="1612"/>
    <n v="76.456000000000003"/>
    <n v="76.456000000000003"/>
    <n v="0"/>
    <n v="0"/>
    <n v="0"/>
    <x v="2"/>
    <n v="7019"/>
    <n v="23"/>
    <n v="25"/>
    <n v="0"/>
    <n v="15.78"/>
    <n v="10.28"/>
    <n v="0"/>
    <n v="18.686277631598585"/>
    <n v="15.923920705156663"/>
    <n v="220.41354565838213"/>
    <n v="25437.360000000001"/>
    <n v="785.96767999999997"/>
    <n v="0"/>
    <n v="30122.279542136919"/>
    <n v="1217.4792814334578"/>
    <n v="0"/>
  </r>
  <r>
    <s v="Regular"/>
    <x v="1"/>
    <x v="2"/>
    <x v="5"/>
    <x v="0"/>
    <x v="0"/>
    <x v="1"/>
    <x v="1"/>
    <x v="6"/>
    <n v="1545"/>
    <n v="1545"/>
    <n v="82.218999999999994"/>
    <n v="82.218999999999994"/>
    <n v="0"/>
    <n v="0"/>
    <n v="0"/>
    <x v="2"/>
    <n v="7019"/>
    <n v="23"/>
    <n v="25"/>
    <n v="0"/>
    <n v="15.78"/>
    <n v="10.28"/>
    <n v="0"/>
    <n v="18.686277631598585"/>
    <n v="15.923920705156663"/>
    <n v="220.41354565838213"/>
    <n v="24380.1"/>
    <n v="845.21131999999989"/>
    <n v="0"/>
    <n v="28870.298940819815"/>
    <n v="1309.2488364572755"/>
    <n v="0"/>
  </r>
  <r>
    <s v="Regular"/>
    <x v="1"/>
    <x v="2"/>
    <x v="5"/>
    <x v="0"/>
    <x v="0"/>
    <x v="1"/>
    <x v="1"/>
    <x v="7"/>
    <n v="1456"/>
    <n v="1456"/>
    <n v="80.040000000000006"/>
    <n v="80.040000000000006"/>
    <n v="0"/>
    <n v="0"/>
    <n v="0"/>
    <x v="2"/>
    <n v="7019"/>
    <n v="23"/>
    <n v="25"/>
    <n v="0"/>
    <n v="15.78"/>
    <n v="10.28"/>
    <n v="0"/>
    <n v="18.686277631598585"/>
    <n v="15.923920705156663"/>
    <n v="220.41354565838213"/>
    <n v="22975.68"/>
    <n v="822.81119999999999"/>
    <n v="0"/>
    <n v="27207.220231607542"/>
    <n v="1274.5506132407395"/>
    <n v="0"/>
  </r>
  <r>
    <s v="Regular"/>
    <x v="1"/>
    <x v="2"/>
    <x v="5"/>
    <x v="0"/>
    <x v="0"/>
    <x v="1"/>
    <x v="1"/>
    <x v="8"/>
    <n v="1545"/>
    <n v="1545"/>
    <n v="88.126999999999995"/>
    <n v="88.126999999999995"/>
    <n v="0"/>
    <n v="0"/>
    <n v="0"/>
    <x v="2"/>
    <n v="7019"/>
    <n v="23"/>
    <n v="25"/>
    <n v="0"/>
    <n v="15.78"/>
    <n v="10.28"/>
    <n v="0"/>
    <n v="18.686277631598585"/>
    <n v="15.923920705156663"/>
    <n v="220.41354565838213"/>
    <n v="24380.1"/>
    <n v="905.94555999999989"/>
    <n v="0"/>
    <n v="28870.298940819815"/>
    <n v="1403.3273599833412"/>
    <n v="0"/>
  </r>
  <r>
    <s v="Regular"/>
    <x v="1"/>
    <x v="2"/>
    <x v="5"/>
    <x v="0"/>
    <x v="0"/>
    <x v="1"/>
    <x v="1"/>
    <x v="9"/>
    <n v="1646"/>
    <n v="1646"/>
    <n v="95.625"/>
    <n v="95.625"/>
    <n v="0"/>
    <n v="0"/>
    <n v="0"/>
    <x v="2"/>
    <n v="7019"/>
    <n v="23"/>
    <n v="25"/>
    <n v="0"/>
    <n v="15.78"/>
    <n v="10.28"/>
    <n v="0"/>
    <n v="18.686277631598585"/>
    <n v="15.923920705156663"/>
    <n v="220.41354565838213"/>
    <n v="25973.879999999997"/>
    <n v="983.02499999999998"/>
    <n v="0"/>
    <n v="30757.612981611273"/>
    <n v="1522.724917430606"/>
    <n v="0"/>
  </r>
  <r>
    <s v="Regular"/>
    <x v="1"/>
    <x v="2"/>
    <x v="5"/>
    <x v="0"/>
    <x v="0"/>
    <x v="1"/>
    <x v="1"/>
    <x v="10"/>
    <n v="1825"/>
    <n v="1825"/>
    <n v="93.472999999999999"/>
    <n v="93.472999999999999"/>
    <n v="0"/>
    <n v="0"/>
    <n v="0"/>
    <x v="2"/>
    <n v="7019"/>
    <n v="23"/>
    <n v="25"/>
    <n v="0"/>
    <n v="15.78"/>
    <n v="10.28"/>
    <n v="0"/>
    <n v="18.686277631598585"/>
    <n v="15.923920705156663"/>
    <n v="220.41354565838213"/>
    <n v="28798.5"/>
    <n v="960.90243999999996"/>
    <n v="0"/>
    <n v="34102.456677667418"/>
    <n v="1488.4566400731087"/>
    <n v="0"/>
  </r>
  <r>
    <s v="PROJETADO"/>
    <x v="1"/>
    <x v="2"/>
    <x v="5"/>
    <x v="0"/>
    <x v="0"/>
    <x v="1"/>
    <x v="1"/>
    <x v="11"/>
    <n v="1825"/>
    <n v="1825"/>
    <n v="93.472999999999999"/>
    <n v="93.472999999999999"/>
    <n v="0"/>
    <n v="0"/>
    <n v="0"/>
    <x v="2"/>
    <n v="7019"/>
    <n v="23"/>
    <n v="25"/>
    <n v="0"/>
    <n v="15.78"/>
    <n v="10.28"/>
    <n v="0"/>
    <n v="18.686277631598585"/>
    <n v="15.923920705156663"/>
    <n v="220.41354565838213"/>
    <n v="28798.5"/>
    <n v="960.90243999999996"/>
    <n v="0"/>
    <n v="34102.456677667418"/>
    <n v="1488.4566400731087"/>
    <n v="0"/>
  </r>
  <r>
    <s v="Regular"/>
    <x v="1"/>
    <x v="1"/>
    <x v="0"/>
    <x v="0"/>
    <x v="0"/>
    <x v="0"/>
    <x v="0"/>
    <x v="0"/>
    <n v="0"/>
    <n v="0"/>
    <n v="3464.0770000000002"/>
    <n v="3464.0770000000002"/>
    <n v="3464.0770000000002"/>
    <n v="3464.0770000000002"/>
    <n v="0"/>
    <x v="0"/>
    <n v="0"/>
    <n v="0"/>
    <n v="29"/>
    <n v="75"/>
    <n v="0"/>
    <n v="84.31"/>
    <n v="168.06"/>
    <m/>
    <n v="113.43802162385306"/>
    <n v="218.7322873480222"/>
    <n v="0"/>
    <n v="292056.33187000005"/>
    <n v="582172.78062000009"/>
    <n v="0"/>
    <n v="392958.04163269204"/>
    <n v="757705.48575967469"/>
  </r>
  <r>
    <s v="Refaturamento - Regular"/>
    <x v="1"/>
    <x v="1"/>
    <x v="0"/>
    <x v="0"/>
    <x v="0"/>
    <x v="0"/>
    <x v="0"/>
    <x v="0"/>
    <n v="0"/>
    <n v="0"/>
    <n v="-128.5"/>
    <n v="-128.5"/>
    <n v="-128.5"/>
    <n v="-128.5"/>
    <n v="0"/>
    <x v="0"/>
    <n v="0"/>
    <n v="0"/>
    <n v="29"/>
    <n v="75"/>
    <n v="0"/>
    <n v="84.31"/>
    <n v="168.06"/>
    <m/>
    <n v="113.43802162385306"/>
    <n v="218.7322873480222"/>
    <n v="0"/>
    <n v="-10833.835000000001"/>
    <n v="-21595.71"/>
    <n v="0"/>
    <n v="-14576.785778665118"/>
    <n v="-28107.098924220852"/>
  </r>
  <r>
    <s v="Sistema Isolado - Regular"/>
    <x v="1"/>
    <x v="1"/>
    <x v="0"/>
    <x v="0"/>
    <x v="0"/>
    <x v="0"/>
    <x v="0"/>
    <x v="0"/>
    <n v="0"/>
    <n v="0"/>
    <n v="694.93299999999999"/>
    <n v="694.93299999999999"/>
    <n v="694.93299999999999"/>
    <n v="694.93299999999999"/>
    <n v="0"/>
    <x v="0"/>
    <n v="0"/>
    <n v="0"/>
    <n v="29"/>
    <n v="75"/>
    <n v="0"/>
    <n v="84.31"/>
    <n v="168.06"/>
    <m/>
    <n v="113.43802162385306"/>
    <n v="218.7322873480222"/>
    <n v="0"/>
    <n v="58589.801230000005"/>
    <n v="116790.43998"/>
    <n v="0"/>
    <n v="78831.824681129074"/>
    <n v="152004.2846436231"/>
  </r>
  <r>
    <s v="Sistema Isolado - Refaturamento"/>
    <x v="1"/>
    <x v="1"/>
    <x v="0"/>
    <x v="0"/>
    <x v="0"/>
    <x v="0"/>
    <x v="0"/>
    <x v="0"/>
    <n v="0"/>
    <n v="0"/>
    <n v="-7.3639999999999999"/>
    <n v="-7.3639999999999999"/>
    <n v="-7.3639999999999999"/>
    <n v="-7.3639999999999999"/>
    <n v="0"/>
    <x v="0"/>
    <n v="0"/>
    <n v="0"/>
    <n v="29"/>
    <n v="75"/>
    <n v="0"/>
    <n v="84.31"/>
    <n v="168.06"/>
    <m/>
    <n v="113.43802162385306"/>
    <n v="218.7322873480222"/>
    <n v="0"/>
    <n v="-620.85883999999999"/>
    <n v="-1237.59384"/>
    <n v="0"/>
    <n v="-835.35759123805394"/>
    <n v="-1610.7445640308354"/>
  </r>
  <r>
    <s v="Sistema de Compensação"/>
    <x v="1"/>
    <x v="1"/>
    <x v="0"/>
    <x v="0"/>
    <x v="0"/>
    <x v="0"/>
    <x v="0"/>
    <x v="0"/>
    <n v="0"/>
    <n v="0"/>
    <n v="397.14600000000002"/>
    <n v="397.14600000000002"/>
    <n v="397.14600000000002"/>
    <n v="397.14600000000002"/>
    <n v="0"/>
    <x v="0"/>
    <n v="0"/>
    <n v="0"/>
    <n v="29"/>
    <n v="75"/>
    <n v="0"/>
    <n v="84.31"/>
    <n v="168.06"/>
    <m/>
    <n v="113.43802162385306"/>
    <n v="218.7322873480222"/>
    <n v="0"/>
    <n v="33483.379260000002"/>
    <n v="66744.35676000001"/>
    <n v="0"/>
    <n v="45051.45653582675"/>
    <n v="86868.652991117633"/>
  </r>
  <r>
    <s v="Regular"/>
    <x v="1"/>
    <x v="1"/>
    <x v="0"/>
    <x v="0"/>
    <x v="0"/>
    <x v="0"/>
    <x v="0"/>
    <x v="1"/>
    <n v="0"/>
    <n v="0"/>
    <n v="3297.8809999999999"/>
    <n v="3297.8809999999999"/>
    <n v="3297.8809999999999"/>
    <n v="3297.8809999999999"/>
    <n v="0"/>
    <x v="0"/>
    <n v="0"/>
    <n v="0"/>
    <n v="29"/>
    <n v="75"/>
    <n v="0"/>
    <n v="84.31"/>
    <n v="168.06"/>
    <m/>
    <n v="113.43802162385306"/>
    <n v="218.7322873480222"/>
    <n v="0"/>
    <n v="278044.34710999997"/>
    <n v="554241.88086000003"/>
    <n v="0"/>
    <n v="374105.09619089414"/>
    <n v="721353.05453158275"/>
  </r>
  <r>
    <s v="Refaturamento - Regular"/>
    <x v="1"/>
    <x v="1"/>
    <x v="0"/>
    <x v="0"/>
    <x v="0"/>
    <x v="0"/>
    <x v="0"/>
    <x v="1"/>
    <n v="0"/>
    <n v="0"/>
    <n v="-33.488999999999997"/>
    <n v="-33.488999999999997"/>
    <n v="-33.488999999999997"/>
    <n v="-33.488999999999997"/>
    <n v="0"/>
    <x v="0"/>
    <n v="0"/>
    <n v="0"/>
    <n v="29"/>
    <n v="75"/>
    <n v="0"/>
    <n v="84.31"/>
    <n v="168.06"/>
    <m/>
    <n v="113.43802162385306"/>
    <n v="218.7322873480222"/>
    <n v="0"/>
    <n v="-2823.45759"/>
    <n v="-5628.1613399999997"/>
    <n v="0"/>
    <n v="-3798.9259061612147"/>
    <n v="-7325.125570997915"/>
  </r>
  <r>
    <s v="Sistema Isolado - Regular"/>
    <x v="1"/>
    <x v="1"/>
    <x v="0"/>
    <x v="0"/>
    <x v="0"/>
    <x v="0"/>
    <x v="0"/>
    <x v="1"/>
    <n v="0"/>
    <n v="0"/>
    <n v="695.87900000000002"/>
    <n v="695.87900000000002"/>
    <n v="695.87900000000002"/>
    <n v="695.87900000000002"/>
    <n v="0"/>
    <x v="0"/>
    <n v="0"/>
    <n v="0"/>
    <n v="29"/>
    <n v="75"/>
    <n v="0"/>
    <n v="84.31"/>
    <n v="168.06"/>
    <m/>
    <n v="113.43802162385306"/>
    <n v="218.7322873480222"/>
    <n v="0"/>
    <n v="58669.558490000003"/>
    <n v="116949.42474"/>
    <n v="0"/>
    <n v="78939.137049585246"/>
    <n v="152211.20538745433"/>
  </r>
  <r>
    <s v="Sistema de Compensação"/>
    <x v="1"/>
    <x v="1"/>
    <x v="0"/>
    <x v="0"/>
    <x v="0"/>
    <x v="0"/>
    <x v="0"/>
    <x v="1"/>
    <n v="0"/>
    <n v="0"/>
    <n v="360.56900000000002"/>
    <n v="360.56900000000002"/>
    <n v="360.56900000000002"/>
    <n v="360.56900000000002"/>
    <n v="0"/>
    <x v="0"/>
    <n v="0"/>
    <n v="0"/>
    <n v="29"/>
    <n v="75"/>
    <n v="0"/>
    <n v="84.31"/>
    <n v="168.06"/>
    <m/>
    <n v="113.43802162385306"/>
    <n v="218.7322873480222"/>
    <n v="0"/>
    <n v="30399.572390000001"/>
    <n v="60597.226140000006"/>
    <n v="0"/>
    <n v="40902.234018891075"/>
    <n v="78868.082116789024"/>
  </r>
  <r>
    <s v="Sistema de Compensação"/>
    <x v="1"/>
    <x v="1"/>
    <x v="0"/>
    <x v="0"/>
    <x v="0"/>
    <x v="0"/>
    <x v="0"/>
    <x v="1"/>
    <n v="0"/>
    <n v="0"/>
    <n v="-38.402000000000001"/>
    <n v="-38.402000000000001"/>
    <n v="-38.402000000000001"/>
    <n v="-38.402000000000001"/>
    <n v="0"/>
    <x v="0"/>
    <n v="0"/>
    <n v="0"/>
    <n v="29"/>
    <n v="75"/>
    <n v="0"/>
    <n v="84.31"/>
    <n v="168.06"/>
    <m/>
    <n v="113.43802162385306"/>
    <n v="218.7322873480222"/>
    <n v="0"/>
    <n v="-3237.6726200000003"/>
    <n v="-6453.8401199999998"/>
    <n v="0"/>
    <n v="-4356.2469063992057"/>
    <n v="-8399.7572987387484"/>
  </r>
  <r>
    <s v="Regular"/>
    <x v="1"/>
    <x v="1"/>
    <x v="0"/>
    <x v="0"/>
    <x v="0"/>
    <x v="0"/>
    <x v="0"/>
    <x v="2"/>
    <n v="0"/>
    <n v="0"/>
    <n v="3116.89"/>
    <n v="3116.89"/>
    <n v="3116.89"/>
    <n v="3116.89"/>
    <n v="0"/>
    <x v="0"/>
    <n v="0"/>
    <n v="0"/>
    <n v="29"/>
    <n v="75"/>
    <n v="0"/>
    <n v="84.31"/>
    <n v="168.06"/>
    <m/>
    <n v="113.43802162385306"/>
    <n v="218.7322873480222"/>
    <n v="0"/>
    <n v="262784.99589999998"/>
    <n v="523824.53339999996"/>
    <n v="0"/>
    <n v="353573.83521917136"/>
    <n v="681764.47911217692"/>
  </r>
  <r>
    <s v="Refaturamento - Regular"/>
    <x v="1"/>
    <x v="1"/>
    <x v="0"/>
    <x v="0"/>
    <x v="0"/>
    <x v="0"/>
    <x v="0"/>
    <x v="2"/>
    <n v="0"/>
    <n v="0"/>
    <n v="-109.733"/>
    <n v="-109.733"/>
    <n v="-109.733"/>
    <n v="-109.733"/>
    <n v="0"/>
    <x v="0"/>
    <n v="0"/>
    <n v="0"/>
    <n v="29"/>
    <n v="75"/>
    <n v="0"/>
    <n v="84.31"/>
    <n v="168.06"/>
    <m/>
    <n v="113.43802162385306"/>
    <n v="218.7322873480222"/>
    <n v="0"/>
    <n v="-9251.5892300000014"/>
    <n v="-18441.72798"/>
    <n v="0"/>
    <n v="-12447.894426850269"/>
    <n v="-24002.15008756052"/>
  </r>
  <r>
    <s v="Sistema Isolado - Regular"/>
    <x v="1"/>
    <x v="1"/>
    <x v="0"/>
    <x v="0"/>
    <x v="0"/>
    <x v="0"/>
    <x v="0"/>
    <x v="2"/>
    <n v="0"/>
    <n v="0"/>
    <n v="685.91800000000001"/>
    <n v="685.91800000000001"/>
    <n v="685.91800000000001"/>
    <n v="685.91800000000001"/>
    <n v="0"/>
    <x v="0"/>
    <n v="0"/>
    <n v="0"/>
    <n v="29"/>
    <n v="75"/>
    <n v="0"/>
    <n v="84.31"/>
    <n v="168.06"/>
    <m/>
    <n v="113.43802162385306"/>
    <n v="218.7322873480222"/>
    <n v="0"/>
    <n v="57829.746579999999"/>
    <n v="115275.37908"/>
    <n v="0"/>
    <n v="77809.180916190046"/>
    <n v="150032.41307318068"/>
  </r>
  <r>
    <s v="Sistema de Compensação"/>
    <x v="1"/>
    <x v="1"/>
    <x v="0"/>
    <x v="0"/>
    <x v="0"/>
    <x v="0"/>
    <x v="0"/>
    <x v="2"/>
    <n v="0"/>
    <n v="0"/>
    <n v="307.45100000000002"/>
    <n v="307.45100000000002"/>
    <n v="307.45100000000002"/>
    <n v="307.45100000000002"/>
    <n v="0"/>
    <x v="0"/>
    <n v="0"/>
    <n v="0"/>
    <n v="29"/>
    <n v="75"/>
    <n v="0"/>
    <n v="84.31"/>
    <n v="168.06"/>
    <m/>
    <n v="113.43802162385306"/>
    <n v="218.7322873480222"/>
    <n v="0"/>
    <n v="25921.193810000004"/>
    <n v="51670.215060000002"/>
    <n v="0"/>
    <n v="34876.633186275249"/>
    <n v="67249.460477436776"/>
  </r>
  <r>
    <s v="Regular"/>
    <x v="1"/>
    <x v="1"/>
    <x v="0"/>
    <x v="0"/>
    <x v="0"/>
    <x v="0"/>
    <x v="0"/>
    <x v="3"/>
    <n v="0"/>
    <n v="0"/>
    <n v="3264.547"/>
    <n v="3264.547"/>
    <n v="3264.547"/>
    <n v="3264.547"/>
    <n v="0"/>
    <x v="0"/>
    <n v="0"/>
    <n v="0"/>
    <n v="29"/>
    <n v="75"/>
    <n v="0"/>
    <n v="84.31"/>
    <n v="168.06"/>
    <m/>
    <n v="113.43802162385306"/>
    <n v="218.7322873480222"/>
    <n v="0"/>
    <n v="275233.95757000003"/>
    <n v="548639.76882"/>
    <n v="0"/>
    <n v="370323.75317808462"/>
    <n v="714061.83246512385"/>
  </r>
  <r>
    <s v="Sistema Isolado - Regular"/>
    <x v="1"/>
    <x v="1"/>
    <x v="0"/>
    <x v="0"/>
    <x v="0"/>
    <x v="0"/>
    <x v="0"/>
    <x v="3"/>
    <n v="0"/>
    <n v="0"/>
    <n v="681.53599999999994"/>
    <n v="681.53599999999994"/>
    <n v="681.53599999999994"/>
    <n v="681.53599999999994"/>
    <n v="0"/>
    <x v="0"/>
    <n v="0"/>
    <n v="0"/>
    <n v="29"/>
    <n v="75"/>
    <n v="0"/>
    <n v="84.31"/>
    <n v="168.06"/>
    <m/>
    <n v="113.43802162385306"/>
    <n v="218.7322873480222"/>
    <n v="0"/>
    <n v="57460.300159999999"/>
    <n v="114538.94016"/>
    <n v="0"/>
    <n v="77312.095505434307"/>
    <n v="149073.92819002163"/>
  </r>
  <r>
    <s v="Sistema de Compensação"/>
    <x v="1"/>
    <x v="1"/>
    <x v="0"/>
    <x v="0"/>
    <x v="0"/>
    <x v="0"/>
    <x v="0"/>
    <x v="3"/>
    <n v="0"/>
    <n v="0"/>
    <n v="346.13600000000002"/>
    <n v="346.13600000000002"/>
    <n v="346.13600000000002"/>
    <n v="346.13600000000002"/>
    <n v="0"/>
    <x v="0"/>
    <n v="0"/>
    <n v="0"/>
    <n v="29"/>
    <n v="75"/>
    <n v="0"/>
    <n v="84.31"/>
    <n v="168.06"/>
    <m/>
    <n v="113.43802162385306"/>
    <n v="218.7322873480222"/>
    <n v="0"/>
    <n v="29182.726160000002"/>
    <n v="58171.616160000005"/>
    <n v="0"/>
    <n v="39264.983052794007"/>
    <n v="75711.119013495016"/>
  </r>
  <r>
    <s v="Regular"/>
    <x v="1"/>
    <x v="1"/>
    <x v="0"/>
    <x v="0"/>
    <x v="0"/>
    <x v="0"/>
    <x v="0"/>
    <x v="4"/>
    <n v="0"/>
    <n v="0"/>
    <n v="3286.317"/>
    <n v="3286.317"/>
    <n v="3286.317"/>
    <n v="3286.317"/>
    <n v="0"/>
    <x v="0"/>
    <n v="0"/>
    <n v="0"/>
    <n v="29"/>
    <n v="75"/>
    <n v="0"/>
    <n v="84.31"/>
    <n v="168.06"/>
    <m/>
    <n v="113.43802162385306"/>
    <n v="218.7322873480222"/>
    <n v="0"/>
    <n v="277069.38627000002"/>
    <n v="552298.43501999998"/>
    <n v="0"/>
    <n v="372793.29890883592"/>
    <n v="718823.63436069025"/>
  </r>
  <r>
    <s v="Sistema Isolado - Regular"/>
    <x v="1"/>
    <x v="1"/>
    <x v="0"/>
    <x v="0"/>
    <x v="0"/>
    <x v="0"/>
    <x v="0"/>
    <x v="4"/>
    <n v="0"/>
    <n v="0"/>
    <n v="691.16600000000005"/>
    <n v="691.16600000000005"/>
    <n v="691.16600000000005"/>
    <n v="691.16600000000005"/>
    <n v="0"/>
    <x v="0"/>
    <n v="0"/>
    <n v="0"/>
    <n v="29"/>
    <n v="75"/>
    <n v="0"/>
    <n v="84.31"/>
    <n v="168.06"/>
    <m/>
    <n v="113.43802162385306"/>
    <n v="218.7322873480222"/>
    <n v="0"/>
    <n v="58272.205460000005"/>
    <n v="116157.35796000001"/>
    <n v="0"/>
    <n v="78404.503653672029"/>
    <n v="151180.32011718312"/>
  </r>
  <r>
    <s v="Sistema de Compensação"/>
    <x v="1"/>
    <x v="1"/>
    <x v="0"/>
    <x v="0"/>
    <x v="0"/>
    <x v="0"/>
    <x v="0"/>
    <x v="4"/>
    <n v="0"/>
    <n v="0"/>
    <n v="369.37299999999999"/>
    <n v="369.37299999999999"/>
    <n v="369.37299999999999"/>
    <n v="369.37299999999999"/>
    <n v="0"/>
    <x v="0"/>
    <n v="0"/>
    <n v="0"/>
    <n v="29"/>
    <n v="75"/>
    <n v="0"/>
    <n v="84.31"/>
    <n v="168.06"/>
    <m/>
    <n v="113.43802162385306"/>
    <n v="218.7322873480222"/>
    <n v="0"/>
    <n v="31141.837630000002"/>
    <n v="62076.826379999999"/>
    <n v="0"/>
    <n v="41900.942361267473"/>
    <n v="80793.801174601002"/>
  </r>
  <r>
    <s v="Regular"/>
    <x v="1"/>
    <x v="1"/>
    <x v="0"/>
    <x v="0"/>
    <x v="0"/>
    <x v="0"/>
    <x v="0"/>
    <x v="5"/>
    <n v="0"/>
    <n v="0"/>
    <n v="3408.596"/>
    <n v="3408.596"/>
    <n v="3408.596"/>
    <n v="3408.596"/>
    <n v="0"/>
    <x v="0"/>
    <n v="0"/>
    <n v="0"/>
    <n v="29"/>
    <n v="75"/>
    <n v="0"/>
    <n v="84.31"/>
    <n v="168.06"/>
    <m/>
    <n v="113.43802162385306"/>
    <n v="218.7322873480222"/>
    <n v="0"/>
    <n v="287378.72876000003"/>
    <n v="572848.64376000001"/>
    <n v="0"/>
    <n v="386664.38675497903"/>
    <n v="745569.9997253191"/>
  </r>
  <r>
    <s v="Sistema Isolado - Regular"/>
    <x v="1"/>
    <x v="1"/>
    <x v="0"/>
    <x v="0"/>
    <x v="0"/>
    <x v="0"/>
    <x v="0"/>
    <x v="5"/>
    <n v="0"/>
    <n v="0"/>
    <n v="682.36400000000003"/>
    <n v="682.36400000000003"/>
    <n v="682.36400000000003"/>
    <n v="682.36400000000003"/>
    <n v="0"/>
    <x v="0"/>
    <n v="0"/>
    <n v="0"/>
    <n v="29"/>
    <n v="75"/>
    <n v="0"/>
    <n v="84.31"/>
    <n v="168.06"/>
    <m/>
    <n v="113.43802162385306"/>
    <n v="218.7322873480222"/>
    <n v="0"/>
    <n v="57530.108840000001"/>
    <n v="114678.09384"/>
    <n v="0"/>
    <n v="77406.02218733888"/>
    <n v="149255.03852394581"/>
  </r>
  <r>
    <s v="Sistema de Compensação"/>
    <x v="1"/>
    <x v="1"/>
    <x v="0"/>
    <x v="0"/>
    <x v="0"/>
    <x v="0"/>
    <x v="0"/>
    <x v="5"/>
    <n v="0"/>
    <n v="0"/>
    <n v="364.25900000000001"/>
    <n v="364.25900000000001"/>
    <n v="364.25900000000001"/>
    <n v="364.25900000000001"/>
    <n v="0"/>
    <x v="0"/>
    <n v="0"/>
    <n v="0"/>
    <n v="29"/>
    <n v="75"/>
    <n v="0"/>
    <n v="84.31"/>
    <n v="168.06"/>
    <m/>
    <n v="113.43802162385306"/>
    <n v="218.7322873480222"/>
    <n v="0"/>
    <n v="30710.676290000003"/>
    <n v="61217.367540000007"/>
    <n v="0"/>
    <n v="41320.820318683094"/>
    <n v="79675.204257103222"/>
  </r>
  <r>
    <s v="Regular"/>
    <x v="1"/>
    <x v="1"/>
    <x v="0"/>
    <x v="0"/>
    <x v="0"/>
    <x v="0"/>
    <x v="0"/>
    <x v="6"/>
    <n v="0"/>
    <n v="0"/>
    <n v="3207.3"/>
    <n v="3207.3"/>
    <n v="3207.3"/>
    <n v="3207.3"/>
    <n v="0"/>
    <x v="0"/>
    <n v="0"/>
    <n v="0"/>
    <n v="29"/>
    <n v="75"/>
    <n v="0"/>
    <n v="84.31"/>
    <n v="168.06"/>
    <m/>
    <n v="113.43802162385306"/>
    <n v="218.7322873480222"/>
    <n v="0"/>
    <n v="270407.46300000005"/>
    <n v="539018.83799999999"/>
    <n v="0"/>
    <n v="363829.76675418392"/>
    <n v="701540.06521131168"/>
  </r>
  <r>
    <s v="Refaturamento - Regular"/>
    <x v="1"/>
    <x v="1"/>
    <x v="0"/>
    <x v="0"/>
    <x v="0"/>
    <x v="0"/>
    <x v="0"/>
    <x v="6"/>
    <n v="0"/>
    <n v="0"/>
    <n v="2.0979999999999999"/>
    <n v="2.0979999999999999"/>
    <n v="2.0979999999999999"/>
    <n v="2.0979999999999999"/>
    <n v="0"/>
    <x v="0"/>
    <n v="0"/>
    <n v="0"/>
    <n v="29"/>
    <n v="75"/>
    <n v="0"/>
    <n v="84.31"/>
    <n v="168.06"/>
    <m/>
    <n v="113.43802162385306"/>
    <n v="218.7322873480222"/>
    <n v="0"/>
    <n v="176.88237999999998"/>
    <n v="352.58987999999999"/>
    <n v="0"/>
    <n v="237.99296936684371"/>
    <n v="458.90033885615054"/>
  </r>
  <r>
    <s v="Sistema Isolado - Regular"/>
    <x v="1"/>
    <x v="1"/>
    <x v="0"/>
    <x v="0"/>
    <x v="0"/>
    <x v="0"/>
    <x v="0"/>
    <x v="6"/>
    <n v="0"/>
    <n v="0"/>
    <n v="666.48500000000001"/>
    <n v="666.48500000000001"/>
    <n v="666.48500000000001"/>
    <n v="666.48500000000001"/>
    <n v="0"/>
    <x v="0"/>
    <n v="0"/>
    <n v="0"/>
    <n v="29"/>
    <n v="75"/>
    <n v="0"/>
    <n v="84.31"/>
    <n v="168.06"/>
    <m/>
    <n v="113.43802162385306"/>
    <n v="218.7322873480222"/>
    <n v="0"/>
    <n v="56191.350350000001"/>
    <n v="112009.4691"/>
    <n v="0"/>
    <n v="75604.739841973715"/>
    <n v="145781.78853314658"/>
  </r>
  <r>
    <s v="Sistema de Compensação"/>
    <x v="1"/>
    <x v="1"/>
    <x v="0"/>
    <x v="0"/>
    <x v="0"/>
    <x v="0"/>
    <x v="0"/>
    <x v="6"/>
    <n v="0"/>
    <n v="0"/>
    <n v="395.92"/>
    <n v="395.92"/>
    <n v="395.92"/>
    <n v="395.92"/>
    <n v="0"/>
    <x v="0"/>
    <n v="0"/>
    <n v="0"/>
    <n v="29"/>
    <n v="75"/>
    <n v="0"/>
    <n v="84.31"/>
    <n v="168.06"/>
    <m/>
    <n v="113.43802162385306"/>
    <n v="218.7322873480222"/>
    <n v="0"/>
    <n v="33380.015200000002"/>
    <n v="66538.315199999997"/>
    <n v="0"/>
    <n v="44912.381521315903"/>
    <n v="86600.487206828955"/>
  </r>
  <r>
    <s v="Sistema de Compensação"/>
    <x v="1"/>
    <x v="1"/>
    <x v="0"/>
    <x v="0"/>
    <x v="0"/>
    <x v="0"/>
    <x v="0"/>
    <x v="6"/>
    <n v="0"/>
    <n v="0"/>
    <n v="-5.98"/>
    <n v="-5.98"/>
    <n v="-5.98"/>
    <n v="-5.98"/>
    <n v="0"/>
    <x v="0"/>
    <n v="0"/>
    <n v="0"/>
    <n v="29"/>
    <n v="75"/>
    <n v="0"/>
    <n v="84.31"/>
    <n v="168.06"/>
    <m/>
    <n v="113.43802162385306"/>
    <n v="218.7322873480222"/>
    <n v="0"/>
    <n v="-504.17380000000003"/>
    <n v="-1004.9988000000001"/>
    <n v="0"/>
    <n v="-678.35936931064134"/>
    <n v="-1308.0190783411729"/>
  </r>
  <r>
    <s v="Regular"/>
    <x v="1"/>
    <x v="1"/>
    <x v="0"/>
    <x v="0"/>
    <x v="0"/>
    <x v="0"/>
    <x v="0"/>
    <x v="7"/>
    <n v="0"/>
    <n v="0"/>
    <n v="3277.6729999999998"/>
    <n v="3277.6729999999998"/>
    <n v="3277.6729999999998"/>
    <n v="3277.6729999999998"/>
    <n v="0"/>
    <x v="0"/>
    <n v="0"/>
    <n v="0"/>
    <n v="29"/>
    <n v="75"/>
    <n v="0"/>
    <n v="84.31"/>
    <n v="168.06"/>
    <m/>
    <n v="113.43802162385306"/>
    <n v="218.7322873480222"/>
    <n v="0"/>
    <n v="276340.61063000001"/>
    <n v="550845.72437999991"/>
    <n v="0"/>
    <n v="371812.74064991932"/>
    <n v="716932.91246885387"/>
  </r>
  <r>
    <s v="Sistema Isolado - Regular"/>
    <x v="1"/>
    <x v="1"/>
    <x v="0"/>
    <x v="0"/>
    <x v="0"/>
    <x v="0"/>
    <x v="0"/>
    <x v="7"/>
    <n v="0"/>
    <n v="0"/>
    <n v="685.38599999999997"/>
    <n v="685.38599999999997"/>
    <n v="685.38599999999997"/>
    <n v="685.38599999999997"/>
    <n v="0"/>
    <x v="0"/>
    <n v="0"/>
    <n v="0"/>
    <n v="29"/>
    <n v="75"/>
    <n v="0"/>
    <n v="84.31"/>
    <n v="168.06"/>
    <m/>
    <n v="113.43802162385306"/>
    <n v="218.7322873480222"/>
    <n v="0"/>
    <n v="57784.893660000002"/>
    <n v="115185.97116"/>
    <n v="0"/>
    <n v="77748.831888686153"/>
    <n v="149916.04749631154"/>
  </r>
  <r>
    <s v="Sistema de Compensação"/>
    <x v="1"/>
    <x v="1"/>
    <x v="0"/>
    <x v="0"/>
    <x v="0"/>
    <x v="0"/>
    <x v="0"/>
    <x v="7"/>
    <n v="0"/>
    <n v="0"/>
    <n v="396.596"/>
    <n v="396.596"/>
    <n v="396.596"/>
    <n v="396.596"/>
    <n v="0"/>
    <x v="0"/>
    <n v="0"/>
    <n v="0"/>
    <n v="29"/>
    <n v="75"/>
    <n v="0"/>
    <n v="84.31"/>
    <n v="168.06"/>
    <m/>
    <n v="113.43802162385306"/>
    <n v="218.7322873480222"/>
    <n v="0"/>
    <n v="33437.008760000004"/>
    <n v="66651.923760000005"/>
    <n v="0"/>
    <n v="44989.065623933631"/>
    <n v="86748.350233076213"/>
  </r>
  <r>
    <s v="Regular"/>
    <x v="1"/>
    <x v="1"/>
    <x v="0"/>
    <x v="0"/>
    <x v="0"/>
    <x v="0"/>
    <x v="0"/>
    <x v="8"/>
    <n v="0"/>
    <n v="0"/>
    <n v="3409.4119999999998"/>
    <n v="3409.4119999999998"/>
    <n v="3409.4119999999998"/>
    <n v="3409.4119999999998"/>
    <n v="0"/>
    <x v="0"/>
    <n v="0"/>
    <n v="0"/>
    <n v="29"/>
    <n v="75"/>
    <n v="0"/>
    <n v="84.31"/>
    <n v="168.06"/>
    <m/>
    <n v="113.43802162385306"/>
    <n v="218.7322873480222"/>
    <n v="0"/>
    <n v="287447.52571999998"/>
    <n v="572985.78071999992"/>
    <n v="0"/>
    <n v="386756.95218062407"/>
    <n v="745748.48527179507"/>
  </r>
  <r>
    <s v="Sistema Isolado - Regular"/>
    <x v="1"/>
    <x v="1"/>
    <x v="0"/>
    <x v="0"/>
    <x v="0"/>
    <x v="0"/>
    <x v="0"/>
    <x v="8"/>
    <n v="0"/>
    <n v="0"/>
    <n v="706.22699999999998"/>
    <n v="706.22699999999998"/>
    <n v="706.22699999999998"/>
    <n v="706.22699999999998"/>
    <n v="0"/>
    <x v="0"/>
    <n v="0"/>
    <n v="0"/>
    <n v="29"/>
    <n v="75"/>
    <n v="0"/>
    <n v="84.31"/>
    <n v="168.06"/>
    <m/>
    <n v="113.43802162385306"/>
    <n v="218.7322873480222"/>
    <n v="0"/>
    <n v="59541.998370000001"/>
    <n v="118688.50962"/>
    <n v="0"/>
    <n v="80112.993697348866"/>
    <n v="154474.64709693167"/>
  </r>
  <r>
    <s v="Sistema de Compensação"/>
    <x v="1"/>
    <x v="1"/>
    <x v="0"/>
    <x v="0"/>
    <x v="0"/>
    <x v="0"/>
    <x v="0"/>
    <x v="8"/>
    <n v="0"/>
    <n v="0"/>
    <n v="424.392"/>
    <n v="424.392"/>
    <n v="424.392"/>
    <n v="424.392"/>
    <n v="0"/>
    <x v="0"/>
    <n v="0"/>
    <n v="0"/>
    <n v="29"/>
    <n v="75"/>
    <n v="0"/>
    <n v="84.31"/>
    <n v="168.06"/>
    <m/>
    <n v="113.43802162385306"/>
    <n v="218.7322873480222"/>
    <n v="0"/>
    <n v="35780.489520000003"/>
    <n v="71323.319520000005"/>
    <n v="0"/>
    <n v="48142.188872990249"/>
    <n v="92828.232892201835"/>
  </r>
  <r>
    <s v="Sistema de Compensação"/>
    <x v="1"/>
    <x v="1"/>
    <x v="0"/>
    <x v="0"/>
    <x v="0"/>
    <x v="0"/>
    <x v="0"/>
    <x v="8"/>
    <n v="0"/>
    <n v="0"/>
    <n v="-41.328000000000003"/>
    <n v="-41.328000000000003"/>
    <n v="-41.328000000000003"/>
    <n v="-41.328000000000003"/>
    <n v="0"/>
    <x v="0"/>
    <n v="0"/>
    <n v="0"/>
    <n v="29"/>
    <n v="75"/>
    <n v="0"/>
    <n v="84.31"/>
    <n v="168.06"/>
    <m/>
    <n v="113.43802162385306"/>
    <n v="218.7322873480222"/>
    <n v="0"/>
    <n v="-3484.3636800000004"/>
    <n v="-6945.5836800000006"/>
    <n v="0"/>
    <n v="-4688.1665576706"/>
    <n v="-9039.7679715190625"/>
  </r>
  <r>
    <s v="Regular"/>
    <x v="1"/>
    <x v="1"/>
    <x v="0"/>
    <x v="0"/>
    <x v="0"/>
    <x v="0"/>
    <x v="0"/>
    <x v="9"/>
    <n v="0"/>
    <n v="0"/>
    <n v="3322.69"/>
    <n v="3322.69"/>
    <n v="3322.69"/>
    <n v="3322.69"/>
    <n v="0"/>
    <x v="0"/>
    <n v="0"/>
    <n v="0"/>
    <n v="29"/>
    <n v="75"/>
    <n v="0"/>
    <n v="84.31"/>
    <n v="168.06"/>
    <m/>
    <n v="113.43802162385306"/>
    <n v="218.7322873480222"/>
    <n v="0"/>
    <n v="280135.9939"/>
    <n v="558411.28139999998"/>
    <n v="0"/>
    <n v="376919.38006936031"/>
    <n v="726779.58384839993"/>
  </r>
  <r>
    <s v="Sistema Isolado - Regular"/>
    <x v="1"/>
    <x v="1"/>
    <x v="0"/>
    <x v="0"/>
    <x v="0"/>
    <x v="0"/>
    <x v="0"/>
    <x v="9"/>
    <n v="0"/>
    <n v="0"/>
    <n v="684.33799999999997"/>
    <n v="684.33799999999997"/>
    <n v="684.33799999999997"/>
    <n v="684.33799999999997"/>
    <n v="0"/>
    <x v="0"/>
    <n v="0"/>
    <n v="0"/>
    <n v="29"/>
    <n v="75"/>
    <n v="0"/>
    <n v="84.31"/>
    <n v="168.06"/>
    <m/>
    <n v="113.43802162385306"/>
    <n v="218.7322873480222"/>
    <n v="0"/>
    <n v="57696.536780000002"/>
    <n v="115009.84427999999"/>
    <n v="0"/>
    <n v="77629.948842024358"/>
    <n v="149686.81605917081"/>
  </r>
  <r>
    <s v="Sistema de Compensação"/>
    <x v="1"/>
    <x v="1"/>
    <x v="0"/>
    <x v="0"/>
    <x v="0"/>
    <x v="0"/>
    <x v="0"/>
    <x v="9"/>
    <n v="0"/>
    <n v="0"/>
    <n v="446.34500000000003"/>
    <n v="446.34500000000003"/>
    <n v="446.34500000000003"/>
    <n v="446.34500000000003"/>
    <n v="0"/>
    <x v="0"/>
    <n v="0"/>
    <n v="0"/>
    <n v="29"/>
    <n v="75"/>
    <n v="0"/>
    <n v="84.31"/>
    <n v="168.06"/>
    <m/>
    <n v="113.43802162385306"/>
    <n v="218.7322873480222"/>
    <n v="0"/>
    <n v="37631.346950000006"/>
    <n v="75012.740700000009"/>
    <n v="0"/>
    <n v="50632.493761698701"/>
    <n v="97630.06279635297"/>
  </r>
  <r>
    <s v="Regular"/>
    <x v="1"/>
    <x v="1"/>
    <x v="0"/>
    <x v="0"/>
    <x v="0"/>
    <x v="0"/>
    <x v="0"/>
    <x v="10"/>
    <n v="0"/>
    <n v="0"/>
    <n v="3338.386"/>
    <n v="3338.386"/>
    <n v="3338.386"/>
    <n v="3338.386"/>
    <n v="0"/>
    <x v="0"/>
    <n v="0"/>
    <n v="0"/>
    <n v="29"/>
    <n v="75"/>
    <n v="0"/>
    <n v="84.31"/>
    <n v="168.06"/>
    <m/>
    <n v="113.43802162385306"/>
    <n v="218.7322873480222"/>
    <n v="0"/>
    <n v="281459.32365999999"/>
    <n v="561049.15116000001"/>
    <n v="0"/>
    <n v="378699.9032567683"/>
    <n v="730212.80583061441"/>
  </r>
  <r>
    <s v="Sistema Isolado - Regular"/>
    <x v="1"/>
    <x v="1"/>
    <x v="0"/>
    <x v="0"/>
    <x v="0"/>
    <x v="0"/>
    <x v="0"/>
    <x v="10"/>
    <n v="0"/>
    <n v="0"/>
    <n v="712.69299999999998"/>
    <n v="712.69299999999998"/>
    <n v="712.69299999999998"/>
    <n v="712.69299999999998"/>
    <n v="0"/>
    <x v="0"/>
    <n v="0"/>
    <n v="0"/>
    <n v="29"/>
    <n v="75"/>
    <n v="0"/>
    <n v="84.31"/>
    <n v="168.06"/>
    <m/>
    <n v="113.43802162385306"/>
    <n v="218.7322873480222"/>
    <n v="0"/>
    <n v="60087.146829999998"/>
    <n v="119775.18558"/>
    <n v="0"/>
    <n v="80846.4839451687"/>
    <n v="155888.97006692397"/>
  </r>
  <r>
    <s v="Sistema de Compensação"/>
    <x v="1"/>
    <x v="1"/>
    <x v="0"/>
    <x v="0"/>
    <x v="0"/>
    <x v="0"/>
    <x v="0"/>
    <x v="10"/>
    <n v="0"/>
    <n v="0"/>
    <n v="445.85300000000001"/>
    <n v="445.85300000000001"/>
    <n v="445.85300000000001"/>
    <n v="445.85300000000001"/>
    <n v="0"/>
    <x v="0"/>
    <n v="0"/>
    <n v="0"/>
    <n v="29"/>
    <n v="75"/>
    <n v="0"/>
    <n v="84.31"/>
    <n v="168.06"/>
    <m/>
    <n v="113.43802162385306"/>
    <n v="218.7322873480222"/>
    <n v="0"/>
    <n v="37589.866430000002"/>
    <n v="74930.055179999996"/>
    <n v="0"/>
    <n v="50576.682255059757"/>
    <n v="97522.446510977737"/>
  </r>
  <r>
    <s v="PROJETADO"/>
    <x v="1"/>
    <x v="1"/>
    <x v="0"/>
    <x v="0"/>
    <x v="0"/>
    <x v="0"/>
    <x v="0"/>
    <x v="11"/>
    <n v="0"/>
    <n v="0"/>
    <n v="3338.386"/>
    <n v="3338.386"/>
    <n v="3338.386"/>
    <n v="3338.386"/>
    <n v="0"/>
    <x v="0"/>
    <n v="0"/>
    <n v="0"/>
    <n v="29"/>
    <n v="75"/>
    <n v="0"/>
    <n v="84.31"/>
    <n v="168.06"/>
    <m/>
    <n v="113.43802162385306"/>
    <n v="218.7322873480222"/>
    <n v="0"/>
    <n v="281459.32365999999"/>
    <n v="561049.15116000001"/>
    <n v="0"/>
    <n v="378699.9032567683"/>
    <n v="730212.80583061441"/>
  </r>
  <r>
    <s v="PROJETADO"/>
    <x v="1"/>
    <x v="1"/>
    <x v="0"/>
    <x v="0"/>
    <x v="0"/>
    <x v="0"/>
    <x v="0"/>
    <x v="11"/>
    <n v="0"/>
    <n v="0"/>
    <n v="712.69299999999998"/>
    <n v="712.69299999999998"/>
    <n v="712.69299999999998"/>
    <n v="712.69299999999998"/>
    <n v="0"/>
    <x v="0"/>
    <n v="0"/>
    <n v="0"/>
    <n v="29"/>
    <n v="75"/>
    <n v="0"/>
    <n v="84.31"/>
    <n v="168.06"/>
    <m/>
    <n v="113.43802162385306"/>
    <n v="218.7322873480222"/>
    <n v="0"/>
    <n v="60087.146829999998"/>
    <n v="119775.18558"/>
    <n v="0"/>
    <n v="80846.4839451687"/>
    <n v="155888.97006692397"/>
  </r>
  <r>
    <s v="PROJETADO"/>
    <x v="1"/>
    <x v="1"/>
    <x v="0"/>
    <x v="0"/>
    <x v="0"/>
    <x v="0"/>
    <x v="0"/>
    <x v="11"/>
    <n v="0"/>
    <n v="0"/>
    <n v="445.85300000000001"/>
    <n v="445.85300000000001"/>
    <n v="445.85300000000001"/>
    <n v="445.85300000000001"/>
    <n v="0"/>
    <x v="0"/>
    <n v="0"/>
    <n v="0"/>
    <n v="29"/>
    <n v="75"/>
    <n v="0"/>
    <n v="84.31"/>
    <n v="168.06"/>
    <m/>
    <n v="113.43802162385306"/>
    <n v="218.7322873480222"/>
    <n v="0"/>
    <n v="37589.866430000002"/>
    <n v="74930.055179999996"/>
    <n v="0"/>
    <n v="50576.682255059757"/>
    <n v="97522.446510977737"/>
  </r>
  <r>
    <s v="Regular"/>
    <x v="1"/>
    <x v="1"/>
    <x v="0"/>
    <x v="0"/>
    <x v="0"/>
    <x v="0"/>
    <x v="2"/>
    <x v="0"/>
    <n v="20742"/>
    <n v="20742"/>
    <n v="0"/>
    <n v="0"/>
    <n v="0"/>
    <n v="0"/>
    <n v="179"/>
    <x v="0"/>
    <n v="0"/>
    <n v="27"/>
    <n v="0"/>
    <n v="0"/>
    <n v="19.8"/>
    <n v="0"/>
    <n v="0"/>
    <n v="20.612826474871284"/>
    <m/>
    <m/>
    <n v="410691.60000000003"/>
    <n v="0"/>
    <n v="0"/>
    <n v="427551.24674178014"/>
    <n v="0"/>
    <n v="0"/>
  </r>
  <r>
    <s v="Sistema Isolado - Regular"/>
    <x v="1"/>
    <x v="1"/>
    <x v="0"/>
    <x v="0"/>
    <x v="0"/>
    <x v="0"/>
    <x v="2"/>
    <x v="0"/>
    <n v="3683"/>
    <n v="3683"/>
    <n v="0"/>
    <n v="0"/>
    <n v="0"/>
    <n v="0"/>
    <n v="40"/>
    <x v="0"/>
    <n v="0"/>
    <n v="27"/>
    <n v="0"/>
    <n v="0"/>
    <n v="19.8"/>
    <n v="0"/>
    <n v="0"/>
    <n v="20.612826474871284"/>
    <m/>
    <m/>
    <n v="72923.400000000009"/>
    <n v="0"/>
    <n v="0"/>
    <n v="75917.039906950944"/>
    <n v="0"/>
    <n v="0"/>
  </r>
  <r>
    <s v="Sistema de Compensação"/>
    <x v="1"/>
    <x v="1"/>
    <x v="0"/>
    <x v="0"/>
    <x v="0"/>
    <x v="0"/>
    <x v="2"/>
    <x v="0"/>
    <n v="2456"/>
    <n v="2456"/>
    <n v="0"/>
    <n v="0"/>
    <n v="0"/>
    <n v="0"/>
    <n v="17"/>
    <x v="0"/>
    <n v="0"/>
    <n v="27"/>
    <n v="0"/>
    <n v="0"/>
    <n v="19.8"/>
    <n v="0"/>
    <n v="0"/>
    <n v="20.612826474871284"/>
    <m/>
    <m/>
    <n v="48628.800000000003"/>
    <n v="0"/>
    <n v="0"/>
    <n v="50625.101822283876"/>
    <n v="0"/>
    <n v="0"/>
  </r>
  <r>
    <s v="Regular"/>
    <x v="1"/>
    <x v="1"/>
    <x v="0"/>
    <x v="0"/>
    <x v="0"/>
    <x v="0"/>
    <x v="2"/>
    <x v="1"/>
    <n v="20495"/>
    <n v="20495"/>
    <n v="0"/>
    <n v="0"/>
    <n v="0"/>
    <n v="0"/>
    <n v="178"/>
    <x v="0"/>
    <n v="0"/>
    <n v="27"/>
    <n v="0"/>
    <n v="0"/>
    <n v="19.8"/>
    <n v="0"/>
    <n v="0"/>
    <n v="20.612826474871284"/>
    <m/>
    <m/>
    <n v="405801"/>
    <n v="0"/>
    <n v="0"/>
    <n v="422459.87860248698"/>
    <n v="0"/>
    <n v="0"/>
  </r>
  <r>
    <s v="Sistema Isolado - Regular"/>
    <x v="1"/>
    <x v="1"/>
    <x v="0"/>
    <x v="0"/>
    <x v="0"/>
    <x v="0"/>
    <x v="2"/>
    <x v="1"/>
    <n v="3648"/>
    <n v="3648"/>
    <n v="0"/>
    <n v="0"/>
    <n v="0"/>
    <n v="0"/>
    <n v="39"/>
    <x v="0"/>
    <n v="0"/>
    <n v="27"/>
    <n v="0"/>
    <n v="0"/>
    <n v="19.8"/>
    <n v="0"/>
    <n v="0"/>
    <n v="20.612826474871284"/>
    <m/>
    <m/>
    <n v="72230.400000000009"/>
    <n v="0"/>
    <n v="0"/>
    <n v="75195.590980330438"/>
    <n v="0"/>
    <n v="0"/>
  </r>
  <r>
    <s v="Sistema de Compensação"/>
    <x v="1"/>
    <x v="1"/>
    <x v="0"/>
    <x v="0"/>
    <x v="0"/>
    <x v="0"/>
    <x v="2"/>
    <x v="1"/>
    <n v="2676"/>
    <n v="2676"/>
    <n v="0"/>
    <n v="0"/>
    <n v="0"/>
    <n v="0"/>
    <n v="18"/>
    <x v="0"/>
    <n v="0"/>
    <n v="27"/>
    <n v="0"/>
    <n v="0"/>
    <n v="19.8"/>
    <n v="0"/>
    <n v="0"/>
    <n v="20.612826474871284"/>
    <m/>
    <m/>
    <n v="52984.800000000003"/>
    <n v="0"/>
    <n v="0"/>
    <n v="55159.923646755553"/>
    <n v="0"/>
    <n v="0"/>
  </r>
  <r>
    <s v="Regular"/>
    <x v="1"/>
    <x v="1"/>
    <x v="0"/>
    <x v="0"/>
    <x v="0"/>
    <x v="0"/>
    <x v="2"/>
    <x v="2"/>
    <n v="20504"/>
    <n v="20504"/>
    <n v="0"/>
    <n v="0"/>
    <n v="0"/>
    <n v="0"/>
    <n v="179"/>
    <x v="0"/>
    <n v="0"/>
    <n v="27"/>
    <n v="0"/>
    <n v="0"/>
    <n v="19.8"/>
    <n v="0"/>
    <n v="0"/>
    <n v="20.612826474871284"/>
    <m/>
    <m/>
    <n v="405979.2"/>
    <n v="0"/>
    <n v="0"/>
    <n v="422645.39404076082"/>
    <n v="0"/>
    <n v="0"/>
  </r>
  <r>
    <s v="Sistema Isolado - Regular"/>
    <x v="1"/>
    <x v="1"/>
    <x v="0"/>
    <x v="0"/>
    <x v="0"/>
    <x v="0"/>
    <x v="2"/>
    <x v="2"/>
    <n v="3862"/>
    <n v="3862"/>
    <n v="0"/>
    <n v="0"/>
    <n v="0"/>
    <n v="0"/>
    <n v="40"/>
    <x v="0"/>
    <n v="0"/>
    <n v="27"/>
    <n v="0"/>
    <n v="0"/>
    <n v="19.8"/>
    <n v="0"/>
    <n v="0"/>
    <n v="20.612826474871284"/>
    <m/>
    <m/>
    <n v="76467.600000000006"/>
    <n v="0"/>
    <n v="0"/>
    <n v="79606.735845952891"/>
    <n v="0"/>
    <n v="0"/>
  </r>
  <r>
    <s v="Sistema de Compensação"/>
    <x v="1"/>
    <x v="1"/>
    <x v="0"/>
    <x v="0"/>
    <x v="0"/>
    <x v="0"/>
    <x v="2"/>
    <x v="2"/>
    <n v="3257"/>
    <n v="3257"/>
    <n v="0"/>
    <n v="0"/>
    <n v="0"/>
    <n v="0"/>
    <n v="18"/>
    <x v="0"/>
    <n v="0"/>
    <n v="27"/>
    <n v="0"/>
    <n v="0"/>
    <n v="19.8"/>
    <n v="0"/>
    <n v="0"/>
    <n v="20.612826474871284"/>
    <m/>
    <m/>
    <n v="64488.600000000006"/>
    <n v="0"/>
    <n v="0"/>
    <n v="67135.975828655777"/>
    <n v="0"/>
    <n v="0"/>
  </r>
  <r>
    <s v="Regular"/>
    <x v="1"/>
    <x v="1"/>
    <x v="0"/>
    <x v="0"/>
    <x v="0"/>
    <x v="0"/>
    <x v="2"/>
    <x v="3"/>
    <n v="20589"/>
    <n v="20589"/>
    <n v="0"/>
    <n v="0"/>
    <n v="0"/>
    <n v="0"/>
    <n v="175"/>
    <x v="0"/>
    <n v="0"/>
    <n v="27"/>
    <n v="0"/>
    <n v="0"/>
    <n v="19.8"/>
    <n v="0"/>
    <n v="0"/>
    <n v="20.612826474871284"/>
    <m/>
    <m/>
    <n v="407662.2"/>
    <n v="0"/>
    <n v="0"/>
    <n v="424397.48429112486"/>
    <n v="0"/>
    <n v="0"/>
  </r>
  <r>
    <s v="Sistema Isolado - Regular"/>
    <x v="1"/>
    <x v="1"/>
    <x v="0"/>
    <x v="0"/>
    <x v="0"/>
    <x v="0"/>
    <x v="2"/>
    <x v="3"/>
    <n v="3866"/>
    <n v="3866"/>
    <n v="0"/>
    <n v="0"/>
    <n v="0"/>
    <n v="0"/>
    <n v="40"/>
    <x v="0"/>
    <n v="0"/>
    <n v="27"/>
    <n v="0"/>
    <n v="0"/>
    <n v="19.8"/>
    <n v="0"/>
    <n v="0"/>
    <n v="20.612826474871284"/>
    <m/>
    <m/>
    <n v="76546.8"/>
    <n v="0"/>
    <n v="0"/>
    <n v="79689.187151852384"/>
    <n v="0"/>
    <n v="0"/>
  </r>
  <r>
    <s v="Sistema de Compensação"/>
    <x v="1"/>
    <x v="1"/>
    <x v="0"/>
    <x v="0"/>
    <x v="0"/>
    <x v="0"/>
    <x v="2"/>
    <x v="3"/>
    <n v="3379"/>
    <n v="3379"/>
    <n v="0"/>
    <n v="0"/>
    <n v="0"/>
    <n v="0"/>
    <n v="19"/>
    <x v="0"/>
    <n v="0"/>
    <n v="27"/>
    <n v="0"/>
    <n v="0"/>
    <n v="19.8"/>
    <n v="0"/>
    <n v="0"/>
    <n v="20.612826474871284"/>
    <m/>
    <m/>
    <n v="66904.2"/>
    <n v="0"/>
    <n v="0"/>
    <n v="69650.740658590061"/>
    <n v="0"/>
    <n v="0"/>
  </r>
  <r>
    <s v="Regular"/>
    <x v="1"/>
    <x v="1"/>
    <x v="0"/>
    <x v="0"/>
    <x v="0"/>
    <x v="0"/>
    <x v="2"/>
    <x v="4"/>
    <n v="20854"/>
    <n v="20854"/>
    <n v="0"/>
    <n v="0"/>
    <n v="0"/>
    <n v="0"/>
    <n v="177"/>
    <x v="0"/>
    <n v="0"/>
    <n v="27"/>
    <n v="0"/>
    <n v="0"/>
    <n v="19.8"/>
    <n v="0"/>
    <n v="0"/>
    <n v="20.612826474871284"/>
    <m/>
    <m/>
    <n v="412909.2"/>
    <n v="0"/>
    <n v="0"/>
    <n v="429859.88330696576"/>
    <n v="0"/>
    <n v="0"/>
  </r>
  <r>
    <s v="Sistema Isolado - Regular"/>
    <x v="1"/>
    <x v="1"/>
    <x v="0"/>
    <x v="0"/>
    <x v="0"/>
    <x v="0"/>
    <x v="2"/>
    <x v="4"/>
    <n v="3922"/>
    <n v="3922"/>
    <n v="0"/>
    <n v="0"/>
    <n v="0"/>
    <n v="0"/>
    <n v="40"/>
    <x v="0"/>
    <n v="0"/>
    <n v="27"/>
    <n v="0"/>
    <n v="0"/>
    <n v="19.8"/>
    <n v="0"/>
    <n v="0"/>
    <n v="20.612826474871284"/>
    <m/>
    <m/>
    <n v="77655.600000000006"/>
    <n v="0"/>
    <n v="0"/>
    <n v="80843.505434445178"/>
    <n v="0"/>
    <n v="0"/>
  </r>
  <r>
    <s v="Sistema de Compensação"/>
    <x v="1"/>
    <x v="1"/>
    <x v="0"/>
    <x v="0"/>
    <x v="0"/>
    <x v="0"/>
    <x v="2"/>
    <x v="4"/>
    <n v="3488"/>
    <n v="3488"/>
    <n v="0"/>
    <n v="0"/>
    <n v="0"/>
    <n v="0"/>
    <n v="20"/>
    <x v="0"/>
    <n v="0"/>
    <n v="27"/>
    <n v="0"/>
    <n v="0"/>
    <n v="19.8"/>
    <n v="0"/>
    <n v="0"/>
    <n v="20.612826474871284"/>
    <m/>
    <m/>
    <n v="69062.400000000009"/>
    <n v="0"/>
    <n v="0"/>
    <n v="71897.538744351041"/>
    <n v="0"/>
    <n v="0"/>
  </r>
  <r>
    <s v="Regular"/>
    <x v="1"/>
    <x v="1"/>
    <x v="0"/>
    <x v="0"/>
    <x v="0"/>
    <x v="0"/>
    <x v="2"/>
    <x v="5"/>
    <n v="20683"/>
    <n v="20683"/>
    <n v="0"/>
    <n v="0"/>
    <n v="0"/>
    <n v="0"/>
    <n v="176"/>
    <x v="0"/>
    <n v="0"/>
    <n v="27"/>
    <n v="0"/>
    <n v="0"/>
    <n v="19.8"/>
    <n v="0"/>
    <n v="0"/>
    <n v="20.612826474871284"/>
    <m/>
    <m/>
    <n v="409523.4"/>
    <n v="0"/>
    <n v="0"/>
    <n v="426335.08997976274"/>
    <n v="0"/>
    <n v="0"/>
  </r>
  <r>
    <s v="Sistema Isolado - Regular"/>
    <x v="1"/>
    <x v="1"/>
    <x v="0"/>
    <x v="0"/>
    <x v="0"/>
    <x v="0"/>
    <x v="2"/>
    <x v="5"/>
    <n v="3912"/>
    <n v="3912"/>
    <n v="0"/>
    <n v="0"/>
    <n v="0"/>
    <n v="0"/>
    <n v="41"/>
    <x v="0"/>
    <n v="0"/>
    <n v="27"/>
    <n v="0"/>
    <n v="0"/>
    <n v="19.8"/>
    <n v="0"/>
    <n v="0"/>
    <n v="20.612826474871284"/>
    <m/>
    <m/>
    <n v="77457.600000000006"/>
    <n v="0"/>
    <n v="0"/>
    <n v="80637.377169696469"/>
    <n v="0"/>
    <n v="0"/>
  </r>
  <r>
    <s v="Sistema de Compensação"/>
    <x v="1"/>
    <x v="1"/>
    <x v="0"/>
    <x v="0"/>
    <x v="0"/>
    <x v="0"/>
    <x v="2"/>
    <x v="5"/>
    <n v="3488"/>
    <n v="3488"/>
    <n v="0"/>
    <n v="0"/>
    <n v="0"/>
    <n v="0"/>
    <n v="20"/>
    <x v="0"/>
    <n v="0"/>
    <n v="27"/>
    <n v="0"/>
    <n v="0"/>
    <n v="19.8"/>
    <n v="0"/>
    <n v="0"/>
    <n v="20.612826474871284"/>
    <m/>
    <m/>
    <n v="69062.400000000009"/>
    <n v="0"/>
    <n v="0"/>
    <n v="71897.538744351041"/>
    <n v="0"/>
    <n v="0"/>
  </r>
  <r>
    <s v="Regular"/>
    <x v="1"/>
    <x v="1"/>
    <x v="0"/>
    <x v="0"/>
    <x v="0"/>
    <x v="0"/>
    <x v="2"/>
    <x v="6"/>
    <n v="20054"/>
    <n v="20054"/>
    <n v="0"/>
    <n v="0"/>
    <n v="0"/>
    <n v="0"/>
    <n v="173"/>
    <x v="0"/>
    <n v="0"/>
    <n v="27"/>
    <n v="0"/>
    <n v="0"/>
    <n v="19.8"/>
    <n v="0"/>
    <n v="0"/>
    <n v="20.612826474871284"/>
    <m/>
    <m/>
    <n v="397069.2"/>
    <n v="0"/>
    <n v="0"/>
    <n v="413369.62212706869"/>
    <n v="0"/>
    <n v="0"/>
  </r>
  <r>
    <s v="Sistema Isolado - Regular"/>
    <x v="1"/>
    <x v="1"/>
    <x v="0"/>
    <x v="0"/>
    <x v="0"/>
    <x v="0"/>
    <x v="2"/>
    <x v="6"/>
    <n v="3897"/>
    <n v="3897"/>
    <n v="0"/>
    <n v="0"/>
    <n v="0"/>
    <n v="0"/>
    <n v="41"/>
    <x v="0"/>
    <n v="0"/>
    <n v="27"/>
    <n v="0"/>
    <n v="0"/>
    <n v="19.8"/>
    <n v="0"/>
    <n v="0"/>
    <n v="20.612826474871284"/>
    <m/>
    <m/>
    <n v="77160.600000000006"/>
    <n v="0"/>
    <n v="0"/>
    <n v="80328.184772573397"/>
    <n v="0"/>
    <n v="0"/>
  </r>
  <r>
    <s v="Sistema de Compensação"/>
    <x v="1"/>
    <x v="1"/>
    <x v="0"/>
    <x v="0"/>
    <x v="0"/>
    <x v="0"/>
    <x v="2"/>
    <x v="6"/>
    <n v="3775"/>
    <n v="3775"/>
    <n v="0"/>
    <n v="0"/>
    <n v="0"/>
    <n v="0"/>
    <n v="21"/>
    <x v="0"/>
    <n v="0"/>
    <n v="27"/>
    <n v="0"/>
    <n v="0"/>
    <n v="19.8"/>
    <n v="0"/>
    <n v="0"/>
    <n v="20.612826474871284"/>
    <m/>
    <m/>
    <n v="74745"/>
    <n v="0"/>
    <n v="0"/>
    <n v="77813.419942639099"/>
    <n v="0"/>
    <n v="0"/>
  </r>
  <r>
    <s v="Sistema de Compensação"/>
    <x v="1"/>
    <x v="1"/>
    <x v="0"/>
    <x v="0"/>
    <x v="0"/>
    <x v="0"/>
    <x v="2"/>
    <x v="6"/>
    <n v="1"/>
    <n v="1"/>
    <n v="0"/>
    <n v="0"/>
    <n v="0"/>
    <n v="0"/>
    <n v="0"/>
    <x v="0"/>
    <n v="0"/>
    <n v="27"/>
    <n v="0"/>
    <n v="0"/>
    <n v="19.8"/>
    <n v="0"/>
    <n v="0"/>
    <n v="20.612826474871284"/>
    <m/>
    <m/>
    <n v="19.8"/>
    <n v="0"/>
    <n v="0"/>
    <n v="20.612826474871284"/>
    <n v="0"/>
    <n v="0"/>
  </r>
  <r>
    <s v="Regular"/>
    <x v="1"/>
    <x v="1"/>
    <x v="0"/>
    <x v="0"/>
    <x v="0"/>
    <x v="0"/>
    <x v="2"/>
    <x v="7"/>
    <n v="20073"/>
    <n v="20073"/>
    <n v="0"/>
    <n v="0"/>
    <n v="0"/>
    <n v="0"/>
    <n v="171"/>
    <x v="0"/>
    <n v="0"/>
    <n v="27"/>
    <n v="0"/>
    <n v="0"/>
    <n v="19.8"/>
    <n v="0"/>
    <n v="0"/>
    <n v="20.612826474871284"/>
    <m/>
    <m/>
    <n v="397445.4"/>
    <n v="0"/>
    <n v="0"/>
    <n v="413761.26583009126"/>
    <n v="0"/>
    <n v="0"/>
  </r>
  <r>
    <s v="Sistema Isolado - Regular"/>
    <x v="1"/>
    <x v="1"/>
    <x v="0"/>
    <x v="0"/>
    <x v="0"/>
    <x v="0"/>
    <x v="2"/>
    <x v="7"/>
    <n v="3812"/>
    <n v="3812"/>
    <n v="0"/>
    <n v="0"/>
    <n v="0"/>
    <n v="0"/>
    <n v="41"/>
    <x v="0"/>
    <n v="0"/>
    <n v="27"/>
    <n v="0"/>
    <n v="0"/>
    <n v="19.8"/>
    <n v="0"/>
    <n v="0"/>
    <n v="20.612826474871284"/>
    <m/>
    <m/>
    <n v="75477.600000000006"/>
    <n v="0"/>
    <n v="0"/>
    <n v="78576.094522209329"/>
    <n v="0"/>
    <n v="0"/>
  </r>
  <r>
    <s v="Sistema de Compensação"/>
    <x v="1"/>
    <x v="1"/>
    <x v="0"/>
    <x v="0"/>
    <x v="0"/>
    <x v="0"/>
    <x v="2"/>
    <x v="7"/>
    <n v="3814"/>
    <n v="3814"/>
    <n v="0"/>
    <n v="0"/>
    <n v="0"/>
    <n v="0"/>
    <n v="20"/>
    <x v="0"/>
    <n v="0"/>
    <n v="27"/>
    <n v="0"/>
    <n v="0"/>
    <n v="19.8"/>
    <n v="0"/>
    <n v="0"/>
    <n v="20.612826474871284"/>
    <m/>
    <m/>
    <n v="75517.2"/>
    <n v="0"/>
    <n v="0"/>
    <n v="78617.320175159082"/>
    <n v="0"/>
    <n v="0"/>
  </r>
  <r>
    <s v="Regular"/>
    <x v="1"/>
    <x v="1"/>
    <x v="0"/>
    <x v="0"/>
    <x v="0"/>
    <x v="0"/>
    <x v="2"/>
    <x v="8"/>
    <n v="19700"/>
    <n v="19700"/>
    <n v="0"/>
    <n v="0"/>
    <n v="0"/>
    <n v="0"/>
    <n v="170"/>
    <x v="0"/>
    <n v="0"/>
    <n v="27"/>
    <n v="0"/>
    <n v="0"/>
    <n v="19.8"/>
    <n v="0"/>
    <n v="0"/>
    <n v="20.612826474871284"/>
    <m/>
    <m/>
    <n v="390060"/>
    <n v="0"/>
    <n v="0"/>
    <n v="406072.68155496428"/>
    <n v="0"/>
    <n v="0"/>
  </r>
  <r>
    <s v="Sistema Isolado - Regular"/>
    <x v="1"/>
    <x v="1"/>
    <x v="0"/>
    <x v="0"/>
    <x v="0"/>
    <x v="0"/>
    <x v="2"/>
    <x v="8"/>
    <n v="3831"/>
    <n v="3831"/>
    <n v="0"/>
    <n v="0"/>
    <n v="0"/>
    <n v="0"/>
    <n v="41"/>
    <x v="0"/>
    <n v="0"/>
    <n v="27"/>
    <n v="0"/>
    <n v="0"/>
    <n v="19.8"/>
    <n v="0"/>
    <n v="0"/>
    <n v="20.612826474871284"/>
    <m/>
    <m/>
    <n v="75853.8"/>
    <n v="0"/>
    <n v="0"/>
    <n v="78967.738225231893"/>
    <n v="0"/>
    <n v="0"/>
  </r>
  <r>
    <s v="Sistema de Compensação"/>
    <x v="1"/>
    <x v="1"/>
    <x v="0"/>
    <x v="0"/>
    <x v="0"/>
    <x v="0"/>
    <x v="2"/>
    <x v="8"/>
    <n v="4348"/>
    <n v="4348"/>
    <n v="0"/>
    <n v="0"/>
    <n v="0"/>
    <n v="0"/>
    <n v="22"/>
    <x v="0"/>
    <n v="0"/>
    <n v="27"/>
    <n v="0"/>
    <n v="0"/>
    <n v="19.8"/>
    <n v="0"/>
    <n v="0"/>
    <n v="20.612826474871284"/>
    <m/>
    <m/>
    <n v="86090.400000000009"/>
    <n v="0"/>
    <n v="0"/>
    <n v="89624.569512740345"/>
    <n v="0"/>
    <n v="0"/>
  </r>
  <r>
    <s v="Sistema de Compensação"/>
    <x v="1"/>
    <x v="1"/>
    <x v="0"/>
    <x v="0"/>
    <x v="0"/>
    <x v="0"/>
    <x v="2"/>
    <x v="8"/>
    <n v="-90"/>
    <n v="-90"/>
    <n v="0"/>
    <n v="0"/>
    <n v="0"/>
    <n v="0"/>
    <n v="-1"/>
    <x v="0"/>
    <n v="0"/>
    <n v="27"/>
    <n v="0"/>
    <n v="0"/>
    <n v="19.8"/>
    <n v="0"/>
    <n v="0"/>
    <n v="20.612826474871284"/>
    <m/>
    <m/>
    <n v="-1782"/>
    <n v="0"/>
    <n v="0"/>
    <n v="-1855.1543827384155"/>
    <n v="0"/>
    <n v="0"/>
  </r>
  <r>
    <s v="Regular"/>
    <x v="1"/>
    <x v="1"/>
    <x v="0"/>
    <x v="0"/>
    <x v="0"/>
    <x v="0"/>
    <x v="2"/>
    <x v="9"/>
    <n v="19310"/>
    <n v="19310"/>
    <n v="0"/>
    <n v="0"/>
    <n v="0"/>
    <n v="0"/>
    <n v="168"/>
    <x v="0"/>
    <n v="0"/>
    <n v="27"/>
    <n v="0"/>
    <n v="0"/>
    <n v="19.8"/>
    <n v="0"/>
    <n v="0"/>
    <n v="20.612826474871284"/>
    <m/>
    <m/>
    <n v="382338"/>
    <n v="0"/>
    <n v="0"/>
    <n v="398033.6792297645"/>
    <n v="0"/>
    <n v="0"/>
  </r>
  <r>
    <s v="Sistema Isolado - Regular"/>
    <x v="1"/>
    <x v="1"/>
    <x v="0"/>
    <x v="0"/>
    <x v="0"/>
    <x v="0"/>
    <x v="2"/>
    <x v="9"/>
    <n v="3808"/>
    <n v="3808"/>
    <n v="0"/>
    <n v="0"/>
    <n v="0"/>
    <n v="0"/>
    <n v="40"/>
    <x v="0"/>
    <n v="0"/>
    <n v="27"/>
    <n v="0"/>
    <n v="0"/>
    <n v="19.8"/>
    <n v="0"/>
    <n v="0"/>
    <n v="20.612826474871284"/>
    <m/>
    <m/>
    <n v="75398.400000000009"/>
    <n v="0"/>
    <n v="0"/>
    <n v="78493.643216309851"/>
    <n v="0"/>
    <n v="0"/>
  </r>
  <r>
    <s v="Sistema de Compensação"/>
    <x v="1"/>
    <x v="1"/>
    <x v="0"/>
    <x v="0"/>
    <x v="0"/>
    <x v="0"/>
    <x v="2"/>
    <x v="9"/>
    <n v="4747"/>
    <n v="4747"/>
    <n v="0"/>
    <n v="0"/>
    <n v="0"/>
    <n v="0"/>
    <n v="26"/>
    <x v="0"/>
    <n v="0"/>
    <n v="27"/>
    <n v="0"/>
    <n v="0"/>
    <n v="19.8"/>
    <n v="0"/>
    <n v="0"/>
    <n v="20.612826474871284"/>
    <m/>
    <m/>
    <n v="93990.6"/>
    <n v="0"/>
    <n v="0"/>
    <n v="97849.087276213977"/>
    <n v="0"/>
    <n v="0"/>
  </r>
  <r>
    <s v="Regular"/>
    <x v="1"/>
    <x v="1"/>
    <x v="0"/>
    <x v="0"/>
    <x v="0"/>
    <x v="0"/>
    <x v="2"/>
    <x v="10"/>
    <n v="18594"/>
    <n v="18594"/>
    <n v="0"/>
    <n v="0"/>
    <n v="0"/>
    <n v="0"/>
    <n v="165"/>
    <x v="0"/>
    <n v="0"/>
    <n v="27"/>
    <n v="0"/>
    <n v="0"/>
    <n v="19.8"/>
    <n v="0"/>
    <n v="0"/>
    <n v="20.612826474871284"/>
    <m/>
    <m/>
    <n v="368161.2"/>
    <n v="0"/>
    <n v="0"/>
    <n v="383274.89547375665"/>
    <n v="0"/>
    <n v="0"/>
  </r>
  <r>
    <s v="Sistema Isolado - Regular"/>
    <x v="1"/>
    <x v="1"/>
    <x v="0"/>
    <x v="0"/>
    <x v="0"/>
    <x v="0"/>
    <x v="2"/>
    <x v="10"/>
    <n v="3677"/>
    <n v="3677"/>
    <n v="0"/>
    <n v="0"/>
    <n v="0"/>
    <n v="0"/>
    <n v="40"/>
    <x v="0"/>
    <n v="0"/>
    <n v="27"/>
    <n v="0"/>
    <n v="0"/>
    <n v="19.8"/>
    <n v="0"/>
    <n v="0"/>
    <n v="20.612826474871284"/>
    <m/>
    <m/>
    <n v="72804.600000000006"/>
    <n v="0"/>
    <n v="0"/>
    <n v="75793.362948101712"/>
    <n v="0"/>
    <n v="0"/>
  </r>
  <r>
    <s v="Sistema de Compensação"/>
    <x v="1"/>
    <x v="1"/>
    <x v="0"/>
    <x v="0"/>
    <x v="0"/>
    <x v="0"/>
    <x v="2"/>
    <x v="10"/>
    <n v="4792"/>
    <n v="4792"/>
    <n v="0"/>
    <n v="0"/>
    <n v="0"/>
    <n v="0"/>
    <n v="26"/>
    <x v="0"/>
    <n v="0"/>
    <n v="27"/>
    <n v="0"/>
    <n v="0"/>
    <n v="19.8"/>
    <n v="0"/>
    <n v="0"/>
    <n v="20.612826474871284"/>
    <m/>
    <m/>
    <n v="94881.600000000006"/>
    <n v="0"/>
    <n v="0"/>
    <n v="98776.664467583192"/>
    <n v="0"/>
    <n v="0"/>
  </r>
  <r>
    <s v="PROJETADO"/>
    <x v="1"/>
    <x v="1"/>
    <x v="0"/>
    <x v="0"/>
    <x v="0"/>
    <x v="0"/>
    <x v="2"/>
    <x v="11"/>
    <n v="18594"/>
    <n v="18594"/>
    <n v="0"/>
    <n v="0"/>
    <n v="0"/>
    <n v="0"/>
    <n v="165"/>
    <x v="0"/>
    <n v="0"/>
    <n v="27"/>
    <n v="0"/>
    <n v="0"/>
    <n v="19.8"/>
    <n v="0"/>
    <n v="0"/>
    <n v="20.612826474871284"/>
    <m/>
    <m/>
    <n v="368161.2"/>
    <n v="0"/>
    <n v="0"/>
    <n v="383274.89547375665"/>
    <n v="0"/>
    <n v="0"/>
  </r>
  <r>
    <s v="PROJETADO"/>
    <x v="1"/>
    <x v="1"/>
    <x v="0"/>
    <x v="0"/>
    <x v="0"/>
    <x v="0"/>
    <x v="2"/>
    <x v="11"/>
    <n v="3677"/>
    <n v="3677"/>
    <n v="0"/>
    <n v="0"/>
    <n v="0"/>
    <n v="0"/>
    <n v="40"/>
    <x v="0"/>
    <n v="0"/>
    <n v="27"/>
    <n v="0"/>
    <n v="0"/>
    <n v="19.8"/>
    <n v="0"/>
    <n v="0"/>
    <n v="20.612826474871284"/>
    <m/>
    <m/>
    <n v="72804.600000000006"/>
    <n v="0"/>
    <n v="0"/>
    <n v="75793.362948101712"/>
    <n v="0"/>
    <n v="0"/>
  </r>
  <r>
    <s v="PROJETADO"/>
    <x v="1"/>
    <x v="1"/>
    <x v="0"/>
    <x v="0"/>
    <x v="0"/>
    <x v="0"/>
    <x v="2"/>
    <x v="11"/>
    <n v="4792"/>
    <n v="4792"/>
    <n v="0"/>
    <n v="0"/>
    <n v="0"/>
    <n v="0"/>
    <n v="26"/>
    <x v="0"/>
    <n v="0"/>
    <n v="27"/>
    <n v="0"/>
    <n v="0"/>
    <n v="19.8"/>
    <n v="0"/>
    <n v="0"/>
    <n v="20.612826474871284"/>
    <m/>
    <m/>
    <n v="94881.600000000006"/>
    <n v="0"/>
    <n v="0"/>
    <n v="98776.664467583192"/>
    <n v="0"/>
    <n v="0"/>
  </r>
  <r>
    <s v="Regular"/>
    <x v="1"/>
    <x v="1"/>
    <x v="0"/>
    <x v="0"/>
    <x v="0"/>
    <x v="0"/>
    <x v="1"/>
    <x v="0"/>
    <n v="0"/>
    <n v="0"/>
    <n v="259.68799999999999"/>
    <n v="259.68799999999999"/>
    <n v="259.68799999999999"/>
    <n v="259.68799999999999"/>
    <n v="0"/>
    <x v="0"/>
    <n v="0"/>
    <n v="0"/>
    <n v="28"/>
    <n v="74"/>
    <n v="0"/>
    <n v="1448.96"/>
    <n v="270.3"/>
    <m/>
    <n v="1479.9458225851192"/>
    <n v="362.70381368696184"/>
    <n v="0"/>
    <n v="376277.52447999996"/>
    <n v="70193.666400000002"/>
    <n v="0"/>
    <n v="384324.17077548441"/>
    <n v="94189.827968739744"/>
  </r>
  <r>
    <s v="Sistema Isolado - Regular"/>
    <x v="1"/>
    <x v="1"/>
    <x v="0"/>
    <x v="0"/>
    <x v="0"/>
    <x v="0"/>
    <x v="1"/>
    <x v="0"/>
    <n v="0"/>
    <n v="0"/>
    <n v="61.277999999999999"/>
    <n v="61.277999999999999"/>
    <n v="61.277999999999999"/>
    <n v="61.277999999999999"/>
    <n v="0"/>
    <x v="0"/>
    <n v="0"/>
    <n v="0"/>
    <n v="28"/>
    <n v="74"/>
    <n v="0"/>
    <n v="1448.96"/>
    <n v="270.3"/>
    <m/>
    <n v="1479.9458225851192"/>
    <n v="362.70381368696184"/>
    <n v="0"/>
    <n v="88789.370880000002"/>
    <n v="16563.4434"/>
    <n v="0"/>
    <n v="90688.120116370934"/>
    <n v="22225.764295109646"/>
  </r>
  <r>
    <s v="Sistema de Compensação"/>
    <x v="1"/>
    <x v="1"/>
    <x v="0"/>
    <x v="0"/>
    <x v="0"/>
    <x v="0"/>
    <x v="1"/>
    <x v="0"/>
    <n v="0"/>
    <n v="0"/>
    <n v="28.766999999999999"/>
    <n v="28.766999999999999"/>
    <n v="28.766999999999999"/>
    <n v="28.766999999999999"/>
    <n v="0"/>
    <x v="0"/>
    <n v="0"/>
    <n v="0"/>
    <n v="28"/>
    <n v="74"/>
    <n v="0"/>
    <n v="1448.96"/>
    <n v="270.3"/>
    <m/>
    <n v="1479.9458225851192"/>
    <n v="362.70381368696184"/>
    <n v="0"/>
    <n v="41682.232320000003"/>
    <n v="7775.7201000000005"/>
    <n v="0"/>
    <n v="42573.601478306126"/>
    <n v="10433.900608332831"/>
  </r>
  <r>
    <s v="Regular"/>
    <x v="1"/>
    <x v="1"/>
    <x v="0"/>
    <x v="0"/>
    <x v="0"/>
    <x v="0"/>
    <x v="1"/>
    <x v="1"/>
    <n v="0"/>
    <n v="0"/>
    <n v="236.88399999999999"/>
    <n v="236.88399999999999"/>
    <n v="236.88399999999999"/>
    <n v="236.88399999999999"/>
    <n v="0"/>
    <x v="0"/>
    <n v="0"/>
    <n v="0"/>
    <n v="28"/>
    <n v="74"/>
    <n v="0"/>
    <n v="1448.96"/>
    <n v="270.3"/>
    <m/>
    <n v="1479.9458225851192"/>
    <n v="362.70381368696184"/>
    <n v="0"/>
    <n v="343235.44063999999"/>
    <n v="64029.745199999998"/>
    <n v="0"/>
    <n v="350575.48623725335"/>
    <n v="85918.730201422266"/>
  </r>
  <r>
    <s v="Sistema Isolado - Regular"/>
    <x v="1"/>
    <x v="1"/>
    <x v="0"/>
    <x v="0"/>
    <x v="0"/>
    <x v="0"/>
    <x v="1"/>
    <x v="1"/>
    <n v="0"/>
    <n v="0"/>
    <n v="56.744999999999997"/>
    <n v="56.744999999999997"/>
    <n v="56.744999999999997"/>
    <n v="56.744999999999997"/>
    <n v="0"/>
    <x v="0"/>
    <n v="0"/>
    <n v="0"/>
    <n v="28"/>
    <n v="74"/>
    <n v="0"/>
    <n v="1448.96"/>
    <n v="270.3"/>
    <m/>
    <n v="1479.9458225851192"/>
    <n v="362.70381368696184"/>
    <n v="0"/>
    <n v="82221.235199999996"/>
    <n v="15338.173500000001"/>
    <n v="0"/>
    <n v="83979.525702592582"/>
    <n v="20581.627907666647"/>
  </r>
  <r>
    <s v="Sistema Isolado - Refaturamento"/>
    <x v="1"/>
    <x v="1"/>
    <x v="0"/>
    <x v="0"/>
    <x v="0"/>
    <x v="0"/>
    <x v="1"/>
    <x v="1"/>
    <n v="0"/>
    <n v="0"/>
    <n v="0.28000000000000003"/>
    <n v="0.28000000000000003"/>
    <n v="0.28000000000000003"/>
    <n v="0.28000000000000003"/>
    <n v="0"/>
    <x v="0"/>
    <n v="0"/>
    <n v="0"/>
    <n v="28"/>
    <n v="74"/>
    <n v="0"/>
    <n v="1448.96"/>
    <n v="270.3"/>
    <m/>
    <n v="1479.9458225851192"/>
    <n v="362.70381368696184"/>
    <n v="0"/>
    <n v="405.70880000000005"/>
    <n v="75.684000000000012"/>
    <n v="0"/>
    <n v="414.3848303238334"/>
    <n v="101.55706783234932"/>
  </r>
  <r>
    <s v="Sistema de Compensação"/>
    <x v="1"/>
    <x v="1"/>
    <x v="0"/>
    <x v="0"/>
    <x v="0"/>
    <x v="0"/>
    <x v="1"/>
    <x v="1"/>
    <n v="0"/>
    <n v="0"/>
    <n v="23.716000000000001"/>
    <n v="23.716000000000001"/>
    <n v="23.716000000000001"/>
    <n v="23.716000000000001"/>
    <n v="0"/>
    <x v="0"/>
    <n v="0"/>
    <n v="0"/>
    <n v="28"/>
    <n v="74"/>
    <n v="0"/>
    <n v="1448.96"/>
    <n v="270.3"/>
    <m/>
    <n v="1479.9458225851192"/>
    <n v="362.70381368696184"/>
    <n v="0"/>
    <n v="34363.535360000002"/>
    <n v="6410.4348000000009"/>
    <n v="0"/>
    <n v="35098.395128428689"/>
    <n v="8601.8836453999866"/>
  </r>
  <r>
    <s v="Sistema de Compensação"/>
    <x v="1"/>
    <x v="1"/>
    <x v="0"/>
    <x v="0"/>
    <x v="0"/>
    <x v="0"/>
    <x v="1"/>
    <x v="1"/>
    <n v="0"/>
    <n v="0"/>
    <n v="-2.96"/>
    <n v="-2.96"/>
    <n v="-2.96"/>
    <n v="-2.96"/>
    <n v="0"/>
    <x v="0"/>
    <n v="0"/>
    <n v="0"/>
    <n v="28"/>
    <n v="74"/>
    <n v="0"/>
    <n v="1448.96"/>
    <n v="270.3"/>
    <m/>
    <n v="1479.9458225851192"/>
    <n v="362.70381368696184"/>
    <n v="0"/>
    <n v="-4288.9215999999997"/>
    <n v="-800.08800000000008"/>
    <n v="0"/>
    <n v="-4380.6396348519529"/>
    <n v="-1073.6032885134071"/>
  </r>
  <r>
    <s v="Regular"/>
    <x v="1"/>
    <x v="1"/>
    <x v="0"/>
    <x v="0"/>
    <x v="0"/>
    <x v="0"/>
    <x v="1"/>
    <x v="2"/>
    <n v="0"/>
    <n v="0"/>
    <n v="233.02099999999999"/>
    <n v="233.02099999999999"/>
    <n v="233.02099999999999"/>
    <n v="233.02099999999999"/>
    <n v="0"/>
    <x v="0"/>
    <n v="0"/>
    <n v="0"/>
    <n v="28"/>
    <n v="74"/>
    <n v="0"/>
    <n v="1448.96"/>
    <n v="270.3"/>
    <m/>
    <n v="1479.9458225851192"/>
    <n v="362.70381368696184"/>
    <n v="0"/>
    <n v="337638.10816"/>
    <n v="62985.576300000001"/>
    <n v="0"/>
    <n v="344858.45552460704"/>
    <n v="84517.605369149533"/>
  </r>
  <r>
    <s v="Refaturamento - Regular"/>
    <x v="1"/>
    <x v="1"/>
    <x v="0"/>
    <x v="0"/>
    <x v="0"/>
    <x v="0"/>
    <x v="1"/>
    <x v="2"/>
    <n v="0"/>
    <n v="0"/>
    <n v="-6.1280000000000001"/>
    <n v="-6.1280000000000001"/>
    <n v="-6.1280000000000001"/>
    <n v="-6.1280000000000001"/>
    <n v="0"/>
    <x v="0"/>
    <n v="0"/>
    <n v="0"/>
    <n v="28"/>
    <n v="74"/>
    <n v="0"/>
    <n v="1448.96"/>
    <n v="270.3"/>
    <m/>
    <n v="1479.9458225851192"/>
    <n v="362.70381368696184"/>
    <n v="0"/>
    <n v="-8879.2268800000002"/>
    <n v="-1656.3984"/>
    <n v="0"/>
    <n v="-9069.1080008016106"/>
    <n v="-2222.6489702737022"/>
  </r>
  <r>
    <s v="Sistema Isolado - Regular"/>
    <x v="1"/>
    <x v="1"/>
    <x v="0"/>
    <x v="0"/>
    <x v="0"/>
    <x v="0"/>
    <x v="1"/>
    <x v="2"/>
    <n v="0"/>
    <n v="0"/>
    <n v="52.207999999999998"/>
    <n v="52.207999999999998"/>
    <n v="52.207999999999998"/>
    <n v="52.207999999999998"/>
    <n v="0"/>
    <x v="0"/>
    <n v="0"/>
    <n v="0"/>
    <n v="28"/>
    <n v="74"/>
    <n v="0"/>
    <n v="1448.96"/>
    <n v="270.3"/>
    <m/>
    <n v="1479.9458225851192"/>
    <n v="362.70381368696184"/>
    <n v="0"/>
    <n v="75647.303679999997"/>
    <n v="14111.822400000001"/>
    <n v="0"/>
    <n v="77265.0115055239"/>
    <n v="18936.040704968902"/>
  </r>
  <r>
    <s v="Sistema de Compensação"/>
    <x v="1"/>
    <x v="1"/>
    <x v="0"/>
    <x v="0"/>
    <x v="0"/>
    <x v="0"/>
    <x v="1"/>
    <x v="2"/>
    <n v="0"/>
    <n v="0"/>
    <n v="18.311"/>
    <n v="18.311"/>
    <n v="18.311"/>
    <n v="18.311"/>
    <n v="0"/>
    <x v="0"/>
    <n v="0"/>
    <n v="0"/>
    <n v="28"/>
    <n v="74"/>
    <n v="0"/>
    <n v="1448.96"/>
    <n v="270.3"/>
    <m/>
    <n v="1479.9458225851192"/>
    <n v="362.70381368696184"/>
    <n v="0"/>
    <n v="26531.906559999999"/>
    <n v="4949.4633000000003"/>
    <n v="0"/>
    <n v="27099.287957356119"/>
    <n v="6641.4695324219583"/>
  </r>
  <r>
    <s v="Regular"/>
    <x v="1"/>
    <x v="1"/>
    <x v="0"/>
    <x v="0"/>
    <x v="0"/>
    <x v="0"/>
    <x v="1"/>
    <x v="3"/>
    <n v="0"/>
    <n v="0"/>
    <n v="265.85700000000003"/>
    <n v="265.85700000000003"/>
    <n v="265.85700000000003"/>
    <n v="265.85700000000003"/>
    <n v="0"/>
    <x v="0"/>
    <n v="0"/>
    <n v="0"/>
    <n v="28"/>
    <n v="74"/>
    <n v="0"/>
    <n v="1448.96"/>
    <n v="270.3"/>
    <m/>
    <n v="1479.9458225851192"/>
    <n v="362.70381368696184"/>
    <n v="0"/>
    <n v="385216.15872000006"/>
    <n v="71861.147100000017"/>
    <n v="0"/>
    <n v="393453.95655501209"/>
    <n v="96427.347795374619"/>
  </r>
  <r>
    <s v="Sistema Isolado - Regular"/>
    <x v="1"/>
    <x v="1"/>
    <x v="0"/>
    <x v="0"/>
    <x v="0"/>
    <x v="0"/>
    <x v="1"/>
    <x v="3"/>
    <n v="0"/>
    <n v="0"/>
    <n v="52.104999999999997"/>
    <n v="52.104999999999997"/>
    <n v="52.104999999999997"/>
    <n v="52.104999999999997"/>
    <n v="0"/>
    <x v="0"/>
    <n v="0"/>
    <n v="0"/>
    <n v="28"/>
    <n v="74"/>
    <n v="0"/>
    <n v="1448.96"/>
    <n v="270.3"/>
    <m/>
    <n v="1479.9458225851192"/>
    <n v="362.70381368696184"/>
    <n v="0"/>
    <n v="75498.060799999992"/>
    <n v="14083.9815"/>
    <n v="0"/>
    <n v="77112.577085797631"/>
    <n v="18898.682212159147"/>
  </r>
  <r>
    <s v="Sistema de Compensação"/>
    <x v="1"/>
    <x v="1"/>
    <x v="0"/>
    <x v="0"/>
    <x v="0"/>
    <x v="0"/>
    <x v="1"/>
    <x v="3"/>
    <n v="0"/>
    <n v="0"/>
    <n v="32.061"/>
    <n v="32.061"/>
    <n v="32.061"/>
    <n v="32.061"/>
    <n v="0"/>
    <x v="0"/>
    <n v="0"/>
    <n v="0"/>
    <n v="28"/>
    <n v="74"/>
    <n v="0"/>
    <n v="1448.96"/>
    <n v="270.3"/>
    <m/>
    <n v="1479.9458225851192"/>
    <n v="362.70381368696184"/>
    <n v="0"/>
    <n v="46455.10656"/>
    <n v="8666.0883000000013"/>
    <n v="0"/>
    <n v="47448.543017901509"/>
    <n v="11628.646970617683"/>
  </r>
  <r>
    <s v="Regular"/>
    <x v="1"/>
    <x v="1"/>
    <x v="0"/>
    <x v="0"/>
    <x v="0"/>
    <x v="0"/>
    <x v="1"/>
    <x v="4"/>
    <n v="0"/>
    <n v="0"/>
    <n v="259.41300000000001"/>
    <n v="259.41300000000001"/>
    <n v="259.41300000000001"/>
    <n v="259.41300000000001"/>
    <n v="0"/>
    <x v="0"/>
    <n v="0"/>
    <n v="0"/>
    <n v="28"/>
    <n v="74"/>
    <n v="0"/>
    <n v="1448.96"/>
    <n v="270.3"/>
    <m/>
    <n v="1479.9458225851192"/>
    <n v="362.70381368696184"/>
    <n v="0"/>
    <n v="375879.06048000004"/>
    <n v="70119.333900000012"/>
    <n v="0"/>
    <n v="383917.18567427353"/>
    <n v="94090.084419975828"/>
  </r>
  <r>
    <s v="Sistema Isolado - Regular"/>
    <x v="1"/>
    <x v="1"/>
    <x v="0"/>
    <x v="0"/>
    <x v="0"/>
    <x v="0"/>
    <x v="1"/>
    <x v="4"/>
    <n v="0"/>
    <n v="0"/>
    <n v="54.31"/>
    <n v="54.31"/>
    <n v="54.31"/>
    <n v="54.31"/>
    <n v="0"/>
    <x v="0"/>
    <n v="0"/>
    <n v="0"/>
    <n v="28"/>
    <n v="74"/>
    <n v="0"/>
    <n v="1448.96"/>
    <n v="270.3"/>
    <m/>
    <n v="1479.9458225851192"/>
    <n v="362.70381368696184"/>
    <n v="0"/>
    <n v="78693.017600000006"/>
    <n v="14679.993"/>
    <n v="0"/>
    <n v="80375.857624597833"/>
    <n v="19698.4441213389"/>
  </r>
  <r>
    <s v="Sistema de Compensação"/>
    <x v="1"/>
    <x v="1"/>
    <x v="0"/>
    <x v="0"/>
    <x v="0"/>
    <x v="0"/>
    <x v="1"/>
    <x v="4"/>
    <n v="0"/>
    <n v="0"/>
    <n v="34.238"/>
    <n v="34.238"/>
    <n v="34.238"/>
    <n v="34.238"/>
    <n v="0"/>
    <x v="0"/>
    <n v="0"/>
    <n v="0"/>
    <n v="28"/>
    <n v="74"/>
    <n v="0"/>
    <n v="1448.96"/>
    <n v="270.3"/>
    <m/>
    <n v="1479.9458225851192"/>
    <n v="362.70381368696184"/>
    <n v="0"/>
    <n v="49609.492480000001"/>
    <n v="9254.5313999999998"/>
    <n v="0"/>
    <n v="50670.385073669313"/>
    <n v="12418.2531730142"/>
  </r>
  <r>
    <s v="Regular"/>
    <x v="1"/>
    <x v="1"/>
    <x v="0"/>
    <x v="0"/>
    <x v="0"/>
    <x v="0"/>
    <x v="1"/>
    <x v="5"/>
    <n v="0"/>
    <n v="0"/>
    <n v="271.209"/>
    <n v="271.209"/>
    <n v="271.209"/>
    <n v="271.209"/>
    <n v="0"/>
    <x v="0"/>
    <n v="0"/>
    <n v="0"/>
    <n v="28"/>
    <n v="74"/>
    <n v="0"/>
    <n v="1448.96"/>
    <n v="270.3"/>
    <m/>
    <n v="1479.9458225851192"/>
    <n v="362.70381368696184"/>
    <n v="0"/>
    <n v="392970.99264000001"/>
    <n v="73307.792700000005"/>
    <n v="0"/>
    <n v="401374.6265974876"/>
    <n v="98368.53860622723"/>
  </r>
  <r>
    <s v="Sistema Isolado - Regular"/>
    <x v="1"/>
    <x v="1"/>
    <x v="0"/>
    <x v="0"/>
    <x v="0"/>
    <x v="0"/>
    <x v="1"/>
    <x v="5"/>
    <n v="0"/>
    <n v="0"/>
    <n v="53.814"/>
    <n v="53.814"/>
    <n v="53.814"/>
    <n v="53.814"/>
    <n v="0"/>
    <x v="0"/>
    <n v="0"/>
    <n v="0"/>
    <n v="28"/>
    <n v="74"/>
    <n v="0"/>
    <n v="1448.96"/>
    <n v="270.3"/>
    <m/>
    <n v="1479.9458225851192"/>
    <n v="362.70381368696184"/>
    <n v="0"/>
    <n v="77974.333440000002"/>
    <n v="14545.924200000001"/>
    <n v="0"/>
    <n v="79641.804496595607"/>
    <n v="19518.543029750163"/>
  </r>
  <r>
    <s v="Sistema de Compensação"/>
    <x v="1"/>
    <x v="1"/>
    <x v="0"/>
    <x v="0"/>
    <x v="0"/>
    <x v="0"/>
    <x v="1"/>
    <x v="5"/>
    <n v="0"/>
    <n v="0"/>
    <n v="35.53"/>
    <n v="35.53"/>
    <n v="35.53"/>
    <n v="35.53"/>
    <n v="0"/>
    <x v="0"/>
    <n v="0"/>
    <n v="0"/>
    <n v="28"/>
    <n v="74"/>
    <n v="0"/>
    <n v="1448.96"/>
    <n v="270.3"/>
    <m/>
    <n v="1479.9458225851192"/>
    <n v="362.70381368696184"/>
    <n v="0"/>
    <n v="51481.548800000004"/>
    <n v="9603.759"/>
    <n v="0"/>
    <n v="52582.475076449286"/>
    <n v="12886.866500297754"/>
  </r>
  <r>
    <s v="Regular"/>
    <x v="1"/>
    <x v="1"/>
    <x v="0"/>
    <x v="0"/>
    <x v="0"/>
    <x v="0"/>
    <x v="1"/>
    <x v="6"/>
    <n v="0"/>
    <n v="0"/>
    <n v="257.512"/>
    <n v="257.512"/>
    <n v="257.512"/>
    <n v="257.512"/>
    <n v="0"/>
    <x v="0"/>
    <n v="0"/>
    <n v="0"/>
    <n v="28"/>
    <n v="74"/>
    <n v="0"/>
    <n v="1448.96"/>
    <n v="270.3"/>
    <m/>
    <n v="1479.9458225851192"/>
    <n v="362.70381368696184"/>
    <n v="0"/>
    <n v="373124.58752"/>
    <n v="69605.493600000002"/>
    <n v="0"/>
    <n v="381103.8086655392"/>
    <n v="93400.584470156915"/>
  </r>
  <r>
    <s v="Refaturamento - Regular"/>
    <x v="1"/>
    <x v="1"/>
    <x v="0"/>
    <x v="0"/>
    <x v="0"/>
    <x v="0"/>
    <x v="1"/>
    <x v="6"/>
    <n v="0"/>
    <n v="0"/>
    <n v="0.34100000000000003"/>
    <n v="0.34100000000000003"/>
    <n v="0.34100000000000003"/>
    <n v="0.34100000000000003"/>
    <n v="0"/>
    <x v="0"/>
    <n v="0"/>
    <n v="0"/>
    <n v="28"/>
    <n v="74"/>
    <n v="0"/>
    <n v="1448.96"/>
    <n v="270.3"/>
    <m/>
    <n v="1479.9458225851192"/>
    <n v="362.70381368696184"/>
    <n v="0"/>
    <n v="494.09536000000003"/>
    <n v="92.172300000000007"/>
    <n v="0"/>
    <n v="504.66152550152572"/>
    <n v="123.682000467254"/>
  </r>
  <r>
    <s v="Sistema Isolado - Regular"/>
    <x v="1"/>
    <x v="1"/>
    <x v="0"/>
    <x v="0"/>
    <x v="0"/>
    <x v="0"/>
    <x v="1"/>
    <x v="6"/>
    <n v="0"/>
    <n v="0"/>
    <n v="53.74"/>
    <n v="53.74"/>
    <n v="53.74"/>
    <n v="53.74"/>
    <n v="0"/>
    <x v="0"/>
    <n v="0"/>
    <n v="0"/>
    <n v="28"/>
    <n v="74"/>
    <n v="0"/>
    <n v="1448.96"/>
    <n v="270.3"/>
    <m/>
    <n v="1479.9458225851192"/>
    <n v="362.70381368696184"/>
    <n v="0"/>
    <n v="77867.110400000005"/>
    <n v="14525.922"/>
    <n v="0"/>
    <n v="79532.288505724311"/>
    <n v="19491.702947537331"/>
  </r>
  <r>
    <s v="Sistema de Compensação"/>
    <x v="1"/>
    <x v="1"/>
    <x v="0"/>
    <x v="0"/>
    <x v="0"/>
    <x v="0"/>
    <x v="1"/>
    <x v="6"/>
    <n v="0"/>
    <n v="0"/>
    <n v="40.865000000000002"/>
    <n v="40.865000000000002"/>
    <n v="40.865000000000002"/>
    <n v="40.865000000000002"/>
    <n v="0"/>
    <x v="0"/>
    <n v="0"/>
    <n v="0"/>
    <n v="28"/>
    <n v="74"/>
    <n v="0"/>
    <n v="1448.96"/>
    <n v="270.3"/>
    <m/>
    <n v="1479.9458225851192"/>
    <n v="362.70381368696184"/>
    <n v="0"/>
    <n v="59211.750400000004"/>
    <n v="11045.809500000001"/>
    <n v="0"/>
    <n v="60477.986039940901"/>
    <n v="14821.891346317696"/>
  </r>
  <r>
    <s v="Sistema de Compensação"/>
    <x v="1"/>
    <x v="1"/>
    <x v="0"/>
    <x v="0"/>
    <x v="0"/>
    <x v="0"/>
    <x v="1"/>
    <x v="6"/>
    <n v="0"/>
    <n v="0"/>
    <n v="-1.649"/>
    <n v="-1.649"/>
    <n v="-1.649"/>
    <n v="-1.649"/>
    <n v="0"/>
    <x v="0"/>
    <n v="0"/>
    <n v="0"/>
    <n v="28"/>
    <n v="74"/>
    <n v="0"/>
    <n v="1448.96"/>
    <n v="270.3"/>
    <m/>
    <n v="1479.9458225851192"/>
    <n v="362.70381368696184"/>
    <n v="0"/>
    <n v="-2389.3350399999999"/>
    <n v="-445.72470000000004"/>
    <n v="0"/>
    <n v="-2440.4306614428615"/>
    <n v="-598.09858876980013"/>
  </r>
  <r>
    <s v="Regular"/>
    <x v="1"/>
    <x v="1"/>
    <x v="0"/>
    <x v="0"/>
    <x v="0"/>
    <x v="0"/>
    <x v="1"/>
    <x v="7"/>
    <n v="0"/>
    <n v="0"/>
    <n v="248.85400000000001"/>
    <n v="248.85400000000001"/>
    <n v="248.85400000000001"/>
    <n v="248.85400000000001"/>
    <n v="0"/>
    <x v="0"/>
    <n v="0"/>
    <n v="0"/>
    <n v="28"/>
    <n v="74"/>
    <n v="0"/>
    <n v="1448.96"/>
    <n v="270.3"/>
    <m/>
    <n v="1479.9458225851192"/>
    <n v="362.70381368696184"/>
    <n v="0"/>
    <n v="360579.49184000003"/>
    <n v="67265.236199999999"/>
    <n v="0"/>
    <n v="368290.4377335973"/>
    <n v="90260.29485125521"/>
  </r>
  <r>
    <s v="Sistema Isolado - Regular"/>
    <x v="1"/>
    <x v="1"/>
    <x v="0"/>
    <x v="0"/>
    <x v="0"/>
    <x v="0"/>
    <x v="1"/>
    <x v="7"/>
    <n v="0"/>
    <n v="0"/>
    <n v="57.252000000000002"/>
    <n v="57.252000000000002"/>
    <n v="57.252000000000002"/>
    <n v="57.252000000000002"/>
    <n v="0"/>
    <x v="0"/>
    <n v="0"/>
    <n v="0"/>
    <n v="28"/>
    <n v="74"/>
    <n v="0"/>
    <n v="1448.96"/>
    <n v="270.3"/>
    <m/>
    <n v="1479.9458225851192"/>
    <n v="362.70381368696184"/>
    <n v="0"/>
    <n v="82955.857920000009"/>
    <n v="15475.215600000001"/>
    <n v="0"/>
    <n v="84729.858234643252"/>
    <n v="20765.518741205939"/>
  </r>
  <r>
    <s v="Sistema de Compensação"/>
    <x v="1"/>
    <x v="1"/>
    <x v="0"/>
    <x v="0"/>
    <x v="0"/>
    <x v="0"/>
    <x v="1"/>
    <x v="7"/>
    <n v="0"/>
    <n v="0"/>
    <n v="41.747"/>
    <n v="41.747"/>
    <n v="41.747"/>
    <n v="41.747"/>
    <n v="0"/>
    <x v="0"/>
    <n v="0"/>
    <n v="0"/>
    <n v="28"/>
    <n v="74"/>
    <n v="0"/>
    <n v="1448.96"/>
    <n v="270.3"/>
    <m/>
    <n v="1479.9458225851192"/>
    <n v="362.70381368696184"/>
    <n v="0"/>
    <n v="60489.733120000004"/>
    <n v="11284.214100000001"/>
    <n v="0"/>
    <n v="61783.29825546097"/>
    <n v="15141.796109989597"/>
  </r>
  <r>
    <s v="Regular"/>
    <x v="1"/>
    <x v="1"/>
    <x v="0"/>
    <x v="0"/>
    <x v="0"/>
    <x v="0"/>
    <x v="1"/>
    <x v="8"/>
    <n v="0"/>
    <n v="0"/>
    <n v="307.04700000000003"/>
    <n v="307.04700000000003"/>
    <n v="307.04700000000003"/>
    <n v="307.04700000000003"/>
    <n v="0"/>
    <x v="0"/>
    <n v="0"/>
    <n v="0"/>
    <n v="28"/>
    <n v="74"/>
    <n v="0"/>
    <n v="1448.96"/>
    <n v="270.3"/>
    <m/>
    <n v="1479.9458225851192"/>
    <n v="362.70381368696184"/>
    <n v="0"/>
    <n v="444898.82112000004"/>
    <n v="82994.804100000008"/>
    <n v="0"/>
    <n v="454412.92498729314"/>
    <n v="111367.11788114058"/>
  </r>
  <r>
    <s v="Sistema Isolado - Regular"/>
    <x v="1"/>
    <x v="1"/>
    <x v="0"/>
    <x v="0"/>
    <x v="0"/>
    <x v="0"/>
    <x v="1"/>
    <x v="8"/>
    <n v="0"/>
    <n v="0"/>
    <n v="59.271000000000001"/>
    <n v="59.271000000000001"/>
    <n v="59.271000000000001"/>
    <n v="59.271000000000001"/>
    <n v="0"/>
    <x v="0"/>
    <n v="0"/>
    <n v="0"/>
    <n v="28"/>
    <n v="74"/>
    <n v="0"/>
    <n v="1448.96"/>
    <n v="270.3"/>
    <m/>
    <n v="1479.9458225851192"/>
    <n v="362.70381368696184"/>
    <n v="0"/>
    <n v="85881.30816"/>
    <n v="16020.951300000001"/>
    <n v="0"/>
    <n v="87717.86885044261"/>
    <n v="21497.817741039915"/>
  </r>
  <r>
    <s v="Sistema de Compensação"/>
    <x v="1"/>
    <x v="1"/>
    <x v="0"/>
    <x v="0"/>
    <x v="0"/>
    <x v="0"/>
    <x v="1"/>
    <x v="8"/>
    <n v="0"/>
    <n v="0"/>
    <n v="50.582000000000001"/>
    <n v="50.582000000000001"/>
    <n v="50.582000000000001"/>
    <n v="50.582000000000001"/>
    <n v="0"/>
    <x v="0"/>
    <n v="0"/>
    <n v="0"/>
    <n v="28"/>
    <n v="74"/>
    <n v="0"/>
    <n v="1448.96"/>
    <n v="270.3"/>
    <m/>
    <n v="1479.9458225851192"/>
    <n v="362.70381368696184"/>
    <n v="0"/>
    <n v="73291.294720000005"/>
    <n v="13672.314600000002"/>
    <n v="0"/>
    <n v="74858.6195980005"/>
    <n v="18346.284303913904"/>
  </r>
  <r>
    <s v="Sistema de Compensação"/>
    <x v="1"/>
    <x v="1"/>
    <x v="0"/>
    <x v="0"/>
    <x v="0"/>
    <x v="0"/>
    <x v="1"/>
    <x v="8"/>
    <n v="0"/>
    <n v="0"/>
    <n v="-3.9359999999999999"/>
    <n v="-3.9359999999999999"/>
    <n v="-3.9359999999999999"/>
    <n v="-3.9359999999999999"/>
    <n v="0"/>
    <x v="0"/>
    <n v="0"/>
    <n v="0"/>
    <n v="28"/>
    <n v="74"/>
    <n v="0"/>
    <n v="1448.96"/>
    <n v="270.3"/>
    <m/>
    <n v="1479.9458225851192"/>
    <n v="362.70381368696184"/>
    <n v="0"/>
    <n v="-5703.1065600000002"/>
    <n v="-1063.9008000000001"/>
    <n v="0"/>
    <n v="-5825.0667576950291"/>
    <n v="-1427.6022106718817"/>
  </r>
  <r>
    <s v="Regular"/>
    <x v="1"/>
    <x v="1"/>
    <x v="0"/>
    <x v="0"/>
    <x v="0"/>
    <x v="0"/>
    <x v="1"/>
    <x v="9"/>
    <n v="0"/>
    <n v="0"/>
    <n v="303.61900000000003"/>
    <n v="303.61900000000003"/>
    <n v="303.61900000000003"/>
    <n v="303.61900000000003"/>
    <n v="0"/>
    <x v="0"/>
    <n v="0"/>
    <n v="0"/>
    <n v="28"/>
    <n v="74"/>
    <n v="0"/>
    <n v="1448.96"/>
    <n v="270.3"/>
    <m/>
    <n v="1479.9458225851192"/>
    <n v="362.70381368696184"/>
    <n v="0"/>
    <n v="439931.78624000004"/>
    <n v="82068.215700000015"/>
    <n v="0"/>
    <n v="449339.67070747138"/>
    <n v="110123.76920782168"/>
  </r>
  <r>
    <s v="Sistema Isolado - Regular"/>
    <x v="1"/>
    <x v="1"/>
    <x v="0"/>
    <x v="0"/>
    <x v="0"/>
    <x v="0"/>
    <x v="1"/>
    <x v="9"/>
    <n v="0"/>
    <n v="0"/>
    <n v="60.183999999999997"/>
    <n v="60.183999999999997"/>
    <n v="60.183999999999997"/>
    <n v="60.183999999999997"/>
    <n v="0"/>
    <x v="0"/>
    <n v="0"/>
    <n v="0"/>
    <n v="28"/>
    <n v="74"/>
    <n v="0"/>
    <n v="1448.96"/>
    <n v="270.3"/>
    <m/>
    <n v="1479.9458225851192"/>
    <n v="362.70381368696184"/>
    <n v="0"/>
    <n v="87204.208639999997"/>
    <n v="16267.735199999999"/>
    <n v="0"/>
    <n v="89069.059386462817"/>
    <n v="21828.96632293611"/>
  </r>
  <r>
    <s v="Sistema de Compensação"/>
    <x v="1"/>
    <x v="1"/>
    <x v="0"/>
    <x v="0"/>
    <x v="0"/>
    <x v="0"/>
    <x v="1"/>
    <x v="9"/>
    <n v="0"/>
    <n v="0"/>
    <n v="54.771000000000001"/>
    <n v="54.771000000000001"/>
    <n v="54.771000000000001"/>
    <n v="54.771000000000001"/>
    <n v="0"/>
    <x v="0"/>
    <n v="0"/>
    <n v="0"/>
    <n v="28"/>
    <n v="74"/>
    <n v="0"/>
    <n v="1448.96"/>
    <n v="270.3"/>
    <m/>
    <n v="1479.9458225851192"/>
    <n v="362.70381368696184"/>
    <n v="0"/>
    <n v="79360.988160000008"/>
    <n v="14804.6013"/>
    <n v="0"/>
    <n v="81058.112648809562"/>
    <n v="19865.650579448586"/>
  </r>
  <r>
    <s v="Regular"/>
    <x v="1"/>
    <x v="1"/>
    <x v="0"/>
    <x v="0"/>
    <x v="0"/>
    <x v="0"/>
    <x v="1"/>
    <x v="10"/>
    <n v="0"/>
    <n v="0"/>
    <n v="301.10399999999998"/>
    <n v="301.10399999999998"/>
    <n v="301.10399999999998"/>
    <n v="301.10399999999998"/>
    <n v="0"/>
    <x v="0"/>
    <n v="0"/>
    <n v="0"/>
    <n v="28"/>
    <n v="74"/>
    <n v="0"/>
    <n v="1448.96"/>
    <n v="270.3"/>
    <m/>
    <n v="1479.9458225851192"/>
    <n v="362.70381368696184"/>
    <n v="0"/>
    <n v="436287.65184000001"/>
    <n v="81388.411200000002"/>
    <n v="0"/>
    <n v="445617.60696366971"/>
    <n v="109211.56911639895"/>
  </r>
  <r>
    <s v="Sistema Isolado - Regular"/>
    <x v="1"/>
    <x v="1"/>
    <x v="0"/>
    <x v="0"/>
    <x v="0"/>
    <x v="0"/>
    <x v="1"/>
    <x v="10"/>
    <n v="0"/>
    <n v="0"/>
    <n v="58.012999999999998"/>
    <n v="58.012999999999998"/>
    <n v="58.012999999999998"/>
    <n v="58.012999999999998"/>
    <n v="0"/>
    <x v="0"/>
    <n v="0"/>
    <n v="0"/>
    <n v="28"/>
    <n v="74"/>
    <n v="0"/>
    <n v="1448.96"/>
    <n v="270.3"/>
    <m/>
    <n v="1479.9458225851192"/>
    <n v="362.70381368696184"/>
    <n v="0"/>
    <n v="84058.516480000006"/>
    <n v="15680.9139"/>
    <n v="0"/>
    <n v="85856.097005630523"/>
    <n v="21041.536343421718"/>
  </r>
  <r>
    <s v="Sistema de Compensação"/>
    <x v="1"/>
    <x v="1"/>
    <x v="0"/>
    <x v="0"/>
    <x v="0"/>
    <x v="0"/>
    <x v="1"/>
    <x v="10"/>
    <n v="0"/>
    <n v="0"/>
    <n v="55.640999999999998"/>
    <n v="55.640999999999998"/>
    <n v="55.640999999999998"/>
    <n v="55.640999999999998"/>
    <n v="0"/>
    <x v="0"/>
    <n v="0"/>
    <n v="0"/>
    <n v="28"/>
    <n v="74"/>
    <n v="0"/>
    <n v="1448.96"/>
    <n v="270.3"/>
    <m/>
    <n v="1479.9458225851192"/>
    <n v="362.70381368696184"/>
    <n v="0"/>
    <n v="80621.583360000004"/>
    <n v="15039.7623"/>
    <n v="0"/>
    <n v="82345.665514458611"/>
    <n v="20181.202897356245"/>
  </r>
  <r>
    <s v="PROJETADO"/>
    <x v="1"/>
    <x v="1"/>
    <x v="0"/>
    <x v="0"/>
    <x v="0"/>
    <x v="0"/>
    <x v="1"/>
    <x v="11"/>
    <n v="0"/>
    <n v="0"/>
    <n v="301.10399999999998"/>
    <n v="301.10399999999998"/>
    <n v="301.10399999999998"/>
    <n v="301.10399999999998"/>
    <n v="0"/>
    <x v="0"/>
    <n v="0"/>
    <n v="0"/>
    <n v="28"/>
    <n v="74"/>
    <n v="0"/>
    <n v="1448.96"/>
    <n v="270.3"/>
    <m/>
    <n v="1479.9458225851192"/>
    <n v="362.70381368696184"/>
    <n v="0"/>
    <n v="436287.65184000001"/>
    <n v="81388.411200000002"/>
    <n v="0"/>
    <n v="445617.60696366971"/>
    <n v="109211.56911639895"/>
  </r>
  <r>
    <s v="PROJETADO"/>
    <x v="1"/>
    <x v="1"/>
    <x v="0"/>
    <x v="0"/>
    <x v="0"/>
    <x v="0"/>
    <x v="1"/>
    <x v="11"/>
    <n v="0"/>
    <n v="0"/>
    <n v="58.012999999999998"/>
    <n v="58.012999999999998"/>
    <n v="58.012999999999998"/>
    <n v="58.012999999999998"/>
    <n v="0"/>
    <x v="0"/>
    <n v="0"/>
    <n v="0"/>
    <n v="28"/>
    <n v="74"/>
    <n v="0"/>
    <n v="1448.96"/>
    <n v="270.3"/>
    <m/>
    <n v="1479.9458225851192"/>
    <n v="362.70381368696184"/>
    <n v="0"/>
    <n v="84058.516480000006"/>
    <n v="15680.9139"/>
    <n v="0"/>
    <n v="85856.097005630523"/>
    <n v="21041.536343421718"/>
  </r>
  <r>
    <s v="PROJETADO"/>
    <x v="1"/>
    <x v="1"/>
    <x v="0"/>
    <x v="0"/>
    <x v="0"/>
    <x v="0"/>
    <x v="1"/>
    <x v="11"/>
    <n v="0"/>
    <n v="0"/>
    <n v="55.640999999999998"/>
    <n v="55.640999999999998"/>
    <n v="55.640999999999998"/>
    <n v="55.640999999999998"/>
    <n v="0"/>
    <x v="0"/>
    <n v="0"/>
    <n v="0"/>
    <n v="28"/>
    <n v="74"/>
    <n v="0"/>
    <n v="1448.96"/>
    <n v="270.3"/>
    <m/>
    <n v="1479.9458225851192"/>
    <n v="362.70381368696184"/>
    <n v="0"/>
    <n v="80621.583360000004"/>
    <n v="15039.7623"/>
    <n v="0"/>
    <n v="82345.665514458611"/>
    <n v="20181.202897356245"/>
  </r>
  <r>
    <s v="Regular"/>
    <x v="1"/>
    <x v="1"/>
    <x v="6"/>
    <x v="0"/>
    <x v="0"/>
    <x v="0"/>
    <x v="0"/>
    <x v="0"/>
    <n v="0"/>
    <n v="0"/>
    <n v="40.799999999999997"/>
    <n v="40.799999999999997"/>
    <n v="40.799999999999997"/>
    <n v="40.799999999999997"/>
    <n v="0"/>
    <x v="0"/>
    <n v="0"/>
    <n v="0"/>
    <n v="29"/>
    <n v="75"/>
    <n v="0"/>
    <n v="84.31"/>
    <n v="168.06"/>
    <m/>
    <n v="113.43802162385306"/>
    <n v="218.7322873480222"/>
    <n v="0"/>
    <n v="3439.848"/>
    <n v="6856.848"/>
    <n v="0"/>
    <n v="4628.2712822532048"/>
    <n v="8924.2773237993042"/>
  </r>
  <r>
    <s v="Regular"/>
    <x v="1"/>
    <x v="1"/>
    <x v="6"/>
    <x v="0"/>
    <x v="0"/>
    <x v="0"/>
    <x v="0"/>
    <x v="1"/>
    <n v="0"/>
    <n v="0"/>
    <n v="52.966999999999999"/>
    <n v="52.966999999999999"/>
    <n v="52.966999999999999"/>
    <n v="52.966999999999999"/>
    <n v="0"/>
    <x v="0"/>
    <n v="0"/>
    <n v="0"/>
    <n v="29"/>
    <n v="75"/>
    <n v="0"/>
    <n v="84.31"/>
    <n v="168.06"/>
    <m/>
    <n v="113.43802162385306"/>
    <n v="218.7322873480222"/>
    <n v="0"/>
    <n v="4465.6477699999996"/>
    <n v="8901.6340199999995"/>
    <n v="0"/>
    <n v="6008.4716913506245"/>
    <n v="11585.593063962691"/>
  </r>
  <r>
    <s v="Regular"/>
    <x v="1"/>
    <x v="1"/>
    <x v="6"/>
    <x v="0"/>
    <x v="0"/>
    <x v="0"/>
    <x v="0"/>
    <x v="2"/>
    <n v="0"/>
    <n v="0"/>
    <n v="57.942"/>
    <n v="57.942"/>
    <n v="57.942"/>
    <n v="57.942"/>
    <n v="0"/>
    <x v="0"/>
    <n v="0"/>
    <n v="0"/>
    <n v="29"/>
    <n v="75"/>
    <n v="0"/>
    <n v="84.31"/>
    <n v="168.06"/>
    <m/>
    <n v="113.43802162385306"/>
    <n v="218.7322873480222"/>
    <n v="0"/>
    <n v="4885.0900200000005"/>
    <n v="9737.7325199999996"/>
    <n v="0"/>
    <n v="6572.8258489292939"/>
    <n v="12673.786193519101"/>
  </r>
  <r>
    <s v="Regular"/>
    <x v="1"/>
    <x v="1"/>
    <x v="6"/>
    <x v="0"/>
    <x v="0"/>
    <x v="0"/>
    <x v="0"/>
    <x v="3"/>
    <n v="0"/>
    <n v="0"/>
    <n v="62.332999999999998"/>
    <n v="62.332999999999998"/>
    <n v="62.332999999999998"/>
    <n v="62.332999999999998"/>
    <n v="0"/>
    <x v="0"/>
    <n v="0"/>
    <n v="0"/>
    <n v="29"/>
    <n v="75"/>
    <n v="0"/>
    <n v="84.31"/>
    <n v="168.06"/>
    <m/>
    <n v="113.43802162385306"/>
    <n v="218.7322873480222"/>
    <n v="0"/>
    <n v="5255.2952299999997"/>
    <n v="10475.68398"/>
    <n v="0"/>
    <n v="7070.9322018796329"/>
    <n v="13634.239667264268"/>
  </r>
  <r>
    <s v="Regular"/>
    <x v="1"/>
    <x v="1"/>
    <x v="6"/>
    <x v="0"/>
    <x v="0"/>
    <x v="0"/>
    <x v="0"/>
    <x v="4"/>
    <n v="0"/>
    <n v="0"/>
    <n v="61.194000000000003"/>
    <n v="61.194000000000003"/>
    <n v="61.194000000000003"/>
    <n v="61.194000000000003"/>
    <n v="0"/>
    <x v="0"/>
    <n v="0"/>
    <n v="0"/>
    <n v="29"/>
    <n v="75"/>
    <n v="0"/>
    <n v="84.31"/>
    <n v="168.06"/>
    <m/>
    <n v="113.43802162385306"/>
    <n v="218.7322873480222"/>
    <n v="0"/>
    <n v="5159.2661400000006"/>
    <n v="10284.263640000001"/>
    <n v="0"/>
    <n v="6941.7262952500641"/>
    <n v="13385.10359197487"/>
  </r>
  <r>
    <s v="Regular"/>
    <x v="1"/>
    <x v="1"/>
    <x v="6"/>
    <x v="0"/>
    <x v="0"/>
    <x v="0"/>
    <x v="0"/>
    <x v="5"/>
    <n v="0"/>
    <n v="0"/>
    <n v="65.216999999999999"/>
    <n v="65.216999999999999"/>
    <n v="65.216999999999999"/>
    <n v="65.216999999999999"/>
    <n v="0"/>
    <x v="0"/>
    <n v="0"/>
    <n v="0"/>
    <n v="29"/>
    <n v="75"/>
    <n v="0"/>
    <n v="84.31"/>
    <n v="168.06"/>
    <m/>
    <n v="113.43802162385306"/>
    <n v="218.7322873480222"/>
    <n v="0"/>
    <n v="5498.4452700000002"/>
    <n v="10960.36902"/>
    <n v="0"/>
    <n v="7398.0874562428253"/>
    <n v="14265.063583975963"/>
  </r>
  <r>
    <s v="Regular"/>
    <x v="1"/>
    <x v="1"/>
    <x v="6"/>
    <x v="0"/>
    <x v="0"/>
    <x v="0"/>
    <x v="0"/>
    <x v="6"/>
    <n v="0"/>
    <n v="0"/>
    <n v="58.155000000000001"/>
    <n v="58.155000000000001"/>
    <n v="58.155000000000001"/>
    <n v="58.155000000000001"/>
    <n v="0"/>
    <x v="0"/>
    <n v="0"/>
    <n v="0"/>
    <n v="29"/>
    <n v="75"/>
    <n v="0"/>
    <n v="84.31"/>
    <n v="168.06"/>
    <m/>
    <n v="113.43802162385306"/>
    <n v="218.7322873480222"/>
    <n v="0"/>
    <n v="4903.0480500000003"/>
    <n v="9773.5293000000001"/>
    <n v="0"/>
    <n v="6596.9881475351749"/>
    <n v="12720.376170724232"/>
  </r>
  <r>
    <s v="Regular"/>
    <x v="1"/>
    <x v="1"/>
    <x v="6"/>
    <x v="0"/>
    <x v="0"/>
    <x v="0"/>
    <x v="0"/>
    <x v="7"/>
    <n v="0"/>
    <n v="0"/>
    <n v="72.296999999999997"/>
    <n v="72.296999999999997"/>
    <n v="72.296999999999997"/>
    <n v="72.296999999999997"/>
    <n v="0"/>
    <x v="0"/>
    <n v="0"/>
    <n v="0"/>
    <n v="29"/>
    <n v="75"/>
    <n v="0"/>
    <n v="84.31"/>
    <n v="168.06"/>
    <m/>
    <n v="113.43802162385306"/>
    <n v="218.7322873480222"/>
    <n v="0"/>
    <n v="6095.3600699999997"/>
    <n v="12150.233819999999"/>
    <n v="0"/>
    <n v="8201.2286493397041"/>
    <n v="15813.68817839996"/>
  </r>
  <r>
    <s v="Regular"/>
    <x v="1"/>
    <x v="1"/>
    <x v="6"/>
    <x v="0"/>
    <x v="0"/>
    <x v="0"/>
    <x v="0"/>
    <x v="8"/>
    <n v="0"/>
    <n v="0"/>
    <n v="38.909999999999997"/>
    <n v="38.909999999999997"/>
    <n v="38.909999999999997"/>
    <n v="38.909999999999997"/>
    <n v="0"/>
    <x v="0"/>
    <n v="0"/>
    <n v="0"/>
    <n v="29"/>
    <n v="75"/>
    <n v="0"/>
    <n v="84.31"/>
    <n v="168.06"/>
    <m/>
    <n v="113.43802162385306"/>
    <n v="218.7322873480222"/>
    <n v="0"/>
    <n v="3280.5020999999997"/>
    <n v="6539.2145999999993"/>
    <n v="0"/>
    <n v="4413.8734213841226"/>
    <n v="8510.8733007115425"/>
  </r>
  <r>
    <s v="Regular"/>
    <x v="1"/>
    <x v="1"/>
    <x v="6"/>
    <x v="0"/>
    <x v="0"/>
    <x v="0"/>
    <x v="0"/>
    <x v="9"/>
    <n v="0"/>
    <n v="0"/>
    <n v="41.789000000000001"/>
    <n v="41.789000000000001"/>
    <n v="41.789000000000001"/>
    <n v="41.789000000000001"/>
    <n v="0"/>
    <x v="0"/>
    <n v="0"/>
    <n v="0"/>
    <n v="29"/>
    <n v="75"/>
    <n v="0"/>
    <n v="84.31"/>
    <n v="168.06"/>
    <m/>
    <n v="113.43802162385306"/>
    <n v="218.7322873480222"/>
    <n v="0"/>
    <n v="3523.2305900000001"/>
    <n v="7023.0593400000007"/>
    <n v="0"/>
    <n v="4740.4614856391954"/>
    <n v="9140.6035559864995"/>
  </r>
  <r>
    <s v="Regular"/>
    <x v="1"/>
    <x v="1"/>
    <x v="6"/>
    <x v="0"/>
    <x v="0"/>
    <x v="0"/>
    <x v="0"/>
    <x v="10"/>
    <n v="0"/>
    <n v="0"/>
    <n v="77.007999999999996"/>
    <n v="77.007999999999996"/>
    <n v="77.007999999999996"/>
    <n v="77.007999999999996"/>
    <n v="0"/>
    <x v="0"/>
    <n v="0"/>
    <n v="0"/>
    <n v="29"/>
    <n v="75"/>
    <n v="0"/>
    <n v="84.31"/>
    <n v="168.06"/>
    <m/>
    <n v="113.43802162385306"/>
    <n v="218.7322873480222"/>
    <n v="0"/>
    <n v="6492.5444799999996"/>
    <n v="12941.964479999999"/>
    <n v="0"/>
    <n v="8735.635169209676"/>
    <n v="16844.135984096491"/>
  </r>
  <r>
    <s v="PROJETADO"/>
    <x v="1"/>
    <x v="1"/>
    <x v="6"/>
    <x v="0"/>
    <x v="0"/>
    <x v="0"/>
    <x v="0"/>
    <x v="11"/>
    <n v="0"/>
    <n v="0"/>
    <n v="77.007999999999996"/>
    <n v="77.007999999999996"/>
    <n v="77.007999999999996"/>
    <n v="77.007999999999996"/>
    <n v="0"/>
    <x v="0"/>
    <n v="0"/>
    <n v="0"/>
    <n v="29"/>
    <n v="75"/>
    <n v="0"/>
    <n v="84.31"/>
    <n v="168.06"/>
    <m/>
    <n v="113.43802162385306"/>
    <n v="218.7322873480222"/>
    <n v="0"/>
    <n v="6492.5444799999996"/>
    <n v="12941.964479999999"/>
    <n v="0"/>
    <n v="8735.635169209676"/>
    <n v="16844.135984096491"/>
  </r>
  <r>
    <s v="Regular"/>
    <x v="1"/>
    <x v="1"/>
    <x v="6"/>
    <x v="0"/>
    <x v="0"/>
    <x v="0"/>
    <x v="2"/>
    <x v="0"/>
    <n v="300"/>
    <n v="300"/>
    <n v="0"/>
    <n v="0"/>
    <n v="0"/>
    <n v="0"/>
    <n v="1"/>
    <x v="0"/>
    <n v="0"/>
    <n v="27"/>
    <n v="0"/>
    <n v="0"/>
    <n v="19.8"/>
    <n v="0"/>
    <n v="0"/>
    <n v="20.612826474871284"/>
    <m/>
    <m/>
    <n v="5940"/>
    <n v="0"/>
    <n v="0"/>
    <n v="6183.8479424613852"/>
    <n v="0"/>
    <n v="0"/>
  </r>
  <r>
    <s v="Regular"/>
    <x v="1"/>
    <x v="1"/>
    <x v="6"/>
    <x v="0"/>
    <x v="0"/>
    <x v="0"/>
    <x v="2"/>
    <x v="1"/>
    <n v="300"/>
    <n v="300"/>
    <n v="0"/>
    <n v="0"/>
    <n v="0"/>
    <n v="0"/>
    <n v="1"/>
    <x v="0"/>
    <n v="0"/>
    <n v="27"/>
    <n v="0"/>
    <n v="0"/>
    <n v="19.8"/>
    <n v="0"/>
    <n v="0"/>
    <n v="20.612826474871284"/>
    <m/>
    <m/>
    <n v="5940"/>
    <n v="0"/>
    <n v="0"/>
    <n v="6183.8479424613852"/>
    <n v="0"/>
    <n v="0"/>
  </r>
  <r>
    <s v="Regular"/>
    <x v="1"/>
    <x v="1"/>
    <x v="6"/>
    <x v="0"/>
    <x v="0"/>
    <x v="0"/>
    <x v="2"/>
    <x v="2"/>
    <n v="300"/>
    <n v="300"/>
    <n v="0"/>
    <n v="0"/>
    <n v="0"/>
    <n v="0"/>
    <n v="1"/>
    <x v="0"/>
    <n v="0"/>
    <n v="27"/>
    <n v="0"/>
    <n v="0"/>
    <n v="19.8"/>
    <n v="0"/>
    <n v="0"/>
    <n v="20.612826474871284"/>
    <m/>
    <m/>
    <n v="5940"/>
    <n v="0"/>
    <n v="0"/>
    <n v="6183.8479424613852"/>
    <n v="0"/>
    <n v="0"/>
  </r>
  <r>
    <s v="Regular"/>
    <x v="1"/>
    <x v="1"/>
    <x v="6"/>
    <x v="0"/>
    <x v="0"/>
    <x v="0"/>
    <x v="2"/>
    <x v="3"/>
    <n v="300"/>
    <n v="300"/>
    <n v="0"/>
    <n v="0"/>
    <n v="0"/>
    <n v="0"/>
    <n v="1"/>
    <x v="0"/>
    <n v="0"/>
    <n v="27"/>
    <n v="0"/>
    <n v="0"/>
    <n v="19.8"/>
    <n v="0"/>
    <n v="0"/>
    <n v="20.612826474871284"/>
    <m/>
    <m/>
    <n v="5940"/>
    <n v="0"/>
    <n v="0"/>
    <n v="6183.8479424613852"/>
    <n v="0"/>
    <n v="0"/>
  </r>
  <r>
    <s v="Regular"/>
    <x v="1"/>
    <x v="1"/>
    <x v="6"/>
    <x v="0"/>
    <x v="0"/>
    <x v="0"/>
    <x v="2"/>
    <x v="4"/>
    <n v="300"/>
    <n v="300"/>
    <n v="0"/>
    <n v="0"/>
    <n v="0"/>
    <n v="0"/>
    <n v="1"/>
    <x v="0"/>
    <n v="0"/>
    <n v="27"/>
    <n v="0"/>
    <n v="0"/>
    <n v="19.8"/>
    <n v="0"/>
    <n v="0"/>
    <n v="20.612826474871284"/>
    <m/>
    <m/>
    <n v="5940"/>
    <n v="0"/>
    <n v="0"/>
    <n v="6183.8479424613852"/>
    <n v="0"/>
    <n v="0"/>
  </r>
  <r>
    <s v="Regular"/>
    <x v="1"/>
    <x v="1"/>
    <x v="6"/>
    <x v="0"/>
    <x v="0"/>
    <x v="0"/>
    <x v="2"/>
    <x v="5"/>
    <n v="300"/>
    <n v="300"/>
    <n v="0"/>
    <n v="0"/>
    <n v="0"/>
    <n v="0"/>
    <n v="1"/>
    <x v="0"/>
    <n v="0"/>
    <n v="27"/>
    <n v="0"/>
    <n v="0"/>
    <n v="19.8"/>
    <n v="0"/>
    <n v="0"/>
    <n v="20.612826474871284"/>
    <m/>
    <m/>
    <n v="5940"/>
    <n v="0"/>
    <n v="0"/>
    <n v="6183.8479424613852"/>
    <n v="0"/>
    <n v="0"/>
  </r>
  <r>
    <s v="Regular"/>
    <x v="1"/>
    <x v="1"/>
    <x v="6"/>
    <x v="0"/>
    <x v="0"/>
    <x v="0"/>
    <x v="2"/>
    <x v="6"/>
    <n v="300"/>
    <n v="300"/>
    <n v="0"/>
    <n v="0"/>
    <n v="0"/>
    <n v="0"/>
    <n v="1"/>
    <x v="0"/>
    <n v="0"/>
    <n v="27"/>
    <n v="0"/>
    <n v="0"/>
    <n v="19.8"/>
    <n v="0"/>
    <n v="0"/>
    <n v="20.612826474871284"/>
    <m/>
    <m/>
    <n v="5940"/>
    <n v="0"/>
    <n v="0"/>
    <n v="6183.8479424613852"/>
    <n v="0"/>
    <n v="0"/>
  </r>
  <r>
    <s v="Regular"/>
    <x v="1"/>
    <x v="1"/>
    <x v="6"/>
    <x v="0"/>
    <x v="0"/>
    <x v="0"/>
    <x v="2"/>
    <x v="7"/>
    <n v="300"/>
    <n v="300"/>
    <n v="0"/>
    <n v="0"/>
    <n v="0"/>
    <n v="0"/>
    <n v="1"/>
    <x v="0"/>
    <n v="0"/>
    <n v="27"/>
    <n v="0"/>
    <n v="0"/>
    <n v="19.8"/>
    <n v="0"/>
    <n v="0"/>
    <n v="20.612826474871284"/>
    <m/>
    <m/>
    <n v="5940"/>
    <n v="0"/>
    <n v="0"/>
    <n v="6183.8479424613852"/>
    <n v="0"/>
    <n v="0"/>
  </r>
  <r>
    <s v="Regular"/>
    <x v="1"/>
    <x v="1"/>
    <x v="6"/>
    <x v="0"/>
    <x v="0"/>
    <x v="0"/>
    <x v="2"/>
    <x v="8"/>
    <n v="300"/>
    <n v="300"/>
    <n v="0"/>
    <n v="0"/>
    <n v="0"/>
    <n v="0"/>
    <n v="1"/>
    <x v="0"/>
    <n v="0"/>
    <n v="27"/>
    <n v="0"/>
    <n v="0"/>
    <n v="19.8"/>
    <n v="0"/>
    <n v="0"/>
    <n v="20.612826474871284"/>
    <m/>
    <m/>
    <n v="5940"/>
    <n v="0"/>
    <n v="0"/>
    <n v="6183.8479424613852"/>
    <n v="0"/>
    <n v="0"/>
  </r>
  <r>
    <s v="Regular"/>
    <x v="1"/>
    <x v="1"/>
    <x v="6"/>
    <x v="0"/>
    <x v="0"/>
    <x v="0"/>
    <x v="2"/>
    <x v="9"/>
    <n v="300"/>
    <n v="300"/>
    <n v="0"/>
    <n v="0"/>
    <n v="0"/>
    <n v="0"/>
    <n v="1"/>
    <x v="0"/>
    <n v="0"/>
    <n v="27"/>
    <n v="0"/>
    <n v="0"/>
    <n v="19.8"/>
    <n v="0"/>
    <n v="0"/>
    <n v="20.612826474871284"/>
    <m/>
    <m/>
    <n v="5940"/>
    <n v="0"/>
    <n v="0"/>
    <n v="6183.8479424613852"/>
    <n v="0"/>
    <n v="0"/>
  </r>
  <r>
    <s v="Regular"/>
    <x v="1"/>
    <x v="1"/>
    <x v="6"/>
    <x v="0"/>
    <x v="0"/>
    <x v="0"/>
    <x v="2"/>
    <x v="10"/>
    <n v="300"/>
    <n v="300"/>
    <n v="0"/>
    <n v="0"/>
    <n v="0"/>
    <n v="0"/>
    <n v="1"/>
    <x v="0"/>
    <n v="0"/>
    <n v="27"/>
    <n v="0"/>
    <n v="0"/>
    <n v="19.8"/>
    <n v="0"/>
    <n v="0"/>
    <n v="20.612826474871284"/>
    <m/>
    <m/>
    <n v="5940"/>
    <n v="0"/>
    <n v="0"/>
    <n v="6183.8479424613852"/>
    <n v="0"/>
    <n v="0"/>
  </r>
  <r>
    <s v="PROJETADO"/>
    <x v="1"/>
    <x v="1"/>
    <x v="6"/>
    <x v="0"/>
    <x v="0"/>
    <x v="0"/>
    <x v="2"/>
    <x v="11"/>
    <n v="300"/>
    <n v="300"/>
    <n v="0"/>
    <n v="0"/>
    <n v="0"/>
    <n v="0"/>
    <n v="1"/>
    <x v="0"/>
    <n v="0"/>
    <n v="27"/>
    <n v="0"/>
    <n v="0"/>
    <n v="19.8"/>
    <n v="0"/>
    <n v="0"/>
    <n v="20.612826474871284"/>
    <m/>
    <m/>
    <n v="5940"/>
    <n v="0"/>
    <n v="0"/>
    <n v="6183.8479424613852"/>
    <n v="0"/>
    <n v="0"/>
  </r>
  <r>
    <s v="Regular"/>
    <x v="1"/>
    <x v="1"/>
    <x v="6"/>
    <x v="0"/>
    <x v="0"/>
    <x v="0"/>
    <x v="1"/>
    <x v="0"/>
    <n v="0"/>
    <n v="0"/>
    <n v="2.4"/>
    <n v="2.4"/>
    <n v="2.4"/>
    <n v="2.4"/>
    <n v="0"/>
    <x v="0"/>
    <n v="0"/>
    <n v="0"/>
    <n v="28"/>
    <n v="74"/>
    <n v="0"/>
    <n v="1448.96"/>
    <n v="270.3"/>
    <m/>
    <n v="1479.9458225851192"/>
    <n v="362.70381368696184"/>
    <n v="0"/>
    <n v="3477.5039999999999"/>
    <n v="648.72"/>
    <n v="0"/>
    <n v="3551.8699742042859"/>
    <n v="870.48915284870839"/>
  </r>
  <r>
    <s v="Regular"/>
    <x v="1"/>
    <x v="1"/>
    <x v="6"/>
    <x v="0"/>
    <x v="0"/>
    <x v="0"/>
    <x v="1"/>
    <x v="1"/>
    <n v="0"/>
    <n v="0"/>
    <n v="3.3889999999999998"/>
    <n v="3.3889999999999998"/>
    <n v="3.3889999999999998"/>
    <n v="3.3889999999999998"/>
    <n v="0"/>
    <x v="0"/>
    <n v="0"/>
    <n v="0"/>
    <n v="28"/>
    <n v="74"/>
    <n v="0"/>
    <n v="1448.96"/>
    <n v="270.3"/>
    <m/>
    <n v="1479.9458225851192"/>
    <n v="362.70381368696184"/>
    <n v="0"/>
    <n v="4910.5254399999994"/>
    <n v="916.04669999999999"/>
    <n v="0"/>
    <n v="5015.5363927409689"/>
    <n v="1229.2032245851135"/>
  </r>
  <r>
    <s v="Regular"/>
    <x v="1"/>
    <x v="1"/>
    <x v="6"/>
    <x v="0"/>
    <x v="0"/>
    <x v="0"/>
    <x v="1"/>
    <x v="2"/>
    <n v="0"/>
    <n v="0"/>
    <n v="4.2880000000000003"/>
    <n v="4.2880000000000003"/>
    <n v="4.2880000000000003"/>
    <n v="4.2880000000000003"/>
    <n v="0"/>
    <x v="0"/>
    <n v="0"/>
    <n v="0"/>
    <n v="28"/>
    <n v="74"/>
    <n v="0"/>
    <n v="1448.96"/>
    <n v="270.3"/>
    <m/>
    <n v="1479.9458225851192"/>
    <n v="362.70381368696184"/>
    <n v="0"/>
    <n v="6213.1404800000009"/>
    <n v="1159.0464000000002"/>
    <n v="0"/>
    <n v="6346.0076872449918"/>
    <n v="1555.2739530896924"/>
  </r>
  <r>
    <s v="Regular"/>
    <x v="1"/>
    <x v="1"/>
    <x v="6"/>
    <x v="0"/>
    <x v="0"/>
    <x v="0"/>
    <x v="1"/>
    <x v="3"/>
    <n v="0"/>
    <n v="0"/>
    <n v="4.28"/>
    <n v="4.28"/>
    <n v="4.28"/>
    <n v="4.28"/>
    <n v="0"/>
    <x v="0"/>
    <n v="0"/>
    <n v="0"/>
    <n v="28"/>
    <n v="74"/>
    <n v="0"/>
    <n v="1448.96"/>
    <n v="270.3"/>
    <m/>
    <n v="1479.9458225851192"/>
    <n v="362.70381368696184"/>
    <n v="0"/>
    <n v="6201.5488000000005"/>
    <n v="1156.884"/>
    <n v="0"/>
    <n v="6334.1681206643107"/>
    <n v="1552.3723225801969"/>
  </r>
  <r>
    <s v="Regular"/>
    <x v="1"/>
    <x v="1"/>
    <x v="6"/>
    <x v="0"/>
    <x v="0"/>
    <x v="0"/>
    <x v="1"/>
    <x v="4"/>
    <n v="0"/>
    <n v="0"/>
    <n v="3.847"/>
    <n v="3.847"/>
    <n v="3.847"/>
    <n v="3.847"/>
    <n v="0"/>
    <x v="0"/>
    <n v="0"/>
    <n v="0"/>
    <n v="28"/>
    <n v="74"/>
    <n v="0"/>
    <n v="1448.96"/>
    <n v="270.3"/>
    <m/>
    <n v="1479.9458225851192"/>
    <n v="362.70381368696184"/>
    <n v="0"/>
    <n v="5574.14912"/>
    <n v="1039.8441"/>
    <n v="0"/>
    <n v="5693.3515794849536"/>
    <n v="1395.3215712537421"/>
  </r>
  <r>
    <s v="Regular"/>
    <x v="1"/>
    <x v="1"/>
    <x v="6"/>
    <x v="0"/>
    <x v="0"/>
    <x v="0"/>
    <x v="1"/>
    <x v="5"/>
    <n v="0"/>
    <n v="0"/>
    <n v="4.5060000000000002"/>
    <n v="4.5060000000000002"/>
    <n v="4.5060000000000002"/>
    <n v="4.5060000000000002"/>
    <n v="0"/>
    <x v="0"/>
    <n v="0"/>
    <n v="0"/>
    <n v="28"/>
    <n v="74"/>
    <n v="0"/>
    <n v="1448.96"/>
    <n v="270.3"/>
    <m/>
    <n v="1479.9458225851192"/>
    <n v="362.70381368696184"/>
    <n v="0"/>
    <n v="6529.0137600000007"/>
    <n v="1217.9718"/>
    <n v="0"/>
    <n v="6668.6358765685472"/>
    <n v="1634.3433844734502"/>
  </r>
  <r>
    <s v="Regular"/>
    <x v="1"/>
    <x v="1"/>
    <x v="6"/>
    <x v="0"/>
    <x v="0"/>
    <x v="0"/>
    <x v="1"/>
    <x v="6"/>
    <n v="0"/>
    <n v="0"/>
    <n v="4.3109999999999999"/>
    <n v="4.3109999999999999"/>
    <n v="4.3109999999999999"/>
    <n v="4.3109999999999999"/>
    <n v="0"/>
    <x v="0"/>
    <n v="0"/>
    <n v="0"/>
    <n v="28"/>
    <n v="74"/>
    <n v="0"/>
    <n v="1448.96"/>
    <n v="270.3"/>
    <m/>
    <n v="1479.9458225851192"/>
    <n v="362.70381368696184"/>
    <n v="0"/>
    <n v="6246.4665599999998"/>
    <n v="1165.2633000000001"/>
    <n v="0"/>
    <n v="6380.0464411644489"/>
    <n v="1563.6161408044925"/>
  </r>
  <r>
    <s v="Regular"/>
    <x v="1"/>
    <x v="1"/>
    <x v="6"/>
    <x v="0"/>
    <x v="0"/>
    <x v="0"/>
    <x v="1"/>
    <x v="7"/>
    <n v="0"/>
    <n v="0"/>
    <n v="4.4589999999999996"/>
    <n v="4.4589999999999996"/>
    <n v="4.4589999999999996"/>
    <n v="4.4589999999999996"/>
    <n v="0"/>
    <x v="0"/>
    <n v="0"/>
    <n v="0"/>
    <n v="28"/>
    <n v="74"/>
    <n v="0"/>
    <n v="1448.96"/>
    <n v="270.3"/>
    <m/>
    <n v="1479.9458225851192"/>
    <n v="362.70381368696184"/>
    <n v="0"/>
    <n v="6460.9126399999996"/>
    <n v="1205.2676999999999"/>
    <n v="0"/>
    <n v="6599.0784229070459"/>
    <n v="1617.2963052301627"/>
  </r>
  <r>
    <s v="Regular"/>
    <x v="1"/>
    <x v="1"/>
    <x v="6"/>
    <x v="0"/>
    <x v="0"/>
    <x v="0"/>
    <x v="1"/>
    <x v="8"/>
    <n v="0"/>
    <n v="0"/>
    <n v="2.8759999999999999"/>
    <n v="2.8759999999999999"/>
    <n v="2.8759999999999999"/>
    <n v="2.8759999999999999"/>
    <n v="0"/>
    <x v="0"/>
    <n v="0"/>
    <n v="0"/>
    <n v="28"/>
    <n v="74"/>
    <n v="0"/>
    <n v="1448.96"/>
    <n v="270.3"/>
    <m/>
    <n v="1479.9458225851192"/>
    <n v="362.70381368696184"/>
    <n v="0"/>
    <n v="4167.2089599999999"/>
    <n v="777.38279999999997"/>
    <n v="0"/>
    <n v="4256.3241857548028"/>
    <n v="1043.1361681637022"/>
  </r>
  <r>
    <s v="Regular"/>
    <x v="1"/>
    <x v="1"/>
    <x v="6"/>
    <x v="0"/>
    <x v="0"/>
    <x v="0"/>
    <x v="1"/>
    <x v="9"/>
    <n v="0"/>
    <n v="0"/>
    <n v="3.0169999999999999"/>
    <n v="3.0169999999999999"/>
    <n v="3.0169999999999999"/>
    <n v="3.0169999999999999"/>
    <n v="0"/>
    <x v="0"/>
    <n v="0"/>
    <n v="0"/>
    <n v="28"/>
    <n v="74"/>
    <n v="0"/>
    <n v="1448.96"/>
    <n v="270.3"/>
    <m/>
    <n v="1479.9458225851192"/>
    <n v="362.70381368696184"/>
    <n v="0"/>
    <n v="4371.5123199999998"/>
    <n v="815.49509999999998"/>
    <n v="0"/>
    <n v="4464.9965467393049"/>
    <n v="1094.2774058935638"/>
  </r>
  <r>
    <s v="Regular"/>
    <x v="1"/>
    <x v="1"/>
    <x v="6"/>
    <x v="0"/>
    <x v="0"/>
    <x v="0"/>
    <x v="1"/>
    <x v="10"/>
    <n v="0"/>
    <n v="0"/>
    <n v="4.6980000000000004"/>
    <n v="4.6980000000000004"/>
    <n v="4.6980000000000004"/>
    <n v="4.6980000000000004"/>
    <n v="0"/>
    <x v="0"/>
    <n v="0"/>
    <n v="0"/>
    <n v="28"/>
    <n v="74"/>
    <n v="0"/>
    <n v="1448.96"/>
    <n v="270.3"/>
    <m/>
    <n v="1479.9458225851192"/>
    <n v="362.70381368696184"/>
    <n v="0"/>
    <n v="6807.2140800000006"/>
    <n v="1269.8694000000003"/>
    <n v="0"/>
    <n v="6952.7854745048908"/>
    <n v="1703.9825167013469"/>
  </r>
  <r>
    <s v="PROJETADO"/>
    <x v="1"/>
    <x v="1"/>
    <x v="6"/>
    <x v="0"/>
    <x v="0"/>
    <x v="0"/>
    <x v="1"/>
    <x v="11"/>
    <n v="0"/>
    <n v="0"/>
    <n v="4.6980000000000004"/>
    <n v="4.6980000000000004"/>
    <n v="4.6980000000000004"/>
    <n v="4.6980000000000004"/>
    <n v="0"/>
    <x v="0"/>
    <n v="0"/>
    <n v="0"/>
    <n v="28"/>
    <n v="74"/>
    <n v="0"/>
    <n v="1448.96"/>
    <n v="270.3"/>
    <m/>
    <n v="1479.9458225851192"/>
    <n v="362.70381368696184"/>
    <n v="0"/>
    <n v="6807.2140800000006"/>
    <n v="1269.8694000000003"/>
    <n v="0"/>
    <n v="6952.7854745048908"/>
    <n v="1703.9825167013469"/>
  </r>
  <r>
    <s v="Regular"/>
    <x v="1"/>
    <x v="1"/>
    <x v="1"/>
    <x v="0"/>
    <x v="2"/>
    <x v="0"/>
    <x v="0"/>
    <x v="0"/>
    <n v="0"/>
    <n v="0"/>
    <n v="2450.3670000000002"/>
    <n v="2450.3670000000002"/>
    <n v="0"/>
    <n v="0"/>
    <n v="0"/>
    <x v="1"/>
    <n v="0"/>
    <n v="0"/>
    <n v="29"/>
    <n v="0"/>
    <n v="0"/>
    <n v="84.31"/>
    <n v="0"/>
    <m/>
    <n v="113.43802162385306"/>
    <m/>
    <n v="0"/>
    <n v="206590.44177000003"/>
    <n v="0"/>
    <n v="0"/>
    <n v="277964.78473237599"/>
    <n v="0"/>
  </r>
  <r>
    <s v="Regular"/>
    <x v="1"/>
    <x v="1"/>
    <x v="1"/>
    <x v="0"/>
    <x v="2"/>
    <x v="0"/>
    <x v="0"/>
    <x v="1"/>
    <n v="0"/>
    <n v="0"/>
    <n v="2744.922"/>
    <n v="2744.922"/>
    <n v="0"/>
    <n v="0"/>
    <n v="0"/>
    <x v="1"/>
    <n v="0"/>
    <n v="0"/>
    <n v="29"/>
    <n v="0"/>
    <n v="0"/>
    <n v="84.31"/>
    <n v="0"/>
    <m/>
    <n v="113.43802162385306"/>
    <m/>
    <n v="0"/>
    <n v="231424.37382000001"/>
    <n v="0"/>
    <n v="0"/>
    <n v="311378.52119179"/>
    <n v="0"/>
  </r>
  <r>
    <s v="Regular"/>
    <x v="1"/>
    <x v="1"/>
    <x v="1"/>
    <x v="0"/>
    <x v="2"/>
    <x v="0"/>
    <x v="0"/>
    <x v="2"/>
    <n v="0"/>
    <n v="0"/>
    <n v="2716.1419999999998"/>
    <n v="2716.1419999999998"/>
    <n v="0"/>
    <n v="0"/>
    <n v="0"/>
    <x v="1"/>
    <n v="0"/>
    <n v="0"/>
    <n v="29"/>
    <n v="0"/>
    <n v="0"/>
    <n v="84.31"/>
    <n v="0"/>
    <m/>
    <n v="113.43802162385306"/>
    <m/>
    <n v="0"/>
    <n v="228997.93201999998"/>
    <n v="0"/>
    <n v="0"/>
    <n v="308113.77492945548"/>
    <n v="0"/>
  </r>
  <r>
    <s v="Regular"/>
    <x v="1"/>
    <x v="1"/>
    <x v="1"/>
    <x v="0"/>
    <x v="2"/>
    <x v="0"/>
    <x v="0"/>
    <x v="3"/>
    <n v="0"/>
    <n v="0"/>
    <n v="2189.94"/>
    <n v="2189.94"/>
    <n v="0"/>
    <n v="0"/>
    <n v="0"/>
    <x v="1"/>
    <n v="0"/>
    <n v="0"/>
    <n v="29"/>
    <n v="0"/>
    <n v="0"/>
    <n v="84.31"/>
    <n v="0"/>
    <m/>
    <n v="113.43802162385306"/>
    <m/>
    <n v="0"/>
    <n v="184633.8414"/>
    <n v="0"/>
    <n v="0"/>
    <n v="248422.46107494077"/>
    <n v="0"/>
  </r>
  <r>
    <s v="Regular"/>
    <x v="1"/>
    <x v="1"/>
    <x v="1"/>
    <x v="0"/>
    <x v="2"/>
    <x v="0"/>
    <x v="0"/>
    <x v="4"/>
    <n v="0"/>
    <n v="0"/>
    <n v="2757.8380000000002"/>
    <n v="2757.8380000000002"/>
    <n v="0"/>
    <n v="0"/>
    <n v="0"/>
    <x v="1"/>
    <n v="0"/>
    <n v="0"/>
    <n v="29"/>
    <n v="0"/>
    <n v="0"/>
    <n v="84.31"/>
    <n v="0"/>
    <m/>
    <n v="113.43802162385306"/>
    <m/>
    <n v="0"/>
    <n v="232513.32178000003"/>
    <n v="0"/>
    <n v="0"/>
    <n v="312843.68667908368"/>
    <n v="0"/>
  </r>
  <r>
    <s v="Regular"/>
    <x v="1"/>
    <x v="1"/>
    <x v="1"/>
    <x v="0"/>
    <x v="2"/>
    <x v="0"/>
    <x v="0"/>
    <x v="5"/>
    <n v="0"/>
    <n v="0"/>
    <n v="2743.1109999999999"/>
    <n v="2743.1109999999999"/>
    <n v="0"/>
    <n v="0"/>
    <n v="0"/>
    <x v="1"/>
    <n v="0"/>
    <n v="0"/>
    <n v="29"/>
    <n v="0"/>
    <n v="0"/>
    <n v="84.31"/>
    <n v="0"/>
    <m/>
    <n v="113.43802162385306"/>
    <m/>
    <n v="0"/>
    <n v="231271.68841"/>
    <n v="0"/>
    <n v="0"/>
    <n v="311173.08493462915"/>
    <n v="0"/>
  </r>
  <r>
    <s v="Regular"/>
    <x v="1"/>
    <x v="1"/>
    <x v="1"/>
    <x v="0"/>
    <x v="2"/>
    <x v="0"/>
    <x v="0"/>
    <x v="6"/>
    <n v="0"/>
    <n v="0"/>
    <n v="2862.6149999999998"/>
    <n v="2862.6149999999998"/>
    <n v="0"/>
    <n v="0"/>
    <n v="0"/>
    <x v="1"/>
    <n v="0"/>
    <n v="0"/>
    <n v="29"/>
    <n v="0"/>
    <n v="0"/>
    <n v="84.31"/>
    <n v="0"/>
    <m/>
    <n v="113.43802162385306"/>
    <m/>
    <n v="0"/>
    <n v="241347.07064999998"/>
    <n v="0"/>
    <n v="0"/>
    <n v="324729.38227076613"/>
    <n v="0"/>
  </r>
  <r>
    <s v="Regular"/>
    <x v="1"/>
    <x v="1"/>
    <x v="1"/>
    <x v="0"/>
    <x v="2"/>
    <x v="0"/>
    <x v="0"/>
    <x v="7"/>
    <n v="0"/>
    <n v="0"/>
    <n v="2650.5569999999998"/>
    <n v="2650.5569999999998"/>
    <n v="0"/>
    <n v="0"/>
    <n v="0"/>
    <x v="1"/>
    <n v="0"/>
    <n v="0"/>
    <n v="29"/>
    <n v="0"/>
    <n v="0"/>
    <n v="84.31"/>
    <n v="0"/>
    <m/>
    <n v="113.43802162385306"/>
    <m/>
    <n v="0"/>
    <n v="223468.46067"/>
    <n v="0"/>
    <n v="0"/>
    <n v="300673.94228125509"/>
    <n v="0"/>
  </r>
  <r>
    <s v="Regular"/>
    <x v="1"/>
    <x v="1"/>
    <x v="1"/>
    <x v="0"/>
    <x v="2"/>
    <x v="0"/>
    <x v="0"/>
    <x v="8"/>
    <n v="0"/>
    <n v="0"/>
    <n v="2895.6869999999999"/>
    <n v="2895.6869999999999"/>
    <n v="0"/>
    <n v="0"/>
    <n v="0"/>
    <x v="1"/>
    <n v="0"/>
    <n v="0"/>
    <n v="29"/>
    <n v="0"/>
    <n v="0"/>
    <n v="84.31"/>
    <n v="0"/>
    <m/>
    <n v="113.43802162385306"/>
    <m/>
    <n v="0"/>
    <n v="244135.37096999999"/>
    <n v="0"/>
    <n v="0"/>
    <n v="328481.00452191016"/>
    <n v="0"/>
  </r>
  <r>
    <s v="Regular"/>
    <x v="1"/>
    <x v="1"/>
    <x v="1"/>
    <x v="0"/>
    <x v="2"/>
    <x v="0"/>
    <x v="0"/>
    <x v="9"/>
    <n v="0"/>
    <n v="0"/>
    <n v="2887.0039999999999"/>
    <n v="2887.0039999999999"/>
    <n v="0"/>
    <n v="0"/>
    <n v="0"/>
    <x v="1"/>
    <n v="0"/>
    <n v="0"/>
    <n v="29"/>
    <n v="0"/>
    <n v="0"/>
    <n v="84.31"/>
    <n v="0"/>
    <m/>
    <n v="113.43802162385306"/>
    <m/>
    <n v="0"/>
    <n v="243403.30723999999"/>
    <n v="0"/>
    <n v="0"/>
    <n v="327496.02218015026"/>
    <n v="0"/>
  </r>
  <r>
    <s v="Regular"/>
    <x v="1"/>
    <x v="1"/>
    <x v="1"/>
    <x v="0"/>
    <x v="2"/>
    <x v="0"/>
    <x v="0"/>
    <x v="10"/>
    <n v="0"/>
    <n v="0"/>
    <n v="2789.5140000000001"/>
    <n v="2789.5140000000001"/>
    <n v="0"/>
    <n v="0"/>
    <n v="0"/>
    <x v="1"/>
    <n v="0"/>
    <n v="0"/>
    <n v="29"/>
    <n v="0"/>
    <n v="0"/>
    <n v="84.31"/>
    <n v="0"/>
    <m/>
    <n v="113.43802162385306"/>
    <m/>
    <n v="0"/>
    <n v="235183.92534000002"/>
    <n v="0"/>
    <n v="0"/>
    <n v="316436.94945204083"/>
    <n v="0"/>
  </r>
  <r>
    <s v="PROJETADO"/>
    <x v="1"/>
    <x v="1"/>
    <x v="1"/>
    <x v="0"/>
    <x v="2"/>
    <x v="0"/>
    <x v="0"/>
    <x v="11"/>
    <n v="0"/>
    <n v="0"/>
    <n v="2789.5140000000001"/>
    <n v="2789.5140000000001"/>
    <n v="0"/>
    <n v="0"/>
    <n v="0"/>
    <x v="1"/>
    <n v="0"/>
    <n v="0"/>
    <n v="29"/>
    <n v="0"/>
    <n v="0"/>
    <n v="84.31"/>
    <n v="0"/>
    <m/>
    <n v="113.43802162385306"/>
    <m/>
    <n v="0"/>
    <n v="235183.92534000002"/>
    <n v="0"/>
    <n v="0"/>
    <n v="316436.94945204083"/>
    <n v="0"/>
  </r>
  <r>
    <s v="Regular"/>
    <x v="1"/>
    <x v="1"/>
    <x v="1"/>
    <x v="0"/>
    <x v="2"/>
    <x v="0"/>
    <x v="2"/>
    <x v="0"/>
    <n v="10411"/>
    <n v="4047.7968000000001"/>
    <n v="0"/>
    <n v="0"/>
    <n v="0"/>
    <n v="0"/>
    <n v="24"/>
    <x v="1"/>
    <n v="0"/>
    <n v="27"/>
    <n v="0"/>
    <n v="0"/>
    <n v="19.8"/>
    <n v="0"/>
    <n v="0"/>
    <n v="20.612826474871284"/>
    <m/>
    <m/>
    <n v="80146.376640000002"/>
    <n v="0"/>
    <n v="0"/>
    <n v="83436.533043939271"/>
    <n v="0"/>
    <n v="0"/>
  </r>
  <r>
    <s v="Regular"/>
    <x v="1"/>
    <x v="1"/>
    <x v="1"/>
    <x v="0"/>
    <x v="2"/>
    <x v="0"/>
    <x v="2"/>
    <x v="1"/>
    <n v="10420"/>
    <n v="4182.5879999999997"/>
    <n v="0"/>
    <n v="0"/>
    <n v="0"/>
    <n v="0"/>
    <n v="24"/>
    <x v="1"/>
    <n v="0"/>
    <n v="27"/>
    <n v="0"/>
    <n v="0"/>
    <n v="19.8"/>
    <n v="0"/>
    <n v="0"/>
    <n v="20.612826474871284"/>
    <m/>
    <m/>
    <n v="82815.242400000003"/>
    <n v="0"/>
    <n v="0"/>
    <n v="86214.960659878925"/>
    <n v="0"/>
    <n v="0"/>
  </r>
  <r>
    <s v="Regular"/>
    <x v="1"/>
    <x v="1"/>
    <x v="1"/>
    <x v="0"/>
    <x v="2"/>
    <x v="0"/>
    <x v="2"/>
    <x v="2"/>
    <n v="10412"/>
    <n v="4457.3771999999999"/>
    <n v="0"/>
    <n v="0"/>
    <n v="0"/>
    <n v="0"/>
    <n v="24"/>
    <x v="1"/>
    <n v="0"/>
    <n v="27"/>
    <n v="0"/>
    <n v="0"/>
    <n v="19.8"/>
    <n v="0"/>
    <n v="0"/>
    <n v="20.612826474871284"/>
    <m/>
    <m/>
    <n v="88256.06856"/>
    <n v="0"/>
    <n v="0"/>
    <n v="91879.142756647634"/>
    <n v="0"/>
    <n v="0"/>
  </r>
  <r>
    <s v="Regular"/>
    <x v="1"/>
    <x v="1"/>
    <x v="1"/>
    <x v="0"/>
    <x v="2"/>
    <x v="0"/>
    <x v="2"/>
    <x v="3"/>
    <n v="10391"/>
    <n v="4422.4096"/>
    <n v="0"/>
    <n v="0"/>
    <n v="0"/>
    <n v="0"/>
    <n v="24"/>
    <x v="1"/>
    <n v="0"/>
    <n v="27"/>
    <n v="0"/>
    <n v="0"/>
    <n v="19.8"/>
    <n v="0"/>
    <n v="0"/>
    <n v="20.612826474871284"/>
    <m/>
    <m/>
    <n v="87563.710080000004"/>
    <n v="0"/>
    <n v="0"/>
    <n v="91158.361685604919"/>
    <n v="0"/>
    <n v="0"/>
  </r>
  <r>
    <s v="Regular"/>
    <x v="1"/>
    <x v="1"/>
    <x v="1"/>
    <x v="0"/>
    <x v="2"/>
    <x v="0"/>
    <x v="2"/>
    <x v="4"/>
    <n v="10411"/>
    <n v="5072.2392"/>
    <n v="0"/>
    <n v="0"/>
    <n v="0"/>
    <n v="0"/>
    <n v="24"/>
    <x v="1"/>
    <n v="0"/>
    <n v="27"/>
    <n v="0"/>
    <n v="0"/>
    <n v="19.8"/>
    <n v="0"/>
    <n v="0"/>
    <n v="20.612826474871284"/>
    <m/>
    <m/>
    <n v="100430.33616000001"/>
    <n v="0"/>
    <n v="0"/>
    <n v="104553.18646863993"/>
    <n v="0"/>
    <n v="0"/>
  </r>
  <r>
    <s v="Regular"/>
    <x v="1"/>
    <x v="1"/>
    <x v="1"/>
    <x v="0"/>
    <x v="2"/>
    <x v="0"/>
    <x v="2"/>
    <x v="5"/>
    <n v="10423"/>
    <n v="5010.3361000000004"/>
    <n v="0"/>
    <n v="0"/>
    <n v="0"/>
    <n v="0"/>
    <n v="24"/>
    <x v="1"/>
    <n v="0"/>
    <n v="27"/>
    <n v="0"/>
    <n v="0"/>
    <n v="19.8"/>
    <n v="0"/>
    <n v="0"/>
    <n v="20.612826474871284"/>
    <m/>
    <m/>
    <n v="99204.654780000012"/>
    <n v="0"/>
    <n v="0"/>
    <n v="103277.18861008335"/>
    <n v="0"/>
    <n v="0"/>
  </r>
  <r>
    <s v="Regular"/>
    <x v="1"/>
    <x v="1"/>
    <x v="1"/>
    <x v="0"/>
    <x v="2"/>
    <x v="0"/>
    <x v="2"/>
    <x v="6"/>
    <n v="10016"/>
    <n v="4800.6688000000004"/>
    <n v="0"/>
    <n v="0"/>
    <n v="0"/>
    <n v="0"/>
    <n v="24"/>
    <x v="1"/>
    <n v="0"/>
    <n v="27"/>
    <n v="0"/>
    <n v="0"/>
    <n v="19.8"/>
    <n v="0"/>
    <n v="0"/>
    <n v="20.612826474871284"/>
    <m/>
    <m/>
    <n v="95053.242240000007"/>
    <n v="0"/>
    <n v="0"/>
    <n v="98955.352937728559"/>
    <n v="0"/>
    <n v="0"/>
  </r>
  <r>
    <s v="Regular"/>
    <x v="1"/>
    <x v="1"/>
    <x v="1"/>
    <x v="0"/>
    <x v="2"/>
    <x v="0"/>
    <x v="2"/>
    <x v="7"/>
    <n v="10022"/>
    <n v="4855.6589999999997"/>
    <n v="0"/>
    <n v="0"/>
    <n v="0"/>
    <n v="0"/>
    <n v="24"/>
    <x v="1"/>
    <n v="0"/>
    <n v="27"/>
    <n v="0"/>
    <n v="0"/>
    <n v="19.8"/>
    <n v="0"/>
    <n v="0"/>
    <n v="20.612826474871284"/>
    <m/>
    <m/>
    <n v="96142.04819999999"/>
    <n v="0"/>
    <n v="0"/>
    <n v="100088.85638814702"/>
    <n v="0"/>
    <n v="0"/>
  </r>
  <r>
    <s v="Regular"/>
    <x v="1"/>
    <x v="1"/>
    <x v="1"/>
    <x v="0"/>
    <x v="2"/>
    <x v="0"/>
    <x v="2"/>
    <x v="8"/>
    <n v="10030"/>
    <n v="4800.3580000000002"/>
    <n v="0"/>
    <n v="0"/>
    <n v="0"/>
    <n v="0"/>
    <n v="24"/>
    <x v="1"/>
    <n v="0"/>
    <n v="27"/>
    <n v="0"/>
    <n v="0"/>
    <n v="19.8"/>
    <n v="0"/>
    <n v="0"/>
    <n v="20.612826474871284"/>
    <m/>
    <m/>
    <n v="95047.088400000008"/>
    <n v="0"/>
    <n v="0"/>
    <n v="98948.946471260177"/>
    <n v="0"/>
    <n v="0"/>
  </r>
  <r>
    <s v="Regular"/>
    <x v="1"/>
    <x v="1"/>
    <x v="1"/>
    <x v="0"/>
    <x v="2"/>
    <x v="0"/>
    <x v="2"/>
    <x v="9"/>
    <n v="9994"/>
    <n v="4837.0959999999995"/>
    <n v="0"/>
    <n v="0"/>
    <n v="0"/>
    <n v="0"/>
    <n v="24"/>
    <x v="1"/>
    <n v="0"/>
    <n v="27"/>
    <n v="0"/>
    <n v="0"/>
    <n v="19.8"/>
    <n v="0"/>
    <n v="0"/>
    <n v="20.612826474871284"/>
    <m/>
    <m/>
    <n v="95774.500799999994"/>
    <n v="0"/>
    <n v="0"/>
    <n v="99706.220490293985"/>
    <n v="0"/>
    <n v="0"/>
  </r>
  <r>
    <s v="Regular"/>
    <x v="1"/>
    <x v="1"/>
    <x v="1"/>
    <x v="0"/>
    <x v="2"/>
    <x v="0"/>
    <x v="2"/>
    <x v="10"/>
    <n v="10210"/>
    <n v="4988.6059999999998"/>
    <n v="0"/>
    <n v="0"/>
    <n v="0"/>
    <n v="0"/>
    <n v="25"/>
    <x v="1"/>
    <n v="0"/>
    <n v="27"/>
    <n v="0"/>
    <n v="0"/>
    <n v="19.8"/>
    <n v="0"/>
    <n v="0"/>
    <n v="20.612826474871284"/>
    <m/>
    <m/>
    <n v="98774.398799999995"/>
    <n v="0"/>
    <n v="0"/>
    <n v="102829.26982950173"/>
    <n v="0"/>
    <n v="0"/>
  </r>
  <r>
    <s v="PROJETADO"/>
    <x v="1"/>
    <x v="1"/>
    <x v="1"/>
    <x v="0"/>
    <x v="2"/>
    <x v="0"/>
    <x v="2"/>
    <x v="11"/>
    <n v="10210"/>
    <n v="4988.6059999999998"/>
    <n v="0"/>
    <n v="0"/>
    <n v="0"/>
    <n v="0"/>
    <n v="25"/>
    <x v="1"/>
    <n v="0"/>
    <n v="27"/>
    <n v="0"/>
    <n v="0"/>
    <n v="19.8"/>
    <n v="0"/>
    <n v="0"/>
    <n v="20.612826474871284"/>
    <m/>
    <m/>
    <n v="98774.398799999995"/>
    <n v="0"/>
    <n v="0"/>
    <n v="102829.26982950173"/>
    <n v="0"/>
    <n v="0"/>
  </r>
  <r>
    <s v="Regular"/>
    <x v="1"/>
    <x v="1"/>
    <x v="1"/>
    <x v="0"/>
    <x v="2"/>
    <x v="0"/>
    <x v="1"/>
    <x v="0"/>
    <n v="0"/>
    <n v="0"/>
    <n v="245.66200000000001"/>
    <n v="97.748909800000007"/>
    <n v="0"/>
    <n v="0"/>
    <n v="0"/>
    <x v="1"/>
    <n v="0"/>
    <n v="0"/>
    <n v="28"/>
    <n v="0"/>
    <n v="0"/>
    <n v="1448.96"/>
    <n v="0"/>
    <m/>
    <n v="1479.9458225851192"/>
    <m/>
    <n v="0"/>
    <n v="141634.26034380801"/>
    <n v="0"/>
    <n v="0"/>
    <n v="144663.09072075965"/>
    <n v="0"/>
  </r>
  <r>
    <s v="Regular"/>
    <x v="1"/>
    <x v="1"/>
    <x v="1"/>
    <x v="0"/>
    <x v="2"/>
    <x v="0"/>
    <x v="1"/>
    <x v="1"/>
    <n v="0"/>
    <n v="0"/>
    <n v="290.80900000000003"/>
    <n v="132.0563669"/>
    <n v="0"/>
    <n v="0"/>
    <n v="0"/>
    <x v="1"/>
    <n v="0"/>
    <n v="0"/>
    <n v="28"/>
    <n v="0"/>
    <n v="0"/>
    <n v="1448.96"/>
    <n v="0"/>
    <m/>
    <n v="1479.9458225851192"/>
    <m/>
    <n v="0"/>
    <n v="191344.393383424"/>
    <n v="0"/>
    <n v="0"/>
    <n v="195436.2685394228"/>
    <n v="0"/>
  </r>
  <r>
    <s v="Regular"/>
    <x v="1"/>
    <x v="1"/>
    <x v="1"/>
    <x v="0"/>
    <x v="2"/>
    <x v="0"/>
    <x v="1"/>
    <x v="2"/>
    <n v="0"/>
    <n v="0"/>
    <n v="257.99400000000003"/>
    <n v="129.40979039999999"/>
    <n v="0"/>
    <n v="0"/>
    <n v="0"/>
    <x v="1"/>
    <n v="0"/>
    <n v="0"/>
    <n v="28"/>
    <n v="0"/>
    <n v="0"/>
    <n v="1448.96"/>
    <n v="0"/>
    <m/>
    <n v="1479.9458225851192"/>
    <m/>
    <n v="0"/>
    <n v="187509.60989798399"/>
    <n v="0"/>
    <n v="0"/>
    <n v="191519.47870409585"/>
    <n v="0"/>
  </r>
  <r>
    <s v="Regular"/>
    <x v="1"/>
    <x v="1"/>
    <x v="1"/>
    <x v="0"/>
    <x v="2"/>
    <x v="0"/>
    <x v="1"/>
    <x v="3"/>
    <n v="0"/>
    <n v="0"/>
    <n v="236.024"/>
    <n v="108.31141359999999"/>
    <n v="0"/>
    <n v="0"/>
    <n v="0"/>
    <x v="1"/>
    <n v="0"/>
    <n v="0"/>
    <n v="28"/>
    <n v="0"/>
    <n v="0"/>
    <n v="1448.96"/>
    <n v="0"/>
    <m/>
    <n v="1479.9458225851192"/>
    <m/>
    <n v="0"/>
    <n v="156938.905849856"/>
    <n v="0"/>
    <n v="0"/>
    <n v="160295.02409560906"/>
    <n v="0"/>
  </r>
  <r>
    <s v="Regular"/>
    <x v="1"/>
    <x v="1"/>
    <x v="1"/>
    <x v="0"/>
    <x v="2"/>
    <x v="0"/>
    <x v="1"/>
    <x v="4"/>
    <n v="0"/>
    <n v="0"/>
    <n v="292.24799999999999"/>
    <n v="136.8597384"/>
    <n v="0"/>
    <n v="0"/>
    <n v="0"/>
    <x v="1"/>
    <n v="0"/>
    <n v="0"/>
    <n v="28"/>
    <n v="0"/>
    <n v="0"/>
    <n v="1448.96"/>
    <n v="0"/>
    <m/>
    <n v="1479.9458225851192"/>
    <m/>
    <n v="0"/>
    <n v="198304.286552064"/>
    <n v="0"/>
    <n v="0"/>
    <n v="202544.99812517222"/>
    <n v="0"/>
  </r>
  <r>
    <s v="Regular"/>
    <x v="1"/>
    <x v="1"/>
    <x v="1"/>
    <x v="0"/>
    <x v="2"/>
    <x v="0"/>
    <x v="1"/>
    <x v="5"/>
    <n v="0"/>
    <n v="0"/>
    <n v="261.45400000000001"/>
    <n v="129.26285759999999"/>
    <n v="0"/>
    <n v="0"/>
    <n v="0"/>
    <x v="1"/>
    <n v="0"/>
    <n v="0"/>
    <n v="28"/>
    <n v="0"/>
    <n v="0"/>
    <n v="1448.96"/>
    <n v="0"/>
    <m/>
    <n v="1479.9458225851192"/>
    <m/>
    <n v="0"/>
    <n v="187296.710148096"/>
    <n v="0"/>
    <n v="0"/>
    <n v="191302.02612053513"/>
    <n v="0"/>
  </r>
  <r>
    <s v="Regular"/>
    <x v="1"/>
    <x v="1"/>
    <x v="1"/>
    <x v="0"/>
    <x v="2"/>
    <x v="0"/>
    <x v="1"/>
    <x v="6"/>
    <n v="0"/>
    <n v="0"/>
    <n v="301.29399999999998"/>
    <n v="153.11761079999999"/>
    <n v="0"/>
    <n v="0"/>
    <n v="0"/>
    <x v="1"/>
    <n v="0"/>
    <n v="0"/>
    <n v="28"/>
    <n v="0"/>
    <n v="0"/>
    <n v="1448.96"/>
    <n v="0"/>
    <m/>
    <n v="1479.9458225851192"/>
    <m/>
    <n v="0"/>
    <n v="221861.293344768"/>
    <n v="0"/>
    <n v="0"/>
    <n v="226605.76846767412"/>
    <n v="0"/>
  </r>
  <r>
    <s v="Regular"/>
    <x v="1"/>
    <x v="1"/>
    <x v="1"/>
    <x v="0"/>
    <x v="2"/>
    <x v="0"/>
    <x v="1"/>
    <x v="7"/>
    <n v="0"/>
    <n v="0"/>
    <n v="268.952"/>
    <n v="141.33427599999999"/>
    <n v="0"/>
    <n v="0"/>
    <n v="0"/>
    <x v="1"/>
    <n v="0"/>
    <n v="0"/>
    <n v="28"/>
    <n v="0"/>
    <n v="0"/>
    <n v="1448.96"/>
    <n v="0"/>
    <m/>
    <n v="1479.9458225851192"/>
    <m/>
    <n v="0"/>
    <n v="204787.71255296"/>
    <n v="0"/>
    <n v="0"/>
    <n v="209167.07135429225"/>
    <n v="0"/>
  </r>
  <r>
    <s v="Regular"/>
    <x v="1"/>
    <x v="1"/>
    <x v="1"/>
    <x v="0"/>
    <x v="2"/>
    <x v="0"/>
    <x v="1"/>
    <x v="8"/>
    <n v="0"/>
    <n v="0"/>
    <n v="279.03699999999998"/>
    <n v="149.53592829999999"/>
    <n v="0"/>
    <n v="0"/>
    <n v="0"/>
    <x v="1"/>
    <n v="0"/>
    <n v="0"/>
    <n v="28"/>
    <n v="0"/>
    <n v="0"/>
    <n v="1448.96"/>
    <n v="0"/>
    <m/>
    <n v="1479.9458225851192"/>
    <m/>
    <n v="0"/>
    <n v="216671.578669568"/>
    <n v="0"/>
    <n v="0"/>
    <n v="221305.0724139729"/>
    <n v="0"/>
  </r>
  <r>
    <s v="Regular"/>
    <x v="1"/>
    <x v="1"/>
    <x v="1"/>
    <x v="0"/>
    <x v="2"/>
    <x v="0"/>
    <x v="1"/>
    <x v="9"/>
    <n v="0"/>
    <n v="0"/>
    <n v="328.87700000000001"/>
    <n v="161.0839546"/>
    <n v="0"/>
    <n v="0"/>
    <n v="0"/>
    <x v="1"/>
    <n v="0"/>
    <n v="0"/>
    <n v="28"/>
    <n v="0"/>
    <n v="0"/>
    <n v="1448.96"/>
    <n v="0"/>
    <m/>
    <n v="1479.9458225851192"/>
    <m/>
    <n v="0"/>
    <n v="233404.20685721599"/>
    <n v="0"/>
    <n v="0"/>
    <n v="238395.525695761"/>
    <n v="0"/>
  </r>
  <r>
    <s v="Regular"/>
    <x v="1"/>
    <x v="1"/>
    <x v="1"/>
    <x v="0"/>
    <x v="2"/>
    <x v="0"/>
    <x v="1"/>
    <x v="10"/>
    <n v="0"/>
    <n v="0"/>
    <n v="299.41699999999997"/>
    <n v="144.1992272"/>
    <n v="0"/>
    <n v="0"/>
    <n v="0"/>
    <x v="1"/>
    <n v="0"/>
    <n v="0"/>
    <n v="28"/>
    <n v="0"/>
    <n v="0"/>
    <n v="1448.96"/>
    <n v="0"/>
    <m/>
    <n v="1479.9458225851192"/>
    <m/>
    <n v="0"/>
    <n v="208938.91224371199"/>
    <n v="0"/>
    <n v="0"/>
    <n v="213407.04391464251"/>
    <n v="0"/>
  </r>
  <r>
    <s v="PROJETADO"/>
    <x v="1"/>
    <x v="1"/>
    <x v="1"/>
    <x v="0"/>
    <x v="2"/>
    <x v="0"/>
    <x v="1"/>
    <x v="11"/>
    <n v="0"/>
    <n v="0"/>
    <n v="299.41699999999997"/>
    <n v="144.1992272"/>
    <n v="0"/>
    <n v="0"/>
    <n v="0"/>
    <x v="1"/>
    <n v="0"/>
    <n v="0"/>
    <n v="28"/>
    <n v="0"/>
    <n v="0"/>
    <n v="1448.96"/>
    <n v="0"/>
    <m/>
    <n v="1479.9458225851192"/>
    <m/>
    <n v="0"/>
    <n v="208938.91224371199"/>
    <n v="0"/>
    <n v="0"/>
    <n v="213407.04391464251"/>
    <n v="0"/>
  </r>
  <r>
    <s v="Regular"/>
    <x v="1"/>
    <x v="1"/>
    <x v="1"/>
    <x v="0"/>
    <x v="0"/>
    <x v="0"/>
    <x v="0"/>
    <x v="0"/>
    <n v="0"/>
    <n v="0"/>
    <n v="1624.6969999999999"/>
    <n v="1624.6969999999999"/>
    <n v="1624.6969999999999"/>
    <n v="1624.6969999999999"/>
    <n v="0"/>
    <x v="0"/>
    <n v="0"/>
    <n v="0"/>
    <n v="29"/>
    <n v="75"/>
    <n v="0"/>
    <n v="84.31"/>
    <n v="168.06"/>
    <m/>
    <n v="113.43802162385306"/>
    <n v="218.7322873480222"/>
    <n v="0"/>
    <n v="136978.20407000001"/>
    <n v="273046.57782000001"/>
    <n v="0"/>
    <n v="184302.41341820918"/>
    <n v="355373.69105746958"/>
  </r>
  <r>
    <s v="Sistema Isolado - Regular"/>
    <x v="1"/>
    <x v="1"/>
    <x v="1"/>
    <x v="0"/>
    <x v="0"/>
    <x v="0"/>
    <x v="0"/>
    <x v="0"/>
    <n v="0"/>
    <n v="0"/>
    <n v="214.81899999999999"/>
    <n v="214.81899999999999"/>
    <n v="214.81899999999999"/>
    <n v="214.81899999999999"/>
    <n v="0"/>
    <x v="0"/>
    <n v="0"/>
    <n v="0"/>
    <n v="29"/>
    <n v="75"/>
    <n v="0"/>
    <n v="84.31"/>
    <n v="168.06"/>
    <m/>
    <n v="113.43802162385306"/>
    <n v="218.7322873480222"/>
    <n v="0"/>
    <n v="18111.389889999999"/>
    <n v="36102.481139999996"/>
    <n v="0"/>
    <n v="24368.642367214488"/>
    <n v="46987.851235814778"/>
  </r>
  <r>
    <s v="Sistema de Compensação"/>
    <x v="1"/>
    <x v="1"/>
    <x v="1"/>
    <x v="0"/>
    <x v="0"/>
    <x v="0"/>
    <x v="0"/>
    <x v="0"/>
    <n v="0"/>
    <n v="0"/>
    <n v="38.246000000000002"/>
    <n v="38.246000000000002"/>
    <n v="38.246000000000002"/>
    <n v="38.246000000000002"/>
    <n v="0"/>
    <x v="0"/>
    <n v="0"/>
    <n v="0"/>
    <n v="29"/>
    <n v="75"/>
    <n v="0"/>
    <n v="84.31"/>
    <n v="168.06"/>
    <m/>
    <n v="113.43802162385306"/>
    <n v="218.7322873480222"/>
    <n v="0"/>
    <n v="3224.5202600000002"/>
    <n v="6427.6227600000002"/>
    <n v="0"/>
    <n v="4338.5505750258844"/>
    <n v="8365.6350619124569"/>
  </r>
  <r>
    <s v="Regular"/>
    <x v="1"/>
    <x v="1"/>
    <x v="1"/>
    <x v="0"/>
    <x v="0"/>
    <x v="0"/>
    <x v="0"/>
    <x v="1"/>
    <n v="0"/>
    <n v="0"/>
    <n v="1480.91"/>
    <n v="1480.91"/>
    <n v="1480.91"/>
    <n v="1480.91"/>
    <n v="0"/>
    <x v="0"/>
    <n v="0"/>
    <n v="0"/>
    <n v="29"/>
    <n v="75"/>
    <n v="0"/>
    <n v="84.31"/>
    <n v="168.06"/>
    <m/>
    <n v="113.43802162385306"/>
    <n v="218.7322873480222"/>
    <n v="0"/>
    <n v="124855.52210000002"/>
    <n v="248881.73460000003"/>
    <n v="0"/>
    <n v="167991.50060298023"/>
    <n v="323922.83165655955"/>
  </r>
  <r>
    <s v="Refaturamento - Regular"/>
    <x v="1"/>
    <x v="1"/>
    <x v="1"/>
    <x v="0"/>
    <x v="0"/>
    <x v="0"/>
    <x v="0"/>
    <x v="1"/>
    <n v="0"/>
    <n v="0"/>
    <n v="-44.37"/>
    <n v="-44.37"/>
    <n v="-44.37"/>
    <n v="-44.37"/>
    <n v="0"/>
    <x v="0"/>
    <n v="0"/>
    <n v="0"/>
    <n v="29"/>
    <n v="75"/>
    <n v="0"/>
    <n v="84.31"/>
    <n v="168.06"/>
    <m/>
    <n v="113.43802162385306"/>
    <n v="218.7322873480222"/>
    <n v="0"/>
    <n v="-3740.8346999999999"/>
    <n v="-7456.8221999999996"/>
    <n v="0"/>
    <n v="-5033.2450194503599"/>
    <n v="-9705.1515896317451"/>
  </r>
  <r>
    <s v="Sistema Isolado - Regular"/>
    <x v="1"/>
    <x v="1"/>
    <x v="1"/>
    <x v="0"/>
    <x v="0"/>
    <x v="0"/>
    <x v="0"/>
    <x v="1"/>
    <n v="0"/>
    <n v="0"/>
    <n v="202.41800000000001"/>
    <n v="202.41800000000001"/>
    <n v="202.41800000000001"/>
    <n v="202.41800000000001"/>
    <n v="0"/>
    <x v="0"/>
    <n v="0"/>
    <n v="0"/>
    <n v="29"/>
    <n v="75"/>
    <n v="0"/>
    <n v="84.31"/>
    <n v="168.06"/>
    <m/>
    <n v="113.43802162385306"/>
    <n v="218.7322873480222"/>
    <n v="0"/>
    <n v="17065.861580000001"/>
    <n v="34018.369080000004"/>
    <n v="0"/>
    <n v="22961.897461057091"/>
    <n v="44275.35214041196"/>
  </r>
  <r>
    <s v="Sistema Isolado - Refaturamento"/>
    <x v="1"/>
    <x v="1"/>
    <x v="1"/>
    <x v="0"/>
    <x v="0"/>
    <x v="0"/>
    <x v="0"/>
    <x v="1"/>
    <n v="0"/>
    <n v="0"/>
    <n v="-36.68"/>
    <n v="-36.68"/>
    <n v="-36.68"/>
    <n v="-36.68"/>
    <n v="0"/>
    <x v="0"/>
    <n v="0"/>
    <n v="0"/>
    <n v="29"/>
    <n v="75"/>
    <n v="0"/>
    <n v="84.31"/>
    <n v="168.06"/>
    <m/>
    <n v="113.43802162385306"/>
    <n v="218.7322873480222"/>
    <n v="0"/>
    <n v="-3092.4908"/>
    <n v="-6164.4408000000003"/>
    <n v="0"/>
    <n v="-4160.9066331629301"/>
    <n v="-8023.1002999254542"/>
  </r>
  <r>
    <s v="Sistema de Compensação"/>
    <x v="1"/>
    <x v="1"/>
    <x v="1"/>
    <x v="0"/>
    <x v="0"/>
    <x v="0"/>
    <x v="0"/>
    <x v="1"/>
    <n v="0"/>
    <n v="0"/>
    <n v="27.314"/>
    <n v="27.314"/>
    <n v="27.314"/>
    <n v="27.314"/>
    <n v="0"/>
    <x v="0"/>
    <n v="0"/>
    <n v="0"/>
    <n v="29"/>
    <n v="75"/>
    <n v="0"/>
    <n v="84.31"/>
    <n v="168.06"/>
    <m/>
    <n v="113.43802162385306"/>
    <n v="218.7322873480222"/>
    <n v="0"/>
    <n v="2302.8433399999999"/>
    <n v="4590.39084"/>
    <n v="0"/>
    <n v="3098.4461226339226"/>
    <n v="5974.4536966238784"/>
  </r>
  <r>
    <s v="Regular"/>
    <x v="1"/>
    <x v="1"/>
    <x v="1"/>
    <x v="0"/>
    <x v="0"/>
    <x v="0"/>
    <x v="0"/>
    <x v="2"/>
    <n v="0"/>
    <n v="0"/>
    <n v="1531.6780000000001"/>
    <n v="1531.6780000000001"/>
    <n v="1531.6780000000001"/>
    <n v="1531.6780000000001"/>
    <n v="0"/>
    <x v="0"/>
    <n v="0"/>
    <n v="0"/>
    <n v="29"/>
    <n v="75"/>
    <n v="0"/>
    <n v="84.31"/>
    <n v="168.06"/>
    <m/>
    <n v="113.43802162385306"/>
    <n v="218.7322873480222"/>
    <n v="0"/>
    <n v="129135.77218000001"/>
    <n v="257413.80468000003"/>
    <n v="0"/>
    <n v="173750.52208478001"/>
    <n v="335027.43242064398"/>
  </r>
  <r>
    <s v="Refaturamento - Regular"/>
    <x v="1"/>
    <x v="1"/>
    <x v="1"/>
    <x v="0"/>
    <x v="0"/>
    <x v="0"/>
    <x v="0"/>
    <x v="2"/>
    <n v="0"/>
    <n v="0"/>
    <n v="-44.417999999999999"/>
    <n v="-44.417999999999999"/>
    <n v="-44.417999999999999"/>
    <n v="-44.417999999999999"/>
    <n v="0"/>
    <x v="0"/>
    <n v="0"/>
    <n v="0"/>
    <n v="29"/>
    <n v="75"/>
    <n v="0"/>
    <n v="84.31"/>
    <n v="168.06"/>
    <m/>
    <n v="113.43802162385306"/>
    <n v="218.7322873480222"/>
    <n v="0"/>
    <n v="-3744.8815800000002"/>
    <n v="-7464.8890799999999"/>
    <n v="0"/>
    <n v="-5038.6900444883049"/>
    <n v="-9715.6507394244491"/>
  </r>
  <r>
    <s v="Sistema Isolado - Regular"/>
    <x v="1"/>
    <x v="1"/>
    <x v="1"/>
    <x v="0"/>
    <x v="0"/>
    <x v="0"/>
    <x v="0"/>
    <x v="2"/>
    <n v="0"/>
    <n v="0"/>
    <n v="180.56899999999999"/>
    <n v="180.56899999999999"/>
    <n v="180.56899999999999"/>
    <n v="180.56899999999999"/>
    <n v="0"/>
    <x v="0"/>
    <n v="0"/>
    <n v="0"/>
    <n v="29"/>
    <n v="75"/>
    <n v="0"/>
    <n v="84.31"/>
    <n v="168.06"/>
    <m/>
    <n v="113.43802162385306"/>
    <n v="218.7322873480222"/>
    <n v="0"/>
    <n v="15223.77239"/>
    <n v="30346.42614"/>
    <n v="0"/>
    <n v="20483.390126597522"/>
    <n v="39496.270394145016"/>
  </r>
  <r>
    <s v="Sistema de Compensação"/>
    <x v="1"/>
    <x v="1"/>
    <x v="1"/>
    <x v="0"/>
    <x v="0"/>
    <x v="0"/>
    <x v="0"/>
    <x v="2"/>
    <n v="0"/>
    <n v="0"/>
    <n v="20.067"/>
    <n v="20.067"/>
    <n v="20.067"/>
    <n v="20.067"/>
    <n v="0"/>
    <x v="0"/>
    <n v="0"/>
    <n v="0"/>
    <n v="29"/>
    <n v="75"/>
    <n v="0"/>
    <n v="84.31"/>
    <n v="168.06"/>
    <m/>
    <n v="113.43802162385306"/>
    <n v="218.7322873480222"/>
    <n v="0"/>
    <n v="1691.8487700000001"/>
    <n v="3372.46002"/>
    <n v="0"/>
    <n v="2276.3607799258593"/>
    <n v="4389.3008102127615"/>
  </r>
  <r>
    <s v="Regular"/>
    <x v="1"/>
    <x v="1"/>
    <x v="1"/>
    <x v="0"/>
    <x v="0"/>
    <x v="0"/>
    <x v="0"/>
    <x v="3"/>
    <n v="0"/>
    <n v="0"/>
    <n v="1676.627"/>
    <n v="1676.627"/>
    <n v="1676.627"/>
    <n v="1676.627"/>
    <n v="0"/>
    <x v="0"/>
    <n v="0"/>
    <n v="0"/>
    <n v="29"/>
    <n v="75"/>
    <n v="0"/>
    <n v="84.31"/>
    <n v="168.06"/>
    <m/>
    <n v="113.43802162385306"/>
    <n v="218.7322873480222"/>
    <n v="0"/>
    <n v="141356.42236999999"/>
    <n v="281773.93361999997"/>
    <n v="0"/>
    <n v="190193.24988113588"/>
    <n v="366732.45873945241"/>
  </r>
  <r>
    <s v="Refaturamento - Regular"/>
    <x v="1"/>
    <x v="1"/>
    <x v="1"/>
    <x v="0"/>
    <x v="0"/>
    <x v="0"/>
    <x v="0"/>
    <x v="3"/>
    <n v="0"/>
    <n v="0"/>
    <n v="-60.734999999999999"/>
    <n v="-60.734999999999999"/>
    <n v="-60.734999999999999"/>
    <n v="-60.734999999999999"/>
    <n v="0"/>
    <x v="0"/>
    <n v="0"/>
    <n v="0"/>
    <n v="29"/>
    <n v="75"/>
    <n v="0"/>
    <n v="84.31"/>
    <n v="168.06"/>
    <m/>
    <n v="113.43802162385306"/>
    <n v="218.7322873480222"/>
    <n v="0"/>
    <n v="-5120.5678500000004"/>
    <n v="-10207.124100000001"/>
    <n v="0"/>
    <n v="-6889.6582433247158"/>
    <n v="-13284.705472082129"/>
  </r>
  <r>
    <s v="Sistema Isolado - Regular"/>
    <x v="1"/>
    <x v="1"/>
    <x v="1"/>
    <x v="0"/>
    <x v="0"/>
    <x v="0"/>
    <x v="0"/>
    <x v="3"/>
    <n v="0"/>
    <n v="0"/>
    <n v="192.47399999999999"/>
    <n v="192.47399999999999"/>
    <n v="192.47399999999999"/>
    <n v="192.47399999999999"/>
    <n v="0"/>
    <x v="0"/>
    <n v="0"/>
    <n v="0"/>
    <n v="29"/>
    <n v="75"/>
    <n v="0"/>
    <n v="84.31"/>
    <n v="168.06"/>
    <m/>
    <n v="113.43802162385306"/>
    <n v="218.7322873480222"/>
    <n v="0"/>
    <n v="16227.48294"/>
    <n v="32347.18044"/>
    <n v="0"/>
    <n v="21833.869774029492"/>
    <n v="42100.278275023222"/>
  </r>
  <r>
    <s v="Sistema de Compensação"/>
    <x v="1"/>
    <x v="1"/>
    <x v="1"/>
    <x v="0"/>
    <x v="0"/>
    <x v="0"/>
    <x v="0"/>
    <x v="3"/>
    <n v="0"/>
    <n v="0"/>
    <n v="34.091999999999999"/>
    <n v="34.091999999999999"/>
    <n v="34.091999999999999"/>
    <n v="34.091999999999999"/>
    <n v="0"/>
    <x v="0"/>
    <n v="0"/>
    <n v="0"/>
    <n v="29"/>
    <n v="75"/>
    <n v="0"/>
    <n v="84.31"/>
    <n v="168.06"/>
    <m/>
    <n v="113.43802162385306"/>
    <n v="218.7322873480222"/>
    <n v="0"/>
    <n v="2874.2965199999999"/>
    <n v="5729.5015199999998"/>
    <n v="0"/>
    <n v="3867.3290332003985"/>
    <n v="7457.0211402687728"/>
  </r>
  <r>
    <s v="Regular"/>
    <x v="1"/>
    <x v="1"/>
    <x v="1"/>
    <x v="0"/>
    <x v="0"/>
    <x v="0"/>
    <x v="0"/>
    <x v="4"/>
    <n v="0"/>
    <n v="0"/>
    <n v="1502.6410000000001"/>
    <n v="1502.6410000000001"/>
    <n v="1502.6410000000001"/>
    <n v="1502.6410000000001"/>
    <n v="0"/>
    <x v="0"/>
    <n v="0"/>
    <n v="0"/>
    <n v="29"/>
    <n v="75"/>
    <n v="0"/>
    <n v="84.31"/>
    <n v="168.06"/>
    <m/>
    <n v="113.43802162385306"/>
    <n v="218.7322873480222"/>
    <n v="0"/>
    <n v="126687.66271"/>
    <n v="252533.84646000003"/>
    <n v="0"/>
    <n v="170456.62225088821"/>
    <n v="328676.10299291945"/>
  </r>
  <r>
    <s v="Sistema Isolado - Regular"/>
    <x v="1"/>
    <x v="1"/>
    <x v="1"/>
    <x v="0"/>
    <x v="0"/>
    <x v="0"/>
    <x v="0"/>
    <x v="4"/>
    <n v="0"/>
    <n v="0"/>
    <n v="221.334"/>
    <n v="221.334"/>
    <n v="221.334"/>
    <n v="221.334"/>
    <n v="0"/>
    <x v="0"/>
    <n v="0"/>
    <n v="0"/>
    <n v="29"/>
    <n v="75"/>
    <n v="0"/>
    <n v="84.31"/>
    <n v="168.06"/>
    <m/>
    <n v="113.43802162385306"/>
    <n v="218.7322873480222"/>
    <n v="0"/>
    <n v="18660.669539999999"/>
    <n v="37197.392039999999"/>
    <n v="0"/>
    <n v="25107.691078093892"/>
    <n v="48412.892087887143"/>
  </r>
  <r>
    <s v="Sistema de Compensação"/>
    <x v="1"/>
    <x v="1"/>
    <x v="1"/>
    <x v="0"/>
    <x v="0"/>
    <x v="0"/>
    <x v="0"/>
    <x v="4"/>
    <n v="0"/>
    <n v="0"/>
    <n v="34.607999999999997"/>
    <n v="34.607999999999997"/>
    <n v="34.607999999999997"/>
    <n v="34.607999999999997"/>
    <n v="0"/>
    <x v="0"/>
    <n v="0"/>
    <n v="0"/>
    <n v="29"/>
    <n v="75"/>
    <n v="0"/>
    <n v="84.31"/>
    <n v="168.06"/>
    <m/>
    <n v="113.43802162385306"/>
    <n v="218.7322873480222"/>
    <n v="0"/>
    <n v="2917.8004799999999"/>
    <n v="5816.22048"/>
    <n v="0"/>
    <n v="3925.8630523583065"/>
    <n v="7569.8870005403514"/>
  </r>
  <r>
    <s v="Regular"/>
    <x v="1"/>
    <x v="1"/>
    <x v="1"/>
    <x v="0"/>
    <x v="0"/>
    <x v="0"/>
    <x v="0"/>
    <x v="5"/>
    <n v="0"/>
    <n v="0"/>
    <n v="1564.1120000000001"/>
    <n v="1564.1120000000001"/>
    <n v="1564.1120000000001"/>
    <n v="1564.1120000000001"/>
    <n v="0"/>
    <x v="0"/>
    <n v="0"/>
    <n v="0"/>
    <n v="29"/>
    <n v="75"/>
    <n v="0"/>
    <n v="84.31"/>
    <n v="168.06"/>
    <m/>
    <n v="113.43802162385306"/>
    <n v="218.7322873480222"/>
    <n v="0"/>
    <n v="131870.28272000002"/>
    <n v="262864.66272000002"/>
    <n v="0"/>
    <n v="177429.77087812807"/>
    <n v="342121.79542848968"/>
  </r>
  <r>
    <s v="Sistema Isolado - Regular"/>
    <x v="1"/>
    <x v="1"/>
    <x v="1"/>
    <x v="0"/>
    <x v="0"/>
    <x v="0"/>
    <x v="0"/>
    <x v="5"/>
    <n v="0"/>
    <n v="0"/>
    <n v="212.94300000000001"/>
    <n v="212.94300000000001"/>
    <n v="212.94300000000001"/>
    <n v="212.94300000000001"/>
    <n v="0"/>
    <x v="0"/>
    <n v="0"/>
    <n v="0"/>
    <n v="29"/>
    <n v="75"/>
    <n v="0"/>
    <n v="84.31"/>
    <n v="168.06"/>
    <m/>
    <n v="113.43802162385306"/>
    <n v="218.7322873480222"/>
    <n v="0"/>
    <n v="17953.224330000001"/>
    <n v="35787.200580000004"/>
    <n v="0"/>
    <n v="24155.832638648142"/>
    <n v="46577.509464749892"/>
  </r>
  <r>
    <s v="Sistema de Compensação"/>
    <x v="1"/>
    <x v="1"/>
    <x v="1"/>
    <x v="0"/>
    <x v="0"/>
    <x v="0"/>
    <x v="0"/>
    <x v="5"/>
    <n v="0"/>
    <n v="0"/>
    <n v="39.668999999999997"/>
    <n v="39.668999999999997"/>
    <n v="39.668999999999997"/>
    <n v="39.668999999999997"/>
    <n v="0"/>
    <x v="0"/>
    <n v="0"/>
    <n v="0"/>
    <n v="29"/>
    <n v="75"/>
    <n v="0"/>
    <n v="84.31"/>
    <n v="168.06"/>
    <m/>
    <n v="113.43802162385306"/>
    <n v="218.7322873480222"/>
    <n v="0"/>
    <n v="3344.4933899999996"/>
    <n v="6666.7721399999991"/>
    <n v="0"/>
    <n v="4499.9728797966263"/>
    <n v="8676.8911068086927"/>
  </r>
  <r>
    <s v="Regular"/>
    <x v="1"/>
    <x v="1"/>
    <x v="1"/>
    <x v="0"/>
    <x v="0"/>
    <x v="0"/>
    <x v="0"/>
    <x v="6"/>
    <n v="0"/>
    <n v="0"/>
    <n v="1634.31"/>
    <n v="1634.31"/>
    <n v="1634.31"/>
    <n v="1634.31"/>
    <n v="0"/>
    <x v="0"/>
    <n v="0"/>
    <n v="0"/>
    <n v="29"/>
    <n v="75"/>
    <n v="0"/>
    <n v="84.31"/>
    <n v="168.06"/>
    <m/>
    <n v="113.43802162385306"/>
    <n v="218.7322873480222"/>
    <n v="0"/>
    <n v="137788.67610000001"/>
    <n v="274662.13860000001"/>
    <n v="0"/>
    <n v="185392.8931200793"/>
    <n v="357476.36453574616"/>
  </r>
  <r>
    <s v="Refaturamento - Regular"/>
    <x v="1"/>
    <x v="1"/>
    <x v="1"/>
    <x v="0"/>
    <x v="0"/>
    <x v="0"/>
    <x v="0"/>
    <x v="6"/>
    <n v="0"/>
    <n v="0"/>
    <n v="-21.28"/>
    <n v="-21.28"/>
    <n v="-21.28"/>
    <n v="-21.28"/>
    <n v="0"/>
    <x v="0"/>
    <n v="0"/>
    <n v="0"/>
    <n v="29"/>
    <n v="75"/>
    <n v="0"/>
    <n v="84.31"/>
    <n v="168.06"/>
    <m/>
    <n v="113.43802162385306"/>
    <n v="218.7322873480222"/>
    <n v="0"/>
    <n v="-1794.1168000000002"/>
    <n v="-3576.3168000000001"/>
    <n v="0"/>
    <n v="-2413.9611001555932"/>
    <n v="-4654.6230747659129"/>
  </r>
  <r>
    <s v="Sistema Isolado - Regular"/>
    <x v="1"/>
    <x v="1"/>
    <x v="1"/>
    <x v="0"/>
    <x v="0"/>
    <x v="0"/>
    <x v="0"/>
    <x v="6"/>
    <n v="0"/>
    <n v="0"/>
    <n v="198.49100000000001"/>
    <n v="198.49100000000001"/>
    <n v="198.49100000000001"/>
    <n v="198.49100000000001"/>
    <n v="0"/>
    <x v="0"/>
    <n v="0"/>
    <n v="0"/>
    <n v="29"/>
    <n v="75"/>
    <n v="0"/>
    <n v="84.31"/>
    <n v="168.06"/>
    <m/>
    <n v="113.43802162385306"/>
    <n v="218.7322873480222"/>
    <n v="0"/>
    <n v="16734.77621"/>
    <n v="33358.39746"/>
    <n v="0"/>
    <n v="22516.42635014022"/>
    <n v="43416.39044799628"/>
  </r>
  <r>
    <s v="Sistema de Compensação"/>
    <x v="1"/>
    <x v="1"/>
    <x v="1"/>
    <x v="0"/>
    <x v="0"/>
    <x v="0"/>
    <x v="0"/>
    <x v="6"/>
    <n v="0"/>
    <n v="0"/>
    <n v="53.67"/>
    <n v="53.67"/>
    <n v="53.67"/>
    <n v="53.67"/>
    <n v="0"/>
    <x v="0"/>
    <n v="0"/>
    <n v="0"/>
    <n v="29"/>
    <n v="75"/>
    <n v="0"/>
    <n v="84.31"/>
    <n v="168.06"/>
    <m/>
    <n v="113.43802162385306"/>
    <n v="218.7322873480222"/>
    <n v="0"/>
    <n v="4524.9177"/>
    <n v="9019.7802000000011"/>
    <n v="0"/>
    <n v="6088.2186205521939"/>
    <n v="11739.361861968351"/>
  </r>
  <r>
    <s v="Regular"/>
    <x v="1"/>
    <x v="1"/>
    <x v="1"/>
    <x v="0"/>
    <x v="0"/>
    <x v="0"/>
    <x v="0"/>
    <x v="7"/>
    <n v="0"/>
    <n v="0"/>
    <n v="1687.4780000000001"/>
    <n v="1687.4780000000001"/>
    <n v="1687.4780000000001"/>
    <n v="1687.4780000000001"/>
    <n v="0"/>
    <x v="0"/>
    <n v="0"/>
    <n v="0"/>
    <n v="29"/>
    <n v="75"/>
    <n v="0"/>
    <n v="84.31"/>
    <n v="168.06"/>
    <m/>
    <n v="113.43802162385306"/>
    <n v="218.7322873480222"/>
    <n v="0"/>
    <n v="142271.27018000002"/>
    <n v="283597.55268000002"/>
    <n v="0"/>
    <n v="191424.16585377633"/>
    <n v="369105.92278946581"/>
  </r>
  <r>
    <s v="Sistema Isolado - Regular"/>
    <x v="1"/>
    <x v="1"/>
    <x v="1"/>
    <x v="0"/>
    <x v="0"/>
    <x v="0"/>
    <x v="0"/>
    <x v="7"/>
    <n v="0"/>
    <n v="0"/>
    <n v="216.63200000000001"/>
    <n v="216.63200000000001"/>
    <n v="216.63200000000001"/>
    <n v="216.63200000000001"/>
    <n v="0"/>
    <x v="0"/>
    <n v="0"/>
    <n v="0"/>
    <n v="29"/>
    <n v="75"/>
    <n v="0"/>
    <n v="84.31"/>
    <n v="168.06"/>
    <m/>
    <n v="113.43802162385306"/>
    <n v="218.7322873480222"/>
    <n v="0"/>
    <n v="18264.243920000001"/>
    <n v="36407.173920000001"/>
    <n v="0"/>
    <n v="24574.305500418537"/>
    <n v="47384.412872776746"/>
  </r>
  <r>
    <s v="Sistema de Compensação"/>
    <x v="1"/>
    <x v="1"/>
    <x v="1"/>
    <x v="0"/>
    <x v="0"/>
    <x v="0"/>
    <x v="0"/>
    <x v="7"/>
    <n v="0"/>
    <n v="0"/>
    <n v="51.313000000000002"/>
    <n v="51.313000000000002"/>
    <n v="51.313000000000002"/>
    <n v="51.313000000000002"/>
    <n v="0"/>
    <x v="0"/>
    <n v="0"/>
    <n v="0"/>
    <n v="29"/>
    <n v="75"/>
    <n v="0"/>
    <n v="84.31"/>
    <n v="168.06"/>
    <m/>
    <n v="113.43802162385306"/>
    <n v="218.7322873480222"/>
    <n v="0"/>
    <n v="4326.1990300000007"/>
    <n v="8623.6627800000006"/>
    <n v="0"/>
    <n v="5820.8452035847722"/>
    <n v="11223.809860689063"/>
  </r>
  <r>
    <s v="Regular"/>
    <x v="1"/>
    <x v="1"/>
    <x v="1"/>
    <x v="0"/>
    <x v="0"/>
    <x v="0"/>
    <x v="0"/>
    <x v="8"/>
    <n v="0"/>
    <n v="0"/>
    <n v="1675.807"/>
    <n v="1675.807"/>
    <n v="1675.807"/>
    <n v="1675.807"/>
    <n v="0"/>
    <x v="0"/>
    <n v="0"/>
    <n v="0"/>
    <n v="29"/>
    <n v="75"/>
    <n v="0"/>
    <n v="84.31"/>
    <n v="168.06"/>
    <m/>
    <n v="113.43802162385306"/>
    <n v="218.7322873480222"/>
    <n v="0"/>
    <n v="141287.28817000001"/>
    <n v="281636.12442000001"/>
    <n v="0"/>
    <n v="190100.23070340432"/>
    <n v="366553.09826382704"/>
  </r>
  <r>
    <s v="Sistema Isolado - Regular"/>
    <x v="1"/>
    <x v="1"/>
    <x v="1"/>
    <x v="0"/>
    <x v="0"/>
    <x v="0"/>
    <x v="0"/>
    <x v="8"/>
    <n v="0"/>
    <n v="0"/>
    <n v="240.84200000000001"/>
    <n v="240.84200000000001"/>
    <n v="240.84200000000001"/>
    <n v="240.84200000000001"/>
    <n v="0"/>
    <x v="0"/>
    <n v="0"/>
    <n v="0"/>
    <n v="29"/>
    <n v="75"/>
    <n v="0"/>
    <n v="84.31"/>
    <n v="168.06"/>
    <m/>
    <n v="113.43802162385306"/>
    <n v="218.7322873480222"/>
    <n v="0"/>
    <n v="20305.389020000002"/>
    <n v="40475.906520000004"/>
    <n v="0"/>
    <n v="27320.640003932022"/>
    <n v="52679.921549472361"/>
  </r>
  <r>
    <s v="Sistema de Compensação"/>
    <x v="1"/>
    <x v="1"/>
    <x v="1"/>
    <x v="0"/>
    <x v="0"/>
    <x v="0"/>
    <x v="0"/>
    <x v="8"/>
    <n v="0"/>
    <n v="0"/>
    <n v="54.975999999999999"/>
    <n v="54.975999999999999"/>
    <n v="54.975999999999999"/>
    <n v="54.975999999999999"/>
    <n v="0"/>
    <x v="0"/>
    <n v="0"/>
    <n v="0"/>
    <n v="29"/>
    <n v="75"/>
    <n v="0"/>
    <n v="84.31"/>
    <n v="168.06"/>
    <m/>
    <n v="113.43802162385306"/>
    <n v="218.7322873480222"/>
    <n v="0"/>
    <n v="4635.0265600000002"/>
    <n v="9239.26656"/>
    <n v="0"/>
    <n v="6236.3686767929457"/>
    <n v="12025.026229244868"/>
  </r>
  <r>
    <s v="Regular"/>
    <x v="1"/>
    <x v="1"/>
    <x v="1"/>
    <x v="0"/>
    <x v="0"/>
    <x v="0"/>
    <x v="0"/>
    <x v="9"/>
    <n v="0"/>
    <n v="0"/>
    <n v="1623.4960000000001"/>
    <n v="1623.4960000000001"/>
    <n v="1623.4960000000001"/>
    <n v="1623.4960000000001"/>
    <n v="0"/>
    <x v="0"/>
    <n v="0"/>
    <n v="0"/>
    <n v="29"/>
    <n v="75"/>
    <n v="0"/>
    <n v="84.31"/>
    <n v="168.06"/>
    <m/>
    <n v="113.43802162385306"/>
    <n v="218.7322873480222"/>
    <n v="0"/>
    <n v="136876.94776000001"/>
    <n v="272844.73776000005"/>
    <n v="0"/>
    <n v="184166.17435423896"/>
    <n v="355110.99358036468"/>
  </r>
  <r>
    <s v="Sistema Isolado - Regular"/>
    <x v="1"/>
    <x v="1"/>
    <x v="1"/>
    <x v="0"/>
    <x v="0"/>
    <x v="0"/>
    <x v="0"/>
    <x v="9"/>
    <n v="0"/>
    <n v="0"/>
    <n v="237.26900000000001"/>
    <n v="237.26900000000001"/>
    <n v="237.26900000000001"/>
    <n v="237.26900000000001"/>
    <n v="0"/>
    <x v="0"/>
    <n v="0"/>
    <n v="0"/>
    <n v="29"/>
    <n v="75"/>
    <n v="0"/>
    <n v="84.31"/>
    <n v="168.06"/>
    <m/>
    <n v="113.43802162385306"/>
    <n v="218.7322873480222"/>
    <n v="0"/>
    <n v="20004.149390000002"/>
    <n v="39875.428140000004"/>
    <n v="0"/>
    <n v="26915.325952669991"/>
    <n v="51898.391086777883"/>
  </r>
  <r>
    <s v="Sistema de Compensação"/>
    <x v="1"/>
    <x v="1"/>
    <x v="1"/>
    <x v="0"/>
    <x v="0"/>
    <x v="0"/>
    <x v="0"/>
    <x v="9"/>
    <n v="0"/>
    <n v="0"/>
    <n v="42.151000000000003"/>
    <n v="42.151000000000003"/>
    <n v="42.151000000000003"/>
    <n v="42.151000000000003"/>
    <n v="0"/>
    <x v="0"/>
    <n v="0"/>
    <n v="0"/>
    <n v="29"/>
    <n v="75"/>
    <n v="0"/>
    <n v="84.31"/>
    <n v="168.06"/>
    <m/>
    <n v="113.43802162385306"/>
    <n v="218.7322873480222"/>
    <n v="0"/>
    <n v="3553.7508100000005"/>
    <n v="7083.8970600000002"/>
    <n v="0"/>
    <n v="4781.526049467031"/>
    <n v="9219.7846440064841"/>
  </r>
  <r>
    <s v="Regular"/>
    <x v="1"/>
    <x v="1"/>
    <x v="1"/>
    <x v="0"/>
    <x v="0"/>
    <x v="0"/>
    <x v="0"/>
    <x v="10"/>
    <n v="0"/>
    <n v="0"/>
    <n v="1670.6790000000001"/>
    <n v="1670.6790000000001"/>
    <n v="1670.6790000000001"/>
    <n v="1670.6790000000001"/>
    <n v="0"/>
    <x v="0"/>
    <n v="0"/>
    <n v="0"/>
    <n v="29"/>
    <n v="75"/>
    <n v="0"/>
    <n v="84.31"/>
    <n v="168.06"/>
    <m/>
    <n v="113.43802162385306"/>
    <n v="218.7322873480222"/>
    <n v="0"/>
    <n v="140854.94649"/>
    <n v="280774.31274000002"/>
    <n v="0"/>
    <n v="189518.52052851723"/>
    <n v="365431.43909430638"/>
  </r>
  <r>
    <s v="Refaturamento - Regular"/>
    <x v="1"/>
    <x v="1"/>
    <x v="1"/>
    <x v="0"/>
    <x v="0"/>
    <x v="0"/>
    <x v="0"/>
    <x v="10"/>
    <n v="0"/>
    <n v="0"/>
    <n v="-28.119"/>
    <n v="-28.119"/>
    <n v="-28.119"/>
    <n v="-28.119"/>
    <n v="0"/>
    <x v="0"/>
    <n v="0"/>
    <n v="0"/>
    <n v="29"/>
    <n v="75"/>
    <n v="0"/>
    <n v="84.31"/>
    <n v="168.06"/>
    <m/>
    <n v="113.43802162385306"/>
    <n v="218.7322873480222"/>
    <n v="0"/>
    <n v="-2370.7128900000002"/>
    <n v="-4725.6791400000002"/>
    <n v="0"/>
    <n v="-3189.7637300411243"/>
    <n v="-6150.533187939036"/>
  </r>
  <r>
    <s v="Sistema Isolado - Regular"/>
    <x v="1"/>
    <x v="1"/>
    <x v="1"/>
    <x v="0"/>
    <x v="0"/>
    <x v="0"/>
    <x v="0"/>
    <x v="10"/>
    <n v="0"/>
    <n v="0"/>
    <n v="236.86600000000001"/>
    <n v="236.86600000000001"/>
    <n v="236.86600000000001"/>
    <n v="236.86600000000001"/>
    <n v="0"/>
    <x v="0"/>
    <n v="0"/>
    <n v="0"/>
    <n v="29"/>
    <n v="75"/>
    <n v="0"/>
    <n v="84.31"/>
    <n v="168.06"/>
    <m/>
    <n v="113.43802162385306"/>
    <n v="218.7322873480222"/>
    <n v="0"/>
    <n v="19970.172460000002"/>
    <n v="39807.699960000005"/>
    <n v="0"/>
    <n v="26869.610429955581"/>
    <n v="51810.241974976627"/>
  </r>
  <r>
    <s v="Sistema de Compensação"/>
    <x v="1"/>
    <x v="1"/>
    <x v="1"/>
    <x v="0"/>
    <x v="0"/>
    <x v="0"/>
    <x v="0"/>
    <x v="10"/>
    <n v="0"/>
    <n v="0"/>
    <n v="43.383000000000003"/>
    <n v="43.383000000000003"/>
    <n v="43.383000000000003"/>
    <n v="43.383000000000003"/>
    <n v="0"/>
    <x v="0"/>
    <n v="0"/>
    <n v="0"/>
    <n v="29"/>
    <n v="75"/>
    <n v="0"/>
    <n v="84.31"/>
    <n v="168.06"/>
    <m/>
    <n v="113.43802162385306"/>
    <n v="218.7322873480222"/>
    <n v="0"/>
    <n v="3657.6207300000005"/>
    <n v="7290.9469800000006"/>
    <n v="0"/>
    <n v="4921.2816921076173"/>
    <n v="9489.2628220192473"/>
  </r>
  <r>
    <s v="PROJETADO"/>
    <x v="1"/>
    <x v="1"/>
    <x v="1"/>
    <x v="0"/>
    <x v="0"/>
    <x v="0"/>
    <x v="0"/>
    <x v="11"/>
    <n v="0"/>
    <n v="0"/>
    <n v="1670.6790000000001"/>
    <n v="1670.6790000000001"/>
    <n v="1670.6790000000001"/>
    <n v="1670.6790000000001"/>
    <n v="0"/>
    <x v="0"/>
    <n v="0"/>
    <n v="0"/>
    <n v="29"/>
    <n v="75"/>
    <n v="0"/>
    <n v="84.31"/>
    <n v="168.06"/>
    <m/>
    <n v="113.43802162385306"/>
    <n v="218.7322873480222"/>
    <n v="0"/>
    <n v="140854.94649"/>
    <n v="280774.31274000002"/>
    <n v="0"/>
    <n v="189518.52052851723"/>
    <n v="365431.43909430638"/>
  </r>
  <r>
    <s v="PROJETADO"/>
    <x v="1"/>
    <x v="1"/>
    <x v="1"/>
    <x v="0"/>
    <x v="0"/>
    <x v="0"/>
    <x v="0"/>
    <x v="11"/>
    <n v="0"/>
    <n v="0"/>
    <n v="-28.119"/>
    <n v="-28.119"/>
    <n v="-28.119"/>
    <n v="-28.119"/>
    <n v="0"/>
    <x v="0"/>
    <n v="0"/>
    <n v="0"/>
    <n v="29"/>
    <n v="75"/>
    <n v="0"/>
    <n v="84.31"/>
    <n v="168.06"/>
    <m/>
    <n v="113.43802162385306"/>
    <n v="218.7322873480222"/>
    <n v="0"/>
    <n v="-2370.7128900000002"/>
    <n v="-4725.6791400000002"/>
    <n v="0"/>
    <n v="-3189.7637300411243"/>
    <n v="-6150.533187939036"/>
  </r>
  <r>
    <s v="PROJETADO"/>
    <x v="1"/>
    <x v="1"/>
    <x v="1"/>
    <x v="0"/>
    <x v="0"/>
    <x v="0"/>
    <x v="0"/>
    <x v="11"/>
    <n v="0"/>
    <n v="0"/>
    <n v="236.86600000000001"/>
    <n v="236.86600000000001"/>
    <n v="236.86600000000001"/>
    <n v="236.86600000000001"/>
    <n v="0"/>
    <x v="0"/>
    <n v="0"/>
    <n v="0"/>
    <n v="29"/>
    <n v="75"/>
    <n v="0"/>
    <n v="84.31"/>
    <n v="168.06"/>
    <m/>
    <n v="113.43802162385306"/>
    <n v="218.7322873480222"/>
    <n v="0"/>
    <n v="19970.172460000002"/>
    <n v="39807.699960000005"/>
    <n v="0"/>
    <n v="26869.610429955581"/>
    <n v="51810.241974976627"/>
  </r>
  <r>
    <s v="PROJETADO"/>
    <x v="1"/>
    <x v="1"/>
    <x v="1"/>
    <x v="0"/>
    <x v="0"/>
    <x v="0"/>
    <x v="0"/>
    <x v="11"/>
    <n v="0"/>
    <n v="0"/>
    <n v="43.383000000000003"/>
    <n v="43.383000000000003"/>
    <n v="43.383000000000003"/>
    <n v="43.383000000000003"/>
    <n v="0"/>
    <x v="0"/>
    <n v="0"/>
    <n v="0"/>
    <n v="29"/>
    <n v="75"/>
    <n v="0"/>
    <n v="84.31"/>
    <n v="168.06"/>
    <m/>
    <n v="113.43802162385306"/>
    <n v="218.7322873480222"/>
    <n v="0"/>
    <n v="3657.6207300000005"/>
    <n v="7290.9469800000006"/>
    <n v="0"/>
    <n v="4921.2816921076173"/>
    <n v="9489.2628220192473"/>
  </r>
  <r>
    <s v="Regular"/>
    <x v="1"/>
    <x v="1"/>
    <x v="1"/>
    <x v="0"/>
    <x v="0"/>
    <x v="0"/>
    <x v="2"/>
    <x v="0"/>
    <n v="10912"/>
    <n v="10912"/>
    <n v="0"/>
    <n v="0"/>
    <n v="0"/>
    <n v="0"/>
    <n v="61"/>
    <x v="0"/>
    <n v="0"/>
    <n v="27"/>
    <n v="0"/>
    <n v="0"/>
    <n v="19.8"/>
    <n v="0"/>
    <n v="0"/>
    <n v="20.612826474871284"/>
    <m/>
    <m/>
    <n v="216057.60000000001"/>
    <n v="0"/>
    <n v="0"/>
    <n v="224927.16249379545"/>
    <n v="0"/>
    <n v="0"/>
  </r>
  <r>
    <s v="Sistema Isolado - Regular"/>
    <x v="1"/>
    <x v="1"/>
    <x v="1"/>
    <x v="0"/>
    <x v="0"/>
    <x v="0"/>
    <x v="2"/>
    <x v="0"/>
    <n v="1596"/>
    <n v="1596"/>
    <n v="0"/>
    <n v="0"/>
    <n v="0"/>
    <n v="0"/>
    <n v="14"/>
    <x v="0"/>
    <n v="0"/>
    <n v="27"/>
    <n v="0"/>
    <n v="0"/>
    <n v="19.8"/>
    <n v="0"/>
    <n v="0"/>
    <n v="20.612826474871284"/>
    <m/>
    <m/>
    <n v="31600.800000000003"/>
    <n v="0"/>
    <n v="0"/>
    <n v="32898.071053894571"/>
    <n v="0"/>
    <n v="0"/>
  </r>
  <r>
    <s v="Sistema de Compensação"/>
    <x v="1"/>
    <x v="1"/>
    <x v="1"/>
    <x v="0"/>
    <x v="0"/>
    <x v="0"/>
    <x v="2"/>
    <x v="0"/>
    <n v="391"/>
    <n v="391"/>
    <n v="0"/>
    <n v="0"/>
    <n v="0"/>
    <n v="0"/>
    <n v="3"/>
    <x v="0"/>
    <n v="0"/>
    <n v="27"/>
    <n v="0"/>
    <n v="0"/>
    <n v="19.8"/>
    <n v="0"/>
    <n v="0"/>
    <n v="20.612826474871284"/>
    <m/>
    <m/>
    <n v="7741.8"/>
    <n v="0"/>
    <n v="0"/>
    <n v="8059.6151516746722"/>
    <n v="0"/>
    <n v="0"/>
  </r>
  <r>
    <s v="Regular"/>
    <x v="1"/>
    <x v="1"/>
    <x v="1"/>
    <x v="0"/>
    <x v="0"/>
    <x v="0"/>
    <x v="2"/>
    <x v="1"/>
    <n v="10468"/>
    <n v="10468"/>
    <n v="0"/>
    <n v="0"/>
    <n v="0"/>
    <n v="0"/>
    <n v="61"/>
    <x v="0"/>
    <n v="0"/>
    <n v="27"/>
    <n v="0"/>
    <n v="0"/>
    <n v="19.8"/>
    <n v="0"/>
    <n v="0"/>
    <n v="20.612826474871284"/>
    <m/>
    <m/>
    <n v="207266.4"/>
    <n v="0"/>
    <n v="0"/>
    <n v="215775.0675389526"/>
    <n v="0"/>
    <n v="0"/>
  </r>
  <r>
    <s v="Sistema Isolado - Regular"/>
    <x v="1"/>
    <x v="1"/>
    <x v="1"/>
    <x v="0"/>
    <x v="0"/>
    <x v="0"/>
    <x v="2"/>
    <x v="1"/>
    <n v="1570"/>
    <n v="1570"/>
    <n v="0"/>
    <n v="0"/>
    <n v="0"/>
    <n v="0"/>
    <n v="15"/>
    <x v="0"/>
    <n v="0"/>
    <n v="27"/>
    <n v="0"/>
    <n v="0"/>
    <n v="19.8"/>
    <n v="0"/>
    <n v="0"/>
    <n v="20.612826474871284"/>
    <m/>
    <m/>
    <n v="31086"/>
    <n v="0"/>
    <n v="0"/>
    <n v="32362.137565547917"/>
    <n v="0"/>
    <n v="0"/>
  </r>
  <r>
    <s v="Sistema de Compensação"/>
    <x v="1"/>
    <x v="1"/>
    <x v="1"/>
    <x v="0"/>
    <x v="0"/>
    <x v="0"/>
    <x v="2"/>
    <x v="1"/>
    <n v="405"/>
    <n v="405"/>
    <n v="0"/>
    <n v="0"/>
    <n v="0"/>
    <n v="0"/>
    <n v="3"/>
    <x v="0"/>
    <n v="0"/>
    <n v="27"/>
    <n v="0"/>
    <n v="0"/>
    <n v="19.8"/>
    <n v="0"/>
    <n v="0"/>
    <n v="20.612826474871284"/>
    <m/>
    <m/>
    <n v="8019"/>
    <n v="0"/>
    <n v="0"/>
    <n v="8348.1947223228708"/>
    <n v="0"/>
    <n v="0"/>
  </r>
  <r>
    <s v="Regular"/>
    <x v="1"/>
    <x v="1"/>
    <x v="1"/>
    <x v="0"/>
    <x v="0"/>
    <x v="0"/>
    <x v="2"/>
    <x v="2"/>
    <n v="10588"/>
    <n v="10588"/>
    <n v="0"/>
    <n v="0"/>
    <n v="0"/>
    <n v="0"/>
    <n v="61"/>
    <x v="0"/>
    <n v="0"/>
    <n v="27"/>
    <n v="0"/>
    <n v="0"/>
    <n v="19.8"/>
    <n v="0"/>
    <n v="0"/>
    <n v="20.612826474871284"/>
    <m/>
    <m/>
    <n v="209642.4"/>
    <n v="0"/>
    <n v="0"/>
    <n v="218248.60671593715"/>
    <n v="0"/>
    <n v="0"/>
  </r>
  <r>
    <s v="Refaturamento - Regular"/>
    <x v="1"/>
    <x v="1"/>
    <x v="1"/>
    <x v="0"/>
    <x v="0"/>
    <x v="0"/>
    <x v="2"/>
    <x v="2"/>
    <n v="-19"/>
    <n v="-19"/>
    <n v="0"/>
    <n v="0"/>
    <n v="0"/>
    <n v="0"/>
    <n v="-1"/>
    <x v="0"/>
    <n v="0"/>
    <n v="27"/>
    <n v="0"/>
    <n v="0"/>
    <n v="19.8"/>
    <n v="0"/>
    <n v="0"/>
    <n v="20.612826474871284"/>
    <m/>
    <m/>
    <n v="-376.2"/>
    <n v="0"/>
    <n v="0"/>
    <n v="-391.6437030225544"/>
    <n v="0"/>
    <n v="0"/>
  </r>
  <r>
    <s v="Sistema Isolado - Regular"/>
    <x v="1"/>
    <x v="1"/>
    <x v="1"/>
    <x v="0"/>
    <x v="0"/>
    <x v="0"/>
    <x v="2"/>
    <x v="2"/>
    <n v="1489"/>
    <n v="1489"/>
    <n v="0"/>
    <n v="0"/>
    <n v="0"/>
    <n v="0"/>
    <n v="13"/>
    <x v="0"/>
    <n v="0"/>
    <n v="27"/>
    <n v="0"/>
    <n v="0"/>
    <n v="19.8"/>
    <n v="0"/>
    <n v="0"/>
    <n v="20.612826474871284"/>
    <m/>
    <m/>
    <n v="29482.2"/>
    <n v="0"/>
    <n v="0"/>
    <n v="30692.498621083341"/>
    <n v="0"/>
    <n v="0"/>
  </r>
  <r>
    <s v="Sistema de Compensação"/>
    <x v="1"/>
    <x v="1"/>
    <x v="1"/>
    <x v="0"/>
    <x v="0"/>
    <x v="0"/>
    <x v="2"/>
    <x v="2"/>
    <n v="401"/>
    <n v="401"/>
    <n v="0"/>
    <n v="0"/>
    <n v="0"/>
    <n v="0"/>
    <n v="3"/>
    <x v="0"/>
    <n v="0"/>
    <n v="27"/>
    <n v="0"/>
    <n v="0"/>
    <n v="19.8"/>
    <n v="0"/>
    <n v="0"/>
    <n v="20.612826474871284"/>
    <m/>
    <m/>
    <n v="7939.8"/>
    <n v="0"/>
    <n v="0"/>
    <n v="8265.7434164233855"/>
    <n v="0"/>
    <n v="0"/>
  </r>
  <r>
    <s v="Regular"/>
    <x v="1"/>
    <x v="1"/>
    <x v="1"/>
    <x v="0"/>
    <x v="0"/>
    <x v="0"/>
    <x v="2"/>
    <x v="3"/>
    <n v="10662"/>
    <n v="10662"/>
    <n v="0"/>
    <n v="0"/>
    <n v="0"/>
    <n v="0"/>
    <n v="61"/>
    <x v="0"/>
    <n v="0"/>
    <n v="27"/>
    <n v="0"/>
    <n v="0"/>
    <n v="19.8"/>
    <n v="0"/>
    <n v="0"/>
    <n v="20.612826474871284"/>
    <m/>
    <m/>
    <n v="211107.6"/>
    <n v="0"/>
    <n v="0"/>
    <n v="219773.95587507763"/>
    <n v="0"/>
    <n v="0"/>
  </r>
  <r>
    <s v="Sistema Isolado - Regular"/>
    <x v="1"/>
    <x v="1"/>
    <x v="1"/>
    <x v="0"/>
    <x v="0"/>
    <x v="0"/>
    <x v="2"/>
    <x v="3"/>
    <n v="1585"/>
    <n v="1585"/>
    <n v="0"/>
    <n v="0"/>
    <n v="0"/>
    <n v="0"/>
    <n v="13"/>
    <x v="0"/>
    <n v="0"/>
    <n v="27"/>
    <n v="0"/>
    <n v="0"/>
    <n v="19.8"/>
    <n v="0"/>
    <n v="0"/>
    <n v="20.612826474871284"/>
    <m/>
    <m/>
    <n v="31383"/>
    <n v="0"/>
    <n v="0"/>
    <n v="32671.329962670985"/>
    <n v="0"/>
    <n v="0"/>
  </r>
  <r>
    <s v="Sistema de Compensação"/>
    <x v="1"/>
    <x v="1"/>
    <x v="1"/>
    <x v="0"/>
    <x v="0"/>
    <x v="0"/>
    <x v="2"/>
    <x v="3"/>
    <n v="407"/>
    <n v="407"/>
    <n v="0"/>
    <n v="0"/>
    <n v="0"/>
    <n v="0"/>
    <n v="3"/>
    <x v="0"/>
    <n v="0"/>
    <n v="27"/>
    <n v="0"/>
    <n v="0"/>
    <n v="19.8"/>
    <n v="0"/>
    <n v="0"/>
    <n v="20.612826474871284"/>
    <m/>
    <m/>
    <n v="8058.6"/>
    <n v="0"/>
    <n v="0"/>
    <n v="8389.4203752726116"/>
    <n v="0"/>
    <n v="0"/>
  </r>
  <r>
    <s v="Regular"/>
    <x v="1"/>
    <x v="1"/>
    <x v="1"/>
    <x v="0"/>
    <x v="0"/>
    <x v="0"/>
    <x v="2"/>
    <x v="4"/>
    <n v="10586"/>
    <n v="10586"/>
    <n v="0"/>
    <n v="0"/>
    <n v="0"/>
    <n v="0"/>
    <n v="60"/>
    <x v="0"/>
    <n v="0"/>
    <n v="27"/>
    <n v="0"/>
    <n v="0"/>
    <n v="19.8"/>
    <n v="0"/>
    <n v="0"/>
    <n v="20.612826474871284"/>
    <m/>
    <m/>
    <n v="209602.80000000002"/>
    <n v="0"/>
    <n v="0"/>
    <n v="218207.38106298741"/>
    <n v="0"/>
    <n v="0"/>
  </r>
  <r>
    <s v="Sistema Isolado - Regular"/>
    <x v="1"/>
    <x v="1"/>
    <x v="1"/>
    <x v="0"/>
    <x v="0"/>
    <x v="0"/>
    <x v="2"/>
    <x v="4"/>
    <n v="1566"/>
    <n v="1566"/>
    <n v="0"/>
    <n v="0"/>
    <n v="0"/>
    <n v="0"/>
    <n v="13"/>
    <x v="0"/>
    <n v="0"/>
    <n v="27"/>
    <n v="0"/>
    <n v="0"/>
    <n v="19.8"/>
    <n v="0"/>
    <n v="0"/>
    <n v="20.612826474871284"/>
    <m/>
    <m/>
    <n v="31006.800000000003"/>
    <n v="0"/>
    <n v="0"/>
    <n v="32279.686259648432"/>
    <n v="0"/>
    <n v="0"/>
  </r>
  <r>
    <s v="Sistema de Compensação"/>
    <x v="1"/>
    <x v="1"/>
    <x v="1"/>
    <x v="0"/>
    <x v="0"/>
    <x v="0"/>
    <x v="2"/>
    <x v="4"/>
    <n v="406"/>
    <n v="406"/>
    <n v="0"/>
    <n v="0"/>
    <n v="0"/>
    <n v="0"/>
    <n v="3"/>
    <x v="0"/>
    <n v="0"/>
    <n v="27"/>
    <n v="0"/>
    <n v="0"/>
    <n v="19.8"/>
    <n v="0"/>
    <n v="0"/>
    <n v="20.612826474871284"/>
    <m/>
    <m/>
    <n v="8038.8"/>
    <n v="0"/>
    <n v="0"/>
    <n v="8368.8075487977403"/>
    <n v="0"/>
    <n v="0"/>
  </r>
  <r>
    <s v="Regular"/>
    <x v="1"/>
    <x v="1"/>
    <x v="1"/>
    <x v="0"/>
    <x v="0"/>
    <x v="0"/>
    <x v="2"/>
    <x v="5"/>
    <n v="10580"/>
    <n v="10580"/>
    <n v="0"/>
    <n v="0"/>
    <n v="0"/>
    <n v="0"/>
    <n v="61"/>
    <x v="0"/>
    <n v="0"/>
    <n v="27"/>
    <n v="0"/>
    <n v="0"/>
    <n v="19.8"/>
    <n v="0"/>
    <n v="0"/>
    <n v="20.612826474871284"/>
    <m/>
    <m/>
    <n v="209484"/>
    <n v="0"/>
    <n v="0"/>
    <n v="218083.70410413819"/>
    <n v="0"/>
    <n v="0"/>
  </r>
  <r>
    <s v="Sistema Isolado - Regular"/>
    <x v="1"/>
    <x v="1"/>
    <x v="1"/>
    <x v="0"/>
    <x v="0"/>
    <x v="0"/>
    <x v="2"/>
    <x v="5"/>
    <n v="1521"/>
    <n v="1521"/>
    <n v="0"/>
    <n v="0"/>
    <n v="0"/>
    <n v="0"/>
    <n v="13"/>
    <x v="0"/>
    <n v="0"/>
    <n v="27"/>
    <n v="0"/>
    <n v="0"/>
    <n v="19.8"/>
    <n v="0"/>
    <n v="0"/>
    <n v="20.612826474871284"/>
    <m/>
    <m/>
    <n v="30115.8"/>
    <n v="0"/>
    <n v="0"/>
    <n v="31352.109068279224"/>
    <n v="0"/>
    <n v="0"/>
  </r>
  <r>
    <s v="Sistema de Compensação"/>
    <x v="1"/>
    <x v="1"/>
    <x v="1"/>
    <x v="0"/>
    <x v="0"/>
    <x v="0"/>
    <x v="2"/>
    <x v="5"/>
    <n v="401"/>
    <n v="401"/>
    <n v="0"/>
    <n v="0"/>
    <n v="0"/>
    <n v="0"/>
    <n v="3"/>
    <x v="0"/>
    <n v="0"/>
    <n v="27"/>
    <n v="0"/>
    <n v="0"/>
    <n v="19.8"/>
    <n v="0"/>
    <n v="0"/>
    <n v="20.612826474871284"/>
    <m/>
    <m/>
    <n v="7939.8"/>
    <n v="0"/>
    <n v="0"/>
    <n v="8265.7434164233855"/>
    <n v="0"/>
    <n v="0"/>
  </r>
  <r>
    <s v="Regular"/>
    <x v="1"/>
    <x v="1"/>
    <x v="1"/>
    <x v="0"/>
    <x v="0"/>
    <x v="0"/>
    <x v="2"/>
    <x v="6"/>
    <n v="10596"/>
    <n v="10596"/>
    <n v="0"/>
    <n v="0"/>
    <n v="0"/>
    <n v="0"/>
    <n v="62"/>
    <x v="0"/>
    <n v="0"/>
    <n v="27"/>
    <n v="0"/>
    <n v="0"/>
    <n v="19.8"/>
    <n v="0"/>
    <n v="0"/>
    <n v="20.612826474871284"/>
    <m/>
    <m/>
    <n v="209800.80000000002"/>
    <n v="0"/>
    <n v="0"/>
    <n v="218413.50932773613"/>
    <n v="0"/>
    <n v="0"/>
  </r>
  <r>
    <s v="Refaturamento - Regular"/>
    <x v="1"/>
    <x v="1"/>
    <x v="1"/>
    <x v="0"/>
    <x v="0"/>
    <x v="0"/>
    <x v="2"/>
    <x v="6"/>
    <n v="-167"/>
    <n v="-167"/>
    <n v="0"/>
    <n v="0"/>
    <n v="0"/>
    <n v="0"/>
    <n v="-1"/>
    <x v="0"/>
    <n v="0"/>
    <n v="27"/>
    <n v="0"/>
    <n v="0"/>
    <n v="19.8"/>
    <n v="0"/>
    <n v="0"/>
    <n v="20.612826474871284"/>
    <m/>
    <m/>
    <n v="-3306.6"/>
    <n v="0"/>
    <n v="0"/>
    <n v="-3442.3420213035042"/>
    <n v="0"/>
    <n v="0"/>
  </r>
  <r>
    <s v="Sistema Isolado - Regular"/>
    <x v="1"/>
    <x v="1"/>
    <x v="1"/>
    <x v="0"/>
    <x v="0"/>
    <x v="0"/>
    <x v="2"/>
    <x v="6"/>
    <n v="1520"/>
    <n v="1520"/>
    <n v="0"/>
    <n v="0"/>
    <n v="0"/>
    <n v="0"/>
    <n v="13"/>
    <x v="0"/>
    <n v="0"/>
    <n v="27"/>
    <n v="0"/>
    <n v="0"/>
    <n v="19.8"/>
    <n v="0"/>
    <n v="0"/>
    <n v="20.612826474871284"/>
    <m/>
    <m/>
    <n v="30096"/>
    <n v="0"/>
    <n v="0"/>
    <n v="31331.496241804351"/>
    <n v="0"/>
    <n v="0"/>
  </r>
  <r>
    <s v="Sistema de Compensação"/>
    <x v="1"/>
    <x v="1"/>
    <x v="1"/>
    <x v="0"/>
    <x v="0"/>
    <x v="0"/>
    <x v="2"/>
    <x v="6"/>
    <n v="419"/>
    <n v="419"/>
    <n v="0"/>
    <n v="0"/>
    <n v="0"/>
    <n v="0"/>
    <n v="3"/>
    <x v="0"/>
    <n v="0"/>
    <n v="27"/>
    <n v="0"/>
    <n v="0"/>
    <n v="19.8"/>
    <n v="0"/>
    <n v="0"/>
    <n v="20.612826474871284"/>
    <m/>
    <m/>
    <n v="8296.2000000000007"/>
    <n v="0"/>
    <n v="0"/>
    <n v="8636.7742929710676"/>
    <n v="0"/>
    <n v="0"/>
  </r>
  <r>
    <s v="Regular"/>
    <x v="1"/>
    <x v="1"/>
    <x v="1"/>
    <x v="0"/>
    <x v="0"/>
    <x v="0"/>
    <x v="2"/>
    <x v="7"/>
    <n v="10784"/>
    <n v="10784"/>
    <n v="0"/>
    <n v="0"/>
    <n v="0"/>
    <n v="0"/>
    <n v="63"/>
    <x v="0"/>
    <n v="0"/>
    <n v="27"/>
    <n v="0"/>
    <n v="0"/>
    <n v="19.8"/>
    <n v="0"/>
    <n v="0"/>
    <n v="20.612826474871284"/>
    <m/>
    <m/>
    <n v="213523.20000000001"/>
    <n v="0"/>
    <n v="0"/>
    <n v="222288.72070501192"/>
    <n v="0"/>
    <n v="0"/>
  </r>
  <r>
    <s v="Sistema Isolado - Regular"/>
    <x v="1"/>
    <x v="1"/>
    <x v="1"/>
    <x v="0"/>
    <x v="0"/>
    <x v="0"/>
    <x v="2"/>
    <x v="7"/>
    <n v="1544"/>
    <n v="1544"/>
    <n v="0"/>
    <n v="0"/>
    <n v="0"/>
    <n v="0"/>
    <n v="13"/>
    <x v="0"/>
    <n v="0"/>
    <n v="27"/>
    <n v="0"/>
    <n v="0"/>
    <n v="19.8"/>
    <n v="0"/>
    <n v="0"/>
    <n v="20.612826474871284"/>
    <m/>
    <m/>
    <n v="30571.200000000001"/>
    <n v="0"/>
    <n v="0"/>
    <n v="31826.204077201262"/>
    <n v="0"/>
    <n v="0"/>
  </r>
  <r>
    <s v="Sistema de Compensação"/>
    <x v="1"/>
    <x v="1"/>
    <x v="1"/>
    <x v="0"/>
    <x v="0"/>
    <x v="0"/>
    <x v="2"/>
    <x v="7"/>
    <n v="410"/>
    <n v="410"/>
    <n v="0"/>
    <n v="0"/>
    <n v="0"/>
    <n v="0"/>
    <n v="3"/>
    <x v="0"/>
    <n v="0"/>
    <n v="27"/>
    <n v="0"/>
    <n v="0"/>
    <n v="19.8"/>
    <n v="0"/>
    <n v="0"/>
    <n v="20.612826474871284"/>
    <m/>
    <m/>
    <n v="8118"/>
    <n v="0"/>
    <n v="0"/>
    <n v="8451.2588546972256"/>
    <n v="0"/>
    <n v="0"/>
  </r>
  <r>
    <s v="Regular"/>
    <x v="1"/>
    <x v="1"/>
    <x v="1"/>
    <x v="0"/>
    <x v="0"/>
    <x v="0"/>
    <x v="2"/>
    <x v="8"/>
    <n v="11067"/>
    <n v="11067"/>
    <n v="0"/>
    <n v="0"/>
    <n v="0"/>
    <n v="0"/>
    <n v="65"/>
    <x v="0"/>
    <n v="0"/>
    <n v="27"/>
    <n v="0"/>
    <n v="0"/>
    <n v="19.8"/>
    <n v="0"/>
    <n v="0"/>
    <n v="20.612826474871284"/>
    <m/>
    <m/>
    <n v="219126.6"/>
    <n v="0"/>
    <n v="0"/>
    <n v="228122.1505974005"/>
    <n v="0"/>
    <n v="0"/>
  </r>
  <r>
    <s v="Sistema Isolado - Regular"/>
    <x v="1"/>
    <x v="1"/>
    <x v="1"/>
    <x v="0"/>
    <x v="0"/>
    <x v="0"/>
    <x v="2"/>
    <x v="8"/>
    <n v="1577"/>
    <n v="1577"/>
    <n v="0"/>
    <n v="0"/>
    <n v="0"/>
    <n v="0"/>
    <n v="13"/>
    <x v="0"/>
    <n v="0"/>
    <n v="27"/>
    <n v="0"/>
    <n v="0"/>
    <n v="19.8"/>
    <n v="0"/>
    <n v="0"/>
    <n v="20.612826474871284"/>
    <m/>
    <m/>
    <n v="31224.600000000002"/>
    <n v="0"/>
    <n v="0"/>
    <n v="32506.427350872014"/>
    <n v="0"/>
    <n v="0"/>
  </r>
  <r>
    <s v="Sistema de Compensação"/>
    <x v="1"/>
    <x v="1"/>
    <x v="1"/>
    <x v="0"/>
    <x v="0"/>
    <x v="0"/>
    <x v="2"/>
    <x v="8"/>
    <n v="418"/>
    <n v="418"/>
    <n v="0"/>
    <n v="0"/>
    <n v="0"/>
    <n v="0"/>
    <n v="3"/>
    <x v="0"/>
    <n v="0"/>
    <n v="27"/>
    <n v="0"/>
    <n v="0"/>
    <n v="19.8"/>
    <n v="0"/>
    <n v="0"/>
    <n v="20.612826474871284"/>
    <m/>
    <m/>
    <n v="8276.4"/>
    <n v="0"/>
    <n v="0"/>
    <n v="8616.1614664961962"/>
    <n v="0"/>
    <n v="0"/>
  </r>
  <r>
    <s v="Regular"/>
    <x v="1"/>
    <x v="1"/>
    <x v="1"/>
    <x v="0"/>
    <x v="0"/>
    <x v="0"/>
    <x v="2"/>
    <x v="9"/>
    <n v="11220"/>
    <n v="11220"/>
    <n v="0"/>
    <n v="0"/>
    <n v="0"/>
    <n v="0"/>
    <n v="67"/>
    <x v="0"/>
    <n v="0"/>
    <n v="27"/>
    <n v="0"/>
    <n v="0"/>
    <n v="19.8"/>
    <n v="0"/>
    <n v="0"/>
    <n v="20.612826474871284"/>
    <m/>
    <m/>
    <n v="222156"/>
    <n v="0"/>
    <n v="0"/>
    <n v="231275.91304805581"/>
    <n v="0"/>
    <n v="0"/>
  </r>
  <r>
    <s v="Sistema Isolado - Regular"/>
    <x v="1"/>
    <x v="1"/>
    <x v="1"/>
    <x v="0"/>
    <x v="0"/>
    <x v="0"/>
    <x v="2"/>
    <x v="9"/>
    <n v="1592"/>
    <n v="1592"/>
    <n v="0"/>
    <n v="0"/>
    <n v="0"/>
    <n v="0"/>
    <n v="13"/>
    <x v="0"/>
    <n v="0"/>
    <n v="27"/>
    <n v="0"/>
    <n v="0"/>
    <n v="19.8"/>
    <n v="0"/>
    <n v="0"/>
    <n v="20.612826474871284"/>
    <m/>
    <m/>
    <n v="31521.600000000002"/>
    <n v="0"/>
    <n v="0"/>
    <n v="32815.619747995086"/>
    <n v="0"/>
    <n v="0"/>
  </r>
  <r>
    <s v="Sistema de Compensação"/>
    <x v="1"/>
    <x v="1"/>
    <x v="1"/>
    <x v="0"/>
    <x v="0"/>
    <x v="0"/>
    <x v="2"/>
    <x v="9"/>
    <n v="425"/>
    <n v="425"/>
    <n v="0"/>
    <n v="0"/>
    <n v="0"/>
    <n v="0"/>
    <n v="3"/>
    <x v="0"/>
    <n v="0"/>
    <n v="27"/>
    <n v="0"/>
    <n v="0"/>
    <n v="19.8"/>
    <n v="0"/>
    <n v="0"/>
    <n v="20.612826474871284"/>
    <m/>
    <m/>
    <n v="8415"/>
    <n v="0"/>
    <n v="0"/>
    <n v="8760.4512518202955"/>
    <n v="0"/>
    <n v="0"/>
  </r>
  <r>
    <s v="Regular"/>
    <x v="1"/>
    <x v="1"/>
    <x v="1"/>
    <x v="0"/>
    <x v="0"/>
    <x v="0"/>
    <x v="2"/>
    <x v="10"/>
    <n v="11595"/>
    <n v="11595"/>
    <n v="0"/>
    <n v="0"/>
    <n v="0"/>
    <n v="0"/>
    <n v="69"/>
    <x v="0"/>
    <n v="0"/>
    <n v="27"/>
    <n v="0"/>
    <n v="0"/>
    <n v="19.8"/>
    <n v="0"/>
    <n v="0"/>
    <n v="20.612826474871284"/>
    <m/>
    <m/>
    <n v="229581"/>
    <n v="0"/>
    <n v="0"/>
    <n v="239005.72297613253"/>
    <n v="0"/>
    <n v="0"/>
  </r>
  <r>
    <s v="Sistema Isolado - Regular"/>
    <x v="1"/>
    <x v="1"/>
    <x v="1"/>
    <x v="0"/>
    <x v="0"/>
    <x v="0"/>
    <x v="2"/>
    <x v="10"/>
    <n v="1571"/>
    <n v="1571"/>
    <n v="0"/>
    <n v="0"/>
    <n v="0"/>
    <n v="0"/>
    <n v="13"/>
    <x v="0"/>
    <n v="0"/>
    <n v="27"/>
    <n v="0"/>
    <n v="0"/>
    <n v="19.8"/>
    <n v="0"/>
    <n v="0"/>
    <n v="20.612826474871284"/>
    <m/>
    <m/>
    <n v="31105.800000000003"/>
    <n v="0"/>
    <n v="0"/>
    <n v="32382.750392022786"/>
    <n v="0"/>
    <n v="0"/>
  </r>
  <r>
    <s v="Sistema de Compensação"/>
    <x v="1"/>
    <x v="1"/>
    <x v="1"/>
    <x v="0"/>
    <x v="0"/>
    <x v="0"/>
    <x v="2"/>
    <x v="10"/>
    <n v="413"/>
    <n v="413"/>
    <n v="0"/>
    <n v="0"/>
    <n v="0"/>
    <n v="0"/>
    <n v="3"/>
    <x v="0"/>
    <n v="0"/>
    <n v="27"/>
    <n v="0"/>
    <n v="0"/>
    <n v="19.8"/>
    <n v="0"/>
    <n v="0"/>
    <n v="20.612826474871284"/>
    <m/>
    <m/>
    <n v="8177.4000000000005"/>
    <n v="0"/>
    <n v="0"/>
    <n v="8513.0973341218396"/>
    <n v="0"/>
    <n v="0"/>
  </r>
  <r>
    <s v="PROJETADO"/>
    <x v="1"/>
    <x v="1"/>
    <x v="1"/>
    <x v="0"/>
    <x v="0"/>
    <x v="0"/>
    <x v="2"/>
    <x v="11"/>
    <n v="11595"/>
    <n v="11595"/>
    <n v="0"/>
    <n v="0"/>
    <n v="0"/>
    <n v="0"/>
    <n v="69"/>
    <x v="0"/>
    <n v="0"/>
    <n v="27"/>
    <n v="0"/>
    <n v="0"/>
    <n v="19.8"/>
    <n v="0"/>
    <n v="0"/>
    <n v="20.612826474871284"/>
    <m/>
    <m/>
    <n v="229581"/>
    <n v="0"/>
    <n v="0"/>
    <n v="239005.72297613253"/>
    <n v="0"/>
    <n v="0"/>
  </r>
  <r>
    <s v="PROJETADO"/>
    <x v="1"/>
    <x v="1"/>
    <x v="1"/>
    <x v="0"/>
    <x v="0"/>
    <x v="0"/>
    <x v="2"/>
    <x v="11"/>
    <n v="1571"/>
    <n v="1571"/>
    <n v="0"/>
    <n v="0"/>
    <n v="0"/>
    <n v="0"/>
    <n v="13"/>
    <x v="0"/>
    <n v="0"/>
    <n v="27"/>
    <n v="0"/>
    <n v="0"/>
    <n v="19.8"/>
    <n v="0"/>
    <n v="0"/>
    <n v="20.612826474871284"/>
    <m/>
    <m/>
    <n v="31105.800000000003"/>
    <n v="0"/>
    <n v="0"/>
    <n v="32382.750392022786"/>
    <n v="0"/>
    <n v="0"/>
  </r>
  <r>
    <s v="PROJETADO"/>
    <x v="1"/>
    <x v="1"/>
    <x v="1"/>
    <x v="0"/>
    <x v="0"/>
    <x v="0"/>
    <x v="2"/>
    <x v="11"/>
    <n v="413"/>
    <n v="413"/>
    <n v="0"/>
    <n v="0"/>
    <n v="0"/>
    <n v="0"/>
    <n v="3"/>
    <x v="0"/>
    <n v="0"/>
    <n v="27"/>
    <n v="0"/>
    <n v="0"/>
    <n v="19.8"/>
    <n v="0"/>
    <n v="0"/>
    <n v="20.612826474871284"/>
    <m/>
    <m/>
    <n v="8177.4000000000005"/>
    <n v="0"/>
    <n v="0"/>
    <n v="8513.0973341218396"/>
    <n v="0"/>
    <n v="0"/>
  </r>
  <r>
    <s v="Regular"/>
    <x v="1"/>
    <x v="1"/>
    <x v="1"/>
    <x v="0"/>
    <x v="0"/>
    <x v="0"/>
    <x v="1"/>
    <x v="0"/>
    <n v="0"/>
    <n v="0"/>
    <n v="73.027000000000001"/>
    <n v="73.027000000000001"/>
    <n v="73.027000000000001"/>
    <n v="73.027000000000001"/>
    <n v="0"/>
    <x v="0"/>
    <n v="0"/>
    <n v="0"/>
    <n v="28"/>
    <n v="74"/>
    <n v="0"/>
    <n v="1448.96"/>
    <n v="270.3"/>
    <m/>
    <n v="1479.9458225851192"/>
    <n v="362.70381368696184"/>
    <n v="0"/>
    <n v="105813.20192000001"/>
    <n v="19739.198100000001"/>
    <n v="0"/>
    <n v="108076.00358592351"/>
    <n v="26487.171402117761"/>
  </r>
  <r>
    <s v="Sistema Isolado - Regular"/>
    <x v="1"/>
    <x v="1"/>
    <x v="1"/>
    <x v="0"/>
    <x v="0"/>
    <x v="0"/>
    <x v="1"/>
    <x v="0"/>
    <n v="0"/>
    <n v="0"/>
    <n v="4.4989999999999997"/>
    <n v="4.4989999999999997"/>
    <n v="4.4989999999999997"/>
    <n v="4.4989999999999997"/>
    <n v="0"/>
    <x v="0"/>
    <n v="0"/>
    <n v="0"/>
    <n v="28"/>
    <n v="74"/>
    <n v="0"/>
    <n v="1448.96"/>
    <n v="270.3"/>
    <m/>
    <n v="1479.9458225851192"/>
    <n v="362.70381368696184"/>
    <n v="0"/>
    <n v="6518.87104"/>
    <n v="1216.0797"/>
    <n v="0"/>
    <n v="6658.2762558104505"/>
    <n v="1631.8044577776411"/>
  </r>
  <r>
    <s v="Sistema de Compensação"/>
    <x v="1"/>
    <x v="1"/>
    <x v="1"/>
    <x v="0"/>
    <x v="0"/>
    <x v="0"/>
    <x v="1"/>
    <x v="0"/>
    <n v="0"/>
    <n v="0"/>
    <n v="1.5680000000000001"/>
    <n v="1.5680000000000001"/>
    <n v="1.5680000000000001"/>
    <n v="1.5680000000000001"/>
    <n v="0"/>
    <x v="0"/>
    <n v="0"/>
    <n v="0"/>
    <n v="28"/>
    <n v="74"/>
    <n v="0"/>
    <n v="1448.96"/>
    <n v="270.3"/>
    <m/>
    <n v="1479.9458225851192"/>
    <n v="362.70381368696184"/>
    <n v="0"/>
    <n v="2271.9692800000003"/>
    <n v="423.83040000000005"/>
    <n v="0"/>
    <n v="2320.5550498134671"/>
    <n v="568.71957986115615"/>
  </r>
  <r>
    <s v="Regular"/>
    <x v="1"/>
    <x v="1"/>
    <x v="1"/>
    <x v="0"/>
    <x v="0"/>
    <x v="0"/>
    <x v="1"/>
    <x v="1"/>
    <n v="0"/>
    <n v="0"/>
    <n v="75.141999999999996"/>
    <n v="75.141999999999996"/>
    <n v="75.141999999999996"/>
    <n v="75.141999999999996"/>
    <n v="0"/>
    <x v="0"/>
    <n v="0"/>
    <n v="0"/>
    <n v="28"/>
    <n v="74"/>
    <n v="0"/>
    <n v="1448.96"/>
    <n v="270.3"/>
    <m/>
    <n v="1479.9458225851192"/>
    <n v="362.70381368696184"/>
    <n v="0"/>
    <n v="108877.75232"/>
    <n v="20310.882600000001"/>
    <n v="0"/>
    <n v="111206.08900069102"/>
    <n v="27254.289968065685"/>
  </r>
  <r>
    <s v="Refaturamento - Regular"/>
    <x v="1"/>
    <x v="1"/>
    <x v="1"/>
    <x v="0"/>
    <x v="0"/>
    <x v="0"/>
    <x v="1"/>
    <x v="1"/>
    <n v="0"/>
    <n v="0"/>
    <n v="-13.65"/>
    <n v="-13.65"/>
    <n v="-13.65"/>
    <n v="-13.65"/>
    <n v="0"/>
    <x v="0"/>
    <n v="0"/>
    <n v="0"/>
    <n v="28"/>
    <n v="74"/>
    <n v="0"/>
    <n v="1448.96"/>
    <n v="270.3"/>
    <m/>
    <n v="1479.9458225851192"/>
    <n v="362.70381368696184"/>
    <n v="0"/>
    <n v="-19778.304"/>
    <n v="-3689.5950000000003"/>
    <n v="0"/>
    <n v="-20201.260478286877"/>
    <n v="-4950.907056827029"/>
  </r>
  <r>
    <s v="Sistema Isolado - Regular"/>
    <x v="1"/>
    <x v="1"/>
    <x v="1"/>
    <x v="0"/>
    <x v="0"/>
    <x v="0"/>
    <x v="1"/>
    <x v="1"/>
    <n v="0"/>
    <n v="0"/>
    <n v="3.415"/>
    <n v="3.415"/>
    <n v="3.415"/>
    <n v="3.415"/>
    <n v="0"/>
    <x v="0"/>
    <n v="0"/>
    <n v="0"/>
    <n v="28"/>
    <n v="74"/>
    <n v="0"/>
    <n v="1448.96"/>
    <n v="270.3"/>
    <m/>
    <n v="1479.9458225851192"/>
    <n v="362.70381368696184"/>
    <n v="0"/>
    <n v="4948.1984000000002"/>
    <n v="923.07450000000006"/>
    <n v="0"/>
    <n v="5054.0149841281818"/>
    <n v="1238.6335237409746"/>
  </r>
  <r>
    <s v="Sistema de Compensação"/>
    <x v="1"/>
    <x v="1"/>
    <x v="1"/>
    <x v="0"/>
    <x v="0"/>
    <x v="0"/>
    <x v="1"/>
    <x v="1"/>
    <n v="0"/>
    <n v="0"/>
    <n v="1.8620000000000001"/>
    <n v="1.8620000000000001"/>
    <n v="1.8620000000000001"/>
    <n v="1.8620000000000001"/>
    <n v="0"/>
    <x v="0"/>
    <n v="0"/>
    <n v="0"/>
    <n v="28"/>
    <n v="74"/>
    <n v="0"/>
    <n v="1448.96"/>
    <n v="270.3"/>
    <m/>
    <n v="1479.9458225851192"/>
    <n v="362.70381368696184"/>
    <n v="0"/>
    <n v="2697.9635200000002"/>
    <n v="503.29860000000002"/>
    <n v="0"/>
    <n v="2755.6591216534921"/>
    <n v="675.35450108512293"/>
  </r>
  <r>
    <s v="Regular"/>
    <x v="1"/>
    <x v="1"/>
    <x v="1"/>
    <x v="0"/>
    <x v="0"/>
    <x v="0"/>
    <x v="1"/>
    <x v="2"/>
    <n v="0"/>
    <n v="0"/>
    <n v="61.329000000000001"/>
    <n v="61.329000000000001"/>
    <n v="61.329000000000001"/>
    <n v="61.329000000000001"/>
    <n v="0"/>
    <x v="0"/>
    <n v="0"/>
    <n v="0"/>
    <n v="28"/>
    <n v="74"/>
    <n v="0"/>
    <n v="1448.96"/>
    <n v="270.3"/>
    <m/>
    <n v="1479.9458225851192"/>
    <n v="362.70381368696184"/>
    <n v="0"/>
    <n v="88863.26784"/>
    <n v="16577.2287"/>
    <n v="0"/>
    <n v="90763.597353322781"/>
    <n v="22244.262189607682"/>
  </r>
  <r>
    <s v="Refaturamento - Regular"/>
    <x v="1"/>
    <x v="1"/>
    <x v="1"/>
    <x v="0"/>
    <x v="0"/>
    <x v="0"/>
    <x v="1"/>
    <x v="2"/>
    <n v="0"/>
    <n v="0"/>
    <n v="-13.65"/>
    <n v="-13.65"/>
    <n v="-13.65"/>
    <n v="-13.65"/>
    <n v="0"/>
    <x v="0"/>
    <n v="0"/>
    <n v="0"/>
    <n v="28"/>
    <n v="74"/>
    <n v="0"/>
    <n v="1448.96"/>
    <n v="270.3"/>
    <m/>
    <n v="1479.9458225851192"/>
    <n v="362.70381368696184"/>
    <n v="0"/>
    <n v="-19778.304"/>
    <n v="-3689.5950000000003"/>
    <n v="0"/>
    <n v="-20201.260478286877"/>
    <n v="-4950.907056827029"/>
  </r>
  <r>
    <s v="Sistema Isolado - Regular"/>
    <x v="1"/>
    <x v="1"/>
    <x v="1"/>
    <x v="0"/>
    <x v="0"/>
    <x v="0"/>
    <x v="1"/>
    <x v="2"/>
    <n v="0"/>
    <n v="0"/>
    <n v="3.988"/>
    <n v="3.988"/>
    <n v="3.988"/>
    <n v="3.988"/>
    <n v="0"/>
    <x v="0"/>
    <n v="0"/>
    <n v="0"/>
    <n v="28"/>
    <n v="74"/>
    <n v="0"/>
    <n v="1448.96"/>
    <n v="270.3"/>
    <m/>
    <n v="1479.9458225851192"/>
    <n v="362.70381368696184"/>
    <n v="0"/>
    <n v="5778.4524799999999"/>
    <n v="1077.9564"/>
    <n v="0"/>
    <n v="5902.0239404694557"/>
    <n v="1446.4628089836037"/>
  </r>
  <r>
    <s v="Sistema de Compensação"/>
    <x v="1"/>
    <x v="1"/>
    <x v="1"/>
    <x v="0"/>
    <x v="0"/>
    <x v="0"/>
    <x v="1"/>
    <x v="2"/>
    <n v="0"/>
    <n v="0"/>
    <n v="2.4159999999999999"/>
    <n v="2.4159999999999999"/>
    <n v="2.4159999999999999"/>
    <n v="2.4159999999999999"/>
    <n v="0"/>
    <x v="0"/>
    <n v="0"/>
    <n v="0"/>
    <n v="28"/>
    <n v="74"/>
    <n v="0"/>
    <n v="1448.96"/>
    <n v="270.3"/>
    <m/>
    <n v="1479.9458225851192"/>
    <n v="362.70381368696184"/>
    <n v="0"/>
    <n v="3500.6873599999999"/>
    <n v="653.04480000000001"/>
    <n v="0"/>
    <n v="3575.5491073656481"/>
    <n v="876.29241386769979"/>
  </r>
  <r>
    <s v="Regular"/>
    <x v="1"/>
    <x v="1"/>
    <x v="1"/>
    <x v="0"/>
    <x v="0"/>
    <x v="0"/>
    <x v="1"/>
    <x v="3"/>
    <n v="0"/>
    <n v="0"/>
    <n v="68.128"/>
    <n v="68.128"/>
    <n v="68.128"/>
    <n v="68.128"/>
    <n v="0"/>
    <x v="0"/>
    <n v="0"/>
    <n v="0"/>
    <n v="28"/>
    <n v="74"/>
    <n v="0"/>
    <n v="1448.96"/>
    <n v="270.3"/>
    <m/>
    <n v="1479.9458225851192"/>
    <n v="362.70381368696184"/>
    <n v="0"/>
    <n v="98714.746880000006"/>
    <n v="18414.9984"/>
    <n v="0"/>
    <n v="100825.74900107901"/>
    <n v="24710.285418865336"/>
  </r>
  <r>
    <s v="Sistema Isolado - Regular"/>
    <x v="1"/>
    <x v="1"/>
    <x v="1"/>
    <x v="0"/>
    <x v="0"/>
    <x v="0"/>
    <x v="1"/>
    <x v="3"/>
    <n v="0"/>
    <n v="0"/>
    <n v="3.9020000000000001"/>
    <n v="3.9020000000000001"/>
    <n v="3.9020000000000001"/>
    <n v="3.9020000000000001"/>
    <n v="0"/>
    <x v="0"/>
    <n v="0"/>
    <n v="0"/>
    <n v="28"/>
    <n v="74"/>
    <n v="0"/>
    <n v="1448.96"/>
    <n v="270.3"/>
    <m/>
    <n v="1479.9458225851192"/>
    <n v="362.70381368696184"/>
    <n v="0"/>
    <n v="5653.8419200000008"/>
    <n v="1054.7106000000001"/>
    <n v="0"/>
    <n v="5774.7485997271351"/>
    <n v="1415.2702810065252"/>
  </r>
  <r>
    <s v="Sistema de Compensação"/>
    <x v="1"/>
    <x v="1"/>
    <x v="1"/>
    <x v="0"/>
    <x v="0"/>
    <x v="0"/>
    <x v="1"/>
    <x v="3"/>
    <n v="0"/>
    <n v="0"/>
    <n v="1.67"/>
    <n v="1.67"/>
    <n v="1.67"/>
    <n v="1.67"/>
    <n v="0"/>
    <x v="0"/>
    <n v="0"/>
    <n v="0"/>
    <n v="28"/>
    <n v="74"/>
    <n v="0"/>
    <n v="1448.96"/>
    <n v="270.3"/>
    <m/>
    <n v="1479.9458225851192"/>
    <n v="362.70381368696184"/>
    <n v="0"/>
    <n v="2419.7631999999999"/>
    <n v="451.40100000000001"/>
    <n v="0"/>
    <n v="2471.509523717149"/>
    <n v="605.71536885722628"/>
  </r>
  <r>
    <s v="Regular"/>
    <x v="1"/>
    <x v="1"/>
    <x v="1"/>
    <x v="0"/>
    <x v="0"/>
    <x v="0"/>
    <x v="1"/>
    <x v="4"/>
    <n v="0"/>
    <n v="0"/>
    <n v="58.709000000000003"/>
    <n v="58.709000000000003"/>
    <n v="58.709000000000003"/>
    <n v="58.709000000000003"/>
    <n v="0"/>
    <x v="0"/>
    <n v="0"/>
    <n v="0"/>
    <n v="28"/>
    <n v="74"/>
    <n v="0"/>
    <n v="1448.96"/>
    <n v="270.3"/>
    <m/>
    <n v="1479.9458225851192"/>
    <n v="362.70381368696184"/>
    <n v="0"/>
    <n v="85066.992640000011"/>
    <n v="15869.042700000002"/>
    <n v="0"/>
    <n v="86886.139298149763"/>
    <n v="21293.978197747845"/>
  </r>
  <r>
    <s v="Sistema Isolado - Regular"/>
    <x v="1"/>
    <x v="1"/>
    <x v="1"/>
    <x v="0"/>
    <x v="0"/>
    <x v="0"/>
    <x v="1"/>
    <x v="4"/>
    <n v="0"/>
    <n v="0"/>
    <n v="4.6589999999999998"/>
    <n v="4.6589999999999998"/>
    <n v="4.6589999999999998"/>
    <n v="4.6589999999999998"/>
    <n v="0"/>
    <x v="0"/>
    <n v="0"/>
    <n v="0"/>
    <n v="28"/>
    <n v="74"/>
    <n v="0"/>
    <n v="1448.96"/>
    <n v="270.3"/>
    <m/>
    <n v="1479.9458225851192"/>
    <n v="362.70381368696184"/>
    <n v="0"/>
    <n v="6750.7046399999999"/>
    <n v="1259.3277"/>
    <n v="0"/>
    <n v="6895.0675874240706"/>
    <n v="1689.8370679675552"/>
  </r>
  <r>
    <s v="Sistema de Compensação"/>
    <x v="1"/>
    <x v="1"/>
    <x v="1"/>
    <x v="0"/>
    <x v="0"/>
    <x v="0"/>
    <x v="1"/>
    <x v="4"/>
    <n v="0"/>
    <n v="0"/>
    <n v="1.516"/>
    <n v="1.516"/>
    <n v="1.516"/>
    <n v="1.516"/>
    <n v="0"/>
    <x v="0"/>
    <n v="0"/>
    <n v="0"/>
    <n v="28"/>
    <n v="74"/>
    <n v="0"/>
    <n v="1448.96"/>
    <n v="270.3"/>
    <m/>
    <n v="1479.9458225851192"/>
    <n v="362.70381368696184"/>
    <n v="0"/>
    <n v="2196.62336"/>
    <n v="409.77480000000003"/>
    <n v="0"/>
    <n v="2243.5978670390409"/>
    <n v="549.85898154943413"/>
  </r>
  <r>
    <s v="Regular"/>
    <x v="1"/>
    <x v="1"/>
    <x v="1"/>
    <x v="0"/>
    <x v="0"/>
    <x v="0"/>
    <x v="1"/>
    <x v="5"/>
    <n v="0"/>
    <n v="0"/>
    <n v="56.252000000000002"/>
    <n v="56.252000000000002"/>
    <n v="56.252000000000002"/>
    <n v="56.252000000000002"/>
    <n v="0"/>
    <x v="0"/>
    <n v="0"/>
    <n v="0"/>
    <n v="28"/>
    <n v="74"/>
    <n v="0"/>
    <n v="1448.96"/>
    <n v="270.3"/>
    <m/>
    <n v="1479.9458225851192"/>
    <n v="362.70381368696184"/>
    <n v="0"/>
    <n v="81506.897920000003"/>
    <n v="15204.915600000002"/>
    <n v="0"/>
    <n v="83249.912412058125"/>
    <n v="20402.814927518979"/>
  </r>
  <r>
    <s v="Sistema Isolado - Regular"/>
    <x v="1"/>
    <x v="1"/>
    <x v="1"/>
    <x v="0"/>
    <x v="0"/>
    <x v="0"/>
    <x v="1"/>
    <x v="5"/>
    <n v="0"/>
    <n v="0"/>
    <n v="4.3360000000000003"/>
    <n v="4.3360000000000003"/>
    <n v="4.3360000000000003"/>
    <n v="4.3360000000000003"/>
    <n v="0"/>
    <x v="0"/>
    <n v="0"/>
    <n v="0"/>
    <n v="28"/>
    <n v="74"/>
    <n v="0"/>
    <n v="1448.96"/>
    <n v="270.3"/>
    <m/>
    <n v="1479.9458225851192"/>
    <n v="362.70381368696184"/>
    <n v="0"/>
    <n v="6282.6905600000009"/>
    <n v="1172.0208000000002"/>
    <n v="0"/>
    <n v="6417.0450867290774"/>
    <n v="1572.6837361466667"/>
  </r>
  <r>
    <s v="Sistema de Compensação"/>
    <x v="1"/>
    <x v="1"/>
    <x v="1"/>
    <x v="0"/>
    <x v="0"/>
    <x v="0"/>
    <x v="1"/>
    <x v="5"/>
    <n v="0"/>
    <n v="0"/>
    <n v="1.5629999999999999"/>
    <n v="1.5629999999999999"/>
    <n v="1.5629999999999999"/>
    <n v="1.5629999999999999"/>
    <n v="0"/>
    <x v="0"/>
    <n v="0"/>
    <n v="0"/>
    <n v="28"/>
    <n v="74"/>
    <n v="0"/>
    <n v="1448.96"/>
    <n v="270.3"/>
    <m/>
    <n v="1479.9458225851192"/>
    <n v="362.70381368696184"/>
    <n v="0"/>
    <n v="2264.7244799999999"/>
    <n v="422.47890000000001"/>
    <n v="0"/>
    <n v="2313.1553207005413"/>
    <n v="566.90606079272129"/>
  </r>
  <r>
    <s v="Regular"/>
    <x v="1"/>
    <x v="1"/>
    <x v="1"/>
    <x v="0"/>
    <x v="0"/>
    <x v="0"/>
    <x v="1"/>
    <x v="6"/>
    <n v="0"/>
    <n v="0"/>
    <n v="52.558"/>
    <n v="52.558"/>
    <n v="52.558"/>
    <n v="52.558"/>
    <n v="0"/>
    <x v="0"/>
    <n v="0"/>
    <n v="0"/>
    <n v="28"/>
    <n v="74"/>
    <n v="0"/>
    <n v="1448.96"/>
    <n v="270.3"/>
    <m/>
    <n v="1479.9458225851192"/>
    <n v="362.70381368696184"/>
    <n v="0"/>
    <n v="76154.439679999996"/>
    <n v="14206.4274"/>
    <n v="0"/>
    <n v="77782.9925434287"/>
    <n v="19062.98703975934"/>
  </r>
  <r>
    <s v="Refaturamento - Regular"/>
    <x v="1"/>
    <x v="1"/>
    <x v="1"/>
    <x v="0"/>
    <x v="0"/>
    <x v="0"/>
    <x v="1"/>
    <x v="6"/>
    <n v="0"/>
    <n v="0"/>
    <n v="-1.1200000000000001"/>
    <n v="-1.1200000000000001"/>
    <n v="-1.1200000000000001"/>
    <n v="-1.1200000000000001"/>
    <n v="0"/>
    <x v="0"/>
    <n v="0"/>
    <n v="0"/>
    <n v="28"/>
    <n v="74"/>
    <n v="0"/>
    <n v="1448.96"/>
    <n v="270.3"/>
    <m/>
    <n v="1479.9458225851192"/>
    <n v="362.70381368696184"/>
    <n v="0"/>
    <n v="-1622.8352000000002"/>
    <n v="-302.73600000000005"/>
    <n v="0"/>
    <n v="-1657.5393212953336"/>
    <n v="-406.22827132939727"/>
  </r>
  <r>
    <s v="Sistema Isolado - Regular"/>
    <x v="1"/>
    <x v="1"/>
    <x v="1"/>
    <x v="0"/>
    <x v="0"/>
    <x v="0"/>
    <x v="1"/>
    <x v="6"/>
    <n v="0"/>
    <n v="0"/>
    <n v="4.2329999999999997"/>
    <n v="4.2329999999999997"/>
    <n v="4.2329999999999997"/>
    <n v="4.2329999999999997"/>
    <n v="0"/>
    <x v="0"/>
    <n v="0"/>
    <n v="0"/>
    <n v="28"/>
    <n v="74"/>
    <n v="0"/>
    <n v="1448.96"/>
    <n v="270.3"/>
    <m/>
    <n v="1479.9458225851192"/>
    <n v="362.70381368696184"/>
    <n v="0"/>
    <n v="6133.4476799999993"/>
    <n v="1144.1798999999999"/>
    <n v="0"/>
    <n v="6264.6106670028094"/>
    <n v="1535.3252433369094"/>
  </r>
  <r>
    <s v="Sistema de Compensação"/>
    <x v="1"/>
    <x v="1"/>
    <x v="1"/>
    <x v="0"/>
    <x v="0"/>
    <x v="0"/>
    <x v="1"/>
    <x v="6"/>
    <n v="0"/>
    <n v="0"/>
    <n v="1.599"/>
    <n v="1.599"/>
    <n v="1.599"/>
    <n v="1.599"/>
    <n v="0"/>
    <x v="0"/>
    <n v="0"/>
    <n v="0"/>
    <n v="28"/>
    <n v="74"/>
    <n v="0"/>
    <n v="1448.96"/>
    <n v="270.3"/>
    <m/>
    <n v="1479.9458225851192"/>
    <n v="362.70381368696184"/>
    <n v="0"/>
    <n v="2316.8870400000001"/>
    <n v="432.2097"/>
    <n v="0"/>
    <n v="2366.4333703136058"/>
    <n v="579.96339808545201"/>
  </r>
  <r>
    <s v="Regular"/>
    <x v="1"/>
    <x v="1"/>
    <x v="1"/>
    <x v="0"/>
    <x v="0"/>
    <x v="0"/>
    <x v="1"/>
    <x v="7"/>
    <n v="0"/>
    <n v="0"/>
    <n v="56.893000000000001"/>
    <n v="56.893000000000001"/>
    <n v="56.893000000000001"/>
    <n v="56.893000000000001"/>
    <n v="0"/>
    <x v="0"/>
    <n v="0"/>
    <n v="0"/>
    <n v="28"/>
    <n v="74"/>
    <n v="0"/>
    <n v="1448.96"/>
    <n v="270.3"/>
    <m/>
    <n v="1479.9458225851192"/>
    <n v="362.70381368696184"/>
    <n v="0"/>
    <n v="82435.681280000004"/>
    <n v="15378.177900000001"/>
    <n v="0"/>
    <n v="84198.557684335188"/>
    <n v="20635.308072092321"/>
  </r>
  <r>
    <s v="Sistema Isolado - Regular"/>
    <x v="1"/>
    <x v="1"/>
    <x v="1"/>
    <x v="0"/>
    <x v="0"/>
    <x v="0"/>
    <x v="1"/>
    <x v="7"/>
    <n v="0"/>
    <n v="0"/>
    <n v="4.8179999999999996"/>
    <n v="4.8179999999999996"/>
    <n v="4.8179999999999996"/>
    <n v="4.8179999999999996"/>
    <n v="0"/>
    <x v="0"/>
    <n v="0"/>
    <n v="0"/>
    <n v="28"/>
    <n v="74"/>
    <n v="0"/>
    <n v="1448.96"/>
    <n v="270.3"/>
    <m/>
    <n v="1479.9458225851192"/>
    <n v="362.70381368696184"/>
    <n v="0"/>
    <n v="6981.0892799999992"/>
    <n v="1302.3054"/>
    <n v="0"/>
    <n v="7130.3789732151035"/>
    <n v="1747.5069743437821"/>
  </r>
  <r>
    <s v="Sistema de Compensação"/>
    <x v="1"/>
    <x v="1"/>
    <x v="1"/>
    <x v="0"/>
    <x v="0"/>
    <x v="0"/>
    <x v="1"/>
    <x v="7"/>
    <n v="0"/>
    <n v="0"/>
    <n v="2.8719999999999999"/>
    <n v="2.8719999999999999"/>
    <n v="2.8719999999999999"/>
    <n v="2.8719999999999999"/>
    <n v="0"/>
    <x v="0"/>
    <n v="0"/>
    <n v="0"/>
    <n v="28"/>
    <n v="74"/>
    <n v="0"/>
    <n v="1448.96"/>
    <n v="270.3"/>
    <m/>
    <n v="1479.9458225851192"/>
    <n v="362.70381368696184"/>
    <n v="0"/>
    <n v="4161.4131200000002"/>
    <n v="776.30160000000001"/>
    <n v="0"/>
    <n v="4250.4044024644627"/>
    <n v="1041.6853529089544"/>
  </r>
  <r>
    <s v="Regular"/>
    <x v="1"/>
    <x v="1"/>
    <x v="1"/>
    <x v="0"/>
    <x v="0"/>
    <x v="0"/>
    <x v="1"/>
    <x v="8"/>
    <n v="0"/>
    <n v="0"/>
    <n v="57.814999999999998"/>
    <n v="57.814999999999998"/>
    <n v="57.814999999999998"/>
    <n v="57.814999999999998"/>
    <n v="0"/>
    <x v="0"/>
    <n v="0"/>
    <n v="0"/>
    <n v="28"/>
    <n v="74"/>
    <n v="0"/>
    <n v="1448.96"/>
    <n v="270.3"/>
    <m/>
    <n v="1479.9458225851192"/>
    <n v="362.70381368696184"/>
    <n v="0"/>
    <n v="83771.622399999993"/>
    <n v="15627.3945"/>
    <n v="0"/>
    <n v="85563.06773275866"/>
    <n v="20969.720988311699"/>
  </r>
  <r>
    <s v="Sistema Isolado - Regular"/>
    <x v="1"/>
    <x v="1"/>
    <x v="1"/>
    <x v="0"/>
    <x v="0"/>
    <x v="0"/>
    <x v="1"/>
    <x v="8"/>
    <n v="0"/>
    <n v="0"/>
    <n v="5.4219999999999997"/>
    <n v="5.4219999999999997"/>
    <n v="5.4219999999999997"/>
    <n v="5.4219999999999997"/>
    <n v="0"/>
    <x v="0"/>
    <n v="0"/>
    <n v="0"/>
    <n v="28"/>
    <n v="74"/>
    <n v="0"/>
    <n v="1448.96"/>
    <n v="270.3"/>
    <m/>
    <n v="1479.9458225851192"/>
    <n v="362.70381368696184"/>
    <n v="0"/>
    <n v="7856.2611200000001"/>
    <n v="1465.5665999999999"/>
    <n v="0"/>
    <n v="8024.2662500565157"/>
    <n v="1966.5800778107071"/>
  </r>
  <r>
    <s v="Sistema de Compensação"/>
    <x v="1"/>
    <x v="1"/>
    <x v="1"/>
    <x v="0"/>
    <x v="0"/>
    <x v="0"/>
    <x v="1"/>
    <x v="8"/>
    <n v="0"/>
    <n v="0"/>
    <n v="2.7450000000000001"/>
    <n v="2.7450000000000001"/>
    <n v="2.7450000000000001"/>
    <n v="2.7450000000000001"/>
    <n v="0"/>
    <x v="0"/>
    <n v="0"/>
    <n v="0"/>
    <n v="28"/>
    <n v="74"/>
    <n v="0"/>
    <n v="1448.96"/>
    <n v="270.3"/>
    <m/>
    <n v="1479.9458225851192"/>
    <n v="362.70381368696184"/>
    <n v="0"/>
    <n v="3977.3952000000004"/>
    <n v="741.97350000000006"/>
    <n v="0"/>
    <n v="4062.4512829961523"/>
    <n v="995.62196857071024"/>
  </r>
  <r>
    <s v="Regular"/>
    <x v="1"/>
    <x v="1"/>
    <x v="1"/>
    <x v="0"/>
    <x v="0"/>
    <x v="0"/>
    <x v="1"/>
    <x v="9"/>
    <n v="0"/>
    <n v="0"/>
    <n v="60.07"/>
    <n v="60.07"/>
    <n v="60.07"/>
    <n v="60.07"/>
    <n v="0"/>
    <x v="0"/>
    <n v="0"/>
    <n v="0"/>
    <n v="28"/>
    <n v="74"/>
    <n v="0"/>
    <n v="1448.96"/>
    <n v="270.3"/>
    <m/>
    <n v="1479.9458225851192"/>
    <n v="362.70381368696184"/>
    <n v="0"/>
    <n v="87039.027199999997"/>
    <n v="16236.921"/>
    <n v="0"/>
    <n v="88900.345562688119"/>
    <n v="21787.618088175797"/>
  </r>
  <r>
    <s v="Sistema Isolado - Regular"/>
    <x v="1"/>
    <x v="1"/>
    <x v="1"/>
    <x v="0"/>
    <x v="0"/>
    <x v="0"/>
    <x v="1"/>
    <x v="9"/>
    <n v="0"/>
    <n v="0"/>
    <n v="5.1840000000000002"/>
    <n v="5.1840000000000002"/>
    <n v="5.1840000000000002"/>
    <n v="5.1840000000000002"/>
    <n v="0"/>
    <x v="0"/>
    <n v="0"/>
    <n v="0"/>
    <n v="28"/>
    <n v="74"/>
    <n v="0"/>
    <n v="1448.96"/>
    <n v="270.3"/>
    <m/>
    <n v="1479.9458225851192"/>
    <n v="362.70381368696184"/>
    <n v="0"/>
    <n v="7511.4086400000006"/>
    <n v="1401.2352000000001"/>
    <n v="0"/>
    <n v="7672.0391442812579"/>
    <n v="1880.2565701532103"/>
  </r>
  <r>
    <s v="Sistema de Compensação"/>
    <x v="1"/>
    <x v="1"/>
    <x v="1"/>
    <x v="0"/>
    <x v="0"/>
    <x v="0"/>
    <x v="1"/>
    <x v="9"/>
    <n v="0"/>
    <n v="0"/>
    <n v="2.657"/>
    <n v="2.657"/>
    <n v="2.657"/>
    <n v="2.657"/>
    <n v="0"/>
    <x v="0"/>
    <n v="0"/>
    <n v="0"/>
    <n v="28"/>
    <n v="74"/>
    <n v="0"/>
    <n v="1448.96"/>
    <n v="270.3"/>
    <m/>
    <n v="1479.9458225851192"/>
    <n v="362.70381368696184"/>
    <n v="0"/>
    <n v="3849.88672"/>
    <n v="718.18709999999999"/>
    <n v="0"/>
    <n v="3932.216050608662"/>
    <n v="963.70403296625761"/>
  </r>
  <r>
    <s v="Regular"/>
    <x v="1"/>
    <x v="1"/>
    <x v="1"/>
    <x v="0"/>
    <x v="0"/>
    <x v="0"/>
    <x v="1"/>
    <x v="10"/>
    <n v="0"/>
    <n v="0"/>
    <n v="71"/>
    <n v="71"/>
    <n v="71"/>
    <n v="71"/>
    <n v="0"/>
    <x v="0"/>
    <n v="0"/>
    <n v="0"/>
    <n v="28"/>
    <n v="74"/>
    <n v="0"/>
    <n v="1448.96"/>
    <n v="270.3"/>
    <m/>
    <n v="1479.9458225851192"/>
    <n v="362.70381368696184"/>
    <n v="0"/>
    <n v="102876.16"/>
    <n v="19191.3"/>
    <n v="0"/>
    <n v="105076.15340354346"/>
    <n v="25751.970771774289"/>
  </r>
  <r>
    <s v="Sistema Isolado - Regular"/>
    <x v="1"/>
    <x v="1"/>
    <x v="1"/>
    <x v="0"/>
    <x v="0"/>
    <x v="0"/>
    <x v="1"/>
    <x v="10"/>
    <n v="0"/>
    <n v="0"/>
    <n v="4.9000000000000004"/>
    <n v="4.9000000000000004"/>
    <n v="4.9000000000000004"/>
    <n v="4.9000000000000004"/>
    <n v="0"/>
    <x v="0"/>
    <n v="0"/>
    <n v="0"/>
    <n v="28"/>
    <n v="74"/>
    <n v="0"/>
    <n v="1448.96"/>
    <n v="270.3"/>
    <m/>
    <n v="1479.9458225851192"/>
    <n v="362.70381368696184"/>
    <n v="0"/>
    <n v="7099.9040000000005"/>
    <n v="1324.4700000000003"/>
    <n v="0"/>
    <n v="7251.734530667085"/>
    <n v="1777.2486870661132"/>
  </r>
  <r>
    <s v="Sistema de Compensação"/>
    <x v="1"/>
    <x v="1"/>
    <x v="1"/>
    <x v="0"/>
    <x v="0"/>
    <x v="0"/>
    <x v="1"/>
    <x v="10"/>
    <n v="0"/>
    <n v="0"/>
    <n v="2.5640000000000001"/>
    <n v="2.5640000000000001"/>
    <n v="2.5640000000000001"/>
    <n v="2.5640000000000001"/>
    <n v="0"/>
    <x v="0"/>
    <n v="0"/>
    <n v="0"/>
    <n v="28"/>
    <n v="74"/>
    <n v="0"/>
    <n v="1448.96"/>
    <n v="270.3"/>
    <m/>
    <n v="1479.9458225851192"/>
    <n v="362.70381368696184"/>
    <n v="0"/>
    <n v="3715.1334400000001"/>
    <n v="693.04920000000004"/>
    <n v="0"/>
    <n v="3794.5810891082456"/>
    <n v="929.97257829337013"/>
  </r>
  <r>
    <s v="PROJETADO"/>
    <x v="1"/>
    <x v="1"/>
    <x v="1"/>
    <x v="0"/>
    <x v="0"/>
    <x v="0"/>
    <x v="1"/>
    <x v="11"/>
    <n v="0"/>
    <n v="0"/>
    <n v="71"/>
    <n v="71"/>
    <n v="71"/>
    <n v="71"/>
    <n v="0"/>
    <x v="0"/>
    <n v="0"/>
    <n v="0"/>
    <n v="28"/>
    <n v="74"/>
    <n v="0"/>
    <n v="1448.96"/>
    <n v="270.3"/>
    <m/>
    <n v="1479.9458225851192"/>
    <n v="362.70381368696184"/>
    <n v="0"/>
    <n v="102876.16"/>
    <n v="19191.3"/>
    <n v="0"/>
    <n v="105076.15340354346"/>
    <n v="25751.970771774289"/>
  </r>
  <r>
    <s v="PROJETADO"/>
    <x v="1"/>
    <x v="1"/>
    <x v="1"/>
    <x v="0"/>
    <x v="0"/>
    <x v="0"/>
    <x v="1"/>
    <x v="11"/>
    <n v="0"/>
    <n v="0"/>
    <n v="4.9000000000000004"/>
    <n v="4.9000000000000004"/>
    <n v="4.9000000000000004"/>
    <n v="4.9000000000000004"/>
    <n v="0"/>
    <x v="0"/>
    <n v="0"/>
    <n v="0"/>
    <n v="28"/>
    <n v="74"/>
    <n v="0"/>
    <n v="1448.96"/>
    <n v="270.3"/>
    <m/>
    <n v="1479.9458225851192"/>
    <n v="362.70381368696184"/>
    <n v="0"/>
    <n v="7099.9040000000005"/>
    <n v="1324.4700000000003"/>
    <n v="0"/>
    <n v="7251.734530667085"/>
    <n v="1777.2486870661132"/>
  </r>
  <r>
    <s v="PROJETADO"/>
    <x v="1"/>
    <x v="1"/>
    <x v="1"/>
    <x v="0"/>
    <x v="0"/>
    <x v="0"/>
    <x v="1"/>
    <x v="11"/>
    <n v="0"/>
    <n v="0"/>
    <n v="2.5640000000000001"/>
    <n v="2.5640000000000001"/>
    <n v="2.5640000000000001"/>
    <n v="2.5640000000000001"/>
    <n v="0"/>
    <x v="0"/>
    <n v="0"/>
    <n v="0"/>
    <n v="28"/>
    <n v="74"/>
    <n v="0"/>
    <n v="1448.96"/>
    <n v="270.3"/>
    <m/>
    <n v="1479.9458225851192"/>
    <n v="362.70381368696184"/>
    <n v="0"/>
    <n v="3715.1334400000001"/>
    <n v="693.04920000000004"/>
    <n v="0"/>
    <n v="3794.5810891082456"/>
    <n v="929.97257829337013"/>
  </r>
  <r>
    <s v="Regular"/>
    <x v="1"/>
    <x v="1"/>
    <x v="4"/>
    <x v="0"/>
    <x v="0"/>
    <x v="0"/>
    <x v="0"/>
    <x v="0"/>
    <n v="0"/>
    <n v="0"/>
    <n v="3499.0059999999999"/>
    <n v="3499.0059999999999"/>
    <n v="3499.0059999999999"/>
    <n v="3499.0059999999999"/>
    <n v="0"/>
    <x v="0"/>
    <n v="0"/>
    <n v="0"/>
    <n v="29"/>
    <n v="75"/>
    <n v="0"/>
    <n v="84.31"/>
    <n v="168.06"/>
    <m/>
    <n v="113.43802162385306"/>
    <n v="218.7322873480222"/>
    <n v="0"/>
    <n v="295001.19585999998"/>
    <n v="588042.94836000004"/>
    <n v="0"/>
    <n v="396920.31828999158"/>
    <n v="765345.58582445374"/>
  </r>
  <r>
    <s v="Sistema Isolado - Regular"/>
    <x v="1"/>
    <x v="1"/>
    <x v="4"/>
    <x v="0"/>
    <x v="0"/>
    <x v="0"/>
    <x v="0"/>
    <x v="0"/>
    <n v="0"/>
    <n v="0"/>
    <n v="761.18"/>
    <n v="761.18"/>
    <n v="761.18"/>
    <n v="761.18"/>
    <n v="0"/>
    <x v="0"/>
    <n v="0"/>
    <n v="0"/>
    <n v="29"/>
    <n v="75"/>
    <n v="0"/>
    <n v="84.31"/>
    <n v="168.06"/>
    <m/>
    <n v="113.43802162385306"/>
    <n v="218.7322873480222"/>
    <n v="0"/>
    <n v="64175.085800000001"/>
    <n v="127923.9108"/>
    <n v="0"/>
    <n v="86346.753299644464"/>
    <n v="166494.64248356753"/>
  </r>
  <r>
    <s v="Sistema de Compensação"/>
    <x v="1"/>
    <x v="1"/>
    <x v="4"/>
    <x v="0"/>
    <x v="0"/>
    <x v="0"/>
    <x v="0"/>
    <x v="0"/>
    <n v="0"/>
    <n v="0"/>
    <n v="193.32"/>
    <n v="193.32"/>
    <n v="193.32"/>
    <n v="193.32"/>
    <n v="0"/>
    <x v="0"/>
    <n v="0"/>
    <n v="0"/>
    <n v="29"/>
    <n v="75"/>
    <n v="0"/>
    <n v="84.31"/>
    <n v="168.06"/>
    <m/>
    <n v="113.43802162385306"/>
    <n v="218.7322873480222"/>
    <n v="0"/>
    <n v="16298.8092"/>
    <n v="32489.359199999999"/>
    <n v="0"/>
    <n v="21929.838340323273"/>
    <n v="42285.325790119648"/>
  </r>
  <r>
    <s v="Regular"/>
    <x v="1"/>
    <x v="1"/>
    <x v="4"/>
    <x v="0"/>
    <x v="0"/>
    <x v="0"/>
    <x v="0"/>
    <x v="1"/>
    <n v="0"/>
    <n v="0"/>
    <n v="3464.9879999999998"/>
    <n v="3464.9879999999998"/>
    <n v="3464.9879999999998"/>
    <n v="3464.9879999999998"/>
    <n v="0"/>
    <x v="0"/>
    <n v="0"/>
    <n v="0"/>
    <n v="29"/>
    <n v="75"/>
    <n v="0"/>
    <n v="84.31"/>
    <n v="168.06"/>
    <m/>
    <n v="113.43802162385306"/>
    <n v="218.7322873480222"/>
    <n v="0"/>
    <n v="292133.13828000001"/>
    <n v="582325.88327999995"/>
    <n v="0"/>
    <n v="393061.38367039134"/>
    <n v="757904.75087344868"/>
  </r>
  <r>
    <s v="Sistema Isolado - Regular"/>
    <x v="1"/>
    <x v="1"/>
    <x v="4"/>
    <x v="0"/>
    <x v="0"/>
    <x v="0"/>
    <x v="0"/>
    <x v="1"/>
    <n v="0"/>
    <n v="0"/>
    <n v="770.84"/>
    <n v="770.84"/>
    <n v="770.84"/>
    <n v="770.84"/>
    <n v="0"/>
    <x v="0"/>
    <n v="0"/>
    <n v="0"/>
    <n v="29"/>
    <n v="75"/>
    <n v="0"/>
    <n v="84.31"/>
    <n v="168.06"/>
    <m/>
    <n v="113.43802162385306"/>
    <n v="218.7322873480222"/>
    <n v="0"/>
    <n v="64989.520400000001"/>
    <n v="129547.37040000001"/>
    <n v="0"/>
    <n v="87442.564588530891"/>
    <n v="168607.59637934944"/>
  </r>
  <r>
    <s v="Sistema Isolado - Refaturamento"/>
    <x v="1"/>
    <x v="1"/>
    <x v="4"/>
    <x v="0"/>
    <x v="0"/>
    <x v="0"/>
    <x v="0"/>
    <x v="1"/>
    <n v="0"/>
    <n v="0"/>
    <n v="-16.920000000000002"/>
    <n v="-16.920000000000002"/>
    <n v="-16.920000000000002"/>
    <n v="-16.920000000000002"/>
    <n v="0"/>
    <x v="0"/>
    <n v="0"/>
    <n v="0"/>
    <n v="29"/>
    <n v="75"/>
    <n v="0"/>
    <n v="84.31"/>
    <n v="168.06"/>
    <m/>
    <n v="113.43802162385306"/>
    <n v="218.7322873480222"/>
    <n v="0"/>
    <n v="-1426.5252000000003"/>
    <n v="-2843.5752000000002"/>
    <n v="0"/>
    <n v="-1919.371325875594"/>
    <n v="-3700.9503019285357"/>
  </r>
  <r>
    <s v="Sistema de Compensação"/>
    <x v="1"/>
    <x v="1"/>
    <x v="4"/>
    <x v="0"/>
    <x v="0"/>
    <x v="0"/>
    <x v="0"/>
    <x v="1"/>
    <n v="0"/>
    <n v="0"/>
    <n v="195.99199999999999"/>
    <n v="195.99199999999999"/>
    <n v="195.99199999999999"/>
    <n v="195.99199999999999"/>
    <n v="0"/>
    <x v="0"/>
    <n v="0"/>
    <n v="0"/>
    <n v="29"/>
    <n v="75"/>
    <n v="0"/>
    <n v="84.31"/>
    <n v="168.06"/>
    <m/>
    <n v="113.43802162385306"/>
    <n v="218.7322873480222"/>
    <n v="0"/>
    <n v="16524.085520000001"/>
    <n v="32938.415520000002"/>
    <n v="0"/>
    <n v="22232.94473410221"/>
    <n v="42869.778461913564"/>
  </r>
  <r>
    <s v="Regular"/>
    <x v="1"/>
    <x v="1"/>
    <x v="4"/>
    <x v="0"/>
    <x v="0"/>
    <x v="0"/>
    <x v="0"/>
    <x v="2"/>
    <n v="0"/>
    <n v="0"/>
    <n v="3102.578"/>
    <n v="3102.578"/>
    <n v="3102.578"/>
    <n v="3102.578"/>
    <n v="0"/>
    <x v="0"/>
    <n v="0"/>
    <n v="0"/>
    <n v="29"/>
    <n v="75"/>
    <n v="0"/>
    <n v="84.31"/>
    <n v="168.06"/>
    <m/>
    <n v="113.43802162385306"/>
    <n v="218.7322873480222"/>
    <n v="0"/>
    <n v="261578.35118"/>
    <n v="521419.25868000003"/>
    <n v="0"/>
    <n v="351950.31025369075"/>
    <n v="678633.98261565203"/>
  </r>
  <r>
    <s v="Refaturamento - Regular"/>
    <x v="1"/>
    <x v="1"/>
    <x v="4"/>
    <x v="0"/>
    <x v="0"/>
    <x v="0"/>
    <x v="0"/>
    <x v="2"/>
    <n v="0"/>
    <n v="0"/>
    <n v="-0.89100000000000001"/>
    <n v="-0.89100000000000001"/>
    <n v="-0.89100000000000001"/>
    <n v="-0.89100000000000001"/>
    <n v="0"/>
    <x v="0"/>
    <n v="0"/>
    <n v="0"/>
    <n v="29"/>
    <n v="75"/>
    <n v="0"/>
    <n v="84.31"/>
    <n v="168.06"/>
    <m/>
    <n v="113.43802162385306"/>
    <n v="218.7322873480222"/>
    <n v="0"/>
    <n v="-75.12021"/>
    <n v="-149.74146000000002"/>
    <n v="0"/>
    <n v="-101.07327726685308"/>
    <n v="-194.89046802708779"/>
  </r>
  <r>
    <s v="Sistema Isolado - Regular"/>
    <x v="1"/>
    <x v="1"/>
    <x v="4"/>
    <x v="0"/>
    <x v="0"/>
    <x v="0"/>
    <x v="0"/>
    <x v="2"/>
    <n v="0"/>
    <n v="0"/>
    <n v="644.56200000000001"/>
    <n v="644.56200000000001"/>
    <n v="644.56200000000001"/>
    <n v="644.56200000000001"/>
    <n v="0"/>
    <x v="0"/>
    <n v="0"/>
    <n v="0"/>
    <n v="29"/>
    <n v="75"/>
    <n v="0"/>
    <n v="84.31"/>
    <n v="168.06"/>
    <m/>
    <n v="113.43802162385306"/>
    <n v="218.7322873480222"/>
    <n v="0"/>
    <n v="54343.022219999999"/>
    <n v="108325.08972"/>
    <n v="0"/>
    <n v="73117.838093913975"/>
    <n v="140986.52059761589"/>
  </r>
  <r>
    <s v="Sistema de Compensação"/>
    <x v="1"/>
    <x v="1"/>
    <x v="4"/>
    <x v="0"/>
    <x v="0"/>
    <x v="0"/>
    <x v="0"/>
    <x v="2"/>
    <n v="0"/>
    <n v="0"/>
    <n v="178.59200000000001"/>
    <n v="178.59200000000001"/>
    <n v="178.59200000000001"/>
    <n v="178.59200000000001"/>
    <n v="0"/>
    <x v="0"/>
    <n v="0"/>
    <n v="0"/>
    <n v="29"/>
    <n v="75"/>
    <n v="0"/>
    <n v="84.31"/>
    <n v="168.06"/>
    <m/>
    <n v="113.43802162385306"/>
    <n v="218.7322873480222"/>
    <n v="0"/>
    <n v="15057.091520000002"/>
    <n v="30014.171520000004"/>
    <n v="0"/>
    <n v="20259.123157847167"/>
    <n v="39063.836662057984"/>
  </r>
  <r>
    <s v="Regular"/>
    <x v="1"/>
    <x v="1"/>
    <x v="4"/>
    <x v="0"/>
    <x v="0"/>
    <x v="0"/>
    <x v="0"/>
    <x v="3"/>
    <n v="0"/>
    <n v="0"/>
    <n v="3114.123"/>
    <n v="3114.123"/>
    <n v="3114.123"/>
    <n v="3114.123"/>
    <n v="0"/>
    <x v="0"/>
    <n v="0"/>
    <n v="0"/>
    <n v="29"/>
    <n v="75"/>
    <n v="0"/>
    <n v="84.31"/>
    <n v="168.06"/>
    <m/>
    <n v="113.43802162385306"/>
    <n v="218.7322873480222"/>
    <n v="0"/>
    <n v="262551.71013000002"/>
    <n v="523359.51138000004"/>
    <n v="0"/>
    <n v="353259.95221333817"/>
    <n v="681159.24687308492"/>
  </r>
  <r>
    <s v="Sistema Isolado - Regular"/>
    <x v="1"/>
    <x v="1"/>
    <x v="4"/>
    <x v="0"/>
    <x v="0"/>
    <x v="0"/>
    <x v="0"/>
    <x v="3"/>
    <n v="0"/>
    <n v="0"/>
    <n v="564.41499999999996"/>
    <n v="564.41499999999996"/>
    <n v="564.41499999999996"/>
    <n v="564.41499999999996"/>
    <n v="0"/>
    <x v="0"/>
    <n v="0"/>
    <n v="0"/>
    <n v="29"/>
    <n v="75"/>
    <n v="0"/>
    <n v="84.31"/>
    <n v="168.06"/>
    <m/>
    <n v="113.43802162385306"/>
    <n v="218.7322873480222"/>
    <n v="0"/>
    <n v="47585.828649999996"/>
    <n v="94855.584900000002"/>
    <n v="0"/>
    <n v="64026.120974827019"/>
    <n v="123455.78396353393"/>
  </r>
  <r>
    <s v="Sistema de Compensação"/>
    <x v="1"/>
    <x v="1"/>
    <x v="4"/>
    <x v="0"/>
    <x v="0"/>
    <x v="0"/>
    <x v="0"/>
    <x v="3"/>
    <n v="0"/>
    <n v="0"/>
    <n v="281.52600000000001"/>
    <n v="281.52600000000001"/>
    <n v="281.52600000000001"/>
    <n v="281.52600000000001"/>
    <n v="0"/>
    <x v="0"/>
    <n v="0"/>
    <n v="0"/>
    <n v="29"/>
    <n v="75"/>
    <n v="0"/>
    <n v="84.31"/>
    <n v="168.06"/>
    <m/>
    <n v="113.43802162385306"/>
    <n v="218.7322873480222"/>
    <n v="0"/>
    <n v="23735.457060000001"/>
    <n v="47313.259560000006"/>
    <n v="0"/>
    <n v="31935.752475676858"/>
    <n v="61578.825927939302"/>
  </r>
  <r>
    <s v="Regular"/>
    <x v="1"/>
    <x v="1"/>
    <x v="4"/>
    <x v="0"/>
    <x v="0"/>
    <x v="0"/>
    <x v="0"/>
    <x v="4"/>
    <n v="0"/>
    <n v="0"/>
    <n v="3180.962"/>
    <n v="3180.962"/>
    <n v="3180.962"/>
    <n v="3180.962"/>
    <n v="0"/>
    <x v="0"/>
    <n v="0"/>
    <n v="0"/>
    <n v="29"/>
    <n v="75"/>
    <n v="0"/>
    <n v="84.31"/>
    <n v="168.06"/>
    <m/>
    <n v="113.43802162385306"/>
    <n v="218.7322873480222"/>
    <n v="0"/>
    <n v="268186.90622"/>
    <n v="534592.47372000001"/>
    <n v="0"/>
    <n v="360842.03614065488"/>
    <n v="695779.09422713937"/>
  </r>
  <r>
    <s v="Sistema Isolado - Regular"/>
    <x v="1"/>
    <x v="1"/>
    <x v="4"/>
    <x v="0"/>
    <x v="0"/>
    <x v="0"/>
    <x v="0"/>
    <x v="4"/>
    <n v="0"/>
    <n v="0"/>
    <n v="625.65"/>
    <n v="625.65"/>
    <n v="625.65"/>
    <n v="625.65"/>
    <n v="0"/>
    <x v="0"/>
    <n v="0"/>
    <n v="0"/>
    <n v="29"/>
    <n v="75"/>
    <n v="0"/>
    <n v="84.31"/>
    <n v="168.06"/>
    <m/>
    <n v="113.43802162385306"/>
    <n v="218.7322873480222"/>
    <n v="0"/>
    <n v="52748.551500000001"/>
    <n v="105146.739"/>
    <n v="0"/>
    <n v="70972.498228963668"/>
    <n v="136849.85557929007"/>
  </r>
  <r>
    <s v="Sistema de Compensação"/>
    <x v="1"/>
    <x v="1"/>
    <x v="4"/>
    <x v="0"/>
    <x v="0"/>
    <x v="0"/>
    <x v="0"/>
    <x v="4"/>
    <n v="0"/>
    <n v="0"/>
    <n v="343.25599999999997"/>
    <n v="343.25599999999997"/>
    <n v="343.25599999999997"/>
    <n v="343.25599999999997"/>
    <n v="0"/>
    <x v="0"/>
    <n v="0"/>
    <n v="0"/>
    <n v="29"/>
    <n v="75"/>
    <n v="0"/>
    <n v="84.31"/>
    <n v="168.06"/>
    <m/>
    <n v="113.43802162385306"/>
    <n v="218.7322873480222"/>
    <n v="0"/>
    <n v="28939.913359999999"/>
    <n v="57687.603359999994"/>
    <n v="0"/>
    <n v="38938.281550517306"/>
    <n v="75081.170025932704"/>
  </r>
  <r>
    <s v="Regular"/>
    <x v="1"/>
    <x v="1"/>
    <x v="4"/>
    <x v="0"/>
    <x v="0"/>
    <x v="0"/>
    <x v="0"/>
    <x v="5"/>
    <n v="0"/>
    <n v="0"/>
    <n v="3566.4270000000001"/>
    <n v="3566.4270000000001"/>
    <n v="3566.4270000000001"/>
    <n v="3566.4270000000001"/>
    <n v="0"/>
    <x v="0"/>
    <n v="0"/>
    <n v="0"/>
    <n v="29"/>
    <n v="75"/>
    <n v="0"/>
    <n v="84.31"/>
    <n v="168.06"/>
    <m/>
    <n v="113.43802162385306"/>
    <n v="218.7322873480222"/>
    <n v="0"/>
    <n v="300685.46037000004"/>
    <n v="599373.72162000008"/>
    <n v="0"/>
    <n v="404568.42314589344"/>
    <n v="780092.73536974483"/>
  </r>
  <r>
    <s v="Sistema Isolado - Regular"/>
    <x v="1"/>
    <x v="1"/>
    <x v="4"/>
    <x v="0"/>
    <x v="0"/>
    <x v="0"/>
    <x v="0"/>
    <x v="5"/>
    <n v="0"/>
    <n v="0"/>
    <n v="718.1"/>
    <n v="718.1"/>
    <n v="718.1"/>
    <n v="718.1"/>
    <n v="0"/>
    <x v="0"/>
    <n v="0"/>
    <n v="0"/>
    <n v="29"/>
    <n v="75"/>
    <n v="0"/>
    <n v="84.31"/>
    <n v="168.06"/>
    <m/>
    <n v="113.43802162385306"/>
    <n v="218.7322873480222"/>
    <n v="0"/>
    <n v="60543.011000000006"/>
    <n v="120683.886"/>
    <n v="0"/>
    <n v="81459.843328088886"/>
    <n v="157071.65554461474"/>
  </r>
  <r>
    <s v="Sistema de Compensação"/>
    <x v="1"/>
    <x v="1"/>
    <x v="4"/>
    <x v="0"/>
    <x v="0"/>
    <x v="0"/>
    <x v="0"/>
    <x v="5"/>
    <n v="0"/>
    <n v="0"/>
    <n v="363.03500000000003"/>
    <n v="363.03500000000003"/>
    <n v="363.03500000000003"/>
    <n v="363.03500000000003"/>
    <n v="0"/>
    <x v="0"/>
    <n v="0"/>
    <n v="0"/>
    <n v="29"/>
    <n v="75"/>
    <n v="0"/>
    <n v="84.31"/>
    <n v="168.06"/>
    <m/>
    <n v="113.43802162385306"/>
    <n v="218.7322873480222"/>
    <n v="0"/>
    <n v="30607.480850000004"/>
    <n v="61011.662100000009"/>
    <n v="0"/>
    <n v="41181.972180215496"/>
    <n v="79407.475937389245"/>
  </r>
  <r>
    <s v="Regular"/>
    <x v="1"/>
    <x v="1"/>
    <x v="4"/>
    <x v="0"/>
    <x v="0"/>
    <x v="0"/>
    <x v="0"/>
    <x v="6"/>
    <n v="0"/>
    <n v="0"/>
    <n v="3645.8620000000001"/>
    <n v="3645.8620000000001"/>
    <n v="3645.8620000000001"/>
    <n v="3645.8620000000001"/>
    <n v="0"/>
    <x v="0"/>
    <n v="0"/>
    <n v="0"/>
    <n v="29"/>
    <n v="75"/>
    <n v="0"/>
    <n v="84.31"/>
    <n v="168.06"/>
    <m/>
    <n v="113.43802162385306"/>
    <n v="218.7322873480222"/>
    <n v="0"/>
    <n v="307382.62521999999"/>
    <n v="612723.56772000005"/>
    <n v="0"/>
    <n v="413579.37239358417"/>
    <n v="797467.73461523489"/>
  </r>
  <r>
    <s v="Sistema Isolado - Regular"/>
    <x v="1"/>
    <x v="1"/>
    <x v="4"/>
    <x v="0"/>
    <x v="0"/>
    <x v="0"/>
    <x v="0"/>
    <x v="6"/>
    <n v="0"/>
    <n v="0"/>
    <n v="751.67399999999998"/>
    <n v="751.67399999999998"/>
    <n v="751.67399999999998"/>
    <n v="751.67399999999998"/>
    <n v="0"/>
    <x v="0"/>
    <n v="0"/>
    <n v="0"/>
    <n v="29"/>
    <n v="75"/>
    <n v="0"/>
    <n v="84.31"/>
    <n v="168.06"/>
    <m/>
    <n v="113.43802162385306"/>
    <n v="218.7322873480222"/>
    <n v="0"/>
    <n v="63373.634939999996"/>
    <n v="126326.33244"/>
    <n v="0"/>
    <n v="85268.411466088117"/>
    <n v="164415.37336003722"/>
  </r>
  <r>
    <s v="Sistema de Compensação"/>
    <x v="1"/>
    <x v="1"/>
    <x v="4"/>
    <x v="0"/>
    <x v="0"/>
    <x v="0"/>
    <x v="0"/>
    <x v="6"/>
    <n v="0"/>
    <n v="0"/>
    <n v="285.596"/>
    <n v="285.596"/>
    <n v="285.596"/>
    <n v="285.596"/>
    <n v="0"/>
    <x v="0"/>
    <n v="0"/>
    <n v="0"/>
    <n v="29"/>
    <n v="75"/>
    <n v="0"/>
    <n v="84.31"/>
    <n v="168.06"/>
    <m/>
    <n v="113.43802162385306"/>
    <n v="218.7322873480222"/>
    <n v="0"/>
    <n v="24078.598760000001"/>
    <n v="47997.263760000002"/>
    <n v="0"/>
    <n v="32397.44522368594"/>
    <n v="62469.066337445751"/>
  </r>
  <r>
    <s v="Regular"/>
    <x v="1"/>
    <x v="1"/>
    <x v="4"/>
    <x v="0"/>
    <x v="0"/>
    <x v="0"/>
    <x v="0"/>
    <x v="7"/>
    <n v="0"/>
    <n v="0"/>
    <n v="3821.047"/>
    <n v="3821.047"/>
    <n v="3821.047"/>
    <n v="3821.047"/>
    <n v="0"/>
    <x v="0"/>
    <n v="0"/>
    <n v="0"/>
    <n v="29"/>
    <n v="75"/>
    <n v="0"/>
    <n v="84.31"/>
    <n v="168.06"/>
    <m/>
    <n v="113.43802162385306"/>
    <n v="218.7322873480222"/>
    <n v="0"/>
    <n v="322152.47256999998"/>
    <n v="642165.15882000001"/>
    <n v="0"/>
    <n v="433452.01221175888"/>
    <n v="835786.35037429817"/>
  </r>
  <r>
    <s v="Sistema Isolado - Regular"/>
    <x v="1"/>
    <x v="1"/>
    <x v="4"/>
    <x v="0"/>
    <x v="0"/>
    <x v="0"/>
    <x v="0"/>
    <x v="7"/>
    <n v="0"/>
    <n v="0"/>
    <n v="780.7"/>
    <n v="780.7"/>
    <n v="780.7"/>
    <n v="780.7"/>
    <n v="0"/>
    <x v="0"/>
    <n v="0"/>
    <n v="0"/>
    <n v="29"/>
    <n v="75"/>
    <n v="0"/>
    <n v="84.31"/>
    <n v="168.06"/>
    <m/>
    <n v="113.43802162385306"/>
    <n v="218.7322873480222"/>
    <n v="0"/>
    <n v="65820.81700000001"/>
    <n v="131204.44200000001"/>
    <n v="0"/>
    <n v="88561.063481742094"/>
    <n v="170764.29673260095"/>
  </r>
  <r>
    <s v="Sistema de Compensação"/>
    <x v="1"/>
    <x v="1"/>
    <x v="4"/>
    <x v="0"/>
    <x v="0"/>
    <x v="0"/>
    <x v="0"/>
    <x v="7"/>
    <n v="0"/>
    <n v="0"/>
    <n v="409.12299999999999"/>
    <n v="409.12299999999999"/>
    <n v="409.12299999999999"/>
    <n v="409.12299999999999"/>
    <n v="0"/>
    <x v="0"/>
    <n v="0"/>
    <n v="0"/>
    <n v="29"/>
    <n v="75"/>
    <n v="0"/>
    <n v="84.31"/>
    <n v="168.06"/>
    <m/>
    <n v="113.43802162385306"/>
    <n v="218.7322873480222"/>
    <n v="0"/>
    <n v="34493.160129999997"/>
    <n v="68757.211379999993"/>
    <n v="0"/>
    <n v="46410.103720815634"/>
    <n v="89488.409596684884"/>
  </r>
  <r>
    <s v="Regular"/>
    <x v="1"/>
    <x v="1"/>
    <x v="4"/>
    <x v="0"/>
    <x v="0"/>
    <x v="0"/>
    <x v="0"/>
    <x v="8"/>
    <n v="0"/>
    <n v="0"/>
    <n v="4050.45"/>
    <n v="4050.45"/>
    <n v="4050.45"/>
    <n v="4050.45"/>
    <n v="0"/>
    <x v="0"/>
    <n v="0"/>
    <n v="0"/>
    <n v="29"/>
    <n v="75"/>
    <n v="0"/>
    <n v="84.31"/>
    <n v="168.06"/>
    <m/>
    <n v="113.43802162385306"/>
    <n v="218.7322873480222"/>
    <n v="0"/>
    <n v="341493.43949999998"/>
    <n v="680718.62699999998"/>
    <n v="0"/>
    <n v="459475.0346863356"/>
    <n v="885964.19328879646"/>
  </r>
  <r>
    <s v="Sistema Isolado - Regular"/>
    <x v="1"/>
    <x v="1"/>
    <x v="4"/>
    <x v="0"/>
    <x v="0"/>
    <x v="0"/>
    <x v="0"/>
    <x v="8"/>
    <n v="0"/>
    <n v="0"/>
    <n v="819.779"/>
    <n v="819.779"/>
    <n v="819.779"/>
    <n v="819.779"/>
    <n v="0"/>
    <x v="0"/>
    <n v="0"/>
    <n v="0"/>
    <n v="29"/>
    <n v="75"/>
    <n v="0"/>
    <n v="84.31"/>
    <n v="168.06"/>
    <m/>
    <n v="113.43802162385306"/>
    <n v="218.7322873480222"/>
    <n v="0"/>
    <n v="69115.567490000001"/>
    <n v="137772.05874000001"/>
    <n v="0"/>
    <n v="92994.107928780635"/>
    <n v="179312.1357898743"/>
  </r>
  <r>
    <s v="Sistema Isolado - Refaturamento"/>
    <x v="1"/>
    <x v="1"/>
    <x v="4"/>
    <x v="0"/>
    <x v="0"/>
    <x v="0"/>
    <x v="0"/>
    <x v="8"/>
    <n v="0"/>
    <n v="0"/>
    <n v="3.9430000000000001"/>
    <n v="3.9430000000000001"/>
    <n v="3.9430000000000001"/>
    <n v="3.9430000000000001"/>
    <n v="0"/>
    <x v="0"/>
    <n v="0"/>
    <n v="0"/>
    <n v="29"/>
    <n v="75"/>
    <n v="0"/>
    <n v="84.31"/>
    <n v="168.06"/>
    <m/>
    <n v="113.43802162385306"/>
    <n v="218.7322873480222"/>
    <n v="0"/>
    <n v="332.43432999999999"/>
    <n v="662.66057999999998"/>
    <n v="0"/>
    <n v="447.28611926285265"/>
    <n v="862.46140901325157"/>
  </r>
  <r>
    <s v="Sistema de Compensação"/>
    <x v="1"/>
    <x v="1"/>
    <x v="4"/>
    <x v="0"/>
    <x v="0"/>
    <x v="0"/>
    <x v="0"/>
    <x v="8"/>
    <n v="0"/>
    <n v="0"/>
    <n v="463.59399999999999"/>
    <n v="463.59399999999999"/>
    <n v="463.59399999999999"/>
    <n v="463.59399999999999"/>
    <n v="0"/>
    <x v="0"/>
    <n v="0"/>
    <n v="0"/>
    <n v="29"/>
    <n v="75"/>
    <n v="0"/>
    <n v="84.31"/>
    <n v="168.06"/>
    <m/>
    <n v="113.43802162385306"/>
    <n v="218.7322873480222"/>
    <n v="0"/>
    <n v="39085.610139999997"/>
    <n v="77911.607640000002"/>
    <n v="0"/>
    <n v="52589.186196688534"/>
    <n v="101402.976020819"/>
  </r>
  <r>
    <s v="Regular"/>
    <x v="1"/>
    <x v="1"/>
    <x v="4"/>
    <x v="0"/>
    <x v="0"/>
    <x v="0"/>
    <x v="0"/>
    <x v="9"/>
    <n v="0"/>
    <n v="0"/>
    <n v="4034.4540000000002"/>
    <n v="4034.4540000000002"/>
    <n v="4034.4540000000002"/>
    <n v="4034.4540000000002"/>
    <n v="0"/>
    <x v="0"/>
    <n v="0"/>
    <n v="0"/>
    <n v="29"/>
    <n v="75"/>
    <n v="0"/>
    <n v="84.31"/>
    <n v="168.06"/>
    <m/>
    <n v="113.43802162385306"/>
    <n v="218.7322873480222"/>
    <n v="0"/>
    <n v="340144.81674000004"/>
    <n v="678030.33924"/>
    <n v="0"/>
    <n v="457660.4800924405"/>
    <n v="882465.35162037762"/>
  </r>
  <r>
    <s v="Sistema Isolado - Regular"/>
    <x v="1"/>
    <x v="1"/>
    <x v="4"/>
    <x v="0"/>
    <x v="0"/>
    <x v="0"/>
    <x v="0"/>
    <x v="9"/>
    <n v="0"/>
    <n v="0"/>
    <n v="808.67399999999998"/>
    <n v="808.67399999999998"/>
    <n v="808.67399999999998"/>
    <n v="808.67399999999998"/>
    <n v="0"/>
    <x v="0"/>
    <n v="0"/>
    <n v="0"/>
    <n v="29"/>
    <n v="75"/>
    <n v="0"/>
    <n v="84.31"/>
    <n v="168.06"/>
    <m/>
    <n v="113.43802162385306"/>
    <n v="218.7322873480222"/>
    <n v="0"/>
    <n v="68179.304940000002"/>
    <n v="135905.75244000001"/>
    <n v="0"/>
    <n v="91734.37869864775"/>
    <n v="176883.1137388745"/>
  </r>
  <r>
    <s v="Sistema de Compensação"/>
    <x v="1"/>
    <x v="1"/>
    <x v="4"/>
    <x v="0"/>
    <x v="0"/>
    <x v="0"/>
    <x v="0"/>
    <x v="9"/>
    <n v="0"/>
    <n v="0"/>
    <n v="461.13400000000001"/>
    <n v="461.13400000000001"/>
    <n v="461.13400000000001"/>
    <n v="461.13400000000001"/>
    <n v="0"/>
    <x v="0"/>
    <n v="0"/>
    <n v="0"/>
    <n v="29"/>
    <n v="75"/>
    <n v="0"/>
    <n v="84.31"/>
    <n v="168.06"/>
    <m/>
    <n v="113.43802162385306"/>
    <n v="218.7322873480222"/>
    <n v="0"/>
    <n v="38878.207540000003"/>
    <n v="77498.180040000007"/>
    <n v="0"/>
    <n v="52310.128663493859"/>
    <n v="100864.89459394287"/>
  </r>
  <r>
    <s v="Regular"/>
    <x v="1"/>
    <x v="1"/>
    <x v="4"/>
    <x v="0"/>
    <x v="0"/>
    <x v="0"/>
    <x v="0"/>
    <x v="10"/>
    <n v="0"/>
    <n v="0"/>
    <n v="4026.0149999999999"/>
    <n v="4026.0149999999999"/>
    <n v="4026.0149999999999"/>
    <n v="4026.0149999999999"/>
    <n v="0"/>
    <x v="0"/>
    <n v="0"/>
    <n v="0"/>
    <n v="29"/>
    <n v="75"/>
    <n v="0"/>
    <n v="84.31"/>
    <n v="168.06"/>
    <m/>
    <n v="113.43802162385306"/>
    <n v="218.7322873480222"/>
    <n v="0"/>
    <n v="339433.32465000002"/>
    <n v="676612.08089999994"/>
    <n v="0"/>
    <n v="456703.17662795674"/>
    <n v="880619.46984744759"/>
  </r>
  <r>
    <s v="Sistema Isolado - Regular"/>
    <x v="1"/>
    <x v="1"/>
    <x v="4"/>
    <x v="0"/>
    <x v="0"/>
    <x v="0"/>
    <x v="0"/>
    <x v="10"/>
    <n v="0"/>
    <n v="0"/>
    <n v="876.84100000000001"/>
    <n v="876.84100000000001"/>
    <n v="876.84100000000001"/>
    <n v="876.84100000000001"/>
    <n v="0"/>
    <x v="0"/>
    <n v="0"/>
    <n v="0"/>
    <n v="29"/>
    <n v="75"/>
    <n v="0"/>
    <n v="84.31"/>
    <n v="168.06"/>
    <m/>
    <n v="113.43802162385306"/>
    <n v="218.7322873480222"/>
    <n v="0"/>
    <n v="73926.46471"/>
    <n v="147361.89846"/>
    <n v="0"/>
    <n v="99467.108318680941"/>
    <n v="191793.43757052714"/>
  </r>
  <r>
    <s v="Sistema de Compensação"/>
    <x v="1"/>
    <x v="1"/>
    <x v="4"/>
    <x v="0"/>
    <x v="0"/>
    <x v="0"/>
    <x v="0"/>
    <x v="10"/>
    <n v="0"/>
    <n v="0"/>
    <n v="507.697"/>
    <n v="507.697"/>
    <n v="507.697"/>
    <n v="507.697"/>
    <n v="0"/>
    <x v="0"/>
    <n v="0"/>
    <n v="0"/>
    <n v="29"/>
    <n v="75"/>
    <n v="0"/>
    <n v="84.31"/>
    <n v="168.06"/>
    <m/>
    <n v="113.43802162385306"/>
    <n v="218.7322873480222"/>
    <n v="0"/>
    <n v="42803.934070000003"/>
    <n v="85323.557820000002"/>
    <n v="0"/>
    <n v="57592.143264365324"/>
    <n v="111049.72608972882"/>
  </r>
  <r>
    <s v="PROJETADO"/>
    <x v="1"/>
    <x v="1"/>
    <x v="4"/>
    <x v="0"/>
    <x v="0"/>
    <x v="0"/>
    <x v="0"/>
    <x v="11"/>
    <n v="0"/>
    <n v="0"/>
    <n v="4026.0149999999999"/>
    <n v="4026.0149999999999"/>
    <n v="4026.0149999999999"/>
    <n v="4026.0149999999999"/>
    <n v="0"/>
    <x v="0"/>
    <n v="0"/>
    <n v="0"/>
    <n v="29"/>
    <n v="75"/>
    <n v="0"/>
    <n v="84.31"/>
    <n v="168.06"/>
    <m/>
    <n v="113.43802162385306"/>
    <n v="218.7322873480222"/>
    <n v="0"/>
    <n v="339433.32465000002"/>
    <n v="676612.08089999994"/>
    <n v="0"/>
    <n v="456703.17662795674"/>
    <n v="880619.46984744759"/>
  </r>
  <r>
    <s v="PROJETADO"/>
    <x v="1"/>
    <x v="1"/>
    <x v="4"/>
    <x v="0"/>
    <x v="0"/>
    <x v="0"/>
    <x v="0"/>
    <x v="11"/>
    <n v="0"/>
    <n v="0"/>
    <n v="876.84100000000001"/>
    <n v="876.84100000000001"/>
    <n v="876.84100000000001"/>
    <n v="876.84100000000001"/>
    <n v="0"/>
    <x v="0"/>
    <n v="0"/>
    <n v="0"/>
    <n v="29"/>
    <n v="75"/>
    <n v="0"/>
    <n v="84.31"/>
    <n v="168.06"/>
    <m/>
    <n v="113.43802162385306"/>
    <n v="218.7322873480222"/>
    <n v="0"/>
    <n v="73926.46471"/>
    <n v="147361.89846"/>
    <n v="0"/>
    <n v="99467.108318680941"/>
    <n v="191793.43757052714"/>
  </r>
  <r>
    <s v="PROJETADO"/>
    <x v="1"/>
    <x v="1"/>
    <x v="4"/>
    <x v="0"/>
    <x v="0"/>
    <x v="0"/>
    <x v="0"/>
    <x v="11"/>
    <n v="0"/>
    <n v="0"/>
    <n v="507.697"/>
    <n v="507.697"/>
    <n v="507.697"/>
    <n v="507.697"/>
    <n v="0"/>
    <x v="0"/>
    <n v="0"/>
    <n v="0"/>
    <n v="29"/>
    <n v="75"/>
    <n v="0"/>
    <n v="84.31"/>
    <n v="168.06"/>
    <m/>
    <n v="113.43802162385306"/>
    <n v="218.7322873480222"/>
    <n v="0"/>
    <n v="42803.934070000003"/>
    <n v="85323.557820000002"/>
    <n v="0"/>
    <n v="57592.143264365324"/>
    <n v="111049.72608972882"/>
  </r>
  <r>
    <s v="Regular"/>
    <x v="1"/>
    <x v="1"/>
    <x v="4"/>
    <x v="0"/>
    <x v="0"/>
    <x v="0"/>
    <x v="2"/>
    <x v="0"/>
    <n v="27518"/>
    <n v="27518"/>
    <n v="0"/>
    <n v="0"/>
    <n v="0"/>
    <n v="0"/>
    <n v="257"/>
    <x v="0"/>
    <n v="0"/>
    <n v="27"/>
    <n v="0"/>
    <n v="0"/>
    <n v="19.8"/>
    <n v="0"/>
    <n v="0"/>
    <n v="20.612826474871284"/>
    <m/>
    <m/>
    <n v="544856.4"/>
    <n v="0"/>
    <n v="0"/>
    <n v="567223.75893550797"/>
    <n v="0"/>
    <n v="0"/>
  </r>
  <r>
    <s v="Refaturamento - Regular"/>
    <x v="1"/>
    <x v="1"/>
    <x v="4"/>
    <x v="0"/>
    <x v="0"/>
    <x v="0"/>
    <x v="2"/>
    <x v="0"/>
    <n v="-230"/>
    <n v="-230"/>
    <n v="0"/>
    <n v="0"/>
    <n v="0"/>
    <n v="0"/>
    <n v="-1"/>
    <x v="0"/>
    <n v="0"/>
    <n v="27"/>
    <n v="0"/>
    <n v="0"/>
    <n v="19.8"/>
    <n v="0"/>
    <n v="0"/>
    <n v="20.612826474871284"/>
    <m/>
    <m/>
    <n v="-4554"/>
    <n v="0"/>
    <n v="0"/>
    <n v="-4740.9500892203951"/>
    <n v="0"/>
    <n v="0"/>
  </r>
  <r>
    <s v="Sistema Isolado - Regular"/>
    <x v="1"/>
    <x v="1"/>
    <x v="4"/>
    <x v="0"/>
    <x v="0"/>
    <x v="0"/>
    <x v="2"/>
    <x v="0"/>
    <n v="6723"/>
    <n v="6723"/>
    <n v="0"/>
    <n v="0"/>
    <n v="0"/>
    <n v="0"/>
    <n v="71"/>
    <x v="0"/>
    <n v="0"/>
    <n v="27"/>
    <n v="0"/>
    <n v="0"/>
    <n v="19.8"/>
    <n v="0"/>
    <n v="0"/>
    <n v="20.612826474871284"/>
    <m/>
    <m/>
    <n v="133115.4"/>
    <n v="0"/>
    <n v="0"/>
    <n v="138580.03239055965"/>
    <n v="0"/>
    <n v="0"/>
  </r>
  <r>
    <s v="Sistema de Compensação"/>
    <x v="1"/>
    <x v="1"/>
    <x v="4"/>
    <x v="0"/>
    <x v="0"/>
    <x v="0"/>
    <x v="2"/>
    <x v="0"/>
    <n v="2430"/>
    <n v="2430"/>
    <n v="0"/>
    <n v="0"/>
    <n v="0"/>
    <n v="0"/>
    <n v="4"/>
    <x v="0"/>
    <n v="0"/>
    <n v="27"/>
    <n v="0"/>
    <n v="0"/>
    <n v="19.8"/>
    <n v="0"/>
    <n v="0"/>
    <n v="20.612826474871284"/>
    <m/>
    <m/>
    <n v="48114"/>
    <n v="0"/>
    <n v="0"/>
    <n v="50089.168333937218"/>
    <n v="0"/>
    <n v="0"/>
  </r>
  <r>
    <s v="Regular"/>
    <x v="1"/>
    <x v="1"/>
    <x v="4"/>
    <x v="0"/>
    <x v="0"/>
    <x v="0"/>
    <x v="2"/>
    <x v="1"/>
    <n v="27509"/>
    <n v="27509"/>
    <n v="0"/>
    <n v="0"/>
    <n v="0"/>
    <n v="0"/>
    <n v="257"/>
    <x v="0"/>
    <n v="0"/>
    <n v="27"/>
    <n v="0"/>
    <n v="0"/>
    <n v="19.8"/>
    <n v="0"/>
    <n v="0"/>
    <n v="20.612826474871284"/>
    <m/>
    <m/>
    <n v="544678.20000000007"/>
    <n v="0"/>
    <n v="0"/>
    <n v="567038.24349723419"/>
    <n v="0"/>
    <n v="0"/>
  </r>
  <r>
    <s v="Sistema Isolado - Regular"/>
    <x v="1"/>
    <x v="1"/>
    <x v="4"/>
    <x v="0"/>
    <x v="0"/>
    <x v="0"/>
    <x v="2"/>
    <x v="1"/>
    <n v="6681"/>
    <n v="6681"/>
    <n v="0"/>
    <n v="0"/>
    <n v="0"/>
    <n v="0"/>
    <n v="72"/>
    <x v="0"/>
    <n v="0"/>
    <n v="27"/>
    <n v="0"/>
    <n v="0"/>
    <n v="19.8"/>
    <n v="0"/>
    <n v="0"/>
    <n v="20.612826474871284"/>
    <m/>
    <m/>
    <n v="132283.80000000002"/>
    <n v="0"/>
    <n v="0"/>
    <n v="137714.29367861504"/>
    <n v="0"/>
    <n v="0"/>
  </r>
  <r>
    <s v="Sistema Isolado - Refaturamento"/>
    <x v="1"/>
    <x v="1"/>
    <x v="4"/>
    <x v="0"/>
    <x v="0"/>
    <x v="0"/>
    <x v="2"/>
    <x v="1"/>
    <n v="-44"/>
    <n v="-44"/>
    <n v="0"/>
    <n v="0"/>
    <n v="0"/>
    <n v="0"/>
    <n v="0"/>
    <x v="0"/>
    <n v="0"/>
    <n v="27"/>
    <n v="0"/>
    <n v="0"/>
    <n v="19.8"/>
    <n v="0"/>
    <n v="0"/>
    <n v="20.612826474871284"/>
    <m/>
    <m/>
    <n v="-871.2"/>
    <n v="0"/>
    <n v="0"/>
    <n v="-906.96436489433654"/>
    <n v="0"/>
    <n v="0"/>
  </r>
  <r>
    <s v="Sistema de Compensação"/>
    <x v="1"/>
    <x v="1"/>
    <x v="4"/>
    <x v="0"/>
    <x v="0"/>
    <x v="0"/>
    <x v="2"/>
    <x v="1"/>
    <n v="2430"/>
    <n v="2430"/>
    <n v="0"/>
    <n v="0"/>
    <n v="0"/>
    <n v="0"/>
    <n v="4"/>
    <x v="0"/>
    <n v="0"/>
    <n v="27"/>
    <n v="0"/>
    <n v="0"/>
    <n v="19.8"/>
    <n v="0"/>
    <n v="0"/>
    <n v="20.612826474871284"/>
    <m/>
    <m/>
    <n v="48114"/>
    <n v="0"/>
    <n v="0"/>
    <n v="50089.168333937218"/>
    <n v="0"/>
    <n v="0"/>
  </r>
  <r>
    <s v="Regular"/>
    <x v="1"/>
    <x v="1"/>
    <x v="4"/>
    <x v="0"/>
    <x v="0"/>
    <x v="0"/>
    <x v="2"/>
    <x v="2"/>
    <n v="27379"/>
    <n v="27379"/>
    <n v="0"/>
    <n v="0"/>
    <n v="0"/>
    <n v="0"/>
    <n v="258"/>
    <x v="0"/>
    <n v="0"/>
    <n v="27"/>
    <n v="0"/>
    <n v="0"/>
    <n v="19.8"/>
    <n v="0"/>
    <n v="0"/>
    <n v="20.612826474871284"/>
    <m/>
    <m/>
    <n v="542104.20000000007"/>
    <n v="0"/>
    <n v="0"/>
    <n v="564358.57605550089"/>
    <n v="0"/>
    <n v="0"/>
  </r>
  <r>
    <s v="Sistema Isolado - Regular"/>
    <x v="1"/>
    <x v="1"/>
    <x v="4"/>
    <x v="0"/>
    <x v="0"/>
    <x v="0"/>
    <x v="2"/>
    <x v="2"/>
    <n v="6436"/>
    <n v="6436"/>
    <n v="0"/>
    <n v="0"/>
    <n v="0"/>
    <n v="0"/>
    <n v="71"/>
    <x v="0"/>
    <n v="0"/>
    <n v="27"/>
    <n v="0"/>
    <n v="0"/>
    <n v="19.8"/>
    <n v="0"/>
    <n v="0"/>
    <n v="20.612826474871284"/>
    <m/>
    <m/>
    <n v="127432.8"/>
    <n v="0"/>
    <n v="0"/>
    <n v="132664.15119227159"/>
    <n v="0"/>
    <n v="0"/>
  </r>
  <r>
    <s v="Sistema de Compensação"/>
    <x v="1"/>
    <x v="1"/>
    <x v="4"/>
    <x v="0"/>
    <x v="0"/>
    <x v="0"/>
    <x v="2"/>
    <x v="2"/>
    <n v="2430"/>
    <n v="2430"/>
    <n v="0"/>
    <n v="0"/>
    <n v="0"/>
    <n v="0"/>
    <n v="4"/>
    <x v="0"/>
    <n v="0"/>
    <n v="27"/>
    <n v="0"/>
    <n v="0"/>
    <n v="19.8"/>
    <n v="0"/>
    <n v="0"/>
    <n v="20.612826474871284"/>
    <m/>
    <m/>
    <n v="48114"/>
    <n v="0"/>
    <n v="0"/>
    <n v="50089.168333937218"/>
    <n v="0"/>
    <n v="0"/>
  </r>
  <r>
    <s v="Regular"/>
    <x v="1"/>
    <x v="1"/>
    <x v="4"/>
    <x v="0"/>
    <x v="0"/>
    <x v="0"/>
    <x v="2"/>
    <x v="3"/>
    <n v="27584"/>
    <n v="27584"/>
    <n v="0"/>
    <n v="0"/>
    <n v="0"/>
    <n v="0"/>
    <n v="260"/>
    <x v="0"/>
    <n v="0"/>
    <n v="27"/>
    <n v="0"/>
    <n v="0"/>
    <n v="19.8"/>
    <n v="0"/>
    <n v="0"/>
    <n v="20.612826474871284"/>
    <m/>
    <m/>
    <n v="546163.20000000007"/>
    <n v="0"/>
    <n v="0"/>
    <n v="568584.2054828495"/>
    <n v="0"/>
    <n v="0"/>
  </r>
  <r>
    <s v="Sistema Isolado - Regular"/>
    <x v="1"/>
    <x v="1"/>
    <x v="4"/>
    <x v="0"/>
    <x v="0"/>
    <x v="0"/>
    <x v="2"/>
    <x v="3"/>
    <n v="6421"/>
    <n v="6421"/>
    <n v="0"/>
    <n v="0"/>
    <n v="0"/>
    <n v="0"/>
    <n v="71"/>
    <x v="0"/>
    <n v="0"/>
    <n v="27"/>
    <n v="0"/>
    <n v="0"/>
    <n v="19.8"/>
    <n v="0"/>
    <n v="0"/>
    <n v="20.612826474871284"/>
    <m/>
    <m/>
    <n v="127135.8"/>
    <n v="0"/>
    <n v="0"/>
    <n v="132354.9587951485"/>
    <n v="0"/>
    <n v="0"/>
  </r>
  <r>
    <s v="Sistema de Compensação"/>
    <x v="1"/>
    <x v="1"/>
    <x v="4"/>
    <x v="0"/>
    <x v="0"/>
    <x v="0"/>
    <x v="2"/>
    <x v="3"/>
    <n v="2430"/>
    <n v="2430"/>
    <n v="0"/>
    <n v="0"/>
    <n v="0"/>
    <n v="0"/>
    <n v="4"/>
    <x v="0"/>
    <n v="0"/>
    <n v="27"/>
    <n v="0"/>
    <n v="0"/>
    <n v="19.8"/>
    <n v="0"/>
    <n v="0"/>
    <n v="20.612826474871284"/>
    <m/>
    <m/>
    <n v="48114"/>
    <n v="0"/>
    <n v="0"/>
    <n v="50089.168333937218"/>
    <n v="0"/>
    <n v="0"/>
  </r>
  <r>
    <s v="Regular"/>
    <x v="1"/>
    <x v="1"/>
    <x v="4"/>
    <x v="0"/>
    <x v="0"/>
    <x v="0"/>
    <x v="2"/>
    <x v="4"/>
    <n v="27537"/>
    <n v="27537"/>
    <n v="0"/>
    <n v="0"/>
    <n v="0"/>
    <n v="0"/>
    <n v="258"/>
    <x v="0"/>
    <n v="0"/>
    <n v="27"/>
    <n v="0"/>
    <n v="0"/>
    <n v="19.8"/>
    <n v="0"/>
    <n v="0"/>
    <n v="20.612826474871284"/>
    <m/>
    <m/>
    <n v="545232.6"/>
    <n v="0"/>
    <n v="0"/>
    <n v="567615.40263853059"/>
    <n v="0"/>
    <n v="0"/>
  </r>
  <r>
    <s v="Sistema Isolado - Regular"/>
    <x v="1"/>
    <x v="1"/>
    <x v="4"/>
    <x v="0"/>
    <x v="0"/>
    <x v="0"/>
    <x v="2"/>
    <x v="4"/>
    <n v="6577"/>
    <n v="6577"/>
    <n v="0"/>
    <n v="0"/>
    <n v="0"/>
    <n v="0"/>
    <n v="71"/>
    <x v="0"/>
    <n v="0"/>
    <n v="27"/>
    <n v="0"/>
    <n v="0"/>
    <n v="19.8"/>
    <n v="0"/>
    <n v="0"/>
    <n v="20.612826474871284"/>
    <m/>
    <m/>
    <n v="130224.6"/>
    <n v="0"/>
    <n v="0"/>
    <n v="135570.55972522844"/>
    <n v="0"/>
    <n v="0"/>
  </r>
  <r>
    <s v="Sistema de Compensação"/>
    <x v="1"/>
    <x v="1"/>
    <x v="4"/>
    <x v="0"/>
    <x v="0"/>
    <x v="0"/>
    <x v="2"/>
    <x v="4"/>
    <n v="2430"/>
    <n v="2430"/>
    <n v="0"/>
    <n v="0"/>
    <n v="0"/>
    <n v="0"/>
    <n v="4"/>
    <x v="0"/>
    <n v="0"/>
    <n v="27"/>
    <n v="0"/>
    <n v="0"/>
    <n v="19.8"/>
    <n v="0"/>
    <n v="0"/>
    <n v="20.612826474871284"/>
    <m/>
    <m/>
    <n v="48114"/>
    <n v="0"/>
    <n v="0"/>
    <n v="50089.168333937218"/>
    <n v="0"/>
    <n v="0"/>
  </r>
  <r>
    <s v="Regular"/>
    <x v="1"/>
    <x v="1"/>
    <x v="4"/>
    <x v="0"/>
    <x v="0"/>
    <x v="0"/>
    <x v="2"/>
    <x v="5"/>
    <n v="27834"/>
    <n v="27834"/>
    <n v="0"/>
    <n v="0"/>
    <n v="0"/>
    <n v="0"/>
    <n v="258"/>
    <x v="0"/>
    <n v="0"/>
    <n v="27"/>
    <n v="0"/>
    <n v="0"/>
    <n v="19.8"/>
    <n v="0"/>
    <n v="0"/>
    <n v="20.612826474871284"/>
    <m/>
    <m/>
    <n v="551113.20000000007"/>
    <n v="0"/>
    <n v="0"/>
    <n v="573737.41210156726"/>
    <n v="0"/>
    <n v="0"/>
  </r>
  <r>
    <s v="Sistema Isolado - Regular"/>
    <x v="1"/>
    <x v="1"/>
    <x v="4"/>
    <x v="0"/>
    <x v="0"/>
    <x v="0"/>
    <x v="2"/>
    <x v="5"/>
    <n v="6668"/>
    <n v="6668"/>
    <n v="0"/>
    <n v="0"/>
    <n v="0"/>
    <n v="0"/>
    <n v="72"/>
    <x v="0"/>
    <n v="0"/>
    <n v="27"/>
    <n v="0"/>
    <n v="0"/>
    <n v="19.8"/>
    <n v="0"/>
    <n v="0"/>
    <n v="20.612826474871284"/>
    <m/>
    <m/>
    <n v="132026.4"/>
    <n v="0"/>
    <n v="0"/>
    <n v="137446.32693444172"/>
    <n v="0"/>
    <n v="0"/>
  </r>
  <r>
    <s v="Sistema de Compensação"/>
    <x v="1"/>
    <x v="1"/>
    <x v="4"/>
    <x v="0"/>
    <x v="0"/>
    <x v="0"/>
    <x v="2"/>
    <x v="5"/>
    <n v="2430"/>
    <n v="2430"/>
    <n v="0"/>
    <n v="0"/>
    <n v="0"/>
    <n v="0"/>
    <n v="4"/>
    <x v="0"/>
    <n v="0"/>
    <n v="27"/>
    <n v="0"/>
    <n v="0"/>
    <n v="19.8"/>
    <n v="0"/>
    <n v="0"/>
    <n v="20.612826474871284"/>
    <m/>
    <m/>
    <n v="48114"/>
    <n v="0"/>
    <n v="0"/>
    <n v="50089.168333937218"/>
    <n v="0"/>
    <n v="0"/>
  </r>
  <r>
    <s v="Regular"/>
    <x v="1"/>
    <x v="1"/>
    <x v="4"/>
    <x v="0"/>
    <x v="0"/>
    <x v="0"/>
    <x v="2"/>
    <x v="6"/>
    <n v="27694"/>
    <n v="27694"/>
    <n v="0"/>
    <n v="0"/>
    <n v="0"/>
    <n v="0"/>
    <n v="258"/>
    <x v="0"/>
    <n v="0"/>
    <n v="27"/>
    <n v="0"/>
    <n v="0"/>
    <n v="19.8"/>
    <n v="0"/>
    <n v="0"/>
    <n v="20.612826474871284"/>
    <m/>
    <m/>
    <n v="548341.20000000007"/>
    <n v="0"/>
    <n v="0"/>
    <n v="570851.61639508535"/>
    <n v="0"/>
    <n v="0"/>
  </r>
  <r>
    <s v="Sistema Isolado - Regular"/>
    <x v="1"/>
    <x v="1"/>
    <x v="4"/>
    <x v="0"/>
    <x v="0"/>
    <x v="0"/>
    <x v="2"/>
    <x v="6"/>
    <n v="6638"/>
    <n v="6638"/>
    <n v="0"/>
    <n v="0"/>
    <n v="0"/>
    <n v="0"/>
    <n v="72"/>
    <x v="0"/>
    <n v="0"/>
    <n v="27"/>
    <n v="0"/>
    <n v="0"/>
    <n v="19.8"/>
    <n v="0"/>
    <n v="0"/>
    <n v="20.612826474871284"/>
    <m/>
    <m/>
    <n v="131432.4"/>
    <n v="0"/>
    <n v="0"/>
    <n v="136827.94214019558"/>
    <n v="0"/>
    <n v="0"/>
  </r>
  <r>
    <s v="Sistema de Compensação"/>
    <x v="1"/>
    <x v="1"/>
    <x v="4"/>
    <x v="0"/>
    <x v="0"/>
    <x v="0"/>
    <x v="2"/>
    <x v="6"/>
    <n v="2430"/>
    <n v="2430"/>
    <n v="0"/>
    <n v="0"/>
    <n v="0"/>
    <n v="0"/>
    <n v="4"/>
    <x v="0"/>
    <n v="0"/>
    <n v="27"/>
    <n v="0"/>
    <n v="0"/>
    <n v="19.8"/>
    <n v="0"/>
    <n v="0"/>
    <n v="20.612826474871284"/>
    <m/>
    <m/>
    <n v="48114"/>
    <n v="0"/>
    <n v="0"/>
    <n v="50089.168333937218"/>
    <n v="0"/>
    <n v="0"/>
  </r>
  <r>
    <s v="Regular"/>
    <x v="1"/>
    <x v="1"/>
    <x v="4"/>
    <x v="0"/>
    <x v="0"/>
    <x v="0"/>
    <x v="2"/>
    <x v="7"/>
    <n v="28367"/>
    <n v="28367"/>
    <n v="0"/>
    <n v="0"/>
    <n v="0"/>
    <n v="0"/>
    <n v="258"/>
    <x v="0"/>
    <n v="0"/>
    <n v="27"/>
    <n v="0"/>
    <n v="0"/>
    <n v="19.8"/>
    <n v="0"/>
    <n v="0"/>
    <n v="20.612826474871284"/>
    <m/>
    <m/>
    <n v="561666.6"/>
    <n v="0"/>
    <n v="0"/>
    <n v="584724.04861267365"/>
    <n v="0"/>
    <n v="0"/>
  </r>
  <r>
    <s v="Sistema Isolado - Regular"/>
    <x v="1"/>
    <x v="1"/>
    <x v="4"/>
    <x v="0"/>
    <x v="0"/>
    <x v="0"/>
    <x v="2"/>
    <x v="7"/>
    <n v="6632"/>
    <n v="6632"/>
    <n v="0"/>
    <n v="0"/>
    <n v="0"/>
    <n v="0"/>
    <n v="72"/>
    <x v="0"/>
    <n v="0"/>
    <n v="27"/>
    <n v="0"/>
    <n v="0"/>
    <n v="19.8"/>
    <n v="0"/>
    <n v="0"/>
    <n v="20.612826474871284"/>
    <m/>
    <m/>
    <n v="131313.60000000001"/>
    <n v="0"/>
    <n v="0"/>
    <n v="136704.26518134636"/>
    <n v="0"/>
    <n v="0"/>
  </r>
  <r>
    <s v="Sistema de Compensação"/>
    <x v="1"/>
    <x v="1"/>
    <x v="4"/>
    <x v="0"/>
    <x v="0"/>
    <x v="0"/>
    <x v="2"/>
    <x v="7"/>
    <n v="2430"/>
    <n v="2430"/>
    <n v="0"/>
    <n v="0"/>
    <n v="0"/>
    <n v="0"/>
    <n v="4"/>
    <x v="0"/>
    <n v="0"/>
    <n v="27"/>
    <n v="0"/>
    <n v="0"/>
    <n v="19.8"/>
    <n v="0"/>
    <n v="0"/>
    <n v="20.612826474871284"/>
    <m/>
    <m/>
    <n v="48114"/>
    <n v="0"/>
    <n v="0"/>
    <n v="50089.168333937218"/>
    <n v="0"/>
    <n v="0"/>
  </r>
  <r>
    <s v="Regular"/>
    <x v="1"/>
    <x v="1"/>
    <x v="4"/>
    <x v="0"/>
    <x v="0"/>
    <x v="0"/>
    <x v="2"/>
    <x v="8"/>
    <n v="28576"/>
    <n v="28576"/>
    <n v="0"/>
    <n v="0"/>
    <n v="0"/>
    <n v="0"/>
    <n v="257"/>
    <x v="0"/>
    <n v="0"/>
    <n v="27"/>
    <n v="0"/>
    <n v="0"/>
    <n v="19.8"/>
    <n v="0"/>
    <n v="0"/>
    <n v="20.612826474871284"/>
    <m/>
    <m/>
    <n v="565804.80000000005"/>
    <n v="0"/>
    <n v="0"/>
    <n v="589032.1293459218"/>
    <n v="0"/>
    <n v="0"/>
  </r>
  <r>
    <s v="Sistema Isolado - Regular"/>
    <x v="1"/>
    <x v="1"/>
    <x v="4"/>
    <x v="0"/>
    <x v="0"/>
    <x v="0"/>
    <x v="2"/>
    <x v="8"/>
    <n v="6734"/>
    <n v="6734"/>
    <n v="0"/>
    <n v="0"/>
    <n v="0"/>
    <n v="0"/>
    <n v="72"/>
    <x v="0"/>
    <n v="0"/>
    <n v="27"/>
    <n v="0"/>
    <n v="0"/>
    <n v="19.8"/>
    <n v="0"/>
    <n v="0"/>
    <n v="20.612826474871284"/>
    <m/>
    <m/>
    <n v="133333.20000000001"/>
    <n v="0"/>
    <n v="0"/>
    <n v="138806.77348178322"/>
    <n v="0"/>
    <n v="0"/>
  </r>
  <r>
    <s v="Sistema de Compensação"/>
    <x v="1"/>
    <x v="1"/>
    <x v="4"/>
    <x v="0"/>
    <x v="0"/>
    <x v="0"/>
    <x v="2"/>
    <x v="8"/>
    <n v="2690"/>
    <n v="2690"/>
    <n v="0"/>
    <n v="0"/>
    <n v="0"/>
    <n v="0"/>
    <n v="5"/>
    <x v="0"/>
    <n v="0"/>
    <n v="27"/>
    <n v="0"/>
    <n v="0"/>
    <n v="19.8"/>
    <n v="0"/>
    <n v="0"/>
    <n v="20.612826474871284"/>
    <m/>
    <m/>
    <n v="53262"/>
    <n v="0"/>
    <n v="0"/>
    <n v="55448.503217403755"/>
    <n v="0"/>
    <n v="0"/>
  </r>
  <r>
    <s v="Regular"/>
    <x v="1"/>
    <x v="1"/>
    <x v="4"/>
    <x v="0"/>
    <x v="0"/>
    <x v="0"/>
    <x v="2"/>
    <x v="9"/>
    <n v="28221"/>
    <n v="28221"/>
    <n v="0"/>
    <n v="0"/>
    <n v="0"/>
    <n v="0"/>
    <n v="257"/>
    <x v="0"/>
    <n v="0"/>
    <n v="27"/>
    <n v="0"/>
    <n v="0"/>
    <n v="19.8"/>
    <n v="0"/>
    <n v="0"/>
    <n v="20.612826474871284"/>
    <m/>
    <m/>
    <n v="558775.80000000005"/>
    <n v="0"/>
    <n v="0"/>
    <n v="581714.57594734244"/>
    <n v="0"/>
    <n v="0"/>
  </r>
  <r>
    <s v="Sistema Isolado - Regular"/>
    <x v="1"/>
    <x v="1"/>
    <x v="4"/>
    <x v="0"/>
    <x v="0"/>
    <x v="0"/>
    <x v="2"/>
    <x v="9"/>
    <n v="6774"/>
    <n v="6774"/>
    <n v="0"/>
    <n v="0"/>
    <n v="0"/>
    <n v="0"/>
    <n v="72"/>
    <x v="0"/>
    <n v="0"/>
    <n v="27"/>
    <n v="0"/>
    <n v="0"/>
    <n v="19.8"/>
    <n v="0"/>
    <n v="0"/>
    <n v="20.612826474871284"/>
    <m/>
    <m/>
    <n v="134125.20000000001"/>
    <n v="0"/>
    <n v="0"/>
    <n v="139631.28654077806"/>
    <n v="0"/>
    <n v="0"/>
  </r>
  <r>
    <s v="Sistema de Compensação"/>
    <x v="1"/>
    <x v="1"/>
    <x v="4"/>
    <x v="0"/>
    <x v="0"/>
    <x v="0"/>
    <x v="2"/>
    <x v="9"/>
    <n v="2701"/>
    <n v="2701"/>
    <n v="0"/>
    <n v="0"/>
    <n v="0"/>
    <n v="0"/>
    <n v="5"/>
    <x v="0"/>
    <n v="0"/>
    <n v="27"/>
    <n v="0"/>
    <n v="0"/>
    <n v="19.8"/>
    <n v="0"/>
    <n v="0"/>
    <n v="20.612826474871284"/>
    <m/>
    <m/>
    <n v="53479.8"/>
    <n v="0"/>
    <n v="0"/>
    <n v="55675.244308627334"/>
    <n v="0"/>
    <n v="0"/>
  </r>
  <r>
    <s v="Regular"/>
    <x v="1"/>
    <x v="1"/>
    <x v="4"/>
    <x v="0"/>
    <x v="0"/>
    <x v="0"/>
    <x v="2"/>
    <x v="10"/>
    <n v="28065"/>
    <n v="28065"/>
    <n v="0"/>
    <n v="0"/>
    <n v="0"/>
    <n v="0"/>
    <n v="255"/>
    <x v="0"/>
    <n v="0"/>
    <n v="27"/>
    <n v="0"/>
    <n v="0"/>
    <n v="19.8"/>
    <n v="0"/>
    <n v="0"/>
    <n v="20.612826474871284"/>
    <m/>
    <m/>
    <n v="555687"/>
    <n v="0"/>
    <n v="0"/>
    <n v="578498.97501726262"/>
    <n v="0"/>
    <n v="0"/>
  </r>
  <r>
    <s v="Sistema Isolado - Regular"/>
    <x v="1"/>
    <x v="1"/>
    <x v="4"/>
    <x v="0"/>
    <x v="0"/>
    <x v="0"/>
    <x v="2"/>
    <x v="10"/>
    <n v="6952"/>
    <n v="6952"/>
    <n v="0"/>
    <n v="0"/>
    <n v="0"/>
    <n v="0"/>
    <n v="72"/>
    <x v="0"/>
    <n v="0"/>
    <n v="27"/>
    <n v="0"/>
    <n v="0"/>
    <n v="19.8"/>
    <n v="0"/>
    <n v="0"/>
    <n v="20.612826474871284"/>
    <m/>
    <m/>
    <n v="137649.60000000001"/>
    <n v="0"/>
    <n v="0"/>
    <n v="143300.36965330516"/>
    <n v="0"/>
    <n v="0"/>
  </r>
  <r>
    <s v="Sistema de Compensação"/>
    <x v="1"/>
    <x v="1"/>
    <x v="4"/>
    <x v="0"/>
    <x v="0"/>
    <x v="0"/>
    <x v="2"/>
    <x v="10"/>
    <n v="2910"/>
    <n v="2910"/>
    <n v="0"/>
    <n v="0"/>
    <n v="0"/>
    <n v="0"/>
    <n v="6"/>
    <x v="0"/>
    <n v="0"/>
    <n v="27"/>
    <n v="0"/>
    <n v="0"/>
    <n v="19.8"/>
    <n v="0"/>
    <n v="0"/>
    <n v="20.612826474871284"/>
    <m/>
    <m/>
    <n v="57618"/>
    <n v="0"/>
    <n v="0"/>
    <n v="59983.325041875432"/>
    <n v="0"/>
    <n v="0"/>
  </r>
  <r>
    <s v="PROJETADO"/>
    <x v="1"/>
    <x v="1"/>
    <x v="4"/>
    <x v="0"/>
    <x v="0"/>
    <x v="0"/>
    <x v="2"/>
    <x v="11"/>
    <n v="28065"/>
    <n v="28065"/>
    <n v="0"/>
    <n v="0"/>
    <n v="0"/>
    <n v="0"/>
    <n v="255"/>
    <x v="0"/>
    <n v="0"/>
    <n v="27"/>
    <n v="0"/>
    <n v="0"/>
    <n v="19.8"/>
    <n v="0"/>
    <n v="0"/>
    <n v="20.612826474871284"/>
    <m/>
    <m/>
    <n v="555687"/>
    <n v="0"/>
    <n v="0"/>
    <n v="578498.97501726262"/>
    <n v="0"/>
    <n v="0"/>
  </r>
  <r>
    <s v="PROJETADO"/>
    <x v="1"/>
    <x v="1"/>
    <x v="4"/>
    <x v="0"/>
    <x v="0"/>
    <x v="0"/>
    <x v="2"/>
    <x v="11"/>
    <n v="6952"/>
    <n v="6952"/>
    <n v="0"/>
    <n v="0"/>
    <n v="0"/>
    <n v="0"/>
    <n v="72"/>
    <x v="0"/>
    <n v="0"/>
    <n v="27"/>
    <n v="0"/>
    <n v="0"/>
    <n v="19.8"/>
    <n v="0"/>
    <n v="0"/>
    <n v="20.612826474871284"/>
    <m/>
    <m/>
    <n v="137649.60000000001"/>
    <n v="0"/>
    <n v="0"/>
    <n v="143300.36965330516"/>
    <n v="0"/>
    <n v="0"/>
  </r>
  <r>
    <s v="PROJETADO"/>
    <x v="1"/>
    <x v="1"/>
    <x v="4"/>
    <x v="0"/>
    <x v="0"/>
    <x v="0"/>
    <x v="2"/>
    <x v="11"/>
    <n v="2910"/>
    <n v="2910"/>
    <n v="0"/>
    <n v="0"/>
    <n v="0"/>
    <n v="0"/>
    <n v="6"/>
    <x v="0"/>
    <n v="0"/>
    <n v="27"/>
    <n v="0"/>
    <n v="0"/>
    <n v="19.8"/>
    <n v="0"/>
    <n v="0"/>
    <n v="20.612826474871284"/>
    <m/>
    <m/>
    <n v="57618"/>
    <n v="0"/>
    <n v="0"/>
    <n v="59983.325041875432"/>
    <n v="0"/>
    <n v="0"/>
  </r>
  <r>
    <s v="Regular"/>
    <x v="1"/>
    <x v="1"/>
    <x v="4"/>
    <x v="0"/>
    <x v="0"/>
    <x v="0"/>
    <x v="1"/>
    <x v="0"/>
    <n v="0"/>
    <n v="0"/>
    <n v="243.60900000000001"/>
    <n v="243.60900000000001"/>
    <n v="243.60900000000001"/>
    <n v="243.60900000000001"/>
    <n v="0"/>
    <x v="0"/>
    <n v="0"/>
    <n v="0"/>
    <n v="28"/>
    <n v="74"/>
    <n v="0"/>
    <n v="1448.96"/>
    <n v="270.3"/>
    <m/>
    <n v="1479.9458225851192"/>
    <n v="362.70381368696184"/>
    <n v="0"/>
    <n v="352979.69664000004"/>
    <n v="65847.512700000007"/>
    <n v="0"/>
    <n v="360528.12189413834"/>
    <n v="88357.913348467089"/>
  </r>
  <r>
    <s v="Sistema Isolado - Regular"/>
    <x v="1"/>
    <x v="1"/>
    <x v="4"/>
    <x v="0"/>
    <x v="0"/>
    <x v="0"/>
    <x v="1"/>
    <x v="0"/>
    <n v="0"/>
    <n v="0"/>
    <n v="63.03"/>
    <n v="63.03"/>
    <n v="63.03"/>
    <n v="63.03"/>
    <n v="0"/>
    <x v="0"/>
    <n v="0"/>
    <n v="0"/>
    <n v="28"/>
    <n v="74"/>
    <n v="0"/>
    <n v="1448.96"/>
    <n v="270.3"/>
    <m/>
    <n v="1479.9458225851192"/>
    <n v="362.70381368696184"/>
    <n v="0"/>
    <n v="91327.948799999998"/>
    <n v="17037.009000000002"/>
    <n v="0"/>
    <n v="93280.985197540067"/>
    <n v="22861.221376689205"/>
  </r>
  <r>
    <s v="Sistema de Compensação"/>
    <x v="1"/>
    <x v="1"/>
    <x v="4"/>
    <x v="0"/>
    <x v="0"/>
    <x v="0"/>
    <x v="1"/>
    <x v="0"/>
    <n v="0"/>
    <n v="0"/>
    <n v="23.442"/>
    <n v="23.442"/>
    <n v="23.442"/>
    <n v="23.442"/>
    <n v="0"/>
    <x v="0"/>
    <n v="0"/>
    <n v="0"/>
    <n v="28"/>
    <n v="74"/>
    <n v="0"/>
    <n v="1448.96"/>
    <n v="270.3"/>
    <m/>
    <n v="1479.9458225851192"/>
    <n v="362.70381368696184"/>
    <n v="0"/>
    <n v="33966.520320000003"/>
    <n v="6336.3726000000006"/>
    <n v="0"/>
    <n v="34692.889973040365"/>
    <n v="8502.5028004497599"/>
  </r>
  <r>
    <s v="Regular"/>
    <x v="1"/>
    <x v="1"/>
    <x v="4"/>
    <x v="0"/>
    <x v="0"/>
    <x v="0"/>
    <x v="1"/>
    <x v="1"/>
    <n v="0"/>
    <n v="0"/>
    <n v="241.51599999999999"/>
    <n v="241.51599999999999"/>
    <n v="241.51599999999999"/>
    <n v="241.51599999999999"/>
    <n v="0"/>
    <x v="0"/>
    <n v="0"/>
    <n v="0"/>
    <n v="28"/>
    <n v="74"/>
    <n v="0"/>
    <n v="1448.96"/>
    <n v="270.3"/>
    <m/>
    <n v="1479.9458225851192"/>
    <n v="362.70381368696184"/>
    <n v="0"/>
    <n v="349947.02335999999"/>
    <n v="65281.774799999999"/>
    <n v="0"/>
    <n v="357430.59528746764"/>
    <n v="87598.774266420267"/>
  </r>
  <r>
    <s v="Sistema Isolado - Regular"/>
    <x v="1"/>
    <x v="1"/>
    <x v="4"/>
    <x v="0"/>
    <x v="0"/>
    <x v="0"/>
    <x v="1"/>
    <x v="1"/>
    <n v="0"/>
    <n v="0"/>
    <n v="63.674999999999997"/>
    <n v="63.674999999999997"/>
    <n v="63.674999999999997"/>
    <n v="63.674999999999997"/>
    <n v="0"/>
    <x v="0"/>
    <n v="0"/>
    <n v="0"/>
    <n v="28"/>
    <n v="74"/>
    <n v="0"/>
    <n v="1448.96"/>
    <n v="270.3"/>
    <m/>
    <n v="1479.9458225851192"/>
    <n v="362.70381368696184"/>
    <n v="0"/>
    <n v="92262.527999999991"/>
    <n v="17211.352500000001"/>
    <n v="0"/>
    <n v="94235.55025310746"/>
    <n v="23095.165336517293"/>
  </r>
  <r>
    <s v="Sistema Isolado - Refaturamento"/>
    <x v="1"/>
    <x v="1"/>
    <x v="4"/>
    <x v="0"/>
    <x v="0"/>
    <x v="0"/>
    <x v="1"/>
    <x v="1"/>
    <n v="0"/>
    <n v="0"/>
    <n v="-1.44"/>
    <n v="-1.44"/>
    <n v="-1.44"/>
    <n v="-1.44"/>
    <n v="0"/>
    <x v="0"/>
    <n v="0"/>
    <n v="0"/>
    <n v="28"/>
    <n v="74"/>
    <n v="0"/>
    <n v="1448.96"/>
    <n v="270.3"/>
    <m/>
    <n v="1479.9458225851192"/>
    <n v="362.70381368696184"/>
    <n v="0"/>
    <n v="-2086.5023999999999"/>
    <n v="-389.23200000000003"/>
    <n v="0"/>
    <n v="-2131.1219845225714"/>
    <n v="-522.29349170922501"/>
  </r>
  <r>
    <s v="Sistema de Compensação"/>
    <x v="1"/>
    <x v="1"/>
    <x v="4"/>
    <x v="0"/>
    <x v="0"/>
    <x v="0"/>
    <x v="1"/>
    <x v="1"/>
    <n v="0"/>
    <n v="0"/>
    <n v="21.686"/>
    <n v="21.686"/>
    <n v="21.686"/>
    <n v="21.686"/>
    <n v="0"/>
    <x v="0"/>
    <n v="0"/>
    <n v="0"/>
    <n v="28"/>
    <n v="74"/>
    <n v="0"/>
    <n v="1448.96"/>
    <n v="270.3"/>
    <m/>
    <n v="1479.9458225851192"/>
    <n v="362.70381368696184"/>
    <n v="0"/>
    <n v="31422.146560000001"/>
    <n v="5861.7258000000002"/>
    <n v="0"/>
    <n v="32094.105108580894"/>
    <n v="7865.5949036154543"/>
  </r>
  <r>
    <s v="Regular"/>
    <x v="1"/>
    <x v="1"/>
    <x v="4"/>
    <x v="0"/>
    <x v="0"/>
    <x v="0"/>
    <x v="1"/>
    <x v="2"/>
    <n v="0"/>
    <n v="0"/>
    <n v="215.90700000000001"/>
    <n v="215.90700000000001"/>
    <n v="215.90700000000001"/>
    <n v="215.90700000000001"/>
    <n v="0"/>
    <x v="0"/>
    <n v="0"/>
    <n v="0"/>
    <n v="28"/>
    <n v="74"/>
    <n v="0"/>
    <n v="1448.96"/>
    <n v="270.3"/>
    <m/>
    <n v="1479.9458225851192"/>
    <n v="362.70381368696184"/>
    <n v="0"/>
    <n v="312840.60672000004"/>
    <n v="58359.662100000009"/>
    <n v="0"/>
    <n v="319530.66271688533"/>
    <n v="78310.29230171087"/>
  </r>
  <r>
    <s v="Refaturamento - Regular"/>
    <x v="1"/>
    <x v="1"/>
    <x v="4"/>
    <x v="0"/>
    <x v="0"/>
    <x v="0"/>
    <x v="1"/>
    <x v="2"/>
    <n v="0"/>
    <n v="0"/>
    <n v="0.63"/>
    <n v="0.63"/>
    <n v="0.63"/>
    <n v="0.63"/>
    <n v="0"/>
    <x v="0"/>
    <n v="0"/>
    <n v="0"/>
    <n v="28"/>
    <n v="74"/>
    <n v="0"/>
    <n v="1448.96"/>
    <n v="270.3"/>
    <m/>
    <n v="1479.9458225851192"/>
    <n v="362.70381368696184"/>
    <n v="0"/>
    <n v="912.84480000000008"/>
    <n v="170.28900000000002"/>
    <n v="0"/>
    <n v="932.36586822862512"/>
    <n v="228.50340262278596"/>
  </r>
  <r>
    <s v="Sistema Isolado - Regular"/>
    <x v="1"/>
    <x v="1"/>
    <x v="4"/>
    <x v="0"/>
    <x v="0"/>
    <x v="0"/>
    <x v="1"/>
    <x v="2"/>
    <n v="0"/>
    <n v="0"/>
    <n v="57.052999999999997"/>
    <n v="57.052999999999997"/>
    <n v="57.052999999999997"/>
    <n v="57.052999999999997"/>
    <n v="0"/>
    <x v="0"/>
    <n v="0"/>
    <n v="0"/>
    <n v="28"/>
    <n v="74"/>
    <n v="0"/>
    <n v="1448.96"/>
    <n v="270.3"/>
    <m/>
    <n v="1479.9458225851192"/>
    <n v="362.70381368696184"/>
    <n v="0"/>
    <n v="82667.514880000002"/>
    <n v="15421.4259"/>
    <n v="0"/>
    <n v="84435.349015948799"/>
    <n v="20693.340682282233"/>
  </r>
  <r>
    <s v="Sistema de Compensação"/>
    <x v="1"/>
    <x v="1"/>
    <x v="4"/>
    <x v="0"/>
    <x v="0"/>
    <x v="0"/>
    <x v="1"/>
    <x v="2"/>
    <n v="0"/>
    <n v="0"/>
    <n v="19.486000000000001"/>
    <n v="19.486000000000001"/>
    <n v="19.486000000000001"/>
    <n v="19.486000000000001"/>
    <n v="0"/>
    <x v="0"/>
    <n v="0"/>
    <n v="0"/>
    <n v="28"/>
    <n v="74"/>
    <n v="0"/>
    <n v="1448.96"/>
    <n v="270.3"/>
    <m/>
    <n v="1479.9458225851192"/>
    <n v="362.70381368696184"/>
    <n v="0"/>
    <n v="28234.434560000002"/>
    <n v="5267.0658000000003"/>
    <n v="0"/>
    <n v="28838.224298893634"/>
    <n v="7067.646513504139"/>
  </r>
  <r>
    <s v="Regular"/>
    <x v="1"/>
    <x v="1"/>
    <x v="4"/>
    <x v="0"/>
    <x v="0"/>
    <x v="0"/>
    <x v="1"/>
    <x v="3"/>
    <n v="0"/>
    <n v="0"/>
    <n v="229.30199999999999"/>
    <n v="229.30199999999999"/>
    <n v="229.30199999999999"/>
    <n v="229.30199999999999"/>
    <n v="0"/>
    <x v="0"/>
    <n v="0"/>
    <n v="0"/>
    <n v="28"/>
    <n v="74"/>
    <n v="0"/>
    <n v="1448.96"/>
    <n v="270.3"/>
    <m/>
    <n v="1479.9458225851192"/>
    <n v="362.70381368696184"/>
    <n v="0"/>
    <n v="332249.42592000001"/>
    <n v="61980.330600000001"/>
    <n v="0"/>
    <n v="339354.53701041301"/>
    <n v="83168.709886047727"/>
  </r>
  <r>
    <s v="Sistema Isolado - Regular"/>
    <x v="1"/>
    <x v="1"/>
    <x v="4"/>
    <x v="0"/>
    <x v="0"/>
    <x v="0"/>
    <x v="1"/>
    <x v="3"/>
    <n v="0"/>
    <n v="0"/>
    <n v="55.53"/>
    <n v="55.53"/>
    <n v="55.53"/>
    <n v="55.53"/>
    <n v="0"/>
    <x v="0"/>
    <n v="0"/>
    <n v="0"/>
    <n v="28"/>
    <n v="74"/>
    <n v="0"/>
    <n v="1448.96"/>
    <n v="270.3"/>
    <m/>
    <n v="1479.9458225851192"/>
    <n v="362.70381368696184"/>
    <n v="0"/>
    <n v="80460.748800000001"/>
    <n v="15009.759000000002"/>
    <n v="0"/>
    <n v="82181.391528151667"/>
    <n v="20140.94277403699"/>
  </r>
  <r>
    <s v="Sistema de Compensação"/>
    <x v="1"/>
    <x v="1"/>
    <x v="4"/>
    <x v="0"/>
    <x v="0"/>
    <x v="0"/>
    <x v="1"/>
    <x v="3"/>
    <n v="0"/>
    <n v="0"/>
    <n v="29.045000000000002"/>
    <n v="29.045000000000002"/>
    <n v="29.045000000000002"/>
    <n v="29.045000000000002"/>
    <n v="0"/>
    <x v="0"/>
    <n v="0"/>
    <n v="0"/>
    <n v="28"/>
    <n v="74"/>
    <n v="0"/>
    <n v="1448.96"/>
    <n v="270.3"/>
    <m/>
    <n v="1479.9458225851192"/>
    <n v="362.70381368696184"/>
    <n v="0"/>
    <n v="42085.0432"/>
    <n v="7850.8635000000004"/>
    <n v="0"/>
    <n v="42985.026416984794"/>
    <n v="10534.732268537808"/>
  </r>
  <r>
    <s v="Regular"/>
    <x v="1"/>
    <x v="1"/>
    <x v="4"/>
    <x v="0"/>
    <x v="0"/>
    <x v="0"/>
    <x v="1"/>
    <x v="4"/>
    <n v="0"/>
    <n v="0"/>
    <n v="216.7"/>
    <n v="216.7"/>
    <n v="216.7"/>
    <n v="216.7"/>
    <n v="0"/>
    <x v="0"/>
    <n v="0"/>
    <n v="0"/>
    <n v="28"/>
    <n v="74"/>
    <n v="0"/>
    <n v="1448.96"/>
    <n v="270.3"/>
    <m/>
    <n v="1479.9458225851192"/>
    <n v="362.70381368696184"/>
    <n v="0"/>
    <n v="313989.63199999998"/>
    <n v="58574.01"/>
    <n v="0"/>
    <n v="320704.25975419534"/>
    <n v="78597.91642596462"/>
  </r>
  <r>
    <s v="Sistema Isolado - Regular"/>
    <x v="1"/>
    <x v="1"/>
    <x v="4"/>
    <x v="0"/>
    <x v="0"/>
    <x v="0"/>
    <x v="1"/>
    <x v="4"/>
    <n v="0"/>
    <n v="0"/>
    <n v="60.94"/>
    <n v="60.94"/>
    <n v="60.94"/>
    <n v="60.94"/>
    <n v="0"/>
    <x v="0"/>
    <n v="0"/>
    <n v="0"/>
    <n v="28"/>
    <n v="74"/>
    <n v="0"/>
    <n v="1448.96"/>
    <n v="270.3"/>
    <m/>
    <n v="1479.9458225851192"/>
    <n v="362.70381368696184"/>
    <n v="0"/>
    <n v="88299.622399999993"/>
    <n v="16472.081999999999"/>
    <n v="0"/>
    <n v="90187.898428337168"/>
    <n v="22103.170406083453"/>
  </r>
  <r>
    <s v="Sistema de Compensação"/>
    <x v="1"/>
    <x v="1"/>
    <x v="4"/>
    <x v="0"/>
    <x v="0"/>
    <x v="0"/>
    <x v="1"/>
    <x v="4"/>
    <n v="0"/>
    <n v="0"/>
    <n v="35.03"/>
    <n v="35.03"/>
    <n v="35.03"/>
    <n v="35.03"/>
    <n v="0"/>
    <x v="0"/>
    <n v="0"/>
    <n v="0"/>
    <n v="28"/>
    <n v="74"/>
    <n v="0"/>
    <n v="1448.96"/>
    <n v="270.3"/>
    <m/>
    <n v="1479.9458225851192"/>
    <n v="362.70381368696184"/>
    <n v="0"/>
    <n v="50757.068800000001"/>
    <n v="9468.6090000000004"/>
    <n v="0"/>
    <n v="51842.502165156729"/>
    <n v="12705.514593454274"/>
  </r>
  <r>
    <s v="Regular"/>
    <x v="1"/>
    <x v="1"/>
    <x v="4"/>
    <x v="0"/>
    <x v="0"/>
    <x v="0"/>
    <x v="1"/>
    <x v="5"/>
    <n v="0"/>
    <n v="0"/>
    <n v="233.56399999999999"/>
    <n v="233.56399999999999"/>
    <n v="233.56399999999999"/>
    <n v="233.56399999999999"/>
    <n v="0"/>
    <x v="0"/>
    <n v="0"/>
    <n v="0"/>
    <n v="28"/>
    <n v="74"/>
    <n v="0"/>
    <n v="1448.96"/>
    <n v="270.3"/>
    <m/>
    <n v="1479.9458225851192"/>
    <n v="362.70381368696184"/>
    <n v="0"/>
    <n v="338424.89344000001"/>
    <n v="63132.349200000004"/>
    <n v="0"/>
    <n v="345662.06610627077"/>
    <n v="84714.553539981556"/>
  </r>
  <r>
    <s v="Sistema Isolado - Regular"/>
    <x v="1"/>
    <x v="1"/>
    <x v="4"/>
    <x v="0"/>
    <x v="0"/>
    <x v="0"/>
    <x v="1"/>
    <x v="5"/>
    <n v="0"/>
    <n v="0"/>
    <n v="62.045000000000002"/>
    <n v="62.045000000000002"/>
    <n v="62.045000000000002"/>
    <n v="62.045000000000002"/>
    <n v="0"/>
    <x v="0"/>
    <n v="0"/>
    <n v="0"/>
    <n v="28"/>
    <n v="74"/>
    <n v="0"/>
    <n v="1448.96"/>
    <n v="270.3"/>
    <m/>
    <n v="1479.9458225851192"/>
    <n v="362.70381368696184"/>
    <n v="0"/>
    <n v="89900.723200000008"/>
    <n v="16770.763500000001"/>
    <n v="0"/>
    <n v="91823.238562293729"/>
    <n v="22503.958120207546"/>
  </r>
  <r>
    <s v="Sistema de Compensação"/>
    <x v="1"/>
    <x v="1"/>
    <x v="4"/>
    <x v="0"/>
    <x v="0"/>
    <x v="0"/>
    <x v="1"/>
    <x v="5"/>
    <n v="0"/>
    <n v="0"/>
    <n v="37.502000000000002"/>
    <n v="37.502000000000002"/>
    <n v="37.502000000000002"/>
    <n v="37.502000000000002"/>
    <n v="0"/>
    <x v="0"/>
    <n v="0"/>
    <n v="0"/>
    <n v="28"/>
    <n v="74"/>
    <n v="0"/>
    <n v="1448.96"/>
    <n v="270.3"/>
    <m/>
    <n v="1479.9458225851192"/>
    <n v="362.70381368696184"/>
    <n v="0"/>
    <n v="54338.897920000003"/>
    <n v="10136.7906"/>
    <n v="0"/>
    <n v="55500.928238587148"/>
    <n v="13602.118420888444"/>
  </r>
  <r>
    <s v="Regular"/>
    <x v="1"/>
    <x v="1"/>
    <x v="4"/>
    <x v="0"/>
    <x v="0"/>
    <x v="0"/>
    <x v="1"/>
    <x v="6"/>
    <n v="0"/>
    <n v="0"/>
    <n v="243.77199999999999"/>
    <n v="243.77199999999999"/>
    <n v="243.77199999999999"/>
    <n v="243.77199999999999"/>
    <n v="0"/>
    <x v="0"/>
    <n v="0"/>
    <n v="0"/>
    <n v="28"/>
    <n v="74"/>
    <n v="0"/>
    <n v="1448.96"/>
    <n v="270.3"/>
    <m/>
    <n v="1479.9458225851192"/>
    <n v="362.70381368696184"/>
    <n v="0"/>
    <n v="353215.87712000002"/>
    <n v="65891.571599999996"/>
    <n v="0"/>
    <n v="360769.35306321969"/>
    <n v="88417.03407009806"/>
  </r>
  <r>
    <s v="Sistema Isolado - Regular"/>
    <x v="1"/>
    <x v="1"/>
    <x v="4"/>
    <x v="0"/>
    <x v="0"/>
    <x v="0"/>
    <x v="1"/>
    <x v="6"/>
    <n v="0"/>
    <n v="0"/>
    <n v="63.884"/>
    <n v="63.884"/>
    <n v="63.884"/>
    <n v="63.884"/>
    <n v="0"/>
    <x v="0"/>
    <n v="0"/>
    <n v="0"/>
    <n v="28"/>
    <n v="74"/>
    <n v="0"/>
    <n v="1448.96"/>
    <n v="270.3"/>
    <m/>
    <n v="1479.9458225851192"/>
    <n v="362.70381368696184"/>
    <n v="0"/>
    <n v="92565.360639999999"/>
    <n v="17267.8452"/>
    <n v="0"/>
    <n v="94544.858930027753"/>
    <n v="23170.97043357787"/>
  </r>
  <r>
    <s v="Sistema de Compensação"/>
    <x v="1"/>
    <x v="1"/>
    <x v="4"/>
    <x v="0"/>
    <x v="0"/>
    <x v="0"/>
    <x v="1"/>
    <x v="6"/>
    <n v="0"/>
    <n v="0"/>
    <n v="30.835000000000001"/>
    <n v="30.835000000000001"/>
    <n v="30.835000000000001"/>
    <n v="30.835000000000001"/>
    <n v="0"/>
    <x v="0"/>
    <n v="0"/>
    <n v="0"/>
    <n v="28"/>
    <n v="74"/>
    <n v="0"/>
    <n v="1448.96"/>
    <n v="270.3"/>
    <m/>
    <n v="1479.9458225851192"/>
    <n v="362.70381368696184"/>
    <n v="0"/>
    <n v="44678.681600000004"/>
    <n v="8334.7005000000008"/>
    <n v="0"/>
    <n v="45634.129439412151"/>
    <n v="11183.972095037469"/>
  </r>
  <r>
    <s v="Regular"/>
    <x v="1"/>
    <x v="1"/>
    <x v="4"/>
    <x v="0"/>
    <x v="0"/>
    <x v="0"/>
    <x v="1"/>
    <x v="7"/>
    <n v="0"/>
    <n v="0"/>
    <n v="265.14"/>
    <n v="265.14"/>
    <n v="265.14"/>
    <n v="265.14"/>
    <n v="0"/>
    <x v="0"/>
    <n v="0"/>
    <n v="0"/>
    <n v="28"/>
    <n v="74"/>
    <n v="0"/>
    <n v="1448.96"/>
    <n v="270.3"/>
    <m/>
    <n v="1479.9458225851192"/>
    <n v="362.70381368696184"/>
    <n v="0"/>
    <n v="384177.25439999998"/>
    <n v="71667.342000000004"/>
    <n v="0"/>
    <n v="392392.83540021849"/>
    <n v="96167.289160961052"/>
  </r>
  <r>
    <s v="Sistema Isolado - Regular"/>
    <x v="1"/>
    <x v="1"/>
    <x v="4"/>
    <x v="0"/>
    <x v="0"/>
    <x v="0"/>
    <x v="1"/>
    <x v="7"/>
    <n v="0"/>
    <n v="0"/>
    <n v="67.367000000000004"/>
    <n v="67.367000000000004"/>
    <n v="67.367000000000004"/>
    <n v="67.367000000000004"/>
    <n v="0"/>
    <x v="0"/>
    <n v="0"/>
    <n v="0"/>
    <n v="28"/>
    <n v="74"/>
    <n v="0"/>
    <n v="1448.96"/>
    <n v="270.3"/>
    <m/>
    <n v="1479.9458225851192"/>
    <n v="362.70381368696184"/>
    <n v="0"/>
    <n v="97612.08832000001"/>
    <n v="18209.3001"/>
    <n v="0"/>
    <n v="99699.510230091735"/>
    <n v="24434.267816649561"/>
  </r>
  <r>
    <s v="Sistema de Compensação"/>
    <x v="1"/>
    <x v="1"/>
    <x v="4"/>
    <x v="0"/>
    <x v="0"/>
    <x v="0"/>
    <x v="1"/>
    <x v="7"/>
    <n v="0"/>
    <n v="0"/>
    <n v="49.77"/>
    <n v="49.77"/>
    <n v="49.77"/>
    <n v="49.77"/>
    <n v="0"/>
    <x v="0"/>
    <n v="0"/>
    <n v="0"/>
    <n v="28"/>
    <n v="74"/>
    <n v="0"/>
    <n v="1448.96"/>
    <n v="270.3"/>
    <m/>
    <n v="1479.9458225851192"/>
    <n v="362.70381368696184"/>
    <n v="0"/>
    <n v="72114.739200000011"/>
    <n v="13452.831000000002"/>
    <n v="0"/>
    <n v="73656.903590061382"/>
    <n v="18051.768807200093"/>
  </r>
  <r>
    <s v="Regular"/>
    <x v="1"/>
    <x v="1"/>
    <x v="4"/>
    <x v="0"/>
    <x v="0"/>
    <x v="0"/>
    <x v="1"/>
    <x v="8"/>
    <n v="0"/>
    <n v="0"/>
    <n v="295.10300000000001"/>
    <n v="295.10300000000001"/>
    <n v="295.10300000000001"/>
    <n v="295.10300000000001"/>
    <n v="0"/>
    <x v="0"/>
    <n v="0"/>
    <n v="0"/>
    <n v="28"/>
    <n v="74"/>
    <n v="0"/>
    <n v="1448.96"/>
    <n v="270.3"/>
    <m/>
    <n v="1479.9458225851192"/>
    <n v="362.70381368696184"/>
    <n v="0"/>
    <n v="427592.44288000005"/>
    <n v="79766.34090000001"/>
    <n v="0"/>
    <n v="436736.45208233647"/>
    <n v="107034.98353046351"/>
  </r>
  <r>
    <s v="Sistema Isolado - Regular"/>
    <x v="1"/>
    <x v="1"/>
    <x v="4"/>
    <x v="0"/>
    <x v="0"/>
    <x v="0"/>
    <x v="1"/>
    <x v="8"/>
    <n v="0"/>
    <n v="0"/>
    <n v="74.64"/>
    <n v="74.64"/>
    <n v="74.64"/>
    <n v="74.64"/>
    <n v="0"/>
    <x v="0"/>
    <n v="0"/>
    <n v="0"/>
    <n v="28"/>
    <n v="74"/>
    <n v="0"/>
    <n v="1448.96"/>
    <n v="270.3"/>
    <m/>
    <n v="1479.9458225851192"/>
    <n v="362.70381368696184"/>
    <n v="0"/>
    <n v="108150.3744"/>
    <n v="20175.192000000003"/>
    <n v="0"/>
    <n v="110463.1561977533"/>
    <n v="27072.21265359483"/>
  </r>
  <r>
    <s v="Sistema Isolado - Refaturamento"/>
    <x v="1"/>
    <x v="1"/>
    <x v="4"/>
    <x v="0"/>
    <x v="0"/>
    <x v="0"/>
    <x v="1"/>
    <x v="8"/>
    <n v="0"/>
    <n v="0"/>
    <n v="0.15"/>
    <n v="0.15"/>
    <n v="0.15"/>
    <n v="0.15"/>
    <n v="0"/>
    <x v="0"/>
    <n v="0"/>
    <n v="0"/>
    <n v="28"/>
    <n v="74"/>
    <n v="0"/>
    <n v="1448.96"/>
    <n v="270.3"/>
    <m/>
    <n v="1479.9458225851192"/>
    <n v="362.70381368696184"/>
    <n v="0"/>
    <n v="217.34399999999999"/>
    <n v="40.545000000000002"/>
    <n v="0"/>
    <n v="221.99187338776787"/>
    <n v="54.405572053044274"/>
  </r>
  <r>
    <s v="Sistema de Compensação"/>
    <x v="1"/>
    <x v="1"/>
    <x v="4"/>
    <x v="0"/>
    <x v="0"/>
    <x v="0"/>
    <x v="1"/>
    <x v="8"/>
    <n v="0"/>
    <n v="0"/>
    <n v="56.54"/>
    <n v="56.54"/>
    <n v="56.54"/>
    <n v="56.54"/>
    <n v="0"/>
    <x v="0"/>
    <n v="0"/>
    <n v="0"/>
    <n v="28"/>
    <n v="74"/>
    <n v="0"/>
    <n v="1448.96"/>
    <n v="270.3"/>
    <m/>
    <n v="1479.9458225851192"/>
    <n v="362.70381368696184"/>
    <n v="0"/>
    <n v="81924.198399999994"/>
    <n v="15282.762000000001"/>
    <n v="0"/>
    <n v="83676.136808962634"/>
    <n v="20507.27362586082"/>
  </r>
  <r>
    <s v="Regular"/>
    <x v="1"/>
    <x v="1"/>
    <x v="4"/>
    <x v="0"/>
    <x v="0"/>
    <x v="0"/>
    <x v="1"/>
    <x v="9"/>
    <n v="0"/>
    <n v="0"/>
    <n v="276.62200000000001"/>
    <n v="276.62200000000001"/>
    <n v="276.62200000000001"/>
    <n v="276.62200000000001"/>
    <n v="0"/>
    <x v="0"/>
    <n v="0"/>
    <n v="0"/>
    <n v="28"/>
    <n v="74"/>
    <n v="0"/>
    <n v="1448.96"/>
    <n v="270.3"/>
    <m/>
    <n v="1479.9458225851192"/>
    <n v="362.70381368696184"/>
    <n v="0"/>
    <n v="400814.21312000003"/>
    <n v="74770.926600000006"/>
    <n v="0"/>
    <n v="409385.57333514089"/>
    <n v="100331.85434971476"/>
  </r>
  <r>
    <s v="Sistema Isolado - Regular"/>
    <x v="1"/>
    <x v="1"/>
    <x v="4"/>
    <x v="0"/>
    <x v="0"/>
    <x v="0"/>
    <x v="1"/>
    <x v="9"/>
    <n v="0"/>
    <n v="0"/>
    <n v="81.858999999999995"/>
    <n v="81.858999999999995"/>
    <n v="81.858999999999995"/>
    <n v="81.858999999999995"/>
    <n v="0"/>
    <x v="0"/>
    <n v="0"/>
    <n v="0"/>
    <n v="28"/>
    <n v="74"/>
    <n v="0"/>
    <n v="1448.96"/>
    <n v="270.3"/>
    <m/>
    <n v="1479.9458225851192"/>
    <n v="362.70381368696184"/>
    <n v="0"/>
    <n v="118610.41664"/>
    <n v="22126.487699999998"/>
    <n v="0"/>
    <n v="121146.88509099527"/>
    <n v="29690.571484601009"/>
  </r>
  <r>
    <s v="Sistema de Compensação"/>
    <x v="1"/>
    <x v="1"/>
    <x v="4"/>
    <x v="0"/>
    <x v="0"/>
    <x v="0"/>
    <x v="1"/>
    <x v="9"/>
    <n v="0"/>
    <n v="0"/>
    <n v="56.393999999999998"/>
    <n v="56.393999999999998"/>
    <n v="56.393999999999998"/>
    <n v="56.393999999999998"/>
    <n v="0"/>
    <x v="0"/>
    <n v="0"/>
    <n v="0"/>
    <n v="28"/>
    <n v="74"/>
    <n v="0"/>
    <n v="1448.96"/>
    <n v="270.3"/>
    <m/>
    <n v="1479.9458225851192"/>
    <n v="362.70381368696184"/>
    <n v="0"/>
    <n v="81712.650240000003"/>
    <n v="15243.298200000001"/>
    <n v="0"/>
    <n v="83460.064718865207"/>
    <n v="20454.318869062525"/>
  </r>
  <r>
    <s v="Regular"/>
    <x v="1"/>
    <x v="1"/>
    <x v="4"/>
    <x v="0"/>
    <x v="0"/>
    <x v="0"/>
    <x v="1"/>
    <x v="10"/>
    <n v="0"/>
    <n v="0"/>
    <n v="266.34300000000002"/>
    <n v="266.34300000000002"/>
    <n v="266.34300000000002"/>
    <n v="266.34300000000002"/>
    <n v="0"/>
    <x v="0"/>
    <n v="0"/>
    <n v="0"/>
    <n v="28"/>
    <n v="74"/>
    <n v="0"/>
    <n v="1448.96"/>
    <n v="270.3"/>
    <m/>
    <n v="1479.9458225851192"/>
    <n v="362.70381368696184"/>
    <n v="0"/>
    <n v="385920.35328000004"/>
    <n v="71992.512900000002"/>
    <n v="0"/>
    <n v="394173.21022478846"/>
    <n v="96603.621848826486"/>
  </r>
  <r>
    <s v="Sistema Isolado - Regular"/>
    <x v="1"/>
    <x v="1"/>
    <x v="4"/>
    <x v="0"/>
    <x v="0"/>
    <x v="0"/>
    <x v="1"/>
    <x v="10"/>
    <n v="0"/>
    <n v="0"/>
    <n v="79.018000000000001"/>
    <n v="79.018000000000001"/>
    <n v="79.018000000000001"/>
    <n v="79.018000000000001"/>
    <n v="0"/>
    <x v="0"/>
    <n v="0"/>
    <n v="0"/>
    <n v="28"/>
    <n v="74"/>
    <n v="0"/>
    <n v="1448.96"/>
    <n v="270.3"/>
    <m/>
    <n v="1479.9458225851192"/>
    <n v="362.70381368696184"/>
    <n v="0"/>
    <n v="114493.92128000001"/>
    <n v="21358.565399999999"/>
    <n v="0"/>
    <n v="116942.35900903096"/>
    <n v="28660.129949916351"/>
  </r>
  <r>
    <s v="Sistema de Compensação"/>
    <x v="1"/>
    <x v="1"/>
    <x v="4"/>
    <x v="0"/>
    <x v="0"/>
    <x v="0"/>
    <x v="1"/>
    <x v="10"/>
    <n v="0"/>
    <n v="0"/>
    <n v="51.066000000000003"/>
    <n v="51.066000000000003"/>
    <n v="51.066000000000003"/>
    <n v="51.066000000000003"/>
    <n v="0"/>
    <x v="0"/>
    <n v="0"/>
    <n v="0"/>
    <n v="28"/>
    <n v="74"/>
    <n v="0"/>
    <n v="1448.96"/>
    <n v="270.3"/>
    <m/>
    <n v="1479.9458225851192"/>
    <n v="362.70381368696184"/>
    <n v="0"/>
    <n v="73992.591360000006"/>
    <n v="13803.139800000001"/>
    <n v="0"/>
    <n v="75574.913376131706"/>
    <n v="18521.832949738393"/>
  </r>
  <r>
    <s v="PROJETADO"/>
    <x v="1"/>
    <x v="1"/>
    <x v="4"/>
    <x v="0"/>
    <x v="0"/>
    <x v="0"/>
    <x v="1"/>
    <x v="11"/>
    <n v="0"/>
    <n v="0"/>
    <n v="266.34300000000002"/>
    <n v="266.34300000000002"/>
    <n v="266.34300000000002"/>
    <n v="266.34300000000002"/>
    <n v="0"/>
    <x v="0"/>
    <n v="0"/>
    <n v="0"/>
    <n v="28"/>
    <n v="74"/>
    <n v="0"/>
    <n v="1448.96"/>
    <n v="270.3"/>
    <m/>
    <n v="1479.9458225851192"/>
    <n v="362.70381368696184"/>
    <n v="0"/>
    <n v="385920.35328000004"/>
    <n v="71992.512900000002"/>
    <n v="0"/>
    <n v="394173.21022478846"/>
    <n v="96603.621848826486"/>
  </r>
  <r>
    <s v="PROJETADO"/>
    <x v="1"/>
    <x v="1"/>
    <x v="4"/>
    <x v="0"/>
    <x v="0"/>
    <x v="0"/>
    <x v="1"/>
    <x v="11"/>
    <n v="0"/>
    <n v="0"/>
    <n v="79.018000000000001"/>
    <n v="79.018000000000001"/>
    <n v="79.018000000000001"/>
    <n v="79.018000000000001"/>
    <n v="0"/>
    <x v="0"/>
    <n v="0"/>
    <n v="0"/>
    <n v="28"/>
    <n v="74"/>
    <n v="0"/>
    <n v="1448.96"/>
    <n v="270.3"/>
    <m/>
    <n v="1479.9458225851192"/>
    <n v="362.70381368696184"/>
    <n v="0"/>
    <n v="114493.92128000001"/>
    <n v="21358.565399999999"/>
    <n v="0"/>
    <n v="116942.35900903096"/>
    <n v="28660.129949916351"/>
  </r>
  <r>
    <s v="PROJETADO"/>
    <x v="1"/>
    <x v="1"/>
    <x v="4"/>
    <x v="0"/>
    <x v="0"/>
    <x v="0"/>
    <x v="1"/>
    <x v="11"/>
    <n v="0"/>
    <n v="0"/>
    <n v="51.066000000000003"/>
    <n v="51.066000000000003"/>
    <n v="51.066000000000003"/>
    <n v="51.066000000000003"/>
    <n v="0"/>
    <x v="0"/>
    <n v="0"/>
    <n v="0"/>
    <n v="28"/>
    <n v="74"/>
    <n v="0"/>
    <n v="1448.96"/>
    <n v="270.3"/>
    <m/>
    <n v="1479.9458225851192"/>
    <n v="362.70381368696184"/>
    <n v="0"/>
    <n v="73992.591360000006"/>
    <n v="13803.139800000001"/>
    <n v="0"/>
    <n v="75574.913376131706"/>
    <n v="18521.832949738393"/>
  </r>
  <r>
    <s v="Regular"/>
    <x v="1"/>
    <x v="1"/>
    <x v="2"/>
    <x v="0"/>
    <x v="0"/>
    <x v="0"/>
    <x v="0"/>
    <x v="7"/>
    <n v="0"/>
    <n v="0"/>
    <n v="2.1999999999999999E-2"/>
    <n v="2.1999999999999999E-2"/>
    <n v="2.1999999999999999E-2"/>
    <n v="2.1999999999999999E-2"/>
    <n v="0"/>
    <x v="0"/>
    <n v="0"/>
    <n v="0"/>
    <n v="29"/>
    <n v="75"/>
    <n v="0"/>
    <n v="80.937600000000003"/>
    <n v="161.33760000000001"/>
    <m/>
    <n v="111.16926119137599"/>
    <n v="214.35764160106174"/>
    <n v="0"/>
    <n v="1.7806272000000001"/>
    <n v="3.5494271999999998"/>
    <n v="0"/>
    <n v="2.4457237462102719"/>
    <n v="4.7158681152233584"/>
  </r>
  <r>
    <s v="Regular"/>
    <x v="1"/>
    <x v="1"/>
    <x v="2"/>
    <x v="0"/>
    <x v="0"/>
    <x v="0"/>
    <x v="0"/>
    <x v="8"/>
    <n v="0"/>
    <n v="0"/>
    <n v="8.2000000000000003E-2"/>
    <n v="8.2000000000000003E-2"/>
    <n v="8.2000000000000003E-2"/>
    <n v="8.2000000000000003E-2"/>
    <n v="0"/>
    <x v="0"/>
    <n v="0"/>
    <n v="0"/>
    <n v="29"/>
    <n v="75"/>
    <n v="0"/>
    <n v="80.937600000000003"/>
    <n v="161.33760000000001"/>
    <m/>
    <n v="111.16926119137599"/>
    <n v="214.35764160106174"/>
    <n v="0"/>
    <n v="6.6368832000000006"/>
    <n v="13.229683200000002"/>
    <n v="0"/>
    <n v="9.1158794176928328"/>
    <n v="17.577326611287063"/>
  </r>
  <r>
    <s v="Regular"/>
    <x v="1"/>
    <x v="1"/>
    <x v="2"/>
    <x v="0"/>
    <x v="0"/>
    <x v="0"/>
    <x v="0"/>
    <x v="9"/>
    <n v="0"/>
    <n v="0"/>
    <n v="2E-3"/>
    <n v="2E-3"/>
    <n v="2E-3"/>
    <n v="2E-3"/>
    <n v="0"/>
    <x v="0"/>
    <n v="0"/>
    <n v="0"/>
    <n v="29"/>
    <n v="75"/>
    <n v="0"/>
    <n v="80.937600000000003"/>
    <n v="161.33760000000001"/>
    <m/>
    <n v="111.16926119137599"/>
    <n v="214.35764160106174"/>
    <n v="0"/>
    <n v="0.1618752"/>
    <n v="0.32267520000000005"/>
    <n v="0"/>
    <n v="0.22233852238275201"/>
    <n v="0.42871528320212349"/>
  </r>
  <r>
    <s v="Regular"/>
    <x v="1"/>
    <x v="1"/>
    <x v="2"/>
    <x v="0"/>
    <x v="0"/>
    <x v="0"/>
    <x v="0"/>
    <x v="10"/>
    <n v="0"/>
    <n v="0"/>
    <n v="1E-3"/>
    <n v="1E-3"/>
    <n v="1E-3"/>
    <n v="1E-3"/>
    <n v="0"/>
    <x v="0"/>
    <n v="0"/>
    <n v="0"/>
    <n v="29"/>
    <n v="75"/>
    <n v="0"/>
    <n v="80.937600000000003"/>
    <n v="161.33760000000001"/>
    <m/>
    <n v="111.16926119137599"/>
    <n v="214.35764160106174"/>
    <n v="0"/>
    <n v="8.0937599999999998E-2"/>
    <n v="0.16133760000000003"/>
    <n v="0"/>
    <n v="0.111169261191376"/>
    <n v="0.21435764160106174"/>
  </r>
  <r>
    <s v="PROJETADO"/>
    <x v="1"/>
    <x v="1"/>
    <x v="2"/>
    <x v="0"/>
    <x v="0"/>
    <x v="0"/>
    <x v="0"/>
    <x v="11"/>
    <n v="0"/>
    <n v="0"/>
    <n v="1E-3"/>
    <n v="1E-3"/>
    <n v="1E-3"/>
    <n v="1E-3"/>
    <n v="0"/>
    <x v="0"/>
    <n v="0"/>
    <n v="0"/>
    <n v="29"/>
    <n v="75"/>
    <n v="0"/>
    <n v="80.937600000000003"/>
    <n v="161.33760000000001"/>
    <m/>
    <n v="111.16926119137599"/>
    <n v="214.35764160106174"/>
    <n v="0"/>
    <n v="8.0937599999999998E-2"/>
    <n v="0.16133760000000003"/>
    <n v="0"/>
    <n v="0.111169261191376"/>
    <n v="0.21435764160106174"/>
  </r>
  <r>
    <s v="Regular"/>
    <x v="1"/>
    <x v="1"/>
    <x v="2"/>
    <x v="0"/>
    <x v="0"/>
    <x v="0"/>
    <x v="2"/>
    <x v="8"/>
    <n v="15"/>
    <n v="15"/>
    <n v="0"/>
    <n v="0"/>
    <n v="0"/>
    <n v="0"/>
    <n v="1"/>
    <x v="0"/>
    <n v="0"/>
    <n v="27"/>
    <n v="0"/>
    <n v="0"/>
    <n v="19.007999999999999"/>
    <n v="0"/>
    <n v="0"/>
    <n v="20.200569945373857"/>
    <m/>
    <m/>
    <n v="285.12"/>
    <n v="0"/>
    <n v="0"/>
    <n v="303.00854918060787"/>
    <n v="0"/>
    <n v="0"/>
  </r>
  <r>
    <s v="Regular"/>
    <x v="1"/>
    <x v="1"/>
    <x v="2"/>
    <x v="0"/>
    <x v="0"/>
    <x v="0"/>
    <x v="2"/>
    <x v="9"/>
    <n v="1"/>
    <n v="1"/>
    <n v="0"/>
    <n v="0"/>
    <n v="0"/>
    <n v="0"/>
    <n v="1"/>
    <x v="0"/>
    <n v="0"/>
    <n v="27"/>
    <n v="0"/>
    <n v="0"/>
    <n v="19.007999999999999"/>
    <n v="0"/>
    <n v="0"/>
    <n v="20.200569945373857"/>
    <m/>
    <m/>
    <n v="19.007999999999999"/>
    <n v="0"/>
    <n v="0"/>
    <n v="20.200569945373857"/>
    <n v="0"/>
    <n v="0"/>
  </r>
  <r>
    <s v="Regular"/>
    <x v="1"/>
    <x v="1"/>
    <x v="2"/>
    <x v="0"/>
    <x v="0"/>
    <x v="0"/>
    <x v="2"/>
    <x v="10"/>
    <n v="1"/>
    <n v="1"/>
    <n v="0"/>
    <n v="0"/>
    <n v="0"/>
    <n v="0"/>
    <n v="1"/>
    <x v="0"/>
    <n v="0"/>
    <n v="27"/>
    <n v="0"/>
    <n v="0"/>
    <n v="19.007999999999999"/>
    <n v="0"/>
    <n v="0"/>
    <n v="20.200569945373857"/>
    <m/>
    <m/>
    <n v="19.007999999999999"/>
    <n v="0"/>
    <n v="0"/>
    <n v="20.200569945373857"/>
    <n v="0"/>
    <n v="0"/>
  </r>
  <r>
    <s v="PROJETADO"/>
    <x v="1"/>
    <x v="1"/>
    <x v="2"/>
    <x v="0"/>
    <x v="0"/>
    <x v="0"/>
    <x v="2"/>
    <x v="11"/>
    <n v="1"/>
    <n v="1"/>
    <n v="0"/>
    <n v="0"/>
    <n v="0"/>
    <n v="0"/>
    <n v="1"/>
    <x v="0"/>
    <n v="0"/>
    <n v="27"/>
    <n v="0"/>
    <n v="0"/>
    <n v="19.007999999999999"/>
    <n v="0"/>
    <n v="0"/>
    <n v="20.200569945373857"/>
    <m/>
    <m/>
    <n v="19.007999999999999"/>
    <n v="0"/>
    <n v="0"/>
    <n v="20.200569945373857"/>
    <n v="0"/>
    <n v="0"/>
  </r>
  <r>
    <s v="Refaturamento - Regular"/>
    <x v="1"/>
    <x v="1"/>
    <x v="2"/>
    <x v="0"/>
    <x v="0"/>
    <x v="0"/>
    <x v="1"/>
    <x v="0"/>
    <n v="0"/>
    <n v="0"/>
    <n v="-0.35899999999999999"/>
    <n v="-0.35899999999999999"/>
    <n v="-0.35899999999999999"/>
    <n v="-0.35899999999999999"/>
    <n v="0"/>
    <x v="0"/>
    <n v="0"/>
    <n v="0"/>
    <n v="28"/>
    <n v="74"/>
    <n v="0"/>
    <n v="1391.0016000000001"/>
    <n v="259.488"/>
    <m/>
    <n v="1450.3469061334167"/>
    <n v="355.44973741322258"/>
    <n v="0"/>
    <n v="-499.36957439999998"/>
    <n v="-93.15619199999999"/>
    <n v="0"/>
    <n v="-520.67453930189663"/>
    <n v="-127.6064557313469"/>
  </r>
  <r>
    <s v="Regular"/>
    <x v="1"/>
    <x v="1"/>
    <x v="2"/>
    <x v="0"/>
    <x v="0"/>
    <x v="0"/>
    <x v="1"/>
    <x v="7"/>
    <n v="0"/>
    <n v="0"/>
    <n v="2E-3"/>
    <n v="2E-3"/>
    <n v="2E-3"/>
    <n v="2E-3"/>
    <n v="0"/>
    <x v="0"/>
    <n v="0"/>
    <n v="0"/>
    <n v="28"/>
    <n v="74"/>
    <n v="0"/>
    <n v="1391.0016000000001"/>
    <n v="259.488"/>
    <m/>
    <n v="1450.3469061334167"/>
    <n v="355.44973741322258"/>
    <n v="0"/>
    <n v="2.7820032000000001"/>
    <n v="0.51897599999999999"/>
    <n v="0"/>
    <n v="2.9006938122668333"/>
    <n v="0.71089947482644522"/>
  </r>
  <r>
    <s v="Regular"/>
    <x v="1"/>
    <x v="1"/>
    <x v="3"/>
    <x v="2"/>
    <x v="0"/>
    <x v="0"/>
    <x v="0"/>
    <x v="0"/>
    <n v="0"/>
    <n v="0"/>
    <n v="2337.0320000000002"/>
    <n v="2337.0320000000002"/>
    <n v="2337.0320000000002"/>
    <n v="2337.0320000000002"/>
    <n v="0"/>
    <x v="0"/>
    <n v="0"/>
    <n v="0"/>
    <n v="29"/>
    <n v="75"/>
    <n v="0"/>
    <n v="79.251400000000004"/>
    <n v="157.97639999999998"/>
    <m/>
    <n v="110.03488097513747"/>
    <n v="212.17031872758153"/>
    <n v="0"/>
    <n v="185213.05784480003"/>
    <n v="369195.90204479999"/>
    <n v="0"/>
    <n v="257155.03795508749"/>
    <n v="495848.82431655738"/>
  </r>
  <r>
    <s v="Sistema Isolado - Regular"/>
    <x v="1"/>
    <x v="1"/>
    <x v="3"/>
    <x v="2"/>
    <x v="0"/>
    <x v="0"/>
    <x v="0"/>
    <x v="0"/>
    <n v="0"/>
    <n v="0"/>
    <n v="325.91500000000002"/>
    <n v="325.91500000000002"/>
    <n v="325.91500000000002"/>
    <n v="325.91500000000002"/>
    <n v="0"/>
    <x v="0"/>
    <n v="0"/>
    <n v="0"/>
    <n v="29"/>
    <n v="75"/>
    <n v="0"/>
    <n v="79.251400000000004"/>
    <n v="157.97639999999998"/>
    <m/>
    <n v="110.03488097513747"/>
    <n v="212.17031872758153"/>
    <n v="0"/>
    <n v="25829.220031000004"/>
    <n v="51486.878405999996"/>
    <n v="0"/>
    <n v="35862.018233011928"/>
    <n v="69149.48942809974"/>
  </r>
  <r>
    <s v="Regular"/>
    <x v="1"/>
    <x v="1"/>
    <x v="3"/>
    <x v="2"/>
    <x v="0"/>
    <x v="0"/>
    <x v="0"/>
    <x v="1"/>
    <n v="0"/>
    <n v="0"/>
    <n v="2800.4690000000001"/>
    <n v="2800.4690000000001"/>
    <n v="2800.4690000000001"/>
    <n v="2800.4690000000001"/>
    <n v="0"/>
    <x v="0"/>
    <n v="0"/>
    <n v="0"/>
    <n v="29"/>
    <n v="75"/>
    <n v="0"/>
    <n v="79.251400000000004"/>
    <n v="157.97639999999998"/>
    <m/>
    <n v="110.03488097513747"/>
    <n v="212.17031872758153"/>
    <n v="0"/>
    <n v="221941.08890660002"/>
    <n v="442408.01093159994"/>
    <n v="0"/>
    <n v="308149.27308956225"/>
    <n v="594176.40031671152"/>
  </r>
  <r>
    <s v="Sistema Isolado - Regular"/>
    <x v="1"/>
    <x v="1"/>
    <x v="3"/>
    <x v="2"/>
    <x v="0"/>
    <x v="0"/>
    <x v="0"/>
    <x v="1"/>
    <n v="0"/>
    <n v="0"/>
    <n v="348.46"/>
    <n v="348.46"/>
    <n v="348.46"/>
    <n v="348.46"/>
    <n v="0"/>
    <x v="0"/>
    <n v="0"/>
    <n v="0"/>
    <n v="29"/>
    <n v="75"/>
    <n v="0"/>
    <n v="79.251400000000004"/>
    <n v="157.97639999999998"/>
    <m/>
    <n v="110.03488097513747"/>
    <n v="212.17031872758153"/>
    <n v="0"/>
    <n v="27615.942844000001"/>
    <n v="55048.456343999991"/>
    <n v="0"/>
    <n v="38342.754624596397"/>
    <n v="73932.86926381306"/>
  </r>
  <r>
    <s v="Regular"/>
    <x v="1"/>
    <x v="1"/>
    <x v="3"/>
    <x v="2"/>
    <x v="0"/>
    <x v="0"/>
    <x v="0"/>
    <x v="2"/>
    <n v="0"/>
    <n v="0"/>
    <n v="2556.0419999999999"/>
    <n v="2556.0419999999999"/>
    <n v="2556.0419999999999"/>
    <n v="2556.0419999999999"/>
    <n v="0"/>
    <x v="0"/>
    <n v="0"/>
    <n v="0"/>
    <n v="29"/>
    <n v="75"/>
    <n v="0"/>
    <n v="79.251400000000004"/>
    <n v="157.97639999999998"/>
    <m/>
    <n v="110.03488097513747"/>
    <n v="212.17031872758153"/>
    <n v="0"/>
    <n v="202569.90695880001"/>
    <n v="403794.31340879994"/>
    <n v="0"/>
    <n v="281253.77723745233"/>
    <n v="542316.24582108494"/>
  </r>
  <r>
    <s v="Sistema Isolado - Regular"/>
    <x v="1"/>
    <x v="1"/>
    <x v="3"/>
    <x v="2"/>
    <x v="0"/>
    <x v="0"/>
    <x v="0"/>
    <x v="2"/>
    <n v="0"/>
    <n v="0"/>
    <n v="328.28699999999998"/>
    <n v="328.28699999999998"/>
    <n v="328.28699999999998"/>
    <n v="328.28699999999998"/>
    <n v="0"/>
    <x v="0"/>
    <n v="0"/>
    <n v="0"/>
    <n v="29"/>
    <n v="75"/>
    <n v="0"/>
    <n v="79.251400000000004"/>
    <n v="157.97639999999998"/>
    <m/>
    <n v="110.03488097513747"/>
    <n v="212.17031872758153"/>
    <n v="0"/>
    <n v="26017.204351799999"/>
    <n v="51861.598426799988"/>
    <n v="0"/>
    <n v="36123.020970684949"/>
    <n v="69652.757424121548"/>
  </r>
  <r>
    <s v="Regular"/>
    <x v="1"/>
    <x v="1"/>
    <x v="3"/>
    <x v="2"/>
    <x v="0"/>
    <x v="0"/>
    <x v="0"/>
    <x v="3"/>
    <n v="0"/>
    <n v="0"/>
    <n v="2638.0169999999998"/>
    <n v="2638.0169999999998"/>
    <n v="2638.0169999999998"/>
    <n v="2638.0169999999998"/>
    <n v="0"/>
    <x v="0"/>
    <n v="0"/>
    <n v="0"/>
    <n v="29"/>
    <n v="75"/>
    <n v="0"/>
    <n v="79.251400000000004"/>
    <n v="157.97639999999998"/>
    <m/>
    <n v="110.03488097513747"/>
    <n v="212.17031872758153"/>
    <n v="0"/>
    <n v="209066.54047380001"/>
    <n v="416744.42879879993"/>
    <n v="0"/>
    <n v="290273.88660538918"/>
    <n v="559708.90769877844"/>
  </r>
  <r>
    <s v="Sistema Isolado - Regular"/>
    <x v="1"/>
    <x v="1"/>
    <x v="3"/>
    <x v="2"/>
    <x v="0"/>
    <x v="0"/>
    <x v="0"/>
    <x v="3"/>
    <n v="0"/>
    <n v="0"/>
    <n v="324.35599999999999"/>
    <n v="324.35599999999999"/>
    <n v="324.35599999999999"/>
    <n v="324.35599999999999"/>
    <n v="0"/>
    <x v="0"/>
    <n v="0"/>
    <n v="0"/>
    <n v="29"/>
    <n v="75"/>
    <n v="0"/>
    <n v="79.251400000000004"/>
    <n v="157.97639999999998"/>
    <m/>
    <n v="110.03488097513747"/>
    <n v="212.17031872758153"/>
    <n v="0"/>
    <n v="25705.667098400001"/>
    <n v="51240.593198399991"/>
    <n v="0"/>
    <n v="35690.47385357169"/>
    <n v="68818.715901203439"/>
  </r>
  <r>
    <s v="Regular"/>
    <x v="1"/>
    <x v="1"/>
    <x v="3"/>
    <x v="2"/>
    <x v="0"/>
    <x v="0"/>
    <x v="0"/>
    <x v="4"/>
    <n v="0"/>
    <n v="0"/>
    <n v="2707.72"/>
    <n v="2707.72"/>
    <n v="2707.72"/>
    <n v="2707.72"/>
    <n v="0"/>
    <x v="0"/>
    <n v="0"/>
    <n v="0"/>
    <n v="29"/>
    <n v="75"/>
    <n v="0"/>
    <n v="79.251400000000004"/>
    <n v="157.97639999999998"/>
    <m/>
    <n v="110.03488097513747"/>
    <n v="212.17031872758153"/>
    <n v="0"/>
    <n v="214590.60080799999"/>
    <n v="427755.85780799994"/>
    <n v="0"/>
    <n v="297943.64791399922"/>
    <n v="574497.81542504707"/>
  </r>
  <r>
    <s v="Sistema Isolado - Regular"/>
    <x v="1"/>
    <x v="1"/>
    <x v="3"/>
    <x v="2"/>
    <x v="0"/>
    <x v="0"/>
    <x v="0"/>
    <x v="4"/>
    <n v="0"/>
    <n v="0"/>
    <n v="341.45400000000001"/>
    <n v="341.45400000000001"/>
    <n v="341.45400000000001"/>
    <n v="341.45400000000001"/>
    <n v="0"/>
    <x v="0"/>
    <n v="0"/>
    <n v="0"/>
    <n v="29"/>
    <n v="75"/>
    <n v="0"/>
    <n v="79.251400000000004"/>
    <n v="157.97639999999998"/>
    <m/>
    <n v="110.03488097513747"/>
    <n v="212.17031872758153"/>
    <n v="0"/>
    <n v="27060.707535600002"/>
    <n v="53941.673685599999"/>
    <n v="0"/>
    <n v="37571.850248484589"/>
    <n v="72446.40401080763"/>
  </r>
  <r>
    <s v="Regular"/>
    <x v="1"/>
    <x v="1"/>
    <x v="3"/>
    <x v="2"/>
    <x v="0"/>
    <x v="0"/>
    <x v="0"/>
    <x v="5"/>
    <n v="0"/>
    <n v="0"/>
    <n v="2835.127"/>
    <n v="2835.127"/>
    <n v="2835.127"/>
    <n v="2835.127"/>
    <n v="0"/>
    <x v="0"/>
    <n v="0"/>
    <n v="0"/>
    <n v="29"/>
    <n v="75"/>
    <n v="0"/>
    <n v="79.251400000000004"/>
    <n v="157.97639999999998"/>
    <m/>
    <n v="110.03488097513747"/>
    <n v="212.17031872758153"/>
    <n v="0"/>
    <n v="224687.78392780002"/>
    <n v="447883.15700279997"/>
    <n v="0"/>
    <n v="311962.86199439858"/>
    <n v="601529.79922317201"/>
  </r>
  <r>
    <s v="Sistema Isolado - Regular"/>
    <x v="1"/>
    <x v="1"/>
    <x v="3"/>
    <x v="2"/>
    <x v="0"/>
    <x v="0"/>
    <x v="0"/>
    <x v="5"/>
    <n v="0"/>
    <n v="0"/>
    <n v="347.22"/>
    <n v="347.22"/>
    <n v="347.22"/>
    <n v="347.22"/>
    <n v="0"/>
    <x v="0"/>
    <n v="0"/>
    <n v="0"/>
    <n v="29"/>
    <n v="75"/>
    <n v="0"/>
    <n v="79.251400000000004"/>
    <n v="157.97639999999998"/>
    <m/>
    <n v="110.03488097513747"/>
    <n v="212.17031872758153"/>
    <n v="0"/>
    <n v="27517.671108000002"/>
    <n v="54852.565607999997"/>
    <n v="0"/>
    <n v="38206.311372187236"/>
    <n v="73669.778068590866"/>
  </r>
  <r>
    <s v="Regular"/>
    <x v="1"/>
    <x v="1"/>
    <x v="3"/>
    <x v="2"/>
    <x v="0"/>
    <x v="0"/>
    <x v="0"/>
    <x v="6"/>
    <n v="0"/>
    <n v="0"/>
    <n v="2605.1640000000002"/>
    <n v="2605.1640000000002"/>
    <n v="2605.1640000000002"/>
    <n v="2605.1640000000002"/>
    <n v="0"/>
    <x v="0"/>
    <n v="0"/>
    <n v="0"/>
    <n v="29"/>
    <n v="75"/>
    <n v="0"/>
    <n v="79.251400000000004"/>
    <n v="157.97639999999998"/>
    <m/>
    <n v="110.03488097513747"/>
    <n v="212.17031872758153"/>
    <n v="0"/>
    <n v="206462.89422960003"/>
    <n v="411554.43012959999"/>
    <n v="0"/>
    <n v="286658.91066071304"/>
    <n v="552738.47621762124"/>
  </r>
  <r>
    <s v="Sistema Isolado - Regular"/>
    <x v="1"/>
    <x v="1"/>
    <x v="3"/>
    <x v="2"/>
    <x v="0"/>
    <x v="0"/>
    <x v="0"/>
    <x v="6"/>
    <n v="0"/>
    <n v="0"/>
    <n v="350.101"/>
    <n v="350.101"/>
    <n v="350.101"/>
    <n v="350.101"/>
    <n v="0"/>
    <x v="0"/>
    <n v="0"/>
    <n v="0"/>
    <n v="29"/>
    <n v="75"/>
    <n v="0"/>
    <n v="79.251400000000004"/>
    <n v="157.97639999999998"/>
    <m/>
    <n v="110.03488097513747"/>
    <n v="212.17031872758153"/>
    <n v="0"/>
    <n v="27745.9943914"/>
    <n v="55307.695616399993"/>
    <n v="0"/>
    <n v="38523.321864276601"/>
    <n v="74281.040756845017"/>
  </r>
  <r>
    <s v="Regular"/>
    <x v="1"/>
    <x v="1"/>
    <x v="3"/>
    <x v="2"/>
    <x v="0"/>
    <x v="0"/>
    <x v="0"/>
    <x v="7"/>
    <n v="0"/>
    <n v="0"/>
    <n v="2857.5189999999998"/>
    <n v="2857.5189999999998"/>
    <n v="2857.5189999999998"/>
    <n v="2857.5189999999998"/>
    <n v="0"/>
    <x v="0"/>
    <n v="0"/>
    <n v="0"/>
    <n v="29"/>
    <n v="75"/>
    <n v="0"/>
    <n v="79.251400000000004"/>
    <n v="157.97639999999998"/>
    <m/>
    <n v="110.03488097513747"/>
    <n v="212.17031872758153"/>
    <n v="0"/>
    <n v="226462.3812766"/>
    <n v="451420.56455159991"/>
    <n v="0"/>
    <n v="314426.76304919383"/>
    <n v="606280.71700011997"/>
  </r>
  <r>
    <s v="Refaturamento - Regular"/>
    <x v="1"/>
    <x v="1"/>
    <x v="3"/>
    <x v="2"/>
    <x v="0"/>
    <x v="0"/>
    <x v="0"/>
    <x v="7"/>
    <n v="0"/>
    <n v="0"/>
    <n v="-347.2"/>
    <n v="-347.2"/>
    <n v="-347.2"/>
    <n v="-347.2"/>
    <n v="0"/>
    <x v="0"/>
    <n v="0"/>
    <n v="0"/>
    <n v="29"/>
    <n v="75"/>
    <n v="0"/>
    <n v="79.251400000000004"/>
    <n v="157.97639999999998"/>
    <m/>
    <n v="110.03488097513747"/>
    <n v="212.17031872758153"/>
    <n v="0"/>
    <n v="-27516.086080000001"/>
    <n v="-54849.406079999993"/>
    <n v="0"/>
    <n v="-38204.110674567724"/>
    <n v="-73665.534662216305"/>
  </r>
  <r>
    <s v="Sistema Isolado - Regular"/>
    <x v="1"/>
    <x v="1"/>
    <x v="3"/>
    <x v="2"/>
    <x v="0"/>
    <x v="0"/>
    <x v="0"/>
    <x v="7"/>
    <n v="0"/>
    <n v="0"/>
    <n v="345.75400000000002"/>
    <n v="345.75400000000002"/>
    <n v="345.75400000000002"/>
    <n v="345.75400000000002"/>
    <n v="0"/>
    <x v="0"/>
    <n v="0"/>
    <n v="0"/>
    <n v="29"/>
    <n v="75"/>
    <n v="0"/>
    <n v="79.251400000000004"/>
    <n v="157.97639999999998"/>
    <m/>
    <n v="110.03488097513747"/>
    <n v="212.17031872758153"/>
    <n v="0"/>
    <n v="27401.488555600004"/>
    <n v="54620.972205599996"/>
    <n v="0"/>
    <n v="38045.000236677683"/>
    <n v="73358.736381336232"/>
  </r>
  <r>
    <s v="Regular"/>
    <x v="1"/>
    <x v="1"/>
    <x v="3"/>
    <x v="2"/>
    <x v="0"/>
    <x v="0"/>
    <x v="0"/>
    <x v="8"/>
    <n v="0"/>
    <n v="0"/>
    <n v="2959.0990000000002"/>
    <n v="2959.0990000000002"/>
    <n v="2959.0990000000002"/>
    <n v="2959.0990000000002"/>
    <n v="0"/>
    <x v="0"/>
    <n v="0"/>
    <n v="0"/>
    <n v="29"/>
    <n v="75"/>
    <n v="0"/>
    <n v="79.251400000000004"/>
    <n v="157.97639999999998"/>
    <m/>
    <n v="110.03488097513747"/>
    <n v="212.17031872758153"/>
    <n v="0"/>
    <n v="234512.73848860004"/>
    <n v="467467.8072636"/>
    <n v="0"/>
    <n v="325604.10625864833"/>
    <n v="627832.97797646781"/>
  </r>
  <r>
    <s v="Refaturamento - Regular"/>
    <x v="1"/>
    <x v="1"/>
    <x v="3"/>
    <x v="2"/>
    <x v="0"/>
    <x v="0"/>
    <x v="0"/>
    <x v="8"/>
    <n v="0"/>
    <n v="0"/>
    <n v="-74.131"/>
    <n v="-74.131"/>
    <n v="-74.131"/>
    <n v="-74.131"/>
    <n v="0"/>
    <x v="0"/>
    <n v="0"/>
    <n v="0"/>
    <n v="29"/>
    <n v="75"/>
    <n v="0"/>
    <n v="79.251400000000004"/>
    <n v="157.97639999999998"/>
    <m/>
    <n v="110.03488097513747"/>
    <n v="212.17031872758153"/>
    <n v="0"/>
    <n v="-5874.9855334000003"/>
    <n v="-11710.948508399999"/>
    <n v="0"/>
    <n v="-8156.9957615679159"/>
    <n v="-15728.397897594346"/>
  </r>
  <r>
    <s v="Sistema Isolado - Regular"/>
    <x v="1"/>
    <x v="1"/>
    <x v="3"/>
    <x v="2"/>
    <x v="0"/>
    <x v="0"/>
    <x v="0"/>
    <x v="8"/>
    <n v="0"/>
    <n v="0"/>
    <n v="347.33"/>
    <n v="347.33"/>
    <n v="347.33"/>
    <n v="347.33"/>
    <n v="0"/>
    <x v="0"/>
    <n v="0"/>
    <n v="0"/>
    <n v="29"/>
    <n v="75"/>
    <n v="0"/>
    <n v="79.251400000000004"/>
    <n v="157.97639999999998"/>
    <m/>
    <n v="110.03488097513747"/>
    <n v="212.17031872758153"/>
    <n v="0"/>
    <n v="27526.388761999999"/>
    <n v="54869.943011999989"/>
    <n v="0"/>
    <n v="38218.415209094492"/>
    <n v="73693.11680365089"/>
  </r>
  <r>
    <s v="Regular"/>
    <x v="1"/>
    <x v="1"/>
    <x v="3"/>
    <x v="2"/>
    <x v="0"/>
    <x v="0"/>
    <x v="0"/>
    <x v="9"/>
    <n v="0"/>
    <n v="0"/>
    <n v="2789.5410000000002"/>
    <n v="2789.5410000000002"/>
    <n v="2789.5410000000002"/>
    <n v="2789.5410000000002"/>
    <n v="0"/>
    <x v="0"/>
    <n v="0"/>
    <n v="0"/>
    <n v="29"/>
    <n v="75"/>
    <n v="0"/>
    <n v="79.251400000000004"/>
    <n v="157.97639999999998"/>
    <m/>
    <n v="110.03488097513747"/>
    <n v="212.17031872758153"/>
    <n v="0"/>
    <n v="221075.02960740004"/>
    <n v="440681.64483239996"/>
    <n v="0"/>
    <n v="306946.81191026594"/>
    <n v="591857.80307365651"/>
  </r>
  <r>
    <s v="Sistema Isolado - Regular"/>
    <x v="1"/>
    <x v="1"/>
    <x v="3"/>
    <x v="2"/>
    <x v="0"/>
    <x v="0"/>
    <x v="0"/>
    <x v="9"/>
    <n v="0"/>
    <n v="0"/>
    <n v="345.07299999999998"/>
    <n v="345.07299999999998"/>
    <n v="345.07299999999998"/>
    <n v="345.07299999999998"/>
    <n v="0"/>
    <x v="0"/>
    <n v="0"/>
    <n v="0"/>
    <n v="29"/>
    <n v="75"/>
    <n v="0"/>
    <n v="79.251400000000004"/>
    <n v="157.97639999999998"/>
    <m/>
    <n v="110.03488097513747"/>
    <n v="212.17031872758153"/>
    <n v="0"/>
    <n v="27347.518352200001"/>
    <n v="54513.390277199993"/>
    <n v="0"/>
    <n v="37970.066482733608"/>
    <n v="73214.248394282738"/>
  </r>
  <r>
    <s v="Regular"/>
    <x v="1"/>
    <x v="1"/>
    <x v="3"/>
    <x v="2"/>
    <x v="0"/>
    <x v="0"/>
    <x v="0"/>
    <x v="10"/>
    <n v="0"/>
    <n v="0"/>
    <n v="2803.8290000000002"/>
    <n v="2803.8290000000002"/>
    <n v="2803.8290000000002"/>
    <n v="2803.8290000000002"/>
    <n v="0"/>
    <x v="0"/>
    <n v="0"/>
    <n v="0"/>
    <n v="29"/>
    <n v="75"/>
    <n v="0"/>
    <n v="79.251400000000004"/>
    <n v="157.97639999999998"/>
    <m/>
    <n v="110.03488097513747"/>
    <n v="212.17031872758153"/>
    <n v="0"/>
    <n v="222207.37361060001"/>
    <n v="442938.8116356"/>
    <n v="0"/>
    <n v="308518.99028963875"/>
    <n v="594889.29258763627"/>
  </r>
  <r>
    <s v="Sistema Isolado - Regular"/>
    <x v="1"/>
    <x v="1"/>
    <x v="3"/>
    <x v="2"/>
    <x v="0"/>
    <x v="0"/>
    <x v="0"/>
    <x v="10"/>
    <n v="0"/>
    <n v="0"/>
    <n v="387.18"/>
    <n v="387.18"/>
    <n v="387.18"/>
    <n v="387.18"/>
    <n v="0"/>
    <x v="0"/>
    <n v="0"/>
    <n v="0"/>
    <n v="29"/>
    <n v="75"/>
    <n v="0"/>
    <n v="79.251400000000004"/>
    <n v="157.97639999999998"/>
    <m/>
    <n v="110.03488097513747"/>
    <n v="212.17031872758153"/>
    <n v="0"/>
    <n v="30684.557052000004"/>
    <n v="61165.302551999994"/>
    <n v="0"/>
    <n v="42603.305215953726"/>
    <n v="82148.104004945024"/>
  </r>
  <r>
    <s v="PROJETADO"/>
    <x v="1"/>
    <x v="1"/>
    <x v="3"/>
    <x v="2"/>
    <x v="0"/>
    <x v="0"/>
    <x v="0"/>
    <x v="11"/>
    <n v="0"/>
    <n v="0"/>
    <n v="2803.8290000000002"/>
    <n v="2803.8290000000002"/>
    <n v="2803.8290000000002"/>
    <n v="2803.8290000000002"/>
    <n v="0"/>
    <x v="0"/>
    <n v="0"/>
    <n v="0"/>
    <n v="29"/>
    <n v="75"/>
    <n v="0"/>
    <n v="79.251400000000004"/>
    <n v="157.97639999999998"/>
    <m/>
    <n v="110.03488097513747"/>
    <n v="212.17031872758153"/>
    <n v="0"/>
    <n v="222207.37361060001"/>
    <n v="442938.8116356"/>
    <n v="0"/>
    <n v="308518.99028963875"/>
    <n v="594889.29258763627"/>
  </r>
  <r>
    <s v="PROJETADO"/>
    <x v="1"/>
    <x v="1"/>
    <x v="3"/>
    <x v="2"/>
    <x v="0"/>
    <x v="0"/>
    <x v="0"/>
    <x v="11"/>
    <n v="0"/>
    <n v="0"/>
    <n v="387.18"/>
    <n v="387.18"/>
    <n v="387.18"/>
    <n v="387.18"/>
    <n v="0"/>
    <x v="0"/>
    <n v="0"/>
    <n v="0"/>
    <n v="29"/>
    <n v="75"/>
    <n v="0"/>
    <n v="79.251400000000004"/>
    <n v="157.97639999999998"/>
    <m/>
    <n v="110.03488097513747"/>
    <n v="212.17031872758153"/>
    <n v="0"/>
    <n v="30684.557052000004"/>
    <n v="61165.302551999994"/>
    <n v="0"/>
    <n v="42603.305215953726"/>
    <n v="82148.104004945024"/>
  </r>
  <r>
    <s v="Regular"/>
    <x v="1"/>
    <x v="1"/>
    <x v="3"/>
    <x v="2"/>
    <x v="0"/>
    <x v="0"/>
    <x v="2"/>
    <x v="0"/>
    <n v="5681"/>
    <n v="5681"/>
    <n v="0"/>
    <n v="0"/>
    <n v="0"/>
    <n v="0"/>
    <n v="29"/>
    <x v="0"/>
    <n v="0"/>
    <n v="27"/>
    <n v="0"/>
    <n v="0"/>
    <n v="18.611999999999998"/>
    <n v="0"/>
    <n v="0"/>
    <n v="19.994441680625144"/>
    <m/>
    <m/>
    <n v="105734.772"/>
    <n v="0"/>
    <n v="0"/>
    <n v="113588.42318763144"/>
    <n v="0"/>
    <n v="0"/>
  </r>
  <r>
    <s v="Sistema Isolado - Regular"/>
    <x v="1"/>
    <x v="1"/>
    <x v="3"/>
    <x v="2"/>
    <x v="0"/>
    <x v="0"/>
    <x v="2"/>
    <x v="0"/>
    <n v="979"/>
    <n v="979"/>
    <n v="0"/>
    <n v="0"/>
    <n v="0"/>
    <n v="0"/>
    <n v="10"/>
    <x v="0"/>
    <n v="0"/>
    <n v="27"/>
    <n v="0"/>
    <n v="0"/>
    <n v="18.611999999999998"/>
    <n v="0"/>
    <n v="0"/>
    <n v="19.994441680625144"/>
    <m/>
    <m/>
    <n v="18221.147999999997"/>
    <n v="0"/>
    <n v="0"/>
    <n v="19574.558405332016"/>
    <n v="0"/>
    <n v="0"/>
  </r>
  <r>
    <s v="Regular"/>
    <x v="1"/>
    <x v="1"/>
    <x v="3"/>
    <x v="2"/>
    <x v="0"/>
    <x v="0"/>
    <x v="2"/>
    <x v="1"/>
    <n v="6635"/>
    <n v="6635"/>
    <n v="0"/>
    <n v="0"/>
    <n v="0"/>
    <n v="0"/>
    <n v="29"/>
    <x v="0"/>
    <n v="0"/>
    <n v="27"/>
    <n v="0"/>
    <n v="0"/>
    <n v="18.611999999999998"/>
    <n v="0"/>
    <n v="0"/>
    <n v="19.994441680625144"/>
    <m/>
    <m/>
    <n v="123490.62"/>
    <n v="0"/>
    <n v="0"/>
    <n v="132663.12055094782"/>
    <n v="0"/>
    <n v="0"/>
  </r>
  <r>
    <s v="Sistema Isolado - Regular"/>
    <x v="1"/>
    <x v="1"/>
    <x v="3"/>
    <x v="2"/>
    <x v="0"/>
    <x v="0"/>
    <x v="2"/>
    <x v="1"/>
    <n v="965"/>
    <n v="965"/>
    <n v="0"/>
    <n v="0"/>
    <n v="0"/>
    <n v="0"/>
    <n v="10"/>
    <x v="0"/>
    <n v="0"/>
    <n v="27"/>
    <n v="0"/>
    <n v="0"/>
    <n v="18.611999999999998"/>
    <n v="0"/>
    <n v="0"/>
    <n v="19.994441680625144"/>
    <m/>
    <m/>
    <n v="17960.579999999998"/>
    <n v="0"/>
    <n v="0"/>
    <n v="19294.636221803263"/>
    <n v="0"/>
    <n v="0"/>
  </r>
  <r>
    <s v="Regular"/>
    <x v="1"/>
    <x v="1"/>
    <x v="3"/>
    <x v="2"/>
    <x v="0"/>
    <x v="0"/>
    <x v="2"/>
    <x v="2"/>
    <n v="6429"/>
    <n v="6429"/>
    <n v="0"/>
    <n v="0"/>
    <n v="0"/>
    <n v="0"/>
    <n v="29"/>
    <x v="0"/>
    <n v="0"/>
    <n v="27"/>
    <n v="0"/>
    <n v="0"/>
    <n v="18.611999999999998"/>
    <n v="0"/>
    <n v="0"/>
    <n v="19.994441680625144"/>
    <m/>
    <m/>
    <n v="119656.548"/>
    <n v="0"/>
    <n v="0"/>
    <n v="128544.26556473905"/>
    <n v="0"/>
    <n v="0"/>
  </r>
  <r>
    <s v="Sistema Isolado - Regular"/>
    <x v="1"/>
    <x v="1"/>
    <x v="3"/>
    <x v="2"/>
    <x v="0"/>
    <x v="0"/>
    <x v="2"/>
    <x v="2"/>
    <n v="970"/>
    <n v="970"/>
    <n v="0"/>
    <n v="0"/>
    <n v="0"/>
    <n v="0"/>
    <n v="10"/>
    <x v="0"/>
    <n v="0"/>
    <n v="27"/>
    <n v="0"/>
    <n v="0"/>
    <n v="18.611999999999998"/>
    <n v="0"/>
    <n v="0"/>
    <n v="19.994441680625144"/>
    <m/>
    <m/>
    <n v="18053.64"/>
    <n v="0"/>
    <n v="0"/>
    <n v="19394.60843020639"/>
    <n v="0"/>
    <n v="0"/>
  </r>
  <r>
    <s v="Regular"/>
    <x v="1"/>
    <x v="1"/>
    <x v="3"/>
    <x v="2"/>
    <x v="0"/>
    <x v="0"/>
    <x v="2"/>
    <x v="3"/>
    <n v="6431"/>
    <n v="6431"/>
    <n v="0"/>
    <n v="0"/>
    <n v="0"/>
    <n v="0"/>
    <n v="29"/>
    <x v="0"/>
    <n v="0"/>
    <n v="27"/>
    <n v="0"/>
    <n v="0"/>
    <n v="18.611999999999998"/>
    <n v="0"/>
    <n v="0"/>
    <n v="19.994441680625144"/>
    <m/>
    <m/>
    <n v="119693.77199999998"/>
    <n v="0"/>
    <n v="0"/>
    <n v="128584.2544481003"/>
    <n v="0"/>
    <n v="0"/>
  </r>
  <r>
    <s v="Sistema Isolado - Regular"/>
    <x v="1"/>
    <x v="1"/>
    <x v="3"/>
    <x v="2"/>
    <x v="0"/>
    <x v="0"/>
    <x v="2"/>
    <x v="3"/>
    <n v="974"/>
    <n v="974"/>
    <n v="0"/>
    <n v="0"/>
    <n v="0"/>
    <n v="0"/>
    <n v="10"/>
    <x v="0"/>
    <n v="0"/>
    <n v="27"/>
    <n v="0"/>
    <n v="0"/>
    <n v="18.611999999999998"/>
    <n v="0"/>
    <n v="0"/>
    <n v="19.994441680625144"/>
    <m/>
    <m/>
    <n v="18128.088"/>
    <n v="0"/>
    <n v="0"/>
    <n v="19474.586196928889"/>
    <n v="0"/>
    <n v="0"/>
  </r>
  <r>
    <s v="Regular"/>
    <x v="1"/>
    <x v="1"/>
    <x v="3"/>
    <x v="2"/>
    <x v="0"/>
    <x v="0"/>
    <x v="2"/>
    <x v="4"/>
    <n v="6380"/>
    <n v="6380"/>
    <n v="0"/>
    <n v="0"/>
    <n v="0"/>
    <n v="0"/>
    <n v="29"/>
    <x v="0"/>
    <n v="0"/>
    <n v="27"/>
    <n v="0"/>
    <n v="0"/>
    <n v="18.611999999999998"/>
    <n v="0"/>
    <n v="0"/>
    <n v="19.994441680625144"/>
    <m/>
    <m/>
    <n v="118744.55999999998"/>
    <n v="0"/>
    <n v="0"/>
    <n v="127564.53792238842"/>
    <n v="0"/>
    <n v="0"/>
  </r>
  <r>
    <s v="Sistema Isolado - Regular"/>
    <x v="1"/>
    <x v="1"/>
    <x v="3"/>
    <x v="2"/>
    <x v="0"/>
    <x v="0"/>
    <x v="2"/>
    <x v="4"/>
    <n v="1001"/>
    <n v="1001"/>
    <n v="0"/>
    <n v="0"/>
    <n v="0"/>
    <n v="0"/>
    <n v="10"/>
    <x v="0"/>
    <n v="0"/>
    <n v="27"/>
    <n v="0"/>
    <n v="0"/>
    <n v="18.611999999999998"/>
    <n v="0"/>
    <n v="0"/>
    <n v="19.994441680625144"/>
    <m/>
    <m/>
    <n v="18630.611999999997"/>
    <n v="0"/>
    <n v="0"/>
    <n v="20014.436122305768"/>
    <n v="0"/>
    <n v="0"/>
  </r>
  <r>
    <s v="Regular"/>
    <x v="1"/>
    <x v="1"/>
    <x v="3"/>
    <x v="2"/>
    <x v="0"/>
    <x v="0"/>
    <x v="2"/>
    <x v="5"/>
    <n v="6385"/>
    <n v="6385"/>
    <n v="0"/>
    <n v="0"/>
    <n v="0"/>
    <n v="0"/>
    <n v="29"/>
    <x v="0"/>
    <n v="0"/>
    <n v="27"/>
    <n v="0"/>
    <n v="0"/>
    <n v="18.611999999999998"/>
    <n v="0"/>
    <n v="0"/>
    <n v="19.994441680625144"/>
    <m/>
    <m/>
    <n v="118837.62"/>
    <n v="0"/>
    <n v="0"/>
    <n v="127664.51013079155"/>
    <n v="0"/>
    <n v="0"/>
  </r>
  <r>
    <s v="Sistema Isolado - Regular"/>
    <x v="1"/>
    <x v="1"/>
    <x v="3"/>
    <x v="2"/>
    <x v="0"/>
    <x v="0"/>
    <x v="2"/>
    <x v="5"/>
    <n v="976"/>
    <n v="976"/>
    <n v="0"/>
    <n v="0"/>
    <n v="0"/>
    <n v="0"/>
    <n v="10"/>
    <x v="0"/>
    <n v="0"/>
    <n v="27"/>
    <n v="0"/>
    <n v="0"/>
    <n v="18.611999999999998"/>
    <n v="0"/>
    <n v="0"/>
    <n v="19.994441680625144"/>
    <m/>
    <m/>
    <n v="18165.311999999998"/>
    <n v="0"/>
    <n v="0"/>
    <n v="19514.575080290142"/>
    <n v="0"/>
    <n v="0"/>
  </r>
  <r>
    <s v="Regular"/>
    <x v="1"/>
    <x v="1"/>
    <x v="3"/>
    <x v="2"/>
    <x v="0"/>
    <x v="0"/>
    <x v="2"/>
    <x v="6"/>
    <n v="6466"/>
    <n v="6466"/>
    <n v="0"/>
    <n v="0"/>
    <n v="0"/>
    <n v="0"/>
    <n v="29"/>
    <x v="0"/>
    <n v="0"/>
    <n v="27"/>
    <n v="0"/>
    <n v="0"/>
    <n v="18.611999999999998"/>
    <n v="0"/>
    <n v="0"/>
    <n v="19.994441680625144"/>
    <m/>
    <m/>
    <n v="120345.192"/>
    <n v="0"/>
    <n v="0"/>
    <n v="129284.05990692218"/>
    <n v="0"/>
    <n v="0"/>
  </r>
  <r>
    <s v="Sistema Isolado - Regular"/>
    <x v="1"/>
    <x v="1"/>
    <x v="3"/>
    <x v="2"/>
    <x v="0"/>
    <x v="0"/>
    <x v="2"/>
    <x v="6"/>
    <n v="972"/>
    <n v="972"/>
    <n v="0"/>
    <n v="0"/>
    <n v="0"/>
    <n v="0"/>
    <n v="10"/>
    <x v="0"/>
    <n v="0"/>
    <n v="27"/>
    <n v="0"/>
    <n v="0"/>
    <n v="18.611999999999998"/>
    <n v="0"/>
    <n v="0"/>
    <n v="19.994441680625144"/>
    <m/>
    <m/>
    <n v="18090.863999999998"/>
    <n v="0"/>
    <n v="0"/>
    <n v="19434.59731356764"/>
    <n v="0"/>
    <n v="0"/>
  </r>
  <r>
    <s v="Regular"/>
    <x v="1"/>
    <x v="1"/>
    <x v="3"/>
    <x v="2"/>
    <x v="0"/>
    <x v="0"/>
    <x v="2"/>
    <x v="7"/>
    <n v="6283"/>
    <n v="6283"/>
    <n v="0"/>
    <n v="0"/>
    <n v="0"/>
    <n v="0"/>
    <n v="30"/>
    <x v="0"/>
    <n v="0"/>
    <n v="27"/>
    <n v="0"/>
    <n v="0"/>
    <n v="18.611999999999998"/>
    <n v="0"/>
    <n v="0"/>
    <n v="19.994441680625144"/>
    <m/>
    <m/>
    <n v="116939.196"/>
    <n v="0"/>
    <n v="0"/>
    <n v="125625.07707936778"/>
    <n v="0"/>
    <n v="0"/>
  </r>
  <r>
    <s v="Sistema Isolado - Regular"/>
    <x v="1"/>
    <x v="1"/>
    <x v="3"/>
    <x v="2"/>
    <x v="0"/>
    <x v="0"/>
    <x v="2"/>
    <x v="7"/>
    <n v="968"/>
    <n v="968"/>
    <n v="0"/>
    <n v="0"/>
    <n v="0"/>
    <n v="0"/>
    <n v="10"/>
    <x v="0"/>
    <n v="0"/>
    <n v="27"/>
    <n v="0"/>
    <n v="0"/>
    <n v="18.611999999999998"/>
    <n v="0"/>
    <n v="0"/>
    <n v="19.994441680625144"/>
    <m/>
    <m/>
    <n v="18016.415999999997"/>
    <n v="0"/>
    <n v="0"/>
    <n v="19354.619546845141"/>
    <n v="0"/>
    <n v="0"/>
  </r>
  <r>
    <s v="Regular"/>
    <x v="1"/>
    <x v="1"/>
    <x v="3"/>
    <x v="2"/>
    <x v="0"/>
    <x v="0"/>
    <x v="2"/>
    <x v="8"/>
    <n v="6345"/>
    <n v="6345"/>
    <n v="0"/>
    <n v="0"/>
    <n v="0"/>
    <n v="0"/>
    <n v="30"/>
    <x v="0"/>
    <n v="0"/>
    <n v="27"/>
    <n v="0"/>
    <n v="0"/>
    <n v="18.611999999999998"/>
    <n v="0"/>
    <n v="0"/>
    <n v="19.994441680625144"/>
    <m/>
    <m/>
    <n v="118093.13999999998"/>
    <n v="0"/>
    <n v="0"/>
    <n v="126864.73246356654"/>
    <n v="0"/>
    <n v="0"/>
  </r>
  <r>
    <s v="Sistema Isolado - Regular"/>
    <x v="1"/>
    <x v="1"/>
    <x v="3"/>
    <x v="2"/>
    <x v="0"/>
    <x v="0"/>
    <x v="2"/>
    <x v="8"/>
    <n v="972"/>
    <n v="972"/>
    <n v="0"/>
    <n v="0"/>
    <n v="0"/>
    <n v="0"/>
    <n v="10"/>
    <x v="0"/>
    <n v="0"/>
    <n v="27"/>
    <n v="0"/>
    <n v="0"/>
    <n v="18.611999999999998"/>
    <n v="0"/>
    <n v="0"/>
    <n v="19.994441680625144"/>
    <m/>
    <m/>
    <n v="18090.863999999998"/>
    <n v="0"/>
    <n v="0"/>
    <n v="19434.59731356764"/>
    <n v="0"/>
    <n v="0"/>
  </r>
  <r>
    <s v="Regular"/>
    <x v="1"/>
    <x v="1"/>
    <x v="3"/>
    <x v="2"/>
    <x v="0"/>
    <x v="0"/>
    <x v="2"/>
    <x v="9"/>
    <n v="6631"/>
    <n v="6631"/>
    <n v="0"/>
    <n v="0"/>
    <n v="0"/>
    <n v="0"/>
    <n v="29"/>
    <x v="0"/>
    <n v="0"/>
    <n v="27"/>
    <n v="0"/>
    <n v="0"/>
    <n v="18.611999999999998"/>
    <n v="0"/>
    <n v="0"/>
    <n v="19.994441680625144"/>
    <m/>
    <m/>
    <n v="123416.17199999999"/>
    <n v="0"/>
    <n v="0"/>
    <n v="132583.14278422532"/>
    <n v="0"/>
    <n v="0"/>
  </r>
  <r>
    <s v="Sistema Isolado - Regular"/>
    <x v="1"/>
    <x v="1"/>
    <x v="3"/>
    <x v="2"/>
    <x v="0"/>
    <x v="0"/>
    <x v="2"/>
    <x v="9"/>
    <n v="975"/>
    <n v="975"/>
    <n v="0"/>
    <n v="0"/>
    <n v="0"/>
    <n v="0"/>
    <n v="10"/>
    <x v="0"/>
    <n v="0"/>
    <n v="27"/>
    <n v="0"/>
    <n v="0"/>
    <n v="18.611999999999998"/>
    <n v="0"/>
    <n v="0"/>
    <n v="19.994441680625144"/>
    <m/>
    <m/>
    <n v="18146.699999999997"/>
    <n v="0"/>
    <n v="0"/>
    <n v="19494.580638609514"/>
    <n v="0"/>
    <n v="0"/>
  </r>
  <r>
    <s v="Regular"/>
    <x v="1"/>
    <x v="1"/>
    <x v="3"/>
    <x v="2"/>
    <x v="0"/>
    <x v="0"/>
    <x v="2"/>
    <x v="10"/>
    <n v="6695"/>
    <n v="6695"/>
    <n v="0"/>
    <n v="0"/>
    <n v="0"/>
    <n v="0"/>
    <n v="29"/>
    <x v="0"/>
    <n v="0"/>
    <n v="27"/>
    <n v="0"/>
    <n v="0"/>
    <n v="18.611999999999998"/>
    <n v="0"/>
    <n v="0"/>
    <n v="19.994441680625144"/>
    <m/>
    <m/>
    <n v="124607.33999999998"/>
    <n v="0"/>
    <n v="0"/>
    <n v="133862.78705178533"/>
    <n v="0"/>
    <n v="0"/>
  </r>
  <r>
    <s v="Sistema Isolado - Regular"/>
    <x v="1"/>
    <x v="1"/>
    <x v="3"/>
    <x v="2"/>
    <x v="0"/>
    <x v="0"/>
    <x v="2"/>
    <x v="10"/>
    <n v="1139"/>
    <n v="1139"/>
    <n v="0"/>
    <n v="0"/>
    <n v="0"/>
    <n v="0"/>
    <n v="13"/>
    <x v="0"/>
    <n v="0"/>
    <n v="27"/>
    <n v="0"/>
    <n v="0"/>
    <n v="18.611999999999998"/>
    <n v="0"/>
    <n v="0"/>
    <n v="19.994441680625144"/>
    <m/>
    <m/>
    <n v="21199.067999999999"/>
    <n v="0"/>
    <n v="0"/>
    <n v="22773.669074232039"/>
    <n v="0"/>
    <n v="0"/>
  </r>
  <r>
    <s v="PROJETADO"/>
    <x v="1"/>
    <x v="1"/>
    <x v="3"/>
    <x v="2"/>
    <x v="0"/>
    <x v="0"/>
    <x v="2"/>
    <x v="11"/>
    <n v="6695"/>
    <n v="6695"/>
    <n v="0"/>
    <n v="0"/>
    <n v="0"/>
    <n v="0"/>
    <n v="29"/>
    <x v="0"/>
    <n v="0"/>
    <n v="27"/>
    <n v="0"/>
    <n v="0"/>
    <n v="18.611999999999998"/>
    <n v="0"/>
    <n v="0"/>
    <n v="19.994441680625144"/>
    <m/>
    <m/>
    <n v="124607.33999999998"/>
    <n v="0"/>
    <n v="0"/>
    <n v="133862.78705178533"/>
    <n v="0"/>
    <n v="0"/>
  </r>
  <r>
    <s v="PROJETADO"/>
    <x v="1"/>
    <x v="1"/>
    <x v="3"/>
    <x v="2"/>
    <x v="0"/>
    <x v="0"/>
    <x v="2"/>
    <x v="11"/>
    <n v="1139"/>
    <n v="1139"/>
    <n v="0"/>
    <n v="0"/>
    <n v="0"/>
    <n v="0"/>
    <n v="13"/>
    <x v="0"/>
    <n v="0"/>
    <n v="27"/>
    <n v="0"/>
    <n v="0"/>
    <n v="18.611999999999998"/>
    <n v="0"/>
    <n v="0"/>
    <n v="19.994441680625144"/>
    <m/>
    <m/>
    <n v="21199.067999999999"/>
    <n v="0"/>
    <n v="0"/>
    <n v="22773.669074232039"/>
    <n v="0"/>
    <n v="0"/>
  </r>
  <r>
    <s v="Regular"/>
    <x v="1"/>
    <x v="1"/>
    <x v="3"/>
    <x v="2"/>
    <x v="0"/>
    <x v="0"/>
    <x v="1"/>
    <x v="0"/>
    <n v="0"/>
    <n v="0"/>
    <n v="240.178"/>
    <n v="240.178"/>
    <n v="240.178"/>
    <n v="240.178"/>
    <n v="0"/>
    <x v="0"/>
    <n v="0"/>
    <n v="0"/>
    <n v="28"/>
    <n v="74"/>
    <n v="0"/>
    <n v="1362.0224000000001"/>
    <n v="254.08199999999999"/>
    <m/>
    <n v="1435.5474479075656"/>
    <n v="351.82269927635298"/>
    <n v="0"/>
    <n v="327127.81598720001"/>
    <n v="61024.906596000001"/>
    <n v="0"/>
    <n v="344786.91494354326"/>
    <n v="84500.072266795905"/>
  </r>
  <r>
    <s v="Sistema Isolado - Regular"/>
    <x v="1"/>
    <x v="1"/>
    <x v="3"/>
    <x v="2"/>
    <x v="0"/>
    <x v="0"/>
    <x v="1"/>
    <x v="0"/>
    <n v="0"/>
    <n v="0"/>
    <n v="32.902000000000001"/>
    <n v="32.902000000000001"/>
    <n v="32.902000000000001"/>
    <n v="32.902000000000001"/>
    <n v="0"/>
    <x v="0"/>
    <n v="0"/>
    <n v="0"/>
    <n v="28"/>
    <n v="74"/>
    <n v="0"/>
    <n v="1362.0224000000001"/>
    <n v="254.08199999999999"/>
    <m/>
    <n v="1435.5474479075656"/>
    <n v="351.82269927635298"/>
    <n v="0"/>
    <n v="44813.261004800006"/>
    <n v="8359.8059639999992"/>
    <n v="0"/>
    <n v="47232.382131054721"/>
    <n v="11575.670451590566"/>
  </r>
  <r>
    <s v="Regular"/>
    <x v="1"/>
    <x v="1"/>
    <x v="3"/>
    <x v="2"/>
    <x v="0"/>
    <x v="0"/>
    <x v="1"/>
    <x v="1"/>
    <n v="0"/>
    <n v="0"/>
    <n v="277.27300000000002"/>
    <n v="277.27300000000002"/>
    <n v="277.27300000000002"/>
    <n v="277.27300000000002"/>
    <n v="0"/>
    <x v="0"/>
    <n v="0"/>
    <n v="0"/>
    <n v="28"/>
    <n v="74"/>
    <n v="0"/>
    <n v="1362.0224000000001"/>
    <n v="254.08199999999999"/>
    <m/>
    <n v="1435.5474479075656"/>
    <n v="351.82269927635298"/>
    <n v="0"/>
    <n v="377652.03691520006"/>
    <n v="70450.078386000008"/>
    <n v="0"/>
    <n v="398038.54752367444"/>
    <n v="97550.935296452226"/>
  </r>
  <r>
    <s v="Sistema Isolado - Regular"/>
    <x v="1"/>
    <x v="1"/>
    <x v="3"/>
    <x v="2"/>
    <x v="0"/>
    <x v="0"/>
    <x v="1"/>
    <x v="1"/>
    <n v="0"/>
    <n v="0"/>
    <n v="35.567999999999998"/>
    <n v="35.567999999999998"/>
    <n v="35.567999999999998"/>
    <n v="35.567999999999998"/>
    <n v="0"/>
    <x v="0"/>
    <n v="0"/>
    <n v="0"/>
    <n v="28"/>
    <n v="74"/>
    <n v="0"/>
    <n v="1362.0224000000001"/>
    <n v="254.08199999999999"/>
    <m/>
    <n v="1435.5474479075656"/>
    <n v="351.82269927635298"/>
    <n v="0"/>
    <n v="48444.412723200003"/>
    <n v="9037.1885759999986"/>
    <n v="0"/>
    <n v="51059.55162717629"/>
    <n v="12513.629767861323"/>
  </r>
  <r>
    <s v="Regular"/>
    <x v="1"/>
    <x v="1"/>
    <x v="3"/>
    <x v="2"/>
    <x v="0"/>
    <x v="0"/>
    <x v="1"/>
    <x v="2"/>
    <n v="0"/>
    <n v="0"/>
    <n v="249.84299999999999"/>
    <n v="249.84299999999999"/>
    <n v="249.84299999999999"/>
    <n v="249.84299999999999"/>
    <n v="0"/>
    <x v="0"/>
    <n v="0"/>
    <n v="0"/>
    <n v="28"/>
    <n v="74"/>
    <n v="0"/>
    <n v="1362.0224000000001"/>
    <n v="254.08199999999999"/>
    <m/>
    <n v="1435.5474479075656"/>
    <n v="351.82269927635298"/>
    <n v="0"/>
    <n v="340291.7624832"/>
    <n v="63480.609125999996"/>
    <n v="0"/>
    <n v="358661.48102756991"/>
    <n v="87900.438655301856"/>
  </r>
  <r>
    <s v="Refaturamento - Regular"/>
    <x v="1"/>
    <x v="1"/>
    <x v="3"/>
    <x v="2"/>
    <x v="0"/>
    <x v="0"/>
    <x v="1"/>
    <x v="2"/>
    <n v="0"/>
    <n v="0"/>
    <n v="-1E-3"/>
    <n v="-1E-3"/>
    <n v="-1E-3"/>
    <n v="-1E-3"/>
    <n v="0"/>
    <x v="0"/>
    <n v="0"/>
    <n v="0"/>
    <n v="28"/>
    <n v="74"/>
    <n v="0"/>
    <n v="1362.0224000000001"/>
    <n v="254.08199999999999"/>
    <m/>
    <n v="1435.5474479075656"/>
    <n v="351.82269927635298"/>
    <n v="0"/>
    <n v="-1.3620224000000001"/>
    <n v="-0.25408199999999997"/>
    <n v="0"/>
    <n v="-1.4355474479075656"/>
    <n v="-0.35182269927635301"/>
  </r>
  <r>
    <s v="Sistema Isolado - Regular"/>
    <x v="1"/>
    <x v="1"/>
    <x v="3"/>
    <x v="2"/>
    <x v="0"/>
    <x v="0"/>
    <x v="1"/>
    <x v="2"/>
    <n v="0"/>
    <n v="0"/>
    <n v="33.691000000000003"/>
    <n v="33.691000000000003"/>
    <n v="33.691000000000003"/>
    <n v="33.691000000000003"/>
    <n v="0"/>
    <x v="0"/>
    <n v="0"/>
    <n v="0"/>
    <n v="28"/>
    <n v="74"/>
    <n v="0"/>
    <n v="1362.0224000000001"/>
    <n v="254.08199999999999"/>
    <m/>
    <n v="1435.5474479075656"/>
    <n v="351.82269927635298"/>
    <n v="0"/>
    <n v="45887.896678400008"/>
    <n v="8560.2766620000002"/>
    <n v="0"/>
    <n v="48365.029067453797"/>
    <n v="11853.25856131961"/>
  </r>
  <r>
    <s v="Regular"/>
    <x v="1"/>
    <x v="1"/>
    <x v="3"/>
    <x v="2"/>
    <x v="0"/>
    <x v="0"/>
    <x v="1"/>
    <x v="3"/>
    <n v="0"/>
    <n v="0"/>
    <n v="264.14299999999997"/>
    <n v="264.14299999999997"/>
    <n v="264.14299999999997"/>
    <n v="264.14299999999997"/>
    <n v="0"/>
    <x v="0"/>
    <n v="0"/>
    <n v="0"/>
    <n v="28"/>
    <n v="74"/>
    <n v="0"/>
    <n v="1362.0224000000001"/>
    <n v="254.08199999999999"/>
    <m/>
    <n v="1435.5474479075656"/>
    <n v="351.82269927635298"/>
    <n v="0"/>
    <n v="359768.68280319998"/>
    <n v="67113.981725999998"/>
    <n v="0"/>
    <n v="379189.80953264807"/>
    <n v="92931.503254953699"/>
  </r>
  <r>
    <s v="Sistema Isolado - Regular"/>
    <x v="1"/>
    <x v="1"/>
    <x v="3"/>
    <x v="2"/>
    <x v="0"/>
    <x v="0"/>
    <x v="1"/>
    <x v="3"/>
    <n v="0"/>
    <n v="0"/>
    <n v="34.070999999999998"/>
    <n v="34.070999999999998"/>
    <n v="34.070999999999998"/>
    <n v="34.070999999999998"/>
    <n v="0"/>
    <x v="0"/>
    <n v="0"/>
    <n v="0"/>
    <n v="28"/>
    <n v="74"/>
    <n v="0"/>
    <n v="1362.0224000000001"/>
    <n v="254.08199999999999"/>
    <m/>
    <n v="1435.5474479075656"/>
    <n v="351.82269927635298"/>
    <n v="0"/>
    <n v="46405.465190399998"/>
    <n v="8656.8278219999993"/>
    <n v="0"/>
    <n v="48910.537097658664"/>
    <n v="11986.951187044622"/>
  </r>
  <r>
    <s v="Regular"/>
    <x v="1"/>
    <x v="1"/>
    <x v="3"/>
    <x v="2"/>
    <x v="0"/>
    <x v="0"/>
    <x v="1"/>
    <x v="4"/>
    <n v="0"/>
    <n v="0"/>
    <n v="251.489"/>
    <n v="251.489"/>
    <n v="251.489"/>
    <n v="251.489"/>
    <n v="0"/>
    <x v="0"/>
    <n v="0"/>
    <n v="0"/>
    <n v="28"/>
    <n v="74"/>
    <n v="0"/>
    <n v="1362.0224000000001"/>
    <n v="254.08199999999999"/>
    <m/>
    <n v="1435.5474479075656"/>
    <n v="351.82269927635298"/>
    <n v="0"/>
    <n v="342533.65135360003"/>
    <n v="63898.828097999998"/>
    <n v="0"/>
    <n v="361024.39212682575"/>
    <n v="88479.538818310742"/>
  </r>
  <r>
    <s v="Sistema Isolado - Regular"/>
    <x v="1"/>
    <x v="1"/>
    <x v="3"/>
    <x v="2"/>
    <x v="0"/>
    <x v="0"/>
    <x v="1"/>
    <x v="4"/>
    <n v="0"/>
    <n v="0"/>
    <n v="33.68"/>
    <n v="33.68"/>
    <n v="33.68"/>
    <n v="33.68"/>
    <n v="0"/>
    <x v="0"/>
    <n v="0"/>
    <n v="0"/>
    <n v="28"/>
    <n v="74"/>
    <n v="0"/>
    <n v="1362.0224000000001"/>
    <n v="254.08199999999999"/>
    <m/>
    <n v="1435.5474479075656"/>
    <n v="351.82269927635298"/>
    <n v="0"/>
    <n v="45872.914432000005"/>
    <n v="8557.4817600000006"/>
    <n v="0"/>
    <n v="48349.238045526807"/>
    <n v="11849.388511627569"/>
  </r>
  <r>
    <s v="Regular"/>
    <x v="1"/>
    <x v="1"/>
    <x v="3"/>
    <x v="2"/>
    <x v="0"/>
    <x v="0"/>
    <x v="1"/>
    <x v="5"/>
    <n v="0"/>
    <n v="0"/>
    <n v="271.93599999999998"/>
    <n v="271.93599999999998"/>
    <n v="271.93599999999998"/>
    <n v="271.93599999999998"/>
    <n v="0"/>
    <x v="0"/>
    <n v="0"/>
    <n v="0"/>
    <n v="28"/>
    <n v="74"/>
    <n v="0"/>
    <n v="1362.0224000000001"/>
    <n v="254.08199999999999"/>
    <m/>
    <n v="1435.5474479075656"/>
    <n v="351.82269927635298"/>
    <n v="0"/>
    <n v="370382.92336640001"/>
    <n v="69094.042751999994"/>
    <n v="0"/>
    <n v="390377.0307941917"/>
    <n v="95673.257550414317"/>
  </r>
  <r>
    <s v="Sistema Isolado - Regular"/>
    <x v="1"/>
    <x v="1"/>
    <x v="3"/>
    <x v="2"/>
    <x v="0"/>
    <x v="0"/>
    <x v="1"/>
    <x v="5"/>
    <n v="0"/>
    <n v="0"/>
    <n v="33.322000000000003"/>
    <n v="33.322000000000003"/>
    <n v="33.322000000000003"/>
    <n v="33.322000000000003"/>
    <n v="0"/>
    <x v="0"/>
    <n v="0"/>
    <n v="0"/>
    <n v="28"/>
    <n v="74"/>
    <n v="0"/>
    <n v="1362.0224000000001"/>
    <n v="254.08199999999999"/>
    <m/>
    <n v="1435.5474479075656"/>
    <n v="351.82269927635298"/>
    <n v="0"/>
    <n v="45385.310412800005"/>
    <n v="8466.5204040000008"/>
    <n v="0"/>
    <n v="47835.312059175907"/>
    <n v="11723.435985286635"/>
  </r>
  <r>
    <s v="Regular"/>
    <x v="1"/>
    <x v="1"/>
    <x v="3"/>
    <x v="2"/>
    <x v="0"/>
    <x v="0"/>
    <x v="1"/>
    <x v="6"/>
    <n v="0"/>
    <n v="0"/>
    <n v="258.11"/>
    <n v="258.11"/>
    <n v="258.11"/>
    <n v="258.11"/>
    <n v="0"/>
    <x v="0"/>
    <n v="0"/>
    <n v="0"/>
    <n v="28"/>
    <n v="74"/>
    <n v="0"/>
    <n v="1362.0224000000001"/>
    <n v="254.08199999999999"/>
    <m/>
    <n v="1435.5474479075656"/>
    <n v="351.82269927635298"/>
    <n v="0"/>
    <n v="351551.60166400002"/>
    <n v="65581.105020000003"/>
    <n v="0"/>
    <n v="370529.15177942178"/>
    <n v="90808.956910219465"/>
  </r>
  <r>
    <s v="Sistema Isolado - Regular"/>
    <x v="1"/>
    <x v="1"/>
    <x v="3"/>
    <x v="2"/>
    <x v="0"/>
    <x v="0"/>
    <x v="1"/>
    <x v="6"/>
    <n v="0"/>
    <n v="0"/>
    <n v="35.677"/>
    <n v="35.677"/>
    <n v="35.677"/>
    <n v="35.677"/>
    <n v="0"/>
    <x v="0"/>
    <n v="0"/>
    <n v="0"/>
    <n v="28"/>
    <n v="74"/>
    <n v="0"/>
    <n v="1362.0224000000001"/>
    <n v="254.08199999999999"/>
    <m/>
    <n v="1435.5474479075656"/>
    <n v="351.82269927635298"/>
    <n v="0"/>
    <n v="48592.873164800003"/>
    <n v="9064.8835139999992"/>
    <n v="0"/>
    <n v="51216.026298998215"/>
    <n v="12551.978442082445"/>
  </r>
  <r>
    <s v="Regular"/>
    <x v="1"/>
    <x v="1"/>
    <x v="3"/>
    <x v="2"/>
    <x v="0"/>
    <x v="0"/>
    <x v="1"/>
    <x v="7"/>
    <n v="0"/>
    <n v="0"/>
    <n v="276.87799999999999"/>
    <n v="276.87799999999999"/>
    <n v="276.87799999999999"/>
    <n v="276.87799999999999"/>
    <n v="0"/>
    <x v="0"/>
    <n v="0"/>
    <n v="0"/>
    <n v="28"/>
    <n v="74"/>
    <n v="0"/>
    <n v="1362.0224000000001"/>
    <n v="254.08199999999999"/>
    <m/>
    <n v="1435.5474479075656"/>
    <n v="351.82269927635298"/>
    <n v="0"/>
    <n v="377114.03806719999"/>
    <n v="70349.715995999999"/>
    <n v="0"/>
    <n v="397471.50628175092"/>
    <n v="97411.965330238061"/>
  </r>
  <r>
    <s v="Sistema Isolado - Regular"/>
    <x v="1"/>
    <x v="1"/>
    <x v="3"/>
    <x v="2"/>
    <x v="0"/>
    <x v="0"/>
    <x v="1"/>
    <x v="7"/>
    <n v="0"/>
    <n v="0"/>
    <n v="34.813000000000002"/>
    <n v="34.813000000000002"/>
    <n v="34.813000000000002"/>
    <n v="34.813000000000002"/>
    <n v="0"/>
    <x v="0"/>
    <n v="0"/>
    <n v="0"/>
    <n v="28"/>
    <n v="74"/>
    <n v="0"/>
    <n v="1362.0224000000001"/>
    <n v="254.08199999999999"/>
    <m/>
    <n v="1435.5474479075656"/>
    <n v="351.82269927635298"/>
    <n v="0"/>
    <n v="47416.085811200006"/>
    <n v="8845.3566659999997"/>
    <n v="0"/>
    <n v="49975.713304006087"/>
    <n v="12248.003629907676"/>
  </r>
  <r>
    <s v="Regular"/>
    <x v="1"/>
    <x v="1"/>
    <x v="3"/>
    <x v="2"/>
    <x v="0"/>
    <x v="0"/>
    <x v="1"/>
    <x v="8"/>
    <n v="0"/>
    <n v="0"/>
    <n v="298.75900000000001"/>
    <n v="298.75900000000001"/>
    <n v="298.75900000000001"/>
    <n v="298.75900000000001"/>
    <n v="0"/>
    <x v="0"/>
    <n v="0"/>
    <n v="0"/>
    <n v="28"/>
    <n v="74"/>
    <n v="0"/>
    <n v="1362.0224000000001"/>
    <n v="254.08199999999999"/>
    <m/>
    <n v="1435.5474479075656"/>
    <n v="351.82269927635298"/>
    <n v="0"/>
    <n v="406916.45020160003"/>
    <n v="75909.284238000007"/>
    <n v="0"/>
    <n v="428882.71998941642"/>
    <n v="105110.19781310395"/>
  </r>
  <r>
    <s v="Refaturamento - Regular"/>
    <x v="1"/>
    <x v="1"/>
    <x v="3"/>
    <x v="2"/>
    <x v="0"/>
    <x v="0"/>
    <x v="1"/>
    <x v="8"/>
    <n v="0"/>
    <n v="0"/>
    <n v="-6.2350000000000003"/>
    <n v="-6.2350000000000003"/>
    <n v="-6.2350000000000003"/>
    <n v="-6.2350000000000003"/>
    <n v="0"/>
    <x v="0"/>
    <n v="0"/>
    <n v="0"/>
    <n v="28"/>
    <n v="74"/>
    <n v="0"/>
    <n v="1362.0224000000001"/>
    <n v="254.08199999999999"/>
    <m/>
    <n v="1435.5474479075656"/>
    <n v="351.82269927635298"/>
    <n v="0"/>
    <n v="-8492.209664"/>
    <n v="-1584.20127"/>
    <n v="0"/>
    <n v="-8950.6383377036727"/>
    <n v="-2193.6145299880609"/>
  </r>
  <r>
    <s v="Sistema Isolado - Regular"/>
    <x v="1"/>
    <x v="1"/>
    <x v="3"/>
    <x v="2"/>
    <x v="0"/>
    <x v="0"/>
    <x v="1"/>
    <x v="8"/>
    <n v="0"/>
    <n v="0"/>
    <n v="35.14"/>
    <n v="35.14"/>
    <n v="35.14"/>
    <n v="35.14"/>
    <n v="0"/>
    <x v="0"/>
    <n v="0"/>
    <n v="0"/>
    <n v="28"/>
    <n v="74"/>
    <n v="0"/>
    <n v="1362.0224000000001"/>
    <n v="254.08199999999999"/>
    <m/>
    <n v="1435.5474479075656"/>
    <n v="351.82269927635298"/>
    <n v="0"/>
    <n v="47861.467135999999"/>
    <n v="8928.4414799999995"/>
    <n v="0"/>
    <n v="50445.137319471854"/>
    <n v="12363.049652571044"/>
  </r>
  <r>
    <s v="Regular"/>
    <x v="1"/>
    <x v="1"/>
    <x v="3"/>
    <x v="2"/>
    <x v="0"/>
    <x v="0"/>
    <x v="1"/>
    <x v="9"/>
    <n v="0"/>
    <n v="0"/>
    <n v="283.12200000000001"/>
    <n v="283.12200000000001"/>
    <n v="283.12200000000001"/>
    <n v="283.12200000000001"/>
    <n v="0"/>
    <x v="0"/>
    <n v="0"/>
    <n v="0"/>
    <n v="28"/>
    <n v="74"/>
    <n v="0"/>
    <n v="1362.0224000000001"/>
    <n v="254.08199999999999"/>
    <m/>
    <n v="1435.5474479075656"/>
    <n v="351.82269927635298"/>
    <n v="0"/>
    <n v="385618.50593280006"/>
    <n v="71936.204003999999"/>
    <n v="0"/>
    <n v="406435.06454648578"/>
    <n v="99608.746264519606"/>
  </r>
  <r>
    <s v="Sistema Isolado - Regular"/>
    <x v="1"/>
    <x v="1"/>
    <x v="3"/>
    <x v="2"/>
    <x v="0"/>
    <x v="0"/>
    <x v="1"/>
    <x v="9"/>
    <n v="0"/>
    <n v="0"/>
    <n v="35.819000000000003"/>
    <n v="35.819000000000003"/>
    <n v="35.819000000000003"/>
    <n v="35.819000000000003"/>
    <n v="0"/>
    <x v="0"/>
    <n v="0"/>
    <n v="0"/>
    <n v="28"/>
    <n v="74"/>
    <n v="0"/>
    <n v="1362.0224000000001"/>
    <n v="254.08199999999999"/>
    <m/>
    <n v="1435.5474479075656"/>
    <n v="351.82269927635298"/>
    <n v="0"/>
    <n v="48786.280345600004"/>
    <n v="9100.9631580000005"/>
    <n v="0"/>
    <n v="51419.874036601097"/>
    <n v="12601.937265379689"/>
  </r>
  <r>
    <s v="Regular"/>
    <x v="1"/>
    <x v="1"/>
    <x v="3"/>
    <x v="2"/>
    <x v="0"/>
    <x v="0"/>
    <x v="1"/>
    <x v="10"/>
    <n v="0"/>
    <n v="0"/>
    <n v="260.20999999999998"/>
    <n v="260.20999999999998"/>
    <n v="260.20999999999998"/>
    <n v="260.20999999999998"/>
    <n v="0"/>
    <x v="0"/>
    <n v="0"/>
    <n v="0"/>
    <n v="28"/>
    <n v="74"/>
    <n v="0"/>
    <n v="1362.0224000000001"/>
    <n v="254.08199999999999"/>
    <m/>
    <n v="1435.5474479075656"/>
    <n v="351.82269927635298"/>
    <n v="0"/>
    <n v="354411.848704"/>
    <n v="66114.677219999998"/>
    <n v="0"/>
    <n v="373543.80142002762"/>
    <n v="91547.784578699808"/>
  </r>
  <r>
    <s v="Sistema Isolado - Regular"/>
    <x v="1"/>
    <x v="1"/>
    <x v="3"/>
    <x v="2"/>
    <x v="0"/>
    <x v="0"/>
    <x v="1"/>
    <x v="10"/>
    <n v="0"/>
    <n v="0"/>
    <n v="38.566000000000003"/>
    <n v="38.566000000000003"/>
    <n v="38.566000000000003"/>
    <n v="38.566000000000003"/>
    <n v="0"/>
    <x v="0"/>
    <n v="0"/>
    <n v="0"/>
    <n v="28"/>
    <n v="74"/>
    <n v="0"/>
    <n v="1362.0224000000001"/>
    <n v="254.08199999999999"/>
    <m/>
    <n v="1435.5474479075656"/>
    <n v="351.82269927635298"/>
    <n v="0"/>
    <n v="52527.755878400007"/>
    <n v="9798.9264120000007"/>
    <n v="0"/>
    <n v="55363.322876003178"/>
    <n v="13568.39422029183"/>
  </r>
  <r>
    <s v="PROJETADO"/>
    <x v="1"/>
    <x v="1"/>
    <x v="3"/>
    <x v="2"/>
    <x v="0"/>
    <x v="0"/>
    <x v="1"/>
    <x v="11"/>
    <n v="0"/>
    <n v="0"/>
    <n v="260.20999999999998"/>
    <n v="260.20999999999998"/>
    <n v="260.20999999999998"/>
    <n v="260.20999999999998"/>
    <n v="0"/>
    <x v="0"/>
    <n v="0"/>
    <n v="0"/>
    <n v="28"/>
    <n v="74"/>
    <n v="0"/>
    <n v="1362.0224000000001"/>
    <n v="254.08199999999999"/>
    <m/>
    <n v="1435.5474479075656"/>
    <n v="351.82269927635298"/>
    <n v="0"/>
    <n v="354411.848704"/>
    <n v="66114.677219999998"/>
    <n v="0"/>
    <n v="373543.80142002762"/>
    <n v="91547.784578699808"/>
  </r>
  <r>
    <s v="PROJETADO"/>
    <x v="1"/>
    <x v="1"/>
    <x v="3"/>
    <x v="2"/>
    <x v="0"/>
    <x v="0"/>
    <x v="1"/>
    <x v="11"/>
    <n v="0"/>
    <n v="0"/>
    <n v="38.566000000000003"/>
    <n v="38.566000000000003"/>
    <n v="38.566000000000003"/>
    <n v="38.566000000000003"/>
    <n v="0"/>
    <x v="0"/>
    <n v="0"/>
    <n v="0"/>
    <n v="28"/>
    <n v="74"/>
    <n v="0"/>
    <n v="1362.0224000000001"/>
    <n v="254.08199999999999"/>
    <m/>
    <n v="1435.5474479075656"/>
    <n v="351.82269927635298"/>
    <n v="0"/>
    <n v="52527.755878400007"/>
    <n v="9798.9264120000007"/>
    <n v="0"/>
    <n v="55363.322876003178"/>
    <n v="13568.39422029183"/>
  </r>
  <r>
    <s v="Regular"/>
    <x v="2"/>
    <x v="3"/>
    <x v="7"/>
    <x v="3"/>
    <x v="0"/>
    <x v="0"/>
    <x v="0"/>
    <x v="0"/>
    <n v="0"/>
    <n v="0"/>
    <n v="34.957000000000001"/>
    <n v="34.957000000000001"/>
    <n v="34.957000000000001"/>
    <n v="34.957000000000001"/>
    <n v="0"/>
    <x v="0"/>
    <n v="0"/>
    <n v="0"/>
    <n v="38"/>
    <n v="82"/>
    <n v="0"/>
    <n v="334.16"/>
    <n v="168.06"/>
    <m/>
    <n v="373.72180059767788"/>
    <n v="218.7322873480222"/>
    <n v="0"/>
    <n v="11681.23112"/>
    <n v="5874.8734199999999"/>
    <n v="0"/>
    <n v="13064.192983493025"/>
    <n v="7646.2245688248122"/>
  </r>
  <r>
    <s v="Sistema Isolado - Regular"/>
    <x v="2"/>
    <x v="3"/>
    <x v="7"/>
    <x v="3"/>
    <x v="0"/>
    <x v="0"/>
    <x v="0"/>
    <x v="0"/>
    <n v="0"/>
    <n v="0"/>
    <n v="0.77900000000000003"/>
    <n v="0.77900000000000003"/>
    <n v="0.77900000000000003"/>
    <n v="0.77900000000000003"/>
    <n v="0"/>
    <x v="0"/>
    <n v="0"/>
    <n v="0"/>
    <n v="38"/>
    <n v="82"/>
    <n v="0"/>
    <n v="334.16"/>
    <n v="168.06"/>
    <m/>
    <n v="373.72180059767788"/>
    <n v="218.7322873480222"/>
    <n v="0"/>
    <n v="260.31064000000003"/>
    <n v="130.91874000000001"/>
    <n v="0"/>
    <n v="291.12928266559106"/>
    <n v="170.3924518441093"/>
  </r>
  <r>
    <s v="Sistema de Compensação"/>
    <x v="2"/>
    <x v="3"/>
    <x v="7"/>
    <x v="3"/>
    <x v="0"/>
    <x v="0"/>
    <x v="0"/>
    <x v="0"/>
    <n v="0"/>
    <n v="0"/>
    <n v="1.605"/>
    <n v="1.605"/>
    <n v="1.605"/>
    <n v="1.605"/>
    <n v="0"/>
    <x v="0"/>
    <n v="0"/>
    <n v="0"/>
    <n v="38"/>
    <n v="82"/>
    <n v="0"/>
    <n v="334.16"/>
    <n v="168.06"/>
    <m/>
    <n v="373.72180059767788"/>
    <n v="218.7322873480222"/>
    <n v="0"/>
    <n v="536.32680000000005"/>
    <n v="269.73630000000003"/>
    <n v="0"/>
    <n v="599.82348995927305"/>
    <n v="351.06532119357564"/>
  </r>
  <r>
    <s v="Sistema de Compensação"/>
    <x v="2"/>
    <x v="3"/>
    <x v="7"/>
    <x v="3"/>
    <x v="0"/>
    <x v="0"/>
    <x v="0"/>
    <x v="0"/>
    <n v="0"/>
    <n v="0"/>
    <n v="-0.35899999999999999"/>
    <n v="-0.35899999999999999"/>
    <n v="-0.35899999999999999"/>
    <n v="-0.35899999999999999"/>
    <n v="0"/>
    <x v="0"/>
    <n v="0"/>
    <n v="0"/>
    <n v="38"/>
    <n v="82"/>
    <n v="0"/>
    <n v="334.16"/>
    <n v="168.06"/>
    <m/>
    <n v="373.72180059767788"/>
    <n v="218.7322873480222"/>
    <n v="0"/>
    <n v="-119.96344000000001"/>
    <n v="-60.333539999999999"/>
    <n v="0"/>
    <n v="-134.16612641456635"/>
    <n v="-78.524891157939962"/>
  </r>
  <r>
    <s v="Regular"/>
    <x v="2"/>
    <x v="3"/>
    <x v="7"/>
    <x v="3"/>
    <x v="0"/>
    <x v="0"/>
    <x v="0"/>
    <x v="1"/>
    <n v="0"/>
    <n v="0"/>
    <n v="34.67"/>
    <n v="34.67"/>
    <n v="34.67"/>
    <n v="34.67"/>
    <n v="0"/>
    <x v="0"/>
    <n v="0"/>
    <n v="0"/>
    <n v="38"/>
    <n v="82"/>
    <n v="0"/>
    <n v="334.16"/>
    <n v="168.06"/>
    <m/>
    <n v="373.72180059767788"/>
    <n v="218.7322873480222"/>
    <n v="0"/>
    <n v="11585.327200000002"/>
    <n v="5826.6402000000007"/>
    <n v="0"/>
    <n v="12956.934826721494"/>
    <n v="7583.4484023559298"/>
  </r>
  <r>
    <s v="Sistema Isolado - Regular"/>
    <x v="2"/>
    <x v="3"/>
    <x v="7"/>
    <x v="3"/>
    <x v="0"/>
    <x v="0"/>
    <x v="0"/>
    <x v="1"/>
    <n v="0"/>
    <n v="0"/>
    <n v="0.89900000000000002"/>
    <n v="0.89900000000000002"/>
    <n v="0.89900000000000002"/>
    <n v="0.89900000000000002"/>
    <n v="0"/>
    <x v="0"/>
    <n v="0"/>
    <n v="0"/>
    <n v="38"/>
    <n v="82"/>
    <n v="0"/>
    <n v="334.16"/>
    <n v="168.06"/>
    <m/>
    <n v="373.72180059767788"/>
    <n v="218.7322873480222"/>
    <n v="0"/>
    <n v="300.40984000000003"/>
    <n v="151.08593999999999"/>
    <n v="0"/>
    <n v="335.97589873731243"/>
    <n v="196.64032632587197"/>
  </r>
  <r>
    <s v="Sistema de Compensação"/>
    <x v="2"/>
    <x v="3"/>
    <x v="7"/>
    <x v="3"/>
    <x v="0"/>
    <x v="0"/>
    <x v="0"/>
    <x v="1"/>
    <n v="0"/>
    <n v="0"/>
    <n v="1.242"/>
    <n v="1.242"/>
    <n v="1.242"/>
    <n v="1.242"/>
    <n v="0"/>
    <x v="0"/>
    <n v="0"/>
    <n v="0"/>
    <n v="38"/>
    <n v="82"/>
    <n v="0"/>
    <n v="334.16"/>
    <n v="168.06"/>
    <m/>
    <n v="373.72180059767788"/>
    <n v="218.7322873480222"/>
    <n v="0"/>
    <n v="415.02672000000001"/>
    <n v="208.73052000000001"/>
    <n v="0"/>
    <n v="464.16247634231593"/>
    <n v="271.66550088624359"/>
  </r>
  <r>
    <s v="Regular"/>
    <x v="2"/>
    <x v="3"/>
    <x v="7"/>
    <x v="3"/>
    <x v="0"/>
    <x v="0"/>
    <x v="0"/>
    <x v="2"/>
    <n v="0"/>
    <n v="0"/>
    <n v="32.262"/>
    <n v="32.262"/>
    <n v="32.262"/>
    <n v="32.262"/>
    <n v="0"/>
    <x v="0"/>
    <n v="0"/>
    <n v="0"/>
    <n v="38"/>
    <n v="82"/>
    <n v="0"/>
    <n v="334.16"/>
    <n v="168.06"/>
    <m/>
    <n v="373.72180059767788"/>
    <n v="218.7322873480222"/>
    <n v="0"/>
    <n v="10780.66992"/>
    <n v="5421.95172"/>
    <n v="0"/>
    <n v="12057.012730882285"/>
    <n v="7056.7410544218919"/>
  </r>
  <r>
    <s v="Refaturamento - Regular"/>
    <x v="2"/>
    <x v="3"/>
    <x v="7"/>
    <x v="3"/>
    <x v="0"/>
    <x v="0"/>
    <x v="0"/>
    <x v="2"/>
    <n v="0"/>
    <n v="0"/>
    <n v="0.35399999999999998"/>
    <n v="0.35399999999999998"/>
    <n v="0.35399999999999998"/>
    <n v="0.35399999999999998"/>
    <n v="0"/>
    <x v="0"/>
    <n v="0"/>
    <n v="0"/>
    <n v="38"/>
    <n v="82"/>
    <n v="0"/>
    <n v="334.16"/>
    <n v="168.06"/>
    <m/>
    <n v="373.72180059767788"/>
    <n v="218.7322873480222"/>
    <n v="0"/>
    <n v="118.29264000000001"/>
    <n v="59.49324"/>
    <n v="0"/>
    <n v="132.29751741157796"/>
    <n v="77.431229721199855"/>
  </r>
  <r>
    <s v="Sistema Isolado - Regular"/>
    <x v="2"/>
    <x v="3"/>
    <x v="7"/>
    <x v="3"/>
    <x v="0"/>
    <x v="0"/>
    <x v="0"/>
    <x v="2"/>
    <n v="0"/>
    <n v="0"/>
    <n v="0.90300000000000002"/>
    <n v="0.90300000000000002"/>
    <n v="0.90300000000000002"/>
    <n v="0.90300000000000002"/>
    <n v="0"/>
    <x v="0"/>
    <n v="0"/>
    <n v="0"/>
    <n v="38"/>
    <n v="82"/>
    <n v="0"/>
    <n v="334.16"/>
    <n v="168.06"/>
    <m/>
    <n v="373.72180059767788"/>
    <n v="218.7322873480222"/>
    <n v="0"/>
    <n v="301.74648000000002"/>
    <n v="151.75818000000001"/>
    <n v="0"/>
    <n v="337.47078593970315"/>
    <n v="197.51525547526404"/>
  </r>
  <r>
    <s v="Sistema de Compensação"/>
    <x v="2"/>
    <x v="3"/>
    <x v="7"/>
    <x v="3"/>
    <x v="0"/>
    <x v="0"/>
    <x v="0"/>
    <x v="2"/>
    <n v="0"/>
    <n v="0"/>
    <n v="0.40500000000000003"/>
    <n v="0.40500000000000003"/>
    <n v="0.40500000000000003"/>
    <n v="0.40500000000000003"/>
    <n v="0"/>
    <x v="0"/>
    <n v="0"/>
    <n v="0"/>
    <n v="38"/>
    <n v="82"/>
    <n v="0"/>
    <n v="334.16"/>
    <n v="168.06"/>
    <m/>
    <n v="373.72180059767788"/>
    <n v="218.7322873480222"/>
    <n v="0"/>
    <n v="135.33480000000003"/>
    <n v="68.064300000000003"/>
    <n v="0"/>
    <n v="151.35732924205956"/>
    <n v="88.586576375948994"/>
  </r>
  <r>
    <s v="Sistema de Compensação"/>
    <x v="2"/>
    <x v="3"/>
    <x v="7"/>
    <x v="3"/>
    <x v="0"/>
    <x v="0"/>
    <x v="0"/>
    <x v="2"/>
    <n v="0"/>
    <n v="0"/>
    <n v="-0.32600000000000001"/>
    <n v="-0.32600000000000001"/>
    <n v="-0.32600000000000001"/>
    <n v="-0.32600000000000001"/>
    <n v="0"/>
    <x v="0"/>
    <n v="0"/>
    <n v="0"/>
    <n v="38"/>
    <n v="82"/>
    <n v="0"/>
    <n v="334.16"/>
    <n v="168.06"/>
    <m/>
    <n v="373.72180059767788"/>
    <n v="218.7322873480222"/>
    <n v="0"/>
    <n v="-108.93616000000002"/>
    <n v="-54.787560000000006"/>
    <n v="0"/>
    <n v="-121.833306994843"/>
    <n v="-71.30672567545524"/>
  </r>
  <r>
    <s v="Regular"/>
    <x v="2"/>
    <x v="3"/>
    <x v="7"/>
    <x v="3"/>
    <x v="0"/>
    <x v="0"/>
    <x v="0"/>
    <x v="3"/>
    <n v="0"/>
    <n v="0"/>
    <n v="33.404000000000003"/>
    <n v="33.404000000000003"/>
    <n v="33.404000000000003"/>
    <n v="33.404000000000003"/>
    <n v="0"/>
    <x v="0"/>
    <n v="0"/>
    <n v="0"/>
    <n v="38"/>
    <n v="82"/>
    <n v="0"/>
    <n v="334.16"/>
    <n v="168.06"/>
    <m/>
    <n v="373.72180059767788"/>
    <n v="218.7322873480222"/>
    <n v="0"/>
    <n v="11162.280640000003"/>
    <n v="5613.8762400000005"/>
    <n v="0"/>
    <n v="12483.803027164833"/>
    <n v="7306.5333265733343"/>
  </r>
  <r>
    <s v="Sistema Isolado - Regular"/>
    <x v="2"/>
    <x v="3"/>
    <x v="7"/>
    <x v="3"/>
    <x v="0"/>
    <x v="0"/>
    <x v="0"/>
    <x v="3"/>
    <n v="0"/>
    <n v="0"/>
    <n v="1.17"/>
    <n v="1.17"/>
    <n v="1.17"/>
    <n v="1.17"/>
    <n v="0"/>
    <x v="0"/>
    <n v="0"/>
    <n v="0"/>
    <n v="38"/>
    <n v="82"/>
    <n v="0"/>
    <n v="334.16"/>
    <n v="168.06"/>
    <m/>
    <n v="373.72180059767788"/>
    <n v="218.7322873480222"/>
    <n v="0"/>
    <n v="390.96719999999999"/>
    <n v="196.6302"/>
    <n v="0"/>
    <n v="437.25450669928307"/>
    <n v="255.91677619718595"/>
  </r>
  <r>
    <s v="Sistema de Compensação"/>
    <x v="2"/>
    <x v="3"/>
    <x v="7"/>
    <x v="3"/>
    <x v="0"/>
    <x v="0"/>
    <x v="0"/>
    <x v="3"/>
    <n v="0"/>
    <n v="0"/>
    <n v="0.188"/>
    <n v="0.188"/>
    <n v="0.188"/>
    <n v="0.188"/>
    <n v="0"/>
    <x v="0"/>
    <n v="0"/>
    <n v="0"/>
    <n v="38"/>
    <n v="82"/>
    <n v="0"/>
    <n v="334.16"/>
    <n v="168.06"/>
    <m/>
    <n v="373.72180059767788"/>
    <n v="218.7322873480222"/>
    <n v="0"/>
    <n v="62.822080000000007"/>
    <n v="31.595279999999999"/>
    <n v="0"/>
    <n v="70.259698512363443"/>
    <n v="41.121670021428173"/>
  </r>
  <r>
    <s v="Regular"/>
    <x v="2"/>
    <x v="3"/>
    <x v="7"/>
    <x v="3"/>
    <x v="0"/>
    <x v="0"/>
    <x v="0"/>
    <x v="4"/>
    <n v="0"/>
    <n v="0"/>
    <n v="34.1"/>
    <n v="34.1"/>
    <n v="34.1"/>
    <n v="34.1"/>
    <n v="0"/>
    <x v="0"/>
    <n v="0"/>
    <n v="0"/>
    <n v="38"/>
    <n v="82"/>
    <n v="0"/>
    <n v="334.16"/>
    <n v="168.06"/>
    <m/>
    <n v="373.72180059767788"/>
    <n v="218.7322873480222"/>
    <n v="0"/>
    <n v="11394.856000000002"/>
    <n v="5730.8460000000005"/>
    <n v="0"/>
    <n v="12743.913400380816"/>
    <n v="7458.7709985675574"/>
  </r>
  <r>
    <s v="Refaturamento - Regular"/>
    <x v="2"/>
    <x v="3"/>
    <x v="7"/>
    <x v="3"/>
    <x v="0"/>
    <x v="0"/>
    <x v="0"/>
    <x v="4"/>
    <n v="0"/>
    <n v="0"/>
    <n v="5.5E-2"/>
    <n v="5.5E-2"/>
    <n v="5.5E-2"/>
    <n v="5.5E-2"/>
    <n v="0"/>
    <x v="0"/>
    <n v="0"/>
    <n v="0"/>
    <n v="38"/>
    <n v="82"/>
    <n v="0"/>
    <n v="334.16"/>
    <n v="168.06"/>
    <m/>
    <n v="373.72180059767788"/>
    <n v="218.7322873480222"/>
    <n v="0"/>
    <n v="18.378800000000002"/>
    <n v="9.2432999999999996"/>
    <n v="0"/>
    <n v="20.554699032872282"/>
    <n v="12.030275804141221"/>
  </r>
  <r>
    <s v="Sistema Isolado - Regular"/>
    <x v="2"/>
    <x v="3"/>
    <x v="7"/>
    <x v="3"/>
    <x v="0"/>
    <x v="0"/>
    <x v="0"/>
    <x v="4"/>
    <n v="0"/>
    <n v="0"/>
    <n v="1.117"/>
    <n v="1.117"/>
    <n v="1.117"/>
    <n v="1.117"/>
    <n v="0"/>
    <x v="0"/>
    <n v="0"/>
    <n v="0"/>
    <n v="38"/>
    <n v="82"/>
    <n v="0"/>
    <n v="334.16"/>
    <n v="168.06"/>
    <m/>
    <n v="373.72180059767788"/>
    <n v="218.7322873480222"/>
    <n v="0"/>
    <n v="373.25672000000003"/>
    <n v="187.72301999999999"/>
    <n v="0"/>
    <n v="417.44725126760619"/>
    <n v="244.32396496774081"/>
  </r>
  <r>
    <s v="Sistema de Compensação"/>
    <x v="2"/>
    <x v="3"/>
    <x v="7"/>
    <x v="3"/>
    <x v="0"/>
    <x v="0"/>
    <x v="0"/>
    <x v="4"/>
    <n v="0"/>
    <n v="0"/>
    <n v="0.188"/>
    <n v="0.188"/>
    <n v="0.188"/>
    <n v="0.188"/>
    <n v="0"/>
    <x v="0"/>
    <n v="0"/>
    <n v="0"/>
    <n v="38"/>
    <n v="82"/>
    <n v="0"/>
    <n v="334.16"/>
    <n v="168.06"/>
    <m/>
    <n v="373.72180059767788"/>
    <n v="218.7322873480222"/>
    <n v="0"/>
    <n v="62.822080000000007"/>
    <n v="31.595279999999999"/>
    <n v="0"/>
    <n v="70.259698512363443"/>
    <n v="41.121670021428173"/>
  </r>
  <r>
    <s v="Regular"/>
    <x v="2"/>
    <x v="3"/>
    <x v="7"/>
    <x v="3"/>
    <x v="0"/>
    <x v="0"/>
    <x v="0"/>
    <x v="5"/>
    <n v="0"/>
    <n v="0"/>
    <n v="41.506999999999998"/>
    <n v="41.506999999999998"/>
    <n v="41.506999999999998"/>
    <n v="41.506999999999998"/>
    <n v="0"/>
    <x v="0"/>
    <n v="0"/>
    <n v="0"/>
    <n v="38"/>
    <n v="82"/>
    <n v="0"/>
    <n v="334.16"/>
    <n v="168.06"/>
    <m/>
    <n v="373.72180059767788"/>
    <n v="218.7322873480222"/>
    <n v="0"/>
    <n v="13869.97912"/>
    <n v="6975.6664199999996"/>
    <n v="0"/>
    <n v="15512.070777407815"/>
    <n v="9078.9210509543573"/>
  </r>
  <r>
    <s v="Sistema Isolado - Regular"/>
    <x v="2"/>
    <x v="3"/>
    <x v="7"/>
    <x v="3"/>
    <x v="0"/>
    <x v="0"/>
    <x v="0"/>
    <x v="5"/>
    <n v="0"/>
    <n v="0"/>
    <n v="1.042"/>
    <n v="1.042"/>
    <n v="1.042"/>
    <n v="1.042"/>
    <n v="0"/>
    <x v="0"/>
    <n v="0"/>
    <n v="0"/>
    <n v="38"/>
    <n v="82"/>
    <n v="0"/>
    <n v="334.16"/>
    <n v="168.06"/>
    <m/>
    <n v="373.72180059767788"/>
    <n v="218.7322873480222"/>
    <n v="0"/>
    <n v="348.19472000000002"/>
    <n v="175.11852000000002"/>
    <n v="0"/>
    <n v="389.41811622278038"/>
    <n v="227.91904341663914"/>
  </r>
  <r>
    <s v="Sistema de Compensação"/>
    <x v="2"/>
    <x v="3"/>
    <x v="7"/>
    <x v="3"/>
    <x v="0"/>
    <x v="0"/>
    <x v="0"/>
    <x v="5"/>
    <n v="0"/>
    <n v="0"/>
    <n v="0.316"/>
    <n v="0.316"/>
    <n v="0.316"/>
    <n v="0.316"/>
    <n v="0"/>
    <x v="0"/>
    <n v="0"/>
    <n v="0"/>
    <n v="38"/>
    <n v="82"/>
    <n v="0"/>
    <n v="334.16"/>
    <n v="168.06"/>
    <m/>
    <n v="373.72180059767788"/>
    <n v="218.7322873480222"/>
    <n v="0"/>
    <n v="105.59456000000002"/>
    <n v="53.106960000000001"/>
    <n v="0"/>
    <n v="118.09608898886621"/>
    <n v="69.119402801975014"/>
  </r>
  <r>
    <s v="Regular"/>
    <x v="2"/>
    <x v="3"/>
    <x v="7"/>
    <x v="3"/>
    <x v="0"/>
    <x v="0"/>
    <x v="0"/>
    <x v="6"/>
    <n v="0"/>
    <n v="0"/>
    <n v="36.055"/>
    <n v="36.055"/>
    <n v="36.055"/>
    <n v="36.055"/>
    <n v="0"/>
    <x v="0"/>
    <n v="0"/>
    <n v="0"/>
    <n v="38"/>
    <n v="82"/>
    <n v="0"/>
    <n v="334.16"/>
    <n v="168.06"/>
    <m/>
    <n v="373.72180059767788"/>
    <n v="218.7322873480222"/>
    <n v="0"/>
    <n v="12048.138800000001"/>
    <n v="6059.4032999999999"/>
    <n v="0"/>
    <n v="13474.539520549277"/>
    <n v="7886.3926203329402"/>
  </r>
  <r>
    <s v="Refaturamento - Regular"/>
    <x v="2"/>
    <x v="3"/>
    <x v="7"/>
    <x v="3"/>
    <x v="0"/>
    <x v="0"/>
    <x v="0"/>
    <x v="6"/>
    <n v="0"/>
    <n v="0"/>
    <n v="-7.0999999999999994E-2"/>
    <n v="-7.0999999999999994E-2"/>
    <n v="-7.0999999999999994E-2"/>
    <n v="-7.0999999999999994E-2"/>
    <n v="0"/>
    <x v="0"/>
    <n v="0"/>
    <n v="0"/>
    <n v="38"/>
    <n v="82"/>
    <n v="0"/>
    <n v="334.16"/>
    <n v="168.06"/>
    <m/>
    <n v="373.72180059767788"/>
    <n v="218.7322873480222"/>
    <n v="0"/>
    <n v="-23.725359999999998"/>
    <n v="-11.932259999999999"/>
    <n v="0"/>
    <n v="-26.534247842435128"/>
    <n v="-15.529992401709574"/>
  </r>
  <r>
    <s v="Sistema Isolado - Regular"/>
    <x v="2"/>
    <x v="3"/>
    <x v="7"/>
    <x v="3"/>
    <x v="0"/>
    <x v="0"/>
    <x v="0"/>
    <x v="6"/>
    <n v="0"/>
    <n v="0"/>
    <n v="0.94399999999999995"/>
    <n v="0.94399999999999995"/>
    <n v="0.94399999999999995"/>
    <n v="0.94399999999999995"/>
    <n v="0"/>
    <x v="0"/>
    <n v="0"/>
    <n v="0"/>
    <n v="38"/>
    <n v="82"/>
    <n v="0"/>
    <n v="334.16"/>
    <n v="168.06"/>
    <m/>
    <n v="373.72180059767788"/>
    <n v="218.7322873480222"/>
    <n v="0"/>
    <n v="315.44704000000002"/>
    <n v="158.64864"/>
    <n v="0"/>
    <n v="352.79337976420788"/>
    <n v="206.48327925653294"/>
  </r>
  <r>
    <s v="Regular"/>
    <x v="2"/>
    <x v="3"/>
    <x v="7"/>
    <x v="3"/>
    <x v="0"/>
    <x v="0"/>
    <x v="0"/>
    <x v="7"/>
    <n v="0"/>
    <n v="0"/>
    <n v="39.475000000000001"/>
    <n v="39.475000000000001"/>
    <n v="39.475000000000001"/>
    <n v="39.475000000000001"/>
    <n v="0"/>
    <x v="0"/>
    <n v="0"/>
    <n v="0"/>
    <n v="38"/>
    <n v="82"/>
    <n v="0"/>
    <n v="334.16"/>
    <n v="168.06"/>
    <m/>
    <n v="373.72180059767788"/>
    <n v="218.7322873480222"/>
    <n v="0"/>
    <n v="13190.966000000002"/>
    <n v="6634.1685000000007"/>
    <n v="0"/>
    <n v="14752.668078593335"/>
    <n v="8634.4570430631757"/>
  </r>
  <r>
    <s v="Sistema Isolado - Regular"/>
    <x v="2"/>
    <x v="3"/>
    <x v="7"/>
    <x v="3"/>
    <x v="0"/>
    <x v="0"/>
    <x v="0"/>
    <x v="7"/>
    <n v="0"/>
    <n v="0"/>
    <n v="1.0509999999999999"/>
    <n v="1.0509999999999999"/>
    <n v="1.0509999999999999"/>
    <n v="1.0509999999999999"/>
    <n v="0"/>
    <x v="0"/>
    <n v="0"/>
    <n v="0"/>
    <n v="38"/>
    <n v="82"/>
    <n v="0"/>
    <n v="334.16"/>
    <n v="168.06"/>
    <m/>
    <n v="373.72180059767788"/>
    <n v="218.7322873480222"/>
    <n v="0"/>
    <n v="351.20215999999999"/>
    <n v="176.63105999999999"/>
    <n v="0"/>
    <n v="392.78161242815941"/>
    <n v="229.88763400277131"/>
  </r>
  <r>
    <s v="Sistema de Compensação"/>
    <x v="2"/>
    <x v="3"/>
    <x v="7"/>
    <x v="3"/>
    <x v="0"/>
    <x v="0"/>
    <x v="0"/>
    <x v="7"/>
    <n v="0"/>
    <n v="0"/>
    <n v="0.63"/>
    <n v="0.63"/>
    <n v="0.63"/>
    <n v="0.63"/>
    <n v="0"/>
    <x v="0"/>
    <n v="0"/>
    <n v="0"/>
    <n v="38"/>
    <n v="82"/>
    <n v="0"/>
    <n v="334.16"/>
    <n v="168.06"/>
    <m/>
    <n v="373.72180059767788"/>
    <n v="218.7322873480222"/>
    <n v="0"/>
    <n v="210.52080000000001"/>
    <n v="105.87780000000001"/>
    <n v="0"/>
    <n v="235.44473437653707"/>
    <n v="137.80134102925399"/>
  </r>
  <r>
    <s v="Regular"/>
    <x v="2"/>
    <x v="3"/>
    <x v="7"/>
    <x v="3"/>
    <x v="0"/>
    <x v="0"/>
    <x v="0"/>
    <x v="8"/>
    <n v="0"/>
    <n v="0"/>
    <n v="45.003"/>
    <n v="45.003"/>
    <n v="45.003"/>
    <n v="45.003"/>
    <n v="0"/>
    <x v="0"/>
    <n v="0"/>
    <n v="0"/>
    <n v="38"/>
    <n v="82"/>
    <n v="0"/>
    <n v="334.16"/>
    <n v="168.06"/>
    <m/>
    <n v="373.72180059767788"/>
    <n v="218.7322873480222"/>
    <n v="0"/>
    <n v="15038.202480000002"/>
    <n v="7563.2041799999997"/>
    <n v="0"/>
    <n v="16818.602192297298"/>
    <n v="9843.6091275230428"/>
  </r>
  <r>
    <s v="Refaturamento - Regular"/>
    <x v="2"/>
    <x v="3"/>
    <x v="7"/>
    <x v="3"/>
    <x v="0"/>
    <x v="0"/>
    <x v="0"/>
    <x v="8"/>
    <n v="0"/>
    <n v="0"/>
    <n v="0.23599999999999999"/>
    <n v="0.23599999999999999"/>
    <n v="0.23599999999999999"/>
    <n v="0.23599999999999999"/>
    <n v="0"/>
    <x v="0"/>
    <n v="0"/>
    <n v="0"/>
    <n v="38"/>
    <n v="82"/>
    <n v="0"/>
    <n v="334.16"/>
    <n v="168.06"/>
    <m/>
    <n v="373.72180059767788"/>
    <n v="218.7322873480222"/>
    <n v="0"/>
    <n v="78.861760000000004"/>
    <n v="39.66216"/>
    <n v="0"/>
    <n v="88.198344941051971"/>
    <n v="51.620819814133235"/>
  </r>
  <r>
    <s v="Sistema Isolado - Regular"/>
    <x v="2"/>
    <x v="3"/>
    <x v="7"/>
    <x v="3"/>
    <x v="0"/>
    <x v="0"/>
    <x v="0"/>
    <x v="8"/>
    <n v="0"/>
    <n v="0"/>
    <n v="1.0660000000000001"/>
    <n v="1.0660000000000001"/>
    <n v="1.0660000000000001"/>
    <n v="1.0660000000000001"/>
    <n v="0"/>
    <x v="0"/>
    <n v="0"/>
    <n v="0"/>
    <n v="38"/>
    <n v="82"/>
    <n v="0"/>
    <n v="334.16"/>
    <n v="168.06"/>
    <m/>
    <n v="373.72180059767788"/>
    <n v="218.7322873480222"/>
    <n v="0"/>
    <n v="356.21456000000006"/>
    <n v="179.15196"/>
    <n v="0"/>
    <n v="398.38743943712467"/>
    <n v="233.16861831299167"/>
  </r>
  <r>
    <s v="Sistema de Compensação"/>
    <x v="2"/>
    <x v="3"/>
    <x v="7"/>
    <x v="3"/>
    <x v="0"/>
    <x v="0"/>
    <x v="0"/>
    <x v="8"/>
    <n v="0"/>
    <n v="0"/>
    <n v="0.183"/>
    <n v="0.183"/>
    <n v="0.183"/>
    <n v="0.183"/>
    <n v="0"/>
    <x v="0"/>
    <n v="0"/>
    <n v="0"/>
    <n v="38"/>
    <n v="82"/>
    <n v="0"/>
    <n v="334.16"/>
    <n v="168.06"/>
    <m/>
    <n v="373.72180059767788"/>
    <n v="218.7322873480222"/>
    <n v="0"/>
    <n v="61.15128"/>
    <n v="30.75498"/>
    <n v="0"/>
    <n v="68.39108950937505"/>
    <n v="40.02800858468806"/>
  </r>
  <r>
    <s v="Regular"/>
    <x v="2"/>
    <x v="3"/>
    <x v="7"/>
    <x v="3"/>
    <x v="0"/>
    <x v="0"/>
    <x v="0"/>
    <x v="9"/>
    <n v="0"/>
    <n v="0"/>
    <n v="43.962000000000003"/>
    <n v="43.962000000000003"/>
    <n v="43.962000000000003"/>
    <n v="43.962000000000003"/>
    <n v="0"/>
    <x v="0"/>
    <n v="0"/>
    <n v="0"/>
    <n v="38"/>
    <n v="82"/>
    <n v="0"/>
    <n v="334.16"/>
    <n v="168.06"/>
    <m/>
    <n v="373.72180059767788"/>
    <n v="218.7322873480222"/>
    <n v="0"/>
    <n v="14690.341920000003"/>
    <n v="7388.2537200000006"/>
    <n v="0"/>
    <n v="16429.557797875117"/>
    <n v="9615.9088163937522"/>
  </r>
  <r>
    <s v="Refaturamento - Regular"/>
    <x v="2"/>
    <x v="3"/>
    <x v="7"/>
    <x v="3"/>
    <x v="0"/>
    <x v="0"/>
    <x v="0"/>
    <x v="9"/>
    <n v="0"/>
    <n v="0"/>
    <n v="-1.2999999999999999E-2"/>
    <n v="-1.2999999999999999E-2"/>
    <n v="-1.2999999999999999E-2"/>
    <n v="-1.2999999999999999E-2"/>
    <n v="0"/>
    <x v="0"/>
    <n v="0"/>
    <n v="0"/>
    <n v="38"/>
    <n v="82"/>
    <n v="0"/>
    <n v="334.16"/>
    <n v="168.06"/>
    <m/>
    <n v="373.72180059767788"/>
    <n v="218.7322873480222"/>
    <n v="0"/>
    <n v="-4.3440799999999999"/>
    <n v="-2.1847799999999999"/>
    <n v="0"/>
    <n v="-4.8583834077698125"/>
    <n v="-2.8435197355242883"/>
  </r>
  <r>
    <s v="Sistema Isolado - Regular"/>
    <x v="2"/>
    <x v="3"/>
    <x v="7"/>
    <x v="3"/>
    <x v="0"/>
    <x v="0"/>
    <x v="0"/>
    <x v="9"/>
    <n v="0"/>
    <n v="0"/>
    <n v="0.92800000000000005"/>
    <n v="0.92800000000000005"/>
    <n v="0.92800000000000005"/>
    <n v="0.92800000000000005"/>
    <n v="0"/>
    <x v="0"/>
    <n v="0"/>
    <n v="0"/>
    <n v="38"/>
    <n v="82"/>
    <n v="0"/>
    <n v="334.16"/>
    <n v="168.06"/>
    <m/>
    <n v="373.72180059767788"/>
    <n v="218.7322873480222"/>
    <n v="0"/>
    <n v="310.10048000000006"/>
    <n v="155.95968000000002"/>
    <n v="0"/>
    <n v="346.81383095464508"/>
    <n v="202.98356265896462"/>
  </r>
  <r>
    <s v="Sistema de Compensação"/>
    <x v="2"/>
    <x v="3"/>
    <x v="7"/>
    <x v="3"/>
    <x v="0"/>
    <x v="0"/>
    <x v="0"/>
    <x v="9"/>
    <n v="0"/>
    <n v="0"/>
    <n v="0.183"/>
    <n v="0.183"/>
    <n v="0.183"/>
    <n v="0.183"/>
    <n v="0"/>
    <x v="0"/>
    <n v="0"/>
    <n v="0"/>
    <n v="38"/>
    <n v="82"/>
    <n v="0"/>
    <n v="334.16"/>
    <n v="168.06"/>
    <m/>
    <n v="373.72180059767788"/>
    <n v="218.7322873480222"/>
    <n v="0"/>
    <n v="61.15128"/>
    <n v="30.75498"/>
    <n v="0"/>
    <n v="68.39108950937505"/>
    <n v="40.02800858468806"/>
  </r>
  <r>
    <s v="Regular"/>
    <x v="2"/>
    <x v="3"/>
    <x v="7"/>
    <x v="3"/>
    <x v="0"/>
    <x v="0"/>
    <x v="0"/>
    <x v="10"/>
    <n v="0"/>
    <n v="0"/>
    <n v="48.735999999999997"/>
    <n v="48.735999999999997"/>
    <n v="48.735999999999997"/>
    <n v="48.735999999999997"/>
    <n v="0"/>
    <x v="0"/>
    <n v="0"/>
    <n v="0"/>
    <n v="38"/>
    <n v="82"/>
    <n v="0"/>
    <n v="334.16"/>
    <n v="168.06"/>
    <m/>
    <n v="373.72180059767788"/>
    <n v="218.7322873480222"/>
    <n v="0"/>
    <n v="16285.62176"/>
    <n v="8190.5721599999997"/>
    <n v="0"/>
    <n v="18213.705673928427"/>
    <n v="10660.136756193209"/>
  </r>
  <r>
    <s v="Sistema Isolado - Regular"/>
    <x v="2"/>
    <x v="3"/>
    <x v="7"/>
    <x v="3"/>
    <x v="0"/>
    <x v="0"/>
    <x v="0"/>
    <x v="10"/>
    <n v="0"/>
    <n v="0"/>
    <n v="1.05"/>
    <n v="1.05"/>
    <n v="1.05"/>
    <n v="1.05"/>
    <n v="0"/>
    <x v="0"/>
    <n v="0"/>
    <n v="0"/>
    <n v="38"/>
    <n v="82"/>
    <n v="0"/>
    <n v="334.16"/>
    <n v="168.06"/>
    <m/>
    <n v="373.72180059767788"/>
    <n v="218.7322873480222"/>
    <n v="0"/>
    <n v="350.86800000000005"/>
    <n v="176.46300000000002"/>
    <n v="0"/>
    <n v="392.40789062756181"/>
    <n v="229.66890171542332"/>
  </r>
  <r>
    <s v="Sistema de Compensação"/>
    <x v="2"/>
    <x v="3"/>
    <x v="7"/>
    <x v="3"/>
    <x v="0"/>
    <x v="0"/>
    <x v="0"/>
    <x v="10"/>
    <n v="0"/>
    <n v="0"/>
    <n v="0.44"/>
    <n v="0.44"/>
    <n v="0.44"/>
    <n v="0.44"/>
    <n v="0"/>
    <x v="0"/>
    <n v="0"/>
    <n v="0"/>
    <n v="38"/>
    <n v="82"/>
    <n v="0"/>
    <n v="334.16"/>
    <n v="168.06"/>
    <m/>
    <n v="373.72180059767788"/>
    <n v="218.7322873480222"/>
    <n v="0"/>
    <n v="147.03040000000001"/>
    <n v="73.946399999999997"/>
    <n v="0"/>
    <n v="164.43759226297826"/>
    <n v="96.242206433129766"/>
  </r>
  <r>
    <s v="Sistema de Compensação"/>
    <x v="2"/>
    <x v="3"/>
    <x v="7"/>
    <x v="3"/>
    <x v="0"/>
    <x v="0"/>
    <x v="0"/>
    <x v="10"/>
    <n v="0"/>
    <n v="0"/>
    <n v="-0.183"/>
    <n v="-0.183"/>
    <n v="-0.183"/>
    <n v="-0.183"/>
    <n v="0"/>
    <x v="0"/>
    <n v="0"/>
    <n v="0"/>
    <n v="38"/>
    <n v="82"/>
    <n v="0"/>
    <n v="334.16"/>
    <n v="168.06"/>
    <m/>
    <n v="373.72180059767788"/>
    <n v="218.7322873480222"/>
    <n v="0"/>
    <n v="-61.15128"/>
    <n v="-30.75498"/>
    <n v="0"/>
    <n v="-68.39108950937505"/>
    <n v="-40.02800858468806"/>
  </r>
  <r>
    <s v="PROJETADO"/>
    <x v="2"/>
    <x v="3"/>
    <x v="7"/>
    <x v="3"/>
    <x v="0"/>
    <x v="0"/>
    <x v="0"/>
    <x v="11"/>
    <n v="0"/>
    <n v="0"/>
    <n v="48.735999999999997"/>
    <n v="48.735999999999997"/>
    <n v="48.735999999999997"/>
    <n v="48.735999999999997"/>
    <n v="0"/>
    <x v="0"/>
    <n v="0"/>
    <n v="0"/>
    <n v="38"/>
    <n v="82"/>
    <n v="0"/>
    <n v="334.16"/>
    <n v="168.06"/>
    <m/>
    <n v="373.72180059767788"/>
    <n v="218.7322873480222"/>
    <n v="0"/>
    <n v="16285.62176"/>
    <n v="8190.5721599999997"/>
    <n v="0"/>
    <n v="18213.705673928427"/>
    <n v="10660.136756193209"/>
  </r>
  <r>
    <s v="PROJETADO"/>
    <x v="2"/>
    <x v="3"/>
    <x v="7"/>
    <x v="3"/>
    <x v="0"/>
    <x v="0"/>
    <x v="0"/>
    <x v="11"/>
    <n v="0"/>
    <n v="0"/>
    <n v="1.05"/>
    <n v="1.05"/>
    <n v="1.05"/>
    <n v="1.05"/>
    <n v="0"/>
    <x v="0"/>
    <n v="0"/>
    <n v="0"/>
    <n v="38"/>
    <n v="82"/>
    <n v="0"/>
    <n v="334.16"/>
    <n v="168.06"/>
    <m/>
    <n v="373.72180059767788"/>
    <n v="218.7322873480222"/>
    <n v="0"/>
    <n v="350.86800000000005"/>
    <n v="176.46300000000002"/>
    <n v="0"/>
    <n v="392.40789062756181"/>
    <n v="229.66890171542332"/>
  </r>
  <r>
    <s v="PROJETADO"/>
    <x v="2"/>
    <x v="3"/>
    <x v="7"/>
    <x v="3"/>
    <x v="0"/>
    <x v="0"/>
    <x v="0"/>
    <x v="11"/>
    <n v="0"/>
    <n v="0"/>
    <n v="0.44"/>
    <n v="0.44"/>
    <n v="0.44"/>
    <n v="0.44"/>
    <n v="0"/>
    <x v="0"/>
    <n v="0"/>
    <n v="0"/>
    <n v="38"/>
    <n v="82"/>
    <n v="0"/>
    <n v="334.16"/>
    <n v="168.06"/>
    <m/>
    <n v="373.72180059767788"/>
    <n v="218.7322873480222"/>
    <n v="0"/>
    <n v="147.03040000000001"/>
    <n v="73.946399999999997"/>
    <n v="0"/>
    <n v="164.43759226297826"/>
    <n v="96.242206433129766"/>
  </r>
  <r>
    <s v="PROJETADO"/>
    <x v="2"/>
    <x v="3"/>
    <x v="7"/>
    <x v="3"/>
    <x v="0"/>
    <x v="0"/>
    <x v="0"/>
    <x v="11"/>
    <n v="0"/>
    <n v="0"/>
    <n v="-0.183"/>
    <n v="-0.183"/>
    <n v="-0.183"/>
    <n v="-0.183"/>
    <n v="0"/>
    <x v="0"/>
    <n v="0"/>
    <n v="0"/>
    <n v="38"/>
    <n v="82"/>
    <n v="0"/>
    <n v="334.16"/>
    <n v="168.06"/>
    <m/>
    <n v="373.72180059767788"/>
    <n v="218.7322873480222"/>
    <n v="0"/>
    <n v="-61.15128"/>
    <n v="-30.75498"/>
    <n v="0"/>
    <n v="-68.39108950937505"/>
    <n v="-40.02800858468806"/>
  </r>
  <r>
    <s v="Regular"/>
    <x v="2"/>
    <x v="3"/>
    <x v="7"/>
    <x v="3"/>
    <x v="0"/>
    <x v="0"/>
    <x v="3"/>
    <x v="0"/>
    <n v="0"/>
    <n v="0"/>
    <n v="1.1459999999999999"/>
    <n v="1.1459999999999999"/>
    <n v="1.1459999999999999"/>
    <n v="1.1459999999999999"/>
    <n v="0"/>
    <x v="0"/>
    <n v="0"/>
    <n v="0"/>
    <n v="37"/>
    <n v="81"/>
    <n v="0"/>
    <n v="774.97"/>
    <n v="168.06"/>
    <m/>
    <n v="811.18304434703043"/>
    <n v="218.7322873480222"/>
    <n v="0"/>
    <n v="888.11561999999992"/>
    <n v="192.59675999999999"/>
    <n v="0"/>
    <n v="929.61576882169675"/>
    <n v="250.66720130083343"/>
  </r>
  <r>
    <s v="Sistema Isolado - Regular"/>
    <x v="2"/>
    <x v="3"/>
    <x v="7"/>
    <x v="3"/>
    <x v="0"/>
    <x v="0"/>
    <x v="3"/>
    <x v="0"/>
    <n v="0"/>
    <n v="0"/>
    <n v="8.7999999999999995E-2"/>
    <n v="8.7999999999999995E-2"/>
    <n v="8.7999999999999995E-2"/>
    <n v="8.7999999999999995E-2"/>
    <n v="0"/>
    <x v="0"/>
    <n v="0"/>
    <n v="0"/>
    <n v="37"/>
    <n v="81"/>
    <n v="0"/>
    <n v="774.97"/>
    <n v="168.06"/>
    <m/>
    <n v="811.18304434703043"/>
    <n v="218.7322873480222"/>
    <n v="0"/>
    <n v="68.197360000000003"/>
    <n v="14.78928"/>
    <n v="0"/>
    <n v="71.384107902538673"/>
    <n v="19.248441286625951"/>
  </r>
  <r>
    <s v="Sistema de Compensação"/>
    <x v="2"/>
    <x v="3"/>
    <x v="7"/>
    <x v="3"/>
    <x v="0"/>
    <x v="0"/>
    <x v="3"/>
    <x v="0"/>
    <n v="0"/>
    <n v="0"/>
    <n v="5.8000000000000003E-2"/>
    <n v="5.8000000000000003E-2"/>
    <n v="5.8000000000000003E-2"/>
    <n v="5.8000000000000003E-2"/>
    <n v="0"/>
    <x v="0"/>
    <n v="0"/>
    <n v="0"/>
    <n v="37"/>
    <n v="81"/>
    <n v="0"/>
    <n v="774.97"/>
    <n v="168.06"/>
    <m/>
    <n v="811.18304434703043"/>
    <n v="218.7322873480222"/>
    <n v="0"/>
    <n v="44.948260000000005"/>
    <n v="9.7474800000000013"/>
    <n v="0"/>
    <n v="47.04861657212777"/>
    <n v="12.686472666185288"/>
  </r>
  <r>
    <s v="Sistema de Compensação"/>
    <x v="2"/>
    <x v="3"/>
    <x v="7"/>
    <x v="3"/>
    <x v="0"/>
    <x v="0"/>
    <x v="3"/>
    <x v="0"/>
    <n v="0"/>
    <n v="0"/>
    <n v="-2.5000000000000001E-2"/>
    <n v="-2.5000000000000001E-2"/>
    <n v="-2.5000000000000001E-2"/>
    <n v="-2.5000000000000001E-2"/>
    <n v="0"/>
    <x v="0"/>
    <n v="0"/>
    <n v="0"/>
    <n v="37"/>
    <n v="81"/>
    <n v="0"/>
    <n v="774.97"/>
    <n v="168.06"/>
    <m/>
    <n v="811.18304434703043"/>
    <n v="218.7322873480222"/>
    <n v="0"/>
    <n v="-19.374250000000004"/>
    <n v="-4.2015000000000002"/>
    <n v="0"/>
    <n v="-20.279576108675762"/>
    <n v="-5.4683071837005555"/>
  </r>
  <r>
    <s v="Regular"/>
    <x v="2"/>
    <x v="3"/>
    <x v="7"/>
    <x v="3"/>
    <x v="0"/>
    <x v="0"/>
    <x v="3"/>
    <x v="1"/>
    <n v="0"/>
    <n v="0"/>
    <n v="0.71799999999999997"/>
    <n v="0.71799999999999997"/>
    <n v="0.71799999999999997"/>
    <n v="0.71799999999999997"/>
    <n v="0"/>
    <x v="0"/>
    <n v="0"/>
    <n v="0"/>
    <n v="37"/>
    <n v="81"/>
    <n v="0"/>
    <n v="774.97"/>
    <n v="168.06"/>
    <m/>
    <n v="811.18304434703043"/>
    <n v="218.7322873480222"/>
    <n v="0"/>
    <n v="556.42845999999997"/>
    <n v="120.66708"/>
    <n v="0"/>
    <n v="582.42942584116781"/>
    <n v="157.04978231587992"/>
  </r>
  <r>
    <s v="Sistema Isolado - Regular"/>
    <x v="2"/>
    <x v="3"/>
    <x v="7"/>
    <x v="3"/>
    <x v="0"/>
    <x v="0"/>
    <x v="3"/>
    <x v="1"/>
    <n v="0"/>
    <n v="0"/>
    <n v="4.7E-2"/>
    <n v="4.7E-2"/>
    <n v="4.7E-2"/>
    <n v="4.7E-2"/>
    <n v="0"/>
    <x v="0"/>
    <n v="0"/>
    <n v="0"/>
    <n v="37"/>
    <n v="81"/>
    <n v="0"/>
    <n v="774.97"/>
    <n v="168.06"/>
    <m/>
    <n v="811.18304434703043"/>
    <n v="218.7322873480222"/>
    <n v="0"/>
    <n v="36.423590000000004"/>
    <n v="7.8988199999999997"/>
    <n v="0"/>
    <n v="38.125603084310427"/>
    <n v="10.280417505357043"/>
  </r>
  <r>
    <s v="Sistema de Compensação"/>
    <x v="2"/>
    <x v="3"/>
    <x v="7"/>
    <x v="3"/>
    <x v="0"/>
    <x v="0"/>
    <x v="3"/>
    <x v="1"/>
    <n v="0"/>
    <n v="0"/>
    <n v="9.5000000000000001E-2"/>
    <n v="9.5000000000000001E-2"/>
    <n v="9.5000000000000001E-2"/>
    <n v="9.5000000000000001E-2"/>
    <n v="0"/>
    <x v="0"/>
    <n v="0"/>
    <n v="0"/>
    <n v="37"/>
    <n v="81"/>
    <n v="0"/>
    <n v="774.97"/>
    <n v="168.06"/>
    <m/>
    <n v="811.18304434703043"/>
    <n v="218.7322873480222"/>
    <n v="0"/>
    <n v="73.622150000000005"/>
    <n v="15.9657"/>
    <n v="0"/>
    <n v="77.062389212967886"/>
    <n v="20.779567298062108"/>
  </r>
  <r>
    <s v="Regular"/>
    <x v="2"/>
    <x v="3"/>
    <x v="7"/>
    <x v="3"/>
    <x v="0"/>
    <x v="0"/>
    <x v="3"/>
    <x v="2"/>
    <n v="0"/>
    <n v="0"/>
    <n v="0.71"/>
    <n v="0.71"/>
    <n v="0.71"/>
    <n v="0.71"/>
    <n v="0"/>
    <x v="0"/>
    <n v="0"/>
    <n v="0"/>
    <n v="37"/>
    <n v="81"/>
    <n v="0"/>
    <n v="774.97"/>
    <n v="168.06"/>
    <m/>
    <n v="811.18304434703043"/>
    <n v="218.7322873480222"/>
    <n v="0"/>
    <n v="550.2287"/>
    <n v="119.32259999999999"/>
    <n v="0"/>
    <n v="575.93996148639155"/>
    <n v="155.29992401709575"/>
  </r>
  <r>
    <s v="Refaturamento - Regular"/>
    <x v="2"/>
    <x v="3"/>
    <x v="7"/>
    <x v="3"/>
    <x v="0"/>
    <x v="0"/>
    <x v="3"/>
    <x v="2"/>
    <n v="0"/>
    <n v="0"/>
    <n v="2.1000000000000001E-2"/>
    <n v="2.1000000000000001E-2"/>
    <n v="2.1000000000000001E-2"/>
    <n v="2.1000000000000001E-2"/>
    <n v="0"/>
    <x v="0"/>
    <n v="0"/>
    <n v="0"/>
    <n v="37"/>
    <n v="81"/>
    <n v="0"/>
    <n v="774.97"/>
    <n v="168.06"/>
    <m/>
    <n v="811.18304434703043"/>
    <n v="218.7322873480222"/>
    <n v="0"/>
    <n v="16.274370000000001"/>
    <n v="3.5292600000000003"/>
    <n v="0"/>
    <n v="17.034843931287639"/>
    <n v="4.5933780343084667"/>
  </r>
  <r>
    <s v="Sistema Isolado - Regular"/>
    <x v="2"/>
    <x v="3"/>
    <x v="7"/>
    <x v="3"/>
    <x v="0"/>
    <x v="0"/>
    <x v="3"/>
    <x v="2"/>
    <n v="0"/>
    <n v="0"/>
    <n v="4.8000000000000001E-2"/>
    <n v="4.8000000000000001E-2"/>
    <n v="4.8000000000000001E-2"/>
    <n v="4.8000000000000001E-2"/>
    <n v="0"/>
    <x v="0"/>
    <n v="0"/>
    <n v="0"/>
    <n v="37"/>
    <n v="81"/>
    <n v="0"/>
    <n v="774.97"/>
    <n v="168.06"/>
    <m/>
    <n v="811.18304434703043"/>
    <n v="218.7322873480222"/>
    <n v="0"/>
    <n v="37.198560000000001"/>
    <n v="8.0668800000000012"/>
    <n v="0"/>
    <n v="38.936786128657459"/>
    <n v="10.499149792705065"/>
  </r>
  <r>
    <s v="Sistema de Compensação"/>
    <x v="2"/>
    <x v="3"/>
    <x v="7"/>
    <x v="3"/>
    <x v="0"/>
    <x v="0"/>
    <x v="3"/>
    <x v="2"/>
    <n v="0"/>
    <n v="0"/>
    <n v="-2.5000000000000001E-2"/>
    <n v="-2.5000000000000001E-2"/>
    <n v="-2.5000000000000001E-2"/>
    <n v="-2.5000000000000001E-2"/>
    <n v="0"/>
    <x v="0"/>
    <n v="0"/>
    <n v="0"/>
    <n v="37"/>
    <n v="81"/>
    <n v="0"/>
    <n v="774.97"/>
    <n v="168.06"/>
    <m/>
    <n v="811.18304434703043"/>
    <n v="218.7322873480222"/>
    <n v="0"/>
    <n v="-19.374250000000004"/>
    <n v="-4.2015000000000002"/>
    <n v="0"/>
    <n v="-20.279576108675762"/>
    <n v="-5.4683071837005555"/>
  </r>
  <r>
    <s v="Regular"/>
    <x v="2"/>
    <x v="3"/>
    <x v="7"/>
    <x v="3"/>
    <x v="0"/>
    <x v="0"/>
    <x v="3"/>
    <x v="3"/>
    <n v="0"/>
    <n v="0"/>
    <n v="2.0089999999999999"/>
    <n v="2.0089999999999999"/>
    <n v="2.0089999999999999"/>
    <n v="2.0089999999999999"/>
    <n v="0"/>
    <x v="0"/>
    <n v="0"/>
    <n v="0"/>
    <n v="37"/>
    <n v="81"/>
    <n v="0"/>
    <n v="774.97"/>
    <n v="168.06"/>
    <m/>
    <n v="811.18304434703043"/>
    <n v="218.7322873480222"/>
    <n v="0"/>
    <n v="1556.91473"/>
    <n v="337.63254000000001"/>
    <n v="0"/>
    <n v="1629.666736093184"/>
    <n v="439.43316528217656"/>
  </r>
  <r>
    <s v="Sistema Isolado - Regular"/>
    <x v="2"/>
    <x v="3"/>
    <x v="7"/>
    <x v="3"/>
    <x v="0"/>
    <x v="0"/>
    <x v="3"/>
    <x v="3"/>
    <n v="0"/>
    <n v="0"/>
    <n v="5.8999999999999997E-2"/>
    <n v="5.8999999999999997E-2"/>
    <n v="5.8999999999999997E-2"/>
    <n v="5.8999999999999997E-2"/>
    <n v="0"/>
    <x v="0"/>
    <n v="0"/>
    <n v="0"/>
    <n v="37"/>
    <n v="81"/>
    <n v="0"/>
    <n v="774.97"/>
    <n v="168.06"/>
    <m/>
    <n v="811.18304434703043"/>
    <n v="218.7322873480222"/>
    <n v="0"/>
    <n v="45.723230000000001"/>
    <n v="9.91554"/>
    <n v="0"/>
    <n v="47.859799616474795"/>
    <n v="12.905204953533309"/>
  </r>
  <r>
    <s v="Sistema de Compensação"/>
    <x v="2"/>
    <x v="3"/>
    <x v="7"/>
    <x v="3"/>
    <x v="0"/>
    <x v="0"/>
    <x v="3"/>
    <x v="3"/>
    <n v="0"/>
    <n v="0"/>
    <n v="1.0999999999999999E-2"/>
    <n v="1.0999999999999999E-2"/>
    <n v="1.0999999999999999E-2"/>
    <n v="1.0999999999999999E-2"/>
    <n v="0"/>
    <x v="0"/>
    <n v="0"/>
    <n v="0"/>
    <n v="37"/>
    <n v="81"/>
    <n v="0"/>
    <n v="774.97"/>
    <n v="168.06"/>
    <m/>
    <n v="811.18304434703043"/>
    <n v="218.7322873480222"/>
    <n v="0"/>
    <n v="8.5246700000000004"/>
    <n v="1.84866"/>
    <n v="0"/>
    <n v="8.9230134878173342"/>
    <n v="2.4060551608282439"/>
  </r>
  <r>
    <s v="Regular"/>
    <x v="2"/>
    <x v="3"/>
    <x v="7"/>
    <x v="3"/>
    <x v="0"/>
    <x v="0"/>
    <x v="3"/>
    <x v="4"/>
    <n v="0"/>
    <n v="0"/>
    <n v="1.0509999999999999"/>
    <n v="1.0509999999999999"/>
    <n v="1.0509999999999999"/>
    <n v="1.0509999999999999"/>
    <n v="0"/>
    <x v="0"/>
    <n v="0"/>
    <n v="0"/>
    <n v="37"/>
    <n v="81"/>
    <n v="0"/>
    <n v="774.97"/>
    <n v="168.06"/>
    <m/>
    <n v="811.18304434703043"/>
    <n v="218.7322873480222"/>
    <n v="0"/>
    <n v="814.49347"/>
    <n v="176.63105999999999"/>
    <n v="0"/>
    <n v="852.55337960872896"/>
    <n v="229.88763400277131"/>
  </r>
  <r>
    <s v="Sistema Isolado - Regular"/>
    <x v="2"/>
    <x v="3"/>
    <x v="7"/>
    <x v="3"/>
    <x v="0"/>
    <x v="0"/>
    <x v="3"/>
    <x v="4"/>
    <n v="0"/>
    <n v="0"/>
    <n v="3.1E-2"/>
    <n v="3.1E-2"/>
    <n v="3.1E-2"/>
    <n v="3.1E-2"/>
    <n v="0"/>
    <x v="0"/>
    <n v="0"/>
    <n v="0"/>
    <n v="37"/>
    <n v="81"/>
    <n v="0"/>
    <n v="774.97"/>
    <n v="168.06"/>
    <m/>
    <n v="811.18304434703043"/>
    <n v="218.7322873480222"/>
    <n v="0"/>
    <n v="24.024070000000002"/>
    <n v="5.2098599999999999"/>
    <n v="0"/>
    <n v="25.146674374757943"/>
    <n v="6.7807009077886882"/>
  </r>
  <r>
    <s v="Sistema de Compensação"/>
    <x v="2"/>
    <x v="3"/>
    <x v="7"/>
    <x v="3"/>
    <x v="0"/>
    <x v="0"/>
    <x v="3"/>
    <x v="4"/>
    <n v="0"/>
    <n v="0"/>
    <n v="1.0999999999999999E-2"/>
    <n v="1.0999999999999999E-2"/>
    <n v="1.0999999999999999E-2"/>
    <n v="1.0999999999999999E-2"/>
    <n v="0"/>
    <x v="0"/>
    <n v="0"/>
    <n v="0"/>
    <n v="37"/>
    <n v="81"/>
    <n v="0"/>
    <n v="774.97"/>
    <n v="168.06"/>
    <m/>
    <n v="811.18304434703043"/>
    <n v="218.7322873480222"/>
    <n v="0"/>
    <n v="8.5246700000000004"/>
    <n v="1.84866"/>
    <n v="0"/>
    <n v="8.9230134878173342"/>
    <n v="2.4060551608282439"/>
  </r>
  <r>
    <s v="Regular"/>
    <x v="2"/>
    <x v="3"/>
    <x v="7"/>
    <x v="3"/>
    <x v="0"/>
    <x v="0"/>
    <x v="3"/>
    <x v="5"/>
    <n v="0"/>
    <n v="0"/>
    <n v="1.29"/>
    <n v="1.29"/>
    <n v="1.29"/>
    <n v="1.29"/>
    <n v="0"/>
    <x v="0"/>
    <n v="0"/>
    <n v="0"/>
    <n v="37"/>
    <n v="81"/>
    <n v="0"/>
    <n v="774.97"/>
    <n v="168.06"/>
    <m/>
    <n v="811.18304434703043"/>
    <n v="218.7322873480222"/>
    <n v="0"/>
    <n v="999.71130000000005"/>
    <n v="216.79740000000001"/>
    <n v="0"/>
    <n v="1046.4261272076692"/>
    <n v="282.16465067894865"/>
  </r>
  <r>
    <s v="Sistema Isolado - Regular"/>
    <x v="2"/>
    <x v="3"/>
    <x v="7"/>
    <x v="3"/>
    <x v="0"/>
    <x v="0"/>
    <x v="3"/>
    <x v="5"/>
    <n v="0"/>
    <n v="0"/>
    <n v="2.5999999999999999E-2"/>
    <n v="2.5999999999999999E-2"/>
    <n v="2.5999999999999999E-2"/>
    <n v="2.5999999999999999E-2"/>
    <n v="0"/>
    <x v="0"/>
    <n v="0"/>
    <n v="0"/>
    <n v="37"/>
    <n v="81"/>
    <n v="0"/>
    <n v="774.97"/>
    <n v="168.06"/>
    <m/>
    <n v="811.18304434703043"/>
    <n v="218.7322873480222"/>
    <n v="0"/>
    <n v="20.14922"/>
    <n v="4.3695599999999999"/>
    <n v="0"/>
    <n v="21.090759153022791"/>
    <n v="5.6870394710485765"/>
  </r>
  <r>
    <s v="Regular"/>
    <x v="2"/>
    <x v="3"/>
    <x v="7"/>
    <x v="3"/>
    <x v="0"/>
    <x v="0"/>
    <x v="3"/>
    <x v="6"/>
    <n v="0"/>
    <n v="0"/>
    <n v="1.468"/>
    <n v="1.468"/>
    <n v="1.468"/>
    <n v="1.468"/>
    <n v="0"/>
    <x v="0"/>
    <n v="0"/>
    <n v="0"/>
    <n v="37"/>
    <n v="81"/>
    <n v="0"/>
    <n v="774.97"/>
    <n v="168.06"/>
    <m/>
    <n v="811.18304434703043"/>
    <n v="218.7322873480222"/>
    <n v="0"/>
    <n v="1137.6559600000001"/>
    <n v="246.71207999999999"/>
    <n v="0"/>
    <n v="1190.8167091014407"/>
    <n v="321.09899782689661"/>
  </r>
  <r>
    <s v="Refaturamento - Regular"/>
    <x v="2"/>
    <x v="3"/>
    <x v="7"/>
    <x v="3"/>
    <x v="0"/>
    <x v="0"/>
    <x v="3"/>
    <x v="6"/>
    <n v="0"/>
    <n v="0"/>
    <n v="-8.2000000000000003E-2"/>
    <n v="-8.2000000000000003E-2"/>
    <n v="-8.2000000000000003E-2"/>
    <n v="-8.2000000000000003E-2"/>
    <n v="0"/>
    <x v="0"/>
    <n v="0"/>
    <n v="0"/>
    <n v="37"/>
    <n v="81"/>
    <n v="0"/>
    <n v="774.97"/>
    <n v="168.06"/>
    <m/>
    <n v="811.18304434703043"/>
    <n v="218.7322873480222"/>
    <n v="0"/>
    <n v="-63.547540000000005"/>
    <n v="-13.78092"/>
    <n v="0"/>
    <n v="-66.517009636456493"/>
    <n v="-17.936047562537819"/>
  </r>
  <r>
    <s v="Sistema Isolado - Regular"/>
    <x v="2"/>
    <x v="3"/>
    <x v="7"/>
    <x v="3"/>
    <x v="0"/>
    <x v="0"/>
    <x v="3"/>
    <x v="6"/>
    <n v="0"/>
    <n v="0"/>
    <n v="2.1999999999999999E-2"/>
    <n v="2.1999999999999999E-2"/>
    <n v="2.1999999999999999E-2"/>
    <n v="2.1999999999999999E-2"/>
    <n v="0"/>
    <x v="0"/>
    <n v="0"/>
    <n v="0"/>
    <n v="37"/>
    <n v="81"/>
    <n v="0"/>
    <n v="774.97"/>
    <n v="168.06"/>
    <m/>
    <n v="811.18304434703043"/>
    <n v="218.7322873480222"/>
    <n v="0"/>
    <n v="17.049340000000001"/>
    <n v="3.6973199999999999"/>
    <n v="0"/>
    <n v="17.846026975634668"/>
    <n v="4.8121103216564878"/>
  </r>
  <r>
    <s v="Regular"/>
    <x v="2"/>
    <x v="3"/>
    <x v="7"/>
    <x v="3"/>
    <x v="0"/>
    <x v="0"/>
    <x v="3"/>
    <x v="7"/>
    <n v="0"/>
    <n v="0"/>
    <n v="1.262"/>
    <n v="1.262"/>
    <n v="1.262"/>
    <n v="1.262"/>
    <n v="0"/>
    <x v="0"/>
    <n v="0"/>
    <n v="0"/>
    <n v="37"/>
    <n v="81"/>
    <n v="0"/>
    <n v="774.97"/>
    <n v="168.06"/>
    <m/>
    <n v="811.18304434703043"/>
    <n v="218.7322873480222"/>
    <n v="0"/>
    <n v="978.01214000000004"/>
    <n v="212.09172000000001"/>
    <n v="0"/>
    <n v="1023.7130019659525"/>
    <n v="276.04014663320402"/>
  </r>
  <r>
    <s v="Sistema Isolado - Regular"/>
    <x v="2"/>
    <x v="3"/>
    <x v="7"/>
    <x v="3"/>
    <x v="0"/>
    <x v="0"/>
    <x v="3"/>
    <x v="7"/>
    <n v="0"/>
    <n v="0"/>
    <n v="0.03"/>
    <n v="0.03"/>
    <n v="0.03"/>
    <n v="0.03"/>
    <n v="0"/>
    <x v="0"/>
    <n v="0"/>
    <n v="0"/>
    <n v="37"/>
    <n v="81"/>
    <n v="0"/>
    <n v="774.97"/>
    <n v="168.06"/>
    <m/>
    <n v="811.18304434703043"/>
    <n v="218.7322873480222"/>
    <n v="0"/>
    <n v="23.249099999999999"/>
    <n v="5.0418000000000003"/>
    <n v="0"/>
    <n v="24.33549133041091"/>
    <n v="6.5619686204406653"/>
  </r>
  <r>
    <s v="Sistema de Compensação"/>
    <x v="2"/>
    <x v="3"/>
    <x v="7"/>
    <x v="3"/>
    <x v="0"/>
    <x v="0"/>
    <x v="3"/>
    <x v="7"/>
    <n v="0"/>
    <n v="0"/>
    <n v="3.3000000000000002E-2"/>
    <n v="3.3000000000000002E-2"/>
    <n v="3.3000000000000002E-2"/>
    <n v="3.3000000000000002E-2"/>
    <n v="0"/>
    <x v="0"/>
    <n v="0"/>
    <n v="0"/>
    <n v="37"/>
    <n v="81"/>
    <n v="0"/>
    <n v="774.97"/>
    <n v="168.06"/>
    <m/>
    <n v="811.18304434703043"/>
    <n v="218.7322873480222"/>
    <n v="0"/>
    <n v="25.574010000000001"/>
    <n v="5.5459800000000001"/>
    <n v="0"/>
    <n v="26.769040463452004"/>
    <n v="7.218165482484733"/>
  </r>
  <r>
    <s v="Regular"/>
    <x v="2"/>
    <x v="3"/>
    <x v="7"/>
    <x v="3"/>
    <x v="0"/>
    <x v="0"/>
    <x v="3"/>
    <x v="8"/>
    <n v="0"/>
    <n v="0"/>
    <n v="1.6479999999999999"/>
    <n v="1.6479999999999999"/>
    <n v="1.6479999999999999"/>
    <n v="1.6479999999999999"/>
    <n v="0"/>
    <x v="0"/>
    <n v="0"/>
    <n v="0"/>
    <n v="37"/>
    <n v="81"/>
    <n v="0"/>
    <n v="774.97"/>
    <n v="168.06"/>
    <m/>
    <n v="811.18304434703043"/>
    <n v="218.7322873480222"/>
    <n v="0"/>
    <n v="1277.15056"/>
    <n v="276.96287999999998"/>
    <n v="0"/>
    <n v="1336.8296570839061"/>
    <n v="360.47080954954055"/>
  </r>
  <r>
    <s v="Refaturamento - Regular"/>
    <x v="2"/>
    <x v="3"/>
    <x v="7"/>
    <x v="3"/>
    <x v="0"/>
    <x v="0"/>
    <x v="3"/>
    <x v="8"/>
    <n v="0"/>
    <n v="0"/>
    <n v="1.9E-2"/>
    <n v="1.9E-2"/>
    <n v="1.9E-2"/>
    <n v="1.9E-2"/>
    <n v="0"/>
    <x v="0"/>
    <n v="0"/>
    <n v="0"/>
    <n v="37"/>
    <n v="81"/>
    <n v="0"/>
    <n v="774.97"/>
    <n v="168.06"/>
    <m/>
    <n v="811.18304434703043"/>
    <n v="218.7322873480222"/>
    <n v="0"/>
    <n v="14.72443"/>
    <n v="3.1931400000000001"/>
    <n v="0"/>
    <n v="15.412477842593578"/>
    <n v="4.1559134596124219"/>
  </r>
  <r>
    <s v="Sistema Isolado - Regular"/>
    <x v="2"/>
    <x v="3"/>
    <x v="7"/>
    <x v="3"/>
    <x v="0"/>
    <x v="0"/>
    <x v="3"/>
    <x v="8"/>
    <n v="0"/>
    <n v="0"/>
    <n v="3.1E-2"/>
    <n v="3.1E-2"/>
    <n v="3.1E-2"/>
    <n v="3.1E-2"/>
    <n v="0"/>
    <x v="0"/>
    <n v="0"/>
    <n v="0"/>
    <n v="37"/>
    <n v="81"/>
    <n v="0"/>
    <n v="774.97"/>
    <n v="168.06"/>
    <m/>
    <n v="811.18304434703043"/>
    <n v="218.7322873480222"/>
    <n v="0"/>
    <n v="24.024070000000002"/>
    <n v="5.2098599999999999"/>
    <n v="0"/>
    <n v="25.146674374757943"/>
    <n v="6.7807009077886882"/>
  </r>
  <r>
    <s v="Sistema de Compensação"/>
    <x v="2"/>
    <x v="3"/>
    <x v="7"/>
    <x v="3"/>
    <x v="0"/>
    <x v="0"/>
    <x v="3"/>
    <x v="8"/>
    <n v="0"/>
    <n v="0"/>
    <n v="8.9999999999999993E-3"/>
    <n v="8.9999999999999993E-3"/>
    <n v="8.9999999999999993E-3"/>
    <n v="8.9999999999999993E-3"/>
    <n v="0"/>
    <x v="0"/>
    <n v="0"/>
    <n v="0"/>
    <n v="37"/>
    <n v="81"/>
    <n v="0"/>
    <n v="774.97"/>
    <n v="168.06"/>
    <m/>
    <n v="811.18304434703043"/>
    <n v="218.7322873480222"/>
    <n v="0"/>
    <n v="6.9747300000000001"/>
    <n v="1.51254"/>
    <n v="0"/>
    <n v="7.3006473991232737"/>
    <n v="1.9685905861321997"/>
  </r>
  <r>
    <s v="Regular"/>
    <x v="2"/>
    <x v="3"/>
    <x v="7"/>
    <x v="3"/>
    <x v="0"/>
    <x v="0"/>
    <x v="3"/>
    <x v="9"/>
    <n v="0"/>
    <n v="0"/>
    <n v="1.1519999999999999"/>
    <n v="1.1519999999999999"/>
    <n v="1.1519999999999999"/>
    <n v="1.1519999999999999"/>
    <n v="0"/>
    <x v="0"/>
    <n v="0"/>
    <n v="0"/>
    <n v="37"/>
    <n v="81"/>
    <n v="0"/>
    <n v="774.97"/>
    <n v="168.06"/>
    <m/>
    <n v="811.18304434703043"/>
    <n v="218.7322873480222"/>
    <n v="0"/>
    <n v="892.76544000000001"/>
    <n v="193.60512"/>
    <n v="0"/>
    <n v="934.48286708777903"/>
    <n v="251.97959502492157"/>
  </r>
  <r>
    <s v="Refaturamento - Regular"/>
    <x v="2"/>
    <x v="3"/>
    <x v="7"/>
    <x v="3"/>
    <x v="0"/>
    <x v="0"/>
    <x v="3"/>
    <x v="9"/>
    <n v="0"/>
    <n v="0"/>
    <n v="8.0000000000000002E-3"/>
    <n v="8.0000000000000002E-3"/>
    <n v="8.0000000000000002E-3"/>
    <n v="8.0000000000000002E-3"/>
    <n v="0"/>
    <x v="0"/>
    <n v="0"/>
    <n v="0"/>
    <n v="37"/>
    <n v="81"/>
    <n v="0"/>
    <n v="774.97"/>
    <n v="168.06"/>
    <m/>
    <n v="811.18304434703043"/>
    <n v="218.7322873480222"/>
    <n v="0"/>
    <n v="6.1997600000000004"/>
    <n v="1.3444800000000001"/>
    <n v="0"/>
    <n v="6.4894643547762438"/>
    <n v="1.7498582987841775"/>
  </r>
  <r>
    <s v="Sistema Isolado - Regular"/>
    <x v="2"/>
    <x v="3"/>
    <x v="7"/>
    <x v="3"/>
    <x v="0"/>
    <x v="0"/>
    <x v="3"/>
    <x v="9"/>
    <n v="0"/>
    <n v="0"/>
    <n v="2.5000000000000001E-2"/>
    <n v="2.5000000000000001E-2"/>
    <n v="2.5000000000000001E-2"/>
    <n v="2.5000000000000001E-2"/>
    <n v="0"/>
    <x v="0"/>
    <n v="0"/>
    <n v="0"/>
    <n v="37"/>
    <n v="81"/>
    <n v="0"/>
    <n v="774.97"/>
    <n v="168.06"/>
    <m/>
    <n v="811.18304434703043"/>
    <n v="218.7322873480222"/>
    <n v="0"/>
    <n v="19.374250000000004"/>
    <n v="4.2015000000000002"/>
    <n v="0"/>
    <n v="20.279576108675762"/>
    <n v="5.4683071837005555"/>
  </r>
  <r>
    <s v="Sistema de Compensação"/>
    <x v="2"/>
    <x v="3"/>
    <x v="7"/>
    <x v="3"/>
    <x v="0"/>
    <x v="0"/>
    <x v="3"/>
    <x v="9"/>
    <n v="0"/>
    <n v="0"/>
    <n v="8.9999999999999993E-3"/>
    <n v="8.9999999999999993E-3"/>
    <n v="8.9999999999999993E-3"/>
    <n v="8.9999999999999993E-3"/>
    <n v="0"/>
    <x v="0"/>
    <n v="0"/>
    <n v="0"/>
    <n v="37"/>
    <n v="81"/>
    <n v="0"/>
    <n v="774.97"/>
    <n v="168.06"/>
    <m/>
    <n v="811.18304434703043"/>
    <n v="218.7322873480222"/>
    <n v="0"/>
    <n v="6.9747300000000001"/>
    <n v="1.51254"/>
    <n v="0"/>
    <n v="7.3006473991232737"/>
    <n v="1.9685905861321997"/>
  </r>
  <r>
    <s v="Regular"/>
    <x v="2"/>
    <x v="3"/>
    <x v="7"/>
    <x v="3"/>
    <x v="0"/>
    <x v="0"/>
    <x v="3"/>
    <x v="10"/>
    <n v="0"/>
    <n v="0"/>
    <n v="1.903"/>
    <n v="1.903"/>
    <n v="1.903"/>
    <n v="1.903"/>
    <n v="0"/>
    <x v="0"/>
    <n v="0"/>
    <n v="0"/>
    <n v="37"/>
    <n v="81"/>
    <n v="0"/>
    <n v="774.97"/>
    <n v="168.06"/>
    <m/>
    <n v="811.18304434703043"/>
    <n v="218.7322873480222"/>
    <n v="0"/>
    <n v="1474.76791"/>
    <n v="319.81817999999998"/>
    <n v="0"/>
    <n v="1543.681333392399"/>
    <n v="416.24754282328627"/>
  </r>
  <r>
    <s v="Sistema Isolado - Regular"/>
    <x v="2"/>
    <x v="3"/>
    <x v="7"/>
    <x v="3"/>
    <x v="0"/>
    <x v="0"/>
    <x v="3"/>
    <x v="10"/>
    <n v="0"/>
    <n v="0"/>
    <n v="2.7E-2"/>
    <n v="2.7E-2"/>
    <n v="2.7E-2"/>
    <n v="2.7E-2"/>
    <n v="0"/>
    <x v="0"/>
    <n v="0"/>
    <n v="0"/>
    <n v="37"/>
    <n v="81"/>
    <n v="0"/>
    <n v="774.97"/>
    <n v="168.06"/>
    <m/>
    <n v="811.18304434703043"/>
    <n v="218.7322873480222"/>
    <n v="0"/>
    <n v="20.924189999999999"/>
    <n v="4.5376200000000004"/>
    <n v="0"/>
    <n v="21.90194219736982"/>
    <n v="5.9057717583965994"/>
  </r>
  <r>
    <s v="Sistema de Compensação"/>
    <x v="2"/>
    <x v="3"/>
    <x v="7"/>
    <x v="3"/>
    <x v="0"/>
    <x v="0"/>
    <x v="3"/>
    <x v="10"/>
    <n v="0"/>
    <n v="0"/>
    <n v="5.1999999999999998E-2"/>
    <n v="5.1999999999999998E-2"/>
    <n v="5.1999999999999998E-2"/>
    <n v="5.1999999999999998E-2"/>
    <n v="0"/>
    <x v="0"/>
    <n v="0"/>
    <n v="0"/>
    <n v="37"/>
    <n v="81"/>
    <n v="0"/>
    <n v="774.97"/>
    <n v="168.06"/>
    <m/>
    <n v="811.18304434703043"/>
    <n v="218.7322873480222"/>
    <n v="0"/>
    <n v="40.298439999999999"/>
    <n v="8.7391199999999998"/>
    <n v="0"/>
    <n v="42.181518306045582"/>
    <n v="11.374078942097153"/>
  </r>
  <r>
    <s v="Sistema de Compensação"/>
    <x v="2"/>
    <x v="3"/>
    <x v="7"/>
    <x v="3"/>
    <x v="0"/>
    <x v="0"/>
    <x v="3"/>
    <x v="10"/>
    <n v="0"/>
    <n v="0"/>
    <n v="-8.9999999999999993E-3"/>
    <n v="-8.9999999999999993E-3"/>
    <n v="-8.9999999999999993E-3"/>
    <n v="-8.9999999999999993E-3"/>
    <n v="0"/>
    <x v="0"/>
    <n v="0"/>
    <n v="0"/>
    <n v="37"/>
    <n v="81"/>
    <n v="0"/>
    <n v="774.97"/>
    <n v="168.06"/>
    <m/>
    <n v="811.18304434703043"/>
    <n v="218.7322873480222"/>
    <n v="0"/>
    <n v="-6.9747300000000001"/>
    <n v="-1.51254"/>
    <n v="0"/>
    <n v="-7.3006473991232737"/>
    <n v="-1.9685905861321997"/>
  </r>
  <r>
    <s v="PROJETADO"/>
    <x v="2"/>
    <x v="3"/>
    <x v="7"/>
    <x v="3"/>
    <x v="0"/>
    <x v="0"/>
    <x v="3"/>
    <x v="11"/>
    <n v="0"/>
    <n v="0"/>
    <n v="1.903"/>
    <n v="1.903"/>
    <n v="1.903"/>
    <n v="1.903"/>
    <n v="0"/>
    <x v="0"/>
    <n v="0"/>
    <n v="0"/>
    <n v="37"/>
    <n v="81"/>
    <n v="0"/>
    <n v="774.97"/>
    <n v="168.06"/>
    <m/>
    <n v="811.18304434703043"/>
    <n v="218.7322873480222"/>
    <n v="0"/>
    <n v="1474.76791"/>
    <n v="319.81817999999998"/>
    <n v="0"/>
    <n v="1543.681333392399"/>
    <n v="416.24754282328627"/>
  </r>
  <r>
    <s v="PROJETADO"/>
    <x v="2"/>
    <x v="3"/>
    <x v="7"/>
    <x v="3"/>
    <x v="0"/>
    <x v="0"/>
    <x v="3"/>
    <x v="11"/>
    <n v="0"/>
    <n v="0"/>
    <n v="2.7E-2"/>
    <n v="2.7E-2"/>
    <n v="2.7E-2"/>
    <n v="2.7E-2"/>
    <n v="0"/>
    <x v="0"/>
    <n v="0"/>
    <n v="0"/>
    <n v="37"/>
    <n v="81"/>
    <n v="0"/>
    <n v="774.97"/>
    <n v="168.06"/>
    <m/>
    <n v="811.18304434703043"/>
    <n v="218.7322873480222"/>
    <n v="0"/>
    <n v="20.924189999999999"/>
    <n v="4.5376200000000004"/>
    <n v="0"/>
    <n v="21.90194219736982"/>
    <n v="5.9057717583965994"/>
  </r>
  <r>
    <s v="PROJETADO"/>
    <x v="2"/>
    <x v="3"/>
    <x v="7"/>
    <x v="3"/>
    <x v="0"/>
    <x v="0"/>
    <x v="3"/>
    <x v="11"/>
    <n v="0"/>
    <n v="0"/>
    <n v="5.1999999999999998E-2"/>
    <n v="5.1999999999999998E-2"/>
    <n v="5.1999999999999998E-2"/>
    <n v="5.1999999999999998E-2"/>
    <n v="0"/>
    <x v="0"/>
    <n v="0"/>
    <n v="0"/>
    <n v="37"/>
    <n v="81"/>
    <n v="0"/>
    <n v="774.97"/>
    <n v="168.06"/>
    <m/>
    <n v="811.18304434703043"/>
    <n v="218.7322873480222"/>
    <n v="0"/>
    <n v="40.298439999999999"/>
    <n v="8.7391199999999998"/>
    <n v="0"/>
    <n v="42.181518306045582"/>
    <n v="11.374078942097153"/>
  </r>
  <r>
    <s v="PROJETADO"/>
    <x v="2"/>
    <x v="3"/>
    <x v="7"/>
    <x v="3"/>
    <x v="0"/>
    <x v="0"/>
    <x v="3"/>
    <x v="11"/>
    <n v="0"/>
    <n v="0"/>
    <n v="-8.9999999999999993E-3"/>
    <n v="-8.9999999999999993E-3"/>
    <n v="-8.9999999999999993E-3"/>
    <n v="-8.9999999999999993E-3"/>
    <n v="0"/>
    <x v="0"/>
    <n v="0"/>
    <n v="0"/>
    <n v="37"/>
    <n v="81"/>
    <n v="0"/>
    <n v="774.97"/>
    <n v="168.06"/>
    <m/>
    <n v="811.18304434703043"/>
    <n v="218.7322873480222"/>
    <n v="0"/>
    <n v="-6.9747300000000001"/>
    <n v="-1.51254"/>
    <n v="0"/>
    <n v="-7.3006473991232737"/>
    <n v="-1.9685905861321997"/>
  </r>
  <r>
    <s v="Regular"/>
    <x v="2"/>
    <x v="3"/>
    <x v="7"/>
    <x v="3"/>
    <x v="0"/>
    <x v="0"/>
    <x v="1"/>
    <x v="0"/>
    <n v="0"/>
    <n v="0"/>
    <n v="3.5390000000000001"/>
    <n v="3.5390000000000001"/>
    <n v="3.5390000000000001"/>
    <n v="3.5390000000000001"/>
    <n v="0"/>
    <x v="0"/>
    <n v="0"/>
    <n v="0"/>
    <n v="36"/>
    <n v="80"/>
    <n v="0"/>
    <n v="1215.78"/>
    <n v="270.3"/>
    <m/>
    <n v="1248.6441779863537"/>
    <n v="362.70381368696184"/>
    <n v="0"/>
    <n v="4302.6454199999998"/>
    <n v="956.59170000000006"/>
    <n v="0"/>
    <n v="4418.9517458937062"/>
    <n v="1283.6087966381581"/>
  </r>
  <r>
    <s v="Sistema Isolado - Regular"/>
    <x v="2"/>
    <x v="3"/>
    <x v="7"/>
    <x v="3"/>
    <x v="0"/>
    <x v="0"/>
    <x v="1"/>
    <x v="0"/>
    <n v="0"/>
    <n v="0"/>
    <n v="5.3999999999999999E-2"/>
    <n v="5.3999999999999999E-2"/>
    <n v="5.3999999999999999E-2"/>
    <n v="5.3999999999999999E-2"/>
    <n v="0"/>
    <x v="0"/>
    <n v="0"/>
    <n v="0"/>
    <n v="36"/>
    <n v="80"/>
    <n v="0"/>
    <n v="1215.78"/>
    <n v="270.3"/>
    <m/>
    <n v="1248.6441779863537"/>
    <n v="362.70381368696184"/>
    <n v="0"/>
    <n v="65.652119999999996"/>
    <n v="14.5962"/>
    <n v="0"/>
    <n v="67.426785611263099"/>
    <n v="19.586005939095941"/>
  </r>
  <r>
    <s v="Sistema de Compensação"/>
    <x v="2"/>
    <x v="3"/>
    <x v="7"/>
    <x v="3"/>
    <x v="0"/>
    <x v="0"/>
    <x v="1"/>
    <x v="0"/>
    <n v="0"/>
    <n v="0"/>
    <n v="0.27"/>
    <n v="0.27"/>
    <n v="0.27"/>
    <n v="0.27"/>
    <n v="0"/>
    <x v="0"/>
    <n v="0"/>
    <n v="0"/>
    <n v="36"/>
    <n v="80"/>
    <n v="0"/>
    <n v="1215.78"/>
    <n v="270.3"/>
    <m/>
    <n v="1248.6441779863537"/>
    <n v="362.70381368696184"/>
    <n v="0"/>
    <n v="328.26060000000001"/>
    <n v="72.981000000000009"/>
    <n v="0"/>
    <n v="337.13392805631554"/>
    <n v="97.930029695479703"/>
  </r>
  <r>
    <s v="Sistema de Compensação"/>
    <x v="2"/>
    <x v="3"/>
    <x v="7"/>
    <x v="3"/>
    <x v="0"/>
    <x v="0"/>
    <x v="1"/>
    <x v="0"/>
    <n v="0"/>
    <n v="0"/>
    <n v="-2.9000000000000001E-2"/>
    <n v="-2.9000000000000001E-2"/>
    <n v="-2.9000000000000001E-2"/>
    <n v="-2.9000000000000001E-2"/>
    <n v="0"/>
    <x v="0"/>
    <n v="0"/>
    <n v="0"/>
    <n v="36"/>
    <n v="80"/>
    <n v="0"/>
    <n v="1215.78"/>
    <n v="270.3"/>
    <m/>
    <n v="1248.6441779863537"/>
    <n v="362.70381368696184"/>
    <n v="0"/>
    <n v="-35.257620000000003"/>
    <n v="-7.8387000000000011"/>
    <n v="0"/>
    <n v="-36.210681161604256"/>
    <n v="-10.518410596921894"/>
  </r>
  <r>
    <s v="Regular"/>
    <x v="2"/>
    <x v="3"/>
    <x v="7"/>
    <x v="3"/>
    <x v="0"/>
    <x v="0"/>
    <x v="1"/>
    <x v="1"/>
    <n v="0"/>
    <n v="0"/>
    <n v="3.177"/>
    <n v="3.177"/>
    <n v="3.177"/>
    <n v="3.177"/>
    <n v="0"/>
    <x v="0"/>
    <n v="0"/>
    <n v="0"/>
    <n v="36"/>
    <n v="80"/>
    <n v="0"/>
    <n v="1215.78"/>
    <n v="270.3"/>
    <m/>
    <n v="1248.6441779863537"/>
    <n v="362.70381368696184"/>
    <n v="0"/>
    <n v="3862.5330599999998"/>
    <n v="858.74310000000003"/>
    <n v="0"/>
    <n v="3966.9425534626457"/>
    <n v="1152.3100160834779"/>
  </r>
  <r>
    <s v="Sistema Isolado - Regular"/>
    <x v="2"/>
    <x v="3"/>
    <x v="7"/>
    <x v="3"/>
    <x v="0"/>
    <x v="0"/>
    <x v="1"/>
    <x v="1"/>
    <n v="0"/>
    <n v="0"/>
    <n v="6.6000000000000003E-2"/>
    <n v="6.6000000000000003E-2"/>
    <n v="6.6000000000000003E-2"/>
    <n v="6.6000000000000003E-2"/>
    <n v="0"/>
    <x v="0"/>
    <n v="0"/>
    <n v="0"/>
    <n v="36"/>
    <n v="80"/>
    <n v="0"/>
    <n v="1215.78"/>
    <n v="270.3"/>
    <m/>
    <n v="1248.6441779863537"/>
    <n v="362.70381368696184"/>
    <n v="0"/>
    <n v="80.241479999999996"/>
    <n v="17.8398"/>
    <n v="0"/>
    <n v="82.410515747099353"/>
    <n v="23.938451703339481"/>
  </r>
  <r>
    <s v="Sistema de Compensação"/>
    <x v="2"/>
    <x v="3"/>
    <x v="7"/>
    <x v="3"/>
    <x v="0"/>
    <x v="0"/>
    <x v="1"/>
    <x v="1"/>
    <n v="0"/>
    <n v="0"/>
    <n v="0.16700000000000001"/>
    <n v="0.16700000000000001"/>
    <n v="0.16700000000000001"/>
    <n v="0.16700000000000001"/>
    <n v="0"/>
    <x v="0"/>
    <n v="0"/>
    <n v="0"/>
    <n v="36"/>
    <n v="80"/>
    <n v="0"/>
    <n v="1215.78"/>
    <n v="270.3"/>
    <m/>
    <n v="1248.6441779863537"/>
    <n v="362.70381368696184"/>
    <n v="0"/>
    <n v="203.03525999999999"/>
    <n v="45.140100000000004"/>
    <n v="0"/>
    <n v="208.52357772372108"/>
    <n v="60.57153688572263"/>
  </r>
  <r>
    <s v="Regular"/>
    <x v="2"/>
    <x v="3"/>
    <x v="7"/>
    <x v="3"/>
    <x v="0"/>
    <x v="0"/>
    <x v="1"/>
    <x v="2"/>
    <n v="0"/>
    <n v="0"/>
    <n v="3.38"/>
    <n v="3.38"/>
    <n v="3.38"/>
    <n v="3.38"/>
    <n v="0"/>
    <x v="0"/>
    <n v="0"/>
    <n v="0"/>
    <n v="36"/>
    <n v="80"/>
    <n v="0"/>
    <n v="1215.78"/>
    <n v="270.3"/>
    <m/>
    <n v="1248.6441779863537"/>
    <n v="362.70381368696184"/>
    <n v="0"/>
    <n v="4109.3364000000001"/>
    <n v="913.61400000000003"/>
    <n v="0"/>
    <n v="4220.4173215938754"/>
    <n v="1225.938890261931"/>
  </r>
  <r>
    <s v="Refaturamento - Regular"/>
    <x v="2"/>
    <x v="3"/>
    <x v="7"/>
    <x v="3"/>
    <x v="0"/>
    <x v="0"/>
    <x v="1"/>
    <x v="2"/>
    <n v="0"/>
    <n v="0"/>
    <n v="2.4E-2"/>
    <n v="2.4E-2"/>
    <n v="2.4E-2"/>
    <n v="2.4E-2"/>
    <n v="0"/>
    <x v="0"/>
    <n v="0"/>
    <n v="0"/>
    <n v="36"/>
    <n v="80"/>
    <n v="0"/>
    <n v="1215.78"/>
    <n v="270.3"/>
    <m/>
    <n v="1248.6441779863537"/>
    <n v="362.70381368696184"/>
    <n v="0"/>
    <n v="29.178719999999998"/>
    <n v="6.4872000000000005"/>
    <n v="0"/>
    <n v="29.96746027167249"/>
    <n v="8.7048915284870851"/>
  </r>
  <r>
    <s v="Sistema Isolado - Regular"/>
    <x v="2"/>
    <x v="3"/>
    <x v="7"/>
    <x v="3"/>
    <x v="0"/>
    <x v="0"/>
    <x v="1"/>
    <x v="2"/>
    <n v="0"/>
    <n v="0"/>
    <n v="6.6000000000000003E-2"/>
    <n v="6.6000000000000003E-2"/>
    <n v="6.6000000000000003E-2"/>
    <n v="6.6000000000000003E-2"/>
    <n v="0"/>
    <x v="0"/>
    <n v="0"/>
    <n v="0"/>
    <n v="36"/>
    <n v="80"/>
    <n v="0"/>
    <n v="1215.78"/>
    <n v="270.3"/>
    <m/>
    <n v="1248.6441779863537"/>
    <n v="362.70381368696184"/>
    <n v="0"/>
    <n v="80.241479999999996"/>
    <n v="17.8398"/>
    <n v="0"/>
    <n v="82.410515747099353"/>
    <n v="23.938451703339481"/>
  </r>
  <r>
    <s v="Sistema de Compensação"/>
    <x v="2"/>
    <x v="3"/>
    <x v="7"/>
    <x v="3"/>
    <x v="0"/>
    <x v="0"/>
    <x v="1"/>
    <x v="2"/>
    <n v="0"/>
    <n v="0"/>
    <n v="2.7E-2"/>
    <n v="2.7E-2"/>
    <n v="2.7E-2"/>
    <n v="2.7E-2"/>
    <n v="0"/>
    <x v="0"/>
    <n v="0"/>
    <n v="0"/>
    <n v="36"/>
    <n v="80"/>
    <n v="0"/>
    <n v="1215.78"/>
    <n v="270.3"/>
    <m/>
    <n v="1248.6441779863537"/>
    <n v="362.70381368696184"/>
    <n v="0"/>
    <n v="32.826059999999998"/>
    <n v="7.2980999999999998"/>
    <n v="0"/>
    <n v="33.71339280563155"/>
    <n v="9.7930029695479703"/>
  </r>
  <r>
    <s v="Sistema de Compensação"/>
    <x v="2"/>
    <x v="3"/>
    <x v="7"/>
    <x v="3"/>
    <x v="0"/>
    <x v="0"/>
    <x v="1"/>
    <x v="2"/>
    <n v="0"/>
    <n v="0"/>
    <n v="-2.9000000000000001E-2"/>
    <n v="-2.9000000000000001E-2"/>
    <n v="-2.9000000000000001E-2"/>
    <n v="-2.9000000000000001E-2"/>
    <n v="0"/>
    <x v="0"/>
    <n v="0"/>
    <n v="0"/>
    <n v="36"/>
    <n v="80"/>
    <n v="0"/>
    <n v="1215.78"/>
    <n v="270.3"/>
    <m/>
    <n v="1248.6441779863537"/>
    <n v="362.70381368696184"/>
    <n v="0"/>
    <n v="-35.257620000000003"/>
    <n v="-7.8387000000000011"/>
    <n v="0"/>
    <n v="-36.210681161604256"/>
    <n v="-10.518410596921894"/>
  </r>
  <r>
    <s v="Regular"/>
    <x v="2"/>
    <x v="3"/>
    <x v="7"/>
    <x v="3"/>
    <x v="0"/>
    <x v="0"/>
    <x v="1"/>
    <x v="3"/>
    <n v="0"/>
    <n v="0"/>
    <n v="7.8840000000000003"/>
    <n v="7.8840000000000003"/>
    <n v="7.8840000000000003"/>
    <n v="7.8840000000000003"/>
    <n v="0"/>
    <x v="0"/>
    <n v="0"/>
    <n v="0"/>
    <n v="36"/>
    <n v="80"/>
    <n v="0"/>
    <n v="1215.78"/>
    <n v="270.3"/>
    <m/>
    <n v="1248.6441779863537"/>
    <n v="362.70381368696184"/>
    <n v="0"/>
    <n v="9585.2095200000003"/>
    <n v="2131.0452"/>
    <n v="0"/>
    <n v="9844.3106992444136"/>
    <n v="2859.5568671080073"/>
  </r>
  <r>
    <s v="Sistema Isolado - Regular"/>
    <x v="2"/>
    <x v="3"/>
    <x v="7"/>
    <x v="3"/>
    <x v="0"/>
    <x v="0"/>
    <x v="1"/>
    <x v="3"/>
    <n v="0"/>
    <n v="0"/>
    <n v="8.6999999999999994E-2"/>
    <n v="8.6999999999999994E-2"/>
    <n v="8.6999999999999994E-2"/>
    <n v="8.6999999999999994E-2"/>
    <n v="0"/>
    <x v="0"/>
    <n v="0"/>
    <n v="0"/>
    <n v="36"/>
    <n v="80"/>
    <n v="0"/>
    <n v="1215.78"/>
    <n v="270.3"/>
    <m/>
    <n v="1248.6441779863537"/>
    <n v="362.70381368696184"/>
    <n v="0"/>
    <n v="105.77285999999999"/>
    <n v="23.516099999999998"/>
    <n v="0"/>
    <n v="108.63204348481277"/>
    <n v="31.555231790765678"/>
  </r>
  <r>
    <s v="Sistema de Compensação"/>
    <x v="2"/>
    <x v="3"/>
    <x v="7"/>
    <x v="3"/>
    <x v="0"/>
    <x v="0"/>
    <x v="1"/>
    <x v="3"/>
    <n v="0"/>
    <n v="0"/>
    <n v="3.5000000000000003E-2"/>
    <n v="3.5000000000000003E-2"/>
    <n v="3.5000000000000003E-2"/>
    <n v="3.5000000000000003E-2"/>
    <n v="0"/>
    <x v="0"/>
    <n v="0"/>
    <n v="0"/>
    <n v="36"/>
    <n v="80"/>
    <n v="0"/>
    <n v="1215.78"/>
    <n v="270.3"/>
    <m/>
    <n v="1248.6441779863537"/>
    <n v="362.70381368696184"/>
    <n v="0"/>
    <n v="42.552300000000002"/>
    <n v="9.4605000000000015"/>
    <n v="0"/>
    <n v="43.702546229522383"/>
    <n v="12.694633479043665"/>
  </r>
  <r>
    <s v="Regular"/>
    <x v="2"/>
    <x v="3"/>
    <x v="7"/>
    <x v="3"/>
    <x v="0"/>
    <x v="0"/>
    <x v="1"/>
    <x v="4"/>
    <n v="0"/>
    <n v="0"/>
    <n v="3.5920000000000001"/>
    <n v="3.5920000000000001"/>
    <n v="3.5920000000000001"/>
    <n v="3.5920000000000001"/>
    <n v="0"/>
    <x v="0"/>
    <n v="0"/>
    <n v="0"/>
    <n v="36"/>
    <n v="80"/>
    <n v="0"/>
    <n v="1215.78"/>
    <n v="270.3"/>
    <m/>
    <n v="1248.6441779863537"/>
    <n v="362.70381368696184"/>
    <n v="0"/>
    <n v="4367.08176"/>
    <n v="970.91760000000011"/>
    <n v="0"/>
    <n v="4485.1298873269825"/>
    <n v="1302.832098763567"/>
  </r>
  <r>
    <s v="Refaturamento - Regular"/>
    <x v="2"/>
    <x v="3"/>
    <x v="7"/>
    <x v="3"/>
    <x v="0"/>
    <x v="0"/>
    <x v="1"/>
    <x v="4"/>
    <n v="0"/>
    <n v="0"/>
    <n v="-2.59"/>
    <n v="-2.59"/>
    <n v="-2.59"/>
    <n v="-2.59"/>
    <n v="0"/>
    <x v="0"/>
    <n v="0"/>
    <n v="0"/>
    <n v="36"/>
    <n v="80"/>
    <n v="0"/>
    <n v="1215.78"/>
    <n v="270.3"/>
    <m/>
    <n v="1248.6441779863537"/>
    <n v="362.70381368696184"/>
    <n v="0"/>
    <n v="-3148.8701999999998"/>
    <n v="-700.077"/>
    <n v="0"/>
    <n v="-3233.9884209846559"/>
    <n v="-939.40287744923114"/>
  </r>
  <r>
    <s v="Sistema Isolado - Regular"/>
    <x v="2"/>
    <x v="3"/>
    <x v="7"/>
    <x v="3"/>
    <x v="0"/>
    <x v="0"/>
    <x v="1"/>
    <x v="4"/>
    <n v="0"/>
    <n v="0"/>
    <n v="8.5000000000000006E-2"/>
    <n v="8.5000000000000006E-2"/>
    <n v="8.5000000000000006E-2"/>
    <n v="8.5000000000000006E-2"/>
    <n v="0"/>
    <x v="0"/>
    <n v="0"/>
    <n v="0"/>
    <n v="36"/>
    <n v="80"/>
    <n v="0"/>
    <n v="1215.78"/>
    <n v="270.3"/>
    <m/>
    <n v="1248.6441779863537"/>
    <n v="362.70381368696184"/>
    <n v="0"/>
    <n v="103.3413"/>
    <n v="22.975500000000004"/>
    <n v="0"/>
    <n v="106.13475512884007"/>
    <n v="30.829824163391759"/>
  </r>
  <r>
    <s v="Sistema de Compensação"/>
    <x v="2"/>
    <x v="3"/>
    <x v="7"/>
    <x v="3"/>
    <x v="0"/>
    <x v="0"/>
    <x v="1"/>
    <x v="4"/>
    <n v="0"/>
    <n v="0"/>
    <n v="3.5000000000000003E-2"/>
    <n v="3.5000000000000003E-2"/>
    <n v="3.5000000000000003E-2"/>
    <n v="3.5000000000000003E-2"/>
    <n v="0"/>
    <x v="0"/>
    <n v="0"/>
    <n v="0"/>
    <n v="36"/>
    <n v="80"/>
    <n v="0"/>
    <n v="1215.78"/>
    <n v="270.3"/>
    <m/>
    <n v="1248.6441779863537"/>
    <n v="362.70381368696184"/>
    <n v="0"/>
    <n v="42.552300000000002"/>
    <n v="9.4605000000000015"/>
    <n v="0"/>
    <n v="43.702546229522383"/>
    <n v="12.694633479043665"/>
  </r>
  <r>
    <s v="Regular"/>
    <x v="2"/>
    <x v="3"/>
    <x v="7"/>
    <x v="3"/>
    <x v="0"/>
    <x v="0"/>
    <x v="1"/>
    <x v="5"/>
    <n v="0"/>
    <n v="0"/>
    <n v="4.024"/>
    <n v="4.024"/>
    <n v="4.024"/>
    <n v="4.024"/>
    <n v="0"/>
    <x v="0"/>
    <n v="0"/>
    <n v="0"/>
    <n v="36"/>
    <n v="80"/>
    <n v="0"/>
    <n v="1215.78"/>
    <n v="270.3"/>
    <m/>
    <n v="1248.6441779863537"/>
    <n v="362.70381368696184"/>
    <n v="0"/>
    <n v="4892.2987199999998"/>
    <n v="1087.6872000000001"/>
    <n v="0"/>
    <n v="5024.5441722170872"/>
    <n v="1459.5201462763343"/>
  </r>
  <r>
    <s v="Sistema Isolado - Regular"/>
    <x v="2"/>
    <x v="3"/>
    <x v="7"/>
    <x v="3"/>
    <x v="0"/>
    <x v="0"/>
    <x v="1"/>
    <x v="5"/>
    <n v="0"/>
    <n v="0"/>
    <n v="7.4999999999999997E-2"/>
    <n v="7.4999999999999997E-2"/>
    <n v="7.4999999999999997E-2"/>
    <n v="7.4999999999999997E-2"/>
    <n v="0"/>
    <x v="0"/>
    <n v="0"/>
    <n v="0"/>
    <n v="36"/>
    <n v="80"/>
    <n v="0"/>
    <n v="1215.78"/>
    <n v="270.3"/>
    <m/>
    <n v="1248.6441779863537"/>
    <n v="362.70381368696184"/>
    <n v="0"/>
    <n v="91.183499999999995"/>
    <n v="20.272500000000001"/>
    <n v="0"/>
    <n v="93.648313348976529"/>
    <n v="27.202786026522137"/>
  </r>
  <r>
    <s v="Sistema de Compensação"/>
    <x v="2"/>
    <x v="3"/>
    <x v="7"/>
    <x v="3"/>
    <x v="0"/>
    <x v="0"/>
    <x v="1"/>
    <x v="5"/>
    <n v="0"/>
    <n v="0"/>
    <n v="2.5999999999999999E-2"/>
    <n v="2.5999999999999999E-2"/>
    <n v="2.5999999999999999E-2"/>
    <n v="2.5999999999999999E-2"/>
    <n v="0"/>
    <x v="0"/>
    <n v="0"/>
    <n v="0"/>
    <n v="36"/>
    <n v="80"/>
    <n v="0"/>
    <n v="1215.78"/>
    <n v="270.3"/>
    <m/>
    <n v="1248.6441779863537"/>
    <n v="362.70381368696184"/>
    <n v="0"/>
    <n v="31.610279999999999"/>
    <n v="7.0278"/>
    <n v="0"/>
    <n v="32.464748627645193"/>
    <n v="9.4302991558610074"/>
  </r>
  <r>
    <s v="Regular"/>
    <x v="2"/>
    <x v="3"/>
    <x v="7"/>
    <x v="3"/>
    <x v="0"/>
    <x v="0"/>
    <x v="1"/>
    <x v="6"/>
    <n v="0"/>
    <n v="0"/>
    <n v="3.6360000000000001"/>
    <n v="3.6360000000000001"/>
    <n v="3.6360000000000001"/>
    <n v="3.6360000000000001"/>
    <n v="0"/>
    <x v="0"/>
    <n v="0"/>
    <n v="0"/>
    <n v="36"/>
    <n v="80"/>
    <n v="0"/>
    <n v="1215.78"/>
    <n v="270.3"/>
    <m/>
    <n v="1248.6441779863537"/>
    <n v="362.70381368696184"/>
    <n v="0"/>
    <n v="4420.5760799999998"/>
    <n v="982.81080000000009"/>
    <n v="0"/>
    <n v="4540.0702311583827"/>
    <n v="1318.7910665657932"/>
  </r>
  <r>
    <s v="Refaturamento - Regular"/>
    <x v="2"/>
    <x v="3"/>
    <x v="7"/>
    <x v="3"/>
    <x v="0"/>
    <x v="0"/>
    <x v="1"/>
    <x v="6"/>
    <n v="0"/>
    <n v="0"/>
    <n v="3.7999999999999999E-2"/>
    <n v="3.7999999999999999E-2"/>
    <n v="3.7999999999999999E-2"/>
    <n v="3.7999999999999999E-2"/>
    <n v="0"/>
    <x v="0"/>
    <n v="0"/>
    <n v="0"/>
    <n v="36"/>
    <n v="80"/>
    <n v="0"/>
    <n v="1215.78"/>
    <n v="270.3"/>
    <m/>
    <n v="1248.6441779863537"/>
    <n v="362.70381368696184"/>
    <n v="0"/>
    <n v="46.199639999999995"/>
    <n v="10.2714"/>
    <n v="0"/>
    <n v="47.44847876348144"/>
    <n v="13.78274492010455"/>
  </r>
  <r>
    <s v="Sistema Isolado - Regular"/>
    <x v="2"/>
    <x v="3"/>
    <x v="7"/>
    <x v="3"/>
    <x v="0"/>
    <x v="0"/>
    <x v="1"/>
    <x v="6"/>
    <n v="0"/>
    <n v="0"/>
    <n v="7.0999999999999994E-2"/>
    <n v="7.0999999999999994E-2"/>
    <n v="7.0999999999999994E-2"/>
    <n v="7.0999999999999994E-2"/>
    <n v="0"/>
    <x v="0"/>
    <n v="0"/>
    <n v="0"/>
    <n v="36"/>
    <n v="80"/>
    <n v="0"/>
    <n v="1215.78"/>
    <n v="270.3"/>
    <m/>
    <n v="1248.6441779863537"/>
    <n v="362.70381368696184"/>
    <n v="0"/>
    <n v="86.320379999999986"/>
    <n v="19.191299999999998"/>
    <n v="0"/>
    <n v="88.653736637031102"/>
    <n v="25.751970771774289"/>
  </r>
  <r>
    <s v="Regular"/>
    <x v="2"/>
    <x v="3"/>
    <x v="7"/>
    <x v="3"/>
    <x v="0"/>
    <x v="0"/>
    <x v="1"/>
    <x v="7"/>
    <n v="0"/>
    <n v="0"/>
    <n v="3.9569999999999999"/>
    <n v="3.9569999999999999"/>
    <n v="3.9569999999999999"/>
    <n v="3.9569999999999999"/>
    <n v="0"/>
    <x v="0"/>
    <n v="0"/>
    <n v="0"/>
    <n v="36"/>
    <n v="80"/>
    <n v="0"/>
    <n v="1215.78"/>
    <n v="270.3"/>
    <m/>
    <n v="1248.6441779863537"/>
    <n v="362.70381368696184"/>
    <n v="0"/>
    <n v="4810.8414599999996"/>
    <n v="1069.5771"/>
    <n v="0"/>
    <n v="4940.8850122920012"/>
    <n v="1435.2189907593079"/>
  </r>
  <r>
    <s v="Sistema Isolado - Regular"/>
    <x v="2"/>
    <x v="3"/>
    <x v="7"/>
    <x v="3"/>
    <x v="0"/>
    <x v="0"/>
    <x v="1"/>
    <x v="7"/>
    <n v="0"/>
    <n v="0"/>
    <n v="6.4000000000000001E-2"/>
    <n v="6.4000000000000001E-2"/>
    <n v="6.4000000000000001E-2"/>
    <n v="6.4000000000000001E-2"/>
    <n v="0"/>
    <x v="0"/>
    <n v="0"/>
    <n v="0"/>
    <n v="36"/>
    <n v="80"/>
    <n v="0"/>
    <n v="1215.78"/>
    <n v="270.3"/>
    <m/>
    <n v="1248.6441779863537"/>
    <n v="362.70381368696184"/>
    <n v="0"/>
    <n v="77.809920000000005"/>
    <n v="17.299200000000003"/>
    <n v="0"/>
    <n v="79.91322739112664"/>
    <n v="23.213044075965559"/>
  </r>
  <r>
    <s v="Sistema de Compensação"/>
    <x v="2"/>
    <x v="3"/>
    <x v="7"/>
    <x v="3"/>
    <x v="0"/>
    <x v="0"/>
    <x v="1"/>
    <x v="7"/>
    <n v="0"/>
    <n v="0"/>
    <n v="5.5E-2"/>
    <n v="5.5E-2"/>
    <n v="5.5E-2"/>
    <n v="5.5E-2"/>
    <n v="0"/>
    <x v="0"/>
    <n v="0"/>
    <n v="0"/>
    <n v="36"/>
    <n v="80"/>
    <n v="0"/>
    <n v="1215.78"/>
    <n v="270.3"/>
    <m/>
    <n v="1248.6441779863537"/>
    <n v="362.70381368696184"/>
    <n v="0"/>
    <n v="66.867900000000006"/>
    <n v="14.8665"/>
    <n v="0"/>
    <n v="68.675429789249449"/>
    <n v="19.9487097527829"/>
  </r>
  <r>
    <s v="Regular"/>
    <x v="2"/>
    <x v="3"/>
    <x v="7"/>
    <x v="3"/>
    <x v="0"/>
    <x v="0"/>
    <x v="1"/>
    <x v="8"/>
    <n v="0"/>
    <n v="0"/>
    <n v="4.5199999999999996"/>
    <n v="4.5199999999999996"/>
    <n v="4.5199999999999996"/>
    <n v="4.5199999999999996"/>
    <n v="0"/>
    <x v="0"/>
    <n v="0"/>
    <n v="0"/>
    <n v="36"/>
    <n v="80"/>
    <n v="0"/>
    <n v="1215.78"/>
    <n v="270.3"/>
    <m/>
    <n v="1248.6441779863537"/>
    <n v="362.70381368696184"/>
    <n v="0"/>
    <n v="5495.3255999999992"/>
    <n v="1221.7559999999999"/>
    <n v="0"/>
    <n v="5643.8716844983182"/>
    <n v="1639.4212378650673"/>
  </r>
  <r>
    <s v="Refaturamento - Regular"/>
    <x v="2"/>
    <x v="3"/>
    <x v="7"/>
    <x v="3"/>
    <x v="0"/>
    <x v="0"/>
    <x v="1"/>
    <x v="8"/>
    <n v="0"/>
    <n v="0"/>
    <n v="1.7999999999999999E-2"/>
    <n v="1.7999999999999999E-2"/>
    <n v="1.7999999999999999E-2"/>
    <n v="1.7999999999999999E-2"/>
    <n v="0"/>
    <x v="0"/>
    <n v="0"/>
    <n v="0"/>
    <n v="36"/>
    <n v="80"/>
    <n v="0"/>
    <n v="1215.78"/>
    <n v="270.3"/>
    <m/>
    <n v="1248.6441779863537"/>
    <n v="362.70381368696184"/>
    <n v="0"/>
    <n v="21.884039999999999"/>
    <n v="4.8654000000000002"/>
    <n v="0"/>
    <n v="22.475595203754366"/>
    <n v="6.528668646365313"/>
  </r>
  <r>
    <s v="Sistema Isolado - Regular"/>
    <x v="2"/>
    <x v="3"/>
    <x v="7"/>
    <x v="3"/>
    <x v="0"/>
    <x v="0"/>
    <x v="1"/>
    <x v="8"/>
    <n v="0"/>
    <n v="0"/>
    <n v="9.7000000000000003E-2"/>
    <n v="9.7000000000000003E-2"/>
    <n v="9.7000000000000003E-2"/>
    <n v="9.7000000000000003E-2"/>
    <n v="0"/>
    <x v="0"/>
    <n v="0"/>
    <n v="0"/>
    <n v="36"/>
    <n v="80"/>
    <n v="0"/>
    <n v="1215.78"/>
    <n v="270.3"/>
    <m/>
    <n v="1248.6441779863537"/>
    <n v="362.70381368696184"/>
    <n v="0"/>
    <n v="117.93066"/>
    <n v="26.219100000000001"/>
    <n v="0"/>
    <n v="121.11848526467631"/>
    <n v="35.182269927635296"/>
  </r>
  <r>
    <s v="Sistema de Compensação"/>
    <x v="2"/>
    <x v="3"/>
    <x v="7"/>
    <x v="3"/>
    <x v="0"/>
    <x v="0"/>
    <x v="1"/>
    <x v="8"/>
    <n v="0"/>
    <n v="0"/>
    <n v="0.01"/>
    <n v="0.01"/>
    <n v="0.01"/>
    <n v="0.01"/>
    <n v="0"/>
    <x v="0"/>
    <n v="0"/>
    <n v="0"/>
    <n v="36"/>
    <n v="80"/>
    <n v="0"/>
    <n v="1215.78"/>
    <n v="270.3"/>
    <m/>
    <n v="1248.6441779863537"/>
    <n v="362.70381368696184"/>
    <n v="0"/>
    <n v="12.1578"/>
    <n v="2.7030000000000003"/>
    <n v="0"/>
    <n v="12.486441779863538"/>
    <n v="3.6270381368696185"/>
  </r>
  <r>
    <s v="Regular"/>
    <x v="2"/>
    <x v="3"/>
    <x v="7"/>
    <x v="3"/>
    <x v="0"/>
    <x v="0"/>
    <x v="1"/>
    <x v="9"/>
    <n v="0"/>
    <n v="0"/>
    <n v="5.4770000000000003"/>
    <n v="5.4770000000000003"/>
    <n v="5.4770000000000003"/>
    <n v="5.4770000000000003"/>
    <n v="0"/>
    <x v="0"/>
    <n v="0"/>
    <n v="0"/>
    <n v="36"/>
    <n v="80"/>
    <n v="0"/>
    <n v="1215.78"/>
    <n v="270.3"/>
    <m/>
    <n v="1248.6441779863537"/>
    <n v="362.70381368696184"/>
    <n v="0"/>
    <n v="6658.8270600000005"/>
    <n v="1480.4331000000002"/>
    <n v="0"/>
    <n v="6838.8241628312599"/>
    <n v="1986.5287875634901"/>
  </r>
  <r>
    <s v="Refaturamento - Regular"/>
    <x v="2"/>
    <x v="3"/>
    <x v="7"/>
    <x v="3"/>
    <x v="0"/>
    <x v="0"/>
    <x v="1"/>
    <x v="9"/>
    <n v="0"/>
    <n v="0"/>
    <n v="-1E-3"/>
    <n v="-1E-3"/>
    <n v="-1E-3"/>
    <n v="-1E-3"/>
    <n v="0"/>
    <x v="0"/>
    <n v="0"/>
    <n v="0"/>
    <n v="36"/>
    <n v="80"/>
    <n v="0"/>
    <n v="1215.78"/>
    <n v="270.3"/>
    <m/>
    <n v="1248.6441779863537"/>
    <n v="362.70381368696184"/>
    <n v="0"/>
    <n v="-1.2157800000000001"/>
    <n v="-0.27030000000000004"/>
    <n v="0"/>
    <n v="-1.2486441779863537"/>
    <n v="-0.36270381368696186"/>
  </r>
  <r>
    <s v="Sistema Isolado - Regular"/>
    <x v="2"/>
    <x v="3"/>
    <x v="7"/>
    <x v="3"/>
    <x v="0"/>
    <x v="0"/>
    <x v="1"/>
    <x v="9"/>
    <n v="0"/>
    <n v="0"/>
    <n v="7.0000000000000007E-2"/>
    <n v="7.0000000000000007E-2"/>
    <n v="7.0000000000000007E-2"/>
    <n v="7.0000000000000007E-2"/>
    <n v="0"/>
    <x v="0"/>
    <n v="0"/>
    <n v="0"/>
    <n v="36"/>
    <n v="80"/>
    <n v="0"/>
    <n v="1215.78"/>
    <n v="270.3"/>
    <m/>
    <n v="1248.6441779863537"/>
    <n v="362.70381368696184"/>
    <n v="0"/>
    <n v="85.104600000000005"/>
    <n v="18.921000000000003"/>
    <n v="0"/>
    <n v="87.405092459044766"/>
    <n v="25.38926695808733"/>
  </r>
  <r>
    <s v="Sistema de Compensação"/>
    <x v="2"/>
    <x v="3"/>
    <x v="7"/>
    <x v="3"/>
    <x v="0"/>
    <x v="0"/>
    <x v="1"/>
    <x v="9"/>
    <n v="0"/>
    <n v="0"/>
    <n v="0.01"/>
    <n v="0.01"/>
    <n v="0.01"/>
    <n v="0.01"/>
    <n v="0"/>
    <x v="0"/>
    <n v="0"/>
    <n v="0"/>
    <n v="36"/>
    <n v="80"/>
    <n v="0"/>
    <n v="1215.78"/>
    <n v="270.3"/>
    <m/>
    <n v="1248.6441779863537"/>
    <n v="362.70381368696184"/>
    <n v="0"/>
    <n v="12.1578"/>
    <n v="2.7030000000000003"/>
    <n v="0"/>
    <n v="12.486441779863538"/>
    <n v="3.6270381368696185"/>
  </r>
  <r>
    <s v="Regular"/>
    <x v="2"/>
    <x v="3"/>
    <x v="7"/>
    <x v="3"/>
    <x v="0"/>
    <x v="0"/>
    <x v="1"/>
    <x v="10"/>
    <n v="0"/>
    <n v="0"/>
    <n v="4.5709999999999997"/>
    <n v="4.5709999999999997"/>
    <n v="4.5709999999999997"/>
    <n v="4.5709999999999997"/>
    <n v="0"/>
    <x v="0"/>
    <n v="0"/>
    <n v="0"/>
    <n v="36"/>
    <n v="80"/>
    <n v="0"/>
    <n v="1215.78"/>
    <n v="270.3"/>
    <m/>
    <n v="1248.6441779863537"/>
    <n v="362.70381368696184"/>
    <n v="0"/>
    <n v="5557.3303799999994"/>
    <n v="1235.5413000000001"/>
    <n v="0"/>
    <n v="5707.5525375756224"/>
    <n v="1657.9191323631026"/>
  </r>
  <r>
    <s v="Sistema Isolado - Regular"/>
    <x v="2"/>
    <x v="3"/>
    <x v="7"/>
    <x v="3"/>
    <x v="0"/>
    <x v="0"/>
    <x v="1"/>
    <x v="10"/>
    <n v="0"/>
    <n v="0"/>
    <n v="7.6999999999999999E-2"/>
    <n v="7.6999999999999999E-2"/>
    <n v="7.6999999999999999E-2"/>
    <n v="7.6999999999999999E-2"/>
    <n v="0"/>
    <x v="0"/>
    <n v="0"/>
    <n v="0"/>
    <n v="36"/>
    <n v="80"/>
    <n v="0"/>
    <n v="1215.78"/>
    <n v="270.3"/>
    <m/>
    <n v="1248.6441779863537"/>
    <n v="362.70381368696184"/>
    <n v="0"/>
    <n v="93.61506"/>
    <n v="20.813100000000002"/>
    <n v="0"/>
    <n v="96.145601704949229"/>
    <n v="27.928193653896059"/>
  </r>
  <r>
    <s v="Sistema de Compensação"/>
    <x v="2"/>
    <x v="3"/>
    <x v="7"/>
    <x v="3"/>
    <x v="0"/>
    <x v="0"/>
    <x v="1"/>
    <x v="10"/>
    <n v="0"/>
    <n v="0"/>
    <n v="0.09"/>
    <n v="0.09"/>
    <n v="0.09"/>
    <n v="0.09"/>
    <n v="0"/>
    <x v="0"/>
    <n v="0"/>
    <n v="0"/>
    <n v="36"/>
    <n v="80"/>
    <n v="0"/>
    <n v="1215.78"/>
    <n v="270.3"/>
    <m/>
    <n v="1248.6441779863537"/>
    <n v="362.70381368696184"/>
    <n v="0"/>
    <n v="109.42019999999999"/>
    <n v="24.327000000000002"/>
    <n v="0"/>
    <n v="112.37797601877183"/>
    <n v="32.643343231826563"/>
  </r>
  <r>
    <s v="Sistema de Compensação"/>
    <x v="2"/>
    <x v="3"/>
    <x v="7"/>
    <x v="3"/>
    <x v="0"/>
    <x v="0"/>
    <x v="1"/>
    <x v="10"/>
    <n v="0"/>
    <n v="0"/>
    <n v="-0.01"/>
    <n v="-0.01"/>
    <n v="-0.01"/>
    <n v="-0.01"/>
    <n v="0"/>
    <x v="0"/>
    <n v="0"/>
    <n v="0"/>
    <n v="36"/>
    <n v="80"/>
    <n v="0"/>
    <n v="1215.78"/>
    <n v="270.3"/>
    <m/>
    <n v="1248.6441779863537"/>
    <n v="362.70381368696184"/>
    <n v="0"/>
    <n v="-12.1578"/>
    <n v="-2.7030000000000003"/>
    <n v="0"/>
    <n v="-12.486441779863538"/>
    <n v="-3.6270381368696185"/>
  </r>
  <r>
    <s v="PROJETADO"/>
    <x v="2"/>
    <x v="3"/>
    <x v="7"/>
    <x v="3"/>
    <x v="0"/>
    <x v="0"/>
    <x v="1"/>
    <x v="11"/>
    <n v="0"/>
    <n v="0"/>
    <n v="4.5709999999999997"/>
    <n v="4.5709999999999997"/>
    <n v="4.5709999999999997"/>
    <n v="4.5709999999999997"/>
    <n v="0"/>
    <x v="0"/>
    <n v="0"/>
    <n v="0"/>
    <n v="36"/>
    <n v="80"/>
    <n v="0"/>
    <n v="1215.78"/>
    <n v="270.3"/>
    <m/>
    <n v="1248.6441779863537"/>
    <n v="362.70381368696184"/>
    <n v="0"/>
    <n v="5557.3303799999994"/>
    <n v="1235.5413000000001"/>
    <n v="0"/>
    <n v="5707.5525375756224"/>
    <n v="1657.9191323631026"/>
  </r>
  <r>
    <s v="PROJETADO"/>
    <x v="2"/>
    <x v="3"/>
    <x v="7"/>
    <x v="3"/>
    <x v="0"/>
    <x v="0"/>
    <x v="1"/>
    <x v="11"/>
    <n v="0"/>
    <n v="0"/>
    <n v="7.6999999999999999E-2"/>
    <n v="7.6999999999999999E-2"/>
    <n v="7.6999999999999999E-2"/>
    <n v="7.6999999999999999E-2"/>
    <n v="0"/>
    <x v="0"/>
    <n v="0"/>
    <n v="0"/>
    <n v="36"/>
    <n v="80"/>
    <n v="0"/>
    <n v="1215.78"/>
    <n v="270.3"/>
    <m/>
    <n v="1248.6441779863537"/>
    <n v="362.70381368696184"/>
    <n v="0"/>
    <n v="93.61506"/>
    <n v="20.813100000000002"/>
    <n v="0"/>
    <n v="96.145601704949229"/>
    <n v="27.928193653896059"/>
  </r>
  <r>
    <s v="PROJETADO"/>
    <x v="2"/>
    <x v="3"/>
    <x v="7"/>
    <x v="3"/>
    <x v="0"/>
    <x v="0"/>
    <x v="1"/>
    <x v="11"/>
    <n v="0"/>
    <n v="0"/>
    <n v="0.09"/>
    <n v="0.09"/>
    <n v="0.09"/>
    <n v="0.09"/>
    <n v="0"/>
    <x v="0"/>
    <n v="0"/>
    <n v="0"/>
    <n v="36"/>
    <n v="80"/>
    <n v="0"/>
    <n v="1215.78"/>
    <n v="270.3"/>
    <m/>
    <n v="1248.6441779863537"/>
    <n v="362.70381368696184"/>
    <n v="0"/>
    <n v="109.42019999999999"/>
    <n v="24.327000000000002"/>
    <n v="0"/>
    <n v="112.37797601877183"/>
    <n v="32.643343231826563"/>
  </r>
  <r>
    <s v="PROJETADO"/>
    <x v="2"/>
    <x v="3"/>
    <x v="7"/>
    <x v="3"/>
    <x v="0"/>
    <x v="0"/>
    <x v="1"/>
    <x v="11"/>
    <n v="0"/>
    <n v="0"/>
    <n v="-0.01"/>
    <n v="-0.01"/>
    <n v="-0.01"/>
    <n v="-0.01"/>
    <n v="0"/>
    <x v="0"/>
    <n v="0"/>
    <n v="0"/>
    <n v="36"/>
    <n v="80"/>
    <n v="0"/>
    <n v="1215.78"/>
    <n v="270.3"/>
    <m/>
    <n v="1248.6441779863537"/>
    <n v="362.70381368696184"/>
    <n v="0"/>
    <n v="-12.1578"/>
    <n v="-2.7030000000000003"/>
    <n v="0"/>
    <n v="-12.486441779863538"/>
    <n v="-3.6270381368696185"/>
  </r>
  <r>
    <s v="Regular"/>
    <x v="2"/>
    <x v="4"/>
    <x v="7"/>
    <x v="3"/>
    <x v="0"/>
    <x v="0"/>
    <x v="2"/>
    <x v="0"/>
    <n v="0"/>
    <n v="0"/>
    <n v="30655.42"/>
    <n v="30655.42"/>
    <n v="30655.42"/>
    <n v="30655.42"/>
    <n v="133989"/>
    <x v="0"/>
    <n v="0"/>
    <n v="0"/>
    <n v="39"/>
    <n v="83"/>
    <n v="0"/>
    <n v="463.6"/>
    <n v="176.58"/>
    <m/>
    <n v="502.18276542172094"/>
    <n v="230.72991454293387"/>
    <n v="0"/>
    <n v="14211852.711999999"/>
    <n v="5413134.0636"/>
    <n v="0"/>
    <n v="15394623.590764333"/>
    <n v="7073122.4368777452"/>
  </r>
  <r>
    <s v="Refaturamento - Regular"/>
    <x v="2"/>
    <x v="4"/>
    <x v="7"/>
    <x v="3"/>
    <x v="0"/>
    <x v="0"/>
    <x v="2"/>
    <x v="0"/>
    <n v="0"/>
    <n v="0"/>
    <n v="-413.428"/>
    <n v="-413.428"/>
    <n v="-413.428"/>
    <n v="-413.428"/>
    <n v="-230"/>
    <x v="0"/>
    <n v="0"/>
    <n v="0"/>
    <n v="39"/>
    <n v="83"/>
    <n v="0"/>
    <n v="463.6"/>
    <n v="176.58"/>
    <m/>
    <n v="502.18276542172094"/>
    <n v="230.72991454293387"/>
    <n v="0"/>
    <n v="-191665.22080000001"/>
    <n v="-73003.116240000003"/>
    <n v="0"/>
    <n v="-207616.41634277123"/>
    <n v="-95390.207109656068"/>
  </r>
  <r>
    <s v="Sistema Isolado - Regular"/>
    <x v="2"/>
    <x v="4"/>
    <x v="7"/>
    <x v="3"/>
    <x v="0"/>
    <x v="0"/>
    <x v="2"/>
    <x v="0"/>
    <n v="0"/>
    <n v="0"/>
    <n v="6382.9449999999997"/>
    <n v="6382.9449999999997"/>
    <n v="6382.9449999999997"/>
    <n v="6382.9449999999997"/>
    <n v="34548"/>
    <x v="0"/>
    <n v="0"/>
    <n v="0"/>
    <n v="39"/>
    <n v="83"/>
    <n v="0"/>
    <n v="463.6"/>
    <n v="176.58"/>
    <m/>
    <n v="502.18276542172094"/>
    <n v="230.72991454293387"/>
    <n v="0"/>
    <n v="2959133.3020000001"/>
    <n v="1127100.4281000001"/>
    <n v="0"/>
    <n v="3205404.9716347465"/>
    <n v="1472736.354382247"/>
  </r>
  <r>
    <s v="Sistema Isolado - Refaturamento"/>
    <x v="2"/>
    <x v="4"/>
    <x v="7"/>
    <x v="3"/>
    <x v="0"/>
    <x v="0"/>
    <x v="2"/>
    <x v="0"/>
    <n v="0"/>
    <n v="0"/>
    <n v="-6.4370000000000003"/>
    <n v="-6.4370000000000003"/>
    <n v="-6.4370000000000003"/>
    <n v="-6.4370000000000003"/>
    <n v="-23"/>
    <x v="0"/>
    <n v="0"/>
    <n v="0"/>
    <n v="39"/>
    <n v="83"/>
    <n v="0"/>
    <n v="463.6"/>
    <n v="176.58"/>
    <m/>
    <n v="502.18276542172094"/>
    <n v="230.72991454293387"/>
    <n v="0"/>
    <n v="-2984.1932000000002"/>
    <n v="-1136.6454600000002"/>
    <n v="0"/>
    <n v="-3232.5504610196181"/>
    <n v="-1485.2084599128655"/>
  </r>
  <r>
    <s v="Sistema de Compensação"/>
    <x v="2"/>
    <x v="4"/>
    <x v="7"/>
    <x v="3"/>
    <x v="0"/>
    <x v="0"/>
    <x v="2"/>
    <x v="0"/>
    <n v="0"/>
    <n v="0"/>
    <n v="418.59699999999998"/>
    <n v="418.59699999999998"/>
    <n v="418.59699999999998"/>
    <n v="418.59699999999998"/>
    <n v="1994"/>
    <x v="0"/>
    <n v="0"/>
    <n v="0"/>
    <n v="39"/>
    <n v="83"/>
    <n v="0"/>
    <n v="463.6"/>
    <n v="176.58"/>
    <m/>
    <n v="502.18276542172094"/>
    <n v="230.72991454293387"/>
    <n v="0"/>
    <n v="194061.5692"/>
    <n v="73915.858260000008"/>
    <n v="0"/>
    <n v="210212.19905723611"/>
    <n v="96582.850037928481"/>
  </r>
  <r>
    <s v="Sistema de Compensação"/>
    <x v="2"/>
    <x v="4"/>
    <x v="7"/>
    <x v="3"/>
    <x v="0"/>
    <x v="0"/>
    <x v="2"/>
    <x v="0"/>
    <n v="0"/>
    <n v="0"/>
    <n v="-1.048"/>
    <n v="-1.048"/>
    <n v="-1.048"/>
    <n v="-1.048"/>
    <n v="1"/>
    <x v="0"/>
    <n v="0"/>
    <n v="0"/>
    <n v="39"/>
    <n v="83"/>
    <n v="0"/>
    <n v="463.6"/>
    <n v="176.58"/>
    <m/>
    <n v="502.18276542172094"/>
    <n v="230.72991454293387"/>
    <n v="0"/>
    <n v="-485.85280000000006"/>
    <n v="-185.05584000000002"/>
    <n v="0"/>
    <n v="-526.28753816196354"/>
    <n v="-241.8049504409947"/>
  </r>
  <r>
    <s v="Regular"/>
    <x v="2"/>
    <x v="4"/>
    <x v="7"/>
    <x v="3"/>
    <x v="0"/>
    <x v="0"/>
    <x v="2"/>
    <x v="1"/>
    <n v="0"/>
    <n v="0"/>
    <n v="30760.47"/>
    <n v="30760.47"/>
    <n v="30760.47"/>
    <n v="30760.47"/>
    <n v="133493"/>
    <x v="0"/>
    <n v="0"/>
    <n v="0"/>
    <n v="39"/>
    <n v="83"/>
    <n v="0"/>
    <n v="463.6"/>
    <n v="176.58"/>
    <m/>
    <n v="502.18276542172094"/>
    <n v="230.72991454293387"/>
    <n v="0"/>
    <n v="14260553.892000001"/>
    <n v="5431683.7926000003"/>
    <n v="0"/>
    <n v="15447377.890271885"/>
    <n v="7097360.6144004809"/>
  </r>
  <r>
    <s v="Refaturamento - Regular"/>
    <x v="2"/>
    <x v="4"/>
    <x v="7"/>
    <x v="3"/>
    <x v="0"/>
    <x v="0"/>
    <x v="2"/>
    <x v="1"/>
    <n v="0"/>
    <n v="0"/>
    <n v="-214.81299999999999"/>
    <n v="-214.81299999999999"/>
    <n v="-214.81299999999999"/>
    <n v="-214.81299999999999"/>
    <n v="-87"/>
    <x v="0"/>
    <n v="0"/>
    <n v="0"/>
    <n v="39"/>
    <n v="83"/>
    <n v="0"/>
    <n v="463.6"/>
    <n v="176.58"/>
    <m/>
    <n v="502.18276542172094"/>
    <n v="230.72991454293387"/>
    <n v="0"/>
    <n v="-99587.306800000006"/>
    <n v="-37931.679539999997"/>
    <n v="0"/>
    <n v="-107875.38638853614"/>
    <n v="-49563.785132711251"/>
  </r>
  <r>
    <s v="Sistema Isolado - Regular"/>
    <x v="2"/>
    <x v="4"/>
    <x v="7"/>
    <x v="3"/>
    <x v="0"/>
    <x v="0"/>
    <x v="2"/>
    <x v="1"/>
    <n v="0"/>
    <n v="0"/>
    <n v="6518.5770000000002"/>
    <n v="6518.5770000000002"/>
    <n v="6518.5770000000002"/>
    <n v="6518.5770000000002"/>
    <n v="34580"/>
    <x v="0"/>
    <n v="0"/>
    <n v="0"/>
    <n v="39"/>
    <n v="83"/>
    <n v="0"/>
    <n v="463.6"/>
    <n v="176.58"/>
    <m/>
    <n v="502.18276542172094"/>
    <n v="230.72991454293387"/>
    <n v="0"/>
    <n v="3022012.2972000004"/>
    <n v="1151050.32666"/>
    <n v="0"/>
    <n v="3273517.0244744257"/>
    <n v="1504030.7141515343"/>
  </r>
  <r>
    <s v="Sistema Isolado - Refaturamento"/>
    <x v="2"/>
    <x v="4"/>
    <x v="7"/>
    <x v="3"/>
    <x v="0"/>
    <x v="0"/>
    <x v="2"/>
    <x v="1"/>
    <n v="0"/>
    <n v="0"/>
    <n v="-27.465"/>
    <n v="-27.465"/>
    <n v="-27.465"/>
    <n v="-27.465"/>
    <n v="-22"/>
    <x v="0"/>
    <n v="0"/>
    <n v="0"/>
    <n v="39"/>
    <n v="83"/>
    <n v="0"/>
    <n v="463.6"/>
    <n v="176.58"/>
    <m/>
    <n v="502.18276542172094"/>
    <n v="230.72991454293387"/>
    <n v="0"/>
    <n v="-12732.774000000001"/>
    <n v="-4849.7697000000007"/>
    <n v="0"/>
    <n v="-13792.449652307565"/>
    <n v="-6336.9971029216786"/>
  </r>
  <r>
    <s v="Sistema de Compensação"/>
    <x v="2"/>
    <x v="4"/>
    <x v="7"/>
    <x v="3"/>
    <x v="0"/>
    <x v="0"/>
    <x v="2"/>
    <x v="1"/>
    <n v="0"/>
    <n v="0"/>
    <n v="422.48399999999998"/>
    <n v="422.48399999999998"/>
    <n v="422.48399999999998"/>
    <n v="422.48399999999998"/>
    <n v="2193"/>
    <x v="0"/>
    <n v="0"/>
    <n v="0"/>
    <n v="39"/>
    <n v="83"/>
    <n v="0"/>
    <n v="463.6"/>
    <n v="176.58"/>
    <m/>
    <n v="502.18276542172094"/>
    <n v="230.72991454293387"/>
    <n v="0"/>
    <n v="195863.58240000001"/>
    <n v="74602.224719999998"/>
    <n v="0"/>
    <n v="212164.18346643035"/>
    <n v="97479.697215756867"/>
  </r>
  <r>
    <s v="Sistema de Compensação"/>
    <x v="2"/>
    <x v="4"/>
    <x v="7"/>
    <x v="3"/>
    <x v="0"/>
    <x v="0"/>
    <x v="2"/>
    <x v="1"/>
    <n v="0"/>
    <n v="0"/>
    <n v="-3.302"/>
    <n v="-3.302"/>
    <n v="-3.302"/>
    <n v="-3.302"/>
    <n v="0"/>
    <x v="0"/>
    <n v="0"/>
    <n v="0"/>
    <n v="39"/>
    <n v="83"/>
    <n v="0"/>
    <n v="463.6"/>
    <n v="176.58"/>
    <m/>
    <n v="502.18276542172094"/>
    <n v="230.72991454293387"/>
    <n v="0"/>
    <n v="-1530.8072000000002"/>
    <n v="-583.06716000000006"/>
    <n v="0"/>
    <n v="-1658.2074914225225"/>
    <n v="-761.87017782076759"/>
  </r>
  <r>
    <s v="Regular"/>
    <x v="2"/>
    <x v="4"/>
    <x v="7"/>
    <x v="3"/>
    <x v="0"/>
    <x v="0"/>
    <x v="2"/>
    <x v="2"/>
    <n v="0"/>
    <n v="0"/>
    <n v="27789.001"/>
    <n v="27789.001"/>
    <n v="27789.001"/>
    <n v="27789.001"/>
    <n v="129769"/>
    <x v="0"/>
    <n v="0"/>
    <n v="0"/>
    <n v="39"/>
    <n v="83"/>
    <n v="0"/>
    <n v="463.6"/>
    <n v="176.58"/>
    <m/>
    <n v="502.18276542172094"/>
    <n v="230.72991454293387"/>
    <n v="0"/>
    <n v="12882980.863600001"/>
    <n v="4906981.7965800008"/>
    <n v="0"/>
    <n v="13955157.370486969"/>
    <n v="6411753.8259635037"/>
  </r>
  <r>
    <s v="Refaturamento - Regular"/>
    <x v="2"/>
    <x v="4"/>
    <x v="7"/>
    <x v="3"/>
    <x v="0"/>
    <x v="0"/>
    <x v="2"/>
    <x v="2"/>
    <n v="0"/>
    <n v="0"/>
    <n v="-222.50200000000001"/>
    <n v="-222.50200000000001"/>
    <n v="-222.50200000000001"/>
    <n v="-222.50200000000001"/>
    <n v="-96"/>
    <x v="0"/>
    <n v="0"/>
    <n v="0"/>
    <n v="39"/>
    <n v="83"/>
    <n v="0"/>
    <n v="463.6"/>
    <n v="176.58"/>
    <m/>
    <n v="502.18276542172094"/>
    <n v="230.72991454293387"/>
    <n v="0"/>
    <n v="-103151.92720000001"/>
    <n v="-39289.403160000002"/>
    <n v="0"/>
    <n v="-111736.66967186375"/>
    <n v="-51337.867445631877"/>
  </r>
  <r>
    <s v="Sistema Isolado - Regular"/>
    <x v="2"/>
    <x v="4"/>
    <x v="7"/>
    <x v="3"/>
    <x v="0"/>
    <x v="0"/>
    <x v="2"/>
    <x v="2"/>
    <n v="0"/>
    <n v="0"/>
    <n v="5879.2740000000003"/>
    <n v="5879.2740000000003"/>
    <n v="5879.2740000000003"/>
    <n v="5879.2740000000003"/>
    <n v="33868"/>
    <x v="0"/>
    <n v="0"/>
    <n v="0"/>
    <n v="39"/>
    <n v="83"/>
    <n v="0"/>
    <n v="463.6"/>
    <n v="176.58"/>
    <m/>
    <n v="502.18276542172094"/>
    <n v="230.72991454293387"/>
    <n v="0"/>
    <n v="2725631.4264000002"/>
    <n v="1038162.2029200002"/>
    <n v="0"/>
    <n v="2952470.0759920231"/>
    <n v="1356524.3875944931"/>
  </r>
  <r>
    <s v="Sistema Isolado - Refaturamento"/>
    <x v="2"/>
    <x v="4"/>
    <x v="7"/>
    <x v="3"/>
    <x v="0"/>
    <x v="0"/>
    <x v="2"/>
    <x v="2"/>
    <n v="0"/>
    <n v="0"/>
    <n v="-48.142000000000003"/>
    <n v="-48.142000000000003"/>
    <n v="-48.142000000000003"/>
    <n v="-48.142000000000003"/>
    <n v="-10"/>
    <x v="0"/>
    <n v="0"/>
    <n v="0"/>
    <n v="39"/>
    <n v="83"/>
    <n v="0"/>
    <n v="463.6"/>
    <n v="176.58"/>
    <m/>
    <n v="502.18276542172094"/>
    <n v="230.72991454293387"/>
    <n v="0"/>
    <n v="-22318.631200000003"/>
    <n v="-8500.9143600000007"/>
    <n v="0"/>
    <n v="-24176.08269293249"/>
    <n v="-11107.799545925924"/>
  </r>
  <r>
    <s v="Sistema de Compensação"/>
    <x v="2"/>
    <x v="4"/>
    <x v="7"/>
    <x v="3"/>
    <x v="0"/>
    <x v="0"/>
    <x v="2"/>
    <x v="2"/>
    <n v="0"/>
    <n v="0"/>
    <n v="406.58800000000002"/>
    <n v="406.58800000000002"/>
    <n v="406.58800000000002"/>
    <n v="406.58800000000002"/>
    <n v="2397"/>
    <x v="0"/>
    <n v="0"/>
    <n v="0"/>
    <n v="39"/>
    <n v="83"/>
    <n v="0"/>
    <n v="463.6"/>
    <n v="176.58"/>
    <m/>
    <n v="502.18276542172094"/>
    <n v="230.72991454293387"/>
    <n v="0"/>
    <n v="188494.19680000001"/>
    <n v="71795.309040000007"/>
    <n v="0"/>
    <n v="204181.48622728669"/>
    <n v="93812.014494182396"/>
  </r>
  <r>
    <s v="Sistema de Compensação"/>
    <x v="2"/>
    <x v="4"/>
    <x v="7"/>
    <x v="3"/>
    <x v="0"/>
    <x v="0"/>
    <x v="2"/>
    <x v="2"/>
    <n v="0"/>
    <n v="0"/>
    <n v="-0.66800000000000004"/>
    <n v="-0.66800000000000004"/>
    <n v="-0.66800000000000004"/>
    <n v="-0.66800000000000004"/>
    <n v="1"/>
    <x v="0"/>
    <n v="0"/>
    <n v="0"/>
    <n v="39"/>
    <n v="83"/>
    <n v="0"/>
    <n v="463.6"/>
    <n v="176.58"/>
    <m/>
    <n v="502.18276542172094"/>
    <n v="230.72991454293387"/>
    <n v="0"/>
    <n v="-309.68480000000005"/>
    <n v="-117.95544000000001"/>
    <n v="0"/>
    <n v="-335.45808730170961"/>
    <n v="-154.12758291467983"/>
  </r>
  <r>
    <s v="Regular"/>
    <x v="2"/>
    <x v="4"/>
    <x v="7"/>
    <x v="3"/>
    <x v="0"/>
    <x v="0"/>
    <x v="2"/>
    <x v="3"/>
    <n v="0"/>
    <n v="0"/>
    <n v="28575.54"/>
    <n v="28575.54"/>
    <n v="28575.54"/>
    <n v="28575.54"/>
    <n v="133975"/>
    <x v="0"/>
    <n v="0"/>
    <n v="0"/>
    <n v="39"/>
    <n v="83"/>
    <n v="0"/>
    <n v="463.6"/>
    <n v="176.58"/>
    <m/>
    <n v="502.18276542172094"/>
    <n v="230.72991454293387"/>
    <n v="0"/>
    <n v="13247620.344000001"/>
    <n v="5045868.8532000007"/>
    <n v="0"/>
    <n v="14350143.700619005"/>
    <n v="6593231.9022181891"/>
  </r>
  <r>
    <s v="Refaturamento - Regular"/>
    <x v="2"/>
    <x v="4"/>
    <x v="7"/>
    <x v="3"/>
    <x v="0"/>
    <x v="0"/>
    <x v="2"/>
    <x v="3"/>
    <n v="0"/>
    <n v="0"/>
    <n v="-403.17599999999999"/>
    <n v="-403.17599999999999"/>
    <n v="-403.17599999999999"/>
    <n v="-403.17599999999999"/>
    <n v="-99"/>
    <x v="0"/>
    <n v="0"/>
    <n v="0"/>
    <n v="39"/>
    <n v="83"/>
    <n v="0"/>
    <n v="463.6"/>
    <n v="176.58"/>
    <m/>
    <n v="502.18276542172094"/>
    <n v="230.72991454293387"/>
    <n v="0"/>
    <n v="-186912.39360000001"/>
    <n v="-71192.818079999997"/>
    <n v="0"/>
    <n v="-202468.03863166776"/>
    <n v="-93024.764025761906"/>
  </r>
  <r>
    <s v="Sistema Isolado - Regular"/>
    <x v="2"/>
    <x v="4"/>
    <x v="7"/>
    <x v="3"/>
    <x v="0"/>
    <x v="0"/>
    <x v="2"/>
    <x v="3"/>
    <n v="0"/>
    <n v="0"/>
    <n v="6118.0789999999997"/>
    <n v="6118.0789999999997"/>
    <n v="6118.0789999999997"/>
    <n v="6118.0789999999997"/>
    <n v="35004"/>
    <x v="0"/>
    <n v="0"/>
    <n v="0"/>
    <n v="39"/>
    <n v="83"/>
    <n v="0"/>
    <n v="463.6"/>
    <n v="176.58"/>
    <m/>
    <n v="502.18276542172094"/>
    <n v="230.72991454293387"/>
    <n v="0"/>
    <n v="2836341.4243999999"/>
    <n v="1080330.3898199999"/>
    <n v="0"/>
    <n v="3072393.831288557"/>
    <n v="1411623.8448369182"/>
  </r>
  <r>
    <s v="Sistema Isolado - Refaturamento"/>
    <x v="2"/>
    <x v="4"/>
    <x v="7"/>
    <x v="3"/>
    <x v="0"/>
    <x v="0"/>
    <x v="2"/>
    <x v="3"/>
    <n v="0"/>
    <n v="0"/>
    <n v="-10.265000000000001"/>
    <n v="-10.265000000000001"/>
    <n v="-10.265000000000001"/>
    <n v="-10.265000000000001"/>
    <n v="-10"/>
    <x v="0"/>
    <n v="0"/>
    <n v="0"/>
    <n v="39"/>
    <n v="83"/>
    <n v="0"/>
    <n v="463.6"/>
    <n v="176.58"/>
    <m/>
    <n v="502.18276542172094"/>
    <n v="230.72991454293387"/>
    <n v="0"/>
    <n v="-4758.8540000000003"/>
    <n v="-1812.5937000000001"/>
    <n v="0"/>
    <n v="-5154.9060870539661"/>
    <n v="-2368.4425727832163"/>
  </r>
  <r>
    <s v="Sistema de Compensação"/>
    <x v="2"/>
    <x v="4"/>
    <x v="7"/>
    <x v="3"/>
    <x v="0"/>
    <x v="0"/>
    <x v="2"/>
    <x v="3"/>
    <n v="0"/>
    <n v="0"/>
    <n v="440.83600000000001"/>
    <n v="440.83600000000001"/>
    <n v="440.83600000000001"/>
    <n v="440.83600000000001"/>
    <n v="2651"/>
    <x v="0"/>
    <n v="0"/>
    <n v="0"/>
    <n v="39"/>
    <n v="83"/>
    <n v="0"/>
    <n v="463.6"/>
    <n v="176.58"/>
    <m/>
    <n v="502.18276542172094"/>
    <n v="230.72991454293387"/>
    <n v="0"/>
    <n v="204371.56960000002"/>
    <n v="77842.820880000014"/>
    <n v="0"/>
    <n v="221380.24157744978"/>
    <n v="101714.0526074488"/>
  </r>
  <r>
    <s v="Sistema de Compensação"/>
    <x v="2"/>
    <x v="4"/>
    <x v="7"/>
    <x v="3"/>
    <x v="0"/>
    <x v="0"/>
    <x v="2"/>
    <x v="3"/>
    <n v="0"/>
    <n v="0"/>
    <n v="-0.84699999999999998"/>
    <n v="-0.84699999999999998"/>
    <n v="-0.84699999999999998"/>
    <n v="-0.84699999999999998"/>
    <n v="0"/>
    <x v="0"/>
    <n v="0"/>
    <n v="0"/>
    <n v="39"/>
    <n v="83"/>
    <n v="0"/>
    <n v="463.6"/>
    <n v="176.58"/>
    <m/>
    <n v="502.18276542172094"/>
    <n v="230.72991454293387"/>
    <n v="0"/>
    <n v="-392.66919999999999"/>
    <n v="-149.56326000000001"/>
    <n v="0"/>
    <n v="-425.34880231219762"/>
    <n v="-195.42823761786499"/>
  </r>
  <r>
    <s v="Regular"/>
    <x v="2"/>
    <x v="4"/>
    <x v="7"/>
    <x v="3"/>
    <x v="0"/>
    <x v="0"/>
    <x v="2"/>
    <x v="4"/>
    <n v="0"/>
    <n v="0"/>
    <n v="28132.199000000001"/>
    <n v="28132.199000000001"/>
    <n v="28132.199000000001"/>
    <n v="28132.199000000001"/>
    <n v="132356"/>
    <x v="0"/>
    <n v="0"/>
    <n v="0"/>
    <n v="39"/>
    <n v="83"/>
    <n v="0"/>
    <n v="463.6"/>
    <n v="176.58"/>
    <m/>
    <n v="502.18276542172094"/>
    <n v="230.72991454293387"/>
    <n v="0"/>
    <n v="13042087.456400001"/>
    <n v="4967583.6994200004"/>
    <n v="0"/>
    <n v="14127505.491214173"/>
    <n v="6490939.8711748095"/>
  </r>
  <r>
    <s v="Refaturamento - Regular"/>
    <x v="2"/>
    <x v="4"/>
    <x v="7"/>
    <x v="3"/>
    <x v="0"/>
    <x v="0"/>
    <x v="2"/>
    <x v="4"/>
    <n v="0"/>
    <n v="0"/>
    <n v="-319.399"/>
    <n v="-319.399"/>
    <n v="-319.399"/>
    <n v="-319.399"/>
    <n v="-190"/>
    <x v="0"/>
    <n v="0"/>
    <n v="0"/>
    <n v="39"/>
    <n v="83"/>
    <n v="0"/>
    <n v="463.6"/>
    <n v="176.58"/>
    <m/>
    <n v="502.18276542172094"/>
    <n v="230.72991454293387"/>
    <n v="0"/>
    <n v="-148073.37640000001"/>
    <n v="-56399.475420000002"/>
    <n v="0"/>
    <n v="-160396.67309293224"/>
    <n v="-73694.903975098539"/>
  </r>
  <r>
    <s v="Sistema Isolado - Regular"/>
    <x v="2"/>
    <x v="4"/>
    <x v="7"/>
    <x v="3"/>
    <x v="0"/>
    <x v="0"/>
    <x v="2"/>
    <x v="4"/>
    <n v="0"/>
    <n v="0"/>
    <n v="6118.0929999999998"/>
    <n v="6118.0929999999998"/>
    <n v="6118.0929999999998"/>
    <n v="6118.0929999999998"/>
    <n v="34744"/>
    <x v="0"/>
    <n v="0"/>
    <n v="0"/>
    <n v="39"/>
    <n v="83"/>
    <n v="0"/>
    <n v="463.6"/>
    <n v="176.58"/>
    <m/>
    <n v="502.18276542172094"/>
    <n v="230.72991454293387"/>
    <n v="0"/>
    <n v="2836347.9147999999"/>
    <n v="1080332.86194"/>
    <n v="0"/>
    <n v="3072400.8618472731"/>
    <n v="1411627.0750557219"/>
  </r>
  <r>
    <s v="Sistema Isolado - Refaturamento"/>
    <x v="2"/>
    <x v="4"/>
    <x v="7"/>
    <x v="3"/>
    <x v="0"/>
    <x v="0"/>
    <x v="2"/>
    <x v="4"/>
    <n v="0"/>
    <n v="0"/>
    <n v="-24.042000000000002"/>
    <n v="-24.042000000000002"/>
    <n v="-24.042000000000002"/>
    <n v="-24.042000000000002"/>
    <n v="-141"/>
    <x v="0"/>
    <n v="0"/>
    <n v="0"/>
    <n v="39"/>
    <n v="83"/>
    <n v="0"/>
    <n v="463.6"/>
    <n v="176.58"/>
    <m/>
    <n v="502.18276542172094"/>
    <n v="230.72991454293387"/>
    <n v="0"/>
    <n v="-11145.871200000001"/>
    <n v="-4245.3363600000002"/>
    <n v="0"/>
    <n v="-12073.478046269016"/>
    <n v="-5547.2086054412166"/>
  </r>
  <r>
    <s v="Sistema de Compensação"/>
    <x v="2"/>
    <x v="4"/>
    <x v="7"/>
    <x v="3"/>
    <x v="0"/>
    <x v="0"/>
    <x v="2"/>
    <x v="4"/>
    <n v="0"/>
    <n v="0"/>
    <n v="444.483"/>
    <n v="444.483"/>
    <n v="444.483"/>
    <n v="444.483"/>
    <n v="2851"/>
    <x v="0"/>
    <n v="0"/>
    <n v="0"/>
    <n v="39"/>
    <n v="83"/>
    <n v="0"/>
    <n v="463.6"/>
    <n v="176.58"/>
    <m/>
    <n v="502.18276542172094"/>
    <n v="230.72991454293387"/>
    <n v="0"/>
    <n v="206062.31880000001"/>
    <n v="78486.808140000008"/>
    <n v="0"/>
    <n v="223211.70212294281"/>
    <n v="102555.52460578688"/>
  </r>
  <r>
    <s v="Sistema de Compensação"/>
    <x v="2"/>
    <x v="4"/>
    <x v="7"/>
    <x v="3"/>
    <x v="0"/>
    <x v="0"/>
    <x v="2"/>
    <x v="4"/>
    <n v="0"/>
    <n v="0"/>
    <n v="-0.71399999999999997"/>
    <n v="-0.71399999999999997"/>
    <n v="-0.71399999999999997"/>
    <n v="-0.71399999999999997"/>
    <n v="0"/>
    <x v="0"/>
    <n v="0"/>
    <n v="0"/>
    <n v="39"/>
    <n v="83"/>
    <n v="0"/>
    <n v="463.6"/>
    <n v="176.58"/>
    <m/>
    <n v="502.18276542172094"/>
    <n v="230.72991454293387"/>
    <n v="0"/>
    <n v="-331.0104"/>
    <n v="-126.07812"/>
    <n v="0"/>
    <n v="-358.55849451110873"/>
    <n v="-164.74115898365477"/>
  </r>
  <r>
    <s v="Regular"/>
    <x v="2"/>
    <x v="4"/>
    <x v="7"/>
    <x v="3"/>
    <x v="0"/>
    <x v="0"/>
    <x v="2"/>
    <x v="5"/>
    <n v="0"/>
    <n v="0"/>
    <n v="30054.797999999999"/>
    <n v="30054.797999999999"/>
    <n v="30054.797999999999"/>
    <n v="30054.797999999999"/>
    <n v="133517"/>
    <x v="0"/>
    <n v="0"/>
    <n v="0"/>
    <n v="39"/>
    <n v="83"/>
    <n v="0"/>
    <n v="463.6"/>
    <n v="176.58"/>
    <m/>
    <n v="502.18276542172094"/>
    <n v="230.72991454293387"/>
    <n v="0"/>
    <n v="13933404.3528"/>
    <n v="5307076.2308400003"/>
    <n v="0"/>
    <n v="15093001.573831208"/>
    <n v="6934540.9741451396"/>
  </r>
  <r>
    <s v="Refaturamento - Regular"/>
    <x v="2"/>
    <x v="4"/>
    <x v="7"/>
    <x v="3"/>
    <x v="0"/>
    <x v="0"/>
    <x v="2"/>
    <x v="5"/>
    <n v="0"/>
    <n v="0"/>
    <n v="-453.137"/>
    <n v="-453.137"/>
    <n v="-453.137"/>
    <n v="-453.137"/>
    <n v="-85"/>
    <x v="0"/>
    <n v="0"/>
    <n v="0"/>
    <n v="39"/>
    <n v="83"/>
    <n v="0"/>
    <n v="463.6"/>
    <n v="176.58"/>
    <m/>
    <n v="502.18276542172094"/>
    <n v="230.72991454293387"/>
    <n v="0"/>
    <n v="-210074.3132"/>
    <n v="-80014.931460000007"/>
    <n v="0"/>
    <n v="-227557.59177490236"/>
    <n v="-104552.26128624142"/>
  </r>
  <r>
    <s v="Sistema Isolado - Regular"/>
    <x v="2"/>
    <x v="4"/>
    <x v="7"/>
    <x v="3"/>
    <x v="0"/>
    <x v="0"/>
    <x v="2"/>
    <x v="5"/>
    <n v="0"/>
    <n v="0"/>
    <n v="6349.5680000000002"/>
    <n v="6349.5680000000002"/>
    <n v="6349.5680000000002"/>
    <n v="6349.5680000000002"/>
    <n v="35309"/>
    <x v="0"/>
    <n v="0"/>
    <n v="0"/>
    <n v="39"/>
    <n v="83"/>
    <n v="0"/>
    <n v="463.6"/>
    <n v="176.58"/>
    <m/>
    <n v="502.18276542172094"/>
    <n v="230.72991454293387"/>
    <n v="0"/>
    <n v="2943659.7248000004"/>
    <n v="1121206.71744"/>
    <n v="0"/>
    <n v="3188643.6174732661"/>
    <n v="1465035.2820245475"/>
  </r>
  <r>
    <s v="Sistema Isolado - Refaturamento"/>
    <x v="2"/>
    <x v="4"/>
    <x v="7"/>
    <x v="3"/>
    <x v="0"/>
    <x v="0"/>
    <x v="2"/>
    <x v="5"/>
    <n v="0"/>
    <n v="0"/>
    <n v="-15.249000000000001"/>
    <n v="-15.249000000000001"/>
    <n v="-15.249000000000001"/>
    <n v="-15.249000000000001"/>
    <n v="-15"/>
    <x v="0"/>
    <n v="0"/>
    <n v="0"/>
    <n v="39"/>
    <n v="83"/>
    <n v="0"/>
    <n v="463.6"/>
    <n v="176.58"/>
    <m/>
    <n v="502.18276542172094"/>
    <n v="230.72991454293387"/>
    <n v="0"/>
    <n v="-7069.4364000000005"/>
    <n v="-2692.6684200000004"/>
    <n v="0"/>
    <n v="-7657.7849899158227"/>
    <n v="-3518.4004668651987"/>
  </r>
  <r>
    <s v="Sistema de Compensação"/>
    <x v="2"/>
    <x v="4"/>
    <x v="7"/>
    <x v="3"/>
    <x v="0"/>
    <x v="0"/>
    <x v="2"/>
    <x v="5"/>
    <n v="0"/>
    <n v="0"/>
    <n v="490.12200000000001"/>
    <n v="490.12200000000001"/>
    <n v="490.12200000000001"/>
    <n v="490.12200000000001"/>
    <n v="3028"/>
    <x v="0"/>
    <n v="0"/>
    <n v="0"/>
    <n v="39"/>
    <n v="83"/>
    <n v="0"/>
    <n v="463.6"/>
    <n v="176.58"/>
    <m/>
    <n v="502.18276542172094"/>
    <n v="230.72991454293387"/>
    <n v="0"/>
    <n v="227220.55920000002"/>
    <n v="86545.742760000008"/>
    <n v="0"/>
    <n v="246130.82135402472"/>
    <n v="113085.80717561184"/>
  </r>
  <r>
    <s v="Sistema de Compensação"/>
    <x v="2"/>
    <x v="4"/>
    <x v="7"/>
    <x v="3"/>
    <x v="0"/>
    <x v="0"/>
    <x v="2"/>
    <x v="5"/>
    <n v="0"/>
    <n v="0"/>
    <n v="-1.135"/>
    <n v="-1.135"/>
    <n v="-1.135"/>
    <n v="-1.135"/>
    <n v="0"/>
    <x v="0"/>
    <n v="0"/>
    <n v="0"/>
    <n v="39"/>
    <n v="83"/>
    <n v="0"/>
    <n v="463.6"/>
    <n v="176.58"/>
    <m/>
    <n v="502.18276542172094"/>
    <n v="230.72991454293387"/>
    <n v="0"/>
    <n v="-526.18600000000004"/>
    <n v="-200.41830000000002"/>
    <n v="0"/>
    <n v="-569.97743875365325"/>
    <n v="-261.87845300622996"/>
  </r>
  <r>
    <s v="Regular"/>
    <x v="2"/>
    <x v="4"/>
    <x v="7"/>
    <x v="3"/>
    <x v="0"/>
    <x v="0"/>
    <x v="2"/>
    <x v="6"/>
    <n v="0"/>
    <n v="0"/>
    <n v="26486.691999999999"/>
    <n v="26486.691999999999"/>
    <n v="26486.691999999999"/>
    <n v="26486.691999999999"/>
    <n v="132648"/>
    <x v="0"/>
    <n v="0"/>
    <n v="0"/>
    <n v="39"/>
    <n v="83"/>
    <n v="0"/>
    <n v="463.6"/>
    <n v="176.58"/>
    <m/>
    <n v="502.18276542172094"/>
    <n v="230.72991454293387"/>
    <n v="0"/>
    <n v="12279230.4112"/>
    <n v="4677020.0733599998"/>
    <n v="0"/>
    <n v="13301160.235433372"/>
    <n v="6111272.18168501"/>
  </r>
  <r>
    <s v="Refaturamento - Regular"/>
    <x v="2"/>
    <x v="4"/>
    <x v="7"/>
    <x v="3"/>
    <x v="0"/>
    <x v="0"/>
    <x v="2"/>
    <x v="6"/>
    <n v="0"/>
    <n v="0"/>
    <n v="-250.642"/>
    <n v="-250.642"/>
    <n v="-250.642"/>
    <n v="-250.642"/>
    <n v="-54"/>
    <x v="0"/>
    <n v="0"/>
    <n v="0"/>
    <n v="39"/>
    <n v="83"/>
    <n v="0"/>
    <n v="463.6"/>
    <n v="176.58"/>
    <m/>
    <n v="502.18276542172094"/>
    <n v="230.72991454293387"/>
    <n v="0"/>
    <n v="-116197.6312"/>
    <n v="-44258.36436"/>
    <n v="0"/>
    <n v="-125868.09269083098"/>
    <n v="-57830.607240870027"/>
  </r>
  <r>
    <s v="Sistema Isolado - Regular"/>
    <x v="2"/>
    <x v="4"/>
    <x v="7"/>
    <x v="3"/>
    <x v="0"/>
    <x v="0"/>
    <x v="2"/>
    <x v="6"/>
    <n v="0"/>
    <n v="0"/>
    <n v="6019.8919999999998"/>
    <n v="6019.8919999999998"/>
    <n v="6019.8919999999998"/>
    <n v="6019.8919999999998"/>
    <n v="35387"/>
    <x v="0"/>
    <n v="0"/>
    <n v="0"/>
    <n v="39"/>
    <n v="83"/>
    <n v="0"/>
    <n v="463.6"/>
    <n v="176.58"/>
    <m/>
    <n v="502.18276542172094"/>
    <n v="230.72991454293387"/>
    <n v="0"/>
    <n v="2790821.9312"/>
    <n v="1062992.52936"/>
    <n v="0"/>
    <n v="3023086.0121000945"/>
    <n v="1388969.1667176911"/>
  </r>
  <r>
    <s v="Sistema Isolado - Refaturamento"/>
    <x v="2"/>
    <x v="4"/>
    <x v="7"/>
    <x v="3"/>
    <x v="0"/>
    <x v="0"/>
    <x v="2"/>
    <x v="6"/>
    <n v="0"/>
    <n v="0"/>
    <n v="-14.943"/>
    <n v="-14.943"/>
    <n v="-14.943"/>
    <n v="-14.943"/>
    <n v="-44"/>
    <x v="0"/>
    <n v="0"/>
    <n v="0"/>
    <n v="39"/>
    <n v="83"/>
    <n v="0"/>
    <n v="463.6"/>
    <n v="176.58"/>
    <m/>
    <n v="502.18276542172094"/>
    <n v="230.72991454293387"/>
    <n v="0"/>
    <n v="-6927.5748000000003"/>
    <n v="-2638.6349399999999"/>
    <n v="0"/>
    <n v="-7504.1170636967763"/>
    <n v="-3447.7971130150609"/>
  </r>
  <r>
    <s v="Sistema de Compensação"/>
    <x v="2"/>
    <x v="4"/>
    <x v="7"/>
    <x v="3"/>
    <x v="0"/>
    <x v="0"/>
    <x v="2"/>
    <x v="6"/>
    <n v="0"/>
    <n v="0"/>
    <n v="434.46499999999997"/>
    <n v="434.46499999999997"/>
    <n v="434.46499999999997"/>
    <n v="434.46499999999997"/>
    <n v="3214"/>
    <x v="0"/>
    <n v="0"/>
    <n v="0"/>
    <n v="39"/>
    <n v="83"/>
    <n v="0"/>
    <n v="463.6"/>
    <n v="176.58"/>
    <m/>
    <n v="502.18276542172094"/>
    <n v="230.72991454293387"/>
    <n v="0"/>
    <n v="201417.97399999999"/>
    <n v="76717.829700000002"/>
    <n v="0"/>
    <n v="218180.83517894798"/>
    <n v="100244.07232189576"/>
  </r>
  <r>
    <s v="Regular"/>
    <x v="2"/>
    <x v="4"/>
    <x v="7"/>
    <x v="3"/>
    <x v="0"/>
    <x v="0"/>
    <x v="2"/>
    <x v="7"/>
    <n v="0"/>
    <n v="0"/>
    <n v="30012.208999999999"/>
    <n v="30012.208999999999"/>
    <n v="30012.208999999999"/>
    <n v="30012.208999999999"/>
    <n v="131923"/>
    <x v="0"/>
    <n v="0"/>
    <n v="0"/>
    <n v="39"/>
    <n v="83"/>
    <n v="0"/>
    <n v="463.6"/>
    <n v="176.58"/>
    <m/>
    <n v="502.18276542172094"/>
    <n v="230.72991454293387"/>
    <n v="0"/>
    <n v="13913660.092399999"/>
    <n v="5299555.86522"/>
    <n v="0"/>
    <n v="15071614.112034662"/>
    <n v="6924714.4178146701"/>
  </r>
  <r>
    <s v="Refaturamento - Regular"/>
    <x v="2"/>
    <x v="4"/>
    <x v="7"/>
    <x v="3"/>
    <x v="0"/>
    <x v="0"/>
    <x v="2"/>
    <x v="7"/>
    <n v="0"/>
    <n v="0"/>
    <n v="-194.23400000000001"/>
    <n v="-194.23400000000001"/>
    <n v="-194.23400000000001"/>
    <n v="-194.23400000000001"/>
    <n v="-98"/>
    <x v="0"/>
    <n v="0"/>
    <n v="0"/>
    <n v="39"/>
    <n v="83"/>
    <n v="0"/>
    <n v="463.6"/>
    <n v="176.58"/>
    <m/>
    <n v="502.18276542172094"/>
    <n v="230.72991454293387"/>
    <n v="0"/>
    <n v="-90046.882400000002"/>
    <n v="-34297.839720000004"/>
    <n v="0"/>
    <n v="-97540.967258922552"/>
    <n v="-44815.59422133222"/>
  </r>
  <r>
    <s v="Sistema Isolado - Regular"/>
    <x v="2"/>
    <x v="4"/>
    <x v="7"/>
    <x v="3"/>
    <x v="0"/>
    <x v="0"/>
    <x v="2"/>
    <x v="7"/>
    <n v="0"/>
    <n v="0"/>
    <n v="6532.9340000000002"/>
    <n v="6532.9340000000002"/>
    <n v="6532.9340000000002"/>
    <n v="6532.9340000000002"/>
    <n v="34970"/>
    <x v="0"/>
    <n v="0"/>
    <n v="0"/>
    <n v="39"/>
    <n v="83"/>
    <n v="0"/>
    <n v="463.6"/>
    <n v="176.58"/>
    <m/>
    <n v="502.18276542172094"/>
    <n v="230.72991454293387"/>
    <n v="0"/>
    <n v="3028668.2024000003"/>
    <n v="1153585.4857200002"/>
    <n v="0"/>
    <n v="3280726.8624375854"/>
    <n v="1507343.3035346272"/>
  </r>
  <r>
    <s v="Sistema Isolado - Refaturamento"/>
    <x v="2"/>
    <x v="4"/>
    <x v="7"/>
    <x v="3"/>
    <x v="0"/>
    <x v="0"/>
    <x v="2"/>
    <x v="7"/>
    <n v="0"/>
    <n v="0"/>
    <n v="-19.97"/>
    <n v="-19.97"/>
    <n v="-19.97"/>
    <n v="-19.97"/>
    <n v="-41"/>
    <x v="0"/>
    <n v="0"/>
    <n v="0"/>
    <n v="39"/>
    <n v="83"/>
    <n v="0"/>
    <n v="463.6"/>
    <n v="176.58"/>
    <m/>
    <n v="502.18276542172094"/>
    <n v="230.72991454293387"/>
    <n v="0"/>
    <n v="-9258.0920000000006"/>
    <n v="-3526.3026"/>
    <n v="0"/>
    <n v="-10028.589825471767"/>
    <n v="-4607.6763934223891"/>
  </r>
  <r>
    <s v="Sistema de Compensação"/>
    <x v="2"/>
    <x v="4"/>
    <x v="7"/>
    <x v="3"/>
    <x v="0"/>
    <x v="0"/>
    <x v="2"/>
    <x v="7"/>
    <n v="0"/>
    <n v="0"/>
    <n v="449.67599999999999"/>
    <n v="449.67599999999999"/>
    <n v="449.67599999999999"/>
    <n v="449.67599999999999"/>
    <n v="3326"/>
    <x v="0"/>
    <n v="0"/>
    <n v="0"/>
    <n v="39"/>
    <n v="83"/>
    <n v="0"/>
    <n v="463.6"/>
    <n v="176.58"/>
    <m/>
    <n v="502.18276542172094"/>
    <n v="230.72991454293387"/>
    <n v="0"/>
    <n v="208469.7936"/>
    <n v="79403.788079999998"/>
    <n v="0"/>
    <n v="225819.53722377779"/>
    <n v="103753.70505200833"/>
  </r>
  <r>
    <s v="Sistema de Compensação"/>
    <x v="2"/>
    <x v="4"/>
    <x v="7"/>
    <x v="3"/>
    <x v="0"/>
    <x v="0"/>
    <x v="2"/>
    <x v="7"/>
    <n v="0"/>
    <n v="0"/>
    <n v="-0.7"/>
    <n v="-0.7"/>
    <n v="-0.7"/>
    <n v="-0.7"/>
    <n v="0"/>
    <x v="0"/>
    <n v="0"/>
    <n v="0"/>
    <n v="39"/>
    <n v="83"/>
    <n v="0"/>
    <n v="463.6"/>
    <n v="176.58"/>
    <m/>
    <n v="502.18276542172094"/>
    <n v="230.72991454293387"/>
    <n v="0"/>
    <n v="-324.52"/>
    <n v="-123.60599999999999"/>
    <n v="0"/>
    <n v="-351.52793579520466"/>
    <n v="-161.51094018005369"/>
  </r>
  <r>
    <s v="Regular"/>
    <x v="2"/>
    <x v="4"/>
    <x v="7"/>
    <x v="3"/>
    <x v="0"/>
    <x v="0"/>
    <x v="2"/>
    <x v="8"/>
    <n v="0"/>
    <n v="0"/>
    <n v="31998.149000000001"/>
    <n v="31998.149000000001"/>
    <n v="31998.149000000001"/>
    <n v="31998.149000000001"/>
    <n v="131591"/>
    <x v="0"/>
    <n v="0"/>
    <n v="0"/>
    <n v="39"/>
    <n v="83"/>
    <n v="0"/>
    <n v="463.6"/>
    <n v="176.58"/>
    <m/>
    <n v="502.18276542172094"/>
    <n v="230.72991454293387"/>
    <n v="0"/>
    <n v="14834341.876400001"/>
    <n v="5650233.1504200008"/>
    <n v="0"/>
    <n v="16068918.953196276"/>
    <n v="7382930.1843020655"/>
  </r>
  <r>
    <s v="Refaturamento - Regular"/>
    <x v="2"/>
    <x v="4"/>
    <x v="7"/>
    <x v="3"/>
    <x v="0"/>
    <x v="0"/>
    <x v="2"/>
    <x v="8"/>
    <n v="0"/>
    <n v="0"/>
    <n v="-261.45800000000003"/>
    <n v="-261.45800000000003"/>
    <n v="-261.45800000000003"/>
    <n v="-261.45800000000003"/>
    <n v="-185"/>
    <x v="0"/>
    <n v="0"/>
    <n v="0"/>
    <n v="39"/>
    <n v="83"/>
    <n v="0"/>
    <n v="463.6"/>
    <n v="176.58"/>
    <m/>
    <n v="502.18276542172094"/>
    <n v="230.72991454293387"/>
    <n v="0"/>
    <n v="-121211.92880000002"/>
    <n v="-46168.25364000001"/>
    <n v="0"/>
    <n v="-131299.70148163234"/>
    <n v="-60326.181996566411"/>
  </r>
  <r>
    <s v="Sistema Isolado - Regular"/>
    <x v="2"/>
    <x v="4"/>
    <x v="7"/>
    <x v="3"/>
    <x v="0"/>
    <x v="0"/>
    <x v="2"/>
    <x v="8"/>
    <n v="0"/>
    <n v="0"/>
    <n v="6825.2389999999996"/>
    <n v="6825.2389999999996"/>
    <n v="6825.2389999999996"/>
    <n v="6825.2389999999996"/>
    <n v="35303"/>
    <x v="0"/>
    <n v="0"/>
    <n v="0"/>
    <n v="39"/>
    <n v="83"/>
    <n v="0"/>
    <n v="463.6"/>
    <n v="176.58"/>
    <m/>
    <n v="502.18276542172094"/>
    <n v="230.72991454293387"/>
    <n v="0"/>
    <n v="3164180.8004000001"/>
    <n v="1205200.7026200001"/>
    <n v="0"/>
    <n v="3427517.3956841812"/>
    <n v="1574786.8112050993"/>
  </r>
  <r>
    <s v="Sistema Isolado - Refaturamento"/>
    <x v="2"/>
    <x v="4"/>
    <x v="7"/>
    <x v="3"/>
    <x v="0"/>
    <x v="0"/>
    <x v="2"/>
    <x v="8"/>
    <n v="0"/>
    <n v="0"/>
    <n v="-27.99"/>
    <n v="-27.99"/>
    <n v="-27.99"/>
    <n v="-27.99"/>
    <n v="-12"/>
    <x v="0"/>
    <n v="0"/>
    <n v="0"/>
    <n v="39"/>
    <n v="83"/>
    <n v="0"/>
    <n v="463.6"/>
    <n v="176.58"/>
    <m/>
    <n v="502.18276542172094"/>
    <n v="230.72991454293387"/>
    <n v="0"/>
    <n v="-12976.164000000001"/>
    <n v="-4942.4741999999997"/>
    <n v="0"/>
    <n v="-14056.095604153968"/>
    <n v="-6458.1303080567186"/>
  </r>
  <r>
    <s v="Sistema de Compensação"/>
    <x v="2"/>
    <x v="4"/>
    <x v="7"/>
    <x v="3"/>
    <x v="0"/>
    <x v="0"/>
    <x v="2"/>
    <x v="8"/>
    <n v="0"/>
    <n v="0"/>
    <n v="539.40200000000004"/>
    <n v="539.40200000000004"/>
    <n v="539.40200000000004"/>
    <n v="539.40200000000004"/>
    <n v="3477"/>
    <x v="0"/>
    <n v="0"/>
    <n v="0"/>
    <n v="39"/>
    <n v="83"/>
    <n v="0"/>
    <n v="463.6"/>
    <n v="176.58"/>
    <m/>
    <n v="502.18276542172094"/>
    <n v="230.72991454293387"/>
    <n v="0"/>
    <n v="250066.76720000003"/>
    <n v="95247.605160000021"/>
    <n v="0"/>
    <n v="270878.38803400716"/>
    <n v="124456.17736428762"/>
  </r>
  <r>
    <s v="Sistema de Compensação"/>
    <x v="2"/>
    <x v="4"/>
    <x v="7"/>
    <x v="3"/>
    <x v="0"/>
    <x v="0"/>
    <x v="2"/>
    <x v="8"/>
    <n v="0"/>
    <n v="0"/>
    <n v="-1.9419999999999999"/>
    <n v="-1.9419999999999999"/>
    <n v="-1.9419999999999999"/>
    <n v="-1.9419999999999999"/>
    <n v="0"/>
    <x v="0"/>
    <n v="0"/>
    <n v="0"/>
    <n v="39"/>
    <n v="83"/>
    <n v="0"/>
    <n v="463.6"/>
    <n v="176.58"/>
    <m/>
    <n v="502.18276542172094"/>
    <n v="230.72991454293387"/>
    <n v="0"/>
    <n v="-900.31119999999999"/>
    <n v="-342.91836000000001"/>
    <n v="0"/>
    <n v="-975.23893044898205"/>
    <n v="-448.07749404237757"/>
  </r>
  <r>
    <s v="Regular"/>
    <x v="2"/>
    <x v="4"/>
    <x v="7"/>
    <x v="3"/>
    <x v="0"/>
    <x v="0"/>
    <x v="2"/>
    <x v="9"/>
    <n v="0"/>
    <n v="0"/>
    <n v="30533.635999999999"/>
    <n v="30533.635999999999"/>
    <n v="30533.635999999999"/>
    <n v="30533.635999999999"/>
    <n v="130877"/>
    <x v="0"/>
    <n v="0"/>
    <n v="0"/>
    <n v="39"/>
    <n v="83"/>
    <n v="0"/>
    <n v="463.6"/>
    <n v="176.58"/>
    <m/>
    <n v="502.18276542172094"/>
    <n v="230.72991454293387"/>
    <n v="0"/>
    <n v="14155393.649599999"/>
    <n v="5391629.4448800003"/>
    <n v="0"/>
    <n v="15333465.764860213"/>
    <n v="7045023.224965049"/>
  </r>
  <r>
    <s v="Refaturamento - Regular"/>
    <x v="2"/>
    <x v="4"/>
    <x v="7"/>
    <x v="3"/>
    <x v="0"/>
    <x v="0"/>
    <x v="2"/>
    <x v="9"/>
    <n v="0"/>
    <n v="0"/>
    <n v="-208.626"/>
    <n v="-208.626"/>
    <n v="-208.626"/>
    <n v="-208.626"/>
    <n v="-91"/>
    <x v="0"/>
    <n v="0"/>
    <n v="0"/>
    <n v="39"/>
    <n v="83"/>
    <n v="0"/>
    <n v="463.6"/>
    <n v="176.58"/>
    <m/>
    <n v="502.18276542172094"/>
    <n v="230.72991454293387"/>
    <n v="0"/>
    <n v="-96719.013600000006"/>
    <n v="-36839.179080000002"/>
    <n v="0"/>
    <n v="-104768.38161887195"/>
    <n v="-48136.259151434126"/>
  </r>
  <r>
    <s v="Sistema Isolado - Regular"/>
    <x v="2"/>
    <x v="4"/>
    <x v="7"/>
    <x v="3"/>
    <x v="0"/>
    <x v="0"/>
    <x v="2"/>
    <x v="9"/>
    <n v="0"/>
    <n v="0"/>
    <n v="6924.7370000000001"/>
    <n v="6924.7370000000001"/>
    <n v="6924.7370000000001"/>
    <n v="6924.7370000000001"/>
    <n v="35543"/>
    <x v="0"/>
    <n v="0"/>
    <n v="0"/>
    <n v="39"/>
    <n v="83"/>
    <n v="0"/>
    <n v="463.6"/>
    <n v="176.58"/>
    <m/>
    <n v="502.18276542172094"/>
    <n v="230.72991454293387"/>
    <n v="0"/>
    <n v="3210308.0732"/>
    <n v="1222770.0594600001"/>
    <n v="0"/>
    <n v="3477483.5764781116"/>
    <n v="1597743.9762422922"/>
  </r>
  <r>
    <s v="Sistema Isolado - Refaturamento"/>
    <x v="2"/>
    <x v="4"/>
    <x v="7"/>
    <x v="3"/>
    <x v="0"/>
    <x v="0"/>
    <x v="2"/>
    <x v="9"/>
    <n v="0"/>
    <n v="0"/>
    <n v="-29.780999999999999"/>
    <n v="-29.780999999999999"/>
    <n v="-29.780999999999999"/>
    <n v="-29.780999999999999"/>
    <n v="-24"/>
    <x v="0"/>
    <n v="0"/>
    <n v="0"/>
    <n v="39"/>
    <n v="83"/>
    <n v="0"/>
    <n v="463.6"/>
    <n v="176.58"/>
    <m/>
    <n v="502.18276542172094"/>
    <n v="230.72991454293387"/>
    <n v="0"/>
    <n v="-13806.471600000001"/>
    <n v="-5258.7289799999999"/>
    <n v="0"/>
    <n v="-14955.50493702427"/>
    <n v="-6871.3675850031132"/>
  </r>
  <r>
    <s v="Sistema de Compensação"/>
    <x v="2"/>
    <x v="4"/>
    <x v="7"/>
    <x v="3"/>
    <x v="0"/>
    <x v="0"/>
    <x v="2"/>
    <x v="9"/>
    <n v="0"/>
    <n v="0"/>
    <n v="461.31099999999998"/>
    <n v="461.31099999999998"/>
    <n v="461.31099999999998"/>
    <n v="461.31099999999998"/>
    <n v="3574"/>
    <x v="0"/>
    <n v="0"/>
    <n v="0"/>
    <n v="39"/>
    <n v="83"/>
    <n v="0"/>
    <n v="463.6"/>
    <n v="176.58"/>
    <m/>
    <n v="502.18276542172094"/>
    <n v="230.72991454293387"/>
    <n v="0"/>
    <n v="213863.77960000001"/>
    <n v="81458.29638"/>
    <n v="0"/>
    <n v="231662.43369945951"/>
    <n v="106438.24760771536"/>
  </r>
  <r>
    <s v="Sistema de Compensação"/>
    <x v="2"/>
    <x v="4"/>
    <x v="7"/>
    <x v="3"/>
    <x v="0"/>
    <x v="0"/>
    <x v="2"/>
    <x v="9"/>
    <n v="0"/>
    <n v="0"/>
    <n v="-3.335"/>
    <n v="-3.335"/>
    <n v="-3.335"/>
    <n v="-3.335"/>
    <n v="0"/>
    <x v="0"/>
    <n v="0"/>
    <n v="0"/>
    <n v="39"/>
    <n v="83"/>
    <n v="0"/>
    <n v="463.6"/>
    <n v="176.58"/>
    <m/>
    <n v="502.18276542172094"/>
    <n v="230.72991454293387"/>
    <n v="0"/>
    <n v="-1546.106"/>
    <n v="-588.89430000000004"/>
    <n v="0"/>
    <n v="-1674.7795226814394"/>
    <n v="-769.48426500068445"/>
  </r>
  <r>
    <s v="Regular"/>
    <x v="2"/>
    <x v="4"/>
    <x v="7"/>
    <x v="3"/>
    <x v="0"/>
    <x v="0"/>
    <x v="2"/>
    <x v="10"/>
    <n v="0"/>
    <n v="0"/>
    <n v="33206.495999999999"/>
    <n v="33206.495999999999"/>
    <n v="33206.495999999999"/>
    <n v="33206.495999999999"/>
    <n v="130320"/>
    <x v="0"/>
    <n v="0"/>
    <n v="0"/>
    <n v="39"/>
    <n v="83"/>
    <n v="0"/>
    <n v="463.6"/>
    <n v="176.58"/>
    <m/>
    <n v="502.18276542172094"/>
    <n v="230.72991454293387"/>
    <n v="0"/>
    <n v="15394531.545600001"/>
    <n v="5863603.0636800006"/>
    <n v="0"/>
    <n v="16675729.991245314"/>
    <n v="7661731.9843502752"/>
  </r>
  <r>
    <s v="Refaturamento - Regular"/>
    <x v="2"/>
    <x v="4"/>
    <x v="7"/>
    <x v="3"/>
    <x v="0"/>
    <x v="0"/>
    <x v="2"/>
    <x v="10"/>
    <n v="0"/>
    <n v="0"/>
    <n v="-360.21800000000002"/>
    <n v="-360.21800000000002"/>
    <n v="-360.21800000000002"/>
    <n v="-360.21800000000002"/>
    <n v="-69"/>
    <x v="0"/>
    <n v="0"/>
    <n v="0"/>
    <n v="39"/>
    <n v="83"/>
    <n v="0"/>
    <n v="463.6"/>
    <n v="176.58"/>
    <m/>
    <n v="502.18276542172094"/>
    <n v="230.72991454293387"/>
    <n v="0"/>
    <n v="-166997.06480000002"/>
    <n v="-63607.294440000005"/>
    <n v="0"/>
    <n v="-180895.27139468148"/>
    <n v="-83113.068356826552"/>
  </r>
  <r>
    <s v="Sistema Isolado - Regular"/>
    <x v="2"/>
    <x v="4"/>
    <x v="7"/>
    <x v="3"/>
    <x v="0"/>
    <x v="0"/>
    <x v="2"/>
    <x v="10"/>
    <n v="0"/>
    <n v="0"/>
    <n v="7299.8609999999999"/>
    <n v="7299.8609999999999"/>
    <n v="7299.8609999999999"/>
    <n v="7299.8609999999999"/>
    <n v="35403"/>
    <x v="0"/>
    <n v="0"/>
    <n v="0"/>
    <n v="39"/>
    <n v="83"/>
    <n v="0"/>
    <n v="463.6"/>
    <n v="176.58"/>
    <m/>
    <n v="502.18276542172094"/>
    <n v="230.72991454293387"/>
    <n v="0"/>
    <n v="3384215.5596000003"/>
    <n v="1289009.4553800002"/>
    <n v="0"/>
    <n v="3665864.384174169"/>
    <n v="1684296.3047052957"/>
  </r>
  <r>
    <s v="Sistema Isolado - Refaturamento"/>
    <x v="2"/>
    <x v="4"/>
    <x v="7"/>
    <x v="3"/>
    <x v="0"/>
    <x v="0"/>
    <x v="2"/>
    <x v="10"/>
    <n v="0"/>
    <n v="0"/>
    <n v="-29.329000000000001"/>
    <n v="-29.329000000000001"/>
    <n v="-29.329000000000001"/>
    <n v="-29.329000000000001"/>
    <n v="-86"/>
    <x v="0"/>
    <n v="0"/>
    <n v="0"/>
    <n v="39"/>
    <n v="83"/>
    <n v="0"/>
    <n v="463.6"/>
    <n v="176.58"/>
    <m/>
    <n v="502.18276542172094"/>
    <n v="230.72991454293387"/>
    <n v="0"/>
    <n v="-13596.924400000002"/>
    <n v="-5178.9148200000009"/>
    <n v="0"/>
    <n v="-14728.518327053655"/>
    <n v="-6767.0776636297078"/>
  </r>
  <r>
    <s v="Sistema de Compensação"/>
    <x v="2"/>
    <x v="4"/>
    <x v="7"/>
    <x v="3"/>
    <x v="0"/>
    <x v="0"/>
    <x v="2"/>
    <x v="10"/>
    <n v="0"/>
    <n v="0"/>
    <n v="545.10400000000004"/>
    <n v="545.10400000000004"/>
    <n v="545.10400000000004"/>
    <n v="545.10400000000004"/>
    <n v="3684"/>
    <x v="0"/>
    <n v="0"/>
    <n v="0"/>
    <n v="39"/>
    <n v="83"/>
    <n v="0"/>
    <n v="463.6"/>
    <n v="176.58"/>
    <m/>
    <n v="502.18276542172094"/>
    <n v="230.72991454293387"/>
    <n v="0"/>
    <n v="252710.21440000003"/>
    <n v="96254.464320000014"/>
    <n v="0"/>
    <n v="273741.83416244178"/>
    <n v="125771.79933701143"/>
  </r>
  <r>
    <s v="Sistema de Compensação"/>
    <x v="2"/>
    <x v="4"/>
    <x v="7"/>
    <x v="3"/>
    <x v="0"/>
    <x v="0"/>
    <x v="2"/>
    <x v="10"/>
    <n v="0"/>
    <n v="0"/>
    <n v="-0.80200000000000005"/>
    <n v="-0.80200000000000005"/>
    <n v="-0.80200000000000005"/>
    <n v="-0.80200000000000005"/>
    <n v="1"/>
    <x v="0"/>
    <n v="0"/>
    <n v="0"/>
    <n v="39"/>
    <n v="83"/>
    <n v="0"/>
    <n v="463.6"/>
    <n v="176.58"/>
    <m/>
    <n v="502.18276542172094"/>
    <n v="230.72991454293387"/>
    <n v="0"/>
    <n v="-371.80720000000002"/>
    <n v="-141.61716000000001"/>
    <n v="0"/>
    <n v="-402.7505778682202"/>
    <n v="-185.04539146343296"/>
  </r>
  <r>
    <s v="PROJETADO"/>
    <x v="2"/>
    <x v="4"/>
    <x v="7"/>
    <x v="3"/>
    <x v="0"/>
    <x v="0"/>
    <x v="2"/>
    <x v="11"/>
    <n v="0"/>
    <n v="0"/>
    <n v="33206.495999999999"/>
    <n v="33206.495999999999"/>
    <n v="33206.495999999999"/>
    <n v="33206.495999999999"/>
    <n v="130320"/>
    <x v="0"/>
    <n v="0"/>
    <n v="0"/>
    <n v="39"/>
    <n v="83"/>
    <n v="0"/>
    <n v="463.6"/>
    <n v="176.58"/>
    <m/>
    <n v="502.18276542172094"/>
    <n v="230.72991454293387"/>
    <n v="0"/>
    <n v="15394531.545600001"/>
    <n v="5863603.0636800006"/>
    <n v="0"/>
    <n v="16675729.991245314"/>
    <n v="7661731.9843502752"/>
  </r>
  <r>
    <s v="PROJETADO"/>
    <x v="2"/>
    <x v="4"/>
    <x v="7"/>
    <x v="3"/>
    <x v="0"/>
    <x v="0"/>
    <x v="2"/>
    <x v="11"/>
    <n v="0"/>
    <n v="0"/>
    <n v="-360.21800000000002"/>
    <n v="-360.21800000000002"/>
    <n v="-360.21800000000002"/>
    <n v="-360.21800000000002"/>
    <n v="-69"/>
    <x v="0"/>
    <n v="0"/>
    <n v="0"/>
    <n v="39"/>
    <n v="83"/>
    <n v="0"/>
    <n v="463.6"/>
    <n v="176.58"/>
    <m/>
    <n v="502.18276542172094"/>
    <n v="230.72991454293387"/>
    <n v="0"/>
    <n v="-166997.06480000002"/>
    <n v="-63607.294440000005"/>
    <n v="0"/>
    <n v="-180895.27139468148"/>
    <n v="-83113.068356826552"/>
  </r>
  <r>
    <s v="PROJETADO"/>
    <x v="2"/>
    <x v="4"/>
    <x v="7"/>
    <x v="3"/>
    <x v="0"/>
    <x v="0"/>
    <x v="2"/>
    <x v="11"/>
    <n v="0"/>
    <n v="0"/>
    <n v="7299.8609999999999"/>
    <n v="7299.8609999999999"/>
    <n v="7299.8609999999999"/>
    <n v="7299.8609999999999"/>
    <n v="35403"/>
    <x v="0"/>
    <n v="0"/>
    <n v="0"/>
    <n v="39"/>
    <n v="83"/>
    <n v="0"/>
    <n v="463.6"/>
    <n v="176.58"/>
    <m/>
    <n v="502.18276542172094"/>
    <n v="230.72991454293387"/>
    <n v="0"/>
    <n v="3384215.5596000003"/>
    <n v="1289009.4553800002"/>
    <n v="0"/>
    <n v="3665864.384174169"/>
    <n v="1684296.3047052957"/>
  </r>
  <r>
    <s v="PROJETADO"/>
    <x v="2"/>
    <x v="4"/>
    <x v="7"/>
    <x v="3"/>
    <x v="0"/>
    <x v="0"/>
    <x v="2"/>
    <x v="11"/>
    <n v="0"/>
    <n v="0"/>
    <n v="-29.329000000000001"/>
    <n v="-29.329000000000001"/>
    <n v="-29.329000000000001"/>
    <n v="-29.329000000000001"/>
    <n v="-86"/>
    <x v="0"/>
    <n v="0"/>
    <n v="0"/>
    <n v="39"/>
    <n v="83"/>
    <n v="0"/>
    <n v="463.6"/>
    <n v="176.58"/>
    <m/>
    <n v="502.18276542172094"/>
    <n v="230.72991454293387"/>
    <n v="0"/>
    <n v="-13596.924400000002"/>
    <n v="-5178.9148200000009"/>
    <n v="0"/>
    <n v="-14728.518327053655"/>
    <n v="-6767.0776636297078"/>
  </r>
  <r>
    <s v="PROJETADO"/>
    <x v="2"/>
    <x v="4"/>
    <x v="7"/>
    <x v="3"/>
    <x v="0"/>
    <x v="0"/>
    <x v="2"/>
    <x v="11"/>
    <n v="0"/>
    <n v="0"/>
    <n v="545.10400000000004"/>
    <n v="545.10400000000004"/>
    <n v="545.10400000000004"/>
    <n v="545.10400000000004"/>
    <n v="3684"/>
    <x v="0"/>
    <n v="0"/>
    <n v="0"/>
    <n v="39"/>
    <n v="83"/>
    <n v="0"/>
    <n v="463.6"/>
    <n v="176.58"/>
    <m/>
    <n v="502.18276542172094"/>
    <n v="230.72991454293387"/>
    <n v="0"/>
    <n v="252710.21440000003"/>
    <n v="96254.464320000014"/>
    <n v="0"/>
    <n v="273741.83416244178"/>
    <n v="125771.79933701143"/>
  </r>
  <r>
    <s v="PROJETADO"/>
    <x v="2"/>
    <x v="4"/>
    <x v="7"/>
    <x v="3"/>
    <x v="0"/>
    <x v="0"/>
    <x v="2"/>
    <x v="11"/>
    <n v="0"/>
    <n v="0"/>
    <n v="-0.80200000000000005"/>
    <n v="-0.80200000000000005"/>
    <n v="-0.80200000000000005"/>
    <n v="-0.80200000000000005"/>
    <n v="1"/>
    <x v="0"/>
    <n v="0"/>
    <n v="0"/>
    <n v="39"/>
    <n v="83"/>
    <n v="0"/>
    <n v="463.6"/>
    <n v="176.58"/>
    <m/>
    <n v="502.18276542172094"/>
    <n v="230.72991454293387"/>
    <n v="0"/>
    <n v="-371.80720000000002"/>
    <n v="-141.61716000000001"/>
    <n v="0"/>
    <n v="-402.7505778682202"/>
    <n v="-185.04539146343296"/>
  </r>
  <r>
    <s v="Regular"/>
    <x v="2"/>
    <x v="4"/>
    <x v="7"/>
    <x v="4"/>
    <x v="0"/>
    <x v="0"/>
    <x v="2"/>
    <x v="0"/>
    <n v="0"/>
    <n v="0"/>
    <n v="1084.356"/>
    <n v="1084.356"/>
    <n v="1084.356"/>
    <n v="1084.356"/>
    <n v="2464"/>
    <x v="0"/>
    <n v="0"/>
    <n v="0"/>
    <n v="40"/>
    <n v="84"/>
    <n v="0"/>
    <n v="141.44"/>
    <n v="61.8"/>
    <m/>
    <n v="147.04798364303241"/>
    <n v="80.755470090026847"/>
    <n v="0"/>
    <n v="153371.31263999999"/>
    <n v="67013.200799999991"/>
    <n v="0"/>
    <n v="159452.36335122405"/>
    <n v="87567.678524941148"/>
  </r>
  <r>
    <s v="Refaturamento - Regular"/>
    <x v="2"/>
    <x v="4"/>
    <x v="7"/>
    <x v="4"/>
    <x v="0"/>
    <x v="0"/>
    <x v="2"/>
    <x v="0"/>
    <n v="0"/>
    <n v="0"/>
    <n v="-4.7779999999999996"/>
    <n v="-4.7779999999999996"/>
    <n v="-4.7779999999999996"/>
    <n v="-4.7779999999999996"/>
    <n v="109"/>
    <x v="0"/>
    <n v="0"/>
    <n v="0"/>
    <n v="40"/>
    <n v="84"/>
    <n v="0"/>
    <n v="141.44"/>
    <n v="61.8"/>
    <m/>
    <n v="147.04798364303241"/>
    <n v="80.755470090026847"/>
    <n v="0"/>
    <n v="-675.80031999999994"/>
    <n v="-295.28039999999999"/>
    <n v="0"/>
    <n v="-702.59526584640878"/>
    <n v="-385.84963609014824"/>
  </r>
  <r>
    <s v="Sistema Isolado - Regular"/>
    <x v="2"/>
    <x v="4"/>
    <x v="7"/>
    <x v="4"/>
    <x v="0"/>
    <x v="0"/>
    <x v="2"/>
    <x v="0"/>
    <n v="0"/>
    <n v="0"/>
    <n v="580.52"/>
    <n v="580.52"/>
    <n v="580.52"/>
    <n v="580.52"/>
    <n v="1686"/>
    <x v="0"/>
    <n v="0"/>
    <n v="0"/>
    <n v="40"/>
    <n v="84"/>
    <n v="0"/>
    <n v="141.44"/>
    <n v="61.8"/>
    <m/>
    <n v="147.04798364303241"/>
    <n v="80.755470090026847"/>
    <n v="0"/>
    <n v="82108.748800000001"/>
    <n v="35876.135999999999"/>
    <n v="0"/>
    <n v="85364.295464453171"/>
    <n v="46880.165496662383"/>
  </r>
  <r>
    <s v="Sistema Isolado - Refaturamento"/>
    <x v="2"/>
    <x v="4"/>
    <x v="7"/>
    <x v="4"/>
    <x v="0"/>
    <x v="0"/>
    <x v="2"/>
    <x v="0"/>
    <n v="0"/>
    <n v="0"/>
    <n v="2.4940000000000002"/>
    <n v="2.4940000000000002"/>
    <n v="2.4940000000000002"/>
    <n v="2.4940000000000002"/>
    <n v="39"/>
    <x v="0"/>
    <n v="0"/>
    <n v="0"/>
    <n v="40"/>
    <n v="84"/>
    <n v="0"/>
    <n v="141.44"/>
    <n v="61.8"/>
    <m/>
    <n v="147.04798364303241"/>
    <n v="80.755470090026847"/>
    <n v="0"/>
    <n v="352.75136000000003"/>
    <n v="154.1292"/>
    <n v="0"/>
    <n v="366.73767120572285"/>
    <n v="201.40414240452697"/>
  </r>
  <r>
    <s v="Sistema de Compensação"/>
    <x v="2"/>
    <x v="4"/>
    <x v="7"/>
    <x v="4"/>
    <x v="0"/>
    <x v="0"/>
    <x v="2"/>
    <x v="0"/>
    <n v="0"/>
    <n v="0"/>
    <n v="0.87"/>
    <n v="0.87"/>
    <n v="0.87"/>
    <n v="0.87"/>
    <n v="0"/>
    <x v="0"/>
    <n v="0"/>
    <n v="0"/>
    <n v="40"/>
    <n v="84"/>
    <n v="0"/>
    <n v="141.44"/>
    <n v="61.8"/>
    <m/>
    <n v="147.04798364303241"/>
    <n v="80.755470090026847"/>
    <n v="0"/>
    <n v="123.05279999999999"/>
    <n v="53.765999999999998"/>
    <n v="0"/>
    <n v="127.93174576943819"/>
    <n v="70.25725897832335"/>
  </r>
  <r>
    <s v="Sistema de Compensação"/>
    <x v="2"/>
    <x v="4"/>
    <x v="7"/>
    <x v="4"/>
    <x v="0"/>
    <x v="0"/>
    <x v="2"/>
    <x v="0"/>
    <n v="0"/>
    <n v="0"/>
    <n v="0.33900000000000002"/>
    <n v="0.33900000000000002"/>
    <n v="0.33900000000000002"/>
    <n v="0.33900000000000002"/>
    <n v="1"/>
    <x v="0"/>
    <n v="0"/>
    <n v="0"/>
    <n v="40"/>
    <n v="84"/>
    <n v="0"/>
    <n v="141.44"/>
    <n v="61.8"/>
    <m/>
    <n v="147.04798364303241"/>
    <n v="80.755470090026847"/>
    <n v="0"/>
    <n v="47.948160000000001"/>
    <n v="20.950199999999999"/>
    <n v="0"/>
    <n v="49.84926645498799"/>
    <n v="27.376104360519104"/>
  </r>
  <r>
    <s v="Regular"/>
    <x v="2"/>
    <x v="4"/>
    <x v="7"/>
    <x v="4"/>
    <x v="0"/>
    <x v="0"/>
    <x v="2"/>
    <x v="1"/>
    <n v="0"/>
    <n v="0"/>
    <n v="1094.567"/>
    <n v="1094.567"/>
    <n v="1094.567"/>
    <n v="1094.567"/>
    <n v="2408"/>
    <x v="0"/>
    <n v="0"/>
    <n v="0"/>
    <n v="40"/>
    <n v="84"/>
    <n v="0"/>
    <n v="141.44"/>
    <n v="61.8"/>
    <m/>
    <n v="147.04798364303241"/>
    <n v="80.755470090026847"/>
    <n v="0"/>
    <n v="154815.55648"/>
    <n v="67644.24059999999"/>
    <n v="0"/>
    <n v="160953.87031220307"/>
    <n v="88392.27263003042"/>
  </r>
  <r>
    <s v="Refaturamento - Regular"/>
    <x v="2"/>
    <x v="4"/>
    <x v="7"/>
    <x v="4"/>
    <x v="0"/>
    <x v="0"/>
    <x v="2"/>
    <x v="1"/>
    <n v="0"/>
    <n v="0"/>
    <n v="25.379000000000001"/>
    <n v="25.379000000000001"/>
    <n v="25.379000000000001"/>
    <n v="25.379000000000001"/>
    <n v="165"/>
    <x v="0"/>
    <n v="0"/>
    <n v="0"/>
    <n v="40"/>
    <n v="84"/>
    <n v="0"/>
    <n v="141.44"/>
    <n v="61.8"/>
    <m/>
    <n v="147.04798364303241"/>
    <n v="80.755470090026847"/>
    <n v="0"/>
    <n v="3589.6057599999999"/>
    <n v="1568.4222"/>
    <n v="0"/>
    <n v="3731.9307768765198"/>
    <n v="2049.4930754147913"/>
  </r>
  <r>
    <s v="Sistema Isolado - Regular"/>
    <x v="2"/>
    <x v="4"/>
    <x v="7"/>
    <x v="4"/>
    <x v="0"/>
    <x v="0"/>
    <x v="2"/>
    <x v="1"/>
    <n v="0"/>
    <n v="0"/>
    <n v="585.21799999999996"/>
    <n v="585.21799999999996"/>
    <n v="585.21799999999996"/>
    <n v="585.21799999999996"/>
    <n v="1685"/>
    <x v="0"/>
    <n v="0"/>
    <n v="0"/>
    <n v="40"/>
    <n v="84"/>
    <n v="0"/>
    <n v="141.44"/>
    <n v="61.8"/>
    <m/>
    <n v="147.04798364303241"/>
    <n v="80.755470090026847"/>
    <n v="0"/>
    <n v="82773.233919999999"/>
    <n v="36166.472399999999"/>
    <n v="0"/>
    <n v="86055.126891608132"/>
    <n v="47259.554695145329"/>
  </r>
  <r>
    <s v="Sistema Isolado - Refaturamento"/>
    <x v="2"/>
    <x v="4"/>
    <x v="7"/>
    <x v="4"/>
    <x v="0"/>
    <x v="0"/>
    <x v="2"/>
    <x v="1"/>
    <n v="0"/>
    <n v="0"/>
    <n v="4.0890000000000004"/>
    <n v="4.0890000000000004"/>
    <n v="4.0890000000000004"/>
    <n v="4.0890000000000004"/>
    <n v="46"/>
    <x v="0"/>
    <n v="0"/>
    <n v="0"/>
    <n v="40"/>
    <n v="84"/>
    <n v="0"/>
    <n v="141.44"/>
    <n v="61.8"/>
    <m/>
    <n v="147.04798364303241"/>
    <n v="80.755470090026847"/>
    <n v="0"/>
    <n v="578.34816000000001"/>
    <n v="252.70020000000002"/>
    <n v="0"/>
    <n v="601.27920511635955"/>
    <n v="330.20911719811983"/>
  </r>
  <r>
    <s v="Sistema de Compensação"/>
    <x v="2"/>
    <x v="4"/>
    <x v="7"/>
    <x v="4"/>
    <x v="0"/>
    <x v="0"/>
    <x v="2"/>
    <x v="1"/>
    <n v="0"/>
    <n v="0"/>
    <n v="1.02"/>
    <n v="1.02"/>
    <n v="1.02"/>
    <n v="1.02"/>
    <n v="0"/>
    <x v="0"/>
    <n v="0"/>
    <n v="0"/>
    <n v="40"/>
    <n v="84"/>
    <n v="0"/>
    <n v="141.44"/>
    <n v="61.8"/>
    <m/>
    <n v="147.04798364303241"/>
    <n v="80.755470090026847"/>
    <n v="0"/>
    <n v="144.2688"/>
    <n v="63.036000000000001"/>
    <n v="0"/>
    <n v="149.98894331589307"/>
    <n v="82.370579491827385"/>
  </r>
  <r>
    <s v="Sistema de Compensação"/>
    <x v="2"/>
    <x v="4"/>
    <x v="7"/>
    <x v="4"/>
    <x v="0"/>
    <x v="0"/>
    <x v="2"/>
    <x v="1"/>
    <n v="0"/>
    <n v="0"/>
    <n v="0.20200000000000001"/>
    <n v="0.20200000000000001"/>
    <n v="0.20200000000000001"/>
    <n v="0.20200000000000001"/>
    <n v="1"/>
    <x v="0"/>
    <n v="0"/>
    <n v="0"/>
    <n v="40"/>
    <n v="84"/>
    <n v="0"/>
    <n v="141.44"/>
    <n v="61.8"/>
    <m/>
    <n v="147.04798364303241"/>
    <n v="80.755470090026847"/>
    <n v="0"/>
    <n v="28.570880000000002"/>
    <n v="12.483600000000001"/>
    <n v="0"/>
    <n v="29.703692695892549"/>
    <n v="16.312604958185425"/>
  </r>
  <r>
    <s v="Regular"/>
    <x v="2"/>
    <x v="4"/>
    <x v="7"/>
    <x v="4"/>
    <x v="0"/>
    <x v="0"/>
    <x v="2"/>
    <x v="2"/>
    <n v="0"/>
    <n v="0"/>
    <n v="1200.49"/>
    <n v="1200.49"/>
    <n v="1200.49"/>
    <n v="1200.49"/>
    <n v="2787"/>
    <x v="0"/>
    <n v="0"/>
    <n v="0"/>
    <n v="40"/>
    <n v="84"/>
    <n v="0"/>
    <n v="141.44"/>
    <n v="61.8"/>
    <m/>
    <n v="147.04798364303241"/>
    <n v="80.755470090026847"/>
    <n v="0"/>
    <n v="169797.30559999999"/>
    <n v="74190.281999999992"/>
    <n v="0"/>
    <n v="176529.63388362399"/>
    <n v="96946.134288376328"/>
  </r>
  <r>
    <s v="Refaturamento - Regular"/>
    <x v="2"/>
    <x v="4"/>
    <x v="7"/>
    <x v="4"/>
    <x v="0"/>
    <x v="0"/>
    <x v="2"/>
    <x v="2"/>
    <n v="0"/>
    <n v="0"/>
    <n v="0.39100000000000001"/>
    <n v="0.39100000000000001"/>
    <n v="0.39100000000000001"/>
    <n v="0.39100000000000001"/>
    <n v="56"/>
    <x v="0"/>
    <n v="0"/>
    <n v="0"/>
    <n v="40"/>
    <n v="84"/>
    <n v="0"/>
    <n v="141.44"/>
    <n v="61.8"/>
    <m/>
    <n v="147.04798364303241"/>
    <n v="80.755470090026847"/>
    <n v="0"/>
    <n v="55.303040000000003"/>
    <n v="24.163799999999998"/>
    <n v="0"/>
    <n v="57.495761604425674"/>
    <n v="31.575388805200497"/>
  </r>
  <r>
    <s v="Sistema Isolado - Regular"/>
    <x v="2"/>
    <x v="4"/>
    <x v="7"/>
    <x v="4"/>
    <x v="0"/>
    <x v="0"/>
    <x v="2"/>
    <x v="2"/>
    <n v="0"/>
    <n v="0"/>
    <n v="609.83699999999999"/>
    <n v="609.83699999999999"/>
    <n v="609.83699999999999"/>
    <n v="609.83699999999999"/>
    <n v="1822"/>
    <x v="0"/>
    <n v="0"/>
    <n v="0"/>
    <n v="40"/>
    <n v="84"/>
    <n v="0"/>
    <n v="141.44"/>
    <n v="61.8"/>
    <m/>
    <n v="147.04798364303241"/>
    <n v="80.755470090026847"/>
    <n v="0"/>
    <n v="86255.345279999994"/>
    <n v="37687.926599999999"/>
    <n v="0"/>
    <n v="89675.301200915957"/>
    <n v="49247.673613291699"/>
  </r>
  <r>
    <s v="Sistema Isolado - Refaturamento"/>
    <x v="2"/>
    <x v="4"/>
    <x v="7"/>
    <x v="4"/>
    <x v="0"/>
    <x v="0"/>
    <x v="2"/>
    <x v="2"/>
    <n v="0"/>
    <n v="0"/>
    <n v="-0.86899999999999999"/>
    <n v="-0.86899999999999999"/>
    <n v="-0.86899999999999999"/>
    <n v="-0.86899999999999999"/>
    <n v="8"/>
    <x v="0"/>
    <n v="0"/>
    <n v="0"/>
    <n v="40"/>
    <n v="84"/>
    <n v="0"/>
    <n v="141.44"/>
    <n v="61.8"/>
    <m/>
    <n v="147.04798364303241"/>
    <n v="80.755470090026847"/>
    <n v="0"/>
    <n v="-122.91136"/>
    <n v="-53.7042"/>
    <n v="0"/>
    <n v="-127.78469778579516"/>
    <n v="-70.176503508233324"/>
  </r>
  <r>
    <s v="Sistema de Compensação"/>
    <x v="2"/>
    <x v="4"/>
    <x v="7"/>
    <x v="4"/>
    <x v="0"/>
    <x v="0"/>
    <x v="2"/>
    <x v="2"/>
    <n v="0"/>
    <n v="0"/>
    <n v="1.17"/>
    <n v="1.17"/>
    <n v="1.17"/>
    <n v="1.17"/>
    <n v="0"/>
    <x v="0"/>
    <n v="0"/>
    <n v="0"/>
    <n v="40"/>
    <n v="84"/>
    <n v="0"/>
    <n v="141.44"/>
    <n v="61.8"/>
    <m/>
    <n v="147.04798364303241"/>
    <n v="80.755470090026847"/>
    <n v="0"/>
    <n v="165.48479999999998"/>
    <n v="72.305999999999997"/>
    <n v="0"/>
    <n v="172.0461408623479"/>
    <n v="94.483900005331407"/>
  </r>
  <r>
    <s v="Sistema de Compensação"/>
    <x v="2"/>
    <x v="4"/>
    <x v="7"/>
    <x v="4"/>
    <x v="0"/>
    <x v="0"/>
    <x v="2"/>
    <x v="2"/>
    <n v="0"/>
    <n v="0"/>
    <n v="0.24099999999999999"/>
    <n v="0.24099999999999999"/>
    <n v="0.24099999999999999"/>
    <n v="0.24099999999999999"/>
    <n v="1"/>
    <x v="0"/>
    <n v="0"/>
    <n v="0"/>
    <n v="40"/>
    <n v="84"/>
    <n v="0"/>
    <n v="141.44"/>
    <n v="61.8"/>
    <m/>
    <n v="147.04798364303241"/>
    <n v="80.755470090026847"/>
    <n v="0"/>
    <n v="34.087040000000002"/>
    <n v="14.893799999999999"/>
    <n v="0"/>
    <n v="35.438564057970808"/>
    <n v="19.462068291696468"/>
  </r>
  <r>
    <s v="Regular"/>
    <x v="2"/>
    <x v="4"/>
    <x v="7"/>
    <x v="4"/>
    <x v="0"/>
    <x v="0"/>
    <x v="2"/>
    <x v="3"/>
    <n v="0"/>
    <n v="0"/>
    <n v="1246.335"/>
    <n v="1246.335"/>
    <n v="1246.335"/>
    <n v="1246.335"/>
    <n v="2714"/>
    <x v="0"/>
    <n v="0"/>
    <n v="0"/>
    <n v="40"/>
    <n v="84"/>
    <n v="0"/>
    <n v="141.44"/>
    <n v="61.8"/>
    <m/>
    <n v="147.04798364303241"/>
    <n v="80.755470090026847"/>
    <n v="0"/>
    <n v="176281.62239999999"/>
    <n v="77023.502999999997"/>
    <n v="0"/>
    <n v="183271.04869373879"/>
    <n v="100648.36881465362"/>
  </r>
  <r>
    <s v="Refaturamento - Regular"/>
    <x v="2"/>
    <x v="4"/>
    <x v="7"/>
    <x v="4"/>
    <x v="0"/>
    <x v="0"/>
    <x v="2"/>
    <x v="3"/>
    <n v="0"/>
    <n v="0"/>
    <n v="-6.5339999999999998"/>
    <n v="-6.5339999999999998"/>
    <n v="-6.5339999999999998"/>
    <n v="-6.5339999999999998"/>
    <n v="32"/>
    <x v="0"/>
    <n v="0"/>
    <n v="0"/>
    <n v="40"/>
    <n v="84"/>
    <n v="0"/>
    <n v="141.44"/>
    <n v="61.8"/>
    <m/>
    <n v="147.04798364303241"/>
    <n v="80.755470090026847"/>
    <n v="0"/>
    <n v="-924.16895999999997"/>
    <n v="-403.80119999999999"/>
    <n v="0"/>
    <n v="-960.81152512357369"/>
    <n v="-527.65624156823537"/>
  </r>
  <r>
    <s v="Sistema Isolado - Regular"/>
    <x v="2"/>
    <x v="4"/>
    <x v="7"/>
    <x v="4"/>
    <x v="0"/>
    <x v="0"/>
    <x v="2"/>
    <x v="3"/>
    <n v="0"/>
    <n v="0"/>
    <n v="618.73599999999999"/>
    <n v="618.73599999999999"/>
    <n v="618.73599999999999"/>
    <n v="618.73599999999999"/>
    <n v="1837"/>
    <x v="0"/>
    <n v="0"/>
    <n v="0"/>
    <n v="40"/>
    <n v="84"/>
    <n v="0"/>
    <n v="141.44"/>
    <n v="61.8"/>
    <m/>
    <n v="147.04798364303241"/>
    <n v="80.755470090026847"/>
    <n v="0"/>
    <n v="87514.019839999994"/>
    <n v="38237.8848"/>
    <n v="0"/>
    <n v="90983.881207355298"/>
    <n v="49966.316541622851"/>
  </r>
  <r>
    <s v="Sistema Isolado - Refaturamento"/>
    <x v="2"/>
    <x v="4"/>
    <x v="7"/>
    <x v="4"/>
    <x v="0"/>
    <x v="0"/>
    <x v="2"/>
    <x v="3"/>
    <n v="0"/>
    <n v="0"/>
    <n v="3.1789999999999998"/>
    <n v="3.1789999999999998"/>
    <n v="3.1789999999999998"/>
    <n v="3.1789999999999998"/>
    <n v="51"/>
    <x v="0"/>
    <n v="0"/>
    <n v="0"/>
    <n v="40"/>
    <n v="84"/>
    <n v="0"/>
    <n v="141.44"/>
    <n v="61.8"/>
    <m/>
    <n v="147.04798364303241"/>
    <n v="80.755470090026847"/>
    <n v="0"/>
    <n v="449.63775999999996"/>
    <n v="196.46219999999997"/>
    <n v="0"/>
    <n v="467.4655400012"/>
    <n v="256.72163941619533"/>
  </r>
  <r>
    <s v="Sistema de Compensação"/>
    <x v="2"/>
    <x v="4"/>
    <x v="7"/>
    <x v="4"/>
    <x v="0"/>
    <x v="0"/>
    <x v="2"/>
    <x v="3"/>
    <n v="0"/>
    <n v="0"/>
    <n v="1.29"/>
    <n v="1.29"/>
    <n v="1.29"/>
    <n v="1.29"/>
    <n v="0"/>
    <x v="0"/>
    <n v="0"/>
    <n v="0"/>
    <n v="40"/>
    <n v="84"/>
    <n v="0"/>
    <n v="141.44"/>
    <n v="61.8"/>
    <m/>
    <n v="147.04798364303241"/>
    <n v="80.755470090026847"/>
    <n v="0"/>
    <n v="182.45760000000001"/>
    <n v="79.721999999999994"/>
    <n v="0"/>
    <n v="189.69189889951181"/>
    <n v="104.17455641613464"/>
  </r>
  <r>
    <s v="Regular"/>
    <x v="2"/>
    <x v="4"/>
    <x v="7"/>
    <x v="4"/>
    <x v="0"/>
    <x v="0"/>
    <x v="2"/>
    <x v="4"/>
    <n v="0"/>
    <n v="0"/>
    <n v="1293.701"/>
    <n v="1293.701"/>
    <n v="1293.701"/>
    <n v="1293.701"/>
    <n v="2880"/>
    <x v="0"/>
    <n v="0"/>
    <n v="0"/>
    <n v="40"/>
    <n v="84"/>
    <n v="0"/>
    <n v="141.44"/>
    <n v="61.8"/>
    <m/>
    <n v="147.04798364303241"/>
    <n v="80.755470090026847"/>
    <n v="0"/>
    <n v="182981.06943999999"/>
    <n v="79950.721799999999"/>
    <n v="0"/>
    <n v="190236.12348697468"/>
    <n v="104473.43241093782"/>
  </r>
  <r>
    <s v="Refaturamento - Regular"/>
    <x v="2"/>
    <x v="4"/>
    <x v="7"/>
    <x v="4"/>
    <x v="0"/>
    <x v="0"/>
    <x v="2"/>
    <x v="4"/>
    <n v="0"/>
    <n v="0"/>
    <n v="-1.2669999999999999"/>
    <n v="-1.2669999999999999"/>
    <n v="-1.2669999999999999"/>
    <n v="-1.2669999999999999"/>
    <n v="41"/>
    <x v="0"/>
    <n v="0"/>
    <n v="0"/>
    <n v="40"/>
    <n v="84"/>
    <n v="0"/>
    <n v="141.44"/>
    <n v="61.8"/>
    <m/>
    <n v="147.04798364303241"/>
    <n v="80.755470090026847"/>
    <n v="0"/>
    <n v="-179.20447999999999"/>
    <n v="-78.300599999999989"/>
    <n v="0"/>
    <n v="-186.30979527572205"/>
    <n v="-102.31718060406401"/>
  </r>
  <r>
    <s v="Sistema Isolado - Regular"/>
    <x v="2"/>
    <x v="4"/>
    <x v="7"/>
    <x v="4"/>
    <x v="0"/>
    <x v="0"/>
    <x v="2"/>
    <x v="4"/>
    <n v="0"/>
    <n v="0"/>
    <n v="629.86800000000005"/>
    <n v="629.86800000000005"/>
    <n v="629.86800000000005"/>
    <n v="629.86800000000005"/>
    <n v="1817"/>
    <x v="0"/>
    <n v="0"/>
    <n v="0"/>
    <n v="40"/>
    <n v="84"/>
    <n v="0"/>
    <n v="141.44"/>
    <n v="61.8"/>
    <m/>
    <n v="147.04798364303241"/>
    <n v="80.755470090026847"/>
    <n v="0"/>
    <n v="89088.529920000001"/>
    <n v="38925.842400000001"/>
    <n v="0"/>
    <n v="92620.819361269547"/>
    <n v="50865.286434665031"/>
  </r>
  <r>
    <s v="Sistema Isolado - Refaturamento"/>
    <x v="2"/>
    <x v="4"/>
    <x v="7"/>
    <x v="4"/>
    <x v="0"/>
    <x v="0"/>
    <x v="2"/>
    <x v="4"/>
    <n v="0"/>
    <n v="0"/>
    <n v="0.79700000000000004"/>
    <n v="0.79700000000000004"/>
    <n v="0.79700000000000004"/>
    <n v="0.79700000000000004"/>
    <n v="99"/>
    <x v="0"/>
    <n v="0"/>
    <n v="0"/>
    <n v="40"/>
    <n v="84"/>
    <n v="0"/>
    <n v="141.44"/>
    <n v="61.8"/>
    <m/>
    <n v="147.04798364303241"/>
    <n v="80.755470090026847"/>
    <n v="0"/>
    <n v="112.72768000000001"/>
    <n v="49.254600000000003"/>
    <n v="0"/>
    <n v="117.19724296349683"/>
    <n v="64.362109661751404"/>
  </r>
  <r>
    <s v="Sistema de Compensação"/>
    <x v="2"/>
    <x v="4"/>
    <x v="7"/>
    <x v="4"/>
    <x v="0"/>
    <x v="0"/>
    <x v="2"/>
    <x v="4"/>
    <n v="0"/>
    <n v="0"/>
    <n v="1.41"/>
    <n v="1.41"/>
    <n v="1.41"/>
    <n v="1.41"/>
    <n v="0"/>
    <x v="0"/>
    <n v="0"/>
    <n v="0"/>
    <n v="40"/>
    <n v="84"/>
    <n v="0"/>
    <n v="141.44"/>
    <n v="61.8"/>
    <m/>
    <n v="147.04798364303241"/>
    <n v="80.755470090026847"/>
    <n v="0"/>
    <n v="199.43039999999999"/>
    <n v="87.137999999999991"/>
    <n v="0"/>
    <n v="207.3376569366757"/>
    <n v="113.86521282693785"/>
  </r>
  <r>
    <s v="Regular"/>
    <x v="2"/>
    <x v="4"/>
    <x v="7"/>
    <x v="4"/>
    <x v="0"/>
    <x v="0"/>
    <x v="2"/>
    <x v="5"/>
    <n v="0"/>
    <n v="0"/>
    <n v="1272.3420000000001"/>
    <n v="1272.3420000000001"/>
    <n v="1272.3420000000001"/>
    <n v="1272.3420000000001"/>
    <n v="2882"/>
    <x v="0"/>
    <n v="0"/>
    <n v="0"/>
    <n v="40"/>
    <n v="84"/>
    <n v="0"/>
    <n v="141.44"/>
    <n v="61.8"/>
    <m/>
    <n v="147.04798364303241"/>
    <n v="80.755470090026847"/>
    <n v="0"/>
    <n v="179960.05248000001"/>
    <n v="78630.7356"/>
    <n v="0"/>
    <n v="187095.32560434315"/>
    <n v="102748.57632528494"/>
  </r>
  <r>
    <s v="Refaturamento - Regular"/>
    <x v="2"/>
    <x v="4"/>
    <x v="7"/>
    <x v="4"/>
    <x v="0"/>
    <x v="0"/>
    <x v="2"/>
    <x v="5"/>
    <n v="0"/>
    <n v="0"/>
    <n v="-5.1760000000000002"/>
    <n v="-5.1760000000000002"/>
    <n v="-5.1760000000000002"/>
    <n v="-5.1760000000000002"/>
    <n v="23"/>
    <x v="0"/>
    <n v="0"/>
    <n v="0"/>
    <n v="40"/>
    <n v="84"/>
    <n v="0"/>
    <n v="141.44"/>
    <n v="61.8"/>
    <m/>
    <n v="147.04798364303241"/>
    <n v="80.755470090026847"/>
    <n v="0"/>
    <n v="-732.09343999999999"/>
    <n v="-319.8768"/>
    <n v="0"/>
    <n v="-761.1203633363358"/>
    <n v="-417.99031318597895"/>
  </r>
  <r>
    <s v="Sistema Isolado - Regular"/>
    <x v="2"/>
    <x v="4"/>
    <x v="7"/>
    <x v="4"/>
    <x v="0"/>
    <x v="0"/>
    <x v="2"/>
    <x v="5"/>
    <n v="0"/>
    <n v="0"/>
    <n v="621.33199999999999"/>
    <n v="621.33199999999999"/>
    <n v="621.33199999999999"/>
    <n v="621.33199999999999"/>
    <n v="1815"/>
    <x v="0"/>
    <n v="0"/>
    <n v="0"/>
    <n v="40"/>
    <n v="84"/>
    <n v="0"/>
    <n v="141.44"/>
    <n v="61.8"/>
    <m/>
    <n v="147.04798364303241"/>
    <n v="80.755470090026847"/>
    <n v="0"/>
    <n v="87881.198080000002"/>
    <n v="38398.317599999995"/>
    <n v="0"/>
    <n v="91365.617772892612"/>
    <n v="50175.957741976563"/>
  </r>
  <r>
    <s v="Sistema Isolado - Refaturamento"/>
    <x v="2"/>
    <x v="4"/>
    <x v="7"/>
    <x v="4"/>
    <x v="0"/>
    <x v="0"/>
    <x v="2"/>
    <x v="5"/>
    <n v="0"/>
    <n v="0"/>
    <n v="4.4800000000000004"/>
    <n v="4.4800000000000004"/>
    <n v="4.4800000000000004"/>
    <n v="4.4800000000000004"/>
    <n v="112"/>
    <x v="0"/>
    <n v="0"/>
    <n v="0"/>
    <n v="40"/>
    <n v="84"/>
    <n v="0"/>
    <n v="141.44"/>
    <n v="61.8"/>
    <m/>
    <n v="147.04798364303241"/>
    <n v="80.755470090026847"/>
    <n v="0"/>
    <n v="633.65120000000002"/>
    <n v="276.86400000000003"/>
    <n v="0"/>
    <n v="658.7749667207853"/>
    <n v="361.7845060033203"/>
  </r>
  <r>
    <s v="Sistema de Compensação"/>
    <x v="2"/>
    <x v="4"/>
    <x v="7"/>
    <x v="4"/>
    <x v="0"/>
    <x v="0"/>
    <x v="2"/>
    <x v="5"/>
    <n v="0"/>
    <n v="0"/>
    <n v="1.38"/>
    <n v="1.38"/>
    <n v="1.38"/>
    <n v="1.38"/>
    <n v="0"/>
    <x v="0"/>
    <n v="0"/>
    <n v="0"/>
    <n v="40"/>
    <n v="84"/>
    <n v="0"/>
    <n v="141.44"/>
    <n v="61.8"/>
    <m/>
    <n v="147.04798364303241"/>
    <n v="80.755470090026847"/>
    <n v="0"/>
    <n v="195.18719999999999"/>
    <n v="85.283999999999992"/>
    <n v="0"/>
    <n v="202.9262174273847"/>
    <n v="111.44254872423704"/>
  </r>
  <r>
    <s v="Regular"/>
    <x v="2"/>
    <x v="4"/>
    <x v="7"/>
    <x v="4"/>
    <x v="0"/>
    <x v="0"/>
    <x v="2"/>
    <x v="6"/>
    <n v="0"/>
    <n v="0"/>
    <n v="1297.2560000000001"/>
    <n v="1297.2560000000001"/>
    <n v="1297.2560000000001"/>
    <n v="1297.2560000000001"/>
    <n v="3032"/>
    <x v="0"/>
    <n v="0"/>
    <n v="0"/>
    <n v="40"/>
    <n v="84"/>
    <n v="0"/>
    <n v="141.44"/>
    <n v="61.8"/>
    <m/>
    <n v="147.04798364303241"/>
    <n v="80.755470090026847"/>
    <n v="0"/>
    <n v="183483.88864000002"/>
    <n v="80170.420800000007"/>
    <n v="0"/>
    <n v="190758.87906882566"/>
    <n v="104760.51810710787"/>
  </r>
  <r>
    <s v="Refaturamento - Regular"/>
    <x v="2"/>
    <x v="4"/>
    <x v="7"/>
    <x v="4"/>
    <x v="0"/>
    <x v="0"/>
    <x v="2"/>
    <x v="6"/>
    <n v="0"/>
    <n v="0"/>
    <n v="6.46"/>
    <n v="6.46"/>
    <n v="6.46"/>
    <n v="6.46"/>
    <n v="48"/>
    <x v="0"/>
    <n v="0"/>
    <n v="0"/>
    <n v="40"/>
    <n v="84"/>
    <n v="0"/>
    <n v="141.44"/>
    <n v="61.8"/>
    <m/>
    <n v="147.04798364303241"/>
    <n v="80.755470090026847"/>
    <n v="0"/>
    <n v="913.70240000000001"/>
    <n v="399.22799999999995"/>
    <n v="0"/>
    <n v="949.92997433398932"/>
    <n v="521.68033678157337"/>
  </r>
  <r>
    <s v="Sistema Isolado - Regular"/>
    <x v="2"/>
    <x v="4"/>
    <x v="7"/>
    <x v="4"/>
    <x v="0"/>
    <x v="0"/>
    <x v="2"/>
    <x v="6"/>
    <n v="0"/>
    <n v="0"/>
    <n v="629.74400000000003"/>
    <n v="629.74400000000003"/>
    <n v="629.74400000000003"/>
    <n v="629.74400000000003"/>
    <n v="1821"/>
    <x v="0"/>
    <n v="0"/>
    <n v="0"/>
    <n v="40"/>
    <n v="84"/>
    <n v="0"/>
    <n v="141.44"/>
    <n v="61.8"/>
    <m/>
    <n v="147.04798364303241"/>
    <n v="80.755470090026847"/>
    <n v="0"/>
    <n v="89070.99136"/>
    <n v="38918.179199999999"/>
    <n v="0"/>
    <n v="92602.585411297812"/>
    <n v="50855.272756373866"/>
  </r>
  <r>
    <s v="Sistema Isolado - Refaturamento"/>
    <x v="2"/>
    <x v="4"/>
    <x v="7"/>
    <x v="4"/>
    <x v="0"/>
    <x v="0"/>
    <x v="2"/>
    <x v="6"/>
    <n v="0"/>
    <n v="0"/>
    <n v="1.1140000000000001"/>
    <n v="1.1140000000000001"/>
    <n v="1.1140000000000001"/>
    <n v="1.1140000000000001"/>
    <n v="10"/>
    <x v="0"/>
    <n v="0"/>
    <n v="0"/>
    <n v="40"/>
    <n v="84"/>
    <n v="0"/>
    <n v="141.44"/>
    <n v="61.8"/>
    <m/>
    <n v="147.04798364303241"/>
    <n v="80.755470090026847"/>
    <n v="0"/>
    <n v="157.56416000000002"/>
    <n v="68.845200000000006"/>
    <n v="0"/>
    <n v="163.81145377833812"/>
    <n v="89.961593680289923"/>
  </r>
  <r>
    <s v="Sistema de Compensação"/>
    <x v="2"/>
    <x v="4"/>
    <x v="7"/>
    <x v="4"/>
    <x v="0"/>
    <x v="0"/>
    <x v="2"/>
    <x v="6"/>
    <n v="0"/>
    <n v="0"/>
    <n v="1.44"/>
    <n v="1.44"/>
    <n v="1.44"/>
    <n v="1.44"/>
    <n v="0"/>
    <x v="0"/>
    <n v="0"/>
    <n v="0"/>
    <n v="40"/>
    <n v="84"/>
    <n v="0"/>
    <n v="141.44"/>
    <n v="61.8"/>
    <m/>
    <n v="147.04798364303241"/>
    <n v="80.755470090026847"/>
    <n v="0"/>
    <n v="203.67359999999999"/>
    <n v="88.99199999999999"/>
    <n v="0"/>
    <n v="211.74909644596667"/>
    <n v="116.28787692963866"/>
  </r>
  <r>
    <s v="Regular"/>
    <x v="2"/>
    <x v="4"/>
    <x v="7"/>
    <x v="4"/>
    <x v="0"/>
    <x v="0"/>
    <x v="2"/>
    <x v="7"/>
    <n v="0"/>
    <n v="0"/>
    <n v="1337.239"/>
    <n v="1337.239"/>
    <n v="1337.239"/>
    <n v="1337.239"/>
    <n v="3072"/>
    <x v="0"/>
    <n v="0"/>
    <n v="0"/>
    <n v="40"/>
    <n v="84"/>
    <n v="0"/>
    <n v="141.44"/>
    <n v="61.8"/>
    <m/>
    <n v="147.04798364303241"/>
    <n v="80.755470090026847"/>
    <n v="0"/>
    <n v="189139.08416"/>
    <n v="82641.370200000005"/>
    <n v="0"/>
    <n v="196638.29859882503"/>
    <n v="107989.36406771741"/>
  </r>
  <r>
    <s v="Refaturamento - Regular"/>
    <x v="2"/>
    <x v="4"/>
    <x v="7"/>
    <x v="4"/>
    <x v="0"/>
    <x v="0"/>
    <x v="2"/>
    <x v="7"/>
    <n v="0"/>
    <n v="0"/>
    <n v="10.766"/>
    <n v="10.766"/>
    <n v="10.766"/>
    <n v="10.766"/>
    <n v="61"/>
    <x v="0"/>
    <n v="0"/>
    <n v="0"/>
    <n v="40"/>
    <n v="84"/>
    <n v="0"/>
    <n v="141.44"/>
    <n v="61.8"/>
    <m/>
    <n v="147.04798364303241"/>
    <n v="80.755470090026847"/>
    <n v="0"/>
    <n v="1522.7430400000001"/>
    <n v="665.33879999999999"/>
    <n v="0"/>
    <n v="1583.1185919008869"/>
    <n v="869.41339098922901"/>
  </r>
  <r>
    <s v="Sistema Isolado - Regular"/>
    <x v="2"/>
    <x v="4"/>
    <x v="7"/>
    <x v="4"/>
    <x v="0"/>
    <x v="0"/>
    <x v="2"/>
    <x v="7"/>
    <n v="0"/>
    <n v="0"/>
    <n v="650.20100000000002"/>
    <n v="650.20100000000002"/>
    <n v="650.20100000000002"/>
    <n v="650.20100000000002"/>
    <n v="1741"/>
    <x v="0"/>
    <n v="0"/>
    <n v="0"/>
    <n v="40"/>
    <n v="84"/>
    <n v="0"/>
    <n v="141.44"/>
    <n v="61.8"/>
    <m/>
    <n v="147.04798364303241"/>
    <n v="80.755470090026847"/>
    <n v="0"/>
    <n v="91964.429440000007"/>
    <n v="40182.421799999996"/>
    <n v="0"/>
    <n v="95610.746012683318"/>
    <n v="52507.287408005548"/>
  </r>
  <r>
    <s v="Sistema Isolado - Refaturamento"/>
    <x v="2"/>
    <x v="4"/>
    <x v="7"/>
    <x v="4"/>
    <x v="0"/>
    <x v="0"/>
    <x v="2"/>
    <x v="7"/>
    <n v="0"/>
    <n v="0"/>
    <n v="0.53400000000000003"/>
    <n v="0.53400000000000003"/>
    <n v="0.53400000000000003"/>
    <n v="0.53400000000000003"/>
    <n v="15"/>
    <x v="0"/>
    <n v="0"/>
    <n v="0"/>
    <n v="40"/>
    <n v="84"/>
    <n v="0"/>
    <n v="141.44"/>
    <n v="61.8"/>
    <m/>
    <n v="147.04798364303241"/>
    <n v="80.755470090026847"/>
    <n v="0"/>
    <n v="75.528959999999998"/>
    <n v="33.001199999999997"/>
    <n v="0"/>
    <n v="78.523623265379314"/>
    <n v="43.12342102807434"/>
  </r>
  <r>
    <s v="Sistema de Compensação"/>
    <x v="2"/>
    <x v="4"/>
    <x v="7"/>
    <x v="4"/>
    <x v="0"/>
    <x v="0"/>
    <x v="2"/>
    <x v="7"/>
    <n v="0"/>
    <n v="0"/>
    <n v="1.56"/>
    <n v="1.56"/>
    <n v="1.56"/>
    <n v="1.56"/>
    <n v="0"/>
    <x v="0"/>
    <n v="0"/>
    <n v="0"/>
    <n v="40"/>
    <n v="84"/>
    <n v="0"/>
    <n v="141.44"/>
    <n v="61.8"/>
    <m/>
    <n v="147.04798364303241"/>
    <n v="80.755470090026847"/>
    <n v="0"/>
    <n v="220.6464"/>
    <n v="96.408000000000001"/>
    <n v="0"/>
    <n v="229.39485448313056"/>
    <n v="125.97853334044189"/>
  </r>
  <r>
    <s v="Regular"/>
    <x v="2"/>
    <x v="4"/>
    <x v="7"/>
    <x v="4"/>
    <x v="0"/>
    <x v="0"/>
    <x v="2"/>
    <x v="8"/>
    <n v="0"/>
    <n v="0"/>
    <n v="1083.0219999999999"/>
    <n v="1083.0219999999999"/>
    <n v="1083.0219999999999"/>
    <n v="1083.0219999999999"/>
    <n v="2005"/>
    <x v="0"/>
    <n v="0"/>
    <n v="0"/>
    <n v="40"/>
    <n v="84"/>
    <n v="0"/>
    <n v="141.44"/>
    <n v="61.8"/>
    <m/>
    <n v="147.04798364303241"/>
    <n v="80.755470090026847"/>
    <n v="0"/>
    <n v="153182.63167999999"/>
    <n v="66930.75959999999"/>
    <n v="0"/>
    <n v="159256.20134104425"/>
    <n v="87459.950727841046"/>
  </r>
  <r>
    <s v="Refaturamento - Regular"/>
    <x v="2"/>
    <x v="4"/>
    <x v="7"/>
    <x v="4"/>
    <x v="0"/>
    <x v="0"/>
    <x v="2"/>
    <x v="8"/>
    <n v="0"/>
    <n v="0"/>
    <n v="6.1360000000000001"/>
    <n v="6.1360000000000001"/>
    <n v="6.1360000000000001"/>
    <n v="6.1360000000000001"/>
    <n v="31"/>
    <x v="0"/>
    <n v="0"/>
    <n v="0"/>
    <n v="40"/>
    <n v="84"/>
    <n v="0"/>
    <n v="141.44"/>
    <n v="61.8"/>
    <m/>
    <n v="147.04798364303241"/>
    <n v="80.755470090026847"/>
    <n v="0"/>
    <n v="867.87584000000004"/>
    <n v="379.20479999999998"/>
    <n v="0"/>
    <n v="902.28642763364689"/>
    <n v="495.51556447240472"/>
  </r>
  <r>
    <s v="Sistema Isolado - Regular"/>
    <x v="2"/>
    <x v="4"/>
    <x v="7"/>
    <x v="4"/>
    <x v="0"/>
    <x v="0"/>
    <x v="2"/>
    <x v="8"/>
    <n v="0"/>
    <n v="0"/>
    <n v="916.375"/>
    <n v="916.375"/>
    <n v="916.375"/>
    <n v="916.375"/>
    <n v="2596"/>
    <x v="0"/>
    <n v="0"/>
    <n v="0"/>
    <n v="40"/>
    <n v="84"/>
    <n v="0"/>
    <n v="141.44"/>
    <n v="61.8"/>
    <m/>
    <n v="147.04798364303241"/>
    <n v="80.755470090026847"/>
    <n v="0"/>
    <n v="129612.08"/>
    <n v="56631.974999999999"/>
    <n v="0"/>
    <n v="134751.09601088383"/>
    <n v="74002.293903748359"/>
  </r>
  <r>
    <s v="Sistema Isolado - Refaturamento"/>
    <x v="2"/>
    <x v="4"/>
    <x v="7"/>
    <x v="4"/>
    <x v="0"/>
    <x v="0"/>
    <x v="2"/>
    <x v="8"/>
    <n v="0"/>
    <n v="0"/>
    <n v="2.6059999999999999"/>
    <n v="2.6059999999999999"/>
    <n v="2.6059999999999999"/>
    <n v="2.6059999999999999"/>
    <n v="30"/>
    <x v="0"/>
    <n v="0"/>
    <n v="0"/>
    <n v="40"/>
    <n v="84"/>
    <n v="0"/>
    <n v="141.44"/>
    <n v="61.8"/>
    <m/>
    <n v="147.04798364303241"/>
    <n v="80.755470090026847"/>
    <n v="0"/>
    <n v="368.59263999999996"/>
    <n v="161.05079999999998"/>
    <n v="0"/>
    <n v="383.20704537374246"/>
    <n v="210.44875505460996"/>
  </r>
  <r>
    <s v="Sistema de Compensação"/>
    <x v="2"/>
    <x v="4"/>
    <x v="7"/>
    <x v="4"/>
    <x v="0"/>
    <x v="0"/>
    <x v="2"/>
    <x v="8"/>
    <n v="0"/>
    <n v="0"/>
    <n v="1.62"/>
    <n v="1.62"/>
    <n v="1.62"/>
    <n v="1.62"/>
    <n v="0"/>
    <x v="0"/>
    <n v="0"/>
    <n v="0"/>
    <n v="40"/>
    <n v="84"/>
    <n v="0"/>
    <n v="141.44"/>
    <n v="61.8"/>
    <m/>
    <n v="147.04798364303241"/>
    <n v="80.755470090026847"/>
    <n v="0"/>
    <n v="229.1328"/>
    <n v="100.116"/>
    <n v="0"/>
    <n v="238.21773350171253"/>
    <n v="130.8238615458435"/>
  </r>
  <r>
    <s v="Sistema de Compensação"/>
    <x v="2"/>
    <x v="4"/>
    <x v="7"/>
    <x v="4"/>
    <x v="0"/>
    <x v="0"/>
    <x v="2"/>
    <x v="8"/>
    <n v="0"/>
    <n v="0"/>
    <n v="0.624"/>
    <n v="0.624"/>
    <n v="0.624"/>
    <n v="0.624"/>
    <n v="1"/>
    <x v="0"/>
    <n v="0"/>
    <n v="0"/>
    <n v="40"/>
    <n v="84"/>
    <n v="0"/>
    <n v="141.44"/>
    <n v="61.8"/>
    <m/>
    <n v="147.04798364303241"/>
    <n v="80.755470090026847"/>
    <n v="0"/>
    <n v="88.258560000000003"/>
    <n v="38.563199999999995"/>
    <n v="0"/>
    <n v="91.757941793252229"/>
    <n v="50.391413336176754"/>
  </r>
  <r>
    <s v="Regular"/>
    <x v="2"/>
    <x v="4"/>
    <x v="7"/>
    <x v="4"/>
    <x v="0"/>
    <x v="0"/>
    <x v="2"/>
    <x v="9"/>
    <n v="0"/>
    <n v="0"/>
    <n v="1373.327"/>
    <n v="1373.327"/>
    <n v="1373.327"/>
    <n v="1373.327"/>
    <n v="2934"/>
    <x v="0"/>
    <n v="0"/>
    <n v="0"/>
    <n v="40"/>
    <n v="84"/>
    <n v="0"/>
    <n v="141.44"/>
    <n v="61.8"/>
    <m/>
    <n v="147.04798364303241"/>
    <n v="80.755470090026847"/>
    <n v="0"/>
    <n v="194243.37088"/>
    <n v="84871.608599999992"/>
    <n v="0"/>
    <n v="201944.96623253476"/>
    <n v="110903.6674723263"/>
  </r>
  <r>
    <s v="Refaturamento - Regular"/>
    <x v="2"/>
    <x v="4"/>
    <x v="7"/>
    <x v="4"/>
    <x v="0"/>
    <x v="0"/>
    <x v="2"/>
    <x v="9"/>
    <n v="0"/>
    <n v="0"/>
    <n v="2.96"/>
    <n v="2.96"/>
    <n v="2.96"/>
    <n v="2.96"/>
    <n v="19"/>
    <x v="0"/>
    <n v="0"/>
    <n v="0"/>
    <n v="40"/>
    <n v="84"/>
    <n v="0"/>
    <n v="141.44"/>
    <n v="61.8"/>
    <m/>
    <n v="147.04798364303241"/>
    <n v="80.755470090026847"/>
    <n v="0"/>
    <n v="418.66239999999999"/>
    <n v="182.928"/>
    <n v="0"/>
    <n v="435.26203158337592"/>
    <n v="239.03619146647947"/>
  </r>
  <r>
    <s v="Sistema Isolado - Regular"/>
    <x v="2"/>
    <x v="4"/>
    <x v="7"/>
    <x v="4"/>
    <x v="0"/>
    <x v="0"/>
    <x v="2"/>
    <x v="9"/>
    <n v="0"/>
    <n v="0"/>
    <n v="658.04600000000005"/>
    <n v="658.04600000000005"/>
    <n v="658.04600000000005"/>
    <n v="658.04600000000005"/>
    <n v="1671"/>
    <x v="0"/>
    <n v="0"/>
    <n v="0"/>
    <n v="40"/>
    <n v="84"/>
    <n v="0"/>
    <n v="141.44"/>
    <n v="61.8"/>
    <m/>
    <n v="147.04798364303241"/>
    <n v="80.755470090026847"/>
    <n v="0"/>
    <n v="93074.026240000007"/>
    <n v="40667.2428"/>
    <n v="0"/>
    <n v="96764.337444362915"/>
    <n v="53140.814070861808"/>
  </r>
  <r>
    <s v="Sistema Isolado - Refaturamento"/>
    <x v="2"/>
    <x v="4"/>
    <x v="7"/>
    <x v="4"/>
    <x v="0"/>
    <x v="0"/>
    <x v="2"/>
    <x v="9"/>
    <n v="0"/>
    <n v="0"/>
    <n v="-0.13900000000000001"/>
    <n v="-0.13900000000000001"/>
    <n v="-0.13900000000000001"/>
    <n v="-0.13900000000000001"/>
    <n v="2"/>
    <x v="0"/>
    <n v="0"/>
    <n v="0"/>
    <n v="40"/>
    <n v="84"/>
    <n v="0"/>
    <n v="141.44"/>
    <n v="61.8"/>
    <m/>
    <n v="147.04798364303241"/>
    <n v="80.755470090026847"/>
    <n v="0"/>
    <n v="-19.660160000000001"/>
    <n v="-8.5902000000000012"/>
    <n v="0"/>
    <n v="-20.439669726381506"/>
    <n v="-11.225010342513732"/>
  </r>
  <r>
    <s v="Sistema de Compensação"/>
    <x v="2"/>
    <x v="4"/>
    <x v="7"/>
    <x v="4"/>
    <x v="0"/>
    <x v="0"/>
    <x v="2"/>
    <x v="9"/>
    <n v="0"/>
    <n v="0"/>
    <n v="1.86"/>
    <n v="1.86"/>
    <n v="1.86"/>
    <n v="1.86"/>
    <n v="0"/>
    <x v="0"/>
    <n v="0"/>
    <n v="0"/>
    <n v="40"/>
    <n v="84"/>
    <n v="0"/>
    <n v="141.44"/>
    <n v="61.8"/>
    <m/>
    <n v="147.04798364303241"/>
    <n v="80.755470090026847"/>
    <n v="0"/>
    <n v="263.07839999999999"/>
    <n v="114.94800000000001"/>
    <n v="0"/>
    <n v="273.5092495760403"/>
    <n v="150.20517436744996"/>
  </r>
  <r>
    <s v="Regular"/>
    <x v="2"/>
    <x v="4"/>
    <x v="7"/>
    <x v="4"/>
    <x v="0"/>
    <x v="0"/>
    <x v="2"/>
    <x v="10"/>
    <n v="0"/>
    <n v="0"/>
    <n v="1398.9880000000001"/>
    <n v="1398.9880000000001"/>
    <n v="1398.9880000000001"/>
    <n v="1398.9880000000001"/>
    <n v="2757"/>
    <x v="0"/>
    <n v="0"/>
    <n v="0"/>
    <n v="40"/>
    <n v="84"/>
    <n v="0"/>
    <n v="141.44"/>
    <n v="61.8"/>
    <m/>
    <n v="147.04798364303241"/>
    <n v="80.755470090026847"/>
    <n v="0"/>
    <n v="197872.86272"/>
    <n v="86457.458400000003"/>
    <n v="0"/>
    <n v="205718.36454079865"/>
    <n v="112975.93359030648"/>
  </r>
  <r>
    <s v="Refaturamento - Regular"/>
    <x v="2"/>
    <x v="4"/>
    <x v="7"/>
    <x v="4"/>
    <x v="0"/>
    <x v="0"/>
    <x v="2"/>
    <x v="10"/>
    <n v="0"/>
    <n v="0"/>
    <n v="3.2320000000000002"/>
    <n v="3.2320000000000002"/>
    <n v="3.2320000000000002"/>
    <n v="3.2320000000000002"/>
    <n v="39"/>
    <x v="0"/>
    <n v="0"/>
    <n v="0"/>
    <n v="40"/>
    <n v="84"/>
    <n v="0"/>
    <n v="141.44"/>
    <n v="61.8"/>
    <m/>
    <n v="147.04798364303241"/>
    <n v="80.755470090026847"/>
    <n v="0"/>
    <n v="457.13408000000004"/>
    <n v="199.73760000000001"/>
    <n v="0"/>
    <n v="475.25908313428079"/>
    <n v="261.00167933096679"/>
  </r>
  <r>
    <s v="Sistema Isolado - Regular"/>
    <x v="2"/>
    <x v="4"/>
    <x v="7"/>
    <x v="4"/>
    <x v="0"/>
    <x v="0"/>
    <x v="2"/>
    <x v="10"/>
    <n v="0"/>
    <n v="0"/>
    <n v="674.40800000000002"/>
    <n v="674.40800000000002"/>
    <n v="674.40800000000002"/>
    <n v="674.40800000000002"/>
    <n v="1569"/>
    <x v="0"/>
    <n v="0"/>
    <n v="0"/>
    <n v="40"/>
    <n v="84"/>
    <n v="0"/>
    <n v="141.44"/>
    <n v="61.8"/>
    <m/>
    <n v="147.04798364303241"/>
    <n v="80.755470090026847"/>
    <n v="0"/>
    <n v="95388.267519999994"/>
    <n v="41678.414400000001"/>
    <n v="0"/>
    <n v="99170.336552730208"/>
    <n v="54462.135072474826"/>
  </r>
  <r>
    <s v="Sistema Isolado - Refaturamento"/>
    <x v="2"/>
    <x v="4"/>
    <x v="7"/>
    <x v="4"/>
    <x v="0"/>
    <x v="0"/>
    <x v="2"/>
    <x v="10"/>
    <n v="0"/>
    <n v="0"/>
    <n v="0.439"/>
    <n v="0.439"/>
    <n v="0.439"/>
    <n v="0.439"/>
    <n v="49"/>
    <x v="0"/>
    <n v="0"/>
    <n v="0"/>
    <n v="40"/>
    <n v="84"/>
    <n v="0"/>
    <n v="141.44"/>
    <n v="61.8"/>
    <m/>
    <n v="147.04798364303241"/>
    <n v="80.755470090026847"/>
    <n v="0"/>
    <n v="62.09216"/>
    <n v="27.130199999999999"/>
    <n v="0"/>
    <n v="64.554064819291227"/>
    <n v="35.451651369521784"/>
  </r>
  <r>
    <s v="Sistema de Compensação"/>
    <x v="2"/>
    <x v="4"/>
    <x v="7"/>
    <x v="4"/>
    <x v="0"/>
    <x v="0"/>
    <x v="2"/>
    <x v="10"/>
    <n v="0"/>
    <n v="0"/>
    <n v="1.95"/>
    <n v="1.95"/>
    <n v="1.95"/>
    <n v="1.95"/>
    <n v="0"/>
    <x v="0"/>
    <n v="0"/>
    <n v="0"/>
    <n v="40"/>
    <n v="84"/>
    <n v="0"/>
    <n v="141.44"/>
    <n v="61.8"/>
    <m/>
    <n v="147.04798364303241"/>
    <n v="80.755470090026847"/>
    <n v="0"/>
    <n v="275.80799999999999"/>
    <n v="120.50999999999999"/>
    <n v="0"/>
    <n v="286.74356810391322"/>
    <n v="157.47316667555233"/>
  </r>
  <r>
    <s v="PROJETADO"/>
    <x v="2"/>
    <x v="4"/>
    <x v="7"/>
    <x v="4"/>
    <x v="0"/>
    <x v="0"/>
    <x v="2"/>
    <x v="11"/>
    <n v="0"/>
    <n v="0"/>
    <n v="1398.9880000000001"/>
    <n v="1398.9880000000001"/>
    <n v="1398.9880000000001"/>
    <n v="1398.9880000000001"/>
    <n v="2757"/>
    <x v="0"/>
    <n v="0"/>
    <n v="0"/>
    <n v="40"/>
    <n v="84"/>
    <n v="0"/>
    <n v="141.44"/>
    <n v="61.8"/>
    <m/>
    <n v="147.04798364303241"/>
    <n v="80.755470090026847"/>
    <n v="0"/>
    <n v="197872.86272"/>
    <n v="86457.458400000003"/>
    <n v="0"/>
    <n v="205718.36454079865"/>
    <n v="112975.93359030648"/>
  </r>
  <r>
    <s v="PROJETADO"/>
    <x v="2"/>
    <x v="4"/>
    <x v="7"/>
    <x v="4"/>
    <x v="0"/>
    <x v="0"/>
    <x v="2"/>
    <x v="11"/>
    <n v="0"/>
    <n v="0"/>
    <n v="3.2320000000000002"/>
    <n v="3.2320000000000002"/>
    <n v="3.2320000000000002"/>
    <n v="3.2320000000000002"/>
    <n v="39"/>
    <x v="0"/>
    <n v="0"/>
    <n v="0"/>
    <n v="40"/>
    <n v="84"/>
    <n v="0"/>
    <n v="141.44"/>
    <n v="61.8"/>
    <m/>
    <n v="147.04798364303241"/>
    <n v="80.755470090026847"/>
    <n v="0"/>
    <n v="457.13408000000004"/>
    <n v="199.73760000000001"/>
    <n v="0"/>
    <n v="475.25908313428079"/>
    <n v="261.00167933096679"/>
  </r>
  <r>
    <s v="PROJETADO"/>
    <x v="2"/>
    <x v="4"/>
    <x v="7"/>
    <x v="4"/>
    <x v="0"/>
    <x v="0"/>
    <x v="2"/>
    <x v="11"/>
    <n v="0"/>
    <n v="0"/>
    <n v="674.40800000000002"/>
    <n v="674.40800000000002"/>
    <n v="674.40800000000002"/>
    <n v="674.40800000000002"/>
    <n v="1569"/>
    <x v="0"/>
    <n v="0"/>
    <n v="0"/>
    <n v="40"/>
    <n v="84"/>
    <n v="0"/>
    <n v="141.44"/>
    <n v="61.8"/>
    <m/>
    <n v="147.04798364303241"/>
    <n v="80.755470090026847"/>
    <n v="0"/>
    <n v="95388.267519999994"/>
    <n v="41678.414400000001"/>
    <n v="0"/>
    <n v="99170.336552730208"/>
    <n v="54462.135072474826"/>
  </r>
  <r>
    <s v="PROJETADO"/>
    <x v="2"/>
    <x v="4"/>
    <x v="7"/>
    <x v="4"/>
    <x v="0"/>
    <x v="0"/>
    <x v="2"/>
    <x v="11"/>
    <n v="0"/>
    <n v="0"/>
    <n v="0.439"/>
    <n v="0.439"/>
    <n v="0.439"/>
    <n v="0.439"/>
    <n v="49"/>
    <x v="0"/>
    <n v="0"/>
    <n v="0"/>
    <n v="40"/>
    <n v="84"/>
    <n v="0"/>
    <n v="141.44"/>
    <n v="61.8"/>
    <m/>
    <n v="147.04798364303241"/>
    <n v="80.755470090026847"/>
    <n v="0"/>
    <n v="62.09216"/>
    <n v="27.130199999999999"/>
    <n v="0"/>
    <n v="64.554064819291227"/>
    <n v="35.451651369521784"/>
  </r>
  <r>
    <s v="PROJETADO"/>
    <x v="2"/>
    <x v="4"/>
    <x v="7"/>
    <x v="4"/>
    <x v="0"/>
    <x v="0"/>
    <x v="2"/>
    <x v="11"/>
    <n v="0"/>
    <n v="0"/>
    <n v="1.95"/>
    <n v="1.95"/>
    <n v="1.95"/>
    <n v="1.95"/>
    <n v="0"/>
    <x v="0"/>
    <n v="0"/>
    <n v="0"/>
    <n v="40"/>
    <n v="84"/>
    <n v="0"/>
    <n v="141.44"/>
    <n v="61.8"/>
    <m/>
    <n v="147.04798364303241"/>
    <n v="80.755470090026847"/>
    <n v="0"/>
    <n v="275.80799999999999"/>
    <n v="120.50999999999999"/>
    <n v="0"/>
    <n v="286.74356810391322"/>
    <n v="157.47316667555233"/>
  </r>
  <r>
    <s v="Regular"/>
    <x v="2"/>
    <x v="4"/>
    <x v="7"/>
    <x v="5"/>
    <x v="0"/>
    <x v="0"/>
    <x v="2"/>
    <x v="0"/>
    <n v="0"/>
    <n v="0"/>
    <n v="2133.8649999999998"/>
    <n v="2133.8649999999998"/>
    <n v="2133.8649999999998"/>
    <n v="2133.8649999999998"/>
    <n v="8045"/>
    <x v="0"/>
    <n v="0"/>
    <n v="0"/>
    <n v="41"/>
    <n v="85"/>
    <n v="0"/>
    <n v="242.47"/>
    <n v="105.95"/>
    <m/>
    <n v="252.08225767376987"/>
    <n v="138.43794872576032"/>
    <n v="0"/>
    <n v="517398.24654999992"/>
    <n v="226082.99674999999"/>
    <n v="0"/>
    <n v="537909.50677103887"/>
    <n v="295407.8934576945"/>
  </r>
  <r>
    <s v="Refaturamento - Regular"/>
    <x v="2"/>
    <x v="4"/>
    <x v="7"/>
    <x v="5"/>
    <x v="0"/>
    <x v="0"/>
    <x v="2"/>
    <x v="0"/>
    <n v="0"/>
    <n v="0"/>
    <n v="-29.978000000000002"/>
    <n v="-29.978000000000002"/>
    <n v="-29.978000000000002"/>
    <n v="-29.978000000000002"/>
    <n v="-33"/>
    <x v="0"/>
    <n v="0"/>
    <n v="0"/>
    <n v="41"/>
    <n v="85"/>
    <n v="0"/>
    <n v="242.47"/>
    <n v="105.95"/>
    <m/>
    <n v="252.08225767376987"/>
    <n v="138.43794872576032"/>
    <n v="0"/>
    <n v="-7268.76566"/>
    <n v="-3176.1691000000001"/>
    <n v="0"/>
    <n v="-7556.9219205442732"/>
    <n v="-4150.0928269008427"/>
  </r>
  <r>
    <s v="Sistema Isolado - Regular"/>
    <x v="2"/>
    <x v="4"/>
    <x v="7"/>
    <x v="5"/>
    <x v="0"/>
    <x v="0"/>
    <x v="2"/>
    <x v="0"/>
    <n v="0"/>
    <n v="0"/>
    <n v="1049.431"/>
    <n v="1049.431"/>
    <n v="1049.431"/>
    <n v="1049.431"/>
    <n v="6694"/>
    <x v="0"/>
    <n v="0"/>
    <n v="0"/>
    <n v="41"/>
    <n v="85"/>
    <n v="0"/>
    <n v="242.47"/>
    <n v="105.95"/>
    <m/>
    <n v="252.08225767376987"/>
    <n v="138.43794872576032"/>
    <n v="0"/>
    <n v="254455.53457000002"/>
    <n v="111187.21445000001"/>
    <n v="0"/>
    <n v="264542.93575284199"/>
    <n v="145281.07496922338"/>
  </r>
  <r>
    <s v="Sistema Isolado - Refaturamento"/>
    <x v="2"/>
    <x v="4"/>
    <x v="7"/>
    <x v="5"/>
    <x v="0"/>
    <x v="0"/>
    <x v="2"/>
    <x v="0"/>
    <n v="0"/>
    <n v="0"/>
    <n v="-1.8089999999999999"/>
    <n v="-1.8089999999999999"/>
    <n v="-1.8089999999999999"/>
    <n v="-1.8089999999999999"/>
    <n v="-34"/>
    <x v="0"/>
    <n v="0"/>
    <n v="0"/>
    <n v="41"/>
    <n v="85"/>
    <n v="0"/>
    <n v="242.47"/>
    <n v="105.95"/>
    <m/>
    <n v="252.08225767376987"/>
    <n v="138.43794872576032"/>
    <n v="0"/>
    <n v="-438.62822999999997"/>
    <n v="-191.66354999999999"/>
    <n v="0"/>
    <n v="-456.01680413184971"/>
    <n v="-250.4342492449004"/>
  </r>
  <r>
    <s v="Sistema de Compensação"/>
    <x v="2"/>
    <x v="4"/>
    <x v="7"/>
    <x v="5"/>
    <x v="0"/>
    <x v="0"/>
    <x v="2"/>
    <x v="0"/>
    <n v="0"/>
    <n v="0"/>
    <n v="1.46"/>
    <n v="1.46"/>
    <n v="1.46"/>
    <n v="1.46"/>
    <n v="0"/>
    <x v="0"/>
    <n v="0"/>
    <n v="0"/>
    <n v="41"/>
    <n v="85"/>
    <n v="0"/>
    <n v="242.47"/>
    <n v="105.95"/>
    <m/>
    <n v="252.08225767376987"/>
    <n v="138.43794872576032"/>
    <n v="0"/>
    <n v="354.00619999999998"/>
    <n v="154.68700000000001"/>
    <n v="0"/>
    <n v="368.04009620370402"/>
    <n v="202.11940513961005"/>
  </r>
  <r>
    <s v="Sistema de Compensação"/>
    <x v="2"/>
    <x v="4"/>
    <x v="7"/>
    <x v="5"/>
    <x v="0"/>
    <x v="0"/>
    <x v="2"/>
    <x v="0"/>
    <n v="0"/>
    <n v="0"/>
    <n v="-7.0000000000000007E-2"/>
    <n v="-7.0000000000000007E-2"/>
    <n v="-7.0000000000000007E-2"/>
    <n v="-7.0000000000000007E-2"/>
    <n v="0"/>
    <x v="0"/>
    <n v="0"/>
    <n v="0"/>
    <n v="41"/>
    <n v="85"/>
    <n v="0"/>
    <n v="242.47"/>
    <n v="105.95"/>
    <m/>
    <n v="252.08225767376987"/>
    <n v="138.43794872576032"/>
    <n v="0"/>
    <n v="-16.972900000000003"/>
    <n v="-7.416500000000001"/>
    <n v="0"/>
    <n v="-17.645758037163894"/>
    <n v="-9.6906564108032232"/>
  </r>
  <r>
    <s v="Regular"/>
    <x v="2"/>
    <x v="4"/>
    <x v="7"/>
    <x v="5"/>
    <x v="0"/>
    <x v="0"/>
    <x v="2"/>
    <x v="1"/>
    <n v="0"/>
    <n v="0"/>
    <n v="2159.6320000000001"/>
    <n v="2159.6320000000001"/>
    <n v="2159.6320000000001"/>
    <n v="2159.6320000000001"/>
    <n v="8160"/>
    <x v="0"/>
    <n v="0"/>
    <n v="0"/>
    <n v="41"/>
    <n v="85"/>
    <n v="0"/>
    <n v="242.47"/>
    <n v="105.95"/>
    <m/>
    <n v="252.08225767376987"/>
    <n v="138.43794872576032"/>
    <n v="0"/>
    <n v="523645.97104000003"/>
    <n v="228813.0104"/>
    <n v="0"/>
    <n v="544404.910304519"/>
    <n v="298975.0240825112"/>
  </r>
  <r>
    <s v="Refaturamento - Regular"/>
    <x v="2"/>
    <x v="4"/>
    <x v="7"/>
    <x v="5"/>
    <x v="0"/>
    <x v="0"/>
    <x v="2"/>
    <x v="1"/>
    <n v="0"/>
    <n v="0"/>
    <n v="-11.404"/>
    <n v="-11.404"/>
    <n v="-11.404"/>
    <n v="-11.404"/>
    <n v="-36"/>
    <x v="0"/>
    <n v="0"/>
    <n v="0"/>
    <n v="41"/>
    <n v="85"/>
    <n v="0"/>
    <n v="242.47"/>
    <n v="105.95"/>
    <m/>
    <n v="252.08225767376987"/>
    <n v="138.43794872576032"/>
    <n v="0"/>
    <n v="-2765.12788"/>
    <n v="-1208.2538"/>
    <n v="0"/>
    <n v="-2874.7460665116714"/>
    <n v="-1578.7463672685708"/>
  </r>
  <r>
    <s v="Sistema Isolado - Regular"/>
    <x v="2"/>
    <x v="4"/>
    <x v="7"/>
    <x v="5"/>
    <x v="0"/>
    <x v="0"/>
    <x v="2"/>
    <x v="1"/>
    <n v="0"/>
    <n v="0"/>
    <n v="1060.7249999999999"/>
    <n v="1060.7249999999999"/>
    <n v="1060.7249999999999"/>
    <n v="1060.7249999999999"/>
    <n v="6694"/>
    <x v="0"/>
    <n v="0"/>
    <n v="0"/>
    <n v="41"/>
    <n v="85"/>
    <n v="0"/>
    <n v="242.47"/>
    <n v="105.95"/>
    <m/>
    <n v="252.08225767376987"/>
    <n v="138.43794872576032"/>
    <n v="0"/>
    <n v="257193.99074999997"/>
    <n v="112383.81374999999"/>
    <n v="0"/>
    <n v="267389.95277100953"/>
    <n v="146844.59316213211"/>
  </r>
  <r>
    <s v="Sistema Isolado - Refaturamento"/>
    <x v="2"/>
    <x v="4"/>
    <x v="7"/>
    <x v="5"/>
    <x v="0"/>
    <x v="0"/>
    <x v="2"/>
    <x v="1"/>
    <n v="0"/>
    <n v="0"/>
    <n v="-2.4180000000000001"/>
    <n v="-2.4180000000000001"/>
    <n v="-2.4180000000000001"/>
    <n v="-2.4180000000000001"/>
    <n v="-37"/>
    <x v="0"/>
    <n v="0"/>
    <n v="0"/>
    <n v="41"/>
    <n v="85"/>
    <n v="0"/>
    <n v="242.47"/>
    <n v="105.95"/>
    <m/>
    <n v="252.08225767376987"/>
    <n v="138.43794872576032"/>
    <n v="0"/>
    <n v="-586.29246000000001"/>
    <n v="-256.18710000000004"/>
    <n v="0"/>
    <n v="-609.53489905517563"/>
    <n v="-334.74296001888848"/>
  </r>
  <r>
    <s v="Sistema de Compensação"/>
    <x v="2"/>
    <x v="4"/>
    <x v="7"/>
    <x v="5"/>
    <x v="0"/>
    <x v="0"/>
    <x v="2"/>
    <x v="1"/>
    <n v="0"/>
    <n v="0"/>
    <n v="1.5229999999999999"/>
    <n v="1.5229999999999999"/>
    <n v="1.5229999999999999"/>
    <n v="1.5229999999999999"/>
    <n v="0"/>
    <x v="0"/>
    <n v="0"/>
    <n v="0"/>
    <n v="41"/>
    <n v="85"/>
    <n v="0"/>
    <n v="242.47"/>
    <n v="105.95"/>
    <m/>
    <n v="252.08225767376987"/>
    <n v="138.43794872576032"/>
    <n v="0"/>
    <n v="369.28180999999995"/>
    <n v="161.36185"/>
    <n v="0"/>
    <n v="383.9212784371515"/>
    <n v="210.84099590933295"/>
  </r>
  <r>
    <s v="Sistema de Compensação"/>
    <x v="2"/>
    <x v="4"/>
    <x v="7"/>
    <x v="5"/>
    <x v="0"/>
    <x v="0"/>
    <x v="2"/>
    <x v="1"/>
    <n v="0"/>
    <n v="0"/>
    <n v="-7.0000000000000007E-2"/>
    <n v="-7.0000000000000007E-2"/>
    <n v="-7.0000000000000007E-2"/>
    <n v="-7.0000000000000007E-2"/>
    <n v="0"/>
    <x v="0"/>
    <n v="0"/>
    <n v="0"/>
    <n v="41"/>
    <n v="85"/>
    <n v="0"/>
    <n v="242.47"/>
    <n v="105.95"/>
    <m/>
    <n v="252.08225767376987"/>
    <n v="138.43794872576032"/>
    <n v="0"/>
    <n v="-16.972900000000003"/>
    <n v="-7.416500000000001"/>
    <n v="0"/>
    <n v="-17.645758037163894"/>
    <n v="-9.6906564108032232"/>
  </r>
  <r>
    <s v="Regular"/>
    <x v="2"/>
    <x v="4"/>
    <x v="7"/>
    <x v="5"/>
    <x v="0"/>
    <x v="0"/>
    <x v="2"/>
    <x v="2"/>
    <n v="0"/>
    <n v="0"/>
    <n v="2301.9749999999999"/>
    <n v="2301.9749999999999"/>
    <n v="2301.9749999999999"/>
    <n v="2301.9749999999999"/>
    <n v="10619"/>
    <x v="0"/>
    <n v="0"/>
    <n v="0"/>
    <n v="41"/>
    <n v="85"/>
    <n v="0"/>
    <n v="242.47"/>
    <n v="105.95"/>
    <m/>
    <n v="252.08225767376987"/>
    <n v="138.43794872576032"/>
    <n v="0"/>
    <n v="558159.87824999995"/>
    <n v="243894.25125"/>
    <n v="0"/>
    <n v="580287.05510857643"/>
    <n v="318680.69701798208"/>
  </r>
  <r>
    <s v="Refaturamento - Regular"/>
    <x v="2"/>
    <x v="4"/>
    <x v="7"/>
    <x v="5"/>
    <x v="0"/>
    <x v="0"/>
    <x v="2"/>
    <x v="2"/>
    <n v="0"/>
    <n v="0"/>
    <n v="-11.833"/>
    <n v="-11.833"/>
    <n v="-11.833"/>
    <n v="-11.833"/>
    <n v="-11"/>
    <x v="0"/>
    <n v="0"/>
    <n v="0"/>
    <n v="41"/>
    <n v="85"/>
    <n v="0"/>
    <n v="242.47"/>
    <n v="105.95"/>
    <m/>
    <n v="252.08225767376987"/>
    <n v="138.43794872576032"/>
    <n v="0"/>
    <n v="-2869.1475100000002"/>
    <n v="-1253.7063500000002"/>
    <n v="0"/>
    <n v="-2982.8893550537191"/>
    <n v="-1638.136247271922"/>
  </r>
  <r>
    <s v="Sistema Isolado - Regular"/>
    <x v="2"/>
    <x v="4"/>
    <x v="7"/>
    <x v="5"/>
    <x v="0"/>
    <x v="0"/>
    <x v="2"/>
    <x v="2"/>
    <n v="0"/>
    <n v="0"/>
    <n v="1070.5719999999999"/>
    <n v="1070.5719999999999"/>
    <n v="1070.5719999999999"/>
    <n v="1070.5719999999999"/>
    <n v="7907"/>
    <x v="0"/>
    <n v="0"/>
    <n v="0"/>
    <n v="41"/>
    <n v="85"/>
    <n v="0"/>
    <n v="242.47"/>
    <n v="105.95"/>
    <m/>
    <n v="252.08225767376987"/>
    <n v="138.43794872576032"/>
    <n v="0"/>
    <n v="259581.59283999997"/>
    <n v="113427.10339999999"/>
    <n v="0"/>
    <n v="269872.20676232316"/>
    <n v="148207.79164323467"/>
  </r>
  <r>
    <s v="Sistema Isolado - Refaturamento"/>
    <x v="2"/>
    <x v="4"/>
    <x v="7"/>
    <x v="5"/>
    <x v="0"/>
    <x v="0"/>
    <x v="2"/>
    <x v="2"/>
    <n v="0"/>
    <n v="0"/>
    <n v="-1.7230000000000001"/>
    <n v="-1.7230000000000001"/>
    <n v="-1.7230000000000001"/>
    <n v="-1.7230000000000001"/>
    <n v="-3"/>
    <x v="0"/>
    <n v="0"/>
    <n v="0"/>
    <n v="41"/>
    <n v="85"/>
    <n v="0"/>
    <n v="242.47"/>
    <n v="105.95"/>
    <m/>
    <n v="252.08225767376987"/>
    <n v="138.43794872576032"/>
    <n v="0"/>
    <n v="-417.77581000000004"/>
    <n v="-182.55185"/>
    <n v="0"/>
    <n v="-434.3377299719055"/>
    <n v="-238.52858565448506"/>
  </r>
  <r>
    <s v="Sistema de Compensação"/>
    <x v="2"/>
    <x v="4"/>
    <x v="7"/>
    <x v="5"/>
    <x v="0"/>
    <x v="0"/>
    <x v="2"/>
    <x v="2"/>
    <n v="0"/>
    <n v="0"/>
    <n v="1.607"/>
    <n v="1.607"/>
    <n v="1.607"/>
    <n v="1.607"/>
    <n v="0"/>
    <x v="0"/>
    <n v="0"/>
    <n v="0"/>
    <n v="41"/>
    <n v="85"/>
    <n v="0"/>
    <n v="242.47"/>
    <n v="105.95"/>
    <m/>
    <n v="252.08225767376987"/>
    <n v="138.43794872576032"/>
    <n v="0"/>
    <n v="389.64929000000001"/>
    <n v="170.26165"/>
    <n v="0"/>
    <n v="405.09618808174821"/>
    <n v="222.46978360229684"/>
  </r>
  <r>
    <s v="Sistema de Compensação"/>
    <x v="2"/>
    <x v="4"/>
    <x v="7"/>
    <x v="5"/>
    <x v="0"/>
    <x v="0"/>
    <x v="2"/>
    <x v="2"/>
    <n v="0"/>
    <n v="0"/>
    <n v="-7.0000000000000007E-2"/>
    <n v="-7.0000000000000007E-2"/>
    <n v="-7.0000000000000007E-2"/>
    <n v="-7.0000000000000007E-2"/>
    <n v="0"/>
    <x v="0"/>
    <n v="0"/>
    <n v="0"/>
    <n v="41"/>
    <n v="85"/>
    <n v="0"/>
    <n v="242.47"/>
    <n v="105.95"/>
    <m/>
    <n v="252.08225767376987"/>
    <n v="138.43794872576032"/>
    <n v="0"/>
    <n v="-16.972900000000003"/>
    <n v="-7.416500000000001"/>
    <n v="0"/>
    <n v="-17.645758037163894"/>
    <n v="-9.6906564108032232"/>
  </r>
  <r>
    <s v="Regular"/>
    <x v="2"/>
    <x v="4"/>
    <x v="7"/>
    <x v="5"/>
    <x v="0"/>
    <x v="0"/>
    <x v="2"/>
    <x v="3"/>
    <n v="0"/>
    <n v="0"/>
    <n v="2431.069"/>
    <n v="2431.069"/>
    <n v="2431.069"/>
    <n v="2431.069"/>
    <n v="10017"/>
    <x v="0"/>
    <n v="0"/>
    <n v="0"/>
    <n v="41"/>
    <n v="85"/>
    <n v="0"/>
    <n v="242.47"/>
    <n v="105.95"/>
    <m/>
    <n v="252.08225767376987"/>
    <n v="138.43794872576032"/>
    <n v="0"/>
    <n v="589461.30042999994"/>
    <n v="257571.76055000001"/>
    <n v="0"/>
    <n v="612829.36208071408"/>
    <n v="336552.20557078539"/>
  </r>
  <r>
    <s v="Refaturamento - Regular"/>
    <x v="2"/>
    <x v="4"/>
    <x v="7"/>
    <x v="5"/>
    <x v="0"/>
    <x v="0"/>
    <x v="2"/>
    <x v="3"/>
    <n v="0"/>
    <n v="0"/>
    <n v="-18.042999999999999"/>
    <n v="-18.042999999999999"/>
    <n v="-18.042999999999999"/>
    <n v="-18.042999999999999"/>
    <n v="-5"/>
    <x v="0"/>
    <n v="0"/>
    <n v="0"/>
    <n v="41"/>
    <n v="85"/>
    <n v="0"/>
    <n v="242.47"/>
    <n v="105.95"/>
    <m/>
    <n v="252.08225767376987"/>
    <n v="138.43794872576032"/>
    <n v="0"/>
    <n v="-4374.8862099999997"/>
    <n v="-1911.6558499999999"/>
    <n v="0"/>
    <n v="-4548.3201752078294"/>
    <n v="-2497.8359088588932"/>
  </r>
  <r>
    <s v="Sistema Isolado - Regular"/>
    <x v="2"/>
    <x v="4"/>
    <x v="7"/>
    <x v="5"/>
    <x v="0"/>
    <x v="0"/>
    <x v="2"/>
    <x v="3"/>
    <n v="0"/>
    <n v="0"/>
    <n v="1100.816"/>
    <n v="1100.816"/>
    <n v="1100.816"/>
    <n v="1100.816"/>
    <n v="7501"/>
    <x v="0"/>
    <n v="0"/>
    <n v="0"/>
    <n v="41"/>
    <n v="85"/>
    <n v="0"/>
    <n v="242.47"/>
    <n v="105.95"/>
    <m/>
    <n v="252.08225767376987"/>
    <n v="138.43794872576032"/>
    <n v="0"/>
    <n v="266914.85551999998"/>
    <n v="116631.45520000001"/>
    <n v="0"/>
    <n v="277496.18256340869"/>
    <n v="152394.70896449659"/>
  </r>
  <r>
    <s v="Sistema Isolado - Refaturamento"/>
    <x v="2"/>
    <x v="4"/>
    <x v="7"/>
    <x v="5"/>
    <x v="0"/>
    <x v="0"/>
    <x v="2"/>
    <x v="3"/>
    <n v="0"/>
    <n v="0"/>
    <n v="-2.6819999999999999"/>
    <n v="-2.6819999999999999"/>
    <n v="-2.6819999999999999"/>
    <n v="-2.6819999999999999"/>
    <n v="-31"/>
    <x v="0"/>
    <n v="0"/>
    <n v="0"/>
    <n v="41"/>
    <n v="85"/>
    <n v="0"/>
    <n v="242.47"/>
    <n v="105.95"/>
    <m/>
    <n v="252.08225767376987"/>
    <n v="138.43794872576032"/>
    <n v="0"/>
    <n v="-650.30453999999997"/>
    <n v="-284.15789999999998"/>
    <n v="0"/>
    <n v="-676.08461508105074"/>
    <n v="-371.2905784824892"/>
  </r>
  <r>
    <s v="Sistema de Compensação"/>
    <x v="2"/>
    <x v="4"/>
    <x v="7"/>
    <x v="5"/>
    <x v="0"/>
    <x v="0"/>
    <x v="2"/>
    <x v="3"/>
    <n v="0"/>
    <n v="0"/>
    <n v="1.8180000000000001"/>
    <n v="1.8180000000000001"/>
    <n v="1.8180000000000001"/>
    <n v="1.8180000000000001"/>
    <n v="1"/>
    <x v="0"/>
    <n v="0"/>
    <n v="0"/>
    <n v="41"/>
    <n v="85"/>
    <n v="0"/>
    <n v="242.47"/>
    <n v="105.95"/>
    <m/>
    <n v="252.08225767376987"/>
    <n v="138.43794872576032"/>
    <n v="0"/>
    <n v="440.81046000000003"/>
    <n v="192.61710000000002"/>
    <n v="0"/>
    <n v="458.28554445091362"/>
    <n v="251.68019078343227"/>
  </r>
  <r>
    <s v="Regular"/>
    <x v="2"/>
    <x v="4"/>
    <x v="7"/>
    <x v="5"/>
    <x v="0"/>
    <x v="0"/>
    <x v="2"/>
    <x v="4"/>
    <n v="0"/>
    <n v="0"/>
    <n v="2521.8629999999998"/>
    <n v="2521.8629999999998"/>
    <n v="2521.8629999999998"/>
    <n v="2521.8629999999998"/>
    <n v="10413"/>
    <x v="0"/>
    <n v="0"/>
    <n v="0"/>
    <n v="41"/>
    <n v="85"/>
    <n v="0"/>
    <n v="242.47"/>
    <n v="105.95"/>
    <m/>
    <n v="252.08225767376987"/>
    <n v="138.43794872576032"/>
    <n v="0"/>
    <n v="611476.12160999991"/>
    <n v="267191.38484999997"/>
    <n v="0"/>
    <n v="635716.9185839463"/>
    <n v="349121.54068739206"/>
  </r>
  <r>
    <s v="Refaturamento - Regular"/>
    <x v="2"/>
    <x v="4"/>
    <x v="7"/>
    <x v="5"/>
    <x v="0"/>
    <x v="0"/>
    <x v="2"/>
    <x v="4"/>
    <n v="0"/>
    <n v="0"/>
    <n v="-9.798"/>
    <n v="-9.798"/>
    <n v="-9.798"/>
    <n v="-9.798"/>
    <n v="-7"/>
    <x v="0"/>
    <n v="0"/>
    <n v="0"/>
    <n v="41"/>
    <n v="85"/>
    <n v="0"/>
    <n v="242.47"/>
    <n v="105.95"/>
    <m/>
    <n v="252.08225767376987"/>
    <n v="138.43794872576032"/>
    <n v="0"/>
    <n v="-2375.7210599999999"/>
    <n v="-1038.0980999999999"/>
    <n v="0"/>
    <n v="-2469.9019606875972"/>
    <n v="-1356.4150216149997"/>
  </r>
  <r>
    <s v="Sistema Isolado - Regular"/>
    <x v="2"/>
    <x v="4"/>
    <x v="7"/>
    <x v="5"/>
    <x v="0"/>
    <x v="0"/>
    <x v="2"/>
    <x v="4"/>
    <n v="0"/>
    <n v="0"/>
    <n v="1131.9100000000001"/>
    <n v="1131.9100000000001"/>
    <n v="1131.9100000000001"/>
    <n v="1131.9100000000001"/>
    <n v="7524"/>
    <x v="0"/>
    <n v="0"/>
    <n v="0"/>
    <n v="41"/>
    <n v="85"/>
    <n v="0"/>
    <n v="242.47"/>
    <n v="105.95"/>
    <m/>
    <n v="252.08225767376987"/>
    <n v="138.43794872576032"/>
    <n v="0"/>
    <n v="274454.21770000004"/>
    <n v="119925.86450000001"/>
    <n v="0"/>
    <n v="285334.4282835169"/>
    <n v="156699.29854217538"/>
  </r>
  <r>
    <s v="Sistema Isolado - Refaturamento"/>
    <x v="2"/>
    <x v="4"/>
    <x v="7"/>
    <x v="5"/>
    <x v="0"/>
    <x v="0"/>
    <x v="2"/>
    <x v="4"/>
    <n v="0"/>
    <n v="0"/>
    <n v="-6.3710000000000004"/>
    <n v="-6.3710000000000004"/>
    <n v="-6.3710000000000004"/>
    <n v="-6.3710000000000004"/>
    <n v="-108"/>
    <x v="0"/>
    <n v="0"/>
    <n v="0"/>
    <n v="41"/>
    <n v="85"/>
    <n v="0"/>
    <n v="242.47"/>
    <n v="105.95"/>
    <m/>
    <n v="252.08225767376987"/>
    <n v="138.43794872576032"/>
    <n v="0"/>
    <n v="-1544.77637"/>
    <n v="-675.00745000000006"/>
    <n v="0"/>
    <n v="-1606.0160636395881"/>
    <n v="-881.9881713318191"/>
  </r>
  <r>
    <s v="Sistema de Compensação"/>
    <x v="2"/>
    <x v="4"/>
    <x v="7"/>
    <x v="5"/>
    <x v="0"/>
    <x v="0"/>
    <x v="2"/>
    <x v="4"/>
    <n v="0"/>
    <n v="0"/>
    <n v="1.722"/>
    <n v="1.722"/>
    <n v="1.722"/>
    <n v="1.722"/>
    <n v="1"/>
    <x v="0"/>
    <n v="0"/>
    <n v="0"/>
    <n v="41"/>
    <n v="85"/>
    <n v="0"/>
    <n v="242.47"/>
    <n v="105.95"/>
    <m/>
    <n v="252.08225767376987"/>
    <n v="138.43794872576032"/>
    <n v="0"/>
    <n v="417.53334000000001"/>
    <n v="182.44589999999999"/>
    <n v="0"/>
    <n v="434.0856477142317"/>
    <n v="238.39014770575926"/>
  </r>
  <r>
    <s v="Regular"/>
    <x v="2"/>
    <x v="4"/>
    <x v="7"/>
    <x v="5"/>
    <x v="0"/>
    <x v="0"/>
    <x v="2"/>
    <x v="5"/>
    <n v="0"/>
    <n v="0"/>
    <n v="2471.2730000000001"/>
    <n v="2471.2730000000001"/>
    <n v="2471.2730000000001"/>
    <n v="2471.2730000000001"/>
    <n v="10459"/>
    <x v="0"/>
    <n v="0"/>
    <n v="0"/>
    <n v="41"/>
    <n v="85"/>
    <n v="0"/>
    <n v="242.47"/>
    <n v="105.95"/>
    <m/>
    <n v="252.08225767376987"/>
    <n v="138.43794872576032"/>
    <n v="0"/>
    <n v="599209.56431000005"/>
    <n v="261831.37435000003"/>
    <n v="0"/>
    <n v="622964.07716823032"/>
    <n v="342117.9648613559"/>
  </r>
  <r>
    <s v="Refaturamento - Regular"/>
    <x v="2"/>
    <x v="4"/>
    <x v="7"/>
    <x v="5"/>
    <x v="0"/>
    <x v="0"/>
    <x v="2"/>
    <x v="5"/>
    <n v="0"/>
    <n v="0"/>
    <n v="-10.853"/>
    <n v="-10.853"/>
    <n v="-10.853"/>
    <n v="-10.853"/>
    <n v="-3"/>
    <x v="0"/>
    <n v="0"/>
    <n v="0"/>
    <n v="41"/>
    <n v="85"/>
    <n v="0"/>
    <n v="242.47"/>
    <n v="105.95"/>
    <m/>
    <n v="252.08225767376987"/>
    <n v="138.43794872576032"/>
    <n v="0"/>
    <n v="-2631.52691"/>
    <n v="-1149.87535"/>
    <n v="0"/>
    <n v="-2735.8487425334242"/>
    <n v="-1502.4670575206767"/>
  </r>
  <r>
    <s v="Sistema Isolado - Regular"/>
    <x v="2"/>
    <x v="4"/>
    <x v="7"/>
    <x v="5"/>
    <x v="0"/>
    <x v="0"/>
    <x v="2"/>
    <x v="5"/>
    <n v="0"/>
    <n v="0"/>
    <n v="1102.3599999999999"/>
    <n v="1102.3599999999999"/>
    <n v="1102.3599999999999"/>
    <n v="1102.3599999999999"/>
    <n v="7805"/>
    <x v="0"/>
    <n v="0"/>
    <n v="0"/>
    <n v="41"/>
    <n v="85"/>
    <n v="0"/>
    <n v="242.47"/>
    <n v="105.95"/>
    <m/>
    <n v="252.08225767376987"/>
    <n v="138.43794872576032"/>
    <n v="0"/>
    <n v="267289.2292"/>
    <n v="116795.04199999999"/>
    <n v="0"/>
    <n v="277885.39756925695"/>
    <n v="152608.45715732913"/>
  </r>
  <r>
    <s v="Sistema Isolado - Refaturamento"/>
    <x v="2"/>
    <x v="4"/>
    <x v="7"/>
    <x v="5"/>
    <x v="0"/>
    <x v="0"/>
    <x v="2"/>
    <x v="5"/>
    <n v="0"/>
    <n v="0"/>
    <n v="-3.1150000000000002"/>
    <n v="-3.1150000000000002"/>
    <n v="-3.1150000000000002"/>
    <n v="-3.1150000000000002"/>
    <n v="-99"/>
    <x v="0"/>
    <n v="0"/>
    <n v="0"/>
    <n v="41"/>
    <n v="85"/>
    <n v="0"/>
    <n v="242.47"/>
    <n v="105.95"/>
    <m/>
    <n v="252.08225767376987"/>
    <n v="138.43794872576032"/>
    <n v="0"/>
    <n v="-755.29405000000008"/>
    <n v="-330.03425000000004"/>
    <n v="0"/>
    <n v="-785.23623265379319"/>
    <n v="-431.23421028074341"/>
  </r>
  <r>
    <s v="Sistema de Compensação"/>
    <x v="2"/>
    <x v="4"/>
    <x v="7"/>
    <x v="5"/>
    <x v="0"/>
    <x v="0"/>
    <x v="2"/>
    <x v="5"/>
    <n v="0"/>
    <n v="0"/>
    <n v="1.6970000000000001"/>
    <n v="1.6970000000000001"/>
    <n v="1.6970000000000001"/>
    <n v="1.6970000000000001"/>
    <n v="1"/>
    <x v="0"/>
    <n v="0"/>
    <n v="0"/>
    <n v="41"/>
    <n v="85"/>
    <n v="0"/>
    <n v="242.47"/>
    <n v="105.95"/>
    <m/>
    <n v="252.08225767376987"/>
    <n v="138.43794872576032"/>
    <n v="0"/>
    <n v="411.47158999999999"/>
    <n v="179.79715000000002"/>
    <n v="0"/>
    <n v="427.78359127238747"/>
    <n v="234.92919898761528"/>
  </r>
  <r>
    <s v="Regular"/>
    <x v="2"/>
    <x v="4"/>
    <x v="7"/>
    <x v="5"/>
    <x v="0"/>
    <x v="0"/>
    <x v="2"/>
    <x v="6"/>
    <n v="0"/>
    <n v="0"/>
    <n v="2481.6579999999999"/>
    <n v="2481.6579999999999"/>
    <n v="2481.6579999999999"/>
    <n v="2481.6579999999999"/>
    <n v="11949"/>
    <x v="0"/>
    <n v="0"/>
    <n v="0"/>
    <n v="41"/>
    <n v="85"/>
    <n v="0"/>
    <n v="242.47"/>
    <n v="105.95"/>
    <m/>
    <n v="252.08225767376987"/>
    <n v="138.43794872576032"/>
    <n v="0"/>
    <n v="601727.61525999999"/>
    <n v="262931.66509999998"/>
    <n v="0"/>
    <n v="625581.95141417242"/>
    <n v="343555.64295887289"/>
  </r>
  <r>
    <s v="Refaturamento - Regular"/>
    <x v="2"/>
    <x v="4"/>
    <x v="7"/>
    <x v="5"/>
    <x v="0"/>
    <x v="0"/>
    <x v="2"/>
    <x v="6"/>
    <n v="0"/>
    <n v="0"/>
    <n v="-4.3730000000000002"/>
    <n v="-4.3730000000000002"/>
    <n v="-4.3730000000000002"/>
    <n v="-4.3730000000000002"/>
    <n v="-11"/>
    <x v="0"/>
    <n v="0"/>
    <n v="0"/>
    <n v="41"/>
    <n v="85"/>
    <n v="0"/>
    <n v="242.47"/>
    <n v="105.95"/>
    <m/>
    <n v="252.08225767376987"/>
    <n v="138.43794872576032"/>
    <n v="0"/>
    <n v="-1060.32131"/>
    <n v="-463.31935000000004"/>
    <n v="0"/>
    <n v="-1102.3557128073958"/>
    <n v="-605.38914977774994"/>
  </r>
  <r>
    <s v="Sistema Isolado - Regular"/>
    <x v="2"/>
    <x v="4"/>
    <x v="7"/>
    <x v="5"/>
    <x v="0"/>
    <x v="0"/>
    <x v="2"/>
    <x v="6"/>
    <n v="0"/>
    <n v="0"/>
    <n v="1104.2239999999999"/>
    <n v="1104.2239999999999"/>
    <n v="1104.2239999999999"/>
    <n v="1104.2239999999999"/>
    <n v="8313"/>
    <x v="0"/>
    <n v="0"/>
    <n v="0"/>
    <n v="41"/>
    <n v="85"/>
    <n v="0"/>
    <n v="242.47"/>
    <n v="105.95"/>
    <m/>
    <n v="252.08225767376987"/>
    <n v="138.43794872576032"/>
    <n v="0"/>
    <n v="267741.19328000001"/>
    <n v="116992.5328"/>
    <n v="0"/>
    <n v="278355.27889756084"/>
    <n v="152866.50549375397"/>
  </r>
  <r>
    <s v="Sistema Isolado - Refaturamento"/>
    <x v="2"/>
    <x v="4"/>
    <x v="7"/>
    <x v="5"/>
    <x v="0"/>
    <x v="0"/>
    <x v="2"/>
    <x v="6"/>
    <n v="0"/>
    <n v="0"/>
    <n v="-0.39600000000000002"/>
    <n v="-0.39600000000000002"/>
    <n v="-0.39600000000000002"/>
    <n v="-0.39600000000000002"/>
    <n v="-7"/>
    <x v="0"/>
    <n v="0"/>
    <n v="0"/>
    <n v="41"/>
    <n v="85"/>
    <n v="0"/>
    <n v="242.47"/>
    <n v="105.95"/>
    <m/>
    <n v="252.08225767376987"/>
    <n v="138.43794872576032"/>
    <n v="0"/>
    <n v="-96.01812000000001"/>
    <n v="-41.956200000000003"/>
    <n v="0"/>
    <n v="-99.82457403881287"/>
    <n v="-54.821427695401091"/>
  </r>
  <r>
    <s v="Sistema de Compensação"/>
    <x v="2"/>
    <x v="4"/>
    <x v="7"/>
    <x v="5"/>
    <x v="0"/>
    <x v="0"/>
    <x v="2"/>
    <x v="6"/>
    <n v="0"/>
    <n v="0"/>
    <n v="1.655"/>
    <n v="1.655"/>
    <n v="1.655"/>
    <n v="1.655"/>
    <n v="1"/>
    <x v="0"/>
    <n v="0"/>
    <n v="0"/>
    <n v="41"/>
    <n v="85"/>
    <n v="0"/>
    <n v="242.47"/>
    <n v="105.95"/>
    <m/>
    <n v="252.08225767376987"/>
    <n v="138.43794872576032"/>
    <n v="0"/>
    <n v="401.28784999999999"/>
    <n v="175.34725"/>
    <n v="0"/>
    <n v="417.19613645008917"/>
    <n v="229.11480514113333"/>
  </r>
  <r>
    <s v="Regular"/>
    <x v="2"/>
    <x v="4"/>
    <x v="7"/>
    <x v="5"/>
    <x v="0"/>
    <x v="0"/>
    <x v="2"/>
    <x v="7"/>
    <n v="0"/>
    <n v="0"/>
    <n v="2615.866"/>
    <n v="2615.866"/>
    <n v="2615.866"/>
    <n v="2615.866"/>
    <n v="10528"/>
    <x v="0"/>
    <n v="0"/>
    <n v="0"/>
    <n v="41"/>
    <n v="85"/>
    <n v="0"/>
    <n v="242.47"/>
    <n v="105.95"/>
    <m/>
    <n v="252.08225767376987"/>
    <n v="138.43794872576032"/>
    <n v="0"/>
    <n v="634269.02902000002"/>
    <n v="277151.00270000001"/>
    <n v="0"/>
    <n v="659413.40705205372"/>
    <n v="362135.12318145973"/>
  </r>
  <r>
    <s v="Refaturamento - Regular"/>
    <x v="2"/>
    <x v="4"/>
    <x v="7"/>
    <x v="5"/>
    <x v="0"/>
    <x v="0"/>
    <x v="2"/>
    <x v="7"/>
    <n v="0"/>
    <n v="0"/>
    <n v="-4.8159999999999998"/>
    <n v="-4.8159999999999998"/>
    <n v="-4.8159999999999998"/>
    <n v="-4.8159999999999998"/>
    <n v="-9"/>
    <x v="0"/>
    <n v="0"/>
    <n v="0"/>
    <n v="41"/>
    <n v="85"/>
    <n v="0"/>
    <n v="242.47"/>
    <n v="105.95"/>
    <m/>
    <n v="252.08225767376987"/>
    <n v="138.43794872576032"/>
    <n v="0"/>
    <n v="-1167.73552"/>
    <n v="-510.2552"/>
    <n v="0"/>
    <n v="-1214.0281529568756"/>
    <n v="-666.71716106326164"/>
  </r>
  <r>
    <s v="Sistema Isolado - Regular"/>
    <x v="2"/>
    <x v="4"/>
    <x v="7"/>
    <x v="5"/>
    <x v="0"/>
    <x v="0"/>
    <x v="2"/>
    <x v="7"/>
    <n v="0"/>
    <n v="0"/>
    <n v="1186.0730000000001"/>
    <n v="1186.0730000000001"/>
    <n v="1186.0730000000001"/>
    <n v="1186.0730000000001"/>
    <n v="7615"/>
    <x v="0"/>
    <n v="0"/>
    <n v="0"/>
    <n v="41"/>
    <n v="85"/>
    <n v="0"/>
    <n v="242.47"/>
    <n v="105.95"/>
    <m/>
    <n v="252.08225767376987"/>
    <n v="138.43794872576032"/>
    <n v="0"/>
    <n v="287587.12031000003"/>
    <n v="125664.43435000001"/>
    <n v="0"/>
    <n v="298987.95960590127"/>
    <n v="164197.51315900873"/>
  </r>
  <r>
    <s v="Sistema Isolado - Refaturamento"/>
    <x v="2"/>
    <x v="4"/>
    <x v="7"/>
    <x v="5"/>
    <x v="0"/>
    <x v="0"/>
    <x v="2"/>
    <x v="7"/>
    <n v="0"/>
    <n v="0"/>
    <n v="-0.629"/>
    <n v="-0.629"/>
    <n v="-0.629"/>
    <n v="-0.629"/>
    <n v="-10"/>
    <x v="0"/>
    <n v="0"/>
    <n v="0"/>
    <n v="41"/>
    <n v="85"/>
    <n v="0"/>
    <n v="242.47"/>
    <n v="105.95"/>
    <m/>
    <n v="252.08225767376987"/>
    <n v="138.43794872576032"/>
    <n v="0"/>
    <n v="-152.51363000000001"/>
    <n v="-66.64255"/>
    <n v="0"/>
    <n v="-158.55974007680126"/>
    <n v="-87.077469748503248"/>
  </r>
  <r>
    <s v="Sistema de Compensação"/>
    <x v="2"/>
    <x v="4"/>
    <x v="7"/>
    <x v="5"/>
    <x v="0"/>
    <x v="0"/>
    <x v="2"/>
    <x v="7"/>
    <n v="0"/>
    <n v="0"/>
    <n v="1.877"/>
    <n v="1.877"/>
    <n v="1.877"/>
    <n v="1.877"/>
    <n v="1"/>
    <x v="0"/>
    <n v="0"/>
    <n v="0"/>
    <n v="41"/>
    <n v="85"/>
    <n v="0"/>
    <n v="242.47"/>
    <n v="105.95"/>
    <m/>
    <n v="252.08225767376987"/>
    <n v="138.43794872576032"/>
    <n v="0"/>
    <n v="455.11619000000002"/>
    <n v="198.86815000000001"/>
    <n v="0"/>
    <n v="473.15839765366604"/>
    <n v="259.8480297582521"/>
  </r>
  <r>
    <s v="Regular"/>
    <x v="2"/>
    <x v="4"/>
    <x v="7"/>
    <x v="5"/>
    <x v="0"/>
    <x v="0"/>
    <x v="2"/>
    <x v="8"/>
    <n v="0"/>
    <n v="0"/>
    <n v="2214.701"/>
    <n v="2214.701"/>
    <n v="2214.701"/>
    <n v="2214.701"/>
    <n v="6120"/>
    <x v="0"/>
    <n v="0"/>
    <n v="0"/>
    <n v="41"/>
    <n v="85"/>
    <n v="0"/>
    <n v="242.47"/>
    <n v="105.95"/>
    <m/>
    <n v="252.08225767376987"/>
    <n v="138.43794872576032"/>
    <n v="0"/>
    <n v="536998.55146999995"/>
    <n v="234647.57095000002"/>
    <n v="0"/>
    <n v="558286.82815235585"/>
    <n v="306598.6634808901"/>
  </r>
  <r>
    <s v="Refaturamento - Regular"/>
    <x v="2"/>
    <x v="4"/>
    <x v="7"/>
    <x v="5"/>
    <x v="0"/>
    <x v="0"/>
    <x v="2"/>
    <x v="8"/>
    <n v="0"/>
    <n v="0"/>
    <n v="-2.077"/>
    <n v="-2.077"/>
    <n v="-2.077"/>
    <n v="-2.077"/>
    <n v="-4"/>
    <x v="0"/>
    <n v="0"/>
    <n v="0"/>
    <n v="41"/>
    <n v="85"/>
    <n v="0"/>
    <n v="242.47"/>
    <n v="105.95"/>
    <m/>
    <n v="252.08225767376987"/>
    <n v="138.43794872576032"/>
    <n v="0"/>
    <n v="-503.61018999999999"/>
    <n v="-220.05815000000001"/>
    <n v="0"/>
    <n v="-523.57484918841999"/>
    <n v="-287.53561950340418"/>
  </r>
  <r>
    <s v="Sistema Isolado - Regular"/>
    <x v="2"/>
    <x v="4"/>
    <x v="7"/>
    <x v="5"/>
    <x v="0"/>
    <x v="0"/>
    <x v="2"/>
    <x v="8"/>
    <n v="0"/>
    <n v="0"/>
    <n v="1644.7819999999999"/>
    <n v="1644.7819999999999"/>
    <n v="1644.7819999999999"/>
    <n v="1644.7819999999999"/>
    <n v="11294"/>
    <x v="0"/>
    <n v="0"/>
    <n v="0"/>
    <n v="41"/>
    <n v="85"/>
    <n v="0"/>
    <n v="242.47"/>
    <n v="105.95"/>
    <m/>
    <n v="252.08225767376987"/>
    <n v="138.43794872576032"/>
    <n v="0"/>
    <n v="398810.29154000001"/>
    <n v="174264.65289999999"/>
    <n v="0"/>
    <n v="414620.35994117853"/>
    <n v="227700.24618105352"/>
  </r>
  <r>
    <s v="Sistema Isolado - Refaturamento"/>
    <x v="2"/>
    <x v="4"/>
    <x v="7"/>
    <x v="5"/>
    <x v="0"/>
    <x v="0"/>
    <x v="2"/>
    <x v="8"/>
    <n v="0"/>
    <n v="0"/>
    <n v="-1.8680000000000001"/>
    <n v="-1.8680000000000001"/>
    <n v="-1.8680000000000001"/>
    <n v="-1.8680000000000001"/>
    <n v="-14"/>
    <x v="0"/>
    <n v="0"/>
    <n v="0"/>
    <n v="41"/>
    <n v="85"/>
    <n v="0"/>
    <n v="242.47"/>
    <n v="105.95"/>
    <m/>
    <n v="252.08225767376987"/>
    <n v="138.43794872576032"/>
    <n v="0"/>
    <n v="-452.93396000000001"/>
    <n v="-197.91460000000001"/>
    <n v="0"/>
    <n v="-470.88965733460213"/>
    <n v="-258.60208821972032"/>
  </r>
  <r>
    <s v="Sistema de Compensação"/>
    <x v="2"/>
    <x v="4"/>
    <x v="7"/>
    <x v="5"/>
    <x v="0"/>
    <x v="0"/>
    <x v="2"/>
    <x v="8"/>
    <n v="0"/>
    <n v="0"/>
    <n v="2.0299999999999998"/>
    <n v="2.0299999999999998"/>
    <n v="2.0299999999999998"/>
    <n v="2.0299999999999998"/>
    <n v="0"/>
    <x v="0"/>
    <n v="0"/>
    <n v="0"/>
    <n v="41"/>
    <n v="85"/>
    <n v="0"/>
    <n v="242.47"/>
    <n v="105.95"/>
    <m/>
    <n v="252.08225767376987"/>
    <n v="138.43794872576032"/>
    <n v="0"/>
    <n v="492.21409999999997"/>
    <n v="215.07849999999999"/>
    <n v="0"/>
    <n v="511.72698307775278"/>
    <n v="281.0290359132934"/>
  </r>
  <r>
    <s v="Sistema de Compensação"/>
    <x v="2"/>
    <x v="4"/>
    <x v="7"/>
    <x v="5"/>
    <x v="0"/>
    <x v="0"/>
    <x v="2"/>
    <x v="8"/>
    <n v="0"/>
    <n v="0"/>
    <n v="-0.02"/>
    <n v="-0.02"/>
    <n v="-0.02"/>
    <n v="-0.02"/>
    <n v="0"/>
    <x v="0"/>
    <n v="0"/>
    <n v="0"/>
    <n v="41"/>
    <n v="85"/>
    <n v="0"/>
    <n v="242.47"/>
    <n v="105.95"/>
    <m/>
    <n v="252.08225767376987"/>
    <n v="138.43794872576032"/>
    <n v="0"/>
    <n v="-4.8494000000000002"/>
    <n v="-2.1190000000000002"/>
    <n v="0"/>
    <n v="-5.0416451534753977"/>
    <n v="-2.7687589745152064"/>
  </r>
  <r>
    <s v="Regular"/>
    <x v="2"/>
    <x v="4"/>
    <x v="7"/>
    <x v="5"/>
    <x v="0"/>
    <x v="0"/>
    <x v="2"/>
    <x v="9"/>
    <n v="0"/>
    <n v="0"/>
    <n v="2698.616"/>
    <n v="2698.616"/>
    <n v="2698.616"/>
    <n v="2698.616"/>
    <n v="10741"/>
    <x v="0"/>
    <n v="0"/>
    <n v="0"/>
    <n v="41"/>
    <n v="85"/>
    <n v="0"/>
    <n v="242.47"/>
    <n v="105.95"/>
    <m/>
    <n v="252.08225767376987"/>
    <n v="138.43794872576032"/>
    <n v="0"/>
    <n v="654333.42151999997"/>
    <n v="285918.3652"/>
    <n v="0"/>
    <n v="680273.2138745581"/>
    <n v="373590.86343851639"/>
  </r>
  <r>
    <s v="Refaturamento - Regular"/>
    <x v="2"/>
    <x v="4"/>
    <x v="7"/>
    <x v="5"/>
    <x v="0"/>
    <x v="0"/>
    <x v="2"/>
    <x v="9"/>
    <n v="0"/>
    <n v="0"/>
    <n v="-4.7080000000000002"/>
    <n v="-4.7080000000000002"/>
    <n v="-4.7080000000000002"/>
    <n v="-4.7080000000000002"/>
    <n v="0"/>
    <x v="0"/>
    <n v="0"/>
    <n v="0"/>
    <n v="41"/>
    <n v="85"/>
    <n v="0"/>
    <n v="242.47"/>
    <n v="105.95"/>
    <m/>
    <n v="252.08225767376987"/>
    <n v="138.43794872576032"/>
    <n v="0"/>
    <n v="-1141.5487600000001"/>
    <n v="-498.81260000000003"/>
    <n v="0"/>
    <n v="-1186.8032691281087"/>
    <n v="-651.76586260087959"/>
  </r>
  <r>
    <s v="Sistema Isolado - Regular"/>
    <x v="2"/>
    <x v="4"/>
    <x v="7"/>
    <x v="5"/>
    <x v="0"/>
    <x v="0"/>
    <x v="2"/>
    <x v="9"/>
    <n v="0"/>
    <n v="0"/>
    <n v="1204.258"/>
    <n v="1204.258"/>
    <n v="1204.258"/>
    <n v="1204.258"/>
    <n v="7781"/>
    <x v="0"/>
    <n v="0"/>
    <n v="0"/>
    <n v="41"/>
    <n v="85"/>
    <n v="0"/>
    <n v="242.47"/>
    <n v="105.95"/>
    <m/>
    <n v="252.08225767376987"/>
    <n v="138.43794872576032"/>
    <n v="0"/>
    <n v="291996.43726000004"/>
    <n v="127591.13510000001"/>
    <n v="0"/>
    <n v="303572.07546169875"/>
    <n v="166715.00725658669"/>
  </r>
  <r>
    <s v="Sistema Isolado - Refaturamento"/>
    <x v="2"/>
    <x v="4"/>
    <x v="7"/>
    <x v="5"/>
    <x v="0"/>
    <x v="0"/>
    <x v="2"/>
    <x v="9"/>
    <n v="0"/>
    <n v="0"/>
    <n v="-0.36"/>
    <n v="-0.36"/>
    <n v="-0.36"/>
    <n v="-0.36"/>
    <n v="-4"/>
    <x v="0"/>
    <n v="0"/>
    <n v="0"/>
    <n v="41"/>
    <n v="85"/>
    <n v="0"/>
    <n v="242.47"/>
    <n v="105.95"/>
    <m/>
    <n v="252.08225767376987"/>
    <n v="138.43794872576032"/>
    <n v="0"/>
    <n v="-87.289199999999994"/>
    <n v="-38.142000000000003"/>
    <n v="0"/>
    <n v="-90.749612762557149"/>
    <n v="-49.837661541273711"/>
  </r>
  <r>
    <s v="Sistema de Compensação"/>
    <x v="2"/>
    <x v="4"/>
    <x v="7"/>
    <x v="5"/>
    <x v="0"/>
    <x v="0"/>
    <x v="2"/>
    <x v="9"/>
    <n v="0"/>
    <n v="0"/>
    <n v="2.3959999999999999"/>
    <n v="2.3959999999999999"/>
    <n v="2.3959999999999999"/>
    <n v="2.3959999999999999"/>
    <n v="2"/>
    <x v="0"/>
    <n v="0"/>
    <n v="0"/>
    <n v="41"/>
    <n v="85"/>
    <n v="0"/>
    <n v="242.47"/>
    <n v="105.95"/>
    <m/>
    <n v="252.08225767376987"/>
    <n v="138.43794872576032"/>
    <n v="0"/>
    <n v="580.95812000000001"/>
    <n v="253.8562"/>
    <n v="0"/>
    <n v="603.98908938635259"/>
    <n v="331.69732514692174"/>
  </r>
  <r>
    <s v="Regular"/>
    <x v="2"/>
    <x v="4"/>
    <x v="7"/>
    <x v="5"/>
    <x v="0"/>
    <x v="0"/>
    <x v="2"/>
    <x v="10"/>
    <n v="0"/>
    <n v="0"/>
    <n v="2802.288"/>
    <n v="2802.288"/>
    <n v="2802.288"/>
    <n v="2802.288"/>
    <n v="9559"/>
    <x v="0"/>
    <n v="0"/>
    <n v="0"/>
    <n v="41"/>
    <n v="85"/>
    <n v="0"/>
    <n v="242.47"/>
    <n v="105.95"/>
    <m/>
    <n v="252.08225767376987"/>
    <n v="138.43794872576032"/>
    <n v="0"/>
    <n v="679470.77136000001"/>
    <n v="296902.41360000003"/>
    <n v="0"/>
    <n v="706407.08569211327"/>
    <n v="387943.00245881343"/>
  </r>
  <r>
    <s v="Refaturamento - Regular"/>
    <x v="2"/>
    <x v="4"/>
    <x v="7"/>
    <x v="5"/>
    <x v="0"/>
    <x v="0"/>
    <x v="2"/>
    <x v="10"/>
    <n v="0"/>
    <n v="0"/>
    <n v="-7.4139999999999997"/>
    <n v="-7.4139999999999997"/>
    <n v="-7.4139999999999997"/>
    <n v="-7.4139999999999997"/>
    <n v="-3"/>
    <x v="0"/>
    <n v="0"/>
    <n v="0"/>
    <n v="41"/>
    <n v="85"/>
    <n v="0"/>
    <n v="242.47"/>
    <n v="105.95"/>
    <m/>
    <n v="252.08225767376987"/>
    <n v="138.43794872576032"/>
    <n v="0"/>
    <n v="-1797.6725799999999"/>
    <n v="-785.51329999999996"/>
    <n v="0"/>
    <n v="-1868.9378583933299"/>
    <n v="-1026.3789518527869"/>
  </r>
  <r>
    <s v="Sistema Isolado - Regular"/>
    <x v="2"/>
    <x v="4"/>
    <x v="7"/>
    <x v="5"/>
    <x v="0"/>
    <x v="0"/>
    <x v="2"/>
    <x v="10"/>
    <n v="0"/>
    <n v="0"/>
    <n v="1254.0550000000001"/>
    <n v="1254.0550000000001"/>
    <n v="1254.0550000000001"/>
    <n v="1254.0550000000001"/>
    <n v="7651"/>
    <x v="0"/>
    <n v="0"/>
    <n v="0"/>
    <n v="41"/>
    <n v="85"/>
    <n v="0"/>
    <n v="242.47"/>
    <n v="105.95"/>
    <m/>
    <n v="252.08225767376987"/>
    <n v="138.43794872576032"/>
    <n v="0"/>
    <n v="304070.71585000004"/>
    <n v="132867.12725000002"/>
    <n v="0"/>
    <n v="316125.0156470795"/>
    <n v="173608.80178928337"/>
  </r>
  <r>
    <s v="Sistema Isolado - Refaturamento"/>
    <x v="2"/>
    <x v="4"/>
    <x v="7"/>
    <x v="5"/>
    <x v="0"/>
    <x v="0"/>
    <x v="2"/>
    <x v="10"/>
    <n v="0"/>
    <n v="0"/>
    <n v="-3.7069999999999999"/>
    <n v="-3.7069999999999999"/>
    <n v="-3.7069999999999999"/>
    <n v="-3.7069999999999999"/>
    <n v="-4"/>
    <x v="0"/>
    <n v="0"/>
    <n v="0"/>
    <n v="41"/>
    <n v="85"/>
    <n v="0"/>
    <n v="242.47"/>
    <n v="105.95"/>
    <m/>
    <n v="252.08225767376987"/>
    <n v="138.43794872576032"/>
    <n v="0"/>
    <n v="-898.83628999999996"/>
    <n v="-392.75664999999998"/>
    <n v="0"/>
    <n v="-934.46892919666493"/>
    <n v="-513.18947592639347"/>
  </r>
  <r>
    <s v="Sistema de Compensação"/>
    <x v="2"/>
    <x v="4"/>
    <x v="7"/>
    <x v="5"/>
    <x v="0"/>
    <x v="0"/>
    <x v="2"/>
    <x v="10"/>
    <n v="0"/>
    <n v="0"/>
    <n v="2.5870000000000002"/>
    <n v="2.5870000000000002"/>
    <n v="2.5870000000000002"/>
    <n v="2.5870000000000002"/>
    <n v="0"/>
    <x v="0"/>
    <n v="0"/>
    <n v="0"/>
    <n v="41"/>
    <n v="85"/>
    <n v="0"/>
    <n v="242.47"/>
    <n v="105.95"/>
    <m/>
    <n v="252.08225767376987"/>
    <n v="138.43794872576032"/>
    <n v="0"/>
    <n v="627.26989000000003"/>
    <n v="274.09265000000005"/>
    <n v="0"/>
    <n v="652.13680060204274"/>
    <n v="358.13897335354199"/>
  </r>
  <r>
    <s v="PROJETADO"/>
    <x v="2"/>
    <x v="4"/>
    <x v="7"/>
    <x v="5"/>
    <x v="0"/>
    <x v="0"/>
    <x v="2"/>
    <x v="11"/>
    <n v="0"/>
    <n v="0"/>
    <n v="2802.288"/>
    <n v="2802.288"/>
    <n v="2802.288"/>
    <n v="2802.288"/>
    <n v="9559"/>
    <x v="0"/>
    <n v="0"/>
    <n v="0"/>
    <n v="41"/>
    <n v="85"/>
    <n v="0"/>
    <n v="242.47"/>
    <n v="105.95"/>
    <m/>
    <n v="252.08225767376987"/>
    <n v="138.43794872576032"/>
    <n v="0"/>
    <n v="679470.77136000001"/>
    <n v="296902.41360000003"/>
    <n v="0"/>
    <n v="706407.08569211327"/>
    <n v="387943.00245881343"/>
  </r>
  <r>
    <s v="PROJETADO"/>
    <x v="2"/>
    <x v="4"/>
    <x v="7"/>
    <x v="5"/>
    <x v="0"/>
    <x v="0"/>
    <x v="2"/>
    <x v="11"/>
    <n v="0"/>
    <n v="0"/>
    <n v="-7.4139999999999997"/>
    <n v="-7.4139999999999997"/>
    <n v="-7.4139999999999997"/>
    <n v="-7.4139999999999997"/>
    <n v="-3"/>
    <x v="0"/>
    <n v="0"/>
    <n v="0"/>
    <n v="41"/>
    <n v="85"/>
    <n v="0"/>
    <n v="242.47"/>
    <n v="105.95"/>
    <m/>
    <n v="252.08225767376987"/>
    <n v="138.43794872576032"/>
    <n v="0"/>
    <n v="-1797.6725799999999"/>
    <n v="-785.51329999999996"/>
    <n v="0"/>
    <n v="-1868.9378583933299"/>
    <n v="-1026.3789518527869"/>
  </r>
  <r>
    <s v="PROJETADO"/>
    <x v="2"/>
    <x v="4"/>
    <x v="7"/>
    <x v="5"/>
    <x v="0"/>
    <x v="0"/>
    <x v="2"/>
    <x v="11"/>
    <n v="0"/>
    <n v="0"/>
    <n v="1254.0550000000001"/>
    <n v="1254.0550000000001"/>
    <n v="1254.0550000000001"/>
    <n v="1254.0550000000001"/>
    <n v="7651"/>
    <x v="0"/>
    <n v="0"/>
    <n v="0"/>
    <n v="41"/>
    <n v="85"/>
    <n v="0"/>
    <n v="242.47"/>
    <n v="105.95"/>
    <m/>
    <n v="252.08225767376987"/>
    <n v="138.43794872576032"/>
    <n v="0"/>
    <n v="304070.71585000004"/>
    <n v="132867.12725000002"/>
    <n v="0"/>
    <n v="316125.0156470795"/>
    <n v="173608.80178928337"/>
  </r>
  <r>
    <s v="PROJETADO"/>
    <x v="2"/>
    <x v="4"/>
    <x v="7"/>
    <x v="5"/>
    <x v="0"/>
    <x v="0"/>
    <x v="2"/>
    <x v="11"/>
    <n v="0"/>
    <n v="0"/>
    <n v="-3.7069999999999999"/>
    <n v="-3.7069999999999999"/>
    <n v="-3.7069999999999999"/>
    <n v="-3.7069999999999999"/>
    <n v="-4"/>
    <x v="0"/>
    <n v="0"/>
    <n v="0"/>
    <n v="41"/>
    <n v="85"/>
    <n v="0"/>
    <n v="242.47"/>
    <n v="105.95"/>
    <m/>
    <n v="252.08225767376987"/>
    <n v="138.43794872576032"/>
    <n v="0"/>
    <n v="-898.83628999999996"/>
    <n v="-392.75664999999998"/>
    <n v="0"/>
    <n v="-934.46892919666493"/>
    <n v="-513.18947592639347"/>
  </r>
  <r>
    <s v="PROJETADO"/>
    <x v="2"/>
    <x v="4"/>
    <x v="7"/>
    <x v="5"/>
    <x v="0"/>
    <x v="0"/>
    <x v="2"/>
    <x v="11"/>
    <n v="0"/>
    <n v="0"/>
    <n v="2.5870000000000002"/>
    <n v="2.5870000000000002"/>
    <n v="2.5870000000000002"/>
    <n v="2.5870000000000002"/>
    <n v="0"/>
    <x v="0"/>
    <n v="0"/>
    <n v="0"/>
    <n v="41"/>
    <n v="85"/>
    <n v="0"/>
    <n v="242.47"/>
    <n v="105.95"/>
    <m/>
    <n v="252.08225767376987"/>
    <n v="138.43794872576032"/>
    <n v="0"/>
    <n v="627.26989000000003"/>
    <n v="274.09265000000005"/>
    <n v="0"/>
    <n v="652.13680060204274"/>
    <n v="358.13897335354199"/>
  </r>
  <r>
    <s v="Regular"/>
    <x v="2"/>
    <x v="4"/>
    <x v="7"/>
    <x v="6"/>
    <x v="0"/>
    <x v="0"/>
    <x v="2"/>
    <x v="0"/>
    <n v="0"/>
    <n v="0"/>
    <n v="1946.9680000000001"/>
    <n v="1946.9680000000001"/>
    <n v="1946.9680000000001"/>
    <n v="1946.9680000000001"/>
    <n v="17173"/>
    <x v="0"/>
    <n v="0"/>
    <n v="0"/>
    <n v="42"/>
    <n v="86"/>
    <n v="0"/>
    <n v="363.71"/>
    <n v="158.91999999999999"/>
    <m/>
    <n v="378.12338651065483"/>
    <n v="207.6569230886405"/>
    <n v="0"/>
    <n v="708131.73127999995"/>
    <n v="309412.15456"/>
    <n v="0"/>
    <n v="736194.13358787668"/>
    <n v="404301.38423204422"/>
  </r>
  <r>
    <s v="Refaturamento - Regular"/>
    <x v="2"/>
    <x v="4"/>
    <x v="7"/>
    <x v="6"/>
    <x v="0"/>
    <x v="0"/>
    <x v="2"/>
    <x v="0"/>
    <n v="0"/>
    <n v="0"/>
    <n v="-29.727"/>
    <n v="-29.727"/>
    <n v="-29.727"/>
    <n v="-29.727"/>
    <n v="-55"/>
    <x v="0"/>
    <n v="0"/>
    <n v="0"/>
    <n v="42"/>
    <n v="86"/>
    <n v="0"/>
    <n v="363.71"/>
    <n v="158.91999999999999"/>
    <m/>
    <n v="378.12338651065483"/>
    <n v="207.6569230886405"/>
    <n v="0"/>
    <n v="-10812.007169999999"/>
    <n v="-4724.2148399999996"/>
    <n v="0"/>
    <n v="-11240.473910802237"/>
    <n v="-6173.0173526560166"/>
  </r>
  <r>
    <s v="Sistema Isolado - Regular"/>
    <x v="2"/>
    <x v="4"/>
    <x v="7"/>
    <x v="6"/>
    <x v="0"/>
    <x v="0"/>
    <x v="2"/>
    <x v="0"/>
    <n v="0"/>
    <n v="0"/>
    <n v="679.99"/>
    <n v="679.99"/>
    <n v="679.99"/>
    <n v="679.99"/>
    <n v="8647"/>
    <x v="0"/>
    <n v="0"/>
    <n v="0"/>
    <n v="42"/>
    <n v="86"/>
    <n v="0"/>
    <n v="363.71"/>
    <n v="158.91999999999999"/>
    <m/>
    <n v="378.12338651065483"/>
    <n v="207.6569230886405"/>
    <n v="0"/>
    <n v="247319.1629"/>
    <n v="108064.01079999999"/>
    <n v="0"/>
    <n v="257120.12159338017"/>
    <n v="141204.63113104465"/>
  </r>
  <r>
    <s v="Sistema Isolado - Refaturamento"/>
    <x v="2"/>
    <x v="4"/>
    <x v="7"/>
    <x v="6"/>
    <x v="0"/>
    <x v="0"/>
    <x v="2"/>
    <x v="0"/>
    <n v="0"/>
    <n v="0"/>
    <n v="-0.59099999999999997"/>
    <n v="-0.59099999999999997"/>
    <n v="-0.59099999999999997"/>
    <n v="-0.59099999999999997"/>
    <n v="-7"/>
    <x v="0"/>
    <n v="0"/>
    <n v="0"/>
    <n v="42"/>
    <n v="86"/>
    <n v="0"/>
    <n v="363.71"/>
    <n v="158.91999999999999"/>
    <m/>
    <n v="378.12338651065483"/>
    <n v="207.6569230886405"/>
    <n v="0"/>
    <n v="-214.95260999999996"/>
    <n v="-93.921719999999993"/>
    <n v="0"/>
    <n v="-223.47092142779698"/>
    <n v="-122.72524154538652"/>
  </r>
  <r>
    <s v="Sistema de Compensação"/>
    <x v="2"/>
    <x v="4"/>
    <x v="7"/>
    <x v="6"/>
    <x v="0"/>
    <x v="0"/>
    <x v="2"/>
    <x v="0"/>
    <n v="0"/>
    <n v="0"/>
    <n v="1.887"/>
    <n v="1.887"/>
    <n v="1.887"/>
    <n v="1.887"/>
    <n v="1"/>
    <x v="0"/>
    <n v="0"/>
    <n v="0"/>
    <n v="42"/>
    <n v="86"/>
    <n v="0"/>
    <n v="363.71"/>
    <n v="158.91999999999999"/>
    <m/>
    <n v="378.12338651065483"/>
    <n v="207.6569230886405"/>
    <n v="0"/>
    <n v="686.32076999999992"/>
    <n v="299.88203999999996"/>
    <n v="0"/>
    <n v="713.51883034560569"/>
    <n v="391.84861386826464"/>
  </r>
  <r>
    <s v="Sistema de Compensação"/>
    <x v="2"/>
    <x v="4"/>
    <x v="7"/>
    <x v="6"/>
    <x v="0"/>
    <x v="0"/>
    <x v="2"/>
    <x v="0"/>
    <n v="0"/>
    <n v="0"/>
    <n v="-0.12"/>
    <n v="-0.12"/>
    <n v="-0.12"/>
    <n v="-0.12"/>
    <n v="0"/>
    <x v="0"/>
    <n v="0"/>
    <n v="0"/>
    <n v="42"/>
    <n v="86"/>
    <n v="0"/>
    <n v="363.71"/>
    <n v="158.91999999999999"/>
    <m/>
    <n v="378.12338651065483"/>
    <n v="207.6569230886405"/>
    <n v="0"/>
    <n v="-43.645199999999996"/>
    <n v="-19.070399999999999"/>
    <n v="0"/>
    <n v="-45.374806381278574"/>
    <n v="-24.918830770636859"/>
  </r>
  <r>
    <s v="Regular"/>
    <x v="2"/>
    <x v="4"/>
    <x v="7"/>
    <x v="6"/>
    <x v="0"/>
    <x v="0"/>
    <x v="2"/>
    <x v="1"/>
    <n v="0"/>
    <n v="0"/>
    <n v="1980.35"/>
    <n v="1980.35"/>
    <n v="1980.35"/>
    <n v="1980.35"/>
    <n v="17131"/>
    <x v="0"/>
    <n v="0"/>
    <n v="0"/>
    <n v="42"/>
    <n v="86"/>
    <n v="0"/>
    <n v="363.71"/>
    <n v="158.91999999999999"/>
    <m/>
    <n v="378.12338651065483"/>
    <n v="207.6569230886405"/>
    <n v="0"/>
    <n v="720273.09849999996"/>
    <n v="314717.22199999995"/>
    <n v="0"/>
    <n v="748816.64847637527"/>
    <n v="411233.38763858919"/>
  </r>
  <r>
    <s v="Refaturamento - Regular"/>
    <x v="2"/>
    <x v="4"/>
    <x v="7"/>
    <x v="6"/>
    <x v="0"/>
    <x v="0"/>
    <x v="2"/>
    <x v="1"/>
    <n v="0"/>
    <n v="0"/>
    <n v="-11.058999999999999"/>
    <n v="-11.058999999999999"/>
    <n v="-11.058999999999999"/>
    <n v="-11.058999999999999"/>
    <n v="-81"/>
    <x v="0"/>
    <n v="0"/>
    <n v="0"/>
    <n v="42"/>
    <n v="86"/>
    <n v="0"/>
    <n v="363.71"/>
    <n v="158.91999999999999"/>
    <m/>
    <n v="378.12338651065483"/>
    <n v="207.6569230886405"/>
    <n v="0"/>
    <n v="-4022.2688899999994"/>
    <n v="-1757.4962799999998"/>
    <n v="0"/>
    <n v="-4181.6665314213315"/>
    <n v="-2296.4779124372749"/>
  </r>
  <r>
    <s v="Sistema Isolado - Regular"/>
    <x v="2"/>
    <x v="4"/>
    <x v="7"/>
    <x v="6"/>
    <x v="0"/>
    <x v="0"/>
    <x v="2"/>
    <x v="1"/>
    <n v="0"/>
    <n v="0"/>
    <n v="698.64099999999996"/>
    <n v="698.64099999999996"/>
    <n v="698.64099999999996"/>
    <n v="698.64099999999996"/>
    <n v="8716"/>
    <x v="0"/>
    <n v="0"/>
    <n v="0"/>
    <n v="42"/>
    <n v="86"/>
    <n v="0"/>
    <n v="363.71"/>
    <n v="158.91999999999999"/>
    <m/>
    <n v="378.12338651065483"/>
    <n v="207.6569230886405"/>
    <n v="0"/>
    <n v="254102.71810999996"/>
    <n v="111028.02771999998"/>
    <n v="0"/>
    <n v="264172.50087519037"/>
    <n v="145077.64040357087"/>
  </r>
  <r>
    <s v="Sistema Isolado - Refaturamento"/>
    <x v="2"/>
    <x v="4"/>
    <x v="7"/>
    <x v="6"/>
    <x v="0"/>
    <x v="0"/>
    <x v="2"/>
    <x v="1"/>
    <n v="0"/>
    <n v="0"/>
    <n v="-0.83499999999999996"/>
    <n v="-0.83499999999999996"/>
    <n v="-0.83499999999999996"/>
    <n v="-0.83499999999999996"/>
    <n v="-15"/>
    <x v="0"/>
    <n v="0"/>
    <n v="0"/>
    <n v="42"/>
    <n v="86"/>
    <n v="0"/>
    <n v="363.71"/>
    <n v="158.91999999999999"/>
    <m/>
    <n v="378.12338651065483"/>
    <n v="207.6569230886405"/>
    <n v="0"/>
    <n v="-303.69784999999996"/>
    <n v="-132.69819999999999"/>
    <n v="0"/>
    <n v="-315.73302773639676"/>
    <n v="-173.39353077901481"/>
  </r>
  <r>
    <s v="Sistema de Compensação"/>
    <x v="2"/>
    <x v="4"/>
    <x v="7"/>
    <x v="6"/>
    <x v="0"/>
    <x v="0"/>
    <x v="2"/>
    <x v="1"/>
    <n v="0"/>
    <n v="0"/>
    <n v="1.1519999999999999"/>
    <n v="1.1519999999999999"/>
    <n v="1.1519999999999999"/>
    <n v="1.1519999999999999"/>
    <n v="4"/>
    <x v="0"/>
    <n v="0"/>
    <n v="0"/>
    <n v="42"/>
    <n v="86"/>
    <n v="0"/>
    <n v="363.71"/>
    <n v="158.91999999999999"/>
    <m/>
    <n v="378.12338651065483"/>
    <n v="207.6569230886405"/>
    <n v="0"/>
    <n v="418.99391999999995"/>
    <n v="183.07583999999997"/>
    <n v="0"/>
    <n v="435.5981412602743"/>
    <n v="239.22077539811383"/>
  </r>
  <r>
    <s v="Sistema de Compensação"/>
    <x v="2"/>
    <x v="4"/>
    <x v="7"/>
    <x v="6"/>
    <x v="0"/>
    <x v="0"/>
    <x v="2"/>
    <x v="1"/>
    <n v="0"/>
    <n v="0"/>
    <n v="-0.12"/>
    <n v="-0.12"/>
    <n v="-0.12"/>
    <n v="-0.12"/>
    <n v="0"/>
    <x v="0"/>
    <n v="0"/>
    <n v="0"/>
    <n v="42"/>
    <n v="86"/>
    <n v="0"/>
    <n v="363.71"/>
    <n v="158.91999999999999"/>
    <m/>
    <n v="378.12338651065483"/>
    <n v="207.6569230886405"/>
    <n v="0"/>
    <n v="-43.645199999999996"/>
    <n v="-19.070399999999999"/>
    <n v="0"/>
    <n v="-45.374806381278574"/>
    <n v="-24.918830770636859"/>
  </r>
  <r>
    <s v="Regular"/>
    <x v="2"/>
    <x v="4"/>
    <x v="7"/>
    <x v="6"/>
    <x v="0"/>
    <x v="0"/>
    <x v="2"/>
    <x v="2"/>
    <n v="0"/>
    <n v="0"/>
    <n v="1915.366"/>
    <n v="1915.366"/>
    <n v="1915.366"/>
    <n v="1915.366"/>
    <n v="18658"/>
    <x v="0"/>
    <n v="0"/>
    <n v="0"/>
    <n v="42"/>
    <n v="86"/>
    <n v="0"/>
    <n v="363.71"/>
    <n v="158.91999999999999"/>
    <m/>
    <n v="378.12338651065483"/>
    <n v="207.6569230886405"/>
    <n v="0"/>
    <n v="696637.76785999991"/>
    <n v="304389.96471999999"/>
    <n v="0"/>
    <n v="724244.67832736683"/>
    <n v="397739.01014859701"/>
  </r>
  <r>
    <s v="Refaturamento - Regular"/>
    <x v="2"/>
    <x v="4"/>
    <x v="7"/>
    <x v="6"/>
    <x v="0"/>
    <x v="0"/>
    <x v="2"/>
    <x v="2"/>
    <n v="0"/>
    <n v="0"/>
    <n v="-12.904"/>
    <n v="-12.904"/>
    <n v="-12.904"/>
    <n v="-12.904"/>
    <n v="-22"/>
    <x v="0"/>
    <n v="0"/>
    <n v="0"/>
    <n v="42"/>
    <n v="86"/>
    <n v="0"/>
    <n v="363.71"/>
    <n v="158.91999999999999"/>
    <m/>
    <n v="378.12338651065483"/>
    <n v="207.6569230886405"/>
    <n v="0"/>
    <n v="-4693.3138399999998"/>
    <n v="-2050.7036799999996"/>
    <n v="0"/>
    <n v="-4879.3041795334902"/>
    <n v="-2679.6049355358168"/>
  </r>
  <r>
    <s v="Sistema Isolado - Regular"/>
    <x v="2"/>
    <x v="4"/>
    <x v="7"/>
    <x v="6"/>
    <x v="0"/>
    <x v="0"/>
    <x v="2"/>
    <x v="2"/>
    <n v="0"/>
    <n v="0"/>
    <n v="631.60599999999999"/>
    <n v="631.60599999999999"/>
    <n v="631.60599999999999"/>
    <n v="631.60599999999999"/>
    <n v="8574"/>
    <x v="0"/>
    <n v="0"/>
    <n v="0"/>
    <n v="42"/>
    <n v="86"/>
    <n v="0"/>
    <n v="363.71"/>
    <n v="158.91999999999999"/>
    <m/>
    <n v="378.12338651065483"/>
    <n v="207.6569230886405"/>
    <n v="0"/>
    <n v="229721.41825999998"/>
    <n v="100374.82552"/>
    <n v="0"/>
    <n v="238824.99966044864"/>
    <n v="131157.35856432386"/>
  </r>
  <r>
    <s v="Sistema Isolado - Refaturamento"/>
    <x v="2"/>
    <x v="4"/>
    <x v="7"/>
    <x v="6"/>
    <x v="0"/>
    <x v="0"/>
    <x v="2"/>
    <x v="2"/>
    <n v="0"/>
    <n v="0"/>
    <n v="-1.839"/>
    <n v="-1.839"/>
    <n v="-1.839"/>
    <n v="-1.839"/>
    <n v="-2"/>
    <x v="0"/>
    <n v="0"/>
    <n v="0"/>
    <n v="42"/>
    <n v="86"/>
    <n v="0"/>
    <n v="363.71"/>
    <n v="158.91999999999999"/>
    <m/>
    <n v="378.12338651065483"/>
    <n v="207.6569230886405"/>
    <n v="0"/>
    <n v="-668.86268999999993"/>
    <n v="-292.25387999999998"/>
    <n v="0"/>
    <n v="-695.36890779309419"/>
    <n v="-381.88108156000987"/>
  </r>
  <r>
    <s v="Sistema de Compensação"/>
    <x v="2"/>
    <x v="4"/>
    <x v="7"/>
    <x v="6"/>
    <x v="0"/>
    <x v="0"/>
    <x v="2"/>
    <x v="2"/>
    <n v="0"/>
    <n v="0"/>
    <n v="1.286"/>
    <n v="1.286"/>
    <n v="1.286"/>
    <n v="1.286"/>
    <n v="5"/>
    <x v="0"/>
    <n v="0"/>
    <n v="0"/>
    <n v="42"/>
    <n v="86"/>
    <n v="0"/>
    <n v="363.71"/>
    <n v="158.91999999999999"/>
    <m/>
    <n v="378.12338651065483"/>
    <n v="207.6569230886405"/>
    <n v="0"/>
    <n v="467.73106000000001"/>
    <n v="204.37111999999999"/>
    <n v="0"/>
    <n v="486.26667505270211"/>
    <n v="267.04680309199171"/>
  </r>
  <r>
    <s v="Sistema de Compensação"/>
    <x v="2"/>
    <x v="4"/>
    <x v="7"/>
    <x v="6"/>
    <x v="0"/>
    <x v="0"/>
    <x v="2"/>
    <x v="2"/>
    <n v="0"/>
    <n v="0"/>
    <n v="-0.12"/>
    <n v="-0.12"/>
    <n v="-0.12"/>
    <n v="-0.12"/>
    <n v="0"/>
    <x v="0"/>
    <n v="0"/>
    <n v="0"/>
    <n v="42"/>
    <n v="86"/>
    <n v="0"/>
    <n v="363.71"/>
    <n v="158.91999999999999"/>
    <m/>
    <n v="378.12338651065483"/>
    <n v="207.6569230886405"/>
    <n v="0"/>
    <n v="-43.645199999999996"/>
    <n v="-19.070399999999999"/>
    <n v="0"/>
    <n v="-45.374806381278574"/>
    <n v="-24.918830770636859"/>
  </r>
  <r>
    <s v="Regular"/>
    <x v="2"/>
    <x v="4"/>
    <x v="7"/>
    <x v="6"/>
    <x v="0"/>
    <x v="0"/>
    <x v="2"/>
    <x v="3"/>
    <n v="0"/>
    <n v="0"/>
    <n v="2132.096"/>
    <n v="2132.096"/>
    <n v="2132.096"/>
    <n v="2132.096"/>
    <n v="19774"/>
    <x v="0"/>
    <n v="0"/>
    <n v="0"/>
    <n v="42"/>
    <n v="86"/>
    <n v="0"/>
    <n v="363.71"/>
    <n v="158.91999999999999"/>
    <m/>
    <n v="378.12338651065483"/>
    <n v="207.6569230886405"/>
    <n v="0"/>
    <n v="775464.63615999999"/>
    <n v="338832.69631999999"/>
    <n v="0"/>
    <n v="806195.35988582112"/>
    <n v="442744.49508959806"/>
  </r>
  <r>
    <s v="Refaturamento - Regular"/>
    <x v="2"/>
    <x v="4"/>
    <x v="7"/>
    <x v="6"/>
    <x v="0"/>
    <x v="0"/>
    <x v="2"/>
    <x v="3"/>
    <n v="0"/>
    <n v="0"/>
    <n v="-17.984000000000002"/>
    <n v="-17.984000000000002"/>
    <n v="-17.984000000000002"/>
    <n v="-17.984000000000002"/>
    <n v="-5"/>
    <x v="0"/>
    <n v="0"/>
    <n v="0"/>
    <n v="42"/>
    <n v="86"/>
    <n v="0"/>
    <n v="363.71"/>
    <n v="158.91999999999999"/>
    <m/>
    <n v="378.12338651065483"/>
    <n v="207.6569230886405"/>
    <n v="0"/>
    <n v="-6540.9606400000002"/>
    <n v="-2858.01728"/>
    <n v="0"/>
    <n v="-6800.170983007617"/>
    <n v="-3734.502104826111"/>
  </r>
  <r>
    <s v="Sistema Isolado - Regular"/>
    <x v="2"/>
    <x v="4"/>
    <x v="7"/>
    <x v="6"/>
    <x v="0"/>
    <x v="0"/>
    <x v="2"/>
    <x v="3"/>
    <n v="0"/>
    <n v="0"/>
    <n v="690.65200000000004"/>
    <n v="690.65200000000004"/>
    <n v="690.65200000000004"/>
    <n v="690.65200000000004"/>
    <n v="8988"/>
    <x v="0"/>
    <n v="0"/>
    <n v="0"/>
    <n v="42"/>
    <n v="86"/>
    <n v="0"/>
    <n v="363.71"/>
    <n v="158.91999999999999"/>
    <m/>
    <n v="378.12338651065483"/>
    <n v="207.6569230886405"/>
    <n v="0"/>
    <n v="251197.03891999999"/>
    <n v="109758.41584"/>
    <n v="0"/>
    <n v="261151.67314035678"/>
    <n v="143418.66924501574"/>
  </r>
  <r>
    <s v="Sistema Isolado - Refaturamento"/>
    <x v="2"/>
    <x v="4"/>
    <x v="7"/>
    <x v="6"/>
    <x v="0"/>
    <x v="0"/>
    <x v="2"/>
    <x v="3"/>
    <n v="0"/>
    <n v="0"/>
    <n v="-1.0860000000000001"/>
    <n v="-1.0860000000000001"/>
    <n v="-1.0860000000000001"/>
    <n v="-1.0860000000000001"/>
    <n v="-14"/>
    <x v="0"/>
    <n v="0"/>
    <n v="0"/>
    <n v="42"/>
    <n v="86"/>
    <n v="0"/>
    <n v="363.71"/>
    <n v="158.91999999999999"/>
    <m/>
    <n v="378.12338651065483"/>
    <n v="207.6569230886405"/>
    <n v="0"/>
    <n v="-394.98905999999999"/>
    <n v="-172.58712"/>
    <n v="0"/>
    <n v="-410.64199775057119"/>
    <n v="-225.51541847426358"/>
  </r>
  <r>
    <s v="Sistema de Compensação"/>
    <x v="2"/>
    <x v="4"/>
    <x v="7"/>
    <x v="6"/>
    <x v="0"/>
    <x v="0"/>
    <x v="2"/>
    <x v="3"/>
    <n v="0"/>
    <n v="0"/>
    <n v="1.1200000000000001"/>
    <n v="1.1200000000000001"/>
    <n v="1.1200000000000001"/>
    <n v="1.1200000000000001"/>
    <n v="5"/>
    <x v="0"/>
    <n v="0"/>
    <n v="0"/>
    <n v="42"/>
    <n v="86"/>
    <n v="0"/>
    <n v="363.71"/>
    <n v="158.91999999999999"/>
    <m/>
    <n v="378.12338651065483"/>
    <n v="207.6569230886405"/>
    <n v="0"/>
    <n v="407.35520000000002"/>
    <n v="177.99039999999999"/>
    <n v="0"/>
    <n v="423.49819289193346"/>
    <n v="232.57575385927737"/>
  </r>
  <r>
    <s v="Regular"/>
    <x v="2"/>
    <x v="4"/>
    <x v="7"/>
    <x v="6"/>
    <x v="0"/>
    <x v="0"/>
    <x v="2"/>
    <x v="4"/>
    <n v="0"/>
    <n v="0"/>
    <n v="2202.0889999999999"/>
    <n v="2202.0889999999999"/>
    <n v="2202.0889999999999"/>
    <n v="2202.0889999999999"/>
    <n v="20561"/>
    <x v="0"/>
    <n v="0"/>
    <n v="0"/>
    <n v="42"/>
    <n v="86"/>
    <n v="0"/>
    <n v="363.71"/>
    <n v="158.91999999999999"/>
    <m/>
    <n v="378.12338651065483"/>
    <n v="207.6569230886405"/>
    <n v="0"/>
    <n v="800921.79018999997"/>
    <n v="349955.98387999996"/>
    <n v="0"/>
    <n v="832661.35007786134"/>
    <n v="457279.02610734123"/>
  </r>
  <r>
    <s v="Refaturamento - Regular"/>
    <x v="2"/>
    <x v="4"/>
    <x v="7"/>
    <x v="6"/>
    <x v="0"/>
    <x v="0"/>
    <x v="2"/>
    <x v="4"/>
    <n v="0"/>
    <n v="0"/>
    <n v="-10.914999999999999"/>
    <n v="-10.914999999999999"/>
    <n v="-10.914999999999999"/>
    <n v="-10.914999999999999"/>
    <n v="-7"/>
    <x v="0"/>
    <n v="0"/>
    <n v="0"/>
    <n v="42"/>
    <n v="86"/>
    <n v="0"/>
    <n v="363.71"/>
    <n v="158.91999999999999"/>
    <m/>
    <n v="378.12338651065483"/>
    <n v="207.6569230886405"/>
    <n v="0"/>
    <n v="-3969.8946499999993"/>
    <n v="-1734.6117999999997"/>
    <n v="0"/>
    <n v="-4127.2167637637967"/>
    <n v="-2266.5753155125108"/>
  </r>
  <r>
    <s v="Sistema Isolado - Regular"/>
    <x v="2"/>
    <x v="4"/>
    <x v="7"/>
    <x v="6"/>
    <x v="0"/>
    <x v="0"/>
    <x v="2"/>
    <x v="4"/>
    <n v="0"/>
    <n v="0"/>
    <n v="715.89200000000005"/>
    <n v="715.89200000000005"/>
    <n v="715.89200000000005"/>
    <n v="715.89200000000005"/>
    <n v="9310"/>
    <x v="0"/>
    <n v="0"/>
    <n v="0"/>
    <n v="42"/>
    <n v="86"/>
    <n v="0"/>
    <n v="363.71"/>
    <n v="158.91999999999999"/>
    <m/>
    <n v="378.12338651065483"/>
    <n v="207.6569230886405"/>
    <n v="0"/>
    <n v="260377.07932000002"/>
    <n v="113769.55664"/>
    <n v="0"/>
    <n v="270695.50741588575"/>
    <n v="148659.92998377304"/>
  </r>
  <r>
    <s v="Sistema Isolado - Refaturamento"/>
    <x v="2"/>
    <x v="4"/>
    <x v="7"/>
    <x v="6"/>
    <x v="0"/>
    <x v="0"/>
    <x v="2"/>
    <x v="4"/>
    <n v="0"/>
    <n v="0"/>
    <n v="-1.1240000000000001"/>
    <n v="-1.1240000000000001"/>
    <n v="-1.1240000000000001"/>
    <n v="-1.1240000000000001"/>
    <n v="-42"/>
    <x v="0"/>
    <n v="0"/>
    <n v="0"/>
    <n v="42"/>
    <n v="86"/>
    <n v="0"/>
    <n v="363.71"/>
    <n v="158.91999999999999"/>
    <m/>
    <n v="378.12338651065483"/>
    <n v="207.6569230886405"/>
    <n v="0"/>
    <n v="-408.81004000000001"/>
    <n v="-178.62608"/>
    <n v="0"/>
    <n v="-425.01068643797606"/>
    <n v="-233.40638155163194"/>
  </r>
  <r>
    <s v="Sistema de Compensação"/>
    <x v="2"/>
    <x v="4"/>
    <x v="7"/>
    <x v="6"/>
    <x v="0"/>
    <x v="0"/>
    <x v="2"/>
    <x v="4"/>
    <n v="0"/>
    <n v="0"/>
    <n v="1.546"/>
    <n v="1.546"/>
    <n v="1.546"/>
    <n v="1.546"/>
    <n v="7"/>
    <x v="0"/>
    <n v="0"/>
    <n v="0"/>
    <n v="42"/>
    <n v="86"/>
    <n v="0"/>
    <n v="363.71"/>
    <n v="158.91999999999999"/>
    <m/>
    <n v="378.12338651065483"/>
    <n v="207.6569230886405"/>
    <n v="0"/>
    <n v="562.29566"/>
    <n v="245.69031999999999"/>
    <n v="0"/>
    <n v="584.5787555454724"/>
    <n v="321.03760309503821"/>
  </r>
  <r>
    <s v="Regular"/>
    <x v="2"/>
    <x v="4"/>
    <x v="7"/>
    <x v="6"/>
    <x v="0"/>
    <x v="0"/>
    <x v="2"/>
    <x v="5"/>
    <n v="0"/>
    <n v="0"/>
    <n v="2136.712"/>
    <n v="2136.712"/>
    <n v="2136.712"/>
    <n v="2136.712"/>
    <n v="19961"/>
    <x v="0"/>
    <n v="0"/>
    <n v="0"/>
    <n v="42"/>
    <n v="86"/>
    <n v="0"/>
    <n v="363.71"/>
    <n v="158.91999999999999"/>
    <m/>
    <n v="378.12338651065483"/>
    <n v="207.6569230886405"/>
    <n v="0"/>
    <n v="777143.52151999995"/>
    <n v="339566.27103999996"/>
    <n v="0"/>
    <n v="807940.77743795433"/>
    <n v="443703.03944657522"/>
  </r>
  <r>
    <s v="Refaturamento - Regular"/>
    <x v="2"/>
    <x v="4"/>
    <x v="7"/>
    <x v="6"/>
    <x v="0"/>
    <x v="0"/>
    <x v="2"/>
    <x v="5"/>
    <n v="0"/>
    <n v="0"/>
    <n v="-11.265000000000001"/>
    <n v="-11.265000000000001"/>
    <n v="-11.265000000000001"/>
    <n v="-11.265000000000001"/>
    <n v="-6"/>
    <x v="0"/>
    <n v="0"/>
    <n v="0"/>
    <n v="42"/>
    <n v="86"/>
    <n v="0"/>
    <n v="363.71"/>
    <n v="158.91999999999999"/>
    <m/>
    <n v="378.12338651065483"/>
    <n v="207.6569230886405"/>
    <n v="0"/>
    <n v="-4097.1931500000001"/>
    <n v="-1790.2338"/>
    <n v="0"/>
    <n v="-4259.5599490425266"/>
    <n v="-2339.2552385935355"/>
  </r>
  <r>
    <s v="Sistema Isolado - Regular"/>
    <x v="2"/>
    <x v="4"/>
    <x v="7"/>
    <x v="6"/>
    <x v="0"/>
    <x v="0"/>
    <x v="2"/>
    <x v="5"/>
    <n v="0"/>
    <n v="0"/>
    <n v="669.12400000000002"/>
    <n v="669.12400000000002"/>
    <n v="669.12400000000002"/>
    <n v="669.12400000000002"/>
    <n v="8927"/>
    <x v="0"/>
    <n v="0"/>
    <n v="0"/>
    <n v="42"/>
    <n v="86"/>
    <n v="0"/>
    <n v="363.71"/>
    <n v="158.91999999999999"/>
    <m/>
    <n v="378.12338651065483"/>
    <n v="207.6569230886405"/>
    <n v="0"/>
    <n v="243367.09003999998"/>
    <n v="106337.18608"/>
    <n v="0"/>
    <n v="253011.43287555542"/>
    <n v="138948.23100476348"/>
  </r>
  <r>
    <s v="Sistema Isolado - Refaturamento"/>
    <x v="2"/>
    <x v="4"/>
    <x v="7"/>
    <x v="6"/>
    <x v="0"/>
    <x v="0"/>
    <x v="2"/>
    <x v="5"/>
    <n v="0"/>
    <n v="0"/>
    <n v="-1.2549999999999999"/>
    <n v="-1.2549999999999999"/>
    <n v="-1.2549999999999999"/>
    <n v="-1.2549999999999999"/>
    <n v="-6"/>
    <x v="0"/>
    <n v="0"/>
    <n v="0"/>
    <n v="42"/>
    <n v="86"/>
    <n v="0"/>
    <n v="363.71"/>
    <n v="158.91999999999999"/>
    <m/>
    <n v="378.12338651065483"/>
    <n v="207.6569230886405"/>
    <n v="0"/>
    <n v="-456.45604999999995"/>
    <n v="-199.44459999999998"/>
    <n v="0"/>
    <n v="-474.54485007087175"/>
    <n v="-260.60943847624378"/>
  </r>
  <r>
    <s v="Sistema de Compensação"/>
    <x v="2"/>
    <x v="4"/>
    <x v="7"/>
    <x v="6"/>
    <x v="0"/>
    <x v="0"/>
    <x v="2"/>
    <x v="5"/>
    <n v="0"/>
    <n v="0"/>
    <n v="1.0049999999999999"/>
    <n v="1.0049999999999999"/>
    <n v="1.0049999999999999"/>
    <n v="1.0049999999999999"/>
    <n v="5"/>
    <x v="0"/>
    <n v="0"/>
    <n v="0"/>
    <n v="42"/>
    <n v="86"/>
    <n v="0"/>
    <n v="363.71"/>
    <n v="158.91999999999999"/>
    <m/>
    <n v="378.12338651065483"/>
    <n v="207.6569230886405"/>
    <n v="0"/>
    <n v="365.52854999999994"/>
    <n v="159.71459999999996"/>
    <n v="0"/>
    <n v="380.01400344320808"/>
    <n v="208.69520770408369"/>
  </r>
  <r>
    <s v="Regular"/>
    <x v="2"/>
    <x v="4"/>
    <x v="7"/>
    <x v="6"/>
    <x v="0"/>
    <x v="0"/>
    <x v="2"/>
    <x v="6"/>
    <n v="0"/>
    <n v="0"/>
    <n v="1966.913"/>
    <n v="1966.913"/>
    <n v="1966.913"/>
    <n v="1966.913"/>
    <n v="20598"/>
    <x v="0"/>
    <n v="0"/>
    <n v="0"/>
    <n v="42"/>
    <n v="86"/>
    <n v="0"/>
    <n v="363.71"/>
    <n v="158.91999999999999"/>
    <m/>
    <n v="378.12338651065483"/>
    <n v="207.6569230886405"/>
    <n v="0"/>
    <n v="715385.92722999991"/>
    <n v="312581.81396"/>
    <n v="0"/>
    <n v="743735.80453183164"/>
    <n v="408443.10156304715"/>
  </r>
  <r>
    <s v="Refaturamento - Regular"/>
    <x v="2"/>
    <x v="4"/>
    <x v="7"/>
    <x v="6"/>
    <x v="0"/>
    <x v="0"/>
    <x v="2"/>
    <x v="6"/>
    <n v="0"/>
    <n v="0"/>
    <n v="-4.7759999999999998"/>
    <n v="-4.7759999999999998"/>
    <n v="-4.7759999999999998"/>
    <n v="-4.7759999999999998"/>
    <n v="-12"/>
    <x v="0"/>
    <n v="0"/>
    <n v="0"/>
    <n v="42"/>
    <n v="86"/>
    <n v="0"/>
    <n v="363.71"/>
    <n v="158.91999999999999"/>
    <m/>
    <n v="378.12338651065483"/>
    <n v="207.6569230886405"/>
    <n v="0"/>
    <n v="-1737.0789599999998"/>
    <n v="-759.00191999999993"/>
    <n v="0"/>
    <n v="-1805.9172939748873"/>
    <n v="-991.76946467134701"/>
  </r>
  <r>
    <s v="Sistema Isolado - Regular"/>
    <x v="2"/>
    <x v="4"/>
    <x v="7"/>
    <x v="6"/>
    <x v="0"/>
    <x v="0"/>
    <x v="2"/>
    <x v="6"/>
    <n v="0"/>
    <n v="0"/>
    <n v="631.46799999999996"/>
    <n v="631.46799999999996"/>
    <n v="631.46799999999996"/>
    <n v="631.46799999999996"/>
    <n v="8796"/>
    <x v="0"/>
    <n v="0"/>
    <n v="0"/>
    <n v="42"/>
    <n v="86"/>
    <n v="0"/>
    <n v="363.71"/>
    <n v="158.91999999999999"/>
    <m/>
    <n v="378.12338651065483"/>
    <n v="207.6569230886405"/>
    <n v="0"/>
    <n v="229671.22627999997"/>
    <n v="100352.89455999999"/>
    <n v="0"/>
    <n v="238772.81863311018"/>
    <n v="131128.70190893763"/>
  </r>
  <r>
    <s v="Sistema Isolado - Refaturamento"/>
    <x v="2"/>
    <x v="4"/>
    <x v="7"/>
    <x v="6"/>
    <x v="0"/>
    <x v="0"/>
    <x v="2"/>
    <x v="6"/>
    <n v="0"/>
    <n v="0"/>
    <n v="-0.307"/>
    <n v="-0.307"/>
    <n v="-0.307"/>
    <n v="-0.307"/>
    <n v="-1"/>
    <x v="0"/>
    <n v="0"/>
    <n v="0"/>
    <n v="42"/>
    <n v="86"/>
    <n v="0"/>
    <n v="363.71"/>
    <n v="158.91999999999999"/>
    <m/>
    <n v="378.12338651065483"/>
    <n v="207.6569230886405"/>
    <n v="0"/>
    <n v="-111.65897"/>
    <n v="-48.788439999999994"/>
    <n v="0"/>
    <n v="-116.08387965877102"/>
    <n v="-63.750675388212635"/>
  </r>
  <r>
    <s v="Sistema de Compensação"/>
    <x v="2"/>
    <x v="4"/>
    <x v="7"/>
    <x v="6"/>
    <x v="0"/>
    <x v="0"/>
    <x v="2"/>
    <x v="6"/>
    <n v="0"/>
    <n v="0"/>
    <n v="0.88500000000000001"/>
    <n v="0.88500000000000001"/>
    <n v="0.88500000000000001"/>
    <n v="0.88500000000000001"/>
    <n v="10"/>
    <x v="0"/>
    <n v="0"/>
    <n v="0"/>
    <n v="42"/>
    <n v="86"/>
    <n v="0"/>
    <n v="363.71"/>
    <n v="158.91999999999999"/>
    <m/>
    <n v="378.12338651065483"/>
    <n v="207.6569230886405"/>
    <n v="0"/>
    <n v="321.88335000000001"/>
    <n v="140.64419999999998"/>
    <n v="0"/>
    <n v="334.63919706192951"/>
    <n v="183.77637693344684"/>
  </r>
  <r>
    <s v="Regular"/>
    <x v="2"/>
    <x v="4"/>
    <x v="7"/>
    <x v="6"/>
    <x v="0"/>
    <x v="0"/>
    <x v="2"/>
    <x v="7"/>
    <n v="0"/>
    <n v="0"/>
    <n v="2318.8159999999998"/>
    <n v="2318.8159999999998"/>
    <n v="2318.8159999999998"/>
    <n v="2318.8159999999998"/>
    <n v="21029"/>
    <x v="0"/>
    <n v="0"/>
    <n v="0"/>
    <n v="42"/>
    <n v="86"/>
    <n v="0"/>
    <n v="363.71"/>
    <n v="158.91999999999999"/>
    <m/>
    <n v="378.12338651065483"/>
    <n v="207.6569230886405"/>
    <n v="0"/>
    <n v="843376.56735999987"/>
    <n v="368506.23871999996"/>
    <n v="0"/>
    <n v="876798.55861509056"/>
    <n v="481518.19576870895"/>
  </r>
  <r>
    <s v="Refaturamento - Regular"/>
    <x v="2"/>
    <x v="4"/>
    <x v="7"/>
    <x v="6"/>
    <x v="0"/>
    <x v="0"/>
    <x v="2"/>
    <x v="7"/>
    <n v="0"/>
    <n v="0"/>
    <n v="-4.03"/>
    <n v="-4.03"/>
    <n v="-4.03"/>
    <n v="-4.03"/>
    <n v="-20"/>
    <x v="0"/>
    <n v="0"/>
    <n v="0"/>
    <n v="42"/>
    <n v="86"/>
    <n v="0"/>
    <n v="363.71"/>
    <n v="158.91999999999999"/>
    <m/>
    <n v="378.12338651065483"/>
    <n v="207.6569230886405"/>
    <n v="0"/>
    <n v="-1465.7512999999999"/>
    <n v="-640.44759999999997"/>
    <n v="0"/>
    <n v="-1523.8372476379391"/>
    <n v="-836.85740004722129"/>
  </r>
  <r>
    <s v="Sistema Isolado - Regular"/>
    <x v="2"/>
    <x v="4"/>
    <x v="7"/>
    <x v="6"/>
    <x v="0"/>
    <x v="0"/>
    <x v="2"/>
    <x v="7"/>
    <n v="0"/>
    <n v="0"/>
    <n v="761.06799999999998"/>
    <n v="761.06799999999998"/>
    <n v="761.06799999999998"/>
    <n v="761.06799999999998"/>
    <n v="9648"/>
    <x v="0"/>
    <n v="0"/>
    <n v="0"/>
    <n v="42"/>
    <n v="86"/>
    <n v="0"/>
    <n v="363.71"/>
    <n v="158.91999999999999"/>
    <m/>
    <n v="378.12338651065483"/>
    <n v="207.6569230886405"/>
    <n v="0"/>
    <n v="276808.04227999999"/>
    <n v="120948.92655999999"/>
    <n v="0"/>
    <n v="287777.60952489101"/>
    <n v="158041.03914122545"/>
  </r>
  <r>
    <s v="Sistema Isolado - Refaturamento"/>
    <x v="2"/>
    <x v="4"/>
    <x v="7"/>
    <x v="6"/>
    <x v="0"/>
    <x v="0"/>
    <x v="2"/>
    <x v="7"/>
    <n v="0"/>
    <n v="0"/>
    <n v="-0.58199999999999996"/>
    <n v="-0.58199999999999996"/>
    <n v="-0.58199999999999996"/>
    <n v="-0.58199999999999996"/>
    <n v="-1"/>
    <x v="0"/>
    <n v="0"/>
    <n v="0"/>
    <n v="42"/>
    <n v="86"/>
    <n v="0"/>
    <n v="363.71"/>
    <n v="158.91999999999999"/>
    <m/>
    <n v="378.12338651065483"/>
    <n v="207.6569230886405"/>
    <n v="0"/>
    <n v="-211.67921999999999"/>
    <n v="-92.491439999999983"/>
    <n v="0"/>
    <n v="-220.06781094920109"/>
    <n v="-120.85632923758877"/>
  </r>
  <r>
    <s v="Sistema de Compensação"/>
    <x v="2"/>
    <x v="4"/>
    <x v="7"/>
    <x v="6"/>
    <x v="0"/>
    <x v="0"/>
    <x v="2"/>
    <x v="7"/>
    <n v="0"/>
    <n v="0"/>
    <n v="1.5429999999999999"/>
    <n v="1.5429999999999999"/>
    <n v="1.5429999999999999"/>
    <n v="1.5429999999999999"/>
    <n v="7"/>
    <x v="0"/>
    <n v="0"/>
    <n v="0"/>
    <n v="42"/>
    <n v="86"/>
    <n v="0"/>
    <n v="363.71"/>
    <n v="158.91999999999999"/>
    <m/>
    <n v="378.12338651065483"/>
    <n v="207.6569230886405"/>
    <n v="0"/>
    <n v="561.20452999999998"/>
    <n v="245.21355999999997"/>
    <n v="0"/>
    <n v="583.44438538594034"/>
    <n v="320.41463232577229"/>
  </r>
  <r>
    <s v="Regular"/>
    <x v="2"/>
    <x v="4"/>
    <x v="7"/>
    <x v="6"/>
    <x v="0"/>
    <x v="0"/>
    <x v="2"/>
    <x v="8"/>
    <n v="0"/>
    <n v="0"/>
    <n v="2242.2280000000001"/>
    <n v="2242.2280000000001"/>
    <n v="2242.2280000000001"/>
    <n v="2242.2280000000001"/>
    <n v="17330"/>
    <x v="0"/>
    <n v="0"/>
    <n v="0"/>
    <n v="42"/>
    <n v="86"/>
    <n v="0"/>
    <n v="363.71"/>
    <n v="158.91999999999999"/>
    <m/>
    <n v="378.12338651065483"/>
    <n v="207.6569230886405"/>
    <n v="0"/>
    <n v="815520.74587999994"/>
    <n v="356334.87375999999"/>
    <n v="0"/>
    <n v="847838.84468901262"/>
    <n v="465614.16734319623"/>
  </r>
  <r>
    <s v="Refaturamento - Regular"/>
    <x v="2"/>
    <x v="4"/>
    <x v="7"/>
    <x v="6"/>
    <x v="0"/>
    <x v="0"/>
    <x v="2"/>
    <x v="8"/>
    <n v="0"/>
    <n v="0"/>
    <n v="-1.9630000000000001"/>
    <n v="-1.9630000000000001"/>
    <n v="-1.9630000000000001"/>
    <n v="-1.9630000000000001"/>
    <n v="-16"/>
    <x v="0"/>
    <n v="0"/>
    <n v="0"/>
    <n v="42"/>
    <n v="86"/>
    <n v="0"/>
    <n v="363.71"/>
    <n v="158.91999999999999"/>
    <m/>
    <n v="378.12338651065483"/>
    <n v="207.6569230886405"/>
    <n v="0"/>
    <n v="-713.96272999999997"/>
    <n v="-311.95995999999997"/>
    <n v="0"/>
    <n v="-742.25620772041543"/>
    <n v="-407.63054002300129"/>
  </r>
  <r>
    <s v="Sistema Isolado - Regular"/>
    <x v="2"/>
    <x v="4"/>
    <x v="7"/>
    <x v="6"/>
    <x v="0"/>
    <x v="0"/>
    <x v="2"/>
    <x v="8"/>
    <n v="0"/>
    <n v="0"/>
    <n v="1030.547"/>
    <n v="1030.547"/>
    <n v="1030.547"/>
    <n v="1030.547"/>
    <n v="13096"/>
    <x v="0"/>
    <n v="0"/>
    <n v="0"/>
    <n v="42"/>
    <n v="86"/>
    <n v="0"/>
    <n v="363.71"/>
    <n v="158.91999999999999"/>
    <m/>
    <n v="378.12338651065483"/>
    <n v="207.6569230886405"/>
    <n v="0"/>
    <n v="374820.24936999998"/>
    <n v="163774.52924"/>
    <n v="0"/>
    <n v="389673.9215983958"/>
    <n v="214000.2191182292"/>
  </r>
  <r>
    <s v="Sistema Isolado - Refaturamento"/>
    <x v="2"/>
    <x v="4"/>
    <x v="7"/>
    <x v="6"/>
    <x v="0"/>
    <x v="0"/>
    <x v="2"/>
    <x v="8"/>
    <n v="0"/>
    <n v="0"/>
    <n v="-2.016"/>
    <n v="-2.016"/>
    <n v="-2.016"/>
    <n v="-2.016"/>
    <n v="-8"/>
    <x v="0"/>
    <n v="0"/>
    <n v="0"/>
    <n v="42"/>
    <n v="86"/>
    <n v="0"/>
    <n v="363.71"/>
    <n v="158.91999999999999"/>
    <m/>
    <n v="378.12338651065483"/>
    <n v="207.6569230886405"/>
    <n v="0"/>
    <n v="-733.23935999999992"/>
    <n v="-320.38271999999995"/>
    <n v="0"/>
    <n v="-762.29674720548019"/>
    <n v="-418.63635694669927"/>
  </r>
  <r>
    <s v="Sistema de Compensação"/>
    <x v="2"/>
    <x v="4"/>
    <x v="7"/>
    <x v="6"/>
    <x v="0"/>
    <x v="0"/>
    <x v="2"/>
    <x v="8"/>
    <n v="0"/>
    <n v="0"/>
    <n v="1.619"/>
    <n v="1.619"/>
    <n v="1.619"/>
    <n v="1.619"/>
    <n v="9"/>
    <x v="0"/>
    <n v="0"/>
    <n v="0"/>
    <n v="42"/>
    <n v="86"/>
    <n v="0"/>
    <n v="363.71"/>
    <n v="158.91999999999999"/>
    <m/>
    <n v="378.12338651065483"/>
    <n v="207.6569230886405"/>
    <n v="0"/>
    <n v="588.84649000000002"/>
    <n v="257.29147999999998"/>
    <n v="0"/>
    <n v="612.18176276075019"/>
    <n v="336.19655848050894"/>
  </r>
  <r>
    <s v="Regular"/>
    <x v="2"/>
    <x v="4"/>
    <x v="7"/>
    <x v="6"/>
    <x v="0"/>
    <x v="0"/>
    <x v="2"/>
    <x v="9"/>
    <n v="0"/>
    <n v="0"/>
    <n v="2420.0030000000002"/>
    <n v="2420.0030000000002"/>
    <n v="2420.0030000000002"/>
    <n v="2420.0030000000002"/>
    <n v="21267"/>
    <x v="0"/>
    <n v="0"/>
    <n v="0"/>
    <n v="42"/>
    <n v="86"/>
    <n v="0"/>
    <n v="363.71"/>
    <n v="158.91999999999999"/>
    <m/>
    <n v="378.12338651065483"/>
    <n v="207.6569230886405"/>
    <n v="0"/>
    <n v="880179.29113000003"/>
    <n v="384586.87676000001"/>
    <n v="0"/>
    <n v="915059.72972594423"/>
    <n v="502530.3768452793"/>
  </r>
  <r>
    <s v="Refaturamento - Regular"/>
    <x v="2"/>
    <x v="4"/>
    <x v="7"/>
    <x v="6"/>
    <x v="0"/>
    <x v="0"/>
    <x v="2"/>
    <x v="9"/>
    <n v="0"/>
    <n v="0"/>
    <n v="-5.4390000000000001"/>
    <n v="-5.4390000000000001"/>
    <n v="-5.4390000000000001"/>
    <n v="-5.4390000000000001"/>
    <n v="-3"/>
    <x v="0"/>
    <n v="0"/>
    <n v="0"/>
    <n v="42"/>
    <n v="86"/>
    <n v="0"/>
    <n v="363.71"/>
    <n v="158.91999999999999"/>
    <m/>
    <n v="378.12338651065483"/>
    <n v="207.6569230886405"/>
    <n v="0"/>
    <n v="-1978.2186899999999"/>
    <n v="-864.36587999999995"/>
    <n v="0"/>
    <n v="-2056.6130992314515"/>
    <n v="-1129.4460046791157"/>
  </r>
  <r>
    <s v="Sistema Isolado - Regular"/>
    <x v="2"/>
    <x v="4"/>
    <x v="7"/>
    <x v="6"/>
    <x v="0"/>
    <x v="0"/>
    <x v="2"/>
    <x v="9"/>
    <n v="0"/>
    <n v="0"/>
    <n v="785.86599999999999"/>
    <n v="785.86599999999999"/>
    <n v="785.86599999999999"/>
    <n v="785.86599999999999"/>
    <n v="9611"/>
    <x v="0"/>
    <n v="0"/>
    <n v="0"/>
    <n v="42"/>
    <n v="86"/>
    <n v="0"/>
    <n v="363.71"/>
    <n v="158.91999999999999"/>
    <m/>
    <n v="378.12338651065483"/>
    <n v="207.6569230886405"/>
    <n v="0"/>
    <n v="285827.32285999996"/>
    <n v="124889.82471999999"/>
    <n v="0"/>
    <n v="297154.31326358224"/>
    <n v="163190.51551997755"/>
  </r>
  <r>
    <s v="Sistema Isolado - Refaturamento"/>
    <x v="2"/>
    <x v="4"/>
    <x v="7"/>
    <x v="6"/>
    <x v="0"/>
    <x v="0"/>
    <x v="2"/>
    <x v="9"/>
    <n v="0"/>
    <n v="0"/>
    <n v="-0.48"/>
    <n v="-0.48"/>
    <n v="-0.48"/>
    <n v="-0.48"/>
    <n v="0"/>
    <x v="0"/>
    <n v="0"/>
    <n v="0"/>
    <n v="42"/>
    <n v="86"/>
    <n v="0"/>
    <n v="363.71"/>
    <n v="158.91999999999999"/>
    <m/>
    <n v="378.12338651065483"/>
    <n v="207.6569230886405"/>
    <n v="0"/>
    <n v="-174.58079999999998"/>
    <n v="-76.281599999999997"/>
    <n v="0"/>
    <n v="-181.4992255251143"/>
    <n v="-99.675323082547436"/>
  </r>
  <r>
    <s v="Sistema de Compensação"/>
    <x v="2"/>
    <x v="4"/>
    <x v="7"/>
    <x v="6"/>
    <x v="0"/>
    <x v="0"/>
    <x v="2"/>
    <x v="9"/>
    <n v="0"/>
    <n v="0"/>
    <n v="1.736"/>
    <n v="1.736"/>
    <n v="1.736"/>
    <n v="1.736"/>
    <n v="7"/>
    <x v="0"/>
    <n v="0"/>
    <n v="0"/>
    <n v="42"/>
    <n v="86"/>
    <n v="0"/>
    <n v="363.71"/>
    <n v="158.91999999999999"/>
    <m/>
    <n v="378.12338651065483"/>
    <n v="207.6569230886405"/>
    <n v="0"/>
    <n v="631.40055999999993"/>
    <n v="275.88511999999997"/>
    <n v="0"/>
    <n v="656.42219898249675"/>
    <n v="360.49241848187989"/>
  </r>
  <r>
    <s v="Regular"/>
    <x v="2"/>
    <x v="4"/>
    <x v="7"/>
    <x v="6"/>
    <x v="0"/>
    <x v="0"/>
    <x v="2"/>
    <x v="10"/>
    <n v="0"/>
    <n v="0"/>
    <n v="2705.0569999999998"/>
    <n v="2705.0569999999998"/>
    <n v="2705.0569999999998"/>
    <n v="2705.0569999999998"/>
    <n v="21473"/>
    <x v="0"/>
    <n v="0"/>
    <n v="0"/>
    <n v="42"/>
    <n v="86"/>
    <n v="0"/>
    <n v="363.71"/>
    <n v="158.91999999999999"/>
    <m/>
    <n v="378.12338651065483"/>
    <n v="207.6569230886405"/>
    <n v="0"/>
    <n v="983856.28146999981"/>
    <n v="429887.65843999991"/>
    <n v="0"/>
    <n v="1022845.3135443523"/>
    <n v="561723.81339938857"/>
  </r>
  <r>
    <s v="Refaturamento - Regular"/>
    <x v="2"/>
    <x v="4"/>
    <x v="7"/>
    <x v="6"/>
    <x v="0"/>
    <x v="0"/>
    <x v="2"/>
    <x v="10"/>
    <n v="0"/>
    <n v="0"/>
    <n v="-8.7959999999999994"/>
    <n v="-8.7959999999999994"/>
    <n v="-8.7959999999999994"/>
    <n v="-8.7959999999999994"/>
    <n v="-7"/>
    <x v="0"/>
    <n v="0"/>
    <n v="0"/>
    <n v="42"/>
    <n v="86"/>
    <n v="0"/>
    <n v="363.71"/>
    <n v="158.91999999999999"/>
    <m/>
    <n v="378.12338651065483"/>
    <n v="207.6569230886405"/>
    <n v="0"/>
    <n v="-3199.1931599999998"/>
    <n v="-1397.8603199999998"/>
    <n v="0"/>
    <n v="-3325.9733077477194"/>
    <n v="-1826.5502954876818"/>
  </r>
  <r>
    <s v="Sistema Isolado - Regular"/>
    <x v="2"/>
    <x v="4"/>
    <x v="7"/>
    <x v="6"/>
    <x v="0"/>
    <x v="0"/>
    <x v="2"/>
    <x v="10"/>
    <n v="0"/>
    <n v="0"/>
    <n v="864.66600000000005"/>
    <n v="864.66600000000005"/>
    <n v="864.66600000000005"/>
    <n v="864.66600000000005"/>
    <n v="9951"/>
    <x v="0"/>
    <n v="0"/>
    <n v="0"/>
    <n v="42"/>
    <n v="86"/>
    <n v="0"/>
    <n v="363.71"/>
    <n v="158.91999999999999"/>
    <m/>
    <n v="378.12338651065483"/>
    <n v="207.6569230886405"/>
    <n v="0"/>
    <n v="314487.67086000001"/>
    <n v="137412.72072000001"/>
    <n v="0"/>
    <n v="326950.43612062186"/>
    <n v="179553.88105936244"/>
  </r>
  <r>
    <s v="Sistema Isolado - Refaturamento"/>
    <x v="2"/>
    <x v="4"/>
    <x v="7"/>
    <x v="6"/>
    <x v="0"/>
    <x v="0"/>
    <x v="2"/>
    <x v="10"/>
    <n v="0"/>
    <n v="0"/>
    <n v="-6.1689999999999996"/>
    <n v="-6.1689999999999996"/>
    <n v="-6.1689999999999996"/>
    <n v="-6.1689999999999996"/>
    <n v="0"/>
    <x v="0"/>
    <n v="0"/>
    <n v="0"/>
    <n v="42"/>
    <n v="86"/>
    <n v="0"/>
    <n v="363.71"/>
    <n v="158.91999999999999"/>
    <m/>
    <n v="378.12338651065483"/>
    <n v="207.6569230886405"/>
    <n v="0"/>
    <n v="-2243.7269899999997"/>
    <n v="-980.37747999999988"/>
    <n v="0"/>
    <n v="-2332.6431713842294"/>
    <n v="-1281.0355585338232"/>
  </r>
  <r>
    <s v="Sistema de Compensação"/>
    <x v="2"/>
    <x v="4"/>
    <x v="7"/>
    <x v="6"/>
    <x v="0"/>
    <x v="0"/>
    <x v="2"/>
    <x v="10"/>
    <n v="0"/>
    <n v="0"/>
    <n v="2.1469999999999998"/>
    <n v="2.1469999999999998"/>
    <n v="2.1469999999999998"/>
    <n v="2.1469999999999998"/>
    <n v="5"/>
    <x v="0"/>
    <n v="0"/>
    <n v="0"/>
    <n v="42"/>
    <n v="86"/>
    <n v="0"/>
    <n v="363.71"/>
    <n v="158.91999999999999"/>
    <m/>
    <n v="378.12338651065483"/>
    <n v="207.6569230886405"/>
    <n v="0"/>
    <n v="780.88536999999985"/>
    <n v="341.20123999999993"/>
    <n v="0"/>
    <n v="811.83091083837587"/>
    <n v="445.83941387131108"/>
  </r>
  <r>
    <s v="PROJETADO"/>
    <x v="2"/>
    <x v="4"/>
    <x v="7"/>
    <x v="6"/>
    <x v="0"/>
    <x v="0"/>
    <x v="2"/>
    <x v="11"/>
    <n v="0"/>
    <n v="0"/>
    <n v="2705.0569999999998"/>
    <n v="2705.0569999999998"/>
    <n v="2705.0569999999998"/>
    <n v="2705.0569999999998"/>
    <n v="21473"/>
    <x v="0"/>
    <n v="0"/>
    <n v="0"/>
    <n v="42"/>
    <n v="86"/>
    <n v="0"/>
    <n v="363.71"/>
    <n v="158.91999999999999"/>
    <m/>
    <n v="378.12338651065483"/>
    <n v="207.6569230886405"/>
    <n v="0"/>
    <n v="983856.28146999981"/>
    <n v="429887.65843999991"/>
    <n v="0"/>
    <n v="1022845.3135443523"/>
    <n v="561723.81339938857"/>
  </r>
  <r>
    <s v="PROJETADO"/>
    <x v="2"/>
    <x v="4"/>
    <x v="7"/>
    <x v="6"/>
    <x v="0"/>
    <x v="0"/>
    <x v="2"/>
    <x v="11"/>
    <n v="0"/>
    <n v="0"/>
    <n v="-8.7959999999999994"/>
    <n v="-8.7959999999999994"/>
    <n v="-8.7959999999999994"/>
    <n v="-8.7959999999999994"/>
    <n v="-7"/>
    <x v="0"/>
    <n v="0"/>
    <n v="0"/>
    <n v="42"/>
    <n v="86"/>
    <n v="0"/>
    <n v="363.71"/>
    <n v="158.91999999999999"/>
    <m/>
    <n v="378.12338651065483"/>
    <n v="207.6569230886405"/>
    <n v="0"/>
    <n v="-3199.1931599999998"/>
    <n v="-1397.8603199999998"/>
    <n v="0"/>
    <n v="-3325.9733077477194"/>
    <n v="-1826.5502954876818"/>
  </r>
  <r>
    <s v="PROJETADO"/>
    <x v="2"/>
    <x v="4"/>
    <x v="7"/>
    <x v="6"/>
    <x v="0"/>
    <x v="0"/>
    <x v="2"/>
    <x v="11"/>
    <n v="0"/>
    <n v="0"/>
    <n v="864.66600000000005"/>
    <n v="864.66600000000005"/>
    <n v="864.66600000000005"/>
    <n v="864.66600000000005"/>
    <n v="9951"/>
    <x v="0"/>
    <n v="0"/>
    <n v="0"/>
    <n v="42"/>
    <n v="86"/>
    <n v="0"/>
    <n v="363.71"/>
    <n v="158.91999999999999"/>
    <m/>
    <n v="378.12338651065483"/>
    <n v="207.6569230886405"/>
    <n v="0"/>
    <n v="314487.67086000001"/>
    <n v="137412.72072000001"/>
    <n v="0"/>
    <n v="326950.43612062186"/>
    <n v="179553.88105936244"/>
  </r>
  <r>
    <s v="PROJETADO"/>
    <x v="2"/>
    <x v="4"/>
    <x v="7"/>
    <x v="6"/>
    <x v="0"/>
    <x v="0"/>
    <x v="2"/>
    <x v="11"/>
    <n v="0"/>
    <n v="0"/>
    <n v="-6.1689999999999996"/>
    <n v="-6.1689999999999996"/>
    <n v="-6.1689999999999996"/>
    <n v="-6.1689999999999996"/>
    <n v="0"/>
    <x v="0"/>
    <n v="0"/>
    <n v="0"/>
    <n v="42"/>
    <n v="86"/>
    <n v="0"/>
    <n v="363.71"/>
    <n v="158.91999999999999"/>
    <m/>
    <n v="378.12338651065483"/>
    <n v="207.6569230886405"/>
    <n v="0"/>
    <n v="-2243.7269899999997"/>
    <n v="-980.37747999999988"/>
    <n v="0"/>
    <n v="-2332.6431713842294"/>
    <n v="-1281.0355585338232"/>
  </r>
  <r>
    <s v="PROJETADO"/>
    <x v="2"/>
    <x v="4"/>
    <x v="7"/>
    <x v="6"/>
    <x v="0"/>
    <x v="0"/>
    <x v="2"/>
    <x v="11"/>
    <n v="0"/>
    <n v="0"/>
    <n v="2.1469999999999998"/>
    <n v="2.1469999999999998"/>
    <n v="2.1469999999999998"/>
    <n v="2.1469999999999998"/>
    <n v="5"/>
    <x v="0"/>
    <n v="0"/>
    <n v="0"/>
    <n v="42"/>
    <n v="86"/>
    <n v="0"/>
    <n v="363.71"/>
    <n v="158.91999999999999"/>
    <m/>
    <n v="378.12338651065483"/>
    <n v="207.6569230886405"/>
    <n v="0"/>
    <n v="780.88536999999985"/>
    <n v="341.20123999999993"/>
    <n v="0"/>
    <n v="811.83091083837587"/>
    <n v="445.83941387131108"/>
  </r>
  <r>
    <s v="Regular"/>
    <x v="2"/>
    <x v="4"/>
    <x v="7"/>
    <x v="7"/>
    <x v="0"/>
    <x v="0"/>
    <x v="2"/>
    <x v="0"/>
    <n v="0"/>
    <n v="0"/>
    <n v="1049.191"/>
    <n v="1049.191"/>
    <n v="1049.191"/>
    <n v="1049.191"/>
    <n v="8530"/>
    <x v="0"/>
    <n v="0"/>
    <n v="0"/>
    <n v="43"/>
    <n v="87"/>
    <n v="0"/>
    <n v="404.12"/>
    <n v="176.58"/>
    <m/>
    <n v="420.1370961229498"/>
    <n v="230.72991454293387"/>
    <n v="0"/>
    <n v="423999.06692000001"/>
    <n v="185266.14678000001"/>
    <n v="0"/>
    <n v="440804.06001833384"/>
    <n v="242079.74976921533"/>
  </r>
  <r>
    <s v="Refaturamento - Regular"/>
    <x v="2"/>
    <x v="4"/>
    <x v="7"/>
    <x v="7"/>
    <x v="0"/>
    <x v="0"/>
    <x v="2"/>
    <x v="0"/>
    <n v="0"/>
    <n v="0"/>
    <n v="-42.261000000000003"/>
    <n v="-42.261000000000003"/>
    <n v="-42.261000000000003"/>
    <n v="-42.261000000000003"/>
    <n v="-91"/>
    <x v="0"/>
    <n v="0"/>
    <n v="0"/>
    <n v="43"/>
    <n v="87"/>
    <n v="0"/>
    <n v="404.12"/>
    <n v="176.58"/>
    <m/>
    <n v="420.1370961229498"/>
    <n v="230.72991454293387"/>
    <n v="0"/>
    <n v="-17078.515320000002"/>
    <n v="-7462.4473800000014"/>
    <n v="0"/>
    <n v="-17755.413819251982"/>
    <n v="-9750.8769184989287"/>
  </r>
  <r>
    <s v="Sistema Isolado - Regular"/>
    <x v="2"/>
    <x v="4"/>
    <x v="7"/>
    <x v="7"/>
    <x v="0"/>
    <x v="0"/>
    <x v="2"/>
    <x v="0"/>
    <n v="0"/>
    <n v="0"/>
    <n v="269.61799999999999"/>
    <n v="269.61799999999999"/>
    <n v="269.61799999999999"/>
    <n v="269.61799999999999"/>
    <n v="2565"/>
    <x v="0"/>
    <n v="0"/>
    <n v="0"/>
    <n v="43"/>
    <n v="87"/>
    <n v="0"/>
    <n v="404.12"/>
    <n v="176.58"/>
    <m/>
    <n v="420.1370961229498"/>
    <n v="230.72991454293387"/>
    <n v="0"/>
    <n v="108958.02615999999"/>
    <n v="47609.146440000004"/>
    <n v="0"/>
    <n v="113276.52358247747"/>
    <n v="62208.938099236744"/>
  </r>
  <r>
    <s v="Sistema Isolado - Refaturamento"/>
    <x v="2"/>
    <x v="4"/>
    <x v="7"/>
    <x v="7"/>
    <x v="0"/>
    <x v="0"/>
    <x v="2"/>
    <x v="0"/>
    <n v="0"/>
    <n v="0"/>
    <n v="-0.51400000000000001"/>
    <n v="-0.51400000000000001"/>
    <n v="-0.51400000000000001"/>
    <n v="-0.51400000000000001"/>
    <n v="-4"/>
    <x v="0"/>
    <n v="0"/>
    <n v="0"/>
    <n v="43"/>
    <n v="87"/>
    <n v="0"/>
    <n v="404.12"/>
    <n v="176.58"/>
    <m/>
    <n v="420.1370961229498"/>
    <n v="230.72991454293387"/>
    <n v="0"/>
    <n v="-207.71768"/>
    <n v="-90.76212000000001"/>
    <n v="0"/>
    <n v="-215.95046740719621"/>
    <n v="-118.59517607506801"/>
  </r>
  <r>
    <s v="Sistema de Compensação"/>
    <x v="2"/>
    <x v="4"/>
    <x v="7"/>
    <x v="7"/>
    <x v="0"/>
    <x v="0"/>
    <x v="2"/>
    <x v="0"/>
    <n v="0"/>
    <n v="0"/>
    <n v="4.2859999999999996"/>
    <n v="4.2859999999999996"/>
    <n v="4.2859999999999996"/>
    <n v="4.2859999999999996"/>
    <n v="28"/>
    <x v="0"/>
    <n v="0"/>
    <n v="0"/>
    <n v="43"/>
    <n v="87"/>
    <n v="0"/>
    <n v="404.12"/>
    <n v="176.58"/>
    <m/>
    <n v="420.1370961229498"/>
    <n v="230.72991454293387"/>
    <n v="0"/>
    <n v="1732.0583199999999"/>
    <n v="756.82187999999996"/>
    <n v="0"/>
    <n v="1800.7075939829626"/>
    <n v="988.90841373101443"/>
  </r>
  <r>
    <s v="Sistema de Compensação"/>
    <x v="2"/>
    <x v="4"/>
    <x v="7"/>
    <x v="7"/>
    <x v="0"/>
    <x v="0"/>
    <x v="2"/>
    <x v="0"/>
    <n v="0"/>
    <n v="0"/>
    <n v="-2.1970000000000001"/>
    <n v="-2.1970000000000001"/>
    <n v="-2.1970000000000001"/>
    <n v="-2.1970000000000001"/>
    <n v="-1"/>
    <x v="0"/>
    <n v="0"/>
    <n v="0"/>
    <n v="43"/>
    <n v="87"/>
    <n v="0"/>
    <n v="404.12"/>
    <n v="176.58"/>
    <m/>
    <n v="420.1370961229498"/>
    <n v="230.72991454293387"/>
    <n v="0"/>
    <n v="-887.85164000000009"/>
    <n v="-387.94626000000005"/>
    <n v="0"/>
    <n v="-923.04120018212075"/>
    <n v="-506.91362225082571"/>
  </r>
  <r>
    <s v="Regular"/>
    <x v="2"/>
    <x v="4"/>
    <x v="7"/>
    <x v="7"/>
    <x v="0"/>
    <x v="0"/>
    <x v="2"/>
    <x v="1"/>
    <n v="0"/>
    <n v="0"/>
    <n v="1096.509"/>
    <n v="1096.509"/>
    <n v="1096.509"/>
    <n v="1096.509"/>
    <n v="8858"/>
    <x v="0"/>
    <n v="0"/>
    <n v="0"/>
    <n v="43"/>
    <n v="87"/>
    <n v="0"/>
    <n v="404.12"/>
    <n v="176.58"/>
    <m/>
    <n v="420.1370961229498"/>
    <n v="230.72991454293387"/>
    <n v="0"/>
    <n v="443121.21708000003"/>
    <n v="193621.55922000002"/>
    <n v="0"/>
    <n v="460684.10713267955"/>
    <n v="252997.42786555787"/>
  </r>
  <r>
    <s v="Refaturamento - Regular"/>
    <x v="2"/>
    <x v="4"/>
    <x v="7"/>
    <x v="7"/>
    <x v="0"/>
    <x v="0"/>
    <x v="2"/>
    <x v="1"/>
    <n v="0"/>
    <n v="0"/>
    <n v="-17.289000000000001"/>
    <n v="-17.289000000000001"/>
    <n v="-17.289000000000001"/>
    <n v="-17.289000000000001"/>
    <n v="-52"/>
    <x v="0"/>
    <n v="0"/>
    <n v="0"/>
    <n v="43"/>
    <n v="87"/>
    <n v="0"/>
    <n v="404.12"/>
    <n v="176.58"/>
    <m/>
    <n v="420.1370961229498"/>
    <n v="230.72991454293387"/>
    <n v="0"/>
    <n v="-6986.8306800000009"/>
    <n v="-3052.8916200000003"/>
    <n v="0"/>
    <n v="-7263.7502548696793"/>
    <n v="-3989.0894925327839"/>
  </r>
  <r>
    <s v="Sistema Isolado - Regular"/>
    <x v="2"/>
    <x v="4"/>
    <x v="7"/>
    <x v="7"/>
    <x v="0"/>
    <x v="0"/>
    <x v="2"/>
    <x v="1"/>
    <n v="0"/>
    <n v="0"/>
    <n v="281.786"/>
    <n v="281.786"/>
    <n v="281.786"/>
    <n v="281.786"/>
    <n v="2654"/>
    <x v="0"/>
    <n v="0"/>
    <n v="0"/>
    <n v="43"/>
    <n v="87"/>
    <n v="0"/>
    <n v="404.12"/>
    <n v="176.58"/>
    <m/>
    <n v="420.1370961229498"/>
    <n v="230.72991454293387"/>
    <n v="0"/>
    <n v="113875.35832"/>
    <n v="49757.77188"/>
    <n v="0"/>
    <n v="118388.75176810153"/>
    <n v="65016.459699395164"/>
  </r>
  <r>
    <s v="Sistema Isolado - Refaturamento"/>
    <x v="2"/>
    <x v="4"/>
    <x v="7"/>
    <x v="7"/>
    <x v="0"/>
    <x v="0"/>
    <x v="2"/>
    <x v="1"/>
    <n v="0"/>
    <n v="0"/>
    <n v="-4.2779999999999996"/>
    <n v="-4.2779999999999996"/>
    <n v="-4.2779999999999996"/>
    <n v="-4.2779999999999996"/>
    <n v="-5"/>
    <x v="0"/>
    <n v="0"/>
    <n v="0"/>
    <n v="43"/>
    <n v="87"/>
    <n v="0"/>
    <n v="404.12"/>
    <n v="176.58"/>
    <m/>
    <n v="420.1370961229498"/>
    <n v="230.72991454293387"/>
    <n v="0"/>
    <n v="-1728.8253599999998"/>
    <n v="-755.40923999999995"/>
    <n v="0"/>
    <n v="-1797.3464972139791"/>
    <n v="-987.06257441467096"/>
  </r>
  <r>
    <s v="Sistema de Compensação"/>
    <x v="2"/>
    <x v="4"/>
    <x v="7"/>
    <x v="7"/>
    <x v="0"/>
    <x v="0"/>
    <x v="2"/>
    <x v="1"/>
    <n v="0"/>
    <n v="0"/>
    <n v="3.492"/>
    <n v="3.492"/>
    <n v="3.492"/>
    <n v="3.492"/>
    <n v="30"/>
    <x v="0"/>
    <n v="0"/>
    <n v="0"/>
    <n v="43"/>
    <n v="87"/>
    <n v="0"/>
    <n v="404.12"/>
    <n v="176.58"/>
    <m/>
    <n v="420.1370961229498"/>
    <n v="230.72991454293387"/>
    <n v="0"/>
    <n v="1411.18704"/>
    <n v="616.61736000000008"/>
    <n v="0"/>
    <n v="1467.1187396613407"/>
    <n v="805.70886158392511"/>
  </r>
  <r>
    <s v="Sistema de Compensação"/>
    <x v="2"/>
    <x v="4"/>
    <x v="7"/>
    <x v="7"/>
    <x v="0"/>
    <x v="0"/>
    <x v="2"/>
    <x v="1"/>
    <n v="0"/>
    <n v="0"/>
    <n v="-0.03"/>
    <n v="-0.03"/>
    <n v="-0.03"/>
    <n v="-0.03"/>
    <n v="-1"/>
    <x v="0"/>
    <n v="0"/>
    <n v="0"/>
    <n v="43"/>
    <n v="87"/>
    <n v="0"/>
    <n v="404.12"/>
    <n v="176.58"/>
    <m/>
    <n v="420.1370961229498"/>
    <n v="230.72991454293387"/>
    <n v="0"/>
    <n v="-12.1236"/>
    <n v="-5.2974000000000006"/>
    <n v="0"/>
    <n v="-12.604112883688494"/>
    <n v="-6.9218974362880159"/>
  </r>
  <r>
    <s v="Regular"/>
    <x v="2"/>
    <x v="4"/>
    <x v="7"/>
    <x v="7"/>
    <x v="0"/>
    <x v="0"/>
    <x v="2"/>
    <x v="2"/>
    <n v="0"/>
    <n v="0"/>
    <n v="990.79200000000003"/>
    <n v="990.79200000000003"/>
    <n v="990.79200000000003"/>
    <n v="990.79200000000003"/>
    <n v="8031"/>
    <x v="0"/>
    <n v="0"/>
    <n v="0"/>
    <n v="43"/>
    <n v="87"/>
    <n v="0"/>
    <n v="404.12"/>
    <n v="176.58"/>
    <m/>
    <n v="420.1370961229498"/>
    <n v="230.72991454293387"/>
    <n v="0"/>
    <n v="400398.86304000003"/>
    <n v="174954.05136000001"/>
    <n v="0"/>
    <n v="416268.47374184971"/>
    <n v="228605.35348982253"/>
  </r>
  <r>
    <s v="Refaturamento - Regular"/>
    <x v="2"/>
    <x v="4"/>
    <x v="7"/>
    <x v="7"/>
    <x v="0"/>
    <x v="0"/>
    <x v="2"/>
    <x v="2"/>
    <n v="0"/>
    <n v="0"/>
    <n v="-3.859"/>
    <n v="-3.859"/>
    <n v="-3.859"/>
    <n v="-3.859"/>
    <n v="-40"/>
    <x v="0"/>
    <n v="0"/>
    <n v="0"/>
    <n v="43"/>
    <n v="87"/>
    <n v="0"/>
    <n v="404.12"/>
    <n v="176.58"/>
    <m/>
    <n v="420.1370961229498"/>
    <n v="230.72991454293387"/>
    <n v="0"/>
    <n v="-1559.49908"/>
    <n v="-681.42222000000004"/>
    <n v="0"/>
    <n v="-1621.3090539384632"/>
    <n v="-890.38674022118175"/>
  </r>
  <r>
    <s v="Sistema Isolado - Regular"/>
    <x v="2"/>
    <x v="4"/>
    <x v="7"/>
    <x v="7"/>
    <x v="0"/>
    <x v="0"/>
    <x v="2"/>
    <x v="2"/>
    <n v="0"/>
    <n v="0"/>
    <n v="227.375"/>
    <n v="227.375"/>
    <n v="227.375"/>
    <n v="227.375"/>
    <n v="2266"/>
    <x v="0"/>
    <n v="0"/>
    <n v="0"/>
    <n v="43"/>
    <n v="87"/>
    <n v="0"/>
    <n v="404.12"/>
    <n v="176.58"/>
    <m/>
    <n v="420.1370961229498"/>
    <n v="230.72991454293387"/>
    <n v="0"/>
    <n v="91886.785000000003"/>
    <n v="40149.877500000002"/>
    <n v="0"/>
    <n v="95528.672230955708"/>
    <n v="52462.214319199586"/>
  </r>
  <r>
    <s v="Sistema Isolado - Refaturamento"/>
    <x v="2"/>
    <x v="4"/>
    <x v="7"/>
    <x v="7"/>
    <x v="0"/>
    <x v="0"/>
    <x v="2"/>
    <x v="2"/>
    <n v="0"/>
    <n v="0"/>
    <n v="-14.207000000000001"/>
    <n v="-14.207000000000001"/>
    <n v="-14.207000000000001"/>
    <n v="-14.207000000000001"/>
    <n v="-5"/>
    <x v="0"/>
    <n v="0"/>
    <n v="0"/>
    <n v="43"/>
    <n v="87"/>
    <n v="0"/>
    <n v="404.12"/>
    <n v="176.58"/>
    <m/>
    <n v="420.1370961229498"/>
    <n v="230.72991454293387"/>
    <n v="0"/>
    <n v="-5741.33284"/>
    <n v="-2508.6720600000003"/>
    <n v="0"/>
    <n v="-5968.8877246187485"/>
    <n v="-3277.9798959114614"/>
  </r>
  <r>
    <s v="Sistema de Compensação"/>
    <x v="2"/>
    <x v="4"/>
    <x v="7"/>
    <x v="7"/>
    <x v="0"/>
    <x v="0"/>
    <x v="2"/>
    <x v="2"/>
    <n v="0"/>
    <n v="0"/>
    <n v="2.3650000000000002"/>
    <n v="2.3650000000000002"/>
    <n v="2.3650000000000002"/>
    <n v="2.3650000000000002"/>
    <n v="34"/>
    <x v="0"/>
    <n v="0"/>
    <n v="0"/>
    <n v="43"/>
    <n v="87"/>
    <n v="0"/>
    <n v="404.12"/>
    <n v="176.58"/>
    <m/>
    <n v="420.1370961229498"/>
    <n v="230.72991454293387"/>
    <n v="0"/>
    <n v="955.74380000000008"/>
    <n v="417.61170000000004"/>
    <n v="0"/>
    <n v="993.62423233077641"/>
    <n v="545.67624789403862"/>
  </r>
  <r>
    <s v="Sistema de Compensação"/>
    <x v="2"/>
    <x v="4"/>
    <x v="7"/>
    <x v="7"/>
    <x v="0"/>
    <x v="0"/>
    <x v="2"/>
    <x v="2"/>
    <n v="0"/>
    <n v="0"/>
    <n v="-2.9000000000000001E-2"/>
    <n v="-2.9000000000000001E-2"/>
    <n v="-2.9000000000000001E-2"/>
    <n v="-2.9000000000000001E-2"/>
    <n v="-1"/>
    <x v="0"/>
    <n v="0"/>
    <n v="0"/>
    <n v="43"/>
    <n v="87"/>
    <n v="0"/>
    <n v="404.12"/>
    <n v="176.58"/>
    <m/>
    <n v="420.1370961229498"/>
    <n v="230.72991454293387"/>
    <n v="0"/>
    <n v="-11.719480000000001"/>
    <n v="-5.120820000000001"/>
    <n v="0"/>
    <n v="-12.183975787565545"/>
    <n v="-6.6911675217450828"/>
  </r>
  <r>
    <s v="Regular"/>
    <x v="2"/>
    <x v="4"/>
    <x v="7"/>
    <x v="7"/>
    <x v="0"/>
    <x v="0"/>
    <x v="2"/>
    <x v="3"/>
    <n v="0"/>
    <n v="0"/>
    <n v="1061.9000000000001"/>
    <n v="1061.9000000000001"/>
    <n v="1061.9000000000001"/>
    <n v="1061.9000000000001"/>
    <n v="9110"/>
    <x v="0"/>
    <n v="0"/>
    <n v="0"/>
    <n v="43"/>
    <n v="87"/>
    <n v="0"/>
    <n v="404.12"/>
    <n v="176.58"/>
    <m/>
    <n v="420.1370961229498"/>
    <n v="230.72991454293387"/>
    <n v="0"/>
    <n v="429135.02800000005"/>
    <n v="187510.30200000003"/>
    <n v="0"/>
    <n v="446143.5823729604"/>
    <n v="245012.0962531415"/>
  </r>
  <r>
    <s v="Refaturamento - Regular"/>
    <x v="2"/>
    <x v="4"/>
    <x v="7"/>
    <x v="7"/>
    <x v="0"/>
    <x v="0"/>
    <x v="2"/>
    <x v="3"/>
    <n v="0"/>
    <n v="0"/>
    <n v="-5.4640000000000004"/>
    <n v="-5.4640000000000004"/>
    <n v="-5.4640000000000004"/>
    <n v="-5.4640000000000004"/>
    <n v="-23"/>
    <x v="0"/>
    <n v="0"/>
    <n v="0"/>
    <n v="43"/>
    <n v="87"/>
    <n v="0"/>
    <n v="404.12"/>
    <n v="176.58"/>
    <m/>
    <n v="420.1370961229498"/>
    <n v="230.72991454293387"/>
    <n v="0"/>
    <n v="-2208.11168"/>
    <n v="-964.83312000000012"/>
    <n v="0"/>
    <n v="-2295.6290932157981"/>
    <n v="-1260.7082530625908"/>
  </r>
  <r>
    <s v="Sistema Isolado - Regular"/>
    <x v="2"/>
    <x v="4"/>
    <x v="7"/>
    <x v="7"/>
    <x v="0"/>
    <x v="0"/>
    <x v="2"/>
    <x v="3"/>
    <n v="0"/>
    <n v="0"/>
    <n v="257.94900000000001"/>
    <n v="257.94900000000001"/>
    <n v="257.94900000000001"/>
    <n v="257.94900000000001"/>
    <n v="2548"/>
    <x v="0"/>
    <n v="0"/>
    <n v="0"/>
    <n v="43"/>
    <n v="87"/>
    <n v="0"/>
    <n v="404.12"/>
    <n v="176.58"/>
    <m/>
    <n v="420.1370961229498"/>
    <n v="230.72991454293387"/>
    <n v="0"/>
    <n v="104242.34988000001"/>
    <n v="45548.634420000002"/>
    <n v="0"/>
    <n v="108373.94380781878"/>
    <n v="59516.550726435249"/>
  </r>
  <r>
    <s v="Sistema Isolado - Refaturamento"/>
    <x v="2"/>
    <x v="4"/>
    <x v="7"/>
    <x v="7"/>
    <x v="0"/>
    <x v="0"/>
    <x v="2"/>
    <x v="3"/>
    <n v="0"/>
    <n v="0"/>
    <n v="-0.50700000000000001"/>
    <n v="-0.50700000000000001"/>
    <n v="-0.50700000000000001"/>
    <n v="-0.50700000000000001"/>
    <n v="-6"/>
    <x v="0"/>
    <n v="0"/>
    <n v="0"/>
    <n v="43"/>
    <n v="87"/>
    <n v="0"/>
    <n v="404.12"/>
    <n v="176.58"/>
    <m/>
    <n v="420.1370961229498"/>
    <n v="230.72991454293387"/>
    <n v="0"/>
    <n v="-204.88884000000002"/>
    <n v="-89.526060000000001"/>
    <n v="0"/>
    <n v="-213.00950773433556"/>
    <n v="-116.98006667326747"/>
  </r>
  <r>
    <s v="Sistema de Compensação"/>
    <x v="2"/>
    <x v="4"/>
    <x v="7"/>
    <x v="7"/>
    <x v="0"/>
    <x v="0"/>
    <x v="2"/>
    <x v="3"/>
    <n v="0"/>
    <n v="0"/>
    <n v="2.5219999999999998"/>
    <n v="2.5219999999999998"/>
    <n v="2.5219999999999998"/>
    <n v="2.5219999999999998"/>
    <n v="37"/>
    <x v="0"/>
    <n v="0"/>
    <n v="0"/>
    <n v="43"/>
    <n v="87"/>
    <n v="0"/>
    <n v="404.12"/>
    <n v="176.58"/>
    <m/>
    <n v="420.1370961229498"/>
    <n v="230.72991454293387"/>
    <n v="0"/>
    <n v="1019.1906399999999"/>
    <n v="445.33476000000002"/>
    <n v="0"/>
    <n v="1059.5857564220794"/>
    <n v="581.90084447727918"/>
  </r>
  <r>
    <s v="Regular"/>
    <x v="2"/>
    <x v="4"/>
    <x v="7"/>
    <x v="7"/>
    <x v="0"/>
    <x v="0"/>
    <x v="2"/>
    <x v="4"/>
    <n v="0"/>
    <n v="0"/>
    <n v="1132.326"/>
    <n v="1132.326"/>
    <n v="1132.326"/>
    <n v="1132.326"/>
    <n v="9345"/>
    <x v="0"/>
    <n v="0"/>
    <n v="0"/>
    <n v="43"/>
    <n v="87"/>
    <n v="0"/>
    <n v="404.12"/>
    <n v="176.58"/>
    <m/>
    <n v="420.1370961229498"/>
    <n v="230.72991454293387"/>
    <n v="0"/>
    <n v="457595.58312000002"/>
    <n v="199946.12508000003"/>
    <n v="0"/>
    <n v="475732.15750451526"/>
    <n v="261261.48121474215"/>
  </r>
  <r>
    <s v="Refaturamento - Regular"/>
    <x v="2"/>
    <x v="4"/>
    <x v="7"/>
    <x v="7"/>
    <x v="0"/>
    <x v="0"/>
    <x v="2"/>
    <x v="4"/>
    <n v="0"/>
    <n v="0"/>
    <n v="2.7719999999999998"/>
    <n v="2.7719999999999998"/>
    <n v="2.7719999999999998"/>
    <n v="2.7719999999999998"/>
    <n v="-34"/>
    <x v="0"/>
    <n v="0"/>
    <n v="0"/>
    <n v="43"/>
    <n v="87"/>
    <n v="0"/>
    <n v="404.12"/>
    <n v="176.58"/>
    <m/>
    <n v="420.1370961229498"/>
    <n v="230.72991454293387"/>
    <n v="0"/>
    <n v="1120.22064"/>
    <n v="489.47976"/>
    <n v="0"/>
    <n v="1164.6200304528168"/>
    <n v="639.58332311301263"/>
  </r>
  <r>
    <s v="Sistema Isolado - Regular"/>
    <x v="2"/>
    <x v="4"/>
    <x v="7"/>
    <x v="7"/>
    <x v="0"/>
    <x v="0"/>
    <x v="2"/>
    <x v="4"/>
    <n v="0"/>
    <n v="0"/>
    <n v="269.14"/>
    <n v="269.14"/>
    <n v="269.14"/>
    <n v="269.14"/>
    <n v="2632"/>
    <x v="0"/>
    <n v="0"/>
    <n v="0"/>
    <n v="43"/>
    <n v="87"/>
    <n v="0"/>
    <n v="404.12"/>
    <n v="176.58"/>
    <m/>
    <n v="420.1370961229498"/>
    <n v="230.72991454293387"/>
    <n v="0"/>
    <n v="108764.85679999999"/>
    <n v="47524.741200000004"/>
    <n v="0"/>
    <n v="113075.6980505307"/>
    <n v="62098.649200085216"/>
  </r>
  <r>
    <s v="Sistema Isolado - Refaturamento"/>
    <x v="2"/>
    <x v="4"/>
    <x v="7"/>
    <x v="7"/>
    <x v="0"/>
    <x v="0"/>
    <x v="2"/>
    <x v="4"/>
    <n v="0"/>
    <n v="0"/>
    <n v="-1.2090000000000001"/>
    <n v="-1.2090000000000001"/>
    <n v="-1.2090000000000001"/>
    <n v="-1.2090000000000001"/>
    <n v="-14"/>
    <x v="0"/>
    <n v="0"/>
    <n v="0"/>
    <n v="43"/>
    <n v="87"/>
    <n v="0"/>
    <n v="404.12"/>
    <n v="176.58"/>
    <m/>
    <n v="420.1370961229498"/>
    <n v="230.72991454293387"/>
    <n v="0"/>
    <n v="-488.58108000000004"/>
    <n v="-213.48522000000003"/>
    <n v="0"/>
    <n v="-507.94574921264632"/>
    <n v="-278.95246668240708"/>
  </r>
  <r>
    <s v="Sistema de Compensação"/>
    <x v="2"/>
    <x v="4"/>
    <x v="7"/>
    <x v="7"/>
    <x v="0"/>
    <x v="0"/>
    <x v="2"/>
    <x v="4"/>
    <n v="0"/>
    <n v="0"/>
    <n v="1.9550000000000001"/>
    <n v="1.9550000000000001"/>
    <n v="1.9550000000000001"/>
    <n v="1.9550000000000001"/>
    <n v="39"/>
    <x v="0"/>
    <n v="0"/>
    <n v="0"/>
    <n v="43"/>
    <n v="87"/>
    <n v="0"/>
    <n v="404.12"/>
    <n v="176.58"/>
    <m/>
    <n v="420.1370961229498"/>
    <n v="230.72991454293387"/>
    <n v="0"/>
    <n v="790.05460000000005"/>
    <n v="345.21390000000002"/>
    <n v="0"/>
    <n v="821.36802292036691"/>
    <n v="451.07698293143574"/>
  </r>
  <r>
    <s v="Regular"/>
    <x v="2"/>
    <x v="4"/>
    <x v="7"/>
    <x v="7"/>
    <x v="0"/>
    <x v="0"/>
    <x v="2"/>
    <x v="5"/>
    <n v="0"/>
    <n v="0"/>
    <n v="1108.713"/>
    <n v="1108.713"/>
    <n v="1108.713"/>
    <n v="1108.713"/>
    <n v="9125"/>
    <x v="0"/>
    <n v="0"/>
    <n v="0"/>
    <n v="43"/>
    <n v="87"/>
    <n v="0"/>
    <n v="404.12"/>
    <n v="176.58"/>
    <m/>
    <n v="420.1370961229498"/>
    <n v="230.72991454293387"/>
    <n v="0"/>
    <n v="448053.09755999997"/>
    <n v="195776.54154000001"/>
    <n v="0"/>
    <n v="465811.460253764"/>
    <n v="255813.25574263983"/>
  </r>
  <r>
    <s v="Refaturamento - Regular"/>
    <x v="2"/>
    <x v="4"/>
    <x v="7"/>
    <x v="7"/>
    <x v="0"/>
    <x v="0"/>
    <x v="2"/>
    <x v="5"/>
    <n v="0"/>
    <n v="0"/>
    <n v="3.0230000000000001"/>
    <n v="3.0230000000000001"/>
    <n v="3.0230000000000001"/>
    <n v="3.0230000000000001"/>
    <n v="-18"/>
    <x v="0"/>
    <n v="0"/>
    <n v="0"/>
    <n v="43"/>
    <n v="87"/>
    <n v="0"/>
    <n v="404.12"/>
    <n v="176.58"/>
    <m/>
    <n v="420.1370961229498"/>
    <n v="230.72991454293387"/>
    <n v="0"/>
    <n v="1221.6547600000001"/>
    <n v="533.8013400000001"/>
    <n v="0"/>
    <n v="1270.0744415796773"/>
    <n v="697.49653166328915"/>
  </r>
  <r>
    <s v="Sistema Isolado - Regular"/>
    <x v="2"/>
    <x v="4"/>
    <x v="7"/>
    <x v="7"/>
    <x v="0"/>
    <x v="0"/>
    <x v="2"/>
    <x v="5"/>
    <n v="0"/>
    <n v="0"/>
    <n v="238.76499999999999"/>
    <n v="238.76499999999999"/>
    <n v="238.76499999999999"/>
    <n v="238.76499999999999"/>
    <n v="2296"/>
    <x v="0"/>
    <n v="0"/>
    <n v="0"/>
    <n v="43"/>
    <n v="87"/>
    <n v="0"/>
    <n v="404.12"/>
    <n v="176.58"/>
    <m/>
    <n v="420.1370961229498"/>
    <n v="230.72991454293387"/>
    <n v="0"/>
    <n v="96489.71179999999"/>
    <n v="42161.123700000004"/>
    <n v="0"/>
    <n v="100314.0337557961"/>
    <n v="55090.2280458436"/>
  </r>
  <r>
    <s v="Sistema Isolado - Refaturamento"/>
    <x v="2"/>
    <x v="4"/>
    <x v="7"/>
    <x v="7"/>
    <x v="0"/>
    <x v="0"/>
    <x v="2"/>
    <x v="5"/>
    <n v="0"/>
    <n v="0"/>
    <n v="-6.2050000000000001"/>
    <n v="-6.2050000000000001"/>
    <n v="-6.2050000000000001"/>
    <n v="-6.2050000000000001"/>
    <n v="-8"/>
    <x v="0"/>
    <n v="0"/>
    <n v="0"/>
    <n v="43"/>
    <n v="87"/>
    <n v="0"/>
    <n v="404.12"/>
    <n v="176.58"/>
    <m/>
    <n v="420.1370961229498"/>
    <n v="230.72991454293387"/>
    <n v="0"/>
    <n v="-2507.5646000000002"/>
    <n v="-1095.6789000000001"/>
    <n v="0"/>
    <n v="-2606.9506814429037"/>
    <n v="-1431.6791197389048"/>
  </r>
  <r>
    <s v="Sistema de Compensação"/>
    <x v="2"/>
    <x v="4"/>
    <x v="7"/>
    <x v="7"/>
    <x v="0"/>
    <x v="0"/>
    <x v="2"/>
    <x v="5"/>
    <n v="0"/>
    <n v="0"/>
    <n v="2.3730000000000002"/>
    <n v="2.3730000000000002"/>
    <n v="2.3730000000000002"/>
    <n v="2.3730000000000002"/>
    <n v="40"/>
    <x v="0"/>
    <n v="0"/>
    <n v="0"/>
    <n v="43"/>
    <n v="87"/>
    <n v="0"/>
    <n v="404.12"/>
    <n v="176.58"/>
    <m/>
    <n v="420.1370961229498"/>
    <n v="230.72991454293387"/>
    <n v="0"/>
    <n v="958.97676000000013"/>
    <n v="419.02434000000005"/>
    <n v="0"/>
    <n v="996.98532909975995"/>
    <n v="547.5220872103821"/>
  </r>
  <r>
    <s v="Regular"/>
    <x v="2"/>
    <x v="4"/>
    <x v="7"/>
    <x v="7"/>
    <x v="0"/>
    <x v="0"/>
    <x v="2"/>
    <x v="6"/>
    <n v="0"/>
    <n v="0"/>
    <n v="862.18299999999999"/>
    <n v="862.18299999999999"/>
    <n v="862.18299999999999"/>
    <n v="862.18299999999999"/>
    <n v="7680"/>
    <x v="0"/>
    <n v="0"/>
    <n v="0"/>
    <n v="43"/>
    <n v="87"/>
    <n v="0"/>
    <n v="404.12"/>
    <n v="176.58"/>
    <m/>
    <n v="420.1370961229498"/>
    <n v="230.72991454293387"/>
    <n v="0"/>
    <n v="348425.39396000002"/>
    <n v="152244.27414000002"/>
    <n v="0"/>
    <n v="362235.0619465732"/>
    <n v="198931.40991037036"/>
  </r>
  <r>
    <s v="Refaturamento - Regular"/>
    <x v="2"/>
    <x v="4"/>
    <x v="7"/>
    <x v="7"/>
    <x v="0"/>
    <x v="0"/>
    <x v="2"/>
    <x v="6"/>
    <n v="0"/>
    <n v="0"/>
    <n v="-39.286000000000001"/>
    <n v="-39.286000000000001"/>
    <n v="-39.286000000000001"/>
    <n v="-39.286000000000001"/>
    <n v="-24"/>
    <x v="0"/>
    <n v="0"/>
    <n v="0"/>
    <n v="43"/>
    <n v="87"/>
    <n v="0"/>
    <n v="404.12"/>
    <n v="176.58"/>
    <m/>
    <n v="420.1370961229498"/>
    <n v="230.72991454293387"/>
    <n v="0"/>
    <n v="-15876.258320000001"/>
    <n v="-6937.1218800000006"/>
    <n v="0"/>
    <n v="-16505.505958286205"/>
    <n v="-9064.4554227337012"/>
  </r>
  <r>
    <s v="Sistema Isolado - Regular"/>
    <x v="2"/>
    <x v="4"/>
    <x v="7"/>
    <x v="7"/>
    <x v="0"/>
    <x v="0"/>
    <x v="2"/>
    <x v="6"/>
    <n v="0"/>
    <n v="0"/>
    <n v="197.06899999999999"/>
    <n v="197.06899999999999"/>
    <n v="197.06899999999999"/>
    <n v="197.06899999999999"/>
    <n v="2066"/>
    <x v="0"/>
    <n v="0"/>
    <n v="0"/>
    <n v="43"/>
    <n v="87"/>
    <n v="0"/>
    <n v="404.12"/>
    <n v="176.58"/>
    <m/>
    <n v="420.1370961229498"/>
    <n v="230.72991454293387"/>
    <n v="0"/>
    <n v="79639.524279999998"/>
    <n v="34798.444020000003"/>
    <n v="0"/>
    <n v="82795.997395853585"/>
    <n v="45469.713529061431"/>
  </r>
  <r>
    <s v="Sistema Isolado - Refaturamento"/>
    <x v="2"/>
    <x v="4"/>
    <x v="7"/>
    <x v="7"/>
    <x v="0"/>
    <x v="0"/>
    <x v="2"/>
    <x v="6"/>
    <n v="0"/>
    <n v="0"/>
    <n v="-4.6539999999999999"/>
    <n v="-4.6539999999999999"/>
    <n v="-4.6539999999999999"/>
    <n v="-4.6539999999999999"/>
    <n v="-2"/>
    <x v="0"/>
    <n v="0"/>
    <n v="0"/>
    <n v="43"/>
    <n v="87"/>
    <n v="0"/>
    <n v="404.12"/>
    <n v="176.58"/>
    <m/>
    <n v="420.1370961229498"/>
    <n v="230.72991454293387"/>
    <n v="0"/>
    <n v="-1880.77448"/>
    <n v="-821.8033200000001"/>
    <n v="0"/>
    <n v="-1955.3180453562084"/>
    <n v="-1073.8170222828142"/>
  </r>
  <r>
    <s v="Sistema de Compensação"/>
    <x v="2"/>
    <x v="4"/>
    <x v="7"/>
    <x v="7"/>
    <x v="0"/>
    <x v="0"/>
    <x v="2"/>
    <x v="6"/>
    <n v="0"/>
    <n v="0"/>
    <n v="2.633"/>
    <n v="2.633"/>
    <n v="2.633"/>
    <n v="2.633"/>
    <n v="37"/>
    <x v="0"/>
    <n v="0"/>
    <n v="0"/>
    <n v="43"/>
    <n v="87"/>
    <n v="0"/>
    <n v="404.12"/>
    <n v="176.58"/>
    <m/>
    <n v="420.1370961229498"/>
    <n v="230.72991454293387"/>
    <n v="0"/>
    <n v="1064.0479600000001"/>
    <n v="464.93514000000005"/>
    <n v="0"/>
    <n v="1106.2209740917269"/>
    <n v="607.51186499154483"/>
  </r>
  <r>
    <s v="Regular"/>
    <x v="2"/>
    <x v="4"/>
    <x v="7"/>
    <x v="7"/>
    <x v="0"/>
    <x v="0"/>
    <x v="2"/>
    <x v="7"/>
    <n v="0"/>
    <n v="0"/>
    <n v="1246.318"/>
    <n v="1246.318"/>
    <n v="1246.318"/>
    <n v="1246.318"/>
    <n v="9969"/>
    <x v="0"/>
    <n v="0"/>
    <n v="0"/>
    <n v="43"/>
    <n v="87"/>
    <n v="0"/>
    <n v="404.12"/>
    <n v="176.58"/>
    <m/>
    <n v="420.1370961229498"/>
    <n v="230.72991454293387"/>
    <n v="0"/>
    <n v="503662.03016000002"/>
    <n v="220074.83244"/>
    <n v="0"/>
    <n v="523624.42536576255"/>
    <n v="287562.84563332028"/>
  </r>
  <r>
    <s v="Refaturamento - Regular"/>
    <x v="2"/>
    <x v="4"/>
    <x v="7"/>
    <x v="7"/>
    <x v="0"/>
    <x v="0"/>
    <x v="2"/>
    <x v="7"/>
    <n v="0"/>
    <n v="0"/>
    <n v="-28.143000000000001"/>
    <n v="-28.143000000000001"/>
    <n v="-28.143000000000001"/>
    <n v="-28.143000000000001"/>
    <n v="-28"/>
    <x v="0"/>
    <n v="0"/>
    <n v="0"/>
    <n v="43"/>
    <n v="87"/>
    <n v="0"/>
    <n v="404.12"/>
    <n v="176.58"/>
    <m/>
    <n v="420.1370961229498"/>
    <n v="230.72991454293387"/>
    <n v="0"/>
    <n v="-11373.149160000001"/>
    <n v="-4969.4909400000006"/>
    <n v="0"/>
    <n v="-11823.918296188176"/>
    <n v="-6493.4319849817884"/>
  </r>
  <r>
    <s v="Sistema Isolado - Regular"/>
    <x v="2"/>
    <x v="4"/>
    <x v="7"/>
    <x v="7"/>
    <x v="0"/>
    <x v="0"/>
    <x v="2"/>
    <x v="7"/>
    <n v="0"/>
    <n v="0"/>
    <n v="281.52499999999998"/>
    <n v="281.52499999999998"/>
    <n v="281.52499999999998"/>
    <n v="281.52499999999998"/>
    <n v="2679"/>
    <x v="0"/>
    <n v="0"/>
    <n v="0"/>
    <n v="43"/>
    <n v="87"/>
    <n v="0"/>
    <n v="404.12"/>
    <n v="176.58"/>
    <m/>
    <n v="420.1370961229498"/>
    <n v="230.72991454293387"/>
    <n v="0"/>
    <n v="113769.88299999999"/>
    <n v="49711.684500000003"/>
    <n v="0"/>
    <n v="118279.09598601343"/>
    <n v="64956.239191699453"/>
  </r>
  <r>
    <s v="Sistema Isolado - Refaturamento"/>
    <x v="2"/>
    <x v="4"/>
    <x v="7"/>
    <x v="7"/>
    <x v="0"/>
    <x v="0"/>
    <x v="2"/>
    <x v="7"/>
    <n v="0"/>
    <n v="0"/>
    <n v="-5.6539999999999999"/>
    <n v="-5.6539999999999999"/>
    <n v="-5.6539999999999999"/>
    <n v="-5.6539999999999999"/>
    <n v="-4"/>
    <x v="0"/>
    <n v="0"/>
    <n v="0"/>
    <n v="43"/>
    <n v="87"/>
    <n v="0"/>
    <n v="404.12"/>
    <n v="176.58"/>
    <m/>
    <n v="420.1370961229498"/>
    <n v="230.72991454293387"/>
    <n v="0"/>
    <n v="-2284.8944799999999"/>
    <n v="-998.38332000000003"/>
    <n v="0"/>
    <n v="-2375.4551414791581"/>
    <n v="-1304.5469368257482"/>
  </r>
  <r>
    <s v="Sistema de Compensação"/>
    <x v="2"/>
    <x v="4"/>
    <x v="7"/>
    <x v="7"/>
    <x v="0"/>
    <x v="0"/>
    <x v="2"/>
    <x v="7"/>
    <n v="0"/>
    <n v="0"/>
    <n v="2.7109999999999999"/>
    <n v="2.7109999999999999"/>
    <n v="2.7109999999999999"/>
    <n v="2.7109999999999999"/>
    <n v="44"/>
    <x v="0"/>
    <n v="0"/>
    <n v="0"/>
    <n v="43"/>
    <n v="87"/>
    <n v="0"/>
    <n v="404.12"/>
    <n v="176.58"/>
    <m/>
    <n v="420.1370961229498"/>
    <n v="230.72991454293387"/>
    <n v="0"/>
    <n v="1095.5693200000001"/>
    <n v="478.70838000000003"/>
    <n v="0"/>
    <n v="1138.9916675893169"/>
    <n v="625.50879832589374"/>
  </r>
  <r>
    <s v="Regular"/>
    <x v="2"/>
    <x v="4"/>
    <x v="7"/>
    <x v="7"/>
    <x v="0"/>
    <x v="0"/>
    <x v="2"/>
    <x v="8"/>
    <n v="0"/>
    <n v="0"/>
    <n v="1378.7329999999999"/>
    <n v="1378.7329999999999"/>
    <n v="1378.7329999999999"/>
    <n v="1378.7329999999999"/>
    <n v="10564"/>
    <x v="0"/>
    <n v="0"/>
    <n v="0"/>
    <n v="43"/>
    <n v="87"/>
    <n v="0"/>
    <n v="404.12"/>
    <n v="176.58"/>
    <m/>
    <n v="420.1370961229498"/>
    <n v="230.72991454293387"/>
    <n v="0"/>
    <n v="557173.57996"/>
    <n v="243456.67314"/>
    <n v="0"/>
    <n v="579256.87894888292"/>
    <n v="318114.9472675228"/>
  </r>
  <r>
    <s v="Refaturamento - Regular"/>
    <x v="2"/>
    <x v="4"/>
    <x v="7"/>
    <x v="7"/>
    <x v="0"/>
    <x v="0"/>
    <x v="2"/>
    <x v="8"/>
    <n v="0"/>
    <n v="0"/>
    <n v="-17.792000000000002"/>
    <n v="-17.792000000000002"/>
    <n v="-17.792000000000002"/>
    <n v="-17.792000000000002"/>
    <n v="-11"/>
    <x v="0"/>
    <n v="0"/>
    <n v="0"/>
    <n v="43"/>
    <n v="87"/>
    <n v="0"/>
    <n v="404.12"/>
    <n v="176.58"/>
    <m/>
    <n v="420.1370961229498"/>
    <n v="230.72991454293387"/>
    <n v="0"/>
    <n v="-7190.1030400000009"/>
    <n v="-3141.7113600000007"/>
    <n v="0"/>
    <n v="-7475.0792142195232"/>
    <n v="-4105.1466395478801"/>
  </r>
  <r>
    <s v="Sistema Isolado - Regular"/>
    <x v="2"/>
    <x v="4"/>
    <x v="7"/>
    <x v="7"/>
    <x v="0"/>
    <x v="0"/>
    <x v="2"/>
    <x v="8"/>
    <n v="0"/>
    <n v="0"/>
    <n v="424.41399999999999"/>
    <n v="424.41399999999999"/>
    <n v="424.41399999999999"/>
    <n v="424.41399999999999"/>
    <n v="3671"/>
    <x v="0"/>
    <n v="0"/>
    <n v="0"/>
    <n v="43"/>
    <n v="87"/>
    <n v="0"/>
    <n v="404.12"/>
    <n v="176.58"/>
    <m/>
    <n v="420.1370961229498"/>
    <n v="230.72991454293387"/>
    <n v="0"/>
    <n v="171514.18568"/>
    <n v="74943.024120000002"/>
    <n v="0"/>
    <n v="178312.0655139256"/>
    <n v="97925.005950824736"/>
  </r>
  <r>
    <s v="Sistema Isolado - Refaturamento"/>
    <x v="2"/>
    <x v="4"/>
    <x v="7"/>
    <x v="7"/>
    <x v="0"/>
    <x v="0"/>
    <x v="2"/>
    <x v="8"/>
    <n v="0"/>
    <n v="0"/>
    <n v="-8.952"/>
    <n v="-8.952"/>
    <n v="-8.952"/>
    <n v="-8.952"/>
    <n v="-12"/>
    <x v="0"/>
    <n v="0"/>
    <n v="0"/>
    <n v="43"/>
    <n v="87"/>
    <n v="0"/>
    <n v="404.12"/>
    <n v="176.58"/>
    <m/>
    <n v="420.1370961229498"/>
    <n v="230.72991454293387"/>
    <n v="0"/>
    <n v="-3617.6822400000001"/>
    <n v="-1580.7441600000002"/>
    <n v="0"/>
    <n v="-3761.0672844926466"/>
    <n v="-2065.4941949883441"/>
  </r>
  <r>
    <s v="Sistema de Compensação"/>
    <x v="2"/>
    <x v="4"/>
    <x v="7"/>
    <x v="7"/>
    <x v="0"/>
    <x v="0"/>
    <x v="2"/>
    <x v="8"/>
    <n v="0"/>
    <n v="0"/>
    <n v="5.4349999999999996"/>
    <n v="5.4349999999999996"/>
    <n v="5.4349999999999996"/>
    <n v="5.4349999999999996"/>
    <n v="45"/>
    <x v="0"/>
    <n v="0"/>
    <n v="0"/>
    <n v="43"/>
    <n v="87"/>
    <n v="0"/>
    <n v="404.12"/>
    <n v="176.58"/>
    <m/>
    <n v="420.1370961229498"/>
    <n v="230.72991454293387"/>
    <n v="0"/>
    <n v="2196.3921999999998"/>
    <n v="959.71230000000003"/>
    <n v="0"/>
    <n v="2283.4451174282322"/>
    <n v="1254.0170855408455"/>
  </r>
  <r>
    <s v="Regular"/>
    <x v="2"/>
    <x v="4"/>
    <x v="7"/>
    <x v="7"/>
    <x v="0"/>
    <x v="0"/>
    <x v="2"/>
    <x v="9"/>
    <n v="0"/>
    <n v="0"/>
    <n v="1355.74"/>
    <n v="1355.74"/>
    <n v="1355.74"/>
    <n v="1355.74"/>
    <n v="10852"/>
    <x v="0"/>
    <n v="0"/>
    <n v="0"/>
    <n v="43"/>
    <n v="87"/>
    <n v="0"/>
    <n v="404.12"/>
    <n v="176.58"/>
    <m/>
    <n v="420.1370961229498"/>
    <n v="230.72991454293387"/>
    <n v="0"/>
    <n v="547881.64879999997"/>
    <n v="239396.56920000003"/>
    <n v="0"/>
    <n v="569596.66669772798"/>
    <n v="312809.77434243716"/>
  </r>
  <r>
    <s v="Refaturamento - Regular"/>
    <x v="2"/>
    <x v="4"/>
    <x v="7"/>
    <x v="7"/>
    <x v="0"/>
    <x v="0"/>
    <x v="2"/>
    <x v="9"/>
    <n v="0"/>
    <n v="0"/>
    <n v="-15.724"/>
    <n v="-15.724"/>
    <n v="-15.724"/>
    <n v="-15.724"/>
    <n v="-18"/>
    <x v="0"/>
    <n v="0"/>
    <n v="0"/>
    <n v="43"/>
    <n v="87"/>
    <n v="0"/>
    <n v="404.12"/>
    <n v="176.58"/>
    <m/>
    <n v="420.1370961229498"/>
    <n v="230.72991454293387"/>
    <n v="0"/>
    <n v="-6354.3828800000001"/>
    <n v="-2776.5439200000001"/>
    <n v="0"/>
    <n v="-6606.2356994372631"/>
    <n v="-3627.997176273092"/>
  </r>
  <r>
    <s v="Sistema Isolado - Regular"/>
    <x v="2"/>
    <x v="4"/>
    <x v="7"/>
    <x v="7"/>
    <x v="0"/>
    <x v="0"/>
    <x v="2"/>
    <x v="9"/>
    <n v="0"/>
    <n v="0"/>
    <n v="344.08600000000001"/>
    <n v="344.08600000000001"/>
    <n v="344.08600000000001"/>
    <n v="344.08600000000001"/>
    <n v="2879"/>
    <x v="0"/>
    <n v="0"/>
    <n v="0"/>
    <n v="43"/>
    <n v="87"/>
    <n v="0"/>
    <n v="404.12"/>
    <n v="176.58"/>
    <m/>
    <n v="420.1370961229498"/>
    <n v="230.72991454293387"/>
    <n v="0"/>
    <n v="139052.03432000001"/>
    <n v="60758.705880000009"/>
    <n v="0"/>
    <n v="144563.29285656131"/>
    <n v="79390.933375419947"/>
  </r>
  <r>
    <s v="Sistema Isolado - Refaturamento"/>
    <x v="2"/>
    <x v="4"/>
    <x v="7"/>
    <x v="7"/>
    <x v="0"/>
    <x v="0"/>
    <x v="2"/>
    <x v="9"/>
    <n v="0"/>
    <n v="0"/>
    <n v="-4.3019999999999996"/>
    <n v="-4.3019999999999996"/>
    <n v="-4.3019999999999996"/>
    <n v="-4.3019999999999996"/>
    <n v="-4"/>
    <x v="0"/>
    <n v="0"/>
    <n v="0"/>
    <n v="43"/>
    <n v="87"/>
    <n v="0"/>
    <n v="404.12"/>
    <n v="176.58"/>
    <m/>
    <n v="420.1370961229498"/>
    <n v="230.72991454293387"/>
    <n v="0"/>
    <n v="-1738.52424"/>
    <n v="-759.64715999999999"/>
    <n v="0"/>
    <n v="-1807.4297875209299"/>
    <n v="-992.60009236370138"/>
  </r>
  <r>
    <s v="Sistema de Compensação"/>
    <x v="2"/>
    <x v="4"/>
    <x v="7"/>
    <x v="7"/>
    <x v="0"/>
    <x v="0"/>
    <x v="2"/>
    <x v="9"/>
    <n v="0"/>
    <n v="0"/>
    <n v="7.8170000000000002"/>
    <n v="7.8170000000000002"/>
    <n v="7.8170000000000002"/>
    <n v="7.8170000000000002"/>
    <n v="53"/>
    <x v="0"/>
    <n v="0"/>
    <n v="0"/>
    <n v="43"/>
    <n v="87"/>
    <n v="0"/>
    <n v="404.12"/>
    <n v="176.58"/>
    <m/>
    <n v="420.1370961229498"/>
    <n v="230.72991454293387"/>
    <n v="0"/>
    <n v="3159.0060400000002"/>
    <n v="1380.3258600000001"/>
    <n v="0"/>
    <n v="3284.2116803930985"/>
    <n v="1803.6157419821141"/>
  </r>
  <r>
    <s v="Regular"/>
    <x v="2"/>
    <x v="4"/>
    <x v="7"/>
    <x v="7"/>
    <x v="0"/>
    <x v="0"/>
    <x v="2"/>
    <x v="10"/>
    <n v="0"/>
    <n v="0"/>
    <n v="1772.847"/>
    <n v="1772.847"/>
    <n v="1772.847"/>
    <n v="1772.847"/>
    <n v="12858"/>
    <x v="0"/>
    <n v="0"/>
    <n v="0"/>
    <n v="43"/>
    <n v="87"/>
    <n v="0"/>
    <n v="404.12"/>
    <n v="176.58"/>
    <m/>
    <n v="420.1370961229498"/>
    <n v="230.72991454293387"/>
    <n v="0"/>
    <n v="716442.92963999999"/>
    <n v="313049.32326000003"/>
    <n v="0"/>
    <n v="744838.79045028321"/>
    <n v="409048.83680769667"/>
  </r>
  <r>
    <s v="Refaturamento - Regular"/>
    <x v="2"/>
    <x v="4"/>
    <x v="7"/>
    <x v="7"/>
    <x v="0"/>
    <x v="0"/>
    <x v="2"/>
    <x v="10"/>
    <n v="0"/>
    <n v="0"/>
    <n v="-13.37"/>
    <n v="-13.37"/>
    <n v="-13.37"/>
    <n v="-13.37"/>
    <n v="-33"/>
    <x v="0"/>
    <n v="0"/>
    <n v="0"/>
    <n v="43"/>
    <n v="87"/>
    <n v="0"/>
    <n v="404.12"/>
    <n v="176.58"/>
    <m/>
    <n v="420.1370961229498"/>
    <n v="230.72991454293387"/>
    <n v="0"/>
    <n v="-5403.0843999999997"/>
    <n v="-2360.8746000000001"/>
    <n v="0"/>
    <n v="-5617.2329751638381"/>
    <n v="-3084.8589574390257"/>
  </r>
  <r>
    <s v="Sistema Isolado - Regular"/>
    <x v="2"/>
    <x v="4"/>
    <x v="7"/>
    <x v="7"/>
    <x v="0"/>
    <x v="0"/>
    <x v="2"/>
    <x v="10"/>
    <n v="0"/>
    <n v="0"/>
    <n v="391.74"/>
    <n v="391.74"/>
    <n v="391.74"/>
    <n v="391.74"/>
    <n v="3327"/>
    <x v="0"/>
    <n v="0"/>
    <n v="0"/>
    <n v="43"/>
    <n v="87"/>
    <n v="0"/>
    <n v="404.12"/>
    <n v="176.58"/>
    <m/>
    <n v="420.1370961229498"/>
    <n v="230.72991454293387"/>
    <n v="0"/>
    <n v="158309.9688"/>
    <n v="69173.449200000003"/>
    <n v="0"/>
    <n v="164584.50603520437"/>
    <n v="90386.136723048912"/>
  </r>
  <r>
    <s v="Sistema Isolado - Refaturamento"/>
    <x v="2"/>
    <x v="4"/>
    <x v="7"/>
    <x v="7"/>
    <x v="0"/>
    <x v="0"/>
    <x v="2"/>
    <x v="10"/>
    <n v="0"/>
    <n v="0"/>
    <n v="-46.872"/>
    <n v="-46.872"/>
    <n v="-46.872"/>
    <n v="-46.872"/>
    <n v="-52"/>
    <x v="0"/>
    <n v="0"/>
    <n v="0"/>
    <n v="43"/>
    <n v="87"/>
    <n v="0"/>
    <n v="404.12"/>
    <n v="176.58"/>
    <m/>
    <n v="420.1370961229498"/>
    <n v="230.72991454293387"/>
    <n v="0"/>
    <n v="-18941.912639999999"/>
    <n v="-8276.6577600000001"/>
    <n v="0"/>
    <n v="-19692.665969474903"/>
    <n v="-10814.772554456396"/>
  </r>
  <r>
    <s v="Sistema de Compensação"/>
    <x v="2"/>
    <x v="4"/>
    <x v="7"/>
    <x v="7"/>
    <x v="0"/>
    <x v="0"/>
    <x v="2"/>
    <x v="10"/>
    <n v="0"/>
    <n v="0"/>
    <n v="10.426"/>
    <n v="10.426"/>
    <n v="10.426"/>
    <n v="10.426"/>
    <n v="60"/>
    <x v="0"/>
    <n v="0"/>
    <n v="0"/>
    <n v="43"/>
    <n v="87"/>
    <n v="0"/>
    <n v="404.12"/>
    <n v="176.58"/>
    <m/>
    <n v="420.1370961229498"/>
    <n v="230.72991454293387"/>
    <n v="0"/>
    <n v="4213.3551200000002"/>
    <n v="1841.0230800000002"/>
    <n v="0"/>
    <n v="4380.349364177875"/>
    <n v="2405.5900890246285"/>
  </r>
  <r>
    <s v="PROJETADO"/>
    <x v="2"/>
    <x v="4"/>
    <x v="7"/>
    <x v="7"/>
    <x v="0"/>
    <x v="0"/>
    <x v="2"/>
    <x v="11"/>
    <n v="0"/>
    <n v="0"/>
    <n v="1772.847"/>
    <n v="1772.847"/>
    <n v="1772.847"/>
    <n v="1772.847"/>
    <n v="12858"/>
    <x v="0"/>
    <n v="0"/>
    <n v="0"/>
    <n v="43"/>
    <n v="87"/>
    <n v="0"/>
    <n v="404.12"/>
    <n v="176.58"/>
    <m/>
    <n v="420.1370961229498"/>
    <n v="230.72991454293387"/>
    <n v="0"/>
    <n v="716442.92963999999"/>
    <n v="313049.32326000003"/>
    <n v="0"/>
    <n v="744838.79045028321"/>
    <n v="409048.83680769667"/>
  </r>
  <r>
    <s v="PROJETADO"/>
    <x v="2"/>
    <x v="4"/>
    <x v="7"/>
    <x v="7"/>
    <x v="0"/>
    <x v="0"/>
    <x v="2"/>
    <x v="11"/>
    <n v="0"/>
    <n v="0"/>
    <n v="-13.37"/>
    <n v="-13.37"/>
    <n v="-13.37"/>
    <n v="-13.37"/>
    <n v="-33"/>
    <x v="0"/>
    <n v="0"/>
    <n v="0"/>
    <n v="43"/>
    <n v="87"/>
    <n v="0"/>
    <n v="404.12"/>
    <n v="176.58"/>
    <m/>
    <n v="420.1370961229498"/>
    <n v="230.72991454293387"/>
    <n v="0"/>
    <n v="-5403.0843999999997"/>
    <n v="-2360.8746000000001"/>
    <n v="0"/>
    <n v="-5617.2329751638381"/>
    <n v="-3084.8589574390257"/>
  </r>
  <r>
    <s v="PROJETADO"/>
    <x v="2"/>
    <x v="4"/>
    <x v="7"/>
    <x v="7"/>
    <x v="0"/>
    <x v="0"/>
    <x v="2"/>
    <x v="11"/>
    <n v="0"/>
    <n v="0"/>
    <n v="391.74"/>
    <n v="391.74"/>
    <n v="391.74"/>
    <n v="391.74"/>
    <n v="3327"/>
    <x v="0"/>
    <n v="0"/>
    <n v="0"/>
    <n v="43"/>
    <n v="87"/>
    <n v="0"/>
    <n v="404.12"/>
    <n v="176.58"/>
    <m/>
    <n v="420.1370961229498"/>
    <n v="230.72991454293387"/>
    <n v="0"/>
    <n v="158309.9688"/>
    <n v="69173.449200000003"/>
    <n v="0"/>
    <n v="164584.50603520437"/>
    <n v="90386.136723048912"/>
  </r>
  <r>
    <s v="PROJETADO"/>
    <x v="2"/>
    <x v="4"/>
    <x v="7"/>
    <x v="7"/>
    <x v="0"/>
    <x v="0"/>
    <x v="2"/>
    <x v="11"/>
    <n v="0"/>
    <n v="0"/>
    <n v="-46.872"/>
    <n v="-46.872"/>
    <n v="-46.872"/>
    <n v="-46.872"/>
    <n v="-52"/>
    <x v="0"/>
    <n v="0"/>
    <n v="0"/>
    <n v="43"/>
    <n v="87"/>
    <n v="0"/>
    <n v="404.12"/>
    <n v="176.58"/>
    <m/>
    <n v="420.1370961229498"/>
    <n v="230.72991454293387"/>
    <n v="0"/>
    <n v="-18941.912639999999"/>
    <n v="-8276.6577600000001"/>
    <n v="0"/>
    <n v="-19692.665969474903"/>
    <n v="-10814.772554456396"/>
  </r>
  <r>
    <s v="PROJETADO"/>
    <x v="2"/>
    <x v="4"/>
    <x v="7"/>
    <x v="7"/>
    <x v="0"/>
    <x v="0"/>
    <x v="2"/>
    <x v="11"/>
    <n v="0"/>
    <n v="0"/>
    <n v="10.426"/>
    <n v="10.426"/>
    <n v="10.426"/>
    <n v="10.426"/>
    <n v="60"/>
    <x v="0"/>
    <n v="0"/>
    <n v="0"/>
    <n v="43"/>
    <n v="87"/>
    <n v="0"/>
    <n v="404.12"/>
    <n v="176.58"/>
    <m/>
    <n v="420.1370961229498"/>
    <n v="230.72991454293387"/>
    <n v="0"/>
    <n v="4213.3551200000002"/>
    <n v="1841.0230800000002"/>
    <n v="0"/>
    <n v="4380.349364177875"/>
    <n v="2405.5900890246285"/>
  </r>
  <r>
    <s v="Regular"/>
    <x v="3"/>
    <x v="3"/>
    <x v="2"/>
    <x v="0"/>
    <x v="0"/>
    <x v="0"/>
    <x v="0"/>
    <x v="0"/>
    <n v="0"/>
    <n v="0"/>
    <n v="5.8879999999999999"/>
    <n v="5.8879999999999999"/>
    <n v="5.8879999999999999"/>
    <n v="5.8879999999999999"/>
    <n v="0"/>
    <x v="0"/>
    <n v="0"/>
    <n v="0"/>
    <n v="51"/>
    <n v="95"/>
    <n v="0"/>
    <n v="287.89999999999998"/>
    <n v="147.88999999999999"/>
    <m/>
    <n v="344.7711243000881"/>
    <n v="205.60835010714086"/>
    <n v="0"/>
    <n v="1695.1551999999999"/>
    <n v="870.77631999999994"/>
    <n v="0"/>
    <n v="2030.0123798789186"/>
    <n v="1210.6219654308454"/>
  </r>
  <r>
    <s v="Sistema Isolado - Regular"/>
    <x v="3"/>
    <x v="3"/>
    <x v="2"/>
    <x v="0"/>
    <x v="0"/>
    <x v="0"/>
    <x v="0"/>
    <x v="0"/>
    <n v="0"/>
    <n v="0"/>
    <n v="1.2999999999999999E-2"/>
    <n v="1.2999999999999999E-2"/>
    <n v="1.2999999999999999E-2"/>
    <n v="1.2999999999999999E-2"/>
    <n v="0"/>
    <x v="0"/>
    <n v="0"/>
    <n v="0"/>
    <n v="51"/>
    <n v="95"/>
    <n v="0"/>
    <n v="287.89999999999998"/>
    <n v="147.88999999999999"/>
    <m/>
    <n v="344.7711243000881"/>
    <n v="205.60835010714086"/>
    <n v="0"/>
    <n v="3.7426999999999997"/>
    <n v="1.9225699999999997"/>
    <n v="0"/>
    <n v="4.4820246159011452"/>
    <n v="2.672908551392831"/>
  </r>
  <r>
    <s v="Regular"/>
    <x v="3"/>
    <x v="3"/>
    <x v="2"/>
    <x v="0"/>
    <x v="0"/>
    <x v="0"/>
    <x v="0"/>
    <x v="1"/>
    <n v="0"/>
    <n v="0"/>
    <n v="6.4119999999999999"/>
    <n v="6.4119999999999999"/>
    <n v="6.4119999999999999"/>
    <n v="6.4119999999999999"/>
    <n v="0"/>
    <x v="0"/>
    <n v="0"/>
    <n v="0"/>
    <n v="51"/>
    <n v="95"/>
    <n v="0"/>
    <n v="287.89999999999998"/>
    <n v="147.88999999999999"/>
    <m/>
    <n v="344.7711243000881"/>
    <n v="205.60835010714086"/>
    <n v="0"/>
    <n v="1846.0147999999999"/>
    <n v="948.27067999999986"/>
    <n v="0"/>
    <n v="2210.6724490121651"/>
    <n v="1318.3607408869873"/>
  </r>
  <r>
    <s v="Sistema Isolado - Regular"/>
    <x v="3"/>
    <x v="3"/>
    <x v="2"/>
    <x v="0"/>
    <x v="0"/>
    <x v="0"/>
    <x v="0"/>
    <x v="1"/>
    <n v="0"/>
    <n v="0"/>
    <n v="0.223"/>
    <n v="0.223"/>
    <n v="0.223"/>
    <n v="0.223"/>
    <n v="0"/>
    <x v="0"/>
    <n v="0"/>
    <n v="0"/>
    <n v="51"/>
    <n v="95"/>
    <n v="0"/>
    <n v="287.89999999999998"/>
    <n v="147.88999999999999"/>
    <m/>
    <n v="344.7711243000881"/>
    <n v="205.60835010714086"/>
    <n v="0"/>
    <n v="64.201700000000002"/>
    <n v="32.979469999999999"/>
    <n v="0"/>
    <n v="76.883960718919653"/>
    <n v="45.850662073892416"/>
  </r>
  <r>
    <s v="Regular"/>
    <x v="3"/>
    <x v="3"/>
    <x v="2"/>
    <x v="0"/>
    <x v="0"/>
    <x v="0"/>
    <x v="0"/>
    <x v="2"/>
    <n v="0"/>
    <n v="0"/>
    <n v="5.51"/>
    <n v="5.51"/>
    <n v="5.51"/>
    <n v="5.51"/>
    <n v="0"/>
    <x v="0"/>
    <n v="0"/>
    <n v="0"/>
    <n v="51"/>
    <n v="95"/>
    <n v="0"/>
    <n v="287.89999999999998"/>
    <n v="147.88999999999999"/>
    <m/>
    <n v="344.7711243000881"/>
    <n v="205.60835010714086"/>
    <n v="0"/>
    <n v="1586.3289999999997"/>
    <n v="814.87389999999994"/>
    <n v="0"/>
    <n v="1899.6888948934854"/>
    <n v="1132.9020090903462"/>
  </r>
  <r>
    <s v="Sistema Isolado - Regular"/>
    <x v="3"/>
    <x v="3"/>
    <x v="2"/>
    <x v="0"/>
    <x v="0"/>
    <x v="0"/>
    <x v="0"/>
    <x v="2"/>
    <n v="0"/>
    <n v="0"/>
    <n v="0.25"/>
    <n v="0.25"/>
    <n v="0.25"/>
    <n v="0.25"/>
    <n v="0"/>
    <x v="0"/>
    <n v="0"/>
    <n v="0"/>
    <n v="51"/>
    <n v="95"/>
    <n v="0"/>
    <n v="287.89999999999998"/>
    <n v="147.88999999999999"/>
    <m/>
    <n v="344.7711243000881"/>
    <n v="205.60835010714086"/>
    <n v="0"/>
    <n v="71.974999999999994"/>
    <n v="36.972499999999997"/>
    <n v="0"/>
    <n v="86.192781075022026"/>
    <n v="51.402087526785216"/>
  </r>
  <r>
    <s v="Regular"/>
    <x v="3"/>
    <x v="3"/>
    <x v="2"/>
    <x v="0"/>
    <x v="0"/>
    <x v="0"/>
    <x v="0"/>
    <x v="3"/>
    <n v="0"/>
    <n v="0"/>
    <n v="5.5250000000000004"/>
    <n v="5.5250000000000004"/>
    <n v="5.5250000000000004"/>
    <n v="5.5250000000000004"/>
    <n v="0"/>
    <x v="0"/>
    <n v="0"/>
    <n v="0"/>
    <n v="51"/>
    <n v="95"/>
    <n v="0"/>
    <n v="287.89999999999998"/>
    <n v="147.88999999999999"/>
    <m/>
    <n v="344.7711243000881"/>
    <n v="205.60835010714086"/>
    <n v="0"/>
    <n v="1590.6475"/>
    <n v="817.09224999999992"/>
    <n v="0"/>
    <n v="1904.860461757987"/>
    <n v="1135.9861343419534"/>
  </r>
  <r>
    <s v="Regular"/>
    <x v="3"/>
    <x v="3"/>
    <x v="2"/>
    <x v="0"/>
    <x v="0"/>
    <x v="0"/>
    <x v="0"/>
    <x v="4"/>
    <n v="0"/>
    <n v="0"/>
    <n v="4.8090000000000002"/>
    <n v="4.8090000000000002"/>
    <n v="4.8090000000000002"/>
    <n v="4.8090000000000002"/>
    <n v="0"/>
    <x v="0"/>
    <n v="0"/>
    <n v="0"/>
    <n v="51"/>
    <n v="95"/>
    <n v="0"/>
    <n v="287.89999999999998"/>
    <n v="147.88999999999999"/>
    <m/>
    <n v="344.7711243000881"/>
    <n v="205.60835010714086"/>
    <n v="0"/>
    <n v="1384.5110999999999"/>
    <n v="711.20300999999995"/>
    <n v="0"/>
    <n v="1658.0043367591238"/>
    <n v="988.77055566524041"/>
  </r>
  <r>
    <s v="Regular"/>
    <x v="3"/>
    <x v="3"/>
    <x v="2"/>
    <x v="0"/>
    <x v="0"/>
    <x v="0"/>
    <x v="0"/>
    <x v="5"/>
    <n v="0"/>
    <n v="0"/>
    <n v="6.3789999999999996"/>
    <n v="6.3789999999999996"/>
    <n v="6.3789999999999996"/>
    <n v="6.3789999999999996"/>
    <n v="0"/>
    <x v="0"/>
    <n v="0"/>
    <n v="0"/>
    <n v="51"/>
    <n v="95"/>
    <n v="0"/>
    <n v="287.89999999999998"/>
    <n v="147.88999999999999"/>
    <m/>
    <n v="344.7711243000881"/>
    <n v="205.60835010714086"/>
    <n v="0"/>
    <n v="1836.5140999999996"/>
    <n v="943.39030999999989"/>
    <n v="0"/>
    <n v="2199.2950019102618"/>
    <n v="1311.5756653334515"/>
  </r>
  <r>
    <s v="Regular"/>
    <x v="3"/>
    <x v="3"/>
    <x v="2"/>
    <x v="0"/>
    <x v="0"/>
    <x v="0"/>
    <x v="0"/>
    <x v="6"/>
    <n v="0"/>
    <n v="0"/>
    <n v="5.6680000000000001"/>
    <n v="5.6680000000000001"/>
    <n v="5.6680000000000001"/>
    <n v="5.6680000000000001"/>
    <n v="0"/>
    <x v="0"/>
    <n v="0"/>
    <n v="0"/>
    <n v="51"/>
    <n v="95"/>
    <n v="0"/>
    <n v="287.89999999999998"/>
    <n v="147.88999999999999"/>
    <m/>
    <n v="344.7711243000881"/>
    <n v="205.60835010714086"/>
    <n v="0"/>
    <n v="1631.8172"/>
    <n v="838.24051999999995"/>
    <n v="0"/>
    <n v="1954.1627325328993"/>
    <n v="1165.3881284072745"/>
  </r>
  <r>
    <s v="Regular"/>
    <x v="3"/>
    <x v="3"/>
    <x v="2"/>
    <x v="0"/>
    <x v="0"/>
    <x v="0"/>
    <x v="0"/>
    <x v="7"/>
    <n v="0"/>
    <n v="0"/>
    <n v="5.7770000000000001"/>
    <n v="5.7770000000000001"/>
    <n v="5.7770000000000001"/>
    <n v="5.7770000000000001"/>
    <n v="0"/>
    <x v="0"/>
    <n v="0"/>
    <n v="0"/>
    <n v="51"/>
    <n v="95"/>
    <n v="0"/>
    <n v="287.89999999999998"/>
    <n v="147.88999999999999"/>
    <m/>
    <n v="344.7711243000881"/>
    <n v="205.60835010714086"/>
    <n v="0"/>
    <n v="1663.1983"/>
    <n v="854.36052999999993"/>
    <n v="0"/>
    <n v="1991.7427850816091"/>
    <n v="1187.7994385689528"/>
  </r>
  <r>
    <s v="Regular"/>
    <x v="3"/>
    <x v="3"/>
    <x v="2"/>
    <x v="0"/>
    <x v="0"/>
    <x v="0"/>
    <x v="0"/>
    <x v="8"/>
    <n v="0"/>
    <n v="0"/>
    <n v="7.75"/>
    <n v="7.75"/>
    <n v="7.75"/>
    <n v="7.75"/>
    <n v="0"/>
    <x v="0"/>
    <n v="0"/>
    <n v="0"/>
    <n v="51"/>
    <n v="95"/>
    <n v="0"/>
    <n v="287.89999999999998"/>
    <n v="147.88999999999999"/>
    <m/>
    <n v="344.7711243000881"/>
    <n v="205.60835010714086"/>
    <n v="0"/>
    <n v="2231.2249999999999"/>
    <n v="1146.1474999999998"/>
    <n v="0"/>
    <n v="2671.9762133256827"/>
    <n v="1593.4647133303417"/>
  </r>
  <r>
    <s v="Regular"/>
    <x v="3"/>
    <x v="3"/>
    <x v="2"/>
    <x v="0"/>
    <x v="0"/>
    <x v="0"/>
    <x v="0"/>
    <x v="9"/>
    <n v="0"/>
    <n v="0"/>
    <n v="6.0750000000000002"/>
    <n v="6.0750000000000002"/>
    <n v="6.0750000000000002"/>
    <n v="6.0750000000000002"/>
    <n v="0"/>
    <x v="0"/>
    <n v="0"/>
    <n v="0"/>
    <n v="51"/>
    <n v="95"/>
    <n v="0"/>
    <n v="287.89999999999998"/>
    <n v="147.88999999999999"/>
    <m/>
    <n v="344.7711243000881"/>
    <n v="205.60835010714086"/>
    <n v="0"/>
    <n v="1748.9924999999998"/>
    <n v="898.43174999999997"/>
    <n v="0"/>
    <n v="2094.4845801230354"/>
    <n v="1249.0707269008808"/>
  </r>
  <r>
    <s v="Regular"/>
    <x v="3"/>
    <x v="3"/>
    <x v="2"/>
    <x v="0"/>
    <x v="0"/>
    <x v="0"/>
    <x v="0"/>
    <x v="10"/>
    <n v="0"/>
    <n v="0"/>
    <n v="6.5540000000000003"/>
    <n v="6.5540000000000003"/>
    <n v="6.5540000000000003"/>
    <n v="6.5540000000000003"/>
    <n v="0"/>
    <x v="0"/>
    <n v="0"/>
    <n v="0"/>
    <n v="51"/>
    <n v="95"/>
    <n v="0"/>
    <n v="287.89999999999998"/>
    <n v="147.88999999999999"/>
    <m/>
    <n v="344.7711243000881"/>
    <n v="205.60835010714086"/>
    <n v="0"/>
    <n v="1886.8966"/>
    <n v="969.27105999999992"/>
    <n v="0"/>
    <n v="2259.6299486627777"/>
    <n v="1347.5571266022014"/>
  </r>
  <r>
    <s v="PROJETADO"/>
    <x v="3"/>
    <x v="3"/>
    <x v="2"/>
    <x v="0"/>
    <x v="0"/>
    <x v="0"/>
    <x v="0"/>
    <x v="11"/>
    <n v="0"/>
    <n v="0"/>
    <n v="6.5540000000000003"/>
    <n v="6.5540000000000003"/>
    <n v="6.5540000000000003"/>
    <n v="6.5540000000000003"/>
    <n v="0"/>
    <x v="0"/>
    <n v="0"/>
    <n v="0"/>
    <n v="51"/>
    <n v="95"/>
    <n v="0"/>
    <n v="287.89999999999998"/>
    <n v="147.88999999999999"/>
    <m/>
    <n v="344.7711243000881"/>
    <n v="205.60835010714086"/>
    <n v="0"/>
    <n v="1886.8966"/>
    <n v="969.27105999999992"/>
    <n v="0"/>
    <n v="2259.6299486627777"/>
    <n v="1347.5571266022014"/>
  </r>
  <r>
    <s v="Regular"/>
    <x v="3"/>
    <x v="3"/>
    <x v="2"/>
    <x v="0"/>
    <x v="0"/>
    <x v="0"/>
    <x v="3"/>
    <x v="0"/>
    <n v="0"/>
    <n v="0"/>
    <n v="3.6999999999999998E-2"/>
    <n v="3.6999999999999998E-2"/>
    <n v="3.6999999999999998E-2"/>
    <n v="3.6999999999999998E-2"/>
    <n v="0"/>
    <x v="0"/>
    <n v="0"/>
    <n v="0"/>
    <n v="50"/>
    <n v="94"/>
    <n v="0"/>
    <n v="663.5"/>
    <n v="147.88999999999999"/>
    <m/>
    <n v="742.93032649344707"/>
    <n v="205.60835010714086"/>
    <n v="0"/>
    <n v="24.549499999999998"/>
    <n v="5.4719299999999995"/>
    <n v="0"/>
    <n v="27.488422080257539"/>
    <n v="7.6075089539642118"/>
  </r>
  <r>
    <s v="Sistema Isolado - Regular"/>
    <x v="3"/>
    <x v="3"/>
    <x v="2"/>
    <x v="0"/>
    <x v="0"/>
    <x v="0"/>
    <x v="3"/>
    <x v="0"/>
    <n v="0"/>
    <n v="0"/>
    <n v="1E-3"/>
    <n v="1E-3"/>
    <n v="1E-3"/>
    <n v="1E-3"/>
    <n v="0"/>
    <x v="0"/>
    <n v="0"/>
    <n v="0"/>
    <n v="50"/>
    <n v="94"/>
    <n v="0"/>
    <n v="663.5"/>
    <n v="147.88999999999999"/>
    <m/>
    <n v="742.93032649344707"/>
    <n v="205.60835010714086"/>
    <n v="0"/>
    <n v="0.66349999999999998"/>
    <n v="0.14788999999999999"/>
    <n v="0"/>
    <n v="0.74293032649344704"/>
    <n v="0.20560835010714087"/>
  </r>
  <r>
    <s v="Regular"/>
    <x v="3"/>
    <x v="3"/>
    <x v="2"/>
    <x v="0"/>
    <x v="0"/>
    <x v="0"/>
    <x v="3"/>
    <x v="1"/>
    <n v="0"/>
    <n v="0"/>
    <n v="5.5E-2"/>
    <n v="5.5E-2"/>
    <n v="5.5E-2"/>
    <n v="5.5E-2"/>
    <n v="0"/>
    <x v="0"/>
    <n v="0"/>
    <n v="0"/>
    <n v="50"/>
    <n v="94"/>
    <n v="0"/>
    <n v="663.5"/>
    <n v="147.88999999999999"/>
    <m/>
    <n v="742.93032649344707"/>
    <n v="205.60835010714086"/>
    <n v="0"/>
    <n v="36.4925"/>
    <n v="8.1339499999999987"/>
    <n v="0"/>
    <n v="40.861167957139592"/>
    <n v="11.308459255892748"/>
  </r>
  <r>
    <s v="Sistema Isolado - Regular"/>
    <x v="3"/>
    <x v="3"/>
    <x v="2"/>
    <x v="0"/>
    <x v="0"/>
    <x v="0"/>
    <x v="3"/>
    <x v="1"/>
    <n v="0"/>
    <n v="0"/>
    <n v="0.01"/>
    <n v="0.01"/>
    <n v="0.01"/>
    <n v="0.01"/>
    <n v="0"/>
    <x v="0"/>
    <n v="0"/>
    <n v="0"/>
    <n v="50"/>
    <n v="94"/>
    <n v="0"/>
    <n v="663.5"/>
    <n v="147.88999999999999"/>
    <m/>
    <n v="742.93032649344707"/>
    <n v="205.60835010714086"/>
    <n v="0"/>
    <n v="6.6349999999999998"/>
    <n v="1.4788999999999999"/>
    <n v="0"/>
    <n v="7.4293032649344708"/>
    <n v="2.0560835010714085"/>
  </r>
  <r>
    <s v="Regular"/>
    <x v="3"/>
    <x v="3"/>
    <x v="2"/>
    <x v="0"/>
    <x v="0"/>
    <x v="0"/>
    <x v="3"/>
    <x v="2"/>
    <n v="0"/>
    <n v="0"/>
    <n v="3.5000000000000003E-2"/>
    <n v="3.5000000000000003E-2"/>
    <n v="3.5000000000000003E-2"/>
    <n v="3.5000000000000003E-2"/>
    <n v="0"/>
    <x v="0"/>
    <n v="0"/>
    <n v="0"/>
    <n v="50"/>
    <n v="94"/>
    <n v="0"/>
    <n v="663.5"/>
    <n v="147.88999999999999"/>
    <m/>
    <n v="742.93032649344707"/>
    <n v="205.60835010714086"/>
    <n v="0"/>
    <n v="23.222500000000004"/>
    <n v="5.1761499999999998"/>
    <n v="0"/>
    <n v="26.002561427270649"/>
    <n v="7.196292253749931"/>
  </r>
  <r>
    <s v="Sistema Isolado - Regular"/>
    <x v="3"/>
    <x v="3"/>
    <x v="2"/>
    <x v="0"/>
    <x v="0"/>
    <x v="0"/>
    <x v="3"/>
    <x v="2"/>
    <n v="0"/>
    <n v="0"/>
    <n v="1.4999999999999999E-2"/>
    <n v="1.4999999999999999E-2"/>
    <n v="1.4999999999999999E-2"/>
    <n v="1.4999999999999999E-2"/>
    <n v="0"/>
    <x v="0"/>
    <n v="0"/>
    <n v="0"/>
    <n v="50"/>
    <n v="94"/>
    <n v="0"/>
    <n v="663.5"/>
    <n v="147.88999999999999"/>
    <m/>
    <n v="742.93032649344707"/>
    <n v="205.60835010714086"/>
    <n v="0"/>
    <n v="9.9524999999999988"/>
    <n v="2.2183499999999996"/>
    <n v="0"/>
    <n v="11.143954897401706"/>
    <n v="3.0841252516071127"/>
  </r>
  <r>
    <s v="Regular"/>
    <x v="3"/>
    <x v="3"/>
    <x v="2"/>
    <x v="0"/>
    <x v="0"/>
    <x v="0"/>
    <x v="3"/>
    <x v="3"/>
    <n v="0"/>
    <n v="0"/>
    <n v="3.6999999999999998E-2"/>
    <n v="3.6999999999999998E-2"/>
    <n v="3.6999999999999998E-2"/>
    <n v="3.6999999999999998E-2"/>
    <n v="0"/>
    <x v="0"/>
    <n v="0"/>
    <n v="0"/>
    <n v="50"/>
    <n v="94"/>
    <n v="0"/>
    <n v="663.5"/>
    <n v="147.88999999999999"/>
    <m/>
    <n v="742.93032649344707"/>
    <n v="205.60835010714086"/>
    <n v="0"/>
    <n v="24.549499999999998"/>
    <n v="5.4719299999999995"/>
    <n v="0"/>
    <n v="27.488422080257539"/>
    <n v="7.6075089539642118"/>
  </r>
  <r>
    <s v="Regular"/>
    <x v="3"/>
    <x v="3"/>
    <x v="2"/>
    <x v="0"/>
    <x v="0"/>
    <x v="0"/>
    <x v="3"/>
    <x v="4"/>
    <n v="0"/>
    <n v="0"/>
    <n v="3.7999999999999999E-2"/>
    <n v="3.7999999999999999E-2"/>
    <n v="3.7999999999999999E-2"/>
    <n v="3.7999999999999999E-2"/>
    <n v="0"/>
    <x v="0"/>
    <n v="0"/>
    <n v="0"/>
    <n v="50"/>
    <n v="94"/>
    <n v="0"/>
    <n v="663.5"/>
    <n v="147.88999999999999"/>
    <m/>
    <n v="742.93032649344707"/>
    <n v="205.60835010714086"/>
    <n v="0"/>
    <n v="25.213000000000001"/>
    <n v="5.6198199999999989"/>
    <n v="0"/>
    <n v="28.23135240675099"/>
    <n v="7.8131173040713531"/>
  </r>
  <r>
    <s v="Regular"/>
    <x v="3"/>
    <x v="3"/>
    <x v="2"/>
    <x v="0"/>
    <x v="0"/>
    <x v="0"/>
    <x v="3"/>
    <x v="5"/>
    <n v="0"/>
    <n v="0"/>
    <n v="3.1E-2"/>
    <n v="3.1E-2"/>
    <n v="3.1E-2"/>
    <n v="3.1E-2"/>
    <n v="0"/>
    <x v="0"/>
    <n v="0"/>
    <n v="0"/>
    <n v="50"/>
    <n v="94"/>
    <n v="0"/>
    <n v="663.5"/>
    <n v="147.88999999999999"/>
    <m/>
    <n v="742.93032649344707"/>
    <n v="205.60835010714086"/>
    <n v="0"/>
    <n v="20.5685"/>
    <n v="4.5845899999999995"/>
    <n v="0"/>
    <n v="23.030840121296858"/>
    <n v="6.3738588533213667"/>
  </r>
  <r>
    <s v="Regular"/>
    <x v="3"/>
    <x v="3"/>
    <x v="2"/>
    <x v="0"/>
    <x v="0"/>
    <x v="0"/>
    <x v="3"/>
    <x v="6"/>
    <n v="0"/>
    <n v="0"/>
    <n v="3.6999999999999998E-2"/>
    <n v="3.6999999999999998E-2"/>
    <n v="3.6999999999999998E-2"/>
    <n v="3.6999999999999998E-2"/>
    <n v="0"/>
    <x v="0"/>
    <n v="0"/>
    <n v="0"/>
    <n v="50"/>
    <n v="94"/>
    <n v="0"/>
    <n v="663.5"/>
    <n v="147.88999999999999"/>
    <m/>
    <n v="742.93032649344707"/>
    <n v="205.60835010714086"/>
    <n v="0"/>
    <n v="24.549499999999998"/>
    <n v="5.4719299999999995"/>
    <n v="0"/>
    <n v="27.488422080257539"/>
    <n v="7.6075089539642118"/>
  </r>
  <r>
    <s v="Regular"/>
    <x v="3"/>
    <x v="3"/>
    <x v="2"/>
    <x v="0"/>
    <x v="0"/>
    <x v="0"/>
    <x v="3"/>
    <x v="7"/>
    <n v="0"/>
    <n v="0"/>
    <n v="5.1999999999999998E-2"/>
    <n v="5.1999999999999998E-2"/>
    <n v="5.1999999999999998E-2"/>
    <n v="5.1999999999999998E-2"/>
    <n v="0"/>
    <x v="0"/>
    <n v="0"/>
    <n v="0"/>
    <n v="50"/>
    <n v="94"/>
    <n v="0"/>
    <n v="663.5"/>
    <n v="147.88999999999999"/>
    <m/>
    <n v="742.93032649344707"/>
    <n v="205.60835010714086"/>
    <n v="0"/>
    <n v="34.501999999999995"/>
    <n v="7.6902799999999987"/>
    <n v="0"/>
    <n v="38.632376977659248"/>
    <n v="10.691634205571324"/>
  </r>
  <r>
    <s v="Regular"/>
    <x v="3"/>
    <x v="3"/>
    <x v="2"/>
    <x v="0"/>
    <x v="0"/>
    <x v="0"/>
    <x v="3"/>
    <x v="8"/>
    <n v="0"/>
    <n v="0"/>
    <n v="5.5E-2"/>
    <n v="5.5E-2"/>
    <n v="5.5E-2"/>
    <n v="5.5E-2"/>
    <n v="0"/>
    <x v="0"/>
    <n v="0"/>
    <n v="0"/>
    <n v="50"/>
    <n v="94"/>
    <n v="0"/>
    <n v="663.5"/>
    <n v="147.88999999999999"/>
    <m/>
    <n v="742.93032649344707"/>
    <n v="205.60835010714086"/>
    <n v="0"/>
    <n v="36.4925"/>
    <n v="8.1339499999999987"/>
    <n v="0"/>
    <n v="40.861167957139592"/>
    <n v="11.308459255892748"/>
  </r>
  <r>
    <s v="Regular"/>
    <x v="3"/>
    <x v="3"/>
    <x v="2"/>
    <x v="0"/>
    <x v="0"/>
    <x v="0"/>
    <x v="3"/>
    <x v="9"/>
    <n v="0"/>
    <n v="0"/>
    <n v="4.5999999999999999E-2"/>
    <n v="4.5999999999999999E-2"/>
    <n v="4.5999999999999999E-2"/>
    <n v="4.5999999999999999E-2"/>
    <n v="0"/>
    <x v="0"/>
    <n v="0"/>
    <n v="0"/>
    <n v="50"/>
    <n v="94"/>
    <n v="0"/>
    <n v="663.5"/>
    <n v="147.88999999999999"/>
    <m/>
    <n v="742.93032649344707"/>
    <n v="205.60835010714086"/>
    <n v="0"/>
    <n v="30.521000000000001"/>
    <n v="6.8029399999999995"/>
    <n v="0"/>
    <n v="34.174795018698568"/>
    <n v="9.4579841049284799"/>
  </r>
  <r>
    <s v="Regular"/>
    <x v="3"/>
    <x v="3"/>
    <x v="2"/>
    <x v="0"/>
    <x v="0"/>
    <x v="0"/>
    <x v="3"/>
    <x v="10"/>
    <n v="0"/>
    <n v="0"/>
    <n v="4.9000000000000002E-2"/>
    <n v="4.9000000000000002E-2"/>
    <n v="4.9000000000000002E-2"/>
    <n v="4.9000000000000002E-2"/>
    <n v="0"/>
    <x v="0"/>
    <n v="0"/>
    <n v="0"/>
    <n v="50"/>
    <n v="94"/>
    <n v="0"/>
    <n v="663.5"/>
    <n v="147.88999999999999"/>
    <m/>
    <n v="742.93032649344707"/>
    <n v="205.60835010714086"/>
    <n v="0"/>
    <n v="32.511499999999998"/>
    <n v="7.2466099999999996"/>
    <n v="0"/>
    <n v="36.403585998178905"/>
    <n v="10.074809155249902"/>
  </r>
  <r>
    <s v="PROJETADO"/>
    <x v="3"/>
    <x v="3"/>
    <x v="2"/>
    <x v="0"/>
    <x v="0"/>
    <x v="0"/>
    <x v="3"/>
    <x v="11"/>
    <n v="0"/>
    <n v="0"/>
    <n v="4.9000000000000002E-2"/>
    <n v="4.9000000000000002E-2"/>
    <n v="4.9000000000000002E-2"/>
    <n v="4.9000000000000002E-2"/>
    <n v="0"/>
    <x v="0"/>
    <n v="0"/>
    <n v="0"/>
    <n v="50"/>
    <n v="94"/>
    <n v="0"/>
    <n v="663.5"/>
    <n v="147.88999999999999"/>
    <m/>
    <n v="742.93032649344707"/>
    <n v="205.60835010714086"/>
    <n v="0"/>
    <n v="32.511499999999998"/>
    <n v="7.2466099999999996"/>
    <n v="0"/>
    <n v="36.403585998178905"/>
    <n v="10.074809155249902"/>
  </r>
  <r>
    <s v="Regular"/>
    <x v="3"/>
    <x v="3"/>
    <x v="2"/>
    <x v="0"/>
    <x v="0"/>
    <x v="0"/>
    <x v="1"/>
    <x v="0"/>
    <n v="0"/>
    <n v="0"/>
    <n v="0.29199999999999998"/>
    <n v="0.29199999999999998"/>
    <n v="0.29199999999999998"/>
    <n v="0.29199999999999998"/>
    <n v="0"/>
    <x v="0"/>
    <n v="0"/>
    <n v="0"/>
    <n v="49"/>
    <n v="93"/>
    <n v="0"/>
    <n v="1039.0999999999999"/>
    <n v="237.87"/>
    <m/>
    <n v="1141.089509550284"/>
    <n v="340.94158486574412"/>
    <n v="0"/>
    <n v="303.41719999999998"/>
    <n v="69.458039999999997"/>
    <n v="0"/>
    <n v="333.19813678868292"/>
    <n v="99.554942780797276"/>
  </r>
  <r>
    <s v="Sistema Isolado - Regular"/>
    <x v="3"/>
    <x v="3"/>
    <x v="2"/>
    <x v="0"/>
    <x v="0"/>
    <x v="0"/>
    <x v="1"/>
    <x v="0"/>
    <n v="0"/>
    <n v="0"/>
    <n v="1E-3"/>
    <n v="1E-3"/>
    <n v="1E-3"/>
    <n v="1E-3"/>
    <n v="0"/>
    <x v="0"/>
    <n v="0"/>
    <n v="0"/>
    <n v="49"/>
    <n v="93"/>
    <n v="0"/>
    <n v="1039.0999999999999"/>
    <n v="237.87"/>
    <m/>
    <n v="1141.089509550284"/>
    <n v="340.94158486574412"/>
    <n v="0"/>
    <n v="1.0390999999999999"/>
    <n v="0.23787"/>
    <n v="0"/>
    <n v="1.141089509550284"/>
    <n v="0.34094158486574411"/>
  </r>
  <r>
    <s v="Regular"/>
    <x v="3"/>
    <x v="3"/>
    <x v="2"/>
    <x v="0"/>
    <x v="0"/>
    <x v="0"/>
    <x v="1"/>
    <x v="1"/>
    <n v="0"/>
    <n v="0"/>
    <n v="0.29599999999999999"/>
    <n v="0.29599999999999999"/>
    <n v="0.29599999999999999"/>
    <n v="0.29599999999999999"/>
    <n v="0"/>
    <x v="0"/>
    <n v="0"/>
    <n v="0"/>
    <n v="49"/>
    <n v="93"/>
    <n v="0"/>
    <n v="1039.0999999999999"/>
    <n v="237.87"/>
    <m/>
    <n v="1141.089509550284"/>
    <n v="340.94158486574412"/>
    <n v="0"/>
    <n v="307.57359999999994"/>
    <n v="70.409520000000001"/>
    <n v="0"/>
    <n v="337.76249482688405"/>
    <n v="100.91870912026026"/>
  </r>
  <r>
    <s v="Sistema Isolado - Regular"/>
    <x v="3"/>
    <x v="3"/>
    <x v="2"/>
    <x v="0"/>
    <x v="0"/>
    <x v="0"/>
    <x v="1"/>
    <x v="1"/>
    <n v="0"/>
    <n v="0"/>
    <n v="1.2999999999999999E-2"/>
    <n v="1.2999999999999999E-2"/>
    <n v="1.2999999999999999E-2"/>
    <n v="1.2999999999999999E-2"/>
    <n v="0"/>
    <x v="0"/>
    <n v="0"/>
    <n v="0"/>
    <n v="49"/>
    <n v="93"/>
    <n v="0"/>
    <n v="1039.0999999999999"/>
    <n v="237.87"/>
    <m/>
    <n v="1141.089509550284"/>
    <n v="340.94158486574412"/>
    <n v="0"/>
    <n v="13.508299999999998"/>
    <n v="3.0923099999999999"/>
    <n v="0"/>
    <n v="14.834163624153691"/>
    <n v="4.4322406032546731"/>
  </r>
  <r>
    <s v="Regular"/>
    <x v="3"/>
    <x v="3"/>
    <x v="2"/>
    <x v="0"/>
    <x v="0"/>
    <x v="0"/>
    <x v="1"/>
    <x v="2"/>
    <n v="0"/>
    <n v="0"/>
    <n v="0.315"/>
    <n v="0.315"/>
    <n v="0.315"/>
    <n v="0.315"/>
    <n v="0"/>
    <x v="0"/>
    <n v="0"/>
    <n v="0"/>
    <n v="49"/>
    <n v="93"/>
    <n v="0"/>
    <n v="1039.0999999999999"/>
    <n v="237.87"/>
    <m/>
    <n v="1141.089509550284"/>
    <n v="340.94158486574412"/>
    <n v="0"/>
    <n v="327.31649999999996"/>
    <n v="74.929050000000004"/>
    <n v="0"/>
    <n v="359.44319550833944"/>
    <n v="107.39659923270939"/>
  </r>
  <r>
    <s v="Sistema Isolado - Regular"/>
    <x v="3"/>
    <x v="3"/>
    <x v="2"/>
    <x v="0"/>
    <x v="0"/>
    <x v="0"/>
    <x v="1"/>
    <x v="2"/>
    <n v="0"/>
    <n v="0"/>
    <n v="1.7999999999999999E-2"/>
    <n v="1.7999999999999999E-2"/>
    <n v="1.7999999999999999E-2"/>
    <n v="1.7999999999999999E-2"/>
    <n v="0"/>
    <x v="0"/>
    <n v="0"/>
    <n v="0"/>
    <n v="49"/>
    <n v="93"/>
    <n v="0"/>
    <n v="1039.0999999999999"/>
    <n v="237.87"/>
    <m/>
    <n v="1141.089509550284"/>
    <n v="340.94158486574412"/>
    <n v="0"/>
    <n v="18.703799999999998"/>
    <n v="4.2816599999999996"/>
    <n v="0"/>
    <n v="20.539611171905111"/>
    <n v="6.1369485275833933"/>
  </r>
  <r>
    <s v="Regular"/>
    <x v="3"/>
    <x v="3"/>
    <x v="2"/>
    <x v="0"/>
    <x v="0"/>
    <x v="0"/>
    <x v="1"/>
    <x v="3"/>
    <n v="0"/>
    <n v="0"/>
    <n v="0.23400000000000001"/>
    <n v="0.23400000000000001"/>
    <n v="0.23400000000000001"/>
    <n v="0.23400000000000001"/>
    <n v="0"/>
    <x v="0"/>
    <n v="0"/>
    <n v="0"/>
    <n v="49"/>
    <n v="93"/>
    <n v="0"/>
    <n v="1039.0999999999999"/>
    <n v="237.87"/>
    <m/>
    <n v="1141.089509550284"/>
    <n v="340.94158486574412"/>
    <n v="0"/>
    <n v="243.14939999999999"/>
    <n v="55.661580000000008"/>
    <n v="0"/>
    <n v="267.01494523476646"/>
    <n v="79.780330858584122"/>
  </r>
  <r>
    <s v="Regular"/>
    <x v="3"/>
    <x v="3"/>
    <x v="2"/>
    <x v="0"/>
    <x v="0"/>
    <x v="0"/>
    <x v="1"/>
    <x v="4"/>
    <n v="0"/>
    <n v="0"/>
    <n v="0.26700000000000002"/>
    <n v="0.26700000000000002"/>
    <n v="0.26700000000000002"/>
    <n v="0.26700000000000002"/>
    <n v="0"/>
    <x v="0"/>
    <n v="0"/>
    <n v="0"/>
    <n v="49"/>
    <n v="93"/>
    <n v="0"/>
    <n v="1039.0999999999999"/>
    <n v="237.87"/>
    <m/>
    <n v="1141.089509550284"/>
    <n v="340.94158486574412"/>
    <n v="0"/>
    <n v="277.43970000000002"/>
    <n v="63.511290000000002"/>
    <n v="0"/>
    <n v="304.67089904992582"/>
    <n v="91.031403159153683"/>
  </r>
  <r>
    <s v="Regular"/>
    <x v="3"/>
    <x v="3"/>
    <x v="2"/>
    <x v="0"/>
    <x v="0"/>
    <x v="0"/>
    <x v="1"/>
    <x v="5"/>
    <n v="0"/>
    <n v="0"/>
    <n v="0.34200000000000003"/>
    <n v="0.34200000000000003"/>
    <n v="0.34200000000000003"/>
    <n v="0.34200000000000003"/>
    <n v="0"/>
    <x v="0"/>
    <n v="0"/>
    <n v="0"/>
    <n v="49"/>
    <n v="93"/>
    <n v="0"/>
    <n v="1039.0999999999999"/>
    <n v="237.87"/>
    <m/>
    <n v="1141.089509550284"/>
    <n v="340.94158486574412"/>
    <n v="0"/>
    <n v="355.37220000000002"/>
    <n v="81.351540000000014"/>
    <n v="0"/>
    <n v="390.25261226619716"/>
    <n v="116.60202202408449"/>
  </r>
  <r>
    <s v="Regular"/>
    <x v="3"/>
    <x v="3"/>
    <x v="2"/>
    <x v="0"/>
    <x v="0"/>
    <x v="0"/>
    <x v="1"/>
    <x v="6"/>
    <n v="0"/>
    <n v="0"/>
    <n v="0.26200000000000001"/>
    <n v="0.26200000000000001"/>
    <n v="0.26200000000000001"/>
    <n v="0.26200000000000001"/>
    <n v="0"/>
    <x v="0"/>
    <n v="0"/>
    <n v="0"/>
    <n v="49"/>
    <n v="93"/>
    <n v="0"/>
    <n v="1039.0999999999999"/>
    <n v="237.87"/>
    <m/>
    <n v="1141.089509550284"/>
    <n v="340.94158486574412"/>
    <n v="0"/>
    <n v="272.24419999999998"/>
    <n v="62.321940000000005"/>
    <n v="0"/>
    <n v="298.9654515021744"/>
    <n v="89.326695234824967"/>
  </r>
  <r>
    <s v="Regular"/>
    <x v="3"/>
    <x v="3"/>
    <x v="2"/>
    <x v="0"/>
    <x v="0"/>
    <x v="0"/>
    <x v="1"/>
    <x v="7"/>
    <n v="0"/>
    <n v="0"/>
    <n v="0.24"/>
    <n v="0.24"/>
    <n v="0.24"/>
    <n v="0.24"/>
    <n v="0"/>
    <x v="0"/>
    <n v="0"/>
    <n v="0"/>
    <n v="49"/>
    <n v="93"/>
    <n v="0"/>
    <n v="1039.0999999999999"/>
    <n v="237.87"/>
    <m/>
    <n v="1141.089509550284"/>
    <n v="340.94158486574412"/>
    <n v="0"/>
    <n v="249.38399999999996"/>
    <n v="57.088799999999999"/>
    <n v="0"/>
    <n v="273.86148229206816"/>
    <n v="81.825980367778584"/>
  </r>
  <r>
    <s v="Regular"/>
    <x v="3"/>
    <x v="3"/>
    <x v="2"/>
    <x v="0"/>
    <x v="0"/>
    <x v="0"/>
    <x v="1"/>
    <x v="8"/>
    <n v="0"/>
    <n v="0"/>
    <n v="0.29899999999999999"/>
    <n v="0.29899999999999999"/>
    <n v="0.29899999999999999"/>
    <n v="0.29899999999999999"/>
    <n v="0"/>
    <x v="0"/>
    <n v="0"/>
    <n v="0"/>
    <n v="49"/>
    <n v="93"/>
    <n v="0"/>
    <n v="1039.0999999999999"/>
    <n v="237.87"/>
    <m/>
    <n v="1141.089509550284"/>
    <n v="340.94158486574412"/>
    <n v="0"/>
    <n v="310.69089999999994"/>
    <n v="71.123130000000003"/>
    <n v="0"/>
    <n v="341.1857633555349"/>
    <n v="101.94153387485748"/>
  </r>
  <r>
    <s v="Regular"/>
    <x v="3"/>
    <x v="3"/>
    <x v="2"/>
    <x v="0"/>
    <x v="0"/>
    <x v="0"/>
    <x v="1"/>
    <x v="9"/>
    <n v="0"/>
    <n v="0"/>
    <n v="0.23599999999999999"/>
    <n v="0.23599999999999999"/>
    <n v="0.23599999999999999"/>
    <n v="0.23599999999999999"/>
    <n v="0"/>
    <x v="0"/>
    <n v="0"/>
    <n v="0"/>
    <n v="49"/>
    <n v="93"/>
    <n v="0"/>
    <n v="1039.0999999999999"/>
    <n v="237.87"/>
    <m/>
    <n v="1141.089509550284"/>
    <n v="340.94158486574412"/>
    <n v="0"/>
    <n v="245.22759999999997"/>
    <n v="56.137319999999995"/>
    <n v="0"/>
    <n v="269.29712425386703"/>
    <n v="80.462214028315614"/>
  </r>
  <r>
    <s v="Regular"/>
    <x v="3"/>
    <x v="3"/>
    <x v="2"/>
    <x v="0"/>
    <x v="0"/>
    <x v="0"/>
    <x v="1"/>
    <x v="10"/>
    <n v="0"/>
    <n v="0"/>
    <n v="0.309"/>
    <n v="0.309"/>
    <n v="0.309"/>
    <n v="0.309"/>
    <n v="0"/>
    <x v="0"/>
    <n v="0"/>
    <n v="0"/>
    <n v="49"/>
    <n v="93"/>
    <n v="0"/>
    <n v="1039.0999999999999"/>
    <n v="237.87"/>
    <m/>
    <n v="1141.089509550284"/>
    <n v="340.94158486574412"/>
    <n v="0"/>
    <n v="321.08189999999996"/>
    <n v="73.501829999999998"/>
    <n v="0"/>
    <n v="352.59665845103774"/>
    <n v="105.35094972351493"/>
  </r>
  <r>
    <s v="PROJETADO"/>
    <x v="3"/>
    <x v="3"/>
    <x v="2"/>
    <x v="0"/>
    <x v="0"/>
    <x v="0"/>
    <x v="1"/>
    <x v="11"/>
    <n v="0"/>
    <n v="0"/>
    <n v="0.309"/>
    <n v="0.309"/>
    <n v="0.309"/>
    <n v="0.309"/>
    <n v="0"/>
    <x v="0"/>
    <n v="0"/>
    <n v="0"/>
    <n v="49"/>
    <n v="93"/>
    <n v="0"/>
    <n v="1039.0999999999999"/>
    <n v="237.87"/>
    <m/>
    <n v="1141.089509550284"/>
    <n v="340.94158486574412"/>
    <n v="0"/>
    <n v="321.08189999999996"/>
    <n v="73.501829999999998"/>
    <n v="0"/>
    <n v="352.59665845103774"/>
    <n v="105.35094972351493"/>
  </r>
  <r>
    <s v="Regular"/>
    <x v="3"/>
    <x v="4"/>
    <x v="2"/>
    <x v="1"/>
    <x v="3"/>
    <x v="0"/>
    <x v="2"/>
    <x v="0"/>
    <n v="0"/>
    <n v="0"/>
    <n v="3.9769999999999999"/>
    <n v="3.9769999999999999"/>
    <n v="3.9769999999999999"/>
    <n v="3.9769999999999999"/>
    <n v="0"/>
    <x v="0"/>
    <n v="0"/>
    <n v="0"/>
    <n v="52"/>
    <n v="96"/>
    <n v="0"/>
    <n v="407.97"/>
    <n v="155.38999999999999"/>
    <m/>
    <n v="472.05179949641769"/>
    <n v="216.88611967035783"/>
    <n v="0"/>
    <n v="1622.4966899999999"/>
    <n v="617.98602999999991"/>
    <n v="0"/>
    <n v="1877.350006597253"/>
    <n v="862.55609792901305"/>
  </r>
  <r>
    <s v="Sistema Isolado - Regular"/>
    <x v="3"/>
    <x v="4"/>
    <x v="2"/>
    <x v="1"/>
    <x v="3"/>
    <x v="0"/>
    <x v="2"/>
    <x v="0"/>
    <n v="0"/>
    <n v="0"/>
    <n v="6.8330000000000002"/>
    <n v="6.8330000000000002"/>
    <n v="6.8330000000000002"/>
    <n v="6.8330000000000002"/>
    <n v="0"/>
    <x v="0"/>
    <n v="0"/>
    <n v="0"/>
    <n v="52"/>
    <n v="96"/>
    <n v="0"/>
    <n v="407.97"/>
    <n v="155.38999999999999"/>
    <m/>
    <n v="472.05179949641769"/>
    <n v="216.88611967035783"/>
    <n v="0"/>
    <n v="2787.6590100000003"/>
    <n v="1061.7798699999998"/>
    <n v="0"/>
    <n v="3225.5299459590219"/>
    <n v="1481.982855707555"/>
  </r>
  <r>
    <s v="Sistema Isolado - Refaturamento"/>
    <x v="3"/>
    <x v="4"/>
    <x v="2"/>
    <x v="1"/>
    <x v="3"/>
    <x v="0"/>
    <x v="2"/>
    <x v="0"/>
    <n v="0"/>
    <n v="0"/>
    <n v="0.05"/>
    <n v="0.05"/>
    <n v="0.05"/>
    <n v="0.05"/>
    <n v="0"/>
    <x v="0"/>
    <n v="0"/>
    <n v="0"/>
    <n v="52"/>
    <n v="96"/>
    <n v="0"/>
    <n v="407.97"/>
    <n v="155.38999999999999"/>
    <m/>
    <n v="472.05179949641769"/>
    <n v="216.88611967035783"/>
    <n v="0"/>
    <n v="20.398500000000002"/>
    <n v="7.7694999999999999"/>
    <n v="0"/>
    <n v="23.602589974820887"/>
    <n v="10.844305983517891"/>
  </r>
  <r>
    <s v="Regular"/>
    <x v="3"/>
    <x v="4"/>
    <x v="2"/>
    <x v="1"/>
    <x v="3"/>
    <x v="0"/>
    <x v="2"/>
    <x v="1"/>
    <n v="0"/>
    <n v="0"/>
    <n v="3.988"/>
    <n v="3.988"/>
    <n v="3.988"/>
    <n v="3.988"/>
    <n v="0"/>
    <x v="0"/>
    <n v="0"/>
    <n v="0"/>
    <n v="52"/>
    <n v="96"/>
    <n v="0"/>
    <n v="407.97"/>
    <n v="155.38999999999999"/>
    <m/>
    <n v="472.05179949641769"/>
    <n v="216.88611967035783"/>
    <n v="0"/>
    <n v="1626.9843600000002"/>
    <n v="619.69531999999992"/>
    <n v="0"/>
    <n v="1882.5425763917137"/>
    <n v="864.94184524538707"/>
  </r>
  <r>
    <s v="Sistema Isolado - Regular"/>
    <x v="3"/>
    <x v="4"/>
    <x v="2"/>
    <x v="1"/>
    <x v="3"/>
    <x v="0"/>
    <x v="2"/>
    <x v="1"/>
    <n v="0"/>
    <n v="0"/>
    <n v="0.13700000000000001"/>
    <n v="0.13700000000000001"/>
    <n v="0.13700000000000001"/>
    <n v="0.13700000000000001"/>
    <n v="0"/>
    <x v="0"/>
    <n v="0"/>
    <n v="0"/>
    <n v="52"/>
    <n v="96"/>
    <n v="0"/>
    <n v="407.97"/>
    <n v="155.38999999999999"/>
    <m/>
    <n v="472.05179949641769"/>
    <n v="216.88611967035783"/>
    <n v="0"/>
    <n v="55.891890000000011"/>
    <n v="21.288429999999998"/>
    <n v="0"/>
    <n v="64.671096531009226"/>
    <n v="29.713398394839025"/>
  </r>
  <r>
    <s v="Sistema Isolado - Refaturamento"/>
    <x v="3"/>
    <x v="4"/>
    <x v="2"/>
    <x v="1"/>
    <x v="3"/>
    <x v="0"/>
    <x v="2"/>
    <x v="1"/>
    <n v="0"/>
    <n v="0"/>
    <n v="-6.13"/>
    <n v="-6.13"/>
    <n v="-6.13"/>
    <n v="-6.13"/>
    <n v="0"/>
    <x v="0"/>
    <n v="0"/>
    <n v="0"/>
    <n v="52"/>
    <n v="96"/>
    <n v="0"/>
    <n v="407.97"/>
    <n v="155.38999999999999"/>
    <m/>
    <n v="472.05179949641769"/>
    <n v="216.88611967035783"/>
    <n v="0"/>
    <n v="-2500.8561"/>
    <n v="-952.5406999999999"/>
    <n v="0"/>
    <n v="-2893.6775309130403"/>
    <n v="-1329.5119135792934"/>
  </r>
  <r>
    <s v="Regular"/>
    <x v="3"/>
    <x v="4"/>
    <x v="2"/>
    <x v="1"/>
    <x v="3"/>
    <x v="0"/>
    <x v="2"/>
    <x v="2"/>
    <n v="0"/>
    <n v="0"/>
    <n v="4.5960000000000001"/>
    <n v="4.5960000000000001"/>
    <n v="4.5960000000000001"/>
    <n v="4.5960000000000001"/>
    <n v="0"/>
    <x v="0"/>
    <n v="0"/>
    <n v="0"/>
    <n v="52"/>
    <n v="96"/>
    <n v="0"/>
    <n v="407.97"/>
    <n v="155.38999999999999"/>
    <m/>
    <n v="472.05179949641769"/>
    <n v="216.88611967035783"/>
    <n v="0"/>
    <n v="1875.0301200000001"/>
    <n v="714.17243999999994"/>
    <n v="0"/>
    <n v="2169.5500704855358"/>
    <n v="996.80860600496464"/>
  </r>
  <r>
    <s v="Sistema Isolado - Regular"/>
    <x v="3"/>
    <x v="4"/>
    <x v="2"/>
    <x v="1"/>
    <x v="3"/>
    <x v="0"/>
    <x v="2"/>
    <x v="2"/>
    <n v="0"/>
    <n v="0"/>
    <n v="0.128"/>
    <n v="0.128"/>
    <n v="0.128"/>
    <n v="0.128"/>
    <n v="0"/>
    <x v="0"/>
    <n v="0"/>
    <n v="0"/>
    <n v="52"/>
    <n v="96"/>
    <n v="0"/>
    <n v="407.97"/>
    <n v="155.38999999999999"/>
    <m/>
    <n v="472.05179949641769"/>
    <n v="216.88611967035783"/>
    <n v="0"/>
    <n v="52.220160000000007"/>
    <n v="19.88992"/>
    <n v="0"/>
    <n v="60.422630335541463"/>
    <n v="27.761423317805804"/>
  </r>
  <r>
    <s v="Sistema Isolado - Refaturamento"/>
    <x v="3"/>
    <x v="4"/>
    <x v="2"/>
    <x v="1"/>
    <x v="3"/>
    <x v="0"/>
    <x v="2"/>
    <x v="2"/>
    <n v="0"/>
    <n v="0"/>
    <n v="-4.6050000000000004"/>
    <n v="-4.6050000000000004"/>
    <n v="-4.6050000000000004"/>
    <n v="-4.6050000000000004"/>
    <n v="0"/>
    <x v="0"/>
    <n v="0"/>
    <n v="0"/>
    <n v="52"/>
    <n v="96"/>
    <n v="0"/>
    <n v="407.97"/>
    <n v="155.38999999999999"/>
    <m/>
    <n v="472.05179949641769"/>
    <n v="216.88611967035783"/>
    <n v="0"/>
    <n v="-1878.7018500000004"/>
    <n v="-715.57095000000004"/>
    <n v="0"/>
    <n v="-2173.7985366810035"/>
    <n v="-998.76058108199788"/>
  </r>
  <r>
    <s v="Regular"/>
    <x v="3"/>
    <x v="4"/>
    <x v="2"/>
    <x v="1"/>
    <x v="3"/>
    <x v="0"/>
    <x v="2"/>
    <x v="3"/>
    <n v="0"/>
    <n v="0"/>
    <n v="5.0549999999999997"/>
    <n v="5.0549999999999997"/>
    <n v="5.0549999999999997"/>
    <n v="5.0549999999999997"/>
    <n v="0"/>
    <x v="0"/>
    <n v="0"/>
    <n v="0"/>
    <n v="52"/>
    <n v="96"/>
    <n v="0"/>
    <n v="407.97"/>
    <n v="155.38999999999999"/>
    <m/>
    <n v="472.05179949641769"/>
    <n v="216.88611967035783"/>
    <n v="0"/>
    <n v="2062.2883499999998"/>
    <n v="785.49644999999987"/>
    <n v="0"/>
    <n v="2386.2218464543912"/>
    <n v="1096.3593349336588"/>
  </r>
  <r>
    <s v="Sistema Isolado - Regular"/>
    <x v="3"/>
    <x v="4"/>
    <x v="2"/>
    <x v="1"/>
    <x v="3"/>
    <x v="0"/>
    <x v="2"/>
    <x v="3"/>
    <n v="0"/>
    <n v="0"/>
    <n v="1.7999999999999999E-2"/>
    <n v="1.7999999999999999E-2"/>
    <n v="1.7999999999999999E-2"/>
    <n v="1.7999999999999999E-2"/>
    <n v="0"/>
    <x v="0"/>
    <n v="0"/>
    <n v="0"/>
    <n v="52"/>
    <n v="96"/>
    <n v="0"/>
    <n v="407.97"/>
    <n v="155.38999999999999"/>
    <m/>
    <n v="472.05179949641769"/>
    <n v="216.88611967035783"/>
    <n v="0"/>
    <n v="7.3434600000000003"/>
    <n v="2.7970199999999994"/>
    <n v="0"/>
    <n v="8.4969323909355179"/>
    <n v="3.9039501540664405"/>
  </r>
  <r>
    <s v="Regular"/>
    <x v="3"/>
    <x v="4"/>
    <x v="2"/>
    <x v="1"/>
    <x v="3"/>
    <x v="0"/>
    <x v="2"/>
    <x v="4"/>
    <n v="0"/>
    <n v="0"/>
    <n v="3.76"/>
    <n v="3.76"/>
    <n v="3.76"/>
    <n v="3.76"/>
    <n v="0"/>
    <x v="0"/>
    <n v="0"/>
    <n v="0"/>
    <n v="52"/>
    <n v="96"/>
    <n v="0"/>
    <n v="407.97"/>
    <n v="155.38999999999999"/>
    <m/>
    <n v="472.05179949641769"/>
    <n v="216.88611967035783"/>
    <n v="0"/>
    <n v="1533.9672"/>
    <n v="584.26639999999986"/>
    <n v="0"/>
    <n v="1774.9147661065304"/>
    <n v="815.49180996054542"/>
  </r>
  <r>
    <s v="Refaturamento - Regular"/>
    <x v="3"/>
    <x v="4"/>
    <x v="2"/>
    <x v="1"/>
    <x v="3"/>
    <x v="0"/>
    <x v="2"/>
    <x v="4"/>
    <n v="0"/>
    <n v="0"/>
    <n v="-12.438000000000001"/>
    <n v="-12.438000000000001"/>
    <n v="-12.438000000000001"/>
    <n v="-12.438000000000001"/>
    <n v="0"/>
    <x v="0"/>
    <n v="0"/>
    <n v="0"/>
    <n v="52"/>
    <n v="96"/>
    <n v="0"/>
    <n v="407.97"/>
    <n v="155.38999999999999"/>
    <m/>
    <n v="472.05179949641769"/>
    <n v="216.88611967035783"/>
    <n v="0"/>
    <n v="-5074.3308600000009"/>
    <n v="-1932.74082"/>
    <n v="0"/>
    <n v="-5871.3802821364434"/>
    <n v="-2697.6295564599109"/>
  </r>
  <r>
    <s v="Sistema Isolado - Regular"/>
    <x v="3"/>
    <x v="4"/>
    <x v="2"/>
    <x v="1"/>
    <x v="3"/>
    <x v="0"/>
    <x v="2"/>
    <x v="4"/>
    <n v="0"/>
    <n v="0"/>
    <n v="0.57199999999999995"/>
    <n v="0.57199999999999995"/>
    <n v="0.57199999999999995"/>
    <n v="0.57199999999999995"/>
    <n v="0"/>
    <x v="0"/>
    <n v="0"/>
    <n v="0"/>
    <n v="52"/>
    <n v="96"/>
    <n v="0"/>
    <n v="407.97"/>
    <n v="155.38999999999999"/>
    <m/>
    <n v="472.05179949641769"/>
    <n v="216.88611967035783"/>
    <n v="0"/>
    <n v="233.35883999999999"/>
    <n v="88.883079999999978"/>
    <n v="0"/>
    <n v="270.01362931195092"/>
    <n v="124.05886045144467"/>
  </r>
  <r>
    <s v="Regular"/>
    <x v="3"/>
    <x v="4"/>
    <x v="2"/>
    <x v="1"/>
    <x v="3"/>
    <x v="0"/>
    <x v="2"/>
    <x v="5"/>
    <n v="0"/>
    <n v="0"/>
    <n v="15.972"/>
    <n v="15.972"/>
    <n v="15.972"/>
    <n v="15.972"/>
    <n v="0"/>
    <x v="0"/>
    <n v="0"/>
    <n v="0"/>
    <n v="52"/>
    <n v="96"/>
    <n v="0"/>
    <n v="407.97"/>
    <n v="155.38999999999999"/>
    <m/>
    <n v="472.05179949641769"/>
    <n v="216.88611967035783"/>
    <n v="0"/>
    <n v="6516.0968400000002"/>
    <n v="2481.8890799999999"/>
    <n v="0"/>
    <n v="7539.6113415567834"/>
    <n v="3464.105103374955"/>
  </r>
  <r>
    <s v="Refaturamento - Regular"/>
    <x v="3"/>
    <x v="4"/>
    <x v="2"/>
    <x v="1"/>
    <x v="3"/>
    <x v="0"/>
    <x v="2"/>
    <x v="5"/>
    <n v="0"/>
    <n v="0"/>
    <n v="-0.25700000000000001"/>
    <n v="-0.25700000000000001"/>
    <n v="-0.25700000000000001"/>
    <n v="-0.25700000000000001"/>
    <n v="0"/>
    <x v="0"/>
    <n v="0"/>
    <n v="0"/>
    <n v="52"/>
    <n v="96"/>
    <n v="0"/>
    <n v="407.97"/>
    <n v="155.38999999999999"/>
    <m/>
    <n v="472.05179949641769"/>
    <n v="216.88611967035783"/>
    <n v="0"/>
    <n v="-104.84829000000001"/>
    <n v="-39.935229999999997"/>
    <n v="0"/>
    <n v="-121.31731247057935"/>
    <n v="-55.739732755281963"/>
  </r>
  <r>
    <s v="Sistema Isolado - Regular"/>
    <x v="3"/>
    <x v="4"/>
    <x v="2"/>
    <x v="1"/>
    <x v="3"/>
    <x v="0"/>
    <x v="2"/>
    <x v="5"/>
    <n v="0"/>
    <n v="0"/>
    <n v="2.573"/>
    <n v="2.573"/>
    <n v="2.573"/>
    <n v="2.573"/>
    <n v="0"/>
    <x v="0"/>
    <n v="0"/>
    <n v="0"/>
    <n v="52"/>
    <n v="96"/>
    <n v="0"/>
    <n v="407.97"/>
    <n v="155.38999999999999"/>
    <m/>
    <n v="472.05179949641769"/>
    <n v="216.88611967035783"/>
    <n v="0"/>
    <n v="1049.7068100000001"/>
    <n v="399.81846999999993"/>
    <n v="0"/>
    <n v="1214.5892801042826"/>
    <n v="558.04798591183066"/>
  </r>
  <r>
    <s v="Regular"/>
    <x v="3"/>
    <x v="4"/>
    <x v="2"/>
    <x v="1"/>
    <x v="3"/>
    <x v="0"/>
    <x v="2"/>
    <x v="6"/>
    <n v="0"/>
    <n v="0"/>
    <n v="9.6989999999999998"/>
    <n v="9.6989999999999998"/>
    <n v="9.6989999999999998"/>
    <n v="9.6989999999999998"/>
    <n v="0"/>
    <x v="0"/>
    <n v="0"/>
    <n v="0"/>
    <n v="52"/>
    <n v="96"/>
    <n v="0"/>
    <n v="407.97"/>
    <n v="155.38999999999999"/>
    <m/>
    <n v="472.05179949641769"/>
    <n v="216.88611967035783"/>
    <n v="0"/>
    <n v="3956.90103"/>
    <n v="1507.1276099999998"/>
    <n v="0"/>
    <n v="4578.430403315755"/>
    <n v="2103.5784746828003"/>
  </r>
  <r>
    <s v="Refaturamento - Regular"/>
    <x v="3"/>
    <x v="4"/>
    <x v="2"/>
    <x v="1"/>
    <x v="3"/>
    <x v="0"/>
    <x v="2"/>
    <x v="6"/>
    <n v="0"/>
    <n v="0"/>
    <n v="-7.1219999999999999"/>
    <n v="-7.1219999999999999"/>
    <n v="-7.1219999999999999"/>
    <n v="-7.1219999999999999"/>
    <n v="0"/>
    <x v="0"/>
    <n v="0"/>
    <n v="0"/>
    <n v="52"/>
    <n v="96"/>
    <n v="0"/>
    <n v="407.97"/>
    <n v="155.38999999999999"/>
    <m/>
    <n v="472.05179949641769"/>
    <n v="216.88611967035783"/>
    <n v="0"/>
    <n v="-2905.5623399999999"/>
    <n v="-1106.6875799999998"/>
    <n v="0"/>
    <n v="-3361.9529160134866"/>
    <n v="-1544.6629442922883"/>
  </r>
  <r>
    <s v="Sistema Isolado - Regular"/>
    <x v="3"/>
    <x v="4"/>
    <x v="2"/>
    <x v="1"/>
    <x v="3"/>
    <x v="0"/>
    <x v="2"/>
    <x v="6"/>
    <n v="0"/>
    <n v="0"/>
    <n v="1.0009999999999999"/>
    <n v="1.0009999999999999"/>
    <n v="1.0009999999999999"/>
    <n v="1.0009999999999999"/>
    <n v="0"/>
    <x v="0"/>
    <n v="0"/>
    <n v="0"/>
    <n v="52"/>
    <n v="96"/>
    <n v="0"/>
    <n v="407.97"/>
    <n v="155.38999999999999"/>
    <m/>
    <n v="472.05179949641769"/>
    <n v="216.88611967035783"/>
    <n v="0"/>
    <n v="408.37797"/>
    <n v="155.54538999999997"/>
    <n v="0"/>
    <n v="472.52385129591403"/>
    <n v="217.10300579002816"/>
  </r>
  <r>
    <s v="Regular"/>
    <x v="3"/>
    <x v="4"/>
    <x v="2"/>
    <x v="1"/>
    <x v="3"/>
    <x v="0"/>
    <x v="2"/>
    <x v="7"/>
    <n v="0"/>
    <n v="0"/>
    <n v="3.0059999999999998"/>
    <n v="3.0059999999999998"/>
    <n v="3.0059999999999998"/>
    <n v="3.0059999999999998"/>
    <n v="0"/>
    <x v="0"/>
    <n v="0"/>
    <n v="0"/>
    <n v="52"/>
    <n v="96"/>
    <n v="0"/>
    <n v="407.97"/>
    <n v="155.38999999999999"/>
    <m/>
    <n v="472.05179949641769"/>
    <n v="216.88611967035783"/>
    <n v="0"/>
    <n v="1226.3578199999999"/>
    <n v="467.10233999999991"/>
    <n v="0"/>
    <n v="1418.9877092862314"/>
    <n v="651.95967572909558"/>
  </r>
  <r>
    <s v="Sistema Isolado - Regular"/>
    <x v="3"/>
    <x v="4"/>
    <x v="2"/>
    <x v="1"/>
    <x v="3"/>
    <x v="0"/>
    <x v="2"/>
    <x v="7"/>
    <n v="0"/>
    <n v="0"/>
    <n v="1.712"/>
    <n v="1.712"/>
    <n v="1.712"/>
    <n v="1.712"/>
    <n v="0"/>
    <x v="0"/>
    <n v="0"/>
    <n v="0"/>
    <n v="52"/>
    <n v="96"/>
    <n v="0"/>
    <n v="407.97"/>
    <n v="155.38999999999999"/>
    <m/>
    <n v="472.05179949641769"/>
    <n v="216.88611967035783"/>
    <n v="0"/>
    <n v="698.44464000000005"/>
    <n v="266.02767999999998"/>
    <n v="0"/>
    <n v="808.15268073786706"/>
    <n v="371.30903687565262"/>
  </r>
  <r>
    <s v="Regular"/>
    <x v="3"/>
    <x v="4"/>
    <x v="2"/>
    <x v="1"/>
    <x v="3"/>
    <x v="0"/>
    <x v="2"/>
    <x v="8"/>
    <n v="0"/>
    <n v="0"/>
    <n v="1.7569999999999999"/>
    <n v="1.7569999999999999"/>
    <n v="1.7569999999999999"/>
    <n v="1.7569999999999999"/>
    <n v="0"/>
    <x v="0"/>
    <n v="0"/>
    <n v="0"/>
    <n v="52"/>
    <n v="96"/>
    <n v="0"/>
    <n v="407.97"/>
    <n v="155.38999999999999"/>
    <m/>
    <n v="472.05179949641769"/>
    <n v="216.88611967035783"/>
    <n v="0"/>
    <n v="716.80329000000006"/>
    <n v="273.02022999999997"/>
    <n v="0"/>
    <n v="829.39501171520578"/>
    <n v="381.06891226081871"/>
  </r>
  <r>
    <s v="Sistema Isolado - Regular"/>
    <x v="3"/>
    <x v="4"/>
    <x v="2"/>
    <x v="1"/>
    <x v="3"/>
    <x v="0"/>
    <x v="2"/>
    <x v="8"/>
    <n v="0"/>
    <n v="0"/>
    <n v="2.359"/>
    <n v="2.359"/>
    <n v="2.359"/>
    <n v="2.359"/>
    <n v="0"/>
    <x v="0"/>
    <n v="0"/>
    <n v="0"/>
    <n v="52"/>
    <n v="96"/>
    <n v="0"/>
    <n v="407.97"/>
    <n v="155.38999999999999"/>
    <m/>
    <n v="472.05179949641769"/>
    <n v="216.88611967035783"/>
    <n v="0"/>
    <n v="962.40123000000006"/>
    <n v="366.56500999999997"/>
    <n v="0"/>
    <n v="1113.5701950120492"/>
    <n v="511.6343563023741"/>
  </r>
  <r>
    <s v="Regular"/>
    <x v="3"/>
    <x v="4"/>
    <x v="2"/>
    <x v="1"/>
    <x v="3"/>
    <x v="0"/>
    <x v="2"/>
    <x v="9"/>
    <n v="0"/>
    <n v="0"/>
    <n v="4.3470000000000004"/>
    <n v="4.3470000000000004"/>
    <n v="4.3470000000000004"/>
    <n v="4.3470000000000004"/>
    <n v="0"/>
    <x v="0"/>
    <n v="0"/>
    <n v="0"/>
    <n v="52"/>
    <n v="96"/>
    <n v="0"/>
    <n v="407.97"/>
    <n v="155.38999999999999"/>
    <m/>
    <n v="472.05179949641769"/>
    <n v="216.88611967035783"/>
    <n v="0"/>
    <n v="1773.4455900000003"/>
    <n v="675.48032999999998"/>
    <n v="0"/>
    <n v="2052.0091724109279"/>
    <n v="942.80396220704563"/>
  </r>
  <r>
    <s v="Sistema Isolado - Regular"/>
    <x v="3"/>
    <x v="4"/>
    <x v="2"/>
    <x v="1"/>
    <x v="3"/>
    <x v="0"/>
    <x v="2"/>
    <x v="9"/>
    <n v="0"/>
    <n v="0"/>
    <n v="2.4380000000000002"/>
    <n v="2.4380000000000002"/>
    <n v="2.4380000000000002"/>
    <n v="2.4380000000000002"/>
    <n v="0"/>
    <x v="0"/>
    <n v="0"/>
    <n v="0"/>
    <n v="52"/>
    <n v="96"/>
    <n v="0"/>
    <n v="407.97"/>
    <n v="155.38999999999999"/>
    <m/>
    <n v="472.05179949641769"/>
    <n v="216.88611967035783"/>
    <n v="0"/>
    <n v="994.6308600000001"/>
    <n v="378.84082000000001"/>
    <n v="0"/>
    <n v="1150.8622871722664"/>
    <n v="528.76835975633242"/>
  </r>
  <r>
    <s v="Regular"/>
    <x v="3"/>
    <x v="4"/>
    <x v="2"/>
    <x v="1"/>
    <x v="3"/>
    <x v="0"/>
    <x v="2"/>
    <x v="10"/>
    <n v="0"/>
    <n v="0"/>
    <n v="7.6920000000000002"/>
    <n v="7.6920000000000002"/>
    <n v="7.6920000000000002"/>
    <n v="7.6920000000000002"/>
    <n v="0"/>
    <x v="0"/>
    <n v="0"/>
    <n v="0"/>
    <n v="52"/>
    <n v="96"/>
    <n v="0"/>
    <n v="407.97"/>
    <n v="155.38999999999999"/>
    <m/>
    <n v="472.05179949641769"/>
    <n v="216.88611967035783"/>
    <n v="0"/>
    <n v="3138.1052400000003"/>
    <n v="1195.2598799999998"/>
    <n v="0"/>
    <n v="3631.0224417264449"/>
    <n v="1668.2880325043925"/>
  </r>
  <r>
    <s v="Sistema Isolado - Regular"/>
    <x v="3"/>
    <x v="4"/>
    <x v="2"/>
    <x v="1"/>
    <x v="3"/>
    <x v="0"/>
    <x v="2"/>
    <x v="10"/>
    <n v="0"/>
    <n v="0"/>
    <n v="3.1509999999999998"/>
    <n v="3.1509999999999998"/>
    <n v="3.1509999999999998"/>
    <n v="3.1509999999999998"/>
    <n v="0"/>
    <x v="0"/>
    <n v="0"/>
    <n v="0"/>
    <n v="52"/>
    <n v="96"/>
    <n v="0"/>
    <n v="407.97"/>
    <n v="155.38999999999999"/>
    <m/>
    <n v="472.05179949641769"/>
    <n v="216.88611967035783"/>
    <n v="0"/>
    <n v="1285.5134700000001"/>
    <n v="489.63388999999995"/>
    <n v="0"/>
    <n v="1487.435220213212"/>
    <n v="683.40816308129752"/>
  </r>
  <r>
    <s v="PROJETADO"/>
    <x v="3"/>
    <x v="4"/>
    <x v="2"/>
    <x v="1"/>
    <x v="3"/>
    <x v="0"/>
    <x v="2"/>
    <x v="11"/>
    <n v="0"/>
    <n v="0"/>
    <n v="7.6920000000000002"/>
    <n v="7.6920000000000002"/>
    <n v="7.6920000000000002"/>
    <n v="7.6920000000000002"/>
    <n v="0"/>
    <x v="0"/>
    <n v="0"/>
    <n v="0"/>
    <n v="52"/>
    <n v="96"/>
    <n v="0"/>
    <n v="407.97"/>
    <n v="155.38999999999999"/>
    <m/>
    <n v="472.05179949641769"/>
    <n v="216.88611967035783"/>
    <n v="0"/>
    <n v="3138.1052400000003"/>
    <n v="1195.2598799999998"/>
    <n v="0"/>
    <n v="3631.0224417264449"/>
    <n v="1668.2880325043925"/>
  </r>
  <r>
    <s v="PROJETADO"/>
    <x v="3"/>
    <x v="4"/>
    <x v="2"/>
    <x v="1"/>
    <x v="3"/>
    <x v="0"/>
    <x v="2"/>
    <x v="11"/>
    <n v="0"/>
    <n v="0"/>
    <n v="3.1509999999999998"/>
    <n v="3.1509999999999998"/>
    <n v="3.1509999999999998"/>
    <n v="3.1509999999999998"/>
    <n v="0"/>
    <x v="0"/>
    <n v="0"/>
    <n v="0"/>
    <n v="52"/>
    <n v="96"/>
    <n v="0"/>
    <n v="407.97"/>
    <n v="155.38999999999999"/>
    <m/>
    <n v="472.05179949641769"/>
    <n v="216.88611967035783"/>
    <n v="0"/>
    <n v="1285.5134700000001"/>
    <n v="489.63388999999995"/>
    <n v="0"/>
    <n v="1487.435220213212"/>
    <n v="683.40816308129752"/>
  </r>
  <r>
    <s v="Regular"/>
    <x v="3"/>
    <x v="4"/>
    <x v="2"/>
    <x v="1"/>
    <x v="1"/>
    <x v="0"/>
    <x v="2"/>
    <x v="0"/>
    <n v="0"/>
    <n v="0"/>
    <n v="1.8819999999999999"/>
    <n v="0.62105999999999995"/>
    <n v="1.8819999999999999"/>
    <n v="0.62105999999999995"/>
    <n v="0"/>
    <x v="0"/>
    <n v="0"/>
    <n v="0"/>
    <n v="52"/>
    <n v="96"/>
    <n v="0"/>
    <n v="407.97"/>
    <n v="155.38999999999999"/>
    <m/>
    <n v="472.05179949641769"/>
    <n v="216.88611967035783"/>
    <n v="0"/>
    <n v="253.3738482"/>
    <n v="96.506513399999989"/>
    <n v="0"/>
    <n v="293.17249059524516"/>
    <n v="134.69929348247243"/>
  </r>
  <r>
    <s v="Sistema Isolado - Regular"/>
    <x v="3"/>
    <x v="4"/>
    <x v="2"/>
    <x v="1"/>
    <x v="1"/>
    <x v="0"/>
    <x v="2"/>
    <x v="0"/>
    <n v="0"/>
    <n v="0"/>
    <n v="1.224"/>
    <n v="0.40392"/>
    <n v="1.224"/>
    <n v="0.40392"/>
    <n v="0"/>
    <x v="0"/>
    <n v="0"/>
    <n v="0"/>
    <n v="52"/>
    <n v="96"/>
    <n v="0"/>
    <n v="407.97"/>
    <n v="155.38999999999999"/>
    <m/>
    <n v="472.05179949641769"/>
    <n v="216.88611967035783"/>
    <n v="0"/>
    <n v="164.78724240000003"/>
    <n v="62.765128799999992"/>
    <n v="0"/>
    <n v="190.67116285259303"/>
    <n v="87.604641457250935"/>
  </r>
  <r>
    <s v="Regular"/>
    <x v="3"/>
    <x v="4"/>
    <x v="2"/>
    <x v="1"/>
    <x v="1"/>
    <x v="0"/>
    <x v="2"/>
    <x v="1"/>
    <n v="0"/>
    <n v="0"/>
    <n v="1.351"/>
    <n v="0.44583"/>
    <n v="1.351"/>
    <n v="0.44583"/>
    <n v="0"/>
    <x v="0"/>
    <n v="0"/>
    <n v="0"/>
    <n v="52"/>
    <n v="96"/>
    <n v="0"/>
    <n v="407.97"/>
    <n v="155.38999999999999"/>
    <m/>
    <n v="472.05179949641769"/>
    <n v="216.88611967035783"/>
    <n v="0"/>
    <n v="181.88526510000003"/>
    <n v="69.277523699999989"/>
    <n v="0"/>
    <n v="210.4548537694879"/>
    <n v="96.694338732635629"/>
  </r>
  <r>
    <s v="Sistema Isolado - Regular"/>
    <x v="3"/>
    <x v="4"/>
    <x v="2"/>
    <x v="1"/>
    <x v="1"/>
    <x v="0"/>
    <x v="2"/>
    <x v="1"/>
    <n v="0"/>
    <n v="0"/>
    <n v="3.8969999999999998"/>
    <n v="1.2860100000000001"/>
    <n v="3.8969999999999998"/>
    <n v="1.2860100000000001"/>
    <n v="0"/>
    <x v="0"/>
    <n v="0"/>
    <n v="0"/>
    <n v="52"/>
    <n v="96"/>
    <n v="0"/>
    <n v="407.97"/>
    <n v="155.38999999999999"/>
    <m/>
    <n v="472.05179949641769"/>
    <n v="216.88611967035783"/>
    <n v="0"/>
    <n v="524.65349970000011"/>
    <n v="199.83309389999999"/>
    <n v="0"/>
    <n v="607.06333467038814"/>
    <n v="278.91771875727687"/>
  </r>
  <r>
    <s v="Sistema Isolado - Refaturamento"/>
    <x v="3"/>
    <x v="4"/>
    <x v="2"/>
    <x v="1"/>
    <x v="1"/>
    <x v="0"/>
    <x v="2"/>
    <x v="1"/>
    <n v="0"/>
    <n v="0"/>
    <n v="0.48799999999999999"/>
    <n v="0.16103999999999999"/>
    <n v="0.48799999999999999"/>
    <n v="0.16103999999999999"/>
    <n v="0"/>
    <x v="0"/>
    <n v="0"/>
    <n v="0"/>
    <n v="52"/>
    <n v="96"/>
    <n v="0"/>
    <n v="407.97"/>
    <n v="155.38999999999999"/>
    <m/>
    <n v="472.05179949641769"/>
    <n v="216.88611967035783"/>
    <n v="0"/>
    <n v="65.699488799999997"/>
    <n v="25.024005599999995"/>
    <n v="0"/>
    <n v="76.019221790903103"/>
    <n v="34.927340711714422"/>
  </r>
  <r>
    <s v="Regular"/>
    <x v="3"/>
    <x v="4"/>
    <x v="2"/>
    <x v="1"/>
    <x v="1"/>
    <x v="0"/>
    <x v="2"/>
    <x v="2"/>
    <n v="0"/>
    <n v="0"/>
    <n v="1.948"/>
    <n v="0.64283999999999997"/>
    <n v="1.948"/>
    <n v="0.64283999999999997"/>
    <n v="0"/>
    <x v="0"/>
    <n v="0"/>
    <n v="0"/>
    <n v="52"/>
    <n v="96"/>
    <n v="0"/>
    <n v="407.97"/>
    <n v="155.38999999999999"/>
    <m/>
    <n v="472.05179949641769"/>
    <n v="216.88611967035783"/>
    <n v="0"/>
    <n v="262.25943480000001"/>
    <n v="99.890907599999991"/>
    <n v="0"/>
    <n v="303.45377878827713"/>
    <n v="139.42307316889281"/>
  </r>
  <r>
    <s v="Sistema Isolado - Regular"/>
    <x v="3"/>
    <x v="4"/>
    <x v="2"/>
    <x v="1"/>
    <x v="1"/>
    <x v="0"/>
    <x v="2"/>
    <x v="2"/>
    <n v="0"/>
    <n v="0"/>
    <n v="1.242"/>
    <n v="0.40986"/>
    <n v="1.242"/>
    <n v="0.40986"/>
    <n v="0"/>
    <x v="0"/>
    <n v="0"/>
    <n v="0"/>
    <n v="52"/>
    <n v="96"/>
    <n v="0"/>
    <n v="407.97"/>
    <n v="155.38999999999999"/>
    <m/>
    <n v="472.05179949641769"/>
    <n v="216.88611967035783"/>
    <n v="0"/>
    <n v="167.2105842"/>
    <n v="63.688145399999996"/>
    <n v="0"/>
    <n v="193.47515054160175"/>
    <n v="88.892945008092866"/>
  </r>
  <r>
    <s v="Sistema Isolado - Refaturamento"/>
    <x v="3"/>
    <x v="4"/>
    <x v="2"/>
    <x v="1"/>
    <x v="1"/>
    <x v="0"/>
    <x v="2"/>
    <x v="2"/>
    <n v="0"/>
    <n v="0"/>
    <n v="4.5549999999999997"/>
    <n v="1.50315"/>
    <n v="4.5549999999999997"/>
    <n v="1.50315"/>
    <n v="0"/>
    <x v="0"/>
    <n v="0"/>
    <n v="0"/>
    <n v="52"/>
    <n v="96"/>
    <n v="0"/>
    <n v="407.97"/>
    <n v="155.38999999999999"/>
    <m/>
    <n v="472.05179949641769"/>
    <n v="216.88611967035783"/>
    <n v="0"/>
    <n v="613.24010550000003"/>
    <n v="233.57447849999997"/>
    <n v="0"/>
    <n v="709.5646624130402"/>
    <n v="326.01237078249835"/>
  </r>
  <r>
    <s v="Regular"/>
    <x v="3"/>
    <x v="4"/>
    <x v="2"/>
    <x v="1"/>
    <x v="1"/>
    <x v="0"/>
    <x v="2"/>
    <x v="3"/>
    <n v="0"/>
    <n v="0"/>
    <n v="1.423"/>
    <n v="0.46959000000000001"/>
    <n v="1.423"/>
    <n v="0.46959000000000001"/>
    <n v="0"/>
    <x v="0"/>
    <n v="0"/>
    <n v="0"/>
    <n v="52"/>
    <n v="96"/>
    <n v="0"/>
    <n v="407.97"/>
    <n v="155.38999999999999"/>
    <m/>
    <n v="472.05179949641769"/>
    <n v="216.88611967035783"/>
    <n v="0"/>
    <n v="191.57863230000001"/>
    <n v="72.969590099999991"/>
    <n v="0"/>
    <n v="221.67080452552278"/>
    <n v="101.84755293600334"/>
  </r>
  <r>
    <s v="Sistema Isolado - Regular"/>
    <x v="3"/>
    <x v="4"/>
    <x v="2"/>
    <x v="1"/>
    <x v="1"/>
    <x v="0"/>
    <x v="2"/>
    <x v="3"/>
    <n v="0"/>
    <n v="0"/>
    <n v="0.879"/>
    <n v="0.29006999999999999"/>
    <n v="0.879"/>
    <n v="0.29006999999999999"/>
    <n v="0"/>
    <x v="0"/>
    <n v="0"/>
    <n v="0"/>
    <n v="52"/>
    <n v="96"/>
    <n v="0"/>
    <n v="407.97"/>
    <n v="155.38999999999999"/>
    <m/>
    <n v="472.05179949641769"/>
    <n v="216.88611967035783"/>
    <n v="0"/>
    <n v="118.33985790000001"/>
    <n v="45.073977299999996"/>
    <n v="0"/>
    <n v="136.92806547992586"/>
    <n v="62.912156732780694"/>
  </r>
  <r>
    <s v="Regular"/>
    <x v="3"/>
    <x v="4"/>
    <x v="2"/>
    <x v="1"/>
    <x v="1"/>
    <x v="0"/>
    <x v="2"/>
    <x v="4"/>
    <n v="0"/>
    <n v="0"/>
    <n v="1.024"/>
    <n v="0.33792"/>
    <n v="1.024"/>
    <n v="0.33792"/>
    <n v="0"/>
    <x v="0"/>
    <n v="0"/>
    <n v="0"/>
    <n v="52"/>
    <n v="96"/>
    <n v="0"/>
    <n v="407.97"/>
    <n v="155.38999999999999"/>
    <m/>
    <n v="472.05179949641769"/>
    <n v="216.88611967035783"/>
    <n v="0"/>
    <n v="137.8612224"/>
    <n v="52.509388799999996"/>
    <n v="0"/>
    <n v="159.51574408582945"/>
    <n v="73.290157559007312"/>
  </r>
  <r>
    <s v="Refaturamento - Regular"/>
    <x v="3"/>
    <x v="4"/>
    <x v="2"/>
    <x v="1"/>
    <x v="1"/>
    <x v="0"/>
    <x v="2"/>
    <x v="4"/>
    <n v="0"/>
    <n v="0"/>
    <n v="-8.6999999999999994E-2"/>
    <n v="-2.8709999999999999E-2"/>
    <n v="-8.6999999999999994E-2"/>
    <n v="-2.8709999999999999E-2"/>
    <n v="0"/>
    <x v="0"/>
    <n v="0"/>
    <n v="0"/>
    <n v="52"/>
    <n v="96"/>
    <n v="0"/>
    <n v="407.97"/>
    <n v="155.38999999999999"/>
    <m/>
    <n v="472.05179949641769"/>
    <n v="216.88611967035783"/>
    <n v="0"/>
    <n v="-11.7128187"/>
    <n v="-4.4612468999999999"/>
    <n v="0"/>
    <n v="-13.552607163542152"/>
    <n v="-6.2268004957359731"/>
  </r>
  <r>
    <s v="Sistema Isolado - Regular"/>
    <x v="3"/>
    <x v="4"/>
    <x v="2"/>
    <x v="1"/>
    <x v="1"/>
    <x v="0"/>
    <x v="2"/>
    <x v="4"/>
    <n v="0"/>
    <n v="0"/>
    <n v="0.90600000000000003"/>
    <n v="0.29898000000000002"/>
    <n v="0.90600000000000003"/>
    <n v="0.29898000000000002"/>
    <n v="0"/>
    <x v="0"/>
    <n v="0"/>
    <n v="0"/>
    <n v="52"/>
    <n v="96"/>
    <n v="0"/>
    <n v="407.97"/>
    <n v="155.38999999999999"/>
    <m/>
    <n v="472.05179949641769"/>
    <n v="216.88611967035783"/>
    <n v="0"/>
    <n v="121.97487060000002"/>
    <n v="46.458502199999998"/>
    <n v="0"/>
    <n v="141.13404701343896"/>
    <n v="64.844612059043584"/>
  </r>
  <r>
    <s v="Regular"/>
    <x v="3"/>
    <x v="4"/>
    <x v="2"/>
    <x v="1"/>
    <x v="1"/>
    <x v="0"/>
    <x v="2"/>
    <x v="5"/>
    <n v="0"/>
    <n v="0"/>
    <n v="2.7010000000000001"/>
    <n v="0.89132999999999996"/>
    <n v="2.7010000000000001"/>
    <n v="0.89132999999999996"/>
    <n v="0"/>
    <x v="0"/>
    <n v="0"/>
    <n v="0"/>
    <n v="52"/>
    <n v="96"/>
    <n v="0"/>
    <n v="407.97"/>
    <n v="155.38999999999999"/>
    <m/>
    <n v="472.05179949641769"/>
    <n v="216.88611967035783"/>
    <n v="0"/>
    <n v="363.63590010000001"/>
    <n v="138.50376869999999"/>
    <n v="0"/>
    <n v="420.75393044514198"/>
    <n v="193.31710504578004"/>
  </r>
  <r>
    <s v="Refaturamento - Regular"/>
    <x v="3"/>
    <x v="4"/>
    <x v="2"/>
    <x v="1"/>
    <x v="1"/>
    <x v="0"/>
    <x v="2"/>
    <x v="5"/>
    <n v="0"/>
    <n v="0"/>
    <n v="-0.23799999999999999"/>
    <n v="-7.8539999999999999E-2"/>
    <n v="-0.23799999999999999"/>
    <n v="-7.8539999999999999E-2"/>
    <n v="0"/>
    <x v="0"/>
    <n v="0"/>
    <n v="0"/>
    <n v="52"/>
    <n v="96"/>
    <n v="0"/>
    <n v="407.97"/>
    <n v="155.38999999999999"/>
    <m/>
    <n v="472.05179949641769"/>
    <n v="216.88611967035783"/>
    <n v="0"/>
    <n v="-32.041963800000005"/>
    <n v="-12.204330599999999"/>
    <n v="0"/>
    <n v="-37.074948332448642"/>
    <n v="-17.034235838909904"/>
  </r>
  <r>
    <s v="Sistema Isolado - Regular"/>
    <x v="3"/>
    <x v="4"/>
    <x v="2"/>
    <x v="1"/>
    <x v="1"/>
    <x v="0"/>
    <x v="2"/>
    <x v="5"/>
    <n v="0"/>
    <n v="0"/>
    <n v="0.95699999999999996"/>
    <n v="0.31580999999999998"/>
    <n v="0.95699999999999996"/>
    <n v="0.31580999999999998"/>
    <n v="0"/>
    <x v="0"/>
    <n v="0"/>
    <n v="0"/>
    <n v="52"/>
    <n v="96"/>
    <n v="0"/>
    <n v="407.97"/>
    <n v="155.38999999999999"/>
    <m/>
    <n v="472.05179949641769"/>
    <n v="216.88611967035783"/>
    <n v="0"/>
    <n v="128.84100570000001"/>
    <n v="49.073715899999989"/>
    <n v="0"/>
    <n v="149.07867879896367"/>
    <n v="68.494805453095708"/>
  </r>
  <r>
    <s v="Regular"/>
    <x v="3"/>
    <x v="4"/>
    <x v="2"/>
    <x v="1"/>
    <x v="1"/>
    <x v="0"/>
    <x v="2"/>
    <x v="6"/>
    <n v="0"/>
    <n v="0"/>
    <n v="3.1280000000000001"/>
    <n v="1.03224"/>
    <n v="3.1280000000000001"/>
    <n v="1.03224"/>
    <n v="0"/>
    <x v="0"/>
    <n v="0"/>
    <n v="0"/>
    <n v="52"/>
    <n v="96"/>
    <n v="0"/>
    <n v="407.97"/>
    <n v="155.38999999999999"/>
    <m/>
    <n v="472.05179949641769"/>
    <n v="216.88611967035783"/>
    <n v="0"/>
    <n v="421.12295280000006"/>
    <n v="160.3997736"/>
    <n v="0"/>
    <n v="487.27074951218219"/>
    <n v="223.87852816853018"/>
  </r>
  <r>
    <s v="Sistema Isolado - Regular"/>
    <x v="3"/>
    <x v="4"/>
    <x v="2"/>
    <x v="1"/>
    <x v="1"/>
    <x v="0"/>
    <x v="2"/>
    <x v="6"/>
    <n v="0"/>
    <n v="0"/>
    <n v="1.5840000000000001"/>
    <n v="0.52271999999999996"/>
    <n v="1.5840000000000001"/>
    <n v="0.52271999999999996"/>
    <n v="0"/>
    <x v="0"/>
    <n v="0"/>
    <n v="0"/>
    <n v="52"/>
    <n v="96"/>
    <n v="0"/>
    <n v="407.97"/>
    <n v="155.38999999999999"/>
    <m/>
    <n v="472.05179949641769"/>
    <n v="216.88611967035783"/>
    <n v="0"/>
    <n v="213.2540784"/>
    <n v="81.225460799999993"/>
    <n v="0"/>
    <n v="246.75091663276743"/>
    <n v="113.37071247408943"/>
  </r>
  <r>
    <s v="Regular"/>
    <x v="3"/>
    <x v="4"/>
    <x v="2"/>
    <x v="1"/>
    <x v="1"/>
    <x v="0"/>
    <x v="2"/>
    <x v="7"/>
    <n v="0"/>
    <n v="0"/>
    <n v="6.5789999999999997"/>
    <n v="2.1710699999999998"/>
    <n v="6.5789999999999997"/>
    <n v="2.1710699999999998"/>
    <n v="0"/>
    <x v="0"/>
    <n v="0"/>
    <n v="0"/>
    <n v="52"/>
    <n v="96"/>
    <n v="0"/>
    <n v="407.97"/>
    <n v="155.38999999999999"/>
    <m/>
    <n v="472.05179949641769"/>
    <n v="216.88611967035783"/>
    <n v="0"/>
    <n v="885.73142789999997"/>
    <n v="337.36256729999997"/>
    <n v="0"/>
    <n v="1024.8575003326876"/>
    <n v="470.87494783272376"/>
  </r>
  <r>
    <s v="Sistema Isolado - Regular"/>
    <x v="3"/>
    <x v="4"/>
    <x v="2"/>
    <x v="1"/>
    <x v="1"/>
    <x v="0"/>
    <x v="2"/>
    <x v="7"/>
    <n v="0"/>
    <n v="0"/>
    <n v="1.6679999999999999"/>
    <n v="0.55044000000000004"/>
    <n v="1.6679999999999999"/>
    <n v="0.55044000000000004"/>
    <n v="0"/>
    <x v="0"/>
    <n v="0"/>
    <n v="0"/>
    <n v="52"/>
    <n v="96"/>
    <n v="0"/>
    <n v="407.97"/>
    <n v="155.38999999999999"/>
    <m/>
    <n v="472.05179949641769"/>
    <n v="216.88611967035783"/>
    <n v="0"/>
    <n v="224.56300680000004"/>
    <n v="85.532871599999993"/>
    <n v="0"/>
    <n v="259.83619251480815"/>
    <n v="119.38279571135178"/>
  </r>
  <r>
    <s v="Regular"/>
    <x v="3"/>
    <x v="4"/>
    <x v="2"/>
    <x v="1"/>
    <x v="1"/>
    <x v="0"/>
    <x v="2"/>
    <x v="8"/>
    <n v="0"/>
    <n v="0"/>
    <n v="7.8360000000000003"/>
    <n v="2.58588"/>
    <n v="7.8360000000000003"/>
    <n v="2.58588"/>
    <n v="0"/>
    <x v="0"/>
    <n v="0"/>
    <n v="0"/>
    <n v="52"/>
    <n v="96"/>
    <n v="0"/>
    <n v="407.97"/>
    <n v="155.38999999999999"/>
    <m/>
    <n v="472.05179949641769"/>
    <n v="216.88611967035783"/>
    <n v="0"/>
    <n v="1054.9614636000001"/>
    <n v="401.81989319999997"/>
    <n v="0"/>
    <n v="1220.6693072817966"/>
    <n v="560.84147913318486"/>
  </r>
  <r>
    <s v="Sistema Isolado - Regular"/>
    <x v="3"/>
    <x v="4"/>
    <x v="2"/>
    <x v="1"/>
    <x v="1"/>
    <x v="0"/>
    <x v="2"/>
    <x v="8"/>
    <n v="0"/>
    <n v="0"/>
    <n v="3.8460000000000001"/>
    <n v="1.26918"/>
    <n v="3.8460000000000001"/>
    <n v="1.26918"/>
    <n v="0"/>
    <x v="0"/>
    <n v="0"/>
    <n v="0"/>
    <n v="52"/>
    <n v="96"/>
    <n v="0"/>
    <n v="407.97"/>
    <n v="155.38999999999999"/>
    <m/>
    <n v="472.05179949641769"/>
    <n v="216.88611967035783"/>
    <n v="0"/>
    <n v="517.78736460000005"/>
    <n v="197.21788019999997"/>
    <n v="0"/>
    <n v="599.11870288486341"/>
    <n v="275.26752536322476"/>
  </r>
  <r>
    <s v="Regular"/>
    <x v="3"/>
    <x v="4"/>
    <x v="2"/>
    <x v="1"/>
    <x v="1"/>
    <x v="0"/>
    <x v="2"/>
    <x v="9"/>
    <n v="0"/>
    <n v="0"/>
    <n v="5.8609999999999998"/>
    <n v="1.9341299999999999"/>
    <n v="5.8609999999999998"/>
    <n v="1.9341299999999999"/>
    <n v="0"/>
    <x v="0"/>
    <n v="0"/>
    <n v="0"/>
    <n v="52"/>
    <n v="96"/>
    <n v="0"/>
    <n v="407.97"/>
    <n v="155.38999999999999"/>
    <m/>
    <n v="472.05179949641769"/>
    <n v="216.88611967035783"/>
    <n v="0"/>
    <n v="789.06701610000005"/>
    <n v="300.54446069999995"/>
    <n v="0"/>
    <n v="913.00954696000633"/>
    <n v="419.48595063802918"/>
  </r>
  <r>
    <s v="Sistema Isolado - Regular"/>
    <x v="3"/>
    <x v="4"/>
    <x v="2"/>
    <x v="1"/>
    <x v="1"/>
    <x v="0"/>
    <x v="2"/>
    <x v="9"/>
    <n v="0"/>
    <n v="0"/>
    <n v="2.2930000000000001"/>
    <n v="0.75668999999999997"/>
    <n v="2.2930000000000001"/>
    <n v="0.75668999999999997"/>
    <n v="0"/>
    <x v="0"/>
    <n v="0"/>
    <n v="0"/>
    <n v="52"/>
    <n v="96"/>
    <n v="0"/>
    <n v="407.97"/>
    <n v="155.38999999999999"/>
    <m/>
    <n v="472.05179949641769"/>
    <n v="216.88611967035783"/>
    <n v="0"/>
    <n v="308.70681930000001"/>
    <n v="117.58205909999998"/>
    <n v="0"/>
    <n v="357.19687616094427"/>
    <n v="164.11555789336305"/>
  </r>
  <r>
    <s v="Regular"/>
    <x v="3"/>
    <x v="4"/>
    <x v="2"/>
    <x v="1"/>
    <x v="1"/>
    <x v="0"/>
    <x v="2"/>
    <x v="10"/>
    <n v="0"/>
    <n v="0"/>
    <n v="3.5070000000000001"/>
    <n v="1.1573100000000001"/>
    <n v="3.5070000000000001"/>
    <n v="1.1573100000000001"/>
    <n v="0"/>
    <x v="0"/>
    <n v="0"/>
    <n v="0"/>
    <n v="52"/>
    <n v="96"/>
    <n v="0"/>
    <n v="407.97"/>
    <n v="155.38999999999999"/>
    <m/>
    <n v="472.05179949641769"/>
    <n v="216.88611967035783"/>
    <n v="0"/>
    <n v="472.14776070000005"/>
    <n v="179.83440089999999"/>
    <n v="0"/>
    <n v="546.31026807519913"/>
    <n v="251.00447515570184"/>
  </r>
  <r>
    <s v="Sistema Isolado - Regular"/>
    <x v="3"/>
    <x v="4"/>
    <x v="2"/>
    <x v="1"/>
    <x v="1"/>
    <x v="0"/>
    <x v="2"/>
    <x v="10"/>
    <n v="0"/>
    <n v="0"/>
    <n v="2.9489999999999998"/>
    <n v="0.97316999999999998"/>
    <n v="2.9489999999999998"/>
    <n v="0.97316999999999998"/>
    <n v="0"/>
    <x v="0"/>
    <n v="0"/>
    <n v="0"/>
    <n v="52"/>
    <n v="96"/>
    <n v="0"/>
    <n v="407.97"/>
    <n v="155.38999999999999"/>
    <m/>
    <n v="472.05179949641769"/>
    <n v="216.88611967035783"/>
    <n v="0"/>
    <n v="397.02416490000002"/>
    <n v="151.22088629999999"/>
    <n v="0"/>
    <n v="459.3866497159288"/>
    <n v="211.06706507960212"/>
  </r>
  <r>
    <s v="PROJETADO"/>
    <x v="3"/>
    <x v="4"/>
    <x v="2"/>
    <x v="1"/>
    <x v="1"/>
    <x v="0"/>
    <x v="2"/>
    <x v="11"/>
    <n v="0"/>
    <n v="0"/>
    <n v="3.5070000000000001"/>
    <n v="1.1573100000000001"/>
    <n v="3.5070000000000001"/>
    <n v="1.1573100000000001"/>
    <n v="0"/>
    <x v="0"/>
    <n v="0"/>
    <n v="0"/>
    <n v="52"/>
    <n v="96"/>
    <n v="0"/>
    <n v="407.97"/>
    <n v="155.38999999999999"/>
    <m/>
    <n v="472.05179949641769"/>
    <n v="216.88611967035783"/>
    <n v="0"/>
    <n v="472.14776070000005"/>
    <n v="179.83440089999999"/>
    <n v="0"/>
    <n v="546.31026807519913"/>
    <n v="251.00447515570184"/>
  </r>
  <r>
    <s v="PROJETADO"/>
    <x v="3"/>
    <x v="4"/>
    <x v="2"/>
    <x v="1"/>
    <x v="1"/>
    <x v="0"/>
    <x v="2"/>
    <x v="11"/>
    <n v="0"/>
    <n v="0"/>
    <n v="2.9489999999999998"/>
    <n v="0.97316999999999998"/>
    <n v="2.9489999999999998"/>
    <n v="0.97316999999999998"/>
    <n v="0"/>
    <x v="0"/>
    <n v="0"/>
    <n v="0"/>
    <n v="52"/>
    <n v="96"/>
    <n v="0"/>
    <n v="407.97"/>
    <n v="155.38999999999999"/>
    <m/>
    <n v="472.05179949641769"/>
    <n v="216.88611967035783"/>
    <n v="0"/>
    <n v="397.02416490000002"/>
    <n v="151.22088629999999"/>
    <n v="0"/>
    <n v="459.3866497159288"/>
    <n v="211.06706507960212"/>
  </r>
  <r>
    <s v="Regular"/>
    <x v="3"/>
    <x v="4"/>
    <x v="2"/>
    <x v="8"/>
    <x v="3"/>
    <x v="0"/>
    <x v="2"/>
    <x v="5"/>
    <n v="0"/>
    <n v="0"/>
    <n v="0.30099999999999999"/>
    <n v="0.30099999999999999"/>
    <n v="0.30099999999999999"/>
    <n v="0.30099999999999999"/>
    <n v="0"/>
    <x v="0"/>
    <n v="0"/>
    <n v="0"/>
    <n v="52"/>
    <n v="96"/>
    <n v="0"/>
    <n v="407.97"/>
    <n v="155.38999999999999"/>
    <m/>
    <n v="472.05179949641769"/>
    <n v="216.88611967035783"/>
    <n v="0"/>
    <n v="122.79897"/>
    <n v="46.772389999999994"/>
    <n v="0"/>
    <n v="142.08759164842172"/>
    <n v="65.282722020777697"/>
  </r>
  <r>
    <s v="Regular"/>
    <x v="3"/>
    <x v="4"/>
    <x v="2"/>
    <x v="8"/>
    <x v="3"/>
    <x v="0"/>
    <x v="2"/>
    <x v="6"/>
    <n v="0"/>
    <n v="0"/>
    <n v="0.25700000000000001"/>
    <n v="0.25700000000000001"/>
    <n v="0.25700000000000001"/>
    <n v="0.25700000000000001"/>
    <n v="0"/>
    <x v="0"/>
    <n v="0"/>
    <n v="0"/>
    <n v="52"/>
    <n v="96"/>
    <n v="0"/>
    <n v="407.97"/>
    <n v="155.38999999999999"/>
    <m/>
    <n v="472.05179949641769"/>
    <n v="216.88611967035783"/>
    <n v="0"/>
    <n v="104.84829000000001"/>
    <n v="39.935229999999997"/>
    <n v="0"/>
    <n v="121.31731247057935"/>
    <n v="55.739732755281963"/>
  </r>
  <r>
    <s v="Regular"/>
    <x v="3"/>
    <x v="4"/>
    <x v="2"/>
    <x v="8"/>
    <x v="3"/>
    <x v="0"/>
    <x v="2"/>
    <x v="7"/>
    <n v="0"/>
    <n v="0"/>
    <n v="0.27400000000000002"/>
    <n v="0.27400000000000002"/>
    <n v="0.27400000000000002"/>
    <n v="0.27400000000000002"/>
    <n v="0"/>
    <x v="0"/>
    <n v="0"/>
    <n v="0"/>
    <n v="52"/>
    <n v="96"/>
    <n v="0"/>
    <n v="407.97"/>
    <n v="155.38999999999999"/>
    <m/>
    <n v="472.05179949641769"/>
    <n v="216.88611967035783"/>
    <n v="0"/>
    <n v="111.78378000000002"/>
    <n v="42.576859999999996"/>
    <n v="0"/>
    <n v="129.34219306201845"/>
    <n v="59.42679678967805"/>
  </r>
  <r>
    <s v="Regular"/>
    <x v="3"/>
    <x v="4"/>
    <x v="2"/>
    <x v="8"/>
    <x v="3"/>
    <x v="0"/>
    <x v="2"/>
    <x v="8"/>
    <n v="0"/>
    <n v="0"/>
    <n v="0.23"/>
    <n v="0.23"/>
    <n v="0.23"/>
    <n v="0.23"/>
    <n v="0"/>
    <x v="0"/>
    <n v="0"/>
    <n v="0"/>
    <n v="52"/>
    <n v="96"/>
    <n v="0"/>
    <n v="407.97"/>
    <n v="155.38999999999999"/>
    <m/>
    <n v="472.05179949641769"/>
    <n v="216.88611967035783"/>
    <n v="0"/>
    <n v="93.833100000000016"/>
    <n v="35.739699999999999"/>
    <n v="0"/>
    <n v="108.57191388417607"/>
    <n v="49.883807524182302"/>
  </r>
  <r>
    <s v="Regular"/>
    <x v="3"/>
    <x v="4"/>
    <x v="2"/>
    <x v="0"/>
    <x v="0"/>
    <x v="0"/>
    <x v="2"/>
    <x v="0"/>
    <n v="0"/>
    <n v="0"/>
    <n v="3806.0970000000002"/>
    <n v="3806.0970000000002"/>
    <n v="3806.0970000000002"/>
    <n v="3806.0970000000002"/>
    <n v="21162"/>
    <x v="0"/>
    <n v="0"/>
    <n v="0"/>
    <n v="52"/>
    <n v="96"/>
    <n v="0"/>
    <n v="407.97"/>
    <n v="155.38999999999999"/>
    <m/>
    <n v="472.05179949641769"/>
    <n v="216.88611967035783"/>
    <n v="0"/>
    <n v="1552773.3930900001"/>
    <n v="591429.41282999993"/>
    <n v="0"/>
    <n v="1796674.937907917"/>
    <n v="825489.60941898997"/>
  </r>
  <r>
    <s v="Refaturamento - Regular"/>
    <x v="3"/>
    <x v="4"/>
    <x v="2"/>
    <x v="0"/>
    <x v="0"/>
    <x v="0"/>
    <x v="2"/>
    <x v="0"/>
    <n v="0"/>
    <n v="0"/>
    <n v="-53.863999999999997"/>
    <n v="-53.863999999999997"/>
    <n v="-53.863999999999997"/>
    <n v="-53.863999999999997"/>
    <n v="-17"/>
    <x v="0"/>
    <n v="0"/>
    <n v="0"/>
    <n v="52"/>
    <n v="96"/>
    <n v="0"/>
    <n v="407.97"/>
    <n v="155.38999999999999"/>
    <m/>
    <n v="472.05179949641769"/>
    <n v="216.88611967035783"/>
    <n v="0"/>
    <n v="-21974.896079999999"/>
    <n v="-8369.9269599999989"/>
    <n v="0"/>
    <n v="-25426.598128075042"/>
    <n v="-11682.353949924154"/>
  </r>
  <r>
    <s v="Sistema Isolado - Regular"/>
    <x v="3"/>
    <x v="4"/>
    <x v="2"/>
    <x v="0"/>
    <x v="0"/>
    <x v="0"/>
    <x v="2"/>
    <x v="0"/>
    <n v="0"/>
    <n v="0"/>
    <n v="742.30700000000002"/>
    <n v="742.30700000000002"/>
    <n v="742.30700000000002"/>
    <n v="742.30700000000002"/>
    <n v="4882"/>
    <x v="0"/>
    <n v="0"/>
    <n v="0"/>
    <n v="52"/>
    <n v="96"/>
    <n v="0"/>
    <n v="407.97"/>
    <n v="155.38999999999999"/>
    <m/>
    <n v="472.05179949641769"/>
    <n v="216.88611967035783"/>
    <n v="0"/>
    <n v="302838.98679000005"/>
    <n v="115347.08472999999"/>
    <n v="0"/>
    <n v="350407.35512878734"/>
    <n v="160996.08483414431"/>
  </r>
  <r>
    <s v="Sistema Isolado - Refaturamento"/>
    <x v="3"/>
    <x v="4"/>
    <x v="2"/>
    <x v="0"/>
    <x v="0"/>
    <x v="0"/>
    <x v="2"/>
    <x v="0"/>
    <n v="0"/>
    <n v="0"/>
    <n v="-0.57199999999999995"/>
    <n v="-0.57199999999999995"/>
    <n v="-0.57199999999999995"/>
    <n v="-0.57199999999999995"/>
    <n v="-6"/>
    <x v="0"/>
    <n v="0"/>
    <n v="0"/>
    <n v="52"/>
    <n v="96"/>
    <n v="0"/>
    <n v="407.97"/>
    <n v="155.38999999999999"/>
    <m/>
    <n v="472.05179949641769"/>
    <n v="216.88611967035783"/>
    <n v="0"/>
    <n v="-233.35883999999999"/>
    <n v="-88.883079999999978"/>
    <n v="0"/>
    <n v="-270.01362931195092"/>
    <n v="-124.05886045144467"/>
  </r>
  <r>
    <s v="Sistema de Compensação"/>
    <x v="3"/>
    <x v="4"/>
    <x v="2"/>
    <x v="0"/>
    <x v="0"/>
    <x v="0"/>
    <x v="2"/>
    <x v="0"/>
    <n v="0"/>
    <n v="0"/>
    <n v="33.865000000000002"/>
    <n v="33.865000000000002"/>
    <n v="33.865000000000002"/>
    <n v="33.865000000000002"/>
    <n v="188"/>
    <x v="0"/>
    <n v="0"/>
    <n v="0"/>
    <n v="52"/>
    <n v="96"/>
    <n v="0"/>
    <n v="407.97"/>
    <n v="155.38999999999999"/>
    <m/>
    <n v="472.05179949641769"/>
    <n v="216.88611967035783"/>
    <n v="0"/>
    <n v="13815.904050000001"/>
    <n v="5262.2823499999995"/>
    <n v="0"/>
    <n v="15986.034189946186"/>
    <n v="7344.8484426366686"/>
  </r>
  <r>
    <s v="Sistema de Compensação"/>
    <x v="3"/>
    <x v="4"/>
    <x v="2"/>
    <x v="0"/>
    <x v="0"/>
    <x v="0"/>
    <x v="2"/>
    <x v="0"/>
    <n v="0"/>
    <n v="0"/>
    <n v="2.5419999999999998"/>
    <n v="2.5419999999999998"/>
    <n v="2.5419999999999998"/>
    <n v="2.5419999999999998"/>
    <n v="0"/>
    <x v="0"/>
    <n v="0"/>
    <n v="0"/>
    <n v="52"/>
    <n v="96"/>
    <n v="0"/>
    <n v="407.97"/>
    <n v="155.38999999999999"/>
    <m/>
    <n v="472.05179949641769"/>
    <n v="216.88611967035783"/>
    <n v="0"/>
    <n v="1037.0597399999999"/>
    <n v="395.00137999999993"/>
    <n v="0"/>
    <n v="1199.9556743198937"/>
    <n v="551.32451620204961"/>
  </r>
  <r>
    <s v="Regular"/>
    <x v="3"/>
    <x v="4"/>
    <x v="2"/>
    <x v="0"/>
    <x v="0"/>
    <x v="0"/>
    <x v="2"/>
    <x v="1"/>
    <n v="0"/>
    <n v="0"/>
    <n v="3887.748"/>
    <n v="3887.748"/>
    <n v="3887.748"/>
    <n v="3887.748"/>
    <n v="21159"/>
    <x v="0"/>
    <n v="0"/>
    <n v="0"/>
    <n v="52"/>
    <n v="96"/>
    <n v="0"/>
    <n v="407.97"/>
    <n v="155.38999999999999"/>
    <m/>
    <n v="472.05179949641769"/>
    <n v="216.88611967035783"/>
    <n v="0"/>
    <n v="1586084.5515600001"/>
    <n v="604117.16171999997"/>
    <n v="0"/>
    <n v="1835218.4393885988"/>
    <n v="843198.57797619433"/>
  </r>
  <r>
    <s v="Refaturamento - Regular"/>
    <x v="3"/>
    <x v="4"/>
    <x v="2"/>
    <x v="0"/>
    <x v="0"/>
    <x v="0"/>
    <x v="2"/>
    <x v="1"/>
    <n v="0"/>
    <n v="0"/>
    <n v="-23.393999999999998"/>
    <n v="-23.393999999999998"/>
    <n v="-23.393999999999998"/>
    <n v="-23.393999999999998"/>
    <n v="-23"/>
    <x v="0"/>
    <n v="0"/>
    <n v="0"/>
    <n v="52"/>
    <n v="96"/>
    <n v="0"/>
    <n v="407.97"/>
    <n v="155.38999999999999"/>
    <m/>
    <n v="472.05179949641769"/>
    <n v="216.88611967035783"/>
    <n v="0"/>
    <n v="-9544.0501800000002"/>
    <n v="-3635.1936599999995"/>
    <n v="0"/>
    <n v="-11043.179797419194"/>
    <n v="-5073.8338835683508"/>
  </r>
  <r>
    <s v="Sistema Isolado - Regular"/>
    <x v="3"/>
    <x v="4"/>
    <x v="2"/>
    <x v="0"/>
    <x v="0"/>
    <x v="0"/>
    <x v="2"/>
    <x v="1"/>
    <n v="0"/>
    <n v="0"/>
    <n v="748.86"/>
    <n v="748.86"/>
    <n v="748.86"/>
    <n v="748.86"/>
    <n v="4864"/>
    <x v="0"/>
    <n v="0"/>
    <n v="0"/>
    <n v="52"/>
    <n v="96"/>
    <n v="0"/>
    <n v="407.97"/>
    <n v="155.38999999999999"/>
    <m/>
    <n v="472.05179949641769"/>
    <n v="216.88611967035783"/>
    <n v="0"/>
    <n v="305512.4142"/>
    <n v="116365.35539999999"/>
    <n v="0"/>
    <n v="353500.71057088737"/>
    <n v="162417.33957634418"/>
  </r>
  <r>
    <s v="Sistema Isolado - Refaturamento"/>
    <x v="3"/>
    <x v="4"/>
    <x v="2"/>
    <x v="0"/>
    <x v="0"/>
    <x v="0"/>
    <x v="2"/>
    <x v="1"/>
    <n v="0"/>
    <n v="0"/>
    <n v="-2.786"/>
    <n v="-2.786"/>
    <n v="-2.786"/>
    <n v="-2.786"/>
    <n v="-20"/>
    <x v="0"/>
    <n v="0"/>
    <n v="0"/>
    <n v="52"/>
    <n v="96"/>
    <n v="0"/>
    <n v="407.97"/>
    <n v="155.38999999999999"/>
    <m/>
    <n v="472.05179949641769"/>
    <n v="216.88611967035783"/>
    <n v="0"/>
    <n v="-1136.6044200000001"/>
    <n v="-432.91653999999994"/>
    <n v="0"/>
    <n v="-1315.1363133970196"/>
    <n v="-604.24472940161695"/>
  </r>
  <r>
    <s v="Sistema de Compensação"/>
    <x v="3"/>
    <x v="4"/>
    <x v="2"/>
    <x v="0"/>
    <x v="0"/>
    <x v="0"/>
    <x v="2"/>
    <x v="1"/>
    <n v="0"/>
    <n v="0"/>
    <n v="39.856999999999999"/>
    <n v="39.856999999999999"/>
    <n v="39.856999999999999"/>
    <n v="39.856999999999999"/>
    <n v="203"/>
    <x v="0"/>
    <n v="0"/>
    <n v="0"/>
    <n v="52"/>
    <n v="96"/>
    <n v="0"/>
    <n v="407.97"/>
    <n v="155.38999999999999"/>
    <m/>
    <n v="472.05179949641769"/>
    <n v="216.88611967035783"/>
    <n v="0"/>
    <n v="16260.460290000001"/>
    <n v="6193.3792299999996"/>
    <n v="0"/>
    <n v="18814.568572528719"/>
    <n v="8644.4300717014521"/>
  </r>
  <r>
    <s v="Sistema de Compensação"/>
    <x v="3"/>
    <x v="4"/>
    <x v="2"/>
    <x v="0"/>
    <x v="0"/>
    <x v="0"/>
    <x v="2"/>
    <x v="1"/>
    <n v="0"/>
    <n v="0"/>
    <n v="-1.012"/>
    <n v="-1.012"/>
    <n v="-1.012"/>
    <n v="-1.012"/>
    <n v="0"/>
    <x v="0"/>
    <n v="0"/>
    <n v="0"/>
    <n v="52"/>
    <n v="96"/>
    <n v="0"/>
    <n v="407.97"/>
    <n v="155.38999999999999"/>
    <m/>
    <n v="472.05179949641769"/>
    <n v="216.88611967035783"/>
    <n v="0"/>
    <n v="-412.86564000000004"/>
    <n v="-157.25467999999998"/>
    <n v="0"/>
    <n v="-477.71642109037469"/>
    <n v="-219.48875310640213"/>
  </r>
  <r>
    <s v="Regular"/>
    <x v="3"/>
    <x v="4"/>
    <x v="2"/>
    <x v="0"/>
    <x v="0"/>
    <x v="0"/>
    <x v="2"/>
    <x v="2"/>
    <n v="0"/>
    <n v="0"/>
    <n v="3613.3420000000001"/>
    <n v="3613.3420000000001"/>
    <n v="3613.3420000000001"/>
    <n v="3613.3420000000001"/>
    <n v="21006"/>
    <x v="0"/>
    <n v="0"/>
    <n v="0"/>
    <n v="52"/>
    <n v="96"/>
    <n v="0"/>
    <n v="407.97"/>
    <n v="155.38999999999999"/>
    <m/>
    <n v="472.05179949641769"/>
    <n v="216.88611967035783"/>
    <n v="0"/>
    <n v="1474135.1357400001"/>
    <n v="561477.21337999997"/>
    <n v="0"/>
    <n v="1705684.5932959849"/>
    <n v="783683.72542193008"/>
  </r>
  <r>
    <s v="Refaturamento - Regular"/>
    <x v="3"/>
    <x v="4"/>
    <x v="2"/>
    <x v="0"/>
    <x v="0"/>
    <x v="0"/>
    <x v="2"/>
    <x v="2"/>
    <n v="0"/>
    <n v="0"/>
    <n v="-33.165999999999997"/>
    <n v="-33.165999999999997"/>
    <n v="-33.165999999999997"/>
    <n v="-33.165999999999997"/>
    <n v="-4"/>
    <x v="0"/>
    <n v="0"/>
    <n v="0"/>
    <n v="52"/>
    <n v="96"/>
    <n v="0"/>
    <n v="407.97"/>
    <n v="155.38999999999999"/>
    <m/>
    <n v="472.05179949641769"/>
    <n v="216.88611967035783"/>
    <n v="0"/>
    <n v="-13530.73302"/>
    <n v="-5153.6647399999993"/>
    <n v="0"/>
    <n v="-15656.069982098188"/>
    <n v="-7193.2450449870867"/>
  </r>
  <r>
    <s v="Sistema Isolado - Regular"/>
    <x v="3"/>
    <x v="4"/>
    <x v="2"/>
    <x v="0"/>
    <x v="0"/>
    <x v="0"/>
    <x v="2"/>
    <x v="2"/>
    <n v="0"/>
    <n v="0"/>
    <n v="702.58799999999997"/>
    <n v="702.58799999999997"/>
    <n v="702.58799999999997"/>
    <n v="702.58799999999997"/>
    <n v="4804"/>
    <x v="0"/>
    <n v="0"/>
    <n v="0"/>
    <n v="52"/>
    <n v="96"/>
    <n v="0"/>
    <n v="407.97"/>
    <n v="155.38999999999999"/>
    <m/>
    <n v="472.05179949641769"/>
    <n v="216.88611967035783"/>
    <n v="0"/>
    <n v="286634.82636000001"/>
    <n v="109175.14931999998"/>
    <n v="0"/>
    <n v="331657.92970458907"/>
    <n v="152381.58504695736"/>
  </r>
  <r>
    <s v="Sistema Isolado - Refaturamento"/>
    <x v="3"/>
    <x v="4"/>
    <x v="2"/>
    <x v="0"/>
    <x v="0"/>
    <x v="0"/>
    <x v="2"/>
    <x v="2"/>
    <n v="0"/>
    <n v="0"/>
    <n v="-5.923"/>
    <n v="-5.923"/>
    <n v="-5.923"/>
    <n v="-5.923"/>
    <n v="-3"/>
    <x v="0"/>
    <n v="0"/>
    <n v="0"/>
    <n v="52"/>
    <n v="96"/>
    <n v="0"/>
    <n v="407.97"/>
    <n v="155.38999999999999"/>
    <m/>
    <n v="472.05179949641769"/>
    <n v="216.88611967035783"/>
    <n v="0"/>
    <n v="-2416.4063100000003"/>
    <n v="-920.37496999999996"/>
    <n v="0"/>
    <n v="-2795.9628084172818"/>
    <n v="-1284.6164868075293"/>
  </r>
  <r>
    <s v="Sistema de Compensação"/>
    <x v="3"/>
    <x v="4"/>
    <x v="2"/>
    <x v="0"/>
    <x v="0"/>
    <x v="0"/>
    <x v="2"/>
    <x v="2"/>
    <n v="0"/>
    <n v="0"/>
    <n v="36.982999999999997"/>
    <n v="36.982999999999997"/>
    <n v="36.982999999999997"/>
    <n v="36.982999999999997"/>
    <n v="217"/>
    <x v="0"/>
    <n v="0"/>
    <n v="0"/>
    <n v="52"/>
    <n v="96"/>
    <n v="0"/>
    <n v="407.97"/>
    <n v="155.38999999999999"/>
    <m/>
    <n v="472.05179949641769"/>
    <n v="216.88611967035783"/>
    <n v="0"/>
    <n v="15087.95451"/>
    <n v="5746.7883699999993"/>
    <n v="0"/>
    <n v="17457.891700776014"/>
    <n v="8021.0993637688425"/>
  </r>
  <r>
    <s v="Sistema de Compensação"/>
    <x v="3"/>
    <x v="4"/>
    <x v="2"/>
    <x v="0"/>
    <x v="0"/>
    <x v="0"/>
    <x v="2"/>
    <x v="2"/>
    <n v="0"/>
    <n v="0"/>
    <n v="-0.374"/>
    <n v="-0.374"/>
    <n v="-0.374"/>
    <n v="-0.374"/>
    <n v="0"/>
    <x v="0"/>
    <n v="0"/>
    <n v="0"/>
    <n v="52"/>
    <n v="96"/>
    <n v="0"/>
    <n v="407.97"/>
    <n v="155.38999999999999"/>
    <m/>
    <n v="472.05179949641769"/>
    <n v="216.88611967035783"/>
    <n v="0"/>
    <n v="-152.58078"/>
    <n v="-58.115859999999998"/>
    <n v="0"/>
    <n v="-176.54737301166023"/>
    <n v="-81.115408756713833"/>
  </r>
  <r>
    <s v="Regular"/>
    <x v="3"/>
    <x v="4"/>
    <x v="2"/>
    <x v="0"/>
    <x v="0"/>
    <x v="0"/>
    <x v="2"/>
    <x v="3"/>
    <n v="0"/>
    <n v="0"/>
    <n v="2898.288"/>
    <n v="2898.288"/>
    <n v="2898.288"/>
    <n v="2898.288"/>
    <n v="15380"/>
    <x v="0"/>
    <n v="0"/>
    <n v="0"/>
    <n v="52"/>
    <n v="96"/>
    <n v="0"/>
    <n v="407.97"/>
    <n v="155.38999999999999"/>
    <m/>
    <n v="472.05179949641769"/>
    <n v="216.88611967035783"/>
    <n v="0"/>
    <n v="1182414.5553600001"/>
    <n v="450364.97231999994"/>
    <n v="0"/>
    <n v="1368142.0658588735"/>
    <n v="628598.43800716207"/>
  </r>
  <r>
    <s v="Refaturamento - Regular"/>
    <x v="3"/>
    <x v="4"/>
    <x v="2"/>
    <x v="0"/>
    <x v="0"/>
    <x v="0"/>
    <x v="2"/>
    <x v="3"/>
    <n v="0"/>
    <n v="0"/>
    <n v="-52.097000000000001"/>
    <n v="-52.097000000000001"/>
    <n v="-52.097000000000001"/>
    <n v="-52.097000000000001"/>
    <n v="-33"/>
    <x v="0"/>
    <n v="0"/>
    <n v="0"/>
    <n v="52"/>
    <n v="96"/>
    <n v="0"/>
    <n v="407.97"/>
    <n v="155.38999999999999"/>
    <m/>
    <n v="472.05179949641769"/>
    <n v="216.88611967035783"/>
    <n v="0"/>
    <n v="-21254.01309"/>
    <n v="-8095.3528299999998"/>
    <n v="0"/>
    <n v="-24592.482598364873"/>
    <n v="-11299.116176466632"/>
  </r>
  <r>
    <s v="Sistema Isolado - Regular"/>
    <x v="3"/>
    <x v="4"/>
    <x v="2"/>
    <x v="0"/>
    <x v="0"/>
    <x v="0"/>
    <x v="2"/>
    <x v="3"/>
    <n v="0"/>
    <n v="0"/>
    <n v="529.798"/>
    <n v="529.798"/>
    <n v="529.798"/>
    <n v="529.798"/>
    <n v="3489"/>
    <x v="0"/>
    <n v="0"/>
    <n v="0"/>
    <n v="52"/>
    <n v="96"/>
    <n v="0"/>
    <n v="407.97"/>
    <n v="155.38999999999999"/>
    <m/>
    <n v="472.05179949641769"/>
    <n v="216.88611967035783"/>
    <n v="0"/>
    <n v="216141.69006000002"/>
    <n v="82325.311219999989"/>
    <n v="0"/>
    <n v="250092.09926960309"/>
    <n v="114905.83242911624"/>
  </r>
  <r>
    <s v="Sistema Isolado - Refaturamento"/>
    <x v="3"/>
    <x v="4"/>
    <x v="2"/>
    <x v="0"/>
    <x v="0"/>
    <x v="0"/>
    <x v="2"/>
    <x v="3"/>
    <n v="0"/>
    <n v="0"/>
    <n v="-3.395"/>
    <n v="-3.395"/>
    <n v="-3.395"/>
    <n v="-3.395"/>
    <n v="0"/>
    <x v="0"/>
    <n v="0"/>
    <n v="0"/>
    <n v="52"/>
    <n v="96"/>
    <n v="0"/>
    <n v="407.97"/>
    <n v="155.38999999999999"/>
    <m/>
    <n v="472.05179949641769"/>
    <n v="216.88611967035783"/>
    <n v="0"/>
    <n v="-1385.0581500000001"/>
    <n v="-527.54904999999997"/>
    <n v="0"/>
    <n v="-1602.615859290338"/>
    <n v="-736.32837628086486"/>
  </r>
  <r>
    <s v="Sistema de Compensação"/>
    <x v="3"/>
    <x v="4"/>
    <x v="2"/>
    <x v="0"/>
    <x v="0"/>
    <x v="0"/>
    <x v="2"/>
    <x v="3"/>
    <n v="0"/>
    <n v="0"/>
    <n v="41.938000000000002"/>
    <n v="41.938000000000002"/>
    <n v="41.938000000000002"/>
    <n v="41.938000000000002"/>
    <n v="218"/>
    <x v="0"/>
    <n v="0"/>
    <n v="0"/>
    <n v="52"/>
    <n v="96"/>
    <n v="0"/>
    <n v="407.97"/>
    <n v="155.38999999999999"/>
    <m/>
    <n v="472.05179949641769"/>
    <n v="216.88611967035783"/>
    <n v="0"/>
    <n v="17109.445860000003"/>
    <n v="6516.7458200000001"/>
    <n v="0"/>
    <n v="19796.908367280765"/>
    <n v="9095.770086735467"/>
  </r>
  <r>
    <s v="Sistema de Compensação"/>
    <x v="3"/>
    <x v="4"/>
    <x v="2"/>
    <x v="0"/>
    <x v="0"/>
    <x v="0"/>
    <x v="2"/>
    <x v="3"/>
    <n v="0"/>
    <n v="0"/>
    <n v="-9.4E-2"/>
    <n v="-9.4E-2"/>
    <n v="-9.4E-2"/>
    <n v="-9.4E-2"/>
    <n v="0"/>
    <x v="0"/>
    <n v="0"/>
    <n v="0"/>
    <n v="52"/>
    <n v="96"/>
    <n v="0"/>
    <n v="407.97"/>
    <n v="155.38999999999999"/>
    <m/>
    <n v="472.05179949641769"/>
    <n v="216.88611967035783"/>
    <n v="0"/>
    <n v="-38.349180000000004"/>
    <n v="-14.606659999999998"/>
    <n v="0"/>
    <n v="-44.372869152663263"/>
    <n v="-20.387295249013636"/>
  </r>
  <r>
    <s v="Regular"/>
    <x v="3"/>
    <x v="4"/>
    <x v="2"/>
    <x v="0"/>
    <x v="0"/>
    <x v="0"/>
    <x v="2"/>
    <x v="4"/>
    <n v="0"/>
    <n v="0"/>
    <n v="2877.9259999999999"/>
    <n v="2877.9259999999999"/>
    <n v="2877.9259999999999"/>
    <n v="2877.9259999999999"/>
    <n v="15383"/>
    <x v="0"/>
    <n v="0"/>
    <n v="0"/>
    <n v="52"/>
    <n v="96"/>
    <n v="0"/>
    <n v="407.97"/>
    <n v="155.38999999999999"/>
    <m/>
    <n v="472.05179949641769"/>
    <n v="216.88611967035783"/>
    <n v="0"/>
    <n v="1174107.47022"/>
    <n v="447200.92113999993"/>
    <n v="0"/>
    <n v="1358530.1471175274"/>
    <n v="624182.20283843426"/>
  </r>
  <r>
    <s v="Refaturamento - Regular"/>
    <x v="3"/>
    <x v="4"/>
    <x v="2"/>
    <x v="0"/>
    <x v="0"/>
    <x v="0"/>
    <x v="2"/>
    <x v="4"/>
    <n v="0"/>
    <n v="0"/>
    <n v="-9.7509999999999994"/>
    <n v="-9.7509999999999994"/>
    <n v="-9.7509999999999994"/>
    <n v="-9.7509999999999994"/>
    <n v="-4"/>
    <x v="0"/>
    <n v="0"/>
    <n v="0"/>
    <n v="52"/>
    <n v="96"/>
    <n v="0"/>
    <n v="407.97"/>
    <n v="155.38999999999999"/>
    <m/>
    <n v="472.05179949641769"/>
    <n v="216.88611967035783"/>
    <n v="0"/>
    <n v="-3978.1154700000002"/>
    <n v="-1515.2078899999997"/>
    <n v="0"/>
    <n v="-4602.9770968895682"/>
    <n v="-2114.8565529056591"/>
  </r>
  <r>
    <s v="Sistema Isolado - Regular"/>
    <x v="3"/>
    <x v="4"/>
    <x v="2"/>
    <x v="0"/>
    <x v="0"/>
    <x v="0"/>
    <x v="2"/>
    <x v="4"/>
    <n v="0"/>
    <n v="0"/>
    <n v="526.774"/>
    <n v="526.774"/>
    <n v="526.774"/>
    <n v="526.774"/>
    <n v="3478"/>
    <x v="0"/>
    <n v="0"/>
    <n v="0"/>
    <n v="52"/>
    <n v="96"/>
    <n v="0"/>
    <n v="407.97"/>
    <n v="155.38999999999999"/>
    <m/>
    <n v="472.05179949641769"/>
    <n v="216.88611967035783"/>
    <n v="0"/>
    <n v="214907.98878000001"/>
    <n v="81855.411859999993"/>
    <n v="0"/>
    <n v="248664.61462792594"/>
    <n v="114249.96880323307"/>
  </r>
  <r>
    <s v="Sistema de Compensação"/>
    <x v="3"/>
    <x v="4"/>
    <x v="2"/>
    <x v="0"/>
    <x v="0"/>
    <x v="0"/>
    <x v="2"/>
    <x v="4"/>
    <n v="0"/>
    <n v="0"/>
    <n v="48.956000000000003"/>
    <n v="48.956000000000003"/>
    <n v="48.956000000000003"/>
    <n v="48.956000000000003"/>
    <n v="231"/>
    <x v="0"/>
    <n v="0"/>
    <n v="0"/>
    <n v="52"/>
    <n v="96"/>
    <n v="0"/>
    <n v="407.97"/>
    <n v="155.38999999999999"/>
    <m/>
    <n v="472.05179949641769"/>
    <n v="216.88611967035783"/>
    <n v="0"/>
    <n v="19972.579320000004"/>
    <n v="7607.2728399999996"/>
    <n v="0"/>
    <n v="23109.767896146626"/>
    <n v="10617.876874582038"/>
  </r>
  <r>
    <s v="Sistema de Compensação"/>
    <x v="3"/>
    <x v="4"/>
    <x v="2"/>
    <x v="0"/>
    <x v="0"/>
    <x v="0"/>
    <x v="2"/>
    <x v="4"/>
    <n v="0"/>
    <n v="0"/>
    <n v="-0.71"/>
    <n v="-0.71"/>
    <n v="-0.71"/>
    <n v="-0.71"/>
    <n v="0"/>
    <x v="0"/>
    <n v="0"/>
    <n v="0"/>
    <n v="52"/>
    <n v="96"/>
    <n v="0"/>
    <n v="407.97"/>
    <n v="155.38999999999999"/>
    <m/>
    <n v="472.05179949641769"/>
    <n v="216.88611967035783"/>
    <n v="0"/>
    <n v="-289.65870000000001"/>
    <n v="-110.32689999999998"/>
    <n v="0"/>
    <n v="-335.15677764245652"/>
    <n v="-153.98914496595404"/>
  </r>
  <r>
    <s v="Regular"/>
    <x v="3"/>
    <x v="4"/>
    <x v="2"/>
    <x v="0"/>
    <x v="0"/>
    <x v="0"/>
    <x v="2"/>
    <x v="5"/>
    <n v="0"/>
    <n v="0"/>
    <n v="3004.248"/>
    <n v="3004.248"/>
    <n v="3004.248"/>
    <n v="3004.248"/>
    <n v="15425"/>
    <x v="0"/>
    <n v="0"/>
    <n v="0"/>
    <n v="52"/>
    <n v="96"/>
    <n v="0"/>
    <n v="407.97"/>
    <n v="155.38999999999999"/>
    <m/>
    <n v="472.05179949641769"/>
    <n v="216.88611967035783"/>
    <n v="0"/>
    <n v="1225643.0565600002"/>
    <n v="466830.09671999997"/>
    <n v="0"/>
    <n v="1418160.6745335138"/>
    <n v="651579.69124743319"/>
  </r>
  <r>
    <s v="Refaturamento - Regular"/>
    <x v="3"/>
    <x v="4"/>
    <x v="2"/>
    <x v="0"/>
    <x v="0"/>
    <x v="0"/>
    <x v="2"/>
    <x v="5"/>
    <n v="0"/>
    <n v="0"/>
    <n v="-31.387"/>
    <n v="-31.387"/>
    <n v="-31.387"/>
    <n v="-31.387"/>
    <n v="-3"/>
    <x v="0"/>
    <n v="0"/>
    <n v="0"/>
    <n v="52"/>
    <n v="96"/>
    <n v="0"/>
    <n v="407.97"/>
    <n v="155.38999999999999"/>
    <m/>
    <n v="472.05179949641769"/>
    <n v="216.88611967035783"/>
    <n v="0"/>
    <n v="-12804.954390000001"/>
    <n v="-4877.2259299999996"/>
    <n v="0"/>
    <n v="-14816.289830794061"/>
    <n v="-6807.4046380935215"/>
  </r>
  <r>
    <s v="Sistema Isolado - Regular"/>
    <x v="3"/>
    <x v="4"/>
    <x v="2"/>
    <x v="0"/>
    <x v="0"/>
    <x v="0"/>
    <x v="2"/>
    <x v="5"/>
    <n v="0"/>
    <n v="0"/>
    <n v="555.50800000000004"/>
    <n v="555.50800000000004"/>
    <n v="555.50800000000004"/>
    <n v="555.50800000000004"/>
    <n v="3483"/>
    <x v="0"/>
    <n v="0"/>
    <n v="0"/>
    <n v="52"/>
    <n v="96"/>
    <n v="0"/>
    <n v="407.97"/>
    <n v="155.38999999999999"/>
    <m/>
    <n v="472.05179949641769"/>
    <n v="216.88611967035783"/>
    <n v="0"/>
    <n v="226630.59876000002"/>
    <n v="86320.388120000003"/>
    <n v="0"/>
    <n v="262228.551034656"/>
    <n v="120481.97456584114"/>
  </r>
  <r>
    <s v="Sistema Isolado - Refaturamento"/>
    <x v="3"/>
    <x v="4"/>
    <x v="2"/>
    <x v="0"/>
    <x v="0"/>
    <x v="0"/>
    <x v="2"/>
    <x v="5"/>
    <n v="0"/>
    <n v="0"/>
    <n v="-0.11799999999999999"/>
    <n v="-0.11799999999999999"/>
    <n v="-0.11799999999999999"/>
    <n v="-0.11799999999999999"/>
    <n v="0"/>
    <x v="0"/>
    <n v="0"/>
    <n v="0"/>
    <n v="52"/>
    <n v="96"/>
    <n v="0"/>
    <n v="407.97"/>
    <n v="155.38999999999999"/>
    <m/>
    <n v="472.05179949641769"/>
    <n v="216.88611967035783"/>
    <n v="0"/>
    <n v="-48.140459999999997"/>
    <n v="-18.336019999999998"/>
    <n v="0"/>
    <n v="-55.702112340577287"/>
    <n v="-25.592562121102223"/>
  </r>
  <r>
    <s v="Sistema de Compensação"/>
    <x v="3"/>
    <x v="4"/>
    <x v="2"/>
    <x v="0"/>
    <x v="0"/>
    <x v="0"/>
    <x v="2"/>
    <x v="5"/>
    <n v="0"/>
    <n v="0"/>
    <n v="50.243000000000002"/>
    <n v="50.243000000000002"/>
    <n v="50.243000000000002"/>
    <n v="50.243000000000002"/>
    <n v="266"/>
    <x v="0"/>
    <n v="0"/>
    <n v="0"/>
    <n v="52"/>
    <n v="96"/>
    <n v="0"/>
    <n v="407.97"/>
    <n v="155.38999999999999"/>
    <m/>
    <n v="472.05179949641769"/>
    <n v="216.88611967035783"/>
    <n v="0"/>
    <n v="20497.636710000002"/>
    <n v="7807.2597699999997"/>
    <n v="0"/>
    <n v="23717.298562098516"/>
    <n v="10897.009310597788"/>
  </r>
  <r>
    <s v="Sistema de Compensação"/>
    <x v="3"/>
    <x v="4"/>
    <x v="2"/>
    <x v="0"/>
    <x v="0"/>
    <x v="0"/>
    <x v="2"/>
    <x v="5"/>
    <n v="0"/>
    <n v="0"/>
    <n v="-4.1109999999999998"/>
    <n v="-4.1109999999999998"/>
    <n v="-4.1109999999999998"/>
    <n v="-4.1109999999999998"/>
    <n v="0"/>
    <x v="0"/>
    <n v="0"/>
    <n v="0"/>
    <n v="52"/>
    <n v="96"/>
    <n v="0"/>
    <n v="407.97"/>
    <n v="155.38999999999999"/>
    <m/>
    <n v="472.05179949641769"/>
    <n v="216.88611967035783"/>
    <n v="0"/>
    <n v="-1677.1646700000001"/>
    <n v="-638.80828999999994"/>
    <n v="0"/>
    <n v="-1940.6049477297729"/>
    <n v="-891.61883796484096"/>
  </r>
  <r>
    <s v="Regular"/>
    <x v="3"/>
    <x v="4"/>
    <x v="2"/>
    <x v="0"/>
    <x v="0"/>
    <x v="0"/>
    <x v="2"/>
    <x v="6"/>
    <n v="0"/>
    <n v="0"/>
    <n v="2815.1010000000001"/>
    <n v="2815.1010000000001"/>
    <n v="2815.1010000000001"/>
    <n v="2815.1010000000001"/>
    <n v="15374"/>
    <x v="0"/>
    <n v="0"/>
    <n v="0"/>
    <n v="52"/>
    <n v="96"/>
    <n v="0"/>
    <n v="407.97"/>
    <n v="155.38999999999999"/>
    <m/>
    <n v="472.05179949641769"/>
    <n v="216.88611967035783"/>
    <n v="0"/>
    <n v="1148476.7549700001"/>
    <n v="437438.54439"/>
    <n v="0"/>
    <n v="1328873.4928141651"/>
    <n v="610556.33237014397"/>
  </r>
  <r>
    <s v="Refaturamento - Regular"/>
    <x v="3"/>
    <x v="4"/>
    <x v="2"/>
    <x v="0"/>
    <x v="0"/>
    <x v="0"/>
    <x v="2"/>
    <x v="6"/>
    <n v="0"/>
    <n v="0"/>
    <n v="-58.545999999999999"/>
    <n v="-58.545999999999999"/>
    <n v="-58.545999999999999"/>
    <n v="-58.545999999999999"/>
    <n v="-9"/>
    <x v="0"/>
    <n v="0"/>
    <n v="0"/>
    <n v="52"/>
    <n v="96"/>
    <n v="0"/>
    <n v="407.97"/>
    <n v="155.38999999999999"/>
    <m/>
    <n v="472.05179949641769"/>
    <n v="216.88611967035783"/>
    <n v="0"/>
    <n v="-23885.011620000001"/>
    <n v="-9097.4629399999994"/>
    <n v="0"/>
    <n v="-27636.74465331727"/>
    <n v="-12697.814762220769"/>
  </r>
  <r>
    <s v="Sistema Isolado - Regular"/>
    <x v="3"/>
    <x v="4"/>
    <x v="2"/>
    <x v="0"/>
    <x v="0"/>
    <x v="0"/>
    <x v="2"/>
    <x v="6"/>
    <n v="0"/>
    <n v="0"/>
    <n v="540.92100000000005"/>
    <n v="540.92100000000005"/>
    <n v="540.92100000000005"/>
    <n v="540.92100000000005"/>
    <n v="3559"/>
    <x v="0"/>
    <n v="0"/>
    <n v="0"/>
    <n v="52"/>
    <n v="96"/>
    <n v="0"/>
    <n v="407.97"/>
    <n v="155.38999999999999"/>
    <m/>
    <n v="472.05179949641769"/>
    <n v="216.88611967035783"/>
    <n v="0"/>
    <n v="220679.54037000003"/>
    <n v="84053.714189999999"/>
    <n v="0"/>
    <n v="255342.73143540177"/>
    <n v="117318.25673820963"/>
  </r>
  <r>
    <s v="Sistema Isolado - Refaturamento"/>
    <x v="3"/>
    <x v="4"/>
    <x v="2"/>
    <x v="0"/>
    <x v="0"/>
    <x v="0"/>
    <x v="2"/>
    <x v="6"/>
    <n v="0"/>
    <n v="0"/>
    <n v="-19.776"/>
    <n v="-19.776"/>
    <n v="-19.776"/>
    <n v="-19.776"/>
    <n v="-4"/>
    <x v="0"/>
    <n v="0"/>
    <n v="0"/>
    <n v="52"/>
    <n v="96"/>
    <n v="0"/>
    <n v="407.97"/>
    <n v="155.38999999999999"/>
    <m/>
    <n v="472.05179949641769"/>
    <n v="216.88611967035783"/>
    <n v="0"/>
    <n v="-8068.0147200000001"/>
    <n v="-3072.9926399999995"/>
    <n v="0"/>
    <n v="-9335.2963868411553"/>
    <n v="-4289.1399026009967"/>
  </r>
  <r>
    <s v="Sistema de Compensação"/>
    <x v="3"/>
    <x v="4"/>
    <x v="2"/>
    <x v="0"/>
    <x v="0"/>
    <x v="0"/>
    <x v="2"/>
    <x v="6"/>
    <n v="0"/>
    <n v="0"/>
    <n v="46.615000000000002"/>
    <n v="46.615000000000002"/>
    <n v="46.615000000000002"/>
    <n v="46.615000000000002"/>
    <n v="288"/>
    <x v="0"/>
    <n v="0"/>
    <n v="0"/>
    <n v="52"/>
    <n v="96"/>
    <n v="0"/>
    <n v="407.97"/>
    <n v="155.38999999999999"/>
    <m/>
    <n v="472.05179949641769"/>
    <n v="216.88611967035783"/>
    <n v="0"/>
    <n v="19017.521550000001"/>
    <n v="7243.5048499999994"/>
    <n v="0"/>
    <n v="22004.694633525512"/>
    <n v="10110.14646843373"/>
  </r>
  <r>
    <s v="Sistema de Compensação"/>
    <x v="3"/>
    <x v="4"/>
    <x v="2"/>
    <x v="0"/>
    <x v="0"/>
    <x v="0"/>
    <x v="2"/>
    <x v="6"/>
    <n v="0"/>
    <n v="0"/>
    <n v="1.7000000000000001E-2"/>
    <n v="1.7000000000000001E-2"/>
    <n v="1.7000000000000001E-2"/>
    <n v="1.7000000000000001E-2"/>
    <n v="0"/>
    <x v="0"/>
    <n v="0"/>
    <n v="0"/>
    <n v="52"/>
    <n v="96"/>
    <n v="0"/>
    <n v="407.97"/>
    <n v="155.38999999999999"/>
    <m/>
    <n v="472.05179949641769"/>
    <n v="216.88611967035783"/>
    <n v="0"/>
    <n v="6.9354900000000006"/>
    <n v="2.6416300000000001"/>
    <n v="0"/>
    <n v="8.0248805914391017"/>
    <n v="3.6870640343960832"/>
  </r>
  <r>
    <s v="Regular"/>
    <x v="3"/>
    <x v="4"/>
    <x v="2"/>
    <x v="0"/>
    <x v="0"/>
    <x v="0"/>
    <x v="2"/>
    <x v="7"/>
    <n v="0"/>
    <n v="0"/>
    <n v="3019.623"/>
    <n v="3019.623"/>
    <n v="3019.623"/>
    <n v="3019.623"/>
    <n v="15356"/>
    <x v="0"/>
    <n v="0"/>
    <n v="0"/>
    <n v="52"/>
    <n v="96"/>
    <n v="0"/>
    <n v="407.97"/>
    <n v="155.38999999999999"/>
    <m/>
    <n v="472.05179949641769"/>
    <n v="216.88611967035783"/>
    <n v="0"/>
    <n v="1231915.59531"/>
    <n v="469219.21796999994"/>
    <n v="0"/>
    <n v="1425418.4709507714"/>
    <n v="654914.31533736491"/>
  </r>
  <r>
    <s v="Refaturamento - Regular"/>
    <x v="3"/>
    <x v="4"/>
    <x v="2"/>
    <x v="0"/>
    <x v="0"/>
    <x v="0"/>
    <x v="2"/>
    <x v="7"/>
    <n v="0"/>
    <n v="0"/>
    <n v="-23.911000000000001"/>
    <n v="-23.911000000000001"/>
    <n v="-23.911000000000001"/>
    <n v="-23.911000000000001"/>
    <n v="-26"/>
    <x v="0"/>
    <n v="0"/>
    <n v="0"/>
    <n v="52"/>
    <n v="96"/>
    <n v="0"/>
    <n v="407.97"/>
    <n v="155.38999999999999"/>
    <m/>
    <n v="472.05179949641769"/>
    <n v="216.88611967035783"/>
    <n v="0"/>
    <n v="-9754.9706700000006"/>
    <n v="-3715.5302899999997"/>
    <n v="0"/>
    <n v="-11287.230577758844"/>
    <n v="-5185.9640074379267"/>
  </r>
  <r>
    <s v="Sistema Isolado - Regular"/>
    <x v="3"/>
    <x v="4"/>
    <x v="2"/>
    <x v="0"/>
    <x v="0"/>
    <x v="0"/>
    <x v="2"/>
    <x v="7"/>
    <n v="0"/>
    <n v="0"/>
    <n v="582.73400000000004"/>
    <n v="582.73400000000004"/>
    <n v="582.73400000000004"/>
    <n v="582.73400000000004"/>
    <n v="3633"/>
    <x v="0"/>
    <n v="0"/>
    <n v="0"/>
    <n v="52"/>
    <n v="96"/>
    <n v="0"/>
    <n v="407.97"/>
    <n v="155.38999999999999"/>
    <m/>
    <n v="472.05179949641769"/>
    <n v="216.88611967035783"/>
    <n v="0"/>
    <n v="237737.98998000004"/>
    <n v="90551.036259999993"/>
    <n v="0"/>
    <n v="275080.63332774548"/>
    <n v="126386.91605998631"/>
  </r>
  <r>
    <s v="Sistema Isolado - Refaturamento"/>
    <x v="3"/>
    <x v="4"/>
    <x v="2"/>
    <x v="0"/>
    <x v="0"/>
    <x v="0"/>
    <x v="2"/>
    <x v="7"/>
    <n v="0"/>
    <n v="0"/>
    <n v="-0.622"/>
    <n v="-0.622"/>
    <n v="-0.622"/>
    <n v="-0.622"/>
    <n v="0"/>
    <x v="0"/>
    <n v="0"/>
    <n v="0"/>
    <n v="52"/>
    <n v="96"/>
    <n v="0"/>
    <n v="407.97"/>
    <n v="155.38999999999999"/>
    <m/>
    <n v="472.05179949641769"/>
    <n v="216.88611967035783"/>
    <n v="0"/>
    <n v="-253.75734000000003"/>
    <n v="-96.652579999999986"/>
    <n v="0"/>
    <n v="-293.61621928677181"/>
    <n v="-134.90316643496257"/>
  </r>
  <r>
    <s v="Sistema de Compensação"/>
    <x v="3"/>
    <x v="4"/>
    <x v="2"/>
    <x v="0"/>
    <x v="0"/>
    <x v="0"/>
    <x v="2"/>
    <x v="7"/>
    <n v="0"/>
    <n v="0"/>
    <n v="46.082999999999998"/>
    <n v="46.082999999999998"/>
    <n v="46.082999999999998"/>
    <n v="46.082999999999998"/>
    <n v="297"/>
    <x v="0"/>
    <n v="0"/>
    <n v="0"/>
    <n v="52"/>
    <n v="96"/>
    <n v="0"/>
    <n v="407.97"/>
    <n v="155.38999999999999"/>
    <m/>
    <n v="472.05179949641769"/>
    <n v="216.88611967035783"/>
    <n v="0"/>
    <n v="18800.481510000001"/>
    <n v="7160.8373699999993"/>
    <n v="0"/>
    <n v="21753.563076193415"/>
    <n v="9994.7630527690999"/>
  </r>
  <r>
    <s v="Sistema de Compensação"/>
    <x v="3"/>
    <x v="4"/>
    <x v="2"/>
    <x v="0"/>
    <x v="0"/>
    <x v="0"/>
    <x v="2"/>
    <x v="7"/>
    <n v="0"/>
    <n v="0"/>
    <n v="-1.7749999999999999"/>
    <n v="-1.7749999999999999"/>
    <n v="-1.7749999999999999"/>
    <n v="-1.7749999999999999"/>
    <n v="0"/>
    <x v="0"/>
    <n v="0"/>
    <n v="0"/>
    <n v="52"/>
    <n v="96"/>
    <n v="0"/>
    <n v="407.97"/>
    <n v="155.38999999999999"/>
    <m/>
    <n v="472.05179949641769"/>
    <n v="216.88611967035783"/>
    <n v="0"/>
    <n v="-724.14675"/>
    <n v="-275.81724999999994"/>
    <n v="0"/>
    <n v="-837.8919441061413"/>
    <n v="-384.97286241488513"/>
  </r>
  <r>
    <s v="Regular"/>
    <x v="3"/>
    <x v="4"/>
    <x v="2"/>
    <x v="0"/>
    <x v="0"/>
    <x v="0"/>
    <x v="2"/>
    <x v="8"/>
    <n v="0"/>
    <n v="0"/>
    <n v="3155.2730000000001"/>
    <n v="3155.2730000000001"/>
    <n v="3155.2730000000001"/>
    <n v="3155.2730000000001"/>
    <n v="15334"/>
    <x v="0"/>
    <n v="0"/>
    <n v="0"/>
    <n v="52"/>
    <n v="96"/>
    <n v="0"/>
    <n v="407.97"/>
    <n v="155.38999999999999"/>
    <m/>
    <n v="472.05179949641769"/>
    <n v="216.88611967035783"/>
    <n v="0"/>
    <n v="1287256.7258100002"/>
    <n v="490297.87146999995"/>
    <n v="0"/>
    <n v="1489452.2975524603"/>
    <n v="684334.917470649"/>
  </r>
  <r>
    <s v="Refaturamento - Regular"/>
    <x v="3"/>
    <x v="4"/>
    <x v="2"/>
    <x v="0"/>
    <x v="0"/>
    <x v="0"/>
    <x v="2"/>
    <x v="8"/>
    <n v="0"/>
    <n v="0"/>
    <n v="-14.010999999999999"/>
    <n v="-14.010999999999999"/>
    <n v="-14.010999999999999"/>
    <n v="-14.010999999999999"/>
    <n v="-7"/>
    <x v="0"/>
    <n v="0"/>
    <n v="0"/>
    <n v="52"/>
    <n v="96"/>
    <n v="0"/>
    <n v="407.97"/>
    <n v="155.38999999999999"/>
    <m/>
    <n v="472.05179949641769"/>
    <n v="216.88611967035783"/>
    <n v="0"/>
    <n v="-5716.0676700000004"/>
    <n v="-2177.1692899999998"/>
    <n v="0"/>
    <n v="-6613.9177627443078"/>
    <n v="-3038.7914227013835"/>
  </r>
  <r>
    <s v="Sistema Isolado - Regular"/>
    <x v="3"/>
    <x v="4"/>
    <x v="2"/>
    <x v="0"/>
    <x v="0"/>
    <x v="0"/>
    <x v="2"/>
    <x v="8"/>
    <n v="0"/>
    <n v="0"/>
    <n v="603.70399999999995"/>
    <n v="603.70399999999995"/>
    <n v="603.70399999999995"/>
    <n v="603.70399999999995"/>
    <n v="3643"/>
    <x v="0"/>
    <n v="0"/>
    <n v="0"/>
    <n v="52"/>
    <n v="96"/>
    <n v="0"/>
    <n v="407.97"/>
    <n v="155.38999999999999"/>
    <m/>
    <n v="472.05179949641769"/>
    <n v="216.88611967035783"/>
    <n v="0"/>
    <n v="246293.12088"/>
    <n v="93809.564559999984"/>
    <n v="0"/>
    <n v="284979.55956318532"/>
    <n v="130935.01798947369"/>
  </r>
  <r>
    <s v="Sistema Isolado - Refaturamento"/>
    <x v="3"/>
    <x v="4"/>
    <x v="2"/>
    <x v="0"/>
    <x v="0"/>
    <x v="0"/>
    <x v="2"/>
    <x v="8"/>
    <n v="0"/>
    <n v="0"/>
    <n v="-10.214"/>
    <n v="-10.214"/>
    <n v="-10.214"/>
    <n v="-10.214"/>
    <n v="-1"/>
    <x v="0"/>
    <n v="0"/>
    <n v="0"/>
    <n v="52"/>
    <n v="96"/>
    <n v="0"/>
    <n v="407.97"/>
    <n v="155.38999999999999"/>
    <m/>
    <n v="472.05179949641769"/>
    <n v="216.88611967035783"/>
    <n v="0"/>
    <n v="-4167.00558"/>
    <n v="-1587.15346"/>
    <n v="0"/>
    <n v="-4821.5370800564106"/>
    <n v="-2215.2748263130347"/>
  </r>
  <r>
    <s v="Sistema de Compensação"/>
    <x v="3"/>
    <x v="4"/>
    <x v="2"/>
    <x v="0"/>
    <x v="0"/>
    <x v="0"/>
    <x v="2"/>
    <x v="8"/>
    <n v="0"/>
    <n v="0"/>
    <n v="48.884999999999998"/>
    <n v="48.884999999999998"/>
    <n v="48.884999999999998"/>
    <n v="48.884999999999998"/>
    <n v="327"/>
    <x v="0"/>
    <n v="0"/>
    <n v="0"/>
    <n v="52"/>
    <n v="96"/>
    <n v="0"/>
    <n v="407.97"/>
    <n v="155.38999999999999"/>
    <m/>
    <n v="472.05179949641769"/>
    <n v="216.88611967035783"/>
    <n v="0"/>
    <n v="19943.613450000001"/>
    <n v="7596.2401499999987"/>
    <n v="0"/>
    <n v="23076.252218382378"/>
    <n v="10602.477960085442"/>
  </r>
  <r>
    <s v="Regular"/>
    <x v="3"/>
    <x v="4"/>
    <x v="2"/>
    <x v="0"/>
    <x v="0"/>
    <x v="0"/>
    <x v="2"/>
    <x v="9"/>
    <n v="0"/>
    <n v="0"/>
    <n v="3011.6759999999999"/>
    <n v="3011.6759999999999"/>
    <n v="3011.6759999999999"/>
    <n v="3011.6759999999999"/>
    <n v="15309"/>
    <x v="0"/>
    <n v="0"/>
    <n v="0"/>
    <n v="52"/>
    <n v="96"/>
    <n v="0"/>
    <n v="407.97"/>
    <n v="155.38999999999999"/>
    <m/>
    <n v="472.05179949641769"/>
    <n v="216.88611967035783"/>
    <n v="0"/>
    <n v="1228673.4577200001"/>
    <n v="467984.33363999997"/>
    <n v="0"/>
    <n v="1421667.0753001731"/>
    <n v="653190.72134434455"/>
  </r>
  <r>
    <s v="Refaturamento - Regular"/>
    <x v="3"/>
    <x v="4"/>
    <x v="2"/>
    <x v="0"/>
    <x v="0"/>
    <x v="0"/>
    <x v="2"/>
    <x v="9"/>
    <n v="0"/>
    <n v="0"/>
    <n v="-22.221"/>
    <n v="-22.221"/>
    <n v="-22.221"/>
    <n v="-22.221"/>
    <n v="-7"/>
    <x v="0"/>
    <n v="0"/>
    <n v="0"/>
    <n v="52"/>
    <n v="96"/>
    <n v="0"/>
    <n v="407.97"/>
    <n v="155.38999999999999"/>
    <m/>
    <n v="472.05179949641769"/>
    <n v="216.88611967035783"/>
    <n v="0"/>
    <n v="-9065.50137"/>
    <n v="-3452.9211899999996"/>
    <n v="0"/>
    <n v="-10489.463036609897"/>
    <n v="-4819.4264651950216"/>
  </r>
  <r>
    <s v="Sistema Isolado - Regular"/>
    <x v="3"/>
    <x v="4"/>
    <x v="2"/>
    <x v="0"/>
    <x v="0"/>
    <x v="0"/>
    <x v="2"/>
    <x v="9"/>
    <n v="0"/>
    <n v="0"/>
    <n v="608.98199999999997"/>
    <n v="608.98199999999997"/>
    <n v="608.98199999999997"/>
    <n v="608.98199999999997"/>
    <n v="3679"/>
    <x v="0"/>
    <n v="0"/>
    <n v="0"/>
    <n v="52"/>
    <n v="96"/>
    <n v="0"/>
    <n v="407.97"/>
    <n v="155.38999999999999"/>
    <m/>
    <n v="472.05179949641769"/>
    <n v="216.88611967035783"/>
    <n v="0"/>
    <n v="248446.38654000001"/>
    <n v="94629.712979999982"/>
    <n v="0"/>
    <n v="287471.04896092741"/>
    <n v="132079.74292909383"/>
  </r>
  <r>
    <s v="Sistema de Compensação"/>
    <x v="3"/>
    <x v="4"/>
    <x v="2"/>
    <x v="0"/>
    <x v="0"/>
    <x v="0"/>
    <x v="2"/>
    <x v="9"/>
    <n v="0"/>
    <n v="0"/>
    <n v="45.816000000000003"/>
    <n v="45.816000000000003"/>
    <n v="45.816000000000003"/>
    <n v="45.816000000000003"/>
    <n v="337"/>
    <x v="0"/>
    <n v="0"/>
    <n v="0"/>
    <n v="52"/>
    <n v="96"/>
    <n v="0"/>
    <n v="407.97"/>
    <n v="155.38999999999999"/>
    <m/>
    <n v="472.05179949641769"/>
    <n v="216.88611967035783"/>
    <n v="0"/>
    <n v="18691.553520000001"/>
    <n v="7119.3482399999994"/>
    <n v="0"/>
    <n v="21627.525245727873"/>
    <n v="9936.8544588171153"/>
  </r>
  <r>
    <s v="Regular"/>
    <x v="3"/>
    <x v="4"/>
    <x v="2"/>
    <x v="0"/>
    <x v="0"/>
    <x v="0"/>
    <x v="2"/>
    <x v="10"/>
    <n v="0"/>
    <n v="0"/>
    <n v="3097.9110000000001"/>
    <n v="3097.9110000000001"/>
    <n v="3097.9110000000001"/>
    <n v="3097.9110000000001"/>
    <n v="15296"/>
    <x v="0"/>
    <n v="0"/>
    <n v="0"/>
    <n v="52"/>
    <n v="96"/>
    <n v="0"/>
    <n v="407.97"/>
    <n v="155.38999999999999"/>
    <m/>
    <n v="472.05179949641769"/>
    <n v="216.88611967035783"/>
    <n v="0"/>
    <n v="1263854.7506700002"/>
    <n v="481384.39028999995"/>
    <n v="0"/>
    <n v="1462374.4622297469"/>
    <n v="671893.89587411785"/>
  </r>
  <r>
    <s v="Refaturamento - Regular"/>
    <x v="3"/>
    <x v="4"/>
    <x v="2"/>
    <x v="0"/>
    <x v="0"/>
    <x v="0"/>
    <x v="2"/>
    <x v="10"/>
    <n v="0"/>
    <n v="0"/>
    <n v="-27.672999999999998"/>
    <n v="-27.672999999999998"/>
    <n v="-27.672999999999998"/>
    <n v="-27.672999999999998"/>
    <n v="-6"/>
    <x v="0"/>
    <n v="0"/>
    <n v="0"/>
    <n v="52"/>
    <n v="96"/>
    <n v="0"/>
    <n v="407.97"/>
    <n v="155.38999999999999"/>
    <m/>
    <n v="472.05179949641769"/>
    <n v="216.88611967035783"/>
    <n v="0"/>
    <n v="-11289.75381"/>
    <n v="-4300.107469999999"/>
    <n v="0"/>
    <n v="-13063.089447464366"/>
    <n v="-6001.8895896378117"/>
  </r>
  <r>
    <s v="Sistema Isolado - Regular"/>
    <x v="3"/>
    <x v="4"/>
    <x v="2"/>
    <x v="0"/>
    <x v="0"/>
    <x v="0"/>
    <x v="2"/>
    <x v="10"/>
    <n v="0"/>
    <n v="0"/>
    <n v="586.95500000000004"/>
    <n v="586.95500000000004"/>
    <n v="586.95500000000004"/>
    <n v="586.95500000000004"/>
    <n v="3664"/>
    <x v="0"/>
    <n v="0"/>
    <n v="0"/>
    <n v="52"/>
    <n v="96"/>
    <n v="0"/>
    <n v="407.97"/>
    <n v="155.38999999999999"/>
    <m/>
    <n v="472.05179949641769"/>
    <n v="216.88611967035783"/>
    <n v="0"/>
    <n v="239460.03135000003"/>
    <n v="91206.937449999998"/>
    <n v="0"/>
    <n v="277073.16397341987"/>
    <n v="127302.39237111488"/>
  </r>
  <r>
    <s v="Sistema Isolado - Refaturamento"/>
    <x v="3"/>
    <x v="4"/>
    <x v="2"/>
    <x v="0"/>
    <x v="0"/>
    <x v="0"/>
    <x v="2"/>
    <x v="10"/>
    <n v="0"/>
    <n v="0"/>
    <n v="-6.76"/>
    <n v="-6.76"/>
    <n v="-6.76"/>
    <n v="-6.76"/>
    <n v="0"/>
    <x v="0"/>
    <n v="0"/>
    <n v="0"/>
    <n v="52"/>
    <n v="96"/>
    <n v="0"/>
    <n v="407.97"/>
    <n v="155.38999999999999"/>
    <m/>
    <n v="472.05179949641769"/>
    <n v="216.88611967035783"/>
    <n v="0"/>
    <n v="-2757.8771999999999"/>
    <n v="-1050.4363999999998"/>
    <n v="0"/>
    <n v="-3191.0701645957834"/>
    <n v="-1466.1501689716188"/>
  </r>
  <r>
    <s v="Sistema de Compensação"/>
    <x v="3"/>
    <x v="4"/>
    <x v="2"/>
    <x v="0"/>
    <x v="0"/>
    <x v="0"/>
    <x v="2"/>
    <x v="10"/>
    <n v="0"/>
    <n v="0"/>
    <n v="52.517000000000003"/>
    <n v="52.517000000000003"/>
    <n v="52.517000000000003"/>
    <n v="52.517000000000003"/>
    <n v="343"/>
    <x v="0"/>
    <n v="0"/>
    <n v="0"/>
    <n v="52"/>
    <n v="96"/>
    <n v="0"/>
    <n v="407.97"/>
    <n v="155.38999999999999"/>
    <m/>
    <n v="472.05179949641769"/>
    <n v="216.88611967035783"/>
    <n v="0"/>
    <n v="21425.360490000003"/>
    <n v="8160.6166299999995"/>
    <n v="0"/>
    <n v="24790.744354153368"/>
    <n v="11390.208346728183"/>
  </r>
  <r>
    <s v="PROJETADO"/>
    <x v="3"/>
    <x v="4"/>
    <x v="2"/>
    <x v="0"/>
    <x v="0"/>
    <x v="0"/>
    <x v="2"/>
    <x v="11"/>
    <n v="0"/>
    <n v="0"/>
    <n v="3097.9110000000001"/>
    <n v="3097.9110000000001"/>
    <n v="3097.9110000000001"/>
    <n v="3097.9110000000001"/>
    <n v="15296"/>
    <x v="0"/>
    <n v="0"/>
    <n v="0"/>
    <n v="52"/>
    <n v="96"/>
    <n v="0"/>
    <n v="407.97"/>
    <n v="155.38999999999999"/>
    <m/>
    <n v="472.05179949641769"/>
    <n v="216.88611967035783"/>
    <n v="0"/>
    <n v="1263854.7506700002"/>
    <n v="481384.39028999995"/>
    <n v="0"/>
    <n v="1462374.4622297469"/>
    <n v="671893.89587411785"/>
  </r>
  <r>
    <s v="PROJETADO"/>
    <x v="3"/>
    <x v="4"/>
    <x v="2"/>
    <x v="0"/>
    <x v="0"/>
    <x v="0"/>
    <x v="2"/>
    <x v="11"/>
    <n v="0"/>
    <n v="0"/>
    <n v="-27.672999999999998"/>
    <n v="-27.672999999999998"/>
    <n v="-27.672999999999998"/>
    <n v="-27.672999999999998"/>
    <n v="-6"/>
    <x v="0"/>
    <n v="0"/>
    <n v="0"/>
    <n v="52"/>
    <n v="96"/>
    <n v="0"/>
    <n v="407.97"/>
    <n v="155.38999999999999"/>
    <m/>
    <n v="472.05179949641769"/>
    <n v="216.88611967035783"/>
    <n v="0"/>
    <n v="-11289.75381"/>
    <n v="-4300.107469999999"/>
    <n v="0"/>
    <n v="-13063.089447464366"/>
    <n v="-6001.8895896378117"/>
  </r>
  <r>
    <s v="PROJETADO"/>
    <x v="3"/>
    <x v="4"/>
    <x v="2"/>
    <x v="0"/>
    <x v="0"/>
    <x v="0"/>
    <x v="2"/>
    <x v="11"/>
    <n v="0"/>
    <n v="0"/>
    <n v="586.95500000000004"/>
    <n v="586.95500000000004"/>
    <n v="586.95500000000004"/>
    <n v="586.95500000000004"/>
    <n v="3664"/>
    <x v="0"/>
    <n v="0"/>
    <n v="0"/>
    <n v="52"/>
    <n v="96"/>
    <n v="0"/>
    <n v="407.97"/>
    <n v="155.38999999999999"/>
    <m/>
    <n v="472.05179949641769"/>
    <n v="216.88611967035783"/>
    <n v="0"/>
    <n v="239460.03135000003"/>
    <n v="91206.937449999998"/>
    <n v="0"/>
    <n v="277073.16397341987"/>
    <n v="127302.39237111488"/>
  </r>
  <r>
    <s v="PROJETADO"/>
    <x v="3"/>
    <x v="4"/>
    <x v="2"/>
    <x v="0"/>
    <x v="0"/>
    <x v="0"/>
    <x v="2"/>
    <x v="11"/>
    <n v="0"/>
    <n v="0"/>
    <n v="-6.76"/>
    <n v="-6.76"/>
    <n v="-6.76"/>
    <n v="-6.76"/>
    <n v="0"/>
    <x v="0"/>
    <n v="0"/>
    <n v="0"/>
    <n v="52"/>
    <n v="96"/>
    <n v="0"/>
    <n v="407.97"/>
    <n v="155.38999999999999"/>
    <m/>
    <n v="472.05179949641769"/>
    <n v="216.88611967035783"/>
    <n v="0"/>
    <n v="-2757.8771999999999"/>
    <n v="-1050.4363999999998"/>
    <n v="0"/>
    <n v="-3191.0701645957834"/>
    <n v="-1466.1501689716188"/>
  </r>
  <r>
    <s v="PROJETADO"/>
    <x v="3"/>
    <x v="4"/>
    <x v="2"/>
    <x v="0"/>
    <x v="0"/>
    <x v="0"/>
    <x v="2"/>
    <x v="11"/>
    <n v="0"/>
    <n v="0"/>
    <n v="52.517000000000003"/>
    <n v="52.517000000000003"/>
    <n v="52.517000000000003"/>
    <n v="52.517000000000003"/>
    <n v="343"/>
    <x v="0"/>
    <n v="0"/>
    <n v="0"/>
    <n v="52"/>
    <n v="96"/>
    <n v="0"/>
    <n v="407.97"/>
    <n v="155.38999999999999"/>
    <m/>
    <n v="472.05179949641769"/>
    <n v="216.88611967035783"/>
    <n v="0"/>
    <n v="21425.360490000003"/>
    <n v="8160.6166299999995"/>
    <n v="0"/>
    <n v="24790.744354153368"/>
    <n v="11390.208346728183"/>
  </r>
  <r>
    <s v="Regular"/>
    <x v="4"/>
    <x v="3"/>
    <x v="0"/>
    <x v="0"/>
    <x v="0"/>
    <x v="0"/>
    <x v="0"/>
    <x v="0"/>
    <n v="0"/>
    <n v="0"/>
    <n v="90.626999999999995"/>
    <n v="90.626999999999995"/>
    <n v="90.626999999999995"/>
    <n v="90.626999999999995"/>
    <n v="0"/>
    <x v="0"/>
    <n v="0"/>
    <n v="0"/>
    <n v="66"/>
    <n v="110"/>
    <n v="0"/>
    <n v="351.65"/>
    <n v="168.06"/>
    <m/>
    <n v="391.08132945590171"/>
    <n v="218.7322873480222"/>
    <n v="0"/>
    <n v="31868.984549999997"/>
    <n v="15230.77362"/>
    <n v="0"/>
    <n v="35442.527644599999"/>
    <n v="19823.051005489207"/>
  </r>
  <r>
    <s v="Refaturamento - Regular"/>
    <x v="4"/>
    <x v="3"/>
    <x v="0"/>
    <x v="0"/>
    <x v="0"/>
    <x v="0"/>
    <x v="0"/>
    <x v="0"/>
    <n v="0"/>
    <n v="0"/>
    <n v="3.306"/>
    <n v="3.306"/>
    <n v="3.306"/>
    <n v="3.306"/>
    <n v="0"/>
    <x v="0"/>
    <n v="0"/>
    <n v="0"/>
    <n v="66"/>
    <n v="110"/>
    <n v="0"/>
    <n v="351.65"/>
    <n v="168.06"/>
    <m/>
    <n v="391.08132945590171"/>
    <n v="218.7322873480222"/>
    <n v="0"/>
    <n v="1162.5548999999999"/>
    <n v="555.60636"/>
    <n v="0"/>
    <n v="1292.9148751812111"/>
    <n v="723.12894197256139"/>
  </r>
  <r>
    <s v="Sistema Isolado - Regular"/>
    <x v="4"/>
    <x v="3"/>
    <x v="0"/>
    <x v="0"/>
    <x v="0"/>
    <x v="0"/>
    <x v="0"/>
    <x v="0"/>
    <n v="0"/>
    <n v="0"/>
    <n v="14.162000000000001"/>
    <n v="14.162000000000001"/>
    <n v="14.162000000000001"/>
    <n v="14.162000000000001"/>
    <n v="0"/>
    <x v="0"/>
    <n v="0"/>
    <n v="0"/>
    <n v="66"/>
    <n v="110"/>
    <n v="0"/>
    <n v="351.65"/>
    <n v="168.06"/>
    <m/>
    <n v="391.08132945590171"/>
    <n v="218.7322873480222"/>
    <n v="0"/>
    <n v="4980.0672999999997"/>
    <n v="2380.0657200000001"/>
    <n v="0"/>
    <n v="5538.4937877544808"/>
    <n v="3097.6866534226906"/>
  </r>
  <r>
    <s v="Sistema de Compensação"/>
    <x v="4"/>
    <x v="3"/>
    <x v="0"/>
    <x v="0"/>
    <x v="0"/>
    <x v="0"/>
    <x v="0"/>
    <x v="0"/>
    <n v="0"/>
    <n v="0"/>
    <n v="1.117"/>
    <n v="1.117"/>
    <n v="1.117"/>
    <n v="1.117"/>
    <n v="0"/>
    <x v="0"/>
    <n v="0"/>
    <n v="0"/>
    <n v="66"/>
    <n v="110"/>
    <n v="0"/>
    <n v="351.65"/>
    <n v="168.06"/>
    <m/>
    <n v="391.08132945590171"/>
    <n v="218.7322873480222"/>
    <n v="0"/>
    <n v="392.79304999999999"/>
    <n v="187.72301999999999"/>
    <n v="0"/>
    <n v="436.8378450022422"/>
    <n v="244.32396496774081"/>
  </r>
  <r>
    <s v="Regular"/>
    <x v="4"/>
    <x v="3"/>
    <x v="0"/>
    <x v="0"/>
    <x v="0"/>
    <x v="0"/>
    <x v="0"/>
    <x v="1"/>
    <n v="0"/>
    <n v="0"/>
    <n v="88.043999999999997"/>
    <n v="88.043999999999997"/>
    <n v="88.043999999999997"/>
    <n v="88.043999999999997"/>
    <n v="0"/>
    <x v="0"/>
    <n v="0"/>
    <n v="0"/>
    <n v="66"/>
    <n v="110"/>
    <n v="0"/>
    <n v="351.65"/>
    <n v="168.06"/>
    <m/>
    <n v="391.08132945590171"/>
    <n v="218.7322873480222"/>
    <n v="0"/>
    <n v="30960.672599999998"/>
    <n v="14796.674639999999"/>
    <n v="0"/>
    <n v="34432.364570615406"/>
    <n v="19258.065507269264"/>
  </r>
  <r>
    <s v="Refaturamento - Regular"/>
    <x v="4"/>
    <x v="3"/>
    <x v="0"/>
    <x v="0"/>
    <x v="0"/>
    <x v="0"/>
    <x v="0"/>
    <x v="1"/>
    <n v="0"/>
    <n v="0"/>
    <n v="-1.08"/>
    <n v="-1.08"/>
    <n v="-1.08"/>
    <n v="-1.08"/>
    <n v="0"/>
    <x v="0"/>
    <n v="0"/>
    <n v="0"/>
    <n v="66"/>
    <n v="110"/>
    <n v="0"/>
    <n v="351.65"/>
    <n v="168.06"/>
    <m/>
    <n v="391.08132945590171"/>
    <n v="218.7322873480222"/>
    <n v="0"/>
    <n v="-379.78199999999998"/>
    <n v="-181.50480000000002"/>
    <n v="0"/>
    <n v="-422.36783581237387"/>
    <n v="-236.23087033586398"/>
  </r>
  <r>
    <s v="Sistema Isolado - Regular"/>
    <x v="4"/>
    <x v="3"/>
    <x v="0"/>
    <x v="0"/>
    <x v="0"/>
    <x v="0"/>
    <x v="0"/>
    <x v="1"/>
    <n v="0"/>
    <n v="0"/>
    <n v="14.417"/>
    <n v="14.417"/>
    <n v="14.417"/>
    <n v="14.417"/>
    <n v="0"/>
    <x v="0"/>
    <n v="0"/>
    <n v="0"/>
    <n v="66"/>
    <n v="110"/>
    <n v="0"/>
    <n v="351.65"/>
    <n v="168.06"/>
    <m/>
    <n v="391.08132945590171"/>
    <n v="218.7322873480222"/>
    <n v="0"/>
    <n v="5069.7380499999999"/>
    <n v="2422.9210200000002"/>
    <n v="0"/>
    <n v="5638.2195267657353"/>
    <n v="3153.4633866964359"/>
  </r>
  <r>
    <s v="Sistema de Compensação"/>
    <x v="4"/>
    <x v="3"/>
    <x v="0"/>
    <x v="0"/>
    <x v="0"/>
    <x v="0"/>
    <x v="0"/>
    <x v="1"/>
    <n v="0"/>
    <n v="0"/>
    <n v="1.1160000000000001"/>
    <n v="1.1160000000000001"/>
    <n v="1.1160000000000001"/>
    <n v="1.1160000000000001"/>
    <n v="0"/>
    <x v="0"/>
    <n v="0"/>
    <n v="0"/>
    <n v="66"/>
    <n v="110"/>
    <n v="0"/>
    <n v="351.65"/>
    <n v="168.06"/>
    <m/>
    <n v="391.08132945590171"/>
    <n v="218.7322873480222"/>
    <n v="0"/>
    <n v="392.44139999999999"/>
    <n v="187.55496000000002"/>
    <n v="0"/>
    <n v="436.44676367278635"/>
    <n v="244.10523268039279"/>
  </r>
  <r>
    <s v="Sistema de Compensação"/>
    <x v="4"/>
    <x v="3"/>
    <x v="0"/>
    <x v="0"/>
    <x v="0"/>
    <x v="0"/>
    <x v="0"/>
    <x v="1"/>
    <n v="0"/>
    <n v="0"/>
    <n v="-0.31900000000000001"/>
    <n v="-0.31900000000000001"/>
    <n v="-0.31900000000000001"/>
    <n v="-0.31900000000000001"/>
    <n v="0"/>
    <x v="0"/>
    <n v="0"/>
    <n v="0"/>
    <n v="66"/>
    <n v="110"/>
    <n v="0"/>
    <n v="351.65"/>
    <n v="168.06"/>
    <m/>
    <n v="391.08132945590171"/>
    <n v="218.7322873480222"/>
    <n v="0"/>
    <n v="-112.17635"/>
    <n v="-53.611139999999999"/>
    <n v="0"/>
    <n v="-124.75494409643265"/>
    <n v="-69.775599664019083"/>
  </r>
  <r>
    <s v="Regular"/>
    <x v="4"/>
    <x v="3"/>
    <x v="0"/>
    <x v="0"/>
    <x v="0"/>
    <x v="0"/>
    <x v="0"/>
    <x v="2"/>
    <n v="0"/>
    <n v="0"/>
    <n v="74.156000000000006"/>
    <n v="74.156000000000006"/>
    <n v="74.156000000000006"/>
    <n v="74.156000000000006"/>
    <n v="0"/>
    <x v="0"/>
    <n v="0"/>
    <n v="0"/>
    <n v="66"/>
    <n v="110"/>
    <n v="0"/>
    <n v="351.65"/>
    <n v="168.06"/>
    <m/>
    <n v="391.08132945590171"/>
    <n v="218.7322873480222"/>
    <n v="0"/>
    <n v="26076.957399999999"/>
    <n v="12462.657360000001"/>
    <n v="0"/>
    <n v="29001.02706713185"/>
    <n v="16220.311500579935"/>
  </r>
  <r>
    <s v="Sistema Isolado - Regular"/>
    <x v="4"/>
    <x v="3"/>
    <x v="0"/>
    <x v="0"/>
    <x v="0"/>
    <x v="0"/>
    <x v="0"/>
    <x v="2"/>
    <n v="0"/>
    <n v="0"/>
    <n v="12.398999999999999"/>
    <n v="12.398999999999999"/>
    <n v="12.398999999999999"/>
    <n v="12.398999999999999"/>
    <n v="0"/>
    <x v="0"/>
    <n v="0"/>
    <n v="0"/>
    <n v="66"/>
    <n v="110"/>
    <n v="0"/>
    <n v="351.65"/>
    <n v="168.06"/>
    <m/>
    <n v="391.08132945590171"/>
    <n v="218.7322873480222"/>
    <n v="0"/>
    <n v="4360.1083499999995"/>
    <n v="2083.77594"/>
    <n v="0"/>
    <n v="4849.0174039237254"/>
    <n v="2712.0616308281269"/>
  </r>
  <r>
    <s v="Sistema de Compensação"/>
    <x v="4"/>
    <x v="3"/>
    <x v="0"/>
    <x v="0"/>
    <x v="0"/>
    <x v="0"/>
    <x v="0"/>
    <x v="2"/>
    <n v="0"/>
    <n v="0"/>
    <n v="0.82299999999999995"/>
    <n v="0.82299999999999995"/>
    <n v="0.82299999999999995"/>
    <n v="0.82299999999999995"/>
    <n v="0"/>
    <x v="0"/>
    <n v="0"/>
    <n v="0"/>
    <n v="66"/>
    <n v="110"/>
    <n v="0"/>
    <n v="351.65"/>
    <n v="168.06"/>
    <m/>
    <n v="391.08132945590171"/>
    <n v="218.7322873480222"/>
    <n v="0"/>
    <n v="289.40794999999997"/>
    <n v="138.31338"/>
    <n v="0"/>
    <n v="321.85993414220707"/>
    <n v="180.01667248742226"/>
  </r>
  <r>
    <s v="Regular"/>
    <x v="4"/>
    <x v="3"/>
    <x v="0"/>
    <x v="0"/>
    <x v="0"/>
    <x v="0"/>
    <x v="0"/>
    <x v="3"/>
    <n v="0"/>
    <n v="0"/>
    <n v="80.355999999999995"/>
    <n v="80.355999999999995"/>
    <n v="80.355999999999995"/>
    <n v="80.355999999999995"/>
    <n v="0"/>
    <x v="0"/>
    <n v="0"/>
    <n v="0"/>
    <n v="66"/>
    <n v="110"/>
    <n v="0"/>
    <n v="351.65"/>
    <n v="168.06"/>
    <m/>
    <n v="391.08132945590171"/>
    <n v="218.7322873480222"/>
    <n v="0"/>
    <n v="28257.187399999995"/>
    <n v="13504.629359999999"/>
    <n v="0"/>
    <n v="31425.731309758437"/>
    <n v="17576.451682137671"/>
  </r>
  <r>
    <s v="Refaturamento - Regular"/>
    <x v="4"/>
    <x v="3"/>
    <x v="0"/>
    <x v="0"/>
    <x v="0"/>
    <x v="0"/>
    <x v="0"/>
    <x v="3"/>
    <n v="0"/>
    <n v="0"/>
    <n v="0.53300000000000003"/>
    <n v="0.53300000000000003"/>
    <n v="0.53300000000000003"/>
    <n v="0.53300000000000003"/>
    <n v="0"/>
    <x v="0"/>
    <n v="0"/>
    <n v="0"/>
    <n v="66"/>
    <n v="110"/>
    <n v="0"/>
    <n v="351.65"/>
    <n v="168.06"/>
    <m/>
    <n v="391.08132945590171"/>
    <n v="218.7322873480222"/>
    <n v="0"/>
    <n v="187.42945"/>
    <n v="89.575980000000001"/>
    <n v="0"/>
    <n v="208.44634859999562"/>
    <n v="116.58430915649583"/>
  </r>
  <r>
    <s v="Sistema Isolado - Regular"/>
    <x v="4"/>
    <x v="3"/>
    <x v="0"/>
    <x v="0"/>
    <x v="0"/>
    <x v="0"/>
    <x v="0"/>
    <x v="3"/>
    <n v="0"/>
    <n v="0"/>
    <n v="11.769"/>
    <n v="11.769"/>
    <n v="11.769"/>
    <n v="11.769"/>
    <n v="0"/>
    <x v="0"/>
    <n v="0"/>
    <n v="0"/>
    <n v="66"/>
    <n v="110"/>
    <n v="0"/>
    <n v="351.65"/>
    <n v="168.06"/>
    <m/>
    <n v="391.08132945590171"/>
    <n v="218.7322873480222"/>
    <n v="0"/>
    <n v="4138.5688499999997"/>
    <n v="1977.89814"/>
    <n v="0"/>
    <n v="4602.6361663665075"/>
    <n v="2574.2602897988731"/>
  </r>
  <r>
    <s v="Sistema Isolado - Refaturamento"/>
    <x v="4"/>
    <x v="3"/>
    <x v="0"/>
    <x v="0"/>
    <x v="0"/>
    <x v="0"/>
    <x v="0"/>
    <x v="3"/>
    <n v="0"/>
    <n v="0"/>
    <n v="2.714"/>
    <n v="2.714"/>
    <n v="2.714"/>
    <n v="2.714"/>
    <n v="0"/>
    <x v="0"/>
    <n v="0"/>
    <n v="0"/>
    <n v="66"/>
    <n v="110"/>
    <n v="0"/>
    <n v="351.65"/>
    <n v="168.06"/>
    <m/>
    <n v="391.08132945590171"/>
    <n v="218.7322873480222"/>
    <n v="0"/>
    <n v="954.3780999999999"/>
    <n v="456.11484000000002"/>
    <n v="0"/>
    <n v="1061.3947281433173"/>
    <n v="593.63942786253222"/>
  </r>
  <r>
    <s v="Sistema de Compensação"/>
    <x v="4"/>
    <x v="3"/>
    <x v="0"/>
    <x v="0"/>
    <x v="0"/>
    <x v="0"/>
    <x v="0"/>
    <x v="3"/>
    <n v="0"/>
    <n v="0"/>
    <n v="0.63600000000000001"/>
    <n v="0.63600000000000001"/>
    <n v="0.63600000000000001"/>
    <n v="0.63600000000000001"/>
    <n v="0"/>
    <x v="0"/>
    <n v="0"/>
    <n v="0"/>
    <n v="66"/>
    <n v="110"/>
    <n v="0"/>
    <n v="351.65"/>
    <n v="168.06"/>
    <m/>
    <n v="391.08132945590171"/>
    <n v="218.7322873480222"/>
    <n v="0"/>
    <n v="223.64939999999999"/>
    <n v="106.88616"/>
    <n v="0"/>
    <n v="248.7277255339535"/>
    <n v="139.11373475334213"/>
  </r>
  <r>
    <s v="Regular"/>
    <x v="4"/>
    <x v="3"/>
    <x v="0"/>
    <x v="0"/>
    <x v="0"/>
    <x v="0"/>
    <x v="0"/>
    <x v="4"/>
    <n v="0"/>
    <n v="0"/>
    <n v="85.734999999999999"/>
    <n v="85.734999999999999"/>
    <n v="85.734999999999999"/>
    <n v="85.734999999999999"/>
    <n v="0"/>
    <x v="0"/>
    <n v="0"/>
    <n v="0"/>
    <n v="66"/>
    <n v="110"/>
    <n v="0"/>
    <n v="351.65"/>
    <n v="168.06"/>
    <m/>
    <n v="391.08132945590171"/>
    <n v="218.7322873480222"/>
    <n v="0"/>
    <n v="30148.712749999999"/>
    <n v="14408.624100000001"/>
    <n v="0"/>
    <n v="33529.35778090173"/>
    <n v="18753.012655782684"/>
  </r>
  <r>
    <s v="Sistema Isolado - Regular"/>
    <x v="4"/>
    <x v="3"/>
    <x v="0"/>
    <x v="0"/>
    <x v="0"/>
    <x v="0"/>
    <x v="0"/>
    <x v="4"/>
    <n v="0"/>
    <n v="0"/>
    <n v="12.68"/>
    <n v="12.68"/>
    <n v="12.68"/>
    <n v="12.68"/>
    <n v="0"/>
    <x v="0"/>
    <n v="0"/>
    <n v="0"/>
    <n v="66"/>
    <n v="110"/>
    <n v="0"/>
    <n v="351.65"/>
    <n v="168.06"/>
    <m/>
    <n v="391.08132945590171"/>
    <n v="218.7322873480222"/>
    <n v="0"/>
    <n v="4458.9219999999996"/>
    <n v="2131.0007999999998"/>
    <n v="0"/>
    <n v="4958.9112575008339"/>
    <n v="2773.5254035729213"/>
  </r>
  <r>
    <s v="Sistema de Compensação"/>
    <x v="4"/>
    <x v="3"/>
    <x v="0"/>
    <x v="0"/>
    <x v="0"/>
    <x v="0"/>
    <x v="0"/>
    <x v="4"/>
    <n v="0"/>
    <n v="0"/>
    <n v="1.4"/>
    <n v="1.4"/>
    <n v="1.4"/>
    <n v="1.4"/>
    <n v="0"/>
    <x v="0"/>
    <n v="0"/>
    <n v="0"/>
    <n v="66"/>
    <n v="110"/>
    <n v="0"/>
    <n v="351.65"/>
    <n v="168.06"/>
    <m/>
    <n v="391.08132945590171"/>
    <n v="218.7322873480222"/>
    <n v="0"/>
    <n v="492.30999999999995"/>
    <n v="235.28399999999999"/>
    <n v="0"/>
    <n v="547.51386123826239"/>
    <n v="306.22520228723107"/>
  </r>
  <r>
    <s v="Regular"/>
    <x v="4"/>
    <x v="3"/>
    <x v="0"/>
    <x v="0"/>
    <x v="0"/>
    <x v="0"/>
    <x v="0"/>
    <x v="5"/>
    <n v="0"/>
    <n v="0"/>
    <n v="83.745000000000005"/>
    <n v="83.745000000000005"/>
    <n v="83.745000000000005"/>
    <n v="83.745000000000005"/>
    <n v="0"/>
    <x v="0"/>
    <n v="0"/>
    <n v="0"/>
    <n v="66"/>
    <n v="110"/>
    <n v="0"/>
    <n v="351.65"/>
    <n v="168.06"/>
    <m/>
    <n v="391.08132945590171"/>
    <n v="218.7322873480222"/>
    <n v="0"/>
    <n v="29448.929250000001"/>
    <n v="14074.184700000002"/>
    <n v="0"/>
    <n v="32751.10593528449"/>
    <n v="18317.73540396012"/>
  </r>
  <r>
    <s v="Sistema Isolado - Regular"/>
    <x v="4"/>
    <x v="3"/>
    <x v="0"/>
    <x v="0"/>
    <x v="0"/>
    <x v="0"/>
    <x v="0"/>
    <x v="5"/>
    <n v="0"/>
    <n v="0"/>
    <n v="12.835000000000001"/>
    <n v="12.835000000000001"/>
    <n v="12.835000000000001"/>
    <n v="12.835000000000001"/>
    <n v="0"/>
    <x v="0"/>
    <n v="0"/>
    <n v="0"/>
    <n v="66"/>
    <n v="110"/>
    <n v="0"/>
    <n v="351.65"/>
    <n v="168.06"/>
    <m/>
    <n v="391.08132945590171"/>
    <n v="218.7322873480222"/>
    <n v="0"/>
    <n v="4513.4277499999998"/>
    <n v="2157.0501000000004"/>
    <n v="0"/>
    <n v="5019.5288635664983"/>
    <n v="2807.428908111865"/>
  </r>
  <r>
    <s v="Sistema Isolado - Refaturamento"/>
    <x v="4"/>
    <x v="3"/>
    <x v="0"/>
    <x v="0"/>
    <x v="0"/>
    <x v="0"/>
    <x v="0"/>
    <x v="5"/>
    <n v="0"/>
    <n v="0"/>
    <n v="0.61099999999999999"/>
    <n v="0.61099999999999999"/>
    <n v="0.61099999999999999"/>
    <n v="0.61099999999999999"/>
    <n v="0"/>
    <x v="0"/>
    <n v="0"/>
    <n v="0"/>
    <n v="66"/>
    <n v="110"/>
    <n v="0"/>
    <n v="351.65"/>
    <n v="168.06"/>
    <m/>
    <n v="391.08132945590171"/>
    <n v="218.7322873480222"/>
    <n v="0"/>
    <n v="214.85814999999999"/>
    <n v="102.68465999999999"/>
    <n v="0"/>
    <n v="238.95069229755595"/>
    <n v="133.64542756964156"/>
  </r>
  <r>
    <s v="Sistema de Compensação"/>
    <x v="4"/>
    <x v="3"/>
    <x v="0"/>
    <x v="0"/>
    <x v="0"/>
    <x v="0"/>
    <x v="0"/>
    <x v="5"/>
    <n v="0"/>
    <n v="0"/>
    <n v="1.2190000000000001"/>
    <n v="1.2190000000000001"/>
    <n v="1.2190000000000001"/>
    <n v="1.2190000000000001"/>
    <n v="0"/>
    <x v="0"/>
    <n v="0"/>
    <n v="0"/>
    <n v="66"/>
    <n v="110"/>
    <n v="0"/>
    <n v="351.65"/>
    <n v="168.06"/>
    <m/>
    <n v="391.08132945590171"/>
    <n v="218.7322873480222"/>
    <n v="0"/>
    <n v="428.66135000000003"/>
    <n v="204.86514000000003"/>
    <n v="0"/>
    <n v="476.7281406067442"/>
    <n v="266.63465827723905"/>
  </r>
  <r>
    <s v="Regular"/>
    <x v="4"/>
    <x v="3"/>
    <x v="0"/>
    <x v="0"/>
    <x v="0"/>
    <x v="0"/>
    <x v="0"/>
    <x v="6"/>
    <n v="0"/>
    <n v="0"/>
    <n v="78.867999999999995"/>
    <n v="78.867999999999995"/>
    <n v="78.867999999999995"/>
    <n v="78.867999999999995"/>
    <n v="0"/>
    <x v="0"/>
    <n v="0"/>
    <n v="0"/>
    <n v="66"/>
    <n v="110"/>
    <n v="0"/>
    <n v="351.65"/>
    <n v="168.06"/>
    <m/>
    <n v="391.08132945590171"/>
    <n v="218.7322873480222"/>
    <n v="0"/>
    <n v="27733.932199999996"/>
    <n v="13254.556079999998"/>
    <n v="0"/>
    <n v="30843.802291528053"/>
    <n v="17250.978038563815"/>
  </r>
  <r>
    <s v="Sistema Isolado - Regular"/>
    <x v="4"/>
    <x v="3"/>
    <x v="0"/>
    <x v="0"/>
    <x v="0"/>
    <x v="0"/>
    <x v="0"/>
    <x v="6"/>
    <n v="0"/>
    <n v="0"/>
    <n v="12.303000000000001"/>
    <n v="12.303000000000001"/>
    <n v="12.303000000000001"/>
    <n v="12.303000000000001"/>
    <n v="0"/>
    <x v="0"/>
    <n v="0"/>
    <n v="0"/>
    <n v="66"/>
    <n v="110"/>
    <n v="0"/>
    <n v="351.65"/>
    <n v="168.06"/>
    <m/>
    <n v="391.08132945590171"/>
    <n v="218.7322873480222"/>
    <n v="0"/>
    <n v="4326.3499499999998"/>
    <n v="2067.6421800000003"/>
    <n v="0"/>
    <n v="4811.4735962959594"/>
    <n v="2691.0633312427171"/>
  </r>
  <r>
    <s v="Regular"/>
    <x v="4"/>
    <x v="3"/>
    <x v="0"/>
    <x v="0"/>
    <x v="0"/>
    <x v="0"/>
    <x v="0"/>
    <x v="7"/>
    <n v="0"/>
    <n v="0"/>
    <n v="91.926000000000002"/>
    <n v="91.926000000000002"/>
    <n v="91.926000000000002"/>
    <n v="91.926000000000002"/>
    <n v="0"/>
    <x v="0"/>
    <n v="0"/>
    <n v="0"/>
    <n v="66"/>
    <n v="110"/>
    <n v="0"/>
    <n v="351.65"/>
    <n v="168.06"/>
    <m/>
    <n v="391.08132945590171"/>
    <n v="218.7322873480222"/>
    <n v="0"/>
    <n v="32325.777899999997"/>
    <n v="15449.083560000001"/>
    <n v="0"/>
    <n v="35950.542291563223"/>
    <n v="20107.184246754288"/>
  </r>
  <r>
    <s v="Refaturamento - Regular"/>
    <x v="4"/>
    <x v="3"/>
    <x v="0"/>
    <x v="0"/>
    <x v="0"/>
    <x v="0"/>
    <x v="0"/>
    <x v="7"/>
    <n v="0"/>
    <n v="0"/>
    <n v="1.724"/>
    <n v="1.724"/>
    <n v="1.724"/>
    <n v="1.724"/>
    <n v="0"/>
    <x v="0"/>
    <n v="0"/>
    <n v="0"/>
    <n v="66"/>
    <n v="110"/>
    <n v="0"/>
    <n v="351.65"/>
    <n v="168.06"/>
    <m/>
    <n v="391.08132945590171"/>
    <n v="218.7322873480222"/>
    <n v="0"/>
    <n v="606.24459999999999"/>
    <n v="289.73543999999998"/>
    <n v="0"/>
    <n v="674.22421198197458"/>
    <n v="377.09446338799029"/>
  </r>
  <r>
    <s v="Sistema Isolado - Regular"/>
    <x v="4"/>
    <x v="3"/>
    <x v="0"/>
    <x v="0"/>
    <x v="0"/>
    <x v="0"/>
    <x v="0"/>
    <x v="7"/>
    <n v="0"/>
    <n v="0"/>
    <n v="13.997"/>
    <n v="13.997"/>
    <n v="13.997"/>
    <n v="13.997"/>
    <n v="0"/>
    <x v="0"/>
    <n v="0"/>
    <n v="0"/>
    <n v="66"/>
    <n v="110"/>
    <n v="0"/>
    <n v="351.65"/>
    <n v="168.06"/>
    <m/>
    <n v="391.08132945590171"/>
    <n v="218.7322873480222"/>
    <n v="0"/>
    <n v="4922.0450499999997"/>
    <n v="2352.3358200000002"/>
    <n v="0"/>
    <n v="5473.9653683942561"/>
    <n v="3061.5958260102666"/>
  </r>
  <r>
    <s v="Sistema de Compensação"/>
    <x v="4"/>
    <x v="3"/>
    <x v="0"/>
    <x v="0"/>
    <x v="0"/>
    <x v="0"/>
    <x v="0"/>
    <x v="7"/>
    <n v="0"/>
    <n v="0"/>
    <n v="2.9260000000000002"/>
    <n v="2.9260000000000002"/>
    <n v="2.9260000000000002"/>
    <n v="2.9260000000000002"/>
    <n v="0"/>
    <x v="0"/>
    <n v="0"/>
    <n v="0"/>
    <n v="66"/>
    <n v="110"/>
    <n v="0"/>
    <n v="351.65"/>
    <n v="168.06"/>
    <m/>
    <n v="391.08132945590171"/>
    <n v="218.7322873480222"/>
    <n v="0"/>
    <n v="1028.9278999999999"/>
    <n v="491.74356000000006"/>
    <n v="0"/>
    <n v="1144.3039699879685"/>
    <n v="640.01067278031303"/>
  </r>
  <r>
    <s v="Regular"/>
    <x v="4"/>
    <x v="3"/>
    <x v="0"/>
    <x v="0"/>
    <x v="0"/>
    <x v="0"/>
    <x v="0"/>
    <x v="8"/>
    <n v="0"/>
    <n v="0"/>
    <n v="90.677000000000007"/>
    <n v="90.677000000000007"/>
    <n v="90.677000000000007"/>
    <n v="90.677000000000007"/>
    <n v="0"/>
    <x v="0"/>
    <n v="0"/>
    <n v="0"/>
    <n v="66"/>
    <n v="110"/>
    <n v="0"/>
    <n v="351.65"/>
    <n v="168.06"/>
    <m/>
    <n v="391.08132945590171"/>
    <n v="218.7322873480222"/>
    <n v="0"/>
    <n v="31886.567050000001"/>
    <n v="15239.176620000002"/>
    <n v="0"/>
    <n v="35462.081711072802"/>
    <n v="19833.987619856609"/>
  </r>
  <r>
    <s v="Refaturamento - Regular"/>
    <x v="4"/>
    <x v="3"/>
    <x v="0"/>
    <x v="0"/>
    <x v="0"/>
    <x v="0"/>
    <x v="0"/>
    <x v="8"/>
    <n v="0"/>
    <n v="0"/>
    <n v="-5.5E-2"/>
    <n v="-5.5E-2"/>
    <n v="-5.5E-2"/>
    <n v="-5.5E-2"/>
    <n v="0"/>
    <x v="0"/>
    <n v="0"/>
    <n v="0"/>
    <n v="66"/>
    <n v="110"/>
    <n v="0"/>
    <n v="351.65"/>
    <n v="168.06"/>
    <m/>
    <n v="391.08132945590171"/>
    <n v="218.7322873480222"/>
    <n v="0"/>
    <n v="-19.34075"/>
    <n v="-9.2432999999999996"/>
    <n v="0"/>
    <n v="-21.509473120074595"/>
    <n v="-12.030275804141221"/>
  </r>
  <r>
    <s v="Sistema Isolado - Regular"/>
    <x v="4"/>
    <x v="3"/>
    <x v="0"/>
    <x v="0"/>
    <x v="0"/>
    <x v="0"/>
    <x v="0"/>
    <x v="8"/>
    <n v="0"/>
    <n v="0"/>
    <n v="13.965999999999999"/>
    <n v="13.965999999999999"/>
    <n v="13.965999999999999"/>
    <n v="13.965999999999999"/>
    <n v="0"/>
    <x v="0"/>
    <n v="0"/>
    <n v="0"/>
    <n v="66"/>
    <n v="110"/>
    <n v="0"/>
    <n v="351.65"/>
    <n v="168.06"/>
    <m/>
    <n v="391.08132945590171"/>
    <n v="218.7322873480222"/>
    <n v="0"/>
    <n v="4911.1438999999991"/>
    <n v="2347.1259599999998"/>
    <n v="0"/>
    <n v="5461.8418471811228"/>
    <n v="3054.8151251024779"/>
  </r>
  <r>
    <s v="Sistema de Compensação"/>
    <x v="4"/>
    <x v="3"/>
    <x v="0"/>
    <x v="0"/>
    <x v="0"/>
    <x v="0"/>
    <x v="0"/>
    <x v="8"/>
    <n v="0"/>
    <n v="0"/>
    <n v="1.59"/>
    <n v="1.59"/>
    <n v="1.59"/>
    <n v="1.59"/>
    <n v="0"/>
    <x v="0"/>
    <n v="0"/>
    <n v="0"/>
    <n v="66"/>
    <n v="110"/>
    <n v="0"/>
    <n v="351.65"/>
    <n v="168.06"/>
    <m/>
    <n v="391.08132945590171"/>
    <n v="218.7322873480222"/>
    <n v="0"/>
    <n v="559.12350000000004"/>
    <n v="267.21540000000005"/>
    <n v="0"/>
    <n v="621.8193138348837"/>
    <n v="347.78433688335531"/>
  </r>
  <r>
    <s v="Regular"/>
    <x v="4"/>
    <x v="3"/>
    <x v="0"/>
    <x v="0"/>
    <x v="0"/>
    <x v="0"/>
    <x v="0"/>
    <x v="9"/>
    <n v="0"/>
    <n v="0"/>
    <n v="89.917000000000002"/>
    <n v="89.917000000000002"/>
    <n v="89.917000000000002"/>
    <n v="89.917000000000002"/>
    <n v="0"/>
    <x v="0"/>
    <n v="0"/>
    <n v="0"/>
    <n v="66"/>
    <n v="110"/>
    <n v="0"/>
    <n v="351.65"/>
    <n v="168.06"/>
    <m/>
    <n v="391.08132945590171"/>
    <n v="218.7322873480222"/>
    <n v="0"/>
    <n v="31619.313049999997"/>
    <n v="15111.45102"/>
    <n v="0"/>
    <n v="35164.859900686315"/>
    <n v="19667.751081472114"/>
  </r>
  <r>
    <s v="Refaturamento - Regular"/>
    <x v="4"/>
    <x v="3"/>
    <x v="0"/>
    <x v="0"/>
    <x v="0"/>
    <x v="0"/>
    <x v="0"/>
    <x v="9"/>
    <n v="0"/>
    <n v="0"/>
    <n v="0.23400000000000001"/>
    <n v="0.23400000000000001"/>
    <n v="0.23400000000000001"/>
    <n v="0.23400000000000001"/>
    <n v="0"/>
    <x v="0"/>
    <n v="0"/>
    <n v="0"/>
    <n v="66"/>
    <n v="110"/>
    <n v="0"/>
    <n v="351.65"/>
    <n v="168.06"/>
    <m/>
    <n v="391.08132945590171"/>
    <n v="218.7322873480222"/>
    <n v="0"/>
    <n v="82.286100000000005"/>
    <n v="39.326040000000006"/>
    <n v="0"/>
    <n v="91.513031092681004"/>
    <n v="51.183355239437198"/>
  </r>
  <r>
    <s v="Sistema Isolado - Regular"/>
    <x v="4"/>
    <x v="3"/>
    <x v="0"/>
    <x v="0"/>
    <x v="0"/>
    <x v="0"/>
    <x v="0"/>
    <x v="9"/>
    <n v="0"/>
    <n v="0"/>
    <n v="14.349"/>
    <n v="14.349"/>
    <n v="14.349"/>
    <n v="14.349"/>
    <n v="0"/>
    <x v="0"/>
    <n v="0"/>
    <n v="0"/>
    <n v="66"/>
    <n v="110"/>
    <n v="0"/>
    <n v="351.65"/>
    <n v="168.06"/>
    <m/>
    <n v="391.08132945590171"/>
    <n v="218.7322873480222"/>
    <n v="0"/>
    <n v="5045.8258500000002"/>
    <n v="2411.4929400000001"/>
    <n v="0"/>
    <n v="5611.6259963627335"/>
    <n v="3138.5895911567704"/>
  </r>
  <r>
    <s v="Sistema de Compensação"/>
    <x v="4"/>
    <x v="3"/>
    <x v="0"/>
    <x v="0"/>
    <x v="0"/>
    <x v="0"/>
    <x v="0"/>
    <x v="9"/>
    <n v="0"/>
    <n v="0"/>
    <n v="3.82"/>
    <n v="3.82"/>
    <n v="3.82"/>
    <n v="3.82"/>
    <n v="0"/>
    <x v="0"/>
    <n v="0"/>
    <n v="0"/>
    <n v="66"/>
    <n v="110"/>
    <n v="0"/>
    <n v="351.65"/>
    <n v="168.06"/>
    <m/>
    <n v="391.08132945590171"/>
    <n v="218.7322873480222"/>
    <n v="0"/>
    <n v="1343.3029999999999"/>
    <n v="641.98919999999998"/>
    <n v="0"/>
    <n v="1493.9306785215445"/>
    <n v="835.55733766944479"/>
  </r>
  <r>
    <s v="Sistema de Compensação"/>
    <x v="4"/>
    <x v="3"/>
    <x v="0"/>
    <x v="0"/>
    <x v="0"/>
    <x v="0"/>
    <x v="0"/>
    <x v="9"/>
    <n v="0"/>
    <n v="0"/>
    <n v="-0.73099999999999998"/>
    <n v="-0.73099999999999998"/>
    <n v="-0.73099999999999998"/>
    <n v="-0.73099999999999998"/>
    <n v="0"/>
    <x v="0"/>
    <n v="0"/>
    <n v="0"/>
    <n v="66"/>
    <n v="110"/>
    <n v="0"/>
    <n v="351.65"/>
    <n v="168.06"/>
    <m/>
    <n v="391.08132945590171"/>
    <n v="218.7322873480222"/>
    <n v="0"/>
    <n v="-257.05615"/>
    <n v="-122.85186"/>
    <n v="0"/>
    <n v="-285.88045183226416"/>
    <n v="-159.89330205140422"/>
  </r>
  <r>
    <s v="Regular"/>
    <x v="4"/>
    <x v="3"/>
    <x v="0"/>
    <x v="0"/>
    <x v="0"/>
    <x v="0"/>
    <x v="0"/>
    <x v="10"/>
    <n v="0"/>
    <n v="0"/>
    <n v="93.462000000000003"/>
    <n v="93.462000000000003"/>
    <n v="93.462000000000003"/>
    <n v="93.462000000000003"/>
    <n v="0"/>
    <x v="0"/>
    <n v="0"/>
    <n v="0"/>
    <n v="66"/>
    <n v="110"/>
    <n v="0"/>
    <n v="351.65"/>
    <n v="168.06"/>
    <m/>
    <n v="391.08132945590171"/>
    <n v="218.7322873480222"/>
    <n v="0"/>
    <n v="32865.912299999996"/>
    <n v="15707.22372"/>
    <n v="0"/>
    <n v="36551.243213607486"/>
    <n v="20443.157040120852"/>
  </r>
  <r>
    <s v="Sistema Isolado - Regular"/>
    <x v="4"/>
    <x v="3"/>
    <x v="0"/>
    <x v="0"/>
    <x v="0"/>
    <x v="0"/>
    <x v="0"/>
    <x v="10"/>
    <n v="0"/>
    <n v="0"/>
    <n v="12.234999999999999"/>
    <n v="12.234999999999999"/>
    <n v="12.234999999999999"/>
    <n v="12.234999999999999"/>
    <n v="0"/>
    <x v="0"/>
    <n v="0"/>
    <n v="0"/>
    <n v="66"/>
    <n v="110"/>
    <n v="0"/>
    <n v="351.65"/>
    <n v="168.06"/>
    <m/>
    <n v="391.08132945590171"/>
    <n v="218.7322873480222"/>
    <n v="0"/>
    <n v="4302.4377499999991"/>
    <n v="2056.2141000000001"/>
    <n v="0"/>
    <n v="4784.8800658929576"/>
    <n v="2676.1895357030517"/>
  </r>
  <r>
    <s v="Sistema de Compensação"/>
    <x v="4"/>
    <x v="3"/>
    <x v="0"/>
    <x v="0"/>
    <x v="0"/>
    <x v="0"/>
    <x v="0"/>
    <x v="10"/>
    <n v="0"/>
    <n v="0"/>
    <n v="-3.0979999999999999"/>
    <n v="-3.0979999999999999"/>
    <n v="-3.0979999999999999"/>
    <n v="-3.0979999999999999"/>
    <n v="0"/>
    <x v="0"/>
    <n v="0"/>
    <n v="0"/>
    <n v="66"/>
    <n v="110"/>
    <n v="0"/>
    <n v="351.65"/>
    <n v="168.06"/>
    <m/>
    <n v="391.08132945590171"/>
    <n v="218.7322873480222"/>
    <n v="0"/>
    <n v="-1089.4116999999999"/>
    <n v="-520.64987999999994"/>
    <n v="0"/>
    <n v="-1211.5699586543835"/>
    <n v="-677.63262620417277"/>
  </r>
  <r>
    <s v="PROJETADO"/>
    <x v="4"/>
    <x v="3"/>
    <x v="0"/>
    <x v="0"/>
    <x v="0"/>
    <x v="0"/>
    <x v="0"/>
    <x v="11"/>
    <n v="0"/>
    <n v="0"/>
    <n v="93.462000000000003"/>
    <n v="93.462000000000003"/>
    <n v="93.462000000000003"/>
    <n v="93.462000000000003"/>
    <n v="0"/>
    <x v="0"/>
    <n v="0"/>
    <n v="0"/>
    <n v="66"/>
    <n v="110"/>
    <n v="0"/>
    <n v="351.65"/>
    <n v="168.06"/>
    <m/>
    <n v="391.08132945590171"/>
    <n v="218.7322873480222"/>
    <n v="0"/>
    <n v="32865.912299999996"/>
    <n v="15707.22372"/>
    <n v="0"/>
    <n v="36551.243213607486"/>
    <n v="20443.157040120852"/>
  </r>
  <r>
    <s v="PROJETADO"/>
    <x v="4"/>
    <x v="3"/>
    <x v="0"/>
    <x v="0"/>
    <x v="0"/>
    <x v="0"/>
    <x v="0"/>
    <x v="11"/>
    <n v="0"/>
    <n v="0"/>
    <n v="12.234999999999999"/>
    <n v="12.234999999999999"/>
    <n v="12.234999999999999"/>
    <n v="12.234999999999999"/>
    <n v="0"/>
    <x v="0"/>
    <n v="0"/>
    <n v="0"/>
    <n v="66"/>
    <n v="110"/>
    <n v="0"/>
    <n v="351.65"/>
    <n v="168.06"/>
    <m/>
    <n v="391.08132945590171"/>
    <n v="218.7322873480222"/>
    <n v="0"/>
    <n v="4302.4377499999991"/>
    <n v="2056.2141000000001"/>
    <n v="0"/>
    <n v="4784.8800658929576"/>
    <n v="2676.1895357030517"/>
  </r>
  <r>
    <s v="PROJETADO"/>
    <x v="4"/>
    <x v="3"/>
    <x v="0"/>
    <x v="0"/>
    <x v="0"/>
    <x v="0"/>
    <x v="0"/>
    <x v="11"/>
    <n v="0"/>
    <n v="0"/>
    <n v="-3.0979999999999999"/>
    <n v="-3.0979999999999999"/>
    <n v="-3.0979999999999999"/>
    <n v="-3.0979999999999999"/>
    <n v="0"/>
    <x v="0"/>
    <n v="0"/>
    <n v="0"/>
    <n v="66"/>
    <n v="110"/>
    <n v="0"/>
    <n v="351.65"/>
    <n v="168.06"/>
    <m/>
    <n v="391.08132945590171"/>
    <n v="218.7322873480222"/>
    <n v="0"/>
    <n v="-1089.4116999999999"/>
    <n v="-520.64987999999994"/>
    <n v="0"/>
    <n v="-1211.5699586543835"/>
    <n v="-677.63262620417277"/>
  </r>
  <r>
    <s v="Regular"/>
    <x v="4"/>
    <x v="3"/>
    <x v="0"/>
    <x v="0"/>
    <x v="0"/>
    <x v="0"/>
    <x v="3"/>
    <x v="0"/>
    <n v="0"/>
    <n v="0"/>
    <n v="2.33"/>
    <n v="2.33"/>
    <n v="2.33"/>
    <n v="2.33"/>
    <n v="0"/>
    <x v="0"/>
    <n v="0"/>
    <n v="0"/>
    <n v="65"/>
    <n v="109"/>
    <n v="0"/>
    <n v="827.45"/>
    <n v="168.06"/>
    <m/>
    <n v="863.26174103173116"/>
    <n v="218.7322873480222"/>
    <n v="0"/>
    <n v="1927.9585000000002"/>
    <n v="391.57980000000003"/>
    <n v="0"/>
    <n v="2011.3998566039336"/>
    <n v="509.64622952089172"/>
  </r>
  <r>
    <s v="Refaturamento - Regular"/>
    <x v="4"/>
    <x v="3"/>
    <x v="0"/>
    <x v="0"/>
    <x v="0"/>
    <x v="0"/>
    <x v="3"/>
    <x v="0"/>
    <n v="0"/>
    <n v="0"/>
    <n v="0.28000000000000003"/>
    <n v="0.28000000000000003"/>
    <n v="0.28000000000000003"/>
    <n v="0.28000000000000003"/>
    <n v="0"/>
    <x v="0"/>
    <n v="0"/>
    <n v="0"/>
    <n v="65"/>
    <n v="109"/>
    <n v="0"/>
    <n v="827.45"/>
    <n v="168.06"/>
    <m/>
    <n v="863.26174103173116"/>
    <n v="218.7322873480222"/>
    <n v="0"/>
    <n v="231.68600000000004"/>
    <n v="47.056800000000003"/>
    <n v="0"/>
    <n v="241.71328748888476"/>
    <n v="61.245040457446223"/>
  </r>
  <r>
    <s v="Sistema Isolado - Regular"/>
    <x v="4"/>
    <x v="3"/>
    <x v="0"/>
    <x v="0"/>
    <x v="0"/>
    <x v="0"/>
    <x v="3"/>
    <x v="0"/>
    <n v="0"/>
    <n v="0"/>
    <n v="0.623"/>
    <n v="0.623"/>
    <n v="0.623"/>
    <n v="0.623"/>
    <n v="0"/>
    <x v="0"/>
    <n v="0"/>
    <n v="0"/>
    <n v="65"/>
    <n v="109"/>
    <n v="0"/>
    <n v="827.45"/>
    <n v="168.06"/>
    <m/>
    <n v="863.26174103173116"/>
    <n v="218.7322873480222"/>
    <n v="0"/>
    <n v="515.50135"/>
    <n v="104.70138"/>
    <n v="0"/>
    <n v="537.81206466276853"/>
    <n v="136.27021501781783"/>
  </r>
  <r>
    <s v="Sistema de Compensação"/>
    <x v="4"/>
    <x v="3"/>
    <x v="0"/>
    <x v="0"/>
    <x v="0"/>
    <x v="0"/>
    <x v="3"/>
    <x v="0"/>
    <n v="0"/>
    <n v="0"/>
    <n v="5.7000000000000002E-2"/>
    <n v="5.7000000000000002E-2"/>
    <n v="5.7000000000000002E-2"/>
    <n v="5.7000000000000002E-2"/>
    <n v="0"/>
    <x v="0"/>
    <n v="0"/>
    <n v="0"/>
    <n v="65"/>
    <n v="109"/>
    <n v="0"/>
    <n v="827.45"/>
    <n v="168.06"/>
    <m/>
    <n v="863.26174103173116"/>
    <n v="218.7322873480222"/>
    <n v="0"/>
    <n v="47.164650000000002"/>
    <n v="9.5794200000000007"/>
    <n v="0"/>
    <n v="49.205919238808676"/>
    <n v="12.467740378837266"/>
  </r>
  <r>
    <s v="Regular"/>
    <x v="4"/>
    <x v="3"/>
    <x v="0"/>
    <x v="0"/>
    <x v="0"/>
    <x v="0"/>
    <x v="3"/>
    <x v="1"/>
    <n v="0"/>
    <n v="0"/>
    <n v="2.181"/>
    <n v="2.181"/>
    <n v="2.181"/>
    <n v="2.181"/>
    <n v="0"/>
    <x v="0"/>
    <n v="0"/>
    <n v="0"/>
    <n v="65"/>
    <n v="109"/>
    <n v="0"/>
    <n v="827.45"/>
    <n v="168.06"/>
    <m/>
    <n v="863.26174103173116"/>
    <n v="218.7322873480222"/>
    <n v="0"/>
    <n v="1804.6684500000001"/>
    <n v="366.53886"/>
    <n v="0"/>
    <n v="1882.7738571902057"/>
    <n v="477.05511870603641"/>
  </r>
  <r>
    <s v="Refaturamento - Regular"/>
    <x v="4"/>
    <x v="3"/>
    <x v="0"/>
    <x v="0"/>
    <x v="0"/>
    <x v="0"/>
    <x v="3"/>
    <x v="1"/>
    <n v="0"/>
    <n v="0"/>
    <n v="-7.0999999999999994E-2"/>
    <n v="-7.0999999999999994E-2"/>
    <n v="-7.0999999999999994E-2"/>
    <n v="-7.0999999999999994E-2"/>
    <n v="0"/>
    <x v="0"/>
    <n v="0"/>
    <n v="0"/>
    <n v="65"/>
    <n v="109"/>
    <n v="0"/>
    <n v="827.45"/>
    <n v="168.06"/>
    <m/>
    <n v="863.26174103173116"/>
    <n v="218.7322873480222"/>
    <n v="0"/>
    <n v="-58.748950000000001"/>
    <n v="-11.932259999999999"/>
    <n v="0"/>
    <n v="-61.291583613252904"/>
    <n v="-15.529992401709574"/>
  </r>
  <r>
    <s v="Sistema Isolado - Regular"/>
    <x v="4"/>
    <x v="3"/>
    <x v="0"/>
    <x v="0"/>
    <x v="0"/>
    <x v="0"/>
    <x v="3"/>
    <x v="1"/>
    <n v="0"/>
    <n v="0"/>
    <n v="0.61199999999999999"/>
    <n v="0.61199999999999999"/>
    <n v="0.61199999999999999"/>
    <n v="0.61199999999999999"/>
    <n v="0"/>
    <x v="0"/>
    <n v="0"/>
    <n v="0"/>
    <n v="65"/>
    <n v="109"/>
    <n v="0"/>
    <n v="827.45"/>
    <n v="168.06"/>
    <m/>
    <n v="863.26174103173116"/>
    <n v="218.7322873480222"/>
    <n v="0"/>
    <n v="506.39940000000001"/>
    <n v="102.85272000000001"/>
    <n v="0"/>
    <n v="528.31618551141946"/>
    <n v="133.86415985698957"/>
  </r>
  <r>
    <s v="Sistema de Compensação"/>
    <x v="4"/>
    <x v="3"/>
    <x v="0"/>
    <x v="0"/>
    <x v="0"/>
    <x v="0"/>
    <x v="3"/>
    <x v="1"/>
    <n v="0"/>
    <n v="0"/>
    <n v="4.8000000000000001E-2"/>
    <n v="4.8000000000000001E-2"/>
    <n v="4.8000000000000001E-2"/>
    <n v="4.8000000000000001E-2"/>
    <n v="0"/>
    <x v="0"/>
    <n v="0"/>
    <n v="0"/>
    <n v="65"/>
    <n v="109"/>
    <n v="0"/>
    <n v="827.45"/>
    <n v="168.06"/>
    <m/>
    <n v="863.26174103173116"/>
    <n v="218.7322873480222"/>
    <n v="0"/>
    <n v="39.717600000000004"/>
    <n v="8.0668800000000012"/>
    <n v="0"/>
    <n v="41.436563569523095"/>
    <n v="10.499149792705065"/>
  </r>
  <r>
    <s v="Regular"/>
    <x v="4"/>
    <x v="3"/>
    <x v="0"/>
    <x v="0"/>
    <x v="0"/>
    <x v="0"/>
    <x v="3"/>
    <x v="2"/>
    <n v="0"/>
    <n v="0"/>
    <n v="2.1339999999999999"/>
    <n v="2.1339999999999999"/>
    <n v="2.1339999999999999"/>
    <n v="2.1339999999999999"/>
    <n v="0"/>
    <x v="0"/>
    <n v="0"/>
    <n v="0"/>
    <n v="65"/>
    <n v="109"/>
    <n v="0"/>
    <n v="827.45"/>
    <n v="168.06"/>
    <m/>
    <n v="863.26174103173116"/>
    <n v="218.7322873480222"/>
    <n v="0"/>
    <n v="1765.7782999999999"/>
    <n v="358.64004"/>
    <n v="0"/>
    <n v="1842.2005553617141"/>
    <n v="466.77470120067937"/>
  </r>
  <r>
    <s v="Sistema Isolado - Regular"/>
    <x v="4"/>
    <x v="3"/>
    <x v="0"/>
    <x v="0"/>
    <x v="0"/>
    <x v="0"/>
    <x v="3"/>
    <x v="2"/>
    <n v="0"/>
    <n v="0"/>
    <n v="0.64500000000000002"/>
    <n v="0.64500000000000002"/>
    <n v="0.64500000000000002"/>
    <n v="0.64500000000000002"/>
    <n v="0"/>
    <x v="0"/>
    <n v="0"/>
    <n v="0"/>
    <n v="65"/>
    <n v="109"/>
    <n v="0"/>
    <n v="827.45"/>
    <n v="168.06"/>
    <m/>
    <n v="863.26174103173116"/>
    <n v="218.7322873480222"/>
    <n v="0"/>
    <n v="533.70525000000009"/>
    <n v="108.39870000000001"/>
    <n v="0"/>
    <n v="556.80382296546657"/>
    <n v="141.08232533947432"/>
  </r>
  <r>
    <s v="Sistema de Compensação"/>
    <x v="4"/>
    <x v="3"/>
    <x v="0"/>
    <x v="0"/>
    <x v="0"/>
    <x v="0"/>
    <x v="3"/>
    <x v="2"/>
    <n v="0"/>
    <n v="0"/>
    <n v="4.2999999999999997E-2"/>
    <n v="4.2999999999999997E-2"/>
    <n v="4.2999999999999997E-2"/>
    <n v="4.2999999999999997E-2"/>
    <n v="0"/>
    <x v="0"/>
    <n v="0"/>
    <n v="0"/>
    <n v="65"/>
    <n v="109"/>
    <n v="0"/>
    <n v="827.45"/>
    <n v="168.06"/>
    <m/>
    <n v="863.26174103173116"/>
    <n v="218.7322873480222"/>
    <n v="0"/>
    <n v="35.580349999999996"/>
    <n v="7.2265799999999993"/>
    <n v="0"/>
    <n v="37.120254864364441"/>
    <n v="9.4054883559649536"/>
  </r>
  <r>
    <s v="Regular"/>
    <x v="4"/>
    <x v="3"/>
    <x v="0"/>
    <x v="0"/>
    <x v="0"/>
    <x v="0"/>
    <x v="3"/>
    <x v="3"/>
    <n v="0"/>
    <n v="0"/>
    <n v="1.7390000000000001"/>
    <n v="1.7390000000000001"/>
    <n v="1.7390000000000001"/>
    <n v="1.7390000000000001"/>
    <n v="0"/>
    <x v="0"/>
    <n v="0"/>
    <n v="0"/>
    <n v="65"/>
    <n v="109"/>
    <n v="0"/>
    <n v="827.45"/>
    <n v="168.06"/>
    <m/>
    <n v="863.26174103173116"/>
    <n v="218.7322873480222"/>
    <n v="0"/>
    <n v="1438.9355500000001"/>
    <n v="292.25634000000002"/>
    <n v="0"/>
    <n v="1501.2121676541806"/>
    <n v="380.37544769821062"/>
  </r>
  <r>
    <s v="Refaturamento - Regular"/>
    <x v="4"/>
    <x v="3"/>
    <x v="0"/>
    <x v="0"/>
    <x v="0"/>
    <x v="0"/>
    <x v="3"/>
    <x v="3"/>
    <n v="0"/>
    <n v="0"/>
    <n v="-6.5000000000000002E-2"/>
    <n v="-6.5000000000000002E-2"/>
    <n v="-6.5000000000000002E-2"/>
    <n v="-6.5000000000000002E-2"/>
    <n v="0"/>
    <x v="0"/>
    <n v="0"/>
    <n v="0"/>
    <n v="65"/>
    <n v="109"/>
    <n v="0"/>
    <n v="827.45"/>
    <n v="168.06"/>
    <m/>
    <n v="863.26174103173116"/>
    <n v="218.7322873480222"/>
    <n v="0"/>
    <n v="-53.784250000000007"/>
    <n v="-10.9239"/>
    <n v="0"/>
    <n v="-56.112013167062528"/>
    <n v="-14.217598677621444"/>
  </r>
  <r>
    <s v="Sistema Isolado - Regular"/>
    <x v="4"/>
    <x v="3"/>
    <x v="0"/>
    <x v="0"/>
    <x v="0"/>
    <x v="0"/>
    <x v="3"/>
    <x v="3"/>
    <n v="0"/>
    <n v="0"/>
    <n v="0.438"/>
    <n v="0.438"/>
    <n v="0.438"/>
    <n v="0.438"/>
    <n v="0"/>
    <x v="0"/>
    <n v="0"/>
    <n v="0"/>
    <n v="65"/>
    <n v="109"/>
    <n v="0"/>
    <n v="827.45"/>
    <n v="168.06"/>
    <m/>
    <n v="863.26174103173116"/>
    <n v="218.7322873480222"/>
    <n v="0"/>
    <n v="362.42310000000003"/>
    <n v="73.610280000000003"/>
    <n v="0"/>
    <n v="378.10864257189826"/>
    <n v="95.804741858433729"/>
  </r>
  <r>
    <s v="Sistema de Compensação"/>
    <x v="4"/>
    <x v="3"/>
    <x v="0"/>
    <x v="0"/>
    <x v="0"/>
    <x v="0"/>
    <x v="3"/>
    <x v="3"/>
    <n v="0"/>
    <n v="0"/>
    <n v="4.4999999999999998E-2"/>
    <n v="4.4999999999999998E-2"/>
    <n v="4.4999999999999998E-2"/>
    <n v="4.4999999999999998E-2"/>
    <n v="0"/>
    <x v="0"/>
    <n v="0"/>
    <n v="0"/>
    <n v="65"/>
    <n v="109"/>
    <n v="0"/>
    <n v="827.45"/>
    <n v="168.06"/>
    <m/>
    <n v="863.26174103173116"/>
    <n v="218.7322873480222"/>
    <n v="0"/>
    <n v="37.235250000000001"/>
    <n v="7.5626999999999995"/>
    <n v="0"/>
    <n v="38.846778346427904"/>
    <n v="9.8429529306609993"/>
  </r>
  <r>
    <s v="Regular"/>
    <x v="4"/>
    <x v="3"/>
    <x v="0"/>
    <x v="0"/>
    <x v="0"/>
    <x v="0"/>
    <x v="3"/>
    <x v="4"/>
    <n v="0"/>
    <n v="0"/>
    <n v="2.8250000000000002"/>
    <n v="2.8250000000000002"/>
    <n v="2.8250000000000002"/>
    <n v="2.8250000000000002"/>
    <n v="0"/>
    <x v="0"/>
    <n v="0"/>
    <n v="0"/>
    <n v="65"/>
    <n v="109"/>
    <n v="0"/>
    <n v="827.45"/>
    <n v="168.06"/>
    <m/>
    <n v="863.26174103173116"/>
    <n v="218.7322873480222"/>
    <n v="0"/>
    <n v="2337.5462500000003"/>
    <n v="474.76950000000005"/>
    <n v="0"/>
    <n v="2438.7144184146405"/>
    <n v="617.91871175816277"/>
  </r>
  <r>
    <s v="Sistema Isolado - Regular"/>
    <x v="4"/>
    <x v="3"/>
    <x v="0"/>
    <x v="0"/>
    <x v="0"/>
    <x v="0"/>
    <x v="3"/>
    <x v="4"/>
    <n v="0"/>
    <n v="0"/>
    <n v="1.3440000000000001"/>
    <n v="1.3440000000000001"/>
    <n v="1.3440000000000001"/>
    <n v="1.3440000000000001"/>
    <n v="0"/>
    <x v="0"/>
    <n v="0"/>
    <n v="0"/>
    <n v="65"/>
    <n v="109"/>
    <n v="0"/>
    <n v="827.45"/>
    <n v="168.06"/>
    <m/>
    <n v="863.26174103173116"/>
    <n v="218.7322873480222"/>
    <n v="0"/>
    <n v="1112.0928000000001"/>
    <n v="225.87264000000002"/>
    <n v="0"/>
    <n v="1160.2237799466468"/>
    <n v="293.97619419574187"/>
  </r>
  <r>
    <s v="Sistema de Compensação"/>
    <x v="4"/>
    <x v="3"/>
    <x v="0"/>
    <x v="0"/>
    <x v="0"/>
    <x v="0"/>
    <x v="3"/>
    <x v="4"/>
    <n v="0"/>
    <n v="0"/>
    <n v="5.0999999999999997E-2"/>
    <n v="5.0999999999999997E-2"/>
    <n v="5.0999999999999997E-2"/>
    <n v="5.0999999999999997E-2"/>
    <n v="0"/>
    <x v="0"/>
    <n v="0"/>
    <n v="0"/>
    <n v="65"/>
    <n v="109"/>
    <n v="0"/>
    <n v="827.45"/>
    <n v="168.06"/>
    <m/>
    <n v="863.26174103173116"/>
    <n v="218.7322873480222"/>
    <n v="0"/>
    <n v="42.199950000000001"/>
    <n v="8.5710599999999992"/>
    <n v="0"/>
    <n v="44.026348792618286"/>
    <n v="11.155346654749131"/>
  </r>
  <r>
    <s v="Regular"/>
    <x v="4"/>
    <x v="3"/>
    <x v="0"/>
    <x v="0"/>
    <x v="0"/>
    <x v="0"/>
    <x v="3"/>
    <x v="5"/>
    <n v="0"/>
    <n v="0"/>
    <n v="2.157"/>
    <n v="2.157"/>
    <n v="2.157"/>
    <n v="2.157"/>
    <n v="0"/>
    <x v="0"/>
    <n v="0"/>
    <n v="0"/>
    <n v="65"/>
    <n v="109"/>
    <n v="0"/>
    <n v="827.45"/>
    <n v="168.06"/>
    <m/>
    <n v="863.26174103173116"/>
    <n v="218.7322873480222"/>
    <n v="0"/>
    <n v="1784.8096500000001"/>
    <n v="362.50542000000002"/>
    <n v="0"/>
    <n v="1862.0555754054442"/>
    <n v="471.80554380968391"/>
  </r>
  <r>
    <s v="Sistema Isolado - Regular"/>
    <x v="4"/>
    <x v="3"/>
    <x v="0"/>
    <x v="0"/>
    <x v="0"/>
    <x v="0"/>
    <x v="3"/>
    <x v="5"/>
    <n v="0"/>
    <n v="0"/>
    <n v="0.85899999999999999"/>
    <n v="0.85899999999999999"/>
    <n v="0.85899999999999999"/>
    <n v="0.85899999999999999"/>
    <n v="0"/>
    <x v="0"/>
    <n v="0"/>
    <n v="0"/>
    <n v="65"/>
    <n v="109"/>
    <n v="0"/>
    <n v="827.45"/>
    <n v="168.06"/>
    <m/>
    <n v="863.26174103173116"/>
    <n v="218.7322873480222"/>
    <n v="0"/>
    <n v="710.77954999999997"/>
    <n v="144.36354"/>
    <n v="0"/>
    <n v="741.54183554625706"/>
    <n v="187.89103483195106"/>
  </r>
  <r>
    <s v="Sistema Isolado - Refaturamento"/>
    <x v="4"/>
    <x v="3"/>
    <x v="0"/>
    <x v="0"/>
    <x v="0"/>
    <x v="0"/>
    <x v="3"/>
    <x v="5"/>
    <n v="0"/>
    <n v="0"/>
    <n v="-0.746"/>
    <n v="-0.746"/>
    <n v="-0.746"/>
    <n v="-0.746"/>
    <n v="0"/>
    <x v="0"/>
    <n v="0"/>
    <n v="0"/>
    <n v="65"/>
    <n v="109"/>
    <n v="0"/>
    <n v="827.45"/>
    <n v="168.06"/>
    <m/>
    <n v="863.26174103173116"/>
    <n v="218.7322873480222"/>
    <n v="0"/>
    <n v="-617.27769999999998"/>
    <n v="-125.37276"/>
    <n v="0"/>
    <n v="-643.99325880967149"/>
    <n v="-163.17428636162455"/>
  </r>
  <r>
    <s v="Sistema de Compensação"/>
    <x v="4"/>
    <x v="3"/>
    <x v="0"/>
    <x v="0"/>
    <x v="0"/>
    <x v="0"/>
    <x v="3"/>
    <x v="5"/>
    <n v="0"/>
    <n v="0"/>
    <n v="5.1999999999999998E-2"/>
    <n v="5.1999999999999998E-2"/>
    <n v="5.1999999999999998E-2"/>
    <n v="5.1999999999999998E-2"/>
    <n v="0"/>
    <x v="0"/>
    <n v="0"/>
    <n v="0"/>
    <n v="65"/>
    <n v="109"/>
    <n v="0"/>
    <n v="827.45"/>
    <n v="168.06"/>
    <m/>
    <n v="863.26174103173116"/>
    <n v="218.7322873480222"/>
    <n v="0"/>
    <n v="43.0274"/>
    <n v="8.7391199999999998"/>
    <n v="0"/>
    <n v="44.889610533650021"/>
    <n v="11.374078942097153"/>
  </r>
  <r>
    <s v="Regular"/>
    <x v="4"/>
    <x v="3"/>
    <x v="0"/>
    <x v="0"/>
    <x v="0"/>
    <x v="0"/>
    <x v="3"/>
    <x v="6"/>
    <n v="0"/>
    <n v="0"/>
    <n v="1.823"/>
    <n v="1.823"/>
    <n v="1.823"/>
    <n v="1.823"/>
    <n v="0"/>
    <x v="0"/>
    <n v="0"/>
    <n v="0"/>
    <n v="65"/>
    <n v="109"/>
    <n v="0"/>
    <n v="827.45"/>
    <n v="168.06"/>
    <m/>
    <n v="863.26174103173116"/>
    <n v="218.7322873480222"/>
    <n v="0"/>
    <n v="1508.4413500000001"/>
    <n v="306.37338"/>
    <n v="0"/>
    <n v="1573.7261539008459"/>
    <n v="398.74895983544445"/>
  </r>
  <r>
    <s v="Sistema Isolado - Regular"/>
    <x v="4"/>
    <x v="3"/>
    <x v="0"/>
    <x v="0"/>
    <x v="0"/>
    <x v="0"/>
    <x v="3"/>
    <x v="6"/>
    <n v="0"/>
    <n v="0"/>
    <n v="0.58399999999999996"/>
    <n v="0.58399999999999996"/>
    <n v="0.58399999999999996"/>
    <n v="0.58399999999999996"/>
    <n v="0"/>
    <x v="0"/>
    <n v="0"/>
    <n v="0"/>
    <n v="65"/>
    <n v="109"/>
    <n v="0"/>
    <n v="827.45"/>
    <n v="168.06"/>
    <m/>
    <n v="863.26174103173116"/>
    <n v="218.7322873480222"/>
    <n v="0"/>
    <n v="483.23079999999999"/>
    <n v="98.14703999999999"/>
    <n v="0"/>
    <n v="504.14485676253099"/>
    <n v="127.73965581124496"/>
  </r>
  <r>
    <s v="Regular"/>
    <x v="4"/>
    <x v="3"/>
    <x v="0"/>
    <x v="0"/>
    <x v="0"/>
    <x v="0"/>
    <x v="3"/>
    <x v="7"/>
    <n v="0"/>
    <n v="0"/>
    <n v="3.214"/>
    <n v="3.214"/>
    <n v="3.214"/>
    <n v="3.214"/>
    <n v="0"/>
    <x v="0"/>
    <n v="0"/>
    <n v="0"/>
    <n v="65"/>
    <n v="109"/>
    <n v="0"/>
    <n v="827.45"/>
    <n v="168.06"/>
    <m/>
    <n v="863.26174103173116"/>
    <n v="218.7322873480222"/>
    <n v="0"/>
    <n v="2659.4243000000001"/>
    <n v="540.14484000000004"/>
    <n v="0"/>
    <n v="2774.5232356759839"/>
    <n v="703.00557153654336"/>
  </r>
  <r>
    <s v="Refaturamento - Regular"/>
    <x v="4"/>
    <x v="3"/>
    <x v="0"/>
    <x v="0"/>
    <x v="0"/>
    <x v="0"/>
    <x v="3"/>
    <x v="7"/>
    <n v="0"/>
    <n v="0"/>
    <n v="0.21299999999999999"/>
    <n v="0.21299999999999999"/>
    <n v="0.21299999999999999"/>
    <n v="0.21299999999999999"/>
    <n v="0"/>
    <x v="0"/>
    <n v="0"/>
    <n v="0"/>
    <n v="65"/>
    <n v="109"/>
    <n v="0"/>
    <n v="827.45"/>
    <n v="168.06"/>
    <m/>
    <n v="863.26174103173116"/>
    <n v="218.7322873480222"/>
    <n v="0"/>
    <n v="176.24684999999999"/>
    <n v="35.796779999999998"/>
    <n v="0"/>
    <n v="183.87475083975875"/>
    <n v="46.589977205128726"/>
  </r>
  <r>
    <s v="Sistema Isolado - Regular"/>
    <x v="4"/>
    <x v="3"/>
    <x v="0"/>
    <x v="0"/>
    <x v="0"/>
    <x v="0"/>
    <x v="3"/>
    <x v="7"/>
    <n v="0"/>
    <n v="0"/>
    <n v="0.67800000000000005"/>
    <n v="0.67800000000000005"/>
    <n v="0.67800000000000005"/>
    <n v="0.67800000000000005"/>
    <n v="0"/>
    <x v="0"/>
    <n v="0"/>
    <n v="0"/>
    <n v="65"/>
    <n v="109"/>
    <n v="0"/>
    <n v="827.45"/>
    <n v="168.06"/>
    <m/>
    <n v="863.26174103173116"/>
    <n v="218.7322873480222"/>
    <n v="0"/>
    <n v="561.01110000000006"/>
    <n v="113.94468000000001"/>
    <n v="0"/>
    <n v="585.29146041951378"/>
    <n v="148.30049082195907"/>
  </r>
  <r>
    <s v="Sistema de Compensação"/>
    <x v="4"/>
    <x v="3"/>
    <x v="0"/>
    <x v="0"/>
    <x v="0"/>
    <x v="0"/>
    <x v="3"/>
    <x v="7"/>
    <n v="0"/>
    <n v="0"/>
    <n v="4.2999999999999997E-2"/>
    <n v="4.2999999999999997E-2"/>
    <n v="4.2999999999999997E-2"/>
    <n v="4.2999999999999997E-2"/>
    <n v="0"/>
    <x v="0"/>
    <n v="0"/>
    <n v="0"/>
    <n v="65"/>
    <n v="109"/>
    <n v="0"/>
    <n v="827.45"/>
    <n v="168.06"/>
    <m/>
    <n v="863.26174103173116"/>
    <n v="218.7322873480222"/>
    <n v="0"/>
    <n v="35.580349999999996"/>
    <n v="7.2265799999999993"/>
    <n v="0"/>
    <n v="37.120254864364441"/>
    <n v="9.4054883559649536"/>
  </r>
  <r>
    <s v="Regular"/>
    <x v="4"/>
    <x v="3"/>
    <x v="0"/>
    <x v="0"/>
    <x v="0"/>
    <x v="0"/>
    <x v="3"/>
    <x v="8"/>
    <n v="0"/>
    <n v="0"/>
    <n v="2.2719999999999998"/>
    <n v="2.2719999999999998"/>
    <n v="2.2719999999999998"/>
    <n v="2.2719999999999998"/>
    <n v="0"/>
    <x v="0"/>
    <n v="0"/>
    <n v="0"/>
    <n v="65"/>
    <n v="109"/>
    <n v="0"/>
    <n v="827.45"/>
    <n v="168.06"/>
    <m/>
    <n v="863.26174103173116"/>
    <n v="218.7322873480222"/>
    <n v="0"/>
    <n v="1879.9664"/>
    <n v="381.83231999999998"/>
    <n v="0"/>
    <n v="1961.3306756240929"/>
    <n v="496.95975685470637"/>
  </r>
  <r>
    <s v="Refaturamento - Regular"/>
    <x v="4"/>
    <x v="3"/>
    <x v="0"/>
    <x v="0"/>
    <x v="0"/>
    <x v="0"/>
    <x v="3"/>
    <x v="8"/>
    <n v="0"/>
    <n v="0"/>
    <n v="-0.82"/>
    <n v="-0.82"/>
    <n v="-0.82"/>
    <n v="-0.82"/>
    <n v="0"/>
    <x v="0"/>
    <n v="0"/>
    <n v="0"/>
    <n v="65"/>
    <n v="109"/>
    <n v="0"/>
    <n v="827.45"/>
    <n v="168.06"/>
    <m/>
    <n v="863.26174103173116"/>
    <n v="218.7322873480222"/>
    <n v="0"/>
    <n v="-678.50900000000001"/>
    <n v="-137.8092"/>
    <n v="0"/>
    <n v="-707.87462764601946"/>
    <n v="-179.3604756253782"/>
  </r>
  <r>
    <s v="Sistema Isolado - Regular"/>
    <x v="4"/>
    <x v="3"/>
    <x v="0"/>
    <x v="0"/>
    <x v="0"/>
    <x v="0"/>
    <x v="3"/>
    <x v="8"/>
    <n v="0"/>
    <n v="0"/>
    <n v="0.56599999999999995"/>
    <n v="0.56599999999999995"/>
    <n v="0.56599999999999995"/>
    <n v="0.56599999999999995"/>
    <n v="0"/>
    <x v="0"/>
    <n v="0"/>
    <n v="0"/>
    <n v="65"/>
    <n v="109"/>
    <n v="0"/>
    <n v="827.45"/>
    <n v="168.06"/>
    <m/>
    <n v="863.26174103173116"/>
    <n v="218.7322873480222"/>
    <n v="0"/>
    <n v="468.33670000000001"/>
    <n v="95.121959999999987"/>
    <n v="0"/>
    <n v="488.60614542395979"/>
    <n v="123.80247463898056"/>
  </r>
  <r>
    <s v="Sistema de Compensação"/>
    <x v="4"/>
    <x v="3"/>
    <x v="0"/>
    <x v="0"/>
    <x v="0"/>
    <x v="0"/>
    <x v="3"/>
    <x v="8"/>
    <n v="0"/>
    <n v="0"/>
    <n v="1.7999999999999999E-2"/>
    <n v="1.7999999999999999E-2"/>
    <n v="1.7999999999999999E-2"/>
    <n v="1.7999999999999999E-2"/>
    <n v="0"/>
    <x v="0"/>
    <n v="0"/>
    <n v="0"/>
    <n v="65"/>
    <n v="109"/>
    <n v="0"/>
    <n v="827.45"/>
    <n v="168.06"/>
    <m/>
    <n v="863.26174103173116"/>
    <n v="218.7322873480222"/>
    <n v="0"/>
    <n v="14.8941"/>
    <n v="3.02508"/>
    <n v="0"/>
    <n v="15.53871133857116"/>
    <n v="3.9371811722643995"/>
  </r>
  <r>
    <s v="Regular"/>
    <x v="4"/>
    <x v="3"/>
    <x v="0"/>
    <x v="0"/>
    <x v="0"/>
    <x v="0"/>
    <x v="3"/>
    <x v="9"/>
    <n v="0"/>
    <n v="0"/>
    <n v="2.4159999999999999"/>
    <n v="2.4159999999999999"/>
    <n v="2.4159999999999999"/>
    <n v="2.4159999999999999"/>
    <n v="0"/>
    <x v="0"/>
    <n v="0"/>
    <n v="0"/>
    <n v="65"/>
    <n v="109"/>
    <n v="0"/>
    <n v="827.45"/>
    <n v="168.06"/>
    <m/>
    <n v="863.26174103173116"/>
    <n v="218.7322873480222"/>
    <n v="0"/>
    <n v="1999.1192000000001"/>
    <n v="406.03296"/>
    <n v="0"/>
    <n v="2085.6403663326623"/>
    <n v="528.45720623282159"/>
  </r>
  <r>
    <s v="Refaturamento - Regular"/>
    <x v="4"/>
    <x v="3"/>
    <x v="0"/>
    <x v="0"/>
    <x v="0"/>
    <x v="0"/>
    <x v="3"/>
    <x v="9"/>
    <n v="0"/>
    <n v="0"/>
    <n v="8.9999999999999993E-3"/>
    <n v="8.9999999999999993E-3"/>
    <n v="8.9999999999999993E-3"/>
    <n v="8.9999999999999993E-3"/>
    <n v="0"/>
    <x v="0"/>
    <n v="0"/>
    <n v="0"/>
    <n v="65"/>
    <n v="109"/>
    <n v="0"/>
    <n v="827.45"/>
    <n v="168.06"/>
    <m/>
    <n v="863.26174103173116"/>
    <n v="218.7322873480222"/>
    <n v="0"/>
    <n v="7.4470499999999999"/>
    <n v="1.51254"/>
    <n v="0"/>
    <n v="7.7693556692855799"/>
    <n v="1.9685905861321997"/>
  </r>
  <r>
    <s v="Sistema Isolado - Regular"/>
    <x v="4"/>
    <x v="3"/>
    <x v="0"/>
    <x v="0"/>
    <x v="0"/>
    <x v="0"/>
    <x v="3"/>
    <x v="9"/>
    <n v="0"/>
    <n v="0"/>
    <n v="0.46400000000000002"/>
    <n v="0.46400000000000002"/>
    <n v="0.46400000000000002"/>
    <n v="0.46400000000000002"/>
    <n v="0"/>
    <x v="0"/>
    <n v="0"/>
    <n v="0"/>
    <n v="65"/>
    <n v="109"/>
    <n v="0"/>
    <n v="827.45"/>
    <n v="168.06"/>
    <m/>
    <n v="863.26174103173116"/>
    <n v="218.7322873480222"/>
    <n v="0"/>
    <n v="383.93680000000006"/>
    <n v="77.97984000000001"/>
    <n v="0"/>
    <n v="400.55344783872329"/>
    <n v="101.49178132948231"/>
  </r>
  <r>
    <s v="Sistema de Compensação"/>
    <x v="4"/>
    <x v="3"/>
    <x v="0"/>
    <x v="0"/>
    <x v="0"/>
    <x v="0"/>
    <x v="3"/>
    <x v="9"/>
    <n v="0"/>
    <n v="0"/>
    <n v="3.1E-2"/>
    <n v="3.1E-2"/>
    <n v="3.1E-2"/>
    <n v="3.1E-2"/>
    <n v="0"/>
    <x v="0"/>
    <n v="0"/>
    <n v="0"/>
    <n v="65"/>
    <n v="109"/>
    <n v="0"/>
    <n v="827.45"/>
    <n v="168.06"/>
    <m/>
    <n v="863.26174103173116"/>
    <n v="218.7322873480222"/>
    <n v="0"/>
    <n v="25.650950000000002"/>
    <n v="5.2098599999999999"/>
    <n v="0"/>
    <n v="26.761113971983665"/>
    <n v="6.7807009077886882"/>
  </r>
  <r>
    <s v="Regular"/>
    <x v="4"/>
    <x v="3"/>
    <x v="0"/>
    <x v="0"/>
    <x v="0"/>
    <x v="0"/>
    <x v="3"/>
    <x v="10"/>
    <n v="0"/>
    <n v="0"/>
    <n v="2.7989999999999999"/>
    <n v="2.7989999999999999"/>
    <n v="2.7989999999999999"/>
    <n v="2.7989999999999999"/>
    <n v="0"/>
    <x v="0"/>
    <n v="0"/>
    <n v="0"/>
    <n v="65"/>
    <n v="109"/>
    <n v="0"/>
    <n v="827.45"/>
    <n v="168.06"/>
    <m/>
    <n v="863.26174103173116"/>
    <n v="218.7322873480222"/>
    <n v="0"/>
    <n v="2316.0325499999999"/>
    <n v="470.39994000000002"/>
    <n v="0"/>
    <n v="2416.2696131478156"/>
    <n v="612.23167228711407"/>
  </r>
  <r>
    <s v="Sistema Isolado - Regular"/>
    <x v="4"/>
    <x v="3"/>
    <x v="0"/>
    <x v="0"/>
    <x v="0"/>
    <x v="0"/>
    <x v="3"/>
    <x v="10"/>
    <n v="0"/>
    <n v="0"/>
    <n v="0.57499999999999996"/>
    <n v="0.57499999999999996"/>
    <n v="0.57499999999999996"/>
    <n v="0.57499999999999996"/>
    <n v="0"/>
    <x v="0"/>
    <n v="0"/>
    <n v="0"/>
    <n v="65"/>
    <n v="109"/>
    <n v="0"/>
    <n v="827.45"/>
    <n v="168.06"/>
    <m/>
    <n v="863.26174103173116"/>
    <n v="218.7322873480222"/>
    <n v="0"/>
    <n v="475.78375"/>
    <n v="96.634499999999989"/>
    <n v="0"/>
    <n v="496.37550109324536"/>
    <n v="125.77106522511275"/>
  </r>
  <r>
    <s v="Sistema de Compensação"/>
    <x v="4"/>
    <x v="3"/>
    <x v="0"/>
    <x v="0"/>
    <x v="0"/>
    <x v="0"/>
    <x v="3"/>
    <x v="10"/>
    <n v="0"/>
    <n v="0"/>
    <n v="1.0999999999999999E-2"/>
    <n v="1.0999999999999999E-2"/>
    <n v="1.0999999999999999E-2"/>
    <n v="1.0999999999999999E-2"/>
    <n v="0"/>
    <x v="0"/>
    <n v="0"/>
    <n v="0"/>
    <n v="65"/>
    <n v="109"/>
    <n v="0"/>
    <n v="827.45"/>
    <n v="168.06"/>
    <m/>
    <n v="863.26174103173116"/>
    <n v="218.7322873480222"/>
    <n v="0"/>
    <n v="9.1019500000000004"/>
    <n v="1.84866"/>
    <n v="0"/>
    <n v="9.4958791513490421"/>
    <n v="2.4060551608282439"/>
  </r>
  <r>
    <s v="PROJETADO"/>
    <x v="4"/>
    <x v="3"/>
    <x v="0"/>
    <x v="0"/>
    <x v="0"/>
    <x v="0"/>
    <x v="3"/>
    <x v="11"/>
    <n v="0"/>
    <n v="0"/>
    <n v="2.7989999999999999"/>
    <n v="2.7989999999999999"/>
    <n v="2.7989999999999999"/>
    <n v="2.7989999999999999"/>
    <n v="0"/>
    <x v="0"/>
    <n v="0"/>
    <n v="0"/>
    <n v="65"/>
    <n v="109"/>
    <n v="0"/>
    <n v="827.45"/>
    <n v="168.06"/>
    <m/>
    <n v="863.26174103173116"/>
    <n v="218.7322873480222"/>
    <n v="0"/>
    <n v="2316.0325499999999"/>
    <n v="470.39994000000002"/>
    <n v="0"/>
    <n v="2416.2696131478156"/>
    <n v="612.23167228711407"/>
  </r>
  <r>
    <s v="PROJETADO"/>
    <x v="4"/>
    <x v="3"/>
    <x v="0"/>
    <x v="0"/>
    <x v="0"/>
    <x v="0"/>
    <x v="3"/>
    <x v="11"/>
    <n v="0"/>
    <n v="0"/>
    <n v="0.57499999999999996"/>
    <n v="0.57499999999999996"/>
    <n v="0.57499999999999996"/>
    <n v="0.57499999999999996"/>
    <n v="0"/>
    <x v="0"/>
    <n v="0"/>
    <n v="0"/>
    <n v="65"/>
    <n v="109"/>
    <n v="0"/>
    <n v="827.45"/>
    <n v="168.06"/>
    <m/>
    <n v="863.26174103173116"/>
    <n v="218.7322873480222"/>
    <n v="0"/>
    <n v="475.78375"/>
    <n v="96.634499999999989"/>
    <n v="0"/>
    <n v="496.37550109324536"/>
    <n v="125.77106522511275"/>
  </r>
  <r>
    <s v="PROJETADO"/>
    <x v="4"/>
    <x v="3"/>
    <x v="0"/>
    <x v="0"/>
    <x v="0"/>
    <x v="0"/>
    <x v="3"/>
    <x v="11"/>
    <n v="0"/>
    <n v="0"/>
    <n v="1.0999999999999999E-2"/>
    <n v="1.0999999999999999E-2"/>
    <n v="1.0999999999999999E-2"/>
    <n v="1.0999999999999999E-2"/>
    <n v="0"/>
    <x v="0"/>
    <n v="0"/>
    <n v="0"/>
    <n v="65"/>
    <n v="109"/>
    <n v="0"/>
    <n v="827.45"/>
    <n v="168.06"/>
    <m/>
    <n v="863.26174103173116"/>
    <n v="218.7322873480222"/>
    <n v="0"/>
    <n v="9.1019500000000004"/>
    <n v="1.84866"/>
    <n v="0"/>
    <n v="9.4958791513490421"/>
    <n v="2.4060551608282439"/>
  </r>
  <r>
    <s v="Regular"/>
    <x v="4"/>
    <x v="3"/>
    <x v="0"/>
    <x v="0"/>
    <x v="0"/>
    <x v="0"/>
    <x v="1"/>
    <x v="0"/>
    <n v="0"/>
    <n v="0"/>
    <n v="5.181"/>
    <n v="5.181"/>
    <n v="5.181"/>
    <n v="5.181"/>
    <n v="0"/>
    <x v="0"/>
    <n v="0"/>
    <n v="0"/>
    <n v="64"/>
    <n v="108"/>
    <n v="0"/>
    <n v="1303.25"/>
    <n v="270.3"/>
    <m/>
    <n v="1335.4421526075607"/>
    <n v="362.70381368696184"/>
    <n v="0"/>
    <n v="6752.13825"/>
    <n v="1400.4243000000001"/>
    <n v="0"/>
    <n v="6918.925792659772"/>
    <n v="1879.1684587121492"/>
  </r>
  <r>
    <s v="Refaturamento - Regular"/>
    <x v="4"/>
    <x v="3"/>
    <x v="0"/>
    <x v="0"/>
    <x v="0"/>
    <x v="0"/>
    <x v="1"/>
    <x v="0"/>
    <n v="0"/>
    <n v="0"/>
    <n v="0.438"/>
    <n v="0.438"/>
    <n v="0.438"/>
    <n v="0.438"/>
    <n v="0"/>
    <x v="0"/>
    <n v="0"/>
    <n v="0"/>
    <n v="64"/>
    <n v="108"/>
    <n v="0"/>
    <n v="1303.25"/>
    <n v="270.3"/>
    <m/>
    <n v="1335.4421526075607"/>
    <n v="362.70381368696184"/>
    <n v="0"/>
    <n v="570.82349999999997"/>
    <n v="118.3914"/>
    <n v="0"/>
    <n v="584.92366284211164"/>
    <n v="158.86427039488927"/>
  </r>
  <r>
    <s v="Sistema Isolado - Regular"/>
    <x v="4"/>
    <x v="3"/>
    <x v="0"/>
    <x v="0"/>
    <x v="0"/>
    <x v="0"/>
    <x v="1"/>
    <x v="0"/>
    <n v="0"/>
    <n v="0"/>
    <n v="0.50600000000000001"/>
    <n v="0.50600000000000001"/>
    <n v="0.50600000000000001"/>
    <n v="0.50600000000000001"/>
    <n v="0"/>
    <x v="0"/>
    <n v="0"/>
    <n v="0"/>
    <n v="64"/>
    <n v="108"/>
    <n v="0"/>
    <n v="1303.25"/>
    <n v="270.3"/>
    <m/>
    <n v="1335.4421526075607"/>
    <n v="362.70381368696184"/>
    <n v="0"/>
    <n v="659.44450000000006"/>
    <n v="136.77180000000001"/>
    <n v="0"/>
    <n v="675.73372921942575"/>
    <n v="183.5281297256027"/>
  </r>
  <r>
    <s v="Sistema de Compensação"/>
    <x v="4"/>
    <x v="3"/>
    <x v="0"/>
    <x v="0"/>
    <x v="0"/>
    <x v="0"/>
    <x v="1"/>
    <x v="0"/>
    <n v="0"/>
    <n v="0"/>
    <n v="7.0000000000000007E-2"/>
    <n v="7.0000000000000007E-2"/>
    <n v="7.0000000000000007E-2"/>
    <n v="7.0000000000000007E-2"/>
    <n v="0"/>
    <x v="0"/>
    <n v="0"/>
    <n v="0"/>
    <n v="64"/>
    <n v="108"/>
    <n v="0"/>
    <n v="1303.25"/>
    <n v="270.3"/>
    <m/>
    <n v="1335.4421526075607"/>
    <n v="362.70381368696184"/>
    <n v="0"/>
    <n v="91.227500000000006"/>
    <n v="18.921000000000003"/>
    <n v="0"/>
    <n v="93.480950682529254"/>
    <n v="25.38926695808733"/>
  </r>
  <r>
    <s v="Regular"/>
    <x v="4"/>
    <x v="3"/>
    <x v="0"/>
    <x v="0"/>
    <x v="0"/>
    <x v="0"/>
    <x v="1"/>
    <x v="1"/>
    <n v="0"/>
    <n v="0"/>
    <n v="5.2590000000000003"/>
    <n v="5.2590000000000003"/>
    <n v="5.2590000000000003"/>
    <n v="5.2590000000000003"/>
    <n v="0"/>
    <x v="0"/>
    <n v="0"/>
    <n v="0"/>
    <n v="64"/>
    <n v="108"/>
    <n v="0"/>
    <n v="1303.25"/>
    <n v="270.3"/>
    <m/>
    <n v="1335.4421526075607"/>
    <n v="362.70381368696184"/>
    <n v="0"/>
    <n v="6853.7917500000003"/>
    <n v="1421.5077000000001"/>
    <n v="0"/>
    <n v="7023.0902805631622"/>
    <n v="1907.4593561797324"/>
  </r>
  <r>
    <s v="Refaturamento - Regular"/>
    <x v="4"/>
    <x v="3"/>
    <x v="0"/>
    <x v="0"/>
    <x v="0"/>
    <x v="0"/>
    <x v="1"/>
    <x v="1"/>
    <n v="0"/>
    <n v="0"/>
    <n v="-3.5000000000000003E-2"/>
    <n v="-3.5000000000000003E-2"/>
    <n v="-3.5000000000000003E-2"/>
    <n v="-3.5000000000000003E-2"/>
    <n v="0"/>
    <x v="0"/>
    <n v="0"/>
    <n v="0"/>
    <n v="64"/>
    <n v="108"/>
    <n v="0"/>
    <n v="1303.25"/>
    <n v="270.3"/>
    <m/>
    <n v="1335.4421526075607"/>
    <n v="362.70381368696184"/>
    <n v="0"/>
    <n v="-45.613750000000003"/>
    <n v="-9.4605000000000015"/>
    <n v="0"/>
    <n v="-46.740475341264627"/>
    <n v="-12.694633479043665"/>
  </r>
  <r>
    <s v="Sistema Isolado - Regular"/>
    <x v="4"/>
    <x v="3"/>
    <x v="0"/>
    <x v="0"/>
    <x v="0"/>
    <x v="0"/>
    <x v="1"/>
    <x v="1"/>
    <n v="0"/>
    <n v="0"/>
    <n v="0.60699999999999998"/>
    <n v="0.60699999999999998"/>
    <n v="0.60699999999999998"/>
    <n v="0.60699999999999998"/>
    <n v="0"/>
    <x v="0"/>
    <n v="0"/>
    <n v="0"/>
    <n v="64"/>
    <n v="108"/>
    <n v="0"/>
    <n v="1303.25"/>
    <n v="270.3"/>
    <m/>
    <n v="1335.4421526075607"/>
    <n v="362.70381368696184"/>
    <n v="0"/>
    <n v="791.07274999999993"/>
    <n v="164.07210000000001"/>
    <n v="0"/>
    <n v="810.61338663278934"/>
    <n v="220.16121490798582"/>
  </r>
  <r>
    <s v="Sistema de Compensação"/>
    <x v="4"/>
    <x v="3"/>
    <x v="0"/>
    <x v="0"/>
    <x v="0"/>
    <x v="0"/>
    <x v="1"/>
    <x v="1"/>
    <n v="0"/>
    <n v="0"/>
    <n v="8.5000000000000006E-2"/>
    <n v="8.5000000000000006E-2"/>
    <n v="8.5000000000000006E-2"/>
    <n v="8.5000000000000006E-2"/>
    <n v="0"/>
    <x v="0"/>
    <n v="0"/>
    <n v="0"/>
    <n v="64"/>
    <n v="108"/>
    <n v="0"/>
    <n v="1303.25"/>
    <n v="270.3"/>
    <m/>
    <n v="1335.4421526075607"/>
    <n v="362.70381368696184"/>
    <n v="0"/>
    <n v="110.77625"/>
    <n v="22.975500000000004"/>
    <n v="0"/>
    <n v="113.51258297164267"/>
    <n v="30.829824163391759"/>
  </r>
  <r>
    <s v="Regular"/>
    <x v="4"/>
    <x v="3"/>
    <x v="0"/>
    <x v="0"/>
    <x v="0"/>
    <x v="0"/>
    <x v="1"/>
    <x v="2"/>
    <n v="0"/>
    <n v="0"/>
    <n v="4.6779999999999999"/>
    <n v="4.6779999999999999"/>
    <n v="4.6779999999999999"/>
    <n v="4.6779999999999999"/>
    <n v="0"/>
    <x v="0"/>
    <n v="0"/>
    <n v="0"/>
    <n v="64"/>
    <n v="108"/>
    <n v="0"/>
    <n v="1303.25"/>
    <n v="270.3"/>
    <m/>
    <n v="1335.4421526075607"/>
    <n v="362.70381368696184"/>
    <n v="0"/>
    <n v="6096.6035000000002"/>
    <n v="1264.4634000000001"/>
    <n v="0"/>
    <n v="6247.1983898981689"/>
    <n v="1696.7284404276074"/>
  </r>
  <r>
    <s v="Sistema Isolado - Regular"/>
    <x v="4"/>
    <x v="3"/>
    <x v="0"/>
    <x v="0"/>
    <x v="0"/>
    <x v="0"/>
    <x v="1"/>
    <x v="2"/>
    <n v="0"/>
    <n v="0"/>
    <n v="0.71"/>
    <n v="0.71"/>
    <n v="0.71"/>
    <n v="0.71"/>
    <n v="0"/>
    <x v="0"/>
    <n v="0"/>
    <n v="0"/>
    <n v="64"/>
    <n v="108"/>
    <n v="0"/>
    <n v="1303.25"/>
    <n v="270.3"/>
    <m/>
    <n v="1335.4421526075607"/>
    <n v="362.70381368696184"/>
    <n v="0"/>
    <n v="925.3075"/>
    <n v="191.91300000000001"/>
    <n v="0"/>
    <n v="948.1639283513681"/>
    <n v="257.5197077177429"/>
  </r>
  <r>
    <s v="Sistema de Compensação"/>
    <x v="4"/>
    <x v="3"/>
    <x v="0"/>
    <x v="0"/>
    <x v="0"/>
    <x v="0"/>
    <x v="1"/>
    <x v="2"/>
    <n v="0"/>
    <n v="0"/>
    <n v="6.8000000000000005E-2"/>
    <n v="6.8000000000000005E-2"/>
    <n v="6.8000000000000005E-2"/>
    <n v="6.8000000000000005E-2"/>
    <n v="0"/>
    <x v="0"/>
    <n v="0"/>
    <n v="0"/>
    <n v="64"/>
    <n v="108"/>
    <n v="0"/>
    <n v="1303.25"/>
    <n v="270.3"/>
    <m/>
    <n v="1335.4421526075607"/>
    <n v="362.70381368696184"/>
    <n v="0"/>
    <n v="88.621000000000009"/>
    <n v="18.380400000000002"/>
    <n v="0"/>
    <n v="90.810066377314129"/>
    <n v="24.663859330713407"/>
  </r>
  <r>
    <s v="Regular"/>
    <x v="4"/>
    <x v="3"/>
    <x v="0"/>
    <x v="0"/>
    <x v="0"/>
    <x v="0"/>
    <x v="1"/>
    <x v="3"/>
    <n v="0"/>
    <n v="0"/>
    <n v="4.72"/>
    <n v="4.72"/>
    <n v="4.72"/>
    <n v="4.72"/>
    <n v="0"/>
    <x v="0"/>
    <n v="0"/>
    <n v="0"/>
    <n v="64"/>
    <n v="108"/>
    <n v="0"/>
    <n v="1303.25"/>
    <n v="270.3"/>
    <m/>
    <n v="1335.4421526075607"/>
    <n v="362.70381368696184"/>
    <n v="0"/>
    <n v="6151.3399999999992"/>
    <n v="1275.816"/>
    <n v="0"/>
    <n v="6303.2869603076861"/>
    <n v="1711.9620006024597"/>
  </r>
  <r>
    <s v="Refaturamento - Regular"/>
    <x v="4"/>
    <x v="3"/>
    <x v="0"/>
    <x v="0"/>
    <x v="0"/>
    <x v="0"/>
    <x v="1"/>
    <x v="3"/>
    <n v="0"/>
    <n v="0"/>
    <n v="-0.254"/>
    <n v="-0.254"/>
    <n v="-0.254"/>
    <n v="-0.254"/>
    <n v="0"/>
    <x v="0"/>
    <n v="0"/>
    <n v="0"/>
    <n v="64"/>
    <n v="108"/>
    <n v="0"/>
    <n v="1303.25"/>
    <n v="270.3"/>
    <m/>
    <n v="1335.4421526075607"/>
    <n v="362.70381368696184"/>
    <n v="0"/>
    <n v="-331.02550000000002"/>
    <n v="-68.656199999999998"/>
    <n v="0"/>
    <n v="-339.2023067623204"/>
    <n v="-92.126768676488311"/>
  </r>
  <r>
    <s v="Sistema Isolado - Regular"/>
    <x v="4"/>
    <x v="3"/>
    <x v="0"/>
    <x v="0"/>
    <x v="0"/>
    <x v="0"/>
    <x v="1"/>
    <x v="3"/>
    <n v="0"/>
    <n v="0"/>
    <n v="0.38300000000000001"/>
    <n v="0.38300000000000001"/>
    <n v="0.38300000000000001"/>
    <n v="0.38300000000000001"/>
    <n v="0"/>
    <x v="0"/>
    <n v="0"/>
    <n v="0"/>
    <n v="64"/>
    <n v="108"/>
    <n v="0"/>
    <n v="1303.25"/>
    <n v="270.3"/>
    <m/>
    <n v="1335.4421526075607"/>
    <n v="362.70381368696184"/>
    <n v="0"/>
    <n v="499.14474999999999"/>
    <n v="103.5249"/>
    <n v="0"/>
    <n v="511.47434444869577"/>
    <n v="138.91556064210639"/>
  </r>
  <r>
    <s v="Sistema Isolado - Refaturamento"/>
    <x v="4"/>
    <x v="3"/>
    <x v="0"/>
    <x v="0"/>
    <x v="0"/>
    <x v="0"/>
    <x v="1"/>
    <x v="3"/>
    <n v="0"/>
    <n v="0"/>
    <n v="0.02"/>
    <n v="0.02"/>
    <n v="0.02"/>
    <n v="0.02"/>
    <n v="0"/>
    <x v="0"/>
    <n v="0"/>
    <n v="0"/>
    <n v="64"/>
    <n v="108"/>
    <n v="0"/>
    <n v="1303.25"/>
    <n v="270.3"/>
    <m/>
    <n v="1335.4421526075607"/>
    <n v="362.70381368696184"/>
    <n v="0"/>
    <n v="26.065000000000001"/>
    <n v="5.4060000000000006"/>
    <n v="0"/>
    <n v="26.708843052151217"/>
    <n v="7.254076273739237"/>
  </r>
  <r>
    <s v="Sistema de Compensação"/>
    <x v="4"/>
    <x v="3"/>
    <x v="0"/>
    <x v="0"/>
    <x v="0"/>
    <x v="0"/>
    <x v="1"/>
    <x v="3"/>
    <n v="0"/>
    <n v="0"/>
    <n v="7.0999999999999994E-2"/>
    <n v="7.0999999999999994E-2"/>
    <n v="7.0999999999999994E-2"/>
    <n v="7.0999999999999994E-2"/>
    <n v="0"/>
    <x v="0"/>
    <n v="0"/>
    <n v="0"/>
    <n v="64"/>
    <n v="108"/>
    <n v="0"/>
    <n v="1303.25"/>
    <n v="270.3"/>
    <m/>
    <n v="1335.4421526075607"/>
    <n v="362.70381368696184"/>
    <n v="0"/>
    <n v="92.530749999999998"/>
    <n v="19.191299999999998"/>
    <n v="0"/>
    <n v="94.81639283513681"/>
    <n v="25.751970771774289"/>
  </r>
  <r>
    <s v="Regular"/>
    <x v="4"/>
    <x v="3"/>
    <x v="0"/>
    <x v="0"/>
    <x v="0"/>
    <x v="0"/>
    <x v="1"/>
    <x v="4"/>
    <n v="0"/>
    <n v="0"/>
    <n v="4.66"/>
    <n v="4.66"/>
    <n v="4.66"/>
    <n v="4.66"/>
    <n v="0"/>
    <x v="0"/>
    <n v="0"/>
    <n v="0"/>
    <n v="64"/>
    <n v="108"/>
    <n v="0"/>
    <n v="1303.25"/>
    <n v="270.3"/>
    <m/>
    <n v="1335.4421526075607"/>
    <n v="362.70381368696184"/>
    <n v="0"/>
    <n v="6073.1450000000004"/>
    <n v="1259.5980000000002"/>
    <n v="0"/>
    <n v="6223.1604311512328"/>
    <n v="1690.1997717812421"/>
  </r>
  <r>
    <s v="Sistema Isolado - Regular"/>
    <x v="4"/>
    <x v="3"/>
    <x v="0"/>
    <x v="0"/>
    <x v="0"/>
    <x v="0"/>
    <x v="1"/>
    <x v="4"/>
    <n v="0"/>
    <n v="0"/>
    <n v="1.7290000000000001"/>
    <n v="1.7290000000000001"/>
    <n v="1.7290000000000001"/>
    <n v="1.7290000000000001"/>
    <n v="0"/>
    <x v="0"/>
    <n v="0"/>
    <n v="0"/>
    <n v="64"/>
    <n v="108"/>
    <n v="0"/>
    <n v="1303.25"/>
    <n v="270.3"/>
    <m/>
    <n v="1335.4421526075607"/>
    <n v="362.70381368696184"/>
    <n v="0"/>
    <n v="2253.31925"/>
    <n v="467.34870000000006"/>
    <n v="0"/>
    <n v="2308.9794818584728"/>
    <n v="627.11489386475705"/>
  </r>
  <r>
    <s v="Sistema de Compensação"/>
    <x v="4"/>
    <x v="3"/>
    <x v="0"/>
    <x v="0"/>
    <x v="0"/>
    <x v="0"/>
    <x v="1"/>
    <x v="4"/>
    <n v="0"/>
    <n v="0"/>
    <n v="7.0999999999999994E-2"/>
    <n v="7.0999999999999994E-2"/>
    <n v="7.0999999999999994E-2"/>
    <n v="7.0999999999999994E-2"/>
    <n v="0"/>
    <x v="0"/>
    <n v="0"/>
    <n v="0"/>
    <n v="64"/>
    <n v="108"/>
    <n v="0"/>
    <n v="1303.25"/>
    <n v="270.3"/>
    <m/>
    <n v="1335.4421526075607"/>
    <n v="362.70381368696184"/>
    <n v="0"/>
    <n v="92.530749999999998"/>
    <n v="19.191299999999998"/>
    <n v="0"/>
    <n v="94.81639283513681"/>
    <n v="25.751970771774289"/>
  </r>
  <r>
    <s v="Regular"/>
    <x v="4"/>
    <x v="3"/>
    <x v="0"/>
    <x v="0"/>
    <x v="0"/>
    <x v="0"/>
    <x v="1"/>
    <x v="5"/>
    <n v="0"/>
    <n v="0"/>
    <n v="4.6550000000000002"/>
    <n v="4.6550000000000002"/>
    <n v="4.6550000000000002"/>
    <n v="4.6550000000000002"/>
    <n v="0"/>
    <x v="0"/>
    <n v="0"/>
    <n v="0"/>
    <n v="64"/>
    <n v="108"/>
    <n v="0"/>
    <n v="1303.25"/>
    <n v="270.3"/>
    <m/>
    <n v="1335.4421526075607"/>
    <n v="362.70381368696184"/>
    <n v="0"/>
    <n v="6066.6287500000008"/>
    <n v="1258.2465000000002"/>
    <n v="0"/>
    <n v="6216.4832203881952"/>
    <n v="1688.3862527128074"/>
  </r>
  <r>
    <s v="Sistema Isolado - Regular"/>
    <x v="4"/>
    <x v="3"/>
    <x v="0"/>
    <x v="0"/>
    <x v="0"/>
    <x v="0"/>
    <x v="1"/>
    <x v="5"/>
    <n v="0"/>
    <n v="0"/>
    <n v="0.64300000000000002"/>
    <n v="0.64300000000000002"/>
    <n v="0.64300000000000002"/>
    <n v="0.64300000000000002"/>
    <n v="0"/>
    <x v="0"/>
    <n v="0"/>
    <n v="0"/>
    <n v="64"/>
    <n v="108"/>
    <n v="0"/>
    <n v="1303.25"/>
    <n v="270.3"/>
    <m/>
    <n v="1335.4421526075607"/>
    <n v="362.70381368696184"/>
    <n v="0"/>
    <n v="837.98975000000007"/>
    <n v="173.80290000000002"/>
    <n v="0"/>
    <n v="858.68930412666157"/>
    <n v="233.21855220071646"/>
  </r>
  <r>
    <s v="Sistema Isolado - Refaturamento"/>
    <x v="4"/>
    <x v="3"/>
    <x v="0"/>
    <x v="0"/>
    <x v="0"/>
    <x v="0"/>
    <x v="1"/>
    <x v="5"/>
    <n v="0"/>
    <n v="0"/>
    <n v="-1.21"/>
    <n v="-1.21"/>
    <n v="-1.21"/>
    <n v="-1.21"/>
    <n v="0"/>
    <x v="0"/>
    <n v="0"/>
    <n v="0"/>
    <n v="64"/>
    <n v="108"/>
    <n v="0"/>
    <n v="1303.25"/>
    <n v="270.3"/>
    <m/>
    <n v="1335.4421526075607"/>
    <n v="362.70381368696184"/>
    <n v="0"/>
    <n v="-1576.9324999999999"/>
    <n v="-327.06299999999999"/>
    <n v="0"/>
    <n v="-1615.8850046551484"/>
    <n v="-438.87161456122379"/>
  </r>
  <r>
    <s v="Sistema de Compensação"/>
    <x v="4"/>
    <x v="3"/>
    <x v="0"/>
    <x v="0"/>
    <x v="0"/>
    <x v="0"/>
    <x v="1"/>
    <x v="5"/>
    <n v="0"/>
    <n v="0"/>
    <n v="6.7000000000000004E-2"/>
    <n v="6.7000000000000004E-2"/>
    <n v="6.7000000000000004E-2"/>
    <n v="6.7000000000000004E-2"/>
    <n v="0"/>
    <x v="0"/>
    <n v="0"/>
    <n v="0"/>
    <n v="64"/>
    <n v="108"/>
    <n v="0"/>
    <n v="1303.25"/>
    <n v="270.3"/>
    <m/>
    <n v="1335.4421526075607"/>
    <n v="362.70381368696184"/>
    <n v="0"/>
    <n v="87.317750000000004"/>
    <n v="18.110100000000003"/>
    <n v="0"/>
    <n v="89.474624224706574"/>
    <n v="24.301155517026444"/>
  </r>
  <r>
    <s v="Regular"/>
    <x v="4"/>
    <x v="3"/>
    <x v="0"/>
    <x v="0"/>
    <x v="0"/>
    <x v="0"/>
    <x v="1"/>
    <x v="6"/>
    <n v="0"/>
    <n v="0"/>
    <n v="5.0389999999999997"/>
    <n v="5.0389999999999997"/>
    <n v="5.0389999999999997"/>
    <n v="5.0389999999999997"/>
    <n v="0"/>
    <x v="0"/>
    <n v="0"/>
    <n v="0"/>
    <n v="64"/>
    <n v="108"/>
    <n v="0"/>
    <n v="1303.25"/>
    <n v="270.3"/>
    <m/>
    <n v="1335.4421526075607"/>
    <n v="362.70381368696184"/>
    <n v="0"/>
    <n v="6567.0767499999993"/>
    <n v="1362.0417"/>
    <n v="0"/>
    <n v="6729.2930069894983"/>
    <n v="1827.6645171686007"/>
  </r>
  <r>
    <s v="Sistema Isolado - Regular"/>
    <x v="4"/>
    <x v="3"/>
    <x v="0"/>
    <x v="0"/>
    <x v="0"/>
    <x v="0"/>
    <x v="1"/>
    <x v="6"/>
    <n v="0"/>
    <n v="0"/>
    <n v="0.755"/>
    <n v="0.755"/>
    <n v="0.755"/>
    <n v="0.755"/>
    <n v="0"/>
    <x v="0"/>
    <n v="0"/>
    <n v="0"/>
    <n v="64"/>
    <n v="108"/>
    <n v="0"/>
    <n v="1303.25"/>
    <n v="270.3"/>
    <m/>
    <n v="1335.4421526075607"/>
    <n v="362.70381368696184"/>
    <n v="0"/>
    <n v="983.95375000000001"/>
    <n v="204.07650000000001"/>
    <n v="0"/>
    <n v="1008.2588252187084"/>
    <n v="273.84137933365616"/>
  </r>
  <r>
    <s v="Regular"/>
    <x v="4"/>
    <x v="3"/>
    <x v="0"/>
    <x v="0"/>
    <x v="0"/>
    <x v="0"/>
    <x v="1"/>
    <x v="7"/>
    <n v="0"/>
    <n v="0"/>
    <n v="6.3769999999999998"/>
    <n v="6.3769999999999998"/>
    <n v="6.3769999999999998"/>
    <n v="6.3769999999999998"/>
    <n v="0"/>
    <x v="0"/>
    <n v="0"/>
    <n v="0"/>
    <n v="64"/>
    <n v="108"/>
    <n v="0"/>
    <n v="1303.25"/>
    <n v="270.3"/>
    <m/>
    <n v="1335.4421526075607"/>
    <n v="362.70381368696184"/>
    <n v="0"/>
    <n v="8310.8252499999999"/>
    <n v="1723.7030999999999"/>
    <n v="0"/>
    <n v="8516.1146071784151"/>
    <n v="2312.9622198817556"/>
  </r>
  <r>
    <s v="Refaturamento - Regular"/>
    <x v="4"/>
    <x v="3"/>
    <x v="0"/>
    <x v="0"/>
    <x v="0"/>
    <x v="0"/>
    <x v="1"/>
    <x v="7"/>
    <n v="0"/>
    <n v="0"/>
    <n v="0.22"/>
    <n v="0.22"/>
    <n v="0.22"/>
    <n v="0.22"/>
    <n v="0"/>
    <x v="0"/>
    <n v="0"/>
    <n v="0"/>
    <n v="64"/>
    <n v="108"/>
    <n v="0"/>
    <n v="1303.25"/>
    <n v="270.3"/>
    <m/>
    <n v="1335.4421526075607"/>
    <n v="362.70381368696184"/>
    <n v="0"/>
    <n v="286.71499999999997"/>
    <n v="59.466000000000001"/>
    <n v="0"/>
    <n v="293.79727357366335"/>
    <n v="79.7948390111316"/>
  </r>
  <r>
    <s v="Sistema Isolado - Regular"/>
    <x v="4"/>
    <x v="3"/>
    <x v="0"/>
    <x v="0"/>
    <x v="0"/>
    <x v="0"/>
    <x v="1"/>
    <x v="7"/>
    <n v="0"/>
    <n v="0"/>
    <n v="0.50900000000000001"/>
    <n v="0.50900000000000001"/>
    <n v="0.50900000000000001"/>
    <n v="0.50900000000000001"/>
    <n v="0"/>
    <x v="0"/>
    <n v="0"/>
    <n v="0"/>
    <n v="64"/>
    <n v="108"/>
    <n v="0"/>
    <n v="1303.25"/>
    <n v="270.3"/>
    <m/>
    <n v="1335.4421526075607"/>
    <n v="362.70381368696184"/>
    <n v="0"/>
    <n v="663.35424999999998"/>
    <n v="137.58270000000002"/>
    <n v="0"/>
    <n v="679.74005567724839"/>
    <n v="184.61624116666357"/>
  </r>
  <r>
    <s v="Sistema de Compensação"/>
    <x v="4"/>
    <x v="3"/>
    <x v="0"/>
    <x v="0"/>
    <x v="0"/>
    <x v="0"/>
    <x v="1"/>
    <x v="7"/>
    <n v="0"/>
    <n v="0"/>
    <n v="5.8999999999999997E-2"/>
    <n v="5.8999999999999997E-2"/>
    <n v="5.8999999999999997E-2"/>
    <n v="5.8999999999999997E-2"/>
    <n v="0"/>
    <x v="0"/>
    <n v="0"/>
    <n v="0"/>
    <n v="64"/>
    <n v="108"/>
    <n v="0"/>
    <n v="1303.25"/>
    <n v="270.3"/>
    <m/>
    <n v="1335.4421526075607"/>
    <n v="362.70381368696184"/>
    <n v="0"/>
    <n v="76.891750000000002"/>
    <n v="15.947699999999999"/>
    <n v="0"/>
    <n v="78.791087003846073"/>
    <n v="21.399525007530748"/>
  </r>
  <r>
    <s v="Regular"/>
    <x v="4"/>
    <x v="3"/>
    <x v="0"/>
    <x v="0"/>
    <x v="0"/>
    <x v="0"/>
    <x v="1"/>
    <x v="8"/>
    <n v="0"/>
    <n v="0"/>
    <n v="4.97"/>
    <n v="4.97"/>
    <n v="4.97"/>
    <n v="4.97"/>
    <n v="0"/>
    <x v="0"/>
    <n v="0"/>
    <n v="0"/>
    <n v="64"/>
    <n v="108"/>
    <n v="0"/>
    <n v="1303.25"/>
    <n v="270.3"/>
    <m/>
    <n v="1335.4421526075607"/>
    <n v="362.70381368696184"/>
    <n v="0"/>
    <n v="6477.1524999999992"/>
    <n v="1343.3910000000001"/>
    <n v="0"/>
    <n v="6637.1474984595761"/>
    <n v="1802.6379540242003"/>
  </r>
  <r>
    <s v="Refaturamento - Regular"/>
    <x v="4"/>
    <x v="3"/>
    <x v="0"/>
    <x v="0"/>
    <x v="0"/>
    <x v="0"/>
    <x v="1"/>
    <x v="8"/>
    <n v="0"/>
    <n v="0"/>
    <n v="-0.81100000000000005"/>
    <n v="-0.81100000000000005"/>
    <n v="-0.81100000000000005"/>
    <n v="-0.81100000000000005"/>
    <n v="0"/>
    <x v="0"/>
    <n v="0"/>
    <n v="0"/>
    <n v="64"/>
    <n v="108"/>
    <n v="0"/>
    <n v="1303.25"/>
    <n v="270.3"/>
    <m/>
    <n v="1335.4421526075607"/>
    <n v="362.70381368696184"/>
    <n v="0"/>
    <n v="-1056.9357500000001"/>
    <n v="-219.21330000000003"/>
    <n v="0"/>
    <n v="-1083.0435857647319"/>
    <n v="-294.15279290012609"/>
  </r>
  <r>
    <s v="Sistema Isolado - Regular"/>
    <x v="4"/>
    <x v="3"/>
    <x v="0"/>
    <x v="0"/>
    <x v="0"/>
    <x v="0"/>
    <x v="1"/>
    <x v="8"/>
    <n v="0"/>
    <n v="0"/>
    <n v="0.495"/>
    <n v="0.495"/>
    <n v="0.495"/>
    <n v="0.495"/>
    <n v="0"/>
    <x v="0"/>
    <n v="0"/>
    <n v="0"/>
    <n v="64"/>
    <n v="108"/>
    <n v="0"/>
    <n v="1303.25"/>
    <n v="270.3"/>
    <m/>
    <n v="1335.4421526075607"/>
    <n v="362.70381368696184"/>
    <n v="0"/>
    <n v="645.10874999999999"/>
    <n v="133.79850000000002"/>
    <n v="0"/>
    <n v="661.04386554074256"/>
    <n v="179.53838777504612"/>
  </r>
  <r>
    <s v="Sistema de Compensação"/>
    <x v="4"/>
    <x v="3"/>
    <x v="0"/>
    <x v="0"/>
    <x v="0"/>
    <x v="0"/>
    <x v="1"/>
    <x v="8"/>
    <n v="0"/>
    <n v="0"/>
    <n v="1.524"/>
    <n v="1.524"/>
    <n v="1.524"/>
    <n v="1.524"/>
    <n v="0"/>
    <x v="0"/>
    <n v="0"/>
    <n v="0"/>
    <n v="64"/>
    <n v="108"/>
    <n v="0"/>
    <n v="1303.25"/>
    <n v="270.3"/>
    <m/>
    <n v="1335.4421526075607"/>
    <n v="362.70381368696184"/>
    <n v="0"/>
    <n v="1986.153"/>
    <n v="411.93720000000002"/>
    <n v="0"/>
    <n v="2035.2138405739227"/>
    <n v="552.76061205892984"/>
  </r>
  <r>
    <s v="Regular"/>
    <x v="4"/>
    <x v="3"/>
    <x v="0"/>
    <x v="0"/>
    <x v="0"/>
    <x v="0"/>
    <x v="1"/>
    <x v="9"/>
    <n v="0"/>
    <n v="0"/>
    <n v="5.891"/>
    <n v="5.891"/>
    <n v="5.891"/>
    <n v="5.891"/>
    <n v="0"/>
    <x v="0"/>
    <n v="0"/>
    <n v="0"/>
    <n v="64"/>
    <n v="108"/>
    <n v="0"/>
    <n v="1303.25"/>
    <n v="270.3"/>
    <m/>
    <n v="1335.4421526075607"/>
    <n v="362.70381368696184"/>
    <n v="0"/>
    <n v="7677.4457499999999"/>
    <n v="1592.3373000000001"/>
    <n v="0"/>
    <n v="7867.0897210111407"/>
    <n v="2136.6881664298921"/>
  </r>
  <r>
    <s v="Refaturamento - Regular"/>
    <x v="4"/>
    <x v="3"/>
    <x v="0"/>
    <x v="0"/>
    <x v="0"/>
    <x v="0"/>
    <x v="1"/>
    <x v="9"/>
    <n v="0"/>
    <n v="0"/>
    <n v="-3.0000000000000001E-3"/>
    <n v="-3.0000000000000001E-3"/>
    <n v="-3.0000000000000001E-3"/>
    <n v="-3.0000000000000001E-3"/>
    <n v="0"/>
    <x v="0"/>
    <n v="0"/>
    <n v="0"/>
    <n v="64"/>
    <n v="108"/>
    <n v="0"/>
    <n v="1303.25"/>
    <n v="270.3"/>
    <m/>
    <n v="1335.4421526075607"/>
    <n v="362.70381368696184"/>
    <n v="0"/>
    <n v="-3.9097500000000003"/>
    <n v="-0.81090000000000007"/>
    <n v="0"/>
    <n v="-4.0063264578226825"/>
    <n v="-1.0881114410608856"/>
  </r>
  <r>
    <s v="Sistema Isolado - Regular"/>
    <x v="4"/>
    <x v="3"/>
    <x v="0"/>
    <x v="0"/>
    <x v="0"/>
    <x v="0"/>
    <x v="1"/>
    <x v="9"/>
    <n v="0"/>
    <n v="0"/>
    <n v="0.505"/>
    <n v="0.505"/>
    <n v="0.505"/>
    <n v="0.505"/>
    <n v="0"/>
    <x v="0"/>
    <n v="0"/>
    <n v="0"/>
    <n v="64"/>
    <n v="108"/>
    <n v="0"/>
    <n v="1303.25"/>
    <n v="270.3"/>
    <m/>
    <n v="1335.4421526075607"/>
    <n v="362.70381368696184"/>
    <n v="0"/>
    <n v="658.14125000000001"/>
    <n v="136.50149999999999"/>
    <n v="0"/>
    <n v="674.39828706681817"/>
    <n v="183.16542591191572"/>
  </r>
  <r>
    <s v="Sistema de Compensação"/>
    <x v="4"/>
    <x v="3"/>
    <x v="0"/>
    <x v="0"/>
    <x v="0"/>
    <x v="0"/>
    <x v="1"/>
    <x v="9"/>
    <n v="0"/>
    <n v="0"/>
    <n v="0.217"/>
    <n v="0.217"/>
    <n v="0.217"/>
    <n v="0.217"/>
    <n v="0"/>
    <x v="0"/>
    <n v="0"/>
    <n v="0"/>
    <n v="64"/>
    <n v="108"/>
    <n v="0"/>
    <n v="1303.25"/>
    <n v="270.3"/>
    <m/>
    <n v="1335.4421526075607"/>
    <n v="362.70381368696184"/>
    <n v="0"/>
    <n v="282.80525"/>
    <n v="58.655100000000004"/>
    <n v="0"/>
    <n v="289.79094711584065"/>
    <n v="78.706727570070711"/>
  </r>
  <r>
    <s v="Sistema de Compensação"/>
    <x v="4"/>
    <x v="3"/>
    <x v="0"/>
    <x v="0"/>
    <x v="0"/>
    <x v="0"/>
    <x v="1"/>
    <x v="9"/>
    <n v="0"/>
    <n v="0"/>
    <n v="-1.4970000000000001"/>
    <n v="-1.4970000000000001"/>
    <n v="-1.4970000000000001"/>
    <n v="-1.4970000000000001"/>
    <n v="0"/>
    <x v="0"/>
    <n v="0"/>
    <n v="0"/>
    <n v="64"/>
    <n v="108"/>
    <n v="0"/>
    <n v="1303.25"/>
    <n v="270.3"/>
    <m/>
    <n v="1335.4421526075607"/>
    <n v="362.70381368696184"/>
    <n v="0"/>
    <n v="-1950.9652500000002"/>
    <n v="-404.63910000000004"/>
    <n v="0"/>
    <n v="-1999.1569024535186"/>
    <n v="-542.96760908938188"/>
  </r>
  <r>
    <s v="Regular"/>
    <x v="4"/>
    <x v="3"/>
    <x v="0"/>
    <x v="0"/>
    <x v="0"/>
    <x v="0"/>
    <x v="1"/>
    <x v="10"/>
    <n v="0"/>
    <n v="0"/>
    <n v="5.2279999999999998"/>
    <n v="5.2279999999999998"/>
    <n v="5.2279999999999998"/>
    <n v="5.2279999999999998"/>
    <n v="0"/>
    <x v="0"/>
    <n v="0"/>
    <n v="0"/>
    <n v="64"/>
    <n v="108"/>
    <n v="0"/>
    <n v="1303.25"/>
    <n v="270.3"/>
    <m/>
    <n v="1335.4421526075607"/>
    <n v="362.70381368696184"/>
    <n v="0"/>
    <n v="6813.3909999999996"/>
    <n v="1413.1284000000001"/>
    <n v="0"/>
    <n v="6981.6915738323269"/>
    <n v="1896.2155379554365"/>
  </r>
  <r>
    <s v="Sistema Isolado - Regular"/>
    <x v="4"/>
    <x v="3"/>
    <x v="0"/>
    <x v="0"/>
    <x v="0"/>
    <x v="0"/>
    <x v="1"/>
    <x v="10"/>
    <n v="0"/>
    <n v="0"/>
    <n v="0.63900000000000001"/>
    <n v="0.63900000000000001"/>
    <n v="0.63900000000000001"/>
    <n v="0.63900000000000001"/>
    <n v="0"/>
    <x v="0"/>
    <n v="0"/>
    <n v="0"/>
    <n v="64"/>
    <n v="108"/>
    <n v="0"/>
    <n v="1303.25"/>
    <n v="270.3"/>
    <m/>
    <n v="1335.4421526075607"/>
    <n v="362.70381368696184"/>
    <n v="0"/>
    <n v="832.77674999999999"/>
    <n v="172.7217"/>
    <n v="0"/>
    <n v="853.34753551623135"/>
    <n v="231.76773694596861"/>
  </r>
  <r>
    <s v="Sistema de Compensação"/>
    <x v="4"/>
    <x v="3"/>
    <x v="0"/>
    <x v="0"/>
    <x v="0"/>
    <x v="0"/>
    <x v="1"/>
    <x v="10"/>
    <n v="0"/>
    <n v="0"/>
    <n v="-0.152"/>
    <n v="-0.152"/>
    <n v="-0.152"/>
    <n v="-0.152"/>
    <n v="0"/>
    <x v="0"/>
    <n v="0"/>
    <n v="0"/>
    <n v="64"/>
    <n v="108"/>
    <n v="0"/>
    <n v="1303.25"/>
    <n v="270.3"/>
    <m/>
    <n v="1335.4421526075607"/>
    <n v="362.70381368696184"/>
    <n v="0"/>
    <n v="-198.09399999999999"/>
    <n v="-41.085599999999999"/>
    <n v="0"/>
    <n v="-202.98720719634923"/>
    <n v="-55.1309796804182"/>
  </r>
  <r>
    <s v="PROJETADO"/>
    <x v="4"/>
    <x v="3"/>
    <x v="0"/>
    <x v="0"/>
    <x v="0"/>
    <x v="0"/>
    <x v="1"/>
    <x v="11"/>
    <n v="0"/>
    <n v="0"/>
    <n v="5.2279999999999998"/>
    <n v="5.2279999999999998"/>
    <n v="5.2279999999999998"/>
    <n v="5.2279999999999998"/>
    <n v="0"/>
    <x v="0"/>
    <n v="0"/>
    <n v="0"/>
    <n v="64"/>
    <n v="108"/>
    <n v="0"/>
    <n v="1303.25"/>
    <n v="270.3"/>
    <m/>
    <n v="1335.4421526075607"/>
    <n v="362.70381368696184"/>
    <n v="0"/>
    <n v="6813.3909999999996"/>
    <n v="1413.1284000000001"/>
    <n v="0"/>
    <n v="6981.6915738323269"/>
    <n v="1896.2155379554365"/>
  </r>
  <r>
    <s v="PROJETADO"/>
    <x v="4"/>
    <x v="3"/>
    <x v="0"/>
    <x v="0"/>
    <x v="0"/>
    <x v="0"/>
    <x v="1"/>
    <x v="11"/>
    <n v="0"/>
    <n v="0"/>
    <n v="0.63900000000000001"/>
    <n v="0.63900000000000001"/>
    <n v="0.63900000000000001"/>
    <n v="0.63900000000000001"/>
    <n v="0"/>
    <x v="0"/>
    <n v="0"/>
    <n v="0"/>
    <n v="64"/>
    <n v="108"/>
    <n v="0"/>
    <n v="1303.25"/>
    <n v="270.3"/>
    <m/>
    <n v="1335.4421526075607"/>
    <n v="362.70381368696184"/>
    <n v="0"/>
    <n v="832.77674999999999"/>
    <n v="172.7217"/>
    <n v="0"/>
    <n v="853.34753551623135"/>
    <n v="231.76773694596861"/>
  </r>
  <r>
    <s v="PROJETADO"/>
    <x v="4"/>
    <x v="3"/>
    <x v="0"/>
    <x v="0"/>
    <x v="0"/>
    <x v="0"/>
    <x v="1"/>
    <x v="11"/>
    <n v="0"/>
    <n v="0"/>
    <n v="-0.152"/>
    <n v="-0.152"/>
    <n v="-0.152"/>
    <n v="-0.152"/>
    <n v="0"/>
    <x v="0"/>
    <n v="0"/>
    <n v="0"/>
    <n v="64"/>
    <n v="108"/>
    <n v="0"/>
    <n v="1303.25"/>
    <n v="270.3"/>
    <m/>
    <n v="1335.4421526075607"/>
    <n v="362.70381368696184"/>
    <n v="0"/>
    <n v="-198.09399999999999"/>
    <n v="-41.085599999999999"/>
    <n v="0"/>
    <n v="-202.98720719634923"/>
    <n v="-55.1309796804182"/>
  </r>
  <r>
    <s v="Regular"/>
    <x v="4"/>
    <x v="3"/>
    <x v="1"/>
    <x v="0"/>
    <x v="0"/>
    <x v="0"/>
    <x v="0"/>
    <x v="0"/>
    <n v="0"/>
    <n v="0"/>
    <n v="0.28299999999999997"/>
    <n v="0.28299999999999997"/>
    <n v="0.28299999999999997"/>
    <n v="0.28299999999999997"/>
    <n v="0"/>
    <x v="0"/>
    <n v="0"/>
    <n v="0"/>
    <n v="66"/>
    <n v="110"/>
    <n v="0"/>
    <n v="351.65"/>
    <n v="168.06"/>
    <m/>
    <n v="391.08132945590171"/>
    <n v="218.7322873480222"/>
    <n v="0"/>
    <n v="99.51694999999998"/>
    <n v="47.560979999999994"/>
    <n v="0"/>
    <n v="110.67601623602017"/>
    <n v="61.901237319490278"/>
  </r>
  <r>
    <s v="Regular"/>
    <x v="4"/>
    <x v="3"/>
    <x v="1"/>
    <x v="0"/>
    <x v="0"/>
    <x v="0"/>
    <x v="0"/>
    <x v="1"/>
    <n v="0"/>
    <n v="0"/>
    <n v="0.38100000000000001"/>
    <n v="0.38100000000000001"/>
    <n v="0.38100000000000001"/>
    <n v="0.38100000000000001"/>
    <n v="0"/>
    <x v="0"/>
    <n v="0"/>
    <n v="0"/>
    <n v="66"/>
    <n v="110"/>
    <n v="0"/>
    <n v="351.65"/>
    <n v="168.06"/>
    <m/>
    <n v="391.08132945590171"/>
    <n v="218.7322873480222"/>
    <n v="0"/>
    <n v="133.97864999999999"/>
    <n v="64.030860000000004"/>
    <n v="0"/>
    <n v="149.00198652269856"/>
    <n v="83.337001479596452"/>
  </r>
  <r>
    <s v="Regular"/>
    <x v="4"/>
    <x v="3"/>
    <x v="1"/>
    <x v="0"/>
    <x v="0"/>
    <x v="0"/>
    <x v="0"/>
    <x v="2"/>
    <n v="0"/>
    <n v="0"/>
    <n v="0.30499999999999999"/>
    <n v="0.30499999999999999"/>
    <n v="0.30499999999999999"/>
    <n v="0.30499999999999999"/>
    <n v="0"/>
    <x v="0"/>
    <n v="0"/>
    <n v="0"/>
    <n v="66"/>
    <n v="110"/>
    <n v="0"/>
    <n v="351.65"/>
    <n v="168.06"/>
    <m/>
    <n v="391.08132945590171"/>
    <n v="218.7322873480222"/>
    <n v="0"/>
    <n v="107.25324999999999"/>
    <n v="51.258299999999998"/>
    <n v="0"/>
    <n v="119.27980548405002"/>
    <n v="66.713347641146768"/>
  </r>
  <r>
    <s v="Regular"/>
    <x v="4"/>
    <x v="3"/>
    <x v="1"/>
    <x v="0"/>
    <x v="0"/>
    <x v="0"/>
    <x v="0"/>
    <x v="3"/>
    <n v="0"/>
    <n v="0"/>
    <n v="0.28799999999999998"/>
    <n v="0.28799999999999998"/>
    <n v="0.28799999999999998"/>
    <n v="0.28799999999999998"/>
    <n v="0"/>
    <x v="0"/>
    <n v="0"/>
    <n v="0"/>
    <n v="66"/>
    <n v="110"/>
    <n v="0"/>
    <n v="351.65"/>
    <n v="168.06"/>
    <m/>
    <n v="391.08132945590171"/>
    <n v="218.7322873480222"/>
    <n v="0"/>
    <n v="101.27519999999998"/>
    <n v="48.40128"/>
    <n v="0"/>
    <n v="112.63142288329968"/>
    <n v="62.994898756230391"/>
  </r>
  <r>
    <s v="Regular"/>
    <x v="4"/>
    <x v="3"/>
    <x v="1"/>
    <x v="0"/>
    <x v="0"/>
    <x v="0"/>
    <x v="0"/>
    <x v="4"/>
    <n v="0"/>
    <n v="0"/>
    <n v="0.28699999999999998"/>
    <n v="0.28699999999999998"/>
    <n v="0.28699999999999998"/>
    <n v="0.28699999999999998"/>
    <n v="0"/>
    <x v="0"/>
    <n v="0"/>
    <n v="0"/>
    <n v="66"/>
    <n v="110"/>
    <n v="0"/>
    <n v="351.65"/>
    <n v="168.06"/>
    <m/>
    <n v="391.08132945590171"/>
    <n v="218.7322873480222"/>
    <n v="0"/>
    <n v="100.92354999999999"/>
    <n v="48.233219999999996"/>
    <n v="0"/>
    <n v="112.24034155384378"/>
    <n v="62.776166468882366"/>
  </r>
  <r>
    <s v="Regular"/>
    <x v="4"/>
    <x v="3"/>
    <x v="1"/>
    <x v="0"/>
    <x v="0"/>
    <x v="0"/>
    <x v="0"/>
    <x v="5"/>
    <n v="0"/>
    <n v="0"/>
    <n v="0.309"/>
    <n v="0.309"/>
    <n v="0.309"/>
    <n v="0.309"/>
    <n v="0"/>
    <x v="0"/>
    <n v="0"/>
    <n v="0"/>
    <n v="66"/>
    <n v="110"/>
    <n v="0"/>
    <n v="351.65"/>
    <n v="168.06"/>
    <m/>
    <n v="391.08132945590171"/>
    <n v="218.7322873480222"/>
    <n v="0"/>
    <n v="108.65984999999999"/>
    <n v="51.930540000000001"/>
    <n v="0"/>
    <n v="120.84413080187363"/>
    <n v="67.588276790538856"/>
  </r>
  <r>
    <s v="Regular"/>
    <x v="4"/>
    <x v="3"/>
    <x v="1"/>
    <x v="0"/>
    <x v="0"/>
    <x v="0"/>
    <x v="0"/>
    <x v="6"/>
    <n v="0"/>
    <n v="0"/>
    <n v="0.24099999999999999"/>
    <n v="0.24099999999999999"/>
    <n v="0.24099999999999999"/>
    <n v="0.24099999999999999"/>
    <n v="0"/>
    <x v="0"/>
    <n v="0"/>
    <n v="0"/>
    <n v="66"/>
    <n v="110"/>
    <n v="0"/>
    <n v="351.65"/>
    <n v="168.06"/>
    <m/>
    <n v="391.08132945590171"/>
    <n v="218.7322873480222"/>
    <n v="0"/>
    <n v="84.747649999999993"/>
    <n v="40.502459999999999"/>
    <n v="0"/>
    <n v="94.250600398872308"/>
    <n v="52.714481250873348"/>
  </r>
  <r>
    <s v="Regular"/>
    <x v="4"/>
    <x v="3"/>
    <x v="1"/>
    <x v="0"/>
    <x v="0"/>
    <x v="0"/>
    <x v="0"/>
    <x v="7"/>
    <n v="0"/>
    <n v="0"/>
    <n v="0.28999999999999998"/>
    <n v="0.28999999999999998"/>
    <n v="0.28999999999999998"/>
    <n v="0.28999999999999998"/>
    <n v="0"/>
    <x v="0"/>
    <n v="0"/>
    <n v="0"/>
    <n v="66"/>
    <n v="110"/>
    <n v="0"/>
    <n v="351.65"/>
    <n v="168.06"/>
    <m/>
    <n v="391.08132945590171"/>
    <n v="218.7322873480222"/>
    <n v="0"/>
    <n v="101.97849999999998"/>
    <n v="48.737399999999994"/>
    <n v="0"/>
    <n v="113.41358554221149"/>
    <n v="63.432363330926435"/>
  </r>
  <r>
    <s v="Regular"/>
    <x v="4"/>
    <x v="3"/>
    <x v="1"/>
    <x v="0"/>
    <x v="0"/>
    <x v="0"/>
    <x v="0"/>
    <x v="8"/>
    <n v="0"/>
    <n v="0"/>
    <n v="0.29499999999999998"/>
    <n v="0.29499999999999998"/>
    <n v="0.29499999999999998"/>
    <n v="0.29499999999999998"/>
    <n v="0"/>
    <x v="0"/>
    <n v="0"/>
    <n v="0"/>
    <n v="66"/>
    <n v="110"/>
    <n v="0"/>
    <n v="351.65"/>
    <n v="168.06"/>
    <m/>
    <n v="391.08132945590171"/>
    <n v="218.7322873480222"/>
    <n v="0"/>
    <n v="103.73674999999999"/>
    <n v="49.5777"/>
    <n v="0"/>
    <n v="115.368992189491"/>
    <n v="64.526024767666541"/>
  </r>
  <r>
    <s v="Regular"/>
    <x v="4"/>
    <x v="3"/>
    <x v="1"/>
    <x v="0"/>
    <x v="0"/>
    <x v="0"/>
    <x v="0"/>
    <x v="9"/>
    <n v="0"/>
    <n v="0"/>
    <n v="0.28899999999999998"/>
    <n v="0.28899999999999998"/>
    <n v="0.28899999999999998"/>
    <n v="0.28899999999999998"/>
    <n v="0"/>
    <x v="0"/>
    <n v="0"/>
    <n v="0"/>
    <n v="66"/>
    <n v="110"/>
    <n v="0"/>
    <n v="351.65"/>
    <n v="168.06"/>
    <m/>
    <n v="391.08132945590171"/>
    <n v="218.7322873480222"/>
    <n v="0"/>
    <n v="101.62684999999999"/>
    <n v="48.569339999999997"/>
    <n v="0"/>
    <n v="113.02250421275559"/>
    <n v="63.21363104357841"/>
  </r>
  <r>
    <s v="Regular"/>
    <x v="4"/>
    <x v="3"/>
    <x v="1"/>
    <x v="0"/>
    <x v="0"/>
    <x v="0"/>
    <x v="0"/>
    <x v="10"/>
    <n v="0"/>
    <n v="0"/>
    <n v="0.28000000000000003"/>
    <n v="0.28000000000000003"/>
    <n v="0.28000000000000003"/>
    <n v="0.28000000000000003"/>
    <n v="0"/>
    <x v="0"/>
    <n v="0"/>
    <n v="0"/>
    <n v="66"/>
    <n v="110"/>
    <n v="0"/>
    <n v="351.65"/>
    <n v="168.06"/>
    <m/>
    <n v="391.08132945590171"/>
    <n v="218.7322873480222"/>
    <n v="0"/>
    <n v="98.462000000000003"/>
    <n v="47.056800000000003"/>
    <n v="0"/>
    <n v="109.50277224765249"/>
    <n v="61.245040457446223"/>
  </r>
  <r>
    <s v="PROJETADO"/>
    <x v="4"/>
    <x v="3"/>
    <x v="1"/>
    <x v="0"/>
    <x v="0"/>
    <x v="0"/>
    <x v="0"/>
    <x v="11"/>
    <n v="0"/>
    <n v="0"/>
    <n v="0.28000000000000003"/>
    <n v="0.28000000000000003"/>
    <n v="0.28000000000000003"/>
    <n v="0.28000000000000003"/>
    <n v="0"/>
    <x v="0"/>
    <n v="0"/>
    <n v="0"/>
    <n v="66"/>
    <n v="110"/>
    <n v="0"/>
    <n v="351.65"/>
    <n v="168.06"/>
    <m/>
    <n v="391.08132945590171"/>
    <n v="218.7322873480222"/>
    <n v="0"/>
    <n v="98.462000000000003"/>
    <n v="47.056800000000003"/>
    <n v="0"/>
    <n v="109.50277224765249"/>
    <n v="61.245040457446223"/>
  </r>
  <r>
    <s v="Regular"/>
    <x v="4"/>
    <x v="3"/>
    <x v="1"/>
    <x v="0"/>
    <x v="0"/>
    <x v="0"/>
    <x v="3"/>
    <x v="0"/>
    <n v="0"/>
    <n v="0"/>
    <n v="0.01"/>
    <n v="0.01"/>
    <n v="0.01"/>
    <n v="0.01"/>
    <n v="0"/>
    <x v="0"/>
    <n v="0"/>
    <n v="0"/>
    <n v="65"/>
    <n v="109"/>
    <n v="0"/>
    <n v="827.45"/>
    <n v="168.06"/>
    <m/>
    <n v="863.26174103173116"/>
    <n v="218.7322873480222"/>
    <n v="0"/>
    <n v="8.2744999999999997"/>
    <n v="1.6806000000000001"/>
    <n v="0"/>
    <n v="8.6326174103173123"/>
    <n v="2.1873228734802219"/>
  </r>
  <r>
    <s v="Regular"/>
    <x v="4"/>
    <x v="3"/>
    <x v="1"/>
    <x v="0"/>
    <x v="0"/>
    <x v="0"/>
    <x v="3"/>
    <x v="1"/>
    <n v="0"/>
    <n v="0"/>
    <n v="1.7000000000000001E-2"/>
    <n v="1.7000000000000001E-2"/>
    <n v="1.7000000000000001E-2"/>
    <n v="1.7000000000000001E-2"/>
    <n v="0"/>
    <x v="0"/>
    <n v="0"/>
    <n v="0"/>
    <n v="65"/>
    <n v="109"/>
    <n v="0"/>
    <n v="827.45"/>
    <n v="168.06"/>
    <m/>
    <n v="863.26174103173116"/>
    <n v="218.7322873480222"/>
    <n v="0"/>
    <n v="14.066650000000001"/>
    <n v="2.8570200000000003"/>
    <n v="0"/>
    <n v="14.675449597539432"/>
    <n v="3.7184488849163775"/>
  </r>
  <r>
    <s v="Regular"/>
    <x v="4"/>
    <x v="3"/>
    <x v="1"/>
    <x v="0"/>
    <x v="0"/>
    <x v="0"/>
    <x v="3"/>
    <x v="2"/>
    <n v="0"/>
    <n v="0"/>
    <n v="8.9999999999999993E-3"/>
    <n v="8.9999999999999993E-3"/>
    <n v="8.9999999999999993E-3"/>
    <n v="8.9999999999999993E-3"/>
    <n v="0"/>
    <x v="0"/>
    <n v="0"/>
    <n v="0"/>
    <n v="65"/>
    <n v="109"/>
    <n v="0"/>
    <n v="827.45"/>
    <n v="168.06"/>
    <m/>
    <n v="863.26174103173116"/>
    <n v="218.7322873480222"/>
    <n v="0"/>
    <n v="7.4470499999999999"/>
    <n v="1.51254"/>
    <n v="0"/>
    <n v="7.7693556692855799"/>
    <n v="1.9685905861321997"/>
  </r>
  <r>
    <s v="Regular"/>
    <x v="4"/>
    <x v="3"/>
    <x v="1"/>
    <x v="0"/>
    <x v="0"/>
    <x v="0"/>
    <x v="3"/>
    <x v="3"/>
    <n v="0"/>
    <n v="0"/>
    <n v="8.9999999999999993E-3"/>
    <n v="8.9999999999999993E-3"/>
    <n v="8.9999999999999993E-3"/>
    <n v="8.9999999999999993E-3"/>
    <n v="0"/>
    <x v="0"/>
    <n v="0"/>
    <n v="0"/>
    <n v="65"/>
    <n v="109"/>
    <n v="0"/>
    <n v="827.45"/>
    <n v="168.06"/>
    <m/>
    <n v="863.26174103173116"/>
    <n v="218.7322873480222"/>
    <n v="0"/>
    <n v="7.4470499999999999"/>
    <n v="1.51254"/>
    <n v="0"/>
    <n v="7.7693556692855799"/>
    <n v="1.9685905861321997"/>
  </r>
  <r>
    <s v="Regular"/>
    <x v="4"/>
    <x v="3"/>
    <x v="1"/>
    <x v="0"/>
    <x v="0"/>
    <x v="0"/>
    <x v="3"/>
    <x v="4"/>
    <n v="0"/>
    <n v="0"/>
    <n v="1.4E-2"/>
    <n v="1.4E-2"/>
    <n v="1.4E-2"/>
    <n v="1.4E-2"/>
    <n v="0"/>
    <x v="0"/>
    <n v="0"/>
    <n v="0"/>
    <n v="65"/>
    <n v="109"/>
    <n v="0"/>
    <n v="827.45"/>
    <n v="168.06"/>
    <m/>
    <n v="863.26174103173116"/>
    <n v="218.7322873480222"/>
    <n v="0"/>
    <n v="11.584300000000001"/>
    <n v="2.35284"/>
    <n v="0"/>
    <n v="12.085664374444237"/>
    <n v="3.0622520228723107"/>
  </r>
  <r>
    <s v="Regular"/>
    <x v="4"/>
    <x v="3"/>
    <x v="1"/>
    <x v="0"/>
    <x v="0"/>
    <x v="0"/>
    <x v="3"/>
    <x v="5"/>
    <n v="0"/>
    <n v="0"/>
    <n v="1.2E-2"/>
    <n v="1.2E-2"/>
    <n v="1.2E-2"/>
    <n v="1.2E-2"/>
    <n v="0"/>
    <x v="0"/>
    <n v="0"/>
    <n v="0"/>
    <n v="65"/>
    <n v="109"/>
    <n v="0"/>
    <n v="827.45"/>
    <n v="168.06"/>
    <m/>
    <n v="863.26174103173116"/>
    <n v="218.7322873480222"/>
    <n v="0"/>
    <n v="9.9294000000000011"/>
    <n v="2.0167200000000003"/>
    <n v="0"/>
    <n v="10.359140892380774"/>
    <n v="2.6247874481762663"/>
  </r>
  <r>
    <s v="Regular"/>
    <x v="4"/>
    <x v="3"/>
    <x v="1"/>
    <x v="0"/>
    <x v="0"/>
    <x v="0"/>
    <x v="3"/>
    <x v="6"/>
    <n v="0"/>
    <n v="0"/>
    <n v="1.2E-2"/>
    <n v="1.2E-2"/>
    <n v="1.2E-2"/>
    <n v="1.2E-2"/>
    <n v="0"/>
    <x v="0"/>
    <n v="0"/>
    <n v="0"/>
    <n v="65"/>
    <n v="109"/>
    <n v="0"/>
    <n v="827.45"/>
    <n v="168.06"/>
    <m/>
    <n v="863.26174103173116"/>
    <n v="218.7322873480222"/>
    <n v="0"/>
    <n v="9.9294000000000011"/>
    <n v="2.0167200000000003"/>
    <n v="0"/>
    <n v="10.359140892380774"/>
    <n v="2.6247874481762663"/>
  </r>
  <r>
    <s v="Regular"/>
    <x v="4"/>
    <x v="3"/>
    <x v="1"/>
    <x v="0"/>
    <x v="0"/>
    <x v="0"/>
    <x v="3"/>
    <x v="7"/>
    <n v="0"/>
    <n v="0"/>
    <n v="1.0999999999999999E-2"/>
    <n v="1.0999999999999999E-2"/>
    <n v="1.0999999999999999E-2"/>
    <n v="1.0999999999999999E-2"/>
    <n v="0"/>
    <x v="0"/>
    <n v="0"/>
    <n v="0"/>
    <n v="65"/>
    <n v="109"/>
    <n v="0"/>
    <n v="827.45"/>
    <n v="168.06"/>
    <m/>
    <n v="863.26174103173116"/>
    <n v="218.7322873480222"/>
    <n v="0"/>
    <n v="9.1019500000000004"/>
    <n v="1.84866"/>
    <n v="0"/>
    <n v="9.4958791513490421"/>
    <n v="2.4060551608282439"/>
  </r>
  <r>
    <s v="Regular"/>
    <x v="4"/>
    <x v="3"/>
    <x v="1"/>
    <x v="0"/>
    <x v="0"/>
    <x v="0"/>
    <x v="3"/>
    <x v="8"/>
    <n v="0"/>
    <n v="0"/>
    <n v="1.0999999999999999E-2"/>
    <n v="1.0999999999999999E-2"/>
    <n v="1.0999999999999999E-2"/>
    <n v="1.0999999999999999E-2"/>
    <n v="0"/>
    <x v="0"/>
    <n v="0"/>
    <n v="0"/>
    <n v="65"/>
    <n v="109"/>
    <n v="0"/>
    <n v="827.45"/>
    <n v="168.06"/>
    <m/>
    <n v="863.26174103173116"/>
    <n v="218.7322873480222"/>
    <n v="0"/>
    <n v="9.1019500000000004"/>
    <n v="1.84866"/>
    <n v="0"/>
    <n v="9.4958791513490421"/>
    <n v="2.4060551608282439"/>
  </r>
  <r>
    <s v="Regular"/>
    <x v="4"/>
    <x v="3"/>
    <x v="1"/>
    <x v="0"/>
    <x v="0"/>
    <x v="0"/>
    <x v="3"/>
    <x v="9"/>
    <n v="0"/>
    <n v="0"/>
    <n v="1.2999999999999999E-2"/>
    <n v="1.2999999999999999E-2"/>
    <n v="1.2999999999999999E-2"/>
    <n v="1.2999999999999999E-2"/>
    <n v="0"/>
    <x v="0"/>
    <n v="0"/>
    <n v="0"/>
    <n v="65"/>
    <n v="109"/>
    <n v="0"/>
    <n v="827.45"/>
    <n v="168.06"/>
    <m/>
    <n v="863.26174103173116"/>
    <n v="218.7322873480222"/>
    <n v="0"/>
    <n v="10.75685"/>
    <n v="2.1847799999999999"/>
    <n v="0"/>
    <n v="11.222402633412505"/>
    <n v="2.8435197355242883"/>
  </r>
  <r>
    <s v="Regular"/>
    <x v="4"/>
    <x v="3"/>
    <x v="1"/>
    <x v="0"/>
    <x v="0"/>
    <x v="0"/>
    <x v="3"/>
    <x v="10"/>
    <n v="0"/>
    <n v="0"/>
    <n v="8.9999999999999993E-3"/>
    <n v="8.9999999999999993E-3"/>
    <n v="8.9999999999999993E-3"/>
    <n v="8.9999999999999993E-3"/>
    <n v="0"/>
    <x v="0"/>
    <n v="0"/>
    <n v="0"/>
    <n v="65"/>
    <n v="109"/>
    <n v="0"/>
    <n v="827.45"/>
    <n v="168.06"/>
    <m/>
    <n v="863.26174103173116"/>
    <n v="218.7322873480222"/>
    <n v="0"/>
    <n v="7.4470499999999999"/>
    <n v="1.51254"/>
    <n v="0"/>
    <n v="7.7693556692855799"/>
    <n v="1.9685905861321997"/>
  </r>
  <r>
    <s v="PROJETADO"/>
    <x v="4"/>
    <x v="3"/>
    <x v="1"/>
    <x v="0"/>
    <x v="0"/>
    <x v="0"/>
    <x v="3"/>
    <x v="11"/>
    <n v="0"/>
    <n v="0"/>
    <n v="8.9999999999999993E-3"/>
    <n v="8.9999999999999993E-3"/>
    <n v="8.9999999999999993E-3"/>
    <n v="8.9999999999999993E-3"/>
    <n v="0"/>
    <x v="0"/>
    <n v="0"/>
    <n v="0"/>
    <n v="65"/>
    <n v="109"/>
    <n v="0"/>
    <n v="827.45"/>
    <n v="168.06"/>
    <m/>
    <n v="863.26174103173116"/>
    <n v="218.7322873480222"/>
    <n v="0"/>
    <n v="7.4470499999999999"/>
    <n v="1.51254"/>
    <n v="0"/>
    <n v="7.7693556692855799"/>
    <n v="1.9685905861321997"/>
  </r>
  <r>
    <s v="Regular"/>
    <x v="4"/>
    <x v="3"/>
    <x v="1"/>
    <x v="0"/>
    <x v="0"/>
    <x v="0"/>
    <x v="1"/>
    <x v="0"/>
    <n v="0"/>
    <n v="0"/>
    <n v="3.0000000000000001E-3"/>
    <n v="3.0000000000000001E-3"/>
    <n v="3.0000000000000001E-3"/>
    <n v="3.0000000000000001E-3"/>
    <n v="0"/>
    <x v="0"/>
    <n v="0"/>
    <n v="0"/>
    <n v="64"/>
    <n v="108"/>
    <n v="0"/>
    <n v="1303.25"/>
    <n v="270.3"/>
    <m/>
    <n v="1335.4421526075607"/>
    <n v="362.70381368696184"/>
    <n v="0"/>
    <n v="3.9097500000000003"/>
    <n v="0.81090000000000007"/>
    <n v="0"/>
    <n v="4.0063264578226825"/>
    <n v="1.0881114410608856"/>
  </r>
  <r>
    <s v="Regular"/>
    <x v="4"/>
    <x v="3"/>
    <x v="1"/>
    <x v="0"/>
    <x v="0"/>
    <x v="0"/>
    <x v="1"/>
    <x v="1"/>
    <n v="0"/>
    <n v="0"/>
    <n v="7.0000000000000001E-3"/>
    <n v="7.0000000000000001E-3"/>
    <n v="7.0000000000000001E-3"/>
    <n v="7.0000000000000001E-3"/>
    <n v="0"/>
    <x v="0"/>
    <n v="0"/>
    <n v="0"/>
    <n v="64"/>
    <n v="108"/>
    <n v="0"/>
    <n v="1303.25"/>
    <n v="270.3"/>
    <m/>
    <n v="1335.4421526075607"/>
    <n v="362.70381368696184"/>
    <n v="0"/>
    <n v="9.1227499999999999"/>
    <n v="1.8921000000000001"/>
    <n v="0"/>
    <n v="9.3480950682529258"/>
    <n v="2.5389266958087329"/>
  </r>
  <r>
    <s v="Regular"/>
    <x v="4"/>
    <x v="3"/>
    <x v="1"/>
    <x v="0"/>
    <x v="0"/>
    <x v="0"/>
    <x v="1"/>
    <x v="2"/>
    <n v="0"/>
    <n v="0"/>
    <n v="3.0000000000000001E-3"/>
    <n v="3.0000000000000001E-3"/>
    <n v="3.0000000000000001E-3"/>
    <n v="3.0000000000000001E-3"/>
    <n v="0"/>
    <x v="0"/>
    <n v="0"/>
    <n v="0"/>
    <n v="64"/>
    <n v="108"/>
    <n v="0"/>
    <n v="1303.25"/>
    <n v="270.3"/>
    <m/>
    <n v="1335.4421526075607"/>
    <n v="362.70381368696184"/>
    <n v="0"/>
    <n v="3.9097500000000003"/>
    <n v="0.81090000000000007"/>
    <n v="0"/>
    <n v="4.0063264578226825"/>
    <n v="1.0881114410608856"/>
  </r>
  <r>
    <s v="Regular"/>
    <x v="4"/>
    <x v="3"/>
    <x v="1"/>
    <x v="0"/>
    <x v="0"/>
    <x v="0"/>
    <x v="1"/>
    <x v="3"/>
    <n v="0"/>
    <n v="0"/>
    <n v="2E-3"/>
    <n v="2E-3"/>
    <n v="2E-3"/>
    <n v="2E-3"/>
    <n v="0"/>
    <x v="0"/>
    <n v="0"/>
    <n v="0"/>
    <n v="64"/>
    <n v="108"/>
    <n v="0"/>
    <n v="1303.25"/>
    <n v="270.3"/>
    <m/>
    <n v="1335.4421526075607"/>
    <n v="362.70381368696184"/>
    <n v="0"/>
    <n v="2.6065"/>
    <n v="0.54060000000000008"/>
    <n v="0"/>
    <n v="2.6708843052151217"/>
    <n v="0.72540762737392372"/>
  </r>
  <r>
    <s v="Regular"/>
    <x v="4"/>
    <x v="3"/>
    <x v="1"/>
    <x v="0"/>
    <x v="0"/>
    <x v="0"/>
    <x v="1"/>
    <x v="4"/>
    <n v="0"/>
    <n v="0"/>
    <n v="6.0000000000000001E-3"/>
    <n v="6.0000000000000001E-3"/>
    <n v="6.0000000000000001E-3"/>
    <n v="6.0000000000000001E-3"/>
    <n v="0"/>
    <x v="0"/>
    <n v="0"/>
    <n v="0"/>
    <n v="64"/>
    <n v="108"/>
    <n v="0"/>
    <n v="1303.25"/>
    <n v="270.3"/>
    <m/>
    <n v="1335.4421526075607"/>
    <n v="362.70381368696184"/>
    <n v="0"/>
    <n v="7.8195000000000006"/>
    <n v="1.6218000000000001"/>
    <n v="0"/>
    <n v="8.012652915645365"/>
    <n v="2.1762228821217713"/>
  </r>
  <r>
    <s v="Regular"/>
    <x v="4"/>
    <x v="3"/>
    <x v="1"/>
    <x v="0"/>
    <x v="0"/>
    <x v="0"/>
    <x v="1"/>
    <x v="5"/>
    <n v="0"/>
    <n v="0"/>
    <n v="4.0000000000000001E-3"/>
    <n v="4.0000000000000001E-3"/>
    <n v="4.0000000000000001E-3"/>
    <n v="4.0000000000000001E-3"/>
    <n v="0"/>
    <x v="0"/>
    <n v="0"/>
    <n v="0"/>
    <n v="64"/>
    <n v="108"/>
    <n v="0"/>
    <n v="1303.25"/>
    <n v="270.3"/>
    <m/>
    <n v="1335.4421526075607"/>
    <n v="362.70381368696184"/>
    <n v="0"/>
    <n v="5.2130000000000001"/>
    <n v="1.0812000000000002"/>
    <n v="0"/>
    <n v="5.3417686104302433"/>
    <n v="1.4508152547478474"/>
  </r>
  <r>
    <s v="Regular"/>
    <x v="4"/>
    <x v="3"/>
    <x v="1"/>
    <x v="0"/>
    <x v="0"/>
    <x v="0"/>
    <x v="1"/>
    <x v="6"/>
    <n v="0"/>
    <n v="0"/>
    <n v="7.0000000000000001E-3"/>
    <n v="7.0000000000000001E-3"/>
    <n v="7.0000000000000001E-3"/>
    <n v="7.0000000000000001E-3"/>
    <n v="0"/>
    <x v="0"/>
    <n v="0"/>
    <n v="0"/>
    <n v="64"/>
    <n v="108"/>
    <n v="0"/>
    <n v="1303.25"/>
    <n v="270.3"/>
    <m/>
    <n v="1335.4421526075607"/>
    <n v="362.70381368696184"/>
    <n v="0"/>
    <n v="9.1227499999999999"/>
    <n v="1.8921000000000001"/>
    <n v="0"/>
    <n v="9.3480950682529258"/>
    <n v="2.5389266958087329"/>
  </r>
  <r>
    <s v="Regular"/>
    <x v="4"/>
    <x v="3"/>
    <x v="1"/>
    <x v="0"/>
    <x v="0"/>
    <x v="0"/>
    <x v="1"/>
    <x v="7"/>
    <n v="0"/>
    <n v="0"/>
    <n v="3.0000000000000001E-3"/>
    <n v="3.0000000000000001E-3"/>
    <n v="3.0000000000000001E-3"/>
    <n v="3.0000000000000001E-3"/>
    <n v="0"/>
    <x v="0"/>
    <n v="0"/>
    <n v="0"/>
    <n v="64"/>
    <n v="108"/>
    <n v="0"/>
    <n v="1303.25"/>
    <n v="270.3"/>
    <m/>
    <n v="1335.4421526075607"/>
    <n v="362.70381368696184"/>
    <n v="0"/>
    <n v="3.9097500000000003"/>
    <n v="0.81090000000000007"/>
    <n v="0"/>
    <n v="4.0063264578226825"/>
    <n v="1.0881114410608856"/>
  </r>
  <r>
    <s v="Regular"/>
    <x v="4"/>
    <x v="3"/>
    <x v="1"/>
    <x v="0"/>
    <x v="0"/>
    <x v="0"/>
    <x v="1"/>
    <x v="8"/>
    <n v="0"/>
    <n v="0"/>
    <n v="6.0000000000000001E-3"/>
    <n v="6.0000000000000001E-3"/>
    <n v="6.0000000000000001E-3"/>
    <n v="6.0000000000000001E-3"/>
    <n v="0"/>
    <x v="0"/>
    <n v="0"/>
    <n v="0"/>
    <n v="64"/>
    <n v="108"/>
    <n v="0"/>
    <n v="1303.25"/>
    <n v="270.3"/>
    <m/>
    <n v="1335.4421526075607"/>
    <n v="362.70381368696184"/>
    <n v="0"/>
    <n v="7.8195000000000006"/>
    <n v="1.6218000000000001"/>
    <n v="0"/>
    <n v="8.012652915645365"/>
    <n v="2.1762228821217713"/>
  </r>
  <r>
    <s v="Regular"/>
    <x v="4"/>
    <x v="3"/>
    <x v="1"/>
    <x v="0"/>
    <x v="0"/>
    <x v="0"/>
    <x v="1"/>
    <x v="9"/>
    <n v="0"/>
    <n v="0"/>
    <n v="3.0000000000000001E-3"/>
    <n v="3.0000000000000001E-3"/>
    <n v="3.0000000000000001E-3"/>
    <n v="3.0000000000000001E-3"/>
    <n v="0"/>
    <x v="0"/>
    <n v="0"/>
    <n v="0"/>
    <n v="64"/>
    <n v="108"/>
    <n v="0"/>
    <n v="1303.25"/>
    <n v="270.3"/>
    <m/>
    <n v="1335.4421526075607"/>
    <n v="362.70381368696184"/>
    <n v="0"/>
    <n v="3.9097500000000003"/>
    <n v="0.81090000000000007"/>
    <n v="0"/>
    <n v="4.0063264578226825"/>
    <n v="1.0881114410608856"/>
  </r>
  <r>
    <s v="Regular"/>
    <x v="4"/>
    <x v="3"/>
    <x v="1"/>
    <x v="0"/>
    <x v="0"/>
    <x v="0"/>
    <x v="1"/>
    <x v="10"/>
    <n v="0"/>
    <n v="0"/>
    <n v="3.0000000000000001E-3"/>
    <n v="3.0000000000000001E-3"/>
    <n v="3.0000000000000001E-3"/>
    <n v="3.0000000000000001E-3"/>
    <n v="0"/>
    <x v="0"/>
    <n v="0"/>
    <n v="0"/>
    <n v="64"/>
    <n v="108"/>
    <n v="0"/>
    <n v="1303.25"/>
    <n v="270.3"/>
    <m/>
    <n v="1335.4421526075607"/>
    <n v="362.70381368696184"/>
    <n v="0"/>
    <n v="3.9097500000000003"/>
    <n v="0.81090000000000007"/>
    <n v="0"/>
    <n v="4.0063264578226825"/>
    <n v="1.0881114410608856"/>
  </r>
  <r>
    <s v="PROJETADO"/>
    <x v="4"/>
    <x v="3"/>
    <x v="1"/>
    <x v="0"/>
    <x v="0"/>
    <x v="0"/>
    <x v="1"/>
    <x v="11"/>
    <n v="0"/>
    <n v="0"/>
    <n v="3.0000000000000001E-3"/>
    <n v="3.0000000000000001E-3"/>
    <n v="3.0000000000000001E-3"/>
    <n v="3.0000000000000001E-3"/>
    <n v="0"/>
    <x v="0"/>
    <n v="0"/>
    <n v="0"/>
    <n v="64"/>
    <n v="108"/>
    <n v="0"/>
    <n v="1303.25"/>
    <n v="270.3"/>
    <m/>
    <n v="1335.4421526075607"/>
    <n v="362.70381368696184"/>
    <n v="0"/>
    <n v="3.9097500000000003"/>
    <n v="0.81090000000000007"/>
    <n v="0"/>
    <n v="4.0063264578226825"/>
    <n v="1.0881114410608856"/>
  </r>
  <r>
    <s v="Regular"/>
    <x v="4"/>
    <x v="3"/>
    <x v="4"/>
    <x v="0"/>
    <x v="0"/>
    <x v="0"/>
    <x v="0"/>
    <x v="0"/>
    <n v="0"/>
    <n v="0"/>
    <n v="7.5250000000000004"/>
    <n v="7.5250000000000004"/>
    <n v="7.5250000000000004"/>
    <n v="7.5250000000000004"/>
    <n v="0"/>
    <x v="0"/>
    <n v="0"/>
    <n v="0"/>
    <n v="66"/>
    <n v="110"/>
    <n v="0"/>
    <n v="351.65"/>
    <n v="168.06"/>
    <m/>
    <n v="391.08132945590171"/>
    <n v="218.7322873480222"/>
    <n v="0"/>
    <n v="2646.1662499999998"/>
    <n v="1264.6515000000002"/>
    <n v="0"/>
    <n v="2942.8870041556606"/>
    <n v="1645.9604622938671"/>
  </r>
  <r>
    <s v="Refaturamento - Regular"/>
    <x v="4"/>
    <x v="3"/>
    <x v="4"/>
    <x v="0"/>
    <x v="0"/>
    <x v="0"/>
    <x v="0"/>
    <x v="0"/>
    <n v="0"/>
    <n v="0"/>
    <n v="1.369"/>
    <n v="1.369"/>
    <n v="1.369"/>
    <n v="1.369"/>
    <n v="0"/>
    <x v="0"/>
    <n v="0"/>
    <n v="0"/>
    <n v="66"/>
    <n v="110"/>
    <n v="0"/>
    <n v="351.65"/>
    <n v="168.06"/>
    <m/>
    <n v="391.08132945590171"/>
    <n v="218.7322873480222"/>
    <n v="0"/>
    <n v="481.40884999999997"/>
    <n v="230.07414"/>
    <n v="0"/>
    <n v="535.39034002512949"/>
    <n v="299.44450137944239"/>
  </r>
  <r>
    <s v="Regular"/>
    <x v="4"/>
    <x v="3"/>
    <x v="4"/>
    <x v="0"/>
    <x v="0"/>
    <x v="0"/>
    <x v="0"/>
    <x v="1"/>
    <n v="0"/>
    <n v="0"/>
    <n v="6.5129999999999999"/>
    <n v="6.5129999999999999"/>
    <n v="6.5129999999999999"/>
    <n v="6.5129999999999999"/>
    <n v="0"/>
    <x v="0"/>
    <n v="0"/>
    <n v="0"/>
    <n v="66"/>
    <n v="110"/>
    <n v="0"/>
    <n v="351.65"/>
    <n v="168.06"/>
    <m/>
    <n v="391.08132945590171"/>
    <n v="218.7322873480222"/>
    <n v="0"/>
    <n v="2290.2964499999998"/>
    <n v="1094.5747799999999"/>
    <n v="0"/>
    <n v="2547.1126987462876"/>
    <n v="1424.6033874976686"/>
  </r>
  <r>
    <s v="Regular"/>
    <x v="4"/>
    <x v="3"/>
    <x v="4"/>
    <x v="0"/>
    <x v="0"/>
    <x v="0"/>
    <x v="0"/>
    <x v="2"/>
    <n v="0"/>
    <n v="0"/>
    <n v="5.2389999999999999"/>
    <n v="5.2389999999999999"/>
    <n v="5.2389999999999999"/>
    <n v="5.2389999999999999"/>
    <n v="0"/>
    <x v="0"/>
    <n v="0"/>
    <n v="0"/>
    <n v="66"/>
    <n v="110"/>
    <n v="0"/>
    <n v="351.65"/>
    <n v="168.06"/>
    <m/>
    <n v="391.08132945590171"/>
    <n v="218.7322873480222"/>
    <n v="0"/>
    <n v="1842.2943499999999"/>
    <n v="880.46633999999995"/>
    <n v="0"/>
    <n v="2048.8750850194692"/>
    <n v="1145.9384534162882"/>
  </r>
  <r>
    <s v="Regular"/>
    <x v="4"/>
    <x v="3"/>
    <x v="4"/>
    <x v="0"/>
    <x v="0"/>
    <x v="0"/>
    <x v="0"/>
    <x v="3"/>
    <n v="0"/>
    <n v="0"/>
    <n v="6.1890000000000001"/>
    <n v="6.1890000000000001"/>
    <n v="6.1890000000000001"/>
    <n v="6.1890000000000001"/>
    <n v="0"/>
    <x v="0"/>
    <n v="0"/>
    <n v="0"/>
    <n v="66"/>
    <n v="110"/>
    <n v="0"/>
    <n v="351.65"/>
    <n v="168.06"/>
    <m/>
    <n v="391.08132945590171"/>
    <n v="218.7322873480222"/>
    <n v="0"/>
    <n v="2176.3618499999998"/>
    <n v="1040.1233400000001"/>
    <n v="0"/>
    <n v="2420.4023480025758"/>
    <n v="1353.7341263969095"/>
  </r>
  <r>
    <s v="Regular"/>
    <x v="4"/>
    <x v="3"/>
    <x v="4"/>
    <x v="0"/>
    <x v="0"/>
    <x v="0"/>
    <x v="0"/>
    <x v="4"/>
    <n v="0"/>
    <n v="0"/>
    <n v="6.5919999999999996"/>
    <n v="6.5919999999999996"/>
    <n v="6.5919999999999996"/>
    <n v="6.5919999999999996"/>
    <n v="0"/>
    <x v="0"/>
    <n v="0"/>
    <n v="0"/>
    <n v="66"/>
    <n v="110"/>
    <n v="0"/>
    <n v="351.65"/>
    <n v="168.06"/>
    <m/>
    <n v="391.08132945590171"/>
    <n v="218.7322873480222"/>
    <n v="0"/>
    <n v="2318.0767999999998"/>
    <n v="1107.8515199999999"/>
    <n v="0"/>
    <n v="2578.0081237733039"/>
    <n v="1441.8832381981622"/>
  </r>
  <r>
    <s v="Refaturamento - Regular"/>
    <x v="4"/>
    <x v="3"/>
    <x v="4"/>
    <x v="0"/>
    <x v="0"/>
    <x v="0"/>
    <x v="0"/>
    <x v="4"/>
    <n v="0"/>
    <n v="0"/>
    <n v="-1.0369999999999999"/>
    <n v="-1.0369999999999999"/>
    <n v="-1.0369999999999999"/>
    <n v="-1.0369999999999999"/>
    <n v="0"/>
    <x v="0"/>
    <n v="0"/>
    <n v="0"/>
    <n v="66"/>
    <n v="110"/>
    <n v="0"/>
    <n v="351.65"/>
    <n v="168.06"/>
    <m/>
    <n v="391.08132945590171"/>
    <n v="218.7322873480222"/>
    <n v="0"/>
    <n v="-364.66104999999993"/>
    <n v="-174.27821999999998"/>
    <n v="0"/>
    <n v="-405.55133864577004"/>
    <n v="-226.82538197989899"/>
  </r>
  <r>
    <s v="Regular"/>
    <x v="4"/>
    <x v="3"/>
    <x v="4"/>
    <x v="0"/>
    <x v="0"/>
    <x v="0"/>
    <x v="0"/>
    <x v="5"/>
    <n v="0"/>
    <n v="0"/>
    <n v="8.7040000000000006"/>
    <n v="8.7040000000000006"/>
    <n v="8.7040000000000006"/>
    <n v="8.7040000000000006"/>
    <n v="0"/>
    <x v="0"/>
    <n v="0"/>
    <n v="0"/>
    <n v="66"/>
    <n v="110"/>
    <n v="0"/>
    <n v="351.65"/>
    <n v="168.06"/>
    <m/>
    <n v="391.08132945590171"/>
    <n v="218.7322873480222"/>
    <n v="0"/>
    <n v="3060.7615999999998"/>
    <n v="1462.7942400000002"/>
    <n v="0"/>
    <n v="3403.9718915841686"/>
    <n v="1903.8458290771853"/>
  </r>
  <r>
    <s v="Regular"/>
    <x v="4"/>
    <x v="3"/>
    <x v="4"/>
    <x v="0"/>
    <x v="0"/>
    <x v="0"/>
    <x v="0"/>
    <x v="6"/>
    <n v="0"/>
    <n v="0"/>
    <n v="6.5490000000000004"/>
    <n v="6.5490000000000004"/>
    <n v="6.5490000000000004"/>
    <n v="6.5490000000000004"/>
    <n v="0"/>
    <x v="0"/>
    <n v="0"/>
    <n v="0"/>
    <n v="66"/>
    <n v="110"/>
    <n v="0"/>
    <n v="351.65"/>
    <n v="168.06"/>
    <m/>
    <n v="391.08132945590171"/>
    <n v="218.7322873480222"/>
    <n v="0"/>
    <n v="2302.9558499999998"/>
    <n v="1100.6249400000002"/>
    <n v="0"/>
    <n v="2561.1916266067005"/>
    <n v="1432.4777498421975"/>
  </r>
  <r>
    <s v="Sistema Isolado - Regular"/>
    <x v="4"/>
    <x v="3"/>
    <x v="4"/>
    <x v="0"/>
    <x v="0"/>
    <x v="0"/>
    <x v="0"/>
    <x v="6"/>
    <n v="0"/>
    <n v="0"/>
    <n v="8.7999999999999995E-2"/>
    <n v="8.7999999999999995E-2"/>
    <n v="8.7999999999999995E-2"/>
    <n v="8.7999999999999995E-2"/>
    <n v="0"/>
    <x v="0"/>
    <n v="0"/>
    <n v="0"/>
    <n v="66"/>
    <n v="110"/>
    <n v="0"/>
    <n v="351.65"/>
    <n v="168.06"/>
    <m/>
    <n v="391.08132945590171"/>
    <n v="218.7322873480222"/>
    <n v="0"/>
    <n v="30.945199999999996"/>
    <n v="14.78928"/>
    <n v="0"/>
    <n v="34.41515699211935"/>
    <n v="19.248441286625951"/>
  </r>
  <r>
    <s v="Regular"/>
    <x v="4"/>
    <x v="3"/>
    <x v="4"/>
    <x v="0"/>
    <x v="0"/>
    <x v="0"/>
    <x v="0"/>
    <x v="7"/>
    <n v="0"/>
    <n v="0"/>
    <n v="8.452"/>
    <n v="8.452"/>
    <n v="8.452"/>
    <n v="8.452"/>
    <n v="0"/>
    <x v="0"/>
    <n v="0"/>
    <n v="0"/>
    <n v="66"/>
    <n v="110"/>
    <n v="0"/>
    <n v="351.65"/>
    <n v="168.06"/>
    <m/>
    <n v="391.08132945590171"/>
    <n v="218.7322873480222"/>
    <n v="0"/>
    <n v="2972.1457999999998"/>
    <n v="1420.4431199999999"/>
    <n v="0"/>
    <n v="3305.4193965612812"/>
    <n v="1848.7252926654835"/>
  </r>
  <r>
    <s v="Sistema Isolado - Regular"/>
    <x v="4"/>
    <x v="3"/>
    <x v="4"/>
    <x v="0"/>
    <x v="0"/>
    <x v="0"/>
    <x v="0"/>
    <x v="7"/>
    <n v="0"/>
    <n v="0"/>
    <n v="0.24099999999999999"/>
    <n v="0.24099999999999999"/>
    <n v="0.24099999999999999"/>
    <n v="0.24099999999999999"/>
    <n v="0"/>
    <x v="0"/>
    <n v="0"/>
    <n v="0"/>
    <n v="66"/>
    <n v="110"/>
    <n v="0"/>
    <n v="351.65"/>
    <n v="168.06"/>
    <m/>
    <n v="391.08132945590171"/>
    <n v="218.7322873480222"/>
    <n v="0"/>
    <n v="84.747649999999993"/>
    <n v="40.502459999999999"/>
    <n v="0"/>
    <n v="94.250600398872308"/>
    <n v="52.714481250873348"/>
  </r>
  <r>
    <s v="Regular"/>
    <x v="4"/>
    <x v="3"/>
    <x v="4"/>
    <x v="0"/>
    <x v="0"/>
    <x v="0"/>
    <x v="0"/>
    <x v="8"/>
    <n v="0"/>
    <n v="0"/>
    <n v="7.8049999999999997"/>
    <n v="7.8049999999999997"/>
    <n v="7.8049999999999997"/>
    <n v="7.8049999999999997"/>
    <n v="0"/>
    <x v="0"/>
    <n v="0"/>
    <n v="0"/>
    <n v="66"/>
    <n v="110"/>
    <n v="0"/>
    <n v="351.65"/>
    <n v="168.06"/>
    <m/>
    <n v="391.08132945590171"/>
    <n v="218.7322873480222"/>
    <n v="0"/>
    <n v="2744.6282499999998"/>
    <n v="1311.7083"/>
    <n v="0"/>
    <n v="3052.3897764033127"/>
    <n v="1707.2055027513131"/>
  </r>
  <r>
    <s v="Refaturamento - Regular"/>
    <x v="4"/>
    <x v="3"/>
    <x v="4"/>
    <x v="0"/>
    <x v="0"/>
    <x v="0"/>
    <x v="0"/>
    <x v="8"/>
    <n v="0"/>
    <n v="0"/>
    <n v="0.59099999999999997"/>
    <n v="0.59099999999999997"/>
    <n v="0.59099999999999997"/>
    <n v="0.59099999999999997"/>
    <n v="0"/>
    <x v="0"/>
    <n v="0"/>
    <n v="0"/>
    <n v="66"/>
    <n v="110"/>
    <n v="0"/>
    <n v="351.65"/>
    <n v="168.06"/>
    <m/>
    <n v="391.08132945590171"/>
    <n v="218.7322873480222"/>
    <n v="0"/>
    <n v="207.82514999999998"/>
    <n v="99.323459999999997"/>
    <n v="0"/>
    <n v="231.12906570843791"/>
    <n v="129.2707818226811"/>
  </r>
  <r>
    <s v="Sistema Isolado - Regular"/>
    <x v="4"/>
    <x v="3"/>
    <x v="4"/>
    <x v="0"/>
    <x v="0"/>
    <x v="0"/>
    <x v="0"/>
    <x v="8"/>
    <n v="0"/>
    <n v="0"/>
    <n v="0.192"/>
    <n v="0.192"/>
    <n v="0.192"/>
    <n v="0.192"/>
    <n v="0"/>
    <x v="0"/>
    <n v="0"/>
    <n v="0"/>
    <n v="66"/>
    <n v="110"/>
    <n v="0"/>
    <n v="351.65"/>
    <n v="168.06"/>
    <m/>
    <n v="391.08132945590171"/>
    <n v="218.7322873480222"/>
    <n v="0"/>
    <n v="67.516800000000003"/>
    <n v="32.267520000000005"/>
    <n v="0"/>
    <n v="75.087615255533123"/>
    <n v="41.996599170820261"/>
  </r>
  <r>
    <s v="Regular"/>
    <x v="4"/>
    <x v="3"/>
    <x v="4"/>
    <x v="0"/>
    <x v="0"/>
    <x v="0"/>
    <x v="0"/>
    <x v="9"/>
    <n v="0"/>
    <n v="0"/>
    <n v="14.026999999999999"/>
    <n v="14.026999999999999"/>
    <n v="14.026999999999999"/>
    <n v="14.026999999999999"/>
    <n v="0"/>
    <x v="0"/>
    <n v="0"/>
    <n v="0"/>
    <n v="66"/>
    <n v="110"/>
    <n v="0"/>
    <n v="351.65"/>
    <n v="168.06"/>
    <m/>
    <n v="391.08132945590171"/>
    <n v="218.7322873480222"/>
    <n v="0"/>
    <n v="4932.5945499999998"/>
    <n v="2357.3776199999998"/>
    <n v="0"/>
    <n v="5485.6978082779333"/>
    <n v="3068.157794630707"/>
  </r>
  <r>
    <s v="Sistema Isolado - Regular"/>
    <x v="4"/>
    <x v="3"/>
    <x v="4"/>
    <x v="0"/>
    <x v="0"/>
    <x v="0"/>
    <x v="0"/>
    <x v="9"/>
    <n v="0"/>
    <n v="0"/>
    <n v="0.154"/>
    <n v="0.154"/>
    <n v="0.154"/>
    <n v="0.154"/>
    <n v="0"/>
    <x v="0"/>
    <n v="0"/>
    <n v="0"/>
    <n v="66"/>
    <n v="110"/>
    <n v="0"/>
    <n v="351.65"/>
    <n v="168.06"/>
    <m/>
    <n v="391.08132945590171"/>
    <n v="218.7322873480222"/>
    <n v="0"/>
    <n v="54.154099999999993"/>
    <n v="25.881239999999998"/>
    <n v="0"/>
    <n v="60.226524736208866"/>
    <n v="33.684772251595419"/>
  </r>
  <r>
    <s v="Regular"/>
    <x v="4"/>
    <x v="3"/>
    <x v="4"/>
    <x v="0"/>
    <x v="0"/>
    <x v="0"/>
    <x v="0"/>
    <x v="10"/>
    <n v="0"/>
    <n v="0"/>
    <n v="20.574000000000002"/>
    <n v="20.574000000000002"/>
    <n v="20.574000000000002"/>
    <n v="20.574000000000002"/>
    <n v="0"/>
    <x v="0"/>
    <n v="0"/>
    <n v="0"/>
    <n v="66"/>
    <n v="110"/>
    <n v="0"/>
    <n v="351.65"/>
    <n v="168.06"/>
    <m/>
    <n v="391.08132945590171"/>
    <n v="218.7322873480222"/>
    <n v="0"/>
    <n v="7234.8471"/>
    <n v="3457.6664400000004"/>
    <n v="0"/>
    <n v="8046.1072722257222"/>
    <n v="4500.1980798982095"/>
  </r>
  <r>
    <s v="Sistema Isolado - Regular"/>
    <x v="4"/>
    <x v="3"/>
    <x v="4"/>
    <x v="0"/>
    <x v="0"/>
    <x v="0"/>
    <x v="0"/>
    <x v="10"/>
    <n v="0"/>
    <n v="0"/>
    <n v="0.34300000000000003"/>
    <n v="0.34300000000000003"/>
    <n v="0.34300000000000003"/>
    <n v="0.34300000000000003"/>
    <n v="0"/>
    <x v="0"/>
    <n v="0"/>
    <n v="0"/>
    <n v="66"/>
    <n v="110"/>
    <n v="0"/>
    <n v="351.65"/>
    <n v="168.06"/>
    <m/>
    <n v="391.08132945590171"/>
    <n v="218.7322873480222"/>
    <n v="0"/>
    <n v="120.61595"/>
    <n v="57.644580000000005"/>
    <n v="0"/>
    <n v="134.14089600337431"/>
    <n v="75.025174560371624"/>
  </r>
  <r>
    <s v="PROJETADO"/>
    <x v="4"/>
    <x v="3"/>
    <x v="4"/>
    <x v="0"/>
    <x v="0"/>
    <x v="0"/>
    <x v="0"/>
    <x v="11"/>
    <n v="0"/>
    <n v="0"/>
    <n v="20.574000000000002"/>
    <n v="20.574000000000002"/>
    <n v="20.574000000000002"/>
    <n v="20.574000000000002"/>
    <n v="0"/>
    <x v="0"/>
    <n v="0"/>
    <n v="0"/>
    <n v="66"/>
    <n v="110"/>
    <n v="0"/>
    <n v="351.65"/>
    <n v="168.06"/>
    <m/>
    <n v="391.08132945590171"/>
    <n v="218.7322873480222"/>
    <n v="0"/>
    <n v="7234.8471"/>
    <n v="3457.6664400000004"/>
    <n v="0"/>
    <n v="8046.1072722257222"/>
    <n v="4500.1980798982095"/>
  </r>
  <r>
    <s v="PROJETADO"/>
    <x v="4"/>
    <x v="3"/>
    <x v="4"/>
    <x v="0"/>
    <x v="0"/>
    <x v="0"/>
    <x v="0"/>
    <x v="11"/>
    <n v="0"/>
    <n v="0"/>
    <n v="0.34300000000000003"/>
    <n v="0.34300000000000003"/>
    <n v="0.34300000000000003"/>
    <n v="0.34300000000000003"/>
    <n v="0"/>
    <x v="0"/>
    <n v="0"/>
    <n v="0"/>
    <n v="66"/>
    <n v="110"/>
    <n v="0"/>
    <n v="351.65"/>
    <n v="168.06"/>
    <m/>
    <n v="391.08132945590171"/>
    <n v="218.7322873480222"/>
    <n v="0"/>
    <n v="120.61595"/>
    <n v="57.644580000000005"/>
    <n v="0"/>
    <n v="134.14089600337431"/>
    <n v="75.025174560371624"/>
  </r>
  <r>
    <s v="Regular"/>
    <x v="4"/>
    <x v="3"/>
    <x v="4"/>
    <x v="0"/>
    <x v="0"/>
    <x v="0"/>
    <x v="3"/>
    <x v="0"/>
    <n v="0"/>
    <n v="0"/>
    <n v="0.185"/>
    <n v="0.185"/>
    <n v="0.185"/>
    <n v="0.185"/>
    <n v="0"/>
    <x v="0"/>
    <n v="0"/>
    <n v="0"/>
    <n v="65"/>
    <n v="109"/>
    <n v="0"/>
    <n v="827.45"/>
    <n v="168.06"/>
    <m/>
    <n v="863.26174103173116"/>
    <n v="218.7322873480222"/>
    <n v="0"/>
    <n v="153.07825"/>
    <n v="31.091100000000001"/>
    <n v="0"/>
    <n v="159.70342209087028"/>
    <n v="40.465473159384103"/>
  </r>
  <r>
    <s v="Refaturamento - Regular"/>
    <x v="4"/>
    <x v="3"/>
    <x v="4"/>
    <x v="0"/>
    <x v="0"/>
    <x v="0"/>
    <x v="3"/>
    <x v="0"/>
    <n v="0"/>
    <n v="0"/>
    <n v="-1.9E-2"/>
    <n v="-1.9E-2"/>
    <n v="-1.9E-2"/>
    <n v="-1.9E-2"/>
    <n v="0"/>
    <x v="0"/>
    <n v="0"/>
    <n v="0"/>
    <n v="65"/>
    <n v="109"/>
    <n v="0"/>
    <n v="827.45"/>
    <n v="168.06"/>
    <m/>
    <n v="863.26174103173116"/>
    <n v="218.7322873480222"/>
    <n v="0"/>
    <n v="-15.721550000000001"/>
    <n v="-3.1931400000000001"/>
    <n v="0"/>
    <n v="-16.401973079602893"/>
    <n v="-4.1559134596124219"/>
  </r>
  <r>
    <s v="Regular"/>
    <x v="4"/>
    <x v="3"/>
    <x v="4"/>
    <x v="0"/>
    <x v="0"/>
    <x v="0"/>
    <x v="3"/>
    <x v="1"/>
    <n v="0"/>
    <n v="0"/>
    <n v="0.09"/>
    <n v="0.09"/>
    <n v="0.09"/>
    <n v="0.09"/>
    <n v="0"/>
    <x v="0"/>
    <n v="0"/>
    <n v="0"/>
    <n v="65"/>
    <n v="109"/>
    <n v="0"/>
    <n v="827.45"/>
    <n v="168.06"/>
    <m/>
    <n v="863.26174103173116"/>
    <n v="218.7322873480222"/>
    <n v="0"/>
    <n v="74.470500000000001"/>
    <n v="15.125399999999999"/>
    <n v="0"/>
    <n v="77.693556692855807"/>
    <n v="19.685905861321999"/>
  </r>
  <r>
    <s v="Regular"/>
    <x v="4"/>
    <x v="3"/>
    <x v="4"/>
    <x v="0"/>
    <x v="0"/>
    <x v="0"/>
    <x v="3"/>
    <x v="2"/>
    <n v="0"/>
    <n v="0"/>
    <n v="0.126"/>
    <n v="0.126"/>
    <n v="0.126"/>
    <n v="0.126"/>
    <n v="0"/>
    <x v="0"/>
    <n v="0"/>
    <n v="0"/>
    <n v="65"/>
    <n v="109"/>
    <n v="0"/>
    <n v="827.45"/>
    <n v="168.06"/>
    <m/>
    <n v="863.26174103173116"/>
    <n v="218.7322873480222"/>
    <n v="0"/>
    <n v="104.2587"/>
    <n v="21.175560000000001"/>
    <n v="0"/>
    <n v="108.77097936999813"/>
    <n v="27.560268205850797"/>
  </r>
  <r>
    <s v="Regular"/>
    <x v="4"/>
    <x v="3"/>
    <x v="4"/>
    <x v="0"/>
    <x v="0"/>
    <x v="0"/>
    <x v="3"/>
    <x v="3"/>
    <n v="0"/>
    <n v="0"/>
    <n v="0.24299999999999999"/>
    <n v="0.24299999999999999"/>
    <n v="0.24299999999999999"/>
    <n v="0.24299999999999999"/>
    <n v="0"/>
    <x v="0"/>
    <n v="0"/>
    <n v="0"/>
    <n v="65"/>
    <n v="109"/>
    <n v="0"/>
    <n v="827.45"/>
    <n v="168.06"/>
    <m/>
    <n v="863.26174103173116"/>
    <n v="218.7322873480222"/>
    <n v="0"/>
    <n v="201.07035000000002"/>
    <n v="40.83858"/>
    <n v="0"/>
    <n v="209.77260307071066"/>
    <n v="53.151945825569392"/>
  </r>
  <r>
    <s v="Regular"/>
    <x v="4"/>
    <x v="3"/>
    <x v="4"/>
    <x v="0"/>
    <x v="0"/>
    <x v="0"/>
    <x v="3"/>
    <x v="4"/>
    <n v="0"/>
    <n v="0"/>
    <n v="0.185"/>
    <n v="0.185"/>
    <n v="0.185"/>
    <n v="0.185"/>
    <n v="0"/>
    <x v="0"/>
    <n v="0"/>
    <n v="0"/>
    <n v="65"/>
    <n v="109"/>
    <n v="0"/>
    <n v="827.45"/>
    <n v="168.06"/>
    <m/>
    <n v="863.26174103173116"/>
    <n v="218.7322873480222"/>
    <n v="0"/>
    <n v="153.07825"/>
    <n v="31.091100000000001"/>
    <n v="0"/>
    <n v="159.70342209087028"/>
    <n v="40.465473159384103"/>
  </r>
  <r>
    <s v="Refaturamento - Regular"/>
    <x v="4"/>
    <x v="3"/>
    <x v="4"/>
    <x v="0"/>
    <x v="0"/>
    <x v="0"/>
    <x v="3"/>
    <x v="4"/>
    <n v="0"/>
    <n v="0"/>
    <n v="-6.7000000000000004E-2"/>
    <n v="-6.7000000000000004E-2"/>
    <n v="-6.7000000000000004E-2"/>
    <n v="-6.7000000000000004E-2"/>
    <n v="0"/>
    <x v="0"/>
    <n v="0"/>
    <n v="0"/>
    <n v="65"/>
    <n v="109"/>
    <n v="0"/>
    <n v="827.45"/>
    <n v="168.06"/>
    <m/>
    <n v="863.26174103173116"/>
    <n v="218.7322873480222"/>
    <n v="0"/>
    <n v="-55.439150000000005"/>
    <n v="-11.260020000000001"/>
    <n v="0"/>
    <n v="-57.838536649125992"/>
    <n v="-14.655063252317488"/>
  </r>
  <r>
    <s v="Regular"/>
    <x v="4"/>
    <x v="3"/>
    <x v="4"/>
    <x v="0"/>
    <x v="0"/>
    <x v="0"/>
    <x v="3"/>
    <x v="5"/>
    <n v="0"/>
    <n v="0"/>
    <n v="0.216"/>
    <n v="0.216"/>
    <n v="0.216"/>
    <n v="0.216"/>
    <n v="0"/>
    <x v="0"/>
    <n v="0"/>
    <n v="0"/>
    <n v="65"/>
    <n v="109"/>
    <n v="0"/>
    <n v="827.45"/>
    <n v="168.06"/>
    <m/>
    <n v="863.26174103173116"/>
    <n v="218.7322873480222"/>
    <n v="0"/>
    <n v="178.72920000000002"/>
    <n v="36.300960000000003"/>
    <n v="0"/>
    <n v="186.46453606285394"/>
    <n v="47.246174067172795"/>
  </r>
  <r>
    <s v="Regular"/>
    <x v="4"/>
    <x v="3"/>
    <x v="4"/>
    <x v="0"/>
    <x v="0"/>
    <x v="0"/>
    <x v="3"/>
    <x v="6"/>
    <n v="0"/>
    <n v="0"/>
    <n v="0.19800000000000001"/>
    <n v="0.19800000000000001"/>
    <n v="0.19800000000000001"/>
    <n v="0.19800000000000001"/>
    <n v="0"/>
    <x v="0"/>
    <n v="0"/>
    <n v="0"/>
    <n v="65"/>
    <n v="109"/>
    <n v="0"/>
    <n v="827.45"/>
    <n v="168.06"/>
    <m/>
    <n v="863.26174103173116"/>
    <n v="218.7322873480222"/>
    <n v="0"/>
    <n v="163.83510000000001"/>
    <n v="33.275880000000001"/>
    <n v="0"/>
    <n v="170.92582472428279"/>
    <n v="43.3089928949084"/>
  </r>
  <r>
    <s v="Sistema Isolado - Regular"/>
    <x v="4"/>
    <x v="3"/>
    <x v="4"/>
    <x v="0"/>
    <x v="0"/>
    <x v="0"/>
    <x v="3"/>
    <x v="6"/>
    <n v="0"/>
    <n v="0"/>
    <n v="4.0000000000000001E-3"/>
    <n v="4.0000000000000001E-3"/>
    <n v="4.0000000000000001E-3"/>
    <n v="4.0000000000000001E-3"/>
    <n v="0"/>
    <x v="0"/>
    <n v="0"/>
    <n v="0"/>
    <n v="65"/>
    <n v="109"/>
    <n v="0"/>
    <n v="827.45"/>
    <n v="168.06"/>
    <m/>
    <n v="863.26174103173116"/>
    <n v="218.7322873480222"/>
    <n v="0"/>
    <n v="3.3098000000000001"/>
    <n v="0.67224000000000006"/>
    <n v="0"/>
    <n v="3.4530469641269246"/>
    <n v="0.87492914939208877"/>
  </r>
  <r>
    <s v="Regular"/>
    <x v="4"/>
    <x v="3"/>
    <x v="4"/>
    <x v="0"/>
    <x v="0"/>
    <x v="0"/>
    <x v="3"/>
    <x v="7"/>
    <n v="0"/>
    <n v="0"/>
    <n v="0.32500000000000001"/>
    <n v="0.32500000000000001"/>
    <n v="0.32500000000000001"/>
    <n v="0.32500000000000001"/>
    <n v="0"/>
    <x v="0"/>
    <n v="0"/>
    <n v="0"/>
    <n v="65"/>
    <n v="109"/>
    <n v="0"/>
    <n v="827.45"/>
    <n v="168.06"/>
    <m/>
    <n v="863.26174103173116"/>
    <n v="218.7322873480222"/>
    <n v="0"/>
    <n v="268.92125000000004"/>
    <n v="54.619500000000002"/>
    <n v="0"/>
    <n v="280.56006583531263"/>
    <n v="71.087993388107222"/>
  </r>
  <r>
    <s v="Sistema Isolado - Regular"/>
    <x v="4"/>
    <x v="3"/>
    <x v="4"/>
    <x v="0"/>
    <x v="0"/>
    <x v="0"/>
    <x v="3"/>
    <x v="7"/>
    <n v="0"/>
    <n v="0"/>
    <n v="6.0000000000000001E-3"/>
    <n v="6.0000000000000001E-3"/>
    <n v="6.0000000000000001E-3"/>
    <n v="6.0000000000000001E-3"/>
    <n v="0"/>
    <x v="0"/>
    <n v="0"/>
    <n v="0"/>
    <n v="65"/>
    <n v="109"/>
    <n v="0"/>
    <n v="827.45"/>
    <n v="168.06"/>
    <m/>
    <n v="863.26174103173116"/>
    <n v="218.7322873480222"/>
    <n v="0"/>
    <n v="4.9647000000000006"/>
    <n v="1.0083600000000001"/>
    <n v="0"/>
    <n v="5.1795704461903869"/>
    <n v="1.3123937240881332"/>
  </r>
  <r>
    <s v="Regular"/>
    <x v="4"/>
    <x v="3"/>
    <x v="4"/>
    <x v="0"/>
    <x v="0"/>
    <x v="0"/>
    <x v="3"/>
    <x v="8"/>
    <n v="0"/>
    <n v="0"/>
    <n v="2.6070000000000002"/>
    <n v="2.6070000000000002"/>
    <n v="2.6070000000000002"/>
    <n v="2.6070000000000002"/>
    <n v="0"/>
    <x v="0"/>
    <n v="0"/>
    <n v="0"/>
    <n v="65"/>
    <n v="109"/>
    <n v="0"/>
    <n v="827.45"/>
    <n v="168.06"/>
    <m/>
    <n v="863.26174103173116"/>
    <n v="218.7322873480222"/>
    <n v="0"/>
    <n v="2157.1621500000001"/>
    <n v="438.13242000000002"/>
    <n v="0"/>
    <n v="2250.5233588697233"/>
    <n v="570.23507311629396"/>
  </r>
  <r>
    <s v="Refaturamento - Regular"/>
    <x v="4"/>
    <x v="3"/>
    <x v="4"/>
    <x v="0"/>
    <x v="0"/>
    <x v="0"/>
    <x v="3"/>
    <x v="8"/>
    <n v="0"/>
    <n v="0"/>
    <n v="8.9999999999999993E-3"/>
    <n v="8.9999999999999993E-3"/>
    <n v="8.9999999999999993E-3"/>
    <n v="8.9999999999999993E-3"/>
    <n v="0"/>
    <x v="0"/>
    <n v="0"/>
    <n v="0"/>
    <n v="65"/>
    <n v="109"/>
    <n v="0"/>
    <n v="827.45"/>
    <n v="168.06"/>
    <m/>
    <n v="863.26174103173116"/>
    <n v="218.7322873480222"/>
    <n v="0"/>
    <n v="7.4470499999999999"/>
    <n v="1.51254"/>
    <n v="0"/>
    <n v="7.7693556692855799"/>
    <n v="1.9685905861321997"/>
  </r>
  <r>
    <s v="Sistema Isolado - Regular"/>
    <x v="4"/>
    <x v="3"/>
    <x v="4"/>
    <x v="0"/>
    <x v="0"/>
    <x v="0"/>
    <x v="3"/>
    <x v="8"/>
    <n v="0"/>
    <n v="0"/>
    <n v="5.0000000000000001E-3"/>
    <n v="5.0000000000000001E-3"/>
    <n v="5.0000000000000001E-3"/>
    <n v="5.0000000000000001E-3"/>
    <n v="0"/>
    <x v="0"/>
    <n v="0"/>
    <n v="0"/>
    <n v="65"/>
    <n v="109"/>
    <n v="0"/>
    <n v="827.45"/>
    <n v="168.06"/>
    <m/>
    <n v="863.26174103173116"/>
    <n v="218.7322873480222"/>
    <n v="0"/>
    <n v="4.1372499999999999"/>
    <n v="0.84030000000000005"/>
    <n v="0"/>
    <n v="4.3163087051586562"/>
    <n v="1.093661436740111"/>
  </r>
  <r>
    <s v="Regular"/>
    <x v="4"/>
    <x v="3"/>
    <x v="4"/>
    <x v="0"/>
    <x v="0"/>
    <x v="0"/>
    <x v="3"/>
    <x v="9"/>
    <n v="0"/>
    <n v="0"/>
    <n v="0.439"/>
    <n v="0.439"/>
    <n v="0.439"/>
    <n v="0.439"/>
    <n v="0"/>
    <x v="0"/>
    <n v="0"/>
    <n v="0"/>
    <n v="65"/>
    <n v="109"/>
    <n v="0"/>
    <n v="827.45"/>
    <n v="168.06"/>
    <m/>
    <n v="863.26174103173116"/>
    <n v="218.7322873480222"/>
    <n v="0"/>
    <n v="363.25055000000003"/>
    <n v="73.77834"/>
    <n v="0"/>
    <n v="378.97190431293001"/>
    <n v="96.023474145781748"/>
  </r>
  <r>
    <s v="Sistema Isolado - Regular"/>
    <x v="4"/>
    <x v="3"/>
    <x v="4"/>
    <x v="0"/>
    <x v="0"/>
    <x v="0"/>
    <x v="3"/>
    <x v="9"/>
    <n v="0"/>
    <n v="0"/>
    <n v="6.0000000000000001E-3"/>
    <n v="6.0000000000000001E-3"/>
    <n v="6.0000000000000001E-3"/>
    <n v="6.0000000000000001E-3"/>
    <n v="0"/>
    <x v="0"/>
    <n v="0"/>
    <n v="0"/>
    <n v="65"/>
    <n v="109"/>
    <n v="0"/>
    <n v="827.45"/>
    <n v="168.06"/>
    <m/>
    <n v="863.26174103173116"/>
    <n v="218.7322873480222"/>
    <n v="0"/>
    <n v="4.9647000000000006"/>
    <n v="1.0083600000000001"/>
    <n v="0"/>
    <n v="5.1795704461903869"/>
    <n v="1.3123937240881332"/>
  </r>
  <r>
    <s v="Regular"/>
    <x v="4"/>
    <x v="3"/>
    <x v="4"/>
    <x v="0"/>
    <x v="0"/>
    <x v="0"/>
    <x v="3"/>
    <x v="10"/>
    <n v="0"/>
    <n v="0"/>
    <n v="0.55700000000000005"/>
    <n v="0.55700000000000005"/>
    <n v="0.55700000000000005"/>
    <n v="0.55700000000000005"/>
    <n v="0"/>
    <x v="0"/>
    <n v="0"/>
    <n v="0"/>
    <n v="65"/>
    <n v="109"/>
    <n v="0"/>
    <n v="827.45"/>
    <n v="168.06"/>
    <m/>
    <n v="863.26174103173116"/>
    <n v="218.7322873480222"/>
    <n v="0"/>
    <n v="460.88965000000007"/>
    <n v="93.609420000000014"/>
    <n v="0"/>
    <n v="480.83678975467433"/>
    <n v="121.83388405284838"/>
  </r>
  <r>
    <s v="Sistema Isolado - Regular"/>
    <x v="4"/>
    <x v="3"/>
    <x v="4"/>
    <x v="0"/>
    <x v="0"/>
    <x v="0"/>
    <x v="3"/>
    <x v="10"/>
    <n v="0"/>
    <n v="0"/>
    <n v="1.2999999999999999E-2"/>
    <n v="1.2999999999999999E-2"/>
    <n v="1.2999999999999999E-2"/>
    <n v="1.2999999999999999E-2"/>
    <n v="0"/>
    <x v="0"/>
    <n v="0"/>
    <n v="0"/>
    <n v="65"/>
    <n v="109"/>
    <n v="0"/>
    <n v="827.45"/>
    <n v="168.06"/>
    <m/>
    <n v="863.26174103173116"/>
    <n v="218.7322873480222"/>
    <n v="0"/>
    <n v="10.75685"/>
    <n v="2.1847799999999999"/>
    <n v="0"/>
    <n v="11.222402633412505"/>
    <n v="2.8435197355242883"/>
  </r>
  <r>
    <s v="PROJETADO"/>
    <x v="4"/>
    <x v="3"/>
    <x v="4"/>
    <x v="0"/>
    <x v="0"/>
    <x v="0"/>
    <x v="3"/>
    <x v="11"/>
    <n v="0"/>
    <n v="0"/>
    <n v="0.55700000000000005"/>
    <n v="0.55700000000000005"/>
    <n v="0.55700000000000005"/>
    <n v="0.55700000000000005"/>
    <n v="0"/>
    <x v="0"/>
    <n v="0"/>
    <n v="0"/>
    <n v="65"/>
    <n v="109"/>
    <n v="0"/>
    <n v="827.45"/>
    <n v="168.06"/>
    <m/>
    <n v="863.26174103173116"/>
    <n v="218.7322873480222"/>
    <n v="0"/>
    <n v="460.88965000000007"/>
    <n v="93.609420000000014"/>
    <n v="0"/>
    <n v="480.83678975467433"/>
    <n v="121.83388405284838"/>
  </r>
  <r>
    <s v="PROJETADO"/>
    <x v="4"/>
    <x v="3"/>
    <x v="4"/>
    <x v="0"/>
    <x v="0"/>
    <x v="0"/>
    <x v="3"/>
    <x v="11"/>
    <n v="0"/>
    <n v="0"/>
    <n v="1.2999999999999999E-2"/>
    <n v="1.2999999999999999E-2"/>
    <n v="1.2999999999999999E-2"/>
    <n v="1.2999999999999999E-2"/>
    <n v="0"/>
    <x v="0"/>
    <n v="0"/>
    <n v="0"/>
    <n v="65"/>
    <n v="109"/>
    <n v="0"/>
    <n v="827.45"/>
    <n v="168.06"/>
    <m/>
    <n v="863.26174103173116"/>
    <n v="218.7322873480222"/>
    <n v="0"/>
    <n v="10.75685"/>
    <n v="2.1847799999999999"/>
    <n v="0"/>
    <n v="11.222402633412505"/>
    <n v="2.8435197355242883"/>
  </r>
  <r>
    <s v="Regular"/>
    <x v="4"/>
    <x v="3"/>
    <x v="4"/>
    <x v="0"/>
    <x v="0"/>
    <x v="0"/>
    <x v="1"/>
    <x v="0"/>
    <n v="0"/>
    <n v="0"/>
    <n v="0.51700000000000002"/>
    <n v="0.51700000000000002"/>
    <n v="0.51700000000000002"/>
    <n v="0.51700000000000002"/>
    <n v="0"/>
    <x v="0"/>
    <n v="0"/>
    <n v="0"/>
    <n v="64"/>
    <n v="108"/>
    <n v="0"/>
    <n v="1303.25"/>
    <n v="270.3"/>
    <m/>
    <n v="1335.4421526075607"/>
    <n v="362.70381368696184"/>
    <n v="0"/>
    <n v="673.78025000000002"/>
    <n v="139.74510000000001"/>
    <n v="0"/>
    <n v="690.42359289810895"/>
    <n v="187.51787167615927"/>
  </r>
  <r>
    <s v="Refaturamento - Regular"/>
    <x v="4"/>
    <x v="3"/>
    <x v="4"/>
    <x v="0"/>
    <x v="0"/>
    <x v="0"/>
    <x v="1"/>
    <x v="0"/>
    <n v="0"/>
    <n v="0"/>
    <n v="4.7E-2"/>
    <n v="4.7E-2"/>
    <n v="4.7E-2"/>
    <n v="4.7E-2"/>
    <n v="0"/>
    <x v="0"/>
    <n v="0"/>
    <n v="0"/>
    <n v="64"/>
    <n v="108"/>
    <n v="0"/>
    <n v="1303.25"/>
    <n v="270.3"/>
    <m/>
    <n v="1335.4421526075607"/>
    <n v="362.70381368696184"/>
    <n v="0"/>
    <n v="61.252749999999999"/>
    <n v="12.7041"/>
    <n v="0"/>
    <n v="62.765781172555357"/>
    <n v="17.047079243287207"/>
  </r>
  <r>
    <s v="Regular"/>
    <x v="4"/>
    <x v="3"/>
    <x v="4"/>
    <x v="0"/>
    <x v="0"/>
    <x v="0"/>
    <x v="1"/>
    <x v="1"/>
    <n v="0"/>
    <n v="0"/>
    <n v="0.20300000000000001"/>
    <n v="0.20300000000000001"/>
    <n v="0.20300000000000001"/>
    <n v="0.20300000000000001"/>
    <n v="0"/>
    <x v="0"/>
    <n v="0"/>
    <n v="0"/>
    <n v="64"/>
    <n v="108"/>
    <n v="0"/>
    <n v="1303.25"/>
    <n v="270.3"/>
    <m/>
    <n v="1335.4421526075607"/>
    <n v="362.70381368696184"/>
    <n v="0"/>
    <n v="264.55975000000001"/>
    <n v="54.870900000000006"/>
    <n v="0"/>
    <n v="271.09475697933482"/>
    <n v="73.628874178453259"/>
  </r>
  <r>
    <s v="Regular"/>
    <x v="4"/>
    <x v="3"/>
    <x v="4"/>
    <x v="0"/>
    <x v="0"/>
    <x v="0"/>
    <x v="1"/>
    <x v="2"/>
    <n v="0"/>
    <n v="0"/>
    <n v="0.36"/>
    <n v="0.36"/>
    <n v="0.36"/>
    <n v="0.36"/>
    <n v="0"/>
    <x v="0"/>
    <n v="0"/>
    <n v="0"/>
    <n v="64"/>
    <n v="108"/>
    <n v="0"/>
    <n v="1303.25"/>
    <n v="270.3"/>
    <m/>
    <n v="1335.4421526075607"/>
    <n v="362.70381368696184"/>
    <n v="0"/>
    <n v="469.16999999999996"/>
    <n v="97.308000000000007"/>
    <n v="0"/>
    <n v="480.75917493872186"/>
    <n v="130.57337292730625"/>
  </r>
  <r>
    <s v="Regular"/>
    <x v="4"/>
    <x v="3"/>
    <x v="4"/>
    <x v="0"/>
    <x v="0"/>
    <x v="0"/>
    <x v="1"/>
    <x v="3"/>
    <n v="0"/>
    <n v="0"/>
    <n v="0.249"/>
    <n v="0.249"/>
    <n v="0.249"/>
    <n v="0.249"/>
    <n v="0"/>
    <x v="0"/>
    <n v="0"/>
    <n v="0"/>
    <n v="64"/>
    <n v="108"/>
    <n v="0"/>
    <n v="1303.25"/>
    <n v="270.3"/>
    <m/>
    <n v="1335.4421526075607"/>
    <n v="362.70381368696184"/>
    <n v="0"/>
    <n v="324.50925000000001"/>
    <n v="67.304699999999997"/>
    <n v="0"/>
    <n v="332.5250959992826"/>
    <n v="90.313249608053496"/>
  </r>
  <r>
    <s v="Regular"/>
    <x v="4"/>
    <x v="3"/>
    <x v="4"/>
    <x v="0"/>
    <x v="0"/>
    <x v="0"/>
    <x v="1"/>
    <x v="4"/>
    <n v="0"/>
    <n v="0"/>
    <n v="0.32500000000000001"/>
    <n v="0.32500000000000001"/>
    <n v="0.32500000000000001"/>
    <n v="0.32500000000000001"/>
    <n v="0"/>
    <x v="0"/>
    <n v="0"/>
    <n v="0"/>
    <n v="64"/>
    <n v="108"/>
    <n v="0"/>
    <n v="1303.25"/>
    <n v="270.3"/>
    <m/>
    <n v="1335.4421526075607"/>
    <n v="362.70381368696184"/>
    <n v="0"/>
    <n v="423.55625000000003"/>
    <n v="87.847500000000011"/>
    <n v="0"/>
    <n v="434.01869959745727"/>
    <n v="117.87873944826261"/>
  </r>
  <r>
    <s v="Refaturamento - Regular"/>
    <x v="4"/>
    <x v="3"/>
    <x v="4"/>
    <x v="0"/>
    <x v="0"/>
    <x v="0"/>
    <x v="1"/>
    <x v="4"/>
    <n v="0"/>
    <n v="0"/>
    <n v="-9.5000000000000001E-2"/>
    <n v="-9.5000000000000001E-2"/>
    <n v="-9.5000000000000001E-2"/>
    <n v="-9.5000000000000001E-2"/>
    <n v="0"/>
    <x v="0"/>
    <n v="0"/>
    <n v="0"/>
    <n v="64"/>
    <n v="108"/>
    <n v="0"/>
    <n v="1303.25"/>
    <n v="270.3"/>
    <m/>
    <n v="1335.4421526075607"/>
    <n v="362.70381368696184"/>
    <n v="0"/>
    <n v="-123.80875"/>
    <n v="-25.6785"/>
    <n v="0"/>
    <n v="-126.86700449771827"/>
    <n v="-34.456862300261378"/>
  </r>
  <r>
    <s v="Regular"/>
    <x v="4"/>
    <x v="3"/>
    <x v="4"/>
    <x v="0"/>
    <x v="0"/>
    <x v="0"/>
    <x v="1"/>
    <x v="5"/>
    <n v="0"/>
    <n v="0"/>
    <n v="0.434"/>
    <n v="0.434"/>
    <n v="0.434"/>
    <n v="0.434"/>
    <n v="0"/>
    <x v="0"/>
    <n v="0"/>
    <n v="0"/>
    <n v="64"/>
    <n v="108"/>
    <n v="0"/>
    <n v="1303.25"/>
    <n v="270.3"/>
    <m/>
    <n v="1335.4421526075607"/>
    <n v="362.70381368696184"/>
    <n v="0"/>
    <n v="565.6105"/>
    <n v="117.31020000000001"/>
    <n v="0"/>
    <n v="579.5818942316813"/>
    <n v="157.41345514014142"/>
  </r>
  <r>
    <s v="Regular"/>
    <x v="4"/>
    <x v="3"/>
    <x v="4"/>
    <x v="0"/>
    <x v="0"/>
    <x v="0"/>
    <x v="1"/>
    <x v="6"/>
    <n v="0"/>
    <n v="0"/>
    <n v="0.40500000000000003"/>
    <n v="0.40500000000000003"/>
    <n v="0.40500000000000003"/>
    <n v="0.40500000000000003"/>
    <n v="0"/>
    <x v="0"/>
    <n v="0"/>
    <n v="0"/>
    <n v="64"/>
    <n v="108"/>
    <n v="0"/>
    <n v="1303.25"/>
    <n v="270.3"/>
    <m/>
    <n v="1335.4421526075607"/>
    <n v="362.70381368696184"/>
    <n v="0"/>
    <n v="527.81625000000008"/>
    <n v="109.47150000000001"/>
    <n v="0"/>
    <n v="540.85407180606217"/>
    <n v="146.89504454321954"/>
  </r>
  <r>
    <s v="Sistema Isolado - Regular"/>
    <x v="4"/>
    <x v="3"/>
    <x v="4"/>
    <x v="0"/>
    <x v="0"/>
    <x v="0"/>
    <x v="1"/>
    <x v="6"/>
    <n v="0"/>
    <n v="0"/>
    <n v="4.0000000000000001E-3"/>
    <n v="4.0000000000000001E-3"/>
    <n v="4.0000000000000001E-3"/>
    <n v="4.0000000000000001E-3"/>
    <n v="0"/>
    <x v="0"/>
    <n v="0"/>
    <n v="0"/>
    <n v="64"/>
    <n v="108"/>
    <n v="0"/>
    <n v="1303.25"/>
    <n v="270.3"/>
    <m/>
    <n v="1335.4421526075607"/>
    <n v="362.70381368696184"/>
    <n v="0"/>
    <n v="5.2130000000000001"/>
    <n v="1.0812000000000002"/>
    <n v="0"/>
    <n v="5.3417686104302433"/>
    <n v="1.4508152547478474"/>
  </r>
  <r>
    <s v="Regular"/>
    <x v="4"/>
    <x v="3"/>
    <x v="4"/>
    <x v="0"/>
    <x v="0"/>
    <x v="0"/>
    <x v="1"/>
    <x v="7"/>
    <n v="0"/>
    <n v="0"/>
    <n v="0.52900000000000003"/>
    <n v="0.52900000000000003"/>
    <n v="0.52900000000000003"/>
    <n v="0.52900000000000003"/>
    <n v="0"/>
    <x v="0"/>
    <n v="0"/>
    <n v="0"/>
    <n v="64"/>
    <n v="108"/>
    <n v="0"/>
    <n v="1303.25"/>
    <n v="270.3"/>
    <m/>
    <n v="1335.4421526075607"/>
    <n v="362.70381368696184"/>
    <n v="0"/>
    <n v="689.41925000000003"/>
    <n v="142.98870000000002"/>
    <n v="0"/>
    <n v="706.44889872939962"/>
    <n v="191.87031744040283"/>
  </r>
  <r>
    <s v="Sistema Isolado - Regular"/>
    <x v="4"/>
    <x v="3"/>
    <x v="4"/>
    <x v="0"/>
    <x v="0"/>
    <x v="0"/>
    <x v="1"/>
    <x v="7"/>
    <n v="0"/>
    <n v="0"/>
    <n v="8.9999999999999993E-3"/>
    <n v="8.9999999999999993E-3"/>
    <n v="8.9999999999999993E-3"/>
    <n v="8.9999999999999993E-3"/>
    <n v="0"/>
    <x v="0"/>
    <n v="0"/>
    <n v="0"/>
    <n v="64"/>
    <n v="108"/>
    <n v="0"/>
    <n v="1303.25"/>
    <n v="270.3"/>
    <m/>
    <n v="1335.4421526075607"/>
    <n v="362.70381368696184"/>
    <n v="0"/>
    <n v="11.729249999999999"/>
    <n v="2.4327000000000001"/>
    <n v="0"/>
    <n v="12.018979373468046"/>
    <n v="3.2643343231826565"/>
  </r>
  <r>
    <s v="Regular"/>
    <x v="4"/>
    <x v="3"/>
    <x v="4"/>
    <x v="0"/>
    <x v="0"/>
    <x v="0"/>
    <x v="1"/>
    <x v="8"/>
    <n v="0"/>
    <n v="0"/>
    <n v="0.58499999999999996"/>
    <n v="0.58499999999999996"/>
    <n v="0.58499999999999996"/>
    <n v="0.58499999999999996"/>
    <n v="0"/>
    <x v="0"/>
    <n v="0"/>
    <n v="0"/>
    <n v="64"/>
    <n v="108"/>
    <n v="0"/>
    <n v="1303.25"/>
    <n v="270.3"/>
    <m/>
    <n v="1335.4421526075607"/>
    <n v="362.70381368696184"/>
    <n v="0"/>
    <n v="762.40125"/>
    <n v="158.12549999999999"/>
    <n v="0"/>
    <n v="781.23365927542295"/>
    <n v="212.18173100687267"/>
  </r>
  <r>
    <s v="Refaturamento - Regular"/>
    <x v="4"/>
    <x v="3"/>
    <x v="4"/>
    <x v="0"/>
    <x v="0"/>
    <x v="0"/>
    <x v="1"/>
    <x v="8"/>
    <n v="0"/>
    <n v="0"/>
    <n v="1.2E-2"/>
    <n v="1.2E-2"/>
    <n v="1.2E-2"/>
    <n v="1.2E-2"/>
    <n v="0"/>
    <x v="0"/>
    <n v="0"/>
    <n v="0"/>
    <n v="64"/>
    <n v="108"/>
    <n v="0"/>
    <n v="1303.25"/>
    <n v="270.3"/>
    <m/>
    <n v="1335.4421526075607"/>
    <n v="362.70381368696184"/>
    <n v="0"/>
    <n v="15.639000000000001"/>
    <n v="3.2436000000000003"/>
    <n v="0"/>
    <n v="16.02530583129073"/>
    <n v="4.3524457642435426"/>
  </r>
  <r>
    <s v="Sistema Isolado - Regular"/>
    <x v="4"/>
    <x v="3"/>
    <x v="4"/>
    <x v="0"/>
    <x v="0"/>
    <x v="0"/>
    <x v="1"/>
    <x v="8"/>
    <n v="0"/>
    <n v="0"/>
    <n v="8.0000000000000002E-3"/>
    <n v="8.0000000000000002E-3"/>
    <n v="8.0000000000000002E-3"/>
    <n v="8.0000000000000002E-3"/>
    <n v="0"/>
    <x v="0"/>
    <n v="0"/>
    <n v="0"/>
    <n v="64"/>
    <n v="108"/>
    <n v="0"/>
    <n v="1303.25"/>
    <n v="270.3"/>
    <m/>
    <n v="1335.4421526075607"/>
    <n v="362.70381368696184"/>
    <n v="0"/>
    <n v="10.426"/>
    <n v="2.1624000000000003"/>
    <n v="0"/>
    <n v="10.683537220860487"/>
    <n v="2.9016305094956949"/>
  </r>
  <r>
    <s v="Regular"/>
    <x v="4"/>
    <x v="3"/>
    <x v="4"/>
    <x v="0"/>
    <x v="0"/>
    <x v="0"/>
    <x v="1"/>
    <x v="9"/>
    <n v="0"/>
    <n v="0"/>
    <n v="1.61"/>
    <n v="1.61"/>
    <n v="1.61"/>
    <n v="1.61"/>
    <n v="0"/>
    <x v="0"/>
    <n v="0"/>
    <n v="0"/>
    <n v="64"/>
    <n v="108"/>
    <n v="0"/>
    <n v="1303.25"/>
    <n v="270.3"/>
    <m/>
    <n v="1335.4421526075607"/>
    <n v="362.70381368696184"/>
    <n v="0"/>
    <n v="2098.2325000000001"/>
    <n v="435.18300000000005"/>
    <n v="0"/>
    <n v="2150.0618656981728"/>
    <n v="583.95314003600856"/>
  </r>
  <r>
    <s v="Sistema Isolado - Regular"/>
    <x v="4"/>
    <x v="3"/>
    <x v="4"/>
    <x v="0"/>
    <x v="0"/>
    <x v="0"/>
    <x v="1"/>
    <x v="9"/>
    <n v="0"/>
    <n v="0"/>
    <n v="0.70499999999999996"/>
    <n v="0.70499999999999996"/>
    <n v="0.70499999999999996"/>
    <n v="0.70499999999999996"/>
    <n v="0"/>
    <x v="0"/>
    <n v="0"/>
    <n v="0"/>
    <n v="64"/>
    <n v="108"/>
    <n v="0"/>
    <n v="1303.25"/>
    <n v="270.3"/>
    <m/>
    <n v="1335.4421526075607"/>
    <n v="362.70381368696184"/>
    <n v="0"/>
    <n v="918.79124999999999"/>
    <n v="190.5615"/>
    <n v="0"/>
    <n v="941.48671758833029"/>
    <n v="255.70618864930807"/>
  </r>
  <r>
    <s v="Regular"/>
    <x v="4"/>
    <x v="3"/>
    <x v="4"/>
    <x v="0"/>
    <x v="0"/>
    <x v="0"/>
    <x v="1"/>
    <x v="10"/>
    <n v="0"/>
    <n v="0"/>
    <n v="2.2469999999999999"/>
    <n v="2.2469999999999999"/>
    <n v="2.2469999999999999"/>
    <n v="2.2469999999999999"/>
    <n v="0"/>
    <x v="0"/>
    <n v="0"/>
    <n v="0"/>
    <n v="64"/>
    <n v="108"/>
    <n v="0"/>
    <n v="1303.25"/>
    <n v="270.3"/>
    <m/>
    <n v="1335.4421526075607"/>
    <n v="362.70381368696184"/>
    <n v="0"/>
    <n v="2928.4027499999997"/>
    <n v="607.36410000000001"/>
    <n v="0"/>
    <n v="3000.738516909189"/>
    <n v="814.99546935460319"/>
  </r>
  <r>
    <s v="Sistema Isolado - Regular"/>
    <x v="4"/>
    <x v="3"/>
    <x v="4"/>
    <x v="0"/>
    <x v="0"/>
    <x v="0"/>
    <x v="1"/>
    <x v="10"/>
    <n v="0"/>
    <n v="0"/>
    <n v="0.35799999999999998"/>
    <n v="0.35799999999999998"/>
    <n v="0.35799999999999998"/>
    <n v="0.35799999999999998"/>
    <n v="0"/>
    <x v="0"/>
    <n v="0"/>
    <n v="0"/>
    <n v="64"/>
    <n v="108"/>
    <n v="0"/>
    <n v="1303.25"/>
    <n v="270.3"/>
    <m/>
    <n v="1335.4421526075607"/>
    <n v="362.70381368696184"/>
    <n v="0"/>
    <n v="466.56349999999998"/>
    <n v="96.767399999999995"/>
    <n v="0"/>
    <n v="478.08829063350674"/>
    <n v="129.84796529993233"/>
  </r>
  <r>
    <s v="PROJETADO"/>
    <x v="4"/>
    <x v="3"/>
    <x v="4"/>
    <x v="0"/>
    <x v="0"/>
    <x v="0"/>
    <x v="1"/>
    <x v="11"/>
    <n v="0"/>
    <n v="0"/>
    <n v="2.2469999999999999"/>
    <n v="2.2469999999999999"/>
    <n v="2.2469999999999999"/>
    <n v="2.2469999999999999"/>
    <n v="0"/>
    <x v="0"/>
    <n v="0"/>
    <n v="0"/>
    <n v="64"/>
    <n v="108"/>
    <n v="0"/>
    <n v="1303.25"/>
    <n v="270.3"/>
    <m/>
    <n v="1335.4421526075607"/>
    <n v="362.70381368696184"/>
    <n v="0"/>
    <n v="2928.4027499999997"/>
    <n v="607.36410000000001"/>
    <n v="0"/>
    <n v="3000.738516909189"/>
    <n v="814.99546935460319"/>
  </r>
  <r>
    <s v="PROJETADO"/>
    <x v="4"/>
    <x v="3"/>
    <x v="4"/>
    <x v="0"/>
    <x v="0"/>
    <x v="0"/>
    <x v="1"/>
    <x v="11"/>
    <n v="0"/>
    <n v="0"/>
    <n v="0.35799999999999998"/>
    <n v="0.35799999999999998"/>
    <n v="0.35799999999999998"/>
    <n v="0.35799999999999998"/>
    <n v="0"/>
    <x v="0"/>
    <n v="0"/>
    <n v="0"/>
    <n v="64"/>
    <n v="108"/>
    <n v="0"/>
    <n v="1303.25"/>
    <n v="270.3"/>
    <m/>
    <n v="1335.4421526075607"/>
    <n v="362.70381368696184"/>
    <n v="0"/>
    <n v="466.56349999999998"/>
    <n v="96.767399999999995"/>
    <n v="0"/>
    <n v="478.08829063350674"/>
    <n v="129.84796529993233"/>
  </r>
  <r>
    <s v="Regular"/>
    <x v="4"/>
    <x v="4"/>
    <x v="0"/>
    <x v="0"/>
    <x v="0"/>
    <x v="0"/>
    <x v="2"/>
    <x v="0"/>
    <n v="0"/>
    <n v="0"/>
    <n v="10236.842000000001"/>
    <n v="10236.842000000001"/>
    <n v="10236.842000000001"/>
    <n v="10236.842000000001"/>
    <n v="17058"/>
    <x v="0"/>
    <n v="0"/>
    <n v="0"/>
    <n v="67"/>
    <n v="111"/>
    <n v="0"/>
    <n v="463.6"/>
    <n v="176.58"/>
    <m/>
    <n v="502.18276542172094"/>
    <n v="230.72991454293387"/>
    <n v="0"/>
    <n v="4745799.9512000009"/>
    <n v="1807621.5603600002"/>
    <n v="0"/>
    <n v="5140765.6247452209"/>
    <n v="2361945.6798495161"/>
  </r>
  <r>
    <s v="Refaturamento - Regular"/>
    <x v="4"/>
    <x v="4"/>
    <x v="0"/>
    <x v="0"/>
    <x v="0"/>
    <x v="0"/>
    <x v="2"/>
    <x v="0"/>
    <n v="0"/>
    <n v="0"/>
    <n v="-86.658000000000001"/>
    <n v="-86.658000000000001"/>
    <n v="-86.658000000000001"/>
    <n v="-86.658000000000001"/>
    <n v="-26"/>
    <x v="0"/>
    <n v="0"/>
    <n v="0"/>
    <n v="67"/>
    <n v="111"/>
    <n v="0"/>
    <n v="463.6"/>
    <n v="176.58"/>
    <m/>
    <n v="502.18276542172094"/>
    <n v="230.72991454293387"/>
    <n v="0"/>
    <n v="-40174.648800000003"/>
    <n v="-15302.069640000002"/>
    <n v="0"/>
    <n v="-43518.154085915492"/>
    <n v="-19994.592934461565"/>
  </r>
  <r>
    <s v="Sistema Isolado - Regular"/>
    <x v="4"/>
    <x v="4"/>
    <x v="0"/>
    <x v="0"/>
    <x v="0"/>
    <x v="0"/>
    <x v="2"/>
    <x v="0"/>
    <n v="0"/>
    <n v="0"/>
    <n v="2413.0639999999999"/>
    <n v="2413.0639999999999"/>
    <n v="2413.0639999999999"/>
    <n v="2413.0639999999999"/>
    <n v="4949"/>
    <x v="0"/>
    <n v="0"/>
    <n v="0"/>
    <n v="67"/>
    <n v="111"/>
    <n v="0"/>
    <n v="463.6"/>
    <n v="176.58"/>
    <m/>
    <n v="502.18276542172094"/>
    <n v="230.72991454293387"/>
    <n v="0"/>
    <n v="1118696.4704"/>
    <n v="426098.84112"/>
    <n v="0"/>
    <n v="1211799.1526595997"/>
    <n v="556766.0505066301"/>
  </r>
  <r>
    <s v="Sistema Isolado - Refaturamento"/>
    <x v="4"/>
    <x v="4"/>
    <x v="0"/>
    <x v="0"/>
    <x v="0"/>
    <x v="0"/>
    <x v="2"/>
    <x v="0"/>
    <n v="0"/>
    <n v="0"/>
    <n v="-2.9620000000000002"/>
    <n v="-2.9620000000000002"/>
    <n v="-2.9620000000000002"/>
    <n v="-2.9620000000000002"/>
    <n v="-1"/>
    <x v="0"/>
    <n v="0"/>
    <n v="0"/>
    <n v="67"/>
    <n v="111"/>
    <n v="0"/>
    <n v="463.6"/>
    <n v="176.58"/>
    <m/>
    <n v="502.18276542172094"/>
    <n v="230.72991454293387"/>
    <n v="0"/>
    <n v="-1373.1832000000002"/>
    <n v="-523.02996000000007"/>
    <n v="0"/>
    <n v="-1487.4653511791375"/>
    <n v="-683.42200687617014"/>
  </r>
  <r>
    <s v="Sistema de Compensação"/>
    <x v="4"/>
    <x v="4"/>
    <x v="0"/>
    <x v="0"/>
    <x v="0"/>
    <x v="0"/>
    <x v="2"/>
    <x v="0"/>
    <n v="0"/>
    <n v="0"/>
    <n v="377.08199999999999"/>
    <n v="377.08199999999999"/>
    <n v="377.08199999999999"/>
    <n v="377.08199999999999"/>
    <n v="427"/>
    <x v="0"/>
    <n v="0"/>
    <n v="0"/>
    <n v="67"/>
    <n v="111"/>
    <n v="0"/>
    <n v="463.6"/>
    <n v="176.58"/>
    <m/>
    <n v="502.18276542172094"/>
    <n v="230.72991454293387"/>
    <n v="0"/>
    <n v="174815.21520000001"/>
    <n v="66585.139560000011"/>
    <n v="0"/>
    <n v="189364.08155075338"/>
    <n v="87004.097635678583"/>
  </r>
  <r>
    <s v="Sistema de Compensação"/>
    <x v="4"/>
    <x v="4"/>
    <x v="0"/>
    <x v="0"/>
    <x v="0"/>
    <x v="0"/>
    <x v="2"/>
    <x v="0"/>
    <n v="0"/>
    <n v="0"/>
    <n v="-12.066000000000001"/>
    <n v="-12.066000000000001"/>
    <n v="-12.066000000000001"/>
    <n v="-12.066000000000001"/>
    <n v="0"/>
    <x v="0"/>
    <n v="0"/>
    <n v="0"/>
    <n v="67"/>
    <n v="111"/>
    <n v="0"/>
    <n v="463.6"/>
    <n v="176.58"/>
    <m/>
    <n v="502.18276542172094"/>
    <n v="230.72991454293387"/>
    <n v="0"/>
    <n v="-5593.7976000000008"/>
    <n v="-2130.6142800000002"/>
    <n v="0"/>
    <n v="-6059.3372475784854"/>
    <n v="-2783.98714887504"/>
  </r>
  <r>
    <s v="Regular"/>
    <x v="4"/>
    <x v="4"/>
    <x v="0"/>
    <x v="0"/>
    <x v="0"/>
    <x v="0"/>
    <x v="2"/>
    <x v="1"/>
    <n v="0"/>
    <n v="0"/>
    <n v="9558.0079999999998"/>
    <n v="9558.0079999999998"/>
    <n v="9558.0079999999998"/>
    <n v="9558.0079999999998"/>
    <n v="16953"/>
    <x v="0"/>
    <n v="0"/>
    <n v="0"/>
    <n v="67"/>
    <n v="111"/>
    <n v="0"/>
    <n v="463.6"/>
    <n v="176.58"/>
    <m/>
    <n v="502.18276542172094"/>
    <n v="230.72991454293387"/>
    <n v="0"/>
    <n v="4431092.5088"/>
    <n v="1687753.0526400001"/>
    <n v="0"/>
    <n v="4799866.8893629322"/>
    <n v="2205318.3690406783"/>
  </r>
  <r>
    <s v="Refaturamento - Regular"/>
    <x v="4"/>
    <x v="4"/>
    <x v="0"/>
    <x v="0"/>
    <x v="0"/>
    <x v="0"/>
    <x v="2"/>
    <x v="1"/>
    <n v="0"/>
    <n v="0"/>
    <n v="-19.021999999999998"/>
    <n v="-19.021999999999998"/>
    <n v="-19.021999999999998"/>
    <n v="-19.021999999999998"/>
    <n v="-7"/>
    <x v="0"/>
    <n v="0"/>
    <n v="0"/>
    <n v="67"/>
    <n v="111"/>
    <n v="0"/>
    <n v="463.6"/>
    <n v="176.58"/>
    <m/>
    <n v="502.18276542172094"/>
    <n v="230.72991454293387"/>
    <n v="0"/>
    <n v="-8818.5992000000006"/>
    <n v="-3358.9047599999999"/>
    <n v="0"/>
    <n v="-9552.5205638519747"/>
    <n v="-4388.944434435688"/>
  </r>
  <r>
    <s v="Sistema Isolado - Regular"/>
    <x v="4"/>
    <x v="4"/>
    <x v="0"/>
    <x v="0"/>
    <x v="0"/>
    <x v="0"/>
    <x v="2"/>
    <x v="1"/>
    <n v="0"/>
    <n v="0"/>
    <n v="2364.6089999999999"/>
    <n v="2364.6089999999999"/>
    <n v="2364.6089999999999"/>
    <n v="2364.6089999999999"/>
    <n v="4961"/>
    <x v="0"/>
    <n v="0"/>
    <n v="0"/>
    <n v="67"/>
    <n v="111"/>
    <n v="0"/>
    <n v="463.6"/>
    <n v="176.58"/>
    <m/>
    <n v="502.18276542172094"/>
    <n v="230.72991454293387"/>
    <n v="0"/>
    <n v="1096232.7324000001"/>
    <n v="417542.65721999999"/>
    <n v="0"/>
    <n v="1187465.88676109"/>
    <n v="545586.03249745234"/>
  </r>
  <r>
    <s v="Sistema Isolado - Refaturamento"/>
    <x v="4"/>
    <x v="4"/>
    <x v="0"/>
    <x v="0"/>
    <x v="0"/>
    <x v="0"/>
    <x v="2"/>
    <x v="1"/>
    <n v="0"/>
    <n v="0"/>
    <n v="-1.181"/>
    <n v="-1.181"/>
    <n v="-1.181"/>
    <n v="-1.181"/>
    <n v="-1"/>
    <x v="0"/>
    <n v="0"/>
    <n v="0"/>
    <n v="67"/>
    <n v="111"/>
    <n v="0"/>
    <n v="463.6"/>
    <n v="176.58"/>
    <m/>
    <n v="502.18276542172094"/>
    <n v="230.72991454293387"/>
    <n v="0"/>
    <n v="-547.51160000000004"/>
    <n v="-208.54098000000002"/>
    <n v="0"/>
    <n v="-593.07784596305248"/>
    <n v="-272.49202907520493"/>
  </r>
  <r>
    <s v="Sistema de Compensação"/>
    <x v="4"/>
    <x v="4"/>
    <x v="0"/>
    <x v="0"/>
    <x v="0"/>
    <x v="0"/>
    <x v="2"/>
    <x v="1"/>
    <n v="0"/>
    <n v="0"/>
    <n v="369.82799999999997"/>
    <n v="369.82799999999997"/>
    <n v="369.82799999999997"/>
    <n v="369.82799999999997"/>
    <n v="457"/>
    <x v="0"/>
    <n v="0"/>
    <n v="0"/>
    <n v="67"/>
    <n v="111"/>
    <n v="0"/>
    <n v="463.6"/>
    <n v="176.58"/>
    <m/>
    <n v="502.18276542172094"/>
    <n v="230.72991454293387"/>
    <n v="0"/>
    <n v="171452.26079999999"/>
    <n v="65304.228239999997"/>
    <n v="0"/>
    <n v="185721.24777038419"/>
    <n v="85330.38283558414"/>
  </r>
  <r>
    <s v="Sistema de Compensação"/>
    <x v="4"/>
    <x v="4"/>
    <x v="0"/>
    <x v="0"/>
    <x v="0"/>
    <x v="0"/>
    <x v="2"/>
    <x v="1"/>
    <n v="0"/>
    <n v="0"/>
    <n v="-3.1739999999999999"/>
    <n v="-3.1739999999999999"/>
    <n v="-3.1739999999999999"/>
    <n v="-3.1739999999999999"/>
    <n v="-3"/>
    <x v="0"/>
    <n v="0"/>
    <n v="0"/>
    <n v="67"/>
    <n v="111"/>
    <n v="0"/>
    <n v="463.6"/>
    <n v="176.58"/>
    <m/>
    <n v="502.18276542172094"/>
    <n v="230.72991454293387"/>
    <n v="0"/>
    <n v="-1471.4664"/>
    <n v="-560.46492000000001"/>
    <n v="0"/>
    <n v="-1593.9280974485423"/>
    <n v="-732.33674875927204"/>
  </r>
  <r>
    <s v="Regular"/>
    <x v="4"/>
    <x v="4"/>
    <x v="0"/>
    <x v="0"/>
    <x v="0"/>
    <x v="0"/>
    <x v="2"/>
    <x v="2"/>
    <n v="0"/>
    <n v="0"/>
    <n v="9240.1290000000008"/>
    <n v="9240.1290000000008"/>
    <n v="9240.1290000000008"/>
    <n v="9240.1290000000008"/>
    <n v="16962"/>
    <x v="0"/>
    <n v="0"/>
    <n v="0"/>
    <n v="67"/>
    <n v="111"/>
    <n v="0"/>
    <n v="463.6"/>
    <n v="176.58"/>
    <m/>
    <n v="502.18276542172094"/>
    <n v="230.72991454293387"/>
    <n v="0"/>
    <n v="4283723.8044000007"/>
    <n v="1631621.9788200003"/>
    <n v="0"/>
    <n v="4640233.5340734413"/>
    <n v="2131974.1745356852"/>
  </r>
  <r>
    <s v="Refaturamento - Regular"/>
    <x v="4"/>
    <x v="4"/>
    <x v="0"/>
    <x v="0"/>
    <x v="0"/>
    <x v="0"/>
    <x v="2"/>
    <x v="2"/>
    <n v="0"/>
    <n v="0"/>
    <n v="-75.787000000000006"/>
    <n v="-75.787000000000006"/>
    <n v="-75.787000000000006"/>
    <n v="-75.787000000000006"/>
    <n v="-30"/>
    <x v="0"/>
    <n v="0"/>
    <n v="0"/>
    <n v="67"/>
    <n v="111"/>
    <n v="0"/>
    <n v="463.6"/>
    <n v="176.58"/>
    <m/>
    <n v="502.18276542172094"/>
    <n v="230.72991454293387"/>
    <n v="0"/>
    <n v="-35134.853200000005"/>
    <n v="-13382.468460000002"/>
    <n v="0"/>
    <n v="-38058.925243015969"/>
    <n v="-17486.328033465332"/>
  </r>
  <r>
    <s v="Sistema Isolado - Regular"/>
    <x v="4"/>
    <x v="4"/>
    <x v="0"/>
    <x v="0"/>
    <x v="0"/>
    <x v="0"/>
    <x v="2"/>
    <x v="2"/>
    <n v="0"/>
    <n v="0"/>
    <n v="2179.73"/>
    <n v="2179.73"/>
    <n v="2179.73"/>
    <n v="2179.73"/>
    <n v="4947"/>
    <x v="0"/>
    <n v="0"/>
    <n v="0"/>
    <n v="67"/>
    <n v="111"/>
    <n v="0"/>
    <n v="463.6"/>
    <n v="176.58"/>
    <m/>
    <n v="502.18276542172094"/>
    <n v="230.72991454293387"/>
    <n v="0"/>
    <n v="1010522.8280000001"/>
    <n v="384896.72340000002"/>
    <n v="0"/>
    <n v="1094622.8392726879"/>
    <n v="502928.91662666923"/>
  </r>
  <r>
    <s v="Sistema Isolado - Refaturamento"/>
    <x v="4"/>
    <x v="4"/>
    <x v="0"/>
    <x v="0"/>
    <x v="0"/>
    <x v="0"/>
    <x v="2"/>
    <x v="2"/>
    <n v="0"/>
    <n v="0"/>
    <n v="-2.1469999999999998"/>
    <n v="-2.1469999999999998"/>
    <n v="-2.1469999999999998"/>
    <n v="-2.1469999999999998"/>
    <n v="-1"/>
    <x v="0"/>
    <n v="0"/>
    <n v="0"/>
    <n v="67"/>
    <n v="111"/>
    <n v="0"/>
    <n v="463.6"/>
    <n v="176.58"/>
    <m/>
    <n v="502.18276542172094"/>
    <n v="230.72991454293387"/>
    <n v="0"/>
    <n v="-995.3492"/>
    <n v="-379.11725999999999"/>
    <n v="0"/>
    <n v="-1078.1863973604347"/>
    <n v="-495.37712652367895"/>
  </r>
  <r>
    <s v="Sistema de Compensação"/>
    <x v="4"/>
    <x v="4"/>
    <x v="0"/>
    <x v="0"/>
    <x v="0"/>
    <x v="0"/>
    <x v="2"/>
    <x v="2"/>
    <n v="0"/>
    <n v="0"/>
    <n v="364.43099999999998"/>
    <n v="364.43099999999998"/>
    <n v="364.43099999999998"/>
    <n v="364.43099999999998"/>
    <n v="483"/>
    <x v="0"/>
    <n v="0"/>
    <n v="0"/>
    <n v="67"/>
    <n v="111"/>
    <n v="0"/>
    <n v="463.6"/>
    <n v="176.58"/>
    <m/>
    <n v="502.18276542172094"/>
    <n v="230.72991454293387"/>
    <n v="0"/>
    <n v="168950.21160000001"/>
    <n v="64351.225980000003"/>
    <n v="0"/>
    <n v="183010.96738540317"/>
    <n v="84085.133486795923"/>
  </r>
  <r>
    <s v="Sistema de Compensação"/>
    <x v="4"/>
    <x v="4"/>
    <x v="0"/>
    <x v="0"/>
    <x v="0"/>
    <x v="0"/>
    <x v="2"/>
    <x v="2"/>
    <n v="0"/>
    <n v="0"/>
    <n v="7.234"/>
    <n v="7.234"/>
    <n v="7.234"/>
    <n v="7.234"/>
    <n v="0"/>
    <x v="0"/>
    <n v="0"/>
    <n v="0"/>
    <n v="67"/>
    <n v="111"/>
    <n v="0"/>
    <n v="463.6"/>
    <n v="176.58"/>
    <m/>
    <n v="502.18276542172094"/>
    <n v="230.72991454293387"/>
    <n v="0"/>
    <n v="3353.6824000000001"/>
    <n v="1277.3797200000001"/>
    <n v="0"/>
    <n v="3632.7901250607292"/>
    <n v="1669.1002018035836"/>
  </r>
  <r>
    <s v="Regular"/>
    <x v="4"/>
    <x v="4"/>
    <x v="0"/>
    <x v="0"/>
    <x v="0"/>
    <x v="0"/>
    <x v="2"/>
    <x v="3"/>
    <n v="0"/>
    <n v="0"/>
    <n v="9562.4619999999995"/>
    <n v="9562.4619999999995"/>
    <n v="9562.4619999999995"/>
    <n v="9562.4619999999995"/>
    <n v="17045"/>
    <x v="0"/>
    <n v="0"/>
    <n v="0"/>
    <n v="67"/>
    <n v="111"/>
    <n v="0"/>
    <n v="463.6"/>
    <n v="176.58"/>
    <m/>
    <n v="502.18276542172094"/>
    <n v="230.72991454293387"/>
    <n v="0"/>
    <n v="4433157.3832"/>
    <n v="1688539.53996"/>
    <n v="0"/>
    <n v="4802103.61140012"/>
    <n v="2206346.0400800523"/>
  </r>
  <r>
    <s v="Refaturamento - Regular"/>
    <x v="4"/>
    <x v="4"/>
    <x v="0"/>
    <x v="0"/>
    <x v="0"/>
    <x v="0"/>
    <x v="2"/>
    <x v="3"/>
    <n v="0"/>
    <n v="0"/>
    <n v="-171.40899999999999"/>
    <n v="-171.40899999999999"/>
    <n v="-171.40899999999999"/>
    <n v="-171.40899999999999"/>
    <n v="-11"/>
    <x v="0"/>
    <n v="0"/>
    <n v="0"/>
    <n v="67"/>
    <n v="111"/>
    <n v="0"/>
    <n v="463.6"/>
    <n v="176.58"/>
    <m/>
    <n v="502.18276542172094"/>
    <n v="230.72991454293387"/>
    <n v="0"/>
    <n v="-79465.212400000004"/>
    <n v="-30267.40122"/>
    <n v="0"/>
    <n v="-86078.645638171758"/>
    <n v="-39549.183921889751"/>
  </r>
  <r>
    <s v="Sistema Isolado - Regular"/>
    <x v="4"/>
    <x v="4"/>
    <x v="0"/>
    <x v="0"/>
    <x v="0"/>
    <x v="0"/>
    <x v="2"/>
    <x v="3"/>
    <n v="0"/>
    <n v="0"/>
    <n v="2278.6219999999998"/>
    <n v="2278.6219999999998"/>
    <n v="2278.6219999999998"/>
    <n v="2278.6219999999998"/>
    <n v="4934"/>
    <x v="0"/>
    <n v="0"/>
    <n v="0"/>
    <n v="67"/>
    <n v="111"/>
    <n v="0"/>
    <n v="463.6"/>
    <n v="176.58"/>
    <m/>
    <n v="502.18276542172094"/>
    <n v="230.72991454293387"/>
    <n v="0"/>
    <n v="1056369.1591999999"/>
    <n v="402359.07276000001"/>
    <n v="0"/>
    <n v="1144284.6973107725"/>
    <n v="525746.25933564897"/>
  </r>
  <r>
    <s v="Sistema Isolado - Refaturamento"/>
    <x v="4"/>
    <x v="4"/>
    <x v="0"/>
    <x v="0"/>
    <x v="0"/>
    <x v="0"/>
    <x v="2"/>
    <x v="3"/>
    <n v="0"/>
    <n v="0"/>
    <n v="1.097"/>
    <n v="1.097"/>
    <n v="1.097"/>
    <n v="1.097"/>
    <n v="0"/>
    <x v="0"/>
    <n v="0"/>
    <n v="0"/>
    <n v="67"/>
    <n v="111"/>
    <n v="0"/>
    <n v="463.6"/>
    <n v="176.58"/>
    <m/>
    <n v="502.18276542172094"/>
    <n v="230.72991454293387"/>
    <n v="0"/>
    <n v="508.56920000000002"/>
    <n v="193.70826"/>
    <n v="0"/>
    <n v="550.8944936676279"/>
    <n v="253.11071625359844"/>
  </r>
  <r>
    <s v="Sistema de Compensação"/>
    <x v="4"/>
    <x v="4"/>
    <x v="0"/>
    <x v="0"/>
    <x v="0"/>
    <x v="0"/>
    <x v="2"/>
    <x v="3"/>
    <n v="0"/>
    <n v="0"/>
    <n v="407.46"/>
    <n v="407.46"/>
    <n v="407.46"/>
    <n v="407.46"/>
    <n v="518"/>
    <x v="0"/>
    <n v="0"/>
    <n v="0"/>
    <n v="67"/>
    <n v="111"/>
    <n v="0"/>
    <n v="463.6"/>
    <n v="176.58"/>
    <m/>
    <n v="502.18276542172094"/>
    <n v="230.72991454293387"/>
    <n v="0"/>
    <n v="188898.45600000001"/>
    <n v="71949.286800000002"/>
    <n v="0"/>
    <n v="204619.38959873441"/>
    <n v="94013.210979663825"/>
  </r>
  <r>
    <s v="Sistema de Compensação"/>
    <x v="4"/>
    <x v="4"/>
    <x v="0"/>
    <x v="0"/>
    <x v="0"/>
    <x v="0"/>
    <x v="2"/>
    <x v="3"/>
    <n v="0"/>
    <n v="0"/>
    <n v="2.3330000000000002"/>
    <n v="2.3330000000000002"/>
    <n v="2.3330000000000002"/>
    <n v="2.3330000000000002"/>
    <n v="1"/>
    <x v="0"/>
    <n v="0"/>
    <n v="0"/>
    <n v="67"/>
    <n v="111"/>
    <n v="0"/>
    <n v="463.6"/>
    <n v="176.58"/>
    <m/>
    <n v="502.18276542172094"/>
    <n v="230.72991454293387"/>
    <n v="0"/>
    <n v="1081.5788000000002"/>
    <n v="411.96114000000006"/>
    <n v="0"/>
    <n v="1171.5923917288751"/>
    <n v="538.29289062866474"/>
  </r>
  <r>
    <s v="Regular"/>
    <x v="4"/>
    <x v="4"/>
    <x v="0"/>
    <x v="0"/>
    <x v="0"/>
    <x v="0"/>
    <x v="2"/>
    <x v="4"/>
    <n v="0"/>
    <n v="0"/>
    <n v="9765.7469999999994"/>
    <n v="9765.7469999999994"/>
    <n v="9765.7469999999994"/>
    <n v="9765.7469999999994"/>
    <n v="17068"/>
    <x v="0"/>
    <n v="0"/>
    <n v="0"/>
    <n v="67"/>
    <n v="111"/>
    <n v="0"/>
    <n v="463.6"/>
    <n v="176.58"/>
    <m/>
    <n v="502.18276542172094"/>
    <n v="230.72991454293387"/>
    <n v="0"/>
    <n v="4527400.3092"/>
    <n v="1724435.6052600001"/>
    <n v="0"/>
    <n v="4904189.8348688744"/>
    <n v="2253249.9707579128"/>
  </r>
  <r>
    <s v="Refaturamento - Regular"/>
    <x v="4"/>
    <x v="4"/>
    <x v="0"/>
    <x v="0"/>
    <x v="0"/>
    <x v="0"/>
    <x v="2"/>
    <x v="4"/>
    <n v="0"/>
    <n v="0"/>
    <n v="-49.198999999999998"/>
    <n v="-49.198999999999998"/>
    <n v="-49.198999999999998"/>
    <n v="-49.198999999999998"/>
    <n v="-5"/>
    <x v="0"/>
    <n v="0"/>
    <n v="0"/>
    <n v="67"/>
    <n v="111"/>
    <n v="0"/>
    <n v="463.6"/>
    <n v="176.58"/>
    <m/>
    <n v="502.18276542172094"/>
    <n v="230.72991454293387"/>
    <n v="0"/>
    <n v="-22808.6564"/>
    <n v="-8687.5594199999996"/>
    <n v="0"/>
    <n v="-24706.889875983248"/>
    <n v="-11351.681065597802"/>
  </r>
  <r>
    <s v="Sistema Isolado - Regular"/>
    <x v="4"/>
    <x v="4"/>
    <x v="0"/>
    <x v="0"/>
    <x v="0"/>
    <x v="0"/>
    <x v="2"/>
    <x v="4"/>
    <n v="0"/>
    <n v="0"/>
    <n v="2344.4650000000001"/>
    <n v="2344.4650000000001"/>
    <n v="2344.4650000000001"/>
    <n v="2344.4650000000001"/>
    <n v="4941"/>
    <x v="0"/>
    <n v="0"/>
    <n v="0"/>
    <n v="67"/>
    <n v="111"/>
    <n v="0"/>
    <n v="463.6"/>
    <n v="176.58"/>
    <m/>
    <n v="502.18276542172094"/>
    <n v="230.72991454293387"/>
    <n v="0"/>
    <n v="1086893.9740000002"/>
    <n v="413985.62970000005"/>
    <n v="0"/>
    <n v="1177349.9171344351"/>
    <n v="540938.2090988995"/>
  </r>
  <r>
    <s v="Sistema Isolado - Refaturamento"/>
    <x v="4"/>
    <x v="4"/>
    <x v="0"/>
    <x v="0"/>
    <x v="0"/>
    <x v="0"/>
    <x v="2"/>
    <x v="4"/>
    <n v="0"/>
    <n v="0"/>
    <n v="-2.5739999999999998"/>
    <n v="-2.5739999999999998"/>
    <n v="-2.5739999999999998"/>
    <n v="-2.5739999999999998"/>
    <n v="0"/>
    <x v="0"/>
    <n v="0"/>
    <n v="0"/>
    <n v="67"/>
    <n v="111"/>
    <n v="0"/>
    <n v="463.6"/>
    <n v="176.58"/>
    <m/>
    <n v="502.18276542172094"/>
    <n v="230.72991454293387"/>
    <n v="0"/>
    <n v="-1193.3063999999999"/>
    <n v="-454.51692000000003"/>
    <n v="0"/>
    <n v="-1292.6184381955097"/>
    <n v="-593.89880003351175"/>
  </r>
  <r>
    <s v="Sistema de Compensação"/>
    <x v="4"/>
    <x v="4"/>
    <x v="0"/>
    <x v="0"/>
    <x v="0"/>
    <x v="0"/>
    <x v="2"/>
    <x v="4"/>
    <n v="0"/>
    <n v="0"/>
    <n v="455.43200000000002"/>
    <n v="455.43200000000002"/>
    <n v="455.43200000000002"/>
    <n v="455.43200000000002"/>
    <n v="550"/>
    <x v="0"/>
    <n v="0"/>
    <n v="0"/>
    <n v="67"/>
    <n v="111"/>
    <n v="0"/>
    <n v="463.6"/>
    <n v="176.58"/>
    <m/>
    <n v="502.18276542172094"/>
    <n v="230.72991454293387"/>
    <n v="0"/>
    <n v="211138.2752"/>
    <n v="80420.182560000016"/>
    <n v="0"/>
    <n v="228710.10122154522"/>
    <n v="105081.78644011746"/>
  </r>
  <r>
    <s v="Sistema de Compensação"/>
    <x v="4"/>
    <x v="4"/>
    <x v="0"/>
    <x v="0"/>
    <x v="0"/>
    <x v="0"/>
    <x v="2"/>
    <x v="4"/>
    <n v="0"/>
    <n v="0"/>
    <n v="-7.0460000000000003"/>
    <n v="-7.0460000000000003"/>
    <n v="-7.0460000000000003"/>
    <n v="-7.0460000000000003"/>
    <n v="0"/>
    <x v="0"/>
    <n v="0"/>
    <n v="0"/>
    <n v="67"/>
    <n v="111"/>
    <n v="0"/>
    <n v="463.6"/>
    <n v="176.58"/>
    <m/>
    <n v="502.18276542172094"/>
    <n v="230.72991454293387"/>
    <n v="0"/>
    <n v="-3266.5256000000004"/>
    <n v="-1244.1826800000001"/>
    <n v="0"/>
    <n v="-3538.3797651614459"/>
    <n v="-1625.7229778695121"/>
  </r>
  <r>
    <s v="Regular"/>
    <x v="4"/>
    <x v="4"/>
    <x v="0"/>
    <x v="0"/>
    <x v="0"/>
    <x v="0"/>
    <x v="2"/>
    <x v="5"/>
    <n v="0"/>
    <n v="0"/>
    <n v="9820.3739999999998"/>
    <n v="9820.3739999999998"/>
    <n v="9820.3739999999998"/>
    <n v="9820.3739999999998"/>
    <n v="17078"/>
    <x v="0"/>
    <n v="0"/>
    <n v="0"/>
    <n v="67"/>
    <n v="111"/>
    <n v="0"/>
    <n v="463.6"/>
    <n v="176.58"/>
    <m/>
    <n v="502.18276542172094"/>
    <n v="230.72991454293387"/>
    <n v="0"/>
    <n v="4552725.3864000002"/>
    <n v="1734081.6409200002"/>
    <n v="0"/>
    <n v="4931622.5727955671"/>
    <n v="2265854.0537996497"/>
  </r>
  <r>
    <s v="Refaturamento - Regular"/>
    <x v="4"/>
    <x v="4"/>
    <x v="0"/>
    <x v="0"/>
    <x v="0"/>
    <x v="0"/>
    <x v="2"/>
    <x v="5"/>
    <n v="0"/>
    <n v="0"/>
    <n v="-127.26900000000001"/>
    <n v="-127.26900000000001"/>
    <n v="-127.26900000000001"/>
    <n v="-127.26900000000001"/>
    <n v="-41"/>
    <x v="0"/>
    <n v="0"/>
    <n v="0"/>
    <n v="67"/>
    <n v="111"/>
    <n v="0"/>
    <n v="463.6"/>
    <n v="176.58"/>
    <m/>
    <n v="502.18276542172094"/>
    <n v="230.72991454293387"/>
    <n v="0"/>
    <n v="-59001.908400000008"/>
    <n v="-22473.160020000003"/>
    <n v="0"/>
    <n v="-63912.298372457008"/>
    <n v="-29364.765493964653"/>
  </r>
  <r>
    <s v="Sistema Isolado - Regular"/>
    <x v="4"/>
    <x v="4"/>
    <x v="0"/>
    <x v="0"/>
    <x v="0"/>
    <x v="0"/>
    <x v="2"/>
    <x v="5"/>
    <n v="0"/>
    <n v="0"/>
    <n v="2360.4650000000001"/>
    <n v="2360.4650000000001"/>
    <n v="2360.4650000000001"/>
    <n v="2360.4650000000001"/>
    <n v="4977"/>
    <x v="0"/>
    <n v="0"/>
    <n v="0"/>
    <n v="67"/>
    <n v="111"/>
    <n v="0"/>
    <n v="463.6"/>
    <n v="176.58"/>
    <m/>
    <n v="502.18276542172094"/>
    <n v="230.72991454293387"/>
    <n v="0"/>
    <n v="1094311.574"/>
    <n v="416810.90970000008"/>
    <n v="0"/>
    <n v="1185384.8413811827"/>
    <n v="544629.88773158647"/>
  </r>
  <r>
    <s v="Sistema Isolado - Refaturamento"/>
    <x v="4"/>
    <x v="4"/>
    <x v="0"/>
    <x v="0"/>
    <x v="0"/>
    <x v="0"/>
    <x v="2"/>
    <x v="5"/>
    <n v="0"/>
    <n v="0"/>
    <n v="-0.315"/>
    <n v="-0.315"/>
    <n v="-0.315"/>
    <n v="-0.315"/>
    <n v="0"/>
    <x v="0"/>
    <n v="0"/>
    <n v="0"/>
    <n v="67"/>
    <n v="111"/>
    <n v="0"/>
    <n v="463.6"/>
    <n v="176.58"/>
    <m/>
    <n v="502.18276542172094"/>
    <n v="230.72991454293387"/>
    <n v="0"/>
    <n v="-146.03400000000002"/>
    <n v="-55.622700000000002"/>
    <n v="0"/>
    <n v="-158.1875711078421"/>
    <n v="-72.679923081024171"/>
  </r>
  <r>
    <s v="Sistema de Compensação"/>
    <x v="4"/>
    <x v="4"/>
    <x v="0"/>
    <x v="0"/>
    <x v="0"/>
    <x v="0"/>
    <x v="2"/>
    <x v="5"/>
    <n v="0"/>
    <n v="0"/>
    <n v="440.52600000000001"/>
    <n v="440.52600000000001"/>
    <n v="440.52600000000001"/>
    <n v="440.52600000000001"/>
    <n v="590"/>
    <x v="0"/>
    <n v="0"/>
    <n v="0"/>
    <n v="67"/>
    <n v="111"/>
    <n v="0"/>
    <n v="463.6"/>
    <n v="176.58"/>
    <m/>
    <n v="502.18276542172094"/>
    <n v="230.72991454293387"/>
    <n v="0"/>
    <n v="204227.8536"/>
    <n v="77788.081080000004"/>
    <n v="0"/>
    <n v="221224.56492016904"/>
    <n v="101642.52633394049"/>
  </r>
  <r>
    <s v="Sistema de Compensação"/>
    <x v="4"/>
    <x v="4"/>
    <x v="0"/>
    <x v="0"/>
    <x v="0"/>
    <x v="0"/>
    <x v="2"/>
    <x v="5"/>
    <n v="0"/>
    <n v="0"/>
    <n v="-0.76300000000000001"/>
    <n v="-0.76300000000000001"/>
    <n v="-0.76300000000000001"/>
    <n v="-0.76300000000000001"/>
    <n v="0"/>
    <x v="0"/>
    <n v="0"/>
    <n v="0"/>
    <n v="67"/>
    <n v="111"/>
    <n v="0"/>
    <n v="463.6"/>
    <n v="176.58"/>
    <m/>
    <n v="502.18276542172094"/>
    <n v="230.72991454293387"/>
    <n v="0"/>
    <n v="-353.72680000000003"/>
    <n v="-134.73054000000002"/>
    <n v="0"/>
    <n v="-383.16545001677309"/>
    <n v="-176.04692479625854"/>
  </r>
  <r>
    <s v="Regular"/>
    <x v="4"/>
    <x v="4"/>
    <x v="0"/>
    <x v="0"/>
    <x v="0"/>
    <x v="0"/>
    <x v="2"/>
    <x v="6"/>
    <n v="0"/>
    <n v="0"/>
    <n v="9055.1980000000003"/>
    <n v="9055.1980000000003"/>
    <n v="9055.1980000000003"/>
    <n v="9055.1980000000003"/>
    <n v="17081"/>
    <x v="0"/>
    <n v="0"/>
    <n v="0"/>
    <n v="67"/>
    <n v="111"/>
    <n v="0"/>
    <n v="463.6"/>
    <n v="176.58"/>
    <m/>
    <n v="502.18276542172094"/>
    <n v="230.72991454293387"/>
    <n v="0"/>
    <n v="4197989.7927999999"/>
    <n v="1598966.8628400001"/>
    <n v="0"/>
    <n v="4547364.3730812371"/>
    <n v="2089305.0607093459"/>
  </r>
  <r>
    <s v="Refaturamento - Regular"/>
    <x v="4"/>
    <x v="4"/>
    <x v="0"/>
    <x v="0"/>
    <x v="0"/>
    <x v="0"/>
    <x v="2"/>
    <x v="6"/>
    <n v="0"/>
    <n v="0"/>
    <n v="-12.457000000000001"/>
    <n v="-12.457000000000001"/>
    <n v="-12.457000000000001"/>
    <n v="-12.457000000000001"/>
    <n v="-14"/>
    <x v="0"/>
    <n v="0"/>
    <n v="0"/>
    <n v="67"/>
    <n v="111"/>
    <n v="0"/>
    <n v="463.6"/>
    <n v="176.58"/>
    <m/>
    <n v="502.18276542172094"/>
    <n v="230.72991454293387"/>
    <n v="0"/>
    <n v="-5775.0652000000009"/>
    <n v="-2199.6570600000005"/>
    <n v="0"/>
    <n v="-6255.6907088583785"/>
    <n v="-2874.2025454613272"/>
  </r>
  <r>
    <s v="Sistema Isolado - Regular"/>
    <x v="4"/>
    <x v="4"/>
    <x v="0"/>
    <x v="0"/>
    <x v="0"/>
    <x v="0"/>
    <x v="2"/>
    <x v="6"/>
    <n v="0"/>
    <n v="0"/>
    <n v="2249.4110000000001"/>
    <n v="2249.4110000000001"/>
    <n v="2249.4110000000001"/>
    <n v="2249.4110000000001"/>
    <n v="4993"/>
    <x v="0"/>
    <n v="0"/>
    <n v="0"/>
    <n v="67"/>
    <n v="111"/>
    <n v="0"/>
    <n v="463.6"/>
    <n v="176.58"/>
    <m/>
    <n v="502.18276542172094"/>
    <n v="230.72991454293387"/>
    <n v="0"/>
    <n v="1042826.9396"/>
    <n v="397200.99438000005"/>
    <n v="0"/>
    <n v="1129615.4365500389"/>
    <n v="519006.40780193545"/>
  </r>
  <r>
    <s v="Sistema Isolado - Refaturamento"/>
    <x v="4"/>
    <x v="4"/>
    <x v="0"/>
    <x v="0"/>
    <x v="0"/>
    <x v="0"/>
    <x v="2"/>
    <x v="6"/>
    <n v="0"/>
    <n v="0"/>
    <n v="-5.3479999999999999"/>
    <n v="-5.3479999999999999"/>
    <n v="-5.3479999999999999"/>
    <n v="-5.3479999999999999"/>
    <n v="-2"/>
    <x v="0"/>
    <n v="0"/>
    <n v="0"/>
    <n v="67"/>
    <n v="111"/>
    <n v="0"/>
    <n v="463.6"/>
    <n v="176.58"/>
    <m/>
    <n v="502.18276542172094"/>
    <n v="230.72991454293387"/>
    <n v="0"/>
    <n v="-2479.3328000000001"/>
    <n v="-944.34984000000009"/>
    <n v="0"/>
    <n v="-2685.6734294753637"/>
    <n v="-1233.9435829756103"/>
  </r>
  <r>
    <s v="Sistema de Compensação"/>
    <x v="4"/>
    <x v="4"/>
    <x v="0"/>
    <x v="0"/>
    <x v="0"/>
    <x v="0"/>
    <x v="2"/>
    <x v="6"/>
    <n v="0"/>
    <n v="0"/>
    <n v="484.36599999999999"/>
    <n v="484.36599999999999"/>
    <n v="484.36599999999999"/>
    <n v="484.36599999999999"/>
    <n v="620"/>
    <x v="0"/>
    <n v="0"/>
    <n v="0"/>
    <n v="67"/>
    <n v="111"/>
    <n v="0"/>
    <n v="463.6"/>
    <n v="176.58"/>
    <m/>
    <n v="502.18276542172094"/>
    <n v="230.72991454293387"/>
    <n v="0"/>
    <n v="224552.07760000002"/>
    <n v="85529.348280000006"/>
    <n v="0"/>
    <n v="243240.25735625727"/>
    <n v="111757.7257875027"/>
  </r>
  <r>
    <s v="Sistema de Compensação"/>
    <x v="4"/>
    <x v="4"/>
    <x v="0"/>
    <x v="0"/>
    <x v="0"/>
    <x v="0"/>
    <x v="2"/>
    <x v="6"/>
    <n v="0"/>
    <n v="0"/>
    <n v="-8.0969999999999995"/>
    <n v="-8.0969999999999995"/>
    <n v="-8.0969999999999995"/>
    <n v="-8.0969999999999995"/>
    <n v="-1"/>
    <x v="0"/>
    <n v="0"/>
    <n v="0"/>
    <n v="67"/>
    <n v="111"/>
    <n v="0"/>
    <n v="463.6"/>
    <n v="176.58"/>
    <m/>
    <n v="502.18276542172094"/>
    <n v="230.72991454293387"/>
    <n v="0"/>
    <n v="-3753.7692000000002"/>
    <n v="-1429.7682600000001"/>
    <n v="0"/>
    <n v="-4066.1738516196742"/>
    <n v="-1868.2201180541354"/>
  </r>
  <r>
    <s v="Regular"/>
    <x v="4"/>
    <x v="4"/>
    <x v="0"/>
    <x v="0"/>
    <x v="0"/>
    <x v="0"/>
    <x v="2"/>
    <x v="7"/>
    <n v="0"/>
    <n v="0"/>
    <n v="10252.762000000001"/>
    <n v="10252.762000000001"/>
    <n v="10252.762000000001"/>
    <n v="10252.762000000001"/>
    <n v="17076"/>
    <x v="0"/>
    <n v="0"/>
    <n v="0"/>
    <n v="67"/>
    <n v="111"/>
    <n v="0"/>
    <n v="463.6"/>
    <n v="176.58"/>
    <m/>
    <n v="502.18276542172094"/>
    <n v="230.72991454293387"/>
    <n v="0"/>
    <n v="4753180.4632000001"/>
    <n v="1810432.7139600003"/>
    <n v="0"/>
    <n v="5148760.3743707351"/>
    <n v="2365618.9000890399"/>
  </r>
  <r>
    <s v="Refaturamento - Regular"/>
    <x v="4"/>
    <x v="4"/>
    <x v="0"/>
    <x v="0"/>
    <x v="0"/>
    <x v="0"/>
    <x v="2"/>
    <x v="7"/>
    <n v="0"/>
    <n v="0"/>
    <n v="-74.813999999999993"/>
    <n v="-74.813999999999993"/>
    <n v="-74.813999999999993"/>
    <n v="-74.813999999999993"/>
    <n v="-4"/>
    <x v="0"/>
    <n v="0"/>
    <n v="0"/>
    <n v="67"/>
    <n v="111"/>
    <n v="0"/>
    <n v="463.6"/>
    <n v="176.58"/>
    <m/>
    <n v="502.18276542172094"/>
    <n v="230.72991454293387"/>
    <n v="0"/>
    <n v="-34683.770400000001"/>
    <n v="-13210.65612"/>
    <n v="0"/>
    <n v="-37570.301412260626"/>
    <n v="-17261.827826615052"/>
  </r>
  <r>
    <s v="Sistema Isolado - Regular"/>
    <x v="4"/>
    <x v="4"/>
    <x v="0"/>
    <x v="0"/>
    <x v="0"/>
    <x v="0"/>
    <x v="2"/>
    <x v="7"/>
    <n v="0"/>
    <n v="0"/>
    <n v="2473.7350000000001"/>
    <n v="2473.7350000000001"/>
    <n v="2473.7350000000001"/>
    <n v="2473.7350000000001"/>
    <n v="5002"/>
    <x v="0"/>
    <n v="0"/>
    <n v="0"/>
    <n v="67"/>
    <n v="111"/>
    <n v="0"/>
    <n v="463.6"/>
    <n v="176.58"/>
    <m/>
    <n v="502.18276542172094"/>
    <n v="230.72991454293387"/>
    <n v="0"/>
    <n v="1146823.5460000001"/>
    <n v="436812.12630000006"/>
    <n v="0"/>
    <n v="1242267.083220501"/>
    <n v="570764.66515186452"/>
  </r>
  <r>
    <s v="Sistema Isolado - Refaturamento"/>
    <x v="4"/>
    <x v="4"/>
    <x v="0"/>
    <x v="0"/>
    <x v="0"/>
    <x v="0"/>
    <x v="2"/>
    <x v="7"/>
    <n v="0"/>
    <n v="0"/>
    <n v="-1.02"/>
    <n v="-1.02"/>
    <n v="-1.02"/>
    <n v="-1.02"/>
    <n v="0"/>
    <x v="0"/>
    <n v="0"/>
    <n v="0"/>
    <n v="67"/>
    <n v="111"/>
    <n v="0"/>
    <n v="463.6"/>
    <n v="176.58"/>
    <m/>
    <n v="502.18276542172094"/>
    <n v="230.72991454293387"/>
    <n v="0"/>
    <n v="-472.87200000000001"/>
    <n v="-180.11160000000001"/>
    <n v="0"/>
    <n v="-512.22642073015538"/>
    <n v="-235.34451283379255"/>
  </r>
  <r>
    <s v="Sistema de Compensação"/>
    <x v="4"/>
    <x v="4"/>
    <x v="0"/>
    <x v="0"/>
    <x v="0"/>
    <x v="0"/>
    <x v="2"/>
    <x v="7"/>
    <n v="0"/>
    <n v="0"/>
    <n v="544.82899999999995"/>
    <n v="544.82899999999995"/>
    <n v="544.82899999999995"/>
    <n v="544.82899999999995"/>
    <n v="649"/>
    <x v="0"/>
    <n v="0"/>
    <n v="0"/>
    <n v="67"/>
    <n v="111"/>
    <n v="0"/>
    <n v="463.6"/>
    <n v="176.58"/>
    <m/>
    <n v="502.18276542172094"/>
    <n v="230.72991454293387"/>
    <n v="0"/>
    <n v="252582.72439999998"/>
    <n v="96205.904819999996"/>
    <n v="0"/>
    <n v="273603.73390195076"/>
    <n v="125708.34861051211"/>
  </r>
  <r>
    <s v="Regular"/>
    <x v="4"/>
    <x v="4"/>
    <x v="0"/>
    <x v="0"/>
    <x v="0"/>
    <x v="0"/>
    <x v="2"/>
    <x v="8"/>
    <n v="0"/>
    <n v="0"/>
    <n v="10532.821"/>
    <n v="10532.821"/>
    <n v="10532.821"/>
    <n v="10532.821"/>
    <n v="17061"/>
    <x v="0"/>
    <n v="0"/>
    <n v="0"/>
    <n v="67"/>
    <n v="111"/>
    <n v="0"/>
    <n v="463.6"/>
    <n v="176.58"/>
    <m/>
    <n v="502.18276542172094"/>
    <n v="230.72991454293387"/>
    <n v="0"/>
    <n v="4883015.8156000003"/>
    <n v="1859885.5321800001"/>
    <n v="0"/>
    <n v="5289401.1774719758"/>
    <n v="2430236.8892260194"/>
  </r>
  <r>
    <s v="Refaturamento - Regular"/>
    <x v="4"/>
    <x v="4"/>
    <x v="0"/>
    <x v="0"/>
    <x v="0"/>
    <x v="0"/>
    <x v="2"/>
    <x v="8"/>
    <n v="0"/>
    <n v="0"/>
    <n v="-201.72"/>
    <n v="-201.72"/>
    <n v="-201.72"/>
    <n v="-201.72"/>
    <n v="-14"/>
    <x v="0"/>
    <n v="0"/>
    <n v="0"/>
    <n v="67"/>
    <n v="111"/>
    <n v="0"/>
    <n v="463.6"/>
    <n v="176.58"/>
    <m/>
    <n v="502.18276542172094"/>
    <n v="230.72991454293387"/>
    <n v="0"/>
    <n v="-93517.392000000007"/>
    <n v="-35619.717600000004"/>
    <n v="0"/>
    <n v="-101300.30744086955"/>
    <n v="-46542.838361600618"/>
  </r>
  <r>
    <s v="Sistema Isolado - Regular"/>
    <x v="4"/>
    <x v="4"/>
    <x v="0"/>
    <x v="0"/>
    <x v="0"/>
    <x v="0"/>
    <x v="2"/>
    <x v="8"/>
    <n v="0"/>
    <n v="0"/>
    <n v="2478.7950000000001"/>
    <n v="2478.7950000000001"/>
    <n v="2478.7950000000001"/>
    <n v="2478.7950000000001"/>
    <n v="5004"/>
    <x v="0"/>
    <n v="0"/>
    <n v="0"/>
    <n v="67"/>
    <n v="111"/>
    <n v="0"/>
    <n v="463.6"/>
    <n v="176.58"/>
    <m/>
    <n v="502.18276542172094"/>
    <n v="230.72991454293387"/>
    <n v="0"/>
    <n v="1149169.3620000002"/>
    <n v="437705.62110000005"/>
    <n v="0"/>
    <n v="1244808.1280135347"/>
    <n v="571932.15851945174"/>
  </r>
  <r>
    <s v="Sistema Isolado - Refaturamento"/>
    <x v="4"/>
    <x v="4"/>
    <x v="0"/>
    <x v="0"/>
    <x v="0"/>
    <x v="0"/>
    <x v="2"/>
    <x v="8"/>
    <n v="0"/>
    <n v="0"/>
    <n v="-2.4319999999999999"/>
    <n v="-2.4319999999999999"/>
    <n v="-2.4319999999999999"/>
    <n v="-2.4319999999999999"/>
    <n v="-1"/>
    <x v="0"/>
    <n v="0"/>
    <n v="0"/>
    <n v="67"/>
    <n v="111"/>
    <n v="0"/>
    <n v="463.6"/>
    <n v="176.58"/>
    <m/>
    <n v="502.18276542172094"/>
    <n v="230.72991454293387"/>
    <n v="0"/>
    <n v="-1127.4752000000001"/>
    <n v="-429.44256000000001"/>
    <n v="0"/>
    <n v="-1221.3084855056254"/>
    <n v="-561.13515216841517"/>
  </r>
  <r>
    <s v="Sistema de Compensação"/>
    <x v="4"/>
    <x v="4"/>
    <x v="0"/>
    <x v="0"/>
    <x v="0"/>
    <x v="0"/>
    <x v="2"/>
    <x v="8"/>
    <n v="0"/>
    <n v="0"/>
    <n v="559.06700000000001"/>
    <n v="559.06700000000001"/>
    <n v="559.06700000000001"/>
    <n v="559.06700000000001"/>
    <n v="675"/>
    <x v="0"/>
    <n v="0"/>
    <n v="0"/>
    <n v="67"/>
    <n v="111"/>
    <n v="0"/>
    <n v="463.6"/>
    <n v="176.58"/>
    <m/>
    <n v="502.18276542172094"/>
    <n v="230.72991454293387"/>
    <n v="0"/>
    <n v="259183.46120000002"/>
    <n v="98720.050860000003"/>
    <n v="0"/>
    <n v="280753.81211602525"/>
    <n v="128993.48113377442"/>
  </r>
  <r>
    <s v="Sistema de Compensação"/>
    <x v="4"/>
    <x v="4"/>
    <x v="0"/>
    <x v="0"/>
    <x v="0"/>
    <x v="0"/>
    <x v="2"/>
    <x v="8"/>
    <n v="0"/>
    <n v="0"/>
    <n v="-15.41"/>
    <n v="-15.41"/>
    <n v="-15.41"/>
    <n v="-15.41"/>
    <n v="0"/>
    <x v="0"/>
    <n v="0"/>
    <n v="0"/>
    <n v="67"/>
    <n v="111"/>
    <n v="0"/>
    <n v="463.6"/>
    <n v="176.58"/>
    <m/>
    <n v="502.18276542172094"/>
    <n v="230.72991454293387"/>
    <n v="0"/>
    <n v="-7144.076"/>
    <n v="-2721.0978"/>
    <n v="0"/>
    <n v="-7738.6364151487196"/>
    <n v="-3555.5479831066109"/>
  </r>
  <r>
    <s v="Regular"/>
    <x v="4"/>
    <x v="4"/>
    <x v="0"/>
    <x v="0"/>
    <x v="0"/>
    <x v="0"/>
    <x v="2"/>
    <x v="9"/>
    <n v="0"/>
    <n v="0"/>
    <n v="10293.308000000001"/>
    <n v="10293.308000000001"/>
    <n v="10293.308000000001"/>
    <n v="10293.308000000001"/>
    <n v="17080"/>
    <x v="0"/>
    <n v="0"/>
    <n v="0"/>
    <n v="67"/>
    <n v="111"/>
    <n v="0"/>
    <n v="463.6"/>
    <n v="176.58"/>
    <m/>
    <n v="502.18276542172094"/>
    <n v="230.72991454293387"/>
    <n v="0"/>
    <n v="4771977.588800001"/>
    <n v="1817592.3266400003"/>
    <n v="0"/>
    <n v="5169121.8767775241"/>
    <n v="2374974.0752040977"/>
  </r>
  <r>
    <s v="Refaturamento - Regular"/>
    <x v="4"/>
    <x v="4"/>
    <x v="0"/>
    <x v="0"/>
    <x v="0"/>
    <x v="0"/>
    <x v="2"/>
    <x v="9"/>
    <n v="0"/>
    <n v="0"/>
    <n v="-15.920999999999999"/>
    <n v="-15.920999999999999"/>
    <n v="-15.920999999999999"/>
    <n v="-15.920999999999999"/>
    <n v="-14"/>
    <x v="0"/>
    <n v="0"/>
    <n v="0"/>
    <n v="67"/>
    <n v="111"/>
    <n v="0"/>
    <n v="463.6"/>
    <n v="176.58"/>
    <m/>
    <n v="502.18276542172094"/>
    <n v="230.72991454293387"/>
    <n v="0"/>
    <n v="-7380.9755999999998"/>
    <n v="-2811.3301799999999"/>
    <n v="0"/>
    <n v="-7995.2518082792185"/>
    <n v="-3673.4509694380499"/>
  </r>
  <r>
    <s v="Sistema Isolado - Regular"/>
    <x v="4"/>
    <x v="4"/>
    <x v="0"/>
    <x v="0"/>
    <x v="0"/>
    <x v="0"/>
    <x v="2"/>
    <x v="9"/>
    <n v="0"/>
    <n v="0"/>
    <n v="2528.9760000000001"/>
    <n v="2528.9760000000001"/>
    <n v="2528.9760000000001"/>
    <n v="2528.9760000000001"/>
    <n v="5022"/>
    <x v="0"/>
    <n v="0"/>
    <n v="0"/>
    <n v="67"/>
    <n v="111"/>
    <n v="0"/>
    <n v="463.6"/>
    <n v="176.58"/>
    <m/>
    <n v="502.18276542172094"/>
    <n v="230.72991454293387"/>
    <n v="0"/>
    <n v="1172433.2736000002"/>
    <n v="446566.58208000008"/>
    <n v="0"/>
    <n v="1270008.1613651621"/>
    <n v="583510.41636113077"/>
  </r>
  <r>
    <s v="Sistema Isolado - Refaturamento"/>
    <x v="4"/>
    <x v="4"/>
    <x v="0"/>
    <x v="0"/>
    <x v="0"/>
    <x v="0"/>
    <x v="2"/>
    <x v="9"/>
    <n v="0"/>
    <n v="0"/>
    <n v="-15.271000000000001"/>
    <n v="-15.271000000000001"/>
    <n v="-15.271000000000001"/>
    <n v="-15.271000000000001"/>
    <n v="-4"/>
    <x v="0"/>
    <n v="0"/>
    <n v="0"/>
    <n v="67"/>
    <n v="111"/>
    <n v="0"/>
    <n v="463.6"/>
    <n v="176.58"/>
    <m/>
    <n v="502.18276542172094"/>
    <n v="230.72991454293387"/>
    <n v="0"/>
    <n v="-7079.6356000000005"/>
    <n v="-2696.5531800000003"/>
    <n v="0"/>
    <n v="-7668.833010755101"/>
    <n v="-3523.4765249851434"/>
  </r>
  <r>
    <s v="Sistema de Compensação"/>
    <x v="4"/>
    <x v="4"/>
    <x v="0"/>
    <x v="0"/>
    <x v="0"/>
    <x v="0"/>
    <x v="2"/>
    <x v="9"/>
    <n v="0"/>
    <n v="0"/>
    <n v="525.98"/>
    <n v="525.98"/>
    <n v="525.98"/>
    <n v="525.98"/>
    <n v="695"/>
    <x v="0"/>
    <n v="0"/>
    <n v="0"/>
    <n v="67"/>
    <n v="111"/>
    <n v="0"/>
    <n v="463.6"/>
    <n v="176.58"/>
    <m/>
    <n v="502.18276542172094"/>
    <n v="230.72991454293387"/>
    <n v="0"/>
    <n v="243844.32800000001"/>
    <n v="92877.548400000014"/>
    <n v="0"/>
    <n v="264138.0909565168"/>
    <n v="121359.32045129235"/>
  </r>
  <r>
    <s v="Sistema de Compensação"/>
    <x v="4"/>
    <x v="4"/>
    <x v="0"/>
    <x v="0"/>
    <x v="0"/>
    <x v="0"/>
    <x v="2"/>
    <x v="9"/>
    <n v="0"/>
    <n v="0"/>
    <n v="-0.83"/>
    <n v="-0.83"/>
    <n v="-0.83"/>
    <n v="-0.83"/>
    <n v="1"/>
    <x v="0"/>
    <n v="0"/>
    <n v="0"/>
    <n v="67"/>
    <n v="111"/>
    <n v="0"/>
    <n v="463.6"/>
    <n v="176.58"/>
    <m/>
    <n v="502.18276542172094"/>
    <n v="230.72991454293387"/>
    <n v="0"/>
    <n v="-384.78800000000001"/>
    <n v="-146.56139999999999"/>
    <n v="0"/>
    <n v="-416.81169530002836"/>
    <n v="-191.50582907063512"/>
  </r>
  <r>
    <s v="Regular"/>
    <x v="4"/>
    <x v="4"/>
    <x v="0"/>
    <x v="0"/>
    <x v="0"/>
    <x v="0"/>
    <x v="2"/>
    <x v="10"/>
    <n v="0"/>
    <n v="0"/>
    <n v="10811.177"/>
    <n v="10811.177"/>
    <n v="10811.177"/>
    <n v="10811.177"/>
    <n v="17086"/>
    <x v="0"/>
    <n v="0"/>
    <n v="0"/>
    <n v="67"/>
    <n v="111"/>
    <n v="0"/>
    <n v="463.6"/>
    <n v="176.58"/>
    <m/>
    <n v="502.18276542172094"/>
    <n v="230.72991454293387"/>
    <n v="0"/>
    <n v="5012061.6572000002"/>
    <n v="1909037.63466"/>
    <n v="0"/>
    <n v="5429186.7633237047"/>
    <n v="2494461.9453185322"/>
  </r>
  <r>
    <s v="Refaturamento - Regular"/>
    <x v="4"/>
    <x v="4"/>
    <x v="0"/>
    <x v="0"/>
    <x v="0"/>
    <x v="0"/>
    <x v="2"/>
    <x v="10"/>
    <n v="0"/>
    <n v="0"/>
    <n v="-64.725999999999999"/>
    <n v="-64.725999999999999"/>
    <n v="-64.725999999999999"/>
    <n v="-64.725999999999999"/>
    <n v="-12"/>
    <x v="0"/>
    <n v="0"/>
    <n v="0"/>
    <n v="67"/>
    <n v="111"/>
    <n v="0"/>
    <n v="463.6"/>
    <n v="176.58"/>
    <m/>
    <n v="502.18276542172094"/>
    <n v="230.72991454293387"/>
    <n v="0"/>
    <n v="-30006.973600000001"/>
    <n v="-11429.317080000001"/>
    <n v="0"/>
    <n v="-32504.28167468631"/>
    <n v="-14934.224448705938"/>
  </r>
  <r>
    <s v="Sistema Isolado - Regular"/>
    <x v="4"/>
    <x v="4"/>
    <x v="0"/>
    <x v="0"/>
    <x v="0"/>
    <x v="0"/>
    <x v="2"/>
    <x v="10"/>
    <n v="0"/>
    <n v="0"/>
    <n v="2639.0830000000001"/>
    <n v="2639.0830000000001"/>
    <n v="2639.0830000000001"/>
    <n v="2639.0830000000001"/>
    <n v="4981"/>
    <x v="0"/>
    <n v="0"/>
    <n v="0"/>
    <n v="67"/>
    <n v="111"/>
    <n v="0"/>
    <n v="463.6"/>
    <n v="176.58"/>
    <m/>
    <n v="502.18276542172094"/>
    <n v="230.72991454293387"/>
    <n v="0"/>
    <n v="1223478.8788000001"/>
    <n v="466009.27614000003"/>
    <n v="0"/>
    <n v="1325301.9991174517"/>
    <n v="608915.39506170957"/>
  </r>
  <r>
    <s v="Sistema Isolado - Refaturamento"/>
    <x v="4"/>
    <x v="4"/>
    <x v="0"/>
    <x v="0"/>
    <x v="0"/>
    <x v="0"/>
    <x v="2"/>
    <x v="10"/>
    <n v="0"/>
    <n v="0"/>
    <n v="-4.8179999999999996"/>
    <n v="-4.8179999999999996"/>
    <n v="-4.8179999999999996"/>
    <n v="-4.8179999999999996"/>
    <n v="-3"/>
    <x v="0"/>
    <n v="0"/>
    <n v="0"/>
    <n v="67"/>
    <n v="111"/>
    <n v="0"/>
    <n v="463.6"/>
    <n v="176.58"/>
    <m/>
    <n v="502.18276542172094"/>
    <n v="230.72991454293387"/>
    <n v="0"/>
    <n v="-2233.6248000000001"/>
    <n v="-850.76243999999997"/>
    <n v="0"/>
    <n v="-2419.5165638018511"/>
    <n v="-1111.6567282678552"/>
  </r>
  <r>
    <s v="Sistema de Compensação"/>
    <x v="4"/>
    <x v="4"/>
    <x v="0"/>
    <x v="0"/>
    <x v="0"/>
    <x v="0"/>
    <x v="2"/>
    <x v="10"/>
    <n v="0"/>
    <n v="0"/>
    <n v="552.38499999999999"/>
    <n v="552.38499999999999"/>
    <n v="552.38499999999999"/>
    <n v="552.38499999999999"/>
    <n v="716"/>
    <x v="0"/>
    <n v="0"/>
    <n v="0"/>
    <n v="67"/>
    <n v="111"/>
    <n v="0"/>
    <n v="463.6"/>
    <n v="176.58"/>
    <m/>
    <n v="502.18276542172094"/>
    <n v="230.72991454293387"/>
    <n v="0"/>
    <n v="256085.68600000002"/>
    <n v="97540.143300000011"/>
    <n v="0"/>
    <n v="277398.22687747731"/>
    <n v="127451.74384479852"/>
  </r>
  <r>
    <s v="Sistema de Compensação"/>
    <x v="4"/>
    <x v="4"/>
    <x v="0"/>
    <x v="0"/>
    <x v="0"/>
    <x v="0"/>
    <x v="2"/>
    <x v="10"/>
    <n v="0"/>
    <n v="0"/>
    <n v="-0.436"/>
    <n v="-0.436"/>
    <n v="-0.436"/>
    <n v="-0.436"/>
    <n v="1"/>
    <x v="0"/>
    <n v="0"/>
    <n v="0"/>
    <n v="67"/>
    <n v="111"/>
    <n v="0"/>
    <n v="463.6"/>
    <n v="176.58"/>
    <m/>
    <n v="502.18276542172094"/>
    <n v="230.72991454293387"/>
    <n v="0"/>
    <n v="-202.12960000000001"/>
    <n v="-76.988880000000009"/>
    <n v="0"/>
    <n v="-218.95168572387033"/>
    <n v="-100.59824274071917"/>
  </r>
  <r>
    <s v="PROJETADO"/>
    <x v="4"/>
    <x v="4"/>
    <x v="0"/>
    <x v="0"/>
    <x v="0"/>
    <x v="0"/>
    <x v="2"/>
    <x v="11"/>
    <n v="0"/>
    <n v="0"/>
    <n v="10811.177"/>
    <n v="10811.177"/>
    <n v="10811.177"/>
    <n v="10811.177"/>
    <n v="17086"/>
    <x v="0"/>
    <n v="0"/>
    <n v="0"/>
    <n v="67"/>
    <n v="111"/>
    <n v="0"/>
    <n v="463.6"/>
    <n v="176.58"/>
    <m/>
    <n v="502.18276542172094"/>
    <n v="230.72991454293387"/>
    <n v="0"/>
    <n v="5012061.6572000002"/>
    <n v="1909037.63466"/>
    <n v="0"/>
    <n v="5429186.7633237047"/>
    <n v="2494461.9453185322"/>
  </r>
  <r>
    <s v="PROJETADO"/>
    <x v="4"/>
    <x v="4"/>
    <x v="0"/>
    <x v="0"/>
    <x v="0"/>
    <x v="0"/>
    <x v="2"/>
    <x v="11"/>
    <n v="0"/>
    <n v="0"/>
    <n v="-64.725999999999999"/>
    <n v="-64.725999999999999"/>
    <n v="-64.725999999999999"/>
    <n v="-64.725999999999999"/>
    <n v="-12"/>
    <x v="0"/>
    <n v="0"/>
    <n v="0"/>
    <n v="67"/>
    <n v="111"/>
    <n v="0"/>
    <n v="463.6"/>
    <n v="176.58"/>
    <m/>
    <n v="502.18276542172094"/>
    <n v="230.72991454293387"/>
    <n v="0"/>
    <n v="-30006.973600000001"/>
    <n v="-11429.317080000001"/>
    <n v="0"/>
    <n v="-32504.28167468631"/>
    <n v="-14934.224448705938"/>
  </r>
  <r>
    <s v="PROJETADO"/>
    <x v="4"/>
    <x v="4"/>
    <x v="0"/>
    <x v="0"/>
    <x v="0"/>
    <x v="0"/>
    <x v="2"/>
    <x v="11"/>
    <n v="0"/>
    <n v="0"/>
    <n v="2639.0830000000001"/>
    <n v="2639.0830000000001"/>
    <n v="2639.0830000000001"/>
    <n v="2639.0830000000001"/>
    <n v="4981"/>
    <x v="0"/>
    <n v="0"/>
    <n v="0"/>
    <n v="67"/>
    <n v="111"/>
    <n v="0"/>
    <n v="463.6"/>
    <n v="176.58"/>
    <m/>
    <n v="502.18276542172094"/>
    <n v="230.72991454293387"/>
    <n v="0"/>
    <n v="1223478.8788000001"/>
    <n v="466009.27614000003"/>
    <n v="0"/>
    <n v="1325301.9991174517"/>
    <n v="608915.39506170957"/>
  </r>
  <r>
    <s v="PROJETADO"/>
    <x v="4"/>
    <x v="4"/>
    <x v="0"/>
    <x v="0"/>
    <x v="0"/>
    <x v="0"/>
    <x v="2"/>
    <x v="11"/>
    <n v="0"/>
    <n v="0"/>
    <n v="-4.8179999999999996"/>
    <n v="-4.8179999999999996"/>
    <n v="-4.8179999999999996"/>
    <n v="-4.8179999999999996"/>
    <n v="-3"/>
    <x v="0"/>
    <n v="0"/>
    <n v="0"/>
    <n v="67"/>
    <n v="111"/>
    <n v="0"/>
    <n v="463.6"/>
    <n v="176.58"/>
    <m/>
    <n v="502.18276542172094"/>
    <n v="230.72991454293387"/>
    <n v="0"/>
    <n v="-2233.6248000000001"/>
    <n v="-850.76243999999997"/>
    <n v="0"/>
    <n v="-2419.5165638018511"/>
    <n v="-1111.6567282678552"/>
  </r>
  <r>
    <s v="PROJETADO"/>
    <x v="4"/>
    <x v="4"/>
    <x v="0"/>
    <x v="0"/>
    <x v="0"/>
    <x v="0"/>
    <x v="2"/>
    <x v="11"/>
    <n v="0"/>
    <n v="0"/>
    <n v="552.38499999999999"/>
    <n v="552.38499999999999"/>
    <n v="552.38499999999999"/>
    <n v="552.38499999999999"/>
    <n v="716"/>
    <x v="0"/>
    <n v="0"/>
    <n v="0"/>
    <n v="67"/>
    <n v="111"/>
    <n v="0"/>
    <n v="463.6"/>
    <n v="176.58"/>
    <m/>
    <n v="502.18276542172094"/>
    <n v="230.72991454293387"/>
    <n v="0"/>
    <n v="256085.68600000002"/>
    <n v="97540.143300000011"/>
    <n v="0"/>
    <n v="277398.22687747731"/>
    <n v="127451.74384479852"/>
  </r>
  <r>
    <s v="PROJETADO"/>
    <x v="4"/>
    <x v="4"/>
    <x v="0"/>
    <x v="0"/>
    <x v="0"/>
    <x v="0"/>
    <x v="2"/>
    <x v="11"/>
    <n v="0"/>
    <n v="0"/>
    <n v="-0.436"/>
    <n v="-0.436"/>
    <n v="-0.436"/>
    <n v="-0.436"/>
    <n v="1"/>
    <x v="0"/>
    <n v="0"/>
    <n v="0"/>
    <n v="67"/>
    <n v="111"/>
    <n v="0"/>
    <n v="463.6"/>
    <n v="176.58"/>
    <m/>
    <n v="502.18276542172094"/>
    <n v="230.72991454293387"/>
    <n v="0"/>
    <n v="-202.12960000000001"/>
    <n v="-76.988880000000009"/>
    <n v="0"/>
    <n v="-218.95168572387033"/>
    <n v="-100.59824274071917"/>
  </r>
  <r>
    <s v="Regular"/>
    <x v="4"/>
    <x v="4"/>
    <x v="6"/>
    <x v="0"/>
    <x v="0"/>
    <x v="0"/>
    <x v="2"/>
    <x v="0"/>
    <n v="0"/>
    <n v="0"/>
    <n v="71.150999999999996"/>
    <n v="71.150999999999996"/>
    <n v="71.150999999999996"/>
    <n v="71.150999999999996"/>
    <n v="37"/>
    <x v="0"/>
    <n v="0"/>
    <n v="0"/>
    <n v="67"/>
    <n v="111"/>
    <n v="0"/>
    <n v="463.6"/>
    <n v="176.58"/>
    <m/>
    <n v="502.18276542172094"/>
    <n v="230.72991454293387"/>
    <n v="0"/>
    <n v="32985.603600000002"/>
    <n v="12563.843580000001"/>
    <n v="0"/>
    <n v="35730.805942520863"/>
    <n v="16416.664149644286"/>
  </r>
  <r>
    <s v="Sistema Isolado - Regular"/>
    <x v="4"/>
    <x v="4"/>
    <x v="6"/>
    <x v="0"/>
    <x v="0"/>
    <x v="0"/>
    <x v="2"/>
    <x v="0"/>
    <n v="0"/>
    <n v="0"/>
    <n v="11.047000000000001"/>
    <n v="11.047000000000001"/>
    <n v="11.047000000000001"/>
    <n v="11.047000000000001"/>
    <n v="14"/>
    <x v="0"/>
    <n v="0"/>
    <n v="0"/>
    <n v="67"/>
    <n v="111"/>
    <n v="0"/>
    <n v="463.6"/>
    <n v="176.58"/>
    <m/>
    <n v="502.18276542172094"/>
    <n v="230.72991454293387"/>
    <n v="0"/>
    <n v="5121.3892000000005"/>
    <n v="1950.6792600000003"/>
    <n v="0"/>
    <n v="5547.6130096137513"/>
    <n v="2548.8733659557906"/>
  </r>
  <r>
    <s v="Regular"/>
    <x v="4"/>
    <x v="4"/>
    <x v="6"/>
    <x v="0"/>
    <x v="0"/>
    <x v="0"/>
    <x v="2"/>
    <x v="1"/>
    <n v="0"/>
    <n v="0"/>
    <n v="74.81"/>
    <n v="74.81"/>
    <n v="74.81"/>
    <n v="74.81"/>
    <n v="38"/>
    <x v="0"/>
    <n v="0"/>
    <n v="0"/>
    <n v="67"/>
    <n v="111"/>
    <n v="0"/>
    <n v="463.6"/>
    <n v="176.58"/>
    <m/>
    <n v="502.18276542172094"/>
    <n v="230.72991454293387"/>
    <n v="0"/>
    <n v="34681.916000000005"/>
    <n v="13209.949800000002"/>
    <n v="0"/>
    <n v="37568.292681198946"/>
    <n v="17260.904906956883"/>
  </r>
  <r>
    <s v="Sistema Isolado - Regular"/>
    <x v="4"/>
    <x v="4"/>
    <x v="6"/>
    <x v="0"/>
    <x v="0"/>
    <x v="0"/>
    <x v="2"/>
    <x v="1"/>
    <n v="0"/>
    <n v="0"/>
    <n v="10.885"/>
    <n v="10.885"/>
    <n v="10.885"/>
    <n v="10.885"/>
    <n v="14"/>
    <x v="0"/>
    <n v="0"/>
    <n v="0"/>
    <n v="67"/>
    <n v="111"/>
    <n v="0"/>
    <n v="463.6"/>
    <n v="176.58"/>
    <m/>
    <n v="502.18276542172094"/>
    <n v="230.72991454293387"/>
    <n v="0"/>
    <n v="5046.2860000000001"/>
    <n v="1922.0733"/>
    <n v="0"/>
    <n v="5466.2594016154326"/>
    <n v="2511.4951197998353"/>
  </r>
  <r>
    <s v="Sistema de Compensação"/>
    <x v="4"/>
    <x v="4"/>
    <x v="6"/>
    <x v="0"/>
    <x v="0"/>
    <x v="0"/>
    <x v="2"/>
    <x v="1"/>
    <n v="0"/>
    <n v="0"/>
    <n v="0.1"/>
    <n v="0.1"/>
    <n v="0.1"/>
    <n v="0.1"/>
    <n v="1"/>
    <x v="0"/>
    <n v="0"/>
    <n v="0"/>
    <n v="67"/>
    <n v="111"/>
    <n v="0"/>
    <n v="463.6"/>
    <n v="176.58"/>
    <m/>
    <n v="502.18276542172094"/>
    <n v="230.72991454293387"/>
    <n v="0"/>
    <n v="46.360000000000007"/>
    <n v="17.658000000000001"/>
    <n v="0"/>
    <n v="50.218276542172099"/>
    <n v="23.072991454293387"/>
  </r>
  <r>
    <s v="Sistema de Compensação"/>
    <x v="4"/>
    <x v="4"/>
    <x v="6"/>
    <x v="0"/>
    <x v="0"/>
    <x v="0"/>
    <x v="2"/>
    <x v="1"/>
    <n v="0"/>
    <n v="0"/>
    <n v="0.80900000000000005"/>
    <n v="0.80900000000000005"/>
    <n v="0.80900000000000005"/>
    <n v="0.80900000000000005"/>
    <n v="4"/>
    <x v="0"/>
    <n v="0"/>
    <n v="0"/>
    <n v="67"/>
    <n v="111"/>
    <n v="0"/>
    <n v="463.6"/>
    <n v="176.58"/>
    <m/>
    <n v="502.18276542172094"/>
    <n v="230.72991454293387"/>
    <n v="0"/>
    <n v="375.05240000000003"/>
    <n v="142.85322000000002"/>
    <n v="0"/>
    <n v="406.26585722617227"/>
    <n v="186.6605008652335"/>
  </r>
  <r>
    <s v="Regular"/>
    <x v="4"/>
    <x v="4"/>
    <x v="6"/>
    <x v="0"/>
    <x v="0"/>
    <x v="0"/>
    <x v="2"/>
    <x v="2"/>
    <n v="0"/>
    <n v="0"/>
    <n v="78.963999999999999"/>
    <n v="78.963999999999999"/>
    <n v="78.963999999999999"/>
    <n v="78.963999999999999"/>
    <n v="38"/>
    <x v="0"/>
    <n v="0"/>
    <n v="0"/>
    <n v="67"/>
    <n v="111"/>
    <n v="0"/>
    <n v="463.6"/>
    <n v="176.58"/>
    <m/>
    <n v="502.18276542172094"/>
    <n v="230.72991454293387"/>
    <n v="0"/>
    <n v="36607.710400000004"/>
    <n v="13943.46312"/>
    <n v="0"/>
    <n v="39654.359888760773"/>
    <n v="18219.356971968231"/>
  </r>
  <r>
    <s v="Sistema Isolado - Regular"/>
    <x v="4"/>
    <x v="4"/>
    <x v="6"/>
    <x v="0"/>
    <x v="0"/>
    <x v="0"/>
    <x v="2"/>
    <x v="2"/>
    <n v="0"/>
    <n v="0"/>
    <n v="10.352"/>
    <n v="10.352"/>
    <n v="10.352"/>
    <n v="10.352"/>
    <n v="14"/>
    <x v="0"/>
    <n v="0"/>
    <n v="0"/>
    <n v="67"/>
    <n v="111"/>
    <n v="0"/>
    <n v="463.6"/>
    <n v="176.58"/>
    <m/>
    <n v="502.18276542172094"/>
    <n v="230.72991454293387"/>
    <n v="0"/>
    <n v="4799.1872000000003"/>
    <n v="1827.9561600000002"/>
    <n v="0"/>
    <n v="5198.5959876456554"/>
    <n v="2388.5160753484515"/>
  </r>
  <r>
    <s v="Regular"/>
    <x v="4"/>
    <x v="4"/>
    <x v="6"/>
    <x v="0"/>
    <x v="0"/>
    <x v="0"/>
    <x v="2"/>
    <x v="3"/>
    <n v="0"/>
    <n v="0"/>
    <n v="64.923000000000002"/>
    <n v="64.923000000000002"/>
    <n v="64.923000000000002"/>
    <n v="64.923000000000002"/>
    <n v="38"/>
    <x v="0"/>
    <n v="0"/>
    <n v="0"/>
    <n v="67"/>
    <n v="111"/>
    <n v="0"/>
    <n v="463.6"/>
    <n v="176.58"/>
    <m/>
    <n v="502.18276542172094"/>
    <n v="230.72991454293387"/>
    <n v="0"/>
    <n v="30098.302800000001"/>
    <n v="11464.103340000001"/>
    <n v="0"/>
    <n v="32603.211679474389"/>
    <n v="14979.678241870895"/>
  </r>
  <r>
    <s v="Sistema Isolado - Regular"/>
    <x v="4"/>
    <x v="4"/>
    <x v="6"/>
    <x v="0"/>
    <x v="0"/>
    <x v="0"/>
    <x v="2"/>
    <x v="3"/>
    <n v="0"/>
    <n v="0"/>
    <n v="9.6199999999999992"/>
    <n v="9.6199999999999992"/>
    <n v="9.6199999999999992"/>
    <n v="9.6199999999999992"/>
    <n v="14"/>
    <x v="0"/>
    <n v="0"/>
    <n v="0"/>
    <n v="67"/>
    <n v="111"/>
    <n v="0"/>
    <n v="463.6"/>
    <n v="176.58"/>
    <m/>
    <n v="502.18276542172094"/>
    <n v="230.72991454293387"/>
    <n v="0"/>
    <n v="4459.8319999999994"/>
    <n v="1698.6995999999999"/>
    <n v="0"/>
    <n v="4830.9982033569549"/>
    <n v="2219.6217779030235"/>
  </r>
  <r>
    <s v="Sistema de Compensação"/>
    <x v="4"/>
    <x v="4"/>
    <x v="6"/>
    <x v="0"/>
    <x v="0"/>
    <x v="0"/>
    <x v="2"/>
    <x v="3"/>
    <n v="0"/>
    <n v="0"/>
    <n v="0.1"/>
    <n v="0.1"/>
    <n v="0.1"/>
    <n v="0.1"/>
    <n v="1"/>
    <x v="0"/>
    <n v="0"/>
    <n v="0"/>
    <n v="67"/>
    <n v="111"/>
    <n v="0"/>
    <n v="463.6"/>
    <n v="176.58"/>
    <m/>
    <n v="502.18276542172094"/>
    <n v="230.72991454293387"/>
    <n v="0"/>
    <n v="46.360000000000007"/>
    <n v="17.658000000000001"/>
    <n v="0"/>
    <n v="50.218276542172099"/>
    <n v="23.072991454293387"/>
  </r>
  <r>
    <s v="Regular"/>
    <x v="4"/>
    <x v="4"/>
    <x v="6"/>
    <x v="0"/>
    <x v="0"/>
    <x v="0"/>
    <x v="2"/>
    <x v="4"/>
    <n v="0"/>
    <n v="0"/>
    <n v="74.230999999999995"/>
    <n v="74.230999999999995"/>
    <n v="74.230999999999995"/>
    <n v="74.230999999999995"/>
    <n v="36"/>
    <x v="0"/>
    <n v="0"/>
    <n v="0"/>
    <n v="67"/>
    <n v="111"/>
    <n v="0"/>
    <n v="463.6"/>
    <n v="176.58"/>
    <m/>
    <n v="502.18276542172094"/>
    <n v="230.72991454293387"/>
    <n v="0"/>
    <n v="34413.491600000001"/>
    <n v="13107.70998"/>
    <n v="0"/>
    <n v="37277.528860019767"/>
    <n v="17127.312286436521"/>
  </r>
  <r>
    <s v="Sistema Isolado - Regular"/>
    <x v="4"/>
    <x v="4"/>
    <x v="6"/>
    <x v="0"/>
    <x v="0"/>
    <x v="0"/>
    <x v="2"/>
    <x v="4"/>
    <n v="0"/>
    <n v="0"/>
    <n v="10.284000000000001"/>
    <n v="10.284000000000001"/>
    <n v="10.284000000000001"/>
    <n v="10.284000000000001"/>
    <n v="16"/>
    <x v="0"/>
    <n v="0"/>
    <n v="0"/>
    <n v="67"/>
    <n v="111"/>
    <n v="0"/>
    <n v="463.6"/>
    <n v="176.58"/>
    <m/>
    <n v="502.18276542172094"/>
    <n v="230.72991454293387"/>
    <n v="0"/>
    <n v="4767.6624000000002"/>
    <n v="1815.9487200000003"/>
    <n v="0"/>
    <n v="5164.4475595969789"/>
    <n v="2372.8264411595319"/>
  </r>
  <r>
    <s v="Sistema de Compensação"/>
    <x v="4"/>
    <x v="4"/>
    <x v="6"/>
    <x v="0"/>
    <x v="0"/>
    <x v="0"/>
    <x v="2"/>
    <x v="4"/>
    <n v="0"/>
    <n v="0"/>
    <n v="0.1"/>
    <n v="0.1"/>
    <n v="0.1"/>
    <n v="0.1"/>
    <n v="1"/>
    <x v="0"/>
    <n v="0"/>
    <n v="0"/>
    <n v="67"/>
    <n v="111"/>
    <n v="0"/>
    <n v="463.6"/>
    <n v="176.58"/>
    <m/>
    <n v="502.18276542172094"/>
    <n v="230.72991454293387"/>
    <n v="0"/>
    <n v="46.360000000000007"/>
    <n v="17.658000000000001"/>
    <n v="0"/>
    <n v="50.218276542172099"/>
    <n v="23.072991454293387"/>
  </r>
  <r>
    <s v="Regular"/>
    <x v="4"/>
    <x v="4"/>
    <x v="6"/>
    <x v="0"/>
    <x v="0"/>
    <x v="0"/>
    <x v="2"/>
    <x v="5"/>
    <n v="0"/>
    <n v="0"/>
    <n v="64.531999999999996"/>
    <n v="64.531999999999996"/>
    <n v="64.531999999999996"/>
    <n v="64.531999999999996"/>
    <n v="35"/>
    <x v="0"/>
    <n v="0"/>
    <n v="0"/>
    <n v="67"/>
    <n v="111"/>
    <n v="0"/>
    <n v="463.6"/>
    <n v="176.58"/>
    <m/>
    <n v="502.18276542172094"/>
    <n v="230.72991454293387"/>
    <n v="0"/>
    <n v="29917.035199999998"/>
    <n v="11395.06056"/>
    <n v="0"/>
    <n v="32406.858218194495"/>
    <n v="14889.462845284608"/>
  </r>
  <r>
    <s v="Refaturamento - Regular"/>
    <x v="4"/>
    <x v="4"/>
    <x v="6"/>
    <x v="0"/>
    <x v="0"/>
    <x v="0"/>
    <x v="2"/>
    <x v="5"/>
    <n v="0"/>
    <n v="0"/>
    <n v="0.05"/>
    <n v="0.05"/>
    <n v="0.05"/>
    <n v="0.05"/>
    <n v="1"/>
    <x v="0"/>
    <n v="0"/>
    <n v="0"/>
    <n v="67"/>
    <n v="111"/>
    <n v="0"/>
    <n v="463.6"/>
    <n v="176.58"/>
    <m/>
    <n v="502.18276542172094"/>
    <n v="230.72991454293387"/>
    <n v="0"/>
    <n v="23.180000000000003"/>
    <n v="8.8290000000000006"/>
    <n v="0"/>
    <n v="25.109138271086049"/>
    <n v="11.536495727146693"/>
  </r>
  <r>
    <s v="Sistema Isolado - Regular"/>
    <x v="4"/>
    <x v="4"/>
    <x v="6"/>
    <x v="0"/>
    <x v="0"/>
    <x v="0"/>
    <x v="2"/>
    <x v="5"/>
    <n v="0"/>
    <n v="0"/>
    <n v="10.206"/>
    <n v="10.206"/>
    <n v="10.206"/>
    <n v="10.206"/>
    <n v="16"/>
    <x v="0"/>
    <n v="0"/>
    <n v="0"/>
    <n v="67"/>
    <n v="111"/>
    <n v="0"/>
    <n v="463.6"/>
    <n v="176.58"/>
    <m/>
    <n v="502.18276542172094"/>
    <n v="230.72991454293387"/>
    <n v="0"/>
    <n v="4731.5015999999996"/>
    <n v="1802.1754800000001"/>
    <n v="0"/>
    <n v="5125.2773038940841"/>
    <n v="2354.8295078251831"/>
  </r>
  <r>
    <s v="Sistema de Compensação"/>
    <x v="4"/>
    <x v="4"/>
    <x v="6"/>
    <x v="0"/>
    <x v="0"/>
    <x v="0"/>
    <x v="2"/>
    <x v="5"/>
    <n v="0"/>
    <n v="0"/>
    <n v="0.1"/>
    <n v="0.1"/>
    <n v="0.1"/>
    <n v="0.1"/>
    <n v="1"/>
    <x v="0"/>
    <n v="0"/>
    <n v="0"/>
    <n v="67"/>
    <n v="111"/>
    <n v="0"/>
    <n v="463.6"/>
    <n v="176.58"/>
    <m/>
    <n v="502.18276542172094"/>
    <n v="230.72991454293387"/>
    <n v="0"/>
    <n v="46.360000000000007"/>
    <n v="17.658000000000001"/>
    <n v="0"/>
    <n v="50.218276542172099"/>
    <n v="23.072991454293387"/>
  </r>
  <r>
    <s v="Regular"/>
    <x v="4"/>
    <x v="4"/>
    <x v="6"/>
    <x v="0"/>
    <x v="0"/>
    <x v="0"/>
    <x v="2"/>
    <x v="6"/>
    <n v="0"/>
    <n v="0"/>
    <n v="54.491999999999997"/>
    <n v="54.491999999999997"/>
    <n v="54.491999999999997"/>
    <n v="54.491999999999997"/>
    <n v="38"/>
    <x v="0"/>
    <n v="0"/>
    <n v="0"/>
    <n v="67"/>
    <n v="111"/>
    <n v="0"/>
    <n v="463.6"/>
    <n v="176.58"/>
    <m/>
    <n v="502.18276542172094"/>
    <n v="230.72991454293387"/>
    <n v="0"/>
    <n v="25262.4912"/>
    <n v="9622.1973600000001"/>
    <n v="0"/>
    <n v="27364.943253360416"/>
    <n v="12572.934503273551"/>
  </r>
  <r>
    <s v="Refaturamento - Regular"/>
    <x v="4"/>
    <x v="4"/>
    <x v="6"/>
    <x v="0"/>
    <x v="0"/>
    <x v="0"/>
    <x v="2"/>
    <x v="6"/>
    <n v="0"/>
    <n v="0"/>
    <n v="1.7490000000000001"/>
    <n v="1.7490000000000001"/>
    <n v="1.7490000000000001"/>
    <n v="1.7490000000000001"/>
    <n v="2"/>
    <x v="0"/>
    <n v="0"/>
    <n v="0"/>
    <n v="67"/>
    <n v="111"/>
    <n v="0"/>
    <n v="463.6"/>
    <n v="176.58"/>
    <m/>
    <n v="502.18276542172094"/>
    <n v="230.72991454293387"/>
    <n v="0"/>
    <n v="810.83640000000014"/>
    <n v="308.83842000000004"/>
    <n v="0"/>
    <n v="878.31765672258996"/>
    <n v="403.54662053559139"/>
  </r>
  <r>
    <s v="Sistema Isolado - Regular"/>
    <x v="4"/>
    <x v="4"/>
    <x v="6"/>
    <x v="0"/>
    <x v="0"/>
    <x v="0"/>
    <x v="2"/>
    <x v="6"/>
    <n v="0"/>
    <n v="0"/>
    <n v="10.053000000000001"/>
    <n v="10.053000000000001"/>
    <n v="10.053000000000001"/>
    <n v="10.053000000000001"/>
    <n v="17"/>
    <x v="0"/>
    <n v="0"/>
    <n v="0"/>
    <n v="67"/>
    <n v="111"/>
    <n v="0"/>
    <n v="463.6"/>
    <n v="176.58"/>
    <m/>
    <n v="502.18276542172094"/>
    <n v="230.72991454293387"/>
    <n v="0"/>
    <n v="4660.5708000000004"/>
    <n v="1775.1587400000003"/>
    <n v="0"/>
    <n v="5048.4433407845609"/>
    <n v="2319.5278309001142"/>
  </r>
  <r>
    <s v="Sistema de Compensação"/>
    <x v="4"/>
    <x v="4"/>
    <x v="6"/>
    <x v="0"/>
    <x v="0"/>
    <x v="0"/>
    <x v="2"/>
    <x v="6"/>
    <n v="0"/>
    <n v="0"/>
    <n v="0.1"/>
    <n v="0.1"/>
    <n v="0.1"/>
    <n v="0.1"/>
    <n v="1"/>
    <x v="0"/>
    <n v="0"/>
    <n v="0"/>
    <n v="67"/>
    <n v="111"/>
    <n v="0"/>
    <n v="463.6"/>
    <n v="176.58"/>
    <m/>
    <n v="502.18276542172094"/>
    <n v="230.72991454293387"/>
    <n v="0"/>
    <n v="46.360000000000007"/>
    <n v="17.658000000000001"/>
    <n v="0"/>
    <n v="50.218276542172099"/>
    <n v="23.072991454293387"/>
  </r>
  <r>
    <s v="Regular"/>
    <x v="4"/>
    <x v="4"/>
    <x v="6"/>
    <x v="0"/>
    <x v="0"/>
    <x v="0"/>
    <x v="2"/>
    <x v="7"/>
    <n v="0"/>
    <n v="0"/>
    <n v="68.287000000000006"/>
    <n v="68.287000000000006"/>
    <n v="68.287000000000006"/>
    <n v="68.287000000000006"/>
    <n v="40"/>
    <x v="0"/>
    <n v="0"/>
    <n v="0"/>
    <n v="67"/>
    <n v="111"/>
    <n v="0"/>
    <n v="463.6"/>
    <n v="176.58"/>
    <m/>
    <n v="502.18276542172094"/>
    <n v="230.72991454293387"/>
    <n v="0"/>
    <n v="31657.853200000005"/>
    <n v="12058.118460000002"/>
    <n v="0"/>
    <n v="34292.554502353058"/>
    <n v="15755.853674393327"/>
  </r>
  <r>
    <s v="Sistema Isolado - Regular"/>
    <x v="4"/>
    <x v="4"/>
    <x v="6"/>
    <x v="0"/>
    <x v="0"/>
    <x v="0"/>
    <x v="2"/>
    <x v="7"/>
    <n v="0"/>
    <n v="0"/>
    <n v="10.9"/>
    <n v="10.9"/>
    <n v="10.9"/>
    <n v="10.9"/>
    <n v="17"/>
    <x v="0"/>
    <n v="0"/>
    <n v="0"/>
    <n v="67"/>
    <n v="111"/>
    <n v="0"/>
    <n v="463.6"/>
    <n v="176.58"/>
    <m/>
    <n v="502.18276542172094"/>
    <n v="230.72991454293387"/>
    <n v="0"/>
    <n v="5053.2400000000007"/>
    <n v="1924.7220000000002"/>
    <n v="0"/>
    <n v="5473.7921430967581"/>
    <n v="2514.9560685179795"/>
  </r>
  <r>
    <s v="Sistema de Compensação"/>
    <x v="4"/>
    <x v="4"/>
    <x v="6"/>
    <x v="0"/>
    <x v="0"/>
    <x v="0"/>
    <x v="2"/>
    <x v="7"/>
    <n v="0"/>
    <n v="0"/>
    <n v="0.1"/>
    <n v="0.1"/>
    <n v="0.1"/>
    <n v="0.1"/>
    <n v="1"/>
    <x v="0"/>
    <n v="0"/>
    <n v="0"/>
    <n v="67"/>
    <n v="111"/>
    <n v="0"/>
    <n v="463.6"/>
    <n v="176.58"/>
    <m/>
    <n v="502.18276542172094"/>
    <n v="230.72991454293387"/>
    <n v="0"/>
    <n v="46.360000000000007"/>
    <n v="17.658000000000001"/>
    <n v="0"/>
    <n v="50.218276542172099"/>
    <n v="23.072991454293387"/>
  </r>
  <r>
    <s v="Regular"/>
    <x v="4"/>
    <x v="4"/>
    <x v="6"/>
    <x v="0"/>
    <x v="0"/>
    <x v="0"/>
    <x v="2"/>
    <x v="8"/>
    <n v="0"/>
    <n v="0"/>
    <n v="80.492999999999995"/>
    <n v="80.492999999999995"/>
    <n v="80.492999999999995"/>
    <n v="80.492999999999995"/>
    <n v="42"/>
    <x v="0"/>
    <n v="0"/>
    <n v="0"/>
    <n v="67"/>
    <n v="111"/>
    <n v="0"/>
    <n v="463.6"/>
    <n v="176.58"/>
    <m/>
    <n v="502.18276542172094"/>
    <n v="230.72991454293387"/>
    <n v="0"/>
    <n v="37316.554799999998"/>
    <n v="14213.453939999999"/>
    <n v="0"/>
    <n v="40422.197337090583"/>
    <n v="18572.143011304375"/>
  </r>
  <r>
    <s v="Sistema Isolado - Regular"/>
    <x v="4"/>
    <x v="4"/>
    <x v="6"/>
    <x v="0"/>
    <x v="0"/>
    <x v="0"/>
    <x v="2"/>
    <x v="8"/>
    <n v="0"/>
    <n v="0"/>
    <n v="11.92"/>
    <n v="11.92"/>
    <n v="11.92"/>
    <n v="11.92"/>
    <n v="17"/>
    <x v="0"/>
    <n v="0"/>
    <n v="0"/>
    <n v="67"/>
    <n v="111"/>
    <n v="0"/>
    <n v="463.6"/>
    <n v="176.58"/>
    <m/>
    <n v="502.18276542172094"/>
    <n v="230.72991454293387"/>
    <n v="0"/>
    <n v="5526.1120000000001"/>
    <n v="2104.8335999999999"/>
    <n v="0"/>
    <n v="5986.018563826914"/>
    <n v="2750.3005813517716"/>
  </r>
  <r>
    <s v="Sistema de Compensação"/>
    <x v="4"/>
    <x v="4"/>
    <x v="6"/>
    <x v="0"/>
    <x v="0"/>
    <x v="0"/>
    <x v="2"/>
    <x v="8"/>
    <n v="0"/>
    <n v="0"/>
    <n v="0.1"/>
    <n v="0.1"/>
    <n v="0.1"/>
    <n v="0.1"/>
    <n v="1"/>
    <x v="0"/>
    <n v="0"/>
    <n v="0"/>
    <n v="67"/>
    <n v="111"/>
    <n v="0"/>
    <n v="463.6"/>
    <n v="176.58"/>
    <m/>
    <n v="502.18276542172094"/>
    <n v="230.72991454293387"/>
    <n v="0"/>
    <n v="46.360000000000007"/>
    <n v="17.658000000000001"/>
    <n v="0"/>
    <n v="50.218276542172099"/>
    <n v="23.072991454293387"/>
  </r>
  <r>
    <s v="Regular"/>
    <x v="4"/>
    <x v="4"/>
    <x v="6"/>
    <x v="0"/>
    <x v="0"/>
    <x v="0"/>
    <x v="2"/>
    <x v="9"/>
    <n v="0"/>
    <n v="0"/>
    <n v="85.3"/>
    <n v="85.3"/>
    <n v="85.3"/>
    <n v="85.3"/>
    <n v="38"/>
    <x v="0"/>
    <n v="0"/>
    <n v="0"/>
    <n v="67"/>
    <n v="111"/>
    <n v="0"/>
    <n v="463.6"/>
    <n v="176.58"/>
    <m/>
    <n v="502.18276542172094"/>
    <n v="230.72991454293387"/>
    <n v="0"/>
    <n v="39545.08"/>
    <n v="15062.274000000001"/>
    <n v="0"/>
    <n v="42836.189890472793"/>
    <n v="19681.261710512259"/>
  </r>
  <r>
    <s v="Refaturamento - Regular"/>
    <x v="4"/>
    <x v="4"/>
    <x v="6"/>
    <x v="0"/>
    <x v="0"/>
    <x v="0"/>
    <x v="2"/>
    <x v="9"/>
    <n v="0"/>
    <n v="0"/>
    <n v="0.495"/>
    <n v="0.495"/>
    <n v="0.495"/>
    <n v="0.495"/>
    <n v="4"/>
    <x v="0"/>
    <n v="0"/>
    <n v="0"/>
    <n v="67"/>
    <n v="111"/>
    <n v="0"/>
    <n v="463.6"/>
    <n v="176.58"/>
    <m/>
    <n v="502.18276542172094"/>
    <n v="230.72991454293387"/>
    <n v="0"/>
    <n v="229.482"/>
    <n v="87.4071"/>
    <n v="0"/>
    <n v="248.58046888375188"/>
    <n v="114.21130769875226"/>
  </r>
  <r>
    <s v="Sistema Isolado - Regular"/>
    <x v="4"/>
    <x v="4"/>
    <x v="6"/>
    <x v="0"/>
    <x v="0"/>
    <x v="0"/>
    <x v="2"/>
    <x v="9"/>
    <n v="0"/>
    <n v="0"/>
    <n v="11.877000000000001"/>
    <n v="11.877000000000001"/>
    <n v="11.877000000000001"/>
    <n v="11.877000000000001"/>
    <n v="17"/>
    <x v="0"/>
    <n v="0"/>
    <n v="0"/>
    <n v="67"/>
    <n v="111"/>
    <n v="0"/>
    <n v="463.6"/>
    <n v="176.58"/>
    <m/>
    <n v="502.18276542172094"/>
    <n v="230.72991454293387"/>
    <n v="0"/>
    <n v="5506.177200000001"/>
    <n v="2097.2406600000004"/>
    <n v="0"/>
    <n v="5964.4247049137803"/>
    <n v="2740.3791950264258"/>
  </r>
  <r>
    <s v="Sistema de Compensação"/>
    <x v="4"/>
    <x v="4"/>
    <x v="6"/>
    <x v="0"/>
    <x v="0"/>
    <x v="0"/>
    <x v="2"/>
    <x v="9"/>
    <n v="0"/>
    <n v="0"/>
    <n v="0.1"/>
    <n v="0.1"/>
    <n v="0.1"/>
    <n v="0.1"/>
    <n v="1"/>
    <x v="0"/>
    <n v="0"/>
    <n v="0"/>
    <n v="67"/>
    <n v="111"/>
    <n v="0"/>
    <n v="463.6"/>
    <n v="176.58"/>
    <m/>
    <n v="502.18276542172094"/>
    <n v="230.72991454293387"/>
    <n v="0"/>
    <n v="46.360000000000007"/>
    <n v="17.658000000000001"/>
    <n v="0"/>
    <n v="50.218276542172099"/>
    <n v="23.072991454293387"/>
  </r>
  <r>
    <s v="Regular"/>
    <x v="4"/>
    <x v="4"/>
    <x v="6"/>
    <x v="0"/>
    <x v="0"/>
    <x v="0"/>
    <x v="2"/>
    <x v="10"/>
    <n v="0"/>
    <n v="0"/>
    <n v="81.680999999999997"/>
    <n v="81.680999999999997"/>
    <n v="81.680999999999997"/>
    <n v="81.680999999999997"/>
    <n v="40"/>
    <x v="0"/>
    <n v="0"/>
    <n v="0"/>
    <n v="67"/>
    <n v="111"/>
    <n v="0"/>
    <n v="463.6"/>
    <n v="176.58"/>
    <m/>
    <n v="502.18276542172094"/>
    <n v="230.72991454293387"/>
    <n v="0"/>
    <n v="37867.311600000001"/>
    <n v="14423.23098"/>
    <n v="0"/>
    <n v="41018.790462411584"/>
    <n v="18846.250149781379"/>
  </r>
  <r>
    <s v="Sistema Isolado - Regular"/>
    <x v="4"/>
    <x v="4"/>
    <x v="6"/>
    <x v="0"/>
    <x v="0"/>
    <x v="0"/>
    <x v="2"/>
    <x v="10"/>
    <n v="0"/>
    <n v="0"/>
    <n v="19.181000000000001"/>
    <n v="19.181000000000001"/>
    <n v="19.181000000000001"/>
    <n v="19.181000000000001"/>
    <n v="32"/>
    <x v="0"/>
    <n v="0"/>
    <n v="0"/>
    <n v="67"/>
    <n v="111"/>
    <n v="0"/>
    <n v="463.6"/>
    <n v="176.58"/>
    <m/>
    <n v="502.18276542172094"/>
    <n v="230.72991454293387"/>
    <n v="0"/>
    <n v="8892.3116000000009"/>
    <n v="3386.9809800000003"/>
    <n v="0"/>
    <n v="9632.3676235540297"/>
    <n v="4425.6304908480151"/>
  </r>
  <r>
    <s v="Sistema de Compensação"/>
    <x v="4"/>
    <x v="4"/>
    <x v="6"/>
    <x v="0"/>
    <x v="0"/>
    <x v="0"/>
    <x v="2"/>
    <x v="10"/>
    <n v="0"/>
    <n v="0"/>
    <n v="0.1"/>
    <n v="0.1"/>
    <n v="0.1"/>
    <n v="0.1"/>
    <n v="1"/>
    <x v="0"/>
    <n v="0"/>
    <n v="0"/>
    <n v="67"/>
    <n v="111"/>
    <n v="0"/>
    <n v="463.6"/>
    <n v="176.58"/>
    <m/>
    <n v="502.18276542172094"/>
    <n v="230.72991454293387"/>
    <n v="0"/>
    <n v="46.360000000000007"/>
    <n v="17.658000000000001"/>
    <n v="0"/>
    <n v="50.218276542172099"/>
    <n v="23.072991454293387"/>
  </r>
  <r>
    <s v="PROJETADO"/>
    <x v="4"/>
    <x v="4"/>
    <x v="6"/>
    <x v="0"/>
    <x v="0"/>
    <x v="0"/>
    <x v="2"/>
    <x v="11"/>
    <n v="0"/>
    <n v="0"/>
    <n v="81.680999999999997"/>
    <n v="81.680999999999997"/>
    <n v="81.680999999999997"/>
    <n v="81.680999999999997"/>
    <n v="40"/>
    <x v="0"/>
    <n v="0"/>
    <n v="0"/>
    <n v="67"/>
    <n v="111"/>
    <n v="0"/>
    <n v="463.6"/>
    <n v="176.58"/>
    <m/>
    <n v="502.18276542172094"/>
    <n v="230.72991454293387"/>
    <n v="0"/>
    <n v="37867.311600000001"/>
    <n v="14423.23098"/>
    <n v="0"/>
    <n v="41018.790462411584"/>
    <n v="18846.250149781379"/>
  </r>
  <r>
    <s v="PROJETADO"/>
    <x v="4"/>
    <x v="4"/>
    <x v="6"/>
    <x v="0"/>
    <x v="0"/>
    <x v="0"/>
    <x v="2"/>
    <x v="11"/>
    <n v="0"/>
    <n v="0"/>
    <n v="19.181000000000001"/>
    <n v="19.181000000000001"/>
    <n v="19.181000000000001"/>
    <n v="19.181000000000001"/>
    <n v="32"/>
    <x v="0"/>
    <n v="0"/>
    <n v="0"/>
    <n v="67"/>
    <n v="111"/>
    <n v="0"/>
    <n v="463.6"/>
    <n v="176.58"/>
    <m/>
    <n v="502.18276542172094"/>
    <n v="230.72991454293387"/>
    <n v="0"/>
    <n v="8892.3116000000009"/>
    <n v="3386.9809800000003"/>
    <n v="0"/>
    <n v="9632.3676235540297"/>
    <n v="4425.6304908480151"/>
  </r>
  <r>
    <s v="PROJETADO"/>
    <x v="4"/>
    <x v="4"/>
    <x v="6"/>
    <x v="0"/>
    <x v="0"/>
    <x v="0"/>
    <x v="2"/>
    <x v="11"/>
    <n v="0"/>
    <n v="0"/>
    <n v="0.1"/>
    <n v="0.1"/>
    <n v="0.1"/>
    <n v="0.1"/>
    <n v="1"/>
    <x v="0"/>
    <n v="0"/>
    <n v="0"/>
    <n v="67"/>
    <n v="111"/>
    <n v="0"/>
    <n v="463.6"/>
    <n v="176.58"/>
    <m/>
    <n v="502.18276542172094"/>
    <n v="230.72991454293387"/>
    <n v="0"/>
    <n v="46.360000000000007"/>
    <n v="17.658000000000001"/>
    <n v="0"/>
    <n v="50.218276542172099"/>
    <n v="23.072991454293387"/>
  </r>
  <r>
    <s v="Regular"/>
    <x v="4"/>
    <x v="4"/>
    <x v="1"/>
    <x v="0"/>
    <x v="0"/>
    <x v="0"/>
    <x v="2"/>
    <x v="0"/>
    <n v="0"/>
    <n v="0"/>
    <n v="231.19300000000001"/>
    <n v="231.19300000000001"/>
    <n v="231.19300000000001"/>
    <n v="231.19300000000001"/>
    <n v="138"/>
    <x v="0"/>
    <n v="0"/>
    <n v="0"/>
    <n v="67"/>
    <n v="111"/>
    <n v="0"/>
    <n v="463.6"/>
    <n v="176.58"/>
    <m/>
    <n v="502.18276542172094"/>
    <n v="230.72991454293387"/>
    <n v="0"/>
    <n v="107181.07480000002"/>
    <n v="40824.059940000006"/>
    <n v="0"/>
    <n v="116101.14008614393"/>
    <n v="53343.141132924509"/>
  </r>
  <r>
    <s v="Refaturamento - Regular"/>
    <x v="4"/>
    <x v="4"/>
    <x v="1"/>
    <x v="0"/>
    <x v="0"/>
    <x v="0"/>
    <x v="2"/>
    <x v="0"/>
    <n v="0"/>
    <n v="0"/>
    <n v="-1.0149999999999999"/>
    <n v="-1.0149999999999999"/>
    <n v="-1.0149999999999999"/>
    <n v="-1.0149999999999999"/>
    <n v="0"/>
    <x v="0"/>
    <n v="0"/>
    <n v="0"/>
    <n v="67"/>
    <n v="111"/>
    <n v="0"/>
    <n v="463.6"/>
    <n v="176.58"/>
    <m/>
    <n v="502.18276542172094"/>
    <n v="230.72991454293387"/>
    <n v="0"/>
    <n v="-470.55399999999997"/>
    <n v="-179.2287"/>
    <n v="0"/>
    <n v="-509.71550690304673"/>
    <n v="-234.19086326107785"/>
  </r>
  <r>
    <s v="Sistema Isolado - Regular"/>
    <x v="4"/>
    <x v="4"/>
    <x v="1"/>
    <x v="0"/>
    <x v="0"/>
    <x v="0"/>
    <x v="2"/>
    <x v="0"/>
    <n v="0"/>
    <n v="0"/>
    <n v="55.295999999999999"/>
    <n v="55.295999999999999"/>
    <n v="55.295999999999999"/>
    <n v="55.295999999999999"/>
    <n v="42"/>
    <x v="0"/>
    <n v="0"/>
    <n v="0"/>
    <n v="67"/>
    <n v="111"/>
    <n v="0"/>
    <n v="463.6"/>
    <n v="176.58"/>
    <m/>
    <n v="502.18276542172094"/>
    <n v="230.72991454293387"/>
    <n v="0"/>
    <n v="25635.225600000002"/>
    <n v="9764.1676800000005"/>
    <n v="0"/>
    <n v="27768.69819675948"/>
    <n v="12758.441354566072"/>
  </r>
  <r>
    <s v="Sistema de Compensação"/>
    <x v="4"/>
    <x v="4"/>
    <x v="1"/>
    <x v="0"/>
    <x v="0"/>
    <x v="0"/>
    <x v="2"/>
    <x v="0"/>
    <n v="0"/>
    <n v="0"/>
    <n v="12.651"/>
    <n v="12.651"/>
    <n v="12.651"/>
    <n v="12.651"/>
    <n v="8"/>
    <x v="0"/>
    <n v="0"/>
    <n v="0"/>
    <n v="67"/>
    <n v="111"/>
    <n v="0"/>
    <n v="463.6"/>
    <n v="176.58"/>
    <m/>
    <n v="502.18276542172094"/>
    <n v="230.72991454293387"/>
    <n v="0"/>
    <n v="5865.0036"/>
    <n v="2233.9135799999999"/>
    <n v="0"/>
    <n v="6353.1141653501918"/>
    <n v="2918.9641488826564"/>
  </r>
  <r>
    <s v="Regular"/>
    <x v="4"/>
    <x v="4"/>
    <x v="1"/>
    <x v="0"/>
    <x v="0"/>
    <x v="0"/>
    <x v="2"/>
    <x v="1"/>
    <n v="0"/>
    <n v="0"/>
    <n v="235.43100000000001"/>
    <n v="235.43100000000001"/>
    <n v="235.43100000000001"/>
    <n v="235.43100000000001"/>
    <n v="137"/>
    <x v="0"/>
    <n v="0"/>
    <n v="0"/>
    <n v="67"/>
    <n v="111"/>
    <n v="0"/>
    <n v="463.6"/>
    <n v="176.58"/>
    <m/>
    <n v="502.18276542172094"/>
    <n v="230.72991454293387"/>
    <n v="0"/>
    <n v="109145.81160000002"/>
    <n v="41572.405980000003"/>
    <n v="0"/>
    <n v="118229.39064600119"/>
    <n v="54320.974510757464"/>
  </r>
  <r>
    <s v="Refaturamento - Regular"/>
    <x v="4"/>
    <x v="4"/>
    <x v="1"/>
    <x v="0"/>
    <x v="0"/>
    <x v="0"/>
    <x v="2"/>
    <x v="1"/>
    <n v="0"/>
    <n v="0"/>
    <n v="2.008"/>
    <n v="2.008"/>
    <n v="2.008"/>
    <n v="2.008"/>
    <n v="0"/>
    <x v="0"/>
    <n v="0"/>
    <n v="0"/>
    <n v="67"/>
    <n v="111"/>
    <n v="0"/>
    <n v="463.6"/>
    <n v="176.58"/>
    <m/>
    <n v="502.18276542172094"/>
    <n v="230.72991454293387"/>
    <n v="0"/>
    <n v="930.90880000000004"/>
    <n v="354.57264000000004"/>
    <n v="0"/>
    <n v="1008.3829929668157"/>
    <n v="463.30566840221121"/>
  </r>
  <r>
    <s v="Sistema Isolado - Regular"/>
    <x v="4"/>
    <x v="4"/>
    <x v="1"/>
    <x v="0"/>
    <x v="0"/>
    <x v="0"/>
    <x v="2"/>
    <x v="1"/>
    <n v="0"/>
    <n v="0"/>
    <n v="55.817"/>
    <n v="55.817"/>
    <n v="55.817"/>
    <n v="55.817"/>
    <n v="42"/>
    <x v="0"/>
    <n v="0"/>
    <n v="0"/>
    <n v="67"/>
    <n v="111"/>
    <n v="0"/>
    <n v="463.6"/>
    <n v="176.58"/>
    <m/>
    <n v="502.18276542172094"/>
    <n v="230.72991454293387"/>
    <n v="0"/>
    <n v="25876.761200000001"/>
    <n v="9856.165860000001"/>
    <n v="0"/>
    <n v="28030.335417544196"/>
    <n v="12878.651640042939"/>
  </r>
  <r>
    <s v="Sistema de Compensação"/>
    <x v="4"/>
    <x v="4"/>
    <x v="1"/>
    <x v="0"/>
    <x v="0"/>
    <x v="0"/>
    <x v="2"/>
    <x v="1"/>
    <n v="0"/>
    <n v="0"/>
    <n v="13.535"/>
    <n v="13.535"/>
    <n v="13.535"/>
    <n v="13.535"/>
    <n v="9"/>
    <x v="0"/>
    <n v="0"/>
    <n v="0"/>
    <n v="67"/>
    <n v="111"/>
    <n v="0"/>
    <n v="463.6"/>
    <n v="176.58"/>
    <m/>
    <n v="502.18276542172094"/>
    <n v="230.72991454293387"/>
    <n v="0"/>
    <n v="6274.826"/>
    <n v="2390.0103000000004"/>
    <n v="0"/>
    <n v="6797.0437299829928"/>
    <n v="3122.9293933386098"/>
  </r>
  <r>
    <s v="Sistema de Compensação"/>
    <x v="4"/>
    <x v="4"/>
    <x v="1"/>
    <x v="0"/>
    <x v="0"/>
    <x v="0"/>
    <x v="2"/>
    <x v="1"/>
    <n v="0"/>
    <n v="0"/>
    <n v="-13.553000000000001"/>
    <n v="-13.553000000000001"/>
    <n v="-13.553000000000001"/>
    <n v="-13.553000000000001"/>
    <n v="0"/>
    <x v="0"/>
    <n v="0"/>
    <n v="0"/>
    <n v="67"/>
    <n v="111"/>
    <n v="0"/>
    <n v="463.6"/>
    <n v="176.58"/>
    <m/>
    <n v="502.18276542172094"/>
    <n v="230.72991454293387"/>
    <n v="0"/>
    <n v="-6283.1708000000008"/>
    <n v="-2393.1887400000005"/>
    <n v="0"/>
    <n v="-6806.0830197605846"/>
    <n v="-3127.0825318003831"/>
  </r>
  <r>
    <s v="Regular"/>
    <x v="4"/>
    <x v="4"/>
    <x v="1"/>
    <x v="0"/>
    <x v="0"/>
    <x v="0"/>
    <x v="2"/>
    <x v="2"/>
    <n v="0"/>
    <n v="0"/>
    <n v="252.23400000000001"/>
    <n v="252.23400000000001"/>
    <n v="252.23400000000001"/>
    <n v="252.23400000000001"/>
    <n v="137"/>
    <x v="0"/>
    <n v="0"/>
    <n v="0"/>
    <n v="67"/>
    <n v="111"/>
    <n v="0"/>
    <n v="463.6"/>
    <n v="176.58"/>
    <m/>
    <n v="502.18276542172094"/>
    <n v="230.72991454293387"/>
    <n v="0"/>
    <n v="116935.68240000001"/>
    <n v="44539.479720000003"/>
    <n v="0"/>
    <n v="126667.56765338237"/>
    <n v="58197.929264822385"/>
  </r>
  <r>
    <s v="Sistema Isolado - Regular"/>
    <x v="4"/>
    <x v="4"/>
    <x v="1"/>
    <x v="0"/>
    <x v="0"/>
    <x v="0"/>
    <x v="2"/>
    <x v="2"/>
    <n v="0"/>
    <n v="0"/>
    <n v="52.442"/>
    <n v="52.442"/>
    <n v="52.442"/>
    <n v="52.442"/>
    <n v="41"/>
    <x v="0"/>
    <n v="0"/>
    <n v="0"/>
    <n v="67"/>
    <n v="111"/>
    <n v="0"/>
    <n v="463.6"/>
    <n v="176.58"/>
    <m/>
    <n v="502.18276542172094"/>
    <n v="230.72991454293387"/>
    <n v="0"/>
    <n v="24312.111200000003"/>
    <n v="9260.2083600000005"/>
    <n v="0"/>
    <n v="26335.468584245889"/>
    <n v="12099.938178460538"/>
  </r>
  <r>
    <s v="Sistema de Compensação"/>
    <x v="4"/>
    <x v="4"/>
    <x v="1"/>
    <x v="0"/>
    <x v="0"/>
    <x v="0"/>
    <x v="2"/>
    <x v="2"/>
    <n v="0"/>
    <n v="0"/>
    <n v="8.4529999999999994"/>
    <n v="8.4529999999999994"/>
    <n v="8.4529999999999994"/>
    <n v="8.4529999999999994"/>
    <n v="9"/>
    <x v="0"/>
    <n v="0"/>
    <n v="0"/>
    <n v="67"/>
    <n v="111"/>
    <n v="0"/>
    <n v="463.6"/>
    <n v="176.58"/>
    <m/>
    <n v="502.18276542172094"/>
    <n v="230.72991454293387"/>
    <n v="0"/>
    <n v="3918.8107999999997"/>
    <n v="1492.6307400000001"/>
    <n v="0"/>
    <n v="4244.9509161098067"/>
    <n v="1950.3599676314197"/>
  </r>
  <r>
    <s v="Sistema de Compensação"/>
    <x v="4"/>
    <x v="4"/>
    <x v="1"/>
    <x v="0"/>
    <x v="0"/>
    <x v="0"/>
    <x v="2"/>
    <x v="2"/>
    <n v="0"/>
    <n v="0"/>
    <n v="6.8280000000000003"/>
    <n v="6.8280000000000003"/>
    <n v="6.8280000000000003"/>
    <n v="6.8280000000000003"/>
    <n v="0"/>
    <x v="0"/>
    <n v="0"/>
    <n v="0"/>
    <n v="67"/>
    <n v="111"/>
    <n v="0"/>
    <n v="463.6"/>
    <n v="176.58"/>
    <m/>
    <n v="502.18276542172094"/>
    <n v="230.72991454293387"/>
    <n v="0"/>
    <n v="3165.4608000000003"/>
    <n v="1205.6882400000002"/>
    <n v="0"/>
    <n v="3428.9039222995107"/>
    <n v="1575.4238564991526"/>
  </r>
  <r>
    <s v="Regular"/>
    <x v="4"/>
    <x v="4"/>
    <x v="1"/>
    <x v="0"/>
    <x v="0"/>
    <x v="0"/>
    <x v="2"/>
    <x v="3"/>
    <n v="0"/>
    <n v="0"/>
    <n v="230.59399999999999"/>
    <n v="230.59399999999999"/>
    <n v="230.59399999999999"/>
    <n v="230.59399999999999"/>
    <n v="140"/>
    <x v="0"/>
    <n v="0"/>
    <n v="0"/>
    <n v="67"/>
    <n v="111"/>
    <n v="0"/>
    <n v="463.6"/>
    <n v="176.58"/>
    <m/>
    <n v="502.18276542172094"/>
    <n v="230.72991454293387"/>
    <n v="0"/>
    <n v="106903.3784"/>
    <n v="40718.288520000002"/>
    <n v="0"/>
    <n v="115800.33260965631"/>
    <n v="53204.933914113288"/>
  </r>
  <r>
    <s v="Sistema Isolado - Regular"/>
    <x v="4"/>
    <x v="4"/>
    <x v="1"/>
    <x v="0"/>
    <x v="0"/>
    <x v="0"/>
    <x v="2"/>
    <x v="3"/>
    <n v="0"/>
    <n v="0"/>
    <n v="48.39"/>
    <n v="48.39"/>
    <n v="48.39"/>
    <n v="48.39"/>
    <n v="41"/>
    <x v="0"/>
    <n v="0"/>
    <n v="0"/>
    <n v="67"/>
    <n v="111"/>
    <n v="0"/>
    <n v="463.6"/>
    <n v="176.58"/>
    <m/>
    <n v="502.18276542172094"/>
    <n v="230.72991454293387"/>
    <n v="0"/>
    <n v="22433.604000000003"/>
    <n v="8544.7062000000005"/>
    <n v="0"/>
    <n v="24300.624018757077"/>
    <n v="11165.020564732569"/>
  </r>
  <r>
    <s v="Sistema de Compensação"/>
    <x v="4"/>
    <x v="4"/>
    <x v="1"/>
    <x v="0"/>
    <x v="0"/>
    <x v="0"/>
    <x v="2"/>
    <x v="3"/>
    <n v="0"/>
    <n v="0"/>
    <n v="13.256"/>
    <n v="13.256"/>
    <n v="13.256"/>
    <n v="13.256"/>
    <n v="10"/>
    <x v="0"/>
    <n v="0"/>
    <n v="0"/>
    <n v="67"/>
    <n v="111"/>
    <n v="0"/>
    <n v="463.6"/>
    <n v="176.58"/>
    <m/>
    <n v="502.18276542172094"/>
    <n v="230.72991454293387"/>
    <n v="0"/>
    <n v="6145.4816000000001"/>
    <n v="2340.7444800000003"/>
    <n v="0"/>
    <n v="6656.9347384303328"/>
    <n v="3058.5557471811312"/>
  </r>
  <r>
    <s v="Regular"/>
    <x v="4"/>
    <x v="4"/>
    <x v="1"/>
    <x v="0"/>
    <x v="0"/>
    <x v="0"/>
    <x v="2"/>
    <x v="4"/>
    <n v="0"/>
    <n v="0"/>
    <n v="248.05"/>
    <n v="248.05"/>
    <n v="248.05"/>
    <n v="248.05"/>
    <n v="136"/>
    <x v="0"/>
    <n v="0"/>
    <n v="0"/>
    <n v="67"/>
    <n v="111"/>
    <n v="0"/>
    <n v="463.6"/>
    <n v="176.58"/>
    <m/>
    <n v="502.18276542172094"/>
    <n v="230.72991454293387"/>
    <n v="0"/>
    <n v="114995.98000000001"/>
    <n v="43800.669000000002"/>
    <n v="0"/>
    <n v="124566.43496285789"/>
    <n v="57232.555302374749"/>
  </r>
  <r>
    <s v="Refaturamento - Regular"/>
    <x v="4"/>
    <x v="4"/>
    <x v="1"/>
    <x v="0"/>
    <x v="0"/>
    <x v="0"/>
    <x v="2"/>
    <x v="4"/>
    <n v="0"/>
    <n v="0"/>
    <n v="-2.6160000000000001"/>
    <n v="-2.6160000000000001"/>
    <n v="-2.6160000000000001"/>
    <n v="-2.6160000000000001"/>
    <n v="-1"/>
    <x v="0"/>
    <n v="0"/>
    <n v="0"/>
    <n v="67"/>
    <n v="111"/>
    <n v="0"/>
    <n v="463.6"/>
    <n v="176.58"/>
    <m/>
    <n v="502.18276542172094"/>
    <n v="230.72991454293387"/>
    <n v="0"/>
    <n v="-1212.7776000000001"/>
    <n v="-461.93328000000002"/>
    <n v="0"/>
    <n v="-1313.7101143432221"/>
    <n v="-603.58945644431503"/>
  </r>
  <r>
    <s v="Sistema Isolado - Regular"/>
    <x v="4"/>
    <x v="4"/>
    <x v="1"/>
    <x v="0"/>
    <x v="0"/>
    <x v="0"/>
    <x v="2"/>
    <x v="4"/>
    <n v="0"/>
    <n v="0"/>
    <n v="54.962000000000003"/>
    <n v="54.962000000000003"/>
    <n v="54.962000000000003"/>
    <n v="54.962000000000003"/>
    <n v="41"/>
    <x v="0"/>
    <n v="0"/>
    <n v="0"/>
    <n v="67"/>
    <n v="111"/>
    <n v="0"/>
    <n v="463.6"/>
    <n v="176.58"/>
    <m/>
    <n v="502.18276542172094"/>
    <n v="230.72991454293387"/>
    <n v="0"/>
    <n v="25480.383200000004"/>
    <n v="9705.1899600000015"/>
    <n v="0"/>
    <n v="27600.969153108628"/>
    <n v="12681.377563108732"/>
  </r>
  <r>
    <s v="Sistema de Compensação"/>
    <x v="4"/>
    <x v="4"/>
    <x v="1"/>
    <x v="0"/>
    <x v="0"/>
    <x v="0"/>
    <x v="2"/>
    <x v="4"/>
    <n v="0"/>
    <n v="0"/>
    <n v="16.506"/>
    <n v="16.506"/>
    <n v="16.506"/>
    <n v="16.506"/>
    <n v="12"/>
    <x v="0"/>
    <n v="0"/>
    <n v="0"/>
    <n v="67"/>
    <n v="111"/>
    <n v="0"/>
    <n v="463.6"/>
    <n v="176.58"/>
    <m/>
    <n v="502.18276542172094"/>
    <n v="230.72991454293387"/>
    <n v="0"/>
    <n v="7652.1816000000008"/>
    <n v="2914.6294800000001"/>
    <n v="0"/>
    <n v="8289.0287260509267"/>
    <n v="3808.4279694456663"/>
  </r>
  <r>
    <s v="Regular"/>
    <x v="4"/>
    <x v="4"/>
    <x v="1"/>
    <x v="0"/>
    <x v="0"/>
    <x v="0"/>
    <x v="2"/>
    <x v="5"/>
    <n v="0"/>
    <n v="0"/>
    <n v="240.24100000000001"/>
    <n v="240.24100000000001"/>
    <n v="240.24100000000001"/>
    <n v="240.24100000000001"/>
    <n v="142"/>
    <x v="0"/>
    <n v="0"/>
    <n v="0"/>
    <n v="67"/>
    <n v="111"/>
    <n v="0"/>
    <n v="463.6"/>
    <n v="176.58"/>
    <m/>
    <n v="502.18276542172094"/>
    <n v="230.72991454293387"/>
    <n v="0"/>
    <n v="111375.72760000001"/>
    <n v="42421.755780000007"/>
    <n v="0"/>
    <n v="120644.88974767967"/>
    <n v="55430.785399708977"/>
  </r>
  <r>
    <s v="Sistema Isolado - Regular"/>
    <x v="4"/>
    <x v="4"/>
    <x v="1"/>
    <x v="0"/>
    <x v="0"/>
    <x v="0"/>
    <x v="2"/>
    <x v="5"/>
    <n v="0"/>
    <n v="0"/>
    <n v="54.588999999999999"/>
    <n v="54.588999999999999"/>
    <n v="54.588999999999999"/>
    <n v="54.588999999999999"/>
    <n v="42"/>
    <x v="0"/>
    <n v="0"/>
    <n v="0"/>
    <n v="67"/>
    <n v="111"/>
    <n v="0"/>
    <n v="463.6"/>
    <n v="176.58"/>
    <m/>
    <n v="502.18276542172094"/>
    <n v="230.72991454293387"/>
    <n v="0"/>
    <n v="25307.4604"/>
    <n v="9639.3256199999996"/>
    <n v="0"/>
    <n v="27413.654981606323"/>
    <n v="12595.315304984217"/>
  </r>
  <r>
    <s v="Sistema de Compensação"/>
    <x v="4"/>
    <x v="4"/>
    <x v="1"/>
    <x v="0"/>
    <x v="0"/>
    <x v="0"/>
    <x v="2"/>
    <x v="5"/>
    <n v="0"/>
    <n v="0"/>
    <n v="11.673"/>
    <n v="11.673"/>
    <n v="11.673"/>
    <n v="11.673"/>
    <n v="12"/>
    <x v="0"/>
    <n v="0"/>
    <n v="0"/>
    <n v="67"/>
    <n v="111"/>
    <n v="0"/>
    <n v="463.6"/>
    <n v="176.58"/>
    <m/>
    <n v="502.18276542172094"/>
    <n v="230.72991454293387"/>
    <n v="0"/>
    <n v="5411.6028000000006"/>
    <n v="2061.2183400000004"/>
    <n v="0"/>
    <n v="5861.9794207677487"/>
    <n v="2693.3102924596669"/>
  </r>
  <r>
    <s v="Regular"/>
    <x v="4"/>
    <x v="4"/>
    <x v="1"/>
    <x v="0"/>
    <x v="0"/>
    <x v="0"/>
    <x v="2"/>
    <x v="6"/>
    <n v="0"/>
    <n v="0"/>
    <n v="237.809"/>
    <n v="237.809"/>
    <n v="237.809"/>
    <n v="237.809"/>
    <n v="138"/>
    <x v="0"/>
    <n v="0"/>
    <n v="0"/>
    <n v="67"/>
    <n v="111"/>
    <n v="0"/>
    <n v="463.6"/>
    <n v="176.58"/>
    <m/>
    <n v="502.18276542172094"/>
    <n v="230.72991454293387"/>
    <n v="0"/>
    <n v="110248.2524"/>
    <n v="41992.313220000004"/>
    <n v="0"/>
    <n v="119423.58126217403"/>
    <n v="54869.650247540558"/>
  </r>
  <r>
    <s v="Sistema Isolado - Regular"/>
    <x v="4"/>
    <x v="4"/>
    <x v="1"/>
    <x v="0"/>
    <x v="0"/>
    <x v="0"/>
    <x v="2"/>
    <x v="6"/>
    <n v="0"/>
    <n v="0"/>
    <n v="57.137"/>
    <n v="57.137"/>
    <n v="57.137"/>
    <n v="57.137"/>
    <n v="42"/>
    <x v="0"/>
    <n v="0"/>
    <n v="0"/>
    <n v="67"/>
    <n v="111"/>
    <n v="0"/>
    <n v="463.6"/>
    <n v="176.58"/>
    <m/>
    <n v="502.18276542172094"/>
    <n v="230.72991454293387"/>
    <n v="0"/>
    <n v="26488.713200000002"/>
    <n v="10089.251460000001"/>
    <n v="0"/>
    <n v="28693.21666790087"/>
    <n v="13183.215127239613"/>
  </r>
  <r>
    <s v="Sistema de Compensação"/>
    <x v="4"/>
    <x v="4"/>
    <x v="1"/>
    <x v="0"/>
    <x v="0"/>
    <x v="0"/>
    <x v="2"/>
    <x v="6"/>
    <n v="0"/>
    <n v="0"/>
    <n v="12.44"/>
    <n v="12.44"/>
    <n v="12.44"/>
    <n v="12.44"/>
    <n v="13"/>
    <x v="0"/>
    <n v="0"/>
    <n v="0"/>
    <n v="67"/>
    <n v="111"/>
    <n v="0"/>
    <n v="463.6"/>
    <n v="176.58"/>
    <m/>
    <n v="502.18276542172094"/>
    <n v="230.72991454293387"/>
    <n v="0"/>
    <n v="5767.1840000000002"/>
    <n v="2196.6552000000001"/>
    <n v="0"/>
    <n v="6247.1536018462084"/>
    <n v="2870.2801369140971"/>
  </r>
  <r>
    <s v="Regular"/>
    <x v="4"/>
    <x v="4"/>
    <x v="1"/>
    <x v="0"/>
    <x v="0"/>
    <x v="0"/>
    <x v="2"/>
    <x v="7"/>
    <n v="0"/>
    <n v="0"/>
    <n v="264.55099999999999"/>
    <n v="264.55099999999999"/>
    <n v="264.55099999999999"/>
    <n v="264.55099999999999"/>
    <n v="139"/>
    <x v="0"/>
    <n v="0"/>
    <n v="0"/>
    <n v="67"/>
    <n v="111"/>
    <n v="0"/>
    <n v="463.6"/>
    <n v="176.58"/>
    <m/>
    <n v="502.18276542172094"/>
    <n v="230.72991454293387"/>
    <n v="0"/>
    <n v="122645.84360000001"/>
    <n v="46714.415580000001"/>
    <n v="0"/>
    <n v="132852.95277508168"/>
    <n v="61039.829622247693"/>
  </r>
  <r>
    <s v="Refaturamento - Regular"/>
    <x v="4"/>
    <x v="4"/>
    <x v="1"/>
    <x v="0"/>
    <x v="0"/>
    <x v="0"/>
    <x v="2"/>
    <x v="7"/>
    <n v="0"/>
    <n v="0"/>
    <n v="-8.0090000000000003"/>
    <n v="-8.0090000000000003"/>
    <n v="-8.0090000000000003"/>
    <n v="-8.0090000000000003"/>
    <n v="-1"/>
    <x v="0"/>
    <n v="0"/>
    <n v="0"/>
    <n v="67"/>
    <n v="111"/>
    <n v="0"/>
    <n v="463.6"/>
    <n v="176.58"/>
    <m/>
    <n v="502.18276542172094"/>
    <n v="230.72991454293387"/>
    <n v="0"/>
    <n v="-3712.9724000000006"/>
    <n v="-1414.2292200000002"/>
    <n v="0"/>
    <n v="-4021.981768262563"/>
    <n v="-1847.9158855743574"/>
  </r>
  <r>
    <s v="Sistema Isolado - Regular"/>
    <x v="4"/>
    <x v="4"/>
    <x v="1"/>
    <x v="0"/>
    <x v="0"/>
    <x v="0"/>
    <x v="2"/>
    <x v="7"/>
    <n v="0"/>
    <n v="0"/>
    <n v="63.402999999999999"/>
    <n v="63.402999999999999"/>
    <n v="63.402999999999999"/>
    <n v="63.402999999999999"/>
    <n v="42"/>
    <x v="0"/>
    <n v="0"/>
    <n v="0"/>
    <n v="67"/>
    <n v="111"/>
    <n v="0"/>
    <n v="463.6"/>
    <n v="176.58"/>
    <m/>
    <n v="502.18276542172094"/>
    <n v="230.72991454293387"/>
    <n v="0"/>
    <n v="29393.630800000003"/>
    <n v="11195.70174"/>
    <n v="0"/>
    <n v="31839.893876033373"/>
    <n v="14628.968771765636"/>
  </r>
  <r>
    <s v="Sistema de Compensação"/>
    <x v="4"/>
    <x v="4"/>
    <x v="1"/>
    <x v="0"/>
    <x v="0"/>
    <x v="0"/>
    <x v="2"/>
    <x v="7"/>
    <n v="0"/>
    <n v="0"/>
    <n v="11.417999999999999"/>
    <n v="11.417999999999999"/>
    <n v="11.417999999999999"/>
    <n v="11.417999999999999"/>
    <n v="13"/>
    <x v="0"/>
    <n v="0"/>
    <n v="0"/>
    <n v="67"/>
    <n v="111"/>
    <n v="0"/>
    <n v="463.6"/>
    <n v="176.58"/>
    <m/>
    <n v="502.18276542172094"/>
    <n v="230.72991454293387"/>
    <n v="0"/>
    <n v="5293.3847999999998"/>
    <n v="2016.1904400000001"/>
    <n v="0"/>
    <n v="5733.9228155852097"/>
    <n v="2634.4741642512186"/>
  </r>
  <r>
    <s v="Regular"/>
    <x v="4"/>
    <x v="4"/>
    <x v="1"/>
    <x v="0"/>
    <x v="0"/>
    <x v="0"/>
    <x v="2"/>
    <x v="8"/>
    <n v="0"/>
    <n v="0"/>
    <n v="287.07"/>
    <n v="287.07"/>
    <n v="287.07"/>
    <n v="287.07"/>
    <n v="141"/>
    <x v="0"/>
    <n v="0"/>
    <n v="0"/>
    <n v="67"/>
    <n v="111"/>
    <n v="0"/>
    <n v="463.6"/>
    <n v="176.58"/>
    <m/>
    <n v="502.18276542172094"/>
    <n v="230.72991454293387"/>
    <n v="0"/>
    <n v="133085.652"/>
    <n v="50690.820599999999"/>
    <n v="0"/>
    <n v="144161.60646961344"/>
    <n v="66235.636567840018"/>
  </r>
  <r>
    <s v="Refaturamento - Regular"/>
    <x v="4"/>
    <x v="4"/>
    <x v="1"/>
    <x v="0"/>
    <x v="0"/>
    <x v="0"/>
    <x v="2"/>
    <x v="8"/>
    <n v="0"/>
    <n v="0"/>
    <n v="-16.888999999999999"/>
    <n v="-16.888999999999999"/>
    <n v="-16.888999999999999"/>
    <n v="-16.888999999999999"/>
    <n v="-4"/>
    <x v="0"/>
    <n v="0"/>
    <n v="0"/>
    <n v="67"/>
    <n v="111"/>
    <n v="0"/>
    <n v="463.6"/>
    <n v="176.58"/>
    <m/>
    <n v="502.18276542172094"/>
    <n v="230.72991454293387"/>
    <n v="0"/>
    <n v="-7829.7403999999997"/>
    <n v="-2982.2596200000003"/>
    <n v="0"/>
    <n v="-8481.3647252074443"/>
    <n v="-3896.7975267156098"/>
  </r>
  <r>
    <s v="Sistema Isolado - Regular"/>
    <x v="4"/>
    <x v="4"/>
    <x v="1"/>
    <x v="0"/>
    <x v="0"/>
    <x v="0"/>
    <x v="2"/>
    <x v="8"/>
    <n v="0"/>
    <n v="0"/>
    <n v="67.813000000000002"/>
    <n v="67.813000000000002"/>
    <n v="67.813000000000002"/>
    <n v="67.813000000000002"/>
    <n v="42"/>
    <x v="0"/>
    <n v="0"/>
    <n v="0"/>
    <n v="67"/>
    <n v="111"/>
    <n v="0"/>
    <n v="463.6"/>
    <n v="176.58"/>
    <m/>
    <n v="502.18276542172094"/>
    <n v="230.72991454293387"/>
    <n v="0"/>
    <n v="31438.106800000001"/>
    <n v="11974.419540000001"/>
    <n v="0"/>
    <n v="34054.519871543162"/>
    <n v="15646.487694899975"/>
  </r>
  <r>
    <s v="Sistema de Compensação"/>
    <x v="4"/>
    <x v="4"/>
    <x v="1"/>
    <x v="0"/>
    <x v="0"/>
    <x v="0"/>
    <x v="2"/>
    <x v="8"/>
    <n v="0"/>
    <n v="0"/>
    <n v="11.07"/>
    <n v="11.07"/>
    <n v="11.07"/>
    <n v="11.07"/>
    <n v="13"/>
    <x v="0"/>
    <n v="0"/>
    <n v="0"/>
    <n v="67"/>
    <n v="111"/>
    <n v="0"/>
    <n v="463.6"/>
    <n v="176.58"/>
    <m/>
    <n v="502.18276542172094"/>
    <n v="230.72991454293387"/>
    <n v="0"/>
    <n v="5132.0520000000006"/>
    <n v="1954.7406000000001"/>
    <n v="0"/>
    <n v="5559.1632132184513"/>
    <n v="2554.1801539902781"/>
  </r>
  <r>
    <s v="Regular"/>
    <x v="4"/>
    <x v="4"/>
    <x v="1"/>
    <x v="0"/>
    <x v="0"/>
    <x v="0"/>
    <x v="2"/>
    <x v="9"/>
    <n v="0"/>
    <n v="0"/>
    <n v="301.15699999999998"/>
    <n v="301.15699999999998"/>
    <n v="301.15699999999998"/>
    <n v="301.15699999999998"/>
    <n v="139"/>
    <x v="0"/>
    <n v="0"/>
    <n v="0"/>
    <n v="67"/>
    <n v="111"/>
    <n v="0"/>
    <n v="463.6"/>
    <n v="176.58"/>
    <m/>
    <n v="502.18276542172094"/>
    <n v="230.72991454293387"/>
    <n v="0"/>
    <n v="139616.38519999999"/>
    <n v="53178.303059999998"/>
    <n v="0"/>
    <n v="151235.85508610919"/>
    <n v="69485.928874006335"/>
  </r>
  <r>
    <s v="Sistema Isolado - Regular"/>
    <x v="4"/>
    <x v="4"/>
    <x v="1"/>
    <x v="0"/>
    <x v="0"/>
    <x v="0"/>
    <x v="2"/>
    <x v="9"/>
    <n v="0"/>
    <n v="0"/>
    <n v="66.947999999999993"/>
    <n v="66.947999999999993"/>
    <n v="66.947999999999993"/>
    <n v="66.947999999999993"/>
    <n v="43"/>
    <x v="0"/>
    <n v="0"/>
    <n v="0"/>
    <n v="67"/>
    <n v="111"/>
    <n v="0"/>
    <n v="463.6"/>
    <n v="176.58"/>
    <m/>
    <n v="502.18276542172094"/>
    <n v="230.72991454293387"/>
    <n v="0"/>
    <n v="31037.092799999999"/>
    <n v="11821.67784"/>
    <n v="0"/>
    <n v="33620.131779453368"/>
    <n v="15446.906318820334"/>
  </r>
  <r>
    <s v="Sistema de Compensação"/>
    <x v="4"/>
    <x v="4"/>
    <x v="1"/>
    <x v="0"/>
    <x v="0"/>
    <x v="0"/>
    <x v="2"/>
    <x v="9"/>
    <n v="0"/>
    <n v="0"/>
    <n v="8.2149999999999999"/>
    <n v="8.2149999999999999"/>
    <n v="8.2149999999999999"/>
    <n v="8.2149999999999999"/>
    <n v="13"/>
    <x v="0"/>
    <n v="0"/>
    <n v="0"/>
    <n v="67"/>
    <n v="111"/>
    <n v="0"/>
    <n v="463.6"/>
    <n v="176.58"/>
    <m/>
    <n v="502.18276542172094"/>
    <n v="230.72991454293387"/>
    <n v="0"/>
    <n v="3808.4740000000002"/>
    <n v="1450.6047000000001"/>
    <n v="0"/>
    <n v="4125.4314179394378"/>
    <n v="1895.4462479702017"/>
  </r>
  <r>
    <s v="Sistema de Compensação"/>
    <x v="4"/>
    <x v="4"/>
    <x v="1"/>
    <x v="0"/>
    <x v="0"/>
    <x v="0"/>
    <x v="2"/>
    <x v="9"/>
    <n v="0"/>
    <n v="0"/>
    <n v="2.2669999999999999"/>
    <n v="2.2669999999999999"/>
    <n v="2.2669999999999999"/>
    <n v="2.2669999999999999"/>
    <n v="0"/>
    <x v="0"/>
    <n v="0"/>
    <n v="0"/>
    <n v="67"/>
    <n v="111"/>
    <n v="0"/>
    <n v="463.6"/>
    <n v="176.58"/>
    <m/>
    <n v="502.18276542172094"/>
    <n v="230.72991454293387"/>
    <n v="0"/>
    <n v="1050.9811999999999"/>
    <n v="400.30686000000003"/>
    <n v="0"/>
    <n v="1138.4483292110413"/>
    <n v="523.06471626883103"/>
  </r>
  <r>
    <s v="Regular"/>
    <x v="4"/>
    <x v="4"/>
    <x v="1"/>
    <x v="0"/>
    <x v="0"/>
    <x v="0"/>
    <x v="2"/>
    <x v="10"/>
    <n v="0"/>
    <n v="0"/>
    <n v="274.10199999999998"/>
    <n v="274.10199999999998"/>
    <n v="274.10199999999998"/>
    <n v="274.10199999999998"/>
    <n v="136"/>
    <x v="0"/>
    <n v="0"/>
    <n v="0"/>
    <n v="67"/>
    <n v="111"/>
    <n v="0"/>
    <n v="463.6"/>
    <n v="176.58"/>
    <m/>
    <n v="502.18276542172094"/>
    <n v="230.72991454293387"/>
    <n v="0"/>
    <n v="127073.6872"/>
    <n v="48400.93116"/>
    <n v="0"/>
    <n v="137649.30036762453"/>
    <n v="63243.53103604725"/>
  </r>
  <r>
    <s v="Refaturamento - Regular"/>
    <x v="4"/>
    <x v="4"/>
    <x v="1"/>
    <x v="0"/>
    <x v="0"/>
    <x v="0"/>
    <x v="2"/>
    <x v="10"/>
    <n v="0"/>
    <n v="0"/>
    <n v="-2.3479999999999999"/>
    <n v="-2.3479999999999999"/>
    <n v="-2.3479999999999999"/>
    <n v="-2.3479999999999999"/>
    <n v="-1"/>
    <x v="0"/>
    <n v="0"/>
    <n v="0"/>
    <n v="67"/>
    <n v="111"/>
    <n v="0"/>
    <n v="463.6"/>
    <n v="176.58"/>
    <m/>
    <n v="502.18276542172094"/>
    <n v="230.72991454293387"/>
    <n v="0"/>
    <n v="-1088.5328"/>
    <n v="-414.60984000000002"/>
    <n v="0"/>
    <n v="-1179.1251332102006"/>
    <n v="-541.75383934680872"/>
  </r>
  <r>
    <s v="Sistema Isolado - Regular"/>
    <x v="4"/>
    <x v="4"/>
    <x v="1"/>
    <x v="0"/>
    <x v="0"/>
    <x v="0"/>
    <x v="2"/>
    <x v="10"/>
    <n v="0"/>
    <n v="0"/>
    <n v="83.93"/>
    <n v="83.93"/>
    <n v="83.93"/>
    <n v="83.93"/>
    <n v="40"/>
    <x v="0"/>
    <n v="0"/>
    <n v="0"/>
    <n v="67"/>
    <n v="111"/>
    <n v="0"/>
    <n v="463.6"/>
    <n v="176.58"/>
    <m/>
    <n v="502.18276542172094"/>
    <n v="230.72991454293387"/>
    <n v="0"/>
    <n v="38909.948000000004"/>
    <n v="14820.359400000003"/>
    <n v="0"/>
    <n v="42148.19950184504"/>
    <n v="19365.161727588442"/>
  </r>
  <r>
    <s v="Sistema de Compensação"/>
    <x v="4"/>
    <x v="4"/>
    <x v="1"/>
    <x v="0"/>
    <x v="0"/>
    <x v="0"/>
    <x v="2"/>
    <x v="10"/>
    <n v="0"/>
    <n v="0"/>
    <n v="11.15"/>
    <n v="11.15"/>
    <n v="11.15"/>
    <n v="11.15"/>
    <n v="13"/>
    <x v="0"/>
    <n v="0"/>
    <n v="0"/>
    <n v="67"/>
    <n v="111"/>
    <n v="0"/>
    <n v="463.6"/>
    <n v="176.58"/>
    <m/>
    <n v="502.18276542172094"/>
    <n v="230.72991454293387"/>
    <n v="0"/>
    <n v="5169.1400000000003"/>
    <n v="1968.8670000000002"/>
    <n v="0"/>
    <n v="5599.3378344521889"/>
    <n v="2572.6385471537128"/>
  </r>
  <r>
    <s v="PROJETADO"/>
    <x v="4"/>
    <x v="4"/>
    <x v="1"/>
    <x v="0"/>
    <x v="0"/>
    <x v="0"/>
    <x v="2"/>
    <x v="11"/>
    <n v="0"/>
    <n v="0"/>
    <n v="274.10199999999998"/>
    <n v="274.10199999999998"/>
    <n v="274.10199999999998"/>
    <n v="274.10199999999998"/>
    <n v="136"/>
    <x v="0"/>
    <n v="0"/>
    <n v="0"/>
    <n v="67"/>
    <n v="111"/>
    <n v="0"/>
    <n v="463.6"/>
    <n v="176.58"/>
    <m/>
    <n v="502.18276542172094"/>
    <n v="230.72991454293387"/>
    <n v="0"/>
    <n v="127073.6872"/>
    <n v="48400.93116"/>
    <n v="0"/>
    <n v="137649.30036762453"/>
    <n v="63243.53103604725"/>
  </r>
  <r>
    <s v="PROJETADO"/>
    <x v="4"/>
    <x v="4"/>
    <x v="1"/>
    <x v="0"/>
    <x v="0"/>
    <x v="0"/>
    <x v="2"/>
    <x v="11"/>
    <n v="0"/>
    <n v="0"/>
    <n v="-2.3479999999999999"/>
    <n v="-2.3479999999999999"/>
    <n v="-2.3479999999999999"/>
    <n v="-2.3479999999999999"/>
    <n v="-1"/>
    <x v="0"/>
    <n v="0"/>
    <n v="0"/>
    <n v="67"/>
    <n v="111"/>
    <n v="0"/>
    <n v="463.6"/>
    <n v="176.58"/>
    <m/>
    <n v="502.18276542172094"/>
    <n v="230.72991454293387"/>
    <n v="0"/>
    <n v="-1088.5328"/>
    <n v="-414.60984000000002"/>
    <n v="0"/>
    <n v="-1179.1251332102006"/>
    <n v="-541.75383934680872"/>
  </r>
  <r>
    <s v="PROJETADO"/>
    <x v="4"/>
    <x v="4"/>
    <x v="1"/>
    <x v="0"/>
    <x v="0"/>
    <x v="0"/>
    <x v="2"/>
    <x v="11"/>
    <n v="0"/>
    <n v="0"/>
    <n v="83.93"/>
    <n v="83.93"/>
    <n v="83.93"/>
    <n v="83.93"/>
    <n v="40"/>
    <x v="0"/>
    <n v="0"/>
    <n v="0"/>
    <n v="67"/>
    <n v="111"/>
    <n v="0"/>
    <n v="463.6"/>
    <n v="176.58"/>
    <m/>
    <n v="502.18276542172094"/>
    <n v="230.72991454293387"/>
    <n v="0"/>
    <n v="38909.948000000004"/>
    <n v="14820.359400000003"/>
    <n v="0"/>
    <n v="42148.19950184504"/>
    <n v="19365.161727588442"/>
  </r>
  <r>
    <s v="PROJETADO"/>
    <x v="4"/>
    <x v="4"/>
    <x v="1"/>
    <x v="0"/>
    <x v="0"/>
    <x v="0"/>
    <x v="2"/>
    <x v="11"/>
    <n v="0"/>
    <n v="0"/>
    <n v="11.15"/>
    <n v="11.15"/>
    <n v="11.15"/>
    <n v="11.15"/>
    <n v="13"/>
    <x v="0"/>
    <n v="0"/>
    <n v="0"/>
    <n v="67"/>
    <n v="111"/>
    <n v="0"/>
    <n v="463.6"/>
    <n v="176.58"/>
    <m/>
    <n v="502.18276542172094"/>
    <n v="230.72991454293387"/>
    <n v="0"/>
    <n v="5169.1400000000003"/>
    <n v="1968.8670000000002"/>
    <n v="0"/>
    <n v="5599.3378344521889"/>
    <n v="2572.6385471537128"/>
  </r>
  <r>
    <s v="Regular"/>
    <x v="4"/>
    <x v="4"/>
    <x v="4"/>
    <x v="0"/>
    <x v="0"/>
    <x v="0"/>
    <x v="2"/>
    <x v="0"/>
    <n v="0"/>
    <n v="0"/>
    <n v="2343.3449999999998"/>
    <n v="2343.3449999999998"/>
    <n v="2343.3449999999998"/>
    <n v="2343.3449999999998"/>
    <n v="1800"/>
    <x v="0"/>
    <n v="0"/>
    <n v="0"/>
    <n v="67"/>
    <n v="111"/>
    <n v="0"/>
    <n v="463.6"/>
    <n v="176.58"/>
    <m/>
    <n v="502.18276542172094"/>
    <n v="230.72991454293387"/>
    <n v="0"/>
    <n v="1086374.7419999999"/>
    <n v="413787.86009999999"/>
    <n v="0"/>
    <n v="1176787.4724371627"/>
    <n v="540679.79159461136"/>
  </r>
  <r>
    <s v="Refaturamento - Regular"/>
    <x v="4"/>
    <x v="4"/>
    <x v="4"/>
    <x v="0"/>
    <x v="0"/>
    <x v="0"/>
    <x v="2"/>
    <x v="0"/>
    <n v="0"/>
    <n v="0"/>
    <n v="-6.657"/>
    <n v="-6.657"/>
    <n v="-6.657"/>
    <n v="-6.657"/>
    <n v="-146"/>
    <x v="0"/>
    <n v="0"/>
    <n v="0"/>
    <n v="67"/>
    <n v="111"/>
    <n v="0"/>
    <n v="463.6"/>
    <n v="176.58"/>
    <m/>
    <n v="502.18276542172094"/>
    <n v="230.72991454293387"/>
    <n v="0"/>
    <n v="-3086.1852000000003"/>
    <n v="-1175.49306"/>
    <n v="0"/>
    <n v="-3343.0306694123965"/>
    <n v="-1535.9690411123108"/>
  </r>
  <r>
    <s v="Sistema Isolado - Regular"/>
    <x v="4"/>
    <x v="4"/>
    <x v="4"/>
    <x v="0"/>
    <x v="0"/>
    <x v="0"/>
    <x v="2"/>
    <x v="0"/>
    <n v="0"/>
    <n v="0"/>
    <n v="1096.2439999999999"/>
    <n v="1096.2439999999999"/>
    <n v="1096.2439999999999"/>
    <n v="1096.2439999999999"/>
    <n v="1021"/>
    <x v="0"/>
    <n v="0"/>
    <n v="0"/>
    <n v="67"/>
    <n v="111"/>
    <n v="0"/>
    <n v="463.6"/>
    <n v="176.58"/>
    <m/>
    <n v="502.18276542172094"/>
    <n v="230.72991454293387"/>
    <n v="0"/>
    <n v="508218.71840000001"/>
    <n v="193574.76551999999"/>
    <n v="0"/>
    <n v="550514.84349696897"/>
    <n v="252936.28443820399"/>
  </r>
  <r>
    <s v="Sistema Isolado - Refaturamento"/>
    <x v="4"/>
    <x v="4"/>
    <x v="4"/>
    <x v="0"/>
    <x v="0"/>
    <x v="0"/>
    <x v="2"/>
    <x v="0"/>
    <n v="0"/>
    <n v="0"/>
    <n v="-96.757999999999996"/>
    <n v="-96.757999999999996"/>
    <n v="-96.757999999999996"/>
    <n v="-96.757999999999996"/>
    <n v="-20"/>
    <x v="0"/>
    <n v="0"/>
    <n v="0"/>
    <n v="67"/>
    <n v="111"/>
    <n v="0"/>
    <n v="463.6"/>
    <n v="176.58"/>
    <m/>
    <n v="502.18276542172094"/>
    <n v="230.72991454293387"/>
    <n v="0"/>
    <n v="-44857.008800000003"/>
    <n v="-17085.52764"/>
    <n v="0"/>
    <n v="-48590.200016674869"/>
    <n v="-22324.965071345196"/>
  </r>
  <r>
    <s v="Regular"/>
    <x v="4"/>
    <x v="4"/>
    <x v="4"/>
    <x v="0"/>
    <x v="0"/>
    <x v="0"/>
    <x v="2"/>
    <x v="1"/>
    <n v="0"/>
    <n v="0"/>
    <n v="2054.578"/>
    <n v="2054.578"/>
    <n v="2054.578"/>
    <n v="2054.578"/>
    <n v="1799"/>
    <x v="0"/>
    <n v="0"/>
    <n v="0"/>
    <n v="67"/>
    <n v="111"/>
    <n v="0"/>
    <n v="463.6"/>
    <n v="176.58"/>
    <m/>
    <n v="502.18276542172094"/>
    <n v="230.72991454293387"/>
    <n v="0"/>
    <n v="952502.36080000002"/>
    <n v="362797.38324"/>
    <n v="0"/>
    <n v="1031773.6618146285"/>
    <n v="474052.60636179196"/>
  </r>
  <r>
    <s v="Refaturamento - Regular"/>
    <x v="4"/>
    <x v="4"/>
    <x v="4"/>
    <x v="0"/>
    <x v="0"/>
    <x v="0"/>
    <x v="2"/>
    <x v="1"/>
    <n v="0"/>
    <n v="0"/>
    <n v="-0.75"/>
    <n v="-0.75"/>
    <n v="-0.75"/>
    <n v="-0.75"/>
    <n v="-11"/>
    <x v="0"/>
    <n v="0"/>
    <n v="0"/>
    <n v="67"/>
    <n v="111"/>
    <n v="0"/>
    <n v="463.6"/>
    <n v="176.58"/>
    <m/>
    <n v="502.18276542172094"/>
    <n v="230.72991454293387"/>
    <n v="0"/>
    <n v="-347.70000000000005"/>
    <n v="-132.435"/>
    <n v="0"/>
    <n v="-376.63707406629072"/>
    <n v="-173.04743590720039"/>
  </r>
  <r>
    <s v="Sistema Isolado - Regular"/>
    <x v="4"/>
    <x v="4"/>
    <x v="4"/>
    <x v="0"/>
    <x v="0"/>
    <x v="0"/>
    <x v="2"/>
    <x v="1"/>
    <n v="0"/>
    <n v="0"/>
    <n v="937.68299999999999"/>
    <n v="937.68299999999999"/>
    <n v="937.68299999999999"/>
    <n v="937.68299999999999"/>
    <n v="1013"/>
    <x v="0"/>
    <n v="0"/>
    <n v="0"/>
    <n v="67"/>
    <n v="111"/>
    <n v="0"/>
    <n v="463.6"/>
    <n v="176.58"/>
    <m/>
    <n v="502.18276542172094"/>
    <n v="230.72991454293387"/>
    <n v="0"/>
    <n v="434709.83880000003"/>
    <n v="165576.06414"/>
    <n v="0"/>
    <n v="470888.24202893558"/>
    <n v="216351.51845836185"/>
  </r>
  <r>
    <s v="Regular"/>
    <x v="4"/>
    <x v="4"/>
    <x v="4"/>
    <x v="0"/>
    <x v="0"/>
    <x v="0"/>
    <x v="2"/>
    <x v="2"/>
    <n v="0"/>
    <n v="0"/>
    <n v="1868.3040000000001"/>
    <n v="1868.3040000000001"/>
    <n v="1868.3040000000001"/>
    <n v="1868.3040000000001"/>
    <n v="1795"/>
    <x v="0"/>
    <n v="0"/>
    <n v="0"/>
    <n v="67"/>
    <n v="111"/>
    <n v="0"/>
    <n v="463.6"/>
    <n v="176.58"/>
    <m/>
    <n v="502.18276542172094"/>
    <n v="230.72991454293387"/>
    <n v="0"/>
    <n v="866145.73440000007"/>
    <n v="329905.12032000005"/>
    <n v="0"/>
    <n v="938230.06936846301"/>
    <n v="431073.62226022151"/>
  </r>
  <r>
    <s v="Refaturamento - Regular"/>
    <x v="4"/>
    <x v="4"/>
    <x v="4"/>
    <x v="0"/>
    <x v="0"/>
    <x v="0"/>
    <x v="2"/>
    <x v="2"/>
    <n v="0"/>
    <n v="0"/>
    <n v="-0.32"/>
    <n v="-0.32"/>
    <n v="-0.32"/>
    <n v="-0.32"/>
    <n v="-2"/>
    <x v="0"/>
    <n v="0"/>
    <n v="0"/>
    <n v="67"/>
    <n v="111"/>
    <n v="0"/>
    <n v="463.6"/>
    <n v="176.58"/>
    <m/>
    <n v="502.18276542172094"/>
    <n v="230.72991454293387"/>
    <n v="0"/>
    <n v="-148.352"/>
    <n v="-56.505600000000008"/>
    <n v="0"/>
    <n v="-160.6984849349507"/>
    <n v="-73.833572653738841"/>
  </r>
  <r>
    <s v="Sistema Isolado - Regular"/>
    <x v="4"/>
    <x v="4"/>
    <x v="4"/>
    <x v="0"/>
    <x v="0"/>
    <x v="0"/>
    <x v="2"/>
    <x v="2"/>
    <n v="0"/>
    <n v="0"/>
    <n v="842.548"/>
    <n v="842.548"/>
    <n v="842.548"/>
    <n v="842.548"/>
    <n v="1014"/>
    <x v="0"/>
    <n v="0"/>
    <n v="0"/>
    <n v="67"/>
    <n v="111"/>
    <n v="0"/>
    <n v="463.6"/>
    <n v="176.58"/>
    <m/>
    <n v="502.18276542172094"/>
    <n v="230.72991454293387"/>
    <n v="0"/>
    <n v="390605.25280000002"/>
    <n v="148777.12584000002"/>
    <n v="0"/>
    <n v="423113.08464054012"/>
    <n v="194401.02803831984"/>
  </r>
  <r>
    <s v="Regular"/>
    <x v="4"/>
    <x v="4"/>
    <x v="4"/>
    <x v="0"/>
    <x v="0"/>
    <x v="0"/>
    <x v="2"/>
    <x v="3"/>
    <n v="0"/>
    <n v="0"/>
    <n v="1872.5809999999999"/>
    <n v="1872.5809999999999"/>
    <n v="1872.5809999999999"/>
    <n v="1872.5809999999999"/>
    <n v="1799"/>
    <x v="0"/>
    <n v="0"/>
    <n v="0"/>
    <n v="67"/>
    <n v="111"/>
    <n v="0"/>
    <n v="463.6"/>
    <n v="176.58"/>
    <m/>
    <n v="502.18276542172094"/>
    <n v="230.72991454293387"/>
    <n v="0"/>
    <n v="868128.55160000001"/>
    <n v="330660.35298000003"/>
    <n v="0"/>
    <n v="940377.90505617158"/>
    <n v="432060.4541047216"/>
  </r>
  <r>
    <s v="Sistema Isolado - Regular"/>
    <x v="4"/>
    <x v="4"/>
    <x v="4"/>
    <x v="0"/>
    <x v="0"/>
    <x v="0"/>
    <x v="2"/>
    <x v="3"/>
    <n v="0"/>
    <n v="0"/>
    <n v="826.08799999999997"/>
    <n v="826.08799999999997"/>
    <n v="826.08799999999997"/>
    <n v="826.08799999999997"/>
    <n v="1018"/>
    <x v="0"/>
    <n v="0"/>
    <n v="0"/>
    <n v="67"/>
    <n v="111"/>
    <n v="0"/>
    <n v="463.6"/>
    <n v="176.58"/>
    <m/>
    <n v="502.18276542172094"/>
    <n v="230.72991454293387"/>
    <n v="0"/>
    <n v="382974.39679999999"/>
    <n v="145870.61903999999"/>
    <n v="0"/>
    <n v="414847.15632169857"/>
    <n v="190603.21364494314"/>
  </r>
  <r>
    <s v="Regular"/>
    <x v="4"/>
    <x v="4"/>
    <x v="4"/>
    <x v="0"/>
    <x v="0"/>
    <x v="0"/>
    <x v="2"/>
    <x v="4"/>
    <n v="0"/>
    <n v="0"/>
    <n v="2228.373"/>
    <n v="2228.373"/>
    <n v="2228.373"/>
    <n v="2228.373"/>
    <n v="1801"/>
    <x v="0"/>
    <n v="0"/>
    <n v="0"/>
    <n v="67"/>
    <n v="111"/>
    <n v="0"/>
    <n v="463.6"/>
    <n v="176.58"/>
    <m/>
    <n v="502.18276542172094"/>
    <n v="230.72991454293387"/>
    <n v="0"/>
    <n v="1033073.7228000001"/>
    <n v="393486.10434000002"/>
    <n v="0"/>
    <n v="1119050.5155310966"/>
    <n v="514152.31185978121"/>
  </r>
  <r>
    <s v="Sistema Isolado - Regular"/>
    <x v="4"/>
    <x v="4"/>
    <x v="4"/>
    <x v="0"/>
    <x v="0"/>
    <x v="0"/>
    <x v="2"/>
    <x v="4"/>
    <n v="0"/>
    <n v="0"/>
    <n v="928.88"/>
    <n v="928.88"/>
    <n v="928.88"/>
    <n v="928.88"/>
    <n v="1021"/>
    <x v="0"/>
    <n v="0"/>
    <n v="0"/>
    <n v="67"/>
    <n v="111"/>
    <n v="0"/>
    <n v="463.6"/>
    <n v="176.58"/>
    <m/>
    <n v="502.18276542172094"/>
    <n v="230.72991454293387"/>
    <n v="0"/>
    <n v="430628.76800000004"/>
    <n v="164021.63040000002"/>
    <n v="0"/>
    <n v="466467.52714492817"/>
    <n v="214320.4030206404"/>
  </r>
  <r>
    <s v="Sistema de Compensação"/>
    <x v="4"/>
    <x v="4"/>
    <x v="4"/>
    <x v="0"/>
    <x v="0"/>
    <x v="0"/>
    <x v="2"/>
    <x v="4"/>
    <n v="0"/>
    <n v="0"/>
    <n v="0.1"/>
    <n v="0.1"/>
    <n v="0.1"/>
    <n v="0.1"/>
    <n v="1"/>
    <x v="0"/>
    <n v="0"/>
    <n v="0"/>
    <n v="67"/>
    <n v="111"/>
    <n v="0"/>
    <n v="463.6"/>
    <n v="176.58"/>
    <m/>
    <n v="502.18276542172094"/>
    <n v="230.72991454293387"/>
    <n v="0"/>
    <n v="46.360000000000007"/>
    <n v="17.658000000000001"/>
    <n v="0"/>
    <n v="50.218276542172099"/>
    <n v="23.072991454293387"/>
  </r>
  <r>
    <s v="Regular"/>
    <x v="4"/>
    <x v="4"/>
    <x v="4"/>
    <x v="0"/>
    <x v="0"/>
    <x v="0"/>
    <x v="2"/>
    <x v="5"/>
    <n v="0"/>
    <n v="0"/>
    <n v="2492.3620000000001"/>
    <n v="2492.3620000000001"/>
    <n v="2492.3620000000001"/>
    <n v="2492.3620000000001"/>
    <n v="1791"/>
    <x v="0"/>
    <n v="0"/>
    <n v="0"/>
    <n v="67"/>
    <n v="111"/>
    <n v="0"/>
    <n v="463.6"/>
    <n v="176.58"/>
    <m/>
    <n v="502.18276542172094"/>
    <n v="230.72991454293387"/>
    <n v="0"/>
    <n v="1155459.0232000002"/>
    <n v="440101.28196000005"/>
    <n v="0"/>
    <n v="1251621.2415920112"/>
    <n v="575062.47127005574"/>
  </r>
  <r>
    <s v="Refaturamento - Regular"/>
    <x v="4"/>
    <x v="4"/>
    <x v="4"/>
    <x v="0"/>
    <x v="0"/>
    <x v="0"/>
    <x v="2"/>
    <x v="5"/>
    <n v="0"/>
    <n v="0"/>
    <n v="-0.16"/>
    <n v="-0.16"/>
    <n v="-0.16"/>
    <n v="-0.16"/>
    <n v="-2"/>
    <x v="0"/>
    <n v="0"/>
    <n v="0"/>
    <n v="67"/>
    <n v="111"/>
    <n v="0"/>
    <n v="463.6"/>
    <n v="176.58"/>
    <m/>
    <n v="502.18276542172094"/>
    <n v="230.72991454293387"/>
    <n v="0"/>
    <n v="-74.176000000000002"/>
    <n v="-28.252800000000004"/>
    <n v="0"/>
    <n v="-80.349242467475349"/>
    <n v="-36.916786326869421"/>
  </r>
  <r>
    <s v="Sistema Isolado - Regular"/>
    <x v="4"/>
    <x v="4"/>
    <x v="4"/>
    <x v="0"/>
    <x v="0"/>
    <x v="0"/>
    <x v="2"/>
    <x v="5"/>
    <n v="0"/>
    <n v="0"/>
    <n v="1046.462"/>
    <n v="1046.462"/>
    <n v="1046.462"/>
    <n v="1046.462"/>
    <n v="1024"/>
    <x v="0"/>
    <n v="0"/>
    <n v="0"/>
    <n v="67"/>
    <n v="111"/>
    <n v="0"/>
    <n v="463.6"/>
    <n v="176.58"/>
    <m/>
    <n v="502.18276542172094"/>
    <n v="230.72991454293387"/>
    <n v="0"/>
    <n v="485139.78320000001"/>
    <n v="184784.25996000002"/>
    <n v="0"/>
    <n v="525515.18106874498"/>
    <n v="241450.08783242767"/>
  </r>
  <r>
    <s v="Sistema de Compensação"/>
    <x v="4"/>
    <x v="4"/>
    <x v="4"/>
    <x v="0"/>
    <x v="0"/>
    <x v="0"/>
    <x v="2"/>
    <x v="5"/>
    <n v="0"/>
    <n v="0"/>
    <n v="0.1"/>
    <n v="0.1"/>
    <n v="0.1"/>
    <n v="0.1"/>
    <n v="1"/>
    <x v="0"/>
    <n v="0"/>
    <n v="0"/>
    <n v="67"/>
    <n v="111"/>
    <n v="0"/>
    <n v="463.6"/>
    <n v="176.58"/>
    <m/>
    <n v="502.18276542172094"/>
    <n v="230.72991454293387"/>
    <n v="0"/>
    <n v="46.360000000000007"/>
    <n v="17.658000000000001"/>
    <n v="0"/>
    <n v="50.218276542172099"/>
    <n v="23.072991454293387"/>
  </r>
  <r>
    <s v="Regular"/>
    <x v="4"/>
    <x v="4"/>
    <x v="4"/>
    <x v="0"/>
    <x v="0"/>
    <x v="0"/>
    <x v="2"/>
    <x v="6"/>
    <n v="0"/>
    <n v="0"/>
    <n v="2354.482"/>
    <n v="2354.482"/>
    <n v="2354.482"/>
    <n v="2354.482"/>
    <n v="1790"/>
    <x v="0"/>
    <n v="0"/>
    <n v="0"/>
    <n v="67"/>
    <n v="111"/>
    <n v="0"/>
    <n v="463.6"/>
    <n v="176.58"/>
    <m/>
    <n v="502.18276542172094"/>
    <n v="230.72991454293387"/>
    <n v="0"/>
    <n v="1091537.8552000001"/>
    <n v="415754.43156"/>
    <n v="0"/>
    <n v="1182380.2818956643"/>
    <n v="543249.43065287604"/>
  </r>
  <r>
    <s v="Refaturamento - Regular"/>
    <x v="4"/>
    <x v="4"/>
    <x v="4"/>
    <x v="0"/>
    <x v="0"/>
    <x v="0"/>
    <x v="2"/>
    <x v="6"/>
    <n v="0"/>
    <n v="0"/>
    <n v="4.7830000000000004"/>
    <n v="4.7830000000000004"/>
    <n v="4.7830000000000004"/>
    <n v="4.7830000000000004"/>
    <n v="2"/>
    <x v="0"/>
    <n v="0"/>
    <n v="0"/>
    <n v="67"/>
    <n v="111"/>
    <n v="0"/>
    <n v="463.6"/>
    <n v="176.58"/>
    <m/>
    <n v="502.18276542172094"/>
    <n v="230.72991454293387"/>
    <n v="0"/>
    <n v="2217.3988000000004"/>
    <n v="844.58214000000009"/>
    <n v="0"/>
    <n v="2401.9401670120915"/>
    <n v="1103.5811812588529"/>
  </r>
  <r>
    <s v="Sistema Isolado - Regular"/>
    <x v="4"/>
    <x v="4"/>
    <x v="4"/>
    <x v="0"/>
    <x v="0"/>
    <x v="0"/>
    <x v="2"/>
    <x v="6"/>
    <n v="0"/>
    <n v="0"/>
    <n v="988.85699999999997"/>
    <n v="988.85699999999997"/>
    <n v="988.85699999999997"/>
    <n v="988.85699999999997"/>
    <n v="1020"/>
    <x v="0"/>
    <n v="0"/>
    <n v="0"/>
    <n v="67"/>
    <n v="111"/>
    <n v="0"/>
    <n v="463.6"/>
    <n v="176.58"/>
    <m/>
    <n v="502.18276542172094"/>
    <n v="230.72991454293387"/>
    <n v="0"/>
    <n v="458434.10519999999"/>
    <n v="174612.36906"/>
    <n v="0"/>
    <n v="496586.94286662672"/>
    <n v="228158.89110518195"/>
  </r>
  <r>
    <s v="Sistema de Compensação"/>
    <x v="4"/>
    <x v="4"/>
    <x v="4"/>
    <x v="0"/>
    <x v="0"/>
    <x v="0"/>
    <x v="2"/>
    <x v="6"/>
    <n v="0"/>
    <n v="0"/>
    <n v="3.0670000000000002"/>
    <n v="3.0670000000000002"/>
    <n v="3.0670000000000002"/>
    <n v="3.0670000000000002"/>
    <n v="3"/>
    <x v="0"/>
    <n v="0"/>
    <n v="0"/>
    <n v="67"/>
    <n v="111"/>
    <n v="0"/>
    <n v="463.6"/>
    <n v="176.58"/>
    <m/>
    <n v="502.18276542172094"/>
    <n v="230.72991454293387"/>
    <n v="0"/>
    <n v="1421.8612000000001"/>
    <n v="541.57086000000004"/>
    <n v="0"/>
    <n v="1540.1945415484183"/>
    <n v="707.64864790317824"/>
  </r>
  <r>
    <s v="Sistema de Compensação"/>
    <x v="4"/>
    <x v="4"/>
    <x v="4"/>
    <x v="0"/>
    <x v="0"/>
    <x v="0"/>
    <x v="2"/>
    <x v="6"/>
    <n v="0"/>
    <n v="0"/>
    <n v="1.0609999999999999"/>
    <n v="1.0609999999999999"/>
    <n v="1.0609999999999999"/>
    <n v="1.0609999999999999"/>
    <n v="1"/>
    <x v="0"/>
    <n v="0"/>
    <n v="0"/>
    <n v="67"/>
    <n v="111"/>
    <n v="0"/>
    <n v="463.6"/>
    <n v="176.58"/>
    <m/>
    <n v="502.18276542172094"/>
    <n v="230.72991454293387"/>
    <n v="0"/>
    <n v="491.87959999999998"/>
    <n v="187.35138000000001"/>
    <n v="0"/>
    <n v="532.81591411244585"/>
    <n v="244.80443933005282"/>
  </r>
  <r>
    <s v="Regular"/>
    <x v="4"/>
    <x v="4"/>
    <x v="4"/>
    <x v="0"/>
    <x v="0"/>
    <x v="0"/>
    <x v="2"/>
    <x v="7"/>
    <n v="0"/>
    <n v="0"/>
    <n v="2655.08"/>
    <n v="2655.08"/>
    <n v="2655.08"/>
    <n v="2655.08"/>
    <n v="1791"/>
    <x v="0"/>
    <n v="0"/>
    <n v="0"/>
    <n v="67"/>
    <n v="111"/>
    <n v="0"/>
    <n v="463.6"/>
    <n v="176.58"/>
    <m/>
    <n v="502.18276542172094"/>
    <n v="230.72991454293387"/>
    <n v="0"/>
    <n v="1230895.088"/>
    <n v="468834.02640000003"/>
    <n v="0"/>
    <n v="1333335.4168159028"/>
    <n v="612606.38150465279"/>
  </r>
  <r>
    <s v="Refaturamento - Regular"/>
    <x v="4"/>
    <x v="4"/>
    <x v="4"/>
    <x v="0"/>
    <x v="0"/>
    <x v="0"/>
    <x v="2"/>
    <x v="7"/>
    <n v="0"/>
    <n v="0"/>
    <n v="2.4660000000000002"/>
    <n v="2.4660000000000002"/>
    <n v="2.4660000000000002"/>
    <n v="2.4660000000000002"/>
    <n v="-1"/>
    <x v="0"/>
    <n v="0"/>
    <n v="0"/>
    <n v="67"/>
    <n v="111"/>
    <n v="0"/>
    <n v="463.6"/>
    <n v="176.58"/>
    <m/>
    <n v="502.18276542172094"/>
    <n v="230.72991454293387"/>
    <n v="0"/>
    <n v="1143.2376000000002"/>
    <n v="435.44628000000006"/>
    <n v="0"/>
    <n v="1238.3826995299639"/>
    <n v="568.97996926287499"/>
  </r>
  <r>
    <s v="Sistema Isolado - Regular"/>
    <x v="4"/>
    <x v="4"/>
    <x v="4"/>
    <x v="0"/>
    <x v="0"/>
    <x v="0"/>
    <x v="2"/>
    <x v="7"/>
    <n v="0"/>
    <n v="0"/>
    <n v="1157.019"/>
    <n v="1157.019"/>
    <n v="1157.019"/>
    <n v="1157.019"/>
    <n v="1032"/>
    <x v="0"/>
    <n v="0"/>
    <n v="0"/>
    <n v="67"/>
    <n v="111"/>
    <n v="0"/>
    <n v="463.6"/>
    <n v="176.58"/>
    <m/>
    <n v="502.18276542172094"/>
    <n v="230.72991454293387"/>
    <n v="0"/>
    <n v="536394.00840000005"/>
    <n v="204306.41502000001"/>
    <n v="0"/>
    <n v="581035.00106547412"/>
    <n v="266958.89499455079"/>
  </r>
  <r>
    <s v="Sistema de Compensação"/>
    <x v="4"/>
    <x v="4"/>
    <x v="4"/>
    <x v="0"/>
    <x v="0"/>
    <x v="0"/>
    <x v="2"/>
    <x v="7"/>
    <n v="0"/>
    <n v="0"/>
    <n v="1.909"/>
    <n v="1.909"/>
    <n v="1.909"/>
    <n v="1.909"/>
    <n v="2"/>
    <x v="0"/>
    <n v="0"/>
    <n v="0"/>
    <n v="67"/>
    <n v="111"/>
    <n v="0"/>
    <n v="463.6"/>
    <n v="176.58"/>
    <m/>
    <n v="502.18276542172094"/>
    <n v="230.72991454293387"/>
    <n v="0"/>
    <n v="885.01240000000007"/>
    <n v="337.09122000000002"/>
    <n v="0"/>
    <n v="958.66689919006535"/>
    <n v="440.46340686246077"/>
  </r>
  <r>
    <s v="Sistema de Compensação"/>
    <x v="4"/>
    <x v="4"/>
    <x v="4"/>
    <x v="0"/>
    <x v="0"/>
    <x v="0"/>
    <x v="2"/>
    <x v="7"/>
    <n v="0"/>
    <n v="0"/>
    <n v="0.52200000000000002"/>
    <n v="0.52200000000000002"/>
    <n v="0.52200000000000002"/>
    <n v="0.52200000000000002"/>
    <n v="0"/>
    <x v="0"/>
    <n v="0"/>
    <n v="0"/>
    <n v="67"/>
    <n v="111"/>
    <n v="0"/>
    <n v="463.6"/>
    <n v="176.58"/>
    <m/>
    <n v="502.18276542172094"/>
    <n v="230.72991454293387"/>
    <n v="0"/>
    <n v="241.99920000000003"/>
    <n v="92.174760000000006"/>
    <n v="0"/>
    <n v="262.13940355013835"/>
    <n v="120.44101539141148"/>
  </r>
  <r>
    <s v="Regular"/>
    <x v="4"/>
    <x v="4"/>
    <x v="4"/>
    <x v="0"/>
    <x v="0"/>
    <x v="0"/>
    <x v="2"/>
    <x v="8"/>
    <n v="0"/>
    <n v="0"/>
    <n v="2868.5"/>
    <n v="2868.5"/>
    <n v="2868.5"/>
    <n v="2868.5"/>
    <n v="1794"/>
    <x v="0"/>
    <n v="0"/>
    <n v="0"/>
    <n v="67"/>
    <n v="111"/>
    <n v="0"/>
    <n v="463.6"/>
    <n v="176.58"/>
    <m/>
    <n v="502.18276542172094"/>
    <n v="230.72991454293387"/>
    <n v="0"/>
    <n v="1329836.6000000001"/>
    <n v="506519.73000000004"/>
    <n v="0"/>
    <n v="1440511.2626122066"/>
    <n v="661848.75986640586"/>
  </r>
  <r>
    <s v="Refaturamento - Regular"/>
    <x v="4"/>
    <x v="4"/>
    <x v="4"/>
    <x v="0"/>
    <x v="0"/>
    <x v="0"/>
    <x v="2"/>
    <x v="8"/>
    <n v="0"/>
    <n v="0"/>
    <n v="0.14299999999999999"/>
    <n v="0.14299999999999999"/>
    <n v="0.14299999999999999"/>
    <n v="0.14299999999999999"/>
    <n v="-2"/>
    <x v="0"/>
    <n v="0"/>
    <n v="0"/>
    <n v="67"/>
    <n v="111"/>
    <n v="0"/>
    <n v="463.6"/>
    <n v="176.58"/>
    <m/>
    <n v="502.18276542172094"/>
    <n v="230.72991454293387"/>
    <n v="0"/>
    <n v="66.294799999999995"/>
    <n v="25.25094"/>
    <n v="0"/>
    <n v="71.812135455306091"/>
    <n v="32.994377779639542"/>
  </r>
  <r>
    <s v="Sistema Isolado - Regular"/>
    <x v="4"/>
    <x v="4"/>
    <x v="4"/>
    <x v="0"/>
    <x v="0"/>
    <x v="0"/>
    <x v="2"/>
    <x v="8"/>
    <n v="0"/>
    <n v="0"/>
    <n v="1115.1610000000001"/>
    <n v="1115.1610000000001"/>
    <n v="1115.1610000000001"/>
    <n v="1115.1610000000001"/>
    <n v="1036"/>
    <x v="0"/>
    <n v="0"/>
    <n v="0"/>
    <n v="67"/>
    <n v="111"/>
    <n v="0"/>
    <n v="463.6"/>
    <n v="176.58"/>
    <m/>
    <n v="502.18276542172094"/>
    <n v="230.72991454293387"/>
    <n v="0"/>
    <n v="516988.63960000005"/>
    <n v="196915.12938000003"/>
    <n v="0"/>
    <n v="560014.63487045176"/>
    <n v="257301.00223161269"/>
  </r>
  <r>
    <s v="Sistema de Compensação"/>
    <x v="4"/>
    <x v="4"/>
    <x v="4"/>
    <x v="0"/>
    <x v="0"/>
    <x v="0"/>
    <x v="2"/>
    <x v="8"/>
    <n v="0"/>
    <n v="0"/>
    <n v="1.05"/>
    <n v="1.05"/>
    <n v="1.05"/>
    <n v="1.05"/>
    <n v="2"/>
    <x v="0"/>
    <n v="0"/>
    <n v="0"/>
    <n v="67"/>
    <n v="111"/>
    <n v="0"/>
    <n v="463.6"/>
    <n v="176.58"/>
    <m/>
    <n v="502.18276542172094"/>
    <n v="230.72991454293387"/>
    <n v="0"/>
    <n v="486.78000000000003"/>
    <n v="185.40900000000002"/>
    <n v="0"/>
    <n v="527.29190369280707"/>
    <n v="242.26641027008057"/>
  </r>
  <r>
    <s v="Regular"/>
    <x v="4"/>
    <x v="4"/>
    <x v="4"/>
    <x v="0"/>
    <x v="0"/>
    <x v="0"/>
    <x v="2"/>
    <x v="9"/>
    <n v="0"/>
    <n v="0"/>
    <n v="2589.1"/>
    <n v="2589.1"/>
    <n v="2589.1"/>
    <n v="2589.1"/>
    <n v="1799"/>
    <x v="0"/>
    <n v="0"/>
    <n v="0"/>
    <n v="67"/>
    <n v="111"/>
    <n v="0"/>
    <n v="463.6"/>
    <n v="176.58"/>
    <m/>
    <n v="502.18276542172094"/>
    <n v="230.72991454293387"/>
    <n v="0"/>
    <n v="1200306.76"/>
    <n v="457183.27799999999"/>
    <n v="0"/>
    <n v="1300201.3979533776"/>
    <n v="597382.82174311008"/>
  </r>
  <r>
    <s v="Sistema Isolado - Regular"/>
    <x v="4"/>
    <x v="4"/>
    <x v="4"/>
    <x v="0"/>
    <x v="0"/>
    <x v="0"/>
    <x v="2"/>
    <x v="9"/>
    <n v="0"/>
    <n v="0"/>
    <n v="1138.297"/>
    <n v="1138.297"/>
    <n v="1138.297"/>
    <n v="1138.297"/>
    <n v="1037"/>
    <x v="0"/>
    <n v="0"/>
    <n v="0"/>
    <n v="67"/>
    <n v="111"/>
    <n v="0"/>
    <n v="463.6"/>
    <n v="176.58"/>
    <m/>
    <n v="502.18276542172094"/>
    <n v="230.72991454293387"/>
    <n v="0"/>
    <n v="527714.48920000007"/>
    <n v="201000.48426000003"/>
    <n v="0"/>
    <n v="571633.13533124875"/>
    <n v="262639.16953447799"/>
  </r>
  <r>
    <s v="Sistema Isolado - Refaturamento"/>
    <x v="4"/>
    <x v="4"/>
    <x v="4"/>
    <x v="0"/>
    <x v="0"/>
    <x v="0"/>
    <x v="2"/>
    <x v="9"/>
    <n v="0"/>
    <n v="0"/>
    <n v="6.2450000000000001"/>
    <n v="6.2450000000000001"/>
    <n v="6.2450000000000001"/>
    <n v="6.2450000000000001"/>
    <n v="0"/>
    <x v="0"/>
    <n v="0"/>
    <n v="0"/>
    <n v="67"/>
    <n v="111"/>
    <n v="0"/>
    <n v="463.6"/>
    <n v="176.58"/>
    <m/>
    <n v="502.18276542172094"/>
    <n v="230.72991454293387"/>
    <n v="0"/>
    <n v="2895.1820000000002"/>
    <n v="1102.7421000000002"/>
    <n v="0"/>
    <n v="3136.1313700586475"/>
    <n v="1440.9083163206221"/>
  </r>
  <r>
    <s v="Sistema de Compensação"/>
    <x v="4"/>
    <x v="4"/>
    <x v="4"/>
    <x v="0"/>
    <x v="0"/>
    <x v="0"/>
    <x v="2"/>
    <x v="9"/>
    <n v="0"/>
    <n v="0"/>
    <n v="0.57399999999999995"/>
    <n v="0.57399999999999995"/>
    <n v="0.57399999999999995"/>
    <n v="0.57399999999999995"/>
    <n v="2"/>
    <x v="0"/>
    <n v="0"/>
    <n v="0"/>
    <n v="67"/>
    <n v="111"/>
    <n v="0"/>
    <n v="463.6"/>
    <n v="176.58"/>
    <m/>
    <n v="502.18276542172094"/>
    <n v="230.72991454293387"/>
    <n v="0"/>
    <n v="266.10640000000001"/>
    <n v="101.35692"/>
    <n v="0"/>
    <n v="288.25290735206778"/>
    <n v="132.43897094764404"/>
  </r>
  <r>
    <s v="Regular"/>
    <x v="4"/>
    <x v="4"/>
    <x v="4"/>
    <x v="0"/>
    <x v="0"/>
    <x v="0"/>
    <x v="2"/>
    <x v="10"/>
    <n v="0"/>
    <n v="0"/>
    <n v="3006.2080000000001"/>
    <n v="3006.2080000000001"/>
    <n v="3006.2080000000001"/>
    <n v="3006.2080000000001"/>
    <n v="1788"/>
    <x v="0"/>
    <n v="0"/>
    <n v="0"/>
    <n v="67"/>
    <n v="111"/>
    <n v="0"/>
    <n v="463.6"/>
    <n v="176.58"/>
    <m/>
    <n v="502.18276542172094"/>
    <n v="230.72991454293387"/>
    <n v="0"/>
    <n v="1393678.0288000002"/>
    <n v="530836.20864000008"/>
    <n v="0"/>
    <n v="1509665.8468729008"/>
    <n v="693622.11493828415"/>
  </r>
  <r>
    <s v="Refaturamento - Regular"/>
    <x v="4"/>
    <x v="4"/>
    <x v="4"/>
    <x v="0"/>
    <x v="0"/>
    <x v="0"/>
    <x v="2"/>
    <x v="10"/>
    <n v="0"/>
    <n v="0"/>
    <n v="-4.3120000000000003"/>
    <n v="-4.3120000000000003"/>
    <n v="-4.3120000000000003"/>
    <n v="-4.3120000000000003"/>
    <n v="0"/>
    <x v="0"/>
    <n v="0"/>
    <n v="0"/>
    <n v="67"/>
    <n v="111"/>
    <n v="0"/>
    <n v="463.6"/>
    <n v="176.58"/>
    <m/>
    <n v="502.18276542172094"/>
    <n v="230.72991454293387"/>
    <n v="0"/>
    <n v="-1999.0432000000003"/>
    <n v="-761.41296000000011"/>
    <n v="0"/>
    <n v="-2165.4120844984609"/>
    <n v="-994.90739150913089"/>
  </r>
  <r>
    <s v="Sistema Isolado - Regular"/>
    <x v="4"/>
    <x v="4"/>
    <x v="4"/>
    <x v="0"/>
    <x v="0"/>
    <x v="0"/>
    <x v="2"/>
    <x v="10"/>
    <n v="0"/>
    <n v="0"/>
    <n v="1290.7349999999999"/>
    <n v="1290.7349999999999"/>
    <n v="1290.7349999999999"/>
    <n v="1290.7349999999999"/>
    <n v="1036"/>
    <x v="0"/>
    <n v="0"/>
    <n v="0"/>
    <n v="67"/>
    <n v="111"/>
    <n v="0"/>
    <n v="463.6"/>
    <n v="176.58"/>
    <m/>
    <n v="502.18276542172094"/>
    <n v="230.72991454293387"/>
    <n v="0"/>
    <n v="598384.74599999993"/>
    <n v="227917.98629999999"/>
    <n v="0"/>
    <n v="648184.87172660488"/>
    <n v="297811.17624757375"/>
  </r>
  <r>
    <s v="Sistema Isolado - Refaturamento"/>
    <x v="4"/>
    <x v="4"/>
    <x v="4"/>
    <x v="0"/>
    <x v="0"/>
    <x v="0"/>
    <x v="2"/>
    <x v="10"/>
    <n v="0"/>
    <n v="0"/>
    <n v="-9.4550000000000001"/>
    <n v="-9.4550000000000001"/>
    <n v="-9.4550000000000001"/>
    <n v="-9.4550000000000001"/>
    <n v="0"/>
    <x v="0"/>
    <n v="0"/>
    <n v="0"/>
    <n v="67"/>
    <n v="111"/>
    <n v="0"/>
    <n v="463.6"/>
    <n v="176.58"/>
    <m/>
    <n v="502.18276542172094"/>
    <n v="230.72991454293387"/>
    <n v="0"/>
    <n v="-4383.3380000000006"/>
    <n v="-1669.5639000000001"/>
    <n v="0"/>
    <n v="-4748.1380470623717"/>
    <n v="-2181.5513420034399"/>
  </r>
  <r>
    <s v="Sistema de Compensação"/>
    <x v="4"/>
    <x v="4"/>
    <x v="4"/>
    <x v="0"/>
    <x v="0"/>
    <x v="0"/>
    <x v="2"/>
    <x v="10"/>
    <n v="0"/>
    <n v="0"/>
    <n v="0.98099999999999998"/>
    <n v="0.98099999999999998"/>
    <n v="0.98099999999999998"/>
    <n v="0.98099999999999998"/>
    <n v="2"/>
    <x v="0"/>
    <n v="0"/>
    <n v="0"/>
    <n v="67"/>
    <n v="111"/>
    <n v="0"/>
    <n v="463.6"/>
    <n v="176.58"/>
    <m/>
    <n v="502.18276542172094"/>
    <n v="230.72991454293387"/>
    <n v="0"/>
    <n v="454.79160000000002"/>
    <n v="173.22498000000002"/>
    <n v="0"/>
    <n v="492.64129287870821"/>
    <n v="226.34604616661812"/>
  </r>
  <r>
    <s v="PROJETADO"/>
    <x v="4"/>
    <x v="4"/>
    <x v="4"/>
    <x v="0"/>
    <x v="0"/>
    <x v="0"/>
    <x v="2"/>
    <x v="11"/>
    <n v="0"/>
    <n v="0"/>
    <n v="3006.2080000000001"/>
    <n v="3006.2080000000001"/>
    <n v="3006.2080000000001"/>
    <n v="3006.2080000000001"/>
    <n v="1788"/>
    <x v="0"/>
    <n v="0"/>
    <n v="0"/>
    <n v="67"/>
    <n v="111"/>
    <n v="0"/>
    <n v="463.6"/>
    <n v="176.58"/>
    <m/>
    <n v="502.18276542172094"/>
    <n v="230.72991454293387"/>
    <n v="0"/>
    <n v="1393678.0288000002"/>
    <n v="530836.20864000008"/>
    <n v="0"/>
    <n v="1509665.8468729008"/>
    <n v="693622.11493828415"/>
  </r>
  <r>
    <s v="PROJETADO"/>
    <x v="4"/>
    <x v="4"/>
    <x v="4"/>
    <x v="0"/>
    <x v="0"/>
    <x v="0"/>
    <x v="2"/>
    <x v="11"/>
    <n v="0"/>
    <n v="0"/>
    <n v="-4.3120000000000003"/>
    <n v="-4.3120000000000003"/>
    <n v="-4.3120000000000003"/>
    <n v="-4.3120000000000003"/>
    <n v="0"/>
    <x v="0"/>
    <n v="0"/>
    <n v="0"/>
    <n v="67"/>
    <n v="111"/>
    <n v="0"/>
    <n v="463.6"/>
    <n v="176.58"/>
    <m/>
    <n v="502.18276542172094"/>
    <n v="230.72991454293387"/>
    <n v="0"/>
    <n v="-1999.0432000000003"/>
    <n v="-761.41296000000011"/>
    <n v="0"/>
    <n v="-2165.4120844984609"/>
    <n v="-994.90739150913089"/>
  </r>
  <r>
    <s v="PROJETADO"/>
    <x v="4"/>
    <x v="4"/>
    <x v="4"/>
    <x v="0"/>
    <x v="0"/>
    <x v="0"/>
    <x v="2"/>
    <x v="11"/>
    <n v="0"/>
    <n v="0"/>
    <n v="1290.7349999999999"/>
    <n v="1290.7349999999999"/>
    <n v="1290.7349999999999"/>
    <n v="1290.7349999999999"/>
    <n v="1036"/>
    <x v="0"/>
    <n v="0"/>
    <n v="0"/>
    <n v="67"/>
    <n v="111"/>
    <n v="0"/>
    <n v="463.6"/>
    <n v="176.58"/>
    <m/>
    <n v="502.18276542172094"/>
    <n v="230.72991454293387"/>
    <n v="0"/>
    <n v="598384.74599999993"/>
    <n v="227917.98629999999"/>
    <n v="0"/>
    <n v="648184.87172660488"/>
    <n v="297811.17624757375"/>
  </r>
  <r>
    <s v="PROJETADO"/>
    <x v="4"/>
    <x v="4"/>
    <x v="4"/>
    <x v="0"/>
    <x v="0"/>
    <x v="0"/>
    <x v="2"/>
    <x v="11"/>
    <n v="0"/>
    <n v="0"/>
    <n v="-9.4550000000000001"/>
    <n v="-9.4550000000000001"/>
    <n v="-9.4550000000000001"/>
    <n v="-9.4550000000000001"/>
    <n v="0"/>
    <x v="0"/>
    <n v="0"/>
    <n v="0"/>
    <n v="67"/>
    <n v="111"/>
    <n v="0"/>
    <n v="463.6"/>
    <n v="176.58"/>
    <m/>
    <n v="502.18276542172094"/>
    <n v="230.72991454293387"/>
    <n v="0"/>
    <n v="-4383.3380000000006"/>
    <n v="-1669.5639000000001"/>
    <n v="0"/>
    <n v="-4748.1380470623717"/>
    <n v="-2181.5513420034399"/>
  </r>
  <r>
    <s v="PROJETADO"/>
    <x v="4"/>
    <x v="4"/>
    <x v="4"/>
    <x v="0"/>
    <x v="0"/>
    <x v="0"/>
    <x v="2"/>
    <x v="11"/>
    <n v="0"/>
    <n v="0"/>
    <n v="0.98099999999999998"/>
    <n v="0.98099999999999998"/>
    <n v="0.98099999999999998"/>
    <n v="0.98099999999999998"/>
    <n v="2"/>
    <x v="0"/>
    <n v="0"/>
    <n v="0"/>
    <n v="67"/>
    <n v="111"/>
    <n v="0"/>
    <n v="463.6"/>
    <n v="176.58"/>
    <m/>
    <n v="502.18276542172094"/>
    <n v="230.72991454293387"/>
    <n v="0"/>
    <n v="454.79160000000002"/>
    <n v="173.22498000000002"/>
    <n v="0"/>
    <n v="492.64129287870821"/>
    <n v="226.34604616661812"/>
  </r>
  <r>
    <s v="Regular"/>
    <x v="4"/>
    <x v="4"/>
    <x v="3"/>
    <x v="2"/>
    <x v="0"/>
    <x v="0"/>
    <x v="2"/>
    <x v="0"/>
    <n v="0"/>
    <n v="0"/>
    <n v="207.70500000000001"/>
    <n v="207.70500000000001"/>
    <n v="207.70500000000001"/>
    <n v="207.70500000000001"/>
    <n v="85"/>
    <x v="0"/>
    <n v="0"/>
    <n v="0"/>
    <n v="67"/>
    <n v="111"/>
    <n v="0"/>
    <n v="435.78399999999999"/>
    <n v="165.98519999999999"/>
    <m/>
    <n v="487.11728245906932"/>
    <n v="223.80801710664585"/>
    <n v="0"/>
    <n v="90514.51572000001"/>
    <n v="34475.955966000001"/>
    <n v="0"/>
    <n v="101176.695153161"/>
    <n v="46486.04419313588"/>
  </r>
  <r>
    <s v="Sistema Isolado - Regular"/>
    <x v="4"/>
    <x v="4"/>
    <x v="3"/>
    <x v="2"/>
    <x v="0"/>
    <x v="0"/>
    <x v="2"/>
    <x v="0"/>
    <n v="0"/>
    <n v="0"/>
    <n v="578.97699999999998"/>
    <n v="578.97699999999998"/>
    <n v="578.97699999999998"/>
    <n v="578.97699999999998"/>
    <n v="111"/>
    <x v="0"/>
    <n v="0"/>
    <n v="0"/>
    <n v="67"/>
    <n v="111"/>
    <n v="0"/>
    <n v="435.78399999999999"/>
    <n v="165.98519999999999"/>
    <m/>
    <n v="487.11728245906932"/>
    <n v="223.80801710664585"/>
    <n v="0"/>
    <n v="252308.91296799999"/>
    <n v="96101.61314039999"/>
    <n v="0"/>
    <n v="282029.70284630457"/>
    <n v="129579.69432035449"/>
  </r>
  <r>
    <s v="Regular"/>
    <x v="4"/>
    <x v="4"/>
    <x v="3"/>
    <x v="2"/>
    <x v="0"/>
    <x v="0"/>
    <x v="2"/>
    <x v="1"/>
    <n v="0"/>
    <n v="0"/>
    <n v="227.67"/>
    <n v="227.67"/>
    <n v="227.67"/>
    <n v="227.67"/>
    <n v="83"/>
    <x v="0"/>
    <n v="0"/>
    <n v="0"/>
    <n v="67"/>
    <n v="111"/>
    <n v="0"/>
    <n v="435.78399999999999"/>
    <n v="165.98519999999999"/>
    <m/>
    <n v="487.11728245906932"/>
    <n v="223.80801710664585"/>
    <n v="0"/>
    <n v="99214.943279999992"/>
    <n v="37789.850483999995"/>
    <n v="0"/>
    <n v="110901.99169745631"/>
    <n v="50954.371254670055"/>
  </r>
  <r>
    <s v="Sistema Isolado - Regular"/>
    <x v="4"/>
    <x v="4"/>
    <x v="3"/>
    <x v="2"/>
    <x v="0"/>
    <x v="0"/>
    <x v="2"/>
    <x v="1"/>
    <n v="0"/>
    <n v="0"/>
    <n v="583.32899999999995"/>
    <n v="583.32899999999995"/>
    <n v="583.32899999999995"/>
    <n v="583.32899999999995"/>
    <n v="111"/>
    <x v="0"/>
    <n v="0"/>
    <n v="0"/>
    <n v="67"/>
    <n v="111"/>
    <n v="0"/>
    <n v="435.78399999999999"/>
    <n v="165.98519999999999"/>
    <m/>
    <n v="487.11728245906932"/>
    <n v="223.80801710664585"/>
    <n v="0"/>
    <n v="254205.44493599999"/>
    <n v="96823.980730799987"/>
    <n v="0"/>
    <n v="284149.6372595664"/>
    <n v="130553.7068108026"/>
  </r>
  <r>
    <s v="Regular"/>
    <x v="4"/>
    <x v="4"/>
    <x v="3"/>
    <x v="2"/>
    <x v="0"/>
    <x v="0"/>
    <x v="2"/>
    <x v="2"/>
    <n v="0"/>
    <n v="0"/>
    <n v="212.714"/>
    <n v="212.714"/>
    <n v="212.714"/>
    <n v="212.714"/>
    <n v="83"/>
    <x v="0"/>
    <n v="0"/>
    <n v="0"/>
    <n v="67"/>
    <n v="111"/>
    <n v="0"/>
    <n v="435.78399999999999"/>
    <n v="165.98519999999999"/>
    <m/>
    <n v="487.11728245906932"/>
    <n v="223.80801710664585"/>
    <n v="0"/>
    <n v="92697.357776000004"/>
    <n v="35307.375832799997"/>
    <n v="0"/>
    <n v="103616.66562099846"/>
    <n v="47607.098550823066"/>
  </r>
  <r>
    <s v="Refaturamento - Regular"/>
    <x v="4"/>
    <x v="4"/>
    <x v="3"/>
    <x v="2"/>
    <x v="0"/>
    <x v="0"/>
    <x v="2"/>
    <x v="2"/>
    <n v="0"/>
    <n v="0"/>
    <n v="4.2999999999999997E-2"/>
    <n v="4.2999999999999997E-2"/>
    <n v="4.2999999999999997E-2"/>
    <n v="4.2999999999999997E-2"/>
    <n v="0"/>
    <x v="0"/>
    <n v="0"/>
    <n v="0"/>
    <n v="67"/>
    <n v="111"/>
    <n v="0"/>
    <n v="435.78399999999999"/>
    <n v="165.98519999999999"/>
    <m/>
    <n v="487.11728245906932"/>
    <n v="223.80801710664585"/>
    <n v="0"/>
    <n v="18.738712"/>
    <n v="7.1373635999999987"/>
    <n v="0"/>
    <n v="20.946043145739978"/>
    <n v="9.6237447355857704"/>
  </r>
  <r>
    <s v="Sistema Isolado - Regular"/>
    <x v="4"/>
    <x v="4"/>
    <x v="3"/>
    <x v="2"/>
    <x v="0"/>
    <x v="0"/>
    <x v="2"/>
    <x v="2"/>
    <n v="0"/>
    <n v="0"/>
    <n v="576.90099999999995"/>
    <n v="576.90099999999995"/>
    <n v="576.90099999999995"/>
    <n v="576.90099999999995"/>
    <n v="111"/>
    <x v="0"/>
    <n v="0"/>
    <n v="0"/>
    <n v="67"/>
    <n v="111"/>
    <n v="0"/>
    <n v="435.78399999999999"/>
    <n v="165.98519999999999"/>
    <m/>
    <n v="487.11728245906932"/>
    <n v="223.80801710664585"/>
    <n v="0"/>
    <n v="251404.22538399996"/>
    <n v="95757.027865199983"/>
    <n v="0"/>
    <n v="281018.44736791955"/>
    <n v="129115.06887684109"/>
  </r>
  <r>
    <s v="Regular"/>
    <x v="4"/>
    <x v="4"/>
    <x v="3"/>
    <x v="2"/>
    <x v="0"/>
    <x v="0"/>
    <x v="2"/>
    <x v="3"/>
    <n v="0"/>
    <n v="0"/>
    <n v="199.59299999999999"/>
    <n v="199.59299999999999"/>
    <n v="199.59299999999999"/>
    <n v="199.59299999999999"/>
    <n v="81"/>
    <x v="0"/>
    <n v="0"/>
    <n v="0"/>
    <n v="67"/>
    <n v="111"/>
    <n v="0"/>
    <n v="435.78399999999999"/>
    <n v="165.98519999999999"/>
    <m/>
    <n v="487.11728245906932"/>
    <n v="223.80801710664585"/>
    <n v="0"/>
    <n v="86979.435912000001"/>
    <n v="33129.484023599995"/>
    <n v="0"/>
    <n v="97225.199757853014"/>
    <n v="44670.513558366765"/>
  </r>
  <r>
    <s v="Sistema Isolado - Regular"/>
    <x v="4"/>
    <x v="4"/>
    <x v="3"/>
    <x v="2"/>
    <x v="0"/>
    <x v="0"/>
    <x v="2"/>
    <x v="3"/>
    <n v="0"/>
    <n v="0"/>
    <n v="556.97799999999995"/>
    <n v="556.97799999999995"/>
    <n v="556.97799999999995"/>
    <n v="556.97799999999995"/>
    <n v="110"/>
    <x v="0"/>
    <n v="0"/>
    <n v="0"/>
    <n v="67"/>
    <n v="111"/>
    <n v="0"/>
    <n v="435.78399999999999"/>
    <n v="165.98519999999999"/>
    <m/>
    <n v="487.11728245906932"/>
    <n v="223.80801710664585"/>
    <n v="0"/>
    <n v="242722.10075199997"/>
    <n v="92450.104725599987"/>
    <n v="0"/>
    <n v="271313.60974948748"/>
    <n v="124656.14175202537"/>
  </r>
  <r>
    <s v="Regular"/>
    <x v="4"/>
    <x v="4"/>
    <x v="3"/>
    <x v="2"/>
    <x v="0"/>
    <x v="0"/>
    <x v="2"/>
    <x v="4"/>
    <n v="0"/>
    <n v="0"/>
    <n v="228.82"/>
    <n v="228.82"/>
    <n v="228.82"/>
    <n v="228.82"/>
    <n v="64"/>
    <x v="0"/>
    <n v="0"/>
    <n v="0"/>
    <n v="67"/>
    <n v="111"/>
    <n v="0"/>
    <n v="435.78399999999999"/>
    <n v="165.98519999999999"/>
    <m/>
    <n v="487.11728245906932"/>
    <n v="223.80801710664585"/>
    <n v="0"/>
    <n v="99716.09487999999"/>
    <n v="37980.733463999997"/>
    <n v="0"/>
    <n v="111462.17657228424"/>
    <n v="51211.750474342705"/>
  </r>
  <r>
    <s v="Sistema Isolado - Regular"/>
    <x v="4"/>
    <x v="4"/>
    <x v="3"/>
    <x v="2"/>
    <x v="0"/>
    <x v="0"/>
    <x v="2"/>
    <x v="4"/>
    <n v="0"/>
    <n v="0"/>
    <n v="619.88599999999997"/>
    <n v="619.88599999999997"/>
    <n v="619.88599999999997"/>
    <n v="619.88599999999997"/>
    <n v="110"/>
    <x v="0"/>
    <n v="0"/>
    <n v="0"/>
    <n v="67"/>
    <n v="111"/>
    <n v="0"/>
    <n v="435.78399999999999"/>
    <n v="165.98519999999999"/>
    <m/>
    <n v="487.11728245906932"/>
    <n v="223.80801710664585"/>
    <n v="0"/>
    <n v="270136.400624"/>
    <n v="102891.90168719999"/>
    <n v="0"/>
    <n v="301957.18375442264"/>
    <n v="138735.45649217025"/>
  </r>
  <r>
    <s v="Regular"/>
    <x v="4"/>
    <x v="4"/>
    <x v="3"/>
    <x v="2"/>
    <x v="0"/>
    <x v="0"/>
    <x v="2"/>
    <x v="5"/>
    <n v="0"/>
    <n v="0"/>
    <n v="192.78"/>
    <n v="192.78"/>
    <n v="192.78"/>
    <n v="192.78"/>
    <n v="44"/>
    <x v="0"/>
    <n v="0"/>
    <n v="0"/>
    <n v="67"/>
    <n v="111"/>
    <n v="0"/>
    <n v="435.78399999999999"/>
    <n v="165.98519999999999"/>
    <m/>
    <n v="487.11728245906932"/>
    <n v="223.80801710664585"/>
    <n v="0"/>
    <n v="84010.43952"/>
    <n v="31998.626855999999"/>
    <n v="0"/>
    <n v="93906.46971245938"/>
    <n v="43145.709537819188"/>
  </r>
  <r>
    <s v="Refaturamento - Regular"/>
    <x v="4"/>
    <x v="4"/>
    <x v="3"/>
    <x v="2"/>
    <x v="0"/>
    <x v="0"/>
    <x v="2"/>
    <x v="5"/>
    <n v="0"/>
    <n v="0"/>
    <n v="-0.1"/>
    <n v="-0.1"/>
    <n v="-0.1"/>
    <n v="-0.1"/>
    <n v="-1"/>
    <x v="0"/>
    <n v="0"/>
    <n v="0"/>
    <n v="67"/>
    <n v="111"/>
    <n v="0"/>
    <n v="435.78399999999999"/>
    <n v="165.98519999999999"/>
    <m/>
    <n v="487.11728245906932"/>
    <n v="223.80801710664585"/>
    <n v="0"/>
    <n v="-43.578400000000002"/>
    <n v="-16.598520000000001"/>
    <n v="0"/>
    <n v="-48.711728245906933"/>
    <n v="-22.380801710664585"/>
  </r>
  <r>
    <s v="Sistema Isolado - Regular"/>
    <x v="4"/>
    <x v="4"/>
    <x v="3"/>
    <x v="2"/>
    <x v="0"/>
    <x v="0"/>
    <x v="2"/>
    <x v="5"/>
    <n v="0"/>
    <n v="0"/>
    <n v="583.01499999999999"/>
    <n v="583.01499999999999"/>
    <n v="583.01499999999999"/>
    <n v="583.01499999999999"/>
    <n v="115"/>
    <x v="0"/>
    <n v="0"/>
    <n v="0"/>
    <n v="67"/>
    <n v="111"/>
    <n v="0"/>
    <n v="435.78399999999999"/>
    <n v="165.98519999999999"/>
    <m/>
    <n v="487.11728245906932"/>
    <n v="223.80801710664585"/>
    <n v="0"/>
    <n v="254068.60876"/>
    <n v="96771.861377999987"/>
    <n v="0"/>
    <n v="283996.68243287428"/>
    <n v="130483.43109343112"/>
  </r>
  <r>
    <s v="Regular"/>
    <x v="4"/>
    <x v="4"/>
    <x v="3"/>
    <x v="2"/>
    <x v="0"/>
    <x v="0"/>
    <x v="2"/>
    <x v="6"/>
    <n v="0"/>
    <n v="0"/>
    <n v="225.28800000000001"/>
    <n v="225.28800000000001"/>
    <n v="225.28800000000001"/>
    <n v="225.28800000000001"/>
    <n v="54"/>
    <x v="0"/>
    <n v="0"/>
    <n v="0"/>
    <n v="67"/>
    <n v="111"/>
    <n v="0"/>
    <n v="435.78399999999999"/>
    <n v="165.98519999999999"/>
    <m/>
    <n v="487.11728245906932"/>
    <n v="223.80801710664585"/>
    <n v="0"/>
    <n v="98176.905792000005"/>
    <n v="37394.473737599998"/>
    <n v="0"/>
    <n v="109741.67833063881"/>
    <n v="50421.260557922033"/>
  </r>
  <r>
    <s v="Sistema Isolado - Regular"/>
    <x v="4"/>
    <x v="4"/>
    <x v="3"/>
    <x v="2"/>
    <x v="0"/>
    <x v="0"/>
    <x v="2"/>
    <x v="6"/>
    <n v="0"/>
    <n v="0"/>
    <n v="608.83100000000002"/>
    <n v="608.83100000000002"/>
    <n v="608.83100000000002"/>
    <n v="608.83100000000002"/>
    <n v="118"/>
    <x v="0"/>
    <n v="0"/>
    <n v="0"/>
    <n v="67"/>
    <n v="111"/>
    <n v="0"/>
    <n v="435.78399999999999"/>
    <n v="165.98519999999999"/>
    <m/>
    <n v="487.11728245906932"/>
    <n v="223.80801710664585"/>
    <n v="0"/>
    <n v="265318.80850400002"/>
    <n v="101056.93530119999"/>
    <n v="0"/>
    <n v="296572.10219683766"/>
    <n v="136261.25886305631"/>
  </r>
  <r>
    <s v="Regular"/>
    <x v="4"/>
    <x v="4"/>
    <x v="3"/>
    <x v="2"/>
    <x v="0"/>
    <x v="0"/>
    <x v="2"/>
    <x v="7"/>
    <n v="0"/>
    <n v="0"/>
    <n v="212.22800000000001"/>
    <n v="212.22800000000001"/>
    <n v="212.22800000000001"/>
    <n v="212.22800000000001"/>
    <n v="54"/>
    <x v="0"/>
    <n v="0"/>
    <n v="0"/>
    <n v="67"/>
    <n v="111"/>
    <n v="0"/>
    <n v="435.78399999999999"/>
    <n v="165.98519999999999"/>
    <m/>
    <n v="487.11728245906932"/>
    <n v="223.80801710664585"/>
    <n v="0"/>
    <n v="92485.566751999999"/>
    <n v="35226.707025600001"/>
    <n v="0"/>
    <n v="103379.92662172337"/>
    <n v="47498.32785450924"/>
  </r>
  <r>
    <s v="Sistema Isolado - Regular"/>
    <x v="4"/>
    <x v="4"/>
    <x v="3"/>
    <x v="2"/>
    <x v="0"/>
    <x v="0"/>
    <x v="2"/>
    <x v="7"/>
    <n v="0"/>
    <n v="0"/>
    <n v="624.28899999999999"/>
    <n v="624.28899999999999"/>
    <n v="624.28899999999999"/>
    <n v="624.28899999999999"/>
    <n v="119"/>
    <x v="0"/>
    <n v="0"/>
    <n v="0"/>
    <n v="67"/>
    <n v="111"/>
    <n v="0"/>
    <n v="435.78399999999999"/>
    <n v="165.98519999999999"/>
    <m/>
    <n v="487.11728245906932"/>
    <n v="223.80801710664585"/>
    <n v="0"/>
    <n v="272055.15757599997"/>
    <n v="103622.73452279999"/>
    <n v="0"/>
    <n v="304101.96114908991"/>
    <n v="139720.88319149084"/>
  </r>
  <r>
    <s v="Sistema Isolado - Refaturamento"/>
    <x v="4"/>
    <x v="4"/>
    <x v="3"/>
    <x v="2"/>
    <x v="0"/>
    <x v="0"/>
    <x v="2"/>
    <x v="7"/>
    <n v="0"/>
    <n v="0"/>
    <n v="-0.21299999999999999"/>
    <n v="-0.21299999999999999"/>
    <n v="-0.21299999999999999"/>
    <n v="-0.21299999999999999"/>
    <n v="0"/>
    <x v="0"/>
    <n v="0"/>
    <n v="0"/>
    <n v="67"/>
    <n v="111"/>
    <n v="0"/>
    <n v="435.78399999999999"/>
    <n v="165.98519999999999"/>
    <m/>
    <n v="487.11728245906932"/>
    <n v="223.80801710664585"/>
    <n v="0"/>
    <n v="-92.821991999999995"/>
    <n v="-35.354847599999999"/>
    <n v="0"/>
    <n v="-103.75598116378175"/>
    <n v="-47.671107643715565"/>
  </r>
  <r>
    <s v="Regular"/>
    <x v="4"/>
    <x v="4"/>
    <x v="3"/>
    <x v="2"/>
    <x v="0"/>
    <x v="0"/>
    <x v="2"/>
    <x v="8"/>
    <n v="0"/>
    <n v="0"/>
    <n v="595.33299999999997"/>
    <n v="595.33299999999997"/>
    <n v="595.33299999999997"/>
    <n v="595.33299999999997"/>
    <n v="57"/>
    <x v="0"/>
    <n v="0"/>
    <n v="0"/>
    <n v="67"/>
    <n v="111"/>
    <n v="0"/>
    <n v="435.78399999999999"/>
    <n v="165.98519999999999"/>
    <m/>
    <n v="487.11728245906932"/>
    <n v="223.80801710664585"/>
    <n v="0"/>
    <n v="259436.59607199999"/>
    <n v="98816.467071599996"/>
    <n v="0"/>
    <n v="289996.99311820511"/>
    <n v="133240.29824815079"/>
  </r>
  <r>
    <s v="Refaturamento - Regular"/>
    <x v="4"/>
    <x v="4"/>
    <x v="3"/>
    <x v="2"/>
    <x v="0"/>
    <x v="0"/>
    <x v="2"/>
    <x v="8"/>
    <n v="0"/>
    <n v="0"/>
    <n v="-487.476"/>
    <n v="-487.476"/>
    <n v="-487.476"/>
    <n v="-487.476"/>
    <n v="-1"/>
    <x v="0"/>
    <n v="0"/>
    <n v="0"/>
    <n v="67"/>
    <n v="111"/>
    <n v="0"/>
    <n v="435.78399999999999"/>
    <n v="165.98519999999999"/>
    <m/>
    <n v="487.11728245906932"/>
    <n v="223.80801710664585"/>
    <n v="0"/>
    <n v="-212434.24118399998"/>
    <n v="-80913.80135519999"/>
    <n v="0"/>
    <n v="-237457.98438401727"/>
    <n v="-109101.03694707929"/>
  </r>
  <r>
    <s v="Sistema Isolado - Regular"/>
    <x v="4"/>
    <x v="4"/>
    <x v="3"/>
    <x v="2"/>
    <x v="0"/>
    <x v="0"/>
    <x v="2"/>
    <x v="8"/>
    <n v="0"/>
    <n v="0"/>
    <n v="640.26900000000001"/>
    <n v="640.26900000000001"/>
    <n v="640.26900000000001"/>
    <n v="640.26900000000001"/>
    <n v="120"/>
    <x v="0"/>
    <n v="0"/>
    <n v="0"/>
    <n v="67"/>
    <n v="111"/>
    <n v="0"/>
    <n v="435.78399999999999"/>
    <n v="165.98519999999999"/>
    <m/>
    <n v="487.11728245906932"/>
    <n v="223.80801710664585"/>
    <n v="0"/>
    <n v="279018.985896"/>
    <n v="106275.1780188"/>
    <n v="0"/>
    <n v="311886.09532278584"/>
    <n v="143297.33530485502"/>
  </r>
  <r>
    <s v="Sistema Isolado - Refaturamento"/>
    <x v="4"/>
    <x v="4"/>
    <x v="3"/>
    <x v="2"/>
    <x v="0"/>
    <x v="0"/>
    <x v="2"/>
    <x v="8"/>
    <n v="0"/>
    <n v="0"/>
    <n v="-3.7069999999999999"/>
    <n v="-3.7069999999999999"/>
    <n v="-3.7069999999999999"/>
    <n v="-3.7069999999999999"/>
    <n v="-1"/>
    <x v="0"/>
    <n v="0"/>
    <n v="0"/>
    <n v="67"/>
    <n v="111"/>
    <n v="0"/>
    <n v="435.78399999999999"/>
    <n v="165.98519999999999"/>
    <m/>
    <n v="487.11728245906932"/>
    <n v="223.80801710664585"/>
    <n v="0"/>
    <n v="-1615.451288"/>
    <n v="-615.30713639999999"/>
    <n v="0"/>
    <n v="-1805.7437660757698"/>
    <n v="-829.65631941433617"/>
  </r>
  <r>
    <s v="Regular"/>
    <x v="4"/>
    <x v="4"/>
    <x v="3"/>
    <x v="2"/>
    <x v="0"/>
    <x v="0"/>
    <x v="2"/>
    <x v="9"/>
    <n v="0"/>
    <n v="0"/>
    <n v="184.00700000000001"/>
    <n v="184.00700000000001"/>
    <n v="184.00700000000001"/>
    <n v="184.00700000000001"/>
    <n v="55"/>
    <x v="0"/>
    <n v="0"/>
    <n v="0"/>
    <n v="67"/>
    <n v="111"/>
    <n v="0"/>
    <n v="435.78399999999999"/>
    <n v="165.98519999999999"/>
    <m/>
    <n v="487.11728245906932"/>
    <n v="223.80801710664585"/>
    <n v="0"/>
    <n v="80187.306488000002"/>
    <n v="30542.4386964"/>
    <n v="0"/>
    <n v="89632.989793445973"/>
    <n v="41182.241803742581"/>
  </r>
  <r>
    <s v="Sistema Isolado - Regular"/>
    <x v="4"/>
    <x v="4"/>
    <x v="3"/>
    <x v="2"/>
    <x v="0"/>
    <x v="0"/>
    <x v="2"/>
    <x v="9"/>
    <n v="0"/>
    <n v="0"/>
    <n v="626.57399999999996"/>
    <n v="626.57399999999996"/>
    <n v="626.57399999999996"/>
    <n v="626.57399999999996"/>
    <n v="119"/>
    <x v="0"/>
    <n v="0"/>
    <n v="0"/>
    <n v="67"/>
    <n v="111"/>
    <n v="0"/>
    <n v="435.78399999999999"/>
    <n v="165.98519999999999"/>
    <m/>
    <n v="487.11728245906932"/>
    <n v="223.80801710664585"/>
    <n v="0"/>
    <n v="273050.924016"/>
    <n v="104002.01070479999"/>
    <n v="0"/>
    <n v="305215.0241395089"/>
    <n v="140232.28451057951"/>
  </r>
  <r>
    <s v="Sistema Isolado - Refaturamento"/>
    <x v="4"/>
    <x v="4"/>
    <x v="3"/>
    <x v="2"/>
    <x v="0"/>
    <x v="0"/>
    <x v="2"/>
    <x v="9"/>
    <n v="0"/>
    <n v="0"/>
    <n v="-0.17100000000000001"/>
    <n v="-0.17100000000000001"/>
    <n v="-0.17100000000000001"/>
    <n v="-0.17100000000000001"/>
    <n v="0"/>
    <x v="0"/>
    <n v="0"/>
    <n v="0"/>
    <n v="67"/>
    <n v="111"/>
    <n v="0"/>
    <n v="435.78399999999999"/>
    <n v="165.98519999999999"/>
    <m/>
    <n v="487.11728245906932"/>
    <n v="223.80801710664585"/>
    <n v="0"/>
    <n v="-74.519064"/>
    <n v="-28.3834692"/>
    <n v="0"/>
    <n v="-83.297055300500858"/>
    <n v="-38.27117092523644"/>
  </r>
  <r>
    <s v="Regular"/>
    <x v="4"/>
    <x v="4"/>
    <x v="3"/>
    <x v="2"/>
    <x v="0"/>
    <x v="0"/>
    <x v="2"/>
    <x v="10"/>
    <n v="0"/>
    <n v="0"/>
    <n v="143.55099999999999"/>
    <n v="143.55099999999999"/>
    <n v="143.55099999999999"/>
    <n v="143.55099999999999"/>
    <n v="55"/>
    <x v="0"/>
    <n v="0"/>
    <n v="0"/>
    <n v="67"/>
    <n v="111"/>
    <n v="0"/>
    <n v="435.78399999999999"/>
    <n v="165.98519999999999"/>
    <m/>
    <n v="487.11728245906932"/>
    <n v="223.80801710664585"/>
    <n v="0"/>
    <n v="62557.228983999994"/>
    <n v="23827.341445199996"/>
    <n v="0"/>
    <n v="69926.173014281856"/>
    <n v="32127.864663676115"/>
  </r>
  <r>
    <s v="Refaturamento - Regular"/>
    <x v="4"/>
    <x v="4"/>
    <x v="3"/>
    <x v="2"/>
    <x v="0"/>
    <x v="0"/>
    <x v="2"/>
    <x v="10"/>
    <n v="0"/>
    <n v="0"/>
    <n v="-0.1"/>
    <n v="-0.1"/>
    <n v="-0.1"/>
    <n v="-0.1"/>
    <n v="-1"/>
    <x v="0"/>
    <n v="0"/>
    <n v="0"/>
    <n v="67"/>
    <n v="111"/>
    <n v="0"/>
    <n v="435.78399999999999"/>
    <n v="165.98519999999999"/>
    <m/>
    <n v="487.11728245906932"/>
    <n v="223.80801710664585"/>
    <n v="0"/>
    <n v="-43.578400000000002"/>
    <n v="-16.598520000000001"/>
    <n v="0"/>
    <n v="-48.711728245906933"/>
    <n v="-22.380801710664585"/>
  </r>
  <r>
    <s v="Sistema Isolado - Regular"/>
    <x v="4"/>
    <x v="4"/>
    <x v="3"/>
    <x v="2"/>
    <x v="0"/>
    <x v="0"/>
    <x v="2"/>
    <x v="10"/>
    <n v="0"/>
    <n v="0"/>
    <n v="529.55600000000004"/>
    <n v="529.55600000000004"/>
    <n v="529.55600000000004"/>
    <n v="529.55600000000004"/>
    <n v="120"/>
    <x v="0"/>
    <n v="0"/>
    <n v="0"/>
    <n v="67"/>
    <n v="111"/>
    <n v="0"/>
    <n v="435.78399999999999"/>
    <n v="165.98519999999999"/>
    <m/>
    <n v="487.11728245906932"/>
    <n v="223.80801710664585"/>
    <n v="0"/>
    <n v="230772.031904"/>
    <n v="87898.458571199997"/>
    <n v="0"/>
    <n v="257955.87962989492"/>
    <n v="118518.87830692696"/>
  </r>
  <r>
    <s v="Sistema Isolado - Refaturamento"/>
    <x v="4"/>
    <x v="4"/>
    <x v="3"/>
    <x v="2"/>
    <x v="0"/>
    <x v="0"/>
    <x v="2"/>
    <x v="10"/>
    <n v="0"/>
    <n v="0"/>
    <n v="-0.17499999999999999"/>
    <n v="-0.17499999999999999"/>
    <n v="-0.17499999999999999"/>
    <n v="-0.17499999999999999"/>
    <n v="0"/>
    <x v="0"/>
    <n v="0"/>
    <n v="0"/>
    <n v="67"/>
    <n v="111"/>
    <n v="0"/>
    <n v="435.78399999999999"/>
    <n v="165.98519999999999"/>
    <m/>
    <n v="487.11728245906932"/>
    <n v="223.80801710664585"/>
    <n v="0"/>
    <n v="-76.262199999999993"/>
    <n v="-29.047409999999996"/>
    <n v="0"/>
    <n v="-85.245524430337127"/>
    <n v="-39.16640299366302"/>
  </r>
  <r>
    <s v="PROJETADO"/>
    <x v="4"/>
    <x v="4"/>
    <x v="3"/>
    <x v="2"/>
    <x v="0"/>
    <x v="0"/>
    <x v="2"/>
    <x v="11"/>
    <n v="0"/>
    <n v="0"/>
    <n v="143.55099999999999"/>
    <n v="143.55099999999999"/>
    <n v="143.55099999999999"/>
    <n v="143.55099999999999"/>
    <n v="55"/>
    <x v="0"/>
    <n v="0"/>
    <n v="0"/>
    <n v="67"/>
    <n v="111"/>
    <n v="0"/>
    <n v="435.78399999999999"/>
    <n v="165.98519999999999"/>
    <m/>
    <n v="487.11728245906932"/>
    <n v="223.80801710664585"/>
    <n v="0"/>
    <n v="62557.228983999994"/>
    <n v="23827.341445199996"/>
    <n v="0"/>
    <n v="69926.173014281856"/>
    <n v="32127.864663676115"/>
  </r>
  <r>
    <s v="PROJETADO"/>
    <x v="4"/>
    <x v="4"/>
    <x v="3"/>
    <x v="2"/>
    <x v="0"/>
    <x v="0"/>
    <x v="2"/>
    <x v="11"/>
    <n v="0"/>
    <n v="0"/>
    <n v="-0.1"/>
    <n v="-0.1"/>
    <n v="-0.1"/>
    <n v="-0.1"/>
    <n v="-1"/>
    <x v="0"/>
    <n v="0"/>
    <n v="0"/>
    <n v="67"/>
    <n v="111"/>
    <n v="0"/>
    <n v="435.78399999999999"/>
    <n v="165.98519999999999"/>
    <m/>
    <n v="487.11728245906932"/>
    <n v="223.80801710664585"/>
    <n v="0"/>
    <n v="-43.578400000000002"/>
    <n v="-16.598520000000001"/>
    <n v="0"/>
    <n v="-48.711728245906933"/>
    <n v="-22.380801710664585"/>
  </r>
  <r>
    <s v="PROJETADO"/>
    <x v="4"/>
    <x v="4"/>
    <x v="3"/>
    <x v="2"/>
    <x v="0"/>
    <x v="0"/>
    <x v="2"/>
    <x v="11"/>
    <n v="0"/>
    <n v="0"/>
    <n v="529.55600000000004"/>
    <n v="529.55600000000004"/>
    <n v="529.55600000000004"/>
    <n v="529.55600000000004"/>
    <n v="120"/>
    <x v="0"/>
    <n v="0"/>
    <n v="0"/>
    <n v="67"/>
    <n v="111"/>
    <n v="0"/>
    <n v="435.78399999999999"/>
    <n v="165.98519999999999"/>
    <m/>
    <n v="487.11728245906932"/>
    <n v="223.80801710664585"/>
    <n v="0"/>
    <n v="230772.031904"/>
    <n v="87898.458571199997"/>
    <n v="0"/>
    <n v="257955.87962989492"/>
    <n v="118518.87830692696"/>
  </r>
  <r>
    <s v="PROJETADO"/>
    <x v="4"/>
    <x v="4"/>
    <x v="3"/>
    <x v="2"/>
    <x v="0"/>
    <x v="0"/>
    <x v="2"/>
    <x v="11"/>
    <n v="0"/>
    <n v="0"/>
    <n v="-0.17499999999999999"/>
    <n v="-0.17499999999999999"/>
    <n v="-0.17499999999999999"/>
    <n v="-0.17499999999999999"/>
    <n v="0"/>
    <x v="0"/>
    <n v="0"/>
    <n v="0"/>
    <n v="67"/>
    <n v="111"/>
    <n v="0"/>
    <n v="435.78399999999999"/>
    <n v="165.98519999999999"/>
    <m/>
    <n v="487.11728245906932"/>
    <n v="223.80801710664585"/>
    <n v="0"/>
    <n v="-76.262199999999993"/>
    <n v="-29.047409999999996"/>
    <n v="0"/>
    <n v="-85.245524430337127"/>
    <n v="-39.16640299366302"/>
  </r>
  <r>
    <s v="Regular"/>
    <x v="5"/>
    <x v="4"/>
    <x v="8"/>
    <x v="9"/>
    <x v="0"/>
    <x v="0"/>
    <x v="2"/>
    <x v="0"/>
    <n v="0"/>
    <n v="0"/>
    <n v="2728.7550000000001"/>
    <n v="2728.7550000000001"/>
    <n v="2728.7550000000001"/>
    <n v="2728.7550000000001"/>
    <n v="369"/>
    <x v="0"/>
    <n v="0"/>
    <n v="0"/>
    <n v="69"/>
    <n v="113"/>
    <n v="0"/>
    <n v="254.98"/>
    <n v="97.12"/>
    <m/>
    <n v="276.20052098194651"/>
    <n v="126.90145299861364"/>
    <n v="0"/>
    <n v="695777.94990000001"/>
    <n v="265016.68560000003"/>
    <n v="0"/>
    <n v="753683.55263209145"/>
    <n v="346282.97437723196"/>
  </r>
  <r>
    <s v="Sistema Isolado - Regular"/>
    <x v="5"/>
    <x v="4"/>
    <x v="8"/>
    <x v="9"/>
    <x v="0"/>
    <x v="0"/>
    <x v="2"/>
    <x v="0"/>
    <n v="0"/>
    <n v="0"/>
    <n v="1067.463"/>
    <n v="1067.463"/>
    <n v="1067.463"/>
    <n v="1067.463"/>
    <n v="85"/>
    <x v="0"/>
    <n v="0"/>
    <n v="0"/>
    <n v="69"/>
    <n v="113"/>
    <n v="0"/>
    <n v="254.98"/>
    <n v="97.12"/>
    <m/>
    <n v="276.20052098194651"/>
    <n v="126.90145299861364"/>
    <n v="0"/>
    <n v="272181.71573999996"/>
    <n v="103672.00655999999"/>
    <n v="0"/>
    <n v="294833.83672895154"/>
    <n v="135462.60572225909"/>
  </r>
  <r>
    <s v="Regular"/>
    <x v="5"/>
    <x v="4"/>
    <x v="8"/>
    <x v="9"/>
    <x v="0"/>
    <x v="0"/>
    <x v="2"/>
    <x v="1"/>
    <n v="0"/>
    <n v="0"/>
    <n v="3100.297"/>
    <n v="3100.297"/>
    <n v="3100.297"/>
    <n v="3100.297"/>
    <n v="373"/>
    <x v="0"/>
    <n v="0"/>
    <n v="0"/>
    <n v="69"/>
    <n v="113"/>
    <n v="0"/>
    <n v="254.98"/>
    <n v="97.12"/>
    <m/>
    <n v="276.20052098194651"/>
    <n v="126.90145299861364"/>
    <n v="0"/>
    <n v="790513.72905999993"/>
    <n v="301100.84464000002"/>
    <n v="0"/>
    <n v="856303.64659876586"/>
    <n v="393432.19402724283"/>
  </r>
  <r>
    <s v="Sistema Isolado - Regular"/>
    <x v="5"/>
    <x v="4"/>
    <x v="8"/>
    <x v="9"/>
    <x v="0"/>
    <x v="0"/>
    <x v="2"/>
    <x v="1"/>
    <n v="0"/>
    <n v="0"/>
    <n v="1069.21"/>
    <n v="1069.21"/>
    <n v="1069.21"/>
    <n v="1069.21"/>
    <n v="86"/>
    <x v="0"/>
    <n v="0"/>
    <n v="0"/>
    <n v="69"/>
    <n v="113"/>
    <n v="0"/>
    <n v="254.98"/>
    <n v="97.12"/>
    <m/>
    <n v="276.20052098194651"/>
    <n v="126.90145299861364"/>
    <n v="0"/>
    <n v="272627.16580000002"/>
    <n v="103841.67520000001"/>
    <n v="0"/>
    <n v="295316.35903910705"/>
    <n v="135684.30256064769"/>
  </r>
  <r>
    <s v="Regular"/>
    <x v="5"/>
    <x v="4"/>
    <x v="8"/>
    <x v="9"/>
    <x v="0"/>
    <x v="0"/>
    <x v="2"/>
    <x v="2"/>
    <n v="0"/>
    <n v="0"/>
    <n v="2735.3440000000001"/>
    <n v="2735.3440000000001"/>
    <n v="2735.3440000000001"/>
    <n v="2735.3440000000001"/>
    <n v="375"/>
    <x v="0"/>
    <n v="0"/>
    <n v="0"/>
    <n v="69"/>
    <n v="113"/>
    <n v="0"/>
    <n v="254.98"/>
    <n v="97.12"/>
    <m/>
    <n v="276.20052098194651"/>
    <n v="126.90145299861364"/>
    <n v="0"/>
    <n v="697458.01312000002"/>
    <n v="265656.60928000003"/>
    <n v="0"/>
    <n v="755503.43786484154"/>
    <n v="347119.12805103982"/>
  </r>
  <r>
    <s v="Sistema Isolado - Regular"/>
    <x v="5"/>
    <x v="4"/>
    <x v="8"/>
    <x v="9"/>
    <x v="0"/>
    <x v="0"/>
    <x v="2"/>
    <x v="2"/>
    <n v="0"/>
    <n v="0"/>
    <n v="1539.951"/>
    <n v="1539.951"/>
    <n v="1539.951"/>
    <n v="1539.951"/>
    <n v="87"/>
    <x v="0"/>
    <n v="0"/>
    <n v="0"/>
    <n v="69"/>
    <n v="113"/>
    <n v="0"/>
    <n v="254.98"/>
    <n v="97.12"/>
    <m/>
    <n v="276.20052098194651"/>
    <n v="126.90145299861364"/>
    <n v="0"/>
    <n v="392656.70597999997"/>
    <n v="149560.04112000001"/>
    <n v="0"/>
    <n v="425335.26848666952"/>
    <n v="195422.01944666807"/>
  </r>
  <r>
    <s v="Regular"/>
    <x v="5"/>
    <x v="4"/>
    <x v="8"/>
    <x v="9"/>
    <x v="0"/>
    <x v="0"/>
    <x v="2"/>
    <x v="3"/>
    <n v="0"/>
    <n v="0"/>
    <n v="3075.13"/>
    <n v="3075.13"/>
    <n v="3075.13"/>
    <n v="3075.13"/>
    <n v="368"/>
    <x v="0"/>
    <n v="0"/>
    <n v="0"/>
    <n v="69"/>
    <n v="113"/>
    <n v="0"/>
    <n v="254.98"/>
    <n v="97.12"/>
    <m/>
    <n v="276.20052098194651"/>
    <n v="126.90145299861364"/>
    <n v="0"/>
    <n v="784096.64740000002"/>
    <n v="298656.62560000003"/>
    <n v="0"/>
    <n v="849352.50808721315"/>
    <n v="390238.46515962674"/>
  </r>
  <r>
    <s v="Sistema Isolado - Regular"/>
    <x v="5"/>
    <x v="4"/>
    <x v="8"/>
    <x v="9"/>
    <x v="0"/>
    <x v="0"/>
    <x v="2"/>
    <x v="3"/>
    <n v="0"/>
    <n v="0"/>
    <n v="1401.1510000000001"/>
    <n v="1401.1510000000001"/>
    <n v="1401.1510000000001"/>
    <n v="1401.1510000000001"/>
    <n v="87"/>
    <x v="0"/>
    <n v="0"/>
    <n v="0"/>
    <n v="69"/>
    <n v="113"/>
    <n v="0"/>
    <n v="254.98"/>
    <n v="97.12"/>
    <m/>
    <n v="276.20052098194651"/>
    <n v="126.90145299861364"/>
    <n v="0"/>
    <n v="357265.48197999998"/>
    <n v="136079.78512000002"/>
    <n v="0"/>
    <n v="386998.63617437537"/>
    <n v="177808.0977704605"/>
  </r>
  <r>
    <s v="Regular"/>
    <x v="5"/>
    <x v="4"/>
    <x v="8"/>
    <x v="9"/>
    <x v="0"/>
    <x v="0"/>
    <x v="2"/>
    <x v="4"/>
    <n v="0"/>
    <n v="0"/>
    <n v="3494.0070000000001"/>
    <n v="3494.0070000000001"/>
    <n v="3494.0070000000001"/>
    <n v="3494.0070000000001"/>
    <n v="372"/>
    <x v="0"/>
    <n v="0"/>
    <n v="0"/>
    <n v="69"/>
    <n v="113"/>
    <n v="0"/>
    <n v="254.98"/>
    <n v="97.12"/>
    <m/>
    <n v="276.20052098194651"/>
    <n v="126.90145299861364"/>
    <n v="0"/>
    <n v="890901.90486000001"/>
    <n v="339337.95984000002"/>
    <n v="0"/>
    <n v="965046.55371456803"/>
    <n v="443394.56508732704"/>
  </r>
  <r>
    <s v="Refaturamento - Regular"/>
    <x v="5"/>
    <x v="4"/>
    <x v="8"/>
    <x v="9"/>
    <x v="0"/>
    <x v="0"/>
    <x v="2"/>
    <x v="4"/>
    <n v="0"/>
    <n v="0"/>
    <n v="-0.51700000000000002"/>
    <n v="-0.51700000000000002"/>
    <n v="-0.51700000000000002"/>
    <n v="-0.51700000000000002"/>
    <n v="-1"/>
    <x v="0"/>
    <n v="0"/>
    <n v="0"/>
    <n v="69"/>
    <n v="113"/>
    <n v="0"/>
    <n v="254.98"/>
    <n v="97.12"/>
    <m/>
    <n v="276.20052098194651"/>
    <n v="126.90145299861364"/>
    <n v="0"/>
    <n v="-131.82465999999999"/>
    <n v="-50.211040000000004"/>
    <n v="0"/>
    <n v="-142.79566934766635"/>
    <n v="-65.608051200283256"/>
  </r>
  <r>
    <s v="Sistema Isolado - Regular"/>
    <x v="5"/>
    <x v="4"/>
    <x v="8"/>
    <x v="9"/>
    <x v="0"/>
    <x v="0"/>
    <x v="2"/>
    <x v="4"/>
    <n v="0"/>
    <n v="0"/>
    <n v="1040.809"/>
    <n v="1040.809"/>
    <n v="1040.809"/>
    <n v="1040.809"/>
    <n v="86"/>
    <x v="0"/>
    <n v="0"/>
    <n v="0"/>
    <n v="69"/>
    <n v="113"/>
    <n v="0"/>
    <n v="254.98"/>
    <n v="97.12"/>
    <m/>
    <n v="276.20052098194651"/>
    <n v="126.90145299861364"/>
    <n v="0"/>
    <n v="265385.47881999996"/>
    <n v="101083.37008000001"/>
    <n v="0"/>
    <n v="287471.98804269877"/>
    <n v="132080.17439403405"/>
  </r>
  <r>
    <s v="Regular"/>
    <x v="5"/>
    <x v="4"/>
    <x v="8"/>
    <x v="9"/>
    <x v="0"/>
    <x v="0"/>
    <x v="2"/>
    <x v="5"/>
    <n v="0"/>
    <n v="0"/>
    <n v="2812.8359999999998"/>
    <n v="2812.8359999999998"/>
    <n v="2812.8359999999998"/>
    <n v="2812.8359999999998"/>
    <n v="366"/>
    <x v="0"/>
    <n v="0"/>
    <n v="0"/>
    <n v="69"/>
    <n v="113"/>
    <n v="0"/>
    <n v="254.98"/>
    <n v="97.12"/>
    <m/>
    <n v="276.20052098194651"/>
    <n v="126.90145299861364"/>
    <n v="0"/>
    <n v="717216.92327999987"/>
    <n v="273182.63231999998"/>
    <n v="0"/>
    <n v="776906.76863677439"/>
    <n v="356952.97544680838"/>
  </r>
  <r>
    <s v="Sistema Isolado - Regular"/>
    <x v="5"/>
    <x v="4"/>
    <x v="8"/>
    <x v="9"/>
    <x v="0"/>
    <x v="0"/>
    <x v="2"/>
    <x v="5"/>
    <n v="0"/>
    <n v="0"/>
    <n v="1072.2629999999999"/>
    <n v="1072.2629999999999"/>
    <n v="1072.2629999999999"/>
    <n v="1072.2629999999999"/>
    <n v="88"/>
    <x v="0"/>
    <n v="0"/>
    <n v="0"/>
    <n v="69"/>
    <n v="113"/>
    <n v="0"/>
    <n v="254.98"/>
    <n v="97.12"/>
    <m/>
    <n v="276.20052098194651"/>
    <n v="126.90145299861364"/>
    <n v="0"/>
    <n v="273405.61973999999"/>
    <n v="104138.18256"/>
    <n v="0"/>
    <n v="296159.59922966489"/>
    <n v="136071.73269665244"/>
  </r>
  <r>
    <s v="Regular"/>
    <x v="5"/>
    <x v="4"/>
    <x v="8"/>
    <x v="9"/>
    <x v="0"/>
    <x v="0"/>
    <x v="2"/>
    <x v="6"/>
    <n v="0"/>
    <n v="0"/>
    <n v="2705.3670000000002"/>
    <n v="2705.3670000000002"/>
    <n v="2705.3670000000002"/>
    <n v="2705.3670000000002"/>
    <n v="364"/>
    <x v="0"/>
    <n v="0"/>
    <n v="0"/>
    <n v="69"/>
    <n v="113"/>
    <n v="0"/>
    <n v="254.98"/>
    <n v="97.12"/>
    <m/>
    <n v="276.20052098194651"/>
    <n v="126.90145299861364"/>
    <n v="0"/>
    <n v="689814.47765999998"/>
    <n v="262745.24304000003"/>
    <n v="0"/>
    <n v="747223.77484736568"/>
    <n v="343315.0031945004"/>
  </r>
  <r>
    <s v="Refaturamento - Regular"/>
    <x v="5"/>
    <x v="4"/>
    <x v="8"/>
    <x v="9"/>
    <x v="0"/>
    <x v="0"/>
    <x v="2"/>
    <x v="6"/>
    <n v="0"/>
    <n v="0"/>
    <n v="-0.36899999999999999"/>
    <n v="-0.36899999999999999"/>
    <n v="-0.36899999999999999"/>
    <n v="-0.36899999999999999"/>
    <n v="0"/>
    <x v="0"/>
    <n v="0"/>
    <n v="0"/>
    <n v="69"/>
    <n v="113"/>
    <n v="0"/>
    <n v="254.98"/>
    <n v="97.12"/>
    <m/>
    <n v="276.20052098194651"/>
    <n v="126.90145299861364"/>
    <n v="0"/>
    <n v="-94.087620000000001"/>
    <n v="-35.83728"/>
    <n v="0"/>
    <n v="-101.91799224233826"/>
    <n v="-46.826636156488433"/>
  </r>
  <r>
    <s v="Sistema Isolado - Regular"/>
    <x v="5"/>
    <x v="4"/>
    <x v="8"/>
    <x v="9"/>
    <x v="0"/>
    <x v="0"/>
    <x v="2"/>
    <x v="6"/>
    <n v="0"/>
    <n v="0"/>
    <n v="1035.412"/>
    <n v="1035.412"/>
    <n v="1035.412"/>
    <n v="1035.412"/>
    <n v="83"/>
    <x v="0"/>
    <n v="0"/>
    <n v="0"/>
    <n v="69"/>
    <n v="113"/>
    <n v="0"/>
    <n v="254.98"/>
    <n v="97.12"/>
    <m/>
    <n v="276.20052098194651"/>
    <n v="126.90145299861364"/>
    <n v="0"/>
    <n v="264009.35175999999"/>
    <n v="100559.21344000001"/>
    <n v="0"/>
    <n v="285981.33383095922"/>
    <n v="131395.28725220053"/>
  </r>
  <r>
    <s v="Regular"/>
    <x v="5"/>
    <x v="4"/>
    <x v="8"/>
    <x v="9"/>
    <x v="0"/>
    <x v="0"/>
    <x v="2"/>
    <x v="7"/>
    <n v="0"/>
    <n v="0"/>
    <n v="2837.2240000000002"/>
    <n v="2837.2240000000002"/>
    <n v="2837.2240000000002"/>
    <n v="2837.2240000000002"/>
    <n v="363"/>
    <x v="0"/>
    <n v="0"/>
    <n v="0"/>
    <n v="69"/>
    <n v="113"/>
    <n v="0"/>
    <n v="254.98"/>
    <n v="97.12"/>
    <m/>
    <n v="276.20052098194651"/>
    <n v="126.90145299861364"/>
    <n v="0"/>
    <n v="723435.37552"/>
    <n v="275551.19488000002"/>
    <n v="0"/>
    <n v="783642.74694248231"/>
    <n v="360047.84808253858"/>
  </r>
  <r>
    <s v="Sistema Isolado - Regular"/>
    <x v="5"/>
    <x v="4"/>
    <x v="8"/>
    <x v="9"/>
    <x v="0"/>
    <x v="0"/>
    <x v="2"/>
    <x v="7"/>
    <n v="0"/>
    <n v="0"/>
    <n v="1081.5360000000001"/>
    <n v="1081.5360000000001"/>
    <n v="1081.5360000000001"/>
    <n v="1081.5360000000001"/>
    <n v="89"/>
    <x v="0"/>
    <n v="0"/>
    <n v="0"/>
    <n v="69"/>
    <n v="113"/>
    <n v="0"/>
    <n v="254.98"/>
    <n v="97.12"/>
    <m/>
    <n v="276.20052098194651"/>
    <n v="126.90145299861364"/>
    <n v="0"/>
    <n v="275770.04927999998"/>
    <n v="105038.77632"/>
    <n v="0"/>
    <n v="298720.80666073051"/>
    <n v="137248.48987030861"/>
  </r>
  <r>
    <s v="Regular"/>
    <x v="5"/>
    <x v="4"/>
    <x v="8"/>
    <x v="9"/>
    <x v="0"/>
    <x v="0"/>
    <x v="2"/>
    <x v="8"/>
    <n v="0"/>
    <n v="0"/>
    <n v="2991.7440000000001"/>
    <n v="2991.7440000000001"/>
    <n v="2991.7440000000001"/>
    <n v="2991.7440000000001"/>
    <n v="362"/>
    <x v="0"/>
    <n v="0"/>
    <n v="0"/>
    <n v="69"/>
    <n v="113"/>
    <n v="0"/>
    <n v="254.98"/>
    <n v="97.12"/>
    <m/>
    <n v="276.20052098194651"/>
    <n v="126.90145299861364"/>
    <n v="0"/>
    <n v="762834.88511999999"/>
    <n v="290558.17728"/>
    <n v="0"/>
    <n v="826321.25144461263"/>
    <n v="379656.66059988434"/>
  </r>
  <r>
    <s v="Sistema Isolado - Regular"/>
    <x v="5"/>
    <x v="4"/>
    <x v="8"/>
    <x v="9"/>
    <x v="0"/>
    <x v="0"/>
    <x v="2"/>
    <x v="8"/>
    <n v="0"/>
    <n v="0"/>
    <n v="1078.5619999999999"/>
    <n v="1078.5619999999999"/>
    <n v="1078.5619999999999"/>
    <n v="1078.5619999999999"/>
    <n v="88"/>
    <x v="0"/>
    <n v="0"/>
    <n v="0"/>
    <n v="69"/>
    <n v="113"/>
    <n v="0"/>
    <n v="254.98"/>
    <n v="97.12"/>
    <m/>
    <n v="276.20052098194651"/>
    <n v="126.90145299861364"/>
    <n v="0"/>
    <n v="275011.73875999998"/>
    <n v="104749.94144"/>
    <n v="0"/>
    <n v="297899.38631133019"/>
    <n v="136871.0849490907"/>
  </r>
  <r>
    <s v="Regular"/>
    <x v="5"/>
    <x v="4"/>
    <x v="8"/>
    <x v="9"/>
    <x v="0"/>
    <x v="0"/>
    <x v="2"/>
    <x v="9"/>
    <n v="0"/>
    <n v="0"/>
    <n v="2756.1149999999998"/>
    <n v="2756.1149999999998"/>
    <n v="2756.1149999999998"/>
    <n v="2756.1149999999998"/>
    <n v="365"/>
    <x v="0"/>
    <n v="0"/>
    <n v="0"/>
    <n v="69"/>
    <n v="113"/>
    <n v="0"/>
    <n v="254.98"/>
    <n v="97.12"/>
    <m/>
    <n v="276.20052098194651"/>
    <n v="126.90145299861364"/>
    <n v="0"/>
    <n v="702754.20269999991"/>
    <n v="267673.88880000002"/>
    <n v="0"/>
    <n v="761240.39888615743"/>
    <n v="349754.99813127401"/>
  </r>
  <r>
    <s v="Sistema Isolado - Regular"/>
    <x v="5"/>
    <x v="4"/>
    <x v="8"/>
    <x v="9"/>
    <x v="0"/>
    <x v="0"/>
    <x v="2"/>
    <x v="9"/>
    <n v="0"/>
    <n v="0"/>
    <n v="1398.29"/>
    <n v="1398.29"/>
    <n v="1398.29"/>
    <n v="1398.29"/>
    <n v="92"/>
    <x v="0"/>
    <n v="0"/>
    <n v="0"/>
    <n v="69"/>
    <n v="113"/>
    <n v="0"/>
    <n v="254.98"/>
    <n v="97.12"/>
    <m/>
    <n v="276.20052098194651"/>
    <n v="126.90145299861364"/>
    <n v="0"/>
    <n v="356535.98419999995"/>
    <n v="135801.92480000001"/>
    <n v="0"/>
    <n v="386208.42648384598"/>
    <n v="177445.03271343146"/>
  </r>
  <r>
    <s v="Sistema Isolado - Refaturamento"/>
    <x v="5"/>
    <x v="4"/>
    <x v="8"/>
    <x v="9"/>
    <x v="0"/>
    <x v="0"/>
    <x v="2"/>
    <x v="9"/>
    <n v="0"/>
    <n v="0"/>
    <n v="-4.3999999999999997E-2"/>
    <n v="-4.3999999999999997E-2"/>
    <n v="-4.3999999999999997E-2"/>
    <n v="-4.3999999999999997E-2"/>
    <n v="0"/>
    <x v="0"/>
    <n v="0"/>
    <n v="0"/>
    <n v="69"/>
    <n v="113"/>
    <n v="0"/>
    <n v="254.98"/>
    <n v="97.12"/>
    <m/>
    <n v="276.20052098194651"/>
    <n v="126.90145299861364"/>
    <n v="0"/>
    <n v="-11.219119999999998"/>
    <n v="-4.2732799999999997"/>
    <n v="0"/>
    <n v="-12.152822923205646"/>
    <n v="-5.5836639319389993"/>
  </r>
  <r>
    <s v="Regular"/>
    <x v="5"/>
    <x v="4"/>
    <x v="8"/>
    <x v="9"/>
    <x v="0"/>
    <x v="0"/>
    <x v="2"/>
    <x v="10"/>
    <n v="0"/>
    <n v="0"/>
    <n v="3114.703"/>
    <n v="3114.703"/>
    <n v="3114.703"/>
    <n v="3114.703"/>
    <n v="365"/>
    <x v="0"/>
    <n v="0"/>
    <n v="0"/>
    <n v="69"/>
    <n v="113"/>
    <n v="0"/>
    <n v="254.98"/>
    <n v="97.12"/>
    <m/>
    <n v="276.20052098194651"/>
    <n v="126.90145299861364"/>
    <n v="0"/>
    <n v="794186.97093999991"/>
    <n v="302499.95536000002"/>
    <n v="0"/>
    <n v="860282.59130403178"/>
    <n v="395260.33635914087"/>
  </r>
  <r>
    <s v="Refaturamento - Regular"/>
    <x v="5"/>
    <x v="4"/>
    <x v="8"/>
    <x v="9"/>
    <x v="0"/>
    <x v="0"/>
    <x v="2"/>
    <x v="10"/>
    <n v="0"/>
    <n v="0"/>
    <n v="-18.777000000000001"/>
    <n v="-18.777000000000001"/>
    <n v="-18.777000000000001"/>
    <n v="-18.777000000000001"/>
    <n v="-3"/>
    <x v="0"/>
    <n v="0"/>
    <n v="0"/>
    <n v="69"/>
    <n v="113"/>
    <n v="0"/>
    <n v="254.98"/>
    <n v="97.12"/>
    <m/>
    <n v="276.20052098194651"/>
    <n v="126.90145299861364"/>
    <n v="0"/>
    <n v="-4787.7594600000002"/>
    <n v="-1823.6222400000001"/>
    <n v="0"/>
    <n v="-5186.2171824780098"/>
    <n v="-2382.8285829549682"/>
  </r>
  <r>
    <s v="Sistema Isolado - Regular"/>
    <x v="5"/>
    <x v="4"/>
    <x v="8"/>
    <x v="9"/>
    <x v="0"/>
    <x v="0"/>
    <x v="2"/>
    <x v="10"/>
    <n v="0"/>
    <n v="0"/>
    <n v="1076.3969999999999"/>
    <n v="1076.3969999999999"/>
    <n v="1076.3969999999999"/>
    <n v="1076.3969999999999"/>
    <n v="94"/>
    <x v="0"/>
    <n v="0"/>
    <n v="0"/>
    <n v="69"/>
    <n v="113"/>
    <n v="0"/>
    <n v="254.98"/>
    <n v="97.12"/>
    <m/>
    <n v="276.20052098194651"/>
    <n v="126.90145299861364"/>
    <n v="0"/>
    <n v="274459.70705999999"/>
    <n v="104539.67664000001"/>
    <n v="0"/>
    <n v="297301.41218340426"/>
    <n v="136596.34330334872"/>
  </r>
  <r>
    <s v="PROJETADO"/>
    <x v="5"/>
    <x v="4"/>
    <x v="8"/>
    <x v="9"/>
    <x v="0"/>
    <x v="0"/>
    <x v="2"/>
    <x v="11"/>
    <n v="0"/>
    <n v="0"/>
    <n v="3114.703"/>
    <n v="3114.703"/>
    <n v="3114.703"/>
    <n v="3114.703"/>
    <n v="365"/>
    <x v="0"/>
    <n v="0"/>
    <n v="0"/>
    <n v="69"/>
    <n v="113"/>
    <n v="0"/>
    <n v="254.98"/>
    <n v="97.12"/>
    <m/>
    <n v="276.20052098194651"/>
    <n v="126.90145299861364"/>
    <n v="0"/>
    <n v="794186.97093999991"/>
    <n v="302499.95536000002"/>
    <n v="0"/>
    <n v="860282.59130403178"/>
    <n v="395260.33635914087"/>
  </r>
  <r>
    <s v="PROJETADO"/>
    <x v="5"/>
    <x v="4"/>
    <x v="8"/>
    <x v="9"/>
    <x v="0"/>
    <x v="0"/>
    <x v="2"/>
    <x v="11"/>
    <n v="0"/>
    <n v="0"/>
    <n v="-18.777000000000001"/>
    <n v="-18.777000000000001"/>
    <n v="-18.777000000000001"/>
    <n v="-18.777000000000001"/>
    <n v="-3"/>
    <x v="0"/>
    <n v="0"/>
    <n v="0"/>
    <n v="69"/>
    <n v="113"/>
    <n v="0"/>
    <n v="254.98"/>
    <n v="97.12"/>
    <m/>
    <n v="276.20052098194651"/>
    <n v="126.90145299861364"/>
    <n v="0"/>
    <n v="-4787.7594600000002"/>
    <n v="-1823.6222400000001"/>
    <n v="0"/>
    <n v="-5186.2171824780098"/>
    <n v="-2382.8285829549682"/>
  </r>
  <r>
    <s v="PROJETADO"/>
    <x v="5"/>
    <x v="4"/>
    <x v="8"/>
    <x v="9"/>
    <x v="0"/>
    <x v="0"/>
    <x v="2"/>
    <x v="11"/>
    <n v="0"/>
    <n v="0"/>
    <n v="1076.3969999999999"/>
    <n v="1076.3969999999999"/>
    <n v="1076.3969999999999"/>
    <n v="1076.3969999999999"/>
    <n v="94"/>
    <x v="0"/>
    <n v="0"/>
    <n v="0"/>
    <n v="69"/>
    <n v="113"/>
    <n v="0"/>
    <n v="254.98"/>
    <n v="97.12"/>
    <m/>
    <n v="276.20052098194651"/>
    <n v="126.90145299861364"/>
    <n v="0"/>
    <n v="274459.70705999999"/>
    <n v="104539.67664000001"/>
    <n v="0"/>
    <n v="297301.41218340426"/>
    <n v="136596.3433033487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66EE1F-99E8-47E0-828A-FB6741B7E1E2}" name="Efeito Resumo" cacheId="1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J1176" firstHeaderRow="0" firstDataRow="1" firstDataCol="1"/>
  <pivotFields count="36"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6">
        <item x="0"/>
        <item x="3"/>
        <item x="4"/>
        <item x="2"/>
        <item x="1"/>
        <item t="default"/>
      </items>
    </pivotField>
    <pivotField axis="axisRow" showAll="0">
      <items count="10">
        <item x="0"/>
        <item x="6"/>
        <item x="8"/>
        <item x="1"/>
        <item x="5"/>
        <item x="4"/>
        <item x="7"/>
        <item x="2"/>
        <item x="3"/>
        <item t="default"/>
      </items>
    </pivotField>
    <pivotField axis="axisRow" showAll="0">
      <items count="11">
        <item x="1"/>
        <item x="2"/>
        <item x="8"/>
        <item x="9"/>
        <item x="0"/>
        <item x="3"/>
        <item x="4"/>
        <item x="5"/>
        <item x="6"/>
        <item x="7"/>
        <item t="default"/>
      </items>
    </pivotField>
    <pivotField axis="axisRow" showAll="0">
      <items count="5">
        <item x="2"/>
        <item x="3"/>
        <item x="1"/>
        <item x="0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5">
        <item x="0"/>
        <item x="3"/>
        <item x="2"/>
        <item x="1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4">
        <item x="0"/>
        <item x="1"/>
        <item x="2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6"/>
    <field x="1"/>
    <field x="2"/>
    <field x="3"/>
    <field x="4"/>
    <field x="5"/>
    <field x="6"/>
    <field x="7"/>
    <field x="8"/>
  </rowFields>
  <rowItems count="1175">
    <i>
      <x/>
    </i>
    <i r="1">
      <x/>
    </i>
    <i r="2">
      <x/>
    </i>
    <i r="3">
      <x/>
    </i>
    <i r="4">
      <x v="4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7">
      <x v="3"/>
    </i>
    <i r="8">
      <x/>
    </i>
    <i r="8">
      <x v="1"/>
    </i>
    <i r="8">
      <x v="2"/>
    </i>
    <i r="8">
      <x v="3"/>
    </i>
    <i r="8">
      <x v="4"/>
    </i>
    <i r="2">
      <x v="4"/>
    </i>
    <i r="3">
      <x/>
    </i>
    <i r="4">
      <x v="4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4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/>
    </i>
    <i r="5">
      <x v="2"/>
    </i>
    <i r="6">
      <x v="1"/>
    </i>
    <i r="7">
      <x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3"/>
    </i>
    <i r="6">
      <x v="1"/>
    </i>
    <i r="7">
      <x/>
    </i>
    <i r="8">
      <x v="8"/>
    </i>
    <i r="8">
      <x v="9"/>
    </i>
    <i r="8">
      <x v="10"/>
    </i>
    <i r="8">
      <x v="11"/>
    </i>
    <i r="7">
      <x v="2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4"/>
    </i>
    <i r="5">
      <x v="3"/>
    </i>
    <i r="6">
      <x v="1"/>
    </i>
    <i r="7">
      <x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/>
    </i>
    <i r="3">
      <x/>
    </i>
    <i r="4">
      <x v="4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4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4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 v="4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/>
    </i>
    <i r="4">
      <x v="4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4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4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4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 v="4"/>
    </i>
    <i r="5">
      <x v="3"/>
    </i>
    <i r="6">
      <x v="1"/>
    </i>
    <i r="7">
      <x/>
    </i>
    <i r="8">
      <x v="7"/>
    </i>
    <i r="8">
      <x v="8"/>
    </i>
    <i r="8">
      <x v="9"/>
    </i>
    <i r="8">
      <x v="10"/>
    </i>
    <i r="8">
      <x v="11"/>
    </i>
    <i r="7">
      <x v="2"/>
    </i>
    <i r="8">
      <x v="8"/>
    </i>
    <i r="8">
      <x v="9"/>
    </i>
    <i r="8">
      <x v="10"/>
    </i>
    <i r="8">
      <x v="11"/>
    </i>
    <i r="7">
      <x v="3"/>
    </i>
    <i r="8">
      <x/>
    </i>
    <i r="8">
      <x v="7"/>
    </i>
    <i r="3">
      <x v="8"/>
    </i>
    <i r="4">
      <x v="1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1"/>
    </i>
    <i r="3">
      <x v="6"/>
    </i>
    <i r="4">
      <x v="5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6"/>
    </i>
    <i r="4">
      <x v="5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9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1"/>
    </i>
    <i r="3">
      <x v="7"/>
    </i>
    <i r="4">
      <x v="4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7"/>
    </i>
    <i r="4">
      <x/>
    </i>
    <i r="5">
      <x v="1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1"/>
    </i>
    <i r="6">
      <x v="1"/>
    </i>
    <i r="7">
      <x v="2"/>
    </i>
    <i r="8">
      <x v="5"/>
    </i>
    <i r="8">
      <x v="6"/>
    </i>
    <i r="8">
      <x v="7"/>
    </i>
    <i r="8">
      <x v="8"/>
    </i>
    <i r="4">
      <x v="4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 v="1"/>
    </i>
    <i r="3">
      <x/>
    </i>
    <i r="4">
      <x v="4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4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4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/>
    </i>
    <i r="4">
      <x v="4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4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4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4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5"/>
    </i>
    <i r="2">
      <x v="2"/>
    </i>
    <i r="3">
      <x v="2"/>
    </i>
    <i r="4">
      <x v="3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1"/>
    </i>
    <i r="2">
      <x/>
    </i>
    <i r="3">
      <x v="3"/>
    </i>
    <i r="4">
      <x v="4"/>
    </i>
    <i r="5">
      <x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 v="3"/>
    </i>
    <i r="4">
      <x v="4"/>
    </i>
    <i r="5">
      <x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 v="1"/>
    </i>
    <i r="2">
      <x v="3"/>
    </i>
    <i r="3">
      <x v="4"/>
    </i>
    <i r="4">
      <x v="4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7"/>
    <dataField name="Soma de Variação TE" fld="34" baseField="0" baseItem="0" numFmtId="167"/>
    <dataField name="Soma de Variação" fld="35" baseField="0" baseItem="0" numFmtId="167"/>
  </dataFields>
  <formats count="536">
    <format dxfId="1011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1010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009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1008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1007">
      <pivotArea type="all" dataOnly="0" outline="0" fieldPosition="0"/>
    </format>
    <format dxfId="1006">
      <pivotArea outline="0" collapsedLevelsAreSubtotals="1" fieldPosition="0"/>
    </format>
    <format dxfId="1005">
      <pivotArea field="16" type="button" dataOnly="0" labelOnly="1" outline="0" axis="axisRow" fieldPosition="0"/>
    </format>
    <format dxfId="1004">
      <pivotArea dataOnly="0" labelOnly="1" fieldPosition="0">
        <references count="1">
          <reference field="16" count="0"/>
        </references>
      </pivotArea>
    </format>
    <format dxfId="1003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1002">
      <pivotArea dataOnly="0" labelOnly="1" fieldPosition="0">
        <references count="2">
          <reference field="1" count="1">
            <x v="1"/>
          </reference>
          <reference field="16" count="1" selected="0">
            <x v="1"/>
          </reference>
        </references>
      </pivotArea>
    </format>
    <format dxfId="1001">
      <pivotArea dataOnly="0" labelOnly="1" fieldPosition="0">
        <references count="2">
          <reference field="1" count="1">
            <x v="1"/>
          </reference>
          <reference field="16" count="1" selected="0">
            <x v="2"/>
          </reference>
        </references>
      </pivotArea>
    </format>
    <format dxfId="1000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4"/>
          </reference>
          <reference field="16" count="1" selected="0">
            <x v="0"/>
          </reference>
        </references>
      </pivotArea>
    </format>
    <format dxfId="999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16" count="1" selected="0">
            <x v="0"/>
          </reference>
        </references>
      </pivotArea>
    </format>
    <format dxfId="998">
      <pivotArea dataOnly="0" labelOnly="1" fieldPosition="0">
        <references count="3">
          <reference field="1" count="1" selected="0">
            <x v="2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997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996">
      <pivotArea dataOnly="0" labelOnly="1" fieldPosition="0">
        <references count="3">
          <reference field="1" count="1" selected="0">
            <x v="4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995">
      <pivotArea dataOnly="0" labelOnly="1" fieldPosition="0">
        <references count="3">
          <reference field="1" count="1" selected="0">
            <x v="5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994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16" count="1" selected="0">
            <x v="1"/>
          </reference>
        </references>
      </pivotArea>
    </format>
    <format dxfId="993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16" count="1" selected="0">
            <x v="2"/>
          </reference>
        </references>
      </pivotArea>
    </format>
    <format dxfId="992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0"/>
          </reference>
          <reference field="16" count="1" selected="0">
            <x v="0"/>
          </reference>
        </references>
      </pivotArea>
    </format>
    <format dxfId="991">
      <pivotArea dataOnly="0" labelOnly="1" fieldPosition="0">
        <references count="4">
          <reference field="1" count="1" selected="0">
            <x v="0"/>
          </reference>
          <reference field="2" count="1" selected="0">
            <x v="4"/>
          </reference>
          <reference field="3" count="4">
            <x v="0"/>
            <x v="3"/>
            <x v="7"/>
            <x v="8"/>
          </reference>
          <reference field="16" count="1" selected="0">
            <x v="0"/>
          </reference>
        </references>
      </pivotArea>
    </format>
    <format dxfId="990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5">
            <x v="0"/>
            <x v="3"/>
            <x v="5"/>
            <x v="7"/>
            <x v="8"/>
          </reference>
          <reference field="16" count="1" selected="0">
            <x v="0"/>
          </reference>
        </references>
      </pivotArea>
    </format>
    <format dxfId="989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6">
            <x v="0"/>
            <x v="1"/>
            <x v="3"/>
            <x v="5"/>
            <x v="7"/>
            <x v="8"/>
          </reference>
          <reference field="16" count="1" selected="0">
            <x v="0"/>
          </reference>
        </references>
      </pivotArea>
    </format>
    <format dxfId="988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987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986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985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984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3">
            <x v="0"/>
            <x v="3"/>
            <x v="5"/>
          </reference>
          <reference field="16" count="1" selected="0">
            <x v="0"/>
          </reference>
        </references>
      </pivotArea>
    </format>
    <format dxfId="983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982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981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1"/>
          </reference>
        </references>
      </pivotArea>
    </format>
    <format dxfId="980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3"/>
          </reference>
          <reference field="16" count="1" selected="0">
            <x v="1"/>
          </reference>
        </references>
      </pivotArea>
    </format>
    <format dxfId="979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2"/>
          </reference>
        </references>
      </pivotArea>
    </format>
    <format dxfId="978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977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976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975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2">
            <x v="0"/>
            <x v="4"/>
          </reference>
          <reference field="16" count="1" selected="0">
            <x v="0"/>
          </reference>
        </references>
      </pivotArea>
    </format>
    <format dxfId="974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973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972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971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970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969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968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967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966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965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964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963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962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961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5">
            <x v="5"/>
            <x v="6"/>
            <x v="7"/>
            <x v="8"/>
            <x v="9"/>
          </reference>
          <reference field="16" count="1" selected="0">
            <x v="0"/>
          </reference>
        </references>
      </pivotArea>
    </format>
    <format dxfId="960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959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3">
            <x v="0"/>
            <x v="2"/>
            <x v="4"/>
          </reference>
          <reference field="16" count="1" selected="0">
            <x v="0"/>
          </reference>
        </references>
      </pivotArea>
    </format>
    <format dxfId="958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957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956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955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954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953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952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951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950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49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1"/>
          </reference>
        </references>
      </pivotArea>
    </format>
    <format dxfId="948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1"/>
          </reference>
        </references>
      </pivotArea>
    </format>
    <format dxfId="947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4"/>
          </reference>
          <reference field="16" count="1" selected="0">
            <x v="2"/>
          </reference>
        </references>
      </pivotArea>
    </format>
    <format dxfId="946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45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44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43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942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41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40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39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38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37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36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35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34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33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32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31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30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29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28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27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26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25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24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23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22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921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920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19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18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17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16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15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14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13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12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11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10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0"/>
          </reference>
          <reference field="16" count="1" selected="0">
            <x v="1"/>
          </reference>
        </references>
      </pivotArea>
    </format>
    <format dxfId="909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0"/>
          </reference>
          <reference field="16" count="1" selected="0">
            <x v="1"/>
          </reference>
        </references>
      </pivotArea>
    </format>
    <format dxfId="908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2"/>
          </reference>
        </references>
      </pivotArea>
    </format>
    <format dxfId="907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06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05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04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03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02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01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00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899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898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897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896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895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894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893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892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891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890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889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888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887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886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885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884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883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882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881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880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879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878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877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876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875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874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873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872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871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870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869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>
            <x v="1"/>
          </reference>
          <reference field="16" count="1" selected="0">
            <x v="1"/>
          </reference>
        </references>
      </pivotArea>
    </format>
    <format dxfId="868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>
            <x v="1"/>
          </reference>
          <reference field="16" count="1" selected="0">
            <x v="1"/>
          </reference>
        </references>
      </pivotArea>
    </format>
    <format dxfId="867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2"/>
          </reference>
        </references>
      </pivotArea>
    </format>
    <format dxfId="866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865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864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863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0"/>
          </reference>
          <reference field="16" count="1" selected="0">
            <x v="0"/>
          </reference>
        </references>
      </pivotArea>
    </format>
    <format dxfId="862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861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860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59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858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857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856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855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854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853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852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851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850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849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848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847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46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45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44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43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42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841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40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39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38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37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836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835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834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33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32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31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30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29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28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827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826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82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5">
            <x v="0"/>
            <x v="1"/>
            <x v="2"/>
            <x v="3"/>
            <x v="4"/>
          </reference>
          <reference field="16" count="1" selected="0">
            <x v="0"/>
          </reference>
        </references>
      </pivotArea>
    </format>
    <format dxfId="82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5">
            <x v="0"/>
            <x v="1"/>
            <x v="2"/>
            <x v="3"/>
            <x v="4"/>
          </reference>
          <reference field="16" count="1" selected="0">
            <x v="0"/>
          </reference>
        </references>
      </pivotArea>
    </format>
    <format dxfId="823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822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821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820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819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818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817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0"/>
          </reference>
          <reference field="8" count="6"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816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4"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815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6"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814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6"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813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9"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812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9"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811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9"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810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80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80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80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80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80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80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80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80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80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80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9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9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9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9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9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9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9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9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9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9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8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8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8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5"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78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4"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78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2">
            <x v="0"/>
            <x v="7"/>
          </reference>
          <reference field="16" count="1" selected="0">
            <x v="0"/>
          </reference>
        </references>
      </pivotArea>
    </format>
    <format dxfId="78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8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8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81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80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779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78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77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76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75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74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73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72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771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70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69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68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4"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767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66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65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764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63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62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761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60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59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758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57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56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55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54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53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52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5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75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74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74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74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74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745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744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743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742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741">
      <pivotArea type="all" dataOnly="0" outline="0" fieldPosition="0"/>
    </format>
    <format dxfId="740">
      <pivotArea outline="0" collapsedLevelsAreSubtotals="1" fieldPosition="0"/>
    </format>
    <format dxfId="739">
      <pivotArea field="16" type="button" dataOnly="0" labelOnly="1" outline="0" axis="axisRow" fieldPosition="0"/>
    </format>
    <format dxfId="738">
      <pivotArea dataOnly="0" labelOnly="1" fieldPosition="0">
        <references count="1">
          <reference field="16" count="0"/>
        </references>
      </pivotArea>
    </format>
    <format dxfId="737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736">
      <pivotArea dataOnly="0" labelOnly="1" fieldPosition="0">
        <references count="2">
          <reference field="1" count="1">
            <x v="1"/>
          </reference>
          <reference field="16" count="1" selected="0">
            <x v="1"/>
          </reference>
        </references>
      </pivotArea>
    </format>
    <format dxfId="735">
      <pivotArea dataOnly="0" labelOnly="1" fieldPosition="0">
        <references count="2">
          <reference field="1" count="1">
            <x v="1"/>
          </reference>
          <reference field="16" count="1" selected="0">
            <x v="2"/>
          </reference>
        </references>
      </pivotArea>
    </format>
    <format dxfId="734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4"/>
          </reference>
          <reference field="16" count="1" selected="0">
            <x v="0"/>
          </reference>
        </references>
      </pivotArea>
    </format>
    <format dxfId="733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16" count="1" selected="0">
            <x v="0"/>
          </reference>
        </references>
      </pivotArea>
    </format>
    <format dxfId="732">
      <pivotArea dataOnly="0" labelOnly="1" fieldPosition="0">
        <references count="3">
          <reference field="1" count="1" selected="0">
            <x v="2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731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730">
      <pivotArea dataOnly="0" labelOnly="1" fieldPosition="0">
        <references count="3">
          <reference field="1" count="1" selected="0">
            <x v="4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729">
      <pivotArea dataOnly="0" labelOnly="1" fieldPosition="0">
        <references count="3">
          <reference field="1" count="1" selected="0">
            <x v="5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728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16" count="1" selected="0">
            <x v="1"/>
          </reference>
        </references>
      </pivotArea>
    </format>
    <format dxfId="727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16" count="1" selected="0">
            <x v="2"/>
          </reference>
        </references>
      </pivotArea>
    </format>
    <format dxfId="726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0"/>
          </reference>
          <reference field="16" count="1" selected="0">
            <x v="0"/>
          </reference>
        </references>
      </pivotArea>
    </format>
    <format dxfId="725">
      <pivotArea dataOnly="0" labelOnly="1" fieldPosition="0">
        <references count="4">
          <reference field="1" count="1" selected="0">
            <x v="0"/>
          </reference>
          <reference field="2" count="1" selected="0">
            <x v="4"/>
          </reference>
          <reference field="3" count="4">
            <x v="0"/>
            <x v="3"/>
            <x v="7"/>
            <x v="8"/>
          </reference>
          <reference field="16" count="1" selected="0">
            <x v="0"/>
          </reference>
        </references>
      </pivotArea>
    </format>
    <format dxfId="724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5">
            <x v="0"/>
            <x v="3"/>
            <x v="5"/>
            <x v="7"/>
            <x v="8"/>
          </reference>
          <reference field="16" count="1" selected="0">
            <x v="0"/>
          </reference>
        </references>
      </pivotArea>
    </format>
    <format dxfId="723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6">
            <x v="0"/>
            <x v="1"/>
            <x v="3"/>
            <x v="5"/>
            <x v="7"/>
            <x v="8"/>
          </reference>
          <reference field="16" count="1" selected="0">
            <x v="0"/>
          </reference>
        </references>
      </pivotArea>
    </format>
    <format dxfId="722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721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720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719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718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3">
            <x v="0"/>
            <x v="3"/>
            <x v="5"/>
          </reference>
          <reference field="16" count="1" selected="0">
            <x v="0"/>
          </reference>
        </references>
      </pivotArea>
    </format>
    <format dxfId="717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716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715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1"/>
          </reference>
        </references>
      </pivotArea>
    </format>
    <format dxfId="714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3"/>
          </reference>
          <reference field="16" count="1" selected="0">
            <x v="1"/>
          </reference>
        </references>
      </pivotArea>
    </format>
    <format dxfId="713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2"/>
          </reference>
        </references>
      </pivotArea>
    </format>
    <format dxfId="712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11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10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09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2">
            <x v="0"/>
            <x v="4"/>
          </reference>
          <reference field="16" count="1" selected="0">
            <x v="0"/>
          </reference>
        </references>
      </pivotArea>
    </format>
    <format dxfId="708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707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06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05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04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03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702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01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00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99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98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97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696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695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5">
            <x v="5"/>
            <x v="6"/>
            <x v="7"/>
            <x v="8"/>
            <x v="9"/>
          </reference>
          <reference field="16" count="1" selected="0">
            <x v="0"/>
          </reference>
        </references>
      </pivotArea>
    </format>
    <format dxfId="694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93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3">
            <x v="0"/>
            <x v="2"/>
            <x v="4"/>
          </reference>
          <reference field="16" count="1" selected="0">
            <x v="0"/>
          </reference>
        </references>
      </pivotArea>
    </format>
    <format dxfId="692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91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90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89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88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87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86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85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684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83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1"/>
          </reference>
        </references>
      </pivotArea>
    </format>
    <format dxfId="682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1"/>
          </reference>
        </references>
      </pivotArea>
    </format>
    <format dxfId="681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4"/>
          </reference>
          <reference field="16" count="1" selected="0">
            <x v="2"/>
          </reference>
        </references>
      </pivotArea>
    </format>
    <format dxfId="680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79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78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77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676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75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74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73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72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71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70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69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68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67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66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65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64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63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62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61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60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59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58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57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56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655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54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53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52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51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50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49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48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47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46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45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44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0"/>
          </reference>
          <reference field="16" count="1" selected="0">
            <x v="1"/>
          </reference>
        </references>
      </pivotArea>
    </format>
    <format dxfId="643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0"/>
          </reference>
          <reference field="16" count="1" selected="0">
            <x v="1"/>
          </reference>
        </references>
      </pivotArea>
    </format>
    <format dxfId="642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2"/>
          </reference>
        </references>
      </pivotArea>
    </format>
    <format dxfId="641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40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39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38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37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36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35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34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33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32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31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30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29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28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27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26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25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24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23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22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21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20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19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18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17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16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15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14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13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12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11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10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09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08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07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06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05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04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603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>
            <x v="1"/>
          </reference>
          <reference field="16" count="1" selected="0">
            <x v="1"/>
          </reference>
        </references>
      </pivotArea>
    </format>
    <format dxfId="602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>
            <x v="1"/>
          </reference>
          <reference field="16" count="1" selected="0">
            <x v="1"/>
          </reference>
        </references>
      </pivotArea>
    </format>
    <format dxfId="601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2"/>
          </reference>
        </references>
      </pivotArea>
    </format>
    <format dxfId="600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599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98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97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0"/>
          </reference>
          <reference field="16" count="1" selected="0">
            <x v="0"/>
          </reference>
        </references>
      </pivotArea>
    </format>
    <format dxfId="596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95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94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93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592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591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590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589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588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87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86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85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84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83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82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581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80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79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78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77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76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575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74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73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72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71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570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569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568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67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66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65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64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63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62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561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560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55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5">
            <x v="0"/>
            <x v="1"/>
            <x v="2"/>
            <x v="3"/>
            <x v="4"/>
          </reference>
          <reference field="16" count="1" selected="0">
            <x v="0"/>
          </reference>
        </references>
      </pivotArea>
    </format>
    <format dxfId="55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5">
            <x v="0"/>
            <x v="1"/>
            <x v="2"/>
            <x v="3"/>
            <x v="4"/>
          </reference>
          <reference field="16" count="1" selected="0">
            <x v="0"/>
          </reference>
        </references>
      </pivotArea>
    </format>
    <format dxfId="557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56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5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54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53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2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51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0"/>
          </reference>
          <reference field="8" count="6"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550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4"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549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6"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548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6"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547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9"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546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9"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545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9"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544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4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4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4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4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3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3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3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3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3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3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3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3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3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3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2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2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2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2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2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2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2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2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2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5"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52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4"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51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2">
            <x v="0"/>
            <x v="7"/>
          </reference>
          <reference field="16" count="1" selected="0">
            <x v="0"/>
          </reference>
        </references>
      </pivotArea>
    </format>
    <format dxfId="51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1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1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1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14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13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12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11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10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09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08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0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06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05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04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03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02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4"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501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00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99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98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97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96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95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94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93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92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91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90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89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88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87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86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8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48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48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48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48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48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47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478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477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476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5EDC40-3216-47EA-8EA3-2A87B389D2D4}" name="Subsidio Resumo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G559" firstHeaderRow="0" firstDataRow="1" firstDataCol="1"/>
  <pivotFields count="34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6">
        <item x="1"/>
        <item x="4"/>
        <item x="3"/>
        <item x="2"/>
        <item x="0"/>
        <item t="default"/>
      </items>
    </pivotField>
    <pivotField axis="axisRow" showAll="0">
      <items count="6">
        <item x="2"/>
        <item x="3"/>
        <item x="4"/>
        <item x="0"/>
        <item x="1"/>
        <item t="default"/>
      </items>
    </pivotField>
    <pivotField axis="axisRow" showAll="0">
      <items count="10">
        <item x="0"/>
        <item x="2"/>
        <item x="8"/>
        <item x="1"/>
        <item x="3"/>
        <item x="4"/>
        <item x="5"/>
        <item x="6"/>
        <item x="7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numFmtId="14" showAll="0">
      <items count="13">
        <item x="9"/>
        <item x="10"/>
        <item x="11"/>
        <item x="6"/>
        <item x="7"/>
        <item x="8"/>
        <item x="0"/>
        <item x="1"/>
        <item x="2"/>
        <item x="3"/>
        <item x="4"/>
        <item x="5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showAll="0"/>
    <pivotField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axis="axisRow" showAll="0">
      <items count="8">
        <item x="2"/>
        <item x="6"/>
        <item x="3"/>
        <item x="4"/>
        <item x="0"/>
        <item x="1"/>
        <item x="5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9">
    <field x="31"/>
    <field x="1"/>
    <field x="2"/>
    <field x="3"/>
    <field x="4"/>
    <field x="5"/>
    <field x="6"/>
    <field x="7"/>
    <field x="8"/>
  </rowFields>
  <rowItems count="558">
    <i>
      <x/>
    </i>
    <i r="1">
      <x/>
    </i>
    <i r="2">
      <x v="4"/>
    </i>
    <i r="3">
      <x v="4"/>
    </i>
    <i r="4">
      <x v="1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/>
    </i>
    <i r="3">
      <x v="4"/>
    </i>
    <i r="4">
      <x v="1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 v="4"/>
    </i>
    <i r="4">
      <x v="1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 v="2"/>
    </i>
    <i r="3">
      <x v="4"/>
    </i>
    <i r="4">
      <x v="1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2"/>
    </i>
    <i r="2">
      <x v="2"/>
    </i>
    <i r="3">
      <x v="2"/>
    </i>
    <i r="4">
      <x v="5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 v="1"/>
    </i>
    <i r="2">
      <x/>
    </i>
    <i r="3">
      <x/>
    </i>
    <i r="4">
      <x v="3"/>
    </i>
    <i r="5">
      <x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/>
    </i>
    <i r="4">
      <x v="3"/>
    </i>
    <i r="5">
      <x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 v="1"/>
    </i>
    <i r="2">
      <x v="3"/>
    </i>
    <i r="3">
      <x v="1"/>
    </i>
    <i r="4">
      <x v="3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4"/>
    </i>
    <i r="1">
      <x/>
    </i>
    <i r="2">
      <x v="4"/>
    </i>
    <i r="3">
      <x v="3"/>
    </i>
    <i r="4">
      <x/>
    </i>
    <i r="5">
      <x v="2"/>
    </i>
    <i r="6">
      <x v="1"/>
    </i>
    <i r="7">
      <x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2"/>
    </i>
    <i r="3">
      <x v="3"/>
    </i>
    <i r="4">
      <x/>
    </i>
    <i r="5">
      <x v="2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5"/>
    </i>
    <i r="1">
      <x/>
    </i>
    <i r="2">
      <x v="4"/>
    </i>
    <i r="3">
      <x v="3"/>
    </i>
    <i r="4">
      <x/>
    </i>
    <i r="5">
      <x v="3"/>
    </i>
    <i r="6">
      <x v="1"/>
    </i>
    <i r="7">
      <x/>
    </i>
    <i r="8">
      <x v="8"/>
    </i>
    <i r="8">
      <x v="9"/>
    </i>
    <i r="8">
      <x v="10"/>
    </i>
    <i r="8">
      <x v="11"/>
    </i>
    <i r="7">
      <x v="2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3"/>
    </i>
    <i r="5">
      <x v="3"/>
    </i>
    <i r="6">
      <x v="1"/>
    </i>
    <i r="7">
      <x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/>
    </i>
    <i r="3">
      <x v="3"/>
    </i>
    <i r="4">
      <x v="3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 v="3"/>
    </i>
    <i r="4">
      <x v="3"/>
    </i>
    <i r="5">
      <x v="3"/>
    </i>
    <i r="6">
      <x v="1"/>
    </i>
    <i r="7">
      <x/>
    </i>
    <i r="8">
      <x v="7"/>
    </i>
    <i r="8">
      <x v="8"/>
    </i>
    <i r="8">
      <x v="9"/>
    </i>
    <i r="8">
      <x v="10"/>
    </i>
    <i r="8">
      <x v="11"/>
    </i>
    <i r="7">
      <x v="2"/>
    </i>
    <i r="8">
      <x v="8"/>
    </i>
    <i r="8">
      <x v="9"/>
    </i>
    <i r="8">
      <x v="10"/>
    </i>
    <i r="8">
      <x v="11"/>
    </i>
    <i r="7">
      <x v="3"/>
    </i>
    <i r="8">
      <x/>
    </i>
    <i r="8">
      <x v="7"/>
    </i>
    <i r="1">
      <x v="3"/>
    </i>
    <i r="2">
      <x v="1"/>
    </i>
    <i r="3">
      <x v="3"/>
    </i>
    <i r="4">
      <x v="3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3"/>
    </i>
    <i r="4">
      <x/>
    </i>
    <i r="5">
      <x v="1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1"/>
    </i>
    <i r="6">
      <x v="1"/>
    </i>
    <i r="7">
      <x v="2"/>
    </i>
    <i r="8">
      <x v="5"/>
    </i>
    <i r="8">
      <x v="6"/>
    </i>
    <i r="8">
      <x v="7"/>
    </i>
    <i r="8">
      <x v="8"/>
    </i>
    <i r="4">
      <x v="3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6"/>
    </i>
    <i r="1">
      <x v="2"/>
    </i>
    <i r="2">
      <x v="2"/>
    </i>
    <i r="3">
      <x v="2"/>
    </i>
    <i r="4">
      <x v="4"/>
    </i>
    <i r="5">
      <x v="3"/>
    </i>
    <i r="6">
      <x v="1"/>
    </i>
    <i r="7">
      <x v="2"/>
    </i>
    <i r="8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a de SUBSIDIO kW - TV" fld="27" baseField="0" baseItem="0"/>
    <dataField name="Soma de SUBSIDIO MWh - TV" fld="28" baseField="0" baseItem="0"/>
    <dataField name="Soma de SUBSIDIO kW - TN" fld="29" baseField="0" baseItem="0"/>
    <dataField name="Soma de SUBSIDIO MWh - TN" fld="30" baseField="0" baseItem="0"/>
    <dataField name="Soma de TOTAL TV" fld="32" baseField="0" baseItem="0" numFmtId="40"/>
    <dataField name="Soma de TOTAL TN" fld="33" baseField="0" baseItem="0" numFmtId="40"/>
  </dataFields>
  <formats count="326">
    <format dxfId="475">
      <pivotArea outline="0" collapsedLevelsAreSubtotals="1" fieldPosition="0"/>
    </format>
    <format dxfId="474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473">
      <pivotArea type="all" dataOnly="0" outline="0" fieldPosition="0"/>
    </format>
    <format dxfId="472">
      <pivotArea outline="0" collapsedLevelsAreSubtotals="1" fieldPosition="0"/>
    </format>
    <format dxfId="471">
      <pivotArea field="31" type="button" dataOnly="0" labelOnly="1" outline="0" axis="axisRow" fieldPosition="0"/>
    </format>
    <format dxfId="470">
      <pivotArea dataOnly="0" labelOnly="1" fieldPosition="0">
        <references count="1">
          <reference field="31" count="0"/>
        </references>
      </pivotArea>
    </format>
    <format dxfId="469">
      <pivotArea dataOnly="0" labelOnly="1" fieldPosition="0">
        <references count="2">
          <reference field="1" count="3">
            <x v="0"/>
            <x v="1"/>
            <x v="4"/>
          </reference>
          <reference field="31" count="1" selected="0">
            <x v="0"/>
          </reference>
        </references>
      </pivotArea>
    </format>
    <format dxfId="468">
      <pivotArea dataOnly="0" labelOnly="1" fieldPosition="0">
        <references count="2">
          <reference field="1" count="1">
            <x v="2"/>
          </reference>
          <reference field="31" count="1" selected="0">
            <x v="1"/>
          </reference>
        </references>
      </pivotArea>
    </format>
    <format dxfId="467">
      <pivotArea dataOnly="0" labelOnly="1" fieldPosition="0">
        <references count="2">
          <reference field="1" count="1">
            <x v="1"/>
          </reference>
          <reference field="31" count="1" selected="0">
            <x v="2"/>
          </reference>
        </references>
      </pivotArea>
    </format>
    <format dxfId="466">
      <pivotArea dataOnly="0" labelOnly="1" fieldPosition="0">
        <references count="2">
          <reference field="1" count="1">
            <x v="1"/>
          </reference>
          <reference field="31" count="1" selected="0">
            <x v="3"/>
          </reference>
        </references>
      </pivotArea>
    </format>
    <format dxfId="465">
      <pivotArea dataOnly="0" labelOnly="1" fieldPosition="0">
        <references count="2">
          <reference field="1" count="2">
            <x v="0"/>
            <x v="3"/>
          </reference>
          <reference field="31" count="1" selected="0">
            <x v="4"/>
          </reference>
        </references>
      </pivotArea>
    </format>
    <format dxfId="464">
      <pivotArea dataOnly="0" labelOnly="1" fieldPosition="0">
        <references count="2">
          <reference field="1" count="3">
            <x v="0"/>
            <x v="1"/>
            <x v="3"/>
          </reference>
          <reference field="31" count="1" selected="0">
            <x v="5"/>
          </reference>
        </references>
      </pivotArea>
    </format>
    <format dxfId="463">
      <pivotArea dataOnly="0" labelOnly="1" fieldPosition="0">
        <references count="2">
          <reference field="1" count="1">
            <x v="2"/>
          </reference>
          <reference field="31" count="1" selected="0">
            <x v="6"/>
          </reference>
        </references>
      </pivotArea>
    </format>
    <format dxfId="462">
      <pivotArea dataOnly="0" labelOnly="1" fieldPosition="0">
        <references count="3">
          <reference field="1" count="1" selected="0">
            <x v="0"/>
          </reference>
          <reference field="2" count="1">
            <x v="4"/>
          </reference>
          <reference field="31" count="1" selected="0">
            <x v="0"/>
          </reference>
        </references>
      </pivotArea>
    </format>
    <format dxfId="461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31" count="1" selected="0">
            <x v="0"/>
          </reference>
        </references>
      </pivotArea>
    </format>
    <format dxfId="460">
      <pivotArea dataOnly="0" labelOnly="1" fieldPosition="0">
        <references count="3">
          <reference field="1" count="1" selected="0">
            <x v="4"/>
          </reference>
          <reference field="2" count="1">
            <x v="2"/>
          </reference>
          <reference field="31" count="1" selected="0">
            <x v="0"/>
          </reference>
        </references>
      </pivotArea>
    </format>
    <format dxfId="459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31" count="1" selected="0">
            <x v="1"/>
          </reference>
        </references>
      </pivotArea>
    </format>
    <format dxfId="458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31" count="1" selected="0">
            <x v="2"/>
          </reference>
        </references>
      </pivotArea>
    </format>
    <format dxfId="457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31" count="1" selected="0">
            <x v="3"/>
          </reference>
        </references>
      </pivotArea>
    </format>
    <format dxfId="456">
      <pivotArea dataOnly="0" labelOnly="1" fieldPosition="0">
        <references count="3">
          <reference field="1" count="1" selected="0">
            <x v="0"/>
          </reference>
          <reference field="2" count="1">
            <x v="4"/>
          </reference>
          <reference field="31" count="1" selected="0">
            <x v="4"/>
          </reference>
        </references>
      </pivotArea>
    </format>
    <format dxfId="455">
      <pivotArea dataOnly="0" labelOnly="1" fieldPosition="0">
        <references count="3">
          <reference field="1" count="1" selected="0">
            <x v="3"/>
          </reference>
          <reference field="2" count="1">
            <x v="2"/>
          </reference>
          <reference field="31" count="1" selected="0">
            <x v="4"/>
          </reference>
        </references>
      </pivotArea>
    </format>
    <format dxfId="454">
      <pivotArea dataOnly="0" labelOnly="1" fieldPosition="0">
        <references count="3">
          <reference field="1" count="1" selected="0">
            <x v="0"/>
          </reference>
          <reference field="2" count="1">
            <x v="4"/>
          </reference>
          <reference field="31" count="1" selected="0">
            <x v="5"/>
          </reference>
        </references>
      </pivotArea>
    </format>
    <format dxfId="453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31" count="1" selected="0">
            <x v="5"/>
          </reference>
        </references>
      </pivotArea>
    </format>
    <format dxfId="452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31" count="1" selected="0">
            <x v="5"/>
          </reference>
        </references>
      </pivotArea>
    </format>
    <format dxfId="451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31" count="1" selected="0">
            <x v="6"/>
          </reference>
        </references>
      </pivotArea>
    </format>
    <format dxfId="450">
      <pivotArea dataOnly="0" labelOnly="1" fieldPosition="0">
        <references count="4">
          <reference field="1" count="1" selected="0">
            <x v="0"/>
          </reference>
          <reference field="2" count="1" selected="0">
            <x v="4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449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448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447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446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445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444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443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442">
      <pivotArea dataOnly="0" labelOnly="1" fieldPosition="0">
        <references count="4">
          <reference field="1" count="1" selected="0">
            <x v="0"/>
          </reference>
          <reference field="2" count="1" selected="0">
            <x v="4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441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440">
      <pivotArea dataOnly="0" labelOnly="1" fieldPosition="0">
        <references count="4">
          <reference field="1" count="1" selected="0">
            <x v="0"/>
          </reference>
          <reference field="2" count="1" selected="0">
            <x v="4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439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438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437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436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435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6"/>
          </reference>
        </references>
      </pivotArea>
    </format>
    <format dxfId="434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433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432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431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430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4">
            <x v="5"/>
            <x v="6"/>
            <x v="7"/>
            <x v="8"/>
          </reference>
          <reference field="31" count="1" selected="0">
            <x v="1"/>
          </reference>
        </references>
      </pivotArea>
    </format>
    <format dxfId="429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428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427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3"/>
          </reference>
          <reference field="31" count="1" selected="0">
            <x v="3"/>
          </reference>
        </references>
      </pivotArea>
    </format>
    <format dxfId="426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425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424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2">
            <x v="0"/>
            <x v="3"/>
          </reference>
          <reference field="31" count="1" selected="0">
            <x v="5"/>
          </reference>
        </references>
      </pivotArea>
    </format>
    <format dxfId="423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31" count="1" selected="0">
            <x v="5"/>
          </reference>
        </references>
      </pivotArea>
    </format>
    <format dxfId="422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3"/>
          </reference>
          <reference field="31" count="1" selected="0">
            <x v="5"/>
          </reference>
        </references>
      </pivotArea>
    </format>
    <format dxfId="421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3"/>
          </reference>
          <reference field="31" count="1" selected="0">
            <x v="5"/>
          </reference>
        </references>
      </pivotArea>
    </format>
    <format dxfId="420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419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4"/>
          </reference>
          <reference field="31" count="1" selected="0">
            <x v="6"/>
          </reference>
        </references>
      </pivotArea>
    </format>
    <format dxfId="418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417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416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415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414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413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412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411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8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410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409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408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407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406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405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404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403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402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401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400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399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398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97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6"/>
          </reference>
        </references>
      </pivotArea>
    </format>
    <format dxfId="396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0"/>
          </reference>
        </references>
      </pivotArea>
    </format>
    <format dxfId="395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0"/>
          </reference>
        </references>
      </pivotArea>
    </format>
    <format dxfId="394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0"/>
          </reference>
        </references>
      </pivotArea>
    </format>
    <format dxfId="393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0"/>
          </reference>
        </references>
      </pivotArea>
    </format>
    <format dxfId="392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391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390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389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388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1"/>
          </reference>
          <reference field="31" count="1" selected="0">
            <x v="2"/>
          </reference>
        </references>
      </pivotArea>
    </format>
    <format dxfId="387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1"/>
          </reference>
          <reference field="31" count="1" selected="0">
            <x v="2"/>
          </reference>
        </references>
      </pivotArea>
    </format>
    <format dxfId="386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3"/>
          </reference>
        </references>
      </pivotArea>
    </format>
    <format dxfId="385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31" count="1" selected="0">
            <x v="4"/>
          </reference>
        </references>
      </pivotArea>
    </format>
    <format dxfId="384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31" count="1" selected="0">
            <x v="4"/>
          </reference>
        </references>
      </pivotArea>
    </format>
    <format dxfId="383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382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381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380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379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378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377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376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375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6"/>
          </reference>
        </references>
      </pivotArea>
    </format>
    <format dxfId="374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0"/>
          </reference>
        </references>
      </pivotArea>
    </format>
    <format dxfId="373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2">
            <x v="0"/>
            <x v="3"/>
          </reference>
          <reference field="31" count="1" selected="0">
            <x v="0"/>
          </reference>
        </references>
      </pivotArea>
    </format>
    <format dxfId="372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31" count="1" selected="0">
            <x v="0"/>
          </reference>
        </references>
      </pivotArea>
    </format>
    <format dxfId="371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0"/>
          </reference>
        </references>
      </pivotArea>
    </format>
    <format dxfId="370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369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368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367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366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365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364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31" count="1" selected="0">
            <x v="3"/>
          </reference>
        </references>
      </pivotArea>
    </format>
    <format dxfId="363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0"/>
          </reference>
          <reference field="31" count="1" selected="0">
            <x v="4"/>
          </reference>
        </references>
      </pivotArea>
    </format>
    <format dxfId="362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4"/>
          </reference>
        </references>
      </pivotArea>
    </format>
    <format dxfId="361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360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359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2">
            <x v="0"/>
            <x v="3"/>
          </reference>
          <reference field="31" count="1" selected="0">
            <x v="5"/>
          </reference>
        </references>
      </pivotArea>
    </format>
    <format dxfId="358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357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31" count="1" selected="0">
            <x v="5"/>
          </reference>
        </references>
      </pivotArea>
    </format>
    <format dxfId="356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355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354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353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6"/>
          </reference>
        </references>
      </pivotArea>
    </format>
    <format dxfId="352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35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35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34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34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34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346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345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344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343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342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34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34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33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33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33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33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335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3"/>
          </reference>
        </references>
      </pivotArea>
    </format>
    <format dxfId="334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33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3"/>
          </reference>
        </references>
      </pivotArea>
    </format>
    <format dxfId="332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0"/>
          </reference>
          <reference field="8" count="6">
            <x v="6"/>
            <x v="7"/>
            <x v="8"/>
            <x v="9"/>
            <x v="10"/>
            <x v="11"/>
          </reference>
          <reference field="31" count="1" selected="0">
            <x v="4"/>
          </reference>
        </references>
      </pivotArea>
    </format>
    <format dxfId="331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330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4"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329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6"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328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6"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327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9">
            <x v="3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326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9">
            <x v="3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325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9">
            <x v="3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32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32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32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5"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32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4"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32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2">
            <x v="0"/>
            <x v="7"/>
          </reference>
          <reference field="31" count="1" selected="0">
            <x v="5"/>
          </reference>
        </references>
      </pivotArea>
    </format>
    <format dxfId="319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318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31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316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315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4">
            <x v="5"/>
            <x v="6"/>
            <x v="7"/>
            <x v="8"/>
          </reference>
          <reference field="31" count="1" selected="0">
            <x v="5"/>
          </reference>
        </references>
      </pivotArea>
    </format>
    <format dxfId="314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313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1">
            <x v="0"/>
          </reference>
          <reference field="31" count="1" selected="0">
            <x v="6"/>
          </reference>
        </references>
      </pivotArea>
    </format>
    <format dxfId="312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311">
      <pivotArea type="all" dataOnly="0" outline="0" fieldPosition="0"/>
    </format>
    <format dxfId="310">
      <pivotArea outline="0" collapsedLevelsAreSubtotals="1" fieldPosition="0"/>
    </format>
    <format dxfId="309">
      <pivotArea field="31" type="button" dataOnly="0" labelOnly="1" outline="0" axis="axisRow" fieldPosition="0"/>
    </format>
    <format dxfId="308">
      <pivotArea dataOnly="0" labelOnly="1" fieldPosition="0">
        <references count="1">
          <reference field="31" count="0"/>
        </references>
      </pivotArea>
    </format>
    <format dxfId="307">
      <pivotArea dataOnly="0" labelOnly="1" fieldPosition="0">
        <references count="2">
          <reference field="1" count="3">
            <x v="0"/>
            <x v="1"/>
            <x v="4"/>
          </reference>
          <reference field="31" count="1" selected="0">
            <x v="0"/>
          </reference>
        </references>
      </pivotArea>
    </format>
    <format dxfId="306">
      <pivotArea dataOnly="0" labelOnly="1" fieldPosition="0">
        <references count="2">
          <reference field="1" count="1">
            <x v="2"/>
          </reference>
          <reference field="31" count="1" selected="0">
            <x v="1"/>
          </reference>
        </references>
      </pivotArea>
    </format>
    <format dxfId="305">
      <pivotArea dataOnly="0" labelOnly="1" fieldPosition="0">
        <references count="2">
          <reference field="1" count="1">
            <x v="1"/>
          </reference>
          <reference field="31" count="1" selected="0">
            <x v="2"/>
          </reference>
        </references>
      </pivotArea>
    </format>
    <format dxfId="304">
      <pivotArea dataOnly="0" labelOnly="1" fieldPosition="0">
        <references count="2">
          <reference field="1" count="1">
            <x v="1"/>
          </reference>
          <reference field="31" count="1" selected="0">
            <x v="3"/>
          </reference>
        </references>
      </pivotArea>
    </format>
    <format dxfId="303">
      <pivotArea dataOnly="0" labelOnly="1" fieldPosition="0">
        <references count="2">
          <reference field="1" count="2">
            <x v="0"/>
            <x v="3"/>
          </reference>
          <reference field="31" count="1" selected="0">
            <x v="4"/>
          </reference>
        </references>
      </pivotArea>
    </format>
    <format dxfId="302">
      <pivotArea dataOnly="0" labelOnly="1" fieldPosition="0">
        <references count="2">
          <reference field="1" count="3">
            <x v="0"/>
            <x v="1"/>
            <x v="3"/>
          </reference>
          <reference field="31" count="1" selected="0">
            <x v="5"/>
          </reference>
        </references>
      </pivotArea>
    </format>
    <format dxfId="301">
      <pivotArea dataOnly="0" labelOnly="1" fieldPosition="0">
        <references count="2">
          <reference field="1" count="1">
            <x v="2"/>
          </reference>
          <reference field="31" count="1" selected="0">
            <x v="6"/>
          </reference>
        </references>
      </pivotArea>
    </format>
    <format dxfId="300">
      <pivotArea dataOnly="0" labelOnly="1" fieldPosition="0">
        <references count="3">
          <reference field="1" count="1" selected="0">
            <x v="0"/>
          </reference>
          <reference field="2" count="1">
            <x v="4"/>
          </reference>
          <reference field="31" count="1" selected="0">
            <x v="0"/>
          </reference>
        </references>
      </pivotArea>
    </format>
    <format dxfId="299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31" count="1" selected="0">
            <x v="0"/>
          </reference>
        </references>
      </pivotArea>
    </format>
    <format dxfId="298">
      <pivotArea dataOnly="0" labelOnly="1" fieldPosition="0">
        <references count="3">
          <reference field="1" count="1" selected="0">
            <x v="4"/>
          </reference>
          <reference field="2" count="1">
            <x v="2"/>
          </reference>
          <reference field="31" count="1" selected="0">
            <x v="0"/>
          </reference>
        </references>
      </pivotArea>
    </format>
    <format dxfId="297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31" count="1" selected="0">
            <x v="1"/>
          </reference>
        </references>
      </pivotArea>
    </format>
    <format dxfId="296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31" count="1" selected="0">
            <x v="2"/>
          </reference>
        </references>
      </pivotArea>
    </format>
    <format dxfId="295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31" count="1" selected="0">
            <x v="3"/>
          </reference>
        </references>
      </pivotArea>
    </format>
    <format dxfId="294">
      <pivotArea dataOnly="0" labelOnly="1" fieldPosition="0">
        <references count="3">
          <reference field="1" count="1" selected="0">
            <x v="0"/>
          </reference>
          <reference field="2" count="1">
            <x v="4"/>
          </reference>
          <reference field="31" count="1" selected="0">
            <x v="4"/>
          </reference>
        </references>
      </pivotArea>
    </format>
    <format dxfId="293">
      <pivotArea dataOnly="0" labelOnly="1" fieldPosition="0">
        <references count="3">
          <reference field="1" count="1" selected="0">
            <x v="3"/>
          </reference>
          <reference field="2" count="1">
            <x v="2"/>
          </reference>
          <reference field="31" count="1" selected="0">
            <x v="4"/>
          </reference>
        </references>
      </pivotArea>
    </format>
    <format dxfId="292">
      <pivotArea dataOnly="0" labelOnly="1" fieldPosition="0">
        <references count="3">
          <reference field="1" count="1" selected="0">
            <x v="0"/>
          </reference>
          <reference field="2" count="1">
            <x v="4"/>
          </reference>
          <reference field="31" count="1" selected="0">
            <x v="5"/>
          </reference>
        </references>
      </pivotArea>
    </format>
    <format dxfId="291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31" count="1" selected="0">
            <x v="5"/>
          </reference>
        </references>
      </pivotArea>
    </format>
    <format dxfId="290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31" count="1" selected="0">
            <x v="5"/>
          </reference>
        </references>
      </pivotArea>
    </format>
    <format dxfId="289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31" count="1" selected="0">
            <x v="6"/>
          </reference>
        </references>
      </pivotArea>
    </format>
    <format dxfId="288">
      <pivotArea dataOnly="0" labelOnly="1" fieldPosition="0">
        <references count="4">
          <reference field="1" count="1" selected="0">
            <x v="0"/>
          </reference>
          <reference field="2" count="1" selected="0">
            <x v="4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287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286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285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284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283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282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281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280">
      <pivotArea dataOnly="0" labelOnly="1" fieldPosition="0">
        <references count="4">
          <reference field="1" count="1" selected="0">
            <x v="0"/>
          </reference>
          <reference field="2" count="1" selected="0">
            <x v="4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279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278">
      <pivotArea dataOnly="0" labelOnly="1" fieldPosition="0">
        <references count="4">
          <reference field="1" count="1" selected="0">
            <x v="0"/>
          </reference>
          <reference field="2" count="1" selected="0">
            <x v="4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277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276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275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274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273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6"/>
          </reference>
        </references>
      </pivotArea>
    </format>
    <format dxfId="272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71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70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69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68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4">
            <x v="5"/>
            <x v="6"/>
            <x v="7"/>
            <x v="8"/>
          </reference>
          <reference field="31" count="1" selected="0">
            <x v="1"/>
          </reference>
        </references>
      </pivotArea>
    </format>
    <format dxfId="267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266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265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3"/>
          </reference>
          <reference field="31" count="1" selected="0">
            <x v="3"/>
          </reference>
        </references>
      </pivotArea>
    </format>
    <format dxfId="264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263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262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2">
            <x v="0"/>
            <x v="3"/>
          </reference>
          <reference field="31" count="1" selected="0">
            <x v="5"/>
          </reference>
        </references>
      </pivotArea>
    </format>
    <format dxfId="261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31" count="1" selected="0">
            <x v="5"/>
          </reference>
        </references>
      </pivotArea>
    </format>
    <format dxfId="260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3"/>
          </reference>
          <reference field="31" count="1" selected="0">
            <x v="5"/>
          </reference>
        </references>
      </pivotArea>
    </format>
    <format dxfId="259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3"/>
          </reference>
          <reference field="31" count="1" selected="0">
            <x v="5"/>
          </reference>
        </references>
      </pivotArea>
    </format>
    <format dxfId="258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257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4"/>
          </reference>
          <reference field="31" count="1" selected="0">
            <x v="6"/>
          </reference>
        </references>
      </pivotArea>
    </format>
    <format dxfId="256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55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54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53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52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51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50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49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8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48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247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246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245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244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243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42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41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40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39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38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237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236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35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6"/>
          </reference>
        </references>
      </pivotArea>
    </format>
    <format dxfId="234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0"/>
          </reference>
        </references>
      </pivotArea>
    </format>
    <format dxfId="233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0"/>
          </reference>
        </references>
      </pivotArea>
    </format>
    <format dxfId="232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0"/>
          </reference>
        </references>
      </pivotArea>
    </format>
    <format dxfId="231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0"/>
          </reference>
        </references>
      </pivotArea>
    </format>
    <format dxfId="230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229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228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227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226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1"/>
          </reference>
          <reference field="31" count="1" selected="0">
            <x v="2"/>
          </reference>
        </references>
      </pivotArea>
    </format>
    <format dxfId="225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1"/>
          </reference>
          <reference field="31" count="1" selected="0">
            <x v="2"/>
          </reference>
        </references>
      </pivotArea>
    </format>
    <format dxfId="224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3"/>
          </reference>
        </references>
      </pivotArea>
    </format>
    <format dxfId="223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31" count="1" selected="0">
            <x v="4"/>
          </reference>
        </references>
      </pivotArea>
    </format>
    <format dxfId="222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31" count="1" selected="0">
            <x v="4"/>
          </reference>
        </references>
      </pivotArea>
    </format>
    <format dxfId="221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220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219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218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217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216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215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214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213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6"/>
          </reference>
        </references>
      </pivotArea>
    </format>
    <format dxfId="212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0"/>
          </reference>
        </references>
      </pivotArea>
    </format>
    <format dxfId="211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2">
            <x v="0"/>
            <x v="3"/>
          </reference>
          <reference field="31" count="1" selected="0">
            <x v="0"/>
          </reference>
        </references>
      </pivotArea>
    </format>
    <format dxfId="210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31" count="1" selected="0">
            <x v="0"/>
          </reference>
        </references>
      </pivotArea>
    </format>
    <format dxfId="209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0"/>
          </reference>
        </references>
      </pivotArea>
    </format>
    <format dxfId="208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207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206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205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204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203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202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31" count="1" selected="0">
            <x v="3"/>
          </reference>
        </references>
      </pivotArea>
    </format>
    <format dxfId="201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0"/>
          </reference>
          <reference field="31" count="1" selected="0">
            <x v="4"/>
          </reference>
        </references>
      </pivotArea>
    </format>
    <format dxfId="200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4"/>
          </reference>
        </references>
      </pivotArea>
    </format>
    <format dxfId="199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198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197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2">
            <x v="0"/>
            <x v="3"/>
          </reference>
          <reference field="31" count="1" selected="0">
            <x v="5"/>
          </reference>
        </references>
      </pivotArea>
    </format>
    <format dxfId="196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195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31" count="1" selected="0">
            <x v="5"/>
          </reference>
        </references>
      </pivotArea>
    </format>
    <format dxfId="194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193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192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191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6"/>
          </reference>
        </references>
      </pivotArea>
    </format>
    <format dxfId="190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18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18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18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18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18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184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183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82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81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80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7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17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17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17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17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17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173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3"/>
          </reference>
        </references>
      </pivotArea>
    </format>
    <format dxfId="172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71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3"/>
          </reference>
        </references>
      </pivotArea>
    </format>
    <format dxfId="170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0"/>
          </reference>
          <reference field="8" count="6">
            <x v="6"/>
            <x v="7"/>
            <x v="8"/>
            <x v="9"/>
            <x v="10"/>
            <x v="11"/>
          </reference>
          <reference field="31" count="1" selected="0">
            <x v="4"/>
          </reference>
        </references>
      </pivotArea>
    </format>
    <format dxfId="169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168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4"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167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6"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166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6"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165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9">
            <x v="3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164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9">
            <x v="3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163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9">
            <x v="3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16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16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16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5"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15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4"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15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2">
            <x v="0"/>
            <x v="7"/>
          </reference>
          <reference field="31" count="1" selected="0">
            <x v="5"/>
          </reference>
        </references>
      </pivotArea>
    </format>
    <format dxfId="15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156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155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154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153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4">
            <x v="5"/>
            <x v="6"/>
            <x v="7"/>
            <x v="8"/>
          </reference>
          <reference field="31" count="1" selected="0">
            <x v="5"/>
          </reference>
        </references>
      </pivotArea>
    </format>
    <format dxfId="152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151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1">
            <x v="0"/>
          </reference>
          <reference field="31" count="1" selected="0">
            <x v="6"/>
          </reference>
        </references>
      </pivotArea>
    </format>
    <format dxfId="150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001B72D1-2F86-40D0-85C8-407440B35C74}" autoFormatId="0" applyNumberFormats="0" applyBorderFormats="0" applyFontFormats="1" applyPatternFormats="1" applyAlignmentFormats="0" applyWidthHeightFormats="0">
  <queryTableRefresh nextId="46">
    <queryTableFields count="45">
      <queryTableField id="1" name="SUBGRUPO" tableColumnId="46"/>
      <queryTableField id="2" name="MODALIDADE" tableColumnId="47"/>
      <queryTableField id="3" name="CLASSE" tableColumnId="48"/>
      <queryTableField id="4" name="SUBCLASSE" tableColumnId="49"/>
      <queryTableField id="5" name="DETALHE" tableColumnId="50"/>
      <queryTableField id="6" name="POSTO" tableColumnId="51"/>
      <queryTableField id="7" name="UNIDADE" tableColumnId="52"/>
      <queryTableField id="8" name="ACESSANTE" tableColumnId="53"/>
      <queryTableField id="9" name="Total TUSD" tableColumnId="54"/>
      <queryTableField id="10" name="Total TE" tableColumnId="55"/>
      <queryTableField id="11" name="TUSD_CDE_COVID" tableColumnId="56"/>
      <queryTableField id="12" name="TUSD_TFSEE" tableColumnId="57"/>
      <queryTableField id="13" name="TUSD_PeD" tableColumnId="58"/>
      <queryTableField id="14" name="TUSD_ONS" tableColumnId="59"/>
      <queryTableField id="15" name="TUSD_CCC" tableColumnId="60"/>
      <queryTableField id="16" name="TUSD_CDE" tableColumnId="61"/>
      <queryTableField id="17" name="TUSD_PROINFA" tableColumnId="62"/>
      <queryTableField id="18" name="Liminar1" tableColumnId="63"/>
      <queryTableField id="19" name="TUSD_RB" tableColumnId="64"/>
      <queryTableField id="20" name="TUSD_FR" tableColumnId="65"/>
      <queryTableField id="21" name="TUSD_CCT" tableColumnId="66"/>
      <queryTableField id="22" name="TUSD_CCD" tableColumnId="67"/>
      <queryTableField id="23" name="TUSD_CUSD" tableColumnId="68"/>
      <queryTableField id="24" name="TUSDG_T" tableColumnId="69"/>
      <queryTableField id="25" name="TUSDG_ONS" tableColumnId="70"/>
      <queryTableField id="26" name="TUSD_FioB" tableColumnId="71"/>
      <queryTableField id="27" name="TUSD Subsidio" tableColumnId="72"/>
      <queryTableField id="28" name="TUSD BENEFICIO_L14299" tableColumnId="73"/>
      <queryTableField id="29" name="TUSD Outros" tableColumnId="74"/>
      <queryTableField id="30" name="TUSD_PT" tableColumnId="75"/>
      <queryTableField id="31" name="TUSD_Per_RB_D" tableColumnId="76"/>
      <queryTableField id="32" name="TUSD_PNT" tableColumnId="77"/>
      <queryTableField id="33" name="TUSD_RI" tableColumnId="78"/>
      <queryTableField id="34" name="TE_CDE_COVID" tableColumnId="79"/>
      <queryTableField id="35" name="TE_CDE_ELET" tableColumnId="80"/>
      <queryTableField id="36" name="TE_PeD" tableColumnId="81"/>
      <queryTableField id="37" name="TE_ESSERR" tableColumnId="82"/>
      <queryTableField id="38" name="TE_CFURH" tableColumnId="83"/>
      <queryTableField id="39" name="TE_ENERGIA" tableColumnId="84"/>
      <queryTableField id="40" name="TE_TRANSPORTE_ITAIPU" tableColumnId="85"/>
      <queryTableField id="41" name="TE_TUST_ITAIPU" tableColumnId="86"/>
      <queryTableField id="42" name="TE_TUST_CI" tableColumnId="87"/>
      <queryTableField id="43" name="TE Subsidio" tableColumnId="88"/>
      <queryTableField id="44" name="TE BENEFICIO_L14299" tableColumnId="89"/>
      <queryTableField id="45" name="TE_Per_RB" tableColumnId="9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5E4509D2-859D-4B74-984B-3E166760DC71}" autoFormatId="0" applyNumberFormats="0" applyBorderFormats="0" applyFontFormats="1" applyPatternFormats="1" applyAlignmentFormats="0" applyWidthHeightFormats="0">
  <queryTableRefresh nextId="46">
    <queryTableFields count="45">
      <queryTableField id="1" name="SUBGRUPO" tableColumnId="46"/>
      <queryTableField id="2" name="MODALIDADE" tableColumnId="47"/>
      <queryTableField id="3" name="CLASSE" tableColumnId="48"/>
      <queryTableField id="4" name="SUBCLASSE" tableColumnId="49"/>
      <queryTableField id="5" name="DETALHE" tableColumnId="50"/>
      <queryTableField id="6" name="POSTO" tableColumnId="51"/>
      <queryTableField id="7" name="UNIDADE" tableColumnId="52"/>
      <queryTableField id="8" name="ACESSANTE" tableColumnId="53"/>
      <queryTableField id="9" name="Total TUSD" tableColumnId="54"/>
      <queryTableField id="10" name="Total TE" tableColumnId="55"/>
      <queryTableField id="11" name="TUSD_CDE_COVID" tableColumnId="56"/>
      <queryTableField id="12" name="TUSD_TFSEE" tableColumnId="57"/>
      <queryTableField id="13" name="TUSD_PeD" tableColumnId="58"/>
      <queryTableField id="14" name="TUSD_ONS" tableColumnId="59"/>
      <queryTableField id="15" name="TUSD_CCC" tableColumnId="60"/>
      <queryTableField id="16" name="TUSD_CDE" tableColumnId="61"/>
      <queryTableField id="17" name="TUSD_PROINFA" tableColumnId="62"/>
      <queryTableField id="18" name="Liminar1" tableColumnId="63"/>
      <queryTableField id="19" name="TUSD_RB" tableColumnId="64"/>
      <queryTableField id="20" name="TUSD_FR" tableColumnId="65"/>
      <queryTableField id="21" name="TUSD_CCT" tableColumnId="66"/>
      <queryTableField id="22" name="TUSD_CCD" tableColumnId="67"/>
      <queryTableField id="23" name="TUSD_CUSD" tableColumnId="68"/>
      <queryTableField id="24" name="TUSDG_T" tableColumnId="69"/>
      <queryTableField id="25" name="TUSDG_ONS" tableColumnId="70"/>
      <queryTableField id="26" name="TUSD_FioB" tableColumnId="71"/>
      <queryTableField id="27" name="TUSD Subsidio" tableColumnId="72"/>
      <queryTableField id="28" name="TUSD BENEFICIO_L14299" tableColumnId="73"/>
      <queryTableField id="29" name="TUSD Outros" tableColumnId="74"/>
      <queryTableField id="30" name="TUSD_PT" tableColumnId="75"/>
      <queryTableField id="31" name="TUSD_Per_RB_D" tableColumnId="76"/>
      <queryTableField id="32" name="TUSD_PNT" tableColumnId="77"/>
      <queryTableField id="33" name="TUSD_RI" tableColumnId="78"/>
      <queryTableField id="34" name="TE_CDE_COVID" tableColumnId="79"/>
      <queryTableField id="35" name="TE_CDE_ELET" tableColumnId="80"/>
      <queryTableField id="36" name="TE_PeD" tableColumnId="81"/>
      <queryTableField id="37" name="TE_ESSERR" tableColumnId="82"/>
      <queryTableField id="38" name="TE_CFURH" tableColumnId="83"/>
      <queryTableField id="39" name="TE_ENERGIA" tableColumnId="84"/>
      <queryTableField id="40" name="TE_TRANSPORTE_ITAIPU" tableColumnId="85"/>
      <queryTableField id="41" name="TE_TUST_ITAIPU" tableColumnId="86"/>
      <queryTableField id="42" name="TE_TUST_CI" tableColumnId="87"/>
      <queryTableField id="43" name="TE Subsidio" tableColumnId="88"/>
      <queryTableField id="44" name="TE BENEFICIO_L14299" tableColumnId="89"/>
      <queryTableField id="45" name="TE_Per_RB" tableColumnId="9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136D905B-F83B-434D-A8B1-505D51D8F812}" autoFormatId="0" applyNumberFormats="0" applyBorderFormats="0" applyFontFormats="1" applyPatternFormats="1" applyAlignmentFormats="0" applyWidthHeightFormats="0">
  <queryTableRefresh nextId="46">
    <queryTableFields count="45">
      <queryTableField id="1" name="SUBGRUPO" tableColumnId="46"/>
      <queryTableField id="2" name="MODALIDADE" tableColumnId="47"/>
      <queryTableField id="3" name="CLASSE" tableColumnId="48"/>
      <queryTableField id="4" name="SUBCLASSE" tableColumnId="49"/>
      <queryTableField id="5" name="DETALHE" tableColumnId="50"/>
      <queryTableField id="6" name="POSTO" tableColumnId="51"/>
      <queryTableField id="7" name="UNIDADE" tableColumnId="52"/>
      <queryTableField id="8" name="ACESSANTE" tableColumnId="53"/>
      <queryTableField id="9" name="Total TUSD" tableColumnId="54"/>
      <queryTableField id="10" name="Total TE" tableColumnId="55"/>
      <queryTableField id="11" name="TUSD_CDE_COVID" tableColumnId="56"/>
      <queryTableField id="12" name="TUSD_TFSEE" tableColumnId="57"/>
      <queryTableField id="13" name="TUSD_PeD" tableColumnId="58"/>
      <queryTableField id="14" name="TUSD_ONS" tableColumnId="59"/>
      <queryTableField id="15" name="TUSD_CCC" tableColumnId="60"/>
      <queryTableField id="16" name="TUSD_CDE" tableColumnId="61"/>
      <queryTableField id="17" name="TUSD_PROINFA" tableColumnId="62"/>
      <queryTableField id="18" name="Liminar1" tableColumnId="63"/>
      <queryTableField id="19" name="TUSD_RB" tableColumnId="64"/>
      <queryTableField id="20" name="TUSD_FR" tableColumnId="65"/>
      <queryTableField id="21" name="TUSD_CCT" tableColumnId="66"/>
      <queryTableField id="22" name="TUSD_CCD" tableColumnId="67"/>
      <queryTableField id="23" name="TUSD_CUSD" tableColumnId="68"/>
      <queryTableField id="24" name="TUSDG_T" tableColumnId="69"/>
      <queryTableField id="25" name="TUSDG_ONS" tableColumnId="70"/>
      <queryTableField id="26" name="TUSD_FioB" tableColumnId="71"/>
      <queryTableField id="27" name="TUSD Subsidio" tableColumnId="72"/>
      <queryTableField id="28" name="TUSD BENEFICIO_L14299" tableColumnId="73"/>
      <queryTableField id="29" name="TUSD Outros" tableColumnId="74"/>
      <queryTableField id="30" name="TUSD_PT" tableColumnId="75"/>
      <queryTableField id="31" name="TUSD_Per_RB_D" tableColumnId="76"/>
      <queryTableField id="32" name="TUSD_PNT" tableColumnId="77"/>
      <queryTableField id="33" name="TUSD_RI" tableColumnId="78"/>
      <queryTableField id="34" name="TE_CDE_COVID" tableColumnId="79"/>
      <queryTableField id="35" name="TE_CDE_ELET" tableColumnId="80"/>
      <queryTableField id="36" name="TE_PeD" tableColumnId="81"/>
      <queryTableField id="37" name="TE_ESSERR" tableColumnId="82"/>
      <queryTableField id="38" name="TE_CFURH" tableColumnId="83"/>
      <queryTableField id="39" name="TE_ENERGIA" tableColumnId="84"/>
      <queryTableField id="40" name="TE_TRANSPORTE_ITAIPU" tableColumnId="85"/>
      <queryTableField id="41" name="TE_TUST_ITAIPU" tableColumnId="86"/>
      <queryTableField id="42" name="TE_TUST_CI" tableColumnId="87"/>
      <queryTableField id="43" name="TE Subsidio" tableColumnId="88"/>
      <queryTableField id="44" name="TE BENEFICIO_L14299" tableColumnId="89"/>
      <queryTableField id="45" name="TE_Per_RB" tableColumnId="90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C0BEBE-D2F4-4662-9EE8-714761084510}" name="Efeito" displayName="Efeito" ref="A1:AG2102" totalsRowShown="0" headerRowDxfId="1080" dataDxfId="1079">
  <autoFilter ref="A1:AG2102" xr:uid="{E7C0BEBE-D2F4-4662-9EE8-714761084510}"/>
  <tableColumns count="33">
    <tableColumn id="1" xr3:uid="{9F218E5E-D425-4854-B6B9-623D4D921DCF}" name="TipoMercado" dataDxfId="1078"/>
    <tableColumn id="2" xr3:uid="{9D7C4C31-D21F-4B8C-9867-2C896C3B5F88}" name="Subgrupo" dataDxfId="1077"/>
    <tableColumn id="3" xr3:uid="{ABC5C4AE-48AF-4838-8CC8-DF798F972ED5}" name="Modalidade" dataDxfId="1076"/>
    <tableColumn id="4" xr3:uid="{E1567F73-C742-4C06-A501-4AB1860B8397}" name="Classe" dataDxfId="1075"/>
    <tableColumn id="5" xr3:uid="{CF93465E-B65D-43F0-A268-83D93ED89A9C}" name="Subclasse" dataDxfId="1074"/>
    <tableColumn id="6" xr3:uid="{41F7BA4D-18FF-45CD-9B25-B03177B144BC}" name="Detalhe" dataDxfId="1073"/>
    <tableColumn id="7" xr3:uid="{76FDC076-E242-4A44-B187-C511D5400BA0}" name="Agente" dataDxfId="1072"/>
    <tableColumn id="8" xr3:uid="{D56BC20A-B150-4B95-9DCA-7890B0E25CBC}" name="Posto" dataDxfId="1071"/>
    <tableColumn id="9" xr3:uid="{F0B2FE4D-40A2-43C3-87CB-8D37F4B11E93}" name="AnoMes" dataDxfId="1070"/>
    <tableColumn id="10" xr3:uid="{5F84290D-D9AC-4BD0-9695-915D2594BFAB}" name="D" dataDxfId="1069"/>
    <tableColumn id="11" xr3:uid="{455F17A5-2B66-47FA-B62B-411CCD026727}" name="Daj" dataDxfId="1068"/>
    <tableColumn id="12" xr3:uid="{7D59929D-CE20-4E3C-B737-3880C943F56C}" name="TUSD_E" dataDxfId="1067"/>
    <tableColumn id="13" xr3:uid="{E6FE8C43-6BF0-4370-9156-2C5F970D6C50}" name="TUSD_Eaj" dataDxfId="1066"/>
    <tableColumn id="14" xr3:uid="{ABB78B93-2E24-4936-9C6D-B03D0656DF2C}" name="TE_E" dataDxfId="1065"/>
    <tableColumn id="15" xr3:uid="{FFCEE8F7-58E6-46FA-9AD8-5A3E4B0A2E71}" name="TE_Eaj" dataDxfId="1064"/>
    <tableColumn id="16" xr3:uid="{7DD94C8F-6BAF-4014-8066-9CB014887547}" name="UC" dataDxfId="1063"/>
    <tableColumn id="17" xr3:uid="{07E56679-99D4-4F6A-A4FE-224A56A25720}" name="OPÇÃO" dataDxfId="1062"/>
    <tableColumn id="18" xr3:uid="{187A432D-6048-44E8-B17D-63EBA96FB75B}" name="CóD. AUX." dataDxfId="1061"/>
    <tableColumn id="19" xr3:uid="{505F0683-1A2C-4079-AECE-36202C0C4EBB}" name="CóD. AUX. TUSD R$/kW" dataDxfId="1060"/>
    <tableColumn id="20" xr3:uid="{7CCF8A6F-F20D-40B2-82DF-3219C0745D4B}" name="CóD. AUX. TUSD R$/MWh" dataDxfId="1059"/>
    <tableColumn id="21" xr3:uid="{AE3BD1F9-FE67-442E-99E5-B7E22B429C16}" name="CóD. AUX. TE R$/MWh" dataDxfId="1058"/>
    <tableColumn id="22" xr3:uid="{46B6F46B-02F4-4B3A-818B-E80AD6107963}" name="TUSD (R$/kW)" dataDxfId="1057"/>
    <tableColumn id="23" xr3:uid="{02FFD95D-023C-4FB5-B9B4-4D69FBC10E95}" name="TUSD (R$/MWh)" dataDxfId="1056"/>
    <tableColumn id="24" xr3:uid="{EA75F8DA-83F9-4498-9B5C-ACA04E67207F}" name="TE (R$/MWh)" dataDxfId="1055"/>
    <tableColumn id="25" xr3:uid="{158590CC-3D68-4331-AF63-252FD99B6ACD}" name="TUSD (R$/kW) NOVA" dataDxfId="1054"/>
    <tableColumn id="26" xr3:uid="{08B11A5F-7C62-47F9-BECB-80D203775C4A}" name="TUSD (R$/MWh) NOVA" dataDxfId="1053">
      <calculatedColumnFormula>('TUSD BE'!$AM$67+'TUSD BF'!$AM$67+'TUSD CVA'!$AM$67)*1</calculatedColumnFormula>
    </tableColumn>
    <tableColumn id="27" xr3:uid="{2F82DB5C-4558-4D10-AB55-28FA2AD84D45}" name="TE (R$/MWh) NOVA" dataDxfId="1052">
      <calculatedColumnFormula>('TE BE'!$AB$50+'TE BF'!$AB$50+'TE CVA'!$AB$50)*1</calculatedColumnFormula>
    </tableColumn>
    <tableColumn id="28" xr3:uid="{8249B546-91B8-41C0-BFB2-1B13B725AFCD}" name="RA0 ou RV - TUSD (kW)" dataDxfId="1051"/>
    <tableColumn id="29" xr3:uid="{264933DB-206F-4886-B96A-42B4CBE21683}" name="RA0 ou RV - TUSD (MWh)" dataDxfId="1050"/>
    <tableColumn id="30" xr3:uid="{919860E4-2426-43DB-995A-DCF93E100CDC}" name="RA0 ou RV - TE (MWh)" dataDxfId="1049"/>
    <tableColumn id="31" xr3:uid="{B38CF2E8-7818-4BE7-BA12-94B8287BF040}" name="RA1 ou RRD - TUSD (kW)" dataDxfId="1048"/>
    <tableColumn id="32" xr3:uid="{803A9896-C38B-47D2-9008-76FFE41AD38A}" name="RA1 ou RRD - TUSD (MWh)" dataDxfId="1047"/>
    <tableColumn id="33" xr3:uid="{A4711760-4CDC-4801-B092-631864933386}" name="RA1 ou RRD - TE (MWh)" dataDxfId="104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7615CF3-FC7B-41CE-AF51-73B74025A851}" name="Subsidio" displayName="Subsidio" ref="A1:AF791" totalsRowShown="0" headerRowDxfId="1045" dataDxfId="1044">
  <autoFilter ref="A1:AF791" xr:uid="{97615CF3-FC7B-41CE-AF51-73B74025A851}"/>
  <tableColumns count="32">
    <tableColumn id="1" xr3:uid="{4390AEDD-36F1-4A51-A035-DFE94242A081}" name="TipoMercado" dataDxfId="1043"/>
    <tableColumn id="2" xr3:uid="{B7C210EA-958B-4A2F-826F-2134FD9AF510}" name="Subgrupo" dataDxfId="1042"/>
    <tableColumn id="3" xr3:uid="{142E6411-E4E2-4C51-B724-9E001D259DB1}" name="Modalidade" dataDxfId="1041"/>
    <tableColumn id="4" xr3:uid="{CCB6AFCC-6D35-415F-A7CC-FDDD3EB8C650}" name="Classe" dataDxfId="1040"/>
    <tableColumn id="5" xr3:uid="{6BD5DB9C-2CF6-4784-BCE3-1233E2C27993}" name="Subclasse" dataDxfId="1039"/>
    <tableColumn id="6" xr3:uid="{61E4E39B-CCE6-4457-9B60-5C5DDE4C2902}" name="Detalhe" dataDxfId="1038"/>
    <tableColumn id="7" xr3:uid="{DC7B930E-D1CA-488C-A491-83942C2CB10B}" name="Agente" dataDxfId="1037"/>
    <tableColumn id="8" xr3:uid="{1118E192-4824-48B7-8296-C9A90B702749}" name="Posto" dataDxfId="1036"/>
    <tableColumn id="9" xr3:uid="{D7419FE6-6111-41A5-98EE-881572BA678F}" name="AnoMes" dataDxfId="1035"/>
    <tableColumn id="10" xr3:uid="{CF2BDD16-BC59-4EFE-B373-8790D11404EF}" name="D" dataDxfId="1034"/>
    <tableColumn id="11" xr3:uid="{2A5829A2-917A-4EAD-9201-26AF6655A41D}" name="Daj" dataDxfId="1033"/>
    <tableColumn id="12" xr3:uid="{367C1FA2-6598-4D6A-9061-A005D3F9AD1C}" name="TUSD_E" dataDxfId="1032"/>
    <tableColumn id="13" xr3:uid="{1FAEF80C-274F-4D68-ACDB-450BF717630B}" name="TUSD_Eaj" dataDxfId="1031"/>
    <tableColumn id="14" xr3:uid="{00593F72-558C-4F45-B74B-C2981563DCAB}" name="TE_E" dataDxfId="1030"/>
    <tableColumn id="15" xr3:uid="{F362B6AB-5058-4787-9BC1-B995F0471DDB}" name="TE_Eaj" dataDxfId="1029"/>
    <tableColumn id="16" xr3:uid="{52AA5B7C-5DE4-49F0-BEF5-867920937CF7}" name="UC" dataDxfId="1028"/>
    <tableColumn id="17" xr3:uid="{8CC46565-8B1E-4486-BDAD-E92C5A2FB27E}" name="OPÇÃO" dataDxfId="1027"/>
    <tableColumn id="18" xr3:uid="{F3AE9735-0301-4A71-9000-48941853C1A4}" name="CóD. AUX." dataDxfId="1026"/>
    <tableColumn id="19" xr3:uid="{97C4F73D-327E-4363-AC03-EB2B36A93877}" name="CóD. AUX. TUSD R$/kW" dataDxfId="1025"/>
    <tableColumn id="20" xr3:uid="{7145ED3F-EAF2-4C76-9596-63950DF8FCDF}" name="CóD. AUX. TUSD R$/MWh" dataDxfId="1024"/>
    <tableColumn id="21" xr3:uid="{5350604D-CA79-4AFA-B428-4BD2D572F2C7}" name="CóD. AUX. TE R$/MWh" dataDxfId="1023"/>
    <tableColumn id="22" xr3:uid="{8F09CC8B-D9B6-4F6A-A042-5EE181345666}" name="TUSD (R$/kW)" dataDxfId="1022"/>
    <tableColumn id="23" xr3:uid="{A7FB3C1B-433F-4465-B12E-6079C27AFFF7}" name="TUSD (R$/MWh)" dataDxfId="1021"/>
    <tableColumn id="24" xr3:uid="{C7B20E58-7628-4FF7-8FAE-1E8877AC07E2}" name="TE (R$/MWh)" dataDxfId="1020"/>
    <tableColumn id="25" xr3:uid="{AE144F49-B153-4A33-A5B9-88D45DDA7268}" name="TUSD (R$/kW) NOVA" dataDxfId="1019"/>
    <tableColumn id="26" xr3:uid="{45B0AA25-8390-4221-A9F5-B3FFAD08002E}" name="TUSD (R$/MWh) NOVA" dataDxfId="1018">
      <calculatedColumnFormula>('TUSD BE'!$AM$65+'TUSD BF'!$AM$65+'TUSD CVA'!$AM$65)*1</calculatedColumnFormula>
    </tableColumn>
    <tableColumn id="27" xr3:uid="{D38357C3-6075-4F87-978D-8FAD9AF10A58}" name="TE (R$/MWh) NOVA" dataDxfId="1017">
      <calculatedColumnFormula>('TE BE'!$AB$48+'TE BF'!$AB$48+'TE CVA'!$AB$48)*1</calculatedColumnFormula>
    </tableColumn>
    <tableColumn id="28" xr3:uid="{79FA9E3E-5AFA-452C-8D69-CF8851CEFAA7}" name="SUBSIDIO kW - TV" dataDxfId="1016">
      <calculatedColumnFormula>(J2-K2)*V2</calculatedColumnFormula>
    </tableColumn>
    <tableColumn id="29" xr3:uid="{2F36C6CA-3666-4F6A-8424-40F4D9B35CCC}" name="SUBSIDIO MWh - TV" dataDxfId="1015">
      <calculatedColumnFormula>(L2-M2)*W2+(N2-O2)*X2</calculatedColumnFormula>
    </tableColumn>
    <tableColumn id="30" xr3:uid="{A86F1C7B-8B29-4D9E-848F-766A7B9A4139}" name="SUBSIDIO kW - TN" dataDxfId="1014">
      <calculatedColumnFormula>(J2-K2)*Y2</calculatedColumnFormula>
    </tableColumn>
    <tableColumn id="31" xr3:uid="{301595AA-74E7-4AE4-BCF1-1F9B18FF3E49}" name="SUBSIDIO MWh - TN" dataDxfId="1013">
      <calculatedColumnFormula>(L2-M2)*Z2+(N2-O2)*AA2</calculatedColumnFormula>
    </tableColumn>
    <tableColumn id="32" xr3:uid="{0C77A183-AD4F-4D26-8702-7A47F178123D}" name="TIPO" dataDxfId="101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69D91A5-EF5C-4BAD-8D3E-2158E53546C0}" name="TabelaFin" displayName="TabelaFin" ref="B3:AT78" tableType="queryTable" totalsRowShown="0" headerRowDxfId="149" dataDxfId="147" headerRowBorderDxfId="148" tableBorderDxfId="146" totalsRowBorderDxfId="145">
  <autoFilter ref="B3:AT78" xr:uid="{169D91A5-EF5C-4BAD-8D3E-2158E53546C0}"/>
  <sortState xmlns:xlrd2="http://schemas.microsoft.com/office/spreadsheetml/2017/richdata2" ref="B4:AT78">
    <sortCondition ref="B4:B78"/>
    <sortCondition ref="C4:C78"/>
    <sortCondition ref="D4:D78"/>
    <sortCondition ref="E4:E78"/>
    <sortCondition ref="F4:F78"/>
    <sortCondition descending="1" ref="G4:G78"/>
    <sortCondition descending="1" ref="H4:H78"/>
    <sortCondition ref="I4:I78"/>
  </sortState>
  <tableColumns count="45">
    <tableColumn id="46" xr3:uid="{76D3C7B7-74D7-47A2-B678-36CA02EE807F}" uniqueName="46" name="SUBGRUPO" queryTableFieldId="1" dataDxfId="144"/>
    <tableColumn id="47" xr3:uid="{5FD28427-2A4B-450B-A6F8-BF752F5ECBB2}" uniqueName="47" name="MODALIDADE" queryTableFieldId="2" dataDxfId="143"/>
    <tableColumn id="48" xr3:uid="{9B21B035-BCA8-4725-9373-0430C37D77BA}" uniqueName="48" name="CLASSE" queryTableFieldId="3" dataDxfId="142"/>
    <tableColumn id="49" xr3:uid="{96627554-E4EA-4D53-B965-D260D9A6DF40}" uniqueName="49" name="SUBCLASSE" queryTableFieldId="4" dataDxfId="141"/>
    <tableColumn id="50" xr3:uid="{674CD0BD-8062-4C17-BC21-AEC2BB92F620}" uniqueName="50" name="DETALHE" queryTableFieldId="5" dataDxfId="140"/>
    <tableColumn id="51" xr3:uid="{5D5A31F3-4470-4F91-B1F3-6A351D0F8B34}" uniqueName="51" name="POSTO" queryTableFieldId="6" dataDxfId="139"/>
    <tableColumn id="52" xr3:uid="{BF3BFEB5-C27B-4474-AB1F-E1B4C9A41325}" uniqueName="52" name="UNIDADE" queryTableFieldId="7" dataDxfId="138"/>
    <tableColumn id="53" xr3:uid="{ABCAE14C-E8EA-4C58-8CD5-F88E82A4BB4F}" uniqueName="53" name="ACESSANTE" queryTableFieldId="8" dataDxfId="137"/>
    <tableColumn id="54" xr3:uid="{A718F4F5-4515-4730-861E-ECEAD3B7DBC8}" uniqueName="54" name="Total TUSD" queryTableFieldId="9" dataDxfId="136"/>
    <tableColumn id="55" xr3:uid="{8C05D447-C494-4575-BC39-B6E441DAB73E}" uniqueName="55" name="Total TE" queryTableFieldId="10" dataDxfId="135"/>
    <tableColumn id="56" xr3:uid="{A19E872F-A3AC-429C-BDF6-E37206052BBB}" uniqueName="56" name="TUSD_CDE_COVID" queryTableFieldId="11" dataDxfId="134"/>
    <tableColumn id="57" xr3:uid="{2D115366-2B7F-43F5-A222-18B3D3E9011E}" uniqueName="57" name="TUSD_TFSEE" queryTableFieldId="12" dataDxfId="133"/>
    <tableColumn id="58" xr3:uid="{282E7ABC-65F4-47C8-AEE7-D345B2B1A832}" uniqueName="58" name="TUSD_PeD" queryTableFieldId="13" dataDxfId="132"/>
    <tableColumn id="59" xr3:uid="{EE0650BE-587C-4778-BB4F-DCBE37FD3DAF}" uniqueName="59" name="TUSD_ONS" queryTableFieldId="14" dataDxfId="131"/>
    <tableColumn id="60" xr3:uid="{91969702-9DCE-49AA-AF73-1EC29A5024E0}" uniqueName="60" name="TUSD_CCC" queryTableFieldId="15" dataDxfId="130"/>
    <tableColumn id="61" xr3:uid="{D807A706-A555-42C4-9E2C-6450CD28B892}" uniqueName="61" name="TUSD_CDE" queryTableFieldId="16" dataDxfId="129"/>
    <tableColumn id="62" xr3:uid="{9313EBE8-2BF9-4BE9-AB86-9B4F44F0DA90}" uniqueName="62" name="TUSD_PROINFA" queryTableFieldId="17" dataDxfId="128"/>
    <tableColumn id="63" xr3:uid="{4036D81D-175B-4588-ABB7-1658BD70D461}" uniqueName="63" name="Liminar1" queryTableFieldId="18" dataDxfId="127"/>
    <tableColumn id="64" xr3:uid="{C9B15251-1DB0-40B7-ADBF-68D1E75AA08C}" uniqueName="64" name="TUSD_RB" queryTableFieldId="19" dataDxfId="126"/>
    <tableColumn id="65" xr3:uid="{EA5E66D4-5CEA-4505-BD7E-C9ED6E863EC8}" uniqueName="65" name="TUSD_FR" queryTableFieldId="20" dataDxfId="125"/>
    <tableColumn id="66" xr3:uid="{AFE79244-922C-46BC-929D-87706E04DCA0}" uniqueName="66" name="TUSD_CCT" queryTableFieldId="21" dataDxfId="124"/>
    <tableColumn id="67" xr3:uid="{E5A9853D-E4E3-4AD7-AB07-0FE02628CF39}" uniqueName="67" name="TUSD_CCD" queryTableFieldId="22" dataDxfId="123"/>
    <tableColumn id="68" xr3:uid="{87CA7AB1-79A1-46BB-B5D7-D50B58525C85}" uniqueName="68" name="TUSD_CUSD" queryTableFieldId="23" dataDxfId="122"/>
    <tableColumn id="69" xr3:uid="{AFC15316-6562-4429-A8EE-889DFAAFDF0A}" uniqueName="69" name="TUSDG_T" queryTableFieldId="24" dataDxfId="121"/>
    <tableColumn id="70" xr3:uid="{935B16DC-0FA2-41CB-97AF-A72A943C2419}" uniqueName="70" name="TUSDG_ONS" queryTableFieldId="25" dataDxfId="120"/>
    <tableColumn id="71" xr3:uid="{332D71C1-673E-486C-B4EE-6727C40CC7D3}" uniqueName="71" name="TUSD_FioB" queryTableFieldId="26" dataDxfId="119"/>
    <tableColumn id="72" xr3:uid="{EDC88E35-3F61-4D02-9481-9278319CFC53}" uniqueName="72" name="TUSD Subsidio" queryTableFieldId="27" dataDxfId="118"/>
    <tableColumn id="73" xr3:uid="{6D6D5FBD-8726-4DC0-8C59-267CDD275DE4}" uniqueName="73" name="TUSD BENEFICIO_L14299" queryTableFieldId="28" dataDxfId="117"/>
    <tableColumn id="74" xr3:uid="{F3D4EF50-6680-4DFB-AA71-EA02C3D64C02}" uniqueName="74" name="TUSD Outros" queryTableFieldId="29" dataDxfId="116"/>
    <tableColumn id="75" xr3:uid="{C9E174F5-49F3-4569-829E-DCF90C6B5F97}" uniqueName="75" name="TUSD_PT" queryTableFieldId="30" dataDxfId="115"/>
    <tableColumn id="76" xr3:uid="{5EFDFB60-1C3A-40B3-8132-654BAD3DE46F}" uniqueName="76" name="TUSD_Per_RB_D" queryTableFieldId="31" dataDxfId="114"/>
    <tableColumn id="77" xr3:uid="{2231982F-C6E4-4265-841F-8B7367314BE7}" uniqueName="77" name="TUSD_PNT" queryTableFieldId="32" dataDxfId="113"/>
    <tableColumn id="78" xr3:uid="{176E73C5-361D-4C43-9259-708E9BAE863E}" uniqueName="78" name="TUSD_RI" queryTableFieldId="33" dataDxfId="112"/>
    <tableColumn id="79" xr3:uid="{CB1EE001-3F07-4934-B104-2F4C0838698E}" uniqueName="79" name="TE_CDE_COVID" queryTableFieldId="34" dataDxfId="111"/>
    <tableColumn id="80" xr3:uid="{070CAF46-DF4D-440B-98B4-32B8671D0C14}" uniqueName="80" name="TE_CDE_ELET" queryTableFieldId="35" dataDxfId="110"/>
    <tableColumn id="81" xr3:uid="{E39A0964-01CA-4624-9B8D-3462E6FB58D7}" uniqueName="81" name="TE_PeD" queryTableFieldId="36" dataDxfId="109"/>
    <tableColumn id="82" xr3:uid="{A6228884-85DD-45AE-A04A-39161E52EA4B}" uniqueName="82" name="TE_ESSERR" queryTableFieldId="37" dataDxfId="108"/>
    <tableColumn id="83" xr3:uid="{4B1A7DEF-9C52-47D3-800E-19415BBEEF57}" uniqueName="83" name="TE_CFURH" queryTableFieldId="38" dataDxfId="107"/>
    <tableColumn id="84" xr3:uid="{8EFA9AA2-434F-4265-83BE-D9A018B47A53}" uniqueName="84" name="TE_ENERGIA" queryTableFieldId="39" dataDxfId="106"/>
    <tableColumn id="85" xr3:uid="{764272CF-23CB-4DE5-A36A-FD4B3C550A3D}" uniqueName="85" name="TE_TRANSPORTE_ITAIPU" queryTableFieldId="40" dataDxfId="105"/>
    <tableColumn id="86" xr3:uid="{DE280213-14F0-4BA4-98E6-5B8674425416}" uniqueName="86" name="TE_TUST_ITAIPU" queryTableFieldId="41" dataDxfId="104"/>
    <tableColumn id="87" xr3:uid="{175DFD2E-E911-4425-A257-1A7056B42B47}" uniqueName="87" name="TE_TUST_CI" queryTableFieldId="42" dataDxfId="103"/>
    <tableColumn id="88" xr3:uid="{965C766D-DC34-42D0-88DB-4A2E3FC2BF27}" uniqueName="88" name="TE Subsidio" queryTableFieldId="43" dataDxfId="102"/>
    <tableColumn id="89" xr3:uid="{1EF04642-BF7B-42BF-BFFF-E420A6B2E2F6}" uniqueName="89" name="TE BENEFICIO_L14299" queryTableFieldId="44" dataDxfId="101"/>
    <tableColumn id="90" xr3:uid="{724B287A-F21A-4FAD-B84F-9BAA733E8189}" uniqueName="90" name="TE_Per_RB" queryTableFieldId="45" dataDxfId="10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E649AB9-F156-460D-9AD4-304C8BC245E4}" name="TabelaEc" displayName="TabelaEc" ref="B3:AT78" tableType="queryTable" totalsRowShown="0" headerRowDxfId="99" dataDxfId="97" headerRowBorderDxfId="98" tableBorderDxfId="96" totalsRowBorderDxfId="95">
  <autoFilter ref="B3:AT78" xr:uid="{7E649AB9-F156-460D-9AD4-304C8BC245E4}"/>
  <sortState xmlns:xlrd2="http://schemas.microsoft.com/office/spreadsheetml/2017/richdata2" ref="B4:AT78">
    <sortCondition ref="B4:B78"/>
    <sortCondition ref="C4:C78"/>
    <sortCondition ref="D4:D78"/>
    <sortCondition ref="E4:E78"/>
    <sortCondition ref="F4:F78"/>
    <sortCondition descending="1" ref="G4:G78"/>
    <sortCondition descending="1" ref="H4:H78"/>
    <sortCondition ref="I4:I78"/>
  </sortState>
  <tableColumns count="45">
    <tableColumn id="46" xr3:uid="{E7D62962-DDC8-46FD-9E11-092F97936C9A}" uniqueName="46" name="SUBGRUPO" queryTableFieldId="1" dataDxfId="94"/>
    <tableColumn id="47" xr3:uid="{7AF9FFF8-9191-4B77-BF3E-79ED6E8285C4}" uniqueName="47" name="MODALIDADE" queryTableFieldId="2" dataDxfId="93"/>
    <tableColumn id="48" xr3:uid="{99C216C6-6EEB-4BE9-8601-0D022A50A010}" uniqueName="48" name="CLASSE" queryTableFieldId="3" dataDxfId="92"/>
    <tableColumn id="49" xr3:uid="{B4E518CB-AE49-452F-A398-CC0E94674092}" uniqueName="49" name="SUBCLASSE" queryTableFieldId="4" dataDxfId="91"/>
    <tableColumn id="50" xr3:uid="{8FFE0031-EFC7-4FA2-8726-0B5772EAA563}" uniqueName="50" name="DETALHE" queryTableFieldId="5" dataDxfId="90"/>
    <tableColumn id="51" xr3:uid="{2CF3A2C8-09EE-4698-ACC0-5CC6C2AD4117}" uniqueName="51" name="POSTO" queryTableFieldId="6" dataDxfId="89"/>
    <tableColumn id="52" xr3:uid="{95432437-FE91-4559-8CF8-E9E2D399FE51}" uniqueName="52" name="UNIDADE" queryTableFieldId="7" dataDxfId="88"/>
    <tableColumn id="53" xr3:uid="{F6C2D722-903B-4CF9-9BBA-19657D2AAB19}" uniqueName="53" name="ACESSANTE" queryTableFieldId="8" dataDxfId="87"/>
    <tableColumn id="54" xr3:uid="{B34038E4-8D1F-4634-A384-6757343BF055}" uniqueName="54" name="Total TUSD" queryTableFieldId="9" dataDxfId="86"/>
    <tableColumn id="55" xr3:uid="{54E57908-873E-4838-B76C-0D0A81CC52FB}" uniqueName="55" name="Total TE" queryTableFieldId="10" dataDxfId="85"/>
    <tableColumn id="56" xr3:uid="{413E6BDE-CB06-450D-9A3B-123C3A89071C}" uniqueName="56" name="TUSD_CDE_COVID" queryTableFieldId="11" dataDxfId="84"/>
    <tableColumn id="57" xr3:uid="{1846AD6A-4926-4C26-BD6D-EA8322720AF4}" uniqueName="57" name="TUSD_TFSEE" queryTableFieldId="12" dataDxfId="83"/>
    <tableColumn id="58" xr3:uid="{911C373C-101D-4E7D-99F6-8ED2C3EBC287}" uniqueName="58" name="TUSD_PeD" queryTableFieldId="13" dataDxfId="82"/>
    <tableColumn id="59" xr3:uid="{ED337F39-131D-443C-AA05-59EC00580F7A}" uniqueName="59" name="TUSD_ONS" queryTableFieldId="14" dataDxfId="81"/>
    <tableColumn id="60" xr3:uid="{3EE70CCA-DAA9-40E8-93F4-43C6180CCE17}" uniqueName="60" name="TUSD_CCC" queryTableFieldId="15" dataDxfId="80"/>
    <tableColumn id="61" xr3:uid="{25EADD4A-C59B-474C-94A4-96B2058DD56E}" uniqueName="61" name="TUSD_CDE" queryTableFieldId="16" dataDxfId="79"/>
    <tableColumn id="62" xr3:uid="{A89FF6D1-6E53-499F-BB0C-464DAA02971A}" uniqueName="62" name="TUSD_PROINFA" queryTableFieldId="17" dataDxfId="78"/>
    <tableColumn id="63" xr3:uid="{AECAF16F-1585-42FB-B639-27942C65D735}" uniqueName="63" name="Liminar1" queryTableFieldId="18" dataDxfId="77"/>
    <tableColumn id="64" xr3:uid="{A363B16C-AAA6-4492-8F1F-17DDB12A659C}" uniqueName="64" name="TUSD_RB" queryTableFieldId="19" dataDxfId="76"/>
    <tableColumn id="65" xr3:uid="{678A7BBE-701D-4D32-96D1-79DF87C9798B}" uniqueName="65" name="TUSD_FR" queryTableFieldId="20" dataDxfId="75"/>
    <tableColumn id="66" xr3:uid="{0BBF4E37-7D4B-4D1D-8C5D-D831C6808552}" uniqueName="66" name="TUSD_CCT" queryTableFieldId="21" dataDxfId="74"/>
    <tableColumn id="67" xr3:uid="{EF1480AE-E71B-4F49-A2E6-7ADCAD3C7414}" uniqueName="67" name="TUSD_CCD" queryTableFieldId="22" dataDxfId="73"/>
    <tableColumn id="68" xr3:uid="{FA0EDB49-30D0-432F-8110-AF6519F60AEA}" uniqueName="68" name="TUSD_CUSD" queryTableFieldId="23" dataDxfId="72"/>
    <tableColumn id="69" xr3:uid="{19EE0B4A-60F7-485A-AAE0-57675798B955}" uniqueName="69" name="TUSDG_T" queryTableFieldId="24" dataDxfId="71"/>
    <tableColumn id="70" xr3:uid="{0DFC2A1C-018A-4017-9457-190CC463E9B4}" uniqueName="70" name="TUSDG_ONS" queryTableFieldId="25" dataDxfId="70"/>
    <tableColumn id="71" xr3:uid="{937D7012-EC9B-45FD-8903-29763EC7FE54}" uniqueName="71" name="TUSD_FioB" queryTableFieldId="26" dataDxfId="69"/>
    <tableColumn id="72" xr3:uid="{DD1EFE68-09D8-4629-96DC-9A6D13F6E244}" uniqueName="72" name="TUSD Subsidio" queryTableFieldId="27" dataDxfId="68"/>
    <tableColumn id="73" xr3:uid="{6F74CC1C-F0EE-490C-B3BE-A8F82B549D49}" uniqueName="73" name="TUSD BENEFICIO_L14299" queryTableFieldId="28" dataDxfId="67"/>
    <tableColumn id="74" xr3:uid="{3831BBE9-6A0F-4465-B0B0-A704BFADD7B9}" uniqueName="74" name="TUSD Outros" queryTableFieldId="29" dataDxfId="66"/>
    <tableColumn id="75" xr3:uid="{1F5B96C5-8763-486A-9149-19ADD85DD785}" uniqueName="75" name="TUSD_PT" queryTableFieldId="30" dataDxfId="65"/>
    <tableColumn id="76" xr3:uid="{378F8C31-4E89-4FAA-BCE1-145F0390FD0E}" uniqueName="76" name="TUSD_Per_RB_D" queryTableFieldId="31" dataDxfId="64"/>
    <tableColumn id="77" xr3:uid="{248207F3-797F-4AD5-9A2E-0E74CB0E9E0C}" uniqueName="77" name="TUSD_PNT" queryTableFieldId="32" dataDxfId="63"/>
    <tableColumn id="78" xr3:uid="{7F636D93-09EC-41EB-AE98-5150CF927688}" uniqueName="78" name="TUSD_RI" queryTableFieldId="33" dataDxfId="62"/>
    <tableColumn id="79" xr3:uid="{C3BAA7B3-972F-4BA4-B841-DFE51441ECAE}" uniqueName="79" name="TE_CDE_COVID" queryTableFieldId="34" dataDxfId="61"/>
    <tableColumn id="80" xr3:uid="{123CB193-5AF7-47ED-A349-B0A24CF1ECFB}" uniqueName="80" name="TE_CDE_ELET" queryTableFieldId="35" dataDxfId="60"/>
    <tableColumn id="81" xr3:uid="{D77FAECD-1BFE-4A75-9D50-4F8551794A5A}" uniqueName="81" name="TE_PeD" queryTableFieldId="36" dataDxfId="59"/>
    <tableColumn id="82" xr3:uid="{B1040FCF-1B7E-4D29-89E6-E83B8318878A}" uniqueName="82" name="TE_ESSERR" queryTableFieldId="37" dataDxfId="58"/>
    <tableColumn id="83" xr3:uid="{5D86D033-D406-442C-B90E-231B92D89875}" uniqueName="83" name="TE_CFURH" queryTableFieldId="38" dataDxfId="57"/>
    <tableColumn id="84" xr3:uid="{0A7A7016-0D4F-40AA-8E4E-C3B16D93A713}" uniqueName="84" name="TE_ENERGIA" queryTableFieldId="39" dataDxfId="56"/>
    <tableColumn id="85" xr3:uid="{FA9EC20E-AEF6-4963-AE8B-17BB2C16EB3A}" uniqueName="85" name="TE_TRANSPORTE_ITAIPU" queryTableFieldId="40" dataDxfId="55"/>
    <tableColumn id="86" xr3:uid="{AB05CEDF-520F-46B6-8E8D-241A4BAA5ACC}" uniqueName="86" name="TE_TUST_ITAIPU" queryTableFieldId="41" dataDxfId="54"/>
    <tableColumn id="87" xr3:uid="{BEDDDD7B-4A16-41A3-9258-8A18F9120F34}" uniqueName="87" name="TE_TUST_CI" queryTableFieldId="42" dataDxfId="53"/>
    <tableColumn id="88" xr3:uid="{CEAB3DD2-1E5C-448D-9DFA-F7B2ECD7F889}" uniqueName="88" name="TE Subsidio" queryTableFieldId="43" dataDxfId="52"/>
    <tableColumn id="89" xr3:uid="{FB17E9F3-C554-428D-AD0D-F4B3D09CACD2}" uniqueName="89" name="TE BENEFICIO_L14299" queryTableFieldId="44" dataDxfId="51"/>
    <tableColumn id="90" xr3:uid="{49B79394-733F-4E6F-B2FE-569664EF50FB}" uniqueName="90" name="TE_Per_RB" queryTableFieldId="45" dataDxfId="5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701D2B9-B40D-44B5-99FB-DB7EA7DA48DA}" name="TabelaCVA" displayName="TabelaCVA" ref="B3:AT78" tableType="queryTable" totalsRowShown="0" headerRowDxfId="49" dataDxfId="47" headerRowBorderDxfId="48" tableBorderDxfId="46" totalsRowBorderDxfId="45">
  <autoFilter ref="B3:AT78" xr:uid="{C701D2B9-B40D-44B5-99FB-DB7EA7DA48DA}"/>
  <sortState xmlns:xlrd2="http://schemas.microsoft.com/office/spreadsheetml/2017/richdata2" ref="B4:AT78">
    <sortCondition ref="B4:B78"/>
    <sortCondition ref="C4:C78"/>
    <sortCondition ref="D4:D78"/>
    <sortCondition ref="E4:E78"/>
    <sortCondition ref="F4:F78"/>
    <sortCondition descending="1" ref="G4:G78"/>
    <sortCondition descending="1" ref="H4:H78"/>
    <sortCondition ref="I4:I78"/>
  </sortState>
  <tableColumns count="45">
    <tableColumn id="46" xr3:uid="{9E8ECBD7-ACA9-47E6-99E3-99A4C667FABF}" uniqueName="46" name="SUBGRUPO" queryTableFieldId="1" dataDxfId="44"/>
    <tableColumn id="47" xr3:uid="{D966CD7D-688E-49E8-92DC-A2D40540DE4A}" uniqueName="47" name="MODALIDADE" queryTableFieldId="2" dataDxfId="43"/>
    <tableColumn id="48" xr3:uid="{CE1C247B-07E6-414A-A174-FE98915283FC}" uniqueName="48" name="CLASSE" queryTableFieldId="3" dataDxfId="42"/>
    <tableColumn id="49" xr3:uid="{817A693A-C2D5-4284-89DC-A8BF04DBC750}" uniqueName="49" name="SUBCLASSE" queryTableFieldId="4" dataDxfId="41"/>
    <tableColumn id="50" xr3:uid="{E4133509-0151-4CE0-B94B-A3F72D4143A3}" uniqueName="50" name="DETALHE" queryTableFieldId="5" dataDxfId="40"/>
    <tableColumn id="51" xr3:uid="{C5876799-EFD5-47F5-9ABC-65438926F831}" uniqueName="51" name="POSTO" queryTableFieldId="6" dataDxfId="39"/>
    <tableColumn id="52" xr3:uid="{375B498D-C4B4-4CC3-B3C1-99CD722125F1}" uniqueName="52" name="UNIDADE" queryTableFieldId="7" dataDxfId="38"/>
    <tableColumn id="53" xr3:uid="{4835E99E-5108-48A2-821A-865377422E13}" uniqueName="53" name="ACESSANTE" queryTableFieldId="8" dataDxfId="37"/>
    <tableColumn id="54" xr3:uid="{E4FE2BB0-9F52-4041-9F02-7222A528BE66}" uniqueName="54" name="Total TUSD" queryTableFieldId="9" dataDxfId="36"/>
    <tableColumn id="55" xr3:uid="{A1B64E2A-0A15-40B6-A008-1FD19F83112E}" uniqueName="55" name="Total TE" queryTableFieldId="10" dataDxfId="35"/>
    <tableColumn id="56" xr3:uid="{25053795-B7A5-441D-A583-C703578EBD43}" uniqueName="56" name="TUSD_CDE_COVID" queryTableFieldId="11" dataDxfId="34"/>
    <tableColumn id="57" xr3:uid="{657737B4-E474-49A5-A96B-DBB88284B6A3}" uniqueName="57" name="TUSD_TFSEE" queryTableFieldId="12" dataDxfId="33"/>
    <tableColumn id="58" xr3:uid="{3721A665-0F9C-40EB-A660-5CCC48C5AB99}" uniqueName="58" name="TUSD_PeD" queryTableFieldId="13" dataDxfId="32"/>
    <tableColumn id="59" xr3:uid="{6EE5F454-26AD-40F1-8F30-B9C025DDFB4A}" uniqueName="59" name="TUSD_ONS" queryTableFieldId="14" dataDxfId="31"/>
    <tableColumn id="60" xr3:uid="{531D0F4F-125C-4783-AF5B-81FB0CB70C8A}" uniqueName="60" name="TUSD_CCC" queryTableFieldId="15" dataDxfId="30"/>
    <tableColumn id="61" xr3:uid="{F182B59F-D0A6-44A5-877B-96479C53954A}" uniqueName="61" name="TUSD_CDE" queryTableFieldId="16" dataDxfId="29"/>
    <tableColumn id="62" xr3:uid="{56515BA4-9536-4969-9669-CC771874CA26}" uniqueName="62" name="TUSD_PROINFA" queryTableFieldId="17" dataDxfId="28"/>
    <tableColumn id="63" xr3:uid="{1C59DB07-DE74-423C-9CB2-23CE7061B996}" uniqueName="63" name="Liminar1" queryTableFieldId="18" dataDxfId="27"/>
    <tableColumn id="64" xr3:uid="{76745C04-61E4-4B2F-9A30-09BDA0812BD2}" uniqueName="64" name="TUSD_RB" queryTableFieldId="19" dataDxfId="26"/>
    <tableColumn id="65" xr3:uid="{889280CE-F899-4E32-876A-6D5A7B0E6473}" uniqueName="65" name="TUSD_FR" queryTableFieldId="20" dataDxfId="25"/>
    <tableColumn id="66" xr3:uid="{E366E02A-E260-49E4-A44F-023400B4114B}" uniqueName="66" name="TUSD_CCT" queryTableFieldId="21" dataDxfId="24"/>
    <tableColumn id="67" xr3:uid="{5DC58FEB-9166-4DE0-B8AA-5C1927D9CB69}" uniqueName="67" name="TUSD_CCD" queryTableFieldId="22" dataDxfId="23"/>
    <tableColumn id="68" xr3:uid="{6AB99D55-516A-4E7B-AA51-49F371D93545}" uniqueName="68" name="TUSD_CUSD" queryTableFieldId="23" dataDxfId="22"/>
    <tableColumn id="69" xr3:uid="{77BCADB2-127B-4762-8F17-98F98748BEC8}" uniqueName="69" name="TUSDG_T" queryTableFieldId="24" dataDxfId="21"/>
    <tableColumn id="70" xr3:uid="{FF0969D5-0ED6-4A95-A99A-C129CD7769F4}" uniqueName="70" name="TUSDG_ONS" queryTableFieldId="25" dataDxfId="20"/>
    <tableColumn id="71" xr3:uid="{C2F50DCE-9754-444D-91C2-064973606D14}" uniqueName="71" name="TUSD_FioB" queryTableFieldId="26" dataDxfId="19"/>
    <tableColumn id="72" xr3:uid="{C5CA41B2-D9C4-4592-8A3C-2C046AB80AD7}" uniqueName="72" name="TUSD Subsidio" queryTableFieldId="27" dataDxfId="18"/>
    <tableColumn id="73" xr3:uid="{653FBC22-2CF9-46DE-85A0-764D8E366532}" uniqueName="73" name="TUSD BENEFICIO_L14299" queryTableFieldId="28" dataDxfId="17"/>
    <tableColumn id="74" xr3:uid="{2F1C650D-A8FB-422F-A424-0874A03F7510}" uniqueName="74" name="TUSD Outros" queryTableFieldId="29" dataDxfId="16"/>
    <tableColumn id="75" xr3:uid="{B8E44EC5-FDD7-4582-A481-86538ECCA96B}" uniqueName="75" name="TUSD_PT" queryTableFieldId="30" dataDxfId="15"/>
    <tableColumn id="76" xr3:uid="{33EEE9FC-F6B2-4906-B5C8-DA3EEFE29868}" uniqueName="76" name="TUSD_Per_RB_D" queryTableFieldId="31" dataDxfId="14"/>
    <tableColumn id="77" xr3:uid="{480BCC8D-EFBC-4CC9-B5F1-B3DDAA463CAA}" uniqueName="77" name="TUSD_PNT" queryTableFieldId="32" dataDxfId="13"/>
    <tableColumn id="78" xr3:uid="{0664A42F-DCE8-4FDE-85DF-055350E7AE23}" uniqueName="78" name="TUSD_RI" queryTableFieldId="33" dataDxfId="12"/>
    <tableColumn id="79" xr3:uid="{E221B6E1-41B2-447A-883D-6BB4F5398712}" uniqueName="79" name="TE_CDE_COVID" queryTableFieldId="34" dataDxfId="11"/>
    <tableColumn id="80" xr3:uid="{6522EEA3-13CA-4F93-9689-0F6E26F9C95F}" uniqueName="80" name="TE_CDE_ELET" queryTableFieldId="35" dataDxfId="10"/>
    <tableColumn id="81" xr3:uid="{E8CB6FA1-CBDA-4109-87C3-254641E1496B}" uniqueName="81" name="TE_PeD" queryTableFieldId="36" dataDxfId="9"/>
    <tableColumn id="82" xr3:uid="{59355182-4808-4B06-B3D9-E80501B7A2FF}" uniqueName="82" name="TE_ESSERR" queryTableFieldId="37" dataDxfId="8"/>
    <tableColumn id="83" xr3:uid="{05962CCC-5514-43C2-ABEE-3CA1D03D7909}" uniqueName="83" name="TE_CFURH" queryTableFieldId="38" dataDxfId="7"/>
    <tableColumn id="84" xr3:uid="{E312C33E-7E11-4E2D-B974-0EA923B84D83}" uniqueName="84" name="TE_ENERGIA" queryTableFieldId="39" dataDxfId="6"/>
    <tableColumn id="85" xr3:uid="{8CD8016B-47D4-4A33-8063-41E874E2C9FC}" uniqueName="85" name="TE_TRANSPORTE_ITAIPU" queryTableFieldId="40" dataDxfId="5"/>
    <tableColumn id="86" xr3:uid="{78A3E722-67B5-4986-AD0A-EBCDB1B7226A}" uniqueName="86" name="TE_TUST_ITAIPU" queryTableFieldId="41" dataDxfId="4"/>
    <tableColumn id="87" xr3:uid="{37D52765-F7C1-4A15-A2CF-9B7FF879AF4E}" uniqueName="87" name="TE_TUST_CI" queryTableFieldId="42" dataDxfId="3"/>
    <tableColumn id="88" xr3:uid="{B8882D5E-D5FB-4B07-9199-6478029EECA9}" uniqueName="88" name="TE Subsidio" queryTableFieldId="43" dataDxfId="2"/>
    <tableColumn id="89" xr3:uid="{051B65ED-8362-401A-9841-70B678202A61}" uniqueName="89" name="TE BENEFICIO_L14299" queryTableFieldId="44" dataDxfId="1"/>
    <tableColumn id="90" xr3:uid="{51EA304B-7505-410E-9BCC-7A1621562004}" uniqueName="90" name="TE_Per_RB" queryTableFieldId="45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5B780-CFF6-45F8-B997-6C04352D19BD}">
  <sheetPr codeName="Planilha1"/>
  <dimension ref="A1:W2102"/>
  <sheetViews>
    <sheetView showGridLines="0" workbookViewId="0"/>
  </sheetViews>
  <sheetFormatPr defaultRowHeight="11.25" customHeight="1" x14ac:dyDescent="0.25"/>
  <cols>
    <col min="1" max="1" width="23.710937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14.140625" style="4" bestFit="1" customWidth="1"/>
    <col min="8" max="8" width="10.28515625" style="4" bestFit="1" customWidth="1"/>
    <col min="9" max="9" width="8.7109375" style="5" bestFit="1" customWidth="1"/>
    <col min="10" max="12" width="7.85546875" style="6" bestFit="1" customWidth="1"/>
    <col min="13" max="13" width="8" style="6" bestFit="1" customWidth="1"/>
    <col min="14" max="15" width="7.85546875" style="6" bestFit="1" customWidth="1"/>
    <col min="16" max="16" width="8.7109375" style="6" bestFit="1" customWidth="1"/>
    <col min="17" max="17" width="10.140625" style="4" bestFit="1" customWidth="1"/>
    <col min="18" max="18" width="8.5703125" style="4" bestFit="1" customWidth="1"/>
    <col min="19" max="19" width="78.140625" style="4" bestFit="1" customWidth="1"/>
    <col min="20" max="20" width="83.85546875" style="4" bestFit="1" customWidth="1"/>
    <col min="21" max="21" width="18.42578125" style="4" bestFit="1" customWidth="1"/>
    <col min="22" max="22" width="19.85546875" style="4" bestFit="1" customWidth="1"/>
    <col min="23" max="23" width="17.7109375" style="4" bestFit="1" customWidth="1"/>
    <col min="24" max="16384" width="9.140625" style="4"/>
  </cols>
  <sheetData>
    <row r="1" spans="1:23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104</v>
      </c>
      <c r="T1" s="1" t="s">
        <v>463</v>
      </c>
      <c r="U1" s="1" t="s">
        <v>18</v>
      </c>
      <c r="V1" s="1" t="s">
        <v>19</v>
      </c>
      <c r="W1" s="1" t="s">
        <v>20</v>
      </c>
    </row>
    <row r="2" spans="1:23" ht="11.25" customHeight="1" x14ac:dyDescent="0.25">
      <c r="A2" s="4" t="s">
        <v>21</v>
      </c>
      <c r="B2" s="4" t="s">
        <v>43</v>
      </c>
      <c r="C2" s="4" t="s">
        <v>42</v>
      </c>
      <c r="D2" s="4" t="s">
        <v>45</v>
      </c>
      <c r="E2" s="4" t="s">
        <v>25</v>
      </c>
      <c r="F2" s="4" t="s">
        <v>25</v>
      </c>
      <c r="G2" s="4" t="s">
        <v>25</v>
      </c>
      <c r="H2" s="4" t="s">
        <v>37</v>
      </c>
      <c r="I2" s="5">
        <v>44531</v>
      </c>
      <c r="J2" s="6">
        <v>207</v>
      </c>
      <c r="K2" s="6">
        <v>207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26</v>
      </c>
      <c r="R2" s="4">
        <v>0</v>
      </c>
      <c r="S2" s="4" t="s">
        <v>105</v>
      </c>
      <c r="T2" s="4" t="s">
        <v>464</v>
      </c>
      <c r="U2" s="4">
        <v>4</v>
      </c>
      <c r="V2" s="4">
        <v>0</v>
      </c>
      <c r="W2" s="4">
        <v>0</v>
      </c>
    </row>
    <row r="3" spans="1:23" ht="11.25" customHeight="1" x14ac:dyDescent="0.25">
      <c r="A3" s="4" t="s">
        <v>21</v>
      </c>
      <c r="B3" s="4" t="s">
        <v>43</v>
      </c>
      <c r="C3" s="4" t="s">
        <v>42</v>
      </c>
      <c r="D3" s="4" t="s">
        <v>45</v>
      </c>
      <c r="E3" s="4" t="s">
        <v>25</v>
      </c>
      <c r="F3" s="4" t="s">
        <v>25</v>
      </c>
      <c r="G3" s="4" t="s">
        <v>25</v>
      </c>
      <c r="H3" s="4" t="s">
        <v>37</v>
      </c>
      <c r="I3" s="5">
        <v>44562</v>
      </c>
      <c r="J3" s="6">
        <v>207</v>
      </c>
      <c r="K3" s="6">
        <v>207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26</v>
      </c>
      <c r="R3" s="4">
        <v>0</v>
      </c>
      <c r="S3" s="4" t="s">
        <v>106</v>
      </c>
      <c r="T3" s="4" t="s">
        <v>465</v>
      </c>
      <c r="U3" s="4">
        <v>4</v>
      </c>
      <c r="V3" s="4">
        <v>0</v>
      </c>
      <c r="W3" s="4">
        <v>0</v>
      </c>
    </row>
    <row r="4" spans="1:23" ht="11.25" customHeight="1" x14ac:dyDescent="0.25">
      <c r="A4" s="4" t="s">
        <v>21</v>
      </c>
      <c r="B4" s="4" t="s">
        <v>43</v>
      </c>
      <c r="C4" s="4" t="s">
        <v>42</v>
      </c>
      <c r="D4" s="4" t="s">
        <v>45</v>
      </c>
      <c r="E4" s="4" t="s">
        <v>25</v>
      </c>
      <c r="F4" s="4" t="s">
        <v>25</v>
      </c>
      <c r="G4" s="4" t="s">
        <v>25</v>
      </c>
      <c r="H4" s="4" t="s">
        <v>37</v>
      </c>
      <c r="I4" s="5">
        <v>44593</v>
      </c>
      <c r="J4" s="6">
        <v>207</v>
      </c>
      <c r="K4" s="6">
        <v>207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26</v>
      </c>
      <c r="R4" s="4">
        <v>0</v>
      </c>
      <c r="S4" s="4" t="s">
        <v>107</v>
      </c>
      <c r="T4" s="4" t="s">
        <v>466</v>
      </c>
      <c r="U4" s="4">
        <v>4</v>
      </c>
      <c r="V4" s="4">
        <v>0</v>
      </c>
      <c r="W4" s="4">
        <v>0</v>
      </c>
    </row>
    <row r="5" spans="1:23" ht="11.25" customHeight="1" x14ac:dyDescent="0.25">
      <c r="A5" s="4" t="s">
        <v>21</v>
      </c>
      <c r="B5" s="4" t="s">
        <v>43</v>
      </c>
      <c r="C5" s="4" t="s">
        <v>42</v>
      </c>
      <c r="D5" s="4" t="s">
        <v>45</v>
      </c>
      <c r="E5" s="4" t="s">
        <v>25</v>
      </c>
      <c r="F5" s="4" t="s">
        <v>25</v>
      </c>
      <c r="G5" s="4" t="s">
        <v>25</v>
      </c>
      <c r="H5" s="4" t="s">
        <v>37</v>
      </c>
      <c r="I5" s="5">
        <v>44621</v>
      </c>
      <c r="J5" s="6">
        <v>207</v>
      </c>
      <c r="K5" s="6">
        <v>207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26</v>
      </c>
      <c r="R5" s="4">
        <v>0</v>
      </c>
      <c r="S5" s="4" t="s">
        <v>108</v>
      </c>
      <c r="T5" s="4" t="s">
        <v>467</v>
      </c>
      <c r="U5" s="4">
        <v>4</v>
      </c>
      <c r="V5" s="4">
        <v>0</v>
      </c>
      <c r="W5" s="4">
        <v>0</v>
      </c>
    </row>
    <row r="6" spans="1:23" ht="11.25" customHeight="1" x14ac:dyDescent="0.25">
      <c r="A6" s="4" t="s">
        <v>21</v>
      </c>
      <c r="B6" s="4" t="s">
        <v>43</v>
      </c>
      <c r="C6" s="4" t="s">
        <v>42</v>
      </c>
      <c r="D6" s="4" t="s">
        <v>45</v>
      </c>
      <c r="E6" s="4" t="s">
        <v>25</v>
      </c>
      <c r="F6" s="4" t="s">
        <v>25</v>
      </c>
      <c r="G6" s="4" t="s">
        <v>25</v>
      </c>
      <c r="H6" s="4" t="s">
        <v>37</v>
      </c>
      <c r="I6" s="5">
        <v>44652</v>
      </c>
      <c r="J6" s="6">
        <v>207</v>
      </c>
      <c r="K6" s="6">
        <v>207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26</v>
      </c>
      <c r="R6" s="4">
        <v>0</v>
      </c>
      <c r="S6" s="4" t="s">
        <v>109</v>
      </c>
      <c r="T6" s="4" t="s">
        <v>468</v>
      </c>
      <c r="U6" s="4">
        <v>4</v>
      </c>
      <c r="V6" s="4">
        <v>0</v>
      </c>
      <c r="W6" s="4">
        <v>0</v>
      </c>
    </row>
    <row r="7" spans="1:23" ht="11.25" customHeight="1" x14ac:dyDescent="0.25">
      <c r="A7" s="4" t="s">
        <v>21</v>
      </c>
      <c r="B7" s="4" t="s">
        <v>43</v>
      </c>
      <c r="C7" s="4" t="s">
        <v>42</v>
      </c>
      <c r="D7" s="4" t="s">
        <v>45</v>
      </c>
      <c r="E7" s="4" t="s">
        <v>25</v>
      </c>
      <c r="F7" s="4" t="s">
        <v>25</v>
      </c>
      <c r="G7" s="4" t="s">
        <v>25</v>
      </c>
      <c r="H7" s="4" t="s">
        <v>36</v>
      </c>
      <c r="I7" s="5">
        <v>44531</v>
      </c>
      <c r="J7" s="6">
        <v>30</v>
      </c>
      <c r="K7" s="6">
        <v>30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26</v>
      </c>
      <c r="R7" s="4">
        <v>0</v>
      </c>
      <c r="S7" s="4" t="s">
        <v>110</v>
      </c>
      <c r="T7" s="4" t="s">
        <v>469</v>
      </c>
      <c r="U7" s="4">
        <v>1</v>
      </c>
      <c r="V7" s="4">
        <v>0</v>
      </c>
      <c r="W7" s="4">
        <v>0</v>
      </c>
    </row>
    <row r="8" spans="1:23" ht="11.25" customHeight="1" x14ac:dyDescent="0.25">
      <c r="A8" s="4" t="s">
        <v>21</v>
      </c>
      <c r="B8" s="4" t="s">
        <v>43</v>
      </c>
      <c r="C8" s="4" t="s">
        <v>42</v>
      </c>
      <c r="D8" s="4" t="s">
        <v>45</v>
      </c>
      <c r="E8" s="4" t="s">
        <v>25</v>
      </c>
      <c r="F8" s="4" t="s">
        <v>25</v>
      </c>
      <c r="G8" s="4" t="s">
        <v>25</v>
      </c>
      <c r="H8" s="4" t="s">
        <v>36</v>
      </c>
      <c r="I8" s="5">
        <v>44562</v>
      </c>
      <c r="J8" s="6">
        <v>30</v>
      </c>
      <c r="K8" s="6">
        <v>30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26</v>
      </c>
      <c r="R8" s="4">
        <v>0</v>
      </c>
      <c r="S8" s="4" t="s">
        <v>111</v>
      </c>
      <c r="T8" s="4" t="s">
        <v>470</v>
      </c>
      <c r="U8" s="4">
        <v>1</v>
      </c>
      <c r="V8" s="4">
        <v>0</v>
      </c>
      <c r="W8" s="4">
        <v>0</v>
      </c>
    </row>
    <row r="9" spans="1:23" ht="11.25" customHeight="1" x14ac:dyDescent="0.25">
      <c r="A9" s="4" t="s">
        <v>21</v>
      </c>
      <c r="B9" s="4" t="s">
        <v>43</v>
      </c>
      <c r="C9" s="4" t="s">
        <v>42</v>
      </c>
      <c r="D9" s="4" t="s">
        <v>45</v>
      </c>
      <c r="E9" s="4" t="s">
        <v>25</v>
      </c>
      <c r="F9" s="4" t="s">
        <v>25</v>
      </c>
      <c r="G9" s="4" t="s">
        <v>25</v>
      </c>
      <c r="H9" s="4" t="s">
        <v>36</v>
      </c>
      <c r="I9" s="5">
        <v>44593</v>
      </c>
      <c r="J9" s="6">
        <v>30</v>
      </c>
      <c r="K9" s="6">
        <v>30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26</v>
      </c>
      <c r="R9" s="4">
        <v>0</v>
      </c>
      <c r="S9" s="4" t="s">
        <v>112</v>
      </c>
      <c r="T9" s="4" t="s">
        <v>471</v>
      </c>
      <c r="U9" s="4">
        <v>1</v>
      </c>
      <c r="V9" s="4">
        <v>0</v>
      </c>
      <c r="W9" s="4">
        <v>0</v>
      </c>
    </row>
    <row r="10" spans="1:23" ht="11.25" customHeight="1" x14ac:dyDescent="0.25">
      <c r="A10" s="4" t="s">
        <v>21</v>
      </c>
      <c r="B10" s="4" t="s">
        <v>43</v>
      </c>
      <c r="C10" s="4" t="s">
        <v>42</v>
      </c>
      <c r="D10" s="4" t="s">
        <v>45</v>
      </c>
      <c r="E10" s="4" t="s">
        <v>25</v>
      </c>
      <c r="F10" s="4" t="s">
        <v>25</v>
      </c>
      <c r="G10" s="4" t="s">
        <v>25</v>
      </c>
      <c r="H10" s="4" t="s">
        <v>36</v>
      </c>
      <c r="I10" s="5">
        <v>44621</v>
      </c>
      <c r="J10" s="6">
        <v>30</v>
      </c>
      <c r="K10" s="6">
        <v>30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26</v>
      </c>
      <c r="R10" s="4">
        <v>0</v>
      </c>
      <c r="S10" s="4" t="s">
        <v>113</v>
      </c>
      <c r="T10" s="4" t="s">
        <v>472</v>
      </c>
      <c r="U10" s="4">
        <v>1</v>
      </c>
      <c r="V10" s="4">
        <v>0</v>
      </c>
      <c r="W10" s="4">
        <v>0</v>
      </c>
    </row>
    <row r="11" spans="1:23" ht="11.25" customHeight="1" x14ac:dyDescent="0.25">
      <c r="A11" s="4" t="s">
        <v>21</v>
      </c>
      <c r="B11" s="4" t="s">
        <v>43</v>
      </c>
      <c r="C11" s="4" t="s">
        <v>42</v>
      </c>
      <c r="D11" s="4" t="s">
        <v>45</v>
      </c>
      <c r="E11" s="4" t="s">
        <v>25</v>
      </c>
      <c r="F11" s="4" t="s">
        <v>25</v>
      </c>
      <c r="G11" s="4" t="s">
        <v>25</v>
      </c>
      <c r="H11" s="4" t="s">
        <v>36</v>
      </c>
      <c r="I11" s="5">
        <v>44652</v>
      </c>
      <c r="J11" s="6">
        <v>30</v>
      </c>
      <c r="K11" s="6">
        <v>30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26</v>
      </c>
      <c r="R11" s="4">
        <v>0</v>
      </c>
      <c r="S11" s="4" t="s">
        <v>114</v>
      </c>
      <c r="T11" s="4" t="s">
        <v>473</v>
      </c>
      <c r="U11" s="4">
        <v>1</v>
      </c>
      <c r="V11" s="4">
        <v>0</v>
      </c>
      <c r="W11" s="4">
        <v>0</v>
      </c>
    </row>
    <row r="12" spans="1:23" ht="11.25" customHeight="1" x14ac:dyDescent="0.25">
      <c r="A12" s="4" t="s">
        <v>21</v>
      </c>
      <c r="B12" s="4" t="s">
        <v>43</v>
      </c>
      <c r="C12" s="4" t="s">
        <v>44</v>
      </c>
      <c r="D12" s="4" t="s">
        <v>45</v>
      </c>
      <c r="E12" s="4" t="s">
        <v>25</v>
      </c>
      <c r="F12" s="4" t="s">
        <v>25</v>
      </c>
      <c r="G12" s="4" t="s">
        <v>25</v>
      </c>
      <c r="H12" s="4" t="s">
        <v>37</v>
      </c>
      <c r="I12" s="5">
        <v>44531</v>
      </c>
      <c r="J12" s="6">
        <v>0</v>
      </c>
      <c r="K12" s="6">
        <v>0</v>
      </c>
      <c r="L12" s="6">
        <v>14.657999999999999</v>
      </c>
      <c r="M12" s="6">
        <v>14.657999999999999</v>
      </c>
      <c r="N12" s="6">
        <v>14.657999999999999</v>
      </c>
      <c r="O12" s="6">
        <v>14.657999999999999</v>
      </c>
      <c r="P12" s="6">
        <v>0</v>
      </c>
      <c r="Q12" s="4" t="s">
        <v>26</v>
      </c>
      <c r="R12" s="4">
        <v>0</v>
      </c>
      <c r="S12" s="4" t="s">
        <v>115</v>
      </c>
      <c r="T12" s="4" t="s">
        <v>464</v>
      </c>
      <c r="U12" s="4">
        <v>0</v>
      </c>
      <c r="V12" s="4">
        <v>14</v>
      </c>
      <c r="W12" s="4">
        <v>72</v>
      </c>
    </row>
    <row r="13" spans="1:23" ht="11.25" customHeight="1" x14ac:dyDescent="0.25">
      <c r="A13" s="4" t="s">
        <v>21</v>
      </c>
      <c r="B13" s="4" t="s">
        <v>43</v>
      </c>
      <c r="C13" s="4" t="s">
        <v>44</v>
      </c>
      <c r="D13" s="4" t="s">
        <v>45</v>
      </c>
      <c r="E13" s="4" t="s">
        <v>25</v>
      </c>
      <c r="F13" s="4" t="s">
        <v>25</v>
      </c>
      <c r="G13" s="4" t="s">
        <v>25</v>
      </c>
      <c r="H13" s="4" t="s">
        <v>37</v>
      </c>
      <c r="I13" s="5">
        <v>44562</v>
      </c>
      <c r="J13" s="6">
        <v>0</v>
      </c>
      <c r="K13" s="6">
        <v>0</v>
      </c>
      <c r="L13" s="6">
        <v>10.865</v>
      </c>
      <c r="M13" s="6">
        <v>10.865</v>
      </c>
      <c r="N13" s="6">
        <v>10.865</v>
      </c>
      <c r="O13" s="6">
        <v>10.865</v>
      </c>
      <c r="P13" s="6">
        <v>0</v>
      </c>
      <c r="Q13" s="4" t="s">
        <v>26</v>
      </c>
      <c r="R13" s="4">
        <v>0</v>
      </c>
      <c r="S13" s="4" t="s">
        <v>116</v>
      </c>
      <c r="T13" s="4" t="s">
        <v>465</v>
      </c>
      <c r="U13" s="4">
        <v>0</v>
      </c>
      <c r="V13" s="4">
        <v>14</v>
      </c>
      <c r="W13" s="4">
        <v>72</v>
      </c>
    </row>
    <row r="14" spans="1:23" ht="11.25" customHeight="1" x14ac:dyDescent="0.25">
      <c r="A14" s="4" t="s">
        <v>21</v>
      </c>
      <c r="B14" s="4" t="s">
        <v>43</v>
      </c>
      <c r="C14" s="4" t="s">
        <v>44</v>
      </c>
      <c r="D14" s="4" t="s">
        <v>45</v>
      </c>
      <c r="E14" s="4" t="s">
        <v>25</v>
      </c>
      <c r="F14" s="4" t="s">
        <v>25</v>
      </c>
      <c r="G14" s="4" t="s">
        <v>25</v>
      </c>
      <c r="H14" s="4" t="s">
        <v>37</v>
      </c>
      <c r="I14" s="5">
        <v>44593</v>
      </c>
      <c r="J14" s="6">
        <v>0</v>
      </c>
      <c r="K14" s="6">
        <v>0</v>
      </c>
      <c r="L14" s="6">
        <v>9.2089999999999996</v>
      </c>
      <c r="M14" s="6">
        <v>9.2089999999999996</v>
      </c>
      <c r="N14" s="6">
        <v>9.2089999999999996</v>
      </c>
      <c r="O14" s="6">
        <v>9.2089999999999996</v>
      </c>
      <c r="P14" s="6">
        <v>0</v>
      </c>
      <c r="Q14" s="4" t="s">
        <v>26</v>
      </c>
      <c r="R14" s="4">
        <v>0</v>
      </c>
      <c r="S14" s="4" t="s">
        <v>117</v>
      </c>
      <c r="T14" s="4" t="s">
        <v>466</v>
      </c>
      <c r="U14" s="4">
        <v>0</v>
      </c>
      <c r="V14" s="4">
        <v>14</v>
      </c>
      <c r="W14" s="4">
        <v>72</v>
      </c>
    </row>
    <row r="15" spans="1:23" ht="11.25" customHeight="1" x14ac:dyDescent="0.25">
      <c r="A15" s="4" t="s">
        <v>21</v>
      </c>
      <c r="B15" s="4" t="s">
        <v>43</v>
      </c>
      <c r="C15" s="4" t="s">
        <v>44</v>
      </c>
      <c r="D15" s="4" t="s">
        <v>45</v>
      </c>
      <c r="E15" s="4" t="s">
        <v>25</v>
      </c>
      <c r="F15" s="4" t="s">
        <v>25</v>
      </c>
      <c r="G15" s="4" t="s">
        <v>25</v>
      </c>
      <c r="H15" s="4" t="s">
        <v>37</v>
      </c>
      <c r="I15" s="5">
        <v>44621</v>
      </c>
      <c r="J15" s="6">
        <v>0</v>
      </c>
      <c r="K15" s="6">
        <v>0</v>
      </c>
      <c r="L15" s="6">
        <v>7.3259999999999996</v>
      </c>
      <c r="M15" s="6">
        <v>7.3259999999999996</v>
      </c>
      <c r="N15" s="6">
        <v>7.3259999999999996</v>
      </c>
      <c r="O15" s="6">
        <v>7.3259999999999996</v>
      </c>
      <c r="P15" s="6">
        <v>0</v>
      </c>
      <c r="Q15" s="4" t="s">
        <v>26</v>
      </c>
      <c r="R15" s="4">
        <v>0</v>
      </c>
      <c r="S15" s="4" t="s">
        <v>118</v>
      </c>
      <c r="T15" s="4" t="s">
        <v>467</v>
      </c>
      <c r="U15" s="4">
        <v>0</v>
      </c>
      <c r="V15" s="4">
        <v>14</v>
      </c>
      <c r="W15" s="4">
        <v>72</v>
      </c>
    </row>
    <row r="16" spans="1:23" ht="11.25" customHeight="1" x14ac:dyDescent="0.25">
      <c r="A16" s="4" t="s">
        <v>21</v>
      </c>
      <c r="B16" s="4" t="s">
        <v>43</v>
      </c>
      <c r="C16" s="4" t="s">
        <v>44</v>
      </c>
      <c r="D16" s="4" t="s">
        <v>45</v>
      </c>
      <c r="E16" s="4" t="s">
        <v>25</v>
      </c>
      <c r="F16" s="4" t="s">
        <v>25</v>
      </c>
      <c r="G16" s="4" t="s">
        <v>25</v>
      </c>
      <c r="H16" s="4" t="s">
        <v>37</v>
      </c>
      <c r="I16" s="5">
        <v>44652</v>
      </c>
      <c r="J16" s="6">
        <v>0</v>
      </c>
      <c r="K16" s="6">
        <v>0</v>
      </c>
      <c r="L16" s="6">
        <v>9.3279999999999994</v>
      </c>
      <c r="M16" s="6">
        <v>9.3279999999999994</v>
      </c>
      <c r="N16" s="6">
        <v>9.3279999999999994</v>
      </c>
      <c r="O16" s="6">
        <v>9.3279999999999994</v>
      </c>
      <c r="P16" s="6">
        <v>0</v>
      </c>
      <c r="Q16" s="4" t="s">
        <v>26</v>
      </c>
      <c r="R16" s="4">
        <v>0</v>
      </c>
      <c r="S16" s="4" t="s">
        <v>119</v>
      </c>
      <c r="T16" s="4" t="s">
        <v>468</v>
      </c>
      <c r="U16" s="4">
        <v>0</v>
      </c>
      <c r="V16" s="4">
        <v>14</v>
      </c>
      <c r="W16" s="4">
        <v>72</v>
      </c>
    </row>
    <row r="17" spans="1:23" ht="11.25" customHeight="1" x14ac:dyDescent="0.25">
      <c r="A17" s="4" t="s">
        <v>21</v>
      </c>
      <c r="B17" s="4" t="s">
        <v>43</v>
      </c>
      <c r="C17" s="4" t="s">
        <v>44</v>
      </c>
      <c r="D17" s="4" t="s">
        <v>45</v>
      </c>
      <c r="E17" s="4" t="s">
        <v>25</v>
      </c>
      <c r="F17" s="4" t="s">
        <v>25</v>
      </c>
      <c r="G17" s="4" t="s">
        <v>25</v>
      </c>
      <c r="H17" s="4" t="s">
        <v>37</v>
      </c>
      <c r="I17" s="5">
        <v>44682</v>
      </c>
      <c r="J17" s="6">
        <v>0</v>
      </c>
      <c r="K17" s="6">
        <v>0</v>
      </c>
      <c r="L17" s="6">
        <v>11.054</v>
      </c>
      <c r="M17" s="6">
        <v>11.054</v>
      </c>
      <c r="N17" s="6">
        <v>11.054</v>
      </c>
      <c r="O17" s="6">
        <v>11.054</v>
      </c>
      <c r="P17" s="6">
        <v>0</v>
      </c>
      <c r="Q17" s="4" t="s">
        <v>26</v>
      </c>
      <c r="R17" s="4">
        <v>0</v>
      </c>
      <c r="S17" s="4" t="s">
        <v>120</v>
      </c>
      <c r="T17" s="4" t="s">
        <v>474</v>
      </c>
      <c r="U17" s="4">
        <v>0</v>
      </c>
      <c r="V17" s="4">
        <v>14</v>
      </c>
      <c r="W17" s="4">
        <v>72</v>
      </c>
    </row>
    <row r="18" spans="1:23" ht="11.25" customHeight="1" x14ac:dyDescent="0.25">
      <c r="A18" s="4" t="s">
        <v>21</v>
      </c>
      <c r="B18" s="4" t="s">
        <v>43</v>
      </c>
      <c r="C18" s="4" t="s">
        <v>44</v>
      </c>
      <c r="D18" s="4" t="s">
        <v>45</v>
      </c>
      <c r="E18" s="4" t="s">
        <v>25</v>
      </c>
      <c r="F18" s="4" t="s">
        <v>25</v>
      </c>
      <c r="G18" s="4" t="s">
        <v>25</v>
      </c>
      <c r="H18" s="4" t="s">
        <v>37</v>
      </c>
      <c r="I18" s="5">
        <v>44713</v>
      </c>
      <c r="J18" s="6">
        <v>0</v>
      </c>
      <c r="K18" s="6">
        <v>0</v>
      </c>
      <c r="L18" s="6">
        <v>8.875</v>
      </c>
      <c r="M18" s="6">
        <v>8.875</v>
      </c>
      <c r="N18" s="6">
        <v>8.875</v>
      </c>
      <c r="O18" s="6">
        <v>8.875</v>
      </c>
      <c r="P18" s="6">
        <v>0</v>
      </c>
      <c r="Q18" s="4" t="s">
        <v>26</v>
      </c>
      <c r="R18" s="4">
        <v>0</v>
      </c>
      <c r="S18" s="4" t="s">
        <v>121</v>
      </c>
      <c r="T18" s="4" t="s">
        <v>475</v>
      </c>
      <c r="U18" s="4">
        <v>0</v>
      </c>
      <c r="V18" s="4">
        <v>14</v>
      </c>
      <c r="W18" s="4">
        <v>72</v>
      </c>
    </row>
    <row r="19" spans="1:23" ht="11.25" customHeight="1" x14ac:dyDescent="0.25">
      <c r="A19" s="4" t="s">
        <v>21</v>
      </c>
      <c r="B19" s="4" t="s">
        <v>43</v>
      </c>
      <c r="C19" s="4" t="s">
        <v>44</v>
      </c>
      <c r="D19" s="4" t="s">
        <v>45</v>
      </c>
      <c r="E19" s="4" t="s">
        <v>25</v>
      </c>
      <c r="F19" s="4" t="s">
        <v>25</v>
      </c>
      <c r="G19" s="4" t="s">
        <v>25</v>
      </c>
      <c r="H19" s="4" t="s">
        <v>37</v>
      </c>
      <c r="I19" s="5">
        <v>44743</v>
      </c>
      <c r="J19" s="6">
        <v>0</v>
      </c>
      <c r="K19" s="6">
        <v>0</v>
      </c>
      <c r="L19" s="6">
        <v>17.614999999999998</v>
      </c>
      <c r="M19" s="6">
        <v>17.614999999999998</v>
      </c>
      <c r="N19" s="6">
        <v>17.614999999999998</v>
      </c>
      <c r="O19" s="6">
        <v>17.614999999999998</v>
      </c>
      <c r="P19" s="6">
        <v>0</v>
      </c>
      <c r="Q19" s="4" t="s">
        <v>26</v>
      </c>
      <c r="R19" s="4">
        <v>0</v>
      </c>
      <c r="S19" s="4" t="s">
        <v>122</v>
      </c>
      <c r="T19" s="4" t="s">
        <v>476</v>
      </c>
      <c r="U19" s="4">
        <v>0</v>
      </c>
      <c r="V19" s="4">
        <v>14</v>
      </c>
      <c r="W19" s="4">
        <v>72</v>
      </c>
    </row>
    <row r="20" spans="1:23" ht="11.25" customHeight="1" x14ac:dyDescent="0.25">
      <c r="A20" s="4" t="s">
        <v>27</v>
      </c>
      <c r="B20" s="4" t="s">
        <v>43</v>
      </c>
      <c r="C20" s="4" t="s">
        <v>44</v>
      </c>
      <c r="D20" s="4" t="s">
        <v>45</v>
      </c>
      <c r="E20" s="4" t="s">
        <v>25</v>
      </c>
      <c r="F20" s="4" t="s">
        <v>25</v>
      </c>
      <c r="G20" s="4" t="s">
        <v>25</v>
      </c>
      <c r="H20" s="4" t="s">
        <v>37</v>
      </c>
      <c r="I20" s="5">
        <v>44743</v>
      </c>
      <c r="J20" s="6">
        <v>0</v>
      </c>
      <c r="K20" s="6">
        <v>0</v>
      </c>
      <c r="L20" s="6">
        <v>-0.65600000000000003</v>
      </c>
      <c r="M20" s="6">
        <v>-0.65600000000000003</v>
      </c>
      <c r="N20" s="6">
        <v>-0.65600000000000003</v>
      </c>
      <c r="O20" s="6">
        <v>-0.65600000000000003</v>
      </c>
      <c r="P20" s="6">
        <v>0</v>
      </c>
      <c r="Q20" s="4" t="s">
        <v>26</v>
      </c>
      <c r="R20" s="4">
        <v>0</v>
      </c>
      <c r="S20" s="4" t="s">
        <v>122</v>
      </c>
      <c r="T20" s="4" t="s">
        <v>476</v>
      </c>
      <c r="U20" s="4">
        <v>0</v>
      </c>
      <c r="V20" s="4">
        <v>14</v>
      </c>
      <c r="W20" s="4">
        <v>72</v>
      </c>
    </row>
    <row r="21" spans="1:23" ht="11.25" customHeight="1" x14ac:dyDescent="0.25">
      <c r="A21" s="4" t="s">
        <v>21</v>
      </c>
      <c r="B21" s="4" t="s">
        <v>43</v>
      </c>
      <c r="C21" s="4" t="s">
        <v>44</v>
      </c>
      <c r="D21" s="4" t="s">
        <v>45</v>
      </c>
      <c r="E21" s="4" t="s">
        <v>25</v>
      </c>
      <c r="F21" s="4" t="s">
        <v>25</v>
      </c>
      <c r="G21" s="4" t="s">
        <v>25</v>
      </c>
      <c r="H21" s="4" t="s">
        <v>37</v>
      </c>
      <c r="I21" s="5">
        <v>44774</v>
      </c>
      <c r="J21" s="6">
        <v>0</v>
      </c>
      <c r="K21" s="6">
        <v>0</v>
      </c>
      <c r="L21" s="6">
        <v>26.512</v>
      </c>
      <c r="M21" s="6">
        <v>26.512</v>
      </c>
      <c r="N21" s="6">
        <v>26.512</v>
      </c>
      <c r="O21" s="6">
        <v>26.512</v>
      </c>
      <c r="P21" s="6">
        <v>0</v>
      </c>
      <c r="Q21" s="4" t="s">
        <v>26</v>
      </c>
      <c r="R21" s="4">
        <v>0</v>
      </c>
      <c r="S21" s="4" t="s">
        <v>123</v>
      </c>
      <c r="T21" s="4" t="s">
        <v>477</v>
      </c>
      <c r="U21" s="4">
        <v>0</v>
      </c>
      <c r="V21" s="4">
        <v>14</v>
      </c>
      <c r="W21" s="4">
        <v>72</v>
      </c>
    </row>
    <row r="22" spans="1:23" ht="11.25" customHeight="1" x14ac:dyDescent="0.25">
      <c r="A22" s="4" t="s">
        <v>21</v>
      </c>
      <c r="B22" s="4" t="s">
        <v>43</v>
      </c>
      <c r="C22" s="4" t="s">
        <v>44</v>
      </c>
      <c r="D22" s="4" t="s">
        <v>45</v>
      </c>
      <c r="E22" s="4" t="s">
        <v>25</v>
      </c>
      <c r="F22" s="4" t="s">
        <v>25</v>
      </c>
      <c r="G22" s="4" t="s">
        <v>25</v>
      </c>
      <c r="H22" s="4" t="s">
        <v>37</v>
      </c>
      <c r="I22" s="5">
        <v>44805</v>
      </c>
      <c r="J22" s="6">
        <v>0</v>
      </c>
      <c r="K22" s="6">
        <v>0</v>
      </c>
      <c r="L22" s="6">
        <v>24.059000000000001</v>
      </c>
      <c r="M22" s="6">
        <v>24.059000000000001</v>
      </c>
      <c r="N22" s="6">
        <v>24.059000000000001</v>
      </c>
      <c r="O22" s="6">
        <v>24.059000000000001</v>
      </c>
      <c r="P22" s="6">
        <v>0</v>
      </c>
      <c r="Q22" s="4" t="s">
        <v>26</v>
      </c>
      <c r="R22" s="4">
        <v>0</v>
      </c>
      <c r="S22" s="4" t="s">
        <v>124</v>
      </c>
      <c r="T22" s="4" t="s">
        <v>478</v>
      </c>
      <c r="U22" s="4">
        <v>0</v>
      </c>
      <c r="V22" s="4">
        <v>14</v>
      </c>
      <c r="W22" s="4">
        <v>72</v>
      </c>
    </row>
    <row r="23" spans="1:23" ht="11.25" customHeight="1" x14ac:dyDescent="0.25">
      <c r="A23" s="4" t="s">
        <v>21</v>
      </c>
      <c r="B23" s="4" t="s">
        <v>43</v>
      </c>
      <c r="C23" s="4" t="s">
        <v>44</v>
      </c>
      <c r="D23" s="4" t="s">
        <v>45</v>
      </c>
      <c r="E23" s="4" t="s">
        <v>25</v>
      </c>
      <c r="F23" s="4" t="s">
        <v>25</v>
      </c>
      <c r="G23" s="4" t="s">
        <v>25</v>
      </c>
      <c r="H23" s="4" t="s">
        <v>37</v>
      </c>
      <c r="I23" s="5">
        <v>44835</v>
      </c>
      <c r="J23" s="6">
        <v>0</v>
      </c>
      <c r="K23" s="6">
        <v>0</v>
      </c>
      <c r="L23" s="6">
        <v>24.488</v>
      </c>
      <c r="M23" s="6">
        <v>24.488</v>
      </c>
      <c r="N23" s="6">
        <v>24.488</v>
      </c>
      <c r="O23" s="6">
        <v>24.488</v>
      </c>
      <c r="P23" s="6">
        <v>0</v>
      </c>
      <c r="Q23" s="4" t="s">
        <v>26</v>
      </c>
      <c r="R23" s="4">
        <v>0</v>
      </c>
      <c r="S23" s="4" t="s">
        <v>125</v>
      </c>
      <c r="T23" s="4" t="s">
        <v>479</v>
      </c>
      <c r="U23" s="4">
        <v>0</v>
      </c>
      <c r="V23" s="4">
        <v>14</v>
      </c>
      <c r="W23" s="4">
        <v>72</v>
      </c>
    </row>
    <row r="24" spans="1:23" ht="11.25" customHeight="1" x14ac:dyDescent="0.25">
      <c r="A24" s="4" t="s">
        <v>59</v>
      </c>
      <c r="B24" s="4" t="s">
        <v>43</v>
      </c>
      <c r="C24" s="4" t="s">
        <v>44</v>
      </c>
      <c r="D24" s="4" t="s">
        <v>45</v>
      </c>
      <c r="E24" s="4" t="s">
        <v>25</v>
      </c>
      <c r="F24" s="4" t="s">
        <v>25</v>
      </c>
      <c r="G24" s="4" t="s">
        <v>25</v>
      </c>
      <c r="H24" s="4" t="s">
        <v>37</v>
      </c>
      <c r="I24" s="5">
        <v>44866</v>
      </c>
      <c r="J24" s="6">
        <v>0</v>
      </c>
      <c r="K24" s="6">
        <v>0</v>
      </c>
      <c r="L24" s="6">
        <v>24.488</v>
      </c>
      <c r="M24" s="6">
        <v>24.488</v>
      </c>
      <c r="N24" s="6">
        <v>24.488</v>
      </c>
      <c r="O24" s="6">
        <v>24.488</v>
      </c>
      <c r="P24" s="6">
        <v>0</v>
      </c>
      <c r="Q24" s="4" t="s">
        <v>26</v>
      </c>
      <c r="R24" s="4">
        <v>0</v>
      </c>
      <c r="S24" s="4" t="s">
        <v>126</v>
      </c>
      <c r="T24" s="4" t="s">
        <v>480</v>
      </c>
      <c r="U24" s="4">
        <v>0</v>
      </c>
      <c r="V24" s="4">
        <v>14</v>
      </c>
      <c r="W24" s="4">
        <v>72</v>
      </c>
    </row>
    <row r="25" spans="1:23" ht="11.25" customHeight="1" x14ac:dyDescent="0.25">
      <c r="A25" s="4" t="s">
        <v>21</v>
      </c>
      <c r="B25" s="4" t="s">
        <v>43</v>
      </c>
      <c r="C25" s="4" t="s">
        <v>44</v>
      </c>
      <c r="D25" s="4" t="s">
        <v>45</v>
      </c>
      <c r="E25" s="4" t="s">
        <v>25</v>
      </c>
      <c r="F25" s="4" t="s">
        <v>25</v>
      </c>
      <c r="G25" s="4" t="s">
        <v>25</v>
      </c>
      <c r="H25" s="4" t="s">
        <v>25</v>
      </c>
      <c r="I25" s="5">
        <v>44531</v>
      </c>
      <c r="J25" s="6">
        <v>180</v>
      </c>
      <c r="K25" s="6">
        <v>180</v>
      </c>
      <c r="L25" s="6">
        <v>0</v>
      </c>
      <c r="M25" s="6">
        <v>0</v>
      </c>
      <c r="N25" s="6">
        <v>0</v>
      </c>
      <c r="O25" s="6">
        <v>0</v>
      </c>
      <c r="P25" s="6">
        <v>2</v>
      </c>
      <c r="Q25" s="4" t="s">
        <v>26</v>
      </c>
      <c r="R25" s="4">
        <v>0</v>
      </c>
      <c r="S25" s="4" t="s">
        <v>127</v>
      </c>
      <c r="U25" s="4">
        <v>12</v>
      </c>
      <c r="V25" s="4">
        <v>0</v>
      </c>
      <c r="W25" s="4">
        <v>0</v>
      </c>
    </row>
    <row r="26" spans="1:23" ht="11.25" customHeight="1" x14ac:dyDescent="0.25">
      <c r="A26" s="4" t="s">
        <v>21</v>
      </c>
      <c r="B26" s="4" t="s">
        <v>43</v>
      </c>
      <c r="C26" s="4" t="s">
        <v>44</v>
      </c>
      <c r="D26" s="4" t="s">
        <v>45</v>
      </c>
      <c r="E26" s="4" t="s">
        <v>25</v>
      </c>
      <c r="F26" s="4" t="s">
        <v>25</v>
      </c>
      <c r="G26" s="4" t="s">
        <v>25</v>
      </c>
      <c r="H26" s="4" t="s">
        <v>25</v>
      </c>
      <c r="I26" s="5">
        <v>44562</v>
      </c>
      <c r="J26" s="6">
        <v>180</v>
      </c>
      <c r="K26" s="6">
        <v>180</v>
      </c>
      <c r="L26" s="6">
        <v>0</v>
      </c>
      <c r="M26" s="6">
        <v>0</v>
      </c>
      <c r="N26" s="6">
        <v>0</v>
      </c>
      <c r="O26" s="6">
        <v>0</v>
      </c>
      <c r="P26" s="6">
        <v>2</v>
      </c>
      <c r="Q26" s="4" t="s">
        <v>26</v>
      </c>
      <c r="R26" s="4">
        <v>0</v>
      </c>
      <c r="S26" s="4" t="s">
        <v>128</v>
      </c>
      <c r="U26" s="4">
        <v>12</v>
      </c>
      <c r="V26" s="4">
        <v>0</v>
      </c>
      <c r="W26" s="4">
        <v>0</v>
      </c>
    </row>
    <row r="27" spans="1:23" ht="11.25" customHeight="1" x14ac:dyDescent="0.25">
      <c r="A27" s="4" t="s">
        <v>21</v>
      </c>
      <c r="B27" s="4" t="s">
        <v>43</v>
      </c>
      <c r="C27" s="4" t="s">
        <v>44</v>
      </c>
      <c r="D27" s="4" t="s">
        <v>45</v>
      </c>
      <c r="E27" s="4" t="s">
        <v>25</v>
      </c>
      <c r="F27" s="4" t="s">
        <v>25</v>
      </c>
      <c r="G27" s="4" t="s">
        <v>25</v>
      </c>
      <c r="H27" s="4" t="s">
        <v>25</v>
      </c>
      <c r="I27" s="5">
        <v>44593</v>
      </c>
      <c r="J27" s="6">
        <v>190</v>
      </c>
      <c r="K27" s="6">
        <v>190</v>
      </c>
      <c r="L27" s="6">
        <v>0</v>
      </c>
      <c r="M27" s="6">
        <v>0</v>
      </c>
      <c r="N27" s="6">
        <v>0</v>
      </c>
      <c r="O27" s="6">
        <v>0</v>
      </c>
      <c r="P27" s="6">
        <v>2</v>
      </c>
      <c r="Q27" s="4" t="s">
        <v>26</v>
      </c>
      <c r="R27" s="4">
        <v>0</v>
      </c>
      <c r="S27" s="4" t="s">
        <v>129</v>
      </c>
      <c r="U27" s="4">
        <v>12</v>
      </c>
      <c r="V27" s="4">
        <v>0</v>
      </c>
      <c r="W27" s="4">
        <v>0</v>
      </c>
    </row>
    <row r="28" spans="1:23" ht="11.25" customHeight="1" x14ac:dyDescent="0.25">
      <c r="A28" s="4" t="s">
        <v>21</v>
      </c>
      <c r="B28" s="4" t="s">
        <v>43</v>
      </c>
      <c r="C28" s="4" t="s">
        <v>44</v>
      </c>
      <c r="D28" s="4" t="s">
        <v>45</v>
      </c>
      <c r="E28" s="4" t="s">
        <v>25</v>
      </c>
      <c r="F28" s="4" t="s">
        <v>25</v>
      </c>
      <c r="G28" s="4" t="s">
        <v>25</v>
      </c>
      <c r="H28" s="4" t="s">
        <v>25</v>
      </c>
      <c r="I28" s="5">
        <v>44621</v>
      </c>
      <c r="J28" s="6">
        <v>190</v>
      </c>
      <c r="K28" s="6">
        <v>190</v>
      </c>
      <c r="L28" s="6">
        <v>0</v>
      </c>
      <c r="M28" s="6">
        <v>0</v>
      </c>
      <c r="N28" s="6">
        <v>0</v>
      </c>
      <c r="O28" s="6">
        <v>0</v>
      </c>
      <c r="P28" s="6">
        <v>2</v>
      </c>
      <c r="Q28" s="4" t="s">
        <v>26</v>
      </c>
      <c r="R28" s="4">
        <v>0</v>
      </c>
      <c r="S28" s="4" t="s">
        <v>130</v>
      </c>
      <c r="U28" s="4">
        <v>12</v>
      </c>
      <c r="V28" s="4">
        <v>0</v>
      </c>
      <c r="W28" s="4">
        <v>0</v>
      </c>
    </row>
    <row r="29" spans="1:23" ht="11.25" customHeight="1" x14ac:dyDescent="0.25">
      <c r="A29" s="4" t="s">
        <v>21</v>
      </c>
      <c r="B29" s="4" t="s">
        <v>43</v>
      </c>
      <c r="C29" s="4" t="s">
        <v>44</v>
      </c>
      <c r="D29" s="4" t="s">
        <v>45</v>
      </c>
      <c r="E29" s="4" t="s">
        <v>25</v>
      </c>
      <c r="F29" s="4" t="s">
        <v>25</v>
      </c>
      <c r="G29" s="4" t="s">
        <v>25</v>
      </c>
      <c r="H29" s="4" t="s">
        <v>25</v>
      </c>
      <c r="I29" s="5">
        <v>44652</v>
      </c>
      <c r="J29" s="6">
        <v>200</v>
      </c>
      <c r="K29" s="6">
        <v>200</v>
      </c>
      <c r="L29" s="6">
        <v>0</v>
      </c>
      <c r="M29" s="6">
        <v>0</v>
      </c>
      <c r="N29" s="6">
        <v>0</v>
      </c>
      <c r="O29" s="6">
        <v>0</v>
      </c>
      <c r="P29" s="6">
        <v>2</v>
      </c>
      <c r="Q29" s="4" t="s">
        <v>26</v>
      </c>
      <c r="R29" s="4">
        <v>0</v>
      </c>
      <c r="S29" s="4" t="s">
        <v>131</v>
      </c>
      <c r="U29" s="4">
        <v>12</v>
      </c>
      <c r="V29" s="4">
        <v>0</v>
      </c>
      <c r="W29" s="4">
        <v>0</v>
      </c>
    </row>
    <row r="30" spans="1:23" ht="11.25" customHeight="1" x14ac:dyDescent="0.25">
      <c r="A30" s="4" t="s">
        <v>21</v>
      </c>
      <c r="B30" s="4" t="s">
        <v>43</v>
      </c>
      <c r="C30" s="4" t="s">
        <v>44</v>
      </c>
      <c r="D30" s="4" t="s">
        <v>45</v>
      </c>
      <c r="E30" s="4" t="s">
        <v>25</v>
      </c>
      <c r="F30" s="4" t="s">
        <v>25</v>
      </c>
      <c r="G30" s="4" t="s">
        <v>25</v>
      </c>
      <c r="H30" s="4" t="s">
        <v>25</v>
      </c>
      <c r="I30" s="5">
        <v>44682</v>
      </c>
      <c r="J30" s="6">
        <v>417</v>
      </c>
      <c r="K30" s="6">
        <v>417</v>
      </c>
      <c r="L30" s="6">
        <v>0</v>
      </c>
      <c r="M30" s="6">
        <v>0</v>
      </c>
      <c r="N30" s="6">
        <v>0</v>
      </c>
      <c r="O30" s="6">
        <v>0</v>
      </c>
      <c r="P30" s="6">
        <v>3</v>
      </c>
      <c r="Q30" s="4" t="s">
        <v>26</v>
      </c>
      <c r="R30" s="4">
        <v>0</v>
      </c>
      <c r="S30" s="4" t="s">
        <v>132</v>
      </c>
      <c r="U30" s="4">
        <v>12</v>
      </c>
      <c r="V30" s="4">
        <v>0</v>
      </c>
      <c r="W30" s="4">
        <v>0</v>
      </c>
    </row>
    <row r="31" spans="1:23" ht="11.25" customHeight="1" x14ac:dyDescent="0.25">
      <c r="A31" s="4" t="s">
        <v>21</v>
      </c>
      <c r="B31" s="4" t="s">
        <v>43</v>
      </c>
      <c r="C31" s="4" t="s">
        <v>44</v>
      </c>
      <c r="D31" s="4" t="s">
        <v>45</v>
      </c>
      <c r="E31" s="4" t="s">
        <v>25</v>
      </c>
      <c r="F31" s="4" t="s">
        <v>25</v>
      </c>
      <c r="G31" s="4" t="s">
        <v>25</v>
      </c>
      <c r="H31" s="4" t="s">
        <v>25</v>
      </c>
      <c r="I31" s="5">
        <v>44713</v>
      </c>
      <c r="J31" s="6">
        <v>357</v>
      </c>
      <c r="K31" s="6">
        <v>357</v>
      </c>
      <c r="L31" s="6">
        <v>0</v>
      </c>
      <c r="M31" s="6">
        <v>0</v>
      </c>
      <c r="N31" s="6">
        <v>0</v>
      </c>
      <c r="O31" s="6">
        <v>0</v>
      </c>
      <c r="P31" s="6">
        <v>2</v>
      </c>
      <c r="Q31" s="4" t="s">
        <v>26</v>
      </c>
      <c r="R31" s="4">
        <v>0</v>
      </c>
      <c r="S31" s="4" t="s">
        <v>133</v>
      </c>
      <c r="U31" s="4">
        <v>12</v>
      </c>
      <c r="V31" s="4">
        <v>0</v>
      </c>
      <c r="W31" s="4">
        <v>0</v>
      </c>
    </row>
    <row r="32" spans="1:23" ht="11.25" customHeight="1" x14ac:dyDescent="0.25">
      <c r="A32" s="4" t="s">
        <v>21</v>
      </c>
      <c r="B32" s="4" t="s">
        <v>43</v>
      </c>
      <c r="C32" s="4" t="s">
        <v>44</v>
      </c>
      <c r="D32" s="4" t="s">
        <v>45</v>
      </c>
      <c r="E32" s="4" t="s">
        <v>25</v>
      </c>
      <c r="F32" s="4" t="s">
        <v>25</v>
      </c>
      <c r="G32" s="4" t="s">
        <v>25</v>
      </c>
      <c r="H32" s="4" t="s">
        <v>25</v>
      </c>
      <c r="I32" s="5">
        <v>44743</v>
      </c>
      <c r="J32" s="6">
        <v>357</v>
      </c>
      <c r="K32" s="6">
        <v>357</v>
      </c>
      <c r="L32" s="6">
        <v>0</v>
      </c>
      <c r="M32" s="6">
        <v>0</v>
      </c>
      <c r="N32" s="6">
        <v>0</v>
      </c>
      <c r="O32" s="6">
        <v>0</v>
      </c>
      <c r="P32" s="6">
        <v>2</v>
      </c>
      <c r="Q32" s="4" t="s">
        <v>26</v>
      </c>
      <c r="R32" s="4">
        <v>0</v>
      </c>
      <c r="S32" s="4" t="s">
        <v>134</v>
      </c>
      <c r="U32" s="4">
        <v>12</v>
      </c>
      <c r="V32" s="4">
        <v>0</v>
      </c>
      <c r="W32" s="4">
        <v>0</v>
      </c>
    </row>
    <row r="33" spans="1:23" ht="11.25" customHeight="1" x14ac:dyDescent="0.25">
      <c r="A33" s="4" t="s">
        <v>21</v>
      </c>
      <c r="B33" s="4" t="s">
        <v>43</v>
      </c>
      <c r="C33" s="4" t="s">
        <v>44</v>
      </c>
      <c r="D33" s="4" t="s">
        <v>45</v>
      </c>
      <c r="E33" s="4" t="s">
        <v>25</v>
      </c>
      <c r="F33" s="4" t="s">
        <v>25</v>
      </c>
      <c r="G33" s="4" t="s">
        <v>25</v>
      </c>
      <c r="H33" s="4" t="s">
        <v>25</v>
      </c>
      <c r="I33" s="5">
        <v>44774</v>
      </c>
      <c r="J33" s="6">
        <v>357</v>
      </c>
      <c r="K33" s="6">
        <v>357</v>
      </c>
      <c r="L33" s="6">
        <v>0</v>
      </c>
      <c r="M33" s="6">
        <v>0</v>
      </c>
      <c r="N33" s="6">
        <v>0</v>
      </c>
      <c r="O33" s="6">
        <v>0</v>
      </c>
      <c r="P33" s="6">
        <v>2</v>
      </c>
      <c r="Q33" s="4" t="s">
        <v>26</v>
      </c>
      <c r="R33" s="4">
        <v>0</v>
      </c>
      <c r="S33" s="4" t="s">
        <v>135</v>
      </c>
      <c r="U33" s="4">
        <v>12</v>
      </c>
      <c r="V33" s="4">
        <v>0</v>
      </c>
      <c r="W33" s="4">
        <v>0</v>
      </c>
    </row>
    <row r="34" spans="1:23" ht="11.25" customHeight="1" x14ac:dyDescent="0.25">
      <c r="A34" s="4" t="s">
        <v>21</v>
      </c>
      <c r="B34" s="4" t="s">
        <v>43</v>
      </c>
      <c r="C34" s="4" t="s">
        <v>44</v>
      </c>
      <c r="D34" s="4" t="s">
        <v>45</v>
      </c>
      <c r="E34" s="4" t="s">
        <v>25</v>
      </c>
      <c r="F34" s="4" t="s">
        <v>25</v>
      </c>
      <c r="G34" s="4" t="s">
        <v>25</v>
      </c>
      <c r="H34" s="4" t="s">
        <v>25</v>
      </c>
      <c r="I34" s="5">
        <v>44805</v>
      </c>
      <c r="J34" s="6">
        <v>357</v>
      </c>
      <c r="K34" s="6">
        <v>357</v>
      </c>
      <c r="L34" s="6">
        <v>0</v>
      </c>
      <c r="M34" s="6">
        <v>0</v>
      </c>
      <c r="N34" s="6">
        <v>0</v>
      </c>
      <c r="O34" s="6">
        <v>0</v>
      </c>
      <c r="P34" s="6">
        <v>2</v>
      </c>
      <c r="Q34" s="4" t="s">
        <v>26</v>
      </c>
      <c r="R34" s="4">
        <v>0</v>
      </c>
      <c r="S34" s="4" t="s">
        <v>136</v>
      </c>
      <c r="U34" s="4">
        <v>12</v>
      </c>
      <c r="V34" s="4">
        <v>0</v>
      </c>
      <c r="W34" s="4">
        <v>0</v>
      </c>
    </row>
    <row r="35" spans="1:23" ht="11.25" customHeight="1" x14ac:dyDescent="0.25">
      <c r="A35" s="4" t="s">
        <v>21</v>
      </c>
      <c r="B35" s="4" t="s">
        <v>43</v>
      </c>
      <c r="C35" s="4" t="s">
        <v>44</v>
      </c>
      <c r="D35" s="4" t="s">
        <v>45</v>
      </c>
      <c r="E35" s="4" t="s">
        <v>25</v>
      </c>
      <c r="F35" s="4" t="s">
        <v>25</v>
      </c>
      <c r="G35" s="4" t="s">
        <v>25</v>
      </c>
      <c r="H35" s="4" t="s">
        <v>25</v>
      </c>
      <c r="I35" s="5">
        <v>44835</v>
      </c>
      <c r="J35" s="6">
        <v>278</v>
      </c>
      <c r="K35" s="6">
        <v>278</v>
      </c>
      <c r="L35" s="6">
        <v>0</v>
      </c>
      <c r="M35" s="6">
        <v>0</v>
      </c>
      <c r="N35" s="6">
        <v>0</v>
      </c>
      <c r="O35" s="6">
        <v>0</v>
      </c>
      <c r="P35" s="6">
        <v>2</v>
      </c>
      <c r="Q35" s="4" t="s">
        <v>26</v>
      </c>
      <c r="R35" s="4">
        <v>0</v>
      </c>
      <c r="S35" s="4" t="s">
        <v>137</v>
      </c>
      <c r="U35" s="4">
        <v>12</v>
      </c>
      <c r="V35" s="4">
        <v>0</v>
      </c>
      <c r="W35" s="4">
        <v>0</v>
      </c>
    </row>
    <row r="36" spans="1:23" ht="11.25" customHeight="1" x14ac:dyDescent="0.25">
      <c r="A36" s="4" t="s">
        <v>59</v>
      </c>
      <c r="B36" s="4" t="s">
        <v>43</v>
      </c>
      <c r="C36" s="4" t="s">
        <v>44</v>
      </c>
      <c r="D36" s="4" t="s">
        <v>45</v>
      </c>
      <c r="E36" s="4" t="s">
        <v>25</v>
      </c>
      <c r="F36" s="4" t="s">
        <v>25</v>
      </c>
      <c r="G36" s="4" t="s">
        <v>25</v>
      </c>
      <c r="H36" s="4" t="s">
        <v>25</v>
      </c>
      <c r="I36" s="5">
        <v>44866</v>
      </c>
      <c r="J36" s="6">
        <v>278</v>
      </c>
      <c r="K36" s="6">
        <v>278</v>
      </c>
      <c r="L36" s="6">
        <v>0</v>
      </c>
      <c r="M36" s="6">
        <v>0</v>
      </c>
      <c r="N36" s="6">
        <v>0</v>
      </c>
      <c r="O36" s="6">
        <v>0</v>
      </c>
      <c r="P36" s="6">
        <v>2</v>
      </c>
      <c r="Q36" s="4" t="s">
        <v>26</v>
      </c>
      <c r="R36" s="4">
        <v>0</v>
      </c>
      <c r="S36" s="4" t="s">
        <v>138</v>
      </c>
      <c r="U36" s="4">
        <v>12</v>
      </c>
      <c r="V36" s="4">
        <v>0</v>
      </c>
      <c r="W36" s="4">
        <v>0</v>
      </c>
    </row>
    <row r="37" spans="1:23" ht="11.25" customHeight="1" x14ac:dyDescent="0.25">
      <c r="A37" s="4" t="s">
        <v>21</v>
      </c>
      <c r="B37" s="4" t="s">
        <v>43</v>
      </c>
      <c r="C37" s="4" t="s">
        <v>44</v>
      </c>
      <c r="D37" s="4" t="s">
        <v>45</v>
      </c>
      <c r="E37" s="4" t="s">
        <v>25</v>
      </c>
      <c r="F37" s="4" t="s">
        <v>25</v>
      </c>
      <c r="G37" s="4" t="s">
        <v>25</v>
      </c>
      <c r="H37" s="4" t="s">
        <v>36</v>
      </c>
      <c r="I37" s="5">
        <v>44531</v>
      </c>
      <c r="J37" s="6">
        <v>0</v>
      </c>
      <c r="K37" s="6">
        <v>0</v>
      </c>
      <c r="L37" s="6">
        <v>1.23</v>
      </c>
      <c r="M37" s="6">
        <v>1.23</v>
      </c>
      <c r="N37" s="6">
        <v>1.23</v>
      </c>
      <c r="O37" s="6">
        <v>1.23</v>
      </c>
      <c r="P37" s="6">
        <v>0</v>
      </c>
      <c r="Q37" s="4" t="s">
        <v>26</v>
      </c>
      <c r="R37" s="4">
        <v>0</v>
      </c>
      <c r="S37" s="4" t="s">
        <v>139</v>
      </c>
      <c r="T37" s="4" t="s">
        <v>469</v>
      </c>
      <c r="U37" s="4">
        <v>0</v>
      </c>
      <c r="V37" s="4">
        <v>13</v>
      </c>
      <c r="W37" s="4">
        <v>71</v>
      </c>
    </row>
    <row r="38" spans="1:23" ht="11.25" customHeight="1" x14ac:dyDescent="0.25">
      <c r="A38" s="4" t="s">
        <v>21</v>
      </c>
      <c r="B38" s="4" t="s">
        <v>43</v>
      </c>
      <c r="C38" s="4" t="s">
        <v>44</v>
      </c>
      <c r="D38" s="4" t="s">
        <v>45</v>
      </c>
      <c r="E38" s="4" t="s">
        <v>25</v>
      </c>
      <c r="F38" s="4" t="s">
        <v>25</v>
      </c>
      <c r="G38" s="4" t="s">
        <v>25</v>
      </c>
      <c r="H38" s="4" t="s">
        <v>36</v>
      </c>
      <c r="I38" s="5">
        <v>44562</v>
      </c>
      <c r="J38" s="6">
        <v>0</v>
      </c>
      <c r="K38" s="6">
        <v>0</v>
      </c>
      <c r="L38" s="6">
        <v>1.23</v>
      </c>
      <c r="M38" s="6">
        <v>1.23</v>
      </c>
      <c r="N38" s="6">
        <v>1.23</v>
      </c>
      <c r="O38" s="6">
        <v>1.23</v>
      </c>
      <c r="P38" s="6">
        <v>0</v>
      </c>
      <c r="Q38" s="4" t="s">
        <v>26</v>
      </c>
      <c r="R38" s="4">
        <v>0</v>
      </c>
      <c r="S38" s="4" t="s">
        <v>140</v>
      </c>
      <c r="T38" s="4" t="s">
        <v>470</v>
      </c>
      <c r="U38" s="4">
        <v>0</v>
      </c>
      <c r="V38" s="4">
        <v>13</v>
      </c>
      <c r="W38" s="4">
        <v>71</v>
      </c>
    </row>
    <row r="39" spans="1:23" ht="11.25" customHeight="1" x14ac:dyDescent="0.25">
      <c r="A39" s="4" t="s">
        <v>21</v>
      </c>
      <c r="B39" s="4" t="s">
        <v>43</v>
      </c>
      <c r="C39" s="4" t="s">
        <v>44</v>
      </c>
      <c r="D39" s="4" t="s">
        <v>45</v>
      </c>
      <c r="E39" s="4" t="s">
        <v>25</v>
      </c>
      <c r="F39" s="4" t="s">
        <v>25</v>
      </c>
      <c r="G39" s="4" t="s">
        <v>25</v>
      </c>
      <c r="H39" s="4" t="s">
        <v>36</v>
      </c>
      <c r="I39" s="5">
        <v>44593</v>
      </c>
      <c r="J39" s="6">
        <v>0</v>
      </c>
      <c r="K39" s="6">
        <v>0</v>
      </c>
      <c r="L39" s="6">
        <v>0.78600000000000003</v>
      </c>
      <c r="M39" s="6">
        <v>0.78600000000000003</v>
      </c>
      <c r="N39" s="6">
        <v>0.78600000000000003</v>
      </c>
      <c r="O39" s="6">
        <v>0.78600000000000003</v>
      </c>
      <c r="P39" s="6">
        <v>0</v>
      </c>
      <c r="Q39" s="4" t="s">
        <v>26</v>
      </c>
      <c r="R39" s="4">
        <v>0</v>
      </c>
      <c r="S39" s="4" t="s">
        <v>141</v>
      </c>
      <c r="T39" s="4" t="s">
        <v>471</v>
      </c>
      <c r="U39" s="4">
        <v>0</v>
      </c>
      <c r="V39" s="4">
        <v>13</v>
      </c>
      <c r="W39" s="4">
        <v>71</v>
      </c>
    </row>
    <row r="40" spans="1:23" ht="11.25" customHeight="1" x14ac:dyDescent="0.25">
      <c r="A40" s="4" t="s">
        <v>21</v>
      </c>
      <c r="B40" s="4" t="s">
        <v>43</v>
      </c>
      <c r="C40" s="4" t="s">
        <v>44</v>
      </c>
      <c r="D40" s="4" t="s">
        <v>45</v>
      </c>
      <c r="E40" s="4" t="s">
        <v>25</v>
      </c>
      <c r="F40" s="4" t="s">
        <v>25</v>
      </c>
      <c r="G40" s="4" t="s">
        <v>25</v>
      </c>
      <c r="H40" s="4" t="s">
        <v>36</v>
      </c>
      <c r="I40" s="5">
        <v>44621</v>
      </c>
      <c r="J40" s="6">
        <v>0</v>
      </c>
      <c r="K40" s="6">
        <v>0</v>
      </c>
      <c r="L40" s="6">
        <v>0.73799999999999999</v>
      </c>
      <c r="M40" s="6">
        <v>0.73799999999999999</v>
      </c>
      <c r="N40" s="6">
        <v>0.73799999999999999</v>
      </c>
      <c r="O40" s="6">
        <v>0.73799999999999999</v>
      </c>
      <c r="P40" s="6">
        <v>0</v>
      </c>
      <c r="Q40" s="4" t="s">
        <v>26</v>
      </c>
      <c r="R40" s="4">
        <v>0</v>
      </c>
      <c r="S40" s="4" t="s">
        <v>142</v>
      </c>
      <c r="T40" s="4" t="s">
        <v>472</v>
      </c>
      <c r="U40" s="4">
        <v>0</v>
      </c>
      <c r="V40" s="4">
        <v>13</v>
      </c>
      <c r="W40" s="4">
        <v>71</v>
      </c>
    </row>
    <row r="41" spans="1:23" ht="11.25" customHeight="1" x14ac:dyDescent="0.25">
      <c r="A41" s="4" t="s">
        <v>21</v>
      </c>
      <c r="B41" s="4" t="s">
        <v>43</v>
      </c>
      <c r="C41" s="4" t="s">
        <v>44</v>
      </c>
      <c r="D41" s="4" t="s">
        <v>45</v>
      </c>
      <c r="E41" s="4" t="s">
        <v>25</v>
      </c>
      <c r="F41" s="4" t="s">
        <v>25</v>
      </c>
      <c r="G41" s="4" t="s">
        <v>25</v>
      </c>
      <c r="H41" s="4" t="s">
        <v>36</v>
      </c>
      <c r="I41" s="5">
        <v>44652</v>
      </c>
      <c r="J41" s="6">
        <v>0</v>
      </c>
      <c r="K41" s="6">
        <v>0</v>
      </c>
      <c r="L41" s="6">
        <v>0.90100000000000002</v>
      </c>
      <c r="M41" s="6">
        <v>0.90100000000000002</v>
      </c>
      <c r="N41" s="6">
        <v>0.90100000000000002</v>
      </c>
      <c r="O41" s="6">
        <v>0.90100000000000002</v>
      </c>
      <c r="P41" s="6">
        <v>0</v>
      </c>
      <c r="Q41" s="4" t="s">
        <v>26</v>
      </c>
      <c r="R41" s="4">
        <v>0</v>
      </c>
      <c r="S41" s="4" t="s">
        <v>143</v>
      </c>
      <c r="T41" s="4" t="s">
        <v>473</v>
      </c>
      <c r="U41" s="4">
        <v>0</v>
      </c>
      <c r="V41" s="4">
        <v>13</v>
      </c>
      <c r="W41" s="4">
        <v>71</v>
      </c>
    </row>
    <row r="42" spans="1:23" ht="11.25" customHeight="1" x14ac:dyDescent="0.25">
      <c r="A42" s="4" t="s">
        <v>21</v>
      </c>
      <c r="B42" s="4" t="s">
        <v>43</v>
      </c>
      <c r="C42" s="4" t="s">
        <v>44</v>
      </c>
      <c r="D42" s="4" t="s">
        <v>45</v>
      </c>
      <c r="E42" s="4" t="s">
        <v>25</v>
      </c>
      <c r="F42" s="4" t="s">
        <v>25</v>
      </c>
      <c r="G42" s="4" t="s">
        <v>25</v>
      </c>
      <c r="H42" s="4" t="s">
        <v>36</v>
      </c>
      <c r="I42" s="5">
        <v>44682</v>
      </c>
      <c r="J42" s="6">
        <v>0</v>
      </c>
      <c r="K42" s="6">
        <v>0</v>
      </c>
      <c r="L42" s="6">
        <v>0.94799999999999995</v>
      </c>
      <c r="M42" s="6">
        <v>0.94799999999999995</v>
      </c>
      <c r="N42" s="6">
        <v>0.94799999999999995</v>
      </c>
      <c r="O42" s="6">
        <v>0.94799999999999995</v>
      </c>
      <c r="P42" s="6">
        <v>0</v>
      </c>
      <c r="Q42" s="4" t="s">
        <v>26</v>
      </c>
      <c r="R42" s="4">
        <v>0</v>
      </c>
      <c r="S42" s="4" t="s">
        <v>144</v>
      </c>
      <c r="T42" s="4" t="s">
        <v>485</v>
      </c>
      <c r="U42" s="4">
        <v>0</v>
      </c>
      <c r="V42" s="4">
        <v>13</v>
      </c>
      <c r="W42" s="4">
        <v>71</v>
      </c>
    </row>
    <row r="43" spans="1:23" ht="11.25" customHeight="1" x14ac:dyDescent="0.25">
      <c r="A43" s="4" t="s">
        <v>21</v>
      </c>
      <c r="B43" s="4" t="s">
        <v>43</v>
      </c>
      <c r="C43" s="4" t="s">
        <v>44</v>
      </c>
      <c r="D43" s="4" t="s">
        <v>45</v>
      </c>
      <c r="E43" s="4" t="s">
        <v>25</v>
      </c>
      <c r="F43" s="4" t="s">
        <v>25</v>
      </c>
      <c r="G43" s="4" t="s">
        <v>25</v>
      </c>
      <c r="H43" s="4" t="s">
        <v>36</v>
      </c>
      <c r="I43" s="5">
        <v>44713</v>
      </c>
      <c r="J43" s="6">
        <v>0</v>
      </c>
      <c r="K43" s="6">
        <v>0</v>
      </c>
      <c r="L43" s="6">
        <v>1.119</v>
      </c>
      <c r="M43" s="6">
        <v>1.119</v>
      </c>
      <c r="N43" s="6">
        <v>1.119</v>
      </c>
      <c r="O43" s="6">
        <v>1.119</v>
      </c>
      <c r="P43" s="6">
        <v>0</v>
      </c>
      <c r="Q43" s="4" t="s">
        <v>26</v>
      </c>
      <c r="R43" s="4">
        <v>0</v>
      </c>
      <c r="S43" s="4" t="s">
        <v>145</v>
      </c>
      <c r="T43" s="4" t="s">
        <v>486</v>
      </c>
      <c r="U43" s="4">
        <v>0</v>
      </c>
      <c r="V43" s="4">
        <v>13</v>
      </c>
      <c r="W43" s="4">
        <v>71</v>
      </c>
    </row>
    <row r="44" spans="1:23" ht="11.25" customHeight="1" x14ac:dyDescent="0.25">
      <c r="A44" s="4" t="s">
        <v>21</v>
      </c>
      <c r="B44" s="4" t="s">
        <v>43</v>
      </c>
      <c r="C44" s="4" t="s">
        <v>44</v>
      </c>
      <c r="D44" s="4" t="s">
        <v>45</v>
      </c>
      <c r="E44" s="4" t="s">
        <v>25</v>
      </c>
      <c r="F44" s="4" t="s">
        <v>25</v>
      </c>
      <c r="G44" s="4" t="s">
        <v>25</v>
      </c>
      <c r="H44" s="4" t="s">
        <v>36</v>
      </c>
      <c r="I44" s="5">
        <v>44743</v>
      </c>
      <c r="J44" s="6">
        <v>0</v>
      </c>
      <c r="K44" s="6">
        <v>0</v>
      </c>
      <c r="L44" s="6">
        <v>1.821</v>
      </c>
      <c r="M44" s="6">
        <v>1.821</v>
      </c>
      <c r="N44" s="6">
        <v>1.821</v>
      </c>
      <c r="O44" s="6">
        <v>1.821</v>
      </c>
      <c r="P44" s="6">
        <v>0</v>
      </c>
      <c r="Q44" s="4" t="s">
        <v>26</v>
      </c>
      <c r="R44" s="4">
        <v>0</v>
      </c>
      <c r="S44" s="4" t="s">
        <v>146</v>
      </c>
      <c r="T44" s="4" t="s">
        <v>487</v>
      </c>
      <c r="U44" s="4">
        <v>0</v>
      </c>
      <c r="V44" s="4">
        <v>13</v>
      </c>
      <c r="W44" s="4">
        <v>71</v>
      </c>
    </row>
    <row r="45" spans="1:23" ht="11.25" customHeight="1" x14ac:dyDescent="0.25">
      <c r="A45" s="4" t="s">
        <v>27</v>
      </c>
      <c r="B45" s="4" t="s">
        <v>43</v>
      </c>
      <c r="C45" s="4" t="s">
        <v>44</v>
      </c>
      <c r="D45" s="4" t="s">
        <v>45</v>
      </c>
      <c r="E45" s="4" t="s">
        <v>25</v>
      </c>
      <c r="F45" s="4" t="s">
        <v>25</v>
      </c>
      <c r="G45" s="4" t="s">
        <v>25</v>
      </c>
      <c r="H45" s="4" t="s">
        <v>36</v>
      </c>
      <c r="I45" s="5">
        <v>44743</v>
      </c>
      <c r="J45" s="6">
        <v>0</v>
      </c>
      <c r="K45" s="6">
        <v>0</v>
      </c>
      <c r="L45" s="6">
        <v>-0.36899999999999999</v>
      </c>
      <c r="M45" s="6">
        <v>-0.36899999999999999</v>
      </c>
      <c r="N45" s="6">
        <v>-0.36899999999999999</v>
      </c>
      <c r="O45" s="6">
        <v>-0.36899999999999999</v>
      </c>
      <c r="P45" s="6">
        <v>0</v>
      </c>
      <c r="Q45" s="4" t="s">
        <v>26</v>
      </c>
      <c r="R45" s="4">
        <v>0</v>
      </c>
      <c r="S45" s="4" t="s">
        <v>146</v>
      </c>
      <c r="T45" s="4" t="s">
        <v>487</v>
      </c>
      <c r="U45" s="4">
        <v>0</v>
      </c>
      <c r="V45" s="4">
        <v>13</v>
      </c>
      <c r="W45" s="4">
        <v>71</v>
      </c>
    </row>
    <row r="46" spans="1:23" ht="11.25" customHeight="1" x14ac:dyDescent="0.25">
      <c r="A46" s="4" t="s">
        <v>21</v>
      </c>
      <c r="B46" s="4" t="s">
        <v>43</v>
      </c>
      <c r="C46" s="4" t="s">
        <v>44</v>
      </c>
      <c r="D46" s="4" t="s">
        <v>45</v>
      </c>
      <c r="E46" s="4" t="s">
        <v>25</v>
      </c>
      <c r="F46" s="4" t="s">
        <v>25</v>
      </c>
      <c r="G46" s="4" t="s">
        <v>25</v>
      </c>
      <c r="H46" s="4" t="s">
        <v>36</v>
      </c>
      <c r="I46" s="5">
        <v>44774</v>
      </c>
      <c r="J46" s="6">
        <v>0</v>
      </c>
      <c r="K46" s="6">
        <v>0</v>
      </c>
      <c r="L46" s="6">
        <v>2.5630000000000002</v>
      </c>
      <c r="M46" s="6">
        <v>2.5630000000000002</v>
      </c>
      <c r="N46" s="6">
        <v>2.5630000000000002</v>
      </c>
      <c r="O46" s="6">
        <v>2.5630000000000002</v>
      </c>
      <c r="P46" s="6">
        <v>0</v>
      </c>
      <c r="Q46" s="4" t="s">
        <v>26</v>
      </c>
      <c r="R46" s="4">
        <v>0</v>
      </c>
      <c r="S46" s="4" t="s">
        <v>147</v>
      </c>
      <c r="T46" s="4" t="s">
        <v>488</v>
      </c>
      <c r="U46" s="4">
        <v>0</v>
      </c>
      <c r="V46" s="4">
        <v>13</v>
      </c>
      <c r="W46" s="4">
        <v>71</v>
      </c>
    </row>
    <row r="47" spans="1:23" ht="11.25" customHeight="1" x14ac:dyDescent="0.25">
      <c r="A47" s="4" t="s">
        <v>21</v>
      </c>
      <c r="B47" s="4" t="s">
        <v>43</v>
      </c>
      <c r="C47" s="4" t="s">
        <v>44</v>
      </c>
      <c r="D47" s="4" t="s">
        <v>45</v>
      </c>
      <c r="E47" s="4" t="s">
        <v>25</v>
      </c>
      <c r="F47" s="4" t="s">
        <v>25</v>
      </c>
      <c r="G47" s="4" t="s">
        <v>25</v>
      </c>
      <c r="H47" s="4" t="s">
        <v>36</v>
      </c>
      <c r="I47" s="5">
        <v>44805</v>
      </c>
      <c r="J47" s="6">
        <v>0</v>
      </c>
      <c r="K47" s="6">
        <v>0</v>
      </c>
      <c r="L47" s="6">
        <v>3.8279999999999998</v>
      </c>
      <c r="M47" s="6">
        <v>3.8279999999999998</v>
      </c>
      <c r="N47" s="6">
        <v>3.8279999999999998</v>
      </c>
      <c r="O47" s="6">
        <v>3.8279999999999998</v>
      </c>
      <c r="P47" s="6">
        <v>0</v>
      </c>
      <c r="Q47" s="4" t="s">
        <v>26</v>
      </c>
      <c r="R47" s="4">
        <v>0</v>
      </c>
      <c r="S47" s="4" t="s">
        <v>148</v>
      </c>
      <c r="T47" s="4" t="s">
        <v>489</v>
      </c>
      <c r="U47" s="4">
        <v>0</v>
      </c>
      <c r="V47" s="4">
        <v>13</v>
      </c>
      <c r="W47" s="4">
        <v>71</v>
      </c>
    </row>
    <row r="48" spans="1:23" ht="11.25" customHeight="1" x14ac:dyDescent="0.25">
      <c r="A48" s="4" t="s">
        <v>21</v>
      </c>
      <c r="B48" s="4" t="s">
        <v>43</v>
      </c>
      <c r="C48" s="4" t="s">
        <v>44</v>
      </c>
      <c r="D48" s="4" t="s">
        <v>45</v>
      </c>
      <c r="E48" s="4" t="s">
        <v>25</v>
      </c>
      <c r="F48" s="4" t="s">
        <v>25</v>
      </c>
      <c r="G48" s="4" t="s">
        <v>25</v>
      </c>
      <c r="H48" s="4" t="s">
        <v>36</v>
      </c>
      <c r="I48" s="5">
        <v>44835</v>
      </c>
      <c r="J48" s="6">
        <v>0</v>
      </c>
      <c r="K48" s="6">
        <v>0</v>
      </c>
      <c r="L48" s="6">
        <v>3.883</v>
      </c>
      <c r="M48" s="6">
        <v>3.883</v>
      </c>
      <c r="N48" s="6">
        <v>3.883</v>
      </c>
      <c r="O48" s="6">
        <v>3.883</v>
      </c>
      <c r="P48" s="6">
        <v>0</v>
      </c>
      <c r="Q48" s="4" t="s">
        <v>26</v>
      </c>
      <c r="R48" s="4">
        <v>0</v>
      </c>
      <c r="S48" s="4" t="s">
        <v>149</v>
      </c>
      <c r="T48" s="4" t="s">
        <v>490</v>
      </c>
      <c r="U48" s="4">
        <v>0</v>
      </c>
      <c r="V48" s="4">
        <v>13</v>
      </c>
      <c r="W48" s="4">
        <v>71</v>
      </c>
    </row>
    <row r="49" spans="1:23" ht="11.25" customHeight="1" x14ac:dyDescent="0.25">
      <c r="A49" s="4" t="s">
        <v>59</v>
      </c>
      <c r="B49" s="4" t="s">
        <v>43</v>
      </c>
      <c r="C49" s="4" t="s">
        <v>44</v>
      </c>
      <c r="D49" s="4" t="s">
        <v>45</v>
      </c>
      <c r="E49" s="4" t="s">
        <v>25</v>
      </c>
      <c r="F49" s="4" t="s">
        <v>25</v>
      </c>
      <c r="G49" s="4" t="s">
        <v>25</v>
      </c>
      <c r="H49" s="4" t="s">
        <v>36</v>
      </c>
      <c r="I49" s="5">
        <v>44866</v>
      </c>
      <c r="J49" s="6">
        <v>0</v>
      </c>
      <c r="K49" s="6">
        <v>0</v>
      </c>
      <c r="L49" s="6">
        <v>3.883</v>
      </c>
      <c r="M49" s="6">
        <v>3.883</v>
      </c>
      <c r="N49" s="6">
        <v>3.883</v>
      </c>
      <c r="O49" s="6">
        <v>3.883</v>
      </c>
      <c r="P49" s="6">
        <v>0</v>
      </c>
      <c r="Q49" s="4" t="s">
        <v>26</v>
      </c>
      <c r="R49" s="4">
        <v>0</v>
      </c>
      <c r="S49" s="4" t="s">
        <v>150</v>
      </c>
      <c r="T49" s="4" t="s">
        <v>491</v>
      </c>
      <c r="U49" s="4">
        <v>0</v>
      </c>
      <c r="V49" s="4">
        <v>13</v>
      </c>
      <c r="W49" s="4">
        <v>71</v>
      </c>
    </row>
    <row r="50" spans="1:23" ht="11.25" customHeight="1" x14ac:dyDescent="0.25">
      <c r="A50" s="4" t="s">
        <v>21</v>
      </c>
      <c r="B50" s="4" t="s">
        <v>43</v>
      </c>
      <c r="C50" s="4" t="s">
        <v>44</v>
      </c>
      <c r="D50" s="4" t="s">
        <v>40</v>
      </c>
      <c r="E50" s="4" t="s">
        <v>25</v>
      </c>
      <c r="F50" s="4" t="s">
        <v>25</v>
      </c>
      <c r="G50" s="4" t="s">
        <v>25</v>
      </c>
      <c r="H50" s="4" t="s">
        <v>37</v>
      </c>
      <c r="I50" s="5">
        <v>44531</v>
      </c>
      <c r="J50" s="6">
        <v>0</v>
      </c>
      <c r="K50" s="6">
        <v>0</v>
      </c>
      <c r="L50" s="6">
        <v>100.328</v>
      </c>
      <c r="M50" s="6">
        <v>100.328</v>
      </c>
      <c r="N50" s="6">
        <v>100.328</v>
      </c>
      <c r="O50" s="6">
        <v>100.328</v>
      </c>
      <c r="P50" s="6">
        <v>0</v>
      </c>
      <c r="Q50" s="4" t="s">
        <v>26</v>
      </c>
      <c r="R50" s="4">
        <v>0</v>
      </c>
      <c r="S50" s="4" t="s">
        <v>115</v>
      </c>
      <c r="T50" s="4" t="s">
        <v>464</v>
      </c>
      <c r="U50" s="4">
        <v>0</v>
      </c>
      <c r="V50" s="4">
        <v>14</v>
      </c>
      <c r="W50" s="4">
        <v>72</v>
      </c>
    </row>
    <row r="51" spans="1:23" ht="11.25" customHeight="1" x14ac:dyDescent="0.25">
      <c r="A51" s="4" t="s">
        <v>27</v>
      </c>
      <c r="B51" s="4" t="s">
        <v>43</v>
      </c>
      <c r="C51" s="4" t="s">
        <v>44</v>
      </c>
      <c r="D51" s="4" t="s">
        <v>40</v>
      </c>
      <c r="E51" s="4" t="s">
        <v>25</v>
      </c>
      <c r="F51" s="4" t="s">
        <v>25</v>
      </c>
      <c r="G51" s="4" t="s">
        <v>25</v>
      </c>
      <c r="H51" s="4" t="s">
        <v>37</v>
      </c>
      <c r="I51" s="5">
        <v>44531</v>
      </c>
      <c r="J51" s="6">
        <v>0</v>
      </c>
      <c r="K51" s="6">
        <v>0</v>
      </c>
      <c r="L51" s="6">
        <v>-3.5</v>
      </c>
      <c r="M51" s="6">
        <v>-3.5</v>
      </c>
      <c r="N51" s="6">
        <v>-3.5</v>
      </c>
      <c r="O51" s="6">
        <v>-3.5</v>
      </c>
      <c r="P51" s="6">
        <v>0</v>
      </c>
      <c r="Q51" s="4" t="s">
        <v>26</v>
      </c>
      <c r="R51" s="4">
        <v>0</v>
      </c>
      <c r="S51" s="4" t="s">
        <v>115</v>
      </c>
      <c r="T51" s="4" t="s">
        <v>464</v>
      </c>
      <c r="U51" s="4">
        <v>0</v>
      </c>
      <c r="V51" s="4">
        <v>14</v>
      </c>
      <c r="W51" s="4">
        <v>72</v>
      </c>
    </row>
    <row r="52" spans="1:23" ht="11.25" customHeight="1" x14ac:dyDescent="0.25">
      <c r="A52" s="4" t="s">
        <v>21</v>
      </c>
      <c r="B52" s="4" t="s">
        <v>43</v>
      </c>
      <c r="C52" s="4" t="s">
        <v>44</v>
      </c>
      <c r="D52" s="4" t="s">
        <v>40</v>
      </c>
      <c r="E52" s="4" t="s">
        <v>25</v>
      </c>
      <c r="F52" s="4" t="s">
        <v>25</v>
      </c>
      <c r="G52" s="4" t="s">
        <v>25</v>
      </c>
      <c r="H52" s="4" t="s">
        <v>37</v>
      </c>
      <c r="I52" s="5">
        <v>44562</v>
      </c>
      <c r="J52" s="6">
        <v>0</v>
      </c>
      <c r="K52" s="6">
        <v>0</v>
      </c>
      <c r="L52" s="6">
        <v>97.162999999999997</v>
      </c>
      <c r="M52" s="6">
        <v>97.162999999999997</v>
      </c>
      <c r="N52" s="6">
        <v>97.162999999999997</v>
      </c>
      <c r="O52" s="6">
        <v>97.162999999999997</v>
      </c>
      <c r="P52" s="6">
        <v>0</v>
      </c>
      <c r="Q52" s="4" t="s">
        <v>26</v>
      </c>
      <c r="R52" s="4">
        <v>0</v>
      </c>
      <c r="S52" s="4" t="s">
        <v>116</v>
      </c>
      <c r="T52" s="4" t="s">
        <v>465</v>
      </c>
      <c r="U52" s="4">
        <v>0</v>
      </c>
      <c r="V52" s="4">
        <v>14</v>
      </c>
      <c r="W52" s="4">
        <v>72</v>
      </c>
    </row>
    <row r="53" spans="1:23" ht="11.25" customHeight="1" x14ac:dyDescent="0.25">
      <c r="A53" s="4" t="s">
        <v>21</v>
      </c>
      <c r="B53" s="4" t="s">
        <v>43</v>
      </c>
      <c r="C53" s="4" t="s">
        <v>44</v>
      </c>
      <c r="D53" s="4" t="s">
        <v>40</v>
      </c>
      <c r="E53" s="4" t="s">
        <v>25</v>
      </c>
      <c r="F53" s="4" t="s">
        <v>25</v>
      </c>
      <c r="G53" s="4" t="s">
        <v>25</v>
      </c>
      <c r="H53" s="4" t="s">
        <v>37</v>
      </c>
      <c r="I53" s="5">
        <v>44593</v>
      </c>
      <c r="J53" s="6">
        <v>0</v>
      </c>
      <c r="K53" s="6">
        <v>0</v>
      </c>
      <c r="L53" s="6">
        <v>81.328999999999994</v>
      </c>
      <c r="M53" s="6">
        <v>81.328999999999994</v>
      </c>
      <c r="N53" s="6">
        <v>81.328999999999994</v>
      </c>
      <c r="O53" s="6">
        <v>81.328999999999994</v>
      </c>
      <c r="P53" s="6">
        <v>0</v>
      </c>
      <c r="Q53" s="4" t="s">
        <v>26</v>
      </c>
      <c r="R53" s="4">
        <v>0</v>
      </c>
      <c r="S53" s="4" t="s">
        <v>117</v>
      </c>
      <c r="T53" s="4" t="s">
        <v>466</v>
      </c>
      <c r="U53" s="4">
        <v>0</v>
      </c>
      <c r="V53" s="4">
        <v>14</v>
      </c>
      <c r="W53" s="4">
        <v>72</v>
      </c>
    </row>
    <row r="54" spans="1:23" ht="11.25" customHeight="1" x14ac:dyDescent="0.25">
      <c r="A54" s="4" t="s">
        <v>21</v>
      </c>
      <c r="B54" s="4" t="s">
        <v>43</v>
      </c>
      <c r="C54" s="4" t="s">
        <v>44</v>
      </c>
      <c r="D54" s="4" t="s">
        <v>40</v>
      </c>
      <c r="E54" s="4" t="s">
        <v>25</v>
      </c>
      <c r="F54" s="4" t="s">
        <v>25</v>
      </c>
      <c r="G54" s="4" t="s">
        <v>25</v>
      </c>
      <c r="H54" s="4" t="s">
        <v>37</v>
      </c>
      <c r="I54" s="5">
        <v>44621</v>
      </c>
      <c r="J54" s="6">
        <v>0</v>
      </c>
      <c r="K54" s="6">
        <v>0</v>
      </c>
      <c r="L54" s="6">
        <v>97.367999999999995</v>
      </c>
      <c r="M54" s="6">
        <v>97.367999999999995</v>
      </c>
      <c r="N54" s="6">
        <v>97.367999999999995</v>
      </c>
      <c r="O54" s="6">
        <v>97.367999999999995</v>
      </c>
      <c r="P54" s="6">
        <v>0</v>
      </c>
      <c r="Q54" s="4" t="s">
        <v>26</v>
      </c>
      <c r="R54" s="4">
        <v>0</v>
      </c>
      <c r="S54" s="4" t="s">
        <v>118</v>
      </c>
      <c r="T54" s="4" t="s">
        <v>467</v>
      </c>
      <c r="U54" s="4">
        <v>0</v>
      </c>
      <c r="V54" s="4">
        <v>14</v>
      </c>
      <c r="W54" s="4">
        <v>72</v>
      </c>
    </row>
    <row r="55" spans="1:23" ht="11.25" customHeight="1" x14ac:dyDescent="0.25">
      <c r="A55" s="4" t="s">
        <v>21</v>
      </c>
      <c r="B55" s="4" t="s">
        <v>43</v>
      </c>
      <c r="C55" s="4" t="s">
        <v>44</v>
      </c>
      <c r="D55" s="4" t="s">
        <v>40</v>
      </c>
      <c r="E55" s="4" t="s">
        <v>25</v>
      </c>
      <c r="F55" s="4" t="s">
        <v>25</v>
      </c>
      <c r="G55" s="4" t="s">
        <v>25</v>
      </c>
      <c r="H55" s="4" t="s">
        <v>37</v>
      </c>
      <c r="I55" s="5">
        <v>44652</v>
      </c>
      <c r="J55" s="6">
        <v>0</v>
      </c>
      <c r="K55" s="6">
        <v>0</v>
      </c>
      <c r="L55" s="6">
        <v>169.136</v>
      </c>
      <c r="M55" s="6">
        <v>169.136</v>
      </c>
      <c r="N55" s="6">
        <v>169.136</v>
      </c>
      <c r="O55" s="6">
        <v>169.136</v>
      </c>
      <c r="P55" s="6">
        <v>0</v>
      </c>
      <c r="Q55" s="4" t="s">
        <v>26</v>
      </c>
      <c r="R55" s="4">
        <v>0</v>
      </c>
      <c r="S55" s="4" t="s">
        <v>119</v>
      </c>
      <c r="T55" s="4" t="s">
        <v>468</v>
      </c>
      <c r="U55" s="4">
        <v>0</v>
      </c>
      <c r="V55" s="4">
        <v>14</v>
      </c>
      <c r="W55" s="4">
        <v>72</v>
      </c>
    </row>
    <row r="56" spans="1:23" ht="11.25" customHeight="1" x14ac:dyDescent="0.25">
      <c r="A56" s="4" t="s">
        <v>21</v>
      </c>
      <c r="B56" s="4" t="s">
        <v>43</v>
      </c>
      <c r="C56" s="4" t="s">
        <v>44</v>
      </c>
      <c r="D56" s="4" t="s">
        <v>40</v>
      </c>
      <c r="E56" s="4" t="s">
        <v>25</v>
      </c>
      <c r="F56" s="4" t="s">
        <v>25</v>
      </c>
      <c r="G56" s="4" t="s">
        <v>25</v>
      </c>
      <c r="H56" s="4" t="s">
        <v>37</v>
      </c>
      <c r="I56" s="5">
        <v>44682</v>
      </c>
      <c r="J56" s="6">
        <v>0</v>
      </c>
      <c r="K56" s="6">
        <v>0</v>
      </c>
      <c r="L56" s="6">
        <v>90.632999999999996</v>
      </c>
      <c r="M56" s="6">
        <v>90.632999999999996</v>
      </c>
      <c r="N56" s="6">
        <v>90.632999999999996</v>
      </c>
      <c r="O56" s="6">
        <v>90.632999999999996</v>
      </c>
      <c r="P56" s="6">
        <v>0</v>
      </c>
      <c r="Q56" s="4" t="s">
        <v>26</v>
      </c>
      <c r="R56" s="4">
        <v>0</v>
      </c>
      <c r="S56" s="4" t="s">
        <v>120</v>
      </c>
      <c r="T56" s="4" t="s">
        <v>474</v>
      </c>
      <c r="U56" s="4">
        <v>0</v>
      </c>
      <c r="V56" s="4">
        <v>14</v>
      </c>
      <c r="W56" s="4">
        <v>72</v>
      </c>
    </row>
    <row r="57" spans="1:23" ht="11.25" customHeight="1" x14ac:dyDescent="0.25">
      <c r="A57" s="4" t="s">
        <v>21</v>
      </c>
      <c r="B57" s="4" t="s">
        <v>43</v>
      </c>
      <c r="C57" s="4" t="s">
        <v>44</v>
      </c>
      <c r="D57" s="4" t="s">
        <v>40</v>
      </c>
      <c r="E57" s="4" t="s">
        <v>25</v>
      </c>
      <c r="F57" s="4" t="s">
        <v>25</v>
      </c>
      <c r="G57" s="4" t="s">
        <v>25</v>
      </c>
      <c r="H57" s="4" t="s">
        <v>37</v>
      </c>
      <c r="I57" s="5">
        <v>44713</v>
      </c>
      <c r="J57" s="6">
        <v>0</v>
      </c>
      <c r="K57" s="6">
        <v>0</v>
      </c>
      <c r="L57" s="6">
        <v>92.483000000000004</v>
      </c>
      <c r="M57" s="6">
        <v>92.483000000000004</v>
      </c>
      <c r="N57" s="6">
        <v>92.483000000000004</v>
      </c>
      <c r="O57" s="6">
        <v>92.483000000000004</v>
      </c>
      <c r="P57" s="6">
        <v>0</v>
      </c>
      <c r="Q57" s="4" t="s">
        <v>26</v>
      </c>
      <c r="R57" s="4">
        <v>0</v>
      </c>
      <c r="S57" s="4" t="s">
        <v>121</v>
      </c>
      <c r="T57" s="4" t="s">
        <v>475</v>
      </c>
      <c r="U57" s="4">
        <v>0</v>
      </c>
      <c r="V57" s="4">
        <v>14</v>
      </c>
      <c r="W57" s="4">
        <v>72</v>
      </c>
    </row>
    <row r="58" spans="1:23" ht="11.25" customHeight="1" x14ac:dyDescent="0.25">
      <c r="A58" s="4" t="s">
        <v>27</v>
      </c>
      <c r="B58" s="4" t="s">
        <v>43</v>
      </c>
      <c r="C58" s="4" t="s">
        <v>44</v>
      </c>
      <c r="D58" s="4" t="s">
        <v>40</v>
      </c>
      <c r="E58" s="4" t="s">
        <v>25</v>
      </c>
      <c r="F58" s="4" t="s">
        <v>25</v>
      </c>
      <c r="G58" s="4" t="s">
        <v>25</v>
      </c>
      <c r="H58" s="4" t="s">
        <v>37</v>
      </c>
      <c r="I58" s="5">
        <v>44713</v>
      </c>
      <c r="J58" s="6">
        <v>0</v>
      </c>
      <c r="K58" s="6">
        <v>0</v>
      </c>
      <c r="L58" s="6">
        <v>18.795000000000002</v>
      </c>
      <c r="M58" s="6">
        <v>18.795000000000002</v>
      </c>
      <c r="N58" s="6">
        <v>18.795000000000002</v>
      </c>
      <c r="O58" s="6">
        <v>18.795000000000002</v>
      </c>
      <c r="P58" s="6">
        <v>0</v>
      </c>
      <c r="Q58" s="4" t="s">
        <v>26</v>
      </c>
      <c r="R58" s="4">
        <v>0</v>
      </c>
      <c r="S58" s="4" t="s">
        <v>121</v>
      </c>
      <c r="T58" s="4" t="s">
        <v>475</v>
      </c>
      <c r="U58" s="4">
        <v>0</v>
      </c>
      <c r="V58" s="4">
        <v>14</v>
      </c>
      <c r="W58" s="4">
        <v>72</v>
      </c>
    </row>
    <row r="59" spans="1:23" ht="11.25" customHeight="1" x14ac:dyDescent="0.25">
      <c r="A59" s="4" t="s">
        <v>21</v>
      </c>
      <c r="B59" s="4" t="s">
        <v>43</v>
      </c>
      <c r="C59" s="4" t="s">
        <v>44</v>
      </c>
      <c r="D59" s="4" t="s">
        <v>40</v>
      </c>
      <c r="E59" s="4" t="s">
        <v>25</v>
      </c>
      <c r="F59" s="4" t="s">
        <v>25</v>
      </c>
      <c r="G59" s="4" t="s">
        <v>25</v>
      </c>
      <c r="H59" s="4" t="s">
        <v>37</v>
      </c>
      <c r="I59" s="5">
        <v>44743</v>
      </c>
      <c r="J59" s="6">
        <v>0</v>
      </c>
      <c r="K59" s="6">
        <v>0</v>
      </c>
      <c r="L59" s="6">
        <v>98.061000000000007</v>
      </c>
      <c r="M59" s="6">
        <v>98.061000000000007</v>
      </c>
      <c r="N59" s="6">
        <v>98.061000000000007</v>
      </c>
      <c r="O59" s="6">
        <v>98.061000000000007</v>
      </c>
      <c r="P59" s="6">
        <v>0</v>
      </c>
      <c r="Q59" s="4" t="s">
        <v>26</v>
      </c>
      <c r="R59" s="4">
        <v>0</v>
      </c>
      <c r="S59" s="4" t="s">
        <v>122</v>
      </c>
      <c r="T59" s="4" t="s">
        <v>476</v>
      </c>
      <c r="U59" s="4">
        <v>0</v>
      </c>
      <c r="V59" s="4">
        <v>14</v>
      </c>
      <c r="W59" s="4">
        <v>72</v>
      </c>
    </row>
    <row r="60" spans="1:23" ht="11.25" customHeight="1" x14ac:dyDescent="0.25">
      <c r="A60" s="4" t="s">
        <v>27</v>
      </c>
      <c r="B60" s="4" t="s">
        <v>43</v>
      </c>
      <c r="C60" s="4" t="s">
        <v>44</v>
      </c>
      <c r="D60" s="4" t="s">
        <v>40</v>
      </c>
      <c r="E60" s="4" t="s">
        <v>25</v>
      </c>
      <c r="F60" s="4" t="s">
        <v>25</v>
      </c>
      <c r="G60" s="4" t="s">
        <v>25</v>
      </c>
      <c r="H60" s="4" t="s">
        <v>37</v>
      </c>
      <c r="I60" s="5">
        <v>44743</v>
      </c>
      <c r="J60" s="6">
        <v>0</v>
      </c>
      <c r="K60" s="6">
        <v>0</v>
      </c>
      <c r="L60" s="6">
        <v>11.252000000000001</v>
      </c>
      <c r="M60" s="6">
        <v>11.252000000000001</v>
      </c>
      <c r="N60" s="6">
        <v>11.252000000000001</v>
      </c>
      <c r="O60" s="6">
        <v>11.252000000000001</v>
      </c>
      <c r="P60" s="6">
        <v>0</v>
      </c>
      <c r="Q60" s="4" t="s">
        <v>26</v>
      </c>
      <c r="R60" s="4">
        <v>0</v>
      </c>
      <c r="S60" s="4" t="s">
        <v>122</v>
      </c>
      <c r="T60" s="4" t="s">
        <v>476</v>
      </c>
      <c r="U60" s="4">
        <v>0</v>
      </c>
      <c r="V60" s="4">
        <v>14</v>
      </c>
      <c r="W60" s="4">
        <v>72</v>
      </c>
    </row>
    <row r="61" spans="1:23" ht="11.25" customHeight="1" x14ac:dyDescent="0.25">
      <c r="A61" s="4" t="s">
        <v>21</v>
      </c>
      <c r="B61" s="4" t="s">
        <v>43</v>
      </c>
      <c r="C61" s="4" t="s">
        <v>44</v>
      </c>
      <c r="D61" s="4" t="s">
        <v>40</v>
      </c>
      <c r="E61" s="4" t="s">
        <v>25</v>
      </c>
      <c r="F61" s="4" t="s">
        <v>25</v>
      </c>
      <c r="G61" s="4" t="s">
        <v>25</v>
      </c>
      <c r="H61" s="4" t="s">
        <v>37</v>
      </c>
      <c r="I61" s="5">
        <v>44774</v>
      </c>
      <c r="J61" s="6">
        <v>0</v>
      </c>
      <c r="K61" s="6">
        <v>0</v>
      </c>
      <c r="L61" s="6">
        <v>120.149</v>
      </c>
      <c r="M61" s="6">
        <v>120.149</v>
      </c>
      <c r="N61" s="6">
        <v>120.149</v>
      </c>
      <c r="O61" s="6">
        <v>120.149</v>
      </c>
      <c r="P61" s="6">
        <v>0</v>
      </c>
      <c r="Q61" s="4" t="s">
        <v>26</v>
      </c>
      <c r="R61" s="4">
        <v>0</v>
      </c>
      <c r="S61" s="4" t="s">
        <v>123</v>
      </c>
      <c r="T61" s="4" t="s">
        <v>477</v>
      </c>
      <c r="U61" s="4">
        <v>0</v>
      </c>
      <c r="V61" s="4">
        <v>14</v>
      </c>
      <c r="W61" s="4">
        <v>72</v>
      </c>
    </row>
    <row r="62" spans="1:23" ht="11.25" customHeight="1" x14ac:dyDescent="0.25">
      <c r="A62" s="4" t="s">
        <v>27</v>
      </c>
      <c r="B62" s="4" t="s">
        <v>43</v>
      </c>
      <c r="C62" s="4" t="s">
        <v>44</v>
      </c>
      <c r="D62" s="4" t="s">
        <v>40</v>
      </c>
      <c r="E62" s="4" t="s">
        <v>25</v>
      </c>
      <c r="F62" s="4" t="s">
        <v>25</v>
      </c>
      <c r="G62" s="4" t="s">
        <v>25</v>
      </c>
      <c r="H62" s="4" t="s">
        <v>37</v>
      </c>
      <c r="I62" s="5">
        <v>44774</v>
      </c>
      <c r="J62" s="6">
        <v>0</v>
      </c>
      <c r="K62" s="6">
        <v>0</v>
      </c>
      <c r="L62" s="6">
        <v>-35.484000000000002</v>
      </c>
      <c r="M62" s="6">
        <v>-35.484000000000002</v>
      </c>
      <c r="N62" s="6">
        <v>-35.484000000000002</v>
      </c>
      <c r="O62" s="6">
        <v>-35.484000000000002</v>
      </c>
      <c r="P62" s="6">
        <v>0</v>
      </c>
      <c r="Q62" s="4" t="s">
        <v>26</v>
      </c>
      <c r="R62" s="4">
        <v>0</v>
      </c>
      <c r="S62" s="4" t="s">
        <v>123</v>
      </c>
      <c r="T62" s="4" t="s">
        <v>477</v>
      </c>
      <c r="U62" s="4">
        <v>0</v>
      </c>
      <c r="V62" s="4">
        <v>14</v>
      </c>
      <c r="W62" s="4">
        <v>72</v>
      </c>
    </row>
    <row r="63" spans="1:23" ht="11.25" customHeight="1" x14ac:dyDescent="0.25">
      <c r="A63" s="4" t="s">
        <v>21</v>
      </c>
      <c r="B63" s="4" t="s">
        <v>43</v>
      </c>
      <c r="C63" s="4" t="s">
        <v>44</v>
      </c>
      <c r="D63" s="4" t="s">
        <v>40</v>
      </c>
      <c r="E63" s="4" t="s">
        <v>25</v>
      </c>
      <c r="F63" s="4" t="s">
        <v>25</v>
      </c>
      <c r="G63" s="4" t="s">
        <v>25</v>
      </c>
      <c r="H63" s="4" t="s">
        <v>37</v>
      </c>
      <c r="I63" s="5">
        <v>44805</v>
      </c>
      <c r="J63" s="6">
        <v>0</v>
      </c>
      <c r="K63" s="6">
        <v>0</v>
      </c>
      <c r="L63" s="6">
        <v>266.03699999999998</v>
      </c>
      <c r="M63" s="6">
        <v>266.03699999999998</v>
      </c>
      <c r="N63" s="6">
        <v>266.03699999999998</v>
      </c>
      <c r="O63" s="6">
        <v>266.03699999999998</v>
      </c>
      <c r="P63" s="6">
        <v>0</v>
      </c>
      <c r="Q63" s="4" t="s">
        <v>26</v>
      </c>
      <c r="R63" s="4">
        <v>0</v>
      </c>
      <c r="S63" s="4" t="s">
        <v>124</v>
      </c>
      <c r="T63" s="4" t="s">
        <v>478</v>
      </c>
      <c r="U63" s="4">
        <v>0</v>
      </c>
      <c r="V63" s="4">
        <v>14</v>
      </c>
      <c r="W63" s="4">
        <v>72</v>
      </c>
    </row>
    <row r="64" spans="1:23" ht="11.25" customHeight="1" x14ac:dyDescent="0.25">
      <c r="A64" s="4" t="s">
        <v>27</v>
      </c>
      <c r="B64" s="4" t="s">
        <v>43</v>
      </c>
      <c r="C64" s="4" t="s">
        <v>44</v>
      </c>
      <c r="D64" s="4" t="s">
        <v>40</v>
      </c>
      <c r="E64" s="4" t="s">
        <v>25</v>
      </c>
      <c r="F64" s="4" t="s">
        <v>25</v>
      </c>
      <c r="G64" s="4" t="s">
        <v>25</v>
      </c>
      <c r="H64" s="4" t="s">
        <v>37</v>
      </c>
      <c r="I64" s="5">
        <v>44805</v>
      </c>
      <c r="J64" s="6">
        <v>0</v>
      </c>
      <c r="K64" s="6">
        <v>0</v>
      </c>
      <c r="L64" s="6">
        <v>10.262</v>
      </c>
      <c r="M64" s="6">
        <v>10.262</v>
      </c>
      <c r="N64" s="6">
        <v>10.262</v>
      </c>
      <c r="O64" s="6">
        <v>10.262</v>
      </c>
      <c r="P64" s="6">
        <v>0</v>
      </c>
      <c r="Q64" s="4" t="s">
        <v>26</v>
      </c>
      <c r="R64" s="4">
        <v>0</v>
      </c>
      <c r="S64" s="4" t="s">
        <v>124</v>
      </c>
      <c r="T64" s="4" t="s">
        <v>478</v>
      </c>
      <c r="U64" s="4">
        <v>0</v>
      </c>
      <c r="V64" s="4">
        <v>14</v>
      </c>
      <c r="W64" s="4">
        <v>72</v>
      </c>
    </row>
    <row r="65" spans="1:23" ht="11.25" customHeight="1" x14ac:dyDescent="0.25">
      <c r="A65" s="4" t="s">
        <v>21</v>
      </c>
      <c r="B65" s="4" t="s">
        <v>43</v>
      </c>
      <c r="C65" s="4" t="s">
        <v>44</v>
      </c>
      <c r="D65" s="4" t="s">
        <v>40</v>
      </c>
      <c r="E65" s="4" t="s">
        <v>25</v>
      </c>
      <c r="F65" s="4" t="s">
        <v>25</v>
      </c>
      <c r="G65" s="4" t="s">
        <v>25</v>
      </c>
      <c r="H65" s="4" t="s">
        <v>37</v>
      </c>
      <c r="I65" s="5">
        <v>44835</v>
      </c>
      <c r="J65" s="6">
        <v>0</v>
      </c>
      <c r="K65" s="6">
        <v>0</v>
      </c>
      <c r="L65" s="6">
        <v>143.50800000000001</v>
      </c>
      <c r="M65" s="6">
        <v>143.50800000000001</v>
      </c>
      <c r="N65" s="6">
        <v>143.50800000000001</v>
      </c>
      <c r="O65" s="6">
        <v>143.50800000000001</v>
      </c>
      <c r="P65" s="6">
        <v>0</v>
      </c>
      <c r="Q65" s="4" t="s">
        <v>26</v>
      </c>
      <c r="R65" s="4">
        <v>0</v>
      </c>
      <c r="S65" s="4" t="s">
        <v>125</v>
      </c>
      <c r="T65" s="4" t="s">
        <v>479</v>
      </c>
      <c r="U65" s="4">
        <v>0</v>
      </c>
      <c r="V65" s="4">
        <v>14</v>
      </c>
      <c r="W65" s="4">
        <v>72</v>
      </c>
    </row>
    <row r="66" spans="1:23" ht="11.25" customHeight="1" x14ac:dyDescent="0.25">
      <c r="A66" s="4" t="s">
        <v>30</v>
      </c>
      <c r="B66" s="4" t="s">
        <v>43</v>
      </c>
      <c r="C66" s="4" t="s">
        <v>44</v>
      </c>
      <c r="D66" s="4" t="s">
        <v>40</v>
      </c>
      <c r="E66" s="4" t="s">
        <v>25</v>
      </c>
      <c r="F66" s="4" t="s">
        <v>25</v>
      </c>
      <c r="G66" s="4" t="s">
        <v>25</v>
      </c>
      <c r="H66" s="4" t="s">
        <v>37</v>
      </c>
      <c r="I66" s="5">
        <v>44835</v>
      </c>
      <c r="J66" s="6">
        <v>0</v>
      </c>
      <c r="K66" s="6">
        <v>0</v>
      </c>
      <c r="L66" s="6">
        <v>8.3000000000000004E-2</v>
      </c>
      <c r="M66" s="6">
        <v>8.3000000000000004E-2</v>
      </c>
      <c r="N66" s="6">
        <v>8.3000000000000004E-2</v>
      </c>
      <c r="O66" s="6">
        <v>8.3000000000000004E-2</v>
      </c>
      <c r="P66" s="6">
        <v>0</v>
      </c>
      <c r="Q66" s="4" t="s">
        <v>26</v>
      </c>
      <c r="R66" s="4">
        <v>0</v>
      </c>
      <c r="S66" s="4" t="s">
        <v>125</v>
      </c>
      <c r="T66" s="4" t="s">
        <v>479</v>
      </c>
      <c r="U66" s="4">
        <v>0</v>
      </c>
      <c r="V66" s="4">
        <v>14</v>
      </c>
      <c r="W66" s="4">
        <v>72</v>
      </c>
    </row>
    <row r="67" spans="1:23" ht="11.25" customHeight="1" x14ac:dyDescent="0.25">
      <c r="A67" s="4" t="s">
        <v>59</v>
      </c>
      <c r="B67" s="4" t="s">
        <v>43</v>
      </c>
      <c r="C67" s="4" t="s">
        <v>44</v>
      </c>
      <c r="D67" s="4" t="s">
        <v>40</v>
      </c>
      <c r="E67" s="4" t="s">
        <v>25</v>
      </c>
      <c r="F67" s="4" t="s">
        <v>25</v>
      </c>
      <c r="G67" s="4" t="s">
        <v>25</v>
      </c>
      <c r="H67" s="4" t="s">
        <v>37</v>
      </c>
      <c r="I67" s="5">
        <v>44866</v>
      </c>
      <c r="J67" s="6">
        <v>0</v>
      </c>
      <c r="K67" s="6">
        <v>0</v>
      </c>
      <c r="L67" s="6">
        <v>143.50800000000001</v>
      </c>
      <c r="M67" s="6">
        <v>143.50800000000001</v>
      </c>
      <c r="N67" s="6">
        <v>143.50800000000001</v>
      </c>
      <c r="O67" s="6">
        <v>143.50800000000001</v>
      </c>
      <c r="P67" s="6">
        <v>0</v>
      </c>
      <c r="Q67" s="4" t="s">
        <v>26</v>
      </c>
      <c r="R67" s="4">
        <v>0</v>
      </c>
      <c r="S67" s="4" t="s">
        <v>126</v>
      </c>
      <c r="T67" s="4" t="s">
        <v>480</v>
      </c>
      <c r="U67" s="4">
        <v>0</v>
      </c>
      <c r="V67" s="4">
        <v>14</v>
      </c>
      <c r="W67" s="4">
        <v>72</v>
      </c>
    </row>
    <row r="68" spans="1:23" ht="11.25" customHeight="1" x14ac:dyDescent="0.25">
      <c r="A68" s="4" t="s">
        <v>59</v>
      </c>
      <c r="B68" s="4" t="s">
        <v>43</v>
      </c>
      <c r="C68" s="4" t="s">
        <v>44</v>
      </c>
      <c r="D68" s="4" t="s">
        <v>40</v>
      </c>
      <c r="E68" s="4" t="s">
        <v>25</v>
      </c>
      <c r="F68" s="4" t="s">
        <v>25</v>
      </c>
      <c r="G68" s="4" t="s">
        <v>25</v>
      </c>
      <c r="H68" s="4" t="s">
        <v>37</v>
      </c>
      <c r="I68" s="5">
        <v>44866</v>
      </c>
      <c r="J68" s="6">
        <v>0</v>
      </c>
      <c r="K68" s="6">
        <v>0</v>
      </c>
      <c r="L68" s="6">
        <v>8.3000000000000004E-2</v>
      </c>
      <c r="M68" s="6">
        <v>8.3000000000000004E-2</v>
      </c>
      <c r="N68" s="6">
        <v>8.3000000000000004E-2</v>
      </c>
      <c r="O68" s="6">
        <v>8.3000000000000004E-2</v>
      </c>
      <c r="P68" s="6">
        <v>0</v>
      </c>
      <c r="Q68" s="4" t="s">
        <v>26</v>
      </c>
      <c r="R68" s="4">
        <v>0</v>
      </c>
      <c r="S68" s="4" t="s">
        <v>126</v>
      </c>
      <c r="T68" s="4" t="s">
        <v>480</v>
      </c>
      <c r="U68" s="4">
        <v>0</v>
      </c>
      <c r="V68" s="4">
        <v>14</v>
      </c>
      <c r="W68" s="4">
        <v>72</v>
      </c>
    </row>
    <row r="69" spans="1:23" ht="11.25" customHeight="1" x14ac:dyDescent="0.25">
      <c r="A69" s="4" t="s">
        <v>21</v>
      </c>
      <c r="B69" s="4" t="s">
        <v>43</v>
      </c>
      <c r="C69" s="4" t="s">
        <v>44</v>
      </c>
      <c r="D69" s="4" t="s">
        <v>40</v>
      </c>
      <c r="E69" s="4" t="s">
        <v>25</v>
      </c>
      <c r="F69" s="4" t="s">
        <v>25</v>
      </c>
      <c r="G69" s="4" t="s">
        <v>25</v>
      </c>
      <c r="H69" s="4" t="s">
        <v>25</v>
      </c>
      <c r="I69" s="5">
        <v>44531</v>
      </c>
      <c r="J69" s="6">
        <v>412</v>
      </c>
      <c r="K69" s="6">
        <v>412</v>
      </c>
      <c r="L69" s="6">
        <v>0</v>
      </c>
      <c r="M69" s="6">
        <v>0</v>
      </c>
      <c r="N69" s="6">
        <v>0</v>
      </c>
      <c r="O69" s="6">
        <v>0</v>
      </c>
      <c r="P69" s="6">
        <v>3</v>
      </c>
      <c r="Q69" s="4" t="s">
        <v>26</v>
      </c>
      <c r="R69" s="4">
        <v>0</v>
      </c>
      <c r="S69" s="4" t="s">
        <v>127</v>
      </c>
      <c r="U69" s="4">
        <v>12</v>
      </c>
      <c r="V69" s="4">
        <v>0</v>
      </c>
      <c r="W69" s="4">
        <v>0</v>
      </c>
    </row>
    <row r="70" spans="1:23" ht="11.25" customHeight="1" x14ac:dyDescent="0.25">
      <c r="A70" s="4" t="s">
        <v>21</v>
      </c>
      <c r="B70" s="4" t="s">
        <v>43</v>
      </c>
      <c r="C70" s="4" t="s">
        <v>44</v>
      </c>
      <c r="D70" s="4" t="s">
        <v>40</v>
      </c>
      <c r="E70" s="4" t="s">
        <v>25</v>
      </c>
      <c r="F70" s="4" t="s">
        <v>25</v>
      </c>
      <c r="G70" s="4" t="s">
        <v>25</v>
      </c>
      <c r="H70" s="4" t="s">
        <v>25</v>
      </c>
      <c r="I70" s="5">
        <v>44562</v>
      </c>
      <c r="J70" s="6">
        <v>401</v>
      </c>
      <c r="K70" s="6">
        <v>401</v>
      </c>
      <c r="L70" s="6">
        <v>0</v>
      </c>
      <c r="M70" s="6">
        <v>0</v>
      </c>
      <c r="N70" s="6">
        <v>0</v>
      </c>
      <c r="O70" s="6">
        <v>0</v>
      </c>
      <c r="P70" s="6">
        <v>3</v>
      </c>
      <c r="Q70" s="4" t="s">
        <v>26</v>
      </c>
      <c r="R70" s="4">
        <v>0</v>
      </c>
      <c r="S70" s="4" t="s">
        <v>128</v>
      </c>
      <c r="U70" s="4">
        <v>12</v>
      </c>
      <c r="V70" s="4">
        <v>0</v>
      </c>
      <c r="W70" s="4">
        <v>0</v>
      </c>
    </row>
    <row r="71" spans="1:23" ht="11.25" customHeight="1" x14ac:dyDescent="0.25">
      <c r="A71" s="4" t="s">
        <v>21</v>
      </c>
      <c r="B71" s="4" t="s">
        <v>43</v>
      </c>
      <c r="C71" s="4" t="s">
        <v>44</v>
      </c>
      <c r="D71" s="4" t="s">
        <v>40</v>
      </c>
      <c r="E71" s="4" t="s">
        <v>25</v>
      </c>
      <c r="F71" s="4" t="s">
        <v>25</v>
      </c>
      <c r="G71" s="4" t="s">
        <v>25</v>
      </c>
      <c r="H71" s="4" t="s">
        <v>25</v>
      </c>
      <c r="I71" s="5">
        <v>44593</v>
      </c>
      <c r="J71" s="6">
        <v>398</v>
      </c>
      <c r="K71" s="6">
        <v>398</v>
      </c>
      <c r="L71" s="6">
        <v>0</v>
      </c>
      <c r="M71" s="6">
        <v>0</v>
      </c>
      <c r="N71" s="6">
        <v>0</v>
      </c>
      <c r="O71" s="6">
        <v>0</v>
      </c>
      <c r="P71" s="6">
        <v>3</v>
      </c>
      <c r="Q71" s="4" t="s">
        <v>26</v>
      </c>
      <c r="R71" s="4">
        <v>0</v>
      </c>
      <c r="S71" s="4" t="s">
        <v>129</v>
      </c>
      <c r="U71" s="4">
        <v>12</v>
      </c>
      <c r="V71" s="4">
        <v>0</v>
      </c>
      <c r="W71" s="4">
        <v>0</v>
      </c>
    </row>
    <row r="72" spans="1:23" ht="11.25" customHeight="1" x14ac:dyDescent="0.25">
      <c r="A72" s="4" t="s">
        <v>21</v>
      </c>
      <c r="B72" s="4" t="s">
        <v>43</v>
      </c>
      <c r="C72" s="4" t="s">
        <v>44</v>
      </c>
      <c r="D72" s="4" t="s">
        <v>40</v>
      </c>
      <c r="E72" s="4" t="s">
        <v>25</v>
      </c>
      <c r="F72" s="4" t="s">
        <v>25</v>
      </c>
      <c r="G72" s="4" t="s">
        <v>25</v>
      </c>
      <c r="H72" s="4" t="s">
        <v>25</v>
      </c>
      <c r="I72" s="5">
        <v>44621</v>
      </c>
      <c r="J72" s="6">
        <v>466</v>
      </c>
      <c r="K72" s="6">
        <v>466</v>
      </c>
      <c r="L72" s="6">
        <v>0</v>
      </c>
      <c r="M72" s="6">
        <v>0</v>
      </c>
      <c r="N72" s="6">
        <v>0</v>
      </c>
      <c r="O72" s="6">
        <v>0</v>
      </c>
      <c r="P72" s="6">
        <v>3</v>
      </c>
      <c r="Q72" s="4" t="s">
        <v>26</v>
      </c>
      <c r="R72" s="4">
        <v>0</v>
      </c>
      <c r="S72" s="4" t="s">
        <v>130</v>
      </c>
      <c r="U72" s="4">
        <v>12</v>
      </c>
      <c r="V72" s="4">
        <v>0</v>
      </c>
      <c r="W72" s="4">
        <v>0</v>
      </c>
    </row>
    <row r="73" spans="1:23" ht="11.25" customHeight="1" x14ac:dyDescent="0.25">
      <c r="A73" s="4" t="s">
        <v>21</v>
      </c>
      <c r="B73" s="4" t="s">
        <v>43</v>
      </c>
      <c r="C73" s="4" t="s">
        <v>44</v>
      </c>
      <c r="D73" s="4" t="s">
        <v>40</v>
      </c>
      <c r="E73" s="4" t="s">
        <v>25</v>
      </c>
      <c r="F73" s="4" t="s">
        <v>25</v>
      </c>
      <c r="G73" s="4" t="s">
        <v>25</v>
      </c>
      <c r="H73" s="4" t="s">
        <v>25</v>
      </c>
      <c r="I73" s="5">
        <v>44652</v>
      </c>
      <c r="J73" s="6">
        <v>404</v>
      </c>
      <c r="K73" s="6">
        <v>404</v>
      </c>
      <c r="L73" s="6">
        <v>0</v>
      </c>
      <c r="M73" s="6">
        <v>0</v>
      </c>
      <c r="N73" s="6">
        <v>0</v>
      </c>
      <c r="O73" s="6">
        <v>0</v>
      </c>
      <c r="P73" s="6">
        <v>4</v>
      </c>
      <c r="Q73" s="4" t="s">
        <v>26</v>
      </c>
      <c r="R73" s="4">
        <v>0</v>
      </c>
      <c r="S73" s="4" t="s">
        <v>131</v>
      </c>
      <c r="U73" s="4">
        <v>12</v>
      </c>
      <c r="V73" s="4">
        <v>0</v>
      </c>
      <c r="W73" s="4">
        <v>0</v>
      </c>
    </row>
    <row r="74" spans="1:23" ht="11.25" customHeight="1" x14ac:dyDescent="0.25">
      <c r="A74" s="4" t="s">
        <v>21</v>
      </c>
      <c r="B74" s="4" t="s">
        <v>43</v>
      </c>
      <c r="C74" s="4" t="s">
        <v>44</v>
      </c>
      <c r="D74" s="4" t="s">
        <v>40</v>
      </c>
      <c r="E74" s="4" t="s">
        <v>25</v>
      </c>
      <c r="F74" s="4" t="s">
        <v>25</v>
      </c>
      <c r="G74" s="4" t="s">
        <v>25</v>
      </c>
      <c r="H74" s="4" t="s">
        <v>25</v>
      </c>
      <c r="I74" s="5">
        <v>44682</v>
      </c>
      <c r="J74" s="6">
        <v>398</v>
      </c>
      <c r="K74" s="6">
        <v>398</v>
      </c>
      <c r="L74" s="6">
        <v>0</v>
      </c>
      <c r="M74" s="6">
        <v>0</v>
      </c>
      <c r="N74" s="6">
        <v>0</v>
      </c>
      <c r="O74" s="6">
        <v>0</v>
      </c>
      <c r="P74" s="6">
        <v>3</v>
      </c>
      <c r="Q74" s="4" t="s">
        <v>26</v>
      </c>
      <c r="R74" s="4">
        <v>0</v>
      </c>
      <c r="S74" s="4" t="s">
        <v>132</v>
      </c>
      <c r="U74" s="4">
        <v>12</v>
      </c>
      <c r="V74" s="4">
        <v>0</v>
      </c>
      <c r="W74" s="4">
        <v>0</v>
      </c>
    </row>
    <row r="75" spans="1:23" ht="11.25" customHeight="1" x14ac:dyDescent="0.25">
      <c r="A75" s="4" t="s">
        <v>21</v>
      </c>
      <c r="B75" s="4" t="s">
        <v>43</v>
      </c>
      <c r="C75" s="4" t="s">
        <v>44</v>
      </c>
      <c r="D75" s="4" t="s">
        <v>40</v>
      </c>
      <c r="E75" s="4" t="s">
        <v>25</v>
      </c>
      <c r="F75" s="4" t="s">
        <v>25</v>
      </c>
      <c r="G75" s="4" t="s">
        <v>25</v>
      </c>
      <c r="H75" s="4" t="s">
        <v>25</v>
      </c>
      <c r="I75" s="5">
        <v>44713</v>
      </c>
      <c r="J75" s="6">
        <v>406</v>
      </c>
      <c r="K75" s="6">
        <v>406</v>
      </c>
      <c r="L75" s="6">
        <v>0</v>
      </c>
      <c r="M75" s="6">
        <v>0</v>
      </c>
      <c r="N75" s="6">
        <v>0</v>
      </c>
      <c r="O75" s="6">
        <v>0</v>
      </c>
      <c r="P75" s="6">
        <v>3</v>
      </c>
      <c r="Q75" s="4" t="s">
        <v>26</v>
      </c>
      <c r="R75" s="4">
        <v>0</v>
      </c>
      <c r="S75" s="4" t="s">
        <v>133</v>
      </c>
      <c r="U75" s="4">
        <v>12</v>
      </c>
      <c r="V75" s="4">
        <v>0</v>
      </c>
      <c r="W75" s="4">
        <v>0</v>
      </c>
    </row>
    <row r="76" spans="1:23" ht="11.25" customHeight="1" x14ac:dyDescent="0.25">
      <c r="A76" s="4" t="s">
        <v>27</v>
      </c>
      <c r="B76" s="4" t="s">
        <v>43</v>
      </c>
      <c r="C76" s="4" t="s">
        <v>44</v>
      </c>
      <c r="D76" s="4" t="s">
        <v>40</v>
      </c>
      <c r="E76" s="4" t="s">
        <v>25</v>
      </c>
      <c r="F76" s="4" t="s">
        <v>25</v>
      </c>
      <c r="G76" s="4" t="s">
        <v>25</v>
      </c>
      <c r="H76" s="4" t="s">
        <v>25</v>
      </c>
      <c r="I76" s="5">
        <v>44713</v>
      </c>
      <c r="J76" s="6">
        <v>46</v>
      </c>
      <c r="K76" s="6">
        <v>46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4" t="s">
        <v>26</v>
      </c>
      <c r="R76" s="4">
        <v>0</v>
      </c>
      <c r="S76" s="4" t="s">
        <v>133</v>
      </c>
      <c r="U76" s="4">
        <v>12</v>
      </c>
      <c r="V76" s="4">
        <v>0</v>
      </c>
      <c r="W76" s="4">
        <v>0</v>
      </c>
    </row>
    <row r="77" spans="1:23" ht="11.25" customHeight="1" x14ac:dyDescent="0.25">
      <c r="A77" s="4" t="s">
        <v>21</v>
      </c>
      <c r="B77" s="4" t="s">
        <v>43</v>
      </c>
      <c r="C77" s="4" t="s">
        <v>44</v>
      </c>
      <c r="D77" s="4" t="s">
        <v>40</v>
      </c>
      <c r="E77" s="4" t="s">
        <v>25</v>
      </c>
      <c r="F77" s="4" t="s">
        <v>25</v>
      </c>
      <c r="G77" s="4" t="s">
        <v>25</v>
      </c>
      <c r="H77" s="4" t="s">
        <v>25</v>
      </c>
      <c r="I77" s="5">
        <v>44743</v>
      </c>
      <c r="J77" s="6">
        <v>413</v>
      </c>
      <c r="K77" s="6">
        <v>413</v>
      </c>
      <c r="L77" s="6">
        <v>0</v>
      </c>
      <c r="M77" s="6">
        <v>0</v>
      </c>
      <c r="N77" s="6">
        <v>0</v>
      </c>
      <c r="O77" s="6">
        <v>0</v>
      </c>
      <c r="P77" s="6">
        <v>3</v>
      </c>
      <c r="Q77" s="4" t="s">
        <v>26</v>
      </c>
      <c r="R77" s="4">
        <v>0</v>
      </c>
      <c r="S77" s="4" t="s">
        <v>134</v>
      </c>
      <c r="U77" s="4">
        <v>12</v>
      </c>
      <c r="V77" s="4">
        <v>0</v>
      </c>
      <c r="W77" s="4">
        <v>0</v>
      </c>
    </row>
    <row r="78" spans="1:23" ht="11.25" customHeight="1" x14ac:dyDescent="0.25">
      <c r="A78" s="4" t="s">
        <v>27</v>
      </c>
      <c r="B78" s="4" t="s">
        <v>43</v>
      </c>
      <c r="C78" s="4" t="s">
        <v>44</v>
      </c>
      <c r="D78" s="4" t="s">
        <v>40</v>
      </c>
      <c r="E78" s="4" t="s">
        <v>25</v>
      </c>
      <c r="F78" s="4" t="s">
        <v>25</v>
      </c>
      <c r="G78" s="4" t="s">
        <v>25</v>
      </c>
      <c r="H78" s="4" t="s">
        <v>25</v>
      </c>
      <c r="I78" s="5">
        <v>44743</v>
      </c>
      <c r="J78" s="6">
        <v>40</v>
      </c>
      <c r="K78" s="6">
        <v>40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4" t="s">
        <v>26</v>
      </c>
      <c r="R78" s="4">
        <v>0</v>
      </c>
      <c r="S78" s="4" t="s">
        <v>134</v>
      </c>
      <c r="U78" s="4">
        <v>12</v>
      </c>
      <c r="V78" s="4">
        <v>0</v>
      </c>
      <c r="W78" s="4">
        <v>0</v>
      </c>
    </row>
    <row r="79" spans="1:23" ht="11.25" customHeight="1" x14ac:dyDescent="0.25">
      <c r="A79" s="4" t="s">
        <v>21</v>
      </c>
      <c r="B79" s="4" t="s">
        <v>43</v>
      </c>
      <c r="C79" s="4" t="s">
        <v>44</v>
      </c>
      <c r="D79" s="4" t="s">
        <v>40</v>
      </c>
      <c r="E79" s="4" t="s">
        <v>25</v>
      </c>
      <c r="F79" s="4" t="s">
        <v>25</v>
      </c>
      <c r="G79" s="4" t="s">
        <v>25</v>
      </c>
      <c r="H79" s="4" t="s">
        <v>25</v>
      </c>
      <c r="I79" s="5">
        <v>44774</v>
      </c>
      <c r="J79" s="6">
        <v>501</v>
      </c>
      <c r="K79" s="6">
        <v>501</v>
      </c>
      <c r="L79" s="6">
        <v>0</v>
      </c>
      <c r="M79" s="6">
        <v>0</v>
      </c>
      <c r="N79" s="6">
        <v>0</v>
      </c>
      <c r="O79" s="6">
        <v>0</v>
      </c>
      <c r="P79" s="6">
        <v>3</v>
      </c>
      <c r="Q79" s="4" t="s">
        <v>26</v>
      </c>
      <c r="R79" s="4">
        <v>0</v>
      </c>
      <c r="S79" s="4" t="s">
        <v>135</v>
      </c>
      <c r="U79" s="4">
        <v>12</v>
      </c>
      <c r="V79" s="4">
        <v>0</v>
      </c>
      <c r="W79" s="4">
        <v>0</v>
      </c>
    </row>
    <row r="80" spans="1:23" ht="11.25" customHeight="1" x14ac:dyDescent="0.25">
      <c r="A80" s="4" t="s">
        <v>27</v>
      </c>
      <c r="B80" s="4" t="s">
        <v>43</v>
      </c>
      <c r="C80" s="4" t="s">
        <v>44</v>
      </c>
      <c r="D80" s="4" t="s">
        <v>40</v>
      </c>
      <c r="E80" s="4" t="s">
        <v>25</v>
      </c>
      <c r="F80" s="4" t="s">
        <v>25</v>
      </c>
      <c r="G80" s="4" t="s">
        <v>25</v>
      </c>
      <c r="H80" s="4" t="s">
        <v>25</v>
      </c>
      <c r="I80" s="5">
        <v>44774</v>
      </c>
      <c r="J80" s="6">
        <v>37</v>
      </c>
      <c r="K80" s="6">
        <v>37</v>
      </c>
      <c r="L80" s="6">
        <v>0</v>
      </c>
      <c r="M80" s="6">
        <v>0</v>
      </c>
      <c r="N80" s="6">
        <v>0</v>
      </c>
      <c r="O80" s="6">
        <v>0</v>
      </c>
      <c r="P80" s="6">
        <v>-1</v>
      </c>
      <c r="Q80" s="4" t="s">
        <v>26</v>
      </c>
      <c r="R80" s="4">
        <v>0</v>
      </c>
      <c r="S80" s="4" t="s">
        <v>135</v>
      </c>
      <c r="U80" s="4">
        <v>12</v>
      </c>
      <c r="V80" s="4">
        <v>0</v>
      </c>
      <c r="W80" s="4">
        <v>0</v>
      </c>
    </row>
    <row r="81" spans="1:23" ht="11.25" customHeight="1" x14ac:dyDescent="0.25">
      <c r="A81" s="4" t="s">
        <v>21</v>
      </c>
      <c r="B81" s="4" t="s">
        <v>43</v>
      </c>
      <c r="C81" s="4" t="s">
        <v>44</v>
      </c>
      <c r="D81" s="4" t="s">
        <v>40</v>
      </c>
      <c r="E81" s="4" t="s">
        <v>25</v>
      </c>
      <c r="F81" s="4" t="s">
        <v>25</v>
      </c>
      <c r="G81" s="4" t="s">
        <v>25</v>
      </c>
      <c r="H81" s="4" t="s">
        <v>25</v>
      </c>
      <c r="I81" s="5">
        <v>44805</v>
      </c>
      <c r="J81" s="6">
        <v>550</v>
      </c>
      <c r="K81" s="6">
        <v>550</v>
      </c>
      <c r="L81" s="6">
        <v>0</v>
      </c>
      <c r="M81" s="6">
        <v>0</v>
      </c>
      <c r="N81" s="6">
        <v>0</v>
      </c>
      <c r="O81" s="6">
        <v>0</v>
      </c>
      <c r="P81" s="6">
        <v>5</v>
      </c>
      <c r="Q81" s="4" t="s">
        <v>26</v>
      </c>
      <c r="R81" s="4">
        <v>0</v>
      </c>
      <c r="S81" s="4" t="s">
        <v>136</v>
      </c>
      <c r="U81" s="4">
        <v>12</v>
      </c>
      <c r="V81" s="4">
        <v>0</v>
      </c>
      <c r="W81" s="4">
        <v>0</v>
      </c>
    </row>
    <row r="82" spans="1:23" ht="11.25" customHeight="1" x14ac:dyDescent="0.25">
      <c r="A82" s="4" t="s">
        <v>27</v>
      </c>
      <c r="B82" s="4" t="s">
        <v>43</v>
      </c>
      <c r="C82" s="4" t="s">
        <v>44</v>
      </c>
      <c r="D82" s="4" t="s">
        <v>40</v>
      </c>
      <c r="E82" s="4" t="s">
        <v>25</v>
      </c>
      <c r="F82" s="4" t="s">
        <v>25</v>
      </c>
      <c r="G82" s="4" t="s">
        <v>25</v>
      </c>
      <c r="H82" s="4" t="s">
        <v>25</v>
      </c>
      <c r="I82" s="5">
        <v>44805</v>
      </c>
      <c r="J82" s="6">
        <v>29</v>
      </c>
      <c r="K82" s="6">
        <v>29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4" t="s">
        <v>26</v>
      </c>
      <c r="R82" s="4">
        <v>0</v>
      </c>
      <c r="S82" s="4" t="s">
        <v>136</v>
      </c>
      <c r="U82" s="4">
        <v>12</v>
      </c>
      <c r="V82" s="4">
        <v>0</v>
      </c>
      <c r="W82" s="4">
        <v>0</v>
      </c>
    </row>
    <row r="83" spans="1:23" ht="11.25" customHeight="1" x14ac:dyDescent="0.25">
      <c r="A83" s="4" t="s">
        <v>21</v>
      </c>
      <c r="B83" s="4" t="s">
        <v>43</v>
      </c>
      <c r="C83" s="4" t="s">
        <v>44</v>
      </c>
      <c r="D83" s="4" t="s">
        <v>40</v>
      </c>
      <c r="E83" s="4" t="s">
        <v>25</v>
      </c>
      <c r="F83" s="4" t="s">
        <v>25</v>
      </c>
      <c r="G83" s="4" t="s">
        <v>25</v>
      </c>
      <c r="H83" s="4" t="s">
        <v>25</v>
      </c>
      <c r="I83" s="5">
        <v>44835</v>
      </c>
      <c r="J83" s="6">
        <v>544</v>
      </c>
      <c r="K83" s="6">
        <v>544</v>
      </c>
      <c r="L83" s="6">
        <v>0</v>
      </c>
      <c r="M83" s="6">
        <v>0</v>
      </c>
      <c r="N83" s="6">
        <v>0</v>
      </c>
      <c r="O83" s="6">
        <v>0</v>
      </c>
      <c r="P83" s="6">
        <v>4</v>
      </c>
      <c r="Q83" s="4" t="s">
        <v>26</v>
      </c>
      <c r="R83" s="4">
        <v>0</v>
      </c>
      <c r="S83" s="4" t="s">
        <v>137</v>
      </c>
      <c r="U83" s="4">
        <v>12</v>
      </c>
      <c r="V83" s="4">
        <v>0</v>
      </c>
      <c r="W83" s="4">
        <v>0</v>
      </c>
    </row>
    <row r="84" spans="1:23" ht="11.25" customHeight="1" x14ac:dyDescent="0.25">
      <c r="A84" s="4" t="s">
        <v>30</v>
      </c>
      <c r="B84" s="4" t="s">
        <v>43</v>
      </c>
      <c r="C84" s="4" t="s">
        <v>44</v>
      </c>
      <c r="D84" s="4" t="s">
        <v>40</v>
      </c>
      <c r="E84" s="4" t="s">
        <v>25</v>
      </c>
      <c r="F84" s="4" t="s">
        <v>25</v>
      </c>
      <c r="G84" s="4" t="s">
        <v>25</v>
      </c>
      <c r="H84" s="4" t="s">
        <v>25</v>
      </c>
      <c r="I84" s="5">
        <v>44835</v>
      </c>
      <c r="J84" s="6">
        <v>30</v>
      </c>
      <c r="K84" s="6">
        <v>30</v>
      </c>
      <c r="L84" s="6">
        <v>0</v>
      </c>
      <c r="M84" s="6">
        <v>0</v>
      </c>
      <c r="N84" s="6">
        <v>0</v>
      </c>
      <c r="O84" s="6">
        <v>0</v>
      </c>
      <c r="P84" s="6">
        <v>1</v>
      </c>
      <c r="Q84" s="4" t="s">
        <v>26</v>
      </c>
      <c r="R84" s="4">
        <v>0</v>
      </c>
      <c r="S84" s="4" t="s">
        <v>137</v>
      </c>
      <c r="U84" s="4">
        <v>12</v>
      </c>
      <c r="V84" s="4">
        <v>0</v>
      </c>
      <c r="W84" s="4">
        <v>0</v>
      </c>
    </row>
    <row r="85" spans="1:23" ht="11.25" customHeight="1" x14ac:dyDescent="0.25">
      <c r="A85" s="4" t="s">
        <v>59</v>
      </c>
      <c r="B85" s="4" t="s">
        <v>43</v>
      </c>
      <c r="C85" s="4" t="s">
        <v>44</v>
      </c>
      <c r="D85" s="4" t="s">
        <v>40</v>
      </c>
      <c r="E85" s="4" t="s">
        <v>25</v>
      </c>
      <c r="F85" s="4" t="s">
        <v>25</v>
      </c>
      <c r="G85" s="4" t="s">
        <v>25</v>
      </c>
      <c r="H85" s="4" t="s">
        <v>25</v>
      </c>
      <c r="I85" s="5">
        <v>44866</v>
      </c>
      <c r="J85" s="6">
        <v>544</v>
      </c>
      <c r="K85" s="6">
        <v>544</v>
      </c>
      <c r="L85" s="6">
        <v>0</v>
      </c>
      <c r="M85" s="6">
        <v>0</v>
      </c>
      <c r="N85" s="6">
        <v>0</v>
      </c>
      <c r="O85" s="6">
        <v>0</v>
      </c>
      <c r="P85" s="6">
        <v>4</v>
      </c>
      <c r="Q85" s="4" t="s">
        <v>26</v>
      </c>
      <c r="R85" s="4">
        <v>0</v>
      </c>
      <c r="S85" s="4" t="s">
        <v>138</v>
      </c>
      <c r="U85" s="4">
        <v>12</v>
      </c>
      <c r="V85" s="4">
        <v>0</v>
      </c>
      <c r="W85" s="4">
        <v>0</v>
      </c>
    </row>
    <row r="86" spans="1:23" ht="11.25" customHeight="1" x14ac:dyDescent="0.25">
      <c r="A86" s="4" t="s">
        <v>59</v>
      </c>
      <c r="B86" s="4" t="s">
        <v>43</v>
      </c>
      <c r="C86" s="4" t="s">
        <v>44</v>
      </c>
      <c r="D86" s="4" t="s">
        <v>40</v>
      </c>
      <c r="E86" s="4" t="s">
        <v>25</v>
      </c>
      <c r="F86" s="4" t="s">
        <v>25</v>
      </c>
      <c r="G86" s="4" t="s">
        <v>25</v>
      </c>
      <c r="H86" s="4" t="s">
        <v>25</v>
      </c>
      <c r="I86" s="5">
        <v>44866</v>
      </c>
      <c r="J86" s="6">
        <v>30</v>
      </c>
      <c r="K86" s="6">
        <v>30</v>
      </c>
      <c r="L86" s="6">
        <v>0</v>
      </c>
      <c r="M86" s="6">
        <v>0</v>
      </c>
      <c r="N86" s="6">
        <v>0</v>
      </c>
      <c r="O86" s="6">
        <v>0</v>
      </c>
      <c r="P86" s="6">
        <v>1</v>
      </c>
      <c r="Q86" s="4" t="s">
        <v>26</v>
      </c>
      <c r="R86" s="4">
        <v>0</v>
      </c>
      <c r="S86" s="4" t="s">
        <v>138</v>
      </c>
      <c r="U86" s="4">
        <v>12</v>
      </c>
      <c r="V86" s="4">
        <v>0</v>
      </c>
      <c r="W86" s="4">
        <v>0</v>
      </c>
    </row>
    <row r="87" spans="1:23" ht="11.25" customHeight="1" x14ac:dyDescent="0.25">
      <c r="A87" s="4" t="s">
        <v>21</v>
      </c>
      <c r="B87" s="4" t="s">
        <v>43</v>
      </c>
      <c r="C87" s="4" t="s">
        <v>44</v>
      </c>
      <c r="D87" s="4" t="s">
        <v>40</v>
      </c>
      <c r="E87" s="4" t="s">
        <v>25</v>
      </c>
      <c r="F87" s="4" t="s">
        <v>25</v>
      </c>
      <c r="G87" s="4" t="s">
        <v>25</v>
      </c>
      <c r="H87" s="4" t="s">
        <v>36</v>
      </c>
      <c r="I87" s="5">
        <v>44531</v>
      </c>
      <c r="J87" s="6">
        <v>0</v>
      </c>
      <c r="K87" s="6">
        <v>0</v>
      </c>
      <c r="L87" s="6">
        <v>9.4849999999999994</v>
      </c>
      <c r="M87" s="6">
        <v>9.4849999999999994</v>
      </c>
      <c r="N87" s="6">
        <v>9.4849999999999994</v>
      </c>
      <c r="O87" s="6">
        <v>9.4849999999999994</v>
      </c>
      <c r="P87" s="6">
        <v>0</v>
      </c>
      <c r="Q87" s="4" t="s">
        <v>26</v>
      </c>
      <c r="R87" s="4">
        <v>0</v>
      </c>
      <c r="S87" s="4" t="s">
        <v>139</v>
      </c>
      <c r="T87" s="4" t="s">
        <v>469</v>
      </c>
      <c r="U87" s="4">
        <v>0</v>
      </c>
      <c r="V87" s="4">
        <v>13</v>
      </c>
      <c r="W87" s="4">
        <v>71</v>
      </c>
    </row>
    <row r="88" spans="1:23" ht="11.25" customHeight="1" x14ac:dyDescent="0.25">
      <c r="A88" s="4" t="s">
        <v>27</v>
      </c>
      <c r="B88" s="4" t="s">
        <v>43</v>
      </c>
      <c r="C88" s="4" t="s">
        <v>44</v>
      </c>
      <c r="D88" s="4" t="s">
        <v>40</v>
      </c>
      <c r="E88" s="4" t="s">
        <v>25</v>
      </c>
      <c r="F88" s="4" t="s">
        <v>25</v>
      </c>
      <c r="G88" s="4" t="s">
        <v>25</v>
      </c>
      <c r="H88" s="4" t="s">
        <v>36</v>
      </c>
      <c r="I88" s="5">
        <v>44531</v>
      </c>
      <c r="J88" s="6">
        <v>0</v>
      </c>
      <c r="K88" s="6">
        <v>0</v>
      </c>
      <c r="L88" s="6">
        <v>0.875</v>
      </c>
      <c r="M88" s="6">
        <v>0.875</v>
      </c>
      <c r="N88" s="6">
        <v>0.875</v>
      </c>
      <c r="O88" s="6">
        <v>0.875</v>
      </c>
      <c r="P88" s="6">
        <v>0</v>
      </c>
      <c r="Q88" s="4" t="s">
        <v>26</v>
      </c>
      <c r="R88" s="4">
        <v>0</v>
      </c>
      <c r="S88" s="4" t="s">
        <v>139</v>
      </c>
      <c r="T88" s="4" t="s">
        <v>469</v>
      </c>
      <c r="U88" s="4">
        <v>0</v>
      </c>
      <c r="V88" s="4">
        <v>13</v>
      </c>
      <c r="W88" s="4">
        <v>71</v>
      </c>
    </row>
    <row r="89" spans="1:23" ht="11.25" customHeight="1" x14ac:dyDescent="0.25">
      <c r="A89" s="4" t="s">
        <v>21</v>
      </c>
      <c r="B89" s="4" t="s">
        <v>43</v>
      </c>
      <c r="C89" s="4" t="s">
        <v>44</v>
      </c>
      <c r="D89" s="4" t="s">
        <v>40</v>
      </c>
      <c r="E89" s="4" t="s">
        <v>25</v>
      </c>
      <c r="F89" s="4" t="s">
        <v>25</v>
      </c>
      <c r="G89" s="4" t="s">
        <v>25</v>
      </c>
      <c r="H89" s="4" t="s">
        <v>36</v>
      </c>
      <c r="I89" s="5">
        <v>44562</v>
      </c>
      <c r="J89" s="6">
        <v>0</v>
      </c>
      <c r="K89" s="6">
        <v>0</v>
      </c>
      <c r="L89" s="6">
        <v>7.1970000000000001</v>
      </c>
      <c r="M89" s="6">
        <v>7.1970000000000001</v>
      </c>
      <c r="N89" s="6">
        <v>7.1970000000000001</v>
      </c>
      <c r="O89" s="6">
        <v>7.1970000000000001</v>
      </c>
      <c r="P89" s="6">
        <v>0</v>
      </c>
      <c r="Q89" s="4" t="s">
        <v>26</v>
      </c>
      <c r="R89" s="4">
        <v>0</v>
      </c>
      <c r="S89" s="4" t="s">
        <v>140</v>
      </c>
      <c r="T89" s="4" t="s">
        <v>470</v>
      </c>
      <c r="U89" s="4">
        <v>0</v>
      </c>
      <c r="V89" s="4">
        <v>13</v>
      </c>
      <c r="W89" s="4">
        <v>71</v>
      </c>
    </row>
    <row r="90" spans="1:23" ht="11.25" customHeight="1" x14ac:dyDescent="0.25">
      <c r="A90" s="4" t="s">
        <v>21</v>
      </c>
      <c r="B90" s="4" t="s">
        <v>43</v>
      </c>
      <c r="C90" s="4" t="s">
        <v>44</v>
      </c>
      <c r="D90" s="4" t="s">
        <v>40</v>
      </c>
      <c r="E90" s="4" t="s">
        <v>25</v>
      </c>
      <c r="F90" s="4" t="s">
        <v>25</v>
      </c>
      <c r="G90" s="4" t="s">
        <v>25</v>
      </c>
      <c r="H90" s="4" t="s">
        <v>36</v>
      </c>
      <c r="I90" s="5">
        <v>44593</v>
      </c>
      <c r="J90" s="6">
        <v>0</v>
      </c>
      <c r="K90" s="6">
        <v>0</v>
      </c>
      <c r="L90" s="6">
        <v>8.7309999999999999</v>
      </c>
      <c r="M90" s="6">
        <v>8.7309999999999999</v>
      </c>
      <c r="N90" s="6">
        <v>8.7309999999999999</v>
      </c>
      <c r="O90" s="6">
        <v>8.7309999999999999</v>
      </c>
      <c r="P90" s="6">
        <v>0</v>
      </c>
      <c r="Q90" s="4" t="s">
        <v>26</v>
      </c>
      <c r="R90" s="4">
        <v>0</v>
      </c>
      <c r="S90" s="4" t="s">
        <v>141</v>
      </c>
      <c r="T90" s="4" t="s">
        <v>471</v>
      </c>
      <c r="U90" s="4">
        <v>0</v>
      </c>
      <c r="V90" s="4">
        <v>13</v>
      </c>
      <c r="W90" s="4">
        <v>71</v>
      </c>
    </row>
    <row r="91" spans="1:23" ht="11.25" customHeight="1" x14ac:dyDescent="0.25">
      <c r="A91" s="4" t="s">
        <v>21</v>
      </c>
      <c r="B91" s="4" t="s">
        <v>43</v>
      </c>
      <c r="C91" s="4" t="s">
        <v>44</v>
      </c>
      <c r="D91" s="4" t="s">
        <v>40</v>
      </c>
      <c r="E91" s="4" t="s">
        <v>25</v>
      </c>
      <c r="F91" s="4" t="s">
        <v>25</v>
      </c>
      <c r="G91" s="4" t="s">
        <v>25</v>
      </c>
      <c r="H91" s="4" t="s">
        <v>36</v>
      </c>
      <c r="I91" s="5">
        <v>44621</v>
      </c>
      <c r="J91" s="6">
        <v>0</v>
      </c>
      <c r="K91" s="6">
        <v>0</v>
      </c>
      <c r="L91" s="6">
        <v>10.263</v>
      </c>
      <c r="M91" s="6">
        <v>10.263</v>
      </c>
      <c r="N91" s="6">
        <v>10.263</v>
      </c>
      <c r="O91" s="6">
        <v>10.263</v>
      </c>
      <c r="P91" s="6">
        <v>0</v>
      </c>
      <c r="Q91" s="4" t="s">
        <v>26</v>
      </c>
      <c r="R91" s="4">
        <v>0</v>
      </c>
      <c r="S91" s="4" t="s">
        <v>142</v>
      </c>
      <c r="T91" s="4" t="s">
        <v>472</v>
      </c>
      <c r="U91" s="4">
        <v>0</v>
      </c>
      <c r="V91" s="4">
        <v>13</v>
      </c>
      <c r="W91" s="4">
        <v>71</v>
      </c>
    </row>
    <row r="92" spans="1:23" ht="11.25" customHeight="1" x14ac:dyDescent="0.25">
      <c r="A92" s="4" t="s">
        <v>21</v>
      </c>
      <c r="B92" s="4" t="s">
        <v>43</v>
      </c>
      <c r="C92" s="4" t="s">
        <v>44</v>
      </c>
      <c r="D92" s="4" t="s">
        <v>40</v>
      </c>
      <c r="E92" s="4" t="s">
        <v>25</v>
      </c>
      <c r="F92" s="4" t="s">
        <v>25</v>
      </c>
      <c r="G92" s="4" t="s">
        <v>25</v>
      </c>
      <c r="H92" s="4" t="s">
        <v>36</v>
      </c>
      <c r="I92" s="5">
        <v>44652</v>
      </c>
      <c r="J92" s="6">
        <v>0</v>
      </c>
      <c r="K92" s="6">
        <v>0</v>
      </c>
      <c r="L92" s="6">
        <v>19.585999999999999</v>
      </c>
      <c r="M92" s="6">
        <v>19.585999999999999</v>
      </c>
      <c r="N92" s="6">
        <v>19.585999999999999</v>
      </c>
      <c r="O92" s="6">
        <v>19.585999999999999</v>
      </c>
      <c r="P92" s="6">
        <v>0</v>
      </c>
      <c r="Q92" s="4" t="s">
        <v>26</v>
      </c>
      <c r="R92" s="4">
        <v>0</v>
      </c>
      <c r="S92" s="4" t="s">
        <v>143</v>
      </c>
      <c r="T92" s="4" t="s">
        <v>473</v>
      </c>
      <c r="U92" s="4">
        <v>0</v>
      </c>
      <c r="V92" s="4">
        <v>13</v>
      </c>
      <c r="W92" s="4">
        <v>71</v>
      </c>
    </row>
    <row r="93" spans="1:23" ht="11.25" customHeight="1" x14ac:dyDescent="0.25">
      <c r="A93" s="4" t="s">
        <v>21</v>
      </c>
      <c r="B93" s="4" t="s">
        <v>43</v>
      </c>
      <c r="C93" s="4" t="s">
        <v>44</v>
      </c>
      <c r="D93" s="4" t="s">
        <v>40</v>
      </c>
      <c r="E93" s="4" t="s">
        <v>25</v>
      </c>
      <c r="F93" s="4" t="s">
        <v>25</v>
      </c>
      <c r="G93" s="4" t="s">
        <v>25</v>
      </c>
      <c r="H93" s="4" t="s">
        <v>36</v>
      </c>
      <c r="I93" s="5">
        <v>44682</v>
      </c>
      <c r="J93" s="6">
        <v>0</v>
      </c>
      <c r="K93" s="6">
        <v>0</v>
      </c>
      <c r="L93" s="6">
        <v>9.1869999999999994</v>
      </c>
      <c r="M93" s="6">
        <v>9.1869999999999994</v>
      </c>
      <c r="N93" s="6">
        <v>9.1869999999999994</v>
      </c>
      <c r="O93" s="6">
        <v>9.1869999999999994</v>
      </c>
      <c r="P93" s="6">
        <v>0</v>
      </c>
      <c r="Q93" s="4" t="s">
        <v>26</v>
      </c>
      <c r="R93" s="4">
        <v>0</v>
      </c>
      <c r="S93" s="4" t="s">
        <v>144</v>
      </c>
      <c r="T93" s="4" t="s">
        <v>485</v>
      </c>
      <c r="U93" s="4">
        <v>0</v>
      </c>
      <c r="V93" s="4">
        <v>13</v>
      </c>
      <c r="W93" s="4">
        <v>71</v>
      </c>
    </row>
    <row r="94" spans="1:23" ht="11.25" customHeight="1" x14ac:dyDescent="0.25">
      <c r="A94" s="4" t="s">
        <v>21</v>
      </c>
      <c r="B94" s="4" t="s">
        <v>43</v>
      </c>
      <c r="C94" s="4" t="s">
        <v>44</v>
      </c>
      <c r="D94" s="4" t="s">
        <v>40</v>
      </c>
      <c r="E94" s="4" t="s">
        <v>25</v>
      </c>
      <c r="F94" s="4" t="s">
        <v>25</v>
      </c>
      <c r="G94" s="4" t="s">
        <v>25</v>
      </c>
      <c r="H94" s="4" t="s">
        <v>36</v>
      </c>
      <c r="I94" s="5">
        <v>44713</v>
      </c>
      <c r="J94" s="6">
        <v>0</v>
      </c>
      <c r="K94" s="6">
        <v>0</v>
      </c>
      <c r="L94" s="6">
        <v>9.0530000000000008</v>
      </c>
      <c r="M94" s="6">
        <v>9.0530000000000008</v>
      </c>
      <c r="N94" s="6">
        <v>9.0530000000000008</v>
      </c>
      <c r="O94" s="6">
        <v>9.0530000000000008</v>
      </c>
      <c r="P94" s="6">
        <v>0</v>
      </c>
      <c r="Q94" s="4" t="s">
        <v>26</v>
      </c>
      <c r="R94" s="4">
        <v>0</v>
      </c>
      <c r="S94" s="4" t="s">
        <v>145</v>
      </c>
      <c r="T94" s="4" t="s">
        <v>486</v>
      </c>
      <c r="U94" s="4">
        <v>0</v>
      </c>
      <c r="V94" s="4">
        <v>13</v>
      </c>
      <c r="W94" s="4">
        <v>71</v>
      </c>
    </row>
    <row r="95" spans="1:23" ht="11.25" customHeight="1" x14ac:dyDescent="0.25">
      <c r="A95" s="4" t="s">
        <v>27</v>
      </c>
      <c r="B95" s="4" t="s">
        <v>43</v>
      </c>
      <c r="C95" s="4" t="s">
        <v>44</v>
      </c>
      <c r="D95" s="4" t="s">
        <v>40</v>
      </c>
      <c r="E95" s="4" t="s">
        <v>25</v>
      </c>
      <c r="F95" s="4" t="s">
        <v>25</v>
      </c>
      <c r="G95" s="4" t="s">
        <v>25</v>
      </c>
      <c r="H95" s="4" t="s">
        <v>36</v>
      </c>
      <c r="I95" s="5">
        <v>44713</v>
      </c>
      <c r="J95" s="6">
        <v>0</v>
      </c>
      <c r="K95" s="6">
        <v>0</v>
      </c>
      <c r="L95" s="6">
        <v>1.24</v>
      </c>
      <c r="M95" s="6">
        <v>1.24</v>
      </c>
      <c r="N95" s="6">
        <v>1.24</v>
      </c>
      <c r="O95" s="6">
        <v>1.24</v>
      </c>
      <c r="P95" s="6">
        <v>0</v>
      </c>
      <c r="Q95" s="4" t="s">
        <v>26</v>
      </c>
      <c r="R95" s="4">
        <v>0</v>
      </c>
      <c r="S95" s="4" t="s">
        <v>145</v>
      </c>
      <c r="T95" s="4" t="s">
        <v>486</v>
      </c>
      <c r="U95" s="4">
        <v>0</v>
      </c>
      <c r="V95" s="4">
        <v>13</v>
      </c>
      <c r="W95" s="4">
        <v>71</v>
      </c>
    </row>
    <row r="96" spans="1:23" ht="11.25" customHeight="1" x14ac:dyDescent="0.25">
      <c r="A96" s="4" t="s">
        <v>21</v>
      </c>
      <c r="B96" s="4" t="s">
        <v>43</v>
      </c>
      <c r="C96" s="4" t="s">
        <v>44</v>
      </c>
      <c r="D96" s="4" t="s">
        <v>40</v>
      </c>
      <c r="E96" s="4" t="s">
        <v>25</v>
      </c>
      <c r="F96" s="4" t="s">
        <v>25</v>
      </c>
      <c r="G96" s="4" t="s">
        <v>25</v>
      </c>
      <c r="H96" s="4" t="s">
        <v>36</v>
      </c>
      <c r="I96" s="5">
        <v>44743</v>
      </c>
      <c r="J96" s="6">
        <v>0</v>
      </c>
      <c r="K96" s="6">
        <v>0</v>
      </c>
      <c r="L96" s="6">
        <v>9.2959999999999994</v>
      </c>
      <c r="M96" s="6">
        <v>9.2959999999999994</v>
      </c>
      <c r="N96" s="6">
        <v>9.2959999999999994</v>
      </c>
      <c r="O96" s="6">
        <v>9.2959999999999994</v>
      </c>
      <c r="P96" s="6">
        <v>0</v>
      </c>
      <c r="Q96" s="4" t="s">
        <v>26</v>
      </c>
      <c r="R96" s="4">
        <v>0</v>
      </c>
      <c r="S96" s="4" t="s">
        <v>146</v>
      </c>
      <c r="T96" s="4" t="s">
        <v>487</v>
      </c>
      <c r="U96" s="4">
        <v>0</v>
      </c>
      <c r="V96" s="4">
        <v>13</v>
      </c>
      <c r="W96" s="4">
        <v>71</v>
      </c>
    </row>
    <row r="97" spans="1:23" ht="11.25" customHeight="1" x14ac:dyDescent="0.25">
      <c r="A97" s="4" t="s">
        <v>27</v>
      </c>
      <c r="B97" s="4" t="s">
        <v>43</v>
      </c>
      <c r="C97" s="4" t="s">
        <v>44</v>
      </c>
      <c r="D97" s="4" t="s">
        <v>40</v>
      </c>
      <c r="E97" s="4" t="s">
        <v>25</v>
      </c>
      <c r="F97" s="4" t="s">
        <v>25</v>
      </c>
      <c r="G97" s="4" t="s">
        <v>25</v>
      </c>
      <c r="H97" s="4" t="s">
        <v>36</v>
      </c>
      <c r="I97" s="5">
        <v>44743</v>
      </c>
      <c r="J97" s="6">
        <v>0</v>
      </c>
      <c r="K97" s="6">
        <v>0</v>
      </c>
      <c r="L97" s="6">
        <v>0.19400000000000001</v>
      </c>
      <c r="M97" s="6">
        <v>0.19400000000000001</v>
      </c>
      <c r="N97" s="6">
        <v>0.19400000000000001</v>
      </c>
      <c r="O97" s="6">
        <v>0.19400000000000001</v>
      </c>
      <c r="P97" s="6">
        <v>0</v>
      </c>
      <c r="Q97" s="4" t="s">
        <v>26</v>
      </c>
      <c r="R97" s="4">
        <v>0</v>
      </c>
      <c r="S97" s="4" t="s">
        <v>146</v>
      </c>
      <c r="T97" s="4" t="s">
        <v>487</v>
      </c>
      <c r="U97" s="4">
        <v>0</v>
      </c>
      <c r="V97" s="4">
        <v>13</v>
      </c>
      <c r="W97" s="4">
        <v>71</v>
      </c>
    </row>
    <row r="98" spans="1:23" ht="11.25" customHeight="1" x14ac:dyDescent="0.25">
      <c r="A98" s="4" t="s">
        <v>21</v>
      </c>
      <c r="B98" s="4" t="s">
        <v>43</v>
      </c>
      <c r="C98" s="4" t="s">
        <v>44</v>
      </c>
      <c r="D98" s="4" t="s">
        <v>40</v>
      </c>
      <c r="E98" s="4" t="s">
        <v>25</v>
      </c>
      <c r="F98" s="4" t="s">
        <v>25</v>
      </c>
      <c r="G98" s="4" t="s">
        <v>25</v>
      </c>
      <c r="H98" s="4" t="s">
        <v>36</v>
      </c>
      <c r="I98" s="5">
        <v>44774</v>
      </c>
      <c r="J98" s="6">
        <v>0</v>
      </c>
      <c r="K98" s="6">
        <v>0</v>
      </c>
      <c r="L98" s="6">
        <v>11.917</v>
      </c>
      <c r="M98" s="6">
        <v>11.917</v>
      </c>
      <c r="N98" s="6">
        <v>11.917</v>
      </c>
      <c r="O98" s="6">
        <v>11.917</v>
      </c>
      <c r="P98" s="6">
        <v>0</v>
      </c>
      <c r="Q98" s="4" t="s">
        <v>26</v>
      </c>
      <c r="R98" s="4">
        <v>0</v>
      </c>
      <c r="S98" s="4" t="s">
        <v>147</v>
      </c>
      <c r="T98" s="4" t="s">
        <v>488</v>
      </c>
      <c r="U98" s="4">
        <v>0</v>
      </c>
      <c r="V98" s="4">
        <v>13</v>
      </c>
      <c r="W98" s="4">
        <v>71</v>
      </c>
    </row>
    <row r="99" spans="1:23" ht="11.25" customHeight="1" x14ac:dyDescent="0.25">
      <c r="A99" s="4" t="s">
        <v>27</v>
      </c>
      <c r="B99" s="4" t="s">
        <v>43</v>
      </c>
      <c r="C99" s="4" t="s">
        <v>44</v>
      </c>
      <c r="D99" s="4" t="s">
        <v>40</v>
      </c>
      <c r="E99" s="4" t="s">
        <v>25</v>
      </c>
      <c r="F99" s="4" t="s">
        <v>25</v>
      </c>
      <c r="G99" s="4" t="s">
        <v>25</v>
      </c>
      <c r="H99" s="4" t="s">
        <v>36</v>
      </c>
      <c r="I99" s="5">
        <v>44774</v>
      </c>
      <c r="J99" s="6">
        <v>0</v>
      </c>
      <c r="K99" s="6">
        <v>0</v>
      </c>
      <c r="L99" s="6">
        <v>-6.24</v>
      </c>
      <c r="M99" s="6">
        <v>-6.24</v>
      </c>
      <c r="N99" s="6">
        <v>-6.24</v>
      </c>
      <c r="O99" s="6">
        <v>-6.24</v>
      </c>
      <c r="P99" s="6">
        <v>0</v>
      </c>
      <c r="Q99" s="4" t="s">
        <v>26</v>
      </c>
      <c r="R99" s="4">
        <v>0</v>
      </c>
      <c r="S99" s="4" t="s">
        <v>147</v>
      </c>
      <c r="T99" s="4" t="s">
        <v>488</v>
      </c>
      <c r="U99" s="4">
        <v>0</v>
      </c>
      <c r="V99" s="4">
        <v>13</v>
      </c>
      <c r="W99" s="4">
        <v>71</v>
      </c>
    </row>
    <row r="100" spans="1:23" ht="11.25" customHeight="1" x14ac:dyDescent="0.25">
      <c r="A100" s="4" t="s">
        <v>21</v>
      </c>
      <c r="B100" s="4" t="s">
        <v>43</v>
      </c>
      <c r="C100" s="4" t="s">
        <v>44</v>
      </c>
      <c r="D100" s="4" t="s">
        <v>40</v>
      </c>
      <c r="E100" s="4" t="s">
        <v>25</v>
      </c>
      <c r="F100" s="4" t="s">
        <v>25</v>
      </c>
      <c r="G100" s="4" t="s">
        <v>25</v>
      </c>
      <c r="H100" s="4" t="s">
        <v>36</v>
      </c>
      <c r="I100" s="5">
        <v>44805</v>
      </c>
      <c r="J100" s="6">
        <v>0</v>
      </c>
      <c r="K100" s="6">
        <v>0</v>
      </c>
      <c r="L100" s="6">
        <v>13.198</v>
      </c>
      <c r="M100" s="6">
        <v>13.198</v>
      </c>
      <c r="N100" s="6">
        <v>13.198</v>
      </c>
      <c r="O100" s="6">
        <v>13.198</v>
      </c>
      <c r="P100" s="6">
        <v>0</v>
      </c>
      <c r="Q100" s="4" t="s">
        <v>26</v>
      </c>
      <c r="R100" s="4">
        <v>0</v>
      </c>
      <c r="S100" s="4" t="s">
        <v>148</v>
      </c>
      <c r="T100" s="4" t="s">
        <v>489</v>
      </c>
      <c r="U100" s="4">
        <v>0</v>
      </c>
      <c r="V100" s="4">
        <v>13</v>
      </c>
      <c r="W100" s="4">
        <v>71</v>
      </c>
    </row>
    <row r="101" spans="1:23" ht="11.25" customHeight="1" x14ac:dyDescent="0.25">
      <c r="A101" s="4" t="s">
        <v>27</v>
      </c>
      <c r="B101" s="4" t="s">
        <v>43</v>
      </c>
      <c r="C101" s="4" t="s">
        <v>44</v>
      </c>
      <c r="D101" s="4" t="s">
        <v>40</v>
      </c>
      <c r="E101" s="4" t="s">
        <v>25</v>
      </c>
      <c r="F101" s="4" t="s">
        <v>25</v>
      </c>
      <c r="G101" s="4" t="s">
        <v>25</v>
      </c>
      <c r="H101" s="4" t="s">
        <v>36</v>
      </c>
      <c r="I101" s="5">
        <v>44805</v>
      </c>
      <c r="J101" s="6">
        <v>0</v>
      </c>
      <c r="K101" s="6">
        <v>0</v>
      </c>
      <c r="L101" s="6">
        <v>1.0429999999999999</v>
      </c>
      <c r="M101" s="6">
        <v>1.0429999999999999</v>
      </c>
      <c r="N101" s="6">
        <v>1.0429999999999999</v>
      </c>
      <c r="O101" s="6">
        <v>1.0429999999999999</v>
      </c>
      <c r="P101" s="6">
        <v>0</v>
      </c>
      <c r="Q101" s="4" t="s">
        <v>26</v>
      </c>
      <c r="R101" s="4">
        <v>0</v>
      </c>
      <c r="S101" s="4" t="s">
        <v>148</v>
      </c>
      <c r="T101" s="4" t="s">
        <v>489</v>
      </c>
      <c r="U101" s="4">
        <v>0</v>
      </c>
      <c r="V101" s="4">
        <v>13</v>
      </c>
      <c r="W101" s="4">
        <v>71</v>
      </c>
    </row>
    <row r="102" spans="1:23" ht="11.25" customHeight="1" x14ac:dyDescent="0.25">
      <c r="A102" s="4" t="s">
        <v>21</v>
      </c>
      <c r="B102" s="4" t="s">
        <v>43</v>
      </c>
      <c r="C102" s="4" t="s">
        <v>44</v>
      </c>
      <c r="D102" s="4" t="s">
        <v>40</v>
      </c>
      <c r="E102" s="4" t="s">
        <v>25</v>
      </c>
      <c r="F102" s="4" t="s">
        <v>25</v>
      </c>
      <c r="G102" s="4" t="s">
        <v>25</v>
      </c>
      <c r="H102" s="4" t="s">
        <v>36</v>
      </c>
      <c r="I102" s="5">
        <v>44835</v>
      </c>
      <c r="J102" s="6">
        <v>0</v>
      </c>
      <c r="K102" s="6">
        <v>0</v>
      </c>
      <c r="L102" s="6">
        <v>12.943</v>
      </c>
      <c r="M102" s="6">
        <v>12.943</v>
      </c>
      <c r="N102" s="6">
        <v>12.943</v>
      </c>
      <c r="O102" s="6">
        <v>12.943</v>
      </c>
      <c r="P102" s="6">
        <v>0</v>
      </c>
      <c r="Q102" s="4" t="s">
        <v>26</v>
      </c>
      <c r="R102" s="4">
        <v>0</v>
      </c>
      <c r="S102" s="4" t="s">
        <v>149</v>
      </c>
      <c r="T102" s="4" t="s">
        <v>490</v>
      </c>
      <c r="U102" s="4">
        <v>0</v>
      </c>
      <c r="V102" s="4">
        <v>13</v>
      </c>
      <c r="W102" s="4">
        <v>71</v>
      </c>
    </row>
    <row r="103" spans="1:23" ht="11.25" customHeight="1" x14ac:dyDescent="0.25">
      <c r="A103" s="4" t="s">
        <v>30</v>
      </c>
      <c r="B103" s="4" t="s">
        <v>43</v>
      </c>
      <c r="C103" s="4" t="s">
        <v>44</v>
      </c>
      <c r="D103" s="4" t="s">
        <v>40</v>
      </c>
      <c r="E103" s="4" t="s">
        <v>25</v>
      </c>
      <c r="F103" s="4" t="s">
        <v>25</v>
      </c>
      <c r="G103" s="4" t="s">
        <v>25</v>
      </c>
      <c r="H103" s="4" t="s">
        <v>36</v>
      </c>
      <c r="I103" s="5">
        <v>44835</v>
      </c>
      <c r="J103" s="6">
        <v>0</v>
      </c>
      <c r="K103" s="6">
        <v>0</v>
      </c>
      <c r="L103" s="6">
        <v>1.4999999999999999E-2</v>
      </c>
      <c r="M103" s="6">
        <v>1.4999999999999999E-2</v>
      </c>
      <c r="N103" s="6">
        <v>1.4999999999999999E-2</v>
      </c>
      <c r="O103" s="6">
        <v>1.4999999999999999E-2</v>
      </c>
      <c r="P103" s="6">
        <v>0</v>
      </c>
      <c r="Q103" s="4" t="s">
        <v>26</v>
      </c>
      <c r="R103" s="4">
        <v>0</v>
      </c>
      <c r="S103" s="4" t="s">
        <v>149</v>
      </c>
      <c r="T103" s="4" t="s">
        <v>490</v>
      </c>
      <c r="U103" s="4">
        <v>0</v>
      </c>
      <c r="V103" s="4">
        <v>13</v>
      </c>
      <c r="W103" s="4">
        <v>71</v>
      </c>
    </row>
    <row r="104" spans="1:23" ht="11.25" customHeight="1" x14ac:dyDescent="0.25">
      <c r="A104" s="4" t="s">
        <v>59</v>
      </c>
      <c r="B104" s="4" t="s">
        <v>43</v>
      </c>
      <c r="C104" s="4" t="s">
        <v>44</v>
      </c>
      <c r="D104" s="4" t="s">
        <v>40</v>
      </c>
      <c r="E104" s="4" t="s">
        <v>25</v>
      </c>
      <c r="F104" s="4" t="s">
        <v>25</v>
      </c>
      <c r="G104" s="4" t="s">
        <v>25</v>
      </c>
      <c r="H104" s="4" t="s">
        <v>36</v>
      </c>
      <c r="I104" s="5">
        <v>44866</v>
      </c>
      <c r="J104" s="6">
        <v>0</v>
      </c>
      <c r="K104" s="6">
        <v>0</v>
      </c>
      <c r="L104" s="6">
        <v>12.943</v>
      </c>
      <c r="M104" s="6">
        <v>12.943</v>
      </c>
      <c r="N104" s="6">
        <v>12.943</v>
      </c>
      <c r="O104" s="6">
        <v>12.943</v>
      </c>
      <c r="P104" s="6">
        <v>0</v>
      </c>
      <c r="Q104" s="4" t="s">
        <v>26</v>
      </c>
      <c r="R104" s="4">
        <v>0</v>
      </c>
      <c r="S104" s="4" t="s">
        <v>150</v>
      </c>
      <c r="T104" s="4" t="s">
        <v>491</v>
      </c>
      <c r="U104" s="4">
        <v>0</v>
      </c>
      <c r="V104" s="4">
        <v>13</v>
      </c>
      <c r="W104" s="4">
        <v>71</v>
      </c>
    </row>
    <row r="105" spans="1:23" ht="11.25" customHeight="1" x14ac:dyDescent="0.25">
      <c r="A105" s="4" t="s">
        <v>59</v>
      </c>
      <c r="B105" s="4" t="s">
        <v>43</v>
      </c>
      <c r="C105" s="4" t="s">
        <v>44</v>
      </c>
      <c r="D105" s="4" t="s">
        <v>40</v>
      </c>
      <c r="E105" s="4" t="s">
        <v>25</v>
      </c>
      <c r="F105" s="4" t="s">
        <v>25</v>
      </c>
      <c r="G105" s="4" t="s">
        <v>25</v>
      </c>
      <c r="H105" s="4" t="s">
        <v>36</v>
      </c>
      <c r="I105" s="5">
        <v>44866</v>
      </c>
      <c r="J105" s="6">
        <v>0</v>
      </c>
      <c r="K105" s="6">
        <v>0</v>
      </c>
      <c r="L105" s="6">
        <v>1.4999999999999999E-2</v>
      </c>
      <c r="M105" s="6">
        <v>1.4999999999999999E-2</v>
      </c>
      <c r="N105" s="6">
        <v>1.4999999999999999E-2</v>
      </c>
      <c r="O105" s="6">
        <v>1.4999999999999999E-2</v>
      </c>
      <c r="P105" s="6">
        <v>0</v>
      </c>
      <c r="Q105" s="4" t="s">
        <v>26</v>
      </c>
      <c r="R105" s="4">
        <v>0</v>
      </c>
      <c r="S105" s="4" t="s">
        <v>150</v>
      </c>
      <c r="T105" s="4" t="s">
        <v>491</v>
      </c>
      <c r="U105" s="4">
        <v>0</v>
      </c>
      <c r="V105" s="4">
        <v>13</v>
      </c>
      <c r="W105" s="4">
        <v>71</v>
      </c>
    </row>
    <row r="106" spans="1:23" ht="11.25" customHeight="1" x14ac:dyDescent="0.25">
      <c r="A106" s="4" t="s">
        <v>21</v>
      </c>
      <c r="B106" s="4" t="s">
        <v>43</v>
      </c>
      <c r="C106" s="4" t="s">
        <v>44</v>
      </c>
      <c r="D106" s="4" t="s">
        <v>47</v>
      </c>
      <c r="E106" s="4" t="s">
        <v>55</v>
      </c>
      <c r="F106" s="4" t="s">
        <v>57</v>
      </c>
      <c r="G106" s="4" t="s">
        <v>25</v>
      </c>
      <c r="H106" s="4" t="s">
        <v>37</v>
      </c>
      <c r="I106" s="5">
        <v>44713</v>
      </c>
      <c r="J106" s="6">
        <v>0</v>
      </c>
      <c r="K106" s="6">
        <v>0</v>
      </c>
      <c r="L106" s="6">
        <v>0.68300000000000005</v>
      </c>
      <c r="M106" s="6">
        <v>0.1366</v>
      </c>
      <c r="N106" s="6">
        <v>0.68300000000000005</v>
      </c>
      <c r="O106" s="6">
        <v>0.1366</v>
      </c>
      <c r="P106" s="6">
        <v>0</v>
      </c>
      <c r="Q106" s="4" t="s">
        <v>26</v>
      </c>
      <c r="R106" s="4">
        <v>0</v>
      </c>
      <c r="S106" s="4" t="s">
        <v>121</v>
      </c>
      <c r="T106" s="4" t="s">
        <v>475</v>
      </c>
      <c r="U106" s="4">
        <v>0</v>
      </c>
      <c r="V106" s="4">
        <v>14</v>
      </c>
      <c r="W106" s="4">
        <v>72</v>
      </c>
    </row>
    <row r="107" spans="1:23" ht="11.25" customHeight="1" x14ac:dyDescent="0.25">
      <c r="A107" s="4" t="s">
        <v>21</v>
      </c>
      <c r="B107" s="4" t="s">
        <v>43</v>
      </c>
      <c r="C107" s="4" t="s">
        <v>44</v>
      </c>
      <c r="D107" s="4" t="s">
        <v>47</v>
      </c>
      <c r="E107" s="4" t="s">
        <v>55</v>
      </c>
      <c r="F107" s="4" t="s">
        <v>57</v>
      </c>
      <c r="G107" s="4" t="s">
        <v>25</v>
      </c>
      <c r="H107" s="4" t="s">
        <v>37</v>
      </c>
      <c r="I107" s="5">
        <v>44743</v>
      </c>
      <c r="J107" s="6">
        <v>0</v>
      </c>
      <c r="K107" s="6">
        <v>0</v>
      </c>
      <c r="L107" s="6">
        <v>1.639</v>
      </c>
      <c r="M107" s="6">
        <v>0.32779999999999998</v>
      </c>
      <c r="N107" s="6">
        <v>1.639</v>
      </c>
      <c r="O107" s="6">
        <v>0.32779999999999998</v>
      </c>
      <c r="P107" s="6">
        <v>0</v>
      </c>
      <c r="Q107" s="4" t="s">
        <v>26</v>
      </c>
      <c r="R107" s="4">
        <v>0</v>
      </c>
      <c r="S107" s="4" t="s">
        <v>122</v>
      </c>
      <c r="T107" s="4" t="s">
        <v>476</v>
      </c>
      <c r="U107" s="4">
        <v>0</v>
      </c>
      <c r="V107" s="4">
        <v>14</v>
      </c>
      <c r="W107" s="4">
        <v>72</v>
      </c>
    </row>
    <row r="108" spans="1:23" ht="11.25" customHeight="1" x14ac:dyDescent="0.25">
      <c r="A108" s="4" t="s">
        <v>21</v>
      </c>
      <c r="B108" s="4" t="s">
        <v>43</v>
      </c>
      <c r="C108" s="4" t="s">
        <v>44</v>
      </c>
      <c r="D108" s="4" t="s">
        <v>47</v>
      </c>
      <c r="E108" s="4" t="s">
        <v>55</v>
      </c>
      <c r="F108" s="4" t="s">
        <v>57</v>
      </c>
      <c r="G108" s="4" t="s">
        <v>25</v>
      </c>
      <c r="H108" s="4" t="s">
        <v>37</v>
      </c>
      <c r="I108" s="5">
        <v>44774</v>
      </c>
      <c r="J108" s="6">
        <v>0</v>
      </c>
      <c r="K108" s="6">
        <v>0</v>
      </c>
      <c r="L108" s="6">
        <v>1.837</v>
      </c>
      <c r="M108" s="6">
        <v>0.3674</v>
      </c>
      <c r="N108" s="6">
        <v>1.837</v>
      </c>
      <c r="O108" s="6">
        <v>0.3674</v>
      </c>
      <c r="P108" s="6">
        <v>0</v>
      </c>
      <c r="Q108" s="4" t="s">
        <v>26</v>
      </c>
      <c r="R108" s="4">
        <v>0</v>
      </c>
      <c r="S108" s="4" t="s">
        <v>123</v>
      </c>
      <c r="T108" s="4" t="s">
        <v>477</v>
      </c>
      <c r="U108" s="4">
        <v>0</v>
      </c>
      <c r="V108" s="4">
        <v>14</v>
      </c>
      <c r="W108" s="4">
        <v>72</v>
      </c>
    </row>
    <row r="109" spans="1:23" ht="11.25" customHeight="1" x14ac:dyDescent="0.25">
      <c r="A109" s="4" t="s">
        <v>21</v>
      </c>
      <c r="B109" s="4" t="s">
        <v>43</v>
      </c>
      <c r="C109" s="4" t="s">
        <v>44</v>
      </c>
      <c r="D109" s="4" t="s">
        <v>47</v>
      </c>
      <c r="E109" s="4" t="s">
        <v>55</v>
      </c>
      <c r="F109" s="4" t="s">
        <v>57</v>
      </c>
      <c r="G109" s="4" t="s">
        <v>25</v>
      </c>
      <c r="H109" s="4" t="s">
        <v>37</v>
      </c>
      <c r="I109" s="5">
        <v>44805</v>
      </c>
      <c r="J109" s="6">
        <v>0</v>
      </c>
      <c r="K109" s="6">
        <v>0</v>
      </c>
      <c r="L109" s="6">
        <v>0.99299999999999999</v>
      </c>
      <c r="M109" s="6">
        <v>0.1986</v>
      </c>
      <c r="N109" s="6">
        <v>0.99299999999999999</v>
      </c>
      <c r="O109" s="6">
        <v>0.1986</v>
      </c>
      <c r="P109" s="6">
        <v>0</v>
      </c>
      <c r="Q109" s="4" t="s">
        <v>26</v>
      </c>
      <c r="R109" s="4">
        <v>0</v>
      </c>
      <c r="S109" s="4" t="s">
        <v>124</v>
      </c>
      <c r="T109" s="4" t="s">
        <v>478</v>
      </c>
      <c r="U109" s="4">
        <v>0</v>
      </c>
      <c r="V109" s="4">
        <v>14</v>
      </c>
      <c r="W109" s="4">
        <v>72</v>
      </c>
    </row>
    <row r="110" spans="1:23" ht="11.25" customHeight="1" x14ac:dyDescent="0.25">
      <c r="A110" s="4" t="s">
        <v>21</v>
      </c>
      <c r="B110" s="4" t="s">
        <v>43</v>
      </c>
      <c r="C110" s="4" t="s">
        <v>44</v>
      </c>
      <c r="D110" s="4" t="s">
        <v>47</v>
      </c>
      <c r="E110" s="4" t="s">
        <v>55</v>
      </c>
      <c r="F110" s="4" t="s">
        <v>57</v>
      </c>
      <c r="G110" s="4" t="s">
        <v>25</v>
      </c>
      <c r="H110" s="4" t="s">
        <v>37</v>
      </c>
      <c r="I110" s="5">
        <v>44835</v>
      </c>
      <c r="J110" s="6">
        <v>0</v>
      </c>
      <c r="K110" s="6">
        <v>0</v>
      </c>
      <c r="L110" s="6">
        <v>1.141</v>
      </c>
      <c r="M110" s="6">
        <v>0.22819999999999999</v>
      </c>
      <c r="N110" s="6">
        <v>1.141</v>
      </c>
      <c r="O110" s="6">
        <v>0.22819999999999999</v>
      </c>
      <c r="P110" s="6">
        <v>0</v>
      </c>
      <c r="Q110" s="4" t="s">
        <v>26</v>
      </c>
      <c r="R110" s="4">
        <v>0</v>
      </c>
      <c r="S110" s="4" t="s">
        <v>125</v>
      </c>
      <c r="T110" s="4" t="s">
        <v>479</v>
      </c>
      <c r="U110" s="4">
        <v>0</v>
      </c>
      <c r="V110" s="4">
        <v>14</v>
      </c>
      <c r="W110" s="4">
        <v>72</v>
      </c>
    </row>
    <row r="111" spans="1:23" ht="11.25" customHeight="1" x14ac:dyDescent="0.25">
      <c r="A111" s="4" t="s">
        <v>59</v>
      </c>
      <c r="B111" s="4" t="s">
        <v>43</v>
      </c>
      <c r="C111" s="4" t="s">
        <v>44</v>
      </c>
      <c r="D111" s="4" t="s">
        <v>47</v>
      </c>
      <c r="E111" s="4" t="s">
        <v>55</v>
      </c>
      <c r="F111" s="4" t="s">
        <v>57</v>
      </c>
      <c r="G111" s="4" t="s">
        <v>25</v>
      </c>
      <c r="H111" s="4" t="s">
        <v>37</v>
      </c>
      <c r="I111" s="5">
        <v>44866</v>
      </c>
      <c r="J111" s="6">
        <v>0</v>
      </c>
      <c r="K111" s="6">
        <v>0</v>
      </c>
      <c r="L111" s="6">
        <v>1.141</v>
      </c>
      <c r="M111" s="6">
        <v>0.22819999999999999</v>
      </c>
      <c r="N111" s="6">
        <v>1.141</v>
      </c>
      <c r="O111" s="6">
        <v>0.22819999999999999</v>
      </c>
      <c r="P111" s="6">
        <v>0</v>
      </c>
      <c r="Q111" s="4" t="s">
        <v>26</v>
      </c>
      <c r="R111" s="4">
        <v>0</v>
      </c>
      <c r="S111" s="4" t="s">
        <v>126</v>
      </c>
      <c r="T111" s="4" t="s">
        <v>480</v>
      </c>
      <c r="U111" s="4">
        <v>0</v>
      </c>
      <c r="V111" s="4">
        <v>14</v>
      </c>
      <c r="W111" s="4">
        <v>72</v>
      </c>
    </row>
    <row r="112" spans="1:23" ht="11.25" customHeight="1" x14ac:dyDescent="0.25">
      <c r="A112" s="4" t="s">
        <v>21</v>
      </c>
      <c r="B112" s="4" t="s">
        <v>43</v>
      </c>
      <c r="C112" s="4" t="s">
        <v>44</v>
      </c>
      <c r="D112" s="4" t="s">
        <v>47</v>
      </c>
      <c r="E112" s="4" t="s">
        <v>55</v>
      </c>
      <c r="F112" s="4" t="s">
        <v>25</v>
      </c>
      <c r="G112" s="4" t="s">
        <v>25</v>
      </c>
      <c r="H112" s="4" t="s">
        <v>37</v>
      </c>
      <c r="I112" s="5">
        <v>44774</v>
      </c>
      <c r="J112" s="6">
        <v>0</v>
      </c>
      <c r="K112" s="6">
        <v>0</v>
      </c>
      <c r="L112" s="6">
        <v>0.73499999999999999</v>
      </c>
      <c r="M112" s="6">
        <v>0.7056</v>
      </c>
      <c r="N112" s="6">
        <v>0.73499999999999999</v>
      </c>
      <c r="O112" s="6">
        <v>0.7056</v>
      </c>
      <c r="P112" s="6">
        <v>0</v>
      </c>
      <c r="Q112" s="4" t="s">
        <v>26</v>
      </c>
      <c r="R112" s="4">
        <v>0</v>
      </c>
      <c r="S112" s="4" t="s">
        <v>123</v>
      </c>
      <c r="T112" s="4" t="s">
        <v>477</v>
      </c>
      <c r="U112" s="4">
        <v>0</v>
      </c>
      <c r="V112" s="4">
        <v>14</v>
      </c>
      <c r="W112" s="4">
        <v>72</v>
      </c>
    </row>
    <row r="113" spans="1:23" ht="11.25" customHeight="1" x14ac:dyDescent="0.25">
      <c r="A113" s="4" t="s">
        <v>21</v>
      </c>
      <c r="B113" s="4" t="s">
        <v>43</v>
      </c>
      <c r="C113" s="4" t="s">
        <v>44</v>
      </c>
      <c r="D113" s="4" t="s">
        <v>47</v>
      </c>
      <c r="E113" s="4" t="s">
        <v>55</v>
      </c>
      <c r="F113" s="4" t="s">
        <v>25</v>
      </c>
      <c r="G113" s="4" t="s">
        <v>25</v>
      </c>
      <c r="H113" s="4" t="s">
        <v>37</v>
      </c>
      <c r="I113" s="5">
        <v>44805</v>
      </c>
      <c r="J113" s="6">
        <v>0</v>
      </c>
      <c r="K113" s="6">
        <v>0</v>
      </c>
      <c r="L113" s="6">
        <v>0.71299999999999997</v>
      </c>
      <c r="M113" s="6">
        <v>0.68447999999999998</v>
      </c>
      <c r="N113" s="6">
        <v>0.71299999999999997</v>
      </c>
      <c r="O113" s="6">
        <v>0.68447999999999998</v>
      </c>
      <c r="P113" s="6">
        <v>0</v>
      </c>
      <c r="Q113" s="4" t="s">
        <v>26</v>
      </c>
      <c r="R113" s="4">
        <v>0</v>
      </c>
      <c r="S113" s="4" t="s">
        <v>124</v>
      </c>
      <c r="T113" s="4" t="s">
        <v>478</v>
      </c>
      <c r="U113" s="4">
        <v>0</v>
      </c>
      <c r="V113" s="4">
        <v>14</v>
      </c>
      <c r="W113" s="4">
        <v>72</v>
      </c>
    </row>
    <row r="114" spans="1:23" ht="11.25" customHeight="1" x14ac:dyDescent="0.25">
      <c r="A114" s="4" t="s">
        <v>21</v>
      </c>
      <c r="B114" s="4" t="s">
        <v>43</v>
      </c>
      <c r="C114" s="4" t="s">
        <v>44</v>
      </c>
      <c r="D114" s="4" t="s">
        <v>47</v>
      </c>
      <c r="E114" s="4" t="s">
        <v>55</v>
      </c>
      <c r="F114" s="4" t="s">
        <v>25</v>
      </c>
      <c r="G114" s="4" t="s">
        <v>25</v>
      </c>
      <c r="H114" s="4" t="s">
        <v>37</v>
      </c>
      <c r="I114" s="5">
        <v>44835</v>
      </c>
      <c r="J114" s="6">
        <v>0</v>
      </c>
      <c r="K114" s="6">
        <v>0</v>
      </c>
      <c r="L114" s="6">
        <v>0.50800000000000001</v>
      </c>
      <c r="M114" s="6">
        <v>0.48768</v>
      </c>
      <c r="N114" s="6">
        <v>0.50800000000000001</v>
      </c>
      <c r="O114" s="6">
        <v>0.48768</v>
      </c>
      <c r="P114" s="6">
        <v>0</v>
      </c>
      <c r="Q114" s="4" t="s">
        <v>26</v>
      </c>
      <c r="R114" s="4">
        <v>0</v>
      </c>
      <c r="S114" s="4" t="s">
        <v>125</v>
      </c>
      <c r="T114" s="4" t="s">
        <v>479</v>
      </c>
      <c r="U114" s="4">
        <v>0</v>
      </c>
      <c r="V114" s="4">
        <v>14</v>
      </c>
      <c r="W114" s="4">
        <v>72</v>
      </c>
    </row>
    <row r="115" spans="1:23" ht="11.25" customHeight="1" x14ac:dyDescent="0.25">
      <c r="A115" s="4" t="s">
        <v>59</v>
      </c>
      <c r="B115" s="4" t="s">
        <v>43</v>
      </c>
      <c r="C115" s="4" t="s">
        <v>44</v>
      </c>
      <c r="D115" s="4" t="s">
        <v>47</v>
      </c>
      <c r="E115" s="4" t="s">
        <v>55</v>
      </c>
      <c r="F115" s="4" t="s">
        <v>25</v>
      </c>
      <c r="G115" s="4" t="s">
        <v>25</v>
      </c>
      <c r="H115" s="4" t="s">
        <v>37</v>
      </c>
      <c r="I115" s="5">
        <v>44866</v>
      </c>
      <c r="J115" s="6">
        <v>0</v>
      </c>
      <c r="K115" s="6">
        <v>0</v>
      </c>
      <c r="L115" s="6">
        <v>0.50800000000000001</v>
      </c>
      <c r="M115" s="6">
        <v>0.48768</v>
      </c>
      <c r="N115" s="6">
        <v>0.50800000000000001</v>
      </c>
      <c r="O115" s="6">
        <v>0.48768</v>
      </c>
      <c r="P115" s="6">
        <v>0</v>
      </c>
      <c r="Q115" s="4" t="s">
        <v>26</v>
      </c>
      <c r="R115" s="4">
        <v>0</v>
      </c>
      <c r="S115" s="4" t="s">
        <v>126</v>
      </c>
      <c r="T115" s="4" t="s">
        <v>480</v>
      </c>
      <c r="U115" s="4">
        <v>0</v>
      </c>
      <c r="V115" s="4">
        <v>14</v>
      </c>
      <c r="W115" s="4">
        <v>72</v>
      </c>
    </row>
    <row r="116" spans="1:23" ht="11.25" customHeight="1" x14ac:dyDescent="0.25">
      <c r="A116" s="4" t="s">
        <v>21</v>
      </c>
      <c r="B116" s="4" t="s">
        <v>43</v>
      </c>
      <c r="C116" s="4" t="s">
        <v>44</v>
      </c>
      <c r="D116" s="4" t="s">
        <v>47</v>
      </c>
      <c r="E116" s="4" t="s">
        <v>55</v>
      </c>
      <c r="F116" s="4" t="s">
        <v>25</v>
      </c>
      <c r="G116" s="4" t="s">
        <v>25</v>
      </c>
      <c r="H116" s="4" t="s">
        <v>25</v>
      </c>
      <c r="I116" s="5">
        <v>44713</v>
      </c>
      <c r="J116" s="6">
        <v>15</v>
      </c>
      <c r="K116" s="6">
        <v>14.399999999999999</v>
      </c>
      <c r="L116" s="6">
        <v>0</v>
      </c>
      <c r="M116" s="6">
        <v>0</v>
      </c>
      <c r="N116" s="6">
        <v>0</v>
      </c>
      <c r="O116" s="6">
        <v>0</v>
      </c>
      <c r="P116" s="6">
        <v>1</v>
      </c>
      <c r="Q116" s="4" t="s">
        <v>26</v>
      </c>
      <c r="R116" s="4">
        <v>0</v>
      </c>
      <c r="S116" s="4" t="s">
        <v>133</v>
      </c>
      <c r="U116" s="4">
        <v>12</v>
      </c>
      <c r="V116" s="4">
        <v>0</v>
      </c>
      <c r="W116" s="4">
        <v>0</v>
      </c>
    </row>
    <row r="117" spans="1:23" ht="11.25" customHeight="1" x14ac:dyDescent="0.25">
      <c r="A117" s="4" t="s">
        <v>21</v>
      </c>
      <c r="B117" s="4" t="s">
        <v>43</v>
      </c>
      <c r="C117" s="4" t="s">
        <v>44</v>
      </c>
      <c r="D117" s="4" t="s">
        <v>47</v>
      </c>
      <c r="E117" s="4" t="s">
        <v>55</v>
      </c>
      <c r="F117" s="4" t="s">
        <v>25</v>
      </c>
      <c r="G117" s="4" t="s">
        <v>25</v>
      </c>
      <c r="H117" s="4" t="s">
        <v>25</v>
      </c>
      <c r="I117" s="5">
        <v>44743</v>
      </c>
      <c r="J117" s="6">
        <v>15</v>
      </c>
      <c r="K117" s="6">
        <v>14.399999999999999</v>
      </c>
      <c r="L117" s="6">
        <v>0</v>
      </c>
      <c r="M117" s="6">
        <v>0</v>
      </c>
      <c r="N117" s="6">
        <v>0</v>
      </c>
      <c r="O117" s="6">
        <v>0</v>
      </c>
      <c r="P117" s="6">
        <v>1</v>
      </c>
      <c r="Q117" s="4" t="s">
        <v>26</v>
      </c>
      <c r="R117" s="4">
        <v>0</v>
      </c>
      <c r="S117" s="4" t="s">
        <v>134</v>
      </c>
      <c r="U117" s="4">
        <v>12</v>
      </c>
      <c r="V117" s="4">
        <v>0</v>
      </c>
      <c r="W117" s="4">
        <v>0</v>
      </c>
    </row>
    <row r="118" spans="1:23" ht="11.25" customHeight="1" x14ac:dyDescent="0.25">
      <c r="A118" s="4" t="s">
        <v>21</v>
      </c>
      <c r="B118" s="4" t="s">
        <v>43</v>
      </c>
      <c r="C118" s="4" t="s">
        <v>44</v>
      </c>
      <c r="D118" s="4" t="s">
        <v>47</v>
      </c>
      <c r="E118" s="4" t="s">
        <v>55</v>
      </c>
      <c r="F118" s="4" t="s">
        <v>25</v>
      </c>
      <c r="G118" s="4" t="s">
        <v>25</v>
      </c>
      <c r="H118" s="4" t="s">
        <v>25</v>
      </c>
      <c r="I118" s="5">
        <v>44774</v>
      </c>
      <c r="J118" s="6">
        <v>15</v>
      </c>
      <c r="K118" s="6">
        <v>14.4</v>
      </c>
      <c r="L118" s="6">
        <v>0</v>
      </c>
      <c r="M118" s="6">
        <v>0</v>
      </c>
      <c r="N118" s="6">
        <v>0</v>
      </c>
      <c r="O118" s="6">
        <v>0</v>
      </c>
      <c r="P118" s="6">
        <v>1</v>
      </c>
      <c r="Q118" s="4" t="s">
        <v>26</v>
      </c>
      <c r="R118" s="4">
        <v>0</v>
      </c>
      <c r="S118" s="4" t="s">
        <v>135</v>
      </c>
      <c r="U118" s="4">
        <v>12</v>
      </c>
      <c r="V118" s="4">
        <v>0</v>
      </c>
      <c r="W118" s="4">
        <v>0</v>
      </c>
    </row>
    <row r="119" spans="1:23" ht="11.25" customHeight="1" x14ac:dyDescent="0.25">
      <c r="A119" s="4" t="s">
        <v>21</v>
      </c>
      <c r="B119" s="4" t="s">
        <v>43</v>
      </c>
      <c r="C119" s="4" t="s">
        <v>44</v>
      </c>
      <c r="D119" s="4" t="s">
        <v>47</v>
      </c>
      <c r="E119" s="4" t="s">
        <v>55</v>
      </c>
      <c r="F119" s="4" t="s">
        <v>25</v>
      </c>
      <c r="G119" s="4" t="s">
        <v>25</v>
      </c>
      <c r="H119" s="4" t="s">
        <v>25</v>
      </c>
      <c r="I119" s="5">
        <v>44805</v>
      </c>
      <c r="J119" s="6">
        <v>14</v>
      </c>
      <c r="K119" s="6">
        <v>13.44</v>
      </c>
      <c r="L119" s="6">
        <v>0</v>
      </c>
      <c r="M119" s="6">
        <v>0</v>
      </c>
      <c r="N119" s="6">
        <v>0</v>
      </c>
      <c r="O119" s="6">
        <v>0</v>
      </c>
      <c r="P119" s="6">
        <v>1</v>
      </c>
      <c r="Q119" s="4" t="s">
        <v>26</v>
      </c>
      <c r="R119" s="4">
        <v>0</v>
      </c>
      <c r="S119" s="4" t="s">
        <v>136</v>
      </c>
      <c r="U119" s="4">
        <v>12</v>
      </c>
      <c r="V119" s="4">
        <v>0</v>
      </c>
      <c r="W119" s="4">
        <v>0</v>
      </c>
    </row>
    <row r="120" spans="1:23" ht="11.25" customHeight="1" x14ac:dyDescent="0.25">
      <c r="A120" s="4" t="s">
        <v>21</v>
      </c>
      <c r="B120" s="4" t="s">
        <v>43</v>
      </c>
      <c r="C120" s="4" t="s">
        <v>44</v>
      </c>
      <c r="D120" s="4" t="s">
        <v>47</v>
      </c>
      <c r="E120" s="4" t="s">
        <v>55</v>
      </c>
      <c r="F120" s="4" t="s">
        <v>25</v>
      </c>
      <c r="G120" s="4" t="s">
        <v>25</v>
      </c>
      <c r="H120" s="4" t="s">
        <v>25</v>
      </c>
      <c r="I120" s="5">
        <v>44835</v>
      </c>
      <c r="J120" s="6">
        <v>14</v>
      </c>
      <c r="K120" s="6">
        <v>13.44</v>
      </c>
      <c r="L120" s="6">
        <v>0</v>
      </c>
      <c r="M120" s="6">
        <v>0</v>
      </c>
      <c r="N120" s="6">
        <v>0</v>
      </c>
      <c r="O120" s="6">
        <v>0</v>
      </c>
      <c r="P120" s="6">
        <v>1</v>
      </c>
      <c r="Q120" s="4" t="s">
        <v>26</v>
      </c>
      <c r="R120" s="4">
        <v>0</v>
      </c>
      <c r="S120" s="4" t="s">
        <v>137</v>
      </c>
      <c r="U120" s="4">
        <v>12</v>
      </c>
      <c r="V120" s="4">
        <v>0</v>
      </c>
      <c r="W120" s="4">
        <v>0</v>
      </c>
    </row>
    <row r="121" spans="1:23" ht="11.25" customHeight="1" x14ac:dyDescent="0.25">
      <c r="A121" s="4" t="s">
        <v>59</v>
      </c>
      <c r="B121" s="4" t="s">
        <v>43</v>
      </c>
      <c r="C121" s="4" t="s">
        <v>44</v>
      </c>
      <c r="D121" s="4" t="s">
        <v>47</v>
      </c>
      <c r="E121" s="4" t="s">
        <v>55</v>
      </c>
      <c r="F121" s="4" t="s">
        <v>25</v>
      </c>
      <c r="G121" s="4" t="s">
        <v>25</v>
      </c>
      <c r="H121" s="4" t="s">
        <v>25</v>
      </c>
      <c r="I121" s="5">
        <v>44866</v>
      </c>
      <c r="J121" s="6">
        <v>14</v>
      </c>
      <c r="K121" s="6">
        <v>13.44</v>
      </c>
      <c r="L121" s="6">
        <v>0</v>
      </c>
      <c r="M121" s="6">
        <v>0</v>
      </c>
      <c r="N121" s="6">
        <v>0</v>
      </c>
      <c r="O121" s="6">
        <v>0</v>
      </c>
      <c r="P121" s="6">
        <v>1</v>
      </c>
      <c r="Q121" s="4" t="s">
        <v>26</v>
      </c>
      <c r="R121" s="4">
        <v>0</v>
      </c>
      <c r="S121" s="4" t="s">
        <v>138</v>
      </c>
      <c r="U121" s="4">
        <v>12</v>
      </c>
      <c r="V121" s="4">
        <v>0</v>
      </c>
      <c r="W121" s="4">
        <v>0</v>
      </c>
    </row>
    <row r="122" spans="1:23" ht="11.25" customHeight="1" x14ac:dyDescent="0.25">
      <c r="A122" s="4" t="s">
        <v>21</v>
      </c>
      <c r="B122" s="4" t="s">
        <v>43</v>
      </c>
      <c r="C122" s="4" t="s">
        <v>44</v>
      </c>
      <c r="D122" s="4" t="s">
        <v>47</v>
      </c>
      <c r="E122" s="4" t="s">
        <v>55</v>
      </c>
      <c r="F122" s="4" t="s">
        <v>25</v>
      </c>
      <c r="G122" s="4" t="s">
        <v>25</v>
      </c>
      <c r="H122" s="4" t="s">
        <v>36</v>
      </c>
      <c r="I122" s="5">
        <v>44713</v>
      </c>
      <c r="J122" s="6">
        <v>0</v>
      </c>
      <c r="K122" s="6">
        <v>0</v>
      </c>
      <c r="L122" s="6">
        <v>6.0000000000000001E-3</v>
      </c>
      <c r="M122" s="6">
        <v>5.7599999999999995E-3</v>
      </c>
      <c r="N122" s="6">
        <v>6.0000000000000001E-3</v>
      </c>
      <c r="O122" s="6">
        <v>5.7599999999999995E-3</v>
      </c>
      <c r="P122" s="6">
        <v>0</v>
      </c>
      <c r="Q122" s="4" t="s">
        <v>26</v>
      </c>
      <c r="R122" s="4">
        <v>0</v>
      </c>
      <c r="S122" s="4" t="s">
        <v>145</v>
      </c>
      <c r="T122" s="4" t="s">
        <v>486</v>
      </c>
      <c r="U122" s="4">
        <v>0</v>
      </c>
      <c r="V122" s="4">
        <v>13</v>
      </c>
      <c r="W122" s="4">
        <v>71</v>
      </c>
    </row>
    <row r="123" spans="1:23" ht="11.25" customHeight="1" x14ac:dyDescent="0.25">
      <c r="A123" s="4" t="s">
        <v>21</v>
      </c>
      <c r="B123" s="4" t="s">
        <v>43</v>
      </c>
      <c r="C123" s="4" t="s">
        <v>44</v>
      </c>
      <c r="D123" s="4" t="s">
        <v>47</v>
      </c>
      <c r="E123" s="4" t="s">
        <v>55</v>
      </c>
      <c r="F123" s="4" t="s">
        <v>25</v>
      </c>
      <c r="G123" s="4" t="s">
        <v>25</v>
      </c>
      <c r="H123" s="4" t="s">
        <v>36</v>
      </c>
      <c r="I123" s="5">
        <v>44743</v>
      </c>
      <c r="J123" s="6">
        <v>0</v>
      </c>
      <c r="K123" s="6">
        <v>0</v>
      </c>
      <c r="L123" s="6">
        <v>7.0000000000000001E-3</v>
      </c>
      <c r="M123" s="6">
        <v>6.7200000000000003E-3</v>
      </c>
      <c r="N123" s="6">
        <v>7.0000000000000001E-3</v>
      </c>
      <c r="O123" s="6">
        <v>6.7200000000000003E-3</v>
      </c>
      <c r="P123" s="6">
        <v>0</v>
      </c>
      <c r="Q123" s="4" t="s">
        <v>26</v>
      </c>
      <c r="R123" s="4">
        <v>0</v>
      </c>
      <c r="S123" s="4" t="s">
        <v>146</v>
      </c>
      <c r="T123" s="4" t="s">
        <v>487</v>
      </c>
      <c r="U123" s="4">
        <v>0</v>
      </c>
      <c r="V123" s="4">
        <v>13</v>
      </c>
      <c r="W123" s="4">
        <v>71</v>
      </c>
    </row>
    <row r="124" spans="1:23" ht="11.25" customHeight="1" x14ac:dyDescent="0.25">
      <c r="A124" s="4" t="s">
        <v>21</v>
      </c>
      <c r="B124" s="4" t="s">
        <v>43</v>
      </c>
      <c r="C124" s="4" t="s">
        <v>44</v>
      </c>
      <c r="D124" s="4" t="s">
        <v>47</v>
      </c>
      <c r="E124" s="4" t="s">
        <v>55</v>
      </c>
      <c r="F124" s="4" t="s">
        <v>25</v>
      </c>
      <c r="G124" s="4" t="s">
        <v>25</v>
      </c>
      <c r="H124" s="4" t="s">
        <v>36</v>
      </c>
      <c r="I124" s="5">
        <v>44774</v>
      </c>
      <c r="J124" s="6">
        <v>0</v>
      </c>
      <c r="K124" s="6">
        <v>0</v>
      </c>
      <c r="L124" s="6">
        <v>1.2E-2</v>
      </c>
      <c r="M124" s="6">
        <v>1.1520000000000001E-2</v>
      </c>
      <c r="N124" s="6">
        <v>1.2E-2</v>
      </c>
      <c r="O124" s="6">
        <v>1.1520000000000001E-2</v>
      </c>
      <c r="P124" s="6">
        <v>0</v>
      </c>
      <c r="Q124" s="4" t="s">
        <v>26</v>
      </c>
      <c r="R124" s="4">
        <v>0</v>
      </c>
      <c r="S124" s="4" t="s">
        <v>147</v>
      </c>
      <c r="T124" s="4" t="s">
        <v>488</v>
      </c>
      <c r="U124" s="4">
        <v>0</v>
      </c>
      <c r="V124" s="4">
        <v>13</v>
      </c>
      <c r="W124" s="4">
        <v>71</v>
      </c>
    </row>
    <row r="125" spans="1:23" ht="11.25" customHeight="1" x14ac:dyDescent="0.25">
      <c r="A125" s="4" t="s">
        <v>21</v>
      </c>
      <c r="B125" s="4" t="s">
        <v>43</v>
      </c>
      <c r="C125" s="4" t="s">
        <v>44</v>
      </c>
      <c r="D125" s="4" t="s">
        <v>47</v>
      </c>
      <c r="E125" s="4" t="s">
        <v>55</v>
      </c>
      <c r="F125" s="4" t="s">
        <v>25</v>
      </c>
      <c r="G125" s="4" t="s">
        <v>25</v>
      </c>
      <c r="H125" s="4" t="s">
        <v>36</v>
      </c>
      <c r="I125" s="5">
        <v>44805</v>
      </c>
      <c r="J125" s="6">
        <v>0</v>
      </c>
      <c r="K125" s="6">
        <v>0</v>
      </c>
      <c r="L125" s="6">
        <v>1.2E-2</v>
      </c>
      <c r="M125" s="6">
        <v>1.1519999999999999E-2</v>
      </c>
      <c r="N125" s="6">
        <v>1.2E-2</v>
      </c>
      <c r="O125" s="6">
        <v>1.1519999999999999E-2</v>
      </c>
      <c r="P125" s="6">
        <v>0</v>
      </c>
      <c r="Q125" s="4" t="s">
        <v>26</v>
      </c>
      <c r="R125" s="4">
        <v>0</v>
      </c>
      <c r="S125" s="4" t="s">
        <v>148</v>
      </c>
      <c r="T125" s="4" t="s">
        <v>489</v>
      </c>
      <c r="U125" s="4">
        <v>0</v>
      </c>
      <c r="V125" s="4">
        <v>13</v>
      </c>
      <c r="W125" s="4">
        <v>71</v>
      </c>
    </row>
    <row r="126" spans="1:23" ht="11.25" customHeight="1" x14ac:dyDescent="0.25">
      <c r="A126" s="4" t="s">
        <v>21</v>
      </c>
      <c r="B126" s="4" t="s">
        <v>43</v>
      </c>
      <c r="C126" s="4" t="s">
        <v>44</v>
      </c>
      <c r="D126" s="4" t="s">
        <v>47</v>
      </c>
      <c r="E126" s="4" t="s">
        <v>55</v>
      </c>
      <c r="F126" s="4" t="s">
        <v>25</v>
      </c>
      <c r="G126" s="4" t="s">
        <v>25</v>
      </c>
      <c r="H126" s="4" t="s">
        <v>36</v>
      </c>
      <c r="I126" s="5">
        <v>44835</v>
      </c>
      <c r="J126" s="6">
        <v>0</v>
      </c>
      <c r="K126" s="6">
        <v>0</v>
      </c>
      <c r="L126" s="6">
        <v>8.0000000000000002E-3</v>
      </c>
      <c r="M126" s="6">
        <v>7.6800000000000002E-3</v>
      </c>
      <c r="N126" s="6">
        <v>8.0000000000000002E-3</v>
      </c>
      <c r="O126" s="6">
        <v>7.6800000000000002E-3</v>
      </c>
      <c r="P126" s="6">
        <v>0</v>
      </c>
      <c r="Q126" s="4" t="s">
        <v>26</v>
      </c>
      <c r="R126" s="4">
        <v>0</v>
      </c>
      <c r="S126" s="4" t="s">
        <v>149</v>
      </c>
      <c r="T126" s="4" t="s">
        <v>490</v>
      </c>
      <c r="U126" s="4">
        <v>0</v>
      </c>
      <c r="V126" s="4">
        <v>13</v>
      </c>
      <c r="W126" s="4">
        <v>71</v>
      </c>
    </row>
    <row r="127" spans="1:23" ht="11.25" customHeight="1" x14ac:dyDescent="0.25">
      <c r="A127" s="4" t="s">
        <v>59</v>
      </c>
      <c r="B127" s="4" t="s">
        <v>43</v>
      </c>
      <c r="C127" s="4" t="s">
        <v>44</v>
      </c>
      <c r="D127" s="4" t="s">
        <v>47</v>
      </c>
      <c r="E127" s="4" t="s">
        <v>55</v>
      </c>
      <c r="F127" s="4" t="s">
        <v>25</v>
      </c>
      <c r="G127" s="4" t="s">
        <v>25</v>
      </c>
      <c r="H127" s="4" t="s">
        <v>36</v>
      </c>
      <c r="I127" s="5">
        <v>44866</v>
      </c>
      <c r="J127" s="6">
        <v>0</v>
      </c>
      <c r="K127" s="6">
        <v>0</v>
      </c>
      <c r="L127" s="6">
        <v>8.0000000000000002E-3</v>
      </c>
      <c r="M127" s="6">
        <v>7.6800000000000002E-3</v>
      </c>
      <c r="N127" s="6">
        <v>8.0000000000000002E-3</v>
      </c>
      <c r="O127" s="6">
        <v>7.6800000000000002E-3</v>
      </c>
      <c r="P127" s="6">
        <v>0</v>
      </c>
      <c r="Q127" s="4" t="s">
        <v>26</v>
      </c>
      <c r="R127" s="4">
        <v>0</v>
      </c>
      <c r="S127" s="4" t="s">
        <v>150</v>
      </c>
      <c r="T127" s="4" t="s">
        <v>491</v>
      </c>
      <c r="U127" s="4">
        <v>0</v>
      </c>
      <c r="V127" s="4">
        <v>13</v>
      </c>
      <c r="W127" s="4">
        <v>71</v>
      </c>
    </row>
    <row r="128" spans="1:23" ht="11.25" customHeight="1" x14ac:dyDescent="0.25">
      <c r="A128" s="4" t="s">
        <v>21</v>
      </c>
      <c r="B128" s="4" t="s">
        <v>43</v>
      </c>
      <c r="C128" s="4" t="s">
        <v>44</v>
      </c>
      <c r="D128" s="4" t="s">
        <v>47</v>
      </c>
      <c r="E128" s="4" t="s">
        <v>25</v>
      </c>
      <c r="F128" s="4" t="s">
        <v>25</v>
      </c>
      <c r="G128" s="4" t="s">
        <v>25</v>
      </c>
      <c r="H128" s="4" t="s">
        <v>37</v>
      </c>
      <c r="I128" s="5">
        <v>44621</v>
      </c>
      <c r="J128" s="6">
        <v>0</v>
      </c>
      <c r="K128" s="6">
        <v>0</v>
      </c>
      <c r="L128" s="6">
        <v>7.3620000000000001</v>
      </c>
      <c r="M128" s="6">
        <v>7.06752</v>
      </c>
      <c r="N128" s="6">
        <v>7.3620000000000001</v>
      </c>
      <c r="O128" s="6">
        <v>7.06752</v>
      </c>
      <c r="P128" s="6">
        <v>0</v>
      </c>
      <c r="Q128" s="4" t="s">
        <v>26</v>
      </c>
      <c r="R128" s="4">
        <v>0</v>
      </c>
      <c r="S128" s="4" t="s">
        <v>118</v>
      </c>
      <c r="T128" s="4" t="s">
        <v>467</v>
      </c>
      <c r="U128" s="4">
        <v>0</v>
      </c>
      <c r="V128" s="4">
        <v>14</v>
      </c>
      <c r="W128" s="4">
        <v>72</v>
      </c>
    </row>
    <row r="129" spans="1:23" ht="11.25" customHeight="1" x14ac:dyDescent="0.25">
      <c r="A129" s="4" t="s">
        <v>21</v>
      </c>
      <c r="B129" s="4" t="s">
        <v>43</v>
      </c>
      <c r="C129" s="4" t="s">
        <v>44</v>
      </c>
      <c r="D129" s="4" t="s">
        <v>47</v>
      </c>
      <c r="E129" s="4" t="s">
        <v>25</v>
      </c>
      <c r="F129" s="4" t="s">
        <v>25</v>
      </c>
      <c r="G129" s="4" t="s">
        <v>25</v>
      </c>
      <c r="H129" s="4" t="s">
        <v>37</v>
      </c>
      <c r="I129" s="5">
        <v>44652</v>
      </c>
      <c r="J129" s="6">
        <v>0</v>
      </c>
      <c r="K129" s="6">
        <v>0</v>
      </c>
      <c r="L129" s="6">
        <v>7.01</v>
      </c>
      <c r="M129" s="6">
        <v>6.7295999999999996</v>
      </c>
      <c r="N129" s="6">
        <v>7.01</v>
      </c>
      <c r="O129" s="6">
        <v>6.7295999999999996</v>
      </c>
      <c r="P129" s="6">
        <v>0</v>
      </c>
      <c r="Q129" s="4" t="s">
        <v>26</v>
      </c>
      <c r="R129" s="4">
        <v>0</v>
      </c>
      <c r="S129" s="4" t="s">
        <v>119</v>
      </c>
      <c r="T129" s="4" t="s">
        <v>468</v>
      </c>
      <c r="U129" s="4">
        <v>0</v>
      </c>
      <c r="V129" s="4">
        <v>14</v>
      </c>
      <c r="W129" s="4">
        <v>72</v>
      </c>
    </row>
    <row r="130" spans="1:23" ht="11.25" customHeight="1" x14ac:dyDescent="0.25">
      <c r="A130" s="4" t="s">
        <v>21</v>
      </c>
      <c r="B130" s="4" t="s">
        <v>43</v>
      </c>
      <c r="C130" s="4" t="s">
        <v>44</v>
      </c>
      <c r="D130" s="4" t="s">
        <v>47</v>
      </c>
      <c r="E130" s="4" t="s">
        <v>25</v>
      </c>
      <c r="F130" s="4" t="s">
        <v>25</v>
      </c>
      <c r="G130" s="4" t="s">
        <v>25</v>
      </c>
      <c r="H130" s="4" t="s">
        <v>37</v>
      </c>
      <c r="I130" s="5">
        <v>44682</v>
      </c>
      <c r="J130" s="6">
        <v>0</v>
      </c>
      <c r="K130" s="6">
        <v>0</v>
      </c>
      <c r="L130" s="6">
        <v>16.87</v>
      </c>
      <c r="M130" s="6">
        <v>16.1952</v>
      </c>
      <c r="N130" s="6">
        <v>16.87</v>
      </c>
      <c r="O130" s="6">
        <v>16.1952</v>
      </c>
      <c r="P130" s="6">
        <v>0</v>
      </c>
      <c r="Q130" s="4" t="s">
        <v>26</v>
      </c>
      <c r="R130" s="4">
        <v>0</v>
      </c>
      <c r="S130" s="4" t="s">
        <v>120</v>
      </c>
      <c r="T130" s="4" t="s">
        <v>474</v>
      </c>
      <c r="U130" s="4">
        <v>0</v>
      </c>
      <c r="V130" s="4">
        <v>14</v>
      </c>
      <c r="W130" s="4">
        <v>72</v>
      </c>
    </row>
    <row r="131" spans="1:23" ht="11.25" customHeight="1" x14ac:dyDescent="0.25">
      <c r="A131" s="4" t="s">
        <v>21</v>
      </c>
      <c r="B131" s="4" t="s">
        <v>43</v>
      </c>
      <c r="C131" s="4" t="s">
        <v>44</v>
      </c>
      <c r="D131" s="4" t="s">
        <v>47</v>
      </c>
      <c r="E131" s="4" t="s">
        <v>25</v>
      </c>
      <c r="F131" s="4" t="s">
        <v>25</v>
      </c>
      <c r="G131" s="4" t="s">
        <v>25</v>
      </c>
      <c r="H131" s="4" t="s">
        <v>37</v>
      </c>
      <c r="I131" s="5">
        <v>44713</v>
      </c>
      <c r="J131" s="6">
        <v>0</v>
      </c>
      <c r="K131" s="6">
        <v>0</v>
      </c>
      <c r="L131" s="6">
        <v>9.4410000000000007</v>
      </c>
      <c r="M131" s="6">
        <v>9.0633599999999994</v>
      </c>
      <c r="N131" s="6">
        <v>9.4410000000000007</v>
      </c>
      <c r="O131" s="6">
        <v>9.0633599999999994</v>
      </c>
      <c r="P131" s="6">
        <v>0</v>
      </c>
      <c r="Q131" s="4" t="s">
        <v>26</v>
      </c>
      <c r="R131" s="4">
        <v>0</v>
      </c>
      <c r="S131" s="4" t="s">
        <v>121</v>
      </c>
      <c r="T131" s="4" t="s">
        <v>475</v>
      </c>
      <c r="U131" s="4">
        <v>0</v>
      </c>
      <c r="V131" s="4">
        <v>14</v>
      </c>
      <c r="W131" s="4">
        <v>72</v>
      </c>
    </row>
    <row r="132" spans="1:23" ht="11.25" customHeight="1" x14ac:dyDescent="0.25">
      <c r="A132" s="4" t="s">
        <v>21</v>
      </c>
      <c r="B132" s="4" t="s">
        <v>43</v>
      </c>
      <c r="C132" s="4" t="s">
        <v>44</v>
      </c>
      <c r="D132" s="4" t="s">
        <v>47</v>
      </c>
      <c r="E132" s="4" t="s">
        <v>25</v>
      </c>
      <c r="F132" s="4" t="s">
        <v>25</v>
      </c>
      <c r="G132" s="4" t="s">
        <v>25</v>
      </c>
      <c r="H132" s="4" t="s">
        <v>37</v>
      </c>
      <c r="I132" s="5">
        <v>44743</v>
      </c>
      <c r="J132" s="6">
        <v>0</v>
      </c>
      <c r="K132" s="6">
        <v>0</v>
      </c>
      <c r="L132" s="6">
        <v>8.7940000000000005</v>
      </c>
      <c r="M132" s="6">
        <v>8.44224</v>
      </c>
      <c r="N132" s="6">
        <v>8.7940000000000005</v>
      </c>
      <c r="O132" s="6">
        <v>8.44224</v>
      </c>
      <c r="P132" s="6">
        <v>0</v>
      </c>
      <c r="Q132" s="4" t="s">
        <v>26</v>
      </c>
      <c r="R132" s="4">
        <v>0</v>
      </c>
      <c r="S132" s="4" t="s">
        <v>122</v>
      </c>
      <c r="T132" s="4" t="s">
        <v>476</v>
      </c>
      <c r="U132" s="4">
        <v>0</v>
      </c>
      <c r="V132" s="4">
        <v>14</v>
      </c>
      <c r="W132" s="4">
        <v>72</v>
      </c>
    </row>
    <row r="133" spans="1:23" ht="11.25" customHeight="1" x14ac:dyDescent="0.25">
      <c r="A133" s="4" t="s">
        <v>21</v>
      </c>
      <c r="B133" s="4" t="s">
        <v>43</v>
      </c>
      <c r="C133" s="4" t="s">
        <v>44</v>
      </c>
      <c r="D133" s="4" t="s">
        <v>47</v>
      </c>
      <c r="E133" s="4" t="s">
        <v>25</v>
      </c>
      <c r="F133" s="4" t="s">
        <v>25</v>
      </c>
      <c r="G133" s="4" t="s">
        <v>25</v>
      </c>
      <c r="H133" s="4" t="s">
        <v>37</v>
      </c>
      <c r="I133" s="5">
        <v>44774</v>
      </c>
      <c r="J133" s="6">
        <v>0</v>
      </c>
      <c r="K133" s="6">
        <v>0</v>
      </c>
      <c r="L133" s="6">
        <v>3.9180000000000001</v>
      </c>
      <c r="M133" s="6">
        <v>3.7612800000000002</v>
      </c>
      <c r="N133" s="6">
        <v>3.9180000000000001</v>
      </c>
      <c r="O133" s="6">
        <v>3.7612800000000002</v>
      </c>
      <c r="P133" s="6">
        <v>0</v>
      </c>
      <c r="Q133" s="4" t="s">
        <v>26</v>
      </c>
      <c r="R133" s="4">
        <v>0</v>
      </c>
      <c r="S133" s="4" t="s">
        <v>123</v>
      </c>
      <c r="T133" s="4" t="s">
        <v>477</v>
      </c>
      <c r="U133" s="4">
        <v>0</v>
      </c>
      <c r="V133" s="4">
        <v>14</v>
      </c>
      <c r="W133" s="4">
        <v>72</v>
      </c>
    </row>
    <row r="134" spans="1:23" ht="11.25" customHeight="1" x14ac:dyDescent="0.25">
      <c r="A134" s="4" t="s">
        <v>21</v>
      </c>
      <c r="B134" s="4" t="s">
        <v>43</v>
      </c>
      <c r="C134" s="4" t="s">
        <v>44</v>
      </c>
      <c r="D134" s="4" t="s">
        <v>47</v>
      </c>
      <c r="E134" s="4" t="s">
        <v>25</v>
      </c>
      <c r="F134" s="4" t="s">
        <v>25</v>
      </c>
      <c r="G134" s="4" t="s">
        <v>25</v>
      </c>
      <c r="H134" s="4" t="s">
        <v>37</v>
      </c>
      <c r="I134" s="5">
        <v>44805</v>
      </c>
      <c r="J134" s="6">
        <v>0</v>
      </c>
      <c r="K134" s="6">
        <v>0</v>
      </c>
      <c r="L134" s="6">
        <v>6.423</v>
      </c>
      <c r="M134" s="6">
        <v>6.16608</v>
      </c>
      <c r="N134" s="6">
        <v>6.423</v>
      </c>
      <c r="O134" s="6">
        <v>6.16608</v>
      </c>
      <c r="P134" s="6">
        <v>0</v>
      </c>
      <c r="Q134" s="4" t="s">
        <v>26</v>
      </c>
      <c r="R134" s="4">
        <v>0</v>
      </c>
      <c r="S134" s="4" t="s">
        <v>124</v>
      </c>
      <c r="T134" s="4" t="s">
        <v>478</v>
      </c>
      <c r="U134" s="4">
        <v>0</v>
      </c>
      <c r="V134" s="4">
        <v>14</v>
      </c>
      <c r="W134" s="4">
        <v>72</v>
      </c>
    </row>
    <row r="135" spans="1:23" ht="11.25" customHeight="1" x14ac:dyDescent="0.25">
      <c r="A135" s="4" t="s">
        <v>21</v>
      </c>
      <c r="B135" s="4" t="s">
        <v>43</v>
      </c>
      <c r="C135" s="4" t="s">
        <v>44</v>
      </c>
      <c r="D135" s="4" t="s">
        <v>47</v>
      </c>
      <c r="E135" s="4" t="s">
        <v>25</v>
      </c>
      <c r="F135" s="4" t="s">
        <v>25</v>
      </c>
      <c r="G135" s="4" t="s">
        <v>25</v>
      </c>
      <c r="H135" s="4" t="s">
        <v>37</v>
      </c>
      <c r="I135" s="5">
        <v>44835</v>
      </c>
      <c r="J135" s="6">
        <v>0</v>
      </c>
      <c r="K135" s="6">
        <v>0</v>
      </c>
      <c r="L135" s="6">
        <v>4.0030000000000001</v>
      </c>
      <c r="M135" s="6">
        <v>3.8428800000000001</v>
      </c>
      <c r="N135" s="6">
        <v>4.0030000000000001</v>
      </c>
      <c r="O135" s="6">
        <v>3.8428800000000001</v>
      </c>
      <c r="P135" s="6">
        <v>0</v>
      </c>
      <c r="Q135" s="4" t="s">
        <v>26</v>
      </c>
      <c r="R135" s="4">
        <v>0</v>
      </c>
      <c r="S135" s="4" t="s">
        <v>125</v>
      </c>
      <c r="T135" s="4" t="s">
        <v>479</v>
      </c>
      <c r="U135" s="4">
        <v>0</v>
      </c>
      <c r="V135" s="4">
        <v>14</v>
      </c>
      <c r="W135" s="4">
        <v>72</v>
      </c>
    </row>
    <row r="136" spans="1:23" ht="11.25" customHeight="1" x14ac:dyDescent="0.25">
      <c r="A136" s="4" t="s">
        <v>59</v>
      </c>
      <c r="B136" s="4" t="s">
        <v>43</v>
      </c>
      <c r="C136" s="4" t="s">
        <v>44</v>
      </c>
      <c r="D136" s="4" t="s">
        <v>47</v>
      </c>
      <c r="E136" s="4" t="s">
        <v>25</v>
      </c>
      <c r="F136" s="4" t="s">
        <v>25</v>
      </c>
      <c r="G136" s="4" t="s">
        <v>25</v>
      </c>
      <c r="H136" s="4" t="s">
        <v>37</v>
      </c>
      <c r="I136" s="5">
        <v>44866</v>
      </c>
      <c r="J136" s="6">
        <v>0</v>
      </c>
      <c r="K136" s="6">
        <v>0</v>
      </c>
      <c r="L136" s="6">
        <v>4.0030000000000001</v>
      </c>
      <c r="M136" s="6">
        <v>3.8428800000000001</v>
      </c>
      <c r="N136" s="6">
        <v>4.0030000000000001</v>
      </c>
      <c r="O136" s="6">
        <v>3.8428800000000001</v>
      </c>
      <c r="P136" s="6">
        <v>0</v>
      </c>
      <c r="Q136" s="4" t="s">
        <v>26</v>
      </c>
      <c r="R136" s="4">
        <v>0</v>
      </c>
      <c r="S136" s="4" t="s">
        <v>126</v>
      </c>
      <c r="T136" s="4" t="s">
        <v>480</v>
      </c>
      <c r="U136" s="4">
        <v>0</v>
      </c>
      <c r="V136" s="4">
        <v>14</v>
      </c>
      <c r="W136" s="4">
        <v>72</v>
      </c>
    </row>
    <row r="137" spans="1:23" ht="11.25" customHeight="1" x14ac:dyDescent="0.25">
      <c r="A137" s="4" t="s">
        <v>21</v>
      </c>
      <c r="B137" s="4" t="s">
        <v>43</v>
      </c>
      <c r="C137" s="4" t="s">
        <v>44</v>
      </c>
      <c r="D137" s="4" t="s">
        <v>47</v>
      </c>
      <c r="E137" s="4" t="s">
        <v>25</v>
      </c>
      <c r="F137" s="4" t="s">
        <v>25</v>
      </c>
      <c r="G137" s="4" t="s">
        <v>25</v>
      </c>
      <c r="H137" s="4" t="s">
        <v>25</v>
      </c>
      <c r="I137" s="5">
        <v>44621</v>
      </c>
      <c r="J137" s="6">
        <v>108</v>
      </c>
      <c r="K137" s="6">
        <v>103.68</v>
      </c>
      <c r="L137" s="6">
        <v>0</v>
      </c>
      <c r="M137" s="6">
        <v>0</v>
      </c>
      <c r="N137" s="6">
        <v>0</v>
      </c>
      <c r="O137" s="6">
        <v>0</v>
      </c>
      <c r="P137" s="6">
        <v>1</v>
      </c>
      <c r="Q137" s="4" t="s">
        <v>26</v>
      </c>
      <c r="R137" s="4">
        <v>0</v>
      </c>
      <c r="S137" s="4" t="s">
        <v>130</v>
      </c>
      <c r="U137" s="4">
        <v>12</v>
      </c>
      <c r="V137" s="4">
        <v>0</v>
      </c>
      <c r="W137" s="4">
        <v>0</v>
      </c>
    </row>
    <row r="138" spans="1:23" ht="11.25" customHeight="1" x14ac:dyDescent="0.25">
      <c r="A138" s="4" t="s">
        <v>21</v>
      </c>
      <c r="B138" s="4" t="s">
        <v>43</v>
      </c>
      <c r="C138" s="4" t="s">
        <v>44</v>
      </c>
      <c r="D138" s="4" t="s">
        <v>47</v>
      </c>
      <c r="E138" s="4" t="s">
        <v>25</v>
      </c>
      <c r="F138" s="4" t="s">
        <v>25</v>
      </c>
      <c r="G138" s="4" t="s">
        <v>25</v>
      </c>
      <c r="H138" s="4" t="s">
        <v>25</v>
      </c>
      <c r="I138" s="5">
        <v>44652</v>
      </c>
      <c r="J138" s="6">
        <v>160</v>
      </c>
      <c r="K138" s="6">
        <v>153.6</v>
      </c>
      <c r="L138" s="6">
        <v>0</v>
      </c>
      <c r="M138" s="6">
        <v>0</v>
      </c>
      <c r="N138" s="6">
        <v>0</v>
      </c>
      <c r="O138" s="6">
        <v>0</v>
      </c>
      <c r="P138" s="6">
        <v>2</v>
      </c>
      <c r="Q138" s="4" t="s">
        <v>26</v>
      </c>
      <c r="R138" s="4">
        <v>0</v>
      </c>
      <c r="S138" s="4" t="s">
        <v>131</v>
      </c>
      <c r="U138" s="4">
        <v>12</v>
      </c>
      <c r="V138" s="4">
        <v>0</v>
      </c>
      <c r="W138" s="4">
        <v>0</v>
      </c>
    </row>
    <row r="139" spans="1:23" ht="11.25" customHeight="1" x14ac:dyDescent="0.25">
      <c r="A139" s="4" t="s">
        <v>21</v>
      </c>
      <c r="B139" s="4" t="s">
        <v>43</v>
      </c>
      <c r="C139" s="4" t="s">
        <v>44</v>
      </c>
      <c r="D139" s="4" t="s">
        <v>47</v>
      </c>
      <c r="E139" s="4" t="s">
        <v>25</v>
      </c>
      <c r="F139" s="4" t="s">
        <v>25</v>
      </c>
      <c r="G139" s="4" t="s">
        <v>25</v>
      </c>
      <c r="H139" s="4" t="s">
        <v>25</v>
      </c>
      <c r="I139" s="5">
        <v>44682</v>
      </c>
      <c r="J139" s="6">
        <v>173</v>
      </c>
      <c r="K139" s="6">
        <v>166.08</v>
      </c>
      <c r="L139" s="6">
        <v>0</v>
      </c>
      <c r="M139" s="6">
        <v>0</v>
      </c>
      <c r="N139" s="6">
        <v>0</v>
      </c>
      <c r="O139" s="6">
        <v>0</v>
      </c>
      <c r="P139" s="6">
        <v>2</v>
      </c>
      <c r="Q139" s="4" t="s">
        <v>26</v>
      </c>
      <c r="R139" s="4">
        <v>0</v>
      </c>
      <c r="S139" s="4" t="s">
        <v>132</v>
      </c>
      <c r="U139" s="4">
        <v>12</v>
      </c>
      <c r="V139" s="4">
        <v>0</v>
      </c>
      <c r="W139" s="4">
        <v>0</v>
      </c>
    </row>
    <row r="140" spans="1:23" ht="11.25" customHeight="1" x14ac:dyDescent="0.25">
      <c r="A140" s="4" t="s">
        <v>21</v>
      </c>
      <c r="B140" s="4" t="s">
        <v>43</v>
      </c>
      <c r="C140" s="4" t="s">
        <v>44</v>
      </c>
      <c r="D140" s="4" t="s">
        <v>47</v>
      </c>
      <c r="E140" s="4" t="s">
        <v>25</v>
      </c>
      <c r="F140" s="4" t="s">
        <v>25</v>
      </c>
      <c r="G140" s="4" t="s">
        <v>25</v>
      </c>
      <c r="H140" s="4" t="s">
        <v>25</v>
      </c>
      <c r="I140" s="5">
        <v>44713</v>
      </c>
      <c r="J140" s="6">
        <v>186</v>
      </c>
      <c r="K140" s="6">
        <v>178.56</v>
      </c>
      <c r="L140" s="6">
        <v>0</v>
      </c>
      <c r="M140" s="6">
        <v>0</v>
      </c>
      <c r="N140" s="6">
        <v>0</v>
      </c>
      <c r="O140" s="6">
        <v>0</v>
      </c>
      <c r="P140" s="6">
        <v>2</v>
      </c>
      <c r="Q140" s="4" t="s">
        <v>26</v>
      </c>
      <c r="R140" s="4">
        <v>0</v>
      </c>
      <c r="S140" s="4" t="s">
        <v>133</v>
      </c>
      <c r="U140" s="4">
        <v>12</v>
      </c>
      <c r="V140" s="4">
        <v>0</v>
      </c>
      <c r="W140" s="4">
        <v>0</v>
      </c>
    </row>
    <row r="141" spans="1:23" ht="11.25" customHeight="1" x14ac:dyDescent="0.25">
      <c r="A141" s="4" t="s">
        <v>21</v>
      </c>
      <c r="B141" s="4" t="s">
        <v>43</v>
      </c>
      <c r="C141" s="4" t="s">
        <v>44</v>
      </c>
      <c r="D141" s="4" t="s">
        <v>47</v>
      </c>
      <c r="E141" s="4" t="s">
        <v>25</v>
      </c>
      <c r="F141" s="4" t="s">
        <v>25</v>
      </c>
      <c r="G141" s="4" t="s">
        <v>25</v>
      </c>
      <c r="H141" s="4" t="s">
        <v>25</v>
      </c>
      <c r="I141" s="5">
        <v>44743</v>
      </c>
      <c r="J141" s="6">
        <v>138</v>
      </c>
      <c r="K141" s="6">
        <v>132.47999999999999</v>
      </c>
      <c r="L141" s="6">
        <v>0</v>
      </c>
      <c r="M141" s="6">
        <v>0</v>
      </c>
      <c r="N141" s="6">
        <v>0</v>
      </c>
      <c r="O141" s="6">
        <v>0</v>
      </c>
      <c r="P141" s="6">
        <v>2</v>
      </c>
      <c r="Q141" s="4" t="s">
        <v>26</v>
      </c>
      <c r="R141" s="4">
        <v>0</v>
      </c>
      <c r="S141" s="4" t="s">
        <v>134</v>
      </c>
      <c r="U141" s="4">
        <v>12</v>
      </c>
      <c r="V141" s="4">
        <v>0</v>
      </c>
      <c r="W141" s="4">
        <v>0</v>
      </c>
    </row>
    <row r="142" spans="1:23" ht="11.25" customHeight="1" x14ac:dyDescent="0.25">
      <c r="A142" s="4" t="s">
        <v>21</v>
      </c>
      <c r="B142" s="4" t="s">
        <v>43</v>
      </c>
      <c r="C142" s="4" t="s">
        <v>44</v>
      </c>
      <c r="D142" s="4" t="s">
        <v>47</v>
      </c>
      <c r="E142" s="4" t="s">
        <v>25</v>
      </c>
      <c r="F142" s="4" t="s">
        <v>25</v>
      </c>
      <c r="G142" s="4" t="s">
        <v>25</v>
      </c>
      <c r="H142" s="4" t="s">
        <v>25</v>
      </c>
      <c r="I142" s="5">
        <v>44774</v>
      </c>
      <c r="J142" s="6">
        <v>37</v>
      </c>
      <c r="K142" s="6">
        <v>35.520000000000003</v>
      </c>
      <c r="L142" s="6">
        <v>0</v>
      </c>
      <c r="M142" s="6">
        <v>0</v>
      </c>
      <c r="N142" s="6">
        <v>0</v>
      </c>
      <c r="O142" s="6">
        <v>0</v>
      </c>
      <c r="P142" s="6">
        <v>2</v>
      </c>
      <c r="Q142" s="4" t="s">
        <v>26</v>
      </c>
      <c r="R142" s="4">
        <v>0</v>
      </c>
      <c r="S142" s="4" t="s">
        <v>135</v>
      </c>
      <c r="U142" s="4">
        <v>12</v>
      </c>
      <c r="V142" s="4">
        <v>0</v>
      </c>
      <c r="W142" s="4">
        <v>0</v>
      </c>
    </row>
    <row r="143" spans="1:23" ht="11.25" customHeight="1" x14ac:dyDescent="0.25">
      <c r="A143" s="4" t="s">
        <v>21</v>
      </c>
      <c r="B143" s="4" t="s">
        <v>43</v>
      </c>
      <c r="C143" s="4" t="s">
        <v>44</v>
      </c>
      <c r="D143" s="4" t="s">
        <v>47</v>
      </c>
      <c r="E143" s="4" t="s">
        <v>25</v>
      </c>
      <c r="F143" s="4" t="s">
        <v>25</v>
      </c>
      <c r="G143" s="4" t="s">
        <v>25</v>
      </c>
      <c r="H143" s="4" t="s">
        <v>25</v>
      </c>
      <c r="I143" s="5">
        <v>44805</v>
      </c>
      <c r="J143" s="6">
        <v>170</v>
      </c>
      <c r="K143" s="6">
        <v>163.19999999999999</v>
      </c>
      <c r="L143" s="6">
        <v>0</v>
      </c>
      <c r="M143" s="6">
        <v>0</v>
      </c>
      <c r="N143" s="6">
        <v>0</v>
      </c>
      <c r="O143" s="6">
        <v>0</v>
      </c>
      <c r="P143" s="6">
        <v>2</v>
      </c>
      <c r="Q143" s="4" t="s">
        <v>26</v>
      </c>
      <c r="R143" s="4">
        <v>0</v>
      </c>
      <c r="S143" s="4" t="s">
        <v>136</v>
      </c>
      <c r="U143" s="4">
        <v>12</v>
      </c>
      <c r="V143" s="4">
        <v>0</v>
      </c>
      <c r="W143" s="4">
        <v>0</v>
      </c>
    </row>
    <row r="144" spans="1:23" ht="11.25" customHeight="1" x14ac:dyDescent="0.25">
      <c r="A144" s="4" t="s">
        <v>21</v>
      </c>
      <c r="B144" s="4" t="s">
        <v>43</v>
      </c>
      <c r="C144" s="4" t="s">
        <v>44</v>
      </c>
      <c r="D144" s="4" t="s">
        <v>47</v>
      </c>
      <c r="E144" s="4" t="s">
        <v>25</v>
      </c>
      <c r="F144" s="4" t="s">
        <v>25</v>
      </c>
      <c r="G144" s="4" t="s">
        <v>25</v>
      </c>
      <c r="H144" s="4" t="s">
        <v>25</v>
      </c>
      <c r="I144" s="5">
        <v>44835</v>
      </c>
      <c r="J144" s="6">
        <v>85</v>
      </c>
      <c r="K144" s="6">
        <v>81.599999999999994</v>
      </c>
      <c r="L144" s="6">
        <v>0</v>
      </c>
      <c r="M144" s="6">
        <v>0</v>
      </c>
      <c r="N144" s="6">
        <v>0</v>
      </c>
      <c r="O144" s="6">
        <v>0</v>
      </c>
      <c r="P144" s="6">
        <v>2</v>
      </c>
      <c r="Q144" s="4" t="s">
        <v>26</v>
      </c>
      <c r="R144" s="4">
        <v>0</v>
      </c>
      <c r="S144" s="4" t="s">
        <v>137</v>
      </c>
      <c r="U144" s="4">
        <v>12</v>
      </c>
      <c r="V144" s="4">
        <v>0</v>
      </c>
      <c r="W144" s="4">
        <v>0</v>
      </c>
    </row>
    <row r="145" spans="1:23" ht="11.25" customHeight="1" x14ac:dyDescent="0.25">
      <c r="A145" s="4" t="s">
        <v>59</v>
      </c>
      <c r="B145" s="4" t="s">
        <v>43</v>
      </c>
      <c r="C145" s="4" t="s">
        <v>44</v>
      </c>
      <c r="D145" s="4" t="s">
        <v>47</v>
      </c>
      <c r="E145" s="4" t="s">
        <v>25</v>
      </c>
      <c r="F145" s="4" t="s">
        <v>25</v>
      </c>
      <c r="G145" s="4" t="s">
        <v>25</v>
      </c>
      <c r="H145" s="4" t="s">
        <v>25</v>
      </c>
      <c r="I145" s="5">
        <v>44866</v>
      </c>
      <c r="J145" s="6">
        <v>85</v>
      </c>
      <c r="K145" s="6">
        <v>81.599999999999994</v>
      </c>
      <c r="L145" s="6">
        <v>0</v>
      </c>
      <c r="M145" s="6">
        <v>0</v>
      </c>
      <c r="N145" s="6">
        <v>0</v>
      </c>
      <c r="O145" s="6">
        <v>0</v>
      </c>
      <c r="P145" s="6">
        <v>2</v>
      </c>
      <c r="Q145" s="4" t="s">
        <v>26</v>
      </c>
      <c r="R145" s="4">
        <v>0</v>
      </c>
      <c r="S145" s="4" t="s">
        <v>138</v>
      </c>
      <c r="U145" s="4">
        <v>12</v>
      </c>
      <c r="V145" s="4">
        <v>0</v>
      </c>
      <c r="W145" s="4">
        <v>0</v>
      </c>
    </row>
    <row r="146" spans="1:23" ht="11.25" customHeight="1" x14ac:dyDescent="0.25">
      <c r="A146" s="4" t="s">
        <v>21</v>
      </c>
      <c r="B146" s="4" t="s">
        <v>43</v>
      </c>
      <c r="C146" s="4" t="s">
        <v>44</v>
      </c>
      <c r="D146" s="4" t="s">
        <v>47</v>
      </c>
      <c r="E146" s="4" t="s">
        <v>25</v>
      </c>
      <c r="F146" s="4" t="s">
        <v>25</v>
      </c>
      <c r="G146" s="4" t="s">
        <v>25</v>
      </c>
      <c r="H146" s="4" t="s">
        <v>36</v>
      </c>
      <c r="I146" s="5">
        <v>44621</v>
      </c>
      <c r="J146" s="6">
        <v>0</v>
      </c>
      <c r="K146" s="6">
        <v>0</v>
      </c>
      <c r="L146" s="6">
        <v>1.2589999999999999</v>
      </c>
      <c r="M146" s="6">
        <v>1.2086399999999999</v>
      </c>
      <c r="N146" s="6">
        <v>1.2589999999999999</v>
      </c>
      <c r="O146" s="6">
        <v>1.2086399999999999</v>
      </c>
      <c r="P146" s="6">
        <v>0</v>
      </c>
      <c r="Q146" s="4" t="s">
        <v>26</v>
      </c>
      <c r="R146" s="4">
        <v>0</v>
      </c>
      <c r="S146" s="4" t="s">
        <v>142</v>
      </c>
      <c r="T146" s="4" t="s">
        <v>472</v>
      </c>
      <c r="U146" s="4">
        <v>0</v>
      </c>
      <c r="V146" s="4">
        <v>13</v>
      </c>
      <c r="W146" s="4">
        <v>71</v>
      </c>
    </row>
    <row r="147" spans="1:23" ht="11.25" customHeight="1" x14ac:dyDescent="0.25">
      <c r="A147" s="4" t="s">
        <v>21</v>
      </c>
      <c r="B147" s="4" t="s">
        <v>43</v>
      </c>
      <c r="C147" s="4" t="s">
        <v>44</v>
      </c>
      <c r="D147" s="4" t="s">
        <v>47</v>
      </c>
      <c r="E147" s="4" t="s">
        <v>25</v>
      </c>
      <c r="F147" s="4" t="s">
        <v>25</v>
      </c>
      <c r="G147" s="4" t="s">
        <v>25</v>
      </c>
      <c r="H147" s="4" t="s">
        <v>36</v>
      </c>
      <c r="I147" s="5">
        <v>44652</v>
      </c>
      <c r="J147" s="6">
        <v>0</v>
      </c>
      <c r="K147" s="6">
        <v>0</v>
      </c>
      <c r="L147" s="6">
        <v>0.70099999999999996</v>
      </c>
      <c r="M147" s="6">
        <v>0.67296</v>
      </c>
      <c r="N147" s="6">
        <v>0.70099999999999996</v>
      </c>
      <c r="O147" s="6">
        <v>0.67296</v>
      </c>
      <c r="P147" s="6">
        <v>0</v>
      </c>
      <c r="Q147" s="4" t="s">
        <v>26</v>
      </c>
      <c r="R147" s="4">
        <v>0</v>
      </c>
      <c r="S147" s="4" t="s">
        <v>143</v>
      </c>
      <c r="T147" s="4" t="s">
        <v>473</v>
      </c>
      <c r="U147" s="4">
        <v>0</v>
      </c>
      <c r="V147" s="4">
        <v>13</v>
      </c>
      <c r="W147" s="4">
        <v>71</v>
      </c>
    </row>
    <row r="148" spans="1:23" ht="11.25" customHeight="1" x14ac:dyDescent="0.25">
      <c r="A148" s="4" t="s">
        <v>21</v>
      </c>
      <c r="B148" s="4" t="s">
        <v>43</v>
      </c>
      <c r="C148" s="4" t="s">
        <v>44</v>
      </c>
      <c r="D148" s="4" t="s">
        <v>47</v>
      </c>
      <c r="E148" s="4" t="s">
        <v>25</v>
      </c>
      <c r="F148" s="4" t="s">
        <v>25</v>
      </c>
      <c r="G148" s="4" t="s">
        <v>25</v>
      </c>
      <c r="H148" s="4" t="s">
        <v>36</v>
      </c>
      <c r="I148" s="5">
        <v>44682</v>
      </c>
      <c r="J148" s="6">
        <v>0</v>
      </c>
      <c r="K148" s="6">
        <v>0</v>
      </c>
      <c r="L148" s="6">
        <v>2.1110000000000002</v>
      </c>
      <c r="M148" s="6">
        <v>2.0265599999999999</v>
      </c>
      <c r="N148" s="6">
        <v>2.1110000000000002</v>
      </c>
      <c r="O148" s="6">
        <v>2.0265599999999999</v>
      </c>
      <c r="P148" s="6">
        <v>0</v>
      </c>
      <c r="Q148" s="4" t="s">
        <v>26</v>
      </c>
      <c r="R148" s="4">
        <v>0</v>
      </c>
      <c r="S148" s="4" t="s">
        <v>144</v>
      </c>
      <c r="T148" s="4" t="s">
        <v>485</v>
      </c>
      <c r="U148" s="4">
        <v>0</v>
      </c>
      <c r="V148" s="4">
        <v>13</v>
      </c>
      <c r="W148" s="4">
        <v>71</v>
      </c>
    </row>
    <row r="149" spans="1:23" ht="11.25" customHeight="1" x14ac:dyDescent="0.25">
      <c r="A149" s="4" t="s">
        <v>21</v>
      </c>
      <c r="B149" s="4" t="s">
        <v>43</v>
      </c>
      <c r="C149" s="4" t="s">
        <v>44</v>
      </c>
      <c r="D149" s="4" t="s">
        <v>47</v>
      </c>
      <c r="E149" s="4" t="s">
        <v>25</v>
      </c>
      <c r="F149" s="4" t="s">
        <v>25</v>
      </c>
      <c r="G149" s="4" t="s">
        <v>25</v>
      </c>
      <c r="H149" s="4" t="s">
        <v>36</v>
      </c>
      <c r="I149" s="5">
        <v>44713</v>
      </c>
      <c r="J149" s="6">
        <v>0</v>
      </c>
      <c r="K149" s="6">
        <v>0</v>
      </c>
      <c r="L149" s="6">
        <v>1.43</v>
      </c>
      <c r="M149" s="6">
        <v>1.3728</v>
      </c>
      <c r="N149" s="6">
        <v>1.43</v>
      </c>
      <c r="O149" s="6">
        <v>1.3728</v>
      </c>
      <c r="P149" s="6">
        <v>0</v>
      </c>
      <c r="Q149" s="4" t="s">
        <v>26</v>
      </c>
      <c r="R149" s="4">
        <v>0</v>
      </c>
      <c r="S149" s="4" t="s">
        <v>145</v>
      </c>
      <c r="T149" s="4" t="s">
        <v>486</v>
      </c>
      <c r="U149" s="4">
        <v>0</v>
      </c>
      <c r="V149" s="4">
        <v>13</v>
      </c>
      <c r="W149" s="4">
        <v>71</v>
      </c>
    </row>
    <row r="150" spans="1:23" ht="11.25" customHeight="1" x14ac:dyDescent="0.25">
      <c r="A150" s="4" t="s">
        <v>21</v>
      </c>
      <c r="B150" s="4" t="s">
        <v>43</v>
      </c>
      <c r="C150" s="4" t="s">
        <v>44</v>
      </c>
      <c r="D150" s="4" t="s">
        <v>47</v>
      </c>
      <c r="E150" s="4" t="s">
        <v>25</v>
      </c>
      <c r="F150" s="4" t="s">
        <v>25</v>
      </c>
      <c r="G150" s="4" t="s">
        <v>25</v>
      </c>
      <c r="H150" s="4" t="s">
        <v>36</v>
      </c>
      <c r="I150" s="5">
        <v>44743</v>
      </c>
      <c r="J150" s="6">
        <v>0</v>
      </c>
      <c r="K150" s="6">
        <v>0</v>
      </c>
      <c r="L150" s="6">
        <v>1.331</v>
      </c>
      <c r="M150" s="6">
        <v>1.27776</v>
      </c>
      <c r="N150" s="6">
        <v>1.331</v>
      </c>
      <c r="O150" s="6">
        <v>1.27776</v>
      </c>
      <c r="P150" s="6">
        <v>0</v>
      </c>
      <c r="Q150" s="4" t="s">
        <v>26</v>
      </c>
      <c r="R150" s="4">
        <v>0</v>
      </c>
      <c r="S150" s="4" t="s">
        <v>146</v>
      </c>
      <c r="T150" s="4" t="s">
        <v>487</v>
      </c>
      <c r="U150" s="4">
        <v>0</v>
      </c>
      <c r="V150" s="4">
        <v>13</v>
      </c>
      <c r="W150" s="4">
        <v>71</v>
      </c>
    </row>
    <row r="151" spans="1:23" ht="11.25" customHeight="1" x14ac:dyDescent="0.25">
      <c r="A151" s="4" t="s">
        <v>21</v>
      </c>
      <c r="B151" s="4" t="s">
        <v>43</v>
      </c>
      <c r="C151" s="4" t="s">
        <v>44</v>
      </c>
      <c r="D151" s="4" t="s">
        <v>47</v>
      </c>
      <c r="E151" s="4" t="s">
        <v>25</v>
      </c>
      <c r="F151" s="4" t="s">
        <v>25</v>
      </c>
      <c r="G151" s="4" t="s">
        <v>25</v>
      </c>
      <c r="H151" s="4" t="s">
        <v>36</v>
      </c>
      <c r="I151" s="5">
        <v>44774</v>
      </c>
      <c r="J151" s="6">
        <v>0</v>
      </c>
      <c r="K151" s="6">
        <v>0</v>
      </c>
      <c r="L151" s="6">
        <v>0.73199999999999998</v>
      </c>
      <c r="M151" s="6">
        <v>0.70272000000000001</v>
      </c>
      <c r="N151" s="6">
        <v>0.73199999999999998</v>
      </c>
      <c r="O151" s="6">
        <v>0.70272000000000001</v>
      </c>
      <c r="P151" s="6">
        <v>0</v>
      </c>
      <c r="Q151" s="4" t="s">
        <v>26</v>
      </c>
      <c r="R151" s="4">
        <v>0</v>
      </c>
      <c r="S151" s="4" t="s">
        <v>147</v>
      </c>
      <c r="T151" s="4" t="s">
        <v>488</v>
      </c>
      <c r="U151" s="4">
        <v>0</v>
      </c>
      <c r="V151" s="4">
        <v>13</v>
      </c>
      <c r="W151" s="4">
        <v>71</v>
      </c>
    </row>
    <row r="152" spans="1:23" ht="11.25" customHeight="1" x14ac:dyDescent="0.25">
      <c r="A152" s="4" t="s">
        <v>21</v>
      </c>
      <c r="B152" s="4" t="s">
        <v>43</v>
      </c>
      <c r="C152" s="4" t="s">
        <v>44</v>
      </c>
      <c r="D152" s="4" t="s">
        <v>47</v>
      </c>
      <c r="E152" s="4" t="s">
        <v>25</v>
      </c>
      <c r="F152" s="4" t="s">
        <v>25</v>
      </c>
      <c r="G152" s="4" t="s">
        <v>25</v>
      </c>
      <c r="H152" s="4" t="s">
        <v>36</v>
      </c>
      <c r="I152" s="5">
        <v>44805</v>
      </c>
      <c r="J152" s="6">
        <v>0</v>
      </c>
      <c r="K152" s="6">
        <v>0</v>
      </c>
      <c r="L152" s="6">
        <v>0.79300000000000004</v>
      </c>
      <c r="M152" s="6">
        <v>0.76127999999999996</v>
      </c>
      <c r="N152" s="6">
        <v>0.79300000000000004</v>
      </c>
      <c r="O152" s="6">
        <v>0.76127999999999996</v>
      </c>
      <c r="P152" s="6">
        <v>0</v>
      </c>
      <c r="Q152" s="4" t="s">
        <v>26</v>
      </c>
      <c r="R152" s="4">
        <v>0</v>
      </c>
      <c r="S152" s="4" t="s">
        <v>148</v>
      </c>
      <c r="T152" s="4" t="s">
        <v>489</v>
      </c>
      <c r="U152" s="4">
        <v>0</v>
      </c>
      <c r="V152" s="4">
        <v>13</v>
      </c>
      <c r="W152" s="4">
        <v>71</v>
      </c>
    </row>
    <row r="153" spans="1:23" ht="11.25" customHeight="1" x14ac:dyDescent="0.25">
      <c r="A153" s="4" t="s">
        <v>21</v>
      </c>
      <c r="B153" s="4" t="s">
        <v>43</v>
      </c>
      <c r="C153" s="4" t="s">
        <v>44</v>
      </c>
      <c r="D153" s="4" t="s">
        <v>47</v>
      </c>
      <c r="E153" s="4" t="s">
        <v>25</v>
      </c>
      <c r="F153" s="4" t="s">
        <v>25</v>
      </c>
      <c r="G153" s="4" t="s">
        <v>25</v>
      </c>
      <c r="H153" s="4" t="s">
        <v>36</v>
      </c>
      <c r="I153" s="5">
        <v>44835</v>
      </c>
      <c r="J153" s="6">
        <v>0</v>
      </c>
      <c r="K153" s="6">
        <v>0</v>
      </c>
      <c r="L153" s="6">
        <v>0.61499999999999999</v>
      </c>
      <c r="M153" s="6">
        <v>0.59040000000000004</v>
      </c>
      <c r="N153" s="6">
        <v>0.61499999999999999</v>
      </c>
      <c r="O153" s="6">
        <v>0.59040000000000004</v>
      </c>
      <c r="P153" s="6">
        <v>0</v>
      </c>
      <c r="Q153" s="4" t="s">
        <v>26</v>
      </c>
      <c r="R153" s="4">
        <v>0</v>
      </c>
      <c r="S153" s="4" t="s">
        <v>149</v>
      </c>
      <c r="T153" s="4" t="s">
        <v>490</v>
      </c>
      <c r="U153" s="4">
        <v>0</v>
      </c>
      <c r="V153" s="4">
        <v>13</v>
      </c>
      <c r="W153" s="4">
        <v>71</v>
      </c>
    </row>
    <row r="154" spans="1:23" ht="11.25" customHeight="1" x14ac:dyDescent="0.25">
      <c r="A154" s="4" t="s">
        <v>59</v>
      </c>
      <c r="B154" s="4" t="s">
        <v>43</v>
      </c>
      <c r="C154" s="4" t="s">
        <v>44</v>
      </c>
      <c r="D154" s="4" t="s">
        <v>47</v>
      </c>
      <c r="E154" s="4" t="s">
        <v>25</v>
      </c>
      <c r="F154" s="4" t="s">
        <v>25</v>
      </c>
      <c r="G154" s="4" t="s">
        <v>25</v>
      </c>
      <c r="H154" s="4" t="s">
        <v>36</v>
      </c>
      <c r="I154" s="5">
        <v>44866</v>
      </c>
      <c r="J154" s="6">
        <v>0</v>
      </c>
      <c r="K154" s="6">
        <v>0</v>
      </c>
      <c r="L154" s="6">
        <v>0.61499999999999999</v>
      </c>
      <c r="M154" s="6">
        <v>0.59040000000000004</v>
      </c>
      <c r="N154" s="6">
        <v>0.61499999999999999</v>
      </c>
      <c r="O154" s="6">
        <v>0.59040000000000004</v>
      </c>
      <c r="P154" s="6">
        <v>0</v>
      </c>
      <c r="Q154" s="4" t="s">
        <v>26</v>
      </c>
      <c r="R154" s="4">
        <v>0</v>
      </c>
      <c r="S154" s="4" t="s">
        <v>150</v>
      </c>
      <c r="T154" s="4" t="s">
        <v>491</v>
      </c>
      <c r="U154" s="4">
        <v>0</v>
      </c>
      <c r="V154" s="4">
        <v>13</v>
      </c>
      <c r="W154" s="4">
        <v>71</v>
      </c>
    </row>
    <row r="155" spans="1:23" ht="11.25" customHeight="1" x14ac:dyDescent="0.25">
      <c r="A155" s="4" t="s">
        <v>21</v>
      </c>
      <c r="B155" s="4" t="s">
        <v>43</v>
      </c>
      <c r="C155" s="4" t="s">
        <v>44</v>
      </c>
      <c r="D155" s="4" t="s">
        <v>52</v>
      </c>
      <c r="E155" s="4" t="s">
        <v>53</v>
      </c>
      <c r="F155" s="4" t="s">
        <v>25</v>
      </c>
      <c r="G155" s="4" t="s">
        <v>25</v>
      </c>
      <c r="H155" s="4" t="s">
        <v>25</v>
      </c>
      <c r="I155" s="5">
        <v>44531</v>
      </c>
      <c r="J155" s="6">
        <v>35</v>
      </c>
      <c r="K155" s="6">
        <v>32.9</v>
      </c>
      <c r="L155" s="6">
        <v>0</v>
      </c>
      <c r="M155" s="6">
        <v>0</v>
      </c>
      <c r="N155" s="6">
        <v>0</v>
      </c>
      <c r="O155" s="6">
        <v>0</v>
      </c>
      <c r="P155" s="6">
        <v>1</v>
      </c>
      <c r="Q155" s="4" t="s">
        <v>26</v>
      </c>
      <c r="R155" s="4">
        <v>0</v>
      </c>
      <c r="S155" s="4" t="s">
        <v>127</v>
      </c>
      <c r="U155" s="4">
        <v>12</v>
      </c>
      <c r="V155" s="4">
        <v>0</v>
      </c>
      <c r="W155" s="4">
        <v>0</v>
      </c>
    </row>
    <row r="156" spans="1:23" ht="11.25" customHeight="1" x14ac:dyDescent="0.25">
      <c r="A156" s="4" t="s">
        <v>21</v>
      </c>
      <c r="B156" s="4" t="s">
        <v>43</v>
      </c>
      <c r="C156" s="4" t="s">
        <v>44</v>
      </c>
      <c r="D156" s="4" t="s">
        <v>52</v>
      </c>
      <c r="E156" s="4" t="s">
        <v>53</v>
      </c>
      <c r="F156" s="4" t="s">
        <v>25</v>
      </c>
      <c r="G156" s="4" t="s">
        <v>25</v>
      </c>
      <c r="H156" s="4" t="s">
        <v>25</v>
      </c>
      <c r="I156" s="5">
        <v>44562</v>
      </c>
      <c r="J156" s="6">
        <v>35</v>
      </c>
      <c r="K156" s="6">
        <v>32.9</v>
      </c>
      <c r="L156" s="6">
        <v>0</v>
      </c>
      <c r="M156" s="6">
        <v>0</v>
      </c>
      <c r="N156" s="6">
        <v>0</v>
      </c>
      <c r="O156" s="6">
        <v>0</v>
      </c>
      <c r="P156" s="6">
        <v>1</v>
      </c>
      <c r="Q156" s="4" t="s">
        <v>26</v>
      </c>
      <c r="R156" s="4">
        <v>0</v>
      </c>
      <c r="S156" s="4" t="s">
        <v>128</v>
      </c>
      <c r="U156" s="4">
        <v>12</v>
      </c>
      <c r="V156" s="4">
        <v>0</v>
      </c>
      <c r="W156" s="4">
        <v>0</v>
      </c>
    </row>
    <row r="157" spans="1:23" ht="11.25" customHeight="1" x14ac:dyDescent="0.25">
      <c r="A157" s="4" t="s">
        <v>21</v>
      </c>
      <c r="B157" s="4" t="s">
        <v>43</v>
      </c>
      <c r="C157" s="4" t="s">
        <v>44</v>
      </c>
      <c r="D157" s="4" t="s">
        <v>52</v>
      </c>
      <c r="E157" s="4" t="s">
        <v>53</v>
      </c>
      <c r="F157" s="4" t="s">
        <v>25</v>
      </c>
      <c r="G157" s="4" t="s">
        <v>25</v>
      </c>
      <c r="H157" s="4" t="s">
        <v>25</v>
      </c>
      <c r="I157" s="5">
        <v>44593</v>
      </c>
      <c r="J157" s="6">
        <v>35</v>
      </c>
      <c r="K157" s="6">
        <v>32.9</v>
      </c>
      <c r="L157" s="6">
        <v>0</v>
      </c>
      <c r="M157" s="6">
        <v>0</v>
      </c>
      <c r="N157" s="6">
        <v>0</v>
      </c>
      <c r="O157" s="6">
        <v>0</v>
      </c>
      <c r="P157" s="6">
        <v>1</v>
      </c>
      <c r="Q157" s="4" t="s">
        <v>26</v>
      </c>
      <c r="R157" s="4">
        <v>0</v>
      </c>
      <c r="S157" s="4" t="s">
        <v>129</v>
      </c>
      <c r="U157" s="4">
        <v>12</v>
      </c>
      <c r="V157" s="4">
        <v>0</v>
      </c>
      <c r="W157" s="4">
        <v>0</v>
      </c>
    </row>
    <row r="158" spans="1:23" ht="11.25" customHeight="1" x14ac:dyDescent="0.25">
      <c r="A158" s="4" t="s">
        <v>21</v>
      </c>
      <c r="B158" s="4" t="s">
        <v>43</v>
      </c>
      <c r="C158" s="4" t="s">
        <v>44</v>
      </c>
      <c r="D158" s="4" t="s">
        <v>52</v>
      </c>
      <c r="E158" s="4" t="s">
        <v>53</v>
      </c>
      <c r="F158" s="4" t="s">
        <v>25</v>
      </c>
      <c r="G158" s="4" t="s">
        <v>25</v>
      </c>
      <c r="H158" s="4" t="s">
        <v>25</v>
      </c>
      <c r="I158" s="5">
        <v>44621</v>
      </c>
      <c r="J158" s="6">
        <v>35</v>
      </c>
      <c r="K158" s="6">
        <v>32.9</v>
      </c>
      <c r="L158" s="6">
        <v>0</v>
      </c>
      <c r="M158" s="6">
        <v>0</v>
      </c>
      <c r="N158" s="6">
        <v>0</v>
      </c>
      <c r="O158" s="6">
        <v>0</v>
      </c>
      <c r="P158" s="6">
        <v>1</v>
      </c>
      <c r="Q158" s="4" t="s">
        <v>26</v>
      </c>
      <c r="R158" s="4">
        <v>0</v>
      </c>
      <c r="S158" s="4" t="s">
        <v>130</v>
      </c>
      <c r="U158" s="4">
        <v>12</v>
      </c>
      <c r="V158" s="4">
        <v>0</v>
      </c>
      <c r="W158" s="4">
        <v>0</v>
      </c>
    </row>
    <row r="159" spans="1:23" ht="11.25" customHeight="1" x14ac:dyDescent="0.25">
      <c r="A159" s="4" t="s">
        <v>21</v>
      </c>
      <c r="B159" s="4" t="s">
        <v>43</v>
      </c>
      <c r="C159" s="4" t="s">
        <v>44</v>
      </c>
      <c r="D159" s="4" t="s">
        <v>52</v>
      </c>
      <c r="E159" s="4" t="s">
        <v>53</v>
      </c>
      <c r="F159" s="4" t="s">
        <v>25</v>
      </c>
      <c r="G159" s="4" t="s">
        <v>25</v>
      </c>
      <c r="H159" s="4" t="s">
        <v>25</v>
      </c>
      <c r="I159" s="5">
        <v>44652</v>
      </c>
      <c r="J159" s="6">
        <v>35</v>
      </c>
      <c r="K159" s="6">
        <v>32.9</v>
      </c>
      <c r="L159" s="6">
        <v>0</v>
      </c>
      <c r="M159" s="6">
        <v>0</v>
      </c>
      <c r="N159" s="6">
        <v>0</v>
      </c>
      <c r="O159" s="6">
        <v>0</v>
      </c>
      <c r="P159" s="6">
        <v>1</v>
      </c>
      <c r="Q159" s="4" t="s">
        <v>26</v>
      </c>
      <c r="R159" s="4">
        <v>0</v>
      </c>
      <c r="S159" s="4" t="s">
        <v>131</v>
      </c>
      <c r="U159" s="4">
        <v>12</v>
      </c>
      <c r="V159" s="4">
        <v>0</v>
      </c>
      <c r="W159" s="4">
        <v>0</v>
      </c>
    </row>
    <row r="160" spans="1:23" ht="11.25" customHeight="1" x14ac:dyDescent="0.25">
      <c r="A160" s="4" t="s">
        <v>21</v>
      </c>
      <c r="B160" s="4" t="s">
        <v>43</v>
      </c>
      <c r="C160" s="4" t="s">
        <v>44</v>
      </c>
      <c r="D160" s="4" t="s">
        <v>52</v>
      </c>
      <c r="E160" s="4" t="s">
        <v>53</v>
      </c>
      <c r="F160" s="4" t="s">
        <v>25</v>
      </c>
      <c r="G160" s="4" t="s">
        <v>25</v>
      </c>
      <c r="H160" s="4" t="s">
        <v>25</v>
      </c>
      <c r="I160" s="5">
        <v>44682</v>
      </c>
      <c r="J160" s="6">
        <v>35</v>
      </c>
      <c r="K160" s="6">
        <v>32.9</v>
      </c>
      <c r="L160" s="6">
        <v>0</v>
      </c>
      <c r="M160" s="6">
        <v>0</v>
      </c>
      <c r="N160" s="6">
        <v>0</v>
      </c>
      <c r="O160" s="6">
        <v>0</v>
      </c>
      <c r="P160" s="6">
        <v>1</v>
      </c>
      <c r="Q160" s="4" t="s">
        <v>26</v>
      </c>
      <c r="R160" s="4">
        <v>0</v>
      </c>
      <c r="S160" s="4" t="s">
        <v>132</v>
      </c>
      <c r="U160" s="4">
        <v>12</v>
      </c>
      <c r="V160" s="4">
        <v>0</v>
      </c>
      <c r="W160" s="4">
        <v>0</v>
      </c>
    </row>
    <row r="161" spans="1:23" ht="11.25" customHeight="1" x14ac:dyDescent="0.25">
      <c r="A161" s="4" t="s">
        <v>21</v>
      </c>
      <c r="B161" s="4" t="s">
        <v>43</v>
      </c>
      <c r="C161" s="4" t="s">
        <v>44</v>
      </c>
      <c r="D161" s="4" t="s">
        <v>52</v>
      </c>
      <c r="E161" s="4" t="s">
        <v>53</v>
      </c>
      <c r="F161" s="4" t="s">
        <v>25</v>
      </c>
      <c r="G161" s="4" t="s">
        <v>25</v>
      </c>
      <c r="H161" s="4" t="s">
        <v>25</v>
      </c>
      <c r="I161" s="5">
        <v>44713</v>
      </c>
      <c r="J161" s="6">
        <v>35</v>
      </c>
      <c r="K161" s="6">
        <v>32.9</v>
      </c>
      <c r="L161" s="6">
        <v>0</v>
      </c>
      <c r="M161" s="6">
        <v>0</v>
      </c>
      <c r="N161" s="6">
        <v>0</v>
      </c>
      <c r="O161" s="6">
        <v>0</v>
      </c>
      <c r="P161" s="6">
        <v>1</v>
      </c>
      <c r="Q161" s="4" t="s">
        <v>26</v>
      </c>
      <c r="R161" s="4">
        <v>0</v>
      </c>
      <c r="S161" s="4" t="s">
        <v>133</v>
      </c>
      <c r="U161" s="4">
        <v>12</v>
      </c>
      <c r="V161" s="4">
        <v>0</v>
      </c>
      <c r="W161" s="4">
        <v>0</v>
      </c>
    </row>
    <row r="162" spans="1:23" ht="11.25" customHeight="1" x14ac:dyDescent="0.25">
      <c r="A162" s="4" t="s">
        <v>21</v>
      </c>
      <c r="B162" s="4" t="s">
        <v>43</v>
      </c>
      <c r="C162" s="4" t="s">
        <v>44</v>
      </c>
      <c r="D162" s="4" t="s">
        <v>52</v>
      </c>
      <c r="E162" s="4" t="s">
        <v>53</v>
      </c>
      <c r="F162" s="4" t="s">
        <v>25</v>
      </c>
      <c r="G162" s="4" t="s">
        <v>25</v>
      </c>
      <c r="H162" s="4" t="s">
        <v>25</v>
      </c>
      <c r="I162" s="5">
        <v>44743</v>
      </c>
      <c r="J162" s="6">
        <v>35</v>
      </c>
      <c r="K162" s="6">
        <v>32.9</v>
      </c>
      <c r="L162" s="6">
        <v>0</v>
      </c>
      <c r="M162" s="6">
        <v>0</v>
      </c>
      <c r="N162" s="6">
        <v>0</v>
      </c>
      <c r="O162" s="6">
        <v>0</v>
      </c>
      <c r="P162" s="6">
        <v>1</v>
      </c>
      <c r="Q162" s="4" t="s">
        <v>26</v>
      </c>
      <c r="R162" s="4">
        <v>0</v>
      </c>
      <c r="S162" s="4" t="s">
        <v>134</v>
      </c>
      <c r="U162" s="4">
        <v>12</v>
      </c>
      <c r="V162" s="4">
        <v>0</v>
      </c>
      <c r="W162" s="4">
        <v>0</v>
      </c>
    </row>
    <row r="163" spans="1:23" ht="11.25" customHeight="1" x14ac:dyDescent="0.25">
      <c r="A163" s="4" t="s">
        <v>21</v>
      </c>
      <c r="B163" s="4" t="s">
        <v>43</v>
      </c>
      <c r="C163" s="4" t="s">
        <v>44</v>
      </c>
      <c r="D163" s="4" t="s">
        <v>52</v>
      </c>
      <c r="E163" s="4" t="s">
        <v>53</v>
      </c>
      <c r="F163" s="4" t="s">
        <v>25</v>
      </c>
      <c r="G163" s="4" t="s">
        <v>25</v>
      </c>
      <c r="H163" s="4" t="s">
        <v>25</v>
      </c>
      <c r="I163" s="5">
        <v>44774</v>
      </c>
      <c r="J163" s="6">
        <v>35</v>
      </c>
      <c r="K163" s="6">
        <v>32.9</v>
      </c>
      <c r="L163" s="6">
        <v>0</v>
      </c>
      <c r="M163" s="6">
        <v>0</v>
      </c>
      <c r="N163" s="6">
        <v>0</v>
      </c>
      <c r="O163" s="6">
        <v>0</v>
      </c>
      <c r="P163" s="6">
        <v>1</v>
      </c>
      <c r="Q163" s="4" t="s">
        <v>26</v>
      </c>
      <c r="R163" s="4">
        <v>0</v>
      </c>
      <c r="S163" s="4" t="s">
        <v>135</v>
      </c>
      <c r="U163" s="4">
        <v>12</v>
      </c>
      <c r="V163" s="4">
        <v>0</v>
      </c>
      <c r="W163" s="4">
        <v>0</v>
      </c>
    </row>
    <row r="164" spans="1:23" ht="11.25" customHeight="1" x14ac:dyDescent="0.25">
      <c r="A164" s="4" t="s">
        <v>21</v>
      </c>
      <c r="B164" s="4" t="s">
        <v>43</v>
      </c>
      <c r="C164" s="4" t="s">
        <v>44</v>
      </c>
      <c r="D164" s="4" t="s">
        <v>52</v>
      </c>
      <c r="E164" s="4" t="s">
        <v>53</v>
      </c>
      <c r="F164" s="4" t="s">
        <v>25</v>
      </c>
      <c r="G164" s="4" t="s">
        <v>25</v>
      </c>
      <c r="H164" s="4" t="s">
        <v>25</v>
      </c>
      <c r="I164" s="5">
        <v>44805</v>
      </c>
      <c r="J164" s="6">
        <v>35</v>
      </c>
      <c r="K164" s="6">
        <v>32.9</v>
      </c>
      <c r="L164" s="6">
        <v>0</v>
      </c>
      <c r="M164" s="6">
        <v>0</v>
      </c>
      <c r="N164" s="6">
        <v>0</v>
      </c>
      <c r="O164" s="6">
        <v>0</v>
      </c>
      <c r="P164" s="6">
        <v>1</v>
      </c>
      <c r="Q164" s="4" t="s">
        <v>26</v>
      </c>
      <c r="R164" s="4">
        <v>0</v>
      </c>
      <c r="S164" s="4" t="s">
        <v>136</v>
      </c>
      <c r="U164" s="4">
        <v>12</v>
      </c>
      <c r="V164" s="4">
        <v>0</v>
      </c>
      <c r="W164" s="4">
        <v>0</v>
      </c>
    </row>
    <row r="165" spans="1:23" ht="11.25" customHeight="1" x14ac:dyDescent="0.25">
      <c r="A165" s="4" t="s">
        <v>21</v>
      </c>
      <c r="B165" s="4" t="s">
        <v>43</v>
      </c>
      <c r="C165" s="4" t="s">
        <v>44</v>
      </c>
      <c r="D165" s="4" t="s">
        <v>52</v>
      </c>
      <c r="E165" s="4" t="s">
        <v>53</v>
      </c>
      <c r="F165" s="4" t="s">
        <v>25</v>
      </c>
      <c r="G165" s="4" t="s">
        <v>25</v>
      </c>
      <c r="H165" s="4" t="s">
        <v>25</v>
      </c>
      <c r="I165" s="5">
        <v>44835</v>
      </c>
      <c r="J165" s="6">
        <v>35</v>
      </c>
      <c r="K165" s="6">
        <v>32.9</v>
      </c>
      <c r="L165" s="6">
        <v>0</v>
      </c>
      <c r="M165" s="6">
        <v>0</v>
      </c>
      <c r="N165" s="6">
        <v>0</v>
      </c>
      <c r="O165" s="6">
        <v>0</v>
      </c>
      <c r="P165" s="6">
        <v>1</v>
      </c>
      <c r="Q165" s="4" t="s">
        <v>26</v>
      </c>
      <c r="R165" s="4">
        <v>0</v>
      </c>
      <c r="S165" s="4" t="s">
        <v>137</v>
      </c>
      <c r="U165" s="4">
        <v>12</v>
      </c>
      <c r="V165" s="4">
        <v>0</v>
      </c>
      <c r="W165" s="4">
        <v>0</v>
      </c>
    </row>
    <row r="166" spans="1:23" ht="11.25" customHeight="1" x14ac:dyDescent="0.25">
      <c r="A166" s="4" t="s">
        <v>59</v>
      </c>
      <c r="B166" s="4" t="s">
        <v>43</v>
      </c>
      <c r="C166" s="4" t="s">
        <v>44</v>
      </c>
      <c r="D166" s="4" t="s">
        <v>52</v>
      </c>
      <c r="E166" s="4" t="s">
        <v>53</v>
      </c>
      <c r="F166" s="4" t="s">
        <v>25</v>
      </c>
      <c r="G166" s="4" t="s">
        <v>25</v>
      </c>
      <c r="H166" s="4" t="s">
        <v>25</v>
      </c>
      <c r="I166" s="5">
        <v>44866</v>
      </c>
      <c r="J166" s="6">
        <v>35</v>
      </c>
      <c r="K166" s="6">
        <v>32.9</v>
      </c>
      <c r="L166" s="6">
        <v>0</v>
      </c>
      <c r="M166" s="6">
        <v>0</v>
      </c>
      <c r="N166" s="6">
        <v>0</v>
      </c>
      <c r="O166" s="6">
        <v>0</v>
      </c>
      <c r="P166" s="6">
        <v>1</v>
      </c>
      <c r="Q166" s="4" t="s">
        <v>26</v>
      </c>
      <c r="R166" s="4">
        <v>0</v>
      </c>
      <c r="S166" s="4" t="s">
        <v>138</v>
      </c>
      <c r="U166" s="4">
        <v>12</v>
      </c>
      <c r="V166" s="4">
        <v>0</v>
      </c>
      <c r="W166" s="4">
        <v>0</v>
      </c>
    </row>
    <row r="167" spans="1:23" ht="11.25" customHeight="1" x14ac:dyDescent="0.25">
      <c r="A167" s="4" t="s">
        <v>21</v>
      </c>
      <c r="B167" s="4" t="s">
        <v>41</v>
      </c>
      <c r="C167" s="4" t="s">
        <v>42</v>
      </c>
      <c r="D167" s="4" t="s">
        <v>45</v>
      </c>
      <c r="E167" s="4" t="s">
        <v>25</v>
      </c>
      <c r="F167" s="4" t="s">
        <v>25</v>
      </c>
      <c r="G167" s="4" t="s">
        <v>25</v>
      </c>
      <c r="H167" s="4" t="s">
        <v>37</v>
      </c>
      <c r="I167" s="5">
        <v>44531</v>
      </c>
      <c r="J167" s="6">
        <v>1773</v>
      </c>
      <c r="K167" s="6">
        <v>1773</v>
      </c>
      <c r="L167" s="6">
        <v>478.97800000000001</v>
      </c>
      <c r="M167" s="6">
        <v>478.97800000000001</v>
      </c>
      <c r="N167" s="6">
        <v>478.97800000000001</v>
      </c>
      <c r="O167" s="6">
        <v>478.97800000000001</v>
      </c>
      <c r="P167" s="6">
        <v>0</v>
      </c>
      <c r="Q167" s="4" t="s">
        <v>26</v>
      </c>
      <c r="R167" s="4">
        <v>0</v>
      </c>
      <c r="S167" s="4" t="s">
        <v>151</v>
      </c>
      <c r="T167" s="4" t="s">
        <v>492</v>
      </c>
      <c r="U167" s="4">
        <v>20</v>
      </c>
      <c r="V167" s="4">
        <v>21</v>
      </c>
      <c r="W167" s="4">
        <v>75</v>
      </c>
    </row>
    <row r="168" spans="1:23" ht="11.25" customHeight="1" x14ac:dyDescent="0.25">
      <c r="A168" s="4" t="s">
        <v>28</v>
      </c>
      <c r="B168" s="4" t="s">
        <v>41</v>
      </c>
      <c r="C168" s="4" t="s">
        <v>42</v>
      </c>
      <c r="D168" s="4" t="s">
        <v>45</v>
      </c>
      <c r="E168" s="4" t="s">
        <v>25</v>
      </c>
      <c r="F168" s="4" t="s">
        <v>25</v>
      </c>
      <c r="G168" s="4" t="s">
        <v>25</v>
      </c>
      <c r="H168" s="4" t="s">
        <v>37</v>
      </c>
      <c r="I168" s="5">
        <v>44531</v>
      </c>
      <c r="J168" s="6">
        <v>130</v>
      </c>
      <c r="K168" s="6">
        <v>130</v>
      </c>
      <c r="L168" s="6">
        <v>8.9600000000000009</v>
      </c>
      <c r="M168" s="6">
        <v>8.9600000000000009</v>
      </c>
      <c r="N168" s="6">
        <v>8.9600000000000009</v>
      </c>
      <c r="O168" s="6">
        <v>8.9600000000000009</v>
      </c>
      <c r="P168" s="6">
        <v>0</v>
      </c>
      <c r="Q168" s="4" t="s">
        <v>26</v>
      </c>
      <c r="R168" s="4">
        <v>0</v>
      </c>
      <c r="S168" s="4" t="s">
        <v>151</v>
      </c>
      <c r="T168" s="4" t="s">
        <v>492</v>
      </c>
      <c r="U168" s="4">
        <v>20</v>
      </c>
      <c r="V168" s="4">
        <v>21</v>
      </c>
      <c r="W168" s="4">
        <v>75</v>
      </c>
    </row>
    <row r="169" spans="1:23" ht="11.25" customHeight="1" x14ac:dyDescent="0.25">
      <c r="A169" s="4" t="s">
        <v>21</v>
      </c>
      <c r="B169" s="4" t="s">
        <v>41</v>
      </c>
      <c r="C169" s="4" t="s">
        <v>42</v>
      </c>
      <c r="D169" s="4" t="s">
        <v>45</v>
      </c>
      <c r="E169" s="4" t="s">
        <v>25</v>
      </c>
      <c r="F169" s="4" t="s">
        <v>25</v>
      </c>
      <c r="G169" s="4" t="s">
        <v>25</v>
      </c>
      <c r="H169" s="4" t="s">
        <v>37</v>
      </c>
      <c r="I169" s="5">
        <v>44562</v>
      </c>
      <c r="J169" s="6">
        <v>1811</v>
      </c>
      <c r="K169" s="6">
        <v>1811</v>
      </c>
      <c r="L169" s="6">
        <v>489.76299999999998</v>
      </c>
      <c r="M169" s="6">
        <v>489.76299999999998</v>
      </c>
      <c r="N169" s="6">
        <v>489.76299999999998</v>
      </c>
      <c r="O169" s="6">
        <v>489.76299999999998</v>
      </c>
      <c r="P169" s="6">
        <v>0</v>
      </c>
      <c r="Q169" s="4" t="s">
        <v>26</v>
      </c>
      <c r="R169" s="4">
        <v>0</v>
      </c>
      <c r="S169" s="4" t="s">
        <v>152</v>
      </c>
      <c r="T169" s="4" t="s">
        <v>493</v>
      </c>
      <c r="U169" s="4">
        <v>20</v>
      </c>
      <c r="V169" s="4">
        <v>21</v>
      </c>
      <c r="W169" s="4">
        <v>75</v>
      </c>
    </row>
    <row r="170" spans="1:23" ht="11.25" customHeight="1" x14ac:dyDescent="0.25">
      <c r="A170" s="4" t="s">
        <v>28</v>
      </c>
      <c r="B170" s="4" t="s">
        <v>41</v>
      </c>
      <c r="C170" s="4" t="s">
        <v>42</v>
      </c>
      <c r="D170" s="4" t="s">
        <v>45</v>
      </c>
      <c r="E170" s="4" t="s">
        <v>25</v>
      </c>
      <c r="F170" s="4" t="s">
        <v>25</v>
      </c>
      <c r="G170" s="4" t="s">
        <v>25</v>
      </c>
      <c r="H170" s="4" t="s">
        <v>37</v>
      </c>
      <c r="I170" s="5">
        <v>44562</v>
      </c>
      <c r="J170" s="6">
        <v>130</v>
      </c>
      <c r="K170" s="6">
        <v>130</v>
      </c>
      <c r="L170" s="6">
        <v>8.9600000000000009</v>
      </c>
      <c r="M170" s="6">
        <v>8.9600000000000009</v>
      </c>
      <c r="N170" s="6">
        <v>8.9600000000000009</v>
      </c>
      <c r="O170" s="6">
        <v>8.9600000000000009</v>
      </c>
      <c r="P170" s="6">
        <v>0</v>
      </c>
      <c r="Q170" s="4" t="s">
        <v>26</v>
      </c>
      <c r="R170" s="4">
        <v>0</v>
      </c>
      <c r="S170" s="4" t="s">
        <v>152</v>
      </c>
      <c r="T170" s="4" t="s">
        <v>493</v>
      </c>
      <c r="U170" s="4">
        <v>20</v>
      </c>
      <c r="V170" s="4">
        <v>21</v>
      </c>
      <c r="W170" s="4">
        <v>75</v>
      </c>
    </row>
    <row r="171" spans="1:23" ht="11.25" customHeight="1" x14ac:dyDescent="0.25">
      <c r="A171" s="4" t="s">
        <v>21</v>
      </c>
      <c r="B171" s="4" t="s">
        <v>41</v>
      </c>
      <c r="C171" s="4" t="s">
        <v>42</v>
      </c>
      <c r="D171" s="4" t="s">
        <v>45</v>
      </c>
      <c r="E171" s="4" t="s">
        <v>25</v>
      </c>
      <c r="F171" s="4" t="s">
        <v>25</v>
      </c>
      <c r="G171" s="4" t="s">
        <v>25</v>
      </c>
      <c r="H171" s="4" t="s">
        <v>37</v>
      </c>
      <c r="I171" s="5">
        <v>44593</v>
      </c>
      <c r="J171" s="6">
        <v>2467</v>
      </c>
      <c r="K171" s="6">
        <v>2467</v>
      </c>
      <c r="L171" s="6">
        <v>586.88</v>
      </c>
      <c r="M171" s="6">
        <v>586.88</v>
      </c>
      <c r="N171" s="6">
        <v>586.88</v>
      </c>
      <c r="O171" s="6">
        <v>586.88</v>
      </c>
      <c r="P171" s="6">
        <v>0</v>
      </c>
      <c r="Q171" s="4" t="s">
        <v>26</v>
      </c>
      <c r="R171" s="4">
        <v>0</v>
      </c>
      <c r="S171" s="4" t="s">
        <v>153</v>
      </c>
      <c r="T171" s="4" t="s">
        <v>494</v>
      </c>
      <c r="U171" s="4">
        <v>20</v>
      </c>
      <c r="V171" s="4">
        <v>21</v>
      </c>
      <c r="W171" s="4">
        <v>75</v>
      </c>
    </row>
    <row r="172" spans="1:23" ht="11.25" customHeight="1" x14ac:dyDescent="0.25">
      <c r="A172" s="4" t="s">
        <v>28</v>
      </c>
      <c r="B172" s="4" t="s">
        <v>41</v>
      </c>
      <c r="C172" s="4" t="s">
        <v>42</v>
      </c>
      <c r="D172" s="4" t="s">
        <v>45</v>
      </c>
      <c r="E172" s="4" t="s">
        <v>25</v>
      </c>
      <c r="F172" s="4" t="s">
        <v>25</v>
      </c>
      <c r="G172" s="4" t="s">
        <v>25</v>
      </c>
      <c r="H172" s="4" t="s">
        <v>37</v>
      </c>
      <c r="I172" s="5">
        <v>44593</v>
      </c>
      <c r="J172" s="6">
        <v>130</v>
      </c>
      <c r="K172" s="6">
        <v>130</v>
      </c>
      <c r="L172" s="6">
        <v>9.3949999999999996</v>
      </c>
      <c r="M172" s="6">
        <v>9.3949999999999996</v>
      </c>
      <c r="N172" s="6">
        <v>9.3949999999999996</v>
      </c>
      <c r="O172" s="6">
        <v>9.3949999999999996</v>
      </c>
      <c r="P172" s="6">
        <v>0</v>
      </c>
      <c r="Q172" s="4" t="s">
        <v>26</v>
      </c>
      <c r="R172" s="4">
        <v>0</v>
      </c>
      <c r="S172" s="4" t="s">
        <v>153</v>
      </c>
      <c r="T172" s="4" t="s">
        <v>494</v>
      </c>
      <c r="U172" s="4">
        <v>20</v>
      </c>
      <c r="V172" s="4">
        <v>21</v>
      </c>
      <c r="W172" s="4">
        <v>75</v>
      </c>
    </row>
    <row r="173" spans="1:23" ht="11.25" customHeight="1" x14ac:dyDescent="0.25">
      <c r="A173" s="4" t="s">
        <v>21</v>
      </c>
      <c r="B173" s="4" t="s">
        <v>41</v>
      </c>
      <c r="C173" s="4" t="s">
        <v>42</v>
      </c>
      <c r="D173" s="4" t="s">
        <v>45</v>
      </c>
      <c r="E173" s="4" t="s">
        <v>25</v>
      </c>
      <c r="F173" s="4" t="s">
        <v>25</v>
      </c>
      <c r="G173" s="4" t="s">
        <v>25</v>
      </c>
      <c r="H173" s="4" t="s">
        <v>37</v>
      </c>
      <c r="I173" s="5">
        <v>44621</v>
      </c>
      <c r="J173" s="6">
        <v>2478</v>
      </c>
      <c r="K173" s="6">
        <v>2478</v>
      </c>
      <c r="L173" s="6">
        <v>607.45799999999997</v>
      </c>
      <c r="M173" s="6">
        <v>607.45799999999997</v>
      </c>
      <c r="N173" s="6">
        <v>607.45799999999997</v>
      </c>
      <c r="O173" s="6">
        <v>607.45799999999997</v>
      </c>
      <c r="P173" s="6">
        <v>0</v>
      </c>
      <c r="Q173" s="4" t="s">
        <v>26</v>
      </c>
      <c r="R173" s="4">
        <v>0</v>
      </c>
      <c r="S173" s="4" t="s">
        <v>154</v>
      </c>
      <c r="T173" s="4" t="s">
        <v>495</v>
      </c>
      <c r="U173" s="4">
        <v>20</v>
      </c>
      <c r="V173" s="4">
        <v>21</v>
      </c>
      <c r="W173" s="4">
        <v>75</v>
      </c>
    </row>
    <row r="174" spans="1:23" ht="11.25" customHeight="1" x14ac:dyDescent="0.25">
      <c r="A174" s="4" t="s">
        <v>27</v>
      </c>
      <c r="B174" s="4" t="s">
        <v>41</v>
      </c>
      <c r="C174" s="4" t="s">
        <v>42</v>
      </c>
      <c r="D174" s="4" t="s">
        <v>45</v>
      </c>
      <c r="E174" s="4" t="s">
        <v>25</v>
      </c>
      <c r="F174" s="4" t="s">
        <v>25</v>
      </c>
      <c r="G174" s="4" t="s">
        <v>25</v>
      </c>
      <c r="H174" s="4" t="s">
        <v>37</v>
      </c>
      <c r="I174" s="5">
        <v>44621</v>
      </c>
      <c r="J174" s="6">
        <v>0</v>
      </c>
      <c r="K174" s="6">
        <v>0</v>
      </c>
      <c r="L174" s="6">
        <v>-9.9600000000000009</v>
      </c>
      <c r="M174" s="6">
        <v>-9.9600000000000009</v>
      </c>
      <c r="N174" s="6">
        <v>-9.9600000000000009</v>
      </c>
      <c r="O174" s="6">
        <v>-9.9600000000000009</v>
      </c>
      <c r="P174" s="6">
        <v>0</v>
      </c>
      <c r="Q174" s="4" t="s">
        <v>26</v>
      </c>
      <c r="R174" s="4">
        <v>0</v>
      </c>
      <c r="S174" s="4" t="s">
        <v>154</v>
      </c>
      <c r="T174" s="4" t="s">
        <v>495</v>
      </c>
      <c r="U174" s="4">
        <v>0</v>
      </c>
      <c r="V174" s="4">
        <v>21</v>
      </c>
      <c r="W174" s="4">
        <v>75</v>
      </c>
    </row>
    <row r="175" spans="1:23" ht="11.25" customHeight="1" x14ac:dyDescent="0.25">
      <c r="A175" s="4" t="s">
        <v>28</v>
      </c>
      <c r="B175" s="4" t="s">
        <v>41</v>
      </c>
      <c r="C175" s="4" t="s">
        <v>42</v>
      </c>
      <c r="D175" s="4" t="s">
        <v>45</v>
      </c>
      <c r="E175" s="4" t="s">
        <v>25</v>
      </c>
      <c r="F175" s="4" t="s">
        <v>25</v>
      </c>
      <c r="G175" s="4" t="s">
        <v>25</v>
      </c>
      <c r="H175" s="4" t="s">
        <v>37</v>
      </c>
      <c r="I175" s="5">
        <v>44621</v>
      </c>
      <c r="J175" s="6">
        <v>130</v>
      </c>
      <c r="K175" s="6">
        <v>130</v>
      </c>
      <c r="L175" s="6">
        <v>8.2460000000000004</v>
      </c>
      <c r="M175" s="6">
        <v>8.2460000000000004</v>
      </c>
      <c r="N175" s="6">
        <v>8.2460000000000004</v>
      </c>
      <c r="O175" s="6">
        <v>8.2460000000000004</v>
      </c>
      <c r="P175" s="6">
        <v>0</v>
      </c>
      <c r="Q175" s="4" t="s">
        <v>26</v>
      </c>
      <c r="R175" s="4">
        <v>0</v>
      </c>
      <c r="S175" s="4" t="s">
        <v>154</v>
      </c>
      <c r="T175" s="4" t="s">
        <v>495</v>
      </c>
      <c r="U175" s="4">
        <v>20</v>
      </c>
      <c r="V175" s="4">
        <v>21</v>
      </c>
      <c r="W175" s="4">
        <v>75</v>
      </c>
    </row>
    <row r="176" spans="1:23" ht="11.25" customHeight="1" x14ac:dyDescent="0.25">
      <c r="A176" s="4" t="s">
        <v>21</v>
      </c>
      <c r="B176" s="4" t="s">
        <v>41</v>
      </c>
      <c r="C176" s="4" t="s">
        <v>42</v>
      </c>
      <c r="D176" s="4" t="s">
        <v>45</v>
      </c>
      <c r="E176" s="4" t="s">
        <v>25</v>
      </c>
      <c r="F176" s="4" t="s">
        <v>25</v>
      </c>
      <c r="G176" s="4" t="s">
        <v>25</v>
      </c>
      <c r="H176" s="4" t="s">
        <v>37</v>
      </c>
      <c r="I176" s="5">
        <v>44652</v>
      </c>
      <c r="J176" s="6">
        <v>2554</v>
      </c>
      <c r="K176" s="6">
        <v>2554</v>
      </c>
      <c r="L176" s="6">
        <v>629.32000000000005</v>
      </c>
      <c r="M176" s="6">
        <v>629.32000000000005</v>
      </c>
      <c r="N176" s="6">
        <v>629.32000000000005</v>
      </c>
      <c r="O176" s="6">
        <v>629.32000000000005</v>
      </c>
      <c r="P176" s="6">
        <v>0</v>
      </c>
      <c r="Q176" s="4" t="s">
        <v>26</v>
      </c>
      <c r="R176" s="4">
        <v>0</v>
      </c>
      <c r="S176" s="4" t="s">
        <v>155</v>
      </c>
      <c r="T176" s="4" t="s">
        <v>496</v>
      </c>
      <c r="U176" s="4">
        <v>20</v>
      </c>
      <c r="V176" s="4">
        <v>21</v>
      </c>
      <c r="W176" s="4">
        <v>75</v>
      </c>
    </row>
    <row r="177" spans="1:23" ht="11.25" customHeight="1" x14ac:dyDescent="0.25">
      <c r="A177" s="4" t="s">
        <v>28</v>
      </c>
      <c r="B177" s="4" t="s">
        <v>41</v>
      </c>
      <c r="C177" s="4" t="s">
        <v>42</v>
      </c>
      <c r="D177" s="4" t="s">
        <v>45</v>
      </c>
      <c r="E177" s="4" t="s">
        <v>25</v>
      </c>
      <c r="F177" s="4" t="s">
        <v>25</v>
      </c>
      <c r="G177" s="4" t="s">
        <v>25</v>
      </c>
      <c r="H177" s="4" t="s">
        <v>37</v>
      </c>
      <c r="I177" s="5">
        <v>44652</v>
      </c>
      <c r="J177" s="6">
        <v>130</v>
      </c>
      <c r="K177" s="6">
        <v>130</v>
      </c>
      <c r="L177" s="6">
        <v>9.0210000000000008</v>
      </c>
      <c r="M177" s="6">
        <v>9.0210000000000008</v>
      </c>
      <c r="N177" s="6">
        <v>9.0210000000000008</v>
      </c>
      <c r="O177" s="6">
        <v>9.0210000000000008</v>
      </c>
      <c r="P177" s="6">
        <v>0</v>
      </c>
      <c r="Q177" s="4" t="s">
        <v>26</v>
      </c>
      <c r="R177" s="4">
        <v>0</v>
      </c>
      <c r="S177" s="4" t="s">
        <v>155</v>
      </c>
      <c r="T177" s="4" t="s">
        <v>496</v>
      </c>
      <c r="U177" s="4">
        <v>20</v>
      </c>
      <c r="V177" s="4">
        <v>21</v>
      </c>
      <c r="W177" s="4">
        <v>75</v>
      </c>
    </row>
    <row r="178" spans="1:23" ht="11.25" customHeight="1" x14ac:dyDescent="0.25">
      <c r="A178" s="4" t="s">
        <v>21</v>
      </c>
      <c r="B178" s="4" t="s">
        <v>41</v>
      </c>
      <c r="C178" s="4" t="s">
        <v>42</v>
      </c>
      <c r="D178" s="4" t="s">
        <v>45</v>
      </c>
      <c r="E178" s="4" t="s">
        <v>25</v>
      </c>
      <c r="F178" s="4" t="s">
        <v>25</v>
      </c>
      <c r="G178" s="4" t="s">
        <v>25</v>
      </c>
      <c r="H178" s="4" t="s">
        <v>37</v>
      </c>
      <c r="I178" s="5">
        <v>44682</v>
      </c>
      <c r="J178" s="6">
        <v>2560</v>
      </c>
      <c r="K178" s="6">
        <v>2560</v>
      </c>
      <c r="L178" s="6">
        <v>646.39300000000003</v>
      </c>
      <c r="M178" s="6">
        <v>646.39300000000003</v>
      </c>
      <c r="N178" s="6">
        <v>646.39300000000003</v>
      </c>
      <c r="O178" s="6">
        <v>646.39300000000003</v>
      </c>
      <c r="P178" s="6">
        <v>0</v>
      </c>
      <c r="Q178" s="4" t="s">
        <v>26</v>
      </c>
      <c r="R178" s="4">
        <v>0</v>
      </c>
      <c r="S178" s="4" t="s">
        <v>156</v>
      </c>
      <c r="T178" s="4" t="s">
        <v>497</v>
      </c>
      <c r="U178" s="4">
        <v>20</v>
      </c>
      <c r="V178" s="4">
        <v>21</v>
      </c>
      <c r="W178" s="4">
        <v>75</v>
      </c>
    </row>
    <row r="179" spans="1:23" ht="11.25" customHeight="1" x14ac:dyDescent="0.25">
      <c r="A179" s="4" t="s">
        <v>28</v>
      </c>
      <c r="B179" s="4" t="s">
        <v>41</v>
      </c>
      <c r="C179" s="4" t="s">
        <v>42</v>
      </c>
      <c r="D179" s="4" t="s">
        <v>45</v>
      </c>
      <c r="E179" s="4" t="s">
        <v>25</v>
      </c>
      <c r="F179" s="4" t="s">
        <v>25</v>
      </c>
      <c r="G179" s="4" t="s">
        <v>25</v>
      </c>
      <c r="H179" s="4" t="s">
        <v>37</v>
      </c>
      <c r="I179" s="5">
        <v>44682</v>
      </c>
      <c r="J179" s="6">
        <v>130</v>
      </c>
      <c r="K179" s="6">
        <v>130</v>
      </c>
      <c r="L179" s="6">
        <v>8.6969999999999992</v>
      </c>
      <c r="M179" s="6">
        <v>8.6969999999999992</v>
      </c>
      <c r="N179" s="6">
        <v>8.6969999999999992</v>
      </c>
      <c r="O179" s="6">
        <v>8.6969999999999992</v>
      </c>
      <c r="P179" s="6">
        <v>0</v>
      </c>
      <c r="Q179" s="4" t="s">
        <v>26</v>
      </c>
      <c r="R179" s="4">
        <v>0</v>
      </c>
      <c r="S179" s="4" t="s">
        <v>156</v>
      </c>
      <c r="T179" s="4" t="s">
        <v>497</v>
      </c>
      <c r="U179" s="4">
        <v>20</v>
      </c>
      <c r="V179" s="4">
        <v>21</v>
      </c>
      <c r="W179" s="4">
        <v>75</v>
      </c>
    </row>
    <row r="180" spans="1:23" ht="11.25" customHeight="1" x14ac:dyDescent="0.25">
      <c r="A180" s="4" t="s">
        <v>21</v>
      </c>
      <c r="B180" s="4" t="s">
        <v>41</v>
      </c>
      <c r="C180" s="4" t="s">
        <v>42</v>
      </c>
      <c r="D180" s="4" t="s">
        <v>45</v>
      </c>
      <c r="E180" s="4" t="s">
        <v>25</v>
      </c>
      <c r="F180" s="4" t="s">
        <v>25</v>
      </c>
      <c r="G180" s="4" t="s">
        <v>25</v>
      </c>
      <c r="H180" s="4" t="s">
        <v>37</v>
      </c>
      <c r="I180" s="5">
        <v>44713</v>
      </c>
      <c r="J180" s="6">
        <v>2516</v>
      </c>
      <c r="K180" s="6">
        <v>2516</v>
      </c>
      <c r="L180" s="6">
        <v>577.08799999999997</v>
      </c>
      <c r="M180" s="6">
        <v>577.08799999999997</v>
      </c>
      <c r="N180" s="6">
        <v>577.08799999999997</v>
      </c>
      <c r="O180" s="6">
        <v>577.08799999999997</v>
      </c>
      <c r="P180" s="6">
        <v>0</v>
      </c>
      <c r="Q180" s="4" t="s">
        <v>26</v>
      </c>
      <c r="R180" s="4">
        <v>0</v>
      </c>
      <c r="S180" s="4" t="s">
        <v>157</v>
      </c>
      <c r="T180" s="4" t="s">
        <v>498</v>
      </c>
      <c r="U180" s="4">
        <v>20</v>
      </c>
      <c r="V180" s="4">
        <v>21</v>
      </c>
      <c r="W180" s="4">
        <v>75</v>
      </c>
    </row>
    <row r="181" spans="1:23" ht="11.25" customHeight="1" x14ac:dyDescent="0.25">
      <c r="A181" s="4" t="s">
        <v>28</v>
      </c>
      <c r="B181" s="4" t="s">
        <v>41</v>
      </c>
      <c r="C181" s="4" t="s">
        <v>42</v>
      </c>
      <c r="D181" s="4" t="s">
        <v>45</v>
      </c>
      <c r="E181" s="4" t="s">
        <v>25</v>
      </c>
      <c r="F181" s="4" t="s">
        <v>25</v>
      </c>
      <c r="G181" s="4" t="s">
        <v>25</v>
      </c>
      <c r="H181" s="4" t="s">
        <v>37</v>
      </c>
      <c r="I181" s="5">
        <v>44713</v>
      </c>
      <c r="J181" s="6">
        <v>130</v>
      </c>
      <c r="K181" s="6">
        <v>130</v>
      </c>
      <c r="L181" s="6">
        <v>8.875</v>
      </c>
      <c r="M181" s="6">
        <v>8.875</v>
      </c>
      <c r="N181" s="6">
        <v>8.875</v>
      </c>
      <c r="O181" s="6">
        <v>8.875</v>
      </c>
      <c r="P181" s="6">
        <v>0</v>
      </c>
      <c r="Q181" s="4" t="s">
        <v>26</v>
      </c>
      <c r="R181" s="4">
        <v>0</v>
      </c>
      <c r="S181" s="4" t="s">
        <v>157</v>
      </c>
      <c r="T181" s="4" t="s">
        <v>498</v>
      </c>
      <c r="U181" s="4">
        <v>20</v>
      </c>
      <c r="V181" s="4">
        <v>21</v>
      </c>
      <c r="W181" s="4">
        <v>75</v>
      </c>
    </row>
    <row r="182" spans="1:23" ht="11.25" customHeight="1" x14ac:dyDescent="0.25">
      <c r="A182" s="4" t="s">
        <v>21</v>
      </c>
      <c r="B182" s="4" t="s">
        <v>41</v>
      </c>
      <c r="C182" s="4" t="s">
        <v>42</v>
      </c>
      <c r="D182" s="4" t="s">
        <v>45</v>
      </c>
      <c r="E182" s="4" t="s">
        <v>25</v>
      </c>
      <c r="F182" s="4" t="s">
        <v>25</v>
      </c>
      <c r="G182" s="4" t="s">
        <v>25</v>
      </c>
      <c r="H182" s="4" t="s">
        <v>37</v>
      </c>
      <c r="I182" s="5">
        <v>44743</v>
      </c>
      <c r="J182" s="6">
        <v>2528</v>
      </c>
      <c r="K182" s="6">
        <v>2528</v>
      </c>
      <c r="L182" s="6">
        <v>617.68600000000004</v>
      </c>
      <c r="M182" s="6">
        <v>617.68600000000004</v>
      </c>
      <c r="N182" s="6">
        <v>617.68600000000004</v>
      </c>
      <c r="O182" s="6">
        <v>617.68600000000004</v>
      </c>
      <c r="P182" s="6">
        <v>0</v>
      </c>
      <c r="Q182" s="4" t="s">
        <v>26</v>
      </c>
      <c r="R182" s="4">
        <v>0</v>
      </c>
      <c r="S182" s="4" t="s">
        <v>158</v>
      </c>
      <c r="T182" s="4" t="s">
        <v>499</v>
      </c>
      <c r="U182" s="4">
        <v>20</v>
      </c>
      <c r="V182" s="4">
        <v>21</v>
      </c>
      <c r="W182" s="4">
        <v>75</v>
      </c>
    </row>
    <row r="183" spans="1:23" ht="11.25" customHeight="1" x14ac:dyDescent="0.25">
      <c r="A183" s="4" t="s">
        <v>28</v>
      </c>
      <c r="B183" s="4" t="s">
        <v>41</v>
      </c>
      <c r="C183" s="4" t="s">
        <v>42</v>
      </c>
      <c r="D183" s="4" t="s">
        <v>45</v>
      </c>
      <c r="E183" s="4" t="s">
        <v>25</v>
      </c>
      <c r="F183" s="4" t="s">
        <v>25</v>
      </c>
      <c r="G183" s="4" t="s">
        <v>25</v>
      </c>
      <c r="H183" s="4" t="s">
        <v>37</v>
      </c>
      <c r="I183" s="5">
        <v>44743</v>
      </c>
      <c r="J183" s="6">
        <v>130</v>
      </c>
      <c r="K183" s="6">
        <v>130</v>
      </c>
      <c r="L183" s="6">
        <v>8.7219999999999995</v>
      </c>
      <c r="M183" s="6">
        <v>8.7219999999999995</v>
      </c>
      <c r="N183" s="6">
        <v>8.7219999999999995</v>
      </c>
      <c r="O183" s="6">
        <v>8.7219999999999995</v>
      </c>
      <c r="P183" s="6">
        <v>0</v>
      </c>
      <c r="Q183" s="4" t="s">
        <v>26</v>
      </c>
      <c r="R183" s="4">
        <v>0</v>
      </c>
      <c r="S183" s="4" t="s">
        <v>158</v>
      </c>
      <c r="T183" s="4" t="s">
        <v>499</v>
      </c>
      <c r="U183" s="4">
        <v>20</v>
      </c>
      <c r="V183" s="4">
        <v>21</v>
      </c>
      <c r="W183" s="4">
        <v>75</v>
      </c>
    </row>
    <row r="184" spans="1:23" ht="11.25" customHeight="1" x14ac:dyDescent="0.25">
      <c r="A184" s="4" t="s">
        <v>21</v>
      </c>
      <c r="B184" s="4" t="s">
        <v>41</v>
      </c>
      <c r="C184" s="4" t="s">
        <v>42</v>
      </c>
      <c r="D184" s="4" t="s">
        <v>45</v>
      </c>
      <c r="E184" s="4" t="s">
        <v>25</v>
      </c>
      <c r="F184" s="4" t="s">
        <v>25</v>
      </c>
      <c r="G184" s="4" t="s">
        <v>25</v>
      </c>
      <c r="H184" s="4" t="s">
        <v>37</v>
      </c>
      <c r="I184" s="5">
        <v>44774</v>
      </c>
      <c r="J184" s="6">
        <v>2562</v>
      </c>
      <c r="K184" s="6">
        <v>2562</v>
      </c>
      <c r="L184" s="6">
        <v>619.73800000000006</v>
      </c>
      <c r="M184" s="6">
        <v>619.73800000000006</v>
      </c>
      <c r="N184" s="6">
        <v>619.73800000000006</v>
      </c>
      <c r="O184" s="6">
        <v>619.73800000000006</v>
      </c>
      <c r="P184" s="6">
        <v>0</v>
      </c>
      <c r="Q184" s="4" t="s">
        <v>26</v>
      </c>
      <c r="R184" s="4">
        <v>0</v>
      </c>
      <c r="S184" s="4" t="s">
        <v>159</v>
      </c>
      <c r="T184" s="4" t="s">
        <v>500</v>
      </c>
      <c r="U184" s="4">
        <v>20</v>
      </c>
      <c r="V184" s="4">
        <v>21</v>
      </c>
      <c r="W184" s="4">
        <v>75</v>
      </c>
    </row>
    <row r="185" spans="1:23" ht="11.25" customHeight="1" x14ac:dyDescent="0.25">
      <c r="A185" s="4" t="s">
        <v>28</v>
      </c>
      <c r="B185" s="4" t="s">
        <v>41</v>
      </c>
      <c r="C185" s="4" t="s">
        <v>42</v>
      </c>
      <c r="D185" s="4" t="s">
        <v>45</v>
      </c>
      <c r="E185" s="4" t="s">
        <v>25</v>
      </c>
      <c r="F185" s="4" t="s">
        <v>25</v>
      </c>
      <c r="G185" s="4" t="s">
        <v>25</v>
      </c>
      <c r="H185" s="4" t="s">
        <v>37</v>
      </c>
      <c r="I185" s="5">
        <v>44774</v>
      </c>
      <c r="J185" s="6">
        <v>130</v>
      </c>
      <c r="K185" s="6">
        <v>130</v>
      </c>
      <c r="L185" s="6">
        <v>9.4540000000000006</v>
      </c>
      <c r="M185" s="6">
        <v>9.4540000000000006</v>
      </c>
      <c r="N185" s="6">
        <v>9.4540000000000006</v>
      </c>
      <c r="O185" s="6">
        <v>9.4540000000000006</v>
      </c>
      <c r="P185" s="6">
        <v>0</v>
      </c>
      <c r="Q185" s="4" t="s">
        <v>26</v>
      </c>
      <c r="R185" s="4">
        <v>0</v>
      </c>
      <c r="S185" s="4" t="s">
        <v>159</v>
      </c>
      <c r="T185" s="4" t="s">
        <v>500</v>
      </c>
      <c r="U185" s="4">
        <v>20</v>
      </c>
      <c r="V185" s="4">
        <v>21</v>
      </c>
      <c r="W185" s="4">
        <v>75</v>
      </c>
    </row>
    <row r="186" spans="1:23" ht="11.25" customHeight="1" x14ac:dyDescent="0.25">
      <c r="A186" s="4" t="s">
        <v>21</v>
      </c>
      <c r="B186" s="4" t="s">
        <v>41</v>
      </c>
      <c r="C186" s="4" t="s">
        <v>42</v>
      </c>
      <c r="D186" s="4" t="s">
        <v>45</v>
      </c>
      <c r="E186" s="4" t="s">
        <v>25</v>
      </c>
      <c r="F186" s="4" t="s">
        <v>25</v>
      </c>
      <c r="G186" s="4" t="s">
        <v>25</v>
      </c>
      <c r="H186" s="4" t="s">
        <v>37</v>
      </c>
      <c r="I186" s="5">
        <v>44805</v>
      </c>
      <c r="J186" s="6">
        <v>2384</v>
      </c>
      <c r="K186" s="6">
        <v>2384</v>
      </c>
      <c r="L186" s="6">
        <v>571.19000000000005</v>
      </c>
      <c r="M186" s="6">
        <v>571.19000000000005</v>
      </c>
      <c r="N186" s="6">
        <v>571.19000000000005</v>
      </c>
      <c r="O186" s="6">
        <v>571.19000000000005</v>
      </c>
      <c r="P186" s="6">
        <v>0</v>
      </c>
      <c r="Q186" s="4" t="s">
        <v>26</v>
      </c>
      <c r="R186" s="4">
        <v>0</v>
      </c>
      <c r="S186" s="4" t="s">
        <v>160</v>
      </c>
      <c r="T186" s="4" t="s">
        <v>501</v>
      </c>
      <c r="U186" s="4">
        <v>20</v>
      </c>
      <c r="V186" s="4">
        <v>21</v>
      </c>
      <c r="W186" s="4">
        <v>75</v>
      </c>
    </row>
    <row r="187" spans="1:23" ht="11.25" customHeight="1" x14ac:dyDescent="0.25">
      <c r="A187" s="4" t="s">
        <v>28</v>
      </c>
      <c r="B187" s="4" t="s">
        <v>41</v>
      </c>
      <c r="C187" s="4" t="s">
        <v>42</v>
      </c>
      <c r="D187" s="4" t="s">
        <v>45</v>
      </c>
      <c r="E187" s="4" t="s">
        <v>25</v>
      </c>
      <c r="F187" s="4" t="s">
        <v>25</v>
      </c>
      <c r="G187" s="4" t="s">
        <v>25</v>
      </c>
      <c r="H187" s="4" t="s">
        <v>37</v>
      </c>
      <c r="I187" s="5">
        <v>44805</v>
      </c>
      <c r="J187" s="6">
        <v>130</v>
      </c>
      <c r="K187" s="6">
        <v>130</v>
      </c>
      <c r="L187" s="6">
        <v>9.0190000000000001</v>
      </c>
      <c r="M187" s="6">
        <v>9.0190000000000001</v>
      </c>
      <c r="N187" s="6">
        <v>9.0190000000000001</v>
      </c>
      <c r="O187" s="6">
        <v>9.0190000000000001</v>
      </c>
      <c r="P187" s="6">
        <v>0</v>
      </c>
      <c r="Q187" s="4" t="s">
        <v>26</v>
      </c>
      <c r="R187" s="4">
        <v>0</v>
      </c>
      <c r="S187" s="4" t="s">
        <v>160</v>
      </c>
      <c r="T187" s="4" t="s">
        <v>501</v>
      </c>
      <c r="U187" s="4">
        <v>20</v>
      </c>
      <c r="V187" s="4">
        <v>21</v>
      </c>
      <c r="W187" s="4">
        <v>75</v>
      </c>
    </row>
    <row r="188" spans="1:23" ht="11.25" customHeight="1" x14ac:dyDescent="0.25">
      <c r="A188" s="4" t="s">
        <v>21</v>
      </c>
      <c r="B188" s="4" t="s">
        <v>41</v>
      </c>
      <c r="C188" s="4" t="s">
        <v>42</v>
      </c>
      <c r="D188" s="4" t="s">
        <v>45</v>
      </c>
      <c r="E188" s="4" t="s">
        <v>25</v>
      </c>
      <c r="F188" s="4" t="s">
        <v>25</v>
      </c>
      <c r="G188" s="4" t="s">
        <v>25</v>
      </c>
      <c r="H188" s="4" t="s">
        <v>37</v>
      </c>
      <c r="I188" s="5">
        <v>44835</v>
      </c>
      <c r="J188" s="6">
        <v>2387</v>
      </c>
      <c r="K188" s="6">
        <v>2387</v>
      </c>
      <c r="L188" s="6">
        <v>623.178</v>
      </c>
      <c r="M188" s="6">
        <v>623.178</v>
      </c>
      <c r="N188" s="6">
        <v>623.178</v>
      </c>
      <c r="O188" s="6">
        <v>623.178</v>
      </c>
      <c r="P188" s="6">
        <v>0</v>
      </c>
      <c r="Q188" s="4" t="s">
        <v>26</v>
      </c>
      <c r="R188" s="4">
        <v>0</v>
      </c>
      <c r="S188" s="4" t="s">
        <v>161</v>
      </c>
      <c r="T188" s="4" t="s">
        <v>502</v>
      </c>
      <c r="U188" s="4">
        <v>20</v>
      </c>
      <c r="V188" s="4">
        <v>21</v>
      </c>
      <c r="W188" s="4">
        <v>75</v>
      </c>
    </row>
    <row r="189" spans="1:23" ht="11.25" customHeight="1" x14ac:dyDescent="0.25">
      <c r="A189" s="4" t="s">
        <v>27</v>
      </c>
      <c r="B189" s="4" t="s">
        <v>41</v>
      </c>
      <c r="C189" s="4" t="s">
        <v>42</v>
      </c>
      <c r="D189" s="4" t="s">
        <v>45</v>
      </c>
      <c r="E189" s="4" t="s">
        <v>25</v>
      </c>
      <c r="F189" s="4" t="s">
        <v>25</v>
      </c>
      <c r="G189" s="4" t="s">
        <v>25</v>
      </c>
      <c r="H189" s="4" t="s">
        <v>37</v>
      </c>
      <c r="I189" s="5">
        <v>44835</v>
      </c>
      <c r="J189" s="6">
        <v>0</v>
      </c>
      <c r="K189" s="6">
        <v>0</v>
      </c>
      <c r="L189" s="6">
        <v>-2.6440000000000001</v>
      </c>
      <c r="M189" s="6">
        <v>-2.6440000000000001</v>
      </c>
      <c r="N189" s="6">
        <v>-2.6440000000000001</v>
      </c>
      <c r="O189" s="6">
        <v>-2.6440000000000001</v>
      </c>
      <c r="P189" s="6">
        <v>0</v>
      </c>
      <c r="Q189" s="4" t="s">
        <v>26</v>
      </c>
      <c r="R189" s="4">
        <v>0</v>
      </c>
      <c r="S189" s="4" t="s">
        <v>161</v>
      </c>
      <c r="T189" s="4" t="s">
        <v>502</v>
      </c>
      <c r="U189" s="4">
        <v>0</v>
      </c>
      <c r="V189" s="4">
        <v>21</v>
      </c>
      <c r="W189" s="4">
        <v>75</v>
      </c>
    </row>
    <row r="190" spans="1:23" ht="11.25" customHeight="1" x14ac:dyDescent="0.25">
      <c r="A190" s="4" t="s">
        <v>28</v>
      </c>
      <c r="B190" s="4" t="s">
        <v>41</v>
      </c>
      <c r="C190" s="4" t="s">
        <v>42</v>
      </c>
      <c r="D190" s="4" t="s">
        <v>45</v>
      </c>
      <c r="E190" s="4" t="s">
        <v>25</v>
      </c>
      <c r="F190" s="4" t="s">
        <v>25</v>
      </c>
      <c r="G190" s="4" t="s">
        <v>25</v>
      </c>
      <c r="H190" s="4" t="s">
        <v>37</v>
      </c>
      <c r="I190" s="5">
        <v>44835</v>
      </c>
      <c r="J190" s="6">
        <v>130</v>
      </c>
      <c r="K190" s="6">
        <v>130</v>
      </c>
      <c r="L190" s="6">
        <v>9.3919999999999995</v>
      </c>
      <c r="M190" s="6">
        <v>9.3919999999999995</v>
      </c>
      <c r="N190" s="6">
        <v>9.3919999999999995</v>
      </c>
      <c r="O190" s="6">
        <v>9.3919999999999995</v>
      </c>
      <c r="P190" s="6">
        <v>0</v>
      </c>
      <c r="Q190" s="4" t="s">
        <v>26</v>
      </c>
      <c r="R190" s="4">
        <v>0</v>
      </c>
      <c r="S190" s="4" t="s">
        <v>161</v>
      </c>
      <c r="T190" s="4" t="s">
        <v>502</v>
      </c>
      <c r="U190" s="4">
        <v>20</v>
      </c>
      <c r="V190" s="4">
        <v>21</v>
      </c>
      <c r="W190" s="4">
        <v>75</v>
      </c>
    </row>
    <row r="191" spans="1:23" ht="11.25" customHeight="1" x14ac:dyDescent="0.25">
      <c r="A191" s="4" t="s">
        <v>59</v>
      </c>
      <c r="B191" s="4" t="s">
        <v>41</v>
      </c>
      <c r="C191" s="4" t="s">
        <v>42</v>
      </c>
      <c r="D191" s="4" t="s">
        <v>45</v>
      </c>
      <c r="E191" s="4" t="s">
        <v>25</v>
      </c>
      <c r="F191" s="4" t="s">
        <v>25</v>
      </c>
      <c r="G191" s="4" t="s">
        <v>25</v>
      </c>
      <c r="H191" s="4" t="s">
        <v>37</v>
      </c>
      <c r="I191" s="5">
        <v>44866</v>
      </c>
      <c r="J191" s="6">
        <v>2387</v>
      </c>
      <c r="K191" s="6">
        <v>2387</v>
      </c>
      <c r="L191" s="6">
        <v>623.178</v>
      </c>
      <c r="M191" s="6">
        <v>623.178</v>
      </c>
      <c r="N191" s="6">
        <v>623.178</v>
      </c>
      <c r="O191" s="6">
        <v>623.178</v>
      </c>
      <c r="P191" s="6">
        <v>0</v>
      </c>
      <c r="Q191" s="4" t="s">
        <v>26</v>
      </c>
      <c r="R191" s="4">
        <v>0</v>
      </c>
      <c r="S191" s="4" t="s">
        <v>162</v>
      </c>
      <c r="T191" s="4" t="s">
        <v>503</v>
      </c>
      <c r="U191" s="4">
        <v>20</v>
      </c>
      <c r="V191" s="4">
        <v>21</v>
      </c>
      <c r="W191" s="4">
        <v>75</v>
      </c>
    </row>
    <row r="192" spans="1:23" ht="11.25" customHeight="1" x14ac:dyDescent="0.25">
      <c r="A192" s="4" t="s">
        <v>59</v>
      </c>
      <c r="B192" s="4" t="s">
        <v>41</v>
      </c>
      <c r="C192" s="4" t="s">
        <v>42</v>
      </c>
      <c r="D192" s="4" t="s">
        <v>45</v>
      </c>
      <c r="E192" s="4" t="s">
        <v>25</v>
      </c>
      <c r="F192" s="4" t="s">
        <v>25</v>
      </c>
      <c r="G192" s="4" t="s">
        <v>25</v>
      </c>
      <c r="H192" s="4" t="s">
        <v>37</v>
      </c>
      <c r="I192" s="5">
        <v>44866</v>
      </c>
      <c r="J192" s="6">
        <v>0</v>
      </c>
      <c r="K192" s="6">
        <v>0</v>
      </c>
      <c r="L192" s="6">
        <v>-2.6440000000000001</v>
      </c>
      <c r="M192" s="6">
        <v>-2.6440000000000001</v>
      </c>
      <c r="N192" s="6">
        <v>-2.6440000000000001</v>
      </c>
      <c r="O192" s="6">
        <v>-2.6440000000000001</v>
      </c>
      <c r="P192" s="6">
        <v>0</v>
      </c>
      <c r="Q192" s="4" t="s">
        <v>26</v>
      </c>
      <c r="R192" s="4">
        <v>0</v>
      </c>
      <c r="S192" s="4" t="s">
        <v>162</v>
      </c>
      <c r="T192" s="4" t="s">
        <v>503</v>
      </c>
      <c r="U192" s="4">
        <v>0</v>
      </c>
      <c r="V192" s="4">
        <v>21</v>
      </c>
      <c r="W192" s="4">
        <v>75</v>
      </c>
    </row>
    <row r="193" spans="1:23" ht="11.25" customHeight="1" x14ac:dyDescent="0.25">
      <c r="A193" s="4" t="s">
        <v>59</v>
      </c>
      <c r="B193" s="4" t="s">
        <v>41</v>
      </c>
      <c r="C193" s="4" t="s">
        <v>42</v>
      </c>
      <c r="D193" s="4" t="s">
        <v>45</v>
      </c>
      <c r="E193" s="4" t="s">
        <v>25</v>
      </c>
      <c r="F193" s="4" t="s">
        <v>25</v>
      </c>
      <c r="G193" s="4" t="s">
        <v>25</v>
      </c>
      <c r="H193" s="4" t="s">
        <v>37</v>
      </c>
      <c r="I193" s="5">
        <v>44866</v>
      </c>
      <c r="J193" s="6">
        <v>130</v>
      </c>
      <c r="K193" s="6">
        <v>130</v>
      </c>
      <c r="L193" s="6">
        <v>9.3919999999999995</v>
      </c>
      <c r="M193" s="6">
        <v>9.3919999999999995</v>
      </c>
      <c r="N193" s="6">
        <v>9.3919999999999995</v>
      </c>
      <c r="O193" s="6">
        <v>9.3919999999999995</v>
      </c>
      <c r="P193" s="6">
        <v>0</v>
      </c>
      <c r="Q193" s="4" t="s">
        <v>26</v>
      </c>
      <c r="R193" s="4">
        <v>0</v>
      </c>
      <c r="S193" s="4" t="s">
        <v>162</v>
      </c>
      <c r="T193" s="4" t="s">
        <v>503</v>
      </c>
      <c r="U193" s="4">
        <v>20</v>
      </c>
      <c r="V193" s="4">
        <v>21</v>
      </c>
      <c r="W193" s="4">
        <v>75</v>
      </c>
    </row>
    <row r="194" spans="1:23" ht="11.25" customHeight="1" x14ac:dyDescent="0.25">
      <c r="A194" s="4" t="s">
        <v>21</v>
      </c>
      <c r="B194" s="4" t="s">
        <v>41</v>
      </c>
      <c r="C194" s="4" t="s">
        <v>42</v>
      </c>
      <c r="D194" s="4" t="s">
        <v>45</v>
      </c>
      <c r="E194" s="4" t="s">
        <v>25</v>
      </c>
      <c r="F194" s="4" t="s">
        <v>25</v>
      </c>
      <c r="G194" s="4" t="s">
        <v>25</v>
      </c>
      <c r="H194" s="4" t="s">
        <v>36</v>
      </c>
      <c r="I194" s="5">
        <v>44531</v>
      </c>
      <c r="J194" s="6">
        <v>1579</v>
      </c>
      <c r="K194" s="6">
        <v>1579</v>
      </c>
      <c r="L194" s="6">
        <v>49.622999999999998</v>
      </c>
      <c r="M194" s="6">
        <v>49.622999999999998</v>
      </c>
      <c r="N194" s="6">
        <v>49.622999999999998</v>
      </c>
      <c r="O194" s="6">
        <v>49.622999999999998</v>
      </c>
      <c r="P194" s="6">
        <v>0</v>
      </c>
      <c r="Q194" s="4" t="s">
        <v>26</v>
      </c>
      <c r="R194" s="4">
        <v>0</v>
      </c>
      <c r="S194" s="4" t="s">
        <v>163</v>
      </c>
      <c r="T194" s="4" t="s">
        <v>504</v>
      </c>
      <c r="U194" s="4">
        <v>19</v>
      </c>
      <c r="V194" s="4">
        <v>21</v>
      </c>
      <c r="W194" s="4">
        <v>74</v>
      </c>
    </row>
    <row r="195" spans="1:23" ht="11.25" customHeight="1" x14ac:dyDescent="0.25">
      <c r="A195" s="4" t="s">
        <v>28</v>
      </c>
      <c r="B195" s="4" t="s">
        <v>41</v>
      </c>
      <c r="C195" s="4" t="s">
        <v>42</v>
      </c>
      <c r="D195" s="4" t="s">
        <v>45</v>
      </c>
      <c r="E195" s="4" t="s">
        <v>25</v>
      </c>
      <c r="F195" s="4" t="s">
        <v>25</v>
      </c>
      <c r="G195" s="4" t="s">
        <v>25</v>
      </c>
      <c r="H195" s="4" t="s">
        <v>36</v>
      </c>
      <c r="I195" s="5">
        <v>44531</v>
      </c>
      <c r="J195" s="6">
        <v>40</v>
      </c>
      <c r="K195" s="6">
        <v>40</v>
      </c>
      <c r="L195" s="6">
        <v>1.1200000000000001</v>
      </c>
      <c r="M195" s="6">
        <v>1.1200000000000001</v>
      </c>
      <c r="N195" s="6">
        <v>1.1200000000000001</v>
      </c>
      <c r="O195" s="6">
        <v>1.1200000000000001</v>
      </c>
      <c r="P195" s="6">
        <v>0</v>
      </c>
      <c r="Q195" s="4" t="s">
        <v>26</v>
      </c>
      <c r="R195" s="4">
        <v>0</v>
      </c>
      <c r="S195" s="4" t="s">
        <v>163</v>
      </c>
      <c r="T195" s="4" t="s">
        <v>504</v>
      </c>
      <c r="U195" s="4">
        <v>19</v>
      </c>
      <c r="V195" s="4">
        <v>21</v>
      </c>
      <c r="W195" s="4">
        <v>74</v>
      </c>
    </row>
    <row r="196" spans="1:23" ht="11.25" customHeight="1" x14ac:dyDescent="0.25">
      <c r="A196" s="4" t="s">
        <v>21</v>
      </c>
      <c r="B196" s="4" t="s">
        <v>41</v>
      </c>
      <c r="C196" s="4" t="s">
        <v>42</v>
      </c>
      <c r="D196" s="4" t="s">
        <v>45</v>
      </c>
      <c r="E196" s="4" t="s">
        <v>25</v>
      </c>
      <c r="F196" s="4" t="s">
        <v>25</v>
      </c>
      <c r="G196" s="4" t="s">
        <v>25</v>
      </c>
      <c r="H196" s="4" t="s">
        <v>36</v>
      </c>
      <c r="I196" s="5">
        <v>44562</v>
      </c>
      <c r="J196" s="6">
        <v>1614</v>
      </c>
      <c r="K196" s="6">
        <v>1614</v>
      </c>
      <c r="L196" s="6">
        <v>49.591000000000001</v>
      </c>
      <c r="M196" s="6">
        <v>49.591000000000001</v>
      </c>
      <c r="N196" s="6">
        <v>49.591000000000001</v>
      </c>
      <c r="O196" s="6">
        <v>49.591000000000001</v>
      </c>
      <c r="P196" s="6">
        <v>0</v>
      </c>
      <c r="Q196" s="4" t="s">
        <v>26</v>
      </c>
      <c r="R196" s="4">
        <v>0</v>
      </c>
      <c r="S196" s="4" t="s">
        <v>164</v>
      </c>
      <c r="T196" s="4" t="s">
        <v>505</v>
      </c>
      <c r="U196" s="4">
        <v>19</v>
      </c>
      <c r="V196" s="4">
        <v>21</v>
      </c>
      <c r="W196" s="4">
        <v>74</v>
      </c>
    </row>
    <row r="197" spans="1:23" ht="11.25" customHeight="1" x14ac:dyDescent="0.25">
      <c r="A197" s="4" t="s">
        <v>28</v>
      </c>
      <c r="B197" s="4" t="s">
        <v>41</v>
      </c>
      <c r="C197" s="4" t="s">
        <v>42</v>
      </c>
      <c r="D197" s="4" t="s">
        <v>45</v>
      </c>
      <c r="E197" s="4" t="s">
        <v>25</v>
      </c>
      <c r="F197" s="4" t="s">
        <v>25</v>
      </c>
      <c r="G197" s="4" t="s">
        <v>25</v>
      </c>
      <c r="H197" s="4" t="s">
        <v>36</v>
      </c>
      <c r="I197" s="5">
        <v>44562</v>
      </c>
      <c r="J197" s="6">
        <v>40</v>
      </c>
      <c r="K197" s="6">
        <v>40</v>
      </c>
      <c r="L197" s="6">
        <v>0.56000000000000005</v>
      </c>
      <c r="M197" s="6">
        <v>0.56000000000000005</v>
      </c>
      <c r="N197" s="6">
        <v>0.56000000000000005</v>
      </c>
      <c r="O197" s="6">
        <v>0.56000000000000005</v>
      </c>
      <c r="P197" s="6">
        <v>0</v>
      </c>
      <c r="Q197" s="4" t="s">
        <v>26</v>
      </c>
      <c r="R197" s="4">
        <v>0</v>
      </c>
      <c r="S197" s="4" t="s">
        <v>164</v>
      </c>
      <c r="T197" s="4" t="s">
        <v>505</v>
      </c>
      <c r="U197" s="4">
        <v>19</v>
      </c>
      <c r="V197" s="4">
        <v>21</v>
      </c>
      <c r="W197" s="4">
        <v>74</v>
      </c>
    </row>
    <row r="198" spans="1:23" ht="11.25" customHeight="1" x14ac:dyDescent="0.25">
      <c r="A198" s="4" t="s">
        <v>21</v>
      </c>
      <c r="B198" s="4" t="s">
        <v>41</v>
      </c>
      <c r="C198" s="4" t="s">
        <v>42</v>
      </c>
      <c r="D198" s="4" t="s">
        <v>45</v>
      </c>
      <c r="E198" s="4" t="s">
        <v>25</v>
      </c>
      <c r="F198" s="4" t="s">
        <v>25</v>
      </c>
      <c r="G198" s="4" t="s">
        <v>25</v>
      </c>
      <c r="H198" s="4" t="s">
        <v>36</v>
      </c>
      <c r="I198" s="5">
        <v>44593</v>
      </c>
      <c r="J198" s="6">
        <v>2159</v>
      </c>
      <c r="K198" s="6">
        <v>2159</v>
      </c>
      <c r="L198" s="6">
        <v>58.023000000000003</v>
      </c>
      <c r="M198" s="6">
        <v>58.023000000000003</v>
      </c>
      <c r="N198" s="6">
        <v>58.023000000000003</v>
      </c>
      <c r="O198" s="6">
        <v>58.023000000000003</v>
      </c>
      <c r="P198" s="6">
        <v>0</v>
      </c>
      <c r="Q198" s="4" t="s">
        <v>26</v>
      </c>
      <c r="R198" s="4">
        <v>0</v>
      </c>
      <c r="S198" s="4" t="s">
        <v>165</v>
      </c>
      <c r="T198" s="4" t="s">
        <v>506</v>
      </c>
      <c r="U198" s="4">
        <v>19</v>
      </c>
      <c r="V198" s="4">
        <v>21</v>
      </c>
      <c r="W198" s="4">
        <v>74</v>
      </c>
    </row>
    <row r="199" spans="1:23" ht="11.25" customHeight="1" x14ac:dyDescent="0.25">
      <c r="A199" s="4" t="s">
        <v>28</v>
      </c>
      <c r="B199" s="4" t="s">
        <v>41</v>
      </c>
      <c r="C199" s="4" t="s">
        <v>42</v>
      </c>
      <c r="D199" s="4" t="s">
        <v>45</v>
      </c>
      <c r="E199" s="4" t="s">
        <v>25</v>
      </c>
      <c r="F199" s="4" t="s">
        <v>25</v>
      </c>
      <c r="G199" s="4" t="s">
        <v>25</v>
      </c>
      <c r="H199" s="4" t="s">
        <v>36</v>
      </c>
      <c r="I199" s="5">
        <v>44593</v>
      </c>
      <c r="J199" s="6">
        <v>40</v>
      </c>
      <c r="K199" s="6">
        <v>40</v>
      </c>
      <c r="L199" s="6">
        <v>1.0189999999999999</v>
      </c>
      <c r="M199" s="6">
        <v>1.0189999999999999</v>
      </c>
      <c r="N199" s="6">
        <v>1.0189999999999999</v>
      </c>
      <c r="O199" s="6">
        <v>1.0189999999999999</v>
      </c>
      <c r="P199" s="6">
        <v>0</v>
      </c>
      <c r="Q199" s="4" t="s">
        <v>26</v>
      </c>
      <c r="R199" s="4">
        <v>0</v>
      </c>
      <c r="S199" s="4" t="s">
        <v>165</v>
      </c>
      <c r="T199" s="4" t="s">
        <v>506</v>
      </c>
      <c r="U199" s="4">
        <v>19</v>
      </c>
      <c r="V199" s="4">
        <v>21</v>
      </c>
      <c r="W199" s="4">
        <v>74</v>
      </c>
    </row>
    <row r="200" spans="1:23" ht="11.25" customHeight="1" x14ac:dyDescent="0.25">
      <c r="A200" s="4" t="s">
        <v>21</v>
      </c>
      <c r="B200" s="4" t="s">
        <v>41</v>
      </c>
      <c r="C200" s="4" t="s">
        <v>42</v>
      </c>
      <c r="D200" s="4" t="s">
        <v>45</v>
      </c>
      <c r="E200" s="4" t="s">
        <v>25</v>
      </c>
      <c r="F200" s="4" t="s">
        <v>25</v>
      </c>
      <c r="G200" s="4" t="s">
        <v>25</v>
      </c>
      <c r="H200" s="4" t="s">
        <v>36</v>
      </c>
      <c r="I200" s="5">
        <v>44621</v>
      </c>
      <c r="J200" s="6">
        <v>2165</v>
      </c>
      <c r="K200" s="6">
        <v>2165</v>
      </c>
      <c r="L200" s="6">
        <v>60.366999999999997</v>
      </c>
      <c r="M200" s="6">
        <v>60.366999999999997</v>
      </c>
      <c r="N200" s="6">
        <v>60.366999999999997</v>
      </c>
      <c r="O200" s="6">
        <v>60.366999999999997</v>
      </c>
      <c r="P200" s="6">
        <v>0</v>
      </c>
      <c r="Q200" s="4" t="s">
        <v>26</v>
      </c>
      <c r="R200" s="4">
        <v>0</v>
      </c>
      <c r="S200" s="4" t="s">
        <v>166</v>
      </c>
      <c r="T200" s="4" t="s">
        <v>507</v>
      </c>
      <c r="U200" s="4">
        <v>19</v>
      </c>
      <c r="V200" s="4">
        <v>21</v>
      </c>
      <c r="W200" s="4">
        <v>74</v>
      </c>
    </row>
    <row r="201" spans="1:23" ht="11.25" customHeight="1" x14ac:dyDescent="0.25">
      <c r="A201" s="4" t="s">
        <v>28</v>
      </c>
      <c r="B201" s="4" t="s">
        <v>41</v>
      </c>
      <c r="C201" s="4" t="s">
        <v>42</v>
      </c>
      <c r="D201" s="4" t="s">
        <v>45</v>
      </c>
      <c r="E201" s="4" t="s">
        <v>25</v>
      </c>
      <c r="F201" s="4" t="s">
        <v>25</v>
      </c>
      <c r="G201" s="4" t="s">
        <v>25</v>
      </c>
      <c r="H201" s="4" t="s">
        <v>36</v>
      </c>
      <c r="I201" s="5">
        <v>44621</v>
      </c>
      <c r="J201" s="6">
        <v>40</v>
      </c>
      <c r="K201" s="6">
        <v>40</v>
      </c>
      <c r="L201" s="6">
        <v>0.76200000000000001</v>
      </c>
      <c r="M201" s="6">
        <v>0.76200000000000001</v>
      </c>
      <c r="N201" s="6">
        <v>0.76200000000000001</v>
      </c>
      <c r="O201" s="6">
        <v>0.76200000000000001</v>
      </c>
      <c r="P201" s="6">
        <v>0</v>
      </c>
      <c r="Q201" s="4" t="s">
        <v>26</v>
      </c>
      <c r="R201" s="4">
        <v>0</v>
      </c>
      <c r="S201" s="4" t="s">
        <v>166</v>
      </c>
      <c r="T201" s="4" t="s">
        <v>507</v>
      </c>
      <c r="U201" s="4">
        <v>19</v>
      </c>
      <c r="V201" s="4">
        <v>21</v>
      </c>
      <c r="W201" s="4">
        <v>74</v>
      </c>
    </row>
    <row r="202" spans="1:23" ht="11.25" customHeight="1" x14ac:dyDescent="0.25">
      <c r="A202" s="4" t="s">
        <v>21</v>
      </c>
      <c r="B202" s="4" t="s">
        <v>41</v>
      </c>
      <c r="C202" s="4" t="s">
        <v>42</v>
      </c>
      <c r="D202" s="4" t="s">
        <v>45</v>
      </c>
      <c r="E202" s="4" t="s">
        <v>25</v>
      </c>
      <c r="F202" s="4" t="s">
        <v>25</v>
      </c>
      <c r="G202" s="4" t="s">
        <v>25</v>
      </c>
      <c r="H202" s="4" t="s">
        <v>36</v>
      </c>
      <c r="I202" s="5">
        <v>44652</v>
      </c>
      <c r="J202" s="6">
        <v>2176</v>
      </c>
      <c r="K202" s="6">
        <v>2176</v>
      </c>
      <c r="L202" s="6">
        <v>55.744</v>
      </c>
      <c r="M202" s="6">
        <v>55.744</v>
      </c>
      <c r="N202" s="6">
        <v>55.744</v>
      </c>
      <c r="O202" s="6">
        <v>55.744</v>
      </c>
      <c r="P202" s="6">
        <v>0</v>
      </c>
      <c r="Q202" s="4" t="s">
        <v>26</v>
      </c>
      <c r="R202" s="4">
        <v>0</v>
      </c>
      <c r="S202" s="4" t="s">
        <v>167</v>
      </c>
      <c r="T202" s="4" t="s">
        <v>508</v>
      </c>
      <c r="U202" s="4">
        <v>19</v>
      </c>
      <c r="V202" s="4">
        <v>21</v>
      </c>
      <c r="W202" s="4">
        <v>74</v>
      </c>
    </row>
    <row r="203" spans="1:23" ht="11.25" customHeight="1" x14ac:dyDescent="0.25">
      <c r="A203" s="4" t="s">
        <v>28</v>
      </c>
      <c r="B203" s="4" t="s">
        <v>41</v>
      </c>
      <c r="C203" s="4" t="s">
        <v>42</v>
      </c>
      <c r="D203" s="4" t="s">
        <v>45</v>
      </c>
      <c r="E203" s="4" t="s">
        <v>25</v>
      </c>
      <c r="F203" s="4" t="s">
        <v>25</v>
      </c>
      <c r="G203" s="4" t="s">
        <v>25</v>
      </c>
      <c r="H203" s="4" t="s">
        <v>36</v>
      </c>
      <c r="I203" s="5">
        <v>44652</v>
      </c>
      <c r="J203" s="6">
        <v>40</v>
      </c>
      <c r="K203" s="6">
        <v>40</v>
      </c>
      <c r="L203" s="6">
        <v>0.84499999999999997</v>
      </c>
      <c r="M203" s="6">
        <v>0.84499999999999997</v>
      </c>
      <c r="N203" s="6">
        <v>0.84499999999999997</v>
      </c>
      <c r="O203" s="6">
        <v>0.84499999999999997</v>
      </c>
      <c r="P203" s="6">
        <v>0</v>
      </c>
      <c r="Q203" s="4" t="s">
        <v>26</v>
      </c>
      <c r="R203" s="4">
        <v>0</v>
      </c>
      <c r="S203" s="4" t="s">
        <v>167</v>
      </c>
      <c r="T203" s="4" t="s">
        <v>508</v>
      </c>
      <c r="U203" s="4">
        <v>19</v>
      </c>
      <c r="V203" s="4">
        <v>21</v>
      </c>
      <c r="W203" s="4">
        <v>74</v>
      </c>
    </row>
    <row r="204" spans="1:23" ht="11.25" customHeight="1" x14ac:dyDescent="0.25">
      <c r="A204" s="4" t="s">
        <v>21</v>
      </c>
      <c r="B204" s="4" t="s">
        <v>41</v>
      </c>
      <c r="C204" s="4" t="s">
        <v>42</v>
      </c>
      <c r="D204" s="4" t="s">
        <v>45</v>
      </c>
      <c r="E204" s="4" t="s">
        <v>25</v>
      </c>
      <c r="F204" s="4" t="s">
        <v>25</v>
      </c>
      <c r="G204" s="4" t="s">
        <v>25</v>
      </c>
      <c r="H204" s="4" t="s">
        <v>36</v>
      </c>
      <c r="I204" s="5">
        <v>44682</v>
      </c>
      <c r="J204" s="6">
        <v>2189</v>
      </c>
      <c r="K204" s="6">
        <v>2189</v>
      </c>
      <c r="L204" s="6">
        <v>61.994999999999997</v>
      </c>
      <c r="M204" s="6">
        <v>61.994999999999997</v>
      </c>
      <c r="N204" s="6">
        <v>61.994999999999997</v>
      </c>
      <c r="O204" s="6">
        <v>61.994999999999997</v>
      </c>
      <c r="P204" s="6">
        <v>0</v>
      </c>
      <c r="Q204" s="4" t="s">
        <v>26</v>
      </c>
      <c r="R204" s="4">
        <v>0</v>
      </c>
      <c r="S204" s="4" t="s">
        <v>168</v>
      </c>
      <c r="T204" s="4" t="s">
        <v>509</v>
      </c>
      <c r="U204" s="4">
        <v>19</v>
      </c>
      <c r="V204" s="4">
        <v>21</v>
      </c>
      <c r="W204" s="4">
        <v>74</v>
      </c>
    </row>
    <row r="205" spans="1:23" ht="11.25" customHeight="1" x14ac:dyDescent="0.25">
      <c r="A205" s="4" t="s">
        <v>28</v>
      </c>
      <c r="B205" s="4" t="s">
        <v>41</v>
      </c>
      <c r="C205" s="4" t="s">
        <v>42</v>
      </c>
      <c r="D205" s="4" t="s">
        <v>45</v>
      </c>
      <c r="E205" s="4" t="s">
        <v>25</v>
      </c>
      <c r="F205" s="4" t="s">
        <v>25</v>
      </c>
      <c r="G205" s="4" t="s">
        <v>25</v>
      </c>
      <c r="H205" s="4" t="s">
        <v>36</v>
      </c>
      <c r="I205" s="5">
        <v>44682</v>
      </c>
      <c r="J205" s="6">
        <v>40</v>
      </c>
      <c r="K205" s="6">
        <v>40</v>
      </c>
      <c r="L205" s="6">
        <v>0.72299999999999998</v>
      </c>
      <c r="M205" s="6">
        <v>0.72299999999999998</v>
      </c>
      <c r="N205" s="6">
        <v>0.72299999999999998</v>
      </c>
      <c r="O205" s="6">
        <v>0.72299999999999998</v>
      </c>
      <c r="P205" s="6">
        <v>0</v>
      </c>
      <c r="Q205" s="4" t="s">
        <v>26</v>
      </c>
      <c r="R205" s="4">
        <v>0</v>
      </c>
      <c r="S205" s="4" t="s">
        <v>168</v>
      </c>
      <c r="T205" s="4" t="s">
        <v>509</v>
      </c>
      <c r="U205" s="4">
        <v>19</v>
      </c>
      <c r="V205" s="4">
        <v>21</v>
      </c>
      <c r="W205" s="4">
        <v>74</v>
      </c>
    </row>
    <row r="206" spans="1:23" ht="11.25" customHeight="1" x14ac:dyDescent="0.25">
      <c r="A206" s="4" t="s">
        <v>21</v>
      </c>
      <c r="B206" s="4" t="s">
        <v>41</v>
      </c>
      <c r="C206" s="4" t="s">
        <v>42</v>
      </c>
      <c r="D206" s="4" t="s">
        <v>45</v>
      </c>
      <c r="E206" s="4" t="s">
        <v>25</v>
      </c>
      <c r="F206" s="4" t="s">
        <v>25</v>
      </c>
      <c r="G206" s="4" t="s">
        <v>25</v>
      </c>
      <c r="H206" s="4" t="s">
        <v>36</v>
      </c>
      <c r="I206" s="5">
        <v>44713</v>
      </c>
      <c r="J206" s="6">
        <v>2171</v>
      </c>
      <c r="K206" s="6">
        <v>2171</v>
      </c>
      <c r="L206" s="6">
        <v>60.171999999999997</v>
      </c>
      <c r="M206" s="6">
        <v>60.171999999999997</v>
      </c>
      <c r="N206" s="6">
        <v>60.171999999999997</v>
      </c>
      <c r="O206" s="6">
        <v>60.171999999999997</v>
      </c>
      <c r="P206" s="6">
        <v>0</v>
      </c>
      <c r="Q206" s="4" t="s">
        <v>26</v>
      </c>
      <c r="R206" s="4">
        <v>0</v>
      </c>
      <c r="S206" s="4" t="s">
        <v>169</v>
      </c>
      <c r="T206" s="4" t="s">
        <v>510</v>
      </c>
      <c r="U206" s="4">
        <v>19</v>
      </c>
      <c r="V206" s="4">
        <v>21</v>
      </c>
      <c r="W206" s="4">
        <v>74</v>
      </c>
    </row>
    <row r="207" spans="1:23" ht="11.25" customHeight="1" x14ac:dyDescent="0.25">
      <c r="A207" s="4" t="s">
        <v>28</v>
      </c>
      <c r="B207" s="4" t="s">
        <v>41</v>
      </c>
      <c r="C207" s="4" t="s">
        <v>42</v>
      </c>
      <c r="D207" s="4" t="s">
        <v>45</v>
      </c>
      <c r="E207" s="4" t="s">
        <v>25</v>
      </c>
      <c r="F207" s="4" t="s">
        <v>25</v>
      </c>
      <c r="G207" s="4" t="s">
        <v>25</v>
      </c>
      <c r="H207" s="4" t="s">
        <v>36</v>
      </c>
      <c r="I207" s="5">
        <v>44713</v>
      </c>
      <c r="J207" s="6">
        <v>40</v>
      </c>
      <c r="K207" s="6">
        <v>40</v>
      </c>
      <c r="L207" s="6">
        <v>0.81200000000000006</v>
      </c>
      <c r="M207" s="6">
        <v>0.81200000000000006</v>
      </c>
      <c r="N207" s="6">
        <v>0.81200000000000006</v>
      </c>
      <c r="O207" s="6">
        <v>0.81200000000000006</v>
      </c>
      <c r="P207" s="6">
        <v>0</v>
      </c>
      <c r="Q207" s="4" t="s">
        <v>26</v>
      </c>
      <c r="R207" s="4">
        <v>0</v>
      </c>
      <c r="S207" s="4" t="s">
        <v>169</v>
      </c>
      <c r="T207" s="4" t="s">
        <v>510</v>
      </c>
      <c r="U207" s="4">
        <v>19</v>
      </c>
      <c r="V207" s="4">
        <v>21</v>
      </c>
      <c r="W207" s="4">
        <v>74</v>
      </c>
    </row>
    <row r="208" spans="1:23" ht="11.25" customHeight="1" x14ac:dyDescent="0.25">
      <c r="A208" s="4" t="s">
        <v>21</v>
      </c>
      <c r="B208" s="4" t="s">
        <v>41</v>
      </c>
      <c r="C208" s="4" t="s">
        <v>42</v>
      </c>
      <c r="D208" s="4" t="s">
        <v>45</v>
      </c>
      <c r="E208" s="4" t="s">
        <v>25</v>
      </c>
      <c r="F208" s="4" t="s">
        <v>25</v>
      </c>
      <c r="G208" s="4" t="s">
        <v>25</v>
      </c>
      <c r="H208" s="4" t="s">
        <v>36</v>
      </c>
      <c r="I208" s="5">
        <v>44743</v>
      </c>
      <c r="J208" s="6">
        <v>2173</v>
      </c>
      <c r="K208" s="6">
        <v>2173</v>
      </c>
      <c r="L208" s="6">
        <v>62.667999999999999</v>
      </c>
      <c r="M208" s="6">
        <v>62.667999999999999</v>
      </c>
      <c r="N208" s="6">
        <v>62.667999999999999</v>
      </c>
      <c r="O208" s="6">
        <v>62.667999999999999</v>
      </c>
      <c r="P208" s="6">
        <v>0</v>
      </c>
      <c r="Q208" s="4" t="s">
        <v>26</v>
      </c>
      <c r="R208" s="4">
        <v>0</v>
      </c>
      <c r="S208" s="4" t="s">
        <v>170</v>
      </c>
      <c r="T208" s="4" t="s">
        <v>511</v>
      </c>
      <c r="U208" s="4">
        <v>19</v>
      </c>
      <c r="V208" s="4">
        <v>21</v>
      </c>
      <c r="W208" s="4">
        <v>74</v>
      </c>
    </row>
    <row r="209" spans="1:23" ht="11.25" customHeight="1" x14ac:dyDescent="0.25">
      <c r="A209" s="4" t="s">
        <v>28</v>
      </c>
      <c r="B209" s="4" t="s">
        <v>41</v>
      </c>
      <c r="C209" s="4" t="s">
        <v>42</v>
      </c>
      <c r="D209" s="4" t="s">
        <v>45</v>
      </c>
      <c r="E209" s="4" t="s">
        <v>25</v>
      </c>
      <c r="F209" s="4" t="s">
        <v>25</v>
      </c>
      <c r="G209" s="4" t="s">
        <v>25</v>
      </c>
      <c r="H209" s="4" t="s">
        <v>36</v>
      </c>
      <c r="I209" s="5">
        <v>44743</v>
      </c>
      <c r="J209" s="6">
        <v>40</v>
      </c>
      <c r="K209" s="6">
        <v>40</v>
      </c>
      <c r="L209" s="6">
        <v>0.82399999999999995</v>
      </c>
      <c r="M209" s="6">
        <v>0.82399999999999995</v>
      </c>
      <c r="N209" s="6">
        <v>0.82399999999999995</v>
      </c>
      <c r="O209" s="6">
        <v>0.82399999999999995</v>
      </c>
      <c r="P209" s="6">
        <v>0</v>
      </c>
      <c r="Q209" s="4" t="s">
        <v>26</v>
      </c>
      <c r="R209" s="4">
        <v>0</v>
      </c>
      <c r="S209" s="4" t="s">
        <v>170</v>
      </c>
      <c r="T209" s="4" t="s">
        <v>511</v>
      </c>
      <c r="U209" s="4">
        <v>19</v>
      </c>
      <c r="V209" s="4">
        <v>21</v>
      </c>
      <c r="W209" s="4">
        <v>74</v>
      </c>
    </row>
    <row r="210" spans="1:23" ht="11.25" customHeight="1" x14ac:dyDescent="0.25">
      <c r="A210" s="4" t="s">
        <v>21</v>
      </c>
      <c r="B210" s="4" t="s">
        <v>41</v>
      </c>
      <c r="C210" s="4" t="s">
        <v>42</v>
      </c>
      <c r="D210" s="4" t="s">
        <v>45</v>
      </c>
      <c r="E210" s="4" t="s">
        <v>25</v>
      </c>
      <c r="F210" s="4" t="s">
        <v>25</v>
      </c>
      <c r="G210" s="4" t="s">
        <v>25</v>
      </c>
      <c r="H210" s="4" t="s">
        <v>36</v>
      </c>
      <c r="I210" s="5">
        <v>44774</v>
      </c>
      <c r="J210" s="6">
        <v>2179</v>
      </c>
      <c r="K210" s="6">
        <v>2179</v>
      </c>
      <c r="L210" s="6">
        <v>66.736000000000004</v>
      </c>
      <c r="M210" s="6">
        <v>66.736000000000004</v>
      </c>
      <c r="N210" s="6">
        <v>66.736000000000004</v>
      </c>
      <c r="O210" s="6">
        <v>66.736000000000004</v>
      </c>
      <c r="P210" s="6">
        <v>0</v>
      </c>
      <c r="Q210" s="4" t="s">
        <v>26</v>
      </c>
      <c r="R210" s="4">
        <v>0</v>
      </c>
      <c r="S210" s="4" t="s">
        <v>171</v>
      </c>
      <c r="T210" s="4" t="s">
        <v>512</v>
      </c>
      <c r="U210" s="4">
        <v>19</v>
      </c>
      <c r="V210" s="4">
        <v>21</v>
      </c>
      <c r="W210" s="4">
        <v>74</v>
      </c>
    </row>
    <row r="211" spans="1:23" ht="11.25" customHeight="1" x14ac:dyDescent="0.25">
      <c r="A211" s="4" t="s">
        <v>28</v>
      </c>
      <c r="B211" s="4" t="s">
        <v>41</v>
      </c>
      <c r="C211" s="4" t="s">
        <v>42</v>
      </c>
      <c r="D211" s="4" t="s">
        <v>45</v>
      </c>
      <c r="E211" s="4" t="s">
        <v>25</v>
      </c>
      <c r="F211" s="4" t="s">
        <v>25</v>
      </c>
      <c r="G211" s="4" t="s">
        <v>25</v>
      </c>
      <c r="H211" s="4" t="s">
        <v>36</v>
      </c>
      <c r="I211" s="5">
        <v>44774</v>
      </c>
      <c r="J211" s="6">
        <v>40</v>
      </c>
      <c r="K211" s="6">
        <v>40</v>
      </c>
      <c r="L211" s="6">
        <v>0.84099999999999997</v>
      </c>
      <c r="M211" s="6">
        <v>0.84099999999999997</v>
      </c>
      <c r="N211" s="6">
        <v>0.84099999999999997</v>
      </c>
      <c r="O211" s="6">
        <v>0.84099999999999997</v>
      </c>
      <c r="P211" s="6">
        <v>0</v>
      </c>
      <c r="Q211" s="4" t="s">
        <v>26</v>
      </c>
      <c r="R211" s="4">
        <v>0</v>
      </c>
      <c r="S211" s="4" t="s">
        <v>171</v>
      </c>
      <c r="T211" s="4" t="s">
        <v>512</v>
      </c>
      <c r="U211" s="4">
        <v>19</v>
      </c>
      <c r="V211" s="4">
        <v>21</v>
      </c>
      <c r="W211" s="4">
        <v>74</v>
      </c>
    </row>
    <row r="212" spans="1:23" ht="11.25" customHeight="1" x14ac:dyDescent="0.25">
      <c r="A212" s="4" t="s">
        <v>21</v>
      </c>
      <c r="B212" s="4" t="s">
        <v>41</v>
      </c>
      <c r="C212" s="4" t="s">
        <v>42</v>
      </c>
      <c r="D212" s="4" t="s">
        <v>45</v>
      </c>
      <c r="E212" s="4" t="s">
        <v>25</v>
      </c>
      <c r="F212" s="4" t="s">
        <v>25</v>
      </c>
      <c r="G212" s="4" t="s">
        <v>25</v>
      </c>
      <c r="H212" s="4" t="s">
        <v>36</v>
      </c>
      <c r="I212" s="5">
        <v>44805</v>
      </c>
      <c r="J212" s="6">
        <v>2002</v>
      </c>
      <c r="K212" s="6">
        <v>2002</v>
      </c>
      <c r="L212" s="6">
        <v>59.268999999999998</v>
      </c>
      <c r="M212" s="6">
        <v>59.268999999999998</v>
      </c>
      <c r="N212" s="6">
        <v>59.268999999999998</v>
      </c>
      <c r="O212" s="6">
        <v>59.268999999999998</v>
      </c>
      <c r="P212" s="6">
        <v>0</v>
      </c>
      <c r="Q212" s="4" t="s">
        <v>26</v>
      </c>
      <c r="R212" s="4">
        <v>0</v>
      </c>
      <c r="S212" s="4" t="s">
        <v>172</v>
      </c>
      <c r="T212" s="4" t="s">
        <v>513</v>
      </c>
      <c r="U212" s="4">
        <v>19</v>
      </c>
      <c r="V212" s="4">
        <v>21</v>
      </c>
      <c r="W212" s="4">
        <v>74</v>
      </c>
    </row>
    <row r="213" spans="1:23" ht="11.25" customHeight="1" x14ac:dyDescent="0.25">
      <c r="A213" s="4" t="s">
        <v>28</v>
      </c>
      <c r="B213" s="4" t="s">
        <v>41</v>
      </c>
      <c r="C213" s="4" t="s">
        <v>42</v>
      </c>
      <c r="D213" s="4" t="s">
        <v>45</v>
      </c>
      <c r="E213" s="4" t="s">
        <v>25</v>
      </c>
      <c r="F213" s="4" t="s">
        <v>25</v>
      </c>
      <c r="G213" s="4" t="s">
        <v>25</v>
      </c>
      <c r="H213" s="4" t="s">
        <v>36</v>
      </c>
      <c r="I213" s="5">
        <v>44805</v>
      </c>
      <c r="J213" s="6">
        <v>40</v>
      </c>
      <c r="K213" s="6">
        <v>40</v>
      </c>
      <c r="L213" s="6">
        <v>0.876</v>
      </c>
      <c r="M213" s="6">
        <v>0.876</v>
      </c>
      <c r="N213" s="6">
        <v>0.876</v>
      </c>
      <c r="O213" s="6">
        <v>0.876</v>
      </c>
      <c r="P213" s="6">
        <v>0</v>
      </c>
      <c r="Q213" s="4" t="s">
        <v>26</v>
      </c>
      <c r="R213" s="4">
        <v>0</v>
      </c>
      <c r="S213" s="4" t="s">
        <v>172</v>
      </c>
      <c r="T213" s="4" t="s">
        <v>513</v>
      </c>
      <c r="U213" s="4">
        <v>19</v>
      </c>
      <c r="V213" s="4">
        <v>21</v>
      </c>
      <c r="W213" s="4">
        <v>74</v>
      </c>
    </row>
    <row r="214" spans="1:23" ht="11.25" customHeight="1" x14ac:dyDescent="0.25">
      <c r="A214" s="4" t="s">
        <v>21</v>
      </c>
      <c r="B214" s="4" t="s">
        <v>41</v>
      </c>
      <c r="C214" s="4" t="s">
        <v>42</v>
      </c>
      <c r="D214" s="4" t="s">
        <v>45</v>
      </c>
      <c r="E214" s="4" t="s">
        <v>25</v>
      </c>
      <c r="F214" s="4" t="s">
        <v>25</v>
      </c>
      <c r="G214" s="4" t="s">
        <v>25</v>
      </c>
      <c r="H214" s="4" t="s">
        <v>36</v>
      </c>
      <c r="I214" s="5">
        <v>44835</v>
      </c>
      <c r="J214" s="6">
        <v>2018</v>
      </c>
      <c r="K214" s="6">
        <v>2018</v>
      </c>
      <c r="L214" s="6">
        <v>60.3</v>
      </c>
      <c r="M214" s="6">
        <v>60.3</v>
      </c>
      <c r="N214" s="6">
        <v>60.3</v>
      </c>
      <c r="O214" s="6">
        <v>60.3</v>
      </c>
      <c r="P214" s="6">
        <v>0</v>
      </c>
      <c r="Q214" s="4" t="s">
        <v>26</v>
      </c>
      <c r="R214" s="4">
        <v>0</v>
      </c>
      <c r="S214" s="4" t="s">
        <v>173</v>
      </c>
      <c r="T214" s="4" t="s">
        <v>514</v>
      </c>
      <c r="U214" s="4">
        <v>19</v>
      </c>
      <c r="V214" s="4">
        <v>21</v>
      </c>
      <c r="W214" s="4">
        <v>74</v>
      </c>
    </row>
    <row r="215" spans="1:23" ht="11.25" customHeight="1" x14ac:dyDescent="0.25">
      <c r="A215" s="4" t="s">
        <v>27</v>
      </c>
      <c r="B215" s="4" t="s">
        <v>41</v>
      </c>
      <c r="C215" s="4" t="s">
        <v>42</v>
      </c>
      <c r="D215" s="4" t="s">
        <v>45</v>
      </c>
      <c r="E215" s="4" t="s">
        <v>25</v>
      </c>
      <c r="F215" s="4" t="s">
        <v>25</v>
      </c>
      <c r="G215" s="4" t="s">
        <v>25</v>
      </c>
      <c r="H215" s="4" t="s">
        <v>36</v>
      </c>
      <c r="I215" s="5">
        <v>44835</v>
      </c>
      <c r="J215" s="6">
        <v>0</v>
      </c>
      <c r="K215" s="6">
        <v>0</v>
      </c>
      <c r="L215" s="6">
        <v>-0.252</v>
      </c>
      <c r="M215" s="6">
        <v>-0.252</v>
      </c>
      <c r="N215" s="6">
        <v>-0.252</v>
      </c>
      <c r="O215" s="6">
        <v>-0.252</v>
      </c>
      <c r="P215" s="6">
        <v>0</v>
      </c>
      <c r="Q215" s="4" t="s">
        <v>26</v>
      </c>
      <c r="R215" s="4">
        <v>0</v>
      </c>
      <c r="S215" s="4" t="s">
        <v>173</v>
      </c>
      <c r="T215" s="4" t="s">
        <v>514</v>
      </c>
      <c r="U215" s="4">
        <v>0</v>
      </c>
      <c r="V215" s="4">
        <v>21</v>
      </c>
      <c r="W215" s="4">
        <v>74</v>
      </c>
    </row>
    <row r="216" spans="1:23" ht="11.25" customHeight="1" x14ac:dyDescent="0.25">
      <c r="A216" s="4" t="s">
        <v>28</v>
      </c>
      <c r="B216" s="4" t="s">
        <v>41</v>
      </c>
      <c r="C216" s="4" t="s">
        <v>42</v>
      </c>
      <c r="D216" s="4" t="s">
        <v>45</v>
      </c>
      <c r="E216" s="4" t="s">
        <v>25</v>
      </c>
      <c r="F216" s="4" t="s">
        <v>25</v>
      </c>
      <c r="G216" s="4" t="s">
        <v>25</v>
      </c>
      <c r="H216" s="4" t="s">
        <v>36</v>
      </c>
      <c r="I216" s="5">
        <v>44835</v>
      </c>
      <c r="J216" s="6">
        <v>40</v>
      </c>
      <c r="K216" s="6">
        <v>40</v>
      </c>
      <c r="L216" s="6">
        <v>0.86599999999999999</v>
      </c>
      <c r="M216" s="6">
        <v>0.86599999999999999</v>
      </c>
      <c r="N216" s="6">
        <v>0.86599999999999999</v>
      </c>
      <c r="O216" s="6">
        <v>0.86599999999999999</v>
      </c>
      <c r="P216" s="6">
        <v>0</v>
      </c>
      <c r="Q216" s="4" t="s">
        <v>26</v>
      </c>
      <c r="R216" s="4">
        <v>0</v>
      </c>
      <c r="S216" s="4" t="s">
        <v>173</v>
      </c>
      <c r="T216" s="4" t="s">
        <v>514</v>
      </c>
      <c r="U216" s="4">
        <v>19</v>
      </c>
      <c r="V216" s="4">
        <v>21</v>
      </c>
      <c r="W216" s="4">
        <v>74</v>
      </c>
    </row>
    <row r="217" spans="1:23" ht="11.25" customHeight="1" x14ac:dyDescent="0.25">
      <c r="A217" s="4" t="s">
        <v>59</v>
      </c>
      <c r="B217" s="4" t="s">
        <v>41</v>
      </c>
      <c r="C217" s="4" t="s">
        <v>42</v>
      </c>
      <c r="D217" s="4" t="s">
        <v>45</v>
      </c>
      <c r="E217" s="4" t="s">
        <v>25</v>
      </c>
      <c r="F217" s="4" t="s">
        <v>25</v>
      </c>
      <c r="G217" s="4" t="s">
        <v>25</v>
      </c>
      <c r="H217" s="4" t="s">
        <v>36</v>
      </c>
      <c r="I217" s="5">
        <v>44866</v>
      </c>
      <c r="J217" s="6">
        <v>2018</v>
      </c>
      <c r="K217" s="6">
        <v>2018</v>
      </c>
      <c r="L217" s="6">
        <v>60.3</v>
      </c>
      <c r="M217" s="6">
        <v>60.3</v>
      </c>
      <c r="N217" s="6">
        <v>60.3</v>
      </c>
      <c r="O217" s="6">
        <v>60.3</v>
      </c>
      <c r="P217" s="6">
        <v>0</v>
      </c>
      <c r="Q217" s="4" t="s">
        <v>26</v>
      </c>
      <c r="R217" s="4">
        <v>0</v>
      </c>
      <c r="S217" s="4" t="s">
        <v>174</v>
      </c>
      <c r="T217" s="4" t="s">
        <v>515</v>
      </c>
      <c r="U217" s="4">
        <v>19</v>
      </c>
      <c r="V217" s="4">
        <v>21</v>
      </c>
      <c r="W217" s="4">
        <v>74</v>
      </c>
    </row>
    <row r="218" spans="1:23" ht="11.25" customHeight="1" x14ac:dyDescent="0.25">
      <c r="A218" s="4" t="s">
        <v>59</v>
      </c>
      <c r="B218" s="4" t="s">
        <v>41</v>
      </c>
      <c r="C218" s="4" t="s">
        <v>42</v>
      </c>
      <c r="D218" s="4" t="s">
        <v>45</v>
      </c>
      <c r="E218" s="4" t="s">
        <v>25</v>
      </c>
      <c r="F218" s="4" t="s">
        <v>25</v>
      </c>
      <c r="G218" s="4" t="s">
        <v>25</v>
      </c>
      <c r="H218" s="4" t="s">
        <v>36</v>
      </c>
      <c r="I218" s="5">
        <v>44866</v>
      </c>
      <c r="J218" s="6">
        <v>0</v>
      </c>
      <c r="K218" s="6">
        <v>0</v>
      </c>
      <c r="L218" s="6">
        <v>-0.252</v>
      </c>
      <c r="M218" s="6">
        <v>-0.252</v>
      </c>
      <c r="N218" s="6">
        <v>-0.252</v>
      </c>
      <c r="O218" s="6">
        <v>-0.252</v>
      </c>
      <c r="P218" s="6">
        <v>0</v>
      </c>
      <c r="Q218" s="4" t="s">
        <v>26</v>
      </c>
      <c r="R218" s="4">
        <v>0</v>
      </c>
      <c r="S218" s="4" t="s">
        <v>174</v>
      </c>
      <c r="T218" s="4" t="s">
        <v>515</v>
      </c>
      <c r="U218" s="4">
        <v>0</v>
      </c>
      <c r="V218" s="4">
        <v>21</v>
      </c>
      <c r="W218" s="4">
        <v>74</v>
      </c>
    </row>
    <row r="219" spans="1:23" ht="11.25" customHeight="1" x14ac:dyDescent="0.25">
      <c r="A219" s="4" t="s">
        <v>59</v>
      </c>
      <c r="B219" s="4" t="s">
        <v>41</v>
      </c>
      <c r="C219" s="4" t="s">
        <v>42</v>
      </c>
      <c r="D219" s="4" t="s">
        <v>45</v>
      </c>
      <c r="E219" s="4" t="s">
        <v>25</v>
      </c>
      <c r="F219" s="4" t="s">
        <v>25</v>
      </c>
      <c r="G219" s="4" t="s">
        <v>25</v>
      </c>
      <c r="H219" s="4" t="s">
        <v>36</v>
      </c>
      <c r="I219" s="5">
        <v>44866</v>
      </c>
      <c r="J219" s="6">
        <v>40</v>
      </c>
      <c r="K219" s="6">
        <v>40</v>
      </c>
      <c r="L219" s="6">
        <v>0.86599999999999999</v>
      </c>
      <c r="M219" s="6">
        <v>0.86599999999999999</v>
      </c>
      <c r="N219" s="6">
        <v>0.86599999999999999</v>
      </c>
      <c r="O219" s="6">
        <v>0.86599999999999999</v>
      </c>
      <c r="P219" s="6">
        <v>0</v>
      </c>
      <c r="Q219" s="4" t="s">
        <v>26</v>
      </c>
      <c r="R219" s="4">
        <v>0</v>
      </c>
      <c r="S219" s="4" t="s">
        <v>174</v>
      </c>
      <c r="T219" s="4" t="s">
        <v>515</v>
      </c>
      <c r="U219" s="4">
        <v>19</v>
      </c>
      <c r="V219" s="4">
        <v>21</v>
      </c>
      <c r="W219" s="4">
        <v>74</v>
      </c>
    </row>
    <row r="220" spans="1:23" ht="11.25" customHeight="1" x14ac:dyDescent="0.25">
      <c r="A220" s="4" t="s">
        <v>21</v>
      </c>
      <c r="B220" s="4" t="s">
        <v>41</v>
      </c>
      <c r="C220" s="4" t="s">
        <v>42</v>
      </c>
      <c r="D220" s="4" t="s">
        <v>40</v>
      </c>
      <c r="E220" s="4" t="s">
        <v>25</v>
      </c>
      <c r="F220" s="4" t="s">
        <v>60</v>
      </c>
      <c r="G220" s="4" t="s">
        <v>25</v>
      </c>
      <c r="H220" s="4" t="s">
        <v>37</v>
      </c>
      <c r="I220" s="5">
        <v>44531</v>
      </c>
      <c r="J220" s="6">
        <v>4858</v>
      </c>
      <c r="K220" s="6">
        <v>2164.7248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4" t="s">
        <v>61</v>
      </c>
      <c r="R220" s="4">
        <v>0</v>
      </c>
      <c r="S220" s="4" t="s">
        <v>151</v>
      </c>
      <c r="U220" s="4">
        <v>20</v>
      </c>
      <c r="V220" s="4">
        <v>0</v>
      </c>
      <c r="W220" s="4">
        <v>0</v>
      </c>
    </row>
    <row r="221" spans="1:23" ht="11.25" customHeight="1" x14ac:dyDescent="0.25">
      <c r="A221" s="4" t="s">
        <v>21</v>
      </c>
      <c r="B221" s="4" t="s">
        <v>41</v>
      </c>
      <c r="C221" s="4" t="s">
        <v>42</v>
      </c>
      <c r="D221" s="4" t="s">
        <v>40</v>
      </c>
      <c r="E221" s="4" t="s">
        <v>25</v>
      </c>
      <c r="F221" s="4" t="s">
        <v>60</v>
      </c>
      <c r="G221" s="4" t="s">
        <v>25</v>
      </c>
      <c r="H221" s="4" t="s">
        <v>37</v>
      </c>
      <c r="I221" s="5">
        <v>44562</v>
      </c>
      <c r="J221" s="6">
        <v>4864</v>
      </c>
      <c r="K221" s="6">
        <v>2281.7024000000001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4" t="s">
        <v>61</v>
      </c>
      <c r="R221" s="4">
        <v>0</v>
      </c>
      <c r="S221" s="4" t="s">
        <v>152</v>
      </c>
      <c r="U221" s="4">
        <v>20</v>
      </c>
      <c r="V221" s="4">
        <v>0</v>
      </c>
      <c r="W221" s="4">
        <v>0</v>
      </c>
    </row>
    <row r="222" spans="1:23" ht="11.25" customHeight="1" x14ac:dyDescent="0.25">
      <c r="A222" s="4" t="s">
        <v>21</v>
      </c>
      <c r="B222" s="4" t="s">
        <v>41</v>
      </c>
      <c r="C222" s="4" t="s">
        <v>42</v>
      </c>
      <c r="D222" s="4" t="s">
        <v>40</v>
      </c>
      <c r="E222" s="4" t="s">
        <v>25</v>
      </c>
      <c r="F222" s="4" t="s">
        <v>60</v>
      </c>
      <c r="G222" s="4" t="s">
        <v>25</v>
      </c>
      <c r="H222" s="4" t="s">
        <v>37</v>
      </c>
      <c r="I222" s="5">
        <v>44593</v>
      </c>
      <c r="J222" s="6">
        <v>4856</v>
      </c>
      <c r="K222" s="6">
        <v>2446.4528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4" t="s">
        <v>61</v>
      </c>
      <c r="R222" s="4">
        <v>0</v>
      </c>
      <c r="S222" s="4" t="s">
        <v>153</v>
      </c>
      <c r="U222" s="4">
        <v>20</v>
      </c>
      <c r="V222" s="4">
        <v>0</v>
      </c>
      <c r="W222" s="4">
        <v>0</v>
      </c>
    </row>
    <row r="223" spans="1:23" ht="11.25" customHeight="1" x14ac:dyDescent="0.25">
      <c r="A223" s="4" t="s">
        <v>21</v>
      </c>
      <c r="B223" s="4" t="s">
        <v>41</v>
      </c>
      <c r="C223" s="4" t="s">
        <v>42</v>
      </c>
      <c r="D223" s="4" t="s">
        <v>40</v>
      </c>
      <c r="E223" s="4" t="s">
        <v>25</v>
      </c>
      <c r="F223" s="4" t="s">
        <v>60</v>
      </c>
      <c r="G223" s="4" t="s">
        <v>25</v>
      </c>
      <c r="H223" s="4" t="s">
        <v>37</v>
      </c>
      <c r="I223" s="5">
        <v>44621</v>
      </c>
      <c r="J223" s="6">
        <v>4846</v>
      </c>
      <c r="K223" s="6">
        <v>2428.3305999999998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4" t="s">
        <v>61</v>
      </c>
      <c r="R223" s="4">
        <v>0</v>
      </c>
      <c r="S223" s="4" t="s">
        <v>154</v>
      </c>
      <c r="U223" s="4">
        <v>20</v>
      </c>
      <c r="V223" s="4">
        <v>0</v>
      </c>
      <c r="W223" s="4">
        <v>0</v>
      </c>
    </row>
    <row r="224" spans="1:23" ht="11.25" customHeight="1" x14ac:dyDescent="0.25">
      <c r="A224" s="4" t="s">
        <v>21</v>
      </c>
      <c r="B224" s="4" t="s">
        <v>41</v>
      </c>
      <c r="C224" s="4" t="s">
        <v>42</v>
      </c>
      <c r="D224" s="4" t="s">
        <v>40</v>
      </c>
      <c r="E224" s="4" t="s">
        <v>25</v>
      </c>
      <c r="F224" s="4" t="s">
        <v>60</v>
      </c>
      <c r="G224" s="4" t="s">
        <v>25</v>
      </c>
      <c r="H224" s="4" t="s">
        <v>37</v>
      </c>
      <c r="I224" s="5">
        <v>44652</v>
      </c>
      <c r="J224" s="6">
        <v>4846</v>
      </c>
      <c r="K224" s="6">
        <v>2429.7844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4" t="s">
        <v>61</v>
      </c>
      <c r="R224" s="4">
        <v>0</v>
      </c>
      <c r="S224" s="4" t="s">
        <v>155</v>
      </c>
      <c r="U224" s="4">
        <v>20</v>
      </c>
      <c r="V224" s="4">
        <v>0</v>
      </c>
      <c r="W224" s="4">
        <v>0</v>
      </c>
    </row>
    <row r="225" spans="1:23" ht="11.25" customHeight="1" x14ac:dyDescent="0.25">
      <c r="A225" s="4" t="s">
        <v>21</v>
      </c>
      <c r="B225" s="4" t="s">
        <v>41</v>
      </c>
      <c r="C225" s="4" t="s">
        <v>42</v>
      </c>
      <c r="D225" s="4" t="s">
        <v>40</v>
      </c>
      <c r="E225" s="4" t="s">
        <v>25</v>
      </c>
      <c r="F225" s="4" t="s">
        <v>60</v>
      </c>
      <c r="G225" s="4" t="s">
        <v>25</v>
      </c>
      <c r="H225" s="4" t="s">
        <v>37</v>
      </c>
      <c r="I225" s="5">
        <v>44682</v>
      </c>
      <c r="J225" s="6">
        <v>4856</v>
      </c>
      <c r="K225" s="6">
        <v>2432.3703999999998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4" t="s">
        <v>61</v>
      </c>
      <c r="R225" s="4">
        <v>0</v>
      </c>
      <c r="S225" s="4" t="s">
        <v>156</v>
      </c>
      <c r="U225" s="4">
        <v>20</v>
      </c>
      <c r="V225" s="4">
        <v>0</v>
      </c>
      <c r="W225" s="4">
        <v>0</v>
      </c>
    </row>
    <row r="226" spans="1:23" ht="11.25" customHeight="1" x14ac:dyDescent="0.25">
      <c r="A226" s="4" t="s">
        <v>21</v>
      </c>
      <c r="B226" s="4" t="s">
        <v>41</v>
      </c>
      <c r="C226" s="4" t="s">
        <v>42</v>
      </c>
      <c r="D226" s="4" t="s">
        <v>40</v>
      </c>
      <c r="E226" s="4" t="s">
        <v>25</v>
      </c>
      <c r="F226" s="4" t="s">
        <v>60</v>
      </c>
      <c r="G226" s="4" t="s">
        <v>25</v>
      </c>
      <c r="H226" s="4" t="s">
        <v>37</v>
      </c>
      <c r="I226" s="5">
        <v>44713</v>
      </c>
      <c r="J226" s="6">
        <v>4853</v>
      </c>
      <c r="K226" s="6">
        <v>2429.4117999999999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4" t="s">
        <v>61</v>
      </c>
      <c r="R226" s="4">
        <v>0</v>
      </c>
      <c r="S226" s="4" t="s">
        <v>157</v>
      </c>
      <c r="U226" s="4">
        <v>20</v>
      </c>
      <c r="V226" s="4">
        <v>0</v>
      </c>
      <c r="W226" s="4">
        <v>0</v>
      </c>
    </row>
    <row r="227" spans="1:23" ht="11.25" customHeight="1" x14ac:dyDescent="0.25">
      <c r="A227" s="4" t="s">
        <v>21</v>
      </c>
      <c r="B227" s="4" t="s">
        <v>41</v>
      </c>
      <c r="C227" s="4" t="s">
        <v>42</v>
      </c>
      <c r="D227" s="4" t="s">
        <v>40</v>
      </c>
      <c r="E227" s="4" t="s">
        <v>25</v>
      </c>
      <c r="F227" s="4" t="s">
        <v>60</v>
      </c>
      <c r="G227" s="4" t="s">
        <v>25</v>
      </c>
      <c r="H227" s="4" t="s">
        <v>37</v>
      </c>
      <c r="I227" s="5">
        <v>44743</v>
      </c>
      <c r="J227" s="6">
        <v>4864</v>
      </c>
      <c r="K227" s="6">
        <v>2440.7552000000001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4" t="s">
        <v>61</v>
      </c>
      <c r="R227" s="4">
        <v>0</v>
      </c>
      <c r="S227" s="4" t="s">
        <v>158</v>
      </c>
      <c r="U227" s="4">
        <v>20</v>
      </c>
      <c r="V227" s="4">
        <v>0</v>
      </c>
      <c r="W227" s="4">
        <v>0</v>
      </c>
    </row>
    <row r="228" spans="1:23" ht="11.25" customHeight="1" x14ac:dyDescent="0.25">
      <c r="A228" s="4" t="s">
        <v>21</v>
      </c>
      <c r="B228" s="4" t="s">
        <v>41</v>
      </c>
      <c r="C228" s="4" t="s">
        <v>42</v>
      </c>
      <c r="D228" s="4" t="s">
        <v>40</v>
      </c>
      <c r="E228" s="4" t="s">
        <v>25</v>
      </c>
      <c r="F228" s="4" t="s">
        <v>60</v>
      </c>
      <c r="G228" s="4" t="s">
        <v>25</v>
      </c>
      <c r="H228" s="4" t="s">
        <v>37</v>
      </c>
      <c r="I228" s="5">
        <v>44774</v>
      </c>
      <c r="J228" s="6">
        <v>4868</v>
      </c>
      <c r="K228" s="6">
        <v>2436.4340000000002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4" t="s">
        <v>61</v>
      </c>
      <c r="R228" s="4">
        <v>0</v>
      </c>
      <c r="S228" s="4" t="s">
        <v>159</v>
      </c>
      <c r="U228" s="4">
        <v>20</v>
      </c>
      <c r="V228" s="4">
        <v>0</v>
      </c>
      <c r="W228" s="4">
        <v>0</v>
      </c>
    </row>
    <row r="229" spans="1:23" ht="11.25" customHeight="1" x14ac:dyDescent="0.25">
      <c r="A229" s="4" t="s">
        <v>21</v>
      </c>
      <c r="B229" s="4" t="s">
        <v>41</v>
      </c>
      <c r="C229" s="4" t="s">
        <v>42</v>
      </c>
      <c r="D229" s="4" t="s">
        <v>40</v>
      </c>
      <c r="E229" s="4" t="s">
        <v>25</v>
      </c>
      <c r="F229" s="4" t="s">
        <v>60</v>
      </c>
      <c r="G229" s="4" t="s">
        <v>25</v>
      </c>
      <c r="H229" s="4" t="s">
        <v>37</v>
      </c>
      <c r="I229" s="5">
        <v>44805</v>
      </c>
      <c r="J229" s="6">
        <v>4901</v>
      </c>
      <c r="K229" s="6">
        <v>2451.9703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4" t="s">
        <v>61</v>
      </c>
      <c r="R229" s="4">
        <v>0</v>
      </c>
      <c r="S229" s="4" t="s">
        <v>160</v>
      </c>
      <c r="U229" s="4">
        <v>20</v>
      </c>
      <c r="V229" s="4">
        <v>0</v>
      </c>
      <c r="W229" s="4">
        <v>0</v>
      </c>
    </row>
    <row r="230" spans="1:23" ht="11.25" customHeight="1" x14ac:dyDescent="0.25">
      <c r="A230" s="4" t="s">
        <v>21</v>
      </c>
      <c r="B230" s="4" t="s">
        <v>41</v>
      </c>
      <c r="C230" s="4" t="s">
        <v>42</v>
      </c>
      <c r="D230" s="4" t="s">
        <v>40</v>
      </c>
      <c r="E230" s="4" t="s">
        <v>25</v>
      </c>
      <c r="F230" s="4" t="s">
        <v>60</v>
      </c>
      <c r="G230" s="4" t="s">
        <v>25</v>
      </c>
      <c r="H230" s="4" t="s">
        <v>37</v>
      </c>
      <c r="I230" s="5">
        <v>44835</v>
      </c>
      <c r="J230" s="6">
        <v>5033</v>
      </c>
      <c r="K230" s="6">
        <v>2531.0956999999999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4" t="s">
        <v>61</v>
      </c>
      <c r="R230" s="4">
        <v>0</v>
      </c>
      <c r="S230" s="4" t="s">
        <v>161</v>
      </c>
      <c r="U230" s="4">
        <v>20</v>
      </c>
      <c r="V230" s="4">
        <v>0</v>
      </c>
      <c r="W230" s="4">
        <v>0</v>
      </c>
    </row>
    <row r="231" spans="1:23" ht="11.25" customHeight="1" x14ac:dyDescent="0.25">
      <c r="A231" s="4" t="s">
        <v>59</v>
      </c>
      <c r="B231" s="4" t="s">
        <v>41</v>
      </c>
      <c r="C231" s="4" t="s">
        <v>42</v>
      </c>
      <c r="D231" s="4" t="s">
        <v>40</v>
      </c>
      <c r="E231" s="4" t="s">
        <v>25</v>
      </c>
      <c r="F231" s="4" t="s">
        <v>60</v>
      </c>
      <c r="G231" s="4" t="s">
        <v>25</v>
      </c>
      <c r="H231" s="4" t="s">
        <v>37</v>
      </c>
      <c r="I231" s="5">
        <v>44866</v>
      </c>
      <c r="J231" s="6">
        <v>5033</v>
      </c>
      <c r="K231" s="6">
        <v>2531.0956999999999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4" t="s">
        <v>61</v>
      </c>
      <c r="R231" s="4">
        <v>0</v>
      </c>
      <c r="S231" s="4" t="s">
        <v>162</v>
      </c>
      <c r="U231" s="4">
        <v>20</v>
      </c>
      <c r="V231" s="4">
        <v>0</v>
      </c>
      <c r="W231" s="4">
        <v>0</v>
      </c>
    </row>
    <row r="232" spans="1:23" ht="11.25" customHeight="1" x14ac:dyDescent="0.25">
      <c r="A232" s="4" t="s">
        <v>21</v>
      </c>
      <c r="B232" s="4" t="s">
        <v>41</v>
      </c>
      <c r="C232" s="4" t="s">
        <v>42</v>
      </c>
      <c r="D232" s="4" t="s">
        <v>40</v>
      </c>
      <c r="E232" s="4" t="s">
        <v>25</v>
      </c>
      <c r="F232" s="4" t="s">
        <v>60</v>
      </c>
      <c r="G232" s="4" t="s">
        <v>25</v>
      </c>
      <c r="H232" s="4" t="s">
        <v>25</v>
      </c>
      <c r="I232" s="5">
        <v>44531</v>
      </c>
      <c r="J232" s="6">
        <v>0</v>
      </c>
      <c r="K232" s="6">
        <v>0</v>
      </c>
      <c r="L232" s="6">
        <v>2019.317</v>
      </c>
      <c r="M232" s="6">
        <v>2019.317</v>
      </c>
      <c r="N232" s="6">
        <v>0</v>
      </c>
      <c r="O232" s="6">
        <v>0</v>
      </c>
      <c r="P232" s="6">
        <v>12</v>
      </c>
      <c r="Q232" s="4" t="s">
        <v>61</v>
      </c>
      <c r="R232" s="4">
        <v>0</v>
      </c>
      <c r="S232" s="4" t="s">
        <v>175</v>
      </c>
      <c r="U232" s="4">
        <v>0</v>
      </c>
      <c r="V232" s="4">
        <v>21</v>
      </c>
      <c r="W232" s="4">
        <v>0</v>
      </c>
    </row>
    <row r="233" spans="1:23" ht="11.25" customHeight="1" x14ac:dyDescent="0.25">
      <c r="A233" s="4" t="s">
        <v>21</v>
      </c>
      <c r="B233" s="4" t="s">
        <v>41</v>
      </c>
      <c r="C233" s="4" t="s">
        <v>42</v>
      </c>
      <c r="D233" s="4" t="s">
        <v>40</v>
      </c>
      <c r="E233" s="4" t="s">
        <v>25</v>
      </c>
      <c r="F233" s="4" t="s">
        <v>60</v>
      </c>
      <c r="G233" s="4" t="s">
        <v>25</v>
      </c>
      <c r="H233" s="4" t="s">
        <v>25</v>
      </c>
      <c r="I233" s="5">
        <v>44562</v>
      </c>
      <c r="J233" s="6">
        <v>0</v>
      </c>
      <c r="K233" s="6">
        <v>0</v>
      </c>
      <c r="L233" s="6">
        <v>2064.0639999999999</v>
      </c>
      <c r="M233" s="6">
        <v>2064.0639999999999</v>
      </c>
      <c r="N233" s="6">
        <v>0</v>
      </c>
      <c r="O233" s="6">
        <v>0</v>
      </c>
      <c r="P233" s="6">
        <v>12</v>
      </c>
      <c r="Q233" s="4" t="s">
        <v>61</v>
      </c>
      <c r="R233" s="4">
        <v>0</v>
      </c>
      <c r="S233" s="4" t="s">
        <v>176</v>
      </c>
      <c r="U233" s="4">
        <v>0</v>
      </c>
      <c r="V233" s="4">
        <v>21</v>
      </c>
      <c r="W233" s="4">
        <v>0</v>
      </c>
    </row>
    <row r="234" spans="1:23" ht="11.25" customHeight="1" x14ac:dyDescent="0.25">
      <c r="A234" s="4" t="s">
        <v>21</v>
      </c>
      <c r="B234" s="4" t="s">
        <v>41</v>
      </c>
      <c r="C234" s="4" t="s">
        <v>42</v>
      </c>
      <c r="D234" s="4" t="s">
        <v>40</v>
      </c>
      <c r="E234" s="4" t="s">
        <v>25</v>
      </c>
      <c r="F234" s="4" t="s">
        <v>60</v>
      </c>
      <c r="G234" s="4" t="s">
        <v>25</v>
      </c>
      <c r="H234" s="4" t="s">
        <v>25</v>
      </c>
      <c r="I234" s="5">
        <v>44593</v>
      </c>
      <c r="J234" s="6">
        <v>0</v>
      </c>
      <c r="K234" s="6">
        <v>0</v>
      </c>
      <c r="L234" s="6">
        <v>2016.529</v>
      </c>
      <c r="M234" s="6">
        <v>2016.529</v>
      </c>
      <c r="N234" s="6">
        <v>0</v>
      </c>
      <c r="O234" s="6">
        <v>0</v>
      </c>
      <c r="P234" s="6">
        <v>12</v>
      </c>
      <c r="Q234" s="4" t="s">
        <v>61</v>
      </c>
      <c r="R234" s="4">
        <v>0</v>
      </c>
      <c r="S234" s="4" t="s">
        <v>177</v>
      </c>
      <c r="U234" s="4">
        <v>0</v>
      </c>
      <c r="V234" s="4">
        <v>21</v>
      </c>
      <c r="W234" s="4">
        <v>0</v>
      </c>
    </row>
    <row r="235" spans="1:23" ht="11.25" customHeight="1" x14ac:dyDescent="0.25">
      <c r="A235" s="4" t="s">
        <v>21</v>
      </c>
      <c r="B235" s="4" t="s">
        <v>41</v>
      </c>
      <c r="C235" s="4" t="s">
        <v>42</v>
      </c>
      <c r="D235" s="4" t="s">
        <v>40</v>
      </c>
      <c r="E235" s="4" t="s">
        <v>25</v>
      </c>
      <c r="F235" s="4" t="s">
        <v>60</v>
      </c>
      <c r="G235" s="4" t="s">
        <v>25</v>
      </c>
      <c r="H235" s="4" t="s">
        <v>25</v>
      </c>
      <c r="I235" s="5">
        <v>44621</v>
      </c>
      <c r="J235" s="6">
        <v>0</v>
      </c>
      <c r="K235" s="6">
        <v>0</v>
      </c>
      <c r="L235" s="6">
        <v>1755.4349999999999</v>
      </c>
      <c r="M235" s="6">
        <v>1755.4349999999999</v>
      </c>
      <c r="N235" s="6">
        <v>0</v>
      </c>
      <c r="O235" s="6">
        <v>0</v>
      </c>
      <c r="P235" s="6">
        <v>12</v>
      </c>
      <c r="Q235" s="4" t="s">
        <v>61</v>
      </c>
      <c r="R235" s="4">
        <v>0</v>
      </c>
      <c r="S235" s="4" t="s">
        <v>178</v>
      </c>
      <c r="U235" s="4">
        <v>0</v>
      </c>
      <c r="V235" s="4">
        <v>21</v>
      </c>
      <c r="W235" s="4">
        <v>0</v>
      </c>
    </row>
    <row r="236" spans="1:23" ht="11.25" customHeight="1" x14ac:dyDescent="0.25">
      <c r="A236" s="4" t="s">
        <v>21</v>
      </c>
      <c r="B236" s="4" t="s">
        <v>41</v>
      </c>
      <c r="C236" s="4" t="s">
        <v>42</v>
      </c>
      <c r="D236" s="4" t="s">
        <v>40</v>
      </c>
      <c r="E236" s="4" t="s">
        <v>25</v>
      </c>
      <c r="F236" s="4" t="s">
        <v>60</v>
      </c>
      <c r="G236" s="4" t="s">
        <v>25</v>
      </c>
      <c r="H236" s="4" t="s">
        <v>25</v>
      </c>
      <c r="I236" s="5">
        <v>44652</v>
      </c>
      <c r="J236" s="6">
        <v>0</v>
      </c>
      <c r="K236" s="6">
        <v>0</v>
      </c>
      <c r="L236" s="6">
        <v>1929.7170000000001</v>
      </c>
      <c r="M236" s="6">
        <v>1929.7170000000001</v>
      </c>
      <c r="N236" s="6">
        <v>0</v>
      </c>
      <c r="O236" s="6">
        <v>0</v>
      </c>
      <c r="P236" s="6">
        <v>12</v>
      </c>
      <c r="Q236" s="4" t="s">
        <v>61</v>
      </c>
      <c r="R236" s="4">
        <v>0</v>
      </c>
      <c r="S236" s="4" t="s">
        <v>179</v>
      </c>
      <c r="U236" s="4">
        <v>0</v>
      </c>
      <c r="V236" s="4">
        <v>21</v>
      </c>
      <c r="W236" s="4">
        <v>0</v>
      </c>
    </row>
    <row r="237" spans="1:23" ht="11.25" customHeight="1" x14ac:dyDescent="0.25">
      <c r="A237" s="4" t="s">
        <v>21</v>
      </c>
      <c r="B237" s="4" t="s">
        <v>41</v>
      </c>
      <c r="C237" s="4" t="s">
        <v>42</v>
      </c>
      <c r="D237" s="4" t="s">
        <v>40</v>
      </c>
      <c r="E237" s="4" t="s">
        <v>25</v>
      </c>
      <c r="F237" s="4" t="s">
        <v>60</v>
      </c>
      <c r="G237" s="4" t="s">
        <v>25</v>
      </c>
      <c r="H237" s="4" t="s">
        <v>25</v>
      </c>
      <c r="I237" s="5">
        <v>44682</v>
      </c>
      <c r="J237" s="6">
        <v>0</v>
      </c>
      <c r="K237" s="6">
        <v>0</v>
      </c>
      <c r="L237" s="6">
        <v>1867.058</v>
      </c>
      <c r="M237" s="6">
        <v>1867.058</v>
      </c>
      <c r="N237" s="6">
        <v>0</v>
      </c>
      <c r="O237" s="6">
        <v>0</v>
      </c>
      <c r="P237" s="6">
        <v>12</v>
      </c>
      <c r="Q237" s="4" t="s">
        <v>61</v>
      </c>
      <c r="R237" s="4">
        <v>0</v>
      </c>
      <c r="S237" s="4" t="s">
        <v>180</v>
      </c>
      <c r="U237" s="4">
        <v>0</v>
      </c>
      <c r="V237" s="4">
        <v>21</v>
      </c>
      <c r="W237" s="4">
        <v>0</v>
      </c>
    </row>
    <row r="238" spans="1:23" ht="11.25" customHeight="1" x14ac:dyDescent="0.25">
      <c r="A238" s="4" t="s">
        <v>21</v>
      </c>
      <c r="B238" s="4" t="s">
        <v>41</v>
      </c>
      <c r="C238" s="4" t="s">
        <v>42</v>
      </c>
      <c r="D238" s="4" t="s">
        <v>40</v>
      </c>
      <c r="E238" s="4" t="s">
        <v>25</v>
      </c>
      <c r="F238" s="4" t="s">
        <v>60</v>
      </c>
      <c r="G238" s="4" t="s">
        <v>25</v>
      </c>
      <c r="H238" s="4" t="s">
        <v>25</v>
      </c>
      <c r="I238" s="5">
        <v>44713</v>
      </c>
      <c r="J238" s="6">
        <v>0</v>
      </c>
      <c r="K238" s="6">
        <v>0</v>
      </c>
      <c r="L238" s="6">
        <v>1875.107</v>
      </c>
      <c r="M238" s="6">
        <v>1875.107</v>
      </c>
      <c r="N238" s="6">
        <v>0</v>
      </c>
      <c r="O238" s="6">
        <v>0</v>
      </c>
      <c r="P238" s="6">
        <v>12</v>
      </c>
      <c r="Q238" s="4" t="s">
        <v>61</v>
      </c>
      <c r="R238" s="4">
        <v>0</v>
      </c>
      <c r="S238" s="4" t="s">
        <v>181</v>
      </c>
      <c r="U238" s="4">
        <v>0</v>
      </c>
      <c r="V238" s="4">
        <v>21</v>
      </c>
      <c r="W238" s="4">
        <v>0</v>
      </c>
    </row>
    <row r="239" spans="1:23" ht="11.25" customHeight="1" x14ac:dyDescent="0.25">
      <c r="A239" s="4" t="s">
        <v>21</v>
      </c>
      <c r="B239" s="4" t="s">
        <v>41</v>
      </c>
      <c r="C239" s="4" t="s">
        <v>42</v>
      </c>
      <c r="D239" s="4" t="s">
        <v>40</v>
      </c>
      <c r="E239" s="4" t="s">
        <v>25</v>
      </c>
      <c r="F239" s="4" t="s">
        <v>60</v>
      </c>
      <c r="G239" s="4" t="s">
        <v>25</v>
      </c>
      <c r="H239" s="4" t="s">
        <v>25</v>
      </c>
      <c r="I239" s="5">
        <v>44743</v>
      </c>
      <c r="J239" s="6">
        <v>0</v>
      </c>
      <c r="K239" s="6">
        <v>0</v>
      </c>
      <c r="L239" s="6">
        <v>1747.7439999999999</v>
      </c>
      <c r="M239" s="6">
        <v>1747.7439999999999</v>
      </c>
      <c r="N239" s="6">
        <v>0</v>
      </c>
      <c r="O239" s="6">
        <v>0</v>
      </c>
      <c r="P239" s="6">
        <v>12</v>
      </c>
      <c r="Q239" s="4" t="s">
        <v>61</v>
      </c>
      <c r="R239" s="4">
        <v>0</v>
      </c>
      <c r="S239" s="4" t="s">
        <v>182</v>
      </c>
      <c r="U239" s="4">
        <v>0</v>
      </c>
      <c r="V239" s="4">
        <v>21</v>
      </c>
      <c r="W239" s="4">
        <v>0</v>
      </c>
    </row>
    <row r="240" spans="1:23" ht="11.25" customHeight="1" x14ac:dyDescent="0.25">
      <c r="A240" s="4" t="s">
        <v>21</v>
      </c>
      <c r="B240" s="4" t="s">
        <v>41</v>
      </c>
      <c r="C240" s="4" t="s">
        <v>42</v>
      </c>
      <c r="D240" s="4" t="s">
        <v>40</v>
      </c>
      <c r="E240" s="4" t="s">
        <v>25</v>
      </c>
      <c r="F240" s="4" t="s">
        <v>60</v>
      </c>
      <c r="G240" s="4" t="s">
        <v>25</v>
      </c>
      <c r="H240" s="4" t="s">
        <v>25</v>
      </c>
      <c r="I240" s="5">
        <v>44774</v>
      </c>
      <c r="J240" s="6">
        <v>0</v>
      </c>
      <c r="K240" s="6">
        <v>0</v>
      </c>
      <c r="L240" s="6">
        <v>1954.0909999999999</v>
      </c>
      <c r="M240" s="6">
        <v>1954.0909999999999</v>
      </c>
      <c r="N240" s="6">
        <v>0</v>
      </c>
      <c r="O240" s="6">
        <v>0</v>
      </c>
      <c r="P240" s="6">
        <v>12</v>
      </c>
      <c r="Q240" s="4" t="s">
        <v>61</v>
      </c>
      <c r="R240" s="4">
        <v>0</v>
      </c>
      <c r="S240" s="4" t="s">
        <v>183</v>
      </c>
      <c r="U240" s="4">
        <v>0</v>
      </c>
      <c r="V240" s="4">
        <v>21</v>
      </c>
      <c r="W240" s="4">
        <v>0</v>
      </c>
    </row>
    <row r="241" spans="1:23" ht="11.25" customHeight="1" x14ac:dyDescent="0.25">
      <c r="A241" s="4" t="s">
        <v>21</v>
      </c>
      <c r="B241" s="4" t="s">
        <v>41</v>
      </c>
      <c r="C241" s="4" t="s">
        <v>42</v>
      </c>
      <c r="D241" s="4" t="s">
        <v>40</v>
      </c>
      <c r="E241" s="4" t="s">
        <v>25</v>
      </c>
      <c r="F241" s="4" t="s">
        <v>60</v>
      </c>
      <c r="G241" s="4" t="s">
        <v>25</v>
      </c>
      <c r="H241" s="4" t="s">
        <v>25</v>
      </c>
      <c r="I241" s="5">
        <v>44805</v>
      </c>
      <c r="J241" s="6">
        <v>0</v>
      </c>
      <c r="K241" s="6">
        <v>0</v>
      </c>
      <c r="L241" s="6">
        <v>1663.943</v>
      </c>
      <c r="M241" s="6">
        <v>1663.943</v>
      </c>
      <c r="N241" s="6">
        <v>0</v>
      </c>
      <c r="O241" s="6">
        <v>0</v>
      </c>
      <c r="P241" s="6">
        <v>12</v>
      </c>
      <c r="Q241" s="4" t="s">
        <v>61</v>
      </c>
      <c r="R241" s="4">
        <v>0</v>
      </c>
      <c r="S241" s="4" t="s">
        <v>184</v>
      </c>
      <c r="U241" s="4">
        <v>0</v>
      </c>
      <c r="V241" s="4">
        <v>21</v>
      </c>
      <c r="W241" s="4">
        <v>0</v>
      </c>
    </row>
    <row r="242" spans="1:23" ht="11.25" customHeight="1" x14ac:dyDescent="0.25">
      <c r="A242" s="4" t="s">
        <v>21</v>
      </c>
      <c r="B242" s="4" t="s">
        <v>41</v>
      </c>
      <c r="C242" s="4" t="s">
        <v>42</v>
      </c>
      <c r="D242" s="4" t="s">
        <v>40</v>
      </c>
      <c r="E242" s="4" t="s">
        <v>25</v>
      </c>
      <c r="F242" s="4" t="s">
        <v>60</v>
      </c>
      <c r="G242" s="4" t="s">
        <v>25</v>
      </c>
      <c r="H242" s="4" t="s">
        <v>25</v>
      </c>
      <c r="I242" s="5">
        <v>44835</v>
      </c>
      <c r="J242" s="6">
        <v>0</v>
      </c>
      <c r="K242" s="6">
        <v>0</v>
      </c>
      <c r="L242" s="6">
        <v>1688.5150000000001</v>
      </c>
      <c r="M242" s="6">
        <v>1688.5150000000001</v>
      </c>
      <c r="N242" s="6">
        <v>0</v>
      </c>
      <c r="O242" s="6">
        <v>0</v>
      </c>
      <c r="P242" s="6">
        <v>13</v>
      </c>
      <c r="Q242" s="4" t="s">
        <v>61</v>
      </c>
      <c r="R242" s="4">
        <v>0</v>
      </c>
      <c r="S242" s="4" t="s">
        <v>185</v>
      </c>
      <c r="U242" s="4">
        <v>0</v>
      </c>
      <c r="V242" s="4">
        <v>21</v>
      </c>
      <c r="W242" s="4">
        <v>0</v>
      </c>
    </row>
    <row r="243" spans="1:23" ht="11.25" customHeight="1" x14ac:dyDescent="0.25">
      <c r="A243" s="4" t="s">
        <v>59</v>
      </c>
      <c r="B243" s="4" t="s">
        <v>41</v>
      </c>
      <c r="C243" s="4" t="s">
        <v>42</v>
      </c>
      <c r="D243" s="4" t="s">
        <v>40</v>
      </c>
      <c r="E243" s="4" t="s">
        <v>25</v>
      </c>
      <c r="F243" s="4" t="s">
        <v>60</v>
      </c>
      <c r="G243" s="4" t="s">
        <v>25</v>
      </c>
      <c r="H243" s="4" t="s">
        <v>25</v>
      </c>
      <c r="I243" s="5">
        <v>44866</v>
      </c>
      <c r="J243" s="6">
        <v>0</v>
      </c>
      <c r="K243" s="6">
        <v>0</v>
      </c>
      <c r="L243" s="6">
        <v>1688.5150000000001</v>
      </c>
      <c r="M243" s="6">
        <v>1688.5150000000001</v>
      </c>
      <c r="N243" s="6">
        <v>0</v>
      </c>
      <c r="O243" s="6">
        <v>0</v>
      </c>
      <c r="P243" s="6">
        <v>13</v>
      </c>
      <c r="Q243" s="4" t="s">
        <v>61</v>
      </c>
      <c r="R243" s="4">
        <v>0</v>
      </c>
      <c r="S243" s="4" t="s">
        <v>186</v>
      </c>
      <c r="U243" s="4">
        <v>0</v>
      </c>
      <c r="V243" s="4">
        <v>21</v>
      </c>
      <c r="W243" s="4">
        <v>0</v>
      </c>
    </row>
    <row r="244" spans="1:23" ht="11.25" customHeight="1" x14ac:dyDescent="0.25">
      <c r="A244" s="4" t="s">
        <v>21</v>
      </c>
      <c r="B244" s="4" t="s">
        <v>41</v>
      </c>
      <c r="C244" s="4" t="s">
        <v>42</v>
      </c>
      <c r="D244" s="4" t="s">
        <v>40</v>
      </c>
      <c r="E244" s="4" t="s">
        <v>25</v>
      </c>
      <c r="F244" s="4" t="s">
        <v>60</v>
      </c>
      <c r="G244" s="4" t="s">
        <v>25</v>
      </c>
      <c r="H244" s="4" t="s">
        <v>36</v>
      </c>
      <c r="I244" s="5">
        <v>44531</v>
      </c>
      <c r="J244" s="6">
        <v>4457</v>
      </c>
      <c r="K244" s="6">
        <v>1950.3832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4" t="s">
        <v>61</v>
      </c>
      <c r="R244" s="4">
        <v>0</v>
      </c>
      <c r="S244" s="4" t="s">
        <v>163</v>
      </c>
      <c r="U244" s="4">
        <v>19</v>
      </c>
      <c r="V244" s="4">
        <v>0</v>
      </c>
      <c r="W244" s="4">
        <v>0</v>
      </c>
    </row>
    <row r="245" spans="1:23" ht="11.25" customHeight="1" x14ac:dyDescent="0.25">
      <c r="A245" s="4" t="s">
        <v>21</v>
      </c>
      <c r="B245" s="4" t="s">
        <v>41</v>
      </c>
      <c r="C245" s="4" t="s">
        <v>42</v>
      </c>
      <c r="D245" s="4" t="s">
        <v>40</v>
      </c>
      <c r="E245" s="4" t="s">
        <v>25</v>
      </c>
      <c r="F245" s="4" t="s">
        <v>60</v>
      </c>
      <c r="G245" s="4" t="s">
        <v>25</v>
      </c>
      <c r="H245" s="4" t="s">
        <v>36</v>
      </c>
      <c r="I245" s="5">
        <v>44562</v>
      </c>
      <c r="J245" s="6">
        <v>4470</v>
      </c>
      <c r="K245" s="6">
        <v>2077.2089999999998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4" t="s">
        <v>61</v>
      </c>
      <c r="R245" s="4">
        <v>0</v>
      </c>
      <c r="S245" s="4" t="s">
        <v>164</v>
      </c>
      <c r="U245" s="4">
        <v>19</v>
      </c>
      <c r="V245" s="4">
        <v>0</v>
      </c>
      <c r="W245" s="4">
        <v>0</v>
      </c>
    </row>
    <row r="246" spans="1:23" ht="11.25" customHeight="1" x14ac:dyDescent="0.25">
      <c r="A246" s="4" t="s">
        <v>21</v>
      </c>
      <c r="B246" s="4" t="s">
        <v>41</v>
      </c>
      <c r="C246" s="4" t="s">
        <v>42</v>
      </c>
      <c r="D246" s="4" t="s">
        <v>40</v>
      </c>
      <c r="E246" s="4" t="s">
        <v>25</v>
      </c>
      <c r="F246" s="4" t="s">
        <v>60</v>
      </c>
      <c r="G246" s="4" t="s">
        <v>25</v>
      </c>
      <c r="H246" s="4" t="s">
        <v>36</v>
      </c>
      <c r="I246" s="5">
        <v>44593</v>
      </c>
      <c r="J246" s="6">
        <v>4490</v>
      </c>
      <c r="K246" s="6">
        <v>2261.1640000000002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4" t="s">
        <v>61</v>
      </c>
      <c r="R246" s="4">
        <v>0</v>
      </c>
      <c r="S246" s="4" t="s">
        <v>165</v>
      </c>
      <c r="U246" s="4">
        <v>19</v>
      </c>
      <c r="V246" s="4">
        <v>0</v>
      </c>
      <c r="W246" s="4">
        <v>0</v>
      </c>
    </row>
    <row r="247" spans="1:23" ht="11.25" customHeight="1" x14ac:dyDescent="0.25">
      <c r="A247" s="4" t="s">
        <v>21</v>
      </c>
      <c r="B247" s="4" t="s">
        <v>41</v>
      </c>
      <c r="C247" s="4" t="s">
        <v>42</v>
      </c>
      <c r="D247" s="4" t="s">
        <v>40</v>
      </c>
      <c r="E247" s="4" t="s">
        <v>25</v>
      </c>
      <c r="F247" s="4" t="s">
        <v>60</v>
      </c>
      <c r="G247" s="4" t="s">
        <v>25</v>
      </c>
      <c r="H247" s="4" t="s">
        <v>36</v>
      </c>
      <c r="I247" s="5">
        <v>44621</v>
      </c>
      <c r="J247" s="6">
        <v>4461</v>
      </c>
      <c r="K247" s="6">
        <v>2234.9609999999998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4" t="s">
        <v>61</v>
      </c>
      <c r="R247" s="4">
        <v>0</v>
      </c>
      <c r="S247" s="4" t="s">
        <v>166</v>
      </c>
      <c r="U247" s="4">
        <v>19</v>
      </c>
      <c r="V247" s="4">
        <v>0</v>
      </c>
      <c r="W247" s="4">
        <v>0</v>
      </c>
    </row>
    <row r="248" spans="1:23" ht="11.25" customHeight="1" x14ac:dyDescent="0.25">
      <c r="A248" s="4" t="s">
        <v>21</v>
      </c>
      <c r="B248" s="4" t="s">
        <v>41</v>
      </c>
      <c r="C248" s="4" t="s">
        <v>42</v>
      </c>
      <c r="D248" s="4" t="s">
        <v>40</v>
      </c>
      <c r="E248" s="4" t="s">
        <v>25</v>
      </c>
      <c r="F248" s="4" t="s">
        <v>60</v>
      </c>
      <c r="G248" s="4" t="s">
        <v>25</v>
      </c>
      <c r="H248" s="4" t="s">
        <v>36</v>
      </c>
      <c r="I248" s="5">
        <v>44652</v>
      </c>
      <c r="J248" s="6">
        <v>4443</v>
      </c>
      <c r="K248" s="6">
        <v>2227.7202000000002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4" t="s">
        <v>61</v>
      </c>
      <c r="R248" s="4">
        <v>0</v>
      </c>
      <c r="S248" s="4" t="s">
        <v>167</v>
      </c>
      <c r="U248" s="4">
        <v>19</v>
      </c>
      <c r="V248" s="4">
        <v>0</v>
      </c>
      <c r="W248" s="4">
        <v>0</v>
      </c>
    </row>
    <row r="249" spans="1:23" ht="11.25" customHeight="1" x14ac:dyDescent="0.25">
      <c r="A249" s="4" t="s">
        <v>21</v>
      </c>
      <c r="B249" s="4" t="s">
        <v>41</v>
      </c>
      <c r="C249" s="4" t="s">
        <v>42</v>
      </c>
      <c r="D249" s="4" t="s">
        <v>40</v>
      </c>
      <c r="E249" s="4" t="s">
        <v>25</v>
      </c>
      <c r="F249" s="4" t="s">
        <v>60</v>
      </c>
      <c r="G249" s="4" t="s">
        <v>25</v>
      </c>
      <c r="H249" s="4" t="s">
        <v>36</v>
      </c>
      <c r="I249" s="5">
        <v>44682</v>
      </c>
      <c r="J249" s="6">
        <v>4444</v>
      </c>
      <c r="K249" s="6">
        <v>2225.9996000000001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4" t="s">
        <v>61</v>
      </c>
      <c r="R249" s="4">
        <v>0</v>
      </c>
      <c r="S249" s="4" t="s">
        <v>168</v>
      </c>
      <c r="U249" s="4">
        <v>19</v>
      </c>
      <c r="V249" s="4">
        <v>0</v>
      </c>
      <c r="W249" s="4">
        <v>0</v>
      </c>
    </row>
    <row r="250" spans="1:23" ht="11.25" customHeight="1" x14ac:dyDescent="0.25">
      <c r="A250" s="4" t="s">
        <v>21</v>
      </c>
      <c r="B250" s="4" t="s">
        <v>41</v>
      </c>
      <c r="C250" s="4" t="s">
        <v>42</v>
      </c>
      <c r="D250" s="4" t="s">
        <v>40</v>
      </c>
      <c r="E250" s="4" t="s">
        <v>25</v>
      </c>
      <c r="F250" s="4" t="s">
        <v>60</v>
      </c>
      <c r="G250" s="4" t="s">
        <v>25</v>
      </c>
      <c r="H250" s="4" t="s">
        <v>36</v>
      </c>
      <c r="I250" s="5">
        <v>44713</v>
      </c>
      <c r="J250" s="6">
        <v>4443</v>
      </c>
      <c r="K250" s="6">
        <v>2224.1658000000002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4" t="s">
        <v>61</v>
      </c>
      <c r="R250" s="4">
        <v>0</v>
      </c>
      <c r="S250" s="4" t="s">
        <v>169</v>
      </c>
      <c r="U250" s="4">
        <v>19</v>
      </c>
      <c r="V250" s="4">
        <v>0</v>
      </c>
      <c r="W250" s="4">
        <v>0</v>
      </c>
    </row>
    <row r="251" spans="1:23" ht="11.25" customHeight="1" x14ac:dyDescent="0.25">
      <c r="A251" s="4" t="s">
        <v>21</v>
      </c>
      <c r="B251" s="4" t="s">
        <v>41</v>
      </c>
      <c r="C251" s="4" t="s">
        <v>42</v>
      </c>
      <c r="D251" s="4" t="s">
        <v>40</v>
      </c>
      <c r="E251" s="4" t="s">
        <v>25</v>
      </c>
      <c r="F251" s="4" t="s">
        <v>60</v>
      </c>
      <c r="G251" s="4" t="s">
        <v>25</v>
      </c>
      <c r="H251" s="4" t="s">
        <v>36</v>
      </c>
      <c r="I251" s="5">
        <v>44743</v>
      </c>
      <c r="J251" s="6">
        <v>4443</v>
      </c>
      <c r="K251" s="6">
        <v>2229.4974000000002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4" t="s">
        <v>61</v>
      </c>
      <c r="R251" s="4">
        <v>0</v>
      </c>
      <c r="S251" s="4" t="s">
        <v>170</v>
      </c>
      <c r="U251" s="4">
        <v>19</v>
      </c>
      <c r="V251" s="4">
        <v>0</v>
      </c>
      <c r="W251" s="4">
        <v>0</v>
      </c>
    </row>
    <row r="252" spans="1:23" ht="11.25" customHeight="1" x14ac:dyDescent="0.25">
      <c r="A252" s="4" t="s">
        <v>21</v>
      </c>
      <c r="B252" s="4" t="s">
        <v>41</v>
      </c>
      <c r="C252" s="4" t="s">
        <v>42</v>
      </c>
      <c r="D252" s="4" t="s">
        <v>40</v>
      </c>
      <c r="E252" s="4" t="s">
        <v>25</v>
      </c>
      <c r="F252" s="4" t="s">
        <v>60</v>
      </c>
      <c r="G252" s="4" t="s">
        <v>25</v>
      </c>
      <c r="H252" s="4" t="s">
        <v>36</v>
      </c>
      <c r="I252" s="5">
        <v>44774</v>
      </c>
      <c r="J252" s="6">
        <v>4466</v>
      </c>
      <c r="K252" s="6">
        <v>2235.2330000000002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4" t="s">
        <v>61</v>
      </c>
      <c r="R252" s="4">
        <v>0</v>
      </c>
      <c r="S252" s="4" t="s">
        <v>171</v>
      </c>
      <c r="U252" s="4">
        <v>19</v>
      </c>
      <c r="V252" s="4">
        <v>0</v>
      </c>
      <c r="W252" s="4">
        <v>0</v>
      </c>
    </row>
    <row r="253" spans="1:23" ht="11.25" customHeight="1" x14ac:dyDescent="0.25">
      <c r="A253" s="4" t="s">
        <v>21</v>
      </c>
      <c r="B253" s="4" t="s">
        <v>41</v>
      </c>
      <c r="C253" s="4" t="s">
        <v>42</v>
      </c>
      <c r="D253" s="4" t="s">
        <v>40</v>
      </c>
      <c r="E253" s="4" t="s">
        <v>25</v>
      </c>
      <c r="F253" s="4" t="s">
        <v>60</v>
      </c>
      <c r="G253" s="4" t="s">
        <v>25</v>
      </c>
      <c r="H253" s="4" t="s">
        <v>36</v>
      </c>
      <c r="I253" s="5">
        <v>44805</v>
      </c>
      <c r="J253" s="6">
        <v>4524</v>
      </c>
      <c r="K253" s="6">
        <v>2263.3571999999999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4" t="s">
        <v>61</v>
      </c>
      <c r="R253" s="4">
        <v>0</v>
      </c>
      <c r="S253" s="4" t="s">
        <v>172</v>
      </c>
      <c r="U253" s="4">
        <v>19</v>
      </c>
      <c r="V253" s="4">
        <v>0</v>
      </c>
      <c r="W253" s="4">
        <v>0</v>
      </c>
    </row>
    <row r="254" spans="1:23" ht="11.25" customHeight="1" x14ac:dyDescent="0.25">
      <c r="A254" s="4" t="s">
        <v>21</v>
      </c>
      <c r="B254" s="4" t="s">
        <v>41</v>
      </c>
      <c r="C254" s="4" t="s">
        <v>42</v>
      </c>
      <c r="D254" s="4" t="s">
        <v>40</v>
      </c>
      <c r="E254" s="4" t="s">
        <v>25</v>
      </c>
      <c r="F254" s="4" t="s">
        <v>60</v>
      </c>
      <c r="G254" s="4" t="s">
        <v>25</v>
      </c>
      <c r="H254" s="4" t="s">
        <v>36</v>
      </c>
      <c r="I254" s="5">
        <v>44835</v>
      </c>
      <c r="J254" s="6">
        <v>4597</v>
      </c>
      <c r="K254" s="6">
        <v>2311.8312999999998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4" t="s">
        <v>61</v>
      </c>
      <c r="R254" s="4">
        <v>0</v>
      </c>
      <c r="S254" s="4" t="s">
        <v>173</v>
      </c>
      <c r="U254" s="4">
        <v>19</v>
      </c>
      <c r="V254" s="4">
        <v>0</v>
      </c>
      <c r="W254" s="4">
        <v>0</v>
      </c>
    </row>
    <row r="255" spans="1:23" ht="11.25" customHeight="1" x14ac:dyDescent="0.25">
      <c r="A255" s="4" t="s">
        <v>59</v>
      </c>
      <c r="B255" s="4" t="s">
        <v>41</v>
      </c>
      <c r="C255" s="4" t="s">
        <v>42</v>
      </c>
      <c r="D255" s="4" t="s">
        <v>40</v>
      </c>
      <c r="E255" s="4" t="s">
        <v>25</v>
      </c>
      <c r="F255" s="4" t="s">
        <v>60</v>
      </c>
      <c r="G255" s="4" t="s">
        <v>25</v>
      </c>
      <c r="H255" s="4" t="s">
        <v>36</v>
      </c>
      <c r="I255" s="5">
        <v>44866</v>
      </c>
      <c r="J255" s="6">
        <v>4597</v>
      </c>
      <c r="K255" s="6">
        <v>2311.8312999999998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4" t="s">
        <v>61</v>
      </c>
      <c r="R255" s="4">
        <v>0</v>
      </c>
      <c r="S255" s="4" t="s">
        <v>174</v>
      </c>
      <c r="U255" s="4">
        <v>19</v>
      </c>
      <c r="V255" s="4">
        <v>0</v>
      </c>
      <c r="W255" s="4">
        <v>0</v>
      </c>
    </row>
    <row r="256" spans="1:23" ht="11.25" customHeight="1" x14ac:dyDescent="0.25">
      <c r="A256" s="4" t="s">
        <v>21</v>
      </c>
      <c r="B256" s="4" t="s">
        <v>41</v>
      </c>
      <c r="C256" s="4" t="s">
        <v>42</v>
      </c>
      <c r="D256" s="4" t="s">
        <v>40</v>
      </c>
      <c r="E256" s="4" t="s">
        <v>25</v>
      </c>
      <c r="F256" s="4" t="s">
        <v>25</v>
      </c>
      <c r="G256" s="4" t="s">
        <v>25</v>
      </c>
      <c r="H256" s="4" t="s">
        <v>37</v>
      </c>
      <c r="I256" s="5">
        <v>44531</v>
      </c>
      <c r="J256" s="6">
        <v>135</v>
      </c>
      <c r="K256" s="6">
        <v>135</v>
      </c>
      <c r="L256" s="6">
        <v>33.343000000000004</v>
      </c>
      <c r="M256" s="6">
        <v>33.343000000000004</v>
      </c>
      <c r="N256" s="6">
        <v>33.343000000000004</v>
      </c>
      <c r="O256" s="6">
        <v>33.343000000000004</v>
      </c>
      <c r="P256" s="6">
        <v>0</v>
      </c>
      <c r="Q256" s="4" t="s">
        <v>26</v>
      </c>
      <c r="R256" s="4">
        <v>0</v>
      </c>
      <c r="S256" s="4" t="s">
        <v>151</v>
      </c>
      <c r="T256" s="4" t="s">
        <v>492</v>
      </c>
      <c r="U256" s="4">
        <v>20</v>
      </c>
      <c r="V256" s="4">
        <v>21</v>
      </c>
      <c r="W256" s="4">
        <v>75</v>
      </c>
    </row>
    <row r="257" spans="1:23" ht="11.25" customHeight="1" x14ac:dyDescent="0.25">
      <c r="A257" s="4" t="s">
        <v>28</v>
      </c>
      <c r="B257" s="4" t="s">
        <v>41</v>
      </c>
      <c r="C257" s="4" t="s">
        <v>42</v>
      </c>
      <c r="D257" s="4" t="s">
        <v>40</v>
      </c>
      <c r="E257" s="4" t="s">
        <v>25</v>
      </c>
      <c r="F257" s="4" t="s">
        <v>25</v>
      </c>
      <c r="G257" s="4" t="s">
        <v>25</v>
      </c>
      <c r="H257" s="4" t="s">
        <v>37</v>
      </c>
      <c r="I257" s="5">
        <v>44531</v>
      </c>
      <c r="J257" s="6">
        <v>1112</v>
      </c>
      <c r="K257" s="6">
        <v>1112</v>
      </c>
      <c r="L257" s="6">
        <v>468.44</v>
      </c>
      <c r="M257" s="6">
        <v>468.44</v>
      </c>
      <c r="N257" s="6">
        <v>468.44</v>
      </c>
      <c r="O257" s="6">
        <v>468.44</v>
      </c>
      <c r="P257" s="6">
        <v>0</v>
      </c>
      <c r="Q257" s="4" t="s">
        <v>26</v>
      </c>
      <c r="R257" s="4">
        <v>0</v>
      </c>
      <c r="S257" s="4" t="s">
        <v>151</v>
      </c>
      <c r="T257" s="4" t="s">
        <v>492</v>
      </c>
      <c r="U257" s="4">
        <v>20</v>
      </c>
      <c r="V257" s="4">
        <v>21</v>
      </c>
      <c r="W257" s="4">
        <v>75</v>
      </c>
    </row>
    <row r="258" spans="1:23" ht="11.25" customHeight="1" x14ac:dyDescent="0.25">
      <c r="A258" s="4" t="s">
        <v>21</v>
      </c>
      <c r="B258" s="4" t="s">
        <v>41</v>
      </c>
      <c r="C258" s="4" t="s">
        <v>42</v>
      </c>
      <c r="D258" s="4" t="s">
        <v>40</v>
      </c>
      <c r="E258" s="4" t="s">
        <v>25</v>
      </c>
      <c r="F258" s="4" t="s">
        <v>25</v>
      </c>
      <c r="G258" s="4" t="s">
        <v>25</v>
      </c>
      <c r="H258" s="4" t="s">
        <v>37</v>
      </c>
      <c r="I258" s="5">
        <v>44562</v>
      </c>
      <c r="J258" s="6">
        <v>135</v>
      </c>
      <c r="K258" s="6">
        <v>135</v>
      </c>
      <c r="L258" s="6">
        <v>34.088000000000001</v>
      </c>
      <c r="M258" s="6">
        <v>34.088000000000001</v>
      </c>
      <c r="N258" s="6">
        <v>34.088000000000001</v>
      </c>
      <c r="O258" s="6">
        <v>34.088000000000001</v>
      </c>
      <c r="P258" s="6">
        <v>0</v>
      </c>
      <c r="Q258" s="4" t="s">
        <v>26</v>
      </c>
      <c r="R258" s="4">
        <v>0</v>
      </c>
      <c r="S258" s="4" t="s">
        <v>152</v>
      </c>
      <c r="T258" s="4" t="s">
        <v>493</v>
      </c>
      <c r="U258" s="4">
        <v>20</v>
      </c>
      <c r="V258" s="4">
        <v>21</v>
      </c>
      <c r="W258" s="4">
        <v>75</v>
      </c>
    </row>
    <row r="259" spans="1:23" ht="11.25" customHeight="1" x14ac:dyDescent="0.25">
      <c r="A259" s="4" t="s">
        <v>28</v>
      </c>
      <c r="B259" s="4" t="s">
        <v>41</v>
      </c>
      <c r="C259" s="4" t="s">
        <v>42</v>
      </c>
      <c r="D259" s="4" t="s">
        <v>40</v>
      </c>
      <c r="E259" s="4" t="s">
        <v>25</v>
      </c>
      <c r="F259" s="4" t="s">
        <v>25</v>
      </c>
      <c r="G259" s="4" t="s">
        <v>25</v>
      </c>
      <c r="H259" s="4" t="s">
        <v>37</v>
      </c>
      <c r="I259" s="5">
        <v>44562</v>
      </c>
      <c r="J259" s="6">
        <v>1134</v>
      </c>
      <c r="K259" s="6">
        <v>1134</v>
      </c>
      <c r="L259" s="6">
        <v>486.98899999999998</v>
      </c>
      <c r="M259" s="6">
        <v>486.98899999999998</v>
      </c>
      <c r="N259" s="6">
        <v>486.98899999999998</v>
      </c>
      <c r="O259" s="6">
        <v>486.98899999999998</v>
      </c>
      <c r="P259" s="6">
        <v>0</v>
      </c>
      <c r="Q259" s="4" t="s">
        <v>26</v>
      </c>
      <c r="R259" s="4">
        <v>0</v>
      </c>
      <c r="S259" s="4" t="s">
        <v>152</v>
      </c>
      <c r="T259" s="4" t="s">
        <v>493</v>
      </c>
      <c r="U259" s="4">
        <v>20</v>
      </c>
      <c r="V259" s="4">
        <v>21</v>
      </c>
      <c r="W259" s="4">
        <v>75</v>
      </c>
    </row>
    <row r="260" spans="1:23" ht="11.25" customHeight="1" x14ac:dyDescent="0.25">
      <c r="A260" s="4" t="s">
        <v>21</v>
      </c>
      <c r="B260" s="4" t="s">
        <v>41</v>
      </c>
      <c r="C260" s="4" t="s">
        <v>42</v>
      </c>
      <c r="D260" s="4" t="s">
        <v>40</v>
      </c>
      <c r="E260" s="4" t="s">
        <v>25</v>
      </c>
      <c r="F260" s="4" t="s">
        <v>25</v>
      </c>
      <c r="G260" s="4" t="s">
        <v>25</v>
      </c>
      <c r="H260" s="4" t="s">
        <v>37</v>
      </c>
      <c r="I260" s="5">
        <v>44593</v>
      </c>
      <c r="J260" s="6">
        <v>140</v>
      </c>
      <c r="K260" s="6">
        <v>140</v>
      </c>
      <c r="L260" s="6">
        <v>31.1</v>
      </c>
      <c r="M260" s="6">
        <v>31.1</v>
      </c>
      <c r="N260" s="6">
        <v>31.1</v>
      </c>
      <c r="O260" s="6">
        <v>31.1</v>
      </c>
      <c r="P260" s="6">
        <v>0</v>
      </c>
      <c r="Q260" s="4" t="s">
        <v>26</v>
      </c>
      <c r="R260" s="4">
        <v>0</v>
      </c>
      <c r="S260" s="4" t="s">
        <v>153</v>
      </c>
      <c r="T260" s="4" t="s">
        <v>494</v>
      </c>
      <c r="U260" s="4">
        <v>20</v>
      </c>
      <c r="V260" s="4">
        <v>21</v>
      </c>
      <c r="W260" s="4">
        <v>75</v>
      </c>
    </row>
    <row r="261" spans="1:23" ht="11.25" customHeight="1" x14ac:dyDescent="0.25">
      <c r="A261" s="4" t="s">
        <v>28</v>
      </c>
      <c r="B261" s="4" t="s">
        <v>41</v>
      </c>
      <c r="C261" s="4" t="s">
        <v>42</v>
      </c>
      <c r="D261" s="4" t="s">
        <v>40</v>
      </c>
      <c r="E261" s="4" t="s">
        <v>25</v>
      </c>
      <c r="F261" s="4" t="s">
        <v>25</v>
      </c>
      <c r="G261" s="4" t="s">
        <v>25</v>
      </c>
      <c r="H261" s="4" t="s">
        <v>37</v>
      </c>
      <c r="I261" s="5">
        <v>44593</v>
      </c>
      <c r="J261" s="6">
        <v>1091</v>
      </c>
      <c r="K261" s="6">
        <v>1091</v>
      </c>
      <c r="L261" s="6">
        <v>432.06</v>
      </c>
      <c r="M261" s="6">
        <v>432.06</v>
      </c>
      <c r="N261" s="6">
        <v>432.06</v>
      </c>
      <c r="O261" s="6">
        <v>432.06</v>
      </c>
      <c r="P261" s="6">
        <v>0</v>
      </c>
      <c r="Q261" s="4" t="s">
        <v>26</v>
      </c>
      <c r="R261" s="4">
        <v>0</v>
      </c>
      <c r="S261" s="4" t="s">
        <v>153</v>
      </c>
      <c r="T261" s="4" t="s">
        <v>494</v>
      </c>
      <c r="U261" s="4">
        <v>20</v>
      </c>
      <c r="V261" s="4">
        <v>21</v>
      </c>
      <c r="W261" s="4">
        <v>75</v>
      </c>
    </row>
    <row r="262" spans="1:23" ht="11.25" customHeight="1" x14ac:dyDescent="0.25">
      <c r="A262" s="4" t="s">
        <v>21</v>
      </c>
      <c r="B262" s="4" t="s">
        <v>41</v>
      </c>
      <c r="C262" s="4" t="s">
        <v>42</v>
      </c>
      <c r="D262" s="4" t="s">
        <v>40</v>
      </c>
      <c r="E262" s="4" t="s">
        <v>25</v>
      </c>
      <c r="F262" s="4" t="s">
        <v>25</v>
      </c>
      <c r="G262" s="4" t="s">
        <v>25</v>
      </c>
      <c r="H262" s="4" t="s">
        <v>37</v>
      </c>
      <c r="I262" s="5">
        <v>44621</v>
      </c>
      <c r="J262" s="6">
        <v>135</v>
      </c>
      <c r="K262" s="6">
        <v>135</v>
      </c>
      <c r="L262" s="6">
        <v>37.292999999999999</v>
      </c>
      <c r="M262" s="6">
        <v>37.292999999999999</v>
      </c>
      <c r="N262" s="6">
        <v>37.292999999999999</v>
      </c>
      <c r="O262" s="6">
        <v>37.292999999999999</v>
      </c>
      <c r="P262" s="6">
        <v>0</v>
      </c>
      <c r="Q262" s="4" t="s">
        <v>26</v>
      </c>
      <c r="R262" s="4">
        <v>0</v>
      </c>
      <c r="S262" s="4" t="s">
        <v>154</v>
      </c>
      <c r="T262" s="4" t="s">
        <v>495</v>
      </c>
      <c r="U262" s="4">
        <v>20</v>
      </c>
      <c r="V262" s="4">
        <v>21</v>
      </c>
      <c r="W262" s="4">
        <v>75</v>
      </c>
    </row>
    <row r="263" spans="1:23" ht="11.25" customHeight="1" x14ac:dyDescent="0.25">
      <c r="A263" s="4" t="s">
        <v>28</v>
      </c>
      <c r="B263" s="4" t="s">
        <v>41</v>
      </c>
      <c r="C263" s="4" t="s">
        <v>42</v>
      </c>
      <c r="D263" s="4" t="s">
        <v>40</v>
      </c>
      <c r="E263" s="4" t="s">
        <v>25</v>
      </c>
      <c r="F263" s="4" t="s">
        <v>25</v>
      </c>
      <c r="G263" s="4" t="s">
        <v>25</v>
      </c>
      <c r="H263" s="4" t="s">
        <v>37</v>
      </c>
      <c r="I263" s="5">
        <v>44621</v>
      </c>
      <c r="J263" s="6">
        <v>1125</v>
      </c>
      <c r="K263" s="6">
        <v>1125</v>
      </c>
      <c r="L263" s="6">
        <v>492.60399999999998</v>
      </c>
      <c r="M263" s="6">
        <v>492.60399999999998</v>
      </c>
      <c r="N263" s="6">
        <v>492.60399999999998</v>
      </c>
      <c r="O263" s="6">
        <v>492.60399999999998</v>
      </c>
      <c r="P263" s="6">
        <v>0</v>
      </c>
      <c r="Q263" s="4" t="s">
        <v>26</v>
      </c>
      <c r="R263" s="4">
        <v>0</v>
      </c>
      <c r="S263" s="4" t="s">
        <v>154</v>
      </c>
      <c r="T263" s="4" t="s">
        <v>495</v>
      </c>
      <c r="U263" s="4">
        <v>20</v>
      </c>
      <c r="V263" s="4">
        <v>21</v>
      </c>
      <c r="W263" s="4">
        <v>75</v>
      </c>
    </row>
    <row r="264" spans="1:23" ht="11.25" customHeight="1" x14ac:dyDescent="0.25">
      <c r="A264" s="4" t="s">
        <v>21</v>
      </c>
      <c r="B264" s="4" t="s">
        <v>41</v>
      </c>
      <c r="C264" s="4" t="s">
        <v>42</v>
      </c>
      <c r="D264" s="4" t="s">
        <v>40</v>
      </c>
      <c r="E264" s="4" t="s">
        <v>25</v>
      </c>
      <c r="F264" s="4" t="s">
        <v>25</v>
      </c>
      <c r="G264" s="4" t="s">
        <v>25</v>
      </c>
      <c r="H264" s="4" t="s">
        <v>37</v>
      </c>
      <c r="I264" s="5">
        <v>44652</v>
      </c>
      <c r="J264" s="6">
        <v>144</v>
      </c>
      <c r="K264" s="6">
        <v>144</v>
      </c>
      <c r="L264" s="6">
        <v>38.927</v>
      </c>
      <c r="M264" s="6">
        <v>38.927</v>
      </c>
      <c r="N264" s="6">
        <v>38.927</v>
      </c>
      <c r="O264" s="6">
        <v>38.927</v>
      </c>
      <c r="P264" s="6">
        <v>0</v>
      </c>
      <c r="Q264" s="4" t="s">
        <v>26</v>
      </c>
      <c r="R264" s="4">
        <v>0</v>
      </c>
      <c r="S264" s="4" t="s">
        <v>155</v>
      </c>
      <c r="T264" s="4" t="s">
        <v>496</v>
      </c>
      <c r="U264" s="4">
        <v>20</v>
      </c>
      <c r="V264" s="4">
        <v>21</v>
      </c>
      <c r="W264" s="4">
        <v>75</v>
      </c>
    </row>
    <row r="265" spans="1:23" ht="11.25" customHeight="1" x14ac:dyDescent="0.25">
      <c r="A265" s="4" t="s">
        <v>28</v>
      </c>
      <c r="B265" s="4" t="s">
        <v>41</v>
      </c>
      <c r="C265" s="4" t="s">
        <v>42</v>
      </c>
      <c r="D265" s="4" t="s">
        <v>40</v>
      </c>
      <c r="E265" s="4" t="s">
        <v>25</v>
      </c>
      <c r="F265" s="4" t="s">
        <v>25</v>
      </c>
      <c r="G265" s="4" t="s">
        <v>25</v>
      </c>
      <c r="H265" s="4" t="s">
        <v>37</v>
      </c>
      <c r="I265" s="5">
        <v>44652</v>
      </c>
      <c r="J265" s="6">
        <v>1075</v>
      </c>
      <c r="K265" s="6">
        <v>1075</v>
      </c>
      <c r="L265" s="6">
        <v>433.584</v>
      </c>
      <c r="M265" s="6">
        <v>433.584</v>
      </c>
      <c r="N265" s="6">
        <v>433.584</v>
      </c>
      <c r="O265" s="6">
        <v>433.584</v>
      </c>
      <c r="P265" s="6">
        <v>0</v>
      </c>
      <c r="Q265" s="4" t="s">
        <v>26</v>
      </c>
      <c r="R265" s="4">
        <v>0</v>
      </c>
      <c r="S265" s="4" t="s">
        <v>155</v>
      </c>
      <c r="T265" s="4" t="s">
        <v>496</v>
      </c>
      <c r="U265" s="4">
        <v>20</v>
      </c>
      <c r="V265" s="4">
        <v>21</v>
      </c>
      <c r="W265" s="4">
        <v>75</v>
      </c>
    </row>
    <row r="266" spans="1:23" ht="11.25" customHeight="1" x14ac:dyDescent="0.25">
      <c r="A266" s="4" t="s">
        <v>21</v>
      </c>
      <c r="B266" s="4" t="s">
        <v>41</v>
      </c>
      <c r="C266" s="4" t="s">
        <v>42</v>
      </c>
      <c r="D266" s="4" t="s">
        <v>40</v>
      </c>
      <c r="E266" s="4" t="s">
        <v>25</v>
      </c>
      <c r="F266" s="4" t="s">
        <v>25</v>
      </c>
      <c r="G266" s="4" t="s">
        <v>25</v>
      </c>
      <c r="H266" s="4" t="s">
        <v>37</v>
      </c>
      <c r="I266" s="5">
        <v>44682</v>
      </c>
      <c r="J266" s="6">
        <v>138</v>
      </c>
      <c r="K266" s="6">
        <v>138</v>
      </c>
      <c r="L266" s="6">
        <v>45.073</v>
      </c>
      <c r="M266" s="6">
        <v>45.073</v>
      </c>
      <c r="N266" s="6">
        <v>45.073</v>
      </c>
      <c r="O266" s="6">
        <v>45.073</v>
      </c>
      <c r="P266" s="6">
        <v>0</v>
      </c>
      <c r="Q266" s="4" t="s">
        <v>26</v>
      </c>
      <c r="R266" s="4">
        <v>0</v>
      </c>
      <c r="S266" s="4" t="s">
        <v>156</v>
      </c>
      <c r="T266" s="4" t="s">
        <v>497</v>
      </c>
      <c r="U266" s="4">
        <v>20</v>
      </c>
      <c r="V266" s="4">
        <v>21</v>
      </c>
      <c r="W266" s="4">
        <v>75</v>
      </c>
    </row>
    <row r="267" spans="1:23" ht="11.25" customHeight="1" x14ac:dyDescent="0.25">
      <c r="A267" s="4" t="s">
        <v>28</v>
      </c>
      <c r="B267" s="4" t="s">
        <v>41</v>
      </c>
      <c r="C267" s="4" t="s">
        <v>42</v>
      </c>
      <c r="D267" s="4" t="s">
        <v>40</v>
      </c>
      <c r="E267" s="4" t="s">
        <v>25</v>
      </c>
      <c r="F267" s="4" t="s">
        <v>25</v>
      </c>
      <c r="G267" s="4" t="s">
        <v>25</v>
      </c>
      <c r="H267" s="4" t="s">
        <v>37</v>
      </c>
      <c r="I267" s="5">
        <v>44682</v>
      </c>
      <c r="J267" s="6">
        <v>900</v>
      </c>
      <c r="K267" s="6">
        <v>900</v>
      </c>
      <c r="L267" s="6">
        <v>407.54500000000002</v>
      </c>
      <c r="M267" s="6">
        <v>407.54500000000002</v>
      </c>
      <c r="N267" s="6">
        <v>407.54500000000002</v>
      </c>
      <c r="O267" s="6">
        <v>407.54500000000002</v>
      </c>
      <c r="P267" s="6">
        <v>0</v>
      </c>
      <c r="Q267" s="4" t="s">
        <v>26</v>
      </c>
      <c r="R267" s="4">
        <v>0</v>
      </c>
      <c r="S267" s="4" t="s">
        <v>156</v>
      </c>
      <c r="T267" s="4" t="s">
        <v>497</v>
      </c>
      <c r="U267" s="4">
        <v>20</v>
      </c>
      <c r="V267" s="4">
        <v>21</v>
      </c>
      <c r="W267" s="4">
        <v>75</v>
      </c>
    </row>
    <row r="268" spans="1:23" ht="11.25" customHeight="1" x14ac:dyDescent="0.25">
      <c r="A268" s="4" t="s">
        <v>21</v>
      </c>
      <c r="B268" s="4" t="s">
        <v>41</v>
      </c>
      <c r="C268" s="4" t="s">
        <v>42</v>
      </c>
      <c r="D268" s="4" t="s">
        <v>40</v>
      </c>
      <c r="E268" s="4" t="s">
        <v>25</v>
      </c>
      <c r="F268" s="4" t="s">
        <v>25</v>
      </c>
      <c r="G268" s="4" t="s">
        <v>25</v>
      </c>
      <c r="H268" s="4" t="s">
        <v>37</v>
      </c>
      <c r="I268" s="5">
        <v>44713</v>
      </c>
      <c r="J268" s="6">
        <v>135</v>
      </c>
      <c r="K268" s="6">
        <v>135</v>
      </c>
      <c r="L268" s="6">
        <v>39.171999999999997</v>
      </c>
      <c r="M268" s="6">
        <v>39.171999999999997</v>
      </c>
      <c r="N268" s="6">
        <v>39.171999999999997</v>
      </c>
      <c r="O268" s="6">
        <v>39.171999999999997</v>
      </c>
      <c r="P268" s="6">
        <v>0</v>
      </c>
      <c r="Q268" s="4" t="s">
        <v>26</v>
      </c>
      <c r="R268" s="4">
        <v>0</v>
      </c>
      <c r="S268" s="4" t="s">
        <v>157</v>
      </c>
      <c r="T268" s="4" t="s">
        <v>498</v>
      </c>
      <c r="U268" s="4">
        <v>20</v>
      </c>
      <c r="V268" s="4">
        <v>21</v>
      </c>
      <c r="W268" s="4">
        <v>75</v>
      </c>
    </row>
    <row r="269" spans="1:23" ht="11.25" customHeight="1" x14ac:dyDescent="0.25">
      <c r="A269" s="4" t="s">
        <v>27</v>
      </c>
      <c r="B269" s="4" t="s">
        <v>41</v>
      </c>
      <c r="C269" s="4" t="s">
        <v>42</v>
      </c>
      <c r="D269" s="4" t="s">
        <v>40</v>
      </c>
      <c r="E269" s="4" t="s">
        <v>25</v>
      </c>
      <c r="F269" s="4" t="s">
        <v>25</v>
      </c>
      <c r="G269" s="4" t="s">
        <v>25</v>
      </c>
      <c r="H269" s="4" t="s">
        <v>37</v>
      </c>
      <c r="I269" s="5">
        <v>44713</v>
      </c>
      <c r="J269" s="6">
        <v>180</v>
      </c>
      <c r="K269" s="6">
        <v>180</v>
      </c>
      <c r="L269" s="6">
        <v>21.28</v>
      </c>
      <c r="M269" s="6">
        <v>21.28</v>
      </c>
      <c r="N269" s="6">
        <v>21.28</v>
      </c>
      <c r="O269" s="6">
        <v>21.28</v>
      </c>
      <c r="P269" s="6">
        <v>0</v>
      </c>
      <c r="Q269" s="4" t="s">
        <v>26</v>
      </c>
      <c r="R269" s="4">
        <v>0</v>
      </c>
      <c r="S269" s="4" t="s">
        <v>157</v>
      </c>
      <c r="T269" s="4" t="s">
        <v>498</v>
      </c>
      <c r="U269" s="4">
        <v>20</v>
      </c>
      <c r="V269" s="4">
        <v>21</v>
      </c>
      <c r="W269" s="4">
        <v>75</v>
      </c>
    </row>
    <row r="270" spans="1:23" ht="11.25" customHeight="1" x14ac:dyDescent="0.25">
      <c r="A270" s="4" t="s">
        <v>28</v>
      </c>
      <c r="B270" s="4" t="s">
        <v>41</v>
      </c>
      <c r="C270" s="4" t="s">
        <v>42</v>
      </c>
      <c r="D270" s="4" t="s">
        <v>40</v>
      </c>
      <c r="E270" s="4" t="s">
        <v>25</v>
      </c>
      <c r="F270" s="4" t="s">
        <v>25</v>
      </c>
      <c r="G270" s="4" t="s">
        <v>25</v>
      </c>
      <c r="H270" s="4" t="s">
        <v>37</v>
      </c>
      <c r="I270" s="5">
        <v>44713</v>
      </c>
      <c r="J270" s="6">
        <v>1117</v>
      </c>
      <c r="K270" s="6">
        <v>1117</v>
      </c>
      <c r="L270" s="6">
        <v>525.85400000000004</v>
      </c>
      <c r="M270" s="6">
        <v>525.85400000000004</v>
      </c>
      <c r="N270" s="6">
        <v>525.85400000000004</v>
      </c>
      <c r="O270" s="6">
        <v>525.85400000000004</v>
      </c>
      <c r="P270" s="6">
        <v>0</v>
      </c>
      <c r="Q270" s="4" t="s">
        <v>26</v>
      </c>
      <c r="R270" s="4">
        <v>0</v>
      </c>
      <c r="S270" s="4" t="s">
        <v>157</v>
      </c>
      <c r="T270" s="4" t="s">
        <v>498</v>
      </c>
      <c r="U270" s="4">
        <v>20</v>
      </c>
      <c r="V270" s="4">
        <v>21</v>
      </c>
      <c r="W270" s="4">
        <v>75</v>
      </c>
    </row>
    <row r="271" spans="1:23" ht="11.25" customHeight="1" x14ac:dyDescent="0.25">
      <c r="A271" s="4" t="s">
        <v>21</v>
      </c>
      <c r="B271" s="4" t="s">
        <v>41</v>
      </c>
      <c r="C271" s="4" t="s">
        <v>42</v>
      </c>
      <c r="D271" s="4" t="s">
        <v>40</v>
      </c>
      <c r="E271" s="4" t="s">
        <v>25</v>
      </c>
      <c r="F271" s="4" t="s">
        <v>25</v>
      </c>
      <c r="G271" s="4" t="s">
        <v>25</v>
      </c>
      <c r="H271" s="4" t="s">
        <v>37</v>
      </c>
      <c r="I271" s="5">
        <v>44743</v>
      </c>
      <c r="J271" s="6">
        <v>147</v>
      </c>
      <c r="K271" s="6">
        <v>147</v>
      </c>
      <c r="L271" s="6">
        <v>43.637999999999998</v>
      </c>
      <c r="M271" s="6">
        <v>43.637999999999998</v>
      </c>
      <c r="N271" s="6">
        <v>43.637999999999998</v>
      </c>
      <c r="O271" s="6">
        <v>43.637999999999998</v>
      </c>
      <c r="P271" s="6">
        <v>0</v>
      </c>
      <c r="Q271" s="4" t="s">
        <v>26</v>
      </c>
      <c r="R271" s="4">
        <v>0</v>
      </c>
      <c r="S271" s="4" t="s">
        <v>158</v>
      </c>
      <c r="T271" s="4" t="s">
        <v>499</v>
      </c>
      <c r="U271" s="4">
        <v>20</v>
      </c>
      <c r="V271" s="4">
        <v>21</v>
      </c>
      <c r="W271" s="4">
        <v>75</v>
      </c>
    </row>
    <row r="272" spans="1:23" ht="11.25" customHeight="1" x14ac:dyDescent="0.25">
      <c r="A272" s="4" t="s">
        <v>28</v>
      </c>
      <c r="B272" s="4" t="s">
        <v>41</v>
      </c>
      <c r="C272" s="4" t="s">
        <v>42</v>
      </c>
      <c r="D272" s="4" t="s">
        <v>40</v>
      </c>
      <c r="E272" s="4" t="s">
        <v>25</v>
      </c>
      <c r="F272" s="4" t="s">
        <v>25</v>
      </c>
      <c r="G272" s="4" t="s">
        <v>25</v>
      </c>
      <c r="H272" s="4" t="s">
        <v>37</v>
      </c>
      <c r="I272" s="5">
        <v>44743</v>
      </c>
      <c r="J272" s="6">
        <v>1120</v>
      </c>
      <c r="K272" s="6">
        <v>1120</v>
      </c>
      <c r="L272" s="6">
        <v>505.18299999999999</v>
      </c>
      <c r="M272" s="6">
        <v>505.18299999999999</v>
      </c>
      <c r="N272" s="6">
        <v>505.18299999999999</v>
      </c>
      <c r="O272" s="6">
        <v>505.18299999999999</v>
      </c>
      <c r="P272" s="6">
        <v>0</v>
      </c>
      <c r="Q272" s="4" t="s">
        <v>26</v>
      </c>
      <c r="R272" s="4">
        <v>0</v>
      </c>
      <c r="S272" s="4" t="s">
        <v>158</v>
      </c>
      <c r="T272" s="4" t="s">
        <v>499</v>
      </c>
      <c r="U272" s="4">
        <v>20</v>
      </c>
      <c r="V272" s="4">
        <v>21</v>
      </c>
      <c r="W272" s="4">
        <v>75</v>
      </c>
    </row>
    <row r="273" spans="1:23" ht="11.25" customHeight="1" x14ac:dyDescent="0.25">
      <c r="A273" s="4" t="s">
        <v>21</v>
      </c>
      <c r="B273" s="4" t="s">
        <v>41</v>
      </c>
      <c r="C273" s="4" t="s">
        <v>42</v>
      </c>
      <c r="D273" s="4" t="s">
        <v>40</v>
      </c>
      <c r="E273" s="4" t="s">
        <v>25</v>
      </c>
      <c r="F273" s="4" t="s">
        <v>25</v>
      </c>
      <c r="G273" s="4" t="s">
        <v>25</v>
      </c>
      <c r="H273" s="4" t="s">
        <v>37</v>
      </c>
      <c r="I273" s="5">
        <v>44774</v>
      </c>
      <c r="J273" s="6">
        <v>145</v>
      </c>
      <c r="K273" s="6">
        <v>145</v>
      </c>
      <c r="L273" s="6">
        <v>43.432000000000002</v>
      </c>
      <c r="M273" s="6">
        <v>43.432000000000002</v>
      </c>
      <c r="N273" s="6">
        <v>43.432000000000002</v>
      </c>
      <c r="O273" s="6">
        <v>43.432000000000002</v>
      </c>
      <c r="P273" s="6">
        <v>0</v>
      </c>
      <c r="Q273" s="4" t="s">
        <v>26</v>
      </c>
      <c r="R273" s="4">
        <v>0</v>
      </c>
      <c r="S273" s="4" t="s">
        <v>159</v>
      </c>
      <c r="T273" s="4" t="s">
        <v>500</v>
      </c>
      <c r="U273" s="4">
        <v>20</v>
      </c>
      <c r="V273" s="4">
        <v>21</v>
      </c>
      <c r="W273" s="4">
        <v>75</v>
      </c>
    </row>
    <row r="274" spans="1:23" ht="11.25" customHeight="1" x14ac:dyDescent="0.25">
      <c r="A274" s="4" t="s">
        <v>28</v>
      </c>
      <c r="B274" s="4" t="s">
        <v>41</v>
      </c>
      <c r="C274" s="4" t="s">
        <v>42</v>
      </c>
      <c r="D274" s="4" t="s">
        <v>40</v>
      </c>
      <c r="E274" s="4" t="s">
        <v>25</v>
      </c>
      <c r="F274" s="4" t="s">
        <v>25</v>
      </c>
      <c r="G274" s="4" t="s">
        <v>25</v>
      </c>
      <c r="H274" s="4" t="s">
        <v>37</v>
      </c>
      <c r="I274" s="5">
        <v>44774</v>
      </c>
      <c r="J274" s="6">
        <v>1137</v>
      </c>
      <c r="K274" s="6">
        <v>1137</v>
      </c>
      <c r="L274" s="6">
        <v>543.13400000000001</v>
      </c>
      <c r="M274" s="6">
        <v>543.13400000000001</v>
      </c>
      <c r="N274" s="6">
        <v>543.13400000000001</v>
      </c>
      <c r="O274" s="6">
        <v>543.13400000000001</v>
      </c>
      <c r="P274" s="6">
        <v>0</v>
      </c>
      <c r="Q274" s="4" t="s">
        <v>26</v>
      </c>
      <c r="R274" s="4">
        <v>0</v>
      </c>
      <c r="S274" s="4" t="s">
        <v>159</v>
      </c>
      <c r="T274" s="4" t="s">
        <v>500</v>
      </c>
      <c r="U274" s="4">
        <v>20</v>
      </c>
      <c r="V274" s="4">
        <v>21</v>
      </c>
      <c r="W274" s="4">
        <v>75</v>
      </c>
    </row>
    <row r="275" spans="1:23" ht="11.25" customHeight="1" x14ac:dyDescent="0.25">
      <c r="A275" s="4" t="s">
        <v>21</v>
      </c>
      <c r="B275" s="4" t="s">
        <v>41</v>
      </c>
      <c r="C275" s="4" t="s">
        <v>42</v>
      </c>
      <c r="D275" s="4" t="s">
        <v>40</v>
      </c>
      <c r="E275" s="4" t="s">
        <v>25</v>
      </c>
      <c r="F275" s="4" t="s">
        <v>25</v>
      </c>
      <c r="G275" s="4" t="s">
        <v>25</v>
      </c>
      <c r="H275" s="4" t="s">
        <v>37</v>
      </c>
      <c r="I275" s="5">
        <v>44805</v>
      </c>
      <c r="J275" s="6">
        <v>142</v>
      </c>
      <c r="K275" s="6">
        <v>142</v>
      </c>
      <c r="L275" s="6">
        <v>44.18</v>
      </c>
      <c r="M275" s="6">
        <v>44.18</v>
      </c>
      <c r="N275" s="6">
        <v>44.18</v>
      </c>
      <c r="O275" s="6">
        <v>44.18</v>
      </c>
      <c r="P275" s="6">
        <v>0</v>
      </c>
      <c r="Q275" s="4" t="s">
        <v>26</v>
      </c>
      <c r="R275" s="4">
        <v>0</v>
      </c>
      <c r="S275" s="4" t="s">
        <v>160</v>
      </c>
      <c r="T275" s="4" t="s">
        <v>501</v>
      </c>
      <c r="U275" s="4">
        <v>20</v>
      </c>
      <c r="V275" s="4">
        <v>21</v>
      </c>
      <c r="W275" s="4">
        <v>75</v>
      </c>
    </row>
    <row r="276" spans="1:23" ht="11.25" customHeight="1" x14ac:dyDescent="0.25">
      <c r="A276" s="4" t="s">
        <v>28</v>
      </c>
      <c r="B276" s="4" t="s">
        <v>41</v>
      </c>
      <c r="C276" s="4" t="s">
        <v>42</v>
      </c>
      <c r="D276" s="4" t="s">
        <v>40</v>
      </c>
      <c r="E276" s="4" t="s">
        <v>25</v>
      </c>
      <c r="F276" s="4" t="s">
        <v>25</v>
      </c>
      <c r="G276" s="4" t="s">
        <v>25</v>
      </c>
      <c r="H276" s="4" t="s">
        <v>37</v>
      </c>
      <c r="I276" s="5">
        <v>44805</v>
      </c>
      <c r="J276" s="6">
        <v>1241</v>
      </c>
      <c r="K276" s="6">
        <v>1241</v>
      </c>
      <c r="L276" s="6">
        <v>584.41800000000001</v>
      </c>
      <c r="M276" s="6">
        <v>584.41800000000001</v>
      </c>
      <c r="N276" s="6">
        <v>584.41800000000001</v>
      </c>
      <c r="O276" s="6">
        <v>584.41800000000001</v>
      </c>
      <c r="P276" s="6">
        <v>0</v>
      </c>
      <c r="Q276" s="4" t="s">
        <v>26</v>
      </c>
      <c r="R276" s="4">
        <v>0</v>
      </c>
      <c r="S276" s="4" t="s">
        <v>160</v>
      </c>
      <c r="T276" s="4" t="s">
        <v>501</v>
      </c>
      <c r="U276" s="4">
        <v>20</v>
      </c>
      <c r="V276" s="4">
        <v>21</v>
      </c>
      <c r="W276" s="4">
        <v>75</v>
      </c>
    </row>
    <row r="277" spans="1:23" ht="11.25" customHeight="1" x14ac:dyDescent="0.25">
      <c r="A277" s="4" t="s">
        <v>21</v>
      </c>
      <c r="B277" s="4" t="s">
        <v>41</v>
      </c>
      <c r="C277" s="4" t="s">
        <v>42</v>
      </c>
      <c r="D277" s="4" t="s">
        <v>40</v>
      </c>
      <c r="E277" s="4" t="s">
        <v>25</v>
      </c>
      <c r="F277" s="4" t="s">
        <v>25</v>
      </c>
      <c r="G277" s="4" t="s">
        <v>25</v>
      </c>
      <c r="H277" s="4" t="s">
        <v>37</v>
      </c>
      <c r="I277" s="5">
        <v>44835</v>
      </c>
      <c r="J277" s="6">
        <v>203</v>
      </c>
      <c r="K277" s="6">
        <v>203</v>
      </c>
      <c r="L277" s="6">
        <v>54.765000000000001</v>
      </c>
      <c r="M277" s="6">
        <v>54.765000000000001</v>
      </c>
      <c r="N277" s="6">
        <v>54.765000000000001</v>
      </c>
      <c r="O277" s="6">
        <v>54.765000000000001</v>
      </c>
      <c r="P277" s="6">
        <v>0</v>
      </c>
      <c r="Q277" s="4" t="s">
        <v>26</v>
      </c>
      <c r="R277" s="4">
        <v>0</v>
      </c>
      <c r="S277" s="4" t="s">
        <v>161</v>
      </c>
      <c r="T277" s="4" t="s">
        <v>502</v>
      </c>
      <c r="U277" s="4">
        <v>20</v>
      </c>
      <c r="V277" s="4">
        <v>21</v>
      </c>
      <c r="W277" s="4">
        <v>75</v>
      </c>
    </row>
    <row r="278" spans="1:23" ht="11.25" customHeight="1" x14ac:dyDescent="0.25">
      <c r="A278" s="4" t="s">
        <v>28</v>
      </c>
      <c r="B278" s="4" t="s">
        <v>41</v>
      </c>
      <c r="C278" s="4" t="s">
        <v>42</v>
      </c>
      <c r="D278" s="4" t="s">
        <v>40</v>
      </c>
      <c r="E278" s="4" t="s">
        <v>25</v>
      </c>
      <c r="F278" s="4" t="s">
        <v>25</v>
      </c>
      <c r="G278" s="4" t="s">
        <v>25</v>
      </c>
      <c r="H278" s="4" t="s">
        <v>37</v>
      </c>
      <c r="I278" s="5">
        <v>44835</v>
      </c>
      <c r="J278" s="6">
        <v>1168</v>
      </c>
      <c r="K278" s="6">
        <v>1168</v>
      </c>
      <c r="L278" s="6">
        <v>563.94299999999998</v>
      </c>
      <c r="M278" s="6">
        <v>563.94299999999998</v>
      </c>
      <c r="N278" s="6">
        <v>563.94299999999998</v>
      </c>
      <c r="O278" s="6">
        <v>563.94299999999998</v>
      </c>
      <c r="P278" s="6">
        <v>0</v>
      </c>
      <c r="Q278" s="4" t="s">
        <v>26</v>
      </c>
      <c r="R278" s="4">
        <v>0</v>
      </c>
      <c r="S278" s="4" t="s">
        <v>161</v>
      </c>
      <c r="T278" s="4" t="s">
        <v>502</v>
      </c>
      <c r="U278" s="4">
        <v>20</v>
      </c>
      <c r="V278" s="4">
        <v>21</v>
      </c>
      <c r="W278" s="4">
        <v>75</v>
      </c>
    </row>
    <row r="279" spans="1:23" ht="11.25" customHeight="1" x14ac:dyDescent="0.25">
      <c r="A279" s="4" t="s">
        <v>59</v>
      </c>
      <c r="B279" s="4" t="s">
        <v>41</v>
      </c>
      <c r="C279" s="4" t="s">
        <v>42</v>
      </c>
      <c r="D279" s="4" t="s">
        <v>40</v>
      </c>
      <c r="E279" s="4" t="s">
        <v>25</v>
      </c>
      <c r="F279" s="4" t="s">
        <v>25</v>
      </c>
      <c r="G279" s="4" t="s">
        <v>25</v>
      </c>
      <c r="H279" s="4" t="s">
        <v>37</v>
      </c>
      <c r="I279" s="5">
        <v>44866</v>
      </c>
      <c r="J279" s="6">
        <v>203</v>
      </c>
      <c r="K279" s="6">
        <v>203</v>
      </c>
      <c r="L279" s="6">
        <v>54.765000000000001</v>
      </c>
      <c r="M279" s="6">
        <v>54.765000000000001</v>
      </c>
      <c r="N279" s="6">
        <v>54.765000000000001</v>
      </c>
      <c r="O279" s="6">
        <v>54.765000000000001</v>
      </c>
      <c r="P279" s="6">
        <v>0</v>
      </c>
      <c r="Q279" s="4" t="s">
        <v>26</v>
      </c>
      <c r="R279" s="4">
        <v>0</v>
      </c>
      <c r="S279" s="4" t="s">
        <v>162</v>
      </c>
      <c r="T279" s="4" t="s">
        <v>503</v>
      </c>
      <c r="U279" s="4">
        <v>20</v>
      </c>
      <c r="V279" s="4">
        <v>21</v>
      </c>
      <c r="W279" s="4">
        <v>75</v>
      </c>
    </row>
    <row r="280" spans="1:23" ht="11.25" customHeight="1" x14ac:dyDescent="0.25">
      <c r="A280" s="4" t="s">
        <v>59</v>
      </c>
      <c r="B280" s="4" t="s">
        <v>41</v>
      </c>
      <c r="C280" s="4" t="s">
        <v>42</v>
      </c>
      <c r="D280" s="4" t="s">
        <v>40</v>
      </c>
      <c r="E280" s="4" t="s">
        <v>25</v>
      </c>
      <c r="F280" s="4" t="s">
        <v>25</v>
      </c>
      <c r="G280" s="4" t="s">
        <v>25</v>
      </c>
      <c r="H280" s="4" t="s">
        <v>37</v>
      </c>
      <c r="I280" s="5">
        <v>44866</v>
      </c>
      <c r="J280" s="6">
        <v>1168</v>
      </c>
      <c r="K280" s="6">
        <v>1168</v>
      </c>
      <c r="L280" s="6">
        <v>563.94299999999998</v>
      </c>
      <c r="M280" s="6">
        <v>563.94299999999998</v>
      </c>
      <c r="N280" s="6">
        <v>563.94299999999998</v>
      </c>
      <c r="O280" s="6">
        <v>563.94299999999998</v>
      </c>
      <c r="P280" s="6">
        <v>0</v>
      </c>
      <c r="Q280" s="4" t="s">
        <v>26</v>
      </c>
      <c r="R280" s="4">
        <v>0</v>
      </c>
      <c r="S280" s="4" t="s">
        <v>162</v>
      </c>
      <c r="T280" s="4" t="s">
        <v>503</v>
      </c>
      <c r="U280" s="4">
        <v>20</v>
      </c>
      <c r="V280" s="4">
        <v>21</v>
      </c>
      <c r="W280" s="4">
        <v>75</v>
      </c>
    </row>
    <row r="281" spans="1:23" ht="11.25" customHeight="1" x14ac:dyDescent="0.25">
      <c r="A281" s="4" t="s">
        <v>21</v>
      </c>
      <c r="B281" s="4" t="s">
        <v>41</v>
      </c>
      <c r="C281" s="4" t="s">
        <v>42</v>
      </c>
      <c r="D281" s="4" t="s">
        <v>40</v>
      </c>
      <c r="E281" s="4" t="s">
        <v>25</v>
      </c>
      <c r="F281" s="4" t="s">
        <v>25</v>
      </c>
      <c r="G281" s="4" t="s">
        <v>25</v>
      </c>
      <c r="H281" s="4" t="s">
        <v>36</v>
      </c>
      <c r="I281" s="5">
        <v>44531</v>
      </c>
      <c r="J281" s="6">
        <v>115</v>
      </c>
      <c r="K281" s="6">
        <v>115</v>
      </c>
      <c r="L281" s="6">
        <v>3.351</v>
      </c>
      <c r="M281" s="6">
        <v>3.351</v>
      </c>
      <c r="N281" s="6">
        <v>3.351</v>
      </c>
      <c r="O281" s="6">
        <v>3.351</v>
      </c>
      <c r="P281" s="6">
        <v>0</v>
      </c>
      <c r="Q281" s="4" t="s">
        <v>26</v>
      </c>
      <c r="R281" s="4">
        <v>0</v>
      </c>
      <c r="S281" s="4" t="s">
        <v>163</v>
      </c>
      <c r="T281" s="4" t="s">
        <v>504</v>
      </c>
      <c r="U281" s="4">
        <v>19</v>
      </c>
      <c r="V281" s="4">
        <v>21</v>
      </c>
      <c r="W281" s="4">
        <v>74</v>
      </c>
    </row>
    <row r="282" spans="1:23" ht="11.25" customHeight="1" x14ac:dyDescent="0.25">
      <c r="A282" s="4" t="s">
        <v>28</v>
      </c>
      <c r="B282" s="4" t="s">
        <v>41</v>
      </c>
      <c r="C282" s="4" t="s">
        <v>42</v>
      </c>
      <c r="D282" s="4" t="s">
        <v>40</v>
      </c>
      <c r="E282" s="4" t="s">
        <v>25</v>
      </c>
      <c r="F282" s="4" t="s">
        <v>25</v>
      </c>
      <c r="G282" s="4" t="s">
        <v>25</v>
      </c>
      <c r="H282" s="4" t="s">
        <v>36</v>
      </c>
      <c r="I282" s="5">
        <v>44531</v>
      </c>
      <c r="J282" s="6">
        <v>1262</v>
      </c>
      <c r="K282" s="6">
        <v>1262</v>
      </c>
      <c r="L282" s="6">
        <v>53.48</v>
      </c>
      <c r="M282" s="6">
        <v>53.48</v>
      </c>
      <c r="N282" s="6">
        <v>53.48</v>
      </c>
      <c r="O282" s="6">
        <v>53.48</v>
      </c>
      <c r="P282" s="6">
        <v>0</v>
      </c>
      <c r="Q282" s="4" t="s">
        <v>26</v>
      </c>
      <c r="R282" s="4">
        <v>0</v>
      </c>
      <c r="S282" s="4" t="s">
        <v>163</v>
      </c>
      <c r="T282" s="4" t="s">
        <v>504</v>
      </c>
      <c r="U282" s="4">
        <v>19</v>
      </c>
      <c r="V282" s="4">
        <v>21</v>
      </c>
      <c r="W282" s="4">
        <v>74</v>
      </c>
    </row>
    <row r="283" spans="1:23" ht="11.25" customHeight="1" x14ac:dyDescent="0.25">
      <c r="A283" s="4" t="s">
        <v>21</v>
      </c>
      <c r="B283" s="4" t="s">
        <v>41</v>
      </c>
      <c r="C283" s="4" t="s">
        <v>42</v>
      </c>
      <c r="D283" s="4" t="s">
        <v>40</v>
      </c>
      <c r="E283" s="4" t="s">
        <v>25</v>
      </c>
      <c r="F283" s="4" t="s">
        <v>25</v>
      </c>
      <c r="G283" s="4" t="s">
        <v>25</v>
      </c>
      <c r="H283" s="4" t="s">
        <v>36</v>
      </c>
      <c r="I283" s="5">
        <v>44562</v>
      </c>
      <c r="J283" s="6">
        <v>115</v>
      </c>
      <c r="K283" s="6">
        <v>115</v>
      </c>
      <c r="L283" s="6">
        <v>3.431</v>
      </c>
      <c r="M283" s="6">
        <v>3.431</v>
      </c>
      <c r="N283" s="6">
        <v>3.431</v>
      </c>
      <c r="O283" s="6">
        <v>3.431</v>
      </c>
      <c r="P283" s="6">
        <v>0</v>
      </c>
      <c r="Q283" s="4" t="s">
        <v>26</v>
      </c>
      <c r="R283" s="4">
        <v>0</v>
      </c>
      <c r="S283" s="4" t="s">
        <v>164</v>
      </c>
      <c r="T283" s="4" t="s">
        <v>505</v>
      </c>
      <c r="U283" s="4">
        <v>19</v>
      </c>
      <c r="V283" s="4">
        <v>21</v>
      </c>
      <c r="W283" s="4">
        <v>74</v>
      </c>
    </row>
    <row r="284" spans="1:23" ht="11.25" customHeight="1" x14ac:dyDescent="0.25">
      <c r="A284" s="4" t="s">
        <v>28</v>
      </c>
      <c r="B284" s="4" t="s">
        <v>41</v>
      </c>
      <c r="C284" s="4" t="s">
        <v>42</v>
      </c>
      <c r="D284" s="4" t="s">
        <v>40</v>
      </c>
      <c r="E284" s="4" t="s">
        <v>25</v>
      </c>
      <c r="F284" s="4" t="s">
        <v>25</v>
      </c>
      <c r="G284" s="4" t="s">
        <v>25</v>
      </c>
      <c r="H284" s="4" t="s">
        <v>36</v>
      </c>
      <c r="I284" s="5">
        <v>44562</v>
      </c>
      <c r="J284" s="6">
        <v>1262</v>
      </c>
      <c r="K284" s="6">
        <v>1262</v>
      </c>
      <c r="L284" s="6">
        <v>51.027999999999999</v>
      </c>
      <c r="M284" s="6">
        <v>51.027999999999999</v>
      </c>
      <c r="N284" s="6">
        <v>51.027999999999999</v>
      </c>
      <c r="O284" s="6">
        <v>51.027999999999999</v>
      </c>
      <c r="P284" s="6">
        <v>0</v>
      </c>
      <c r="Q284" s="4" t="s">
        <v>26</v>
      </c>
      <c r="R284" s="4">
        <v>0</v>
      </c>
      <c r="S284" s="4" t="s">
        <v>164</v>
      </c>
      <c r="T284" s="4" t="s">
        <v>505</v>
      </c>
      <c r="U284" s="4">
        <v>19</v>
      </c>
      <c r="V284" s="4">
        <v>21</v>
      </c>
      <c r="W284" s="4">
        <v>74</v>
      </c>
    </row>
    <row r="285" spans="1:23" ht="11.25" customHeight="1" x14ac:dyDescent="0.25">
      <c r="A285" s="4" t="s">
        <v>21</v>
      </c>
      <c r="B285" s="4" t="s">
        <v>41</v>
      </c>
      <c r="C285" s="4" t="s">
        <v>42</v>
      </c>
      <c r="D285" s="4" t="s">
        <v>40</v>
      </c>
      <c r="E285" s="4" t="s">
        <v>25</v>
      </c>
      <c r="F285" s="4" t="s">
        <v>25</v>
      </c>
      <c r="G285" s="4" t="s">
        <v>25</v>
      </c>
      <c r="H285" s="4" t="s">
        <v>36</v>
      </c>
      <c r="I285" s="5">
        <v>44593</v>
      </c>
      <c r="J285" s="6">
        <v>115</v>
      </c>
      <c r="K285" s="6">
        <v>115</v>
      </c>
      <c r="L285" s="6">
        <v>3.3140000000000001</v>
      </c>
      <c r="M285" s="6">
        <v>3.3140000000000001</v>
      </c>
      <c r="N285" s="6">
        <v>3.3140000000000001</v>
      </c>
      <c r="O285" s="6">
        <v>3.3140000000000001</v>
      </c>
      <c r="P285" s="6">
        <v>0</v>
      </c>
      <c r="Q285" s="4" t="s">
        <v>26</v>
      </c>
      <c r="R285" s="4">
        <v>0</v>
      </c>
      <c r="S285" s="4" t="s">
        <v>165</v>
      </c>
      <c r="T285" s="4" t="s">
        <v>506</v>
      </c>
      <c r="U285" s="4">
        <v>19</v>
      </c>
      <c r="V285" s="4">
        <v>21</v>
      </c>
      <c r="W285" s="4">
        <v>74</v>
      </c>
    </row>
    <row r="286" spans="1:23" ht="11.25" customHeight="1" x14ac:dyDescent="0.25">
      <c r="A286" s="4" t="s">
        <v>28</v>
      </c>
      <c r="B286" s="4" t="s">
        <v>41</v>
      </c>
      <c r="C286" s="4" t="s">
        <v>42</v>
      </c>
      <c r="D286" s="4" t="s">
        <v>40</v>
      </c>
      <c r="E286" s="4" t="s">
        <v>25</v>
      </c>
      <c r="F286" s="4" t="s">
        <v>25</v>
      </c>
      <c r="G286" s="4" t="s">
        <v>25</v>
      </c>
      <c r="H286" s="4" t="s">
        <v>36</v>
      </c>
      <c r="I286" s="5">
        <v>44593</v>
      </c>
      <c r="J286" s="6">
        <v>1262</v>
      </c>
      <c r="K286" s="6">
        <v>1262</v>
      </c>
      <c r="L286" s="6">
        <v>47.726999999999997</v>
      </c>
      <c r="M286" s="6">
        <v>47.726999999999997</v>
      </c>
      <c r="N286" s="6">
        <v>47.726999999999997</v>
      </c>
      <c r="O286" s="6">
        <v>47.726999999999997</v>
      </c>
      <c r="P286" s="6">
        <v>0</v>
      </c>
      <c r="Q286" s="4" t="s">
        <v>26</v>
      </c>
      <c r="R286" s="4">
        <v>0</v>
      </c>
      <c r="S286" s="4" t="s">
        <v>165</v>
      </c>
      <c r="T286" s="4" t="s">
        <v>506</v>
      </c>
      <c r="U286" s="4">
        <v>19</v>
      </c>
      <c r="V286" s="4">
        <v>21</v>
      </c>
      <c r="W286" s="4">
        <v>74</v>
      </c>
    </row>
    <row r="287" spans="1:23" ht="11.25" customHeight="1" x14ac:dyDescent="0.25">
      <c r="A287" s="4" t="s">
        <v>21</v>
      </c>
      <c r="B287" s="4" t="s">
        <v>41</v>
      </c>
      <c r="C287" s="4" t="s">
        <v>42</v>
      </c>
      <c r="D287" s="4" t="s">
        <v>40</v>
      </c>
      <c r="E287" s="4" t="s">
        <v>25</v>
      </c>
      <c r="F287" s="4" t="s">
        <v>25</v>
      </c>
      <c r="G287" s="4" t="s">
        <v>25</v>
      </c>
      <c r="H287" s="4" t="s">
        <v>36</v>
      </c>
      <c r="I287" s="5">
        <v>44621</v>
      </c>
      <c r="J287" s="6">
        <v>115</v>
      </c>
      <c r="K287" s="6">
        <v>115</v>
      </c>
      <c r="L287" s="6">
        <v>3.6890000000000001</v>
      </c>
      <c r="M287" s="6">
        <v>3.6890000000000001</v>
      </c>
      <c r="N287" s="6">
        <v>3.6890000000000001</v>
      </c>
      <c r="O287" s="6">
        <v>3.6890000000000001</v>
      </c>
      <c r="P287" s="6">
        <v>0</v>
      </c>
      <c r="Q287" s="4" t="s">
        <v>26</v>
      </c>
      <c r="R287" s="4">
        <v>0</v>
      </c>
      <c r="S287" s="4" t="s">
        <v>166</v>
      </c>
      <c r="T287" s="4" t="s">
        <v>507</v>
      </c>
      <c r="U287" s="4">
        <v>19</v>
      </c>
      <c r="V287" s="4">
        <v>21</v>
      </c>
      <c r="W287" s="4">
        <v>74</v>
      </c>
    </row>
    <row r="288" spans="1:23" ht="11.25" customHeight="1" x14ac:dyDescent="0.25">
      <c r="A288" s="4" t="s">
        <v>28</v>
      </c>
      <c r="B288" s="4" t="s">
        <v>41</v>
      </c>
      <c r="C288" s="4" t="s">
        <v>42</v>
      </c>
      <c r="D288" s="4" t="s">
        <v>40</v>
      </c>
      <c r="E288" s="4" t="s">
        <v>25</v>
      </c>
      <c r="F288" s="4" t="s">
        <v>25</v>
      </c>
      <c r="G288" s="4" t="s">
        <v>25</v>
      </c>
      <c r="H288" s="4" t="s">
        <v>36</v>
      </c>
      <c r="I288" s="5">
        <v>44621</v>
      </c>
      <c r="J288" s="6">
        <v>1262</v>
      </c>
      <c r="K288" s="6">
        <v>1262</v>
      </c>
      <c r="L288" s="6">
        <v>52.881999999999998</v>
      </c>
      <c r="M288" s="6">
        <v>52.881999999999998</v>
      </c>
      <c r="N288" s="6">
        <v>52.881999999999998</v>
      </c>
      <c r="O288" s="6">
        <v>52.881999999999998</v>
      </c>
      <c r="P288" s="6">
        <v>0</v>
      </c>
      <c r="Q288" s="4" t="s">
        <v>26</v>
      </c>
      <c r="R288" s="4">
        <v>0</v>
      </c>
      <c r="S288" s="4" t="s">
        <v>166</v>
      </c>
      <c r="T288" s="4" t="s">
        <v>507</v>
      </c>
      <c r="U288" s="4">
        <v>19</v>
      </c>
      <c r="V288" s="4">
        <v>21</v>
      </c>
      <c r="W288" s="4">
        <v>74</v>
      </c>
    </row>
    <row r="289" spans="1:23" ht="11.25" customHeight="1" x14ac:dyDescent="0.25">
      <c r="A289" s="4" t="s">
        <v>21</v>
      </c>
      <c r="B289" s="4" t="s">
        <v>41</v>
      </c>
      <c r="C289" s="4" t="s">
        <v>42</v>
      </c>
      <c r="D289" s="4" t="s">
        <v>40</v>
      </c>
      <c r="E289" s="4" t="s">
        <v>25</v>
      </c>
      <c r="F289" s="4" t="s">
        <v>25</v>
      </c>
      <c r="G289" s="4" t="s">
        <v>25</v>
      </c>
      <c r="H289" s="4" t="s">
        <v>36</v>
      </c>
      <c r="I289" s="5">
        <v>44652</v>
      </c>
      <c r="J289" s="6">
        <v>131</v>
      </c>
      <c r="K289" s="6">
        <v>131</v>
      </c>
      <c r="L289" s="6">
        <v>3.6890000000000001</v>
      </c>
      <c r="M289" s="6">
        <v>3.6890000000000001</v>
      </c>
      <c r="N289" s="6">
        <v>3.6890000000000001</v>
      </c>
      <c r="O289" s="6">
        <v>3.6890000000000001</v>
      </c>
      <c r="P289" s="6">
        <v>0</v>
      </c>
      <c r="Q289" s="4" t="s">
        <v>26</v>
      </c>
      <c r="R289" s="4">
        <v>0</v>
      </c>
      <c r="S289" s="4" t="s">
        <v>167</v>
      </c>
      <c r="T289" s="4" t="s">
        <v>508</v>
      </c>
      <c r="U289" s="4">
        <v>19</v>
      </c>
      <c r="V289" s="4">
        <v>21</v>
      </c>
      <c r="W289" s="4">
        <v>74</v>
      </c>
    </row>
    <row r="290" spans="1:23" ht="11.25" customHeight="1" x14ac:dyDescent="0.25">
      <c r="A290" s="4" t="s">
        <v>28</v>
      </c>
      <c r="B290" s="4" t="s">
        <v>41</v>
      </c>
      <c r="C290" s="4" t="s">
        <v>42</v>
      </c>
      <c r="D290" s="4" t="s">
        <v>40</v>
      </c>
      <c r="E290" s="4" t="s">
        <v>25</v>
      </c>
      <c r="F290" s="4" t="s">
        <v>25</v>
      </c>
      <c r="G290" s="4" t="s">
        <v>25</v>
      </c>
      <c r="H290" s="4" t="s">
        <v>36</v>
      </c>
      <c r="I290" s="5">
        <v>44652</v>
      </c>
      <c r="J290" s="6">
        <v>1262</v>
      </c>
      <c r="K290" s="6">
        <v>1262</v>
      </c>
      <c r="L290" s="6">
        <v>45.524999999999999</v>
      </c>
      <c r="M290" s="6">
        <v>45.524999999999999</v>
      </c>
      <c r="N290" s="6">
        <v>45.524999999999999</v>
      </c>
      <c r="O290" s="6">
        <v>45.524999999999999</v>
      </c>
      <c r="P290" s="6">
        <v>0</v>
      </c>
      <c r="Q290" s="4" t="s">
        <v>26</v>
      </c>
      <c r="R290" s="4">
        <v>0</v>
      </c>
      <c r="S290" s="4" t="s">
        <v>167</v>
      </c>
      <c r="T290" s="4" t="s">
        <v>508</v>
      </c>
      <c r="U290" s="4">
        <v>19</v>
      </c>
      <c r="V290" s="4">
        <v>21</v>
      </c>
      <c r="W290" s="4">
        <v>74</v>
      </c>
    </row>
    <row r="291" spans="1:23" ht="11.25" customHeight="1" x14ac:dyDescent="0.25">
      <c r="A291" s="4" t="s">
        <v>21</v>
      </c>
      <c r="B291" s="4" t="s">
        <v>41</v>
      </c>
      <c r="C291" s="4" t="s">
        <v>42</v>
      </c>
      <c r="D291" s="4" t="s">
        <v>40</v>
      </c>
      <c r="E291" s="4" t="s">
        <v>25</v>
      </c>
      <c r="F291" s="4" t="s">
        <v>25</v>
      </c>
      <c r="G291" s="4" t="s">
        <v>25</v>
      </c>
      <c r="H291" s="4" t="s">
        <v>36</v>
      </c>
      <c r="I291" s="5">
        <v>44682</v>
      </c>
      <c r="J291" s="6">
        <v>122</v>
      </c>
      <c r="K291" s="6">
        <v>122</v>
      </c>
      <c r="L291" s="6">
        <v>4.5220000000000002</v>
      </c>
      <c r="M291" s="6">
        <v>4.5220000000000002</v>
      </c>
      <c r="N291" s="6">
        <v>4.5220000000000002</v>
      </c>
      <c r="O291" s="6">
        <v>4.5220000000000002</v>
      </c>
      <c r="P291" s="6">
        <v>0</v>
      </c>
      <c r="Q291" s="4" t="s">
        <v>26</v>
      </c>
      <c r="R291" s="4">
        <v>0</v>
      </c>
      <c r="S291" s="4" t="s">
        <v>168</v>
      </c>
      <c r="T291" s="4" t="s">
        <v>509</v>
      </c>
      <c r="U291" s="4">
        <v>19</v>
      </c>
      <c r="V291" s="4">
        <v>21</v>
      </c>
      <c r="W291" s="4">
        <v>74</v>
      </c>
    </row>
    <row r="292" spans="1:23" ht="11.25" customHeight="1" x14ac:dyDescent="0.25">
      <c r="A292" s="4" t="s">
        <v>28</v>
      </c>
      <c r="B292" s="4" t="s">
        <v>41</v>
      </c>
      <c r="C292" s="4" t="s">
        <v>42</v>
      </c>
      <c r="D292" s="4" t="s">
        <v>40</v>
      </c>
      <c r="E292" s="4" t="s">
        <v>25</v>
      </c>
      <c r="F292" s="4" t="s">
        <v>25</v>
      </c>
      <c r="G292" s="4" t="s">
        <v>25</v>
      </c>
      <c r="H292" s="4" t="s">
        <v>36</v>
      </c>
      <c r="I292" s="5">
        <v>44682</v>
      </c>
      <c r="J292" s="6">
        <v>1262</v>
      </c>
      <c r="K292" s="6">
        <v>1262</v>
      </c>
      <c r="L292" s="6">
        <v>43.823</v>
      </c>
      <c r="M292" s="6">
        <v>43.823</v>
      </c>
      <c r="N292" s="6">
        <v>43.823</v>
      </c>
      <c r="O292" s="6">
        <v>43.823</v>
      </c>
      <c r="P292" s="6">
        <v>0</v>
      </c>
      <c r="Q292" s="4" t="s">
        <v>26</v>
      </c>
      <c r="R292" s="4">
        <v>0</v>
      </c>
      <c r="S292" s="4" t="s">
        <v>168</v>
      </c>
      <c r="T292" s="4" t="s">
        <v>509</v>
      </c>
      <c r="U292" s="4">
        <v>19</v>
      </c>
      <c r="V292" s="4">
        <v>21</v>
      </c>
      <c r="W292" s="4">
        <v>74</v>
      </c>
    </row>
    <row r="293" spans="1:23" ht="11.25" customHeight="1" x14ac:dyDescent="0.25">
      <c r="A293" s="4" t="s">
        <v>21</v>
      </c>
      <c r="B293" s="4" t="s">
        <v>41</v>
      </c>
      <c r="C293" s="4" t="s">
        <v>42</v>
      </c>
      <c r="D293" s="4" t="s">
        <v>40</v>
      </c>
      <c r="E293" s="4" t="s">
        <v>25</v>
      </c>
      <c r="F293" s="4" t="s">
        <v>25</v>
      </c>
      <c r="G293" s="4" t="s">
        <v>25</v>
      </c>
      <c r="H293" s="4" t="s">
        <v>36</v>
      </c>
      <c r="I293" s="5">
        <v>44713</v>
      </c>
      <c r="J293" s="6">
        <v>119</v>
      </c>
      <c r="K293" s="6">
        <v>119</v>
      </c>
      <c r="L293" s="6">
        <v>4.0279999999999996</v>
      </c>
      <c r="M293" s="6">
        <v>4.0279999999999996</v>
      </c>
      <c r="N293" s="6">
        <v>4.0279999999999996</v>
      </c>
      <c r="O293" s="6">
        <v>4.0279999999999996</v>
      </c>
      <c r="P293" s="6">
        <v>0</v>
      </c>
      <c r="Q293" s="4" t="s">
        <v>26</v>
      </c>
      <c r="R293" s="4">
        <v>0</v>
      </c>
      <c r="S293" s="4" t="s">
        <v>169</v>
      </c>
      <c r="T293" s="4" t="s">
        <v>510</v>
      </c>
      <c r="U293" s="4">
        <v>19</v>
      </c>
      <c r="V293" s="4">
        <v>21</v>
      </c>
      <c r="W293" s="4">
        <v>74</v>
      </c>
    </row>
    <row r="294" spans="1:23" ht="11.25" customHeight="1" x14ac:dyDescent="0.25">
      <c r="A294" s="4" t="s">
        <v>27</v>
      </c>
      <c r="B294" s="4" t="s">
        <v>41</v>
      </c>
      <c r="C294" s="4" t="s">
        <v>42</v>
      </c>
      <c r="D294" s="4" t="s">
        <v>40</v>
      </c>
      <c r="E294" s="4" t="s">
        <v>25</v>
      </c>
      <c r="F294" s="4" t="s">
        <v>25</v>
      </c>
      <c r="G294" s="4" t="s">
        <v>25</v>
      </c>
      <c r="H294" s="4" t="s">
        <v>36</v>
      </c>
      <c r="I294" s="5">
        <v>44713</v>
      </c>
      <c r="J294" s="6">
        <v>-539</v>
      </c>
      <c r="K294" s="6">
        <v>-539</v>
      </c>
      <c r="L294" s="6">
        <v>1.1200000000000001</v>
      </c>
      <c r="M294" s="6">
        <v>1.1200000000000001</v>
      </c>
      <c r="N294" s="6">
        <v>1.1200000000000001</v>
      </c>
      <c r="O294" s="6">
        <v>1.1200000000000001</v>
      </c>
      <c r="P294" s="6">
        <v>0</v>
      </c>
      <c r="Q294" s="4" t="s">
        <v>26</v>
      </c>
      <c r="R294" s="4">
        <v>0</v>
      </c>
      <c r="S294" s="4" t="s">
        <v>169</v>
      </c>
      <c r="T294" s="4" t="s">
        <v>510</v>
      </c>
      <c r="U294" s="4">
        <v>19</v>
      </c>
      <c r="V294" s="4">
        <v>21</v>
      </c>
      <c r="W294" s="4">
        <v>74</v>
      </c>
    </row>
    <row r="295" spans="1:23" ht="11.25" customHeight="1" x14ac:dyDescent="0.25">
      <c r="A295" s="4" t="s">
        <v>28</v>
      </c>
      <c r="B295" s="4" t="s">
        <v>41</v>
      </c>
      <c r="C295" s="4" t="s">
        <v>42</v>
      </c>
      <c r="D295" s="4" t="s">
        <v>40</v>
      </c>
      <c r="E295" s="4" t="s">
        <v>25</v>
      </c>
      <c r="F295" s="4" t="s">
        <v>25</v>
      </c>
      <c r="G295" s="4" t="s">
        <v>25</v>
      </c>
      <c r="H295" s="4" t="s">
        <v>36</v>
      </c>
      <c r="I295" s="5">
        <v>44713</v>
      </c>
      <c r="J295" s="6">
        <v>1262</v>
      </c>
      <c r="K295" s="6">
        <v>1262</v>
      </c>
      <c r="L295" s="6">
        <v>57.436999999999998</v>
      </c>
      <c r="M295" s="6">
        <v>57.436999999999998</v>
      </c>
      <c r="N295" s="6">
        <v>57.436999999999998</v>
      </c>
      <c r="O295" s="6">
        <v>57.436999999999998</v>
      </c>
      <c r="P295" s="6">
        <v>0</v>
      </c>
      <c r="Q295" s="4" t="s">
        <v>26</v>
      </c>
      <c r="R295" s="4">
        <v>0</v>
      </c>
      <c r="S295" s="4" t="s">
        <v>169</v>
      </c>
      <c r="T295" s="4" t="s">
        <v>510</v>
      </c>
      <c r="U295" s="4">
        <v>19</v>
      </c>
      <c r="V295" s="4">
        <v>21</v>
      </c>
      <c r="W295" s="4">
        <v>74</v>
      </c>
    </row>
    <row r="296" spans="1:23" ht="11.25" customHeight="1" x14ac:dyDescent="0.25">
      <c r="A296" s="4" t="s">
        <v>21</v>
      </c>
      <c r="B296" s="4" t="s">
        <v>41</v>
      </c>
      <c r="C296" s="4" t="s">
        <v>42</v>
      </c>
      <c r="D296" s="4" t="s">
        <v>40</v>
      </c>
      <c r="E296" s="4" t="s">
        <v>25</v>
      </c>
      <c r="F296" s="4" t="s">
        <v>25</v>
      </c>
      <c r="G296" s="4" t="s">
        <v>25</v>
      </c>
      <c r="H296" s="4" t="s">
        <v>36</v>
      </c>
      <c r="I296" s="5">
        <v>44743</v>
      </c>
      <c r="J296" s="6">
        <v>126</v>
      </c>
      <c r="K296" s="6">
        <v>126</v>
      </c>
      <c r="L296" s="6">
        <v>4.3890000000000002</v>
      </c>
      <c r="M296" s="6">
        <v>4.3890000000000002</v>
      </c>
      <c r="N296" s="6">
        <v>4.3890000000000002</v>
      </c>
      <c r="O296" s="6">
        <v>4.3890000000000002</v>
      </c>
      <c r="P296" s="6">
        <v>0</v>
      </c>
      <c r="Q296" s="4" t="s">
        <v>26</v>
      </c>
      <c r="R296" s="4">
        <v>0</v>
      </c>
      <c r="S296" s="4" t="s">
        <v>170</v>
      </c>
      <c r="T296" s="4" t="s">
        <v>511</v>
      </c>
      <c r="U296" s="4">
        <v>19</v>
      </c>
      <c r="V296" s="4">
        <v>21</v>
      </c>
      <c r="W296" s="4">
        <v>74</v>
      </c>
    </row>
    <row r="297" spans="1:23" ht="11.25" customHeight="1" x14ac:dyDescent="0.25">
      <c r="A297" s="4" t="s">
        <v>28</v>
      </c>
      <c r="B297" s="4" t="s">
        <v>41</v>
      </c>
      <c r="C297" s="4" t="s">
        <v>42</v>
      </c>
      <c r="D297" s="4" t="s">
        <v>40</v>
      </c>
      <c r="E297" s="4" t="s">
        <v>25</v>
      </c>
      <c r="F297" s="4" t="s">
        <v>25</v>
      </c>
      <c r="G297" s="4" t="s">
        <v>25</v>
      </c>
      <c r="H297" s="4" t="s">
        <v>36</v>
      </c>
      <c r="I297" s="5">
        <v>44743</v>
      </c>
      <c r="J297" s="6">
        <v>1262</v>
      </c>
      <c r="K297" s="6">
        <v>1262</v>
      </c>
      <c r="L297" s="6">
        <v>53.774000000000001</v>
      </c>
      <c r="M297" s="6">
        <v>53.774000000000001</v>
      </c>
      <c r="N297" s="6">
        <v>53.774000000000001</v>
      </c>
      <c r="O297" s="6">
        <v>53.774000000000001</v>
      </c>
      <c r="P297" s="6">
        <v>0</v>
      </c>
      <c r="Q297" s="4" t="s">
        <v>26</v>
      </c>
      <c r="R297" s="4">
        <v>0</v>
      </c>
      <c r="S297" s="4" t="s">
        <v>170</v>
      </c>
      <c r="T297" s="4" t="s">
        <v>511</v>
      </c>
      <c r="U297" s="4">
        <v>19</v>
      </c>
      <c r="V297" s="4">
        <v>21</v>
      </c>
      <c r="W297" s="4">
        <v>74</v>
      </c>
    </row>
    <row r="298" spans="1:23" ht="11.25" customHeight="1" x14ac:dyDescent="0.25">
      <c r="A298" s="4" t="s">
        <v>21</v>
      </c>
      <c r="B298" s="4" t="s">
        <v>41</v>
      </c>
      <c r="C298" s="4" t="s">
        <v>42</v>
      </c>
      <c r="D298" s="4" t="s">
        <v>40</v>
      </c>
      <c r="E298" s="4" t="s">
        <v>25</v>
      </c>
      <c r="F298" s="4" t="s">
        <v>25</v>
      </c>
      <c r="G298" s="4" t="s">
        <v>25</v>
      </c>
      <c r="H298" s="4" t="s">
        <v>36</v>
      </c>
      <c r="I298" s="5">
        <v>44774</v>
      </c>
      <c r="J298" s="6">
        <v>121</v>
      </c>
      <c r="K298" s="6">
        <v>121</v>
      </c>
      <c r="L298" s="6">
        <v>4.6399999999999997</v>
      </c>
      <c r="M298" s="6">
        <v>4.6399999999999997</v>
      </c>
      <c r="N298" s="6">
        <v>4.6399999999999997</v>
      </c>
      <c r="O298" s="6">
        <v>4.6399999999999997</v>
      </c>
      <c r="P298" s="6">
        <v>0</v>
      </c>
      <c r="Q298" s="4" t="s">
        <v>26</v>
      </c>
      <c r="R298" s="4">
        <v>0</v>
      </c>
      <c r="S298" s="4" t="s">
        <v>171</v>
      </c>
      <c r="T298" s="4" t="s">
        <v>512</v>
      </c>
      <c r="U298" s="4">
        <v>19</v>
      </c>
      <c r="V298" s="4">
        <v>21</v>
      </c>
      <c r="W298" s="4">
        <v>74</v>
      </c>
    </row>
    <row r="299" spans="1:23" ht="11.25" customHeight="1" x14ac:dyDescent="0.25">
      <c r="A299" s="4" t="s">
        <v>28</v>
      </c>
      <c r="B299" s="4" t="s">
        <v>41</v>
      </c>
      <c r="C299" s="4" t="s">
        <v>42</v>
      </c>
      <c r="D299" s="4" t="s">
        <v>40</v>
      </c>
      <c r="E299" s="4" t="s">
        <v>25</v>
      </c>
      <c r="F299" s="4" t="s">
        <v>25</v>
      </c>
      <c r="G299" s="4" t="s">
        <v>25</v>
      </c>
      <c r="H299" s="4" t="s">
        <v>36</v>
      </c>
      <c r="I299" s="5">
        <v>44774</v>
      </c>
      <c r="J299" s="6">
        <v>1278</v>
      </c>
      <c r="K299" s="6">
        <v>1278</v>
      </c>
      <c r="L299" s="6">
        <v>62.19</v>
      </c>
      <c r="M299" s="6">
        <v>62.19</v>
      </c>
      <c r="N299" s="6">
        <v>62.19</v>
      </c>
      <c r="O299" s="6">
        <v>62.19</v>
      </c>
      <c r="P299" s="6">
        <v>0</v>
      </c>
      <c r="Q299" s="4" t="s">
        <v>26</v>
      </c>
      <c r="R299" s="4">
        <v>0</v>
      </c>
      <c r="S299" s="4" t="s">
        <v>171</v>
      </c>
      <c r="T299" s="4" t="s">
        <v>512</v>
      </c>
      <c r="U299" s="4">
        <v>19</v>
      </c>
      <c r="V299" s="4">
        <v>21</v>
      </c>
      <c r="W299" s="4">
        <v>74</v>
      </c>
    </row>
    <row r="300" spans="1:23" ht="11.25" customHeight="1" x14ac:dyDescent="0.25">
      <c r="A300" s="4" t="s">
        <v>21</v>
      </c>
      <c r="B300" s="4" t="s">
        <v>41</v>
      </c>
      <c r="C300" s="4" t="s">
        <v>42</v>
      </c>
      <c r="D300" s="4" t="s">
        <v>40</v>
      </c>
      <c r="E300" s="4" t="s">
        <v>25</v>
      </c>
      <c r="F300" s="4" t="s">
        <v>25</v>
      </c>
      <c r="G300" s="4" t="s">
        <v>25</v>
      </c>
      <c r="H300" s="4" t="s">
        <v>36</v>
      </c>
      <c r="I300" s="5">
        <v>44805</v>
      </c>
      <c r="J300" s="6">
        <v>125</v>
      </c>
      <c r="K300" s="6">
        <v>125</v>
      </c>
      <c r="L300" s="6">
        <v>4.391</v>
      </c>
      <c r="M300" s="6">
        <v>4.391</v>
      </c>
      <c r="N300" s="6">
        <v>4.391</v>
      </c>
      <c r="O300" s="6">
        <v>4.391</v>
      </c>
      <c r="P300" s="6">
        <v>0</v>
      </c>
      <c r="Q300" s="4" t="s">
        <v>26</v>
      </c>
      <c r="R300" s="4">
        <v>0</v>
      </c>
      <c r="S300" s="4" t="s">
        <v>172</v>
      </c>
      <c r="T300" s="4" t="s">
        <v>513</v>
      </c>
      <c r="U300" s="4">
        <v>19</v>
      </c>
      <c r="V300" s="4">
        <v>21</v>
      </c>
      <c r="W300" s="4">
        <v>74</v>
      </c>
    </row>
    <row r="301" spans="1:23" ht="11.25" customHeight="1" x14ac:dyDescent="0.25">
      <c r="A301" s="4" t="s">
        <v>28</v>
      </c>
      <c r="B301" s="4" t="s">
        <v>41</v>
      </c>
      <c r="C301" s="4" t="s">
        <v>42</v>
      </c>
      <c r="D301" s="4" t="s">
        <v>40</v>
      </c>
      <c r="E301" s="4" t="s">
        <v>25</v>
      </c>
      <c r="F301" s="4" t="s">
        <v>25</v>
      </c>
      <c r="G301" s="4" t="s">
        <v>25</v>
      </c>
      <c r="H301" s="4" t="s">
        <v>36</v>
      </c>
      <c r="I301" s="5">
        <v>44805</v>
      </c>
      <c r="J301" s="6">
        <v>1312</v>
      </c>
      <c r="K301" s="6">
        <v>1312</v>
      </c>
      <c r="L301" s="6">
        <v>61.639000000000003</v>
      </c>
      <c r="M301" s="6">
        <v>61.639000000000003</v>
      </c>
      <c r="N301" s="6">
        <v>61.639000000000003</v>
      </c>
      <c r="O301" s="6">
        <v>61.639000000000003</v>
      </c>
      <c r="P301" s="6">
        <v>0</v>
      </c>
      <c r="Q301" s="4" t="s">
        <v>26</v>
      </c>
      <c r="R301" s="4">
        <v>0</v>
      </c>
      <c r="S301" s="4" t="s">
        <v>172</v>
      </c>
      <c r="T301" s="4" t="s">
        <v>513</v>
      </c>
      <c r="U301" s="4">
        <v>19</v>
      </c>
      <c r="V301" s="4">
        <v>21</v>
      </c>
      <c r="W301" s="4">
        <v>74</v>
      </c>
    </row>
    <row r="302" spans="1:23" ht="11.25" customHeight="1" x14ac:dyDescent="0.25">
      <c r="A302" s="4" t="s">
        <v>21</v>
      </c>
      <c r="B302" s="4" t="s">
        <v>41</v>
      </c>
      <c r="C302" s="4" t="s">
        <v>42</v>
      </c>
      <c r="D302" s="4" t="s">
        <v>40</v>
      </c>
      <c r="E302" s="4" t="s">
        <v>25</v>
      </c>
      <c r="F302" s="4" t="s">
        <v>25</v>
      </c>
      <c r="G302" s="4" t="s">
        <v>25</v>
      </c>
      <c r="H302" s="4" t="s">
        <v>36</v>
      </c>
      <c r="I302" s="5">
        <v>44835</v>
      </c>
      <c r="J302" s="6">
        <v>156</v>
      </c>
      <c r="K302" s="6">
        <v>156</v>
      </c>
      <c r="L302" s="6">
        <v>4.9740000000000002</v>
      </c>
      <c r="M302" s="6">
        <v>4.9740000000000002</v>
      </c>
      <c r="N302" s="6">
        <v>4.9740000000000002</v>
      </c>
      <c r="O302" s="6">
        <v>4.9740000000000002</v>
      </c>
      <c r="P302" s="6">
        <v>0</v>
      </c>
      <c r="Q302" s="4" t="s">
        <v>26</v>
      </c>
      <c r="R302" s="4">
        <v>0</v>
      </c>
      <c r="S302" s="4" t="s">
        <v>173</v>
      </c>
      <c r="T302" s="4" t="s">
        <v>514</v>
      </c>
      <c r="U302" s="4">
        <v>19</v>
      </c>
      <c r="V302" s="4">
        <v>21</v>
      </c>
      <c r="W302" s="4">
        <v>74</v>
      </c>
    </row>
    <row r="303" spans="1:23" ht="11.25" customHeight="1" x14ac:dyDescent="0.25">
      <c r="A303" s="4" t="s">
        <v>28</v>
      </c>
      <c r="B303" s="4" t="s">
        <v>41</v>
      </c>
      <c r="C303" s="4" t="s">
        <v>42</v>
      </c>
      <c r="D303" s="4" t="s">
        <v>40</v>
      </c>
      <c r="E303" s="4" t="s">
        <v>25</v>
      </c>
      <c r="F303" s="4" t="s">
        <v>25</v>
      </c>
      <c r="G303" s="4" t="s">
        <v>25</v>
      </c>
      <c r="H303" s="4" t="s">
        <v>36</v>
      </c>
      <c r="I303" s="5">
        <v>44835</v>
      </c>
      <c r="J303" s="6">
        <v>1262</v>
      </c>
      <c r="K303" s="6">
        <v>1262</v>
      </c>
      <c r="L303" s="6">
        <v>54.927</v>
      </c>
      <c r="M303" s="6">
        <v>54.927</v>
      </c>
      <c r="N303" s="6">
        <v>54.927</v>
      </c>
      <c r="O303" s="6">
        <v>54.927</v>
      </c>
      <c r="P303" s="6">
        <v>0</v>
      </c>
      <c r="Q303" s="4" t="s">
        <v>26</v>
      </c>
      <c r="R303" s="4">
        <v>0</v>
      </c>
      <c r="S303" s="4" t="s">
        <v>173</v>
      </c>
      <c r="T303" s="4" t="s">
        <v>514</v>
      </c>
      <c r="U303" s="4">
        <v>19</v>
      </c>
      <c r="V303" s="4">
        <v>21</v>
      </c>
      <c r="W303" s="4">
        <v>74</v>
      </c>
    </row>
    <row r="304" spans="1:23" ht="11.25" customHeight="1" x14ac:dyDescent="0.25">
      <c r="A304" s="4" t="s">
        <v>59</v>
      </c>
      <c r="B304" s="4" t="s">
        <v>41</v>
      </c>
      <c r="C304" s="4" t="s">
        <v>42</v>
      </c>
      <c r="D304" s="4" t="s">
        <v>40</v>
      </c>
      <c r="E304" s="4" t="s">
        <v>25</v>
      </c>
      <c r="F304" s="4" t="s">
        <v>25</v>
      </c>
      <c r="G304" s="4" t="s">
        <v>25</v>
      </c>
      <c r="H304" s="4" t="s">
        <v>36</v>
      </c>
      <c r="I304" s="5">
        <v>44866</v>
      </c>
      <c r="J304" s="6">
        <v>156</v>
      </c>
      <c r="K304" s="6">
        <v>156</v>
      </c>
      <c r="L304" s="6">
        <v>4.9740000000000002</v>
      </c>
      <c r="M304" s="6">
        <v>4.9740000000000002</v>
      </c>
      <c r="N304" s="6">
        <v>4.9740000000000002</v>
      </c>
      <c r="O304" s="6">
        <v>4.9740000000000002</v>
      </c>
      <c r="P304" s="6">
        <v>0</v>
      </c>
      <c r="Q304" s="4" t="s">
        <v>26</v>
      </c>
      <c r="R304" s="4">
        <v>0</v>
      </c>
      <c r="S304" s="4" t="s">
        <v>174</v>
      </c>
      <c r="T304" s="4" t="s">
        <v>515</v>
      </c>
      <c r="U304" s="4">
        <v>19</v>
      </c>
      <c r="V304" s="4">
        <v>21</v>
      </c>
      <c r="W304" s="4">
        <v>74</v>
      </c>
    </row>
    <row r="305" spans="1:23" ht="11.25" customHeight="1" x14ac:dyDescent="0.25">
      <c r="A305" s="4" t="s">
        <v>59</v>
      </c>
      <c r="B305" s="4" t="s">
        <v>41</v>
      </c>
      <c r="C305" s="4" t="s">
        <v>42</v>
      </c>
      <c r="D305" s="4" t="s">
        <v>40</v>
      </c>
      <c r="E305" s="4" t="s">
        <v>25</v>
      </c>
      <c r="F305" s="4" t="s">
        <v>25</v>
      </c>
      <c r="G305" s="4" t="s">
        <v>25</v>
      </c>
      <c r="H305" s="4" t="s">
        <v>36</v>
      </c>
      <c r="I305" s="5">
        <v>44866</v>
      </c>
      <c r="J305" s="6">
        <v>1262</v>
      </c>
      <c r="K305" s="6">
        <v>1262</v>
      </c>
      <c r="L305" s="6">
        <v>54.927</v>
      </c>
      <c r="M305" s="6">
        <v>54.927</v>
      </c>
      <c r="N305" s="6">
        <v>54.927</v>
      </c>
      <c r="O305" s="6">
        <v>54.927</v>
      </c>
      <c r="P305" s="6">
        <v>0</v>
      </c>
      <c r="Q305" s="4" t="s">
        <v>26</v>
      </c>
      <c r="R305" s="4">
        <v>0</v>
      </c>
      <c r="S305" s="4" t="s">
        <v>174</v>
      </c>
      <c r="T305" s="4" t="s">
        <v>515</v>
      </c>
      <c r="U305" s="4">
        <v>19</v>
      </c>
      <c r="V305" s="4">
        <v>21</v>
      </c>
      <c r="W305" s="4">
        <v>74</v>
      </c>
    </row>
    <row r="306" spans="1:23" ht="11.25" customHeight="1" x14ac:dyDescent="0.25">
      <c r="A306" s="4" t="s">
        <v>21</v>
      </c>
      <c r="B306" s="4" t="s">
        <v>41</v>
      </c>
      <c r="C306" s="4" t="s">
        <v>42</v>
      </c>
      <c r="D306" s="4" t="s">
        <v>48</v>
      </c>
      <c r="E306" s="4" t="s">
        <v>25</v>
      </c>
      <c r="F306" s="4" t="s">
        <v>25</v>
      </c>
      <c r="G306" s="4" t="s">
        <v>25</v>
      </c>
      <c r="H306" s="4" t="s">
        <v>37</v>
      </c>
      <c r="I306" s="5">
        <v>44531</v>
      </c>
      <c r="J306" s="6">
        <v>2389</v>
      </c>
      <c r="K306" s="6">
        <v>2389</v>
      </c>
      <c r="L306" s="6">
        <v>737.77300000000002</v>
      </c>
      <c r="M306" s="6">
        <v>737.77300000000002</v>
      </c>
      <c r="N306" s="6">
        <v>737.77300000000002</v>
      </c>
      <c r="O306" s="6">
        <v>737.77300000000002</v>
      </c>
      <c r="P306" s="6">
        <v>0</v>
      </c>
      <c r="Q306" s="4" t="s">
        <v>26</v>
      </c>
      <c r="R306" s="4">
        <v>0</v>
      </c>
      <c r="S306" s="4" t="s">
        <v>151</v>
      </c>
      <c r="T306" s="4" t="s">
        <v>492</v>
      </c>
      <c r="U306" s="4">
        <v>20</v>
      </c>
      <c r="V306" s="4">
        <v>21</v>
      </c>
      <c r="W306" s="4">
        <v>75</v>
      </c>
    </row>
    <row r="307" spans="1:23" ht="11.25" customHeight="1" x14ac:dyDescent="0.25">
      <c r="A307" s="4" t="s">
        <v>30</v>
      </c>
      <c r="B307" s="4" t="s">
        <v>41</v>
      </c>
      <c r="C307" s="4" t="s">
        <v>42</v>
      </c>
      <c r="D307" s="4" t="s">
        <v>48</v>
      </c>
      <c r="E307" s="4" t="s">
        <v>25</v>
      </c>
      <c r="F307" s="4" t="s">
        <v>25</v>
      </c>
      <c r="G307" s="4" t="s">
        <v>25</v>
      </c>
      <c r="H307" s="4" t="s">
        <v>37</v>
      </c>
      <c r="I307" s="5">
        <v>44531</v>
      </c>
      <c r="J307" s="6">
        <v>1140</v>
      </c>
      <c r="K307" s="6">
        <v>1140</v>
      </c>
      <c r="L307" s="6">
        <v>303.10000000000002</v>
      </c>
      <c r="M307" s="6">
        <v>303.10000000000002</v>
      </c>
      <c r="N307" s="6">
        <v>303.10000000000002</v>
      </c>
      <c r="O307" s="6">
        <v>303.10000000000002</v>
      </c>
      <c r="P307" s="6">
        <v>0</v>
      </c>
      <c r="Q307" s="4" t="s">
        <v>26</v>
      </c>
      <c r="R307" s="4">
        <v>0</v>
      </c>
      <c r="S307" s="4" t="s">
        <v>151</v>
      </c>
      <c r="T307" s="4" t="s">
        <v>492</v>
      </c>
      <c r="U307" s="4">
        <v>20</v>
      </c>
      <c r="V307" s="4">
        <v>21</v>
      </c>
      <c r="W307" s="4">
        <v>75</v>
      </c>
    </row>
    <row r="308" spans="1:23" ht="11.25" customHeight="1" x14ac:dyDescent="0.25">
      <c r="A308" s="4" t="s">
        <v>21</v>
      </c>
      <c r="B308" s="4" t="s">
        <v>41</v>
      </c>
      <c r="C308" s="4" t="s">
        <v>42</v>
      </c>
      <c r="D308" s="4" t="s">
        <v>48</v>
      </c>
      <c r="E308" s="4" t="s">
        <v>25</v>
      </c>
      <c r="F308" s="4" t="s">
        <v>25</v>
      </c>
      <c r="G308" s="4" t="s">
        <v>25</v>
      </c>
      <c r="H308" s="4" t="s">
        <v>37</v>
      </c>
      <c r="I308" s="5">
        <v>44562</v>
      </c>
      <c r="J308" s="6">
        <v>2463</v>
      </c>
      <c r="K308" s="6">
        <v>2463</v>
      </c>
      <c r="L308" s="6">
        <v>767.35500000000002</v>
      </c>
      <c r="M308" s="6">
        <v>767.35500000000002</v>
      </c>
      <c r="N308" s="6">
        <v>767.35500000000002</v>
      </c>
      <c r="O308" s="6">
        <v>767.35500000000002</v>
      </c>
      <c r="P308" s="6">
        <v>0</v>
      </c>
      <c r="Q308" s="4" t="s">
        <v>26</v>
      </c>
      <c r="R308" s="4">
        <v>0</v>
      </c>
      <c r="S308" s="4" t="s">
        <v>152</v>
      </c>
      <c r="T308" s="4" t="s">
        <v>493</v>
      </c>
      <c r="U308" s="4">
        <v>20</v>
      </c>
      <c r="V308" s="4">
        <v>21</v>
      </c>
      <c r="W308" s="4">
        <v>75</v>
      </c>
    </row>
    <row r="309" spans="1:23" ht="11.25" customHeight="1" x14ac:dyDescent="0.25">
      <c r="A309" s="4" t="s">
        <v>30</v>
      </c>
      <c r="B309" s="4" t="s">
        <v>41</v>
      </c>
      <c r="C309" s="4" t="s">
        <v>42</v>
      </c>
      <c r="D309" s="4" t="s">
        <v>48</v>
      </c>
      <c r="E309" s="4" t="s">
        <v>25</v>
      </c>
      <c r="F309" s="4" t="s">
        <v>25</v>
      </c>
      <c r="G309" s="4" t="s">
        <v>25</v>
      </c>
      <c r="H309" s="4" t="s">
        <v>37</v>
      </c>
      <c r="I309" s="5">
        <v>44562</v>
      </c>
      <c r="J309" s="6">
        <v>1140</v>
      </c>
      <c r="K309" s="6">
        <v>1140</v>
      </c>
      <c r="L309" s="6">
        <v>317.91800000000001</v>
      </c>
      <c r="M309" s="6">
        <v>317.91800000000001</v>
      </c>
      <c r="N309" s="6">
        <v>317.91800000000001</v>
      </c>
      <c r="O309" s="6">
        <v>317.91800000000001</v>
      </c>
      <c r="P309" s="6">
        <v>0</v>
      </c>
      <c r="Q309" s="4" t="s">
        <v>26</v>
      </c>
      <c r="R309" s="4">
        <v>0</v>
      </c>
      <c r="S309" s="4" t="s">
        <v>152</v>
      </c>
      <c r="T309" s="4" t="s">
        <v>493</v>
      </c>
      <c r="U309" s="4">
        <v>20</v>
      </c>
      <c r="V309" s="4">
        <v>21</v>
      </c>
      <c r="W309" s="4">
        <v>75</v>
      </c>
    </row>
    <row r="310" spans="1:23" ht="11.25" customHeight="1" x14ac:dyDescent="0.25">
      <c r="A310" s="4" t="s">
        <v>21</v>
      </c>
      <c r="B310" s="4" t="s">
        <v>41</v>
      </c>
      <c r="C310" s="4" t="s">
        <v>42</v>
      </c>
      <c r="D310" s="4" t="s">
        <v>48</v>
      </c>
      <c r="E310" s="4" t="s">
        <v>25</v>
      </c>
      <c r="F310" s="4" t="s">
        <v>25</v>
      </c>
      <c r="G310" s="4" t="s">
        <v>25</v>
      </c>
      <c r="H310" s="4" t="s">
        <v>37</v>
      </c>
      <c r="I310" s="5">
        <v>44593</v>
      </c>
      <c r="J310" s="6">
        <v>1682</v>
      </c>
      <c r="K310" s="6">
        <v>1682</v>
      </c>
      <c r="L310" s="6">
        <v>510.48700000000002</v>
      </c>
      <c r="M310" s="6">
        <v>510.48700000000002</v>
      </c>
      <c r="N310" s="6">
        <v>510.48700000000002</v>
      </c>
      <c r="O310" s="6">
        <v>510.48700000000002</v>
      </c>
      <c r="P310" s="6">
        <v>0</v>
      </c>
      <c r="Q310" s="4" t="s">
        <v>26</v>
      </c>
      <c r="R310" s="4">
        <v>0</v>
      </c>
      <c r="S310" s="4" t="s">
        <v>153</v>
      </c>
      <c r="T310" s="4" t="s">
        <v>494</v>
      </c>
      <c r="U310" s="4">
        <v>20</v>
      </c>
      <c r="V310" s="4">
        <v>21</v>
      </c>
      <c r="W310" s="4">
        <v>75</v>
      </c>
    </row>
    <row r="311" spans="1:23" ht="11.25" customHeight="1" x14ac:dyDescent="0.25">
      <c r="A311" s="4" t="s">
        <v>30</v>
      </c>
      <c r="B311" s="4" t="s">
        <v>41</v>
      </c>
      <c r="C311" s="4" t="s">
        <v>42</v>
      </c>
      <c r="D311" s="4" t="s">
        <v>48</v>
      </c>
      <c r="E311" s="4" t="s">
        <v>25</v>
      </c>
      <c r="F311" s="4" t="s">
        <v>25</v>
      </c>
      <c r="G311" s="4" t="s">
        <v>25</v>
      </c>
      <c r="H311" s="4" t="s">
        <v>37</v>
      </c>
      <c r="I311" s="5">
        <v>44593</v>
      </c>
      <c r="J311" s="6">
        <v>1140</v>
      </c>
      <c r="K311" s="6">
        <v>1140</v>
      </c>
      <c r="L311" s="6">
        <v>280.5</v>
      </c>
      <c r="M311" s="6">
        <v>280.5</v>
      </c>
      <c r="N311" s="6">
        <v>280.5</v>
      </c>
      <c r="O311" s="6">
        <v>280.5</v>
      </c>
      <c r="P311" s="6">
        <v>0</v>
      </c>
      <c r="Q311" s="4" t="s">
        <v>26</v>
      </c>
      <c r="R311" s="4">
        <v>0</v>
      </c>
      <c r="S311" s="4" t="s">
        <v>153</v>
      </c>
      <c r="T311" s="4" t="s">
        <v>494</v>
      </c>
      <c r="U311" s="4">
        <v>20</v>
      </c>
      <c r="V311" s="4">
        <v>21</v>
      </c>
      <c r="W311" s="4">
        <v>75</v>
      </c>
    </row>
    <row r="312" spans="1:23" ht="11.25" customHeight="1" x14ac:dyDescent="0.25">
      <c r="A312" s="4" t="s">
        <v>21</v>
      </c>
      <c r="B312" s="4" t="s">
        <v>41</v>
      </c>
      <c r="C312" s="4" t="s">
        <v>42</v>
      </c>
      <c r="D312" s="4" t="s">
        <v>48</v>
      </c>
      <c r="E312" s="4" t="s">
        <v>25</v>
      </c>
      <c r="F312" s="4" t="s">
        <v>25</v>
      </c>
      <c r="G312" s="4" t="s">
        <v>25</v>
      </c>
      <c r="H312" s="4" t="s">
        <v>37</v>
      </c>
      <c r="I312" s="5">
        <v>44621</v>
      </c>
      <c r="J312" s="6">
        <v>1705</v>
      </c>
      <c r="K312" s="6">
        <v>1705</v>
      </c>
      <c r="L312" s="6">
        <v>548.88099999999997</v>
      </c>
      <c r="M312" s="6">
        <v>548.88099999999997</v>
      </c>
      <c r="N312" s="6">
        <v>548.88099999999997</v>
      </c>
      <c r="O312" s="6">
        <v>548.88099999999997</v>
      </c>
      <c r="P312" s="6">
        <v>0</v>
      </c>
      <c r="Q312" s="4" t="s">
        <v>26</v>
      </c>
      <c r="R312" s="4">
        <v>0</v>
      </c>
      <c r="S312" s="4" t="s">
        <v>154</v>
      </c>
      <c r="T312" s="4" t="s">
        <v>495</v>
      </c>
      <c r="U312" s="4">
        <v>20</v>
      </c>
      <c r="V312" s="4">
        <v>21</v>
      </c>
      <c r="W312" s="4">
        <v>75</v>
      </c>
    </row>
    <row r="313" spans="1:23" ht="11.25" customHeight="1" x14ac:dyDescent="0.25">
      <c r="A313" s="4" t="s">
        <v>30</v>
      </c>
      <c r="B313" s="4" t="s">
        <v>41</v>
      </c>
      <c r="C313" s="4" t="s">
        <v>42</v>
      </c>
      <c r="D313" s="4" t="s">
        <v>48</v>
      </c>
      <c r="E313" s="4" t="s">
        <v>25</v>
      </c>
      <c r="F313" s="4" t="s">
        <v>25</v>
      </c>
      <c r="G313" s="4" t="s">
        <v>25</v>
      </c>
      <c r="H313" s="4" t="s">
        <v>37</v>
      </c>
      <c r="I313" s="5">
        <v>44621</v>
      </c>
      <c r="J313" s="6">
        <v>1140</v>
      </c>
      <c r="K313" s="6">
        <v>1140</v>
      </c>
      <c r="L313" s="6">
        <v>302.62700000000001</v>
      </c>
      <c r="M313" s="6">
        <v>302.62700000000001</v>
      </c>
      <c r="N313" s="6">
        <v>302.62700000000001</v>
      </c>
      <c r="O313" s="6">
        <v>302.62700000000001</v>
      </c>
      <c r="P313" s="6">
        <v>0</v>
      </c>
      <c r="Q313" s="4" t="s">
        <v>26</v>
      </c>
      <c r="R313" s="4">
        <v>0</v>
      </c>
      <c r="S313" s="4" t="s">
        <v>154</v>
      </c>
      <c r="T313" s="4" t="s">
        <v>495</v>
      </c>
      <c r="U313" s="4">
        <v>20</v>
      </c>
      <c r="V313" s="4">
        <v>21</v>
      </c>
      <c r="W313" s="4">
        <v>75</v>
      </c>
    </row>
    <row r="314" spans="1:23" ht="11.25" customHeight="1" x14ac:dyDescent="0.25">
      <c r="A314" s="4" t="s">
        <v>21</v>
      </c>
      <c r="B314" s="4" t="s">
        <v>41</v>
      </c>
      <c r="C314" s="4" t="s">
        <v>42</v>
      </c>
      <c r="D314" s="4" t="s">
        <v>48</v>
      </c>
      <c r="E314" s="4" t="s">
        <v>25</v>
      </c>
      <c r="F314" s="4" t="s">
        <v>25</v>
      </c>
      <c r="G314" s="4" t="s">
        <v>25</v>
      </c>
      <c r="H314" s="4" t="s">
        <v>37</v>
      </c>
      <c r="I314" s="5">
        <v>44652</v>
      </c>
      <c r="J314" s="6">
        <v>1703</v>
      </c>
      <c r="K314" s="6">
        <v>1703</v>
      </c>
      <c r="L314" s="6">
        <v>564.62199999999996</v>
      </c>
      <c r="M314" s="6">
        <v>564.62199999999996</v>
      </c>
      <c r="N314" s="6">
        <v>564.62199999999996</v>
      </c>
      <c r="O314" s="6">
        <v>564.62199999999996</v>
      </c>
      <c r="P314" s="6">
        <v>0</v>
      </c>
      <c r="Q314" s="4" t="s">
        <v>26</v>
      </c>
      <c r="R314" s="4">
        <v>0</v>
      </c>
      <c r="S314" s="4" t="s">
        <v>155</v>
      </c>
      <c r="T314" s="4" t="s">
        <v>496</v>
      </c>
      <c r="U314" s="4">
        <v>20</v>
      </c>
      <c r="V314" s="4">
        <v>21</v>
      </c>
      <c r="W314" s="4">
        <v>75</v>
      </c>
    </row>
    <row r="315" spans="1:23" ht="11.25" customHeight="1" x14ac:dyDescent="0.25">
      <c r="A315" s="4" t="s">
        <v>30</v>
      </c>
      <c r="B315" s="4" t="s">
        <v>41</v>
      </c>
      <c r="C315" s="4" t="s">
        <v>42</v>
      </c>
      <c r="D315" s="4" t="s">
        <v>48</v>
      </c>
      <c r="E315" s="4" t="s">
        <v>25</v>
      </c>
      <c r="F315" s="4" t="s">
        <v>25</v>
      </c>
      <c r="G315" s="4" t="s">
        <v>25</v>
      </c>
      <c r="H315" s="4" t="s">
        <v>37</v>
      </c>
      <c r="I315" s="5">
        <v>44652</v>
      </c>
      <c r="J315" s="6">
        <v>1140</v>
      </c>
      <c r="K315" s="6">
        <v>1140</v>
      </c>
      <c r="L315" s="6">
        <v>312.62200000000001</v>
      </c>
      <c r="M315" s="6">
        <v>312.62200000000001</v>
      </c>
      <c r="N315" s="6">
        <v>312.62200000000001</v>
      </c>
      <c r="O315" s="6">
        <v>312.62200000000001</v>
      </c>
      <c r="P315" s="6">
        <v>0</v>
      </c>
      <c r="Q315" s="4" t="s">
        <v>26</v>
      </c>
      <c r="R315" s="4">
        <v>0</v>
      </c>
      <c r="S315" s="4" t="s">
        <v>155</v>
      </c>
      <c r="T315" s="4" t="s">
        <v>496</v>
      </c>
      <c r="U315" s="4">
        <v>20</v>
      </c>
      <c r="V315" s="4">
        <v>21</v>
      </c>
      <c r="W315" s="4">
        <v>75</v>
      </c>
    </row>
    <row r="316" spans="1:23" ht="11.25" customHeight="1" x14ac:dyDescent="0.25">
      <c r="A316" s="4" t="s">
        <v>21</v>
      </c>
      <c r="B316" s="4" t="s">
        <v>41</v>
      </c>
      <c r="C316" s="4" t="s">
        <v>42</v>
      </c>
      <c r="D316" s="4" t="s">
        <v>48</v>
      </c>
      <c r="E316" s="4" t="s">
        <v>25</v>
      </c>
      <c r="F316" s="4" t="s">
        <v>25</v>
      </c>
      <c r="G316" s="4" t="s">
        <v>25</v>
      </c>
      <c r="H316" s="4" t="s">
        <v>37</v>
      </c>
      <c r="I316" s="5">
        <v>44682</v>
      </c>
      <c r="J316" s="6">
        <v>1703</v>
      </c>
      <c r="K316" s="6">
        <v>1703</v>
      </c>
      <c r="L316" s="6">
        <v>548.59100000000001</v>
      </c>
      <c r="M316" s="6">
        <v>548.59100000000001</v>
      </c>
      <c r="N316" s="6">
        <v>548.59100000000001</v>
      </c>
      <c r="O316" s="6">
        <v>548.59100000000001</v>
      </c>
      <c r="P316" s="6">
        <v>0</v>
      </c>
      <c r="Q316" s="4" t="s">
        <v>26</v>
      </c>
      <c r="R316" s="4">
        <v>0</v>
      </c>
      <c r="S316" s="4" t="s">
        <v>156</v>
      </c>
      <c r="T316" s="4" t="s">
        <v>497</v>
      </c>
      <c r="U316" s="4">
        <v>20</v>
      </c>
      <c r="V316" s="4">
        <v>21</v>
      </c>
      <c r="W316" s="4">
        <v>75</v>
      </c>
    </row>
    <row r="317" spans="1:23" ht="11.25" customHeight="1" x14ac:dyDescent="0.25">
      <c r="A317" s="4" t="s">
        <v>30</v>
      </c>
      <c r="B317" s="4" t="s">
        <v>41</v>
      </c>
      <c r="C317" s="4" t="s">
        <v>42</v>
      </c>
      <c r="D317" s="4" t="s">
        <v>48</v>
      </c>
      <c r="E317" s="4" t="s">
        <v>25</v>
      </c>
      <c r="F317" s="4" t="s">
        <v>25</v>
      </c>
      <c r="G317" s="4" t="s">
        <v>25</v>
      </c>
      <c r="H317" s="4" t="s">
        <v>37</v>
      </c>
      <c r="I317" s="5">
        <v>44682</v>
      </c>
      <c r="J317" s="6">
        <v>1140</v>
      </c>
      <c r="K317" s="6">
        <v>1140</v>
      </c>
      <c r="L317" s="6">
        <v>307.63900000000001</v>
      </c>
      <c r="M317" s="6">
        <v>307.63900000000001</v>
      </c>
      <c r="N317" s="6">
        <v>307.63900000000001</v>
      </c>
      <c r="O317" s="6">
        <v>307.63900000000001</v>
      </c>
      <c r="P317" s="6">
        <v>0</v>
      </c>
      <c r="Q317" s="4" t="s">
        <v>26</v>
      </c>
      <c r="R317" s="4">
        <v>0</v>
      </c>
      <c r="S317" s="4" t="s">
        <v>156</v>
      </c>
      <c r="T317" s="4" t="s">
        <v>497</v>
      </c>
      <c r="U317" s="4">
        <v>20</v>
      </c>
      <c r="V317" s="4">
        <v>21</v>
      </c>
      <c r="W317" s="4">
        <v>75</v>
      </c>
    </row>
    <row r="318" spans="1:23" ht="11.25" customHeight="1" x14ac:dyDescent="0.25">
      <c r="A318" s="4" t="s">
        <v>21</v>
      </c>
      <c r="B318" s="4" t="s">
        <v>41</v>
      </c>
      <c r="C318" s="4" t="s">
        <v>42</v>
      </c>
      <c r="D318" s="4" t="s">
        <v>48</v>
      </c>
      <c r="E318" s="4" t="s">
        <v>25</v>
      </c>
      <c r="F318" s="4" t="s">
        <v>25</v>
      </c>
      <c r="G318" s="4" t="s">
        <v>25</v>
      </c>
      <c r="H318" s="4" t="s">
        <v>37</v>
      </c>
      <c r="I318" s="5">
        <v>44713</v>
      </c>
      <c r="J318" s="6">
        <v>1688</v>
      </c>
      <c r="K318" s="6">
        <v>1688</v>
      </c>
      <c r="L318" s="6">
        <v>480.68799999999999</v>
      </c>
      <c r="M318" s="6">
        <v>480.68799999999999</v>
      </c>
      <c r="N318" s="6">
        <v>480.68799999999999</v>
      </c>
      <c r="O318" s="6">
        <v>480.68799999999999</v>
      </c>
      <c r="P318" s="6">
        <v>0</v>
      </c>
      <c r="Q318" s="4" t="s">
        <v>26</v>
      </c>
      <c r="R318" s="4">
        <v>0</v>
      </c>
      <c r="S318" s="4" t="s">
        <v>157</v>
      </c>
      <c r="T318" s="4" t="s">
        <v>498</v>
      </c>
      <c r="U318" s="4">
        <v>20</v>
      </c>
      <c r="V318" s="4">
        <v>21</v>
      </c>
      <c r="W318" s="4">
        <v>75</v>
      </c>
    </row>
    <row r="319" spans="1:23" ht="11.25" customHeight="1" x14ac:dyDescent="0.25">
      <c r="A319" s="4" t="s">
        <v>30</v>
      </c>
      <c r="B319" s="4" t="s">
        <v>41</v>
      </c>
      <c r="C319" s="4" t="s">
        <v>42</v>
      </c>
      <c r="D319" s="4" t="s">
        <v>48</v>
      </c>
      <c r="E319" s="4" t="s">
        <v>25</v>
      </c>
      <c r="F319" s="4" t="s">
        <v>25</v>
      </c>
      <c r="G319" s="4" t="s">
        <v>25</v>
      </c>
      <c r="H319" s="4" t="s">
        <v>37</v>
      </c>
      <c r="I319" s="5">
        <v>44713</v>
      </c>
      <c r="J319" s="6">
        <v>1140</v>
      </c>
      <c r="K319" s="6">
        <v>1140</v>
      </c>
      <c r="L319" s="6">
        <v>270.94299999999998</v>
      </c>
      <c r="M319" s="6">
        <v>270.94299999999998</v>
      </c>
      <c r="N319" s="6">
        <v>270.94299999999998</v>
      </c>
      <c r="O319" s="6">
        <v>270.94299999999998</v>
      </c>
      <c r="P319" s="6">
        <v>0</v>
      </c>
      <c r="Q319" s="4" t="s">
        <v>26</v>
      </c>
      <c r="R319" s="4">
        <v>0</v>
      </c>
      <c r="S319" s="4" t="s">
        <v>157</v>
      </c>
      <c r="T319" s="4" t="s">
        <v>498</v>
      </c>
      <c r="U319" s="4">
        <v>20</v>
      </c>
      <c r="V319" s="4">
        <v>21</v>
      </c>
      <c r="W319" s="4">
        <v>75</v>
      </c>
    </row>
    <row r="320" spans="1:23" ht="11.25" customHeight="1" x14ac:dyDescent="0.25">
      <c r="A320" s="4" t="s">
        <v>21</v>
      </c>
      <c r="B320" s="4" t="s">
        <v>41</v>
      </c>
      <c r="C320" s="4" t="s">
        <v>42</v>
      </c>
      <c r="D320" s="4" t="s">
        <v>48</v>
      </c>
      <c r="E320" s="4" t="s">
        <v>25</v>
      </c>
      <c r="F320" s="4" t="s">
        <v>25</v>
      </c>
      <c r="G320" s="4" t="s">
        <v>25</v>
      </c>
      <c r="H320" s="4" t="s">
        <v>37</v>
      </c>
      <c r="I320" s="5">
        <v>44743</v>
      </c>
      <c r="J320" s="6">
        <v>1720</v>
      </c>
      <c r="K320" s="6">
        <v>1720</v>
      </c>
      <c r="L320" s="6">
        <v>579.803</v>
      </c>
      <c r="M320" s="6">
        <v>579.803</v>
      </c>
      <c r="N320" s="6">
        <v>579.803</v>
      </c>
      <c r="O320" s="6">
        <v>579.803</v>
      </c>
      <c r="P320" s="6">
        <v>0</v>
      </c>
      <c r="Q320" s="4" t="s">
        <v>26</v>
      </c>
      <c r="R320" s="4">
        <v>0</v>
      </c>
      <c r="S320" s="4" t="s">
        <v>158</v>
      </c>
      <c r="T320" s="4" t="s">
        <v>499</v>
      </c>
      <c r="U320" s="4">
        <v>20</v>
      </c>
      <c r="V320" s="4">
        <v>21</v>
      </c>
      <c r="W320" s="4">
        <v>75</v>
      </c>
    </row>
    <row r="321" spans="1:23" ht="11.25" customHeight="1" x14ac:dyDescent="0.25">
      <c r="A321" s="4" t="s">
        <v>30</v>
      </c>
      <c r="B321" s="4" t="s">
        <v>41</v>
      </c>
      <c r="C321" s="4" t="s">
        <v>42</v>
      </c>
      <c r="D321" s="4" t="s">
        <v>48</v>
      </c>
      <c r="E321" s="4" t="s">
        <v>25</v>
      </c>
      <c r="F321" s="4" t="s">
        <v>25</v>
      </c>
      <c r="G321" s="4" t="s">
        <v>25</v>
      </c>
      <c r="H321" s="4" t="s">
        <v>37</v>
      </c>
      <c r="I321" s="5">
        <v>44743</v>
      </c>
      <c r="J321" s="6">
        <v>1140</v>
      </c>
      <c r="K321" s="6">
        <v>1140</v>
      </c>
      <c r="L321" s="6">
        <v>337.56599999999997</v>
      </c>
      <c r="M321" s="6">
        <v>337.56599999999997</v>
      </c>
      <c r="N321" s="6">
        <v>337.56599999999997</v>
      </c>
      <c r="O321" s="6">
        <v>337.56599999999997</v>
      </c>
      <c r="P321" s="6">
        <v>0</v>
      </c>
      <c r="Q321" s="4" t="s">
        <v>26</v>
      </c>
      <c r="R321" s="4">
        <v>0</v>
      </c>
      <c r="S321" s="4" t="s">
        <v>158</v>
      </c>
      <c r="T321" s="4" t="s">
        <v>499</v>
      </c>
      <c r="U321" s="4">
        <v>20</v>
      </c>
      <c r="V321" s="4">
        <v>21</v>
      </c>
      <c r="W321" s="4">
        <v>75</v>
      </c>
    </row>
    <row r="322" spans="1:23" ht="11.25" customHeight="1" x14ac:dyDescent="0.25">
      <c r="A322" s="4" t="s">
        <v>21</v>
      </c>
      <c r="B322" s="4" t="s">
        <v>41</v>
      </c>
      <c r="C322" s="4" t="s">
        <v>42</v>
      </c>
      <c r="D322" s="4" t="s">
        <v>48</v>
      </c>
      <c r="E322" s="4" t="s">
        <v>25</v>
      </c>
      <c r="F322" s="4" t="s">
        <v>25</v>
      </c>
      <c r="G322" s="4" t="s">
        <v>25</v>
      </c>
      <c r="H322" s="4" t="s">
        <v>37</v>
      </c>
      <c r="I322" s="5">
        <v>44774</v>
      </c>
      <c r="J322" s="6">
        <v>1744</v>
      </c>
      <c r="K322" s="6">
        <v>1744</v>
      </c>
      <c r="L322" s="6">
        <v>536.50900000000001</v>
      </c>
      <c r="M322" s="6">
        <v>536.50900000000001</v>
      </c>
      <c r="N322" s="6">
        <v>536.50900000000001</v>
      </c>
      <c r="O322" s="6">
        <v>536.50900000000001</v>
      </c>
      <c r="P322" s="6">
        <v>0</v>
      </c>
      <c r="Q322" s="4" t="s">
        <v>26</v>
      </c>
      <c r="R322" s="4">
        <v>0</v>
      </c>
      <c r="S322" s="4" t="s">
        <v>159</v>
      </c>
      <c r="T322" s="4" t="s">
        <v>500</v>
      </c>
      <c r="U322" s="4">
        <v>20</v>
      </c>
      <c r="V322" s="4">
        <v>21</v>
      </c>
      <c r="W322" s="4">
        <v>75</v>
      </c>
    </row>
    <row r="323" spans="1:23" ht="11.25" customHeight="1" x14ac:dyDescent="0.25">
      <c r="A323" s="4" t="s">
        <v>30</v>
      </c>
      <c r="B323" s="4" t="s">
        <v>41</v>
      </c>
      <c r="C323" s="4" t="s">
        <v>42</v>
      </c>
      <c r="D323" s="4" t="s">
        <v>48</v>
      </c>
      <c r="E323" s="4" t="s">
        <v>25</v>
      </c>
      <c r="F323" s="4" t="s">
        <v>25</v>
      </c>
      <c r="G323" s="4" t="s">
        <v>25</v>
      </c>
      <c r="H323" s="4" t="s">
        <v>37</v>
      </c>
      <c r="I323" s="5">
        <v>44774</v>
      </c>
      <c r="J323" s="6">
        <v>1140</v>
      </c>
      <c r="K323" s="6">
        <v>1140</v>
      </c>
      <c r="L323" s="6">
        <v>304.15899999999999</v>
      </c>
      <c r="M323" s="6">
        <v>304.15899999999999</v>
      </c>
      <c r="N323" s="6">
        <v>304.15899999999999</v>
      </c>
      <c r="O323" s="6">
        <v>304.15899999999999</v>
      </c>
      <c r="P323" s="6">
        <v>0</v>
      </c>
      <c r="Q323" s="4" t="s">
        <v>26</v>
      </c>
      <c r="R323" s="4">
        <v>0</v>
      </c>
      <c r="S323" s="4" t="s">
        <v>159</v>
      </c>
      <c r="T323" s="4" t="s">
        <v>500</v>
      </c>
      <c r="U323" s="4">
        <v>20</v>
      </c>
      <c r="V323" s="4">
        <v>21</v>
      </c>
      <c r="W323" s="4">
        <v>75</v>
      </c>
    </row>
    <row r="324" spans="1:23" ht="11.25" customHeight="1" x14ac:dyDescent="0.25">
      <c r="A324" s="4" t="s">
        <v>21</v>
      </c>
      <c r="B324" s="4" t="s">
        <v>41</v>
      </c>
      <c r="C324" s="4" t="s">
        <v>42</v>
      </c>
      <c r="D324" s="4" t="s">
        <v>48</v>
      </c>
      <c r="E324" s="4" t="s">
        <v>25</v>
      </c>
      <c r="F324" s="4" t="s">
        <v>25</v>
      </c>
      <c r="G324" s="4" t="s">
        <v>25</v>
      </c>
      <c r="H324" s="4" t="s">
        <v>37</v>
      </c>
      <c r="I324" s="5">
        <v>44805</v>
      </c>
      <c r="J324" s="6">
        <v>1811</v>
      </c>
      <c r="K324" s="6">
        <v>1811</v>
      </c>
      <c r="L324" s="6">
        <v>558.41399999999999</v>
      </c>
      <c r="M324" s="6">
        <v>558.41399999999999</v>
      </c>
      <c r="N324" s="6">
        <v>558.41399999999999</v>
      </c>
      <c r="O324" s="6">
        <v>558.41399999999999</v>
      </c>
      <c r="P324" s="6">
        <v>0</v>
      </c>
      <c r="Q324" s="4" t="s">
        <v>26</v>
      </c>
      <c r="R324" s="4">
        <v>0</v>
      </c>
      <c r="S324" s="4" t="s">
        <v>160</v>
      </c>
      <c r="T324" s="4" t="s">
        <v>501</v>
      </c>
      <c r="U324" s="4">
        <v>20</v>
      </c>
      <c r="V324" s="4">
        <v>21</v>
      </c>
      <c r="W324" s="4">
        <v>75</v>
      </c>
    </row>
    <row r="325" spans="1:23" ht="11.25" customHeight="1" x14ac:dyDescent="0.25">
      <c r="A325" s="4" t="s">
        <v>30</v>
      </c>
      <c r="B325" s="4" t="s">
        <v>41</v>
      </c>
      <c r="C325" s="4" t="s">
        <v>42</v>
      </c>
      <c r="D325" s="4" t="s">
        <v>48</v>
      </c>
      <c r="E325" s="4" t="s">
        <v>25</v>
      </c>
      <c r="F325" s="4" t="s">
        <v>25</v>
      </c>
      <c r="G325" s="4" t="s">
        <v>25</v>
      </c>
      <c r="H325" s="4" t="s">
        <v>37</v>
      </c>
      <c r="I325" s="5">
        <v>44805</v>
      </c>
      <c r="J325" s="6">
        <v>1140</v>
      </c>
      <c r="K325" s="6">
        <v>1140</v>
      </c>
      <c r="L325" s="6">
        <v>319.80399999999997</v>
      </c>
      <c r="M325" s="6">
        <v>319.80399999999997</v>
      </c>
      <c r="N325" s="6">
        <v>319.80399999999997</v>
      </c>
      <c r="O325" s="6">
        <v>319.80399999999997</v>
      </c>
      <c r="P325" s="6">
        <v>0</v>
      </c>
      <c r="Q325" s="4" t="s">
        <v>26</v>
      </c>
      <c r="R325" s="4">
        <v>0</v>
      </c>
      <c r="S325" s="4" t="s">
        <v>160</v>
      </c>
      <c r="T325" s="4" t="s">
        <v>501</v>
      </c>
      <c r="U325" s="4">
        <v>20</v>
      </c>
      <c r="V325" s="4">
        <v>21</v>
      </c>
      <c r="W325" s="4">
        <v>75</v>
      </c>
    </row>
    <row r="326" spans="1:23" ht="11.25" customHeight="1" x14ac:dyDescent="0.25">
      <c r="A326" s="4" t="s">
        <v>21</v>
      </c>
      <c r="B326" s="4" t="s">
        <v>41</v>
      </c>
      <c r="C326" s="4" t="s">
        <v>42</v>
      </c>
      <c r="D326" s="4" t="s">
        <v>48</v>
      </c>
      <c r="E326" s="4" t="s">
        <v>25</v>
      </c>
      <c r="F326" s="4" t="s">
        <v>25</v>
      </c>
      <c r="G326" s="4" t="s">
        <v>25</v>
      </c>
      <c r="H326" s="4" t="s">
        <v>37</v>
      </c>
      <c r="I326" s="5">
        <v>44835</v>
      </c>
      <c r="J326" s="6">
        <v>1764</v>
      </c>
      <c r="K326" s="6">
        <v>1764</v>
      </c>
      <c r="L326" s="6">
        <v>600.80999999999995</v>
      </c>
      <c r="M326" s="6">
        <v>600.80999999999995</v>
      </c>
      <c r="N326" s="6">
        <v>600.80999999999995</v>
      </c>
      <c r="O326" s="6">
        <v>600.80999999999995</v>
      </c>
      <c r="P326" s="6">
        <v>0</v>
      </c>
      <c r="Q326" s="4" t="s">
        <v>26</v>
      </c>
      <c r="R326" s="4">
        <v>0</v>
      </c>
      <c r="S326" s="4" t="s">
        <v>161</v>
      </c>
      <c r="T326" s="4" t="s">
        <v>502</v>
      </c>
      <c r="U326" s="4">
        <v>20</v>
      </c>
      <c r="V326" s="4">
        <v>21</v>
      </c>
      <c r="W326" s="4">
        <v>75</v>
      </c>
    </row>
    <row r="327" spans="1:23" ht="11.25" customHeight="1" x14ac:dyDescent="0.25">
      <c r="A327" s="4" t="s">
        <v>30</v>
      </c>
      <c r="B327" s="4" t="s">
        <v>41</v>
      </c>
      <c r="C327" s="4" t="s">
        <v>42</v>
      </c>
      <c r="D327" s="4" t="s">
        <v>48</v>
      </c>
      <c r="E327" s="4" t="s">
        <v>25</v>
      </c>
      <c r="F327" s="4" t="s">
        <v>25</v>
      </c>
      <c r="G327" s="4" t="s">
        <v>25</v>
      </c>
      <c r="H327" s="4" t="s">
        <v>37</v>
      </c>
      <c r="I327" s="5">
        <v>44835</v>
      </c>
      <c r="J327" s="6">
        <v>1140</v>
      </c>
      <c r="K327" s="6">
        <v>1140</v>
      </c>
      <c r="L327" s="6">
        <v>338.12</v>
      </c>
      <c r="M327" s="6">
        <v>338.12</v>
      </c>
      <c r="N327" s="6">
        <v>338.12</v>
      </c>
      <c r="O327" s="6">
        <v>338.12</v>
      </c>
      <c r="P327" s="6">
        <v>0</v>
      </c>
      <c r="Q327" s="4" t="s">
        <v>26</v>
      </c>
      <c r="R327" s="4">
        <v>0</v>
      </c>
      <c r="S327" s="4" t="s">
        <v>161</v>
      </c>
      <c r="T327" s="4" t="s">
        <v>502</v>
      </c>
      <c r="U327" s="4">
        <v>20</v>
      </c>
      <c r="V327" s="4">
        <v>21</v>
      </c>
      <c r="W327" s="4">
        <v>75</v>
      </c>
    </row>
    <row r="328" spans="1:23" ht="11.25" customHeight="1" x14ac:dyDescent="0.25">
      <c r="A328" s="4" t="s">
        <v>59</v>
      </c>
      <c r="B328" s="4" t="s">
        <v>41</v>
      </c>
      <c r="C328" s="4" t="s">
        <v>42</v>
      </c>
      <c r="D328" s="4" t="s">
        <v>48</v>
      </c>
      <c r="E328" s="4" t="s">
        <v>25</v>
      </c>
      <c r="F328" s="4" t="s">
        <v>25</v>
      </c>
      <c r="G328" s="4" t="s">
        <v>25</v>
      </c>
      <c r="H328" s="4" t="s">
        <v>37</v>
      </c>
      <c r="I328" s="5">
        <v>44866</v>
      </c>
      <c r="J328" s="6">
        <v>1764</v>
      </c>
      <c r="K328" s="6">
        <v>1764</v>
      </c>
      <c r="L328" s="6">
        <v>600.80999999999995</v>
      </c>
      <c r="M328" s="6">
        <v>600.80999999999995</v>
      </c>
      <c r="N328" s="6">
        <v>600.80999999999995</v>
      </c>
      <c r="O328" s="6">
        <v>600.80999999999995</v>
      </c>
      <c r="P328" s="6">
        <v>0</v>
      </c>
      <c r="Q328" s="4" t="s">
        <v>26</v>
      </c>
      <c r="R328" s="4">
        <v>0</v>
      </c>
      <c r="S328" s="4" t="s">
        <v>162</v>
      </c>
      <c r="T328" s="4" t="s">
        <v>503</v>
      </c>
      <c r="U328" s="4">
        <v>20</v>
      </c>
      <c r="V328" s="4">
        <v>21</v>
      </c>
      <c r="W328" s="4">
        <v>75</v>
      </c>
    </row>
    <row r="329" spans="1:23" ht="11.25" customHeight="1" x14ac:dyDescent="0.25">
      <c r="A329" s="4" t="s">
        <v>59</v>
      </c>
      <c r="B329" s="4" t="s">
        <v>41</v>
      </c>
      <c r="C329" s="4" t="s">
        <v>42</v>
      </c>
      <c r="D329" s="4" t="s">
        <v>48</v>
      </c>
      <c r="E329" s="4" t="s">
        <v>25</v>
      </c>
      <c r="F329" s="4" t="s">
        <v>25</v>
      </c>
      <c r="G329" s="4" t="s">
        <v>25</v>
      </c>
      <c r="H329" s="4" t="s">
        <v>37</v>
      </c>
      <c r="I329" s="5">
        <v>44866</v>
      </c>
      <c r="J329" s="6">
        <v>1140</v>
      </c>
      <c r="K329" s="6">
        <v>1140</v>
      </c>
      <c r="L329" s="6">
        <v>338.12</v>
      </c>
      <c r="M329" s="6">
        <v>338.12</v>
      </c>
      <c r="N329" s="6">
        <v>338.12</v>
      </c>
      <c r="O329" s="6">
        <v>338.12</v>
      </c>
      <c r="P329" s="6">
        <v>0</v>
      </c>
      <c r="Q329" s="4" t="s">
        <v>26</v>
      </c>
      <c r="R329" s="4">
        <v>0</v>
      </c>
      <c r="S329" s="4" t="s">
        <v>162</v>
      </c>
      <c r="T329" s="4" t="s">
        <v>503</v>
      </c>
      <c r="U329" s="4">
        <v>20</v>
      </c>
      <c r="V329" s="4">
        <v>21</v>
      </c>
      <c r="W329" s="4">
        <v>75</v>
      </c>
    </row>
    <row r="330" spans="1:23" ht="11.25" customHeight="1" x14ac:dyDescent="0.25">
      <c r="A330" s="4" t="s">
        <v>21</v>
      </c>
      <c r="B330" s="4" t="s">
        <v>41</v>
      </c>
      <c r="C330" s="4" t="s">
        <v>42</v>
      </c>
      <c r="D330" s="4" t="s">
        <v>48</v>
      </c>
      <c r="E330" s="4" t="s">
        <v>25</v>
      </c>
      <c r="F330" s="4" t="s">
        <v>25</v>
      </c>
      <c r="G330" s="4" t="s">
        <v>25</v>
      </c>
      <c r="H330" s="4" t="s">
        <v>36</v>
      </c>
      <c r="I330" s="5">
        <v>44531</v>
      </c>
      <c r="J330" s="6">
        <v>2047</v>
      </c>
      <c r="K330" s="6">
        <v>2047</v>
      </c>
      <c r="L330" s="6">
        <v>67.457999999999998</v>
      </c>
      <c r="M330" s="6">
        <v>67.457999999999998</v>
      </c>
      <c r="N330" s="6">
        <v>67.457999999999998</v>
      </c>
      <c r="O330" s="6">
        <v>67.457999999999998</v>
      </c>
      <c r="P330" s="6">
        <v>0</v>
      </c>
      <c r="Q330" s="4" t="s">
        <v>26</v>
      </c>
      <c r="R330" s="4">
        <v>0</v>
      </c>
      <c r="S330" s="4" t="s">
        <v>163</v>
      </c>
      <c r="T330" s="4" t="s">
        <v>504</v>
      </c>
      <c r="U330" s="4">
        <v>19</v>
      </c>
      <c r="V330" s="4">
        <v>21</v>
      </c>
      <c r="W330" s="4">
        <v>74</v>
      </c>
    </row>
    <row r="331" spans="1:23" ht="11.25" customHeight="1" x14ac:dyDescent="0.25">
      <c r="A331" s="4" t="s">
        <v>30</v>
      </c>
      <c r="B331" s="4" t="s">
        <v>41</v>
      </c>
      <c r="C331" s="4" t="s">
        <v>42</v>
      </c>
      <c r="D331" s="4" t="s">
        <v>48</v>
      </c>
      <c r="E331" s="4" t="s">
        <v>25</v>
      </c>
      <c r="F331" s="4" t="s">
        <v>25</v>
      </c>
      <c r="G331" s="4" t="s">
        <v>25</v>
      </c>
      <c r="H331" s="4" t="s">
        <v>36</v>
      </c>
      <c r="I331" s="5">
        <v>44531</v>
      </c>
      <c r="J331" s="6">
        <v>740</v>
      </c>
      <c r="K331" s="6">
        <v>740</v>
      </c>
      <c r="L331" s="6">
        <v>27.3</v>
      </c>
      <c r="M331" s="6">
        <v>27.3</v>
      </c>
      <c r="N331" s="6">
        <v>27.3</v>
      </c>
      <c r="O331" s="6">
        <v>27.3</v>
      </c>
      <c r="P331" s="6">
        <v>0</v>
      </c>
      <c r="Q331" s="4" t="s">
        <v>26</v>
      </c>
      <c r="R331" s="4">
        <v>0</v>
      </c>
      <c r="S331" s="4" t="s">
        <v>163</v>
      </c>
      <c r="T331" s="4" t="s">
        <v>504</v>
      </c>
      <c r="U331" s="4">
        <v>19</v>
      </c>
      <c r="V331" s="4">
        <v>21</v>
      </c>
      <c r="W331" s="4">
        <v>74</v>
      </c>
    </row>
    <row r="332" spans="1:23" ht="11.25" customHeight="1" x14ac:dyDescent="0.25">
      <c r="A332" s="4" t="s">
        <v>21</v>
      </c>
      <c r="B332" s="4" t="s">
        <v>41</v>
      </c>
      <c r="C332" s="4" t="s">
        <v>42</v>
      </c>
      <c r="D332" s="4" t="s">
        <v>48</v>
      </c>
      <c r="E332" s="4" t="s">
        <v>25</v>
      </c>
      <c r="F332" s="4" t="s">
        <v>25</v>
      </c>
      <c r="G332" s="4" t="s">
        <v>25</v>
      </c>
      <c r="H332" s="4" t="s">
        <v>36</v>
      </c>
      <c r="I332" s="5">
        <v>44562</v>
      </c>
      <c r="J332" s="6">
        <v>2013</v>
      </c>
      <c r="K332" s="6">
        <v>2013</v>
      </c>
      <c r="L332" s="6">
        <v>65.040999999999997</v>
      </c>
      <c r="M332" s="6">
        <v>65.040999999999997</v>
      </c>
      <c r="N332" s="6">
        <v>65.040999999999997</v>
      </c>
      <c r="O332" s="6">
        <v>65.040999999999997</v>
      </c>
      <c r="P332" s="6">
        <v>0</v>
      </c>
      <c r="Q332" s="4" t="s">
        <v>26</v>
      </c>
      <c r="R332" s="4">
        <v>0</v>
      </c>
      <c r="S332" s="4" t="s">
        <v>164</v>
      </c>
      <c r="T332" s="4" t="s">
        <v>505</v>
      </c>
      <c r="U332" s="4">
        <v>19</v>
      </c>
      <c r="V332" s="4">
        <v>21</v>
      </c>
      <c r="W332" s="4">
        <v>74</v>
      </c>
    </row>
    <row r="333" spans="1:23" ht="11.25" customHeight="1" x14ac:dyDescent="0.25">
      <c r="A333" s="4" t="s">
        <v>30</v>
      </c>
      <c r="B333" s="4" t="s">
        <v>41</v>
      </c>
      <c r="C333" s="4" t="s">
        <v>42</v>
      </c>
      <c r="D333" s="4" t="s">
        <v>48</v>
      </c>
      <c r="E333" s="4" t="s">
        <v>25</v>
      </c>
      <c r="F333" s="4" t="s">
        <v>25</v>
      </c>
      <c r="G333" s="4" t="s">
        <v>25</v>
      </c>
      <c r="H333" s="4" t="s">
        <v>36</v>
      </c>
      <c r="I333" s="5">
        <v>44562</v>
      </c>
      <c r="J333" s="6">
        <v>740</v>
      </c>
      <c r="K333" s="6">
        <v>740</v>
      </c>
      <c r="L333" s="6">
        <v>26.396999999999998</v>
      </c>
      <c r="M333" s="6">
        <v>26.396999999999998</v>
      </c>
      <c r="N333" s="6">
        <v>26.396999999999998</v>
      </c>
      <c r="O333" s="6">
        <v>26.396999999999998</v>
      </c>
      <c r="P333" s="6">
        <v>0</v>
      </c>
      <c r="Q333" s="4" t="s">
        <v>26</v>
      </c>
      <c r="R333" s="4">
        <v>0</v>
      </c>
      <c r="S333" s="4" t="s">
        <v>164</v>
      </c>
      <c r="T333" s="4" t="s">
        <v>505</v>
      </c>
      <c r="U333" s="4">
        <v>19</v>
      </c>
      <c r="V333" s="4">
        <v>21</v>
      </c>
      <c r="W333" s="4">
        <v>74</v>
      </c>
    </row>
    <row r="334" spans="1:23" ht="11.25" customHeight="1" x14ac:dyDescent="0.25">
      <c r="A334" s="4" t="s">
        <v>21</v>
      </c>
      <c r="B334" s="4" t="s">
        <v>41</v>
      </c>
      <c r="C334" s="4" t="s">
        <v>42</v>
      </c>
      <c r="D334" s="4" t="s">
        <v>48</v>
      </c>
      <c r="E334" s="4" t="s">
        <v>25</v>
      </c>
      <c r="F334" s="4" t="s">
        <v>25</v>
      </c>
      <c r="G334" s="4" t="s">
        <v>25</v>
      </c>
      <c r="H334" s="4" t="s">
        <v>36</v>
      </c>
      <c r="I334" s="5">
        <v>44593</v>
      </c>
      <c r="J334" s="6">
        <v>1414</v>
      </c>
      <c r="K334" s="6">
        <v>1414</v>
      </c>
      <c r="L334" s="6">
        <v>51.313000000000002</v>
      </c>
      <c r="M334" s="6">
        <v>51.313000000000002</v>
      </c>
      <c r="N334" s="6">
        <v>51.313000000000002</v>
      </c>
      <c r="O334" s="6">
        <v>51.313000000000002</v>
      </c>
      <c r="P334" s="6">
        <v>0</v>
      </c>
      <c r="Q334" s="4" t="s">
        <v>26</v>
      </c>
      <c r="R334" s="4">
        <v>0</v>
      </c>
      <c r="S334" s="4" t="s">
        <v>165</v>
      </c>
      <c r="T334" s="4" t="s">
        <v>506</v>
      </c>
      <c r="U334" s="4">
        <v>19</v>
      </c>
      <c r="V334" s="4">
        <v>21</v>
      </c>
      <c r="W334" s="4">
        <v>74</v>
      </c>
    </row>
    <row r="335" spans="1:23" ht="11.25" customHeight="1" x14ac:dyDescent="0.25">
      <c r="A335" s="4" t="s">
        <v>30</v>
      </c>
      <c r="B335" s="4" t="s">
        <v>41</v>
      </c>
      <c r="C335" s="4" t="s">
        <v>42</v>
      </c>
      <c r="D335" s="4" t="s">
        <v>48</v>
      </c>
      <c r="E335" s="4" t="s">
        <v>25</v>
      </c>
      <c r="F335" s="4" t="s">
        <v>25</v>
      </c>
      <c r="G335" s="4" t="s">
        <v>25</v>
      </c>
      <c r="H335" s="4" t="s">
        <v>36</v>
      </c>
      <c r="I335" s="5">
        <v>44593</v>
      </c>
      <c r="J335" s="6">
        <v>740</v>
      </c>
      <c r="K335" s="6">
        <v>740</v>
      </c>
      <c r="L335" s="6">
        <v>23.911999999999999</v>
      </c>
      <c r="M335" s="6">
        <v>23.911999999999999</v>
      </c>
      <c r="N335" s="6">
        <v>23.911999999999999</v>
      </c>
      <c r="O335" s="6">
        <v>23.911999999999999</v>
      </c>
      <c r="P335" s="6">
        <v>0</v>
      </c>
      <c r="Q335" s="4" t="s">
        <v>26</v>
      </c>
      <c r="R335" s="4">
        <v>0</v>
      </c>
      <c r="S335" s="4" t="s">
        <v>165</v>
      </c>
      <c r="T335" s="4" t="s">
        <v>506</v>
      </c>
      <c r="U335" s="4">
        <v>19</v>
      </c>
      <c r="V335" s="4">
        <v>21</v>
      </c>
      <c r="W335" s="4">
        <v>74</v>
      </c>
    </row>
    <row r="336" spans="1:23" ht="11.25" customHeight="1" x14ac:dyDescent="0.25">
      <c r="A336" s="4" t="s">
        <v>21</v>
      </c>
      <c r="B336" s="4" t="s">
        <v>41</v>
      </c>
      <c r="C336" s="4" t="s">
        <v>42</v>
      </c>
      <c r="D336" s="4" t="s">
        <v>48</v>
      </c>
      <c r="E336" s="4" t="s">
        <v>25</v>
      </c>
      <c r="F336" s="4" t="s">
        <v>25</v>
      </c>
      <c r="G336" s="4" t="s">
        <v>25</v>
      </c>
      <c r="H336" s="4" t="s">
        <v>36</v>
      </c>
      <c r="I336" s="5">
        <v>44621</v>
      </c>
      <c r="J336" s="6">
        <v>1408</v>
      </c>
      <c r="K336" s="6">
        <v>1408</v>
      </c>
      <c r="L336" s="6">
        <v>53.42</v>
      </c>
      <c r="M336" s="6">
        <v>53.42</v>
      </c>
      <c r="N336" s="6">
        <v>53.42</v>
      </c>
      <c r="O336" s="6">
        <v>53.42</v>
      </c>
      <c r="P336" s="6">
        <v>0</v>
      </c>
      <c r="Q336" s="4" t="s">
        <v>26</v>
      </c>
      <c r="R336" s="4">
        <v>0</v>
      </c>
      <c r="S336" s="4" t="s">
        <v>166</v>
      </c>
      <c r="T336" s="4" t="s">
        <v>507</v>
      </c>
      <c r="U336" s="4">
        <v>19</v>
      </c>
      <c r="V336" s="4">
        <v>21</v>
      </c>
      <c r="W336" s="4">
        <v>74</v>
      </c>
    </row>
    <row r="337" spans="1:23" ht="11.25" customHeight="1" x14ac:dyDescent="0.25">
      <c r="A337" s="4" t="s">
        <v>30</v>
      </c>
      <c r="B337" s="4" t="s">
        <v>41</v>
      </c>
      <c r="C337" s="4" t="s">
        <v>42</v>
      </c>
      <c r="D337" s="4" t="s">
        <v>48</v>
      </c>
      <c r="E337" s="4" t="s">
        <v>25</v>
      </c>
      <c r="F337" s="4" t="s">
        <v>25</v>
      </c>
      <c r="G337" s="4" t="s">
        <v>25</v>
      </c>
      <c r="H337" s="4" t="s">
        <v>36</v>
      </c>
      <c r="I337" s="5">
        <v>44621</v>
      </c>
      <c r="J337" s="6">
        <v>740</v>
      </c>
      <c r="K337" s="6">
        <v>740</v>
      </c>
      <c r="L337" s="6">
        <v>26.34</v>
      </c>
      <c r="M337" s="6">
        <v>26.34</v>
      </c>
      <c r="N337" s="6">
        <v>26.34</v>
      </c>
      <c r="O337" s="6">
        <v>26.34</v>
      </c>
      <c r="P337" s="6">
        <v>0</v>
      </c>
      <c r="Q337" s="4" t="s">
        <v>26</v>
      </c>
      <c r="R337" s="4">
        <v>0</v>
      </c>
      <c r="S337" s="4" t="s">
        <v>166</v>
      </c>
      <c r="T337" s="4" t="s">
        <v>507</v>
      </c>
      <c r="U337" s="4">
        <v>19</v>
      </c>
      <c r="V337" s="4">
        <v>21</v>
      </c>
      <c r="W337" s="4">
        <v>74</v>
      </c>
    </row>
    <row r="338" spans="1:23" ht="11.25" customHeight="1" x14ac:dyDescent="0.25">
      <c r="A338" s="4" t="s">
        <v>21</v>
      </c>
      <c r="B338" s="4" t="s">
        <v>41</v>
      </c>
      <c r="C338" s="4" t="s">
        <v>42</v>
      </c>
      <c r="D338" s="4" t="s">
        <v>48</v>
      </c>
      <c r="E338" s="4" t="s">
        <v>25</v>
      </c>
      <c r="F338" s="4" t="s">
        <v>25</v>
      </c>
      <c r="G338" s="4" t="s">
        <v>25</v>
      </c>
      <c r="H338" s="4" t="s">
        <v>36</v>
      </c>
      <c r="I338" s="5">
        <v>44652</v>
      </c>
      <c r="J338" s="6">
        <v>1386</v>
      </c>
      <c r="K338" s="6">
        <v>1386</v>
      </c>
      <c r="L338" s="6">
        <v>49.207000000000001</v>
      </c>
      <c r="M338" s="6">
        <v>49.207000000000001</v>
      </c>
      <c r="N338" s="6">
        <v>49.207000000000001</v>
      </c>
      <c r="O338" s="6">
        <v>49.207000000000001</v>
      </c>
      <c r="P338" s="6">
        <v>0</v>
      </c>
      <c r="Q338" s="4" t="s">
        <v>26</v>
      </c>
      <c r="R338" s="4">
        <v>0</v>
      </c>
      <c r="S338" s="4" t="s">
        <v>167</v>
      </c>
      <c r="T338" s="4" t="s">
        <v>508</v>
      </c>
      <c r="U338" s="4">
        <v>19</v>
      </c>
      <c r="V338" s="4">
        <v>21</v>
      </c>
      <c r="W338" s="4">
        <v>74</v>
      </c>
    </row>
    <row r="339" spans="1:23" ht="11.25" customHeight="1" x14ac:dyDescent="0.25">
      <c r="A339" s="4" t="s">
        <v>30</v>
      </c>
      <c r="B339" s="4" t="s">
        <v>41</v>
      </c>
      <c r="C339" s="4" t="s">
        <v>42</v>
      </c>
      <c r="D339" s="4" t="s">
        <v>48</v>
      </c>
      <c r="E339" s="4" t="s">
        <v>25</v>
      </c>
      <c r="F339" s="4" t="s">
        <v>25</v>
      </c>
      <c r="G339" s="4" t="s">
        <v>25</v>
      </c>
      <c r="H339" s="4" t="s">
        <v>36</v>
      </c>
      <c r="I339" s="5">
        <v>44652</v>
      </c>
      <c r="J339" s="6">
        <v>740</v>
      </c>
      <c r="K339" s="6">
        <v>740</v>
      </c>
      <c r="L339" s="6">
        <v>24.145</v>
      </c>
      <c r="M339" s="6">
        <v>24.145</v>
      </c>
      <c r="N339" s="6">
        <v>24.145</v>
      </c>
      <c r="O339" s="6">
        <v>24.145</v>
      </c>
      <c r="P339" s="6">
        <v>0</v>
      </c>
      <c r="Q339" s="4" t="s">
        <v>26</v>
      </c>
      <c r="R339" s="4">
        <v>0</v>
      </c>
      <c r="S339" s="4" t="s">
        <v>167</v>
      </c>
      <c r="T339" s="4" t="s">
        <v>508</v>
      </c>
      <c r="U339" s="4">
        <v>19</v>
      </c>
      <c r="V339" s="4">
        <v>21</v>
      </c>
      <c r="W339" s="4">
        <v>74</v>
      </c>
    </row>
    <row r="340" spans="1:23" ht="11.25" customHeight="1" x14ac:dyDescent="0.25">
      <c r="A340" s="4" t="s">
        <v>21</v>
      </c>
      <c r="B340" s="4" t="s">
        <v>41</v>
      </c>
      <c r="C340" s="4" t="s">
        <v>42</v>
      </c>
      <c r="D340" s="4" t="s">
        <v>48</v>
      </c>
      <c r="E340" s="4" t="s">
        <v>25</v>
      </c>
      <c r="F340" s="4" t="s">
        <v>25</v>
      </c>
      <c r="G340" s="4" t="s">
        <v>25</v>
      </c>
      <c r="H340" s="4" t="s">
        <v>36</v>
      </c>
      <c r="I340" s="5">
        <v>44682</v>
      </c>
      <c r="J340" s="6">
        <v>1387</v>
      </c>
      <c r="K340" s="6">
        <v>1387</v>
      </c>
      <c r="L340" s="6">
        <v>52.664999999999999</v>
      </c>
      <c r="M340" s="6">
        <v>52.664999999999999</v>
      </c>
      <c r="N340" s="6">
        <v>52.664999999999999</v>
      </c>
      <c r="O340" s="6">
        <v>52.664999999999999</v>
      </c>
      <c r="P340" s="6">
        <v>0</v>
      </c>
      <c r="Q340" s="4" t="s">
        <v>26</v>
      </c>
      <c r="R340" s="4">
        <v>0</v>
      </c>
      <c r="S340" s="4" t="s">
        <v>168</v>
      </c>
      <c r="T340" s="4" t="s">
        <v>509</v>
      </c>
      <c r="U340" s="4">
        <v>19</v>
      </c>
      <c r="V340" s="4">
        <v>21</v>
      </c>
      <c r="W340" s="4">
        <v>74</v>
      </c>
    </row>
    <row r="341" spans="1:23" ht="11.25" customHeight="1" x14ac:dyDescent="0.25">
      <c r="A341" s="4" t="s">
        <v>30</v>
      </c>
      <c r="B341" s="4" t="s">
        <v>41</v>
      </c>
      <c r="C341" s="4" t="s">
        <v>42</v>
      </c>
      <c r="D341" s="4" t="s">
        <v>48</v>
      </c>
      <c r="E341" s="4" t="s">
        <v>25</v>
      </c>
      <c r="F341" s="4" t="s">
        <v>25</v>
      </c>
      <c r="G341" s="4" t="s">
        <v>25</v>
      </c>
      <c r="H341" s="4" t="s">
        <v>36</v>
      </c>
      <c r="I341" s="5">
        <v>44682</v>
      </c>
      <c r="J341" s="6">
        <v>740</v>
      </c>
      <c r="K341" s="6">
        <v>740</v>
      </c>
      <c r="L341" s="6">
        <v>26.248999999999999</v>
      </c>
      <c r="M341" s="6">
        <v>26.248999999999999</v>
      </c>
      <c r="N341" s="6">
        <v>26.248999999999999</v>
      </c>
      <c r="O341" s="6">
        <v>26.248999999999999</v>
      </c>
      <c r="P341" s="6">
        <v>0</v>
      </c>
      <c r="Q341" s="4" t="s">
        <v>26</v>
      </c>
      <c r="R341" s="4">
        <v>0</v>
      </c>
      <c r="S341" s="4" t="s">
        <v>168</v>
      </c>
      <c r="T341" s="4" t="s">
        <v>509</v>
      </c>
      <c r="U341" s="4">
        <v>19</v>
      </c>
      <c r="V341" s="4">
        <v>21</v>
      </c>
      <c r="W341" s="4">
        <v>74</v>
      </c>
    </row>
    <row r="342" spans="1:23" ht="11.25" customHeight="1" x14ac:dyDescent="0.25">
      <c r="A342" s="4" t="s">
        <v>21</v>
      </c>
      <c r="B342" s="4" t="s">
        <v>41</v>
      </c>
      <c r="C342" s="4" t="s">
        <v>42</v>
      </c>
      <c r="D342" s="4" t="s">
        <v>48</v>
      </c>
      <c r="E342" s="4" t="s">
        <v>25</v>
      </c>
      <c r="F342" s="4" t="s">
        <v>25</v>
      </c>
      <c r="G342" s="4" t="s">
        <v>25</v>
      </c>
      <c r="H342" s="4" t="s">
        <v>36</v>
      </c>
      <c r="I342" s="5">
        <v>44713</v>
      </c>
      <c r="J342" s="6">
        <v>1385</v>
      </c>
      <c r="K342" s="6">
        <v>1385</v>
      </c>
      <c r="L342" s="6">
        <v>49.054000000000002</v>
      </c>
      <c r="M342" s="6">
        <v>49.054000000000002</v>
      </c>
      <c r="N342" s="6">
        <v>49.054000000000002</v>
      </c>
      <c r="O342" s="6">
        <v>49.054000000000002</v>
      </c>
      <c r="P342" s="6">
        <v>0</v>
      </c>
      <c r="Q342" s="4" t="s">
        <v>26</v>
      </c>
      <c r="R342" s="4">
        <v>0</v>
      </c>
      <c r="S342" s="4" t="s">
        <v>169</v>
      </c>
      <c r="T342" s="4" t="s">
        <v>510</v>
      </c>
      <c r="U342" s="4">
        <v>19</v>
      </c>
      <c r="V342" s="4">
        <v>21</v>
      </c>
      <c r="W342" s="4">
        <v>74</v>
      </c>
    </row>
    <row r="343" spans="1:23" ht="11.25" customHeight="1" x14ac:dyDescent="0.25">
      <c r="A343" s="4" t="s">
        <v>30</v>
      </c>
      <c r="B343" s="4" t="s">
        <v>41</v>
      </c>
      <c r="C343" s="4" t="s">
        <v>42</v>
      </c>
      <c r="D343" s="4" t="s">
        <v>48</v>
      </c>
      <c r="E343" s="4" t="s">
        <v>25</v>
      </c>
      <c r="F343" s="4" t="s">
        <v>25</v>
      </c>
      <c r="G343" s="4" t="s">
        <v>25</v>
      </c>
      <c r="H343" s="4" t="s">
        <v>36</v>
      </c>
      <c r="I343" s="5">
        <v>44713</v>
      </c>
      <c r="J343" s="6">
        <v>740</v>
      </c>
      <c r="K343" s="6">
        <v>740</v>
      </c>
      <c r="L343" s="6">
        <v>24.1</v>
      </c>
      <c r="M343" s="6">
        <v>24.1</v>
      </c>
      <c r="N343" s="6">
        <v>24.1</v>
      </c>
      <c r="O343" s="6">
        <v>24.1</v>
      </c>
      <c r="P343" s="6">
        <v>0</v>
      </c>
      <c r="Q343" s="4" t="s">
        <v>26</v>
      </c>
      <c r="R343" s="4">
        <v>0</v>
      </c>
      <c r="S343" s="4" t="s">
        <v>169</v>
      </c>
      <c r="T343" s="4" t="s">
        <v>510</v>
      </c>
      <c r="U343" s="4">
        <v>19</v>
      </c>
      <c r="V343" s="4">
        <v>21</v>
      </c>
      <c r="W343" s="4">
        <v>74</v>
      </c>
    </row>
    <row r="344" spans="1:23" ht="11.25" customHeight="1" x14ac:dyDescent="0.25">
      <c r="A344" s="4" t="s">
        <v>21</v>
      </c>
      <c r="B344" s="4" t="s">
        <v>41</v>
      </c>
      <c r="C344" s="4" t="s">
        <v>42</v>
      </c>
      <c r="D344" s="4" t="s">
        <v>48</v>
      </c>
      <c r="E344" s="4" t="s">
        <v>25</v>
      </c>
      <c r="F344" s="4" t="s">
        <v>25</v>
      </c>
      <c r="G344" s="4" t="s">
        <v>25</v>
      </c>
      <c r="H344" s="4" t="s">
        <v>36</v>
      </c>
      <c r="I344" s="5">
        <v>44743</v>
      </c>
      <c r="J344" s="6">
        <v>1459</v>
      </c>
      <c r="K344" s="6">
        <v>1459</v>
      </c>
      <c r="L344" s="6">
        <v>55.912999999999997</v>
      </c>
      <c r="M344" s="6">
        <v>55.912999999999997</v>
      </c>
      <c r="N344" s="6">
        <v>55.912999999999997</v>
      </c>
      <c r="O344" s="6">
        <v>55.912999999999997</v>
      </c>
      <c r="P344" s="6">
        <v>0</v>
      </c>
      <c r="Q344" s="4" t="s">
        <v>26</v>
      </c>
      <c r="R344" s="4">
        <v>0</v>
      </c>
      <c r="S344" s="4" t="s">
        <v>170</v>
      </c>
      <c r="T344" s="4" t="s">
        <v>511</v>
      </c>
      <c r="U344" s="4">
        <v>19</v>
      </c>
      <c r="V344" s="4">
        <v>21</v>
      </c>
      <c r="W344" s="4">
        <v>74</v>
      </c>
    </row>
    <row r="345" spans="1:23" ht="11.25" customHeight="1" x14ac:dyDescent="0.25">
      <c r="A345" s="4" t="s">
        <v>30</v>
      </c>
      <c r="B345" s="4" t="s">
        <v>41</v>
      </c>
      <c r="C345" s="4" t="s">
        <v>42</v>
      </c>
      <c r="D345" s="4" t="s">
        <v>48</v>
      </c>
      <c r="E345" s="4" t="s">
        <v>25</v>
      </c>
      <c r="F345" s="4" t="s">
        <v>25</v>
      </c>
      <c r="G345" s="4" t="s">
        <v>25</v>
      </c>
      <c r="H345" s="4" t="s">
        <v>36</v>
      </c>
      <c r="I345" s="5">
        <v>44743</v>
      </c>
      <c r="J345" s="6">
        <v>740</v>
      </c>
      <c r="K345" s="6">
        <v>740</v>
      </c>
      <c r="L345" s="6">
        <v>28.207999999999998</v>
      </c>
      <c r="M345" s="6">
        <v>28.207999999999998</v>
      </c>
      <c r="N345" s="6">
        <v>28.207999999999998</v>
      </c>
      <c r="O345" s="6">
        <v>28.207999999999998</v>
      </c>
      <c r="P345" s="6">
        <v>0</v>
      </c>
      <c r="Q345" s="4" t="s">
        <v>26</v>
      </c>
      <c r="R345" s="4">
        <v>0</v>
      </c>
      <c r="S345" s="4" t="s">
        <v>170</v>
      </c>
      <c r="T345" s="4" t="s">
        <v>511</v>
      </c>
      <c r="U345" s="4">
        <v>19</v>
      </c>
      <c r="V345" s="4">
        <v>21</v>
      </c>
      <c r="W345" s="4">
        <v>74</v>
      </c>
    </row>
    <row r="346" spans="1:23" ht="11.25" customHeight="1" x14ac:dyDescent="0.25">
      <c r="A346" s="4" t="s">
        <v>21</v>
      </c>
      <c r="B346" s="4" t="s">
        <v>41</v>
      </c>
      <c r="C346" s="4" t="s">
        <v>42</v>
      </c>
      <c r="D346" s="4" t="s">
        <v>48</v>
      </c>
      <c r="E346" s="4" t="s">
        <v>25</v>
      </c>
      <c r="F346" s="4" t="s">
        <v>25</v>
      </c>
      <c r="G346" s="4" t="s">
        <v>25</v>
      </c>
      <c r="H346" s="4" t="s">
        <v>36</v>
      </c>
      <c r="I346" s="5">
        <v>44774</v>
      </c>
      <c r="J346" s="6">
        <v>1428</v>
      </c>
      <c r="K346" s="6">
        <v>1428</v>
      </c>
      <c r="L346" s="6">
        <v>56.360999999999997</v>
      </c>
      <c r="M346" s="6">
        <v>56.360999999999997</v>
      </c>
      <c r="N346" s="6">
        <v>56.360999999999997</v>
      </c>
      <c r="O346" s="6">
        <v>56.360999999999997</v>
      </c>
      <c r="P346" s="6">
        <v>0</v>
      </c>
      <c r="Q346" s="4" t="s">
        <v>26</v>
      </c>
      <c r="R346" s="4">
        <v>0</v>
      </c>
      <c r="S346" s="4" t="s">
        <v>171</v>
      </c>
      <c r="T346" s="4" t="s">
        <v>512</v>
      </c>
      <c r="U346" s="4">
        <v>19</v>
      </c>
      <c r="V346" s="4">
        <v>21</v>
      </c>
      <c r="W346" s="4">
        <v>74</v>
      </c>
    </row>
    <row r="347" spans="1:23" ht="11.25" customHeight="1" x14ac:dyDescent="0.25">
      <c r="A347" s="4" t="s">
        <v>30</v>
      </c>
      <c r="B347" s="4" t="s">
        <v>41</v>
      </c>
      <c r="C347" s="4" t="s">
        <v>42</v>
      </c>
      <c r="D347" s="4" t="s">
        <v>48</v>
      </c>
      <c r="E347" s="4" t="s">
        <v>25</v>
      </c>
      <c r="F347" s="4" t="s">
        <v>25</v>
      </c>
      <c r="G347" s="4" t="s">
        <v>25</v>
      </c>
      <c r="H347" s="4" t="s">
        <v>36</v>
      </c>
      <c r="I347" s="5">
        <v>44774</v>
      </c>
      <c r="J347" s="6">
        <v>740</v>
      </c>
      <c r="K347" s="6">
        <v>740</v>
      </c>
      <c r="L347" s="6">
        <v>26.832000000000001</v>
      </c>
      <c r="M347" s="6">
        <v>26.832000000000001</v>
      </c>
      <c r="N347" s="6">
        <v>26.832000000000001</v>
      </c>
      <c r="O347" s="6">
        <v>26.832000000000001</v>
      </c>
      <c r="P347" s="6">
        <v>0</v>
      </c>
      <c r="Q347" s="4" t="s">
        <v>26</v>
      </c>
      <c r="R347" s="4">
        <v>0</v>
      </c>
      <c r="S347" s="4" t="s">
        <v>171</v>
      </c>
      <c r="T347" s="4" t="s">
        <v>512</v>
      </c>
      <c r="U347" s="4">
        <v>19</v>
      </c>
      <c r="V347" s="4">
        <v>21</v>
      </c>
      <c r="W347" s="4">
        <v>74</v>
      </c>
    </row>
    <row r="348" spans="1:23" ht="11.25" customHeight="1" x14ac:dyDescent="0.25">
      <c r="A348" s="4" t="s">
        <v>21</v>
      </c>
      <c r="B348" s="4" t="s">
        <v>41</v>
      </c>
      <c r="C348" s="4" t="s">
        <v>42</v>
      </c>
      <c r="D348" s="4" t="s">
        <v>48</v>
      </c>
      <c r="E348" s="4" t="s">
        <v>25</v>
      </c>
      <c r="F348" s="4" t="s">
        <v>25</v>
      </c>
      <c r="G348" s="4" t="s">
        <v>25</v>
      </c>
      <c r="H348" s="4" t="s">
        <v>36</v>
      </c>
      <c r="I348" s="5">
        <v>44805</v>
      </c>
      <c r="J348" s="6">
        <v>1468</v>
      </c>
      <c r="K348" s="6">
        <v>1468</v>
      </c>
      <c r="L348" s="6">
        <v>53</v>
      </c>
      <c r="M348" s="6">
        <v>53</v>
      </c>
      <c r="N348" s="6">
        <v>53</v>
      </c>
      <c r="O348" s="6">
        <v>53</v>
      </c>
      <c r="P348" s="6">
        <v>0</v>
      </c>
      <c r="Q348" s="4" t="s">
        <v>26</v>
      </c>
      <c r="R348" s="4">
        <v>0</v>
      </c>
      <c r="S348" s="4" t="s">
        <v>172</v>
      </c>
      <c r="T348" s="4" t="s">
        <v>513</v>
      </c>
      <c r="U348" s="4">
        <v>19</v>
      </c>
      <c r="V348" s="4">
        <v>21</v>
      </c>
      <c r="W348" s="4">
        <v>74</v>
      </c>
    </row>
    <row r="349" spans="1:23" ht="11.25" customHeight="1" x14ac:dyDescent="0.25">
      <c r="A349" s="4" t="s">
        <v>30</v>
      </c>
      <c r="B349" s="4" t="s">
        <v>41</v>
      </c>
      <c r="C349" s="4" t="s">
        <v>42</v>
      </c>
      <c r="D349" s="4" t="s">
        <v>48</v>
      </c>
      <c r="E349" s="4" t="s">
        <v>25</v>
      </c>
      <c r="F349" s="4" t="s">
        <v>25</v>
      </c>
      <c r="G349" s="4" t="s">
        <v>25</v>
      </c>
      <c r="H349" s="4" t="s">
        <v>36</v>
      </c>
      <c r="I349" s="5">
        <v>44805</v>
      </c>
      <c r="J349" s="6">
        <v>740</v>
      </c>
      <c r="K349" s="6">
        <v>740</v>
      </c>
      <c r="L349" s="6">
        <v>26.718</v>
      </c>
      <c r="M349" s="6">
        <v>26.718</v>
      </c>
      <c r="N349" s="6">
        <v>26.718</v>
      </c>
      <c r="O349" s="6">
        <v>26.718</v>
      </c>
      <c r="P349" s="6">
        <v>0</v>
      </c>
      <c r="Q349" s="4" t="s">
        <v>26</v>
      </c>
      <c r="R349" s="4">
        <v>0</v>
      </c>
      <c r="S349" s="4" t="s">
        <v>172</v>
      </c>
      <c r="T349" s="4" t="s">
        <v>513</v>
      </c>
      <c r="U349" s="4">
        <v>19</v>
      </c>
      <c r="V349" s="4">
        <v>21</v>
      </c>
      <c r="W349" s="4">
        <v>74</v>
      </c>
    </row>
    <row r="350" spans="1:23" ht="11.25" customHeight="1" x14ac:dyDescent="0.25">
      <c r="A350" s="4" t="s">
        <v>21</v>
      </c>
      <c r="B350" s="4" t="s">
        <v>41</v>
      </c>
      <c r="C350" s="4" t="s">
        <v>42</v>
      </c>
      <c r="D350" s="4" t="s">
        <v>48</v>
      </c>
      <c r="E350" s="4" t="s">
        <v>25</v>
      </c>
      <c r="F350" s="4" t="s">
        <v>25</v>
      </c>
      <c r="G350" s="4" t="s">
        <v>25</v>
      </c>
      <c r="H350" s="4" t="s">
        <v>36</v>
      </c>
      <c r="I350" s="5">
        <v>44835</v>
      </c>
      <c r="J350" s="6">
        <v>1468</v>
      </c>
      <c r="K350" s="6">
        <v>1468</v>
      </c>
      <c r="L350" s="6">
        <v>53.523000000000003</v>
      </c>
      <c r="M350" s="6">
        <v>53.523000000000003</v>
      </c>
      <c r="N350" s="6">
        <v>53.523000000000003</v>
      </c>
      <c r="O350" s="6">
        <v>53.523000000000003</v>
      </c>
      <c r="P350" s="6">
        <v>0</v>
      </c>
      <c r="Q350" s="4" t="s">
        <v>26</v>
      </c>
      <c r="R350" s="4">
        <v>0</v>
      </c>
      <c r="S350" s="4" t="s">
        <v>173</v>
      </c>
      <c r="T350" s="4" t="s">
        <v>514</v>
      </c>
      <c r="U350" s="4">
        <v>19</v>
      </c>
      <c r="V350" s="4">
        <v>21</v>
      </c>
      <c r="W350" s="4">
        <v>74</v>
      </c>
    </row>
    <row r="351" spans="1:23" ht="11.25" customHeight="1" x14ac:dyDescent="0.25">
      <c r="A351" s="4" t="s">
        <v>30</v>
      </c>
      <c r="B351" s="4" t="s">
        <v>41</v>
      </c>
      <c r="C351" s="4" t="s">
        <v>42</v>
      </c>
      <c r="D351" s="4" t="s">
        <v>48</v>
      </c>
      <c r="E351" s="4" t="s">
        <v>25</v>
      </c>
      <c r="F351" s="4" t="s">
        <v>25</v>
      </c>
      <c r="G351" s="4" t="s">
        <v>25</v>
      </c>
      <c r="H351" s="4" t="s">
        <v>36</v>
      </c>
      <c r="I351" s="5">
        <v>44835</v>
      </c>
      <c r="J351" s="6">
        <v>740</v>
      </c>
      <c r="K351" s="6">
        <v>740</v>
      </c>
      <c r="L351" s="6">
        <v>25.954000000000001</v>
      </c>
      <c r="M351" s="6">
        <v>25.954000000000001</v>
      </c>
      <c r="N351" s="6">
        <v>25.954000000000001</v>
      </c>
      <c r="O351" s="6">
        <v>25.954000000000001</v>
      </c>
      <c r="P351" s="6">
        <v>0</v>
      </c>
      <c r="Q351" s="4" t="s">
        <v>26</v>
      </c>
      <c r="R351" s="4">
        <v>0</v>
      </c>
      <c r="S351" s="4" t="s">
        <v>173</v>
      </c>
      <c r="T351" s="4" t="s">
        <v>514</v>
      </c>
      <c r="U351" s="4">
        <v>19</v>
      </c>
      <c r="V351" s="4">
        <v>21</v>
      </c>
      <c r="W351" s="4">
        <v>74</v>
      </c>
    </row>
    <row r="352" spans="1:23" ht="11.25" customHeight="1" x14ac:dyDescent="0.25">
      <c r="A352" s="4" t="s">
        <v>59</v>
      </c>
      <c r="B352" s="4" t="s">
        <v>41</v>
      </c>
      <c r="C352" s="4" t="s">
        <v>42</v>
      </c>
      <c r="D352" s="4" t="s">
        <v>48</v>
      </c>
      <c r="E352" s="4" t="s">
        <v>25</v>
      </c>
      <c r="F352" s="4" t="s">
        <v>25</v>
      </c>
      <c r="G352" s="4" t="s">
        <v>25</v>
      </c>
      <c r="H352" s="4" t="s">
        <v>36</v>
      </c>
      <c r="I352" s="5">
        <v>44866</v>
      </c>
      <c r="J352" s="6">
        <v>1468</v>
      </c>
      <c r="K352" s="6">
        <v>1468</v>
      </c>
      <c r="L352" s="6">
        <v>53.523000000000003</v>
      </c>
      <c r="M352" s="6">
        <v>53.523000000000003</v>
      </c>
      <c r="N352" s="6">
        <v>53.523000000000003</v>
      </c>
      <c r="O352" s="6">
        <v>53.523000000000003</v>
      </c>
      <c r="P352" s="6">
        <v>0</v>
      </c>
      <c r="Q352" s="4" t="s">
        <v>26</v>
      </c>
      <c r="R352" s="4">
        <v>0</v>
      </c>
      <c r="S352" s="4" t="s">
        <v>174</v>
      </c>
      <c r="T352" s="4" t="s">
        <v>515</v>
      </c>
      <c r="U352" s="4">
        <v>19</v>
      </c>
      <c r="V352" s="4">
        <v>21</v>
      </c>
      <c r="W352" s="4">
        <v>74</v>
      </c>
    </row>
    <row r="353" spans="1:23" ht="11.25" customHeight="1" x14ac:dyDescent="0.25">
      <c r="A353" s="4" t="s">
        <v>59</v>
      </c>
      <c r="B353" s="4" t="s">
        <v>41</v>
      </c>
      <c r="C353" s="4" t="s">
        <v>42</v>
      </c>
      <c r="D353" s="4" t="s">
        <v>48</v>
      </c>
      <c r="E353" s="4" t="s">
        <v>25</v>
      </c>
      <c r="F353" s="4" t="s">
        <v>25</v>
      </c>
      <c r="G353" s="4" t="s">
        <v>25</v>
      </c>
      <c r="H353" s="4" t="s">
        <v>36</v>
      </c>
      <c r="I353" s="5">
        <v>44866</v>
      </c>
      <c r="J353" s="6">
        <v>740</v>
      </c>
      <c r="K353" s="6">
        <v>740</v>
      </c>
      <c r="L353" s="6">
        <v>25.954000000000001</v>
      </c>
      <c r="M353" s="6">
        <v>25.954000000000001</v>
      </c>
      <c r="N353" s="6">
        <v>25.954000000000001</v>
      </c>
      <c r="O353" s="6">
        <v>25.954000000000001</v>
      </c>
      <c r="P353" s="6">
        <v>0</v>
      </c>
      <c r="Q353" s="4" t="s">
        <v>26</v>
      </c>
      <c r="R353" s="4">
        <v>0</v>
      </c>
      <c r="S353" s="4" t="s">
        <v>174</v>
      </c>
      <c r="T353" s="4" t="s">
        <v>515</v>
      </c>
      <c r="U353" s="4">
        <v>19</v>
      </c>
      <c r="V353" s="4">
        <v>21</v>
      </c>
      <c r="W353" s="4">
        <v>74</v>
      </c>
    </row>
    <row r="354" spans="1:23" ht="11.25" customHeight="1" x14ac:dyDescent="0.25">
      <c r="A354" s="4" t="s">
        <v>21</v>
      </c>
      <c r="B354" s="4" t="s">
        <v>41</v>
      </c>
      <c r="C354" s="4" t="s">
        <v>42</v>
      </c>
      <c r="D354" s="4" t="s">
        <v>47</v>
      </c>
      <c r="E354" s="4" t="s">
        <v>25</v>
      </c>
      <c r="F354" s="4" t="s">
        <v>25</v>
      </c>
      <c r="G354" s="4" t="s">
        <v>25</v>
      </c>
      <c r="H354" s="4" t="s">
        <v>37</v>
      </c>
      <c r="I354" s="5">
        <v>44531</v>
      </c>
      <c r="J354" s="6">
        <v>37</v>
      </c>
      <c r="K354" s="6">
        <v>35.520000000000003</v>
      </c>
      <c r="L354" s="6">
        <v>2.7469999999999999</v>
      </c>
      <c r="M354" s="6">
        <v>2.6371199999999999</v>
      </c>
      <c r="N354" s="6">
        <v>2.7469999999999999</v>
      </c>
      <c r="O354" s="6">
        <v>2.6371199999999999</v>
      </c>
      <c r="P354" s="6">
        <v>0</v>
      </c>
      <c r="Q354" s="4" t="s">
        <v>26</v>
      </c>
      <c r="R354" s="4">
        <v>0</v>
      </c>
      <c r="S354" s="4" t="s">
        <v>151</v>
      </c>
      <c r="T354" s="4" t="s">
        <v>492</v>
      </c>
      <c r="U354" s="4">
        <v>20</v>
      </c>
      <c r="V354" s="4">
        <v>21</v>
      </c>
      <c r="W354" s="4">
        <v>75</v>
      </c>
    </row>
    <row r="355" spans="1:23" ht="11.25" customHeight="1" x14ac:dyDescent="0.25">
      <c r="A355" s="4" t="s">
        <v>21</v>
      </c>
      <c r="B355" s="4" t="s">
        <v>41</v>
      </c>
      <c r="C355" s="4" t="s">
        <v>42</v>
      </c>
      <c r="D355" s="4" t="s">
        <v>47</v>
      </c>
      <c r="E355" s="4" t="s">
        <v>25</v>
      </c>
      <c r="F355" s="4" t="s">
        <v>25</v>
      </c>
      <c r="G355" s="4" t="s">
        <v>25</v>
      </c>
      <c r="H355" s="4" t="s">
        <v>37</v>
      </c>
      <c r="I355" s="5">
        <v>44562</v>
      </c>
      <c r="J355" s="6">
        <v>38</v>
      </c>
      <c r="K355" s="6">
        <v>36.479999999999997</v>
      </c>
      <c r="L355" s="6">
        <v>2.8290000000000002</v>
      </c>
      <c r="M355" s="6">
        <v>2.71584</v>
      </c>
      <c r="N355" s="6">
        <v>2.8290000000000002</v>
      </c>
      <c r="O355" s="6">
        <v>2.71584</v>
      </c>
      <c r="P355" s="6">
        <v>0</v>
      </c>
      <c r="Q355" s="4" t="s">
        <v>26</v>
      </c>
      <c r="R355" s="4">
        <v>0</v>
      </c>
      <c r="S355" s="4" t="s">
        <v>152</v>
      </c>
      <c r="T355" s="4" t="s">
        <v>493</v>
      </c>
      <c r="U355" s="4">
        <v>20</v>
      </c>
      <c r="V355" s="4">
        <v>21</v>
      </c>
      <c r="W355" s="4">
        <v>75</v>
      </c>
    </row>
    <row r="356" spans="1:23" ht="11.25" customHeight="1" x14ac:dyDescent="0.25">
      <c r="A356" s="4" t="s">
        <v>21</v>
      </c>
      <c r="B356" s="4" t="s">
        <v>41</v>
      </c>
      <c r="C356" s="4" t="s">
        <v>42</v>
      </c>
      <c r="D356" s="4" t="s">
        <v>47</v>
      </c>
      <c r="E356" s="4" t="s">
        <v>25</v>
      </c>
      <c r="F356" s="4" t="s">
        <v>25</v>
      </c>
      <c r="G356" s="4" t="s">
        <v>25</v>
      </c>
      <c r="H356" s="4" t="s">
        <v>37</v>
      </c>
      <c r="I356" s="5">
        <v>44593</v>
      </c>
      <c r="J356" s="6">
        <v>43</v>
      </c>
      <c r="K356" s="6">
        <v>41.28</v>
      </c>
      <c r="L356" s="6">
        <v>2.4849999999999999</v>
      </c>
      <c r="M356" s="6">
        <v>2.3856000000000002</v>
      </c>
      <c r="N356" s="6">
        <v>2.4849999999999999</v>
      </c>
      <c r="O356" s="6">
        <v>2.3856000000000002</v>
      </c>
      <c r="P356" s="6">
        <v>0</v>
      </c>
      <c r="Q356" s="4" t="s">
        <v>26</v>
      </c>
      <c r="R356" s="4">
        <v>0</v>
      </c>
      <c r="S356" s="4" t="s">
        <v>153</v>
      </c>
      <c r="T356" s="4" t="s">
        <v>494</v>
      </c>
      <c r="U356" s="4">
        <v>20</v>
      </c>
      <c r="V356" s="4">
        <v>21</v>
      </c>
      <c r="W356" s="4">
        <v>75</v>
      </c>
    </row>
    <row r="357" spans="1:23" ht="11.25" customHeight="1" x14ac:dyDescent="0.25">
      <c r="A357" s="4" t="s">
        <v>21</v>
      </c>
      <c r="B357" s="4" t="s">
        <v>41</v>
      </c>
      <c r="C357" s="4" t="s">
        <v>42</v>
      </c>
      <c r="D357" s="4" t="s">
        <v>47</v>
      </c>
      <c r="E357" s="4" t="s">
        <v>25</v>
      </c>
      <c r="F357" s="4" t="s">
        <v>25</v>
      </c>
      <c r="G357" s="4" t="s">
        <v>25</v>
      </c>
      <c r="H357" s="4" t="s">
        <v>37</v>
      </c>
      <c r="I357" s="5">
        <v>44621</v>
      </c>
      <c r="J357" s="6">
        <v>46</v>
      </c>
      <c r="K357" s="6">
        <v>44.16</v>
      </c>
      <c r="L357" s="6">
        <v>2.7090000000000001</v>
      </c>
      <c r="M357" s="6">
        <v>2.6006399999999998</v>
      </c>
      <c r="N357" s="6">
        <v>2.7090000000000001</v>
      </c>
      <c r="O357" s="6">
        <v>2.6006399999999998</v>
      </c>
      <c r="P357" s="6">
        <v>0</v>
      </c>
      <c r="Q357" s="4" t="s">
        <v>26</v>
      </c>
      <c r="R357" s="4">
        <v>0</v>
      </c>
      <c r="S357" s="4" t="s">
        <v>154</v>
      </c>
      <c r="T357" s="4" t="s">
        <v>495</v>
      </c>
      <c r="U357" s="4">
        <v>20</v>
      </c>
      <c r="V357" s="4">
        <v>21</v>
      </c>
      <c r="W357" s="4">
        <v>75</v>
      </c>
    </row>
    <row r="358" spans="1:23" ht="11.25" customHeight="1" x14ac:dyDescent="0.25">
      <c r="A358" s="4" t="s">
        <v>21</v>
      </c>
      <c r="B358" s="4" t="s">
        <v>41</v>
      </c>
      <c r="C358" s="4" t="s">
        <v>42</v>
      </c>
      <c r="D358" s="4" t="s">
        <v>47</v>
      </c>
      <c r="E358" s="4" t="s">
        <v>25</v>
      </c>
      <c r="F358" s="4" t="s">
        <v>25</v>
      </c>
      <c r="G358" s="4" t="s">
        <v>25</v>
      </c>
      <c r="H358" s="4" t="s">
        <v>37</v>
      </c>
      <c r="I358" s="5">
        <v>44652</v>
      </c>
      <c r="J358" s="6">
        <v>39</v>
      </c>
      <c r="K358" s="6">
        <v>37.44</v>
      </c>
      <c r="L358" s="6">
        <v>3.3929999999999998</v>
      </c>
      <c r="M358" s="6">
        <v>3.2572800000000002</v>
      </c>
      <c r="N358" s="6">
        <v>3.3929999999999998</v>
      </c>
      <c r="O358" s="6">
        <v>3.2572800000000002</v>
      </c>
      <c r="P358" s="6">
        <v>0</v>
      </c>
      <c r="Q358" s="4" t="s">
        <v>26</v>
      </c>
      <c r="R358" s="4">
        <v>0</v>
      </c>
      <c r="S358" s="4" t="s">
        <v>155</v>
      </c>
      <c r="T358" s="4" t="s">
        <v>496</v>
      </c>
      <c r="U358" s="4">
        <v>20</v>
      </c>
      <c r="V358" s="4">
        <v>21</v>
      </c>
      <c r="W358" s="4">
        <v>75</v>
      </c>
    </row>
    <row r="359" spans="1:23" ht="11.25" customHeight="1" x14ac:dyDescent="0.25">
      <c r="A359" s="4" t="s">
        <v>21</v>
      </c>
      <c r="B359" s="4" t="s">
        <v>41</v>
      </c>
      <c r="C359" s="4" t="s">
        <v>42</v>
      </c>
      <c r="D359" s="4" t="s">
        <v>47</v>
      </c>
      <c r="E359" s="4" t="s">
        <v>25</v>
      </c>
      <c r="F359" s="4" t="s">
        <v>25</v>
      </c>
      <c r="G359" s="4" t="s">
        <v>25</v>
      </c>
      <c r="H359" s="4" t="s">
        <v>37</v>
      </c>
      <c r="I359" s="5">
        <v>44682</v>
      </c>
      <c r="J359" s="6">
        <v>40</v>
      </c>
      <c r="K359" s="6">
        <v>38.4</v>
      </c>
      <c r="L359" s="6">
        <v>5.5970000000000004</v>
      </c>
      <c r="M359" s="6">
        <v>5.3731200000000001</v>
      </c>
      <c r="N359" s="6">
        <v>5.5970000000000004</v>
      </c>
      <c r="O359" s="6">
        <v>5.3731200000000001</v>
      </c>
      <c r="P359" s="6">
        <v>0</v>
      </c>
      <c r="Q359" s="4" t="s">
        <v>26</v>
      </c>
      <c r="R359" s="4">
        <v>0</v>
      </c>
      <c r="S359" s="4" t="s">
        <v>156</v>
      </c>
      <c r="T359" s="4" t="s">
        <v>497</v>
      </c>
      <c r="U359" s="4">
        <v>20</v>
      </c>
      <c r="V359" s="4">
        <v>21</v>
      </c>
      <c r="W359" s="4">
        <v>75</v>
      </c>
    </row>
    <row r="360" spans="1:23" ht="11.25" customHeight="1" x14ac:dyDescent="0.25">
      <c r="A360" s="4" t="s">
        <v>21</v>
      </c>
      <c r="B360" s="4" t="s">
        <v>41</v>
      </c>
      <c r="C360" s="4" t="s">
        <v>42</v>
      </c>
      <c r="D360" s="4" t="s">
        <v>47</v>
      </c>
      <c r="E360" s="4" t="s">
        <v>25</v>
      </c>
      <c r="F360" s="4" t="s">
        <v>25</v>
      </c>
      <c r="G360" s="4" t="s">
        <v>25</v>
      </c>
      <c r="H360" s="4" t="s">
        <v>37</v>
      </c>
      <c r="I360" s="5">
        <v>44713</v>
      </c>
      <c r="J360" s="6">
        <v>37</v>
      </c>
      <c r="K360" s="6">
        <v>35.520000000000003</v>
      </c>
      <c r="L360" s="6">
        <v>5.2489999999999997</v>
      </c>
      <c r="M360" s="6">
        <v>5.03904</v>
      </c>
      <c r="N360" s="6">
        <v>5.2489999999999997</v>
      </c>
      <c r="O360" s="6">
        <v>5.03904</v>
      </c>
      <c r="P360" s="6">
        <v>0</v>
      </c>
      <c r="Q360" s="4" t="s">
        <v>26</v>
      </c>
      <c r="R360" s="4">
        <v>0</v>
      </c>
      <c r="S360" s="4" t="s">
        <v>157</v>
      </c>
      <c r="T360" s="4" t="s">
        <v>498</v>
      </c>
      <c r="U360" s="4">
        <v>20</v>
      </c>
      <c r="V360" s="4">
        <v>21</v>
      </c>
      <c r="W360" s="4">
        <v>75</v>
      </c>
    </row>
    <row r="361" spans="1:23" ht="11.25" customHeight="1" x14ac:dyDescent="0.25">
      <c r="A361" s="4" t="s">
        <v>21</v>
      </c>
      <c r="B361" s="4" t="s">
        <v>41</v>
      </c>
      <c r="C361" s="4" t="s">
        <v>42</v>
      </c>
      <c r="D361" s="4" t="s">
        <v>47</v>
      </c>
      <c r="E361" s="4" t="s">
        <v>25</v>
      </c>
      <c r="F361" s="4" t="s">
        <v>25</v>
      </c>
      <c r="G361" s="4" t="s">
        <v>25</v>
      </c>
      <c r="H361" s="4" t="s">
        <v>37</v>
      </c>
      <c r="I361" s="5">
        <v>44743</v>
      </c>
      <c r="J361" s="6">
        <v>36</v>
      </c>
      <c r="K361" s="6">
        <v>34.56</v>
      </c>
      <c r="L361" s="6">
        <v>5.2160000000000002</v>
      </c>
      <c r="M361" s="6">
        <v>5.0073600000000003</v>
      </c>
      <c r="N361" s="6">
        <v>5.2160000000000002</v>
      </c>
      <c r="O361" s="6">
        <v>5.0073600000000003</v>
      </c>
      <c r="P361" s="6">
        <v>0</v>
      </c>
      <c r="Q361" s="4" t="s">
        <v>26</v>
      </c>
      <c r="R361" s="4">
        <v>0</v>
      </c>
      <c r="S361" s="4" t="s">
        <v>158</v>
      </c>
      <c r="T361" s="4" t="s">
        <v>499</v>
      </c>
      <c r="U361" s="4">
        <v>20</v>
      </c>
      <c r="V361" s="4">
        <v>21</v>
      </c>
      <c r="W361" s="4">
        <v>75</v>
      </c>
    </row>
    <row r="362" spans="1:23" ht="11.25" customHeight="1" x14ac:dyDescent="0.25">
      <c r="A362" s="4" t="s">
        <v>21</v>
      </c>
      <c r="B362" s="4" t="s">
        <v>41</v>
      </c>
      <c r="C362" s="4" t="s">
        <v>42</v>
      </c>
      <c r="D362" s="4" t="s">
        <v>47</v>
      </c>
      <c r="E362" s="4" t="s">
        <v>25</v>
      </c>
      <c r="F362" s="4" t="s">
        <v>25</v>
      </c>
      <c r="G362" s="4" t="s">
        <v>25</v>
      </c>
      <c r="H362" s="4" t="s">
        <v>37</v>
      </c>
      <c r="I362" s="5">
        <v>44774</v>
      </c>
      <c r="J362" s="6">
        <v>40</v>
      </c>
      <c r="K362" s="6">
        <v>38.4</v>
      </c>
      <c r="L362" s="6">
        <v>6.2619999999999996</v>
      </c>
      <c r="M362" s="6">
        <v>6.01152</v>
      </c>
      <c r="N362" s="6">
        <v>6.2619999999999996</v>
      </c>
      <c r="O362" s="6">
        <v>6.01152</v>
      </c>
      <c r="P362" s="6">
        <v>0</v>
      </c>
      <c r="Q362" s="4" t="s">
        <v>26</v>
      </c>
      <c r="R362" s="4">
        <v>0</v>
      </c>
      <c r="S362" s="4" t="s">
        <v>159</v>
      </c>
      <c r="T362" s="4" t="s">
        <v>500</v>
      </c>
      <c r="U362" s="4">
        <v>20</v>
      </c>
      <c r="V362" s="4">
        <v>21</v>
      </c>
      <c r="W362" s="4">
        <v>75</v>
      </c>
    </row>
    <row r="363" spans="1:23" ht="11.25" customHeight="1" x14ac:dyDescent="0.25">
      <c r="A363" s="4" t="s">
        <v>21</v>
      </c>
      <c r="B363" s="4" t="s">
        <v>41</v>
      </c>
      <c r="C363" s="4" t="s">
        <v>42</v>
      </c>
      <c r="D363" s="4" t="s">
        <v>47</v>
      </c>
      <c r="E363" s="4" t="s">
        <v>25</v>
      </c>
      <c r="F363" s="4" t="s">
        <v>25</v>
      </c>
      <c r="G363" s="4" t="s">
        <v>25</v>
      </c>
      <c r="H363" s="4" t="s">
        <v>37</v>
      </c>
      <c r="I363" s="5">
        <v>44805</v>
      </c>
      <c r="J363" s="6">
        <v>38</v>
      </c>
      <c r="K363" s="6">
        <v>36.479999999999997</v>
      </c>
      <c r="L363" s="6">
        <v>6.8289999999999997</v>
      </c>
      <c r="M363" s="6">
        <v>6.5558399999999999</v>
      </c>
      <c r="N363" s="6">
        <v>6.8289999999999997</v>
      </c>
      <c r="O363" s="6">
        <v>6.5558399999999999</v>
      </c>
      <c r="P363" s="6">
        <v>0</v>
      </c>
      <c r="Q363" s="4" t="s">
        <v>26</v>
      </c>
      <c r="R363" s="4">
        <v>0</v>
      </c>
      <c r="S363" s="4" t="s">
        <v>160</v>
      </c>
      <c r="T363" s="4" t="s">
        <v>501</v>
      </c>
      <c r="U363" s="4">
        <v>20</v>
      </c>
      <c r="V363" s="4">
        <v>21</v>
      </c>
      <c r="W363" s="4">
        <v>75</v>
      </c>
    </row>
    <row r="364" spans="1:23" ht="11.25" customHeight="1" x14ac:dyDescent="0.25">
      <c r="A364" s="4" t="s">
        <v>21</v>
      </c>
      <c r="B364" s="4" t="s">
        <v>41</v>
      </c>
      <c r="C364" s="4" t="s">
        <v>42</v>
      </c>
      <c r="D364" s="4" t="s">
        <v>47</v>
      </c>
      <c r="E364" s="4" t="s">
        <v>25</v>
      </c>
      <c r="F364" s="4" t="s">
        <v>25</v>
      </c>
      <c r="G364" s="4" t="s">
        <v>25</v>
      </c>
      <c r="H364" s="4" t="s">
        <v>37</v>
      </c>
      <c r="I364" s="5">
        <v>44835</v>
      </c>
      <c r="J364" s="6">
        <v>41</v>
      </c>
      <c r="K364" s="6">
        <v>39.36</v>
      </c>
      <c r="L364" s="6">
        <v>6.1150000000000002</v>
      </c>
      <c r="M364" s="6">
        <v>5.8704000000000001</v>
      </c>
      <c r="N364" s="6">
        <v>6.1150000000000002</v>
      </c>
      <c r="O364" s="6">
        <v>5.8704000000000001</v>
      </c>
      <c r="P364" s="6">
        <v>0</v>
      </c>
      <c r="Q364" s="4" t="s">
        <v>26</v>
      </c>
      <c r="R364" s="4">
        <v>0</v>
      </c>
      <c r="S364" s="4" t="s">
        <v>161</v>
      </c>
      <c r="T364" s="4" t="s">
        <v>502</v>
      </c>
      <c r="U364" s="4">
        <v>20</v>
      </c>
      <c r="V364" s="4">
        <v>21</v>
      </c>
      <c r="W364" s="4">
        <v>75</v>
      </c>
    </row>
    <row r="365" spans="1:23" ht="11.25" customHeight="1" x14ac:dyDescent="0.25">
      <c r="A365" s="4" t="s">
        <v>59</v>
      </c>
      <c r="B365" s="4" t="s">
        <v>41</v>
      </c>
      <c r="C365" s="4" t="s">
        <v>42</v>
      </c>
      <c r="D365" s="4" t="s">
        <v>47</v>
      </c>
      <c r="E365" s="4" t="s">
        <v>25</v>
      </c>
      <c r="F365" s="4" t="s">
        <v>25</v>
      </c>
      <c r="G365" s="4" t="s">
        <v>25</v>
      </c>
      <c r="H365" s="4" t="s">
        <v>37</v>
      </c>
      <c r="I365" s="5">
        <v>44866</v>
      </c>
      <c r="J365" s="6">
        <v>41</v>
      </c>
      <c r="K365" s="6">
        <v>39.36</v>
      </c>
      <c r="L365" s="6">
        <v>6.1150000000000002</v>
      </c>
      <c r="M365" s="6">
        <v>5.8704000000000001</v>
      </c>
      <c r="N365" s="6">
        <v>6.1150000000000002</v>
      </c>
      <c r="O365" s="6">
        <v>5.8704000000000001</v>
      </c>
      <c r="P365" s="6">
        <v>0</v>
      </c>
      <c r="Q365" s="4" t="s">
        <v>26</v>
      </c>
      <c r="R365" s="4">
        <v>0</v>
      </c>
      <c r="S365" s="4" t="s">
        <v>162</v>
      </c>
      <c r="T365" s="4" t="s">
        <v>503</v>
      </c>
      <c r="U365" s="4">
        <v>20</v>
      </c>
      <c r="V365" s="4">
        <v>21</v>
      </c>
      <c r="W365" s="4">
        <v>75</v>
      </c>
    </row>
    <row r="366" spans="1:23" ht="11.25" customHeight="1" x14ac:dyDescent="0.25">
      <c r="A366" s="4" t="s">
        <v>21</v>
      </c>
      <c r="B366" s="4" t="s">
        <v>41</v>
      </c>
      <c r="C366" s="4" t="s">
        <v>42</v>
      </c>
      <c r="D366" s="4" t="s">
        <v>47</v>
      </c>
      <c r="E366" s="4" t="s">
        <v>25</v>
      </c>
      <c r="F366" s="4" t="s">
        <v>25</v>
      </c>
      <c r="G366" s="4" t="s">
        <v>25</v>
      </c>
      <c r="H366" s="4" t="s">
        <v>36</v>
      </c>
      <c r="I366" s="5">
        <v>44531</v>
      </c>
      <c r="J366" s="6">
        <v>7</v>
      </c>
      <c r="K366" s="6">
        <v>6.72</v>
      </c>
      <c r="L366" s="6">
        <v>0.246</v>
      </c>
      <c r="M366" s="6">
        <v>0.23616000000000001</v>
      </c>
      <c r="N366" s="6">
        <v>0.246</v>
      </c>
      <c r="O366" s="6">
        <v>0.23616000000000001</v>
      </c>
      <c r="P366" s="6">
        <v>0</v>
      </c>
      <c r="Q366" s="4" t="s">
        <v>26</v>
      </c>
      <c r="R366" s="4">
        <v>0</v>
      </c>
      <c r="S366" s="4" t="s">
        <v>163</v>
      </c>
      <c r="T366" s="4" t="s">
        <v>504</v>
      </c>
      <c r="U366" s="4">
        <v>19</v>
      </c>
      <c r="V366" s="4">
        <v>21</v>
      </c>
      <c r="W366" s="4">
        <v>74</v>
      </c>
    </row>
    <row r="367" spans="1:23" ht="11.25" customHeight="1" x14ac:dyDescent="0.25">
      <c r="A367" s="4" t="s">
        <v>21</v>
      </c>
      <c r="B367" s="4" t="s">
        <v>41</v>
      </c>
      <c r="C367" s="4" t="s">
        <v>42</v>
      </c>
      <c r="D367" s="4" t="s">
        <v>47</v>
      </c>
      <c r="E367" s="4" t="s">
        <v>25</v>
      </c>
      <c r="F367" s="4" t="s">
        <v>25</v>
      </c>
      <c r="G367" s="4" t="s">
        <v>25</v>
      </c>
      <c r="H367" s="4" t="s">
        <v>36</v>
      </c>
      <c r="I367" s="5">
        <v>44562</v>
      </c>
      <c r="J367" s="6">
        <v>7</v>
      </c>
      <c r="K367" s="6">
        <v>6.72</v>
      </c>
      <c r="L367" s="6">
        <v>0.246</v>
      </c>
      <c r="M367" s="6">
        <v>0.23615999999999998</v>
      </c>
      <c r="N367" s="6">
        <v>0.246</v>
      </c>
      <c r="O367" s="6">
        <v>0.23615999999999998</v>
      </c>
      <c r="P367" s="6">
        <v>0</v>
      </c>
      <c r="Q367" s="4" t="s">
        <v>26</v>
      </c>
      <c r="R367" s="4">
        <v>0</v>
      </c>
      <c r="S367" s="4" t="s">
        <v>164</v>
      </c>
      <c r="T367" s="4" t="s">
        <v>505</v>
      </c>
      <c r="U367" s="4">
        <v>19</v>
      </c>
      <c r="V367" s="4">
        <v>21</v>
      </c>
      <c r="W367" s="4">
        <v>74</v>
      </c>
    </row>
    <row r="368" spans="1:23" ht="11.25" customHeight="1" x14ac:dyDescent="0.25">
      <c r="A368" s="4" t="s">
        <v>21</v>
      </c>
      <c r="B368" s="4" t="s">
        <v>41</v>
      </c>
      <c r="C368" s="4" t="s">
        <v>42</v>
      </c>
      <c r="D368" s="4" t="s">
        <v>47</v>
      </c>
      <c r="E368" s="4" t="s">
        <v>25</v>
      </c>
      <c r="F368" s="4" t="s">
        <v>25</v>
      </c>
      <c r="G368" s="4" t="s">
        <v>25</v>
      </c>
      <c r="H368" s="4" t="s">
        <v>36</v>
      </c>
      <c r="I368" s="5">
        <v>44593</v>
      </c>
      <c r="J368" s="6">
        <v>7</v>
      </c>
      <c r="K368" s="6">
        <v>6.72</v>
      </c>
      <c r="L368" s="6">
        <v>0.23400000000000001</v>
      </c>
      <c r="M368" s="6">
        <v>0.22464000000000001</v>
      </c>
      <c r="N368" s="6">
        <v>0.23400000000000001</v>
      </c>
      <c r="O368" s="6">
        <v>0.22464000000000001</v>
      </c>
      <c r="P368" s="6">
        <v>0</v>
      </c>
      <c r="Q368" s="4" t="s">
        <v>26</v>
      </c>
      <c r="R368" s="4">
        <v>0</v>
      </c>
      <c r="S368" s="4" t="s">
        <v>165</v>
      </c>
      <c r="T368" s="4" t="s">
        <v>506</v>
      </c>
      <c r="U368" s="4">
        <v>19</v>
      </c>
      <c r="V368" s="4">
        <v>21</v>
      </c>
      <c r="W368" s="4">
        <v>74</v>
      </c>
    </row>
    <row r="369" spans="1:23" ht="11.25" customHeight="1" x14ac:dyDescent="0.25">
      <c r="A369" s="4" t="s">
        <v>21</v>
      </c>
      <c r="B369" s="4" t="s">
        <v>41</v>
      </c>
      <c r="C369" s="4" t="s">
        <v>42</v>
      </c>
      <c r="D369" s="4" t="s">
        <v>47</v>
      </c>
      <c r="E369" s="4" t="s">
        <v>25</v>
      </c>
      <c r="F369" s="4" t="s">
        <v>25</v>
      </c>
      <c r="G369" s="4" t="s">
        <v>25</v>
      </c>
      <c r="H369" s="4" t="s">
        <v>36</v>
      </c>
      <c r="I369" s="5">
        <v>44621</v>
      </c>
      <c r="J369" s="6">
        <v>8</v>
      </c>
      <c r="K369" s="6">
        <v>7.68</v>
      </c>
      <c r="L369" s="6">
        <v>0.26100000000000001</v>
      </c>
      <c r="M369" s="6">
        <v>0.25056</v>
      </c>
      <c r="N369" s="6">
        <v>0.26100000000000001</v>
      </c>
      <c r="O369" s="6">
        <v>0.25056</v>
      </c>
      <c r="P369" s="6">
        <v>0</v>
      </c>
      <c r="Q369" s="4" t="s">
        <v>26</v>
      </c>
      <c r="R369" s="4">
        <v>0</v>
      </c>
      <c r="S369" s="4" t="s">
        <v>166</v>
      </c>
      <c r="T369" s="4" t="s">
        <v>507</v>
      </c>
      <c r="U369" s="4">
        <v>19</v>
      </c>
      <c r="V369" s="4">
        <v>21</v>
      </c>
      <c r="W369" s="4">
        <v>74</v>
      </c>
    </row>
    <row r="370" spans="1:23" ht="11.25" customHeight="1" x14ac:dyDescent="0.25">
      <c r="A370" s="4" t="s">
        <v>21</v>
      </c>
      <c r="B370" s="4" t="s">
        <v>41</v>
      </c>
      <c r="C370" s="4" t="s">
        <v>42</v>
      </c>
      <c r="D370" s="4" t="s">
        <v>47</v>
      </c>
      <c r="E370" s="4" t="s">
        <v>25</v>
      </c>
      <c r="F370" s="4" t="s">
        <v>25</v>
      </c>
      <c r="G370" s="4" t="s">
        <v>25</v>
      </c>
      <c r="H370" s="4" t="s">
        <v>36</v>
      </c>
      <c r="I370" s="5">
        <v>44652</v>
      </c>
      <c r="J370" s="6">
        <v>8</v>
      </c>
      <c r="K370" s="6">
        <v>7.68</v>
      </c>
      <c r="L370" s="6">
        <v>0.28599999999999998</v>
      </c>
      <c r="M370" s="6">
        <v>0.27456000000000003</v>
      </c>
      <c r="N370" s="6">
        <v>0.28599999999999998</v>
      </c>
      <c r="O370" s="6">
        <v>0.27456000000000003</v>
      </c>
      <c r="P370" s="6">
        <v>0</v>
      </c>
      <c r="Q370" s="4" t="s">
        <v>26</v>
      </c>
      <c r="R370" s="4">
        <v>0</v>
      </c>
      <c r="S370" s="4" t="s">
        <v>167</v>
      </c>
      <c r="T370" s="4" t="s">
        <v>508</v>
      </c>
      <c r="U370" s="4">
        <v>19</v>
      </c>
      <c r="V370" s="4">
        <v>21</v>
      </c>
      <c r="W370" s="4">
        <v>74</v>
      </c>
    </row>
    <row r="371" spans="1:23" ht="11.25" customHeight="1" x14ac:dyDescent="0.25">
      <c r="A371" s="4" t="s">
        <v>21</v>
      </c>
      <c r="B371" s="4" t="s">
        <v>41</v>
      </c>
      <c r="C371" s="4" t="s">
        <v>42</v>
      </c>
      <c r="D371" s="4" t="s">
        <v>47</v>
      </c>
      <c r="E371" s="4" t="s">
        <v>25</v>
      </c>
      <c r="F371" s="4" t="s">
        <v>25</v>
      </c>
      <c r="G371" s="4" t="s">
        <v>25</v>
      </c>
      <c r="H371" s="4" t="s">
        <v>36</v>
      </c>
      <c r="I371" s="5">
        <v>44682</v>
      </c>
      <c r="J371" s="6">
        <v>9</v>
      </c>
      <c r="K371" s="6">
        <v>8.64</v>
      </c>
      <c r="L371" s="6">
        <v>0.26700000000000002</v>
      </c>
      <c r="M371" s="6">
        <v>0.25631999999999999</v>
      </c>
      <c r="N371" s="6">
        <v>0.26700000000000002</v>
      </c>
      <c r="O371" s="6">
        <v>0.25631999999999999</v>
      </c>
      <c r="P371" s="6">
        <v>0</v>
      </c>
      <c r="Q371" s="4" t="s">
        <v>26</v>
      </c>
      <c r="R371" s="4">
        <v>0</v>
      </c>
      <c r="S371" s="4" t="s">
        <v>168</v>
      </c>
      <c r="T371" s="4" t="s">
        <v>509</v>
      </c>
      <c r="U371" s="4">
        <v>19</v>
      </c>
      <c r="V371" s="4">
        <v>21</v>
      </c>
      <c r="W371" s="4">
        <v>74</v>
      </c>
    </row>
    <row r="372" spans="1:23" ht="11.25" customHeight="1" x14ac:dyDescent="0.25">
      <c r="A372" s="4" t="s">
        <v>21</v>
      </c>
      <c r="B372" s="4" t="s">
        <v>41</v>
      </c>
      <c r="C372" s="4" t="s">
        <v>42</v>
      </c>
      <c r="D372" s="4" t="s">
        <v>47</v>
      </c>
      <c r="E372" s="4" t="s">
        <v>25</v>
      </c>
      <c r="F372" s="4" t="s">
        <v>25</v>
      </c>
      <c r="G372" s="4" t="s">
        <v>25</v>
      </c>
      <c r="H372" s="4" t="s">
        <v>36</v>
      </c>
      <c r="I372" s="5">
        <v>44713</v>
      </c>
      <c r="J372" s="6">
        <v>8</v>
      </c>
      <c r="K372" s="6">
        <v>7.68</v>
      </c>
      <c r="L372" s="6">
        <v>0.23100000000000001</v>
      </c>
      <c r="M372" s="6">
        <v>0.22176000000000001</v>
      </c>
      <c r="N372" s="6">
        <v>0.23100000000000001</v>
      </c>
      <c r="O372" s="6">
        <v>0.22176000000000001</v>
      </c>
      <c r="P372" s="6">
        <v>0</v>
      </c>
      <c r="Q372" s="4" t="s">
        <v>26</v>
      </c>
      <c r="R372" s="4">
        <v>0</v>
      </c>
      <c r="S372" s="4" t="s">
        <v>169</v>
      </c>
      <c r="T372" s="4" t="s">
        <v>510</v>
      </c>
      <c r="U372" s="4">
        <v>19</v>
      </c>
      <c r="V372" s="4">
        <v>21</v>
      </c>
      <c r="W372" s="4">
        <v>74</v>
      </c>
    </row>
    <row r="373" spans="1:23" ht="11.25" customHeight="1" x14ac:dyDescent="0.25">
      <c r="A373" s="4" t="s">
        <v>21</v>
      </c>
      <c r="B373" s="4" t="s">
        <v>41</v>
      </c>
      <c r="C373" s="4" t="s">
        <v>42</v>
      </c>
      <c r="D373" s="4" t="s">
        <v>47</v>
      </c>
      <c r="E373" s="4" t="s">
        <v>25</v>
      </c>
      <c r="F373" s="4" t="s">
        <v>25</v>
      </c>
      <c r="G373" s="4" t="s">
        <v>25</v>
      </c>
      <c r="H373" s="4" t="s">
        <v>36</v>
      </c>
      <c r="I373" s="5">
        <v>44743</v>
      </c>
      <c r="J373" s="6">
        <v>10</v>
      </c>
      <c r="K373" s="6">
        <v>9.6</v>
      </c>
      <c r="L373" s="6">
        <v>0.222</v>
      </c>
      <c r="M373" s="6">
        <v>0.21312</v>
      </c>
      <c r="N373" s="6">
        <v>0.222</v>
      </c>
      <c r="O373" s="6">
        <v>0.21312</v>
      </c>
      <c r="P373" s="6">
        <v>0</v>
      </c>
      <c r="Q373" s="4" t="s">
        <v>26</v>
      </c>
      <c r="R373" s="4">
        <v>0</v>
      </c>
      <c r="S373" s="4" t="s">
        <v>170</v>
      </c>
      <c r="T373" s="4" t="s">
        <v>511</v>
      </c>
      <c r="U373" s="4">
        <v>19</v>
      </c>
      <c r="V373" s="4">
        <v>21</v>
      </c>
      <c r="W373" s="4">
        <v>74</v>
      </c>
    </row>
    <row r="374" spans="1:23" ht="11.25" customHeight="1" x14ac:dyDescent="0.25">
      <c r="A374" s="4" t="s">
        <v>21</v>
      </c>
      <c r="B374" s="4" t="s">
        <v>41</v>
      </c>
      <c r="C374" s="4" t="s">
        <v>42</v>
      </c>
      <c r="D374" s="4" t="s">
        <v>47</v>
      </c>
      <c r="E374" s="4" t="s">
        <v>25</v>
      </c>
      <c r="F374" s="4" t="s">
        <v>25</v>
      </c>
      <c r="G374" s="4" t="s">
        <v>25</v>
      </c>
      <c r="H374" s="4" t="s">
        <v>36</v>
      </c>
      <c r="I374" s="5">
        <v>44774</v>
      </c>
      <c r="J374" s="6">
        <v>10</v>
      </c>
      <c r="K374" s="6">
        <v>9.6</v>
      </c>
      <c r="L374" s="6">
        <v>0.34300000000000003</v>
      </c>
      <c r="M374" s="6">
        <v>0.32928000000000002</v>
      </c>
      <c r="N374" s="6">
        <v>0.34300000000000003</v>
      </c>
      <c r="O374" s="6">
        <v>0.32928000000000002</v>
      </c>
      <c r="P374" s="6">
        <v>0</v>
      </c>
      <c r="Q374" s="4" t="s">
        <v>26</v>
      </c>
      <c r="R374" s="4">
        <v>0</v>
      </c>
      <c r="S374" s="4" t="s">
        <v>171</v>
      </c>
      <c r="T374" s="4" t="s">
        <v>512</v>
      </c>
      <c r="U374" s="4">
        <v>19</v>
      </c>
      <c r="V374" s="4">
        <v>21</v>
      </c>
      <c r="W374" s="4">
        <v>74</v>
      </c>
    </row>
    <row r="375" spans="1:23" ht="11.25" customHeight="1" x14ac:dyDescent="0.25">
      <c r="A375" s="4" t="s">
        <v>21</v>
      </c>
      <c r="B375" s="4" t="s">
        <v>41</v>
      </c>
      <c r="C375" s="4" t="s">
        <v>42</v>
      </c>
      <c r="D375" s="4" t="s">
        <v>47</v>
      </c>
      <c r="E375" s="4" t="s">
        <v>25</v>
      </c>
      <c r="F375" s="4" t="s">
        <v>25</v>
      </c>
      <c r="G375" s="4" t="s">
        <v>25</v>
      </c>
      <c r="H375" s="4" t="s">
        <v>36</v>
      </c>
      <c r="I375" s="5">
        <v>44805</v>
      </c>
      <c r="J375" s="6">
        <v>21</v>
      </c>
      <c r="K375" s="6">
        <v>20.16</v>
      </c>
      <c r="L375" s="6">
        <v>0.36</v>
      </c>
      <c r="M375" s="6">
        <v>0.34560000000000002</v>
      </c>
      <c r="N375" s="6">
        <v>0.36</v>
      </c>
      <c r="O375" s="6">
        <v>0.34560000000000002</v>
      </c>
      <c r="P375" s="6">
        <v>0</v>
      </c>
      <c r="Q375" s="4" t="s">
        <v>26</v>
      </c>
      <c r="R375" s="4">
        <v>0</v>
      </c>
      <c r="S375" s="4" t="s">
        <v>172</v>
      </c>
      <c r="T375" s="4" t="s">
        <v>513</v>
      </c>
      <c r="U375" s="4">
        <v>19</v>
      </c>
      <c r="V375" s="4">
        <v>21</v>
      </c>
      <c r="W375" s="4">
        <v>74</v>
      </c>
    </row>
    <row r="376" spans="1:23" ht="11.25" customHeight="1" x14ac:dyDescent="0.25">
      <c r="A376" s="4" t="s">
        <v>21</v>
      </c>
      <c r="B376" s="4" t="s">
        <v>41</v>
      </c>
      <c r="C376" s="4" t="s">
        <v>42</v>
      </c>
      <c r="D376" s="4" t="s">
        <v>47</v>
      </c>
      <c r="E376" s="4" t="s">
        <v>25</v>
      </c>
      <c r="F376" s="4" t="s">
        <v>25</v>
      </c>
      <c r="G376" s="4" t="s">
        <v>25</v>
      </c>
      <c r="H376" s="4" t="s">
        <v>36</v>
      </c>
      <c r="I376" s="5">
        <v>44835</v>
      </c>
      <c r="J376" s="6">
        <v>9</v>
      </c>
      <c r="K376" s="6">
        <v>8.64</v>
      </c>
      <c r="L376" s="6">
        <v>0.318</v>
      </c>
      <c r="M376" s="6">
        <v>0.30528</v>
      </c>
      <c r="N376" s="6">
        <v>0.318</v>
      </c>
      <c r="O376" s="6">
        <v>0.30528</v>
      </c>
      <c r="P376" s="6">
        <v>0</v>
      </c>
      <c r="Q376" s="4" t="s">
        <v>26</v>
      </c>
      <c r="R376" s="4">
        <v>0</v>
      </c>
      <c r="S376" s="4" t="s">
        <v>173</v>
      </c>
      <c r="T376" s="4" t="s">
        <v>514</v>
      </c>
      <c r="U376" s="4">
        <v>19</v>
      </c>
      <c r="V376" s="4">
        <v>21</v>
      </c>
      <c r="W376" s="4">
        <v>74</v>
      </c>
    </row>
    <row r="377" spans="1:23" ht="11.25" customHeight="1" x14ac:dyDescent="0.25">
      <c r="A377" s="4" t="s">
        <v>59</v>
      </c>
      <c r="B377" s="4" t="s">
        <v>41</v>
      </c>
      <c r="C377" s="4" t="s">
        <v>42</v>
      </c>
      <c r="D377" s="4" t="s">
        <v>47</v>
      </c>
      <c r="E377" s="4" t="s">
        <v>25</v>
      </c>
      <c r="F377" s="4" t="s">
        <v>25</v>
      </c>
      <c r="G377" s="4" t="s">
        <v>25</v>
      </c>
      <c r="H377" s="4" t="s">
        <v>36</v>
      </c>
      <c r="I377" s="5">
        <v>44866</v>
      </c>
      <c r="J377" s="6">
        <v>9</v>
      </c>
      <c r="K377" s="6">
        <v>8.64</v>
      </c>
      <c r="L377" s="6">
        <v>0.318</v>
      </c>
      <c r="M377" s="6">
        <v>0.30528</v>
      </c>
      <c r="N377" s="6">
        <v>0.318</v>
      </c>
      <c r="O377" s="6">
        <v>0.30528</v>
      </c>
      <c r="P377" s="6">
        <v>0</v>
      </c>
      <c r="Q377" s="4" t="s">
        <v>26</v>
      </c>
      <c r="R377" s="4">
        <v>0</v>
      </c>
      <c r="S377" s="4" t="s">
        <v>174</v>
      </c>
      <c r="T377" s="4" t="s">
        <v>515</v>
      </c>
      <c r="U377" s="4">
        <v>19</v>
      </c>
      <c r="V377" s="4">
        <v>21</v>
      </c>
      <c r="W377" s="4">
        <v>74</v>
      </c>
    </row>
    <row r="378" spans="1:23" ht="11.25" customHeight="1" x14ac:dyDescent="0.25">
      <c r="A378" s="4" t="s">
        <v>21</v>
      </c>
      <c r="B378" s="4" t="s">
        <v>41</v>
      </c>
      <c r="C378" s="4" t="s">
        <v>42</v>
      </c>
      <c r="D378" s="4" t="s">
        <v>52</v>
      </c>
      <c r="E378" s="4" t="s">
        <v>53</v>
      </c>
      <c r="F378" s="4" t="s">
        <v>25</v>
      </c>
      <c r="G378" s="4" t="s">
        <v>25</v>
      </c>
      <c r="H378" s="4" t="s">
        <v>37</v>
      </c>
      <c r="I378" s="5">
        <v>44531</v>
      </c>
      <c r="J378" s="6">
        <v>1956</v>
      </c>
      <c r="K378" s="6">
        <v>1838.64</v>
      </c>
      <c r="L378" s="6">
        <v>541.90200000000004</v>
      </c>
      <c r="M378" s="6">
        <v>509.38788</v>
      </c>
      <c r="N378" s="6">
        <v>541.90200000000004</v>
      </c>
      <c r="O378" s="6">
        <v>509.38788</v>
      </c>
      <c r="P378" s="6">
        <v>0</v>
      </c>
      <c r="Q378" s="4" t="s">
        <v>26</v>
      </c>
      <c r="R378" s="4">
        <v>0</v>
      </c>
      <c r="S378" s="4" t="s">
        <v>151</v>
      </c>
      <c r="T378" s="4" t="s">
        <v>492</v>
      </c>
      <c r="U378" s="4">
        <v>20</v>
      </c>
      <c r="V378" s="4">
        <v>21</v>
      </c>
      <c r="W378" s="4">
        <v>75</v>
      </c>
    </row>
    <row r="379" spans="1:23" ht="11.25" customHeight="1" x14ac:dyDescent="0.25">
      <c r="A379" s="4" t="s">
        <v>28</v>
      </c>
      <c r="B379" s="4" t="s">
        <v>41</v>
      </c>
      <c r="C379" s="4" t="s">
        <v>42</v>
      </c>
      <c r="D379" s="4" t="s">
        <v>52</v>
      </c>
      <c r="E379" s="4" t="s">
        <v>53</v>
      </c>
      <c r="F379" s="4" t="s">
        <v>25</v>
      </c>
      <c r="G379" s="4" t="s">
        <v>25</v>
      </c>
      <c r="H379" s="4" t="s">
        <v>37</v>
      </c>
      <c r="I379" s="5">
        <v>44531</v>
      </c>
      <c r="J379" s="6">
        <v>97</v>
      </c>
      <c r="K379" s="6">
        <v>91.18</v>
      </c>
      <c r="L379" s="6">
        <v>37.679000000000002</v>
      </c>
      <c r="M379" s="6">
        <v>35.418259999999997</v>
      </c>
      <c r="N379" s="6">
        <v>37.679000000000002</v>
      </c>
      <c r="O379" s="6">
        <v>35.418259999999997</v>
      </c>
      <c r="P379" s="6">
        <v>0</v>
      </c>
      <c r="Q379" s="4" t="s">
        <v>26</v>
      </c>
      <c r="R379" s="4">
        <v>0</v>
      </c>
      <c r="S379" s="4" t="s">
        <v>151</v>
      </c>
      <c r="T379" s="4" t="s">
        <v>492</v>
      </c>
      <c r="U379" s="4">
        <v>20</v>
      </c>
      <c r="V379" s="4">
        <v>21</v>
      </c>
      <c r="W379" s="4">
        <v>75</v>
      </c>
    </row>
    <row r="380" spans="1:23" ht="11.25" customHeight="1" x14ac:dyDescent="0.25">
      <c r="A380" s="4" t="s">
        <v>21</v>
      </c>
      <c r="B380" s="4" t="s">
        <v>41</v>
      </c>
      <c r="C380" s="4" t="s">
        <v>42</v>
      </c>
      <c r="D380" s="4" t="s">
        <v>52</v>
      </c>
      <c r="E380" s="4" t="s">
        <v>53</v>
      </c>
      <c r="F380" s="4" t="s">
        <v>25</v>
      </c>
      <c r="G380" s="4" t="s">
        <v>25</v>
      </c>
      <c r="H380" s="4" t="s">
        <v>37</v>
      </c>
      <c r="I380" s="5">
        <v>44562</v>
      </c>
      <c r="J380" s="6">
        <v>158</v>
      </c>
      <c r="K380" s="6">
        <v>148.52000000000001</v>
      </c>
      <c r="L380" s="6">
        <v>92.040999999999997</v>
      </c>
      <c r="M380" s="6">
        <v>86.518540000000002</v>
      </c>
      <c r="N380" s="6">
        <v>92.040999999999997</v>
      </c>
      <c r="O380" s="6">
        <v>86.518540000000002</v>
      </c>
      <c r="P380" s="6">
        <v>0</v>
      </c>
      <c r="Q380" s="4" t="s">
        <v>26</v>
      </c>
      <c r="R380" s="4">
        <v>0</v>
      </c>
      <c r="S380" s="4" t="s">
        <v>152</v>
      </c>
      <c r="T380" s="4" t="s">
        <v>493</v>
      </c>
      <c r="U380" s="4">
        <v>20</v>
      </c>
      <c r="V380" s="4">
        <v>21</v>
      </c>
      <c r="W380" s="4">
        <v>75</v>
      </c>
    </row>
    <row r="381" spans="1:23" ht="11.25" customHeight="1" x14ac:dyDescent="0.25">
      <c r="A381" s="4" t="s">
        <v>28</v>
      </c>
      <c r="B381" s="4" t="s">
        <v>41</v>
      </c>
      <c r="C381" s="4" t="s">
        <v>42</v>
      </c>
      <c r="D381" s="4" t="s">
        <v>52</v>
      </c>
      <c r="E381" s="4" t="s">
        <v>53</v>
      </c>
      <c r="F381" s="4" t="s">
        <v>25</v>
      </c>
      <c r="G381" s="4" t="s">
        <v>25</v>
      </c>
      <c r="H381" s="4" t="s">
        <v>37</v>
      </c>
      <c r="I381" s="5">
        <v>44562</v>
      </c>
      <c r="J381" s="6">
        <v>91</v>
      </c>
      <c r="K381" s="6">
        <v>85.54</v>
      </c>
      <c r="L381" s="6">
        <v>36.326000000000001</v>
      </c>
      <c r="M381" s="6">
        <v>34.146439999999998</v>
      </c>
      <c r="N381" s="6">
        <v>36.326000000000001</v>
      </c>
      <c r="O381" s="6">
        <v>34.146439999999998</v>
      </c>
      <c r="P381" s="6">
        <v>0</v>
      </c>
      <c r="Q381" s="4" t="s">
        <v>26</v>
      </c>
      <c r="R381" s="4">
        <v>0</v>
      </c>
      <c r="S381" s="4" t="s">
        <v>152</v>
      </c>
      <c r="T381" s="4" t="s">
        <v>493</v>
      </c>
      <c r="U381" s="4">
        <v>20</v>
      </c>
      <c r="V381" s="4">
        <v>21</v>
      </c>
      <c r="W381" s="4">
        <v>75</v>
      </c>
    </row>
    <row r="382" spans="1:23" ht="11.25" customHeight="1" x14ac:dyDescent="0.25">
      <c r="A382" s="4" t="s">
        <v>21</v>
      </c>
      <c r="B382" s="4" t="s">
        <v>41</v>
      </c>
      <c r="C382" s="4" t="s">
        <v>42</v>
      </c>
      <c r="D382" s="4" t="s">
        <v>52</v>
      </c>
      <c r="E382" s="4" t="s">
        <v>53</v>
      </c>
      <c r="F382" s="4" t="s">
        <v>25</v>
      </c>
      <c r="G382" s="4" t="s">
        <v>25</v>
      </c>
      <c r="H382" s="4" t="s">
        <v>37</v>
      </c>
      <c r="I382" s="5">
        <v>44593</v>
      </c>
      <c r="J382" s="6">
        <v>156</v>
      </c>
      <c r="K382" s="6">
        <v>146.63999999999999</v>
      </c>
      <c r="L382" s="6">
        <v>85.494</v>
      </c>
      <c r="M382" s="6">
        <v>80.364360000000005</v>
      </c>
      <c r="N382" s="6">
        <v>85.494</v>
      </c>
      <c r="O382" s="6">
        <v>80.364360000000005</v>
      </c>
      <c r="P382" s="6">
        <v>0</v>
      </c>
      <c r="Q382" s="4" t="s">
        <v>26</v>
      </c>
      <c r="R382" s="4">
        <v>0</v>
      </c>
      <c r="S382" s="4" t="s">
        <v>153</v>
      </c>
      <c r="T382" s="4" t="s">
        <v>494</v>
      </c>
      <c r="U382" s="4">
        <v>20</v>
      </c>
      <c r="V382" s="4">
        <v>21</v>
      </c>
      <c r="W382" s="4">
        <v>75</v>
      </c>
    </row>
    <row r="383" spans="1:23" ht="11.25" customHeight="1" x14ac:dyDescent="0.25">
      <c r="A383" s="4" t="s">
        <v>28</v>
      </c>
      <c r="B383" s="4" t="s">
        <v>41</v>
      </c>
      <c r="C383" s="4" t="s">
        <v>42</v>
      </c>
      <c r="D383" s="4" t="s">
        <v>52</v>
      </c>
      <c r="E383" s="4" t="s">
        <v>53</v>
      </c>
      <c r="F383" s="4" t="s">
        <v>25</v>
      </c>
      <c r="G383" s="4" t="s">
        <v>25</v>
      </c>
      <c r="H383" s="4" t="s">
        <v>37</v>
      </c>
      <c r="I383" s="5">
        <v>44593</v>
      </c>
      <c r="J383" s="6">
        <v>90</v>
      </c>
      <c r="K383" s="6">
        <v>84.6</v>
      </c>
      <c r="L383" s="6">
        <v>40.375</v>
      </c>
      <c r="M383" s="6">
        <v>37.952500000000001</v>
      </c>
      <c r="N383" s="6">
        <v>40.375</v>
      </c>
      <c r="O383" s="6">
        <v>37.952500000000001</v>
      </c>
      <c r="P383" s="6">
        <v>0</v>
      </c>
      <c r="Q383" s="4" t="s">
        <v>26</v>
      </c>
      <c r="R383" s="4">
        <v>0</v>
      </c>
      <c r="S383" s="4" t="s">
        <v>153</v>
      </c>
      <c r="T383" s="4" t="s">
        <v>494</v>
      </c>
      <c r="U383" s="4">
        <v>20</v>
      </c>
      <c r="V383" s="4">
        <v>21</v>
      </c>
      <c r="W383" s="4">
        <v>75</v>
      </c>
    </row>
    <row r="384" spans="1:23" ht="11.25" customHeight="1" x14ac:dyDescent="0.25">
      <c r="A384" s="4" t="s">
        <v>21</v>
      </c>
      <c r="B384" s="4" t="s">
        <v>41</v>
      </c>
      <c r="C384" s="4" t="s">
        <v>42</v>
      </c>
      <c r="D384" s="4" t="s">
        <v>52</v>
      </c>
      <c r="E384" s="4" t="s">
        <v>53</v>
      </c>
      <c r="F384" s="4" t="s">
        <v>25</v>
      </c>
      <c r="G384" s="4" t="s">
        <v>25</v>
      </c>
      <c r="H384" s="4" t="s">
        <v>37</v>
      </c>
      <c r="I384" s="5">
        <v>44621</v>
      </c>
      <c r="J384" s="6">
        <v>160</v>
      </c>
      <c r="K384" s="6">
        <v>150.4</v>
      </c>
      <c r="L384" s="6">
        <v>93.093000000000004</v>
      </c>
      <c r="M384" s="6">
        <v>87.507419999999996</v>
      </c>
      <c r="N384" s="6">
        <v>93.093000000000004</v>
      </c>
      <c r="O384" s="6">
        <v>87.507419999999996</v>
      </c>
      <c r="P384" s="6">
        <v>0</v>
      </c>
      <c r="Q384" s="4" t="s">
        <v>26</v>
      </c>
      <c r="R384" s="4">
        <v>0</v>
      </c>
      <c r="S384" s="4" t="s">
        <v>154</v>
      </c>
      <c r="T384" s="4" t="s">
        <v>495</v>
      </c>
      <c r="U384" s="4">
        <v>20</v>
      </c>
      <c r="V384" s="4">
        <v>21</v>
      </c>
      <c r="W384" s="4">
        <v>75</v>
      </c>
    </row>
    <row r="385" spans="1:23" ht="11.25" customHeight="1" x14ac:dyDescent="0.25">
      <c r="A385" s="4" t="s">
        <v>28</v>
      </c>
      <c r="B385" s="4" t="s">
        <v>41</v>
      </c>
      <c r="C385" s="4" t="s">
        <v>42</v>
      </c>
      <c r="D385" s="4" t="s">
        <v>52</v>
      </c>
      <c r="E385" s="4" t="s">
        <v>53</v>
      </c>
      <c r="F385" s="4" t="s">
        <v>25</v>
      </c>
      <c r="G385" s="4" t="s">
        <v>25</v>
      </c>
      <c r="H385" s="4" t="s">
        <v>37</v>
      </c>
      <c r="I385" s="5">
        <v>44621</v>
      </c>
      <c r="J385" s="6">
        <v>91</v>
      </c>
      <c r="K385" s="6">
        <v>85.54</v>
      </c>
      <c r="L385" s="6">
        <v>36.768999999999998</v>
      </c>
      <c r="M385" s="6">
        <v>34.562860000000001</v>
      </c>
      <c r="N385" s="6">
        <v>36.768999999999998</v>
      </c>
      <c r="O385" s="6">
        <v>34.562860000000001</v>
      </c>
      <c r="P385" s="6">
        <v>0</v>
      </c>
      <c r="Q385" s="4" t="s">
        <v>26</v>
      </c>
      <c r="R385" s="4">
        <v>0</v>
      </c>
      <c r="S385" s="4" t="s">
        <v>154</v>
      </c>
      <c r="T385" s="4" t="s">
        <v>495</v>
      </c>
      <c r="U385" s="4">
        <v>20</v>
      </c>
      <c r="V385" s="4">
        <v>21</v>
      </c>
      <c r="W385" s="4">
        <v>75</v>
      </c>
    </row>
    <row r="386" spans="1:23" ht="11.25" customHeight="1" x14ac:dyDescent="0.25">
      <c r="A386" s="4" t="s">
        <v>21</v>
      </c>
      <c r="B386" s="4" t="s">
        <v>41</v>
      </c>
      <c r="C386" s="4" t="s">
        <v>42</v>
      </c>
      <c r="D386" s="4" t="s">
        <v>52</v>
      </c>
      <c r="E386" s="4" t="s">
        <v>53</v>
      </c>
      <c r="F386" s="4" t="s">
        <v>25</v>
      </c>
      <c r="G386" s="4" t="s">
        <v>25</v>
      </c>
      <c r="H386" s="4" t="s">
        <v>37</v>
      </c>
      <c r="I386" s="5">
        <v>44652</v>
      </c>
      <c r="J386" s="6">
        <v>160</v>
      </c>
      <c r="K386" s="6">
        <v>150.4</v>
      </c>
      <c r="L386" s="6">
        <v>88.587000000000003</v>
      </c>
      <c r="M386" s="6">
        <v>83.271780000000007</v>
      </c>
      <c r="N386" s="6">
        <v>88.587000000000003</v>
      </c>
      <c r="O386" s="6">
        <v>83.271780000000007</v>
      </c>
      <c r="P386" s="6">
        <v>0</v>
      </c>
      <c r="Q386" s="4" t="s">
        <v>26</v>
      </c>
      <c r="R386" s="4">
        <v>0</v>
      </c>
      <c r="S386" s="4" t="s">
        <v>155</v>
      </c>
      <c r="T386" s="4" t="s">
        <v>496</v>
      </c>
      <c r="U386" s="4">
        <v>20</v>
      </c>
      <c r="V386" s="4">
        <v>21</v>
      </c>
      <c r="W386" s="4">
        <v>75</v>
      </c>
    </row>
    <row r="387" spans="1:23" ht="11.25" customHeight="1" x14ac:dyDescent="0.25">
      <c r="A387" s="4" t="s">
        <v>28</v>
      </c>
      <c r="B387" s="4" t="s">
        <v>41</v>
      </c>
      <c r="C387" s="4" t="s">
        <v>42</v>
      </c>
      <c r="D387" s="4" t="s">
        <v>52</v>
      </c>
      <c r="E387" s="4" t="s">
        <v>53</v>
      </c>
      <c r="F387" s="4" t="s">
        <v>25</v>
      </c>
      <c r="G387" s="4" t="s">
        <v>25</v>
      </c>
      <c r="H387" s="4" t="s">
        <v>37</v>
      </c>
      <c r="I387" s="5">
        <v>44652</v>
      </c>
      <c r="J387" s="6">
        <v>93</v>
      </c>
      <c r="K387" s="6">
        <v>87.42</v>
      </c>
      <c r="L387" s="6">
        <v>39.274999999999999</v>
      </c>
      <c r="M387" s="6">
        <v>36.918500000000002</v>
      </c>
      <c r="N387" s="6">
        <v>39.274999999999999</v>
      </c>
      <c r="O387" s="6">
        <v>36.918500000000002</v>
      </c>
      <c r="P387" s="6">
        <v>0</v>
      </c>
      <c r="Q387" s="4" t="s">
        <v>26</v>
      </c>
      <c r="R387" s="4">
        <v>0</v>
      </c>
      <c r="S387" s="4" t="s">
        <v>155</v>
      </c>
      <c r="T387" s="4" t="s">
        <v>496</v>
      </c>
      <c r="U387" s="4">
        <v>20</v>
      </c>
      <c r="V387" s="4">
        <v>21</v>
      </c>
      <c r="W387" s="4">
        <v>75</v>
      </c>
    </row>
    <row r="388" spans="1:23" ht="11.25" customHeight="1" x14ac:dyDescent="0.25">
      <c r="A388" s="4" t="s">
        <v>21</v>
      </c>
      <c r="B388" s="4" t="s">
        <v>41</v>
      </c>
      <c r="C388" s="4" t="s">
        <v>42</v>
      </c>
      <c r="D388" s="4" t="s">
        <v>52</v>
      </c>
      <c r="E388" s="4" t="s">
        <v>53</v>
      </c>
      <c r="F388" s="4" t="s">
        <v>25</v>
      </c>
      <c r="G388" s="4" t="s">
        <v>25</v>
      </c>
      <c r="H388" s="4" t="s">
        <v>37</v>
      </c>
      <c r="I388" s="5">
        <v>44682</v>
      </c>
      <c r="J388" s="6">
        <v>158</v>
      </c>
      <c r="K388" s="6">
        <v>148.52000000000001</v>
      </c>
      <c r="L388" s="6">
        <v>92.653000000000006</v>
      </c>
      <c r="M388" s="6">
        <v>87.093819999999994</v>
      </c>
      <c r="N388" s="6">
        <v>92.653000000000006</v>
      </c>
      <c r="O388" s="6">
        <v>87.093819999999994</v>
      </c>
      <c r="P388" s="6">
        <v>0</v>
      </c>
      <c r="Q388" s="4" t="s">
        <v>26</v>
      </c>
      <c r="R388" s="4">
        <v>0</v>
      </c>
      <c r="S388" s="4" t="s">
        <v>156</v>
      </c>
      <c r="T388" s="4" t="s">
        <v>497</v>
      </c>
      <c r="U388" s="4">
        <v>20</v>
      </c>
      <c r="V388" s="4">
        <v>21</v>
      </c>
      <c r="W388" s="4">
        <v>75</v>
      </c>
    </row>
    <row r="389" spans="1:23" ht="11.25" customHeight="1" x14ac:dyDescent="0.25">
      <c r="A389" s="4" t="s">
        <v>28</v>
      </c>
      <c r="B389" s="4" t="s">
        <v>41</v>
      </c>
      <c r="C389" s="4" t="s">
        <v>42</v>
      </c>
      <c r="D389" s="4" t="s">
        <v>52</v>
      </c>
      <c r="E389" s="4" t="s">
        <v>53</v>
      </c>
      <c r="F389" s="4" t="s">
        <v>25</v>
      </c>
      <c r="G389" s="4" t="s">
        <v>25</v>
      </c>
      <c r="H389" s="4" t="s">
        <v>37</v>
      </c>
      <c r="I389" s="5">
        <v>44682</v>
      </c>
      <c r="J389" s="6">
        <v>94</v>
      </c>
      <c r="K389" s="6">
        <v>88.36</v>
      </c>
      <c r="L389" s="6">
        <v>38.981999999999999</v>
      </c>
      <c r="M389" s="6">
        <v>36.643079999999998</v>
      </c>
      <c r="N389" s="6">
        <v>38.981999999999999</v>
      </c>
      <c r="O389" s="6">
        <v>36.643079999999998</v>
      </c>
      <c r="P389" s="6">
        <v>0</v>
      </c>
      <c r="Q389" s="4" t="s">
        <v>26</v>
      </c>
      <c r="R389" s="4">
        <v>0</v>
      </c>
      <c r="S389" s="4" t="s">
        <v>156</v>
      </c>
      <c r="T389" s="4" t="s">
        <v>497</v>
      </c>
      <c r="U389" s="4">
        <v>20</v>
      </c>
      <c r="V389" s="4">
        <v>21</v>
      </c>
      <c r="W389" s="4">
        <v>75</v>
      </c>
    </row>
    <row r="390" spans="1:23" ht="11.25" customHeight="1" x14ac:dyDescent="0.25">
      <c r="A390" s="4" t="s">
        <v>21</v>
      </c>
      <c r="B390" s="4" t="s">
        <v>41</v>
      </c>
      <c r="C390" s="4" t="s">
        <v>42</v>
      </c>
      <c r="D390" s="4" t="s">
        <v>52</v>
      </c>
      <c r="E390" s="4" t="s">
        <v>53</v>
      </c>
      <c r="F390" s="4" t="s">
        <v>25</v>
      </c>
      <c r="G390" s="4" t="s">
        <v>25</v>
      </c>
      <c r="H390" s="4" t="s">
        <v>37</v>
      </c>
      <c r="I390" s="5">
        <v>44713</v>
      </c>
      <c r="J390" s="6">
        <v>159</v>
      </c>
      <c r="K390" s="6">
        <v>149.46</v>
      </c>
      <c r="L390" s="6">
        <v>85.656000000000006</v>
      </c>
      <c r="M390" s="6">
        <v>80.516639999999995</v>
      </c>
      <c r="N390" s="6">
        <v>85.656000000000006</v>
      </c>
      <c r="O390" s="6">
        <v>80.516639999999995</v>
      </c>
      <c r="P390" s="6">
        <v>0</v>
      </c>
      <c r="Q390" s="4" t="s">
        <v>26</v>
      </c>
      <c r="R390" s="4">
        <v>0</v>
      </c>
      <c r="S390" s="4" t="s">
        <v>157</v>
      </c>
      <c r="T390" s="4" t="s">
        <v>498</v>
      </c>
      <c r="U390" s="4">
        <v>20</v>
      </c>
      <c r="V390" s="4">
        <v>21</v>
      </c>
      <c r="W390" s="4">
        <v>75</v>
      </c>
    </row>
    <row r="391" spans="1:23" ht="11.25" customHeight="1" x14ac:dyDescent="0.25">
      <c r="A391" s="4" t="s">
        <v>28</v>
      </c>
      <c r="B391" s="4" t="s">
        <v>41</v>
      </c>
      <c r="C391" s="4" t="s">
        <v>42</v>
      </c>
      <c r="D391" s="4" t="s">
        <v>52</v>
      </c>
      <c r="E391" s="4" t="s">
        <v>53</v>
      </c>
      <c r="F391" s="4" t="s">
        <v>25</v>
      </c>
      <c r="G391" s="4" t="s">
        <v>25</v>
      </c>
      <c r="H391" s="4" t="s">
        <v>37</v>
      </c>
      <c r="I391" s="5">
        <v>44713</v>
      </c>
      <c r="J391" s="6">
        <v>93</v>
      </c>
      <c r="K391" s="6">
        <v>87.42</v>
      </c>
      <c r="L391" s="6">
        <v>45.875</v>
      </c>
      <c r="M391" s="6">
        <v>43.122500000000002</v>
      </c>
      <c r="N391" s="6">
        <v>45.875</v>
      </c>
      <c r="O391" s="6">
        <v>43.122500000000002</v>
      </c>
      <c r="P391" s="6">
        <v>0</v>
      </c>
      <c r="Q391" s="4" t="s">
        <v>26</v>
      </c>
      <c r="R391" s="4">
        <v>0</v>
      </c>
      <c r="S391" s="4" t="s">
        <v>157</v>
      </c>
      <c r="T391" s="4" t="s">
        <v>498</v>
      </c>
      <c r="U391" s="4">
        <v>20</v>
      </c>
      <c r="V391" s="4">
        <v>21</v>
      </c>
      <c r="W391" s="4">
        <v>75</v>
      </c>
    </row>
    <row r="392" spans="1:23" ht="11.25" customHeight="1" x14ac:dyDescent="0.25">
      <c r="A392" s="4" t="s">
        <v>21</v>
      </c>
      <c r="B392" s="4" t="s">
        <v>41</v>
      </c>
      <c r="C392" s="4" t="s">
        <v>42</v>
      </c>
      <c r="D392" s="4" t="s">
        <v>52</v>
      </c>
      <c r="E392" s="4" t="s">
        <v>53</v>
      </c>
      <c r="F392" s="4" t="s">
        <v>25</v>
      </c>
      <c r="G392" s="4" t="s">
        <v>25</v>
      </c>
      <c r="H392" s="4" t="s">
        <v>37</v>
      </c>
      <c r="I392" s="5">
        <v>44743</v>
      </c>
      <c r="J392" s="6">
        <v>155</v>
      </c>
      <c r="K392" s="6">
        <v>145.69999999999999</v>
      </c>
      <c r="L392" s="6">
        <v>93.438999999999993</v>
      </c>
      <c r="M392" s="6">
        <v>87.832660000000004</v>
      </c>
      <c r="N392" s="6">
        <v>93.438999999999993</v>
      </c>
      <c r="O392" s="6">
        <v>87.832660000000004</v>
      </c>
      <c r="P392" s="6">
        <v>0</v>
      </c>
      <c r="Q392" s="4" t="s">
        <v>26</v>
      </c>
      <c r="R392" s="4">
        <v>0</v>
      </c>
      <c r="S392" s="4" t="s">
        <v>158</v>
      </c>
      <c r="T392" s="4" t="s">
        <v>499</v>
      </c>
      <c r="U392" s="4">
        <v>20</v>
      </c>
      <c r="V392" s="4">
        <v>21</v>
      </c>
      <c r="W392" s="4">
        <v>75</v>
      </c>
    </row>
    <row r="393" spans="1:23" ht="11.25" customHeight="1" x14ac:dyDescent="0.25">
      <c r="A393" s="4" t="s">
        <v>28</v>
      </c>
      <c r="B393" s="4" t="s">
        <v>41</v>
      </c>
      <c r="C393" s="4" t="s">
        <v>42</v>
      </c>
      <c r="D393" s="4" t="s">
        <v>52</v>
      </c>
      <c r="E393" s="4" t="s">
        <v>53</v>
      </c>
      <c r="F393" s="4" t="s">
        <v>25</v>
      </c>
      <c r="G393" s="4" t="s">
        <v>25</v>
      </c>
      <c r="H393" s="4" t="s">
        <v>37</v>
      </c>
      <c r="I393" s="5">
        <v>44743</v>
      </c>
      <c r="J393" s="6">
        <v>94</v>
      </c>
      <c r="K393" s="6">
        <v>88.36</v>
      </c>
      <c r="L393" s="6">
        <v>47.609000000000002</v>
      </c>
      <c r="M393" s="6">
        <v>44.752459999999999</v>
      </c>
      <c r="N393" s="6">
        <v>47.609000000000002</v>
      </c>
      <c r="O393" s="6">
        <v>44.752459999999999</v>
      </c>
      <c r="P393" s="6">
        <v>0</v>
      </c>
      <c r="Q393" s="4" t="s">
        <v>26</v>
      </c>
      <c r="R393" s="4">
        <v>0</v>
      </c>
      <c r="S393" s="4" t="s">
        <v>158</v>
      </c>
      <c r="T393" s="4" t="s">
        <v>499</v>
      </c>
      <c r="U393" s="4">
        <v>20</v>
      </c>
      <c r="V393" s="4">
        <v>21</v>
      </c>
      <c r="W393" s="4">
        <v>75</v>
      </c>
    </row>
    <row r="394" spans="1:23" ht="11.25" customHeight="1" x14ac:dyDescent="0.25">
      <c r="A394" s="4" t="s">
        <v>21</v>
      </c>
      <c r="B394" s="4" t="s">
        <v>41</v>
      </c>
      <c r="C394" s="4" t="s">
        <v>42</v>
      </c>
      <c r="D394" s="4" t="s">
        <v>52</v>
      </c>
      <c r="E394" s="4" t="s">
        <v>53</v>
      </c>
      <c r="F394" s="4" t="s">
        <v>25</v>
      </c>
      <c r="G394" s="4" t="s">
        <v>25</v>
      </c>
      <c r="H394" s="4" t="s">
        <v>37</v>
      </c>
      <c r="I394" s="5">
        <v>44774</v>
      </c>
      <c r="J394" s="6">
        <v>161</v>
      </c>
      <c r="K394" s="6">
        <v>151.34</v>
      </c>
      <c r="L394" s="6">
        <v>95.522999999999996</v>
      </c>
      <c r="M394" s="6">
        <v>89.791619999999995</v>
      </c>
      <c r="N394" s="6">
        <v>95.522999999999996</v>
      </c>
      <c r="O394" s="6">
        <v>89.791619999999995</v>
      </c>
      <c r="P394" s="6">
        <v>0</v>
      </c>
      <c r="Q394" s="4" t="s">
        <v>26</v>
      </c>
      <c r="R394" s="4">
        <v>0</v>
      </c>
      <c r="S394" s="4" t="s">
        <v>159</v>
      </c>
      <c r="T394" s="4" t="s">
        <v>500</v>
      </c>
      <c r="U394" s="4">
        <v>20</v>
      </c>
      <c r="V394" s="4">
        <v>21</v>
      </c>
      <c r="W394" s="4">
        <v>75</v>
      </c>
    </row>
    <row r="395" spans="1:23" ht="11.25" customHeight="1" x14ac:dyDescent="0.25">
      <c r="A395" s="4" t="s">
        <v>28</v>
      </c>
      <c r="B395" s="4" t="s">
        <v>41</v>
      </c>
      <c r="C395" s="4" t="s">
        <v>42</v>
      </c>
      <c r="D395" s="4" t="s">
        <v>52</v>
      </c>
      <c r="E395" s="4" t="s">
        <v>53</v>
      </c>
      <c r="F395" s="4" t="s">
        <v>25</v>
      </c>
      <c r="G395" s="4" t="s">
        <v>25</v>
      </c>
      <c r="H395" s="4" t="s">
        <v>37</v>
      </c>
      <c r="I395" s="5">
        <v>44774</v>
      </c>
      <c r="J395" s="6">
        <v>104</v>
      </c>
      <c r="K395" s="6">
        <v>97.76</v>
      </c>
      <c r="L395" s="6">
        <v>48.96</v>
      </c>
      <c r="M395" s="6">
        <v>46.022399999999998</v>
      </c>
      <c r="N395" s="6">
        <v>48.96</v>
      </c>
      <c r="O395" s="6">
        <v>46.022399999999998</v>
      </c>
      <c r="P395" s="6">
        <v>0</v>
      </c>
      <c r="Q395" s="4" t="s">
        <v>26</v>
      </c>
      <c r="R395" s="4">
        <v>0</v>
      </c>
      <c r="S395" s="4" t="s">
        <v>159</v>
      </c>
      <c r="T395" s="4" t="s">
        <v>500</v>
      </c>
      <c r="U395" s="4">
        <v>20</v>
      </c>
      <c r="V395" s="4">
        <v>21</v>
      </c>
      <c r="W395" s="4">
        <v>75</v>
      </c>
    </row>
    <row r="396" spans="1:23" ht="11.25" customHeight="1" x14ac:dyDescent="0.25">
      <c r="A396" s="4" t="s">
        <v>21</v>
      </c>
      <c r="B396" s="4" t="s">
        <v>41</v>
      </c>
      <c r="C396" s="4" t="s">
        <v>42</v>
      </c>
      <c r="D396" s="4" t="s">
        <v>52</v>
      </c>
      <c r="E396" s="4" t="s">
        <v>53</v>
      </c>
      <c r="F396" s="4" t="s">
        <v>25</v>
      </c>
      <c r="G396" s="4" t="s">
        <v>25</v>
      </c>
      <c r="H396" s="4" t="s">
        <v>37</v>
      </c>
      <c r="I396" s="5">
        <v>44805</v>
      </c>
      <c r="J396" s="6">
        <v>162</v>
      </c>
      <c r="K396" s="6">
        <v>152.28</v>
      </c>
      <c r="L396" s="6">
        <v>92.162000000000006</v>
      </c>
      <c r="M396" s="6">
        <v>86.632279999999994</v>
      </c>
      <c r="N396" s="6">
        <v>92.162000000000006</v>
      </c>
      <c r="O396" s="6">
        <v>86.632279999999994</v>
      </c>
      <c r="P396" s="6">
        <v>0</v>
      </c>
      <c r="Q396" s="4" t="s">
        <v>26</v>
      </c>
      <c r="R396" s="4">
        <v>0</v>
      </c>
      <c r="S396" s="4" t="s">
        <v>160</v>
      </c>
      <c r="T396" s="4" t="s">
        <v>501</v>
      </c>
      <c r="U396" s="4">
        <v>20</v>
      </c>
      <c r="V396" s="4">
        <v>21</v>
      </c>
      <c r="W396" s="4">
        <v>75</v>
      </c>
    </row>
    <row r="397" spans="1:23" ht="11.25" customHeight="1" x14ac:dyDescent="0.25">
      <c r="A397" s="4" t="s">
        <v>28</v>
      </c>
      <c r="B397" s="4" t="s">
        <v>41</v>
      </c>
      <c r="C397" s="4" t="s">
        <v>42</v>
      </c>
      <c r="D397" s="4" t="s">
        <v>52</v>
      </c>
      <c r="E397" s="4" t="s">
        <v>53</v>
      </c>
      <c r="F397" s="4" t="s">
        <v>25</v>
      </c>
      <c r="G397" s="4" t="s">
        <v>25</v>
      </c>
      <c r="H397" s="4" t="s">
        <v>37</v>
      </c>
      <c r="I397" s="5">
        <v>44805</v>
      </c>
      <c r="J397" s="6">
        <v>120</v>
      </c>
      <c r="K397" s="6">
        <v>112.8</v>
      </c>
      <c r="L397" s="6">
        <v>51.665999999999997</v>
      </c>
      <c r="M397" s="6">
        <v>48.566040000000001</v>
      </c>
      <c r="N397" s="6">
        <v>51.665999999999997</v>
      </c>
      <c r="O397" s="6">
        <v>48.566040000000001</v>
      </c>
      <c r="P397" s="6">
        <v>0</v>
      </c>
      <c r="Q397" s="4" t="s">
        <v>26</v>
      </c>
      <c r="R397" s="4">
        <v>0</v>
      </c>
      <c r="S397" s="4" t="s">
        <v>160</v>
      </c>
      <c r="T397" s="4" t="s">
        <v>501</v>
      </c>
      <c r="U397" s="4">
        <v>20</v>
      </c>
      <c r="V397" s="4">
        <v>21</v>
      </c>
      <c r="W397" s="4">
        <v>75</v>
      </c>
    </row>
    <row r="398" spans="1:23" ht="11.25" customHeight="1" x14ac:dyDescent="0.25">
      <c r="A398" s="4" t="s">
        <v>21</v>
      </c>
      <c r="B398" s="4" t="s">
        <v>41</v>
      </c>
      <c r="C398" s="4" t="s">
        <v>42</v>
      </c>
      <c r="D398" s="4" t="s">
        <v>52</v>
      </c>
      <c r="E398" s="4" t="s">
        <v>53</v>
      </c>
      <c r="F398" s="4" t="s">
        <v>25</v>
      </c>
      <c r="G398" s="4" t="s">
        <v>25</v>
      </c>
      <c r="H398" s="4" t="s">
        <v>37</v>
      </c>
      <c r="I398" s="5">
        <v>44835</v>
      </c>
      <c r="J398" s="6">
        <v>211</v>
      </c>
      <c r="K398" s="6">
        <v>198.34</v>
      </c>
      <c r="L398" s="6">
        <v>133.714</v>
      </c>
      <c r="M398" s="6">
        <v>125.69116</v>
      </c>
      <c r="N398" s="6">
        <v>133.714</v>
      </c>
      <c r="O398" s="6">
        <v>125.69116</v>
      </c>
      <c r="P398" s="6">
        <v>0</v>
      </c>
      <c r="Q398" s="4" t="s">
        <v>26</v>
      </c>
      <c r="R398" s="4">
        <v>0</v>
      </c>
      <c r="S398" s="4" t="s">
        <v>161</v>
      </c>
      <c r="T398" s="4" t="s">
        <v>502</v>
      </c>
      <c r="U398" s="4">
        <v>20</v>
      </c>
      <c r="V398" s="4">
        <v>21</v>
      </c>
      <c r="W398" s="4">
        <v>75</v>
      </c>
    </row>
    <row r="399" spans="1:23" ht="11.25" customHeight="1" x14ac:dyDescent="0.25">
      <c r="A399" s="4" t="s">
        <v>28</v>
      </c>
      <c r="B399" s="4" t="s">
        <v>41</v>
      </c>
      <c r="C399" s="4" t="s">
        <v>42</v>
      </c>
      <c r="D399" s="4" t="s">
        <v>52</v>
      </c>
      <c r="E399" s="4" t="s">
        <v>53</v>
      </c>
      <c r="F399" s="4" t="s">
        <v>25</v>
      </c>
      <c r="G399" s="4" t="s">
        <v>25</v>
      </c>
      <c r="H399" s="4" t="s">
        <v>37</v>
      </c>
      <c r="I399" s="5">
        <v>44835</v>
      </c>
      <c r="J399" s="6">
        <v>171</v>
      </c>
      <c r="K399" s="6">
        <v>160.74</v>
      </c>
      <c r="L399" s="6">
        <v>98.372</v>
      </c>
      <c r="M399" s="6">
        <v>92.469679999999997</v>
      </c>
      <c r="N399" s="6">
        <v>98.372</v>
      </c>
      <c r="O399" s="6">
        <v>92.469679999999997</v>
      </c>
      <c r="P399" s="6">
        <v>0</v>
      </c>
      <c r="Q399" s="4" t="s">
        <v>26</v>
      </c>
      <c r="R399" s="4">
        <v>0</v>
      </c>
      <c r="S399" s="4" t="s">
        <v>161</v>
      </c>
      <c r="T399" s="4" t="s">
        <v>502</v>
      </c>
      <c r="U399" s="4">
        <v>20</v>
      </c>
      <c r="V399" s="4">
        <v>21</v>
      </c>
      <c r="W399" s="4">
        <v>75</v>
      </c>
    </row>
    <row r="400" spans="1:23" ht="11.25" customHeight="1" x14ac:dyDescent="0.25">
      <c r="A400" s="4" t="s">
        <v>59</v>
      </c>
      <c r="B400" s="4" t="s">
        <v>41</v>
      </c>
      <c r="C400" s="4" t="s">
        <v>42</v>
      </c>
      <c r="D400" s="4" t="s">
        <v>52</v>
      </c>
      <c r="E400" s="4" t="s">
        <v>53</v>
      </c>
      <c r="F400" s="4" t="s">
        <v>25</v>
      </c>
      <c r="G400" s="4" t="s">
        <v>25</v>
      </c>
      <c r="H400" s="4" t="s">
        <v>37</v>
      </c>
      <c r="I400" s="5">
        <v>44866</v>
      </c>
      <c r="J400" s="6">
        <v>211</v>
      </c>
      <c r="K400" s="6">
        <v>198.34</v>
      </c>
      <c r="L400" s="6">
        <v>133.714</v>
      </c>
      <c r="M400" s="6">
        <v>125.69116</v>
      </c>
      <c r="N400" s="6">
        <v>133.714</v>
      </c>
      <c r="O400" s="6">
        <v>125.69116</v>
      </c>
      <c r="P400" s="6">
        <v>0</v>
      </c>
      <c r="Q400" s="4" t="s">
        <v>26</v>
      </c>
      <c r="R400" s="4">
        <v>0</v>
      </c>
      <c r="S400" s="4" t="s">
        <v>162</v>
      </c>
      <c r="T400" s="4" t="s">
        <v>503</v>
      </c>
      <c r="U400" s="4">
        <v>20</v>
      </c>
      <c r="V400" s="4">
        <v>21</v>
      </c>
      <c r="W400" s="4">
        <v>75</v>
      </c>
    </row>
    <row r="401" spans="1:23" ht="11.25" customHeight="1" x14ac:dyDescent="0.25">
      <c r="A401" s="4" t="s">
        <v>59</v>
      </c>
      <c r="B401" s="4" t="s">
        <v>41</v>
      </c>
      <c r="C401" s="4" t="s">
        <v>42</v>
      </c>
      <c r="D401" s="4" t="s">
        <v>52</v>
      </c>
      <c r="E401" s="4" t="s">
        <v>53</v>
      </c>
      <c r="F401" s="4" t="s">
        <v>25</v>
      </c>
      <c r="G401" s="4" t="s">
        <v>25</v>
      </c>
      <c r="H401" s="4" t="s">
        <v>37</v>
      </c>
      <c r="I401" s="5">
        <v>44866</v>
      </c>
      <c r="J401" s="6">
        <v>171</v>
      </c>
      <c r="K401" s="6">
        <v>160.74</v>
      </c>
      <c r="L401" s="6">
        <v>98.372</v>
      </c>
      <c r="M401" s="6">
        <v>92.469679999999997</v>
      </c>
      <c r="N401" s="6">
        <v>98.372</v>
      </c>
      <c r="O401" s="6">
        <v>92.469679999999997</v>
      </c>
      <c r="P401" s="6">
        <v>0</v>
      </c>
      <c r="Q401" s="4" t="s">
        <v>26</v>
      </c>
      <c r="R401" s="4">
        <v>0</v>
      </c>
      <c r="S401" s="4" t="s">
        <v>162</v>
      </c>
      <c r="T401" s="4" t="s">
        <v>503</v>
      </c>
      <c r="U401" s="4">
        <v>20</v>
      </c>
      <c r="V401" s="4">
        <v>21</v>
      </c>
      <c r="W401" s="4">
        <v>75</v>
      </c>
    </row>
    <row r="402" spans="1:23" ht="11.25" customHeight="1" x14ac:dyDescent="0.25">
      <c r="A402" s="4" t="s">
        <v>21</v>
      </c>
      <c r="B402" s="4" t="s">
        <v>41</v>
      </c>
      <c r="C402" s="4" t="s">
        <v>42</v>
      </c>
      <c r="D402" s="4" t="s">
        <v>52</v>
      </c>
      <c r="E402" s="4" t="s">
        <v>53</v>
      </c>
      <c r="F402" s="4" t="s">
        <v>25</v>
      </c>
      <c r="G402" s="4" t="s">
        <v>25</v>
      </c>
      <c r="H402" s="4" t="s">
        <v>36</v>
      </c>
      <c r="I402" s="5">
        <v>44531</v>
      </c>
      <c r="J402" s="6">
        <v>1953</v>
      </c>
      <c r="K402" s="6">
        <v>1835.82</v>
      </c>
      <c r="L402" s="6">
        <v>58.834000000000003</v>
      </c>
      <c r="M402" s="6">
        <v>55.303959999999996</v>
      </c>
      <c r="N402" s="6">
        <v>58.834000000000003</v>
      </c>
      <c r="O402" s="6">
        <v>55.303959999999996</v>
      </c>
      <c r="P402" s="6">
        <v>0</v>
      </c>
      <c r="Q402" s="4" t="s">
        <v>26</v>
      </c>
      <c r="R402" s="4">
        <v>0</v>
      </c>
      <c r="S402" s="4" t="s">
        <v>163</v>
      </c>
      <c r="T402" s="4" t="s">
        <v>504</v>
      </c>
      <c r="U402" s="4">
        <v>19</v>
      </c>
      <c r="V402" s="4">
        <v>21</v>
      </c>
      <c r="W402" s="4">
        <v>74</v>
      </c>
    </row>
    <row r="403" spans="1:23" ht="11.25" customHeight="1" x14ac:dyDescent="0.25">
      <c r="A403" s="4" t="s">
        <v>28</v>
      </c>
      <c r="B403" s="4" t="s">
        <v>41</v>
      </c>
      <c r="C403" s="4" t="s">
        <v>42</v>
      </c>
      <c r="D403" s="4" t="s">
        <v>52</v>
      </c>
      <c r="E403" s="4" t="s">
        <v>53</v>
      </c>
      <c r="F403" s="4" t="s">
        <v>25</v>
      </c>
      <c r="G403" s="4" t="s">
        <v>25</v>
      </c>
      <c r="H403" s="4" t="s">
        <v>36</v>
      </c>
      <c r="I403" s="5">
        <v>44531</v>
      </c>
      <c r="J403" s="6">
        <v>95</v>
      </c>
      <c r="K403" s="6">
        <v>89.3</v>
      </c>
      <c r="L403" s="6">
        <v>4.5919999999999996</v>
      </c>
      <c r="M403" s="6">
        <v>4.3164800000000003</v>
      </c>
      <c r="N403" s="6">
        <v>4.5919999999999996</v>
      </c>
      <c r="O403" s="6">
        <v>4.3164800000000003</v>
      </c>
      <c r="P403" s="6">
        <v>0</v>
      </c>
      <c r="Q403" s="4" t="s">
        <v>26</v>
      </c>
      <c r="R403" s="4">
        <v>0</v>
      </c>
      <c r="S403" s="4" t="s">
        <v>163</v>
      </c>
      <c r="T403" s="4" t="s">
        <v>504</v>
      </c>
      <c r="U403" s="4">
        <v>19</v>
      </c>
      <c r="V403" s="4">
        <v>21</v>
      </c>
      <c r="W403" s="4">
        <v>74</v>
      </c>
    </row>
    <row r="404" spans="1:23" ht="11.25" customHeight="1" x14ac:dyDescent="0.25">
      <c r="A404" s="4" t="s">
        <v>21</v>
      </c>
      <c r="B404" s="4" t="s">
        <v>41</v>
      </c>
      <c r="C404" s="4" t="s">
        <v>42</v>
      </c>
      <c r="D404" s="4" t="s">
        <v>52</v>
      </c>
      <c r="E404" s="4" t="s">
        <v>53</v>
      </c>
      <c r="F404" s="4" t="s">
        <v>25</v>
      </c>
      <c r="G404" s="4" t="s">
        <v>25</v>
      </c>
      <c r="H404" s="4" t="s">
        <v>36</v>
      </c>
      <c r="I404" s="5">
        <v>44562</v>
      </c>
      <c r="J404" s="6">
        <v>157</v>
      </c>
      <c r="K404" s="6">
        <v>147.58000000000001</v>
      </c>
      <c r="L404" s="6">
        <v>10.702</v>
      </c>
      <c r="M404" s="6">
        <v>10.05988</v>
      </c>
      <c r="N404" s="6">
        <v>10.702</v>
      </c>
      <c r="O404" s="6">
        <v>10.05988</v>
      </c>
      <c r="P404" s="6">
        <v>0</v>
      </c>
      <c r="Q404" s="4" t="s">
        <v>26</v>
      </c>
      <c r="R404" s="4">
        <v>0</v>
      </c>
      <c r="S404" s="4" t="s">
        <v>164</v>
      </c>
      <c r="T404" s="4" t="s">
        <v>505</v>
      </c>
      <c r="U404" s="4">
        <v>19</v>
      </c>
      <c r="V404" s="4">
        <v>21</v>
      </c>
      <c r="W404" s="4">
        <v>74</v>
      </c>
    </row>
    <row r="405" spans="1:23" ht="11.25" customHeight="1" x14ac:dyDescent="0.25">
      <c r="A405" s="4" t="s">
        <v>28</v>
      </c>
      <c r="B405" s="4" t="s">
        <v>41</v>
      </c>
      <c r="C405" s="4" t="s">
        <v>42</v>
      </c>
      <c r="D405" s="4" t="s">
        <v>52</v>
      </c>
      <c r="E405" s="4" t="s">
        <v>53</v>
      </c>
      <c r="F405" s="4" t="s">
        <v>25</v>
      </c>
      <c r="G405" s="4" t="s">
        <v>25</v>
      </c>
      <c r="H405" s="4" t="s">
        <v>36</v>
      </c>
      <c r="I405" s="5">
        <v>44562</v>
      </c>
      <c r="J405" s="6">
        <v>89</v>
      </c>
      <c r="K405" s="6">
        <v>83.66</v>
      </c>
      <c r="L405" s="6">
        <v>5.6580000000000004</v>
      </c>
      <c r="M405" s="6">
        <v>5.3185200000000004</v>
      </c>
      <c r="N405" s="6">
        <v>5.6580000000000004</v>
      </c>
      <c r="O405" s="6">
        <v>5.3185200000000004</v>
      </c>
      <c r="P405" s="6">
        <v>0</v>
      </c>
      <c r="Q405" s="4" t="s">
        <v>26</v>
      </c>
      <c r="R405" s="4">
        <v>0</v>
      </c>
      <c r="S405" s="4" t="s">
        <v>164</v>
      </c>
      <c r="T405" s="4" t="s">
        <v>505</v>
      </c>
      <c r="U405" s="4">
        <v>19</v>
      </c>
      <c r="V405" s="4">
        <v>21</v>
      </c>
      <c r="W405" s="4">
        <v>74</v>
      </c>
    </row>
    <row r="406" spans="1:23" ht="11.25" customHeight="1" x14ac:dyDescent="0.25">
      <c r="A406" s="4" t="s">
        <v>21</v>
      </c>
      <c r="B406" s="4" t="s">
        <v>41</v>
      </c>
      <c r="C406" s="4" t="s">
        <v>42</v>
      </c>
      <c r="D406" s="4" t="s">
        <v>52</v>
      </c>
      <c r="E406" s="4" t="s">
        <v>53</v>
      </c>
      <c r="F406" s="4" t="s">
        <v>25</v>
      </c>
      <c r="G406" s="4" t="s">
        <v>25</v>
      </c>
      <c r="H406" s="4" t="s">
        <v>36</v>
      </c>
      <c r="I406" s="5">
        <v>44593</v>
      </c>
      <c r="J406" s="6">
        <v>155</v>
      </c>
      <c r="K406" s="6">
        <v>145.69999999999999</v>
      </c>
      <c r="L406" s="6">
        <v>10.286</v>
      </c>
      <c r="M406" s="6">
        <v>9.6688399999999994</v>
      </c>
      <c r="N406" s="6">
        <v>10.286</v>
      </c>
      <c r="O406" s="6">
        <v>9.6688399999999994</v>
      </c>
      <c r="P406" s="6">
        <v>0</v>
      </c>
      <c r="Q406" s="4" t="s">
        <v>26</v>
      </c>
      <c r="R406" s="4">
        <v>0</v>
      </c>
      <c r="S406" s="4" t="s">
        <v>165</v>
      </c>
      <c r="T406" s="4" t="s">
        <v>506</v>
      </c>
      <c r="U406" s="4">
        <v>19</v>
      </c>
      <c r="V406" s="4">
        <v>21</v>
      </c>
      <c r="W406" s="4">
        <v>74</v>
      </c>
    </row>
    <row r="407" spans="1:23" ht="11.25" customHeight="1" x14ac:dyDescent="0.25">
      <c r="A407" s="4" t="s">
        <v>28</v>
      </c>
      <c r="B407" s="4" t="s">
        <v>41</v>
      </c>
      <c r="C407" s="4" t="s">
        <v>42</v>
      </c>
      <c r="D407" s="4" t="s">
        <v>52</v>
      </c>
      <c r="E407" s="4" t="s">
        <v>53</v>
      </c>
      <c r="F407" s="4" t="s">
        <v>25</v>
      </c>
      <c r="G407" s="4" t="s">
        <v>25</v>
      </c>
      <c r="H407" s="4" t="s">
        <v>36</v>
      </c>
      <c r="I407" s="5">
        <v>44593</v>
      </c>
      <c r="J407" s="6">
        <v>87</v>
      </c>
      <c r="K407" s="6">
        <v>81.78</v>
      </c>
      <c r="L407" s="6">
        <v>4.9939999999999998</v>
      </c>
      <c r="M407" s="6">
        <v>4.6943599999999996</v>
      </c>
      <c r="N407" s="6">
        <v>4.9939999999999998</v>
      </c>
      <c r="O407" s="6">
        <v>4.6943599999999996</v>
      </c>
      <c r="P407" s="6">
        <v>0</v>
      </c>
      <c r="Q407" s="4" t="s">
        <v>26</v>
      </c>
      <c r="R407" s="4">
        <v>0</v>
      </c>
      <c r="S407" s="4" t="s">
        <v>165</v>
      </c>
      <c r="T407" s="4" t="s">
        <v>506</v>
      </c>
      <c r="U407" s="4">
        <v>19</v>
      </c>
      <c r="V407" s="4">
        <v>21</v>
      </c>
      <c r="W407" s="4">
        <v>74</v>
      </c>
    </row>
    <row r="408" spans="1:23" ht="11.25" customHeight="1" x14ac:dyDescent="0.25">
      <c r="A408" s="4" t="s">
        <v>21</v>
      </c>
      <c r="B408" s="4" t="s">
        <v>41</v>
      </c>
      <c r="C408" s="4" t="s">
        <v>42</v>
      </c>
      <c r="D408" s="4" t="s">
        <v>52</v>
      </c>
      <c r="E408" s="4" t="s">
        <v>53</v>
      </c>
      <c r="F408" s="4" t="s">
        <v>25</v>
      </c>
      <c r="G408" s="4" t="s">
        <v>25</v>
      </c>
      <c r="H408" s="4" t="s">
        <v>36</v>
      </c>
      <c r="I408" s="5">
        <v>44621</v>
      </c>
      <c r="J408" s="6">
        <v>152</v>
      </c>
      <c r="K408" s="6">
        <v>142.88</v>
      </c>
      <c r="L408" s="6">
        <v>11.295</v>
      </c>
      <c r="M408" s="6">
        <v>10.6173</v>
      </c>
      <c r="N408" s="6">
        <v>11.295</v>
      </c>
      <c r="O408" s="6">
        <v>10.6173</v>
      </c>
      <c r="P408" s="6">
        <v>0</v>
      </c>
      <c r="Q408" s="4" t="s">
        <v>26</v>
      </c>
      <c r="R408" s="4">
        <v>0</v>
      </c>
      <c r="S408" s="4" t="s">
        <v>166</v>
      </c>
      <c r="T408" s="4" t="s">
        <v>507</v>
      </c>
      <c r="U408" s="4">
        <v>19</v>
      </c>
      <c r="V408" s="4">
        <v>21</v>
      </c>
      <c r="W408" s="4">
        <v>74</v>
      </c>
    </row>
    <row r="409" spans="1:23" ht="11.25" customHeight="1" x14ac:dyDescent="0.25">
      <c r="A409" s="4" t="s">
        <v>28</v>
      </c>
      <c r="B409" s="4" t="s">
        <v>41</v>
      </c>
      <c r="C409" s="4" t="s">
        <v>42</v>
      </c>
      <c r="D409" s="4" t="s">
        <v>52</v>
      </c>
      <c r="E409" s="4" t="s">
        <v>53</v>
      </c>
      <c r="F409" s="4" t="s">
        <v>25</v>
      </c>
      <c r="G409" s="4" t="s">
        <v>25</v>
      </c>
      <c r="H409" s="4" t="s">
        <v>36</v>
      </c>
      <c r="I409" s="5">
        <v>44621</v>
      </c>
      <c r="J409" s="6">
        <v>89</v>
      </c>
      <c r="K409" s="6">
        <v>83.66</v>
      </c>
      <c r="L409" s="6">
        <v>4.6829999999999998</v>
      </c>
      <c r="M409" s="6">
        <v>4.4020200000000003</v>
      </c>
      <c r="N409" s="6">
        <v>4.6829999999999998</v>
      </c>
      <c r="O409" s="6">
        <v>4.4020200000000003</v>
      </c>
      <c r="P409" s="6">
        <v>0</v>
      </c>
      <c r="Q409" s="4" t="s">
        <v>26</v>
      </c>
      <c r="R409" s="4">
        <v>0</v>
      </c>
      <c r="S409" s="4" t="s">
        <v>166</v>
      </c>
      <c r="T409" s="4" t="s">
        <v>507</v>
      </c>
      <c r="U409" s="4">
        <v>19</v>
      </c>
      <c r="V409" s="4">
        <v>21</v>
      </c>
      <c r="W409" s="4">
        <v>74</v>
      </c>
    </row>
    <row r="410" spans="1:23" ht="11.25" customHeight="1" x14ac:dyDescent="0.25">
      <c r="A410" s="4" t="s">
        <v>21</v>
      </c>
      <c r="B410" s="4" t="s">
        <v>41</v>
      </c>
      <c r="C410" s="4" t="s">
        <v>42</v>
      </c>
      <c r="D410" s="4" t="s">
        <v>52</v>
      </c>
      <c r="E410" s="4" t="s">
        <v>53</v>
      </c>
      <c r="F410" s="4" t="s">
        <v>25</v>
      </c>
      <c r="G410" s="4" t="s">
        <v>25</v>
      </c>
      <c r="H410" s="4" t="s">
        <v>36</v>
      </c>
      <c r="I410" s="5">
        <v>44652</v>
      </c>
      <c r="J410" s="6">
        <v>152</v>
      </c>
      <c r="K410" s="6">
        <v>142.88</v>
      </c>
      <c r="L410" s="6">
        <v>10.167</v>
      </c>
      <c r="M410" s="6">
        <v>9.5569799999999994</v>
      </c>
      <c r="N410" s="6">
        <v>10.167</v>
      </c>
      <c r="O410" s="6">
        <v>9.5569799999999994</v>
      </c>
      <c r="P410" s="6">
        <v>0</v>
      </c>
      <c r="Q410" s="4" t="s">
        <v>26</v>
      </c>
      <c r="R410" s="4">
        <v>0</v>
      </c>
      <c r="S410" s="4" t="s">
        <v>167</v>
      </c>
      <c r="T410" s="4" t="s">
        <v>508</v>
      </c>
      <c r="U410" s="4">
        <v>19</v>
      </c>
      <c r="V410" s="4">
        <v>21</v>
      </c>
      <c r="W410" s="4">
        <v>74</v>
      </c>
    </row>
    <row r="411" spans="1:23" ht="11.25" customHeight="1" x14ac:dyDescent="0.25">
      <c r="A411" s="4" t="s">
        <v>28</v>
      </c>
      <c r="B411" s="4" t="s">
        <v>41</v>
      </c>
      <c r="C411" s="4" t="s">
        <v>42</v>
      </c>
      <c r="D411" s="4" t="s">
        <v>52</v>
      </c>
      <c r="E411" s="4" t="s">
        <v>53</v>
      </c>
      <c r="F411" s="4" t="s">
        <v>25</v>
      </c>
      <c r="G411" s="4" t="s">
        <v>25</v>
      </c>
      <c r="H411" s="4" t="s">
        <v>36</v>
      </c>
      <c r="I411" s="5">
        <v>44652</v>
      </c>
      <c r="J411" s="6">
        <v>90</v>
      </c>
      <c r="K411" s="6">
        <v>84.6</v>
      </c>
      <c r="L411" s="6">
        <v>5.32</v>
      </c>
      <c r="M411" s="6">
        <v>5.0007999999999999</v>
      </c>
      <c r="N411" s="6">
        <v>5.32</v>
      </c>
      <c r="O411" s="6">
        <v>5.0007999999999999</v>
      </c>
      <c r="P411" s="6">
        <v>0</v>
      </c>
      <c r="Q411" s="4" t="s">
        <v>26</v>
      </c>
      <c r="R411" s="4">
        <v>0</v>
      </c>
      <c r="S411" s="4" t="s">
        <v>167</v>
      </c>
      <c r="T411" s="4" t="s">
        <v>508</v>
      </c>
      <c r="U411" s="4">
        <v>19</v>
      </c>
      <c r="V411" s="4">
        <v>21</v>
      </c>
      <c r="W411" s="4">
        <v>74</v>
      </c>
    </row>
    <row r="412" spans="1:23" ht="11.25" customHeight="1" x14ac:dyDescent="0.25">
      <c r="A412" s="4" t="s">
        <v>21</v>
      </c>
      <c r="B412" s="4" t="s">
        <v>41</v>
      </c>
      <c r="C412" s="4" t="s">
        <v>42</v>
      </c>
      <c r="D412" s="4" t="s">
        <v>52</v>
      </c>
      <c r="E412" s="4" t="s">
        <v>53</v>
      </c>
      <c r="F412" s="4" t="s">
        <v>25</v>
      </c>
      <c r="G412" s="4" t="s">
        <v>25</v>
      </c>
      <c r="H412" s="4" t="s">
        <v>36</v>
      </c>
      <c r="I412" s="5">
        <v>44682</v>
      </c>
      <c r="J412" s="6">
        <v>158</v>
      </c>
      <c r="K412" s="6">
        <v>148.52000000000001</v>
      </c>
      <c r="L412" s="6">
        <v>10.941000000000001</v>
      </c>
      <c r="M412" s="6">
        <v>10.28454</v>
      </c>
      <c r="N412" s="6">
        <v>10.941000000000001</v>
      </c>
      <c r="O412" s="6">
        <v>10.28454</v>
      </c>
      <c r="P412" s="6">
        <v>0</v>
      </c>
      <c r="Q412" s="4" t="s">
        <v>26</v>
      </c>
      <c r="R412" s="4">
        <v>0</v>
      </c>
      <c r="S412" s="4" t="s">
        <v>168</v>
      </c>
      <c r="T412" s="4" t="s">
        <v>509</v>
      </c>
      <c r="U412" s="4">
        <v>19</v>
      </c>
      <c r="V412" s="4">
        <v>21</v>
      </c>
      <c r="W412" s="4">
        <v>74</v>
      </c>
    </row>
    <row r="413" spans="1:23" ht="11.25" customHeight="1" x14ac:dyDescent="0.25">
      <c r="A413" s="4" t="s">
        <v>28</v>
      </c>
      <c r="B413" s="4" t="s">
        <v>41</v>
      </c>
      <c r="C413" s="4" t="s">
        <v>42</v>
      </c>
      <c r="D413" s="4" t="s">
        <v>52</v>
      </c>
      <c r="E413" s="4" t="s">
        <v>53</v>
      </c>
      <c r="F413" s="4" t="s">
        <v>25</v>
      </c>
      <c r="G413" s="4" t="s">
        <v>25</v>
      </c>
      <c r="H413" s="4" t="s">
        <v>36</v>
      </c>
      <c r="I413" s="5">
        <v>44682</v>
      </c>
      <c r="J413" s="6">
        <v>89</v>
      </c>
      <c r="K413" s="6">
        <v>83.66</v>
      </c>
      <c r="L413" s="6">
        <v>3.4540000000000002</v>
      </c>
      <c r="M413" s="6">
        <v>3.2467600000000001</v>
      </c>
      <c r="N413" s="6">
        <v>3.4540000000000002</v>
      </c>
      <c r="O413" s="6">
        <v>3.2467600000000001</v>
      </c>
      <c r="P413" s="6">
        <v>0</v>
      </c>
      <c r="Q413" s="4" t="s">
        <v>26</v>
      </c>
      <c r="R413" s="4">
        <v>0</v>
      </c>
      <c r="S413" s="4" t="s">
        <v>168</v>
      </c>
      <c r="T413" s="4" t="s">
        <v>509</v>
      </c>
      <c r="U413" s="4">
        <v>19</v>
      </c>
      <c r="V413" s="4">
        <v>21</v>
      </c>
      <c r="W413" s="4">
        <v>74</v>
      </c>
    </row>
    <row r="414" spans="1:23" ht="11.25" customHeight="1" x14ac:dyDescent="0.25">
      <c r="A414" s="4" t="s">
        <v>21</v>
      </c>
      <c r="B414" s="4" t="s">
        <v>41</v>
      </c>
      <c r="C414" s="4" t="s">
        <v>42</v>
      </c>
      <c r="D414" s="4" t="s">
        <v>52</v>
      </c>
      <c r="E414" s="4" t="s">
        <v>53</v>
      </c>
      <c r="F414" s="4" t="s">
        <v>25</v>
      </c>
      <c r="G414" s="4" t="s">
        <v>25</v>
      </c>
      <c r="H414" s="4" t="s">
        <v>36</v>
      </c>
      <c r="I414" s="5">
        <v>44713</v>
      </c>
      <c r="J414" s="6">
        <v>158</v>
      </c>
      <c r="K414" s="6">
        <v>148.52000000000001</v>
      </c>
      <c r="L414" s="6">
        <v>10.625999999999999</v>
      </c>
      <c r="M414" s="6">
        <v>9.9884400000000007</v>
      </c>
      <c r="N414" s="6">
        <v>10.625999999999999</v>
      </c>
      <c r="O414" s="6">
        <v>9.9884400000000007</v>
      </c>
      <c r="P414" s="6">
        <v>0</v>
      </c>
      <c r="Q414" s="4" t="s">
        <v>26</v>
      </c>
      <c r="R414" s="4">
        <v>0</v>
      </c>
      <c r="S414" s="4" t="s">
        <v>169</v>
      </c>
      <c r="T414" s="4" t="s">
        <v>510</v>
      </c>
      <c r="U414" s="4">
        <v>19</v>
      </c>
      <c r="V414" s="4">
        <v>21</v>
      </c>
      <c r="W414" s="4">
        <v>74</v>
      </c>
    </row>
    <row r="415" spans="1:23" ht="11.25" customHeight="1" x14ac:dyDescent="0.25">
      <c r="A415" s="4" t="s">
        <v>28</v>
      </c>
      <c r="B415" s="4" t="s">
        <v>41</v>
      </c>
      <c r="C415" s="4" t="s">
        <v>42</v>
      </c>
      <c r="D415" s="4" t="s">
        <v>52</v>
      </c>
      <c r="E415" s="4" t="s">
        <v>53</v>
      </c>
      <c r="F415" s="4" t="s">
        <v>25</v>
      </c>
      <c r="G415" s="4" t="s">
        <v>25</v>
      </c>
      <c r="H415" s="4" t="s">
        <v>36</v>
      </c>
      <c r="I415" s="5">
        <v>44713</v>
      </c>
      <c r="J415" s="6">
        <v>91</v>
      </c>
      <c r="K415" s="6">
        <v>85.54</v>
      </c>
      <c r="L415" s="6">
        <v>1.837</v>
      </c>
      <c r="M415" s="6">
        <v>1.72678</v>
      </c>
      <c r="N415" s="6">
        <v>1.837</v>
      </c>
      <c r="O415" s="6">
        <v>1.72678</v>
      </c>
      <c r="P415" s="6">
        <v>0</v>
      </c>
      <c r="Q415" s="4" t="s">
        <v>26</v>
      </c>
      <c r="R415" s="4">
        <v>0</v>
      </c>
      <c r="S415" s="4" t="s">
        <v>169</v>
      </c>
      <c r="T415" s="4" t="s">
        <v>510</v>
      </c>
      <c r="U415" s="4">
        <v>19</v>
      </c>
      <c r="V415" s="4">
        <v>21</v>
      </c>
      <c r="W415" s="4">
        <v>74</v>
      </c>
    </row>
    <row r="416" spans="1:23" ht="11.25" customHeight="1" x14ac:dyDescent="0.25">
      <c r="A416" s="4" t="s">
        <v>21</v>
      </c>
      <c r="B416" s="4" t="s">
        <v>41</v>
      </c>
      <c r="C416" s="4" t="s">
        <v>42</v>
      </c>
      <c r="D416" s="4" t="s">
        <v>52</v>
      </c>
      <c r="E416" s="4" t="s">
        <v>53</v>
      </c>
      <c r="F416" s="4" t="s">
        <v>25</v>
      </c>
      <c r="G416" s="4" t="s">
        <v>25</v>
      </c>
      <c r="H416" s="4" t="s">
        <v>36</v>
      </c>
      <c r="I416" s="5">
        <v>44743</v>
      </c>
      <c r="J416" s="6">
        <v>155</v>
      </c>
      <c r="K416" s="6">
        <v>145.69999999999999</v>
      </c>
      <c r="L416" s="6">
        <v>11.025</v>
      </c>
      <c r="M416" s="6">
        <v>10.3635</v>
      </c>
      <c r="N416" s="6">
        <v>11.025</v>
      </c>
      <c r="O416" s="6">
        <v>10.3635</v>
      </c>
      <c r="P416" s="6">
        <v>0</v>
      </c>
      <c r="Q416" s="4" t="s">
        <v>26</v>
      </c>
      <c r="R416" s="4">
        <v>0</v>
      </c>
      <c r="S416" s="4" t="s">
        <v>170</v>
      </c>
      <c r="T416" s="4" t="s">
        <v>511</v>
      </c>
      <c r="U416" s="4">
        <v>19</v>
      </c>
      <c r="V416" s="4">
        <v>21</v>
      </c>
      <c r="W416" s="4">
        <v>74</v>
      </c>
    </row>
    <row r="417" spans="1:23" ht="11.25" customHeight="1" x14ac:dyDescent="0.25">
      <c r="A417" s="4" t="s">
        <v>28</v>
      </c>
      <c r="B417" s="4" t="s">
        <v>41</v>
      </c>
      <c r="C417" s="4" t="s">
        <v>42</v>
      </c>
      <c r="D417" s="4" t="s">
        <v>52</v>
      </c>
      <c r="E417" s="4" t="s">
        <v>53</v>
      </c>
      <c r="F417" s="4" t="s">
        <v>25</v>
      </c>
      <c r="G417" s="4" t="s">
        <v>25</v>
      </c>
      <c r="H417" s="4" t="s">
        <v>36</v>
      </c>
      <c r="I417" s="5">
        <v>44743</v>
      </c>
      <c r="J417" s="6">
        <v>92</v>
      </c>
      <c r="K417" s="6">
        <v>86.48</v>
      </c>
      <c r="L417" s="6">
        <v>3.1419999999999999</v>
      </c>
      <c r="M417" s="6">
        <v>2.9534799999999999</v>
      </c>
      <c r="N417" s="6">
        <v>3.1419999999999999</v>
      </c>
      <c r="O417" s="6">
        <v>2.9534799999999999</v>
      </c>
      <c r="P417" s="6">
        <v>0</v>
      </c>
      <c r="Q417" s="4" t="s">
        <v>26</v>
      </c>
      <c r="R417" s="4">
        <v>0</v>
      </c>
      <c r="S417" s="4" t="s">
        <v>170</v>
      </c>
      <c r="T417" s="4" t="s">
        <v>511</v>
      </c>
      <c r="U417" s="4">
        <v>19</v>
      </c>
      <c r="V417" s="4">
        <v>21</v>
      </c>
      <c r="W417" s="4">
        <v>74</v>
      </c>
    </row>
    <row r="418" spans="1:23" ht="11.25" customHeight="1" x14ac:dyDescent="0.25">
      <c r="A418" s="4" t="s">
        <v>21</v>
      </c>
      <c r="B418" s="4" t="s">
        <v>41</v>
      </c>
      <c r="C418" s="4" t="s">
        <v>42</v>
      </c>
      <c r="D418" s="4" t="s">
        <v>52</v>
      </c>
      <c r="E418" s="4" t="s">
        <v>53</v>
      </c>
      <c r="F418" s="4" t="s">
        <v>25</v>
      </c>
      <c r="G418" s="4" t="s">
        <v>25</v>
      </c>
      <c r="H418" s="4" t="s">
        <v>36</v>
      </c>
      <c r="I418" s="5">
        <v>44774</v>
      </c>
      <c r="J418" s="6">
        <v>160</v>
      </c>
      <c r="K418" s="6">
        <v>150.4</v>
      </c>
      <c r="L418" s="6">
        <v>11.971</v>
      </c>
      <c r="M418" s="6">
        <v>11.252739999999999</v>
      </c>
      <c r="N418" s="6">
        <v>11.971</v>
      </c>
      <c r="O418" s="6">
        <v>11.252739999999999</v>
      </c>
      <c r="P418" s="6">
        <v>0</v>
      </c>
      <c r="Q418" s="4" t="s">
        <v>26</v>
      </c>
      <c r="R418" s="4">
        <v>0</v>
      </c>
      <c r="S418" s="4" t="s">
        <v>171</v>
      </c>
      <c r="T418" s="4" t="s">
        <v>512</v>
      </c>
      <c r="U418" s="4">
        <v>19</v>
      </c>
      <c r="V418" s="4">
        <v>21</v>
      </c>
      <c r="W418" s="4">
        <v>74</v>
      </c>
    </row>
    <row r="419" spans="1:23" ht="11.25" customHeight="1" x14ac:dyDescent="0.25">
      <c r="A419" s="4" t="s">
        <v>28</v>
      </c>
      <c r="B419" s="4" t="s">
        <v>41</v>
      </c>
      <c r="C419" s="4" t="s">
        <v>42</v>
      </c>
      <c r="D419" s="4" t="s">
        <v>52</v>
      </c>
      <c r="E419" s="4" t="s">
        <v>53</v>
      </c>
      <c r="F419" s="4" t="s">
        <v>25</v>
      </c>
      <c r="G419" s="4" t="s">
        <v>25</v>
      </c>
      <c r="H419" s="4" t="s">
        <v>36</v>
      </c>
      <c r="I419" s="5">
        <v>44774</v>
      </c>
      <c r="J419" s="6">
        <v>92</v>
      </c>
      <c r="K419" s="6">
        <v>86.48</v>
      </c>
      <c r="L419" s="6">
        <v>2.6739999999999999</v>
      </c>
      <c r="M419" s="6">
        <v>2.51356</v>
      </c>
      <c r="N419" s="6">
        <v>2.6739999999999999</v>
      </c>
      <c r="O419" s="6">
        <v>2.51356</v>
      </c>
      <c r="P419" s="6">
        <v>0</v>
      </c>
      <c r="Q419" s="4" t="s">
        <v>26</v>
      </c>
      <c r="R419" s="4">
        <v>0</v>
      </c>
      <c r="S419" s="4" t="s">
        <v>171</v>
      </c>
      <c r="T419" s="4" t="s">
        <v>512</v>
      </c>
      <c r="U419" s="4">
        <v>19</v>
      </c>
      <c r="V419" s="4">
        <v>21</v>
      </c>
      <c r="W419" s="4">
        <v>74</v>
      </c>
    </row>
    <row r="420" spans="1:23" ht="11.25" customHeight="1" x14ac:dyDescent="0.25">
      <c r="A420" s="4" t="s">
        <v>21</v>
      </c>
      <c r="B420" s="4" t="s">
        <v>41</v>
      </c>
      <c r="C420" s="4" t="s">
        <v>42</v>
      </c>
      <c r="D420" s="4" t="s">
        <v>52</v>
      </c>
      <c r="E420" s="4" t="s">
        <v>53</v>
      </c>
      <c r="F420" s="4" t="s">
        <v>25</v>
      </c>
      <c r="G420" s="4" t="s">
        <v>25</v>
      </c>
      <c r="H420" s="4" t="s">
        <v>36</v>
      </c>
      <c r="I420" s="5">
        <v>44805</v>
      </c>
      <c r="J420" s="6">
        <v>160</v>
      </c>
      <c r="K420" s="6">
        <v>150.4</v>
      </c>
      <c r="L420" s="6">
        <v>11.391999999999999</v>
      </c>
      <c r="M420" s="6">
        <v>10.70848</v>
      </c>
      <c r="N420" s="6">
        <v>11.391999999999999</v>
      </c>
      <c r="O420" s="6">
        <v>10.70848</v>
      </c>
      <c r="P420" s="6">
        <v>0</v>
      </c>
      <c r="Q420" s="4" t="s">
        <v>26</v>
      </c>
      <c r="R420" s="4">
        <v>0</v>
      </c>
      <c r="S420" s="4" t="s">
        <v>172</v>
      </c>
      <c r="T420" s="4" t="s">
        <v>513</v>
      </c>
      <c r="U420" s="4">
        <v>19</v>
      </c>
      <c r="V420" s="4">
        <v>21</v>
      </c>
      <c r="W420" s="4">
        <v>74</v>
      </c>
    </row>
    <row r="421" spans="1:23" ht="11.25" customHeight="1" x14ac:dyDescent="0.25">
      <c r="A421" s="4" t="s">
        <v>28</v>
      </c>
      <c r="B421" s="4" t="s">
        <v>41</v>
      </c>
      <c r="C421" s="4" t="s">
        <v>42</v>
      </c>
      <c r="D421" s="4" t="s">
        <v>52</v>
      </c>
      <c r="E421" s="4" t="s">
        <v>53</v>
      </c>
      <c r="F421" s="4" t="s">
        <v>25</v>
      </c>
      <c r="G421" s="4" t="s">
        <v>25</v>
      </c>
      <c r="H421" s="4" t="s">
        <v>36</v>
      </c>
      <c r="I421" s="5">
        <v>44805</v>
      </c>
      <c r="J421" s="6">
        <v>104</v>
      </c>
      <c r="K421" s="6">
        <v>97.76</v>
      </c>
      <c r="L421" s="6">
        <v>1.718</v>
      </c>
      <c r="M421" s="6">
        <v>1.6149199999999999</v>
      </c>
      <c r="N421" s="6">
        <v>1.718</v>
      </c>
      <c r="O421" s="6">
        <v>1.6149199999999999</v>
      </c>
      <c r="P421" s="6">
        <v>0</v>
      </c>
      <c r="Q421" s="4" t="s">
        <v>26</v>
      </c>
      <c r="R421" s="4">
        <v>0</v>
      </c>
      <c r="S421" s="4" t="s">
        <v>172</v>
      </c>
      <c r="T421" s="4" t="s">
        <v>513</v>
      </c>
      <c r="U421" s="4">
        <v>19</v>
      </c>
      <c r="V421" s="4">
        <v>21</v>
      </c>
      <c r="W421" s="4">
        <v>74</v>
      </c>
    </row>
    <row r="422" spans="1:23" ht="11.25" customHeight="1" x14ac:dyDescent="0.25">
      <c r="A422" s="4" t="s">
        <v>21</v>
      </c>
      <c r="B422" s="4" t="s">
        <v>41</v>
      </c>
      <c r="C422" s="4" t="s">
        <v>42</v>
      </c>
      <c r="D422" s="4" t="s">
        <v>52</v>
      </c>
      <c r="E422" s="4" t="s">
        <v>53</v>
      </c>
      <c r="F422" s="4" t="s">
        <v>25</v>
      </c>
      <c r="G422" s="4" t="s">
        <v>25</v>
      </c>
      <c r="H422" s="4" t="s">
        <v>36</v>
      </c>
      <c r="I422" s="5">
        <v>44835</v>
      </c>
      <c r="J422" s="6">
        <v>209</v>
      </c>
      <c r="K422" s="6">
        <v>196.46</v>
      </c>
      <c r="L422" s="6">
        <v>14.791</v>
      </c>
      <c r="M422" s="6">
        <v>13.90354</v>
      </c>
      <c r="N422" s="6">
        <v>14.791</v>
      </c>
      <c r="O422" s="6">
        <v>13.90354</v>
      </c>
      <c r="P422" s="6">
        <v>0</v>
      </c>
      <c r="Q422" s="4" t="s">
        <v>26</v>
      </c>
      <c r="R422" s="4">
        <v>0</v>
      </c>
      <c r="S422" s="4" t="s">
        <v>173</v>
      </c>
      <c r="T422" s="4" t="s">
        <v>514</v>
      </c>
      <c r="U422" s="4">
        <v>19</v>
      </c>
      <c r="V422" s="4">
        <v>21</v>
      </c>
      <c r="W422" s="4">
        <v>74</v>
      </c>
    </row>
    <row r="423" spans="1:23" ht="11.25" customHeight="1" x14ac:dyDescent="0.25">
      <c r="A423" s="4" t="s">
        <v>28</v>
      </c>
      <c r="B423" s="4" t="s">
        <v>41</v>
      </c>
      <c r="C423" s="4" t="s">
        <v>42</v>
      </c>
      <c r="D423" s="4" t="s">
        <v>52</v>
      </c>
      <c r="E423" s="4" t="s">
        <v>53</v>
      </c>
      <c r="F423" s="4" t="s">
        <v>25</v>
      </c>
      <c r="G423" s="4" t="s">
        <v>25</v>
      </c>
      <c r="H423" s="4" t="s">
        <v>36</v>
      </c>
      <c r="I423" s="5">
        <v>44835</v>
      </c>
      <c r="J423" s="6">
        <v>163</v>
      </c>
      <c r="K423" s="6">
        <v>153.22</v>
      </c>
      <c r="L423" s="6">
        <v>7.6289999999999996</v>
      </c>
      <c r="M423" s="6">
        <v>7.1712600000000002</v>
      </c>
      <c r="N423" s="6">
        <v>7.6289999999999996</v>
      </c>
      <c r="O423" s="6">
        <v>7.1712600000000002</v>
      </c>
      <c r="P423" s="6">
        <v>0</v>
      </c>
      <c r="Q423" s="4" t="s">
        <v>26</v>
      </c>
      <c r="R423" s="4">
        <v>0</v>
      </c>
      <c r="S423" s="4" t="s">
        <v>173</v>
      </c>
      <c r="T423" s="4" t="s">
        <v>514</v>
      </c>
      <c r="U423" s="4">
        <v>19</v>
      </c>
      <c r="V423" s="4">
        <v>21</v>
      </c>
      <c r="W423" s="4">
        <v>74</v>
      </c>
    </row>
    <row r="424" spans="1:23" ht="11.25" customHeight="1" x14ac:dyDescent="0.25">
      <c r="A424" s="4" t="s">
        <v>59</v>
      </c>
      <c r="B424" s="4" t="s">
        <v>41</v>
      </c>
      <c r="C424" s="4" t="s">
        <v>42</v>
      </c>
      <c r="D424" s="4" t="s">
        <v>52</v>
      </c>
      <c r="E424" s="4" t="s">
        <v>53</v>
      </c>
      <c r="F424" s="4" t="s">
        <v>25</v>
      </c>
      <c r="G424" s="4" t="s">
        <v>25</v>
      </c>
      <c r="H424" s="4" t="s">
        <v>36</v>
      </c>
      <c r="I424" s="5">
        <v>44866</v>
      </c>
      <c r="J424" s="6">
        <v>209</v>
      </c>
      <c r="K424" s="6">
        <v>196.46</v>
      </c>
      <c r="L424" s="6">
        <v>14.791</v>
      </c>
      <c r="M424" s="6">
        <v>13.90354</v>
      </c>
      <c r="N424" s="6">
        <v>14.791</v>
      </c>
      <c r="O424" s="6">
        <v>13.90354</v>
      </c>
      <c r="P424" s="6">
        <v>0</v>
      </c>
      <c r="Q424" s="4" t="s">
        <v>26</v>
      </c>
      <c r="R424" s="4">
        <v>0</v>
      </c>
      <c r="S424" s="4" t="s">
        <v>174</v>
      </c>
      <c r="T424" s="4" t="s">
        <v>515</v>
      </c>
      <c r="U424" s="4">
        <v>19</v>
      </c>
      <c r="V424" s="4">
        <v>21</v>
      </c>
      <c r="W424" s="4">
        <v>74</v>
      </c>
    </row>
    <row r="425" spans="1:23" ht="11.25" customHeight="1" x14ac:dyDescent="0.25">
      <c r="A425" s="4" t="s">
        <v>59</v>
      </c>
      <c r="B425" s="4" t="s">
        <v>41</v>
      </c>
      <c r="C425" s="4" t="s">
        <v>42</v>
      </c>
      <c r="D425" s="4" t="s">
        <v>52</v>
      </c>
      <c r="E425" s="4" t="s">
        <v>53</v>
      </c>
      <c r="F425" s="4" t="s">
        <v>25</v>
      </c>
      <c r="G425" s="4" t="s">
        <v>25</v>
      </c>
      <c r="H425" s="4" t="s">
        <v>36</v>
      </c>
      <c r="I425" s="5">
        <v>44866</v>
      </c>
      <c r="J425" s="6">
        <v>163</v>
      </c>
      <c r="K425" s="6">
        <v>153.22</v>
      </c>
      <c r="L425" s="6">
        <v>7.6289999999999996</v>
      </c>
      <c r="M425" s="6">
        <v>7.1712600000000002</v>
      </c>
      <c r="N425" s="6">
        <v>7.6289999999999996</v>
      </c>
      <c r="O425" s="6">
        <v>7.1712600000000002</v>
      </c>
      <c r="P425" s="6">
        <v>0</v>
      </c>
      <c r="Q425" s="4" t="s">
        <v>26</v>
      </c>
      <c r="R425" s="4">
        <v>0</v>
      </c>
      <c r="S425" s="4" t="s">
        <v>174</v>
      </c>
      <c r="T425" s="4" t="s">
        <v>515</v>
      </c>
      <c r="U425" s="4">
        <v>19</v>
      </c>
      <c r="V425" s="4">
        <v>21</v>
      </c>
      <c r="W425" s="4">
        <v>74</v>
      </c>
    </row>
    <row r="426" spans="1:23" ht="11.25" customHeight="1" x14ac:dyDescent="0.25">
      <c r="A426" s="4" t="s">
        <v>21</v>
      </c>
      <c r="B426" s="4" t="s">
        <v>41</v>
      </c>
      <c r="C426" s="4" t="s">
        <v>62</v>
      </c>
      <c r="D426" s="4" t="s">
        <v>25</v>
      </c>
      <c r="E426" s="4" t="s">
        <v>25</v>
      </c>
      <c r="F426" s="4" t="s">
        <v>25</v>
      </c>
      <c r="G426" s="4" t="s">
        <v>63</v>
      </c>
      <c r="H426" s="4" t="s">
        <v>37</v>
      </c>
      <c r="I426" s="5">
        <v>44531</v>
      </c>
      <c r="J426" s="6">
        <v>1568</v>
      </c>
      <c r="K426" s="6">
        <v>1568</v>
      </c>
      <c r="L426" s="6">
        <v>689.67899999999997</v>
      </c>
      <c r="M426" s="6">
        <v>689.67899999999997</v>
      </c>
      <c r="N426" s="6">
        <v>0</v>
      </c>
      <c r="O426" s="6">
        <v>0</v>
      </c>
      <c r="P426" s="6">
        <v>0</v>
      </c>
      <c r="Q426" s="4" t="s">
        <v>64</v>
      </c>
      <c r="R426" s="4">
        <v>7019</v>
      </c>
      <c r="S426" s="4" t="s">
        <v>187</v>
      </c>
      <c r="T426" s="4" t="s">
        <v>516</v>
      </c>
      <c r="U426" s="4">
        <v>24</v>
      </c>
      <c r="V426" s="4">
        <v>25</v>
      </c>
      <c r="W426" s="4">
        <v>0</v>
      </c>
    </row>
    <row r="427" spans="1:23" ht="11.25" customHeight="1" x14ac:dyDescent="0.25">
      <c r="A427" s="4" t="s">
        <v>21</v>
      </c>
      <c r="B427" s="4" t="s">
        <v>41</v>
      </c>
      <c r="C427" s="4" t="s">
        <v>62</v>
      </c>
      <c r="D427" s="4" t="s">
        <v>25</v>
      </c>
      <c r="E427" s="4" t="s">
        <v>25</v>
      </c>
      <c r="F427" s="4" t="s">
        <v>25</v>
      </c>
      <c r="G427" s="4" t="s">
        <v>63</v>
      </c>
      <c r="H427" s="4" t="s">
        <v>37</v>
      </c>
      <c r="I427" s="5">
        <v>44562</v>
      </c>
      <c r="J427" s="6">
        <v>1478</v>
      </c>
      <c r="K427" s="6">
        <v>1478</v>
      </c>
      <c r="L427" s="6">
        <v>761.09</v>
      </c>
      <c r="M427" s="6">
        <v>761.09</v>
      </c>
      <c r="N427" s="6">
        <v>0</v>
      </c>
      <c r="O427" s="6">
        <v>0</v>
      </c>
      <c r="P427" s="6">
        <v>0</v>
      </c>
      <c r="Q427" s="4" t="s">
        <v>64</v>
      </c>
      <c r="R427" s="4">
        <v>7019</v>
      </c>
      <c r="S427" s="4" t="s">
        <v>188</v>
      </c>
      <c r="T427" s="4" t="s">
        <v>517</v>
      </c>
      <c r="U427" s="4">
        <v>24</v>
      </c>
      <c r="V427" s="4">
        <v>25</v>
      </c>
      <c r="W427" s="4">
        <v>0</v>
      </c>
    </row>
    <row r="428" spans="1:23" ht="11.25" customHeight="1" x14ac:dyDescent="0.25">
      <c r="A428" s="4" t="s">
        <v>21</v>
      </c>
      <c r="B428" s="4" t="s">
        <v>41</v>
      </c>
      <c r="C428" s="4" t="s">
        <v>62</v>
      </c>
      <c r="D428" s="4" t="s">
        <v>25</v>
      </c>
      <c r="E428" s="4" t="s">
        <v>25</v>
      </c>
      <c r="F428" s="4" t="s">
        <v>25</v>
      </c>
      <c r="G428" s="4" t="s">
        <v>63</v>
      </c>
      <c r="H428" s="4" t="s">
        <v>37</v>
      </c>
      <c r="I428" s="5">
        <v>44593</v>
      </c>
      <c r="J428" s="6">
        <v>1568</v>
      </c>
      <c r="K428" s="6">
        <v>1568</v>
      </c>
      <c r="L428" s="6">
        <v>747.32</v>
      </c>
      <c r="M428" s="6">
        <v>747.32</v>
      </c>
      <c r="N428" s="6">
        <v>0</v>
      </c>
      <c r="O428" s="6">
        <v>0</v>
      </c>
      <c r="P428" s="6">
        <v>0</v>
      </c>
      <c r="Q428" s="4" t="s">
        <v>64</v>
      </c>
      <c r="R428" s="4">
        <v>7019</v>
      </c>
      <c r="S428" s="4" t="s">
        <v>189</v>
      </c>
      <c r="T428" s="4" t="s">
        <v>518</v>
      </c>
      <c r="U428" s="4">
        <v>24</v>
      </c>
      <c r="V428" s="4">
        <v>25</v>
      </c>
      <c r="W428" s="4">
        <v>0</v>
      </c>
    </row>
    <row r="429" spans="1:23" ht="11.25" customHeight="1" x14ac:dyDescent="0.25">
      <c r="A429" s="4" t="s">
        <v>21</v>
      </c>
      <c r="B429" s="4" t="s">
        <v>41</v>
      </c>
      <c r="C429" s="4" t="s">
        <v>62</v>
      </c>
      <c r="D429" s="4" t="s">
        <v>25</v>
      </c>
      <c r="E429" s="4" t="s">
        <v>25</v>
      </c>
      <c r="F429" s="4" t="s">
        <v>25</v>
      </c>
      <c r="G429" s="4" t="s">
        <v>63</v>
      </c>
      <c r="H429" s="4" t="s">
        <v>37</v>
      </c>
      <c r="I429" s="5">
        <v>44621</v>
      </c>
      <c r="J429" s="6">
        <v>1500</v>
      </c>
      <c r="K429" s="6">
        <v>1500</v>
      </c>
      <c r="L429" s="6">
        <v>668.10199999999998</v>
      </c>
      <c r="M429" s="6">
        <v>668.10199999999998</v>
      </c>
      <c r="N429" s="6">
        <v>0</v>
      </c>
      <c r="O429" s="6">
        <v>0</v>
      </c>
      <c r="P429" s="6">
        <v>0</v>
      </c>
      <c r="Q429" s="4" t="s">
        <v>64</v>
      </c>
      <c r="R429" s="4">
        <v>7019</v>
      </c>
      <c r="S429" s="4" t="s">
        <v>190</v>
      </c>
      <c r="T429" s="4" t="s">
        <v>519</v>
      </c>
      <c r="U429" s="4">
        <v>24</v>
      </c>
      <c r="V429" s="4">
        <v>25</v>
      </c>
      <c r="W429" s="4">
        <v>0</v>
      </c>
    </row>
    <row r="430" spans="1:23" ht="11.25" customHeight="1" x14ac:dyDescent="0.25">
      <c r="A430" s="4" t="s">
        <v>21</v>
      </c>
      <c r="B430" s="4" t="s">
        <v>41</v>
      </c>
      <c r="C430" s="4" t="s">
        <v>62</v>
      </c>
      <c r="D430" s="4" t="s">
        <v>25</v>
      </c>
      <c r="E430" s="4" t="s">
        <v>25</v>
      </c>
      <c r="F430" s="4" t="s">
        <v>25</v>
      </c>
      <c r="G430" s="4" t="s">
        <v>63</v>
      </c>
      <c r="H430" s="4" t="s">
        <v>37</v>
      </c>
      <c r="I430" s="5">
        <v>44652</v>
      </c>
      <c r="J430" s="6">
        <v>1500</v>
      </c>
      <c r="K430" s="6">
        <v>1500</v>
      </c>
      <c r="L430" s="6">
        <v>751.74900000000002</v>
      </c>
      <c r="M430" s="6">
        <v>751.74900000000002</v>
      </c>
      <c r="N430" s="6">
        <v>0</v>
      </c>
      <c r="O430" s="6">
        <v>0</v>
      </c>
      <c r="P430" s="6">
        <v>0</v>
      </c>
      <c r="Q430" s="4" t="s">
        <v>64</v>
      </c>
      <c r="R430" s="4">
        <v>7019</v>
      </c>
      <c r="S430" s="4" t="s">
        <v>191</v>
      </c>
      <c r="T430" s="4" t="s">
        <v>520</v>
      </c>
      <c r="U430" s="4">
        <v>24</v>
      </c>
      <c r="V430" s="4">
        <v>25</v>
      </c>
      <c r="W430" s="4">
        <v>0</v>
      </c>
    </row>
    <row r="431" spans="1:23" ht="11.25" customHeight="1" x14ac:dyDescent="0.25">
      <c r="A431" s="4" t="s">
        <v>21</v>
      </c>
      <c r="B431" s="4" t="s">
        <v>41</v>
      </c>
      <c r="C431" s="4" t="s">
        <v>62</v>
      </c>
      <c r="D431" s="4" t="s">
        <v>25</v>
      </c>
      <c r="E431" s="4" t="s">
        <v>25</v>
      </c>
      <c r="F431" s="4" t="s">
        <v>25</v>
      </c>
      <c r="G431" s="4" t="s">
        <v>63</v>
      </c>
      <c r="H431" s="4" t="s">
        <v>37</v>
      </c>
      <c r="I431" s="5">
        <v>44682</v>
      </c>
      <c r="J431" s="6">
        <v>1657</v>
      </c>
      <c r="K431" s="6">
        <v>1657</v>
      </c>
      <c r="L431" s="6">
        <v>747.19600000000003</v>
      </c>
      <c r="M431" s="6">
        <v>747.19600000000003</v>
      </c>
      <c r="N431" s="6">
        <v>0</v>
      </c>
      <c r="O431" s="6">
        <v>0</v>
      </c>
      <c r="P431" s="6">
        <v>0</v>
      </c>
      <c r="Q431" s="4" t="s">
        <v>64</v>
      </c>
      <c r="R431" s="4">
        <v>7019</v>
      </c>
      <c r="S431" s="4" t="s">
        <v>192</v>
      </c>
      <c r="T431" s="4" t="s">
        <v>521</v>
      </c>
      <c r="U431" s="4">
        <v>24</v>
      </c>
      <c r="V431" s="4">
        <v>25</v>
      </c>
      <c r="W431" s="4">
        <v>0</v>
      </c>
    </row>
    <row r="432" spans="1:23" ht="11.25" customHeight="1" x14ac:dyDescent="0.25">
      <c r="A432" s="4" t="s">
        <v>21</v>
      </c>
      <c r="B432" s="4" t="s">
        <v>41</v>
      </c>
      <c r="C432" s="4" t="s">
        <v>62</v>
      </c>
      <c r="D432" s="4" t="s">
        <v>25</v>
      </c>
      <c r="E432" s="4" t="s">
        <v>25</v>
      </c>
      <c r="F432" s="4" t="s">
        <v>25</v>
      </c>
      <c r="G432" s="4" t="s">
        <v>63</v>
      </c>
      <c r="H432" s="4" t="s">
        <v>37</v>
      </c>
      <c r="I432" s="5">
        <v>44713</v>
      </c>
      <c r="J432" s="6">
        <v>1523</v>
      </c>
      <c r="K432" s="6">
        <v>1523</v>
      </c>
      <c r="L432" s="6">
        <v>757.09199999999998</v>
      </c>
      <c r="M432" s="6">
        <v>757.09199999999998</v>
      </c>
      <c r="N432" s="6">
        <v>0</v>
      </c>
      <c r="O432" s="6">
        <v>0</v>
      </c>
      <c r="P432" s="6">
        <v>0</v>
      </c>
      <c r="Q432" s="4" t="s">
        <v>64</v>
      </c>
      <c r="R432" s="4">
        <v>7019</v>
      </c>
      <c r="S432" s="4" t="s">
        <v>193</v>
      </c>
      <c r="T432" s="4" t="s">
        <v>522</v>
      </c>
      <c r="U432" s="4">
        <v>24</v>
      </c>
      <c r="V432" s="4">
        <v>25</v>
      </c>
      <c r="W432" s="4">
        <v>0</v>
      </c>
    </row>
    <row r="433" spans="1:23" ht="11.25" customHeight="1" x14ac:dyDescent="0.25">
      <c r="A433" s="4" t="s">
        <v>21</v>
      </c>
      <c r="B433" s="4" t="s">
        <v>41</v>
      </c>
      <c r="C433" s="4" t="s">
        <v>62</v>
      </c>
      <c r="D433" s="4" t="s">
        <v>25</v>
      </c>
      <c r="E433" s="4" t="s">
        <v>25</v>
      </c>
      <c r="F433" s="4" t="s">
        <v>25</v>
      </c>
      <c r="G433" s="4" t="s">
        <v>63</v>
      </c>
      <c r="H433" s="4" t="s">
        <v>37</v>
      </c>
      <c r="I433" s="5">
        <v>44743</v>
      </c>
      <c r="J433" s="6">
        <v>1456</v>
      </c>
      <c r="K433" s="6">
        <v>1456</v>
      </c>
      <c r="L433" s="6">
        <v>711.88800000000003</v>
      </c>
      <c r="M433" s="6">
        <v>711.88800000000003</v>
      </c>
      <c r="N433" s="6">
        <v>0</v>
      </c>
      <c r="O433" s="6">
        <v>0</v>
      </c>
      <c r="P433" s="6">
        <v>0</v>
      </c>
      <c r="Q433" s="4" t="s">
        <v>64</v>
      </c>
      <c r="R433" s="4">
        <v>7019</v>
      </c>
      <c r="S433" s="4" t="s">
        <v>194</v>
      </c>
      <c r="T433" s="4" t="s">
        <v>523</v>
      </c>
      <c r="U433" s="4">
        <v>24</v>
      </c>
      <c r="V433" s="4">
        <v>25</v>
      </c>
      <c r="W433" s="4">
        <v>0</v>
      </c>
    </row>
    <row r="434" spans="1:23" ht="11.25" customHeight="1" x14ac:dyDescent="0.25">
      <c r="A434" s="4" t="s">
        <v>21</v>
      </c>
      <c r="B434" s="4" t="s">
        <v>41</v>
      </c>
      <c r="C434" s="4" t="s">
        <v>62</v>
      </c>
      <c r="D434" s="4" t="s">
        <v>25</v>
      </c>
      <c r="E434" s="4" t="s">
        <v>25</v>
      </c>
      <c r="F434" s="4" t="s">
        <v>25</v>
      </c>
      <c r="G434" s="4" t="s">
        <v>63</v>
      </c>
      <c r="H434" s="4" t="s">
        <v>37</v>
      </c>
      <c r="I434" s="5">
        <v>44774</v>
      </c>
      <c r="J434" s="6">
        <v>1568</v>
      </c>
      <c r="K434" s="6">
        <v>1568</v>
      </c>
      <c r="L434" s="6">
        <v>766.42700000000002</v>
      </c>
      <c r="M434" s="6">
        <v>766.42700000000002</v>
      </c>
      <c r="N434" s="6">
        <v>0</v>
      </c>
      <c r="O434" s="6">
        <v>0</v>
      </c>
      <c r="P434" s="6">
        <v>0</v>
      </c>
      <c r="Q434" s="4" t="s">
        <v>64</v>
      </c>
      <c r="R434" s="4">
        <v>7019</v>
      </c>
      <c r="S434" s="4" t="s">
        <v>195</v>
      </c>
      <c r="T434" s="4" t="s">
        <v>524</v>
      </c>
      <c r="U434" s="4">
        <v>24</v>
      </c>
      <c r="V434" s="4">
        <v>25</v>
      </c>
      <c r="W434" s="4">
        <v>0</v>
      </c>
    </row>
    <row r="435" spans="1:23" ht="11.25" customHeight="1" x14ac:dyDescent="0.25">
      <c r="A435" s="4" t="s">
        <v>21</v>
      </c>
      <c r="B435" s="4" t="s">
        <v>41</v>
      </c>
      <c r="C435" s="4" t="s">
        <v>62</v>
      </c>
      <c r="D435" s="4" t="s">
        <v>25</v>
      </c>
      <c r="E435" s="4" t="s">
        <v>25</v>
      </c>
      <c r="F435" s="4" t="s">
        <v>25</v>
      </c>
      <c r="G435" s="4" t="s">
        <v>63</v>
      </c>
      <c r="H435" s="4" t="s">
        <v>37</v>
      </c>
      <c r="I435" s="5">
        <v>44805</v>
      </c>
      <c r="J435" s="6">
        <v>1680</v>
      </c>
      <c r="K435" s="6">
        <v>1680</v>
      </c>
      <c r="L435" s="6">
        <v>775.72900000000004</v>
      </c>
      <c r="M435" s="6">
        <v>775.72900000000004</v>
      </c>
      <c r="N435" s="6">
        <v>0</v>
      </c>
      <c r="O435" s="6">
        <v>0</v>
      </c>
      <c r="P435" s="6">
        <v>0</v>
      </c>
      <c r="Q435" s="4" t="s">
        <v>64</v>
      </c>
      <c r="R435" s="4">
        <v>7019</v>
      </c>
      <c r="S435" s="4" t="s">
        <v>196</v>
      </c>
      <c r="T435" s="4" t="s">
        <v>525</v>
      </c>
      <c r="U435" s="4">
        <v>24</v>
      </c>
      <c r="V435" s="4">
        <v>25</v>
      </c>
      <c r="W435" s="4">
        <v>0</v>
      </c>
    </row>
    <row r="436" spans="1:23" ht="11.25" customHeight="1" x14ac:dyDescent="0.25">
      <c r="A436" s="4" t="s">
        <v>21</v>
      </c>
      <c r="B436" s="4" t="s">
        <v>41</v>
      </c>
      <c r="C436" s="4" t="s">
        <v>62</v>
      </c>
      <c r="D436" s="4" t="s">
        <v>25</v>
      </c>
      <c r="E436" s="4" t="s">
        <v>25</v>
      </c>
      <c r="F436" s="4" t="s">
        <v>25</v>
      </c>
      <c r="G436" s="4" t="s">
        <v>63</v>
      </c>
      <c r="H436" s="4" t="s">
        <v>37</v>
      </c>
      <c r="I436" s="5">
        <v>44835</v>
      </c>
      <c r="J436" s="6">
        <v>1826</v>
      </c>
      <c r="K436" s="6">
        <v>1826</v>
      </c>
      <c r="L436" s="6">
        <v>828.01499999999999</v>
      </c>
      <c r="M436" s="6">
        <v>828.01499999999999</v>
      </c>
      <c r="N436" s="6">
        <v>0</v>
      </c>
      <c r="O436" s="6">
        <v>0</v>
      </c>
      <c r="P436" s="6">
        <v>0</v>
      </c>
      <c r="Q436" s="4" t="s">
        <v>64</v>
      </c>
      <c r="R436" s="4">
        <v>7019</v>
      </c>
      <c r="S436" s="4" t="s">
        <v>197</v>
      </c>
      <c r="T436" s="4" t="s">
        <v>526</v>
      </c>
      <c r="U436" s="4">
        <v>24</v>
      </c>
      <c r="V436" s="4">
        <v>25</v>
      </c>
      <c r="W436" s="4">
        <v>0</v>
      </c>
    </row>
    <row r="437" spans="1:23" ht="11.25" customHeight="1" x14ac:dyDescent="0.25">
      <c r="A437" s="4" t="s">
        <v>59</v>
      </c>
      <c r="B437" s="4" t="s">
        <v>41</v>
      </c>
      <c r="C437" s="4" t="s">
        <v>62</v>
      </c>
      <c r="D437" s="4" t="s">
        <v>25</v>
      </c>
      <c r="E437" s="4" t="s">
        <v>25</v>
      </c>
      <c r="F437" s="4" t="s">
        <v>25</v>
      </c>
      <c r="G437" s="4" t="s">
        <v>63</v>
      </c>
      <c r="H437" s="4" t="s">
        <v>37</v>
      </c>
      <c r="I437" s="5">
        <v>44866</v>
      </c>
      <c r="J437" s="6">
        <v>1826</v>
      </c>
      <c r="K437" s="6">
        <v>1826</v>
      </c>
      <c r="L437" s="6">
        <v>828.01499999999999</v>
      </c>
      <c r="M437" s="6">
        <v>828.01499999999999</v>
      </c>
      <c r="N437" s="6">
        <v>0</v>
      </c>
      <c r="O437" s="6">
        <v>0</v>
      </c>
      <c r="P437" s="6">
        <v>0</v>
      </c>
      <c r="Q437" s="4" t="s">
        <v>64</v>
      </c>
      <c r="R437" s="4">
        <v>7019</v>
      </c>
      <c r="S437" s="4" t="s">
        <v>198</v>
      </c>
      <c r="T437" s="4" t="s">
        <v>527</v>
      </c>
      <c r="U437" s="4">
        <v>24</v>
      </c>
      <c r="V437" s="4">
        <v>25</v>
      </c>
      <c r="W437" s="4">
        <v>0</v>
      </c>
    </row>
    <row r="438" spans="1:23" ht="11.25" customHeight="1" x14ac:dyDescent="0.25">
      <c r="A438" s="4" t="s">
        <v>21</v>
      </c>
      <c r="B438" s="4" t="s">
        <v>41</v>
      </c>
      <c r="C438" s="4" t="s">
        <v>62</v>
      </c>
      <c r="D438" s="4" t="s">
        <v>25</v>
      </c>
      <c r="E438" s="4" t="s">
        <v>25</v>
      </c>
      <c r="F438" s="4" t="s">
        <v>25</v>
      </c>
      <c r="G438" s="4" t="s">
        <v>63</v>
      </c>
      <c r="H438" s="4" t="s">
        <v>25</v>
      </c>
      <c r="I438" s="5">
        <v>44531</v>
      </c>
      <c r="J438" s="6">
        <v>0</v>
      </c>
      <c r="K438" s="6">
        <v>0</v>
      </c>
      <c r="L438" s="6">
        <v>0</v>
      </c>
      <c r="M438" s="6">
        <v>0</v>
      </c>
      <c r="N438" s="6">
        <v>763.34699999999998</v>
      </c>
      <c r="O438" s="6">
        <v>763.34699999999998</v>
      </c>
      <c r="P438" s="6">
        <v>0</v>
      </c>
      <c r="Q438" s="4" t="s">
        <v>64</v>
      </c>
      <c r="R438" s="4">
        <v>7019</v>
      </c>
      <c r="S438" s="4" t="s">
        <v>199</v>
      </c>
      <c r="T438" s="4" t="s">
        <v>516</v>
      </c>
      <c r="U438" s="4">
        <v>0</v>
      </c>
      <c r="V438" s="4">
        <v>0</v>
      </c>
      <c r="W438" s="4">
        <v>79</v>
      </c>
    </row>
    <row r="439" spans="1:23" ht="11.25" customHeight="1" x14ac:dyDescent="0.25">
      <c r="A439" s="4" t="s">
        <v>21</v>
      </c>
      <c r="B439" s="4" t="s">
        <v>41</v>
      </c>
      <c r="C439" s="4" t="s">
        <v>62</v>
      </c>
      <c r="D439" s="4" t="s">
        <v>25</v>
      </c>
      <c r="E439" s="4" t="s">
        <v>25</v>
      </c>
      <c r="F439" s="4" t="s">
        <v>25</v>
      </c>
      <c r="G439" s="4" t="s">
        <v>63</v>
      </c>
      <c r="H439" s="4" t="s">
        <v>25</v>
      </c>
      <c r="I439" s="5">
        <v>44562</v>
      </c>
      <c r="J439" s="6">
        <v>0</v>
      </c>
      <c r="K439" s="6">
        <v>0</v>
      </c>
      <c r="L439" s="6">
        <v>0</v>
      </c>
      <c r="M439" s="6">
        <v>0</v>
      </c>
      <c r="N439" s="6">
        <v>850.53300000000002</v>
      </c>
      <c r="O439" s="6">
        <v>850.53300000000002</v>
      </c>
      <c r="P439" s="6">
        <v>0</v>
      </c>
      <c r="Q439" s="4" t="s">
        <v>64</v>
      </c>
      <c r="R439" s="4">
        <v>7019</v>
      </c>
      <c r="S439" s="4" t="s">
        <v>200</v>
      </c>
      <c r="T439" s="4" t="s">
        <v>517</v>
      </c>
      <c r="U439" s="4">
        <v>0</v>
      </c>
      <c r="V439" s="4">
        <v>0</v>
      </c>
      <c r="W439" s="4">
        <v>79</v>
      </c>
    </row>
    <row r="440" spans="1:23" ht="11.25" customHeight="1" x14ac:dyDescent="0.25">
      <c r="A440" s="4" t="s">
        <v>21</v>
      </c>
      <c r="B440" s="4" t="s">
        <v>41</v>
      </c>
      <c r="C440" s="4" t="s">
        <v>62</v>
      </c>
      <c r="D440" s="4" t="s">
        <v>25</v>
      </c>
      <c r="E440" s="4" t="s">
        <v>25</v>
      </c>
      <c r="F440" s="4" t="s">
        <v>25</v>
      </c>
      <c r="G440" s="4" t="s">
        <v>63</v>
      </c>
      <c r="H440" s="4" t="s">
        <v>25</v>
      </c>
      <c r="I440" s="5">
        <v>44593</v>
      </c>
      <c r="J440" s="6">
        <v>0</v>
      </c>
      <c r="K440" s="6">
        <v>0</v>
      </c>
      <c r="L440" s="6">
        <v>0</v>
      </c>
      <c r="M440" s="6">
        <v>0</v>
      </c>
      <c r="N440" s="6">
        <v>830.18299999999999</v>
      </c>
      <c r="O440" s="6">
        <v>830.18299999999999</v>
      </c>
      <c r="P440" s="6">
        <v>0</v>
      </c>
      <c r="Q440" s="4" t="s">
        <v>64</v>
      </c>
      <c r="R440" s="4">
        <v>7019</v>
      </c>
      <c r="S440" s="4" t="s">
        <v>201</v>
      </c>
      <c r="T440" s="4" t="s">
        <v>518</v>
      </c>
      <c r="U440" s="4">
        <v>0</v>
      </c>
      <c r="V440" s="4">
        <v>0</v>
      </c>
      <c r="W440" s="4">
        <v>79</v>
      </c>
    </row>
    <row r="441" spans="1:23" ht="11.25" customHeight="1" x14ac:dyDescent="0.25">
      <c r="A441" s="4" t="s">
        <v>21</v>
      </c>
      <c r="B441" s="4" t="s">
        <v>41</v>
      </c>
      <c r="C441" s="4" t="s">
        <v>62</v>
      </c>
      <c r="D441" s="4" t="s">
        <v>25</v>
      </c>
      <c r="E441" s="4" t="s">
        <v>25</v>
      </c>
      <c r="F441" s="4" t="s">
        <v>25</v>
      </c>
      <c r="G441" s="4" t="s">
        <v>63</v>
      </c>
      <c r="H441" s="4" t="s">
        <v>25</v>
      </c>
      <c r="I441" s="5">
        <v>44621</v>
      </c>
      <c r="J441" s="6">
        <v>0</v>
      </c>
      <c r="K441" s="6">
        <v>0</v>
      </c>
      <c r="L441" s="6">
        <v>0</v>
      </c>
      <c r="M441" s="6">
        <v>0</v>
      </c>
      <c r="N441" s="6">
        <v>745.49400000000003</v>
      </c>
      <c r="O441" s="6">
        <v>745.49400000000003</v>
      </c>
      <c r="P441" s="6">
        <v>0</v>
      </c>
      <c r="Q441" s="4" t="s">
        <v>64</v>
      </c>
      <c r="R441" s="4">
        <v>7019</v>
      </c>
      <c r="S441" s="4" t="s">
        <v>202</v>
      </c>
      <c r="T441" s="4" t="s">
        <v>519</v>
      </c>
      <c r="U441" s="4">
        <v>0</v>
      </c>
      <c r="V441" s="4">
        <v>0</v>
      </c>
      <c r="W441" s="4">
        <v>79</v>
      </c>
    </row>
    <row r="442" spans="1:23" ht="11.25" customHeight="1" x14ac:dyDescent="0.25">
      <c r="A442" s="4" t="s">
        <v>21</v>
      </c>
      <c r="B442" s="4" t="s">
        <v>41</v>
      </c>
      <c r="C442" s="4" t="s">
        <v>62</v>
      </c>
      <c r="D442" s="4" t="s">
        <v>25</v>
      </c>
      <c r="E442" s="4" t="s">
        <v>25</v>
      </c>
      <c r="F442" s="4" t="s">
        <v>25</v>
      </c>
      <c r="G442" s="4" t="s">
        <v>63</v>
      </c>
      <c r="H442" s="4" t="s">
        <v>25</v>
      </c>
      <c r="I442" s="5">
        <v>44652</v>
      </c>
      <c r="J442" s="6">
        <v>0</v>
      </c>
      <c r="K442" s="6">
        <v>0</v>
      </c>
      <c r="L442" s="6">
        <v>0</v>
      </c>
      <c r="M442" s="6">
        <v>0</v>
      </c>
      <c r="N442" s="6">
        <v>836.30399999999997</v>
      </c>
      <c r="O442" s="6">
        <v>836.30399999999997</v>
      </c>
      <c r="P442" s="6">
        <v>0</v>
      </c>
      <c r="Q442" s="4" t="s">
        <v>64</v>
      </c>
      <c r="R442" s="4">
        <v>7019</v>
      </c>
      <c r="S442" s="4" t="s">
        <v>203</v>
      </c>
      <c r="T442" s="4" t="s">
        <v>520</v>
      </c>
      <c r="U442" s="4">
        <v>0</v>
      </c>
      <c r="V442" s="4">
        <v>0</v>
      </c>
      <c r="W442" s="4">
        <v>79</v>
      </c>
    </row>
    <row r="443" spans="1:23" ht="11.25" customHeight="1" x14ac:dyDescent="0.25">
      <c r="A443" s="4" t="s">
        <v>21</v>
      </c>
      <c r="B443" s="4" t="s">
        <v>41</v>
      </c>
      <c r="C443" s="4" t="s">
        <v>62</v>
      </c>
      <c r="D443" s="4" t="s">
        <v>25</v>
      </c>
      <c r="E443" s="4" t="s">
        <v>25</v>
      </c>
      <c r="F443" s="4" t="s">
        <v>25</v>
      </c>
      <c r="G443" s="4" t="s">
        <v>63</v>
      </c>
      <c r="H443" s="4" t="s">
        <v>25</v>
      </c>
      <c r="I443" s="5">
        <v>44682</v>
      </c>
      <c r="J443" s="6">
        <v>0</v>
      </c>
      <c r="K443" s="6">
        <v>0</v>
      </c>
      <c r="L443" s="6">
        <v>0</v>
      </c>
      <c r="M443" s="6">
        <v>0</v>
      </c>
      <c r="N443" s="6">
        <v>823.65300000000002</v>
      </c>
      <c r="O443" s="6">
        <v>823.65300000000002</v>
      </c>
      <c r="P443" s="6">
        <v>0</v>
      </c>
      <c r="Q443" s="4" t="s">
        <v>64</v>
      </c>
      <c r="R443" s="4">
        <v>7019</v>
      </c>
      <c r="S443" s="4" t="s">
        <v>204</v>
      </c>
      <c r="T443" s="4" t="s">
        <v>521</v>
      </c>
      <c r="U443" s="4">
        <v>0</v>
      </c>
      <c r="V443" s="4">
        <v>0</v>
      </c>
      <c r="W443" s="4">
        <v>79</v>
      </c>
    </row>
    <row r="444" spans="1:23" ht="11.25" customHeight="1" x14ac:dyDescent="0.25">
      <c r="A444" s="4" t="s">
        <v>21</v>
      </c>
      <c r="B444" s="4" t="s">
        <v>41</v>
      </c>
      <c r="C444" s="4" t="s">
        <v>62</v>
      </c>
      <c r="D444" s="4" t="s">
        <v>25</v>
      </c>
      <c r="E444" s="4" t="s">
        <v>25</v>
      </c>
      <c r="F444" s="4" t="s">
        <v>25</v>
      </c>
      <c r="G444" s="4" t="s">
        <v>63</v>
      </c>
      <c r="H444" s="4" t="s">
        <v>25</v>
      </c>
      <c r="I444" s="5">
        <v>44713</v>
      </c>
      <c r="J444" s="6">
        <v>0</v>
      </c>
      <c r="K444" s="6">
        <v>0</v>
      </c>
      <c r="L444" s="6">
        <v>0</v>
      </c>
      <c r="M444" s="6">
        <v>0</v>
      </c>
      <c r="N444" s="6">
        <v>839.31100000000004</v>
      </c>
      <c r="O444" s="6">
        <v>839.31100000000004</v>
      </c>
      <c r="P444" s="6">
        <v>0</v>
      </c>
      <c r="Q444" s="4" t="s">
        <v>64</v>
      </c>
      <c r="R444" s="4">
        <v>7019</v>
      </c>
      <c r="S444" s="4" t="s">
        <v>205</v>
      </c>
      <c r="T444" s="4" t="s">
        <v>522</v>
      </c>
      <c r="U444" s="4">
        <v>0</v>
      </c>
      <c r="V444" s="4">
        <v>0</v>
      </c>
      <c r="W444" s="4">
        <v>79</v>
      </c>
    </row>
    <row r="445" spans="1:23" ht="11.25" customHeight="1" x14ac:dyDescent="0.25">
      <c r="A445" s="4" t="s">
        <v>21</v>
      </c>
      <c r="B445" s="4" t="s">
        <v>41</v>
      </c>
      <c r="C445" s="4" t="s">
        <v>62</v>
      </c>
      <c r="D445" s="4" t="s">
        <v>25</v>
      </c>
      <c r="E445" s="4" t="s">
        <v>25</v>
      </c>
      <c r="F445" s="4" t="s">
        <v>25</v>
      </c>
      <c r="G445" s="4" t="s">
        <v>63</v>
      </c>
      <c r="H445" s="4" t="s">
        <v>25</v>
      </c>
      <c r="I445" s="5">
        <v>44743</v>
      </c>
      <c r="J445" s="6">
        <v>0</v>
      </c>
      <c r="K445" s="6">
        <v>0</v>
      </c>
      <c r="L445" s="6">
        <v>0</v>
      </c>
      <c r="M445" s="6">
        <v>0</v>
      </c>
      <c r="N445" s="6">
        <v>791.92899999999997</v>
      </c>
      <c r="O445" s="6">
        <v>791.92899999999997</v>
      </c>
      <c r="P445" s="6">
        <v>0</v>
      </c>
      <c r="Q445" s="4" t="s">
        <v>64</v>
      </c>
      <c r="R445" s="4">
        <v>7019</v>
      </c>
      <c r="S445" s="4" t="s">
        <v>206</v>
      </c>
      <c r="T445" s="4" t="s">
        <v>523</v>
      </c>
      <c r="U445" s="4">
        <v>0</v>
      </c>
      <c r="V445" s="4">
        <v>0</v>
      </c>
      <c r="W445" s="4">
        <v>79</v>
      </c>
    </row>
    <row r="446" spans="1:23" ht="11.25" customHeight="1" x14ac:dyDescent="0.25">
      <c r="A446" s="4" t="s">
        <v>21</v>
      </c>
      <c r="B446" s="4" t="s">
        <v>41</v>
      </c>
      <c r="C446" s="4" t="s">
        <v>62</v>
      </c>
      <c r="D446" s="4" t="s">
        <v>25</v>
      </c>
      <c r="E446" s="4" t="s">
        <v>25</v>
      </c>
      <c r="F446" s="4" t="s">
        <v>25</v>
      </c>
      <c r="G446" s="4" t="s">
        <v>63</v>
      </c>
      <c r="H446" s="4" t="s">
        <v>25</v>
      </c>
      <c r="I446" s="5">
        <v>44774</v>
      </c>
      <c r="J446" s="6">
        <v>0</v>
      </c>
      <c r="K446" s="6">
        <v>0</v>
      </c>
      <c r="L446" s="6">
        <v>0</v>
      </c>
      <c r="M446" s="6">
        <v>0</v>
      </c>
      <c r="N446" s="6">
        <v>854.55399999999997</v>
      </c>
      <c r="O446" s="6">
        <v>854.55399999999997</v>
      </c>
      <c r="P446" s="6">
        <v>0</v>
      </c>
      <c r="Q446" s="4" t="s">
        <v>64</v>
      </c>
      <c r="R446" s="4">
        <v>7019</v>
      </c>
      <c r="S446" s="4" t="s">
        <v>207</v>
      </c>
      <c r="T446" s="4" t="s">
        <v>524</v>
      </c>
      <c r="U446" s="4">
        <v>0</v>
      </c>
      <c r="V446" s="4">
        <v>0</v>
      </c>
      <c r="W446" s="4">
        <v>79</v>
      </c>
    </row>
    <row r="447" spans="1:23" ht="11.25" customHeight="1" x14ac:dyDescent="0.25">
      <c r="A447" s="4" t="s">
        <v>21</v>
      </c>
      <c r="B447" s="4" t="s">
        <v>41</v>
      </c>
      <c r="C447" s="4" t="s">
        <v>62</v>
      </c>
      <c r="D447" s="4" t="s">
        <v>25</v>
      </c>
      <c r="E447" s="4" t="s">
        <v>25</v>
      </c>
      <c r="F447" s="4" t="s">
        <v>25</v>
      </c>
      <c r="G447" s="4" t="s">
        <v>63</v>
      </c>
      <c r="H447" s="4" t="s">
        <v>25</v>
      </c>
      <c r="I447" s="5">
        <v>44805</v>
      </c>
      <c r="J447" s="6">
        <v>0</v>
      </c>
      <c r="K447" s="6">
        <v>0</v>
      </c>
      <c r="L447" s="6">
        <v>0</v>
      </c>
      <c r="M447" s="6">
        <v>0</v>
      </c>
      <c r="N447" s="6">
        <v>871.35400000000004</v>
      </c>
      <c r="O447" s="6">
        <v>871.35400000000004</v>
      </c>
      <c r="P447" s="6">
        <v>0</v>
      </c>
      <c r="Q447" s="4" t="s">
        <v>64</v>
      </c>
      <c r="R447" s="4">
        <v>7019</v>
      </c>
      <c r="S447" s="4" t="s">
        <v>208</v>
      </c>
      <c r="T447" s="4" t="s">
        <v>525</v>
      </c>
      <c r="U447" s="4">
        <v>0</v>
      </c>
      <c r="V447" s="4">
        <v>0</v>
      </c>
      <c r="W447" s="4">
        <v>79</v>
      </c>
    </row>
    <row r="448" spans="1:23" ht="11.25" customHeight="1" x14ac:dyDescent="0.25">
      <c r="A448" s="4" t="s">
        <v>21</v>
      </c>
      <c r="B448" s="4" t="s">
        <v>41</v>
      </c>
      <c r="C448" s="4" t="s">
        <v>62</v>
      </c>
      <c r="D448" s="4" t="s">
        <v>25</v>
      </c>
      <c r="E448" s="4" t="s">
        <v>25</v>
      </c>
      <c r="F448" s="4" t="s">
        <v>25</v>
      </c>
      <c r="G448" s="4" t="s">
        <v>63</v>
      </c>
      <c r="H448" s="4" t="s">
        <v>25</v>
      </c>
      <c r="I448" s="5">
        <v>44835</v>
      </c>
      <c r="J448" s="6">
        <v>0</v>
      </c>
      <c r="K448" s="6">
        <v>0</v>
      </c>
      <c r="L448" s="6">
        <v>0</v>
      </c>
      <c r="M448" s="6">
        <v>0</v>
      </c>
      <c r="N448" s="6">
        <v>921.48900000000003</v>
      </c>
      <c r="O448" s="6">
        <v>921.48900000000003</v>
      </c>
      <c r="P448" s="6">
        <v>0</v>
      </c>
      <c r="Q448" s="4" t="s">
        <v>64</v>
      </c>
      <c r="R448" s="4">
        <v>7019</v>
      </c>
      <c r="S448" s="4" t="s">
        <v>209</v>
      </c>
      <c r="T448" s="4" t="s">
        <v>526</v>
      </c>
      <c r="U448" s="4">
        <v>0</v>
      </c>
      <c r="V448" s="4">
        <v>0</v>
      </c>
      <c r="W448" s="4">
        <v>79</v>
      </c>
    </row>
    <row r="449" spans="1:23" ht="11.25" customHeight="1" x14ac:dyDescent="0.25">
      <c r="A449" s="4" t="s">
        <v>59</v>
      </c>
      <c r="B449" s="4" t="s">
        <v>41</v>
      </c>
      <c r="C449" s="4" t="s">
        <v>62</v>
      </c>
      <c r="D449" s="4" t="s">
        <v>25</v>
      </c>
      <c r="E449" s="4" t="s">
        <v>25</v>
      </c>
      <c r="F449" s="4" t="s">
        <v>25</v>
      </c>
      <c r="G449" s="4" t="s">
        <v>63</v>
      </c>
      <c r="H449" s="4" t="s">
        <v>25</v>
      </c>
      <c r="I449" s="5">
        <v>44866</v>
      </c>
      <c r="J449" s="6">
        <v>0</v>
      </c>
      <c r="K449" s="6">
        <v>0</v>
      </c>
      <c r="L449" s="6">
        <v>0</v>
      </c>
      <c r="M449" s="6">
        <v>0</v>
      </c>
      <c r="N449" s="6">
        <v>921.48900000000003</v>
      </c>
      <c r="O449" s="6">
        <v>921.48900000000003</v>
      </c>
      <c r="P449" s="6">
        <v>0</v>
      </c>
      <c r="Q449" s="4" t="s">
        <v>64</v>
      </c>
      <c r="R449" s="4">
        <v>7019</v>
      </c>
      <c r="S449" s="4" t="s">
        <v>210</v>
      </c>
      <c r="T449" s="4" t="s">
        <v>527</v>
      </c>
      <c r="U449" s="4">
        <v>0</v>
      </c>
      <c r="V449" s="4">
        <v>0</v>
      </c>
      <c r="W449" s="4">
        <v>79</v>
      </c>
    </row>
    <row r="450" spans="1:23" ht="11.25" customHeight="1" x14ac:dyDescent="0.25">
      <c r="A450" s="4" t="s">
        <v>21</v>
      </c>
      <c r="B450" s="4" t="s">
        <v>41</v>
      </c>
      <c r="C450" s="4" t="s">
        <v>62</v>
      </c>
      <c r="D450" s="4" t="s">
        <v>25</v>
      </c>
      <c r="E450" s="4" t="s">
        <v>25</v>
      </c>
      <c r="F450" s="4" t="s">
        <v>25</v>
      </c>
      <c r="G450" s="4" t="s">
        <v>63</v>
      </c>
      <c r="H450" s="4" t="s">
        <v>36</v>
      </c>
      <c r="I450" s="5">
        <v>44531</v>
      </c>
      <c r="J450" s="6">
        <v>1523</v>
      </c>
      <c r="K450" s="6">
        <v>1523</v>
      </c>
      <c r="L450" s="6">
        <v>73.668000000000006</v>
      </c>
      <c r="M450" s="6">
        <v>73.668000000000006</v>
      </c>
      <c r="N450" s="6">
        <v>0</v>
      </c>
      <c r="O450" s="6">
        <v>0</v>
      </c>
      <c r="P450" s="6">
        <v>0</v>
      </c>
      <c r="Q450" s="4" t="s">
        <v>64</v>
      </c>
      <c r="R450" s="4">
        <v>7019</v>
      </c>
      <c r="S450" s="4" t="s">
        <v>211</v>
      </c>
      <c r="T450" s="4" t="s">
        <v>516</v>
      </c>
      <c r="U450" s="4">
        <v>23</v>
      </c>
      <c r="V450" s="4">
        <v>25</v>
      </c>
      <c r="W450" s="4">
        <v>0</v>
      </c>
    </row>
    <row r="451" spans="1:23" ht="11.25" customHeight="1" x14ac:dyDescent="0.25">
      <c r="A451" s="4" t="s">
        <v>21</v>
      </c>
      <c r="B451" s="4" t="s">
        <v>41</v>
      </c>
      <c r="C451" s="4" t="s">
        <v>62</v>
      </c>
      <c r="D451" s="4" t="s">
        <v>25</v>
      </c>
      <c r="E451" s="4" t="s">
        <v>25</v>
      </c>
      <c r="F451" s="4" t="s">
        <v>25</v>
      </c>
      <c r="G451" s="4" t="s">
        <v>63</v>
      </c>
      <c r="H451" s="4" t="s">
        <v>36</v>
      </c>
      <c r="I451" s="5">
        <v>44562</v>
      </c>
      <c r="J451" s="6">
        <v>1456</v>
      </c>
      <c r="K451" s="6">
        <v>1456</v>
      </c>
      <c r="L451" s="6">
        <v>89.442999999999998</v>
      </c>
      <c r="M451" s="6">
        <v>89.442999999999998</v>
      </c>
      <c r="N451" s="6">
        <v>0</v>
      </c>
      <c r="O451" s="6">
        <v>0</v>
      </c>
      <c r="P451" s="6">
        <v>0</v>
      </c>
      <c r="Q451" s="4" t="s">
        <v>64</v>
      </c>
      <c r="R451" s="4">
        <v>7019</v>
      </c>
      <c r="S451" s="4" t="s">
        <v>212</v>
      </c>
      <c r="T451" s="4" t="s">
        <v>517</v>
      </c>
      <c r="U451" s="4">
        <v>23</v>
      </c>
      <c r="V451" s="4">
        <v>25</v>
      </c>
      <c r="W451" s="4">
        <v>0</v>
      </c>
    </row>
    <row r="452" spans="1:23" ht="11.25" customHeight="1" x14ac:dyDescent="0.25">
      <c r="A452" s="4" t="s">
        <v>21</v>
      </c>
      <c r="B452" s="4" t="s">
        <v>41</v>
      </c>
      <c r="C452" s="4" t="s">
        <v>62</v>
      </c>
      <c r="D452" s="4" t="s">
        <v>25</v>
      </c>
      <c r="E452" s="4" t="s">
        <v>25</v>
      </c>
      <c r="F452" s="4" t="s">
        <v>25</v>
      </c>
      <c r="G452" s="4" t="s">
        <v>63</v>
      </c>
      <c r="H452" s="4" t="s">
        <v>36</v>
      </c>
      <c r="I452" s="5">
        <v>44593</v>
      </c>
      <c r="J452" s="6">
        <v>1568</v>
      </c>
      <c r="K452" s="6">
        <v>1568</v>
      </c>
      <c r="L452" s="6">
        <v>82.863</v>
      </c>
      <c r="M452" s="6">
        <v>82.863</v>
      </c>
      <c r="N452" s="6">
        <v>0</v>
      </c>
      <c r="O452" s="6">
        <v>0</v>
      </c>
      <c r="P452" s="6">
        <v>0</v>
      </c>
      <c r="Q452" s="4" t="s">
        <v>64</v>
      </c>
      <c r="R452" s="4">
        <v>7019</v>
      </c>
      <c r="S452" s="4" t="s">
        <v>213</v>
      </c>
      <c r="T452" s="4" t="s">
        <v>518</v>
      </c>
      <c r="U452" s="4">
        <v>23</v>
      </c>
      <c r="V452" s="4">
        <v>25</v>
      </c>
      <c r="W452" s="4">
        <v>0</v>
      </c>
    </row>
    <row r="453" spans="1:23" ht="11.25" customHeight="1" x14ac:dyDescent="0.25">
      <c r="A453" s="4" t="s">
        <v>21</v>
      </c>
      <c r="B453" s="4" t="s">
        <v>41</v>
      </c>
      <c r="C453" s="4" t="s">
        <v>62</v>
      </c>
      <c r="D453" s="4" t="s">
        <v>25</v>
      </c>
      <c r="E453" s="4" t="s">
        <v>25</v>
      </c>
      <c r="F453" s="4" t="s">
        <v>25</v>
      </c>
      <c r="G453" s="4" t="s">
        <v>63</v>
      </c>
      <c r="H453" s="4" t="s">
        <v>36</v>
      </c>
      <c r="I453" s="5">
        <v>44621</v>
      </c>
      <c r="J453" s="6">
        <v>1500</v>
      </c>
      <c r="K453" s="6">
        <v>1500</v>
      </c>
      <c r="L453" s="6">
        <v>77.391999999999996</v>
      </c>
      <c r="M453" s="6">
        <v>77.391999999999996</v>
      </c>
      <c r="N453" s="6">
        <v>0</v>
      </c>
      <c r="O453" s="6">
        <v>0</v>
      </c>
      <c r="P453" s="6">
        <v>0</v>
      </c>
      <c r="Q453" s="4" t="s">
        <v>64</v>
      </c>
      <c r="R453" s="4">
        <v>7019</v>
      </c>
      <c r="S453" s="4" t="s">
        <v>214</v>
      </c>
      <c r="T453" s="4" t="s">
        <v>519</v>
      </c>
      <c r="U453" s="4">
        <v>23</v>
      </c>
      <c r="V453" s="4">
        <v>25</v>
      </c>
      <c r="W453" s="4">
        <v>0</v>
      </c>
    </row>
    <row r="454" spans="1:23" ht="11.25" customHeight="1" x14ac:dyDescent="0.25">
      <c r="A454" s="4" t="s">
        <v>21</v>
      </c>
      <c r="B454" s="4" t="s">
        <v>41</v>
      </c>
      <c r="C454" s="4" t="s">
        <v>62</v>
      </c>
      <c r="D454" s="4" t="s">
        <v>25</v>
      </c>
      <c r="E454" s="4" t="s">
        <v>25</v>
      </c>
      <c r="F454" s="4" t="s">
        <v>25</v>
      </c>
      <c r="G454" s="4" t="s">
        <v>63</v>
      </c>
      <c r="H454" s="4" t="s">
        <v>36</v>
      </c>
      <c r="I454" s="5">
        <v>44652</v>
      </c>
      <c r="J454" s="6">
        <v>1478</v>
      </c>
      <c r="K454" s="6">
        <v>1478</v>
      </c>
      <c r="L454" s="6">
        <v>84.554000000000002</v>
      </c>
      <c r="M454" s="6">
        <v>84.554000000000002</v>
      </c>
      <c r="N454" s="6">
        <v>0</v>
      </c>
      <c r="O454" s="6">
        <v>0</v>
      </c>
      <c r="P454" s="6">
        <v>0</v>
      </c>
      <c r="Q454" s="4" t="s">
        <v>64</v>
      </c>
      <c r="R454" s="4">
        <v>7019</v>
      </c>
      <c r="S454" s="4" t="s">
        <v>215</v>
      </c>
      <c r="T454" s="4" t="s">
        <v>520</v>
      </c>
      <c r="U454" s="4">
        <v>23</v>
      </c>
      <c r="V454" s="4">
        <v>25</v>
      </c>
      <c r="W454" s="4">
        <v>0</v>
      </c>
    </row>
    <row r="455" spans="1:23" ht="11.25" customHeight="1" x14ac:dyDescent="0.25">
      <c r="A455" s="4" t="s">
        <v>21</v>
      </c>
      <c r="B455" s="4" t="s">
        <v>41</v>
      </c>
      <c r="C455" s="4" t="s">
        <v>62</v>
      </c>
      <c r="D455" s="4" t="s">
        <v>25</v>
      </c>
      <c r="E455" s="4" t="s">
        <v>25</v>
      </c>
      <c r="F455" s="4" t="s">
        <v>25</v>
      </c>
      <c r="G455" s="4" t="s">
        <v>63</v>
      </c>
      <c r="H455" s="4" t="s">
        <v>36</v>
      </c>
      <c r="I455" s="5">
        <v>44682</v>
      </c>
      <c r="J455" s="6">
        <v>1612</v>
      </c>
      <c r="K455" s="6">
        <v>1612</v>
      </c>
      <c r="L455" s="6">
        <v>76.456000000000003</v>
      </c>
      <c r="M455" s="6">
        <v>76.456000000000003</v>
      </c>
      <c r="N455" s="6">
        <v>0</v>
      </c>
      <c r="O455" s="6">
        <v>0</v>
      </c>
      <c r="P455" s="6">
        <v>0</v>
      </c>
      <c r="Q455" s="4" t="s">
        <v>64</v>
      </c>
      <c r="R455" s="4">
        <v>7019</v>
      </c>
      <c r="S455" s="4" t="s">
        <v>216</v>
      </c>
      <c r="T455" s="4" t="s">
        <v>521</v>
      </c>
      <c r="U455" s="4">
        <v>23</v>
      </c>
      <c r="V455" s="4">
        <v>25</v>
      </c>
      <c r="W455" s="4">
        <v>0</v>
      </c>
    </row>
    <row r="456" spans="1:23" ht="11.25" customHeight="1" x14ac:dyDescent="0.25">
      <c r="A456" s="4" t="s">
        <v>21</v>
      </c>
      <c r="B456" s="4" t="s">
        <v>41</v>
      </c>
      <c r="C456" s="4" t="s">
        <v>62</v>
      </c>
      <c r="D456" s="4" t="s">
        <v>25</v>
      </c>
      <c r="E456" s="4" t="s">
        <v>25</v>
      </c>
      <c r="F456" s="4" t="s">
        <v>25</v>
      </c>
      <c r="G456" s="4" t="s">
        <v>63</v>
      </c>
      <c r="H456" s="4" t="s">
        <v>36</v>
      </c>
      <c r="I456" s="5">
        <v>44713</v>
      </c>
      <c r="J456" s="6">
        <v>1545</v>
      </c>
      <c r="K456" s="6">
        <v>1545</v>
      </c>
      <c r="L456" s="6">
        <v>82.218999999999994</v>
      </c>
      <c r="M456" s="6">
        <v>82.218999999999994</v>
      </c>
      <c r="N456" s="6">
        <v>0</v>
      </c>
      <c r="O456" s="6">
        <v>0</v>
      </c>
      <c r="P456" s="6">
        <v>0</v>
      </c>
      <c r="Q456" s="4" t="s">
        <v>64</v>
      </c>
      <c r="R456" s="4">
        <v>7019</v>
      </c>
      <c r="S456" s="4" t="s">
        <v>217</v>
      </c>
      <c r="T456" s="4" t="s">
        <v>522</v>
      </c>
      <c r="U456" s="4">
        <v>23</v>
      </c>
      <c r="V456" s="4">
        <v>25</v>
      </c>
      <c r="W456" s="4">
        <v>0</v>
      </c>
    </row>
    <row r="457" spans="1:23" ht="11.25" customHeight="1" x14ac:dyDescent="0.25">
      <c r="A457" s="4" t="s">
        <v>21</v>
      </c>
      <c r="B457" s="4" t="s">
        <v>41</v>
      </c>
      <c r="C457" s="4" t="s">
        <v>62</v>
      </c>
      <c r="D457" s="4" t="s">
        <v>25</v>
      </c>
      <c r="E457" s="4" t="s">
        <v>25</v>
      </c>
      <c r="F457" s="4" t="s">
        <v>25</v>
      </c>
      <c r="G457" s="4" t="s">
        <v>63</v>
      </c>
      <c r="H457" s="4" t="s">
        <v>36</v>
      </c>
      <c r="I457" s="5">
        <v>44743</v>
      </c>
      <c r="J457" s="6">
        <v>1456</v>
      </c>
      <c r="K457" s="6">
        <v>1456</v>
      </c>
      <c r="L457" s="6">
        <v>80.040000000000006</v>
      </c>
      <c r="M457" s="6">
        <v>80.040000000000006</v>
      </c>
      <c r="N457" s="6">
        <v>0</v>
      </c>
      <c r="O457" s="6">
        <v>0</v>
      </c>
      <c r="P457" s="6">
        <v>0</v>
      </c>
      <c r="Q457" s="4" t="s">
        <v>64</v>
      </c>
      <c r="R457" s="4">
        <v>7019</v>
      </c>
      <c r="S457" s="4" t="s">
        <v>218</v>
      </c>
      <c r="T457" s="4" t="s">
        <v>523</v>
      </c>
      <c r="U457" s="4">
        <v>23</v>
      </c>
      <c r="V457" s="4">
        <v>25</v>
      </c>
      <c r="W457" s="4">
        <v>0</v>
      </c>
    </row>
    <row r="458" spans="1:23" ht="11.25" customHeight="1" x14ac:dyDescent="0.25">
      <c r="A458" s="4" t="s">
        <v>21</v>
      </c>
      <c r="B458" s="4" t="s">
        <v>41</v>
      </c>
      <c r="C458" s="4" t="s">
        <v>62</v>
      </c>
      <c r="D458" s="4" t="s">
        <v>25</v>
      </c>
      <c r="E458" s="4" t="s">
        <v>25</v>
      </c>
      <c r="F458" s="4" t="s">
        <v>25</v>
      </c>
      <c r="G458" s="4" t="s">
        <v>63</v>
      </c>
      <c r="H458" s="4" t="s">
        <v>36</v>
      </c>
      <c r="I458" s="5">
        <v>44774</v>
      </c>
      <c r="J458" s="6">
        <v>1545</v>
      </c>
      <c r="K458" s="6">
        <v>1545</v>
      </c>
      <c r="L458" s="6">
        <v>88.126999999999995</v>
      </c>
      <c r="M458" s="6">
        <v>88.126999999999995</v>
      </c>
      <c r="N458" s="6">
        <v>0</v>
      </c>
      <c r="O458" s="6">
        <v>0</v>
      </c>
      <c r="P458" s="6">
        <v>0</v>
      </c>
      <c r="Q458" s="4" t="s">
        <v>64</v>
      </c>
      <c r="R458" s="4">
        <v>7019</v>
      </c>
      <c r="S458" s="4" t="s">
        <v>219</v>
      </c>
      <c r="T458" s="4" t="s">
        <v>524</v>
      </c>
      <c r="U458" s="4">
        <v>23</v>
      </c>
      <c r="V458" s="4">
        <v>25</v>
      </c>
      <c r="W458" s="4">
        <v>0</v>
      </c>
    </row>
    <row r="459" spans="1:23" ht="11.25" customHeight="1" x14ac:dyDescent="0.25">
      <c r="A459" s="4" t="s">
        <v>21</v>
      </c>
      <c r="B459" s="4" t="s">
        <v>41</v>
      </c>
      <c r="C459" s="4" t="s">
        <v>62</v>
      </c>
      <c r="D459" s="4" t="s">
        <v>25</v>
      </c>
      <c r="E459" s="4" t="s">
        <v>25</v>
      </c>
      <c r="F459" s="4" t="s">
        <v>25</v>
      </c>
      <c r="G459" s="4" t="s">
        <v>63</v>
      </c>
      <c r="H459" s="4" t="s">
        <v>36</v>
      </c>
      <c r="I459" s="5">
        <v>44805</v>
      </c>
      <c r="J459" s="6">
        <v>1646</v>
      </c>
      <c r="K459" s="6">
        <v>1646</v>
      </c>
      <c r="L459" s="6">
        <v>95.625</v>
      </c>
      <c r="M459" s="6">
        <v>95.625</v>
      </c>
      <c r="N459" s="6">
        <v>0</v>
      </c>
      <c r="O459" s="6">
        <v>0</v>
      </c>
      <c r="P459" s="6">
        <v>0</v>
      </c>
      <c r="Q459" s="4" t="s">
        <v>64</v>
      </c>
      <c r="R459" s="4">
        <v>7019</v>
      </c>
      <c r="S459" s="4" t="s">
        <v>220</v>
      </c>
      <c r="T459" s="4" t="s">
        <v>525</v>
      </c>
      <c r="U459" s="4">
        <v>23</v>
      </c>
      <c r="V459" s="4">
        <v>25</v>
      </c>
      <c r="W459" s="4">
        <v>0</v>
      </c>
    </row>
    <row r="460" spans="1:23" ht="11.25" customHeight="1" x14ac:dyDescent="0.25">
      <c r="A460" s="4" t="s">
        <v>21</v>
      </c>
      <c r="B460" s="4" t="s">
        <v>41</v>
      </c>
      <c r="C460" s="4" t="s">
        <v>62</v>
      </c>
      <c r="D460" s="4" t="s">
        <v>25</v>
      </c>
      <c r="E460" s="4" t="s">
        <v>25</v>
      </c>
      <c r="F460" s="4" t="s">
        <v>25</v>
      </c>
      <c r="G460" s="4" t="s">
        <v>63</v>
      </c>
      <c r="H460" s="4" t="s">
        <v>36</v>
      </c>
      <c r="I460" s="5">
        <v>44835</v>
      </c>
      <c r="J460" s="6">
        <v>1825</v>
      </c>
      <c r="K460" s="6">
        <v>1825</v>
      </c>
      <c r="L460" s="6">
        <v>93.472999999999999</v>
      </c>
      <c r="M460" s="6">
        <v>93.472999999999999</v>
      </c>
      <c r="N460" s="6">
        <v>0</v>
      </c>
      <c r="O460" s="6">
        <v>0</v>
      </c>
      <c r="P460" s="6">
        <v>0</v>
      </c>
      <c r="Q460" s="4" t="s">
        <v>64</v>
      </c>
      <c r="R460" s="4">
        <v>7019</v>
      </c>
      <c r="S460" s="4" t="s">
        <v>221</v>
      </c>
      <c r="T460" s="4" t="s">
        <v>526</v>
      </c>
      <c r="U460" s="4">
        <v>23</v>
      </c>
      <c r="V460" s="4">
        <v>25</v>
      </c>
      <c r="W460" s="4">
        <v>0</v>
      </c>
    </row>
    <row r="461" spans="1:23" ht="11.25" customHeight="1" x14ac:dyDescent="0.25">
      <c r="A461" s="4" t="s">
        <v>59</v>
      </c>
      <c r="B461" s="4" t="s">
        <v>41</v>
      </c>
      <c r="C461" s="4" t="s">
        <v>62</v>
      </c>
      <c r="D461" s="4" t="s">
        <v>25</v>
      </c>
      <c r="E461" s="4" t="s">
        <v>25</v>
      </c>
      <c r="F461" s="4" t="s">
        <v>25</v>
      </c>
      <c r="G461" s="4" t="s">
        <v>63</v>
      </c>
      <c r="H461" s="4" t="s">
        <v>36</v>
      </c>
      <c r="I461" s="5">
        <v>44866</v>
      </c>
      <c r="J461" s="6">
        <v>1825</v>
      </c>
      <c r="K461" s="6">
        <v>1825</v>
      </c>
      <c r="L461" s="6">
        <v>93.472999999999999</v>
      </c>
      <c r="M461" s="6">
        <v>93.472999999999999</v>
      </c>
      <c r="N461" s="6">
        <v>0</v>
      </c>
      <c r="O461" s="6">
        <v>0</v>
      </c>
      <c r="P461" s="6">
        <v>0</v>
      </c>
      <c r="Q461" s="4" t="s">
        <v>64</v>
      </c>
      <c r="R461" s="4">
        <v>7019</v>
      </c>
      <c r="S461" s="4" t="s">
        <v>222</v>
      </c>
      <c r="T461" s="4" t="s">
        <v>527</v>
      </c>
      <c r="U461" s="4">
        <v>23</v>
      </c>
      <c r="V461" s="4">
        <v>25</v>
      </c>
      <c r="W461" s="4">
        <v>0</v>
      </c>
    </row>
    <row r="462" spans="1:23" ht="11.25" customHeight="1" x14ac:dyDescent="0.25">
      <c r="A462" s="4" t="s">
        <v>21</v>
      </c>
      <c r="B462" s="4" t="s">
        <v>41</v>
      </c>
      <c r="C462" s="4" t="s">
        <v>44</v>
      </c>
      <c r="D462" s="4" t="s">
        <v>45</v>
      </c>
      <c r="E462" s="4" t="s">
        <v>25</v>
      </c>
      <c r="F462" s="4" t="s">
        <v>25</v>
      </c>
      <c r="G462" s="4" t="s">
        <v>25</v>
      </c>
      <c r="H462" s="4" t="s">
        <v>37</v>
      </c>
      <c r="I462" s="5">
        <v>44531</v>
      </c>
      <c r="J462" s="6">
        <v>0</v>
      </c>
      <c r="K462" s="6">
        <v>0</v>
      </c>
      <c r="L462" s="6">
        <v>3464.0770000000002</v>
      </c>
      <c r="M462" s="6">
        <v>3464.0770000000002</v>
      </c>
      <c r="N462" s="6">
        <v>3464.0770000000002</v>
      </c>
      <c r="O462" s="6">
        <v>3464.0770000000002</v>
      </c>
      <c r="P462" s="6">
        <v>0</v>
      </c>
      <c r="Q462" s="4" t="s">
        <v>26</v>
      </c>
      <c r="R462" s="4">
        <v>0</v>
      </c>
      <c r="S462" s="4" t="s">
        <v>223</v>
      </c>
      <c r="T462" s="4" t="s">
        <v>492</v>
      </c>
      <c r="U462" s="4">
        <v>0</v>
      </c>
      <c r="V462" s="4">
        <v>29</v>
      </c>
      <c r="W462" s="4">
        <v>75</v>
      </c>
    </row>
    <row r="463" spans="1:23" ht="11.25" customHeight="1" x14ac:dyDescent="0.25">
      <c r="A463" s="4" t="s">
        <v>27</v>
      </c>
      <c r="B463" s="4" t="s">
        <v>41</v>
      </c>
      <c r="C463" s="4" t="s">
        <v>44</v>
      </c>
      <c r="D463" s="4" t="s">
        <v>45</v>
      </c>
      <c r="E463" s="4" t="s">
        <v>25</v>
      </c>
      <c r="F463" s="4" t="s">
        <v>25</v>
      </c>
      <c r="G463" s="4" t="s">
        <v>25</v>
      </c>
      <c r="H463" s="4" t="s">
        <v>37</v>
      </c>
      <c r="I463" s="5">
        <v>44531</v>
      </c>
      <c r="J463" s="6">
        <v>0</v>
      </c>
      <c r="K463" s="6">
        <v>0</v>
      </c>
      <c r="L463" s="6">
        <v>-128.5</v>
      </c>
      <c r="M463" s="6">
        <v>-128.5</v>
      </c>
      <c r="N463" s="6">
        <v>-128.5</v>
      </c>
      <c r="O463" s="6">
        <v>-128.5</v>
      </c>
      <c r="P463" s="6">
        <v>0</v>
      </c>
      <c r="Q463" s="4" t="s">
        <v>26</v>
      </c>
      <c r="R463" s="4">
        <v>0</v>
      </c>
      <c r="S463" s="4" t="s">
        <v>223</v>
      </c>
      <c r="T463" s="4" t="s">
        <v>492</v>
      </c>
      <c r="U463" s="4">
        <v>0</v>
      </c>
      <c r="V463" s="4">
        <v>29</v>
      </c>
      <c r="W463" s="4">
        <v>75</v>
      </c>
    </row>
    <row r="464" spans="1:23" ht="11.25" customHeight="1" x14ac:dyDescent="0.25">
      <c r="A464" s="4" t="s">
        <v>28</v>
      </c>
      <c r="B464" s="4" t="s">
        <v>41</v>
      </c>
      <c r="C464" s="4" t="s">
        <v>44</v>
      </c>
      <c r="D464" s="4" t="s">
        <v>45</v>
      </c>
      <c r="E464" s="4" t="s">
        <v>25</v>
      </c>
      <c r="F464" s="4" t="s">
        <v>25</v>
      </c>
      <c r="G464" s="4" t="s">
        <v>25</v>
      </c>
      <c r="H464" s="4" t="s">
        <v>37</v>
      </c>
      <c r="I464" s="5">
        <v>44531</v>
      </c>
      <c r="J464" s="6">
        <v>0</v>
      </c>
      <c r="K464" s="6">
        <v>0</v>
      </c>
      <c r="L464" s="6">
        <v>694.93299999999999</v>
      </c>
      <c r="M464" s="6">
        <v>694.93299999999999</v>
      </c>
      <c r="N464" s="6">
        <v>694.93299999999999</v>
      </c>
      <c r="O464" s="6">
        <v>694.93299999999999</v>
      </c>
      <c r="P464" s="6">
        <v>0</v>
      </c>
      <c r="Q464" s="4" t="s">
        <v>26</v>
      </c>
      <c r="R464" s="4">
        <v>0</v>
      </c>
      <c r="S464" s="4" t="s">
        <v>223</v>
      </c>
      <c r="T464" s="4" t="s">
        <v>492</v>
      </c>
      <c r="U464" s="4">
        <v>0</v>
      </c>
      <c r="V464" s="4">
        <v>29</v>
      </c>
      <c r="W464" s="4">
        <v>75</v>
      </c>
    </row>
    <row r="465" spans="1:23" ht="11.25" customHeight="1" x14ac:dyDescent="0.25">
      <c r="A465" s="4" t="s">
        <v>29</v>
      </c>
      <c r="B465" s="4" t="s">
        <v>41</v>
      </c>
      <c r="C465" s="4" t="s">
        <v>44</v>
      </c>
      <c r="D465" s="4" t="s">
        <v>45</v>
      </c>
      <c r="E465" s="4" t="s">
        <v>25</v>
      </c>
      <c r="F465" s="4" t="s">
        <v>25</v>
      </c>
      <c r="G465" s="4" t="s">
        <v>25</v>
      </c>
      <c r="H465" s="4" t="s">
        <v>37</v>
      </c>
      <c r="I465" s="5">
        <v>44531</v>
      </c>
      <c r="J465" s="6">
        <v>0</v>
      </c>
      <c r="K465" s="6">
        <v>0</v>
      </c>
      <c r="L465" s="6">
        <v>-7.3639999999999999</v>
      </c>
      <c r="M465" s="6">
        <v>-7.3639999999999999</v>
      </c>
      <c r="N465" s="6">
        <v>-7.3639999999999999</v>
      </c>
      <c r="O465" s="6">
        <v>-7.3639999999999999</v>
      </c>
      <c r="P465" s="6">
        <v>0</v>
      </c>
      <c r="Q465" s="4" t="s">
        <v>26</v>
      </c>
      <c r="R465" s="4">
        <v>0</v>
      </c>
      <c r="S465" s="4" t="s">
        <v>223</v>
      </c>
      <c r="T465" s="4" t="s">
        <v>492</v>
      </c>
      <c r="U465" s="4">
        <v>0</v>
      </c>
      <c r="V465" s="4">
        <v>29</v>
      </c>
      <c r="W465" s="4">
        <v>75</v>
      </c>
    </row>
    <row r="466" spans="1:23" ht="11.25" customHeight="1" x14ac:dyDescent="0.25">
      <c r="A466" s="4" t="s">
        <v>30</v>
      </c>
      <c r="B466" s="4" t="s">
        <v>41</v>
      </c>
      <c r="C466" s="4" t="s">
        <v>44</v>
      </c>
      <c r="D466" s="4" t="s">
        <v>45</v>
      </c>
      <c r="E466" s="4" t="s">
        <v>25</v>
      </c>
      <c r="F466" s="4" t="s">
        <v>25</v>
      </c>
      <c r="G466" s="4" t="s">
        <v>25</v>
      </c>
      <c r="H466" s="4" t="s">
        <v>37</v>
      </c>
      <c r="I466" s="5">
        <v>44531</v>
      </c>
      <c r="J466" s="6">
        <v>0</v>
      </c>
      <c r="K466" s="6">
        <v>0</v>
      </c>
      <c r="L466" s="6">
        <v>397.14600000000002</v>
      </c>
      <c r="M466" s="6">
        <v>397.14600000000002</v>
      </c>
      <c r="N466" s="6">
        <v>397.14600000000002</v>
      </c>
      <c r="O466" s="6">
        <v>397.14600000000002</v>
      </c>
      <c r="P466" s="6">
        <v>0</v>
      </c>
      <c r="Q466" s="4" t="s">
        <v>26</v>
      </c>
      <c r="R466" s="4">
        <v>0</v>
      </c>
      <c r="S466" s="4" t="s">
        <v>223</v>
      </c>
      <c r="T466" s="4" t="s">
        <v>492</v>
      </c>
      <c r="U466" s="4">
        <v>0</v>
      </c>
      <c r="V466" s="4">
        <v>29</v>
      </c>
      <c r="W466" s="4">
        <v>75</v>
      </c>
    </row>
    <row r="467" spans="1:23" ht="11.25" customHeight="1" x14ac:dyDescent="0.25">
      <c r="A467" s="4" t="s">
        <v>21</v>
      </c>
      <c r="B467" s="4" t="s">
        <v>41</v>
      </c>
      <c r="C467" s="4" t="s">
        <v>44</v>
      </c>
      <c r="D467" s="4" t="s">
        <v>45</v>
      </c>
      <c r="E467" s="4" t="s">
        <v>25</v>
      </c>
      <c r="F467" s="4" t="s">
        <v>25</v>
      </c>
      <c r="G467" s="4" t="s">
        <v>25</v>
      </c>
      <c r="H467" s="4" t="s">
        <v>37</v>
      </c>
      <c r="I467" s="5">
        <v>44562</v>
      </c>
      <c r="J467" s="6">
        <v>0</v>
      </c>
      <c r="K467" s="6">
        <v>0</v>
      </c>
      <c r="L467" s="6">
        <v>3297.8809999999999</v>
      </c>
      <c r="M467" s="6">
        <v>3297.8809999999999</v>
      </c>
      <c r="N467" s="6">
        <v>3297.8809999999999</v>
      </c>
      <c r="O467" s="6">
        <v>3297.8809999999999</v>
      </c>
      <c r="P467" s="6">
        <v>0</v>
      </c>
      <c r="Q467" s="4" t="s">
        <v>26</v>
      </c>
      <c r="R467" s="4">
        <v>0</v>
      </c>
      <c r="S467" s="4" t="s">
        <v>224</v>
      </c>
      <c r="T467" s="4" t="s">
        <v>493</v>
      </c>
      <c r="U467" s="4">
        <v>0</v>
      </c>
      <c r="V467" s="4">
        <v>29</v>
      </c>
      <c r="W467" s="4">
        <v>75</v>
      </c>
    </row>
    <row r="468" spans="1:23" ht="11.25" customHeight="1" x14ac:dyDescent="0.25">
      <c r="A468" s="4" t="s">
        <v>27</v>
      </c>
      <c r="B468" s="4" t="s">
        <v>41</v>
      </c>
      <c r="C468" s="4" t="s">
        <v>44</v>
      </c>
      <c r="D468" s="4" t="s">
        <v>45</v>
      </c>
      <c r="E468" s="4" t="s">
        <v>25</v>
      </c>
      <c r="F468" s="4" t="s">
        <v>25</v>
      </c>
      <c r="G468" s="4" t="s">
        <v>25</v>
      </c>
      <c r="H468" s="4" t="s">
        <v>37</v>
      </c>
      <c r="I468" s="5">
        <v>44562</v>
      </c>
      <c r="J468" s="6">
        <v>0</v>
      </c>
      <c r="K468" s="6">
        <v>0</v>
      </c>
      <c r="L468" s="6">
        <v>-33.488999999999997</v>
      </c>
      <c r="M468" s="6">
        <v>-33.488999999999997</v>
      </c>
      <c r="N468" s="6">
        <v>-33.488999999999997</v>
      </c>
      <c r="O468" s="6">
        <v>-33.488999999999997</v>
      </c>
      <c r="P468" s="6">
        <v>0</v>
      </c>
      <c r="Q468" s="4" t="s">
        <v>26</v>
      </c>
      <c r="R468" s="4">
        <v>0</v>
      </c>
      <c r="S468" s="4" t="s">
        <v>224</v>
      </c>
      <c r="T468" s="4" t="s">
        <v>493</v>
      </c>
      <c r="U468" s="4">
        <v>0</v>
      </c>
      <c r="V468" s="4">
        <v>29</v>
      </c>
      <c r="W468" s="4">
        <v>75</v>
      </c>
    </row>
    <row r="469" spans="1:23" ht="11.25" customHeight="1" x14ac:dyDescent="0.25">
      <c r="A469" s="4" t="s">
        <v>28</v>
      </c>
      <c r="B469" s="4" t="s">
        <v>41</v>
      </c>
      <c r="C469" s="4" t="s">
        <v>44</v>
      </c>
      <c r="D469" s="4" t="s">
        <v>45</v>
      </c>
      <c r="E469" s="4" t="s">
        <v>25</v>
      </c>
      <c r="F469" s="4" t="s">
        <v>25</v>
      </c>
      <c r="G469" s="4" t="s">
        <v>25</v>
      </c>
      <c r="H469" s="4" t="s">
        <v>37</v>
      </c>
      <c r="I469" s="5">
        <v>44562</v>
      </c>
      <c r="J469" s="6">
        <v>0</v>
      </c>
      <c r="K469" s="6">
        <v>0</v>
      </c>
      <c r="L469" s="6">
        <v>695.87900000000002</v>
      </c>
      <c r="M469" s="6">
        <v>695.87900000000002</v>
      </c>
      <c r="N469" s="6">
        <v>695.87900000000002</v>
      </c>
      <c r="O469" s="6">
        <v>695.87900000000002</v>
      </c>
      <c r="P469" s="6">
        <v>0</v>
      </c>
      <c r="Q469" s="4" t="s">
        <v>26</v>
      </c>
      <c r="R469" s="4">
        <v>0</v>
      </c>
      <c r="S469" s="4" t="s">
        <v>224</v>
      </c>
      <c r="T469" s="4" t="s">
        <v>493</v>
      </c>
      <c r="U469" s="4">
        <v>0</v>
      </c>
      <c r="V469" s="4">
        <v>29</v>
      </c>
      <c r="W469" s="4">
        <v>75</v>
      </c>
    </row>
    <row r="470" spans="1:23" ht="11.25" customHeight="1" x14ac:dyDescent="0.25">
      <c r="A470" s="4" t="s">
        <v>30</v>
      </c>
      <c r="B470" s="4" t="s">
        <v>41</v>
      </c>
      <c r="C470" s="4" t="s">
        <v>44</v>
      </c>
      <c r="D470" s="4" t="s">
        <v>45</v>
      </c>
      <c r="E470" s="4" t="s">
        <v>25</v>
      </c>
      <c r="F470" s="4" t="s">
        <v>25</v>
      </c>
      <c r="G470" s="4" t="s">
        <v>25</v>
      </c>
      <c r="H470" s="4" t="s">
        <v>37</v>
      </c>
      <c r="I470" s="5">
        <v>44562</v>
      </c>
      <c r="J470" s="6">
        <v>0</v>
      </c>
      <c r="K470" s="6">
        <v>0</v>
      </c>
      <c r="L470" s="6">
        <v>360.56900000000002</v>
      </c>
      <c r="M470" s="6">
        <v>360.56900000000002</v>
      </c>
      <c r="N470" s="6">
        <v>360.56900000000002</v>
      </c>
      <c r="O470" s="6">
        <v>360.56900000000002</v>
      </c>
      <c r="P470" s="6">
        <v>0</v>
      </c>
      <c r="Q470" s="4" t="s">
        <v>26</v>
      </c>
      <c r="R470" s="4">
        <v>0</v>
      </c>
      <c r="S470" s="4" t="s">
        <v>224</v>
      </c>
      <c r="T470" s="4" t="s">
        <v>493</v>
      </c>
      <c r="U470" s="4">
        <v>0</v>
      </c>
      <c r="V470" s="4">
        <v>29</v>
      </c>
      <c r="W470" s="4">
        <v>75</v>
      </c>
    </row>
    <row r="471" spans="1:23" ht="11.25" customHeight="1" x14ac:dyDescent="0.25">
      <c r="A471" s="4" t="s">
        <v>30</v>
      </c>
      <c r="B471" s="4" t="s">
        <v>41</v>
      </c>
      <c r="C471" s="4" t="s">
        <v>44</v>
      </c>
      <c r="D471" s="4" t="s">
        <v>45</v>
      </c>
      <c r="E471" s="4" t="s">
        <v>25</v>
      </c>
      <c r="F471" s="4" t="s">
        <v>25</v>
      </c>
      <c r="G471" s="4" t="s">
        <v>25</v>
      </c>
      <c r="H471" s="4" t="s">
        <v>37</v>
      </c>
      <c r="I471" s="5">
        <v>44562</v>
      </c>
      <c r="J471" s="6">
        <v>0</v>
      </c>
      <c r="K471" s="6">
        <v>0</v>
      </c>
      <c r="L471" s="6">
        <v>-38.402000000000001</v>
      </c>
      <c r="M471" s="6">
        <v>-38.402000000000001</v>
      </c>
      <c r="N471" s="6">
        <v>-38.402000000000001</v>
      </c>
      <c r="O471" s="6">
        <v>-38.402000000000001</v>
      </c>
      <c r="P471" s="6">
        <v>0</v>
      </c>
      <c r="Q471" s="4" t="s">
        <v>26</v>
      </c>
      <c r="R471" s="4">
        <v>0</v>
      </c>
      <c r="S471" s="4" t="s">
        <v>224</v>
      </c>
      <c r="T471" s="4" t="s">
        <v>493</v>
      </c>
      <c r="U471" s="4">
        <v>0</v>
      </c>
      <c r="V471" s="4">
        <v>29</v>
      </c>
      <c r="W471" s="4">
        <v>75</v>
      </c>
    </row>
    <row r="472" spans="1:23" ht="11.25" customHeight="1" x14ac:dyDescent="0.25">
      <c r="A472" s="4" t="s">
        <v>21</v>
      </c>
      <c r="B472" s="4" t="s">
        <v>41</v>
      </c>
      <c r="C472" s="4" t="s">
        <v>44</v>
      </c>
      <c r="D472" s="4" t="s">
        <v>45</v>
      </c>
      <c r="E472" s="4" t="s">
        <v>25</v>
      </c>
      <c r="F472" s="4" t="s">
        <v>25</v>
      </c>
      <c r="G472" s="4" t="s">
        <v>25</v>
      </c>
      <c r="H472" s="4" t="s">
        <v>37</v>
      </c>
      <c r="I472" s="5">
        <v>44593</v>
      </c>
      <c r="J472" s="6">
        <v>0</v>
      </c>
      <c r="K472" s="6">
        <v>0</v>
      </c>
      <c r="L472" s="6">
        <v>3116.89</v>
      </c>
      <c r="M472" s="6">
        <v>3116.89</v>
      </c>
      <c r="N472" s="6">
        <v>3116.89</v>
      </c>
      <c r="O472" s="6">
        <v>3116.89</v>
      </c>
      <c r="P472" s="6">
        <v>0</v>
      </c>
      <c r="Q472" s="4" t="s">
        <v>26</v>
      </c>
      <c r="R472" s="4">
        <v>0</v>
      </c>
      <c r="S472" s="4" t="s">
        <v>225</v>
      </c>
      <c r="T472" s="4" t="s">
        <v>494</v>
      </c>
      <c r="U472" s="4">
        <v>0</v>
      </c>
      <c r="V472" s="4">
        <v>29</v>
      </c>
      <c r="W472" s="4">
        <v>75</v>
      </c>
    </row>
    <row r="473" spans="1:23" ht="11.25" customHeight="1" x14ac:dyDescent="0.25">
      <c r="A473" s="4" t="s">
        <v>27</v>
      </c>
      <c r="B473" s="4" t="s">
        <v>41</v>
      </c>
      <c r="C473" s="4" t="s">
        <v>44</v>
      </c>
      <c r="D473" s="4" t="s">
        <v>45</v>
      </c>
      <c r="E473" s="4" t="s">
        <v>25</v>
      </c>
      <c r="F473" s="4" t="s">
        <v>25</v>
      </c>
      <c r="G473" s="4" t="s">
        <v>25</v>
      </c>
      <c r="H473" s="4" t="s">
        <v>37</v>
      </c>
      <c r="I473" s="5">
        <v>44593</v>
      </c>
      <c r="J473" s="6">
        <v>0</v>
      </c>
      <c r="K473" s="6">
        <v>0</v>
      </c>
      <c r="L473" s="6">
        <v>-109.733</v>
      </c>
      <c r="M473" s="6">
        <v>-109.733</v>
      </c>
      <c r="N473" s="6">
        <v>-109.733</v>
      </c>
      <c r="O473" s="6">
        <v>-109.733</v>
      </c>
      <c r="P473" s="6">
        <v>0</v>
      </c>
      <c r="Q473" s="4" t="s">
        <v>26</v>
      </c>
      <c r="R473" s="4">
        <v>0</v>
      </c>
      <c r="S473" s="4" t="s">
        <v>225</v>
      </c>
      <c r="T473" s="4" t="s">
        <v>494</v>
      </c>
      <c r="U473" s="4">
        <v>0</v>
      </c>
      <c r="V473" s="4">
        <v>29</v>
      </c>
      <c r="W473" s="4">
        <v>75</v>
      </c>
    </row>
    <row r="474" spans="1:23" ht="11.25" customHeight="1" x14ac:dyDescent="0.25">
      <c r="A474" s="4" t="s">
        <v>28</v>
      </c>
      <c r="B474" s="4" t="s">
        <v>41</v>
      </c>
      <c r="C474" s="4" t="s">
        <v>44</v>
      </c>
      <c r="D474" s="4" t="s">
        <v>45</v>
      </c>
      <c r="E474" s="4" t="s">
        <v>25</v>
      </c>
      <c r="F474" s="4" t="s">
        <v>25</v>
      </c>
      <c r="G474" s="4" t="s">
        <v>25</v>
      </c>
      <c r="H474" s="4" t="s">
        <v>37</v>
      </c>
      <c r="I474" s="5">
        <v>44593</v>
      </c>
      <c r="J474" s="6">
        <v>0</v>
      </c>
      <c r="K474" s="6">
        <v>0</v>
      </c>
      <c r="L474" s="6">
        <v>685.91800000000001</v>
      </c>
      <c r="M474" s="6">
        <v>685.91800000000001</v>
      </c>
      <c r="N474" s="6">
        <v>685.91800000000001</v>
      </c>
      <c r="O474" s="6">
        <v>685.91800000000001</v>
      </c>
      <c r="P474" s="6">
        <v>0</v>
      </c>
      <c r="Q474" s="4" t="s">
        <v>26</v>
      </c>
      <c r="R474" s="4">
        <v>0</v>
      </c>
      <c r="S474" s="4" t="s">
        <v>225</v>
      </c>
      <c r="T474" s="4" t="s">
        <v>494</v>
      </c>
      <c r="U474" s="4">
        <v>0</v>
      </c>
      <c r="V474" s="4">
        <v>29</v>
      </c>
      <c r="W474" s="4">
        <v>75</v>
      </c>
    </row>
    <row r="475" spans="1:23" ht="11.25" customHeight="1" x14ac:dyDescent="0.25">
      <c r="A475" s="4" t="s">
        <v>30</v>
      </c>
      <c r="B475" s="4" t="s">
        <v>41</v>
      </c>
      <c r="C475" s="4" t="s">
        <v>44</v>
      </c>
      <c r="D475" s="4" t="s">
        <v>45</v>
      </c>
      <c r="E475" s="4" t="s">
        <v>25</v>
      </c>
      <c r="F475" s="4" t="s">
        <v>25</v>
      </c>
      <c r="G475" s="4" t="s">
        <v>25</v>
      </c>
      <c r="H475" s="4" t="s">
        <v>37</v>
      </c>
      <c r="I475" s="5">
        <v>44593</v>
      </c>
      <c r="J475" s="6">
        <v>0</v>
      </c>
      <c r="K475" s="6">
        <v>0</v>
      </c>
      <c r="L475" s="6">
        <v>307.45100000000002</v>
      </c>
      <c r="M475" s="6">
        <v>307.45100000000002</v>
      </c>
      <c r="N475" s="6">
        <v>307.45100000000002</v>
      </c>
      <c r="O475" s="6">
        <v>307.45100000000002</v>
      </c>
      <c r="P475" s="6">
        <v>0</v>
      </c>
      <c r="Q475" s="4" t="s">
        <v>26</v>
      </c>
      <c r="R475" s="4">
        <v>0</v>
      </c>
      <c r="S475" s="4" t="s">
        <v>225</v>
      </c>
      <c r="T475" s="4" t="s">
        <v>494</v>
      </c>
      <c r="U475" s="4">
        <v>0</v>
      </c>
      <c r="V475" s="4">
        <v>29</v>
      </c>
      <c r="W475" s="4">
        <v>75</v>
      </c>
    </row>
    <row r="476" spans="1:23" ht="11.25" customHeight="1" x14ac:dyDescent="0.25">
      <c r="A476" s="4" t="s">
        <v>21</v>
      </c>
      <c r="B476" s="4" t="s">
        <v>41</v>
      </c>
      <c r="C476" s="4" t="s">
        <v>44</v>
      </c>
      <c r="D476" s="4" t="s">
        <v>45</v>
      </c>
      <c r="E476" s="4" t="s">
        <v>25</v>
      </c>
      <c r="F476" s="4" t="s">
        <v>25</v>
      </c>
      <c r="G476" s="4" t="s">
        <v>25</v>
      </c>
      <c r="H476" s="4" t="s">
        <v>37</v>
      </c>
      <c r="I476" s="5">
        <v>44621</v>
      </c>
      <c r="J476" s="6">
        <v>0</v>
      </c>
      <c r="K476" s="6">
        <v>0</v>
      </c>
      <c r="L476" s="6">
        <v>3264.547</v>
      </c>
      <c r="M476" s="6">
        <v>3264.547</v>
      </c>
      <c r="N476" s="6">
        <v>3264.547</v>
      </c>
      <c r="O476" s="6">
        <v>3264.547</v>
      </c>
      <c r="P476" s="6">
        <v>0</v>
      </c>
      <c r="Q476" s="4" t="s">
        <v>26</v>
      </c>
      <c r="R476" s="4">
        <v>0</v>
      </c>
      <c r="S476" s="4" t="s">
        <v>226</v>
      </c>
      <c r="T476" s="4" t="s">
        <v>495</v>
      </c>
      <c r="U476" s="4">
        <v>0</v>
      </c>
      <c r="V476" s="4">
        <v>29</v>
      </c>
      <c r="W476" s="4">
        <v>75</v>
      </c>
    </row>
    <row r="477" spans="1:23" ht="11.25" customHeight="1" x14ac:dyDescent="0.25">
      <c r="A477" s="4" t="s">
        <v>28</v>
      </c>
      <c r="B477" s="4" t="s">
        <v>41</v>
      </c>
      <c r="C477" s="4" t="s">
        <v>44</v>
      </c>
      <c r="D477" s="4" t="s">
        <v>45</v>
      </c>
      <c r="E477" s="4" t="s">
        <v>25</v>
      </c>
      <c r="F477" s="4" t="s">
        <v>25</v>
      </c>
      <c r="G477" s="4" t="s">
        <v>25</v>
      </c>
      <c r="H477" s="4" t="s">
        <v>37</v>
      </c>
      <c r="I477" s="5">
        <v>44621</v>
      </c>
      <c r="J477" s="6">
        <v>0</v>
      </c>
      <c r="K477" s="6">
        <v>0</v>
      </c>
      <c r="L477" s="6">
        <v>681.53599999999994</v>
      </c>
      <c r="M477" s="6">
        <v>681.53599999999994</v>
      </c>
      <c r="N477" s="6">
        <v>681.53599999999994</v>
      </c>
      <c r="O477" s="6">
        <v>681.53599999999994</v>
      </c>
      <c r="P477" s="6">
        <v>0</v>
      </c>
      <c r="Q477" s="4" t="s">
        <v>26</v>
      </c>
      <c r="R477" s="4">
        <v>0</v>
      </c>
      <c r="S477" s="4" t="s">
        <v>226</v>
      </c>
      <c r="T477" s="4" t="s">
        <v>495</v>
      </c>
      <c r="U477" s="4">
        <v>0</v>
      </c>
      <c r="V477" s="4">
        <v>29</v>
      </c>
      <c r="W477" s="4">
        <v>75</v>
      </c>
    </row>
    <row r="478" spans="1:23" ht="11.25" customHeight="1" x14ac:dyDescent="0.25">
      <c r="A478" s="4" t="s">
        <v>30</v>
      </c>
      <c r="B478" s="4" t="s">
        <v>41</v>
      </c>
      <c r="C478" s="4" t="s">
        <v>44</v>
      </c>
      <c r="D478" s="4" t="s">
        <v>45</v>
      </c>
      <c r="E478" s="4" t="s">
        <v>25</v>
      </c>
      <c r="F478" s="4" t="s">
        <v>25</v>
      </c>
      <c r="G478" s="4" t="s">
        <v>25</v>
      </c>
      <c r="H478" s="4" t="s">
        <v>37</v>
      </c>
      <c r="I478" s="5">
        <v>44621</v>
      </c>
      <c r="J478" s="6">
        <v>0</v>
      </c>
      <c r="K478" s="6">
        <v>0</v>
      </c>
      <c r="L478" s="6">
        <v>346.13600000000002</v>
      </c>
      <c r="M478" s="6">
        <v>346.13600000000002</v>
      </c>
      <c r="N478" s="6">
        <v>346.13600000000002</v>
      </c>
      <c r="O478" s="6">
        <v>346.13600000000002</v>
      </c>
      <c r="P478" s="6">
        <v>0</v>
      </c>
      <c r="Q478" s="4" t="s">
        <v>26</v>
      </c>
      <c r="R478" s="4">
        <v>0</v>
      </c>
      <c r="S478" s="4" t="s">
        <v>226</v>
      </c>
      <c r="T478" s="4" t="s">
        <v>495</v>
      </c>
      <c r="U478" s="4">
        <v>0</v>
      </c>
      <c r="V478" s="4">
        <v>29</v>
      </c>
      <c r="W478" s="4">
        <v>75</v>
      </c>
    </row>
    <row r="479" spans="1:23" ht="11.25" customHeight="1" x14ac:dyDescent="0.25">
      <c r="A479" s="4" t="s">
        <v>21</v>
      </c>
      <c r="B479" s="4" t="s">
        <v>41</v>
      </c>
      <c r="C479" s="4" t="s">
        <v>44</v>
      </c>
      <c r="D479" s="4" t="s">
        <v>45</v>
      </c>
      <c r="E479" s="4" t="s">
        <v>25</v>
      </c>
      <c r="F479" s="4" t="s">
        <v>25</v>
      </c>
      <c r="G479" s="4" t="s">
        <v>25</v>
      </c>
      <c r="H479" s="4" t="s">
        <v>37</v>
      </c>
      <c r="I479" s="5">
        <v>44652</v>
      </c>
      <c r="J479" s="6">
        <v>0</v>
      </c>
      <c r="K479" s="6">
        <v>0</v>
      </c>
      <c r="L479" s="6">
        <v>3286.317</v>
      </c>
      <c r="M479" s="6">
        <v>3286.317</v>
      </c>
      <c r="N479" s="6">
        <v>3286.317</v>
      </c>
      <c r="O479" s="6">
        <v>3286.317</v>
      </c>
      <c r="P479" s="6">
        <v>0</v>
      </c>
      <c r="Q479" s="4" t="s">
        <v>26</v>
      </c>
      <c r="R479" s="4">
        <v>0</v>
      </c>
      <c r="S479" s="4" t="s">
        <v>227</v>
      </c>
      <c r="T479" s="4" t="s">
        <v>496</v>
      </c>
      <c r="U479" s="4">
        <v>0</v>
      </c>
      <c r="V479" s="4">
        <v>29</v>
      </c>
      <c r="W479" s="4">
        <v>75</v>
      </c>
    </row>
    <row r="480" spans="1:23" ht="11.25" customHeight="1" x14ac:dyDescent="0.25">
      <c r="A480" s="4" t="s">
        <v>28</v>
      </c>
      <c r="B480" s="4" t="s">
        <v>41</v>
      </c>
      <c r="C480" s="4" t="s">
        <v>44</v>
      </c>
      <c r="D480" s="4" t="s">
        <v>45</v>
      </c>
      <c r="E480" s="4" t="s">
        <v>25</v>
      </c>
      <c r="F480" s="4" t="s">
        <v>25</v>
      </c>
      <c r="G480" s="4" t="s">
        <v>25</v>
      </c>
      <c r="H480" s="4" t="s">
        <v>37</v>
      </c>
      <c r="I480" s="5">
        <v>44652</v>
      </c>
      <c r="J480" s="6">
        <v>0</v>
      </c>
      <c r="K480" s="6">
        <v>0</v>
      </c>
      <c r="L480" s="6">
        <v>691.16600000000005</v>
      </c>
      <c r="M480" s="6">
        <v>691.16600000000005</v>
      </c>
      <c r="N480" s="6">
        <v>691.16600000000005</v>
      </c>
      <c r="O480" s="6">
        <v>691.16600000000005</v>
      </c>
      <c r="P480" s="6">
        <v>0</v>
      </c>
      <c r="Q480" s="4" t="s">
        <v>26</v>
      </c>
      <c r="R480" s="4">
        <v>0</v>
      </c>
      <c r="S480" s="4" t="s">
        <v>227</v>
      </c>
      <c r="T480" s="4" t="s">
        <v>496</v>
      </c>
      <c r="U480" s="4">
        <v>0</v>
      </c>
      <c r="V480" s="4">
        <v>29</v>
      </c>
      <c r="W480" s="4">
        <v>75</v>
      </c>
    </row>
    <row r="481" spans="1:23" ht="11.25" customHeight="1" x14ac:dyDescent="0.25">
      <c r="A481" s="4" t="s">
        <v>30</v>
      </c>
      <c r="B481" s="4" t="s">
        <v>41</v>
      </c>
      <c r="C481" s="4" t="s">
        <v>44</v>
      </c>
      <c r="D481" s="4" t="s">
        <v>45</v>
      </c>
      <c r="E481" s="4" t="s">
        <v>25</v>
      </c>
      <c r="F481" s="4" t="s">
        <v>25</v>
      </c>
      <c r="G481" s="4" t="s">
        <v>25</v>
      </c>
      <c r="H481" s="4" t="s">
        <v>37</v>
      </c>
      <c r="I481" s="5">
        <v>44652</v>
      </c>
      <c r="J481" s="6">
        <v>0</v>
      </c>
      <c r="K481" s="6">
        <v>0</v>
      </c>
      <c r="L481" s="6">
        <v>369.37299999999999</v>
      </c>
      <c r="M481" s="6">
        <v>369.37299999999999</v>
      </c>
      <c r="N481" s="6">
        <v>369.37299999999999</v>
      </c>
      <c r="O481" s="6">
        <v>369.37299999999999</v>
      </c>
      <c r="P481" s="6">
        <v>0</v>
      </c>
      <c r="Q481" s="4" t="s">
        <v>26</v>
      </c>
      <c r="R481" s="4">
        <v>0</v>
      </c>
      <c r="S481" s="4" t="s">
        <v>227</v>
      </c>
      <c r="T481" s="4" t="s">
        <v>496</v>
      </c>
      <c r="U481" s="4">
        <v>0</v>
      </c>
      <c r="V481" s="4">
        <v>29</v>
      </c>
      <c r="W481" s="4">
        <v>75</v>
      </c>
    </row>
    <row r="482" spans="1:23" ht="11.25" customHeight="1" x14ac:dyDescent="0.25">
      <c r="A482" s="4" t="s">
        <v>21</v>
      </c>
      <c r="B482" s="4" t="s">
        <v>41</v>
      </c>
      <c r="C482" s="4" t="s">
        <v>44</v>
      </c>
      <c r="D482" s="4" t="s">
        <v>45</v>
      </c>
      <c r="E482" s="4" t="s">
        <v>25</v>
      </c>
      <c r="F482" s="4" t="s">
        <v>25</v>
      </c>
      <c r="G482" s="4" t="s">
        <v>25</v>
      </c>
      <c r="H482" s="4" t="s">
        <v>37</v>
      </c>
      <c r="I482" s="5">
        <v>44682</v>
      </c>
      <c r="J482" s="6">
        <v>0</v>
      </c>
      <c r="K482" s="6">
        <v>0</v>
      </c>
      <c r="L482" s="6">
        <v>3408.596</v>
      </c>
      <c r="M482" s="6">
        <v>3408.596</v>
      </c>
      <c r="N482" s="6">
        <v>3408.596</v>
      </c>
      <c r="O482" s="6">
        <v>3408.596</v>
      </c>
      <c r="P482" s="6">
        <v>0</v>
      </c>
      <c r="Q482" s="4" t="s">
        <v>26</v>
      </c>
      <c r="R482" s="4">
        <v>0</v>
      </c>
      <c r="S482" s="4" t="s">
        <v>228</v>
      </c>
      <c r="T482" s="4" t="s">
        <v>497</v>
      </c>
      <c r="U482" s="4">
        <v>0</v>
      </c>
      <c r="V482" s="4">
        <v>29</v>
      </c>
      <c r="W482" s="4">
        <v>75</v>
      </c>
    </row>
    <row r="483" spans="1:23" ht="11.25" customHeight="1" x14ac:dyDescent="0.25">
      <c r="A483" s="4" t="s">
        <v>28</v>
      </c>
      <c r="B483" s="4" t="s">
        <v>41</v>
      </c>
      <c r="C483" s="4" t="s">
        <v>44</v>
      </c>
      <c r="D483" s="4" t="s">
        <v>45</v>
      </c>
      <c r="E483" s="4" t="s">
        <v>25</v>
      </c>
      <c r="F483" s="4" t="s">
        <v>25</v>
      </c>
      <c r="G483" s="4" t="s">
        <v>25</v>
      </c>
      <c r="H483" s="4" t="s">
        <v>37</v>
      </c>
      <c r="I483" s="5">
        <v>44682</v>
      </c>
      <c r="J483" s="6">
        <v>0</v>
      </c>
      <c r="K483" s="6">
        <v>0</v>
      </c>
      <c r="L483" s="6">
        <v>682.36400000000003</v>
      </c>
      <c r="M483" s="6">
        <v>682.36400000000003</v>
      </c>
      <c r="N483" s="6">
        <v>682.36400000000003</v>
      </c>
      <c r="O483" s="6">
        <v>682.36400000000003</v>
      </c>
      <c r="P483" s="6">
        <v>0</v>
      </c>
      <c r="Q483" s="4" t="s">
        <v>26</v>
      </c>
      <c r="R483" s="4">
        <v>0</v>
      </c>
      <c r="S483" s="4" t="s">
        <v>228</v>
      </c>
      <c r="T483" s="4" t="s">
        <v>497</v>
      </c>
      <c r="U483" s="4">
        <v>0</v>
      </c>
      <c r="V483" s="4">
        <v>29</v>
      </c>
      <c r="W483" s="4">
        <v>75</v>
      </c>
    </row>
    <row r="484" spans="1:23" ht="11.25" customHeight="1" x14ac:dyDescent="0.25">
      <c r="A484" s="4" t="s">
        <v>30</v>
      </c>
      <c r="B484" s="4" t="s">
        <v>41</v>
      </c>
      <c r="C484" s="4" t="s">
        <v>44</v>
      </c>
      <c r="D484" s="4" t="s">
        <v>45</v>
      </c>
      <c r="E484" s="4" t="s">
        <v>25</v>
      </c>
      <c r="F484" s="4" t="s">
        <v>25</v>
      </c>
      <c r="G484" s="4" t="s">
        <v>25</v>
      </c>
      <c r="H484" s="4" t="s">
        <v>37</v>
      </c>
      <c r="I484" s="5">
        <v>44682</v>
      </c>
      <c r="J484" s="6">
        <v>0</v>
      </c>
      <c r="K484" s="6">
        <v>0</v>
      </c>
      <c r="L484" s="6">
        <v>364.25900000000001</v>
      </c>
      <c r="M484" s="6">
        <v>364.25900000000001</v>
      </c>
      <c r="N484" s="6">
        <v>364.25900000000001</v>
      </c>
      <c r="O484" s="6">
        <v>364.25900000000001</v>
      </c>
      <c r="P484" s="6">
        <v>0</v>
      </c>
      <c r="Q484" s="4" t="s">
        <v>26</v>
      </c>
      <c r="R484" s="4">
        <v>0</v>
      </c>
      <c r="S484" s="4" t="s">
        <v>228</v>
      </c>
      <c r="T484" s="4" t="s">
        <v>497</v>
      </c>
      <c r="U484" s="4">
        <v>0</v>
      </c>
      <c r="V484" s="4">
        <v>29</v>
      </c>
      <c r="W484" s="4">
        <v>75</v>
      </c>
    </row>
    <row r="485" spans="1:23" ht="11.25" customHeight="1" x14ac:dyDescent="0.25">
      <c r="A485" s="4" t="s">
        <v>21</v>
      </c>
      <c r="B485" s="4" t="s">
        <v>41</v>
      </c>
      <c r="C485" s="4" t="s">
        <v>44</v>
      </c>
      <c r="D485" s="4" t="s">
        <v>45</v>
      </c>
      <c r="E485" s="4" t="s">
        <v>25</v>
      </c>
      <c r="F485" s="4" t="s">
        <v>25</v>
      </c>
      <c r="G485" s="4" t="s">
        <v>25</v>
      </c>
      <c r="H485" s="4" t="s">
        <v>37</v>
      </c>
      <c r="I485" s="5">
        <v>44713</v>
      </c>
      <c r="J485" s="6">
        <v>0</v>
      </c>
      <c r="K485" s="6">
        <v>0</v>
      </c>
      <c r="L485" s="6">
        <v>3207.3</v>
      </c>
      <c r="M485" s="6">
        <v>3207.3</v>
      </c>
      <c r="N485" s="6">
        <v>3207.3</v>
      </c>
      <c r="O485" s="6">
        <v>3207.3</v>
      </c>
      <c r="P485" s="6">
        <v>0</v>
      </c>
      <c r="Q485" s="4" t="s">
        <v>26</v>
      </c>
      <c r="R485" s="4">
        <v>0</v>
      </c>
      <c r="S485" s="4" t="s">
        <v>229</v>
      </c>
      <c r="T485" s="4" t="s">
        <v>498</v>
      </c>
      <c r="U485" s="4">
        <v>0</v>
      </c>
      <c r="V485" s="4">
        <v>29</v>
      </c>
      <c r="W485" s="4">
        <v>75</v>
      </c>
    </row>
    <row r="486" spans="1:23" ht="11.25" customHeight="1" x14ac:dyDescent="0.25">
      <c r="A486" s="4" t="s">
        <v>27</v>
      </c>
      <c r="B486" s="4" t="s">
        <v>41</v>
      </c>
      <c r="C486" s="4" t="s">
        <v>44</v>
      </c>
      <c r="D486" s="4" t="s">
        <v>45</v>
      </c>
      <c r="E486" s="4" t="s">
        <v>25</v>
      </c>
      <c r="F486" s="4" t="s">
        <v>25</v>
      </c>
      <c r="G486" s="4" t="s">
        <v>25</v>
      </c>
      <c r="H486" s="4" t="s">
        <v>37</v>
      </c>
      <c r="I486" s="5">
        <v>44713</v>
      </c>
      <c r="J486" s="6">
        <v>0</v>
      </c>
      <c r="K486" s="6">
        <v>0</v>
      </c>
      <c r="L486" s="6">
        <v>2.0979999999999999</v>
      </c>
      <c r="M486" s="6">
        <v>2.0979999999999999</v>
      </c>
      <c r="N486" s="6">
        <v>2.0979999999999999</v>
      </c>
      <c r="O486" s="6">
        <v>2.0979999999999999</v>
      </c>
      <c r="P486" s="6">
        <v>0</v>
      </c>
      <c r="Q486" s="4" t="s">
        <v>26</v>
      </c>
      <c r="R486" s="4">
        <v>0</v>
      </c>
      <c r="S486" s="4" t="s">
        <v>229</v>
      </c>
      <c r="T486" s="4" t="s">
        <v>498</v>
      </c>
      <c r="U486" s="4">
        <v>0</v>
      </c>
      <c r="V486" s="4">
        <v>29</v>
      </c>
      <c r="W486" s="4">
        <v>75</v>
      </c>
    </row>
    <row r="487" spans="1:23" ht="11.25" customHeight="1" x14ac:dyDescent="0.25">
      <c r="A487" s="4" t="s">
        <v>28</v>
      </c>
      <c r="B487" s="4" t="s">
        <v>41</v>
      </c>
      <c r="C487" s="4" t="s">
        <v>44</v>
      </c>
      <c r="D487" s="4" t="s">
        <v>45</v>
      </c>
      <c r="E487" s="4" t="s">
        <v>25</v>
      </c>
      <c r="F487" s="4" t="s">
        <v>25</v>
      </c>
      <c r="G487" s="4" t="s">
        <v>25</v>
      </c>
      <c r="H487" s="4" t="s">
        <v>37</v>
      </c>
      <c r="I487" s="5">
        <v>44713</v>
      </c>
      <c r="J487" s="6">
        <v>0</v>
      </c>
      <c r="K487" s="6">
        <v>0</v>
      </c>
      <c r="L487" s="6">
        <v>666.48500000000001</v>
      </c>
      <c r="M487" s="6">
        <v>666.48500000000001</v>
      </c>
      <c r="N487" s="6">
        <v>666.48500000000001</v>
      </c>
      <c r="O487" s="6">
        <v>666.48500000000001</v>
      </c>
      <c r="P487" s="6">
        <v>0</v>
      </c>
      <c r="Q487" s="4" t="s">
        <v>26</v>
      </c>
      <c r="R487" s="4">
        <v>0</v>
      </c>
      <c r="S487" s="4" t="s">
        <v>229</v>
      </c>
      <c r="T487" s="4" t="s">
        <v>498</v>
      </c>
      <c r="U487" s="4">
        <v>0</v>
      </c>
      <c r="V487" s="4">
        <v>29</v>
      </c>
      <c r="W487" s="4">
        <v>75</v>
      </c>
    </row>
    <row r="488" spans="1:23" ht="11.25" customHeight="1" x14ac:dyDescent="0.25">
      <c r="A488" s="4" t="s">
        <v>30</v>
      </c>
      <c r="B488" s="4" t="s">
        <v>41</v>
      </c>
      <c r="C488" s="4" t="s">
        <v>44</v>
      </c>
      <c r="D488" s="4" t="s">
        <v>45</v>
      </c>
      <c r="E488" s="4" t="s">
        <v>25</v>
      </c>
      <c r="F488" s="4" t="s">
        <v>25</v>
      </c>
      <c r="G488" s="4" t="s">
        <v>25</v>
      </c>
      <c r="H488" s="4" t="s">
        <v>37</v>
      </c>
      <c r="I488" s="5">
        <v>44713</v>
      </c>
      <c r="J488" s="6">
        <v>0</v>
      </c>
      <c r="K488" s="6">
        <v>0</v>
      </c>
      <c r="L488" s="6">
        <v>395.92</v>
      </c>
      <c r="M488" s="6">
        <v>395.92</v>
      </c>
      <c r="N488" s="6">
        <v>395.92</v>
      </c>
      <c r="O488" s="6">
        <v>395.92</v>
      </c>
      <c r="P488" s="6">
        <v>0</v>
      </c>
      <c r="Q488" s="4" t="s">
        <v>26</v>
      </c>
      <c r="R488" s="4">
        <v>0</v>
      </c>
      <c r="S488" s="4" t="s">
        <v>229</v>
      </c>
      <c r="T488" s="4" t="s">
        <v>498</v>
      </c>
      <c r="U488" s="4">
        <v>0</v>
      </c>
      <c r="V488" s="4">
        <v>29</v>
      </c>
      <c r="W488" s="4">
        <v>75</v>
      </c>
    </row>
    <row r="489" spans="1:23" ht="11.25" customHeight="1" x14ac:dyDescent="0.25">
      <c r="A489" s="4" t="s">
        <v>30</v>
      </c>
      <c r="B489" s="4" t="s">
        <v>41</v>
      </c>
      <c r="C489" s="4" t="s">
        <v>44</v>
      </c>
      <c r="D489" s="4" t="s">
        <v>45</v>
      </c>
      <c r="E489" s="4" t="s">
        <v>25</v>
      </c>
      <c r="F489" s="4" t="s">
        <v>25</v>
      </c>
      <c r="G489" s="4" t="s">
        <v>25</v>
      </c>
      <c r="H489" s="4" t="s">
        <v>37</v>
      </c>
      <c r="I489" s="5">
        <v>44713</v>
      </c>
      <c r="J489" s="6">
        <v>0</v>
      </c>
      <c r="K489" s="6">
        <v>0</v>
      </c>
      <c r="L489" s="6">
        <v>-5.98</v>
      </c>
      <c r="M489" s="6">
        <v>-5.98</v>
      </c>
      <c r="N489" s="6">
        <v>-5.98</v>
      </c>
      <c r="O489" s="6">
        <v>-5.98</v>
      </c>
      <c r="P489" s="6">
        <v>0</v>
      </c>
      <c r="Q489" s="4" t="s">
        <v>26</v>
      </c>
      <c r="R489" s="4">
        <v>0</v>
      </c>
      <c r="S489" s="4" t="s">
        <v>229</v>
      </c>
      <c r="T489" s="4" t="s">
        <v>498</v>
      </c>
      <c r="U489" s="4">
        <v>0</v>
      </c>
      <c r="V489" s="4">
        <v>29</v>
      </c>
      <c r="W489" s="4">
        <v>75</v>
      </c>
    </row>
    <row r="490" spans="1:23" ht="11.25" customHeight="1" x14ac:dyDescent="0.25">
      <c r="A490" s="4" t="s">
        <v>21</v>
      </c>
      <c r="B490" s="4" t="s">
        <v>41</v>
      </c>
      <c r="C490" s="4" t="s">
        <v>44</v>
      </c>
      <c r="D490" s="4" t="s">
        <v>45</v>
      </c>
      <c r="E490" s="4" t="s">
        <v>25</v>
      </c>
      <c r="F490" s="4" t="s">
        <v>25</v>
      </c>
      <c r="G490" s="4" t="s">
        <v>25</v>
      </c>
      <c r="H490" s="4" t="s">
        <v>37</v>
      </c>
      <c r="I490" s="5">
        <v>44743</v>
      </c>
      <c r="J490" s="6">
        <v>0</v>
      </c>
      <c r="K490" s="6">
        <v>0</v>
      </c>
      <c r="L490" s="6">
        <v>3277.6729999999998</v>
      </c>
      <c r="M490" s="6">
        <v>3277.6729999999998</v>
      </c>
      <c r="N490" s="6">
        <v>3277.6729999999998</v>
      </c>
      <c r="O490" s="6">
        <v>3277.6729999999998</v>
      </c>
      <c r="P490" s="6">
        <v>0</v>
      </c>
      <c r="Q490" s="4" t="s">
        <v>26</v>
      </c>
      <c r="R490" s="4">
        <v>0</v>
      </c>
      <c r="S490" s="4" t="s">
        <v>230</v>
      </c>
      <c r="T490" s="4" t="s">
        <v>499</v>
      </c>
      <c r="U490" s="4">
        <v>0</v>
      </c>
      <c r="V490" s="4">
        <v>29</v>
      </c>
      <c r="W490" s="4">
        <v>75</v>
      </c>
    </row>
    <row r="491" spans="1:23" ht="11.25" customHeight="1" x14ac:dyDescent="0.25">
      <c r="A491" s="4" t="s">
        <v>28</v>
      </c>
      <c r="B491" s="4" t="s">
        <v>41</v>
      </c>
      <c r="C491" s="4" t="s">
        <v>44</v>
      </c>
      <c r="D491" s="4" t="s">
        <v>45</v>
      </c>
      <c r="E491" s="4" t="s">
        <v>25</v>
      </c>
      <c r="F491" s="4" t="s">
        <v>25</v>
      </c>
      <c r="G491" s="4" t="s">
        <v>25</v>
      </c>
      <c r="H491" s="4" t="s">
        <v>37</v>
      </c>
      <c r="I491" s="5">
        <v>44743</v>
      </c>
      <c r="J491" s="6">
        <v>0</v>
      </c>
      <c r="K491" s="6">
        <v>0</v>
      </c>
      <c r="L491" s="6">
        <v>685.38599999999997</v>
      </c>
      <c r="M491" s="6">
        <v>685.38599999999997</v>
      </c>
      <c r="N491" s="6">
        <v>685.38599999999997</v>
      </c>
      <c r="O491" s="6">
        <v>685.38599999999997</v>
      </c>
      <c r="P491" s="6">
        <v>0</v>
      </c>
      <c r="Q491" s="4" t="s">
        <v>26</v>
      </c>
      <c r="R491" s="4">
        <v>0</v>
      </c>
      <c r="S491" s="4" t="s">
        <v>230</v>
      </c>
      <c r="T491" s="4" t="s">
        <v>499</v>
      </c>
      <c r="U491" s="4">
        <v>0</v>
      </c>
      <c r="V491" s="4">
        <v>29</v>
      </c>
      <c r="W491" s="4">
        <v>75</v>
      </c>
    </row>
    <row r="492" spans="1:23" ht="11.25" customHeight="1" x14ac:dyDescent="0.25">
      <c r="A492" s="4" t="s">
        <v>30</v>
      </c>
      <c r="B492" s="4" t="s">
        <v>41</v>
      </c>
      <c r="C492" s="4" t="s">
        <v>44</v>
      </c>
      <c r="D492" s="4" t="s">
        <v>45</v>
      </c>
      <c r="E492" s="4" t="s">
        <v>25</v>
      </c>
      <c r="F492" s="4" t="s">
        <v>25</v>
      </c>
      <c r="G492" s="4" t="s">
        <v>25</v>
      </c>
      <c r="H492" s="4" t="s">
        <v>37</v>
      </c>
      <c r="I492" s="5">
        <v>44743</v>
      </c>
      <c r="J492" s="6">
        <v>0</v>
      </c>
      <c r="K492" s="6">
        <v>0</v>
      </c>
      <c r="L492" s="6">
        <v>396.596</v>
      </c>
      <c r="M492" s="6">
        <v>396.596</v>
      </c>
      <c r="N492" s="6">
        <v>396.596</v>
      </c>
      <c r="O492" s="6">
        <v>396.596</v>
      </c>
      <c r="P492" s="6">
        <v>0</v>
      </c>
      <c r="Q492" s="4" t="s">
        <v>26</v>
      </c>
      <c r="R492" s="4">
        <v>0</v>
      </c>
      <c r="S492" s="4" t="s">
        <v>230</v>
      </c>
      <c r="T492" s="4" t="s">
        <v>499</v>
      </c>
      <c r="U492" s="4">
        <v>0</v>
      </c>
      <c r="V492" s="4">
        <v>29</v>
      </c>
      <c r="W492" s="4">
        <v>75</v>
      </c>
    </row>
    <row r="493" spans="1:23" ht="11.25" customHeight="1" x14ac:dyDescent="0.25">
      <c r="A493" s="4" t="s">
        <v>21</v>
      </c>
      <c r="B493" s="4" t="s">
        <v>41</v>
      </c>
      <c r="C493" s="4" t="s">
        <v>44</v>
      </c>
      <c r="D493" s="4" t="s">
        <v>45</v>
      </c>
      <c r="E493" s="4" t="s">
        <v>25</v>
      </c>
      <c r="F493" s="4" t="s">
        <v>25</v>
      </c>
      <c r="G493" s="4" t="s">
        <v>25</v>
      </c>
      <c r="H493" s="4" t="s">
        <v>37</v>
      </c>
      <c r="I493" s="5">
        <v>44774</v>
      </c>
      <c r="J493" s="6">
        <v>0</v>
      </c>
      <c r="K493" s="6">
        <v>0</v>
      </c>
      <c r="L493" s="6">
        <v>3409.4119999999998</v>
      </c>
      <c r="M493" s="6">
        <v>3409.4119999999998</v>
      </c>
      <c r="N493" s="6">
        <v>3409.4119999999998</v>
      </c>
      <c r="O493" s="6">
        <v>3409.4119999999998</v>
      </c>
      <c r="P493" s="6">
        <v>0</v>
      </c>
      <c r="Q493" s="4" t="s">
        <v>26</v>
      </c>
      <c r="R493" s="4">
        <v>0</v>
      </c>
      <c r="S493" s="4" t="s">
        <v>231</v>
      </c>
      <c r="T493" s="4" t="s">
        <v>500</v>
      </c>
      <c r="U493" s="4">
        <v>0</v>
      </c>
      <c r="V493" s="4">
        <v>29</v>
      </c>
      <c r="W493" s="4">
        <v>75</v>
      </c>
    </row>
    <row r="494" spans="1:23" ht="11.25" customHeight="1" x14ac:dyDescent="0.25">
      <c r="A494" s="4" t="s">
        <v>28</v>
      </c>
      <c r="B494" s="4" t="s">
        <v>41</v>
      </c>
      <c r="C494" s="4" t="s">
        <v>44</v>
      </c>
      <c r="D494" s="4" t="s">
        <v>45</v>
      </c>
      <c r="E494" s="4" t="s">
        <v>25</v>
      </c>
      <c r="F494" s="4" t="s">
        <v>25</v>
      </c>
      <c r="G494" s="4" t="s">
        <v>25</v>
      </c>
      <c r="H494" s="4" t="s">
        <v>37</v>
      </c>
      <c r="I494" s="5">
        <v>44774</v>
      </c>
      <c r="J494" s="6">
        <v>0</v>
      </c>
      <c r="K494" s="6">
        <v>0</v>
      </c>
      <c r="L494" s="6">
        <v>706.22699999999998</v>
      </c>
      <c r="M494" s="6">
        <v>706.22699999999998</v>
      </c>
      <c r="N494" s="6">
        <v>706.22699999999998</v>
      </c>
      <c r="O494" s="6">
        <v>706.22699999999998</v>
      </c>
      <c r="P494" s="6">
        <v>0</v>
      </c>
      <c r="Q494" s="4" t="s">
        <v>26</v>
      </c>
      <c r="R494" s="4">
        <v>0</v>
      </c>
      <c r="S494" s="4" t="s">
        <v>231</v>
      </c>
      <c r="T494" s="4" t="s">
        <v>500</v>
      </c>
      <c r="U494" s="4">
        <v>0</v>
      </c>
      <c r="V494" s="4">
        <v>29</v>
      </c>
      <c r="W494" s="4">
        <v>75</v>
      </c>
    </row>
    <row r="495" spans="1:23" ht="11.25" customHeight="1" x14ac:dyDescent="0.25">
      <c r="A495" s="4" t="s">
        <v>30</v>
      </c>
      <c r="B495" s="4" t="s">
        <v>41</v>
      </c>
      <c r="C495" s="4" t="s">
        <v>44</v>
      </c>
      <c r="D495" s="4" t="s">
        <v>45</v>
      </c>
      <c r="E495" s="4" t="s">
        <v>25</v>
      </c>
      <c r="F495" s="4" t="s">
        <v>25</v>
      </c>
      <c r="G495" s="4" t="s">
        <v>25</v>
      </c>
      <c r="H495" s="4" t="s">
        <v>37</v>
      </c>
      <c r="I495" s="5">
        <v>44774</v>
      </c>
      <c r="J495" s="6">
        <v>0</v>
      </c>
      <c r="K495" s="6">
        <v>0</v>
      </c>
      <c r="L495" s="6">
        <v>424.392</v>
      </c>
      <c r="M495" s="6">
        <v>424.392</v>
      </c>
      <c r="N495" s="6">
        <v>424.392</v>
      </c>
      <c r="O495" s="6">
        <v>424.392</v>
      </c>
      <c r="P495" s="6">
        <v>0</v>
      </c>
      <c r="Q495" s="4" t="s">
        <v>26</v>
      </c>
      <c r="R495" s="4">
        <v>0</v>
      </c>
      <c r="S495" s="4" t="s">
        <v>231</v>
      </c>
      <c r="T495" s="4" t="s">
        <v>500</v>
      </c>
      <c r="U495" s="4">
        <v>0</v>
      </c>
      <c r="V495" s="4">
        <v>29</v>
      </c>
      <c r="W495" s="4">
        <v>75</v>
      </c>
    </row>
    <row r="496" spans="1:23" ht="11.25" customHeight="1" x14ac:dyDescent="0.25">
      <c r="A496" s="4" t="s">
        <v>30</v>
      </c>
      <c r="B496" s="4" t="s">
        <v>41</v>
      </c>
      <c r="C496" s="4" t="s">
        <v>44</v>
      </c>
      <c r="D496" s="4" t="s">
        <v>45</v>
      </c>
      <c r="E496" s="4" t="s">
        <v>25</v>
      </c>
      <c r="F496" s="4" t="s">
        <v>25</v>
      </c>
      <c r="G496" s="4" t="s">
        <v>25</v>
      </c>
      <c r="H496" s="4" t="s">
        <v>37</v>
      </c>
      <c r="I496" s="5">
        <v>44774</v>
      </c>
      <c r="J496" s="6">
        <v>0</v>
      </c>
      <c r="K496" s="6">
        <v>0</v>
      </c>
      <c r="L496" s="6">
        <v>-41.328000000000003</v>
      </c>
      <c r="M496" s="6">
        <v>-41.328000000000003</v>
      </c>
      <c r="N496" s="6">
        <v>-41.328000000000003</v>
      </c>
      <c r="O496" s="6">
        <v>-41.328000000000003</v>
      </c>
      <c r="P496" s="6">
        <v>0</v>
      </c>
      <c r="Q496" s="4" t="s">
        <v>26</v>
      </c>
      <c r="R496" s="4">
        <v>0</v>
      </c>
      <c r="S496" s="4" t="s">
        <v>231</v>
      </c>
      <c r="T496" s="4" t="s">
        <v>500</v>
      </c>
      <c r="U496" s="4">
        <v>0</v>
      </c>
      <c r="V496" s="4">
        <v>29</v>
      </c>
      <c r="W496" s="4">
        <v>75</v>
      </c>
    </row>
    <row r="497" spans="1:23" ht="11.25" customHeight="1" x14ac:dyDescent="0.25">
      <c r="A497" s="4" t="s">
        <v>21</v>
      </c>
      <c r="B497" s="4" t="s">
        <v>41</v>
      </c>
      <c r="C497" s="4" t="s">
        <v>44</v>
      </c>
      <c r="D497" s="4" t="s">
        <v>45</v>
      </c>
      <c r="E497" s="4" t="s">
        <v>25</v>
      </c>
      <c r="F497" s="4" t="s">
        <v>25</v>
      </c>
      <c r="G497" s="4" t="s">
        <v>25</v>
      </c>
      <c r="H497" s="4" t="s">
        <v>37</v>
      </c>
      <c r="I497" s="5">
        <v>44805</v>
      </c>
      <c r="J497" s="6">
        <v>0</v>
      </c>
      <c r="K497" s="6">
        <v>0</v>
      </c>
      <c r="L497" s="6">
        <v>3322.69</v>
      </c>
      <c r="M497" s="6">
        <v>3322.69</v>
      </c>
      <c r="N497" s="6">
        <v>3322.69</v>
      </c>
      <c r="O497" s="6">
        <v>3322.69</v>
      </c>
      <c r="P497" s="6">
        <v>0</v>
      </c>
      <c r="Q497" s="4" t="s">
        <v>26</v>
      </c>
      <c r="R497" s="4">
        <v>0</v>
      </c>
      <c r="S497" s="4" t="s">
        <v>232</v>
      </c>
      <c r="T497" s="4" t="s">
        <v>501</v>
      </c>
      <c r="U497" s="4">
        <v>0</v>
      </c>
      <c r="V497" s="4">
        <v>29</v>
      </c>
      <c r="W497" s="4">
        <v>75</v>
      </c>
    </row>
    <row r="498" spans="1:23" ht="11.25" customHeight="1" x14ac:dyDescent="0.25">
      <c r="A498" s="4" t="s">
        <v>28</v>
      </c>
      <c r="B498" s="4" t="s">
        <v>41</v>
      </c>
      <c r="C498" s="4" t="s">
        <v>44</v>
      </c>
      <c r="D498" s="4" t="s">
        <v>45</v>
      </c>
      <c r="E498" s="4" t="s">
        <v>25</v>
      </c>
      <c r="F498" s="4" t="s">
        <v>25</v>
      </c>
      <c r="G498" s="4" t="s">
        <v>25</v>
      </c>
      <c r="H498" s="4" t="s">
        <v>37</v>
      </c>
      <c r="I498" s="5">
        <v>44805</v>
      </c>
      <c r="J498" s="6">
        <v>0</v>
      </c>
      <c r="K498" s="6">
        <v>0</v>
      </c>
      <c r="L498" s="6">
        <v>684.33799999999997</v>
      </c>
      <c r="M498" s="6">
        <v>684.33799999999997</v>
      </c>
      <c r="N498" s="6">
        <v>684.33799999999997</v>
      </c>
      <c r="O498" s="6">
        <v>684.33799999999997</v>
      </c>
      <c r="P498" s="6">
        <v>0</v>
      </c>
      <c r="Q498" s="4" t="s">
        <v>26</v>
      </c>
      <c r="R498" s="4">
        <v>0</v>
      </c>
      <c r="S498" s="4" t="s">
        <v>232</v>
      </c>
      <c r="T498" s="4" t="s">
        <v>501</v>
      </c>
      <c r="U498" s="4">
        <v>0</v>
      </c>
      <c r="V498" s="4">
        <v>29</v>
      </c>
      <c r="W498" s="4">
        <v>75</v>
      </c>
    </row>
    <row r="499" spans="1:23" ht="11.25" customHeight="1" x14ac:dyDescent="0.25">
      <c r="A499" s="4" t="s">
        <v>30</v>
      </c>
      <c r="B499" s="4" t="s">
        <v>41</v>
      </c>
      <c r="C499" s="4" t="s">
        <v>44</v>
      </c>
      <c r="D499" s="4" t="s">
        <v>45</v>
      </c>
      <c r="E499" s="4" t="s">
        <v>25</v>
      </c>
      <c r="F499" s="4" t="s">
        <v>25</v>
      </c>
      <c r="G499" s="4" t="s">
        <v>25</v>
      </c>
      <c r="H499" s="4" t="s">
        <v>37</v>
      </c>
      <c r="I499" s="5">
        <v>44805</v>
      </c>
      <c r="J499" s="6">
        <v>0</v>
      </c>
      <c r="K499" s="6">
        <v>0</v>
      </c>
      <c r="L499" s="6">
        <v>446.34500000000003</v>
      </c>
      <c r="M499" s="6">
        <v>446.34500000000003</v>
      </c>
      <c r="N499" s="6">
        <v>446.34500000000003</v>
      </c>
      <c r="O499" s="6">
        <v>446.34500000000003</v>
      </c>
      <c r="P499" s="6">
        <v>0</v>
      </c>
      <c r="Q499" s="4" t="s">
        <v>26</v>
      </c>
      <c r="R499" s="4">
        <v>0</v>
      </c>
      <c r="S499" s="4" t="s">
        <v>232</v>
      </c>
      <c r="T499" s="4" t="s">
        <v>501</v>
      </c>
      <c r="U499" s="4">
        <v>0</v>
      </c>
      <c r="V499" s="4">
        <v>29</v>
      </c>
      <c r="W499" s="4">
        <v>75</v>
      </c>
    </row>
    <row r="500" spans="1:23" ht="11.25" customHeight="1" x14ac:dyDescent="0.25">
      <c r="A500" s="4" t="s">
        <v>21</v>
      </c>
      <c r="B500" s="4" t="s">
        <v>41</v>
      </c>
      <c r="C500" s="4" t="s">
        <v>44</v>
      </c>
      <c r="D500" s="4" t="s">
        <v>45</v>
      </c>
      <c r="E500" s="4" t="s">
        <v>25</v>
      </c>
      <c r="F500" s="4" t="s">
        <v>25</v>
      </c>
      <c r="G500" s="4" t="s">
        <v>25</v>
      </c>
      <c r="H500" s="4" t="s">
        <v>37</v>
      </c>
      <c r="I500" s="5">
        <v>44835</v>
      </c>
      <c r="J500" s="6">
        <v>0</v>
      </c>
      <c r="K500" s="6">
        <v>0</v>
      </c>
      <c r="L500" s="6">
        <v>3338.386</v>
      </c>
      <c r="M500" s="6">
        <v>3338.386</v>
      </c>
      <c r="N500" s="6">
        <v>3338.386</v>
      </c>
      <c r="O500" s="6">
        <v>3338.386</v>
      </c>
      <c r="P500" s="6">
        <v>0</v>
      </c>
      <c r="Q500" s="4" t="s">
        <v>26</v>
      </c>
      <c r="R500" s="4">
        <v>0</v>
      </c>
      <c r="S500" s="4" t="s">
        <v>233</v>
      </c>
      <c r="T500" s="4" t="s">
        <v>502</v>
      </c>
      <c r="U500" s="4">
        <v>0</v>
      </c>
      <c r="V500" s="4">
        <v>29</v>
      </c>
      <c r="W500" s="4">
        <v>75</v>
      </c>
    </row>
    <row r="501" spans="1:23" ht="11.25" customHeight="1" x14ac:dyDescent="0.25">
      <c r="A501" s="4" t="s">
        <v>28</v>
      </c>
      <c r="B501" s="4" t="s">
        <v>41</v>
      </c>
      <c r="C501" s="4" t="s">
        <v>44</v>
      </c>
      <c r="D501" s="4" t="s">
        <v>45</v>
      </c>
      <c r="E501" s="4" t="s">
        <v>25</v>
      </c>
      <c r="F501" s="4" t="s">
        <v>25</v>
      </c>
      <c r="G501" s="4" t="s">
        <v>25</v>
      </c>
      <c r="H501" s="4" t="s">
        <v>37</v>
      </c>
      <c r="I501" s="5">
        <v>44835</v>
      </c>
      <c r="J501" s="6">
        <v>0</v>
      </c>
      <c r="K501" s="6">
        <v>0</v>
      </c>
      <c r="L501" s="6">
        <v>712.69299999999998</v>
      </c>
      <c r="M501" s="6">
        <v>712.69299999999998</v>
      </c>
      <c r="N501" s="6">
        <v>712.69299999999998</v>
      </c>
      <c r="O501" s="6">
        <v>712.69299999999998</v>
      </c>
      <c r="P501" s="6">
        <v>0</v>
      </c>
      <c r="Q501" s="4" t="s">
        <v>26</v>
      </c>
      <c r="R501" s="4">
        <v>0</v>
      </c>
      <c r="S501" s="4" t="s">
        <v>233</v>
      </c>
      <c r="T501" s="4" t="s">
        <v>502</v>
      </c>
      <c r="U501" s="4">
        <v>0</v>
      </c>
      <c r="V501" s="4">
        <v>29</v>
      </c>
      <c r="W501" s="4">
        <v>75</v>
      </c>
    </row>
    <row r="502" spans="1:23" ht="11.25" customHeight="1" x14ac:dyDescent="0.25">
      <c r="A502" s="4" t="s">
        <v>30</v>
      </c>
      <c r="B502" s="4" t="s">
        <v>41</v>
      </c>
      <c r="C502" s="4" t="s">
        <v>44</v>
      </c>
      <c r="D502" s="4" t="s">
        <v>45</v>
      </c>
      <c r="E502" s="4" t="s">
        <v>25</v>
      </c>
      <c r="F502" s="4" t="s">
        <v>25</v>
      </c>
      <c r="G502" s="4" t="s">
        <v>25</v>
      </c>
      <c r="H502" s="4" t="s">
        <v>37</v>
      </c>
      <c r="I502" s="5">
        <v>44835</v>
      </c>
      <c r="J502" s="6">
        <v>0</v>
      </c>
      <c r="K502" s="6">
        <v>0</v>
      </c>
      <c r="L502" s="6">
        <v>445.85300000000001</v>
      </c>
      <c r="M502" s="6">
        <v>445.85300000000001</v>
      </c>
      <c r="N502" s="6">
        <v>445.85300000000001</v>
      </c>
      <c r="O502" s="6">
        <v>445.85300000000001</v>
      </c>
      <c r="P502" s="6">
        <v>0</v>
      </c>
      <c r="Q502" s="4" t="s">
        <v>26</v>
      </c>
      <c r="R502" s="4">
        <v>0</v>
      </c>
      <c r="S502" s="4" t="s">
        <v>233</v>
      </c>
      <c r="T502" s="4" t="s">
        <v>502</v>
      </c>
      <c r="U502" s="4">
        <v>0</v>
      </c>
      <c r="V502" s="4">
        <v>29</v>
      </c>
      <c r="W502" s="4">
        <v>75</v>
      </c>
    </row>
    <row r="503" spans="1:23" ht="11.25" customHeight="1" x14ac:dyDescent="0.25">
      <c r="A503" s="4" t="s">
        <v>59</v>
      </c>
      <c r="B503" s="4" t="s">
        <v>41</v>
      </c>
      <c r="C503" s="4" t="s">
        <v>44</v>
      </c>
      <c r="D503" s="4" t="s">
        <v>45</v>
      </c>
      <c r="E503" s="4" t="s">
        <v>25</v>
      </c>
      <c r="F503" s="4" t="s">
        <v>25</v>
      </c>
      <c r="G503" s="4" t="s">
        <v>25</v>
      </c>
      <c r="H503" s="4" t="s">
        <v>37</v>
      </c>
      <c r="I503" s="5">
        <v>44866</v>
      </c>
      <c r="J503" s="6">
        <v>0</v>
      </c>
      <c r="K503" s="6">
        <v>0</v>
      </c>
      <c r="L503" s="6">
        <v>3338.386</v>
      </c>
      <c r="M503" s="6">
        <v>3338.386</v>
      </c>
      <c r="N503" s="6">
        <v>3338.386</v>
      </c>
      <c r="O503" s="6">
        <v>3338.386</v>
      </c>
      <c r="P503" s="6">
        <v>0</v>
      </c>
      <c r="Q503" s="4" t="s">
        <v>26</v>
      </c>
      <c r="R503" s="4">
        <v>0</v>
      </c>
      <c r="S503" s="4" t="s">
        <v>234</v>
      </c>
      <c r="T503" s="4" t="s">
        <v>503</v>
      </c>
      <c r="U503" s="4">
        <v>0</v>
      </c>
      <c r="V503" s="4">
        <v>29</v>
      </c>
      <c r="W503" s="4">
        <v>75</v>
      </c>
    </row>
    <row r="504" spans="1:23" ht="11.25" customHeight="1" x14ac:dyDescent="0.25">
      <c r="A504" s="4" t="s">
        <v>59</v>
      </c>
      <c r="B504" s="4" t="s">
        <v>41</v>
      </c>
      <c r="C504" s="4" t="s">
        <v>44</v>
      </c>
      <c r="D504" s="4" t="s">
        <v>45</v>
      </c>
      <c r="E504" s="4" t="s">
        <v>25</v>
      </c>
      <c r="F504" s="4" t="s">
        <v>25</v>
      </c>
      <c r="G504" s="4" t="s">
        <v>25</v>
      </c>
      <c r="H504" s="4" t="s">
        <v>37</v>
      </c>
      <c r="I504" s="5">
        <v>44866</v>
      </c>
      <c r="J504" s="6">
        <v>0</v>
      </c>
      <c r="K504" s="6">
        <v>0</v>
      </c>
      <c r="L504" s="6">
        <v>712.69299999999998</v>
      </c>
      <c r="M504" s="6">
        <v>712.69299999999998</v>
      </c>
      <c r="N504" s="6">
        <v>712.69299999999998</v>
      </c>
      <c r="O504" s="6">
        <v>712.69299999999998</v>
      </c>
      <c r="P504" s="6">
        <v>0</v>
      </c>
      <c r="Q504" s="4" t="s">
        <v>26</v>
      </c>
      <c r="R504" s="4">
        <v>0</v>
      </c>
      <c r="S504" s="4" t="s">
        <v>234</v>
      </c>
      <c r="T504" s="4" t="s">
        <v>503</v>
      </c>
      <c r="U504" s="4">
        <v>0</v>
      </c>
      <c r="V504" s="4">
        <v>29</v>
      </c>
      <c r="W504" s="4">
        <v>75</v>
      </c>
    </row>
    <row r="505" spans="1:23" ht="11.25" customHeight="1" x14ac:dyDescent="0.25">
      <c r="A505" s="4" t="s">
        <v>59</v>
      </c>
      <c r="B505" s="4" t="s">
        <v>41</v>
      </c>
      <c r="C505" s="4" t="s">
        <v>44</v>
      </c>
      <c r="D505" s="4" t="s">
        <v>45</v>
      </c>
      <c r="E505" s="4" t="s">
        <v>25</v>
      </c>
      <c r="F505" s="4" t="s">
        <v>25</v>
      </c>
      <c r="G505" s="4" t="s">
        <v>25</v>
      </c>
      <c r="H505" s="4" t="s">
        <v>37</v>
      </c>
      <c r="I505" s="5">
        <v>44866</v>
      </c>
      <c r="J505" s="6">
        <v>0</v>
      </c>
      <c r="K505" s="6">
        <v>0</v>
      </c>
      <c r="L505" s="6">
        <v>445.85300000000001</v>
      </c>
      <c r="M505" s="6">
        <v>445.85300000000001</v>
      </c>
      <c r="N505" s="6">
        <v>445.85300000000001</v>
      </c>
      <c r="O505" s="6">
        <v>445.85300000000001</v>
      </c>
      <c r="P505" s="6">
        <v>0</v>
      </c>
      <c r="Q505" s="4" t="s">
        <v>26</v>
      </c>
      <c r="R505" s="4">
        <v>0</v>
      </c>
      <c r="S505" s="4" t="s">
        <v>234</v>
      </c>
      <c r="T505" s="4" t="s">
        <v>503</v>
      </c>
      <c r="U505" s="4">
        <v>0</v>
      </c>
      <c r="V505" s="4">
        <v>29</v>
      </c>
      <c r="W505" s="4">
        <v>75</v>
      </c>
    </row>
    <row r="506" spans="1:23" ht="11.25" customHeight="1" x14ac:dyDescent="0.25">
      <c r="A506" s="4" t="s">
        <v>21</v>
      </c>
      <c r="B506" s="4" t="s">
        <v>41</v>
      </c>
      <c r="C506" s="4" t="s">
        <v>44</v>
      </c>
      <c r="D506" s="4" t="s">
        <v>45</v>
      </c>
      <c r="E506" s="4" t="s">
        <v>25</v>
      </c>
      <c r="F506" s="4" t="s">
        <v>25</v>
      </c>
      <c r="G506" s="4" t="s">
        <v>25</v>
      </c>
      <c r="H506" s="4" t="s">
        <v>25</v>
      </c>
      <c r="I506" s="5">
        <v>44531</v>
      </c>
      <c r="J506" s="6">
        <v>20742</v>
      </c>
      <c r="K506" s="6">
        <v>20742</v>
      </c>
      <c r="L506" s="6">
        <v>0</v>
      </c>
      <c r="M506" s="6">
        <v>0</v>
      </c>
      <c r="N506" s="6">
        <v>0</v>
      </c>
      <c r="O506" s="6">
        <v>0</v>
      </c>
      <c r="P506" s="6">
        <v>179</v>
      </c>
      <c r="Q506" s="4" t="s">
        <v>26</v>
      </c>
      <c r="R506" s="4">
        <v>0</v>
      </c>
      <c r="S506" s="4" t="s">
        <v>235</v>
      </c>
      <c r="U506" s="4">
        <v>27</v>
      </c>
      <c r="V506" s="4">
        <v>0</v>
      </c>
      <c r="W506" s="4">
        <v>0</v>
      </c>
    </row>
    <row r="507" spans="1:23" ht="11.25" customHeight="1" x14ac:dyDescent="0.25">
      <c r="A507" s="4" t="s">
        <v>28</v>
      </c>
      <c r="B507" s="4" t="s">
        <v>41</v>
      </c>
      <c r="C507" s="4" t="s">
        <v>44</v>
      </c>
      <c r="D507" s="4" t="s">
        <v>45</v>
      </c>
      <c r="E507" s="4" t="s">
        <v>25</v>
      </c>
      <c r="F507" s="4" t="s">
        <v>25</v>
      </c>
      <c r="G507" s="4" t="s">
        <v>25</v>
      </c>
      <c r="H507" s="4" t="s">
        <v>25</v>
      </c>
      <c r="I507" s="5">
        <v>44531</v>
      </c>
      <c r="J507" s="6">
        <v>3683</v>
      </c>
      <c r="K507" s="6">
        <v>3683</v>
      </c>
      <c r="L507" s="6">
        <v>0</v>
      </c>
      <c r="M507" s="6">
        <v>0</v>
      </c>
      <c r="N507" s="6">
        <v>0</v>
      </c>
      <c r="O507" s="6">
        <v>0</v>
      </c>
      <c r="P507" s="6">
        <v>40</v>
      </c>
      <c r="Q507" s="4" t="s">
        <v>26</v>
      </c>
      <c r="R507" s="4">
        <v>0</v>
      </c>
      <c r="S507" s="4" t="s">
        <v>235</v>
      </c>
      <c r="U507" s="4">
        <v>27</v>
      </c>
      <c r="V507" s="4">
        <v>0</v>
      </c>
      <c r="W507" s="4">
        <v>0</v>
      </c>
    </row>
    <row r="508" spans="1:23" ht="11.25" customHeight="1" x14ac:dyDescent="0.25">
      <c r="A508" s="4" t="s">
        <v>30</v>
      </c>
      <c r="B508" s="4" t="s">
        <v>41</v>
      </c>
      <c r="C508" s="4" t="s">
        <v>44</v>
      </c>
      <c r="D508" s="4" t="s">
        <v>45</v>
      </c>
      <c r="E508" s="4" t="s">
        <v>25</v>
      </c>
      <c r="F508" s="4" t="s">
        <v>25</v>
      </c>
      <c r="G508" s="4" t="s">
        <v>25</v>
      </c>
      <c r="H508" s="4" t="s">
        <v>25</v>
      </c>
      <c r="I508" s="5">
        <v>44531</v>
      </c>
      <c r="J508" s="6">
        <v>2456</v>
      </c>
      <c r="K508" s="6">
        <v>2456</v>
      </c>
      <c r="L508" s="6">
        <v>0</v>
      </c>
      <c r="M508" s="6">
        <v>0</v>
      </c>
      <c r="N508" s="6">
        <v>0</v>
      </c>
      <c r="O508" s="6">
        <v>0</v>
      </c>
      <c r="P508" s="6">
        <v>17</v>
      </c>
      <c r="Q508" s="4" t="s">
        <v>26</v>
      </c>
      <c r="R508" s="4">
        <v>0</v>
      </c>
      <c r="S508" s="4" t="s">
        <v>235</v>
      </c>
      <c r="U508" s="4">
        <v>27</v>
      </c>
      <c r="V508" s="4">
        <v>0</v>
      </c>
      <c r="W508" s="4">
        <v>0</v>
      </c>
    </row>
    <row r="509" spans="1:23" ht="11.25" customHeight="1" x14ac:dyDescent="0.25">
      <c r="A509" s="4" t="s">
        <v>21</v>
      </c>
      <c r="B509" s="4" t="s">
        <v>41</v>
      </c>
      <c r="C509" s="4" t="s">
        <v>44</v>
      </c>
      <c r="D509" s="4" t="s">
        <v>45</v>
      </c>
      <c r="E509" s="4" t="s">
        <v>25</v>
      </c>
      <c r="F509" s="4" t="s">
        <v>25</v>
      </c>
      <c r="G509" s="4" t="s">
        <v>25</v>
      </c>
      <c r="H509" s="4" t="s">
        <v>25</v>
      </c>
      <c r="I509" s="5">
        <v>44562</v>
      </c>
      <c r="J509" s="6">
        <v>20495</v>
      </c>
      <c r="K509" s="6">
        <v>20495</v>
      </c>
      <c r="L509" s="6">
        <v>0</v>
      </c>
      <c r="M509" s="6">
        <v>0</v>
      </c>
      <c r="N509" s="6">
        <v>0</v>
      </c>
      <c r="O509" s="6">
        <v>0</v>
      </c>
      <c r="P509" s="6">
        <v>178</v>
      </c>
      <c r="Q509" s="4" t="s">
        <v>26</v>
      </c>
      <c r="R509" s="4">
        <v>0</v>
      </c>
      <c r="S509" s="4" t="s">
        <v>236</v>
      </c>
      <c r="U509" s="4">
        <v>27</v>
      </c>
      <c r="V509" s="4">
        <v>0</v>
      </c>
      <c r="W509" s="4">
        <v>0</v>
      </c>
    </row>
    <row r="510" spans="1:23" ht="11.25" customHeight="1" x14ac:dyDescent="0.25">
      <c r="A510" s="4" t="s">
        <v>28</v>
      </c>
      <c r="B510" s="4" t="s">
        <v>41</v>
      </c>
      <c r="C510" s="4" t="s">
        <v>44</v>
      </c>
      <c r="D510" s="4" t="s">
        <v>45</v>
      </c>
      <c r="E510" s="4" t="s">
        <v>25</v>
      </c>
      <c r="F510" s="4" t="s">
        <v>25</v>
      </c>
      <c r="G510" s="4" t="s">
        <v>25</v>
      </c>
      <c r="H510" s="4" t="s">
        <v>25</v>
      </c>
      <c r="I510" s="5">
        <v>44562</v>
      </c>
      <c r="J510" s="6">
        <v>3648</v>
      </c>
      <c r="K510" s="6">
        <v>3648</v>
      </c>
      <c r="L510" s="6">
        <v>0</v>
      </c>
      <c r="M510" s="6">
        <v>0</v>
      </c>
      <c r="N510" s="6">
        <v>0</v>
      </c>
      <c r="O510" s="6">
        <v>0</v>
      </c>
      <c r="P510" s="6">
        <v>39</v>
      </c>
      <c r="Q510" s="4" t="s">
        <v>26</v>
      </c>
      <c r="R510" s="4">
        <v>0</v>
      </c>
      <c r="S510" s="4" t="s">
        <v>236</v>
      </c>
      <c r="U510" s="4">
        <v>27</v>
      </c>
      <c r="V510" s="4">
        <v>0</v>
      </c>
      <c r="W510" s="4">
        <v>0</v>
      </c>
    </row>
    <row r="511" spans="1:23" ht="11.25" customHeight="1" x14ac:dyDescent="0.25">
      <c r="A511" s="4" t="s">
        <v>30</v>
      </c>
      <c r="B511" s="4" t="s">
        <v>41</v>
      </c>
      <c r="C511" s="4" t="s">
        <v>44</v>
      </c>
      <c r="D511" s="4" t="s">
        <v>45</v>
      </c>
      <c r="E511" s="4" t="s">
        <v>25</v>
      </c>
      <c r="F511" s="4" t="s">
        <v>25</v>
      </c>
      <c r="G511" s="4" t="s">
        <v>25</v>
      </c>
      <c r="H511" s="4" t="s">
        <v>25</v>
      </c>
      <c r="I511" s="5">
        <v>44562</v>
      </c>
      <c r="J511" s="6">
        <v>2676</v>
      </c>
      <c r="K511" s="6">
        <v>2676</v>
      </c>
      <c r="L511" s="6">
        <v>0</v>
      </c>
      <c r="M511" s="6">
        <v>0</v>
      </c>
      <c r="N511" s="6">
        <v>0</v>
      </c>
      <c r="O511" s="6">
        <v>0</v>
      </c>
      <c r="P511" s="6">
        <v>18</v>
      </c>
      <c r="Q511" s="4" t="s">
        <v>26</v>
      </c>
      <c r="R511" s="4">
        <v>0</v>
      </c>
      <c r="S511" s="4" t="s">
        <v>236</v>
      </c>
      <c r="U511" s="4">
        <v>27</v>
      </c>
      <c r="V511" s="4">
        <v>0</v>
      </c>
      <c r="W511" s="4">
        <v>0</v>
      </c>
    </row>
    <row r="512" spans="1:23" ht="11.25" customHeight="1" x14ac:dyDescent="0.25">
      <c r="A512" s="4" t="s">
        <v>21</v>
      </c>
      <c r="B512" s="4" t="s">
        <v>41</v>
      </c>
      <c r="C512" s="4" t="s">
        <v>44</v>
      </c>
      <c r="D512" s="4" t="s">
        <v>45</v>
      </c>
      <c r="E512" s="4" t="s">
        <v>25</v>
      </c>
      <c r="F512" s="4" t="s">
        <v>25</v>
      </c>
      <c r="G512" s="4" t="s">
        <v>25</v>
      </c>
      <c r="H512" s="4" t="s">
        <v>25</v>
      </c>
      <c r="I512" s="5">
        <v>44593</v>
      </c>
      <c r="J512" s="6">
        <v>20504</v>
      </c>
      <c r="K512" s="6">
        <v>20504</v>
      </c>
      <c r="L512" s="6">
        <v>0</v>
      </c>
      <c r="M512" s="6">
        <v>0</v>
      </c>
      <c r="N512" s="6">
        <v>0</v>
      </c>
      <c r="O512" s="6">
        <v>0</v>
      </c>
      <c r="P512" s="6">
        <v>179</v>
      </c>
      <c r="Q512" s="4" t="s">
        <v>26</v>
      </c>
      <c r="R512" s="4">
        <v>0</v>
      </c>
      <c r="S512" s="4" t="s">
        <v>237</v>
      </c>
      <c r="U512" s="4">
        <v>27</v>
      </c>
      <c r="V512" s="4">
        <v>0</v>
      </c>
      <c r="W512" s="4">
        <v>0</v>
      </c>
    </row>
    <row r="513" spans="1:23" ht="11.25" customHeight="1" x14ac:dyDescent="0.25">
      <c r="A513" s="4" t="s">
        <v>28</v>
      </c>
      <c r="B513" s="4" t="s">
        <v>41</v>
      </c>
      <c r="C513" s="4" t="s">
        <v>44</v>
      </c>
      <c r="D513" s="4" t="s">
        <v>45</v>
      </c>
      <c r="E513" s="4" t="s">
        <v>25</v>
      </c>
      <c r="F513" s="4" t="s">
        <v>25</v>
      </c>
      <c r="G513" s="4" t="s">
        <v>25</v>
      </c>
      <c r="H513" s="4" t="s">
        <v>25</v>
      </c>
      <c r="I513" s="5">
        <v>44593</v>
      </c>
      <c r="J513" s="6">
        <v>3862</v>
      </c>
      <c r="K513" s="6">
        <v>3862</v>
      </c>
      <c r="L513" s="6">
        <v>0</v>
      </c>
      <c r="M513" s="6">
        <v>0</v>
      </c>
      <c r="N513" s="6">
        <v>0</v>
      </c>
      <c r="O513" s="6">
        <v>0</v>
      </c>
      <c r="P513" s="6">
        <v>40</v>
      </c>
      <c r="Q513" s="4" t="s">
        <v>26</v>
      </c>
      <c r="R513" s="4">
        <v>0</v>
      </c>
      <c r="S513" s="4" t="s">
        <v>237</v>
      </c>
      <c r="U513" s="4">
        <v>27</v>
      </c>
      <c r="V513" s="4">
        <v>0</v>
      </c>
      <c r="W513" s="4">
        <v>0</v>
      </c>
    </row>
    <row r="514" spans="1:23" ht="11.25" customHeight="1" x14ac:dyDescent="0.25">
      <c r="A514" s="4" t="s">
        <v>30</v>
      </c>
      <c r="B514" s="4" t="s">
        <v>41</v>
      </c>
      <c r="C514" s="4" t="s">
        <v>44</v>
      </c>
      <c r="D514" s="4" t="s">
        <v>45</v>
      </c>
      <c r="E514" s="4" t="s">
        <v>25</v>
      </c>
      <c r="F514" s="4" t="s">
        <v>25</v>
      </c>
      <c r="G514" s="4" t="s">
        <v>25</v>
      </c>
      <c r="H514" s="4" t="s">
        <v>25</v>
      </c>
      <c r="I514" s="5">
        <v>44593</v>
      </c>
      <c r="J514" s="6">
        <v>3257</v>
      </c>
      <c r="K514" s="6">
        <v>3257</v>
      </c>
      <c r="L514" s="6">
        <v>0</v>
      </c>
      <c r="M514" s="6">
        <v>0</v>
      </c>
      <c r="N514" s="6">
        <v>0</v>
      </c>
      <c r="O514" s="6">
        <v>0</v>
      </c>
      <c r="P514" s="6">
        <v>18</v>
      </c>
      <c r="Q514" s="4" t="s">
        <v>26</v>
      </c>
      <c r="R514" s="4">
        <v>0</v>
      </c>
      <c r="S514" s="4" t="s">
        <v>237</v>
      </c>
      <c r="U514" s="4">
        <v>27</v>
      </c>
      <c r="V514" s="4">
        <v>0</v>
      </c>
      <c r="W514" s="4">
        <v>0</v>
      </c>
    </row>
    <row r="515" spans="1:23" ht="11.25" customHeight="1" x14ac:dyDescent="0.25">
      <c r="A515" s="4" t="s">
        <v>21</v>
      </c>
      <c r="B515" s="4" t="s">
        <v>41</v>
      </c>
      <c r="C515" s="4" t="s">
        <v>44</v>
      </c>
      <c r="D515" s="4" t="s">
        <v>45</v>
      </c>
      <c r="E515" s="4" t="s">
        <v>25</v>
      </c>
      <c r="F515" s="4" t="s">
        <v>25</v>
      </c>
      <c r="G515" s="4" t="s">
        <v>25</v>
      </c>
      <c r="H515" s="4" t="s">
        <v>25</v>
      </c>
      <c r="I515" s="5">
        <v>44621</v>
      </c>
      <c r="J515" s="6">
        <v>20589</v>
      </c>
      <c r="K515" s="6">
        <v>20589</v>
      </c>
      <c r="L515" s="6">
        <v>0</v>
      </c>
      <c r="M515" s="6">
        <v>0</v>
      </c>
      <c r="N515" s="6">
        <v>0</v>
      </c>
      <c r="O515" s="6">
        <v>0</v>
      </c>
      <c r="P515" s="6">
        <v>175</v>
      </c>
      <c r="Q515" s="4" t="s">
        <v>26</v>
      </c>
      <c r="R515" s="4">
        <v>0</v>
      </c>
      <c r="S515" s="4" t="s">
        <v>238</v>
      </c>
      <c r="U515" s="4">
        <v>27</v>
      </c>
      <c r="V515" s="4">
        <v>0</v>
      </c>
      <c r="W515" s="4">
        <v>0</v>
      </c>
    </row>
    <row r="516" spans="1:23" ht="11.25" customHeight="1" x14ac:dyDescent="0.25">
      <c r="A516" s="4" t="s">
        <v>28</v>
      </c>
      <c r="B516" s="4" t="s">
        <v>41</v>
      </c>
      <c r="C516" s="4" t="s">
        <v>44</v>
      </c>
      <c r="D516" s="4" t="s">
        <v>45</v>
      </c>
      <c r="E516" s="4" t="s">
        <v>25</v>
      </c>
      <c r="F516" s="4" t="s">
        <v>25</v>
      </c>
      <c r="G516" s="4" t="s">
        <v>25</v>
      </c>
      <c r="H516" s="4" t="s">
        <v>25</v>
      </c>
      <c r="I516" s="5">
        <v>44621</v>
      </c>
      <c r="J516" s="6">
        <v>3866</v>
      </c>
      <c r="K516" s="6">
        <v>3866</v>
      </c>
      <c r="L516" s="6">
        <v>0</v>
      </c>
      <c r="M516" s="6">
        <v>0</v>
      </c>
      <c r="N516" s="6">
        <v>0</v>
      </c>
      <c r="O516" s="6">
        <v>0</v>
      </c>
      <c r="P516" s="6">
        <v>40</v>
      </c>
      <c r="Q516" s="4" t="s">
        <v>26</v>
      </c>
      <c r="R516" s="4">
        <v>0</v>
      </c>
      <c r="S516" s="4" t="s">
        <v>238</v>
      </c>
      <c r="U516" s="4">
        <v>27</v>
      </c>
      <c r="V516" s="4">
        <v>0</v>
      </c>
      <c r="W516" s="4">
        <v>0</v>
      </c>
    </row>
    <row r="517" spans="1:23" ht="11.25" customHeight="1" x14ac:dyDescent="0.25">
      <c r="A517" s="4" t="s">
        <v>30</v>
      </c>
      <c r="B517" s="4" t="s">
        <v>41</v>
      </c>
      <c r="C517" s="4" t="s">
        <v>44</v>
      </c>
      <c r="D517" s="4" t="s">
        <v>45</v>
      </c>
      <c r="E517" s="4" t="s">
        <v>25</v>
      </c>
      <c r="F517" s="4" t="s">
        <v>25</v>
      </c>
      <c r="G517" s="4" t="s">
        <v>25</v>
      </c>
      <c r="H517" s="4" t="s">
        <v>25</v>
      </c>
      <c r="I517" s="5">
        <v>44621</v>
      </c>
      <c r="J517" s="6">
        <v>3379</v>
      </c>
      <c r="K517" s="6">
        <v>3379</v>
      </c>
      <c r="L517" s="6">
        <v>0</v>
      </c>
      <c r="M517" s="6">
        <v>0</v>
      </c>
      <c r="N517" s="6">
        <v>0</v>
      </c>
      <c r="O517" s="6">
        <v>0</v>
      </c>
      <c r="P517" s="6">
        <v>19</v>
      </c>
      <c r="Q517" s="4" t="s">
        <v>26</v>
      </c>
      <c r="R517" s="4">
        <v>0</v>
      </c>
      <c r="S517" s="4" t="s">
        <v>238</v>
      </c>
      <c r="U517" s="4">
        <v>27</v>
      </c>
      <c r="V517" s="4">
        <v>0</v>
      </c>
      <c r="W517" s="4">
        <v>0</v>
      </c>
    </row>
    <row r="518" spans="1:23" ht="11.25" customHeight="1" x14ac:dyDescent="0.25">
      <c r="A518" s="4" t="s">
        <v>21</v>
      </c>
      <c r="B518" s="4" t="s">
        <v>41</v>
      </c>
      <c r="C518" s="4" t="s">
        <v>44</v>
      </c>
      <c r="D518" s="4" t="s">
        <v>45</v>
      </c>
      <c r="E518" s="4" t="s">
        <v>25</v>
      </c>
      <c r="F518" s="4" t="s">
        <v>25</v>
      </c>
      <c r="G518" s="4" t="s">
        <v>25</v>
      </c>
      <c r="H518" s="4" t="s">
        <v>25</v>
      </c>
      <c r="I518" s="5">
        <v>44652</v>
      </c>
      <c r="J518" s="6">
        <v>20854</v>
      </c>
      <c r="K518" s="6">
        <v>20854</v>
      </c>
      <c r="L518" s="6">
        <v>0</v>
      </c>
      <c r="M518" s="6">
        <v>0</v>
      </c>
      <c r="N518" s="6">
        <v>0</v>
      </c>
      <c r="O518" s="6">
        <v>0</v>
      </c>
      <c r="P518" s="6">
        <v>177</v>
      </c>
      <c r="Q518" s="4" t="s">
        <v>26</v>
      </c>
      <c r="R518" s="4">
        <v>0</v>
      </c>
      <c r="S518" s="4" t="s">
        <v>239</v>
      </c>
      <c r="U518" s="4">
        <v>27</v>
      </c>
      <c r="V518" s="4">
        <v>0</v>
      </c>
      <c r="W518" s="4">
        <v>0</v>
      </c>
    </row>
    <row r="519" spans="1:23" ht="11.25" customHeight="1" x14ac:dyDescent="0.25">
      <c r="A519" s="4" t="s">
        <v>28</v>
      </c>
      <c r="B519" s="4" t="s">
        <v>41</v>
      </c>
      <c r="C519" s="4" t="s">
        <v>44</v>
      </c>
      <c r="D519" s="4" t="s">
        <v>45</v>
      </c>
      <c r="E519" s="4" t="s">
        <v>25</v>
      </c>
      <c r="F519" s="4" t="s">
        <v>25</v>
      </c>
      <c r="G519" s="4" t="s">
        <v>25</v>
      </c>
      <c r="H519" s="4" t="s">
        <v>25</v>
      </c>
      <c r="I519" s="5">
        <v>44652</v>
      </c>
      <c r="J519" s="6">
        <v>3922</v>
      </c>
      <c r="K519" s="6">
        <v>3922</v>
      </c>
      <c r="L519" s="6">
        <v>0</v>
      </c>
      <c r="M519" s="6">
        <v>0</v>
      </c>
      <c r="N519" s="6">
        <v>0</v>
      </c>
      <c r="O519" s="6">
        <v>0</v>
      </c>
      <c r="P519" s="6">
        <v>40</v>
      </c>
      <c r="Q519" s="4" t="s">
        <v>26</v>
      </c>
      <c r="R519" s="4">
        <v>0</v>
      </c>
      <c r="S519" s="4" t="s">
        <v>239</v>
      </c>
      <c r="U519" s="4">
        <v>27</v>
      </c>
      <c r="V519" s="4">
        <v>0</v>
      </c>
      <c r="W519" s="4">
        <v>0</v>
      </c>
    </row>
    <row r="520" spans="1:23" ht="11.25" customHeight="1" x14ac:dyDescent="0.25">
      <c r="A520" s="4" t="s">
        <v>30</v>
      </c>
      <c r="B520" s="4" t="s">
        <v>41</v>
      </c>
      <c r="C520" s="4" t="s">
        <v>44</v>
      </c>
      <c r="D520" s="4" t="s">
        <v>45</v>
      </c>
      <c r="E520" s="4" t="s">
        <v>25</v>
      </c>
      <c r="F520" s="4" t="s">
        <v>25</v>
      </c>
      <c r="G520" s="4" t="s">
        <v>25</v>
      </c>
      <c r="H520" s="4" t="s">
        <v>25</v>
      </c>
      <c r="I520" s="5">
        <v>44652</v>
      </c>
      <c r="J520" s="6">
        <v>3488</v>
      </c>
      <c r="K520" s="6">
        <v>3488</v>
      </c>
      <c r="L520" s="6">
        <v>0</v>
      </c>
      <c r="M520" s="6">
        <v>0</v>
      </c>
      <c r="N520" s="6">
        <v>0</v>
      </c>
      <c r="O520" s="6">
        <v>0</v>
      </c>
      <c r="P520" s="6">
        <v>20</v>
      </c>
      <c r="Q520" s="4" t="s">
        <v>26</v>
      </c>
      <c r="R520" s="4">
        <v>0</v>
      </c>
      <c r="S520" s="4" t="s">
        <v>239</v>
      </c>
      <c r="U520" s="4">
        <v>27</v>
      </c>
      <c r="V520" s="4">
        <v>0</v>
      </c>
      <c r="W520" s="4">
        <v>0</v>
      </c>
    </row>
    <row r="521" spans="1:23" ht="11.25" customHeight="1" x14ac:dyDescent="0.25">
      <c r="A521" s="4" t="s">
        <v>21</v>
      </c>
      <c r="B521" s="4" t="s">
        <v>41</v>
      </c>
      <c r="C521" s="4" t="s">
        <v>44</v>
      </c>
      <c r="D521" s="4" t="s">
        <v>45</v>
      </c>
      <c r="E521" s="4" t="s">
        <v>25</v>
      </c>
      <c r="F521" s="4" t="s">
        <v>25</v>
      </c>
      <c r="G521" s="4" t="s">
        <v>25</v>
      </c>
      <c r="H521" s="4" t="s">
        <v>25</v>
      </c>
      <c r="I521" s="5">
        <v>44682</v>
      </c>
      <c r="J521" s="6">
        <v>20683</v>
      </c>
      <c r="K521" s="6">
        <v>20683</v>
      </c>
      <c r="L521" s="6">
        <v>0</v>
      </c>
      <c r="M521" s="6">
        <v>0</v>
      </c>
      <c r="N521" s="6">
        <v>0</v>
      </c>
      <c r="O521" s="6">
        <v>0</v>
      </c>
      <c r="P521" s="6">
        <v>176</v>
      </c>
      <c r="Q521" s="4" t="s">
        <v>26</v>
      </c>
      <c r="R521" s="4">
        <v>0</v>
      </c>
      <c r="S521" s="4" t="s">
        <v>240</v>
      </c>
      <c r="U521" s="4">
        <v>27</v>
      </c>
      <c r="V521" s="4">
        <v>0</v>
      </c>
      <c r="W521" s="4">
        <v>0</v>
      </c>
    </row>
    <row r="522" spans="1:23" ht="11.25" customHeight="1" x14ac:dyDescent="0.25">
      <c r="A522" s="4" t="s">
        <v>28</v>
      </c>
      <c r="B522" s="4" t="s">
        <v>41</v>
      </c>
      <c r="C522" s="4" t="s">
        <v>44</v>
      </c>
      <c r="D522" s="4" t="s">
        <v>45</v>
      </c>
      <c r="E522" s="4" t="s">
        <v>25</v>
      </c>
      <c r="F522" s="4" t="s">
        <v>25</v>
      </c>
      <c r="G522" s="4" t="s">
        <v>25</v>
      </c>
      <c r="H522" s="4" t="s">
        <v>25</v>
      </c>
      <c r="I522" s="5">
        <v>44682</v>
      </c>
      <c r="J522" s="6">
        <v>3912</v>
      </c>
      <c r="K522" s="6">
        <v>3912</v>
      </c>
      <c r="L522" s="6">
        <v>0</v>
      </c>
      <c r="M522" s="6">
        <v>0</v>
      </c>
      <c r="N522" s="6">
        <v>0</v>
      </c>
      <c r="O522" s="6">
        <v>0</v>
      </c>
      <c r="P522" s="6">
        <v>41</v>
      </c>
      <c r="Q522" s="4" t="s">
        <v>26</v>
      </c>
      <c r="R522" s="4">
        <v>0</v>
      </c>
      <c r="S522" s="4" t="s">
        <v>240</v>
      </c>
      <c r="U522" s="4">
        <v>27</v>
      </c>
      <c r="V522" s="4">
        <v>0</v>
      </c>
      <c r="W522" s="4">
        <v>0</v>
      </c>
    </row>
    <row r="523" spans="1:23" ht="11.25" customHeight="1" x14ac:dyDescent="0.25">
      <c r="A523" s="4" t="s">
        <v>30</v>
      </c>
      <c r="B523" s="4" t="s">
        <v>41</v>
      </c>
      <c r="C523" s="4" t="s">
        <v>44</v>
      </c>
      <c r="D523" s="4" t="s">
        <v>45</v>
      </c>
      <c r="E523" s="4" t="s">
        <v>25</v>
      </c>
      <c r="F523" s="4" t="s">
        <v>25</v>
      </c>
      <c r="G523" s="4" t="s">
        <v>25</v>
      </c>
      <c r="H523" s="4" t="s">
        <v>25</v>
      </c>
      <c r="I523" s="5">
        <v>44682</v>
      </c>
      <c r="J523" s="6">
        <v>3488</v>
      </c>
      <c r="K523" s="6">
        <v>3488</v>
      </c>
      <c r="L523" s="6">
        <v>0</v>
      </c>
      <c r="M523" s="6">
        <v>0</v>
      </c>
      <c r="N523" s="6">
        <v>0</v>
      </c>
      <c r="O523" s="6">
        <v>0</v>
      </c>
      <c r="P523" s="6">
        <v>20</v>
      </c>
      <c r="Q523" s="4" t="s">
        <v>26</v>
      </c>
      <c r="R523" s="4">
        <v>0</v>
      </c>
      <c r="S523" s="4" t="s">
        <v>240</v>
      </c>
      <c r="U523" s="4">
        <v>27</v>
      </c>
      <c r="V523" s="4">
        <v>0</v>
      </c>
      <c r="W523" s="4">
        <v>0</v>
      </c>
    </row>
    <row r="524" spans="1:23" ht="11.25" customHeight="1" x14ac:dyDescent="0.25">
      <c r="A524" s="4" t="s">
        <v>21</v>
      </c>
      <c r="B524" s="4" t="s">
        <v>41</v>
      </c>
      <c r="C524" s="4" t="s">
        <v>44</v>
      </c>
      <c r="D524" s="4" t="s">
        <v>45</v>
      </c>
      <c r="E524" s="4" t="s">
        <v>25</v>
      </c>
      <c r="F524" s="4" t="s">
        <v>25</v>
      </c>
      <c r="G524" s="4" t="s">
        <v>25</v>
      </c>
      <c r="H524" s="4" t="s">
        <v>25</v>
      </c>
      <c r="I524" s="5">
        <v>44713</v>
      </c>
      <c r="J524" s="6">
        <v>20054</v>
      </c>
      <c r="K524" s="6">
        <v>20054</v>
      </c>
      <c r="L524" s="6">
        <v>0</v>
      </c>
      <c r="M524" s="6">
        <v>0</v>
      </c>
      <c r="N524" s="6">
        <v>0</v>
      </c>
      <c r="O524" s="6">
        <v>0</v>
      </c>
      <c r="P524" s="6">
        <v>173</v>
      </c>
      <c r="Q524" s="4" t="s">
        <v>26</v>
      </c>
      <c r="R524" s="4">
        <v>0</v>
      </c>
      <c r="S524" s="4" t="s">
        <v>241</v>
      </c>
      <c r="U524" s="4">
        <v>27</v>
      </c>
      <c r="V524" s="4">
        <v>0</v>
      </c>
      <c r="W524" s="4">
        <v>0</v>
      </c>
    </row>
    <row r="525" spans="1:23" ht="11.25" customHeight="1" x14ac:dyDescent="0.25">
      <c r="A525" s="4" t="s">
        <v>28</v>
      </c>
      <c r="B525" s="4" t="s">
        <v>41</v>
      </c>
      <c r="C525" s="4" t="s">
        <v>44</v>
      </c>
      <c r="D525" s="4" t="s">
        <v>45</v>
      </c>
      <c r="E525" s="4" t="s">
        <v>25</v>
      </c>
      <c r="F525" s="4" t="s">
        <v>25</v>
      </c>
      <c r="G525" s="4" t="s">
        <v>25</v>
      </c>
      <c r="H525" s="4" t="s">
        <v>25</v>
      </c>
      <c r="I525" s="5">
        <v>44713</v>
      </c>
      <c r="J525" s="6">
        <v>3897</v>
      </c>
      <c r="K525" s="6">
        <v>3897</v>
      </c>
      <c r="L525" s="6">
        <v>0</v>
      </c>
      <c r="M525" s="6">
        <v>0</v>
      </c>
      <c r="N525" s="6">
        <v>0</v>
      </c>
      <c r="O525" s="6">
        <v>0</v>
      </c>
      <c r="P525" s="6">
        <v>41</v>
      </c>
      <c r="Q525" s="4" t="s">
        <v>26</v>
      </c>
      <c r="R525" s="4">
        <v>0</v>
      </c>
      <c r="S525" s="4" t="s">
        <v>241</v>
      </c>
      <c r="U525" s="4">
        <v>27</v>
      </c>
      <c r="V525" s="4">
        <v>0</v>
      </c>
      <c r="W525" s="4">
        <v>0</v>
      </c>
    </row>
    <row r="526" spans="1:23" ht="11.25" customHeight="1" x14ac:dyDescent="0.25">
      <c r="A526" s="4" t="s">
        <v>30</v>
      </c>
      <c r="B526" s="4" t="s">
        <v>41</v>
      </c>
      <c r="C526" s="4" t="s">
        <v>44</v>
      </c>
      <c r="D526" s="4" t="s">
        <v>45</v>
      </c>
      <c r="E526" s="4" t="s">
        <v>25</v>
      </c>
      <c r="F526" s="4" t="s">
        <v>25</v>
      </c>
      <c r="G526" s="4" t="s">
        <v>25</v>
      </c>
      <c r="H526" s="4" t="s">
        <v>25</v>
      </c>
      <c r="I526" s="5">
        <v>44713</v>
      </c>
      <c r="J526" s="6">
        <v>3775</v>
      </c>
      <c r="K526" s="6">
        <v>3775</v>
      </c>
      <c r="L526" s="6">
        <v>0</v>
      </c>
      <c r="M526" s="6">
        <v>0</v>
      </c>
      <c r="N526" s="6">
        <v>0</v>
      </c>
      <c r="O526" s="6">
        <v>0</v>
      </c>
      <c r="P526" s="6">
        <v>21</v>
      </c>
      <c r="Q526" s="4" t="s">
        <v>26</v>
      </c>
      <c r="R526" s="4">
        <v>0</v>
      </c>
      <c r="S526" s="4" t="s">
        <v>241</v>
      </c>
      <c r="U526" s="4">
        <v>27</v>
      </c>
      <c r="V526" s="4">
        <v>0</v>
      </c>
      <c r="W526" s="4">
        <v>0</v>
      </c>
    </row>
    <row r="527" spans="1:23" ht="11.25" customHeight="1" x14ac:dyDescent="0.25">
      <c r="A527" s="4" t="s">
        <v>30</v>
      </c>
      <c r="B527" s="4" t="s">
        <v>41</v>
      </c>
      <c r="C527" s="4" t="s">
        <v>44</v>
      </c>
      <c r="D527" s="4" t="s">
        <v>45</v>
      </c>
      <c r="E527" s="4" t="s">
        <v>25</v>
      </c>
      <c r="F527" s="4" t="s">
        <v>25</v>
      </c>
      <c r="G527" s="4" t="s">
        <v>25</v>
      </c>
      <c r="H527" s="4" t="s">
        <v>25</v>
      </c>
      <c r="I527" s="5">
        <v>44713</v>
      </c>
      <c r="J527" s="6">
        <v>1</v>
      </c>
      <c r="K527" s="6">
        <v>1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4" t="s">
        <v>26</v>
      </c>
      <c r="R527" s="4">
        <v>0</v>
      </c>
      <c r="S527" s="4" t="s">
        <v>241</v>
      </c>
      <c r="U527" s="4">
        <v>27</v>
      </c>
      <c r="V527" s="4">
        <v>0</v>
      </c>
      <c r="W527" s="4">
        <v>0</v>
      </c>
    </row>
    <row r="528" spans="1:23" ht="11.25" customHeight="1" x14ac:dyDescent="0.25">
      <c r="A528" s="4" t="s">
        <v>21</v>
      </c>
      <c r="B528" s="4" t="s">
        <v>41</v>
      </c>
      <c r="C528" s="4" t="s">
        <v>44</v>
      </c>
      <c r="D528" s="4" t="s">
        <v>45</v>
      </c>
      <c r="E528" s="4" t="s">
        <v>25</v>
      </c>
      <c r="F528" s="4" t="s">
        <v>25</v>
      </c>
      <c r="G528" s="4" t="s">
        <v>25</v>
      </c>
      <c r="H528" s="4" t="s">
        <v>25</v>
      </c>
      <c r="I528" s="5">
        <v>44743</v>
      </c>
      <c r="J528" s="6">
        <v>20073</v>
      </c>
      <c r="K528" s="6">
        <v>20073</v>
      </c>
      <c r="L528" s="6">
        <v>0</v>
      </c>
      <c r="M528" s="6">
        <v>0</v>
      </c>
      <c r="N528" s="6">
        <v>0</v>
      </c>
      <c r="O528" s="6">
        <v>0</v>
      </c>
      <c r="P528" s="6">
        <v>171</v>
      </c>
      <c r="Q528" s="4" t="s">
        <v>26</v>
      </c>
      <c r="R528" s="4">
        <v>0</v>
      </c>
      <c r="S528" s="4" t="s">
        <v>242</v>
      </c>
      <c r="U528" s="4">
        <v>27</v>
      </c>
      <c r="V528" s="4">
        <v>0</v>
      </c>
      <c r="W528" s="4">
        <v>0</v>
      </c>
    </row>
    <row r="529" spans="1:23" ht="11.25" customHeight="1" x14ac:dyDescent="0.25">
      <c r="A529" s="4" t="s">
        <v>28</v>
      </c>
      <c r="B529" s="4" t="s">
        <v>41</v>
      </c>
      <c r="C529" s="4" t="s">
        <v>44</v>
      </c>
      <c r="D529" s="4" t="s">
        <v>45</v>
      </c>
      <c r="E529" s="4" t="s">
        <v>25</v>
      </c>
      <c r="F529" s="4" t="s">
        <v>25</v>
      </c>
      <c r="G529" s="4" t="s">
        <v>25</v>
      </c>
      <c r="H529" s="4" t="s">
        <v>25</v>
      </c>
      <c r="I529" s="5">
        <v>44743</v>
      </c>
      <c r="J529" s="6">
        <v>3812</v>
      </c>
      <c r="K529" s="6">
        <v>3812</v>
      </c>
      <c r="L529" s="6">
        <v>0</v>
      </c>
      <c r="M529" s="6">
        <v>0</v>
      </c>
      <c r="N529" s="6">
        <v>0</v>
      </c>
      <c r="O529" s="6">
        <v>0</v>
      </c>
      <c r="P529" s="6">
        <v>41</v>
      </c>
      <c r="Q529" s="4" t="s">
        <v>26</v>
      </c>
      <c r="R529" s="4">
        <v>0</v>
      </c>
      <c r="S529" s="4" t="s">
        <v>242</v>
      </c>
      <c r="U529" s="4">
        <v>27</v>
      </c>
      <c r="V529" s="4">
        <v>0</v>
      </c>
      <c r="W529" s="4">
        <v>0</v>
      </c>
    </row>
    <row r="530" spans="1:23" ht="11.25" customHeight="1" x14ac:dyDescent="0.25">
      <c r="A530" s="4" t="s">
        <v>30</v>
      </c>
      <c r="B530" s="4" t="s">
        <v>41</v>
      </c>
      <c r="C530" s="4" t="s">
        <v>44</v>
      </c>
      <c r="D530" s="4" t="s">
        <v>45</v>
      </c>
      <c r="E530" s="4" t="s">
        <v>25</v>
      </c>
      <c r="F530" s="4" t="s">
        <v>25</v>
      </c>
      <c r="G530" s="4" t="s">
        <v>25</v>
      </c>
      <c r="H530" s="4" t="s">
        <v>25</v>
      </c>
      <c r="I530" s="5">
        <v>44743</v>
      </c>
      <c r="J530" s="6">
        <v>3814</v>
      </c>
      <c r="K530" s="6">
        <v>3814</v>
      </c>
      <c r="L530" s="6">
        <v>0</v>
      </c>
      <c r="M530" s="6">
        <v>0</v>
      </c>
      <c r="N530" s="6">
        <v>0</v>
      </c>
      <c r="O530" s="6">
        <v>0</v>
      </c>
      <c r="P530" s="6">
        <v>20</v>
      </c>
      <c r="Q530" s="4" t="s">
        <v>26</v>
      </c>
      <c r="R530" s="4">
        <v>0</v>
      </c>
      <c r="S530" s="4" t="s">
        <v>242</v>
      </c>
      <c r="U530" s="4">
        <v>27</v>
      </c>
      <c r="V530" s="4">
        <v>0</v>
      </c>
      <c r="W530" s="4">
        <v>0</v>
      </c>
    </row>
    <row r="531" spans="1:23" ht="11.25" customHeight="1" x14ac:dyDescent="0.25">
      <c r="A531" s="4" t="s">
        <v>21</v>
      </c>
      <c r="B531" s="4" t="s">
        <v>41</v>
      </c>
      <c r="C531" s="4" t="s">
        <v>44</v>
      </c>
      <c r="D531" s="4" t="s">
        <v>45</v>
      </c>
      <c r="E531" s="4" t="s">
        <v>25</v>
      </c>
      <c r="F531" s="4" t="s">
        <v>25</v>
      </c>
      <c r="G531" s="4" t="s">
        <v>25</v>
      </c>
      <c r="H531" s="4" t="s">
        <v>25</v>
      </c>
      <c r="I531" s="5">
        <v>44774</v>
      </c>
      <c r="J531" s="6">
        <v>19700</v>
      </c>
      <c r="K531" s="6">
        <v>19700</v>
      </c>
      <c r="L531" s="6">
        <v>0</v>
      </c>
      <c r="M531" s="6">
        <v>0</v>
      </c>
      <c r="N531" s="6">
        <v>0</v>
      </c>
      <c r="O531" s="6">
        <v>0</v>
      </c>
      <c r="P531" s="6">
        <v>170</v>
      </c>
      <c r="Q531" s="4" t="s">
        <v>26</v>
      </c>
      <c r="R531" s="4">
        <v>0</v>
      </c>
      <c r="S531" s="4" t="s">
        <v>243</v>
      </c>
      <c r="U531" s="4">
        <v>27</v>
      </c>
      <c r="V531" s="4">
        <v>0</v>
      </c>
      <c r="W531" s="4">
        <v>0</v>
      </c>
    </row>
    <row r="532" spans="1:23" ht="11.25" customHeight="1" x14ac:dyDescent="0.25">
      <c r="A532" s="4" t="s">
        <v>28</v>
      </c>
      <c r="B532" s="4" t="s">
        <v>41</v>
      </c>
      <c r="C532" s="4" t="s">
        <v>44</v>
      </c>
      <c r="D532" s="4" t="s">
        <v>45</v>
      </c>
      <c r="E532" s="4" t="s">
        <v>25</v>
      </c>
      <c r="F532" s="4" t="s">
        <v>25</v>
      </c>
      <c r="G532" s="4" t="s">
        <v>25</v>
      </c>
      <c r="H532" s="4" t="s">
        <v>25</v>
      </c>
      <c r="I532" s="5">
        <v>44774</v>
      </c>
      <c r="J532" s="6">
        <v>3831</v>
      </c>
      <c r="K532" s="6">
        <v>3831</v>
      </c>
      <c r="L532" s="6">
        <v>0</v>
      </c>
      <c r="M532" s="6">
        <v>0</v>
      </c>
      <c r="N532" s="6">
        <v>0</v>
      </c>
      <c r="O532" s="6">
        <v>0</v>
      </c>
      <c r="P532" s="6">
        <v>41</v>
      </c>
      <c r="Q532" s="4" t="s">
        <v>26</v>
      </c>
      <c r="R532" s="4">
        <v>0</v>
      </c>
      <c r="S532" s="4" t="s">
        <v>243</v>
      </c>
      <c r="U532" s="4">
        <v>27</v>
      </c>
      <c r="V532" s="4">
        <v>0</v>
      </c>
      <c r="W532" s="4">
        <v>0</v>
      </c>
    </row>
    <row r="533" spans="1:23" ht="11.25" customHeight="1" x14ac:dyDescent="0.25">
      <c r="A533" s="4" t="s">
        <v>30</v>
      </c>
      <c r="B533" s="4" t="s">
        <v>41</v>
      </c>
      <c r="C533" s="4" t="s">
        <v>44</v>
      </c>
      <c r="D533" s="4" t="s">
        <v>45</v>
      </c>
      <c r="E533" s="4" t="s">
        <v>25</v>
      </c>
      <c r="F533" s="4" t="s">
        <v>25</v>
      </c>
      <c r="G533" s="4" t="s">
        <v>25</v>
      </c>
      <c r="H533" s="4" t="s">
        <v>25</v>
      </c>
      <c r="I533" s="5">
        <v>44774</v>
      </c>
      <c r="J533" s="6">
        <v>4348</v>
      </c>
      <c r="K533" s="6">
        <v>4348</v>
      </c>
      <c r="L533" s="6">
        <v>0</v>
      </c>
      <c r="M533" s="6">
        <v>0</v>
      </c>
      <c r="N533" s="6">
        <v>0</v>
      </c>
      <c r="O533" s="6">
        <v>0</v>
      </c>
      <c r="P533" s="6">
        <v>22</v>
      </c>
      <c r="Q533" s="4" t="s">
        <v>26</v>
      </c>
      <c r="R533" s="4">
        <v>0</v>
      </c>
      <c r="S533" s="4" t="s">
        <v>243</v>
      </c>
      <c r="U533" s="4">
        <v>27</v>
      </c>
      <c r="V533" s="4">
        <v>0</v>
      </c>
      <c r="W533" s="4">
        <v>0</v>
      </c>
    </row>
    <row r="534" spans="1:23" ht="11.25" customHeight="1" x14ac:dyDescent="0.25">
      <c r="A534" s="4" t="s">
        <v>30</v>
      </c>
      <c r="B534" s="4" t="s">
        <v>41</v>
      </c>
      <c r="C534" s="4" t="s">
        <v>44</v>
      </c>
      <c r="D534" s="4" t="s">
        <v>45</v>
      </c>
      <c r="E534" s="4" t="s">
        <v>25</v>
      </c>
      <c r="F534" s="4" t="s">
        <v>25</v>
      </c>
      <c r="G534" s="4" t="s">
        <v>25</v>
      </c>
      <c r="H534" s="4" t="s">
        <v>25</v>
      </c>
      <c r="I534" s="5">
        <v>44774</v>
      </c>
      <c r="J534" s="6">
        <v>-90</v>
      </c>
      <c r="K534" s="6">
        <v>-90</v>
      </c>
      <c r="L534" s="6">
        <v>0</v>
      </c>
      <c r="M534" s="6">
        <v>0</v>
      </c>
      <c r="N534" s="6">
        <v>0</v>
      </c>
      <c r="O534" s="6">
        <v>0</v>
      </c>
      <c r="P534" s="6">
        <v>-1</v>
      </c>
      <c r="Q534" s="4" t="s">
        <v>26</v>
      </c>
      <c r="R534" s="4">
        <v>0</v>
      </c>
      <c r="S534" s="4" t="s">
        <v>243</v>
      </c>
      <c r="U534" s="4">
        <v>27</v>
      </c>
      <c r="V534" s="4">
        <v>0</v>
      </c>
      <c r="W534" s="4">
        <v>0</v>
      </c>
    </row>
    <row r="535" spans="1:23" ht="11.25" customHeight="1" x14ac:dyDescent="0.25">
      <c r="A535" s="4" t="s">
        <v>21</v>
      </c>
      <c r="B535" s="4" t="s">
        <v>41</v>
      </c>
      <c r="C535" s="4" t="s">
        <v>44</v>
      </c>
      <c r="D535" s="4" t="s">
        <v>45</v>
      </c>
      <c r="E535" s="4" t="s">
        <v>25</v>
      </c>
      <c r="F535" s="4" t="s">
        <v>25</v>
      </c>
      <c r="G535" s="4" t="s">
        <v>25</v>
      </c>
      <c r="H535" s="4" t="s">
        <v>25</v>
      </c>
      <c r="I535" s="5">
        <v>44805</v>
      </c>
      <c r="J535" s="6">
        <v>19310</v>
      </c>
      <c r="K535" s="6">
        <v>19310</v>
      </c>
      <c r="L535" s="6">
        <v>0</v>
      </c>
      <c r="M535" s="6">
        <v>0</v>
      </c>
      <c r="N535" s="6">
        <v>0</v>
      </c>
      <c r="O535" s="6">
        <v>0</v>
      </c>
      <c r="P535" s="6">
        <v>168</v>
      </c>
      <c r="Q535" s="4" t="s">
        <v>26</v>
      </c>
      <c r="R535" s="4">
        <v>0</v>
      </c>
      <c r="S535" s="4" t="s">
        <v>244</v>
      </c>
      <c r="U535" s="4">
        <v>27</v>
      </c>
      <c r="V535" s="4">
        <v>0</v>
      </c>
      <c r="W535" s="4">
        <v>0</v>
      </c>
    </row>
    <row r="536" spans="1:23" ht="11.25" customHeight="1" x14ac:dyDescent="0.25">
      <c r="A536" s="4" t="s">
        <v>28</v>
      </c>
      <c r="B536" s="4" t="s">
        <v>41</v>
      </c>
      <c r="C536" s="4" t="s">
        <v>44</v>
      </c>
      <c r="D536" s="4" t="s">
        <v>45</v>
      </c>
      <c r="E536" s="4" t="s">
        <v>25</v>
      </c>
      <c r="F536" s="4" t="s">
        <v>25</v>
      </c>
      <c r="G536" s="4" t="s">
        <v>25</v>
      </c>
      <c r="H536" s="4" t="s">
        <v>25</v>
      </c>
      <c r="I536" s="5">
        <v>44805</v>
      </c>
      <c r="J536" s="6">
        <v>3808</v>
      </c>
      <c r="K536" s="6">
        <v>3808</v>
      </c>
      <c r="L536" s="6">
        <v>0</v>
      </c>
      <c r="M536" s="6">
        <v>0</v>
      </c>
      <c r="N536" s="6">
        <v>0</v>
      </c>
      <c r="O536" s="6">
        <v>0</v>
      </c>
      <c r="P536" s="6">
        <v>40</v>
      </c>
      <c r="Q536" s="4" t="s">
        <v>26</v>
      </c>
      <c r="R536" s="4">
        <v>0</v>
      </c>
      <c r="S536" s="4" t="s">
        <v>244</v>
      </c>
      <c r="U536" s="4">
        <v>27</v>
      </c>
      <c r="V536" s="4">
        <v>0</v>
      </c>
      <c r="W536" s="4">
        <v>0</v>
      </c>
    </row>
    <row r="537" spans="1:23" ht="11.25" customHeight="1" x14ac:dyDescent="0.25">
      <c r="A537" s="4" t="s">
        <v>30</v>
      </c>
      <c r="B537" s="4" t="s">
        <v>41</v>
      </c>
      <c r="C537" s="4" t="s">
        <v>44</v>
      </c>
      <c r="D537" s="4" t="s">
        <v>45</v>
      </c>
      <c r="E537" s="4" t="s">
        <v>25</v>
      </c>
      <c r="F537" s="4" t="s">
        <v>25</v>
      </c>
      <c r="G537" s="4" t="s">
        <v>25</v>
      </c>
      <c r="H537" s="4" t="s">
        <v>25</v>
      </c>
      <c r="I537" s="5">
        <v>44805</v>
      </c>
      <c r="J537" s="6">
        <v>4747</v>
      </c>
      <c r="K537" s="6">
        <v>4747</v>
      </c>
      <c r="L537" s="6">
        <v>0</v>
      </c>
      <c r="M537" s="6">
        <v>0</v>
      </c>
      <c r="N537" s="6">
        <v>0</v>
      </c>
      <c r="O537" s="6">
        <v>0</v>
      </c>
      <c r="P537" s="6">
        <v>26</v>
      </c>
      <c r="Q537" s="4" t="s">
        <v>26</v>
      </c>
      <c r="R537" s="4">
        <v>0</v>
      </c>
      <c r="S537" s="4" t="s">
        <v>244</v>
      </c>
      <c r="U537" s="4">
        <v>27</v>
      </c>
      <c r="V537" s="4">
        <v>0</v>
      </c>
      <c r="W537" s="4">
        <v>0</v>
      </c>
    </row>
    <row r="538" spans="1:23" ht="11.25" customHeight="1" x14ac:dyDescent="0.25">
      <c r="A538" s="4" t="s">
        <v>21</v>
      </c>
      <c r="B538" s="4" t="s">
        <v>41</v>
      </c>
      <c r="C538" s="4" t="s">
        <v>44</v>
      </c>
      <c r="D538" s="4" t="s">
        <v>45</v>
      </c>
      <c r="E538" s="4" t="s">
        <v>25</v>
      </c>
      <c r="F538" s="4" t="s">
        <v>25</v>
      </c>
      <c r="G538" s="4" t="s">
        <v>25</v>
      </c>
      <c r="H538" s="4" t="s">
        <v>25</v>
      </c>
      <c r="I538" s="5">
        <v>44835</v>
      </c>
      <c r="J538" s="6">
        <v>18594</v>
      </c>
      <c r="K538" s="6">
        <v>18594</v>
      </c>
      <c r="L538" s="6">
        <v>0</v>
      </c>
      <c r="M538" s="6">
        <v>0</v>
      </c>
      <c r="N538" s="6">
        <v>0</v>
      </c>
      <c r="O538" s="6">
        <v>0</v>
      </c>
      <c r="P538" s="6">
        <v>165</v>
      </c>
      <c r="Q538" s="4" t="s">
        <v>26</v>
      </c>
      <c r="R538" s="4">
        <v>0</v>
      </c>
      <c r="S538" s="4" t="s">
        <v>245</v>
      </c>
      <c r="U538" s="4">
        <v>27</v>
      </c>
      <c r="V538" s="4">
        <v>0</v>
      </c>
      <c r="W538" s="4">
        <v>0</v>
      </c>
    </row>
    <row r="539" spans="1:23" ht="11.25" customHeight="1" x14ac:dyDescent="0.25">
      <c r="A539" s="4" t="s">
        <v>28</v>
      </c>
      <c r="B539" s="4" t="s">
        <v>41</v>
      </c>
      <c r="C539" s="4" t="s">
        <v>44</v>
      </c>
      <c r="D539" s="4" t="s">
        <v>45</v>
      </c>
      <c r="E539" s="4" t="s">
        <v>25</v>
      </c>
      <c r="F539" s="4" t="s">
        <v>25</v>
      </c>
      <c r="G539" s="4" t="s">
        <v>25</v>
      </c>
      <c r="H539" s="4" t="s">
        <v>25</v>
      </c>
      <c r="I539" s="5">
        <v>44835</v>
      </c>
      <c r="J539" s="6">
        <v>3677</v>
      </c>
      <c r="K539" s="6">
        <v>3677</v>
      </c>
      <c r="L539" s="6">
        <v>0</v>
      </c>
      <c r="M539" s="6">
        <v>0</v>
      </c>
      <c r="N539" s="6">
        <v>0</v>
      </c>
      <c r="O539" s="6">
        <v>0</v>
      </c>
      <c r="P539" s="6">
        <v>40</v>
      </c>
      <c r="Q539" s="4" t="s">
        <v>26</v>
      </c>
      <c r="R539" s="4">
        <v>0</v>
      </c>
      <c r="S539" s="4" t="s">
        <v>245</v>
      </c>
      <c r="U539" s="4">
        <v>27</v>
      </c>
      <c r="V539" s="4">
        <v>0</v>
      </c>
      <c r="W539" s="4">
        <v>0</v>
      </c>
    </row>
    <row r="540" spans="1:23" ht="11.25" customHeight="1" x14ac:dyDescent="0.25">
      <c r="A540" s="4" t="s">
        <v>30</v>
      </c>
      <c r="B540" s="4" t="s">
        <v>41</v>
      </c>
      <c r="C540" s="4" t="s">
        <v>44</v>
      </c>
      <c r="D540" s="4" t="s">
        <v>45</v>
      </c>
      <c r="E540" s="4" t="s">
        <v>25</v>
      </c>
      <c r="F540" s="4" t="s">
        <v>25</v>
      </c>
      <c r="G540" s="4" t="s">
        <v>25</v>
      </c>
      <c r="H540" s="4" t="s">
        <v>25</v>
      </c>
      <c r="I540" s="5">
        <v>44835</v>
      </c>
      <c r="J540" s="6">
        <v>4792</v>
      </c>
      <c r="K540" s="6">
        <v>4792</v>
      </c>
      <c r="L540" s="6">
        <v>0</v>
      </c>
      <c r="M540" s="6">
        <v>0</v>
      </c>
      <c r="N540" s="6">
        <v>0</v>
      </c>
      <c r="O540" s="6">
        <v>0</v>
      </c>
      <c r="P540" s="6">
        <v>26</v>
      </c>
      <c r="Q540" s="4" t="s">
        <v>26</v>
      </c>
      <c r="R540" s="4">
        <v>0</v>
      </c>
      <c r="S540" s="4" t="s">
        <v>245</v>
      </c>
      <c r="U540" s="4">
        <v>27</v>
      </c>
      <c r="V540" s="4">
        <v>0</v>
      </c>
      <c r="W540" s="4">
        <v>0</v>
      </c>
    </row>
    <row r="541" spans="1:23" ht="11.25" customHeight="1" x14ac:dyDescent="0.25">
      <c r="A541" s="4" t="s">
        <v>59</v>
      </c>
      <c r="B541" s="4" t="s">
        <v>41</v>
      </c>
      <c r="C541" s="4" t="s">
        <v>44</v>
      </c>
      <c r="D541" s="4" t="s">
        <v>45</v>
      </c>
      <c r="E541" s="4" t="s">
        <v>25</v>
      </c>
      <c r="F541" s="4" t="s">
        <v>25</v>
      </c>
      <c r="G541" s="4" t="s">
        <v>25</v>
      </c>
      <c r="H541" s="4" t="s">
        <v>25</v>
      </c>
      <c r="I541" s="5">
        <v>44866</v>
      </c>
      <c r="J541" s="6">
        <v>18594</v>
      </c>
      <c r="K541" s="6">
        <v>18594</v>
      </c>
      <c r="L541" s="6">
        <v>0</v>
      </c>
      <c r="M541" s="6">
        <v>0</v>
      </c>
      <c r="N541" s="6">
        <v>0</v>
      </c>
      <c r="O541" s="6">
        <v>0</v>
      </c>
      <c r="P541" s="6">
        <v>165</v>
      </c>
      <c r="Q541" s="4" t="s">
        <v>26</v>
      </c>
      <c r="R541" s="4">
        <v>0</v>
      </c>
      <c r="S541" s="4" t="s">
        <v>246</v>
      </c>
      <c r="U541" s="4">
        <v>27</v>
      </c>
      <c r="V541" s="4">
        <v>0</v>
      </c>
      <c r="W541" s="4">
        <v>0</v>
      </c>
    </row>
    <row r="542" spans="1:23" ht="11.25" customHeight="1" x14ac:dyDescent="0.25">
      <c r="A542" s="4" t="s">
        <v>59</v>
      </c>
      <c r="B542" s="4" t="s">
        <v>41</v>
      </c>
      <c r="C542" s="4" t="s">
        <v>44</v>
      </c>
      <c r="D542" s="4" t="s">
        <v>45</v>
      </c>
      <c r="E542" s="4" t="s">
        <v>25</v>
      </c>
      <c r="F542" s="4" t="s">
        <v>25</v>
      </c>
      <c r="G542" s="4" t="s">
        <v>25</v>
      </c>
      <c r="H542" s="4" t="s">
        <v>25</v>
      </c>
      <c r="I542" s="5">
        <v>44866</v>
      </c>
      <c r="J542" s="6">
        <v>3677</v>
      </c>
      <c r="K542" s="6">
        <v>3677</v>
      </c>
      <c r="L542" s="6">
        <v>0</v>
      </c>
      <c r="M542" s="6">
        <v>0</v>
      </c>
      <c r="N542" s="6">
        <v>0</v>
      </c>
      <c r="O542" s="6">
        <v>0</v>
      </c>
      <c r="P542" s="6">
        <v>40</v>
      </c>
      <c r="Q542" s="4" t="s">
        <v>26</v>
      </c>
      <c r="R542" s="4">
        <v>0</v>
      </c>
      <c r="S542" s="4" t="s">
        <v>246</v>
      </c>
      <c r="U542" s="4">
        <v>27</v>
      </c>
      <c r="V542" s="4">
        <v>0</v>
      </c>
      <c r="W542" s="4">
        <v>0</v>
      </c>
    </row>
    <row r="543" spans="1:23" ht="11.25" customHeight="1" x14ac:dyDescent="0.25">
      <c r="A543" s="4" t="s">
        <v>59</v>
      </c>
      <c r="B543" s="4" t="s">
        <v>41</v>
      </c>
      <c r="C543" s="4" t="s">
        <v>44</v>
      </c>
      <c r="D543" s="4" t="s">
        <v>45</v>
      </c>
      <c r="E543" s="4" t="s">
        <v>25</v>
      </c>
      <c r="F543" s="4" t="s">
        <v>25</v>
      </c>
      <c r="G543" s="4" t="s">
        <v>25</v>
      </c>
      <c r="H543" s="4" t="s">
        <v>25</v>
      </c>
      <c r="I543" s="5">
        <v>44866</v>
      </c>
      <c r="J543" s="6">
        <v>4792</v>
      </c>
      <c r="K543" s="6">
        <v>4792</v>
      </c>
      <c r="L543" s="6">
        <v>0</v>
      </c>
      <c r="M543" s="6">
        <v>0</v>
      </c>
      <c r="N543" s="6">
        <v>0</v>
      </c>
      <c r="O543" s="6">
        <v>0</v>
      </c>
      <c r="P543" s="6">
        <v>26</v>
      </c>
      <c r="Q543" s="4" t="s">
        <v>26</v>
      </c>
      <c r="R543" s="4">
        <v>0</v>
      </c>
      <c r="S543" s="4" t="s">
        <v>246</v>
      </c>
      <c r="U543" s="4">
        <v>27</v>
      </c>
      <c r="V543" s="4">
        <v>0</v>
      </c>
      <c r="W543" s="4">
        <v>0</v>
      </c>
    </row>
    <row r="544" spans="1:23" ht="11.25" customHeight="1" x14ac:dyDescent="0.25">
      <c r="A544" s="4" t="s">
        <v>21</v>
      </c>
      <c r="B544" s="4" t="s">
        <v>41</v>
      </c>
      <c r="C544" s="4" t="s">
        <v>44</v>
      </c>
      <c r="D544" s="4" t="s">
        <v>45</v>
      </c>
      <c r="E544" s="4" t="s">
        <v>25</v>
      </c>
      <c r="F544" s="4" t="s">
        <v>25</v>
      </c>
      <c r="G544" s="4" t="s">
        <v>25</v>
      </c>
      <c r="H544" s="4" t="s">
        <v>36</v>
      </c>
      <c r="I544" s="5">
        <v>44531</v>
      </c>
      <c r="J544" s="6">
        <v>0</v>
      </c>
      <c r="K544" s="6">
        <v>0</v>
      </c>
      <c r="L544" s="6">
        <v>259.68799999999999</v>
      </c>
      <c r="M544" s="6">
        <v>259.68799999999999</v>
      </c>
      <c r="N544" s="6">
        <v>259.68799999999999</v>
      </c>
      <c r="O544" s="6">
        <v>259.68799999999999</v>
      </c>
      <c r="P544" s="6">
        <v>0</v>
      </c>
      <c r="Q544" s="4" t="s">
        <v>26</v>
      </c>
      <c r="R544" s="4">
        <v>0</v>
      </c>
      <c r="S544" s="4" t="s">
        <v>247</v>
      </c>
      <c r="T544" s="4" t="s">
        <v>504</v>
      </c>
      <c r="U544" s="4">
        <v>0</v>
      </c>
      <c r="V544" s="4">
        <v>28</v>
      </c>
      <c r="W544" s="4">
        <v>74</v>
      </c>
    </row>
    <row r="545" spans="1:23" ht="11.25" customHeight="1" x14ac:dyDescent="0.25">
      <c r="A545" s="4" t="s">
        <v>28</v>
      </c>
      <c r="B545" s="4" t="s">
        <v>41</v>
      </c>
      <c r="C545" s="4" t="s">
        <v>44</v>
      </c>
      <c r="D545" s="4" t="s">
        <v>45</v>
      </c>
      <c r="E545" s="4" t="s">
        <v>25</v>
      </c>
      <c r="F545" s="4" t="s">
        <v>25</v>
      </c>
      <c r="G545" s="4" t="s">
        <v>25</v>
      </c>
      <c r="H545" s="4" t="s">
        <v>36</v>
      </c>
      <c r="I545" s="5">
        <v>44531</v>
      </c>
      <c r="J545" s="6">
        <v>0</v>
      </c>
      <c r="K545" s="6">
        <v>0</v>
      </c>
      <c r="L545" s="6">
        <v>61.277999999999999</v>
      </c>
      <c r="M545" s="6">
        <v>61.277999999999999</v>
      </c>
      <c r="N545" s="6">
        <v>61.277999999999999</v>
      </c>
      <c r="O545" s="6">
        <v>61.277999999999999</v>
      </c>
      <c r="P545" s="6">
        <v>0</v>
      </c>
      <c r="Q545" s="4" t="s">
        <v>26</v>
      </c>
      <c r="R545" s="4">
        <v>0</v>
      </c>
      <c r="S545" s="4" t="s">
        <v>247</v>
      </c>
      <c r="T545" s="4" t="s">
        <v>504</v>
      </c>
      <c r="U545" s="4">
        <v>0</v>
      </c>
      <c r="V545" s="4">
        <v>28</v>
      </c>
      <c r="W545" s="4">
        <v>74</v>
      </c>
    </row>
    <row r="546" spans="1:23" ht="11.25" customHeight="1" x14ac:dyDescent="0.25">
      <c r="A546" s="4" t="s">
        <v>30</v>
      </c>
      <c r="B546" s="4" t="s">
        <v>41</v>
      </c>
      <c r="C546" s="4" t="s">
        <v>44</v>
      </c>
      <c r="D546" s="4" t="s">
        <v>45</v>
      </c>
      <c r="E546" s="4" t="s">
        <v>25</v>
      </c>
      <c r="F546" s="4" t="s">
        <v>25</v>
      </c>
      <c r="G546" s="4" t="s">
        <v>25</v>
      </c>
      <c r="H546" s="4" t="s">
        <v>36</v>
      </c>
      <c r="I546" s="5">
        <v>44531</v>
      </c>
      <c r="J546" s="6">
        <v>0</v>
      </c>
      <c r="K546" s="6">
        <v>0</v>
      </c>
      <c r="L546" s="6">
        <v>28.766999999999999</v>
      </c>
      <c r="M546" s="6">
        <v>28.766999999999999</v>
      </c>
      <c r="N546" s="6">
        <v>28.766999999999999</v>
      </c>
      <c r="O546" s="6">
        <v>28.766999999999999</v>
      </c>
      <c r="P546" s="6">
        <v>0</v>
      </c>
      <c r="Q546" s="4" t="s">
        <v>26</v>
      </c>
      <c r="R546" s="4">
        <v>0</v>
      </c>
      <c r="S546" s="4" t="s">
        <v>247</v>
      </c>
      <c r="T546" s="4" t="s">
        <v>504</v>
      </c>
      <c r="U546" s="4">
        <v>0</v>
      </c>
      <c r="V546" s="4">
        <v>28</v>
      </c>
      <c r="W546" s="4">
        <v>74</v>
      </c>
    </row>
    <row r="547" spans="1:23" ht="11.25" customHeight="1" x14ac:dyDescent="0.25">
      <c r="A547" s="4" t="s">
        <v>21</v>
      </c>
      <c r="B547" s="4" t="s">
        <v>41</v>
      </c>
      <c r="C547" s="4" t="s">
        <v>44</v>
      </c>
      <c r="D547" s="4" t="s">
        <v>45</v>
      </c>
      <c r="E547" s="4" t="s">
        <v>25</v>
      </c>
      <c r="F547" s="4" t="s">
        <v>25</v>
      </c>
      <c r="G547" s="4" t="s">
        <v>25</v>
      </c>
      <c r="H547" s="4" t="s">
        <v>36</v>
      </c>
      <c r="I547" s="5">
        <v>44562</v>
      </c>
      <c r="J547" s="6">
        <v>0</v>
      </c>
      <c r="K547" s="6">
        <v>0</v>
      </c>
      <c r="L547" s="6">
        <v>236.88399999999999</v>
      </c>
      <c r="M547" s="6">
        <v>236.88399999999999</v>
      </c>
      <c r="N547" s="6">
        <v>236.88399999999999</v>
      </c>
      <c r="O547" s="6">
        <v>236.88399999999999</v>
      </c>
      <c r="P547" s="6">
        <v>0</v>
      </c>
      <c r="Q547" s="4" t="s">
        <v>26</v>
      </c>
      <c r="R547" s="4">
        <v>0</v>
      </c>
      <c r="S547" s="4" t="s">
        <v>248</v>
      </c>
      <c r="T547" s="4" t="s">
        <v>505</v>
      </c>
      <c r="U547" s="4">
        <v>0</v>
      </c>
      <c r="V547" s="4">
        <v>28</v>
      </c>
      <c r="W547" s="4">
        <v>74</v>
      </c>
    </row>
    <row r="548" spans="1:23" ht="11.25" customHeight="1" x14ac:dyDescent="0.25">
      <c r="A548" s="4" t="s">
        <v>28</v>
      </c>
      <c r="B548" s="4" t="s">
        <v>41</v>
      </c>
      <c r="C548" s="4" t="s">
        <v>44</v>
      </c>
      <c r="D548" s="4" t="s">
        <v>45</v>
      </c>
      <c r="E548" s="4" t="s">
        <v>25</v>
      </c>
      <c r="F548" s="4" t="s">
        <v>25</v>
      </c>
      <c r="G548" s="4" t="s">
        <v>25</v>
      </c>
      <c r="H548" s="4" t="s">
        <v>36</v>
      </c>
      <c r="I548" s="5">
        <v>44562</v>
      </c>
      <c r="J548" s="6">
        <v>0</v>
      </c>
      <c r="K548" s="6">
        <v>0</v>
      </c>
      <c r="L548" s="6">
        <v>56.744999999999997</v>
      </c>
      <c r="M548" s="6">
        <v>56.744999999999997</v>
      </c>
      <c r="N548" s="6">
        <v>56.744999999999997</v>
      </c>
      <c r="O548" s="6">
        <v>56.744999999999997</v>
      </c>
      <c r="P548" s="6">
        <v>0</v>
      </c>
      <c r="Q548" s="4" t="s">
        <v>26</v>
      </c>
      <c r="R548" s="4">
        <v>0</v>
      </c>
      <c r="S548" s="4" t="s">
        <v>248</v>
      </c>
      <c r="T548" s="4" t="s">
        <v>505</v>
      </c>
      <c r="U548" s="4">
        <v>0</v>
      </c>
      <c r="V548" s="4">
        <v>28</v>
      </c>
      <c r="W548" s="4">
        <v>74</v>
      </c>
    </row>
    <row r="549" spans="1:23" ht="11.25" customHeight="1" x14ac:dyDescent="0.25">
      <c r="A549" s="4" t="s">
        <v>29</v>
      </c>
      <c r="B549" s="4" t="s">
        <v>41</v>
      </c>
      <c r="C549" s="4" t="s">
        <v>44</v>
      </c>
      <c r="D549" s="4" t="s">
        <v>45</v>
      </c>
      <c r="E549" s="4" t="s">
        <v>25</v>
      </c>
      <c r="F549" s="4" t="s">
        <v>25</v>
      </c>
      <c r="G549" s="4" t="s">
        <v>25</v>
      </c>
      <c r="H549" s="4" t="s">
        <v>36</v>
      </c>
      <c r="I549" s="5">
        <v>44562</v>
      </c>
      <c r="J549" s="6">
        <v>0</v>
      </c>
      <c r="K549" s="6">
        <v>0</v>
      </c>
      <c r="L549" s="6">
        <v>0.28000000000000003</v>
      </c>
      <c r="M549" s="6">
        <v>0.28000000000000003</v>
      </c>
      <c r="N549" s="6">
        <v>0.28000000000000003</v>
      </c>
      <c r="O549" s="6">
        <v>0.28000000000000003</v>
      </c>
      <c r="P549" s="6">
        <v>0</v>
      </c>
      <c r="Q549" s="4" t="s">
        <v>26</v>
      </c>
      <c r="R549" s="4">
        <v>0</v>
      </c>
      <c r="S549" s="4" t="s">
        <v>248</v>
      </c>
      <c r="T549" s="4" t="s">
        <v>505</v>
      </c>
      <c r="U549" s="4">
        <v>0</v>
      </c>
      <c r="V549" s="4">
        <v>28</v>
      </c>
      <c r="W549" s="4">
        <v>74</v>
      </c>
    </row>
    <row r="550" spans="1:23" ht="11.25" customHeight="1" x14ac:dyDescent="0.25">
      <c r="A550" s="4" t="s">
        <v>30</v>
      </c>
      <c r="B550" s="4" t="s">
        <v>41</v>
      </c>
      <c r="C550" s="4" t="s">
        <v>44</v>
      </c>
      <c r="D550" s="4" t="s">
        <v>45</v>
      </c>
      <c r="E550" s="4" t="s">
        <v>25</v>
      </c>
      <c r="F550" s="4" t="s">
        <v>25</v>
      </c>
      <c r="G550" s="4" t="s">
        <v>25</v>
      </c>
      <c r="H550" s="4" t="s">
        <v>36</v>
      </c>
      <c r="I550" s="5">
        <v>44562</v>
      </c>
      <c r="J550" s="6">
        <v>0</v>
      </c>
      <c r="K550" s="6">
        <v>0</v>
      </c>
      <c r="L550" s="6">
        <v>23.716000000000001</v>
      </c>
      <c r="M550" s="6">
        <v>23.716000000000001</v>
      </c>
      <c r="N550" s="6">
        <v>23.716000000000001</v>
      </c>
      <c r="O550" s="6">
        <v>23.716000000000001</v>
      </c>
      <c r="P550" s="6">
        <v>0</v>
      </c>
      <c r="Q550" s="4" t="s">
        <v>26</v>
      </c>
      <c r="R550" s="4">
        <v>0</v>
      </c>
      <c r="S550" s="4" t="s">
        <v>248</v>
      </c>
      <c r="T550" s="4" t="s">
        <v>505</v>
      </c>
      <c r="U550" s="4">
        <v>0</v>
      </c>
      <c r="V550" s="4">
        <v>28</v>
      </c>
      <c r="W550" s="4">
        <v>74</v>
      </c>
    </row>
    <row r="551" spans="1:23" ht="11.25" customHeight="1" x14ac:dyDescent="0.25">
      <c r="A551" s="4" t="s">
        <v>30</v>
      </c>
      <c r="B551" s="4" t="s">
        <v>41</v>
      </c>
      <c r="C551" s="4" t="s">
        <v>44</v>
      </c>
      <c r="D551" s="4" t="s">
        <v>45</v>
      </c>
      <c r="E551" s="4" t="s">
        <v>25</v>
      </c>
      <c r="F551" s="4" t="s">
        <v>25</v>
      </c>
      <c r="G551" s="4" t="s">
        <v>25</v>
      </c>
      <c r="H551" s="4" t="s">
        <v>36</v>
      </c>
      <c r="I551" s="5">
        <v>44562</v>
      </c>
      <c r="J551" s="6">
        <v>0</v>
      </c>
      <c r="K551" s="6">
        <v>0</v>
      </c>
      <c r="L551" s="6">
        <v>-2.96</v>
      </c>
      <c r="M551" s="6">
        <v>-2.96</v>
      </c>
      <c r="N551" s="6">
        <v>-2.96</v>
      </c>
      <c r="O551" s="6">
        <v>-2.96</v>
      </c>
      <c r="P551" s="6">
        <v>0</v>
      </c>
      <c r="Q551" s="4" t="s">
        <v>26</v>
      </c>
      <c r="R551" s="4">
        <v>0</v>
      </c>
      <c r="S551" s="4" t="s">
        <v>248</v>
      </c>
      <c r="T551" s="4" t="s">
        <v>505</v>
      </c>
      <c r="U551" s="4">
        <v>0</v>
      </c>
      <c r="V551" s="4">
        <v>28</v>
      </c>
      <c r="W551" s="4">
        <v>74</v>
      </c>
    </row>
    <row r="552" spans="1:23" ht="11.25" customHeight="1" x14ac:dyDescent="0.25">
      <c r="A552" s="4" t="s">
        <v>21</v>
      </c>
      <c r="B552" s="4" t="s">
        <v>41</v>
      </c>
      <c r="C552" s="4" t="s">
        <v>44</v>
      </c>
      <c r="D552" s="4" t="s">
        <v>45</v>
      </c>
      <c r="E552" s="4" t="s">
        <v>25</v>
      </c>
      <c r="F552" s="4" t="s">
        <v>25</v>
      </c>
      <c r="G552" s="4" t="s">
        <v>25</v>
      </c>
      <c r="H552" s="4" t="s">
        <v>36</v>
      </c>
      <c r="I552" s="5">
        <v>44593</v>
      </c>
      <c r="J552" s="6">
        <v>0</v>
      </c>
      <c r="K552" s="6">
        <v>0</v>
      </c>
      <c r="L552" s="6">
        <v>233.02099999999999</v>
      </c>
      <c r="M552" s="6">
        <v>233.02099999999999</v>
      </c>
      <c r="N552" s="6">
        <v>233.02099999999999</v>
      </c>
      <c r="O552" s="6">
        <v>233.02099999999999</v>
      </c>
      <c r="P552" s="6">
        <v>0</v>
      </c>
      <c r="Q552" s="4" t="s">
        <v>26</v>
      </c>
      <c r="R552" s="4">
        <v>0</v>
      </c>
      <c r="S552" s="4" t="s">
        <v>249</v>
      </c>
      <c r="T552" s="4" t="s">
        <v>506</v>
      </c>
      <c r="U552" s="4">
        <v>0</v>
      </c>
      <c r="V552" s="4">
        <v>28</v>
      </c>
      <c r="W552" s="4">
        <v>74</v>
      </c>
    </row>
    <row r="553" spans="1:23" ht="11.25" customHeight="1" x14ac:dyDescent="0.25">
      <c r="A553" s="4" t="s">
        <v>27</v>
      </c>
      <c r="B553" s="4" t="s">
        <v>41</v>
      </c>
      <c r="C553" s="4" t="s">
        <v>44</v>
      </c>
      <c r="D553" s="4" t="s">
        <v>45</v>
      </c>
      <c r="E553" s="4" t="s">
        <v>25</v>
      </c>
      <c r="F553" s="4" t="s">
        <v>25</v>
      </c>
      <c r="G553" s="4" t="s">
        <v>25</v>
      </c>
      <c r="H553" s="4" t="s">
        <v>36</v>
      </c>
      <c r="I553" s="5">
        <v>44593</v>
      </c>
      <c r="J553" s="6">
        <v>0</v>
      </c>
      <c r="K553" s="6">
        <v>0</v>
      </c>
      <c r="L553" s="6">
        <v>-6.1280000000000001</v>
      </c>
      <c r="M553" s="6">
        <v>-6.1280000000000001</v>
      </c>
      <c r="N553" s="6">
        <v>-6.1280000000000001</v>
      </c>
      <c r="O553" s="6">
        <v>-6.1280000000000001</v>
      </c>
      <c r="P553" s="6">
        <v>0</v>
      </c>
      <c r="Q553" s="4" t="s">
        <v>26</v>
      </c>
      <c r="R553" s="4">
        <v>0</v>
      </c>
      <c r="S553" s="4" t="s">
        <v>249</v>
      </c>
      <c r="T553" s="4" t="s">
        <v>506</v>
      </c>
      <c r="U553" s="4">
        <v>0</v>
      </c>
      <c r="V553" s="4">
        <v>28</v>
      </c>
      <c r="W553" s="4">
        <v>74</v>
      </c>
    </row>
    <row r="554" spans="1:23" ht="11.25" customHeight="1" x14ac:dyDescent="0.25">
      <c r="A554" s="4" t="s">
        <v>28</v>
      </c>
      <c r="B554" s="4" t="s">
        <v>41</v>
      </c>
      <c r="C554" s="4" t="s">
        <v>44</v>
      </c>
      <c r="D554" s="4" t="s">
        <v>45</v>
      </c>
      <c r="E554" s="4" t="s">
        <v>25</v>
      </c>
      <c r="F554" s="4" t="s">
        <v>25</v>
      </c>
      <c r="G554" s="4" t="s">
        <v>25</v>
      </c>
      <c r="H554" s="4" t="s">
        <v>36</v>
      </c>
      <c r="I554" s="5">
        <v>44593</v>
      </c>
      <c r="J554" s="6">
        <v>0</v>
      </c>
      <c r="K554" s="6">
        <v>0</v>
      </c>
      <c r="L554" s="6">
        <v>52.207999999999998</v>
      </c>
      <c r="M554" s="6">
        <v>52.207999999999998</v>
      </c>
      <c r="N554" s="6">
        <v>52.207999999999998</v>
      </c>
      <c r="O554" s="6">
        <v>52.207999999999998</v>
      </c>
      <c r="P554" s="6">
        <v>0</v>
      </c>
      <c r="Q554" s="4" t="s">
        <v>26</v>
      </c>
      <c r="R554" s="4">
        <v>0</v>
      </c>
      <c r="S554" s="4" t="s">
        <v>249</v>
      </c>
      <c r="T554" s="4" t="s">
        <v>506</v>
      </c>
      <c r="U554" s="4">
        <v>0</v>
      </c>
      <c r="V554" s="4">
        <v>28</v>
      </c>
      <c r="W554" s="4">
        <v>74</v>
      </c>
    </row>
    <row r="555" spans="1:23" ht="11.25" customHeight="1" x14ac:dyDescent="0.25">
      <c r="A555" s="4" t="s">
        <v>30</v>
      </c>
      <c r="B555" s="4" t="s">
        <v>41</v>
      </c>
      <c r="C555" s="4" t="s">
        <v>44</v>
      </c>
      <c r="D555" s="4" t="s">
        <v>45</v>
      </c>
      <c r="E555" s="4" t="s">
        <v>25</v>
      </c>
      <c r="F555" s="4" t="s">
        <v>25</v>
      </c>
      <c r="G555" s="4" t="s">
        <v>25</v>
      </c>
      <c r="H555" s="4" t="s">
        <v>36</v>
      </c>
      <c r="I555" s="5">
        <v>44593</v>
      </c>
      <c r="J555" s="6">
        <v>0</v>
      </c>
      <c r="K555" s="6">
        <v>0</v>
      </c>
      <c r="L555" s="6">
        <v>18.311</v>
      </c>
      <c r="M555" s="6">
        <v>18.311</v>
      </c>
      <c r="N555" s="6">
        <v>18.311</v>
      </c>
      <c r="O555" s="6">
        <v>18.311</v>
      </c>
      <c r="P555" s="6">
        <v>0</v>
      </c>
      <c r="Q555" s="4" t="s">
        <v>26</v>
      </c>
      <c r="R555" s="4">
        <v>0</v>
      </c>
      <c r="S555" s="4" t="s">
        <v>249</v>
      </c>
      <c r="T555" s="4" t="s">
        <v>506</v>
      </c>
      <c r="U555" s="4">
        <v>0</v>
      </c>
      <c r="V555" s="4">
        <v>28</v>
      </c>
      <c r="W555" s="4">
        <v>74</v>
      </c>
    </row>
    <row r="556" spans="1:23" ht="11.25" customHeight="1" x14ac:dyDescent="0.25">
      <c r="A556" s="4" t="s">
        <v>21</v>
      </c>
      <c r="B556" s="4" t="s">
        <v>41</v>
      </c>
      <c r="C556" s="4" t="s">
        <v>44</v>
      </c>
      <c r="D556" s="4" t="s">
        <v>45</v>
      </c>
      <c r="E556" s="4" t="s">
        <v>25</v>
      </c>
      <c r="F556" s="4" t="s">
        <v>25</v>
      </c>
      <c r="G556" s="4" t="s">
        <v>25</v>
      </c>
      <c r="H556" s="4" t="s">
        <v>36</v>
      </c>
      <c r="I556" s="5">
        <v>44621</v>
      </c>
      <c r="J556" s="6">
        <v>0</v>
      </c>
      <c r="K556" s="6">
        <v>0</v>
      </c>
      <c r="L556" s="6">
        <v>265.85700000000003</v>
      </c>
      <c r="M556" s="6">
        <v>265.85700000000003</v>
      </c>
      <c r="N556" s="6">
        <v>265.85700000000003</v>
      </c>
      <c r="O556" s="6">
        <v>265.85700000000003</v>
      </c>
      <c r="P556" s="6">
        <v>0</v>
      </c>
      <c r="Q556" s="4" t="s">
        <v>26</v>
      </c>
      <c r="R556" s="4">
        <v>0</v>
      </c>
      <c r="S556" s="4" t="s">
        <v>250</v>
      </c>
      <c r="T556" s="4" t="s">
        <v>507</v>
      </c>
      <c r="U556" s="4">
        <v>0</v>
      </c>
      <c r="V556" s="4">
        <v>28</v>
      </c>
      <c r="W556" s="4">
        <v>74</v>
      </c>
    </row>
    <row r="557" spans="1:23" ht="11.25" customHeight="1" x14ac:dyDescent="0.25">
      <c r="A557" s="4" t="s">
        <v>28</v>
      </c>
      <c r="B557" s="4" t="s">
        <v>41</v>
      </c>
      <c r="C557" s="4" t="s">
        <v>44</v>
      </c>
      <c r="D557" s="4" t="s">
        <v>45</v>
      </c>
      <c r="E557" s="4" t="s">
        <v>25</v>
      </c>
      <c r="F557" s="4" t="s">
        <v>25</v>
      </c>
      <c r="G557" s="4" t="s">
        <v>25</v>
      </c>
      <c r="H557" s="4" t="s">
        <v>36</v>
      </c>
      <c r="I557" s="5">
        <v>44621</v>
      </c>
      <c r="J557" s="6">
        <v>0</v>
      </c>
      <c r="K557" s="6">
        <v>0</v>
      </c>
      <c r="L557" s="6">
        <v>52.104999999999997</v>
      </c>
      <c r="M557" s="6">
        <v>52.104999999999997</v>
      </c>
      <c r="N557" s="6">
        <v>52.104999999999997</v>
      </c>
      <c r="O557" s="6">
        <v>52.104999999999997</v>
      </c>
      <c r="P557" s="6">
        <v>0</v>
      </c>
      <c r="Q557" s="4" t="s">
        <v>26</v>
      </c>
      <c r="R557" s="4">
        <v>0</v>
      </c>
      <c r="S557" s="4" t="s">
        <v>250</v>
      </c>
      <c r="T557" s="4" t="s">
        <v>507</v>
      </c>
      <c r="U557" s="4">
        <v>0</v>
      </c>
      <c r="V557" s="4">
        <v>28</v>
      </c>
      <c r="W557" s="4">
        <v>74</v>
      </c>
    </row>
    <row r="558" spans="1:23" ht="11.25" customHeight="1" x14ac:dyDescent="0.25">
      <c r="A558" s="4" t="s">
        <v>30</v>
      </c>
      <c r="B558" s="4" t="s">
        <v>41</v>
      </c>
      <c r="C558" s="4" t="s">
        <v>44</v>
      </c>
      <c r="D558" s="4" t="s">
        <v>45</v>
      </c>
      <c r="E558" s="4" t="s">
        <v>25</v>
      </c>
      <c r="F558" s="4" t="s">
        <v>25</v>
      </c>
      <c r="G558" s="4" t="s">
        <v>25</v>
      </c>
      <c r="H558" s="4" t="s">
        <v>36</v>
      </c>
      <c r="I558" s="5">
        <v>44621</v>
      </c>
      <c r="J558" s="6">
        <v>0</v>
      </c>
      <c r="K558" s="6">
        <v>0</v>
      </c>
      <c r="L558" s="6">
        <v>32.061</v>
      </c>
      <c r="M558" s="6">
        <v>32.061</v>
      </c>
      <c r="N558" s="6">
        <v>32.061</v>
      </c>
      <c r="O558" s="6">
        <v>32.061</v>
      </c>
      <c r="P558" s="6">
        <v>0</v>
      </c>
      <c r="Q558" s="4" t="s">
        <v>26</v>
      </c>
      <c r="R558" s="4">
        <v>0</v>
      </c>
      <c r="S558" s="4" t="s">
        <v>250</v>
      </c>
      <c r="T558" s="4" t="s">
        <v>507</v>
      </c>
      <c r="U558" s="4">
        <v>0</v>
      </c>
      <c r="V558" s="4">
        <v>28</v>
      </c>
      <c r="W558" s="4">
        <v>74</v>
      </c>
    </row>
    <row r="559" spans="1:23" ht="11.25" customHeight="1" x14ac:dyDescent="0.25">
      <c r="A559" s="4" t="s">
        <v>21</v>
      </c>
      <c r="B559" s="4" t="s">
        <v>41</v>
      </c>
      <c r="C559" s="4" t="s">
        <v>44</v>
      </c>
      <c r="D559" s="4" t="s">
        <v>45</v>
      </c>
      <c r="E559" s="4" t="s">
        <v>25</v>
      </c>
      <c r="F559" s="4" t="s">
        <v>25</v>
      </c>
      <c r="G559" s="4" t="s">
        <v>25</v>
      </c>
      <c r="H559" s="4" t="s">
        <v>36</v>
      </c>
      <c r="I559" s="5">
        <v>44652</v>
      </c>
      <c r="J559" s="6">
        <v>0</v>
      </c>
      <c r="K559" s="6">
        <v>0</v>
      </c>
      <c r="L559" s="6">
        <v>259.41300000000001</v>
      </c>
      <c r="M559" s="6">
        <v>259.41300000000001</v>
      </c>
      <c r="N559" s="6">
        <v>259.41300000000001</v>
      </c>
      <c r="O559" s="6">
        <v>259.41300000000001</v>
      </c>
      <c r="P559" s="6">
        <v>0</v>
      </c>
      <c r="Q559" s="4" t="s">
        <v>26</v>
      </c>
      <c r="R559" s="4">
        <v>0</v>
      </c>
      <c r="S559" s="4" t="s">
        <v>251</v>
      </c>
      <c r="T559" s="4" t="s">
        <v>508</v>
      </c>
      <c r="U559" s="4">
        <v>0</v>
      </c>
      <c r="V559" s="4">
        <v>28</v>
      </c>
      <c r="W559" s="4">
        <v>74</v>
      </c>
    </row>
    <row r="560" spans="1:23" ht="11.25" customHeight="1" x14ac:dyDescent="0.25">
      <c r="A560" s="4" t="s">
        <v>28</v>
      </c>
      <c r="B560" s="4" t="s">
        <v>41</v>
      </c>
      <c r="C560" s="4" t="s">
        <v>44</v>
      </c>
      <c r="D560" s="4" t="s">
        <v>45</v>
      </c>
      <c r="E560" s="4" t="s">
        <v>25</v>
      </c>
      <c r="F560" s="4" t="s">
        <v>25</v>
      </c>
      <c r="G560" s="4" t="s">
        <v>25</v>
      </c>
      <c r="H560" s="4" t="s">
        <v>36</v>
      </c>
      <c r="I560" s="5">
        <v>44652</v>
      </c>
      <c r="J560" s="6">
        <v>0</v>
      </c>
      <c r="K560" s="6">
        <v>0</v>
      </c>
      <c r="L560" s="6">
        <v>54.31</v>
      </c>
      <c r="M560" s="6">
        <v>54.31</v>
      </c>
      <c r="N560" s="6">
        <v>54.31</v>
      </c>
      <c r="O560" s="6">
        <v>54.31</v>
      </c>
      <c r="P560" s="6">
        <v>0</v>
      </c>
      <c r="Q560" s="4" t="s">
        <v>26</v>
      </c>
      <c r="R560" s="4">
        <v>0</v>
      </c>
      <c r="S560" s="4" t="s">
        <v>251</v>
      </c>
      <c r="T560" s="4" t="s">
        <v>508</v>
      </c>
      <c r="U560" s="4">
        <v>0</v>
      </c>
      <c r="V560" s="4">
        <v>28</v>
      </c>
      <c r="W560" s="4">
        <v>74</v>
      </c>
    </row>
    <row r="561" spans="1:23" ht="11.25" customHeight="1" x14ac:dyDescent="0.25">
      <c r="A561" s="4" t="s">
        <v>30</v>
      </c>
      <c r="B561" s="4" t="s">
        <v>41</v>
      </c>
      <c r="C561" s="4" t="s">
        <v>44</v>
      </c>
      <c r="D561" s="4" t="s">
        <v>45</v>
      </c>
      <c r="E561" s="4" t="s">
        <v>25</v>
      </c>
      <c r="F561" s="4" t="s">
        <v>25</v>
      </c>
      <c r="G561" s="4" t="s">
        <v>25</v>
      </c>
      <c r="H561" s="4" t="s">
        <v>36</v>
      </c>
      <c r="I561" s="5">
        <v>44652</v>
      </c>
      <c r="J561" s="6">
        <v>0</v>
      </c>
      <c r="K561" s="6">
        <v>0</v>
      </c>
      <c r="L561" s="6">
        <v>34.238</v>
      </c>
      <c r="M561" s="6">
        <v>34.238</v>
      </c>
      <c r="N561" s="6">
        <v>34.238</v>
      </c>
      <c r="O561" s="6">
        <v>34.238</v>
      </c>
      <c r="P561" s="6">
        <v>0</v>
      </c>
      <c r="Q561" s="4" t="s">
        <v>26</v>
      </c>
      <c r="R561" s="4">
        <v>0</v>
      </c>
      <c r="S561" s="4" t="s">
        <v>251</v>
      </c>
      <c r="T561" s="4" t="s">
        <v>508</v>
      </c>
      <c r="U561" s="4">
        <v>0</v>
      </c>
      <c r="V561" s="4">
        <v>28</v>
      </c>
      <c r="W561" s="4">
        <v>74</v>
      </c>
    </row>
    <row r="562" spans="1:23" ht="11.25" customHeight="1" x14ac:dyDescent="0.25">
      <c r="A562" s="4" t="s">
        <v>21</v>
      </c>
      <c r="B562" s="4" t="s">
        <v>41</v>
      </c>
      <c r="C562" s="4" t="s">
        <v>44</v>
      </c>
      <c r="D562" s="4" t="s">
        <v>45</v>
      </c>
      <c r="E562" s="4" t="s">
        <v>25</v>
      </c>
      <c r="F562" s="4" t="s">
        <v>25</v>
      </c>
      <c r="G562" s="4" t="s">
        <v>25</v>
      </c>
      <c r="H562" s="4" t="s">
        <v>36</v>
      </c>
      <c r="I562" s="5">
        <v>44682</v>
      </c>
      <c r="J562" s="6">
        <v>0</v>
      </c>
      <c r="K562" s="6">
        <v>0</v>
      </c>
      <c r="L562" s="6">
        <v>271.209</v>
      </c>
      <c r="M562" s="6">
        <v>271.209</v>
      </c>
      <c r="N562" s="6">
        <v>271.209</v>
      </c>
      <c r="O562" s="6">
        <v>271.209</v>
      </c>
      <c r="P562" s="6">
        <v>0</v>
      </c>
      <c r="Q562" s="4" t="s">
        <v>26</v>
      </c>
      <c r="R562" s="4">
        <v>0</v>
      </c>
      <c r="S562" s="4" t="s">
        <v>252</v>
      </c>
      <c r="T562" s="4" t="s">
        <v>509</v>
      </c>
      <c r="U562" s="4">
        <v>0</v>
      </c>
      <c r="V562" s="4">
        <v>28</v>
      </c>
      <c r="W562" s="4">
        <v>74</v>
      </c>
    </row>
    <row r="563" spans="1:23" ht="11.25" customHeight="1" x14ac:dyDescent="0.25">
      <c r="A563" s="4" t="s">
        <v>28</v>
      </c>
      <c r="B563" s="4" t="s">
        <v>41</v>
      </c>
      <c r="C563" s="4" t="s">
        <v>44</v>
      </c>
      <c r="D563" s="4" t="s">
        <v>45</v>
      </c>
      <c r="E563" s="4" t="s">
        <v>25</v>
      </c>
      <c r="F563" s="4" t="s">
        <v>25</v>
      </c>
      <c r="G563" s="4" t="s">
        <v>25</v>
      </c>
      <c r="H563" s="4" t="s">
        <v>36</v>
      </c>
      <c r="I563" s="5">
        <v>44682</v>
      </c>
      <c r="J563" s="6">
        <v>0</v>
      </c>
      <c r="K563" s="6">
        <v>0</v>
      </c>
      <c r="L563" s="6">
        <v>53.814</v>
      </c>
      <c r="M563" s="6">
        <v>53.814</v>
      </c>
      <c r="N563" s="6">
        <v>53.814</v>
      </c>
      <c r="O563" s="6">
        <v>53.814</v>
      </c>
      <c r="P563" s="6">
        <v>0</v>
      </c>
      <c r="Q563" s="4" t="s">
        <v>26</v>
      </c>
      <c r="R563" s="4">
        <v>0</v>
      </c>
      <c r="S563" s="4" t="s">
        <v>252</v>
      </c>
      <c r="T563" s="4" t="s">
        <v>509</v>
      </c>
      <c r="U563" s="4">
        <v>0</v>
      </c>
      <c r="V563" s="4">
        <v>28</v>
      </c>
      <c r="W563" s="4">
        <v>74</v>
      </c>
    </row>
    <row r="564" spans="1:23" ht="11.25" customHeight="1" x14ac:dyDescent="0.25">
      <c r="A564" s="4" t="s">
        <v>30</v>
      </c>
      <c r="B564" s="4" t="s">
        <v>41</v>
      </c>
      <c r="C564" s="4" t="s">
        <v>44</v>
      </c>
      <c r="D564" s="4" t="s">
        <v>45</v>
      </c>
      <c r="E564" s="4" t="s">
        <v>25</v>
      </c>
      <c r="F564" s="4" t="s">
        <v>25</v>
      </c>
      <c r="G564" s="4" t="s">
        <v>25</v>
      </c>
      <c r="H564" s="4" t="s">
        <v>36</v>
      </c>
      <c r="I564" s="5">
        <v>44682</v>
      </c>
      <c r="J564" s="6">
        <v>0</v>
      </c>
      <c r="K564" s="6">
        <v>0</v>
      </c>
      <c r="L564" s="6">
        <v>35.53</v>
      </c>
      <c r="M564" s="6">
        <v>35.53</v>
      </c>
      <c r="N564" s="6">
        <v>35.53</v>
      </c>
      <c r="O564" s="6">
        <v>35.53</v>
      </c>
      <c r="P564" s="6">
        <v>0</v>
      </c>
      <c r="Q564" s="4" t="s">
        <v>26</v>
      </c>
      <c r="R564" s="4">
        <v>0</v>
      </c>
      <c r="S564" s="4" t="s">
        <v>252</v>
      </c>
      <c r="T564" s="4" t="s">
        <v>509</v>
      </c>
      <c r="U564" s="4">
        <v>0</v>
      </c>
      <c r="V564" s="4">
        <v>28</v>
      </c>
      <c r="W564" s="4">
        <v>74</v>
      </c>
    </row>
    <row r="565" spans="1:23" ht="11.25" customHeight="1" x14ac:dyDescent="0.25">
      <c r="A565" s="4" t="s">
        <v>21</v>
      </c>
      <c r="B565" s="4" t="s">
        <v>41</v>
      </c>
      <c r="C565" s="4" t="s">
        <v>44</v>
      </c>
      <c r="D565" s="4" t="s">
        <v>45</v>
      </c>
      <c r="E565" s="4" t="s">
        <v>25</v>
      </c>
      <c r="F565" s="4" t="s">
        <v>25</v>
      </c>
      <c r="G565" s="4" t="s">
        <v>25</v>
      </c>
      <c r="H565" s="4" t="s">
        <v>36</v>
      </c>
      <c r="I565" s="5">
        <v>44713</v>
      </c>
      <c r="J565" s="6">
        <v>0</v>
      </c>
      <c r="K565" s="6">
        <v>0</v>
      </c>
      <c r="L565" s="6">
        <v>257.512</v>
      </c>
      <c r="M565" s="6">
        <v>257.512</v>
      </c>
      <c r="N565" s="6">
        <v>257.512</v>
      </c>
      <c r="O565" s="6">
        <v>257.512</v>
      </c>
      <c r="P565" s="6">
        <v>0</v>
      </c>
      <c r="Q565" s="4" t="s">
        <v>26</v>
      </c>
      <c r="R565" s="4">
        <v>0</v>
      </c>
      <c r="S565" s="4" t="s">
        <v>253</v>
      </c>
      <c r="T565" s="4" t="s">
        <v>510</v>
      </c>
      <c r="U565" s="4">
        <v>0</v>
      </c>
      <c r="V565" s="4">
        <v>28</v>
      </c>
      <c r="W565" s="4">
        <v>74</v>
      </c>
    </row>
    <row r="566" spans="1:23" ht="11.25" customHeight="1" x14ac:dyDescent="0.25">
      <c r="A566" s="4" t="s">
        <v>27</v>
      </c>
      <c r="B566" s="4" t="s">
        <v>41</v>
      </c>
      <c r="C566" s="4" t="s">
        <v>44</v>
      </c>
      <c r="D566" s="4" t="s">
        <v>45</v>
      </c>
      <c r="E566" s="4" t="s">
        <v>25</v>
      </c>
      <c r="F566" s="4" t="s">
        <v>25</v>
      </c>
      <c r="G566" s="4" t="s">
        <v>25</v>
      </c>
      <c r="H566" s="4" t="s">
        <v>36</v>
      </c>
      <c r="I566" s="5">
        <v>44713</v>
      </c>
      <c r="J566" s="6">
        <v>0</v>
      </c>
      <c r="K566" s="6">
        <v>0</v>
      </c>
      <c r="L566" s="6">
        <v>0.34100000000000003</v>
      </c>
      <c r="M566" s="6">
        <v>0.34100000000000003</v>
      </c>
      <c r="N566" s="6">
        <v>0.34100000000000003</v>
      </c>
      <c r="O566" s="6">
        <v>0.34100000000000003</v>
      </c>
      <c r="P566" s="6">
        <v>0</v>
      </c>
      <c r="Q566" s="4" t="s">
        <v>26</v>
      </c>
      <c r="R566" s="4">
        <v>0</v>
      </c>
      <c r="S566" s="4" t="s">
        <v>253</v>
      </c>
      <c r="T566" s="4" t="s">
        <v>510</v>
      </c>
      <c r="U566" s="4">
        <v>0</v>
      </c>
      <c r="V566" s="4">
        <v>28</v>
      </c>
      <c r="W566" s="4">
        <v>74</v>
      </c>
    </row>
    <row r="567" spans="1:23" ht="11.25" customHeight="1" x14ac:dyDescent="0.25">
      <c r="A567" s="4" t="s">
        <v>28</v>
      </c>
      <c r="B567" s="4" t="s">
        <v>41</v>
      </c>
      <c r="C567" s="4" t="s">
        <v>44</v>
      </c>
      <c r="D567" s="4" t="s">
        <v>45</v>
      </c>
      <c r="E567" s="4" t="s">
        <v>25</v>
      </c>
      <c r="F567" s="4" t="s">
        <v>25</v>
      </c>
      <c r="G567" s="4" t="s">
        <v>25</v>
      </c>
      <c r="H567" s="4" t="s">
        <v>36</v>
      </c>
      <c r="I567" s="5">
        <v>44713</v>
      </c>
      <c r="J567" s="6">
        <v>0</v>
      </c>
      <c r="K567" s="6">
        <v>0</v>
      </c>
      <c r="L567" s="6">
        <v>53.74</v>
      </c>
      <c r="M567" s="6">
        <v>53.74</v>
      </c>
      <c r="N567" s="6">
        <v>53.74</v>
      </c>
      <c r="O567" s="6">
        <v>53.74</v>
      </c>
      <c r="P567" s="6">
        <v>0</v>
      </c>
      <c r="Q567" s="4" t="s">
        <v>26</v>
      </c>
      <c r="R567" s="4">
        <v>0</v>
      </c>
      <c r="S567" s="4" t="s">
        <v>253</v>
      </c>
      <c r="T567" s="4" t="s">
        <v>510</v>
      </c>
      <c r="U567" s="4">
        <v>0</v>
      </c>
      <c r="V567" s="4">
        <v>28</v>
      </c>
      <c r="W567" s="4">
        <v>74</v>
      </c>
    </row>
    <row r="568" spans="1:23" ht="11.25" customHeight="1" x14ac:dyDescent="0.25">
      <c r="A568" s="4" t="s">
        <v>30</v>
      </c>
      <c r="B568" s="4" t="s">
        <v>41</v>
      </c>
      <c r="C568" s="4" t="s">
        <v>44</v>
      </c>
      <c r="D568" s="4" t="s">
        <v>45</v>
      </c>
      <c r="E568" s="4" t="s">
        <v>25</v>
      </c>
      <c r="F568" s="4" t="s">
        <v>25</v>
      </c>
      <c r="G568" s="4" t="s">
        <v>25</v>
      </c>
      <c r="H568" s="4" t="s">
        <v>36</v>
      </c>
      <c r="I568" s="5">
        <v>44713</v>
      </c>
      <c r="J568" s="6">
        <v>0</v>
      </c>
      <c r="K568" s="6">
        <v>0</v>
      </c>
      <c r="L568" s="6">
        <v>40.865000000000002</v>
      </c>
      <c r="M568" s="6">
        <v>40.865000000000002</v>
      </c>
      <c r="N568" s="6">
        <v>40.865000000000002</v>
      </c>
      <c r="O568" s="6">
        <v>40.865000000000002</v>
      </c>
      <c r="P568" s="6">
        <v>0</v>
      </c>
      <c r="Q568" s="4" t="s">
        <v>26</v>
      </c>
      <c r="R568" s="4">
        <v>0</v>
      </c>
      <c r="S568" s="4" t="s">
        <v>253</v>
      </c>
      <c r="T568" s="4" t="s">
        <v>510</v>
      </c>
      <c r="U568" s="4">
        <v>0</v>
      </c>
      <c r="V568" s="4">
        <v>28</v>
      </c>
      <c r="W568" s="4">
        <v>74</v>
      </c>
    </row>
    <row r="569" spans="1:23" ht="11.25" customHeight="1" x14ac:dyDescent="0.25">
      <c r="A569" s="4" t="s">
        <v>30</v>
      </c>
      <c r="B569" s="4" t="s">
        <v>41</v>
      </c>
      <c r="C569" s="4" t="s">
        <v>44</v>
      </c>
      <c r="D569" s="4" t="s">
        <v>45</v>
      </c>
      <c r="E569" s="4" t="s">
        <v>25</v>
      </c>
      <c r="F569" s="4" t="s">
        <v>25</v>
      </c>
      <c r="G569" s="4" t="s">
        <v>25</v>
      </c>
      <c r="H569" s="4" t="s">
        <v>36</v>
      </c>
      <c r="I569" s="5">
        <v>44713</v>
      </c>
      <c r="J569" s="6">
        <v>0</v>
      </c>
      <c r="K569" s="6">
        <v>0</v>
      </c>
      <c r="L569" s="6">
        <v>-1.649</v>
      </c>
      <c r="M569" s="6">
        <v>-1.649</v>
      </c>
      <c r="N569" s="6">
        <v>-1.649</v>
      </c>
      <c r="O569" s="6">
        <v>-1.649</v>
      </c>
      <c r="P569" s="6">
        <v>0</v>
      </c>
      <c r="Q569" s="4" t="s">
        <v>26</v>
      </c>
      <c r="R569" s="4">
        <v>0</v>
      </c>
      <c r="S569" s="4" t="s">
        <v>253</v>
      </c>
      <c r="T569" s="4" t="s">
        <v>510</v>
      </c>
      <c r="U569" s="4">
        <v>0</v>
      </c>
      <c r="V569" s="4">
        <v>28</v>
      </c>
      <c r="W569" s="4">
        <v>74</v>
      </c>
    </row>
    <row r="570" spans="1:23" ht="11.25" customHeight="1" x14ac:dyDescent="0.25">
      <c r="A570" s="4" t="s">
        <v>21</v>
      </c>
      <c r="B570" s="4" t="s">
        <v>41</v>
      </c>
      <c r="C570" s="4" t="s">
        <v>44</v>
      </c>
      <c r="D570" s="4" t="s">
        <v>45</v>
      </c>
      <c r="E570" s="4" t="s">
        <v>25</v>
      </c>
      <c r="F570" s="4" t="s">
        <v>25</v>
      </c>
      <c r="G570" s="4" t="s">
        <v>25</v>
      </c>
      <c r="H570" s="4" t="s">
        <v>36</v>
      </c>
      <c r="I570" s="5">
        <v>44743</v>
      </c>
      <c r="J570" s="6">
        <v>0</v>
      </c>
      <c r="K570" s="6">
        <v>0</v>
      </c>
      <c r="L570" s="6">
        <v>248.85400000000001</v>
      </c>
      <c r="M570" s="6">
        <v>248.85400000000001</v>
      </c>
      <c r="N570" s="6">
        <v>248.85400000000001</v>
      </c>
      <c r="O570" s="6">
        <v>248.85400000000001</v>
      </c>
      <c r="P570" s="6">
        <v>0</v>
      </c>
      <c r="Q570" s="4" t="s">
        <v>26</v>
      </c>
      <c r="R570" s="4">
        <v>0</v>
      </c>
      <c r="S570" s="4" t="s">
        <v>254</v>
      </c>
      <c r="T570" s="4" t="s">
        <v>511</v>
      </c>
      <c r="U570" s="4">
        <v>0</v>
      </c>
      <c r="V570" s="4">
        <v>28</v>
      </c>
      <c r="W570" s="4">
        <v>74</v>
      </c>
    </row>
    <row r="571" spans="1:23" ht="11.25" customHeight="1" x14ac:dyDescent="0.25">
      <c r="A571" s="4" t="s">
        <v>28</v>
      </c>
      <c r="B571" s="4" t="s">
        <v>41</v>
      </c>
      <c r="C571" s="4" t="s">
        <v>44</v>
      </c>
      <c r="D571" s="4" t="s">
        <v>45</v>
      </c>
      <c r="E571" s="4" t="s">
        <v>25</v>
      </c>
      <c r="F571" s="4" t="s">
        <v>25</v>
      </c>
      <c r="G571" s="4" t="s">
        <v>25</v>
      </c>
      <c r="H571" s="4" t="s">
        <v>36</v>
      </c>
      <c r="I571" s="5">
        <v>44743</v>
      </c>
      <c r="J571" s="6">
        <v>0</v>
      </c>
      <c r="K571" s="6">
        <v>0</v>
      </c>
      <c r="L571" s="6">
        <v>57.252000000000002</v>
      </c>
      <c r="M571" s="6">
        <v>57.252000000000002</v>
      </c>
      <c r="N571" s="6">
        <v>57.252000000000002</v>
      </c>
      <c r="O571" s="6">
        <v>57.252000000000002</v>
      </c>
      <c r="P571" s="6">
        <v>0</v>
      </c>
      <c r="Q571" s="4" t="s">
        <v>26</v>
      </c>
      <c r="R571" s="4">
        <v>0</v>
      </c>
      <c r="S571" s="4" t="s">
        <v>254</v>
      </c>
      <c r="T571" s="4" t="s">
        <v>511</v>
      </c>
      <c r="U571" s="4">
        <v>0</v>
      </c>
      <c r="V571" s="4">
        <v>28</v>
      </c>
      <c r="W571" s="4">
        <v>74</v>
      </c>
    </row>
    <row r="572" spans="1:23" ht="11.25" customHeight="1" x14ac:dyDescent="0.25">
      <c r="A572" s="4" t="s">
        <v>30</v>
      </c>
      <c r="B572" s="4" t="s">
        <v>41</v>
      </c>
      <c r="C572" s="4" t="s">
        <v>44</v>
      </c>
      <c r="D572" s="4" t="s">
        <v>45</v>
      </c>
      <c r="E572" s="4" t="s">
        <v>25</v>
      </c>
      <c r="F572" s="4" t="s">
        <v>25</v>
      </c>
      <c r="G572" s="4" t="s">
        <v>25</v>
      </c>
      <c r="H572" s="4" t="s">
        <v>36</v>
      </c>
      <c r="I572" s="5">
        <v>44743</v>
      </c>
      <c r="J572" s="6">
        <v>0</v>
      </c>
      <c r="K572" s="6">
        <v>0</v>
      </c>
      <c r="L572" s="6">
        <v>41.747</v>
      </c>
      <c r="M572" s="6">
        <v>41.747</v>
      </c>
      <c r="N572" s="6">
        <v>41.747</v>
      </c>
      <c r="O572" s="6">
        <v>41.747</v>
      </c>
      <c r="P572" s="6">
        <v>0</v>
      </c>
      <c r="Q572" s="4" t="s">
        <v>26</v>
      </c>
      <c r="R572" s="4">
        <v>0</v>
      </c>
      <c r="S572" s="4" t="s">
        <v>254</v>
      </c>
      <c r="T572" s="4" t="s">
        <v>511</v>
      </c>
      <c r="U572" s="4">
        <v>0</v>
      </c>
      <c r="V572" s="4">
        <v>28</v>
      </c>
      <c r="W572" s="4">
        <v>74</v>
      </c>
    </row>
    <row r="573" spans="1:23" ht="11.25" customHeight="1" x14ac:dyDescent="0.25">
      <c r="A573" s="4" t="s">
        <v>21</v>
      </c>
      <c r="B573" s="4" t="s">
        <v>41</v>
      </c>
      <c r="C573" s="4" t="s">
        <v>44</v>
      </c>
      <c r="D573" s="4" t="s">
        <v>45</v>
      </c>
      <c r="E573" s="4" t="s">
        <v>25</v>
      </c>
      <c r="F573" s="4" t="s">
        <v>25</v>
      </c>
      <c r="G573" s="4" t="s">
        <v>25</v>
      </c>
      <c r="H573" s="4" t="s">
        <v>36</v>
      </c>
      <c r="I573" s="5">
        <v>44774</v>
      </c>
      <c r="J573" s="6">
        <v>0</v>
      </c>
      <c r="K573" s="6">
        <v>0</v>
      </c>
      <c r="L573" s="6">
        <v>307.04700000000003</v>
      </c>
      <c r="M573" s="6">
        <v>307.04700000000003</v>
      </c>
      <c r="N573" s="6">
        <v>307.04700000000003</v>
      </c>
      <c r="O573" s="6">
        <v>307.04700000000003</v>
      </c>
      <c r="P573" s="6">
        <v>0</v>
      </c>
      <c r="Q573" s="4" t="s">
        <v>26</v>
      </c>
      <c r="R573" s="4">
        <v>0</v>
      </c>
      <c r="S573" s="4" t="s">
        <v>255</v>
      </c>
      <c r="T573" s="4" t="s">
        <v>512</v>
      </c>
      <c r="U573" s="4">
        <v>0</v>
      </c>
      <c r="V573" s="4">
        <v>28</v>
      </c>
      <c r="W573" s="4">
        <v>74</v>
      </c>
    </row>
    <row r="574" spans="1:23" ht="11.25" customHeight="1" x14ac:dyDescent="0.25">
      <c r="A574" s="4" t="s">
        <v>28</v>
      </c>
      <c r="B574" s="4" t="s">
        <v>41</v>
      </c>
      <c r="C574" s="4" t="s">
        <v>44</v>
      </c>
      <c r="D574" s="4" t="s">
        <v>45</v>
      </c>
      <c r="E574" s="4" t="s">
        <v>25</v>
      </c>
      <c r="F574" s="4" t="s">
        <v>25</v>
      </c>
      <c r="G574" s="4" t="s">
        <v>25</v>
      </c>
      <c r="H574" s="4" t="s">
        <v>36</v>
      </c>
      <c r="I574" s="5">
        <v>44774</v>
      </c>
      <c r="J574" s="6">
        <v>0</v>
      </c>
      <c r="K574" s="6">
        <v>0</v>
      </c>
      <c r="L574" s="6">
        <v>59.271000000000001</v>
      </c>
      <c r="M574" s="6">
        <v>59.271000000000001</v>
      </c>
      <c r="N574" s="6">
        <v>59.271000000000001</v>
      </c>
      <c r="O574" s="6">
        <v>59.271000000000001</v>
      </c>
      <c r="P574" s="6">
        <v>0</v>
      </c>
      <c r="Q574" s="4" t="s">
        <v>26</v>
      </c>
      <c r="R574" s="4">
        <v>0</v>
      </c>
      <c r="S574" s="4" t="s">
        <v>255</v>
      </c>
      <c r="T574" s="4" t="s">
        <v>512</v>
      </c>
      <c r="U574" s="4">
        <v>0</v>
      </c>
      <c r="V574" s="4">
        <v>28</v>
      </c>
      <c r="W574" s="4">
        <v>74</v>
      </c>
    </row>
    <row r="575" spans="1:23" ht="11.25" customHeight="1" x14ac:dyDescent="0.25">
      <c r="A575" s="4" t="s">
        <v>30</v>
      </c>
      <c r="B575" s="4" t="s">
        <v>41</v>
      </c>
      <c r="C575" s="4" t="s">
        <v>44</v>
      </c>
      <c r="D575" s="4" t="s">
        <v>45</v>
      </c>
      <c r="E575" s="4" t="s">
        <v>25</v>
      </c>
      <c r="F575" s="4" t="s">
        <v>25</v>
      </c>
      <c r="G575" s="4" t="s">
        <v>25</v>
      </c>
      <c r="H575" s="4" t="s">
        <v>36</v>
      </c>
      <c r="I575" s="5">
        <v>44774</v>
      </c>
      <c r="J575" s="6">
        <v>0</v>
      </c>
      <c r="K575" s="6">
        <v>0</v>
      </c>
      <c r="L575" s="6">
        <v>50.582000000000001</v>
      </c>
      <c r="M575" s="6">
        <v>50.582000000000001</v>
      </c>
      <c r="N575" s="6">
        <v>50.582000000000001</v>
      </c>
      <c r="O575" s="6">
        <v>50.582000000000001</v>
      </c>
      <c r="P575" s="6">
        <v>0</v>
      </c>
      <c r="Q575" s="4" t="s">
        <v>26</v>
      </c>
      <c r="R575" s="4">
        <v>0</v>
      </c>
      <c r="S575" s="4" t="s">
        <v>255</v>
      </c>
      <c r="T575" s="4" t="s">
        <v>512</v>
      </c>
      <c r="U575" s="4">
        <v>0</v>
      </c>
      <c r="V575" s="4">
        <v>28</v>
      </c>
      <c r="W575" s="4">
        <v>74</v>
      </c>
    </row>
    <row r="576" spans="1:23" ht="11.25" customHeight="1" x14ac:dyDescent="0.25">
      <c r="A576" s="4" t="s">
        <v>30</v>
      </c>
      <c r="B576" s="4" t="s">
        <v>41</v>
      </c>
      <c r="C576" s="4" t="s">
        <v>44</v>
      </c>
      <c r="D576" s="4" t="s">
        <v>45</v>
      </c>
      <c r="E576" s="4" t="s">
        <v>25</v>
      </c>
      <c r="F576" s="4" t="s">
        <v>25</v>
      </c>
      <c r="G576" s="4" t="s">
        <v>25</v>
      </c>
      <c r="H576" s="4" t="s">
        <v>36</v>
      </c>
      <c r="I576" s="5">
        <v>44774</v>
      </c>
      <c r="J576" s="6">
        <v>0</v>
      </c>
      <c r="K576" s="6">
        <v>0</v>
      </c>
      <c r="L576" s="6">
        <v>-3.9359999999999999</v>
      </c>
      <c r="M576" s="6">
        <v>-3.9359999999999999</v>
      </c>
      <c r="N576" s="6">
        <v>-3.9359999999999999</v>
      </c>
      <c r="O576" s="6">
        <v>-3.9359999999999999</v>
      </c>
      <c r="P576" s="6">
        <v>0</v>
      </c>
      <c r="Q576" s="4" t="s">
        <v>26</v>
      </c>
      <c r="R576" s="4">
        <v>0</v>
      </c>
      <c r="S576" s="4" t="s">
        <v>255</v>
      </c>
      <c r="T576" s="4" t="s">
        <v>512</v>
      </c>
      <c r="U576" s="4">
        <v>0</v>
      </c>
      <c r="V576" s="4">
        <v>28</v>
      </c>
      <c r="W576" s="4">
        <v>74</v>
      </c>
    </row>
    <row r="577" spans="1:23" ht="11.25" customHeight="1" x14ac:dyDescent="0.25">
      <c r="A577" s="4" t="s">
        <v>21</v>
      </c>
      <c r="B577" s="4" t="s">
        <v>41</v>
      </c>
      <c r="C577" s="4" t="s">
        <v>44</v>
      </c>
      <c r="D577" s="4" t="s">
        <v>45</v>
      </c>
      <c r="E577" s="4" t="s">
        <v>25</v>
      </c>
      <c r="F577" s="4" t="s">
        <v>25</v>
      </c>
      <c r="G577" s="4" t="s">
        <v>25</v>
      </c>
      <c r="H577" s="4" t="s">
        <v>36</v>
      </c>
      <c r="I577" s="5">
        <v>44805</v>
      </c>
      <c r="J577" s="6">
        <v>0</v>
      </c>
      <c r="K577" s="6">
        <v>0</v>
      </c>
      <c r="L577" s="6">
        <v>303.61900000000003</v>
      </c>
      <c r="M577" s="6">
        <v>303.61900000000003</v>
      </c>
      <c r="N577" s="6">
        <v>303.61900000000003</v>
      </c>
      <c r="O577" s="6">
        <v>303.61900000000003</v>
      </c>
      <c r="P577" s="6">
        <v>0</v>
      </c>
      <c r="Q577" s="4" t="s">
        <v>26</v>
      </c>
      <c r="R577" s="4">
        <v>0</v>
      </c>
      <c r="S577" s="4" t="s">
        <v>256</v>
      </c>
      <c r="T577" s="4" t="s">
        <v>513</v>
      </c>
      <c r="U577" s="4">
        <v>0</v>
      </c>
      <c r="V577" s="4">
        <v>28</v>
      </c>
      <c r="W577" s="4">
        <v>74</v>
      </c>
    </row>
    <row r="578" spans="1:23" ht="11.25" customHeight="1" x14ac:dyDescent="0.25">
      <c r="A578" s="4" t="s">
        <v>28</v>
      </c>
      <c r="B578" s="4" t="s">
        <v>41</v>
      </c>
      <c r="C578" s="4" t="s">
        <v>44</v>
      </c>
      <c r="D578" s="4" t="s">
        <v>45</v>
      </c>
      <c r="E578" s="4" t="s">
        <v>25</v>
      </c>
      <c r="F578" s="4" t="s">
        <v>25</v>
      </c>
      <c r="G578" s="4" t="s">
        <v>25</v>
      </c>
      <c r="H578" s="4" t="s">
        <v>36</v>
      </c>
      <c r="I578" s="5">
        <v>44805</v>
      </c>
      <c r="J578" s="6">
        <v>0</v>
      </c>
      <c r="K578" s="6">
        <v>0</v>
      </c>
      <c r="L578" s="6">
        <v>60.183999999999997</v>
      </c>
      <c r="M578" s="6">
        <v>60.183999999999997</v>
      </c>
      <c r="N578" s="6">
        <v>60.183999999999997</v>
      </c>
      <c r="O578" s="6">
        <v>60.183999999999997</v>
      </c>
      <c r="P578" s="6">
        <v>0</v>
      </c>
      <c r="Q578" s="4" t="s">
        <v>26</v>
      </c>
      <c r="R578" s="4">
        <v>0</v>
      </c>
      <c r="S578" s="4" t="s">
        <v>256</v>
      </c>
      <c r="T578" s="4" t="s">
        <v>513</v>
      </c>
      <c r="U578" s="4">
        <v>0</v>
      </c>
      <c r="V578" s="4">
        <v>28</v>
      </c>
      <c r="W578" s="4">
        <v>74</v>
      </c>
    </row>
    <row r="579" spans="1:23" ht="11.25" customHeight="1" x14ac:dyDescent="0.25">
      <c r="A579" s="4" t="s">
        <v>30</v>
      </c>
      <c r="B579" s="4" t="s">
        <v>41</v>
      </c>
      <c r="C579" s="4" t="s">
        <v>44</v>
      </c>
      <c r="D579" s="4" t="s">
        <v>45</v>
      </c>
      <c r="E579" s="4" t="s">
        <v>25</v>
      </c>
      <c r="F579" s="4" t="s">
        <v>25</v>
      </c>
      <c r="G579" s="4" t="s">
        <v>25</v>
      </c>
      <c r="H579" s="4" t="s">
        <v>36</v>
      </c>
      <c r="I579" s="5">
        <v>44805</v>
      </c>
      <c r="J579" s="6">
        <v>0</v>
      </c>
      <c r="K579" s="6">
        <v>0</v>
      </c>
      <c r="L579" s="6">
        <v>54.771000000000001</v>
      </c>
      <c r="M579" s="6">
        <v>54.771000000000001</v>
      </c>
      <c r="N579" s="6">
        <v>54.771000000000001</v>
      </c>
      <c r="O579" s="6">
        <v>54.771000000000001</v>
      </c>
      <c r="P579" s="6">
        <v>0</v>
      </c>
      <c r="Q579" s="4" t="s">
        <v>26</v>
      </c>
      <c r="R579" s="4">
        <v>0</v>
      </c>
      <c r="S579" s="4" t="s">
        <v>256</v>
      </c>
      <c r="T579" s="4" t="s">
        <v>513</v>
      </c>
      <c r="U579" s="4">
        <v>0</v>
      </c>
      <c r="V579" s="4">
        <v>28</v>
      </c>
      <c r="W579" s="4">
        <v>74</v>
      </c>
    </row>
    <row r="580" spans="1:23" ht="11.25" customHeight="1" x14ac:dyDescent="0.25">
      <c r="A580" s="4" t="s">
        <v>21</v>
      </c>
      <c r="B580" s="4" t="s">
        <v>41</v>
      </c>
      <c r="C580" s="4" t="s">
        <v>44</v>
      </c>
      <c r="D580" s="4" t="s">
        <v>45</v>
      </c>
      <c r="E580" s="4" t="s">
        <v>25</v>
      </c>
      <c r="F580" s="4" t="s">
        <v>25</v>
      </c>
      <c r="G580" s="4" t="s">
        <v>25</v>
      </c>
      <c r="H580" s="4" t="s">
        <v>36</v>
      </c>
      <c r="I580" s="5">
        <v>44835</v>
      </c>
      <c r="J580" s="6">
        <v>0</v>
      </c>
      <c r="K580" s="6">
        <v>0</v>
      </c>
      <c r="L580" s="6">
        <v>301.10399999999998</v>
      </c>
      <c r="M580" s="6">
        <v>301.10399999999998</v>
      </c>
      <c r="N580" s="6">
        <v>301.10399999999998</v>
      </c>
      <c r="O580" s="6">
        <v>301.10399999999998</v>
      </c>
      <c r="P580" s="6">
        <v>0</v>
      </c>
      <c r="Q580" s="4" t="s">
        <v>26</v>
      </c>
      <c r="R580" s="4">
        <v>0</v>
      </c>
      <c r="S580" s="4" t="s">
        <v>257</v>
      </c>
      <c r="T580" s="4" t="s">
        <v>514</v>
      </c>
      <c r="U580" s="4">
        <v>0</v>
      </c>
      <c r="V580" s="4">
        <v>28</v>
      </c>
      <c r="W580" s="4">
        <v>74</v>
      </c>
    </row>
    <row r="581" spans="1:23" ht="11.25" customHeight="1" x14ac:dyDescent="0.25">
      <c r="A581" s="4" t="s">
        <v>28</v>
      </c>
      <c r="B581" s="4" t="s">
        <v>41</v>
      </c>
      <c r="C581" s="4" t="s">
        <v>44</v>
      </c>
      <c r="D581" s="4" t="s">
        <v>45</v>
      </c>
      <c r="E581" s="4" t="s">
        <v>25</v>
      </c>
      <c r="F581" s="4" t="s">
        <v>25</v>
      </c>
      <c r="G581" s="4" t="s">
        <v>25</v>
      </c>
      <c r="H581" s="4" t="s">
        <v>36</v>
      </c>
      <c r="I581" s="5">
        <v>44835</v>
      </c>
      <c r="J581" s="6">
        <v>0</v>
      </c>
      <c r="K581" s="6">
        <v>0</v>
      </c>
      <c r="L581" s="6">
        <v>58.012999999999998</v>
      </c>
      <c r="M581" s="6">
        <v>58.012999999999998</v>
      </c>
      <c r="N581" s="6">
        <v>58.012999999999998</v>
      </c>
      <c r="O581" s="6">
        <v>58.012999999999998</v>
      </c>
      <c r="P581" s="6">
        <v>0</v>
      </c>
      <c r="Q581" s="4" t="s">
        <v>26</v>
      </c>
      <c r="R581" s="4">
        <v>0</v>
      </c>
      <c r="S581" s="4" t="s">
        <v>257</v>
      </c>
      <c r="T581" s="4" t="s">
        <v>514</v>
      </c>
      <c r="U581" s="4">
        <v>0</v>
      </c>
      <c r="V581" s="4">
        <v>28</v>
      </c>
      <c r="W581" s="4">
        <v>74</v>
      </c>
    </row>
    <row r="582" spans="1:23" ht="11.25" customHeight="1" x14ac:dyDescent="0.25">
      <c r="A582" s="4" t="s">
        <v>30</v>
      </c>
      <c r="B582" s="4" t="s">
        <v>41</v>
      </c>
      <c r="C582" s="4" t="s">
        <v>44</v>
      </c>
      <c r="D582" s="4" t="s">
        <v>45</v>
      </c>
      <c r="E582" s="4" t="s">
        <v>25</v>
      </c>
      <c r="F582" s="4" t="s">
        <v>25</v>
      </c>
      <c r="G582" s="4" t="s">
        <v>25</v>
      </c>
      <c r="H582" s="4" t="s">
        <v>36</v>
      </c>
      <c r="I582" s="5">
        <v>44835</v>
      </c>
      <c r="J582" s="6">
        <v>0</v>
      </c>
      <c r="K582" s="6">
        <v>0</v>
      </c>
      <c r="L582" s="6">
        <v>55.640999999999998</v>
      </c>
      <c r="M582" s="6">
        <v>55.640999999999998</v>
      </c>
      <c r="N582" s="6">
        <v>55.640999999999998</v>
      </c>
      <c r="O582" s="6">
        <v>55.640999999999998</v>
      </c>
      <c r="P582" s="6">
        <v>0</v>
      </c>
      <c r="Q582" s="4" t="s">
        <v>26</v>
      </c>
      <c r="R582" s="4">
        <v>0</v>
      </c>
      <c r="S582" s="4" t="s">
        <v>257</v>
      </c>
      <c r="T582" s="4" t="s">
        <v>514</v>
      </c>
      <c r="U582" s="4">
        <v>0</v>
      </c>
      <c r="V582" s="4">
        <v>28</v>
      </c>
      <c r="W582" s="4">
        <v>74</v>
      </c>
    </row>
    <row r="583" spans="1:23" ht="11.25" customHeight="1" x14ac:dyDescent="0.25">
      <c r="A583" s="4" t="s">
        <v>59</v>
      </c>
      <c r="B583" s="4" t="s">
        <v>41</v>
      </c>
      <c r="C583" s="4" t="s">
        <v>44</v>
      </c>
      <c r="D583" s="4" t="s">
        <v>45</v>
      </c>
      <c r="E583" s="4" t="s">
        <v>25</v>
      </c>
      <c r="F583" s="4" t="s">
        <v>25</v>
      </c>
      <c r="G583" s="4" t="s">
        <v>25</v>
      </c>
      <c r="H583" s="4" t="s">
        <v>36</v>
      </c>
      <c r="I583" s="5">
        <v>44866</v>
      </c>
      <c r="J583" s="6">
        <v>0</v>
      </c>
      <c r="K583" s="6">
        <v>0</v>
      </c>
      <c r="L583" s="6">
        <v>301.10399999999998</v>
      </c>
      <c r="M583" s="6">
        <v>301.10399999999998</v>
      </c>
      <c r="N583" s="6">
        <v>301.10399999999998</v>
      </c>
      <c r="O583" s="6">
        <v>301.10399999999998</v>
      </c>
      <c r="P583" s="6">
        <v>0</v>
      </c>
      <c r="Q583" s="4" t="s">
        <v>26</v>
      </c>
      <c r="R583" s="4">
        <v>0</v>
      </c>
      <c r="S583" s="4" t="s">
        <v>258</v>
      </c>
      <c r="T583" s="4" t="s">
        <v>515</v>
      </c>
      <c r="U583" s="4">
        <v>0</v>
      </c>
      <c r="V583" s="4">
        <v>28</v>
      </c>
      <c r="W583" s="4">
        <v>74</v>
      </c>
    </row>
    <row r="584" spans="1:23" ht="11.25" customHeight="1" x14ac:dyDescent="0.25">
      <c r="A584" s="4" t="s">
        <v>59</v>
      </c>
      <c r="B584" s="4" t="s">
        <v>41</v>
      </c>
      <c r="C584" s="4" t="s">
        <v>44</v>
      </c>
      <c r="D584" s="4" t="s">
        <v>45</v>
      </c>
      <c r="E584" s="4" t="s">
        <v>25</v>
      </c>
      <c r="F584" s="4" t="s">
        <v>25</v>
      </c>
      <c r="G584" s="4" t="s">
        <v>25</v>
      </c>
      <c r="H584" s="4" t="s">
        <v>36</v>
      </c>
      <c r="I584" s="5">
        <v>44866</v>
      </c>
      <c r="J584" s="6">
        <v>0</v>
      </c>
      <c r="K584" s="6">
        <v>0</v>
      </c>
      <c r="L584" s="6">
        <v>58.012999999999998</v>
      </c>
      <c r="M584" s="6">
        <v>58.012999999999998</v>
      </c>
      <c r="N584" s="6">
        <v>58.012999999999998</v>
      </c>
      <c r="O584" s="6">
        <v>58.012999999999998</v>
      </c>
      <c r="P584" s="6">
        <v>0</v>
      </c>
      <c r="Q584" s="4" t="s">
        <v>26</v>
      </c>
      <c r="R584" s="4">
        <v>0</v>
      </c>
      <c r="S584" s="4" t="s">
        <v>258</v>
      </c>
      <c r="T584" s="4" t="s">
        <v>515</v>
      </c>
      <c r="U584" s="4">
        <v>0</v>
      </c>
      <c r="V584" s="4">
        <v>28</v>
      </c>
      <c r="W584" s="4">
        <v>74</v>
      </c>
    </row>
    <row r="585" spans="1:23" ht="11.25" customHeight="1" x14ac:dyDescent="0.25">
      <c r="A585" s="4" t="s">
        <v>59</v>
      </c>
      <c r="B585" s="4" t="s">
        <v>41</v>
      </c>
      <c r="C585" s="4" t="s">
        <v>44</v>
      </c>
      <c r="D585" s="4" t="s">
        <v>45</v>
      </c>
      <c r="E585" s="4" t="s">
        <v>25</v>
      </c>
      <c r="F585" s="4" t="s">
        <v>25</v>
      </c>
      <c r="G585" s="4" t="s">
        <v>25</v>
      </c>
      <c r="H585" s="4" t="s">
        <v>36</v>
      </c>
      <c r="I585" s="5">
        <v>44866</v>
      </c>
      <c r="J585" s="6">
        <v>0</v>
      </c>
      <c r="K585" s="6">
        <v>0</v>
      </c>
      <c r="L585" s="6">
        <v>55.640999999999998</v>
      </c>
      <c r="M585" s="6">
        <v>55.640999999999998</v>
      </c>
      <c r="N585" s="6">
        <v>55.640999999999998</v>
      </c>
      <c r="O585" s="6">
        <v>55.640999999999998</v>
      </c>
      <c r="P585" s="6">
        <v>0</v>
      </c>
      <c r="Q585" s="4" t="s">
        <v>26</v>
      </c>
      <c r="R585" s="4">
        <v>0</v>
      </c>
      <c r="S585" s="4" t="s">
        <v>258</v>
      </c>
      <c r="T585" s="4" t="s">
        <v>515</v>
      </c>
      <c r="U585" s="4">
        <v>0</v>
      </c>
      <c r="V585" s="4">
        <v>28</v>
      </c>
      <c r="W585" s="4">
        <v>74</v>
      </c>
    </row>
    <row r="586" spans="1:23" ht="11.25" customHeight="1" x14ac:dyDescent="0.25">
      <c r="A586" s="4" t="s">
        <v>21</v>
      </c>
      <c r="B586" s="4" t="s">
        <v>41</v>
      </c>
      <c r="C586" s="4" t="s">
        <v>44</v>
      </c>
      <c r="D586" s="4" t="s">
        <v>54</v>
      </c>
      <c r="E586" s="4" t="s">
        <v>25</v>
      </c>
      <c r="F586" s="4" t="s">
        <v>25</v>
      </c>
      <c r="G586" s="4" t="s">
        <v>25</v>
      </c>
      <c r="H586" s="4" t="s">
        <v>37</v>
      </c>
      <c r="I586" s="5">
        <v>44531</v>
      </c>
      <c r="J586" s="6">
        <v>0</v>
      </c>
      <c r="K586" s="6">
        <v>0</v>
      </c>
      <c r="L586" s="6">
        <v>40.799999999999997</v>
      </c>
      <c r="M586" s="6">
        <v>40.799999999999997</v>
      </c>
      <c r="N586" s="6">
        <v>40.799999999999997</v>
      </c>
      <c r="O586" s="6">
        <v>40.799999999999997</v>
      </c>
      <c r="P586" s="6">
        <v>0</v>
      </c>
      <c r="Q586" s="4" t="s">
        <v>26</v>
      </c>
      <c r="R586" s="4">
        <v>0</v>
      </c>
      <c r="S586" s="4" t="s">
        <v>223</v>
      </c>
      <c r="T586" s="4" t="s">
        <v>492</v>
      </c>
      <c r="U586" s="4">
        <v>0</v>
      </c>
      <c r="V586" s="4">
        <v>29</v>
      </c>
      <c r="W586" s="4">
        <v>75</v>
      </c>
    </row>
    <row r="587" spans="1:23" ht="11.25" customHeight="1" x14ac:dyDescent="0.25">
      <c r="A587" s="4" t="s">
        <v>21</v>
      </c>
      <c r="B587" s="4" t="s">
        <v>41</v>
      </c>
      <c r="C587" s="4" t="s">
        <v>44</v>
      </c>
      <c r="D587" s="4" t="s">
        <v>54</v>
      </c>
      <c r="E587" s="4" t="s">
        <v>25</v>
      </c>
      <c r="F587" s="4" t="s">
        <v>25</v>
      </c>
      <c r="G587" s="4" t="s">
        <v>25</v>
      </c>
      <c r="H587" s="4" t="s">
        <v>37</v>
      </c>
      <c r="I587" s="5">
        <v>44562</v>
      </c>
      <c r="J587" s="6">
        <v>0</v>
      </c>
      <c r="K587" s="6">
        <v>0</v>
      </c>
      <c r="L587" s="6">
        <v>52.966999999999999</v>
      </c>
      <c r="M587" s="6">
        <v>52.966999999999999</v>
      </c>
      <c r="N587" s="6">
        <v>52.966999999999999</v>
      </c>
      <c r="O587" s="6">
        <v>52.966999999999999</v>
      </c>
      <c r="P587" s="6">
        <v>0</v>
      </c>
      <c r="Q587" s="4" t="s">
        <v>26</v>
      </c>
      <c r="R587" s="4">
        <v>0</v>
      </c>
      <c r="S587" s="4" t="s">
        <v>224</v>
      </c>
      <c r="T587" s="4" t="s">
        <v>493</v>
      </c>
      <c r="U587" s="4">
        <v>0</v>
      </c>
      <c r="V587" s="4">
        <v>29</v>
      </c>
      <c r="W587" s="4">
        <v>75</v>
      </c>
    </row>
    <row r="588" spans="1:23" ht="11.25" customHeight="1" x14ac:dyDescent="0.25">
      <c r="A588" s="4" t="s">
        <v>21</v>
      </c>
      <c r="B588" s="4" t="s">
        <v>41</v>
      </c>
      <c r="C588" s="4" t="s">
        <v>44</v>
      </c>
      <c r="D588" s="4" t="s">
        <v>54</v>
      </c>
      <c r="E588" s="4" t="s">
        <v>25</v>
      </c>
      <c r="F588" s="4" t="s">
        <v>25</v>
      </c>
      <c r="G588" s="4" t="s">
        <v>25</v>
      </c>
      <c r="H588" s="4" t="s">
        <v>37</v>
      </c>
      <c r="I588" s="5">
        <v>44593</v>
      </c>
      <c r="J588" s="6">
        <v>0</v>
      </c>
      <c r="K588" s="6">
        <v>0</v>
      </c>
      <c r="L588" s="6">
        <v>57.942</v>
      </c>
      <c r="M588" s="6">
        <v>57.942</v>
      </c>
      <c r="N588" s="6">
        <v>57.942</v>
      </c>
      <c r="O588" s="6">
        <v>57.942</v>
      </c>
      <c r="P588" s="6">
        <v>0</v>
      </c>
      <c r="Q588" s="4" t="s">
        <v>26</v>
      </c>
      <c r="R588" s="4">
        <v>0</v>
      </c>
      <c r="S588" s="4" t="s">
        <v>225</v>
      </c>
      <c r="T588" s="4" t="s">
        <v>494</v>
      </c>
      <c r="U588" s="4">
        <v>0</v>
      </c>
      <c r="V588" s="4">
        <v>29</v>
      </c>
      <c r="W588" s="4">
        <v>75</v>
      </c>
    </row>
    <row r="589" spans="1:23" ht="11.25" customHeight="1" x14ac:dyDescent="0.25">
      <c r="A589" s="4" t="s">
        <v>21</v>
      </c>
      <c r="B589" s="4" t="s">
        <v>41</v>
      </c>
      <c r="C589" s="4" t="s">
        <v>44</v>
      </c>
      <c r="D589" s="4" t="s">
        <v>54</v>
      </c>
      <c r="E589" s="4" t="s">
        <v>25</v>
      </c>
      <c r="F589" s="4" t="s">
        <v>25</v>
      </c>
      <c r="G589" s="4" t="s">
        <v>25</v>
      </c>
      <c r="H589" s="4" t="s">
        <v>37</v>
      </c>
      <c r="I589" s="5">
        <v>44621</v>
      </c>
      <c r="J589" s="6">
        <v>0</v>
      </c>
      <c r="K589" s="6">
        <v>0</v>
      </c>
      <c r="L589" s="6">
        <v>62.332999999999998</v>
      </c>
      <c r="M589" s="6">
        <v>62.332999999999998</v>
      </c>
      <c r="N589" s="6">
        <v>62.332999999999998</v>
      </c>
      <c r="O589" s="6">
        <v>62.332999999999998</v>
      </c>
      <c r="P589" s="6">
        <v>0</v>
      </c>
      <c r="Q589" s="4" t="s">
        <v>26</v>
      </c>
      <c r="R589" s="4">
        <v>0</v>
      </c>
      <c r="S589" s="4" t="s">
        <v>226</v>
      </c>
      <c r="T589" s="4" t="s">
        <v>495</v>
      </c>
      <c r="U589" s="4">
        <v>0</v>
      </c>
      <c r="V589" s="4">
        <v>29</v>
      </c>
      <c r="W589" s="4">
        <v>75</v>
      </c>
    </row>
    <row r="590" spans="1:23" ht="11.25" customHeight="1" x14ac:dyDescent="0.25">
      <c r="A590" s="4" t="s">
        <v>21</v>
      </c>
      <c r="B590" s="4" t="s">
        <v>41</v>
      </c>
      <c r="C590" s="4" t="s">
        <v>44</v>
      </c>
      <c r="D590" s="4" t="s">
        <v>54</v>
      </c>
      <c r="E590" s="4" t="s">
        <v>25</v>
      </c>
      <c r="F590" s="4" t="s">
        <v>25</v>
      </c>
      <c r="G590" s="4" t="s">
        <v>25</v>
      </c>
      <c r="H590" s="4" t="s">
        <v>37</v>
      </c>
      <c r="I590" s="5">
        <v>44652</v>
      </c>
      <c r="J590" s="6">
        <v>0</v>
      </c>
      <c r="K590" s="6">
        <v>0</v>
      </c>
      <c r="L590" s="6">
        <v>61.194000000000003</v>
      </c>
      <c r="M590" s="6">
        <v>61.194000000000003</v>
      </c>
      <c r="N590" s="6">
        <v>61.194000000000003</v>
      </c>
      <c r="O590" s="6">
        <v>61.194000000000003</v>
      </c>
      <c r="P590" s="6">
        <v>0</v>
      </c>
      <c r="Q590" s="4" t="s">
        <v>26</v>
      </c>
      <c r="R590" s="4">
        <v>0</v>
      </c>
      <c r="S590" s="4" t="s">
        <v>227</v>
      </c>
      <c r="T590" s="4" t="s">
        <v>496</v>
      </c>
      <c r="U590" s="4">
        <v>0</v>
      </c>
      <c r="V590" s="4">
        <v>29</v>
      </c>
      <c r="W590" s="4">
        <v>75</v>
      </c>
    </row>
    <row r="591" spans="1:23" ht="11.25" customHeight="1" x14ac:dyDescent="0.25">
      <c r="A591" s="4" t="s">
        <v>21</v>
      </c>
      <c r="B591" s="4" t="s">
        <v>41</v>
      </c>
      <c r="C591" s="4" t="s">
        <v>44</v>
      </c>
      <c r="D591" s="4" t="s">
        <v>54</v>
      </c>
      <c r="E591" s="4" t="s">
        <v>25</v>
      </c>
      <c r="F591" s="4" t="s">
        <v>25</v>
      </c>
      <c r="G591" s="4" t="s">
        <v>25</v>
      </c>
      <c r="H591" s="4" t="s">
        <v>37</v>
      </c>
      <c r="I591" s="5">
        <v>44682</v>
      </c>
      <c r="J591" s="6">
        <v>0</v>
      </c>
      <c r="K591" s="6">
        <v>0</v>
      </c>
      <c r="L591" s="6">
        <v>65.216999999999999</v>
      </c>
      <c r="M591" s="6">
        <v>65.216999999999999</v>
      </c>
      <c r="N591" s="6">
        <v>65.216999999999999</v>
      </c>
      <c r="O591" s="6">
        <v>65.216999999999999</v>
      </c>
      <c r="P591" s="6">
        <v>0</v>
      </c>
      <c r="Q591" s="4" t="s">
        <v>26</v>
      </c>
      <c r="R591" s="4">
        <v>0</v>
      </c>
      <c r="S591" s="4" t="s">
        <v>228</v>
      </c>
      <c r="T591" s="4" t="s">
        <v>497</v>
      </c>
      <c r="U591" s="4">
        <v>0</v>
      </c>
      <c r="V591" s="4">
        <v>29</v>
      </c>
      <c r="W591" s="4">
        <v>75</v>
      </c>
    </row>
    <row r="592" spans="1:23" ht="11.25" customHeight="1" x14ac:dyDescent="0.25">
      <c r="A592" s="4" t="s">
        <v>21</v>
      </c>
      <c r="B592" s="4" t="s">
        <v>41</v>
      </c>
      <c r="C592" s="4" t="s">
        <v>44</v>
      </c>
      <c r="D592" s="4" t="s">
        <v>54</v>
      </c>
      <c r="E592" s="4" t="s">
        <v>25</v>
      </c>
      <c r="F592" s="4" t="s">
        <v>25</v>
      </c>
      <c r="G592" s="4" t="s">
        <v>25</v>
      </c>
      <c r="H592" s="4" t="s">
        <v>37</v>
      </c>
      <c r="I592" s="5">
        <v>44713</v>
      </c>
      <c r="J592" s="6">
        <v>0</v>
      </c>
      <c r="K592" s="6">
        <v>0</v>
      </c>
      <c r="L592" s="6">
        <v>58.155000000000001</v>
      </c>
      <c r="M592" s="6">
        <v>58.155000000000001</v>
      </c>
      <c r="N592" s="6">
        <v>58.155000000000001</v>
      </c>
      <c r="O592" s="6">
        <v>58.155000000000001</v>
      </c>
      <c r="P592" s="6">
        <v>0</v>
      </c>
      <c r="Q592" s="4" t="s">
        <v>26</v>
      </c>
      <c r="R592" s="4">
        <v>0</v>
      </c>
      <c r="S592" s="4" t="s">
        <v>229</v>
      </c>
      <c r="T592" s="4" t="s">
        <v>498</v>
      </c>
      <c r="U592" s="4">
        <v>0</v>
      </c>
      <c r="V592" s="4">
        <v>29</v>
      </c>
      <c r="W592" s="4">
        <v>75</v>
      </c>
    </row>
    <row r="593" spans="1:23" ht="11.25" customHeight="1" x14ac:dyDescent="0.25">
      <c r="A593" s="4" t="s">
        <v>21</v>
      </c>
      <c r="B593" s="4" t="s">
        <v>41</v>
      </c>
      <c r="C593" s="4" t="s">
        <v>44</v>
      </c>
      <c r="D593" s="4" t="s">
        <v>54</v>
      </c>
      <c r="E593" s="4" t="s">
        <v>25</v>
      </c>
      <c r="F593" s="4" t="s">
        <v>25</v>
      </c>
      <c r="G593" s="4" t="s">
        <v>25</v>
      </c>
      <c r="H593" s="4" t="s">
        <v>37</v>
      </c>
      <c r="I593" s="5">
        <v>44743</v>
      </c>
      <c r="J593" s="6">
        <v>0</v>
      </c>
      <c r="K593" s="6">
        <v>0</v>
      </c>
      <c r="L593" s="6">
        <v>72.296999999999997</v>
      </c>
      <c r="M593" s="6">
        <v>72.296999999999997</v>
      </c>
      <c r="N593" s="6">
        <v>72.296999999999997</v>
      </c>
      <c r="O593" s="6">
        <v>72.296999999999997</v>
      </c>
      <c r="P593" s="6">
        <v>0</v>
      </c>
      <c r="Q593" s="4" t="s">
        <v>26</v>
      </c>
      <c r="R593" s="4">
        <v>0</v>
      </c>
      <c r="S593" s="4" t="s">
        <v>230</v>
      </c>
      <c r="T593" s="4" t="s">
        <v>499</v>
      </c>
      <c r="U593" s="4">
        <v>0</v>
      </c>
      <c r="V593" s="4">
        <v>29</v>
      </c>
      <c r="W593" s="4">
        <v>75</v>
      </c>
    </row>
    <row r="594" spans="1:23" ht="11.25" customHeight="1" x14ac:dyDescent="0.25">
      <c r="A594" s="4" t="s">
        <v>21</v>
      </c>
      <c r="B594" s="4" t="s">
        <v>41</v>
      </c>
      <c r="C594" s="4" t="s">
        <v>44</v>
      </c>
      <c r="D594" s="4" t="s">
        <v>54</v>
      </c>
      <c r="E594" s="4" t="s">
        <v>25</v>
      </c>
      <c r="F594" s="4" t="s">
        <v>25</v>
      </c>
      <c r="G594" s="4" t="s">
        <v>25</v>
      </c>
      <c r="H594" s="4" t="s">
        <v>37</v>
      </c>
      <c r="I594" s="5">
        <v>44774</v>
      </c>
      <c r="J594" s="6">
        <v>0</v>
      </c>
      <c r="K594" s="6">
        <v>0</v>
      </c>
      <c r="L594" s="6">
        <v>38.909999999999997</v>
      </c>
      <c r="M594" s="6">
        <v>38.909999999999997</v>
      </c>
      <c r="N594" s="6">
        <v>38.909999999999997</v>
      </c>
      <c r="O594" s="6">
        <v>38.909999999999997</v>
      </c>
      <c r="P594" s="6">
        <v>0</v>
      </c>
      <c r="Q594" s="4" t="s">
        <v>26</v>
      </c>
      <c r="R594" s="4">
        <v>0</v>
      </c>
      <c r="S594" s="4" t="s">
        <v>231</v>
      </c>
      <c r="T594" s="4" t="s">
        <v>500</v>
      </c>
      <c r="U594" s="4">
        <v>0</v>
      </c>
      <c r="V594" s="4">
        <v>29</v>
      </c>
      <c r="W594" s="4">
        <v>75</v>
      </c>
    </row>
    <row r="595" spans="1:23" ht="11.25" customHeight="1" x14ac:dyDescent="0.25">
      <c r="A595" s="4" t="s">
        <v>21</v>
      </c>
      <c r="B595" s="4" t="s">
        <v>41</v>
      </c>
      <c r="C595" s="4" t="s">
        <v>44</v>
      </c>
      <c r="D595" s="4" t="s">
        <v>54</v>
      </c>
      <c r="E595" s="4" t="s">
        <v>25</v>
      </c>
      <c r="F595" s="4" t="s">
        <v>25</v>
      </c>
      <c r="G595" s="4" t="s">
        <v>25</v>
      </c>
      <c r="H595" s="4" t="s">
        <v>37</v>
      </c>
      <c r="I595" s="5">
        <v>44805</v>
      </c>
      <c r="J595" s="6">
        <v>0</v>
      </c>
      <c r="K595" s="6">
        <v>0</v>
      </c>
      <c r="L595" s="6">
        <v>41.789000000000001</v>
      </c>
      <c r="M595" s="6">
        <v>41.789000000000001</v>
      </c>
      <c r="N595" s="6">
        <v>41.789000000000001</v>
      </c>
      <c r="O595" s="6">
        <v>41.789000000000001</v>
      </c>
      <c r="P595" s="6">
        <v>0</v>
      </c>
      <c r="Q595" s="4" t="s">
        <v>26</v>
      </c>
      <c r="R595" s="4">
        <v>0</v>
      </c>
      <c r="S595" s="4" t="s">
        <v>232</v>
      </c>
      <c r="T595" s="4" t="s">
        <v>501</v>
      </c>
      <c r="U595" s="4">
        <v>0</v>
      </c>
      <c r="V595" s="4">
        <v>29</v>
      </c>
      <c r="W595" s="4">
        <v>75</v>
      </c>
    </row>
    <row r="596" spans="1:23" ht="11.25" customHeight="1" x14ac:dyDescent="0.25">
      <c r="A596" s="4" t="s">
        <v>21</v>
      </c>
      <c r="B596" s="4" t="s">
        <v>41</v>
      </c>
      <c r="C596" s="4" t="s">
        <v>44</v>
      </c>
      <c r="D596" s="4" t="s">
        <v>54</v>
      </c>
      <c r="E596" s="4" t="s">
        <v>25</v>
      </c>
      <c r="F596" s="4" t="s">
        <v>25</v>
      </c>
      <c r="G596" s="4" t="s">
        <v>25</v>
      </c>
      <c r="H596" s="4" t="s">
        <v>37</v>
      </c>
      <c r="I596" s="5">
        <v>44835</v>
      </c>
      <c r="J596" s="6">
        <v>0</v>
      </c>
      <c r="K596" s="6">
        <v>0</v>
      </c>
      <c r="L596" s="6">
        <v>77.007999999999996</v>
      </c>
      <c r="M596" s="6">
        <v>77.007999999999996</v>
      </c>
      <c r="N596" s="6">
        <v>77.007999999999996</v>
      </c>
      <c r="O596" s="6">
        <v>77.007999999999996</v>
      </c>
      <c r="P596" s="6">
        <v>0</v>
      </c>
      <c r="Q596" s="4" t="s">
        <v>26</v>
      </c>
      <c r="R596" s="4">
        <v>0</v>
      </c>
      <c r="S596" s="4" t="s">
        <v>233</v>
      </c>
      <c r="T596" s="4" t="s">
        <v>502</v>
      </c>
      <c r="U596" s="4">
        <v>0</v>
      </c>
      <c r="V596" s="4">
        <v>29</v>
      </c>
      <c r="W596" s="4">
        <v>75</v>
      </c>
    </row>
    <row r="597" spans="1:23" ht="11.25" customHeight="1" x14ac:dyDescent="0.25">
      <c r="A597" s="4" t="s">
        <v>59</v>
      </c>
      <c r="B597" s="4" t="s">
        <v>41</v>
      </c>
      <c r="C597" s="4" t="s">
        <v>44</v>
      </c>
      <c r="D597" s="4" t="s">
        <v>54</v>
      </c>
      <c r="E597" s="4" t="s">
        <v>25</v>
      </c>
      <c r="F597" s="4" t="s">
        <v>25</v>
      </c>
      <c r="G597" s="4" t="s">
        <v>25</v>
      </c>
      <c r="H597" s="4" t="s">
        <v>37</v>
      </c>
      <c r="I597" s="5">
        <v>44866</v>
      </c>
      <c r="J597" s="6">
        <v>0</v>
      </c>
      <c r="K597" s="6">
        <v>0</v>
      </c>
      <c r="L597" s="6">
        <v>77.007999999999996</v>
      </c>
      <c r="M597" s="6">
        <v>77.007999999999996</v>
      </c>
      <c r="N597" s="6">
        <v>77.007999999999996</v>
      </c>
      <c r="O597" s="6">
        <v>77.007999999999996</v>
      </c>
      <c r="P597" s="6">
        <v>0</v>
      </c>
      <c r="Q597" s="4" t="s">
        <v>26</v>
      </c>
      <c r="R597" s="4">
        <v>0</v>
      </c>
      <c r="S597" s="4" t="s">
        <v>234</v>
      </c>
      <c r="T597" s="4" t="s">
        <v>503</v>
      </c>
      <c r="U597" s="4">
        <v>0</v>
      </c>
      <c r="V597" s="4">
        <v>29</v>
      </c>
      <c r="W597" s="4">
        <v>75</v>
      </c>
    </row>
    <row r="598" spans="1:23" ht="11.25" customHeight="1" x14ac:dyDescent="0.25">
      <c r="A598" s="4" t="s">
        <v>21</v>
      </c>
      <c r="B598" s="4" t="s">
        <v>41</v>
      </c>
      <c r="C598" s="4" t="s">
        <v>44</v>
      </c>
      <c r="D598" s="4" t="s">
        <v>54</v>
      </c>
      <c r="E598" s="4" t="s">
        <v>25</v>
      </c>
      <c r="F598" s="4" t="s">
        <v>25</v>
      </c>
      <c r="G598" s="4" t="s">
        <v>25</v>
      </c>
      <c r="H598" s="4" t="s">
        <v>25</v>
      </c>
      <c r="I598" s="5">
        <v>44531</v>
      </c>
      <c r="J598" s="6">
        <v>300</v>
      </c>
      <c r="K598" s="6">
        <v>300</v>
      </c>
      <c r="L598" s="6">
        <v>0</v>
      </c>
      <c r="M598" s="6">
        <v>0</v>
      </c>
      <c r="N598" s="6">
        <v>0</v>
      </c>
      <c r="O598" s="6">
        <v>0</v>
      </c>
      <c r="P598" s="6">
        <v>1</v>
      </c>
      <c r="Q598" s="4" t="s">
        <v>26</v>
      </c>
      <c r="R598" s="4">
        <v>0</v>
      </c>
      <c r="S598" s="4" t="s">
        <v>235</v>
      </c>
      <c r="U598" s="4">
        <v>27</v>
      </c>
      <c r="V598" s="4">
        <v>0</v>
      </c>
      <c r="W598" s="4">
        <v>0</v>
      </c>
    </row>
    <row r="599" spans="1:23" ht="11.25" customHeight="1" x14ac:dyDescent="0.25">
      <c r="A599" s="4" t="s">
        <v>21</v>
      </c>
      <c r="B599" s="4" t="s">
        <v>41</v>
      </c>
      <c r="C599" s="4" t="s">
        <v>44</v>
      </c>
      <c r="D599" s="4" t="s">
        <v>54</v>
      </c>
      <c r="E599" s="4" t="s">
        <v>25</v>
      </c>
      <c r="F599" s="4" t="s">
        <v>25</v>
      </c>
      <c r="G599" s="4" t="s">
        <v>25</v>
      </c>
      <c r="H599" s="4" t="s">
        <v>25</v>
      </c>
      <c r="I599" s="5">
        <v>44562</v>
      </c>
      <c r="J599" s="6">
        <v>300</v>
      </c>
      <c r="K599" s="6">
        <v>300</v>
      </c>
      <c r="L599" s="6">
        <v>0</v>
      </c>
      <c r="M599" s="6">
        <v>0</v>
      </c>
      <c r="N599" s="6">
        <v>0</v>
      </c>
      <c r="O599" s="6">
        <v>0</v>
      </c>
      <c r="P599" s="6">
        <v>1</v>
      </c>
      <c r="Q599" s="4" t="s">
        <v>26</v>
      </c>
      <c r="R599" s="4">
        <v>0</v>
      </c>
      <c r="S599" s="4" t="s">
        <v>236</v>
      </c>
      <c r="U599" s="4">
        <v>27</v>
      </c>
      <c r="V599" s="4">
        <v>0</v>
      </c>
      <c r="W599" s="4">
        <v>0</v>
      </c>
    </row>
    <row r="600" spans="1:23" ht="11.25" customHeight="1" x14ac:dyDescent="0.25">
      <c r="A600" s="4" t="s">
        <v>21</v>
      </c>
      <c r="B600" s="4" t="s">
        <v>41</v>
      </c>
      <c r="C600" s="4" t="s">
        <v>44</v>
      </c>
      <c r="D600" s="4" t="s">
        <v>54</v>
      </c>
      <c r="E600" s="4" t="s">
        <v>25</v>
      </c>
      <c r="F600" s="4" t="s">
        <v>25</v>
      </c>
      <c r="G600" s="4" t="s">
        <v>25</v>
      </c>
      <c r="H600" s="4" t="s">
        <v>25</v>
      </c>
      <c r="I600" s="5">
        <v>44593</v>
      </c>
      <c r="J600" s="6">
        <v>300</v>
      </c>
      <c r="K600" s="6">
        <v>300</v>
      </c>
      <c r="L600" s="6">
        <v>0</v>
      </c>
      <c r="M600" s="6">
        <v>0</v>
      </c>
      <c r="N600" s="6">
        <v>0</v>
      </c>
      <c r="O600" s="6">
        <v>0</v>
      </c>
      <c r="P600" s="6">
        <v>1</v>
      </c>
      <c r="Q600" s="4" t="s">
        <v>26</v>
      </c>
      <c r="R600" s="4">
        <v>0</v>
      </c>
      <c r="S600" s="4" t="s">
        <v>237</v>
      </c>
      <c r="U600" s="4">
        <v>27</v>
      </c>
      <c r="V600" s="4">
        <v>0</v>
      </c>
      <c r="W600" s="4">
        <v>0</v>
      </c>
    </row>
    <row r="601" spans="1:23" ht="11.25" customHeight="1" x14ac:dyDescent="0.25">
      <c r="A601" s="4" t="s">
        <v>21</v>
      </c>
      <c r="B601" s="4" t="s">
        <v>41</v>
      </c>
      <c r="C601" s="4" t="s">
        <v>44</v>
      </c>
      <c r="D601" s="4" t="s">
        <v>54</v>
      </c>
      <c r="E601" s="4" t="s">
        <v>25</v>
      </c>
      <c r="F601" s="4" t="s">
        <v>25</v>
      </c>
      <c r="G601" s="4" t="s">
        <v>25</v>
      </c>
      <c r="H601" s="4" t="s">
        <v>25</v>
      </c>
      <c r="I601" s="5">
        <v>44621</v>
      </c>
      <c r="J601" s="6">
        <v>300</v>
      </c>
      <c r="K601" s="6">
        <v>300</v>
      </c>
      <c r="L601" s="6">
        <v>0</v>
      </c>
      <c r="M601" s="6">
        <v>0</v>
      </c>
      <c r="N601" s="6">
        <v>0</v>
      </c>
      <c r="O601" s="6">
        <v>0</v>
      </c>
      <c r="P601" s="6">
        <v>1</v>
      </c>
      <c r="Q601" s="4" t="s">
        <v>26</v>
      </c>
      <c r="R601" s="4">
        <v>0</v>
      </c>
      <c r="S601" s="4" t="s">
        <v>238</v>
      </c>
      <c r="U601" s="4">
        <v>27</v>
      </c>
      <c r="V601" s="4">
        <v>0</v>
      </c>
      <c r="W601" s="4">
        <v>0</v>
      </c>
    </row>
    <row r="602" spans="1:23" ht="11.25" customHeight="1" x14ac:dyDescent="0.25">
      <c r="A602" s="4" t="s">
        <v>21</v>
      </c>
      <c r="B602" s="4" t="s">
        <v>41</v>
      </c>
      <c r="C602" s="4" t="s">
        <v>44</v>
      </c>
      <c r="D602" s="4" t="s">
        <v>54</v>
      </c>
      <c r="E602" s="4" t="s">
        <v>25</v>
      </c>
      <c r="F602" s="4" t="s">
        <v>25</v>
      </c>
      <c r="G602" s="4" t="s">
        <v>25</v>
      </c>
      <c r="H602" s="4" t="s">
        <v>25</v>
      </c>
      <c r="I602" s="5">
        <v>44652</v>
      </c>
      <c r="J602" s="6">
        <v>300</v>
      </c>
      <c r="K602" s="6">
        <v>300</v>
      </c>
      <c r="L602" s="6">
        <v>0</v>
      </c>
      <c r="M602" s="6">
        <v>0</v>
      </c>
      <c r="N602" s="6">
        <v>0</v>
      </c>
      <c r="O602" s="6">
        <v>0</v>
      </c>
      <c r="P602" s="6">
        <v>1</v>
      </c>
      <c r="Q602" s="4" t="s">
        <v>26</v>
      </c>
      <c r="R602" s="4">
        <v>0</v>
      </c>
      <c r="S602" s="4" t="s">
        <v>239</v>
      </c>
      <c r="U602" s="4">
        <v>27</v>
      </c>
      <c r="V602" s="4">
        <v>0</v>
      </c>
      <c r="W602" s="4">
        <v>0</v>
      </c>
    </row>
    <row r="603" spans="1:23" ht="11.25" customHeight="1" x14ac:dyDescent="0.25">
      <c r="A603" s="4" t="s">
        <v>21</v>
      </c>
      <c r="B603" s="4" t="s">
        <v>41</v>
      </c>
      <c r="C603" s="4" t="s">
        <v>44</v>
      </c>
      <c r="D603" s="4" t="s">
        <v>54</v>
      </c>
      <c r="E603" s="4" t="s">
        <v>25</v>
      </c>
      <c r="F603" s="4" t="s">
        <v>25</v>
      </c>
      <c r="G603" s="4" t="s">
        <v>25</v>
      </c>
      <c r="H603" s="4" t="s">
        <v>25</v>
      </c>
      <c r="I603" s="5">
        <v>44682</v>
      </c>
      <c r="J603" s="6">
        <v>300</v>
      </c>
      <c r="K603" s="6">
        <v>300</v>
      </c>
      <c r="L603" s="6">
        <v>0</v>
      </c>
      <c r="M603" s="6">
        <v>0</v>
      </c>
      <c r="N603" s="6">
        <v>0</v>
      </c>
      <c r="O603" s="6">
        <v>0</v>
      </c>
      <c r="P603" s="6">
        <v>1</v>
      </c>
      <c r="Q603" s="4" t="s">
        <v>26</v>
      </c>
      <c r="R603" s="4">
        <v>0</v>
      </c>
      <c r="S603" s="4" t="s">
        <v>240</v>
      </c>
      <c r="U603" s="4">
        <v>27</v>
      </c>
      <c r="V603" s="4">
        <v>0</v>
      </c>
      <c r="W603" s="4">
        <v>0</v>
      </c>
    </row>
    <row r="604" spans="1:23" ht="11.25" customHeight="1" x14ac:dyDescent="0.25">
      <c r="A604" s="4" t="s">
        <v>21</v>
      </c>
      <c r="B604" s="4" t="s">
        <v>41</v>
      </c>
      <c r="C604" s="4" t="s">
        <v>44</v>
      </c>
      <c r="D604" s="4" t="s">
        <v>54</v>
      </c>
      <c r="E604" s="4" t="s">
        <v>25</v>
      </c>
      <c r="F604" s="4" t="s">
        <v>25</v>
      </c>
      <c r="G604" s="4" t="s">
        <v>25</v>
      </c>
      <c r="H604" s="4" t="s">
        <v>25</v>
      </c>
      <c r="I604" s="5">
        <v>44713</v>
      </c>
      <c r="J604" s="6">
        <v>300</v>
      </c>
      <c r="K604" s="6">
        <v>300</v>
      </c>
      <c r="L604" s="6">
        <v>0</v>
      </c>
      <c r="M604" s="6">
        <v>0</v>
      </c>
      <c r="N604" s="6">
        <v>0</v>
      </c>
      <c r="O604" s="6">
        <v>0</v>
      </c>
      <c r="P604" s="6">
        <v>1</v>
      </c>
      <c r="Q604" s="4" t="s">
        <v>26</v>
      </c>
      <c r="R604" s="4">
        <v>0</v>
      </c>
      <c r="S604" s="4" t="s">
        <v>241</v>
      </c>
      <c r="U604" s="4">
        <v>27</v>
      </c>
      <c r="V604" s="4">
        <v>0</v>
      </c>
      <c r="W604" s="4">
        <v>0</v>
      </c>
    </row>
    <row r="605" spans="1:23" ht="11.25" customHeight="1" x14ac:dyDescent="0.25">
      <c r="A605" s="4" t="s">
        <v>21</v>
      </c>
      <c r="B605" s="4" t="s">
        <v>41</v>
      </c>
      <c r="C605" s="4" t="s">
        <v>44</v>
      </c>
      <c r="D605" s="4" t="s">
        <v>54</v>
      </c>
      <c r="E605" s="4" t="s">
        <v>25</v>
      </c>
      <c r="F605" s="4" t="s">
        <v>25</v>
      </c>
      <c r="G605" s="4" t="s">
        <v>25</v>
      </c>
      <c r="H605" s="4" t="s">
        <v>25</v>
      </c>
      <c r="I605" s="5">
        <v>44743</v>
      </c>
      <c r="J605" s="6">
        <v>300</v>
      </c>
      <c r="K605" s="6">
        <v>300</v>
      </c>
      <c r="L605" s="6">
        <v>0</v>
      </c>
      <c r="M605" s="6">
        <v>0</v>
      </c>
      <c r="N605" s="6">
        <v>0</v>
      </c>
      <c r="O605" s="6">
        <v>0</v>
      </c>
      <c r="P605" s="6">
        <v>1</v>
      </c>
      <c r="Q605" s="4" t="s">
        <v>26</v>
      </c>
      <c r="R605" s="4">
        <v>0</v>
      </c>
      <c r="S605" s="4" t="s">
        <v>242</v>
      </c>
      <c r="U605" s="4">
        <v>27</v>
      </c>
      <c r="V605" s="4">
        <v>0</v>
      </c>
      <c r="W605" s="4">
        <v>0</v>
      </c>
    </row>
    <row r="606" spans="1:23" ht="11.25" customHeight="1" x14ac:dyDescent="0.25">
      <c r="A606" s="4" t="s">
        <v>21</v>
      </c>
      <c r="B606" s="4" t="s">
        <v>41</v>
      </c>
      <c r="C606" s="4" t="s">
        <v>44</v>
      </c>
      <c r="D606" s="4" t="s">
        <v>54</v>
      </c>
      <c r="E606" s="4" t="s">
        <v>25</v>
      </c>
      <c r="F606" s="4" t="s">
        <v>25</v>
      </c>
      <c r="G606" s="4" t="s">
        <v>25</v>
      </c>
      <c r="H606" s="4" t="s">
        <v>25</v>
      </c>
      <c r="I606" s="5">
        <v>44774</v>
      </c>
      <c r="J606" s="6">
        <v>300</v>
      </c>
      <c r="K606" s="6">
        <v>300</v>
      </c>
      <c r="L606" s="6">
        <v>0</v>
      </c>
      <c r="M606" s="6">
        <v>0</v>
      </c>
      <c r="N606" s="6">
        <v>0</v>
      </c>
      <c r="O606" s="6">
        <v>0</v>
      </c>
      <c r="P606" s="6">
        <v>1</v>
      </c>
      <c r="Q606" s="4" t="s">
        <v>26</v>
      </c>
      <c r="R606" s="4">
        <v>0</v>
      </c>
      <c r="S606" s="4" t="s">
        <v>243</v>
      </c>
      <c r="U606" s="4">
        <v>27</v>
      </c>
      <c r="V606" s="4">
        <v>0</v>
      </c>
      <c r="W606" s="4">
        <v>0</v>
      </c>
    </row>
    <row r="607" spans="1:23" ht="11.25" customHeight="1" x14ac:dyDescent="0.25">
      <c r="A607" s="4" t="s">
        <v>21</v>
      </c>
      <c r="B607" s="4" t="s">
        <v>41</v>
      </c>
      <c r="C607" s="4" t="s">
        <v>44</v>
      </c>
      <c r="D607" s="4" t="s">
        <v>54</v>
      </c>
      <c r="E607" s="4" t="s">
        <v>25</v>
      </c>
      <c r="F607" s="4" t="s">
        <v>25</v>
      </c>
      <c r="G607" s="4" t="s">
        <v>25</v>
      </c>
      <c r="H607" s="4" t="s">
        <v>25</v>
      </c>
      <c r="I607" s="5">
        <v>44805</v>
      </c>
      <c r="J607" s="6">
        <v>300</v>
      </c>
      <c r="K607" s="6">
        <v>300</v>
      </c>
      <c r="L607" s="6">
        <v>0</v>
      </c>
      <c r="M607" s="6">
        <v>0</v>
      </c>
      <c r="N607" s="6">
        <v>0</v>
      </c>
      <c r="O607" s="6">
        <v>0</v>
      </c>
      <c r="P607" s="6">
        <v>1</v>
      </c>
      <c r="Q607" s="4" t="s">
        <v>26</v>
      </c>
      <c r="R607" s="4">
        <v>0</v>
      </c>
      <c r="S607" s="4" t="s">
        <v>244</v>
      </c>
      <c r="U607" s="4">
        <v>27</v>
      </c>
      <c r="V607" s="4">
        <v>0</v>
      </c>
      <c r="W607" s="4">
        <v>0</v>
      </c>
    </row>
    <row r="608" spans="1:23" ht="11.25" customHeight="1" x14ac:dyDescent="0.25">
      <c r="A608" s="4" t="s">
        <v>21</v>
      </c>
      <c r="B608" s="4" t="s">
        <v>41</v>
      </c>
      <c r="C608" s="4" t="s">
        <v>44</v>
      </c>
      <c r="D608" s="4" t="s">
        <v>54</v>
      </c>
      <c r="E608" s="4" t="s">
        <v>25</v>
      </c>
      <c r="F608" s="4" t="s">
        <v>25</v>
      </c>
      <c r="G608" s="4" t="s">
        <v>25</v>
      </c>
      <c r="H608" s="4" t="s">
        <v>25</v>
      </c>
      <c r="I608" s="5">
        <v>44835</v>
      </c>
      <c r="J608" s="6">
        <v>300</v>
      </c>
      <c r="K608" s="6">
        <v>300</v>
      </c>
      <c r="L608" s="6">
        <v>0</v>
      </c>
      <c r="M608" s="6">
        <v>0</v>
      </c>
      <c r="N608" s="6">
        <v>0</v>
      </c>
      <c r="O608" s="6">
        <v>0</v>
      </c>
      <c r="P608" s="6">
        <v>1</v>
      </c>
      <c r="Q608" s="4" t="s">
        <v>26</v>
      </c>
      <c r="R608" s="4">
        <v>0</v>
      </c>
      <c r="S608" s="4" t="s">
        <v>245</v>
      </c>
      <c r="U608" s="4">
        <v>27</v>
      </c>
      <c r="V608" s="4">
        <v>0</v>
      </c>
      <c r="W608" s="4">
        <v>0</v>
      </c>
    </row>
    <row r="609" spans="1:23" ht="11.25" customHeight="1" x14ac:dyDescent="0.25">
      <c r="A609" s="4" t="s">
        <v>59</v>
      </c>
      <c r="B609" s="4" t="s">
        <v>41</v>
      </c>
      <c r="C609" s="4" t="s">
        <v>44</v>
      </c>
      <c r="D609" s="4" t="s">
        <v>54</v>
      </c>
      <c r="E609" s="4" t="s">
        <v>25</v>
      </c>
      <c r="F609" s="4" t="s">
        <v>25</v>
      </c>
      <c r="G609" s="4" t="s">
        <v>25</v>
      </c>
      <c r="H609" s="4" t="s">
        <v>25</v>
      </c>
      <c r="I609" s="5">
        <v>44866</v>
      </c>
      <c r="J609" s="6">
        <v>300</v>
      </c>
      <c r="K609" s="6">
        <v>300</v>
      </c>
      <c r="L609" s="6">
        <v>0</v>
      </c>
      <c r="M609" s="6">
        <v>0</v>
      </c>
      <c r="N609" s="6">
        <v>0</v>
      </c>
      <c r="O609" s="6">
        <v>0</v>
      </c>
      <c r="P609" s="6">
        <v>1</v>
      </c>
      <c r="Q609" s="4" t="s">
        <v>26</v>
      </c>
      <c r="R609" s="4">
        <v>0</v>
      </c>
      <c r="S609" s="4" t="s">
        <v>246</v>
      </c>
      <c r="U609" s="4">
        <v>27</v>
      </c>
      <c r="V609" s="4">
        <v>0</v>
      </c>
      <c r="W609" s="4">
        <v>0</v>
      </c>
    </row>
    <row r="610" spans="1:23" ht="11.25" customHeight="1" x14ac:dyDescent="0.25">
      <c r="A610" s="4" t="s">
        <v>21</v>
      </c>
      <c r="B610" s="4" t="s">
        <v>41</v>
      </c>
      <c r="C610" s="4" t="s">
        <v>44</v>
      </c>
      <c r="D610" s="4" t="s">
        <v>54</v>
      </c>
      <c r="E610" s="4" t="s">
        <v>25</v>
      </c>
      <c r="F610" s="4" t="s">
        <v>25</v>
      </c>
      <c r="G610" s="4" t="s">
        <v>25</v>
      </c>
      <c r="H610" s="4" t="s">
        <v>36</v>
      </c>
      <c r="I610" s="5">
        <v>44531</v>
      </c>
      <c r="J610" s="6">
        <v>0</v>
      </c>
      <c r="K610" s="6">
        <v>0</v>
      </c>
      <c r="L610" s="6">
        <v>2.4</v>
      </c>
      <c r="M610" s="6">
        <v>2.4</v>
      </c>
      <c r="N610" s="6">
        <v>2.4</v>
      </c>
      <c r="O610" s="6">
        <v>2.4</v>
      </c>
      <c r="P610" s="6">
        <v>0</v>
      </c>
      <c r="Q610" s="4" t="s">
        <v>26</v>
      </c>
      <c r="R610" s="4">
        <v>0</v>
      </c>
      <c r="S610" s="4" t="s">
        <v>247</v>
      </c>
      <c r="T610" s="4" t="s">
        <v>504</v>
      </c>
      <c r="U610" s="4">
        <v>0</v>
      </c>
      <c r="V610" s="4">
        <v>28</v>
      </c>
      <c r="W610" s="4">
        <v>74</v>
      </c>
    </row>
    <row r="611" spans="1:23" ht="11.25" customHeight="1" x14ac:dyDescent="0.25">
      <c r="A611" s="4" t="s">
        <v>21</v>
      </c>
      <c r="B611" s="4" t="s">
        <v>41</v>
      </c>
      <c r="C611" s="4" t="s">
        <v>44</v>
      </c>
      <c r="D611" s="4" t="s">
        <v>54</v>
      </c>
      <c r="E611" s="4" t="s">
        <v>25</v>
      </c>
      <c r="F611" s="4" t="s">
        <v>25</v>
      </c>
      <c r="G611" s="4" t="s">
        <v>25</v>
      </c>
      <c r="H611" s="4" t="s">
        <v>36</v>
      </c>
      <c r="I611" s="5">
        <v>44562</v>
      </c>
      <c r="J611" s="6">
        <v>0</v>
      </c>
      <c r="K611" s="6">
        <v>0</v>
      </c>
      <c r="L611" s="6">
        <v>3.3889999999999998</v>
      </c>
      <c r="M611" s="6">
        <v>3.3889999999999998</v>
      </c>
      <c r="N611" s="6">
        <v>3.3889999999999998</v>
      </c>
      <c r="O611" s="6">
        <v>3.3889999999999998</v>
      </c>
      <c r="P611" s="6">
        <v>0</v>
      </c>
      <c r="Q611" s="4" t="s">
        <v>26</v>
      </c>
      <c r="R611" s="4">
        <v>0</v>
      </c>
      <c r="S611" s="4" t="s">
        <v>248</v>
      </c>
      <c r="T611" s="4" t="s">
        <v>505</v>
      </c>
      <c r="U611" s="4">
        <v>0</v>
      </c>
      <c r="V611" s="4">
        <v>28</v>
      </c>
      <c r="W611" s="4">
        <v>74</v>
      </c>
    </row>
    <row r="612" spans="1:23" ht="11.25" customHeight="1" x14ac:dyDescent="0.25">
      <c r="A612" s="4" t="s">
        <v>21</v>
      </c>
      <c r="B612" s="4" t="s">
        <v>41</v>
      </c>
      <c r="C612" s="4" t="s">
        <v>44</v>
      </c>
      <c r="D612" s="4" t="s">
        <v>54</v>
      </c>
      <c r="E612" s="4" t="s">
        <v>25</v>
      </c>
      <c r="F612" s="4" t="s">
        <v>25</v>
      </c>
      <c r="G612" s="4" t="s">
        <v>25</v>
      </c>
      <c r="H612" s="4" t="s">
        <v>36</v>
      </c>
      <c r="I612" s="5">
        <v>44593</v>
      </c>
      <c r="J612" s="6">
        <v>0</v>
      </c>
      <c r="K612" s="6">
        <v>0</v>
      </c>
      <c r="L612" s="6">
        <v>4.2880000000000003</v>
      </c>
      <c r="M612" s="6">
        <v>4.2880000000000003</v>
      </c>
      <c r="N612" s="6">
        <v>4.2880000000000003</v>
      </c>
      <c r="O612" s="6">
        <v>4.2880000000000003</v>
      </c>
      <c r="P612" s="6">
        <v>0</v>
      </c>
      <c r="Q612" s="4" t="s">
        <v>26</v>
      </c>
      <c r="R612" s="4">
        <v>0</v>
      </c>
      <c r="S612" s="4" t="s">
        <v>249</v>
      </c>
      <c r="T612" s="4" t="s">
        <v>506</v>
      </c>
      <c r="U612" s="4">
        <v>0</v>
      </c>
      <c r="V612" s="4">
        <v>28</v>
      </c>
      <c r="W612" s="4">
        <v>74</v>
      </c>
    </row>
    <row r="613" spans="1:23" ht="11.25" customHeight="1" x14ac:dyDescent="0.25">
      <c r="A613" s="4" t="s">
        <v>21</v>
      </c>
      <c r="B613" s="4" t="s">
        <v>41</v>
      </c>
      <c r="C613" s="4" t="s">
        <v>44</v>
      </c>
      <c r="D613" s="4" t="s">
        <v>54</v>
      </c>
      <c r="E613" s="4" t="s">
        <v>25</v>
      </c>
      <c r="F613" s="4" t="s">
        <v>25</v>
      </c>
      <c r="G613" s="4" t="s">
        <v>25</v>
      </c>
      <c r="H613" s="4" t="s">
        <v>36</v>
      </c>
      <c r="I613" s="5">
        <v>44621</v>
      </c>
      <c r="J613" s="6">
        <v>0</v>
      </c>
      <c r="K613" s="6">
        <v>0</v>
      </c>
      <c r="L613" s="6">
        <v>4.28</v>
      </c>
      <c r="M613" s="6">
        <v>4.28</v>
      </c>
      <c r="N613" s="6">
        <v>4.28</v>
      </c>
      <c r="O613" s="6">
        <v>4.28</v>
      </c>
      <c r="P613" s="6">
        <v>0</v>
      </c>
      <c r="Q613" s="4" t="s">
        <v>26</v>
      </c>
      <c r="R613" s="4">
        <v>0</v>
      </c>
      <c r="S613" s="4" t="s">
        <v>250</v>
      </c>
      <c r="T613" s="4" t="s">
        <v>507</v>
      </c>
      <c r="U613" s="4">
        <v>0</v>
      </c>
      <c r="V613" s="4">
        <v>28</v>
      </c>
      <c r="W613" s="4">
        <v>74</v>
      </c>
    </row>
    <row r="614" spans="1:23" ht="11.25" customHeight="1" x14ac:dyDescent="0.25">
      <c r="A614" s="4" t="s">
        <v>21</v>
      </c>
      <c r="B614" s="4" t="s">
        <v>41</v>
      </c>
      <c r="C614" s="4" t="s">
        <v>44</v>
      </c>
      <c r="D614" s="4" t="s">
        <v>54</v>
      </c>
      <c r="E614" s="4" t="s">
        <v>25</v>
      </c>
      <c r="F614" s="4" t="s">
        <v>25</v>
      </c>
      <c r="G614" s="4" t="s">
        <v>25</v>
      </c>
      <c r="H614" s="4" t="s">
        <v>36</v>
      </c>
      <c r="I614" s="5">
        <v>44652</v>
      </c>
      <c r="J614" s="6">
        <v>0</v>
      </c>
      <c r="K614" s="6">
        <v>0</v>
      </c>
      <c r="L614" s="6">
        <v>3.847</v>
      </c>
      <c r="M614" s="6">
        <v>3.847</v>
      </c>
      <c r="N614" s="6">
        <v>3.847</v>
      </c>
      <c r="O614" s="6">
        <v>3.847</v>
      </c>
      <c r="P614" s="6">
        <v>0</v>
      </c>
      <c r="Q614" s="4" t="s">
        <v>26</v>
      </c>
      <c r="R614" s="4">
        <v>0</v>
      </c>
      <c r="S614" s="4" t="s">
        <v>251</v>
      </c>
      <c r="T614" s="4" t="s">
        <v>508</v>
      </c>
      <c r="U614" s="4">
        <v>0</v>
      </c>
      <c r="V614" s="4">
        <v>28</v>
      </c>
      <c r="W614" s="4">
        <v>74</v>
      </c>
    </row>
    <row r="615" spans="1:23" ht="11.25" customHeight="1" x14ac:dyDescent="0.25">
      <c r="A615" s="4" t="s">
        <v>21</v>
      </c>
      <c r="B615" s="4" t="s">
        <v>41</v>
      </c>
      <c r="C615" s="4" t="s">
        <v>44</v>
      </c>
      <c r="D615" s="4" t="s">
        <v>54</v>
      </c>
      <c r="E615" s="4" t="s">
        <v>25</v>
      </c>
      <c r="F615" s="4" t="s">
        <v>25</v>
      </c>
      <c r="G615" s="4" t="s">
        <v>25</v>
      </c>
      <c r="H615" s="4" t="s">
        <v>36</v>
      </c>
      <c r="I615" s="5">
        <v>44682</v>
      </c>
      <c r="J615" s="6">
        <v>0</v>
      </c>
      <c r="K615" s="6">
        <v>0</v>
      </c>
      <c r="L615" s="6">
        <v>4.5060000000000002</v>
      </c>
      <c r="M615" s="6">
        <v>4.5060000000000002</v>
      </c>
      <c r="N615" s="6">
        <v>4.5060000000000002</v>
      </c>
      <c r="O615" s="6">
        <v>4.5060000000000002</v>
      </c>
      <c r="P615" s="6">
        <v>0</v>
      </c>
      <c r="Q615" s="4" t="s">
        <v>26</v>
      </c>
      <c r="R615" s="4">
        <v>0</v>
      </c>
      <c r="S615" s="4" t="s">
        <v>252</v>
      </c>
      <c r="T615" s="4" t="s">
        <v>509</v>
      </c>
      <c r="U615" s="4">
        <v>0</v>
      </c>
      <c r="V615" s="4">
        <v>28</v>
      </c>
      <c r="W615" s="4">
        <v>74</v>
      </c>
    </row>
    <row r="616" spans="1:23" ht="11.25" customHeight="1" x14ac:dyDescent="0.25">
      <c r="A616" s="4" t="s">
        <v>21</v>
      </c>
      <c r="B616" s="4" t="s">
        <v>41</v>
      </c>
      <c r="C616" s="4" t="s">
        <v>44</v>
      </c>
      <c r="D616" s="4" t="s">
        <v>54</v>
      </c>
      <c r="E616" s="4" t="s">
        <v>25</v>
      </c>
      <c r="F616" s="4" t="s">
        <v>25</v>
      </c>
      <c r="G616" s="4" t="s">
        <v>25</v>
      </c>
      <c r="H616" s="4" t="s">
        <v>36</v>
      </c>
      <c r="I616" s="5">
        <v>44713</v>
      </c>
      <c r="J616" s="6">
        <v>0</v>
      </c>
      <c r="K616" s="6">
        <v>0</v>
      </c>
      <c r="L616" s="6">
        <v>4.3109999999999999</v>
      </c>
      <c r="M616" s="6">
        <v>4.3109999999999999</v>
      </c>
      <c r="N616" s="6">
        <v>4.3109999999999999</v>
      </c>
      <c r="O616" s="6">
        <v>4.3109999999999999</v>
      </c>
      <c r="P616" s="6">
        <v>0</v>
      </c>
      <c r="Q616" s="4" t="s">
        <v>26</v>
      </c>
      <c r="R616" s="4">
        <v>0</v>
      </c>
      <c r="S616" s="4" t="s">
        <v>253</v>
      </c>
      <c r="T616" s="4" t="s">
        <v>510</v>
      </c>
      <c r="U616" s="4">
        <v>0</v>
      </c>
      <c r="V616" s="4">
        <v>28</v>
      </c>
      <c r="W616" s="4">
        <v>74</v>
      </c>
    </row>
    <row r="617" spans="1:23" ht="11.25" customHeight="1" x14ac:dyDescent="0.25">
      <c r="A617" s="4" t="s">
        <v>21</v>
      </c>
      <c r="B617" s="4" t="s">
        <v>41</v>
      </c>
      <c r="C617" s="4" t="s">
        <v>44</v>
      </c>
      <c r="D617" s="4" t="s">
        <v>54</v>
      </c>
      <c r="E617" s="4" t="s">
        <v>25</v>
      </c>
      <c r="F617" s="4" t="s">
        <v>25</v>
      </c>
      <c r="G617" s="4" t="s">
        <v>25</v>
      </c>
      <c r="H617" s="4" t="s">
        <v>36</v>
      </c>
      <c r="I617" s="5">
        <v>44743</v>
      </c>
      <c r="J617" s="6">
        <v>0</v>
      </c>
      <c r="K617" s="6">
        <v>0</v>
      </c>
      <c r="L617" s="6">
        <v>4.4589999999999996</v>
      </c>
      <c r="M617" s="6">
        <v>4.4589999999999996</v>
      </c>
      <c r="N617" s="6">
        <v>4.4589999999999996</v>
      </c>
      <c r="O617" s="6">
        <v>4.4589999999999996</v>
      </c>
      <c r="P617" s="6">
        <v>0</v>
      </c>
      <c r="Q617" s="4" t="s">
        <v>26</v>
      </c>
      <c r="R617" s="4">
        <v>0</v>
      </c>
      <c r="S617" s="4" t="s">
        <v>254</v>
      </c>
      <c r="T617" s="4" t="s">
        <v>511</v>
      </c>
      <c r="U617" s="4">
        <v>0</v>
      </c>
      <c r="V617" s="4">
        <v>28</v>
      </c>
      <c r="W617" s="4">
        <v>74</v>
      </c>
    </row>
    <row r="618" spans="1:23" ht="11.25" customHeight="1" x14ac:dyDescent="0.25">
      <c r="A618" s="4" t="s">
        <v>21</v>
      </c>
      <c r="B618" s="4" t="s">
        <v>41</v>
      </c>
      <c r="C618" s="4" t="s">
        <v>44</v>
      </c>
      <c r="D618" s="4" t="s">
        <v>54</v>
      </c>
      <c r="E618" s="4" t="s">
        <v>25</v>
      </c>
      <c r="F618" s="4" t="s">
        <v>25</v>
      </c>
      <c r="G618" s="4" t="s">
        <v>25</v>
      </c>
      <c r="H618" s="4" t="s">
        <v>36</v>
      </c>
      <c r="I618" s="5">
        <v>44774</v>
      </c>
      <c r="J618" s="6">
        <v>0</v>
      </c>
      <c r="K618" s="6">
        <v>0</v>
      </c>
      <c r="L618" s="6">
        <v>2.8759999999999999</v>
      </c>
      <c r="M618" s="6">
        <v>2.8759999999999999</v>
      </c>
      <c r="N618" s="6">
        <v>2.8759999999999999</v>
      </c>
      <c r="O618" s="6">
        <v>2.8759999999999999</v>
      </c>
      <c r="P618" s="6">
        <v>0</v>
      </c>
      <c r="Q618" s="4" t="s">
        <v>26</v>
      </c>
      <c r="R618" s="4">
        <v>0</v>
      </c>
      <c r="S618" s="4" t="s">
        <v>255</v>
      </c>
      <c r="T618" s="4" t="s">
        <v>512</v>
      </c>
      <c r="U618" s="4">
        <v>0</v>
      </c>
      <c r="V618" s="4">
        <v>28</v>
      </c>
      <c r="W618" s="4">
        <v>74</v>
      </c>
    </row>
    <row r="619" spans="1:23" ht="11.25" customHeight="1" x14ac:dyDescent="0.25">
      <c r="A619" s="4" t="s">
        <v>21</v>
      </c>
      <c r="B619" s="4" t="s">
        <v>41</v>
      </c>
      <c r="C619" s="4" t="s">
        <v>44</v>
      </c>
      <c r="D619" s="4" t="s">
        <v>54</v>
      </c>
      <c r="E619" s="4" t="s">
        <v>25</v>
      </c>
      <c r="F619" s="4" t="s">
        <v>25</v>
      </c>
      <c r="G619" s="4" t="s">
        <v>25</v>
      </c>
      <c r="H619" s="4" t="s">
        <v>36</v>
      </c>
      <c r="I619" s="5">
        <v>44805</v>
      </c>
      <c r="J619" s="6">
        <v>0</v>
      </c>
      <c r="K619" s="6">
        <v>0</v>
      </c>
      <c r="L619" s="6">
        <v>3.0169999999999999</v>
      </c>
      <c r="M619" s="6">
        <v>3.0169999999999999</v>
      </c>
      <c r="N619" s="6">
        <v>3.0169999999999999</v>
      </c>
      <c r="O619" s="6">
        <v>3.0169999999999999</v>
      </c>
      <c r="P619" s="6">
        <v>0</v>
      </c>
      <c r="Q619" s="4" t="s">
        <v>26</v>
      </c>
      <c r="R619" s="4">
        <v>0</v>
      </c>
      <c r="S619" s="4" t="s">
        <v>256</v>
      </c>
      <c r="T619" s="4" t="s">
        <v>513</v>
      </c>
      <c r="U619" s="4">
        <v>0</v>
      </c>
      <c r="V619" s="4">
        <v>28</v>
      </c>
      <c r="W619" s="4">
        <v>74</v>
      </c>
    </row>
    <row r="620" spans="1:23" ht="11.25" customHeight="1" x14ac:dyDescent="0.25">
      <c r="A620" s="4" t="s">
        <v>21</v>
      </c>
      <c r="B620" s="4" t="s">
        <v>41</v>
      </c>
      <c r="C620" s="4" t="s">
        <v>44</v>
      </c>
      <c r="D620" s="4" t="s">
        <v>54</v>
      </c>
      <c r="E620" s="4" t="s">
        <v>25</v>
      </c>
      <c r="F620" s="4" t="s">
        <v>25</v>
      </c>
      <c r="G620" s="4" t="s">
        <v>25</v>
      </c>
      <c r="H620" s="4" t="s">
        <v>36</v>
      </c>
      <c r="I620" s="5">
        <v>44835</v>
      </c>
      <c r="J620" s="6">
        <v>0</v>
      </c>
      <c r="K620" s="6">
        <v>0</v>
      </c>
      <c r="L620" s="6">
        <v>4.6980000000000004</v>
      </c>
      <c r="M620" s="6">
        <v>4.6980000000000004</v>
      </c>
      <c r="N620" s="6">
        <v>4.6980000000000004</v>
      </c>
      <c r="O620" s="6">
        <v>4.6980000000000004</v>
      </c>
      <c r="P620" s="6">
        <v>0</v>
      </c>
      <c r="Q620" s="4" t="s">
        <v>26</v>
      </c>
      <c r="R620" s="4">
        <v>0</v>
      </c>
      <c r="S620" s="4" t="s">
        <v>257</v>
      </c>
      <c r="T620" s="4" t="s">
        <v>514</v>
      </c>
      <c r="U620" s="4">
        <v>0</v>
      </c>
      <c r="V620" s="4">
        <v>28</v>
      </c>
      <c r="W620" s="4">
        <v>74</v>
      </c>
    </row>
    <row r="621" spans="1:23" ht="11.25" customHeight="1" x14ac:dyDescent="0.25">
      <c r="A621" s="4" t="s">
        <v>59</v>
      </c>
      <c r="B621" s="4" t="s">
        <v>41</v>
      </c>
      <c r="C621" s="4" t="s">
        <v>44</v>
      </c>
      <c r="D621" s="4" t="s">
        <v>54</v>
      </c>
      <c r="E621" s="4" t="s">
        <v>25</v>
      </c>
      <c r="F621" s="4" t="s">
        <v>25</v>
      </c>
      <c r="G621" s="4" t="s">
        <v>25</v>
      </c>
      <c r="H621" s="4" t="s">
        <v>36</v>
      </c>
      <c r="I621" s="5">
        <v>44866</v>
      </c>
      <c r="J621" s="6">
        <v>0</v>
      </c>
      <c r="K621" s="6">
        <v>0</v>
      </c>
      <c r="L621" s="6">
        <v>4.6980000000000004</v>
      </c>
      <c r="M621" s="6">
        <v>4.6980000000000004</v>
      </c>
      <c r="N621" s="6">
        <v>4.6980000000000004</v>
      </c>
      <c r="O621" s="6">
        <v>4.6980000000000004</v>
      </c>
      <c r="P621" s="6">
        <v>0</v>
      </c>
      <c r="Q621" s="4" t="s">
        <v>26</v>
      </c>
      <c r="R621" s="4">
        <v>0</v>
      </c>
      <c r="S621" s="4" t="s">
        <v>258</v>
      </c>
      <c r="T621" s="4" t="s">
        <v>515</v>
      </c>
      <c r="U621" s="4">
        <v>0</v>
      </c>
      <c r="V621" s="4">
        <v>28</v>
      </c>
      <c r="W621" s="4">
        <v>74</v>
      </c>
    </row>
    <row r="622" spans="1:23" ht="11.25" customHeight="1" x14ac:dyDescent="0.25">
      <c r="A622" s="4" t="s">
        <v>21</v>
      </c>
      <c r="B622" s="4" t="s">
        <v>41</v>
      </c>
      <c r="C622" s="4" t="s">
        <v>44</v>
      </c>
      <c r="D622" s="4" t="s">
        <v>40</v>
      </c>
      <c r="E622" s="4" t="s">
        <v>25</v>
      </c>
      <c r="F622" s="4" t="s">
        <v>60</v>
      </c>
      <c r="G622" s="4" t="s">
        <v>25</v>
      </c>
      <c r="H622" s="4" t="s">
        <v>37</v>
      </c>
      <c r="I622" s="5">
        <v>44531</v>
      </c>
      <c r="J622" s="6">
        <v>0</v>
      </c>
      <c r="K622" s="6">
        <v>0</v>
      </c>
      <c r="L622" s="6">
        <v>2450.3670000000002</v>
      </c>
      <c r="M622" s="6">
        <v>2450.3670000000002</v>
      </c>
      <c r="N622" s="6">
        <v>0</v>
      </c>
      <c r="O622" s="6">
        <v>0</v>
      </c>
      <c r="P622" s="6">
        <v>0</v>
      </c>
      <c r="Q622" s="4" t="s">
        <v>61</v>
      </c>
      <c r="R622" s="4">
        <v>0</v>
      </c>
      <c r="S622" s="4" t="s">
        <v>223</v>
      </c>
      <c r="U622" s="4">
        <v>0</v>
      </c>
      <c r="V622" s="4">
        <v>29</v>
      </c>
      <c r="W622" s="4">
        <v>0</v>
      </c>
    </row>
    <row r="623" spans="1:23" ht="11.25" customHeight="1" x14ac:dyDescent="0.25">
      <c r="A623" s="4" t="s">
        <v>21</v>
      </c>
      <c r="B623" s="4" t="s">
        <v>41</v>
      </c>
      <c r="C623" s="4" t="s">
        <v>44</v>
      </c>
      <c r="D623" s="4" t="s">
        <v>40</v>
      </c>
      <c r="E623" s="4" t="s">
        <v>25</v>
      </c>
      <c r="F623" s="4" t="s">
        <v>60</v>
      </c>
      <c r="G623" s="4" t="s">
        <v>25</v>
      </c>
      <c r="H623" s="4" t="s">
        <v>37</v>
      </c>
      <c r="I623" s="5">
        <v>44562</v>
      </c>
      <c r="J623" s="6">
        <v>0</v>
      </c>
      <c r="K623" s="6">
        <v>0</v>
      </c>
      <c r="L623" s="6">
        <v>2744.922</v>
      </c>
      <c r="M623" s="6">
        <v>2744.922</v>
      </c>
      <c r="N623" s="6">
        <v>0</v>
      </c>
      <c r="O623" s="6">
        <v>0</v>
      </c>
      <c r="P623" s="6">
        <v>0</v>
      </c>
      <c r="Q623" s="4" t="s">
        <v>61</v>
      </c>
      <c r="R623" s="4">
        <v>0</v>
      </c>
      <c r="S623" s="4" t="s">
        <v>224</v>
      </c>
      <c r="U623" s="4">
        <v>0</v>
      </c>
      <c r="V623" s="4">
        <v>29</v>
      </c>
      <c r="W623" s="4">
        <v>0</v>
      </c>
    </row>
    <row r="624" spans="1:23" ht="11.25" customHeight="1" x14ac:dyDescent="0.25">
      <c r="A624" s="4" t="s">
        <v>21</v>
      </c>
      <c r="B624" s="4" t="s">
        <v>41</v>
      </c>
      <c r="C624" s="4" t="s">
        <v>44</v>
      </c>
      <c r="D624" s="4" t="s">
        <v>40</v>
      </c>
      <c r="E624" s="4" t="s">
        <v>25</v>
      </c>
      <c r="F624" s="4" t="s">
        <v>60</v>
      </c>
      <c r="G624" s="4" t="s">
        <v>25</v>
      </c>
      <c r="H624" s="4" t="s">
        <v>37</v>
      </c>
      <c r="I624" s="5">
        <v>44593</v>
      </c>
      <c r="J624" s="6">
        <v>0</v>
      </c>
      <c r="K624" s="6">
        <v>0</v>
      </c>
      <c r="L624" s="6">
        <v>2716.1419999999998</v>
      </c>
      <c r="M624" s="6">
        <v>2716.1419999999998</v>
      </c>
      <c r="N624" s="6">
        <v>0</v>
      </c>
      <c r="O624" s="6">
        <v>0</v>
      </c>
      <c r="P624" s="6">
        <v>0</v>
      </c>
      <c r="Q624" s="4" t="s">
        <v>61</v>
      </c>
      <c r="R624" s="4">
        <v>0</v>
      </c>
      <c r="S624" s="4" t="s">
        <v>225</v>
      </c>
      <c r="U624" s="4">
        <v>0</v>
      </c>
      <c r="V624" s="4">
        <v>29</v>
      </c>
      <c r="W624" s="4">
        <v>0</v>
      </c>
    </row>
    <row r="625" spans="1:23" ht="11.25" customHeight="1" x14ac:dyDescent="0.25">
      <c r="A625" s="4" t="s">
        <v>21</v>
      </c>
      <c r="B625" s="4" t="s">
        <v>41</v>
      </c>
      <c r="C625" s="4" t="s">
        <v>44</v>
      </c>
      <c r="D625" s="4" t="s">
        <v>40</v>
      </c>
      <c r="E625" s="4" t="s">
        <v>25</v>
      </c>
      <c r="F625" s="4" t="s">
        <v>60</v>
      </c>
      <c r="G625" s="4" t="s">
        <v>25</v>
      </c>
      <c r="H625" s="4" t="s">
        <v>37</v>
      </c>
      <c r="I625" s="5">
        <v>44621</v>
      </c>
      <c r="J625" s="6">
        <v>0</v>
      </c>
      <c r="K625" s="6">
        <v>0</v>
      </c>
      <c r="L625" s="6">
        <v>2189.94</v>
      </c>
      <c r="M625" s="6">
        <v>2189.94</v>
      </c>
      <c r="N625" s="6">
        <v>0</v>
      </c>
      <c r="O625" s="6">
        <v>0</v>
      </c>
      <c r="P625" s="6">
        <v>0</v>
      </c>
      <c r="Q625" s="4" t="s">
        <v>61</v>
      </c>
      <c r="R625" s="4">
        <v>0</v>
      </c>
      <c r="S625" s="4" t="s">
        <v>226</v>
      </c>
      <c r="U625" s="4">
        <v>0</v>
      </c>
      <c r="V625" s="4">
        <v>29</v>
      </c>
      <c r="W625" s="4">
        <v>0</v>
      </c>
    </row>
    <row r="626" spans="1:23" ht="11.25" customHeight="1" x14ac:dyDescent="0.25">
      <c r="A626" s="4" t="s">
        <v>21</v>
      </c>
      <c r="B626" s="4" t="s">
        <v>41</v>
      </c>
      <c r="C626" s="4" t="s">
        <v>44</v>
      </c>
      <c r="D626" s="4" t="s">
        <v>40</v>
      </c>
      <c r="E626" s="4" t="s">
        <v>25</v>
      </c>
      <c r="F626" s="4" t="s">
        <v>60</v>
      </c>
      <c r="G626" s="4" t="s">
        <v>25</v>
      </c>
      <c r="H626" s="4" t="s">
        <v>37</v>
      </c>
      <c r="I626" s="5">
        <v>44652</v>
      </c>
      <c r="J626" s="6">
        <v>0</v>
      </c>
      <c r="K626" s="6">
        <v>0</v>
      </c>
      <c r="L626" s="6">
        <v>2757.8380000000002</v>
      </c>
      <c r="M626" s="6">
        <v>2757.8380000000002</v>
      </c>
      <c r="N626" s="6">
        <v>0</v>
      </c>
      <c r="O626" s="6">
        <v>0</v>
      </c>
      <c r="P626" s="6">
        <v>0</v>
      </c>
      <c r="Q626" s="4" t="s">
        <v>61</v>
      </c>
      <c r="R626" s="4">
        <v>0</v>
      </c>
      <c r="S626" s="4" t="s">
        <v>227</v>
      </c>
      <c r="U626" s="4">
        <v>0</v>
      </c>
      <c r="V626" s="4">
        <v>29</v>
      </c>
      <c r="W626" s="4">
        <v>0</v>
      </c>
    </row>
    <row r="627" spans="1:23" ht="11.25" customHeight="1" x14ac:dyDescent="0.25">
      <c r="A627" s="4" t="s">
        <v>21</v>
      </c>
      <c r="B627" s="4" t="s">
        <v>41</v>
      </c>
      <c r="C627" s="4" t="s">
        <v>44</v>
      </c>
      <c r="D627" s="4" t="s">
        <v>40</v>
      </c>
      <c r="E627" s="4" t="s">
        <v>25</v>
      </c>
      <c r="F627" s="4" t="s">
        <v>60</v>
      </c>
      <c r="G627" s="4" t="s">
        <v>25</v>
      </c>
      <c r="H627" s="4" t="s">
        <v>37</v>
      </c>
      <c r="I627" s="5">
        <v>44682</v>
      </c>
      <c r="J627" s="6">
        <v>0</v>
      </c>
      <c r="K627" s="6">
        <v>0</v>
      </c>
      <c r="L627" s="6">
        <v>2743.1109999999999</v>
      </c>
      <c r="M627" s="6">
        <v>2743.1109999999999</v>
      </c>
      <c r="N627" s="6">
        <v>0</v>
      </c>
      <c r="O627" s="6">
        <v>0</v>
      </c>
      <c r="P627" s="6">
        <v>0</v>
      </c>
      <c r="Q627" s="4" t="s">
        <v>61</v>
      </c>
      <c r="R627" s="4">
        <v>0</v>
      </c>
      <c r="S627" s="4" t="s">
        <v>228</v>
      </c>
      <c r="U627" s="4">
        <v>0</v>
      </c>
      <c r="V627" s="4">
        <v>29</v>
      </c>
      <c r="W627" s="4">
        <v>0</v>
      </c>
    </row>
    <row r="628" spans="1:23" ht="11.25" customHeight="1" x14ac:dyDescent="0.25">
      <c r="A628" s="4" t="s">
        <v>21</v>
      </c>
      <c r="B628" s="4" t="s">
        <v>41</v>
      </c>
      <c r="C628" s="4" t="s">
        <v>44</v>
      </c>
      <c r="D628" s="4" t="s">
        <v>40</v>
      </c>
      <c r="E628" s="4" t="s">
        <v>25</v>
      </c>
      <c r="F628" s="4" t="s">
        <v>60</v>
      </c>
      <c r="G628" s="4" t="s">
        <v>25</v>
      </c>
      <c r="H628" s="4" t="s">
        <v>37</v>
      </c>
      <c r="I628" s="5">
        <v>44713</v>
      </c>
      <c r="J628" s="6">
        <v>0</v>
      </c>
      <c r="K628" s="6">
        <v>0</v>
      </c>
      <c r="L628" s="6">
        <v>2862.6149999999998</v>
      </c>
      <c r="M628" s="6">
        <v>2862.6149999999998</v>
      </c>
      <c r="N628" s="6">
        <v>0</v>
      </c>
      <c r="O628" s="6">
        <v>0</v>
      </c>
      <c r="P628" s="6">
        <v>0</v>
      </c>
      <c r="Q628" s="4" t="s">
        <v>61</v>
      </c>
      <c r="R628" s="4">
        <v>0</v>
      </c>
      <c r="S628" s="4" t="s">
        <v>229</v>
      </c>
      <c r="U628" s="4">
        <v>0</v>
      </c>
      <c r="V628" s="4">
        <v>29</v>
      </c>
      <c r="W628" s="4">
        <v>0</v>
      </c>
    </row>
    <row r="629" spans="1:23" ht="11.25" customHeight="1" x14ac:dyDescent="0.25">
      <c r="A629" s="4" t="s">
        <v>21</v>
      </c>
      <c r="B629" s="4" t="s">
        <v>41</v>
      </c>
      <c r="C629" s="4" t="s">
        <v>44</v>
      </c>
      <c r="D629" s="4" t="s">
        <v>40</v>
      </c>
      <c r="E629" s="4" t="s">
        <v>25</v>
      </c>
      <c r="F629" s="4" t="s">
        <v>60</v>
      </c>
      <c r="G629" s="4" t="s">
        <v>25</v>
      </c>
      <c r="H629" s="4" t="s">
        <v>37</v>
      </c>
      <c r="I629" s="5">
        <v>44743</v>
      </c>
      <c r="J629" s="6">
        <v>0</v>
      </c>
      <c r="K629" s="6">
        <v>0</v>
      </c>
      <c r="L629" s="6">
        <v>2650.5569999999998</v>
      </c>
      <c r="M629" s="6">
        <v>2650.5569999999998</v>
      </c>
      <c r="N629" s="6">
        <v>0</v>
      </c>
      <c r="O629" s="6">
        <v>0</v>
      </c>
      <c r="P629" s="6">
        <v>0</v>
      </c>
      <c r="Q629" s="4" t="s">
        <v>61</v>
      </c>
      <c r="R629" s="4">
        <v>0</v>
      </c>
      <c r="S629" s="4" t="s">
        <v>230</v>
      </c>
      <c r="U629" s="4">
        <v>0</v>
      </c>
      <c r="V629" s="4">
        <v>29</v>
      </c>
      <c r="W629" s="4">
        <v>0</v>
      </c>
    </row>
    <row r="630" spans="1:23" ht="11.25" customHeight="1" x14ac:dyDescent="0.25">
      <c r="A630" s="4" t="s">
        <v>21</v>
      </c>
      <c r="B630" s="4" t="s">
        <v>41</v>
      </c>
      <c r="C630" s="4" t="s">
        <v>44</v>
      </c>
      <c r="D630" s="4" t="s">
        <v>40</v>
      </c>
      <c r="E630" s="4" t="s">
        <v>25</v>
      </c>
      <c r="F630" s="4" t="s">
        <v>60</v>
      </c>
      <c r="G630" s="4" t="s">
        <v>25</v>
      </c>
      <c r="H630" s="4" t="s">
        <v>37</v>
      </c>
      <c r="I630" s="5">
        <v>44774</v>
      </c>
      <c r="J630" s="6">
        <v>0</v>
      </c>
      <c r="K630" s="6">
        <v>0</v>
      </c>
      <c r="L630" s="6">
        <v>2895.6869999999999</v>
      </c>
      <c r="M630" s="6">
        <v>2895.6869999999999</v>
      </c>
      <c r="N630" s="6">
        <v>0</v>
      </c>
      <c r="O630" s="6">
        <v>0</v>
      </c>
      <c r="P630" s="6">
        <v>0</v>
      </c>
      <c r="Q630" s="4" t="s">
        <v>61</v>
      </c>
      <c r="R630" s="4">
        <v>0</v>
      </c>
      <c r="S630" s="4" t="s">
        <v>231</v>
      </c>
      <c r="U630" s="4">
        <v>0</v>
      </c>
      <c r="V630" s="4">
        <v>29</v>
      </c>
      <c r="W630" s="4">
        <v>0</v>
      </c>
    </row>
    <row r="631" spans="1:23" ht="11.25" customHeight="1" x14ac:dyDescent="0.25">
      <c r="A631" s="4" t="s">
        <v>21</v>
      </c>
      <c r="B631" s="4" t="s">
        <v>41</v>
      </c>
      <c r="C631" s="4" t="s">
        <v>44</v>
      </c>
      <c r="D631" s="4" t="s">
        <v>40</v>
      </c>
      <c r="E631" s="4" t="s">
        <v>25</v>
      </c>
      <c r="F631" s="4" t="s">
        <v>60</v>
      </c>
      <c r="G631" s="4" t="s">
        <v>25</v>
      </c>
      <c r="H631" s="4" t="s">
        <v>37</v>
      </c>
      <c r="I631" s="5">
        <v>44805</v>
      </c>
      <c r="J631" s="6">
        <v>0</v>
      </c>
      <c r="K631" s="6">
        <v>0</v>
      </c>
      <c r="L631" s="6">
        <v>2887.0039999999999</v>
      </c>
      <c r="M631" s="6">
        <v>2887.0039999999999</v>
      </c>
      <c r="N631" s="6">
        <v>0</v>
      </c>
      <c r="O631" s="6">
        <v>0</v>
      </c>
      <c r="P631" s="6">
        <v>0</v>
      </c>
      <c r="Q631" s="4" t="s">
        <v>61</v>
      </c>
      <c r="R631" s="4">
        <v>0</v>
      </c>
      <c r="S631" s="4" t="s">
        <v>232</v>
      </c>
      <c r="U631" s="4">
        <v>0</v>
      </c>
      <c r="V631" s="4">
        <v>29</v>
      </c>
      <c r="W631" s="4">
        <v>0</v>
      </c>
    </row>
    <row r="632" spans="1:23" ht="11.25" customHeight="1" x14ac:dyDescent="0.25">
      <c r="A632" s="4" t="s">
        <v>21</v>
      </c>
      <c r="B632" s="4" t="s">
        <v>41</v>
      </c>
      <c r="C632" s="4" t="s">
        <v>44</v>
      </c>
      <c r="D632" s="4" t="s">
        <v>40</v>
      </c>
      <c r="E632" s="4" t="s">
        <v>25</v>
      </c>
      <c r="F632" s="4" t="s">
        <v>60</v>
      </c>
      <c r="G632" s="4" t="s">
        <v>25</v>
      </c>
      <c r="H632" s="4" t="s">
        <v>37</v>
      </c>
      <c r="I632" s="5">
        <v>44835</v>
      </c>
      <c r="J632" s="6">
        <v>0</v>
      </c>
      <c r="K632" s="6">
        <v>0</v>
      </c>
      <c r="L632" s="6">
        <v>2789.5140000000001</v>
      </c>
      <c r="M632" s="6">
        <v>2789.5140000000001</v>
      </c>
      <c r="N632" s="6">
        <v>0</v>
      </c>
      <c r="O632" s="6">
        <v>0</v>
      </c>
      <c r="P632" s="6">
        <v>0</v>
      </c>
      <c r="Q632" s="4" t="s">
        <v>61</v>
      </c>
      <c r="R632" s="4">
        <v>0</v>
      </c>
      <c r="S632" s="4" t="s">
        <v>233</v>
      </c>
      <c r="U632" s="4">
        <v>0</v>
      </c>
      <c r="V632" s="4">
        <v>29</v>
      </c>
      <c r="W632" s="4">
        <v>0</v>
      </c>
    </row>
    <row r="633" spans="1:23" ht="11.25" customHeight="1" x14ac:dyDescent="0.25">
      <c r="A633" s="4" t="s">
        <v>59</v>
      </c>
      <c r="B633" s="4" t="s">
        <v>41</v>
      </c>
      <c r="C633" s="4" t="s">
        <v>44</v>
      </c>
      <c r="D633" s="4" t="s">
        <v>40</v>
      </c>
      <c r="E633" s="4" t="s">
        <v>25</v>
      </c>
      <c r="F633" s="4" t="s">
        <v>60</v>
      </c>
      <c r="G633" s="4" t="s">
        <v>25</v>
      </c>
      <c r="H633" s="4" t="s">
        <v>37</v>
      </c>
      <c r="I633" s="5">
        <v>44866</v>
      </c>
      <c r="J633" s="6">
        <v>0</v>
      </c>
      <c r="K633" s="6">
        <v>0</v>
      </c>
      <c r="L633" s="6">
        <v>2789.5140000000001</v>
      </c>
      <c r="M633" s="6">
        <v>2789.5140000000001</v>
      </c>
      <c r="N633" s="6">
        <v>0</v>
      </c>
      <c r="O633" s="6">
        <v>0</v>
      </c>
      <c r="P633" s="6">
        <v>0</v>
      </c>
      <c r="Q633" s="4" t="s">
        <v>61</v>
      </c>
      <c r="R633" s="4">
        <v>0</v>
      </c>
      <c r="S633" s="4" t="s">
        <v>234</v>
      </c>
      <c r="U633" s="4">
        <v>0</v>
      </c>
      <c r="V633" s="4">
        <v>29</v>
      </c>
      <c r="W633" s="4">
        <v>0</v>
      </c>
    </row>
    <row r="634" spans="1:23" ht="11.25" customHeight="1" x14ac:dyDescent="0.25">
      <c r="A634" s="4" t="s">
        <v>21</v>
      </c>
      <c r="B634" s="4" t="s">
        <v>41</v>
      </c>
      <c r="C634" s="4" t="s">
        <v>44</v>
      </c>
      <c r="D634" s="4" t="s">
        <v>40</v>
      </c>
      <c r="E634" s="4" t="s">
        <v>25</v>
      </c>
      <c r="F634" s="4" t="s">
        <v>60</v>
      </c>
      <c r="G634" s="4" t="s">
        <v>25</v>
      </c>
      <c r="H634" s="4" t="s">
        <v>25</v>
      </c>
      <c r="I634" s="5">
        <v>44531</v>
      </c>
      <c r="J634" s="6">
        <v>10411</v>
      </c>
      <c r="K634" s="6">
        <v>4047.7968000000001</v>
      </c>
      <c r="L634" s="6">
        <v>0</v>
      </c>
      <c r="M634" s="6">
        <v>0</v>
      </c>
      <c r="N634" s="6">
        <v>0</v>
      </c>
      <c r="O634" s="6">
        <v>0</v>
      </c>
      <c r="P634" s="6">
        <v>24</v>
      </c>
      <c r="Q634" s="4" t="s">
        <v>61</v>
      </c>
      <c r="R634" s="4">
        <v>0</v>
      </c>
      <c r="S634" s="4" t="s">
        <v>235</v>
      </c>
      <c r="U634" s="4">
        <v>27</v>
      </c>
      <c r="V634" s="4">
        <v>0</v>
      </c>
      <c r="W634" s="4">
        <v>0</v>
      </c>
    </row>
    <row r="635" spans="1:23" ht="11.25" customHeight="1" x14ac:dyDescent="0.25">
      <c r="A635" s="4" t="s">
        <v>21</v>
      </c>
      <c r="B635" s="4" t="s">
        <v>41</v>
      </c>
      <c r="C635" s="4" t="s">
        <v>44</v>
      </c>
      <c r="D635" s="4" t="s">
        <v>40</v>
      </c>
      <c r="E635" s="4" t="s">
        <v>25</v>
      </c>
      <c r="F635" s="4" t="s">
        <v>60</v>
      </c>
      <c r="G635" s="4" t="s">
        <v>25</v>
      </c>
      <c r="H635" s="4" t="s">
        <v>25</v>
      </c>
      <c r="I635" s="5">
        <v>44562</v>
      </c>
      <c r="J635" s="6">
        <v>10420</v>
      </c>
      <c r="K635" s="6">
        <v>4182.5879999999997</v>
      </c>
      <c r="L635" s="6">
        <v>0</v>
      </c>
      <c r="M635" s="6">
        <v>0</v>
      </c>
      <c r="N635" s="6">
        <v>0</v>
      </c>
      <c r="O635" s="6">
        <v>0</v>
      </c>
      <c r="P635" s="6">
        <v>24</v>
      </c>
      <c r="Q635" s="4" t="s">
        <v>61</v>
      </c>
      <c r="R635" s="4">
        <v>0</v>
      </c>
      <c r="S635" s="4" t="s">
        <v>236</v>
      </c>
      <c r="U635" s="4">
        <v>27</v>
      </c>
      <c r="V635" s="4">
        <v>0</v>
      </c>
      <c r="W635" s="4">
        <v>0</v>
      </c>
    </row>
    <row r="636" spans="1:23" ht="11.25" customHeight="1" x14ac:dyDescent="0.25">
      <c r="A636" s="4" t="s">
        <v>21</v>
      </c>
      <c r="B636" s="4" t="s">
        <v>41</v>
      </c>
      <c r="C636" s="4" t="s">
        <v>44</v>
      </c>
      <c r="D636" s="4" t="s">
        <v>40</v>
      </c>
      <c r="E636" s="4" t="s">
        <v>25</v>
      </c>
      <c r="F636" s="4" t="s">
        <v>60</v>
      </c>
      <c r="G636" s="4" t="s">
        <v>25</v>
      </c>
      <c r="H636" s="4" t="s">
        <v>25</v>
      </c>
      <c r="I636" s="5">
        <v>44593</v>
      </c>
      <c r="J636" s="6">
        <v>10412</v>
      </c>
      <c r="K636" s="6">
        <v>4457.3771999999999</v>
      </c>
      <c r="L636" s="6">
        <v>0</v>
      </c>
      <c r="M636" s="6">
        <v>0</v>
      </c>
      <c r="N636" s="6">
        <v>0</v>
      </c>
      <c r="O636" s="6">
        <v>0</v>
      </c>
      <c r="P636" s="6">
        <v>24</v>
      </c>
      <c r="Q636" s="4" t="s">
        <v>61</v>
      </c>
      <c r="R636" s="4">
        <v>0</v>
      </c>
      <c r="S636" s="4" t="s">
        <v>237</v>
      </c>
      <c r="U636" s="4">
        <v>27</v>
      </c>
      <c r="V636" s="4">
        <v>0</v>
      </c>
      <c r="W636" s="4">
        <v>0</v>
      </c>
    </row>
    <row r="637" spans="1:23" ht="11.25" customHeight="1" x14ac:dyDescent="0.25">
      <c r="A637" s="4" t="s">
        <v>21</v>
      </c>
      <c r="B637" s="4" t="s">
        <v>41</v>
      </c>
      <c r="C637" s="4" t="s">
        <v>44</v>
      </c>
      <c r="D637" s="4" t="s">
        <v>40</v>
      </c>
      <c r="E637" s="4" t="s">
        <v>25</v>
      </c>
      <c r="F637" s="4" t="s">
        <v>60</v>
      </c>
      <c r="G637" s="4" t="s">
        <v>25</v>
      </c>
      <c r="H637" s="4" t="s">
        <v>25</v>
      </c>
      <c r="I637" s="5">
        <v>44621</v>
      </c>
      <c r="J637" s="6">
        <v>10391</v>
      </c>
      <c r="K637" s="6">
        <v>4422.4096</v>
      </c>
      <c r="L637" s="6">
        <v>0</v>
      </c>
      <c r="M637" s="6">
        <v>0</v>
      </c>
      <c r="N637" s="6">
        <v>0</v>
      </c>
      <c r="O637" s="6">
        <v>0</v>
      </c>
      <c r="P637" s="6">
        <v>24</v>
      </c>
      <c r="Q637" s="4" t="s">
        <v>61</v>
      </c>
      <c r="R637" s="4">
        <v>0</v>
      </c>
      <c r="S637" s="4" t="s">
        <v>238</v>
      </c>
      <c r="U637" s="4">
        <v>27</v>
      </c>
      <c r="V637" s="4">
        <v>0</v>
      </c>
      <c r="W637" s="4">
        <v>0</v>
      </c>
    </row>
    <row r="638" spans="1:23" ht="11.25" customHeight="1" x14ac:dyDescent="0.25">
      <c r="A638" s="4" t="s">
        <v>21</v>
      </c>
      <c r="B638" s="4" t="s">
        <v>41</v>
      </c>
      <c r="C638" s="4" t="s">
        <v>44</v>
      </c>
      <c r="D638" s="4" t="s">
        <v>40</v>
      </c>
      <c r="E638" s="4" t="s">
        <v>25</v>
      </c>
      <c r="F638" s="4" t="s">
        <v>60</v>
      </c>
      <c r="G638" s="4" t="s">
        <v>25</v>
      </c>
      <c r="H638" s="4" t="s">
        <v>25</v>
      </c>
      <c r="I638" s="5">
        <v>44652</v>
      </c>
      <c r="J638" s="6">
        <v>10411</v>
      </c>
      <c r="K638" s="6">
        <v>5072.2392</v>
      </c>
      <c r="L638" s="6">
        <v>0</v>
      </c>
      <c r="M638" s="6">
        <v>0</v>
      </c>
      <c r="N638" s="6">
        <v>0</v>
      </c>
      <c r="O638" s="6">
        <v>0</v>
      </c>
      <c r="P638" s="6">
        <v>24</v>
      </c>
      <c r="Q638" s="4" t="s">
        <v>61</v>
      </c>
      <c r="R638" s="4">
        <v>0</v>
      </c>
      <c r="S638" s="4" t="s">
        <v>239</v>
      </c>
      <c r="U638" s="4">
        <v>27</v>
      </c>
      <c r="V638" s="4">
        <v>0</v>
      </c>
      <c r="W638" s="4">
        <v>0</v>
      </c>
    </row>
    <row r="639" spans="1:23" ht="11.25" customHeight="1" x14ac:dyDescent="0.25">
      <c r="A639" s="4" t="s">
        <v>21</v>
      </c>
      <c r="B639" s="4" t="s">
        <v>41</v>
      </c>
      <c r="C639" s="4" t="s">
        <v>44</v>
      </c>
      <c r="D639" s="4" t="s">
        <v>40</v>
      </c>
      <c r="E639" s="4" t="s">
        <v>25</v>
      </c>
      <c r="F639" s="4" t="s">
        <v>60</v>
      </c>
      <c r="G639" s="4" t="s">
        <v>25</v>
      </c>
      <c r="H639" s="4" t="s">
        <v>25</v>
      </c>
      <c r="I639" s="5">
        <v>44682</v>
      </c>
      <c r="J639" s="6">
        <v>10423</v>
      </c>
      <c r="K639" s="6">
        <v>5010.3361000000004</v>
      </c>
      <c r="L639" s="6">
        <v>0</v>
      </c>
      <c r="M639" s="6">
        <v>0</v>
      </c>
      <c r="N639" s="6">
        <v>0</v>
      </c>
      <c r="O639" s="6">
        <v>0</v>
      </c>
      <c r="P639" s="6">
        <v>24</v>
      </c>
      <c r="Q639" s="4" t="s">
        <v>61</v>
      </c>
      <c r="R639" s="4">
        <v>0</v>
      </c>
      <c r="S639" s="4" t="s">
        <v>240</v>
      </c>
      <c r="U639" s="4">
        <v>27</v>
      </c>
      <c r="V639" s="4">
        <v>0</v>
      </c>
      <c r="W639" s="4">
        <v>0</v>
      </c>
    </row>
    <row r="640" spans="1:23" ht="11.25" customHeight="1" x14ac:dyDescent="0.25">
      <c r="A640" s="4" t="s">
        <v>21</v>
      </c>
      <c r="B640" s="4" t="s">
        <v>41</v>
      </c>
      <c r="C640" s="4" t="s">
        <v>44</v>
      </c>
      <c r="D640" s="4" t="s">
        <v>40</v>
      </c>
      <c r="E640" s="4" t="s">
        <v>25</v>
      </c>
      <c r="F640" s="4" t="s">
        <v>60</v>
      </c>
      <c r="G640" s="4" t="s">
        <v>25</v>
      </c>
      <c r="H640" s="4" t="s">
        <v>25</v>
      </c>
      <c r="I640" s="5">
        <v>44713</v>
      </c>
      <c r="J640" s="6">
        <v>10016</v>
      </c>
      <c r="K640" s="6">
        <v>4800.6688000000004</v>
      </c>
      <c r="L640" s="6">
        <v>0</v>
      </c>
      <c r="M640" s="6">
        <v>0</v>
      </c>
      <c r="N640" s="6">
        <v>0</v>
      </c>
      <c r="O640" s="6">
        <v>0</v>
      </c>
      <c r="P640" s="6">
        <v>24</v>
      </c>
      <c r="Q640" s="4" t="s">
        <v>61</v>
      </c>
      <c r="R640" s="4">
        <v>0</v>
      </c>
      <c r="S640" s="4" t="s">
        <v>241</v>
      </c>
      <c r="U640" s="4">
        <v>27</v>
      </c>
      <c r="V640" s="4">
        <v>0</v>
      </c>
      <c r="W640" s="4">
        <v>0</v>
      </c>
    </row>
    <row r="641" spans="1:23" ht="11.25" customHeight="1" x14ac:dyDescent="0.25">
      <c r="A641" s="4" t="s">
        <v>21</v>
      </c>
      <c r="B641" s="4" t="s">
        <v>41</v>
      </c>
      <c r="C641" s="4" t="s">
        <v>44</v>
      </c>
      <c r="D641" s="4" t="s">
        <v>40</v>
      </c>
      <c r="E641" s="4" t="s">
        <v>25</v>
      </c>
      <c r="F641" s="4" t="s">
        <v>60</v>
      </c>
      <c r="G641" s="4" t="s">
        <v>25</v>
      </c>
      <c r="H641" s="4" t="s">
        <v>25</v>
      </c>
      <c r="I641" s="5">
        <v>44743</v>
      </c>
      <c r="J641" s="6">
        <v>10022</v>
      </c>
      <c r="K641" s="6">
        <v>4855.6589999999997</v>
      </c>
      <c r="L641" s="6">
        <v>0</v>
      </c>
      <c r="M641" s="6">
        <v>0</v>
      </c>
      <c r="N641" s="6">
        <v>0</v>
      </c>
      <c r="O641" s="6">
        <v>0</v>
      </c>
      <c r="P641" s="6">
        <v>24</v>
      </c>
      <c r="Q641" s="4" t="s">
        <v>61</v>
      </c>
      <c r="R641" s="4">
        <v>0</v>
      </c>
      <c r="S641" s="4" t="s">
        <v>242</v>
      </c>
      <c r="U641" s="4">
        <v>27</v>
      </c>
      <c r="V641" s="4">
        <v>0</v>
      </c>
      <c r="W641" s="4">
        <v>0</v>
      </c>
    </row>
    <row r="642" spans="1:23" ht="11.25" customHeight="1" x14ac:dyDescent="0.25">
      <c r="A642" s="4" t="s">
        <v>21</v>
      </c>
      <c r="B642" s="4" t="s">
        <v>41</v>
      </c>
      <c r="C642" s="4" t="s">
        <v>44</v>
      </c>
      <c r="D642" s="4" t="s">
        <v>40</v>
      </c>
      <c r="E642" s="4" t="s">
        <v>25</v>
      </c>
      <c r="F642" s="4" t="s">
        <v>60</v>
      </c>
      <c r="G642" s="4" t="s">
        <v>25</v>
      </c>
      <c r="H642" s="4" t="s">
        <v>25</v>
      </c>
      <c r="I642" s="5">
        <v>44774</v>
      </c>
      <c r="J642" s="6">
        <v>10030</v>
      </c>
      <c r="K642" s="6">
        <v>4800.3580000000002</v>
      </c>
      <c r="L642" s="6">
        <v>0</v>
      </c>
      <c r="M642" s="6">
        <v>0</v>
      </c>
      <c r="N642" s="6">
        <v>0</v>
      </c>
      <c r="O642" s="6">
        <v>0</v>
      </c>
      <c r="P642" s="6">
        <v>24</v>
      </c>
      <c r="Q642" s="4" t="s">
        <v>61</v>
      </c>
      <c r="R642" s="4">
        <v>0</v>
      </c>
      <c r="S642" s="4" t="s">
        <v>243</v>
      </c>
      <c r="U642" s="4">
        <v>27</v>
      </c>
      <c r="V642" s="4">
        <v>0</v>
      </c>
      <c r="W642" s="4">
        <v>0</v>
      </c>
    </row>
    <row r="643" spans="1:23" ht="11.25" customHeight="1" x14ac:dyDescent="0.25">
      <c r="A643" s="4" t="s">
        <v>21</v>
      </c>
      <c r="B643" s="4" t="s">
        <v>41</v>
      </c>
      <c r="C643" s="4" t="s">
        <v>44</v>
      </c>
      <c r="D643" s="4" t="s">
        <v>40</v>
      </c>
      <c r="E643" s="4" t="s">
        <v>25</v>
      </c>
      <c r="F643" s="4" t="s">
        <v>60</v>
      </c>
      <c r="G643" s="4" t="s">
        <v>25</v>
      </c>
      <c r="H643" s="4" t="s">
        <v>25</v>
      </c>
      <c r="I643" s="5">
        <v>44805</v>
      </c>
      <c r="J643" s="6">
        <v>9994</v>
      </c>
      <c r="K643" s="6">
        <v>4837.0959999999995</v>
      </c>
      <c r="L643" s="6">
        <v>0</v>
      </c>
      <c r="M643" s="6">
        <v>0</v>
      </c>
      <c r="N643" s="6">
        <v>0</v>
      </c>
      <c r="O643" s="6">
        <v>0</v>
      </c>
      <c r="P643" s="6">
        <v>24</v>
      </c>
      <c r="Q643" s="4" t="s">
        <v>61</v>
      </c>
      <c r="R643" s="4">
        <v>0</v>
      </c>
      <c r="S643" s="4" t="s">
        <v>244</v>
      </c>
      <c r="U643" s="4">
        <v>27</v>
      </c>
      <c r="V643" s="4">
        <v>0</v>
      </c>
      <c r="W643" s="4">
        <v>0</v>
      </c>
    </row>
    <row r="644" spans="1:23" ht="11.25" customHeight="1" x14ac:dyDescent="0.25">
      <c r="A644" s="4" t="s">
        <v>21</v>
      </c>
      <c r="B644" s="4" t="s">
        <v>41</v>
      </c>
      <c r="C644" s="4" t="s">
        <v>44</v>
      </c>
      <c r="D644" s="4" t="s">
        <v>40</v>
      </c>
      <c r="E644" s="4" t="s">
        <v>25</v>
      </c>
      <c r="F644" s="4" t="s">
        <v>60</v>
      </c>
      <c r="G644" s="4" t="s">
        <v>25</v>
      </c>
      <c r="H644" s="4" t="s">
        <v>25</v>
      </c>
      <c r="I644" s="5">
        <v>44835</v>
      </c>
      <c r="J644" s="6">
        <v>10210</v>
      </c>
      <c r="K644" s="6">
        <v>4988.6059999999998</v>
      </c>
      <c r="L644" s="6">
        <v>0</v>
      </c>
      <c r="M644" s="6">
        <v>0</v>
      </c>
      <c r="N644" s="6">
        <v>0</v>
      </c>
      <c r="O644" s="6">
        <v>0</v>
      </c>
      <c r="P644" s="6">
        <v>25</v>
      </c>
      <c r="Q644" s="4" t="s">
        <v>61</v>
      </c>
      <c r="R644" s="4">
        <v>0</v>
      </c>
      <c r="S644" s="4" t="s">
        <v>245</v>
      </c>
      <c r="U644" s="4">
        <v>27</v>
      </c>
      <c r="V644" s="4">
        <v>0</v>
      </c>
      <c r="W644" s="4">
        <v>0</v>
      </c>
    </row>
    <row r="645" spans="1:23" ht="11.25" customHeight="1" x14ac:dyDescent="0.25">
      <c r="A645" s="4" t="s">
        <v>59</v>
      </c>
      <c r="B645" s="4" t="s">
        <v>41</v>
      </c>
      <c r="C645" s="4" t="s">
        <v>44</v>
      </c>
      <c r="D645" s="4" t="s">
        <v>40</v>
      </c>
      <c r="E645" s="4" t="s">
        <v>25</v>
      </c>
      <c r="F645" s="4" t="s">
        <v>60</v>
      </c>
      <c r="G645" s="4" t="s">
        <v>25</v>
      </c>
      <c r="H645" s="4" t="s">
        <v>25</v>
      </c>
      <c r="I645" s="5">
        <v>44866</v>
      </c>
      <c r="J645" s="6">
        <v>10210</v>
      </c>
      <c r="K645" s="6">
        <v>4988.6059999999998</v>
      </c>
      <c r="L645" s="6">
        <v>0</v>
      </c>
      <c r="M645" s="6">
        <v>0</v>
      </c>
      <c r="N645" s="6">
        <v>0</v>
      </c>
      <c r="O645" s="6">
        <v>0</v>
      </c>
      <c r="P645" s="6">
        <v>25</v>
      </c>
      <c r="Q645" s="4" t="s">
        <v>61</v>
      </c>
      <c r="R645" s="4">
        <v>0</v>
      </c>
      <c r="S645" s="4" t="s">
        <v>246</v>
      </c>
      <c r="U645" s="4">
        <v>27</v>
      </c>
      <c r="V645" s="4">
        <v>0</v>
      </c>
      <c r="W645" s="4">
        <v>0</v>
      </c>
    </row>
    <row r="646" spans="1:23" ht="11.25" customHeight="1" x14ac:dyDescent="0.25">
      <c r="A646" s="4" t="s">
        <v>21</v>
      </c>
      <c r="B646" s="4" t="s">
        <v>41</v>
      </c>
      <c r="C646" s="4" t="s">
        <v>44</v>
      </c>
      <c r="D646" s="4" t="s">
        <v>40</v>
      </c>
      <c r="E646" s="4" t="s">
        <v>25</v>
      </c>
      <c r="F646" s="4" t="s">
        <v>60</v>
      </c>
      <c r="G646" s="4" t="s">
        <v>25</v>
      </c>
      <c r="H646" s="4" t="s">
        <v>36</v>
      </c>
      <c r="I646" s="5">
        <v>44531</v>
      </c>
      <c r="J646" s="6">
        <v>0</v>
      </c>
      <c r="K646" s="6">
        <v>0</v>
      </c>
      <c r="L646" s="6">
        <v>245.66200000000001</v>
      </c>
      <c r="M646" s="6">
        <v>97.748909800000007</v>
      </c>
      <c r="N646" s="6">
        <v>0</v>
      </c>
      <c r="O646" s="6">
        <v>0</v>
      </c>
      <c r="P646" s="6">
        <v>0</v>
      </c>
      <c r="Q646" s="4" t="s">
        <v>61</v>
      </c>
      <c r="R646" s="4">
        <v>0</v>
      </c>
      <c r="S646" s="4" t="s">
        <v>247</v>
      </c>
      <c r="U646" s="4">
        <v>0</v>
      </c>
      <c r="V646" s="4">
        <v>28</v>
      </c>
      <c r="W646" s="4">
        <v>0</v>
      </c>
    </row>
    <row r="647" spans="1:23" ht="11.25" customHeight="1" x14ac:dyDescent="0.25">
      <c r="A647" s="4" t="s">
        <v>21</v>
      </c>
      <c r="B647" s="4" t="s">
        <v>41</v>
      </c>
      <c r="C647" s="4" t="s">
        <v>44</v>
      </c>
      <c r="D647" s="4" t="s">
        <v>40</v>
      </c>
      <c r="E647" s="4" t="s">
        <v>25</v>
      </c>
      <c r="F647" s="4" t="s">
        <v>60</v>
      </c>
      <c r="G647" s="4" t="s">
        <v>25</v>
      </c>
      <c r="H647" s="4" t="s">
        <v>36</v>
      </c>
      <c r="I647" s="5">
        <v>44562</v>
      </c>
      <c r="J647" s="6">
        <v>0</v>
      </c>
      <c r="K647" s="6">
        <v>0</v>
      </c>
      <c r="L647" s="6">
        <v>290.80900000000003</v>
      </c>
      <c r="M647" s="6">
        <v>132.0563669</v>
      </c>
      <c r="N647" s="6">
        <v>0</v>
      </c>
      <c r="O647" s="6">
        <v>0</v>
      </c>
      <c r="P647" s="6">
        <v>0</v>
      </c>
      <c r="Q647" s="4" t="s">
        <v>61</v>
      </c>
      <c r="R647" s="4">
        <v>0</v>
      </c>
      <c r="S647" s="4" t="s">
        <v>248</v>
      </c>
      <c r="U647" s="4">
        <v>0</v>
      </c>
      <c r="V647" s="4">
        <v>28</v>
      </c>
      <c r="W647" s="4">
        <v>0</v>
      </c>
    </row>
    <row r="648" spans="1:23" ht="11.25" customHeight="1" x14ac:dyDescent="0.25">
      <c r="A648" s="4" t="s">
        <v>21</v>
      </c>
      <c r="B648" s="4" t="s">
        <v>41</v>
      </c>
      <c r="C648" s="4" t="s">
        <v>44</v>
      </c>
      <c r="D648" s="4" t="s">
        <v>40</v>
      </c>
      <c r="E648" s="4" t="s">
        <v>25</v>
      </c>
      <c r="F648" s="4" t="s">
        <v>60</v>
      </c>
      <c r="G648" s="4" t="s">
        <v>25</v>
      </c>
      <c r="H648" s="4" t="s">
        <v>36</v>
      </c>
      <c r="I648" s="5">
        <v>44593</v>
      </c>
      <c r="J648" s="6">
        <v>0</v>
      </c>
      <c r="K648" s="6">
        <v>0</v>
      </c>
      <c r="L648" s="6">
        <v>257.99400000000003</v>
      </c>
      <c r="M648" s="6">
        <v>129.40979039999999</v>
      </c>
      <c r="N648" s="6">
        <v>0</v>
      </c>
      <c r="O648" s="6">
        <v>0</v>
      </c>
      <c r="P648" s="6">
        <v>0</v>
      </c>
      <c r="Q648" s="4" t="s">
        <v>61</v>
      </c>
      <c r="R648" s="4">
        <v>0</v>
      </c>
      <c r="S648" s="4" t="s">
        <v>249</v>
      </c>
      <c r="U648" s="4">
        <v>0</v>
      </c>
      <c r="V648" s="4">
        <v>28</v>
      </c>
      <c r="W648" s="4">
        <v>0</v>
      </c>
    </row>
    <row r="649" spans="1:23" ht="11.25" customHeight="1" x14ac:dyDescent="0.25">
      <c r="A649" s="4" t="s">
        <v>21</v>
      </c>
      <c r="B649" s="4" t="s">
        <v>41</v>
      </c>
      <c r="C649" s="4" t="s">
        <v>44</v>
      </c>
      <c r="D649" s="4" t="s">
        <v>40</v>
      </c>
      <c r="E649" s="4" t="s">
        <v>25</v>
      </c>
      <c r="F649" s="4" t="s">
        <v>60</v>
      </c>
      <c r="G649" s="4" t="s">
        <v>25</v>
      </c>
      <c r="H649" s="4" t="s">
        <v>36</v>
      </c>
      <c r="I649" s="5">
        <v>44621</v>
      </c>
      <c r="J649" s="6">
        <v>0</v>
      </c>
      <c r="K649" s="6">
        <v>0</v>
      </c>
      <c r="L649" s="6">
        <v>236.024</v>
      </c>
      <c r="M649" s="6">
        <v>108.31141359999999</v>
      </c>
      <c r="N649" s="6">
        <v>0</v>
      </c>
      <c r="O649" s="6">
        <v>0</v>
      </c>
      <c r="P649" s="6">
        <v>0</v>
      </c>
      <c r="Q649" s="4" t="s">
        <v>61</v>
      </c>
      <c r="R649" s="4">
        <v>0</v>
      </c>
      <c r="S649" s="4" t="s">
        <v>250</v>
      </c>
      <c r="U649" s="4">
        <v>0</v>
      </c>
      <c r="V649" s="4">
        <v>28</v>
      </c>
      <c r="W649" s="4">
        <v>0</v>
      </c>
    </row>
    <row r="650" spans="1:23" ht="11.25" customHeight="1" x14ac:dyDescent="0.25">
      <c r="A650" s="4" t="s">
        <v>21</v>
      </c>
      <c r="B650" s="4" t="s">
        <v>41</v>
      </c>
      <c r="C650" s="4" t="s">
        <v>44</v>
      </c>
      <c r="D650" s="4" t="s">
        <v>40</v>
      </c>
      <c r="E650" s="4" t="s">
        <v>25</v>
      </c>
      <c r="F650" s="4" t="s">
        <v>60</v>
      </c>
      <c r="G650" s="4" t="s">
        <v>25</v>
      </c>
      <c r="H650" s="4" t="s">
        <v>36</v>
      </c>
      <c r="I650" s="5">
        <v>44652</v>
      </c>
      <c r="J650" s="6">
        <v>0</v>
      </c>
      <c r="K650" s="6">
        <v>0</v>
      </c>
      <c r="L650" s="6">
        <v>292.24799999999999</v>
      </c>
      <c r="M650" s="6">
        <v>136.8597384</v>
      </c>
      <c r="N650" s="6">
        <v>0</v>
      </c>
      <c r="O650" s="6">
        <v>0</v>
      </c>
      <c r="P650" s="6">
        <v>0</v>
      </c>
      <c r="Q650" s="4" t="s">
        <v>61</v>
      </c>
      <c r="R650" s="4">
        <v>0</v>
      </c>
      <c r="S650" s="4" t="s">
        <v>251</v>
      </c>
      <c r="U650" s="4">
        <v>0</v>
      </c>
      <c r="V650" s="4">
        <v>28</v>
      </c>
      <c r="W650" s="4">
        <v>0</v>
      </c>
    </row>
    <row r="651" spans="1:23" ht="11.25" customHeight="1" x14ac:dyDescent="0.25">
      <c r="A651" s="4" t="s">
        <v>21</v>
      </c>
      <c r="B651" s="4" t="s">
        <v>41</v>
      </c>
      <c r="C651" s="4" t="s">
        <v>44</v>
      </c>
      <c r="D651" s="4" t="s">
        <v>40</v>
      </c>
      <c r="E651" s="4" t="s">
        <v>25</v>
      </c>
      <c r="F651" s="4" t="s">
        <v>60</v>
      </c>
      <c r="G651" s="4" t="s">
        <v>25</v>
      </c>
      <c r="H651" s="4" t="s">
        <v>36</v>
      </c>
      <c r="I651" s="5">
        <v>44682</v>
      </c>
      <c r="J651" s="6">
        <v>0</v>
      </c>
      <c r="K651" s="6">
        <v>0</v>
      </c>
      <c r="L651" s="6">
        <v>261.45400000000001</v>
      </c>
      <c r="M651" s="6">
        <v>129.26285759999999</v>
      </c>
      <c r="N651" s="6">
        <v>0</v>
      </c>
      <c r="O651" s="6">
        <v>0</v>
      </c>
      <c r="P651" s="6">
        <v>0</v>
      </c>
      <c r="Q651" s="4" t="s">
        <v>61</v>
      </c>
      <c r="R651" s="4">
        <v>0</v>
      </c>
      <c r="S651" s="4" t="s">
        <v>252</v>
      </c>
      <c r="U651" s="4">
        <v>0</v>
      </c>
      <c r="V651" s="4">
        <v>28</v>
      </c>
      <c r="W651" s="4">
        <v>0</v>
      </c>
    </row>
    <row r="652" spans="1:23" ht="11.25" customHeight="1" x14ac:dyDescent="0.25">
      <c r="A652" s="4" t="s">
        <v>21</v>
      </c>
      <c r="B652" s="4" t="s">
        <v>41</v>
      </c>
      <c r="C652" s="4" t="s">
        <v>44</v>
      </c>
      <c r="D652" s="4" t="s">
        <v>40</v>
      </c>
      <c r="E652" s="4" t="s">
        <v>25</v>
      </c>
      <c r="F652" s="4" t="s">
        <v>60</v>
      </c>
      <c r="G652" s="4" t="s">
        <v>25</v>
      </c>
      <c r="H652" s="4" t="s">
        <v>36</v>
      </c>
      <c r="I652" s="5">
        <v>44713</v>
      </c>
      <c r="J652" s="6">
        <v>0</v>
      </c>
      <c r="K652" s="6">
        <v>0</v>
      </c>
      <c r="L652" s="6">
        <v>301.29399999999998</v>
      </c>
      <c r="M652" s="6">
        <v>153.11761079999999</v>
      </c>
      <c r="N652" s="6">
        <v>0</v>
      </c>
      <c r="O652" s="6">
        <v>0</v>
      </c>
      <c r="P652" s="6">
        <v>0</v>
      </c>
      <c r="Q652" s="4" t="s">
        <v>61</v>
      </c>
      <c r="R652" s="4">
        <v>0</v>
      </c>
      <c r="S652" s="4" t="s">
        <v>253</v>
      </c>
      <c r="U652" s="4">
        <v>0</v>
      </c>
      <c r="V652" s="4">
        <v>28</v>
      </c>
      <c r="W652" s="4">
        <v>0</v>
      </c>
    </row>
    <row r="653" spans="1:23" ht="11.25" customHeight="1" x14ac:dyDescent="0.25">
      <c r="A653" s="4" t="s">
        <v>21</v>
      </c>
      <c r="B653" s="4" t="s">
        <v>41</v>
      </c>
      <c r="C653" s="4" t="s">
        <v>44</v>
      </c>
      <c r="D653" s="4" t="s">
        <v>40</v>
      </c>
      <c r="E653" s="4" t="s">
        <v>25</v>
      </c>
      <c r="F653" s="4" t="s">
        <v>60</v>
      </c>
      <c r="G653" s="4" t="s">
        <v>25</v>
      </c>
      <c r="H653" s="4" t="s">
        <v>36</v>
      </c>
      <c r="I653" s="5">
        <v>44743</v>
      </c>
      <c r="J653" s="6">
        <v>0</v>
      </c>
      <c r="K653" s="6">
        <v>0</v>
      </c>
      <c r="L653" s="6">
        <v>268.952</v>
      </c>
      <c r="M653" s="6">
        <v>141.33427599999999</v>
      </c>
      <c r="N653" s="6">
        <v>0</v>
      </c>
      <c r="O653" s="6">
        <v>0</v>
      </c>
      <c r="P653" s="6">
        <v>0</v>
      </c>
      <c r="Q653" s="4" t="s">
        <v>61</v>
      </c>
      <c r="R653" s="4">
        <v>0</v>
      </c>
      <c r="S653" s="4" t="s">
        <v>254</v>
      </c>
      <c r="U653" s="4">
        <v>0</v>
      </c>
      <c r="V653" s="4">
        <v>28</v>
      </c>
      <c r="W653" s="4">
        <v>0</v>
      </c>
    </row>
    <row r="654" spans="1:23" ht="11.25" customHeight="1" x14ac:dyDescent="0.25">
      <c r="A654" s="4" t="s">
        <v>21</v>
      </c>
      <c r="B654" s="4" t="s">
        <v>41</v>
      </c>
      <c r="C654" s="4" t="s">
        <v>44</v>
      </c>
      <c r="D654" s="4" t="s">
        <v>40</v>
      </c>
      <c r="E654" s="4" t="s">
        <v>25</v>
      </c>
      <c r="F654" s="4" t="s">
        <v>60</v>
      </c>
      <c r="G654" s="4" t="s">
        <v>25</v>
      </c>
      <c r="H654" s="4" t="s">
        <v>36</v>
      </c>
      <c r="I654" s="5">
        <v>44774</v>
      </c>
      <c r="J654" s="6">
        <v>0</v>
      </c>
      <c r="K654" s="6">
        <v>0</v>
      </c>
      <c r="L654" s="6">
        <v>279.03699999999998</v>
      </c>
      <c r="M654" s="6">
        <v>149.53592829999999</v>
      </c>
      <c r="N654" s="6">
        <v>0</v>
      </c>
      <c r="O654" s="6">
        <v>0</v>
      </c>
      <c r="P654" s="6">
        <v>0</v>
      </c>
      <c r="Q654" s="4" t="s">
        <v>61</v>
      </c>
      <c r="R654" s="4">
        <v>0</v>
      </c>
      <c r="S654" s="4" t="s">
        <v>255</v>
      </c>
      <c r="U654" s="4">
        <v>0</v>
      </c>
      <c r="V654" s="4">
        <v>28</v>
      </c>
      <c r="W654" s="4">
        <v>0</v>
      </c>
    </row>
    <row r="655" spans="1:23" ht="11.25" customHeight="1" x14ac:dyDescent="0.25">
      <c r="A655" s="4" t="s">
        <v>21</v>
      </c>
      <c r="B655" s="4" t="s">
        <v>41</v>
      </c>
      <c r="C655" s="4" t="s">
        <v>44</v>
      </c>
      <c r="D655" s="4" t="s">
        <v>40</v>
      </c>
      <c r="E655" s="4" t="s">
        <v>25</v>
      </c>
      <c r="F655" s="4" t="s">
        <v>60</v>
      </c>
      <c r="G655" s="4" t="s">
        <v>25</v>
      </c>
      <c r="H655" s="4" t="s">
        <v>36</v>
      </c>
      <c r="I655" s="5">
        <v>44805</v>
      </c>
      <c r="J655" s="6">
        <v>0</v>
      </c>
      <c r="K655" s="6">
        <v>0</v>
      </c>
      <c r="L655" s="6">
        <v>328.87700000000001</v>
      </c>
      <c r="M655" s="6">
        <v>161.0839546</v>
      </c>
      <c r="N655" s="6">
        <v>0</v>
      </c>
      <c r="O655" s="6">
        <v>0</v>
      </c>
      <c r="P655" s="6">
        <v>0</v>
      </c>
      <c r="Q655" s="4" t="s">
        <v>61</v>
      </c>
      <c r="R655" s="4">
        <v>0</v>
      </c>
      <c r="S655" s="4" t="s">
        <v>256</v>
      </c>
      <c r="U655" s="4">
        <v>0</v>
      </c>
      <c r="V655" s="4">
        <v>28</v>
      </c>
      <c r="W655" s="4">
        <v>0</v>
      </c>
    </row>
    <row r="656" spans="1:23" ht="11.25" customHeight="1" x14ac:dyDescent="0.25">
      <c r="A656" s="4" t="s">
        <v>21</v>
      </c>
      <c r="B656" s="4" t="s">
        <v>41</v>
      </c>
      <c r="C656" s="4" t="s">
        <v>44</v>
      </c>
      <c r="D656" s="4" t="s">
        <v>40</v>
      </c>
      <c r="E656" s="4" t="s">
        <v>25</v>
      </c>
      <c r="F656" s="4" t="s">
        <v>60</v>
      </c>
      <c r="G656" s="4" t="s">
        <v>25</v>
      </c>
      <c r="H656" s="4" t="s">
        <v>36</v>
      </c>
      <c r="I656" s="5">
        <v>44835</v>
      </c>
      <c r="J656" s="6">
        <v>0</v>
      </c>
      <c r="K656" s="6">
        <v>0</v>
      </c>
      <c r="L656" s="6">
        <v>299.41699999999997</v>
      </c>
      <c r="M656" s="6">
        <v>144.1992272</v>
      </c>
      <c r="N656" s="6">
        <v>0</v>
      </c>
      <c r="O656" s="6">
        <v>0</v>
      </c>
      <c r="P656" s="6">
        <v>0</v>
      </c>
      <c r="Q656" s="4" t="s">
        <v>61</v>
      </c>
      <c r="R656" s="4">
        <v>0</v>
      </c>
      <c r="S656" s="4" t="s">
        <v>257</v>
      </c>
      <c r="U656" s="4">
        <v>0</v>
      </c>
      <c r="V656" s="4">
        <v>28</v>
      </c>
      <c r="W656" s="4">
        <v>0</v>
      </c>
    </row>
    <row r="657" spans="1:23" ht="11.25" customHeight="1" x14ac:dyDescent="0.25">
      <c r="A657" s="4" t="s">
        <v>59</v>
      </c>
      <c r="B657" s="4" t="s">
        <v>41</v>
      </c>
      <c r="C657" s="4" t="s">
        <v>44</v>
      </c>
      <c r="D657" s="4" t="s">
        <v>40</v>
      </c>
      <c r="E657" s="4" t="s">
        <v>25</v>
      </c>
      <c r="F657" s="4" t="s">
        <v>60</v>
      </c>
      <c r="G657" s="4" t="s">
        <v>25</v>
      </c>
      <c r="H657" s="4" t="s">
        <v>36</v>
      </c>
      <c r="I657" s="5">
        <v>44866</v>
      </c>
      <c r="J657" s="6">
        <v>0</v>
      </c>
      <c r="K657" s="6">
        <v>0</v>
      </c>
      <c r="L657" s="6">
        <v>299.41699999999997</v>
      </c>
      <c r="M657" s="6">
        <v>144.1992272</v>
      </c>
      <c r="N657" s="6">
        <v>0</v>
      </c>
      <c r="O657" s="6">
        <v>0</v>
      </c>
      <c r="P657" s="6">
        <v>0</v>
      </c>
      <c r="Q657" s="4" t="s">
        <v>61</v>
      </c>
      <c r="R657" s="4">
        <v>0</v>
      </c>
      <c r="S657" s="4" t="s">
        <v>258</v>
      </c>
      <c r="U657" s="4">
        <v>0</v>
      </c>
      <c r="V657" s="4">
        <v>28</v>
      </c>
      <c r="W657" s="4">
        <v>0</v>
      </c>
    </row>
    <row r="658" spans="1:23" ht="11.25" customHeight="1" x14ac:dyDescent="0.25">
      <c r="A658" s="4" t="s">
        <v>21</v>
      </c>
      <c r="B658" s="4" t="s">
        <v>41</v>
      </c>
      <c r="C658" s="4" t="s">
        <v>44</v>
      </c>
      <c r="D658" s="4" t="s">
        <v>40</v>
      </c>
      <c r="E658" s="4" t="s">
        <v>25</v>
      </c>
      <c r="F658" s="4" t="s">
        <v>25</v>
      </c>
      <c r="G658" s="4" t="s">
        <v>25</v>
      </c>
      <c r="H658" s="4" t="s">
        <v>37</v>
      </c>
      <c r="I658" s="5">
        <v>44531</v>
      </c>
      <c r="J658" s="6">
        <v>0</v>
      </c>
      <c r="K658" s="6">
        <v>0</v>
      </c>
      <c r="L658" s="6">
        <v>1624.6969999999999</v>
      </c>
      <c r="M658" s="6">
        <v>1624.6969999999999</v>
      </c>
      <c r="N658" s="6">
        <v>1624.6969999999999</v>
      </c>
      <c r="O658" s="6">
        <v>1624.6969999999999</v>
      </c>
      <c r="P658" s="6">
        <v>0</v>
      </c>
      <c r="Q658" s="4" t="s">
        <v>26</v>
      </c>
      <c r="R658" s="4">
        <v>0</v>
      </c>
      <c r="S658" s="4" t="s">
        <v>223</v>
      </c>
      <c r="T658" s="4" t="s">
        <v>492</v>
      </c>
      <c r="U658" s="4">
        <v>0</v>
      </c>
      <c r="V658" s="4">
        <v>29</v>
      </c>
      <c r="W658" s="4">
        <v>75</v>
      </c>
    </row>
    <row r="659" spans="1:23" ht="11.25" customHeight="1" x14ac:dyDescent="0.25">
      <c r="A659" s="4" t="s">
        <v>28</v>
      </c>
      <c r="B659" s="4" t="s">
        <v>41</v>
      </c>
      <c r="C659" s="4" t="s">
        <v>44</v>
      </c>
      <c r="D659" s="4" t="s">
        <v>40</v>
      </c>
      <c r="E659" s="4" t="s">
        <v>25</v>
      </c>
      <c r="F659" s="4" t="s">
        <v>25</v>
      </c>
      <c r="G659" s="4" t="s">
        <v>25</v>
      </c>
      <c r="H659" s="4" t="s">
        <v>37</v>
      </c>
      <c r="I659" s="5">
        <v>44531</v>
      </c>
      <c r="J659" s="6">
        <v>0</v>
      </c>
      <c r="K659" s="6">
        <v>0</v>
      </c>
      <c r="L659" s="6">
        <v>214.81899999999999</v>
      </c>
      <c r="M659" s="6">
        <v>214.81899999999999</v>
      </c>
      <c r="N659" s="6">
        <v>214.81899999999999</v>
      </c>
      <c r="O659" s="6">
        <v>214.81899999999999</v>
      </c>
      <c r="P659" s="6">
        <v>0</v>
      </c>
      <c r="Q659" s="4" t="s">
        <v>26</v>
      </c>
      <c r="R659" s="4">
        <v>0</v>
      </c>
      <c r="S659" s="4" t="s">
        <v>223</v>
      </c>
      <c r="T659" s="4" t="s">
        <v>492</v>
      </c>
      <c r="U659" s="4">
        <v>0</v>
      </c>
      <c r="V659" s="4">
        <v>29</v>
      </c>
      <c r="W659" s="4">
        <v>75</v>
      </c>
    </row>
    <row r="660" spans="1:23" ht="11.25" customHeight="1" x14ac:dyDescent="0.25">
      <c r="A660" s="4" t="s">
        <v>30</v>
      </c>
      <c r="B660" s="4" t="s">
        <v>41</v>
      </c>
      <c r="C660" s="4" t="s">
        <v>44</v>
      </c>
      <c r="D660" s="4" t="s">
        <v>40</v>
      </c>
      <c r="E660" s="4" t="s">
        <v>25</v>
      </c>
      <c r="F660" s="4" t="s">
        <v>25</v>
      </c>
      <c r="G660" s="4" t="s">
        <v>25</v>
      </c>
      <c r="H660" s="4" t="s">
        <v>37</v>
      </c>
      <c r="I660" s="5">
        <v>44531</v>
      </c>
      <c r="J660" s="6">
        <v>0</v>
      </c>
      <c r="K660" s="6">
        <v>0</v>
      </c>
      <c r="L660" s="6">
        <v>38.246000000000002</v>
      </c>
      <c r="M660" s="6">
        <v>38.246000000000002</v>
      </c>
      <c r="N660" s="6">
        <v>38.246000000000002</v>
      </c>
      <c r="O660" s="6">
        <v>38.246000000000002</v>
      </c>
      <c r="P660" s="6">
        <v>0</v>
      </c>
      <c r="Q660" s="4" t="s">
        <v>26</v>
      </c>
      <c r="R660" s="4">
        <v>0</v>
      </c>
      <c r="S660" s="4" t="s">
        <v>223</v>
      </c>
      <c r="T660" s="4" t="s">
        <v>492</v>
      </c>
      <c r="U660" s="4">
        <v>0</v>
      </c>
      <c r="V660" s="4">
        <v>29</v>
      </c>
      <c r="W660" s="4">
        <v>75</v>
      </c>
    </row>
    <row r="661" spans="1:23" ht="11.25" customHeight="1" x14ac:dyDescent="0.25">
      <c r="A661" s="4" t="s">
        <v>21</v>
      </c>
      <c r="B661" s="4" t="s">
        <v>41</v>
      </c>
      <c r="C661" s="4" t="s">
        <v>44</v>
      </c>
      <c r="D661" s="4" t="s">
        <v>40</v>
      </c>
      <c r="E661" s="4" t="s">
        <v>25</v>
      </c>
      <c r="F661" s="4" t="s">
        <v>25</v>
      </c>
      <c r="G661" s="4" t="s">
        <v>25</v>
      </c>
      <c r="H661" s="4" t="s">
        <v>37</v>
      </c>
      <c r="I661" s="5">
        <v>44562</v>
      </c>
      <c r="J661" s="6">
        <v>0</v>
      </c>
      <c r="K661" s="6">
        <v>0</v>
      </c>
      <c r="L661" s="6">
        <v>1480.91</v>
      </c>
      <c r="M661" s="6">
        <v>1480.91</v>
      </c>
      <c r="N661" s="6">
        <v>1480.91</v>
      </c>
      <c r="O661" s="6">
        <v>1480.91</v>
      </c>
      <c r="P661" s="6">
        <v>0</v>
      </c>
      <c r="Q661" s="4" t="s">
        <v>26</v>
      </c>
      <c r="R661" s="4">
        <v>0</v>
      </c>
      <c r="S661" s="4" t="s">
        <v>224</v>
      </c>
      <c r="T661" s="4" t="s">
        <v>493</v>
      </c>
      <c r="U661" s="4">
        <v>0</v>
      </c>
      <c r="V661" s="4">
        <v>29</v>
      </c>
      <c r="W661" s="4">
        <v>75</v>
      </c>
    </row>
    <row r="662" spans="1:23" ht="11.25" customHeight="1" x14ac:dyDescent="0.25">
      <c r="A662" s="4" t="s">
        <v>27</v>
      </c>
      <c r="B662" s="4" t="s">
        <v>41</v>
      </c>
      <c r="C662" s="4" t="s">
        <v>44</v>
      </c>
      <c r="D662" s="4" t="s">
        <v>40</v>
      </c>
      <c r="E662" s="4" t="s">
        <v>25</v>
      </c>
      <c r="F662" s="4" t="s">
        <v>25</v>
      </c>
      <c r="G662" s="4" t="s">
        <v>25</v>
      </c>
      <c r="H662" s="4" t="s">
        <v>37</v>
      </c>
      <c r="I662" s="5">
        <v>44562</v>
      </c>
      <c r="J662" s="6">
        <v>0</v>
      </c>
      <c r="K662" s="6">
        <v>0</v>
      </c>
      <c r="L662" s="6">
        <v>-44.37</v>
      </c>
      <c r="M662" s="6">
        <v>-44.37</v>
      </c>
      <c r="N662" s="6">
        <v>-44.37</v>
      </c>
      <c r="O662" s="6">
        <v>-44.37</v>
      </c>
      <c r="P662" s="6">
        <v>0</v>
      </c>
      <c r="Q662" s="4" t="s">
        <v>26</v>
      </c>
      <c r="R662" s="4">
        <v>0</v>
      </c>
      <c r="S662" s="4" t="s">
        <v>224</v>
      </c>
      <c r="T662" s="4" t="s">
        <v>493</v>
      </c>
      <c r="U662" s="4">
        <v>0</v>
      </c>
      <c r="V662" s="4">
        <v>29</v>
      </c>
      <c r="W662" s="4">
        <v>75</v>
      </c>
    </row>
    <row r="663" spans="1:23" ht="11.25" customHeight="1" x14ac:dyDescent="0.25">
      <c r="A663" s="4" t="s">
        <v>28</v>
      </c>
      <c r="B663" s="4" t="s">
        <v>41</v>
      </c>
      <c r="C663" s="4" t="s">
        <v>44</v>
      </c>
      <c r="D663" s="4" t="s">
        <v>40</v>
      </c>
      <c r="E663" s="4" t="s">
        <v>25</v>
      </c>
      <c r="F663" s="4" t="s">
        <v>25</v>
      </c>
      <c r="G663" s="4" t="s">
        <v>25</v>
      </c>
      <c r="H663" s="4" t="s">
        <v>37</v>
      </c>
      <c r="I663" s="5">
        <v>44562</v>
      </c>
      <c r="J663" s="6">
        <v>0</v>
      </c>
      <c r="K663" s="6">
        <v>0</v>
      </c>
      <c r="L663" s="6">
        <v>202.41800000000001</v>
      </c>
      <c r="M663" s="6">
        <v>202.41800000000001</v>
      </c>
      <c r="N663" s="6">
        <v>202.41800000000001</v>
      </c>
      <c r="O663" s="6">
        <v>202.41800000000001</v>
      </c>
      <c r="P663" s="6">
        <v>0</v>
      </c>
      <c r="Q663" s="4" t="s">
        <v>26</v>
      </c>
      <c r="R663" s="4">
        <v>0</v>
      </c>
      <c r="S663" s="4" t="s">
        <v>224</v>
      </c>
      <c r="T663" s="4" t="s">
        <v>493</v>
      </c>
      <c r="U663" s="4">
        <v>0</v>
      </c>
      <c r="V663" s="4">
        <v>29</v>
      </c>
      <c r="W663" s="4">
        <v>75</v>
      </c>
    </row>
    <row r="664" spans="1:23" ht="11.25" customHeight="1" x14ac:dyDescent="0.25">
      <c r="A664" s="4" t="s">
        <v>29</v>
      </c>
      <c r="B664" s="4" t="s">
        <v>41</v>
      </c>
      <c r="C664" s="4" t="s">
        <v>44</v>
      </c>
      <c r="D664" s="4" t="s">
        <v>40</v>
      </c>
      <c r="E664" s="4" t="s">
        <v>25</v>
      </c>
      <c r="F664" s="4" t="s">
        <v>25</v>
      </c>
      <c r="G664" s="4" t="s">
        <v>25</v>
      </c>
      <c r="H664" s="4" t="s">
        <v>37</v>
      </c>
      <c r="I664" s="5">
        <v>44562</v>
      </c>
      <c r="J664" s="6">
        <v>0</v>
      </c>
      <c r="K664" s="6">
        <v>0</v>
      </c>
      <c r="L664" s="6">
        <v>-36.68</v>
      </c>
      <c r="M664" s="6">
        <v>-36.68</v>
      </c>
      <c r="N664" s="6">
        <v>-36.68</v>
      </c>
      <c r="O664" s="6">
        <v>-36.68</v>
      </c>
      <c r="P664" s="6">
        <v>0</v>
      </c>
      <c r="Q664" s="4" t="s">
        <v>26</v>
      </c>
      <c r="R664" s="4">
        <v>0</v>
      </c>
      <c r="S664" s="4" t="s">
        <v>224</v>
      </c>
      <c r="T664" s="4" t="s">
        <v>493</v>
      </c>
      <c r="U664" s="4">
        <v>0</v>
      </c>
      <c r="V664" s="4">
        <v>29</v>
      </c>
      <c r="W664" s="4">
        <v>75</v>
      </c>
    </row>
    <row r="665" spans="1:23" ht="11.25" customHeight="1" x14ac:dyDescent="0.25">
      <c r="A665" s="4" t="s">
        <v>30</v>
      </c>
      <c r="B665" s="4" t="s">
        <v>41</v>
      </c>
      <c r="C665" s="4" t="s">
        <v>44</v>
      </c>
      <c r="D665" s="4" t="s">
        <v>40</v>
      </c>
      <c r="E665" s="4" t="s">
        <v>25</v>
      </c>
      <c r="F665" s="4" t="s">
        <v>25</v>
      </c>
      <c r="G665" s="4" t="s">
        <v>25</v>
      </c>
      <c r="H665" s="4" t="s">
        <v>37</v>
      </c>
      <c r="I665" s="5">
        <v>44562</v>
      </c>
      <c r="J665" s="6">
        <v>0</v>
      </c>
      <c r="K665" s="6">
        <v>0</v>
      </c>
      <c r="L665" s="6">
        <v>27.314</v>
      </c>
      <c r="M665" s="6">
        <v>27.314</v>
      </c>
      <c r="N665" s="6">
        <v>27.314</v>
      </c>
      <c r="O665" s="6">
        <v>27.314</v>
      </c>
      <c r="P665" s="6">
        <v>0</v>
      </c>
      <c r="Q665" s="4" t="s">
        <v>26</v>
      </c>
      <c r="R665" s="4">
        <v>0</v>
      </c>
      <c r="S665" s="4" t="s">
        <v>224</v>
      </c>
      <c r="T665" s="4" t="s">
        <v>493</v>
      </c>
      <c r="U665" s="4">
        <v>0</v>
      </c>
      <c r="V665" s="4">
        <v>29</v>
      </c>
      <c r="W665" s="4">
        <v>75</v>
      </c>
    </row>
    <row r="666" spans="1:23" ht="11.25" customHeight="1" x14ac:dyDescent="0.25">
      <c r="A666" s="4" t="s">
        <v>21</v>
      </c>
      <c r="B666" s="4" t="s">
        <v>41</v>
      </c>
      <c r="C666" s="4" t="s">
        <v>44</v>
      </c>
      <c r="D666" s="4" t="s">
        <v>40</v>
      </c>
      <c r="E666" s="4" t="s">
        <v>25</v>
      </c>
      <c r="F666" s="4" t="s">
        <v>25</v>
      </c>
      <c r="G666" s="4" t="s">
        <v>25</v>
      </c>
      <c r="H666" s="4" t="s">
        <v>37</v>
      </c>
      <c r="I666" s="5">
        <v>44593</v>
      </c>
      <c r="J666" s="6">
        <v>0</v>
      </c>
      <c r="K666" s="6">
        <v>0</v>
      </c>
      <c r="L666" s="6">
        <v>1531.6780000000001</v>
      </c>
      <c r="M666" s="6">
        <v>1531.6780000000001</v>
      </c>
      <c r="N666" s="6">
        <v>1531.6780000000001</v>
      </c>
      <c r="O666" s="6">
        <v>1531.6780000000001</v>
      </c>
      <c r="P666" s="6">
        <v>0</v>
      </c>
      <c r="Q666" s="4" t="s">
        <v>26</v>
      </c>
      <c r="R666" s="4">
        <v>0</v>
      </c>
      <c r="S666" s="4" t="s">
        <v>225</v>
      </c>
      <c r="T666" s="4" t="s">
        <v>494</v>
      </c>
      <c r="U666" s="4">
        <v>0</v>
      </c>
      <c r="V666" s="4">
        <v>29</v>
      </c>
      <c r="W666" s="4">
        <v>75</v>
      </c>
    </row>
    <row r="667" spans="1:23" ht="11.25" customHeight="1" x14ac:dyDescent="0.25">
      <c r="A667" s="4" t="s">
        <v>27</v>
      </c>
      <c r="B667" s="4" t="s">
        <v>41</v>
      </c>
      <c r="C667" s="4" t="s">
        <v>44</v>
      </c>
      <c r="D667" s="4" t="s">
        <v>40</v>
      </c>
      <c r="E667" s="4" t="s">
        <v>25</v>
      </c>
      <c r="F667" s="4" t="s">
        <v>25</v>
      </c>
      <c r="G667" s="4" t="s">
        <v>25</v>
      </c>
      <c r="H667" s="4" t="s">
        <v>37</v>
      </c>
      <c r="I667" s="5">
        <v>44593</v>
      </c>
      <c r="J667" s="6">
        <v>0</v>
      </c>
      <c r="K667" s="6">
        <v>0</v>
      </c>
      <c r="L667" s="6">
        <v>-44.417999999999999</v>
      </c>
      <c r="M667" s="6">
        <v>-44.417999999999999</v>
      </c>
      <c r="N667" s="6">
        <v>-44.417999999999999</v>
      </c>
      <c r="O667" s="6">
        <v>-44.417999999999999</v>
      </c>
      <c r="P667" s="6">
        <v>0</v>
      </c>
      <c r="Q667" s="4" t="s">
        <v>26</v>
      </c>
      <c r="R667" s="4">
        <v>0</v>
      </c>
      <c r="S667" s="4" t="s">
        <v>225</v>
      </c>
      <c r="T667" s="4" t="s">
        <v>494</v>
      </c>
      <c r="U667" s="4">
        <v>0</v>
      </c>
      <c r="V667" s="4">
        <v>29</v>
      </c>
      <c r="W667" s="4">
        <v>75</v>
      </c>
    </row>
    <row r="668" spans="1:23" ht="11.25" customHeight="1" x14ac:dyDescent="0.25">
      <c r="A668" s="4" t="s">
        <v>28</v>
      </c>
      <c r="B668" s="4" t="s">
        <v>41</v>
      </c>
      <c r="C668" s="4" t="s">
        <v>44</v>
      </c>
      <c r="D668" s="4" t="s">
        <v>40</v>
      </c>
      <c r="E668" s="4" t="s">
        <v>25</v>
      </c>
      <c r="F668" s="4" t="s">
        <v>25</v>
      </c>
      <c r="G668" s="4" t="s">
        <v>25</v>
      </c>
      <c r="H668" s="4" t="s">
        <v>37</v>
      </c>
      <c r="I668" s="5">
        <v>44593</v>
      </c>
      <c r="J668" s="6">
        <v>0</v>
      </c>
      <c r="K668" s="6">
        <v>0</v>
      </c>
      <c r="L668" s="6">
        <v>180.56899999999999</v>
      </c>
      <c r="M668" s="6">
        <v>180.56899999999999</v>
      </c>
      <c r="N668" s="6">
        <v>180.56899999999999</v>
      </c>
      <c r="O668" s="6">
        <v>180.56899999999999</v>
      </c>
      <c r="P668" s="6">
        <v>0</v>
      </c>
      <c r="Q668" s="4" t="s">
        <v>26</v>
      </c>
      <c r="R668" s="4">
        <v>0</v>
      </c>
      <c r="S668" s="4" t="s">
        <v>225</v>
      </c>
      <c r="T668" s="4" t="s">
        <v>494</v>
      </c>
      <c r="U668" s="4">
        <v>0</v>
      </c>
      <c r="V668" s="4">
        <v>29</v>
      </c>
      <c r="W668" s="4">
        <v>75</v>
      </c>
    </row>
    <row r="669" spans="1:23" ht="11.25" customHeight="1" x14ac:dyDescent="0.25">
      <c r="A669" s="4" t="s">
        <v>30</v>
      </c>
      <c r="B669" s="4" t="s">
        <v>41</v>
      </c>
      <c r="C669" s="4" t="s">
        <v>44</v>
      </c>
      <c r="D669" s="4" t="s">
        <v>40</v>
      </c>
      <c r="E669" s="4" t="s">
        <v>25</v>
      </c>
      <c r="F669" s="4" t="s">
        <v>25</v>
      </c>
      <c r="G669" s="4" t="s">
        <v>25</v>
      </c>
      <c r="H669" s="4" t="s">
        <v>37</v>
      </c>
      <c r="I669" s="5">
        <v>44593</v>
      </c>
      <c r="J669" s="6">
        <v>0</v>
      </c>
      <c r="K669" s="6">
        <v>0</v>
      </c>
      <c r="L669" s="6">
        <v>20.067</v>
      </c>
      <c r="M669" s="6">
        <v>20.067</v>
      </c>
      <c r="N669" s="6">
        <v>20.067</v>
      </c>
      <c r="O669" s="6">
        <v>20.067</v>
      </c>
      <c r="P669" s="6">
        <v>0</v>
      </c>
      <c r="Q669" s="4" t="s">
        <v>26</v>
      </c>
      <c r="R669" s="4">
        <v>0</v>
      </c>
      <c r="S669" s="4" t="s">
        <v>225</v>
      </c>
      <c r="T669" s="4" t="s">
        <v>494</v>
      </c>
      <c r="U669" s="4">
        <v>0</v>
      </c>
      <c r="V669" s="4">
        <v>29</v>
      </c>
      <c r="W669" s="4">
        <v>75</v>
      </c>
    </row>
    <row r="670" spans="1:23" ht="11.25" customHeight="1" x14ac:dyDescent="0.25">
      <c r="A670" s="4" t="s">
        <v>21</v>
      </c>
      <c r="B670" s="4" t="s">
        <v>41</v>
      </c>
      <c r="C670" s="4" t="s">
        <v>44</v>
      </c>
      <c r="D670" s="4" t="s">
        <v>40</v>
      </c>
      <c r="E670" s="4" t="s">
        <v>25</v>
      </c>
      <c r="F670" s="4" t="s">
        <v>25</v>
      </c>
      <c r="G670" s="4" t="s">
        <v>25</v>
      </c>
      <c r="H670" s="4" t="s">
        <v>37</v>
      </c>
      <c r="I670" s="5">
        <v>44621</v>
      </c>
      <c r="J670" s="6">
        <v>0</v>
      </c>
      <c r="K670" s="6">
        <v>0</v>
      </c>
      <c r="L670" s="6">
        <v>1676.627</v>
      </c>
      <c r="M670" s="6">
        <v>1676.627</v>
      </c>
      <c r="N670" s="6">
        <v>1676.627</v>
      </c>
      <c r="O670" s="6">
        <v>1676.627</v>
      </c>
      <c r="P670" s="6">
        <v>0</v>
      </c>
      <c r="Q670" s="4" t="s">
        <v>26</v>
      </c>
      <c r="R670" s="4">
        <v>0</v>
      </c>
      <c r="S670" s="4" t="s">
        <v>226</v>
      </c>
      <c r="T670" s="4" t="s">
        <v>495</v>
      </c>
      <c r="U670" s="4">
        <v>0</v>
      </c>
      <c r="V670" s="4">
        <v>29</v>
      </c>
      <c r="W670" s="4">
        <v>75</v>
      </c>
    </row>
    <row r="671" spans="1:23" ht="11.25" customHeight="1" x14ac:dyDescent="0.25">
      <c r="A671" s="4" t="s">
        <v>27</v>
      </c>
      <c r="B671" s="4" t="s">
        <v>41</v>
      </c>
      <c r="C671" s="4" t="s">
        <v>44</v>
      </c>
      <c r="D671" s="4" t="s">
        <v>40</v>
      </c>
      <c r="E671" s="4" t="s">
        <v>25</v>
      </c>
      <c r="F671" s="4" t="s">
        <v>25</v>
      </c>
      <c r="G671" s="4" t="s">
        <v>25</v>
      </c>
      <c r="H671" s="4" t="s">
        <v>37</v>
      </c>
      <c r="I671" s="5">
        <v>44621</v>
      </c>
      <c r="J671" s="6">
        <v>0</v>
      </c>
      <c r="K671" s="6">
        <v>0</v>
      </c>
      <c r="L671" s="6">
        <v>-60.734999999999999</v>
      </c>
      <c r="M671" s="6">
        <v>-60.734999999999999</v>
      </c>
      <c r="N671" s="6">
        <v>-60.734999999999999</v>
      </c>
      <c r="O671" s="6">
        <v>-60.734999999999999</v>
      </c>
      <c r="P671" s="6">
        <v>0</v>
      </c>
      <c r="Q671" s="4" t="s">
        <v>26</v>
      </c>
      <c r="R671" s="4">
        <v>0</v>
      </c>
      <c r="S671" s="4" t="s">
        <v>226</v>
      </c>
      <c r="T671" s="4" t="s">
        <v>495</v>
      </c>
      <c r="U671" s="4">
        <v>0</v>
      </c>
      <c r="V671" s="4">
        <v>29</v>
      </c>
      <c r="W671" s="4">
        <v>75</v>
      </c>
    </row>
    <row r="672" spans="1:23" ht="11.25" customHeight="1" x14ac:dyDescent="0.25">
      <c r="A672" s="4" t="s">
        <v>28</v>
      </c>
      <c r="B672" s="4" t="s">
        <v>41</v>
      </c>
      <c r="C672" s="4" t="s">
        <v>44</v>
      </c>
      <c r="D672" s="4" t="s">
        <v>40</v>
      </c>
      <c r="E672" s="4" t="s">
        <v>25</v>
      </c>
      <c r="F672" s="4" t="s">
        <v>25</v>
      </c>
      <c r="G672" s="4" t="s">
        <v>25</v>
      </c>
      <c r="H672" s="4" t="s">
        <v>37</v>
      </c>
      <c r="I672" s="5">
        <v>44621</v>
      </c>
      <c r="J672" s="6">
        <v>0</v>
      </c>
      <c r="K672" s="6">
        <v>0</v>
      </c>
      <c r="L672" s="6">
        <v>192.47399999999999</v>
      </c>
      <c r="M672" s="6">
        <v>192.47399999999999</v>
      </c>
      <c r="N672" s="6">
        <v>192.47399999999999</v>
      </c>
      <c r="O672" s="6">
        <v>192.47399999999999</v>
      </c>
      <c r="P672" s="6">
        <v>0</v>
      </c>
      <c r="Q672" s="4" t="s">
        <v>26</v>
      </c>
      <c r="R672" s="4">
        <v>0</v>
      </c>
      <c r="S672" s="4" t="s">
        <v>226</v>
      </c>
      <c r="T672" s="4" t="s">
        <v>495</v>
      </c>
      <c r="U672" s="4">
        <v>0</v>
      </c>
      <c r="V672" s="4">
        <v>29</v>
      </c>
      <c r="W672" s="4">
        <v>75</v>
      </c>
    </row>
    <row r="673" spans="1:23" ht="11.25" customHeight="1" x14ac:dyDescent="0.25">
      <c r="A673" s="4" t="s">
        <v>30</v>
      </c>
      <c r="B673" s="4" t="s">
        <v>41</v>
      </c>
      <c r="C673" s="4" t="s">
        <v>44</v>
      </c>
      <c r="D673" s="4" t="s">
        <v>40</v>
      </c>
      <c r="E673" s="4" t="s">
        <v>25</v>
      </c>
      <c r="F673" s="4" t="s">
        <v>25</v>
      </c>
      <c r="G673" s="4" t="s">
        <v>25</v>
      </c>
      <c r="H673" s="4" t="s">
        <v>37</v>
      </c>
      <c r="I673" s="5">
        <v>44621</v>
      </c>
      <c r="J673" s="6">
        <v>0</v>
      </c>
      <c r="K673" s="6">
        <v>0</v>
      </c>
      <c r="L673" s="6">
        <v>34.091999999999999</v>
      </c>
      <c r="M673" s="6">
        <v>34.091999999999999</v>
      </c>
      <c r="N673" s="6">
        <v>34.091999999999999</v>
      </c>
      <c r="O673" s="6">
        <v>34.091999999999999</v>
      </c>
      <c r="P673" s="6">
        <v>0</v>
      </c>
      <c r="Q673" s="4" t="s">
        <v>26</v>
      </c>
      <c r="R673" s="4">
        <v>0</v>
      </c>
      <c r="S673" s="4" t="s">
        <v>226</v>
      </c>
      <c r="T673" s="4" t="s">
        <v>495</v>
      </c>
      <c r="U673" s="4">
        <v>0</v>
      </c>
      <c r="V673" s="4">
        <v>29</v>
      </c>
      <c r="W673" s="4">
        <v>75</v>
      </c>
    </row>
    <row r="674" spans="1:23" ht="11.25" customHeight="1" x14ac:dyDescent="0.25">
      <c r="A674" s="4" t="s">
        <v>21</v>
      </c>
      <c r="B674" s="4" t="s">
        <v>41</v>
      </c>
      <c r="C674" s="4" t="s">
        <v>44</v>
      </c>
      <c r="D674" s="4" t="s">
        <v>40</v>
      </c>
      <c r="E674" s="4" t="s">
        <v>25</v>
      </c>
      <c r="F674" s="4" t="s">
        <v>25</v>
      </c>
      <c r="G674" s="4" t="s">
        <v>25</v>
      </c>
      <c r="H674" s="4" t="s">
        <v>37</v>
      </c>
      <c r="I674" s="5">
        <v>44652</v>
      </c>
      <c r="J674" s="6">
        <v>0</v>
      </c>
      <c r="K674" s="6">
        <v>0</v>
      </c>
      <c r="L674" s="6">
        <v>1502.6410000000001</v>
      </c>
      <c r="M674" s="6">
        <v>1502.6410000000001</v>
      </c>
      <c r="N674" s="6">
        <v>1502.6410000000001</v>
      </c>
      <c r="O674" s="6">
        <v>1502.6410000000001</v>
      </c>
      <c r="P674" s="6">
        <v>0</v>
      </c>
      <c r="Q674" s="4" t="s">
        <v>26</v>
      </c>
      <c r="R674" s="4">
        <v>0</v>
      </c>
      <c r="S674" s="4" t="s">
        <v>227</v>
      </c>
      <c r="T674" s="4" t="s">
        <v>496</v>
      </c>
      <c r="U674" s="4">
        <v>0</v>
      </c>
      <c r="V674" s="4">
        <v>29</v>
      </c>
      <c r="W674" s="4">
        <v>75</v>
      </c>
    </row>
    <row r="675" spans="1:23" ht="11.25" customHeight="1" x14ac:dyDescent="0.25">
      <c r="A675" s="4" t="s">
        <v>28</v>
      </c>
      <c r="B675" s="4" t="s">
        <v>41</v>
      </c>
      <c r="C675" s="4" t="s">
        <v>44</v>
      </c>
      <c r="D675" s="4" t="s">
        <v>40</v>
      </c>
      <c r="E675" s="4" t="s">
        <v>25</v>
      </c>
      <c r="F675" s="4" t="s">
        <v>25</v>
      </c>
      <c r="G675" s="4" t="s">
        <v>25</v>
      </c>
      <c r="H675" s="4" t="s">
        <v>37</v>
      </c>
      <c r="I675" s="5">
        <v>44652</v>
      </c>
      <c r="J675" s="6">
        <v>0</v>
      </c>
      <c r="K675" s="6">
        <v>0</v>
      </c>
      <c r="L675" s="6">
        <v>221.334</v>
      </c>
      <c r="M675" s="6">
        <v>221.334</v>
      </c>
      <c r="N675" s="6">
        <v>221.334</v>
      </c>
      <c r="O675" s="6">
        <v>221.334</v>
      </c>
      <c r="P675" s="6">
        <v>0</v>
      </c>
      <c r="Q675" s="4" t="s">
        <v>26</v>
      </c>
      <c r="R675" s="4">
        <v>0</v>
      </c>
      <c r="S675" s="4" t="s">
        <v>227</v>
      </c>
      <c r="T675" s="4" t="s">
        <v>496</v>
      </c>
      <c r="U675" s="4">
        <v>0</v>
      </c>
      <c r="V675" s="4">
        <v>29</v>
      </c>
      <c r="W675" s="4">
        <v>75</v>
      </c>
    </row>
    <row r="676" spans="1:23" ht="11.25" customHeight="1" x14ac:dyDescent="0.25">
      <c r="A676" s="4" t="s">
        <v>30</v>
      </c>
      <c r="B676" s="4" t="s">
        <v>41</v>
      </c>
      <c r="C676" s="4" t="s">
        <v>44</v>
      </c>
      <c r="D676" s="4" t="s">
        <v>40</v>
      </c>
      <c r="E676" s="4" t="s">
        <v>25</v>
      </c>
      <c r="F676" s="4" t="s">
        <v>25</v>
      </c>
      <c r="G676" s="4" t="s">
        <v>25</v>
      </c>
      <c r="H676" s="4" t="s">
        <v>37</v>
      </c>
      <c r="I676" s="5">
        <v>44652</v>
      </c>
      <c r="J676" s="6">
        <v>0</v>
      </c>
      <c r="K676" s="6">
        <v>0</v>
      </c>
      <c r="L676" s="6">
        <v>34.607999999999997</v>
      </c>
      <c r="M676" s="6">
        <v>34.607999999999997</v>
      </c>
      <c r="N676" s="6">
        <v>34.607999999999997</v>
      </c>
      <c r="O676" s="6">
        <v>34.607999999999997</v>
      </c>
      <c r="P676" s="6">
        <v>0</v>
      </c>
      <c r="Q676" s="4" t="s">
        <v>26</v>
      </c>
      <c r="R676" s="4">
        <v>0</v>
      </c>
      <c r="S676" s="4" t="s">
        <v>227</v>
      </c>
      <c r="T676" s="4" t="s">
        <v>496</v>
      </c>
      <c r="U676" s="4">
        <v>0</v>
      </c>
      <c r="V676" s="4">
        <v>29</v>
      </c>
      <c r="W676" s="4">
        <v>75</v>
      </c>
    </row>
    <row r="677" spans="1:23" ht="11.25" customHeight="1" x14ac:dyDescent="0.25">
      <c r="A677" s="4" t="s">
        <v>21</v>
      </c>
      <c r="B677" s="4" t="s">
        <v>41</v>
      </c>
      <c r="C677" s="4" t="s">
        <v>44</v>
      </c>
      <c r="D677" s="4" t="s">
        <v>40</v>
      </c>
      <c r="E677" s="4" t="s">
        <v>25</v>
      </c>
      <c r="F677" s="4" t="s">
        <v>25</v>
      </c>
      <c r="G677" s="4" t="s">
        <v>25</v>
      </c>
      <c r="H677" s="4" t="s">
        <v>37</v>
      </c>
      <c r="I677" s="5">
        <v>44682</v>
      </c>
      <c r="J677" s="6">
        <v>0</v>
      </c>
      <c r="K677" s="6">
        <v>0</v>
      </c>
      <c r="L677" s="6">
        <v>1564.1120000000001</v>
      </c>
      <c r="M677" s="6">
        <v>1564.1120000000001</v>
      </c>
      <c r="N677" s="6">
        <v>1564.1120000000001</v>
      </c>
      <c r="O677" s="6">
        <v>1564.1120000000001</v>
      </c>
      <c r="P677" s="6">
        <v>0</v>
      </c>
      <c r="Q677" s="4" t="s">
        <v>26</v>
      </c>
      <c r="R677" s="4">
        <v>0</v>
      </c>
      <c r="S677" s="4" t="s">
        <v>228</v>
      </c>
      <c r="T677" s="4" t="s">
        <v>497</v>
      </c>
      <c r="U677" s="4">
        <v>0</v>
      </c>
      <c r="V677" s="4">
        <v>29</v>
      </c>
      <c r="W677" s="4">
        <v>75</v>
      </c>
    </row>
    <row r="678" spans="1:23" ht="11.25" customHeight="1" x14ac:dyDescent="0.25">
      <c r="A678" s="4" t="s">
        <v>28</v>
      </c>
      <c r="B678" s="4" t="s">
        <v>41</v>
      </c>
      <c r="C678" s="4" t="s">
        <v>44</v>
      </c>
      <c r="D678" s="4" t="s">
        <v>40</v>
      </c>
      <c r="E678" s="4" t="s">
        <v>25</v>
      </c>
      <c r="F678" s="4" t="s">
        <v>25</v>
      </c>
      <c r="G678" s="4" t="s">
        <v>25</v>
      </c>
      <c r="H678" s="4" t="s">
        <v>37</v>
      </c>
      <c r="I678" s="5">
        <v>44682</v>
      </c>
      <c r="J678" s="6">
        <v>0</v>
      </c>
      <c r="K678" s="6">
        <v>0</v>
      </c>
      <c r="L678" s="6">
        <v>212.94300000000001</v>
      </c>
      <c r="M678" s="6">
        <v>212.94300000000001</v>
      </c>
      <c r="N678" s="6">
        <v>212.94300000000001</v>
      </c>
      <c r="O678" s="6">
        <v>212.94300000000001</v>
      </c>
      <c r="P678" s="6">
        <v>0</v>
      </c>
      <c r="Q678" s="4" t="s">
        <v>26</v>
      </c>
      <c r="R678" s="4">
        <v>0</v>
      </c>
      <c r="S678" s="4" t="s">
        <v>228</v>
      </c>
      <c r="T678" s="4" t="s">
        <v>497</v>
      </c>
      <c r="U678" s="4">
        <v>0</v>
      </c>
      <c r="V678" s="4">
        <v>29</v>
      </c>
      <c r="W678" s="4">
        <v>75</v>
      </c>
    </row>
    <row r="679" spans="1:23" ht="11.25" customHeight="1" x14ac:dyDescent="0.25">
      <c r="A679" s="4" t="s">
        <v>30</v>
      </c>
      <c r="B679" s="4" t="s">
        <v>41</v>
      </c>
      <c r="C679" s="4" t="s">
        <v>44</v>
      </c>
      <c r="D679" s="4" t="s">
        <v>40</v>
      </c>
      <c r="E679" s="4" t="s">
        <v>25</v>
      </c>
      <c r="F679" s="4" t="s">
        <v>25</v>
      </c>
      <c r="G679" s="4" t="s">
        <v>25</v>
      </c>
      <c r="H679" s="4" t="s">
        <v>37</v>
      </c>
      <c r="I679" s="5">
        <v>44682</v>
      </c>
      <c r="J679" s="6">
        <v>0</v>
      </c>
      <c r="K679" s="6">
        <v>0</v>
      </c>
      <c r="L679" s="6">
        <v>39.668999999999997</v>
      </c>
      <c r="M679" s="6">
        <v>39.668999999999997</v>
      </c>
      <c r="N679" s="6">
        <v>39.668999999999997</v>
      </c>
      <c r="O679" s="6">
        <v>39.668999999999997</v>
      </c>
      <c r="P679" s="6">
        <v>0</v>
      </c>
      <c r="Q679" s="4" t="s">
        <v>26</v>
      </c>
      <c r="R679" s="4">
        <v>0</v>
      </c>
      <c r="S679" s="4" t="s">
        <v>228</v>
      </c>
      <c r="T679" s="4" t="s">
        <v>497</v>
      </c>
      <c r="U679" s="4">
        <v>0</v>
      </c>
      <c r="V679" s="4">
        <v>29</v>
      </c>
      <c r="W679" s="4">
        <v>75</v>
      </c>
    </row>
    <row r="680" spans="1:23" ht="11.25" customHeight="1" x14ac:dyDescent="0.25">
      <c r="A680" s="4" t="s">
        <v>21</v>
      </c>
      <c r="B680" s="4" t="s">
        <v>41</v>
      </c>
      <c r="C680" s="4" t="s">
        <v>44</v>
      </c>
      <c r="D680" s="4" t="s">
        <v>40</v>
      </c>
      <c r="E680" s="4" t="s">
        <v>25</v>
      </c>
      <c r="F680" s="4" t="s">
        <v>25</v>
      </c>
      <c r="G680" s="4" t="s">
        <v>25</v>
      </c>
      <c r="H680" s="4" t="s">
        <v>37</v>
      </c>
      <c r="I680" s="5">
        <v>44713</v>
      </c>
      <c r="J680" s="6">
        <v>0</v>
      </c>
      <c r="K680" s="6">
        <v>0</v>
      </c>
      <c r="L680" s="6">
        <v>1634.31</v>
      </c>
      <c r="M680" s="6">
        <v>1634.31</v>
      </c>
      <c r="N680" s="6">
        <v>1634.31</v>
      </c>
      <c r="O680" s="6">
        <v>1634.31</v>
      </c>
      <c r="P680" s="6">
        <v>0</v>
      </c>
      <c r="Q680" s="4" t="s">
        <v>26</v>
      </c>
      <c r="R680" s="4">
        <v>0</v>
      </c>
      <c r="S680" s="4" t="s">
        <v>229</v>
      </c>
      <c r="T680" s="4" t="s">
        <v>498</v>
      </c>
      <c r="U680" s="4">
        <v>0</v>
      </c>
      <c r="V680" s="4">
        <v>29</v>
      </c>
      <c r="W680" s="4">
        <v>75</v>
      </c>
    </row>
    <row r="681" spans="1:23" ht="11.25" customHeight="1" x14ac:dyDescent="0.25">
      <c r="A681" s="4" t="s">
        <v>27</v>
      </c>
      <c r="B681" s="4" t="s">
        <v>41</v>
      </c>
      <c r="C681" s="4" t="s">
        <v>44</v>
      </c>
      <c r="D681" s="4" t="s">
        <v>40</v>
      </c>
      <c r="E681" s="4" t="s">
        <v>25</v>
      </c>
      <c r="F681" s="4" t="s">
        <v>25</v>
      </c>
      <c r="G681" s="4" t="s">
        <v>25</v>
      </c>
      <c r="H681" s="4" t="s">
        <v>37</v>
      </c>
      <c r="I681" s="5">
        <v>44713</v>
      </c>
      <c r="J681" s="6">
        <v>0</v>
      </c>
      <c r="K681" s="6">
        <v>0</v>
      </c>
      <c r="L681" s="6">
        <v>-21.28</v>
      </c>
      <c r="M681" s="6">
        <v>-21.28</v>
      </c>
      <c r="N681" s="6">
        <v>-21.28</v>
      </c>
      <c r="O681" s="6">
        <v>-21.28</v>
      </c>
      <c r="P681" s="6">
        <v>0</v>
      </c>
      <c r="Q681" s="4" t="s">
        <v>26</v>
      </c>
      <c r="R681" s="4">
        <v>0</v>
      </c>
      <c r="S681" s="4" t="s">
        <v>229</v>
      </c>
      <c r="T681" s="4" t="s">
        <v>498</v>
      </c>
      <c r="U681" s="4">
        <v>0</v>
      </c>
      <c r="V681" s="4">
        <v>29</v>
      </c>
      <c r="W681" s="4">
        <v>75</v>
      </c>
    </row>
    <row r="682" spans="1:23" ht="11.25" customHeight="1" x14ac:dyDescent="0.25">
      <c r="A682" s="4" t="s">
        <v>28</v>
      </c>
      <c r="B682" s="4" t="s">
        <v>41</v>
      </c>
      <c r="C682" s="4" t="s">
        <v>44</v>
      </c>
      <c r="D682" s="4" t="s">
        <v>40</v>
      </c>
      <c r="E682" s="4" t="s">
        <v>25</v>
      </c>
      <c r="F682" s="4" t="s">
        <v>25</v>
      </c>
      <c r="G682" s="4" t="s">
        <v>25</v>
      </c>
      <c r="H682" s="4" t="s">
        <v>37</v>
      </c>
      <c r="I682" s="5">
        <v>44713</v>
      </c>
      <c r="J682" s="6">
        <v>0</v>
      </c>
      <c r="K682" s="6">
        <v>0</v>
      </c>
      <c r="L682" s="6">
        <v>198.49100000000001</v>
      </c>
      <c r="M682" s="6">
        <v>198.49100000000001</v>
      </c>
      <c r="N682" s="6">
        <v>198.49100000000001</v>
      </c>
      <c r="O682" s="6">
        <v>198.49100000000001</v>
      </c>
      <c r="P682" s="6">
        <v>0</v>
      </c>
      <c r="Q682" s="4" t="s">
        <v>26</v>
      </c>
      <c r="R682" s="4">
        <v>0</v>
      </c>
      <c r="S682" s="4" t="s">
        <v>229</v>
      </c>
      <c r="T682" s="4" t="s">
        <v>498</v>
      </c>
      <c r="U682" s="4">
        <v>0</v>
      </c>
      <c r="V682" s="4">
        <v>29</v>
      </c>
      <c r="W682" s="4">
        <v>75</v>
      </c>
    </row>
    <row r="683" spans="1:23" ht="11.25" customHeight="1" x14ac:dyDescent="0.25">
      <c r="A683" s="4" t="s">
        <v>30</v>
      </c>
      <c r="B683" s="4" t="s">
        <v>41</v>
      </c>
      <c r="C683" s="4" t="s">
        <v>44</v>
      </c>
      <c r="D683" s="4" t="s">
        <v>40</v>
      </c>
      <c r="E683" s="4" t="s">
        <v>25</v>
      </c>
      <c r="F683" s="4" t="s">
        <v>25</v>
      </c>
      <c r="G683" s="4" t="s">
        <v>25</v>
      </c>
      <c r="H683" s="4" t="s">
        <v>37</v>
      </c>
      <c r="I683" s="5">
        <v>44713</v>
      </c>
      <c r="J683" s="6">
        <v>0</v>
      </c>
      <c r="K683" s="6">
        <v>0</v>
      </c>
      <c r="L683" s="6">
        <v>53.67</v>
      </c>
      <c r="M683" s="6">
        <v>53.67</v>
      </c>
      <c r="N683" s="6">
        <v>53.67</v>
      </c>
      <c r="O683" s="6">
        <v>53.67</v>
      </c>
      <c r="P683" s="6">
        <v>0</v>
      </c>
      <c r="Q683" s="4" t="s">
        <v>26</v>
      </c>
      <c r="R683" s="4">
        <v>0</v>
      </c>
      <c r="S683" s="4" t="s">
        <v>229</v>
      </c>
      <c r="T683" s="4" t="s">
        <v>498</v>
      </c>
      <c r="U683" s="4">
        <v>0</v>
      </c>
      <c r="V683" s="4">
        <v>29</v>
      </c>
      <c r="W683" s="4">
        <v>75</v>
      </c>
    </row>
    <row r="684" spans="1:23" ht="11.25" customHeight="1" x14ac:dyDescent="0.25">
      <c r="A684" s="4" t="s">
        <v>21</v>
      </c>
      <c r="B684" s="4" t="s">
        <v>41</v>
      </c>
      <c r="C684" s="4" t="s">
        <v>44</v>
      </c>
      <c r="D684" s="4" t="s">
        <v>40</v>
      </c>
      <c r="E684" s="4" t="s">
        <v>25</v>
      </c>
      <c r="F684" s="4" t="s">
        <v>25</v>
      </c>
      <c r="G684" s="4" t="s">
        <v>25</v>
      </c>
      <c r="H684" s="4" t="s">
        <v>37</v>
      </c>
      <c r="I684" s="5">
        <v>44743</v>
      </c>
      <c r="J684" s="6">
        <v>0</v>
      </c>
      <c r="K684" s="6">
        <v>0</v>
      </c>
      <c r="L684" s="6">
        <v>1687.4780000000001</v>
      </c>
      <c r="M684" s="6">
        <v>1687.4780000000001</v>
      </c>
      <c r="N684" s="6">
        <v>1687.4780000000001</v>
      </c>
      <c r="O684" s="6">
        <v>1687.4780000000001</v>
      </c>
      <c r="P684" s="6">
        <v>0</v>
      </c>
      <c r="Q684" s="4" t="s">
        <v>26</v>
      </c>
      <c r="R684" s="4">
        <v>0</v>
      </c>
      <c r="S684" s="4" t="s">
        <v>230</v>
      </c>
      <c r="T684" s="4" t="s">
        <v>499</v>
      </c>
      <c r="U684" s="4">
        <v>0</v>
      </c>
      <c r="V684" s="4">
        <v>29</v>
      </c>
      <c r="W684" s="4">
        <v>75</v>
      </c>
    </row>
    <row r="685" spans="1:23" ht="11.25" customHeight="1" x14ac:dyDescent="0.25">
      <c r="A685" s="4" t="s">
        <v>28</v>
      </c>
      <c r="B685" s="4" t="s">
        <v>41</v>
      </c>
      <c r="C685" s="4" t="s">
        <v>44</v>
      </c>
      <c r="D685" s="4" t="s">
        <v>40</v>
      </c>
      <c r="E685" s="4" t="s">
        <v>25</v>
      </c>
      <c r="F685" s="4" t="s">
        <v>25</v>
      </c>
      <c r="G685" s="4" t="s">
        <v>25</v>
      </c>
      <c r="H685" s="4" t="s">
        <v>37</v>
      </c>
      <c r="I685" s="5">
        <v>44743</v>
      </c>
      <c r="J685" s="6">
        <v>0</v>
      </c>
      <c r="K685" s="6">
        <v>0</v>
      </c>
      <c r="L685" s="6">
        <v>216.63200000000001</v>
      </c>
      <c r="M685" s="6">
        <v>216.63200000000001</v>
      </c>
      <c r="N685" s="6">
        <v>216.63200000000001</v>
      </c>
      <c r="O685" s="6">
        <v>216.63200000000001</v>
      </c>
      <c r="P685" s="6">
        <v>0</v>
      </c>
      <c r="Q685" s="4" t="s">
        <v>26</v>
      </c>
      <c r="R685" s="4">
        <v>0</v>
      </c>
      <c r="S685" s="4" t="s">
        <v>230</v>
      </c>
      <c r="T685" s="4" t="s">
        <v>499</v>
      </c>
      <c r="U685" s="4">
        <v>0</v>
      </c>
      <c r="V685" s="4">
        <v>29</v>
      </c>
      <c r="W685" s="4">
        <v>75</v>
      </c>
    </row>
    <row r="686" spans="1:23" ht="11.25" customHeight="1" x14ac:dyDescent="0.25">
      <c r="A686" s="4" t="s">
        <v>30</v>
      </c>
      <c r="B686" s="4" t="s">
        <v>41</v>
      </c>
      <c r="C686" s="4" t="s">
        <v>44</v>
      </c>
      <c r="D686" s="4" t="s">
        <v>40</v>
      </c>
      <c r="E686" s="4" t="s">
        <v>25</v>
      </c>
      <c r="F686" s="4" t="s">
        <v>25</v>
      </c>
      <c r="G686" s="4" t="s">
        <v>25</v>
      </c>
      <c r="H686" s="4" t="s">
        <v>37</v>
      </c>
      <c r="I686" s="5">
        <v>44743</v>
      </c>
      <c r="J686" s="6">
        <v>0</v>
      </c>
      <c r="K686" s="6">
        <v>0</v>
      </c>
      <c r="L686" s="6">
        <v>51.313000000000002</v>
      </c>
      <c r="M686" s="6">
        <v>51.313000000000002</v>
      </c>
      <c r="N686" s="6">
        <v>51.313000000000002</v>
      </c>
      <c r="O686" s="6">
        <v>51.313000000000002</v>
      </c>
      <c r="P686" s="6">
        <v>0</v>
      </c>
      <c r="Q686" s="4" t="s">
        <v>26</v>
      </c>
      <c r="R686" s="4">
        <v>0</v>
      </c>
      <c r="S686" s="4" t="s">
        <v>230</v>
      </c>
      <c r="T686" s="4" t="s">
        <v>499</v>
      </c>
      <c r="U686" s="4">
        <v>0</v>
      </c>
      <c r="V686" s="4">
        <v>29</v>
      </c>
      <c r="W686" s="4">
        <v>75</v>
      </c>
    </row>
    <row r="687" spans="1:23" ht="11.25" customHeight="1" x14ac:dyDescent="0.25">
      <c r="A687" s="4" t="s">
        <v>21</v>
      </c>
      <c r="B687" s="4" t="s">
        <v>41</v>
      </c>
      <c r="C687" s="4" t="s">
        <v>44</v>
      </c>
      <c r="D687" s="4" t="s">
        <v>40</v>
      </c>
      <c r="E687" s="4" t="s">
        <v>25</v>
      </c>
      <c r="F687" s="4" t="s">
        <v>25</v>
      </c>
      <c r="G687" s="4" t="s">
        <v>25</v>
      </c>
      <c r="H687" s="4" t="s">
        <v>37</v>
      </c>
      <c r="I687" s="5">
        <v>44774</v>
      </c>
      <c r="J687" s="6">
        <v>0</v>
      </c>
      <c r="K687" s="6">
        <v>0</v>
      </c>
      <c r="L687" s="6">
        <v>1675.807</v>
      </c>
      <c r="M687" s="6">
        <v>1675.807</v>
      </c>
      <c r="N687" s="6">
        <v>1675.807</v>
      </c>
      <c r="O687" s="6">
        <v>1675.807</v>
      </c>
      <c r="P687" s="6">
        <v>0</v>
      </c>
      <c r="Q687" s="4" t="s">
        <v>26</v>
      </c>
      <c r="R687" s="4">
        <v>0</v>
      </c>
      <c r="S687" s="4" t="s">
        <v>231</v>
      </c>
      <c r="T687" s="4" t="s">
        <v>500</v>
      </c>
      <c r="U687" s="4">
        <v>0</v>
      </c>
      <c r="V687" s="4">
        <v>29</v>
      </c>
      <c r="W687" s="4">
        <v>75</v>
      </c>
    </row>
    <row r="688" spans="1:23" ht="11.25" customHeight="1" x14ac:dyDescent="0.25">
      <c r="A688" s="4" t="s">
        <v>28</v>
      </c>
      <c r="B688" s="4" t="s">
        <v>41</v>
      </c>
      <c r="C688" s="4" t="s">
        <v>44</v>
      </c>
      <c r="D688" s="4" t="s">
        <v>40</v>
      </c>
      <c r="E688" s="4" t="s">
        <v>25</v>
      </c>
      <c r="F688" s="4" t="s">
        <v>25</v>
      </c>
      <c r="G688" s="4" t="s">
        <v>25</v>
      </c>
      <c r="H688" s="4" t="s">
        <v>37</v>
      </c>
      <c r="I688" s="5">
        <v>44774</v>
      </c>
      <c r="J688" s="6">
        <v>0</v>
      </c>
      <c r="K688" s="6">
        <v>0</v>
      </c>
      <c r="L688" s="6">
        <v>240.84200000000001</v>
      </c>
      <c r="M688" s="6">
        <v>240.84200000000001</v>
      </c>
      <c r="N688" s="6">
        <v>240.84200000000001</v>
      </c>
      <c r="O688" s="6">
        <v>240.84200000000001</v>
      </c>
      <c r="P688" s="6">
        <v>0</v>
      </c>
      <c r="Q688" s="4" t="s">
        <v>26</v>
      </c>
      <c r="R688" s="4">
        <v>0</v>
      </c>
      <c r="S688" s="4" t="s">
        <v>231</v>
      </c>
      <c r="T688" s="4" t="s">
        <v>500</v>
      </c>
      <c r="U688" s="4">
        <v>0</v>
      </c>
      <c r="V688" s="4">
        <v>29</v>
      </c>
      <c r="W688" s="4">
        <v>75</v>
      </c>
    </row>
    <row r="689" spans="1:23" ht="11.25" customHeight="1" x14ac:dyDescent="0.25">
      <c r="A689" s="4" t="s">
        <v>30</v>
      </c>
      <c r="B689" s="4" t="s">
        <v>41</v>
      </c>
      <c r="C689" s="4" t="s">
        <v>44</v>
      </c>
      <c r="D689" s="4" t="s">
        <v>40</v>
      </c>
      <c r="E689" s="4" t="s">
        <v>25</v>
      </c>
      <c r="F689" s="4" t="s">
        <v>25</v>
      </c>
      <c r="G689" s="4" t="s">
        <v>25</v>
      </c>
      <c r="H689" s="4" t="s">
        <v>37</v>
      </c>
      <c r="I689" s="5">
        <v>44774</v>
      </c>
      <c r="J689" s="6">
        <v>0</v>
      </c>
      <c r="K689" s="6">
        <v>0</v>
      </c>
      <c r="L689" s="6">
        <v>54.975999999999999</v>
      </c>
      <c r="M689" s="6">
        <v>54.975999999999999</v>
      </c>
      <c r="N689" s="6">
        <v>54.975999999999999</v>
      </c>
      <c r="O689" s="6">
        <v>54.975999999999999</v>
      </c>
      <c r="P689" s="6">
        <v>0</v>
      </c>
      <c r="Q689" s="4" t="s">
        <v>26</v>
      </c>
      <c r="R689" s="4">
        <v>0</v>
      </c>
      <c r="S689" s="4" t="s">
        <v>231</v>
      </c>
      <c r="T689" s="4" t="s">
        <v>500</v>
      </c>
      <c r="U689" s="4">
        <v>0</v>
      </c>
      <c r="V689" s="4">
        <v>29</v>
      </c>
      <c r="W689" s="4">
        <v>75</v>
      </c>
    </row>
    <row r="690" spans="1:23" ht="11.25" customHeight="1" x14ac:dyDescent="0.25">
      <c r="A690" s="4" t="s">
        <v>21</v>
      </c>
      <c r="B690" s="4" t="s">
        <v>41</v>
      </c>
      <c r="C690" s="4" t="s">
        <v>44</v>
      </c>
      <c r="D690" s="4" t="s">
        <v>40</v>
      </c>
      <c r="E690" s="4" t="s">
        <v>25</v>
      </c>
      <c r="F690" s="4" t="s">
        <v>25</v>
      </c>
      <c r="G690" s="4" t="s">
        <v>25</v>
      </c>
      <c r="H690" s="4" t="s">
        <v>37</v>
      </c>
      <c r="I690" s="5">
        <v>44805</v>
      </c>
      <c r="J690" s="6">
        <v>0</v>
      </c>
      <c r="K690" s="6">
        <v>0</v>
      </c>
      <c r="L690" s="6">
        <v>1623.4960000000001</v>
      </c>
      <c r="M690" s="6">
        <v>1623.4960000000001</v>
      </c>
      <c r="N690" s="6">
        <v>1623.4960000000001</v>
      </c>
      <c r="O690" s="6">
        <v>1623.4960000000001</v>
      </c>
      <c r="P690" s="6">
        <v>0</v>
      </c>
      <c r="Q690" s="4" t="s">
        <v>26</v>
      </c>
      <c r="R690" s="4">
        <v>0</v>
      </c>
      <c r="S690" s="4" t="s">
        <v>232</v>
      </c>
      <c r="T690" s="4" t="s">
        <v>501</v>
      </c>
      <c r="U690" s="4">
        <v>0</v>
      </c>
      <c r="V690" s="4">
        <v>29</v>
      </c>
      <c r="W690" s="4">
        <v>75</v>
      </c>
    </row>
    <row r="691" spans="1:23" ht="11.25" customHeight="1" x14ac:dyDescent="0.25">
      <c r="A691" s="4" t="s">
        <v>28</v>
      </c>
      <c r="B691" s="4" t="s">
        <v>41</v>
      </c>
      <c r="C691" s="4" t="s">
        <v>44</v>
      </c>
      <c r="D691" s="4" t="s">
        <v>40</v>
      </c>
      <c r="E691" s="4" t="s">
        <v>25</v>
      </c>
      <c r="F691" s="4" t="s">
        <v>25</v>
      </c>
      <c r="G691" s="4" t="s">
        <v>25</v>
      </c>
      <c r="H691" s="4" t="s">
        <v>37</v>
      </c>
      <c r="I691" s="5">
        <v>44805</v>
      </c>
      <c r="J691" s="6">
        <v>0</v>
      </c>
      <c r="K691" s="6">
        <v>0</v>
      </c>
      <c r="L691" s="6">
        <v>237.26900000000001</v>
      </c>
      <c r="M691" s="6">
        <v>237.26900000000001</v>
      </c>
      <c r="N691" s="6">
        <v>237.26900000000001</v>
      </c>
      <c r="O691" s="6">
        <v>237.26900000000001</v>
      </c>
      <c r="P691" s="6">
        <v>0</v>
      </c>
      <c r="Q691" s="4" t="s">
        <v>26</v>
      </c>
      <c r="R691" s="4">
        <v>0</v>
      </c>
      <c r="S691" s="4" t="s">
        <v>232</v>
      </c>
      <c r="T691" s="4" t="s">
        <v>501</v>
      </c>
      <c r="U691" s="4">
        <v>0</v>
      </c>
      <c r="V691" s="4">
        <v>29</v>
      </c>
      <c r="W691" s="4">
        <v>75</v>
      </c>
    </row>
    <row r="692" spans="1:23" ht="11.25" customHeight="1" x14ac:dyDescent="0.25">
      <c r="A692" s="4" t="s">
        <v>30</v>
      </c>
      <c r="B692" s="4" t="s">
        <v>41</v>
      </c>
      <c r="C692" s="4" t="s">
        <v>44</v>
      </c>
      <c r="D692" s="4" t="s">
        <v>40</v>
      </c>
      <c r="E692" s="4" t="s">
        <v>25</v>
      </c>
      <c r="F692" s="4" t="s">
        <v>25</v>
      </c>
      <c r="G692" s="4" t="s">
        <v>25</v>
      </c>
      <c r="H692" s="4" t="s">
        <v>37</v>
      </c>
      <c r="I692" s="5">
        <v>44805</v>
      </c>
      <c r="J692" s="6">
        <v>0</v>
      </c>
      <c r="K692" s="6">
        <v>0</v>
      </c>
      <c r="L692" s="6">
        <v>42.151000000000003</v>
      </c>
      <c r="M692" s="6">
        <v>42.151000000000003</v>
      </c>
      <c r="N692" s="6">
        <v>42.151000000000003</v>
      </c>
      <c r="O692" s="6">
        <v>42.151000000000003</v>
      </c>
      <c r="P692" s="6">
        <v>0</v>
      </c>
      <c r="Q692" s="4" t="s">
        <v>26</v>
      </c>
      <c r="R692" s="4">
        <v>0</v>
      </c>
      <c r="S692" s="4" t="s">
        <v>232</v>
      </c>
      <c r="T692" s="4" t="s">
        <v>501</v>
      </c>
      <c r="U692" s="4">
        <v>0</v>
      </c>
      <c r="V692" s="4">
        <v>29</v>
      </c>
      <c r="W692" s="4">
        <v>75</v>
      </c>
    </row>
    <row r="693" spans="1:23" ht="11.25" customHeight="1" x14ac:dyDescent="0.25">
      <c r="A693" s="4" t="s">
        <v>21</v>
      </c>
      <c r="B693" s="4" t="s">
        <v>41</v>
      </c>
      <c r="C693" s="4" t="s">
        <v>44</v>
      </c>
      <c r="D693" s="4" t="s">
        <v>40</v>
      </c>
      <c r="E693" s="4" t="s">
        <v>25</v>
      </c>
      <c r="F693" s="4" t="s">
        <v>25</v>
      </c>
      <c r="G693" s="4" t="s">
        <v>25</v>
      </c>
      <c r="H693" s="4" t="s">
        <v>37</v>
      </c>
      <c r="I693" s="5">
        <v>44835</v>
      </c>
      <c r="J693" s="6">
        <v>0</v>
      </c>
      <c r="K693" s="6">
        <v>0</v>
      </c>
      <c r="L693" s="6">
        <v>1670.6790000000001</v>
      </c>
      <c r="M693" s="6">
        <v>1670.6790000000001</v>
      </c>
      <c r="N693" s="6">
        <v>1670.6790000000001</v>
      </c>
      <c r="O693" s="6">
        <v>1670.6790000000001</v>
      </c>
      <c r="P693" s="6">
        <v>0</v>
      </c>
      <c r="Q693" s="4" t="s">
        <v>26</v>
      </c>
      <c r="R693" s="4">
        <v>0</v>
      </c>
      <c r="S693" s="4" t="s">
        <v>233</v>
      </c>
      <c r="T693" s="4" t="s">
        <v>502</v>
      </c>
      <c r="U693" s="4">
        <v>0</v>
      </c>
      <c r="V693" s="4">
        <v>29</v>
      </c>
      <c r="W693" s="4">
        <v>75</v>
      </c>
    </row>
    <row r="694" spans="1:23" ht="11.25" customHeight="1" x14ac:dyDescent="0.25">
      <c r="A694" s="4" t="s">
        <v>27</v>
      </c>
      <c r="B694" s="4" t="s">
        <v>41</v>
      </c>
      <c r="C694" s="4" t="s">
        <v>44</v>
      </c>
      <c r="D694" s="4" t="s">
        <v>40</v>
      </c>
      <c r="E694" s="4" t="s">
        <v>25</v>
      </c>
      <c r="F694" s="4" t="s">
        <v>25</v>
      </c>
      <c r="G694" s="4" t="s">
        <v>25</v>
      </c>
      <c r="H694" s="4" t="s">
        <v>37</v>
      </c>
      <c r="I694" s="5">
        <v>44835</v>
      </c>
      <c r="J694" s="6">
        <v>0</v>
      </c>
      <c r="K694" s="6">
        <v>0</v>
      </c>
      <c r="L694" s="6">
        <v>-28.119</v>
      </c>
      <c r="M694" s="6">
        <v>-28.119</v>
      </c>
      <c r="N694" s="6">
        <v>-28.119</v>
      </c>
      <c r="O694" s="6">
        <v>-28.119</v>
      </c>
      <c r="P694" s="6">
        <v>0</v>
      </c>
      <c r="Q694" s="4" t="s">
        <v>26</v>
      </c>
      <c r="R694" s="4">
        <v>0</v>
      </c>
      <c r="S694" s="4" t="s">
        <v>233</v>
      </c>
      <c r="T694" s="4" t="s">
        <v>502</v>
      </c>
      <c r="U694" s="4">
        <v>0</v>
      </c>
      <c r="V694" s="4">
        <v>29</v>
      </c>
      <c r="W694" s="4">
        <v>75</v>
      </c>
    </row>
    <row r="695" spans="1:23" ht="11.25" customHeight="1" x14ac:dyDescent="0.25">
      <c r="A695" s="4" t="s">
        <v>28</v>
      </c>
      <c r="B695" s="4" t="s">
        <v>41</v>
      </c>
      <c r="C695" s="4" t="s">
        <v>44</v>
      </c>
      <c r="D695" s="4" t="s">
        <v>40</v>
      </c>
      <c r="E695" s="4" t="s">
        <v>25</v>
      </c>
      <c r="F695" s="4" t="s">
        <v>25</v>
      </c>
      <c r="G695" s="4" t="s">
        <v>25</v>
      </c>
      <c r="H695" s="4" t="s">
        <v>37</v>
      </c>
      <c r="I695" s="5">
        <v>44835</v>
      </c>
      <c r="J695" s="6">
        <v>0</v>
      </c>
      <c r="K695" s="6">
        <v>0</v>
      </c>
      <c r="L695" s="6">
        <v>236.86600000000001</v>
      </c>
      <c r="M695" s="6">
        <v>236.86600000000001</v>
      </c>
      <c r="N695" s="6">
        <v>236.86600000000001</v>
      </c>
      <c r="O695" s="6">
        <v>236.86600000000001</v>
      </c>
      <c r="P695" s="6">
        <v>0</v>
      </c>
      <c r="Q695" s="4" t="s">
        <v>26</v>
      </c>
      <c r="R695" s="4">
        <v>0</v>
      </c>
      <c r="S695" s="4" t="s">
        <v>233</v>
      </c>
      <c r="T695" s="4" t="s">
        <v>502</v>
      </c>
      <c r="U695" s="4">
        <v>0</v>
      </c>
      <c r="V695" s="4">
        <v>29</v>
      </c>
      <c r="W695" s="4">
        <v>75</v>
      </c>
    </row>
    <row r="696" spans="1:23" ht="11.25" customHeight="1" x14ac:dyDescent="0.25">
      <c r="A696" s="4" t="s">
        <v>30</v>
      </c>
      <c r="B696" s="4" t="s">
        <v>41</v>
      </c>
      <c r="C696" s="4" t="s">
        <v>44</v>
      </c>
      <c r="D696" s="4" t="s">
        <v>40</v>
      </c>
      <c r="E696" s="4" t="s">
        <v>25</v>
      </c>
      <c r="F696" s="4" t="s">
        <v>25</v>
      </c>
      <c r="G696" s="4" t="s">
        <v>25</v>
      </c>
      <c r="H696" s="4" t="s">
        <v>37</v>
      </c>
      <c r="I696" s="5">
        <v>44835</v>
      </c>
      <c r="J696" s="6">
        <v>0</v>
      </c>
      <c r="K696" s="6">
        <v>0</v>
      </c>
      <c r="L696" s="6">
        <v>43.383000000000003</v>
      </c>
      <c r="M696" s="6">
        <v>43.383000000000003</v>
      </c>
      <c r="N696" s="6">
        <v>43.383000000000003</v>
      </c>
      <c r="O696" s="6">
        <v>43.383000000000003</v>
      </c>
      <c r="P696" s="6">
        <v>0</v>
      </c>
      <c r="Q696" s="4" t="s">
        <v>26</v>
      </c>
      <c r="R696" s="4">
        <v>0</v>
      </c>
      <c r="S696" s="4" t="s">
        <v>233</v>
      </c>
      <c r="T696" s="4" t="s">
        <v>502</v>
      </c>
      <c r="U696" s="4">
        <v>0</v>
      </c>
      <c r="V696" s="4">
        <v>29</v>
      </c>
      <c r="W696" s="4">
        <v>75</v>
      </c>
    </row>
    <row r="697" spans="1:23" ht="11.25" customHeight="1" x14ac:dyDescent="0.25">
      <c r="A697" s="4" t="s">
        <v>59</v>
      </c>
      <c r="B697" s="4" t="s">
        <v>41</v>
      </c>
      <c r="C697" s="4" t="s">
        <v>44</v>
      </c>
      <c r="D697" s="4" t="s">
        <v>40</v>
      </c>
      <c r="E697" s="4" t="s">
        <v>25</v>
      </c>
      <c r="F697" s="4" t="s">
        <v>25</v>
      </c>
      <c r="G697" s="4" t="s">
        <v>25</v>
      </c>
      <c r="H697" s="4" t="s">
        <v>37</v>
      </c>
      <c r="I697" s="5">
        <v>44866</v>
      </c>
      <c r="J697" s="6">
        <v>0</v>
      </c>
      <c r="K697" s="6">
        <v>0</v>
      </c>
      <c r="L697" s="6">
        <v>1670.6790000000001</v>
      </c>
      <c r="M697" s="6">
        <v>1670.6790000000001</v>
      </c>
      <c r="N697" s="6">
        <v>1670.6790000000001</v>
      </c>
      <c r="O697" s="6">
        <v>1670.6790000000001</v>
      </c>
      <c r="P697" s="6">
        <v>0</v>
      </c>
      <c r="Q697" s="4" t="s">
        <v>26</v>
      </c>
      <c r="R697" s="4">
        <v>0</v>
      </c>
      <c r="S697" s="4" t="s">
        <v>234</v>
      </c>
      <c r="T697" s="4" t="s">
        <v>503</v>
      </c>
      <c r="U697" s="4">
        <v>0</v>
      </c>
      <c r="V697" s="4">
        <v>29</v>
      </c>
      <c r="W697" s="4">
        <v>75</v>
      </c>
    </row>
    <row r="698" spans="1:23" ht="11.25" customHeight="1" x14ac:dyDescent="0.25">
      <c r="A698" s="4" t="s">
        <v>59</v>
      </c>
      <c r="B698" s="4" t="s">
        <v>41</v>
      </c>
      <c r="C698" s="4" t="s">
        <v>44</v>
      </c>
      <c r="D698" s="4" t="s">
        <v>40</v>
      </c>
      <c r="E698" s="4" t="s">
        <v>25</v>
      </c>
      <c r="F698" s="4" t="s">
        <v>25</v>
      </c>
      <c r="G698" s="4" t="s">
        <v>25</v>
      </c>
      <c r="H698" s="4" t="s">
        <v>37</v>
      </c>
      <c r="I698" s="5">
        <v>44866</v>
      </c>
      <c r="J698" s="6">
        <v>0</v>
      </c>
      <c r="K698" s="6">
        <v>0</v>
      </c>
      <c r="L698" s="6">
        <v>-28.119</v>
      </c>
      <c r="M698" s="6">
        <v>-28.119</v>
      </c>
      <c r="N698" s="6">
        <v>-28.119</v>
      </c>
      <c r="O698" s="6">
        <v>-28.119</v>
      </c>
      <c r="P698" s="6">
        <v>0</v>
      </c>
      <c r="Q698" s="4" t="s">
        <v>26</v>
      </c>
      <c r="R698" s="4">
        <v>0</v>
      </c>
      <c r="S698" s="4" t="s">
        <v>234</v>
      </c>
      <c r="T698" s="4" t="s">
        <v>503</v>
      </c>
      <c r="U698" s="4">
        <v>0</v>
      </c>
      <c r="V698" s="4">
        <v>29</v>
      </c>
      <c r="W698" s="4">
        <v>75</v>
      </c>
    </row>
    <row r="699" spans="1:23" ht="11.25" customHeight="1" x14ac:dyDescent="0.25">
      <c r="A699" s="4" t="s">
        <v>59</v>
      </c>
      <c r="B699" s="4" t="s">
        <v>41</v>
      </c>
      <c r="C699" s="4" t="s">
        <v>44</v>
      </c>
      <c r="D699" s="4" t="s">
        <v>40</v>
      </c>
      <c r="E699" s="4" t="s">
        <v>25</v>
      </c>
      <c r="F699" s="4" t="s">
        <v>25</v>
      </c>
      <c r="G699" s="4" t="s">
        <v>25</v>
      </c>
      <c r="H699" s="4" t="s">
        <v>37</v>
      </c>
      <c r="I699" s="5">
        <v>44866</v>
      </c>
      <c r="J699" s="6">
        <v>0</v>
      </c>
      <c r="K699" s="6">
        <v>0</v>
      </c>
      <c r="L699" s="6">
        <v>236.86600000000001</v>
      </c>
      <c r="M699" s="6">
        <v>236.86600000000001</v>
      </c>
      <c r="N699" s="6">
        <v>236.86600000000001</v>
      </c>
      <c r="O699" s="6">
        <v>236.86600000000001</v>
      </c>
      <c r="P699" s="6">
        <v>0</v>
      </c>
      <c r="Q699" s="4" t="s">
        <v>26</v>
      </c>
      <c r="R699" s="4">
        <v>0</v>
      </c>
      <c r="S699" s="4" t="s">
        <v>234</v>
      </c>
      <c r="T699" s="4" t="s">
        <v>503</v>
      </c>
      <c r="U699" s="4">
        <v>0</v>
      </c>
      <c r="V699" s="4">
        <v>29</v>
      </c>
      <c r="W699" s="4">
        <v>75</v>
      </c>
    </row>
    <row r="700" spans="1:23" ht="11.25" customHeight="1" x14ac:dyDescent="0.25">
      <c r="A700" s="4" t="s">
        <v>59</v>
      </c>
      <c r="B700" s="4" t="s">
        <v>41</v>
      </c>
      <c r="C700" s="4" t="s">
        <v>44</v>
      </c>
      <c r="D700" s="4" t="s">
        <v>40</v>
      </c>
      <c r="E700" s="4" t="s">
        <v>25</v>
      </c>
      <c r="F700" s="4" t="s">
        <v>25</v>
      </c>
      <c r="G700" s="4" t="s">
        <v>25</v>
      </c>
      <c r="H700" s="4" t="s">
        <v>37</v>
      </c>
      <c r="I700" s="5">
        <v>44866</v>
      </c>
      <c r="J700" s="6">
        <v>0</v>
      </c>
      <c r="K700" s="6">
        <v>0</v>
      </c>
      <c r="L700" s="6">
        <v>43.383000000000003</v>
      </c>
      <c r="M700" s="6">
        <v>43.383000000000003</v>
      </c>
      <c r="N700" s="6">
        <v>43.383000000000003</v>
      </c>
      <c r="O700" s="6">
        <v>43.383000000000003</v>
      </c>
      <c r="P700" s="6">
        <v>0</v>
      </c>
      <c r="Q700" s="4" t="s">
        <v>26</v>
      </c>
      <c r="R700" s="4">
        <v>0</v>
      </c>
      <c r="S700" s="4" t="s">
        <v>234</v>
      </c>
      <c r="T700" s="4" t="s">
        <v>503</v>
      </c>
      <c r="U700" s="4">
        <v>0</v>
      </c>
      <c r="V700" s="4">
        <v>29</v>
      </c>
      <c r="W700" s="4">
        <v>75</v>
      </c>
    </row>
    <row r="701" spans="1:23" ht="11.25" customHeight="1" x14ac:dyDescent="0.25">
      <c r="A701" s="4" t="s">
        <v>21</v>
      </c>
      <c r="B701" s="4" t="s">
        <v>41</v>
      </c>
      <c r="C701" s="4" t="s">
        <v>44</v>
      </c>
      <c r="D701" s="4" t="s">
        <v>40</v>
      </c>
      <c r="E701" s="4" t="s">
        <v>25</v>
      </c>
      <c r="F701" s="4" t="s">
        <v>25</v>
      </c>
      <c r="G701" s="4" t="s">
        <v>25</v>
      </c>
      <c r="H701" s="4" t="s">
        <v>25</v>
      </c>
      <c r="I701" s="5">
        <v>44531</v>
      </c>
      <c r="J701" s="6">
        <v>10912</v>
      </c>
      <c r="K701" s="6">
        <v>10912</v>
      </c>
      <c r="L701" s="6">
        <v>0</v>
      </c>
      <c r="M701" s="6">
        <v>0</v>
      </c>
      <c r="N701" s="6">
        <v>0</v>
      </c>
      <c r="O701" s="6">
        <v>0</v>
      </c>
      <c r="P701" s="6">
        <v>61</v>
      </c>
      <c r="Q701" s="4" t="s">
        <v>26</v>
      </c>
      <c r="R701" s="4">
        <v>0</v>
      </c>
      <c r="S701" s="4" t="s">
        <v>235</v>
      </c>
      <c r="U701" s="4">
        <v>27</v>
      </c>
      <c r="V701" s="4">
        <v>0</v>
      </c>
      <c r="W701" s="4">
        <v>0</v>
      </c>
    </row>
    <row r="702" spans="1:23" ht="11.25" customHeight="1" x14ac:dyDescent="0.25">
      <c r="A702" s="4" t="s">
        <v>28</v>
      </c>
      <c r="B702" s="4" t="s">
        <v>41</v>
      </c>
      <c r="C702" s="4" t="s">
        <v>44</v>
      </c>
      <c r="D702" s="4" t="s">
        <v>40</v>
      </c>
      <c r="E702" s="4" t="s">
        <v>25</v>
      </c>
      <c r="F702" s="4" t="s">
        <v>25</v>
      </c>
      <c r="G702" s="4" t="s">
        <v>25</v>
      </c>
      <c r="H702" s="4" t="s">
        <v>25</v>
      </c>
      <c r="I702" s="5">
        <v>44531</v>
      </c>
      <c r="J702" s="6">
        <v>1596</v>
      </c>
      <c r="K702" s="6">
        <v>1596</v>
      </c>
      <c r="L702" s="6">
        <v>0</v>
      </c>
      <c r="M702" s="6">
        <v>0</v>
      </c>
      <c r="N702" s="6">
        <v>0</v>
      </c>
      <c r="O702" s="6">
        <v>0</v>
      </c>
      <c r="P702" s="6">
        <v>14</v>
      </c>
      <c r="Q702" s="4" t="s">
        <v>26</v>
      </c>
      <c r="R702" s="4">
        <v>0</v>
      </c>
      <c r="S702" s="4" t="s">
        <v>235</v>
      </c>
      <c r="U702" s="4">
        <v>27</v>
      </c>
      <c r="V702" s="4">
        <v>0</v>
      </c>
      <c r="W702" s="4">
        <v>0</v>
      </c>
    </row>
    <row r="703" spans="1:23" ht="11.25" customHeight="1" x14ac:dyDescent="0.25">
      <c r="A703" s="4" t="s">
        <v>30</v>
      </c>
      <c r="B703" s="4" t="s">
        <v>41</v>
      </c>
      <c r="C703" s="4" t="s">
        <v>44</v>
      </c>
      <c r="D703" s="4" t="s">
        <v>40</v>
      </c>
      <c r="E703" s="4" t="s">
        <v>25</v>
      </c>
      <c r="F703" s="4" t="s">
        <v>25</v>
      </c>
      <c r="G703" s="4" t="s">
        <v>25</v>
      </c>
      <c r="H703" s="4" t="s">
        <v>25</v>
      </c>
      <c r="I703" s="5">
        <v>44531</v>
      </c>
      <c r="J703" s="6">
        <v>391</v>
      </c>
      <c r="K703" s="6">
        <v>391</v>
      </c>
      <c r="L703" s="6">
        <v>0</v>
      </c>
      <c r="M703" s="6">
        <v>0</v>
      </c>
      <c r="N703" s="6">
        <v>0</v>
      </c>
      <c r="O703" s="6">
        <v>0</v>
      </c>
      <c r="P703" s="6">
        <v>3</v>
      </c>
      <c r="Q703" s="4" t="s">
        <v>26</v>
      </c>
      <c r="R703" s="4">
        <v>0</v>
      </c>
      <c r="S703" s="4" t="s">
        <v>235</v>
      </c>
      <c r="U703" s="4">
        <v>27</v>
      </c>
      <c r="V703" s="4">
        <v>0</v>
      </c>
      <c r="W703" s="4">
        <v>0</v>
      </c>
    </row>
    <row r="704" spans="1:23" ht="11.25" customHeight="1" x14ac:dyDescent="0.25">
      <c r="A704" s="4" t="s">
        <v>21</v>
      </c>
      <c r="B704" s="4" t="s">
        <v>41</v>
      </c>
      <c r="C704" s="4" t="s">
        <v>44</v>
      </c>
      <c r="D704" s="4" t="s">
        <v>40</v>
      </c>
      <c r="E704" s="4" t="s">
        <v>25</v>
      </c>
      <c r="F704" s="4" t="s">
        <v>25</v>
      </c>
      <c r="G704" s="4" t="s">
        <v>25</v>
      </c>
      <c r="H704" s="4" t="s">
        <v>25</v>
      </c>
      <c r="I704" s="5">
        <v>44562</v>
      </c>
      <c r="J704" s="6">
        <v>10468</v>
      </c>
      <c r="K704" s="6">
        <v>10468</v>
      </c>
      <c r="L704" s="6">
        <v>0</v>
      </c>
      <c r="M704" s="6">
        <v>0</v>
      </c>
      <c r="N704" s="6">
        <v>0</v>
      </c>
      <c r="O704" s="6">
        <v>0</v>
      </c>
      <c r="P704" s="6">
        <v>61</v>
      </c>
      <c r="Q704" s="4" t="s">
        <v>26</v>
      </c>
      <c r="R704" s="4">
        <v>0</v>
      </c>
      <c r="S704" s="4" t="s">
        <v>236</v>
      </c>
      <c r="U704" s="4">
        <v>27</v>
      </c>
      <c r="V704" s="4">
        <v>0</v>
      </c>
      <c r="W704" s="4">
        <v>0</v>
      </c>
    </row>
    <row r="705" spans="1:23" ht="11.25" customHeight="1" x14ac:dyDescent="0.25">
      <c r="A705" s="4" t="s">
        <v>28</v>
      </c>
      <c r="B705" s="4" t="s">
        <v>41</v>
      </c>
      <c r="C705" s="4" t="s">
        <v>44</v>
      </c>
      <c r="D705" s="4" t="s">
        <v>40</v>
      </c>
      <c r="E705" s="4" t="s">
        <v>25</v>
      </c>
      <c r="F705" s="4" t="s">
        <v>25</v>
      </c>
      <c r="G705" s="4" t="s">
        <v>25</v>
      </c>
      <c r="H705" s="4" t="s">
        <v>25</v>
      </c>
      <c r="I705" s="5">
        <v>44562</v>
      </c>
      <c r="J705" s="6">
        <v>1570</v>
      </c>
      <c r="K705" s="6">
        <v>1570</v>
      </c>
      <c r="L705" s="6">
        <v>0</v>
      </c>
      <c r="M705" s="6">
        <v>0</v>
      </c>
      <c r="N705" s="6">
        <v>0</v>
      </c>
      <c r="O705" s="6">
        <v>0</v>
      </c>
      <c r="P705" s="6">
        <v>15</v>
      </c>
      <c r="Q705" s="4" t="s">
        <v>26</v>
      </c>
      <c r="R705" s="4">
        <v>0</v>
      </c>
      <c r="S705" s="4" t="s">
        <v>236</v>
      </c>
      <c r="U705" s="4">
        <v>27</v>
      </c>
      <c r="V705" s="4">
        <v>0</v>
      </c>
      <c r="W705" s="4">
        <v>0</v>
      </c>
    </row>
    <row r="706" spans="1:23" ht="11.25" customHeight="1" x14ac:dyDescent="0.25">
      <c r="A706" s="4" t="s">
        <v>30</v>
      </c>
      <c r="B706" s="4" t="s">
        <v>41</v>
      </c>
      <c r="C706" s="4" t="s">
        <v>44</v>
      </c>
      <c r="D706" s="4" t="s">
        <v>40</v>
      </c>
      <c r="E706" s="4" t="s">
        <v>25</v>
      </c>
      <c r="F706" s="4" t="s">
        <v>25</v>
      </c>
      <c r="G706" s="4" t="s">
        <v>25</v>
      </c>
      <c r="H706" s="4" t="s">
        <v>25</v>
      </c>
      <c r="I706" s="5">
        <v>44562</v>
      </c>
      <c r="J706" s="6">
        <v>405</v>
      </c>
      <c r="K706" s="6">
        <v>405</v>
      </c>
      <c r="L706" s="6">
        <v>0</v>
      </c>
      <c r="M706" s="6">
        <v>0</v>
      </c>
      <c r="N706" s="6">
        <v>0</v>
      </c>
      <c r="O706" s="6">
        <v>0</v>
      </c>
      <c r="P706" s="6">
        <v>3</v>
      </c>
      <c r="Q706" s="4" t="s">
        <v>26</v>
      </c>
      <c r="R706" s="4">
        <v>0</v>
      </c>
      <c r="S706" s="4" t="s">
        <v>236</v>
      </c>
      <c r="U706" s="4">
        <v>27</v>
      </c>
      <c r="V706" s="4">
        <v>0</v>
      </c>
      <c r="W706" s="4">
        <v>0</v>
      </c>
    </row>
    <row r="707" spans="1:23" ht="11.25" customHeight="1" x14ac:dyDescent="0.25">
      <c r="A707" s="4" t="s">
        <v>21</v>
      </c>
      <c r="B707" s="4" t="s">
        <v>41</v>
      </c>
      <c r="C707" s="4" t="s">
        <v>44</v>
      </c>
      <c r="D707" s="4" t="s">
        <v>40</v>
      </c>
      <c r="E707" s="4" t="s">
        <v>25</v>
      </c>
      <c r="F707" s="4" t="s">
        <v>25</v>
      </c>
      <c r="G707" s="4" t="s">
        <v>25</v>
      </c>
      <c r="H707" s="4" t="s">
        <v>25</v>
      </c>
      <c r="I707" s="5">
        <v>44593</v>
      </c>
      <c r="J707" s="6">
        <v>10588</v>
      </c>
      <c r="K707" s="6">
        <v>10588</v>
      </c>
      <c r="L707" s="6">
        <v>0</v>
      </c>
      <c r="M707" s="6">
        <v>0</v>
      </c>
      <c r="N707" s="6">
        <v>0</v>
      </c>
      <c r="O707" s="6">
        <v>0</v>
      </c>
      <c r="P707" s="6">
        <v>61</v>
      </c>
      <c r="Q707" s="4" t="s">
        <v>26</v>
      </c>
      <c r="R707" s="4">
        <v>0</v>
      </c>
      <c r="S707" s="4" t="s">
        <v>237</v>
      </c>
      <c r="U707" s="4">
        <v>27</v>
      </c>
      <c r="V707" s="4">
        <v>0</v>
      </c>
      <c r="W707" s="4">
        <v>0</v>
      </c>
    </row>
    <row r="708" spans="1:23" ht="11.25" customHeight="1" x14ac:dyDescent="0.25">
      <c r="A708" s="4" t="s">
        <v>27</v>
      </c>
      <c r="B708" s="4" t="s">
        <v>41</v>
      </c>
      <c r="C708" s="4" t="s">
        <v>44</v>
      </c>
      <c r="D708" s="4" t="s">
        <v>40</v>
      </c>
      <c r="E708" s="4" t="s">
        <v>25</v>
      </c>
      <c r="F708" s="4" t="s">
        <v>25</v>
      </c>
      <c r="G708" s="4" t="s">
        <v>25</v>
      </c>
      <c r="H708" s="4" t="s">
        <v>25</v>
      </c>
      <c r="I708" s="5">
        <v>44593</v>
      </c>
      <c r="J708" s="6">
        <v>-19</v>
      </c>
      <c r="K708" s="6">
        <v>-19</v>
      </c>
      <c r="L708" s="6">
        <v>0</v>
      </c>
      <c r="M708" s="6">
        <v>0</v>
      </c>
      <c r="N708" s="6">
        <v>0</v>
      </c>
      <c r="O708" s="6">
        <v>0</v>
      </c>
      <c r="P708" s="6">
        <v>-1</v>
      </c>
      <c r="Q708" s="4" t="s">
        <v>26</v>
      </c>
      <c r="R708" s="4">
        <v>0</v>
      </c>
      <c r="S708" s="4" t="s">
        <v>237</v>
      </c>
      <c r="U708" s="4">
        <v>27</v>
      </c>
      <c r="V708" s="4">
        <v>0</v>
      </c>
      <c r="W708" s="4">
        <v>0</v>
      </c>
    </row>
    <row r="709" spans="1:23" ht="11.25" customHeight="1" x14ac:dyDescent="0.25">
      <c r="A709" s="4" t="s">
        <v>28</v>
      </c>
      <c r="B709" s="4" t="s">
        <v>41</v>
      </c>
      <c r="C709" s="4" t="s">
        <v>44</v>
      </c>
      <c r="D709" s="4" t="s">
        <v>40</v>
      </c>
      <c r="E709" s="4" t="s">
        <v>25</v>
      </c>
      <c r="F709" s="4" t="s">
        <v>25</v>
      </c>
      <c r="G709" s="4" t="s">
        <v>25</v>
      </c>
      <c r="H709" s="4" t="s">
        <v>25</v>
      </c>
      <c r="I709" s="5">
        <v>44593</v>
      </c>
      <c r="J709" s="6">
        <v>1489</v>
      </c>
      <c r="K709" s="6">
        <v>1489</v>
      </c>
      <c r="L709" s="6">
        <v>0</v>
      </c>
      <c r="M709" s="6">
        <v>0</v>
      </c>
      <c r="N709" s="6">
        <v>0</v>
      </c>
      <c r="O709" s="6">
        <v>0</v>
      </c>
      <c r="P709" s="6">
        <v>13</v>
      </c>
      <c r="Q709" s="4" t="s">
        <v>26</v>
      </c>
      <c r="R709" s="4">
        <v>0</v>
      </c>
      <c r="S709" s="4" t="s">
        <v>237</v>
      </c>
      <c r="U709" s="4">
        <v>27</v>
      </c>
      <c r="V709" s="4">
        <v>0</v>
      </c>
      <c r="W709" s="4">
        <v>0</v>
      </c>
    </row>
    <row r="710" spans="1:23" ht="11.25" customHeight="1" x14ac:dyDescent="0.25">
      <c r="A710" s="4" t="s">
        <v>30</v>
      </c>
      <c r="B710" s="4" t="s">
        <v>41</v>
      </c>
      <c r="C710" s="4" t="s">
        <v>44</v>
      </c>
      <c r="D710" s="4" t="s">
        <v>40</v>
      </c>
      <c r="E710" s="4" t="s">
        <v>25</v>
      </c>
      <c r="F710" s="4" t="s">
        <v>25</v>
      </c>
      <c r="G710" s="4" t="s">
        <v>25</v>
      </c>
      <c r="H710" s="4" t="s">
        <v>25</v>
      </c>
      <c r="I710" s="5">
        <v>44593</v>
      </c>
      <c r="J710" s="6">
        <v>401</v>
      </c>
      <c r="K710" s="6">
        <v>401</v>
      </c>
      <c r="L710" s="6">
        <v>0</v>
      </c>
      <c r="M710" s="6">
        <v>0</v>
      </c>
      <c r="N710" s="6">
        <v>0</v>
      </c>
      <c r="O710" s="6">
        <v>0</v>
      </c>
      <c r="P710" s="6">
        <v>3</v>
      </c>
      <c r="Q710" s="4" t="s">
        <v>26</v>
      </c>
      <c r="R710" s="4">
        <v>0</v>
      </c>
      <c r="S710" s="4" t="s">
        <v>237</v>
      </c>
      <c r="U710" s="4">
        <v>27</v>
      </c>
      <c r="V710" s="4">
        <v>0</v>
      </c>
      <c r="W710" s="4">
        <v>0</v>
      </c>
    </row>
    <row r="711" spans="1:23" ht="11.25" customHeight="1" x14ac:dyDescent="0.25">
      <c r="A711" s="4" t="s">
        <v>21</v>
      </c>
      <c r="B711" s="4" t="s">
        <v>41</v>
      </c>
      <c r="C711" s="4" t="s">
        <v>44</v>
      </c>
      <c r="D711" s="4" t="s">
        <v>40</v>
      </c>
      <c r="E711" s="4" t="s">
        <v>25</v>
      </c>
      <c r="F711" s="4" t="s">
        <v>25</v>
      </c>
      <c r="G711" s="4" t="s">
        <v>25</v>
      </c>
      <c r="H711" s="4" t="s">
        <v>25</v>
      </c>
      <c r="I711" s="5">
        <v>44621</v>
      </c>
      <c r="J711" s="6">
        <v>10662</v>
      </c>
      <c r="K711" s="6">
        <v>10662</v>
      </c>
      <c r="L711" s="6">
        <v>0</v>
      </c>
      <c r="M711" s="6">
        <v>0</v>
      </c>
      <c r="N711" s="6">
        <v>0</v>
      </c>
      <c r="O711" s="6">
        <v>0</v>
      </c>
      <c r="P711" s="6">
        <v>61</v>
      </c>
      <c r="Q711" s="4" t="s">
        <v>26</v>
      </c>
      <c r="R711" s="4">
        <v>0</v>
      </c>
      <c r="S711" s="4" t="s">
        <v>238</v>
      </c>
      <c r="U711" s="4">
        <v>27</v>
      </c>
      <c r="V711" s="4">
        <v>0</v>
      </c>
      <c r="W711" s="4">
        <v>0</v>
      </c>
    </row>
    <row r="712" spans="1:23" ht="11.25" customHeight="1" x14ac:dyDescent="0.25">
      <c r="A712" s="4" t="s">
        <v>28</v>
      </c>
      <c r="B712" s="4" t="s">
        <v>41</v>
      </c>
      <c r="C712" s="4" t="s">
        <v>44</v>
      </c>
      <c r="D712" s="4" t="s">
        <v>40</v>
      </c>
      <c r="E712" s="4" t="s">
        <v>25</v>
      </c>
      <c r="F712" s="4" t="s">
        <v>25</v>
      </c>
      <c r="G712" s="4" t="s">
        <v>25</v>
      </c>
      <c r="H712" s="4" t="s">
        <v>25</v>
      </c>
      <c r="I712" s="5">
        <v>44621</v>
      </c>
      <c r="J712" s="6">
        <v>1585</v>
      </c>
      <c r="K712" s="6">
        <v>1585</v>
      </c>
      <c r="L712" s="6">
        <v>0</v>
      </c>
      <c r="M712" s="6">
        <v>0</v>
      </c>
      <c r="N712" s="6">
        <v>0</v>
      </c>
      <c r="O712" s="6">
        <v>0</v>
      </c>
      <c r="P712" s="6">
        <v>13</v>
      </c>
      <c r="Q712" s="4" t="s">
        <v>26</v>
      </c>
      <c r="R712" s="4">
        <v>0</v>
      </c>
      <c r="S712" s="4" t="s">
        <v>238</v>
      </c>
      <c r="U712" s="4">
        <v>27</v>
      </c>
      <c r="V712" s="4">
        <v>0</v>
      </c>
      <c r="W712" s="4">
        <v>0</v>
      </c>
    </row>
    <row r="713" spans="1:23" ht="11.25" customHeight="1" x14ac:dyDescent="0.25">
      <c r="A713" s="4" t="s">
        <v>30</v>
      </c>
      <c r="B713" s="4" t="s">
        <v>41</v>
      </c>
      <c r="C713" s="4" t="s">
        <v>44</v>
      </c>
      <c r="D713" s="4" t="s">
        <v>40</v>
      </c>
      <c r="E713" s="4" t="s">
        <v>25</v>
      </c>
      <c r="F713" s="4" t="s">
        <v>25</v>
      </c>
      <c r="G713" s="4" t="s">
        <v>25</v>
      </c>
      <c r="H713" s="4" t="s">
        <v>25</v>
      </c>
      <c r="I713" s="5">
        <v>44621</v>
      </c>
      <c r="J713" s="6">
        <v>407</v>
      </c>
      <c r="K713" s="6">
        <v>407</v>
      </c>
      <c r="L713" s="6">
        <v>0</v>
      </c>
      <c r="M713" s="6">
        <v>0</v>
      </c>
      <c r="N713" s="6">
        <v>0</v>
      </c>
      <c r="O713" s="6">
        <v>0</v>
      </c>
      <c r="P713" s="6">
        <v>3</v>
      </c>
      <c r="Q713" s="4" t="s">
        <v>26</v>
      </c>
      <c r="R713" s="4">
        <v>0</v>
      </c>
      <c r="S713" s="4" t="s">
        <v>238</v>
      </c>
      <c r="U713" s="4">
        <v>27</v>
      </c>
      <c r="V713" s="4">
        <v>0</v>
      </c>
      <c r="W713" s="4">
        <v>0</v>
      </c>
    </row>
    <row r="714" spans="1:23" ht="11.25" customHeight="1" x14ac:dyDescent="0.25">
      <c r="A714" s="4" t="s">
        <v>21</v>
      </c>
      <c r="B714" s="4" t="s">
        <v>41</v>
      </c>
      <c r="C714" s="4" t="s">
        <v>44</v>
      </c>
      <c r="D714" s="4" t="s">
        <v>40</v>
      </c>
      <c r="E714" s="4" t="s">
        <v>25</v>
      </c>
      <c r="F714" s="4" t="s">
        <v>25</v>
      </c>
      <c r="G714" s="4" t="s">
        <v>25</v>
      </c>
      <c r="H714" s="4" t="s">
        <v>25</v>
      </c>
      <c r="I714" s="5">
        <v>44652</v>
      </c>
      <c r="J714" s="6">
        <v>10586</v>
      </c>
      <c r="K714" s="6">
        <v>10586</v>
      </c>
      <c r="L714" s="6">
        <v>0</v>
      </c>
      <c r="M714" s="6">
        <v>0</v>
      </c>
      <c r="N714" s="6">
        <v>0</v>
      </c>
      <c r="O714" s="6">
        <v>0</v>
      </c>
      <c r="P714" s="6">
        <v>60</v>
      </c>
      <c r="Q714" s="4" t="s">
        <v>26</v>
      </c>
      <c r="R714" s="4">
        <v>0</v>
      </c>
      <c r="S714" s="4" t="s">
        <v>239</v>
      </c>
      <c r="U714" s="4">
        <v>27</v>
      </c>
      <c r="V714" s="4">
        <v>0</v>
      </c>
      <c r="W714" s="4">
        <v>0</v>
      </c>
    </row>
    <row r="715" spans="1:23" ht="11.25" customHeight="1" x14ac:dyDescent="0.25">
      <c r="A715" s="4" t="s">
        <v>28</v>
      </c>
      <c r="B715" s="4" t="s">
        <v>41</v>
      </c>
      <c r="C715" s="4" t="s">
        <v>44</v>
      </c>
      <c r="D715" s="4" t="s">
        <v>40</v>
      </c>
      <c r="E715" s="4" t="s">
        <v>25</v>
      </c>
      <c r="F715" s="4" t="s">
        <v>25</v>
      </c>
      <c r="G715" s="4" t="s">
        <v>25</v>
      </c>
      <c r="H715" s="4" t="s">
        <v>25</v>
      </c>
      <c r="I715" s="5">
        <v>44652</v>
      </c>
      <c r="J715" s="6">
        <v>1566</v>
      </c>
      <c r="K715" s="6">
        <v>1566</v>
      </c>
      <c r="L715" s="6">
        <v>0</v>
      </c>
      <c r="M715" s="6">
        <v>0</v>
      </c>
      <c r="N715" s="6">
        <v>0</v>
      </c>
      <c r="O715" s="6">
        <v>0</v>
      </c>
      <c r="P715" s="6">
        <v>13</v>
      </c>
      <c r="Q715" s="4" t="s">
        <v>26</v>
      </c>
      <c r="R715" s="4">
        <v>0</v>
      </c>
      <c r="S715" s="4" t="s">
        <v>239</v>
      </c>
      <c r="U715" s="4">
        <v>27</v>
      </c>
      <c r="V715" s="4">
        <v>0</v>
      </c>
      <c r="W715" s="4">
        <v>0</v>
      </c>
    </row>
    <row r="716" spans="1:23" ht="11.25" customHeight="1" x14ac:dyDescent="0.25">
      <c r="A716" s="4" t="s">
        <v>30</v>
      </c>
      <c r="B716" s="4" t="s">
        <v>41</v>
      </c>
      <c r="C716" s="4" t="s">
        <v>44</v>
      </c>
      <c r="D716" s="4" t="s">
        <v>40</v>
      </c>
      <c r="E716" s="4" t="s">
        <v>25</v>
      </c>
      <c r="F716" s="4" t="s">
        <v>25</v>
      </c>
      <c r="G716" s="4" t="s">
        <v>25</v>
      </c>
      <c r="H716" s="4" t="s">
        <v>25</v>
      </c>
      <c r="I716" s="5">
        <v>44652</v>
      </c>
      <c r="J716" s="6">
        <v>406</v>
      </c>
      <c r="K716" s="6">
        <v>406</v>
      </c>
      <c r="L716" s="6">
        <v>0</v>
      </c>
      <c r="M716" s="6">
        <v>0</v>
      </c>
      <c r="N716" s="6">
        <v>0</v>
      </c>
      <c r="O716" s="6">
        <v>0</v>
      </c>
      <c r="P716" s="6">
        <v>3</v>
      </c>
      <c r="Q716" s="4" t="s">
        <v>26</v>
      </c>
      <c r="R716" s="4">
        <v>0</v>
      </c>
      <c r="S716" s="4" t="s">
        <v>239</v>
      </c>
      <c r="U716" s="4">
        <v>27</v>
      </c>
      <c r="V716" s="4">
        <v>0</v>
      </c>
      <c r="W716" s="4">
        <v>0</v>
      </c>
    </row>
    <row r="717" spans="1:23" ht="11.25" customHeight="1" x14ac:dyDescent="0.25">
      <c r="A717" s="4" t="s">
        <v>21</v>
      </c>
      <c r="B717" s="4" t="s">
        <v>41</v>
      </c>
      <c r="C717" s="4" t="s">
        <v>44</v>
      </c>
      <c r="D717" s="4" t="s">
        <v>40</v>
      </c>
      <c r="E717" s="4" t="s">
        <v>25</v>
      </c>
      <c r="F717" s="4" t="s">
        <v>25</v>
      </c>
      <c r="G717" s="4" t="s">
        <v>25</v>
      </c>
      <c r="H717" s="4" t="s">
        <v>25</v>
      </c>
      <c r="I717" s="5">
        <v>44682</v>
      </c>
      <c r="J717" s="6">
        <v>10580</v>
      </c>
      <c r="K717" s="6">
        <v>10580</v>
      </c>
      <c r="L717" s="6">
        <v>0</v>
      </c>
      <c r="M717" s="6">
        <v>0</v>
      </c>
      <c r="N717" s="6">
        <v>0</v>
      </c>
      <c r="O717" s="6">
        <v>0</v>
      </c>
      <c r="P717" s="6">
        <v>61</v>
      </c>
      <c r="Q717" s="4" t="s">
        <v>26</v>
      </c>
      <c r="R717" s="4">
        <v>0</v>
      </c>
      <c r="S717" s="4" t="s">
        <v>240</v>
      </c>
      <c r="U717" s="4">
        <v>27</v>
      </c>
      <c r="V717" s="4">
        <v>0</v>
      </c>
      <c r="W717" s="4">
        <v>0</v>
      </c>
    </row>
    <row r="718" spans="1:23" ht="11.25" customHeight="1" x14ac:dyDescent="0.25">
      <c r="A718" s="4" t="s">
        <v>28</v>
      </c>
      <c r="B718" s="4" t="s">
        <v>41</v>
      </c>
      <c r="C718" s="4" t="s">
        <v>44</v>
      </c>
      <c r="D718" s="4" t="s">
        <v>40</v>
      </c>
      <c r="E718" s="4" t="s">
        <v>25</v>
      </c>
      <c r="F718" s="4" t="s">
        <v>25</v>
      </c>
      <c r="G718" s="4" t="s">
        <v>25</v>
      </c>
      <c r="H718" s="4" t="s">
        <v>25</v>
      </c>
      <c r="I718" s="5">
        <v>44682</v>
      </c>
      <c r="J718" s="6">
        <v>1521</v>
      </c>
      <c r="K718" s="6">
        <v>1521</v>
      </c>
      <c r="L718" s="6">
        <v>0</v>
      </c>
      <c r="M718" s="6">
        <v>0</v>
      </c>
      <c r="N718" s="6">
        <v>0</v>
      </c>
      <c r="O718" s="6">
        <v>0</v>
      </c>
      <c r="P718" s="6">
        <v>13</v>
      </c>
      <c r="Q718" s="4" t="s">
        <v>26</v>
      </c>
      <c r="R718" s="4">
        <v>0</v>
      </c>
      <c r="S718" s="4" t="s">
        <v>240</v>
      </c>
      <c r="U718" s="4">
        <v>27</v>
      </c>
      <c r="V718" s="4">
        <v>0</v>
      </c>
      <c r="W718" s="4">
        <v>0</v>
      </c>
    </row>
    <row r="719" spans="1:23" ht="11.25" customHeight="1" x14ac:dyDescent="0.25">
      <c r="A719" s="4" t="s">
        <v>30</v>
      </c>
      <c r="B719" s="4" t="s">
        <v>41</v>
      </c>
      <c r="C719" s="4" t="s">
        <v>44</v>
      </c>
      <c r="D719" s="4" t="s">
        <v>40</v>
      </c>
      <c r="E719" s="4" t="s">
        <v>25</v>
      </c>
      <c r="F719" s="4" t="s">
        <v>25</v>
      </c>
      <c r="G719" s="4" t="s">
        <v>25</v>
      </c>
      <c r="H719" s="4" t="s">
        <v>25</v>
      </c>
      <c r="I719" s="5">
        <v>44682</v>
      </c>
      <c r="J719" s="6">
        <v>401</v>
      </c>
      <c r="K719" s="6">
        <v>401</v>
      </c>
      <c r="L719" s="6">
        <v>0</v>
      </c>
      <c r="M719" s="6">
        <v>0</v>
      </c>
      <c r="N719" s="6">
        <v>0</v>
      </c>
      <c r="O719" s="6">
        <v>0</v>
      </c>
      <c r="P719" s="6">
        <v>3</v>
      </c>
      <c r="Q719" s="4" t="s">
        <v>26</v>
      </c>
      <c r="R719" s="4">
        <v>0</v>
      </c>
      <c r="S719" s="4" t="s">
        <v>240</v>
      </c>
      <c r="U719" s="4">
        <v>27</v>
      </c>
      <c r="V719" s="4">
        <v>0</v>
      </c>
      <c r="W719" s="4">
        <v>0</v>
      </c>
    </row>
    <row r="720" spans="1:23" ht="11.25" customHeight="1" x14ac:dyDescent="0.25">
      <c r="A720" s="4" t="s">
        <v>21</v>
      </c>
      <c r="B720" s="4" t="s">
        <v>41</v>
      </c>
      <c r="C720" s="4" t="s">
        <v>44</v>
      </c>
      <c r="D720" s="4" t="s">
        <v>40</v>
      </c>
      <c r="E720" s="4" t="s">
        <v>25</v>
      </c>
      <c r="F720" s="4" t="s">
        <v>25</v>
      </c>
      <c r="G720" s="4" t="s">
        <v>25</v>
      </c>
      <c r="H720" s="4" t="s">
        <v>25</v>
      </c>
      <c r="I720" s="5">
        <v>44713</v>
      </c>
      <c r="J720" s="6">
        <v>10596</v>
      </c>
      <c r="K720" s="6">
        <v>10596</v>
      </c>
      <c r="L720" s="6">
        <v>0</v>
      </c>
      <c r="M720" s="6">
        <v>0</v>
      </c>
      <c r="N720" s="6">
        <v>0</v>
      </c>
      <c r="O720" s="6">
        <v>0</v>
      </c>
      <c r="P720" s="6">
        <v>62</v>
      </c>
      <c r="Q720" s="4" t="s">
        <v>26</v>
      </c>
      <c r="R720" s="4">
        <v>0</v>
      </c>
      <c r="S720" s="4" t="s">
        <v>241</v>
      </c>
      <c r="U720" s="4">
        <v>27</v>
      </c>
      <c r="V720" s="4">
        <v>0</v>
      </c>
      <c r="W720" s="4">
        <v>0</v>
      </c>
    </row>
    <row r="721" spans="1:23" ht="11.25" customHeight="1" x14ac:dyDescent="0.25">
      <c r="A721" s="4" t="s">
        <v>27</v>
      </c>
      <c r="B721" s="4" t="s">
        <v>41</v>
      </c>
      <c r="C721" s="4" t="s">
        <v>44</v>
      </c>
      <c r="D721" s="4" t="s">
        <v>40</v>
      </c>
      <c r="E721" s="4" t="s">
        <v>25</v>
      </c>
      <c r="F721" s="4" t="s">
        <v>25</v>
      </c>
      <c r="G721" s="4" t="s">
        <v>25</v>
      </c>
      <c r="H721" s="4" t="s">
        <v>25</v>
      </c>
      <c r="I721" s="5">
        <v>44713</v>
      </c>
      <c r="J721" s="6">
        <v>-167</v>
      </c>
      <c r="K721" s="6">
        <v>-167</v>
      </c>
      <c r="L721" s="6">
        <v>0</v>
      </c>
      <c r="M721" s="6">
        <v>0</v>
      </c>
      <c r="N721" s="6">
        <v>0</v>
      </c>
      <c r="O721" s="6">
        <v>0</v>
      </c>
      <c r="P721" s="6">
        <v>-1</v>
      </c>
      <c r="Q721" s="4" t="s">
        <v>26</v>
      </c>
      <c r="R721" s="4">
        <v>0</v>
      </c>
      <c r="S721" s="4" t="s">
        <v>241</v>
      </c>
      <c r="U721" s="4">
        <v>27</v>
      </c>
      <c r="V721" s="4">
        <v>0</v>
      </c>
      <c r="W721" s="4">
        <v>0</v>
      </c>
    </row>
    <row r="722" spans="1:23" ht="11.25" customHeight="1" x14ac:dyDescent="0.25">
      <c r="A722" s="4" t="s">
        <v>28</v>
      </c>
      <c r="B722" s="4" t="s">
        <v>41</v>
      </c>
      <c r="C722" s="4" t="s">
        <v>44</v>
      </c>
      <c r="D722" s="4" t="s">
        <v>40</v>
      </c>
      <c r="E722" s="4" t="s">
        <v>25</v>
      </c>
      <c r="F722" s="4" t="s">
        <v>25</v>
      </c>
      <c r="G722" s="4" t="s">
        <v>25</v>
      </c>
      <c r="H722" s="4" t="s">
        <v>25</v>
      </c>
      <c r="I722" s="5">
        <v>44713</v>
      </c>
      <c r="J722" s="6">
        <v>1520</v>
      </c>
      <c r="K722" s="6">
        <v>1520</v>
      </c>
      <c r="L722" s="6">
        <v>0</v>
      </c>
      <c r="M722" s="6">
        <v>0</v>
      </c>
      <c r="N722" s="6">
        <v>0</v>
      </c>
      <c r="O722" s="6">
        <v>0</v>
      </c>
      <c r="P722" s="6">
        <v>13</v>
      </c>
      <c r="Q722" s="4" t="s">
        <v>26</v>
      </c>
      <c r="R722" s="4">
        <v>0</v>
      </c>
      <c r="S722" s="4" t="s">
        <v>241</v>
      </c>
      <c r="U722" s="4">
        <v>27</v>
      </c>
      <c r="V722" s="4">
        <v>0</v>
      </c>
      <c r="W722" s="4">
        <v>0</v>
      </c>
    </row>
    <row r="723" spans="1:23" ht="11.25" customHeight="1" x14ac:dyDescent="0.25">
      <c r="A723" s="4" t="s">
        <v>30</v>
      </c>
      <c r="B723" s="4" t="s">
        <v>41</v>
      </c>
      <c r="C723" s="4" t="s">
        <v>44</v>
      </c>
      <c r="D723" s="4" t="s">
        <v>40</v>
      </c>
      <c r="E723" s="4" t="s">
        <v>25</v>
      </c>
      <c r="F723" s="4" t="s">
        <v>25</v>
      </c>
      <c r="G723" s="4" t="s">
        <v>25</v>
      </c>
      <c r="H723" s="4" t="s">
        <v>25</v>
      </c>
      <c r="I723" s="5">
        <v>44713</v>
      </c>
      <c r="J723" s="6">
        <v>419</v>
      </c>
      <c r="K723" s="6">
        <v>419</v>
      </c>
      <c r="L723" s="6">
        <v>0</v>
      </c>
      <c r="M723" s="6">
        <v>0</v>
      </c>
      <c r="N723" s="6">
        <v>0</v>
      </c>
      <c r="O723" s="6">
        <v>0</v>
      </c>
      <c r="P723" s="6">
        <v>3</v>
      </c>
      <c r="Q723" s="4" t="s">
        <v>26</v>
      </c>
      <c r="R723" s="4">
        <v>0</v>
      </c>
      <c r="S723" s="4" t="s">
        <v>241</v>
      </c>
      <c r="U723" s="4">
        <v>27</v>
      </c>
      <c r="V723" s="4">
        <v>0</v>
      </c>
      <c r="W723" s="4">
        <v>0</v>
      </c>
    </row>
    <row r="724" spans="1:23" ht="11.25" customHeight="1" x14ac:dyDescent="0.25">
      <c r="A724" s="4" t="s">
        <v>21</v>
      </c>
      <c r="B724" s="4" t="s">
        <v>41</v>
      </c>
      <c r="C724" s="4" t="s">
        <v>44</v>
      </c>
      <c r="D724" s="4" t="s">
        <v>40</v>
      </c>
      <c r="E724" s="4" t="s">
        <v>25</v>
      </c>
      <c r="F724" s="4" t="s">
        <v>25</v>
      </c>
      <c r="G724" s="4" t="s">
        <v>25</v>
      </c>
      <c r="H724" s="4" t="s">
        <v>25</v>
      </c>
      <c r="I724" s="5">
        <v>44743</v>
      </c>
      <c r="J724" s="6">
        <v>10784</v>
      </c>
      <c r="K724" s="6">
        <v>10784</v>
      </c>
      <c r="L724" s="6">
        <v>0</v>
      </c>
      <c r="M724" s="6">
        <v>0</v>
      </c>
      <c r="N724" s="6">
        <v>0</v>
      </c>
      <c r="O724" s="6">
        <v>0</v>
      </c>
      <c r="P724" s="6">
        <v>63</v>
      </c>
      <c r="Q724" s="4" t="s">
        <v>26</v>
      </c>
      <c r="R724" s="4">
        <v>0</v>
      </c>
      <c r="S724" s="4" t="s">
        <v>242</v>
      </c>
      <c r="U724" s="4">
        <v>27</v>
      </c>
      <c r="V724" s="4">
        <v>0</v>
      </c>
      <c r="W724" s="4">
        <v>0</v>
      </c>
    </row>
    <row r="725" spans="1:23" ht="11.25" customHeight="1" x14ac:dyDescent="0.25">
      <c r="A725" s="4" t="s">
        <v>28</v>
      </c>
      <c r="B725" s="4" t="s">
        <v>41</v>
      </c>
      <c r="C725" s="4" t="s">
        <v>44</v>
      </c>
      <c r="D725" s="4" t="s">
        <v>40</v>
      </c>
      <c r="E725" s="4" t="s">
        <v>25</v>
      </c>
      <c r="F725" s="4" t="s">
        <v>25</v>
      </c>
      <c r="G725" s="4" t="s">
        <v>25</v>
      </c>
      <c r="H725" s="4" t="s">
        <v>25</v>
      </c>
      <c r="I725" s="5">
        <v>44743</v>
      </c>
      <c r="J725" s="6">
        <v>1544</v>
      </c>
      <c r="K725" s="6">
        <v>1544</v>
      </c>
      <c r="L725" s="6">
        <v>0</v>
      </c>
      <c r="M725" s="6">
        <v>0</v>
      </c>
      <c r="N725" s="6">
        <v>0</v>
      </c>
      <c r="O725" s="6">
        <v>0</v>
      </c>
      <c r="P725" s="6">
        <v>13</v>
      </c>
      <c r="Q725" s="4" t="s">
        <v>26</v>
      </c>
      <c r="R725" s="4">
        <v>0</v>
      </c>
      <c r="S725" s="4" t="s">
        <v>242</v>
      </c>
      <c r="U725" s="4">
        <v>27</v>
      </c>
      <c r="V725" s="4">
        <v>0</v>
      </c>
      <c r="W725" s="4">
        <v>0</v>
      </c>
    </row>
    <row r="726" spans="1:23" ht="11.25" customHeight="1" x14ac:dyDescent="0.25">
      <c r="A726" s="4" t="s">
        <v>30</v>
      </c>
      <c r="B726" s="4" t="s">
        <v>41</v>
      </c>
      <c r="C726" s="4" t="s">
        <v>44</v>
      </c>
      <c r="D726" s="4" t="s">
        <v>40</v>
      </c>
      <c r="E726" s="4" t="s">
        <v>25</v>
      </c>
      <c r="F726" s="4" t="s">
        <v>25</v>
      </c>
      <c r="G726" s="4" t="s">
        <v>25</v>
      </c>
      <c r="H726" s="4" t="s">
        <v>25</v>
      </c>
      <c r="I726" s="5">
        <v>44743</v>
      </c>
      <c r="J726" s="6">
        <v>410</v>
      </c>
      <c r="K726" s="6">
        <v>410</v>
      </c>
      <c r="L726" s="6">
        <v>0</v>
      </c>
      <c r="M726" s="6">
        <v>0</v>
      </c>
      <c r="N726" s="6">
        <v>0</v>
      </c>
      <c r="O726" s="6">
        <v>0</v>
      </c>
      <c r="P726" s="6">
        <v>3</v>
      </c>
      <c r="Q726" s="4" t="s">
        <v>26</v>
      </c>
      <c r="R726" s="4">
        <v>0</v>
      </c>
      <c r="S726" s="4" t="s">
        <v>242</v>
      </c>
      <c r="U726" s="4">
        <v>27</v>
      </c>
      <c r="V726" s="4">
        <v>0</v>
      </c>
      <c r="W726" s="4">
        <v>0</v>
      </c>
    </row>
    <row r="727" spans="1:23" ht="11.25" customHeight="1" x14ac:dyDescent="0.25">
      <c r="A727" s="4" t="s">
        <v>21</v>
      </c>
      <c r="B727" s="4" t="s">
        <v>41</v>
      </c>
      <c r="C727" s="4" t="s">
        <v>44</v>
      </c>
      <c r="D727" s="4" t="s">
        <v>40</v>
      </c>
      <c r="E727" s="4" t="s">
        <v>25</v>
      </c>
      <c r="F727" s="4" t="s">
        <v>25</v>
      </c>
      <c r="G727" s="4" t="s">
        <v>25</v>
      </c>
      <c r="H727" s="4" t="s">
        <v>25</v>
      </c>
      <c r="I727" s="5">
        <v>44774</v>
      </c>
      <c r="J727" s="6">
        <v>11067</v>
      </c>
      <c r="K727" s="6">
        <v>11067</v>
      </c>
      <c r="L727" s="6">
        <v>0</v>
      </c>
      <c r="M727" s="6">
        <v>0</v>
      </c>
      <c r="N727" s="6">
        <v>0</v>
      </c>
      <c r="O727" s="6">
        <v>0</v>
      </c>
      <c r="P727" s="6">
        <v>65</v>
      </c>
      <c r="Q727" s="4" t="s">
        <v>26</v>
      </c>
      <c r="R727" s="4">
        <v>0</v>
      </c>
      <c r="S727" s="4" t="s">
        <v>243</v>
      </c>
      <c r="U727" s="4">
        <v>27</v>
      </c>
      <c r="V727" s="4">
        <v>0</v>
      </c>
      <c r="W727" s="4">
        <v>0</v>
      </c>
    </row>
    <row r="728" spans="1:23" ht="11.25" customHeight="1" x14ac:dyDescent="0.25">
      <c r="A728" s="4" t="s">
        <v>28</v>
      </c>
      <c r="B728" s="4" t="s">
        <v>41</v>
      </c>
      <c r="C728" s="4" t="s">
        <v>44</v>
      </c>
      <c r="D728" s="4" t="s">
        <v>40</v>
      </c>
      <c r="E728" s="4" t="s">
        <v>25</v>
      </c>
      <c r="F728" s="4" t="s">
        <v>25</v>
      </c>
      <c r="G728" s="4" t="s">
        <v>25</v>
      </c>
      <c r="H728" s="4" t="s">
        <v>25</v>
      </c>
      <c r="I728" s="5">
        <v>44774</v>
      </c>
      <c r="J728" s="6">
        <v>1577</v>
      </c>
      <c r="K728" s="6">
        <v>1577</v>
      </c>
      <c r="L728" s="6">
        <v>0</v>
      </c>
      <c r="M728" s="6">
        <v>0</v>
      </c>
      <c r="N728" s="6">
        <v>0</v>
      </c>
      <c r="O728" s="6">
        <v>0</v>
      </c>
      <c r="P728" s="6">
        <v>13</v>
      </c>
      <c r="Q728" s="4" t="s">
        <v>26</v>
      </c>
      <c r="R728" s="4">
        <v>0</v>
      </c>
      <c r="S728" s="4" t="s">
        <v>243</v>
      </c>
      <c r="U728" s="4">
        <v>27</v>
      </c>
      <c r="V728" s="4">
        <v>0</v>
      </c>
      <c r="W728" s="4">
        <v>0</v>
      </c>
    </row>
    <row r="729" spans="1:23" ht="11.25" customHeight="1" x14ac:dyDescent="0.25">
      <c r="A729" s="4" t="s">
        <v>30</v>
      </c>
      <c r="B729" s="4" t="s">
        <v>41</v>
      </c>
      <c r="C729" s="4" t="s">
        <v>44</v>
      </c>
      <c r="D729" s="4" t="s">
        <v>40</v>
      </c>
      <c r="E729" s="4" t="s">
        <v>25</v>
      </c>
      <c r="F729" s="4" t="s">
        <v>25</v>
      </c>
      <c r="G729" s="4" t="s">
        <v>25</v>
      </c>
      <c r="H729" s="4" t="s">
        <v>25</v>
      </c>
      <c r="I729" s="5">
        <v>44774</v>
      </c>
      <c r="J729" s="6">
        <v>418</v>
      </c>
      <c r="K729" s="6">
        <v>418</v>
      </c>
      <c r="L729" s="6">
        <v>0</v>
      </c>
      <c r="M729" s="6">
        <v>0</v>
      </c>
      <c r="N729" s="6">
        <v>0</v>
      </c>
      <c r="O729" s="6">
        <v>0</v>
      </c>
      <c r="P729" s="6">
        <v>3</v>
      </c>
      <c r="Q729" s="4" t="s">
        <v>26</v>
      </c>
      <c r="R729" s="4">
        <v>0</v>
      </c>
      <c r="S729" s="4" t="s">
        <v>243</v>
      </c>
      <c r="U729" s="4">
        <v>27</v>
      </c>
      <c r="V729" s="4">
        <v>0</v>
      </c>
      <c r="W729" s="4">
        <v>0</v>
      </c>
    </row>
    <row r="730" spans="1:23" ht="11.25" customHeight="1" x14ac:dyDescent="0.25">
      <c r="A730" s="4" t="s">
        <v>21</v>
      </c>
      <c r="B730" s="4" t="s">
        <v>41</v>
      </c>
      <c r="C730" s="4" t="s">
        <v>44</v>
      </c>
      <c r="D730" s="4" t="s">
        <v>40</v>
      </c>
      <c r="E730" s="4" t="s">
        <v>25</v>
      </c>
      <c r="F730" s="4" t="s">
        <v>25</v>
      </c>
      <c r="G730" s="4" t="s">
        <v>25</v>
      </c>
      <c r="H730" s="4" t="s">
        <v>25</v>
      </c>
      <c r="I730" s="5">
        <v>44805</v>
      </c>
      <c r="J730" s="6">
        <v>11220</v>
      </c>
      <c r="K730" s="6">
        <v>11220</v>
      </c>
      <c r="L730" s="6">
        <v>0</v>
      </c>
      <c r="M730" s="6">
        <v>0</v>
      </c>
      <c r="N730" s="6">
        <v>0</v>
      </c>
      <c r="O730" s="6">
        <v>0</v>
      </c>
      <c r="P730" s="6">
        <v>67</v>
      </c>
      <c r="Q730" s="4" t="s">
        <v>26</v>
      </c>
      <c r="R730" s="4">
        <v>0</v>
      </c>
      <c r="S730" s="4" t="s">
        <v>244</v>
      </c>
      <c r="U730" s="4">
        <v>27</v>
      </c>
      <c r="V730" s="4">
        <v>0</v>
      </c>
      <c r="W730" s="4">
        <v>0</v>
      </c>
    </row>
    <row r="731" spans="1:23" ht="11.25" customHeight="1" x14ac:dyDescent="0.25">
      <c r="A731" s="4" t="s">
        <v>28</v>
      </c>
      <c r="B731" s="4" t="s">
        <v>41</v>
      </c>
      <c r="C731" s="4" t="s">
        <v>44</v>
      </c>
      <c r="D731" s="4" t="s">
        <v>40</v>
      </c>
      <c r="E731" s="4" t="s">
        <v>25</v>
      </c>
      <c r="F731" s="4" t="s">
        <v>25</v>
      </c>
      <c r="G731" s="4" t="s">
        <v>25</v>
      </c>
      <c r="H731" s="4" t="s">
        <v>25</v>
      </c>
      <c r="I731" s="5">
        <v>44805</v>
      </c>
      <c r="J731" s="6">
        <v>1592</v>
      </c>
      <c r="K731" s="6">
        <v>1592</v>
      </c>
      <c r="L731" s="6">
        <v>0</v>
      </c>
      <c r="M731" s="6">
        <v>0</v>
      </c>
      <c r="N731" s="6">
        <v>0</v>
      </c>
      <c r="O731" s="6">
        <v>0</v>
      </c>
      <c r="P731" s="6">
        <v>13</v>
      </c>
      <c r="Q731" s="4" t="s">
        <v>26</v>
      </c>
      <c r="R731" s="4">
        <v>0</v>
      </c>
      <c r="S731" s="4" t="s">
        <v>244</v>
      </c>
      <c r="U731" s="4">
        <v>27</v>
      </c>
      <c r="V731" s="4">
        <v>0</v>
      </c>
      <c r="W731" s="4">
        <v>0</v>
      </c>
    </row>
    <row r="732" spans="1:23" ht="11.25" customHeight="1" x14ac:dyDescent="0.25">
      <c r="A732" s="4" t="s">
        <v>30</v>
      </c>
      <c r="B732" s="4" t="s">
        <v>41</v>
      </c>
      <c r="C732" s="4" t="s">
        <v>44</v>
      </c>
      <c r="D732" s="4" t="s">
        <v>40</v>
      </c>
      <c r="E732" s="4" t="s">
        <v>25</v>
      </c>
      <c r="F732" s="4" t="s">
        <v>25</v>
      </c>
      <c r="G732" s="4" t="s">
        <v>25</v>
      </c>
      <c r="H732" s="4" t="s">
        <v>25</v>
      </c>
      <c r="I732" s="5">
        <v>44805</v>
      </c>
      <c r="J732" s="6">
        <v>425</v>
      </c>
      <c r="K732" s="6">
        <v>425</v>
      </c>
      <c r="L732" s="6">
        <v>0</v>
      </c>
      <c r="M732" s="6">
        <v>0</v>
      </c>
      <c r="N732" s="6">
        <v>0</v>
      </c>
      <c r="O732" s="6">
        <v>0</v>
      </c>
      <c r="P732" s="6">
        <v>3</v>
      </c>
      <c r="Q732" s="4" t="s">
        <v>26</v>
      </c>
      <c r="R732" s="4">
        <v>0</v>
      </c>
      <c r="S732" s="4" t="s">
        <v>244</v>
      </c>
      <c r="U732" s="4">
        <v>27</v>
      </c>
      <c r="V732" s="4">
        <v>0</v>
      </c>
      <c r="W732" s="4">
        <v>0</v>
      </c>
    </row>
    <row r="733" spans="1:23" ht="11.25" customHeight="1" x14ac:dyDescent="0.25">
      <c r="A733" s="4" t="s">
        <v>21</v>
      </c>
      <c r="B733" s="4" t="s">
        <v>41</v>
      </c>
      <c r="C733" s="4" t="s">
        <v>44</v>
      </c>
      <c r="D733" s="4" t="s">
        <v>40</v>
      </c>
      <c r="E733" s="4" t="s">
        <v>25</v>
      </c>
      <c r="F733" s="4" t="s">
        <v>25</v>
      </c>
      <c r="G733" s="4" t="s">
        <v>25</v>
      </c>
      <c r="H733" s="4" t="s">
        <v>25</v>
      </c>
      <c r="I733" s="5">
        <v>44835</v>
      </c>
      <c r="J733" s="6">
        <v>11595</v>
      </c>
      <c r="K733" s="6">
        <v>11595</v>
      </c>
      <c r="L733" s="6">
        <v>0</v>
      </c>
      <c r="M733" s="6">
        <v>0</v>
      </c>
      <c r="N733" s="6">
        <v>0</v>
      </c>
      <c r="O733" s="6">
        <v>0</v>
      </c>
      <c r="P733" s="6">
        <v>69</v>
      </c>
      <c r="Q733" s="4" t="s">
        <v>26</v>
      </c>
      <c r="R733" s="4">
        <v>0</v>
      </c>
      <c r="S733" s="4" t="s">
        <v>245</v>
      </c>
      <c r="U733" s="4">
        <v>27</v>
      </c>
      <c r="V733" s="4">
        <v>0</v>
      </c>
      <c r="W733" s="4">
        <v>0</v>
      </c>
    </row>
    <row r="734" spans="1:23" ht="11.25" customHeight="1" x14ac:dyDescent="0.25">
      <c r="A734" s="4" t="s">
        <v>28</v>
      </c>
      <c r="B734" s="4" t="s">
        <v>41</v>
      </c>
      <c r="C734" s="4" t="s">
        <v>44</v>
      </c>
      <c r="D734" s="4" t="s">
        <v>40</v>
      </c>
      <c r="E734" s="4" t="s">
        <v>25</v>
      </c>
      <c r="F734" s="4" t="s">
        <v>25</v>
      </c>
      <c r="G734" s="4" t="s">
        <v>25</v>
      </c>
      <c r="H734" s="4" t="s">
        <v>25</v>
      </c>
      <c r="I734" s="5">
        <v>44835</v>
      </c>
      <c r="J734" s="6">
        <v>1571</v>
      </c>
      <c r="K734" s="6">
        <v>1571</v>
      </c>
      <c r="L734" s="6">
        <v>0</v>
      </c>
      <c r="M734" s="6">
        <v>0</v>
      </c>
      <c r="N734" s="6">
        <v>0</v>
      </c>
      <c r="O734" s="6">
        <v>0</v>
      </c>
      <c r="P734" s="6">
        <v>13</v>
      </c>
      <c r="Q734" s="4" t="s">
        <v>26</v>
      </c>
      <c r="R734" s="4">
        <v>0</v>
      </c>
      <c r="S734" s="4" t="s">
        <v>245</v>
      </c>
      <c r="U734" s="4">
        <v>27</v>
      </c>
      <c r="V734" s="4">
        <v>0</v>
      </c>
      <c r="W734" s="4">
        <v>0</v>
      </c>
    </row>
    <row r="735" spans="1:23" ht="11.25" customHeight="1" x14ac:dyDescent="0.25">
      <c r="A735" s="4" t="s">
        <v>30</v>
      </c>
      <c r="B735" s="4" t="s">
        <v>41</v>
      </c>
      <c r="C735" s="4" t="s">
        <v>44</v>
      </c>
      <c r="D735" s="4" t="s">
        <v>40</v>
      </c>
      <c r="E735" s="4" t="s">
        <v>25</v>
      </c>
      <c r="F735" s="4" t="s">
        <v>25</v>
      </c>
      <c r="G735" s="4" t="s">
        <v>25</v>
      </c>
      <c r="H735" s="4" t="s">
        <v>25</v>
      </c>
      <c r="I735" s="5">
        <v>44835</v>
      </c>
      <c r="J735" s="6">
        <v>413</v>
      </c>
      <c r="K735" s="6">
        <v>413</v>
      </c>
      <c r="L735" s="6">
        <v>0</v>
      </c>
      <c r="M735" s="6">
        <v>0</v>
      </c>
      <c r="N735" s="6">
        <v>0</v>
      </c>
      <c r="O735" s="6">
        <v>0</v>
      </c>
      <c r="P735" s="6">
        <v>3</v>
      </c>
      <c r="Q735" s="4" t="s">
        <v>26</v>
      </c>
      <c r="R735" s="4">
        <v>0</v>
      </c>
      <c r="S735" s="4" t="s">
        <v>245</v>
      </c>
      <c r="U735" s="4">
        <v>27</v>
      </c>
      <c r="V735" s="4">
        <v>0</v>
      </c>
      <c r="W735" s="4">
        <v>0</v>
      </c>
    </row>
    <row r="736" spans="1:23" ht="11.25" customHeight="1" x14ac:dyDescent="0.25">
      <c r="A736" s="4" t="s">
        <v>59</v>
      </c>
      <c r="B736" s="4" t="s">
        <v>41</v>
      </c>
      <c r="C736" s="4" t="s">
        <v>44</v>
      </c>
      <c r="D736" s="4" t="s">
        <v>40</v>
      </c>
      <c r="E736" s="4" t="s">
        <v>25</v>
      </c>
      <c r="F736" s="4" t="s">
        <v>25</v>
      </c>
      <c r="G736" s="4" t="s">
        <v>25</v>
      </c>
      <c r="H736" s="4" t="s">
        <v>25</v>
      </c>
      <c r="I736" s="5">
        <v>44866</v>
      </c>
      <c r="J736" s="6">
        <v>11595</v>
      </c>
      <c r="K736" s="6">
        <v>11595</v>
      </c>
      <c r="L736" s="6">
        <v>0</v>
      </c>
      <c r="M736" s="6">
        <v>0</v>
      </c>
      <c r="N736" s="6">
        <v>0</v>
      </c>
      <c r="O736" s="6">
        <v>0</v>
      </c>
      <c r="P736" s="6">
        <v>69</v>
      </c>
      <c r="Q736" s="4" t="s">
        <v>26</v>
      </c>
      <c r="R736" s="4">
        <v>0</v>
      </c>
      <c r="S736" s="4" t="s">
        <v>246</v>
      </c>
      <c r="U736" s="4">
        <v>27</v>
      </c>
      <c r="V736" s="4">
        <v>0</v>
      </c>
      <c r="W736" s="4">
        <v>0</v>
      </c>
    </row>
    <row r="737" spans="1:23" ht="11.25" customHeight="1" x14ac:dyDescent="0.25">
      <c r="A737" s="4" t="s">
        <v>59</v>
      </c>
      <c r="B737" s="4" t="s">
        <v>41</v>
      </c>
      <c r="C737" s="4" t="s">
        <v>44</v>
      </c>
      <c r="D737" s="4" t="s">
        <v>40</v>
      </c>
      <c r="E737" s="4" t="s">
        <v>25</v>
      </c>
      <c r="F737" s="4" t="s">
        <v>25</v>
      </c>
      <c r="G737" s="4" t="s">
        <v>25</v>
      </c>
      <c r="H737" s="4" t="s">
        <v>25</v>
      </c>
      <c r="I737" s="5">
        <v>44866</v>
      </c>
      <c r="J737" s="6">
        <v>1571</v>
      </c>
      <c r="K737" s="6">
        <v>1571</v>
      </c>
      <c r="L737" s="6">
        <v>0</v>
      </c>
      <c r="M737" s="6">
        <v>0</v>
      </c>
      <c r="N737" s="6">
        <v>0</v>
      </c>
      <c r="O737" s="6">
        <v>0</v>
      </c>
      <c r="P737" s="6">
        <v>13</v>
      </c>
      <c r="Q737" s="4" t="s">
        <v>26</v>
      </c>
      <c r="R737" s="4">
        <v>0</v>
      </c>
      <c r="S737" s="4" t="s">
        <v>246</v>
      </c>
      <c r="U737" s="4">
        <v>27</v>
      </c>
      <c r="V737" s="4">
        <v>0</v>
      </c>
      <c r="W737" s="4">
        <v>0</v>
      </c>
    </row>
    <row r="738" spans="1:23" ht="11.25" customHeight="1" x14ac:dyDescent="0.25">
      <c r="A738" s="4" t="s">
        <v>59</v>
      </c>
      <c r="B738" s="4" t="s">
        <v>41</v>
      </c>
      <c r="C738" s="4" t="s">
        <v>44</v>
      </c>
      <c r="D738" s="4" t="s">
        <v>40</v>
      </c>
      <c r="E738" s="4" t="s">
        <v>25</v>
      </c>
      <c r="F738" s="4" t="s">
        <v>25</v>
      </c>
      <c r="G738" s="4" t="s">
        <v>25</v>
      </c>
      <c r="H738" s="4" t="s">
        <v>25</v>
      </c>
      <c r="I738" s="5">
        <v>44866</v>
      </c>
      <c r="J738" s="6">
        <v>413</v>
      </c>
      <c r="K738" s="6">
        <v>413</v>
      </c>
      <c r="L738" s="6">
        <v>0</v>
      </c>
      <c r="M738" s="6">
        <v>0</v>
      </c>
      <c r="N738" s="6">
        <v>0</v>
      </c>
      <c r="O738" s="6">
        <v>0</v>
      </c>
      <c r="P738" s="6">
        <v>3</v>
      </c>
      <c r="Q738" s="4" t="s">
        <v>26</v>
      </c>
      <c r="R738" s="4">
        <v>0</v>
      </c>
      <c r="S738" s="4" t="s">
        <v>246</v>
      </c>
      <c r="U738" s="4">
        <v>27</v>
      </c>
      <c r="V738" s="4">
        <v>0</v>
      </c>
      <c r="W738" s="4">
        <v>0</v>
      </c>
    </row>
    <row r="739" spans="1:23" ht="11.25" customHeight="1" x14ac:dyDescent="0.25">
      <c r="A739" s="4" t="s">
        <v>21</v>
      </c>
      <c r="B739" s="4" t="s">
        <v>41</v>
      </c>
      <c r="C739" s="4" t="s">
        <v>44</v>
      </c>
      <c r="D739" s="4" t="s">
        <v>40</v>
      </c>
      <c r="E739" s="4" t="s">
        <v>25</v>
      </c>
      <c r="F739" s="4" t="s">
        <v>25</v>
      </c>
      <c r="G739" s="4" t="s">
        <v>25</v>
      </c>
      <c r="H739" s="4" t="s">
        <v>36</v>
      </c>
      <c r="I739" s="5">
        <v>44531</v>
      </c>
      <c r="J739" s="6">
        <v>0</v>
      </c>
      <c r="K739" s="6">
        <v>0</v>
      </c>
      <c r="L739" s="6">
        <v>73.027000000000001</v>
      </c>
      <c r="M739" s="6">
        <v>73.027000000000001</v>
      </c>
      <c r="N739" s="6">
        <v>73.027000000000001</v>
      </c>
      <c r="O739" s="6">
        <v>73.027000000000001</v>
      </c>
      <c r="P739" s="6">
        <v>0</v>
      </c>
      <c r="Q739" s="4" t="s">
        <v>26</v>
      </c>
      <c r="R739" s="4">
        <v>0</v>
      </c>
      <c r="S739" s="4" t="s">
        <v>247</v>
      </c>
      <c r="T739" s="4" t="s">
        <v>504</v>
      </c>
      <c r="U739" s="4">
        <v>0</v>
      </c>
      <c r="V739" s="4">
        <v>28</v>
      </c>
      <c r="W739" s="4">
        <v>74</v>
      </c>
    </row>
    <row r="740" spans="1:23" ht="11.25" customHeight="1" x14ac:dyDescent="0.25">
      <c r="A740" s="4" t="s">
        <v>28</v>
      </c>
      <c r="B740" s="4" t="s">
        <v>41</v>
      </c>
      <c r="C740" s="4" t="s">
        <v>44</v>
      </c>
      <c r="D740" s="4" t="s">
        <v>40</v>
      </c>
      <c r="E740" s="4" t="s">
        <v>25</v>
      </c>
      <c r="F740" s="4" t="s">
        <v>25</v>
      </c>
      <c r="G740" s="4" t="s">
        <v>25</v>
      </c>
      <c r="H740" s="4" t="s">
        <v>36</v>
      </c>
      <c r="I740" s="5">
        <v>44531</v>
      </c>
      <c r="J740" s="6">
        <v>0</v>
      </c>
      <c r="K740" s="6">
        <v>0</v>
      </c>
      <c r="L740" s="6">
        <v>4.4989999999999997</v>
      </c>
      <c r="M740" s="6">
        <v>4.4989999999999997</v>
      </c>
      <c r="N740" s="6">
        <v>4.4989999999999997</v>
      </c>
      <c r="O740" s="6">
        <v>4.4989999999999997</v>
      </c>
      <c r="P740" s="6">
        <v>0</v>
      </c>
      <c r="Q740" s="4" t="s">
        <v>26</v>
      </c>
      <c r="R740" s="4">
        <v>0</v>
      </c>
      <c r="S740" s="4" t="s">
        <v>247</v>
      </c>
      <c r="T740" s="4" t="s">
        <v>504</v>
      </c>
      <c r="U740" s="4">
        <v>0</v>
      </c>
      <c r="V740" s="4">
        <v>28</v>
      </c>
      <c r="W740" s="4">
        <v>74</v>
      </c>
    </row>
    <row r="741" spans="1:23" ht="11.25" customHeight="1" x14ac:dyDescent="0.25">
      <c r="A741" s="4" t="s">
        <v>30</v>
      </c>
      <c r="B741" s="4" t="s">
        <v>41</v>
      </c>
      <c r="C741" s="4" t="s">
        <v>44</v>
      </c>
      <c r="D741" s="4" t="s">
        <v>40</v>
      </c>
      <c r="E741" s="4" t="s">
        <v>25</v>
      </c>
      <c r="F741" s="4" t="s">
        <v>25</v>
      </c>
      <c r="G741" s="4" t="s">
        <v>25</v>
      </c>
      <c r="H741" s="4" t="s">
        <v>36</v>
      </c>
      <c r="I741" s="5">
        <v>44531</v>
      </c>
      <c r="J741" s="6">
        <v>0</v>
      </c>
      <c r="K741" s="6">
        <v>0</v>
      </c>
      <c r="L741" s="6">
        <v>1.5680000000000001</v>
      </c>
      <c r="M741" s="6">
        <v>1.5680000000000001</v>
      </c>
      <c r="N741" s="6">
        <v>1.5680000000000001</v>
      </c>
      <c r="O741" s="6">
        <v>1.5680000000000001</v>
      </c>
      <c r="P741" s="6">
        <v>0</v>
      </c>
      <c r="Q741" s="4" t="s">
        <v>26</v>
      </c>
      <c r="R741" s="4">
        <v>0</v>
      </c>
      <c r="S741" s="4" t="s">
        <v>247</v>
      </c>
      <c r="T741" s="4" t="s">
        <v>504</v>
      </c>
      <c r="U741" s="4">
        <v>0</v>
      </c>
      <c r="V741" s="4">
        <v>28</v>
      </c>
      <c r="W741" s="4">
        <v>74</v>
      </c>
    </row>
    <row r="742" spans="1:23" ht="11.25" customHeight="1" x14ac:dyDescent="0.25">
      <c r="A742" s="4" t="s">
        <v>21</v>
      </c>
      <c r="B742" s="4" t="s">
        <v>41</v>
      </c>
      <c r="C742" s="4" t="s">
        <v>44</v>
      </c>
      <c r="D742" s="4" t="s">
        <v>40</v>
      </c>
      <c r="E742" s="4" t="s">
        <v>25</v>
      </c>
      <c r="F742" s="4" t="s">
        <v>25</v>
      </c>
      <c r="G742" s="4" t="s">
        <v>25</v>
      </c>
      <c r="H742" s="4" t="s">
        <v>36</v>
      </c>
      <c r="I742" s="5">
        <v>44562</v>
      </c>
      <c r="J742" s="6">
        <v>0</v>
      </c>
      <c r="K742" s="6">
        <v>0</v>
      </c>
      <c r="L742" s="6">
        <v>75.141999999999996</v>
      </c>
      <c r="M742" s="6">
        <v>75.141999999999996</v>
      </c>
      <c r="N742" s="6">
        <v>75.141999999999996</v>
      </c>
      <c r="O742" s="6">
        <v>75.141999999999996</v>
      </c>
      <c r="P742" s="6">
        <v>0</v>
      </c>
      <c r="Q742" s="4" t="s">
        <v>26</v>
      </c>
      <c r="R742" s="4">
        <v>0</v>
      </c>
      <c r="S742" s="4" t="s">
        <v>248</v>
      </c>
      <c r="T742" s="4" t="s">
        <v>505</v>
      </c>
      <c r="U742" s="4">
        <v>0</v>
      </c>
      <c r="V742" s="4">
        <v>28</v>
      </c>
      <c r="W742" s="4">
        <v>74</v>
      </c>
    </row>
    <row r="743" spans="1:23" ht="11.25" customHeight="1" x14ac:dyDescent="0.25">
      <c r="A743" s="4" t="s">
        <v>27</v>
      </c>
      <c r="B743" s="4" t="s">
        <v>41</v>
      </c>
      <c r="C743" s="4" t="s">
        <v>44</v>
      </c>
      <c r="D743" s="4" t="s">
        <v>40</v>
      </c>
      <c r="E743" s="4" t="s">
        <v>25</v>
      </c>
      <c r="F743" s="4" t="s">
        <v>25</v>
      </c>
      <c r="G743" s="4" t="s">
        <v>25</v>
      </c>
      <c r="H743" s="4" t="s">
        <v>36</v>
      </c>
      <c r="I743" s="5">
        <v>44562</v>
      </c>
      <c r="J743" s="6">
        <v>0</v>
      </c>
      <c r="K743" s="6">
        <v>0</v>
      </c>
      <c r="L743" s="6">
        <v>-13.65</v>
      </c>
      <c r="M743" s="6">
        <v>-13.65</v>
      </c>
      <c r="N743" s="6">
        <v>-13.65</v>
      </c>
      <c r="O743" s="6">
        <v>-13.65</v>
      </c>
      <c r="P743" s="6">
        <v>0</v>
      </c>
      <c r="Q743" s="4" t="s">
        <v>26</v>
      </c>
      <c r="R743" s="4">
        <v>0</v>
      </c>
      <c r="S743" s="4" t="s">
        <v>248</v>
      </c>
      <c r="T743" s="4" t="s">
        <v>505</v>
      </c>
      <c r="U743" s="4">
        <v>0</v>
      </c>
      <c r="V743" s="4">
        <v>28</v>
      </c>
      <c r="W743" s="4">
        <v>74</v>
      </c>
    </row>
    <row r="744" spans="1:23" ht="11.25" customHeight="1" x14ac:dyDescent="0.25">
      <c r="A744" s="4" t="s">
        <v>28</v>
      </c>
      <c r="B744" s="4" t="s">
        <v>41</v>
      </c>
      <c r="C744" s="4" t="s">
        <v>44</v>
      </c>
      <c r="D744" s="4" t="s">
        <v>40</v>
      </c>
      <c r="E744" s="4" t="s">
        <v>25</v>
      </c>
      <c r="F744" s="4" t="s">
        <v>25</v>
      </c>
      <c r="G744" s="4" t="s">
        <v>25</v>
      </c>
      <c r="H744" s="4" t="s">
        <v>36</v>
      </c>
      <c r="I744" s="5">
        <v>44562</v>
      </c>
      <c r="J744" s="6">
        <v>0</v>
      </c>
      <c r="K744" s="6">
        <v>0</v>
      </c>
      <c r="L744" s="6">
        <v>3.415</v>
      </c>
      <c r="M744" s="6">
        <v>3.415</v>
      </c>
      <c r="N744" s="6">
        <v>3.415</v>
      </c>
      <c r="O744" s="6">
        <v>3.415</v>
      </c>
      <c r="P744" s="6">
        <v>0</v>
      </c>
      <c r="Q744" s="4" t="s">
        <v>26</v>
      </c>
      <c r="R744" s="4">
        <v>0</v>
      </c>
      <c r="S744" s="4" t="s">
        <v>248</v>
      </c>
      <c r="T744" s="4" t="s">
        <v>505</v>
      </c>
      <c r="U744" s="4">
        <v>0</v>
      </c>
      <c r="V744" s="4">
        <v>28</v>
      </c>
      <c r="W744" s="4">
        <v>74</v>
      </c>
    </row>
    <row r="745" spans="1:23" ht="11.25" customHeight="1" x14ac:dyDescent="0.25">
      <c r="A745" s="4" t="s">
        <v>30</v>
      </c>
      <c r="B745" s="4" t="s">
        <v>41</v>
      </c>
      <c r="C745" s="4" t="s">
        <v>44</v>
      </c>
      <c r="D745" s="4" t="s">
        <v>40</v>
      </c>
      <c r="E745" s="4" t="s">
        <v>25</v>
      </c>
      <c r="F745" s="4" t="s">
        <v>25</v>
      </c>
      <c r="G745" s="4" t="s">
        <v>25</v>
      </c>
      <c r="H745" s="4" t="s">
        <v>36</v>
      </c>
      <c r="I745" s="5">
        <v>44562</v>
      </c>
      <c r="J745" s="6">
        <v>0</v>
      </c>
      <c r="K745" s="6">
        <v>0</v>
      </c>
      <c r="L745" s="6">
        <v>1.8620000000000001</v>
      </c>
      <c r="M745" s="6">
        <v>1.8620000000000001</v>
      </c>
      <c r="N745" s="6">
        <v>1.8620000000000001</v>
      </c>
      <c r="O745" s="6">
        <v>1.8620000000000001</v>
      </c>
      <c r="P745" s="6">
        <v>0</v>
      </c>
      <c r="Q745" s="4" t="s">
        <v>26</v>
      </c>
      <c r="R745" s="4">
        <v>0</v>
      </c>
      <c r="S745" s="4" t="s">
        <v>248</v>
      </c>
      <c r="T745" s="4" t="s">
        <v>505</v>
      </c>
      <c r="U745" s="4">
        <v>0</v>
      </c>
      <c r="V745" s="4">
        <v>28</v>
      </c>
      <c r="W745" s="4">
        <v>74</v>
      </c>
    </row>
    <row r="746" spans="1:23" ht="11.25" customHeight="1" x14ac:dyDescent="0.25">
      <c r="A746" s="4" t="s">
        <v>21</v>
      </c>
      <c r="B746" s="4" t="s">
        <v>41</v>
      </c>
      <c r="C746" s="4" t="s">
        <v>44</v>
      </c>
      <c r="D746" s="4" t="s">
        <v>40</v>
      </c>
      <c r="E746" s="4" t="s">
        <v>25</v>
      </c>
      <c r="F746" s="4" t="s">
        <v>25</v>
      </c>
      <c r="G746" s="4" t="s">
        <v>25</v>
      </c>
      <c r="H746" s="4" t="s">
        <v>36</v>
      </c>
      <c r="I746" s="5">
        <v>44593</v>
      </c>
      <c r="J746" s="6">
        <v>0</v>
      </c>
      <c r="K746" s="6">
        <v>0</v>
      </c>
      <c r="L746" s="6">
        <v>61.329000000000001</v>
      </c>
      <c r="M746" s="6">
        <v>61.329000000000001</v>
      </c>
      <c r="N746" s="6">
        <v>61.329000000000001</v>
      </c>
      <c r="O746" s="6">
        <v>61.329000000000001</v>
      </c>
      <c r="P746" s="6">
        <v>0</v>
      </c>
      <c r="Q746" s="4" t="s">
        <v>26</v>
      </c>
      <c r="R746" s="4">
        <v>0</v>
      </c>
      <c r="S746" s="4" t="s">
        <v>249</v>
      </c>
      <c r="T746" s="4" t="s">
        <v>506</v>
      </c>
      <c r="U746" s="4">
        <v>0</v>
      </c>
      <c r="V746" s="4">
        <v>28</v>
      </c>
      <c r="W746" s="4">
        <v>74</v>
      </c>
    </row>
    <row r="747" spans="1:23" ht="11.25" customHeight="1" x14ac:dyDescent="0.25">
      <c r="A747" s="4" t="s">
        <v>27</v>
      </c>
      <c r="B747" s="4" t="s">
        <v>41</v>
      </c>
      <c r="C747" s="4" t="s">
        <v>44</v>
      </c>
      <c r="D747" s="4" t="s">
        <v>40</v>
      </c>
      <c r="E747" s="4" t="s">
        <v>25</v>
      </c>
      <c r="F747" s="4" t="s">
        <v>25</v>
      </c>
      <c r="G747" s="4" t="s">
        <v>25</v>
      </c>
      <c r="H747" s="4" t="s">
        <v>36</v>
      </c>
      <c r="I747" s="5">
        <v>44593</v>
      </c>
      <c r="J747" s="6">
        <v>0</v>
      </c>
      <c r="K747" s="6">
        <v>0</v>
      </c>
      <c r="L747" s="6">
        <v>-13.65</v>
      </c>
      <c r="M747" s="6">
        <v>-13.65</v>
      </c>
      <c r="N747" s="6">
        <v>-13.65</v>
      </c>
      <c r="O747" s="6">
        <v>-13.65</v>
      </c>
      <c r="P747" s="6">
        <v>0</v>
      </c>
      <c r="Q747" s="4" t="s">
        <v>26</v>
      </c>
      <c r="R747" s="4">
        <v>0</v>
      </c>
      <c r="S747" s="4" t="s">
        <v>249</v>
      </c>
      <c r="T747" s="4" t="s">
        <v>506</v>
      </c>
      <c r="U747" s="4">
        <v>0</v>
      </c>
      <c r="V747" s="4">
        <v>28</v>
      </c>
      <c r="W747" s="4">
        <v>74</v>
      </c>
    </row>
    <row r="748" spans="1:23" ht="11.25" customHeight="1" x14ac:dyDescent="0.25">
      <c r="A748" s="4" t="s">
        <v>28</v>
      </c>
      <c r="B748" s="4" t="s">
        <v>41</v>
      </c>
      <c r="C748" s="4" t="s">
        <v>44</v>
      </c>
      <c r="D748" s="4" t="s">
        <v>40</v>
      </c>
      <c r="E748" s="4" t="s">
        <v>25</v>
      </c>
      <c r="F748" s="4" t="s">
        <v>25</v>
      </c>
      <c r="G748" s="4" t="s">
        <v>25</v>
      </c>
      <c r="H748" s="4" t="s">
        <v>36</v>
      </c>
      <c r="I748" s="5">
        <v>44593</v>
      </c>
      <c r="J748" s="6">
        <v>0</v>
      </c>
      <c r="K748" s="6">
        <v>0</v>
      </c>
      <c r="L748" s="6">
        <v>3.988</v>
      </c>
      <c r="M748" s="6">
        <v>3.988</v>
      </c>
      <c r="N748" s="6">
        <v>3.988</v>
      </c>
      <c r="O748" s="6">
        <v>3.988</v>
      </c>
      <c r="P748" s="6">
        <v>0</v>
      </c>
      <c r="Q748" s="4" t="s">
        <v>26</v>
      </c>
      <c r="R748" s="4">
        <v>0</v>
      </c>
      <c r="S748" s="4" t="s">
        <v>249</v>
      </c>
      <c r="T748" s="4" t="s">
        <v>506</v>
      </c>
      <c r="U748" s="4">
        <v>0</v>
      </c>
      <c r="V748" s="4">
        <v>28</v>
      </c>
      <c r="W748" s="4">
        <v>74</v>
      </c>
    </row>
    <row r="749" spans="1:23" ht="11.25" customHeight="1" x14ac:dyDescent="0.25">
      <c r="A749" s="4" t="s">
        <v>30</v>
      </c>
      <c r="B749" s="4" t="s">
        <v>41</v>
      </c>
      <c r="C749" s="4" t="s">
        <v>44</v>
      </c>
      <c r="D749" s="4" t="s">
        <v>40</v>
      </c>
      <c r="E749" s="4" t="s">
        <v>25</v>
      </c>
      <c r="F749" s="4" t="s">
        <v>25</v>
      </c>
      <c r="G749" s="4" t="s">
        <v>25</v>
      </c>
      <c r="H749" s="4" t="s">
        <v>36</v>
      </c>
      <c r="I749" s="5">
        <v>44593</v>
      </c>
      <c r="J749" s="6">
        <v>0</v>
      </c>
      <c r="K749" s="6">
        <v>0</v>
      </c>
      <c r="L749" s="6">
        <v>2.4159999999999999</v>
      </c>
      <c r="M749" s="6">
        <v>2.4159999999999999</v>
      </c>
      <c r="N749" s="6">
        <v>2.4159999999999999</v>
      </c>
      <c r="O749" s="6">
        <v>2.4159999999999999</v>
      </c>
      <c r="P749" s="6">
        <v>0</v>
      </c>
      <c r="Q749" s="4" t="s">
        <v>26</v>
      </c>
      <c r="R749" s="4">
        <v>0</v>
      </c>
      <c r="S749" s="4" t="s">
        <v>249</v>
      </c>
      <c r="T749" s="4" t="s">
        <v>506</v>
      </c>
      <c r="U749" s="4">
        <v>0</v>
      </c>
      <c r="V749" s="4">
        <v>28</v>
      </c>
      <c r="W749" s="4">
        <v>74</v>
      </c>
    </row>
    <row r="750" spans="1:23" ht="11.25" customHeight="1" x14ac:dyDescent="0.25">
      <c r="A750" s="4" t="s">
        <v>21</v>
      </c>
      <c r="B750" s="4" t="s">
        <v>41</v>
      </c>
      <c r="C750" s="4" t="s">
        <v>44</v>
      </c>
      <c r="D750" s="4" t="s">
        <v>40</v>
      </c>
      <c r="E750" s="4" t="s">
        <v>25</v>
      </c>
      <c r="F750" s="4" t="s">
        <v>25</v>
      </c>
      <c r="G750" s="4" t="s">
        <v>25</v>
      </c>
      <c r="H750" s="4" t="s">
        <v>36</v>
      </c>
      <c r="I750" s="5">
        <v>44621</v>
      </c>
      <c r="J750" s="6">
        <v>0</v>
      </c>
      <c r="K750" s="6">
        <v>0</v>
      </c>
      <c r="L750" s="6">
        <v>68.128</v>
      </c>
      <c r="M750" s="6">
        <v>68.128</v>
      </c>
      <c r="N750" s="6">
        <v>68.128</v>
      </c>
      <c r="O750" s="6">
        <v>68.128</v>
      </c>
      <c r="P750" s="6">
        <v>0</v>
      </c>
      <c r="Q750" s="4" t="s">
        <v>26</v>
      </c>
      <c r="R750" s="4">
        <v>0</v>
      </c>
      <c r="S750" s="4" t="s">
        <v>250</v>
      </c>
      <c r="T750" s="4" t="s">
        <v>507</v>
      </c>
      <c r="U750" s="4">
        <v>0</v>
      </c>
      <c r="V750" s="4">
        <v>28</v>
      </c>
      <c r="W750" s="4">
        <v>74</v>
      </c>
    </row>
    <row r="751" spans="1:23" ht="11.25" customHeight="1" x14ac:dyDescent="0.25">
      <c r="A751" s="4" t="s">
        <v>28</v>
      </c>
      <c r="B751" s="4" t="s">
        <v>41</v>
      </c>
      <c r="C751" s="4" t="s">
        <v>44</v>
      </c>
      <c r="D751" s="4" t="s">
        <v>40</v>
      </c>
      <c r="E751" s="4" t="s">
        <v>25</v>
      </c>
      <c r="F751" s="4" t="s">
        <v>25</v>
      </c>
      <c r="G751" s="4" t="s">
        <v>25</v>
      </c>
      <c r="H751" s="4" t="s">
        <v>36</v>
      </c>
      <c r="I751" s="5">
        <v>44621</v>
      </c>
      <c r="J751" s="6">
        <v>0</v>
      </c>
      <c r="K751" s="6">
        <v>0</v>
      </c>
      <c r="L751" s="6">
        <v>3.9020000000000001</v>
      </c>
      <c r="M751" s="6">
        <v>3.9020000000000001</v>
      </c>
      <c r="N751" s="6">
        <v>3.9020000000000001</v>
      </c>
      <c r="O751" s="6">
        <v>3.9020000000000001</v>
      </c>
      <c r="P751" s="6">
        <v>0</v>
      </c>
      <c r="Q751" s="4" t="s">
        <v>26</v>
      </c>
      <c r="R751" s="4">
        <v>0</v>
      </c>
      <c r="S751" s="4" t="s">
        <v>250</v>
      </c>
      <c r="T751" s="4" t="s">
        <v>507</v>
      </c>
      <c r="U751" s="4">
        <v>0</v>
      </c>
      <c r="V751" s="4">
        <v>28</v>
      </c>
      <c r="W751" s="4">
        <v>74</v>
      </c>
    </row>
    <row r="752" spans="1:23" ht="11.25" customHeight="1" x14ac:dyDescent="0.25">
      <c r="A752" s="4" t="s">
        <v>30</v>
      </c>
      <c r="B752" s="4" t="s">
        <v>41</v>
      </c>
      <c r="C752" s="4" t="s">
        <v>44</v>
      </c>
      <c r="D752" s="4" t="s">
        <v>40</v>
      </c>
      <c r="E752" s="4" t="s">
        <v>25</v>
      </c>
      <c r="F752" s="4" t="s">
        <v>25</v>
      </c>
      <c r="G752" s="4" t="s">
        <v>25</v>
      </c>
      <c r="H752" s="4" t="s">
        <v>36</v>
      </c>
      <c r="I752" s="5">
        <v>44621</v>
      </c>
      <c r="J752" s="6">
        <v>0</v>
      </c>
      <c r="K752" s="6">
        <v>0</v>
      </c>
      <c r="L752" s="6">
        <v>1.67</v>
      </c>
      <c r="M752" s="6">
        <v>1.67</v>
      </c>
      <c r="N752" s="6">
        <v>1.67</v>
      </c>
      <c r="O752" s="6">
        <v>1.67</v>
      </c>
      <c r="P752" s="6">
        <v>0</v>
      </c>
      <c r="Q752" s="4" t="s">
        <v>26</v>
      </c>
      <c r="R752" s="4">
        <v>0</v>
      </c>
      <c r="S752" s="4" t="s">
        <v>250</v>
      </c>
      <c r="T752" s="4" t="s">
        <v>507</v>
      </c>
      <c r="U752" s="4">
        <v>0</v>
      </c>
      <c r="V752" s="4">
        <v>28</v>
      </c>
      <c r="W752" s="4">
        <v>74</v>
      </c>
    </row>
    <row r="753" spans="1:23" ht="11.25" customHeight="1" x14ac:dyDescent="0.25">
      <c r="A753" s="4" t="s">
        <v>21</v>
      </c>
      <c r="B753" s="4" t="s">
        <v>41</v>
      </c>
      <c r="C753" s="4" t="s">
        <v>44</v>
      </c>
      <c r="D753" s="4" t="s">
        <v>40</v>
      </c>
      <c r="E753" s="4" t="s">
        <v>25</v>
      </c>
      <c r="F753" s="4" t="s">
        <v>25</v>
      </c>
      <c r="G753" s="4" t="s">
        <v>25</v>
      </c>
      <c r="H753" s="4" t="s">
        <v>36</v>
      </c>
      <c r="I753" s="5">
        <v>44652</v>
      </c>
      <c r="J753" s="6">
        <v>0</v>
      </c>
      <c r="K753" s="6">
        <v>0</v>
      </c>
      <c r="L753" s="6">
        <v>58.709000000000003</v>
      </c>
      <c r="M753" s="6">
        <v>58.709000000000003</v>
      </c>
      <c r="N753" s="6">
        <v>58.709000000000003</v>
      </c>
      <c r="O753" s="6">
        <v>58.709000000000003</v>
      </c>
      <c r="P753" s="6">
        <v>0</v>
      </c>
      <c r="Q753" s="4" t="s">
        <v>26</v>
      </c>
      <c r="R753" s="4">
        <v>0</v>
      </c>
      <c r="S753" s="4" t="s">
        <v>251</v>
      </c>
      <c r="T753" s="4" t="s">
        <v>508</v>
      </c>
      <c r="U753" s="4">
        <v>0</v>
      </c>
      <c r="V753" s="4">
        <v>28</v>
      </c>
      <c r="W753" s="4">
        <v>74</v>
      </c>
    </row>
    <row r="754" spans="1:23" ht="11.25" customHeight="1" x14ac:dyDescent="0.25">
      <c r="A754" s="4" t="s">
        <v>28</v>
      </c>
      <c r="B754" s="4" t="s">
        <v>41</v>
      </c>
      <c r="C754" s="4" t="s">
        <v>44</v>
      </c>
      <c r="D754" s="4" t="s">
        <v>40</v>
      </c>
      <c r="E754" s="4" t="s">
        <v>25</v>
      </c>
      <c r="F754" s="4" t="s">
        <v>25</v>
      </c>
      <c r="G754" s="4" t="s">
        <v>25</v>
      </c>
      <c r="H754" s="4" t="s">
        <v>36</v>
      </c>
      <c r="I754" s="5">
        <v>44652</v>
      </c>
      <c r="J754" s="6">
        <v>0</v>
      </c>
      <c r="K754" s="6">
        <v>0</v>
      </c>
      <c r="L754" s="6">
        <v>4.6589999999999998</v>
      </c>
      <c r="M754" s="6">
        <v>4.6589999999999998</v>
      </c>
      <c r="N754" s="6">
        <v>4.6589999999999998</v>
      </c>
      <c r="O754" s="6">
        <v>4.6589999999999998</v>
      </c>
      <c r="P754" s="6">
        <v>0</v>
      </c>
      <c r="Q754" s="4" t="s">
        <v>26</v>
      </c>
      <c r="R754" s="4">
        <v>0</v>
      </c>
      <c r="S754" s="4" t="s">
        <v>251</v>
      </c>
      <c r="T754" s="4" t="s">
        <v>508</v>
      </c>
      <c r="U754" s="4">
        <v>0</v>
      </c>
      <c r="V754" s="4">
        <v>28</v>
      </c>
      <c r="W754" s="4">
        <v>74</v>
      </c>
    </row>
    <row r="755" spans="1:23" ht="11.25" customHeight="1" x14ac:dyDescent="0.25">
      <c r="A755" s="4" t="s">
        <v>30</v>
      </c>
      <c r="B755" s="4" t="s">
        <v>41</v>
      </c>
      <c r="C755" s="4" t="s">
        <v>44</v>
      </c>
      <c r="D755" s="4" t="s">
        <v>40</v>
      </c>
      <c r="E755" s="4" t="s">
        <v>25</v>
      </c>
      <c r="F755" s="4" t="s">
        <v>25</v>
      </c>
      <c r="G755" s="4" t="s">
        <v>25</v>
      </c>
      <c r="H755" s="4" t="s">
        <v>36</v>
      </c>
      <c r="I755" s="5">
        <v>44652</v>
      </c>
      <c r="J755" s="6">
        <v>0</v>
      </c>
      <c r="K755" s="6">
        <v>0</v>
      </c>
      <c r="L755" s="6">
        <v>1.516</v>
      </c>
      <c r="M755" s="6">
        <v>1.516</v>
      </c>
      <c r="N755" s="6">
        <v>1.516</v>
      </c>
      <c r="O755" s="6">
        <v>1.516</v>
      </c>
      <c r="P755" s="6">
        <v>0</v>
      </c>
      <c r="Q755" s="4" t="s">
        <v>26</v>
      </c>
      <c r="R755" s="4">
        <v>0</v>
      </c>
      <c r="S755" s="4" t="s">
        <v>251</v>
      </c>
      <c r="T755" s="4" t="s">
        <v>508</v>
      </c>
      <c r="U755" s="4">
        <v>0</v>
      </c>
      <c r="V755" s="4">
        <v>28</v>
      </c>
      <c r="W755" s="4">
        <v>74</v>
      </c>
    </row>
    <row r="756" spans="1:23" ht="11.25" customHeight="1" x14ac:dyDescent="0.25">
      <c r="A756" s="4" t="s">
        <v>21</v>
      </c>
      <c r="B756" s="4" t="s">
        <v>41</v>
      </c>
      <c r="C756" s="4" t="s">
        <v>44</v>
      </c>
      <c r="D756" s="4" t="s">
        <v>40</v>
      </c>
      <c r="E756" s="4" t="s">
        <v>25</v>
      </c>
      <c r="F756" s="4" t="s">
        <v>25</v>
      </c>
      <c r="G756" s="4" t="s">
        <v>25</v>
      </c>
      <c r="H756" s="4" t="s">
        <v>36</v>
      </c>
      <c r="I756" s="5">
        <v>44682</v>
      </c>
      <c r="J756" s="6">
        <v>0</v>
      </c>
      <c r="K756" s="6">
        <v>0</v>
      </c>
      <c r="L756" s="6">
        <v>56.252000000000002</v>
      </c>
      <c r="M756" s="6">
        <v>56.252000000000002</v>
      </c>
      <c r="N756" s="6">
        <v>56.252000000000002</v>
      </c>
      <c r="O756" s="6">
        <v>56.252000000000002</v>
      </c>
      <c r="P756" s="6">
        <v>0</v>
      </c>
      <c r="Q756" s="4" t="s">
        <v>26</v>
      </c>
      <c r="R756" s="4">
        <v>0</v>
      </c>
      <c r="S756" s="4" t="s">
        <v>252</v>
      </c>
      <c r="T756" s="4" t="s">
        <v>509</v>
      </c>
      <c r="U756" s="4">
        <v>0</v>
      </c>
      <c r="V756" s="4">
        <v>28</v>
      </c>
      <c r="W756" s="4">
        <v>74</v>
      </c>
    </row>
    <row r="757" spans="1:23" ht="11.25" customHeight="1" x14ac:dyDescent="0.25">
      <c r="A757" s="4" t="s">
        <v>28</v>
      </c>
      <c r="B757" s="4" t="s">
        <v>41</v>
      </c>
      <c r="C757" s="4" t="s">
        <v>44</v>
      </c>
      <c r="D757" s="4" t="s">
        <v>40</v>
      </c>
      <c r="E757" s="4" t="s">
        <v>25</v>
      </c>
      <c r="F757" s="4" t="s">
        <v>25</v>
      </c>
      <c r="G757" s="4" t="s">
        <v>25</v>
      </c>
      <c r="H757" s="4" t="s">
        <v>36</v>
      </c>
      <c r="I757" s="5">
        <v>44682</v>
      </c>
      <c r="J757" s="6">
        <v>0</v>
      </c>
      <c r="K757" s="6">
        <v>0</v>
      </c>
      <c r="L757" s="6">
        <v>4.3360000000000003</v>
      </c>
      <c r="M757" s="6">
        <v>4.3360000000000003</v>
      </c>
      <c r="N757" s="6">
        <v>4.3360000000000003</v>
      </c>
      <c r="O757" s="6">
        <v>4.3360000000000003</v>
      </c>
      <c r="P757" s="6">
        <v>0</v>
      </c>
      <c r="Q757" s="4" t="s">
        <v>26</v>
      </c>
      <c r="R757" s="4">
        <v>0</v>
      </c>
      <c r="S757" s="4" t="s">
        <v>252</v>
      </c>
      <c r="T757" s="4" t="s">
        <v>509</v>
      </c>
      <c r="U757" s="4">
        <v>0</v>
      </c>
      <c r="V757" s="4">
        <v>28</v>
      </c>
      <c r="W757" s="4">
        <v>74</v>
      </c>
    </row>
    <row r="758" spans="1:23" ht="11.25" customHeight="1" x14ac:dyDescent="0.25">
      <c r="A758" s="4" t="s">
        <v>30</v>
      </c>
      <c r="B758" s="4" t="s">
        <v>41</v>
      </c>
      <c r="C758" s="4" t="s">
        <v>44</v>
      </c>
      <c r="D758" s="4" t="s">
        <v>40</v>
      </c>
      <c r="E758" s="4" t="s">
        <v>25</v>
      </c>
      <c r="F758" s="4" t="s">
        <v>25</v>
      </c>
      <c r="G758" s="4" t="s">
        <v>25</v>
      </c>
      <c r="H758" s="4" t="s">
        <v>36</v>
      </c>
      <c r="I758" s="5">
        <v>44682</v>
      </c>
      <c r="J758" s="6">
        <v>0</v>
      </c>
      <c r="K758" s="6">
        <v>0</v>
      </c>
      <c r="L758" s="6">
        <v>1.5629999999999999</v>
      </c>
      <c r="M758" s="6">
        <v>1.5629999999999999</v>
      </c>
      <c r="N758" s="6">
        <v>1.5629999999999999</v>
      </c>
      <c r="O758" s="6">
        <v>1.5629999999999999</v>
      </c>
      <c r="P758" s="6">
        <v>0</v>
      </c>
      <c r="Q758" s="4" t="s">
        <v>26</v>
      </c>
      <c r="R758" s="4">
        <v>0</v>
      </c>
      <c r="S758" s="4" t="s">
        <v>252</v>
      </c>
      <c r="T758" s="4" t="s">
        <v>509</v>
      </c>
      <c r="U758" s="4">
        <v>0</v>
      </c>
      <c r="V758" s="4">
        <v>28</v>
      </c>
      <c r="W758" s="4">
        <v>74</v>
      </c>
    </row>
    <row r="759" spans="1:23" ht="11.25" customHeight="1" x14ac:dyDescent="0.25">
      <c r="A759" s="4" t="s">
        <v>21</v>
      </c>
      <c r="B759" s="4" t="s">
        <v>41</v>
      </c>
      <c r="C759" s="4" t="s">
        <v>44</v>
      </c>
      <c r="D759" s="4" t="s">
        <v>40</v>
      </c>
      <c r="E759" s="4" t="s">
        <v>25</v>
      </c>
      <c r="F759" s="4" t="s">
        <v>25</v>
      </c>
      <c r="G759" s="4" t="s">
        <v>25</v>
      </c>
      <c r="H759" s="4" t="s">
        <v>36</v>
      </c>
      <c r="I759" s="5">
        <v>44713</v>
      </c>
      <c r="J759" s="6">
        <v>0</v>
      </c>
      <c r="K759" s="6">
        <v>0</v>
      </c>
      <c r="L759" s="6">
        <v>52.558</v>
      </c>
      <c r="M759" s="6">
        <v>52.558</v>
      </c>
      <c r="N759" s="6">
        <v>52.558</v>
      </c>
      <c r="O759" s="6">
        <v>52.558</v>
      </c>
      <c r="P759" s="6">
        <v>0</v>
      </c>
      <c r="Q759" s="4" t="s">
        <v>26</v>
      </c>
      <c r="R759" s="4">
        <v>0</v>
      </c>
      <c r="S759" s="4" t="s">
        <v>253</v>
      </c>
      <c r="T759" s="4" t="s">
        <v>510</v>
      </c>
      <c r="U759" s="4">
        <v>0</v>
      </c>
      <c r="V759" s="4">
        <v>28</v>
      </c>
      <c r="W759" s="4">
        <v>74</v>
      </c>
    </row>
    <row r="760" spans="1:23" ht="11.25" customHeight="1" x14ac:dyDescent="0.25">
      <c r="A760" s="4" t="s">
        <v>27</v>
      </c>
      <c r="B760" s="4" t="s">
        <v>41</v>
      </c>
      <c r="C760" s="4" t="s">
        <v>44</v>
      </c>
      <c r="D760" s="4" t="s">
        <v>40</v>
      </c>
      <c r="E760" s="4" t="s">
        <v>25</v>
      </c>
      <c r="F760" s="4" t="s">
        <v>25</v>
      </c>
      <c r="G760" s="4" t="s">
        <v>25</v>
      </c>
      <c r="H760" s="4" t="s">
        <v>36</v>
      </c>
      <c r="I760" s="5">
        <v>44713</v>
      </c>
      <c r="J760" s="6">
        <v>0</v>
      </c>
      <c r="K760" s="6">
        <v>0</v>
      </c>
      <c r="L760" s="6">
        <v>-1.1200000000000001</v>
      </c>
      <c r="M760" s="6">
        <v>-1.1200000000000001</v>
      </c>
      <c r="N760" s="6">
        <v>-1.1200000000000001</v>
      </c>
      <c r="O760" s="6">
        <v>-1.1200000000000001</v>
      </c>
      <c r="P760" s="6">
        <v>0</v>
      </c>
      <c r="Q760" s="4" t="s">
        <v>26</v>
      </c>
      <c r="R760" s="4">
        <v>0</v>
      </c>
      <c r="S760" s="4" t="s">
        <v>253</v>
      </c>
      <c r="T760" s="4" t="s">
        <v>510</v>
      </c>
      <c r="U760" s="4">
        <v>0</v>
      </c>
      <c r="V760" s="4">
        <v>28</v>
      </c>
      <c r="W760" s="4">
        <v>74</v>
      </c>
    </row>
    <row r="761" spans="1:23" ht="11.25" customHeight="1" x14ac:dyDescent="0.25">
      <c r="A761" s="4" t="s">
        <v>28</v>
      </c>
      <c r="B761" s="4" t="s">
        <v>41</v>
      </c>
      <c r="C761" s="4" t="s">
        <v>44</v>
      </c>
      <c r="D761" s="4" t="s">
        <v>40</v>
      </c>
      <c r="E761" s="4" t="s">
        <v>25</v>
      </c>
      <c r="F761" s="4" t="s">
        <v>25</v>
      </c>
      <c r="G761" s="4" t="s">
        <v>25</v>
      </c>
      <c r="H761" s="4" t="s">
        <v>36</v>
      </c>
      <c r="I761" s="5">
        <v>44713</v>
      </c>
      <c r="J761" s="6">
        <v>0</v>
      </c>
      <c r="K761" s="6">
        <v>0</v>
      </c>
      <c r="L761" s="6">
        <v>4.2329999999999997</v>
      </c>
      <c r="M761" s="6">
        <v>4.2329999999999997</v>
      </c>
      <c r="N761" s="6">
        <v>4.2329999999999997</v>
      </c>
      <c r="O761" s="6">
        <v>4.2329999999999997</v>
      </c>
      <c r="P761" s="6">
        <v>0</v>
      </c>
      <c r="Q761" s="4" t="s">
        <v>26</v>
      </c>
      <c r="R761" s="4">
        <v>0</v>
      </c>
      <c r="S761" s="4" t="s">
        <v>253</v>
      </c>
      <c r="T761" s="4" t="s">
        <v>510</v>
      </c>
      <c r="U761" s="4">
        <v>0</v>
      </c>
      <c r="V761" s="4">
        <v>28</v>
      </c>
      <c r="W761" s="4">
        <v>74</v>
      </c>
    </row>
    <row r="762" spans="1:23" ht="11.25" customHeight="1" x14ac:dyDescent="0.25">
      <c r="A762" s="4" t="s">
        <v>30</v>
      </c>
      <c r="B762" s="4" t="s">
        <v>41</v>
      </c>
      <c r="C762" s="4" t="s">
        <v>44</v>
      </c>
      <c r="D762" s="4" t="s">
        <v>40</v>
      </c>
      <c r="E762" s="4" t="s">
        <v>25</v>
      </c>
      <c r="F762" s="4" t="s">
        <v>25</v>
      </c>
      <c r="G762" s="4" t="s">
        <v>25</v>
      </c>
      <c r="H762" s="4" t="s">
        <v>36</v>
      </c>
      <c r="I762" s="5">
        <v>44713</v>
      </c>
      <c r="J762" s="6">
        <v>0</v>
      </c>
      <c r="K762" s="6">
        <v>0</v>
      </c>
      <c r="L762" s="6">
        <v>1.599</v>
      </c>
      <c r="M762" s="6">
        <v>1.599</v>
      </c>
      <c r="N762" s="6">
        <v>1.599</v>
      </c>
      <c r="O762" s="6">
        <v>1.599</v>
      </c>
      <c r="P762" s="6">
        <v>0</v>
      </c>
      <c r="Q762" s="4" t="s">
        <v>26</v>
      </c>
      <c r="R762" s="4">
        <v>0</v>
      </c>
      <c r="S762" s="4" t="s">
        <v>253</v>
      </c>
      <c r="T762" s="4" t="s">
        <v>510</v>
      </c>
      <c r="U762" s="4">
        <v>0</v>
      </c>
      <c r="V762" s="4">
        <v>28</v>
      </c>
      <c r="W762" s="4">
        <v>74</v>
      </c>
    </row>
    <row r="763" spans="1:23" ht="11.25" customHeight="1" x14ac:dyDescent="0.25">
      <c r="A763" s="4" t="s">
        <v>21</v>
      </c>
      <c r="B763" s="4" t="s">
        <v>41</v>
      </c>
      <c r="C763" s="4" t="s">
        <v>44</v>
      </c>
      <c r="D763" s="4" t="s">
        <v>40</v>
      </c>
      <c r="E763" s="4" t="s">
        <v>25</v>
      </c>
      <c r="F763" s="4" t="s">
        <v>25</v>
      </c>
      <c r="G763" s="4" t="s">
        <v>25</v>
      </c>
      <c r="H763" s="4" t="s">
        <v>36</v>
      </c>
      <c r="I763" s="5">
        <v>44743</v>
      </c>
      <c r="J763" s="6">
        <v>0</v>
      </c>
      <c r="K763" s="6">
        <v>0</v>
      </c>
      <c r="L763" s="6">
        <v>56.893000000000001</v>
      </c>
      <c r="M763" s="6">
        <v>56.893000000000001</v>
      </c>
      <c r="N763" s="6">
        <v>56.893000000000001</v>
      </c>
      <c r="O763" s="6">
        <v>56.893000000000001</v>
      </c>
      <c r="P763" s="6">
        <v>0</v>
      </c>
      <c r="Q763" s="4" t="s">
        <v>26</v>
      </c>
      <c r="R763" s="4">
        <v>0</v>
      </c>
      <c r="S763" s="4" t="s">
        <v>254</v>
      </c>
      <c r="T763" s="4" t="s">
        <v>511</v>
      </c>
      <c r="U763" s="4">
        <v>0</v>
      </c>
      <c r="V763" s="4">
        <v>28</v>
      </c>
      <c r="W763" s="4">
        <v>74</v>
      </c>
    </row>
    <row r="764" spans="1:23" ht="11.25" customHeight="1" x14ac:dyDescent="0.25">
      <c r="A764" s="4" t="s">
        <v>28</v>
      </c>
      <c r="B764" s="4" t="s">
        <v>41</v>
      </c>
      <c r="C764" s="4" t="s">
        <v>44</v>
      </c>
      <c r="D764" s="4" t="s">
        <v>40</v>
      </c>
      <c r="E764" s="4" t="s">
        <v>25</v>
      </c>
      <c r="F764" s="4" t="s">
        <v>25</v>
      </c>
      <c r="G764" s="4" t="s">
        <v>25</v>
      </c>
      <c r="H764" s="4" t="s">
        <v>36</v>
      </c>
      <c r="I764" s="5">
        <v>44743</v>
      </c>
      <c r="J764" s="6">
        <v>0</v>
      </c>
      <c r="K764" s="6">
        <v>0</v>
      </c>
      <c r="L764" s="6">
        <v>4.8179999999999996</v>
      </c>
      <c r="M764" s="6">
        <v>4.8179999999999996</v>
      </c>
      <c r="N764" s="6">
        <v>4.8179999999999996</v>
      </c>
      <c r="O764" s="6">
        <v>4.8179999999999996</v>
      </c>
      <c r="P764" s="6">
        <v>0</v>
      </c>
      <c r="Q764" s="4" t="s">
        <v>26</v>
      </c>
      <c r="R764" s="4">
        <v>0</v>
      </c>
      <c r="S764" s="4" t="s">
        <v>254</v>
      </c>
      <c r="T764" s="4" t="s">
        <v>511</v>
      </c>
      <c r="U764" s="4">
        <v>0</v>
      </c>
      <c r="V764" s="4">
        <v>28</v>
      </c>
      <c r="W764" s="4">
        <v>74</v>
      </c>
    </row>
    <row r="765" spans="1:23" ht="11.25" customHeight="1" x14ac:dyDescent="0.25">
      <c r="A765" s="4" t="s">
        <v>30</v>
      </c>
      <c r="B765" s="4" t="s">
        <v>41</v>
      </c>
      <c r="C765" s="4" t="s">
        <v>44</v>
      </c>
      <c r="D765" s="4" t="s">
        <v>40</v>
      </c>
      <c r="E765" s="4" t="s">
        <v>25</v>
      </c>
      <c r="F765" s="4" t="s">
        <v>25</v>
      </c>
      <c r="G765" s="4" t="s">
        <v>25</v>
      </c>
      <c r="H765" s="4" t="s">
        <v>36</v>
      </c>
      <c r="I765" s="5">
        <v>44743</v>
      </c>
      <c r="J765" s="6">
        <v>0</v>
      </c>
      <c r="K765" s="6">
        <v>0</v>
      </c>
      <c r="L765" s="6">
        <v>2.8719999999999999</v>
      </c>
      <c r="M765" s="6">
        <v>2.8719999999999999</v>
      </c>
      <c r="N765" s="6">
        <v>2.8719999999999999</v>
      </c>
      <c r="O765" s="6">
        <v>2.8719999999999999</v>
      </c>
      <c r="P765" s="6">
        <v>0</v>
      </c>
      <c r="Q765" s="4" t="s">
        <v>26</v>
      </c>
      <c r="R765" s="4">
        <v>0</v>
      </c>
      <c r="S765" s="4" t="s">
        <v>254</v>
      </c>
      <c r="T765" s="4" t="s">
        <v>511</v>
      </c>
      <c r="U765" s="4">
        <v>0</v>
      </c>
      <c r="V765" s="4">
        <v>28</v>
      </c>
      <c r="W765" s="4">
        <v>74</v>
      </c>
    </row>
    <row r="766" spans="1:23" ht="11.25" customHeight="1" x14ac:dyDescent="0.25">
      <c r="A766" s="4" t="s">
        <v>21</v>
      </c>
      <c r="B766" s="4" t="s">
        <v>41</v>
      </c>
      <c r="C766" s="4" t="s">
        <v>44</v>
      </c>
      <c r="D766" s="4" t="s">
        <v>40</v>
      </c>
      <c r="E766" s="4" t="s">
        <v>25</v>
      </c>
      <c r="F766" s="4" t="s">
        <v>25</v>
      </c>
      <c r="G766" s="4" t="s">
        <v>25</v>
      </c>
      <c r="H766" s="4" t="s">
        <v>36</v>
      </c>
      <c r="I766" s="5">
        <v>44774</v>
      </c>
      <c r="J766" s="6">
        <v>0</v>
      </c>
      <c r="K766" s="6">
        <v>0</v>
      </c>
      <c r="L766" s="6">
        <v>57.814999999999998</v>
      </c>
      <c r="M766" s="6">
        <v>57.814999999999998</v>
      </c>
      <c r="N766" s="6">
        <v>57.814999999999998</v>
      </c>
      <c r="O766" s="6">
        <v>57.814999999999998</v>
      </c>
      <c r="P766" s="6">
        <v>0</v>
      </c>
      <c r="Q766" s="4" t="s">
        <v>26</v>
      </c>
      <c r="R766" s="4">
        <v>0</v>
      </c>
      <c r="S766" s="4" t="s">
        <v>255</v>
      </c>
      <c r="T766" s="4" t="s">
        <v>512</v>
      </c>
      <c r="U766" s="4">
        <v>0</v>
      </c>
      <c r="V766" s="4">
        <v>28</v>
      </c>
      <c r="W766" s="4">
        <v>74</v>
      </c>
    </row>
    <row r="767" spans="1:23" ht="11.25" customHeight="1" x14ac:dyDescent="0.25">
      <c r="A767" s="4" t="s">
        <v>28</v>
      </c>
      <c r="B767" s="4" t="s">
        <v>41</v>
      </c>
      <c r="C767" s="4" t="s">
        <v>44</v>
      </c>
      <c r="D767" s="4" t="s">
        <v>40</v>
      </c>
      <c r="E767" s="4" t="s">
        <v>25</v>
      </c>
      <c r="F767" s="4" t="s">
        <v>25</v>
      </c>
      <c r="G767" s="4" t="s">
        <v>25</v>
      </c>
      <c r="H767" s="4" t="s">
        <v>36</v>
      </c>
      <c r="I767" s="5">
        <v>44774</v>
      </c>
      <c r="J767" s="6">
        <v>0</v>
      </c>
      <c r="K767" s="6">
        <v>0</v>
      </c>
      <c r="L767" s="6">
        <v>5.4219999999999997</v>
      </c>
      <c r="M767" s="6">
        <v>5.4219999999999997</v>
      </c>
      <c r="N767" s="6">
        <v>5.4219999999999997</v>
      </c>
      <c r="O767" s="6">
        <v>5.4219999999999997</v>
      </c>
      <c r="P767" s="6">
        <v>0</v>
      </c>
      <c r="Q767" s="4" t="s">
        <v>26</v>
      </c>
      <c r="R767" s="4">
        <v>0</v>
      </c>
      <c r="S767" s="4" t="s">
        <v>255</v>
      </c>
      <c r="T767" s="4" t="s">
        <v>512</v>
      </c>
      <c r="U767" s="4">
        <v>0</v>
      </c>
      <c r="V767" s="4">
        <v>28</v>
      </c>
      <c r="W767" s="4">
        <v>74</v>
      </c>
    </row>
    <row r="768" spans="1:23" ht="11.25" customHeight="1" x14ac:dyDescent="0.25">
      <c r="A768" s="4" t="s">
        <v>30</v>
      </c>
      <c r="B768" s="4" t="s">
        <v>41</v>
      </c>
      <c r="C768" s="4" t="s">
        <v>44</v>
      </c>
      <c r="D768" s="4" t="s">
        <v>40</v>
      </c>
      <c r="E768" s="4" t="s">
        <v>25</v>
      </c>
      <c r="F768" s="4" t="s">
        <v>25</v>
      </c>
      <c r="G768" s="4" t="s">
        <v>25</v>
      </c>
      <c r="H768" s="4" t="s">
        <v>36</v>
      </c>
      <c r="I768" s="5">
        <v>44774</v>
      </c>
      <c r="J768" s="6">
        <v>0</v>
      </c>
      <c r="K768" s="6">
        <v>0</v>
      </c>
      <c r="L768" s="6">
        <v>2.7450000000000001</v>
      </c>
      <c r="M768" s="6">
        <v>2.7450000000000001</v>
      </c>
      <c r="N768" s="6">
        <v>2.7450000000000001</v>
      </c>
      <c r="O768" s="6">
        <v>2.7450000000000001</v>
      </c>
      <c r="P768" s="6">
        <v>0</v>
      </c>
      <c r="Q768" s="4" t="s">
        <v>26</v>
      </c>
      <c r="R768" s="4">
        <v>0</v>
      </c>
      <c r="S768" s="4" t="s">
        <v>255</v>
      </c>
      <c r="T768" s="4" t="s">
        <v>512</v>
      </c>
      <c r="U768" s="4">
        <v>0</v>
      </c>
      <c r="V768" s="4">
        <v>28</v>
      </c>
      <c r="W768" s="4">
        <v>74</v>
      </c>
    </row>
    <row r="769" spans="1:23" ht="11.25" customHeight="1" x14ac:dyDescent="0.25">
      <c r="A769" s="4" t="s">
        <v>21</v>
      </c>
      <c r="B769" s="4" t="s">
        <v>41</v>
      </c>
      <c r="C769" s="4" t="s">
        <v>44</v>
      </c>
      <c r="D769" s="4" t="s">
        <v>40</v>
      </c>
      <c r="E769" s="4" t="s">
        <v>25</v>
      </c>
      <c r="F769" s="4" t="s">
        <v>25</v>
      </c>
      <c r="G769" s="4" t="s">
        <v>25</v>
      </c>
      <c r="H769" s="4" t="s">
        <v>36</v>
      </c>
      <c r="I769" s="5">
        <v>44805</v>
      </c>
      <c r="J769" s="6">
        <v>0</v>
      </c>
      <c r="K769" s="6">
        <v>0</v>
      </c>
      <c r="L769" s="6">
        <v>60.07</v>
      </c>
      <c r="M769" s="6">
        <v>60.07</v>
      </c>
      <c r="N769" s="6">
        <v>60.07</v>
      </c>
      <c r="O769" s="6">
        <v>60.07</v>
      </c>
      <c r="P769" s="6">
        <v>0</v>
      </c>
      <c r="Q769" s="4" t="s">
        <v>26</v>
      </c>
      <c r="R769" s="4">
        <v>0</v>
      </c>
      <c r="S769" s="4" t="s">
        <v>256</v>
      </c>
      <c r="T769" s="4" t="s">
        <v>513</v>
      </c>
      <c r="U769" s="4">
        <v>0</v>
      </c>
      <c r="V769" s="4">
        <v>28</v>
      </c>
      <c r="W769" s="4">
        <v>74</v>
      </c>
    </row>
    <row r="770" spans="1:23" ht="11.25" customHeight="1" x14ac:dyDescent="0.25">
      <c r="A770" s="4" t="s">
        <v>28</v>
      </c>
      <c r="B770" s="4" t="s">
        <v>41</v>
      </c>
      <c r="C770" s="4" t="s">
        <v>44</v>
      </c>
      <c r="D770" s="4" t="s">
        <v>40</v>
      </c>
      <c r="E770" s="4" t="s">
        <v>25</v>
      </c>
      <c r="F770" s="4" t="s">
        <v>25</v>
      </c>
      <c r="G770" s="4" t="s">
        <v>25</v>
      </c>
      <c r="H770" s="4" t="s">
        <v>36</v>
      </c>
      <c r="I770" s="5">
        <v>44805</v>
      </c>
      <c r="J770" s="6">
        <v>0</v>
      </c>
      <c r="K770" s="6">
        <v>0</v>
      </c>
      <c r="L770" s="6">
        <v>5.1840000000000002</v>
      </c>
      <c r="M770" s="6">
        <v>5.1840000000000002</v>
      </c>
      <c r="N770" s="6">
        <v>5.1840000000000002</v>
      </c>
      <c r="O770" s="6">
        <v>5.1840000000000002</v>
      </c>
      <c r="P770" s="6">
        <v>0</v>
      </c>
      <c r="Q770" s="4" t="s">
        <v>26</v>
      </c>
      <c r="R770" s="4">
        <v>0</v>
      </c>
      <c r="S770" s="4" t="s">
        <v>256</v>
      </c>
      <c r="T770" s="4" t="s">
        <v>513</v>
      </c>
      <c r="U770" s="4">
        <v>0</v>
      </c>
      <c r="V770" s="4">
        <v>28</v>
      </c>
      <c r="W770" s="4">
        <v>74</v>
      </c>
    </row>
    <row r="771" spans="1:23" ht="11.25" customHeight="1" x14ac:dyDescent="0.25">
      <c r="A771" s="4" t="s">
        <v>30</v>
      </c>
      <c r="B771" s="4" t="s">
        <v>41</v>
      </c>
      <c r="C771" s="4" t="s">
        <v>44</v>
      </c>
      <c r="D771" s="4" t="s">
        <v>40</v>
      </c>
      <c r="E771" s="4" t="s">
        <v>25</v>
      </c>
      <c r="F771" s="4" t="s">
        <v>25</v>
      </c>
      <c r="G771" s="4" t="s">
        <v>25</v>
      </c>
      <c r="H771" s="4" t="s">
        <v>36</v>
      </c>
      <c r="I771" s="5">
        <v>44805</v>
      </c>
      <c r="J771" s="6">
        <v>0</v>
      </c>
      <c r="K771" s="6">
        <v>0</v>
      </c>
      <c r="L771" s="6">
        <v>2.657</v>
      </c>
      <c r="M771" s="6">
        <v>2.657</v>
      </c>
      <c r="N771" s="6">
        <v>2.657</v>
      </c>
      <c r="O771" s="6">
        <v>2.657</v>
      </c>
      <c r="P771" s="6">
        <v>0</v>
      </c>
      <c r="Q771" s="4" t="s">
        <v>26</v>
      </c>
      <c r="R771" s="4">
        <v>0</v>
      </c>
      <c r="S771" s="4" t="s">
        <v>256</v>
      </c>
      <c r="T771" s="4" t="s">
        <v>513</v>
      </c>
      <c r="U771" s="4">
        <v>0</v>
      </c>
      <c r="V771" s="4">
        <v>28</v>
      </c>
      <c r="W771" s="4">
        <v>74</v>
      </c>
    </row>
    <row r="772" spans="1:23" ht="11.25" customHeight="1" x14ac:dyDescent="0.25">
      <c r="A772" s="4" t="s">
        <v>21</v>
      </c>
      <c r="B772" s="4" t="s">
        <v>41</v>
      </c>
      <c r="C772" s="4" t="s">
        <v>44</v>
      </c>
      <c r="D772" s="4" t="s">
        <v>40</v>
      </c>
      <c r="E772" s="4" t="s">
        <v>25</v>
      </c>
      <c r="F772" s="4" t="s">
        <v>25</v>
      </c>
      <c r="G772" s="4" t="s">
        <v>25</v>
      </c>
      <c r="H772" s="4" t="s">
        <v>36</v>
      </c>
      <c r="I772" s="5">
        <v>44835</v>
      </c>
      <c r="J772" s="6">
        <v>0</v>
      </c>
      <c r="K772" s="6">
        <v>0</v>
      </c>
      <c r="L772" s="6">
        <v>71</v>
      </c>
      <c r="M772" s="6">
        <v>71</v>
      </c>
      <c r="N772" s="6">
        <v>71</v>
      </c>
      <c r="O772" s="6">
        <v>71</v>
      </c>
      <c r="P772" s="6">
        <v>0</v>
      </c>
      <c r="Q772" s="4" t="s">
        <v>26</v>
      </c>
      <c r="R772" s="4">
        <v>0</v>
      </c>
      <c r="S772" s="4" t="s">
        <v>257</v>
      </c>
      <c r="T772" s="4" t="s">
        <v>514</v>
      </c>
      <c r="U772" s="4">
        <v>0</v>
      </c>
      <c r="V772" s="4">
        <v>28</v>
      </c>
      <c r="W772" s="4">
        <v>74</v>
      </c>
    </row>
    <row r="773" spans="1:23" ht="11.25" customHeight="1" x14ac:dyDescent="0.25">
      <c r="A773" s="4" t="s">
        <v>28</v>
      </c>
      <c r="B773" s="4" t="s">
        <v>41</v>
      </c>
      <c r="C773" s="4" t="s">
        <v>44</v>
      </c>
      <c r="D773" s="4" t="s">
        <v>40</v>
      </c>
      <c r="E773" s="4" t="s">
        <v>25</v>
      </c>
      <c r="F773" s="4" t="s">
        <v>25</v>
      </c>
      <c r="G773" s="4" t="s">
        <v>25</v>
      </c>
      <c r="H773" s="4" t="s">
        <v>36</v>
      </c>
      <c r="I773" s="5">
        <v>44835</v>
      </c>
      <c r="J773" s="6">
        <v>0</v>
      </c>
      <c r="K773" s="6">
        <v>0</v>
      </c>
      <c r="L773" s="6">
        <v>4.9000000000000004</v>
      </c>
      <c r="M773" s="6">
        <v>4.9000000000000004</v>
      </c>
      <c r="N773" s="6">
        <v>4.9000000000000004</v>
      </c>
      <c r="O773" s="6">
        <v>4.9000000000000004</v>
      </c>
      <c r="P773" s="6">
        <v>0</v>
      </c>
      <c r="Q773" s="4" t="s">
        <v>26</v>
      </c>
      <c r="R773" s="4">
        <v>0</v>
      </c>
      <c r="S773" s="4" t="s">
        <v>257</v>
      </c>
      <c r="T773" s="4" t="s">
        <v>514</v>
      </c>
      <c r="U773" s="4">
        <v>0</v>
      </c>
      <c r="V773" s="4">
        <v>28</v>
      </c>
      <c r="W773" s="4">
        <v>74</v>
      </c>
    </row>
    <row r="774" spans="1:23" ht="11.25" customHeight="1" x14ac:dyDescent="0.25">
      <c r="A774" s="4" t="s">
        <v>30</v>
      </c>
      <c r="B774" s="4" t="s">
        <v>41</v>
      </c>
      <c r="C774" s="4" t="s">
        <v>44</v>
      </c>
      <c r="D774" s="4" t="s">
        <v>40</v>
      </c>
      <c r="E774" s="4" t="s">
        <v>25</v>
      </c>
      <c r="F774" s="4" t="s">
        <v>25</v>
      </c>
      <c r="G774" s="4" t="s">
        <v>25</v>
      </c>
      <c r="H774" s="4" t="s">
        <v>36</v>
      </c>
      <c r="I774" s="5">
        <v>44835</v>
      </c>
      <c r="J774" s="6">
        <v>0</v>
      </c>
      <c r="K774" s="6">
        <v>0</v>
      </c>
      <c r="L774" s="6">
        <v>2.5640000000000001</v>
      </c>
      <c r="M774" s="6">
        <v>2.5640000000000001</v>
      </c>
      <c r="N774" s="6">
        <v>2.5640000000000001</v>
      </c>
      <c r="O774" s="6">
        <v>2.5640000000000001</v>
      </c>
      <c r="P774" s="6">
        <v>0</v>
      </c>
      <c r="Q774" s="4" t="s">
        <v>26</v>
      </c>
      <c r="R774" s="4">
        <v>0</v>
      </c>
      <c r="S774" s="4" t="s">
        <v>257</v>
      </c>
      <c r="T774" s="4" t="s">
        <v>514</v>
      </c>
      <c r="U774" s="4">
        <v>0</v>
      </c>
      <c r="V774" s="4">
        <v>28</v>
      </c>
      <c r="W774" s="4">
        <v>74</v>
      </c>
    </row>
    <row r="775" spans="1:23" ht="11.25" customHeight="1" x14ac:dyDescent="0.25">
      <c r="A775" s="4" t="s">
        <v>59</v>
      </c>
      <c r="B775" s="4" t="s">
        <v>41</v>
      </c>
      <c r="C775" s="4" t="s">
        <v>44</v>
      </c>
      <c r="D775" s="4" t="s">
        <v>40</v>
      </c>
      <c r="E775" s="4" t="s">
        <v>25</v>
      </c>
      <c r="F775" s="4" t="s">
        <v>25</v>
      </c>
      <c r="G775" s="4" t="s">
        <v>25</v>
      </c>
      <c r="H775" s="4" t="s">
        <v>36</v>
      </c>
      <c r="I775" s="5">
        <v>44866</v>
      </c>
      <c r="J775" s="6">
        <v>0</v>
      </c>
      <c r="K775" s="6">
        <v>0</v>
      </c>
      <c r="L775" s="6">
        <v>71</v>
      </c>
      <c r="M775" s="6">
        <v>71</v>
      </c>
      <c r="N775" s="6">
        <v>71</v>
      </c>
      <c r="O775" s="6">
        <v>71</v>
      </c>
      <c r="P775" s="6">
        <v>0</v>
      </c>
      <c r="Q775" s="4" t="s">
        <v>26</v>
      </c>
      <c r="R775" s="4">
        <v>0</v>
      </c>
      <c r="S775" s="4" t="s">
        <v>258</v>
      </c>
      <c r="T775" s="4" t="s">
        <v>515</v>
      </c>
      <c r="U775" s="4">
        <v>0</v>
      </c>
      <c r="V775" s="4">
        <v>28</v>
      </c>
      <c r="W775" s="4">
        <v>74</v>
      </c>
    </row>
    <row r="776" spans="1:23" ht="11.25" customHeight="1" x14ac:dyDescent="0.25">
      <c r="A776" s="4" t="s">
        <v>59</v>
      </c>
      <c r="B776" s="4" t="s">
        <v>41</v>
      </c>
      <c r="C776" s="4" t="s">
        <v>44</v>
      </c>
      <c r="D776" s="4" t="s">
        <v>40</v>
      </c>
      <c r="E776" s="4" t="s">
        <v>25</v>
      </c>
      <c r="F776" s="4" t="s">
        <v>25</v>
      </c>
      <c r="G776" s="4" t="s">
        <v>25</v>
      </c>
      <c r="H776" s="4" t="s">
        <v>36</v>
      </c>
      <c r="I776" s="5">
        <v>44866</v>
      </c>
      <c r="J776" s="6">
        <v>0</v>
      </c>
      <c r="K776" s="6">
        <v>0</v>
      </c>
      <c r="L776" s="6">
        <v>4.9000000000000004</v>
      </c>
      <c r="M776" s="6">
        <v>4.9000000000000004</v>
      </c>
      <c r="N776" s="6">
        <v>4.9000000000000004</v>
      </c>
      <c r="O776" s="6">
        <v>4.9000000000000004</v>
      </c>
      <c r="P776" s="6">
        <v>0</v>
      </c>
      <c r="Q776" s="4" t="s">
        <v>26</v>
      </c>
      <c r="R776" s="4">
        <v>0</v>
      </c>
      <c r="S776" s="4" t="s">
        <v>258</v>
      </c>
      <c r="T776" s="4" t="s">
        <v>515</v>
      </c>
      <c r="U776" s="4">
        <v>0</v>
      </c>
      <c r="V776" s="4">
        <v>28</v>
      </c>
      <c r="W776" s="4">
        <v>74</v>
      </c>
    </row>
    <row r="777" spans="1:23" ht="11.25" customHeight="1" x14ac:dyDescent="0.25">
      <c r="A777" s="4" t="s">
        <v>59</v>
      </c>
      <c r="B777" s="4" t="s">
        <v>41</v>
      </c>
      <c r="C777" s="4" t="s">
        <v>44</v>
      </c>
      <c r="D777" s="4" t="s">
        <v>40</v>
      </c>
      <c r="E777" s="4" t="s">
        <v>25</v>
      </c>
      <c r="F777" s="4" t="s">
        <v>25</v>
      </c>
      <c r="G777" s="4" t="s">
        <v>25</v>
      </c>
      <c r="H777" s="4" t="s">
        <v>36</v>
      </c>
      <c r="I777" s="5">
        <v>44866</v>
      </c>
      <c r="J777" s="6">
        <v>0</v>
      </c>
      <c r="K777" s="6">
        <v>0</v>
      </c>
      <c r="L777" s="6">
        <v>2.5640000000000001</v>
      </c>
      <c r="M777" s="6">
        <v>2.5640000000000001</v>
      </c>
      <c r="N777" s="6">
        <v>2.5640000000000001</v>
      </c>
      <c r="O777" s="6">
        <v>2.5640000000000001</v>
      </c>
      <c r="P777" s="6">
        <v>0</v>
      </c>
      <c r="Q777" s="4" t="s">
        <v>26</v>
      </c>
      <c r="R777" s="4">
        <v>0</v>
      </c>
      <c r="S777" s="4" t="s">
        <v>258</v>
      </c>
      <c r="T777" s="4" t="s">
        <v>515</v>
      </c>
      <c r="U777" s="4">
        <v>0</v>
      </c>
      <c r="V777" s="4">
        <v>28</v>
      </c>
      <c r="W777" s="4">
        <v>74</v>
      </c>
    </row>
    <row r="778" spans="1:23" ht="11.25" customHeight="1" x14ac:dyDescent="0.25">
      <c r="A778" s="4" t="s">
        <v>21</v>
      </c>
      <c r="B778" s="4" t="s">
        <v>41</v>
      </c>
      <c r="C778" s="4" t="s">
        <v>44</v>
      </c>
      <c r="D778" s="4" t="s">
        <v>48</v>
      </c>
      <c r="E778" s="4" t="s">
        <v>25</v>
      </c>
      <c r="F778" s="4" t="s">
        <v>25</v>
      </c>
      <c r="G778" s="4" t="s">
        <v>25</v>
      </c>
      <c r="H778" s="4" t="s">
        <v>37</v>
      </c>
      <c r="I778" s="5">
        <v>44531</v>
      </c>
      <c r="J778" s="6">
        <v>0</v>
      </c>
      <c r="K778" s="6">
        <v>0</v>
      </c>
      <c r="L778" s="6">
        <v>3499.0059999999999</v>
      </c>
      <c r="M778" s="6">
        <v>3499.0059999999999</v>
      </c>
      <c r="N778" s="6">
        <v>3499.0059999999999</v>
      </c>
      <c r="O778" s="6">
        <v>3499.0059999999999</v>
      </c>
      <c r="P778" s="6">
        <v>0</v>
      </c>
      <c r="Q778" s="4" t="s">
        <v>26</v>
      </c>
      <c r="R778" s="4">
        <v>0</v>
      </c>
      <c r="S778" s="4" t="s">
        <v>223</v>
      </c>
      <c r="T778" s="4" t="s">
        <v>492</v>
      </c>
      <c r="U778" s="4">
        <v>0</v>
      </c>
      <c r="V778" s="4">
        <v>29</v>
      </c>
      <c r="W778" s="4">
        <v>75</v>
      </c>
    </row>
    <row r="779" spans="1:23" ht="11.25" customHeight="1" x14ac:dyDescent="0.25">
      <c r="A779" s="4" t="s">
        <v>28</v>
      </c>
      <c r="B779" s="4" t="s">
        <v>41</v>
      </c>
      <c r="C779" s="4" t="s">
        <v>44</v>
      </c>
      <c r="D779" s="4" t="s">
        <v>48</v>
      </c>
      <c r="E779" s="4" t="s">
        <v>25</v>
      </c>
      <c r="F779" s="4" t="s">
        <v>25</v>
      </c>
      <c r="G779" s="4" t="s">
        <v>25</v>
      </c>
      <c r="H779" s="4" t="s">
        <v>37</v>
      </c>
      <c r="I779" s="5">
        <v>44531</v>
      </c>
      <c r="J779" s="6">
        <v>0</v>
      </c>
      <c r="K779" s="6">
        <v>0</v>
      </c>
      <c r="L779" s="6">
        <v>761.18</v>
      </c>
      <c r="M779" s="6">
        <v>761.18</v>
      </c>
      <c r="N779" s="6">
        <v>761.18</v>
      </c>
      <c r="O779" s="6">
        <v>761.18</v>
      </c>
      <c r="P779" s="6">
        <v>0</v>
      </c>
      <c r="Q779" s="4" t="s">
        <v>26</v>
      </c>
      <c r="R779" s="4">
        <v>0</v>
      </c>
      <c r="S779" s="4" t="s">
        <v>223</v>
      </c>
      <c r="T779" s="4" t="s">
        <v>492</v>
      </c>
      <c r="U779" s="4">
        <v>0</v>
      </c>
      <c r="V779" s="4">
        <v>29</v>
      </c>
      <c r="W779" s="4">
        <v>75</v>
      </c>
    </row>
    <row r="780" spans="1:23" ht="11.25" customHeight="1" x14ac:dyDescent="0.25">
      <c r="A780" s="4" t="s">
        <v>30</v>
      </c>
      <c r="B780" s="4" t="s">
        <v>41</v>
      </c>
      <c r="C780" s="4" t="s">
        <v>44</v>
      </c>
      <c r="D780" s="4" t="s">
        <v>48</v>
      </c>
      <c r="E780" s="4" t="s">
        <v>25</v>
      </c>
      <c r="F780" s="4" t="s">
        <v>25</v>
      </c>
      <c r="G780" s="4" t="s">
        <v>25</v>
      </c>
      <c r="H780" s="4" t="s">
        <v>37</v>
      </c>
      <c r="I780" s="5">
        <v>44531</v>
      </c>
      <c r="J780" s="6">
        <v>0</v>
      </c>
      <c r="K780" s="6">
        <v>0</v>
      </c>
      <c r="L780" s="6">
        <v>193.32</v>
      </c>
      <c r="M780" s="6">
        <v>193.32</v>
      </c>
      <c r="N780" s="6">
        <v>193.32</v>
      </c>
      <c r="O780" s="6">
        <v>193.32</v>
      </c>
      <c r="P780" s="6">
        <v>0</v>
      </c>
      <c r="Q780" s="4" t="s">
        <v>26</v>
      </c>
      <c r="R780" s="4">
        <v>0</v>
      </c>
      <c r="S780" s="4" t="s">
        <v>223</v>
      </c>
      <c r="T780" s="4" t="s">
        <v>492</v>
      </c>
      <c r="U780" s="4">
        <v>0</v>
      </c>
      <c r="V780" s="4">
        <v>29</v>
      </c>
      <c r="W780" s="4">
        <v>75</v>
      </c>
    </row>
    <row r="781" spans="1:23" ht="11.25" customHeight="1" x14ac:dyDescent="0.25">
      <c r="A781" s="4" t="s">
        <v>21</v>
      </c>
      <c r="B781" s="4" t="s">
        <v>41</v>
      </c>
      <c r="C781" s="4" t="s">
        <v>44</v>
      </c>
      <c r="D781" s="4" t="s">
        <v>48</v>
      </c>
      <c r="E781" s="4" t="s">
        <v>25</v>
      </c>
      <c r="F781" s="4" t="s">
        <v>25</v>
      </c>
      <c r="G781" s="4" t="s">
        <v>25</v>
      </c>
      <c r="H781" s="4" t="s">
        <v>37</v>
      </c>
      <c r="I781" s="5">
        <v>44562</v>
      </c>
      <c r="J781" s="6">
        <v>0</v>
      </c>
      <c r="K781" s="6">
        <v>0</v>
      </c>
      <c r="L781" s="6">
        <v>3464.9879999999998</v>
      </c>
      <c r="M781" s="6">
        <v>3464.9879999999998</v>
      </c>
      <c r="N781" s="6">
        <v>3464.9879999999998</v>
      </c>
      <c r="O781" s="6">
        <v>3464.9879999999998</v>
      </c>
      <c r="P781" s="6">
        <v>0</v>
      </c>
      <c r="Q781" s="4" t="s">
        <v>26</v>
      </c>
      <c r="R781" s="4">
        <v>0</v>
      </c>
      <c r="S781" s="4" t="s">
        <v>224</v>
      </c>
      <c r="T781" s="4" t="s">
        <v>493</v>
      </c>
      <c r="U781" s="4">
        <v>0</v>
      </c>
      <c r="V781" s="4">
        <v>29</v>
      </c>
      <c r="W781" s="4">
        <v>75</v>
      </c>
    </row>
    <row r="782" spans="1:23" ht="11.25" customHeight="1" x14ac:dyDescent="0.25">
      <c r="A782" s="4" t="s">
        <v>28</v>
      </c>
      <c r="B782" s="4" t="s">
        <v>41</v>
      </c>
      <c r="C782" s="4" t="s">
        <v>44</v>
      </c>
      <c r="D782" s="4" t="s">
        <v>48</v>
      </c>
      <c r="E782" s="4" t="s">
        <v>25</v>
      </c>
      <c r="F782" s="4" t="s">
        <v>25</v>
      </c>
      <c r="G782" s="4" t="s">
        <v>25</v>
      </c>
      <c r="H782" s="4" t="s">
        <v>37</v>
      </c>
      <c r="I782" s="5">
        <v>44562</v>
      </c>
      <c r="J782" s="6">
        <v>0</v>
      </c>
      <c r="K782" s="6">
        <v>0</v>
      </c>
      <c r="L782" s="6">
        <v>770.84</v>
      </c>
      <c r="M782" s="6">
        <v>770.84</v>
      </c>
      <c r="N782" s="6">
        <v>770.84</v>
      </c>
      <c r="O782" s="6">
        <v>770.84</v>
      </c>
      <c r="P782" s="6">
        <v>0</v>
      </c>
      <c r="Q782" s="4" t="s">
        <v>26</v>
      </c>
      <c r="R782" s="4">
        <v>0</v>
      </c>
      <c r="S782" s="4" t="s">
        <v>224</v>
      </c>
      <c r="T782" s="4" t="s">
        <v>493</v>
      </c>
      <c r="U782" s="4">
        <v>0</v>
      </c>
      <c r="V782" s="4">
        <v>29</v>
      </c>
      <c r="W782" s="4">
        <v>75</v>
      </c>
    </row>
    <row r="783" spans="1:23" ht="11.25" customHeight="1" x14ac:dyDescent="0.25">
      <c r="A783" s="4" t="s">
        <v>29</v>
      </c>
      <c r="B783" s="4" t="s">
        <v>41</v>
      </c>
      <c r="C783" s="4" t="s">
        <v>44</v>
      </c>
      <c r="D783" s="4" t="s">
        <v>48</v>
      </c>
      <c r="E783" s="4" t="s">
        <v>25</v>
      </c>
      <c r="F783" s="4" t="s">
        <v>25</v>
      </c>
      <c r="G783" s="4" t="s">
        <v>25</v>
      </c>
      <c r="H783" s="4" t="s">
        <v>37</v>
      </c>
      <c r="I783" s="5">
        <v>44562</v>
      </c>
      <c r="J783" s="6">
        <v>0</v>
      </c>
      <c r="K783" s="6">
        <v>0</v>
      </c>
      <c r="L783" s="6">
        <v>-16.920000000000002</v>
      </c>
      <c r="M783" s="6">
        <v>-16.920000000000002</v>
      </c>
      <c r="N783" s="6">
        <v>-16.920000000000002</v>
      </c>
      <c r="O783" s="6">
        <v>-16.920000000000002</v>
      </c>
      <c r="P783" s="6">
        <v>0</v>
      </c>
      <c r="Q783" s="4" t="s">
        <v>26</v>
      </c>
      <c r="R783" s="4">
        <v>0</v>
      </c>
      <c r="S783" s="4" t="s">
        <v>224</v>
      </c>
      <c r="T783" s="4" t="s">
        <v>493</v>
      </c>
      <c r="U783" s="4">
        <v>0</v>
      </c>
      <c r="V783" s="4">
        <v>29</v>
      </c>
      <c r="W783" s="4">
        <v>75</v>
      </c>
    </row>
    <row r="784" spans="1:23" ht="11.25" customHeight="1" x14ac:dyDescent="0.25">
      <c r="A784" s="4" t="s">
        <v>30</v>
      </c>
      <c r="B784" s="4" t="s">
        <v>41</v>
      </c>
      <c r="C784" s="4" t="s">
        <v>44</v>
      </c>
      <c r="D784" s="4" t="s">
        <v>48</v>
      </c>
      <c r="E784" s="4" t="s">
        <v>25</v>
      </c>
      <c r="F784" s="4" t="s">
        <v>25</v>
      </c>
      <c r="G784" s="4" t="s">
        <v>25</v>
      </c>
      <c r="H784" s="4" t="s">
        <v>37</v>
      </c>
      <c r="I784" s="5">
        <v>44562</v>
      </c>
      <c r="J784" s="6">
        <v>0</v>
      </c>
      <c r="K784" s="6">
        <v>0</v>
      </c>
      <c r="L784" s="6">
        <v>195.99199999999999</v>
      </c>
      <c r="M784" s="6">
        <v>195.99199999999999</v>
      </c>
      <c r="N784" s="6">
        <v>195.99199999999999</v>
      </c>
      <c r="O784" s="6">
        <v>195.99199999999999</v>
      </c>
      <c r="P784" s="6">
        <v>0</v>
      </c>
      <c r="Q784" s="4" t="s">
        <v>26</v>
      </c>
      <c r="R784" s="4">
        <v>0</v>
      </c>
      <c r="S784" s="4" t="s">
        <v>224</v>
      </c>
      <c r="T784" s="4" t="s">
        <v>493</v>
      </c>
      <c r="U784" s="4">
        <v>0</v>
      </c>
      <c r="V784" s="4">
        <v>29</v>
      </c>
      <c r="W784" s="4">
        <v>75</v>
      </c>
    </row>
    <row r="785" spans="1:23" ht="11.25" customHeight="1" x14ac:dyDescent="0.25">
      <c r="A785" s="4" t="s">
        <v>21</v>
      </c>
      <c r="B785" s="4" t="s">
        <v>41</v>
      </c>
      <c r="C785" s="4" t="s">
        <v>44</v>
      </c>
      <c r="D785" s="4" t="s">
        <v>48</v>
      </c>
      <c r="E785" s="4" t="s">
        <v>25</v>
      </c>
      <c r="F785" s="4" t="s">
        <v>25</v>
      </c>
      <c r="G785" s="4" t="s">
        <v>25</v>
      </c>
      <c r="H785" s="4" t="s">
        <v>37</v>
      </c>
      <c r="I785" s="5">
        <v>44593</v>
      </c>
      <c r="J785" s="6">
        <v>0</v>
      </c>
      <c r="K785" s="6">
        <v>0</v>
      </c>
      <c r="L785" s="6">
        <v>3102.578</v>
      </c>
      <c r="M785" s="6">
        <v>3102.578</v>
      </c>
      <c r="N785" s="6">
        <v>3102.578</v>
      </c>
      <c r="O785" s="6">
        <v>3102.578</v>
      </c>
      <c r="P785" s="6">
        <v>0</v>
      </c>
      <c r="Q785" s="4" t="s">
        <v>26</v>
      </c>
      <c r="R785" s="4">
        <v>0</v>
      </c>
      <c r="S785" s="4" t="s">
        <v>225</v>
      </c>
      <c r="T785" s="4" t="s">
        <v>494</v>
      </c>
      <c r="U785" s="4">
        <v>0</v>
      </c>
      <c r="V785" s="4">
        <v>29</v>
      </c>
      <c r="W785" s="4">
        <v>75</v>
      </c>
    </row>
    <row r="786" spans="1:23" ht="11.25" customHeight="1" x14ac:dyDescent="0.25">
      <c r="A786" s="4" t="s">
        <v>27</v>
      </c>
      <c r="B786" s="4" t="s">
        <v>41</v>
      </c>
      <c r="C786" s="4" t="s">
        <v>44</v>
      </c>
      <c r="D786" s="4" t="s">
        <v>48</v>
      </c>
      <c r="E786" s="4" t="s">
        <v>25</v>
      </c>
      <c r="F786" s="4" t="s">
        <v>25</v>
      </c>
      <c r="G786" s="4" t="s">
        <v>25</v>
      </c>
      <c r="H786" s="4" t="s">
        <v>37</v>
      </c>
      <c r="I786" s="5">
        <v>44593</v>
      </c>
      <c r="J786" s="6">
        <v>0</v>
      </c>
      <c r="K786" s="6">
        <v>0</v>
      </c>
      <c r="L786" s="6">
        <v>-0.89100000000000001</v>
      </c>
      <c r="M786" s="6">
        <v>-0.89100000000000001</v>
      </c>
      <c r="N786" s="6">
        <v>-0.89100000000000001</v>
      </c>
      <c r="O786" s="6">
        <v>-0.89100000000000001</v>
      </c>
      <c r="P786" s="6">
        <v>0</v>
      </c>
      <c r="Q786" s="4" t="s">
        <v>26</v>
      </c>
      <c r="R786" s="4">
        <v>0</v>
      </c>
      <c r="S786" s="4" t="s">
        <v>225</v>
      </c>
      <c r="T786" s="4" t="s">
        <v>494</v>
      </c>
      <c r="U786" s="4">
        <v>0</v>
      </c>
      <c r="V786" s="4">
        <v>29</v>
      </c>
      <c r="W786" s="4">
        <v>75</v>
      </c>
    </row>
    <row r="787" spans="1:23" ht="11.25" customHeight="1" x14ac:dyDescent="0.25">
      <c r="A787" s="4" t="s">
        <v>28</v>
      </c>
      <c r="B787" s="4" t="s">
        <v>41</v>
      </c>
      <c r="C787" s="4" t="s">
        <v>44</v>
      </c>
      <c r="D787" s="4" t="s">
        <v>48</v>
      </c>
      <c r="E787" s="4" t="s">
        <v>25</v>
      </c>
      <c r="F787" s="4" t="s">
        <v>25</v>
      </c>
      <c r="G787" s="4" t="s">
        <v>25</v>
      </c>
      <c r="H787" s="4" t="s">
        <v>37</v>
      </c>
      <c r="I787" s="5">
        <v>44593</v>
      </c>
      <c r="J787" s="6">
        <v>0</v>
      </c>
      <c r="K787" s="6">
        <v>0</v>
      </c>
      <c r="L787" s="6">
        <v>644.56200000000001</v>
      </c>
      <c r="M787" s="6">
        <v>644.56200000000001</v>
      </c>
      <c r="N787" s="6">
        <v>644.56200000000001</v>
      </c>
      <c r="O787" s="6">
        <v>644.56200000000001</v>
      </c>
      <c r="P787" s="6">
        <v>0</v>
      </c>
      <c r="Q787" s="4" t="s">
        <v>26</v>
      </c>
      <c r="R787" s="4">
        <v>0</v>
      </c>
      <c r="S787" s="4" t="s">
        <v>225</v>
      </c>
      <c r="T787" s="4" t="s">
        <v>494</v>
      </c>
      <c r="U787" s="4">
        <v>0</v>
      </c>
      <c r="V787" s="4">
        <v>29</v>
      </c>
      <c r="W787" s="4">
        <v>75</v>
      </c>
    </row>
    <row r="788" spans="1:23" ht="11.25" customHeight="1" x14ac:dyDescent="0.25">
      <c r="A788" s="4" t="s">
        <v>30</v>
      </c>
      <c r="B788" s="4" t="s">
        <v>41</v>
      </c>
      <c r="C788" s="4" t="s">
        <v>44</v>
      </c>
      <c r="D788" s="4" t="s">
        <v>48</v>
      </c>
      <c r="E788" s="4" t="s">
        <v>25</v>
      </c>
      <c r="F788" s="4" t="s">
        <v>25</v>
      </c>
      <c r="G788" s="4" t="s">
        <v>25</v>
      </c>
      <c r="H788" s="4" t="s">
        <v>37</v>
      </c>
      <c r="I788" s="5">
        <v>44593</v>
      </c>
      <c r="J788" s="6">
        <v>0</v>
      </c>
      <c r="K788" s="6">
        <v>0</v>
      </c>
      <c r="L788" s="6">
        <v>178.59200000000001</v>
      </c>
      <c r="M788" s="6">
        <v>178.59200000000001</v>
      </c>
      <c r="N788" s="6">
        <v>178.59200000000001</v>
      </c>
      <c r="O788" s="6">
        <v>178.59200000000001</v>
      </c>
      <c r="P788" s="6">
        <v>0</v>
      </c>
      <c r="Q788" s="4" t="s">
        <v>26</v>
      </c>
      <c r="R788" s="4">
        <v>0</v>
      </c>
      <c r="S788" s="4" t="s">
        <v>225</v>
      </c>
      <c r="T788" s="4" t="s">
        <v>494</v>
      </c>
      <c r="U788" s="4">
        <v>0</v>
      </c>
      <c r="V788" s="4">
        <v>29</v>
      </c>
      <c r="W788" s="4">
        <v>75</v>
      </c>
    </row>
    <row r="789" spans="1:23" ht="11.25" customHeight="1" x14ac:dyDescent="0.25">
      <c r="A789" s="4" t="s">
        <v>21</v>
      </c>
      <c r="B789" s="4" t="s">
        <v>41</v>
      </c>
      <c r="C789" s="4" t="s">
        <v>44</v>
      </c>
      <c r="D789" s="4" t="s">
        <v>48</v>
      </c>
      <c r="E789" s="4" t="s">
        <v>25</v>
      </c>
      <c r="F789" s="4" t="s">
        <v>25</v>
      </c>
      <c r="G789" s="4" t="s">
        <v>25</v>
      </c>
      <c r="H789" s="4" t="s">
        <v>37</v>
      </c>
      <c r="I789" s="5">
        <v>44621</v>
      </c>
      <c r="J789" s="6">
        <v>0</v>
      </c>
      <c r="K789" s="6">
        <v>0</v>
      </c>
      <c r="L789" s="6">
        <v>3114.123</v>
      </c>
      <c r="M789" s="6">
        <v>3114.123</v>
      </c>
      <c r="N789" s="6">
        <v>3114.123</v>
      </c>
      <c r="O789" s="6">
        <v>3114.123</v>
      </c>
      <c r="P789" s="6">
        <v>0</v>
      </c>
      <c r="Q789" s="4" t="s">
        <v>26</v>
      </c>
      <c r="R789" s="4">
        <v>0</v>
      </c>
      <c r="S789" s="4" t="s">
        <v>226</v>
      </c>
      <c r="T789" s="4" t="s">
        <v>495</v>
      </c>
      <c r="U789" s="4">
        <v>0</v>
      </c>
      <c r="V789" s="4">
        <v>29</v>
      </c>
      <c r="W789" s="4">
        <v>75</v>
      </c>
    </row>
    <row r="790" spans="1:23" ht="11.25" customHeight="1" x14ac:dyDescent="0.25">
      <c r="A790" s="4" t="s">
        <v>28</v>
      </c>
      <c r="B790" s="4" t="s">
        <v>41</v>
      </c>
      <c r="C790" s="4" t="s">
        <v>44</v>
      </c>
      <c r="D790" s="4" t="s">
        <v>48</v>
      </c>
      <c r="E790" s="4" t="s">
        <v>25</v>
      </c>
      <c r="F790" s="4" t="s">
        <v>25</v>
      </c>
      <c r="G790" s="4" t="s">
        <v>25</v>
      </c>
      <c r="H790" s="4" t="s">
        <v>37</v>
      </c>
      <c r="I790" s="5">
        <v>44621</v>
      </c>
      <c r="J790" s="6">
        <v>0</v>
      </c>
      <c r="K790" s="6">
        <v>0</v>
      </c>
      <c r="L790" s="6">
        <v>564.41499999999996</v>
      </c>
      <c r="M790" s="6">
        <v>564.41499999999996</v>
      </c>
      <c r="N790" s="6">
        <v>564.41499999999996</v>
      </c>
      <c r="O790" s="6">
        <v>564.41499999999996</v>
      </c>
      <c r="P790" s="6">
        <v>0</v>
      </c>
      <c r="Q790" s="4" t="s">
        <v>26</v>
      </c>
      <c r="R790" s="4">
        <v>0</v>
      </c>
      <c r="S790" s="4" t="s">
        <v>226</v>
      </c>
      <c r="T790" s="4" t="s">
        <v>495</v>
      </c>
      <c r="U790" s="4">
        <v>0</v>
      </c>
      <c r="V790" s="4">
        <v>29</v>
      </c>
      <c r="W790" s="4">
        <v>75</v>
      </c>
    </row>
    <row r="791" spans="1:23" ht="11.25" customHeight="1" x14ac:dyDescent="0.25">
      <c r="A791" s="4" t="s">
        <v>30</v>
      </c>
      <c r="B791" s="4" t="s">
        <v>41</v>
      </c>
      <c r="C791" s="4" t="s">
        <v>44</v>
      </c>
      <c r="D791" s="4" t="s">
        <v>48</v>
      </c>
      <c r="E791" s="4" t="s">
        <v>25</v>
      </c>
      <c r="F791" s="4" t="s">
        <v>25</v>
      </c>
      <c r="G791" s="4" t="s">
        <v>25</v>
      </c>
      <c r="H791" s="4" t="s">
        <v>37</v>
      </c>
      <c r="I791" s="5">
        <v>44621</v>
      </c>
      <c r="J791" s="6">
        <v>0</v>
      </c>
      <c r="K791" s="6">
        <v>0</v>
      </c>
      <c r="L791" s="6">
        <v>281.52600000000001</v>
      </c>
      <c r="M791" s="6">
        <v>281.52600000000001</v>
      </c>
      <c r="N791" s="6">
        <v>281.52600000000001</v>
      </c>
      <c r="O791" s="6">
        <v>281.52600000000001</v>
      </c>
      <c r="P791" s="6">
        <v>0</v>
      </c>
      <c r="Q791" s="4" t="s">
        <v>26</v>
      </c>
      <c r="R791" s="4">
        <v>0</v>
      </c>
      <c r="S791" s="4" t="s">
        <v>226</v>
      </c>
      <c r="T791" s="4" t="s">
        <v>495</v>
      </c>
      <c r="U791" s="4">
        <v>0</v>
      </c>
      <c r="V791" s="4">
        <v>29</v>
      </c>
      <c r="W791" s="4">
        <v>75</v>
      </c>
    </row>
    <row r="792" spans="1:23" ht="11.25" customHeight="1" x14ac:dyDescent="0.25">
      <c r="A792" s="4" t="s">
        <v>21</v>
      </c>
      <c r="B792" s="4" t="s">
        <v>41</v>
      </c>
      <c r="C792" s="4" t="s">
        <v>44</v>
      </c>
      <c r="D792" s="4" t="s">
        <v>48</v>
      </c>
      <c r="E792" s="4" t="s">
        <v>25</v>
      </c>
      <c r="F792" s="4" t="s">
        <v>25</v>
      </c>
      <c r="G792" s="4" t="s">
        <v>25</v>
      </c>
      <c r="H792" s="4" t="s">
        <v>37</v>
      </c>
      <c r="I792" s="5">
        <v>44652</v>
      </c>
      <c r="J792" s="6">
        <v>0</v>
      </c>
      <c r="K792" s="6">
        <v>0</v>
      </c>
      <c r="L792" s="6">
        <v>3180.962</v>
      </c>
      <c r="M792" s="6">
        <v>3180.962</v>
      </c>
      <c r="N792" s="6">
        <v>3180.962</v>
      </c>
      <c r="O792" s="6">
        <v>3180.962</v>
      </c>
      <c r="P792" s="6">
        <v>0</v>
      </c>
      <c r="Q792" s="4" t="s">
        <v>26</v>
      </c>
      <c r="R792" s="4">
        <v>0</v>
      </c>
      <c r="S792" s="4" t="s">
        <v>227</v>
      </c>
      <c r="T792" s="4" t="s">
        <v>496</v>
      </c>
      <c r="U792" s="4">
        <v>0</v>
      </c>
      <c r="V792" s="4">
        <v>29</v>
      </c>
      <c r="W792" s="4">
        <v>75</v>
      </c>
    </row>
    <row r="793" spans="1:23" ht="11.25" customHeight="1" x14ac:dyDescent="0.25">
      <c r="A793" s="4" t="s">
        <v>28</v>
      </c>
      <c r="B793" s="4" t="s">
        <v>41</v>
      </c>
      <c r="C793" s="4" t="s">
        <v>44</v>
      </c>
      <c r="D793" s="4" t="s">
        <v>48</v>
      </c>
      <c r="E793" s="4" t="s">
        <v>25</v>
      </c>
      <c r="F793" s="4" t="s">
        <v>25</v>
      </c>
      <c r="G793" s="4" t="s">
        <v>25</v>
      </c>
      <c r="H793" s="4" t="s">
        <v>37</v>
      </c>
      <c r="I793" s="5">
        <v>44652</v>
      </c>
      <c r="J793" s="6">
        <v>0</v>
      </c>
      <c r="K793" s="6">
        <v>0</v>
      </c>
      <c r="L793" s="6">
        <v>625.65</v>
      </c>
      <c r="M793" s="6">
        <v>625.65</v>
      </c>
      <c r="N793" s="6">
        <v>625.65</v>
      </c>
      <c r="O793" s="6">
        <v>625.65</v>
      </c>
      <c r="P793" s="6">
        <v>0</v>
      </c>
      <c r="Q793" s="4" t="s">
        <v>26</v>
      </c>
      <c r="R793" s="4">
        <v>0</v>
      </c>
      <c r="S793" s="4" t="s">
        <v>227</v>
      </c>
      <c r="T793" s="4" t="s">
        <v>496</v>
      </c>
      <c r="U793" s="4">
        <v>0</v>
      </c>
      <c r="V793" s="4">
        <v>29</v>
      </c>
      <c r="W793" s="4">
        <v>75</v>
      </c>
    </row>
    <row r="794" spans="1:23" ht="11.25" customHeight="1" x14ac:dyDescent="0.25">
      <c r="A794" s="4" t="s">
        <v>30</v>
      </c>
      <c r="B794" s="4" t="s">
        <v>41</v>
      </c>
      <c r="C794" s="4" t="s">
        <v>44</v>
      </c>
      <c r="D794" s="4" t="s">
        <v>48</v>
      </c>
      <c r="E794" s="4" t="s">
        <v>25</v>
      </c>
      <c r="F794" s="4" t="s">
        <v>25</v>
      </c>
      <c r="G794" s="4" t="s">
        <v>25</v>
      </c>
      <c r="H794" s="4" t="s">
        <v>37</v>
      </c>
      <c r="I794" s="5">
        <v>44652</v>
      </c>
      <c r="J794" s="6">
        <v>0</v>
      </c>
      <c r="K794" s="6">
        <v>0</v>
      </c>
      <c r="L794" s="6">
        <v>343.25599999999997</v>
      </c>
      <c r="M794" s="6">
        <v>343.25599999999997</v>
      </c>
      <c r="N794" s="6">
        <v>343.25599999999997</v>
      </c>
      <c r="O794" s="6">
        <v>343.25599999999997</v>
      </c>
      <c r="P794" s="6">
        <v>0</v>
      </c>
      <c r="Q794" s="4" t="s">
        <v>26</v>
      </c>
      <c r="R794" s="4">
        <v>0</v>
      </c>
      <c r="S794" s="4" t="s">
        <v>227</v>
      </c>
      <c r="T794" s="4" t="s">
        <v>496</v>
      </c>
      <c r="U794" s="4">
        <v>0</v>
      </c>
      <c r="V794" s="4">
        <v>29</v>
      </c>
      <c r="W794" s="4">
        <v>75</v>
      </c>
    </row>
    <row r="795" spans="1:23" ht="11.25" customHeight="1" x14ac:dyDescent="0.25">
      <c r="A795" s="4" t="s">
        <v>21</v>
      </c>
      <c r="B795" s="4" t="s">
        <v>41</v>
      </c>
      <c r="C795" s="4" t="s">
        <v>44</v>
      </c>
      <c r="D795" s="4" t="s">
        <v>48</v>
      </c>
      <c r="E795" s="4" t="s">
        <v>25</v>
      </c>
      <c r="F795" s="4" t="s">
        <v>25</v>
      </c>
      <c r="G795" s="4" t="s">
        <v>25</v>
      </c>
      <c r="H795" s="4" t="s">
        <v>37</v>
      </c>
      <c r="I795" s="5">
        <v>44682</v>
      </c>
      <c r="J795" s="6">
        <v>0</v>
      </c>
      <c r="K795" s="6">
        <v>0</v>
      </c>
      <c r="L795" s="6">
        <v>3566.4270000000001</v>
      </c>
      <c r="M795" s="6">
        <v>3566.4270000000001</v>
      </c>
      <c r="N795" s="6">
        <v>3566.4270000000001</v>
      </c>
      <c r="O795" s="6">
        <v>3566.4270000000001</v>
      </c>
      <c r="P795" s="6">
        <v>0</v>
      </c>
      <c r="Q795" s="4" t="s">
        <v>26</v>
      </c>
      <c r="R795" s="4">
        <v>0</v>
      </c>
      <c r="S795" s="4" t="s">
        <v>228</v>
      </c>
      <c r="T795" s="4" t="s">
        <v>497</v>
      </c>
      <c r="U795" s="4">
        <v>0</v>
      </c>
      <c r="V795" s="4">
        <v>29</v>
      </c>
      <c r="W795" s="4">
        <v>75</v>
      </c>
    </row>
    <row r="796" spans="1:23" ht="11.25" customHeight="1" x14ac:dyDescent="0.25">
      <c r="A796" s="4" t="s">
        <v>28</v>
      </c>
      <c r="B796" s="4" t="s">
        <v>41</v>
      </c>
      <c r="C796" s="4" t="s">
        <v>44</v>
      </c>
      <c r="D796" s="4" t="s">
        <v>48</v>
      </c>
      <c r="E796" s="4" t="s">
        <v>25</v>
      </c>
      <c r="F796" s="4" t="s">
        <v>25</v>
      </c>
      <c r="G796" s="4" t="s">
        <v>25</v>
      </c>
      <c r="H796" s="4" t="s">
        <v>37</v>
      </c>
      <c r="I796" s="5">
        <v>44682</v>
      </c>
      <c r="J796" s="6">
        <v>0</v>
      </c>
      <c r="K796" s="6">
        <v>0</v>
      </c>
      <c r="L796" s="6">
        <v>718.1</v>
      </c>
      <c r="M796" s="6">
        <v>718.1</v>
      </c>
      <c r="N796" s="6">
        <v>718.1</v>
      </c>
      <c r="O796" s="6">
        <v>718.1</v>
      </c>
      <c r="P796" s="6">
        <v>0</v>
      </c>
      <c r="Q796" s="4" t="s">
        <v>26</v>
      </c>
      <c r="R796" s="4">
        <v>0</v>
      </c>
      <c r="S796" s="4" t="s">
        <v>228</v>
      </c>
      <c r="T796" s="4" t="s">
        <v>497</v>
      </c>
      <c r="U796" s="4">
        <v>0</v>
      </c>
      <c r="V796" s="4">
        <v>29</v>
      </c>
      <c r="W796" s="4">
        <v>75</v>
      </c>
    </row>
    <row r="797" spans="1:23" ht="11.25" customHeight="1" x14ac:dyDescent="0.25">
      <c r="A797" s="4" t="s">
        <v>30</v>
      </c>
      <c r="B797" s="4" t="s">
        <v>41</v>
      </c>
      <c r="C797" s="4" t="s">
        <v>44</v>
      </c>
      <c r="D797" s="4" t="s">
        <v>48</v>
      </c>
      <c r="E797" s="4" t="s">
        <v>25</v>
      </c>
      <c r="F797" s="4" t="s">
        <v>25</v>
      </c>
      <c r="G797" s="4" t="s">
        <v>25</v>
      </c>
      <c r="H797" s="4" t="s">
        <v>37</v>
      </c>
      <c r="I797" s="5">
        <v>44682</v>
      </c>
      <c r="J797" s="6">
        <v>0</v>
      </c>
      <c r="K797" s="6">
        <v>0</v>
      </c>
      <c r="L797" s="6">
        <v>363.03500000000003</v>
      </c>
      <c r="M797" s="6">
        <v>363.03500000000003</v>
      </c>
      <c r="N797" s="6">
        <v>363.03500000000003</v>
      </c>
      <c r="O797" s="6">
        <v>363.03500000000003</v>
      </c>
      <c r="P797" s="6">
        <v>0</v>
      </c>
      <c r="Q797" s="4" t="s">
        <v>26</v>
      </c>
      <c r="R797" s="4">
        <v>0</v>
      </c>
      <c r="S797" s="4" t="s">
        <v>228</v>
      </c>
      <c r="T797" s="4" t="s">
        <v>497</v>
      </c>
      <c r="U797" s="4">
        <v>0</v>
      </c>
      <c r="V797" s="4">
        <v>29</v>
      </c>
      <c r="W797" s="4">
        <v>75</v>
      </c>
    </row>
    <row r="798" spans="1:23" ht="11.25" customHeight="1" x14ac:dyDescent="0.25">
      <c r="A798" s="4" t="s">
        <v>21</v>
      </c>
      <c r="B798" s="4" t="s">
        <v>41</v>
      </c>
      <c r="C798" s="4" t="s">
        <v>44</v>
      </c>
      <c r="D798" s="4" t="s">
        <v>48</v>
      </c>
      <c r="E798" s="4" t="s">
        <v>25</v>
      </c>
      <c r="F798" s="4" t="s">
        <v>25</v>
      </c>
      <c r="G798" s="4" t="s">
        <v>25</v>
      </c>
      <c r="H798" s="4" t="s">
        <v>37</v>
      </c>
      <c r="I798" s="5">
        <v>44713</v>
      </c>
      <c r="J798" s="6">
        <v>0</v>
      </c>
      <c r="K798" s="6">
        <v>0</v>
      </c>
      <c r="L798" s="6">
        <v>3645.8620000000001</v>
      </c>
      <c r="M798" s="6">
        <v>3645.8620000000001</v>
      </c>
      <c r="N798" s="6">
        <v>3645.8620000000001</v>
      </c>
      <c r="O798" s="6">
        <v>3645.8620000000001</v>
      </c>
      <c r="P798" s="6">
        <v>0</v>
      </c>
      <c r="Q798" s="4" t="s">
        <v>26</v>
      </c>
      <c r="R798" s="4">
        <v>0</v>
      </c>
      <c r="S798" s="4" t="s">
        <v>229</v>
      </c>
      <c r="T798" s="4" t="s">
        <v>498</v>
      </c>
      <c r="U798" s="4">
        <v>0</v>
      </c>
      <c r="V798" s="4">
        <v>29</v>
      </c>
      <c r="W798" s="4">
        <v>75</v>
      </c>
    </row>
    <row r="799" spans="1:23" ht="11.25" customHeight="1" x14ac:dyDescent="0.25">
      <c r="A799" s="4" t="s">
        <v>28</v>
      </c>
      <c r="B799" s="4" t="s">
        <v>41</v>
      </c>
      <c r="C799" s="4" t="s">
        <v>44</v>
      </c>
      <c r="D799" s="4" t="s">
        <v>48</v>
      </c>
      <c r="E799" s="4" t="s">
        <v>25</v>
      </c>
      <c r="F799" s="4" t="s">
        <v>25</v>
      </c>
      <c r="G799" s="4" t="s">
        <v>25</v>
      </c>
      <c r="H799" s="4" t="s">
        <v>37</v>
      </c>
      <c r="I799" s="5">
        <v>44713</v>
      </c>
      <c r="J799" s="6">
        <v>0</v>
      </c>
      <c r="K799" s="6">
        <v>0</v>
      </c>
      <c r="L799" s="6">
        <v>751.67399999999998</v>
      </c>
      <c r="M799" s="6">
        <v>751.67399999999998</v>
      </c>
      <c r="N799" s="6">
        <v>751.67399999999998</v>
      </c>
      <c r="O799" s="6">
        <v>751.67399999999998</v>
      </c>
      <c r="P799" s="6">
        <v>0</v>
      </c>
      <c r="Q799" s="4" t="s">
        <v>26</v>
      </c>
      <c r="R799" s="4">
        <v>0</v>
      </c>
      <c r="S799" s="4" t="s">
        <v>229</v>
      </c>
      <c r="T799" s="4" t="s">
        <v>498</v>
      </c>
      <c r="U799" s="4">
        <v>0</v>
      </c>
      <c r="V799" s="4">
        <v>29</v>
      </c>
      <c r="W799" s="4">
        <v>75</v>
      </c>
    </row>
    <row r="800" spans="1:23" ht="11.25" customHeight="1" x14ac:dyDescent="0.25">
      <c r="A800" s="4" t="s">
        <v>30</v>
      </c>
      <c r="B800" s="4" t="s">
        <v>41</v>
      </c>
      <c r="C800" s="4" t="s">
        <v>44</v>
      </c>
      <c r="D800" s="4" t="s">
        <v>48</v>
      </c>
      <c r="E800" s="4" t="s">
        <v>25</v>
      </c>
      <c r="F800" s="4" t="s">
        <v>25</v>
      </c>
      <c r="G800" s="4" t="s">
        <v>25</v>
      </c>
      <c r="H800" s="4" t="s">
        <v>37</v>
      </c>
      <c r="I800" s="5">
        <v>44713</v>
      </c>
      <c r="J800" s="6">
        <v>0</v>
      </c>
      <c r="K800" s="6">
        <v>0</v>
      </c>
      <c r="L800" s="6">
        <v>285.596</v>
      </c>
      <c r="M800" s="6">
        <v>285.596</v>
      </c>
      <c r="N800" s="6">
        <v>285.596</v>
      </c>
      <c r="O800" s="6">
        <v>285.596</v>
      </c>
      <c r="P800" s="6">
        <v>0</v>
      </c>
      <c r="Q800" s="4" t="s">
        <v>26</v>
      </c>
      <c r="R800" s="4">
        <v>0</v>
      </c>
      <c r="S800" s="4" t="s">
        <v>229</v>
      </c>
      <c r="T800" s="4" t="s">
        <v>498</v>
      </c>
      <c r="U800" s="4">
        <v>0</v>
      </c>
      <c r="V800" s="4">
        <v>29</v>
      </c>
      <c r="W800" s="4">
        <v>75</v>
      </c>
    </row>
    <row r="801" spans="1:23" ht="11.25" customHeight="1" x14ac:dyDescent="0.25">
      <c r="A801" s="4" t="s">
        <v>21</v>
      </c>
      <c r="B801" s="4" t="s">
        <v>41</v>
      </c>
      <c r="C801" s="4" t="s">
        <v>44</v>
      </c>
      <c r="D801" s="4" t="s">
        <v>48</v>
      </c>
      <c r="E801" s="4" t="s">
        <v>25</v>
      </c>
      <c r="F801" s="4" t="s">
        <v>25</v>
      </c>
      <c r="G801" s="4" t="s">
        <v>25</v>
      </c>
      <c r="H801" s="4" t="s">
        <v>37</v>
      </c>
      <c r="I801" s="5">
        <v>44743</v>
      </c>
      <c r="J801" s="6">
        <v>0</v>
      </c>
      <c r="K801" s="6">
        <v>0</v>
      </c>
      <c r="L801" s="6">
        <v>3821.047</v>
      </c>
      <c r="M801" s="6">
        <v>3821.047</v>
      </c>
      <c r="N801" s="6">
        <v>3821.047</v>
      </c>
      <c r="O801" s="6">
        <v>3821.047</v>
      </c>
      <c r="P801" s="6">
        <v>0</v>
      </c>
      <c r="Q801" s="4" t="s">
        <v>26</v>
      </c>
      <c r="R801" s="4">
        <v>0</v>
      </c>
      <c r="S801" s="4" t="s">
        <v>230</v>
      </c>
      <c r="T801" s="4" t="s">
        <v>499</v>
      </c>
      <c r="U801" s="4">
        <v>0</v>
      </c>
      <c r="V801" s="4">
        <v>29</v>
      </c>
      <c r="W801" s="4">
        <v>75</v>
      </c>
    </row>
    <row r="802" spans="1:23" ht="11.25" customHeight="1" x14ac:dyDescent="0.25">
      <c r="A802" s="4" t="s">
        <v>28</v>
      </c>
      <c r="B802" s="4" t="s">
        <v>41</v>
      </c>
      <c r="C802" s="4" t="s">
        <v>44</v>
      </c>
      <c r="D802" s="4" t="s">
        <v>48</v>
      </c>
      <c r="E802" s="4" t="s">
        <v>25</v>
      </c>
      <c r="F802" s="4" t="s">
        <v>25</v>
      </c>
      <c r="G802" s="4" t="s">
        <v>25</v>
      </c>
      <c r="H802" s="4" t="s">
        <v>37</v>
      </c>
      <c r="I802" s="5">
        <v>44743</v>
      </c>
      <c r="J802" s="6">
        <v>0</v>
      </c>
      <c r="K802" s="6">
        <v>0</v>
      </c>
      <c r="L802" s="6">
        <v>780.7</v>
      </c>
      <c r="M802" s="6">
        <v>780.7</v>
      </c>
      <c r="N802" s="6">
        <v>780.7</v>
      </c>
      <c r="O802" s="6">
        <v>780.7</v>
      </c>
      <c r="P802" s="6">
        <v>0</v>
      </c>
      <c r="Q802" s="4" t="s">
        <v>26</v>
      </c>
      <c r="R802" s="4">
        <v>0</v>
      </c>
      <c r="S802" s="4" t="s">
        <v>230</v>
      </c>
      <c r="T802" s="4" t="s">
        <v>499</v>
      </c>
      <c r="U802" s="4">
        <v>0</v>
      </c>
      <c r="V802" s="4">
        <v>29</v>
      </c>
      <c r="W802" s="4">
        <v>75</v>
      </c>
    </row>
    <row r="803" spans="1:23" ht="11.25" customHeight="1" x14ac:dyDescent="0.25">
      <c r="A803" s="4" t="s">
        <v>30</v>
      </c>
      <c r="B803" s="4" t="s">
        <v>41</v>
      </c>
      <c r="C803" s="4" t="s">
        <v>44</v>
      </c>
      <c r="D803" s="4" t="s">
        <v>48</v>
      </c>
      <c r="E803" s="4" t="s">
        <v>25</v>
      </c>
      <c r="F803" s="4" t="s">
        <v>25</v>
      </c>
      <c r="G803" s="4" t="s">
        <v>25</v>
      </c>
      <c r="H803" s="4" t="s">
        <v>37</v>
      </c>
      <c r="I803" s="5">
        <v>44743</v>
      </c>
      <c r="J803" s="6">
        <v>0</v>
      </c>
      <c r="K803" s="6">
        <v>0</v>
      </c>
      <c r="L803" s="6">
        <v>409.12299999999999</v>
      </c>
      <c r="M803" s="6">
        <v>409.12299999999999</v>
      </c>
      <c r="N803" s="6">
        <v>409.12299999999999</v>
      </c>
      <c r="O803" s="6">
        <v>409.12299999999999</v>
      </c>
      <c r="P803" s="6">
        <v>0</v>
      </c>
      <c r="Q803" s="4" t="s">
        <v>26</v>
      </c>
      <c r="R803" s="4">
        <v>0</v>
      </c>
      <c r="S803" s="4" t="s">
        <v>230</v>
      </c>
      <c r="T803" s="4" t="s">
        <v>499</v>
      </c>
      <c r="U803" s="4">
        <v>0</v>
      </c>
      <c r="V803" s="4">
        <v>29</v>
      </c>
      <c r="W803" s="4">
        <v>75</v>
      </c>
    </row>
    <row r="804" spans="1:23" ht="11.25" customHeight="1" x14ac:dyDescent="0.25">
      <c r="A804" s="4" t="s">
        <v>21</v>
      </c>
      <c r="B804" s="4" t="s">
        <v>41</v>
      </c>
      <c r="C804" s="4" t="s">
        <v>44</v>
      </c>
      <c r="D804" s="4" t="s">
        <v>48</v>
      </c>
      <c r="E804" s="4" t="s">
        <v>25</v>
      </c>
      <c r="F804" s="4" t="s">
        <v>25</v>
      </c>
      <c r="G804" s="4" t="s">
        <v>25</v>
      </c>
      <c r="H804" s="4" t="s">
        <v>37</v>
      </c>
      <c r="I804" s="5">
        <v>44774</v>
      </c>
      <c r="J804" s="6">
        <v>0</v>
      </c>
      <c r="K804" s="6">
        <v>0</v>
      </c>
      <c r="L804" s="6">
        <v>4050.45</v>
      </c>
      <c r="M804" s="6">
        <v>4050.45</v>
      </c>
      <c r="N804" s="6">
        <v>4050.45</v>
      </c>
      <c r="O804" s="6">
        <v>4050.45</v>
      </c>
      <c r="P804" s="6">
        <v>0</v>
      </c>
      <c r="Q804" s="4" t="s">
        <v>26</v>
      </c>
      <c r="R804" s="4">
        <v>0</v>
      </c>
      <c r="S804" s="4" t="s">
        <v>231</v>
      </c>
      <c r="T804" s="4" t="s">
        <v>500</v>
      </c>
      <c r="U804" s="4">
        <v>0</v>
      </c>
      <c r="V804" s="4">
        <v>29</v>
      </c>
      <c r="W804" s="4">
        <v>75</v>
      </c>
    </row>
    <row r="805" spans="1:23" ht="11.25" customHeight="1" x14ac:dyDescent="0.25">
      <c r="A805" s="4" t="s">
        <v>28</v>
      </c>
      <c r="B805" s="4" t="s">
        <v>41</v>
      </c>
      <c r="C805" s="4" t="s">
        <v>44</v>
      </c>
      <c r="D805" s="4" t="s">
        <v>48</v>
      </c>
      <c r="E805" s="4" t="s">
        <v>25</v>
      </c>
      <c r="F805" s="4" t="s">
        <v>25</v>
      </c>
      <c r="G805" s="4" t="s">
        <v>25</v>
      </c>
      <c r="H805" s="4" t="s">
        <v>37</v>
      </c>
      <c r="I805" s="5">
        <v>44774</v>
      </c>
      <c r="J805" s="6">
        <v>0</v>
      </c>
      <c r="K805" s="6">
        <v>0</v>
      </c>
      <c r="L805" s="6">
        <v>819.779</v>
      </c>
      <c r="M805" s="6">
        <v>819.779</v>
      </c>
      <c r="N805" s="6">
        <v>819.779</v>
      </c>
      <c r="O805" s="6">
        <v>819.779</v>
      </c>
      <c r="P805" s="6">
        <v>0</v>
      </c>
      <c r="Q805" s="4" t="s">
        <v>26</v>
      </c>
      <c r="R805" s="4">
        <v>0</v>
      </c>
      <c r="S805" s="4" t="s">
        <v>231</v>
      </c>
      <c r="T805" s="4" t="s">
        <v>500</v>
      </c>
      <c r="U805" s="4">
        <v>0</v>
      </c>
      <c r="V805" s="4">
        <v>29</v>
      </c>
      <c r="W805" s="4">
        <v>75</v>
      </c>
    </row>
    <row r="806" spans="1:23" ht="11.25" customHeight="1" x14ac:dyDescent="0.25">
      <c r="A806" s="4" t="s">
        <v>29</v>
      </c>
      <c r="B806" s="4" t="s">
        <v>41</v>
      </c>
      <c r="C806" s="4" t="s">
        <v>44</v>
      </c>
      <c r="D806" s="4" t="s">
        <v>48</v>
      </c>
      <c r="E806" s="4" t="s">
        <v>25</v>
      </c>
      <c r="F806" s="4" t="s">
        <v>25</v>
      </c>
      <c r="G806" s="4" t="s">
        <v>25</v>
      </c>
      <c r="H806" s="4" t="s">
        <v>37</v>
      </c>
      <c r="I806" s="5">
        <v>44774</v>
      </c>
      <c r="J806" s="6">
        <v>0</v>
      </c>
      <c r="K806" s="6">
        <v>0</v>
      </c>
      <c r="L806" s="6">
        <v>3.9430000000000001</v>
      </c>
      <c r="M806" s="6">
        <v>3.9430000000000001</v>
      </c>
      <c r="N806" s="6">
        <v>3.9430000000000001</v>
      </c>
      <c r="O806" s="6">
        <v>3.9430000000000001</v>
      </c>
      <c r="P806" s="6">
        <v>0</v>
      </c>
      <c r="Q806" s="4" t="s">
        <v>26</v>
      </c>
      <c r="R806" s="4">
        <v>0</v>
      </c>
      <c r="S806" s="4" t="s">
        <v>231</v>
      </c>
      <c r="T806" s="4" t="s">
        <v>500</v>
      </c>
      <c r="U806" s="4">
        <v>0</v>
      </c>
      <c r="V806" s="4">
        <v>29</v>
      </c>
      <c r="W806" s="4">
        <v>75</v>
      </c>
    </row>
    <row r="807" spans="1:23" ht="11.25" customHeight="1" x14ac:dyDescent="0.25">
      <c r="A807" s="4" t="s">
        <v>30</v>
      </c>
      <c r="B807" s="4" t="s">
        <v>41</v>
      </c>
      <c r="C807" s="4" t="s">
        <v>44</v>
      </c>
      <c r="D807" s="4" t="s">
        <v>48</v>
      </c>
      <c r="E807" s="4" t="s">
        <v>25</v>
      </c>
      <c r="F807" s="4" t="s">
        <v>25</v>
      </c>
      <c r="G807" s="4" t="s">
        <v>25</v>
      </c>
      <c r="H807" s="4" t="s">
        <v>37</v>
      </c>
      <c r="I807" s="5">
        <v>44774</v>
      </c>
      <c r="J807" s="6">
        <v>0</v>
      </c>
      <c r="K807" s="6">
        <v>0</v>
      </c>
      <c r="L807" s="6">
        <v>463.59399999999999</v>
      </c>
      <c r="M807" s="6">
        <v>463.59399999999999</v>
      </c>
      <c r="N807" s="6">
        <v>463.59399999999999</v>
      </c>
      <c r="O807" s="6">
        <v>463.59399999999999</v>
      </c>
      <c r="P807" s="6">
        <v>0</v>
      </c>
      <c r="Q807" s="4" t="s">
        <v>26</v>
      </c>
      <c r="R807" s="4">
        <v>0</v>
      </c>
      <c r="S807" s="4" t="s">
        <v>231</v>
      </c>
      <c r="T807" s="4" t="s">
        <v>500</v>
      </c>
      <c r="U807" s="4">
        <v>0</v>
      </c>
      <c r="V807" s="4">
        <v>29</v>
      </c>
      <c r="W807" s="4">
        <v>75</v>
      </c>
    </row>
    <row r="808" spans="1:23" ht="11.25" customHeight="1" x14ac:dyDescent="0.25">
      <c r="A808" s="4" t="s">
        <v>21</v>
      </c>
      <c r="B808" s="4" t="s">
        <v>41</v>
      </c>
      <c r="C808" s="4" t="s">
        <v>44</v>
      </c>
      <c r="D808" s="4" t="s">
        <v>48</v>
      </c>
      <c r="E808" s="4" t="s">
        <v>25</v>
      </c>
      <c r="F808" s="4" t="s">
        <v>25</v>
      </c>
      <c r="G808" s="4" t="s">
        <v>25</v>
      </c>
      <c r="H808" s="4" t="s">
        <v>37</v>
      </c>
      <c r="I808" s="5">
        <v>44805</v>
      </c>
      <c r="J808" s="6">
        <v>0</v>
      </c>
      <c r="K808" s="6">
        <v>0</v>
      </c>
      <c r="L808" s="6">
        <v>4034.4540000000002</v>
      </c>
      <c r="M808" s="6">
        <v>4034.4540000000002</v>
      </c>
      <c r="N808" s="6">
        <v>4034.4540000000002</v>
      </c>
      <c r="O808" s="6">
        <v>4034.4540000000002</v>
      </c>
      <c r="P808" s="6">
        <v>0</v>
      </c>
      <c r="Q808" s="4" t="s">
        <v>26</v>
      </c>
      <c r="R808" s="4">
        <v>0</v>
      </c>
      <c r="S808" s="4" t="s">
        <v>232</v>
      </c>
      <c r="T808" s="4" t="s">
        <v>501</v>
      </c>
      <c r="U808" s="4">
        <v>0</v>
      </c>
      <c r="V808" s="4">
        <v>29</v>
      </c>
      <c r="W808" s="4">
        <v>75</v>
      </c>
    </row>
    <row r="809" spans="1:23" ht="11.25" customHeight="1" x14ac:dyDescent="0.25">
      <c r="A809" s="4" t="s">
        <v>28</v>
      </c>
      <c r="B809" s="4" t="s">
        <v>41</v>
      </c>
      <c r="C809" s="4" t="s">
        <v>44</v>
      </c>
      <c r="D809" s="4" t="s">
        <v>48</v>
      </c>
      <c r="E809" s="4" t="s">
        <v>25</v>
      </c>
      <c r="F809" s="4" t="s">
        <v>25</v>
      </c>
      <c r="G809" s="4" t="s">
        <v>25</v>
      </c>
      <c r="H809" s="4" t="s">
        <v>37</v>
      </c>
      <c r="I809" s="5">
        <v>44805</v>
      </c>
      <c r="J809" s="6">
        <v>0</v>
      </c>
      <c r="K809" s="6">
        <v>0</v>
      </c>
      <c r="L809" s="6">
        <v>808.67399999999998</v>
      </c>
      <c r="M809" s="6">
        <v>808.67399999999998</v>
      </c>
      <c r="N809" s="6">
        <v>808.67399999999998</v>
      </c>
      <c r="O809" s="6">
        <v>808.67399999999998</v>
      </c>
      <c r="P809" s="6">
        <v>0</v>
      </c>
      <c r="Q809" s="4" t="s">
        <v>26</v>
      </c>
      <c r="R809" s="4">
        <v>0</v>
      </c>
      <c r="S809" s="4" t="s">
        <v>232</v>
      </c>
      <c r="T809" s="4" t="s">
        <v>501</v>
      </c>
      <c r="U809" s="4">
        <v>0</v>
      </c>
      <c r="V809" s="4">
        <v>29</v>
      </c>
      <c r="W809" s="4">
        <v>75</v>
      </c>
    </row>
    <row r="810" spans="1:23" ht="11.25" customHeight="1" x14ac:dyDescent="0.25">
      <c r="A810" s="4" t="s">
        <v>30</v>
      </c>
      <c r="B810" s="4" t="s">
        <v>41</v>
      </c>
      <c r="C810" s="4" t="s">
        <v>44</v>
      </c>
      <c r="D810" s="4" t="s">
        <v>48</v>
      </c>
      <c r="E810" s="4" t="s">
        <v>25</v>
      </c>
      <c r="F810" s="4" t="s">
        <v>25</v>
      </c>
      <c r="G810" s="4" t="s">
        <v>25</v>
      </c>
      <c r="H810" s="4" t="s">
        <v>37</v>
      </c>
      <c r="I810" s="5">
        <v>44805</v>
      </c>
      <c r="J810" s="6">
        <v>0</v>
      </c>
      <c r="K810" s="6">
        <v>0</v>
      </c>
      <c r="L810" s="6">
        <v>461.13400000000001</v>
      </c>
      <c r="M810" s="6">
        <v>461.13400000000001</v>
      </c>
      <c r="N810" s="6">
        <v>461.13400000000001</v>
      </c>
      <c r="O810" s="6">
        <v>461.13400000000001</v>
      </c>
      <c r="P810" s="6">
        <v>0</v>
      </c>
      <c r="Q810" s="4" t="s">
        <v>26</v>
      </c>
      <c r="R810" s="4">
        <v>0</v>
      </c>
      <c r="S810" s="4" t="s">
        <v>232</v>
      </c>
      <c r="T810" s="4" t="s">
        <v>501</v>
      </c>
      <c r="U810" s="4">
        <v>0</v>
      </c>
      <c r="V810" s="4">
        <v>29</v>
      </c>
      <c r="W810" s="4">
        <v>75</v>
      </c>
    </row>
    <row r="811" spans="1:23" ht="11.25" customHeight="1" x14ac:dyDescent="0.25">
      <c r="A811" s="4" t="s">
        <v>21</v>
      </c>
      <c r="B811" s="4" t="s">
        <v>41</v>
      </c>
      <c r="C811" s="4" t="s">
        <v>44</v>
      </c>
      <c r="D811" s="4" t="s">
        <v>48</v>
      </c>
      <c r="E811" s="4" t="s">
        <v>25</v>
      </c>
      <c r="F811" s="4" t="s">
        <v>25</v>
      </c>
      <c r="G811" s="4" t="s">
        <v>25</v>
      </c>
      <c r="H811" s="4" t="s">
        <v>37</v>
      </c>
      <c r="I811" s="5">
        <v>44835</v>
      </c>
      <c r="J811" s="6">
        <v>0</v>
      </c>
      <c r="K811" s="6">
        <v>0</v>
      </c>
      <c r="L811" s="6">
        <v>4026.0149999999999</v>
      </c>
      <c r="M811" s="6">
        <v>4026.0149999999999</v>
      </c>
      <c r="N811" s="6">
        <v>4026.0149999999999</v>
      </c>
      <c r="O811" s="6">
        <v>4026.0149999999999</v>
      </c>
      <c r="P811" s="6">
        <v>0</v>
      </c>
      <c r="Q811" s="4" t="s">
        <v>26</v>
      </c>
      <c r="R811" s="4">
        <v>0</v>
      </c>
      <c r="S811" s="4" t="s">
        <v>233</v>
      </c>
      <c r="T811" s="4" t="s">
        <v>502</v>
      </c>
      <c r="U811" s="4">
        <v>0</v>
      </c>
      <c r="V811" s="4">
        <v>29</v>
      </c>
      <c r="W811" s="4">
        <v>75</v>
      </c>
    </row>
    <row r="812" spans="1:23" ht="11.25" customHeight="1" x14ac:dyDescent="0.25">
      <c r="A812" s="4" t="s">
        <v>28</v>
      </c>
      <c r="B812" s="4" t="s">
        <v>41</v>
      </c>
      <c r="C812" s="4" t="s">
        <v>44</v>
      </c>
      <c r="D812" s="4" t="s">
        <v>48</v>
      </c>
      <c r="E812" s="4" t="s">
        <v>25</v>
      </c>
      <c r="F812" s="4" t="s">
        <v>25</v>
      </c>
      <c r="G812" s="4" t="s">
        <v>25</v>
      </c>
      <c r="H812" s="4" t="s">
        <v>37</v>
      </c>
      <c r="I812" s="5">
        <v>44835</v>
      </c>
      <c r="J812" s="6">
        <v>0</v>
      </c>
      <c r="K812" s="6">
        <v>0</v>
      </c>
      <c r="L812" s="6">
        <v>876.84100000000001</v>
      </c>
      <c r="M812" s="6">
        <v>876.84100000000001</v>
      </c>
      <c r="N812" s="6">
        <v>876.84100000000001</v>
      </c>
      <c r="O812" s="6">
        <v>876.84100000000001</v>
      </c>
      <c r="P812" s="6">
        <v>0</v>
      </c>
      <c r="Q812" s="4" t="s">
        <v>26</v>
      </c>
      <c r="R812" s="4">
        <v>0</v>
      </c>
      <c r="S812" s="4" t="s">
        <v>233</v>
      </c>
      <c r="T812" s="4" t="s">
        <v>502</v>
      </c>
      <c r="U812" s="4">
        <v>0</v>
      </c>
      <c r="V812" s="4">
        <v>29</v>
      </c>
      <c r="W812" s="4">
        <v>75</v>
      </c>
    </row>
    <row r="813" spans="1:23" ht="11.25" customHeight="1" x14ac:dyDescent="0.25">
      <c r="A813" s="4" t="s">
        <v>30</v>
      </c>
      <c r="B813" s="4" t="s">
        <v>41</v>
      </c>
      <c r="C813" s="4" t="s">
        <v>44</v>
      </c>
      <c r="D813" s="4" t="s">
        <v>48</v>
      </c>
      <c r="E813" s="4" t="s">
        <v>25</v>
      </c>
      <c r="F813" s="4" t="s">
        <v>25</v>
      </c>
      <c r="G813" s="4" t="s">
        <v>25</v>
      </c>
      <c r="H813" s="4" t="s">
        <v>37</v>
      </c>
      <c r="I813" s="5">
        <v>44835</v>
      </c>
      <c r="J813" s="6">
        <v>0</v>
      </c>
      <c r="K813" s="6">
        <v>0</v>
      </c>
      <c r="L813" s="6">
        <v>507.697</v>
      </c>
      <c r="M813" s="6">
        <v>507.697</v>
      </c>
      <c r="N813" s="6">
        <v>507.697</v>
      </c>
      <c r="O813" s="6">
        <v>507.697</v>
      </c>
      <c r="P813" s="6">
        <v>0</v>
      </c>
      <c r="Q813" s="4" t="s">
        <v>26</v>
      </c>
      <c r="R813" s="4">
        <v>0</v>
      </c>
      <c r="S813" s="4" t="s">
        <v>233</v>
      </c>
      <c r="T813" s="4" t="s">
        <v>502</v>
      </c>
      <c r="U813" s="4">
        <v>0</v>
      </c>
      <c r="V813" s="4">
        <v>29</v>
      </c>
      <c r="W813" s="4">
        <v>75</v>
      </c>
    </row>
    <row r="814" spans="1:23" ht="11.25" customHeight="1" x14ac:dyDescent="0.25">
      <c r="A814" s="4" t="s">
        <v>59</v>
      </c>
      <c r="B814" s="4" t="s">
        <v>41</v>
      </c>
      <c r="C814" s="4" t="s">
        <v>44</v>
      </c>
      <c r="D814" s="4" t="s">
        <v>48</v>
      </c>
      <c r="E814" s="4" t="s">
        <v>25</v>
      </c>
      <c r="F814" s="4" t="s">
        <v>25</v>
      </c>
      <c r="G814" s="4" t="s">
        <v>25</v>
      </c>
      <c r="H814" s="4" t="s">
        <v>37</v>
      </c>
      <c r="I814" s="5">
        <v>44866</v>
      </c>
      <c r="J814" s="6">
        <v>0</v>
      </c>
      <c r="K814" s="6">
        <v>0</v>
      </c>
      <c r="L814" s="6">
        <v>4026.0149999999999</v>
      </c>
      <c r="M814" s="6">
        <v>4026.0149999999999</v>
      </c>
      <c r="N814" s="6">
        <v>4026.0149999999999</v>
      </c>
      <c r="O814" s="6">
        <v>4026.0149999999999</v>
      </c>
      <c r="P814" s="6">
        <v>0</v>
      </c>
      <c r="Q814" s="4" t="s">
        <v>26</v>
      </c>
      <c r="R814" s="4">
        <v>0</v>
      </c>
      <c r="S814" s="4" t="s">
        <v>234</v>
      </c>
      <c r="T814" s="4" t="s">
        <v>503</v>
      </c>
      <c r="U814" s="4">
        <v>0</v>
      </c>
      <c r="V814" s="4">
        <v>29</v>
      </c>
      <c r="W814" s="4">
        <v>75</v>
      </c>
    </row>
    <row r="815" spans="1:23" ht="11.25" customHeight="1" x14ac:dyDescent="0.25">
      <c r="A815" s="4" t="s">
        <v>59</v>
      </c>
      <c r="B815" s="4" t="s">
        <v>41</v>
      </c>
      <c r="C815" s="4" t="s">
        <v>44</v>
      </c>
      <c r="D815" s="4" t="s">
        <v>48</v>
      </c>
      <c r="E815" s="4" t="s">
        <v>25</v>
      </c>
      <c r="F815" s="4" t="s">
        <v>25</v>
      </c>
      <c r="G815" s="4" t="s">
        <v>25</v>
      </c>
      <c r="H815" s="4" t="s">
        <v>37</v>
      </c>
      <c r="I815" s="5">
        <v>44866</v>
      </c>
      <c r="J815" s="6">
        <v>0</v>
      </c>
      <c r="K815" s="6">
        <v>0</v>
      </c>
      <c r="L815" s="6">
        <v>876.84100000000001</v>
      </c>
      <c r="M815" s="6">
        <v>876.84100000000001</v>
      </c>
      <c r="N815" s="6">
        <v>876.84100000000001</v>
      </c>
      <c r="O815" s="6">
        <v>876.84100000000001</v>
      </c>
      <c r="P815" s="6">
        <v>0</v>
      </c>
      <c r="Q815" s="4" t="s">
        <v>26</v>
      </c>
      <c r="R815" s="4">
        <v>0</v>
      </c>
      <c r="S815" s="4" t="s">
        <v>234</v>
      </c>
      <c r="T815" s="4" t="s">
        <v>503</v>
      </c>
      <c r="U815" s="4">
        <v>0</v>
      </c>
      <c r="V815" s="4">
        <v>29</v>
      </c>
      <c r="W815" s="4">
        <v>75</v>
      </c>
    </row>
    <row r="816" spans="1:23" ht="11.25" customHeight="1" x14ac:dyDescent="0.25">
      <c r="A816" s="4" t="s">
        <v>59</v>
      </c>
      <c r="B816" s="4" t="s">
        <v>41</v>
      </c>
      <c r="C816" s="4" t="s">
        <v>44</v>
      </c>
      <c r="D816" s="4" t="s">
        <v>48</v>
      </c>
      <c r="E816" s="4" t="s">
        <v>25</v>
      </c>
      <c r="F816" s="4" t="s">
        <v>25</v>
      </c>
      <c r="G816" s="4" t="s">
        <v>25</v>
      </c>
      <c r="H816" s="4" t="s">
        <v>37</v>
      </c>
      <c r="I816" s="5">
        <v>44866</v>
      </c>
      <c r="J816" s="6">
        <v>0</v>
      </c>
      <c r="K816" s="6">
        <v>0</v>
      </c>
      <c r="L816" s="6">
        <v>507.697</v>
      </c>
      <c r="M816" s="6">
        <v>507.697</v>
      </c>
      <c r="N816" s="6">
        <v>507.697</v>
      </c>
      <c r="O816" s="6">
        <v>507.697</v>
      </c>
      <c r="P816" s="6">
        <v>0</v>
      </c>
      <c r="Q816" s="4" t="s">
        <v>26</v>
      </c>
      <c r="R816" s="4">
        <v>0</v>
      </c>
      <c r="S816" s="4" t="s">
        <v>234</v>
      </c>
      <c r="T816" s="4" t="s">
        <v>503</v>
      </c>
      <c r="U816" s="4">
        <v>0</v>
      </c>
      <c r="V816" s="4">
        <v>29</v>
      </c>
      <c r="W816" s="4">
        <v>75</v>
      </c>
    </row>
    <row r="817" spans="1:23" ht="11.25" customHeight="1" x14ac:dyDescent="0.25">
      <c r="A817" s="4" t="s">
        <v>21</v>
      </c>
      <c r="B817" s="4" t="s">
        <v>41</v>
      </c>
      <c r="C817" s="4" t="s">
        <v>44</v>
      </c>
      <c r="D817" s="4" t="s">
        <v>48</v>
      </c>
      <c r="E817" s="4" t="s">
        <v>25</v>
      </c>
      <c r="F817" s="4" t="s">
        <v>25</v>
      </c>
      <c r="G817" s="4" t="s">
        <v>25</v>
      </c>
      <c r="H817" s="4" t="s">
        <v>25</v>
      </c>
      <c r="I817" s="5">
        <v>44531</v>
      </c>
      <c r="J817" s="6">
        <v>27518</v>
      </c>
      <c r="K817" s="6">
        <v>27518</v>
      </c>
      <c r="L817" s="6">
        <v>0</v>
      </c>
      <c r="M817" s="6">
        <v>0</v>
      </c>
      <c r="N817" s="6">
        <v>0</v>
      </c>
      <c r="O817" s="6">
        <v>0</v>
      </c>
      <c r="P817" s="6">
        <v>257</v>
      </c>
      <c r="Q817" s="4" t="s">
        <v>26</v>
      </c>
      <c r="R817" s="4">
        <v>0</v>
      </c>
      <c r="S817" s="4" t="s">
        <v>235</v>
      </c>
      <c r="U817" s="4">
        <v>27</v>
      </c>
      <c r="V817" s="4">
        <v>0</v>
      </c>
      <c r="W817" s="4">
        <v>0</v>
      </c>
    </row>
    <row r="818" spans="1:23" ht="11.25" customHeight="1" x14ac:dyDescent="0.25">
      <c r="A818" s="4" t="s">
        <v>27</v>
      </c>
      <c r="B818" s="4" t="s">
        <v>41</v>
      </c>
      <c r="C818" s="4" t="s">
        <v>44</v>
      </c>
      <c r="D818" s="4" t="s">
        <v>48</v>
      </c>
      <c r="E818" s="4" t="s">
        <v>25</v>
      </c>
      <c r="F818" s="4" t="s">
        <v>25</v>
      </c>
      <c r="G818" s="4" t="s">
        <v>25</v>
      </c>
      <c r="H818" s="4" t="s">
        <v>25</v>
      </c>
      <c r="I818" s="5">
        <v>44531</v>
      </c>
      <c r="J818" s="6">
        <v>-230</v>
      </c>
      <c r="K818" s="6">
        <v>-230</v>
      </c>
      <c r="L818" s="6">
        <v>0</v>
      </c>
      <c r="M818" s="6">
        <v>0</v>
      </c>
      <c r="N818" s="6">
        <v>0</v>
      </c>
      <c r="O818" s="6">
        <v>0</v>
      </c>
      <c r="P818" s="6">
        <v>-1</v>
      </c>
      <c r="Q818" s="4" t="s">
        <v>26</v>
      </c>
      <c r="R818" s="4">
        <v>0</v>
      </c>
      <c r="S818" s="4" t="s">
        <v>235</v>
      </c>
      <c r="U818" s="4">
        <v>27</v>
      </c>
      <c r="V818" s="4">
        <v>0</v>
      </c>
      <c r="W818" s="4">
        <v>0</v>
      </c>
    </row>
    <row r="819" spans="1:23" ht="11.25" customHeight="1" x14ac:dyDescent="0.25">
      <c r="A819" s="4" t="s">
        <v>28</v>
      </c>
      <c r="B819" s="4" t="s">
        <v>41</v>
      </c>
      <c r="C819" s="4" t="s">
        <v>44</v>
      </c>
      <c r="D819" s="4" t="s">
        <v>48</v>
      </c>
      <c r="E819" s="4" t="s">
        <v>25</v>
      </c>
      <c r="F819" s="4" t="s">
        <v>25</v>
      </c>
      <c r="G819" s="4" t="s">
        <v>25</v>
      </c>
      <c r="H819" s="4" t="s">
        <v>25</v>
      </c>
      <c r="I819" s="5">
        <v>44531</v>
      </c>
      <c r="J819" s="6">
        <v>6723</v>
      </c>
      <c r="K819" s="6">
        <v>6723</v>
      </c>
      <c r="L819" s="6">
        <v>0</v>
      </c>
      <c r="M819" s="6">
        <v>0</v>
      </c>
      <c r="N819" s="6">
        <v>0</v>
      </c>
      <c r="O819" s="6">
        <v>0</v>
      </c>
      <c r="P819" s="6">
        <v>71</v>
      </c>
      <c r="Q819" s="4" t="s">
        <v>26</v>
      </c>
      <c r="R819" s="4">
        <v>0</v>
      </c>
      <c r="S819" s="4" t="s">
        <v>235</v>
      </c>
      <c r="U819" s="4">
        <v>27</v>
      </c>
      <c r="V819" s="4">
        <v>0</v>
      </c>
      <c r="W819" s="4">
        <v>0</v>
      </c>
    </row>
    <row r="820" spans="1:23" ht="11.25" customHeight="1" x14ac:dyDescent="0.25">
      <c r="A820" s="4" t="s">
        <v>30</v>
      </c>
      <c r="B820" s="4" t="s">
        <v>41</v>
      </c>
      <c r="C820" s="4" t="s">
        <v>44</v>
      </c>
      <c r="D820" s="4" t="s">
        <v>48</v>
      </c>
      <c r="E820" s="4" t="s">
        <v>25</v>
      </c>
      <c r="F820" s="4" t="s">
        <v>25</v>
      </c>
      <c r="G820" s="4" t="s">
        <v>25</v>
      </c>
      <c r="H820" s="4" t="s">
        <v>25</v>
      </c>
      <c r="I820" s="5">
        <v>44531</v>
      </c>
      <c r="J820" s="6">
        <v>2430</v>
      </c>
      <c r="K820" s="6">
        <v>2430</v>
      </c>
      <c r="L820" s="6">
        <v>0</v>
      </c>
      <c r="M820" s="6">
        <v>0</v>
      </c>
      <c r="N820" s="6">
        <v>0</v>
      </c>
      <c r="O820" s="6">
        <v>0</v>
      </c>
      <c r="P820" s="6">
        <v>4</v>
      </c>
      <c r="Q820" s="4" t="s">
        <v>26</v>
      </c>
      <c r="R820" s="4">
        <v>0</v>
      </c>
      <c r="S820" s="4" t="s">
        <v>235</v>
      </c>
      <c r="U820" s="4">
        <v>27</v>
      </c>
      <c r="V820" s="4">
        <v>0</v>
      </c>
      <c r="W820" s="4">
        <v>0</v>
      </c>
    </row>
    <row r="821" spans="1:23" ht="11.25" customHeight="1" x14ac:dyDescent="0.25">
      <c r="A821" s="4" t="s">
        <v>21</v>
      </c>
      <c r="B821" s="4" t="s">
        <v>41</v>
      </c>
      <c r="C821" s="4" t="s">
        <v>44</v>
      </c>
      <c r="D821" s="4" t="s">
        <v>48</v>
      </c>
      <c r="E821" s="4" t="s">
        <v>25</v>
      </c>
      <c r="F821" s="4" t="s">
        <v>25</v>
      </c>
      <c r="G821" s="4" t="s">
        <v>25</v>
      </c>
      <c r="H821" s="4" t="s">
        <v>25</v>
      </c>
      <c r="I821" s="5">
        <v>44562</v>
      </c>
      <c r="J821" s="6">
        <v>27509</v>
      </c>
      <c r="K821" s="6">
        <v>27509</v>
      </c>
      <c r="L821" s="6">
        <v>0</v>
      </c>
      <c r="M821" s="6">
        <v>0</v>
      </c>
      <c r="N821" s="6">
        <v>0</v>
      </c>
      <c r="O821" s="6">
        <v>0</v>
      </c>
      <c r="P821" s="6">
        <v>257</v>
      </c>
      <c r="Q821" s="4" t="s">
        <v>26</v>
      </c>
      <c r="R821" s="4">
        <v>0</v>
      </c>
      <c r="S821" s="4" t="s">
        <v>236</v>
      </c>
      <c r="U821" s="4">
        <v>27</v>
      </c>
      <c r="V821" s="4">
        <v>0</v>
      </c>
      <c r="W821" s="4">
        <v>0</v>
      </c>
    </row>
    <row r="822" spans="1:23" ht="11.25" customHeight="1" x14ac:dyDescent="0.25">
      <c r="A822" s="4" t="s">
        <v>28</v>
      </c>
      <c r="B822" s="4" t="s">
        <v>41</v>
      </c>
      <c r="C822" s="4" t="s">
        <v>44</v>
      </c>
      <c r="D822" s="4" t="s">
        <v>48</v>
      </c>
      <c r="E822" s="4" t="s">
        <v>25</v>
      </c>
      <c r="F822" s="4" t="s">
        <v>25</v>
      </c>
      <c r="G822" s="4" t="s">
        <v>25</v>
      </c>
      <c r="H822" s="4" t="s">
        <v>25</v>
      </c>
      <c r="I822" s="5">
        <v>44562</v>
      </c>
      <c r="J822" s="6">
        <v>6681</v>
      </c>
      <c r="K822" s="6">
        <v>6681</v>
      </c>
      <c r="L822" s="6">
        <v>0</v>
      </c>
      <c r="M822" s="6">
        <v>0</v>
      </c>
      <c r="N822" s="6">
        <v>0</v>
      </c>
      <c r="O822" s="6">
        <v>0</v>
      </c>
      <c r="P822" s="6">
        <v>72</v>
      </c>
      <c r="Q822" s="4" t="s">
        <v>26</v>
      </c>
      <c r="R822" s="4">
        <v>0</v>
      </c>
      <c r="S822" s="4" t="s">
        <v>236</v>
      </c>
      <c r="U822" s="4">
        <v>27</v>
      </c>
      <c r="V822" s="4">
        <v>0</v>
      </c>
      <c r="W822" s="4">
        <v>0</v>
      </c>
    </row>
    <row r="823" spans="1:23" ht="11.25" customHeight="1" x14ac:dyDescent="0.25">
      <c r="A823" s="4" t="s">
        <v>29</v>
      </c>
      <c r="B823" s="4" t="s">
        <v>41</v>
      </c>
      <c r="C823" s="4" t="s">
        <v>44</v>
      </c>
      <c r="D823" s="4" t="s">
        <v>48</v>
      </c>
      <c r="E823" s="4" t="s">
        <v>25</v>
      </c>
      <c r="F823" s="4" t="s">
        <v>25</v>
      </c>
      <c r="G823" s="4" t="s">
        <v>25</v>
      </c>
      <c r="H823" s="4" t="s">
        <v>25</v>
      </c>
      <c r="I823" s="5">
        <v>44562</v>
      </c>
      <c r="J823" s="6">
        <v>-44</v>
      </c>
      <c r="K823" s="6">
        <v>-44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4" t="s">
        <v>26</v>
      </c>
      <c r="R823" s="4">
        <v>0</v>
      </c>
      <c r="S823" s="4" t="s">
        <v>236</v>
      </c>
      <c r="U823" s="4">
        <v>27</v>
      </c>
      <c r="V823" s="4">
        <v>0</v>
      </c>
      <c r="W823" s="4">
        <v>0</v>
      </c>
    </row>
    <row r="824" spans="1:23" ht="11.25" customHeight="1" x14ac:dyDescent="0.25">
      <c r="A824" s="4" t="s">
        <v>30</v>
      </c>
      <c r="B824" s="4" t="s">
        <v>41</v>
      </c>
      <c r="C824" s="4" t="s">
        <v>44</v>
      </c>
      <c r="D824" s="4" t="s">
        <v>48</v>
      </c>
      <c r="E824" s="4" t="s">
        <v>25</v>
      </c>
      <c r="F824" s="4" t="s">
        <v>25</v>
      </c>
      <c r="G824" s="4" t="s">
        <v>25</v>
      </c>
      <c r="H824" s="4" t="s">
        <v>25</v>
      </c>
      <c r="I824" s="5">
        <v>44562</v>
      </c>
      <c r="J824" s="6">
        <v>2430</v>
      </c>
      <c r="K824" s="6">
        <v>2430</v>
      </c>
      <c r="L824" s="6">
        <v>0</v>
      </c>
      <c r="M824" s="6">
        <v>0</v>
      </c>
      <c r="N824" s="6">
        <v>0</v>
      </c>
      <c r="O824" s="6">
        <v>0</v>
      </c>
      <c r="P824" s="6">
        <v>4</v>
      </c>
      <c r="Q824" s="4" t="s">
        <v>26</v>
      </c>
      <c r="R824" s="4">
        <v>0</v>
      </c>
      <c r="S824" s="4" t="s">
        <v>236</v>
      </c>
      <c r="U824" s="4">
        <v>27</v>
      </c>
      <c r="V824" s="4">
        <v>0</v>
      </c>
      <c r="W824" s="4">
        <v>0</v>
      </c>
    </row>
    <row r="825" spans="1:23" ht="11.25" customHeight="1" x14ac:dyDescent="0.25">
      <c r="A825" s="4" t="s">
        <v>21</v>
      </c>
      <c r="B825" s="4" t="s">
        <v>41</v>
      </c>
      <c r="C825" s="4" t="s">
        <v>44</v>
      </c>
      <c r="D825" s="4" t="s">
        <v>48</v>
      </c>
      <c r="E825" s="4" t="s">
        <v>25</v>
      </c>
      <c r="F825" s="4" t="s">
        <v>25</v>
      </c>
      <c r="G825" s="4" t="s">
        <v>25</v>
      </c>
      <c r="H825" s="4" t="s">
        <v>25</v>
      </c>
      <c r="I825" s="5">
        <v>44593</v>
      </c>
      <c r="J825" s="6">
        <v>27379</v>
      </c>
      <c r="K825" s="6">
        <v>27379</v>
      </c>
      <c r="L825" s="6">
        <v>0</v>
      </c>
      <c r="M825" s="6">
        <v>0</v>
      </c>
      <c r="N825" s="6">
        <v>0</v>
      </c>
      <c r="O825" s="6">
        <v>0</v>
      </c>
      <c r="P825" s="6">
        <v>258</v>
      </c>
      <c r="Q825" s="4" t="s">
        <v>26</v>
      </c>
      <c r="R825" s="4">
        <v>0</v>
      </c>
      <c r="S825" s="4" t="s">
        <v>237</v>
      </c>
      <c r="U825" s="4">
        <v>27</v>
      </c>
      <c r="V825" s="4">
        <v>0</v>
      </c>
      <c r="W825" s="4">
        <v>0</v>
      </c>
    </row>
    <row r="826" spans="1:23" ht="11.25" customHeight="1" x14ac:dyDescent="0.25">
      <c r="A826" s="4" t="s">
        <v>28</v>
      </c>
      <c r="B826" s="4" t="s">
        <v>41</v>
      </c>
      <c r="C826" s="4" t="s">
        <v>44</v>
      </c>
      <c r="D826" s="4" t="s">
        <v>48</v>
      </c>
      <c r="E826" s="4" t="s">
        <v>25</v>
      </c>
      <c r="F826" s="4" t="s">
        <v>25</v>
      </c>
      <c r="G826" s="4" t="s">
        <v>25</v>
      </c>
      <c r="H826" s="4" t="s">
        <v>25</v>
      </c>
      <c r="I826" s="5">
        <v>44593</v>
      </c>
      <c r="J826" s="6">
        <v>6436</v>
      </c>
      <c r="K826" s="6">
        <v>6436</v>
      </c>
      <c r="L826" s="6">
        <v>0</v>
      </c>
      <c r="M826" s="6">
        <v>0</v>
      </c>
      <c r="N826" s="6">
        <v>0</v>
      </c>
      <c r="O826" s="6">
        <v>0</v>
      </c>
      <c r="P826" s="6">
        <v>71</v>
      </c>
      <c r="Q826" s="4" t="s">
        <v>26</v>
      </c>
      <c r="R826" s="4">
        <v>0</v>
      </c>
      <c r="S826" s="4" t="s">
        <v>237</v>
      </c>
      <c r="U826" s="4">
        <v>27</v>
      </c>
      <c r="V826" s="4">
        <v>0</v>
      </c>
      <c r="W826" s="4">
        <v>0</v>
      </c>
    </row>
    <row r="827" spans="1:23" ht="11.25" customHeight="1" x14ac:dyDescent="0.25">
      <c r="A827" s="4" t="s">
        <v>30</v>
      </c>
      <c r="B827" s="4" t="s">
        <v>41</v>
      </c>
      <c r="C827" s="4" t="s">
        <v>44</v>
      </c>
      <c r="D827" s="4" t="s">
        <v>48</v>
      </c>
      <c r="E827" s="4" t="s">
        <v>25</v>
      </c>
      <c r="F827" s="4" t="s">
        <v>25</v>
      </c>
      <c r="G827" s="4" t="s">
        <v>25</v>
      </c>
      <c r="H827" s="4" t="s">
        <v>25</v>
      </c>
      <c r="I827" s="5">
        <v>44593</v>
      </c>
      <c r="J827" s="6">
        <v>2430</v>
      </c>
      <c r="K827" s="6">
        <v>2430</v>
      </c>
      <c r="L827" s="6">
        <v>0</v>
      </c>
      <c r="M827" s="6">
        <v>0</v>
      </c>
      <c r="N827" s="6">
        <v>0</v>
      </c>
      <c r="O827" s="6">
        <v>0</v>
      </c>
      <c r="P827" s="6">
        <v>4</v>
      </c>
      <c r="Q827" s="4" t="s">
        <v>26</v>
      </c>
      <c r="R827" s="4">
        <v>0</v>
      </c>
      <c r="S827" s="4" t="s">
        <v>237</v>
      </c>
      <c r="U827" s="4">
        <v>27</v>
      </c>
      <c r="V827" s="4">
        <v>0</v>
      </c>
      <c r="W827" s="4">
        <v>0</v>
      </c>
    </row>
    <row r="828" spans="1:23" ht="11.25" customHeight="1" x14ac:dyDescent="0.25">
      <c r="A828" s="4" t="s">
        <v>21</v>
      </c>
      <c r="B828" s="4" t="s">
        <v>41</v>
      </c>
      <c r="C828" s="4" t="s">
        <v>44</v>
      </c>
      <c r="D828" s="4" t="s">
        <v>48</v>
      </c>
      <c r="E828" s="4" t="s">
        <v>25</v>
      </c>
      <c r="F828" s="4" t="s">
        <v>25</v>
      </c>
      <c r="G828" s="4" t="s">
        <v>25</v>
      </c>
      <c r="H828" s="4" t="s">
        <v>25</v>
      </c>
      <c r="I828" s="5">
        <v>44621</v>
      </c>
      <c r="J828" s="6">
        <v>27584</v>
      </c>
      <c r="K828" s="6">
        <v>27584</v>
      </c>
      <c r="L828" s="6">
        <v>0</v>
      </c>
      <c r="M828" s="6">
        <v>0</v>
      </c>
      <c r="N828" s="6">
        <v>0</v>
      </c>
      <c r="O828" s="6">
        <v>0</v>
      </c>
      <c r="P828" s="6">
        <v>260</v>
      </c>
      <c r="Q828" s="4" t="s">
        <v>26</v>
      </c>
      <c r="R828" s="4">
        <v>0</v>
      </c>
      <c r="S828" s="4" t="s">
        <v>238</v>
      </c>
      <c r="U828" s="4">
        <v>27</v>
      </c>
      <c r="V828" s="4">
        <v>0</v>
      </c>
      <c r="W828" s="4">
        <v>0</v>
      </c>
    </row>
    <row r="829" spans="1:23" ht="11.25" customHeight="1" x14ac:dyDescent="0.25">
      <c r="A829" s="4" t="s">
        <v>28</v>
      </c>
      <c r="B829" s="4" t="s">
        <v>41</v>
      </c>
      <c r="C829" s="4" t="s">
        <v>44</v>
      </c>
      <c r="D829" s="4" t="s">
        <v>48</v>
      </c>
      <c r="E829" s="4" t="s">
        <v>25</v>
      </c>
      <c r="F829" s="4" t="s">
        <v>25</v>
      </c>
      <c r="G829" s="4" t="s">
        <v>25</v>
      </c>
      <c r="H829" s="4" t="s">
        <v>25</v>
      </c>
      <c r="I829" s="5">
        <v>44621</v>
      </c>
      <c r="J829" s="6">
        <v>6421</v>
      </c>
      <c r="K829" s="6">
        <v>6421</v>
      </c>
      <c r="L829" s="6">
        <v>0</v>
      </c>
      <c r="M829" s="6">
        <v>0</v>
      </c>
      <c r="N829" s="6">
        <v>0</v>
      </c>
      <c r="O829" s="6">
        <v>0</v>
      </c>
      <c r="P829" s="6">
        <v>71</v>
      </c>
      <c r="Q829" s="4" t="s">
        <v>26</v>
      </c>
      <c r="R829" s="4">
        <v>0</v>
      </c>
      <c r="S829" s="4" t="s">
        <v>238</v>
      </c>
      <c r="U829" s="4">
        <v>27</v>
      </c>
      <c r="V829" s="4">
        <v>0</v>
      </c>
      <c r="W829" s="4">
        <v>0</v>
      </c>
    </row>
    <row r="830" spans="1:23" ht="11.25" customHeight="1" x14ac:dyDescent="0.25">
      <c r="A830" s="4" t="s">
        <v>30</v>
      </c>
      <c r="B830" s="4" t="s">
        <v>41</v>
      </c>
      <c r="C830" s="4" t="s">
        <v>44</v>
      </c>
      <c r="D830" s="4" t="s">
        <v>48</v>
      </c>
      <c r="E830" s="4" t="s">
        <v>25</v>
      </c>
      <c r="F830" s="4" t="s">
        <v>25</v>
      </c>
      <c r="G830" s="4" t="s">
        <v>25</v>
      </c>
      <c r="H830" s="4" t="s">
        <v>25</v>
      </c>
      <c r="I830" s="5">
        <v>44621</v>
      </c>
      <c r="J830" s="6">
        <v>2430</v>
      </c>
      <c r="K830" s="6">
        <v>2430</v>
      </c>
      <c r="L830" s="6">
        <v>0</v>
      </c>
      <c r="M830" s="6">
        <v>0</v>
      </c>
      <c r="N830" s="6">
        <v>0</v>
      </c>
      <c r="O830" s="6">
        <v>0</v>
      </c>
      <c r="P830" s="6">
        <v>4</v>
      </c>
      <c r="Q830" s="4" t="s">
        <v>26</v>
      </c>
      <c r="R830" s="4">
        <v>0</v>
      </c>
      <c r="S830" s="4" t="s">
        <v>238</v>
      </c>
      <c r="U830" s="4">
        <v>27</v>
      </c>
      <c r="V830" s="4">
        <v>0</v>
      </c>
      <c r="W830" s="4">
        <v>0</v>
      </c>
    </row>
    <row r="831" spans="1:23" ht="11.25" customHeight="1" x14ac:dyDescent="0.25">
      <c r="A831" s="4" t="s">
        <v>21</v>
      </c>
      <c r="B831" s="4" t="s">
        <v>41</v>
      </c>
      <c r="C831" s="4" t="s">
        <v>44</v>
      </c>
      <c r="D831" s="4" t="s">
        <v>48</v>
      </c>
      <c r="E831" s="4" t="s">
        <v>25</v>
      </c>
      <c r="F831" s="4" t="s">
        <v>25</v>
      </c>
      <c r="G831" s="4" t="s">
        <v>25</v>
      </c>
      <c r="H831" s="4" t="s">
        <v>25</v>
      </c>
      <c r="I831" s="5">
        <v>44652</v>
      </c>
      <c r="J831" s="6">
        <v>27537</v>
      </c>
      <c r="K831" s="6">
        <v>27537</v>
      </c>
      <c r="L831" s="6">
        <v>0</v>
      </c>
      <c r="M831" s="6">
        <v>0</v>
      </c>
      <c r="N831" s="6">
        <v>0</v>
      </c>
      <c r="O831" s="6">
        <v>0</v>
      </c>
      <c r="P831" s="6">
        <v>258</v>
      </c>
      <c r="Q831" s="4" t="s">
        <v>26</v>
      </c>
      <c r="R831" s="4">
        <v>0</v>
      </c>
      <c r="S831" s="4" t="s">
        <v>239</v>
      </c>
      <c r="U831" s="4">
        <v>27</v>
      </c>
      <c r="V831" s="4">
        <v>0</v>
      </c>
      <c r="W831" s="4">
        <v>0</v>
      </c>
    </row>
    <row r="832" spans="1:23" ht="11.25" customHeight="1" x14ac:dyDescent="0.25">
      <c r="A832" s="4" t="s">
        <v>28</v>
      </c>
      <c r="B832" s="4" t="s">
        <v>41</v>
      </c>
      <c r="C832" s="4" t="s">
        <v>44</v>
      </c>
      <c r="D832" s="4" t="s">
        <v>48</v>
      </c>
      <c r="E832" s="4" t="s">
        <v>25</v>
      </c>
      <c r="F832" s="4" t="s">
        <v>25</v>
      </c>
      <c r="G832" s="4" t="s">
        <v>25</v>
      </c>
      <c r="H832" s="4" t="s">
        <v>25</v>
      </c>
      <c r="I832" s="5">
        <v>44652</v>
      </c>
      <c r="J832" s="6">
        <v>6577</v>
      </c>
      <c r="K832" s="6">
        <v>6577</v>
      </c>
      <c r="L832" s="6">
        <v>0</v>
      </c>
      <c r="M832" s="6">
        <v>0</v>
      </c>
      <c r="N832" s="6">
        <v>0</v>
      </c>
      <c r="O832" s="6">
        <v>0</v>
      </c>
      <c r="P832" s="6">
        <v>71</v>
      </c>
      <c r="Q832" s="4" t="s">
        <v>26</v>
      </c>
      <c r="R832" s="4">
        <v>0</v>
      </c>
      <c r="S832" s="4" t="s">
        <v>239</v>
      </c>
      <c r="U832" s="4">
        <v>27</v>
      </c>
      <c r="V832" s="4">
        <v>0</v>
      </c>
      <c r="W832" s="4">
        <v>0</v>
      </c>
    </row>
    <row r="833" spans="1:23" ht="11.25" customHeight="1" x14ac:dyDescent="0.25">
      <c r="A833" s="4" t="s">
        <v>30</v>
      </c>
      <c r="B833" s="4" t="s">
        <v>41</v>
      </c>
      <c r="C833" s="4" t="s">
        <v>44</v>
      </c>
      <c r="D833" s="4" t="s">
        <v>48</v>
      </c>
      <c r="E833" s="4" t="s">
        <v>25</v>
      </c>
      <c r="F833" s="4" t="s">
        <v>25</v>
      </c>
      <c r="G833" s="4" t="s">
        <v>25</v>
      </c>
      <c r="H833" s="4" t="s">
        <v>25</v>
      </c>
      <c r="I833" s="5">
        <v>44652</v>
      </c>
      <c r="J833" s="6">
        <v>2430</v>
      </c>
      <c r="K833" s="6">
        <v>2430</v>
      </c>
      <c r="L833" s="6">
        <v>0</v>
      </c>
      <c r="M833" s="6">
        <v>0</v>
      </c>
      <c r="N833" s="6">
        <v>0</v>
      </c>
      <c r="O833" s="6">
        <v>0</v>
      </c>
      <c r="P833" s="6">
        <v>4</v>
      </c>
      <c r="Q833" s="4" t="s">
        <v>26</v>
      </c>
      <c r="R833" s="4">
        <v>0</v>
      </c>
      <c r="S833" s="4" t="s">
        <v>239</v>
      </c>
      <c r="U833" s="4">
        <v>27</v>
      </c>
      <c r="V833" s="4">
        <v>0</v>
      </c>
      <c r="W833" s="4">
        <v>0</v>
      </c>
    </row>
    <row r="834" spans="1:23" ht="11.25" customHeight="1" x14ac:dyDescent="0.25">
      <c r="A834" s="4" t="s">
        <v>21</v>
      </c>
      <c r="B834" s="4" t="s">
        <v>41</v>
      </c>
      <c r="C834" s="4" t="s">
        <v>44</v>
      </c>
      <c r="D834" s="4" t="s">
        <v>48</v>
      </c>
      <c r="E834" s="4" t="s">
        <v>25</v>
      </c>
      <c r="F834" s="4" t="s">
        <v>25</v>
      </c>
      <c r="G834" s="4" t="s">
        <v>25</v>
      </c>
      <c r="H834" s="4" t="s">
        <v>25</v>
      </c>
      <c r="I834" s="5">
        <v>44682</v>
      </c>
      <c r="J834" s="6">
        <v>27834</v>
      </c>
      <c r="K834" s="6">
        <v>27834</v>
      </c>
      <c r="L834" s="6">
        <v>0</v>
      </c>
      <c r="M834" s="6">
        <v>0</v>
      </c>
      <c r="N834" s="6">
        <v>0</v>
      </c>
      <c r="O834" s="6">
        <v>0</v>
      </c>
      <c r="P834" s="6">
        <v>258</v>
      </c>
      <c r="Q834" s="4" t="s">
        <v>26</v>
      </c>
      <c r="R834" s="4">
        <v>0</v>
      </c>
      <c r="S834" s="4" t="s">
        <v>240</v>
      </c>
      <c r="U834" s="4">
        <v>27</v>
      </c>
      <c r="V834" s="4">
        <v>0</v>
      </c>
      <c r="W834" s="4">
        <v>0</v>
      </c>
    </row>
    <row r="835" spans="1:23" ht="11.25" customHeight="1" x14ac:dyDescent="0.25">
      <c r="A835" s="4" t="s">
        <v>28</v>
      </c>
      <c r="B835" s="4" t="s">
        <v>41</v>
      </c>
      <c r="C835" s="4" t="s">
        <v>44</v>
      </c>
      <c r="D835" s="4" t="s">
        <v>48</v>
      </c>
      <c r="E835" s="4" t="s">
        <v>25</v>
      </c>
      <c r="F835" s="4" t="s">
        <v>25</v>
      </c>
      <c r="G835" s="4" t="s">
        <v>25</v>
      </c>
      <c r="H835" s="4" t="s">
        <v>25</v>
      </c>
      <c r="I835" s="5">
        <v>44682</v>
      </c>
      <c r="J835" s="6">
        <v>6668</v>
      </c>
      <c r="K835" s="6">
        <v>6668</v>
      </c>
      <c r="L835" s="6">
        <v>0</v>
      </c>
      <c r="M835" s="6">
        <v>0</v>
      </c>
      <c r="N835" s="6">
        <v>0</v>
      </c>
      <c r="O835" s="6">
        <v>0</v>
      </c>
      <c r="P835" s="6">
        <v>72</v>
      </c>
      <c r="Q835" s="4" t="s">
        <v>26</v>
      </c>
      <c r="R835" s="4">
        <v>0</v>
      </c>
      <c r="S835" s="4" t="s">
        <v>240</v>
      </c>
      <c r="U835" s="4">
        <v>27</v>
      </c>
      <c r="V835" s="4">
        <v>0</v>
      </c>
      <c r="W835" s="4">
        <v>0</v>
      </c>
    </row>
    <row r="836" spans="1:23" ht="11.25" customHeight="1" x14ac:dyDescent="0.25">
      <c r="A836" s="4" t="s">
        <v>30</v>
      </c>
      <c r="B836" s="4" t="s">
        <v>41</v>
      </c>
      <c r="C836" s="4" t="s">
        <v>44</v>
      </c>
      <c r="D836" s="4" t="s">
        <v>48</v>
      </c>
      <c r="E836" s="4" t="s">
        <v>25</v>
      </c>
      <c r="F836" s="4" t="s">
        <v>25</v>
      </c>
      <c r="G836" s="4" t="s">
        <v>25</v>
      </c>
      <c r="H836" s="4" t="s">
        <v>25</v>
      </c>
      <c r="I836" s="5">
        <v>44682</v>
      </c>
      <c r="J836" s="6">
        <v>2430</v>
      </c>
      <c r="K836" s="6">
        <v>2430</v>
      </c>
      <c r="L836" s="6">
        <v>0</v>
      </c>
      <c r="M836" s="6">
        <v>0</v>
      </c>
      <c r="N836" s="6">
        <v>0</v>
      </c>
      <c r="O836" s="6">
        <v>0</v>
      </c>
      <c r="P836" s="6">
        <v>4</v>
      </c>
      <c r="Q836" s="4" t="s">
        <v>26</v>
      </c>
      <c r="R836" s="4">
        <v>0</v>
      </c>
      <c r="S836" s="4" t="s">
        <v>240</v>
      </c>
      <c r="U836" s="4">
        <v>27</v>
      </c>
      <c r="V836" s="4">
        <v>0</v>
      </c>
      <c r="W836" s="4">
        <v>0</v>
      </c>
    </row>
    <row r="837" spans="1:23" ht="11.25" customHeight="1" x14ac:dyDescent="0.25">
      <c r="A837" s="4" t="s">
        <v>21</v>
      </c>
      <c r="B837" s="4" t="s">
        <v>41</v>
      </c>
      <c r="C837" s="4" t="s">
        <v>44</v>
      </c>
      <c r="D837" s="4" t="s">
        <v>48</v>
      </c>
      <c r="E837" s="4" t="s">
        <v>25</v>
      </c>
      <c r="F837" s="4" t="s">
        <v>25</v>
      </c>
      <c r="G837" s="4" t="s">
        <v>25</v>
      </c>
      <c r="H837" s="4" t="s">
        <v>25</v>
      </c>
      <c r="I837" s="5">
        <v>44713</v>
      </c>
      <c r="J837" s="6">
        <v>27694</v>
      </c>
      <c r="K837" s="6">
        <v>27694</v>
      </c>
      <c r="L837" s="6">
        <v>0</v>
      </c>
      <c r="M837" s="6">
        <v>0</v>
      </c>
      <c r="N837" s="6">
        <v>0</v>
      </c>
      <c r="O837" s="6">
        <v>0</v>
      </c>
      <c r="P837" s="6">
        <v>258</v>
      </c>
      <c r="Q837" s="4" t="s">
        <v>26</v>
      </c>
      <c r="R837" s="4">
        <v>0</v>
      </c>
      <c r="S837" s="4" t="s">
        <v>241</v>
      </c>
      <c r="U837" s="4">
        <v>27</v>
      </c>
      <c r="V837" s="4">
        <v>0</v>
      </c>
      <c r="W837" s="4">
        <v>0</v>
      </c>
    </row>
    <row r="838" spans="1:23" ht="11.25" customHeight="1" x14ac:dyDescent="0.25">
      <c r="A838" s="4" t="s">
        <v>28</v>
      </c>
      <c r="B838" s="4" t="s">
        <v>41</v>
      </c>
      <c r="C838" s="4" t="s">
        <v>44</v>
      </c>
      <c r="D838" s="4" t="s">
        <v>48</v>
      </c>
      <c r="E838" s="4" t="s">
        <v>25</v>
      </c>
      <c r="F838" s="4" t="s">
        <v>25</v>
      </c>
      <c r="G838" s="4" t="s">
        <v>25</v>
      </c>
      <c r="H838" s="4" t="s">
        <v>25</v>
      </c>
      <c r="I838" s="5">
        <v>44713</v>
      </c>
      <c r="J838" s="6">
        <v>6638</v>
      </c>
      <c r="K838" s="6">
        <v>6638</v>
      </c>
      <c r="L838" s="6">
        <v>0</v>
      </c>
      <c r="M838" s="6">
        <v>0</v>
      </c>
      <c r="N838" s="6">
        <v>0</v>
      </c>
      <c r="O838" s="6">
        <v>0</v>
      </c>
      <c r="P838" s="6">
        <v>72</v>
      </c>
      <c r="Q838" s="4" t="s">
        <v>26</v>
      </c>
      <c r="R838" s="4">
        <v>0</v>
      </c>
      <c r="S838" s="4" t="s">
        <v>241</v>
      </c>
      <c r="U838" s="4">
        <v>27</v>
      </c>
      <c r="V838" s="4">
        <v>0</v>
      </c>
      <c r="W838" s="4">
        <v>0</v>
      </c>
    </row>
    <row r="839" spans="1:23" ht="11.25" customHeight="1" x14ac:dyDescent="0.25">
      <c r="A839" s="4" t="s">
        <v>30</v>
      </c>
      <c r="B839" s="4" t="s">
        <v>41</v>
      </c>
      <c r="C839" s="4" t="s">
        <v>44</v>
      </c>
      <c r="D839" s="4" t="s">
        <v>48</v>
      </c>
      <c r="E839" s="4" t="s">
        <v>25</v>
      </c>
      <c r="F839" s="4" t="s">
        <v>25</v>
      </c>
      <c r="G839" s="4" t="s">
        <v>25</v>
      </c>
      <c r="H839" s="4" t="s">
        <v>25</v>
      </c>
      <c r="I839" s="5">
        <v>44713</v>
      </c>
      <c r="J839" s="6">
        <v>2430</v>
      </c>
      <c r="K839" s="6">
        <v>2430</v>
      </c>
      <c r="L839" s="6">
        <v>0</v>
      </c>
      <c r="M839" s="6">
        <v>0</v>
      </c>
      <c r="N839" s="6">
        <v>0</v>
      </c>
      <c r="O839" s="6">
        <v>0</v>
      </c>
      <c r="P839" s="6">
        <v>4</v>
      </c>
      <c r="Q839" s="4" t="s">
        <v>26</v>
      </c>
      <c r="R839" s="4">
        <v>0</v>
      </c>
      <c r="S839" s="4" t="s">
        <v>241</v>
      </c>
      <c r="U839" s="4">
        <v>27</v>
      </c>
      <c r="V839" s="4">
        <v>0</v>
      </c>
      <c r="W839" s="4">
        <v>0</v>
      </c>
    </row>
    <row r="840" spans="1:23" ht="11.25" customHeight="1" x14ac:dyDescent="0.25">
      <c r="A840" s="4" t="s">
        <v>21</v>
      </c>
      <c r="B840" s="4" t="s">
        <v>41</v>
      </c>
      <c r="C840" s="4" t="s">
        <v>44</v>
      </c>
      <c r="D840" s="4" t="s">
        <v>48</v>
      </c>
      <c r="E840" s="4" t="s">
        <v>25</v>
      </c>
      <c r="F840" s="4" t="s">
        <v>25</v>
      </c>
      <c r="G840" s="4" t="s">
        <v>25</v>
      </c>
      <c r="H840" s="4" t="s">
        <v>25</v>
      </c>
      <c r="I840" s="5">
        <v>44743</v>
      </c>
      <c r="J840" s="6">
        <v>28367</v>
      </c>
      <c r="K840" s="6">
        <v>28367</v>
      </c>
      <c r="L840" s="6">
        <v>0</v>
      </c>
      <c r="M840" s="6">
        <v>0</v>
      </c>
      <c r="N840" s="6">
        <v>0</v>
      </c>
      <c r="O840" s="6">
        <v>0</v>
      </c>
      <c r="P840" s="6">
        <v>258</v>
      </c>
      <c r="Q840" s="4" t="s">
        <v>26</v>
      </c>
      <c r="R840" s="4">
        <v>0</v>
      </c>
      <c r="S840" s="4" t="s">
        <v>242</v>
      </c>
      <c r="U840" s="4">
        <v>27</v>
      </c>
      <c r="V840" s="4">
        <v>0</v>
      </c>
      <c r="W840" s="4">
        <v>0</v>
      </c>
    </row>
    <row r="841" spans="1:23" ht="11.25" customHeight="1" x14ac:dyDescent="0.25">
      <c r="A841" s="4" t="s">
        <v>28</v>
      </c>
      <c r="B841" s="4" t="s">
        <v>41</v>
      </c>
      <c r="C841" s="4" t="s">
        <v>44</v>
      </c>
      <c r="D841" s="4" t="s">
        <v>48</v>
      </c>
      <c r="E841" s="4" t="s">
        <v>25</v>
      </c>
      <c r="F841" s="4" t="s">
        <v>25</v>
      </c>
      <c r="G841" s="4" t="s">
        <v>25</v>
      </c>
      <c r="H841" s="4" t="s">
        <v>25</v>
      </c>
      <c r="I841" s="5">
        <v>44743</v>
      </c>
      <c r="J841" s="6">
        <v>6632</v>
      </c>
      <c r="K841" s="6">
        <v>6632</v>
      </c>
      <c r="L841" s="6">
        <v>0</v>
      </c>
      <c r="M841" s="6">
        <v>0</v>
      </c>
      <c r="N841" s="6">
        <v>0</v>
      </c>
      <c r="O841" s="6">
        <v>0</v>
      </c>
      <c r="P841" s="6">
        <v>72</v>
      </c>
      <c r="Q841" s="4" t="s">
        <v>26</v>
      </c>
      <c r="R841" s="4">
        <v>0</v>
      </c>
      <c r="S841" s="4" t="s">
        <v>242</v>
      </c>
      <c r="U841" s="4">
        <v>27</v>
      </c>
      <c r="V841" s="4">
        <v>0</v>
      </c>
      <c r="W841" s="4">
        <v>0</v>
      </c>
    </row>
    <row r="842" spans="1:23" ht="11.25" customHeight="1" x14ac:dyDescent="0.25">
      <c r="A842" s="4" t="s">
        <v>30</v>
      </c>
      <c r="B842" s="4" t="s">
        <v>41</v>
      </c>
      <c r="C842" s="4" t="s">
        <v>44</v>
      </c>
      <c r="D842" s="4" t="s">
        <v>48</v>
      </c>
      <c r="E842" s="4" t="s">
        <v>25</v>
      </c>
      <c r="F842" s="4" t="s">
        <v>25</v>
      </c>
      <c r="G842" s="4" t="s">
        <v>25</v>
      </c>
      <c r="H842" s="4" t="s">
        <v>25</v>
      </c>
      <c r="I842" s="5">
        <v>44743</v>
      </c>
      <c r="J842" s="6">
        <v>2430</v>
      </c>
      <c r="K842" s="6">
        <v>2430</v>
      </c>
      <c r="L842" s="6">
        <v>0</v>
      </c>
      <c r="M842" s="6">
        <v>0</v>
      </c>
      <c r="N842" s="6">
        <v>0</v>
      </c>
      <c r="O842" s="6">
        <v>0</v>
      </c>
      <c r="P842" s="6">
        <v>4</v>
      </c>
      <c r="Q842" s="4" t="s">
        <v>26</v>
      </c>
      <c r="R842" s="4">
        <v>0</v>
      </c>
      <c r="S842" s="4" t="s">
        <v>242</v>
      </c>
      <c r="U842" s="4">
        <v>27</v>
      </c>
      <c r="V842" s="4">
        <v>0</v>
      </c>
      <c r="W842" s="4">
        <v>0</v>
      </c>
    </row>
    <row r="843" spans="1:23" ht="11.25" customHeight="1" x14ac:dyDescent="0.25">
      <c r="A843" s="4" t="s">
        <v>21</v>
      </c>
      <c r="B843" s="4" t="s">
        <v>41</v>
      </c>
      <c r="C843" s="4" t="s">
        <v>44</v>
      </c>
      <c r="D843" s="4" t="s">
        <v>48</v>
      </c>
      <c r="E843" s="4" t="s">
        <v>25</v>
      </c>
      <c r="F843" s="4" t="s">
        <v>25</v>
      </c>
      <c r="G843" s="4" t="s">
        <v>25</v>
      </c>
      <c r="H843" s="4" t="s">
        <v>25</v>
      </c>
      <c r="I843" s="5">
        <v>44774</v>
      </c>
      <c r="J843" s="6">
        <v>28576</v>
      </c>
      <c r="K843" s="6">
        <v>28576</v>
      </c>
      <c r="L843" s="6">
        <v>0</v>
      </c>
      <c r="M843" s="6">
        <v>0</v>
      </c>
      <c r="N843" s="6">
        <v>0</v>
      </c>
      <c r="O843" s="6">
        <v>0</v>
      </c>
      <c r="P843" s="6">
        <v>257</v>
      </c>
      <c r="Q843" s="4" t="s">
        <v>26</v>
      </c>
      <c r="R843" s="4">
        <v>0</v>
      </c>
      <c r="S843" s="4" t="s">
        <v>243</v>
      </c>
      <c r="U843" s="4">
        <v>27</v>
      </c>
      <c r="V843" s="4">
        <v>0</v>
      </c>
      <c r="W843" s="4">
        <v>0</v>
      </c>
    </row>
    <row r="844" spans="1:23" ht="11.25" customHeight="1" x14ac:dyDescent="0.25">
      <c r="A844" s="4" t="s">
        <v>28</v>
      </c>
      <c r="B844" s="4" t="s">
        <v>41</v>
      </c>
      <c r="C844" s="4" t="s">
        <v>44</v>
      </c>
      <c r="D844" s="4" t="s">
        <v>48</v>
      </c>
      <c r="E844" s="4" t="s">
        <v>25</v>
      </c>
      <c r="F844" s="4" t="s">
        <v>25</v>
      </c>
      <c r="G844" s="4" t="s">
        <v>25</v>
      </c>
      <c r="H844" s="4" t="s">
        <v>25</v>
      </c>
      <c r="I844" s="5">
        <v>44774</v>
      </c>
      <c r="J844" s="6">
        <v>6734</v>
      </c>
      <c r="K844" s="6">
        <v>6734</v>
      </c>
      <c r="L844" s="6">
        <v>0</v>
      </c>
      <c r="M844" s="6">
        <v>0</v>
      </c>
      <c r="N844" s="6">
        <v>0</v>
      </c>
      <c r="O844" s="6">
        <v>0</v>
      </c>
      <c r="P844" s="6">
        <v>72</v>
      </c>
      <c r="Q844" s="4" t="s">
        <v>26</v>
      </c>
      <c r="R844" s="4">
        <v>0</v>
      </c>
      <c r="S844" s="4" t="s">
        <v>243</v>
      </c>
      <c r="U844" s="4">
        <v>27</v>
      </c>
      <c r="V844" s="4">
        <v>0</v>
      </c>
      <c r="W844" s="4">
        <v>0</v>
      </c>
    </row>
    <row r="845" spans="1:23" ht="11.25" customHeight="1" x14ac:dyDescent="0.25">
      <c r="A845" s="4" t="s">
        <v>30</v>
      </c>
      <c r="B845" s="4" t="s">
        <v>41</v>
      </c>
      <c r="C845" s="4" t="s">
        <v>44</v>
      </c>
      <c r="D845" s="4" t="s">
        <v>48</v>
      </c>
      <c r="E845" s="4" t="s">
        <v>25</v>
      </c>
      <c r="F845" s="4" t="s">
        <v>25</v>
      </c>
      <c r="G845" s="4" t="s">
        <v>25</v>
      </c>
      <c r="H845" s="4" t="s">
        <v>25</v>
      </c>
      <c r="I845" s="5">
        <v>44774</v>
      </c>
      <c r="J845" s="6">
        <v>2690</v>
      </c>
      <c r="K845" s="6">
        <v>2690</v>
      </c>
      <c r="L845" s="6">
        <v>0</v>
      </c>
      <c r="M845" s="6">
        <v>0</v>
      </c>
      <c r="N845" s="6">
        <v>0</v>
      </c>
      <c r="O845" s="6">
        <v>0</v>
      </c>
      <c r="P845" s="6">
        <v>5</v>
      </c>
      <c r="Q845" s="4" t="s">
        <v>26</v>
      </c>
      <c r="R845" s="4">
        <v>0</v>
      </c>
      <c r="S845" s="4" t="s">
        <v>243</v>
      </c>
      <c r="U845" s="4">
        <v>27</v>
      </c>
      <c r="V845" s="4">
        <v>0</v>
      </c>
      <c r="W845" s="4">
        <v>0</v>
      </c>
    </row>
    <row r="846" spans="1:23" ht="11.25" customHeight="1" x14ac:dyDescent="0.25">
      <c r="A846" s="4" t="s">
        <v>21</v>
      </c>
      <c r="B846" s="4" t="s">
        <v>41</v>
      </c>
      <c r="C846" s="4" t="s">
        <v>44</v>
      </c>
      <c r="D846" s="4" t="s">
        <v>48</v>
      </c>
      <c r="E846" s="4" t="s">
        <v>25</v>
      </c>
      <c r="F846" s="4" t="s">
        <v>25</v>
      </c>
      <c r="G846" s="4" t="s">
        <v>25</v>
      </c>
      <c r="H846" s="4" t="s">
        <v>25</v>
      </c>
      <c r="I846" s="5">
        <v>44805</v>
      </c>
      <c r="J846" s="6">
        <v>28221</v>
      </c>
      <c r="K846" s="6">
        <v>28221</v>
      </c>
      <c r="L846" s="6">
        <v>0</v>
      </c>
      <c r="M846" s="6">
        <v>0</v>
      </c>
      <c r="N846" s="6">
        <v>0</v>
      </c>
      <c r="O846" s="6">
        <v>0</v>
      </c>
      <c r="P846" s="6">
        <v>257</v>
      </c>
      <c r="Q846" s="4" t="s">
        <v>26</v>
      </c>
      <c r="R846" s="4">
        <v>0</v>
      </c>
      <c r="S846" s="4" t="s">
        <v>244</v>
      </c>
      <c r="U846" s="4">
        <v>27</v>
      </c>
      <c r="V846" s="4">
        <v>0</v>
      </c>
      <c r="W846" s="4">
        <v>0</v>
      </c>
    </row>
    <row r="847" spans="1:23" ht="11.25" customHeight="1" x14ac:dyDescent="0.25">
      <c r="A847" s="4" t="s">
        <v>28</v>
      </c>
      <c r="B847" s="4" t="s">
        <v>41</v>
      </c>
      <c r="C847" s="4" t="s">
        <v>44</v>
      </c>
      <c r="D847" s="4" t="s">
        <v>48</v>
      </c>
      <c r="E847" s="4" t="s">
        <v>25</v>
      </c>
      <c r="F847" s="4" t="s">
        <v>25</v>
      </c>
      <c r="G847" s="4" t="s">
        <v>25</v>
      </c>
      <c r="H847" s="4" t="s">
        <v>25</v>
      </c>
      <c r="I847" s="5">
        <v>44805</v>
      </c>
      <c r="J847" s="6">
        <v>6774</v>
      </c>
      <c r="K847" s="6">
        <v>6774</v>
      </c>
      <c r="L847" s="6">
        <v>0</v>
      </c>
      <c r="M847" s="6">
        <v>0</v>
      </c>
      <c r="N847" s="6">
        <v>0</v>
      </c>
      <c r="O847" s="6">
        <v>0</v>
      </c>
      <c r="P847" s="6">
        <v>72</v>
      </c>
      <c r="Q847" s="4" t="s">
        <v>26</v>
      </c>
      <c r="R847" s="4">
        <v>0</v>
      </c>
      <c r="S847" s="4" t="s">
        <v>244</v>
      </c>
      <c r="U847" s="4">
        <v>27</v>
      </c>
      <c r="V847" s="4">
        <v>0</v>
      </c>
      <c r="W847" s="4">
        <v>0</v>
      </c>
    </row>
    <row r="848" spans="1:23" ht="11.25" customHeight="1" x14ac:dyDescent="0.25">
      <c r="A848" s="4" t="s">
        <v>30</v>
      </c>
      <c r="B848" s="4" t="s">
        <v>41</v>
      </c>
      <c r="C848" s="4" t="s">
        <v>44</v>
      </c>
      <c r="D848" s="4" t="s">
        <v>48</v>
      </c>
      <c r="E848" s="4" t="s">
        <v>25</v>
      </c>
      <c r="F848" s="4" t="s">
        <v>25</v>
      </c>
      <c r="G848" s="4" t="s">
        <v>25</v>
      </c>
      <c r="H848" s="4" t="s">
        <v>25</v>
      </c>
      <c r="I848" s="5">
        <v>44805</v>
      </c>
      <c r="J848" s="6">
        <v>2701</v>
      </c>
      <c r="K848" s="6">
        <v>2701</v>
      </c>
      <c r="L848" s="6">
        <v>0</v>
      </c>
      <c r="M848" s="6">
        <v>0</v>
      </c>
      <c r="N848" s="6">
        <v>0</v>
      </c>
      <c r="O848" s="6">
        <v>0</v>
      </c>
      <c r="P848" s="6">
        <v>5</v>
      </c>
      <c r="Q848" s="4" t="s">
        <v>26</v>
      </c>
      <c r="R848" s="4">
        <v>0</v>
      </c>
      <c r="S848" s="4" t="s">
        <v>244</v>
      </c>
      <c r="U848" s="4">
        <v>27</v>
      </c>
      <c r="V848" s="4">
        <v>0</v>
      </c>
      <c r="W848" s="4">
        <v>0</v>
      </c>
    </row>
    <row r="849" spans="1:23" ht="11.25" customHeight="1" x14ac:dyDescent="0.25">
      <c r="A849" s="4" t="s">
        <v>21</v>
      </c>
      <c r="B849" s="4" t="s">
        <v>41</v>
      </c>
      <c r="C849" s="4" t="s">
        <v>44</v>
      </c>
      <c r="D849" s="4" t="s">
        <v>48</v>
      </c>
      <c r="E849" s="4" t="s">
        <v>25</v>
      </c>
      <c r="F849" s="4" t="s">
        <v>25</v>
      </c>
      <c r="G849" s="4" t="s">
        <v>25</v>
      </c>
      <c r="H849" s="4" t="s">
        <v>25</v>
      </c>
      <c r="I849" s="5">
        <v>44835</v>
      </c>
      <c r="J849" s="6">
        <v>28065</v>
      </c>
      <c r="K849" s="6">
        <v>28065</v>
      </c>
      <c r="L849" s="6">
        <v>0</v>
      </c>
      <c r="M849" s="6">
        <v>0</v>
      </c>
      <c r="N849" s="6">
        <v>0</v>
      </c>
      <c r="O849" s="6">
        <v>0</v>
      </c>
      <c r="P849" s="6">
        <v>255</v>
      </c>
      <c r="Q849" s="4" t="s">
        <v>26</v>
      </c>
      <c r="R849" s="4">
        <v>0</v>
      </c>
      <c r="S849" s="4" t="s">
        <v>245</v>
      </c>
      <c r="U849" s="4">
        <v>27</v>
      </c>
      <c r="V849" s="4">
        <v>0</v>
      </c>
      <c r="W849" s="4">
        <v>0</v>
      </c>
    </row>
    <row r="850" spans="1:23" ht="11.25" customHeight="1" x14ac:dyDescent="0.25">
      <c r="A850" s="4" t="s">
        <v>28</v>
      </c>
      <c r="B850" s="4" t="s">
        <v>41</v>
      </c>
      <c r="C850" s="4" t="s">
        <v>44</v>
      </c>
      <c r="D850" s="4" t="s">
        <v>48</v>
      </c>
      <c r="E850" s="4" t="s">
        <v>25</v>
      </c>
      <c r="F850" s="4" t="s">
        <v>25</v>
      </c>
      <c r="G850" s="4" t="s">
        <v>25</v>
      </c>
      <c r="H850" s="4" t="s">
        <v>25</v>
      </c>
      <c r="I850" s="5">
        <v>44835</v>
      </c>
      <c r="J850" s="6">
        <v>6952</v>
      </c>
      <c r="K850" s="6">
        <v>6952</v>
      </c>
      <c r="L850" s="6">
        <v>0</v>
      </c>
      <c r="M850" s="6">
        <v>0</v>
      </c>
      <c r="N850" s="6">
        <v>0</v>
      </c>
      <c r="O850" s="6">
        <v>0</v>
      </c>
      <c r="P850" s="6">
        <v>72</v>
      </c>
      <c r="Q850" s="4" t="s">
        <v>26</v>
      </c>
      <c r="R850" s="4">
        <v>0</v>
      </c>
      <c r="S850" s="4" t="s">
        <v>245</v>
      </c>
      <c r="U850" s="4">
        <v>27</v>
      </c>
      <c r="V850" s="4">
        <v>0</v>
      </c>
      <c r="W850" s="4">
        <v>0</v>
      </c>
    </row>
    <row r="851" spans="1:23" ht="11.25" customHeight="1" x14ac:dyDescent="0.25">
      <c r="A851" s="4" t="s">
        <v>30</v>
      </c>
      <c r="B851" s="4" t="s">
        <v>41</v>
      </c>
      <c r="C851" s="4" t="s">
        <v>44</v>
      </c>
      <c r="D851" s="4" t="s">
        <v>48</v>
      </c>
      <c r="E851" s="4" t="s">
        <v>25</v>
      </c>
      <c r="F851" s="4" t="s">
        <v>25</v>
      </c>
      <c r="G851" s="4" t="s">
        <v>25</v>
      </c>
      <c r="H851" s="4" t="s">
        <v>25</v>
      </c>
      <c r="I851" s="5">
        <v>44835</v>
      </c>
      <c r="J851" s="6">
        <v>2910</v>
      </c>
      <c r="K851" s="6">
        <v>2910</v>
      </c>
      <c r="L851" s="6">
        <v>0</v>
      </c>
      <c r="M851" s="6">
        <v>0</v>
      </c>
      <c r="N851" s="6">
        <v>0</v>
      </c>
      <c r="O851" s="6">
        <v>0</v>
      </c>
      <c r="P851" s="6">
        <v>6</v>
      </c>
      <c r="Q851" s="4" t="s">
        <v>26</v>
      </c>
      <c r="R851" s="4">
        <v>0</v>
      </c>
      <c r="S851" s="4" t="s">
        <v>245</v>
      </c>
      <c r="U851" s="4">
        <v>27</v>
      </c>
      <c r="V851" s="4">
        <v>0</v>
      </c>
      <c r="W851" s="4">
        <v>0</v>
      </c>
    </row>
    <row r="852" spans="1:23" ht="11.25" customHeight="1" x14ac:dyDescent="0.25">
      <c r="A852" s="4" t="s">
        <v>59</v>
      </c>
      <c r="B852" s="4" t="s">
        <v>41</v>
      </c>
      <c r="C852" s="4" t="s">
        <v>44</v>
      </c>
      <c r="D852" s="4" t="s">
        <v>48</v>
      </c>
      <c r="E852" s="4" t="s">
        <v>25</v>
      </c>
      <c r="F852" s="4" t="s">
        <v>25</v>
      </c>
      <c r="G852" s="4" t="s">
        <v>25</v>
      </c>
      <c r="H852" s="4" t="s">
        <v>25</v>
      </c>
      <c r="I852" s="5">
        <v>44866</v>
      </c>
      <c r="J852" s="6">
        <v>28065</v>
      </c>
      <c r="K852" s="6">
        <v>28065</v>
      </c>
      <c r="L852" s="6">
        <v>0</v>
      </c>
      <c r="M852" s="6">
        <v>0</v>
      </c>
      <c r="N852" s="6">
        <v>0</v>
      </c>
      <c r="O852" s="6">
        <v>0</v>
      </c>
      <c r="P852" s="6">
        <v>255</v>
      </c>
      <c r="Q852" s="4" t="s">
        <v>26</v>
      </c>
      <c r="R852" s="4">
        <v>0</v>
      </c>
      <c r="S852" s="4" t="s">
        <v>246</v>
      </c>
      <c r="U852" s="4">
        <v>27</v>
      </c>
      <c r="V852" s="4">
        <v>0</v>
      </c>
      <c r="W852" s="4">
        <v>0</v>
      </c>
    </row>
    <row r="853" spans="1:23" ht="11.25" customHeight="1" x14ac:dyDescent="0.25">
      <c r="A853" s="4" t="s">
        <v>59</v>
      </c>
      <c r="B853" s="4" t="s">
        <v>41</v>
      </c>
      <c r="C853" s="4" t="s">
        <v>44</v>
      </c>
      <c r="D853" s="4" t="s">
        <v>48</v>
      </c>
      <c r="E853" s="4" t="s">
        <v>25</v>
      </c>
      <c r="F853" s="4" t="s">
        <v>25</v>
      </c>
      <c r="G853" s="4" t="s">
        <v>25</v>
      </c>
      <c r="H853" s="4" t="s">
        <v>25</v>
      </c>
      <c r="I853" s="5">
        <v>44866</v>
      </c>
      <c r="J853" s="6">
        <v>6952</v>
      </c>
      <c r="K853" s="6">
        <v>6952</v>
      </c>
      <c r="L853" s="6">
        <v>0</v>
      </c>
      <c r="M853" s="6">
        <v>0</v>
      </c>
      <c r="N853" s="6">
        <v>0</v>
      </c>
      <c r="O853" s="6">
        <v>0</v>
      </c>
      <c r="P853" s="6">
        <v>72</v>
      </c>
      <c r="Q853" s="4" t="s">
        <v>26</v>
      </c>
      <c r="R853" s="4">
        <v>0</v>
      </c>
      <c r="S853" s="4" t="s">
        <v>246</v>
      </c>
      <c r="U853" s="4">
        <v>27</v>
      </c>
      <c r="V853" s="4">
        <v>0</v>
      </c>
      <c r="W853" s="4">
        <v>0</v>
      </c>
    </row>
    <row r="854" spans="1:23" ht="11.25" customHeight="1" x14ac:dyDescent="0.25">
      <c r="A854" s="4" t="s">
        <v>59</v>
      </c>
      <c r="B854" s="4" t="s">
        <v>41</v>
      </c>
      <c r="C854" s="4" t="s">
        <v>44</v>
      </c>
      <c r="D854" s="4" t="s">
        <v>48</v>
      </c>
      <c r="E854" s="4" t="s">
        <v>25</v>
      </c>
      <c r="F854" s="4" t="s">
        <v>25</v>
      </c>
      <c r="G854" s="4" t="s">
        <v>25</v>
      </c>
      <c r="H854" s="4" t="s">
        <v>25</v>
      </c>
      <c r="I854" s="5">
        <v>44866</v>
      </c>
      <c r="J854" s="6">
        <v>2910</v>
      </c>
      <c r="K854" s="6">
        <v>2910</v>
      </c>
      <c r="L854" s="6">
        <v>0</v>
      </c>
      <c r="M854" s="6">
        <v>0</v>
      </c>
      <c r="N854" s="6">
        <v>0</v>
      </c>
      <c r="O854" s="6">
        <v>0</v>
      </c>
      <c r="P854" s="6">
        <v>6</v>
      </c>
      <c r="Q854" s="4" t="s">
        <v>26</v>
      </c>
      <c r="R854" s="4">
        <v>0</v>
      </c>
      <c r="S854" s="4" t="s">
        <v>246</v>
      </c>
      <c r="U854" s="4">
        <v>27</v>
      </c>
      <c r="V854" s="4">
        <v>0</v>
      </c>
      <c r="W854" s="4">
        <v>0</v>
      </c>
    </row>
    <row r="855" spans="1:23" ht="11.25" customHeight="1" x14ac:dyDescent="0.25">
      <c r="A855" s="4" t="s">
        <v>21</v>
      </c>
      <c r="B855" s="4" t="s">
        <v>41</v>
      </c>
      <c r="C855" s="4" t="s">
        <v>44</v>
      </c>
      <c r="D855" s="4" t="s">
        <v>48</v>
      </c>
      <c r="E855" s="4" t="s">
        <v>25</v>
      </c>
      <c r="F855" s="4" t="s">
        <v>25</v>
      </c>
      <c r="G855" s="4" t="s">
        <v>25</v>
      </c>
      <c r="H855" s="4" t="s">
        <v>36</v>
      </c>
      <c r="I855" s="5">
        <v>44531</v>
      </c>
      <c r="J855" s="6">
        <v>0</v>
      </c>
      <c r="K855" s="6">
        <v>0</v>
      </c>
      <c r="L855" s="6">
        <v>243.60900000000001</v>
      </c>
      <c r="M855" s="6">
        <v>243.60900000000001</v>
      </c>
      <c r="N855" s="6">
        <v>243.60900000000001</v>
      </c>
      <c r="O855" s="6">
        <v>243.60900000000001</v>
      </c>
      <c r="P855" s="6">
        <v>0</v>
      </c>
      <c r="Q855" s="4" t="s">
        <v>26</v>
      </c>
      <c r="R855" s="4">
        <v>0</v>
      </c>
      <c r="S855" s="4" t="s">
        <v>247</v>
      </c>
      <c r="T855" s="4" t="s">
        <v>504</v>
      </c>
      <c r="U855" s="4">
        <v>0</v>
      </c>
      <c r="V855" s="4">
        <v>28</v>
      </c>
      <c r="W855" s="4">
        <v>74</v>
      </c>
    </row>
    <row r="856" spans="1:23" ht="11.25" customHeight="1" x14ac:dyDescent="0.25">
      <c r="A856" s="4" t="s">
        <v>28</v>
      </c>
      <c r="B856" s="4" t="s">
        <v>41</v>
      </c>
      <c r="C856" s="4" t="s">
        <v>44</v>
      </c>
      <c r="D856" s="4" t="s">
        <v>48</v>
      </c>
      <c r="E856" s="4" t="s">
        <v>25</v>
      </c>
      <c r="F856" s="4" t="s">
        <v>25</v>
      </c>
      <c r="G856" s="4" t="s">
        <v>25</v>
      </c>
      <c r="H856" s="4" t="s">
        <v>36</v>
      </c>
      <c r="I856" s="5">
        <v>44531</v>
      </c>
      <c r="J856" s="6">
        <v>0</v>
      </c>
      <c r="K856" s="6">
        <v>0</v>
      </c>
      <c r="L856" s="6">
        <v>63.03</v>
      </c>
      <c r="M856" s="6">
        <v>63.03</v>
      </c>
      <c r="N856" s="6">
        <v>63.03</v>
      </c>
      <c r="O856" s="6">
        <v>63.03</v>
      </c>
      <c r="P856" s="6">
        <v>0</v>
      </c>
      <c r="Q856" s="4" t="s">
        <v>26</v>
      </c>
      <c r="R856" s="4">
        <v>0</v>
      </c>
      <c r="S856" s="4" t="s">
        <v>247</v>
      </c>
      <c r="T856" s="4" t="s">
        <v>504</v>
      </c>
      <c r="U856" s="4">
        <v>0</v>
      </c>
      <c r="V856" s="4">
        <v>28</v>
      </c>
      <c r="W856" s="4">
        <v>74</v>
      </c>
    </row>
    <row r="857" spans="1:23" ht="11.25" customHeight="1" x14ac:dyDescent="0.25">
      <c r="A857" s="4" t="s">
        <v>30</v>
      </c>
      <c r="B857" s="4" t="s">
        <v>41</v>
      </c>
      <c r="C857" s="4" t="s">
        <v>44</v>
      </c>
      <c r="D857" s="4" t="s">
        <v>48</v>
      </c>
      <c r="E857" s="4" t="s">
        <v>25</v>
      </c>
      <c r="F857" s="4" t="s">
        <v>25</v>
      </c>
      <c r="G857" s="4" t="s">
        <v>25</v>
      </c>
      <c r="H857" s="4" t="s">
        <v>36</v>
      </c>
      <c r="I857" s="5">
        <v>44531</v>
      </c>
      <c r="J857" s="6">
        <v>0</v>
      </c>
      <c r="K857" s="6">
        <v>0</v>
      </c>
      <c r="L857" s="6">
        <v>23.442</v>
      </c>
      <c r="M857" s="6">
        <v>23.442</v>
      </c>
      <c r="N857" s="6">
        <v>23.442</v>
      </c>
      <c r="O857" s="6">
        <v>23.442</v>
      </c>
      <c r="P857" s="6">
        <v>0</v>
      </c>
      <c r="Q857" s="4" t="s">
        <v>26</v>
      </c>
      <c r="R857" s="4">
        <v>0</v>
      </c>
      <c r="S857" s="4" t="s">
        <v>247</v>
      </c>
      <c r="T857" s="4" t="s">
        <v>504</v>
      </c>
      <c r="U857" s="4">
        <v>0</v>
      </c>
      <c r="V857" s="4">
        <v>28</v>
      </c>
      <c r="W857" s="4">
        <v>74</v>
      </c>
    </row>
    <row r="858" spans="1:23" ht="11.25" customHeight="1" x14ac:dyDescent="0.25">
      <c r="A858" s="4" t="s">
        <v>21</v>
      </c>
      <c r="B858" s="4" t="s">
        <v>41</v>
      </c>
      <c r="C858" s="4" t="s">
        <v>44</v>
      </c>
      <c r="D858" s="4" t="s">
        <v>48</v>
      </c>
      <c r="E858" s="4" t="s">
        <v>25</v>
      </c>
      <c r="F858" s="4" t="s">
        <v>25</v>
      </c>
      <c r="G858" s="4" t="s">
        <v>25</v>
      </c>
      <c r="H858" s="4" t="s">
        <v>36</v>
      </c>
      <c r="I858" s="5">
        <v>44562</v>
      </c>
      <c r="J858" s="6">
        <v>0</v>
      </c>
      <c r="K858" s="6">
        <v>0</v>
      </c>
      <c r="L858" s="6">
        <v>241.51599999999999</v>
      </c>
      <c r="M858" s="6">
        <v>241.51599999999999</v>
      </c>
      <c r="N858" s="6">
        <v>241.51599999999999</v>
      </c>
      <c r="O858" s="6">
        <v>241.51599999999999</v>
      </c>
      <c r="P858" s="6">
        <v>0</v>
      </c>
      <c r="Q858" s="4" t="s">
        <v>26</v>
      </c>
      <c r="R858" s="4">
        <v>0</v>
      </c>
      <c r="S858" s="4" t="s">
        <v>248</v>
      </c>
      <c r="T858" s="4" t="s">
        <v>505</v>
      </c>
      <c r="U858" s="4">
        <v>0</v>
      </c>
      <c r="V858" s="4">
        <v>28</v>
      </c>
      <c r="W858" s="4">
        <v>74</v>
      </c>
    </row>
    <row r="859" spans="1:23" ht="11.25" customHeight="1" x14ac:dyDescent="0.25">
      <c r="A859" s="4" t="s">
        <v>28</v>
      </c>
      <c r="B859" s="4" t="s">
        <v>41</v>
      </c>
      <c r="C859" s="4" t="s">
        <v>44</v>
      </c>
      <c r="D859" s="4" t="s">
        <v>48</v>
      </c>
      <c r="E859" s="4" t="s">
        <v>25</v>
      </c>
      <c r="F859" s="4" t="s">
        <v>25</v>
      </c>
      <c r="G859" s="4" t="s">
        <v>25</v>
      </c>
      <c r="H859" s="4" t="s">
        <v>36</v>
      </c>
      <c r="I859" s="5">
        <v>44562</v>
      </c>
      <c r="J859" s="6">
        <v>0</v>
      </c>
      <c r="K859" s="6">
        <v>0</v>
      </c>
      <c r="L859" s="6">
        <v>63.674999999999997</v>
      </c>
      <c r="M859" s="6">
        <v>63.674999999999997</v>
      </c>
      <c r="N859" s="6">
        <v>63.674999999999997</v>
      </c>
      <c r="O859" s="6">
        <v>63.674999999999997</v>
      </c>
      <c r="P859" s="6">
        <v>0</v>
      </c>
      <c r="Q859" s="4" t="s">
        <v>26</v>
      </c>
      <c r="R859" s="4">
        <v>0</v>
      </c>
      <c r="S859" s="4" t="s">
        <v>248</v>
      </c>
      <c r="T859" s="4" t="s">
        <v>505</v>
      </c>
      <c r="U859" s="4">
        <v>0</v>
      </c>
      <c r="V859" s="4">
        <v>28</v>
      </c>
      <c r="W859" s="4">
        <v>74</v>
      </c>
    </row>
    <row r="860" spans="1:23" ht="11.25" customHeight="1" x14ac:dyDescent="0.25">
      <c r="A860" s="4" t="s">
        <v>29</v>
      </c>
      <c r="B860" s="4" t="s">
        <v>41</v>
      </c>
      <c r="C860" s="4" t="s">
        <v>44</v>
      </c>
      <c r="D860" s="4" t="s">
        <v>48</v>
      </c>
      <c r="E860" s="4" t="s">
        <v>25</v>
      </c>
      <c r="F860" s="4" t="s">
        <v>25</v>
      </c>
      <c r="G860" s="4" t="s">
        <v>25</v>
      </c>
      <c r="H860" s="4" t="s">
        <v>36</v>
      </c>
      <c r="I860" s="5">
        <v>44562</v>
      </c>
      <c r="J860" s="6">
        <v>0</v>
      </c>
      <c r="K860" s="6">
        <v>0</v>
      </c>
      <c r="L860" s="6">
        <v>-1.44</v>
      </c>
      <c r="M860" s="6">
        <v>-1.44</v>
      </c>
      <c r="N860" s="6">
        <v>-1.44</v>
      </c>
      <c r="O860" s="6">
        <v>-1.44</v>
      </c>
      <c r="P860" s="6">
        <v>0</v>
      </c>
      <c r="Q860" s="4" t="s">
        <v>26</v>
      </c>
      <c r="R860" s="4">
        <v>0</v>
      </c>
      <c r="S860" s="4" t="s">
        <v>248</v>
      </c>
      <c r="T860" s="4" t="s">
        <v>505</v>
      </c>
      <c r="U860" s="4">
        <v>0</v>
      </c>
      <c r="V860" s="4">
        <v>28</v>
      </c>
      <c r="W860" s="4">
        <v>74</v>
      </c>
    </row>
    <row r="861" spans="1:23" ht="11.25" customHeight="1" x14ac:dyDescent="0.25">
      <c r="A861" s="4" t="s">
        <v>30</v>
      </c>
      <c r="B861" s="4" t="s">
        <v>41</v>
      </c>
      <c r="C861" s="4" t="s">
        <v>44</v>
      </c>
      <c r="D861" s="4" t="s">
        <v>48</v>
      </c>
      <c r="E861" s="4" t="s">
        <v>25</v>
      </c>
      <c r="F861" s="4" t="s">
        <v>25</v>
      </c>
      <c r="G861" s="4" t="s">
        <v>25</v>
      </c>
      <c r="H861" s="4" t="s">
        <v>36</v>
      </c>
      <c r="I861" s="5">
        <v>44562</v>
      </c>
      <c r="J861" s="6">
        <v>0</v>
      </c>
      <c r="K861" s="6">
        <v>0</v>
      </c>
      <c r="L861" s="6">
        <v>21.686</v>
      </c>
      <c r="M861" s="6">
        <v>21.686</v>
      </c>
      <c r="N861" s="6">
        <v>21.686</v>
      </c>
      <c r="O861" s="6">
        <v>21.686</v>
      </c>
      <c r="P861" s="6">
        <v>0</v>
      </c>
      <c r="Q861" s="4" t="s">
        <v>26</v>
      </c>
      <c r="R861" s="4">
        <v>0</v>
      </c>
      <c r="S861" s="4" t="s">
        <v>248</v>
      </c>
      <c r="T861" s="4" t="s">
        <v>505</v>
      </c>
      <c r="U861" s="4">
        <v>0</v>
      </c>
      <c r="V861" s="4">
        <v>28</v>
      </c>
      <c r="W861" s="4">
        <v>74</v>
      </c>
    </row>
    <row r="862" spans="1:23" ht="11.25" customHeight="1" x14ac:dyDescent="0.25">
      <c r="A862" s="4" t="s">
        <v>21</v>
      </c>
      <c r="B862" s="4" t="s">
        <v>41</v>
      </c>
      <c r="C862" s="4" t="s">
        <v>44</v>
      </c>
      <c r="D862" s="4" t="s">
        <v>48</v>
      </c>
      <c r="E862" s="4" t="s">
        <v>25</v>
      </c>
      <c r="F862" s="4" t="s">
        <v>25</v>
      </c>
      <c r="G862" s="4" t="s">
        <v>25</v>
      </c>
      <c r="H862" s="4" t="s">
        <v>36</v>
      </c>
      <c r="I862" s="5">
        <v>44593</v>
      </c>
      <c r="J862" s="6">
        <v>0</v>
      </c>
      <c r="K862" s="6">
        <v>0</v>
      </c>
      <c r="L862" s="6">
        <v>215.90700000000001</v>
      </c>
      <c r="M862" s="6">
        <v>215.90700000000001</v>
      </c>
      <c r="N862" s="6">
        <v>215.90700000000001</v>
      </c>
      <c r="O862" s="6">
        <v>215.90700000000001</v>
      </c>
      <c r="P862" s="6">
        <v>0</v>
      </c>
      <c r="Q862" s="4" t="s">
        <v>26</v>
      </c>
      <c r="R862" s="4">
        <v>0</v>
      </c>
      <c r="S862" s="4" t="s">
        <v>249</v>
      </c>
      <c r="T862" s="4" t="s">
        <v>506</v>
      </c>
      <c r="U862" s="4">
        <v>0</v>
      </c>
      <c r="V862" s="4">
        <v>28</v>
      </c>
      <c r="W862" s="4">
        <v>74</v>
      </c>
    </row>
    <row r="863" spans="1:23" ht="11.25" customHeight="1" x14ac:dyDescent="0.25">
      <c r="A863" s="4" t="s">
        <v>27</v>
      </c>
      <c r="B863" s="4" t="s">
        <v>41</v>
      </c>
      <c r="C863" s="4" t="s">
        <v>44</v>
      </c>
      <c r="D863" s="4" t="s">
        <v>48</v>
      </c>
      <c r="E863" s="4" t="s">
        <v>25</v>
      </c>
      <c r="F863" s="4" t="s">
        <v>25</v>
      </c>
      <c r="G863" s="4" t="s">
        <v>25</v>
      </c>
      <c r="H863" s="4" t="s">
        <v>36</v>
      </c>
      <c r="I863" s="5">
        <v>44593</v>
      </c>
      <c r="J863" s="6">
        <v>0</v>
      </c>
      <c r="K863" s="6">
        <v>0</v>
      </c>
      <c r="L863" s="6">
        <v>0.63</v>
      </c>
      <c r="M863" s="6">
        <v>0.63</v>
      </c>
      <c r="N863" s="6">
        <v>0.63</v>
      </c>
      <c r="O863" s="6">
        <v>0.63</v>
      </c>
      <c r="P863" s="6">
        <v>0</v>
      </c>
      <c r="Q863" s="4" t="s">
        <v>26</v>
      </c>
      <c r="R863" s="4">
        <v>0</v>
      </c>
      <c r="S863" s="4" t="s">
        <v>249</v>
      </c>
      <c r="T863" s="4" t="s">
        <v>506</v>
      </c>
      <c r="U863" s="4">
        <v>0</v>
      </c>
      <c r="V863" s="4">
        <v>28</v>
      </c>
      <c r="W863" s="4">
        <v>74</v>
      </c>
    </row>
    <row r="864" spans="1:23" ht="11.25" customHeight="1" x14ac:dyDescent="0.25">
      <c r="A864" s="4" t="s">
        <v>28</v>
      </c>
      <c r="B864" s="4" t="s">
        <v>41</v>
      </c>
      <c r="C864" s="4" t="s">
        <v>44</v>
      </c>
      <c r="D864" s="4" t="s">
        <v>48</v>
      </c>
      <c r="E864" s="4" t="s">
        <v>25</v>
      </c>
      <c r="F864" s="4" t="s">
        <v>25</v>
      </c>
      <c r="G864" s="4" t="s">
        <v>25</v>
      </c>
      <c r="H864" s="4" t="s">
        <v>36</v>
      </c>
      <c r="I864" s="5">
        <v>44593</v>
      </c>
      <c r="J864" s="6">
        <v>0</v>
      </c>
      <c r="K864" s="6">
        <v>0</v>
      </c>
      <c r="L864" s="6">
        <v>57.052999999999997</v>
      </c>
      <c r="M864" s="6">
        <v>57.052999999999997</v>
      </c>
      <c r="N864" s="6">
        <v>57.052999999999997</v>
      </c>
      <c r="O864" s="6">
        <v>57.052999999999997</v>
      </c>
      <c r="P864" s="6">
        <v>0</v>
      </c>
      <c r="Q864" s="4" t="s">
        <v>26</v>
      </c>
      <c r="R864" s="4">
        <v>0</v>
      </c>
      <c r="S864" s="4" t="s">
        <v>249</v>
      </c>
      <c r="T864" s="4" t="s">
        <v>506</v>
      </c>
      <c r="U864" s="4">
        <v>0</v>
      </c>
      <c r="V864" s="4">
        <v>28</v>
      </c>
      <c r="W864" s="4">
        <v>74</v>
      </c>
    </row>
    <row r="865" spans="1:23" ht="11.25" customHeight="1" x14ac:dyDescent="0.25">
      <c r="A865" s="4" t="s">
        <v>30</v>
      </c>
      <c r="B865" s="4" t="s">
        <v>41</v>
      </c>
      <c r="C865" s="4" t="s">
        <v>44</v>
      </c>
      <c r="D865" s="4" t="s">
        <v>48</v>
      </c>
      <c r="E865" s="4" t="s">
        <v>25</v>
      </c>
      <c r="F865" s="4" t="s">
        <v>25</v>
      </c>
      <c r="G865" s="4" t="s">
        <v>25</v>
      </c>
      <c r="H865" s="4" t="s">
        <v>36</v>
      </c>
      <c r="I865" s="5">
        <v>44593</v>
      </c>
      <c r="J865" s="6">
        <v>0</v>
      </c>
      <c r="K865" s="6">
        <v>0</v>
      </c>
      <c r="L865" s="6">
        <v>19.486000000000001</v>
      </c>
      <c r="M865" s="6">
        <v>19.486000000000001</v>
      </c>
      <c r="N865" s="6">
        <v>19.486000000000001</v>
      </c>
      <c r="O865" s="6">
        <v>19.486000000000001</v>
      </c>
      <c r="P865" s="6">
        <v>0</v>
      </c>
      <c r="Q865" s="4" t="s">
        <v>26</v>
      </c>
      <c r="R865" s="4">
        <v>0</v>
      </c>
      <c r="S865" s="4" t="s">
        <v>249</v>
      </c>
      <c r="T865" s="4" t="s">
        <v>506</v>
      </c>
      <c r="U865" s="4">
        <v>0</v>
      </c>
      <c r="V865" s="4">
        <v>28</v>
      </c>
      <c r="W865" s="4">
        <v>74</v>
      </c>
    </row>
    <row r="866" spans="1:23" ht="11.25" customHeight="1" x14ac:dyDescent="0.25">
      <c r="A866" s="4" t="s">
        <v>21</v>
      </c>
      <c r="B866" s="4" t="s">
        <v>41</v>
      </c>
      <c r="C866" s="4" t="s">
        <v>44</v>
      </c>
      <c r="D866" s="4" t="s">
        <v>48</v>
      </c>
      <c r="E866" s="4" t="s">
        <v>25</v>
      </c>
      <c r="F866" s="4" t="s">
        <v>25</v>
      </c>
      <c r="G866" s="4" t="s">
        <v>25</v>
      </c>
      <c r="H866" s="4" t="s">
        <v>36</v>
      </c>
      <c r="I866" s="5">
        <v>44621</v>
      </c>
      <c r="J866" s="6">
        <v>0</v>
      </c>
      <c r="K866" s="6">
        <v>0</v>
      </c>
      <c r="L866" s="6">
        <v>229.30199999999999</v>
      </c>
      <c r="M866" s="6">
        <v>229.30199999999999</v>
      </c>
      <c r="N866" s="6">
        <v>229.30199999999999</v>
      </c>
      <c r="O866" s="6">
        <v>229.30199999999999</v>
      </c>
      <c r="P866" s="6">
        <v>0</v>
      </c>
      <c r="Q866" s="4" t="s">
        <v>26</v>
      </c>
      <c r="R866" s="4">
        <v>0</v>
      </c>
      <c r="S866" s="4" t="s">
        <v>250</v>
      </c>
      <c r="T866" s="4" t="s">
        <v>507</v>
      </c>
      <c r="U866" s="4">
        <v>0</v>
      </c>
      <c r="V866" s="4">
        <v>28</v>
      </c>
      <c r="W866" s="4">
        <v>74</v>
      </c>
    </row>
    <row r="867" spans="1:23" ht="11.25" customHeight="1" x14ac:dyDescent="0.25">
      <c r="A867" s="4" t="s">
        <v>28</v>
      </c>
      <c r="B867" s="4" t="s">
        <v>41</v>
      </c>
      <c r="C867" s="4" t="s">
        <v>44</v>
      </c>
      <c r="D867" s="4" t="s">
        <v>48</v>
      </c>
      <c r="E867" s="4" t="s">
        <v>25</v>
      </c>
      <c r="F867" s="4" t="s">
        <v>25</v>
      </c>
      <c r="G867" s="4" t="s">
        <v>25</v>
      </c>
      <c r="H867" s="4" t="s">
        <v>36</v>
      </c>
      <c r="I867" s="5">
        <v>44621</v>
      </c>
      <c r="J867" s="6">
        <v>0</v>
      </c>
      <c r="K867" s="6">
        <v>0</v>
      </c>
      <c r="L867" s="6">
        <v>55.53</v>
      </c>
      <c r="M867" s="6">
        <v>55.53</v>
      </c>
      <c r="N867" s="6">
        <v>55.53</v>
      </c>
      <c r="O867" s="6">
        <v>55.53</v>
      </c>
      <c r="P867" s="6">
        <v>0</v>
      </c>
      <c r="Q867" s="4" t="s">
        <v>26</v>
      </c>
      <c r="R867" s="4">
        <v>0</v>
      </c>
      <c r="S867" s="4" t="s">
        <v>250</v>
      </c>
      <c r="T867" s="4" t="s">
        <v>507</v>
      </c>
      <c r="U867" s="4">
        <v>0</v>
      </c>
      <c r="V867" s="4">
        <v>28</v>
      </c>
      <c r="W867" s="4">
        <v>74</v>
      </c>
    </row>
    <row r="868" spans="1:23" ht="11.25" customHeight="1" x14ac:dyDescent="0.25">
      <c r="A868" s="4" t="s">
        <v>30</v>
      </c>
      <c r="B868" s="4" t="s">
        <v>41</v>
      </c>
      <c r="C868" s="4" t="s">
        <v>44</v>
      </c>
      <c r="D868" s="4" t="s">
        <v>48</v>
      </c>
      <c r="E868" s="4" t="s">
        <v>25</v>
      </c>
      <c r="F868" s="4" t="s">
        <v>25</v>
      </c>
      <c r="G868" s="4" t="s">
        <v>25</v>
      </c>
      <c r="H868" s="4" t="s">
        <v>36</v>
      </c>
      <c r="I868" s="5">
        <v>44621</v>
      </c>
      <c r="J868" s="6">
        <v>0</v>
      </c>
      <c r="K868" s="6">
        <v>0</v>
      </c>
      <c r="L868" s="6">
        <v>29.045000000000002</v>
      </c>
      <c r="M868" s="6">
        <v>29.045000000000002</v>
      </c>
      <c r="N868" s="6">
        <v>29.045000000000002</v>
      </c>
      <c r="O868" s="6">
        <v>29.045000000000002</v>
      </c>
      <c r="P868" s="6">
        <v>0</v>
      </c>
      <c r="Q868" s="4" t="s">
        <v>26</v>
      </c>
      <c r="R868" s="4">
        <v>0</v>
      </c>
      <c r="S868" s="4" t="s">
        <v>250</v>
      </c>
      <c r="T868" s="4" t="s">
        <v>507</v>
      </c>
      <c r="U868" s="4">
        <v>0</v>
      </c>
      <c r="V868" s="4">
        <v>28</v>
      </c>
      <c r="W868" s="4">
        <v>74</v>
      </c>
    </row>
    <row r="869" spans="1:23" ht="11.25" customHeight="1" x14ac:dyDescent="0.25">
      <c r="A869" s="4" t="s">
        <v>21</v>
      </c>
      <c r="B869" s="4" t="s">
        <v>41</v>
      </c>
      <c r="C869" s="4" t="s">
        <v>44</v>
      </c>
      <c r="D869" s="4" t="s">
        <v>48</v>
      </c>
      <c r="E869" s="4" t="s">
        <v>25</v>
      </c>
      <c r="F869" s="4" t="s">
        <v>25</v>
      </c>
      <c r="G869" s="4" t="s">
        <v>25</v>
      </c>
      <c r="H869" s="4" t="s">
        <v>36</v>
      </c>
      <c r="I869" s="5">
        <v>44652</v>
      </c>
      <c r="J869" s="6">
        <v>0</v>
      </c>
      <c r="K869" s="6">
        <v>0</v>
      </c>
      <c r="L869" s="6">
        <v>216.7</v>
      </c>
      <c r="M869" s="6">
        <v>216.7</v>
      </c>
      <c r="N869" s="6">
        <v>216.7</v>
      </c>
      <c r="O869" s="6">
        <v>216.7</v>
      </c>
      <c r="P869" s="6">
        <v>0</v>
      </c>
      <c r="Q869" s="4" t="s">
        <v>26</v>
      </c>
      <c r="R869" s="4">
        <v>0</v>
      </c>
      <c r="S869" s="4" t="s">
        <v>251</v>
      </c>
      <c r="T869" s="4" t="s">
        <v>508</v>
      </c>
      <c r="U869" s="4">
        <v>0</v>
      </c>
      <c r="V869" s="4">
        <v>28</v>
      </c>
      <c r="W869" s="4">
        <v>74</v>
      </c>
    </row>
    <row r="870" spans="1:23" ht="11.25" customHeight="1" x14ac:dyDescent="0.25">
      <c r="A870" s="4" t="s">
        <v>28</v>
      </c>
      <c r="B870" s="4" t="s">
        <v>41</v>
      </c>
      <c r="C870" s="4" t="s">
        <v>44</v>
      </c>
      <c r="D870" s="4" t="s">
        <v>48</v>
      </c>
      <c r="E870" s="4" t="s">
        <v>25</v>
      </c>
      <c r="F870" s="4" t="s">
        <v>25</v>
      </c>
      <c r="G870" s="4" t="s">
        <v>25</v>
      </c>
      <c r="H870" s="4" t="s">
        <v>36</v>
      </c>
      <c r="I870" s="5">
        <v>44652</v>
      </c>
      <c r="J870" s="6">
        <v>0</v>
      </c>
      <c r="K870" s="6">
        <v>0</v>
      </c>
      <c r="L870" s="6">
        <v>60.94</v>
      </c>
      <c r="M870" s="6">
        <v>60.94</v>
      </c>
      <c r="N870" s="6">
        <v>60.94</v>
      </c>
      <c r="O870" s="6">
        <v>60.94</v>
      </c>
      <c r="P870" s="6">
        <v>0</v>
      </c>
      <c r="Q870" s="4" t="s">
        <v>26</v>
      </c>
      <c r="R870" s="4">
        <v>0</v>
      </c>
      <c r="S870" s="4" t="s">
        <v>251</v>
      </c>
      <c r="T870" s="4" t="s">
        <v>508</v>
      </c>
      <c r="U870" s="4">
        <v>0</v>
      </c>
      <c r="V870" s="4">
        <v>28</v>
      </c>
      <c r="W870" s="4">
        <v>74</v>
      </c>
    </row>
    <row r="871" spans="1:23" ht="11.25" customHeight="1" x14ac:dyDescent="0.25">
      <c r="A871" s="4" t="s">
        <v>30</v>
      </c>
      <c r="B871" s="4" t="s">
        <v>41</v>
      </c>
      <c r="C871" s="4" t="s">
        <v>44</v>
      </c>
      <c r="D871" s="4" t="s">
        <v>48</v>
      </c>
      <c r="E871" s="4" t="s">
        <v>25</v>
      </c>
      <c r="F871" s="4" t="s">
        <v>25</v>
      </c>
      <c r="G871" s="4" t="s">
        <v>25</v>
      </c>
      <c r="H871" s="4" t="s">
        <v>36</v>
      </c>
      <c r="I871" s="5">
        <v>44652</v>
      </c>
      <c r="J871" s="6">
        <v>0</v>
      </c>
      <c r="K871" s="6">
        <v>0</v>
      </c>
      <c r="L871" s="6">
        <v>35.03</v>
      </c>
      <c r="M871" s="6">
        <v>35.03</v>
      </c>
      <c r="N871" s="6">
        <v>35.03</v>
      </c>
      <c r="O871" s="6">
        <v>35.03</v>
      </c>
      <c r="P871" s="6">
        <v>0</v>
      </c>
      <c r="Q871" s="4" t="s">
        <v>26</v>
      </c>
      <c r="R871" s="4">
        <v>0</v>
      </c>
      <c r="S871" s="4" t="s">
        <v>251</v>
      </c>
      <c r="T871" s="4" t="s">
        <v>508</v>
      </c>
      <c r="U871" s="4">
        <v>0</v>
      </c>
      <c r="V871" s="4">
        <v>28</v>
      </c>
      <c r="W871" s="4">
        <v>74</v>
      </c>
    </row>
    <row r="872" spans="1:23" ht="11.25" customHeight="1" x14ac:dyDescent="0.25">
      <c r="A872" s="4" t="s">
        <v>21</v>
      </c>
      <c r="B872" s="4" t="s">
        <v>41</v>
      </c>
      <c r="C872" s="4" t="s">
        <v>44</v>
      </c>
      <c r="D872" s="4" t="s">
        <v>48</v>
      </c>
      <c r="E872" s="4" t="s">
        <v>25</v>
      </c>
      <c r="F872" s="4" t="s">
        <v>25</v>
      </c>
      <c r="G872" s="4" t="s">
        <v>25</v>
      </c>
      <c r="H872" s="4" t="s">
        <v>36</v>
      </c>
      <c r="I872" s="5">
        <v>44682</v>
      </c>
      <c r="J872" s="6">
        <v>0</v>
      </c>
      <c r="K872" s="6">
        <v>0</v>
      </c>
      <c r="L872" s="6">
        <v>233.56399999999999</v>
      </c>
      <c r="M872" s="6">
        <v>233.56399999999999</v>
      </c>
      <c r="N872" s="6">
        <v>233.56399999999999</v>
      </c>
      <c r="O872" s="6">
        <v>233.56399999999999</v>
      </c>
      <c r="P872" s="6">
        <v>0</v>
      </c>
      <c r="Q872" s="4" t="s">
        <v>26</v>
      </c>
      <c r="R872" s="4">
        <v>0</v>
      </c>
      <c r="S872" s="4" t="s">
        <v>252</v>
      </c>
      <c r="T872" s="4" t="s">
        <v>509</v>
      </c>
      <c r="U872" s="4">
        <v>0</v>
      </c>
      <c r="V872" s="4">
        <v>28</v>
      </c>
      <c r="W872" s="4">
        <v>74</v>
      </c>
    </row>
    <row r="873" spans="1:23" ht="11.25" customHeight="1" x14ac:dyDescent="0.25">
      <c r="A873" s="4" t="s">
        <v>28</v>
      </c>
      <c r="B873" s="4" t="s">
        <v>41</v>
      </c>
      <c r="C873" s="4" t="s">
        <v>44</v>
      </c>
      <c r="D873" s="4" t="s">
        <v>48</v>
      </c>
      <c r="E873" s="4" t="s">
        <v>25</v>
      </c>
      <c r="F873" s="4" t="s">
        <v>25</v>
      </c>
      <c r="G873" s="4" t="s">
        <v>25</v>
      </c>
      <c r="H873" s="4" t="s">
        <v>36</v>
      </c>
      <c r="I873" s="5">
        <v>44682</v>
      </c>
      <c r="J873" s="6">
        <v>0</v>
      </c>
      <c r="K873" s="6">
        <v>0</v>
      </c>
      <c r="L873" s="6">
        <v>62.045000000000002</v>
      </c>
      <c r="M873" s="6">
        <v>62.045000000000002</v>
      </c>
      <c r="N873" s="6">
        <v>62.045000000000002</v>
      </c>
      <c r="O873" s="6">
        <v>62.045000000000002</v>
      </c>
      <c r="P873" s="6">
        <v>0</v>
      </c>
      <c r="Q873" s="4" t="s">
        <v>26</v>
      </c>
      <c r="R873" s="4">
        <v>0</v>
      </c>
      <c r="S873" s="4" t="s">
        <v>252</v>
      </c>
      <c r="T873" s="4" t="s">
        <v>509</v>
      </c>
      <c r="U873" s="4">
        <v>0</v>
      </c>
      <c r="V873" s="4">
        <v>28</v>
      </c>
      <c r="W873" s="4">
        <v>74</v>
      </c>
    </row>
    <row r="874" spans="1:23" ht="11.25" customHeight="1" x14ac:dyDescent="0.25">
      <c r="A874" s="4" t="s">
        <v>30</v>
      </c>
      <c r="B874" s="4" t="s">
        <v>41</v>
      </c>
      <c r="C874" s="4" t="s">
        <v>44</v>
      </c>
      <c r="D874" s="4" t="s">
        <v>48</v>
      </c>
      <c r="E874" s="4" t="s">
        <v>25</v>
      </c>
      <c r="F874" s="4" t="s">
        <v>25</v>
      </c>
      <c r="G874" s="4" t="s">
        <v>25</v>
      </c>
      <c r="H874" s="4" t="s">
        <v>36</v>
      </c>
      <c r="I874" s="5">
        <v>44682</v>
      </c>
      <c r="J874" s="6">
        <v>0</v>
      </c>
      <c r="K874" s="6">
        <v>0</v>
      </c>
      <c r="L874" s="6">
        <v>37.502000000000002</v>
      </c>
      <c r="M874" s="6">
        <v>37.502000000000002</v>
      </c>
      <c r="N874" s="6">
        <v>37.502000000000002</v>
      </c>
      <c r="O874" s="6">
        <v>37.502000000000002</v>
      </c>
      <c r="P874" s="6">
        <v>0</v>
      </c>
      <c r="Q874" s="4" t="s">
        <v>26</v>
      </c>
      <c r="R874" s="4">
        <v>0</v>
      </c>
      <c r="S874" s="4" t="s">
        <v>252</v>
      </c>
      <c r="T874" s="4" t="s">
        <v>509</v>
      </c>
      <c r="U874" s="4">
        <v>0</v>
      </c>
      <c r="V874" s="4">
        <v>28</v>
      </c>
      <c r="W874" s="4">
        <v>74</v>
      </c>
    </row>
    <row r="875" spans="1:23" ht="11.25" customHeight="1" x14ac:dyDescent="0.25">
      <c r="A875" s="4" t="s">
        <v>21</v>
      </c>
      <c r="B875" s="4" t="s">
        <v>41</v>
      </c>
      <c r="C875" s="4" t="s">
        <v>44</v>
      </c>
      <c r="D875" s="4" t="s">
        <v>48</v>
      </c>
      <c r="E875" s="4" t="s">
        <v>25</v>
      </c>
      <c r="F875" s="4" t="s">
        <v>25</v>
      </c>
      <c r="G875" s="4" t="s">
        <v>25</v>
      </c>
      <c r="H875" s="4" t="s">
        <v>36</v>
      </c>
      <c r="I875" s="5">
        <v>44713</v>
      </c>
      <c r="J875" s="6">
        <v>0</v>
      </c>
      <c r="K875" s="6">
        <v>0</v>
      </c>
      <c r="L875" s="6">
        <v>243.77199999999999</v>
      </c>
      <c r="M875" s="6">
        <v>243.77199999999999</v>
      </c>
      <c r="N875" s="6">
        <v>243.77199999999999</v>
      </c>
      <c r="O875" s="6">
        <v>243.77199999999999</v>
      </c>
      <c r="P875" s="6">
        <v>0</v>
      </c>
      <c r="Q875" s="4" t="s">
        <v>26</v>
      </c>
      <c r="R875" s="4">
        <v>0</v>
      </c>
      <c r="S875" s="4" t="s">
        <v>253</v>
      </c>
      <c r="T875" s="4" t="s">
        <v>510</v>
      </c>
      <c r="U875" s="4">
        <v>0</v>
      </c>
      <c r="V875" s="4">
        <v>28</v>
      </c>
      <c r="W875" s="4">
        <v>74</v>
      </c>
    </row>
    <row r="876" spans="1:23" ht="11.25" customHeight="1" x14ac:dyDescent="0.25">
      <c r="A876" s="4" t="s">
        <v>28</v>
      </c>
      <c r="B876" s="4" t="s">
        <v>41</v>
      </c>
      <c r="C876" s="4" t="s">
        <v>44</v>
      </c>
      <c r="D876" s="4" t="s">
        <v>48</v>
      </c>
      <c r="E876" s="4" t="s">
        <v>25</v>
      </c>
      <c r="F876" s="4" t="s">
        <v>25</v>
      </c>
      <c r="G876" s="4" t="s">
        <v>25</v>
      </c>
      <c r="H876" s="4" t="s">
        <v>36</v>
      </c>
      <c r="I876" s="5">
        <v>44713</v>
      </c>
      <c r="J876" s="6">
        <v>0</v>
      </c>
      <c r="K876" s="6">
        <v>0</v>
      </c>
      <c r="L876" s="6">
        <v>63.884</v>
      </c>
      <c r="M876" s="6">
        <v>63.884</v>
      </c>
      <c r="N876" s="6">
        <v>63.884</v>
      </c>
      <c r="O876" s="6">
        <v>63.884</v>
      </c>
      <c r="P876" s="6">
        <v>0</v>
      </c>
      <c r="Q876" s="4" t="s">
        <v>26</v>
      </c>
      <c r="R876" s="4">
        <v>0</v>
      </c>
      <c r="S876" s="4" t="s">
        <v>253</v>
      </c>
      <c r="T876" s="4" t="s">
        <v>510</v>
      </c>
      <c r="U876" s="4">
        <v>0</v>
      </c>
      <c r="V876" s="4">
        <v>28</v>
      </c>
      <c r="W876" s="4">
        <v>74</v>
      </c>
    </row>
    <row r="877" spans="1:23" ht="11.25" customHeight="1" x14ac:dyDescent="0.25">
      <c r="A877" s="4" t="s">
        <v>30</v>
      </c>
      <c r="B877" s="4" t="s">
        <v>41</v>
      </c>
      <c r="C877" s="4" t="s">
        <v>44</v>
      </c>
      <c r="D877" s="4" t="s">
        <v>48</v>
      </c>
      <c r="E877" s="4" t="s">
        <v>25</v>
      </c>
      <c r="F877" s="4" t="s">
        <v>25</v>
      </c>
      <c r="G877" s="4" t="s">
        <v>25</v>
      </c>
      <c r="H877" s="4" t="s">
        <v>36</v>
      </c>
      <c r="I877" s="5">
        <v>44713</v>
      </c>
      <c r="J877" s="6">
        <v>0</v>
      </c>
      <c r="K877" s="6">
        <v>0</v>
      </c>
      <c r="L877" s="6">
        <v>30.835000000000001</v>
      </c>
      <c r="M877" s="6">
        <v>30.835000000000001</v>
      </c>
      <c r="N877" s="6">
        <v>30.835000000000001</v>
      </c>
      <c r="O877" s="6">
        <v>30.835000000000001</v>
      </c>
      <c r="P877" s="6">
        <v>0</v>
      </c>
      <c r="Q877" s="4" t="s">
        <v>26</v>
      </c>
      <c r="R877" s="4">
        <v>0</v>
      </c>
      <c r="S877" s="4" t="s">
        <v>253</v>
      </c>
      <c r="T877" s="4" t="s">
        <v>510</v>
      </c>
      <c r="U877" s="4">
        <v>0</v>
      </c>
      <c r="V877" s="4">
        <v>28</v>
      </c>
      <c r="W877" s="4">
        <v>74</v>
      </c>
    </row>
    <row r="878" spans="1:23" ht="11.25" customHeight="1" x14ac:dyDescent="0.25">
      <c r="A878" s="4" t="s">
        <v>21</v>
      </c>
      <c r="B878" s="4" t="s">
        <v>41</v>
      </c>
      <c r="C878" s="4" t="s">
        <v>44</v>
      </c>
      <c r="D878" s="4" t="s">
        <v>48</v>
      </c>
      <c r="E878" s="4" t="s">
        <v>25</v>
      </c>
      <c r="F878" s="4" t="s">
        <v>25</v>
      </c>
      <c r="G878" s="4" t="s">
        <v>25</v>
      </c>
      <c r="H878" s="4" t="s">
        <v>36</v>
      </c>
      <c r="I878" s="5">
        <v>44743</v>
      </c>
      <c r="J878" s="6">
        <v>0</v>
      </c>
      <c r="K878" s="6">
        <v>0</v>
      </c>
      <c r="L878" s="6">
        <v>265.14</v>
      </c>
      <c r="M878" s="6">
        <v>265.14</v>
      </c>
      <c r="N878" s="6">
        <v>265.14</v>
      </c>
      <c r="O878" s="6">
        <v>265.14</v>
      </c>
      <c r="P878" s="6">
        <v>0</v>
      </c>
      <c r="Q878" s="4" t="s">
        <v>26</v>
      </c>
      <c r="R878" s="4">
        <v>0</v>
      </c>
      <c r="S878" s="4" t="s">
        <v>254</v>
      </c>
      <c r="T878" s="4" t="s">
        <v>511</v>
      </c>
      <c r="U878" s="4">
        <v>0</v>
      </c>
      <c r="V878" s="4">
        <v>28</v>
      </c>
      <c r="W878" s="4">
        <v>74</v>
      </c>
    </row>
    <row r="879" spans="1:23" ht="11.25" customHeight="1" x14ac:dyDescent="0.25">
      <c r="A879" s="4" t="s">
        <v>28</v>
      </c>
      <c r="B879" s="4" t="s">
        <v>41</v>
      </c>
      <c r="C879" s="4" t="s">
        <v>44</v>
      </c>
      <c r="D879" s="4" t="s">
        <v>48</v>
      </c>
      <c r="E879" s="4" t="s">
        <v>25</v>
      </c>
      <c r="F879" s="4" t="s">
        <v>25</v>
      </c>
      <c r="G879" s="4" t="s">
        <v>25</v>
      </c>
      <c r="H879" s="4" t="s">
        <v>36</v>
      </c>
      <c r="I879" s="5">
        <v>44743</v>
      </c>
      <c r="J879" s="6">
        <v>0</v>
      </c>
      <c r="K879" s="6">
        <v>0</v>
      </c>
      <c r="L879" s="6">
        <v>67.367000000000004</v>
      </c>
      <c r="M879" s="6">
        <v>67.367000000000004</v>
      </c>
      <c r="N879" s="6">
        <v>67.367000000000004</v>
      </c>
      <c r="O879" s="6">
        <v>67.367000000000004</v>
      </c>
      <c r="P879" s="6">
        <v>0</v>
      </c>
      <c r="Q879" s="4" t="s">
        <v>26</v>
      </c>
      <c r="R879" s="4">
        <v>0</v>
      </c>
      <c r="S879" s="4" t="s">
        <v>254</v>
      </c>
      <c r="T879" s="4" t="s">
        <v>511</v>
      </c>
      <c r="U879" s="4">
        <v>0</v>
      </c>
      <c r="V879" s="4">
        <v>28</v>
      </c>
      <c r="W879" s="4">
        <v>74</v>
      </c>
    </row>
    <row r="880" spans="1:23" ht="11.25" customHeight="1" x14ac:dyDescent="0.25">
      <c r="A880" s="4" t="s">
        <v>30</v>
      </c>
      <c r="B880" s="4" t="s">
        <v>41</v>
      </c>
      <c r="C880" s="4" t="s">
        <v>44</v>
      </c>
      <c r="D880" s="4" t="s">
        <v>48</v>
      </c>
      <c r="E880" s="4" t="s">
        <v>25</v>
      </c>
      <c r="F880" s="4" t="s">
        <v>25</v>
      </c>
      <c r="G880" s="4" t="s">
        <v>25</v>
      </c>
      <c r="H880" s="4" t="s">
        <v>36</v>
      </c>
      <c r="I880" s="5">
        <v>44743</v>
      </c>
      <c r="J880" s="6">
        <v>0</v>
      </c>
      <c r="K880" s="6">
        <v>0</v>
      </c>
      <c r="L880" s="6">
        <v>49.77</v>
      </c>
      <c r="M880" s="6">
        <v>49.77</v>
      </c>
      <c r="N880" s="6">
        <v>49.77</v>
      </c>
      <c r="O880" s="6">
        <v>49.77</v>
      </c>
      <c r="P880" s="6">
        <v>0</v>
      </c>
      <c r="Q880" s="4" t="s">
        <v>26</v>
      </c>
      <c r="R880" s="4">
        <v>0</v>
      </c>
      <c r="S880" s="4" t="s">
        <v>254</v>
      </c>
      <c r="T880" s="4" t="s">
        <v>511</v>
      </c>
      <c r="U880" s="4">
        <v>0</v>
      </c>
      <c r="V880" s="4">
        <v>28</v>
      </c>
      <c r="W880" s="4">
        <v>74</v>
      </c>
    </row>
    <row r="881" spans="1:23" ht="11.25" customHeight="1" x14ac:dyDescent="0.25">
      <c r="A881" s="4" t="s">
        <v>21</v>
      </c>
      <c r="B881" s="4" t="s">
        <v>41</v>
      </c>
      <c r="C881" s="4" t="s">
        <v>44</v>
      </c>
      <c r="D881" s="4" t="s">
        <v>48</v>
      </c>
      <c r="E881" s="4" t="s">
        <v>25</v>
      </c>
      <c r="F881" s="4" t="s">
        <v>25</v>
      </c>
      <c r="G881" s="4" t="s">
        <v>25</v>
      </c>
      <c r="H881" s="4" t="s">
        <v>36</v>
      </c>
      <c r="I881" s="5">
        <v>44774</v>
      </c>
      <c r="J881" s="6">
        <v>0</v>
      </c>
      <c r="K881" s="6">
        <v>0</v>
      </c>
      <c r="L881" s="6">
        <v>295.10300000000001</v>
      </c>
      <c r="M881" s="6">
        <v>295.10300000000001</v>
      </c>
      <c r="N881" s="6">
        <v>295.10300000000001</v>
      </c>
      <c r="O881" s="6">
        <v>295.10300000000001</v>
      </c>
      <c r="P881" s="6">
        <v>0</v>
      </c>
      <c r="Q881" s="4" t="s">
        <v>26</v>
      </c>
      <c r="R881" s="4">
        <v>0</v>
      </c>
      <c r="S881" s="4" t="s">
        <v>255</v>
      </c>
      <c r="T881" s="4" t="s">
        <v>512</v>
      </c>
      <c r="U881" s="4">
        <v>0</v>
      </c>
      <c r="V881" s="4">
        <v>28</v>
      </c>
      <c r="W881" s="4">
        <v>74</v>
      </c>
    </row>
    <row r="882" spans="1:23" ht="11.25" customHeight="1" x14ac:dyDescent="0.25">
      <c r="A882" s="4" t="s">
        <v>28</v>
      </c>
      <c r="B882" s="4" t="s">
        <v>41</v>
      </c>
      <c r="C882" s="4" t="s">
        <v>44</v>
      </c>
      <c r="D882" s="4" t="s">
        <v>48</v>
      </c>
      <c r="E882" s="4" t="s">
        <v>25</v>
      </c>
      <c r="F882" s="4" t="s">
        <v>25</v>
      </c>
      <c r="G882" s="4" t="s">
        <v>25</v>
      </c>
      <c r="H882" s="4" t="s">
        <v>36</v>
      </c>
      <c r="I882" s="5">
        <v>44774</v>
      </c>
      <c r="J882" s="6">
        <v>0</v>
      </c>
      <c r="K882" s="6">
        <v>0</v>
      </c>
      <c r="L882" s="6">
        <v>74.64</v>
      </c>
      <c r="M882" s="6">
        <v>74.64</v>
      </c>
      <c r="N882" s="6">
        <v>74.64</v>
      </c>
      <c r="O882" s="6">
        <v>74.64</v>
      </c>
      <c r="P882" s="6">
        <v>0</v>
      </c>
      <c r="Q882" s="4" t="s">
        <v>26</v>
      </c>
      <c r="R882" s="4">
        <v>0</v>
      </c>
      <c r="S882" s="4" t="s">
        <v>255</v>
      </c>
      <c r="T882" s="4" t="s">
        <v>512</v>
      </c>
      <c r="U882" s="4">
        <v>0</v>
      </c>
      <c r="V882" s="4">
        <v>28</v>
      </c>
      <c r="W882" s="4">
        <v>74</v>
      </c>
    </row>
    <row r="883" spans="1:23" ht="11.25" customHeight="1" x14ac:dyDescent="0.25">
      <c r="A883" s="4" t="s">
        <v>29</v>
      </c>
      <c r="B883" s="4" t="s">
        <v>41</v>
      </c>
      <c r="C883" s="4" t="s">
        <v>44</v>
      </c>
      <c r="D883" s="4" t="s">
        <v>48</v>
      </c>
      <c r="E883" s="4" t="s">
        <v>25</v>
      </c>
      <c r="F883" s="4" t="s">
        <v>25</v>
      </c>
      <c r="G883" s="4" t="s">
        <v>25</v>
      </c>
      <c r="H883" s="4" t="s">
        <v>36</v>
      </c>
      <c r="I883" s="5">
        <v>44774</v>
      </c>
      <c r="J883" s="6">
        <v>0</v>
      </c>
      <c r="K883" s="6">
        <v>0</v>
      </c>
      <c r="L883" s="6">
        <v>0.15</v>
      </c>
      <c r="M883" s="6">
        <v>0.15</v>
      </c>
      <c r="N883" s="6">
        <v>0.15</v>
      </c>
      <c r="O883" s="6">
        <v>0.15</v>
      </c>
      <c r="P883" s="6">
        <v>0</v>
      </c>
      <c r="Q883" s="4" t="s">
        <v>26</v>
      </c>
      <c r="R883" s="4">
        <v>0</v>
      </c>
      <c r="S883" s="4" t="s">
        <v>255</v>
      </c>
      <c r="T883" s="4" t="s">
        <v>512</v>
      </c>
      <c r="U883" s="4">
        <v>0</v>
      </c>
      <c r="V883" s="4">
        <v>28</v>
      </c>
      <c r="W883" s="4">
        <v>74</v>
      </c>
    </row>
    <row r="884" spans="1:23" ht="11.25" customHeight="1" x14ac:dyDescent="0.25">
      <c r="A884" s="4" t="s">
        <v>30</v>
      </c>
      <c r="B884" s="4" t="s">
        <v>41</v>
      </c>
      <c r="C884" s="4" t="s">
        <v>44</v>
      </c>
      <c r="D884" s="4" t="s">
        <v>48</v>
      </c>
      <c r="E884" s="4" t="s">
        <v>25</v>
      </c>
      <c r="F884" s="4" t="s">
        <v>25</v>
      </c>
      <c r="G884" s="4" t="s">
        <v>25</v>
      </c>
      <c r="H884" s="4" t="s">
        <v>36</v>
      </c>
      <c r="I884" s="5">
        <v>44774</v>
      </c>
      <c r="J884" s="6">
        <v>0</v>
      </c>
      <c r="K884" s="6">
        <v>0</v>
      </c>
      <c r="L884" s="6">
        <v>56.54</v>
      </c>
      <c r="M884" s="6">
        <v>56.54</v>
      </c>
      <c r="N884" s="6">
        <v>56.54</v>
      </c>
      <c r="O884" s="6">
        <v>56.54</v>
      </c>
      <c r="P884" s="6">
        <v>0</v>
      </c>
      <c r="Q884" s="4" t="s">
        <v>26</v>
      </c>
      <c r="R884" s="4">
        <v>0</v>
      </c>
      <c r="S884" s="4" t="s">
        <v>255</v>
      </c>
      <c r="T884" s="4" t="s">
        <v>512</v>
      </c>
      <c r="U884" s="4">
        <v>0</v>
      </c>
      <c r="V884" s="4">
        <v>28</v>
      </c>
      <c r="W884" s="4">
        <v>74</v>
      </c>
    </row>
    <row r="885" spans="1:23" ht="11.25" customHeight="1" x14ac:dyDescent="0.25">
      <c r="A885" s="4" t="s">
        <v>21</v>
      </c>
      <c r="B885" s="4" t="s">
        <v>41</v>
      </c>
      <c r="C885" s="4" t="s">
        <v>44</v>
      </c>
      <c r="D885" s="4" t="s">
        <v>48</v>
      </c>
      <c r="E885" s="4" t="s">
        <v>25</v>
      </c>
      <c r="F885" s="4" t="s">
        <v>25</v>
      </c>
      <c r="G885" s="4" t="s">
        <v>25</v>
      </c>
      <c r="H885" s="4" t="s">
        <v>36</v>
      </c>
      <c r="I885" s="5">
        <v>44805</v>
      </c>
      <c r="J885" s="6">
        <v>0</v>
      </c>
      <c r="K885" s="6">
        <v>0</v>
      </c>
      <c r="L885" s="6">
        <v>276.62200000000001</v>
      </c>
      <c r="M885" s="6">
        <v>276.62200000000001</v>
      </c>
      <c r="N885" s="6">
        <v>276.62200000000001</v>
      </c>
      <c r="O885" s="6">
        <v>276.62200000000001</v>
      </c>
      <c r="P885" s="6">
        <v>0</v>
      </c>
      <c r="Q885" s="4" t="s">
        <v>26</v>
      </c>
      <c r="R885" s="4">
        <v>0</v>
      </c>
      <c r="S885" s="4" t="s">
        <v>256</v>
      </c>
      <c r="T885" s="4" t="s">
        <v>513</v>
      </c>
      <c r="U885" s="4">
        <v>0</v>
      </c>
      <c r="V885" s="4">
        <v>28</v>
      </c>
      <c r="W885" s="4">
        <v>74</v>
      </c>
    </row>
    <row r="886" spans="1:23" ht="11.25" customHeight="1" x14ac:dyDescent="0.25">
      <c r="A886" s="4" t="s">
        <v>28</v>
      </c>
      <c r="B886" s="4" t="s">
        <v>41</v>
      </c>
      <c r="C886" s="4" t="s">
        <v>44</v>
      </c>
      <c r="D886" s="4" t="s">
        <v>48</v>
      </c>
      <c r="E886" s="4" t="s">
        <v>25</v>
      </c>
      <c r="F886" s="4" t="s">
        <v>25</v>
      </c>
      <c r="G886" s="4" t="s">
        <v>25</v>
      </c>
      <c r="H886" s="4" t="s">
        <v>36</v>
      </c>
      <c r="I886" s="5">
        <v>44805</v>
      </c>
      <c r="J886" s="6">
        <v>0</v>
      </c>
      <c r="K886" s="6">
        <v>0</v>
      </c>
      <c r="L886" s="6">
        <v>81.858999999999995</v>
      </c>
      <c r="M886" s="6">
        <v>81.858999999999995</v>
      </c>
      <c r="N886" s="6">
        <v>81.858999999999995</v>
      </c>
      <c r="O886" s="6">
        <v>81.858999999999995</v>
      </c>
      <c r="P886" s="6">
        <v>0</v>
      </c>
      <c r="Q886" s="4" t="s">
        <v>26</v>
      </c>
      <c r="R886" s="4">
        <v>0</v>
      </c>
      <c r="S886" s="4" t="s">
        <v>256</v>
      </c>
      <c r="T886" s="4" t="s">
        <v>513</v>
      </c>
      <c r="U886" s="4">
        <v>0</v>
      </c>
      <c r="V886" s="4">
        <v>28</v>
      </c>
      <c r="W886" s="4">
        <v>74</v>
      </c>
    </row>
    <row r="887" spans="1:23" ht="11.25" customHeight="1" x14ac:dyDescent="0.25">
      <c r="A887" s="4" t="s">
        <v>30</v>
      </c>
      <c r="B887" s="4" t="s">
        <v>41</v>
      </c>
      <c r="C887" s="4" t="s">
        <v>44</v>
      </c>
      <c r="D887" s="4" t="s">
        <v>48</v>
      </c>
      <c r="E887" s="4" t="s">
        <v>25</v>
      </c>
      <c r="F887" s="4" t="s">
        <v>25</v>
      </c>
      <c r="G887" s="4" t="s">
        <v>25</v>
      </c>
      <c r="H887" s="4" t="s">
        <v>36</v>
      </c>
      <c r="I887" s="5">
        <v>44805</v>
      </c>
      <c r="J887" s="6">
        <v>0</v>
      </c>
      <c r="K887" s="6">
        <v>0</v>
      </c>
      <c r="L887" s="6">
        <v>56.393999999999998</v>
      </c>
      <c r="M887" s="6">
        <v>56.393999999999998</v>
      </c>
      <c r="N887" s="6">
        <v>56.393999999999998</v>
      </c>
      <c r="O887" s="6">
        <v>56.393999999999998</v>
      </c>
      <c r="P887" s="6">
        <v>0</v>
      </c>
      <c r="Q887" s="4" t="s">
        <v>26</v>
      </c>
      <c r="R887" s="4">
        <v>0</v>
      </c>
      <c r="S887" s="4" t="s">
        <v>256</v>
      </c>
      <c r="T887" s="4" t="s">
        <v>513</v>
      </c>
      <c r="U887" s="4">
        <v>0</v>
      </c>
      <c r="V887" s="4">
        <v>28</v>
      </c>
      <c r="W887" s="4">
        <v>74</v>
      </c>
    </row>
    <row r="888" spans="1:23" ht="11.25" customHeight="1" x14ac:dyDescent="0.25">
      <c r="A888" s="4" t="s">
        <v>21</v>
      </c>
      <c r="B888" s="4" t="s">
        <v>41</v>
      </c>
      <c r="C888" s="4" t="s">
        <v>44</v>
      </c>
      <c r="D888" s="4" t="s">
        <v>48</v>
      </c>
      <c r="E888" s="4" t="s">
        <v>25</v>
      </c>
      <c r="F888" s="4" t="s">
        <v>25</v>
      </c>
      <c r="G888" s="4" t="s">
        <v>25</v>
      </c>
      <c r="H888" s="4" t="s">
        <v>36</v>
      </c>
      <c r="I888" s="5">
        <v>44835</v>
      </c>
      <c r="J888" s="6">
        <v>0</v>
      </c>
      <c r="K888" s="6">
        <v>0</v>
      </c>
      <c r="L888" s="6">
        <v>266.34300000000002</v>
      </c>
      <c r="M888" s="6">
        <v>266.34300000000002</v>
      </c>
      <c r="N888" s="6">
        <v>266.34300000000002</v>
      </c>
      <c r="O888" s="6">
        <v>266.34300000000002</v>
      </c>
      <c r="P888" s="6">
        <v>0</v>
      </c>
      <c r="Q888" s="4" t="s">
        <v>26</v>
      </c>
      <c r="R888" s="4">
        <v>0</v>
      </c>
      <c r="S888" s="4" t="s">
        <v>257</v>
      </c>
      <c r="T888" s="4" t="s">
        <v>514</v>
      </c>
      <c r="U888" s="4">
        <v>0</v>
      </c>
      <c r="V888" s="4">
        <v>28</v>
      </c>
      <c r="W888" s="4">
        <v>74</v>
      </c>
    </row>
    <row r="889" spans="1:23" ht="11.25" customHeight="1" x14ac:dyDescent="0.25">
      <c r="A889" s="4" t="s">
        <v>28</v>
      </c>
      <c r="B889" s="4" t="s">
        <v>41</v>
      </c>
      <c r="C889" s="4" t="s">
        <v>44</v>
      </c>
      <c r="D889" s="4" t="s">
        <v>48</v>
      </c>
      <c r="E889" s="4" t="s">
        <v>25</v>
      </c>
      <c r="F889" s="4" t="s">
        <v>25</v>
      </c>
      <c r="G889" s="4" t="s">
        <v>25</v>
      </c>
      <c r="H889" s="4" t="s">
        <v>36</v>
      </c>
      <c r="I889" s="5">
        <v>44835</v>
      </c>
      <c r="J889" s="6">
        <v>0</v>
      </c>
      <c r="K889" s="6">
        <v>0</v>
      </c>
      <c r="L889" s="6">
        <v>79.018000000000001</v>
      </c>
      <c r="M889" s="6">
        <v>79.018000000000001</v>
      </c>
      <c r="N889" s="6">
        <v>79.018000000000001</v>
      </c>
      <c r="O889" s="6">
        <v>79.018000000000001</v>
      </c>
      <c r="P889" s="6">
        <v>0</v>
      </c>
      <c r="Q889" s="4" t="s">
        <v>26</v>
      </c>
      <c r="R889" s="4">
        <v>0</v>
      </c>
      <c r="S889" s="4" t="s">
        <v>257</v>
      </c>
      <c r="T889" s="4" t="s">
        <v>514</v>
      </c>
      <c r="U889" s="4">
        <v>0</v>
      </c>
      <c r="V889" s="4">
        <v>28</v>
      </c>
      <c r="W889" s="4">
        <v>74</v>
      </c>
    </row>
    <row r="890" spans="1:23" ht="11.25" customHeight="1" x14ac:dyDescent="0.25">
      <c r="A890" s="4" t="s">
        <v>30</v>
      </c>
      <c r="B890" s="4" t="s">
        <v>41</v>
      </c>
      <c r="C890" s="4" t="s">
        <v>44</v>
      </c>
      <c r="D890" s="4" t="s">
        <v>48</v>
      </c>
      <c r="E890" s="4" t="s">
        <v>25</v>
      </c>
      <c r="F890" s="4" t="s">
        <v>25</v>
      </c>
      <c r="G890" s="4" t="s">
        <v>25</v>
      </c>
      <c r="H890" s="4" t="s">
        <v>36</v>
      </c>
      <c r="I890" s="5">
        <v>44835</v>
      </c>
      <c r="J890" s="6">
        <v>0</v>
      </c>
      <c r="K890" s="6">
        <v>0</v>
      </c>
      <c r="L890" s="6">
        <v>51.066000000000003</v>
      </c>
      <c r="M890" s="6">
        <v>51.066000000000003</v>
      </c>
      <c r="N890" s="6">
        <v>51.066000000000003</v>
      </c>
      <c r="O890" s="6">
        <v>51.066000000000003</v>
      </c>
      <c r="P890" s="6">
        <v>0</v>
      </c>
      <c r="Q890" s="4" t="s">
        <v>26</v>
      </c>
      <c r="R890" s="4">
        <v>0</v>
      </c>
      <c r="S890" s="4" t="s">
        <v>257</v>
      </c>
      <c r="T890" s="4" t="s">
        <v>514</v>
      </c>
      <c r="U890" s="4">
        <v>0</v>
      </c>
      <c r="V890" s="4">
        <v>28</v>
      </c>
      <c r="W890" s="4">
        <v>74</v>
      </c>
    </row>
    <row r="891" spans="1:23" ht="11.25" customHeight="1" x14ac:dyDescent="0.25">
      <c r="A891" s="4" t="s">
        <v>59</v>
      </c>
      <c r="B891" s="4" t="s">
        <v>41</v>
      </c>
      <c r="C891" s="4" t="s">
        <v>44</v>
      </c>
      <c r="D891" s="4" t="s">
        <v>48</v>
      </c>
      <c r="E891" s="4" t="s">
        <v>25</v>
      </c>
      <c r="F891" s="4" t="s">
        <v>25</v>
      </c>
      <c r="G891" s="4" t="s">
        <v>25</v>
      </c>
      <c r="H891" s="4" t="s">
        <v>36</v>
      </c>
      <c r="I891" s="5">
        <v>44866</v>
      </c>
      <c r="J891" s="6">
        <v>0</v>
      </c>
      <c r="K891" s="6">
        <v>0</v>
      </c>
      <c r="L891" s="6">
        <v>266.34300000000002</v>
      </c>
      <c r="M891" s="6">
        <v>266.34300000000002</v>
      </c>
      <c r="N891" s="6">
        <v>266.34300000000002</v>
      </c>
      <c r="O891" s="6">
        <v>266.34300000000002</v>
      </c>
      <c r="P891" s="6">
        <v>0</v>
      </c>
      <c r="Q891" s="4" t="s">
        <v>26</v>
      </c>
      <c r="R891" s="4">
        <v>0</v>
      </c>
      <c r="S891" s="4" t="s">
        <v>258</v>
      </c>
      <c r="T891" s="4" t="s">
        <v>515</v>
      </c>
      <c r="U891" s="4">
        <v>0</v>
      </c>
      <c r="V891" s="4">
        <v>28</v>
      </c>
      <c r="W891" s="4">
        <v>74</v>
      </c>
    </row>
    <row r="892" spans="1:23" ht="11.25" customHeight="1" x14ac:dyDescent="0.25">
      <c r="A892" s="4" t="s">
        <v>59</v>
      </c>
      <c r="B892" s="4" t="s">
        <v>41</v>
      </c>
      <c r="C892" s="4" t="s">
        <v>44</v>
      </c>
      <c r="D892" s="4" t="s">
        <v>48</v>
      </c>
      <c r="E892" s="4" t="s">
        <v>25</v>
      </c>
      <c r="F892" s="4" t="s">
        <v>25</v>
      </c>
      <c r="G892" s="4" t="s">
        <v>25</v>
      </c>
      <c r="H892" s="4" t="s">
        <v>36</v>
      </c>
      <c r="I892" s="5">
        <v>44866</v>
      </c>
      <c r="J892" s="6">
        <v>0</v>
      </c>
      <c r="K892" s="6">
        <v>0</v>
      </c>
      <c r="L892" s="6">
        <v>79.018000000000001</v>
      </c>
      <c r="M892" s="6">
        <v>79.018000000000001</v>
      </c>
      <c r="N892" s="6">
        <v>79.018000000000001</v>
      </c>
      <c r="O892" s="6">
        <v>79.018000000000001</v>
      </c>
      <c r="P892" s="6">
        <v>0</v>
      </c>
      <c r="Q892" s="4" t="s">
        <v>26</v>
      </c>
      <c r="R892" s="4">
        <v>0</v>
      </c>
      <c r="S892" s="4" t="s">
        <v>258</v>
      </c>
      <c r="T892" s="4" t="s">
        <v>515</v>
      </c>
      <c r="U892" s="4">
        <v>0</v>
      </c>
      <c r="V892" s="4">
        <v>28</v>
      </c>
      <c r="W892" s="4">
        <v>74</v>
      </c>
    </row>
    <row r="893" spans="1:23" ht="11.25" customHeight="1" x14ac:dyDescent="0.25">
      <c r="A893" s="4" t="s">
        <v>59</v>
      </c>
      <c r="B893" s="4" t="s">
        <v>41</v>
      </c>
      <c r="C893" s="4" t="s">
        <v>44</v>
      </c>
      <c r="D893" s="4" t="s">
        <v>48</v>
      </c>
      <c r="E893" s="4" t="s">
        <v>25</v>
      </c>
      <c r="F893" s="4" t="s">
        <v>25</v>
      </c>
      <c r="G893" s="4" t="s">
        <v>25</v>
      </c>
      <c r="H893" s="4" t="s">
        <v>36</v>
      </c>
      <c r="I893" s="5">
        <v>44866</v>
      </c>
      <c r="J893" s="6">
        <v>0</v>
      </c>
      <c r="K893" s="6">
        <v>0</v>
      </c>
      <c r="L893" s="6">
        <v>51.066000000000003</v>
      </c>
      <c r="M893" s="6">
        <v>51.066000000000003</v>
      </c>
      <c r="N893" s="6">
        <v>51.066000000000003</v>
      </c>
      <c r="O893" s="6">
        <v>51.066000000000003</v>
      </c>
      <c r="P893" s="6">
        <v>0</v>
      </c>
      <c r="Q893" s="4" t="s">
        <v>26</v>
      </c>
      <c r="R893" s="4">
        <v>0</v>
      </c>
      <c r="S893" s="4" t="s">
        <v>258</v>
      </c>
      <c r="T893" s="4" t="s">
        <v>515</v>
      </c>
      <c r="U893" s="4">
        <v>0</v>
      </c>
      <c r="V893" s="4">
        <v>28</v>
      </c>
      <c r="W893" s="4">
        <v>74</v>
      </c>
    </row>
    <row r="894" spans="1:23" ht="11.25" customHeight="1" x14ac:dyDescent="0.25">
      <c r="A894" s="4" t="s">
        <v>21</v>
      </c>
      <c r="B894" s="4" t="s">
        <v>41</v>
      </c>
      <c r="C894" s="4" t="s">
        <v>44</v>
      </c>
      <c r="D894" s="4" t="s">
        <v>47</v>
      </c>
      <c r="E894" s="4" t="s">
        <v>25</v>
      </c>
      <c r="F894" s="4" t="s">
        <v>25</v>
      </c>
      <c r="G894" s="4" t="s">
        <v>25</v>
      </c>
      <c r="H894" s="4" t="s">
        <v>37</v>
      </c>
      <c r="I894" s="5">
        <v>44743</v>
      </c>
      <c r="J894" s="6">
        <v>0</v>
      </c>
      <c r="K894" s="6">
        <v>0</v>
      </c>
      <c r="L894" s="6">
        <v>2.1999999999999999E-2</v>
      </c>
      <c r="M894" s="6">
        <v>2.112E-2</v>
      </c>
      <c r="N894" s="6">
        <v>2.1999999999999999E-2</v>
      </c>
      <c r="O894" s="6">
        <v>2.112E-2</v>
      </c>
      <c r="P894" s="6">
        <v>0</v>
      </c>
      <c r="Q894" s="4" t="s">
        <v>26</v>
      </c>
      <c r="R894" s="4">
        <v>0</v>
      </c>
      <c r="S894" s="4" t="s">
        <v>230</v>
      </c>
      <c r="T894" s="4" t="s">
        <v>499</v>
      </c>
      <c r="U894" s="4">
        <v>0</v>
      </c>
      <c r="V894" s="4">
        <v>29</v>
      </c>
      <c r="W894" s="4">
        <v>75</v>
      </c>
    </row>
    <row r="895" spans="1:23" ht="11.25" customHeight="1" x14ac:dyDescent="0.25">
      <c r="A895" s="4" t="s">
        <v>21</v>
      </c>
      <c r="B895" s="4" t="s">
        <v>41</v>
      </c>
      <c r="C895" s="4" t="s">
        <v>44</v>
      </c>
      <c r="D895" s="4" t="s">
        <v>47</v>
      </c>
      <c r="E895" s="4" t="s">
        <v>25</v>
      </c>
      <c r="F895" s="4" t="s">
        <v>25</v>
      </c>
      <c r="G895" s="4" t="s">
        <v>25</v>
      </c>
      <c r="H895" s="4" t="s">
        <v>37</v>
      </c>
      <c r="I895" s="5">
        <v>44774</v>
      </c>
      <c r="J895" s="6">
        <v>0</v>
      </c>
      <c r="K895" s="6">
        <v>0</v>
      </c>
      <c r="L895" s="6">
        <v>8.2000000000000003E-2</v>
      </c>
      <c r="M895" s="6">
        <v>7.8719999999999998E-2</v>
      </c>
      <c r="N895" s="6">
        <v>8.2000000000000003E-2</v>
      </c>
      <c r="O895" s="6">
        <v>7.8719999999999998E-2</v>
      </c>
      <c r="P895" s="6">
        <v>0</v>
      </c>
      <c r="Q895" s="4" t="s">
        <v>26</v>
      </c>
      <c r="R895" s="4">
        <v>0</v>
      </c>
      <c r="S895" s="4" t="s">
        <v>231</v>
      </c>
      <c r="T895" s="4" t="s">
        <v>500</v>
      </c>
      <c r="U895" s="4">
        <v>0</v>
      </c>
      <c r="V895" s="4">
        <v>29</v>
      </c>
      <c r="W895" s="4">
        <v>75</v>
      </c>
    </row>
    <row r="896" spans="1:23" ht="11.25" customHeight="1" x14ac:dyDescent="0.25">
      <c r="A896" s="4" t="s">
        <v>21</v>
      </c>
      <c r="B896" s="4" t="s">
        <v>41</v>
      </c>
      <c r="C896" s="4" t="s">
        <v>44</v>
      </c>
      <c r="D896" s="4" t="s">
        <v>47</v>
      </c>
      <c r="E896" s="4" t="s">
        <v>25</v>
      </c>
      <c r="F896" s="4" t="s">
        <v>25</v>
      </c>
      <c r="G896" s="4" t="s">
        <v>25</v>
      </c>
      <c r="H896" s="4" t="s">
        <v>37</v>
      </c>
      <c r="I896" s="5">
        <v>44805</v>
      </c>
      <c r="J896" s="6">
        <v>0</v>
      </c>
      <c r="K896" s="6">
        <v>0</v>
      </c>
      <c r="L896" s="6">
        <v>2E-3</v>
      </c>
      <c r="M896" s="6">
        <v>1.92E-3</v>
      </c>
      <c r="N896" s="6">
        <v>2E-3</v>
      </c>
      <c r="O896" s="6">
        <v>1.92E-3</v>
      </c>
      <c r="P896" s="6">
        <v>0</v>
      </c>
      <c r="Q896" s="4" t="s">
        <v>26</v>
      </c>
      <c r="R896" s="4">
        <v>0</v>
      </c>
      <c r="S896" s="4" t="s">
        <v>232</v>
      </c>
      <c r="T896" s="4" t="s">
        <v>501</v>
      </c>
      <c r="U896" s="4">
        <v>0</v>
      </c>
      <c r="V896" s="4">
        <v>29</v>
      </c>
      <c r="W896" s="4">
        <v>75</v>
      </c>
    </row>
    <row r="897" spans="1:23" ht="11.25" customHeight="1" x14ac:dyDescent="0.25">
      <c r="A897" s="4" t="s">
        <v>21</v>
      </c>
      <c r="B897" s="4" t="s">
        <v>41</v>
      </c>
      <c r="C897" s="4" t="s">
        <v>44</v>
      </c>
      <c r="D897" s="4" t="s">
        <v>47</v>
      </c>
      <c r="E897" s="4" t="s">
        <v>25</v>
      </c>
      <c r="F897" s="4" t="s">
        <v>25</v>
      </c>
      <c r="G897" s="4" t="s">
        <v>25</v>
      </c>
      <c r="H897" s="4" t="s">
        <v>37</v>
      </c>
      <c r="I897" s="5">
        <v>44835</v>
      </c>
      <c r="J897" s="6">
        <v>0</v>
      </c>
      <c r="K897" s="6">
        <v>0</v>
      </c>
      <c r="L897" s="6">
        <v>1E-3</v>
      </c>
      <c r="M897" s="6">
        <v>9.6000000000000002E-4</v>
      </c>
      <c r="N897" s="6">
        <v>1E-3</v>
      </c>
      <c r="O897" s="6">
        <v>9.6000000000000002E-4</v>
      </c>
      <c r="P897" s="6">
        <v>0</v>
      </c>
      <c r="Q897" s="4" t="s">
        <v>26</v>
      </c>
      <c r="R897" s="4">
        <v>0</v>
      </c>
      <c r="S897" s="4" t="s">
        <v>233</v>
      </c>
      <c r="T897" s="4" t="s">
        <v>502</v>
      </c>
      <c r="U897" s="4">
        <v>0</v>
      </c>
      <c r="V897" s="4">
        <v>29</v>
      </c>
      <c r="W897" s="4">
        <v>75</v>
      </c>
    </row>
    <row r="898" spans="1:23" ht="11.25" customHeight="1" x14ac:dyDescent="0.25">
      <c r="A898" s="4" t="s">
        <v>59</v>
      </c>
      <c r="B898" s="4" t="s">
        <v>41</v>
      </c>
      <c r="C898" s="4" t="s">
        <v>44</v>
      </c>
      <c r="D898" s="4" t="s">
        <v>47</v>
      </c>
      <c r="E898" s="4" t="s">
        <v>25</v>
      </c>
      <c r="F898" s="4" t="s">
        <v>25</v>
      </c>
      <c r="G898" s="4" t="s">
        <v>25</v>
      </c>
      <c r="H898" s="4" t="s">
        <v>37</v>
      </c>
      <c r="I898" s="5">
        <v>44866</v>
      </c>
      <c r="J898" s="6">
        <v>0</v>
      </c>
      <c r="K898" s="6">
        <v>0</v>
      </c>
      <c r="L898" s="6">
        <v>1E-3</v>
      </c>
      <c r="M898" s="6">
        <v>9.6000000000000002E-4</v>
      </c>
      <c r="N898" s="6">
        <v>1E-3</v>
      </c>
      <c r="O898" s="6">
        <v>9.6000000000000002E-4</v>
      </c>
      <c r="P898" s="6">
        <v>0</v>
      </c>
      <c r="Q898" s="4" t="s">
        <v>26</v>
      </c>
      <c r="R898" s="4">
        <v>0</v>
      </c>
      <c r="S898" s="4" t="s">
        <v>234</v>
      </c>
      <c r="T898" s="4" t="s">
        <v>503</v>
      </c>
      <c r="U898" s="4">
        <v>0</v>
      </c>
      <c r="V898" s="4">
        <v>29</v>
      </c>
      <c r="W898" s="4">
        <v>75</v>
      </c>
    </row>
    <row r="899" spans="1:23" ht="11.25" customHeight="1" x14ac:dyDescent="0.25">
      <c r="A899" s="4" t="s">
        <v>21</v>
      </c>
      <c r="B899" s="4" t="s">
        <v>41</v>
      </c>
      <c r="C899" s="4" t="s">
        <v>44</v>
      </c>
      <c r="D899" s="4" t="s">
        <v>47</v>
      </c>
      <c r="E899" s="4" t="s">
        <v>25</v>
      </c>
      <c r="F899" s="4" t="s">
        <v>25</v>
      </c>
      <c r="G899" s="4" t="s">
        <v>25</v>
      </c>
      <c r="H899" s="4" t="s">
        <v>25</v>
      </c>
      <c r="I899" s="5">
        <v>44774</v>
      </c>
      <c r="J899" s="6">
        <v>15</v>
      </c>
      <c r="K899" s="6">
        <v>14.4</v>
      </c>
      <c r="L899" s="6">
        <v>0</v>
      </c>
      <c r="M899" s="6">
        <v>0</v>
      </c>
      <c r="N899" s="6">
        <v>0</v>
      </c>
      <c r="O899" s="6">
        <v>0</v>
      </c>
      <c r="P899" s="6">
        <v>1</v>
      </c>
      <c r="Q899" s="4" t="s">
        <v>26</v>
      </c>
      <c r="R899" s="4">
        <v>0</v>
      </c>
      <c r="S899" s="4" t="s">
        <v>243</v>
      </c>
      <c r="U899" s="4">
        <v>27</v>
      </c>
      <c r="V899" s="4">
        <v>0</v>
      </c>
      <c r="W899" s="4">
        <v>0</v>
      </c>
    </row>
    <row r="900" spans="1:23" ht="11.25" customHeight="1" x14ac:dyDescent="0.25">
      <c r="A900" s="4" t="s">
        <v>21</v>
      </c>
      <c r="B900" s="4" t="s">
        <v>41</v>
      </c>
      <c r="C900" s="4" t="s">
        <v>44</v>
      </c>
      <c r="D900" s="4" t="s">
        <v>47</v>
      </c>
      <c r="E900" s="4" t="s">
        <v>25</v>
      </c>
      <c r="F900" s="4" t="s">
        <v>25</v>
      </c>
      <c r="G900" s="4" t="s">
        <v>25</v>
      </c>
      <c r="H900" s="4" t="s">
        <v>25</v>
      </c>
      <c r="I900" s="5">
        <v>44805</v>
      </c>
      <c r="J900" s="6">
        <v>1</v>
      </c>
      <c r="K900" s="6">
        <v>0.96</v>
      </c>
      <c r="L900" s="6">
        <v>0</v>
      </c>
      <c r="M900" s="6">
        <v>0</v>
      </c>
      <c r="N900" s="6">
        <v>0</v>
      </c>
      <c r="O900" s="6">
        <v>0</v>
      </c>
      <c r="P900" s="6">
        <v>1</v>
      </c>
      <c r="Q900" s="4" t="s">
        <v>26</v>
      </c>
      <c r="R900" s="4">
        <v>0</v>
      </c>
      <c r="S900" s="4" t="s">
        <v>244</v>
      </c>
      <c r="U900" s="4">
        <v>27</v>
      </c>
      <c r="V900" s="4">
        <v>0</v>
      </c>
      <c r="W900" s="4">
        <v>0</v>
      </c>
    </row>
    <row r="901" spans="1:23" ht="11.25" customHeight="1" x14ac:dyDescent="0.25">
      <c r="A901" s="4" t="s">
        <v>21</v>
      </c>
      <c r="B901" s="4" t="s">
        <v>41</v>
      </c>
      <c r="C901" s="4" t="s">
        <v>44</v>
      </c>
      <c r="D901" s="4" t="s">
        <v>47</v>
      </c>
      <c r="E901" s="4" t="s">
        <v>25</v>
      </c>
      <c r="F901" s="4" t="s">
        <v>25</v>
      </c>
      <c r="G901" s="4" t="s">
        <v>25</v>
      </c>
      <c r="H901" s="4" t="s">
        <v>25</v>
      </c>
      <c r="I901" s="5">
        <v>44835</v>
      </c>
      <c r="J901" s="6">
        <v>1</v>
      </c>
      <c r="K901" s="6">
        <v>0.96</v>
      </c>
      <c r="L901" s="6">
        <v>0</v>
      </c>
      <c r="M901" s="6">
        <v>0</v>
      </c>
      <c r="N901" s="6">
        <v>0</v>
      </c>
      <c r="O901" s="6">
        <v>0</v>
      </c>
      <c r="P901" s="6">
        <v>1</v>
      </c>
      <c r="Q901" s="4" t="s">
        <v>26</v>
      </c>
      <c r="R901" s="4">
        <v>0</v>
      </c>
      <c r="S901" s="4" t="s">
        <v>245</v>
      </c>
      <c r="U901" s="4">
        <v>27</v>
      </c>
      <c r="V901" s="4">
        <v>0</v>
      </c>
      <c r="W901" s="4">
        <v>0</v>
      </c>
    </row>
    <row r="902" spans="1:23" ht="11.25" customHeight="1" x14ac:dyDescent="0.25">
      <c r="A902" s="4" t="s">
        <v>59</v>
      </c>
      <c r="B902" s="4" t="s">
        <v>41</v>
      </c>
      <c r="C902" s="4" t="s">
        <v>44</v>
      </c>
      <c r="D902" s="4" t="s">
        <v>47</v>
      </c>
      <c r="E902" s="4" t="s">
        <v>25</v>
      </c>
      <c r="F902" s="4" t="s">
        <v>25</v>
      </c>
      <c r="G902" s="4" t="s">
        <v>25</v>
      </c>
      <c r="H902" s="4" t="s">
        <v>25</v>
      </c>
      <c r="I902" s="5">
        <v>44866</v>
      </c>
      <c r="J902" s="6">
        <v>1</v>
      </c>
      <c r="K902" s="6">
        <v>0.96</v>
      </c>
      <c r="L902" s="6">
        <v>0</v>
      </c>
      <c r="M902" s="6">
        <v>0</v>
      </c>
      <c r="N902" s="6">
        <v>0</v>
      </c>
      <c r="O902" s="6">
        <v>0</v>
      </c>
      <c r="P902" s="6">
        <v>1</v>
      </c>
      <c r="Q902" s="4" t="s">
        <v>26</v>
      </c>
      <c r="R902" s="4">
        <v>0</v>
      </c>
      <c r="S902" s="4" t="s">
        <v>246</v>
      </c>
      <c r="U902" s="4">
        <v>27</v>
      </c>
      <c r="V902" s="4">
        <v>0</v>
      </c>
      <c r="W902" s="4">
        <v>0</v>
      </c>
    </row>
    <row r="903" spans="1:23" ht="11.25" customHeight="1" x14ac:dyDescent="0.25">
      <c r="A903" s="4" t="s">
        <v>27</v>
      </c>
      <c r="B903" s="4" t="s">
        <v>41</v>
      </c>
      <c r="C903" s="4" t="s">
        <v>44</v>
      </c>
      <c r="D903" s="4" t="s">
        <v>47</v>
      </c>
      <c r="E903" s="4" t="s">
        <v>25</v>
      </c>
      <c r="F903" s="4" t="s">
        <v>25</v>
      </c>
      <c r="G903" s="4" t="s">
        <v>25</v>
      </c>
      <c r="H903" s="4" t="s">
        <v>36</v>
      </c>
      <c r="I903" s="5">
        <v>44531</v>
      </c>
      <c r="J903" s="6">
        <v>0</v>
      </c>
      <c r="K903" s="6">
        <v>0</v>
      </c>
      <c r="L903" s="6">
        <v>-0.35899999999999999</v>
      </c>
      <c r="M903" s="6">
        <v>-0.34463999999999995</v>
      </c>
      <c r="N903" s="6">
        <v>-0.35899999999999999</v>
      </c>
      <c r="O903" s="6">
        <v>-0.34463999999999995</v>
      </c>
      <c r="P903" s="6">
        <v>0</v>
      </c>
      <c r="Q903" s="4" t="s">
        <v>26</v>
      </c>
      <c r="R903" s="4">
        <v>0</v>
      </c>
      <c r="S903" s="4" t="s">
        <v>247</v>
      </c>
      <c r="T903" s="4" t="s">
        <v>504</v>
      </c>
      <c r="U903" s="4">
        <v>0</v>
      </c>
      <c r="V903" s="4">
        <v>28</v>
      </c>
      <c r="W903" s="4">
        <v>74</v>
      </c>
    </row>
    <row r="904" spans="1:23" ht="11.25" customHeight="1" x14ac:dyDescent="0.25">
      <c r="A904" s="4" t="s">
        <v>21</v>
      </c>
      <c r="B904" s="4" t="s">
        <v>41</v>
      </c>
      <c r="C904" s="4" t="s">
        <v>44</v>
      </c>
      <c r="D904" s="4" t="s">
        <v>47</v>
      </c>
      <c r="E904" s="4" t="s">
        <v>25</v>
      </c>
      <c r="F904" s="4" t="s">
        <v>25</v>
      </c>
      <c r="G904" s="4" t="s">
        <v>25</v>
      </c>
      <c r="H904" s="4" t="s">
        <v>36</v>
      </c>
      <c r="I904" s="5">
        <v>44743</v>
      </c>
      <c r="J904" s="6">
        <v>0</v>
      </c>
      <c r="K904" s="6">
        <v>0</v>
      </c>
      <c r="L904" s="6">
        <v>2E-3</v>
      </c>
      <c r="M904" s="6">
        <v>1.92E-3</v>
      </c>
      <c r="N904" s="6">
        <v>2E-3</v>
      </c>
      <c r="O904" s="6">
        <v>1.92E-3</v>
      </c>
      <c r="P904" s="6">
        <v>0</v>
      </c>
      <c r="Q904" s="4" t="s">
        <v>26</v>
      </c>
      <c r="R904" s="4">
        <v>0</v>
      </c>
      <c r="S904" s="4" t="s">
        <v>254</v>
      </c>
      <c r="T904" s="4" t="s">
        <v>511</v>
      </c>
      <c r="U904" s="4">
        <v>0</v>
      </c>
      <c r="V904" s="4">
        <v>28</v>
      </c>
      <c r="W904" s="4">
        <v>74</v>
      </c>
    </row>
    <row r="905" spans="1:23" ht="11.25" customHeight="1" x14ac:dyDescent="0.25">
      <c r="A905" s="4" t="s">
        <v>21</v>
      </c>
      <c r="B905" s="4" t="s">
        <v>41</v>
      </c>
      <c r="C905" s="4" t="s">
        <v>44</v>
      </c>
      <c r="D905" s="4" t="s">
        <v>52</v>
      </c>
      <c r="E905" s="4" t="s">
        <v>53</v>
      </c>
      <c r="F905" s="4" t="s">
        <v>25</v>
      </c>
      <c r="G905" s="4" t="s">
        <v>25</v>
      </c>
      <c r="H905" s="4" t="s">
        <v>37</v>
      </c>
      <c r="I905" s="5">
        <v>44531</v>
      </c>
      <c r="J905" s="6">
        <v>0</v>
      </c>
      <c r="K905" s="6">
        <v>0</v>
      </c>
      <c r="L905" s="6">
        <v>2337.0320000000002</v>
      </c>
      <c r="M905" s="6">
        <v>2196.8100800000002</v>
      </c>
      <c r="N905" s="6">
        <v>2337.0320000000002</v>
      </c>
      <c r="O905" s="6">
        <v>2196.8100800000002</v>
      </c>
      <c r="P905" s="6">
        <v>0</v>
      </c>
      <c r="Q905" s="4" t="s">
        <v>26</v>
      </c>
      <c r="R905" s="4">
        <v>0</v>
      </c>
      <c r="S905" s="4" t="s">
        <v>223</v>
      </c>
      <c r="T905" s="4" t="s">
        <v>492</v>
      </c>
      <c r="U905" s="4">
        <v>0</v>
      </c>
      <c r="V905" s="4">
        <v>29</v>
      </c>
      <c r="W905" s="4">
        <v>75</v>
      </c>
    </row>
    <row r="906" spans="1:23" ht="11.25" customHeight="1" x14ac:dyDescent="0.25">
      <c r="A906" s="4" t="s">
        <v>28</v>
      </c>
      <c r="B906" s="4" t="s">
        <v>41</v>
      </c>
      <c r="C906" s="4" t="s">
        <v>44</v>
      </c>
      <c r="D906" s="4" t="s">
        <v>52</v>
      </c>
      <c r="E906" s="4" t="s">
        <v>53</v>
      </c>
      <c r="F906" s="4" t="s">
        <v>25</v>
      </c>
      <c r="G906" s="4" t="s">
        <v>25</v>
      </c>
      <c r="H906" s="4" t="s">
        <v>37</v>
      </c>
      <c r="I906" s="5">
        <v>44531</v>
      </c>
      <c r="J906" s="6">
        <v>0</v>
      </c>
      <c r="K906" s="6">
        <v>0</v>
      </c>
      <c r="L906" s="6">
        <v>325.91500000000002</v>
      </c>
      <c r="M906" s="6">
        <v>306.36009999999999</v>
      </c>
      <c r="N906" s="6">
        <v>325.91500000000002</v>
      </c>
      <c r="O906" s="6">
        <v>306.36009999999999</v>
      </c>
      <c r="P906" s="6">
        <v>0</v>
      </c>
      <c r="Q906" s="4" t="s">
        <v>26</v>
      </c>
      <c r="R906" s="4">
        <v>0</v>
      </c>
      <c r="S906" s="4" t="s">
        <v>223</v>
      </c>
      <c r="T906" s="4" t="s">
        <v>492</v>
      </c>
      <c r="U906" s="4">
        <v>0</v>
      </c>
      <c r="V906" s="4">
        <v>29</v>
      </c>
      <c r="W906" s="4">
        <v>75</v>
      </c>
    </row>
    <row r="907" spans="1:23" ht="11.25" customHeight="1" x14ac:dyDescent="0.25">
      <c r="A907" s="4" t="s">
        <v>21</v>
      </c>
      <c r="B907" s="4" t="s">
        <v>41</v>
      </c>
      <c r="C907" s="4" t="s">
        <v>44</v>
      </c>
      <c r="D907" s="4" t="s">
        <v>52</v>
      </c>
      <c r="E907" s="4" t="s">
        <v>53</v>
      </c>
      <c r="F907" s="4" t="s">
        <v>25</v>
      </c>
      <c r="G907" s="4" t="s">
        <v>25</v>
      </c>
      <c r="H907" s="4" t="s">
        <v>37</v>
      </c>
      <c r="I907" s="5">
        <v>44562</v>
      </c>
      <c r="J907" s="6">
        <v>0</v>
      </c>
      <c r="K907" s="6">
        <v>0</v>
      </c>
      <c r="L907" s="6">
        <v>2800.4690000000001</v>
      </c>
      <c r="M907" s="6">
        <v>2632.4408600000002</v>
      </c>
      <c r="N907" s="6">
        <v>2800.4690000000001</v>
      </c>
      <c r="O907" s="6">
        <v>2632.4408600000002</v>
      </c>
      <c r="P907" s="6">
        <v>0</v>
      </c>
      <c r="Q907" s="4" t="s">
        <v>26</v>
      </c>
      <c r="R907" s="4">
        <v>0</v>
      </c>
      <c r="S907" s="4" t="s">
        <v>224</v>
      </c>
      <c r="T907" s="4" t="s">
        <v>493</v>
      </c>
      <c r="U907" s="4">
        <v>0</v>
      </c>
      <c r="V907" s="4">
        <v>29</v>
      </c>
      <c r="W907" s="4">
        <v>75</v>
      </c>
    </row>
    <row r="908" spans="1:23" ht="11.25" customHeight="1" x14ac:dyDescent="0.25">
      <c r="A908" s="4" t="s">
        <v>28</v>
      </c>
      <c r="B908" s="4" t="s">
        <v>41</v>
      </c>
      <c r="C908" s="4" t="s">
        <v>44</v>
      </c>
      <c r="D908" s="4" t="s">
        <v>52</v>
      </c>
      <c r="E908" s="4" t="s">
        <v>53</v>
      </c>
      <c r="F908" s="4" t="s">
        <v>25</v>
      </c>
      <c r="G908" s="4" t="s">
        <v>25</v>
      </c>
      <c r="H908" s="4" t="s">
        <v>37</v>
      </c>
      <c r="I908" s="5">
        <v>44562</v>
      </c>
      <c r="J908" s="6">
        <v>0</v>
      </c>
      <c r="K908" s="6">
        <v>0</v>
      </c>
      <c r="L908" s="6">
        <v>348.46</v>
      </c>
      <c r="M908" s="6">
        <v>327.55239999999998</v>
      </c>
      <c r="N908" s="6">
        <v>348.46</v>
      </c>
      <c r="O908" s="6">
        <v>327.55239999999998</v>
      </c>
      <c r="P908" s="6">
        <v>0</v>
      </c>
      <c r="Q908" s="4" t="s">
        <v>26</v>
      </c>
      <c r="R908" s="4">
        <v>0</v>
      </c>
      <c r="S908" s="4" t="s">
        <v>224</v>
      </c>
      <c r="T908" s="4" t="s">
        <v>493</v>
      </c>
      <c r="U908" s="4">
        <v>0</v>
      </c>
      <c r="V908" s="4">
        <v>29</v>
      </c>
      <c r="W908" s="4">
        <v>75</v>
      </c>
    </row>
    <row r="909" spans="1:23" ht="11.25" customHeight="1" x14ac:dyDescent="0.25">
      <c r="A909" s="4" t="s">
        <v>21</v>
      </c>
      <c r="B909" s="4" t="s">
        <v>41</v>
      </c>
      <c r="C909" s="4" t="s">
        <v>44</v>
      </c>
      <c r="D909" s="4" t="s">
        <v>52</v>
      </c>
      <c r="E909" s="4" t="s">
        <v>53</v>
      </c>
      <c r="F909" s="4" t="s">
        <v>25</v>
      </c>
      <c r="G909" s="4" t="s">
        <v>25</v>
      </c>
      <c r="H909" s="4" t="s">
        <v>37</v>
      </c>
      <c r="I909" s="5">
        <v>44593</v>
      </c>
      <c r="J909" s="6">
        <v>0</v>
      </c>
      <c r="K909" s="6">
        <v>0</v>
      </c>
      <c r="L909" s="6">
        <v>2556.0419999999999</v>
      </c>
      <c r="M909" s="6">
        <v>2402.6794799999998</v>
      </c>
      <c r="N909" s="6">
        <v>2556.0419999999999</v>
      </c>
      <c r="O909" s="6">
        <v>2402.6794799999998</v>
      </c>
      <c r="P909" s="6">
        <v>0</v>
      </c>
      <c r="Q909" s="4" t="s">
        <v>26</v>
      </c>
      <c r="R909" s="4">
        <v>0</v>
      </c>
      <c r="S909" s="4" t="s">
        <v>225</v>
      </c>
      <c r="T909" s="4" t="s">
        <v>494</v>
      </c>
      <c r="U909" s="4">
        <v>0</v>
      </c>
      <c r="V909" s="4">
        <v>29</v>
      </c>
      <c r="W909" s="4">
        <v>75</v>
      </c>
    </row>
    <row r="910" spans="1:23" ht="11.25" customHeight="1" x14ac:dyDescent="0.25">
      <c r="A910" s="4" t="s">
        <v>28</v>
      </c>
      <c r="B910" s="4" t="s">
        <v>41</v>
      </c>
      <c r="C910" s="4" t="s">
        <v>44</v>
      </c>
      <c r="D910" s="4" t="s">
        <v>52</v>
      </c>
      <c r="E910" s="4" t="s">
        <v>53</v>
      </c>
      <c r="F910" s="4" t="s">
        <v>25</v>
      </c>
      <c r="G910" s="4" t="s">
        <v>25</v>
      </c>
      <c r="H910" s="4" t="s">
        <v>37</v>
      </c>
      <c r="I910" s="5">
        <v>44593</v>
      </c>
      <c r="J910" s="6">
        <v>0</v>
      </c>
      <c r="K910" s="6">
        <v>0</v>
      </c>
      <c r="L910" s="6">
        <v>328.28699999999998</v>
      </c>
      <c r="M910" s="6">
        <v>308.58978000000002</v>
      </c>
      <c r="N910" s="6">
        <v>328.28699999999998</v>
      </c>
      <c r="O910" s="6">
        <v>308.58978000000002</v>
      </c>
      <c r="P910" s="6">
        <v>0</v>
      </c>
      <c r="Q910" s="4" t="s">
        <v>26</v>
      </c>
      <c r="R910" s="4">
        <v>0</v>
      </c>
      <c r="S910" s="4" t="s">
        <v>225</v>
      </c>
      <c r="T910" s="4" t="s">
        <v>494</v>
      </c>
      <c r="U910" s="4">
        <v>0</v>
      </c>
      <c r="V910" s="4">
        <v>29</v>
      </c>
      <c r="W910" s="4">
        <v>75</v>
      </c>
    </row>
    <row r="911" spans="1:23" ht="11.25" customHeight="1" x14ac:dyDescent="0.25">
      <c r="A911" s="4" t="s">
        <v>21</v>
      </c>
      <c r="B911" s="4" t="s">
        <v>41</v>
      </c>
      <c r="C911" s="4" t="s">
        <v>44</v>
      </c>
      <c r="D911" s="4" t="s">
        <v>52</v>
      </c>
      <c r="E911" s="4" t="s">
        <v>53</v>
      </c>
      <c r="F911" s="4" t="s">
        <v>25</v>
      </c>
      <c r="G911" s="4" t="s">
        <v>25</v>
      </c>
      <c r="H911" s="4" t="s">
        <v>37</v>
      </c>
      <c r="I911" s="5">
        <v>44621</v>
      </c>
      <c r="J911" s="6">
        <v>0</v>
      </c>
      <c r="K911" s="6">
        <v>0</v>
      </c>
      <c r="L911" s="6">
        <v>2638.0169999999998</v>
      </c>
      <c r="M911" s="6">
        <v>2479.7359799999999</v>
      </c>
      <c r="N911" s="6">
        <v>2638.0169999999998</v>
      </c>
      <c r="O911" s="6">
        <v>2479.7359799999999</v>
      </c>
      <c r="P911" s="6">
        <v>0</v>
      </c>
      <c r="Q911" s="4" t="s">
        <v>26</v>
      </c>
      <c r="R911" s="4">
        <v>0</v>
      </c>
      <c r="S911" s="4" t="s">
        <v>226</v>
      </c>
      <c r="T911" s="4" t="s">
        <v>495</v>
      </c>
      <c r="U911" s="4">
        <v>0</v>
      </c>
      <c r="V911" s="4">
        <v>29</v>
      </c>
      <c r="W911" s="4">
        <v>75</v>
      </c>
    </row>
    <row r="912" spans="1:23" ht="11.25" customHeight="1" x14ac:dyDescent="0.25">
      <c r="A912" s="4" t="s">
        <v>28</v>
      </c>
      <c r="B912" s="4" t="s">
        <v>41</v>
      </c>
      <c r="C912" s="4" t="s">
        <v>44</v>
      </c>
      <c r="D912" s="4" t="s">
        <v>52</v>
      </c>
      <c r="E912" s="4" t="s">
        <v>53</v>
      </c>
      <c r="F912" s="4" t="s">
        <v>25</v>
      </c>
      <c r="G912" s="4" t="s">
        <v>25</v>
      </c>
      <c r="H912" s="4" t="s">
        <v>37</v>
      </c>
      <c r="I912" s="5">
        <v>44621</v>
      </c>
      <c r="J912" s="6">
        <v>0</v>
      </c>
      <c r="K912" s="6">
        <v>0</v>
      </c>
      <c r="L912" s="6">
        <v>324.35599999999999</v>
      </c>
      <c r="M912" s="6">
        <v>304.89463999999998</v>
      </c>
      <c r="N912" s="6">
        <v>324.35599999999999</v>
      </c>
      <c r="O912" s="6">
        <v>304.89463999999998</v>
      </c>
      <c r="P912" s="6">
        <v>0</v>
      </c>
      <c r="Q912" s="4" t="s">
        <v>26</v>
      </c>
      <c r="R912" s="4">
        <v>0</v>
      </c>
      <c r="S912" s="4" t="s">
        <v>226</v>
      </c>
      <c r="T912" s="4" t="s">
        <v>495</v>
      </c>
      <c r="U912" s="4">
        <v>0</v>
      </c>
      <c r="V912" s="4">
        <v>29</v>
      </c>
      <c r="W912" s="4">
        <v>75</v>
      </c>
    </row>
    <row r="913" spans="1:23" ht="11.25" customHeight="1" x14ac:dyDescent="0.25">
      <c r="A913" s="4" t="s">
        <v>21</v>
      </c>
      <c r="B913" s="4" t="s">
        <v>41</v>
      </c>
      <c r="C913" s="4" t="s">
        <v>44</v>
      </c>
      <c r="D913" s="4" t="s">
        <v>52</v>
      </c>
      <c r="E913" s="4" t="s">
        <v>53</v>
      </c>
      <c r="F913" s="4" t="s">
        <v>25</v>
      </c>
      <c r="G913" s="4" t="s">
        <v>25</v>
      </c>
      <c r="H913" s="4" t="s">
        <v>37</v>
      </c>
      <c r="I913" s="5">
        <v>44652</v>
      </c>
      <c r="J913" s="6">
        <v>0</v>
      </c>
      <c r="K913" s="6">
        <v>0</v>
      </c>
      <c r="L913" s="6">
        <v>2707.72</v>
      </c>
      <c r="M913" s="6">
        <v>2545.2568000000001</v>
      </c>
      <c r="N913" s="6">
        <v>2707.72</v>
      </c>
      <c r="O913" s="6">
        <v>2545.2568000000001</v>
      </c>
      <c r="P913" s="6">
        <v>0</v>
      </c>
      <c r="Q913" s="4" t="s">
        <v>26</v>
      </c>
      <c r="R913" s="4">
        <v>0</v>
      </c>
      <c r="S913" s="4" t="s">
        <v>227</v>
      </c>
      <c r="T913" s="4" t="s">
        <v>496</v>
      </c>
      <c r="U913" s="4">
        <v>0</v>
      </c>
      <c r="V913" s="4">
        <v>29</v>
      </c>
      <c r="W913" s="4">
        <v>75</v>
      </c>
    </row>
    <row r="914" spans="1:23" ht="11.25" customHeight="1" x14ac:dyDescent="0.25">
      <c r="A914" s="4" t="s">
        <v>28</v>
      </c>
      <c r="B914" s="4" t="s">
        <v>41</v>
      </c>
      <c r="C914" s="4" t="s">
        <v>44</v>
      </c>
      <c r="D914" s="4" t="s">
        <v>52</v>
      </c>
      <c r="E914" s="4" t="s">
        <v>53</v>
      </c>
      <c r="F914" s="4" t="s">
        <v>25</v>
      </c>
      <c r="G914" s="4" t="s">
        <v>25</v>
      </c>
      <c r="H914" s="4" t="s">
        <v>37</v>
      </c>
      <c r="I914" s="5">
        <v>44652</v>
      </c>
      <c r="J914" s="6">
        <v>0</v>
      </c>
      <c r="K914" s="6">
        <v>0</v>
      </c>
      <c r="L914" s="6">
        <v>341.45400000000001</v>
      </c>
      <c r="M914" s="6">
        <v>320.96676000000002</v>
      </c>
      <c r="N914" s="6">
        <v>341.45400000000001</v>
      </c>
      <c r="O914" s="6">
        <v>320.96676000000002</v>
      </c>
      <c r="P914" s="6">
        <v>0</v>
      </c>
      <c r="Q914" s="4" t="s">
        <v>26</v>
      </c>
      <c r="R914" s="4">
        <v>0</v>
      </c>
      <c r="S914" s="4" t="s">
        <v>227</v>
      </c>
      <c r="T914" s="4" t="s">
        <v>496</v>
      </c>
      <c r="U914" s="4">
        <v>0</v>
      </c>
      <c r="V914" s="4">
        <v>29</v>
      </c>
      <c r="W914" s="4">
        <v>75</v>
      </c>
    </row>
    <row r="915" spans="1:23" ht="11.25" customHeight="1" x14ac:dyDescent="0.25">
      <c r="A915" s="4" t="s">
        <v>21</v>
      </c>
      <c r="B915" s="4" t="s">
        <v>41</v>
      </c>
      <c r="C915" s="4" t="s">
        <v>44</v>
      </c>
      <c r="D915" s="4" t="s">
        <v>52</v>
      </c>
      <c r="E915" s="4" t="s">
        <v>53</v>
      </c>
      <c r="F915" s="4" t="s">
        <v>25</v>
      </c>
      <c r="G915" s="4" t="s">
        <v>25</v>
      </c>
      <c r="H915" s="4" t="s">
        <v>37</v>
      </c>
      <c r="I915" s="5">
        <v>44682</v>
      </c>
      <c r="J915" s="6">
        <v>0</v>
      </c>
      <c r="K915" s="6">
        <v>0</v>
      </c>
      <c r="L915" s="6">
        <v>2835.127</v>
      </c>
      <c r="M915" s="6">
        <v>2665.0193800000002</v>
      </c>
      <c r="N915" s="6">
        <v>2835.127</v>
      </c>
      <c r="O915" s="6">
        <v>2665.0193800000002</v>
      </c>
      <c r="P915" s="6">
        <v>0</v>
      </c>
      <c r="Q915" s="4" t="s">
        <v>26</v>
      </c>
      <c r="R915" s="4">
        <v>0</v>
      </c>
      <c r="S915" s="4" t="s">
        <v>228</v>
      </c>
      <c r="T915" s="4" t="s">
        <v>497</v>
      </c>
      <c r="U915" s="4">
        <v>0</v>
      </c>
      <c r="V915" s="4">
        <v>29</v>
      </c>
      <c r="W915" s="4">
        <v>75</v>
      </c>
    </row>
    <row r="916" spans="1:23" ht="11.25" customHeight="1" x14ac:dyDescent="0.25">
      <c r="A916" s="4" t="s">
        <v>28</v>
      </c>
      <c r="B916" s="4" t="s">
        <v>41</v>
      </c>
      <c r="C916" s="4" t="s">
        <v>44</v>
      </c>
      <c r="D916" s="4" t="s">
        <v>52</v>
      </c>
      <c r="E916" s="4" t="s">
        <v>53</v>
      </c>
      <c r="F916" s="4" t="s">
        <v>25</v>
      </c>
      <c r="G916" s="4" t="s">
        <v>25</v>
      </c>
      <c r="H916" s="4" t="s">
        <v>37</v>
      </c>
      <c r="I916" s="5">
        <v>44682</v>
      </c>
      <c r="J916" s="6">
        <v>0</v>
      </c>
      <c r="K916" s="6">
        <v>0</v>
      </c>
      <c r="L916" s="6">
        <v>347.22</v>
      </c>
      <c r="M916" s="6">
        <v>326.38679999999999</v>
      </c>
      <c r="N916" s="6">
        <v>347.22</v>
      </c>
      <c r="O916" s="6">
        <v>326.38679999999999</v>
      </c>
      <c r="P916" s="6">
        <v>0</v>
      </c>
      <c r="Q916" s="4" t="s">
        <v>26</v>
      </c>
      <c r="R916" s="4">
        <v>0</v>
      </c>
      <c r="S916" s="4" t="s">
        <v>228</v>
      </c>
      <c r="T916" s="4" t="s">
        <v>497</v>
      </c>
      <c r="U916" s="4">
        <v>0</v>
      </c>
      <c r="V916" s="4">
        <v>29</v>
      </c>
      <c r="W916" s="4">
        <v>75</v>
      </c>
    </row>
    <row r="917" spans="1:23" ht="11.25" customHeight="1" x14ac:dyDescent="0.25">
      <c r="A917" s="4" t="s">
        <v>21</v>
      </c>
      <c r="B917" s="4" t="s">
        <v>41</v>
      </c>
      <c r="C917" s="4" t="s">
        <v>44</v>
      </c>
      <c r="D917" s="4" t="s">
        <v>52</v>
      </c>
      <c r="E917" s="4" t="s">
        <v>53</v>
      </c>
      <c r="F917" s="4" t="s">
        <v>25</v>
      </c>
      <c r="G917" s="4" t="s">
        <v>25</v>
      </c>
      <c r="H917" s="4" t="s">
        <v>37</v>
      </c>
      <c r="I917" s="5">
        <v>44713</v>
      </c>
      <c r="J917" s="6">
        <v>0</v>
      </c>
      <c r="K917" s="6">
        <v>0</v>
      </c>
      <c r="L917" s="6">
        <v>2605.1640000000002</v>
      </c>
      <c r="M917" s="6">
        <v>2448.8541599999999</v>
      </c>
      <c r="N917" s="6">
        <v>2605.1640000000002</v>
      </c>
      <c r="O917" s="6">
        <v>2448.8541599999999</v>
      </c>
      <c r="P917" s="6">
        <v>0</v>
      </c>
      <c r="Q917" s="4" t="s">
        <v>26</v>
      </c>
      <c r="R917" s="4">
        <v>0</v>
      </c>
      <c r="S917" s="4" t="s">
        <v>229</v>
      </c>
      <c r="T917" s="4" t="s">
        <v>498</v>
      </c>
      <c r="U917" s="4">
        <v>0</v>
      </c>
      <c r="V917" s="4">
        <v>29</v>
      </c>
      <c r="W917" s="4">
        <v>75</v>
      </c>
    </row>
    <row r="918" spans="1:23" ht="11.25" customHeight="1" x14ac:dyDescent="0.25">
      <c r="A918" s="4" t="s">
        <v>28</v>
      </c>
      <c r="B918" s="4" t="s">
        <v>41</v>
      </c>
      <c r="C918" s="4" t="s">
        <v>44</v>
      </c>
      <c r="D918" s="4" t="s">
        <v>52</v>
      </c>
      <c r="E918" s="4" t="s">
        <v>53</v>
      </c>
      <c r="F918" s="4" t="s">
        <v>25</v>
      </c>
      <c r="G918" s="4" t="s">
        <v>25</v>
      </c>
      <c r="H918" s="4" t="s">
        <v>37</v>
      </c>
      <c r="I918" s="5">
        <v>44713</v>
      </c>
      <c r="J918" s="6">
        <v>0</v>
      </c>
      <c r="K918" s="6">
        <v>0</v>
      </c>
      <c r="L918" s="6">
        <v>350.101</v>
      </c>
      <c r="M918" s="6">
        <v>329.09494000000001</v>
      </c>
      <c r="N918" s="6">
        <v>350.101</v>
      </c>
      <c r="O918" s="6">
        <v>329.09494000000001</v>
      </c>
      <c r="P918" s="6">
        <v>0</v>
      </c>
      <c r="Q918" s="4" t="s">
        <v>26</v>
      </c>
      <c r="R918" s="4">
        <v>0</v>
      </c>
      <c r="S918" s="4" t="s">
        <v>229</v>
      </c>
      <c r="T918" s="4" t="s">
        <v>498</v>
      </c>
      <c r="U918" s="4">
        <v>0</v>
      </c>
      <c r="V918" s="4">
        <v>29</v>
      </c>
      <c r="W918" s="4">
        <v>75</v>
      </c>
    </row>
    <row r="919" spans="1:23" ht="11.25" customHeight="1" x14ac:dyDescent="0.25">
      <c r="A919" s="4" t="s">
        <v>21</v>
      </c>
      <c r="B919" s="4" t="s">
        <v>41</v>
      </c>
      <c r="C919" s="4" t="s">
        <v>44</v>
      </c>
      <c r="D919" s="4" t="s">
        <v>52</v>
      </c>
      <c r="E919" s="4" t="s">
        <v>53</v>
      </c>
      <c r="F919" s="4" t="s">
        <v>25</v>
      </c>
      <c r="G919" s="4" t="s">
        <v>25</v>
      </c>
      <c r="H919" s="4" t="s">
        <v>37</v>
      </c>
      <c r="I919" s="5">
        <v>44743</v>
      </c>
      <c r="J919" s="6">
        <v>0</v>
      </c>
      <c r="K919" s="6">
        <v>0</v>
      </c>
      <c r="L919" s="6">
        <v>2857.5189999999998</v>
      </c>
      <c r="M919" s="6">
        <v>2686.0678600000001</v>
      </c>
      <c r="N919" s="6">
        <v>2857.5189999999998</v>
      </c>
      <c r="O919" s="6">
        <v>2686.0678600000001</v>
      </c>
      <c r="P919" s="6">
        <v>0</v>
      </c>
      <c r="Q919" s="4" t="s">
        <v>26</v>
      </c>
      <c r="R919" s="4">
        <v>0</v>
      </c>
      <c r="S919" s="4" t="s">
        <v>230</v>
      </c>
      <c r="T919" s="4" t="s">
        <v>499</v>
      </c>
      <c r="U919" s="4">
        <v>0</v>
      </c>
      <c r="V919" s="4">
        <v>29</v>
      </c>
      <c r="W919" s="4">
        <v>75</v>
      </c>
    </row>
    <row r="920" spans="1:23" ht="11.25" customHeight="1" x14ac:dyDescent="0.25">
      <c r="A920" s="4" t="s">
        <v>27</v>
      </c>
      <c r="B920" s="4" t="s">
        <v>41</v>
      </c>
      <c r="C920" s="4" t="s">
        <v>44</v>
      </c>
      <c r="D920" s="4" t="s">
        <v>52</v>
      </c>
      <c r="E920" s="4" t="s">
        <v>53</v>
      </c>
      <c r="F920" s="4" t="s">
        <v>25</v>
      </c>
      <c r="G920" s="4" t="s">
        <v>25</v>
      </c>
      <c r="H920" s="4" t="s">
        <v>37</v>
      </c>
      <c r="I920" s="5">
        <v>44743</v>
      </c>
      <c r="J920" s="6">
        <v>0</v>
      </c>
      <c r="K920" s="6">
        <v>0</v>
      </c>
      <c r="L920" s="6">
        <v>-347.2</v>
      </c>
      <c r="M920" s="6">
        <v>-326.36799999999999</v>
      </c>
      <c r="N920" s="6">
        <v>-347.2</v>
      </c>
      <c r="O920" s="6">
        <v>-326.36799999999999</v>
      </c>
      <c r="P920" s="6">
        <v>0</v>
      </c>
      <c r="Q920" s="4" t="s">
        <v>26</v>
      </c>
      <c r="R920" s="4">
        <v>0</v>
      </c>
      <c r="S920" s="4" t="s">
        <v>230</v>
      </c>
      <c r="T920" s="4" t="s">
        <v>499</v>
      </c>
      <c r="U920" s="4">
        <v>0</v>
      </c>
      <c r="V920" s="4">
        <v>29</v>
      </c>
      <c r="W920" s="4">
        <v>75</v>
      </c>
    </row>
    <row r="921" spans="1:23" ht="11.25" customHeight="1" x14ac:dyDescent="0.25">
      <c r="A921" s="4" t="s">
        <v>28</v>
      </c>
      <c r="B921" s="4" t="s">
        <v>41</v>
      </c>
      <c r="C921" s="4" t="s">
        <v>44</v>
      </c>
      <c r="D921" s="4" t="s">
        <v>52</v>
      </c>
      <c r="E921" s="4" t="s">
        <v>53</v>
      </c>
      <c r="F921" s="4" t="s">
        <v>25</v>
      </c>
      <c r="G921" s="4" t="s">
        <v>25</v>
      </c>
      <c r="H921" s="4" t="s">
        <v>37</v>
      </c>
      <c r="I921" s="5">
        <v>44743</v>
      </c>
      <c r="J921" s="6">
        <v>0</v>
      </c>
      <c r="K921" s="6">
        <v>0</v>
      </c>
      <c r="L921" s="6">
        <v>345.75400000000002</v>
      </c>
      <c r="M921" s="6">
        <v>325.00876</v>
      </c>
      <c r="N921" s="6">
        <v>345.75400000000002</v>
      </c>
      <c r="O921" s="6">
        <v>325.00876</v>
      </c>
      <c r="P921" s="6">
        <v>0</v>
      </c>
      <c r="Q921" s="4" t="s">
        <v>26</v>
      </c>
      <c r="R921" s="4">
        <v>0</v>
      </c>
      <c r="S921" s="4" t="s">
        <v>230</v>
      </c>
      <c r="T921" s="4" t="s">
        <v>499</v>
      </c>
      <c r="U921" s="4">
        <v>0</v>
      </c>
      <c r="V921" s="4">
        <v>29</v>
      </c>
      <c r="W921" s="4">
        <v>75</v>
      </c>
    </row>
    <row r="922" spans="1:23" ht="11.25" customHeight="1" x14ac:dyDescent="0.25">
      <c r="A922" s="4" t="s">
        <v>21</v>
      </c>
      <c r="B922" s="4" t="s">
        <v>41</v>
      </c>
      <c r="C922" s="4" t="s">
        <v>44</v>
      </c>
      <c r="D922" s="4" t="s">
        <v>52</v>
      </c>
      <c r="E922" s="4" t="s">
        <v>53</v>
      </c>
      <c r="F922" s="4" t="s">
        <v>25</v>
      </c>
      <c r="G922" s="4" t="s">
        <v>25</v>
      </c>
      <c r="H922" s="4" t="s">
        <v>37</v>
      </c>
      <c r="I922" s="5">
        <v>44774</v>
      </c>
      <c r="J922" s="6">
        <v>0</v>
      </c>
      <c r="K922" s="6">
        <v>0</v>
      </c>
      <c r="L922" s="6">
        <v>2959.0990000000002</v>
      </c>
      <c r="M922" s="6">
        <v>2781.5530600000002</v>
      </c>
      <c r="N922" s="6">
        <v>2959.0990000000002</v>
      </c>
      <c r="O922" s="6">
        <v>2781.5530600000002</v>
      </c>
      <c r="P922" s="6">
        <v>0</v>
      </c>
      <c r="Q922" s="4" t="s">
        <v>26</v>
      </c>
      <c r="R922" s="4">
        <v>0</v>
      </c>
      <c r="S922" s="4" t="s">
        <v>231</v>
      </c>
      <c r="T922" s="4" t="s">
        <v>500</v>
      </c>
      <c r="U922" s="4">
        <v>0</v>
      </c>
      <c r="V922" s="4">
        <v>29</v>
      </c>
      <c r="W922" s="4">
        <v>75</v>
      </c>
    </row>
    <row r="923" spans="1:23" ht="11.25" customHeight="1" x14ac:dyDescent="0.25">
      <c r="A923" s="4" t="s">
        <v>27</v>
      </c>
      <c r="B923" s="4" t="s">
        <v>41</v>
      </c>
      <c r="C923" s="4" t="s">
        <v>44</v>
      </c>
      <c r="D923" s="4" t="s">
        <v>52</v>
      </c>
      <c r="E923" s="4" t="s">
        <v>53</v>
      </c>
      <c r="F923" s="4" t="s">
        <v>25</v>
      </c>
      <c r="G923" s="4" t="s">
        <v>25</v>
      </c>
      <c r="H923" s="4" t="s">
        <v>37</v>
      </c>
      <c r="I923" s="5">
        <v>44774</v>
      </c>
      <c r="J923" s="6">
        <v>0</v>
      </c>
      <c r="K923" s="6">
        <v>0</v>
      </c>
      <c r="L923" s="6">
        <v>-74.131</v>
      </c>
      <c r="M923" s="6">
        <v>-69.683139999999995</v>
      </c>
      <c r="N923" s="6">
        <v>-74.131</v>
      </c>
      <c r="O923" s="6">
        <v>-69.683139999999995</v>
      </c>
      <c r="P923" s="6">
        <v>0</v>
      </c>
      <c r="Q923" s="4" t="s">
        <v>26</v>
      </c>
      <c r="R923" s="4">
        <v>0</v>
      </c>
      <c r="S923" s="4" t="s">
        <v>231</v>
      </c>
      <c r="T923" s="4" t="s">
        <v>500</v>
      </c>
      <c r="U923" s="4">
        <v>0</v>
      </c>
      <c r="V923" s="4">
        <v>29</v>
      </c>
      <c r="W923" s="4">
        <v>75</v>
      </c>
    </row>
    <row r="924" spans="1:23" ht="11.25" customHeight="1" x14ac:dyDescent="0.25">
      <c r="A924" s="4" t="s">
        <v>28</v>
      </c>
      <c r="B924" s="4" t="s">
        <v>41</v>
      </c>
      <c r="C924" s="4" t="s">
        <v>44</v>
      </c>
      <c r="D924" s="4" t="s">
        <v>52</v>
      </c>
      <c r="E924" s="4" t="s">
        <v>53</v>
      </c>
      <c r="F924" s="4" t="s">
        <v>25</v>
      </c>
      <c r="G924" s="4" t="s">
        <v>25</v>
      </c>
      <c r="H924" s="4" t="s">
        <v>37</v>
      </c>
      <c r="I924" s="5">
        <v>44774</v>
      </c>
      <c r="J924" s="6">
        <v>0</v>
      </c>
      <c r="K924" s="6">
        <v>0</v>
      </c>
      <c r="L924" s="6">
        <v>347.33</v>
      </c>
      <c r="M924" s="6">
        <v>326.49020000000002</v>
      </c>
      <c r="N924" s="6">
        <v>347.33</v>
      </c>
      <c r="O924" s="6">
        <v>326.49020000000002</v>
      </c>
      <c r="P924" s="6">
        <v>0</v>
      </c>
      <c r="Q924" s="4" t="s">
        <v>26</v>
      </c>
      <c r="R924" s="4">
        <v>0</v>
      </c>
      <c r="S924" s="4" t="s">
        <v>231</v>
      </c>
      <c r="T924" s="4" t="s">
        <v>500</v>
      </c>
      <c r="U924" s="4">
        <v>0</v>
      </c>
      <c r="V924" s="4">
        <v>29</v>
      </c>
      <c r="W924" s="4">
        <v>75</v>
      </c>
    </row>
    <row r="925" spans="1:23" ht="11.25" customHeight="1" x14ac:dyDescent="0.25">
      <c r="A925" s="4" t="s">
        <v>21</v>
      </c>
      <c r="B925" s="4" t="s">
        <v>41</v>
      </c>
      <c r="C925" s="4" t="s">
        <v>44</v>
      </c>
      <c r="D925" s="4" t="s">
        <v>52</v>
      </c>
      <c r="E925" s="4" t="s">
        <v>53</v>
      </c>
      <c r="F925" s="4" t="s">
        <v>25</v>
      </c>
      <c r="G925" s="4" t="s">
        <v>25</v>
      </c>
      <c r="H925" s="4" t="s">
        <v>37</v>
      </c>
      <c r="I925" s="5">
        <v>44805</v>
      </c>
      <c r="J925" s="6">
        <v>0</v>
      </c>
      <c r="K925" s="6">
        <v>0</v>
      </c>
      <c r="L925" s="6">
        <v>2789.5410000000002</v>
      </c>
      <c r="M925" s="6">
        <v>2622.1685400000001</v>
      </c>
      <c r="N925" s="6">
        <v>2789.5410000000002</v>
      </c>
      <c r="O925" s="6">
        <v>2622.1685400000001</v>
      </c>
      <c r="P925" s="6">
        <v>0</v>
      </c>
      <c r="Q925" s="4" t="s">
        <v>26</v>
      </c>
      <c r="R925" s="4">
        <v>0</v>
      </c>
      <c r="S925" s="4" t="s">
        <v>232</v>
      </c>
      <c r="T925" s="4" t="s">
        <v>501</v>
      </c>
      <c r="U925" s="4">
        <v>0</v>
      </c>
      <c r="V925" s="4">
        <v>29</v>
      </c>
      <c r="W925" s="4">
        <v>75</v>
      </c>
    </row>
    <row r="926" spans="1:23" ht="11.25" customHeight="1" x14ac:dyDescent="0.25">
      <c r="A926" s="4" t="s">
        <v>28</v>
      </c>
      <c r="B926" s="4" t="s">
        <v>41</v>
      </c>
      <c r="C926" s="4" t="s">
        <v>44</v>
      </c>
      <c r="D926" s="4" t="s">
        <v>52</v>
      </c>
      <c r="E926" s="4" t="s">
        <v>53</v>
      </c>
      <c r="F926" s="4" t="s">
        <v>25</v>
      </c>
      <c r="G926" s="4" t="s">
        <v>25</v>
      </c>
      <c r="H926" s="4" t="s">
        <v>37</v>
      </c>
      <c r="I926" s="5">
        <v>44805</v>
      </c>
      <c r="J926" s="6">
        <v>0</v>
      </c>
      <c r="K926" s="6">
        <v>0</v>
      </c>
      <c r="L926" s="6">
        <v>345.07299999999998</v>
      </c>
      <c r="M926" s="6">
        <v>324.36862000000002</v>
      </c>
      <c r="N926" s="6">
        <v>345.07299999999998</v>
      </c>
      <c r="O926" s="6">
        <v>324.36862000000002</v>
      </c>
      <c r="P926" s="6">
        <v>0</v>
      </c>
      <c r="Q926" s="4" t="s">
        <v>26</v>
      </c>
      <c r="R926" s="4">
        <v>0</v>
      </c>
      <c r="S926" s="4" t="s">
        <v>232</v>
      </c>
      <c r="T926" s="4" t="s">
        <v>501</v>
      </c>
      <c r="U926" s="4">
        <v>0</v>
      </c>
      <c r="V926" s="4">
        <v>29</v>
      </c>
      <c r="W926" s="4">
        <v>75</v>
      </c>
    </row>
    <row r="927" spans="1:23" ht="11.25" customHeight="1" x14ac:dyDescent="0.25">
      <c r="A927" s="4" t="s">
        <v>21</v>
      </c>
      <c r="B927" s="4" t="s">
        <v>41</v>
      </c>
      <c r="C927" s="4" t="s">
        <v>44</v>
      </c>
      <c r="D927" s="4" t="s">
        <v>52</v>
      </c>
      <c r="E927" s="4" t="s">
        <v>53</v>
      </c>
      <c r="F927" s="4" t="s">
        <v>25</v>
      </c>
      <c r="G927" s="4" t="s">
        <v>25</v>
      </c>
      <c r="H927" s="4" t="s">
        <v>37</v>
      </c>
      <c r="I927" s="5">
        <v>44835</v>
      </c>
      <c r="J927" s="6">
        <v>0</v>
      </c>
      <c r="K927" s="6">
        <v>0</v>
      </c>
      <c r="L927" s="6">
        <v>2803.8290000000002</v>
      </c>
      <c r="M927" s="6">
        <v>2635.59926</v>
      </c>
      <c r="N927" s="6">
        <v>2803.8290000000002</v>
      </c>
      <c r="O927" s="6">
        <v>2635.59926</v>
      </c>
      <c r="P927" s="6">
        <v>0</v>
      </c>
      <c r="Q927" s="4" t="s">
        <v>26</v>
      </c>
      <c r="R927" s="4">
        <v>0</v>
      </c>
      <c r="S927" s="4" t="s">
        <v>233</v>
      </c>
      <c r="T927" s="4" t="s">
        <v>502</v>
      </c>
      <c r="U927" s="4">
        <v>0</v>
      </c>
      <c r="V927" s="4">
        <v>29</v>
      </c>
      <c r="W927" s="4">
        <v>75</v>
      </c>
    </row>
    <row r="928" spans="1:23" ht="11.25" customHeight="1" x14ac:dyDescent="0.25">
      <c r="A928" s="4" t="s">
        <v>28</v>
      </c>
      <c r="B928" s="4" t="s">
        <v>41</v>
      </c>
      <c r="C928" s="4" t="s">
        <v>44</v>
      </c>
      <c r="D928" s="4" t="s">
        <v>52</v>
      </c>
      <c r="E928" s="4" t="s">
        <v>53</v>
      </c>
      <c r="F928" s="4" t="s">
        <v>25</v>
      </c>
      <c r="G928" s="4" t="s">
        <v>25</v>
      </c>
      <c r="H928" s="4" t="s">
        <v>37</v>
      </c>
      <c r="I928" s="5">
        <v>44835</v>
      </c>
      <c r="J928" s="6">
        <v>0</v>
      </c>
      <c r="K928" s="6">
        <v>0</v>
      </c>
      <c r="L928" s="6">
        <v>387.18</v>
      </c>
      <c r="M928" s="6">
        <v>363.94920000000002</v>
      </c>
      <c r="N928" s="6">
        <v>387.18</v>
      </c>
      <c r="O928" s="6">
        <v>363.94920000000002</v>
      </c>
      <c r="P928" s="6">
        <v>0</v>
      </c>
      <c r="Q928" s="4" t="s">
        <v>26</v>
      </c>
      <c r="R928" s="4">
        <v>0</v>
      </c>
      <c r="S928" s="4" t="s">
        <v>233</v>
      </c>
      <c r="T928" s="4" t="s">
        <v>502</v>
      </c>
      <c r="U928" s="4">
        <v>0</v>
      </c>
      <c r="V928" s="4">
        <v>29</v>
      </c>
      <c r="W928" s="4">
        <v>75</v>
      </c>
    </row>
    <row r="929" spans="1:23" ht="11.25" customHeight="1" x14ac:dyDescent="0.25">
      <c r="A929" s="4" t="s">
        <v>59</v>
      </c>
      <c r="B929" s="4" t="s">
        <v>41</v>
      </c>
      <c r="C929" s="4" t="s">
        <v>44</v>
      </c>
      <c r="D929" s="4" t="s">
        <v>52</v>
      </c>
      <c r="E929" s="4" t="s">
        <v>53</v>
      </c>
      <c r="F929" s="4" t="s">
        <v>25</v>
      </c>
      <c r="G929" s="4" t="s">
        <v>25</v>
      </c>
      <c r="H929" s="4" t="s">
        <v>37</v>
      </c>
      <c r="I929" s="5">
        <v>44866</v>
      </c>
      <c r="J929" s="6">
        <v>0</v>
      </c>
      <c r="K929" s="6">
        <v>0</v>
      </c>
      <c r="L929" s="6">
        <v>2803.8290000000002</v>
      </c>
      <c r="M929" s="6">
        <v>2635.59926</v>
      </c>
      <c r="N929" s="6">
        <v>2803.8290000000002</v>
      </c>
      <c r="O929" s="6">
        <v>2635.59926</v>
      </c>
      <c r="P929" s="6">
        <v>0</v>
      </c>
      <c r="Q929" s="4" t="s">
        <v>26</v>
      </c>
      <c r="R929" s="4">
        <v>0</v>
      </c>
      <c r="S929" s="4" t="s">
        <v>234</v>
      </c>
      <c r="T929" s="4" t="s">
        <v>503</v>
      </c>
      <c r="U929" s="4">
        <v>0</v>
      </c>
      <c r="V929" s="4">
        <v>29</v>
      </c>
      <c r="W929" s="4">
        <v>75</v>
      </c>
    </row>
    <row r="930" spans="1:23" ht="11.25" customHeight="1" x14ac:dyDescent="0.25">
      <c r="A930" s="4" t="s">
        <v>59</v>
      </c>
      <c r="B930" s="4" t="s">
        <v>41</v>
      </c>
      <c r="C930" s="4" t="s">
        <v>44</v>
      </c>
      <c r="D930" s="4" t="s">
        <v>52</v>
      </c>
      <c r="E930" s="4" t="s">
        <v>53</v>
      </c>
      <c r="F930" s="4" t="s">
        <v>25</v>
      </c>
      <c r="G930" s="4" t="s">
        <v>25</v>
      </c>
      <c r="H930" s="4" t="s">
        <v>37</v>
      </c>
      <c r="I930" s="5">
        <v>44866</v>
      </c>
      <c r="J930" s="6">
        <v>0</v>
      </c>
      <c r="K930" s="6">
        <v>0</v>
      </c>
      <c r="L930" s="6">
        <v>387.18</v>
      </c>
      <c r="M930" s="6">
        <v>363.94920000000002</v>
      </c>
      <c r="N930" s="6">
        <v>387.18</v>
      </c>
      <c r="O930" s="6">
        <v>363.94920000000002</v>
      </c>
      <c r="P930" s="6">
        <v>0</v>
      </c>
      <c r="Q930" s="4" t="s">
        <v>26</v>
      </c>
      <c r="R930" s="4">
        <v>0</v>
      </c>
      <c r="S930" s="4" t="s">
        <v>234</v>
      </c>
      <c r="T930" s="4" t="s">
        <v>503</v>
      </c>
      <c r="U930" s="4">
        <v>0</v>
      </c>
      <c r="V930" s="4">
        <v>29</v>
      </c>
      <c r="W930" s="4">
        <v>75</v>
      </c>
    </row>
    <row r="931" spans="1:23" ht="11.25" customHeight="1" x14ac:dyDescent="0.25">
      <c r="A931" s="4" t="s">
        <v>21</v>
      </c>
      <c r="B931" s="4" t="s">
        <v>41</v>
      </c>
      <c r="C931" s="4" t="s">
        <v>44</v>
      </c>
      <c r="D931" s="4" t="s">
        <v>52</v>
      </c>
      <c r="E931" s="4" t="s">
        <v>53</v>
      </c>
      <c r="F931" s="4" t="s">
        <v>25</v>
      </c>
      <c r="G931" s="4" t="s">
        <v>25</v>
      </c>
      <c r="H931" s="4" t="s">
        <v>25</v>
      </c>
      <c r="I931" s="5">
        <v>44531</v>
      </c>
      <c r="J931" s="6">
        <v>5681</v>
      </c>
      <c r="K931" s="6">
        <v>5340.14</v>
      </c>
      <c r="L931" s="6">
        <v>0</v>
      </c>
      <c r="M931" s="6">
        <v>0</v>
      </c>
      <c r="N931" s="6">
        <v>0</v>
      </c>
      <c r="O931" s="6">
        <v>0</v>
      </c>
      <c r="P931" s="6">
        <v>29</v>
      </c>
      <c r="Q931" s="4" t="s">
        <v>26</v>
      </c>
      <c r="R931" s="4">
        <v>0</v>
      </c>
      <c r="S931" s="4" t="s">
        <v>235</v>
      </c>
      <c r="U931" s="4">
        <v>27</v>
      </c>
      <c r="V931" s="4">
        <v>0</v>
      </c>
      <c r="W931" s="4">
        <v>0</v>
      </c>
    </row>
    <row r="932" spans="1:23" ht="11.25" customHeight="1" x14ac:dyDescent="0.25">
      <c r="A932" s="4" t="s">
        <v>28</v>
      </c>
      <c r="B932" s="4" t="s">
        <v>41</v>
      </c>
      <c r="C932" s="4" t="s">
        <v>44</v>
      </c>
      <c r="D932" s="4" t="s">
        <v>52</v>
      </c>
      <c r="E932" s="4" t="s">
        <v>53</v>
      </c>
      <c r="F932" s="4" t="s">
        <v>25</v>
      </c>
      <c r="G932" s="4" t="s">
        <v>25</v>
      </c>
      <c r="H932" s="4" t="s">
        <v>25</v>
      </c>
      <c r="I932" s="5">
        <v>44531</v>
      </c>
      <c r="J932" s="6">
        <v>979</v>
      </c>
      <c r="K932" s="6">
        <v>920.26</v>
      </c>
      <c r="L932" s="6">
        <v>0</v>
      </c>
      <c r="M932" s="6">
        <v>0</v>
      </c>
      <c r="N932" s="6">
        <v>0</v>
      </c>
      <c r="O932" s="6">
        <v>0</v>
      </c>
      <c r="P932" s="6">
        <v>10</v>
      </c>
      <c r="Q932" s="4" t="s">
        <v>26</v>
      </c>
      <c r="R932" s="4">
        <v>0</v>
      </c>
      <c r="S932" s="4" t="s">
        <v>235</v>
      </c>
      <c r="U932" s="4">
        <v>27</v>
      </c>
      <c r="V932" s="4">
        <v>0</v>
      </c>
      <c r="W932" s="4">
        <v>0</v>
      </c>
    </row>
    <row r="933" spans="1:23" ht="11.25" customHeight="1" x14ac:dyDescent="0.25">
      <c r="A933" s="4" t="s">
        <v>21</v>
      </c>
      <c r="B933" s="4" t="s">
        <v>41</v>
      </c>
      <c r="C933" s="4" t="s">
        <v>44</v>
      </c>
      <c r="D933" s="4" t="s">
        <v>52</v>
      </c>
      <c r="E933" s="4" t="s">
        <v>53</v>
      </c>
      <c r="F933" s="4" t="s">
        <v>25</v>
      </c>
      <c r="G933" s="4" t="s">
        <v>25</v>
      </c>
      <c r="H933" s="4" t="s">
        <v>25</v>
      </c>
      <c r="I933" s="5">
        <v>44562</v>
      </c>
      <c r="J933" s="6">
        <v>6635</v>
      </c>
      <c r="K933" s="6">
        <v>6236.9</v>
      </c>
      <c r="L933" s="6">
        <v>0</v>
      </c>
      <c r="M933" s="6">
        <v>0</v>
      </c>
      <c r="N933" s="6">
        <v>0</v>
      </c>
      <c r="O933" s="6">
        <v>0</v>
      </c>
      <c r="P933" s="6">
        <v>29</v>
      </c>
      <c r="Q933" s="4" t="s">
        <v>26</v>
      </c>
      <c r="R933" s="4">
        <v>0</v>
      </c>
      <c r="S933" s="4" t="s">
        <v>236</v>
      </c>
      <c r="U933" s="4">
        <v>27</v>
      </c>
      <c r="V933" s="4">
        <v>0</v>
      </c>
      <c r="W933" s="4">
        <v>0</v>
      </c>
    </row>
    <row r="934" spans="1:23" ht="11.25" customHeight="1" x14ac:dyDescent="0.25">
      <c r="A934" s="4" t="s">
        <v>28</v>
      </c>
      <c r="B934" s="4" t="s">
        <v>41</v>
      </c>
      <c r="C934" s="4" t="s">
        <v>44</v>
      </c>
      <c r="D934" s="4" t="s">
        <v>52</v>
      </c>
      <c r="E934" s="4" t="s">
        <v>53</v>
      </c>
      <c r="F934" s="4" t="s">
        <v>25</v>
      </c>
      <c r="G934" s="4" t="s">
        <v>25</v>
      </c>
      <c r="H934" s="4" t="s">
        <v>25</v>
      </c>
      <c r="I934" s="5">
        <v>44562</v>
      </c>
      <c r="J934" s="6">
        <v>965</v>
      </c>
      <c r="K934" s="6">
        <v>907.1</v>
      </c>
      <c r="L934" s="6">
        <v>0</v>
      </c>
      <c r="M934" s="6">
        <v>0</v>
      </c>
      <c r="N934" s="6">
        <v>0</v>
      </c>
      <c r="O934" s="6">
        <v>0</v>
      </c>
      <c r="P934" s="6">
        <v>10</v>
      </c>
      <c r="Q934" s="4" t="s">
        <v>26</v>
      </c>
      <c r="R934" s="4">
        <v>0</v>
      </c>
      <c r="S934" s="4" t="s">
        <v>236</v>
      </c>
      <c r="U934" s="4">
        <v>27</v>
      </c>
      <c r="V934" s="4">
        <v>0</v>
      </c>
      <c r="W934" s="4">
        <v>0</v>
      </c>
    </row>
    <row r="935" spans="1:23" ht="11.25" customHeight="1" x14ac:dyDescent="0.25">
      <c r="A935" s="4" t="s">
        <v>21</v>
      </c>
      <c r="B935" s="4" t="s">
        <v>41</v>
      </c>
      <c r="C935" s="4" t="s">
        <v>44</v>
      </c>
      <c r="D935" s="4" t="s">
        <v>52</v>
      </c>
      <c r="E935" s="4" t="s">
        <v>53</v>
      </c>
      <c r="F935" s="4" t="s">
        <v>25</v>
      </c>
      <c r="G935" s="4" t="s">
        <v>25</v>
      </c>
      <c r="H935" s="4" t="s">
        <v>25</v>
      </c>
      <c r="I935" s="5">
        <v>44593</v>
      </c>
      <c r="J935" s="6">
        <v>6429</v>
      </c>
      <c r="K935" s="6">
        <v>6043.26</v>
      </c>
      <c r="L935" s="6">
        <v>0</v>
      </c>
      <c r="M935" s="6">
        <v>0</v>
      </c>
      <c r="N935" s="6">
        <v>0</v>
      </c>
      <c r="O935" s="6">
        <v>0</v>
      </c>
      <c r="P935" s="6">
        <v>29</v>
      </c>
      <c r="Q935" s="4" t="s">
        <v>26</v>
      </c>
      <c r="R935" s="4">
        <v>0</v>
      </c>
      <c r="S935" s="4" t="s">
        <v>237</v>
      </c>
      <c r="U935" s="4">
        <v>27</v>
      </c>
      <c r="V935" s="4">
        <v>0</v>
      </c>
      <c r="W935" s="4">
        <v>0</v>
      </c>
    </row>
    <row r="936" spans="1:23" ht="11.25" customHeight="1" x14ac:dyDescent="0.25">
      <c r="A936" s="4" t="s">
        <v>28</v>
      </c>
      <c r="B936" s="4" t="s">
        <v>41</v>
      </c>
      <c r="C936" s="4" t="s">
        <v>44</v>
      </c>
      <c r="D936" s="4" t="s">
        <v>52</v>
      </c>
      <c r="E936" s="4" t="s">
        <v>53</v>
      </c>
      <c r="F936" s="4" t="s">
        <v>25</v>
      </c>
      <c r="G936" s="4" t="s">
        <v>25</v>
      </c>
      <c r="H936" s="4" t="s">
        <v>25</v>
      </c>
      <c r="I936" s="5">
        <v>44593</v>
      </c>
      <c r="J936" s="6">
        <v>970</v>
      </c>
      <c r="K936" s="6">
        <v>911.8</v>
      </c>
      <c r="L936" s="6">
        <v>0</v>
      </c>
      <c r="M936" s="6">
        <v>0</v>
      </c>
      <c r="N936" s="6">
        <v>0</v>
      </c>
      <c r="O936" s="6">
        <v>0</v>
      </c>
      <c r="P936" s="6">
        <v>10</v>
      </c>
      <c r="Q936" s="4" t="s">
        <v>26</v>
      </c>
      <c r="R936" s="4">
        <v>0</v>
      </c>
      <c r="S936" s="4" t="s">
        <v>237</v>
      </c>
      <c r="U936" s="4">
        <v>27</v>
      </c>
      <c r="V936" s="4">
        <v>0</v>
      </c>
      <c r="W936" s="4">
        <v>0</v>
      </c>
    </row>
    <row r="937" spans="1:23" ht="11.25" customHeight="1" x14ac:dyDescent="0.25">
      <c r="A937" s="4" t="s">
        <v>21</v>
      </c>
      <c r="B937" s="4" t="s">
        <v>41</v>
      </c>
      <c r="C937" s="4" t="s">
        <v>44</v>
      </c>
      <c r="D937" s="4" t="s">
        <v>52</v>
      </c>
      <c r="E937" s="4" t="s">
        <v>53</v>
      </c>
      <c r="F937" s="4" t="s">
        <v>25</v>
      </c>
      <c r="G937" s="4" t="s">
        <v>25</v>
      </c>
      <c r="H937" s="4" t="s">
        <v>25</v>
      </c>
      <c r="I937" s="5">
        <v>44621</v>
      </c>
      <c r="J937" s="6">
        <v>6431</v>
      </c>
      <c r="K937" s="6">
        <v>6045.14</v>
      </c>
      <c r="L937" s="6">
        <v>0</v>
      </c>
      <c r="M937" s="6">
        <v>0</v>
      </c>
      <c r="N937" s="6">
        <v>0</v>
      </c>
      <c r="O937" s="6">
        <v>0</v>
      </c>
      <c r="P937" s="6">
        <v>29</v>
      </c>
      <c r="Q937" s="4" t="s">
        <v>26</v>
      </c>
      <c r="R937" s="4">
        <v>0</v>
      </c>
      <c r="S937" s="4" t="s">
        <v>238</v>
      </c>
      <c r="U937" s="4">
        <v>27</v>
      </c>
      <c r="V937" s="4">
        <v>0</v>
      </c>
      <c r="W937" s="4">
        <v>0</v>
      </c>
    </row>
    <row r="938" spans="1:23" ht="11.25" customHeight="1" x14ac:dyDescent="0.25">
      <c r="A938" s="4" t="s">
        <v>28</v>
      </c>
      <c r="B938" s="4" t="s">
        <v>41</v>
      </c>
      <c r="C938" s="4" t="s">
        <v>44</v>
      </c>
      <c r="D938" s="4" t="s">
        <v>52</v>
      </c>
      <c r="E938" s="4" t="s">
        <v>53</v>
      </c>
      <c r="F938" s="4" t="s">
        <v>25</v>
      </c>
      <c r="G938" s="4" t="s">
        <v>25</v>
      </c>
      <c r="H938" s="4" t="s">
        <v>25</v>
      </c>
      <c r="I938" s="5">
        <v>44621</v>
      </c>
      <c r="J938" s="6">
        <v>974</v>
      </c>
      <c r="K938" s="6">
        <v>915.56</v>
      </c>
      <c r="L938" s="6">
        <v>0</v>
      </c>
      <c r="M938" s="6">
        <v>0</v>
      </c>
      <c r="N938" s="6">
        <v>0</v>
      </c>
      <c r="O938" s="6">
        <v>0</v>
      </c>
      <c r="P938" s="6">
        <v>10</v>
      </c>
      <c r="Q938" s="4" t="s">
        <v>26</v>
      </c>
      <c r="R938" s="4">
        <v>0</v>
      </c>
      <c r="S938" s="4" t="s">
        <v>238</v>
      </c>
      <c r="U938" s="4">
        <v>27</v>
      </c>
      <c r="V938" s="4">
        <v>0</v>
      </c>
      <c r="W938" s="4">
        <v>0</v>
      </c>
    </row>
    <row r="939" spans="1:23" ht="11.25" customHeight="1" x14ac:dyDescent="0.25">
      <c r="A939" s="4" t="s">
        <v>21</v>
      </c>
      <c r="B939" s="4" t="s">
        <v>41</v>
      </c>
      <c r="C939" s="4" t="s">
        <v>44</v>
      </c>
      <c r="D939" s="4" t="s">
        <v>52</v>
      </c>
      <c r="E939" s="4" t="s">
        <v>53</v>
      </c>
      <c r="F939" s="4" t="s">
        <v>25</v>
      </c>
      <c r="G939" s="4" t="s">
        <v>25</v>
      </c>
      <c r="H939" s="4" t="s">
        <v>25</v>
      </c>
      <c r="I939" s="5">
        <v>44652</v>
      </c>
      <c r="J939" s="6">
        <v>6380</v>
      </c>
      <c r="K939" s="6">
        <v>5997.2</v>
      </c>
      <c r="L939" s="6">
        <v>0</v>
      </c>
      <c r="M939" s="6">
        <v>0</v>
      </c>
      <c r="N939" s="6">
        <v>0</v>
      </c>
      <c r="O939" s="6">
        <v>0</v>
      </c>
      <c r="P939" s="6">
        <v>29</v>
      </c>
      <c r="Q939" s="4" t="s">
        <v>26</v>
      </c>
      <c r="R939" s="4">
        <v>0</v>
      </c>
      <c r="S939" s="4" t="s">
        <v>239</v>
      </c>
      <c r="U939" s="4">
        <v>27</v>
      </c>
      <c r="V939" s="4">
        <v>0</v>
      </c>
      <c r="W939" s="4">
        <v>0</v>
      </c>
    </row>
    <row r="940" spans="1:23" ht="11.25" customHeight="1" x14ac:dyDescent="0.25">
      <c r="A940" s="4" t="s">
        <v>28</v>
      </c>
      <c r="B940" s="4" t="s">
        <v>41</v>
      </c>
      <c r="C940" s="4" t="s">
        <v>44</v>
      </c>
      <c r="D940" s="4" t="s">
        <v>52</v>
      </c>
      <c r="E940" s="4" t="s">
        <v>53</v>
      </c>
      <c r="F940" s="4" t="s">
        <v>25</v>
      </c>
      <c r="G940" s="4" t="s">
        <v>25</v>
      </c>
      <c r="H940" s="4" t="s">
        <v>25</v>
      </c>
      <c r="I940" s="5">
        <v>44652</v>
      </c>
      <c r="J940" s="6">
        <v>1001</v>
      </c>
      <c r="K940" s="6">
        <v>940.94</v>
      </c>
      <c r="L940" s="6">
        <v>0</v>
      </c>
      <c r="M940" s="6">
        <v>0</v>
      </c>
      <c r="N940" s="6">
        <v>0</v>
      </c>
      <c r="O940" s="6">
        <v>0</v>
      </c>
      <c r="P940" s="6">
        <v>10</v>
      </c>
      <c r="Q940" s="4" t="s">
        <v>26</v>
      </c>
      <c r="R940" s="4">
        <v>0</v>
      </c>
      <c r="S940" s="4" t="s">
        <v>239</v>
      </c>
      <c r="U940" s="4">
        <v>27</v>
      </c>
      <c r="V940" s="4">
        <v>0</v>
      </c>
      <c r="W940" s="4">
        <v>0</v>
      </c>
    </row>
    <row r="941" spans="1:23" ht="11.25" customHeight="1" x14ac:dyDescent="0.25">
      <c r="A941" s="4" t="s">
        <v>21</v>
      </c>
      <c r="B941" s="4" t="s">
        <v>41</v>
      </c>
      <c r="C941" s="4" t="s">
        <v>44</v>
      </c>
      <c r="D941" s="4" t="s">
        <v>52</v>
      </c>
      <c r="E941" s="4" t="s">
        <v>53</v>
      </c>
      <c r="F941" s="4" t="s">
        <v>25</v>
      </c>
      <c r="G941" s="4" t="s">
        <v>25</v>
      </c>
      <c r="H941" s="4" t="s">
        <v>25</v>
      </c>
      <c r="I941" s="5">
        <v>44682</v>
      </c>
      <c r="J941" s="6">
        <v>6385</v>
      </c>
      <c r="K941" s="6">
        <v>6001.9</v>
      </c>
      <c r="L941" s="6">
        <v>0</v>
      </c>
      <c r="M941" s="6">
        <v>0</v>
      </c>
      <c r="N941" s="6">
        <v>0</v>
      </c>
      <c r="O941" s="6">
        <v>0</v>
      </c>
      <c r="P941" s="6">
        <v>29</v>
      </c>
      <c r="Q941" s="4" t="s">
        <v>26</v>
      </c>
      <c r="R941" s="4">
        <v>0</v>
      </c>
      <c r="S941" s="4" t="s">
        <v>240</v>
      </c>
      <c r="U941" s="4">
        <v>27</v>
      </c>
      <c r="V941" s="4">
        <v>0</v>
      </c>
      <c r="W941" s="4">
        <v>0</v>
      </c>
    </row>
    <row r="942" spans="1:23" ht="11.25" customHeight="1" x14ac:dyDescent="0.25">
      <c r="A942" s="4" t="s">
        <v>28</v>
      </c>
      <c r="B942" s="4" t="s">
        <v>41</v>
      </c>
      <c r="C942" s="4" t="s">
        <v>44</v>
      </c>
      <c r="D942" s="4" t="s">
        <v>52</v>
      </c>
      <c r="E942" s="4" t="s">
        <v>53</v>
      </c>
      <c r="F942" s="4" t="s">
        <v>25</v>
      </c>
      <c r="G942" s="4" t="s">
        <v>25</v>
      </c>
      <c r="H942" s="4" t="s">
        <v>25</v>
      </c>
      <c r="I942" s="5">
        <v>44682</v>
      </c>
      <c r="J942" s="6">
        <v>976</v>
      </c>
      <c r="K942" s="6">
        <v>917.44</v>
      </c>
      <c r="L942" s="6">
        <v>0</v>
      </c>
      <c r="M942" s="6">
        <v>0</v>
      </c>
      <c r="N942" s="6">
        <v>0</v>
      </c>
      <c r="O942" s="6">
        <v>0</v>
      </c>
      <c r="P942" s="6">
        <v>10</v>
      </c>
      <c r="Q942" s="4" t="s">
        <v>26</v>
      </c>
      <c r="R942" s="4">
        <v>0</v>
      </c>
      <c r="S942" s="4" t="s">
        <v>240</v>
      </c>
      <c r="U942" s="4">
        <v>27</v>
      </c>
      <c r="V942" s="4">
        <v>0</v>
      </c>
      <c r="W942" s="4">
        <v>0</v>
      </c>
    </row>
    <row r="943" spans="1:23" ht="11.25" customHeight="1" x14ac:dyDescent="0.25">
      <c r="A943" s="4" t="s">
        <v>21</v>
      </c>
      <c r="B943" s="4" t="s">
        <v>41</v>
      </c>
      <c r="C943" s="4" t="s">
        <v>44</v>
      </c>
      <c r="D943" s="4" t="s">
        <v>52</v>
      </c>
      <c r="E943" s="4" t="s">
        <v>53</v>
      </c>
      <c r="F943" s="4" t="s">
        <v>25</v>
      </c>
      <c r="G943" s="4" t="s">
        <v>25</v>
      </c>
      <c r="H943" s="4" t="s">
        <v>25</v>
      </c>
      <c r="I943" s="5">
        <v>44713</v>
      </c>
      <c r="J943" s="6">
        <v>6466</v>
      </c>
      <c r="K943" s="6">
        <v>6078.04</v>
      </c>
      <c r="L943" s="6">
        <v>0</v>
      </c>
      <c r="M943" s="6">
        <v>0</v>
      </c>
      <c r="N943" s="6">
        <v>0</v>
      </c>
      <c r="O943" s="6">
        <v>0</v>
      </c>
      <c r="P943" s="6">
        <v>29</v>
      </c>
      <c r="Q943" s="4" t="s">
        <v>26</v>
      </c>
      <c r="R943" s="4">
        <v>0</v>
      </c>
      <c r="S943" s="4" t="s">
        <v>241</v>
      </c>
      <c r="U943" s="4">
        <v>27</v>
      </c>
      <c r="V943" s="4">
        <v>0</v>
      </c>
      <c r="W943" s="4">
        <v>0</v>
      </c>
    </row>
    <row r="944" spans="1:23" ht="11.25" customHeight="1" x14ac:dyDescent="0.25">
      <c r="A944" s="4" t="s">
        <v>28</v>
      </c>
      <c r="B944" s="4" t="s">
        <v>41</v>
      </c>
      <c r="C944" s="4" t="s">
        <v>44</v>
      </c>
      <c r="D944" s="4" t="s">
        <v>52</v>
      </c>
      <c r="E944" s="4" t="s">
        <v>53</v>
      </c>
      <c r="F944" s="4" t="s">
        <v>25</v>
      </c>
      <c r="G944" s="4" t="s">
        <v>25</v>
      </c>
      <c r="H944" s="4" t="s">
        <v>25</v>
      </c>
      <c r="I944" s="5">
        <v>44713</v>
      </c>
      <c r="J944" s="6">
        <v>972</v>
      </c>
      <c r="K944" s="6">
        <v>913.68</v>
      </c>
      <c r="L944" s="6">
        <v>0</v>
      </c>
      <c r="M944" s="6">
        <v>0</v>
      </c>
      <c r="N944" s="6">
        <v>0</v>
      </c>
      <c r="O944" s="6">
        <v>0</v>
      </c>
      <c r="P944" s="6">
        <v>10</v>
      </c>
      <c r="Q944" s="4" t="s">
        <v>26</v>
      </c>
      <c r="R944" s="4">
        <v>0</v>
      </c>
      <c r="S944" s="4" t="s">
        <v>241</v>
      </c>
      <c r="U944" s="4">
        <v>27</v>
      </c>
      <c r="V944" s="4">
        <v>0</v>
      </c>
      <c r="W944" s="4">
        <v>0</v>
      </c>
    </row>
    <row r="945" spans="1:23" ht="11.25" customHeight="1" x14ac:dyDescent="0.25">
      <c r="A945" s="4" t="s">
        <v>21</v>
      </c>
      <c r="B945" s="4" t="s">
        <v>41</v>
      </c>
      <c r="C945" s="4" t="s">
        <v>44</v>
      </c>
      <c r="D945" s="4" t="s">
        <v>52</v>
      </c>
      <c r="E945" s="4" t="s">
        <v>53</v>
      </c>
      <c r="F945" s="4" t="s">
        <v>25</v>
      </c>
      <c r="G945" s="4" t="s">
        <v>25</v>
      </c>
      <c r="H945" s="4" t="s">
        <v>25</v>
      </c>
      <c r="I945" s="5">
        <v>44743</v>
      </c>
      <c r="J945" s="6">
        <v>6283</v>
      </c>
      <c r="K945" s="6">
        <v>5906.02</v>
      </c>
      <c r="L945" s="6">
        <v>0</v>
      </c>
      <c r="M945" s="6">
        <v>0</v>
      </c>
      <c r="N945" s="6">
        <v>0</v>
      </c>
      <c r="O945" s="6">
        <v>0</v>
      </c>
      <c r="P945" s="6">
        <v>30</v>
      </c>
      <c r="Q945" s="4" t="s">
        <v>26</v>
      </c>
      <c r="R945" s="4">
        <v>0</v>
      </c>
      <c r="S945" s="4" t="s">
        <v>242</v>
      </c>
      <c r="U945" s="4">
        <v>27</v>
      </c>
      <c r="V945" s="4">
        <v>0</v>
      </c>
      <c r="W945" s="4">
        <v>0</v>
      </c>
    </row>
    <row r="946" spans="1:23" ht="11.25" customHeight="1" x14ac:dyDescent="0.25">
      <c r="A946" s="4" t="s">
        <v>28</v>
      </c>
      <c r="B946" s="4" t="s">
        <v>41</v>
      </c>
      <c r="C946" s="4" t="s">
        <v>44</v>
      </c>
      <c r="D946" s="4" t="s">
        <v>52</v>
      </c>
      <c r="E946" s="4" t="s">
        <v>53</v>
      </c>
      <c r="F946" s="4" t="s">
        <v>25</v>
      </c>
      <c r="G946" s="4" t="s">
        <v>25</v>
      </c>
      <c r="H946" s="4" t="s">
        <v>25</v>
      </c>
      <c r="I946" s="5">
        <v>44743</v>
      </c>
      <c r="J946" s="6">
        <v>968</v>
      </c>
      <c r="K946" s="6">
        <v>909.92</v>
      </c>
      <c r="L946" s="6">
        <v>0</v>
      </c>
      <c r="M946" s="6">
        <v>0</v>
      </c>
      <c r="N946" s="6">
        <v>0</v>
      </c>
      <c r="O946" s="6">
        <v>0</v>
      </c>
      <c r="P946" s="6">
        <v>10</v>
      </c>
      <c r="Q946" s="4" t="s">
        <v>26</v>
      </c>
      <c r="R946" s="4">
        <v>0</v>
      </c>
      <c r="S946" s="4" t="s">
        <v>242</v>
      </c>
      <c r="U946" s="4">
        <v>27</v>
      </c>
      <c r="V946" s="4">
        <v>0</v>
      </c>
      <c r="W946" s="4">
        <v>0</v>
      </c>
    </row>
    <row r="947" spans="1:23" ht="11.25" customHeight="1" x14ac:dyDescent="0.25">
      <c r="A947" s="4" t="s">
        <v>21</v>
      </c>
      <c r="B947" s="4" t="s">
        <v>41</v>
      </c>
      <c r="C947" s="4" t="s">
        <v>44</v>
      </c>
      <c r="D947" s="4" t="s">
        <v>52</v>
      </c>
      <c r="E947" s="4" t="s">
        <v>53</v>
      </c>
      <c r="F947" s="4" t="s">
        <v>25</v>
      </c>
      <c r="G947" s="4" t="s">
        <v>25</v>
      </c>
      <c r="H947" s="4" t="s">
        <v>25</v>
      </c>
      <c r="I947" s="5">
        <v>44774</v>
      </c>
      <c r="J947" s="6">
        <v>6345</v>
      </c>
      <c r="K947" s="6">
        <v>5964.3</v>
      </c>
      <c r="L947" s="6">
        <v>0</v>
      </c>
      <c r="M947" s="6">
        <v>0</v>
      </c>
      <c r="N947" s="6">
        <v>0</v>
      </c>
      <c r="O947" s="6">
        <v>0</v>
      </c>
      <c r="P947" s="6">
        <v>30</v>
      </c>
      <c r="Q947" s="4" t="s">
        <v>26</v>
      </c>
      <c r="R947" s="4">
        <v>0</v>
      </c>
      <c r="S947" s="4" t="s">
        <v>243</v>
      </c>
      <c r="U947" s="4">
        <v>27</v>
      </c>
      <c r="V947" s="4">
        <v>0</v>
      </c>
      <c r="W947" s="4">
        <v>0</v>
      </c>
    </row>
    <row r="948" spans="1:23" ht="11.25" customHeight="1" x14ac:dyDescent="0.25">
      <c r="A948" s="4" t="s">
        <v>28</v>
      </c>
      <c r="B948" s="4" t="s">
        <v>41</v>
      </c>
      <c r="C948" s="4" t="s">
        <v>44</v>
      </c>
      <c r="D948" s="4" t="s">
        <v>52</v>
      </c>
      <c r="E948" s="4" t="s">
        <v>53</v>
      </c>
      <c r="F948" s="4" t="s">
        <v>25</v>
      </c>
      <c r="G948" s="4" t="s">
        <v>25</v>
      </c>
      <c r="H948" s="4" t="s">
        <v>25</v>
      </c>
      <c r="I948" s="5">
        <v>44774</v>
      </c>
      <c r="J948" s="6">
        <v>972</v>
      </c>
      <c r="K948" s="6">
        <v>913.68</v>
      </c>
      <c r="L948" s="6">
        <v>0</v>
      </c>
      <c r="M948" s="6">
        <v>0</v>
      </c>
      <c r="N948" s="6">
        <v>0</v>
      </c>
      <c r="O948" s="6">
        <v>0</v>
      </c>
      <c r="P948" s="6">
        <v>10</v>
      </c>
      <c r="Q948" s="4" t="s">
        <v>26</v>
      </c>
      <c r="R948" s="4">
        <v>0</v>
      </c>
      <c r="S948" s="4" t="s">
        <v>243</v>
      </c>
      <c r="U948" s="4">
        <v>27</v>
      </c>
      <c r="V948" s="4">
        <v>0</v>
      </c>
      <c r="W948" s="4">
        <v>0</v>
      </c>
    </row>
    <row r="949" spans="1:23" ht="11.25" customHeight="1" x14ac:dyDescent="0.25">
      <c r="A949" s="4" t="s">
        <v>21</v>
      </c>
      <c r="B949" s="4" t="s">
        <v>41</v>
      </c>
      <c r="C949" s="4" t="s">
        <v>44</v>
      </c>
      <c r="D949" s="4" t="s">
        <v>52</v>
      </c>
      <c r="E949" s="4" t="s">
        <v>53</v>
      </c>
      <c r="F949" s="4" t="s">
        <v>25</v>
      </c>
      <c r="G949" s="4" t="s">
        <v>25</v>
      </c>
      <c r="H949" s="4" t="s">
        <v>25</v>
      </c>
      <c r="I949" s="5">
        <v>44805</v>
      </c>
      <c r="J949" s="6">
        <v>6631</v>
      </c>
      <c r="K949" s="6">
        <v>6233.14</v>
      </c>
      <c r="L949" s="6">
        <v>0</v>
      </c>
      <c r="M949" s="6">
        <v>0</v>
      </c>
      <c r="N949" s="6">
        <v>0</v>
      </c>
      <c r="O949" s="6">
        <v>0</v>
      </c>
      <c r="P949" s="6">
        <v>29</v>
      </c>
      <c r="Q949" s="4" t="s">
        <v>26</v>
      </c>
      <c r="R949" s="4">
        <v>0</v>
      </c>
      <c r="S949" s="4" t="s">
        <v>244</v>
      </c>
      <c r="U949" s="4">
        <v>27</v>
      </c>
      <c r="V949" s="4">
        <v>0</v>
      </c>
      <c r="W949" s="4">
        <v>0</v>
      </c>
    </row>
    <row r="950" spans="1:23" ht="11.25" customHeight="1" x14ac:dyDescent="0.25">
      <c r="A950" s="4" t="s">
        <v>28</v>
      </c>
      <c r="B950" s="4" t="s">
        <v>41</v>
      </c>
      <c r="C950" s="4" t="s">
        <v>44</v>
      </c>
      <c r="D950" s="4" t="s">
        <v>52</v>
      </c>
      <c r="E950" s="4" t="s">
        <v>53</v>
      </c>
      <c r="F950" s="4" t="s">
        <v>25</v>
      </c>
      <c r="G950" s="4" t="s">
        <v>25</v>
      </c>
      <c r="H950" s="4" t="s">
        <v>25</v>
      </c>
      <c r="I950" s="5">
        <v>44805</v>
      </c>
      <c r="J950" s="6">
        <v>975</v>
      </c>
      <c r="K950" s="6">
        <v>916.5</v>
      </c>
      <c r="L950" s="6">
        <v>0</v>
      </c>
      <c r="M950" s="6">
        <v>0</v>
      </c>
      <c r="N950" s="6">
        <v>0</v>
      </c>
      <c r="O950" s="6">
        <v>0</v>
      </c>
      <c r="P950" s="6">
        <v>10</v>
      </c>
      <c r="Q950" s="4" t="s">
        <v>26</v>
      </c>
      <c r="R950" s="4">
        <v>0</v>
      </c>
      <c r="S950" s="4" t="s">
        <v>244</v>
      </c>
      <c r="U950" s="4">
        <v>27</v>
      </c>
      <c r="V950" s="4">
        <v>0</v>
      </c>
      <c r="W950" s="4">
        <v>0</v>
      </c>
    </row>
    <row r="951" spans="1:23" ht="11.25" customHeight="1" x14ac:dyDescent="0.25">
      <c r="A951" s="4" t="s">
        <v>21</v>
      </c>
      <c r="B951" s="4" t="s">
        <v>41</v>
      </c>
      <c r="C951" s="4" t="s">
        <v>44</v>
      </c>
      <c r="D951" s="4" t="s">
        <v>52</v>
      </c>
      <c r="E951" s="4" t="s">
        <v>53</v>
      </c>
      <c r="F951" s="4" t="s">
        <v>25</v>
      </c>
      <c r="G951" s="4" t="s">
        <v>25</v>
      </c>
      <c r="H951" s="4" t="s">
        <v>25</v>
      </c>
      <c r="I951" s="5">
        <v>44835</v>
      </c>
      <c r="J951" s="6">
        <v>6695</v>
      </c>
      <c r="K951" s="6">
        <v>6293.3</v>
      </c>
      <c r="L951" s="6">
        <v>0</v>
      </c>
      <c r="M951" s="6">
        <v>0</v>
      </c>
      <c r="N951" s="6">
        <v>0</v>
      </c>
      <c r="O951" s="6">
        <v>0</v>
      </c>
      <c r="P951" s="6">
        <v>29</v>
      </c>
      <c r="Q951" s="4" t="s">
        <v>26</v>
      </c>
      <c r="R951" s="4">
        <v>0</v>
      </c>
      <c r="S951" s="4" t="s">
        <v>245</v>
      </c>
      <c r="U951" s="4">
        <v>27</v>
      </c>
      <c r="V951" s="4">
        <v>0</v>
      </c>
      <c r="W951" s="4">
        <v>0</v>
      </c>
    </row>
    <row r="952" spans="1:23" ht="11.25" customHeight="1" x14ac:dyDescent="0.25">
      <c r="A952" s="4" t="s">
        <v>28</v>
      </c>
      <c r="B952" s="4" t="s">
        <v>41</v>
      </c>
      <c r="C952" s="4" t="s">
        <v>44</v>
      </c>
      <c r="D952" s="4" t="s">
        <v>52</v>
      </c>
      <c r="E952" s="4" t="s">
        <v>53</v>
      </c>
      <c r="F952" s="4" t="s">
        <v>25</v>
      </c>
      <c r="G952" s="4" t="s">
        <v>25</v>
      </c>
      <c r="H952" s="4" t="s">
        <v>25</v>
      </c>
      <c r="I952" s="5">
        <v>44835</v>
      </c>
      <c r="J952" s="6">
        <v>1139</v>
      </c>
      <c r="K952" s="6">
        <v>1070.6600000000001</v>
      </c>
      <c r="L952" s="6">
        <v>0</v>
      </c>
      <c r="M952" s="6">
        <v>0</v>
      </c>
      <c r="N952" s="6">
        <v>0</v>
      </c>
      <c r="O952" s="6">
        <v>0</v>
      </c>
      <c r="P952" s="6">
        <v>13</v>
      </c>
      <c r="Q952" s="4" t="s">
        <v>26</v>
      </c>
      <c r="R952" s="4">
        <v>0</v>
      </c>
      <c r="S952" s="4" t="s">
        <v>245</v>
      </c>
      <c r="U952" s="4">
        <v>27</v>
      </c>
      <c r="V952" s="4">
        <v>0</v>
      </c>
      <c r="W952" s="4">
        <v>0</v>
      </c>
    </row>
    <row r="953" spans="1:23" ht="11.25" customHeight="1" x14ac:dyDescent="0.25">
      <c r="A953" s="4" t="s">
        <v>59</v>
      </c>
      <c r="B953" s="4" t="s">
        <v>41</v>
      </c>
      <c r="C953" s="4" t="s">
        <v>44</v>
      </c>
      <c r="D953" s="4" t="s">
        <v>52</v>
      </c>
      <c r="E953" s="4" t="s">
        <v>53</v>
      </c>
      <c r="F953" s="4" t="s">
        <v>25</v>
      </c>
      <c r="G953" s="4" t="s">
        <v>25</v>
      </c>
      <c r="H953" s="4" t="s">
        <v>25</v>
      </c>
      <c r="I953" s="5">
        <v>44866</v>
      </c>
      <c r="J953" s="6">
        <v>6695</v>
      </c>
      <c r="K953" s="6">
        <v>6293.3</v>
      </c>
      <c r="L953" s="6">
        <v>0</v>
      </c>
      <c r="M953" s="6">
        <v>0</v>
      </c>
      <c r="N953" s="6">
        <v>0</v>
      </c>
      <c r="O953" s="6">
        <v>0</v>
      </c>
      <c r="P953" s="6">
        <v>29</v>
      </c>
      <c r="Q953" s="4" t="s">
        <v>26</v>
      </c>
      <c r="R953" s="4">
        <v>0</v>
      </c>
      <c r="S953" s="4" t="s">
        <v>246</v>
      </c>
      <c r="U953" s="4">
        <v>27</v>
      </c>
      <c r="V953" s="4">
        <v>0</v>
      </c>
      <c r="W953" s="4">
        <v>0</v>
      </c>
    </row>
    <row r="954" spans="1:23" ht="11.25" customHeight="1" x14ac:dyDescent="0.25">
      <c r="A954" s="4" t="s">
        <v>59</v>
      </c>
      <c r="B954" s="4" t="s">
        <v>41</v>
      </c>
      <c r="C954" s="4" t="s">
        <v>44</v>
      </c>
      <c r="D954" s="4" t="s">
        <v>52</v>
      </c>
      <c r="E954" s="4" t="s">
        <v>53</v>
      </c>
      <c r="F954" s="4" t="s">
        <v>25</v>
      </c>
      <c r="G954" s="4" t="s">
        <v>25</v>
      </c>
      <c r="H954" s="4" t="s">
        <v>25</v>
      </c>
      <c r="I954" s="5">
        <v>44866</v>
      </c>
      <c r="J954" s="6">
        <v>1139</v>
      </c>
      <c r="K954" s="6">
        <v>1070.6600000000001</v>
      </c>
      <c r="L954" s="6">
        <v>0</v>
      </c>
      <c r="M954" s="6">
        <v>0</v>
      </c>
      <c r="N954" s="6">
        <v>0</v>
      </c>
      <c r="O954" s="6">
        <v>0</v>
      </c>
      <c r="P954" s="6">
        <v>13</v>
      </c>
      <c r="Q954" s="4" t="s">
        <v>26</v>
      </c>
      <c r="R954" s="4">
        <v>0</v>
      </c>
      <c r="S954" s="4" t="s">
        <v>246</v>
      </c>
      <c r="U954" s="4">
        <v>27</v>
      </c>
      <c r="V954" s="4">
        <v>0</v>
      </c>
      <c r="W954" s="4">
        <v>0</v>
      </c>
    </row>
    <row r="955" spans="1:23" ht="11.25" customHeight="1" x14ac:dyDescent="0.25">
      <c r="A955" s="4" t="s">
        <v>21</v>
      </c>
      <c r="B955" s="4" t="s">
        <v>41</v>
      </c>
      <c r="C955" s="4" t="s">
        <v>44</v>
      </c>
      <c r="D955" s="4" t="s">
        <v>52</v>
      </c>
      <c r="E955" s="4" t="s">
        <v>53</v>
      </c>
      <c r="F955" s="4" t="s">
        <v>25</v>
      </c>
      <c r="G955" s="4" t="s">
        <v>25</v>
      </c>
      <c r="H955" s="4" t="s">
        <v>36</v>
      </c>
      <c r="I955" s="5">
        <v>44531</v>
      </c>
      <c r="J955" s="6">
        <v>0</v>
      </c>
      <c r="K955" s="6">
        <v>0</v>
      </c>
      <c r="L955" s="6">
        <v>240.178</v>
      </c>
      <c r="M955" s="6">
        <v>225.76732000000001</v>
      </c>
      <c r="N955" s="6">
        <v>240.178</v>
      </c>
      <c r="O955" s="6">
        <v>225.76732000000001</v>
      </c>
      <c r="P955" s="6">
        <v>0</v>
      </c>
      <c r="Q955" s="4" t="s">
        <v>26</v>
      </c>
      <c r="R955" s="4">
        <v>0</v>
      </c>
      <c r="S955" s="4" t="s">
        <v>247</v>
      </c>
      <c r="T955" s="4" t="s">
        <v>504</v>
      </c>
      <c r="U955" s="4">
        <v>0</v>
      </c>
      <c r="V955" s="4">
        <v>28</v>
      </c>
      <c r="W955" s="4">
        <v>74</v>
      </c>
    </row>
    <row r="956" spans="1:23" ht="11.25" customHeight="1" x14ac:dyDescent="0.25">
      <c r="A956" s="4" t="s">
        <v>28</v>
      </c>
      <c r="B956" s="4" t="s">
        <v>41</v>
      </c>
      <c r="C956" s="4" t="s">
        <v>44</v>
      </c>
      <c r="D956" s="4" t="s">
        <v>52</v>
      </c>
      <c r="E956" s="4" t="s">
        <v>53</v>
      </c>
      <c r="F956" s="4" t="s">
        <v>25</v>
      </c>
      <c r="G956" s="4" t="s">
        <v>25</v>
      </c>
      <c r="H956" s="4" t="s">
        <v>36</v>
      </c>
      <c r="I956" s="5">
        <v>44531</v>
      </c>
      <c r="J956" s="6">
        <v>0</v>
      </c>
      <c r="K956" s="6">
        <v>0</v>
      </c>
      <c r="L956" s="6">
        <v>32.902000000000001</v>
      </c>
      <c r="M956" s="6">
        <v>30.927879999999998</v>
      </c>
      <c r="N956" s="6">
        <v>32.902000000000001</v>
      </c>
      <c r="O956" s="6">
        <v>30.927879999999998</v>
      </c>
      <c r="P956" s="6">
        <v>0</v>
      </c>
      <c r="Q956" s="4" t="s">
        <v>26</v>
      </c>
      <c r="R956" s="4">
        <v>0</v>
      </c>
      <c r="S956" s="4" t="s">
        <v>247</v>
      </c>
      <c r="T956" s="4" t="s">
        <v>504</v>
      </c>
      <c r="U956" s="4">
        <v>0</v>
      </c>
      <c r="V956" s="4">
        <v>28</v>
      </c>
      <c r="W956" s="4">
        <v>74</v>
      </c>
    </row>
    <row r="957" spans="1:23" ht="11.25" customHeight="1" x14ac:dyDescent="0.25">
      <c r="A957" s="4" t="s">
        <v>21</v>
      </c>
      <c r="B957" s="4" t="s">
        <v>41</v>
      </c>
      <c r="C957" s="4" t="s">
        <v>44</v>
      </c>
      <c r="D957" s="4" t="s">
        <v>52</v>
      </c>
      <c r="E957" s="4" t="s">
        <v>53</v>
      </c>
      <c r="F957" s="4" t="s">
        <v>25</v>
      </c>
      <c r="G957" s="4" t="s">
        <v>25</v>
      </c>
      <c r="H957" s="4" t="s">
        <v>36</v>
      </c>
      <c r="I957" s="5">
        <v>44562</v>
      </c>
      <c r="J957" s="6">
        <v>0</v>
      </c>
      <c r="K957" s="6">
        <v>0</v>
      </c>
      <c r="L957" s="6">
        <v>277.27300000000002</v>
      </c>
      <c r="M957" s="6">
        <v>260.63661999999999</v>
      </c>
      <c r="N957" s="6">
        <v>277.27300000000002</v>
      </c>
      <c r="O957" s="6">
        <v>260.63661999999999</v>
      </c>
      <c r="P957" s="6">
        <v>0</v>
      </c>
      <c r="Q957" s="4" t="s">
        <v>26</v>
      </c>
      <c r="R957" s="4">
        <v>0</v>
      </c>
      <c r="S957" s="4" t="s">
        <v>248</v>
      </c>
      <c r="T957" s="4" t="s">
        <v>505</v>
      </c>
      <c r="U957" s="4">
        <v>0</v>
      </c>
      <c r="V957" s="4">
        <v>28</v>
      </c>
      <c r="W957" s="4">
        <v>74</v>
      </c>
    </row>
    <row r="958" spans="1:23" ht="11.25" customHeight="1" x14ac:dyDescent="0.25">
      <c r="A958" s="4" t="s">
        <v>28</v>
      </c>
      <c r="B958" s="4" t="s">
        <v>41</v>
      </c>
      <c r="C958" s="4" t="s">
        <v>44</v>
      </c>
      <c r="D958" s="4" t="s">
        <v>52</v>
      </c>
      <c r="E958" s="4" t="s">
        <v>53</v>
      </c>
      <c r="F958" s="4" t="s">
        <v>25</v>
      </c>
      <c r="G958" s="4" t="s">
        <v>25</v>
      </c>
      <c r="H958" s="4" t="s">
        <v>36</v>
      </c>
      <c r="I958" s="5">
        <v>44562</v>
      </c>
      <c r="J958" s="6">
        <v>0</v>
      </c>
      <c r="K958" s="6">
        <v>0</v>
      </c>
      <c r="L958" s="6">
        <v>35.567999999999998</v>
      </c>
      <c r="M958" s="6">
        <v>33.433920000000001</v>
      </c>
      <c r="N958" s="6">
        <v>35.567999999999998</v>
      </c>
      <c r="O958" s="6">
        <v>33.433920000000001</v>
      </c>
      <c r="P958" s="6">
        <v>0</v>
      </c>
      <c r="Q958" s="4" t="s">
        <v>26</v>
      </c>
      <c r="R958" s="4">
        <v>0</v>
      </c>
      <c r="S958" s="4" t="s">
        <v>248</v>
      </c>
      <c r="T958" s="4" t="s">
        <v>505</v>
      </c>
      <c r="U958" s="4">
        <v>0</v>
      </c>
      <c r="V958" s="4">
        <v>28</v>
      </c>
      <c r="W958" s="4">
        <v>74</v>
      </c>
    </row>
    <row r="959" spans="1:23" ht="11.25" customHeight="1" x14ac:dyDescent="0.25">
      <c r="A959" s="4" t="s">
        <v>21</v>
      </c>
      <c r="B959" s="4" t="s">
        <v>41</v>
      </c>
      <c r="C959" s="4" t="s">
        <v>44</v>
      </c>
      <c r="D959" s="4" t="s">
        <v>52</v>
      </c>
      <c r="E959" s="4" t="s">
        <v>53</v>
      </c>
      <c r="F959" s="4" t="s">
        <v>25</v>
      </c>
      <c r="G959" s="4" t="s">
        <v>25</v>
      </c>
      <c r="H959" s="4" t="s">
        <v>36</v>
      </c>
      <c r="I959" s="5">
        <v>44593</v>
      </c>
      <c r="J959" s="6">
        <v>0</v>
      </c>
      <c r="K959" s="6">
        <v>0</v>
      </c>
      <c r="L959" s="6">
        <v>249.84299999999999</v>
      </c>
      <c r="M959" s="6">
        <v>234.85242</v>
      </c>
      <c r="N959" s="6">
        <v>249.84299999999999</v>
      </c>
      <c r="O959" s="6">
        <v>234.85242</v>
      </c>
      <c r="P959" s="6">
        <v>0</v>
      </c>
      <c r="Q959" s="4" t="s">
        <v>26</v>
      </c>
      <c r="R959" s="4">
        <v>0</v>
      </c>
      <c r="S959" s="4" t="s">
        <v>249</v>
      </c>
      <c r="T959" s="4" t="s">
        <v>506</v>
      </c>
      <c r="U959" s="4">
        <v>0</v>
      </c>
      <c r="V959" s="4">
        <v>28</v>
      </c>
      <c r="W959" s="4">
        <v>74</v>
      </c>
    </row>
    <row r="960" spans="1:23" ht="11.25" customHeight="1" x14ac:dyDescent="0.25">
      <c r="A960" s="4" t="s">
        <v>27</v>
      </c>
      <c r="B960" s="4" t="s">
        <v>41</v>
      </c>
      <c r="C960" s="4" t="s">
        <v>44</v>
      </c>
      <c r="D960" s="4" t="s">
        <v>52</v>
      </c>
      <c r="E960" s="4" t="s">
        <v>53</v>
      </c>
      <c r="F960" s="4" t="s">
        <v>25</v>
      </c>
      <c r="G960" s="4" t="s">
        <v>25</v>
      </c>
      <c r="H960" s="4" t="s">
        <v>36</v>
      </c>
      <c r="I960" s="5">
        <v>44593</v>
      </c>
      <c r="J960" s="6">
        <v>0</v>
      </c>
      <c r="K960" s="6">
        <v>0</v>
      </c>
      <c r="L960" s="6">
        <v>-1E-3</v>
      </c>
      <c r="M960" s="6">
        <v>-9.3999999999999997E-4</v>
      </c>
      <c r="N960" s="6">
        <v>-1E-3</v>
      </c>
      <c r="O960" s="6">
        <v>-9.3999999999999997E-4</v>
      </c>
      <c r="P960" s="6">
        <v>0</v>
      </c>
      <c r="Q960" s="4" t="s">
        <v>26</v>
      </c>
      <c r="R960" s="4">
        <v>0</v>
      </c>
      <c r="S960" s="4" t="s">
        <v>249</v>
      </c>
      <c r="T960" s="4" t="s">
        <v>506</v>
      </c>
      <c r="U960" s="4">
        <v>0</v>
      </c>
      <c r="V960" s="4">
        <v>28</v>
      </c>
      <c r="W960" s="4">
        <v>74</v>
      </c>
    </row>
    <row r="961" spans="1:23" ht="11.25" customHeight="1" x14ac:dyDescent="0.25">
      <c r="A961" s="4" t="s">
        <v>28</v>
      </c>
      <c r="B961" s="4" t="s">
        <v>41</v>
      </c>
      <c r="C961" s="4" t="s">
        <v>44</v>
      </c>
      <c r="D961" s="4" t="s">
        <v>52</v>
      </c>
      <c r="E961" s="4" t="s">
        <v>53</v>
      </c>
      <c r="F961" s="4" t="s">
        <v>25</v>
      </c>
      <c r="G961" s="4" t="s">
        <v>25</v>
      </c>
      <c r="H961" s="4" t="s">
        <v>36</v>
      </c>
      <c r="I961" s="5">
        <v>44593</v>
      </c>
      <c r="J961" s="6">
        <v>0</v>
      </c>
      <c r="K961" s="6">
        <v>0</v>
      </c>
      <c r="L961" s="6">
        <v>33.691000000000003</v>
      </c>
      <c r="M961" s="6">
        <v>31.669540000000001</v>
      </c>
      <c r="N961" s="6">
        <v>33.691000000000003</v>
      </c>
      <c r="O961" s="6">
        <v>31.669540000000001</v>
      </c>
      <c r="P961" s="6">
        <v>0</v>
      </c>
      <c r="Q961" s="4" t="s">
        <v>26</v>
      </c>
      <c r="R961" s="4">
        <v>0</v>
      </c>
      <c r="S961" s="4" t="s">
        <v>249</v>
      </c>
      <c r="T961" s="4" t="s">
        <v>506</v>
      </c>
      <c r="U961" s="4">
        <v>0</v>
      </c>
      <c r="V961" s="4">
        <v>28</v>
      </c>
      <c r="W961" s="4">
        <v>74</v>
      </c>
    </row>
    <row r="962" spans="1:23" ht="11.25" customHeight="1" x14ac:dyDescent="0.25">
      <c r="A962" s="4" t="s">
        <v>21</v>
      </c>
      <c r="B962" s="4" t="s">
        <v>41</v>
      </c>
      <c r="C962" s="4" t="s">
        <v>44</v>
      </c>
      <c r="D962" s="4" t="s">
        <v>52</v>
      </c>
      <c r="E962" s="4" t="s">
        <v>53</v>
      </c>
      <c r="F962" s="4" t="s">
        <v>25</v>
      </c>
      <c r="G962" s="4" t="s">
        <v>25</v>
      </c>
      <c r="H962" s="4" t="s">
        <v>36</v>
      </c>
      <c r="I962" s="5">
        <v>44621</v>
      </c>
      <c r="J962" s="6">
        <v>0</v>
      </c>
      <c r="K962" s="6">
        <v>0</v>
      </c>
      <c r="L962" s="6">
        <v>264.14299999999997</v>
      </c>
      <c r="M962" s="6">
        <v>248.29442</v>
      </c>
      <c r="N962" s="6">
        <v>264.14299999999997</v>
      </c>
      <c r="O962" s="6">
        <v>248.29442</v>
      </c>
      <c r="P962" s="6">
        <v>0</v>
      </c>
      <c r="Q962" s="4" t="s">
        <v>26</v>
      </c>
      <c r="R962" s="4">
        <v>0</v>
      </c>
      <c r="S962" s="4" t="s">
        <v>250</v>
      </c>
      <c r="T962" s="4" t="s">
        <v>507</v>
      </c>
      <c r="U962" s="4">
        <v>0</v>
      </c>
      <c r="V962" s="4">
        <v>28</v>
      </c>
      <c r="W962" s="4">
        <v>74</v>
      </c>
    </row>
    <row r="963" spans="1:23" ht="11.25" customHeight="1" x14ac:dyDescent="0.25">
      <c r="A963" s="4" t="s">
        <v>28</v>
      </c>
      <c r="B963" s="4" t="s">
        <v>41</v>
      </c>
      <c r="C963" s="4" t="s">
        <v>44</v>
      </c>
      <c r="D963" s="4" t="s">
        <v>52</v>
      </c>
      <c r="E963" s="4" t="s">
        <v>53</v>
      </c>
      <c r="F963" s="4" t="s">
        <v>25</v>
      </c>
      <c r="G963" s="4" t="s">
        <v>25</v>
      </c>
      <c r="H963" s="4" t="s">
        <v>36</v>
      </c>
      <c r="I963" s="5">
        <v>44621</v>
      </c>
      <c r="J963" s="6">
        <v>0</v>
      </c>
      <c r="K963" s="6">
        <v>0</v>
      </c>
      <c r="L963" s="6">
        <v>34.070999999999998</v>
      </c>
      <c r="M963" s="6">
        <v>32.026739999999997</v>
      </c>
      <c r="N963" s="6">
        <v>34.070999999999998</v>
      </c>
      <c r="O963" s="6">
        <v>32.026739999999997</v>
      </c>
      <c r="P963" s="6">
        <v>0</v>
      </c>
      <c r="Q963" s="4" t="s">
        <v>26</v>
      </c>
      <c r="R963" s="4">
        <v>0</v>
      </c>
      <c r="S963" s="4" t="s">
        <v>250</v>
      </c>
      <c r="T963" s="4" t="s">
        <v>507</v>
      </c>
      <c r="U963" s="4">
        <v>0</v>
      </c>
      <c r="V963" s="4">
        <v>28</v>
      </c>
      <c r="W963" s="4">
        <v>74</v>
      </c>
    </row>
    <row r="964" spans="1:23" ht="11.25" customHeight="1" x14ac:dyDescent="0.25">
      <c r="A964" s="4" t="s">
        <v>21</v>
      </c>
      <c r="B964" s="4" t="s">
        <v>41</v>
      </c>
      <c r="C964" s="4" t="s">
        <v>44</v>
      </c>
      <c r="D964" s="4" t="s">
        <v>52</v>
      </c>
      <c r="E964" s="4" t="s">
        <v>53</v>
      </c>
      <c r="F964" s="4" t="s">
        <v>25</v>
      </c>
      <c r="G964" s="4" t="s">
        <v>25</v>
      </c>
      <c r="H964" s="4" t="s">
        <v>36</v>
      </c>
      <c r="I964" s="5">
        <v>44652</v>
      </c>
      <c r="J964" s="6">
        <v>0</v>
      </c>
      <c r="K964" s="6">
        <v>0</v>
      </c>
      <c r="L964" s="6">
        <v>251.489</v>
      </c>
      <c r="M964" s="6">
        <v>236.39966000000001</v>
      </c>
      <c r="N964" s="6">
        <v>251.489</v>
      </c>
      <c r="O964" s="6">
        <v>236.39966000000001</v>
      </c>
      <c r="P964" s="6">
        <v>0</v>
      </c>
      <c r="Q964" s="4" t="s">
        <v>26</v>
      </c>
      <c r="R964" s="4">
        <v>0</v>
      </c>
      <c r="S964" s="4" t="s">
        <v>251</v>
      </c>
      <c r="T964" s="4" t="s">
        <v>508</v>
      </c>
      <c r="U964" s="4">
        <v>0</v>
      </c>
      <c r="V964" s="4">
        <v>28</v>
      </c>
      <c r="W964" s="4">
        <v>74</v>
      </c>
    </row>
    <row r="965" spans="1:23" ht="11.25" customHeight="1" x14ac:dyDescent="0.25">
      <c r="A965" s="4" t="s">
        <v>28</v>
      </c>
      <c r="B965" s="4" t="s">
        <v>41</v>
      </c>
      <c r="C965" s="4" t="s">
        <v>44</v>
      </c>
      <c r="D965" s="4" t="s">
        <v>52</v>
      </c>
      <c r="E965" s="4" t="s">
        <v>53</v>
      </c>
      <c r="F965" s="4" t="s">
        <v>25</v>
      </c>
      <c r="G965" s="4" t="s">
        <v>25</v>
      </c>
      <c r="H965" s="4" t="s">
        <v>36</v>
      </c>
      <c r="I965" s="5">
        <v>44652</v>
      </c>
      <c r="J965" s="6">
        <v>0</v>
      </c>
      <c r="K965" s="6">
        <v>0</v>
      </c>
      <c r="L965" s="6">
        <v>33.68</v>
      </c>
      <c r="M965" s="6">
        <v>31.659199999999998</v>
      </c>
      <c r="N965" s="6">
        <v>33.68</v>
      </c>
      <c r="O965" s="6">
        <v>31.659199999999998</v>
      </c>
      <c r="P965" s="6">
        <v>0</v>
      </c>
      <c r="Q965" s="4" t="s">
        <v>26</v>
      </c>
      <c r="R965" s="4">
        <v>0</v>
      </c>
      <c r="S965" s="4" t="s">
        <v>251</v>
      </c>
      <c r="T965" s="4" t="s">
        <v>508</v>
      </c>
      <c r="U965" s="4">
        <v>0</v>
      </c>
      <c r="V965" s="4">
        <v>28</v>
      </c>
      <c r="W965" s="4">
        <v>74</v>
      </c>
    </row>
    <row r="966" spans="1:23" ht="11.25" customHeight="1" x14ac:dyDescent="0.25">
      <c r="A966" s="4" t="s">
        <v>21</v>
      </c>
      <c r="B966" s="4" t="s">
        <v>41</v>
      </c>
      <c r="C966" s="4" t="s">
        <v>44</v>
      </c>
      <c r="D966" s="4" t="s">
        <v>52</v>
      </c>
      <c r="E966" s="4" t="s">
        <v>53</v>
      </c>
      <c r="F966" s="4" t="s">
        <v>25</v>
      </c>
      <c r="G966" s="4" t="s">
        <v>25</v>
      </c>
      <c r="H966" s="4" t="s">
        <v>36</v>
      </c>
      <c r="I966" s="5">
        <v>44682</v>
      </c>
      <c r="J966" s="6">
        <v>0</v>
      </c>
      <c r="K966" s="6">
        <v>0</v>
      </c>
      <c r="L966" s="6">
        <v>271.93599999999998</v>
      </c>
      <c r="M966" s="6">
        <v>255.61984000000001</v>
      </c>
      <c r="N966" s="6">
        <v>271.93599999999998</v>
      </c>
      <c r="O966" s="6">
        <v>255.61984000000001</v>
      </c>
      <c r="P966" s="6">
        <v>0</v>
      </c>
      <c r="Q966" s="4" t="s">
        <v>26</v>
      </c>
      <c r="R966" s="4">
        <v>0</v>
      </c>
      <c r="S966" s="4" t="s">
        <v>252</v>
      </c>
      <c r="T966" s="4" t="s">
        <v>509</v>
      </c>
      <c r="U966" s="4">
        <v>0</v>
      </c>
      <c r="V966" s="4">
        <v>28</v>
      </c>
      <c r="W966" s="4">
        <v>74</v>
      </c>
    </row>
    <row r="967" spans="1:23" ht="11.25" customHeight="1" x14ac:dyDescent="0.25">
      <c r="A967" s="4" t="s">
        <v>28</v>
      </c>
      <c r="B967" s="4" t="s">
        <v>41</v>
      </c>
      <c r="C967" s="4" t="s">
        <v>44</v>
      </c>
      <c r="D967" s="4" t="s">
        <v>52</v>
      </c>
      <c r="E967" s="4" t="s">
        <v>53</v>
      </c>
      <c r="F967" s="4" t="s">
        <v>25</v>
      </c>
      <c r="G967" s="4" t="s">
        <v>25</v>
      </c>
      <c r="H967" s="4" t="s">
        <v>36</v>
      </c>
      <c r="I967" s="5">
        <v>44682</v>
      </c>
      <c r="J967" s="6">
        <v>0</v>
      </c>
      <c r="K967" s="6">
        <v>0</v>
      </c>
      <c r="L967" s="6">
        <v>33.322000000000003</v>
      </c>
      <c r="M967" s="6">
        <v>31.322679999999998</v>
      </c>
      <c r="N967" s="6">
        <v>33.322000000000003</v>
      </c>
      <c r="O967" s="6">
        <v>31.322679999999998</v>
      </c>
      <c r="P967" s="6">
        <v>0</v>
      </c>
      <c r="Q967" s="4" t="s">
        <v>26</v>
      </c>
      <c r="R967" s="4">
        <v>0</v>
      </c>
      <c r="S967" s="4" t="s">
        <v>252</v>
      </c>
      <c r="T967" s="4" t="s">
        <v>509</v>
      </c>
      <c r="U967" s="4">
        <v>0</v>
      </c>
      <c r="V967" s="4">
        <v>28</v>
      </c>
      <c r="W967" s="4">
        <v>74</v>
      </c>
    </row>
    <row r="968" spans="1:23" ht="11.25" customHeight="1" x14ac:dyDescent="0.25">
      <c r="A968" s="4" t="s">
        <v>21</v>
      </c>
      <c r="B968" s="4" t="s">
        <v>41</v>
      </c>
      <c r="C968" s="4" t="s">
        <v>44</v>
      </c>
      <c r="D968" s="4" t="s">
        <v>52</v>
      </c>
      <c r="E968" s="4" t="s">
        <v>53</v>
      </c>
      <c r="F968" s="4" t="s">
        <v>25</v>
      </c>
      <c r="G968" s="4" t="s">
        <v>25</v>
      </c>
      <c r="H968" s="4" t="s">
        <v>36</v>
      </c>
      <c r="I968" s="5">
        <v>44713</v>
      </c>
      <c r="J968" s="6">
        <v>0</v>
      </c>
      <c r="K968" s="6">
        <v>0</v>
      </c>
      <c r="L968" s="6">
        <v>258.11</v>
      </c>
      <c r="M968" s="6">
        <v>242.6234</v>
      </c>
      <c r="N968" s="6">
        <v>258.11</v>
      </c>
      <c r="O968" s="6">
        <v>242.6234</v>
      </c>
      <c r="P968" s="6">
        <v>0</v>
      </c>
      <c r="Q968" s="4" t="s">
        <v>26</v>
      </c>
      <c r="R968" s="4">
        <v>0</v>
      </c>
      <c r="S968" s="4" t="s">
        <v>253</v>
      </c>
      <c r="T968" s="4" t="s">
        <v>510</v>
      </c>
      <c r="U968" s="4">
        <v>0</v>
      </c>
      <c r="V968" s="4">
        <v>28</v>
      </c>
      <c r="W968" s="4">
        <v>74</v>
      </c>
    </row>
    <row r="969" spans="1:23" ht="11.25" customHeight="1" x14ac:dyDescent="0.25">
      <c r="A969" s="4" t="s">
        <v>28</v>
      </c>
      <c r="B969" s="4" t="s">
        <v>41</v>
      </c>
      <c r="C969" s="4" t="s">
        <v>44</v>
      </c>
      <c r="D969" s="4" t="s">
        <v>52</v>
      </c>
      <c r="E969" s="4" t="s">
        <v>53</v>
      </c>
      <c r="F969" s="4" t="s">
        <v>25</v>
      </c>
      <c r="G969" s="4" t="s">
        <v>25</v>
      </c>
      <c r="H969" s="4" t="s">
        <v>36</v>
      </c>
      <c r="I969" s="5">
        <v>44713</v>
      </c>
      <c r="J969" s="6">
        <v>0</v>
      </c>
      <c r="K969" s="6">
        <v>0</v>
      </c>
      <c r="L969" s="6">
        <v>35.677</v>
      </c>
      <c r="M969" s="6">
        <v>33.536380000000001</v>
      </c>
      <c r="N969" s="6">
        <v>35.677</v>
      </c>
      <c r="O969" s="6">
        <v>33.536380000000001</v>
      </c>
      <c r="P969" s="6">
        <v>0</v>
      </c>
      <c r="Q969" s="4" t="s">
        <v>26</v>
      </c>
      <c r="R969" s="4">
        <v>0</v>
      </c>
      <c r="S969" s="4" t="s">
        <v>253</v>
      </c>
      <c r="T969" s="4" t="s">
        <v>510</v>
      </c>
      <c r="U969" s="4">
        <v>0</v>
      </c>
      <c r="V969" s="4">
        <v>28</v>
      </c>
      <c r="W969" s="4">
        <v>74</v>
      </c>
    </row>
    <row r="970" spans="1:23" ht="11.25" customHeight="1" x14ac:dyDescent="0.25">
      <c r="A970" s="4" t="s">
        <v>21</v>
      </c>
      <c r="B970" s="4" t="s">
        <v>41</v>
      </c>
      <c r="C970" s="4" t="s">
        <v>44</v>
      </c>
      <c r="D970" s="4" t="s">
        <v>52</v>
      </c>
      <c r="E970" s="4" t="s">
        <v>53</v>
      </c>
      <c r="F970" s="4" t="s">
        <v>25</v>
      </c>
      <c r="G970" s="4" t="s">
        <v>25</v>
      </c>
      <c r="H970" s="4" t="s">
        <v>36</v>
      </c>
      <c r="I970" s="5">
        <v>44743</v>
      </c>
      <c r="J970" s="6">
        <v>0</v>
      </c>
      <c r="K970" s="6">
        <v>0</v>
      </c>
      <c r="L970" s="6">
        <v>276.87799999999999</v>
      </c>
      <c r="M970" s="6">
        <v>260.26531999999997</v>
      </c>
      <c r="N970" s="6">
        <v>276.87799999999999</v>
      </c>
      <c r="O970" s="6">
        <v>260.26531999999997</v>
      </c>
      <c r="P970" s="6">
        <v>0</v>
      </c>
      <c r="Q970" s="4" t="s">
        <v>26</v>
      </c>
      <c r="R970" s="4">
        <v>0</v>
      </c>
      <c r="S970" s="4" t="s">
        <v>254</v>
      </c>
      <c r="T970" s="4" t="s">
        <v>511</v>
      </c>
      <c r="U970" s="4">
        <v>0</v>
      </c>
      <c r="V970" s="4">
        <v>28</v>
      </c>
      <c r="W970" s="4">
        <v>74</v>
      </c>
    </row>
    <row r="971" spans="1:23" ht="11.25" customHeight="1" x14ac:dyDescent="0.25">
      <c r="A971" s="4" t="s">
        <v>28</v>
      </c>
      <c r="B971" s="4" t="s">
        <v>41</v>
      </c>
      <c r="C971" s="4" t="s">
        <v>44</v>
      </c>
      <c r="D971" s="4" t="s">
        <v>52</v>
      </c>
      <c r="E971" s="4" t="s">
        <v>53</v>
      </c>
      <c r="F971" s="4" t="s">
        <v>25</v>
      </c>
      <c r="G971" s="4" t="s">
        <v>25</v>
      </c>
      <c r="H971" s="4" t="s">
        <v>36</v>
      </c>
      <c r="I971" s="5">
        <v>44743</v>
      </c>
      <c r="J971" s="6">
        <v>0</v>
      </c>
      <c r="K971" s="6">
        <v>0</v>
      </c>
      <c r="L971" s="6">
        <v>34.813000000000002</v>
      </c>
      <c r="M971" s="6">
        <v>32.724220000000003</v>
      </c>
      <c r="N971" s="6">
        <v>34.813000000000002</v>
      </c>
      <c r="O971" s="6">
        <v>32.724220000000003</v>
      </c>
      <c r="P971" s="6">
        <v>0</v>
      </c>
      <c r="Q971" s="4" t="s">
        <v>26</v>
      </c>
      <c r="R971" s="4">
        <v>0</v>
      </c>
      <c r="S971" s="4" t="s">
        <v>254</v>
      </c>
      <c r="T971" s="4" t="s">
        <v>511</v>
      </c>
      <c r="U971" s="4">
        <v>0</v>
      </c>
      <c r="V971" s="4">
        <v>28</v>
      </c>
      <c r="W971" s="4">
        <v>74</v>
      </c>
    </row>
    <row r="972" spans="1:23" ht="11.25" customHeight="1" x14ac:dyDescent="0.25">
      <c r="A972" s="4" t="s">
        <v>21</v>
      </c>
      <c r="B972" s="4" t="s">
        <v>41</v>
      </c>
      <c r="C972" s="4" t="s">
        <v>44</v>
      </c>
      <c r="D972" s="4" t="s">
        <v>52</v>
      </c>
      <c r="E972" s="4" t="s">
        <v>53</v>
      </c>
      <c r="F972" s="4" t="s">
        <v>25</v>
      </c>
      <c r="G972" s="4" t="s">
        <v>25</v>
      </c>
      <c r="H972" s="4" t="s">
        <v>36</v>
      </c>
      <c r="I972" s="5">
        <v>44774</v>
      </c>
      <c r="J972" s="6">
        <v>0</v>
      </c>
      <c r="K972" s="6">
        <v>0</v>
      </c>
      <c r="L972" s="6">
        <v>298.75900000000001</v>
      </c>
      <c r="M972" s="6">
        <v>280.83346</v>
      </c>
      <c r="N972" s="6">
        <v>298.75900000000001</v>
      </c>
      <c r="O972" s="6">
        <v>280.83346</v>
      </c>
      <c r="P972" s="6">
        <v>0</v>
      </c>
      <c r="Q972" s="4" t="s">
        <v>26</v>
      </c>
      <c r="R972" s="4">
        <v>0</v>
      </c>
      <c r="S972" s="4" t="s">
        <v>255</v>
      </c>
      <c r="T972" s="4" t="s">
        <v>512</v>
      </c>
      <c r="U972" s="4">
        <v>0</v>
      </c>
      <c r="V972" s="4">
        <v>28</v>
      </c>
      <c r="W972" s="4">
        <v>74</v>
      </c>
    </row>
    <row r="973" spans="1:23" ht="11.25" customHeight="1" x14ac:dyDescent="0.25">
      <c r="A973" s="4" t="s">
        <v>27</v>
      </c>
      <c r="B973" s="4" t="s">
        <v>41</v>
      </c>
      <c r="C973" s="4" t="s">
        <v>44</v>
      </c>
      <c r="D973" s="4" t="s">
        <v>52</v>
      </c>
      <c r="E973" s="4" t="s">
        <v>53</v>
      </c>
      <c r="F973" s="4" t="s">
        <v>25</v>
      </c>
      <c r="G973" s="4" t="s">
        <v>25</v>
      </c>
      <c r="H973" s="4" t="s">
        <v>36</v>
      </c>
      <c r="I973" s="5">
        <v>44774</v>
      </c>
      <c r="J973" s="6">
        <v>0</v>
      </c>
      <c r="K973" s="6">
        <v>0</v>
      </c>
      <c r="L973" s="6">
        <v>-6.2350000000000003</v>
      </c>
      <c r="M973" s="6">
        <v>-5.8609</v>
      </c>
      <c r="N973" s="6">
        <v>-6.2350000000000003</v>
      </c>
      <c r="O973" s="6">
        <v>-5.8609</v>
      </c>
      <c r="P973" s="6">
        <v>0</v>
      </c>
      <c r="Q973" s="4" t="s">
        <v>26</v>
      </c>
      <c r="R973" s="4">
        <v>0</v>
      </c>
      <c r="S973" s="4" t="s">
        <v>255</v>
      </c>
      <c r="T973" s="4" t="s">
        <v>512</v>
      </c>
      <c r="U973" s="4">
        <v>0</v>
      </c>
      <c r="V973" s="4">
        <v>28</v>
      </c>
      <c r="W973" s="4">
        <v>74</v>
      </c>
    </row>
    <row r="974" spans="1:23" ht="11.25" customHeight="1" x14ac:dyDescent="0.25">
      <c r="A974" s="4" t="s">
        <v>28</v>
      </c>
      <c r="B974" s="4" t="s">
        <v>41</v>
      </c>
      <c r="C974" s="4" t="s">
        <v>44</v>
      </c>
      <c r="D974" s="4" t="s">
        <v>52</v>
      </c>
      <c r="E974" s="4" t="s">
        <v>53</v>
      </c>
      <c r="F974" s="4" t="s">
        <v>25</v>
      </c>
      <c r="G974" s="4" t="s">
        <v>25</v>
      </c>
      <c r="H974" s="4" t="s">
        <v>36</v>
      </c>
      <c r="I974" s="5">
        <v>44774</v>
      </c>
      <c r="J974" s="6">
        <v>0</v>
      </c>
      <c r="K974" s="6">
        <v>0</v>
      </c>
      <c r="L974" s="6">
        <v>35.14</v>
      </c>
      <c r="M974" s="6">
        <v>33.031599999999997</v>
      </c>
      <c r="N974" s="6">
        <v>35.14</v>
      </c>
      <c r="O974" s="6">
        <v>33.031599999999997</v>
      </c>
      <c r="P974" s="6">
        <v>0</v>
      </c>
      <c r="Q974" s="4" t="s">
        <v>26</v>
      </c>
      <c r="R974" s="4">
        <v>0</v>
      </c>
      <c r="S974" s="4" t="s">
        <v>255</v>
      </c>
      <c r="T974" s="4" t="s">
        <v>512</v>
      </c>
      <c r="U974" s="4">
        <v>0</v>
      </c>
      <c r="V974" s="4">
        <v>28</v>
      </c>
      <c r="W974" s="4">
        <v>74</v>
      </c>
    </row>
    <row r="975" spans="1:23" ht="11.25" customHeight="1" x14ac:dyDescent="0.25">
      <c r="A975" s="4" t="s">
        <v>21</v>
      </c>
      <c r="B975" s="4" t="s">
        <v>41</v>
      </c>
      <c r="C975" s="4" t="s">
        <v>44</v>
      </c>
      <c r="D975" s="4" t="s">
        <v>52</v>
      </c>
      <c r="E975" s="4" t="s">
        <v>53</v>
      </c>
      <c r="F975" s="4" t="s">
        <v>25</v>
      </c>
      <c r="G975" s="4" t="s">
        <v>25</v>
      </c>
      <c r="H975" s="4" t="s">
        <v>36</v>
      </c>
      <c r="I975" s="5">
        <v>44805</v>
      </c>
      <c r="J975" s="6">
        <v>0</v>
      </c>
      <c r="K975" s="6">
        <v>0</v>
      </c>
      <c r="L975" s="6">
        <v>283.12200000000001</v>
      </c>
      <c r="M975" s="6">
        <v>266.13468</v>
      </c>
      <c r="N975" s="6">
        <v>283.12200000000001</v>
      </c>
      <c r="O975" s="6">
        <v>266.13468</v>
      </c>
      <c r="P975" s="6">
        <v>0</v>
      </c>
      <c r="Q975" s="4" t="s">
        <v>26</v>
      </c>
      <c r="R975" s="4">
        <v>0</v>
      </c>
      <c r="S975" s="4" t="s">
        <v>256</v>
      </c>
      <c r="T975" s="4" t="s">
        <v>513</v>
      </c>
      <c r="U975" s="4">
        <v>0</v>
      </c>
      <c r="V975" s="4">
        <v>28</v>
      </c>
      <c r="W975" s="4">
        <v>74</v>
      </c>
    </row>
    <row r="976" spans="1:23" ht="11.25" customHeight="1" x14ac:dyDescent="0.25">
      <c r="A976" s="4" t="s">
        <v>28</v>
      </c>
      <c r="B976" s="4" t="s">
        <v>41</v>
      </c>
      <c r="C976" s="4" t="s">
        <v>44</v>
      </c>
      <c r="D976" s="4" t="s">
        <v>52</v>
      </c>
      <c r="E976" s="4" t="s">
        <v>53</v>
      </c>
      <c r="F976" s="4" t="s">
        <v>25</v>
      </c>
      <c r="G976" s="4" t="s">
        <v>25</v>
      </c>
      <c r="H976" s="4" t="s">
        <v>36</v>
      </c>
      <c r="I976" s="5">
        <v>44805</v>
      </c>
      <c r="J976" s="6">
        <v>0</v>
      </c>
      <c r="K976" s="6">
        <v>0</v>
      </c>
      <c r="L976" s="6">
        <v>35.819000000000003</v>
      </c>
      <c r="M976" s="6">
        <v>33.66986</v>
      </c>
      <c r="N976" s="6">
        <v>35.819000000000003</v>
      </c>
      <c r="O976" s="6">
        <v>33.66986</v>
      </c>
      <c r="P976" s="6">
        <v>0</v>
      </c>
      <c r="Q976" s="4" t="s">
        <v>26</v>
      </c>
      <c r="R976" s="4">
        <v>0</v>
      </c>
      <c r="S976" s="4" t="s">
        <v>256</v>
      </c>
      <c r="T976" s="4" t="s">
        <v>513</v>
      </c>
      <c r="U976" s="4">
        <v>0</v>
      </c>
      <c r="V976" s="4">
        <v>28</v>
      </c>
      <c r="W976" s="4">
        <v>74</v>
      </c>
    </row>
    <row r="977" spans="1:23" ht="11.25" customHeight="1" x14ac:dyDescent="0.25">
      <c r="A977" s="4" t="s">
        <v>21</v>
      </c>
      <c r="B977" s="4" t="s">
        <v>41</v>
      </c>
      <c r="C977" s="4" t="s">
        <v>44</v>
      </c>
      <c r="D977" s="4" t="s">
        <v>52</v>
      </c>
      <c r="E977" s="4" t="s">
        <v>53</v>
      </c>
      <c r="F977" s="4" t="s">
        <v>25</v>
      </c>
      <c r="G977" s="4" t="s">
        <v>25</v>
      </c>
      <c r="H977" s="4" t="s">
        <v>36</v>
      </c>
      <c r="I977" s="5">
        <v>44835</v>
      </c>
      <c r="J977" s="6">
        <v>0</v>
      </c>
      <c r="K977" s="6">
        <v>0</v>
      </c>
      <c r="L977" s="6">
        <v>260.20999999999998</v>
      </c>
      <c r="M977" s="6">
        <v>244.59739999999999</v>
      </c>
      <c r="N977" s="6">
        <v>260.20999999999998</v>
      </c>
      <c r="O977" s="6">
        <v>244.59739999999999</v>
      </c>
      <c r="P977" s="6">
        <v>0</v>
      </c>
      <c r="Q977" s="4" t="s">
        <v>26</v>
      </c>
      <c r="R977" s="4">
        <v>0</v>
      </c>
      <c r="S977" s="4" t="s">
        <v>257</v>
      </c>
      <c r="T977" s="4" t="s">
        <v>514</v>
      </c>
      <c r="U977" s="4">
        <v>0</v>
      </c>
      <c r="V977" s="4">
        <v>28</v>
      </c>
      <c r="W977" s="4">
        <v>74</v>
      </c>
    </row>
    <row r="978" spans="1:23" ht="11.25" customHeight="1" x14ac:dyDescent="0.25">
      <c r="A978" s="4" t="s">
        <v>28</v>
      </c>
      <c r="B978" s="4" t="s">
        <v>41</v>
      </c>
      <c r="C978" s="4" t="s">
        <v>44</v>
      </c>
      <c r="D978" s="4" t="s">
        <v>52</v>
      </c>
      <c r="E978" s="4" t="s">
        <v>53</v>
      </c>
      <c r="F978" s="4" t="s">
        <v>25</v>
      </c>
      <c r="G978" s="4" t="s">
        <v>25</v>
      </c>
      <c r="H978" s="4" t="s">
        <v>36</v>
      </c>
      <c r="I978" s="5">
        <v>44835</v>
      </c>
      <c r="J978" s="6">
        <v>0</v>
      </c>
      <c r="K978" s="6">
        <v>0</v>
      </c>
      <c r="L978" s="6">
        <v>38.566000000000003</v>
      </c>
      <c r="M978" s="6">
        <v>36.252040000000001</v>
      </c>
      <c r="N978" s="6">
        <v>38.566000000000003</v>
      </c>
      <c r="O978" s="6">
        <v>36.252040000000001</v>
      </c>
      <c r="P978" s="6">
        <v>0</v>
      </c>
      <c r="Q978" s="4" t="s">
        <v>26</v>
      </c>
      <c r="R978" s="4">
        <v>0</v>
      </c>
      <c r="S978" s="4" t="s">
        <v>257</v>
      </c>
      <c r="T978" s="4" t="s">
        <v>514</v>
      </c>
      <c r="U978" s="4">
        <v>0</v>
      </c>
      <c r="V978" s="4">
        <v>28</v>
      </c>
      <c r="W978" s="4">
        <v>74</v>
      </c>
    </row>
    <row r="979" spans="1:23" ht="11.25" customHeight="1" x14ac:dyDescent="0.25">
      <c r="A979" s="4" t="s">
        <v>59</v>
      </c>
      <c r="B979" s="4" t="s">
        <v>41</v>
      </c>
      <c r="C979" s="4" t="s">
        <v>44</v>
      </c>
      <c r="D979" s="4" t="s">
        <v>52</v>
      </c>
      <c r="E979" s="4" t="s">
        <v>53</v>
      </c>
      <c r="F979" s="4" t="s">
        <v>25</v>
      </c>
      <c r="G979" s="4" t="s">
        <v>25</v>
      </c>
      <c r="H979" s="4" t="s">
        <v>36</v>
      </c>
      <c r="I979" s="5">
        <v>44866</v>
      </c>
      <c r="J979" s="6">
        <v>0</v>
      </c>
      <c r="K979" s="6">
        <v>0</v>
      </c>
      <c r="L979" s="6">
        <v>260.20999999999998</v>
      </c>
      <c r="M979" s="6">
        <v>244.59739999999999</v>
      </c>
      <c r="N979" s="6">
        <v>260.20999999999998</v>
      </c>
      <c r="O979" s="6">
        <v>244.59739999999999</v>
      </c>
      <c r="P979" s="6">
        <v>0</v>
      </c>
      <c r="Q979" s="4" t="s">
        <v>26</v>
      </c>
      <c r="R979" s="4">
        <v>0</v>
      </c>
      <c r="S979" s="4" t="s">
        <v>258</v>
      </c>
      <c r="T979" s="4" t="s">
        <v>515</v>
      </c>
      <c r="U979" s="4">
        <v>0</v>
      </c>
      <c r="V979" s="4">
        <v>28</v>
      </c>
      <c r="W979" s="4">
        <v>74</v>
      </c>
    </row>
    <row r="980" spans="1:23" ht="11.25" customHeight="1" x14ac:dyDescent="0.25">
      <c r="A980" s="4" t="s">
        <v>59</v>
      </c>
      <c r="B980" s="4" t="s">
        <v>41</v>
      </c>
      <c r="C980" s="4" t="s">
        <v>44</v>
      </c>
      <c r="D980" s="4" t="s">
        <v>52</v>
      </c>
      <c r="E980" s="4" t="s">
        <v>53</v>
      </c>
      <c r="F980" s="4" t="s">
        <v>25</v>
      </c>
      <c r="G980" s="4" t="s">
        <v>25</v>
      </c>
      <c r="H980" s="4" t="s">
        <v>36</v>
      </c>
      <c r="I980" s="5">
        <v>44866</v>
      </c>
      <c r="J980" s="6">
        <v>0</v>
      </c>
      <c r="K980" s="6">
        <v>0</v>
      </c>
      <c r="L980" s="6">
        <v>38.566000000000003</v>
      </c>
      <c r="M980" s="6">
        <v>36.252040000000001</v>
      </c>
      <c r="N980" s="6">
        <v>38.566000000000003</v>
      </c>
      <c r="O980" s="6">
        <v>36.252040000000001</v>
      </c>
      <c r="P980" s="6">
        <v>0</v>
      </c>
      <c r="Q980" s="4" t="s">
        <v>26</v>
      </c>
      <c r="R980" s="4">
        <v>0</v>
      </c>
      <c r="S980" s="4" t="s">
        <v>258</v>
      </c>
      <c r="T980" s="4" t="s">
        <v>515</v>
      </c>
      <c r="U980" s="4">
        <v>0</v>
      </c>
      <c r="V980" s="4">
        <v>28</v>
      </c>
      <c r="W980" s="4">
        <v>74</v>
      </c>
    </row>
    <row r="981" spans="1:23" ht="11.25" customHeight="1" x14ac:dyDescent="0.25">
      <c r="A981" s="4" t="s">
        <v>21</v>
      </c>
      <c r="B981" s="4" t="s">
        <v>22</v>
      </c>
      <c r="C981" s="4" t="s">
        <v>35</v>
      </c>
      <c r="D981" s="4" t="s">
        <v>24</v>
      </c>
      <c r="E981" s="4" t="s">
        <v>24</v>
      </c>
      <c r="F981" s="4" t="s">
        <v>25</v>
      </c>
      <c r="G981" s="4" t="s">
        <v>25</v>
      </c>
      <c r="H981" s="4" t="s">
        <v>37</v>
      </c>
      <c r="I981" s="5">
        <v>44531</v>
      </c>
      <c r="J981" s="6">
        <v>0</v>
      </c>
      <c r="K981" s="6">
        <v>0</v>
      </c>
      <c r="L981" s="6">
        <v>34.957000000000001</v>
      </c>
      <c r="M981" s="6">
        <v>34.957000000000001</v>
      </c>
      <c r="N981" s="6">
        <v>34.957000000000001</v>
      </c>
      <c r="O981" s="6">
        <v>34.957000000000001</v>
      </c>
      <c r="P981" s="6">
        <v>0</v>
      </c>
      <c r="Q981" s="4" t="s">
        <v>26</v>
      </c>
      <c r="R981" s="4">
        <v>0</v>
      </c>
      <c r="S981" s="4" t="s">
        <v>259</v>
      </c>
      <c r="T981" s="4" t="s">
        <v>529</v>
      </c>
      <c r="U981" s="4">
        <v>0</v>
      </c>
      <c r="V981" s="4">
        <v>38</v>
      </c>
      <c r="W981" s="4">
        <v>82</v>
      </c>
    </row>
    <row r="982" spans="1:23" ht="11.25" customHeight="1" x14ac:dyDescent="0.25">
      <c r="A982" s="4" t="s">
        <v>28</v>
      </c>
      <c r="B982" s="4" t="s">
        <v>22</v>
      </c>
      <c r="C982" s="4" t="s">
        <v>35</v>
      </c>
      <c r="D982" s="4" t="s">
        <v>24</v>
      </c>
      <c r="E982" s="4" t="s">
        <v>24</v>
      </c>
      <c r="F982" s="4" t="s">
        <v>25</v>
      </c>
      <c r="G982" s="4" t="s">
        <v>25</v>
      </c>
      <c r="H982" s="4" t="s">
        <v>37</v>
      </c>
      <c r="I982" s="5">
        <v>44531</v>
      </c>
      <c r="J982" s="6">
        <v>0</v>
      </c>
      <c r="K982" s="6">
        <v>0</v>
      </c>
      <c r="L982" s="6">
        <v>0.77900000000000003</v>
      </c>
      <c r="M982" s="6">
        <v>0.77900000000000003</v>
      </c>
      <c r="N982" s="6">
        <v>0.77900000000000003</v>
      </c>
      <c r="O982" s="6">
        <v>0.77900000000000003</v>
      </c>
      <c r="P982" s="6">
        <v>0</v>
      </c>
      <c r="Q982" s="4" t="s">
        <v>26</v>
      </c>
      <c r="R982" s="4">
        <v>0</v>
      </c>
      <c r="S982" s="4" t="s">
        <v>259</v>
      </c>
      <c r="T982" s="4" t="s">
        <v>529</v>
      </c>
      <c r="U982" s="4">
        <v>0</v>
      </c>
      <c r="V982" s="4">
        <v>38</v>
      </c>
      <c r="W982" s="4">
        <v>82</v>
      </c>
    </row>
    <row r="983" spans="1:23" ht="11.25" customHeight="1" x14ac:dyDescent="0.25">
      <c r="A983" s="4" t="s">
        <v>30</v>
      </c>
      <c r="B983" s="4" t="s">
        <v>22</v>
      </c>
      <c r="C983" s="4" t="s">
        <v>35</v>
      </c>
      <c r="D983" s="4" t="s">
        <v>24</v>
      </c>
      <c r="E983" s="4" t="s">
        <v>24</v>
      </c>
      <c r="F983" s="4" t="s">
        <v>25</v>
      </c>
      <c r="G983" s="4" t="s">
        <v>25</v>
      </c>
      <c r="H983" s="4" t="s">
        <v>37</v>
      </c>
      <c r="I983" s="5">
        <v>44531</v>
      </c>
      <c r="J983" s="6">
        <v>0</v>
      </c>
      <c r="K983" s="6">
        <v>0</v>
      </c>
      <c r="L983" s="6">
        <v>1.605</v>
      </c>
      <c r="M983" s="6">
        <v>1.605</v>
      </c>
      <c r="N983" s="6">
        <v>1.605</v>
      </c>
      <c r="O983" s="6">
        <v>1.605</v>
      </c>
      <c r="P983" s="6">
        <v>0</v>
      </c>
      <c r="Q983" s="4" t="s">
        <v>26</v>
      </c>
      <c r="R983" s="4">
        <v>0</v>
      </c>
      <c r="S983" s="4" t="s">
        <v>259</v>
      </c>
      <c r="T983" s="4" t="s">
        <v>529</v>
      </c>
      <c r="U983" s="4">
        <v>0</v>
      </c>
      <c r="V983" s="4">
        <v>38</v>
      </c>
      <c r="W983" s="4">
        <v>82</v>
      </c>
    </row>
    <row r="984" spans="1:23" ht="11.25" customHeight="1" x14ac:dyDescent="0.25">
      <c r="A984" s="4" t="s">
        <v>30</v>
      </c>
      <c r="B984" s="4" t="s">
        <v>22</v>
      </c>
      <c r="C984" s="4" t="s">
        <v>35</v>
      </c>
      <c r="D984" s="4" t="s">
        <v>24</v>
      </c>
      <c r="E984" s="4" t="s">
        <v>24</v>
      </c>
      <c r="F984" s="4" t="s">
        <v>25</v>
      </c>
      <c r="G984" s="4" t="s">
        <v>25</v>
      </c>
      <c r="H984" s="4" t="s">
        <v>37</v>
      </c>
      <c r="I984" s="5">
        <v>44531</v>
      </c>
      <c r="J984" s="6">
        <v>0</v>
      </c>
      <c r="K984" s="6">
        <v>0</v>
      </c>
      <c r="L984" s="6">
        <v>-0.35899999999999999</v>
      </c>
      <c r="M984" s="6">
        <v>-0.35899999999999999</v>
      </c>
      <c r="N984" s="6">
        <v>-0.35899999999999999</v>
      </c>
      <c r="O984" s="6">
        <v>-0.35899999999999999</v>
      </c>
      <c r="P984" s="6">
        <v>0</v>
      </c>
      <c r="Q984" s="4" t="s">
        <v>26</v>
      </c>
      <c r="R984" s="4">
        <v>0</v>
      </c>
      <c r="S984" s="4" t="s">
        <v>259</v>
      </c>
      <c r="T984" s="4" t="s">
        <v>529</v>
      </c>
      <c r="U984" s="4">
        <v>0</v>
      </c>
      <c r="V984" s="4">
        <v>38</v>
      </c>
      <c r="W984" s="4">
        <v>82</v>
      </c>
    </row>
    <row r="985" spans="1:23" ht="11.25" customHeight="1" x14ac:dyDescent="0.25">
      <c r="A985" s="4" t="s">
        <v>21</v>
      </c>
      <c r="B985" s="4" t="s">
        <v>22</v>
      </c>
      <c r="C985" s="4" t="s">
        <v>35</v>
      </c>
      <c r="D985" s="4" t="s">
        <v>24</v>
      </c>
      <c r="E985" s="4" t="s">
        <v>24</v>
      </c>
      <c r="F985" s="4" t="s">
        <v>25</v>
      </c>
      <c r="G985" s="4" t="s">
        <v>25</v>
      </c>
      <c r="H985" s="4" t="s">
        <v>37</v>
      </c>
      <c r="I985" s="5">
        <v>44562</v>
      </c>
      <c r="J985" s="6">
        <v>0</v>
      </c>
      <c r="K985" s="6">
        <v>0</v>
      </c>
      <c r="L985" s="6">
        <v>34.67</v>
      </c>
      <c r="M985" s="6">
        <v>34.67</v>
      </c>
      <c r="N985" s="6">
        <v>34.67</v>
      </c>
      <c r="O985" s="6">
        <v>34.67</v>
      </c>
      <c r="P985" s="6">
        <v>0</v>
      </c>
      <c r="Q985" s="4" t="s">
        <v>26</v>
      </c>
      <c r="R985" s="4">
        <v>0</v>
      </c>
      <c r="S985" s="4" t="s">
        <v>260</v>
      </c>
      <c r="T985" s="4" t="s">
        <v>530</v>
      </c>
      <c r="U985" s="4">
        <v>0</v>
      </c>
      <c r="V985" s="4">
        <v>38</v>
      </c>
      <c r="W985" s="4">
        <v>82</v>
      </c>
    </row>
    <row r="986" spans="1:23" ht="11.25" customHeight="1" x14ac:dyDescent="0.25">
      <c r="A986" s="4" t="s">
        <v>28</v>
      </c>
      <c r="B986" s="4" t="s">
        <v>22</v>
      </c>
      <c r="C986" s="4" t="s">
        <v>35</v>
      </c>
      <c r="D986" s="4" t="s">
        <v>24</v>
      </c>
      <c r="E986" s="4" t="s">
        <v>24</v>
      </c>
      <c r="F986" s="4" t="s">
        <v>25</v>
      </c>
      <c r="G986" s="4" t="s">
        <v>25</v>
      </c>
      <c r="H986" s="4" t="s">
        <v>37</v>
      </c>
      <c r="I986" s="5">
        <v>44562</v>
      </c>
      <c r="J986" s="6">
        <v>0</v>
      </c>
      <c r="K986" s="6">
        <v>0</v>
      </c>
      <c r="L986" s="6">
        <v>0.89900000000000002</v>
      </c>
      <c r="M986" s="6">
        <v>0.89900000000000002</v>
      </c>
      <c r="N986" s="6">
        <v>0.89900000000000002</v>
      </c>
      <c r="O986" s="6">
        <v>0.89900000000000002</v>
      </c>
      <c r="P986" s="6">
        <v>0</v>
      </c>
      <c r="Q986" s="4" t="s">
        <v>26</v>
      </c>
      <c r="R986" s="4">
        <v>0</v>
      </c>
      <c r="S986" s="4" t="s">
        <v>260</v>
      </c>
      <c r="T986" s="4" t="s">
        <v>530</v>
      </c>
      <c r="U986" s="4">
        <v>0</v>
      </c>
      <c r="V986" s="4">
        <v>38</v>
      </c>
      <c r="W986" s="4">
        <v>82</v>
      </c>
    </row>
    <row r="987" spans="1:23" ht="11.25" customHeight="1" x14ac:dyDescent="0.25">
      <c r="A987" s="4" t="s">
        <v>30</v>
      </c>
      <c r="B987" s="4" t="s">
        <v>22</v>
      </c>
      <c r="C987" s="4" t="s">
        <v>35</v>
      </c>
      <c r="D987" s="4" t="s">
        <v>24</v>
      </c>
      <c r="E987" s="4" t="s">
        <v>24</v>
      </c>
      <c r="F987" s="4" t="s">
        <v>25</v>
      </c>
      <c r="G987" s="4" t="s">
        <v>25</v>
      </c>
      <c r="H987" s="4" t="s">
        <v>37</v>
      </c>
      <c r="I987" s="5">
        <v>44562</v>
      </c>
      <c r="J987" s="6">
        <v>0</v>
      </c>
      <c r="K987" s="6">
        <v>0</v>
      </c>
      <c r="L987" s="6">
        <v>1.242</v>
      </c>
      <c r="M987" s="6">
        <v>1.242</v>
      </c>
      <c r="N987" s="6">
        <v>1.242</v>
      </c>
      <c r="O987" s="6">
        <v>1.242</v>
      </c>
      <c r="P987" s="6">
        <v>0</v>
      </c>
      <c r="Q987" s="4" t="s">
        <v>26</v>
      </c>
      <c r="R987" s="4">
        <v>0</v>
      </c>
      <c r="S987" s="4" t="s">
        <v>260</v>
      </c>
      <c r="T987" s="4" t="s">
        <v>530</v>
      </c>
      <c r="U987" s="4">
        <v>0</v>
      </c>
      <c r="V987" s="4">
        <v>38</v>
      </c>
      <c r="W987" s="4">
        <v>82</v>
      </c>
    </row>
    <row r="988" spans="1:23" ht="11.25" customHeight="1" x14ac:dyDescent="0.25">
      <c r="A988" s="4" t="s">
        <v>21</v>
      </c>
      <c r="B988" s="4" t="s">
        <v>22</v>
      </c>
      <c r="C988" s="4" t="s">
        <v>35</v>
      </c>
      <c r="D988" s="4" t="s">
        <v>24</v>
      </c>
      <c r="E988" s="4" t="s">
        <v>24</v>
      </c>
      <c r="F988" s="4" t="s">
        <v>25</v>
      </c>
      <c r="G988" s="4" t="s">
        <v>25</v>
      </c>
      <c r="H988" s="4" t="s">
        <v>37</v>
      </c>
      <c r="I988" s="5">
        <v>44593</v>
      </c>
      <c r="J988" s="6">
        <v>0</v>
      </c>
      <c r="K988" s="6">
        <v>0</v>
      </c>
      <c r="L988" s="6">
        <v>32.262</v>
      </c>
      <c r="M988" s="6">
        <v>32.262</v>
      </c>
      <c r="N988" s="6">
        <v>32.262</v>
      </c>
      <c r="O988" s="6">
        <v>32.262</v>
      </c>
      <c r="P988" s="6">
        <v>0</v>
      </c>
      <c r="Q988" s="4" t="s">
        <v>26</v>
      </c>
      <c r="R988" s="4">
        <v>0</v>
      </c>
      <c r="S988" s="4" t="s">
        <v>261</v>
      </c>
      <c r="T988" s="4" t="s">
        <v>531</v>
      </c>
      <c r="U988" s="4">
        <v>0</v>
      </c>
      <c r="V988" s="4">
        <v>38</v>
      </c>
      <c r="W988" s="4">
        <v>82</v>
      </c>
    </row>
    <row r="989" spans="1:23" ht="11.25" customHeight="1" x14ac:dyDescent="0.25">
      <c r="A989" s="4" t="s">
        <v>27</v>
      </c>
      <c r="B989" s="4" t="s">
        <v>22</v>
      </c>
      <c r="C989" s="4" t="s">
        <v>35</v>
      </c>
      <c r="D989" s="4" t="s">
        <v>24</v>
      </c>
      <c r="E989" s="4" t="s">
        <v>24</v>
      </c>
      <c r="F989" s="4" t="s">
        <v>25</v>
      </c>
      <c r="G989" s="4" t="s">
        <v>25</v>
      </c>
      <c r="H989" s="4" t="s">
        <v>37</v>
      </c>
      <c r="I989" s="5">
        <v>44593</v>
      </c>
      <c r="J989" s="6">
        <v>0</v>
      </c>
      <c r="K989" s="6">
        <v>0</v>
      </c>
      <c r="L989" s="6">
        <v>0.35399999999999998</v>
      </c>
      <c r="M989" s="6">
        <v>0.35399999999999998</v>
      </c>
      <c r="N989" s="6">
        <v>0.35399999999999998</v>
      </c>
      <c r="O989" s="6">
        <v>0.35399999999999998</v>
      </c>
      <c r="P989" s="6">
        <v>0</v>
      </c>
      <c r="Q989" s="4" t="s">
        <v>26</v>
      </c>
      <c r="R989" s="4">
        <v>0</v>
      </c>
      <c r="S989" s="4" t="s">
        <v>261</v>
      </c>
      <c r="T989" s="4" t="s">
        <v>531</v>
      </c>
      <c r="U989" s="4">
        <v>0</v>
      </c>
      <c r="V989" s="4">
        <v>38</v>
      </c>
      <c r="W989" s="4">
        <v>82</v>
      </c>
    </row>
    <row r="990" spans="1:23" ht="11.25" customHeight="1" x14ac:dyDescent="0.25">
      <c r="A990" s="4" t="s">
        <v>28</v>
      </c>
      <c r="B990" s="4" t="s">
        <v>22</v>
      </c>
      <c r="C990" s="4" t="s">
        <v>35</v>
      </c>
      <c r="D990" s="4" t="s">
        <v>24</v>
      </c>
      <c r="E990" s="4" t="s">
        <v>24</v>
      </c>
      <c r="F990" s="4" t="s">
        <v>25</v>
      </c>
      <c r="G990" s="4" t="s">
        <v>25</v>
      </c>
      <c r="H990" s="4" t="s">
        <v>37</v>
      </c>
      <c r="I990" s="5">
        <v>44593</v>
      </c>
      <c r="J990" s="6">
        <v>0</v>
      </c>
      <c r="K990" s="6">
        <v>0</v>
      </c>
      <c r="L990" s="6">
        <v>0.90300000000000002</v>
      </c>
      <c r="M990" s="6">
        <v>0.90300000000000002</v>
      </c>
      <c r="N990" s="6">
        <v>0.90300000000000002</v>
      </c>
      <c r="O990" s="6">
        <v>0.90300000000000002</v>
      </c>
      <c r="P990" s="6">
        <v>0</v>
      </c>
      <c r="Q990" s="4" t="s">
        <v>26</v>
      </c>
      <c r="R990" s="4">
        <v>0</v>
      </c>
      <c r="S990" s="4" t="s">
        <v>261</v>
      </c>
      <c r="T990" s="4" t="s">
        <v>531</v>
      </c>
      <c r="U990" s="4">
        <v>0</v>
      </c>
      <c r="V990" s="4">
        <v>38</v>
      </c>
      <c r="W990" s="4">
        <v>82</v>
      </c>
    </row>
    <row r="991" spans="1:23" ht="11.25" customHeight="1" x14ac:dyDescent="0.25">
      <c r="A991" s="4" t="s">
        <v>30</v>
      </c>
      <c r="B991" s="4" t="s">
        <v>22</v>
      </c>
      <c r="C991" s="4" t="s">
        <v>35</v>
      </c>
      <c r="D991" s="4" t="s">
        <v>24</v>
      </c>
      <c r="E991" s="4" t="s">
        <v>24</v>
      </c>
      <c r="F991" s="4" t="s">
        <v>25</v>
      </c>
      <c r="G991" s="4" t="s">
        <v>25</v>
      </c>
      <c r="H991" s="4" t="s">
        <v>37</v>
      </c>
      <c r="I991" s="5">
        <v>44593</v>
      </c>
      <c r="J991" s="6">
        <v>0</v>
      </c>
      <c r="K991" s="6">
        <v>0</v>
      </c>
      <c r="L991" s="6">
        <v>0.40500000000000003</v>
      </c>
      <c r="M991" s="6">
        <v>0.40500000000000003</v>
      </c>
      <c r="N991" s="6">
        <v>0.40500000000000003</v>
      </c>
      <c r="O991" s="6">
        <v>0.40500000000000003</v>
      </c>
      <c r="P991" s="6">
        <v>0</v>
      </c>
      <c r="Q991" s="4" t="s">
        <v>26</v>
      </c>
      <c r="R991" s="4">
        <v>0</v>
      </c>
      <c r="S991" s="4" t="s">
        <v>261</v>
      </c>
      <c r="T991" s="4" t="s">
        <v>531</v>
      </c>
      <c r="U991" s="4">
        <v>0</v>
      </c>
      <c r="V991" s="4">
        <v>38</v>
      </c>
      <c r="W991" s="4">
        <v>82</v>
      </c>
    </row>
    <row r="992" spans="1:23" ht="11.25" customHeight="1" x14ac:dyDescent="0.25">
      <c r="A992" s="4" t="s">
        <v>30</v>
      </c>
      <c r="B992" s="4" t="s">
        <v>22</v>
      </c>
      <c r="C992" s="4" t="s">
        <v>35</v>
      </c>
      <c r="D992" s="4" t="s">
        <v>24</v>
      </c>
      <c r="E992" s="4" t="s">
        <v>24</v>
      </c>
      <c r="F992" s="4" t="s">
        <v>25</v>
      </c>
      <c r="G992" s="4" t="s">
        <v>25</v>
      </c>
      <c r="H992" s="4" t="s">
        <v>37</v>
      </c>
      <c r="I992" s="5">
        <v>44593</v>
      </c>
      <c r="J992" s="6">
        <v>0</v>
      </c>
      <c r="K992" s="6">
        <v>0</v>
      </c>
      <c r="L992" s="6">
        <v>-0.32600000000000001</v>
      </c>
      <c r="M992" s="6">
        <v>-0.32600000000000001</v>
      </c>
      <c r="N992" s="6">
        <v>-0.32600000000000001</v>
      </c>
      <c r="O992" s="6">
        <v>-0.32600000000000001</v>
      </c>
      <c r="P992" s="6">
        <v>0</v>
      </c>
      <c r="Q992" s="4" t="s">
        <v>26</v>
      </c>
      <c r="R992" s="4">
        <v>0</v>
      </c>
      <c r="S992" s="4" t="s">
        <v>261</v>
      </c>
      <c r="T992" s="4" t="s">
        <v>531</v>
      </c>
      <c r="U992" s="4">
        <v>0</v>
      </c>
      <c r="V992" s="4">
        <v>38</v>
      </c>
      <c r="W992" s="4">
        <v>82</v>
      </c>
    </row>
    <row r="993" spans="1:23" ht="11.25" customHeight="1" x14ac:dyDescent="0.25">
      <c r="A993" s="4" t="s">
        <v>21</v>
      </c>
      <c r="B993" s="4" t="s">
        <v>22</v>
      </c>
      <c r="C993" s="4" t="s">
        <v>35</v>
      </c>
      <c r="D993" s="4" t="s">
        <v>24</v>
      </c>
      <c r="E993" s="4" t="s">
        <v>24</v>
      </c>
      <c r="F993" s="4" t="s">
        <v>25</v>
      </c>
      <c r="G993" s="4" t="s">
        <v>25</v>
      </c>
      <c r="H993" s="4" t="s">
        <v>37</v>
      </c>
      <c r="I993" s="5">
        <v>44621</v>
      </c>
      <c r="J993" s="6">
        <v>0</v>
      </c>
      <c r="K993" s="6">
        <v>0</v>
      </c>
      <c r="L993" s="6">
        <v>33.404000000000003</v>
      </c>
      <c r="M993" s="6">
        <v>33.404000000000003</v>
      </c>
      <c r="N993" s="6">
        <v>33.404000000000003</v>
      </c>
      <c r="O993" s="6">
        <v>33.404000000000003</v>
      </c>
      <c r="P993" s="6">
        <v>0</v>
      </c>
      <c r="Q993" s="4" t="s">
        <v>26</v>
      </c>
      <c r="R993" s="4">
        <v>0</v>
      </c>
      <c r="S993" s="4" t="s">
        <v>262</v>
      </c>
      <c r="T993" s="4" t="s">
        <v>532</v>
      </c>
      <c r="U993" s="4">
        <v>0</v>
      </c>
      <c r="V993" s="4">
        <v>38</v>
      </c>
      <c r="W993" s="4">
        <v>82</v>
      </c>
    </row>
    <row r="994" spans="1:23" ht="11.25" customHeight="1" x14ac:dyDescent="0.25">
      <c r="A994" s="4" t="s">
        <v>28</v>
      </c>
      <c r="B994" s="4" t="s">
        <v>22</v>
      </c>
      <c r="C994" s="4" t="s">
        <v>35</v>
      </c>
      <c r="D994" s="4" t="s">
        <v>24</v>
      </c>
      <c r="E994" s="4" t="s">
        <v>24</v>
      </c>
      <c r="F994" s="4" t="s">
        <v>25</v>
      </c>
      <c r="G994" s="4" t="s">
        <v>25</v>
      </c>
      <c r="H994" s="4" t="s">
        <v>37</v>
      </c>
      <c r="I994" s="5">
        <v>44621</v>
      </c>
      <c r="J994" s="6">
        <v>0</v>
      </c>
      <c r="K994" s="6">
        <v>0</v>
      </c>
      <c r="L994" s="6">
        <v>1.17</v>
      </c>
      <c r="M994" s="6">
        <v>1.17</v>
      </c>
      <c r="N994" s="6">
        <v>1.17</v>
      </c>
      <c r="O994" s="6">
        <v>1.17</v>
      </c>
      <c r="P994" s="6">
        <v>0</v>
      </c>
      <c r="Q994" s="4" t="s">
        <v>26</v>
      </c>
      <c r="R994" s="4">
        <v>0</v>
      </c>
      <c r="S994" s="4" t="s">
        <v>262</v>
      </c>
      <c r="T994" s="4" t="s">
        <v>532</v>
      </c>
      <c r="U994" s="4">
        <v>0</v>
      </c>
      <c r="V994" s="4">
        <v>38</v>
      </c>
      <c r="W994" s="4">
        <v>82</v>
      </c>
    </row>
    <row r="995" spans="1:23" ht="11.25" customHeight="1" x14ac:dyDescent="0.25">
      <c r="A995" s="4" t="s">
        <v>30</v>
      </c>
      <c r="B995" s="4" t="s">
        <v>22</v>
      </c>
      <c r="C995" s="4" t="s">
        <v>35</v>
      </c>
      <c r="D995" s="4" t="s">
        <v>24</v>
      </c>
      <c r="E995" s="4" t="s">
        <v>24</v>
      </c>
      <c r="F995" s="4" t="s">
        <v>25</v>
      </c>
      <c r="G995" s="4" t="s">
        <v>25</v>
      </c>
      <c r="H995" s="4" t="s">
        <v>37</v>
      </c>
      <c r="I995" s="5">
        <v>44621</v>
      </c>
      <c r="J995" s="6">
        <v>0</v>
      </c>
      <c r="K995" s="6">
        <v>0</v>
      </c>
      <c r="L995" s="6">
        <v>0.188</v>
      </c>
      <c r="M995" s="6">
        <v>0.188</v>
      </c>
      <c r="N995" s="6">
        <v>0.188</v>
      </c>
      <c r="O995" s="6">
        <v>0.188</v>
      </c>
      <c r="P995" s="6">
        <v>0</v>
      </c>
      <c r="Q995" s="4" t="s">
        <v>26</v>
      </c>
      <c r="R995" s="4">
        <v>0</v>
      </c>
      <c r="S995" s="4" t="s">
        <v>262</v>
      </c>
      <c r="T995" s="4" t="s">
        <v>532</v>
      </c>
      <c r="U995" s="4">
        <v>0</v>
      </c>
      <c r="V995" s="4">
        <v>38</v>
      </c>
      <c r="W995" s="4">
        <v>82</v>
      </c>
    </row>
    <row r="996" spans="1:23" ht="11.25" customHeight="1" x14ac:dyDescent="0.25">
      <c r="A996" s="4" t="s">
        <v>21</v>
      </c>
      <c r="B996" s="4" t="s">
        <v>22</v>
      </c>
      <c r="C996" s="4" t="s">
        <v>35</v>
      </c>
      <c r="D996" s="4" t="s">
        <v>24</v>
      </c>
      <c r="E996" s="4" t="s">
        <v>24</v>
      </c>
      <c r="F996" s="4" t="s">
        <v>25</v>
      </c>
      <c r="G996" s="4" t="s">
        <v>25</v>
      </c>
      <c r="H996" s="4" t="s">
        <v>37</v>
      </c>
      <c r="I996" s="5">
        <v>44652</v>
      </c>
      <c r="J996" s="6">
        <v>0</v>
      </c>
      <c r="K996" s="6">
        <v>0</v>
      </c>
      <c r="L996" s="6">
        <v>34.1</v>
      </c>
      <c r="M996" s="6">
        <v>34.1</v>
      </c>
      <c r="N996" s="6">
        <v>34.1</v>
      </c>
      <c r="O996" s="6">
        <v>34.1</v>
      </c>
      <c r="P996" s="6">
        <v>0</v>
      </c>
      <c r="Q996" s="4" t="s">
        <v>26</v>
      </c>
      <c r="R996" s="4">
        <v>0</v>
      </c>
      <c r="S996" s="4" t="s">
        <v>263</v>
      </c>
      <c r="T996" s="4" t="s">
        <v>533</v>
      </c>
      <c r="U996" s="4">
        <v>0</v>
      </c>
      <c r="V996" s="4">
        <v>38</v>
      </c>
      <c r="W996" s="4">
        <v>82</v>
      </c>
    </row>
    <row r="997" spans="1:23" ht="11.25" customHeight="1" x14ac:dyDescent="0.25">
      <c r="A997" s="4" t="s">
        <v>27</v>
      </c>
      <c r="B997" s="4" t="s">
        <v>22</v>
      </c>
      <c r="C997" s="4" t="s">
        <v>35</v>
      </c>
      <c r="D997" s="4" t="s">
        <v>24</v>
      </c>
      <c r="E997" s="4" t="s">
        <v>24</v>
      </c>
      <c r="F997" s="4" t="s">
        <v>25</v>
      </c>
      <c r="G997" s="4" t="s">
        <v>25</v>
      </c>
      <c r="H997" s="4" t="s">
        <v>37</v>
      </c>
      <c r="I997" s="5">
        <v>44652</v>
      </c>
      <c r="J997" s="6">
        <v>0</v>
      </c>
      <c r="K997" s="6">
        <v>0</v>
      </c>
      <c r="L997" s="6">
        <v>5.5E-2</v>
      </c>
      <c r="M997" s="6">
        <v>5.5E-2</v>
      </c>
      <c r="N997" s="6">
        <v>5.5E-2</v>
      </c>
      <c r="O997" s="6">
        <v>5.5E-2</v>
      </c>
      <c r="P997" s="6">
        <v>0</v>
      </c>
      <c r="Q997" s="4" t="s">
        <v>26</v>
      </c>
      <c r="R997" s="4">
        <v>0</v>
      </c>
      <c r="S997" s="4" t="s">
        <v>263</v>
      </c>
      <c r="T997" s="4" t="s">
        <v>533</v>
      </c>
      <c r="U997" s="4">
        <v>0</v>
      </c>
      <c r="V997" s="4">
        <v>38</v>
      </c>
      <c r="W997" s="4">
        <v>82</v>
      </c>
    </row>
    <row r="998" spans="1:23" ht="11.25" customHeight="1" x14ac:dyDescent="0.25">
      <c r="A998" s="4" t="s">
        <v>28</v>
      </c>
      <c r="B998" s="4" t="s">
        <v>22</v>
      </c>
      <c r="C998" s="4" t="s">
        <v>35</v>
      </c>
      <c r="D998" s="4" t="s">
        <v>24</v>
      </c>
      <c r="E998" s="4" t="s">
        <v>24</v>
      </c>
      <c r="F998" s="4" t="s">
        <v>25</v>
      </c>
      <c r="G998" s="4" t="s">
        <v>25</v>
      </c>
      <c r="H998" s="4" t="s">
        <v>37</v>
      </c>
      <c r="I998" s="5">
        <v>44652</v>
      </c>
      <c r="J998" s="6">
        <v>0</v>
      </c>
      <c r="K998" s="6">
        <v>0</v>
      </c>
      <c r="L998" s="6">
        <v>1.117</v>
      </c>
      <c r="M998" s="6">
        <v>1.117</v>
      </c>
      <c r="N998" s="6">
        <v>1.117</v>
      </c>
      <c r="O998" s="6">
        <v>1.117</v>
      </c>
      <c r="P998" s="6">
        <v>0</v>
      </c>
      <c r="Q998" s="4" t="s">
        <v>26</v>
      </c>
      <c r="R998" s="4">
        <v>0</v>
      </c>
      <c r="S998" s="4" t="s">
        <v>263</v>
      </c>
      <c r="T998" s="4" t="s">
        <v>533</v>
      </c>
      <c r="U998" s="4">
        <v>0</v>
      </c>
      <c r="V998" s="4">
        <v>38</v>
      </c>
      <c r="W998" s="4">
        <v>82</v>
      </c>
    </row>
    <row r="999" spans="1:23" ht="11.25" customHeight="1" x14ac:dyDescent="0.25">
      <c r="A999" s="4" t="s">
        <v>30</v>
      </c>
      <c r="B999" s="4" t="s">
        <v>22</v>
      </c>
      <c r="C999" s="4" t="s">
        <v>35</v>
      </c>
      <c r="D999" s="4" t="s">
        <v>24</v>
      </c>
      <c r="E999" s="4" t="s">
        <v>24</v>
      </c>
      <c r="F999" s="4" t="s">
        <v>25</v>
      </c>
      <c r="G999" s="4" t="s">
        <v>25</v>
      </c>
      <c r="H999" s="4" t="s">
        <v>37</v>
      </c>
      <c r="I999" s="5">
        <v>44652</v>
      </c>
      <c r="J999" s="6">
        <v>0</v>
      </c>
      <c r="K999" s="6">
        <v>0</v>
      </c>
      <c r="L999" s="6">
        <v>0.188</v>
      </c>
      <c r="M999" s="6">
        <v>0.188</v>
      </c>
      <c r="N999" s="6">
        <v>0.188</v>
      </c>
      <c r="O999" s="6">
        <v>0.188</v>
      </c>
      <c r="P999" s="6">
        <v>0</v>
      </c>
      <c r="Q999" s="4" t="s">
        <v>26</v>
      </c>
      <c r="R999" s="4">
        <v>0</v>
      </c>
      <c r="S999" s="4" t="s">
        <v>263</v>
      </c>
      <c r="T999" s="4" t="s">
        <v>533</v>
      </c>
      <c r="U999" s="4">
        <v>0</v>
      </c>
      <c r="V999" s="4">
        <v>38</v>
      </c>
      <c r="W999" s="4">
        <v>82</v>
      </c>
    </row>
    <row r="1000" spans="1:23" ht="11.25" customHeight="1" x14ac:dyDescent="0.25">
      <c r="A1000" s="4" t="s">
        <v>21</v>
      </c>
      <c r="B1000" s="4" t="s">
        <v>22</v>
      </c>
      <c r="C1000" s="4" t="s">
        <v>35</v>
      </c>
      <c r="D1000" s="4" t="s">
        <v>24</v>
      </c>
      <c r="E1000" s="4" t="s">
        <v>24</v>
      </c>
      <c r="F1000" s="4" t="s">
        <v>25</v>
      </c>
      <c r="G1000" s="4" t="s">
        <v>25</v>
      </c>
      <c r="H1000" s="4" t="s">
        <v>37</v>
      </c>
      <c r="I1000" s="5">
        <v>44682</v>
      </c>
      <c r="J1000" s="6">
        <v>0</v>
      </c>
      <c r="K1000" s="6">
        <v>0</v>
      </c>
      <c r="L1000" s="6">
        <v>41.506999999999998</v>
      </c>
      <c r="M1000" s="6">
        <v>41.506999999999998</v>
      </c>
      <c r="N1000" s="6">
        <v>41.506999999999998</v>
      </c>
      <c r="O1000" s="6">
        <v>41.506999999999998</v>
      </c>
      <c r="P1000" s="6">
        <v>0</v>
      </c>
      <c r="Q1000" s="4" t="s">
        <v>26</v>
      </c>
      <c r="R1000" s="4">
        <v>0</v>
      </c>
      <c r="S1000" s="4" t="s">
        <v>264</v>
      </c>
      <c r="T1000" s="4" t="s">
        <v>534</v>
      </c>
      <c r="U1000" s="4">
        <v>0</v>
      </c>
      <c r="V1000" s="4">
        <v>38</v>
      </c>
      <c r="W1000" s="4">
        <v>82</v>
      </c>
    </row>
    <row r="1001" spans="1:23" ht="11.25" customHeight="1" x14ac:dyDescent="0.25">
      <c r="A1001" s="4" t="s">
        <v>28</v>
      </c>
      <c r="B1001" s="4" t="s">
        <v>22</v>
      </c>
      <c r="C1001" s="4" t="s">
        <v>35</v>
      </c>
      <c r="D1001" s="4" t="s">
        <v>24</v>
      </c>
      <c r="E1001" s="4" t="s">
        <v>24</v>
      </c>
      <c r="F1001" s="4" t="s">
        <v>25</v>
      </c>
      <c r="G1001" s="4" t="s">
        <v>25</v>
      </c>
      <c r="H1001" s="4" t="s">
        <v>37</v>
      </c>
      <c r="I1001" s="5">
        <v>44682</v>
      </c>
      <c r="J1001" s="6">
        <v>0</v>
      </c>
      <c r="K1001" s="6">
        <v>0</v>
      </c>
      <c r="L1001" s="6">
        <v>1.042</v>
      </c>
      <c r="M1001" s="6">
        <v>1.042</v>
      </c>
      <c r="N1001" s="6">
        <v>1.042</v>
      </c>
      <c r="O1001" s="6">
        <v>1.042</v>
      </c>
      <c r="P1001" s="6">
        <v>0</v>
      </c>
      <c r="Q1001" s="4" t="s">
        <v>26</v>
      </c>
      <c r="R1001" s="4">
        <v>0</v>
      </c>
      <c r="S1001" s="4" t="s">
        <v>264</v>
      </c>
      <c r="T1001" s="4" t="s">
        <v>534</v>
      </c>
      <c r="U1001" s="4">
        <v>0</v>
      </c>
      <c r="V1001" s="4">
        <v>38</v>
      </c>
      <c r="W1001" s="4">
        <v>82</v>
      </c>
    </row>
    <row r="1002" spans="1:23" ht="11.25" customHeight="1" x14ac:dyDescent="0.25">
      <c r="A1002" s="4" t="s">
        <v>30</v>
      </c>
      <c r="B1002" s="4" t="s">
        <v>22</v>
      </c>
      <c r="C1002" s="4" t="s">
        <v>35</v>
      </c>
      <c r="D1002" s="4" t="s">
        <v>24</v>
      </c>
      <c r="E1002" s="4" t="s">
        <v>24</v>
      </c>
      <c r="F1002" s="4" t="s">
        <v>25</v>
      </c>
      <c r="G1002" s="4" t="s">
        <v>25</v>
      </c>
      <c r="H1002" s="4" t="s">
        <v>37</v>
      </c>
      <c r="I1002" s="5">
        <v>44682</v>
      </c>
      <c r="J1002" s="6">
        <v>0</v>
      </c>
      <c r="K1002" s="6">
        <v>0</v>
      </c>
      <c r="L1002" s="6">
        <v>0.316</v>
      </c>
      <c r="M1002" s="6">
        <v>0.316</v>
      </c>
      <c r="N1002" s="6">
        <v>0.316</v>
      </c>
      <c r="O1002" s="6">
        <v>0.316</v>
      </c>
      <c r="P1002" s="6">
        <v>0</v>
      </c>
      <c r="Q1002" s="4" t="s">
        <v>26</v>
      </c>
      <c r="R1002" s="4">
        <v>0</v>
      </c>
      <c r="S1002" s="4" t="s">
        <v>264</v>
      </c>
      <c r="T1002" s="4" t="s">
        <v>534</v>
      </c>
      <c r="U1002" s="4">
        <v>0</v>
      </c>
      <c r="V1002" s="4">
        <v>38</v>
      </c>
      <c r="W1002" s="4">
        <v>82</v>
      </c>
    </row>
    <row r="1003" spans="1:23" ht="11.25" customHeight="1" x14ac:dyDescent="0.25">
      <c r="A1003" s="4" t="s">
        <v>21</v>
      </c>
      <c r="B1003" s="4" t="s">
        <v>22</v>
      </c>
      <c r="C1003" s="4" t="s">
        <v>35</v>
      </c>
      <c r="D1003" s="4" t="s">
        <v>24</v>
      </c>
      <c r="E1003" s="4" t="s">
        <v>24</v>
      </c>
      <c r="F1003" s="4" t="s">
        <v>25</v>
      </c>
      <c r="G1003" s="4" t="s">
        <v>25</v>
      </c>
      <c r="H1003" s="4" t="s">
        <v>37</v>
      </c>
      <c r="I1003" s="5">
        <v>44713</v>
      </c>
      <c r="J1003" s="6">
        <v>0</v>
      </c>
      <c r="K1003" s="6">
        <v>0</v>
      </c>
      <c r="L1003" s="6">
        <v>36.055</v>
      </c>
      <c r="M1003" s="6">
        <v>36.055</v>
      </c>
      <c r="N1003" s="6">
        <v>36.055</v>
      </c>
      <c r="O1003" s="6">
        <v>36.055</v>
      </c>
      <c r="P1003" s="6">
        <v>0</v>
      </c>
      <c r="Q1003" s="4" t="s">
        <v>26</v>
      </c>
      <c r="R1003" s="4">
        <v>0</v>
      </c>
      <c r="S1003" s="4" t="s">
        <v>265</v>
      </c>
      <c r="T1003" s="4" t="s">
        <v>535</v>
      </c>
      <c r="U1003" s="4">
        <v>0</v>
      </c>
      <c r="V1003" s="4">
        <v>38</v>
      </c>
      <c r="W1003" s="4">
        <v>82</v>
      </c>
    </row>
    <row r="1004" spans="1:23" ht="11.25" customHeight="1" x14ac:dyDescent="0.25">
      <c r="A1004" s="4" t="s">
        <v>27</v>
      </c>
      <c r="B1004" s="4" t="s">
        <v>22</v>
      </c>
      <c r="C1004" s="4" t="s">
        <v>35</v>
      </c>
      <c r="D1004" s="4" t="s">
        <v>24</v>
      </c>
      <c r="E1004" s="4" t="s">
        <v>24</v>
      </c>
      <c r="F1004" s="4" t="s">
        <v>25</v>
      </c>
      <c r="G1004" s="4" t="s">
        <v>25</v>
      </c>
      <c r="H1004" s="4" t="s">
        <v>37</v>
      </c>
      <c r="I1004" s="5">
        <v>44713</v>
      </c>
      <c r="J1004" s="6">
        <v>0</v>
      </c>
      <c r="K1004" s="6">
        <v>0</v>
      </c>
      <c r="L1004" s="6">
        <v>-7.0999999999999994E-2</v>
      </c>
      <c r="M1004" s="6">
        <v>-7.0999999999999994E-2</v>
      </c>
      <c r="N1004" s="6">
        <v>-7.0999999999999994E-2</v>
      </c>
      <c r="O1004" s="6">
        <v>-7.0999999999999994E-2</v>
      </c>
      <c r="P1004" s="6">
        <v>0</v>
      </c>
      <c r="Q1004" s="4" t="s">
        <v>26</v>
      </c>
      <c r="R1004" s="4">
        <v>0</v>
      </c>
      <c r="S1004" s="4" t="s">
        <v>265</v>
      </c>
      <c r="T1004" s="4" t="s">
        <v>535</v>
      </c>
      <c r="U1004" s="4">
        <v>0</v>
      </c>
      <c r="V1004" s="4">
        <v>38</v>
      </c>
      <c r="W1004" s="4">
        <v>82</v>
      </c>
    </row>
    <row r="1005" spans="1:23" ht="11.25" customHeight="1" x14ac:dyDescent="0.25">
      <c r="A1005" s="4" t="s">
        <v>28</v>
      </c>
      <c r="B1005" s="4" t="s">
        <v>22</v>
      </c>
      <c r="C1005" s="4" t="s">
        <v>35</v>
      </c>
      <c r="D1005" s="4" t="s">
        <v>24</v>
      </c>
      <c r="E1005" s="4" t="s">
        <v>24</v>
      </c>
      <c r="F1005" s="4" t="s">
        <v>25</v>
      </c>
      <c r="G1005" s="4" t="s">
        <v>25</v>
      </c>
      <c r="H1005" s="4" t="s">
        <v>37</v>
      </c>
      <c r="I1005" s="5">
        <v>44713</v>
      </c>
      <c r="J1005" s="6">
        <v>0</v>
      </c>
      <c r="K1005" s="6">
        <v>0</v>
      </c>
      <c r="L1005" s="6">
        <v>0.94399999999999995</v>
      </c>
      <c r="M1005" s="6">
        <v>0.94399999999999995</v>
      </c>
      <c r="N1005" s="6">
        <v>0.94399999999999995</v>
      </c>
      <c r="O1005" s="6">
        <v>0.94399999999999995</v>
      </c>
      <c r="P1005" s="6">
        <v>0</v>
      </c>
      <c r="Q1005" s="4" t="s">
        <v>26</v>
      </c>
      <c r="R1005" s="4">
        <v>0</v>
      </c>
      <c r="S1005" s="4" t="s">
        <v>265</v>
      </c>
      <c r="T1005" s="4" t="s">
        <v>535</v>
      </c>
      <c r="U1005" s="4">
        <v>0</v>
      </c>
      <c r="V1005" s="4">
        <v>38</v>
      </c>
      <c r="W1005" s="4">
        <v>82</v>
      </c>
    </row>
    <row r="1006" spans="1:23" ht="11.25" customHeight="1" x14ac:dyDescent="0.25">
      <c r="A1006" s="4" t="s">
        <v>21</v>
      </c>
      <c r="B1006" s="4" t="s">
        <v>22</v>
      </c>
      <c r="C1006" s="4" t="s">
        <v>35</v>
      </c>
      <c r="D1006" s="4" t="s">
        <v>24</v>
      </c>
      <c r="E1006" s="4" t="s">
        <v>24</v>
      </c>
      <c r="F1006" s="4" t="s">
        <v>25</v>
      </c>
      <c r="G1006" s="4" t="s">
        <v>25</v>
      </c>
      <c r="H1006" s="4" t="s">
        <v>37</v>
      </c>
      <c r="I1006" s="5">
        <v>44743</v>
      </c>
      <c r="J1006" s="6">
        <v>0</v>
      </c>
      <c r="K1006" s="6">
        <v>0</v>
      </c>
      <c r="L1006" s="6">
        <v>39.475000000000001</v>
      </c>
      <c r="M1006" s="6">
        <v>39.475000000000001</v>
      </c>
      <c r="N1006" s="6">
        <v>39.475000000000001</v>
      </c>
      <c r="O1006" s="6">
        <v>39.475000000000001</v>
      </c>
      <c r="P1006" s="6">
        <v>0</v>
      </c>
      <c r="Q1006" s="4" t="s">
        <v>26</v>
      </c>
      <c r="R1006" s="4">
        <v>0</v>
      </c>
      <c r="S1006" s="4" t="s">
        <v>266</v>
      </c>
      <c r="T1006" s="4" t="s">
        <v>536</v>
      </c>
      <c r="U1006" s="4">
        <v>0</v>
      </c>
      <c r="V1006" s="4">
        <v>38</v>
      </c>
      <c r="W1006" s="4">
        <v>82</v>
      </c>
    </row>
    <row r="1007" spans="1:23" ht="11.25" customHeight="1" x14ac:dyDescent="0.25">
      <c r="A1007" s="4" t="s">
        <v>28</v>
      </c>
      <c r="B1007" s="4" t="s">
        <v>22</v>
      </c>
      <c r="C1007" s="4" t="s">
        <v>35</v>
      </c>
      <c r="D1007" s="4" t="s">
        <v>24</v>
      </c>
      <c r="E1007" s="4" t="s">
        <v>24</v>
      </c>
      <c r="F1007" s="4" t="s">
        <v>25</v>
      </c>
      <c r="G1007" s="4" t="s">
        <v>25</v>
      </c>
      <c r="H1007" s="4" t="s">
        <v>37</v>
      </c>
      <c r="I1007" s="5">
        <v>44743</v>
      </c>
      <c r="J1007" s="6">
        <v>0</v>
      </c>
      <c r="K1007" s="6">
        <v>0</v>
      </c>
      <c r="L1007" s="6">
        <v>1.0509999999999999</v>
      </c>
      <c r="M1007" s="6">
        <v>1.0509999999999999</v>
      </c>
      <c r="N1007" s="6">
        <v>1.0509999999999999</v>
      </c>
      <c r="O1007" s="6">
        <v>1.0509999999999999</v>
      </c>
      <c r="P1007" s="6">
        <v>0</v>
      </c>
      <c r="Q1007" s="4" t="s">
        <v>26</v>
      </c>
      <c r="R1007" s="4">
        <v>0</v>
      </c>
      <c r="S1007" s="4" t="s">
        <v>266</v>
      </c>
      <c r="T1007" s="4" t="s">
        <v>536</v>
      </c>
      <c r="U1007" s="4">
        <v>0</v>
      </c>
      <c r="V1007" s="4">
        <v>38</v>
      </c>
      <c r="W1007" s="4">
        <v>82</v>
      </c>
    </row>
    <row r="1008" spans="1:23" ht="11.25" customHeight="1" x14ac:dyDescent="0.25">
      <c r="A1008" s="4" t="s">
        <v>30</v>
      </c>
      <c r="B1008" s="4" t="s">
        <v>22</v>
      </c>
      <c r="C1008" s="4" t="s">
        <v>35</v>
      </c>
      <c r="D1008" s="4" t="s">
        <v>24</v>
      </c>
      <c r="E1008" s="4" t="s">
        <v>24</v>
      </c>
      <c r="F1008" s="4" t="s">
        <v>25</v>
      </c>
      <c r="G1008" s="4" t="s">
        <v>25</v>
      </c>
      <c r="H1008" s="4" t="s">
        <v>37</v>
      </c>
      <c r="I1008" s="5">
        <v>44743</v>
      </c>
      <c r="J1008" s="6">
        <v>0</v>
      </c>
      <c r="K1008" s="6">
        <v>0</v>
      </c>
      <c r="L1008" s="6">
        <v>0.63</v>
      </c>
      <c r="M1008" s="6">
        <v>0.63</v>
      </c>
      <c r="N1008" s="6">
        <v>0.63</v>
      </c>
      <c r="O1008" s="6">
        <v>0.63</v>
      </c>
      <c r="P1008" s="6">
        <v>0</v>
      </c>
      <c r="Q1008" s="4" t="s">
        <v>26</v>
      </c>
      <c r="R1008" s="4">
        <v>0</v>
      </c>
      <c r="S1008" s="4" t="s">
        <v>266</v>
      </c>
      <c r="T1008" s="4" t="s">
        <v>536</v>
      </c>
      <c r="U1008" s="4">
        <v>0</v>
      </c>
      <c r="V1008" s="4">
        <v>38</v>
      </c>
      <c r="W1008" s="4">
        <v>82</v>
      </c>
    </row>
    <row r="1009" spans="1:23" ht="11.25" customHeight="1" x14ac:dyDescent="0.25">
      <c r="A1009" s="4" t="s">
        <v>21</v>
      </c>
      <c r="B1009" s="4" t="s">
        <v>22</v>
      </c>
      <c r="C1009" s="4" t="s">
        <v>35</v>
      </c>
      <c r="D1009" s="4" t="s">
        <v>24</v>
      </c>
      <c r="E1009" s="4" t="s">
        <v>24</v>
      </c>
      <c r="F1009" s="4" t="s">
        <v>25</v>
      </c>
      <c r="G1009" s="4" t="s">
        <v>25</v>
      </c>
      <c r="H1009" s="4" t="s">
        <v>37</v>
      </c>
      <c r="I1009" s="5">
        <v>44774</v>
      </c>
      <c r="J1009" s="6">
        <v>0</v>
      </c>
      <c r="K1009" s="6">
        <v>0</v>
      </c>
      <c r="L1009" s="6">
        <v>45.003</v>
      </c>
      <c r="M1009" s="6">
        <v>45.003</v>
      </c>
      <c r="N1009" s="6">
        <v>45.003</v>
      </c>
      <c r="O1009" s="6">
        <v>45.003</v>
      </c>
      <c r="P1009" s="6">
        <v>0</v>
      </c>
      <c r="Q1009" s="4" t="s">
        <v>26</v>
      </c>
      <c r="R1009" s="4">
        <v>0</v>
      </c>
      <c r="S1009" s="4" t="s">
        <v>267</v>
      </c>
      <c r="T1009" s="4" t="s">
        <v>537</v>
      </c>
      <c r="U1009" s="4">
        <v>0</v>
      </c>
      <c r="V1009" s="4">
        <v>38</v>
      </c>
      <c r="W1009" s="4">
        <v>82</v>
      </c>
    </row>
    <row r="1010" spans="1:23" ht="11.25" customHeight="1" x14ac:dyDescent="0.25">
      <c r="A1010" s="4" t="s">
        <v>27</v>
      </c>
      <c r="B1010" s="4" t="s">
        <v>22</v>
      </c>
      <c r="C1010" s="4" t="s">
        <v>35</v>
      </c>
      <c r="D1010" s="4" t="s">
        <v>24</v>
      </c>
      <c r="E1010" s="4" t="s">
        <v>24</v>
      </c>
      <c r="F1010" s="4" t="s">
        <v>25</v>
      </c>
      <c r="G1010" s="4" t="s">
        <v>25</v>
      </c>
      <c r="H1010" s="4" t="s">
        <v>37</v>
      </c>
      <c r="I1010" s="5">
        <v>44774</v>
      </c>
      <c r="J1010" s="6">
        <v>0</v>
      </c>
      <c r="K1010" s="6">
        <v>0</v>
      </c>
      <c r="L1010" s="6">
        <v>0.23599999999999999</v>
      </c>
      <c r="M1010" s="6">
        <v>0.23599999999999999</v>
      </c>
      <c r="N1010" s="6">
        <v>0.23599999999999999</v>
      </c>
      <c r="O1010" s="6">
        <v>0.23599999999999999</v>
      </c>
      <c r="P1010" s="6">
        <v>0</v>
      </c>
      <c r="Q1010" s="4" t="s">
        <v>26</v>
      </c>
      <c r="R1010" s="4">
        <v>0</v>
      </c>
      <c r="S1010" s="4" t="s">
        <v>267</v>
      </c>
      <c r="T1010" s="4" t="s">
        <v>537</v>
      </c>
      <c r="U1010" s="4">
        <v>0</v>
      </c>
      <c r="V1010" s="4">
        <v>38</v>
      </c>
      <c r="W1010" s="4">
        <v>82</v>
      </c>
    </row>
    <row r="1011" spans="1:23" ht="11.25" customHeight="1" x14ac:dyDescent="0.25">
      <c r="A1011" s="4" t="s">
        <v>28</v>
      </c>
      <c r="B1011" s="4" t="s">
        <v>22</v>
      </c>
      <c r="C1011" s="4" t="s">
        <v>35</v>
      </c>
      <c r="D1011" s="4" t="s">
        <v>24</v>
      </c>
      <c r="E1011" s="4" t="s">
        <v>24</v>
      </c>
      <c r="F1011" s="4" t="s">
        <v>25</v>
      </c>
      <c r="G1011" s="4" t="s">
        <v>25</v>
      </c>
      <c r="H1011" s="4" t="s">
        <v>37</v>
      </c>
      <c r="I1011" s="5">
        <v>44774</v>
      </c>
      <c r="J1011" s="6">
        <v>0</v>
      </c>
      <c r="K1011" s="6">
        <v>0</v>
      </c>
      <c r="L1011" s="6">
        <v>1.0660000000000001</v>
      </c>
      <c r="M1011" s="6">
        <v>1.0660000000000001</v>
      </c>
      <c r="N1011" s="6">
        <v>1.0660000000000001</v>
      </c>
      <c r="O1011" s="6">
        <v>1.0660000000000001</v>
      </c>
      <c r="P1011" s="6">
        <v>0</v>
      </c>
      <c r="Q1011" s="4" t="s">
        <v>26</v>
      </c>
      <c r="R1011" s="4">
        <v>0</v>
      </c>
      <c r="S1011" s="4" t="s">
        <v>267</v>
      </c>
      <c r="T1011" s="4" t="s">
        <v>537</v>
      </c>
      <c r="U1011" s="4">
        <v>0</v>
      </c>
      <c r="V1011" s="4">
        <v>38</v>
      </c>
      <c r="W1011" s="4">
        <v>82</v>
      </c>
    </row>
    <row r="1012" spans="1:23" ht="11.25" customHeight="1" x14ac:dyDescent="0.25">
      <c r="A1012" s="4" t="s">
        <v>30</v>
      </c>
      <c r="B1012" s="4" t="s">
        <v>22</v>
      </c>
      <c r="C1012" s="4" t="s">
        <v>35</v>
      </c>
      <c r="D1012" s="4" t="s">
        <v>24</v>
      </c>
      <c r="E1012" s="4" t="s">
        <v>24</v>
      </c>
      <c r="F1012" s="4" t="s">
        <v>25</v>
      </c>
      <c r="G1012" s="4" t="s">
        <v>25</v>
      </c>
      <c r="H1012" s="4" t="s">
        <v>37</v>
      </c>
      <c r="I1012" s="5">
        <v>44774</v>
      </c>
      <c r="J1012" s="6">
        <v>0</v>
      </c>
      <c r="K1012" s="6">
        <v>0</v>
      </c>
      <c r="L1012" s="6">
        <v>0.183</v>
      </c>
      <c r="M1012" s="6">
        <v>0.183</v>
      </c>
      <c r="N1012" s="6">
        <v>0.183</v>
      </c>
      <c r="O1012" s="6">
        <v>0.183</v>
      </c>
      <c r="P1012" s="6">
        <v>0</v>
      </c>
      <c r="Q1012" s="4" t="s">
        <v>26</v>
      </c>
      <c r="R1012" s="4">
        <v>0</v>
      </c>
      <c r="S1012" s="4" t="s">
        <v>267</v>
      </c>
      <c r="T1012" s="4" t="s">
        <v>537</v>
      </c>
      <c r="U1012" s="4">
        <v>0</v>
      </c>
      <c r="V1012" s="4">
        <v>38</v>
      </c>
      <c r="W1012" s="4">
        <v>82</v>
      </c>
    </row>
    <row r="1013" spans="1:23" ht="11.25" customHeight="1" x14ac:dyDescent="0.25">
      <c r="A1013" s="4" t="s">
        <v>21</v>
      </c>
      <c r="B1013" s="4" t="s">
        <v>22</v>
      </c>
      <c r="C1013" s="4" t="s">
        <v>35</v>
      </c>
      <c r="D1013" s="4" t="s">
        <v>24</v>
      </c>
      <c r="E1013" s="4" t="s">
        <v>24</v>
      </c>
      <c r="F1013" s="4" t="s">
        <v>25</v>
      </c>
      <c r="G1013" s="4" t="s">
        <v>25</v>
      </c>
      <c r="H1013" s="4" t="s">
        <v>37</v>
      </c>
      <c r="I1013" s="5">
        <v>44805</v>
      </c>
      <c r="J1013" s="6">
        <v>0</v>
      </c>
      <c r="K1013" s="6">
        <v>0</v>
      </c>
      <c r="L1013" s="6">
        <v>43.962000000000003</v>
      </c>
      <c r="M1013" s="6">
        <v>43.962000000000003</v>
      </c>
      <c r="N1013" s="6">
        <v>43.962000000000003</v>
      </c>
      <c r="O1013" s="6">
        <v>43.962000000000003</v>
      </c>
      <c r="P1013" s="6">
        <v>0</v>
      </c>
      <c r="Q1013" s="4" t="s">
        <v>26</v>
      </c>
      <c r="R1013" s="4">
        <v>0</v>
      </c>
      <c r="S1013" s="4" t="s">
        <v>268</v>
      </c>
      <c r="T1013" s="4" t="s">
        <v>538</v>
      </c>
      <c r="U1013" s="4">
        <v>0</v>
      </c>
      <c r="V1013" s="4">
        <v>38</v>
      </c>
      <c r="W1013" s="4">
        <v>82</v>
      </c>
    </row>
    <row r="1014" spans="1:23" ht="11.25" customHeight="1" x14ac:dyDescent="0.25">
      <c r="A1014" s="4" t="s">
        <v>27</v>
      </c>
      <c r="B1014" s="4" t="s">
        <v>22</v>
      </c>
      <c r="C1014" s="4" t="s">
        <v>35</v>
      </c>
      <c r="D1014" s="4" t="s">
        <v>24</v>
      </c>
      <c r="E1014" s="4" t="s">
        <v>24</v>
      </c>
      <c r="F1014" s="4" t="s">
        <v>25</v>
      </c>
      <c r="G1014" s="4" t="s">
        <v>25</v>
      </c>
      <c r="H1014" s="4" t="s">
        <v>37</v>
      </c>
      <c r="I1014" s="5">
        <v>44805</v>
      </c>
      <c r="J1014" s="6">
        <v>0</v>
      </c>
      <c r="K1014" s="6">
        <v>0</v>
      </c>
      <c r="L1014" s="6">
        <v>-1.2999999999999999E-2</v>
      </c>
      <c r="M1014" s="6">
        <v>-1.2999999999999999E-2</v>
      </c>
      <c r="N1014" s="6">
        <v>-1.2999999999999999E-2</v>
      </c>
      <c r="O1014" s="6">
        <v>-1.2999999999999999E-2</v>
      </c>
      <c r="P1014" s="6">
        <v>0</v>
      </c>
      <c r="Q1014" s="4" t="s">
        <v>26</v>
      </c>
      <c r="R1014" s="4">
        <v>0</v>
      </c>
      <c r="S1014" s="4" t="s">
        <v>268</v>
      </c>
      <c r="T1014" s="4" t="s">
        <v>538</v>
      </c>
      <c r="U1014" s="4">
        <v>0</v>
      </c>
      <c r="V1014" s="4">
        <v>38</v>
      </c>
      <c r="W1014" s="4">
        <v>82</v>
      </c>
    </row>
    <row r="1015" spans="1:23" ht="11.25" customHeight="1" x14ac:dyDescent="0.25">
      <c r="A1015" s="4" t="s">
        <v>28</v>
      </c>
      <c r="B1015" s="4" t="s">
        <v>22</v>
      </c>
      <c r="C1015" s="4" t="s">
        <v>35</v>
      </c>
      <c r="D1015" s="4" t="s">
        <v>24</v>
      </c>
      <c r="E1015" s="4" t="s">
        <v>24</v>
      </c>
      <c r="F1015" s="4" t="s">
        <v>25</v>
      </c>
      <c r="G1015" s="4" t="s">
        <v>25</v>
      </c>
      <c r="H1015" s="4" t="s">
        <v>37</v>
      </c>
      <c r="I1015" s="5">
        <v>44805</v>
      </c>
      <c r="J1015" s="6">
        <v>0</v>
      </c>
      <c r="K1015" s="6">
        <v>0</v>
      </c>
      <c r="L1015" s="6">
        <v>0.92800000000000005</v>
      </c>
      <c r="M1015" s="6">
        <v>0.92800000000000005</v>
      </c>
      <c r="N1015" s="6">
        <v>0.92800000000000005</v>
      </c>
      <c r="O1015" s="6">
        <v>0.92800000000000005</v>
      </c>
      <c r="P1015" s="6">
        <v>0</v>
      </c>
      <c r="Q1015" s="4" t="s">
        <v>26</v>
      </c>
      <c r="R1015" s="4">
        <v>0</v>
      </c>
      <c r="S1015" s="4" t="s">
        <v>268</v>
      </c>
      <c r="T1015" s="4" t="s">
        <v>538</v>
      </c>
      <c r="U1015" s="4">
        <v>0</v>
      </c>
      <c r="V1015" s="4">
        <v>38</v>
      </c>
      <c r="W1015" s="4">
        <v>82</v>
      </c>
    </row>
    <row r="1016" spans="1:23" ht="11.25" customHeight="1" x14ac:dyDescent="0.25">
      <c r="A1016" s="4" t="s">
        <v>30</v>
      </c>
      <c r="B1016" s="4" t="s">
        <v>22</v>
      </c>
      <c r="C1016" s="4" t="s">
        <v>35</v>
      </c>
      <c r="D1016" s="4" t="s">
        <v>24</v>
      </c>
      <c r="E1016" s="4" t="s">
        <v>24</v>
      </c>
      <c r="F1016" s="4" t="s">
        <v>25</v>
      </c>
      <c r="G1016" s="4" t="s">
        <v>25</v>
      </c>
      <c r="H1016" s="4" t="s">
        <v>37</v>
      </c>
      <c r="I1016" s="5">
        <v>44805</v>
      </c>
      <c r="J1016" s="6">
        <v>0</v>
      </c>
      <c r="K1016" s="6">
        <v>0</v>
      </c>
      <c r="L1016" s="6">
        <v>0.183</v>
      </c>
      <c r="M1016" s="6">
        <v>0.183</v>
      </c>
      <c r="N1016" s="6">
        <v>0.183</v>
      </c>
      <c r="O1016" s="6">
        <v>0.183</v>
      </c>
      <c r="P1016" s="6">
        <v>0</v>
      </c>
      <c r="Q1016" s="4" t="s">
        <v>26</v>
      </c>
      <c r="R1016" s="4">
        <v>0</v>
      </c>
      <c r="S1016" s="4" t="s">
        <v>268</v>
      </c>
      <c r="T1016" s="4" t="s">
        <v>538</v>
      </c>
      <c r="U1016" s="4">
        <v>0</v>
      </c>
      <c r="V1016" s="4">
        <v>38</v>
      </c>
      <c r="W1016" s="4">
        <v>82</v>
      </c>
    </row>
    <row r="1017" spans="1:23" ht="11.25" customHeight="1" x14ac:dyDescent="0.25">
      <c r="A1017" s="4" t="s">
        <v>21</v>
      </c>
      <c r="B1017" s="4" t="s">
        <v>22</v>
      </c>
      <c r="C1017" s="4" t="s">
        <v>35</v>
      </c>
      <c r="D1017" s="4" t="s">
        <v>24</v>
      </c>
      <c r="E1017" s="4" t="s">
        <v>24</v>
      </c>
      <c r="F1017" s="4" t="s">
        <v>25</v>
      </c>
      <c r="G1017" s="4" t="s">
        <v>25</v>
      </c>
      <c r="H1017" s="4" t="s">
        <v>37</v>
      </c>
      <c r="I1017" s="5">
        <v>44835</v>
      </c>
      <c r="J1017" s="6">
        <v>0</v>
      </c>
      <c r="K1017" s="6">
        <v>0</v>
      </c>
      <c r="L1017" s="6">
        <v>48.735999999999997</v>
      </c>
      <c r="M1017" s="6">
        <v>48.735999999999997</v>
      </c>
      <c r="N1017" s="6">
        <v>48.735999999999997</v>
      </c>
      <c r="O1017" s="6">
        <v>48.735999999999997</v>
      </c>
      <c r="P1017" s="6">
        <v>0</v>
      </c>
      <c r="Q1017" s="4" t="s">
        <v>26</v>
      </c>
      <c r="R1017" s="4">
        <v>0</v>
      </c>
      <c r="S1017" s="4" t="s">
        <v>269</v>
      </c>
      <c r="T1017" s="4" t="s">
        <v>539</v>
      </c>
      <c r="U1017" s="4">
        <v>0</v>
      </c>
      <c r="V1017" s="4">
        <v>38</v>
      </c>
      <c r="W1017" s="4">
        <v>82</v>
      </c>
    </row>
    <row r="1018" spans="1:23" ht="11.25" customHeight="1" x14ac:dyDescent="0.25">
      <c r="A1018" s="4" t="s">
        <v>28</v>
      </c>
      <c r="B1018" s="4" t="s">
        <v>22</v>
      </c>
      <c r="C1018" s="4" t="s">
        <v>35</v>
      </c>
      <c r="D1018" s="4" t="s">
        <v>24</v>
      </c>
      <c r="E1018" s="4" t="s">
        <v>24</v>
      </c>
      <c r="F1018" s="4" t="s">
        <v>25</v>
      </c>
      <c r="G1018" s="4" t="s">
        <v>25</v>
      </c>
      <c r="H1018" s="4" t="s">
        <v>37</v>
      </c>
      <c r="I1018" s="5">
        <v>44835</v>
      </c>
      <c r="J1018" s="6">
        <v>0</v>
      </c>
      <c r="K1018" s="6">
        <v>0</v>
      </c>
      <c r="L1018" s="6">
        <v>1.05</v>
      </c>
      <c r="M1018" s="6">
        <v>1.05</v>
      </c>
      <c r="N1018" s="6">
        <v>1.05</v>
      </c>
      <c r="O1018" s="6">
        <v>1.05</v>
      </c>
      <c r="P1018" s="6">
        <v>0</v>
      </c>
      <c r="Q1018" s="4" t="s">
        <v>26</v>
      </c>
      <c r="R1018" s="4">
        <v>0</v>
      </c>
      <c r="S1018" s="4" t="s">
        <v>269</v>
      </c>
      <c r="T1018" s="4" t="s">
        <v>539</v>
      </c>
      <c r="U1018" s="4">
        <v>0</v>
      </c>
      <c r="V1018" s="4">
        <v>38</v>
      </c>
      <c r="W1018" s="4">
        <v>82</v>
      </c>
    </row>
    <row r="1019" spans="1:23" ht="11.25" customHeight="1" x14ac:dyDescent="0.25">
      <c r="A1019" s="4" t="s">
        <v>30</v>
      </c>
      <c r="B1019" s="4" t="s">
        <v>22</v>
      </c>
      <c r="C1019" s="4" t="s">
        <v>35</v>
      </c>
      <c r="D1019" s="4" t="s">
        <v>24</v>
      </c>
      <c r="E1019" s="4" t="s">
        <v>24</v>
      </c>
      <c r="F1019" s="4" t="s">
        <v>25</v>
      </c>
      <c r="G1019" s="4" t="s">
        <v>25</v>
      </c>
      <c r="H1019" s="4" t="s">
        <v>37</v>
      </c>
      <c r="I1019" s="5">
        <v>44835</v>
      </c>
      <c r="J1019" s="6">
        <v>0</v>
      </c>
      <c r="K1019" s="6">
        <v>0</v>
      </c>
      <c r="L1019" s="6">
        <v>0.44</v>
      </c>
      <c r="M1019" s="6">
        <v>0.44</v>
      </c>
      <c r="N1019" s="6">
        <v>0.44</v>
      </c>
      <c r="O1019" s="6">
        <v>0.44</v>
      </c>
      <c r="P1019" s="6">
        <v>0</v>
      </c>
      <c r="Q1019" s="4" t="s">
        <v>26</v>
      </c>
      <c r="R1019" s="4">
        <v>0</v>
      </c>
      <c r="S1019" s="4" t="s">
        <v>269</v>
      </c>
      <c r="T1019" s="4" t="s">
        <v>539</v>
      </c>
      <c r="U1019" s="4">
        <v>0</v>
      </c>
      <c r="V1019" s="4">
        <v>38</v>
      </c>
      <c r="W1019" s="4">
        <v>82</v>
      </c>
    </row>
    <row r="1020" spans="1:23" ht="11.25" customHeight="1" x14ac:dyDescent="0.25">
      <c r="A1020" s="4" t="s">
        <v>30</v>
      </c>
      <c r="B1020" s="4" t="s">
        <v>22</v>
      </c>
      <c r="C1020" s="4" t="s">
        <v>35</v>
      </c>
      <c r="D1020" s="4" t="s">
        <v>24</v>
      </c>
      <c r="E1020" s="4" t="s">
        <v>24</v>
      </c>
      <c r="F1020" s="4" t="s">
        <v>25</v>
      </c>
      <c r="G1020" s="4" t="s">
        <v>25</v>
      </c>
      <c r="H1020" s="4" t="s">
        <v>37</v>
      </c>
      <c r="I1020" s="5">
        <v>44835</v>
      </c>
      <c r="J1020" s="6">
        <v>0</v>
      </c>
      <c r="K1020" s="6">
        <v>0</v>
      </c>
      <c r="L1020" s="6">
        <v>-0.183</v>
      </c>
      <c r="M1020" s="6">
        <v>-0.183</v>
      </c>
      <c r="N1020" s="6">
        <v>-0.183</v>
      </c>
      <c r="O1020" s="6">
        <v>-0.183</v>
      </c>
      <c r="P1020" s="6">
        <v>0</v>
      </c>
      <c r="Q1020" s="4" t="s">
        <v>26</v>
      </c>
      <c r="R1020" s="4">
        <v>0</v>
      </c>
      <c r="S1020" s="4" t="s">
        <v>269</v>
      </c>
      <c r="T1020" s="4" t="s">
        <v>539</v>
      </c>
      <c r="U1020" s="4">
        <v>0</v>
      </c>
      <c r="V1020" s="4">
        <v>38</v>
      </c>
      <c r="W1020" s="4">
        <v>82</v>
      </c>
    </row>
    <row r="1021" spans="1:23" ht="11.25" customHeight="1" x14ac:dyDescent="0.25">
      <c r="A1021" s="4" t="s">
        <v>59</v>
      </c>
      <c r="B1021" s="4" t="s">
        <v>22</v>
      </c>
      <c r="C1021" s="4" t="s">
        <v>35</v>
      </c>
      <c r="D1021" s="4" t="s">
        <v>24</v>
      </c>
      <c r="E1021" s="4" t="s">
        <v>24</v>
      </c>
      <c r="F1021" s="4" t="s">
        <v>25</v>
      </c>
      <c r="G1021" s="4" t="s">
        <v>25</v>
      </c>
      <c r="H1021" s="4" t="s">
        <v>37</v>
      </c>
      <c r="I1021" s="5">
        <v>44866</v>
      </c>
      <c r="J1021" s="6">
        <v>0</v>
      </c>
      <c r="K1021" s="6">
        <v>0</v>
      </c>
      <c r="L1021" s="6">
        <v>48.735999999999997</v>
      </c>
      <c r="M1021" s="6">
        <v>48.735999999999997</v>
      </c>
      <c r="N1021" s="6">
        <v>48.735999999999997</v>
      </c>
      <c r="O1021" s="6">
        <v>48.735999999999997</v>
      </c>
      <c r="P1021" s="6">
        <v>0</v>
      </c>
      <c r="Q1021" s="4" t="s">
        <v>26</v>
      </c>
      <c r="R1021" s="4">
        <v>0</v>
      </c>
      <c r="S1021" s="4" t="s">
        <v>270</v>
      </c>
      <c r="T1021" s="4" t="s">
        <v>540</v>
      </c>
      <c r="U1021" s="4">
        <v>0</v>
      </c>
      <c r="V1021" s="4">
        <v>38</v>
      </c>
      <c r="W1021" s="4">
        <v>82</v>
      </c>
    </row>
    <row r="1022" spans="1:23" ht="11.25" customHeight="1" x14ac:dyDescent="0.25">
      <c r="A1022" s="4" t="s">
        <v>59</v>
      </c>
      <c r="B1022" s="4" t="s">
        <v>22</v>
      </c>
      <c r="C1022" s="4" t="s">
        <v>35</v>
      </c>
      <c r="D1022" s="4" t="s">
        <v>24</v>
      </c>
      <c r="E1022" s="4" t="s">
        <v>24</v>
      </c>
      <c r="F1022" s="4" t="s">
        <v>25</v>
      </c>
      <c r="G1022" s="4" t="s">
        <v>25</v>
      </c>
      <c r="H1022" s="4" t="s">
        <v>37</v>
      </c>
      <c r="I1022" s="5">
        <v>44866</v>
      </c>
      <c r="J1022" s="6">
        <v>0</v>
      </c>
      <c r="K1022" s="6">
        <v>0</v>
      </c>
      <c r="L1022" s="6">
        <v>1.05</v>
      </c>
      <c r="M1022" s="6">
        <v>1.05</v>
      </c>
      <c r="N1022" s="6">
        <v>1.05</v>
      </c>
      <c r="O1022" s="6">
        <v>1.05</v>
      </c>
      <c r="P1022" s="6">
        <v>0</v>
      </c>
      <c r="Q1022" s="4" t="s">
        <v>26</v>
      </c>
      <c r="R1022" s="4">
        <v>0</v>
      </c>
      <c r="S1022" s="4" t="s">
        <v>270</v>
      </c>
      <c r="T1022" s="4" t="s">
        <v>540</v>
      </c>
      <c r="U1022" s="4">
        <v>0</v>
      </c>
      <c r="V1022" s="4">
        <v>38</v>
      </c>
      <c r="W1022" s="4">
        <v>82</v>
      </c>
    </row>
    <row r="1023" spans="1:23" ht="11.25" customHeight="1" x14ac:dyDescent="0.25">
      <c r="A1023" s="4" t="s">
        <v>59</v>
      </c>
      <c r="B1023" s="4" t="s">
        <v>22</v>
      </c>
      <c r="C1023" s="4" t="s">
        <v>35</v>
      </c>
      <c r="D1023" s="4" t="s">
        <v>24</v>
      </c>
      <c r="E1023" s="4" t="s">
        <v>24</v>
      </c>
      <c r="F1023" s="4" t="s">
        <v>25</v>
      </c>
      <c r="G1023" s="4" t="s">
        <v>25</v>
      </c>
      <c r="H1023" s="4" t="s">
        <v>37</v>
      </c>
      <c r="I1023" s="5">
        <v>44866</v>
      </c>
      <c r="J1023" s="6">
        <v>0</v>
      </c>
      <c r="K1023" s="6">
        <v>0</v>
      </c>
      <c r="L1023" s="6">
        <v>0.44</v>
      </c>
      <c r="M1023" s="6">
        <v>0.44</v>
      </c>
      <c r="N1023" s="6">
        <v>0.44</v>
      </c>
      <c r="O1023" s="6">
        <v>0.44</v>
      </c>
      <c r="P1023" s="6">
        <v>0</v>
      </c>
      <c r="Q1023" s="4" t="s">
        <v>26</v>
      </c>
      <c r="R1023" s="4">
        <v>0</v>
      </c>
      <c r="S1023" s="4" t="s">
        <v>270</v>
      </c>
      <c r="T1023" s="4" t="s">
        <v>540</v>
      </c>
      <c r="U1023" s="4">
        <v>0</v>
      </c>
      <c r="V1023" s="4">
        <v>38</v>
      </c>
      <c r="W1023" s="4">
        <v>82</v>
      </c>
    </row>
    <row r="1024" spans="1:23" ht="11.25" customHeight="1" x14ac:dyDescent="0.25">
      <c r="A1024" s="4" t="s">
        <v>59</v>
      </c>
      <c r="B1024" s="4" t="s">
        <v>22</v>
      </c>
      <c r="C1024" s="4" t="s">
        <v>35</v>
      </c>
      <c r="D1024" s="4" t="s">
        <v>24</v>
      </c>
      <c r="E1024" s="4" t="s">
        <v>24</v>
      </c>
      <c r="F1024" s="4" t="s">
        <v>25</v>
      </c>
      <c r="G1024" s="4" t="s">
        <v>25</v>
      </c>
      <c r="H1024" s="4" t="s">
        <v>37</v>
      </c>
      <c r="I1024" s="5">
        <v>44866</v>
      </c>
      <c r="J1024" s="6">
        <v>0</v>
      </c>
      <c r="K1024" s="6">
        <v>0</v>
      </c>
      <c r="L1024" s="6">
        <v>-0.183</v>
      </c>
      <c r="M1024" s="6">
        <v>-0.183</v>
      </c>
      <c r="N1024" s="6">
        <v>-0.183</v>
      </c>
      <c r="O1024" s="6">
        <v>-0.183</v>
      </c>
      <c r="P1024" s="6">
        <v>0</v>
      </c>
      <c r="Q1024" s="4" t="s">
        <v>26</v>
      </c>
      <c r="R1024" s="4">
        <v>0</v>
      </c>
      <c r="S1024" s="4" t="s">
        <v>270</v>
      </c>
      <c r="T1024" s="4" t="s">
        <v>540</v>
      </c>
      <c r="U1024" s="4">
        <v>0</v>
      </c>
      <c r="V1024" s="4">
        <v>38</v>
      </c>
      <c r="W1024" s="4">
        <v>82</v>
      </c>
    </row>
    <row r="1025" spans="1:23" ht="11.25" customHeight="1" x14ac:dyDescent="0.25">
      <c r="A1025" s="4" t="s">
        <v>21</v>
      </c>
      <c r="B1025" s="4" t="s">
        <v>22</v>
      </c>
      <c r="C1025" s="4" t="s">
        <v>35</v>
      </c>
      <c r="D1025" s="4" t="s">
        <v>24</v>
      </c>
      <c r="E1025" s="4" t="s">
        <v>24</v>
      </c>
      <c r="F1025" s="4" t="s">
        <v>25</v>
      </c>
      <c r="G1025" s="4" t="s">
        <v>25</v>
      </c>
      <c r="H1025" s="4" t="s">
        <v>38</v>
      </c>
      <c r="I1025" s="5">
        <v>44531</v>
      </c>
      <c r="J1025" s="6">
        <v>0</v>
      </c>
      <c r="K1025" s="6">
        <v>0</v>
      </c>
      <c r="L1025" s="6">
        <v>1.1459999999999999</v>
      </c>
      <c r="M1025" s="6">
        <v>1.1459999999999999</v>
      </c>
      <c r="N1025" s="6">
        <v>1.1459999999999999</v>
      </c>
      <c r="O1025" s="6">
        <v>1.1459999999999999</v>
      </c>
      <c r="P1025" s="6">
        <v>0</v>
      </c>
      <c r="Q1025" s="4" t="s">
        <v>26</v>
      </c>
      <c r="R1025" s="4">
        <v>0</v>
      </c>
      <c r="S1025" s="4" t="s">
        <v>271</v>
      </c>
      <c r="T1025" s="4" t="s">
        <v>541</v>
      </c>
      <c r="U1025" s="4">
        <v>0</v>
      </c>
      <c r="V1025" s="4">
        <v>37</v>
      </c>
      <c r="W1025" s="4">
        <v>81</v>
      </c>
    </row>
    <row r="1026" spans="1:23" ht="11.25" customHeight="1" x14ac:dyDescent="0.25">
      <c r="A1026" s="4" t="s">
        <v>28</v>
      </c>
      <c r="B1026" s="4" t="s">
        <v>22</v>
      </c>
      <c r="C1026" s="4" t="s">
        <v>35</v>
      </c>
      <c r="D1026" s="4" t="s">
        <v>24</v>
      </c>
      <c r="E1026" s="4" t="s">
        <v>24</v>
      </c>
      <c r="F1026" s="4" t="s">
        <v>25</v>
      </c>
      <c r="G1026" s="4" t="s">
        <v>25</v>
      </c>
      <c r="H1026" s="4" t="s">
        <v>38</v>
      </c>
      <c r="I1026" s="5">
        <v>44531</v>
      </c>
      <c r="J1026" s="6">
        <v>0</v>
      </c>
      <c r="K1026" s="6">
        <v>0</v>
      </c>
      <c r="L1026" s="6">
        <v>8.7999999999999995E-2</v>
      </c>
      <c r="M1026" s="6">
        <v>8.7999999999999995E-2</v>
      </c>
      <c r="N1026" s="6">
        <v>8.7999999999999995E-2</v>
      </c>
      <c r="O1026" s="6">
        <v>8.7999999999999995E-2</v>
      </c>
      <c r="P1026" s="6">
        <v>0</v>
      </c>
      <c r="Q1026" s="4" t="s">
        <v>26</v>
      </c>
      <c r="R1026" s="4">
        <v>0</v>
      </c>
      <c r="S1026" s="4" t="s">
        <v>271</v>
      </c>
      <c r="T1026" s="4" t="s">
        <v>541</v>
      </c>
      <c r="U1026" s="4">
        <v>0</v>
      </c>
      <c r="V1026" s="4">
        <v>37</v>
      </c>
      <c r="W1026" s="4">
        <v>81</v>
      </c>
    </row>
    <row r="1027" spans="1:23" ht="11.25" customHeight="1" x14ac:dyDescent="0.25">
      <c r="A1027" s="4" t="s">
        <v>30</v>
      </c>
      <c r="B1027" s="4" t="s">
        <v>22</v>
      </c>
      <c r="C1027" s="4" t="s">
        <v>35</v>
      </c>
      <c r="D1027" s="4" t="s">
        <v>24</v>
      </c>
      <c r="E1027" s="4" t="s">
        <v>24</v>
      </c>
      <c r="F1027" s="4" t="s">
        <v>25</v>
      </c>
      <c r="G1027" s="4" t="s">
        <v>25</v>
      </c>
      <c r="H1027" s="4" t="s">
        <v>38</v>
      </c>
      <c r="I1027" s="5">
        <v>44531</v>
      </c>
      <c r="J1027" s="6">
        <v>0</v>
      </c>
      <c r="K1027" s="6">
        <v>0</v>
      </c>
      <c r="L1027" s="6">
        <v>5.8000000000000003E-2</v>
      </c>
      <c r="M1027" s="6">
        <v>5.8000000000000003E-2</v>
      </c>
      <c r="N1027" s="6">
        <v>5.8000000000000003E-2</v>
      </c>
      <c r="O1027" s="6">
        <v>5.8000000000000003E-2</v>
      </c>
      <c r="P1027" s="6">
        <v>0</v>
      </c>
      <c r="Q1027" s="4" t="s">
        <v>26</v>
      </c>
      <c r="R1027" s="4">
        <v>0</v>
      </c>
      <c r="S1027" s="4" t="s">
        <v>271</v>
      </c>
      <c r="T1027" s="4" t="s">
        <v>541</v>
      </c>
      <c r="U1027" s="4">
        <v>0</v>
      </c>
      <c r="V1027" s="4">
        <v>37</v>
      </c>
      <c r="W1027" s="4">
        <v>81</v>
      </c>
    </row>
    <row r="1028" spans="1:23" ht="11.25" customHeight="1" x14ac:dyDescent="0.25">
      <c r="A1028" s="4" t="s">
        <v>30</v>
      </c>
      <c r="B1028" s="4" t="s">
        <v>22</v>
      </c>
      <c r="C1028" s="4" t="s">
        <v>35</v>
      </c>
      <c r="D1028" s="4" t="s">
        <v>24</v>
      </c>
      <c r="E1028" s="4" t="s">
        <v>24</v>
      </c>
      <c r="F1028" s="4" t="s">
        <v>25</v>
      </c>
      <c r="G1028" s="4" t="s">
        <v>25</v>
      </c>
      <c r="H1028" s="4" t="s">
        <v>38</v>
      </c>
      <c r="I1028" s="5">
        <v>44531</v>
      </c>
      <c r="J1028" s="6">
        <v>0</v>
      </c>
      <c r="K1028" s="6">
        <v>0</v>
      </c>
      <c r="L1028" s="6">
        <v>-2.5000000000000001E-2</v>
      </c>
      <c r="M1028" s="6">
        <v>-2.5000000000000001E-2</v>
      </c>
      <c r="N1028" s="6">
        <v>-2.5000000000000001E-2</v>
      </c>
      <c r="O1028" s="6">
        <v>-2.5000000000000001E-2</v>
      </c>
      <c r="P1028" s="6">
        <v>0</v>
      </c>
      <c r="Q1028" s="4" t="s">
        <v>26</v>
      </c>
      <c r="R1028" s="4">
        <v>0</v>
      </c>
      <c r="S1028" s="4" t="s">
        <v>271</v>
      </c>
      <c r="T1028" s="4" t="s">
        <v>541</v>
      </c>
      <c r="U1028" s="4">
        <v>0</v>
      </c>
      <c r="V1028" s="4">
        <v>37</v>
      </c>
      <c r="W1028" s="4">
        <v>81</v>
      </c>
    </row>
    <row r="1029" spans="1:23" ht="11.25" customHeight="1" x14ac:dyDescent="0.25">
      <c r="A1029" s="4" t="s">
        <v>21</v>
      </c>
      <c r="B1029" s="4" t="s">
        <v>22</v>
      </c>
      <c r="C1029" s="4" t="s">
        <v>35</v>
      </c>
      <c r="D1029" s="4" t="s">
        <v>24</v>
      </c>
      <c r="E1029" s="4" t="s">
        <v>24</v>
      </c>
      <c r="F1029" s="4" t="s">
        <v>25</v>
      </c>
      <c r="G1029" s="4" t="s">
        <v>25</v>
      </c>
      <c r="H1029" s="4" t="s">
        <v>38</v>
      </c>
      <c r="I1029" s="5">
        <v>44562</v>
      </c>
      <c r="J1029" s="6">
        <v>0</v>
      </c>
      <c r="K1029" s="6">
        <v>0</v>
      </c>
      <c r="L1029" s="6">
        <v>0.71799999999999997</v>
      </c>
      <c r="M1029" s="6">
        <v>0.71799999999999997</v>
      </c>
      <c r="N1029" s="6">
        <v>0.71799999999999997</v>
      </c>
      <c r="O1029" s="6">
        <v>0.71799999999999997</v>
      </c>
      <c r="P1029" s="6">
        <v>0</v>
      </c>
      <c r="Q1029" s="4" t="s">
        <v>26</v>
      </c>
      <c r="R1029" s="4">
        <v>0</v>
      </c>
      <c r="S1029" s="4" t="s">
        <v>272</v>
      </c>
      <c r="T1029" s="4" t="s">
        <v>542</v>
      </c>
      <c r="U1029" s="4">
        <v>0</v>
      </c>
      <c r="V1029" s="4">
        <v>37</v>
      </c>
      <c r="W1029" s="4">
        <v>81</v>
      </c>
    </row>
    <row r="1030" spans="1:23" ht="11.25" customHeight="1" x14ac:dyDescent="0.25">
      <c r="A1030" s="4" t="s">
        <v>28</v>
      </c>
      <c r="B1030" s="4" t="s">
        <v>22</v>
      </c>
      <c r="C1030" s="4" t="s">
        <v>35</v>
      </c>
      <c r="D1030" s="4" t="s">
        <v>24</v>
      </c>
      <c r="E1030" s="4" t="s">
        <v>24</v>
      </c>
      <c r="F1030" s="4" t="s">
        <v>25</v>
      </c>
      <c r="G1030" s="4" t="s">
        <v>25</v>
      </c>
      <c r="H1030" s="4" t="s">
        <v>38</v>
      </c>
      <c r="I1030" s="5">
        <v>44562</v>
      </c>
      <c r="J1030" s="6">
        <v>0</v>
      </c>
      <c r="K1030" s="6">
        <v>0</v>
      </c>
      <c r="L1030" s="6">
        <v>4.7E-2</v>
      </c>
      <c r="M1030" s="6">
        <v>4.7E-2</v>
      </c>
      <c r="N1030" s="6">
        <v>4.7E-2</v>
      </c>
      <c r="O1030" s="6">
        <v>4.7E-2</v>
      </c>
      <c r="P1030" s="6">
        <v>0</v>
      </c>
      <c r="Q1030" s="4" t="s">
        <v>26</v>
      </c>
      <c r="R1030" s="4">
        <v>0</v>
      </c>
      <c r="S1030" s="4" t="s">
        <v>272</v>
      </c>
      <c r="T1030" s="4" t="s">
        <v>542</v>
      </c>
      <c r="U1030" s="4">
        <v>0</v>
      </c>
      <c r="V1030" s="4">
        <v>37</v>
      </c>
      <c r="W1030" s="4">
        <v>81</v>
      </c>
    </row>
    <row r="1031" spans="1:23" ht="11.25" customHeight="1" x14ac:dyDescent="0.25">
      <c r="A1031" s="4" t="s">
        <v>30</v>
      </c>
      <c r="B1031" s="4" t="s">
        <v>22</v>
      </c>
      <c r="C1031" s="4" t="s">
        <v>35</v>
      </c>
      <c r="D1031" s="4" t="s">
        <v>24</v>
      </c>
      <c r="E1031" s="4" t="s">
        <v>24</v>
      </c>
      <c r="F1031" s="4" t="s">
        <v>25</v>
      </c>
      <c r="G1031" s="4" t="s">
        <v>25</v>
      </c>
      <c r="H1031" s="4" t="s">
        <v>38</v>
      </c>
      <c r="I1031" s="5">
        <v>44562</v>
      </c>
      <c r="J1031" s="6">
        <v>0</v>
      </c>
      <c r="K1031" s="6">
        <v>0</v>
      </c>
      <c r="L1031" s="6">
        <v>9.5000000000000001E-2</v>
      </c>
      <c r="M1031" s="6">
        <v>9.5000000000000001E-2</v>
      </c>
      <c r="N1031" s="6">
        <v>9.5000000000000001E-2</v>
      </c>
      <c r="O1031" s="6">
        <v>9.5000000000000001E-2</v>
      </c>
      <c r="P1031" s="6">
        <v>0</v>
      </c>
      <c r="Q1031" s="4" t="s">
        <v>26</v>
      </c>
      <c r="R1031" s="4">
        <v>0</v>
      </c>
      <c r="S1031" s="4" t="s">
        <v>272</v>
      </c>
      <c r="T1031" s="4" t="s">
        <v>542</v>
      </c>
      <c r="U1031" s="4">
        <v>0</v>
      </c>
      <c r="V1031" s="4">
        <v>37</v>
      </c>
      <c r="W1031" s="4">
        <v>81</v>
      </c>
    </row>
    <row r="1032" spans="1:23" ht="11.25" customHeight="1" x14ac:dyDescent="0.25">
      <c r="A1032" s="4" t="s">
        <v>21</v>
      </c>
      <c r="B1032" s="4" t="s">
        <v>22</v>
      </c>
      <c r="C1032" s="4" t="s">
        <v>35</v>
      </c>
      <c r="D1032" s="4" t="s">
        <v>24</v>
      </c>
      <c r="E1032" s="4" t="s">
        <v>24</v>
      </c>
      <c r="F1032" s="4" t="s">
        <v>25</v>
      </c>
      <c r="G1032" s="4" t="s">
        <v>25</v>
      </c>
      <c r="H1032" s="4" t="s">
        <v>38</v>
      </c>
      <c r="I1032" s="5">
        <v>44593</v>
      </c>
      <c r="J1032" s="6">
        <v>0</v>
      </c>
      <c r="K1032" s="6">
        <v>0</v>
      </c>
      <c r="L1032" s="6">
        <v>0.71</v>
      </c>
      <c r="M1032" s="6">
        <v>0.71</v>
      </c>
      <c r="N1032" s="6">
        <v>0.71</v>
      </c>
      <c r="O1032" s="6">
        <v>0.71</v>
      </c>
      <c r="P1032" s="6">
        <v>0</v>
      </c>
      <c r="Q1032" s="4" t="s">
        <v>26</v>
      </c>
      <c r="R1032" s="4">
        <v>0</v>
      </c>
      <c r="S1032" s="4" t="s">
        <v>273</v>
      </c>
      <c r="T1032" s="4" t="s">
        <v>543</v>
      </c>
      <c r="U1032" s="4">
        <v>0</v>
      </c>
      <c r="V1032" s="4">
        <v>37</v>
      </c>
      <c r="W1032" s="4">
        <v>81</v>
      </c>
    </row>
    <row r="1033" spans="1:23" ht="11.25" customHeight="1" x14ac:dyDescent="0.25">
      <c r="A1033" s="4" t="s">
        <v>27</v>
      </c>
      <c r="B1033" s="4" t="s">
        <v>22</v>
      </c>
      <c r="C1033" s="4" t="s">
        <v>35</v>
      </c>
      <c r="D1033" s="4" t="s">
        <v>24</v>
      </c>
      <c r="E1033" s="4" t="s">
        <v>24</v>
      </c>
      <c r="F1033" s="4" t="s">
        <v>25</v>
      </c>
      <c r="G1033" s="4" t="s">
        <v>25</v>
      </c>
      <c r="H1033" s="4" t="s">
        <v>38</v>
      </c>
      <c r="I1033" s="5">
        <v>44593</v>
      </c>
      <c r="J1033" s="6">
        <v>0</v>
      </c>
      <c r="K1033" s="6">
        <v>0</v>
      </c>
      <c r="L1033" s="6">
        <v>2.1000000000000001E-2</v>
      </c>
      <c r="M1033" s="6">
        <v>2.1000000000000001E-2</v>
      </c>
      <c r="N1033" s="6">
        <v>2.1000000000000001E-2</v>
      </c>
      <c r="O1033" s="6">
        <v>2.1000000000000001E-2</v>
      </c>
      <c r="P1033" s="6">
        <v>0</v>
      </c>
      <c r="Q1033" s="4" t="s">
        <v>26</v>
      </c>
      <c r="R1033" s="4">
        <v>0</v>
      </c>
      <c r="S1033" s="4" t="s">
        <v>273</v>
      </c>
      <c r="T1033" s="4" t="s">
        <v>543</v>
      </c>
      <c r="U1033" s="4">
        <v>0</v>
      </c>
      <c r="V1033" s="4">
        <v>37</v>
      </c>
      <c r="W1033" s="4">
        <v>81</v>
      </c>
    </row>
    <row r="1034" spans="1:23" ht="11.25" customHeight="1" x14ac:dyDescent="0.25">
      <c r="A1034" s="4" t="s">
        <v>28</v>
      </c>
      <c r="B1034" s="4" t="s">
        <v>22</v>
      </c>
      <c r="C1034" s="4" t="s">
        <v>35</v>
      </c>
      <c r="D1034" s="4" t="s">
        <v>24</v>
      </c>
      <c r="E1034" s="4" t="s">
        <v>24</v>
      </c>
      <c r="F1034" s="4" t="s">
        <v>25</v>
      </c>
      <c r="G1034" s="4" t="s">
        <v>25</v>
      </c>
      <c r="H1034" s="4" t="s">
        <v>38</v>
      </c>
      <c r="I1034" s="5">
        <v>44593</v>
      </c>
      <c r="J1034" s="6">
        <v>0</v>
      </c>
      <c r="K1034" s="6">
        <v>0</v>
      </c>
      <c r="L1034" s="6">
        <v>4.8000000000000001E-2</v>
      </c>
      <c r="M1034" s="6">
        <v>4.8000000000000001E-2</v>
      </c>
      <c r="N1034" s="6">
        <v>4.8000000000000001E-2</v>
      </c>
      <c r="O1034" s="6">
        <v>4.8000000000000001E-2</v>
      </c>
      <c r="P1034" s="6">
        <v>0</v>
      </c>
      <c r="Q1034" s="4" t="s">
        <v>26</v>
      </c>
      <c r="R1034" s="4">
        <v>0</v>
      </c>
      <c r="S1034" s="4" t="s">
        <v>273</v>
      </c>
      <c r="T1034" s="4" t="s">
        <v>543</v>
      </c>
      <c r="U1034" s="4">
        <v>0</v>
      </c>
      <c r="V1034" s="4">
        <v>37</v>
      </c>
      <c r="W1034" s="4">
        <v>81</v>
      </c>
    </row>
    <row r="1035" spans="1:23" ht="11.25" customHeight="1" x14ac:dyDescent="0.25">
      <c r="A1035" s="4" t="s">
        <v>30</v>
      </c>
      <c r="B1035" s="4" t="s">
        <v>22</v>
      </c>
      <c r="C1035" s="4" t="s">
        <v>35</v>
      </c>
      <c r="D1035" s="4" t="s">
        <v>24</v>
      </c>
      <c r="E1035" s="4" t="s">
        <v>24</v>
      </c>
      <c r="F1035" s="4" t="s">
        <v>25</v>
      </c>
      <c r="G1035" s="4" t="s">
        <v>25</v>
      </c>
      <c r="H1035" s="4" t="s">
        <v>38</v>
      </c>
      <c r="I1035" s="5">
        <v>44593</v>
      </c>
      <c r="J1035" s="6">
        <v>0</v>
      </c>
      <c r="K1035" s="6">
        <v>0</v>
      </c>
      <c r="L1035" s="6">
        <v>-2.5000000000000001E-2</v>
      </c>
      <c r="M1035" s="6">
        <v>-2.5000000000000001E-2</v>
      </c>
      <c r="N1035" s="6">
        <v>-2.5000000000000001E-2</v>
      </c>
      <c r="O1035" s="6">
        <v>-2.5000000000000001E-2</v>
      </c>
      <c r="P1035" s="6">
        <v>0</v>
      </c>
      <c r="Q1035" s="4" t="s">
        <v>26</v>
      </c>
      <c r="R1035" s="4">
        <v>0</v>
      </c>
      <c r="S1035" s="4" t="s">
        <v>273</v>
      </c>
      <c r="T1035" s="4" t="s">
        <v>543</v>
      </c>
      <c r="U1035" s="4">
        <v>0</v>
      </c>
      <c r="V1035" s="4">
        <v>37</v>
      </c>
      <c r="W1035" s="4">
        <v>81</v>
      </c>
    </row>
    <row r="1036" spans="1:23" ht="11.25" customHeight="1" x14ac:dyDescent="0.25">
      <c r="A1036" s="4" t="s">
        <v>21</v>
      </c>
      <c r="B1036" s="4" t="s">
        <v>22</v>
      </c>
      <c r="C1036" s="4" t="s">
        <v>35</v>
      </c>
      <c r="D1036" s="4" t="s">
        <v>24</v>
      </c>
      <c r="E1036" s="4" t="s">
        <v>24</v>
      </c>
      <c r="F1036" s="4" t="s">
        <v>25</v>
      </c>
      <c r="G1036" s="4" t="s">
        <v>25</v>
      </c>
      <c r="H1036" s="4" t="s">
        <v>38</v>
      </c>
      <c r="I1036" s="5">
        <v>44621</v>
      </c>
      <c r="J1036" s="6">
        <v>0</v>
      </c>
      <c r="K1036" s="6">
        <v>0</v>
      </c>
      <c r="L1036" s="6">
        <v>2.0089999999999999</v>
      </c>
      <c r="M1036" s="6">
        <v>2.0089999999999999</v>
      </c>
      <c r="N1036" s="6">
        <v>2.0089999999999999</v>
      </c>
      <c r="O1036" s="6">
        <v>2.0089999999999999</v>
      </c>
      <c r="P1036" s="6">
        <v>0</v>
      </c>
      <c r="Q1036" s="4" t="s">
        <v>26</v>
      </c>
      <c r="R1036" s="4">
        <v>0</v>
      </c>
      <c r="S1036" s="4" t="s">
        <v>274</v>
      </c>
      <c r="T1036" s="4" t="s">
        <v>544</v>
      </c>
      <c r="U1036" s="4">
        <v>0</v>
      </c>
      <c r="V1036" s="4">
        <v>37</v>
      </c>
      <c r="W1036" s="4">
        <v>81</v>
      </c>
    </row>
    <row r="1037" spans="1:23" ht="11.25" customHeight="1" x14ac:dyDescent="0.25">
      <c r="A1037" s="4" t="s">
        <v>28</v>
      </c>
      <c r="B1037" s="4" t="s">
        <v>22</v>
      </c>
      <c r="C1037" s="4" t="s">
        <v>35</v>
      </c>
      <c r="D1037" s="4" t="s">
        <v>24</v>
      </c>
      <c r="E1037" s="4" t="s">
        <v>24</v>
      </c>
      <c r="F1037" s="4" t="s">
        <v>25</v>
      </c>
      <c r="G1037" s="4" t="s">
        <v>25</v>
      </c>
      <c r="H1037" s="4" t="s">
        <v>38</v>
      </c>
      <c r="I1037" s="5">
        <v>44621</v>
      </c>
      <c r="J1037" s="6">
        <v>0</v>
      </c>
      <c r="K1037" s="6">
        <v>0</v>
      </c>
      <c r="L1037" s="6">
        <v>5.8999999999999997E-2</v>
      </c>
      <c r="M1037" s="6">
        <v>5.8999999999999997E-2</v>
      </c>
      <c r="N1037" s="6">
        <v>5.8999999999999997E-2</v>
      </c>
      <c r="O1037" s="6">
        <v>5.8999999999999997E-2</v>
      </c>
      <c r="P1037" s="6">
        <v>0</v>
      </c>
      <c r="Q1037" s="4" t="s">
        <v>26</v>
      </c>
      <c r="R1037" s="4">
        <v>0</v>
      </c>
      <c r="S1037" s="4" t="s">
        <v>274</v>
      </c>
      <c r="T1037" s="4" t="s">
        <v>544</v>
      </c>
      <c r="U1037" s="4">
        <v>0</v>
      </c>
      <c r="V1037" s="4">
        <v>37</v>
      </c>
      <c r="W1037" s="4">
        <v>81</v>
      </c>
    </row>
    <row r="1038" spans="1:23" ht="11.25" customHeight="1" x14ac:dyDescent="0.25">
      <c r="A1038" s="4" t="s">
        <v>30</v>
      </c>
      <c r="B1038" s="4" t="s">
        <v>22</v>
      </c>
      <c r="C1038" s="4" t="s">
        <v>35</v>
      </c>
      <c r="D1038" s="4" t="s">
        <v>24</v>
      </c>
      <c r="E1038" s="4" t="s">
        <v>24</v>
      </c>
      <c r="F1038" s="4" t="s">
        <v>25</v>
      </c>
      <c r="G1038" s="4" t="s">
        <v>25</v>
      </c>
      <c r="H1038" s="4" t="s">
        <v>38</v>
      </c>
      <c r="I1038" s="5">
        <v>44621</v>
      </c>
      <c r="J1038" s="6">
        <v>0</v>
      </c>
      <c r="K1038" s="6">
        <v>0</v>
      </c>
      <c r="L1038" s="6">
        <v>1.0999999999999999E-2</v>
      </c>
      <c r="M1038" s="6">
        <v>1.0999999999999999E-2</v>
      </c>
      <c r="N1038" s="6">
        <v>1.0999999999999999E-2</v>
      </c>
      <c r="O1038" s="6">
        <v>1.0999999999999999E-2</v>
      </c>
      <c r="P1038" s="6">
        <v>0</v>
      </c>
      <c r="Q1038" s="4" t="s">
        <v>26</v>
      </c>
      <c r="R1038" s="4">
        <v>0</v>
      </c>
      <c r="S1038" s="4" t="s">
        <v>274</v>
      </c>
      <c r="T1038" s="4" t="s">
        <v>544</v>
      </c>
      <c r="U1038" s="4">
        <v>0</v>
      </c>
      <c r="V1038" s="4">
        <v>37</v>
      </c>
      <c r="W1038" s="4">
        <v>81</v>
      </c>
    </row>
    <row r="1039" spans="1:23" ht="11.25" customHeight="1" x14ac:dyDescent="0.25">
      <c r="A1039" s="4" t="s">
        <v>21</v>
      </c>
      <c r="B1039" s="4" t="s">
        <v>22</v>
      </c>
      <c r="C1039" s="4" t="s">
        <v>35</v>
      </c>
      <c r="D1039" s="4" t="s">
        <v>24</v>
      </c>
      <c r="E1039" s="4" t="s">
        <v>24</v>
      </c>
      <c r="F1039" s="4" t="s">
        <v>25</v>
      </c>
      <c r="G1039" s="4" t="s">
        <v>25</v>
      </c>
      <c r="H1039" s="4" t="s">
        <v>38</v>
      </c>
      <c r="I1039" s="5">
        <v>44652</v>
      </c>
      <c r="J1039" s="6">
        <v>0</v>
      </c>
      <c r="K1039" s="6">
        <v>0</v>
      </c>
      <c r="L1039" s="6">
        <v>1.0509999999999999</v>
      </c>
      <c r="M1039" s="6">
        <v>1.0509999999999999</v>
      </c>
      <c r="N1039" s="6">
        <v>1.0509999999999999</v>
      </c>
      <c r="O1039" s="6">
        <v>1.0509999999999999</v>
      </c>
      <c r="P1039" s="6">
        <v>0</v>
      </c>
      <c r="Q1039" s="4" t="s">
        <v>26</v>
      </c>
      <c r="R1039" s="4">
        <v>0</v>
      </c>
      <c r="S1039" s="4" t="s">
        <v>275</v>
      </c>
      <c r="T1039" s="4" t="s">
        <v>545</v>
      </c>
      <c r="U1039" s="4">
        <v>0</v>
      </c>
      <c r="V1039" s="4">
        <v>37</v>
      </c>
      <c r="W1039" s="4">
        <v>81</v>
      </c>
    </row>
    <row r="1040" spans="1:23" ht="11.25" customHeight="1" x14ac:dyDescent="0.25">
      <c r="A1040" s="4" t="s">
        <v>28</v>
      </c>
      <c r="B1040" s="4" t="s">
        <v>22</v>
      </c>
      <c r="C1040" s="4" t="s">
        <v>35</v>
      </c>
      <c r="D1040" s="4" t="s">
        <v>24</v>
      </c>
      <c r="E1040" s="4" t="s">
        <v>24</v>
      </c>
      <c r="F1040" s="4" t="s">
        <v>25</v>
      </c>
      <c r="G1040" s="4" t="s">
        <v>25</v>
      </c>
      <c r="H1040" s="4" t="s">
        <v>38</v>
      </c>
      <c r="I1040" s="5">
        <v>44652</v>
      </c>
      <c r="J1040" s="6">
        <v>0</v>
      </c>
      <c r="K1040" s="6">
        <v>0</v>
      </c>
      <c r="L1040" s="6">
        <v>3.1E-2</v>
      </c>
      <c r="M1040" s="6">
        <v>3.1E-2</v>
      </c>
      <c r="N1040" s="6">
        <v>3.1E-2</v>
      </c>
      <c r="O1040" s="6">
        <v>3.1E-2</v>
      </c>
      <c r="P1040" s="6">
        <v>0</v>
      </c>
      <c r="Q1040" s="4" t="s">
        <v>26</v>
      </c>
      <c r="R1040" s="4">
        <v>0</v>
      </c>
      <c r="S1040" s="4" t="s">
        <v>275</v>
      </c>
      <c r="T1040" s="4" t="s">
        <v>545</v>
      </c>
      <c r="U1040" s="4">
        <v>0</v>
      </c>
      <c r="V1040" s="4">
        <v>37</v>
      </c>
      <c r="W1040" s="4">
        <v>81</v>
      </c>
    </row>
    <row r="1041" spans="1:23" ht="11.25" customHeight="1" x14ac:dyDescent="0.25">
      <c r="A1041" s="4" t="s">
        <v>30</v>
      </c>
      <c r="B1041" s="4" t="s">
        <v>22</v>
      </c>
      <c r="C1041" s="4" t="s">
        <v>35</v>
      </c>
      <c r="D1041" s="4" t="s">
        <v>24</v>
      </c>
      <c r="E1041" s="4" t="s">
        <v>24</v>
      </c>
      <c r="F1041" s="4" t="s">
        <v>25</v>
      </c>
      <c r="G1041" s="4" t="s">
        <v>25</v>
      </c>
      <c r="H1041" s="4" t="s">
        <v>38</v>
      </c>
      <c r="I1041" s="5">
        <v>44652</v>
      </c>
      <c r="J1041" s="6">
        <v>0</v>
      </c>
      <c r="K1041" s="6">
        <v>0</v>
      </c>
      <c r="L1041" s="6">
        <v>1.0999999999999999E-2</v>
      </c>
      <c r="M1041" s="6">
        <v>1.0999999999999999E-2</v>
      </c>
      <c r="N1041" s="6">
        <v>1.0999999999999999E-2</v>
      </c>
      <c r="O1041" s="6">
        <v>1.0999999999999999E-2</v>
      </c>
      <c r="P1041" s="6">
        <v>0</v>
      </c>
      <c r="Q1041" s="4" t="s">
        <v>26</v>
      </c>
      <c r="R1041" s="4">
        <v>0</v>
      </c>
      <c r="S1041" s="4" t="s">
        <v>275</v>
      </c>
      <c r="T1041" s="4" t="s">
        <v>545</v>
      </c>
      <c r="U1041" s="4">
        <v>0</v>
      </c>
      <c r="V1041" s="4">
        <v>37</v>
      </c>
      <c r="W1041" s="4">
        <v>81</v>
      </c>
    </row>
    <row r="1042" spans="1:23" ht="11.25" customHeight="1" x14ac:dyDescent="0.25">
      <c r="A1042" s="4" t="s">
        <v>21</v>
      </c>
      <c r="B1042" s="4" t="s">
        <v>22</v>
      </c>
      <c r="C1042" s="4" t="s">
        <v>35</v>
      </c>
      <c r="D1042" s="4" t="s">
        <v>24</v>
      </c>
      <c r="E1042" s="4" t="s">
        <v>24</v>
      </c>
      <c r="F1042" s="4" t="s">
        <v>25</v>
      </c>
      <c r="G1042" s="4" t="s">
        <v>25</v>
      </c>
      <c r="H1042" s="4" t="s">
        <v>38</v>
      </c>
      <c r="I1042" s="5">
        <v>44682</v>
      </c>
      <c r="J1042" s="6">
        <v>0</v>
      </c>
      <c r="K1042" s="6">
        <v>0</v>
      </c>
      <c r="L1042" s="6">
        <v>1.29</v>
      </c>
      <c r="M1042" s="6">
        <v>1.29</v>
      </c>
      <c r="N1042" s="6">
        <v>1.29</v>
      </c>
      <c r="O1042" s="6">
        <v>1.29</v>
      </c>
      <c r="P1042" s="6">
        <v>0</v>
      </c>
      <c r="Q1042" s="4" t="s">
        <v>26</v>
      </c>
      <c r="R1042" s="4">
        <v>0</v>
      </c>
      <c r="S1042" s="4" t="s">
        <v>276</v>
      </c>
      <c r="T1042" s="4" t="s">
        <v>546</v>
      </c>
      <c r="U1042" s="4">
        <v>0</v>
      </c>
      <c r="V1042" s="4">
        <v>37</v>
      </c>
      <c r="W1042" s="4">
        <v>81</v>
      </c>
    </row>
    <row r="1043" spans="1:23" ht="11.25" customHeight="1" x14ac:dyDescent="0.25">
      <c r="A1043" s="4" t="s">
        <v>28</v>
      </c>
      <c r="B1043" s="4" t="s">
        <v>22</v>
      </c>
      <c r="C1043" s="4" t="s">
        <v>35</v>
      </c>
      <c r="D1043" s="4" t="s">
        <v>24</v>
      </c>
      <c r="E1043" s="4" t="s">
        <v>24</v>
      </c>
      <c r="F1043" s="4" t="s">
        <v>25</v>
      </c>
      <c r="G1043" s="4" t="s">
        <v>25</v>
      </c>
      <c r="H1043" s="4" t="s">
        <v>38</v>
      </c>
      <c r="I1043" s="5">
        <v>44682</v>
      </c>
      <c r="J1043" s="6">
        <v>0</v>
      </c>
      <c r="K1043" s="6">
        <v>0</v>
      </c>
      <c r="L1043" s="6">
        <v>2.5999999999999999E-2</v>
      </c>
      <c r="M1043" s="6">
        <v>2.5999999999999999E-2</v>
      </c>
      <c r="N1043" s="6">
        <v>2.5999999999999999E-2</v>
      </c>
      <c r="O1043" s="6">
        <v>2.5999999999999999E-2</v>
      </c>
      <c r="P1043" s="6">
        <v>0</v>
      </c>
      <c r="Q1043" s="4" t="s">
        <v>26</v>
      </c>
      <c r="R1043" s="4">
        <v>0</v>
      </c>
      <c r="S1043" s="4" t="s">
        <v>276</v>
      </c>
      <c r="T1043" s="4" t="s">
        <v>546</v>
      </c>
      <c r="U1043" s="4">
        <v>0</v>
      </c>
      <c r="V1043" s="4">
        <v>37</v>
      </c>
      <c r="W1043" s="4">
        <v>81</v>
      </c>
    </row>
    <row r="1044" spans="1:23" ht="11.25" customHeight="1" x14ac:dyDescent="0.25">
      <c r="A1044" s="4" t="s">
        <v>21</v>
      </c>
      <c r="B1044" s="4" t="s">
        <v>22</v>
      </c>
      <c r="C1044" s="4" t="s">
        <v>35</v>
      </c>
      <c r="D1044" s="4" t="s">
        <v>24</v>
      </c>
      <c r="E1044" s="4" t="s">
        <v>24</v>
      </c>
      <c r="F1044" s="4" t="s">
        <v>25</v>
      </c>
      <c r="G1044" s="4" t="s">
        <v>25</v>
      </c>
      <c r="H1044" s="4" t="s">
        <v>38</v>
      </c>
      <c r="I1044" s="5">
        <v>44713</v>
      </c>
      <c r="J1044" s="6">
        <v>0</v>
      </c>
      <c r="K1044" s="6">
        <v>0</v>
      </c>
      <c r="L1044" s="6">
        <v>1.468</v>
      </c>
      <c r="M1044" s="6">
        <v>1.468</v>
      </c>
      <c r="N1044" s="6">
        <v>1.468</v>
      </c>
      <c r="O1044" s="6">
        <v>1.468</v>
      </c>
      <c r="P1044" s="6">
        <v>0</v>
      </c>
      <c r="Q1044" s="4" t="s">
        <v>26</v>
      </c>
      <c r="R1044" s="4">
        <v>0</v>
      </c>
      <c r="S1044" s="4" t="s">
        <v>277</v>
      </c>
      <c r="T1044" s="4" t="s">
        <v>547</v>
      </c>
      <c r="U1044" s="4">
        <v>0</v>
      </c>
      <c r="V1044" s="4">
        <v>37</v>
      </c>
      <c r="W1044" s="4">
        <v>81</v>
      </c>
    </row>
    <row r="1045" spans="1:23" ht="11.25" customHeight="1" x14ac:dyDescent="0.25">
      <c r="A1045" s="4" t="s">
        <v>27</v>
      </c>
      <c r="B1045" s="4" t="s">
        <v>22</v>
      </c>
      <c r="C1045" s="4" t="s">
        <v>35</v>
      </c>
      <c r="D1045" s="4" t="s">
        <v>24</v>
      </c>
      <c r="E1045" s="4" t="s">
        <v>24</v>
      </c>
      <c r="F1045" s="4" t="s">
        <v>25</v>
      </c>
      <c r="G1045" s="4" t="s">
        <v>25</v>
      </c>
      <c r="H1045" s="4" t="s">
        <v>38</v>
      </c>
      <c r="I1045" s="5">
        <v>44713</v>
      </c>
      <c r="J1045" s="6">
        <v>0</v>
      </c>
      <c r="K1045" s="6">
        <v>0</v>
      </c>
      <c r="L1045" s="6">
        <v>-8.2000000000000003E-2</v>
      </c>
      <c r="M1045" s="6">
        <v>-8.2000000000000003E-2</v>
      </c>
      <c r="N1045" s="6">
        <v>-8.2000000000000003E-2</v>
      </c>
      <c r="O1045" s="6">
        <v>-8.2000000000000003E-2</v>
      </c>
      <c r="P1045" s="6">
        <v>0</v>
      </c>
      <c r="Q1045" s="4" t="s">
        <v>26</v>
      </c>
      <c r="R1045" s="4">
        <v>0</v>
      </c>
      <c r="S1045" s="4" t="s">
        <v>277</v>
      </c>
      <c r="T1045" s="4" t="s">
        <v>547</v>
      </c>
      <c r="U1045" s="4">
        <v>0</v>
      </c>
      <c r="V1045" s="4">
        <v>37</v>
      </c>
      <c r="W1045" s="4">
        <v>81</v>
      </c>
    </row>
    <row r="1046" spans="1:23" ht="11.25" customHeight="1" x14ac:dyDescent="0.25">
      <c r="A1046" s="4" t="s">
        <v>28</v>
      </c>
      <c r="B1046" s="4" t="s">
        <v>22</v>
      </c>
      <c r="C1046" s="4" t="s">
        <v>35</v>
      </c>
      <c r="D1046" s="4" t="s">
        <v>24</v>
      </c>
      <c r="E1046" s="4" t="s">
        <v>24</v>
      </c>
      <c r="F1046" s="4" t="s">
        <v>25</v>
      </c>
      <c r="G1046" s="4" t="s">
        <v>25</v>
      </c>
      <c r="H1046" s="4" t="s">
        <v>38</v>
      </c>
      <c r="I1046" s="5">
        <v>44713</v>
      </c>
      <c r="J1046" s="6">
        <v>0</v>
      </c>
      <c r="K1046" s="6">
        <v>0</v>
      </c>
      <c r="L1046" s="6">
        <v>2.1999999999999999E-2</v>
      </c>
      <c r="M1046" s="6">
        <v>2.1999999999999999E-2</v>
      </c>
      <c r="N1046" s="6">
        <v>2.1999999999999999E-2</v>
      </c>
      <c r="O1046" s="6">
        <v>2.1999999999999999E-2</v>
      </c>
      <c r="P1046" s="6">
        <v>0</v>
      </c>
      <c r="Q1046" s="4" t="s">
        <v>26</v>
      </c>
      <c r="R1046" s="4">
        <v>0</v>
      </c>
      <c r="S1046" s="4" t="s">
        <v>277</v>
      </c>
      <c r="T1046" s="4" t="s">
        <v>547</v>
      </c>
      <c r="U1046" s="4">
        <v>0</v>
      </c>
      <c r="V1046" s="4">
        <v>37</v>
      </c>
      <c r="W1046" s="4">
        <v>81</v>
      </c>
    </row>
    <row r="1047" spans="1:23" ht="11.25" customHeight="1" x14ac:dyDescent="0.25">
      <c r="A1047" s="4" t="s">
        <v>21</v>
      </c>
      <c r="B1047" s="4" t="s">
        <v>22</v>
      </c>
      <c r="C1047" s="4" t="s">
        <v>35</v>
      </c>
      <c r="D1047" s="4" t="s">
        <v>24</v>
      </c>
      <c r="E1047" s="4" t="s">
        <v>24</v>
      </c>
      <c r="F1047" s="4" t="s">
        <v>25</v>
      </c>
      <c r="G1047" s="4" t="s">
        <v>25</v>
      </c>
      <c r="H1047" s="4" t="s">
        <v>38</v>
      </c>
      <c r="I1047" s="5">
        <v>44743</v>
      </c>
      <c r="J1047" s="6">
        <v>0</v>
      </c>
      <c r="K1047" s="6">
        <v>0</v>
      </c>
      <c r="L1047" s="6">
        <v>1.262</v>
      </c>
      <c r="M1047" s="6">
        <v>1.262</v>
      </c>
      <c r="N1047" s="6">
        <v>1.262</v>
      </c>
      <c r="O1047" s="6">
        <v>1.262</v>
      </c>
      <c r="P1047" s="6">
        <v>0</v>
      </c>
      <c r="Q1047" s="4" t="s">
        <v>26</v>
      </c>
      <c r="R1047" s="4">
        <v>0</v>
      </c>
      <c r="S1047" s="4" t="s">
        <v>278</v>
      </c>
      <c r="T1047" s="4" t="s">
        <v>548</v>
      </c>
      <c r="U1047" s="4">
        <v>0</v>
      </c>
      <c r="V1047" s="4">
        <v>37</v>
      </c>
      <c r="W1047" s="4">
        <v>81</v>
      </c>
    </row>
    <row r="1048" spans="1:23" ht="11.25" customHeight="1" x14ac:dyDescent="0.25">
      <c r="A1048" s="4" t="s">
        <v>28</v>
      </c>
      <c r="B1048" s="4" t="s">
        <v>22</v>
      </c>
      <c r="C1048" s="4" t="s">
        <v>35</v>
      </c>
      <c r="D1048" s="4" t="s">
        <v>24</v>
      </c>
      <c r="E1048" s="4" t="s">
        <v>24</v>
      </c>
      <c r="F1048" s="4" t="s">
        <v>25</v>
      </c>
      <c r="G1048" s="4" t="s">
        <v>25</v>
      </c>
      <c r="H1048" s="4" t="s">
        <v>38</v>
      </c>
      <c r="I1048" s="5">
        <v>44743</v>
      </c>
      <c r="J1048" s="6">
        <v>0</v>
      </c>
      <c r="K1048" s="6">
        <v>0</v>
      </c>
      <c r="L1048" s="6">
        <v>0.03</v>
      </c>
      <c r="M1048" s="6">
        <v>0.03</v>
      </c>
      <c r="N1048" s="6">
        <v>0.03</v>
      </c>
      <c r="O1048" s="6">
        <v>0.03</v>
      </c>
      <c r="P1048" s="6">
        <v>0</v>
      </c>
      <c r="Q1048" s="4" t="s">
        <v>26</v>
      </c>
      <c r="R1048" s="4">
        <v>0</v>
      </c>
      <c r="S1048" s="4" t="s">
        <v>278</v>
      </c>
      <c r="T1048" s="4" t="s">
        <v>548</v>
      </c>
      <c r="U1048" s="4">
        <v>0</v>
      </c>
      <c r="V1048" s="4">
        <v>37</v>
      </c>
      <c r="W1048" s="4">
        <v>81</v>
      </c>
    </row>
    <row r="1049" spans="1:23" ht="11.25" customHeight="1" x14ac:dyDescent="0.25">
      <c r="A1049" s="4" t="s">
        <v>30</v>
      </c>
      <c r="B1049" s="4" t="s">
        <v>22</v>
      </c>
      <c r="C1049" s="4" t="s">
        <v>35</v>
      </c>
      <c r="D1049" s="4" t="s">
        <v>24</v>
      </c>
      <c r="E1049" s="4" t="s">
        <v>24</v>
      </c>
      <c r="F1049" s="4" t="s">
        <v>25</v>
      </c>
      <c r="G1049" s="4" t="s">
        <v>25</v>
      </c>
      <c r="H1049" s="4" t="s">
        <v>38</v>
      </c>
      <c r="I1049" s="5">
        <v>44743</v>
      </c>
      <c r="J1049" s="6">
        <v>0</v>
      </c>
      <c r="K1049" s="6">
        <v>0</v>
      </c>
      <c r="L1049" s="6">
        <v>3.3000000000000002E-2</v>
      </c>
      <c r="M1049" s="6">
        <v>3.3000000000000002E-2</v>
      </c>
      <c r="N1049" s="6">
        <v>3.3000000000000002E-2</v>
      </c>
      <c r="O1049" s="6">
        <v>3.3000000000000002E-2</v>
      </c>
      <c r="P1049" s="6">
        <v>0</v>
      </c>
      <c r="Q1049" s="4" t="s">
        <v>26</v>
      </c>
      <c r="R1049" s="4">
        <v>0</v>
      </c>
      <c r="S1049" s="4" t="s">
        <v>278</v>
      </c>
      <c r="T1049" s="4" t="s">
        <v>548</v>
      </c>
      <c r="U1049" s="4">
        <v>0</v>
      </c>
      <c r="V1049" s="4">
        <v>37</v>
      </c>
      <c r="W1049" s="4">
        <v>81</v>
      </c>
    </row>
    <row r="1050" spans="1:23" ht="11.25" customHeight="1" x14ac:dyDescent="0.25">
      <c r="A1050" s="4" t="s">
        <v>21</v>
      </c>
      <c r="B1050" s="4" t="s">
        <v>22</v>
      </c>
      <c r="C1050" s="4" t="s">
        <v>35</v>
      </c>
      <c r="D1050" s="4" t="s">
        <v>24</v>
      </c>
      <c r="E1050" s="4" t="s">
        <v>24</v>
      </c>
      <c r="F1050" s="4" t="s">
        <v>25</v>
      </c>
      <c r="G1050" s="4" t="s">
        <v>25</v>
      </c>
      <c r="H1050" s="4" t="s">
        <v>38</v>
      </c>
      <c r="I1050" s="5">
        <v>44774</v>
      </c>
      <c r="J1050" s="6">
        <v>0</v>
      </c>
      <c r="K1050" s="6">
        <v>0</v>
      </c>
      <c r="L1050" s="6">
        <v>1.6479999999999999</v>
      </c>
      <c r="M1050" s="6">
        <v>1.6479999999999999</v>
      </c>
      <c r="N1050" s="6">
        <v>1.6479999999999999</v>
      </c>
      <c r="O1050" s="6">
        <v>1.6479999999999999</v>
      </c>
      <c r="P1050" s="6">
        <v>0</v>
      </c>
      <c r="Q1050" s="4" t="s">
        <v>26</v>
      </c>
      <c r="R1050" s="4">
        <v>0</v>
      </c>
      <c r="S1050" s="4" t="s">
        <v>279</v>
      </c>
      <c r="T1050" s="4" t="s">
        <v>549</v>
      </c>
      <c r="U1050" s="4">
        <v>0</v>
      </c>
      <c r="V1050" s="4">
        <v>37</v>
      </c>
      <c r="W1050" s="4">
        <v>81</v>
      </c>
    </row>
    <row r="1051" spans="1:23" ht="11.25" customHeight="1" x14ac:dyDescent="0.25">
      <c r="A1051" s="4" t="s">
        <v>27</v>
      </c>
      <c r="B1051" s="4" t="s">
        <v>22</v>
      </c>
      <c r="C1051" s="4" t="s">
        <v>35</v>
      </c>
      <c r="D1051" s="4" t="s">
        <v>24</v>
      </c>
      <c r="E1051" s="4" t="s">
        <v>24</v>
      </c>
      <c r="F1051" s="4" t="s">
        <v>25</v>
      </c>
      <c r="G1051" s="4" t="s">
        <v>25</v>
      </c>
      <c r="H1051" s="4" t="s">
        <v>38</v>
      </c>
      <c r="I1051" s="5">
        <v>44774</v>
      </c>
      <c r="J1051" s="6">
        <v>0</v>
      </c>
      <c r="K1051" s="6">
        <v>0</v>
      </c>
      <c r="L1051" s="6">
        <v>1.9E-2</v>
      </c>
      <c r="M1051" s="6">
        <v>1.9E-2</v>
      </c>
      <c r="N1051" s="6">
        <v>1.9E-2</v>
      </c>
      <c r="O1051" s="6">
        <v>1.9E-2</v>
      </c>
      <c r="P1051" s="6">
        <v>0</v>
      </c>
      <c r="Q1051" s="4" t="s">
        <v>26</v>
      </c>
      <c r="R1051" s="4">
        <v>0</v>
      </c>
      <c r="S1051" s="4" t="s">
        <v>279</v>
      </c>
      <c r="T1051" s="4" t="s">
        <v>549</v>
      </c>
      <c r="U1051" s="4">
        <v>0</v>
      </c>
      <c r="V1051" s="4">
        <v>37</v>
      </c>
      <c r="W1051" s="4">
        <v>81</v>
      </c>
    </row>
    <row r="1052" spans="1:23" ht="11.25" customHeight="1" x14ac:dyDescent="0.25">
      <c r="A1052" s="4" t="s">
        <v>28</v>
      </c>
      <c r="B1052" s="4" t="s">
        <v>22</v>
      </c>
      <c r="C1052" s="4" t="s">
        <v>35</v>
      </c>
      <c r="D1052" s="4" t="s">
        <v>24</v>
      </c>
      <c r="E1052" s="4" t="s">
        <v>24</v>
      </c>
      <c r="F1052" s="4" t="s">
        <v>25</v>
      </c>
      <c r="G1052" s="4" t="s">
        <v>25</v>
      </c>
      <c r="H1052" s="4" t="s">
        <v>38</v>
      </c>
      <c r="I1052" s="5">
        <v>44774</v>
      </c>
      <c r="J1052" s="6">
        <v>0</v>
      </c>
      <c r="K1052" s="6">
        <v>0</v>
      </c>
      <c r="L1052" s="6">
        <v>3.1E-2</v>
      </c>
      <c r="M1052" s="6">
        <v>3.1E-2</v>
      </c>
      <c r="N1052" s="6">
        <v>3.1E-2</v>
      </c>
      <c r="O1052" s="6">
        <v>3.1E-2</v>
      </c>
      <c r="P1052" s="6">
        <v>0</v>
      </c>
      <c r="Q1052" s="4" t="s">
        <v>26</v>
      </c>
      <c r="R1052" s="4">
        <v>0</v>
      </c>
      <c r="S1052" s="4" t="s">
        <v>279</v>
      </c>
      <c r="T1052" s="4" t="s">
        <v>549</v>
      </c>
      <c r="U1052" s="4">
        <v>0</v>
      </c>
      <c r="V1052" s="4">
        <v>37</v>
      </c>
      <c r="W1052" s="4">
        <v>81</v>
      </c>
    </row>
    <row r="1053" spans="1:23" ht="11.25" customHeight="1" x14ac:dyDescent="0.25">
      <c r="A1053" s="4" t="s">
        <v>30</v>
      </c>
      <c r="B1053" s="4" t="s">
        <v>22</v>
      </c>
      <c r="C1053" s="4" t="s">
        <v>35</v>
      </c>
      <c r="D1053" s="4" t="s">
        <v>24</v>
      </c>
      <c r="E1053" s="4" t="s">
        <v>24</v>
      </c>
      <c r="F1053" s="4" t="s">
        <v>25</v>
      </c>
      <c r="G1053" s="4" t="s">
        <v>25</v>
      </c>
      <c r="H1053" s="4" t="s">
        <v>38</v>
      </c>
      <c r="I1053" s="5">
        <v>44774</v>
      </c>
      <c r="J1053" s="6">
        <v>0</v>
      </c>
      <c r="K1053" s="6">
        <v>0</v>
      </c>
      <c r="L1053" s="6">
        <v>8.9999999999999993E-3</v>
      </c>
      <c r="M1053" s="6">
        <v>8.9999999999999993E-3</v>
      </c>
      <c r="N1053" s="6">
        <v>8.9999999999999993E-3</v>
      </c>
      <c r="O1053" s="6">
        <v>8.9999999999999993E-3</v>
      </c>
      <c r="P1053" s="6">
        <v>0</v>
      </c>
      <c r="Q1053" s="4" t="s">
        <v>26</v>
      </c>
      <c r="R1053" s="4">
        <v>0</v>
      </c>
      <c r="S1053" s="4" t="s">
        <v>279</v>
      </c>
      <c r="T1053" s="4" t="s">
        <v>549</v>
      </c>
      <c r="U1053" s="4">
        <v>0</v>
      </c>
      <c r="V1053" s="4">
        <v>37</v>
      </c>
      <c r="W1053" s="4">
        <v>81</v>
      </c>
    </row>
    <row r="1054" spans="1:23" ht="11.25" customHeight="1" x14ac:dyDescent="0.25">
      <c r="A1054" s="4" t="s">
        <v>21</v>
      </c>
      <c r="B1054" s="4" t="s">
        <v>22</v>
      </c>
      <c r="C1054" s="4" t="s">
        <v>35</v>
      </c>
      <c r="D1054" s="4" t="s">
        <v>24</v>
      </c>
      <c r="E1054" s="4" t="s">
        <v>24</v>
      </c>
      <c r="F1054" s="4" t="s">
        <v>25</v>
      </c>
      <c r="G1054" s="4" t="s">
        <v>25</v>
      </c>
      <c r="H1054" s="4" t="s">
        <v>38</v>
      </c>
      <c r="I1054" s="5">
        <v>44805</v>
      </c>
      <c r="J1054" s="6">
        <v>0</v>
      </c>
      <c r="K1054" s="6">
        <v>0</v>
      </c>
      <c r="L1054" s="6">
        <v>1.1519999999999999</v>
      </c>
      <c r="M1054" s="6">
        <v>1.1519999999999999</v>
      </c>
      <c r="N1054" s="6">
        <v>1.1519999999999999</v>
      </c>
      <c r="O1054" s="6">
        <v>1.1519999999999999</v>
      </c>
      <c r="P1054" s="6">
        <v>0</v>
      </c>
      <c r="Q1054" s="4" t="s">
        <v>26</v>
      </c>
      <c r="R1054" s="4">
        <v>0</v>
      </c>
      <c r="S1054" s="4" t="s">
        <v>280</v>
      </c>
      <c r="T1054" s="4" t="s">
        <v>550</v>
      </c>
      <c r="U1054" s="4">
        <v>0</v>
      </c>
      <c r="V1054" s="4">
        <v>37</v>
      </c>
      <c r="W1054" s="4">
        <v>81</v>
      </c>
    </row>
    <row r="1055" spans="1:23" ht="11.25" customHeight="1" x14ac:dyDescent="0.25">
      <c r="A1055" s="4" t="s">
        <v>27</v>
      </c>
      <c r="B1055" s="4" t="s">
        <v>22</v>
      </c>
      <c r="C1055" s="4" t="s">
        <v>35</v>
      </c>
      <c r="D1055" s="4" t="s">
        <v>24</v>
      </c>
      <c r="E1055" s="4" t="s">
        <v>24</v>
      </c>
      <c r="F1055" s="4" t="s">
        <v>25</v>
      </c>
      <c r="G1055" s="4" t="s">
        <v>25</v>
      </c>
      <c r="H1055" s="4" t="s">
        <v>38</v>
      </c>
      <c r="I1055" s="5">
        <v>44805</v>
      </c>
      <c r="J1055" s="6">
        <v>0</v>
      </c>
      <c r="K1055" s="6">
        <v>0</v>
      </c>
      <c r="L1055" s="6">
        <v>8.0000000000000002E-3</v>
      </c>
      <c r="M1055" s="6">
        <v>8.0000000000000002E-3</v>
      </c>
      <c r="N1055" s="6">
        <v>8.0000000000000002E-3</v>
      </c>
      <c r="O1055" s="6">
        <v>8.0000000000000002E-3</v>
      </c>
      <c r="P1055" s="6">
        <v>0</v>
      </c>
      <c r="Q1055" s="4" t="s">
        <v>26</v>
      </c>
      <c r="R1055" s="4">
        <v>0</v>
      </c>
      <c r="S1055" s="4" t="s">
        <v>280</v>
      </c>
      <c r="T1055" s="4" t="s">
        <v>550</v>
      </c>
      <c r="U1055" s="4">
        <v>0</v>
      </c>
      <c r="V1055" s="4">
        <v>37</v>
      </c>
      <c r="W1055" s="4">
        <v>81</v>
      </c>
    </row>
    <row r="1056" spans="1:23" ht="11.25" customHeight="1" x14ac:dyDescent="0.25">
      <c r="A1056" s="4" t="s">
        <v>28</v>
      </c>
      <c r="B1056" s="4" t="s">
        <v>22</v>
      </c>
      <c r="C1056" s="4" t="s">
        <v>35</v>
      </c>
      <c r="D1056" s="4" t="s">
        <v>24</v>
      </c>
      <c r="E1056" s="4" t="s">
        <v>24</v>
      </c>
      <c r="F1056" s="4" t="s">
        <v>25</v>
      </c>
      <c r="G1056" s="4" t="s">
        <v>25</v>
      </c>
      <c r="H1056" s="4" t="s">
        <v>38</v>
      </c>
      <c r="I1056" s="5">
        <v>44805</v>
      </c>
      <c r="J1056" s="6">
        <v>0</v>
      </c>
      <c r="K1056" s="6">
        <v>0</v>
      </c>
      <c r="L1056" s="6">
        <v>2.5000000000000001E-2</v>
      </c>
      <c r="M1056" s="6">
        <v>2.5000000000000001E-2</v>
      </c>
      <c r="N1056" s="6">
        <v>2.5000000000000001E-2</v>
      </c>
      <c r="O1056" s="6">
        <v>2.5000000000000001E-2</v>
      </c>
      <c r="P1056" s="6">
        <v>0</v>
      </c>
      <c r="Q1056" s="4" t="s">
        <v>26</v>
      </c>
      <c r="R1056" s="4">
        <v>0</v>
      </c>
      <c r="S1056" s="4" t="s">
        <v>280</v>
      </c>
      <c r="T1056" s="4" t="s">
        <v>550</v>
      </c>
      <c r="U1056" s="4">
        <v>0</v>
      </c>
      <c r="V1056" s="4">
        <v>37</v>
      </c>
      <c r="W1056" s="4">
        <v>81</v>
      </c>
    </row>
    <row r="1057" spans="1:23" ht="11.25" customHeight="1" x14ac:dyDescent="0.25">
      <c r="A1057" s="4" t="s">
        <v>30</v>
      </c>
      <c r="B1057" s="4" t="s">
        <v>22</v>
      </c>
      <c r="C1057" s="4" t="s">
        <v>35</v>
      </c>
      <c r="D1057" s="4" t="s">
        <v>24</v>
      </c>
      <c r="E1057" s="4" t="s">
        <v>24</v>
      </c>
      <c r="F1057" s="4" t="s">
        <v>25</v>
      </c>
      <c r="G1057" s="4" t="s">
        <v>25</v>
      </c>
      <c r="H1057" s="4" t="s">
        <v>38</v>
      </c>
      <c r="I1057" s="5">
        <v>44805</v>
      </c>
      <c r="J1057" s="6">
        <v>0</v>
      </c>
      <c r="K1057" s="6">
        <v>0</v>
      </c>
      <c r="L1057" s="6">
        <v>8.9999999999999993E-3</v>
      </c>
      <c r="M1057" s="6">
        <v>8.9999999999999993E-3</v>
      </c>
      <c r="N1057" s="6">
        <v>8.9999999999999993E-3</v>
      </c>
      <c r="O1057" s="6">
        <v>8.9999999999999993E-3</v>
      </c>
      <c r="P1057" s="6">
        <v>0</v>
      </c>
      <c r="Q1057" s="4" t="s">
        <v>26</v>
      </c>
      <c r="R1057" s="4">
        <v>0</v>
      </c>
      <c r="S1057" s="4" t="s">
        <v>280</v>
      </c>
      <c r="T1057" s="4" t="s">
        <v>550</v>
      </c>
      <c r="U1057" s="4">
        <v>0</v>
      </c>
      <c r="V1057" s="4">
        <v>37</v>
      </c>
      <c r="W1057" s="4">
        <v>81</v>
      </c>
    </row>
    <row r="1058" spans="1:23" ht="11.25" customHeight="1" x14ac:dyDescent="0.25">
      <c r="A1058" s="4" t="s">
        <v>21</v>
      </c>
      <c r="B1058" s="4" t="s">
        <v>22</v>
      </c>
      <c r="C1058" s="4" t="s">
        <v>35</v>
      </c>
      <c r="D1058" s="4" t="s">
        <v>24</v>
      </c>
      <c r="E1058" s="4" t="s">
        <v>24</v>
      </c>
      <c r="F1058" s="4" t="s">
        <v>25</v>
      </c>
      <c r="G1058" s="4" t="s">
        <v>25</v>
      </c>
      <c r="H1058" s="4" t="s">
        <v>38</v>
      </c>
      <c r="I1058" s="5">
        <v>44835</v>
      </c>
      <c r="J1058" s="6">
        <v>0</v>
      </c>
      <c r="K1058" s="6">
        <v>0</v>
      </c>
      <c r="L1058" s="6">
        <v>1.903</v>
      </c>
      <c r="M1058" s="6">
        <v>1.903</v>
      </c>
      <c r="N1058" s="6">
        <v>1.903</v>
      </c>
      <c r="O1058" s="6">
        <v>1.903</v>
      </c>
      <c r="P1058" s="6">
        <v>0</v>
      </c>
      <c r="Q1058" s="4" t="s">
        <v>26</v>
      </c>
      <c r="R1058" s="4">
        <v>0</v>
      </c>
      <c r="S1058" s="4" t="s">
        <v>281</v>
      </c>
      <c r="T1058" s="4" t="s">
        <v>551</v>
      </c>
      <c r="U1058" s="4">
        <v>0</v>
      </c>
      <c r="V1058" s="4">
        <v>37</v>
      </c>
      <c r="W1058" s="4">
        <v>81</v>
      </c>
    </row>
    <row r="1059" spans="1:23" ht="11.25" customHeight="1" x14ac:dyDescent="0.25">
      <c r="A1059" s="4" t="s">
        <v>28</v>
      </c>
      <c r="B1059" s="4" t="s">
        <v>22</v>
      </c>
      <c r="C1059" s="4" t="s">
        <v>35</v>
      </c>
      <c r="D1059" s="4" t="s">
        <v>24</v>
      </c>
      <c r="E1059" s="4" t="s">
        <v>24</v>
      </c>
      <c r="F1059" s="4" t="s">
        <v>25</v>
      </c>
      <c r="G1059" s="4" t="s">
        <v>25</v>
      </c>
      <c r="H1059" s="4" t="s">
        <v>38</v>
      </c>
      <c r="I1059" s="5">
        <v>44835</v>
      </c>
      <c r="J1059" s="6">
        <v>0</v>
      </c>
      <c r="K1059" s="6">
        <v>0</v>
      </c>
      <c r="L1059" s="6">
        <v>2.7E-2</v>
      </c>
      <c r="M1059" s="6">
        <v>2.7E-2</v>
      </c>
      <c r="N1059" s="6">
        <v>2.7E-2</v>
      </c>
      <c r="O1059" s="6">
        <v>2.7E-2</v>
      </c>
      <c r="P1059" s="6">
        <v>0</v>
      </c>
      <c r="Q1059" s="4" t="s">
        <v>26</v>
      </c>
      <c r="R1059" s="4">
        <v>0</v>
      </c>
      <c r="S1059" s="4" t="s">
        <v>281</v>
      </c>
      <c r="T1059" s="4" t="s">
        <v>551</v>
      </c>
      <c r="U1059" s="4">
        <v>0</v>
      </c>
      <c r="V1059" s="4">
        <v>37</v>
      </c>
      <c r="W1059" s="4">
        <v>81</v>
      </c>
    </row>
    <row r="1060" spans="1:23" ht="11.25" customHeight="1" x14ac:dyDescent="0.25">
      <c r="A1060" s="4" t="s">
        <v>30</v>
      </c>
      <c r="B1060" s="4" t="s">
        <v>22</v>
      </c>
      <c r="C1060" s="4" t="s">
        <v>35</v>
      </c>
      <c r="D1060" s="4" t="s">
        <v>24</v>
      </c>
      <c r="E1060" s="4" t="s">
        <v>24</v>
      </c>
      <c r="F1060" s="4" t="s">
        <v>25</v>
      </c>
      <c r="G1060" s="4" t="s">
        <v>25</v>
      </c>
      <c r="H1060" s="4" t="s">
        <v>38</v>
      </c>
      <c r="I1060" s="5">
        <v>44835</v>
      </c>
      <c r="J1060" s="6">
        <v>0</v>
      </c>
      <c r="K1060" s="6">
        <v>0</v>
      </c>
      <c r="L1060" s="6">
        <v>5.1999999999999998E-2</v>
      </c>
      <c r="M1060" s="6">
        <v>5.1999999999999998E-2</v>
      </c>
      <c r="N1060" s="6">
        <v>5.1999999999999998E-2</v>
      </c>
      <c r="O1060" s="6">
        <v>5.1999999999999998E-2</v>
      </c>
      <c r="P1060" s="6">
        <v>0</v>
      </c>
      <c r="Q1060" s="4" t="s">
        <v>26</v>
      </c>
      <c r="R1060" s="4">
        <v>0</v>
      </c>
      <c r="S1060" s="4" t="s">
        <v>281</v>
      </c>
      <c r="T1060" s="4" t="s">
        <v>551</v>
      </c>
      <c r="U1060" s="4">
        <v>0</v>
      </c>
      <c r="V1060" s="4">
        <v>37</v>
      </c>
      <c r="W1060" s="4">
        <v>81</v>
      </c>
    </row>
    <row r="1061" spans="1:23" ht="11.25" customHeight="1" x14ac:dyDescent="0.25">
      <c r="A1061" s="4" t="s">
        <v>30</v>
      </c>
      <c r="B1061" s="4" t="s">
        <v>22</v>
      </c>
      <c r="C1061" s="4" t="s">
        <v>35</v>
      </c>
      <c r="D1061" s="4" t="s">
        <v>24</v>
      </c>
      <c r="E1061" s="4" t="s">
        <v>24</v>
      </c>
      <c r="F1061" s="4" t="s">
        <v>25</v>
      </c>
      <c r="G1061" s="4" t="s">
        <v>25</v>
      </c>
      <c r="H1061" s="4" t="s">
        <v>38</v>
      </c>
      <c r="I1061" s="5">
        <v>44835</v>
      </c>
      <c r="J1061" s="6">
        <v>0</v>
      </c>
      <c r="K1061" s="6">
        <v>0</v>
      </c>
      <c r="L1061" s="6">
        <v>-8.9999999999999993E-3</v>
      </c>
      <c r="M1061" s="6">
        <v>-8.9999999999999993E-3</v>
      </c>
      <c r="N1061" s="6">
        <v>-8.9999999999999993E-3</v>
      </c>
      <c r="O1061" s="6">
        <v>-8.9999999999999993E-3</v>
      </c>
      <c r="P1061" s="6">
        <v>0</v>
      </c>
      <c r="Q1061" s="4" t="s">
        <v>26</v>
      </c>
      <c r="R1061" s="4">
        <v>0</v>
      </c>
      <c r="S1061" s="4" t="s">
        <v>281</v>
      </c>
      <c r="T1061" s="4" t="s">
        <v>551</v>
      </c>
      <c r="U1061" s="4">
        <v>0</v>
      </c>
      <c r="V1061" s="4">
        <v>37</v>
      </c>
      <c r="W1061" s="4">
        <v>81</v>
      </c>
    </row>
    <row r="1062" spans="1:23" ht="11.25" customHeight="1" x14ac:dyDescent="0.25">
      <c r="A1062" s="4" t="s">
        <v>59</v>
      </c>
      <c r="B1062" s="4" t="s">
        <v>22</v>
      </c>
      <c r="C1062" s="4" t="s">
        <v>35</v>
      </c>
      <c r="D1062" s="4" t="s">
        <v>24</v>
      </c>
      <c r="E1062" s="4" t="s">
        <v>24</v>
      </c>
      <c r="F1062" s="4" t="s">
        <v>25</v>
      </c>
      <c r="G1062" s="4" t="s">
        <v>25</v>
      </c>
      <c r="H1062" s="4" t="s">
        <v>38</v>
      </c>
      <c r="I1062" s="5">
        <v>44866</v>
      </c>
      <c r="J1062" s="6">
        <v>0</v>
      </c>
      <c r="K1062" s="6">
        <v>0</v>
      </c>
      <c r="L1062" s="6">
        <v>1.903</v>
      </c>
      <c r="M1062" s="6">
        <v>1.903</v>
      </c>
      <c r="N1062" s="6">
        <v>1.903</v>
      </c>
      <c r="O1062" s="6">
        <v>1.903</v>
      </c>
      <c r="P1062" s="6">
        <v>0</v>
      </c>
      <c r="Q1062" s="4" t="s">
        <v>26</v>
      </c>
      <c r="R1062" s="4">
        <v>0</v>
      </c>
      <c r="S1062" s="4" t="s">
        <v>282</v>
      </c>
      <c r="T1062" s="4" t="s">
        <v>552</v>
      </c>
      <c r="U1062" s="4">
        <v>0</v>
      </c>
      <c r="V1062" s="4">
        <v>37</v>
      </c>
      <c r="W1062" s="4">
        <v>81</v>
      </c>
    </row>
    <row r="1063" spans="1:23" ht="11.25" customHeight="1" x14ac:dyDescent="0.25">
      <c r="A1063" s="4" t="s">
        <v>59</v>
      </c>
      <c r="B1063" s="4" t="s">
        <v>22</v>
      </c>
      <c r="C1063" s="4" t="s">
        <v>35</v>
      </c>
      <c r="D1063" s="4" t="s">
        <v>24</v>
      </c>
      <c r="E1063" s="4" t="s">
        <v>24</v>
      </c>
      <c r="F1063" s="4" t="s">
        <v>25</v>
      </c>
      <c r="G1063" s="4" t="s">
        <v>25</v>
      </c>
      <c r="H1063" s="4" t="s">
        <v>38</v>
      </c>
      <c r="I1063" s="5">
        <v>44866</v>
      </c>
      <c r="J1063" s="6">
        <v>0</v>
      </c>
      <c r="K1063" s="6">
        <v>0</v>
      </c>
      <c r="L1063" s="6">
        <v>2.7E-2</v>
      </c>
      <c r="M1063" s="6">
        <v>2.7E-2</v>
      </c>
      <c r="N1063" s="6">
        <v>2.7E-2</v>
      </c>
      <c r="O1063" s="6">
        <v>2.7E-2</v>
      </c>
      <c r="P1063" s="6">
        <v>0</v>
      </c>
      <c r="Q1063" s="4" t="s">
        <v>26</v>
      </c>
      <c r="R1063" s="4">
        <v>0</v>
      </c>
      <c r="S1063" s="4" t="s">
        <v>282</v>
      </c>
      <c r="T1063" s="4" t="s">
        <v>552</v>
      </c>
      <c r="U1063" s="4">
        <v>0</v>
      </c>
      <c r="V1063" s="4">
        <v>37</v>
      </c>
      <c r="W1063" s="4">
        <v>81</v>
      </c>
    </row>
    <row r="1064" spans="1:23" ht="11.25" customHeight="1" x14ac:dyDescent="0.25">
      <c r="A1064" s="4" t="s">
        <v>59</v>
      </c>
      <c r="B1064" s="4" t="s">
        <v>22</v>
      </c>
      <c r="C1064" s="4" t="s">
        <v>35</v>
      </c>
      <c r="D1064" s="4" t="s">
        <v>24</v>
      </c>
      <c r="E1064" s="4" t="s">
        <v>24</v>
      </c>
      <c r="F1064" s="4" t="s">
        <v>25</v>
      </c>
      <c r="G1064" s="4" t="s">
        <v>25</v>
      </c>
      <c r="H1064" s="4" t="s">
        <v>38</v>
      </c>
      <c r="I1064" s="5">
        <v>44866</v>
      </c>
      <c r="J1064" s="6">
        <v>0</v>
      </c>
      <c r="K1064" s="6">
        <v>0</v>
      </c>
      <c r="L1064" s="6">
        <v>5.1999999999999998E-2</v>
      </c>
      <c r="M1064" s="6">
        <v>5.1999999999999998E-2</v>
      </c>
      <c r="N1064" s="6">
        <v>5.1999999999999998E-2</v>
      </c>
      <c r="O1064" s="6">
        <v>5.1999999999999998E-2</v>
      </c>
      <c r="P1064" s="6">
        <v>0</v>
      </c>
      <c r="Q1064" s="4" t="s">
        <v>26</v>
      </c>
      <c r="R1064" s="4">
        <v>0</v>
      </c>
      <c r="S1064" s="4" t="s">
        <v>282</v>
      </c>
      <c r="T1064" s="4" t="s">
        <v>552</v>
      </c>
      <c r="U1064" s="4">
        <v>0</v>
      </c>
      <c r="V1064" s="4">
        <v>37</v>
      </c>
      <c r="W1064" s="4">
        <v>81</v>
      </c>
    </row>
    <row r="1065" spans="1:23" ht="11.25" customHeight="1" x14ac:dyDescent="0.25">
      <c r="A1065" s="4" t="s">
        <v>59</v>
      </c>
      <c r="B1065" s="4" t="s">
        <v>22</v>
      </c>
      <c r="C1065" s="4" t="s">
        <v>35</v>
      </c>
      <c r="D1065" s="4" t="s">
        <v>24</v>
      </c>
      <c r="E1065" s="4" t="s">
        <v>24</v>
      </c>
      <c r="F1065" s="4" t="s">
        <v>25</v>
      </c>
      <c r="G1065" s="4" t="s">
        <v>25</v>
      </c>
      <c r="H1065" s="4" t="s">
        <v>38</v>
      </c>
      <c r="I1065" s="5">
        <v>44866</v>
      </c>
      <c r="J1065" s="6">
        <v>0</v>
      </c>
      <c r="K1065" s="6">
        <v>0</v>
      </c>
      <c r="L1065" s="6">
        <v>-8.9999999999999993E-3</v>
      </c>
      <c r="M1065" s="6">
        <v>-8.9999999999999993E-3</v>
      </c>
      <c r="N1065" s="6">
        <v>-8.9999999999999993E-3</v>
      </c>
      <c r="O1065" s="6">
        <v>-8.9999999999999993E-3</v>
      </c>
      <c r="P1065" s="6">
        <v>0</v>
      </c>
      <c r="Q1065" s="4" t="s">
        <v>26</v>
      </c>
      <c r="R1065" s="4">
        <v>0</v>
      </c>
      <c r="S1065" s="4" t="s">
        <v>282</v>
      </c>
      <c r="T1065" s="4" t="s">
        <v>552</v>
      </c>
      <c r="U1065" s="4">
        <v>0</v>
      </c>
      <c r="V1065" s="4">
        <v>37</v>
      </c>
      <c r="W1065" s="4">
        <v>81</v>
      </c>
    </row>
    <row r="1066" spans="1:23" ht="11.25" customHeight="1" x14ac:dyDescent="0.25">
      <c r="A1066" s="4" t="s">
        <v>21</v>
      </c>
      <c r="B1066" s="4" t="s">
        <v>22</v>
      </c>
      <c r="C1066" s="4" t="s">
        <v>35</v>
      </c>
      <c r="D1066" s="4" t="s">
        <v>24</v>
      </c>
      <c r="E1066" s="4" t="s">
        <v>24</v>
      </c>
      <c r="F1066" s="4" t="s">
        <v>25</v>
      </c>
      <c r="G1066" s="4" t="s">
        <v>25</v>
      </c>
      <c r="H1066" s="4" t="s">
        <v>36</v>
      </c>
      <c r="I1066" s="5">
        <v>44531</v>
      </c>
      <c r="J1066" s="6">
        <v>0</v>
      </c>
      <c r="K1066" s="6">
        <v>0</v>
      </c>
      <c r="L1066" s="6">
        <v>3.5390000000000001</v>
      </c>
      <c r="M1066" s="6">
        <v>3.5390000000000001</v>
      </c>
      <c r="N1066" s="6">
        <v>3.5390000000000001</v>
      </c>
      <c r="O1066" s="6">
        <v>3.5390000000000001</v>
      </c>
      <c r="P1066" s="6">
        <v>0</v>
      </c>
      <c r="Q1066" s="4" t="s">
        <v>26</v>
      </c>
      <c r="R1066" s="4">
        <v>0</v>
      </c>
      <c r="S1066" s="4" t="s">
        <v>283</v>
      </c>
      <c r="T1066" s="4" t="s">
        <v>553</v>
      </c>
      <c r="U1066" s="4">
        <v>0</v>
      </c>
      <c r="V1066" s="4">
        <v>36</v>
      </c>
      <c r="W1066" s="4">
        <v>80</v>
      </c>
    </row>
    <row r="1067" spans="1:23" ht="11.25" customHeight="1" x14ac:dyDescent="0.25">
      <c r="A1067" s="4" t="s">
        <v>28</v>
      </c>
      <c r="B1067" s="4" t="s">
        <v>22</v>
      </c>
      <c r="C1067" s="4" t="s">
        <v>35</v>
      </c>
      <c r="D1067" s="4" t="s">
        <v>24</v>
      </c>
      <c r="E1067" s="4" t="s">
        <v>24</v>
      </c>
      <c r="F1067" s="4" t="s">
        <v>25</v>
      </c>
      <c r="G1067" s="4" t="s">
        <v>25</v>
      </c>
      <c r="H1067" s="4" t="s">
        <v>36</v>
      </c>
      <c r="I1067" s="5">
        <v>44531</v>
      </c>
      <c r="J1067" s="6">
        <v>0</v>
      </c>
      <c r="K1067" s="6">
        <v>0</v>
      </c>
      <c r="L1067" s="6">
        <v>5.3999999999999999E-2</v>
      </c>
      <c r="M1067" s="6">
        <v>5.3999999999999999E-2</v>
      </c>
      <c r="N1067" s="6">
        <v>5.3999999999999999E-2</v>
      </c>
      <c r="O1067" s="6">
        <v>5.3999999999999999E-2</v>
      </c>
      <c r="P1067" s="6">
        <v>0</v>
      </c>
      <c r="Q1067" s="4" t="s">
        <v>26</v>
      </c>
      <c r="R1067" s="4">
        <v>0</v>
      </c>
      <c r="S1067" s="4" t="s">
        <v>283</v>
      </c>
      <c r="T1067" s="4" t="s">
        <v>553</v>
      </c>
      <c r="U1067" s="4">
        <v>0</v>
      </c>
      <c r="V1067" s="4">
        <v>36</v>
      </c>
      <c r="W1067" s="4">
        <v>80</v>
      </c>
    </row>
    <row r="1068" spans="1:23" ht="11.25" customHeight="1" x14ac:dyDescent="0.25">
      <c r="A1068" s="4" t="s">
        <v>30</v>
      </c>
      <c r="B1068" s="4" t="s">
        <v>22</v>
      </c>
      <c r="C1068" s="4" t="s">
        <v>35</v>
      </c>
      <c r="D1068" s="4" t="s">
        <v>24</v>
      </c>
      <c r="E1068" s="4" t="s">
        <v>24</v>
      </c>
      <c r="F1068" s="4" t="s">
        <v>25</v>
      </c>
      <c r="G1068" s="4" t="s">
        <v>25</v>
      </c>
      <c r="H1068" s="4" t="s">
        <v>36</v>
      </c>
      <c r="I1068" s="5">
        <v>44531</v>
      </c>
      <c r="J1068" s="6">
        <v>0</v>
      </c>
      <c r="K1068" s="6">
        <v>0</v>
      </c>
      <c r="L1068" s="6">
        <v>0.27</v>
      </c>
      <c r="M1068" s="6">
        <v>0.27</v>
      </c>
      <c r="N1068" s="6">
        <v>0.27</v>
      </c>
      <c r="O1068" s="6">
        <v>0.27</v>
      </c>
      <c r="P1068" s="6">
        <v>0</v>
      </c>
      <c r="Q1068" s="4" t="s">
        <v>26</v>
      </c>
      <c r="R1068" s="4">
        <v>0</v>
      </c>
      <c r="S1068" s="4" t="s">
        <v>283</v>
      </c>
      <c r="T1068" s="4" t="s">
        <v>553</v>
      </c>
      <c r="U1068" s="4">
        <v>0</v>
      </c>
      <c r="V1068" s="4">
        <v>36</v>
      </c>
      <c r="W1068" s="4">
        <v>80</v>
      </c>
    </row>
    <row r="1069" spans="1:23" ht="11.25" customHeight="1" x14ac:dyDescent="0.25">
      <c r="A1069" s="4" t="s">
        <v>30</v>
      </c>
      <c r="B1069" s="4" t="s">
        <v>22</v>
      </c>
      <c r="C1069" s="4" t="s">
        <v>35</v>
      </c>
      <c r="D1069" s="4" t="s">
        <v>24</v>
      </c>
      <c r="E1069" s="4" t="s">
        <v>24</v>
      </c>
      <c r="F1069" s="4" t="s">
        <v>25</v>
      </c>
      <c r="G1069" s="4" t="s">
        <v>25</v>
      </c>
      <c r="H1069" s="4" t="s">
        <v>36</v>
      </c>
      <c r="I1069" s="5">
        <v>44531</v>
      </c>
      <c r="J1069" s="6">
        <v>0</v>
      </c>
      <c r="K1069" s="6">
        <v>0</v>
      </c>
      <c r="L1069" s="6">
        <v>-2.9000000000000001E-2</v>
      </c>
      <c r="M1069" s="6">
        <v>-2.9000000000000001E-2</v>
      </c>
      <c r="N1069" s="6">
        <v>-2.9000000000000001E-2</v>
      </c>
      <c r="O1069" s="6">
        <v>-2.9000000000000001E-2</v>
      </c>
      <c r="P1069" s="6">
        <v>0</v>
      </c>
      <c r="Q1069" s="4" t="s">
        <v>26</v>
      </c>
      <c r="R1069" s="4">
        <v>0</v>
      </c>
      <c r="S1069" s="4" t="s">
        <v>283</v>
      </c>
      <c r="T1069" s="4" t="s">
        <v>553</v>
      </c>
      <c r="U1069" s="4">
        <v>0</v>
      </c>
      <c r="V1069" s="4">
        <v>36</v>
      </c>
      <c r="W1069" s="4">
        <v>80</v>
      </c>
    </row>
    <row r="1070" spans="1:23" ht="11.25" customHeight="1" x14ac:dyDescent="0.25">
      <c r="A1070" s="4" t="s">
        <v>21</v>
      </c>
      <c r="B1070" s="4" t="s">
        <v>22</v>
      </c>
      <c r="C1070" s="4" t="s">
        <v>35</v>
      </c>
      <c r="D1070" s="4" t="s">
        <v>24</v>
      </c>
      <c r="E1070" s="4" t="s">
        <v>24</v>
      </c>
      <c r="F1070" s="4" t="s">
        <v>25</v>
      </c>
      <c r="G1070" s="4" t="s">
        <v>25</v>
      </c>
      <c r="H1070" s="4" t="s">
        <v>36</v>
      </c>
      <c r="I1070" s="5">
        <v>44562</v>
      </c>
      <c r="J1070" s="6">
        <v>0</v>
      </c>
      <c r="K1070" s="6">
        <v>0</v>
      </c>
      <c r="L1070" s="6">
        <v>3.177</v>
      </c>
      <c r="M1070" s="6">
        <v>3.177</v>
      </c>
      <c r="N1070" s="6">
        <v>3.177</v>
      </c>
      <c r="O1070" s="6">
        <v>3.177</v>
      </c>
      <c r="P1070" s="6">
        <v>0</v>
      </c>
      <c r="Q1070" s="4" t="s">
        <v>26</v>
      </c>
      <c r="R1070" s="4">
        <v>0</v>
      </c>
      <c r="S1070" s="4" t="s">
        <v>284</v>
      </c>
      <c r="T1070" s="4" t="s">
        <v>554</v>
      </c>
      <c r="U1070" s="4">
        <v>0</v>
      </c>
      <c r="V1070" s="4">
        <v>36</v>
      </c>
      <c r="W1070" s="4">
        <v>80</v>
      </c>
    </row>
    <row r="1071" spans="1:23" ht="11.25" customHeight="1" x14ac:dyDescent="0.25">
      <c r="A1071" s="4" t="s">
        <v>28</v>
      </c>
      <c r="B1071" s="4" t="s">
        <v>22</v>
      </c>
      <c r="C1071" s="4" t="s">
        <v>35</v>
      </c>
      <c r="D1071" s="4" t="s">
        <v>24</v>
      </c>
      <c r="E1071" s="4" t="s">
        <v>24</v>
      </c>
      <c r="F1071" s="4" t="s">
        <v>25</v>
      </c>
      <c r="G1071" s="4" t="s">
        <v>25</v>
      </c>
      <c r="H1071" s="4" t="s">
        <v>36</v>
      </c>
      <c r="I1071" s="5">
        <v>44562</v>
      </c>
      <c r="J1071" s="6">
        <v>0</v>
      </c>
      <c r="K1071" s="6">
        <v>0</v>
      </c>
      <c r="L1071" s="6">
        <v>6.6000000000000003E-2</v>
      </c>
      <c r="M1071" s="6">
        <v>6.6000000000000003E-2</v>
      </c>
      <c r="N1071" s="6">
        <v>6.6000000000000003E-2</v>
      </c>
      <c r="O1071" s="6">
        <v>6.6000000000000003E-2</v>
      </c>
      <c r="P1071" s="6">
        <v>0</v>
      </c>
      <c r="Q1071" s="4" t="s">
        <v>26</v>
      </c>
      <c r="R1071" s="4">
        <v>0</v>
      </c>
      <c r="S1071" s="4" t="s">
        <v>284</v>
      </c>
      <c r="T1071" s="4" t="s">
        <v>554</v>
      </c>
      <c r="U1071" s="4">
        <v>0</v>
      </c>
      <c r="V1071" s="4">
        <v>36</v>
      </c>
      <c r="W1071" s="4">
        <v>80</v>
      </c>
    </row>
    <row r="1072" spans="1:23" ht="11.25" customHeight="1" x14ac:dyDescent="0.25">
      <c r="A1072" s="4" t="s">
        <v>30</v>
      </c>
      <c r="B1072" s="4" t="s">
        <v>22</v>
      </c>
      <c r="C1072" s="4" t="s">
        <v>35</v>
      </c>
      <c r="D1072" s="4" t="s">
        <v>24</v>
      </c>
      <c r="E1072" s="4" t="s">
        <v>24</v>
      </c>
      <c r="F1072" s="4" t="s">
        <v>25</v>
      </c>
      <c r="G1072" s="4" t="s">
        <v>25</v>
      </c>
      <c r="H1072" s="4" t="s">
        <v>36</v>
      </c>
      <c r="I1072" s="5">
        <v>44562</v>
      </c>
      <c r="J1072" s="6">
        <v>0</v>
      </c>
      <c r="K1072" s="6">
        <v>0</v>
      </c>
      <c r="L1072" s="6">
        <v>0.16700000000000001</v>
      </c>
      <c r="M1072" s="6">
        <v>0.16700000000000001</v>
      </c>
      <c r="N1072" s="6">
        <v>0.16700000000000001</v>
      </c>
      <c r="O1072" s="6">
        <v>0.16700000000000001</v>
      </c>
      <c r="P1072" s="6">
        <v>0</v>
      </c>
      <c r="Q1072" s="4" t="s">
        <v>26</v>
      </c>
      <c r="R1072" s="4">
        <v>0</v>
      </c>
      <c r="S1072" s="4" t="s">
        <v>284</v>
      </c>
      <c r="T1072" s="4" t="s">
        <v>554</v>
      </c>
      <c r="U1072" s="4">
        <v>0</v>
      </c>
      <c r="V1072" s="4">
        <v>36</v>
      </c>
      <c r="W1072" s="4">
        <v>80</v>
      </c>
    </row>
    <row r="1073" spans="1:23" ht="11.25" customHeight="1" x14ac:dyDescent="0.25">
      <c r="A1073" s="4" t="s">
        <v>21</v>
      </c>
      <c r="B1073" s="4" t="s">
        <v>22</v>
      </c>
      <c r="C1073" s="4" t="s">
        <v>35</v>
      </c>
      <c r="D1073" s="4" t="s">
        <v>24</v>
      </c>
      <c r="E1073" s="4" t="s">
        <v>24</v>
      </c>
      <c r="F1073" s="4" t="s">
        <v>25</v>
      </c>
      <c r="G1073" s="4" t="s">
        <v>25</v>
      </c>
      <c r="H1073" s="4" t="s">
        <v>36</v>
      </c>
      <c r="I1073" s="5">
        <v>44593</v>
      </c>
      <c r="J1073" s="6">
        <v>0</v>
      </c>
      <c r="K1073" s="6">
        <v>0</v>
      </c>
      <c r="L1073" s="6">
        <v>3.38</v>
      </c>
      <c r="M1073" s="6">
        <v>3.38</v>
      </c>
      <c r="N1073" s="6">
        <v>3.38</v>
      </c>
      <c r="O1073" s="6">
        <v>3.38</v>
      </c>
      <c r="P1073" s="6">
        <v>0</v>
      </c>
      <c r="Q1073" s="4" t="s">
        <v>26</v>
      </c>
      <c r="R1073" s="4">
        <v>0</v>
      </c>
      <c r="S1073" s="4" t="s">
        <v>285</v>
      </c>
      <c r="T1073" s="4" t="s">
        <v>555</v>
      </c>
      <c r="U1073" s="4">
        <v>0</v>
      </c>
      <c r="V1073" s="4">
        <v>36</v>
      </c>
      <c r="W1073" s="4">
        <v>80</v>
      </c>
    </row>
    <row r="1074" spans="1:23" ht="11.25" customHeight="1" x14ac:dyDescent="0.25">
      <c r="A1074" s="4" t="s">
        <v>27</v>
      </c>
      <c r="B1074" s="4" t="s">
        <v>22</v>
      </c>
      <c r="C1074" s="4" t="s">
        <v>35</v>
      </c>
      <c r="D1074" s="4" t="s">
        <v>24</v>
      </c>
      <c r="E1074" s="4" t="s">
        <v>24</v>
      </c>
      <c r="F1074" s="4" t="s">
        <v>25</v>
      </c>
      <c r="G1074" s="4" t="s">
        <v>25</v>
      </c>
      <c r="H1074" s="4" t="s">
        <v>36</v>
      </c>
      <c r="I1074" s="5">
        <v>44593</v>
      </c>
      <c r="J1074" s="6">
        <v>0</v>
      </c>
      <c r="K1074" s="6">
        <v>0</v>
      </c>
      <c r="L1074" s="6">
        <v>2.4E-2</v>
      </c>
      <c r="M1074" s="6">
        <v>2.4E-2</v>
      </c>
      <c r="N1074" s="6">
        <v>2.4E-2</v>
      </c>
      <c r="O1074" s="6">
        <v>2.4E-2</v>
      </c>
      <c r="P1074" s="6">
        <v>0</v>
      </c>
      <c r="Q1074" s="4" t="s">
        <v>26</v>
      </c>
      <c r="R1074" s="4">
        <v>0</v>
      </c>
      <c r="S1074" s="4" t="s">
        <v>285</v>
      </c>
      <c r="T1074" s="4" t="s">
        <v>555</v>
      </c>
      <c r="U1074" s="4">
        <v>0</v>
      </c>
      <c r="V1074" s="4">
        <v>36</v>
      </c>
      <c r="W1074" s="4">
        <v>80</v>
      </c>
    </row>
    <row r="1075" spans="1:23" ht="11.25" customHeight="1" x14ac:dyDescent="0.25">
      <c r="A1075" s="4" t="s">
        <v>28</v>
      </c>
      <c r="B1075" s="4" t="s">
        <v>22</v>
      </c>
      <c r="C1075" s="4" t="s">
        <v>35</v>
      </c>
      <c r="D1075" s="4" t="s">
        <v>24</v>
      </c>
      <c r="E1075" s="4" t="s">
        <v>24</v>
      </c>
      <c r="F1075" s="4" t="s">
        <v>25</v>
      </c>
      <c r="G1075" s="4" t="s">
        <v>25</v>
      </c>
      <c r="H1075" s="4" t="s">
        <v>36</v>
      </c>
      <c r="I1075" s="5">
        <v>44593</v>
      </c>
      <c r="J1075" s="6">
        <v>0</v>
      </c>
      <c r="K1075" s="6">
        <v>0</v>
      </c>
      <c r="L1075" s="6">
        <v>6.6000000000000003E-2</v>
      </c>
      <c r="M1075" s="6">
        <v>6.6000000000000003E-2</v>
      </c>
      <c r="N1075" s="6">
        <v>6.6000000000000003E-2</v>
      </c>
      <c r="O1075" s="6">
        <v>6.6000000000000003E-2</v>
      </c>
      <c r="P1075" s="6">
        <v>0</v>
      </c>
      <c r="Q1075" s="4" t="s">
        <v>26</v>
      </c>
      <c r="R1075" s="4">
        <v>0</v>
      </c>
      <c r="S1075" s="4" t="s">
        <v>285</v>
      </c>
      <c r="T1075" s="4" t="s">
        <v>555</v>
      </c>
      <c r="U1075" s="4">
        <v>0</v>
      </c>
      <c r="V1075" s="4">
        <v>36</v>
      </c>
      <c r="W1075" s="4">
        <v>80</v>
      </c>
    </row>
    <row r="1076" spans="1:23" ht="11.25" customHeight="1" x14ac:dyDescent="0.25">
      <c r="A1076" s="4" t="s">
        <v>30</v>
      </c>
      <c r="B1076" s="4" t="s">
        <v>22</v>
      </c>
      <c r="C1076" s="4" t="s">
        <v>35</v>
      </c>
      <c r="D1076" s="4" t="s">
        <v>24</v>
      </c>
      <c r="E1076" s="4" t="s">
        <v>24</v>
      </c>
      <c r="F1076" s="4" t="s">
        <v>25</v>
      </c>
      <c r="G1076" s="4" t="s">
        <v>25</v>
      </c>
      <c r="H1076" s="4" t="s">
        <v>36</v>
      </c>
      <c r="I1076" s="5">
        <v>44593</v>
      </c>
      <c r="J1076" s="6">
        <v>0</v>
      </c>
      <c r="K1076" s="6">
        <v>0</v>
      </c>
      <c r="L1076" s="6">
        <v>2.7E-2</v>
      </c>
      <c r="M1076" s="6">
        <v>2.7E-2</v>
      </c>
      <c r="N1076" s="6">
        <v>2.7E-2</v>
      </c>
      <c r="O1076" s="6">
        <v>2.7E-2</v>
      </c>
      <c r="P1076" s="6">
        <v>0</v>
      </c>
      <c r="Q1076" s="4" t="s">
        <v>26</v>
      </c>
      <c r="R1076" s="4">
        <v>0</v>
      </c>
      <c r="S1076" s="4" t="s">
        <v>285</v>
      </c>
      <c r="T1076" s="4" t="s">
        <v>555</v>
      </c>
      <c r="U1076" s="4">
        <v>0</v>
      </c>
      <c r="V1076" s="4">
        <v>36</v>
      </c>
      <c r="W1076" s="4">
        <v>80</v>
      </c>
    </row>
    <row r="1077" spans="1:23" ht="11.25" customHeight="1" x14ac:dyDescent="0.25">
      <c r="A1077" s="4" t="s">
        <v>30</v>
      </c>
      <c r="B1077" s="4" t="s">
        <v>22</v>
      </c>
      <c r="C1077" s="4" t="s">
        <v>35</v>
      </c>
      <c r="D1077" s="4" t="s">
        <v>24</v>
      </c>
      <c r="E1077" s="4" t="s">
        <v>24</v>
      </c>
      <c r="F1077" s="4" t="s">
        <v>25</v>
      </c>
      <c r="G1077" s="4" t="s">
        <v>25</v>
      </c>
      <c r="H1077" s="4" t="s">
        <v>36</v>
      </c>
      <c r="I1077" s="5">
        <v>44593</v>
      </c>
      <c r="J1077" s="6">
        <v>0</v>
      </c>
      <c r="K1077" s="6">
        <v>0</v>
      </c>
      <c r="L1077" s="6">
        <v>-2.9000000000000001E-2</v>
      </c>
      <c r="M1077" s="6">
        <v>-2.9000000000000001E-2</v>
      </c>
      <c r="N1077" s="6">
        <v>-2.9000000000000001E-2</v>
      </c>
      <c r="O1077" s="6">
        <v>-2.9000000000000001E-2</v>
      </c>
      <c r="P1077" s="6">
        <v>0</v>
      </c>
      <c r="Q1077" s="4" t="s">
        <v>26</v>
      </c>
      <c r="R1077" s="4">
        <v>0</v>
      </c>
      <c r="S1077" s="4" t="s">
        <v>285</v>
      </c>
      <c r="T1077" s="4" t="s">
        <v>555</v>
      </c>
      <c r="U1077" s="4">
        <v>0</v>
      </c>
      <c r="V1077" s="4">
        <v>36</v>
      </c>
      <c r="W1077" s="4">
        <v>80</v>
      </c>
    </row>
    <row r="1078" spans="1:23" ht="11.25" customHeight="1" x14ac:dyDescent="0.25">
      <c r="A1078" s="4" t="s">
        <v>21</v>
      </c>
      <c r="B1078" s="4" t="s">
        <v>22</v>
      </c>
      <c r="C1078" s="4" t="s">
        <v>35</v>
      </c>
      <c r="D1078" s="4" t="s">
        <v>24</v>
      </c>
      <c r="E1078" s="4" t="s">
        <v>24</v>
      </c>
      <c r="F1078" s="4" t="s">
        <v>25</v>
      </c>
      <c r="G1078" s="4" t="s">
        <v>25</v>
      </c>
      <c r="H1078" s="4" t="s">
        <v>36</v>
      </c>
      <c r="I1078" s="5">
        <v>44621</v>
      </c>
      <c r="J1078" s="6">
        <v>0</v>
      </c>
      <c r="K1078" s="6">
        <v>0</v>
      </c>
      <c r="L1078" s="6">
        <v>7.8840000000000003</v>
      </c>
      <c r="M1078" s="6">
        <v>7.8840000000000003</v>
      </c>
      <c r="N1078" s="6">
        <v>7.8840000000000003</v>
      </c>
      <c r="O1078" s="6">
        <v>7.8840000000000003</v>
      </c>
      <c r="P1078" s="6">
        <v>0</v>
      </c>
      <c r="Q1078" s="4" t="s">
        <v>26</v>
      </c>
      <c r="R1078" s="4">
        <v>0</v>
      </c>
      <c r="S1078" s="4" t="s">
        <v>286</v>
      </c>
      <c r="T1078" s="4" t="s">
        <v>556</v>
      </c>
      <c r="U1078" s="4">
        <v>0</v>
      </c>
      <c r="V1078" s="4">
        <v>36</v>
      </c>
      <c r="W1078" s="4">
        <v>80</v>
      </c>
    </row>
    <row r="1079" spans="1:23" ht="11.25" customHeight="1" x14ac:dyDescent="0.25">
      <c r="A1079" s="4" t="s">
        <v>28</v>
      </c>
      <c r="B1079" s="4" t="s">
        <v>22</v>
      </c>
      <c r="C1079" s="4" t="s">
        <v>35</v>
      </c>
      <c r="D1079" s="4" t="s">
        <v>24</v>
      </c>
      <c r="E1079" s="4" t="s">
        <v>24</v>
      </c>
      <c r="F1079" s="4" t="s">
        <v>25</v>
      </c>
      <c r="G1079" s="4" t="s">
        <v>25</v>
      </c>
      <c r="H1079" s="4" t="s">
        <v>36</v>
      </c>
      <c r="I1079" s="5">
        <v>44621</v>
      </c>
      <c r="J1079" s="6">
        <v>0</v>
      </c>
      <c r="K1079" s="6">
        <v>0</v>
      </c>
      <c r="L1079" s="6">
        <v>8.6999999999999994E-2</v>
      </c>
      <c r="M1079" s="6">
        <v>8.6999999999999994E-2</v>
      </c>
      <c r="N1079" s="6">
        <v>8.6999999999999994E-2</v>
      </c>
      <c r="O1079" s="6">
        <v>8.6999999999999994E-2</v>
      </c>
      <c r="P1079" s="6">
        <v>0</v>
      </c>
      <c r="Q1079" s="4" t="s">
        <v>26</v>
      </c>
      <c r="R1079" s="4">
        <v>0</v>
      </c>
      <c r="S1079" s="4" t="s">
        <v>286</v>
      </c>
      <c r="T1079" s="4" t="s">
        <v>556</v>
      </c>
      <c r="U1079" s="4">
        <v>0</v>
      </c>
      <c r="V1079" s="4">
        <v>36</v>
      </c>
      <c r="W1079" s="4">
        <v>80</v>
      </c>
    </row>
    <row r="1080" spans="1:23" ht="11.25" customHeight="1" x14ac:dyDescent="0.25">
      <c r="A1080" s="4" t="s">
        <v>30</v>
      </c>
      <c r="B1080" s="4" t="s">
        <v>22</v>
      </c>
      <c r="C1080" s="4" t="s">
        <v>35</v>
      </c>
      <c r="D1080" s="4" t="s">
        <v>24</v>
      </c>
      <c r="E1080" s="4" t="s">
        <v>24</v>
      </c>
      <c r="F1080" s="4" t="s">
        <v>25</v>
      </c>
      <c r="G1080" s="4" t="s">
        <v>25</v>
      </c>
      <c r="H1080" s="4" t="s">
        <v>36</v>
      </c>
      <c r="I1080" s="5">
        <v>44621</v>
      </c>
      <c r="J1080" s="6">
        <v>0</v>
      </c>
      <c r="K1080" s="6">
        <v>0</v>
      </c>
      <c r="L1080" s="6">
        <v>3.5000000000000003E-2</v>
      </c>
      <c r="M1080" s="6">
        <v>3.5000000000000003E-2</v>
      </c>
      <c r="N1080" s="6">
        <v>3.5000000000000003E-2</v>
      </c>
      <c r="O1080" s="6">
        <v>3.5000000000000003E-2</v>
      </c>
      <c r="P1080" s="6">
        <v>0</v>
      </c>
      <c r="Q1080" s="4" t="s">
        <v>26</v>
      </c>
      <c r="R1080" s="4">
        <v>0</v>
      </c>
      <c r="S1080" s="4" t="s">
        <v>286</v>
      </c>
      <c r="T1080" s="4" t="s">
        <v>556</v>
      </c>
      <c r="U1080" s="4">
        <v>0</v>
      </c>
      <c r="V1080" s="4">
        <v>36</v>
      </c>
      <c r="W1080" s="4">
        <v>80</v>
      </c>
    </row>
    <row r="1081" spans="1:23" ht="11.25" customHeight="1" x14ac:dyDescent="0.25">
      <c r="A1081" s="4" t="s">
        <v>21</v>
      </c>
      <c r="B1081" s="4" t="s">
        <v>22</v>
      </c>
      <c r="C1081" s="4" t="s">
        <v>35</v>
      </c>
      <c r="D1081" s="4" t="s">
        <v>24</v>
      </c>
      <c r="E1081" s="4" t="s">
        <v>24</v>
      </c>
      <c r="F1081" s="4" t="s">
        <v>25</v>
      </c>
      <c r="G1081" s="4" t="s">
        <v>25</v>
      </c>
      <c r="H1081" s="4" t="s">
        <v>36</v>
      </c>
      <c r="I1081" s="5">
        <v>44652</v>
      </c>
      <c r="J1081" s="6">
        <v>0</v>
      </c>
      <c r="K1081" s="6">
        <v>0</v>
      </c>
      <c r="L1081" s="6">
        <v>3.5920000000000001</v>
      </c>
      <c r="M1081" s="6">
        <v>3.5920000000000001</v>
      </c>
      <c r="N1081" s="6">
        <v>3.5920000000000001</v>
      </c>
      <c r="O1081" s="6">
        <v>3.5920000000000001</v>
      </c>
      <c r="P1081" s="6">
        <v>0</v>
      </c>
      <c r="Q1081" s="4" t="s">
        <v>26</v>
      </c>
      <c r="R1081" s="4">
        <v>0</v>
      </c>
      <c r="S1081" s="4" t="s">
        <v>287</v>
      </c>
      <c r="T1081" s="4" t="s">
        <v>557</v>
      </c>
      <c r="U1081" s="4">
        <v>0</v>
      </c>
      <c r="V1081" s="4">
        <v>36</v>
      </c>
      <c r="W1081" s="4">
        <v>80</v>
      </c>
    </row>
    <row r="1082" spans="1:23" ht="11.25" customHeight="1" x14ac:dyDescent="0.25">
      <c r="A1082" s="4" t="s">
        <v>27</v>
      </c>
      <c r="B1082" s="4" t="s">
        <v>22</v>
      </c>
      <c r="C1082" s="4" t="s">
        <v>35</v>
      </c>
      <c r="D1082" s="4" t="s">
        <v>24</v>
      </c>
      <c r="E1082" s="4" t="s">
        <v>24</v>
      </c>
      <c r="F1082" s="4" t="s">
        <v>25</v>
      </c>
      <c r="G1082" s="4" t="s">
        <v>25</v>
      </c>
      <c r="H1082" s="4" t="s">
        <v>36</v>
      </c>
      <c r="I1082" s="5">
        <v>44652</v>
      </c>
      <c r="J1082" s="6">
        <v>0</v>
      </c>
      <c r="K1082" s="6">
        <v>0</v>
      </c>
      <c r="L1082" s="6">
        <v>-2.59</v>
      </c>
      <c r="M1082" s="6">
        <v>-2.59</v>
      </c>
      <c r="N1082" s="6">
        <v>-2.59</v>
      </c>
      <c r="O1082" s="6">
        <v>-2.59</v>
      </c>
      <c r="P1082" s="6">
        <v>0</v>
      </c>
      <c r="Q1082" s="4" t="s">
        <v>26</v>
      </c>
      <c r="R1082" s="4">
        <v>0</v>
      </c>
      <c r="S1082" s="4" t="s">
        <v>287</v>
      </c>
      <c r="T1082" s="4" t="s">
        <v>557</v>
      </c>
      <c r="U1082" s="4">
        <v>0</v>
      </c>
      <c r="V1082" s="4">
        <v>36</v>
      </c>
      <c r="W1082" s="4">
        <v>80</v>
      </c>
    </row>
    <row r="1083" spans="1:23" ht="11.25" customHeight="1" x14ac:dyDescent="0.25">
      <c r="A1083" s="4" t="s">
        <v>28</v>
      </c>
      <c r="B1083" s="4" t="s">
        <v>22</v>
      </c>
      <c r="C1083" s="4" t="s">
        <v>35</v>
      </c>
      <c r="D1083" s="4" t="s">
        <v>24</v>
      </c>
      <c r="E1083" s="4" t="s">
        <v>24</v>
      </c>
      <c r="F1083" s="4" t="s">
        <v>25</v>
      </c>
      <c r="G1083" s="4" t="s">
        <v>25</v>
      </c>
      <c r="H1083" s="4" t="s">
        <v>36</v>
      </c>
      <c r="I1083" s="5">
        <v>44652</v>
      </c>
      <c r="J1083" s="6">
        <v>0</v>
      </c>
      <c r="K1083" s="6">
        <v>0</v>
      </c>
      <c r="L1083" s="6">
        <v>8.5000000000000006E-2</v>
      </c>
      <c r="M1083" s="6">
        <v>8.5000000000000006E-2</v>
      </c>
      <c r="N1083" s="6">
        <v>8.5000000000000006E-2</v>
      </c>
      <c r="O1083" s="6">
        <v>8.5000000000000006E-2</v>
      </c>
      <c r="P1083" s="6">
        <v>0</v>
      </c>
      <c r="Q1083" s="4" t="s">
        <v>26</v>
      </c>
      <c r="R1083" s="4">
        <v>0</v>
      </c>
      <c r="S1083" s="4" t="s">
        <v>287</v>
      </c>
      <c r="T1083" s="4" t="s">
        <v>557</v>
      </c>
      <c r="U1083" s="4">
        <v>0</v>
      </c>
      <c r="V1083" s="4">
        <v>36</v>
      </c>
      <c r="W1083" s="4">
        <v>80</v>
      </c>
    </row>
    <row r="1084" spans="1:23" ht="11.25" customHeight="1" x14ac:dyDescent="0.25">
      <c r="A1084" s="4" t="s">
        <v>30</v>
      </c>
      <c r="B1084" s="4" t="s">
        <v>22</v>
      </c>
      <c r="C1084" s="4" t="s">
        <v>35</v>
      </c>
      <c r="D1084" s="4" t="s">
        <v>24</v>
      </c>
      <c r="E1084" s="4" t="s">
        <v>24</v>
      </c>
      <c r="F1084" s="4" t="s">
        <v>25</v>
      </c>
      <c r="G1084" s="4" t="s">
        <v>25</v>
      </c>
      <c r="H1084" s="4" t="s">
        <v>36</v>
      </c>
      <c r="I1084" s="5">
        <v>44652</v>
      </c>
      <c r="J1084" s="6">
        <v>0</v>
      </c>
      <c r="K1084" s="6">
        <v>0</v>
      </c>
      <c r="L1084" s="6">
        <v>3.5000000000000003E-2</v>
      </c>
      <c r="M1084" s="6">
        <v>3.5000000000000003E-2</v>
      </c>
      <c r="N1084" s="6">
        <v>3.5000000000000003E-2</v>
      </c>
      <c r="O1084" s="6">
        <v>3.5000000000000003E-2</v>
      </c>
      <c r="P1084" s="6">
        <v>0</v>
      </c>
      <c r="Q1084" s="4" t="s">
        <v>26</v>
      </c>
      <c r="R1084" s="4">
        <v>0</v>
      </c>
      <c r="S1084" s="4" t="s">
        <v>287</v>
      </c>
      <c r="T1084" s="4" t="s">
        <v>557</v>
      </c>
      <c r="U1084" s="4">
        <v>0</v>
      </c>
      <c r="V1084" s="4">
        <v>36</v>
      </c>
      <c r="W1084" s="4">
        <v>80</v>
      </c>
    </row>
    <row r="1085" spans="1:23" ht="11.25" customHeight="1" x14ac:dyDescent="0.25">
      <c r="A1085" s="4" t="s">
        <v>21</v>
      </c>
      <c r="B1085" s="4" t="s">
        <v>22</v>
      </c>
      <c r="C1085" s="4" t="s">
        <v>35</v>
      </c>
      <c r="D1085" s="4" t="s">
        <v>24</v>
      </c>
      <c r="E1085" s="4" t="s">
        <v>24</v>
      </c>
      <c r="F1085" s="4" t="s">
        <v>25</v>
      </c>
      <c r="G1085" s="4" t="s">
        <v>25</v>
      </c>
      <c r="H1085" s="4" t="s">
        <v>36</v>
      </c>
      <c r="I1085" s="5">
        <v>44682</v>
      </c>
      <c r="J1085" s="6">
        <v>0</v>
      </c>
      <c r="K1085" s="6">
        <v>0</v>
      </c>
      <c r="L1085" s="6">
        <v>4.024</v>
      </c>
      <c r="M1085" s="6">
        <v>4.024</v>
      </c>
      <c r="N1085" s="6">
        <v>4.024</v>
      </c>
      <c r="O1085" s="6">
        <v>4.024</v>
      </c>
      <c r="P1085" s="6">
        <v>0</v>
      </c>
      <c r="Q1085" s="4" t="s">
        <v>26</v>
      </c>
      <c r="R1085" s="4">
        <v>0</v>
      </c>
      <c r="S1085" s="4" t="s">
        <v>288</v>
      </c>
      <c r="T1085" s="4" t="s">
        <v>558</v>
      </c>
      <c r="U1085" s="4">
        <v>0</v>
      </c>
      <c r="V1085" s="4">
        <v>36</v>
      </c>
      <c r="W1085" s="4">
        <v>80</v>
      </c>
    </row>
    <row r="1086" spans="1:23" ht="11.25" customHeight="1" x14ac:dyDescent="0.25">
      <c r="A1086" s="4" t="s">
        <v>28</v>
      </c>
      <c r="B1086" s="4" t="s">
        <v>22</v>
      </c>
      <c r="C1086" s="4" t="s">
        <v>35</v>
      </c>
      <c r="D1086" s="4" t="s">
        <v>24</v>
      </c>
      <c r="E1086" s="4" t="s">
        <v>24</v>
      </c>
      <c r="F1086" s="4" t="s">
        <v>25</v>
      </c>
      <c r="G1086" s="4" t="s">
        <v>25</v>
      </c>
      <c r="H1086" s="4" t="s">
        <v>36</v>
      </c>
      <c r="I1086" s="5">
        <v>44682</v>
      </c>
      <c r="J1086" s="6">
        <v>0</v>
      </c>
      <c r="K1086" s="6">
        <v>0</v>
      </c>
      <c r="L1086" s="6">
        <v>7.4999999999999997E-2</v>
      </c>
      <c r="M1086" s="6">
        <v>7.4999999999999997E-2</v>
      </c>
      <c r="N1086" s="6">
        <v>7.4999999999999997E-2</v>
      </c>
      <c r="O1086" s="6">
        <v>7.4999999999999997E-2</v>
      </c>
      <c r="P1086" s="6">
        <v>0</v>
      </c>
      <c r="Q1086" s="4" t="s">
        <v>26</v>
      </c>
      <c r="R1086" s="4">
        <v>0</v>
      </c>
      <c r="S1086" s="4" t="s">
        <v>288</v>
      </c>
      <c r="T1086" s="4" t="s">
        <v>558</v>
      </c>
      <c r="U1086" s="4">
        <v>0</v>
      </c>
      <c r="V1086" s="4">
        <v>36</v>
      </c>
      <c r="W1086" s="4">
        <v>80</v>
      </c>
    </row>
    <row r="1087" spans="1:23" ht="11.25" customHeight="1" x14ac:dyDescent="0.25">
      <c r="A1087" s="4" t="s">
        <v>30</v>
      </c>
      <c r="B1087" s="4" t="s">
        <v>22</v>
      </c>
      <c r="C1087" s="4" t="s">
        <v>35</v>
      </c>
      <c r="D1087" s="4" t="s">
        <v>24</v>
      </c>
      <c r="E1087" s="4" t="s">
        <v>24</v>
      </c>
      <c r="F1087" s="4" t="s">
        <v>25</v>
      </c>
      <c r="G1087" s="4" t="s">
        <v>25</v>
      </c>
      <c r="H1087" s="4" t="s">
        <v>36</v>
      </c>
      <c r="I1087" s="5">
        <v>44682</v>
      </c>
      <c r="J1087" s="6">
        <v>0</v>
      </c>
      <c r="K1087" s="6">
        <v>0</v>
      </c>
      <c r="L1087" s="6">
        <v>2.5999999999999999E-2</v>
      </c>
      <c r="M1087" s="6">
        <v>2.5999999999999999E-2</v>
      </c>
      <c r="N1087" s="6">
        <v>2.5999999999999999E-2</v>
      </c>
      <c r="O1087" s="6">
        <v>2.5999999999999999E-2</v>
      </c>
      <c r="P1087" s="6">
        <v>0</v>
      </c>
      <c r="Q1087" s="4" t="s">
        <v>26</v>
      </c>
      <c r="R1087" s="4">
        <v>0</v>
      </c>
      <c r="S1087" s="4" t="s">
        <v>288</v>
      </c>
      <c r="T1087" s="4" t="s">
        <v>558</v>
      </c>
      <c r="U1087" s="4">
        <v>0</v>
      </c>
      <c r="V1087" s="4">
        <v>36</v>
      </c>
      <c r="W1087" s="4">
        <v>80</v>
      </c>
    </row>
    <row r="1088" spans="1:23" ht="11.25" customHeight="1" x14ac:dyDescent="0.25">
      <c r="A1088" s="4" t="s">
        <v>21</v>
      </c>
      <c r="B1088" s="4" t="s">
        <v>22</v>
      </c>
      <c r="C1088" s="4" t="s">
        <v>35</v>
      </c>
      <c r="D1088" s="4" t="s">
        <v>24</v>
      </c>
      <c r="E1088" s="4" t="s">
        <v>24</v>
      </c>
      <c r="F1088" s="4" t="s">
        <v>25</v>
      </c>
      <c r="G1088" s="4" t="s">
        <v>25</v>
      </c>
      <c r="H1088" s="4" t="s">
        <v>36</v>
      </c>
      <c r="I1088" s="5">
        <v>44713</v>
      </c>
      <c r="J1088" s="6">
        <v>0</v>
      </c>
      <c r="K1088" s="6">
        <v>0</v>
      </c>
      <c r="L1088" s="6">
        <v>3.6360000000000001</v>
      </c>
      <c r="M1088" s="6">
        <v>3.6360000000000001</v>
      </c>
      <c r="N1088" s="6">
        <v>3.6360000000000001</v>
      </c>
      <c r="O1088" s="6">
        <v>3.6360000000000001</v>
      </c>
      <c r="P1088" s="6">
        <v>0</v>
      </c>
      <c r="Q1088" s="4" t="s">
        <v>26</v>
      </c>
      <c r="R1088" s="4">
        <v>0</v>
      </c>
      <c r="S1088" s="4" t="s">
        <v>289</v>
      </c>
      <c r="T1088" s="4" t="s">
        <v>559</v>
      </c>
      <c r="U1088" s="4">
        <v>0</v>
      </c>
      <c r="V1088" s="4">
        <v>36</v>
      </c>
      <c r="W1088" s="4">
        <v>80</v>
      </c>
    </row>
    <row r="1089" spans="1:23" ht="11.25" customHeight="1" x14ac:dyDescent="0.25">
      <c r="A1089" s="4" t="s">
        <v>27</v>
      </c>
      <c r="B1089" s="4" t="s">
        <v>22</v>
      </c>
      <c r="C1089" s="4" t="s">
        <v>35</v>
      </c>
      <c r="D1089" s="4" t="s">
        <v>24</v>
      </c>
      <c r="E1089" s="4" t="s">
        <v>24</v>
      </c>
      <c r="F1089" s="4" t="s">
        <v>25</v>
      </c>
      <c r="G1089" s="4" t="s">
        <v>25</v>
      </c>
      <c r="H1089" s="4" t="s">
        <v>36</v>
      </c>
      <c r="I1089" s="5">
        <v>44713</v>
      </c>
      <c r="J1089" s="6">
        <v>0</v>
      </c>
      <c r="K1089" s="6">
        <v>0</v>
      </c>
      <c r="L1089" s="6">
        <v>3.7999999999999999E-2</v>
      </c>
      <c r="M1089" s="6">
        <v>3.7999999999999999E-2</v>
      </c>
      <c r="N1089" s="6">
        <v>3.7999999999999999E-2</v>
      </c>
      <c r="O1089" s="6">
        <v>3.7999999999999999E-2</v>
      </c>
      <c r="P1089" s="6">
        <v>0</v>
      </c>
      <c r="Q1089" s="4" t="s">
        <v>26</v>
      </c>
      <c r="R1089" s="4">
        <v>0</v>
      </c>
      <c r="S1089" s="4" t="s">
        <v>289</v>
      </c>
      <c r="T1089" s="4" t="s">
        <v>559</v>
      </c>
      <c r="U1089" s="4">
        <v>0</v>
      </c>
      <c r="V1089" s="4">
        <v>36</v>
      </c>
      <c r="W1089" s="4">
        <v>80</v>
      </c>
    </row>
    <row r="1090" spans="1:23" ht="11.25" customHeight="1" x14ac:dyDescent="0.25">
      <c r="A1090" s="4" t="s">
        <v>28</v>
      </c>
      <c r="B1090" s="4" t="s">
        <v>22</v>
      </c>
      <c r="C1090" s="4" t="s">
        <v>35</v>
      </c>
      <c r="D1090" s="4" t="s">
        <v>24</v>
      </c>
      <c r="E1090" s="4" t="s">
        <v>24</v>
      </c>
      <c r="F1090" s="4" t="s">
        <v>25</v>
      </c>
      <c r="G1090" s="4" t="s">
        <v>25</v>
      </c>
      <c r="H1090" s="4" t="s">
        <v>36</v>
      </c>
      <c r="I1090" s="5">
        <v>44713</v>
      </c>
      <c r="J1090" s="6">
        <v>0</v>
      </c>
      <c r="K1090" s="6">
        <v>0</v>
      </c>
      <c r="L1090" s="6">
        <v>7.0999999999999994E-2</v>
      </c>
      <c r="M1090" s="6">
        <v>7.0999999999999994E-2</v>
      </c>
      <c r="N1090" s="6">
        <v>7.0999999999999994E-2</v>
      </c>
      <c r="O1090" s="6">
        <v>7.0999999999999994E-2</v>
      </c>
      <c r="P1090" s="6">
        <v>0</v>
      </c>
      <c r="Q1090" s="4" t="s">
        <v>26</v>
      </c>
      <c r="R1090" s="4">
        <v>0</v>
      </c>
      <c r="S1090" s="4" t="s">
        <v>289</v>
      </c>
      <c r="T1090" s="4" t="s">
        <v>559</v>
      </c>
      <c r="U1090" s="4">
        <v>0</v>
      </c>
      <c r="V1090" s="4">
        <v>36</v>
      </c>
      <c r="W1090" s="4">
        <v>80</v>
      </c>
    </row>
    <row r="1091" spans="1:23" ht="11.25" customHeight="1" x14ac:dyDescent="0.25">
      <c r="A1091" s="4" t="s">
        <v>21</v>
      </c>
      <c r="B1091" s="4" t="s">
        <v>22</v>
      </c>
      <c r="C1091" s="4" t="s">
        <v>35</v>
      </c>
      <c r="D1091" s="4" t="s">
        <v>24</v>
      </c>
      <c r="E1091" s="4" t="s">
        <v>24</v>
      </c>
      <c r="F1091" s="4" t="s">
        <v>25</v>
      </c>
      <c r="G1091" s="4" t="s">
        <v>25</v>
      </c>
      <c r="H1091" s="4" t="s">
        <v>36</v>
      </c>
      <c r="I1091" s="5">
        <v>44743</v>
      </c>
      <c r="J1091" s="6">
        <v>0</v>
      </c>
      <c r="K1091" s="6">
        <v>0</v>
      </c>
      <c r="L1091" s="6">
        <v>3.9569999999999999</v>
      </c>
      <c r="M1091" s="6">
        <v>3.9569999999999999</v>
      </c>
      <c r="N1091" s="6">
        <v>3.9569999999999999</v>
      </c>
      <c r="O1091" s="6">
        <v>3.9569999999999999</v>
      </c>
      <c r="P1091" s="6">
        <v>0</v>
      </c>
      <c r="Q1091" s="4" t="s">
        <v>26</v>
      </c>
      <c r="R1091" s="4">
        <v>0</v>
      </c>
      <c r="S1091" s="4" t="s">
        <v>290</v>
      </c>
      <c r="T1091" s="4" t="s">
        <v>560</v>
      </c>
      <c r="U1091" s="4">
        <v>0</v>
      </c>
      <c r="V1091" s="4">
        <v>36</v>
      </c>
      <c r="W1091" s="4">
        <v>80</v>
      </c>
    </row>
    <row r="1092" spans="1:23" ht="11.25" customHeight="1" x14ac:dyDescent="0.25">
      <c r="A1092" s="4" t="s">
        <v>28</v>
      </c>
      <c r="B1092" s="4" t="s">
        <v>22</v>
      </c>
      <c r="C1092" s="4" t="s">
        <v>35</v>
      </c>
      <c r="D1092" s="4" t="s">
        <v>24</v>
      </c>
      <c r="E1092" s="4" t="s">
        <v>24</v>
      </c>
      <c r="F1092" s="4" t="s">
        <v>25</v>
      </c>
      <c r="G1092" s="4" t="s">
        <v>25</v>
      </c>
      <c r="H1092" s="4" t="s">
        <v>36</v>
      </c>
      <c r="I1092" s="5">
        <v>44743</v>
      </c>
      <c r="J1092" s="6">
        <v>0</v>
      </c>
      <c r="K1092" s="6">
        <v>0</v>
      </c>
      <c r="L1092" s="6">
        <v>6.4000000000000001E-2</v>
      </c>
      <c r="M1092" s="6">
        <v>6.4000000000000001E-2</v>
      </c>
      <c r="N1092" s="6">
        <v>6.4000000000000001E-2</v>
      </c>
      <c r="O1092" s="6">
        <v>6.4000000000000001E-2</v>
      </c>
      <c r="P1092" s="6">
        <v>0</v>
      </c>
      <c r="Q1092" s="4" t="s">
        <v>26</v>
      </c>
      <c r="R1092" s="4">
        <v>0</v>
      </c>
      <c r="S1092" s="4" t="s">
        <v>290</v>
      </c>
      <c r="T1092" s="4" t="s">
        <v>560</v>
      </c>
      <c r="U1092" s="4">
        <v>0</v>
      </c>
      <c r="V1092" s="4">
        <v>36</v>
      </c>
      <c r="W1092" s="4">
        <v>80</v>
      </c>
    </row>
    <row r="1093" spans="1:23" ht="11.25" customHeight="1" x14ac:dyDescent="0.25">
      <c r="A1093" s="4" t="s">
        <v>30</v>
      </c>
      <c r="B1093" s="4" t="s">
        <v>22</v>
      </c>
      <c r="C1093" s="4" t="s">
        <v>35</v>
      </c>
      <c r="D1093" s="4" t="s">
        <v>24</v>
      </c>
      <c r="E1093" s="4" t="s">
        <v>24</v>
      </c>
      <c r="F1093" s="4" t="s">
        <v>25</v>
      </c>
      <c r="G1093" s="4" t="s">
        <v>25</v>
      </c>
      <c r="H1093" s="4" t="s">
        <v>36</v>
      </c>
      <c r="I1093" s="5">
        <v>44743</v>
      </c>
      <c r="J1093" s="6">
        <v>0</v>
      </c>
      <c r="K1093" s="6">
        <v>0</v>
      </c>
      <c r="L1093" s="6">
        <v>5.5E-2</v>
      </c>
      <c r="M1093" s="6">
        <v>5.5E-2</v>
      </c>
      <c r="N1093" s="6">
        <v>5.5E-2</v>
      </c>
      <c r="O1093" s="6">
        <v>5.5E-2</v>
      </c>
      <c r="P1093" s="6">
        <v>0</v>
      </c>
      <c r="Q1093" s="4" t="s">
        <v>26</v>
      </c>
      <c r="R1093" s="4">
        <v>0</v>
      </c>
      <c r="S1093" s="4" t="s">
        <v>290</v>
      </c>
      <c r="T1093" s="4" t="s">
        <v>560</v>
      </c>
      <c r="U1093" s="4">
        <v>0</v>
      </c>
      <c r="V1093" s="4">
        <v>36</v>
      </c>
      <c r="W1093" s="4">
        <v>80</v>
      </c>
    </row>
    <row r="1094" spans="1:23" ht="11.25" customHeight="1" x14ac:dyDescent="0.25">
      <c r="A1094" s="4" t="s">
        <v>21</v>
      </c>
      <c r="B1094" s="4" t="s">
        <v>22</v>
      </c>
      <c r="C1094" s="4" t="s">
        <v>35</v>
      </c>
      <c r="D1094" s="4" t="s">
        <v>24</v>
      </c>
      <c r="E1094" s="4" t="s">
        <v>24</v>
      </c>
      <c r="F1094" s="4" t="s">
        <v>25</v>
      </c>
      <c r="G1094" s="4" t="s">
        <v>25</v>
      </c>
      <c r="H1094" s="4" t="s">
        <v>36</v>
      </c>
      <c r="I1094" s="5">
        <v>44774</v>
      </c>
      <c r="J1094" s="6">
        <v>0</v>
      </c>
      <c r="K1094" s="6">
        <v>0</v>
      </c>
      <c r="L1094" s="6">
        <v>4.5199999999999996</v>
      </c>
      <c r="M1094" s="6">
        <v>4.5199999999999996</v>
      </c>
      <c r="N1094" s="6">
        <v>4.5199999999999996</v>
      </c>
      <c r="O1094" s="6">
        <v>4.5199999999999996</v>
      </c>
      <c r="P1094" s="6">
        <v>0</v>
      </c>
      <c r="Q1094" s="4" t="s">
        <v>26</v>
      </c>
      <c r="R1094" s="4">
        <v>0</v>
      </c>
      <c r="S1094" s="4" t="s">
        <v>291</v>
      </c>
      <c r="T1094" s="4" t="s">
        <v>561</v>
      </c>
      <c r="U1094" s="4">
        <v>0</v>
      </c>
      <c r="V1094" s="4">
        <v>36</v>
      </c>
      <c r="W1094" s="4">
        <v>80</v>
      </c>
    </row>
    <row r="1095" spans="1:23" ht="11.25" customHeight="1" x14ac:dyDescent="0.25">
      <c r="A1095" s="4" t="s">
        <v>27</v>
      </c>
      <c r="B1095" s="4" t="s">
        <v>22</v>
      </c>
      <c r="C1095" s="4" t="s">
        <v>35</v>
      </c>
      <c r="D1095" s="4" t="s">
        <v>24</v>
      </c>
      <c r="E1095" s="4" t="s">
        <v>24</v>
      </c>
      <c r="F1095" s="4" t="s">
        <v>25</v>
      </c>
      <c r="G1095" s="4" t="s">
        <v>25</v>
      </c>
      <c r="H1095" s="4" t="s">
        <v>36</v>
      </c>
      <c r="I1095" s="5">
        <v>44774</v>
      </c>
      <c r="J1095" s="6">
        <v>0</v>
      </c>
      <c r="K1095" s="6">
        <v>0</v>
      </c>
      <c r="L1095" s="6">
        <v>1.7999999999999999E-2</v>
      </c>
      <c r="M1095" s="6">
        <v>1.7999999999999999E-2</v>
      </c>
      <c r="N1095" s="6">
        <v>1.7999999999999999E-2</v>
      </c>
      <c r="O1095" s="6">
        <v>1.7999999999999999E-2</v>
      </c>
      <c r="P1095" s="6">
        <v>0</v>
      </c>
      <c r="Q1095" s="4" t="s">
        <v>26</v>
      </c>
      <c r="R1095" s="4">
        <v>0</v>
      </c>
      <c r="S1095" s="4" t="s">
        <v>291</v>
      </c>
      <c r="T1095" s="4" t="s">
        <v>561</v>
      </c>
      <c r="U1095" s="4">
        <v>0</v>
      </c>
      <c r="V1095" s="4">
        <v>36</v>
      </c>
      <c r="W1095" s="4">
        <v>80</v>
      </c>
    </row>
    <row r="1096" spans="1:23" ht="11.25" customHeight="1" x14ac:dyDescent="0.25">
      <c r="A1096" s="4" t="s">
        <v>28</v>
      </c>
      <c r="B1096" s="4" t="s">
        <v>22</v>
      </c>
      <c r="C1096" s="4" t="s">
        <v>35</v>
      </c>
      <c r="D1096" s="4" t="s">
        <v>24</v>
      </c>
      <c r="E1096" s="4" t="s">
        <v>24</v>
      </c>
      <c r="F1096" s="4" t="s">
        <v>25</v>
      </c>
      <c r="G1096" s="4" t="s">
        <v>25</v>
      </c>
      <c r="H1096" s="4" t="s">
        <v>36</v>
      </c>
      <c r="I1096" s="5">
        <v>44774</v>
      </c>
      <c r="J1096" s="6">
        <v>0</v>
      </c>
      <c r="K1096" s="6">
        <v>0</v>
      </c>
      <c r="L1096" s="6">
        <v>9.7000000000000003E-2</v>
      </c>
      <c r="M1096" s="6">
        <v>9.7000000000000003E-2</v>
      </c>
      <c r="N1096" s="6">
        <v>9.7000000000000003E-2</v>
      </c>
      <c r="O1096" s="6">
        <v>9.7000000000000003E-2</v>
      </c>
      <c r="P1096" s="6">
        <v>0</v>
      </c>
      <c r="Q1096" s="4" t="s">
        <v>26</v>
      </c>
      <c r="R1096" s="4">
        <v>0</v>
      </c>
      <c r="S1096" s="4" t="s">
        <v>291</v>
      </c>
      <c r="T1096" s="4" t="s">
        <v>561</v>
      </c>
      <c r="U1096" s="4">
        <v>0</v>
      </c>
      <c r="V1096" s="4">
        <v>36</v>
      </c>
      <c r="W1096" s="4">
        <v>80</v>
      </c>
    </row>
    <row r="1097" spans="1:23" ht="11.25" customHeight="1" x14ac:dyDescent="0.25">
      <c r="A1097" s="4" t="s">
        <v>30</v>
      </c>
      <c r="B1097" s="4" t="s">
        <v>22</v>
      </c>
      <c r="C1097" s="4" t="s">
        <v>35</v>
      </c>
      <c r="D1097" s="4" t="s">
        <v>24</v>
      </c>
      <c r="E1097" s="4" t="s">
        <v>24</v>
      </c>
      <c r="F1097" s="4" t="s">
        <v>25</v>
      </c>
      <c r="G1097" s="4" t="s">
        <v>25</v>
      </c>
      <c r="H1097" s="4" t="s">
        <v>36</v>
      </c>
      <c r="I1097" s="5">
        <v>44774</v>
      </c>
      <c r="J1097" s="6">
        <v>0</v>
      </c>
      <c r="K1097" s="6">
        <v>0</v>
      </c>
      <c r="L1097" s="6">
        <v>0.01</v>
      </c>
      <c r="M1097" s="6">
        <v>0.01</v>
      </c>
      <c r="N1097" s="6">
        <v>0.01</v>
      </c>
      <c r="O1097" s="6">
        <v>0.01</v>
      </c>
      <c r="P1097" s="6">
        <v>0</v>
      </c>
      <c r="Q1097" s="4" t="s">
        <v>26</v>
      </c>
      <c r="R1097" s="4">
        <v>0</v>
      </c>
      <c r="S1097" s="4" t="s">
        <v>291</v>
      </c>
      <c r="T1097" s="4" t="s">
        <v>561</v>
      </c>
      <c r="U1097" s="4">
        <v>0</v>
      </c>
      <c r="V1097" s="4">
        <v>36</v>
      </c>
      <c r="W1097" s="4">
        <v>80</v>
      </c>
    </row>
    <row r="1098" spans="1:23" ht="11.25" customHeight="1" x14ac:dyDescent="0.25">
      <c r="A1098" s="4" t="s">
        <v>21</v>
      </c>
      <c r="B1098" s="4" t="s">
        <v>22</v>
      </c>
      <c r="C1098" s="4" t="s">
        <v>35</v>
      </c>
      <c r="D1098" s="4" t="s">
        <v>24</v>
      </c>
      <c r="E1098" s="4" t="s">
        <v>24</v>
      </c>
      <c r="F1098" s="4" t="s">
        <v>25</v>
      </c>
      <c r="G1098" s="4" t="s">
        <v>25</v>
      </c>
      <c r="H1098" s="4" t="s">
        <v>36</v>
      </c>
      <c r="I1098" s="5">
        <v>44805</v>
      </c>
      <c r="J1098" s="6">
        <v>0</v>
      </c>
      <c r="K1098" s="6">
        <v>0</v>
      </c>
      <c r="L1098" s="6">
        <v>5.4770000000000003</v>
      </c>
      <c r="M1098" s="6">
        <v>5.4770000000000003</v>
      </c>
      <c r="N1098" s="6">
        <v>5.4770000000000003</v>
      </c>
      <c r="O1098" s="6">
        <v>5.4770000000000003</v>
      </c>
      <c r="P1098" s="6">
        <v>0</v>
      </c>
      <c r="Q1098" s="4" t="s">
        <v>26</v>
      </c>
      <c r="R1098" s="4">
        <v>0</v>
      </c>
      <c r="S1098" s="4" t="s">
        <v>292</v>
      </c>
      <c r="T1098" s="4" t="s">
        <v>562</v>
      </c>
      <c r="U1098" s="4">
        <v>0</v>
      </c>
      <c r="V1098" s="4">
        <v>36</v>
      </c>
      <c r="W1098" s="4">
        <v>80</v>
      </c>
    </row>
    <row r="1099" spans="1:23" ht="11.25" customHeight="1" x14ac:dyDescent="0.25">
      <c r="A1099" s="4" t="s">
        <v>27</v>
      </c>
      <c r="B1099" s="4" t="s">
        <v>22</v>
      </c>
      <c r="C1099" s="4" t="s">
        <v>35</v>
      </c>
      <c r="D1099" s="4" t="s">
        <v>24</v>
      </c>
      <c r="E1099" s="4" t="s">
        <v>24</v>
      </c>
      <c r="F1099" s="4" t="s">
        <v>25</v>
      </c>
      <c r="G1099" s="4" t="s">
        <v>25</v>
      </c>
      <c r="H1099" s="4" t="s">
        <v>36</v>
      </c>
      <c r="I1099" s="5">
        <v>44805</v>
      </c>
      <c r="J1099" s="6">
        <v>0</v>
      </c>
      <c r="K1099" s="6">
        <v>0</v>
      </c>
      <c r="L1099" s="6">
        <v>-1E-3</v>
      </c>
      <c r="M1099" s="6">
        <v>-1E-3</v>
      </c>
      <c r="N1099" s="6">
        <v>-1E-3</v>
      </c>
      <c r="O1099" s="6">
        <v>-1E-3</v>
      </c>
      <c r="P1099" s="6">
        <v>0</v>
      </c>
      <c r="Q1099" s="4" t="s">
        <v>26</v>
      </c>
      <c r="R1099" s="4">
        <v>0</v>
      </c>
      <c r="S1099" s="4" t="s">
        <v>292</v>
      </c>
      <c r="T1099" s="4" t="s">
        <v>562</v>
      </c>
      <c r="U1099" s="4">
        <v>0</v>
      </c>
      <c r="V1099" s="4">
        <v>36</v>
      </c>
      <c r="W1099" s="4">
        <v>80</v>
      </c>
    </row>
    <row r="1100" spans="1:23" ht="11.25" customHeight="1" x14ac:dyDescent="0.25">
      <c r="A1100" s="4" t="s">
        <v>28</v>
      </c>
      <c r="B1100" s="4" t="s">
        <v>22</v>
      </c>
      <c r="C1100" s="4" t="s">
        <v>35</v>
      </c>
      <c r="D1100" s="4" t="s">
        <v>24</v>
      </c>
      <c r="E1100" s="4" t="s">
        <v>24</v>
      </c>
      <c r="F1100" s="4" t="s">
        <v>25</v>
      </c>
      <c r="G1100" s="4" t="s">
        <v>25</v>
      </c>
      <c r="H1100" s="4" t="s">
        <v>36</v>
      </c>
      <c r="I1100" s="5">
        <v>44805</v>
      </c>
      <c r="J1100" s="6">
        <v>0</v>
      </c>
      <c r="K1100" s="6">
        <v>0</v>
      </c>
      <c r="L1100" s="6">
        <v>7.0000000000000007E-2</v>
      </c>
      <c r="M1100" s="6">
        <v>7.0000000000000007E-2</v>
      </c>
      <c r="N1100" s="6">
        <v>7.0000000000000007E-2</v>
      </c>
      <c r="O1100" s="6">
        <v>7.0000000000000007E-2</v>
      </c>
      <c r="P1100" s="6">
        <v>0</v>
      </c>
      <c r="Q1100" s="4" t="s">
        <v>26</v>
      </c>
      <c r="R1100" s="4">
        <v>0</v>
      </c>
      <c r="S1100" s="4" t="s">
        <v>292</v>
      </c>
      <c r="T1100" s="4" t="s">
        <v>562</v>
      </c>
      <c r="U1100" s="4">
        <v>0</v>
      </c>
      <c r="V1100" s="4">
        <v>36</v>
      </c>
      <c r="W1100" s="4">
        <v>80</v>
      </c>
    </row>
    <row r="1101" spans="1:23" ht="11.25" customHeight="1" x14ac:dyDescent="0.25">
      <c r="A1101" s="4" t="s">
        <v>30</v>
      </c>
      <c r="B1101" s="4" t="s">
        <v>22</v>
      </c>
      <c r="C1101" s="4" t="s">
        <v>35</v>
      </c>
      <c r="D1101" s="4" t="s">
        <v>24</v>
      </c>
      <c r="E1101" s="4" t="s">
        <v>24</v>
      </c>
      <c r="F1101" s="4" t="s">
        <v>25</v>
      </c>
      <c r="G1101" s="4" t="s">
        <v>25</v>
      </c>
      <c r="H1101" s="4" t="s">
        <v>36</v>
      </c>
      <c r="I1101" s="5">
        <v>44805</v>
      </c>
      <c r="J1101" s="6">
        <v>0</v>
      </c>
      <c r="K1101" s="6">
        <v>0</v>
      </c>
      <c r="L1101" s="6">
        <v>0.01</v>
      </c>
      <c r="M1101" s="6">
        <v>0.01</v>
      </c>
      <c r="N1101" s="6">
        <v>0.01</v>
      </c>
      <c r="O1101" s="6">
        <v>0.01</v>
      </c>
      <c r="P1101" s="6">
        <v>0</v>
      </c>
      <c r="Q1101" s="4" t="s">
        <v>26</v>
      </c>
      <c r="R1101" s="4">
        <v>0</v>
      </c>
      <c r="S1101" s="4" t="s">
        <v>292</v>
      </c>
      <c r="T1101" s="4" t="s">
        <v>562</v>
      </c>
      <c r="U1101" s="4">
        <v>0</v>
      </c>
      <c r="V1101" s="4">
        <v>36</v>
      </c>
      <c r="W1101" s="4">
        <v>80</v>
      </c>
    </row>
    <row r="1102" spans="1:23" ht="11.25" customHeight="1" x14ac:dyDescent="0.25">
      <c r="A1102" s="4" t="s">
        <v>21</v>
      </c>
      <c r="B1102" s="4" t="s">
        <v>22</v>
      </c>
      <c r="C1102" s="4" t="s">
        <v>35</v>
      </c>
      <c r="D1102" s="4" t="s">
        <v>24</v>
      </c>
      <c r="E1102" s="4" t="s">
        <v>24</v>
      </c>
      <c r="F1102" s="4" t="s">
        <v>25</v>
      </c>
      <c r="G1102" s="4" t="s">
        <v>25</v>
      </c>
      <c r="H1102" s="4" t="s">
        <v>36</v>
      </c>
      <c r="I1102" s="5">
        <v>44835</v>
      </c>
      <c r="J1102" s="6">
        <v>0</v>
      </c>
      <c r="K1102" s="6">
        <v>0</v>
      </c>
      <c r="L1102" s="6">
        <v>4.5709999999999997</v>
      </c>
      <c r="M1102" s="6">
        <v>4.5709999999999997</v>
      </c>
      <c r="N1102" s="6">
        <v>4.5709999999999997</v>
      </c>
      <c r="O1102" s="6">
        <v>4.5709999999999997</v>
      </c>
      <c r="P1102" s="6">
        <v>0</v>
      </c>
      <c r="Q1102" s="4" t="s">
        <v>26</v>
      </c>
      <c r="R1102" s="4">
        <v>0</v>
      </c>
      <c r="S1102" s="4" t="s">
        <v>293</v>
      </c>
      <c r="T1102" s="4" t="s">
        <v>563</v>
      </c>
      <c r="U1102" s="4">
        <v>0</v>
      </c>
      <c r="V1102" s="4">
        <v>36</v>
      </c>
      <c r="W1102" s="4">
        <v>80</v>
      </c>
    </row>
    <row r="1103" spans="1:23" ht="11.25" customHeight="1" x14ac:dyDescent="0.25">
      <c r="A1103" s="4" t="s">
        <v>28</v>
      </c>
      <c r="B1103" s="4" t="s">
        <v>22</v>
      </c>
      <c r="C1103" s="4" t="s">
        <v>35</v>
      </c>
      <c r="D1103" s="4" t="s">
        <v>24</v>
      </c>
      <c r="E1103" s="4" t="s">
        <v>24</v>
      </c>
      <c r="F1103" s="4" t="s">
        <v>25</v>
      </c>
      <c r="G1103" s="4" t="s">
        <v>25</v>
      </c>
      <c r="H1103" s="4" t="s">
        <v>36</v>
      </c>
      <c r="I1103" s="5">
        <v>44835</v>
      </c>
      <c r="J1103" s="6">
        <v>0</v>
      </c>
      <c r="K1103" s="6">
        <v>0</v>
      </c>
      <c r="L1103" s="6">
        <v>7.6999999999999999E-2</v>
      </c>
      <c r="M1103" s="6">
        <v>7.6999999999999999E-2</v>
      </c>
      <c r="N1103" s="6">
        <v>7.6999999999999999E-2</v>
      </c>
      <c r="O1103" s="6">
        <v>7.6999999999999999E-2</v>
      </c>
      <c r="P1103" s="6">
        <v>0</v>
      </c>
      <c r="Q1103" s="4" t="s">
        <v>26</v>
      </c>
      <c r="R1103" s="4">
        <v>0</v>
      </c>
      <c r="S1103" s="4" t="s">
        <v>293</v>
      </c>
      <c r="T1103" s="4" t="s">
        <v>563</v>
      </c>
      <c r="U1103" s="4">
        <v>0</v>
      </c>
      <c r="V1103" s="4">
        <v>36</v>
      </c>
      <c r="W1103" s="4">
        <v>80</v>
      </c>
    </row>
    <row r="1104" spans="1:23" ht="11.25" customHeight="1" x14ac:dyDescent="0.25">
      <c r="A1104" s="4" t="s">
        <v>30</v>
      </c>
      <c r="B1104" s="4" t="s">
        <v>22</v>
      </c>
      <c r="C1104" s="4" t="s">
        <v>35</v>
      </c>
      <c r="D1104" s="4" t="s">
        <v>24</v>
      </c>
      <c r="E1104" s="4" t="s">
        <v>24</v>
      </c>
      <c r="F1104" s="4" t="s">
        <v>25</v>
      </c>
      <c r="G1104" s="4" t="s">
        <v>25</v>
      </c>
      <c r="H1104" s="4" t="s">
        <v>36</v>
      </c>
      <c r="I1104" s="5">
        <v>44835</v>
      </c>
      <c r="J1104" s="6">
        <v>0</v>
      </c>
      <c r="K1104" s="6">
        <v>0</v>
      </c>
      <c r="L1104" s="6">
        <v>0.09</v>
      </c>
      <c r="M1104" s="6">
        <v>0.09</v>
      </c>
      <c r="N1104" s="6">
        <v>0.09</v>
      </c>
      <c r="O1104" s="6">
        <v>0.09</v>
      </c>
      <c r="P1104" s="6">
        <v>0</v>
      </c>
      <c r="Q1104" s="4" t="s">
        <v>26</v>
      </c>
      <c r="R1104" s="4">
        <v>0</v>
      </c>
      <c r="S1104" s="4" t="s">
        <v>293</v>
      </c>
      <c r="T1104" s="4" t="s">
        <v>563</v>
      </c>
      <c r="U1104" s="4">
        <v>0</v>
      </c>
      <c r="V1104" s="4">
        <v>36</v>
      </c>
      <c r="W1104" s="4">
        <v>80</v>
      </c>
    </row>
    <row r="1105" spans="1:23" ht="11.25" customHeight="1" x14ac:dyDescent="0.25">
      <c r="A1105" s="4" t="s">
        <v>30</v>
      </c>
      <c r="B1105" s="4" t="s">
        <v>22</v>
      </c>
      <c r="C1105" s="4" t="s">
        <v>35</v>
      </c>
      <c r="D1105" s="4" t="s">
        <v>24</v>
      </c>
      <c r="E1105" s="4" t="s">
        <v>24</v>
      </c>
      <c r="F1105" s="4" t="s">
        <v>25</v>
      </c>
      <c r="G1105" s="4" t="s">
        <v>25</v>
      </c>
      <c r="H1105" s="4" t="s">
        <v>36</v>
      </c>
      <c r="I1105" s="5">
        <v>44835</v>
      </c>
      <c r="J1105" s="6">
        <v>0</v>
      </c>
      <c r="K1105" s="6">
        <v>0</v>
      </c>
      <c r="L1105" s="6">
        <v>-0.01</v>
      </c>
      <c r="M1105" s="6">
        <v>-0.01</v>
      </c>
      <c r="N1105" s="6">
        <v>-0.01</v>
      </c>
      <c r="O1105" s="6">
        <v>-0.01</v>
      </c>
      <c r="P1105" s="6">
        <v>0</v>
      </c>
      <c r="Q1105" s="4" t="s">
        <v>26</v>
      </c>
      <c r="R1105" s="4">
        <v>0</v>
      </c>
      <c r="S1105" s="4" t="s">
        <v>293</v>
      </c>
      <c r="T1105" s="4" t="s">
        <v>563</v>
      </c>
      <c r="U1105" s="4">
        <v>0</v>
      </c>
      <c r="V1105" s="4">
        <v>36</v>
      </c>
      <c r="W1105" s="4">
        <v>80</v>
      </c>
    </row>
    <row r="1106" spans="1:23" ht="11.25" customHeight="1" x14ac:dyDescent="0.25">
      <c r="A1106" s="4" t="s">
        <v>59</v>
      </c>
      <c r="B1106" s="4" t="s">
        <v>22</v>
      </c>
      <c r="C1106" s="4" t="s">
        <v>35</v>
      </c>
      <c r="D1106" s="4" t="s">
        <v>24</v>
      </c>
      <c r="E1106" s="4" t="s">
        <v>24</v>
      </c>
      <c r="F1106" s="4" t="s">
        <v>25</v>
      </c>
      <c r="G1106" s="4" t="s">
        <v>25</v>
      </c>
      <c r="H1106" s="4" t="s">
        <v>36</v>
      </c>
      <c r="I1106" s="5">
        <v>44866</v>
      </c>
      <c r="J1106" s="6">
        <v>0</v>
      </c>
      <c r="K1106" s="6">
        <v>0</v>
      </c>
      <c r="L1106" s="6">
        <v>4.5709999999999997</v>
      </c>
      <c r="M1106" s="6">
        <v>4.5709999999999997</v>
      </c>
      <c r="N1106" s="6">
        <v>4.5709999999999997</v>
      </c>
      <c r="O1106" s="6">
        <v>4.5709999999999997</v>
      </c>
      <c r="P1106" s="6">
        <v>0</v>
      </c>
      <c r="Q1106" s="4" t="s">
        <v>26</v>
      </c>
      <c r="R1106" s="4">
        <v>0</v>
      </c>
      <c r="S1106" s="4" t="s">
        <v>294</v>
      </c>
      <c r="T1106" s="4" t="s">
        <v>564</v>
      </c>
      <c r="U1106" s="4">
        <v>0</v>
      </c>
      <c r="V1106" s="4">
        <v>36</v>
      </c>
      <c r="W1106" s="4">
        <v>80</v>
      </c>
    </row>
    <row r="1107" spans="1:23" ht="11.25" customHeight="1" x14ac:dyDescent="0.25">
      <c r="A1107" s="4" t="s">
        <v>59</v>
      </c>
      <c r="B1107" s="4" t="s">
        <v>22</v>
      </c>
      <c r="C1107" s="4" t="s">
        <v>35</v>
      </c>
      <c r="D1107" s="4" t="s">
        <v>24</v>
      </c>
      <c r="E1107" s="4" t="s">
        <v>24</v>
      </c>
      <c r="F1107" s="4" t="s">
        <v>25</v>
      </c>
      <c r="G1107" s="4" t="s">
        <v>25</v>
      </c>
      <c r="H1107" s="4" t="s">
        <v>36</v>
      </c>
      <c r="I1107" s="5">
        <v>44866</v>
      </c>
      <c r="J1107" s="6">
        <v>0</v>
      </c>
      <c r="K1107" s="6">
        <v>0</v>
      </c>
      <c r="L1107" s="6">
        <v>7.6999999999999999E-2</v>
      </c>
      <c r="M1107" s="6">
        <v>7.6999999999999999E-2</v>
      </c>
      <c r="N1107" s="6">
        <v>7.6999999999999999E-2</v>
      </c>
      <c r="O1107" s="6">
        <v>7.6999999999999999E-2</v>
      </c>
      <c r="P1107" s="6">
        <v>0</v>
      </c>
      <c r="Q1107" s="4" t="s">
        <v>26</v>
      </c>
      <c r="R1107" s="4">
        <v>0</v>
      </c>
      <c r="S1107" s="4" t="s">
        <v>294</v>
      </c>
      <c r="T1107" s="4" t="s">
        <v>564</v>
      </c>
      <c r="U1107" s="4">
        <v>0</v>
      </c>
      <c r="V1107" s="4">
        <v>36</v>
      </c>
      <c r="W1107" s="4">
        <v>80</v>
      </c>
    </row>
    <row r="1108" spans="1:23" ht="11.25" customHeight="1" x14ac:dyDescent="0.25">
      <c r="A1108" s="4" t="s">
        <v>59</v>
      </c>
      <c r="B1108" s="4" t="s">
        <v>22</v>
      </c>
      <c r="C1108" s="4" t="s">
        <v>35</v>
      </c>
      <c r="D1108" s="4" t="s">
        <v>24</v>
      </c>
      <c r="E1108" s="4" t="s">
        <v>24</v>
      </c>
      <c r="F1108" s="4" t="s">
        <v>25</v>
      </c>
      <c r="G1108" s="4" t="s">
        <v>25</v>
      </c>
      <c r="H1108" s="4" t="s">
        <v>36</v>
      </c>
      <c r="I1108" s="5">
        <v>44866</v>
      </c>
      <c r="J1108" s="6">
        <v>0</v>
      </c>
      <c r="K1108" s="6">
        <v>0</v>
      </c>
      <c r="L1108" s="6">
        <v>0.09</v>
      </c>
      <c r="M1108" s="6">
        <v>0.09</v>
      </c>
      <c r="N1108" s="6">
        <v>0.09</v>
      </c>
      <c r="O1108" s="6">
        <v>0.09</v>
      </c>
      <c r="P1108" s="6">
        <v>0</v>
      </c>
      <c r="Q1108" s="4" t="s">
        <v>26</v>
      </c>
      <c r="R1108" s="4">
        <v>0</v>
      </c>
      <c r="S1108" s="4" t="s">
        <v>294</v>
      </c>
      <c r="T1108" s="4" t="s">
        <v>564</v>
      </c>
      <c r="U1108" s="4">
        <v>0</v>
      </c>
      <c r="V1108" s="4">
        <v>36</v>
      </c>
      <c r="W1108" s="4">
        <v>80</v>
      </c>
    </row>
    <row r="1109" spans="1:23" ht="11.25" customHeight="1" x14ac:dyDescent="0.25">
      <c r="A1109" s="4" t="s">
        <v>59</v>
      </c>
      <c r="B1109" s="4" t="s">
        <v>22</v>
      </c>
      <c r="C1109" s="4" t="s">
        <v>35</v>
      </c>
      <c r="D1109" s="4" t="s">
        <v>24</v>
      </c>
      <c r="E1109" s="4" t="s">
        <v>24</v>
      </c>
      <c r="F1109" s="4" t="s">
        <v>25</v>
      </c>
      <c r="G1109" s="4" t="s">
        <v>25</v>
      </c>
      <c r="H1109" s="4" t="s">
        <v>36</v>
      </c>
      <c r="I1109" s="5">
        <v>44866</v>
      </c>
      <c r="J1109" s="6">
        <v>0</v>
      </c>
      <c r="K1109" s="6">
        <v>0</v>
      </c>
      <c r="L1109" s="6">
        <v>-0.01</v>
      </c>
      <c r="M1109" s="6">
        <v>-0.01</v>
      </c>
      <c r="N1109" s="6">
        <v>-0.01</v>
      </c>
      <c r="O1109" s="6">
        <v>-0.01</v>
      </c>
      <c r="P1109" s="6">
        <v>0</v>
      </c>
      <c r="Q1109" s="4" t="s">
        <v>26</v>
      </c>
      <c r="R1109" s="4">
        <v>0</v>
      </c>
      <c r="S1109" s="4" t="s">
        <v>294</v>
      </c>
      <c r="T1109" s="4" t="s">
        <v>564</v>
      </c>
      <c r="U1109" s="4">
        <v>0</v>
      </c>
      <c r="V1109" s="4">
        <v>36</v>
      </c>
      <c r="W1109" s="4">
        <v>80</v>
      </c>
    </row>
    <row r="1110" spans="1:23" ht="11.25" customHeight="1" x14ac:dyDescent="0.25">
      <c r="A1110" s="4" t="s">
        <v>21</v>
      </c>
      <c r="B1110" s="4" t="s">
        <v>22</v>
      </c>
      <c r="C1110" s="4" t="s">
        <v>23</v>
      </c>
      <c r="D1110" s="4" t="s">
        <v>24</v>
      </c>
      <c r="E1110" s="4" t="s">
        <v>24</v>
      </c>
      <c r="F1110" s="4" t="s">
        <v>25</v>
      </c>
      <c r="G1110" s="4" t="s">
        <v>25</v>
      </c>
      <c r="H1110" s="4" t="s">
        <v>25</v>
      </c>
      <c r="I1110" s="5">
        <v>44531</v>
      </c>
      <c r="J1110" s="6">
        <v>0</v>
      </c>
      <c r="K1110" s="6">
        <v>0</v>
      </c>
      <c r="L1110" s="6">
        <v>30655.42</v>
      </c>
      <c r="M1110" s="6">
        <v>30655.42</v>
      </c>
      <c r="N1110" s="6">
        <v>30655.42</v>
      </c>
      <c r="O1110" s="6">
        <v>30655.42</v>
      </c>
      <c r="P1110" s="6">
        <v>133989</v>
      </c>
      <c r="Q1110" s="4" t="s">
        <v>26</v>
      </c>
      <c r="R1110" s="4">
        <v>0</v>
      </c>
      <c r="S1110" s="4" t="s">
        <v>295</v>
      </c>
      <c r="T1110" s="4" t="s">
        <v>565</v>
      </c>
      <c r="U1110" s="4">
        <v>0</v>
      </c>
      <c r="V1110" s="4">
        <v>39</v>
      </c>
      <c r="W1110" s="4">
        <v>83</v>
      </c>
    </row>
    <row r="1111" spans="1:23" ht="11.25" customHeight="1" x14ac:dyDescent="0.25">
      <c r="A1111" s="4" t="s">
        <v>27</v>
      </c>
      <c r="B1111" s="4" t="s">
        <v>22</v>
      </c>
      <c r="C1111" s="4" t="s">
        <v>23</v>
      </c>
      <c r="D1111" s="4" t="s">
        <v>24</v>
      </c>
      <c r="E1111" s="4" t="s">
        <v>24</v>
      </c>
      <c r="F1111" s="4" t="s">
        <v>25</v>
      </c>
      <c r="G1111" s="4" t="s">
        <v>25</v>
      </c>
      <c r="H1111" s="4" t="s">
        <v>25</v>
      </c>
      <c r="I1111" s="5">
        <v>44531</v>
      </c>
      <c r="J1111" s="6">
        <v>0</v>
      </c>
      <c r="K1111" s="6">
        <v>0</v>
      </c>
      <c r="L1111" s="6">
        <v>-413.428</v>
      </c>
      <c r="M1111" s="6">
        <v>-413.428</v>
      </c>
      <c r="N1111" s="6">
        <v>-413.428</v>
      </c>
      <c r="O1111" s="6">
        <v>-413.428</v>
      </c>
      <c r="P1111" s="6">
        <v>-230</v>
      </c>
      <c r="Q1111" s="4" t="s">
        <v>26</v>
      </c>
      <c r="R1111" s="4">
        <v>0</v>
      </c>
      <c r="S1111" s="4" t="s">
        <v>295</v>
      </c>
      <c r="T1111" s="4" t="s">
        <v>565</v>
      </c>
      <c r="U1111" s="4">
        <v>0</v>
      </c>
      <c r="V1111" s="4">
        <v>39</v>
      </c>
      <c r="W1111" s="4">
        <v>83</v>
      </c>
    </row>
    <row r="1112" spans="1:23" ht="11.25" customHeight="1" x14ac:dyDescent="0.25">
      <c r="A1112" s="4" t="s">
        <v>28</v>
      </c>
      <c r="B1112" s="4" t="s">
        <v>22</v>
      </c>
      <c r="C1112" s="4" t="s">
        <v>23</v>
      </c>
      <c r="D1112" s="4" t="s">
        <v>24</v>
      </c>
      <c r="E1112" s="4" t="s">
        <v>24</v>
      </c>
      <c r="F1112" s="4" t="s">
        <v>25</v>
      </c>
      <c r="G1112" s="4" t="s">
        <v>25</v>
      </c>
      <c r="H1112" s="4" t="s">
        <v>25</v>
      </c>
      <c r="I1112" s="5">
        <v>44531</v>
      </c>
      <c r="J1112" s="6">
        <v>0</v>
      </c>
      <c r="K1112" s="6">
        <v>0</v>
      </c>
      <c r="L1112" s="6">
        <v>6382.9449999999997</v>
      </c>
      <c r="M1112" s="6">
        <v>6382.9449999999997</v>
      </c>
      <c r="N1112" s="6">
        <v>6382.9449999999997</v>
      </c>
      <c r="O1112" s="6">
        <v>6382.9449999999997</v>
      </c>
      <c r="P1112" s="6">
        <v>34548</v>
      </c>
      <c r="Q1112" s="4" t="s">
        <v>26</v>
      </c>
      <c r="R1112" s="4">
        <v>0</v>
      </c>
      <c r="S1112" s="4" t="s">
        <v>295</v>
      </c>
      <c r="T1112" s="4" t="s">
        <v>565</v>
      </c>
      <c r="U1112" s="4">
        <v>0</v>
      </c>
      <c r="V1112" s="4">
        <v>39</v>
      </c>
      <c r="W1112" s="4">
        <v>83</v>
      </c>
    </row>
    <row r="1113" spans="1:23" ht="11.25" customHeight="1" x14ac:dyDescent="0.25">
      <c r="A1113" s="4" t="s">
        <v>29</v>
      </c>
      <c r="B1113" s="4" t="s">
        <v>22</v>
      </c>
      <c r="C1113" s="4" t="s">
        <v>23</v>
      </c>
      <c r="D1113" s="4" t="s">
        <v>24</v>
      </c>
      <c r="E1113" s="4" t="s">
        <v>24</v>
      </c>
      <c r="F1113" s="4" t="s">
        <v>25</v>
      </c>
      <c r="G1113" s="4" t="s">
        <v>25</v>
      </c>
      <c r="H1113" s="4" t="s">
        <v>25</v>
      </c>
      <c r="I1113" s="5">
        <v>44531</v>
      </c>
      <c r="J1113" s="6">
        <v>0</v>
      </c>
      <c r="K1113" s="6">
        <v>0</v>
      </c>
      <c r="L1113" s="6">
        <v>-6.4370000000000003</v>
      </c>
      <c r="M1113" s="6">
        <v>-6.4370000000000003</v>
      </c>
      <c r="N1113" s="6">
        <v>-6.4370000000000003</v>
      </c>
      <c r="O1113" s="6">
        <v>-6.4370000000000003</v>
      </c>
      <c r="P1113" s="6">
        <v>-23</v>
      </c>
      <c r="Q1113" s="4" t="s">
        <v>26</v>
      </c>
      <c r="R1113" s="4">
        <v>0</v>
      </c>
      <c r="S1113" s="4" t="s">
        <v>295</v>
      </c>
      <c r="T1113" s="4" t="s">
        <v>565</v>
      </c>
      <c r="U1113" s="4">
        <v>0</v>
      </c>
      <c r="V1113" s="4">
        <v>39</v>
      </c>
      <c r="W1113" s="4">
        <v>83</v>
      </c>
    </row>
    <row r="1114" spans="1:23" ht="11.25" customHeight="1" x14ac:dyDescent="0.25">
      <c r="A1114" s="4" t="s">
        <v>30</v>
      </c>
      <c r="B1114" s="4" t="s">
        <v>22</v>
      </c>
      <c r="C1114" s="4" t="s">
        <v>23</v>
      </c>
      <c r="D1114" s="4" t="s">
        <v>24</v>
      </c>
      <c r="E1114" s="4" t="s">
        <v>24</v>
      </c>
      <c r="F1114" s="4" t="s">
        <v>25</v>
      </c>
      <c r="G1114" s="4" t="s">
        <v>25</v>
      </c>
      <c r="H1114" s="4" t="s">
        <v>25</v>
      </c>
      <c r="I1114" s="5">
        <v>44531</v>
      </c>
      <c r="J1114" s="6">
        <v>0</v>
      </c>
      <c r="K1114" s="6">
        <v>0</v>
      </c>
      <c r="L1114" s="6">
        <v>418.59699999999998</v>
      </c>
      <c r="M1114" s="6">
        <v>418.59699999999998</v>
      </c>
      <c r="N1114" s="6">
        <v>418.59699999999998</v>
      </c>
      <c r="O1114" s="6">
        <v>418.59699999999998</v>
      </c>
      <c r="P1114" s="6">
        <v>1994</v>
      </c>
      <c r="Q1114" s="4" t="s">
        <v>26</v>
      </c>
      <c r="R1114" s="4">
        <v>0</v>
      </c>
      <c r="S1114" s="4" t="s">
        <v>295</v>
      </c>
      <c r="T1114" s="4" t="s">
        <v>565</v>
      </c>
      <c r="U1114" s="4">
        <v>0</v>
      </c>
      <c r="V1114" s="4">
        <v>39</v>
      </c>
      <c r="W1114" s="4">
        <v>83</v>
      </c>
    </row>
    <row r="1115" spans="1:23" ht="11.25" customHeight="1" x14ac:dyDescent="0.25">
      <c r="A1115" s="4" t="s">
        <v>30</v>
      </c>
      <c r="B1115" s="4" t="s">
        <v>22</v>
      </c>
      <c r="C1115" s="4" t="s">
        <v>23</v>
      </c>
      <c r="D1115" s="4" t="s">
        <v>24</v>
      </c>
      <c r="E1115" s="4" t="s">
        <v>24</v>
      </c>
      <c r="F1115" s="4" t="s">
        <v>25</v>
      </c>
      <c r="G1115" s="4" t="s">
        <v>25</v>
      </c>
      <c r="H1115" s="4" t="s">
        <v>25</v>
      </c>
      <c r="I1115" s="5">
        <v>44531</v>
      </c>
      <c r="J1115" s="6">
        <v>0</v>
      </c>
      <c r="K1115" s="6">
        <v>0</v>
      </c>
      <c r="L1115" s="6">
        <v>-1.048</v>
      </c>
      <c r="M1115" s="6">
        <v>-1.048</v>
      </c>
      <c r="N1115" s="6">
        <v>-1.048</v>
      </c>
      <c r="O1115" s="6">
        <v>-1.048</v>
      </c>
      <c r="P1115" s="6">
        <v>1</v>
      </c>
      <c r="Q1115" s="4" t="s">
        <v>26</v>
      </c>
      <c r="R1115" s="4">
        <v>0</v>
      </c>
      <c r="S1115" s="4" t="s">
        <v>295</v>
      </c>
      <c r="T1115" s="4" t="s">
        <v>565</v>
      </c>
      <c r="U1115" s="4">
        <v>0</v>
      </c>
      <c r="V1115" s="4">
        <v>39</v>
      </c>
      <c r="W1115" s="4">
        <v>83</v>
      </c>
    </row>
    <row r="1116" spans="1:23" ht="11.25" customHeight="1" x14ac:dyDescent="0.25">
      <c r="A1116" s="4" t="s">
        <v>21</v>
      </c>
      <c r="B1116" s="4" t="s">
        <v>22</v>
      </c>
      <c r="C1116" s="4" t="s">
        <v>23</v>
      </c>
      <c r="D1116" s="4" t="s">
        <v>24</v>
      </c>
      <c r="E1116" s="4" t="s">
        <v>24</v>
      </c>
      <c r="F1116" s="4" t="s">
        <v>25</v>
      </c>
      <c r="G1116" s="4" t="s">
        <v>25</v>
      </c>
      <c r="H1116" s="4" t="s">
        <v>25</v>
      </c>
      <c r="I1116" s="5">
        <v>44562</v>
      </c>
      <c r="J1116" s="6">
        <v>0</v>
      </c>
      <c r="K1116" s="6">
        <v>0</v>
      </c>
      <c r="L1116" s="6">
        <v>30760.47</v>
      </c>
      <c r="M1116" s="6">
        <v>30760.47</v>
      </c>
      <c r="N1116" s="6">
        <v>30760.47</v>
      </c>
      <c r="O1116" s="6">
        <v>30760.47</v>
      </c>
      <c r="P1116" s="6">
        <v>133493</v>
      </c>
      <c r="Q1116" s="4" t="s">
        <v>26</v>
      </c>
      <c r="R1116" s="4">
        <v>0</v>
      </c>
      <c r="S1116" s="4" t="s">
        <v>296</v>
      </c>
      <c r="T1116" s="4" t="s">
        <v>566</v>
      </c>
      <c r="U1116" s="4">
        <v>0</v>
      </c>
      <c r="V1116" s="4">
        <v>39</v>
      </c>
      <c r="W1116" s="4">
        <v>83</v>
      </c>
    </row>
    <row r="1117" spans="1:23" ht="11.25" customHeight="1" x14ac:dyDescent="0.25">
      <c r="A1117" s="4" t="s">
        <v>27</v>
      </c>
      <c r="B1117" s="4" t="s">
        <v>22</v>
      </c>
      <c r="C1117" s="4" t="s">
        <v>23</v>
      </c>
      <c r="D1117" s="4" t="s">
        <v>24</v>
      </c>
      <c r="E1117" s="4" t="s">
        <v>24</v>
      </c>
      <c r="F1117" s="4" t="s">
        <v>25</v>
      </c>
      <c r="G1117" s="4" t="s">
        <v>25</v>
      </c>
      <c r="H1117" s="4" t="s">
        <v>25</v>
      </c>
      <c r="I1117" s="5">
        <v>44562</v>
      </c>
      <c r="J1117" s="6">
        <v>0</v>
      </c>
      <c r="K1117" s="6">
        <v>0</v>
      </c>
      <c r="L1117" s="6">
        <v>-214.81299999999999</v>
      </c>
      <c r="M1117" s="6">
        <v>-214.81299999999999</v>
      </c>
      <c r="N1117" s="6">
        <v>-214.81299999999999</v>
      </c>
      <c r="O1117" s="6">
        <v>-214.81299999999999</v>
      </c>
      <c r="P1117" s="6">
        <v>-87</v>
      </c>
      <c r="Q1117" s="4" t="s">
        <v>26</v>
      </c>
      <c r="R1117" s="4">
        <v>0</v>
      </c>
      <c r="S1117" s="4" t="s">
        <v>296</v>
      </c>
      <c r="T1117" s="4" t="s">
        <v>566</v>
      </c>
      <c r="U1117" s="4">
        <v>0</v>
      </c>
      <c r="V1117" s="4">
        <v>39</v>
      </c>
      <c r="W1117" s="4">
        <v>83</v>
      </c>
    </row>
    <row r="1118" spans="1:23" ht="11.25" customHeight="1" x14ac:dyDescent="0.25">
      <c r="A1118" s="4" t="s">
        <v>28</v>
      </c>
      <c r="B1118" s="4" t="s">
        <v>22</v>
      </c>
      <c r="C1118" s="4" t="s">
        <v>23</v>
      </c>
      <c r="D1118" s="4" t="s">
        <v>24</v>
      </c>
      <c r="E1118" s="4" t="s">
        <v>24</v>
      </c>
      <c r="F1118" s="4" t="s">
        <v>25</v>
      </c>
      <c r="G1118" s="4" t="s">
        <v>25</v>
      </c>
      <c r="H1118" s="4" t="s">
        <v>25</v>
      </c>
      <c r="I1118" s="5">
        <v>44562</v>
      </c>
      <c r="J1118" s="6">
        <v>0</v>
      </c>
      <c r="K1118" s="6">
        <v>0</v>
      </c>
      <c r="L1118" s="6">
        <v>6518.5770000000002</v>
      </c>
      <c r="M1118" s="6">
        <v>6518.5770000000002</v>
      </c>
      <c r="N1118" s="6">
        <v>6518.5770000000002</v>
      </c>
      <c r="O1118" s="6">
        <v>6518.5770000000002</v>
      </c>
      <c r="P1118" s="6">
        <v>34580</v>
      </c>
      <c r="Q1118" s="4" t="s">
        <v>26</v>
      </c>
      <c r="R1118" s="4">
        <v>0</v>
      </c>
      <c r="S1118" s="4" t="s">
        <v>296</v>
      </c>
      <c r="T1118" s="4" t="s">
        <v>566</v>
      </c>
      <c r="U1118" s="4">
        <v>0</v>
      </c>
      <c r="V1118" s="4">
        <v>39</v>
      </c>
      <c r="W1118" s="4">
        <v>83</v>
      </c>
    </row>
    <row r="1119" spans="1:23" ht="11.25" customHeight="1" x14ac:dyDescent="0.25">
      <c r="A1119" s="4" t="s">
        <v>29</v>
      </c>
      <c r="B1119" s="4" t="s">
        <v>22</v>
      </c>
      <c r="C1119" s="4" t="s">
        <v>23</v>
      </c>
      <c r="D1119" s="4" t="s">
        <v>24</v>
      </c>
      <c r="E1119" s="4" t="s">
        <v>24</v>
      </c>
      <c r="F1119" s="4" t="s">
        <v>25</v>
      </c>
      <c r="G1119" s="4" t="s">
        <v>25</v>
      </c>
      <c r="H1119" s="4" t="s">
        <v>25</v>
      </c>
      <c r="I1119" s="5">
        <v>44562</v>
      </c>
      <c r="J1119" s="6">
        <v>0</v>
      </c>
      <c r="K1119" s="6">
        <v>0</v>
      </c>
      <c r="L1119" s="6">
        <v>-27.465</v>
      </c>
      <c r="M1119" s="6">
        <v>-27.465</v>
      </c>
      <c r="N1119" s="6">
        <v>-27.465</v>
      </c>
      <c r="O1119" s="6">
        <v>-27.465</v>
      </c>
      <c r="P1119" s="6">
        <v>-22</v>
      </c>
      <c r="Q1119" s="4" t="s">
        <v>26</v>
      </c>
      <c r="R1119" s="4">
        <v>0</v>
      </c>
      <c r="S1119" s="4" t="s">
        <v>296</v>
      </c>
      <c r="T1119" s="4" t="s">
        <v>566</v>
      </c>
      <c r="U1119" s="4">
        <v>0</v>
      </c>
      <c r="V1119" s="4">
        <v>39</v>
      </c>
      <c r="W1119" s="4">
        <v>83</v>
      </c>
    </row>
    <row r="1120" spans="1:23" ht="11.25" customHeight="1" x14ac:dyDescent="0.25">
      <c r="A1120" s="4" t="s">
        <v>30</v>
      </c>
      <c r="B1120" s="4" t="s">
        <v>22</v>
      </c>
      <c r="C1120" s="4" t="s">
        <v>23</v>
      </c>
      <c r="D1120" s="4" t="s">
        <v>24</v>
      </c>
      <c r="E1120" s="4" t="s">
        <v>24</v>
      </c>
      <c r="F1120" s="4" t="s">
        <v>25</v>
      </c>
      <c r="G1120" s="4" t="s">
        <v>25</v>
      </c>
      <c r="H1120" s="4" t="s">
        <v>25</v>
      </c>
      <c r="I1120" s="5">
        <v>44562</v>
      </c>
      <c r="J1120" s="6">
        <v>0</v>
      </c>
      <c r="K1120" s="6">
        <v>0</v>
      </c>
      <c r="L1120" s="6">
        <v>422.48399999999998</v>
      </c>
      <c r="M1120" s="6">
        <v>422.48399999999998</v>
      </c>
      <c r="N1120" s="6">
        <v>422.48399999999998</v>
      </c>
      <c r="O1120" s="6">
        <v>422.48399999999998</v>
      </c>
      <c r="P1120" s="6">
        <v>2193</v>
      </c>
      <c r="Q1120" s="4" t="s">
        <v>26</v>
      </c>
      <c r="R1120" s="4">
        <v>0</v>
      </c>
      <c r="S1120" s="4" t="s">
        <v>296</v>
      </c>
      <c r="T1120" s="4" t="s">
        <v>566</v>
      </c>
      <c r="U1120" s="4">
        <v>0</v>
      </c>
      <c r="V1120" s="4">
        <v>39</v>
      </c>
      <c r="W1120" s="4">
        <v>83</v>
      </c>
    </row>
    <row r="1121" spans="1:23" ht="11.25" customHeight="1" x14ac:dyDescent="0.25">
      <c r="A1121" s="4" t="s">
        <v>30</v>
      </c>
      <c r="B1121" s="4" t="s">
        <v>22</v>
      </c>
      <c r="C1121" s="4" t="s">
        <v>23</v>
      </c>
      <c r="D1121" s="4" t="s">
        <v>24</v>
      </c>
      <c r="E1121" s="4" t="s">
        <v>24</v>
      </c>
      <c r="F1121" s="4" t="s">
        <v>25</v>
      </c>
      <c r="G1121" s="4" t="s">
        <v>25</v>
      </c>
      <c r="H1121" s="4" t="s">
        <v>25</v>
      </c>
      <c r="I1121" s="5">
        <v>44562</v>
      </c>
      <c r="J1121" s="6">
        <v>0</v>
      </c>
      <c r="K1121" s="6">
        <v>0</v>
      </c>
      <c r="L1121" s="6">
        <v>-3.302</v>
      </c>
      <c r="M1121" s="6">
        <v>-3.302</v>
      </c>
      <c r="N1121" s="6">
        <v>-3.302</v>
      </c>
      <c r="O1121" s="6">
        <v>-3.302</v>
      </c>
      <c r="P1121" s="6">
        <v>0</v>
      </c>
      <c r="Q1121" s="4" t="s">
        <v>26</v>
      </c>
      <c r="R1121" s="4">
        <v>0</v>
      </c>
      <c r="S1121" s="4" t="s">
        <v>296</v>
      </c>
      <c r="T1121" s="4" t="s">
        <v>566</v>
      </c>
      <c r="U1121" s="4">
        <v>0</v>
      </c>
      <c r="V1121" s="4">
        <v>39</v>
      </c>
      <c r="W1121" s="4">
        <v>83</v>
      </c>
    </row>
    <row r="1122" spans="1:23" ht="11.25" customHeight="1" x14ac:dyDescent="0.25">
      <c r="A1122" s="4" t="s">
        <v>21</v>
      </c>
      <c r="B1122" s="4" t="s">
        <v>22</v>
      </c>
      <c r="C1122" s="4" t="s">
        <v>23</v>
      </c>
      <c r="D1122" s="4" t="s">
        <v>24</v>
      </c>
      <c r="E1122" s="4" t="s">
        <v>24</v>
      </c>
      <c r="F1122" s="4" t="s">
        <v>25</v>
      </c>
      <c r="G1122" s="4" t="s">
        <v>25</v>
      </c>
      <c r="H1122" s="4" t="s">
        <v>25</v>
      </c>
      <c r="I1122" s="5">
        <v>44593</v>
      </c>
      <c r="J1122" s="6">
        <v>0</v>
      </c>
      <c r="K1122" s="6">
        <v>0</v>
      </c>
      <c r="L1122" s="6">
        <v>27789.001</v>
      </c>
      <c r="M1122" s="6">
        <v>27789.001</v>
      </c>
      <c r="N1122" s="6">
        <v>27789.001</v>
      </c>
      <c r="O1122" s="6">
        <v>27789.001</v>
      </c>
      <c r="P1122" s="6">
        <v>129769</v>
      </c>
      <c r="Q1122" s="4" t="s">
        <v>26</v>
      </c>
      <c r="R1122" s="4">
        <v>0</v>
      </c>
      <c r="S1122" s="4" t="s">
        <v>297</v>
      </c>
      <c r="T1122" s="4" t="s">
        <v>567</v>
      </c>
      <c r="U1122" s="4">
        <v>0</v>
      </c>
      <c r="V1122" s="4">
        <v>39</v>
      </c>
      <c r="W1122" s="4">
        <v>83</v>
      </c>
    </row>
    <row r="1123" spans="1:23" ht="11.25" customHeight="1" x14ac:dyDescent="0.25">
      <c r="A1123" s="4" t="s">
        <v>27</v>
      </c>
      <c r="B1123" s="4" t="s">
        <v>22</v>
      </c>
      <c r="C1123" s="4" t="s">
        <v>23</v>
      </c>
      <c r="D1123" s="4" t="s">
        <v>24</v>
      </c>
      <c r="E1123" s="4" t="s">
        <v>24</v>
      </c>
      <c r="F1123" s="4" t="s">
        <v>25</v>
      </c>
      <c r="G1123" s="4" t="s">
        <v>25</v>
      </c>
      <c r="H1123" s="4" t="s">
        <v>25</v>
      </c>
      <c r="I1123" s="5">
        <v>44593</v>
      </c>
      <c r="J1123" s="6">
        <v>0</v>
      </c>
      <c r="K1123" s="6">
        <v>0</v>
      </c>
      <c r="L1123" s="6">
        <v>-222.50200000000001</v>
      </c>
      <c r="M1123" s="6">
        <v>-222.50200000000001</v>
      </c>
      <c r="N1123" s="6">
        <v>-222.50200000000001</v>
      </c>
      <c r="O1123" s="6">
        <v>-222.50200000000001</v>
      </c>
      <c r="P1123" s="6">
        <v>-96</v>
      </c>
      <c r="Q1123" s="4" t="s">
        <v>26</v>
      </c>
      <c r="R1123" s="4">
        <v>0</v>
      </c>
      <c r="S1123" s="4" t="s">
        <v>297</v>
      </c>
      <c r="T1123" s="4" t="s">
        <v>567</v>
      </c>
      <c r="U1123" s="4">
        <v>0</v>
      </c>
      <c r="V1123" s="4">
        <v>39</v>
      </c>
      <c r="W1123" s="4">
        <v>83</v>
      </c>
    </row>
    <row r="1124" spans="1:23" ht="11.25" customHeight="1" x14ac:dyDescent="0.25">
      <c r="A1124" s="4" t="s">
        <v>28</v>
      </c>
      <c r="B1124" s="4" t="s">
        <v>22</v>
      </c>
      <c r="C1124" s="4" t="s">
        <v>23</v>
      </c>
      <c r="D1124" s="4" t="s">
        <v>24</v>
      </c>
      <c r="E1124" s="4" t="s">
        <v>24</v>
      </c>
      <c r="F1124" s="4" t="s">
        <v>25</v>
      </c>
      <c r="G1124" s="4" t="s">
        <v>25</v>
      </c>
      <c r="H1124" s="4" t="s">
        <v>25</v>
      </c>
      <c r="I1124" s="5">
        <v>44593</v>
      </c>
      <c r="J1124" s="6">
        <v>0</v>
      </c>
      <c r="K1124" s="6">
        <v>0</v>
      </c>
      <c r="L1124" s="6">
        <v>5879.2740000000003</v>
      </c>
      <c r="M1124" s="6">
        <v>5879.2740000000003</v>
      </c>
      <c r="N1124" s="6">
        <v>5879.2740000000003</v>
      </c>
      <c r="O1124" s="6">
        <v>5879.2740000000003</v>
      </c>
      <c r="P1124" s="6">
        <v>33868</v>
      </c>
      <c r="Q1124" s="4" t="s">
        <v>26</v>
      </c>
      <c r="R1124" s="4">
        <v>0</v>
      </c>
      <c r="S1124" s="4" t="s">
        <v>297</v>
      </c>
      <c r="T1124" s="4" t="s">
        <v>567</v>
      </c>
      <c r="U1124" s="4">
        <v>0</v>
      </c>
      <c r="V1124" s="4">
        <v>39</v>
      </c>
      <c r="W1124" s="4">
        <v>83</v>
      </c>
    </row>
    <row r="1125" spans="1:23" ht="11.25" customHeight="1" x14ac:dyDescent="0.25">
      <c r="A1125" s="4" t="s">
        <v>29</v>
      </c>
      <c r="B1125" s="4" t="s">
        <v>22</v>
      </c>
      <c r="C1125" s="4" t="s">
        <v>23</v>
      </c>
      <c r="D1125" s="4" t="s">
        <v>24</v>
      </c>
      <c r="E1125" s="4" t="s">
        <v>24</v>
      </c>
      <c r="F1125" s="4" t="s">
        <v>25</v>
      </c>
      <c r="G1125" s="4" t="s">
        <v>25</v>
      </c>
      <c r="H1125" s="4" t="s">
        <v>25</v>
      </c>
      <c r="I1125" s="5">
        <v>44593</v>
      </c>
      <c r="J1125" s="6">
        <v>0</v>
      </c>
      <c r="K1125" s="6">
        <v>0</v>
      </c>
      <c r="L1125" s="6">
        <v>-48.142000000000003</v>
      </c>
      <c r="M1125" s="6">
        <v>-48.142000000000003</v>
      </c>
      <c r="N1125" s="6">
        <v>-48.142000000000003</v>
      </c>
      <c r="O1125" s="6">
        <v>-48.142000000000003</v>
      </c>
      <c r="P1125" s="6">
        <v>-10</v>
      </c>
      <c r="Q1125" s="4" t="s">
        <v>26</v>
      </c>
      <c r="R1125" s="4">
        <v>0</v>
      </c>
      <c r="S1125" s="4" t="s">
        <v>297</v>
      </c>
      <c r="T1125" s="4" t="s">
        <v>567</v>
      </c>
      <c r="U1125" s="4">
        <v>0</v>
      </c>
      <c r="V1125" s="4">
        <v>39</v>
      </c>
      <c r="W1125" s="4">
        <v>83</v>
      </c>
    </row>
    <row r="1126" spans="1:23" ht="11.25" customHeight="1" x14ac:dyDescent="0.25">
      <c r="A1126" s="4" t="s">
        <v>30</v>
      </c>
      <c r="B1126" s="4" t="s">
        <v>22</v>
      </c>
      <c r="C1126" s="4" t="s">
        <v>23</v>
      </c>
      <c r="D1126" s="4" t="s">
        <v>24</v>
      </c>
      <c r="E1126" s="4" t="s">
        <v>24</v>
      </c>
      <c r="F1126" s="4" t="s">
        <v>25</v>
      </c>
      <c r="G1126" s="4" t="s">
        <v>25</v>
      </c>
      <c r="H1126" s="4" t="s">
        <v>25</v>
      </c>
      <c r="I1126" s="5">
        <v>44593</v>
      </c>
      <c r="J1126" s="6">
        <v>0</v>
      </c>
      <c r="K1126" s="6">
        <v>0</v>
      </c>
      <c r="L1126" s="6">
        <v>406.58800000000002</v>
      </c>
      <c r="M1126" s="6">
        <v>406.58800000000002</v>
      </c>
      <c r="N1126" s="6">
        <v>406.58800000000002</v>
      </c>
      <c r="O1126" s="6">
        <v>406.58800000000002</v>
      </c>
      <c r="P1126" s="6">
        <v>2397</v>
      </c>
      <c r="Q1126" s="4" t="s">
        <v>26</v>
      </c>
      <c r="R1126" s="4">
        <v>0</v>
      </c>
      <c r="S1126" s="4" t="s">
        <v>297</v>
      </c>
      <c r="T1126" s="4" t="s">
        <v>567</v>
      </c>
      <c r="U1126" s="4">
        <v>0</v>
      </c>
      <c r="V1126" s="4">
        <v>39</v>
      </c>
      <c r="W1126" s="4">
        <v>83</v>
      </c>
    </row>
    <row r="1127" spans="1:23" ht="11.25" customHeight="1" x14ac:dyDescent="0.25">
      <c r="A1127" s="4" t="s">
        <v>30</v>
      </c>
      <c r="B1127" s="4" t="s">
        <v>22</v>
      </c>
      <c r="C1127" s="4" t="s">
        <v>23</v>
      </c>
      <c r="D1127" s="4" t="s">
        <v>24</v>
      </c>
      <c r="E1127" s="4" t="s">
        <v>24</v>
      </c>
      <c r="F1127" s="4" t="s">
        <v>25</v>
      </c>
      <c r="G1127" s="4" t="s">
        <v>25</v>
      </c>
      <c r="H1127" s="4" t="s">
        <v>25</v>
      </c>
      <c r="I1127" s="5">
        <v>44593</v>
      </c>
      <c r="J1127" s="6">
        <v>0</v>
      </c>
      <c r="K1127" s="6">
        <v>0</v>
      </c>
      <c r="L1127" s="6">
        <v>-0.66800000000000004</v>
      </c>
      <c r="M1127" s="6">
        <v>-0.66800000000000004</v>
      </c>
      <c r="N1127" s="6">
        <v>-0.66800000000000004</v>
      </c>
      <c r="O1127" s="6">
        <v>-0.66800000000000004</v>
      </c>
      <c r="P1127" s="6">
        <v>1</v>
      </c>
      <c r="Q1127" s="4" t="s">
        <v>26</v>
      </c>
      <c r="R1127" s="4">
        <v>0</v>
      </c>
      <c r="S1127" s="4" t="s">
        <v>297</v>
      </c>
      <c r="T1127" s="4" t="s">
        <v>567</v>
      </c>
      <c r="U1127" s="4">
        <v>0</v>
      </c>
      <c r="V1127" s="4">
        <v>39</v>
      </c>
      <c r="W1127" s="4">
        <v>83</v>
      </c>
    </row>
    <row r="1128" spans="1:23" ht="11.25" customHeight="1" x14ac:dyDescent="0.25">
      <c r="A1128" s="4" t="s">
        <v>21</v>
      </c>
      <c r="B1128" s="4" t="s">
        <v>22</v>
      </c>
      <c r="C1128" s="4" t="s">
        <v>23</v>
      </c>
      <c r="D1128" s="4" t="s">
        <v>24</v>
      </c>
      <c r="E1128" s="4" t="s">
        <v>24</v>
      </c>
      <c r="F1128" s="4" t="s">
        <v>25</v>
      </c>
      <c r="G1128" s="4" t="s">
        <v>25</v>
      </c>
      <c r="H1128" s="4" t="s">
        <v>25</v>
      </c>
      <c r="I1128" s="5">
        <v>44621</v>
      </c>
      <c r="J1128" s="6">
        <v>0</v>
      </c>
      <c r="K1128" s="6">
        <v>0</v>
      </c>
      <c r="L1128" s="6">
        <v>28575.54</v>
      </c>
      <c r="M1128" s="6">
        <v>28575.54</v>
      </c>
      <c r="N1128" s="6">
        <v>28575.54</v>
      </c>
      <c r="O1128" s="6">
        <v>28575.54</v>
      </c>
      <c r="P1128" s="6">
        <v>133975</v>
      </c>
      <c r="Q1128" s="4" t="s">
        <v>26</v>
      </c>
      <c r="R1128" s="4">
        <v>0</v>
      </c>
      <c r="S1128" s="4" t="s">
        <v>298</v>
      </c>
      <c r="T1128" s="4" t="s">
        <v>568</v>
      </c>
      <c r="U1128" s="4">
        <v>0</v>
      </c>
      <c r="V1128" s="4">
        <v>39</v>
      </c>
      <c r="W1128" s="4">
        <v>83</v>
      </c>
    </row>
    <row r="1129" spans="1:23" ht="11.25" customHeight="1" x14ac:dyDescent="0.25">
      <c r="A1129" s="4" t="s">
        <v>27</v>
      </c>
      <c r="B1129" s="4" t="s">
        <v>22</v>
      </c>
      <c r="C1129" s="4" t="s">
        <v>23</v>
      </c>
      <c r="D1129" s="4" t="s">
        <v>24</v>
      </c>
      <c r="E1129" s="4" t="s">
        <v>24</v>
      </c>
      <c r="F1129" s="4" t="s">
        <v>25</v>
      </c>
      <c r="G1129" s="4" t="s">
        <v>25</v>
      </c>
      <c r="H1129" s="4" t="s">
        <v>25</v>
      </c>
      <c r="I1129" s="5">
        <v>44621</v>
      </c>
      <c r="J1129" s="6">
        <v>0</v>
      </c>
      <c r="K1129" s="6">
        <v>0</v>
      </c>
      <c r="L1129" s="6">
        <v>-403.17599999999999</v>
      </c>
      <c r="M1129" s="6">
        <v>-403.17599999999999</v>
      </c>
      <c r="N1129" s="6">
        <v>-403.17599999999999</v>
      </c>
      <c r="O1129" s="6">
        <v>-403.17599999999999</v>
      </c>
      <c r="P1129" s="6">
        <v>-99</v>
      </c>
      <c r="Q1129" s="4" t="s">
        <v>26</v>
      </c>
      <c r="R1129" s="4">
        <v>0</v>
      </c>
      <c r="S1129" s="4" t="s">
        <v>298</v>
      </c>
      <c r="T1129" s="4" t="s">
        <v>568</v>
      </c>
      <c r="U1129" s="4">
        <v>0</v>
      </c>
      <c r="V1129" s="4">
        <v>39</v>
      </c>
      <c r="W1129" s="4">
        <v>83</v>
      </c>
    </row>
    <row r="1130" spans="1:23" ht="11.25" customHeight="1" x14ac:dyDescent="0.25">
      <c r="A1130" s="4" t="s">
        <v>28</v>
      </c>
      <c r="B1130" s="4" t="s">
        <v>22</v>
      </c>
      <c r="C1130" s="4" t="s">
        <v>23</v>
      </c>
      <c r="D1130" s="4" t="s">
        <v>24</v>
      </c>
      <c r="E1130" s="4" t="s">
        <v>24</v>
      </c>
      <c r="F1130" s="4" t="s">
        <v>25</v>
      </c>
      <c r="G1130" s="4" t="s">
        <v>25</v>
      </c>
      <c r="H1130" s="4" t="s">
        <v>25</v>
      </c>
      <c r="I1130" s="5">
        <v>44621</v>
      </c>
      <c r="J1130" s="6">
        <v>0</v>
      </c>
      <c r="K1130" s="6">
        <v>0</v>
      </c>
      <c r="L1130" s="6">
        <v>6118.0789999999997</v>
      </c>
      <c r="M1130" s="6">
        <v>6118.0789999999997</v>
      </c>
      <c r="N1130" s="6">
        <v>6118.0789999999997</v>
      </c>
      <c r="O1130" s="6">
        <v>6118.0789999999997</v>
      </c>
      <c r="P1130" s="6">
        <v>35004</v>
      </c>
      <c r="Q1130" s="4" t="s">
        <v>26</v>
      </c>
      <c r="R1130" s="4">
        <v>0</v>
      </c>
      <c r="S1130" s="4" t="s">
        <v>298</v>
      </c>
      <c r="T1130" s="4" t="s">
        <v>568</v>
      </c>
      <c r="U1130" s="4">
        <v>0</v>
      </c>
      <c r="V1130" s="4">
        <v>39</v>
      </c>
      <c r="W1130" s="4">
        <v>83</v>
      </c>
    </row>
    <row r="1131" spans="1:23" ht="11.25" customHeight="1" x14ac:dyDescent="0.25">
      <c r="A1131" s="4" t="s">
        <v>29</v>
      </c>
      <c r="B1131" s="4" t="s">
        <v>22</v>
      </c>
      <c r="C1131" s="4" t="s">
        <v>23</v>
      </c>
      <c r="D1131" s="4" t="s">
        <v>24</v>
      </c>
      <c r="E1131" s="4" t="s">
        <v>24</v>
      </c>
      <c r="F1131" s="4" t="s">
        <v>25</v>
      </c>
      <c r="G1131" s="4" t="s">
        <v>25</v>
      </c>
      <c r="H1131" s="4" t="s">
        <v>25</v>
      </c>
      <c r="I1131" s="5">
        <v>44621</v>
      </c>
      <c r="J1131" s="6">
        <v>0</v>
      </c>
      <c r="K1131" s="6">
        <v>0</v>
      </c>
      <c r="L1131" s="6">
        <v>-10.265000000000001</v>
      </c>
      <c r="M1131" s="6">
        <v>-10.265000000000001</v>
      </c>
      <c r="N1131" s="6">
        <v>-10.265000000000001</v>
      </c>
      <c r="O1131" s="6">
        <v>-10.265000000000001</v>
      </c>
      <c r="P1131" s="6">
        <v>-10</v>
      </c>
      <c r="Q1131" s="4" t="s">
        <v>26</v>
      </c>
      <c r="R1131" s="4">
        <v>0</v>
      </c>
      <c r="S1131" s="4" t="s">
        <v>298</v>
      </c>
      <c r="T1131" s="4" t="s">
        <v>568</v>
      </c>
      <c r="U1131" s="4">
        <v>0</v>
      </c>
      <c r="V1131" s="4">
        <v>39</v>
      </c>
      <c r="W1131" s="4">
        <v>83</v>
      </c>
    </row>
    <row r="1132" spans="1:23" ht="11.25" customHeight="1" x14ac:dyDescent="0.25">
      <c r="A1132" s="4" t="s">
        <v>30</v>
      </c>
      <c r="B1132" s="4" t="s">
        <v>22</v>
      </c>
      <c r="C1132" s="4" t="s">
        <v>23</v>
      </c>
      <c r="D1132" s="4" t="s">
        <v>24</v>
      </c>
      <c r="E1132" s="4" t="s">
        <v>24</v>
      </c>
      <c r="F1132" s="4" t="s">
        <v>25</v>
      </c>
      <c r="G1132" s="4" t="s">
        <v>25</v>
      </c>
      <c r="H1132" s="4" t="s">
        <v>25</v>
      </c>
      <c r="I1132" s="5">
        <v>44621</v>
      </c>
      <c r="J1132" s="6">
        <v>0</v>
      </c>
      <c r="K1132" s="6">
        <v>0</v>
      </c>
      <c r="L1132" s="6">
        <v>440.83600000000001</v>
      </c>
      <c r="M1132" s="6">
        <v>440.83600000000001</v>
      </c>
      <c r="N1132" s="6">
        <v>440.83600000000001</v>
      </c>
      <c r="O1132" s="6">
        <v>440.83600000000001</v>
      </c>
      <c r="P1132" s="6">
        <v>2651</v>
      </c>
      <c r="Q1132" s="4" t="s">
        <v>26</v>
      </c>
      <c r="R1132" s="4">
        <v>0</v>
      </c>
      <c r="S1132" s="4" t="s">
        <v>298</v>
      </c>
      <c r="T1132" s="4" t="s">
        <v>568</v>
      </c>
      <c r="U1132" s="4">
        <v>0</v>
      </c>
      <c r="V1132" s="4">
        <v>39</v>
      </c>
      <c r="W1132" s="4">
        <v>83</v>
      </c>
    </row>
    <row r="1133" spans="1:23" ht="11.25" customHeight="1" x14ac:dyDescent="0.25">
      <c r="A1133" s="4" t="s">
        <v>30</v>
      </c>
      <c r="B1133" s="4" t="s">
        <v>22</v>
      </c>
      <c r="C1133" s="4" t="s">
        <v>23</v>
      </c>
      <c r="D1133" s="4" t="s">
        <v>24</v>
      </c>
      <c r="E1133" s="4" t="s">
        <v>24</v>
      </c>
      <c r="F1133" s="4" t="s">
        <v>25</v>
      </c>
      <c r="G1133" s="4" t="s">
        <v>25</v>
      </c>
      <c r="H1133" s="4" t="s">
        <v>25</v>
      </c>
      <c r="I1133" s="5">
        <v>44621</v>
      </c>
      <c r="J1133" s="6">
        <v>0</v>
      </c>
      <c r="K1133" s="6">
        <v>0</v>
      </c>
      <c r="L1133" s="6">
        <v>-0.84699999999999998</v>
      </c>
      <c r="M1133" s="6">
        <v>-0.84699999999999998</v>
      </c>
      <c r="N1133" s="6">
        <v>-0.84699999999999998</v>
      </c>
      <c r="O1133" s="6">
        <v>-0.84699999999999998</v>
      </c>
      <c r="P1133" s="6">
        <v>0</v>
      </c>
      <c r="Q1133" s="4" t="s">
        <v>26</v>
      </c>
      <c r="R1133" s="4">
        <v>0</v>
      </c>
      <c r="S1133" s="4" t="s">
        <v>298</v>
      </c>
      <c r="T1133" s="4" t="s">
        <v>568</v>
      </c>
      <c r="U1133" s="4">
        <v>0</v>
      </c>
      <c r="V1133" s="4">
        <v>39</v>
      </c>
      <c r="W1133" s="4">
        <v>83</v>
      </c>
    </row>
    <row r="1134" spans="1:23" ht="11.25" customHeight="1" x14ac:dyDescent="0.25">
      <c r="A1134" s="4" t="s">
        <v>21</v>
      </c>
      <c r="B1134" s="4" t="s">
        <v>22</v>
      </c>
      <c r="C1134" s="4" t="s">
        <v>23</v>
      </c>
      <c r="D1134" s="4" t="s">
        <v>24</v>
      </c>
      <c r="E1134" s="4" t="s">
        <v>24</v>
      </c>
      <c r="F1134" s="4" t="s">
        <v>25</v>
      </c>
      <c r="G1134" s="4" t="s">
        <v>25</v>
      </c>
      <c r="H1134" s="4" t="s">
        <v>25</v>
      </c>
      <c r="I1134" s="5">
        <v>44652</v>
      </c>
      <c r="J1134" s="6">
        <v>0</v>
      </c>
      <c r="K1134" s="6">
        <v>0</v>
      </c>
      <c r="L1134" s="6">
        <v>28132.199000000001</v>
      </c>
      <c r="M1134" s="6">
        <v>28132.199000000001</v>
      </c>
      <c r="N1134" s="6">
        <v>28132.199000000001</v>
      </c>
      <c r="O1134" s="6">
        <v>28132.199000000001</v>
      </c>
      <c r="P1134" s="6">
        <v>132356</v>
      </c>
      <c r="Q1134" s="4" t="s">
        <v>26</v>
      </c>
      <c r="R1134" s="4">
        <v>0</v>
      </c>
      <c r="S1134" s="4" t="s">
        <v>299</v>
      </c>
      <c r="T1134" s="4" t="s">
        <v>569</v>
      </c>
      <c r="U1134" s="4">
        <v>0</v>
      </c>
      <c r="V1134" s="4">
        <v>39</v>
      </c>
      <c r="W1134" s="4">
        <v>83</v>
      </c>
    </row>
    <row r="1135" spans="1:23" ht="11.25" customHeight="1" x14ac:dyDescent="0.25">
      <c r="A1135" s="4" t="s">
        <v>27</v>
      </c>
      <c r="B1135" s="4" t="s">
        <v>22</v>
      </c>
      <c r="C1135" s="4" t="s">
        <v>23</v>
      </c>
      <c r="D1135" s="4" t="s">
        <v>24</v>
      </c>
      <c r="E1135" s="4" t="s">
        <v>24</v>
      </c>
      <c r="F1135" s="4" t="s">
        <v>25</v>
      </c>
      <c r="G1135" s="4" t="s">
        <v>25</v>
      </c>
      <c r="H1135" s="4" t="s">
        <v>25</v>
      </c>
      <c r="I1135" s="5">
        <v>44652</v>
      </c>
      <c r="J1135" s="6">
        <v>0</v>
      </c>
      <c r="K1135" s="6">
        <v>0</v>
      </c>
      <c r="L1135" s="6">
        <v>-319.399</v>
      </c>
      <c r="M1135" s="6">
        <v>-319.399</v>
      </c>
      <c r="N1135" s="6">
        <v>-319.399</v>
      </c>
      <c r="O1135" s="6">
        <v>-319.399</v>
      </c>
      <c r="P1135" s="6">
        <v>-190</v>
      </c>
      <c r="Q1135" s="4" t="s">
        <v>26</v>
      </c>
      <c r="R1135" s="4">
        <v>0</v>
      </c>
      <c r="S1135" s="4" t="s">
        <v>299</v>
      </c>
      <c r="T1135" s="4" t="s">
        <v>569</v>
      </c>
      <c r="U1135" s="4">
        <v>0</v>
      </c>
      <c r="V1135" s="4">
        <v>39</v>
      </c>
      <c r="W1135" s="4">
        <v>83</v>
      </c>
    </row>
    <row r="1136" spans="1:23" ht="11.25" customHeight="1" x14ac:dyDescent="0.25">
      <c r="A1136" s="4" t="s">
        <v>28</v>
      </c>
      <c r="B1136" s="4" t="s">
        <v>22</v>
      </c>
      <c r="C1136" s="4" t="s">
        <v>23</v>
      </c>
      <c r="D1136" s="4" t="s">
        <v>24</v>
      </c>
      <c r="E1136" s="4" t="s">
        <v>24</v>
      </c>
      <c r="F1136" s="4" t="s">
        <v>25</v>
      </c>
      <c r="G1136" s="4" t="s">
        <v>25</v>
      </c>
      <c r="H1136" s="4" t="s">
        <v>25</v>
      </c>
      <c r="I1136" s="5">
        <v>44652</v>
      </c>
      <c r="J1136" s="6">
        <v>0</v>
      </c>
      <c r="K1136" s="6">
        <v>0</v>
      </c>
      <c r="L1136" s="6">
        <v>6118.0929999999998</v>
      </c>
      <c r="M1136" s="6">
        <v>6118.0929999999998</v>
      </c>
      <c r="N1136" s="6">
        <v>6118.0929999999998</v>
      </c>
      <c r="O1136" s="6">
        <v>6118.0929999999998</v>
      </c>
      <c r="P1136" s="6">
        <v>34744</v>
      </c>
      <c r="Q1136" s="4" t="s">
        <v>26</v>
      </c>
      <c r="R1136" s="4">
        <v>0</v>
      </c>
      <c r="S1136" s="4" t="s">
        <v>299</v>
      </c>
      <c r="T1136" s="4" t="s">
        <v>569</v>
      </c>
      <c r="U1136" s="4">
        <v>0</v>
      </c>
      <c r="V1136" s="4">
        <v>39</v>
      </c>
      <c r="W1136" s="4">
        <v>83</v>
      </c>
    </row>
    <row r="1137" spans="1:23" ht="11.25" customHeight="1" x14ac:dyDescent="0.25">
      <c r="A1137" s="4" t="s">
        <v>29</v>
      </c>
      <c r="B1137" s="4" t="s">
        <v>22</v>
      </c>
      <c r="C1137" s="4" t="s">
        <v>23</v>
      </c>
      <c r="D1137" s="4" t="s">
        <v>24</v>
      </c>
      <c r="E1137" s="4" t="s">
        <v>24</v>
      </c>
      <c r="F1137" s="4" t="s">
        <v>25</v>
      </c>
      <c r="G1137" s="4" t="s">
        <v>25</v>
      </c>
      <c r="H1137" s="4" t="s">
        <v>25</v>
      </c>
      <c r="I1137" s="5">
        <v>44652</v>
      </c>
      <c r="J1137" s="6">
        <v>0</v>
      </c>
      <c r="K1137" s="6">
        <v>0</v>
      </c>
      <c r="L1137" s="6">
        <v>-24.042000000000002</v>
      </c>
      <c r="M1137" s="6">
        <v>-24.042000000000002</v>
      </c>
      <c r="N1137" s="6">
        <v>-24.042000000000002</v>
      </c>
      <c r="O1137" s="6">
        <v>-24.042000000000002</v>
      </c>
      <c r="P1137" s="6">
        <v>-141</v>
      </c>
      <c r="Q1137" s="4" t="s">
        <v>26</v>
      </c>
      <c r="R1137" s="4">
        <v>0</v>
      </c>
      <c r="S1137" s="4" t="s">
        <v>299</v>
      </c>
      <c r="T1137" s="4" t="s">
        <v>569</v>
      </c>
      <c r="U1137" s="4">
        <v>0</v>
      </c>
      <c r="V1137" s="4">
        <v>39</v>
      </c>
      <c r="W1137" s="4">
        <v>83</v>
      </c>
    </row>
    <row r="1138" spans="1:23" ht="11.25" customHeight="1" x14ac:dyDescent="0.25">
      <c r="A1138" s="4" t="s">
        <v>30</v>
      </c>
      <c r="B1138" s="4" t="s">
        <v>22</v>
      </c>
      <c r="C1138" s="4" t="s">
        <v>23</v>
      </c>
      <c r="D1138" s="4" t="s">
        <v>24</v>
      </c>
      <c r="E1138" s="4" t="s">
        <v>24</v>
      </c>
      <c r="F1138" s="4" t="s">
        <v>25</v>
      </c>
      <c r="G1138" s="4" t="s">
        <v>25</v>
      </c>
      <c r="H1138" s="4" t="s">
        <v>25</v>
      </c>
      <c r="I1138" s="5">
        <v>44652</v>
      </c>
      <c r="J1138" s="6">
        <v>0</v>
      </c>
      <c r="K1138" s="6">
        <v>0</v>
      </c>
      <c r="L1138" s="6">
        <v>444.483</v>
      </c>
      <c r="M1138" s="6">
        <v>444.483</v>
      </c>
      <c r="N1138" s="6">
        <v>444.483</v>
      </c>
      <c r="O1138" s="6">
        <v>444.483</v>
      </c>
      <c r="P1138" s="6">
        <v>2851</v>
      </c>
      <c r="Q1138" s="4" t="s">
        <v>26</v>
      </c>
      <c r="R1138" s="4">
        <v>0</v>
      </c>
      <c r="S1138" s="4" t="s">
        <v>299</v>
      </c>
      <c r="T1138" s="4" t="s">
        <v>569</v>
      </c>
      <c r="U1138" s="4">
        <v>0</v>
      </c>
      <c r="V1138" s="4">
        <v>39</v>
      </c>
      <c r="W1138" s="4">
        <v>83</v>
      </c>
    </row>
    <row r="1139" spans="1:23" ht="11.25" customHeight="1" x14ac:dyDescent="0.25">
      <c r="A1139" s="4" t="s">
        <v>30</v>
      </c>
      <c r="B1139" s="4" t="s">
        <v>22</v>
      </c>
      <c r="C1139" s="4" t="s">
        <v>23</v>
      </c>
      <c r="D1139" s="4" t="s">
        <v>24</v>
      </c>
      <c r="E1139" s="4" t="s">
        <v>24</v>
      </c>
      <c r="F1139" s="4" t="s">
        <v>25</v>
      </c>
      <c r="G1139" s="4" t="s">
        <v>25</v>
      </c>
      <c r="H1139" s="4" t="s">
        <v>25</v>
      </c>
      <c r="I1139" s="5">
        <v>44652</v>
      </c>
      <c r="J1139" s="6">
        <v>0</v>
      </c>
      <c r="K1139" s="6">
        <v>0</v>
      </c>
      <c r="L1139" s="6">
        <v>-0.71399999999999997</v>
      </c>
      <c r="M1139" s="6">
        <v>-0.71399999999999997</v>
      </c>
      <c r="N1139" s="6">
        <v>-0.71399999999999997</v>
      </c>
      <c r="O1139" s="6">
        <v>-0.71399999999999997</v>
      </c>
      <c r="P1139" s="6">
        <v>0</v>
      </c>
      <c r="Q1139" s="4" t="s">
        <v>26</v>
      </c>
      <c r="R1139" s="4">
        <v>0</v>
      </c>
      <c r="S1139" s="4" t="s">
        <v>299</v>
      </c>
      <c r="T1139" s="4" t="s">
        <v>569</v>
      </c>
      <c r="U1139" s="4">
        <v>0</v>
      </c>
      <c r="V1139" s="4">
        <v>39</v>
      </c>
      <c r="W1139" s="4">
        <v>83</v>
      </c>
    </row>
    <row r="1140" spans="1:23" ht="11.25" customHeight="1" x14ac:dyDescent="0.25">
      <c r="A1140" s="4" t="s">
        <v>21</v>
      </c>
      <c r="B1140" s="4" t="s">
        <v>22</v>
      </c>
      <c r="C1140" s="4" t="s">
        <v>23</v>
      </c>
      <c r="D1140" s="4" t="s">
        <v>24</v>
      </c>
      <c r="E1140" s="4" t="s">
        <v>24</v>
      </c>
      <c r="F1140" s="4" t="s">
        <v>25</v>
      </c>
      <c r="G1140" s="4" t="s">
        <v>25</v>
      </c>
      <c r="H1140" s="4" t="s">
        <v>25</v>
      </c>
      <c r="I1140" s="5">
        <v>44682</v>
      </c>
      <c r="J1140" s="6">
        <v>0</v>
      </c>
      <c r="K1140" s="6">
        <v>0</v>
      </c>
      <c r="L1140" s="6">
        <v>30054.797999999999</v>
      </c>
      <c r="M1140" s="6">
        <v>30054.797999999999</v>
      </c>
      <c r="N1140" s="6">
        <v>30054.797999999999</v>
      </c>
      <c r="O1140" s="6">
        <v>30054.797999999999</v>
      </c>
      <c r="P1140" s="6">
        <v>133517</v>
      </c>
      <c r="Q1140" s="4" t="s">
        <v>26</v>
      </c>
      <c r="R1140" s="4">
        <v>0</v>
      </c>
      <c r="S1140" s="4" t="s">
        <v>300</v>
      </c>
      <c r="T1140" s="4" t="s">
        <v>570</v>
      </c>
      <c r="U1140" s="4">
        <v>0</v>
      </c>
      <c r="V1140" s="4">
        <v>39</v>
      </c>
      <c r="W1140" s="4">
        <v>83</v>
      </c>
    </row>
    <row r="1141" spans="1:23" ht="11.25" customHeight="1" x14ac:dyDescent="0.25">
      <c r="A1141" s="4" t="s">
        <v>27</v>
      </c>
      <c r="B1141" s="4" t="s">
        <v>22</v>
      </c>
      <c r="C1141" s="4" t="s">
        <v>23</v>
      </c>
      <c r="D1141" s="4" t="s">
        <v>24</v>
      </c>
      <c r="E1141" s="4" t="s">
        <v>24</v>
      </c>
      <c r="F1141" s="4" t="s">
        <v>25</v>
      </c>
      <c r="G1141" s="4" t="s">
        <v>25</v>
      </c>
      <c r="H1141" s="4" t="s">
        <v>25</v>
      </c>
      <c r="I1141" s="5">
        <v>44682</v>
      </c>
      <c r="J1141" s="6">
        <v>0</v>
      </c>
      <c r="K1141" s="6">
        <v>0</v>
      </c>
      <c r="L1141" s="6">
        <v>-453.137</v>
      </c>
      <c r="M1141" s="6">
        <v>-453.137</v>
      </c>
      <c r="N1141" s="6">
        <v>-453.137</v>
      </c>
      <c r="O1141" s="6">
        <v>-453.137</v>
      </c>
      <c r="P1141" s="6">
        <v>-85</v>
      </c>
      <c r="Q1141" s="4" t="s">
        <v>26</v>
      </c>
      <c r="R1141" s="4">
        <v>0</v>
      </c>
      <c r="S1141" s="4" t="s">
        <v>300</v>
      </c>
      <c r="T1141" s="4" t="s">
        <v>570</v>
      </c>
      <c r="U1141" s="4">
        <v>0</v>
      </c>
      <c r="V1141" s="4">
        <v>39</v>
      </c>
      <c r="W1141" s="4">
        <v>83</v>
      </c>
    </row>
    <row r="1142" spans="1:23" ht="11.25" customHeight="1" x14ac:dyDescent="0.25">
      <c r="A1142" s="4" t="s">
        <v>28</v>
      </c>
      <c r="B1142" s="4" t="s">
        <v>22</v>
      </c>
      <c r="C1142" s="4" t="s">
        <v>23</v>
      </c>
      <c r="D1142" s="4" t="s">
        <v>24</v>
      </c>
      <c r="E1142" s="4" t="s">
        <v>24</v>
      </c>
      <c r="F1142" s="4" t="s">
        <v>25</v>
      </c>
      <c r="G1142" s="4" t="s">
        <v>25</v>
      </c>
      <c r="H1142" s="4" t="s">
        <v>25</v>
      </c>
      <c r="I1142" s="5">
        <v>44682</v>
      </c>
      <c r="J1142" s="6">
        <v>0</v>
      </c>
      <c r="K1142" s="6">
        <v>0</v>
      </c>
      <c r="L1142" s="6">
        <v>6349.5680000000002</v>
      </c>
      <c r="M1142" s="6">
        <v>6349.5680000000002</v>
      </c>
      <c r="N1142" s="6">
        <v>6349.5680000000002</v>
      </c>
      <c r="O1142" s="6">
        <v>6349.5680000000002</v>
      </c>
      <c r="P1142" s="6">
        <v>35309</v>
      </c>
      <c r="Q1142" s="4" t="s">
        <v>26</v>
      </c>
      <c r="R1142" s="4">
        <v>0</v>
      </c>
      <c r="S1142" s="4" t="s">
        <v>300</v>
      </c>
      <c r="T1142" s="4" t="s">
        <v>570</v>
      </c>
      <c r="U1142" s="4">
        <v>0</v>
      </c>
      <c r="V1142" s="4">
        <v>39</v>
      </c>
      <c r="W1142" s="4">
        <v>83</v>
      </c>
    </row>
    <row r="1143" spans="1:23" ht="11.25" customHeight="1" x14ac:dyDescent="0.25">
      <c r="A1143" s="4" t="s">
        <v>29</v>
      </c>
      <c r="B1143" s="4" t="s">
        <v>22</v>
      </c>
      <c r="C1143" s="4" t="s">
        <v>23</v>
      </c>
      <c r="D1143" s="4" t="s">
        <v>24</v>
      </c>
      <c r="E1143" s="4" t="s">
        <v>24</v>
      </c>
      <c r="F1143" s="4" t="s">
        <v>25</v>
      </c>
      <c r="G1143" s="4" t="s">
        <v>25</v>
      </c>
      <c r="H1143" s="4" t="s">
        <v>25</v>
      </c>
      <c r="I1143" s="5">
        <v>44682</v>
      </c>
      <c r="J1143" s="6">
        <v>0</v>
      </c>
      <c r="K1143" s="6">
        <v>0</v>
      </c>
      <c r="L1143" s="6">
        <v>-15.249000000000001</v>
      </c>
      <c r="M1143" s="6">
        <v>-15.249000000000001</v>
      </c>
      <c r="N1143" s="6">
        <v>-15.249000000000001</v>
      </c>
      <c r="O1143" s="6">
        <v>-15.249000000000001</v>
      </c>
      <c r="P1143" s="6">
        <v>-15</v>
      </c>
      <c r="Q1143" s="4" t="s">
        <v>26</v>
      </c>
      <c r="R1143" s="4">
        <v>0</v>
      </c>
      <c r="S1143" s="4" t="s">
        <v>300</v>
      </c>
      <c r="T1143" s="4" t="s">
        <v>570</v>
      </c>
      <c r="U1143" s="4">
        <v>0</v>
      </c>
      <c r="V1143" s="4">
        <v>39</v>
      </c>
      <c r="W1143" s="4">
        <v>83</v>
      </c>
    </row>
    <row r="1144" spans="1:23" ht="11.25" customHeight="1" x14ac:dyDescent="0.25">
      <c r="A1144" s="4" t="s">
        <v>30</v>
      </c>
      <c r="B1144" s="4" t="s">
        <v>22</v>
      </c>
      <c r="C1144" s="4" t="s">
        <v>23</v>
      </c>
      <c r="D1144" s="4" t="s">
        <v>24</v>
      </c>
      <c r="E1144" s="4" t="s">
        <v>24</v>
      </c>
      <c r="F1144" s="4" t="s">
        <v>25</v>
      </c>
      <c r="G1144" s="4" t="s">
        <v>25</v>
      </c>
      <c r="H1144" s="4" t="s">
        <v>25</v>
      </c>
      <c r="I1144" s="5">
        <v>44682</v>
      </c>
      <c r="J1144" s="6">
        <v>0</v>
      </c>
      <c r="K1144" s="6">
        <v>0</v>
      </c>
      <c r="L1144" s="6">
        <v>490.12200000000001</v>
      </c>
      <c r="M1144" s="6">
        <v>490.12200000000001</v>
      </c>
      <c r="N1144" s="6">
        <v>490.12200000000001</v>
      </c>
      <c r="O1144" s="6">
        <v>490.12200000000001</v>
      </c>
      <c r="P1144" s="6">
        <v>3028</v>
      </c>
      <c r="Q1144" s="4" t="s">
        <v>26</v>
      </c>
      <c r="R1144" s="4">
        <v>0</v>
      </c>
      <c r="S1144" s="4" t="s">
        <v>300</v>
      </c>
      <c r="T1144" s="4" t="s">
        <v>570</v>
      </c>
      <c r="U1144" s="4">
        <v>0</v>
      </c>
      <c r="V1144" s="4">
        <v>39</v>
      </c>
      <c r="W1144" s="4">
        <v>83</v>
      </c>
    </row>
    <row r="1145" spans="1:23" ht="11.25" customHeight="1" x14ac:dyDescent="0.25">
      <c r="A1145" s="4" t="s">
        <v>30</v>
      </c>
      <c r="B1145" s="4" t="s">
        <v>22</v>
      </c>
      <c r="C1145" s="4" t="s">
        <v>23</v>
      </c>
      <c r="D1145" s="4" t="s">
        <v>24</v>
      </c>
      <c r="E1145" s="4" t="s">
        <v>24</v>
      </c>
      <c r="F1145" s="4" t="s">
        <v>25</v>
      </c>
      <c r="G1145" s="4" t="s">
        <v>25</v>
      </c>
      <c r="H1145" s="4" t="s">
        <v>25</v>
      </c>
      <c r="I1145" s="5">
        <v>44682</v>
      </c>
      <c r="J1145" s="6">
        <v>0</v>
      </c>
      <c r="K1145" s="6">
        <v>0</v>
      </c>
      <c r="L1145" s="6">
        <v>-1.135</v>
      </c>
      <c r="M1145" s="6">
        <v>-1.135</v>
      </c>
      <c r="N1145" s="6">
        <v>-1.135</v>
      </c>
      <c r="O1145" s="6">
        <v>-1.135</v>
      </c>
      <c r="P1145" s="6">
        <v>0</v>
      </c>
      <c r="Q1145" s="4" t="s">
        <v>26</v>
      </c>
      <c r="R1145" s="4">
        <v>0</v>
      </c>
      <c r="S1145" s="4" t="s">
        <v>300</v>
      </c>
      <c r="T1145" s="4" t="s">
        <v>570</v>
      </c>
      <c r="U1145" s="4">
        <v>0</v>
      </c>
      <c r="V1145" s="4">
        <v>39</v>
      </c>
      <c r="W1145" s="4">
        <v>83</v>
      </c>
    </row>
    <row r="1146" spans="1:23" ht="11.25" customHeight="1" x14ac:dyDescent="0.25">
      <c r="A1146" s="4" t="s">
        <v>21</v>
      </c>
      <c r="B1146" s="4" t="s">
        <v>22</v>
      </c>
      <c r="C1146" s="4" t="s">
        <v>23</v>
      </c>
      <c r="D1146" s="4" t="s">
        <v>24</v>
      </c>
      <c r="E1146" s="4" t="s">
        <v>24</v>
      </c>
      <c r="F1146" s="4" t="s">
        <v>25</v>
      </c>
      <c r="G1146" s="4" t="s">
        <v>25</v>
      </c>
      <c r="H1146" s="4" t="s">
        <v>25</v>
      </c>
      <c r="I1146" s="5">
        <v>44713</v>
      </c>
      <c r="J1146" s="6">
        <v>0</v>
      </c>
      <c r="K1146" s="6">
        <v>0</v>
      </c>
      <c r="L1146" s="6">
        <v>26486.691999999999</v>
      </c>
      <c r="M1146" s="6">
        <v>26486.691999999999</v>
      </c>
      <c r="N1146" s="6">
        <v>26486.691999999999</v>
      </c>
      <c r="O1146" s="6">
        <v>26486.691999999999</v>
      </c>
      <c r="P1146" s="6">
        <v>132648</v>
      </c>
      <c r="Q1146" s="4" t="s">
        <v>26</v>
      </c>
      <c r="R1146" s="4">
        <v>0</v>
      </c>
      <c r="S1146" s="4" t="s">
        <v>301</v>
      </c>
      <c r="T1146" s="4" t="s">
        <v>571</v>
      </c>
      <c r="U1146" s="4">
        <v>0</v>
      </c>
      <c r="V1146" s="4">
        <v>39</v>
      </c>
      <c r="W1146" s="4">
        <v>83</v>
      </c>
    </row>
    <row r="1147" spans="1:23" ht="11.25" customHeight="1" x14ac:dyDescent="0.25">
      <c r="A1147" s="4" t="s">
        <v>27</v>
      </c>
      <c r="B1147" s="4" t="s">
        <v>22</v>
      </c>
      <c r="C1147" s="4" t="s">
        <v>23</v>
      </c>
      <c r="D1147" s="4" t="s">
        <v>24</v>
      </c>
      <c r="E1147" s="4" t="s">
        <v>24</v>
      </c>
      <c r="F1147" s="4" t="s">
        <v>25</v>
      </c>
      <c r="G1147" s="4" t="s">
        <v>25</v>
      </c>
      <c r="H1147" s="4" t="s">
        <v>25</v>
      </c>
      <c r="I1147" s="5">
        <v>44713</v>
      </c>
      <c r="J1147" s="6">
        <v>0</v>
      </c>
      <c r="K1147" s="6">
        <v>0</v>
      </c>
      <c r="L1147" s="6">
        <v>-250.642</v>
      </c>
      <c r="M1147" s="6">
        <v>-250.642</v>
      </c>
      <c r="N1147" s="6">
        <v>-250.642</v>
      </c>
      <c r="O1147" s="6">
        <v>-250.642</v>
      </c>
      <c r="P1147" s="6">
        <v>-54</v>
      </c>
      <c r="Q1147" s="4" t="s">
        <v>26</v>
      </c>
      <c r="R1147" s="4">
        <v>0</v>
      </c>
      <c r="S1147" s="4" t="s">
        <v>301</v>
      </c>
      <c r="T1147" s="4" t="s">
        <v>571</v>
      </c>
      <c r="U1147" s="4">
        <v>0</v>
      </c>
      <c r="V1147" s="4">
        <v>39</v>
      </c>
      <c r="W1147" s="4">
        <v>83</v>
      </c>
    </row>
    <row r="1148" spans="1:23" ht="11.25" customHeight="1" x14ac:dyDescent="0.25">
      <c r="A1148" s="4" t="s">
        <v>28</v>
      </c>
      <c r="B1148" s="4" t="s">
        <v>22</v>
      </c>
      <c r="C1148" s="4" t="s">
        <v>23</v>
      </c>
      <c r="D1148" s="4" t="s">
        <v>24</v>
      </c>
      <c r="E1148" s="4" t="s">
        <v>24</v>
      </c>
      <c r="F1148" s="4" t="s">
        <v>25</v>
      </c>
      <c r="G1148" s="4" t="s">
        <v>25</v>
      </c>
      <c r="H1148" s="4" t="s">
        <v>25</v>
      </c>
      <c r="I1148" s="5">
        <v>44713</v>
      </c>
      <c r="J1148" s="6">
        <v>0</v>
      </c>
      <c r="K1148" s="6">
        <v>0</v>
      </c>
      <c r="L1148" s="6">
        <v>6019.8919999999998</v>
      </c>
      <c r="M1148" s="6">
        <v>6019.8919999999998</v>
      </c>
      <c r="N1148" s="6">
        <v>6019.8919999999998</v>
      </c>
      <c r="O1148" s="6">
        <v>6019.8919999999998</v>
      </c>
      <c r="P1148" s="6">
        <v>35387</v>
      </c>
      <c r="Q1148" s="4" t="s">
        <v>26</v>
      </c>
      <c r="R1148" s="4">
        <v>0</v>
      </c>
      <c r="S1148" s="4" t="s">
        <v>301</v>
      </c>
      <c r="T1148" s="4" t="s">
        <v>571</v>
      </c>
      <c r="U1148" s="4">
        <v>0</v>
      </c>
      <c r="V1148" s="4">
        <v>39</v>
      </c>
      <c r="W1148" s="4">
        <v>83</v>
      </c>
    </row>
    <row r="1149" spans="1:23" ht="11.25" customHeight="1" x14ac:dyDescent="0.25">
      <c r="A1149" s="4" t="s">
        <v>29</v>
      </c>
      <c r="B1149" s="4" t="s">
        <v>22</v>
      </c>
      <c r="C1149" s="4" t="s">
        <v>23</v>
      </c>
      <c r="D1149" s="4" t="s">
        <v>24</v>
      </c>
      <c r="E1149" s="4" t="s">
        <v>24</v>
      </c>
      <c r="F1149" s="4" t="s">
        <v>25</v>
      </c>
      <c r="G1149" s="4" t="s">
        <v>25</v>
      </c>
      <c r="H1149" s="4" t="s">
        <v>25</v>
      </c>
      <c r="I1149" s="5">
        <v>44713</v>
      </c>
      <c r="J1149" s="6">
        <v>0</v>
      </c>
      <c r="K1149" s="6">
        <v>0</v>
      </c>
      <c r="L1149" s="6">
        <v>-14.943</v>
      </c>
      <c r="M1149" s="6">
        <v>-14.943</v>
      </c>
      <c r="N1149" s="6">
        <v>-14.943</v>
      </c>
      <c r="O1149" s="6">
        <v>-14.943</v>
      </c>
      <c r="P1149" s="6">
        <v>-44</v>
      </c>
      <c r="Q1149" s="4" t="s">
        <v>26</v>
      </c>
      <c r="R1149" s="4">
        <v>0</v>
      </c>
      <c r="S1149" s="4" t="s">
        <v>301</v>
      </c>
      <c r="T1149" s="4" t="s">
        <v>571</v>
      </c>
      <c r="U1149" s="4">
        <v>0</v>
      </c>
      <c r="V1149" s="4">
        <v>39</v>
      </c>
      <c r="W1149" s="4">
        <v>83</v>
      </c>
    </row>
    <row r="1150" spans="1:23" ht="11.25" customHeight="1" x14ac:dyDescent="0.25">
      <c r="A1150" s="4" t="s">
        <v>30</v>
      </c>
      <c r="B1150" s="4" t="s">
        <v>22</v>
      </c>
      <c r="C1150" s="4" t="s">
        <v>23</v>
      </c>
      <c r="D1150" s="4" t="s">
        <v>24</v>
      </c>
      <c r="E1150" s="4" t="s">
        <v>24</v>
      </c>
      <c r="F1150" s="4" t="s">
        <v>25</v>
      </c>
      <c r="G1150" s="4" t="s">
        <v>25</v>
      </c>
      <c r="H1150" s="4" t="s">
        <v>25</v>
      </c>
      <c r="I1150" s="5">
        <v>44713</v>
      </c>
      <c r="J1150" s="6">
        <v>0</v>
      </c>
      <c r="K1150" s="6">
        <v>0</v>
      </c>
      <c r="L1150" s="6">
        <v>434.46499999999997</v>
      </c>
      <c r="M1150" s="6">
        <v>434.46499999999997</v>
      </c>
      <c r="N1150" s="6">
        <v>434.46499999999997</v>
      </c>
      <c r="O1150" s="6">
        <v>434.46499999999997</v>
      </c>
      <c r="P1150" s="6">
        <v>3214</v>
      </c>
      <c r="Q1150" s="4" t="s">
        <v>26</v>
      </c>
      <c r="R1150" s="4">
        <v>0</v>
      </c>
      <c r="S1150" s="4" t="s">
        <v>301</v>
      </c>
      <c r="T1150" s="4" t="s">
        <v>571</v>
      </c>
      <c r="U1150" s="4">
        <v>0</v>
      </c>
      <c r="V1150" s="4">
        <v>39</v>
      </c>
      <c r="W1150" s="4">
        <v>83</v>
      </c>
    </row>
    <row r="1151" spans="1:23" ht="11.25" customHeight="1" x14ac:dyDescent="0.25">
      <c r="A1151" s="4" t="s">
        <v>21</v>
      </c>
      <c r="B1151" s="4" t="s">
        <v>22</v>
      </c>
      <c r="C1151" s="4" t="s">
        <v>23</v>
      </c>
      <c r="D1151" s="4" t="s">
        <v>24</v>
      </c>
      <c r="E1151" s="4" t="s">
        <v>24</v>
      </c>
      <c r="F1151" s="4" t="s">
        <v>25</v>
      </c>
      <c r="G1151" s="4" t="s">
        <v>25</v>
      </c>
      <c r="H1151" s="4" t="s">
        <v>25</v>
      </c>
      <c r="I1151" s="5">
        <v>44743</v>
      </c>
      <c r="J1151" s="6">
        <v>0</v>
      </c>
      <c r="K1151" s="6">
        <v>0</v>
      </c>
      <c r="L1151" s="6">
        <v>30012.208999999999</v>
      </c>
      <c r="M1151" s="6">
        <v>30012.208999999999</v>
      </c>
      <c r="N1151" s="6">
        <v>30012.208999999999</v>
      </c>
      <c r="O1151" s="6">
        <v>30012.208999999999</v>
      </c>
      <c r="P1151" s="6">
        <v>131923</v>
      </c>
      <c r="Q1151" s="4" t="s">
        <v>26</v>
      </c>
      <c r="R1151" s="4">
        <v>0</v>
      </c>
      <c r="S1151" s="4" t="s">
        <v>302</v>
      </c>
      <c r="T1151" s="4" t="s">
        <v>572</v>
      </c>
      <c r="U1151" s="4">
        <v>0</v>
      </c>
      <c r="V1151" s="4">
        <v>39</v>
      </c>
      <c r="W1151" s="4">
        <v>83</v>
      </c>
    </row>
    <row r="1152" spans="1:23" ht="11.25" customHeight="1" x14ac:dyDescent="0.25">
      <c r="A1152" s="4" t="s">
        <v>27</v>
      </c>
      <c r="B1152" s="4" t="s">
        <v>22</v>
      </c>
      <c r="C1152" s="4" t="s">
        <v>23</v>
      </c>
      <c r="D1152" s="4" t="s">
        <v>24</v>
      </c>
      <c r="E1152" s="4" t="s">
        <v>24</v>
      </c>
      <c r="F1152" s="4" t="s">
        <v>25</v>
      </c>
      <c r="G1152" s="4" t="s">
        <v>25</v>
      </c>
      <c r="H1152" s="4" t="s">
        <v>25</v>
      </c>
      <c r="I1152" s="5">
        <v>44743</v>
      </c>
      <c r="J1152" s="6">
        <v>0</v>
      </c>
      <c r="K1152" s="6">
        <v>0</v>
      </c>
      <c r="L1152" s="6">
        <v>-194.23400000000001</v>
      </c>
      <c r="M1152" s="6">
        <v>-194.23400000000001</v>
      </c>
      <c r="N1152" s="6">
        <v>-194.23400000000001</v>
      </c>
      <c r="O1152" s="6">
        <v>-194.23400000000001</v>
      </c>
      <c r="P1152" s="6">
        <v>-98</v>
      </c>
      <c r="Q1152" s="4" t="s">
        <v>26</v>
      </c>
      <c r="R1152" s="4">
        <v>0</v>
      </c>
      <c r="S1152" s="4" t="s">
        <v>302</v>
      </c>
      <c r="T1152" s="4" t="s">
        <v>572</v>
      </c>
      <c r="U1152" s="4">
        <v>0</v>
      </c>
      <c r="V1152" s="4">
        <v>39</v>
      </c>
      <c r="W1152" s="4">
        <v>83</v>
      </c>
    </row>
    <row r="1153" spans="1:23" ht="11.25" customHeight="1" x14ac:dyDescent="0.25">
      <c r="A1153" s="4" t="s">
        <v>28</v>
      </c>
      <c r="B1153" s="4" t="s">
        <v>22</v>
      </c>
      <c r="C1153" s="4" t="s">
        <v>23</v>
      </c>
      <c r="D1153" s="4" t="s">
        <v>24</v>
      </c>
      <c r="E1153" s="4" t="s">
        <v>24</v>
      </c>
      <c r="F1153" s="4" t="s">
        <v>25</v>
      </c>
      <c r="G1153" s="4" t="s">
        <v>25</v>
      </c>
      <c r="H1153" s="4" t="s">
        <v>25</v>
      </c>
      <c r="I1153" s="5">
        <v>44743</v>
      </c>
      <c r="J1153" s="6">
        <v>0</v>
      </c>
      <c r="K1153" s="6">
        <v>0</v>
      </c>
      <c r="L1153" s="6">
        <v>6532.9340000000002</v>
      </c>
      <c r="M1153" s="6">
        <v>6532.9340000000002</v>
      </c>
      <c r="N1153" s="6">
        <v>6532.9340000000002</v>
      </c>
      <c r="O1153" s="6">
        <v>6532.9340000000002</v>
      </c>
      <c r="P1153" s="6">
        <v>34970</v>
      </c>
      <c r="Q1153" s="4" t="s">
        <v>26</v>
      </c>
      <c r="R1153" s="4">
        <v>0</v>
      </c>
      <c r="S1153" s="4" t="s">
        <v>302</v>
      </c>
      <c r="T1153" s="4" t="s">
        <v>572</v>
      </c>
      <c r="U1153" s="4">
        <v>0</v>
      </c>
      <c r="V1153" s="4">
        <v>39</v>
      </c>
      <c r="W1153" s="4">
        <v>83</v>
      </c>
    </row>
    <row r="1154" spans="1:23" ht="11.25" customHeight="1" x14ac:dyDescent="0.25">
      <c r="A1154" s="4" t="s">
        <v>29</v>
      </c>
      <c r="B1154" s="4" t="s">
        <v>22</v>
      </c>
      <c r="C1154" s="4" t="s">
        <v>23</v>
      </c>
      <c r="D1154" s="4" t="s">
        <v>24</v>
      </c>
      <c r="E1154" s="4" t="s">
        <v>24</v>
      </c>
      <c r="F1154" s="4" t="s">
        <v>25</v>
      </c>
      <c r="G1154" s="4" t="s">
        <v>25</v>
      </c>
      <c r="H1154" s="4" t="s">
        <v>25</v>
      </c>
      <c r="I1154" s="5">
        <v>44743</v>
      </c>
      <c r="J1154" s="6">
        <v>0</v>
      </c>
      <c r="K1154" s="6">
        <v>0</v>
      </c>
      <c r="L1154" s="6">
        <v>-19.97</v>
      </c>
      <c r="M1154" s="6">
        <v>-19.97</v>
      </c>
      <c r="N1154" s="6">
        <v>-19.97</v>
      </c>
      <c r="O1154" s="6">
        <v>-19.97</v>
      </c>
      <c r="P1154" s="6">
        <v>-41</v>
      </c>
      <c r="Q1154" s="4" t="s">
        <v>26</v>
      </c>
      <c r="R1154" s="4">
        <v>0</v>
      </c>
      <c r="S1154" s="4" t="s">
        <v>302</v>
      </c>
      <c r="T1154" s="4" t="s">
        <v>572</v>
      </c>
      <c r="U1154" s="4">
        <v>0</v>
      </c>
      <c r="V1154" s="4">
        <v>39</v>
      </c>
      <c r="W1154" s="4">
        <v>83</v>
      </c>
    </row>
    <row r="1155" spans="1:23" ht="11.25" customHeight="1" x14ac:dyDescent="0.25">
      <c r="A1155" s="4" t="s">
        <v>30</v>
      </c>
      <c r="B1155" s="4" t="s">
        <v>22</v>
      </c>
      <c r="C1155" s="4" t="s">
        <v>23</v>
      </c>
      <c r="D1155" s="4" t="s">
        <v>24</v>
      </c>
      <c r="E1155" s="4" t="s">
        <v>24</v>
      </c>
      <c r="F1155" s="4" t="s">
        <v>25</v>
      </c>
      <c r="G1155" s="4" t="s">
        <v>25</v>
      </c>
      <c r="H1155" s="4" t="s">
        <v>25</v>
      </c>
      <c r="I1155" s="5">
        <v>44743</v>
      </c>
      <c r="J1155" s="6">
        <v>0</v>
      </c>
      <c r="K1155" s="6">
        <v>0</v>
      </c>
      <c r="L1155" s="6">
        <v>449.67599999999999</v>
      </c>
      <c r="M1155" s="6">
        <v>449.67599999999999</v>
      </c>
      <c r="N1155" s="6">
        <v>449.67599999999999</v>
      </c>
      <c r="O1155" s="6">
        <v>449.67599999999999</v>
      </c>
      <c r="P1155" s="6">
        <v>3326</v>
      </c>
      <c r="Q1155" s="4" t="s">
        <v>26</v>
      </c>
      <c r="R1155" s="4">
        <v>0</v>
      </c>
      <c r="S1155" s="4" t="s">
        <v>302</v>
      </c>
      <c r="T1155" s="4" t="s">
        <v>572</v>
      </c>
      <c r="U1155" s="4">
        <v>0</v>
      </c>
      <c r="V1155" s="4">
        <v>39</v>
      </c>
      <c r="W1155" s="4">
        <v>83</v>
      </c>
    </row>
    <row r="1156" spans="1:23" ht="11.25" customHeight="1" x14ac:dyDescent="0.25">
      <c r="A1156" s="4" t="s">
        <v>30</v>
      </c>
      <c r="B1156" s="4" t="s">
        <v>22</v>
      </c>
      <c r="C1156" s="4" t="s">
        <v>23</v>
      </c>
      <c r="D1156" s="4" t="s">
        <v>24</v>
      </c>
      <c r="E1156" s="4" t="s">
        <v>24</v>
      </c>
      <c r="F1156" s="4" t="s">
        <v>25</v>
      </c>
      <c r="G1156" s="4" t="s">
        <v>25</v>
      </c>
      <c r="H1156" s="4" t="s">
        <v>25</v>
      </c>
      <c r="I1156" s="5">
        <v>44743</v>
      </c>
      <c r="J1156" s="6">
        <v>0</v>
      </c>
      <c r="K1156" s="6">
        <v>0</v>
      </c>
      <c r="L1156" s="6">
        <v>-0.7</v>
      </c>
      <c r="M1156" s="6">
        <v>-0.7</v>
      </c>
      <c r="N1156" s="6">
        <v>-0.7</v>
      </c>
      <c r="O1156" s="6">
        <v>-0.7</v>
      </c>
      <c r="P1156" s="6">
        <v>0</v>
      </c>
      <c r="Q1156" s="4" t="s">
        <v>26</v>
      </c>
      <c r="R1156" s="4">
        <v>0</v>
      </c>
      <c r="S1156" s="4" t="s">
        <v>302</v>
      </c>
      <c r="T1156" s="4" t="s">
        <v>572</v>
      </c>
      <c r="U1156" s="4">
        <v>0</v>
      </c>
      <c r="V1156" s="4">
        <v>39</v>
      </c>
      <c r="W1156" s="4">
        <v>83</v>
      </c>
    </row>
    <row r="1157" spans="1:23" ht="11.25" customHeight="1" x14ac:dyDescent="0.25">
      <c r="A1157" s="4" t="s">
        <v>21</v>
      </c>
      <c r="B1157" s="4" t="s">
        <v>22</v>
      </c>
      <c r="C1157" s="4" t="s">
        <v>23</v>
      </c>
      <c r="D1157" s="4" t="s">
        <v>24</v>
      </c>
      <c r="E1157" s="4" t="s">
        <v>24</v>
      </c>
      <c r="F1157" s="4" t="s">
        <v>25</v>
      </c>
      <c r="G1157" s="4" t="s">
        <v>25</v>
      </c>
      <c r="H1157" s="4" t="s">
        <v>25</v>
      </c>
      <c r="I1157" s="5">
        <v>44774</v>
      </c>
      <c r="J1157" s="6">
        <v>0</v>
      </c>
      <c r="K1157" s="6">
        <v>0</v>
      </c>
      <c r="L1157" s="6">
        <v>31998.149000000001</v>
      </c>
      <c r="M1157" s="6">
        <v>31998.149000000001</v>
      </c>
      <c r="N1157" s="6">
        <v>31998.149000000001</v>
      </c>
      <c r="O1157" s="6">
        <v>31998.149000000001</v>
      </c>
      <c r="P1157" s="6">
        <v>131591</v>
      </c>
      <c r="Q1157" s="4" t="s">
        <v>26</v>
      </c>
      <c r="R1157" s="4">
        <v>0</v>
      </c>
      <c r="S1157" s="4" t="s">
        <v>303</v>
      </c>
      <c r="T1157" s="4" t="s">
        <v>573</v>
      </c>
      <c r="U1157" s="4">
        <v>0</v>
      </c>
      <c r="V1157" s="4">
        <v>39</v>
      </c>
      <c r="W1157" s="4">
        <v>83</v>
      </c>
    </row>
    <row r="1158" spans="1:23" ht="11.25" customHeight="1" x14ac:dyDescent="0.25">
      <c r="A1158" s="4" t="s">
        <v>27</v>
      </c>
      <c r="B1158" s="4" t="s">
        <v>22</v>
      </c>
      <c r="C1158" s="4" t="s">
        <v>23</v>
      </c>
      <c r="D1158" s="4" t="s">
        <v>24</v>
      </c>
      <c r="E1158" s="4" t="s">
        <v>24</v>
      </c>
      <c r="F1158" s="4" t="s">
        <v>25</v>
      </c>
      <c r="G1158" s="4" t="s">
        <v>25</v>
      </c>
      <c r="H1158" s="4" t="s">
        <v>25</v>
      </c>
      <c r="I1158" s="5">
        <v>44774</v>
      </c>
      <c r="J1158" s="6">
        <v>0</v>
      </c>
      <c r="K1158" s="6">
        <v>0</v>
      </c>
      <c r="L1158" s="6">
        <v>-261.45800000000003</v>
      </c>
      <c r="M1158" s="6">
        <v>-261.45800000000003</v>
      </c>
      <c r="N1158" s="6">
        <v>-261.45800000000003</v>
      </c>
      <c r="O1158" s="6">
        <v>-261.45800000000003</v>
      </c>
      <c r="P1158" s="6">
        <v>-185</v>
      </c>
      <c r="Q1158" s="4" t="s">
        <v>26</v>
      </c>
      <c r="R1158" s="4">
        <v>0</v>
      </c>
      <c r="S1158" s="4" t="s">
        <v>303</v>
      </c>
      <c r="T1158" s="4" t="s">
        <v>573</v>
      </c>
      <c r="U1158" s="4">
        <v>0</v>
      </c>
      <c r="V1158" s="4">
        <v>39</v>
      </c>
      <c r="W1158" s="4">
        <v>83</v>
      </c>
    </row>
    <row r="1159" spans="1:23" ht="11.25" customHeight="1" x14ac:dyDescent="0.25">
      <c r="A1159" s="4" t="s">
        <v>28</v>
      </c>
      <c r="B1159" s="4" t="s">
        <v>22</v>
      </c>
      <c r="C1159" s="4" t="s">
        <v>23</v>
      </c>
      <c r="D1159" s="4" t="s">
        <v>24</v>
      </c>
      <c r="E1159" s="4" t="s">
        <v>24</v>
      </c>
      <c r="F1159" s="4" t="s">
        <v>25</v>
      </c>
      <c r="G1159" s="4" t="s">
        <v>25</v>
      </c>
      <c r="H1159" s="4" t="s">
        <v>25</v>
      </c>
      <c r="I1159" s="5">
        <v>44774</v>
      </c>
      <c r="J1159" s="6">
        <v>0</v>
      </c>
      <c r="K1159" s="6">
        <v>0</v>
      </c>
      <c r="L1159" s="6">
        <v>6825.2389999999996</v>
      </c>
      <c r="M1159" s="6">
        <v>6825.2389999999996</v>
      </c>
      <c r="N1159" s="6">
        <v>6825.2389999999996</v>
      </c>
      <c r="O1159" s="6">
        <v>6825.2389999999996</v>
      </c>
      <c r="P1159" s="6">
        <v>35303</v>
      </c>
      <c r="Q1159" s="4" t="s">
        <v>26</v>
      </c>
      <c r="R1159" s="4">
        <v>0</v>
      </c>
      <c r="S1159" s="4" t="s">
        <v>303</v>
      </c>
      <c r="T1159" s="4" t="s">
        <v>573</v>
      </c>
      <c r="U1159" s="4">
        <v>0</v>
      </c>
      <c r="V1159" s="4">
        <v>39</v>
      </c>
      <c r="W1159" s="4">
        <v>83</v>
      </c>
    </row>
    <row r="1160" spans="1:23" ht="11.25" customHeight="1" x14ac:dyDescent="0.25">
      <c r="A1160" s="4" t="s">
        <v>29</v>
      </c>
      <c r="B1160" s="4" t="s">
        <v>22</v>
      </c>
      <c r="C1160" s="4" t="s">
        <v>23</v>
      </c>
      <c r="D1160" s="4" t="s">
        <v>24</v>
      </c>
      <c r="E1160" s="4" t="s">
        <v>24</v>
      </c>
      <c r="F1160" s="4" t="s">
        <v>25</v>
      </c>
      <c r="G1160" s="4" t="s">
        <v>25</v>
      </c>
      <c r="H1160" s="4" t="s">
        <v>25</v>
      </c>
      <c r="I1160" s="5">
        <v>44774</v>
      </c>
      <c r="J1160" s="6">
        <v>0</v>
      </c>
      <c r="K1160" s="6">
        <v>0</v>
      </c>
      <c r="L1160" s="6">
        <v>-27.99</v>
      </c>
      <c r="M1160" s="6">
        <v>-27.99</v>
      </c>
      <c r="N1160" s="6">
        <v>-27.99</v>
      </c>
      <c r="O1160" s="6">
        <v>-27.99</v>
      </c>
      <c r="P1160" s="6">
        <v>-12</v>
      </c>
      <c r="Q1160" s="4" t="s">
        <v>26</v>
      </c>
      <c r="R1160" s="4">
        <v>0</v>
      </c>
      <c r="S1160" s="4" t="s">
        <v>303</v>
      </c>
      <c r="T1160" s="4" t="s">
        <v>573</v>
      </c>
      <c r="U1160" s="4">
        <v>0</v>
      </c>
      <c r="V1160" s="4">
        <v>39</v>
      </c>
      <c r="W1160" s="4">
        <v>83</v>
      </c>
    </row>
    <row r="1161" spans="1:23" ht="11.25" customHeight="1" x14ac:dyDescent="0.25">
      <c r="A1161" s="4" t="s">
        <v>30</v>
      </c>
      <c r="B1161" s="4" t="s">
        <v>22</v>
      </c>
      <c r="C1161" s="4" t="s">
        <v>23</v>
      </c>
      <c r="D1161" s="4" t="s">
        <v>24</v>
      </c>
      <c r="E1161" s="4" t="s">
        <v>24</v>
      </c>
      <c r="F1161" s="4" t="s">
        <v>25</v>
      </c>
      <c r="G1161" s="4" t="s">
        <v>25</v>
      </c>
      <c r="H1161" s="4" t="s">
        <v>25</v>
      </c>
      <c r="I1161" s="5">
        <v>44774</v>
      </c>
      <c r="J1161" s="6">
        <v>0</v>
      </c>
      <c r="K1161" s="6">
        <v>0</v>
      </c>
      <c r="L1161" s="6">
        <v>539.40200000000004</v>
      </c>
      <c r="M1161" s="6">
        <v>539.40200000000004</v>
      </c>
      <c r="N1161" s="6">
        <v>539.40200000000004</v>
      </c>
      <c r="O1161" s="6">
        <v>539.40200000000004</v>
      </c>
      <c r="P1161" s="6">
        <v>3477</v>
      </c>
      <c r="Q1161" s="4" t="s">
        <v>26</v>
      </c>
      <c r="R1161" s="4">
        <v>0</v>
      </c>
      <c r="S1161" s="4" t="s">
        <v>303</v>
      </c>
      <c r="T1161" s="4" t="s">
        <v>573</v>
      </c>
      <c r="U1161" s="4">
        <v>0</v>
      </c>
      <c r="V1161" s="4">
        <v>39</v>
      </c>
      <c r="W1161" s="4">
        <v>83</v>
      </c>
    </row>
    <row r="1162" spans="1:23" ht="11.25" customHeight="1" x14ac:dyDescent="0.25">
      <c r="A1162" s="4" t="s">
        <v>30</v>
      </c>
      <c r="B1162" s="4" t="s">
        <v>22</v>
      </c>
      <c r="C1162" s="4" t="s">
        <v>23</v>
      </c>
      <c r="D1162" s="4" t="s">
        <v>24</v>
      </c>
      <c r="E1162" s="4" t="s">
        <v>24</v>
      </c>
      <c r="F1162" s="4" t="s">
        <v>25</v>
      </c>
      <c r="G1162" s="4" t="s">
        <v>25</v>
      </c>
      <c r="H1162" s="4" t="s">
        <v>25</v>
      </c>
      <c r="I1162" s="5">
        <v>44774</v>
      </c>
      <c r="J1162" s="6">
        <v>0</v>
      </c>
      <c r="K1162" s="6">
        <v>0</v>
      </c>
      <c r="L1162" s="6">
        <v>-1.9419999999999999</v>
      </c>
      <c r="M1162" s="6">
        <v>-1.9419999999999999</v>
      </c>
      <c r="N1162" s="6">
        <v>-1.9419999999999999</v>
      </c>
      <c r="O1162" s="6">
        <v>-1.9419999999999999</v>
      </c>
      <c r="P1162" s="6">
        <v>0</v>
      </c>
      <c r="Q1162" s="4" t="s">
        <v>26</v>
      </c>
      <c r="R1162" s="4">
        <v>0</v>
      </c>
      <c r="S1162" s="4" t="s">
        <v>303</v>
      </c>
      <c r="T1162" s="4" t="s">
        <v>573</v>
      </c>
      <c r="U1162" s="4">
        <v>0</v>
      </c>
      <c r="V1162" s="4">
        <v>39</v>
      </c>
      <c r="W1162" s="4">
        <v>83</v>
      </c>
    </row>
    <row r="1163" spans="1:23" ht="11.25" customHeight="1" x14ac:dyDescent="0.25">
      <c r="A1163" s="4" t="s">
        <v>21</v>
      </c>
      <c r="B1163" s="4" t="s">
        <v>22</v>
      </c>
      <c r="C1163" s="4" t="s">
        <v>23</v>
      </c>
      <c r="D1163" s="4" t="s">
        <v>24</v>
      </c>
      <c r="E1163" s="4" t="s">
        <v>24</v>
      </c>
      <c r="F1163" s="4" t="s">
        <v>25</v>
      </c>
      <c r="G1163" s="4" t="s">
        <v>25</v>
      </c>
      <c r="H1163" s="4" t="s">
        <v>25</v>
      </c>
      <c r="I1163" s="5">
        <v>44805</v>
      </c>
      <c r="J1163" s="6">
        <v>0</v>
      </c>
      <c r="K1163" s="6">
        <v>0</v>
      </c>
      <c r="L1163" s="6">
        <v>30533.635999999999</v>
      </c>
      <c r="M1163" s="6">
        <v>30533.635999999999</v>
      </c>
      <c r="N1163" s="6">
        <v>30533.635999999999</v>
      </c>
      <c r="O1163" s="6">
        <v>30533.635999999999</v>
      </c>
      <c r="P1163" s="6">
        <v>130877</v>
      </c>
      <c r="Q1163" s="4" t="s">
        <v>26</v>
      </c>
      <c r="R1163" s="4">
        <v>0</v>
      </c>
      <c r="S1163" s="4" t="s">
        <v>304</v>
      </c>
      <c r="T1163" s="4" t="s">
        <v>574</v>
      </c>
      <c r="U1163" s="4">
        <v>0</v>
      </c>
      <c r="V1163" s="4">
        <v>39</v>
      </c>
      <c r="W1163" s="4">
        <v>83</v>
      </c>
    </row>
    <row r="1164" spans="1:23" ht="11.25" customHeight="1" x14ac:dyDescent="0.25">
      <c r="A1164" s="4" t="s">
        <v>27</v>
      </c>
      <c r="B1164" s="4" t="s">
        <v>22</v>
      </c>
      <c r="C1164" s="4" t="s">
        <v>23</v>
      </c>
      <c r="D1164" s="4" t="s">
        <v>24</v>
      </c>
      <c r="E1164" s="4" t="s">
        <v>24</v>
      </c>
      <c r="F1164" s="4" t="s">
        <v>25</v>
      </c>
      <c r="G1164" s="4" t="s">
        <v>25</v>
      </c>
      <c r="H1164" s="4" t="s">
        <v>25</v>
      </c>
      <c r="I1164" s="5">
        <v>44805</v>
      </c>
      <c r="J1164" s="6">
        <v>0</v>
      </c>
      <c r="K1164" s="6">
        <v>0</v>
      </c>
      <c r="L1164" s="6">
        <v>-208.626</v>
      </c>
      <c r="M1164" s="6">
        <v>-208.626</v>
      </c>
      <c r="N1164" s="6">
        <v>-208.626</v>
      </c>
      <c r="O1164" s="6">
        <v>-208.626</v>
      </c>
      <c r="P1164" s="6">
        <v>-91</v>
      </c>
      <c r="Q1164" s="4" t="s">
        <v>26</v>
      </c>
      <c r="R1164" s="4">
        <v>0</v>
      </c>
      <c r="S1164" s="4" t="s">
        <v>304</v>
      </c>
      <c r="T1164" s="4" t="s">
        <v>574</v>
      </c>
      <c r="U1164" s="4">
        <v>0</v>
      </c>
      <c r="V1164" s="4">
        <v>39</v>
      </c>
      <c r="W1164" s="4">
        <v>83</v>
      </c>
    </row>
    <row r="1165" spans="1:23" ht="11.25" customHeight="1" x14ac:dyDescent="0.25">
      <c r="A1165" s="4" t="s">
        <v>28</v>
      </c>
      <c r="B1165" s="4" t="s">
        <v>22</v>
      </c>
      <c r="C1165" s="4" t="s">
        <v>23</v>
      </c>
      <c r="D1165" s="4" t="s">
        <v>24</v>
      </c>
      <c r="E1165" s="4" t="s">
        <v>24</v>
      </c>
      <c r="F1165" s="4" t="s">
        <v>25</v>
      </c>
      <c r="G1165" s="4" t="s">
        <v>25</v>
      </c>
      <c r="H1165" s="4" t="s">
        <v>25</v>
      </c>
      <c r="I1165" s="5">
        <v>44805</v>
      </c>
      <c r="J1165" s="6">
        <v>0</v>
      </c>
      <c r="K1165" s="6">
        <v>0</v>
      </c>
      <c r="L1165" s="6">
        <v>6924.7370000000001</v>
      </c>
      <c r="M1165" s="6">
        <v>6924.7370000000001</v>
      </c>
      <c r="N1165" s="6">
        <v>6924.7370000000001</v>
      </c>
      <c r="O1165" s="6">
        <v>6924.7370000000001</v>
      </c>
      <c r="P1165" s="6">
        <v>35543</v>
      </c>
      <c r="Q1165" s="4" t="s">
        <v>26</v>
      </c>
      <c r="R1165" s="4">
        <v>0</v>
      </c>
      <c r="S1165" s="4" t="s">
        <v>304</v>
      </c>
      <c r="T1165" s="4" t="s">
        <v>574</v>
      </c>
      <c r="U1165" s="4">
        <v>0</v>
      </c>
      <c r="V1165" s="4">
        <v>39</v>
      </c>
      <c r="W1165" s="4">
        <v>83</v>
      </c>
    </row>
    <row r="1166" spans="1:23" ht="11.25" customHeight="1" x14ac:dyDescent="0.25">
      <c r="A1166" s="4" t="s">
        <v>29</v>
      </c>
      <c r="B1166" s="4" t="s">
        <v>22</v>
      </c>
      <c r="C1166" s="4" t="s">
        <v>23</v>
      </c>
      <c r="D1166" s="4" t="s">
        <v>24</v>
      </c>
      <c r="E1166" s="4" t="s">
        <v>24</v>
      </c>
      <c r="F1166" s="4" t="s">
        <v>25</v>
      </c>
      <c r="G1166" s="4" t="s">
        <v>25</v>
      </c>
      <c r="H1166" s="4" t="s">
        <v>25</v>
      </c>
      <c r="I1166" s="5">
        <v>44805</v>
      </c>
      <c r="J1166" s="6">
        <v>0</v>
      </c>
      <c r="K1166" s="6">
        <v>0</v>
      </c>
      <c r="L1166" s="6">
        <v>-29.780999999999999</v>
      </c>
      <c r="M1166" s="6">
        <v>-29.780999999999999</v>
      </c>
      <c r="N1166" s="6">
        <v>-29.780999999999999</v>
      </c>
      <c r="O1166" s="6">
        <v>-29.780999999999999</v>
      </c>
      <c r="P1166" s="6">
        <v>-24</v>
      </c>
      <c r="Q1166" s="4" t="s">
        <v>26</v>
      </c>
      <c r="R1166" s="4">
        <v>0</v>
      </c>
      <c r="S1166" s="4" t="s">
        <v>304</v>
      </c>
      <c r="T1166" s="4" t="s">
        <v>574</v>
      </c>
      <c r="U1166" s="4">
        <v>0</v>
      </c>
      <c r="V1166" s="4">
        <v>39</v>
      </c>
      <c r="W1166" s="4">
        <v>83</v>
      </c>
    </row>
    <row r="1167" spans="1:23" ht="11.25" customHeight="1" x14ac:dyDescent="0.25">
      <c r="A1167" s="4" t="s">
        <v>30</v>
      </c>
      <c r="B1167" s="4" t="s">
        <v>22</v>
      </c>
      <c r="C1167" s="4" t="s">
        <v>23</v>
      </c>
      <c r="D1167" s="4" t="s">
        <v>24</v>
      </c>
      <c r="E1167" s="4" t="s">
        <v>24</v>
      </c>
      <c r="F1167" s="4" t="s">
        <v>25</v>
      </c>
      <c r="G1167" s="4" t="s">
        <v>25</v>
      </c>
      <c r="H1167" s="4" t="s">
        <v>25</v>
      </c>
      <c r="I1167" s="5">
        <v>44805</v>
      </c>
      <c r="J1167" s="6">
        <v>0</v>
      </c>
      <c r="K1167" s="6">
        <v>0</v>
      </c>
      <c r="L1167" s="6">
        <v>461.31099999999998</v>
      </c>
      <c r="M1167" s="6">
        <v>461.31099999999998</v>
      </c>
      <c r="N1167" s="6">
        <v>461.31099999999998</v>
      </c>
      <c r="O1167" s="6">
        <v>461.31099999999998</v>
      </c>
      <c r="P1167" s="6">
        <v>3574</v>
      </c>
      <c r="Q1167" s="4" t="s">
        <v>26</v>
      </c>
      <c r="R1167" s="4">
        <v>0</v>
      </c>
      <c r="S1167" s="4" t="s">
        <v>304</v>
      </c>
      <c r="T1167" s="4" t="s">
        <v>574</v>
      </c>
      <c r="U1167" s="4">
        <v>0</v>
      </c>
      <c r="V1167" s="4">
        <v>39</v>
      </c>
      <c r="W1167" s="4">
        <v>83</v>
      </c>
    </row>
    <row r="1168" spans="1:23" ht="11.25" customHeight="1" x14ac:dyDescent="0.25">
      <c r="A1168" s="4" t="s">
        <v>30</v>
      </c>
      <c r="B1168" s="4" t="s">
        <v>22</v>
      </c>
      <c r="C1168" s="4" t="s">
        <v>23</v>
      </c>
      <c r="D1168" s="4" t="s">
        <v>24</v>
      </c>
      <c r="E1168" s="4" t="s">
        <v>24</v>
      </c>
      <c r="F1168" s="4" t="s">
        <v>25</v>
      </c>
      <c r="G1168" s="4" t="s">
        <v>25</v>
      </c>
      <c r="H1168" s="4" t="s">
        <v>25</v>
      </c>
      <c r="I1168" s="5">
        <v>44805</v>
      </c>
      <c r="J1168" s="6">
        <v>0</v>
      </c>
      <c r="K1168" s="6">
        <v>0</v>
      </c>
      <c r="L1168" s="6">
        <v>-3.335</v>
      </c>
      <c r="M1168" s="6">
        <v>-3.335</v>
      </c>
      <c r="N1168" s="6">
        <v>-3.335</v>
      </c>
      <c r="O1168" s="6">
        <v>-3.335</v>
      </c>
      <c r="P1168" s="6">
        <v>0</v>
      </c>
      <c r="Q1168" s="4" t="s">
        <v>26</v>
      </c>
      <c r="R1168" s="4">
        <v>0</v>
      </c>
      <c r="S1168" s="4" t="s">
        <v>304</v>
      </c>
      <c r="T1168" s="4" t="s">
        <v>574</v>
      </c>
      <c r="U1168" s="4">
        <v>0</v>
      </c>
      <c r="V1168" s="4">
        <v>39</v>
      </c>
      <c r="W1168" s="4">
        <v>83</v>
      </c>
    </row>
    <row r="1169" spans="1:23" ht="11.25" customHeight="1" x14ac:dyDescent="0.25">
      <c r="A1169" s="4" t="s">
        <v>21</v>
      </c>
      <c r="B1169" s="4" t="s">
        <v>22</v>
      </c>
      <c r="C1169" s="4" t="s">
        <v>23</v>
      </c>
      <c r="D1169" s="4" t="s">
        <v>24</v>
      </c>
      <c r="E1169" s="4" t="s">
        <v>24</v>
      </c>
      <c r="F1169" s="4" t="s">
        <v>25</v>
      </c>
      <c r="G1169" s="4" t="s">
        <v>25</v>
      </c>
      <c r="H1169" s="4" t="s">
        <v>25</v>
      </c>
      <c r="I1169" s="5">
        <v>44835</v>
      </c>
      <c r="J1169" s="6">
        <v>0</v>
      </c>
      <c r="K1169" s="6">
        <v>0</v>
      </c>
      <c r="L1169" s="6">
        <v>33206.495999999999</v>
      </c>
      <c r="M1169" s="6">
        <v>33206.495999999999</v>
      </c>
      <c r="N1169" s="6">
        <v>33206.495999999999</v>
      </c>
      <c r="O1169" s="6">
        <v>33206.495999999999</v>
      </c>
      <c r="P1169" s="6">
        <v>130320</v>
      </c>
      <c r="Q1169" s="4" t="s">
        <v>26</v>
      </c>
      <c r="R1169" s="4">
        <v>0</v>
      </c>
      <c r="S1169" s="4" t="s">
        <v>305</v>
      </c>
      <c r="T1169" s="4" t="s">
        <v>575</v>
      </c>
      <c r="U1169" s="4">
        <v>0</v>
      </c>
      <c r="V1169" s="4">
        <v>39</v>
      </c>
      <c r="W1169" s="4">
        <v>83</v>
      </c>
    </row>
    <row r="1170" spans="1:23" ht="11.25" customHeight="1" x14ac:dyDescent="0.25">
      <c r="A1170" s="4" t="s">
        <v>27</v>
      </c>
      <c r="B1170" s="4" t="s">
        <v>22</v>
      </c>
      <c r="C1170" s="4" t="s">
        <v>23</v>
      </c>
      <c r="D1170" s="4" t="s">
        <v>24</v>
      </c>
      <c r="E1170" s="4" t="s">
        <v>24</v>
      </c>
      <c r="F1170" s="4" t="s">
        <v>25</v>
      </c>
      <c r="G1170" s="4" t="s">
        <v>25</v>
      </c>
      <c r="H1170" s="4" t="s">
        <v>25</v>
      </c>
      <c r="I1170" s="5">
        <v>44835</v>
      </c>
      <c r="J1170" s="6">
        <v>0</v>
      </c>
      <c r="K1170" s="6">
        <v>0</v>
      </c>
      <c r="L1170" s="6">
        <v>-360.21800000000002</v>
      </c>
      <c r="M1170" s="6">
        <v>-360.21800000000002</v>
      </c>
      <c r="N1170" s="6">
        <v>-360.21800000000002</v>
      </c>
      <c r="O1170" s="6">
        <v>-360.21800000000002</v>
      </c>
      <c r="P1170" s="6">
        <v>-69</v>
      </c>
      <c r="Q1170" s="4" t="s">
        <v>26</v>
      </c>
      <c r="R1170" s="4">
        <v>0</v>
      </c>
      <c r="S1170" s="4" t="s">
        <v>305</v>
      </c>
      <c r="T1170" s="4" t="s">
        <v>575</v>
      </c>
      <c r="U1170" s="4">
        <v>0</v>
      </c>
      <c r="V1170" s="4">
        <v>39</v>
      </c>
      <c r="W1170" s="4">
        <v>83</v>
      </c>
    </row>
    <row r="1171" spans="1:23" ht="11.25" customHeight="1" x14ac:dyDescent="0.25">
      <c r="A1171" s="4" t="s">
        <v>28</v>
      </c>
      <c r="B1171" s="4" t="s">
        <v>22</v>
      </c>
      <c r="C1171" s="4" t="s">
        <v>23</v>
      </c>
      <c r="D1171" s="4" t="s">
        <v>24</v>
      </c>
      <c r="E1171" s="4" t="s">
        <v>24</v>
      </c>
      <c r="F1171" s="4" t="s">
        <v>25</v>
      </c>
      <c r="G1171" s="4" t="s">
        <v>25</v>
      </c>
      <c r="H1171" s="4" t="s">
        <v>25</v>
      </c>
      <c r="I1171" s="5">
        <v>44835</v>
      </c>
      <c r="J1171" s="6">
        <v>0</v>
      </c>
      <c r="K1171" s="6">
        <v>0</v>
      </c>
      <c r="L1171" s="6">
        <v>7299.8609999999999</v>
      </c>
      <c r="M1171" s="6">
        <v>7299.8609999999999</v>
      </c>
      <c r="N1171" s="6">
        <v>7299.8609999999999</v>
      </c>
      <c r="O1171" s="6">
        <v>7299.8609999999999</v>
      </c>
      <c r="P1171" s="6">
        <v>35403</v>
      </c>
      <c r="Q1171" s="4" t="s">
        <v>26</v>
      </c>
      <c r="R1171" s="4">
        <v>0</v>
      </c>
      <c r="S1171" s="4" t="s">
        <v>305</v>
      </c>
      <c r="T1171" s="4" t="s">
        <v>575</v>
      </c>
      <c r="U1171" s="4">
        <v>0</v>
      </c>
      <c r="V1171" s="4">
        <v>39</v>
      </c>
      <c r="W1171" s="4">
        <v>83</v>
      </c>
    </row>
    <row r="1172" spans="1:23" ht="11.25" customHeight="1" x14ac:dyDescent="0.25">
      <c r="A1172" s="4" t="s">
        <v>29</v>
      </c>
      <c r="B1172" s="4" t="s">
        <v>22</v>
      </c>
      <c r="C1172" s="4" t="s">
        <v>23</v>
      </c>
      <c r="D1172" s="4" t="s">
        <v>24</v>
      </c>
      <c r="E1172" s="4" t="s">
        <v>24</v>
      </c>
      <c r="F1172" s="4" t="s">
        <v>25</v>
      </c>
      <c r="G1172" s="4" t="s">
        <v>25</v>
      </c>
      <c r="H1172" s="4" t="s">
        <v>25</v>
      </c>
      <c r="I1172" s="5">
        <v>44835</v>
      </c>
      <c r="J1172" s="6">
        <v>0</v>
      </c>
      <c r="K1172" s="6">
        <v>0</v>
      </c>
      <c r="L1172" s="6">
        <v>-29.329000000000001</v>
      </c>
      <c r="M1172" s="6">
        <v>-29.329000000000001</v>
      </c>
      <c r="N1172" s="6">
        <v>-29.329000000000001</v>
      </c>
      <c r="O1172" s="6">
        <v>-29.329000000000001</v>
      </c>
      <c r="P1172" s="6">
        <v>-86</v>
      </c>
      <c r="Q1172" s="4" t="s">
        <v>26</v>
      </c>
      <c r="R1172" s="4">
        <v>0</v>
      </c>
      <c r="S1172" s="4" t="s">
        <v>305</v>
      </c>
      <c r="T1172" s="4" t="s">
        <v>575</v>
      </c>
      <c r="U1172" s="4">
        <v>0</v>
      </c>
      <c r="V1172" s="4">
        <v>39</v>
      </c>
      <c r="W1172" s="4">
        <v>83</v>
      </c>
    </row>
    <row r="1173" spans="1:23" ht="11.25" customHeight="1" x14ac:dyDescent="0.25">
      <c r="A1173" s="4" t="s">
        <v>30</v>
      </c>
      <c r="B1173" s="4" t="s">
        <v>22</v>
      </c>
      <c r="C1173" s="4" t="s">
        <v>23</v>
      </c>
      <c r="D1173" s="4" t="s">
        <v>24</v>
      </c>
      <c r="E1173" s="4" t="s">
        <v>24</v>
      </c>
      <c r="F1173" s="4" t="s">
        <v>25</v>
      </c>
      <c r="G1173" s="4" t="s">
        <v>25</v>
      </c>
      <c r="H1173" s="4" t="s">
        <v>25</v>
      </c>
      <c r="I1173" s="5">
        <v>44835</v>
      </c>
      <c r="J1173" s="6">
        <v>0</v>
      </c>
      <c r="K1173" s="6">
        <v>0</v>
      </c>
      <c r="L1173" s="6">
        <v>545.10400000000004</v>
      </c>
      <c r="M1173" s="6">
        <v>545.10400000000004</v>
      </c>
      <c r="N1173" s="6">
        <v>545.10400000000004</v>
      </c>
      <c r="O1173" s="6">
        <v>545.10400000000004</v>
      </c>
      <c r="P1173" s="6">
        <v>3684</v>
      </c>
      <c r="Q1173" s="4" t="s">
        <v>26</v>
      </c>
      <c r="R1173" s="4">
        <v>0</v>
      </c>
      <c r="S1173" s="4" t="s">
        <v>305</v>
      </c>
      <c r="T1173" s="4" t="s">
        <v>575</v>
      </c>
      <c r="U1173" s="4">
        <v>0</v>
      </c>
      <c r="V1173" s="4">
        <v>39</v>
      </c>
      <c r="W1173" s="4">
        <v>83</v>
      </c>
    </row>
    <row r="1174" spans="1:23" ht="11.25" customHeight="1" x14ac:dyDescent="0.25">
      <c r="A1174" s="4" t="s">
        <v>30</v>
      </c>
      <c r="B1174" s="4" t="s">
        <v>22</v>
      </c>
      <c r="C1174" s="4" t="s">
        <v>23</v>
      </c>
      <c r="D1174" s="4" t="s">
        <v>24</v>
      </c>
      <c r="E1174" s="4" t="s">
        <v>24</v>
      </c>
      <c r="F1174" s="4" t="s">
        <v>25</v>
      </c>
      <c r="G1174" s="4" t="s">
        <v>25</v>
      </c>
      <c r="H1174" s="4" t="s">
        <v>25</v>
      </c>
      <c r="I1174" s="5">
        <v>44835</v>
      </c>
      <c r="J1174" s="6">
        <v>0</v>
      </c>
      <c r="K1174" s="6">
        <v>0</v>
      </c>
      <c r="L1174" s="6">
        <v>-0.80200000000000005</v>
      </c>
      <c r="M1174" s="6">
        <v>-0.80200000000000005</v>
      </c>
      <c r="N1174" s="6">
        <v>-0.80200000000000005</v>
      </c>
      <c r="O1174" s="6">
        <v>-0.80200000000000005</v>
      </c>
      <c r="P1174" s="6">
        <v>1</v>
      </c>
      <c r="Q1174" s="4" t="s">
        <v>26</v>
      </c>
      <c r="R1174" s="4">
        <v>0</v>
      </c>
      <c r="S1174" s="4" t="s">
        <v>305</v>
      </c>
      <c r="T1174" s="4" t="s">
        <v>575</v>
      </c>
      <c r="U1174" s="4">
        <v>0</v>
      </c>
      <c r="V1174" s="4">
        <v>39</v>
      </c>
      <c r="W1174" s="4">
        <v>83</v>
      </c>
    </row>
    <row r="1175" spans="1:23" ht="11.25" customHeight="1" x14ac:dyDescent="0.25">
      <c r="A1175" s="4" t="s">
        <v>59</v>
      </c>
      <c r="B1175" s="4" t="s">
        <v>22</v>
      </c>
      <c r="C1175" s="4" t="s">
        <v>23</v>
      </c>
      <c r="D1175" s="4" t="s">
        <v>24</v>
      </c>
      <c r="E1175" s="4" t="s">
        <v>24</v>
      </c>
      <c r="F1175" s="4" t="s">
        <v>25</v>
      </c>
      <c r="G1175" s="4" t="s">
        <v>25</v>
      </c>
      <c r="H1175" s="4" t="s">
        <v>25</v>
      </c>
      <c r="I1175" s="5">
        <v>44866</v>
      </c>
      <c r="J1175" s="6">
        <v>0</v>
      </c>
      <c r="K1175" s="6">
        <v>0</v>
      </c>
      <c r="L1175" s="6">
        <v>33206.495999999999</v>
      </c>
      <c r="M1175" s="6">
        <v>33206.495999999999</v>
      </c>
      <c r="N1175" s="6">
        <v>33206.495999999999</v>
      </c>
      <c r="O1175" s="6">
        <v>33206.495999999999</v>
      </c>
      <c r="P1175" s="6">
        <v>130320</v>
      </c>
      <c r="Q1175" s="4" t="s">
        <v>26</v>
      </c>
      <c r="R1175" s="4">
        <v>0</v>
      </c>
      <c r="S1175" s="4" t="s">
        <v>306</v>
      </c>
      <c r="T1175" s="4" t="s">
        <v>576</v>
      </c>
      <c r="U1175" s="4">
        <v>0</v>
      </c>
      <c r="V1175" s="4">
        <v>39</v>
      </c>
      <c r="W1175" s="4">
        <v>83</v>
      </c>
    </row>
    <row r="1176" spans="1:23" ht="11.25" customHeight="1" x14ac:dyDescent="0.25">
      <c r="A1176" s="4" t="s">
        <v>59</v>
      </c>
      <c r="B1176" s="4" t="s">
        <v>22</v>
      </c>
      <c r="C1176" s="4" t="s">
        <v>23</v>
      </c>
      <c r="D1176" s="4" t="s">
        <v>24</v>
      </c>
      <c r="E1176" s="4" t="s">
        <v>24</v>
      </c>
      <c r="F1176" s="4" t="s">
        <v>25</v>
      </c>
      <c r="G1176" s="4" t="s">
        <v>25</v>
      </c>
      <c r="H1176" s="4" t="s">
        <v>25</v>
      </c>
      <c r="I1176" s="5">
        <v>44866</v>
      </c>
      <c r="J1176" s="6">
        <v>0</v>
      </c>
      <c r="K1176" s="6">
        <v>0</v>
      </c>
      <c r="L1176" s="6">
        <v>-360.21800000000002</v>
      </c>
      <c r="M1176" s="6">
        <v>-360.21800000000002</v>
      </c>
      <c r="N1176" s="6">
        <v>-360.21800000000002</v>
      </c>
      <c r="O1176" s="6">
        <v>-360.21800000000002</v>
      </c>
      <c r="P1176" s="6">
        <v>-69</v>
      </c>
      <c r="Q1176" s="4" t="s">
        <v>26</v>
      </c>
      <c r="R1176" s="4">
        <v>0</v>
      </c>
      <c r="S1176" s="4" t="s">
        <v>306</v>
      </c>
      <c r="T1176" s="4" t="s">
        <v>576</v>
      </c>
      <c r="U1176" s="4">
        <v>0</v>
      </c>
      <c r="V1176" s="4">
        <v>39</v>
      </c>
      <c r="W1176" s="4">
        <v>83</v>
      </c>
    </row>
    <row r="1177" spans="1:23" ht="11.25" customHeight="1" x14ac:dyDescent="0.25">
      <c r="A1177" s="4" t="s">
        <v>59</v>
      </c>
      <c r="B1177" s="4" t="s">
        <v>22</v>
      </c>
      <c r="C1177" s="4" t="s">
        <v>23</v>
      </c>
      <c r="D1177" s="4" t="s">
        <v>24</v>
      </c>
      <c r="E1177" s="4" t="s">
        <v>24</v>
      </c>
      <c r="F1177" s="4" t="s">
        <v>25</v>
      </c>
      <c r="G1177" s="4" t="s">
        <v>25</v>
      </c>
      <c r="H1177" s="4" t="s">
        <v>25</v>
      </c>
      <c r="I1177" s="5">
        <v>44866</v>
      </c>
      <c r="J1177" s="6">
        <v>0</v>
      </c>
      <c r="K1177" s="6">
        <v>0</v>
      </c>
      <c r="L1177" s="6">
        <v>7299.8609999999999</v>
      </c>
      <c r="M1177" s="6">
        <v>7299.8609999999999</v>
      </c>
      <c r="N1177" s="6">
        <v>7299.8609999999999</v>
      </c>
      <c r="O1177" s="6">
        <v>7299.8609999999999</v>
      </c>
      <c r="P1177" s="6">
        <v>35403</v>
      </c>
      <c r="Q1177" s="4" t="s">
        <v>26</v>
      </c>
      <c r="R1177" s="4">
        <v>0</v>
      </c>
      <c r="S1177" s="4" t="s">
        <v>306</v>
      </c>
      <c r="T1177" s="4" t="s">
        <v>576</v>
      </c>
      <c r="U1177" s="4">
        <v>0</v>
      </c>
      <c r="V1177" s="4">
        <v>39</v>
      </c>
      <c r="W1177" s="4">
        <v>83</v>
      </c>
    </row>
    <row r="1178" spans="1:23" ht="11.25" customHeight="1" x14ac:dyDescent="0.25">
      <c r="A1178" s="4" t="s">
        <v>59</v>
      </c>
      <c r="B1178" s="4" t="s">
        <v>22</v>
      </c>
      <c r="C1178" s="4" t="s">
        <v>23</v>
      </c>
      <c r="D1178" s="4" t="s">
        <v>24</v>
      </c>
      <c r="E1178" s="4" t="s">
        <v>24</v>
      </c>
      <c r="F1178" s="4" t="s">
        <v>25</v>
      </c>
      <c r="G1178" s="4" t="s">
        <v>25</v>
      </c>
      <c r="H1178" s="4" t="s">
        <v>25</v>
      </c>
      <c r="I1178" s="5">
        <v>44866</v>
      </c>
      <c r="J1178" s="6">
        <v>0</v>
      </c>
      <c r="K1178" s="6">
        <v>0</v>
      </c>
      <c r="L1178" s="6">
        <v>-29.329000000000001</v>
      </c>
      <c r="M1178" s="6">
        <v>-29.329000000000001</v>
      </c>
      <c r="N1178" s="6">
        <v>-29.329000000000001</v>
      </c>
      <c r="O1178" s="6">
        <v>-29.329000000000001</v>
      </c>
      <c r="P1178" s="6">
        <v>-86</v>
      </c>
      <c r="Q1178" s="4" t="s">
        <v>26</v>
      </c>
      <c r="R1178" s="4">
        <v>0</v>
      </c>
      <c r="S1178" s="4" t="s">
        <v>306</v>
      </c>
      <c r="T1178" s="4" t="s">
        <v>576</v>
      </c>
      <c r="U1178" s="4">
        <v>0</v>
      </c>
      <c r="V1178" s="4">
        <v>39</v>
      </c>
      <c r="W1178" s="4">
        <v>83</v>
      </c>
    </row>
    <row r="1179" spans="1:23" ht="11.25" customHeight="1" x14ac:dyDescent="0.25">
      <c r="A1179" s="4" t="s">
        <v>59</v>
      </c>
      <c r="B1179" s="4" t="s">
        <v>22</v>
      </c>
      <c r="C1179" s="4" t="s">
        <v>23</v>
      </c>
      <c r="D1179" s="4" t="s">
        <v>24</v>
      </c>
      <c r="E1179" s="4" t="s">
        <v>24</v>
      </c>
      <c r="F1179" s="4" t="s">
        <v>25</v>
      </c>
      <c r="G1179" s="4" t="s">
        <v>25</v>
      </c>
      <c r="H1179" s="4" t="s">
        <v>25</v>
      </c>
      <c r="I1179" s="5">
        <v>44866</v>
      </c>
      <c r="J1179" s="6">
        <v>0</v>
      </c>
      <c r="K1179" s="6">
        <v>0</v>
      </c>
      <c r="L1179" s="6">
        <v>545.10400000000004</v>
      </c>
      <c r="M1179" s="6">
        <v>545.10400000000004</v>
      </c>
      <c r="N1179" s="6">
        <v>545.10400000000004</v>
      </c>
      <c r="O1179" s="6">
        <v>545.10400000000004</v>
      </c>
      <c r="P1179" s="6">
        <v>3684</v>
      </c>
      <c r="Q1179" s="4" t="s">
        <v>26</v>
      </c>
      <c r="R1179" s="4">
        <v>0</v>
      </c>
      <c r="S1179" s="4" t="s">
        <v>306</v>
      </c>
      <c r="T1179" s="4" t="s">
        <v>576</v>
      </c>
      <c r="U1179" s="4">
        <v>0</v>
      </c>
      <c r="V1179" s="4">
        <v>39</v>
      </c>
      <c r="W1179" s="4">
        <v>83</v>
      </c>
    </row>
    <row r="1180" spans="1:23" ht="11.25" customHeight="1" x14ac:dyDescent="0.25">
      <c r="A1180" s="4" t="s">
        <v>59</v>
      </c>
      <c r="B1180" s="4" t="s">
        <v>22</v>
      </c>
      <c r="C1180" s="4" t="s">
        <v>23</v>
      </c>
      <c r="D1180" s="4" t="s">
        <v>24</v>
      </c>
      <c r="E1180" s="4" t="s">
        <v>24</v>
      </c>
      <c r="F1180" s="4" t="s">
        <v>25</v>
      </c>
      <c r="G1180" s="4" t="s">
        <v>25</v>
      </c>
      <c r="H1180" s="4" t="s">
        <v>25</v>
      </c>
      <c r="I1180" s="5">
        <v>44866</v>
      </c>
      <c r="J1180" s="6">
        <v>0</v>
      </c>
      <c r="K1180" s="6">
        <v>0</v>
      </c>
      <c r="L1180" s="6">
        <v>-0.80200000000000005</v>
      </c>
      <c r="M1180" s="6">
        <v>-0.80200000000000005</v>
      </c>
      <c r="N1180" s="6">
        <v>-0.80200000000000005</v>
      </c>
      <c r="O1180" s="6">
        <v>-0.80200000000000005</v>
      </c>
      <c r="P1180" s="6">
        <v>1</v>
      </c>
      <c r="Q1180" s="4" t="s">
        <v>26</v>
      </c>
      <c r="R1180" s="4">
        <v>0</v>
      </c>
      <c r="S1180" s="4" t="s">
        <v>306</v>
      </c>
      <c r="T1180" s="4" t="s">
        <v>576</v>
      </c>
      <c r="U1180" s="4">
        <v>0</v>
      </c>
      <c r="V1180" s="4">
        <v>39</v>
      </c>
      <c r="W1180" s="4">
        <v>83</v>
      </c>
    </row>
    <row r="1181" spans="1:23" ht="11.25" customHeight="1" x14ac:dyDescent="0.25">
      <c r="A1181" s="4" t="s">
        <v>21</v>
      </c>
      <c r="B1181" s="4" t="s">
        <v>22</v>
      </c>
      <c r="C1181" s="4" t="s">
        <v>23</v>
      </c>
      <c r="D1181" s="4" t="s">
        <v>24</v>
      </c>
      <c r="E1181" s="4" t="s">
        <v>31</v>
      </c>
      <c r="F1181" s="4" t="s">
        <v>25</v>
      </c>
      <c r="G1181" s="4" t="s">
        <v>25</v>
      </c>
      <c r="H1181" s="4" t="s">
        <v>25</v>
      </c>
      <c r="I1181" s="5">
        <v>44531</v>
      </c>
      <c r="J1181" s="6">
        <v>0</v>
      </c>
      <c r="K1181" s="6">
        <v>0</v>
      </c>
      <c r="L1181" s="6">
        <v>1084.356</v>
      </c>
      <c r="M1181" s="6">
        <v>1084.356</v>
      </c>
      <c r="N1181" s="6">
        <v>1084.356</v>
      </c>
      <c r="O1181" s="6">
        <v>1084.356</v>
      </c>
      <c r="P1181" s="6">
        <v>2464</v>
      </c>
      <c r="Q1181" s="4" t="s">
        <v>26</v>
      </c>
      <c r="R1181" s="4">
        <v>0</v>
      </c>
      <c r="S1181" s="4" t="s">
        <v>307</v>
      </c>
      <c r="T1181" s="4" t="s">
        <v>577</v>
      </c>
      <c r="U1181" s="4">
        <v>0</v>
      </c>
      <c r="V1181" s="4">
        <v>40</v>
      </c>
      <c r="W1181" s="4">
        <v>84</v>
      </c>
    </row>
    <row r="1182" spans="1:23" ht="11.25" customHeight="1" x14ac:dyDescent="0.25">
      <c r="A1182" s="4" t="s">
        <v>27</v>
      </c>
      <c r="B1182" s="4" t="s">
        <v>22</v>
      </c>
      <c r="C1182" s="4" t="s">
        <v>23</v>
      </c>
      <c r="D1182" s="4" t="s">
        <v>24</v>
      </c>
      <c r="E1182" s="4" t="s">
        <v>31</v>
      </c>
      <c r="F1182" s="4" t="s">
        <v>25</v>
      </c>
      <c r="G1182" s="4" t="s">
        <v>25</v>
      </c>
      <c r="H1182" s="4" t="s">
        <v>25</v>
      </c>
      <c r="I1182" s="5">
        <v>44531</v>
      </c>
      <c r="J1182" s="6">
        <v>0</v>
      </c>
      <c r="K1182" s="6">
        <v>0</v>
      </c>
      <c r="L1182" s="6">
        <v>-4.7779999999999996</v>
      </c>
      <c r="M1182" s="6">
        <v>-4.7779999999999996</v>
      </c>
      <c r="N1182" s="6">
        <v>-4.7779999999999996</v>
      </c>
      <c r="O1182" s="6">
        <v>-4.7779999999999996</v>
      </c>
      <c r="P1182" s="6">
        <v>109</v>
      </c>
      <c r="Q1182" s="4" t="s">
        <v>26</v>
      </c>
      <c r="R1182" s="4">
        <v>0</v>
      </c>
      <c r="S1182" s="4" t="s">
        <v>307</v>
      </c>
      <c r="T1182" s="4" t="s">
        <v>577</v>
      </c>
      <c r="U1182" s="4">
        <v>0</v>
      </c>
      <c r="V1182" s="4">
        <v>40</v>
      </c>
      <c r="W1182" s="4">
        <v>84</v>
      </c>
    </row>
    <row r="1183" spans="1:23" ht="11.25" customHeight="1" x14ac:dyDescent="0.25">
      <c r="A1183" s="4" t="s">
        <v>28</v>
      </c>
      <c r="B1183" s="4" t="s">
        <v>22</v>
      </c>
      <c r="C1183" s="4" t="s">
        <v>23</v>
      </c>
      <c r="D1183" s="4" t="s">
        <v>24</v>
      </c>
      <c r="E1183" s="4" t="s">
        <v>31</v>
      </c>
      <c r="F1183" s="4" t="s">
        <v>25</v>
      </c>
      <c r="G1183" s="4" t="s">
        <v>25</v>
      </c>
      <c r="H1183" s="4" t="s">
        <v>25</v>
      </c>
      <c r="I1183" s="5">
        <v>44531</v>
      </c>
      <c r="J1183" s="6">
        <v>0</v>
      </c>
      <c r="K1183" s="6">
        <v>0</v>
      </c>
      <c r="L1183" s="6">
        <v>580.52</v>
      </c>
      <c r="M1183" s="6">
        <v>580.52</v>
      </c>
      <c r="N1183" s="6">
        <v>580.52</v>
      </c>
      <c r="O1183" s="6">
        <v>580.52</v>
      </c>
      <c r="P1183" s="6">
        <v>1686</v>
      </c>
      <c r="Q1183" s="4" t="s">
        <v>26</v>
      </c>
      <c r="R1183" s="4">
        <v>0</v>
      </c>
      <c r="S1183" s="4" t="s">
        <v>307</v>
      </c>
      <c r="T1183" s="4" t="s">
        <v>577</v>
      </c>
      <c r="U1183" s="4">
        <v>0</v>
      </c>
      <c r="V1183" s="4">
        <v>40</v>
      </c>
      <c r="W1183" s="4">
        <v>84</v>
      </c>
    </row>
    <row r="1184" spans="1:23" ht="11.25" customHeight="1" x14ac:dyDescent="0.25">
      <c r="A1184" s="4" t="s">
        <v>29</v>
      </c>
      <c r="B1184" s="4" t="s">
        <v>22</v>
      </c>
      <c r="C1184" s="4" t="s">
        <v>23</v>
      </c>
      <c r="D1184" s="4" t="s">
        <v>24</v>
      </c>
      <c r="E1184" s="4" t="s">
        <v>31</v>
      </c>
      <c r="F1184" s="4" t="s">
        <v>25</v>
      </c>
      <c r="G1184" s="4" t="s">
        <v>25</v>
      </c>
      <c r="H1184" s="4" t="s">
        <v>25</v>
      </c>
      <c r="I1184" s="5">
        <v>44531</v>
      </c>
      <c r="J1184" s="6">
        <v>0</v>
      </c>
      <c r="K1184" s="6">
        <v>0</v>
      </c>
      <c r="L1184" s="6">
        <v>2.4940000000000002</v>
      </c>
      <c r="M1184" s="6">
        <v>2.4940000000000002</v>
      </c>
      <c r="N1184" s="6">
        <v>2.4940000000000002</v>
      </c>
      <c r="O1184" s="6">
        <v>2.4940000000000002</v>
      </c>
      <c r="P1184" s="6">
        <v>39</v>
      </c>
      <c r="Q1184" s="4" t="s">
        <v>26</v>
      </c>
      <c r="R1184" s="4">
        <v>0</v>
      </c>
      <c r="S1184" s="4" t="s">
        <v>307</v>
      </c>
      <c r="T1184" s="4" t="s">
        <v>577</v>
      </c>
      <c r="U1184" s="4">
        <v>0</v>
      </c>
      <c r="V1184" s="4">
        <v>40</v>
      </c>
      <c r="W1184" s="4">
        <v>84</v>
      </c>
    </row>
    <row r="1185" spans="1:23" ht="11.25" customHeight="1" x14ac:dyDescent="0.25">
      <c r="A1185" s="4" t="s">
        <v>30</v>
      </c>
      <c r="B1185" s="4" t="s">
        <v>22</v>
      </c>
      <c r="C1185" s="4" t="s">
        <v>23</v>
      </c>
      <c r="D1185" s="4" t="s">
        <v>24</v>
      </c>
      <c r="E1185" s="4" t="s">
        <v>31</v>
      </c>
      <c r="F1185" s="4" t="s">
        <v>25</v>
      </c>
      <c r="G1185" s="4" t="s">
        <v>25</v>
      </c>
      <c r="H1185" s="4" t="s">
        <v>25</v>
      </c>
      <c r="I1185" s="5">
        <v>44531</v>
      </c>
      <c r="J1185" s="6">
        <v>0</v>
      </c>
      <c r="K1185" s="6">
        <v>0</v>
      </c>
      <c r="L1185" s="6">
        <v>0.87</v>
      </c>
      <c r="M1185" s="6">
        <v>0.87</v>
      </c>
      <c r="N1185" s="6">
        <v>0.87</v>
      </c>
      <c r="O1185" s="6">
        <v>0.87</v>
      </c>
      <c r="P1185" s="6">
        <v>0</v>
      </c>
      <c r="Q1185" s="4" t="s">
        <v>26</v>
      </c>
      <c r="R1185" s="4">
        <v>0</v>
      </c>
      <c r="S1185" s="4" t="s">
        <v>307</v>
      </c>
      <c r="T1185" s="4" t="s">
        <v>577</v>
      </c>
      <c r="U1185" s="4">
        <v>0</v>
      </c>
      <c r="V1185" s="4">
        <v>40</v>
      </c>
      <c r="W1185" s="4">
        <v>84</v>
      </c>
    </row>
    <row r="1186" spans="1:23" ht="11.25" customHeight="1" x14ac:dyDescent="0.25">
      <c r="A1186" s="4" t="s">
        <v>30</v>
      </c>
      <c r="B1186" s="4" t="s">
        <v>22</v>
      </c>
      <c r="C1186" s="4" t="s">
        <v>23</v>
      </c>
      <c r="D1186" s="4" t="s">
        <v>24</v>
      </c>
      <c r="E1186" s="4" t="s">
        <v>31</v>
      </c>
      <c r="F1186" s="4" t="s">
        <v>25</v>
      </c>
      <c r="G1186" s="4" t="s">
        <v>25</v>
      </c>
      <c r="H1186" s="4" t="s">
        <v>25</v>
      </c>
      <c r="I1186" s="5">
        <v>44531</v>
      </c>
      <c r="J1186" s="6">
        <v>0</v>
      </c>
      <c r="K1186" s="6">
        <v>0</v>
      </c>
      <c r="L1186" s="6">
        <v>0.33900000000000002</v>
      </c>
      <c r="M1186" s="6">
        <v>0.33900000000000002</v>
      </c>
      <c r="N1186" s="6">
        <v>0.33900000000000002</v>
      </c>
      <c r="O1186" s="6">
        <v>0.33900000000000002</v>
      </c>
      <c r="P1186" s="6">
        <v>1</v>
      </c>
      <c r="Q1186" s="4" t="s">
        <v>26</v>
      </c>
      <c r="R1186" s="4">
        <v>0</v>
      </c>
      <c r="S1186" s="4" t="s">
        <v>307</v>
      </c>
      <c r="T1186" s="4" t="s">
        <v>577</v>
      </c>
      <c r="U1186" s="4">
        <v>0</v>
      </c>
      <c r="V1186" s="4">
        <v>40</v>
      </c>
      <c r="W1186" s="4">
        <v>84</v>
      </c>
    </row>
    <row r="1187" spans="1:23" ht="11.25" customHeight="1" x14ac:dyDescent="0.25">
      <c r="A1187" s="4" t="s">
        <v>21</v>
      </c>
      <c r="B1187" s="4" t="s">
        <v>22</v>
      </c>
      <c r="C1187" s="4" t="s">
        <v>23</v>
      </c>
      <c r="D1187" s="4" t="s">
        <v>24</v>
      </c>
      <c r="E1187" s="4" t="s">
        <v>31</v>
      </c>
      <c r="F1187" s="4" t="s">
        <v>25</v>
      </c>
      <c r="G1187" s="4" t="s">
        <v>25</v>
      </c>
      <c r="H1187" s="4" t="s">
        <v>25</v>
      </c>
      <c r="I1187" s="5">
        <v>44562</v>
      </c>
      <c r="J1187" s="6">
        <v>0</v>
      </c>
      <c r="K1187" s="6">
        <v>0</v>
      </c>
      <c r="L1187" s="6">
        <v>1094.567</v>
      </c>
      <c r="M1187" s="6">
        <v>1094.567</v>
      </c>
      <c r="N1187" s="6">
        <v>1094.567</v>
      </c>
      <c r="O1187" s="6">
        <v>1094.567</v>
      </c>
      <c r="P1187" s="6">
        <v>2408</v>
      </c>
      <c r="Q1187" s="4" t="s">
        <v>26</v>
      </c>
      <c r="R1187" s="4">
        <v>0</v>
      </c>
      <c r="S1187" s="4" t="s">
        <v>308</v>
      </c>
      <c r="T1187" s="4" t="s">
        <v>578</v>
      </c>
      <c r="U1187" s="4">
        <v>0</v>
      </c>
      <c r="V1187" s="4">
        <v>40</v>
      </c>
      <c r="W1187" s="4">
        <v>84</v>
      </c>
    </row>
    <row r="1188" spans="1:23" ht="11.25" customHeight="1" x14ac:dyDescent="0.25">
      <c r="A1188" s="4" t="s">
        <v>27</v>
      </c>
      <c r="B1188" s="4" t="s">
        <v>22</v>
      </c>
      <c r="C1188" s="4" t="s">
        <v>23</v>
      </c>
      <c r="D1188" s="4" t="s">
        <v>24</v>
      </c>
      <c r="E1188" s="4" t="s">
        <v>31</v>
      </c>
      <c r="F1188" s="4" t="s">
        <v>25</v>
      </c>
      <c r="G1188" s="4" t="s">
        <v>25</v>
      </c>
      <c r="H1188" s="4" t="s">
        <v>25</v>
      </c>
      <c r="I1188" s="5">
        <v>44562</v>
      </c>
      <c r="J1188" s="6">
        <v>0</v>
      </c>
      <c r="K1188" s="6">
        <v>0</v>
      </c>
      <c r="L1188" s="6">
        <v>25.379000000000001</v>
      </c>
      <c r="M1188" s="6">
        <v>25.379000000000001</v>
      </c>
      <c r="N1188" s="6">
        <v>25.379000000000001</v>
      </c>
      <c r="O1188" s="6">
        <v>25.379000000000001</v>
      </c>
      <c r="P1188" s="6">
        <v>165</v>
      </c>
      <c r="Q1188" s="4" t="s">
        <v>26</v>
      </c>
      <c r="R1188" s="4">
        <v>0</v>
      </c>
      <c r="S1188" s="4" t="s">
        <v>308</v>
      </c>
      <c r="T1188" s="4" t="s">
        <v>578</v>
      </c>
      <c r="U1188" s="4">
        <v>0</v>
      </c>
      <c r="V1188" s="4">
        <v>40</v>
      </c>
      <c r="W1188" s="4">
        <v>84</v>
      </c>
    </row>
    <row r="1189" spans="1:23" ht="11.25" customHeight="1" x14ac:dyDescent="0.25">
      <c r="A1189" s="4" t="s">
        <v>28</v>
      </c>
      <c r="B1189" s="4" t="s">
        <v>22</v>
      </c>
      <c r="C1189" s="4" t="s">
        <v>23</v>
      </c>
      <c r="D1189" s="4" t="s">
        <v>24</v>
      </c>
      <c r="E1189" s="4" t="s">
        <v>31</v>
      </c>
      <c r="F1189" s="4" t="s">
        <v>25</v>
      </c>
      <c r="G1189" s="4" t="s">
        <v>25</v>
      </c>
      <c r="H1189" s="4" t="s">
        <v>25</v>
      </c>
      <c r="I1189" s="5">
        <v>44562</v>
      </c>
      <c r="J1189" s="6">
        <v>0</v>
      </c>
      <c r="K1189" s="6">
        <v>0</v>
      </c>
      <c r="L1189" s="6">
        <v>585.21799999999996</v>
      </c>
      <c r="M1189" s="6">
        <v>585.21799999999996</v>
      </c>
      <c r="N1189" s="6">
        <v>585.21799999999996</v>
      </c>
      <c r="O1189" s="6">
        <v>585.21799999999996</v>
      </c>
      <c r="P1189" s="6">
        <v>1685</v>
      </c>
      <c r="Q1189" s="4" t="s">
        <v>26</v>
      </c>
      <c r="R1189" s="4">
        <v>0</v>
      </c>
      <c r="S1189" s="4" t="s">
        <v>308</v>
      </c>
      <c r="T1189" s="4" t="s">
        <v>578</v>
      </c>
      <c r="U1189" s="4">
        <v>0</v>
      </c>
      <c r="V1189" s="4">
        <v>40</v>
      </c>
      <c r="W1189" s="4">
        <v>84</v>
      </c>
    </row>
    <row r="1190" spans="1:23" ht="11.25" customHeight="1" x14ac:dyDescent="0.25">
      <c r="A1190" s="4" t="s">
        <v>29</v>
      </c>
      <c r="B1190" s="4" t="s">
        <v>22</v>
      </c>
      <c r="C1190" s="4" t="s">
        <v>23</v>
      </c>
      <c r="D1190" s="4" t="s">
        <v>24</v>
      </c>
      <c r="E1190" s="4" t="s">
        <v>31</v>
      </c>
      <c r="F1190" s="4" t="s">
        <v>25</v>
      </c>
      <c r="G1190" s="4" t="s">
        <v>25</v>
      </c>
      <c r="H1190" s="4" t="s">
        <v>25</v>
      </c>
      <c r="I1190" s="5">
        <v>44562</v>
      </c>
      <c r="J1190" s="6">
        <v>0</v>
      </c>
      <c r="K1190" s="6">
        <v>0</v>
      </c>
      <c r="L1190" s="6">
        <v>4.0890000000000004</v>
      </c>
      <c r="M1190" s="6">
        <v>4.0890000000000004</v>
      </c>
      <c r="N1190" s="6">
        <v>4.0890000000000004</v>
      </c>
      <c r="O1190" s="6">
        <v>4.0890000000000004</v>
      </c>
      <c r="P1190" s="6">
        <v>46</v>
      </c>
      <c r="Q1190" s="4" t="s">
        <v>26</v>
      </c>
      <c r="R1190" s="4">
        <v>0</v>
      </c>
      <c r="S1190" s="4" t="s">
        <v>308</v>
      </c>
      <c r="T1190" s="4" t="s">
        <v>578</v>
      </c>
      <c r="U1190" s="4">
        <v>0</v>
      </c>
      <c r="V1190" s="4">
        <v>40</v>
      </c>
      <c r="W1190" s="4">
        <v>84</v>
      </c>
    </row>
    <row r="1191" spans="1:23" ht="11.25" customHeight="1" x14ac:dyDescent="0.25">
      <c r="A1191" s="4" t="s">
        <v>30</v>
      </c>
      <c r="B1191" s="4" t="s">
        <v>22</v>
      </c>
      <c r="C1191" s="4" t="s">
        <v>23</v>
      </c>
      <c r="D1191" s="4" t="s">
        <v>24</v>
      </c>
      <c r="E1191" s="4" t="s">
        <v>31</v>
      </c>
      <c r="F1191" s="4" t="s">
        <v>25</v>
      </c>
      <c r="G1191" s="4" t="s">
        <v>25</v>
      </c>
      <c r="H1191" s="4" t="s">
        <v>25</v>
      </c>
      <c r="I1191" s="5">
        <v>44562</v>
      </c>
      <c r="J1191" s="6">
        <v>0</v>
      </c>
      <c r="K1191" s="6">
        <v>0</v>
      </c>
      <c r="L1191" s="6">
        <v>1.02</v>
      </c>
      <c r="M1191" s="6">
        <v>1.02</v>
      </c>
      <c r="N1191" s="6">
        <v>1.02</v>
      </c>
      <c r="O1191" s="6">
        <v>1.02</v>
      </c>
      <c r="P1191" s="6">
        <v>0</v>
      </c>
      <c r="Q1191" s="4" t="s">
        <v>26</v>
      </c>
      <c r="R1191" s="4">
        <v>0</v>
      </c>
      <c r="S1191" s="4" t="s">
        <v>308</v>
      </c>
      <c r="T1191" s="4" t="s">
        <v>578</v>
      </c>
      <c r="U1191" s="4">
        <v>0</v>
      </c>
      <c r="V1191" s="4">
        <v>40</v>
      </c>
      <c r="W1191" s="4">
        <v>84</v>
      </c>
    </row>
    <row r="1192" spans="1:23" ht="11.25" customHeight="1" x14ac:dyDescent="0.25">
      <c r="A1192" s="4" t="s">
        <v>30</v>
      </c>
      <c r="B1192" s="4" t="s">
        <v>22</v>
      </c>
      <c r="C1192" s="4" t="s">
        <v>23</v>
      </c>
      <c r="D1192" s="4" t="s">
        <v>24</v>
      </c>
      <c r="E1192" s="4" t="s">
        <v>31</v>
      </c>
      <c r="F1192" s="4" t="s">
        <v>25</v>
      </c>
      <c r="G1192" s="4" t="s">
        <v>25</v>
      </c>
      <c r="H1192" s="4" t="s">
        <v>25</v>
      </c>
      <c r="I1192" s="5">
        <v>44562</v>
      </c>
      <c r="J1192" s="6">
        <v>0</v>
      </c>
      <c r="K1192" s="6">
        <v>0</v>
      </c>
      <c r="L1192" s="6">
        <v>0.20200000000000001</v>
      </c>
      <c r="M1192" s="6">
        <v>0.20200000000000001</v>
      </c>
      <c r="N1192" s="6">
        <v>0.20200000000000001</v>
      </c>
      <c r="O1192" s="6">
        <v>0.20200000000000001</v>
      </c>
      <c r="P1192" s="6">
        <v>1</v>
      </c>
      <c r="Q1192" s="4" t="s">
        <v>26</v>
      </c>
      <c r="R1192" s="4">
        <v>0</v>
      </c>
      <c r="S1192" s="4" t="s">
        <v>308</v>
      </c>
      <c r="T1192" s="4" t="s">
        <v>578</v>
      </c>
      <c r="U1192" s="4">
        <v>0</v>
      </c>
      <c r="V1192" s="4">
        <v>40</v>
      </c>
      <c r="W1192" s="4">
        <v>84</v>
      </c>
    </row>
    <row r="1193" spans="1:23" ht="11.25" customHeight="1" x14ac:dyDescent="0.25">
      <c r="A1193" s="4" t="s">
        <v>21</v>
      </c>
      <c r="B1193" s="4" t="s">
        <v>22</v>
      </c>
      <c r="C1193" s="4" t="s">
        <v>23</v>
      </c>
      <c r="D1193" s="4" t="s">
        <v>24</v>
      </c>
      <c r="E1193" s="4" t="s">
        <v>31</v>
      </c>
      <c r="F1193" s="4" t="s">
        <v>25</v>
      </c>
      <c r="G1193" s="4" t="s">
        <v>25</v>
      </c>
      <c r="H1193" s="4" t="s">
        <v>25</v>
      </c>
      <c r="I1193" s="5">
        <v>44593</v>
      </c>
      <c r="J1193" s="6">
        <v>0</v>
      </c>
      <c r="K1193" s="6">
        <v>0</v>
      </c>
      <c r="L1193" s="6">
        <v>1200.49</v>
      </c>
      <c r="M1193" s="6">
        <v>1200.49</v>
      </c>
      <c r="N1193" s="6">
        <v>1200.49</v>
      </c>
      <c r="O1193" s="6">
        <v>1200.49</v>
      </c>
      <c r="P1193" s="6">
        <v>2787</v>
      </c>
      <c r="Q1193" s="4" t="s">
        <v>26</v>
      </c>
      <c r="R1193" s="4">
        <v>0</v>
      </c>
      <c r="S1193" s="4" t="s">
        <v>309</v>
      </c>
      <c r="T1193" s="4" t="s">
        <v>579</v>
      </c>
      <c r="U1193" s="4">
        <v>0</v>
      </c>
      <c r="V1193" s="4">
        <v>40</v>
      </c>
      <c r="W1193" s="4">
        <v>84</v>
      </c>
    </row>
    <row r="1194" spans="1:23" ht="11.25" customHeight="1" x14ac:dyDescent="0.25">
      <c r="A1194" s="4" t="s">
        <v>27</v>
      </c>
      <c r="B1194" s="4" t="s">
        <v>22</v>
      </c>
      <c r="C1194" s="4" t="s">
        <v>23</v>
      </c>
      <c r="D1194" s="4" t="s">
        <v>24</v>
      </c>
      <c r="E1194" s="4" t="s">
        <v>31</v>
      </c>
      <c r="F1194" s="4" t="s">
        <v>25</v>
      </c>
      <c r="G1194" s="4" t="s">
        <v>25</v>
      </c>
      <c r="H1194" s="4" t="s">
        <v>25</v>
      </c>
      <c r="I1194" s="5">
        <v>44593</v>
      </c>
      <c r="J1194" s="6">
        <v>0</v>
      </c>
      <c r="K1194" s="6">
        <v>0</v>
      </c>
      <c r="L1194" s="6">
        <v>0.39100000000000001</v>
      </c>
      <c r="M1194" s="6">
        <v>0.39100000000000001</v>
      </c>
      <c r="N1194" s="6">
        <v>0.39100000000000001</v>
      </c>
      <c r="O1194" s="6">
        <v>0.39100000000000001</v>
      </c>
      <c r="P1194" s="6">
        <v>56</v>
      </c>
      <c r="Q1194" s="4" t="s">
        <v>26</v>
      </c>
      <c r="R1194" s="4">
        <v>0</v>
      </c>
      <c r="S1194" s="4" t="s">
        <v>309</v>
      </c>
      <c r="T1194" s="4" t="s">
        <v>579</v>
      </c>
      <c r="U1194" s="4">
        <v>0</v>
      </c>
      <c r="V1194" s="4">
        <v>40</v>
      </c>
      <c r="W1194" s="4">
        <v>84</v>
      </c>
    </row>
    <row r="1195" spans="1:23" ht="11.25" customHeight="1" x14ac:dyDescent="0.25">
      <c r="A1195" s="4" t="s">
        <v>28</v>
      </c>
      <c r="B1195" s="4" t="s">
        <v>22</v>
      </c>
      <c r="C1195" s="4" t="s">
        <v>23</v>
      </c>
      <c r="D1195" s="4" t="s">
        <v>24</v>
      </c>
      <c r="E1195" s="4" t="s">
        <v>31</v>
      </c>
      <c r="F1195" s="4" t="s">
        <v>25</v>
      </c>
      <c r="G1195" s="4" t="s">
        <v>25</v>
      </c>
      <c r="H1195" s="4" t="s">
        <v>25</v>
      </c>
      <c r="I1195" s="5">
        <v>44593</v>
      </c>
      <c r="J1195" s="6">
        <v>0</v>
      </c>
      <c r="K1195" s="6">
        <v>0</v>
      </c>
      <c r="L1195" s="6">
        <v>609.83699999999999</v>
      </c>
      <c r="M1195" s="6">
        <v>609.83699999999999</v>
      </c>
      <c r="N1195" s="6">
        <v>609.83699999999999</v>
      </c>
      <c r="O1195" s="6">
        <v>609.83699999999999</v>
      </c>
      <c r="P1195" s="6">
        <v>1822</v>
      </c>
      <c r="Q1195" s="4" t="s">
        <v>26</v>
      </c>
      <c r="R1195" s="4">
        <v>0</v>
      </c>
      <c r="S1195" s="4" t="s">
        <v>309</v>
      </c>
      <c r="T1195" s="4" t="s">
        <v>579</v>
      </c>
      <c r="U1195" s="4">
        <v>0</v>
      </c>
      <c r="V1195" s="4">
        <v>40</v>
      </c>
      <c r="W1195" s="4">
        <v>84</v>
      </c>
    </row>
    <row r="1196" spans="1:23" ht="11.25" customHeight="1" x14ac:dyDescent="0.25">
      <c r="A1196" s="4" t="s">
        <v>29</v>
      </c>
      <c r="B1196" s="4" t="s">
        <v>22</v>
      </c>
      <c r="C1196" s="4" t="s">
        <v>23</v>
      </c>
      <c r="D1196" s="4" t="s">
        <v>24</v>
      </c>
      <c r="E1196" s="4" t="s">
        <v>31</v>
      </c>
      <c r="F1196" s="4" t="s">
        <v>25</v>
      </c>
      <c r="G1196" s="4" t="s">
        <v>25</v>
      </c>
      <c r="H1196" s="4" t="s">
        <v>25</v>
      </c>
      <c r="I1196" s="5">
        <v>44593</v>
      </c>
      <c r="J1196" s="6">
        <v>0</v>
      </c>
      <c r="K1196" s="6">
        <v>0</v>
      </c>
      <c r="L1196" s="6">
        <v>-0.86899999999999999</v>
      </c>
      <c r="M1196" s="6">
        <v>-0.86899999999999999</v>
      </c>
      <c r="N1196" s="6">
        <v>-0.86899999999999999</v>
      </c>
      <c r="O1196" s="6">
        <v>-0.86899999999999999</v>
      </c>
      <c r="P1196" s="6">
        <v>8</v>
      </c>
      <c r="Q1196" s="4" t="s">
        <v>26</v>
      </c>
      <c r="R1196" s="4">
        <v>0</v>
      </c>
      <c r="S1196" s="4" t="s">
        <v>309</v>
      </c>
      <c r="T1196" s="4" t="s">
        <v>579</v>
      </c>
      <c r="U1196" s="4">
        <v>0</v>
      </c>
      <c r="V1196" s="4">
        <v>40</v>
      </c>
      <c r="W1196" s="4">
        <v>84</v>
      </c>
    </row>
    <row r="1197" spans="1:23" ht="11.25" customHeight="1" x14ac:dyDescent="0.25">
      <c r="A1197" s="4" t="s">
        <v>30</v>
      </c>
      <c r="B1197" s="4" t="s">
        <v>22</v>
      </c>
      <c r="C1197" s="4" t="s">
        <v>23</v>
      </c>
      <c r="D1197" s="4" t="s">
        <v>24</v>
      </c>
      <c r="E1197" s="4" t="s">
        <v>31</v>
      </c>
      <c r="F1197" s="4" t="s">
        <v>25</v>
      </c>
      <c r="G1197" s="4" t="s">
        <v>25</v>
      </c>
      <c r="H1197" s="4" t="s">
        <v>25</v>
      </c>
      <c r="I1197" s="5">
        <v>44593</v>
      </c>
      <c r="J1197" s="6">
        <v>0</v>
      </c>
      <c r="K1197" s="6">
        <v>0</v>
      </c>
      <c r="L1197" s="6">
        <v>1.17</v>
      </c>
      <c r="M1197" s="6">
        <v>1.17</v>
      </c>
      <c r="N1197" s="6">
        <v>1.17</v>
      </c>
      <c r="O1197" s="6">
        <v>1.17</v>
      </c>
      <c r="P1197" s="6">
        <v>0</v>
      </c>
      <c r="Q1197" s="4" t="s">
        <v>26</v>
      </c>
      <c r="R1197" s="4">
        <v>0</v>
      </c>
      <c r="S1197" s="4" t="s">
        <v>309</v>
      </c>
      <c r="T1197" s="4" t="s">
        <v>579</v>
      </c>
      <c r="U1197" s="4">
        <v>0</v>
      </c>
      <c r="V1197" s="4">
        <v>40</v>
      </c>
      <c r="W1197" s="4">
        <v>84</v>
      </c>
    </row>
    <row r="1198" spans="1:23" ht="11.25" customHeight="1" x14ac:dyDescent="0.25">
      <c r="A1198" s="4" t="s">
        <v>30</v>
      </c>
      <c r="B1198" s="4" t="s">
        <v>22</v>
      </c>
      <c r="C1198" s="4" t="s">
        <v>23</v>
      </c>
      <c r="D1198" s="4" t="s">
        <v>24</v>
      </c>
      <c r="E1198" s="4" t="s">
        <v>31</v>
      </c>
      <c r="F1198" s="4" t="s">
        <v>25</v>
      </c>
      <c r="G1198" s="4" t="s">
        <v>25</v>
      </c>
      <c r="H1198" s="4" t="s">
        <v>25</v>
      </c>
      <c r="I1198" s="5">
        <v>44593</v>
      </c>
      <c r="J1198" s="6">
        <v>0</v>
      </c>
      <c r="K1198" s="6">
        <v>0</v>
      </c>
      <c r="L1198" s="6">
        <v>0.24099999999999999</v>
      </c>
      <c r="M1198" s="6">
        <v>0.24099999999999999</v>
      </c>
      <c r="N1198" s="6">
        <v>0.24099999999999999</v>
      </c>
      <c r="O1198" s="6">
        <v>0.24099999999999999</v>
      </c>
      <c r="P1198" s="6">
        <v>1</v>
      </c>
      <c r="Q1198" s="4" t="s">
        <v>26</v>
      </c>
      <c r="R1198" s="4">
        <v>0</v>
      </c>
      <c r="S1198" s="4" t="s">
        <v>309</v>
      </c>
      <c r="T1198" s="4" t="s">
        <v>579</v>
      </c>
      <c r="U1198" s="4">
        <v>0</v>
      </c>
      <c r="V1198" s="4">
        <v>40</v>
      </c>
      <c r="W1198" s="4">
        <v>84</v>
      </c>
    </row>
    <row r="1199" spans="1:23" ht="11.25" customHeight="1" x14ac:dyDescent="0.25">
      <c r="A1199" s="4" t="s">
        <v>21</v>
      </c>
      <c r="B1199" s="4" t="s">
        <v>22</v>
      </c>
      <c r="C1199" s="4" t="s">
        <v>23</v>
      </c>
      <c r="D1199" s="4" t="s">
        <v>24</v>
      </c>
      <c r="E1199" s="4" t="s">
        <v>31</v>
      </c>
      <c r="F1199" s="4" t="s">
        <v>25</v>
      </c>
      <c r="G1199" s="4" t="s">
        <v>25</v>
      </c>
      <c r="H1199" s="4" t="s">
        <v>25</v>
      </c>
      <c r="I1199" s="5">
        <v>44621</v>
      </c>
      <c r="J1199" s="6">
        <v>0</v>
      </c>
      <c r="K1199" s="6">
        <v>0</v>
      </c>
      <c r="L1199" s="6">
        <v>1246.335</v>
      </c>
      <c r="M1199" s="6">
        <v>1246.335</v>
      </c>
      <c r="N1199" s="6">
        <v>1246.335</v>
      </c>
      <c r="O1199" s="6">
        <v>1246.335</v>
      </c>
      <c r="P1199" s="6">
        <v>2714</v>
      </c>
      <c r="Q1199" s="4" t="s">
        <v>26</v>
      </c>
      <c r="R1199" s="4">
        <v>0</v>
      </c>
      <c r="S1199" s="4" t="s">
        <v>310</v>
      </c>
      <c r="T1199" s="4" t="s">
        <v>580</v>
      </c>
      <c r="U1199" s="4">
        <v>0</v>
      </c>
      <c r="V1199" s="4">
        <v>40</v>
      </c>
      <c r="W1199" s="4">
        <v>84</v>
      </c>
    </row>
    <row r="1200" spans="1:23" ht="11.25" customHeight="1" x14ac:dyDescent="0.25">
      <c r="A1200" s="4" t="s">
        <v>27</v>
      </c>
      <c r="B1200" s="4" t="s">
        <v>22</v>
      </c>
      <c r="C1200" s="4" t="s">
        <v>23</v>
      </c>
      <c r="D1200" s="4" t="s">
        <v>24</v>
      </c>
      <c r="E1200" s="4" t="s">
        <v>31</v>
      </c>
      <c r="F1200" s="4" t="s">
        <v>25</v>
      </c>
      <c r="G1200" s="4" t="s">
        <v>25</v>
      </c>
      <c r="H1200" s="4" t="s">
        <v>25</v>
      </c>
      <c r="I1200" s="5">
        <v>44621</v>
      </c>
      <c r="J1200" s="6">
        <v>0</v>
      </c>
      <c r="K1200" s="6">
        <v>0</v>
      </c>
      <c r="L1200" s="6">
        <v>-6.5339999999999998</v>
      </c>
      <c r="M1200" s="6">
        <v>-6.5339999999999998</v>
      </c>
      <c r="N1200" s="6">
        <v>-6.5339999999999998</v>
      </c>
      <c r="O1200" s="6">
        <v>-6.5339999999999998</v>
      </c>
      <c r="P1200" s="6">
        <v>32</v>
      </c>
      <c r="Q1200" s="4" t="s">
        <v>26</v>
      </c>
      <c r="R1200" s="4">
        <v>0</v>
      </c>
      <c r="S1200" s="4" t="s">
        <v>310</v>
      </c>
      <c r="T1200" s="4" t="s">
        <v>580</v>
      </c>
      <c r="U1200" s="4">
        <v>0</v>
      </c>
      <c r="V1200" s="4">
        <v>40</v>
      </c>
      <c r="W1200" s="4">
        <v>84</v>
      </c>
    </row>
    <row r="1201" spans="1:23" ht="11.25" customHeight="1" x14ac:dyDescent="0.25">
      <c r="A1201" s="4" t="s">
        <v>28</v>
      </c>
      <c r="B1201" s="4" t="s">
        <v>22</v>
      </c>
      <c r="C1201" s="4" t="s">
        <v>23</v>
      </c>
      <c r="D1201" s="4" t="s">
        <v>24</v>
      </c>
      <c r="E1201" s="4" t="s">
        <v>31</v>
      </c>
      <c r="F1201" s="4" t="s">
        <v>25</v>
      </c>
      <c r="G1201" s="4" t="s">
        <v>25</v>
      </c>
      <c r="H1201" s="4" t="s">
        <v>25</v>
      </c>
      <c r="I1201" s="5">
        <v>44621</v>
      </c>
      <c r="J1201" s="6">
        <v>0</v>
      </c>
      <c r="K1201" s="6">
        <v>0</v>
      </c>
      <c r="L1201" s="6">
        <v>618.73599999999999</v>
      </c>
      <c r="M1201" s="6">
        <v>618.73599999999999</v>
      </c>
      <c r="N1201" s="6">
        <v>618.73599999999999</v>
      </c>
      <c r="O1201" s="6">
        <v>618.73599999999999</v>
      </c>
      <c r="P1201" s="6">
        <v>1837</v>
      </c>
      <c r="Q1201" s="4" t="s">
        <v>26</v>
      </c>
      <c r="R1201" s="4">
        <v>0</v>
      </c>
      <c r="S1201" s="4" t="s">
        <v>310</v>
      </c>
      <c r="T1201" s="4" t="s">
        <v>580</v>
      </c>
      <c r="U1201" s="4">
        <v>0</v>
      </c>
      <c r="V1201" s="4">
        <v>40</v>
      </c>
      <c r="W1201" s="4">
        <v>84</v>
      </c>
    </row>
    <row r="1202" spans="1:23" ht="11.25" customHeight="1" x14ac:dyDescent="0.25">
      <c r="A1202" s="4" t="s">
        <v>29</v>
      </c>
      <c r="B1202" s="4" t="s">
        <v>22</v>
      </c>
      <c r="C1202" s="4" t="s">
        <v>23</v>
      </c>
      <c r="D1202" s="4" t="s">
        <v>24</v>
      </c>
      <c r="E1202" s="4" t="s">
        <v>31</v>
      </c>
      <c r="F1202" s="4" t="s">
        <v>25</v>
      </c>
      <c r="G1202" s="4" t="s">
        <v>25</v>
      </c>
      <c r="H1202" s="4" t="s">
        <v>25</v>
      </c>
      <c r="I1202" s="5">
        <v>44621</v>
      </c>
      <c r="J1202" s="6">
        <v>0</v>
      </c>
      <c r="K1202" s="6">
        <v>0</v>
      </c>
      <c r="L1202" s="6">
        <v>3.1789999999999998</v>
      </c>
      <c r="M1202" s="6">
        <v>3.1789999999999998</v>
      </c>
      <c r="N1202" s="6">
        <v>3.1789999999999998</v>
      </c>
      <c r="O1202" s="6">
        <v>3.1789999999999998</v>
      </c>
      <c r="P1202" s="6">
        <v>51</v>
      </c>
      <c r="Q1202" s="4" t="s">
        <v>26</v>
      </c>
      <c r="R1202" s="4">
        <v>0</v>
      </c>
      <c r="S1202" s="4" t="s">
        <v>310</v>
      </c>
      <c r="T1202" s="4" t="s">
        <v>580</v>
      </c>
      <c r="U1202" s="4">
        <v>0</v>
      </c>
      <c r="V1202" s="4">
        <v>40</v>
      </c>
      <c r="W1202" s="4">
        <v>84</v>
      </c>
    </row>
    <row r="1203" spans="1:23" ht="11.25" customHeight="1" x14ac:dyDescent="0.25">
      <c r="A1203" s="4" t="s">
        <v>30</v>
      </c>
      <c r="B1203" s="4" t="s">
        <v>22</v>
      </c>
      <c r="C1203" s="4" t="s">
        <v>23</v>
      </c>
      <c r="D1203" s="4" t="s">
        <v>24</v>
      </c>
      <c r="E1203" s="4" t="s">
        <v>31</v>
      </c>
      <c r="F1203" s="4" t="s">
        <v>25</v>
      </c>
      <c r="G1203" s="4" t="s">
        <v>25</v>
      </c>
      <c r="H1203" s="4" t="s">
        <v>25</v>
      </c>
      <c r="I1203" s="5">
        <v>44621</v>
      </c>
      <c r="J1203" s="6">
        <v>0</v>
      </c>
      <c r="K1203" s="6">
        <v>0</v>
      </c>
      <c r="L1203" s="6">
        <v>1.29</v>
      </c>
      <c r="M1203" s="6">
        <v>1.29</v>
      </c>
      <c r="N1203" s="6">
        <v>1.29</v>
      </c>
      <c r="O1203" s="6">
        <v>1.29</v>
      </c>
      <c r="P1203" s="6">
        <v>0</v>
      </c>
      <c r="Q1203" s="4" t="s">
        <v>26</v>
      </c>
      <c r="R1203" s="4">
        <v>0</v>
      </c>
      <c r="S1203" s="4" t="s">
        <v>310</v>
      </c>
      <c r="T1203" s="4" t="s">
        <v>580</v>
      </c>
      <c r="U1203" s="4">
        <v>0</v>
      </c>
      <c r="V1203" s="4">
        <v>40</v>
      </c>
      <c r="W1203" s="4">
        <v>84</v>
      </c>
    </row>
    <row r="1204" spans="1:23" ht="11.25" customHeight="1" x14ac:dyDescent="0.25">
      <c r="A1204" s="4" t="s">
        <v>21</v>
      </c>
      <c r="B1204" s="4" t="s">
        <v>22</v>
      </c>
      <c r="C1204" s="4" t="s">
        <v>23</v>
      </c>
      <c r="D1204" s="4" t="s">
        <v>24</v>
      </c>
      <c r="E1204" s="4" t="s">
        <v>31</v>
      </c>
      <c r="F1204" s="4" t="s">
        <v>25</v>
      </c>
      <c r="G1204" s="4" t="s">
        <v>25</v>
      </c>
      <c r="H1204" s="4" t="s">
        <v>25</v>
      </c>
      <c r="I1204" s="5">
        <v>44652</v>
      </c>
      <c r="J1204" s="6">
        <v>0</v>
      </c>
      <c r="K1204" s="6">
        <v>0</v>
      </c>
      <c r="L1204" s="6">
        <v>1293.701</v>
      </c>
      <c r="M1204" s="6">
        <v>1293.701</v>
      </c>
      <c r="N1204" s="6">
        <v>1293.701</v>
      </c>
      <c r="O1204" s="6">
        <v>1293.701</v>
      </c>
      <c r="P1204" s="6">
        <v>2880</v>
      </c>
      <c r="Q1204" s="4" t="s">
        <v>26</v>
      </c>
      <c r="R1204" s="4">
        <v>0</v>
      </c>
      <c r="S1204" s="4" t="s">
        <v>311</v>
      </c>
      <c r="T1204" s="4" t="s">
        <v>581</v>
      </c>
      <c r="U1204" s="4">
        <v>0</v>
      </c>
      <c r="V1204" s="4">
        <v>40</v>
      </c>
      <c r="W1204" s="4">
        <v>84</v>
      </c>
    </row>
    <row r="1205" spans="1:23" ht="11.25" customHeight="1" x14ac:dyDescent="0.25">
      <c r="A1205" s="4" t="s">
        <v>27</v>
      </c>
      <c r="B1205" s="4" t="s">
        <v>22</v>
      </c>
      <c r="C1205" s="4" t="s">
        <v>23</v>
      </c>
      <c r="D1205" s="4" t="s">
        <v>24</v>
      </c>
      <c r="E1205" s="4" t="s">
        <v>31</v>
      </c>
      <c r="F1205" s="4" t="s">
        <v>25</v>
      </c>
      <c r="G1205" s="4" t="s">
        <v>25</v>
      </c>
      <c r="H1205" s="4" t="s">
        <v>25</v>
      </c>
      <c r="I1205" s="5">
        <v>44652</v>
      </c>
      <c r="J1205" s="6">
        <v>0</v>
      </c>
      <c r="K1205" s="6">
        <v>0</v>
      </c>
      <c r="L1205" s="6">
        <v>-1.2669999999999999</v>
      </c>
      <c r="M1205" s="6">
        <v>-1.2669999999999999</v>
      </c>
      <c r="N1205" s="6">
        <v>-1.2669999999999999</v>
      </c>
      <c r="O1205" s="6">
        <v>-1.2669999999999999</v>
      </c>
      <c r="P1205" s="6">
        <v>41</v>
      </c>
      <c r="Q1205" s="4" t="s">
        <v>26</v>
      </c>
      <c r="R1205" s="4">
        <v>0</v>
      </c>
      <c r="S1205" s="4" t="s">
        <v>311</v>
      </c>
      <c r="T1205" s="4" t="s">
        <v>581</v>
      </c>
      <c r="U1205" s="4">
        <v>0</v>
      </c>
      <c r="V1205" s="4">
        <v>40</v>
      </c>
      <c r="W1205" s="4">
        <v>84</v>
      </c>
    </row>
    <row r="1206" spans="1:23" ht="11.25" customHeight="1" x14ac:dyDescent="0.25">
      <c r="A1206" s="4" t="s">
        <v>28</v>
      </c>
      <c r="B1206" s="4" t="s">
        <v>22</v>
      </c>
      <c r="C1206" s="4" t="s">
        <v>23</v>
      </c>
      <c r="D1206" s="4" t="s">
        <v>24</v>
      </c>
      <c r="E1206" s="4" t="s">
        <v>31</v>
      </c>
      <c r="F1206" s="4" t="s">
        <v>25</v>
      </c>
      <c r="G1206" s="4" t="s">
        <v>25</v>
      </c>
      <c r="H1206" s="4" t="s">
        <v>25</v>
      </c>
      <c r="I1206" s="5">
        <v>44652</v>
      </c>
      <c r="J1206" s="6">
        <v>0</v>
      </c>
      <c r="K1206" s="6">
        <v>0</v>
      </c>
      <c r="L1206" s="6">
        <v>629.86800000000005</v>
      </c>
      <c r="M1206" s="6">
        <v>629.86800000000005</v>
      </c>
      <c r="N1206" s="6">
        <v>629.86800000000005</v>
      </c>
      <c r="O1206" s="6">
        <v>629.86800000000005</v>
      </c>
      <c r="P1206" s="6">
        <v>1817</v>
      </c>
      <c r="Q1206" s="4" t="s">
        <v>26</v>
      </c>
      <c r="R1206" s="4">
        <v>0</v>
      </c>
      <c r="S1206" s="4" t="s">
        <v>311</v>
      </c>
      <c r="T1206" s="4" t="s">
        <v>581</v>
      </c>
      <c r="U1206" s="4">
        <v>0</v>
      </c>
      <c r="V1206" s="4">
        <v>40</v>
      </c>
      <c r="W1206" s="4">
        <v>84</v>
      </c>
    </row>
    <row r="1207" spans="1:23" ht="11.25" customHeight="1" x14ac:dyDescent="0.25">
      <c r="A1207" s="4" t="s">
        <v>29</v>
      </c>
      <c r="B1207" s="4" t="s">
        <v>22</v>
      </c>
      <c r="C1207" s="4" t="s">
        <v>23</v>
      </c>
      <c r="D1207" s="4" t="s">
        <v>24</v>
      </c>
      <c r="E1207" s="4" t="s">
        <v>31</v>
      </c>
      <c r="F1207" s="4" t="s">
        <v>25</v>
      </c>
      <c r="G1207" s="4" t="s">
        <v>25</v>
      </c>
      <c r="H1207" s="4" t="s">
        <v>25</v>
      </c>
      <c r="I1207" s="5">
        <v>44652</v>
      </c>
      <c r="J1207" s="6">
        <v>0</v>
      </c>
      <c r="K1207" s="6">
        <v>0</v>
      </c>
      <c r="L1207" s="6">
        <v>0.79700000000000004</v>
      </c>
      <c r="M1207" s="6">
        <v>0.79700000000000004</v>
      </c>
      <c r="N1207" s="6">
        <v>0.79700000000000004</v>
      </c>
      <c r="O1207" s="6">
        <v>0.79700000000000004</v>
      </c>
      <c r="P1207" s="6">
        <v>99</v>
      </c>
      <c r="Q1207" s="4" t="s">
        <v>26</v>
      </c>
      <c r="R1207" s="4">
        <v>0</v>
      </c>
      <c r="S1207" s="4" t="s">
        <v>311</v>
      </c>
      <c r="T1207" s="4" t="s">
        <v>581</v>
      </c>
      <c r="U1207" s="4">
        <v>0</v>
      </c>
      <c r="V1207" s="4">
        <v>40</v>
      </c>
      <c r="W1207" s="4">
        <v>84</v>
      </c>
    </row>
    <row r="1208" spans="1:23" ht="11.25" customHeight="1" x14ac:dyDescent="0.25">
      <c r="A1208" s="4" t="s">
        <v>30</v>
      </c>
      <c r="B1208" s="4" t="s">
        <v>22</v>
      </c>
      <c r="C1208" s="4" t="s">
        <v>23</v>
      </c>
      <c r="D1208" s="4" t="s">
        <v>24</v>
      </c>
      <c r="E1208" s="4" t="s">
        <v>31</v>
      </c>
      <c r="F1208" s="4" t="s">
        <v>25</v>
      </c>
      <c r="G1208" s="4" t="s">
        <v>25</v>
      </c>
      <c r="H1208" s="4" t="s">
        <v>25</v>
      </c>
      <c r="I1208" s="5">
        <v>44652</v>
      </c>
      <c r="J1208" s="6">
        <v>0</v>
      </c>
      <c r="K1208" s="6">
        <v>0</v>
      </c>
      <c r="L1208" s="6">
        <v>1.41</v>
      </c>
      <c r="M1208" s="6">
        <v>1.41</v>
      </c>
      <c r="N1208" s="6">
        <v>1.41</v>
      </c>
      <c r="O1208" s="6">
        <v>1.41</v>
      </c>
      <c r="P1208" s="6">
        <v>0</v>
      </c>
      <c r="Q1208" s="4" t="s">
        <v>26</v>
      </c>
      <c r="R1208" s="4">
        <v>0</v>
      </c>
      <c r="S1208" s="4" t="s">
        <v>311</v>
      </c>
      <c r="T1208" s="4" t="s">
        <v>581</v>
      </c>
      <c r="U1208" s="4">
        <v>0</v>
      </c>
      <c r="V1208" s="4">
        <v>40</v>
      </c>
      <c r="W1208" s="4">
        <v>84</v>
      </c>
    </row>
    <row r="1209" spans="1:23" ht="11.25" customHeight="1" x14ac:dyDescent="0.25">
      <c r="A1209" s="4" t="s">
        <v>21</v>
      </c>
      <c r="B1209" s="4" t="s">
        <v>22</v>
      </c>
      <c r="C1209" s="4" t="s">
        <v>23</v>
      </c>
      <c r="D1209" s="4" t="s">
        <v>24</v>
      </c>
      <c r="E1209" s="4" t="s">
        <v>31</v>
      </c>
      <c r="F1209" s="4" t="s">
        <v>25</v>
      </c>
      <c r="G1209" s="4" t="s">
        <v>25</v>
      </c>
      <c r="H1209" s="4" t="s">
        <v>25</v>
      </c>
      <c r="I1209" s="5">
        <v>44682</v>
      </c>
      <c r="J1209" s="6">
        <v>0</v>
      </c>
      <c r="K1209" s="6">
        <v>0</v>
      </c>
      <c r="L1209" s="6">
        <v>1272.3420000000001</v>
      </c>
      <c r="M1209" s="6">
        <v>1272.3420000000001</v>
      </c>
      <c r="N1209" s="6">
        <v>1272.3420000000001</v>
      </c>
      <c r="O1209" s="6">
        <v>1272.3420000000001</v>
      </c>
      <c r="P1209" s="6">
        <v>2882</v>
      </c>
      <c r="Q1209" s="4" t="s">
        <v>26</v>
      </c>
      <c r="R1209" s="4">
        <v>0</v>
      </c>
      <c r="S1209" s="4" t="s">
        <v>312</v>
      </c>
      <c r="T1209" s="4" t="s">
        <v>582</v>
      </c>
      <c r="U1209" s="4">
        <v>0</v>
      </c>
      <c r="V1209" s="4">
        <v>40</v>
      </c>
      <c r="W1209" s="4">
        <v>84</v>
      </c>
    </row>
    <row r="1210" spans="1:23" ht="11.25" customHeight="1" x14ac:dyDescent="0.25">
      <c r="A1210" s="4" t="s">
        <v>27</v>
      </c>
      <c r="B1210" s="4" t="s">
        <v>22</v>
      </c>
      <c r="C1210" s="4" t="s">
        <v>23</v>
      </c>
      <c r="D1210" s="4" t="s">
        <v>24</v>
      </c>
      <c r="E1210" s="4" t="s">
        <v>31</v>
      </c>
      <c r="F1210" s="4" t="s">
        <v>25</v>
      </c>
      <c r="G1210" s="4" t="s">
        <v>25</v>
      </c>
      <c r="H1210" s="4" t="s">
        <v>25</v>
      </c>
      <c r="I1210" s="5">
        <v>44682</v>
      </c>
      <c r="J1210" s="6">
        <v>0</v>
      </c>
      <c r="K1210" s="6">
        <v>0</v>
      </c>
      <c r="L1210" s="6">
        <v>-5.1760000000000002</v>
      </c>
      <c r="M1210" s="6">
        <v>-5.1760000000000002</v>
      </c>
      <c r="N1210" s="6">
        <v>-5.1760000000000002</v>
      </c>
      <c r="O1210" s="6">
        <v>-5.1760000000000002</v>
      </c>
      <c r="P1210" s="6">
        <v>23</v>
      </c>
      <c r="Q1210" s="4" t="s">
        <v>26</v>
      </c>
      <c r="R1210" s="4">
        <v>0</v>
      </c>
      <c r="S1210" s="4" t="s">
        <v>312</v>
      </c>
      <c r="T1210" s="4" t="s">
        <v>582</v>
      </c>
      <c r="U1210" s="4">
        <v>0</v>
      </c>
      <c r="V1210" s="4">
        <v>40</v>
      </c>
      <c r="W1210" s="4">
        <v>84</v>
      </c>
    </row>
    <row r="1211" spans="1:23" ht="11.25" customHeight="1" x14ac:dyDescent="0.25">
      <c r="A1211" s="4" t="s">
        <v>28</v>
      </c>
      <c r="B1211" s="4" t="s">
        <v>22</v>
      </c>
      <c r="C1211" s="4" t="s">
        <v>23</v>
      </c>
      <c r="D1211" s="4" t="s">
        <v>24</v>
      </c>
      <c r="E1211" s="4" t="s">
        <v>31</v>
      </c>
      <c r="F1211" s="4" t="s">
        <v>25</v>
      </c>
      <c r="G1211" s="4" t="s">
        <v>25</v>
      </c>
      <c r="H1211" s="4" t="s">
        <v>25</v>
      </c>
      <c r="I1211" s="5">
        <v>44682</v>
      </c>
      <c r="J1211" s="6">
        <v>0</v>
      </c>
      <c r="K1211" s="6">
        <v>0</v>
      </c>
      <c r="L1211" s="6">
        <v>621.33199999999999</v>
      </c>
      <c r="M1211" s="6">
        <v>621.33199999999999</v>
      </c>
      <c r="N1211" s="6">
        <v>621.33199999999999</v>
      </c>
      <c r="O1211" s="6">
        <v>621.33199999999999</v>
      </c>
      <c r="P1211" s="6">
        <v>1815</v>
      </c>
      <c r="Q1211" s="4" t="s">
        <v>26</v>
      </c>
      <c r="R1211" s="4">
        <v>0</v>
      </c>
      <c r="S1211" s="4" t="s">
        <v>312</v>
      </c>
      <c r="T1211" s="4" t="s">
        <v>582</v>
      </c>
      <c r="U1211" s="4">
        <v>0</v>
      </c>
      <c r="V1211" s="4">
        <v>40</v>
      </c>
      <c r="W1211" s="4">
        <v>84</v>
      </c>
    </row>
    <row r="1212" spans="1:23" ht="11.25" customHeight="1" x14ac:dyDescent="0.25">
      <c r="A1212" s="4" t="s">
        <v>29</v>
      </c>
      <c r="B1212" s="4" t="s">
        <v>22</v>
      </c>
      <c r="C1212" s="4" t="s">
        <v>23</v>
      </c>
      <c r="D1212" s="4" t="s">
        <v>24</v>
      </c>
      <c r="E1212" s="4" t="s">
        <v>31</v>
      </c>
      <c r="F1212" s="4" t="s">
        <v>25</v>
      </c>
      <c r="G1212" s="4" t="s">
        <v>25</v>
      </c>
      <c r="H1212" s="4" t="s">
        <v>25</v>
      </c>
      <c r="I1212" s="5">
        <v>44682</v>
      </c>
      <c r="J1212" s="6">
        <v>0</v>
      </c>
      <c r="K1212" s="6">
        <v>0</v>
      </c>
      <c r="L1212" s="6">
        <v>4.4800000000000004</v>
      </c>
      <c r="M1212" s="6">
        <v>4.4800000000000004</v>
      </c>
      <c r="N1212" s="6">
        <v>4.4800000000000004</v>
      </c>
      <c r="O1212" s="6">
        <v>4.4800000000000004</v>
      </c>
      <c r="P1212" s="6">
        <v>112</v>
      </c>
      <c r="Q1212" s="4" t="s">
        <v>26</v>
      </c>
      <c r="R1212" s="4">
        <v>0</v>
      </c>
      <c r="S1212" s="4" t="s">
        <v>312</v>
      </c>
      <c r="T1212" s="4" t="s">
        <v>582</v>
      </c>
      <c r="U1212" s="4">
        <v>0</v>
      </c>
      <c r="V1212" s="4">
        <v>40</v>
      </c>
      <c r="W1212" s="4">
        <v>84</v>
      </c>
    </row>
    <row r="1213" spans="1:23" ht="11.25" customHeight="1" x14ac:dyDescent="0.25">
      <c r="A1213" s="4" t="s">
        <v>30</v>
      </c>
      <c r="B1213" s="4" t="s">
        <v>22</v>
      </c>
      <c r="C1213" s="4" t="s">
        <v>23</v>
      </c>
      <c r="D1213" s="4" t="s">
        <v>24</v>
      </c>
      <c r="E1213" s="4" t="s">
        <v>31</v>
      </c>
      <c r="F1213" s="4" t="s">
        <v>25</v>
      </c>
      <c r="G1213" s="4" t="s">
        <v>25</v>
      </c>
      <c r="H1213" s="4" t="s">
        <v>25</v>
      </c>
      <c r="I1213" s="5">
        <v>44682</v>
      </c>
      <c r="J1213" s="6">
        <v>0</v>
      </c>
      <c r="K1213" s="6">
        <v>0</v>
      </c>
      <c r="L1213" s="6">
        <v>1.38</v>
      </c>
      <c r="M1213" s="6">
        <v>1.38</v>
      </c>
      <c r="N1213" s="6">
        <v>1.38</v>
      </c>
      <c r="O1213" s="6">
        <v>1.38</v>
      </c>
      <c r="P1213" s="6">
        <v>0</v>
      </c>
      <c r="Q1213" s="4" t="s">
        <v>26</v>
      </c>
      <c r="R1213" s="4">
        <v>0</v>
      </c>
      <c r="S1213" s="4" t="s">
        <v>312</v>
      </c>
      <c r="T1213" s="4" t="s">
        <v>582</v>
      </c>
      <c r="U1213" s="4">
        <v>0</v>
      </c>
      <c r="V1213" s="4">
        <v>40</v>
      </c>
      <c r="W1213" s="4">
        <v>84</v>
      </c>
    </row>
    <row r="1214" spans="1:23" ht="11.25" customHeight="1" x14ac:dyDescent="0.25">
      <c r="A1214" s="4" t="s">
        <v>21</v>
      </c>
      <c r="B1214" s="4" t="s">
        <v>22</v>
      </c>
      <c r="C1214" s="4" t="s">
        <v>23</v>
      </c>
      <c r="D1214" s="4" t="s">
        <v>24</v>
      </c>
      <c r="E1214" s="4" t="s">
        <v>31</v>
      </c>
      <c r="F1214" s="4" t="s">
        <v>25</v>
      </c>
      <c r="G1214" s="4" t="s">
        <v>25</v>
      </c>
      <c r="H1214" s="4" t="s">
        <v>25</v>
      </c>
      <c r="I1214" s="5">
        <v>44713</v>
      </c>
      <c r="J1214" s="6">
        <v>0</v>
      </c>
      <c r="K1214" s="6">
        <v>0</v>
      </c>
      <c r="L1214" s="6">
        <v>1297.2560000000001</v>
      </c>
      <c r="M1214" s="6">
        <v>1297.2560000000001</v>
      </c>
      <c r="N1214" s="6">
        <v>1297.2560000000001</v>
      </c>
      <c r="O1214" s="6">
        <v>1297.2560000000001</v>
      </c>
      <c r="P1214" s="6">
        <v>3032</v>
      </c>
      <c r="Q1214" s="4" t="s">
        <v>26</v>
      </c>
      <c r="R1214" s="4">
        <v>0</v>
      </c>
      <c r="S1214" s="4" t="s">
        <v>313</v>
      </c>
      <c r="T1214" s="4" t="s">
        <v>583</v>
      </c>
      <c r="U1214" s="4">
        <v>0</v>
      </c>
      <c r="V1214" s="4">
        <v>40</v>
      </c>
      <c r="W1214" s="4">
        <v>84</v>
      </c>
    </row>
    <row r="1215" spans="1:23" ht="11.25" customHeight="1" x14ac:dyDescent="0.25">
      <c r="A1215" s="4" t="s">
        <v>27</v>
      </c>
      <c r="B1215" s="4" t="s">
        <v>22</v>
      </c>
      <c r="C1215" s="4" t="s">
        <v>23</v>
      </c>
      <c r="D1215" s="4" t="s">
        <v>24</v>
      </c>
      <c r="E1215" s="4" t="s">
        <v>31</v>
      </c>
      <c r="F1215" s="4" t="s">
        <v>25</v>
      </c>
      <c r="G1215" s="4" t="s">
        <v>25</v>
      </c>
      <c r="H1215" s="4" t="s">
        <v>25</v>
      </c>
      <c r="I1215" s="5">
        <v>44713</v>
      </c>
      <c r="J1215" s="6">
        <v>0</v>
      </c>
      <c r="K1215" s="6">
        <v>0</v>
      </c>
      <c r="L1215" s="6">
        <v>6.46</v>
      </c>
      <c r="M1215" s="6">
        <v>6.46</v>
      </c>
      <c r="N1215" s="6">
        <v>6.46</v>
      </c>
      <c r="O1215" s="6">
        <v>6.46</v>
      </c>
      <c r="P1215" s="6">
        <v>48</v>
      </c>
      <c r="Q1215" s="4" t="s">
        <v>26</v>
      </c>
      <c r="R1215" s="4">
        <v>0</v>
      </c>
      <c r="S1215" s="4" t="s">
        <v>313</v>
      </c>
      <c r="T1215" s="4" t="s">
        <v>583</v>
      </c>
      <c r="U1215" s="4">
        <v>0</v>
      </c>
      <c r="V1215" s="4">
        <v>40</v>
      </c>
      <c r="W1215" s="4">
        <v>84</v>
      </c>
    </row>
    <row r="1216" spans="1:23" ht="11.25" customHeight="1" x14ac:dyDescent="0.25">
      <c r="A1216" s="4" t="s">
        <v>28</v>
      </c>
      <c r="B1216" s="4" t="s">
        <v>22</v>
      </c>
      <c r="C1216" s="4" t="s">
        <v>23</v>
      </c>
      <c r="D1216" s="4" t="s">
        <v>24</v>
      </c>
      <c r="E1216" s="4" t="s">
        <v>31</v>
      </c>
      <c r="F1216" s="4" t="s">
        <v>25</v>
      </c>
      <c r="G1216" s="4" t="s">
        <v>25</v>
      </c>
      <c r="H1216" s="4" t="s">
        <v>25</v>
      </c>
      <c r="I1216" s="5">
        <v>44713</v>
      </c>
      <c r="J1216" s="6">
        <v>0</v>
      </c>
      <c r="K1216" s="6">
        <v>0</v>
      </c>
      <c r="L1216" s="6">
        <v>629.74400000000003</v>
      </c>
      <c r="M1216" s="6">
        <v>629.74400000000003</v>
      </c>
      <c r="N1216" s="6">
        <v>629.74400000000003</v>
      </c>
      <c r="O1216" s="6">
        <v>629.74400000000003</v>
      </c>
      <c r="P1216" s="6">
        <v>1821</v>
      </c>
      <c r="Q1216" s="4" t="s">
        <v>26</v>
      </c>
      <c r="R1216" s="4">
        <v>0</v>
      </c>
      <c r="S1216" s="4" t="s">
        <v>313</v>
      </c>
      <c r="T1216" s="4" t="s">
        <v>583</v>
      </c>
      <c r="U1216" s="4">
        <v>0</v>
      </c>
      <c r="V1216" s="4">
        <v>40</v>
      </c>
      <c r="W1216" s="4">
        <v>84</v>
      </c>
    </row>
    <row r="1217" spans="1:23" ht="11.25" customHeight="1" x14ac:dyDescent="0.25">
      <c r="A1217" s="4" t="s">
        <v>29</v>
      </c>
      <c r="B1217" s="4" t="s">
        <v>22</v>
      </c>
      <c r="C1217" s="4" t="s">
        <v>23</v>
      </c>
      <c r="D1217" s="4" t="s">
        <v>24</v>
      </c>
      <c r="E1217" s="4" t="s">
        <v>31</v>
      </c>
      <c r="F1217" s="4" t="s">
        <v>25</v>
      </c>
      <c r="G1217" s="4" t="s">
        <v>25</v>
      </c>
      <c r="H1217" s="4" t="s">
        <v>25</v>
      </c>
      <c r="I1217" s="5">
        <v>44713</v>
      </c>
      <c r="J1217" s="6">
        <v>0</v>
      </c>
      <c r="K1217" s="6">
        <v>0</v>
      </c>
      <c r="L1217" s="6">
        <v>1.1140000000000001</v>
      </c>
      <c r="M1217" s="6">
        <v>1.1140000000000001</v>
      </c>
      <c r="N1217" s="6">
        <v>1.1140000000000001</v>
      </c>
      <c r="O1217" s="6">
        <v>1.1140000000000001</v>
      </c>
      <c r="P1217" s="6">
        <v>10</v>
      </c>
      <c r="Q1217" s="4" t="s">
        <v>26</v>
      </c>
      <c r="R1217" s="4">
        <v>0</v>
      </c>
      <c r="S1217" s="4" t="s">
        <v>313</v>
      </c>
      <c r="T1217" s="4" t="s">
        <v>583</v>
      </c>
      <c r="U1217" s="4">
        <v>0</v>
      </c>
      <c r="V1217" s="4">
        <v>40</v>
      </c>
      <c r="W1217" s="4">
        <v>84</v>
      </c>
    </row>
    <row r="1218" spans="1:23" ht="11.25" customHeight="1" x14ac:dyDescent="0.25">
      <c r="A1218" s="4" t="s">
        <v>30</v>
      </c>
      <c r="B1218" s="4" t="s">
        <v>22</v>
      </c>
      <c r="C1218" s="4" t="s">
        <v>23</v>
      </c>
      <c r="D1218" s="4" t="s">
        <v>24</v>
      </c>
      <c r="E1218" s="4" t="s">
        <v>31</v>
      </c>
      <c r="F1218" s="4" t="s">
        <v>25</v>
      </c>
      <c r="G1218" s="4" t="s">
        <v>25</v>
      </c>
      <c r="H1218" s="4" t="s">
        <v>25</v>
      </c>
      <c r="I1218" s="5">
        <v>44713</v>
      </c>
      <c r="J1218" s="6">
        <v>0</v>
      </c>
      <c r="K1218" s="6">
        <v>0</v>
      </c>
      <c r="L1218" s="6">
        <v>1.44</v>
      </c>
      <c r="M1218" s="6">
        <v>1.44</v>
      </c>
      <c r="N1218" s="6">
        <v>1.44</v>
      </c>
      <c r="O1218" s="6">
        <v>1.44</v>
      </c>
      <c r="P1218" s="6">
        <v>0</v>
      </c>
      <c r="Q1218" s="4" t="s">
        <v>26</v>
      </c>
      <c r="R1218" s="4">
        <v>0</v>
      </c>
      <c r="S1218" s="4" t="s">
        <v>313</v>
      </c>
      <c r="T1218" s="4" t="s">
        <v>583</v>
      </c>
      <c r="U1218" s="4">
        <v>0</v>
      </c>
      <c r="V1218" s="4">
        <v>40</v>
      </c>
      <c r="W1218" s="4">
        <v>84</v>
      </c>
    </row>
    <row r="1219" spans="1:23" ht="11.25" customHeight="1" x14ac:dyDescent="0.25">
      <c r="A1219" s="4" t="s">
        <v>21</v>
      </c>
      <c r="B1219" s="4" t="s">
        <v>22</v>
      </c>
      <c r="C1219" s="4" t="s">
        <v>23</v>
      </c>
      <c r="D1219" s="4" t="s">
        <v>24</v>
      </c>
      <c r="E1219" s="4" t="s">
        <v>31</v>
      </c>
      <c r="F1219" s="4" t="s">
        <v>25</v>
      </c>
      <c r="G1219" s="4" t="s">
        <v>25</v>
      </c>
      <c r="H1219" s="4" t="s">
        <v>25</v>
      </c>
      <c r="I1219" s="5">
        <v>44743</v>
      </c>
      <c r="J1219" s="6">
        <v>0</v>
      </c>
      <c r="K1219" s="6">
        <v>0</v>
      </c>
      <c r="L1219" s="6">
        <v>1337.239</v>
      </c>
      <c r="M1219" s="6">
        <v>1337.239</v>
      </c>
      <c r="N1219" s="6">
        <v>1337.239</v>
      </c>
      <c r="O1219" s="6">
        <v>1337.239</v>
      </c>
      <c r="P1219" s="6">
        <v>3072</v>
      </c>
      <c r="Q1219" s="4" t="s">
        <v>26</v>
      </c>
      <c r="R1219" s="4">
        <v>0</v>
      </c>
      <c r="S1219" s="4" t="s">
        <v>314</v>
      </c>
      <c r="T1219" s="4" t="s">
        <v>584</v>
      </c>
      <c r="U1219" s="4">
        <v>0</v>
      </c>
      <c r="V1219" s="4">
        <v>40</v>
      </c>
      <c r="W1219" s="4">
        <v>84</v>
      </c>
    </row>
    <row r="1220" spans="1:23" ht="11.25" customHeight="1" x14ac:dyDescent="0.25">
      <c r="A1220" s="4" t="s">
        <v>27</v>
      </c>
      <c r="B1220" s="4" t="s">
        <v>22</v>
      </c>
      <c r="C1220" s="4" t="s">
        <v>23</v>
      </c>
      <c r="D1220" s="4" t="s">
        <v>24</v>
      </c>
      <c r="E1220" s="4" t="s">
        <v>31</v>
      </c>
      <c r="F1220" s="4" t="s">
        <v>25</v>
      </c>
      <c r="G1220" s="4" t="s">
        <v>25</v>
      </c>
      <c r="H1220" s="4" t="s">
        <v>25</v>
      </c>
      <c r="I1220" s="5">
        <v>44743</v>
      </c>
      <c r="J1220" s="6">
        <v>0</v>
      </c>
      <c r="K1220" s="6">
        <v>0</v>
      </c>
      <c r="L1220" s="6">
        <v>10.766</v>
      </c>
      <c r="M1220" s="6">
        <v>10.766</v>
      </c>
      <c r="N1220" s="6">
        <v>10.766</v>
      </c>
      <c r="O1220" s="6">
        <v>10.766</v>
      </c>
      <c r="P1220" s="6">
        <v>61</v>
      </c>
      <c r="Q1220" s="4" t="s">
        <v>26</v>
      </c>
      <c r="R1220" s="4">
        <v>0</v>
      </c>
      <c r="S1220" s="4" t="s">
        <v>314</v>
      </c>
      <c r="T1220" s="4" t="s">
        <v>584</v>
      </c>
      <c r="U1220" s="4">
        <v>0</v>
      </c>
      <c r="V1220" s="4">
        <v>40</v>
      </c>
      <c r="W1220" s="4">
        <v>84</v>
      </c>
    </row>
    <row r="1221" spans="1:23" ht="11.25" customHeight="1" x14ac:dyDescent="0.25">
      <c r="A1221" s="4" t="s">
        <v>28</v>
      </c>
      <c r="B1221" s="4" t="s">
        <v>22</v>
      </c>
      <c r="C1221" s="4" t="s">
        <v>23</v>
      </c>
      <c r="D1221" s="4" t="s">
        <v>24</v>
      </c>
      <c r="E1221" s="4" t="s">
        <v>31</v>
      </c>
      <c r="F1221" s="4" t="s">
        <v>25</v>
      </c>
      <c r="G1221" s="4" t="s">
        <v>25</v>
      </c>
      <c r="H1221" s="4" t="s">
        <v>25</v>
      </c>
      <c r="I1221" s="5">
        <v>44743</v>
      </c>
      <c r="J1221" s="6">
        <v>0</v>
      </c>
      <c r="K1221" s="6">
        <v>0</v>
      </c>
      <c r="L1221" s="6">
        <v>650.20100000000002</v>
      </c>
      <c r="M1221" s="6">
        <v>650.20100000000002</v>
      </c>
      <c r="N1221" s="6">
        <v>650.20100000000002</v>
      </c>
      <c r="O1221" s="6">
        <v>650.20100000000002</v>
      </c>
      <c r="P1221" s="6">
        <v>1741</v>
      </c>
      <c r="Q1221" s="4" t="s">
        <v>26</v>
      </c>
      <c r="R1221" s="4">
        <v>0</v>
      </c>
      <c r="S1221" s="4" t="s">
        <v>314</v>
      </c>
      <c r="T1221" s="4" t="s">
        <v>584</v>
      </c>
      <c r="U1221" s="4">
        <v>0</v>
      </c>
      <c r="V1221" s="4">
        <v>40</v>
      </c>
      <c r="W1221" s="4">
        <v>84</v>
      </c>
    </row>
    <row r="1222" spans="1:23" ht="11.25" customHeight="1" x14ac:dyDescent="0.25">
      <c r="A1222" s="4" t="s">
        <v>29</v>
      </c>
      <c r="B1222" s="4" t="s">
        <v>22</v>
      </c>
      <c r="C1222" s="4" t="s">
        <v>23</v>
      </c>
      <c r="D1222" s="4" t="s">
        <v>24</v>
      </c>
      <c r="E1222" s="4" t="s">
        <v>31</v>
      </c>
      <c r="F1222" s="4" t="s">
        <v>25</v>
      </c>
      <c r="G1222" s="4" t="s">
        <v>25</v>
      </c>
      <c r="H1222" s="4" t="s">
        <v>25</v>
      </c>
      <c r="I1222" s="5">
        <v>44743</v>
      </c>
      <c r="J1222" s="6">
        <v>0</v>
      </c>
      <c r="K1222" s="6">
        <v>0</v>
      </c>
      <c r="L1222" s="6">
        <v>0.53400000000000003</v>
      </c>
      <c r="M1222" s="6">
        <v>0.53400000000000003</v>
      </c>
      <c r="N1222" s="6">
        <v>0.53400000000000003</v>
      </c>
      <c r="O1222" s="6">
        <v>0.53400000000000003</v>
      </c>
      <c r="P1222" s="6">
        <v>15</v>
      </c>
      <c r="Q1222" s="4" t="s">
        <v>26</v>
      </c>
      <c r="R1222" s="4">
        <v>0</v>
      </c>
      <c r="S1222" s="4" t="s">
        <v>314</v>
      </c>
      <c r="T1222" s="4" t="s">
        <v>584</v>
      </c>
      <c r="U1222" s="4">
        <v>0</v>
      </c>
      <c r="V1222" s="4">
        <v>40</v>
      </c>
      <c r="W1222" s="4">
        <v>84</v>
      </c>
    </row>
    <row r="1223" spans="1:23" ht="11.25" customHeight="1" x14ac:dyDescent="0.25">
      <c r="A1223" s="4" t="s">
        <v>30</v>
      </c>
      <c r="B1223" s="4" t="s">
        <v>22</v>
      </c>
      <c r="C1223" s="4" t="s">
        <v>23</v>
      </c>
      <c r="D1223" s="4" t="s">
        <v>24</v>
      </c>
      <c r="E1223" s="4" t="s">
        <v>31</v>
      </c>
      <c r="F1223" s="4" t="s">
        <v>25</v>
      </c>
      <c r="G1223" s="4" t="s">
        <v>25</v>
      </c>
      <c r="H1223" s="4" t="s">
        <v>25</v>
      </c>
      <c r="I1223" s="5">
        <v>44743</v>
      </c>
      <c r="J1223" s="6">
        <v>0</v>
      </c>
      <c r="K1223" s="6">
        <v>0</v>
      </c>
      <c r="L1223" s="6">
        <v>1.56</v>
      </c>
      <c r="M1223" s="6">
        <v>1.56</v>
      </c>
      <c r="N1223" s="6">
        <v>1.56</v>
      </c>
      <c r="O1223" s="6">
        <v>1.56</v>
      </c>
      <c r="P1223" s="6">
        <v>0</v>
      </c>
      <c r="Q1223" s="4" t="s">
        <v>26</v>
      </c>
      <c r="R1223" s="4">
        <v>0</v>
      </c>
      <c r="S1223" s="4" t="s">
        <v>314</v>
      </c>
      <c r="T1223" s="4" t="s">
        <v>584</v>
      </c>
      <c r="U1223" s="4">
        <v>0</v>
      </c>
      <c r="V1223" s="4">
        <v>40</v>
      </c>
      <c r="W1223" s="4">
        <v>84</v>
      </c>
    </row>
    <row r="1224" spans="1:23" ht="11.25" customHeight="1" x14ac:dyDescent="0.25">
      <c r="A1224" s="4" t="s">
        <v>21</v>
      </c>
      <c r="B1224" s="4" t="s">
        <v>22</v>
      </c>
      <c r="C1224" s="4" t="s">
        <v>23</v>
      </c>
      <c r="D1224" s="4" t="s">
        <v>24</v>
      </c>
      <c r="E1224" s="4" t="s">
        <v>31</v>
      </c>
      <c r="F1224" s="4" t="s">
        <v>25</v>
      </c>
      <c r="G1224" s="4" t="s">
        <v>25</v>
      </c>
      <c r="H1224" s="4" t="s">
        <v>25</v>
      </c>
      <c r="I1224" s="5">
        <v>44774</v>
      </c>
      <c r="J1224" s="6">
        <v>0</v>
      </c>
      <c r="K1224" s="6">
        <v>0</v>
      </c>
      <c r="L1224" s="6">
        <v>1083.0219999999999</v>
      </c>
      <c r="M1224" s="6">
        <v>1083.0219999999999</v>
      </c>
      <c r="N1224" s="6">
        <v>1083.0219999999999</v>
      </c>
      <c r="O1224" s="6">
        <v>1083.0219999999999</v>
      </c>
      <c r="P1224" s="6">
        <v>2005</v>
      </c>
      <c r="Q1224" s="4" t="s">
        <v>26</v>
      </c>
      <c r="R1224" s="4">
        <v>0</v>
      </c>
      <c r="S1224" s="4" t="s">
        <v>315</v>
      </c>
      <c r="T1224" s="4" t="s">
        <v>585</v>
      </c>
      <c r="U1224" s="4">
        <v>0</v>
      </c>
      <c r="V1224" s="4">
        <v>40</v>
      </c>
      <c r="W1224" s="4">
        <v>84</v>
      </c>
    </row>
    <row r="1225" spans="1:23" ht="11.25" customHeight="1" x14ac:dyDescent="0.25">
      <c r="A1225" s="4" t="s">
        <v>27</v>
      </c>
      <c r="B1225" s="4" t="s">
        <v>22</v>
      </c>
      <c r="C1225" s="4" t="s">
        <v>23</v>
      </c>
      <c r="D1225" s="4" t="s">
        <v>24</v>
      </c>
      <c r="E1225" s="4" t="s">
        <v>31</v>
      </c>
      <c r="F1225" s="4" t="s">
        <v>25</v>
      </c>
      <c r="G1225" s="4" t="s">
        <v>25</v>
      </c>
      <c r="H1225" s="4" t="s">
        <v>25</v>
      </c>
      <c r="I1225" s="5">
        <v>44774</v>
      </c>
      <c r="J1225" s="6">
        <v>0</v>
      </c>
      <c r="K1225" s="6">
        <v>0</v>
      </c>
      <c r="L1225" s="6">
        <v>6.1360000000000001</v>
      </c>
      <c r="M1225" s="6">
        <v>6.1360000000000001</v>
      </c>
      <c r="N1225" s="6">
        <v>6.1360000000000001</v>
      </c>
      <c r="O1225" s="6">
        <v>6.1360000000000001</v>
      </c>
      <c r="P1225" s="6">
        <v>31</v>
      </c>
      <c r="Q1225" s="4" t="s">
        <v>26</v>
      </c>
      <c r="R1225" s="4">
        <v>0</v>
      </c>
      <c r="S1225" s="4" t="s">
        <v>315</v>
      </c>
      <c r="T1225" s="4" t="s">
        <v>585</v>
      </c>
      <c r="U1225" s="4">
        <v>0</v>
      </c>
      <c r="V1225" s="4">
        <v>40</v>
      </c>
      <c r="W1225" s="4">
        <v>84</v>
      </c>
    </row>
    <row r="1226" spans="1:23" ht="11.25" customHeight="1" x14ac:dyDescent="0.25">
      <c r="A1226" s="4" t="s">
        <v>28</v>
      </c>
      <c r="B1226" s="4" t="s">
        <v>22</v>
      </c>
      <c r="C1226" s="4" t="s">
        <v>23</v>
      </c>
      <c r="D1226" s="4" t="s">
        <v>24</v>
      </c>
      <c r="E1226" s="4" t="s">
        <v>31</v>
      </c>
      <c r="F1226" s="4" t="s">
        <v>25</v>
      </c>
      <c r="G1226" s="4" t="s">
        <v>25</v>
      </c>
      <c r="H1226" s="4" t="s">
        <v>25</v>
      </c>
      <c r="I1226" s="5">
        <v>44774</v>
      </c>
      <c r="J1226" s="6">
        <v>0</v>
      </c>
      <c r="K1226" s="6">
        <v>0</v>
      </c>
      <c r="L1226" s="6">
        <v>916.375</v>
      </c>
      <c r="M1226" s="6">
        <v>916.375</v>
      </c>
      <c r="N1226" s="6">
        <v>916.375</v>
      </c>
      <c r="O1226" s="6">
        <v>916.375</v>
      </c>
      <c r="P1226" s="6">
        <v>2596</v>
      </c>
      <c r="Q1226" s="4" t="s">
        <v>26</v>
      </c>
      <c r="R1226" s="4">
        <v>0</v>
      </c>
      <c r="S1226" s="4" t="s">
        <v>315</v>
      </c>
      <c r="T1226" s="4" t="s">
        <v>585</v>
      </c>
      <c r="U1226" s="4">
        <v>0</v>
      </c>
      <c r="V1226" s="4">
        <v>40</v>
      </c>
      <c r="W1226" s="4">
        <v>84</v>
      </c>
    </row>
    <row r="1227" spans="1:23" ht="11.25" customHeight="1" x14ac:dyDescent="0.25">
      <c r="A1227" s="4" t="s">
        <v>29</v>
      </c>
      <c r="B1227" s="4" t="s">
        <v>22</v>
      </c>
      <c r="C1227" s="4" t="s">
        <v>23</v>
      </c>
      <c r="D1227" s="4" t="s">
        <v>24</v>
      </c>
      <c r="E1227" s="4" t="s">
        <v>31</v>
      </c>
      <c r="F1227" s="4" t="s">
        <v>25</v>
      </c>
      <c r="G1227" s="4" t="s">
        <v>25</v>
      </c>
      <c r="H1227" s="4" t="s">
        <v>25</v>
      </c>
      <c r="I1227" s="5">
        <v>44774</v>
      </c>
      <c r="J1227" s="6">
        <v>0</v>
      </c>
      <c r="K1227" s="6">
        <v>0</v>
      </c>
      <c r="L1227" s="6">
        <v>2.6059999999999999</v>
      </c>
      <c r="M1227" s="6">
        <v>2.6059999999999999</v>
      </c>
      <c r="N1227" s="6">
        <v>2.6059999999999999</v>
      </c>
      <c r="O1227" s="6">
        <v>2.6059999999999999</v>
      </c>
      <c r="P1227" s="6">
        <v>30</v>
      </c>
      <c r="Q1227" s="4" t="s">
        <v>26</v>
      </c>
      <c r="R1227" s="4">
        <v>0</v>
      </c>
      <c r="S1227" s="4" t="s">
        <v>315</v>
      </c>
      <c r="T1227" s="4" t="s">
        <v>585</v>
      </c>
      <c r="U1227" s="4">
        <v>0</v>
      </c>
      <c r="V1227" s="4">
        <v>40</v>
      </c>
      <c r="W1227" s="4">
        <v>84</v>
      </c>
    </row>
    <row r="1228" spans="1:23" ht="11.25" customHeight="1" x14ac:dyDescent="0.25">
      <c r="A1228" s="4" t="s">
        <v>30</v>
      </c>
      <c r="B1228" s="4" t="s">
        <v>22</v>
      </c>
      <c r="C1228" s="4" t="s">
        <v>23</v>
      </c>
      <c r="D1228" s="4" t="s">
        <v>24</v>
      </c>
      <c r="E1228" s="4" t="s">
        <v>31</v>
      </c>
      <c r="F1228" s="4" t="s">
        <v>25</v>
      </c>
      <c r="G1228" s="4" t="s">
        <v>25</v>
      </c>
      <c r="H1228" s="4" t="s">
        <v>25</v>
      </c>
      <c r="I1228" s="5">
        <v>44774</v>
      </c>
      <c r="J1228" s="6">
        <v>0</v>
      </c>
      <c r="K1228" s="6">
        <v>0</v>
      </c>
      <c r="L1228" s="6">
        <v>1.62</v>
      </c>
      <c r="M1228" s="6">
        <v>1.62</v>
      </c>
      <c r="N1228" s="6">
        <v>1.62</v>
      </c>
      <c r="O1228" s="6">
        <v>1.62</v>
      </c>
      <c r="P1228" s="6">
        <v>0</v>
      </c>
      <c r="Q1228" s="4" t="s">
        <v>26</v>
      </c>
      <c r="R1228" s="4">
        <v>0</v>
      </c>
      <c r="S1228" s="4" t="s">
        <v>315</v>
      </c>
      <c r="T1228" s="4" t="s">
        <v>585</v>
      </c>
      <c r="U1228" s="4">
        <v>0</v>
      </c>
      <c r="V1228" s="4">
        <v>40</v>
      </c>
      <c r="W1228" s="4">
        <v>84</v>
      </c>
    </row>
    <row r="1229" spans="1:23" ht="11.25" customHeight="1" x14ac:dyDescent="0.25">
      <c r="A1229" s="4" t="s">
        <v>30</v>
      </c>
      <c r="B1229" s="4" t="s">
        <v>22</v>
      </c>
      <c r="C1229" s="4" t="s">
        <v>23</v>
      </c>
      <c r="D1229" s="4" t="s">
        <v>24</v>
      </c>
      <c r="E1229" s="4" t="s">
        <v>31</v>
      </c>
      <c r="F1229" s="4" t="s">
        <v>25</v>
      </c>
      <c r="G1229" s="4" t="s">
        <v>25</v>
      </c>
      <c r="H1229" s="4" t="s">
        <v>25</v>
      </c>
      <c r="I1229" s="5">
        <v>44774</v>
      </c>
      <c r="J1229" s="6">
        <v>0</v>
      </c>
      <c r="K1229" s="6">
        <v>0</v>
      </c>
      <c r="L1229" s="6">
        <v>0.624</v>
      </c>
      <c r="M1229" s="6">
        <v>0.624</v>
      </c>
      <c r="N1229" s="6">
        <v>0.624</v>
      </c>
      <c r="O1229" s="6">
        <v>0.624</v>
      </c>
      <c r="P1229" s="6">
        <v>1</v>
      </c>
      <c r="Q1229" s="4" t="s">
        <v>26</v>
      </c>
      <c r="R1229" s="4">
        <v>0</v>
      </c>
      <c r="S1229" s="4" t="s">
        <v>315</v>
      </c>
      <c r="T1229" s="4" t="s">
        <v>585</v>
      </c>
      <c r="U1229" s="4">
        <v>0</v>
      </c>
      <c r="V1229" s="4">
        <v>40</v>
      </c>
      <c r="W1229" s="4">
        <v>84</v>
      </c>
    </row>
    <row r="1230" spans="1:23" ht="11.25" customHeight="1" x14ac:dyDescent="0.25">
      <c r="A1230" s="4" t="s">
        <v>21</v>
      </c>
      <c r="B1230" s="4" t="s">
        <v>22</v>
      </c>
      <c r="C1230" s="4" t="s">
        <v>23</v>
      </c>
      <c r="D1230" s="4" t="s">
        <v>24</v>
      </c>
      <c r="E1230" s="4" t="s">
        <v>31</v>
      </c>
      <c r="F1230" s="4" t="s">
        <v>25</v>
      </c>
      <c r="G1230" s="4" t="s">
        <v>25</v>
      </c>
      <c r="H1230" s="4" t="s">
        <v>25</v>
      </c>
      <c r="I1230" s="5">
        <v>44805</v>
      </c>
      <c r="J1230" s="6">
        <v>0</v>
      </c>
      <c r="K1230" s="6">
        <v>0</v>
      </c>
      <c r="L1230" s="6">
        <v>1373.327</v>
      </c>
      <c r="M1230" s="6">
        <v>1373.327</v>
      </c>
      <c r="N1230" s="6">
        <v>1373.327</v>
      </c>
      <c r="O1230" s="6">
        <v>1373.327</v>
      </c>
      <c r="P1230" s="6">
        <v>2934</v>
      </c>
      <c r="Q1230" s="4" t="s">
        <v>26</v>
      </c>
      <c r="R1230" s="4">
        <v>0</v>
      </c>
      <c r="S1230" s="4" t="s">
        <v>316</v>
      </c>
      <c r="T1230" s="4" t="s">
        <v>586</v>
      </c>
      <c r="U1230" s="4">
        <v>0</v>
      </c>
      <c r="V1230" s="4">
        <v>40</v>
      </c>
      <c r="W1230" s="4">
        <v>84</v>
      </c>
    </row>
    <row r="1231" spans="1:23" ht="11.25" customHeight="1" x14ac:dyDescent="0.25">
      <c r="A1231" s="4" t="s">
        <v>27</v>
      </c>
      <c r="B1231" s="4" t="s">
        <v>22</v>
      </c>
      <c r="C1231" s="4" t="s">
        <v>23</v>
      </c>
      <c r="D1231" s="4" t="s">
        <v>24</v>
      </c>
      <c r="E1231" s="4" t="s">
        <v>31</v>
      </c>
      <c r="F1231" s="4" t="s">
        <v>25</v>
      </c>
      <c r="G1231" s="4" t="s">
        <v>25</v>
      </c>
      <c r="H1231" s="4" t="s">
        <v>25</v>
      </c>
      <c r="I1231" s="5">
        <v>44805</v>
      </c>
      <c r="J1231" s="6">
        <v>0</v>
      </c>
      <c r="K1231" s="6">
        <v>0</v>
      </c>
      <c r="L1231" s="6">
        <v>2.96</v>
      </c>
      <c r="M1231" s="6">
        <v>2.96</v>
      </c>
      <c r="N1231" s="6">
        <v>2.96</v>
      </c>
      <c r="O1231" s="6">
        <v>2.96</v>
      </c>
      <c r="P1231" s="6">
        <v>19</v>
      </c>
      <c r="Q1231" s="4" t="s">
        <v>26</v>
      </c>
      <c r="R1231" s="4">
        <v>0</v>
      </c>
      <c r="S1231" s="4" t="s">
        <v>316</v>
      </c>
      <c r="T1231" s="4" t="s">
        <v>586</v>
      </c>
      <c r="U1231" s="4">
        <v>0</v>
      </c>
      <c r="V1231" s="4">
        <v>40</v>
      </c>
      <c r="W1231" s="4">
        <v>84</v>
      </c>
    </row>
    <row r="1232" spans="1:23" ht="11.25" customHeight="1" x14ac:dyDescent="0.25">
      <c r="A1232" s="4" t="s">
        <v>28</v>
      </c>
      <c r="B1232" s="4" t="s">
        <v>22</v>
      </c>
      <c r="C1232" s="4" t="s">
        <v>23</v>
      </c>
      <c r="D1232" s="4" t="s">
        <v>24</v>
      </c>
      <c r="E1232" s="4" t="s">
        <v>31</v>
      </c>
      <c r="F1232" s="4" t="s">
        <v>25</v>
      </c>
      <c r="G1232" s="4" t="s">
        <v>25</v>
      </c>
      <c r="H1232" s="4" t="s">
        <v>25</v>
      </c>
      <c r="I1232" s="5">
        <v>44805</v>
      </c>
      <c r="J1232" s="6">
        <v>0</v>
      </c>
      <c r="K1232" s="6">
        <v>0</v>
      </c>
      <c r="L1232" s="6">
        <v>658.04600000000005</v>
      </c>
      <c r="M1232" s="6">
        <v>658.04600000000005</v>
      </c>
      <c r="N1232" s="6">
        <v>658.04600000000005</v>
      </c>
      <c r="O1232" s="6">
        <v>658.04600000000005</v>
      </c>
      <c r="P1232" s="6">
        <v>1671</v>
      </c>
      <c r="Q1232" s="4" t="s">
        <v>26</v>
      </c>
      <c r="R1232" s="4">
        <v>0</v>
      </c>
      <c r="S1232" s="4" t="s">
        <v>316</v>
      </c>
      <c r="T1232" s="4" t="s">
        <v>586</v>
      </c>
      <c r="U1232" s="4">
        <v>0</v>
      </c>
      <c r="V1232" s="4">
        <v>40</v>
      </c>
      <c r="W1232" s="4">
        <v>84</v>
      </c>
    </row>
    <row r="1233" spans="1:23" ht="11.25" customHeight="1" x14ac:dyDescent="0.25">
      <c r="A1233" s="4" t="s">
        <v>29</v>
      </c>
      <c r="B1233" s="4" t="s">
        <v>22</v>
      </c>
      <c r="C1233" s="4" t="s">
        <v>23</v>
      </c>
      <c r="D1233" s="4" t="s">
        <v>24</v>
      </c>
      <c r="E1233" s="4" t="s">
        <v>31</v>
      </c>
      <c r="F1233" s="4" t="s">
        <v>25</v>
      </c>
      <c r="G1233" s="4" t="s">
        <v>25</v>
      </c>
      <c r="H1233" s="4" t="s">
        <v>25</v>
      </c>
      <c r="I1233" s="5">
        <v>44805</v>
      </c>
      <c r="J1233" s="6">
        <v>0</v>
      </c>
      <c r="K1233" s="6">
        <v>0</v>
      </c>
      <c r="L1233" s="6">
        <v>-0.13900000000000001</v>
      </c>
      <c r="M1233" s="6">
        <v>-0.13900000000000001</v>
      </c>
      <c r="N1233" s="6">
        <v>-0.13900000000000001</v>
      </c>
      <c r="O1233" s="6">
        <v>-0.13900000000000001</v>
      </c>
      <c r="P1233" s="6">
        <v>2</v>
      </c>
      <c r="Q1233" s="4" t="s">
        <v>26</v>
      </c>
      <c r="R1233" s="4">
        <v>0</v>
      </c>
      <c r="S1233" s="4" t="s">
        <v>316</v>
      </c>
      <c r="T1233" s="4" t="s">
        <v>586</v>
      </c>
      <c r="U1233" s="4">
        <v>0</v>
      </c>
      <c r="V1233" s="4">
        <v>40</v>
      </c>
      <c r="W1233" s="4">
        <v>84</v>
      </c>
    </row>
    <row r="1234" spans="1:23" ht="11.25" customHeight="1" x14ac:dyDescent="0.25">
      <c r="A1234" s="4" t="s">
        <v>30</v>
      </c>
      <c r="B1234" s="4" t="s">
        <v>22</v>
      </c>
      <c r="C1234" s="4" t="s">
        <v>23</v>
      </c>
      <c r="D1234" s="4" t="s">
        <v>24</v>
      </c>
      <c r="E1234" s="4" t="s">
        <v>31</v>
      </c>
      <c r="F1234" s="4" t="s">
        <v>25</v>
      </c>
      <c r="G1234" s="4" t="s">
        <v>25</v>
      </c>
      <c r="H1234" s="4" t="s">
        <v>25</v>
      </c>
      <c r="I1234" s="5">
        <v>44805</v>
      </c>
      <c r="J1234" s="6">
        <v>0</v>
      </c>
      <c r="K1234" s="6">
        <v>0</v>
      </c>
      <c r="L1234" s="6">
        <v>1.86</v>
      </c>
      <c r="M1234" s="6">
        <v>1.86</v>
      </c>
      <c r="N1234" s="6">
        <v>1.86</v>
      </c>
      <c r="O1234" s="6">
        <v>1.86</v>
      </c>
      <c r="P1234" s="6">
        <v>0</v>
      </c>
      <c r="Q1234" s="4" t="s">
        <v>26</v>
      </c>
      <c r="R1234" s="4">
        <v>0</v>
      </c>
      <c r="S1234" s="4" t="s">
        <v>316</v>
      </c>
      <c r="T1234" s="4" t="s">
        <v>586</v>
      </c>
      <c r="U1234" s="4">
        <v>0</v>
      </c>
      <c r="V1234" s="4">
        <v>40</v>
      </c>
      <c r="W1234" s="4">
        <v>84</v>
      </c>
    </row>
    <row r="1235" spans="1:23" ht="11.25" customHeight="1" x14ac:dyDescent="0.25">
      <c r="A1235" s="4" t="s">
        <v>21</v>
      </c>
      <c r="B1235" s="4" t="s">
        <v>22</v>
      </c>
      <c r="C1235" s="4" t="s">
        <v>23</v>
      </c>
      <c r="D1235" s="4" t="s">
        <v>24</v>
      </c>
      <c r="E1235" s="4" t="s">
        <v>31</v>
      </c>
      <c r="F1235" s="4" t="s">
        <v>25</v>
      </c>
      <c r="G1235" s="4" t="s">
        <v>25</v>
      </c>
      <c r="H1235" s="4" t="s">
        <v>25</v>
      </c>
      <c r="I1235" s="5">
        <v>44835</v>
      </c>
      <c r="J1235" s="6">
        <v>0</v>
      </c>
      <c r="K1235" s="6">
        <v>0</v>
      </c>
      <c r="L1235" s="6">
        <v>1398.9880000000001</v>
      </c>
      <c r="M1235" s="6">
        <v>1398.9880000000001</v>
      </c>
      <c r="N1235" s="6">
        <v>1398.9880000000001</v>
      </c>
      <c r="O1235" s="6">
        <v>1398.9880000000001</v>
      </c>
      <c r="P1235" s="6">
        <v>2757</v>
      </c>
      <c r="Q1235" s="4" t="s">
        <v>26</v>
      </c>
      <c r="R1235" s="4">
        <v>0</v>
      </c>
      <c r="S1235" s="4" t="s">
        <v>317</v>
      </c>
      <c r="T1235" s="4" t="s">
        <v>587</v>
      </c>
      <c r="U1235" s="4">
        <v>0</v>
      </c>
      <c r="V1235" s="4">
        <v>40</v>
      </c>
      <c r="W1235" s="4">
        <v>84</v>
      </c>
    </row>
    <row r="1236" spans="1:23" ht="11.25" customHeight="1" x14ac:dyDescent="0.25">
      <c r="A1236" s="4" t="s">
        <v>27</v>
      </c>
      <c r="B1236" s="4" t="s">
        <v>22</v>
      </c>
      <c r="C1236" s="4" t="s">
        <v>23</v>
      </c>
      <c r="D1236" s="4" t="s">
        <v>24</v>
      </c>
      <c r="E1236" s="4" t="s">
        <v>31</v>
      </c>
      <c r="F1236" s="4" t="s">
        <v>25</v>
      </c>
      <c r="G1236" s="4" t="s">
        <v>25</v>
      </c>
      <c r="H1236" s="4" t="s">
        <v>25</v>
      </c>
      <c r="I1236" s="5">
        <v>44835</v>
      </c>
      <c r="J1236" s="6">
        <v>0</v>
      </c>
      <c r="K1236" s="6">
        <v>0</v>
      </c>
      <c r="L1236" s="6">
        <v>3.2320000000000002</v>
      </c>
      <c r="M1236" s="6">
        <v>3.2320000000000002</v>
      </c>
      <c r="N1236" s="6">
        <v>3.2320000000000002</v>
      </c>
      <c r="O1236" s="6">
        <v>3.2320000000000002</v>
      </c>
      <c r="P1236" s="6">
        <v>39</v>
      </c>
      <c r="Q1236" s="4" t="s">
        <v>26</v>
      </c>
      <c r="R1236" s="4">
        <v>0</v>
      </c>
      <c r="S1236" s="4" t="s">
        <v>317</v>
      </c>
      <c r="T1236" s="4" t="s">
        <v>587</v>
      </c>
      <c r="U1236" s="4">
        <v>0</v>
      </c>
      <c r="V1236" s="4">
        <v>40</v>
      </c>
      <c r="W1236" s="4">
        <v>84</v>
      </c>
    </row>
    <row r="1237" spans="1:23" ht="11.25" customHeight="1" x14ac:dyDescent="0.25">
      <c r="A1237" s="4" t="s">
        <v>28</v>
      </c>
      <c r="B1237" s="4" t="s">
        <v>22</v>
      </c>
      <c r="C1237" s="4" t="s">
        <v>23</v>
      </c>
      <c r="D1237" s="4" t="s">
        <v>24</v>
      </c>
      <c r="E1237" s="4" t="s">
        <v>31</v>
      </c>
      <c r="F1237" s="4" t="s">
        <v>25</v>
      </c>
      <c r="G1237" s="4" t="s">
        <v>25</v>
      </c>
      <c r="H1237" s="4" t="s">
        <v>25</v>
      </c>
      <c r="I1237" s="5">
        <v>44835</v>
      </c>
      <c r="J1237" s="6">
        <v>0</v>
      </c>
      <c r="K1237" s="6">
        <v>0</v>
      </c>
      <c r="L1237" s="6">
        <v>674.40800000000002</v>
      </c>
      <c r="M1237" s="6">
        <v>674.40800000000002</v>
      </c>
      <c r="N1237" s="6">
        <v>674.40800000000002</v>
      </c>
      <c r="O1237" s="6">
        <v>674.40800000000002</v>
      </c>
      <c r="P1237" s="6">
        <v>1569</v>
      </c>
      <c r="Q1237" s="4" t="s">
        <v>26</v>
      </c>
      <c r="R1237" s="4">
        <v>0</v>
      </c>
      <c r="S1237" s="4" t="s">
        <v>317</v>
      </c>
      <c r="T1237" s="4" t="s">
        <v>587</v>
      </c>
      <c r="U1237" s="4">
        <v>0</v>
      </c>
      <c r="V1237" s="4">
        <v>40</v>
      </c>
      <c r="W1237" s="4">
        <v>84</v>
      </c>
    </row>
    <row r="1238" spans="1:23" ht="11.25" customHeight="1" x14ac:dyDescent="0.25">
      <c r="A1238" s="4" t="s">
        <v>29</v>
      </c>
      <c r="B1238" s="4" t="s">
        <v>22</v>
      </c>
      <c r="C1238" s="4" t="s">
        <v>23</v>
      </c>
      <c r="D1238" s="4" t="s">
        <v>24</v>
      </c>
      <c r="E1238" s="4" t="s">
        <v>31</v>
      </c>
      <c r="F1238" s="4" t="s">
        <v>25</v>
      </c>
      <c r="G1238" s="4" t="s">
        <v>25</v>
      </c>
      <c r="H1238" s="4" t="s">
        <v>25</v>
      </c>
      <c r="I1238" s="5">
        <v>44835</v>
      </c>
      <c r="J1238" s="6">
        <v>0</v>
      </c>
      <c r="K1238" s="6">
        <v>0</v>
      </c>
      <c r="L1238" s="6">
        <v>0.439</v>
      </c>
      <c r="M1238" s="6">
        <v>0.439</v>
      </c>
      <c r="N1238" s="6">
        <v>0.439</v>
      </c>
      <c r="O1238" s="6">
        <v>0.439</v>
      </c>
      <c r="P1238" s="6">
        <v>49</v>
      </c>
      <c r="Q1238" s="4" t="s">
        <v>26</v>
      </c>
      <c r="R1238" s="4">
        <v>0</v>
      </c>
      <c r="S1238" s="4" t="s">
        <v>317</v>
      </c>
      <c r="T1238" s="4" t="s">
        <v>587</v>
      </c>
      <c r="U1238" s="4">
        <v>0</v>
      </c>
      <c r="V1238" s="4">
        <v>40</v>
      </c>
      <c r="W1238" s="4">
        <v>84</v>
      </c>
    </row>
    <row r="1239" spans="1:23" ht="11.25" customHeight="1" x14ac:dyDescent="0.25">
      <c r="A1239" s="4" t="s">
        <v>30</v>
      </c>
      <c r="B1239" s="4" t="s">
        <v>22</v>
      </c>
      <c r="C1239" s="4" t="s">
        <v>23</v>
      </c>
      <c r="D1239" s="4" t="s">
        <v>24</v>
      </c>
      <c r="E1239" s="4" t="s">
        <v>31</v>
      </c>
      <c r="F1239" s="4" t="s">
        <v>25</v>
      </c>
      <c r="G1239" s="4" t="s">
        <v>25</v>
      </c>
      <c r="H1239" s="4" t="s">
        <v>25</v>
      </c>
      <c r="I1239" s="5">
        <v>44835</v>
      </c>
      <c r="J1239" s="6">
        <v>0</v>
      </c>
      <c r="K1239" s="6">
        <v>0</v>
      </c>
      <c r="L1239" s="6">
        <v>1.95</v>
      </c>
      <c r="M1239" s="6">
        <v>1.95</v>
      </c>
      <c r="N1239" s="6">
        <v>1.95</v>
      </c>
      <c r="O1239" s="6">
        <v>1.95</v>
      </c>
      <c r="P1239" s="6">
        <v>0</v>
      </c>
      <c r="Q1239" s="4" t="s">
        <v>26</v>
      </c>
      <c r="R1239" s="4">
        <v>0</v>
      </c>
      <c r="S1239" s="4" t="s">
        <v>317</v>
      </c>
      <c r="T1239" s="4" t="s">
        <v>587</v>
      </c>
      <c r="U1239" s="4">
        <v>0</v>
      </c>
      <c r="V1239" s="4">
        <v>40</v>
      </c>
      <c r="W1239" s="4">
        <v>84</v>
      </c>
    </row>
    <row r="1240" spans="1:23" ht="11.25" customHeight="1" x14ac:dyDescent="0.25">
      <c r="A1240" s="4" t="s">
        <v>59</v>
      </c>
      <c r="B1240" s="4" t="s">
        <v>22</v>
      </c>
      <c r="C1240" s="4" t="s">
        <v>23</v>
      </c>
      <c r="D1240" s="4" t="s">
        <v>24</v>
      </c>
      <c r="E1240" s="4" t="s">
        <v>31</v>
      </c>
      <c r="F1240" s="4" t="s">
        <v>25</v>
      </c>
      <c r="G1240" s="4" t="s">
        <v>25</v>
      </c>
      <c r="H1240" s="4" t="s">
        <v>25</v>
      </c>
      <c r="I1240" s="5">
        <v>44866</v>
      </c>
      <c r="J1240" s="6">
        <v>0</v>
      </c>
      <c r="K1240" s="6">
        <v>0</v>
      </c>
      <c r="L1240" s="6">
        <v>1398.9880000000001</v>
      </c>
      <c r="M1240" s="6">
        <v>1398.9880000000001</v>
      </c>
      <c r="N1240" s="6">
        <v>1398.9880000000001</v>
      </c>
      <c r="O1240" s="6">
        <v>1398.9880000000001</v>
      </c>
      <c r="P1240" s="6">
        <v>2757</v>
      </c>
      <c r="Q1240" s="4" t="s">
        <v>26</v>
      </c>
      <c r="R1240" s="4">
        <v>0</v>
      </c>
      <c r="S1240" s="4" t="s">
        <v>318</v>
      </c>
      <c r="T1240" s="4" t="s">
        <v>588</v>
      </c>
      <c r="U1240" s="4">
        <v>0</v>
      </c>
      <c r="V1240" s="4">
        <v>40</v>
      </c>
      <c r="W1240" s="4">
        <v>84</v>
      </c>
    </row>
    <row r="1241" spans="1:23" ht="11.25" customHeight="1" x14ac:dyDescent="0.25">
      <c r="A1241" s="4" t="s">
        <v>59</v>
      </c>
      <c r="B1241" s="4" t="s">
        <v>22</v>
      </c>
      <c r="C1241" s="4" t="s">
        <v>23</v>
      </c>
      <c r="D1241" s="4" t="s">
        <v>24</v>
      </c>
      <c r="E1241" s="4" t="s">
        <v>31</v>
      </c>
      <c r="F1241" s="4" t="s">
        <v>25</v>
      </c>
      <c r="G1241" s="4" t="s">
        <v>25</v>
      </c>
      <c r="H1241" s="4" t="s">
        <v>25</v>
      </c>
      <c r="I1241" s="5">
        <v>44866</v>
      </c>
      <c r="J1241" s="6">
        <v>0</v>
      </c>
      <c r="K1241" s="6">
        <v>0</v>
      </c>
      <c r="L1241" s="6">
        <v>3.2320000000000002</v>
      </c>
      <c r="M1241" s="6">
        <v>3.2320000000000002</v>
      </c>
      <c r="N1241" s="6">
        <v>3.2320000000000002</v>
      </c>
      <c r="O1241" s="6">
        <v>3.2320000000000002</v>
      </c>
      <c r="P1241" s="6">
        <v>39</v>
      </c>
      <c r="Q1241" s="4" t="s">
        <v>26</v>
      </c>
      <c r="R1241" s="4">
        <v>0</v>
      </c>
      <c r="S1241" s="4" t="s">
        <v>318</v>
      </c>
      <c r="T1241" s="4" t="s">
        <v>588</v>
      </c>
      <c r="U1241" s="4">
        <v>0</v>
      </c>
      <c r="V1241" s="4">
        <v>40</v>
      </c>
      <c r="W1241" s="4">
        <v>84</v>
      </c>
    </row>
    <row r="1242" spans="1:23" ht="11.25" customHeight="1" x14ac:dyDescent="0.25">
      <c r="A1242" s="4" t="s">
        <v>59</v>
      </c>
      <c r="B1242" s="4" t="s">
        <v>22</v>
      </c>
      <c r="C1242" s="4" t="s">
        <v>23</v>
      </c>
      <c r="D1242" s="4" t="s">
        <v>24</v>
      </c>
      <c r="E1242" s="4" t="s">
        <v>31</v>
      </c>
      <c r="F1242" s="4" t="s">
        <v>25</v>
      </c>
      <c r="G1242" s="4" t="s">
        <v>25</v>
      </c>
      <c r="H1242" s="4" t="s">
        <v>25</v>
      </c>
      <c r="I1242" s="5">
        <v>44866</v>
      </c>
      <c r="J1242" s="6">
        <v>0</v>
      </c>
      <c r="K1242" s="6">
        <v>0</v>
      </c>
      <c r="L1242" s="6">
        <v>674.40800000000002</v>
      </c>
      <c r="M1242" s="6">
        <v>674.40800000000002</v>
      </c>
      <c r="N1242" s="6">
        <v>674.40800000000002</v>
      </c>
      <c r="O1242" s="6">
        <v>674.40800000000002</v>
      </c>
      <c r="P1242" s="6">
        <v>1569</v>
      </c>
      <c r="Q1242" s="4" t="s">
        <v>26</v>
      </c>
      <c r="R1242" s="4">
        <v>0</v>
      </c>
      <c r="S1242" s="4" t="s">
        <v>318</v>
      </c>
      <c r="T1242" s="4" t="s">
        <v>588</v>
      </c>
      <c r="U1242" s="4">
        <v>0</v>
      </c>
      <c r="V1242" s="4">
        <v>40</v>
      </c>
      <c r="W1242" s="4">
        <v>84</v>
      </c>
    </row>
    <row r="1243" spans="1:23" ht="11.25" customHeight="1" x14ac:dyDescent="0.25">
      <c r="A1243" s="4" t="s">
        <v>59</v>
      </c>
      <c r="B1243" s="4" t="s">
        <v>22</v>
      </c>
      <c r="C1243" s="4" t="s">
        <v>23</v>
      </c>
      <c r="D1243" s="4" t="s">
        <v>24</v>
      </c>
      <c r="E1243" s="4" t="s">
        <v>31</v>
      </c>
      <c r="F1243" s="4" t="s">
        <v>25</v>
      </c>
      <c r="G1243" s="4" t="s">
        <v>25</v>
      </c>
      <c r="H1243" s="4" t="s">
        <v>25</v>
      </c>
      <c r="I1243" s="5">
        <v>44866</v>
      </c>
      <c r="J1243" s="6">
        <v>0</v>
      </c>
      <c r="K1243" s="6">
        <v>0</v>
      </c>
      <c r="L1243" s="6">
        <v>0.439</v>
      </c>
      <c r="M1243" s="6">
        <v>0.439</v>
      </c>
      <c r="N1243" s="6">
        <v>0.439</v>
      </c>
      <c r="O1243" s="6">
        <v>0.439</v>
      </c>
      <c r="P1243" s="6">
        <v>49</v>
      </c>
      <c r="Q1243" s="4" t="s">
        <v>26</v>
      </c>
      <c r="R1243" s="4">
        <v>0</v>
      </c>
      <c r="S1243" s="4" t="s">
        <v>318</v>
      </c>
      <c r="T1243" s="4" t="s">
        <v>588</v>
      </c>
      <c r="U1243" s="4">
        <v>0</v>
      </c>
      <c r="V1243" s="4">
        <v>40</v>
      </c>
      <c r="W1243" s="4">
        <v>84</v>
      </c>
    </row>
    <row r="1244" spans="1:23" ht="11.25" customHeight="1" x14ac:dyDescent="0.25">
      <c r="A1244" s="4" t="s">
        <v>59</v>
      </c>
      <c r="B1244" s="4" t="s">
        <v>22</v>
      </c>
      <c r="C1244" s="4" t="s">
        <v>23</v>
      </c>
      <c r="D1244" s="4" t="s">
        <v>24</v>
      </c>
      <c r="E1244" s="4" t="s">
        <v>31</v>
      </c>
      <c r="F1244" s="4" t="s">
        <v>25</v>
      </c>
      <c r="G1244" s="4" t="s">
        <v>25</v>
      </c>
      <c r="H1244" s="4" t="s">
        <v>25</v>
      </c>
      <c r="I1244" s="5">
        <v>44866</v>
      </c>
      <c r="J1244" s="6">
        <v>0</v>
      </c>
      <c r="K1244" s="6">
        <v>0</v>
      </c>
      <c r="L1244" s="6">
        <v>1.95</v>
      </c>
      <c r="M1244" s="6">
        <v>1.95</v>
      </c>
      <c r="N1244" s="6">
        <v>1.95</v>
      </c>
      <c r="O1244" s="6">
        <v>1.95</v>
      </c>
      <c r="P1244" s="6">
        <v>0</v>
      </c>
      <c r="Q1244" s="4" t="s">
        <v>26</v>
      </c>
      <c r="R1244" s="4">
        <v>0</v>
      </c>
      <c r="S1244" s="4" t="s">
        <v>318</v>
      </c>
      <c r="T1244" s="4" t="s">
        <v>588</v>
      </c>
      <c r="U1244" s="4">
        <v>0</v>
      </c>
      <c r="V1244" s="4">
        <v>40</v>
      </c>
      <c r="W1244" s="4">
        <v>84</v>
      </c>
    </row>
    <row r="1245" spans="1:23" ht="11.25" customHeight="1" x14ac:dyDescent="0.25">
      <c r="A1245" s="4" t="s">
        <v>21</v>
      </c>
      <c r="B1245" s="4" t="s">
        <v>22</v>
      </c>
      <c r="C1245" s="4" t="s">
        <v>23</v>
      </c>
      <c r="D1245" s="4" t="s">
        <v>24</v>
      </c>
      <c r="E1245" s="4" t="s">
        <v>32</v>
      </c>
      <c r="F1245" s="4" t="s">
        <v>25</v>
      </c>
      <c r="G1245" s="4" t="s">
        <v>25</v>
      </c>
      <c r="H1245" s="4" t="s">
        <v>25</v>
      </c>
      <c r="I1245" s="5">
        <v>44531</v>
      </c>
      <c r="J1245" s="6">
        <v>0</v>
      </c>
      <c r="K1245" s="6">
        <v>0</v>
      </c>
      <c r="L1245" s="6">
        <v>2133.8649999999998</v>
      </c>
      <c r="M1245" s="6">
        <v>2133.8649999999998</v>
      </c>
      <c r="N1245" s="6">
        <v>2133.8649999999998</v>
      </c>
      <c r="O1245" s="6">
        <v>2133.8649999999998</v>
      </c>
      <c r="P1245" s="6">
        <v>8045</v>
      </c>
      <c r="Q1245" s="4" t="s">
        <v>26</v>
      </c>
      <c r="R1245" s="4">
        <v>0</v>
      </c>
      <c r="S1245" s="4" t="s">
        <v>319</v>
      </c>
      <c r="T1245" s="4" t="s">
        <v>589</v>
      </c>
      <c r="U1245" s="4">
        <v>0</v>
      </c>
      <c r="V1245" s="4">
        <v>41</v>
      </c>
      <c r="W1245" s="4">
        <v>85</v>
      </c>
    </row>
    <row r="1246" spans="1:23" ht="11.25" customHeight="1" x14ac:dyDescent="0.25">
      <c r="A1246" s="4" t="s">
        <v>27</v>
      </c>
      <c r="B1246" s="4" t="s">
        <v>22</v>
      </c>
      <c r="C1246" s="4" t="s">
        <v>23</v>
      </c>
      <c r="D1246" s="4" t="s">
        <v>24</v>
      </c>
      <c r="E1246" s="4" t="s">
        <v>32</v>
      </c>
      <c r="F1246" s="4" t="s">
        <v>25</v>
      </c>
      <c r="G1246" s="4" t="s">
        <v>25</v>
      </c>
      <c r="H1246" s="4" t="s">
        <v>25</v>
      </c>
      <c r="I1246" s="5">
        <v>44531</v>
      </c>
      <c r="J1246" s="6">
        <v>0</v>
      </c>
      <c r="K1246" s="6">
        <v>0</v>
      </c>
      <c r="L1246" s="6">
        <v>-29.978000000000002</v>
      </c>
      <c r="M1246" s="6">
        <v>-29.978000000000002</v>
      </c>
      <c r="N1246" s="6">
        <v>-29.978000000000002</v>
      </c>
      <c r="O1246" s="6">
        <v>-29.978000000000002</v>
      </c>
      <c r="P1246" s="6">
        <v>-33</v>
      </c>
      <c r="Q1246" s="4" t="s">
        <v>26</v>
      </c>
      <c r="R1246" s="4">
        <v>0</v>
      </c>
      <c r="S1246" s="4" t="s">
        <v>319</v>
      </c>
      <c r="T1246" s="4" t="s">
        <v>589</v>
      </c>
      <c r="U1246" s="4">
        <v>0</v>
      </c>
      <c r="V1246" s="4">
        <v>41</v>
      </c>
      <c r="W1246" s="4">
        <v>85</v>
      </c>
    </row>
    <row r="1247" spans="1:23" ht="11.25" customHeight="1" x14ac:dyDescent="0.25">
      <c r="A1247" s="4" t="s">
        <v>28</v>
      </c>
      <c r="B1247" s="4" t="s">
        <v>22</v>
      </c>
      <c r="C1247" s="4" t="s">
        <v>23</v>
      </c>
      <c r="D1247" s="4" t="s">
        <v>24</v>
      </c>
      <c r="E1247" s="4" t="s">
        <v>32</v>
      </c>
      <c r="F1247" s="4" t="s">
        <v>25</v>
      </c>
      <c r="G1247" s="4" t="s">
        <v>25</v>
      </c>
      <c r="H1247" s="4" t="s">
        <v>25</v>
      </c>
      <c r="I1247" s="5">
        <v>44531</v>
      </c>
      <c r="J1247" s="6">
        <v>0</v>
      </c>
      <c r="K1247" s="6">
        <v>0</v>
      </c>
      <c r="L1247" s="6">
        <v>1049.431</v>
      </c>
      <c r="M1247" s="6">
        <v>1049.431</v>
      </c>
      <c r="N1247" s="6">
        <v>1049.431</v>
      </c>
      <c r="O1247" s="6">
        <v>1049.431</v>
      </c>
      <c r="P1247" s="6">
        <v>6694</v>
      </c>
      <c r="Q1247" s="4" t="s">
        <v>26</v>
      </c>
      <c r="R1247" s="4">
        <v>0</v>
      </c>
      <c r="S1247" s="4" t="s">
        <v>319</v>
      </c>
      <c r="T1247" s="4" t="s">
        <v>589</v>
      </c>
      <c r="U1247" s="4">
        <v>0</v>
      </c>
      <c r="V1247" s="4">
        <v>41</v>
      </c>
      <c r="W1247" s="4">
        <v>85</v>
      </c>
    </row>
    <row r="1248" spans="1:23" ht="11.25" customHeight="1" x14ac:dyDescent="0.25">
      <c r="A1248" s="4" t="s">
        <v>29</v>
      </c>
      <c r="B1248" s="4" t="s">
        <v>22</v>
      </c>
      <c r="C1248" s="4" t="s">
        <v>23</v>
      </c>
      <c r="D1248" s="4" t="s">
        <v>24</v>
      </c>
      <c r="E1248" s="4" t="s">
        <v>32</v>
      </c>
      <c r="F1248" s="4" t="s">
        <v>25</v>
      </c>
      <c r="G1248" s="4" t="s">
        <v>25</v>
      </c>
      <c r="H1248" s="4" t="s">
        <v>25</v>
      </c>
      <c r="I1248" s="5">
        <v>44531</v>
      </c>
      <c r="J1248" s="6">
        <v>0</v>
      </c>
      <c r="K1248" s="6">
        <v>0</v>
      </c>
      <c r="L1248" s="6">
        <v>-1.8089999999999999</v>
      </c>
      <c r="M1248" s="6">
        <v>-1.8089999999999999</v>
      </c>
      <c r="N1248" s="6">
        <v>-1.8089999999999999</v>
      </c>
      <c r="O1248" s="6">
        <v>-1.8089999999999999</v>
      </c>
      <c r="P1248" s="6">
        <v>-34</v>
      </c>
      <c r="Q1248" s="4" t="s">
        <v>26</v>
      </c>
      <c r="R1248" s="4">
        <v>0</v>
      </c>
      <c r="S1248" s="4" t="s">
        <v>319</v>
      </c>
      <c r="T1248" s="4" t="s">
        <v>589</v>
      </c>
      <c r="U1248" s="4">
        <v>0</v>
      </c>
      <c r="V1248" s="4">
        <v>41</v>
      </c>
      <c r="W1248" s="4">
        <v>85</v>
      </c>
    </row>
    <row r="1249" spans="1:23" ht="11.25" customHeight="1" x14ac:dyDescent="0.25">
      <c r="A1249" s="4" t="s">
        <v>30</v>
      </c>
      <c r="B1249" s="4" t="s">
        <v>22</v>
      </c>
      <c r="C1249" s="4" t="s">
        <v>23</v>
      </c>
      <c r="D1249" s="4" t="s">
        <v>24</v>
      </c>
      <c r="E1249" s="4" t="s">
        <v>32</v>
      </c>
      <c r="F1249" s="4" t="s">
        <v>25</v>
      </c>
      <c r="G1249" s="4" t="s">
        <v>25</v>
      </c>
      <c r="H1249" s="4" t="s">
        <v>25</v>
      </c>
      <c r="I1249" s="5">
        <v>44531</v>
      </c>
      <c r="J1249" s="6">
        <v>0</v>
      </c>
      <c r="K1249" s="6">
        <v>0</v>
      </c>
      <c r="L1249" s="6">
        <v>1.46</v>
      </c>
      <c r="M1249" s="6">
        <v>1.46</v>
      </c>
      <c r="N1249" s="6">
        <v>1.46</v>
      </c>
      <c r="O1249" s="6">
        <v>1.46</v>
      </c>
      <c r="P1249" s="6">
        <v>0</v>
      </c>
      <c r="Q1249" s="4" t="s">
        <v>26</v>
      </c>
      <c r="R1249" s="4">
        <v>0</v>
      </c>
      <c r="S1249" s="4" t="s">
        <v>319</v>
      </c>
      <c r="T1249" s="4" t="s">
        <v>589</v>
      </c>
      <c r="U1249" s="4">
        <v>0</v>
      </c>
      <c r="V1249" s="4">
        <v>41</v>
      </c>
      <c r="W1249" s="4">
        <v>85</v>
      </c>
    </row>
    <row r="1250" spans="1:23" ht="11.25" customHeight="1" x14ac:dyDescent="0.25">
      <c r="A1250" s="4" t="s">
        <v>30</v>
      </c>
      <c r="B1250" s="4" t="s">
        <v>22</v>
      </c>
      <c r="C1250" s="4" t="s">
        <v>23</v>
      </c>
      <c r="D1250" s="4" t="s">
        <v>24</v>
      </c>
      <c r="E1250" s="4" t="s">
        <v>32</v>
      </c>
      <c r="F1250" s="4" t="s">
        <v>25</v>
      </c>
      <c r="G1250" s="4" t="s">
        <v>25</v>
      </c>
      <c r="H1250" s="4" t="s">
        <v>25</v>
      </c>
      <c r="I1250" s="5">
        <v>44531</v>
      </c>
      <c r="J1250" s="6">
        <v>0</v>
      </c>
      <c r="K1250" s="6">
        <v>0</v>
      </c>
      <c r="L1250" s="6">
        <v>-7.0000000000000007E-2</v>
      </c>
      <c r="M1250" s="6">
        <v>-7.0000000000000007E-2</v>
      </c>
      <c r="N1250" s="6">
        <v>-7.0000000000000007E-2</v>
      </c>
      <c r="O1250" s="6">
        <v>-7.0000000000000007E-2</v>
      </c>
      <c r="P1250" s="6">
        <v>0</v>
      </c>
      <c r="Q1250" s="4" t="s">
        <v>26</v>
      </c>
      <c r="R1250" s="4">
        <v>0</v>
      </c>
      <c r="S1250" s="4" t="s">
        <v>319</v>
      </c>
      <c r="T1250" s="4" t="s">
        <v>589</v>
      </c>
      <c r="U1250" s="4">
        <v>0</v>
      </c>
      <c r="V1250" s="4">
        <v>41</v>
      </c>
      <c r="W1250" s="4">
        <v>85</v>
      </c>
    </row>
    <row r="1251" spans="1:23" ht="11.25" customHeight="1" x14ac:dyDescent="0.25">
      <c r="A1251" s="4" t="s">
        <v>21</v>
      </c>
      <c r="B1251" s="4" t="s">
        <v>22</v>
      </c>
      <c r="C1251" s="4" t="s">
        <v>23</v>
      </c>
      <c r="D1251" s="4" t="s">
        <v>24</v>
      </c>
      <c r="E1251" s="4" t="s">
        <v>32</v>
      </c>
      <c r="F1251" s="4" t="s">
        <v>25</v>
      </c>
      <c r="G1251" s="4" t="s">
        <v>25</v>
      </c>
      <c r="H1251" s="4" t="s">
        <v>25</v>
      </c>
      <c r="I1251" s="5">
        <v>44562</v>
      </c>
      <c r="J1251" s="6">
        <v>0</v>
      </c>
      <c r="K1251" s="6">
        <v>0</v>
      </c>
      <c r="L1251" s="6">
        <v>2159.6320000000001</v>
      </c>
      <c r="M1251" s="6">
        <v>2159.6320000000001</v>
      </c>
      <c r="N1251" s="6">
        <v>2159.6320000000001</v>
      </c>
      <c r="O1251" s="6">
        <v>2159.6320000000001</v>
      </c>
      <c r="P1251" s="6">
        <v>8160</v>
      </c>
      <c r="Q1251" s="4" t="s">
        <v>26</v>
      </c>
      <c r="R1251" s="4">
        <v>0</v>
      </c>
      <c r="S1251" s="4" t="s">
        <v>320</v>
      </c>
      <c r="T1251" s="4" t="s">
        <v>590</v>
      </c>
      <c r="U1251" s="4">
        <v>0</v>
      </c>
      <c r="V1251" s="4">
        <v>41</v>
      </c>
      <c r="W1251" s="4">
        <v>85</v>
      </c>
    </row>
    <row r="1252" spans="1:23" ht="11.25" customHeight="1" x14ac:dyDescent="0.25">
      <c r="A1252" s="4" t="s">
        <v>27</v>
      </c>
      <c r="B1252" s="4" t="s">
        <v>22</v>
      </c>
      <c r="C1252" s="4" t="s">
        <v>23</v>
      </c>
      <c r="D1252" s="4" t="s">
        <v>24</v>
      </c>
      <c r="E1252" s="4" t="s">
        <v>32</v>
      </c>
      <c r="F1252" s="4" t="s">
        <v>25</v>
      </c>
      <c r="G1252" s="4" t="s">
        <v>25</v>
      </c>
      <c r="H1252" s="4" t="s">
        <v>25</v>
      </c>
      <c r="I1252" s="5">
        <v>44562</v>
      </c>
      <c r="J1252" s="6">
        <v>0</v>
      </c>
      <c r="K1252" s="6">
        <v>0</v>
      </c>
      <c r="L1252" s="6">
        <v>-11.404</v>
      </c>
      <c r="M1252" s="6">
        <v>-11.404</v>
      </c>
      <c r="N1252" s="6">
        <v>-11.404</v>
      </c>
      <c r="O1252" s="6">
        <v>-11.404</v>
      </c>
      <c r="P1252" s="6">
        <v>-36</v>
      </c>
      <c r="Q1252" s="4" t="s">
        <v>26</v>
      </c>
      <c r="R1252" s="4">
        <v>0</v>
      </c>
      <c r="S1252" s="4" t="s">
        <v>320</v>
      </c>
      <c r="T1252" s="4" t="s">
        <v>590</v>
      </c>
      <c r="U1252" s="4">
        <v>0</v>
      </c>
      <c r="V1252" s="4">
        <v>41</v>
      </c>
      <c r="W1252" s="4">
        <v>85</v>
      </c>
    </row>
    <row r="1253" spans="1:23" ht="11.25" customHeight="1" x14ac:dyDescent="0.25">
      <c r="A1253" s="4" t="s">
        <v>28</v>
      </c>
      <c r="B1253" s="4" t="s">
        <v>22</v>
      </c>
      <c r="C1253" s="4" t="s">
        <v>23</v>
      </c>
      <c r="D1253" s="4" t="s">
        <v>24</v>
      </c>
      <c r="E1253" s="4" t="s">
        <v>32</v>
      </c>
      <c r="F1253" s="4" t="s">
        <v>25</v>
      </c>
      <c r="G1253" s="4" t="s">
        <v>25</v>
      </c>
      <c r="H1253" s="4" t="s">
        <v>25</v>
      </c>
      <c r="I1253" s="5">
        <v>44562</v>
      </c>
      <c r="J1253" s="6">
        <v>0</v>
      </c>
      <c r="K1253" s="6">
        <v>0</v>
      </c>
      <c r="L1253" s="6">
        <v>1060.7249999999999</v>
      </c>
      <c r="M1253" s="6">
        <v>1060.7249999999999</v>
      </c>
      <c r="N1253" s="6">
        <v>1060.7249999999999</v>
      </c>
      <c r="O1253" s="6">
        <v>1060.7249999999999</v>
      </c>
      <c r="P1253" s="6">
        <v>6694</v>
      </c>
      <c r="Q1253" s="4" t="s">
        <v>26</v>
      </c>
      <c r="R1253" s="4">
        <v>0</v>
      </c>
      <c r="S1253" s="4" t="s">
        <v>320</v>
      </c>
      <c r="T1253" s="4" t="s">
        <v>590</v>
      </c>
      <c r="U1253" s="4">
        <v>0</v>
      </c>
      <c r="V1253" s="4">
        <v>41</v>
      </c>
      <c r="W1253" s="4">
        <v>85</v>
      </c>
    </row>
    <row r="1254" spans="1:23" ht="11.25" customHeight="1" x14ac:dyDescent="0.25">
      <c r="A1254" s="4" t="s">
        <v>29</v>
      </c>
      <c r="B1254" s="4" t="s">
        <v>22</v>
      </c>
      <c r="C1254" s="4" t="s">
        <v>23</v>
      </c>
      <c r="D1254" s="4" t="s">
        <v>24</v>
      </c>
      <c r="E1254" s="4" t="s">
        <v>32</v>
      </c>
      <c r="F1254" s="4" t="s">
        <v>25</v>
      </c>
      <c r="G1254" s="4" t="s">
        <v>25</v>
      </c>
      <c r="H1254" s="4" t="s">
        <v>25</v>
      </c>
      <c r="I1254" s="5">
        <v>44562</v>
      </c>
      <c r="J1254" s="6">
        <v>0</v>
      </c>
      <c r="K1254" s="6">
        <v>0</v>
      </c>
      <c r="L1254" s="6">
        <v>-2.4180000000000001</v>
      </c>
      <c r="M1254" s="6">
        <v>-2.4180000000000001</v>
      </c>
      <c r="N1254" s="6">
        <v>-2.4180000000000001</v>
      </c>
      <c r="O1254" s="6">
        <v>-2.4180000000000001</v>
      </c>
      <c r="P1254" s="6">
        <v>-37</v>
      </c>
      <c r="Q1254" s="4" t="s">
        <v>26</v>
      </c>
      <c r="R1254" s="4">
        <v>0</v>
      </c>
      <c r="S1254" s="4" t="s">
        <v>320</v>
      </c>
      <c r="T1254" s="4" t="s">
        <v>590</v>
      </c>
      <c r="U1254" s="4">
        <v>0</v>
      </c>
      <c r="V1254" s="4">
        <v>41</v>
      </c>
      <c r="W1254" s="4">
        <v>85</v>
      </c>
    </row>
    <row r="1255" spans="1:23" ht="11.25" customHeight="1" x14ac:dyDescent="0.25">
      <c r="A1255" s="4" t="s">
        <v>30</v>
      </c>
      <c r="B1255" s="4" t="s">
        <v>22</v>
      </c>
      <c r="C1255" s="4" t="s">
        <v>23</v>
      </c>
      <c r="D1255" s="4" t="s">
        <v>24</v>
      </c>
      <c r="E1255" s="4" t="s">
        <v>32</v>
      </c>
      <c r="F1255" s="4" t="s">
        <v>25</v>
      </c>
      <c r="G1255" s="4" t="s">
        <v>25</v>
      </c>
      <c r="H1255" s="4" t="s">
        <v>25</v>
      </c>
      <c r="I1255" s="5">
        <v>44562</v>
      </c>
      <c r="J1255" s="6">
        <v>0</v>
      </c>
      <c r="K1255" s="6">
        <v>0</v>
      </c>
      <c r="L1255" s="6">
        <v>1.5229999999999999</v>
      </c>
      <c r="M1255" s="6">
        <v>1.5229999999999999</v>
      </c>
      <c r="N1255" s="6">
        <v>1.5229999999999999</v>
      </c>
      <c r="O1255" s="6">
        <v>1.5229999999999999</v>
      </c>
      <c r="P1255" s="6">
        <v>0</v>
      </c>
      <c r="Q1255" s="4" t="s">
        <v>26</v>
      </c>
      <c r="R1255" s="4">
        <v>0</v>
      </c>
      <c r="S1255" s="4" t="s">
        <v>320</v>
      </c>
      <c r="T1255" s="4" t="s">
        <v>590</v>
      </c>
      <c r="U1255" s="4">
        <v>0</v>
      </c>
      <c r="V1255" s="4">
        <v>41</v>
      </c>
      <c r="W1255" s="4">
        <v>85</v>
      </c>
    </row>
    <row r="1256" spans="1:23" ht="11.25" customHeight="1" x14ac:dyDescent="0.25">
      <c r="A1256" s="4" t="s">
        <v>30</v>
      </c>
      <c r="B1256" s="4" t="s">
        <v>22</v>
      </c>
      <c r="C1256" s="4" t="s">
        <v>23</v>
      </c>
      <c r="D1256" s="4" t="s">
        <v>24</v>
      </c>
      <c r="E1256" s="4" t="s">
        <v>32</v>
      </c>
      <c r="F1256" s="4" t="s">
        <v>25</v>
      </c>
      <c r="G1256" s="4" t="s">
        <v>25</v>
      </c>
      <c r="H1256" s="4" t="s">
        <v>25</v>
      </c>
      <c r="I1256" s="5">
        <v>44562</v>
      </c>
      <c r="J1256" s="6">
        <v>0</v>
      </c>
      <c r="K1256" s="6">
        <v>0</v>
      </c>
      <c r="L1256" s="6">
        <v>-7.0000000000000007E-2</v>
      </c>
      <c r="M1256" s="6">
        <v>-7.0000000000000007E-2</v>
      </c>
      <c r="N1256" s="6">
        <v>-7.0000000000000007E-2</v>
      </c>
      <c r="O1256" s="6">
        <v>-7.0000000000000007E-2</v>
      </c>
      <c r="P1256" s="6">
        <v>0</v>
      </c>
      <c r="Q1256" s="4" t="s">
        <v>26</v>
      </c>
      <c r="R1256" s="4">
        <v>0</v>
      </c>
      <c r="S1256" s="4" t="s">
        <v>320</v>
      </c>
      <c r="T1256" s="4" t="s">
        <v>590</v>
      </c>
      <c r="U1256" s="4">
        <v>0</v>
      </c>
      <c r="V1256" s="4">
        <v>41</v>
      </c>
      <c r="W1256" s="4">
        <v>85</v>
      </c>
    </row>
    <row r="1257" spans="1:23" ht="11.25" customHeight="1" x14ac:dyDescent="0.25">
      <c r="A1257" s="4" t="s">
        <v>21</v>
      </c>
      <c r="B1257" s="4" t="s">
        <v>22</v>
      </c>
      <c r="C1257" s="4" t="s">
        <v>23</v>
      </c>
      <c r="D1257" s="4" t="s">
        <v>24</v>
      </c>
      <c r="E1257" s="4" t="s">
        <v>32</v>
      </c>
      <c r="F1257" s="4" t="s">
        <v>25</v>
      </c>
      <c r="G1257" s="4" t="s">
        <v>25</v>
      </c>
      <c r="H1257" s="4" t="s">
        <v>25</v>
      </c>
      <c r="I1257" s="5">
        <v>44593</v>
      </c>
      <c r="J1257" s="6">
        <v>0</v>
      </c>
      <c r="K1257" s="6">
        <v>0</v>
      </c>
      <c r="L1257" s="6">
        <v>2301.9749999999999</v>
      </c>
      <c r="M1257" s="6">
        <v>2301.9749999999999</v>
      </c>
      <c r="N1257" s="6">
        <v>2301.9749999999999</v>
      </c>
      <c r="O1257" s="6">
        <v>2301.9749999999999</v>
      </c>
      <c r="P1257" s="6">
        <v>10619</v>
      </c>
      <c r="Q1257" s="4" t="s">
        <v>26</v>
      </c>
      <c r="R1257" s="4">
        <v>0</v>
      </c>
      <c r="S1257" s="4" t="s">
        <v>321</v>
      </c>
      <c r="T1257" s="4" t="s">
        <v>591</v>
      </c>
      <c r="U1257" s="4">
        <v>0</v>
      </c>
      <c r="V1257" s="4">
        <v>41</v>
      </c>
      <c r="W1257" s="4">
        <v>85</v>
      </c>
    </row>
    <row r="1258" spans="1:23" ht="11.25" customHeight="1" x14ac:dyDescent="0.25">
      <c r="A1258" s="4" t="s">
        <v>27</v>
      </c>
      <c r="B1258" s="4" t="s">
        <v>22</v>
      </c>
      <c r="C1258" s="4" t="s">
        <v>23</v>
      </c>
      <c r="D1258" s="4" t="s">
        <v>24</v>
      </c>
      <c r="E1258" s="4" t="s">
        <v>32</v>
      </c>
      <c r="F1258" s="4" t="s">
        <v>25</v>
      </c>
      <c r="G1258" s="4" t="s">
        <v>25</v>
      </c>
      <c r="H1258" s="4" t="s">
        <v>25</v>
      </c>
      <c r="I1258" s="5">
        <v>44593</v>
      </c>
      <c r="J1258" s="6">
        <v>0</v>
      </c>
      <c r="K1258" s="6">
        <v>0</v>
      </c>
      <c r="L1258" s="6">
        <v>-11.833</v>
      </c>
      <c r="M1258" s="6">
        <v>-11.833</v>
      </c>
      <c r="N1258" s="6">
        <v>-11.833</v>
      </c>
      <c r="O1258" s="6">
        <v>-11.833</v>
      </c>
      <c r="P1258" s="6">
        <v>-11</v>
      </c>
      <c r="Q1258" s="4" t="s">
        <v>26</v>
      </c>
      <c r="R1258" s="4">
        <v>0</v>
      </c>
      <c r="S1258" s="4" t="s">
        <v>321</v>
      </c>
      <c r="T1258" s="4" t="s">
        <v>591</v>
      </c>
      <c r="U1258" s="4">
        <v>0</v>
      </c>
      <c r="V1258" s="4">
        <v>41</v>
      </c>
      <c r="W1258" s="4">
        <v>85</v>
      </c>
    </row>
    <row r="1259" spans="1:23" ht="11.25" customHeight="1" x14ac:dyDescent="0.25">
      <c r="A1259" s="4" t="s">
        <v>28</v>
      </c>
      <c r="B1259" s="4" t="s">
        <v>22</v>
      </c>
      <c r="C1259" s="4" t="s">
        <v>23</v>
      </c>
      <c r="D1259" s="4" t="s">
        <v>24</v>
      </c>
      <c r="E1259" s="4" t="s">
        <v>32</v>
      </c>
      <c r="F1259" s="4" t="s">
        <v>25</v>
      </c>
      <c r="G1259" s="4" t="s">
        <v>25</v>
      </c>
      <c r="H1259" s="4" t="s">
        <v>25</v>
      </c>
      <c r="I1259" s="5">
        <v>44593</v>
      </c>
      <c r="J1259" s="6">
        <v>0</v>
      </c>
      <c r="K1259" s="6">
        <v>0</v>
      </c>
      <c r="L1259" s="6">
        <v>1070.5719999999999</v>
      </c>
      <c r="M1259" s="6">
        <v>1070.5719999999999</v>
      </c>
      <c r="N1259" s="6">
        <v>1070.5719999999999</v>
      </c>
      <c r="O1259" s="6">
        <v>1070.5719999999999</v>
      </c>
      <c r="P1259" s="6">
        <v>7907</v>
      </c>
      <c r="Q1259" s="4" t="s">
        <v>26</v>
      </c>
      <c r="R1259" s="4">
        <v>0</v>
      </c>
      <c r="S1259" s="4" t="s">
        <v>321</v>
      </c>
      <c r="T1259" s="4" t="s">
        <v>591</v>
      </c>
      <c r="U1259" s="4">
        <v>0</v>
      </c>
      <c r="V1259" s="4">
        <v>41</v>
      </c>
      <c r="W1259" s="4">
        <v>85</v>
      </c>
    </row>
    <row r="1260" spans="1:23" ht="11.25" customHeight="1" x14ac:dyDescent="0.25">
      <c r="A1260" s="4" t="s">
        <v>29</v>
      </c>
      <c r="B1260" s="4" t="s">
        <v>22</v>
      </c>
      <c r="C1260" s="4" t="s">
        <v>23</v>
      </c>
      <c r="D1260" s="4" t="s">
        <v>24</v>
      </c>
      <c r="E1260" s="4" t="s">
        <v>32</v>
      </c>
      <c r="F1260" s="4" t="s">
        <v>25</v>
      </c>
      <c r="G1260" s="4" t="s">
        <v>25</v>
      </c>
      <c r="H1260" s="4" t="s">
        <v>25</v>
      </c>
      <c r="I1260" s="5">
        <v>44593</v>
      </c>
      <c r="J1260" s="6">
        <v>0</v>
      </c>
      <c r="K1260" s="6">
        <v>0</v>
      </c>
      <c r="L1260" s="6">
        <v>-1.7230000000000001</v>
      </c>
      <c r="M1260" s="6">
        <v>-1.7230000000000001</v>
      </c>
      <c r="N1260" s="6">
        <v>-1.7230000000000001</v>
      </c>
      <c r="O1260" s="6">
        <v>-1.7230000000000001</v>
      </c>
      <c r="P1260" s="6">
        <v>-3</v>
      </c>
      <c r="Q1260" s="4" t="s">
        <v>26</v>
      </c>
      <c r="R1260" s="4">
        <v>0</v>
      </c>
      <c r="S1260" s="4" t="s">
        <v>321</v>
      </c>
      <c r="T1260" s="4" t="s">
        <v>591</v>
      </c>
      <c r="U1260" s="4">
        <v>0</v>
      </c>
      <c r="V1260" s="4">
        <v>41</v>
      </c>
      <c r="W1260" s="4">
        <v>85</v>
      </c>
    </row>
    <row r="1261" spans="1:23" ht="11.25" customHeight="1" x14ac:dyDescent="0.25">
      <c r="A1261" s="4" t="s">
        <v>30</v>
      </c>
      <c r="B1261" s="4" t="s">
        <v>22</v>
      </c>
      <c r="C1261" s="4" t="s">
        <v>23</v>
      </c>
      <c r="D1261" s="4" t="s">
        <v>24</v>
      </c>
      <c r="E1261" s="4" t="s">
        <v>32</v>
      </c>
      <c r="F1261" s="4" t="s">
        <v>25</v>
      </c>
      <c r="G1261" s="4" t="s">
        <v>25</v>
      </c>
      <c r="H1261" s="4" t="s">
        <v>25</v>
      </c>
      <c r="I1261" s="5">
        <v>44593</v>
      </c>
      <c r="J1261" s="6">
        <v>0</v>
      </c>
      <c r="K1261" s="6">
        <v>0</v>
      </c>
      <c r="L1261" s="6">
        <v>1.607</v>
      </c>
      <c r="M1261" s="6">
        <v>1.607</v>
      </c>
      <c r="N1261" s="6">
        <v>1.607</v>
      </c>
      <c r="O1261" s="6">
        <v>1.607</v>
      </c>
      <c r="P1261" s="6">
        <v>0</v>
      </c>
      <c r="Q1261" s="4" t="s">
        <v>26</v>
      </c>
      <c r="R1261" s="4">
        <v>0</v>
      </c>
      <c r="S1261" s="4" t="s">
        <v>321</v>
      </c>
      <c r="T1261" s="4" t="s">
        <v>591</v>
      </c>
      <c r="U1261" s="4">
        <v>0</v>
      </c>
      <c r="V1261" s="4">
        <v>41</v>
      </c>
      <c r="W1261" s="4">
        <v>85</v>
      </c>
    </row>
    <row r="1262" spans="1:23" ht="11.25" customHeight="1" x14ac:dyDescent="0.25">
      <c r="A1262" s="4" t="s">
        <v>30</v>
      </c>
      <c r="B1262" s="4" t="s">
        <v>22</v>
      </c>
      <c r="C1262" s="4" t="s">
        <v>23</v>
      </c>
      <c r="D1262" s="4" t="s">
        <v>24</v>
      </c>
      <c r="E1262" s="4" t="s">
        <v>32</v>
      </c>
      <c r="F1262" s="4" t="s">
        <v>25</v>
      </c>
      <c r="G1262" s="4" t="s">
        <v>25</v>
      </c>
      <c r="H1262" s="4" t="s">
        <v>25</v>
      </c>
      <c r="I1262" s="5">
        <v>44593</v>
      </c>
      <c r="J1262" s="6">
        <v>0</v>
      </c>
      <c r="K1262" s="6">
        <v>0</v>
      </c>
      <c r="L1262" s="6">
        <v>-7.0000000000000007E-2</v>
      </c>
      <c r="M1262" s="6">
        <v>-7.0000000000000007E-2</v>
      </c>
      <c r="N1262" s="6">
        <v>-7.0000000000000007E-2</v>
      </c>
      <c r="O1262" s="6">
        <v>-7.0000000000000007E-2</v>
      </c>
      <c r="P1262" s="6">
        <v>0</v>
      </c>
      <c r="Q1262" s="4" t="s">
        <v>26</v>
      </c>
      <c r="R1262" s="4">
        <v>0</v>
      </c>
      <c r="S1262" s="4" t="s">
        <v>321</v>
      </c>
      <c r="T1262" s="4" t="s">
        <v>591</v>
      </c>
      <c r="U1262" s="4">
        <v>0</v>
      </c>
      <c r="V1262" s="4">
        <v>41</v>
      </c>
      <c r="W1262" s="4">
        <v>85</v>
      </c>
    </row>
    <row r="1263" spans="1:23" ht="11.25" customHeight="1" x14ac:dyDescent="0.25">
      <c r="A1263" s="4" t="s">
        <v>21</v>
      </c>
      <c r="B1263" s="4" t="s">
        <v>22</v>
      </c>
      <c r="C1263" s="4" t="s">
        <v>23</v>
      </c>
      <c r="D1263" s="4" t="s">
        <v>24</v>
      </c>
      <c r="E1263" s="4" t="s">
        <v>32</v>
      </c>
      <c r="F1263" s="4" t="s">
        <v>25</v>
      </c>
      <c r="G1263" s="4" t="s">
        <v>25</v>
      </c>
      <c r="H1263" s="4" t="s">
        <v>25</v>
      </c>
      <c r="I1263" s="5">
        <v>44621</v>
      </c>
      <c r="J1263" s="6">
        <v>0</v>
      </c>
      <c r="K1263" s="6">
        <v>0</v>
      </c>
      <c r="L1263" s="6">
        <v>2431.069</v>
      </c>
      <c r="M1263" s="6">
        <v>2431.069</v>
      </c>
      <c r="N1263" s="6">
        <v>2431.069</v>
      </c>
      <c r="O1263" s="6">
        <v>2431.069</v>
      </c>
      <c r="P1263" s="6">
        <v>10017</v>
      </c>
      <c r="Q1263" s="4" t="s">
        <v>26</v>
      </c>
      <c r="R1263" s="4">
        <v>0</v>
      </c>
      <c r="S1263" s="4" t="s">
        <v>322</v>
      </c>
      <c r="T1263" s="4" t="s">
        <v>592</v>
      </c>
      <c r="U1263" s="4">
        <v>0</v>
      </c>
      <c r="V1263" s="4">
        <v>41</v>
      </c>
      <c r="W1263" s="4">
        <v>85</v>
      </c>
    </row>
    <row r="1264" spans="1:23" ht="11.25" customHeight="1" x14ac:dyDescent="0.25">
      <c r="A1264" s="4" t="s">
        <v>27</v>
      </c>
      <c r="B1264" s="4" t="s">
        <v>22</v>
      </c>
      <c r="C1264" s="4" t="s">
        <v>23</v>
      </c>
      <c r="D1264" s="4" t="s">
        <v>24</v>
      </c>
      <c r="E1264" s="4" t="s">
        <v>32</v>
      </c>
      <c r="F1264" s="4" t="s">
        <v>25</v>
      </c>
      <c r="G1264" s="4" t="s">
        <v>25</v>
      </c>
      <c r="H1264" s="4" t="s">
        <v>25</v>
      </c>
      <c r="I1264" s="5">
        <v>44621</v>
      </c>
      <c r="J1264" s="6">
        <v>0</v>
      </c>
      <c r="K1264" s="6">
        <v>0</v>
      </c>
      <c r="L1264" s="6">
        <v>-18.042999999999999</v>
      </c>
      <c r="M1264" s="6">
        <v>-18.042999999999999</v>
      </c>
      <c r="N1264" s="6">
        <v>-18.042999999999999</v>
      </c>
      <c r="O1264" s="6">
        <v>-18.042999999999999</v>
      </c>
      <c r="P1264" s="6">
        <v>-5</v>
      </c>
      <c r="Q1264" s="4" t="s">
        <v>26</v>
      </c>
      <c r="R1264" s="4">
        <v>0</v>
      </c>
      <c r="S1264" s="4" t="s">
        <v>322</v>
      </c>
      <c r="T1264" s="4" t="s">
        <v>592</v>
      </c>
      <c r="U1264" s="4">
        <v>0</v>
      </c>
      <c r="V1264" s="4">
        <v>41</v>
      </c>
      <c r="W1264" s="4">
        <v>85</v>
      </c>
    </row>
    <row r="1265" spans="1:23" ht="11.25" customHeight="1" x14ac:dyDescent="0.25">
      <c r="A1265" s="4" t="s">
        <v>28</v>
      </c>
      <c r="B1265" s="4" t="s">
        <v>22</v>
      </c>
      <c r="C1265" s="4" t="s">
        <v>23</v>
      </c>
      <c r="D1265" s="4" t="s">
        <v>24</v>
      </c>
      <c r="E1265" s="4" t="s">
        <v>32</v>
      </c>
      <c r="F1265" s="4" t="s">
        <v>25</v>
      </c>
      <c r="G1265" s="4" t="s">
        <v>25</v>
      </c>
      <c r="H1265" s="4" t="s">
        <v>25</v>
      </c>
      <c r="I1265" s="5">
        <v>44621</v>
      </c>
      <c r="J1265" s="6">
        <v>0</v>
      </c>
      <c r="K1265" s="6">
        <v>0</v>
      </c>
      <c r="L1265" s="6">
        <v>1100.816</v>
      </c>
      <c r="M1265" s="6">
        <v>1100.816</v>
      </c>
      <c r="N1265" s="6">
        <v>1100.816</v>
      </c>
      <c r="O1265" s="6">
        <v>1100.816</v>
      </c>
      <c r="P1265" s="6">
        <v>7501</v>
      </c>
      <c r="Q1265" s="4" t="s">
        <v>26</v>
      </c>
      <c r="R1265" s="4">
        <v>0</v>
      </c>
      <c r="S1265" s="4" t="s">
        <v>322</v>
      </c>
      <c r="T1265" s="4" t="s">
        <v>592</v>
      </c>
      <c r="U1265" s="4">
        <v>0</v>
      </c>
      <c r="V1265" s="4">
        <v>41</v>
      </c>
      <c r="W1265" s="4">
        <v>85</v>
      </c>
    </row>
    <row r="1266" spans="1:23" ht="11.25" customHeight="1" x14ac:dyDescent="0.25">
      <c r="A1266" s="4" t="s">
        <v>29</v>
      </c>
      <c r="B1266" s="4" t="s">
        <v>22</v>
      </c>
      <c r="C1266" s="4" t="s">
        <v>23</v>
      </c>
      <c r="D1266" s="4" t="s">
        <v>24</v>
      </c>
      <c r="E1266" s="4" t="s">
        <v>32</v>
      </c>
      <c r="F1266" s="4" t="s">
        <v>25</v>
      </c>
      <c r="G1266" s="4" t="s">
        <v>25</v>
      </c>
      <c r="H1266" s="4" t="s">
        <v>25</v>
      </c>
      <c r="I1266" s="5">
        <v>44621</v>
      </c>
      <c r="J1266" s="6">
        <v>0</v>
      </c>
      <c r="K1266" s="6">
        <v>0</v>
      </c>
      <c r="L1266" s="6">
        <v>-2.6819999999999999</v>
      </c>
      <c r="M1266" s="6">
        <v>-2.6819999999999999</v>
      </c>
      <c r="N1266" s="6">
        <v>-2.6819999999999999</v>
      </c>
      <c r="O1266" s="6">
        <v>-2.6819999999999999</v>
      </c>
      <c r="P1266" s="6">
        <v>-31</v>
      </c>
      <c r="Q1266" s="4" t="s">
        <v>26</v>
      </c>
      <c r="R1266" s="4">
        <v>0</v>
      </c>
      <c r="S1266" s="4" t="s">
        <v>322</v>
      </c>
      <c r="T1266" s="4" t="s">
        <v>592</v>
      </c>
      <c r="U1266" s="4">
        <v>0</v>
      </c>
      <c r="V1266" s="4">
        <v>41</v>
      </c>
      <c r="W1266" s="4">
        <v>85</v>
      </c>
    </row>
    <row r="1267" spans="1:23" ht="11.25" customHeight="1" x14ac:dyDescent="0.25">
      <c r="A1267" s="4" t="s">
        <v>30</v>
      </c>
      <c r="B1267" s="4" t="s">
        <v>22</v>
      </c>
      <c r="C1267" s="4" t="s">
        <v>23</v>
      </c>
      <c r="D1267" s="4" t="s">
        <v>24</v>
      </c>
      <c r="E1267" s="4" t="s">
        <v>32</v>
      </c>
      <c r="F1267" s="4" t="s">
        <v>25</v>
      </c>
      <c r="G1267" s="4" t="s">
        <v>25</v>
      </c>
      <c r="H1267" s="4" t="s">
        <v>25</v>
      </c>
      <c r="I1267" s="5">
        <v>44621</v>
      </c>
      <c r="J1267" s="6">
        <v>0</v>
      </c>
      <c r="K1267" s="6">
        <v>0</v>
      </c>
      <c r="L1267" s="6">
        <v>1.8180000000000001</v>
      </c>
      <c r="M1267" s="6">
        <v>1.8180000000000001</v>
      </c>
      <c r="N1267" s="6">
        <v>1.8180000000000001</v>
      </c>
      <c r="O1267" s="6">
        <v>1.8180000000000001</v>
      </c>
      <c r="P1267" s="6">
        <v>1</v>
      </c>
      <c r="Q1267" s="4" t="s">
        <v>26</v>
      </c>
      <c r="R1267" s="4">
        <v>0</v>
      </c>
      <c r="S1267" s="4" t="s">
        <v>322</v>
      </c>
      <c r="T1267" s="4" t="s">
        <v>592</v>
      </c>
      <c r="U1267" s="4">
        <v>0</v>
      </c>
      <c r="V1267" s="4">
        <v>41</v>
      </c>
      <c r="W1267" s="4">
        <v>85</v>
      </c>
    </row>
    <row r="1268" spans="1:23" ht="11.25" customHeight="1" x14ac:dyDescent="0.25">
      <c r="A1268" s="4" t="s">
        <v>21</v>
      </c>
      <c r="B1268" s="4" t="s">
        <v>22</v>
      </c>
      <c r="C1268" s="4" t="s">
        <v>23</v>
      </c>
      <c r="D1268" s="4" t="s">
        <v>24</v>
      </c>
      <c r="E1268" s="4" t="s">
        <v>32</v>
      </c>
      <c r="F1268" s="4" t="s">
        <v>25</v>
      </c>
      <c r="G1268" s="4" t="s">
        <v>25</v>
      </c>
      <c r="H1268" s="4" t="s">
        <v>25</v>
      </c>
      <c r="I1268" s="5">
        <v>44652</v>
      </c>
      <c r="J1268" s="6">
        <v>0</v>
      </c>
      <c r="K1268" s="6">
        <v>0</v>
      </c>
      <c r="L1268" s="6">
        <v>2521.8629999999998</v>
      </c>
      <c r="M1268" s="6">
        <v>2521.8629999999998</v>
      </c>
      <c r="N1268" s="6">
        <v>2521.8629999999998</v>
      </c>
      <c r="O1268" s="6">
        <v>2521.8629999999998</v>
      </c>
      <c r="P1268" s="6">
        <v>10413</v>
      </c>
      <c r="Q1268" s="4" t="s">
        <v>26</v>
      </c>
      <c r="R1268" s="4">
        <v>0</v>
      </c>
      <c r="S1268" s="4" t="s">
        <v>323</v>
      </c>
      <c r="T1268" s="4" t="s">
        <v>593</v>
      </c>
      <c r="U1268" s="4">
        <v>0</v>
      </c>
      <c r="V1268" s="4">
        <v>41</v>
      </c>
      <c r="W1268" s="4">
        <v>85</v>
      </c>
    </row>
    <row r="1269" spans="1:23" ht="11.25" customHeight="1" x14ac:dyDescent="0.25">
      <c r="A1269" s="4" t="s">
        <v>27</v>
      </c>
      <c r="B1269" s="4" t="s">
        <v>22</v>
      </c>
      <c r="C1269" s="4" t="s">
        <v>23</v>
      </c>
      <c r="D1269" s="4" t="s">
        <v>24</v>
      </c>
      <c r="E1269" s="4" t="s">
        <v>32</v>
      </c>
      <c r="F1269" s="4" t="s">
        <v>25</v>
      </c>
      <c r="G1269" s="4" t="s">
        <v>25</v>
      </c>
      <c r="H1269" s="4" t="s">
        <v>25</v>
      </c>
      <c r="I1269" s="5">
        <v>44652</v>
      </c>
      <c r="J1269" s="6">
        <v>0</v>
      </c>
      <c r="K1269" s="6">
        <v>0</v>
      </c>
      <c r="L1269" s="6">
        <v>-9.798</v>
      </c>
      <c r="M1269" s="6">
        <v>-9.798</v>
      </c>
      <c r="N1269" s="6">
        <v>-9.798</v>
      </c>
      <c r="O1269" s="6">
        <v>-9.798</v>
      </c>
      <c r="P1269" s="6">
        <v>-7</v>
      </c>
      <c r="Q1269" s="4" t="s">
        <v>26</v>
      </c>
      <c r="R1269" s="4">
        <v>0</v>
      </c>
      <c r="S1269" s="4" t="s">
        <v>323</v>
      </c>
      <c r="T1269" s="4" t="s">
        <v>593</v>
      </c>
      <c r="U1269" s="4">
        <v>0</v>
      </c>
      <c r="V1269" s="4">
        <v>41</v>
      </c>
      <c r="W1269" s="4">
        <v>85</v>
      </c>
    </row>
    <row r="1270" spans="1:23" ht="11.25" customHeight="1" x14ac:dyDescent="0.25">
      <c r="A1270" s="4" t="s">
        <v>28</v>
      </c>
      <c r="B1270" s="4" t="s">
        <v>22</v>
      </c>
      <c r="C1270" s="4" t="s">
        <v>23</v>
      </c>
      <c r="D1270" s="4" t="s">
        <v>24</v>
      </c>
      <c r="E1270" s="4" t="s">
        <v>32</v>
      </c>
      <c r="F1270" s="4" t="s">
        <v>25</v>
      </c>
      <c r="G1270" s="4" t="s">
        <v>25</v>
      </c>
      <c r="H1270" s="4" t="s">
        <v>25</v>
      </c>
      <c r="I1270" s="5">
        <v>44652</v>
      </c>
      <c r="J1270" s="6">
        <v>0</v>
      </c>
      <c r="K1270" s="6">
        <v>0</v>
      </c>
      <c r="L1270" s="6">
        <v>1131.9100000000001</v>
      </c>
      <c r="M1270" s="6">
        <v>1131.9100000000001</v>
      </c>
      <c r="N1270" s="6">
        <v>1131.9100000000001</v>
      </c>
      <c r="O1270" s="6">
        <v>1131.9100000000001</v>
      </c>
      <c r="P1270" s="6">
        <v>7524</v>
      </c>
      <c r="Q1270" s="4" t="s">
        <v>26</v>
      </c>
      <c r="R1270" s="4">
        <v>0</v>
      </c>
      <c r="S1270" s="4" t="s">
        <v>323</v>
      </c>
      <c r="T1270" s="4" t="s">
        <v>593</v>
      </c>
      <c r="U1270" s="4">
        <v>0</v>
      </c>
      <c r="V1270" s="4">
        <v>41</v>
      </c>
      <c r="W1270" s="4">
        <v>85</v>
      </c>
    </row>
    <row r="1271" spans="1:23" ht="11.25" customHeight="1" x14ac:dyDescent="0.25">
      <c r="A1271" s="4" t="s">
        <v>29</v>
      </c>
      <c r="B1271" s="4" t="s">
        <v>22</v>
      </c>
      <c r="C1271" s="4" t="s">
        <v>23</v>
      </c>
      <c r="D1271" s="4" t="s">
        <v>24</v>
      </c>
      <c r="E1271" s="4" t="s">
        <v>32</v>
      </c>
      <c r="F1271" s="4" t="s">
        <v>25</v>
      </c>
      <c r="G1271" s="4" t="s">
        <v>25</v>
      </c>
      <c r="H1271" s="4" t="s">
        <v>25</v>
      </c>
      <c r="I1271" s="5">
        <v>44652</v>
      </c>
      <c r="J1271" s="6">
        <v>0</v>
      </c>
      <c r="K1271" s="6">
        <v>0</v>
      </c>
      <c r="L1271" s="6">
        <v>-6.3710000000000004</v>
      </c>
      <c r="M1271" s="6">
        <v>-6.3710000000000004</v>
      </c>
      <c r="N1271" s="6">
        <v>-6.3710000000000004</v>
      </c>
      <c r="O1271" s="6">
        <v>-6.3710000000000004</v>
      </c>
      <c r="P1271" s="6">
        <v>-108</v>
      </c>
      <c r="Q1271" s="4" t="s">
        <v>26</v>
      </c>
      <c r="R1271" s="4">
        <v>0</v>
      </c>
      <c r="S1271" s="4" t="s">
        <v>323</v>
      </c>
      <c r="T1271" s="4" t="s">
        <v>593</v>
      </c>
      <c r="U1271" s="4">
        <v>0</v>
      </c>
      <c r="V1271" s="4">
        <v>41</v>
      </c>
      <c r="W1271" s="4">
        <v>85</v>
      </c>
    </row>
    <row r="1272" spans="1:23" ht="11.25" customHeight="1" x14ac:dyDescent="0.25">
      <c r="A1272" s="4" t="s">
        <v>30</v>
      </c>
      <c r="B1272" s="4" t="s">
        <v>22</v>
      </c>
      <c r="C1272" s="4" t="s">
        <v>23</v>
      </c>
      <c r="D1272" s="4" t="s">
        <v>24</v>
      </c>
      <c r="E1272" s="4" t="s">
        <v>32</v>
      </c>
      <c r="F1272" s="4" t="s">
        <v>25</v>
      </c>
      <c r="G1272" s="4" t="s">
        <v>25</v>
      </c>
      <c r="H1272" s="4" t="s">
        <v>25</v>
      </c>
      <c r="I1272" s="5">
        <v>44652</v>
      </c>
      <c r="J1272" s="6">
        <v>0</v>
      </c>
      <c r="K1272" s="6">
        <v>0</v>
      </c>
      <c r="L1272" s="6">
        <v>1.722</v>
      </c>
      <c r="M1272" s="6">
        <v>1.722</v>
      </c>
      <c r="N1272" s="6">
        <v>1.722</v>
      </c>
      <c r="O1272" s="6">
        <v>1.722</v>
      </c>
      <c r="P1272" s="6">
        <v>1</v>
      </c>
      <c r="Q1272" s="4" t="s">
        <v>26</v>
      </c>
      <c r="R1272" s="4">
        <v>0</v>
      </c>
      <c r="S1272" s="4" t="s">
        <v>323</v>
      </c>
      <c r="T1272" s="4" t="s">
        <v>593</v>
      </c>
      <c r="U1272" s="4">
        <v>0</v>
      </c>
      <c r="V1272" s="4">
        <v>41</v>
      </c>
      <c r="W1272" s="4">
        <v>85</v>
      </c>
    </row>
    <row r="1273" spans="1:23" ht="11.25" customHeight="1" x14ac:dyDescent="0.25">
      <c r="A1273" s="4" t="s">
        <v>21</v>
      </c>
      <c r="B1273" s="4" t="s">
        <v>22</v>
      </c>
      <c r="C1273" s="4" t="s">
        <v>23</v>
      </c>
      <c r="D1273" s="4" t="s">
        <v>24</v>
      </c>
      <c r="E1273" s="4" t="s">
        <v>32</v>
      </c>
      <c r="F1273" s="4" t="s">
        <v>25</v>
      </c>
      <c r="G1273" s="4" t="s">
        <v>25</v>
      </c>
      <c r="H1273" s="4" t="s">
        <v>25</v>
      </c>
      <c r="I1273" s="5">
        <v>44682</v>
      </c>
      <c r="J1273" s="6">
        <v>0</v>
      </c>
      <c r="K1273" s="6">
        <v>0</v>
      </c>
      <c r="L1273" s="6">
        <v>2471.2730000000001</v>
      </c>
      <c r="M1273" s="6">
        <v>2471.2730000000001</v>
      </c>
      <c r="N1273" s="6">
        <v>2471.2730000000001</v>
      </c>
      <c r="O1273" s="6">
        <v>2471.2730000000001</v>
      </c>
      <c r="P1273" s="6">
        <v>10459</v>
      </c>
      <c r="Q1273" s="4" t="s">
        <v>26</v>
      </c>
      <c r="R1273" s="4">
        <v>0</v>
      </c>
      <c r="S1273" s="4" t="s">
        <v>324</v>
      </c>
      <c r="T1273" s="4" t="s">
        <v>594</v>
      </c>
      <c r="U1273" s="4">
        <v>0</v>
      </c>
      <c r="V1273" s="4">
        <v>41</v>
      </c>
      <c r="W1273" s="4">
        <v>85</v>
      </c>
    </row>
    <row r="1274" spans="1:23" ht="11.25" customHeight="1" x14ac:dyDescent="0.25">
      <c r="A1274" s="4" t="s">
        <v>27</v>
      </c>
      <c r="B1274" s="4" t="s">
        <v>22</v>
      </c>
      <c r="C1274" s="4" t="s">
        <v>23</v>
      </c>
      <c r="D1274" s="4" t="s">
        <v>24</v>
      </c>
      <c r="E1274" s="4" t="s">
        <v>32</v>
      </c>
      <c r="F1274" s="4" t="s">
        <v>25</v>
      </c>
      <c r="G1274" s="4" t="s">
        <v>25</v>
      </c>
      <c r="H1274" s="4" t="s">
        <v>25</v>
      </c>
      <c r="I1274" s="5">
        <v>44682</v>
      </c>
      <c r="J1274" s="6">
        <v>0</v>
      </c>
      <c r="K1274" s="6">
        <v>0</v>
      </c>
      <c r="L1274" s="6">
        <v>-10.853</v>
      </c>
      <c r="M1274" s="6">
        <v>-10.853</v>
      </c>
      <c r="N1274" s="6">
        <v>-10.853</v>
      </c>
      <c r="O1274" s="6">
        <v>-10.853</v>
      </c>
      <c r="P1274" s="6">
        <v>-3</v>
      </c>
      <c r="Q1274" s="4" t="s">
        <v>26</v>
      </c>
      <c r="R1274" s="4">
        <v>0</v>
      </c>
      <c r="S1274" s="4" t="s">
        <v>324</v>
      </c>
      <c r="T1274" s="4" t="s">
        <v>594</v>
      </c>
      <c r="U1274" s="4">
        <v>0</v>
      </c>
      <c r="V1274" s="4">
        <v>41</v>
      </c>
      <c r="W1274" s="4">
        <v>85</v>
      </c>
    </row>
    <row r="1275" spans="1:23" ht="11.25" customHeight="1" x14ac:dyDescent="0.25">
      <c r="A1275" s="4" t="s">
        <v>28</v>
      </c>
      <c r="B1275" s="4" t="s">
        <v>22</v>
      </c>
      <c r="C1275" s="4" t="s">
        <v>23</v>
      </c>
      <c r="D1275" s="4" t="s">
        <v>24</v>
      </c>
      <c r="E1275" s="4" t="s">
        <v>32</v>
      </c>
      <c r="F1275" s="4" t="s">
        <v>25</v>
      </c>
      <c r="G1275" s="4" t="s">
        <v>25</v>
      </c>
      <c r="H1275" s="4" t="s">
        <v>25</v>
      </c>
      <c r="I1275" s="5">
        <v>44682</v>
      </c>
      <c r="J1275" s="6">
        <v>0</v>
      </c>
      <c r="K1275" s="6">
        <v>0</v>
      </c>
      <c r="L1275" s="6">
        <v>1102.3599999999999</v>
      </c>
      <c r="M1275" s="6">
        <v>1102.3599999999999</v>
      </c>
      <c r="N1275" s="6">
        <v>1102.3599999999999</v>
      </c>
      <c r="O1275" s="6">
        <v>1102.3599999999999</v>
      </c>
      <c r="P1275" s="6">
        <v>7805</v>
      </c>
      <c r="Q1275" s="4" t="s">
        <v>26</v>
      </c>
      <c r="R1275" s="4">
        <v>0</v>
      </c>
      <c r="S1275" s="4" t="s">
        <v>324</v>
      </c>
      <c r="T1275" s="4" t="s">
        <v>594</v>
      </c>
      <c r="U1275" s="4">
        <v>0</v>
      </c>
      <c r="V1275" s="4">
        <v>41</v>
      </c>
      <c r="W1275" s="4">
        <v>85</v>
      </c>
    </row>
    <row r="1276" spans="1:23" ht="11.25" customHeight="1" x14ac:dyDescent="0.25">
      <c r="A1276" s="4" t="s">
        <v>29</v>
      </c>
      <c r="B1276" s="4" t="s">
        <v>22</v>
      </c>
      <c r="C1276" s="4" t="s">
        <v>23</v>
      </c>
      <c r="D1276" s="4" t="s">
        <v>24</v>
      </c>
      <c r="E1276" s="4" t="s">
        <v>32</v>
      </c>
      <c r="F1276" s="4" t="s">
        <v>25</v>
      </c>
      <c r="G1276" s="4" t="s">
        <v>25</v>
      </c>
      <c r="H1276" s="4" t="s">
        <v>25</v>
      </c>
      <c r="I1276" s="5">
        <v>44682</v>
      </c>
      <c r="J1276" s="6">
        <v>0</v>
      </c>
      <c r="K1276" s="6">
        <v>0</v>
      </c>
      <c r="L1276" s="6">
        <v>-3.1150000000000002</v>
      </c>
      <c r="M1276" s="6">
        <v>-3.1150000000000002</v>
      </c>
      <c r="N1276" s="6">
        <v>-3.1150000000000002</v>
      </c>
      <c r="O1276" s="6">
        <v>-3.1150000000000002</v>
      </c>
      <c r="P1276" s="6">
        <v>-99</v>
      </c>
      <c r="Q1276" s="4" t="s">
        <v>26</v>
      </c>
      <c r="R1276" s="4">
        <v>0</v>
      </c>
      <c r="S1276" s="4" t="s">
        <v>324</v>
      </c>
      <c r="T1276" s="4" t="s">
        <v>594</v>
      </c>
      <c r="U1276" s="4">
        <v>0</v>
      </c>
      <c r="V1276" s="4">
        <v>41</v>
      </c>
      <c r="W1276" s="4">
        <v>85</v>
      </c>
    </row>
    <row r="1277" spans="1:23" ht="11.25" customHeight="1" x14ac:dyDescent="0.25">
      <c r="A1277" s="4" t="s">
        <v>30</v>
      </c>
      <c r="B1277" s="4" t="s">
        <v>22</v>
      </c>
      <c r="C1277" s="4" t="s">
        <v>23</v>
      </c>
      <c r="D1277" s="4" t="s">
        <v>24</v>
      </c>
      <c r="E1277" s="4" t="s">
        <v>32</v>
      </c>
      <c r="F1277" s="4" t="s">
        <v>25</v>
      </c>
      <c r="G1277" s="4" t="s">
        <v>25</v>
      </c>
      <c r="H1277" s="4" t="s">
        <v>25</v>
      </c>
      <c r="I1277" s="5">
        <v>44682</v>
      </c>
      <c r="J1277" s="6">
        <v>0</v>
      </c>
      <c r="K1277" s="6">
        <v>0</v>
      </c>
      <c r="L1277" s="6">
        <v>1.6970000000000001</v>
      </c>
      <c r="M1277" s="6">
        <v>1.6970000000000001</v>
      </c>
      <c r="N1277" s="6">
        <v>1.6970000000000001</v>
      </c>
      <c r="O1277" s="6">
        <v>1.6970000000000001</v>
      </c>
      <c r="P1277" s="6">
        <v>1</v>
      </c>
      <c r="Q1277" s="4" t="s">
        <v>26</v>
      </c>
      <c r="R1277" s="4">
        <v>0</v>
      </c>
      <c r="S1277" s="4" t="s">
        <v>324</v>
      </c>
      <c r="T1277" s="4" t="s">
        <v>594</v>
      </c>
      <c r="U1277" s="4">
        <v>0</v>
      </c>
      <c r="V1277" s="4">
        <v>41</v>
      </c>
      <c r="W1277" s="4">
        <v>85</v>
      </c>
    </row>
    <row r="1278" spans="1:23" ht="11.25" customHeight="1" x14ac:dyDescent="0.25">
      <c r="A1278" s="4" t="s">
        <v>21</v>
      </c>
      <c r="B1278" s="4" t="s">
        <v>22</v>
      </c>
      <c r="C1278" s="4" t="s">
        <v>23</v>
      </c>
      <c r="D1278" s="4" t="s">
        <v>24</v>
      </c>
      <c r="E1278" s="4" t="s">
        <v>32</v>
      </c>
      <c r="F1278" s="4" t="s">
        <v>25</v>
      </c>
      <c r="G1278" s="4" t="s">
        <v>25</v>
      </c>
      <c r="H1278" s="4" t="s">
        <v>25</v>
      </c>
      <c r="I1278" s="5">
        <v>44713</v>
      </c>
      <c r="J1278" s="6">
        <v>0</v>
      </c>
      <c r="K1278" s="6">
        <v>0</v>
      </c>
      <c r="L1278" s="6">
        <v>2481.6579999999999</v>
      </c>
      <c r="M1278" s="6">
        <v>2481.6579999999999</v>
      </c>
      <c r="N1278" s="6">
        <v>2481.6579999999999</v>
      </c>
      <c r="O1278" s="6">
        <v>2481.6579999999999</v>
      </c>
      <c r="P1278" s="6">
        <v>11949</v>
      </c>
      <c r="Q1278" s="4" t="s">
        <v>26</v>
      </c>
      <c r="R1278" s="4">
        <v>0</v>
      </c>
      <c r="S1278" s="4" t="s">
        <v>325</v>
      </c>
      <c r="T1278" s="4" t="s">
        <v>595</v>
      </c>
      <c r="U1278" s="4">
        <v>0</v>
      </c>
      <c r="V1278" s="4">
        <v>41</v>
      </c>
      <c r="W1278" s="4">
        <v>85</v>
      </c>
    </row>
    <row r="1279" spans="1:23" ht="11.25" customHeight="1" x14ac:dyDescent="0.25">
      <c r="A1279" s="4" t="s">
        <v>27</v>
      </c>
      <c r="B1279" s="4" t="s">
        <v>22</v>
      </c>
      <c r="C1279" s="4" t="s">
        <v>23</v>
      </c>
      <c r="D1279" s="4" t="s">
        <v>24</v>
      </c>
      <c r="E1279" s="4" t="s">
        <v>32</v>
      </c>
      <c r="F1279" s="4" t="s">
        <v>25</v>
      </c>
      <c r="G1279" s="4" t="s">
        <v>25</v>
      </c>
      <c r="H1279" s="4" t="s">
        <v>25</v>
      </c>
      <c r="I1279" s="5">
        <v>44713</v>
      </c>
      <c r="J1279" s="6">
        <v>0</v>
      </c>
      <c r="K1279" s="6">
        <v>0</v>
      </c>
      <c r="L1279" s="6">
        <v>-4.3730000000000002</v>
      </c>
      <c r="M1279" s="6">
        <v>-4.3730000000000002</v>
      </c>
      <c r="N1279" s="6">
        <v>-4.3730000000000002</v>
      </c>
      <c r="O1279" s="6">
        <v>-4.3730000000000002</v>
      </c>
      <c r="P1279" s="6">
        <v>-11</v>
      </c>
      <c r="Q1279" s="4" t="s">
        <v>26</v>
      </c>
      <c r="R1279" s="4">
        <v>0</v>
      </c>
      <c r="S1279" s="4" t="s">
        <v>325</v>
      </c>
      <c r="T1279" s="4" t="s">
        <v>595</v>
      </c>
      <c r="U1279" s="4">
        <v>0</v>
      </c>
      <c r="V1279" s="4">
        <v>41</v>
      </c>
      <c r="W1279" s="4">
        <v>85</v>
      </c>
    </row>
    <row r="1280" spans="1:23" ht="11.25" customHeight="1" x14ac:dyDescent="0.25">
      <c r="A1280" s="4" t="s">
        <v>28</v>
      </c>
      <c r="B1280" s="4" t="s">
        <v>22</v>
      </c>
      <c r="C1280" s="4" t="s">
        <v>23</v>
      </c>
      <c r="D1280" s="4" t="s">
        <v>24</v>
      </c>
      <c r="E1280" s="4" t="s">
        <v>32</v>
      </c>
      <c r="F1280" s="4" t="s">
        <v>25</v>
      </c>
      <c r="G1280" s="4" t="s">
        <v>25</v>
      </c>
      <c r="H1280" s="4" t="s">
        <v>25</v>
      </c>
      <c r="I1280" s="5">
        <v>44713</v>
      </c>
      <c r="J1280" s="6">
        <v>0</v>
      </c>
      <c r="K1280" s="6">
        <v>0</v>
      </c>
      <c r="L1280" s="6">
        <v>1104.2239999999999</v>
      </c>
      <c r="M1280" s="6">
        <v>1104.2239999999999</v>
      </c>
      <c r="N1280" s="6">
        <v>1104.2239999999999</v>
      </c>
      <c r="O1280" s="6">
        <v>1104.2239999999999</v>
      </c>
      <c r="P1280" s="6">
        <v>8313</v>
      </c>
      <c r="Q1280" s="4" t="s">
        <v>26</v>
      </c>
      <c r="R1280" s="4">
        <v>0</v>
      </c>
      <c r="S1280" s="4" t="s">
        <v>325</v>
      </c>
      <c r="T1280" s="4" t="s">
        <v>595</v>
      </c>
      <c r="U1280" s="4">
        <v>0</v>
      </c>
      <c r="V1280" s="4">
        <v>41</v>
      </c>
      <c r="W1280" s="4">
        <v>85</v>
      </c>
    </row>
    <row r="1281" spans="1:23" ht="11.25" customHeight="1" x14ac:dyDescent="0.25">
      <c r="A1281" s="4" t="s">
        <v>29</v>
      </c>
      <c r="B1281" s="4" t="s">
        <v>22</v>
      </c>
      <c r="C1281" s="4" t="s">
        <v>23</v>
      </c>
      <c r="D1281" s="4" t="s">
        <v>24</v>
      </c>
      <c r="E1281" s="4" t="s">
        <v>32</v>
      </c>
      <c r="F1281" s="4" t="s">
        <v>25</v>
      </c>
      <c r="G1281" s="4" t="s">
        <v>25</v>
      </c>
      <c r="H1281" s="4" t="s">
        <v>25</v>
      </c>
      <c r="I1281" s="5">
        <v>44713</v>
      </c>
      <c r="J1281" s="6">
        <v>0</v>
      </c>
      <c r="K1281" s="6">
        <v>0</v>
      </c>
      <c r="L1281" s="6">
        <v>-0.39600000000000002</v>
      </c>
      <c r="M1281" s="6">
        <v>-0.39600000000000002</v>
      </c>
      <c r="N1281" s="6">
        <v>-0.39600000000000002</v>
      </c>
      <c r="O1281" s="6">
        <v>-0.39600000000000002</v>
      </c>
      <c r="P1281" s="6">
        <v>-7</v>
      </c>
      <c r="Q1281" s="4" t="s">
        <v>26</v>
      </c>
      <c r="R1281" s="4">
        <v>0</v>
      </c>
      <c r="S1281" s="4" t="s">
        <v>325</v>
      </c>
      <c r="T1281" s="4" t="s">
        <v>595</v>
      </c>
      <c r="U1281" s="4">
        <v>0</v>
      </c>
      <c r="V1281" s="4">
        <v>41</v>
      </c>
      <c r="W1281" s="4">
        <v>85</v>
      </c>
    </row>
    <row r="1282" spans="1:23" ht="11.25" customHeight="1" x14ac:dyDescent="0.25">
      <c r="A1282" s="4" t="s">
        <v>30</v>
      </c>
      <c r="B1282" s="4" t="s">
        <v>22</v>
      </c>
      <c r="C1282" s="4" t="s">
        <v>23</v>
      </c>
      <c r="D1282" s="4" t="s">
        <v>24</v>
      </c>
      <c r="E1282" s="4" t="s">
        <v>32</v>
      </c>
      <c r="F1282" s="4" t="s">
        <v>25</v>
      </c>
      <c r="G1282" s="4" t="s">
        <v>25</v>
      </c>
      <c r="H1282" s="4" t="s">
        <v>25</v>
      </c>
      <c r="I1282" s="5">
        <v>44713</v>
      </c>
      <c r="J1282" s="6">
        <v>0</v>
      </c>
      <c r="K1282" s="6">
        <v>0</v>
      </c>
      <c r="L1282" s="6">
        <v>1.655</v>
      </c>
      <c r="M1282" s="6">
        <v>1.655</v>
      </c>
      <c r="N1282" s="6">
        <v>1.655</v>
      </c>
      <c r="O1282" s="6">
        <v>1.655</v>
      </c>
      <c r="P1282" s="6">
        <v>1</v>
      </c>
      <c r="Q1282" s="4" t="s">
        <v>26</v>
      </c>
      <c r="R1282" s="4">
        <v>0</v>
      </c>
      <c r="S1282" s="4" t="s">
        <v>325</v>
      </c>
      <c r="T1282" s="4" t="s">
        <v>595</v>
      </c>
      <c r="U1282" s="4">
        <v>0</v>
      </c>
      <c r="V1282" s="4">
        <v>41</v>
      </c>
      <c r="W1282" s="4">
        <v>85</v>
      </c>
    </row>
    <row r="1283" spans="1:23" ht="11.25" customHeight="1" x14ac:dyDescent="0.25">
      <c r="A1283" s="4" t="s">
        <v>21</v>
      </c>
      <c r="B1283" s="4" t="s">
        <v>22</v>
      </c>
      <c r="C1283" s="4" t="s">
        <v>23</v>
      </c>
      <c r="D1283" s="4" t="s">
        <v>24</v>
      </c>
      <c r="E1283" s="4" t="s">
        <v>32</v>
      </c>
      <c r="F1283" s="4" t="s">
        <v>25</v>
      </c>
      <c r="G1283" s="4" t="s">
        <v>25</v>
      </c>
      <c r="H1283" s="4" t="s">
        <v>25</v>
      </c>
      <c r="I1283" s="5">
        <v>44743</v>
      </c>
      <c r="J1283" s="6">
        <v>0</v>
      </c>
      <c r="K1283" s="6">
        <v>0</v>
      </c>
      <c r="L1283" s="6">
        <v>2615.866</v>
      </c>
      <c r="M1283" s="6">
        <v>2615.866</v>
      </c>
      <c r="N1283" s="6">
        <v>2615.866</v>
      </c>
      <c r="O1283" s="6">
        <v>2615.866</v>
      </c>
      <c r="P1283" s="6">
        <v>10528</v>
      </c>
      <c r="Q1283" s="4" t="s">
        <v>26</v>
      </c>
      <c r="R1283" s="4">
        <v>0</v>
      </c>
      <c r="S1283" s="4" t="s">
        <v>326</v>
      </c>
      <c r="T1283" s="4" t="s">
        <v>596</v>
      </c>
      <c r="U1283" s="4">
        <v>0</v>
      </c>
      <c r="V1283" s="4">
        <v>41</v>
      </c>
      <c r="W1283" s="4">
        <v>85</v>
      </c>
    </row>
    <row r="1284" spans="1:23" ht="11.25" customHeight="1" x14ac:dyDescent="0.25">
      <c r="A1284" s="4" t="s">
        <v>27</v>
      </c>
      <c r="B1284" s="4" t="s">
        <v>22</v>
      </c>
      <c r="C1284" s="4" t="s">
        <v>23</v>
      </c>
      <c r="D1284" s="4" t="s">
        <v>24</v>
      </c>
      <c r="E1284" s="4" t="s">
        <v>32</v>
      </c>
      <c r="F1284" s="4" t="s">
        <v>25</v>
      </c>
      <c r="G1284" s="4" t="s">
        <v>25</v>
      </c>
      <c r="H1284" s="4" t="s">
        <v>25</v>
      </c>
      <c r="I1284" s="5">
        <v>44743</v>
      </c>
      <c r="J1284" s="6">
        <v>0</v>
      </c>
      <c r="K1284" s="6">
        <v>0</v>
      </c>
      <c r="L1284" s="6">
        <v>-4.8159999999999998</v>
      </c>
      <c r="M1284" s="6">
        <v>-4.8159999999999998</v>
      </c>
      <c r="N1284" s="6">
        <v>-4.8159999999999998</v>
      </c>
      <c r="O1284" s="6">
        <v>-4.8159999999999998</v>
      </c>
      <c r="P1284" s="6">
        <v>-9</v>
      </c>
      <c r="Q1284" s="4" t="s">
        <v>26</v>
      </c>
      <c r="R1284" s="4">
        <v>0</v>
      </c>
      <c r="S1284" s="4" t="s">
        <v>326</v>
      </c>
      <c r="T1284" s="4" t="s">
        <v>596</v>
      </c>
      <c r="U1284" s="4">
        <v>0</v>
      </c>
      <c r="V1284" s="4">
        <v>41</v>
      </c>
      <c r="W1284" s="4">
        <v>85</v>
      </c>
    </row>
    <row r="1285" spans="1:23" ht="11.25" customHeight="1" x14ac:dyDescent="0.25">
      <c r="A1285" s="4" t="s">
        <v>28</v>
      </c>
      <c r="B1285" s="4" t="s">
        <v>22</v>
      </c>
      <c r="C1285" s="4" t="s">
        <v>23</v>
      </c>
      <c r="D1285" s="4" t="s">
        <v>24</v>
      </c>
      <c r="E1285" s="4" t="s">
        <v>32</v>
      </c>
      <c r="F1285" s="4" t="s">
        <v>25</v>
      </c>
      <c r="G1285" s="4" t="s">
        <v>25</v>
      </c>
      <c r="H1285" s="4" t="s">
        <v>25</v>
      </c>
      <c r="I1285" s="5">
        <v>44743</v>
      </c>
      <c r="J1285" s="6">
        <v>0</v>
      </c>
      <c r="K1285" s="6">
        <v>0</v>
      </c>
      <c r="L1285" s="6">
        <v>1186.0730000000001</v>
      </c>
      <c r="M1285" s="6">
        <v>1186.0730000000001</v>
      </c>
      <c r="N1285" s="6">
        <v>1186.0730000000001</v>
      </c>
      <c r="O1285" s="6">
        <v>1186.0730000000001</v>
      </c>
      <c r="P1285" s="6">
        <v>7615</v>
      </c>
      <c r="Q1285" s="4" t="s">
        <v>26</v>
      </c>
      <c r="R1285" s="4">
        <v>0</v>
      </c>
      <c r="S1285" s="4" t="s">
        <v>326</v>
      </c>
      <c r="T1285" s="4" t="s">
        <v>596</v>
      </c>
      <c r="U1285" s="4">
        <v>0</v>
      </c>
      <c r="V1285" s="4">
        <v>41</v>
      </c>
      <c r="W1285" s="4">
        <v>85</v>
      </c>
    </row>
    <row r="1286" spans="1:23" ht="11.25" customHeight="1" x14ac:dyDescent="0.25">
      <c r="A1286" s="4" t="s">
        <v>29</v>
      </c>
      <c r="B1286" s="4" t="s">
        <v>22</v>
      </c>
      <c r="C1286" s="4" t="s">
        <v>23</v>
      </c>
      <c r="D1286" s="4" t="s">
        <v>24</v>
      </c>
      <c r="E1286" s="4" t="s">
        <v>32</v>
      </c>
      <c r="F1286" s="4" t="s">
        <v>25</v>
      </c>
      <c r="G1286" s="4" t="s">
        <v>25</v>
      </c>
      <c r="H1286" s="4" t="s">
        <v>25</v>
      </c>
      <c r="I1286" s="5">
        <v>44743</v>
      </c>
      <c r="J1286" s="6">
        <v>0</v>
      </c>
      <c r="K1286" s="6">
        <v>0</v>
      </c>
      <c r="L1286" s="6">
        <v>-0.629</v>
      </c>
      <c r="M1286" s="6">
        <v>-0.629</v>
      </c>
      <c r="N1286" s="6">
        <v>-0.629</v>
      </c>
      <c r="O1286" s="6">
        <v>-0.629</v>
      </c>
      <c r="P1286" s="6">
        <v>-10</v>
      </c>
      <c r="Q1286" s="4" t="s">
        <v>26</v>
      </c>
      <c r="R1286" s="4">
        <v>0</v>
      </c>
      <c r="S1286" s="4" t="s">
        <v>326</v>
      </c>
      <c r="T1286" s="4" t="s">
        <v>596</v>
      </c>
      <c r="U1286" s="4">
        <v>0</v>
      </c>
      <c r="V1286" s="4">
        <v>41</v>
      </c>
      <c r="W1286" s="4">
        <v>85</v>
      </c>
    </row>
    <row r="1287" spans="1:23" ht="11.25" customHeight="1" x14ac:dyDescent="0.25">
      <c r="A1287" s="4" t="s">
        <v>30</v>
      </c>
      <c r="B1287" s="4" t="s">
        <v>22</v>
      </c>
      <c r="C1287" s="4" t="s">
        <v>23</v>
      </c>
      <c r="D1287" s="4" t="s">
        <v>24</v>
      </c>
      <c r="E1287" s="4" t="s">
        <v>32</v>
      </c>
      <c r="F1287" s="4" t="s">
        <v>25</v>
      </c>
      <c r="G1287" s="4" t="s">
        <v>25</v>
      </c>
      <c r="H1287" s="4" t="s">
        <v>25</v>
      </c>
      <c r="I1287" s="5">
        <v>44743</v>
      </c>
      <c r="J1287" s="6">
        <v>0</v>
      </c>
      <c r="K1287" s="6">
        <v>0</v>
      </c>
      <c r="L1287" s="6">
        <v>1.877</v>
      </c>
      <c r="M1287" s="6">
        <v>1.877</v>
      </c>
      <c r="N1287" s="6">
        <v>1.877</v>
      </c>
      <c r="O1287" s="6">
        <v>1.877</v>
      </c>
      <c r="P1287" s="6">
        <v>1</v>
      </c>
      <c r="Q1287" s="4" t="s">
        <v>26</v>
      </c>
      <c r="R1287" s="4">
        <v>0</v>
      </c>
      <c r="S1287" s="4" t="s">
        <v>326</v>
      </c>
      <c r="T1287" s="4" t="s">
        <v>596</v>
      </c>
      <c r="U1287" s="4">
        <v>0</v>
      </c>
      <c r="V1287" s="4">
        <v>41</v>
      </c>
      <c r="W1287" s="4">
        <v>85</v>
      </c>
    </row>
    <row r="1288" spans="1:23" ht="11.25" customHeight="1" x14ac:dyDescent="0.25">
      <c r="A1288" s="4" t="s">
        <v>21</v>
      </c>
      <c r="B1288" s="4" t="s">
        <v>22</v>
      </c>
      <c r="C1288" s="4" t="s">
        <v>23</v>
      </c>
      <c r="D1288" s="4" t="s">
        <v>24</v>
      </c>
      <c r="E1288" s="4" t="s">
        <v>32</v>
      </c>
      <c r="F1288" s="4" t="s">
        <v>25</v>
      </c>
      <c r="G1288" s="4" t="s">
        <v>25</v>
      </c>
      <c r="H1288" s="4" t="s">
        <v>25</v>
      </c>
      <c r="I1288" s="5">
        <v>44774</v>
      </c>
      <c r="J1288" s="6">
        <v>0</v>
      </c>
      <c r="K1288" s="6">
        <v>0</v>
      </c>
      <c r="L1288" s="6">
        <v>2214.701</v>
      </c>
      <c r="M1288" s="6">
        <v>2214.701</v>
      </c>
      <c r="N1288" s="6">
        <v>2214.701</v>
      </c>
      <c r="O1288" s="6">
        <v>2214.701</v>
      </c>
      <c r="P1288" s="6">
        <v>6120</v>
      </c>
      <c r="Q1288" s="4" t="s">
        <v>26</v>
      </c>
      <c r="R1288" s="4">
        <v>0</v>
      </c>
      <c r="S1288" s="4" t="s">
        <v>327</v>
      </c>
      <c r="T1288" s="4" t="s">
        <v>597</v>
      </c>
      <c r="U1288" s="4">
        <v>0</v>
      </c>
      <c r="V1288" s="4">
        <v>41</v>
      </c>
      <c r="W1288" s="4">
        <v>85</v>
      </c>
    </row>
    <row r="1289" spans="1:23" ht="11.25" customHeight="1" x14ac:dyDescent="0.25">
      <c r="A1289" s="4" t="s">
        <v>27</v>
      </c>
      <c r="B1289" s="4" t="s">
        <v>22</v>
      </c>
      <c r="C1289" s="4" t="s">
        <v>23</v>
      </c>
      <c r="D1289" s="4" t="s">
        <v>24</v>
      </c>
      <c r="E1289" s="4" t="s">
        <v>32</v>
      </c>
      <c r="F1289" s="4" t="s">
        <v>25</v>
      </c>
      <c r="G1289" s="4" t="s">
        <v>25</v>
      </c>
      <c r="H1289" s="4" t="s">
        <v>25</v>
      </c>
      <c r="I1289" s="5">
        <v>44774</v>
      </c>
      <c r="J1289" s="6">
        <v>0</v>
      </c>
      <c r="K1289" s="6">
        <v>0</v>
      </c>
      <c r="L1289" s="6">
        <v>-2.077</v>
      </c>
      <c r="M1289" s="6">
        <v>-2.077</v>
      </c>
      <c r="N1289" s="6">
        <v>-2.077</v>
      </c>
      <c r="O1289" s="6">
        <v>-2.077</v>
      </c>
      <c r="P1289" s="6">
        <v>-4</v>
      </c>
      <c r="Q1289" s="4" t="s">
        <v>26</v>
      </c>
      <c r="R1289" s="4">
        <v>0</v>
      </c>
      <c r="S1289" s="4" t="s">
        <v>327</v>
      </c>
      <c r="T1289" s="4" t="s">
        <v>597</v>
      </c>
      <c r="U1289" s="4">
        <v>0</v>
      </c>
      <c r="V1289" s="4">
        <v>41</v>
      </c>
      <c r="W1289" s="4">
        <v>85</v>
      </c>
    </row>
    <row r="1290" spans="1:23" ht="11.25" customHeight="1" x14ac:dyDescent="0.25">
      <c r="A1290" s="4" t="s">
        <v>28</v>
      </c>
      <c r="B1290" s="4" t="s">
        <v>22</v>
      </c>
      <c r="C1290" s="4" t="s">
        <v>23</v>
      </c>
      <c r="D1290" s="4" t="s">
        <v>24</v>
      </c>
      <c r="E1290" s="4" t="s">
        <v>32</v>
      </c>
      <c r="F1290" s="4" t="s">
        <v>25</v>
      </c>
      <c r="G1290" s="4" t="s">
        <v>25</v>
      </c>
      <c r="H1290" s="4" t="s">
        <v>25</v>
      </c>
      <c r="I1290" s="5">
        <v>44774</v>
      </c>
      <c r="J1290" s="6">
        <v>0</v>
      </c>
      <c r="K1290" s="6">
        <v>0</v>
      </c>
      <c r="L1290" s="6">
        <v>1644.7819999999999</v>
      </c>
      <c r="M1290" s="6">
        <v>1644.7819999999999</v>
      </c>
      <c r="N1290" s="6">
        <v>1644.7819999999999</v>
      </c>
      <c r="O1290" s="6">
        <v>1644.7819999999999</v>
      </c>
      <c r="P1290" s="6">
        <v>11294</v>
      </c>
      <c r="Q1290" s="4" t="s">
        <v>26</v>
      </c>
      <c r="R1290" s="4">
        <v>0</v>
      </c>
      <c r="S1290" s="4" t="s">
        <v>327</v>
      </c>
      <c r="T1290" s="4" t="s">
        <v>597</v>
      </c>
      <c r="U1290" s="4">
        <v>0</v>
      </c>
      <c r="V1290" s="4">
        <v>41</v>
      </c>
      <c r="W1290" s="4">
        <v>85</v>
      </c>
    </row>
    <row r="1291" spans="1:23" ht="11.25" customHeight="1" x14ac:dyDescent="0.25">
      <c r="A1291" s="4" t="s">
        <v>29</v>
      </c>
      <c r="B1291" s="4" t="s">
        <v>22</v>
      </c>
      <c r="C1291" s="4" t="s">
        <v>23</v>
      </c>
      <c r="D1291" s="4" t="s">
        <v>24</v>
      </c>
      <c r="E1291" s="4" t="s">
        <v>32</v>
      </c>
      <c r="F1291" s="4" t="s">
        <v>25</v>
      </c>
      <c r="G1291" s="4" t="s">
        <v>25</v>
      </c>
      <c r="H1291" s="4" t="s">
        <v>25</v>
      </c>
      <c r="I1291" s="5">
        <v>44774</v>
      </c>
      <c r="J1291" s="6">
        <v>0</v>
      </c>
      <c r="K1291" s="6">
        <v>0</v>
      </c>
      <c r="L1291" s="6">
        <v>-1.8680000000000001</v>
      </c>
      <c r="M1291" s="6">
        <v>-1.8680000000000001</v>
      </c>
      <c r="N1291" s="6">
        <v>-1.8680000000000001</v>
      </c>
      <c r="O1291" s="6">
        <v>-1.8680000000000001</v>
      </c>
      <c r="P1291" s="6">
        <v>-14</v>
      </c>
      <c r="Q1291" s="4" t="s">
        <v>26</v>
      </c>
      <c r="R1291" s="4">
        <v>0</v>
      </c>
      <c r="S1291" s="4" t="s">
        <v>327</v>
      </c>
      <c r="T1291" s="4" t="s">
        <v>597</v>
      </c>
      <c r="U1291" s="4">
        <v>0</v>
      </c>
      <c r="V1291" s="4">
        <v>41</v>
      </c>
      <c r="W1291" s="4">
        <v>85</v>
      </c>
    </row>
    <row r="1292" spans="1:23" ht="11.25" customHeight="1" x14ac:dyDescent="0.25">
      <c r="A1292" s="4" t="s">
        <v>30</v>
      </c>
      <c r="B1292" s="4" t="s">
        <v>22</v>
      </c>
      <c r="C1292" s="4" t="s">
        <v>23</v>
      </c>
      <c r="D1292" s="4" t="s">
        <v>24</v>
      </c>
      <c r="E1292" s="4" t="s">
        <v>32</v>
      </c>
      <c r="F1292" s="4" t="s">
        <v>25</v>
      </c>
      <c r="G1292" s="4" t="s">
        <v>25</v>
      </c>
      <c r="H1292" s="4" t="s">
        <v>25</v>
      </c>
      <c r="I1292" s="5">
        <v>44774</v>
      </c>
      <c r="J1292" s="6">
        <v>0</v>
      </c>
      <c r="K1292" s="6">
        <v>0</v>
      </c>
      <c r="L1292" s="6">
        <v>2.0299999999999998</v>
      </c>
      <c r="M1292" s="6">
        <v>2.0299999999999998</v>
      </c>
      <c r="N1292" s="6">
        <v>2.0299999999999998</v>
      </c>
      <c r="O1292" s="6">
        <v>2.0299999999999998</v>
      </c>
      <c r="P1292" s="6">
        <v>0</v>
      </c>
      <c r="Q1292" s="4" t="s">
        <v>26</v>
      </c>
      <c r="R1292" s="4">
        <v>0</v>
      </c>
      <c r="S1292" s="4" t="s">
        <v>327</v>
      </c>
      <c r="T1292" s="4" t="s">
        <v>597</v>
      </c>
      <c r="U1292" s="4">
        <v>0</v>
      </c>
      <c r="V1292" s="4">
        <v>41</v>
      </c>
      <c r="W1292" s="4">
        <v>85</v>
      </c>
    </row>
    <row r="1293" spans="1:23" ht="11.25" customHeight="1" x14ac:dyDescent="0.25">
      <c r="A1293" s="4" t="s">
        <v>30</v>
      </c>
      <c r="B1293" s="4" t="s">
        <v>22</v>
      </c>
      <c r="C1293" s="4" t="s">
        <v>23</v>
      </c>
      <c r="D1293" s="4" t="s">
        <v>24</v>
      </c>
      <c r="E1293" s="4" t="s">
        <v>32</v>
      </c>
      <c r="F1293" s="4" t="s">
        <v>25</v>
      </c>
      <c r="G1293" s="4" t="s">
        <v>25</v>
      </c>
      <c r="H1293" s="4" t="s">
        <v>25</v>
      </c>
      <c r="I1293" s="5">
        <v>44774</v>
      </c>
      <c r="J1293" s="6">
        <v>0</v>
      </c>
      <c r="K1293" s="6">
        <v>0</v>
      </c>
      <c r="L1293" s="6">
        <v>-0.02</v>
      </c>
      <c r="M1293" s="6">
        <v>-0.02</v>
      </c>
      <c r="N1293" s="6">
        <v>-0.02</v>
      </c>
      <c r="O1293" s="6">
        <v>-0.02</v>
      </c>
      <c r="P1293" s="6">
        <v>0</v>
      </c>
      <c r="Q1293" s="4" t="s">
        <v>26</v>
      </c>
      <c r="R1293" s="4">
        <v>0</v>
      </c>
      <c r="S1293" s="4" t="s">
        <v>327</v>
      </c>
      <c r="T1293" s="4" t="s">
        <v>597</v>
      </c>
      <c r="U1293" s="4">
        <v>0</v>
      </c>
      <c r="V1293" s="4">
        <v>41</v>
      </c>
      <c r="W1293" s="4">
        <v>85</v>
      </c>
    </row>
    <row r="1294" spans="1:23" ht="11.25" customHeight="1" x14ac:dyDescent="0.25">
      <c r="A1294" s="4" t="s">
        <v>21</v>
      </c>
      <c r="B1294" s="4" t="s">
        <v>22</v>
      </c>
      <c r="C1294" s="4" t="s">
        <v>23</v>
      </c>
      <c r="D1294" s="4" t="s">
        <v>24</v>
      </c>
      <c r="E1294" s="4" t="s">
        <v>32</v>
      </c>
      <c r="F1294" s="4" t="s">
        <v>25</v>
      </c>
      <c r="G1294" s="4" t="s">
        <v>25</v>
      </c>
      <c r="H1294" s="4" t="s">
        <v>25</v>
      </c>
      <c r="I1294" s="5">
        <v>44805</v>
      </c>
      <c r="J1294" s="6">
        <v>0</v>
      </c>
      <c r="K1294" s="6">
        <v>0</v>
      </c>
      <c r="L1294" s="6">
        <v>2698.616</v>
      </c>
      <c r="M1294" s="6">
        <v>2698.616</v>
      </c>
      <c r="N1294" s="6">
        <v>2698.616</v>
      </c>
      <c r="O1294" s="6">
        <v>2698.616</v>
      </c>
      <c r="P1294" s="6">
        <v>10741</v>
      </c>
      <c r="Q1294" s="4" t="s">
        <v>26</v>
      </c>
      <c r="R1294" s="4">
        <v>0</v>
      </c>
      <c r="S1294" s="4" t="s">
        <v>328</v>
      </c>
      <c r="T1294" s="4" t="s">
        <v>598</v>
      </c>
      <c r="U1294" s="4">
        <v>0</v>
      </c>
      <c r="V1294" s="4">
        <v>41</v>
      </c>
      <c r="W1294" s="4">
        <v>85</v>
      </c>
    </row>
    <row r="1295" spans="1:23" ht="11.25" customHeight="1" x14ac:dyDescent="0.25">
      <c r="A1295" s="4" t="s">
        <v>27</v>
      </c>
      <c r="B1295" s="4" t="s">
        <v>22</v>
      </c>
      <c r="C1295" s="4" t="s">
        <v>23</v>
      </c>
      <c r="D1295" s="4" t="s">
        <v>24</v>
      </c>
      <c r="E1295" s="4" t="s">
        <v>32</v>
      </c>
      <c r="F1295" s="4" t="s">
        <v>25</v>
      </c>
      <c r="G1295" s="4" t="s">
        <v>25</v>
      </c>
      <c r="H1295" s="4" t="s">
        <v>25</v>
      </c>
      <c r="I1295" s="5">
        <v>44805</v>
      </c>
      <c r="J1295" s="6">
        <v>0</v>
      </c>
      <c r="K1295" s="6">
        <v>0</v>
      </c>
      <c r="L1295" s="6">
        <v>-4.7080000000000002</v>
      </c>
      <c r="M1295" s="6">
        <v>-4.7080000000000002</v>
      </c>
      <c r="N1295" s="6">
        <v>-4.7080000000000002</v>
      </c>
      <c r="O1295" s="6">
        <v>-4.7080000000000002</v>
      </c>
      <c r="P1295" s="6">
        <v>0</v>
      </c>
      <c r="Q1295" s="4" t="s">
        <v>26</v>
      </c>
      <c r="R1295" s="4">
        <v>0</v>
      </c>
      <c r="S1295" s="4" t="s">
        <v>328</v>
      </c>
      <c r="T1295" s="4" t="s">
        <v>598</v>
      </c>
      <c r="U1295" s="4">
        <v>0</v>
      </c>
      <c r="V1295" s="4">
        <v>41</v>
      </c>
      <c r="W1295" s="4">
        <v>85</v>
      </c>
    </row>
    <row r="1296" spans="1:23" ht="11.25" customHeight="1" x14ac:dyDescent="0.25">
      <c r="A1296" s="4" t="s">
        <v>28</v>
      </c>
      <c r="B1296" s="4" t="s">
        <v>22</v>
      </c>
      <c r="C1296" s="4" t="s">
        <v>23</v>
      </c>
      <c r="D1296" s="4" t="s">
        <v>24</v>
      </c>
      <c r="E1296" s="4" t="s">
        <v>32</v>
      </c>
      <c r="F1296" s="4" t="s">
        <v>25</v>
      </c>
      <c r="G1296" s="4" t="s">
        <v>25</v>
      </c>
      <c r="H1296" s="4" t="s">
        <v>25</v>
      </c>
      <c r="I1296" s="5">
        <v>44805</v>
      </c>
      <c r="J1296" s="6">
        <v>0</v>
      </c>
      <c r="K1296" s="6">
        <v>0</v>
      </c>
      <c r="L1296" s="6">
        <v>1204.258</v>
      </c>
      <c r="M1296" s="6">
        <v>1204.258</v>
      </c>
      <c r="N1296" s="6">
        <v>1204.258</v>
      </c>
      <c r="O1296" s="6">
        <v>1204.258</v>
      </c>
      <c r="P1296" s="6">
        <v>7781</v>
      </c>
      <c r="Q1296" s="4" t="s">
        <v>26</v>
      </c>
      <c r="R1296" s="4">
        <v>0</v>
      </c>
      <c r="S1296" s="4" t="s">
        <v>328</v>
      </c>
      <c r="T1296" s="4" t="s">
        <v>598</v>
      </c>
      <c r="U1296" s="4">
        <v>0</v>
      </c>
      <c r="V1296" s="4">
        <v>41</v>
      </c>
      <c r="W1296" s="4">
        <v>85</v>
      </c>
    </row>
    <row r="1297" spans="1:23" ht="11.25" customHeight="1" x14ac:dyDescent="0.25">
      <c r="A1297" s="4" t="s">
        <v>29</v>
      </c>
      <c r="B1297" s="4" t="s">
        <v>22</v>
      </c>
      <c r="C1297" s="4" t="s">
        <v>23</v>
      </c>
      <c r="D1297" s="4" t="s">
        <v>24</v>
      </c>
      <c r="E1297" s="4" t="s">
        <v>32</v>
      </c>
      <c r="F1297" s="4" t="s">
        <v>25</v>
      </c>
      <c r="G1297" s="4" t="s">
        <v>25</v>
      </c>
      <c r="H1297" s="4" t="s">
        <v>25</v>
      </c>
      <c r="I1297" s="5">
        <v>44805</v>
      </c>
      <c r="J1297" s="6">
        <v>0</v>
      </c>
      <c r="K1297" s="6">
        <v>0</v>
      </c>
      <c r="L1297" s="6">
        <v>-0.36</v>
      </c>
      <c r="M1297" s="6">
        <v>-0.36</v>
      </c>
      <c r="N1297" s="6">
        <v>-0.36</v>
      </c>
      <c r="O1297" s="6">
        <v>-0.36</v>
      </c>
      <c r="P1297" s="6">
        <v>-4</v>
      </c>
      <c r="Q1297" s="4" t="s">
        <v>26</v>
      </c>
      <c r="R1297" s="4">
        <v>0</v>
      </c>
      <c r="S1297" s="4" t="s">
        <v>328</v>
      </c>
      <c r="T1297" s="4" t="s">
        <v>598</v>
      </c>
      <c r="U1297" s="4">
        <v>0</v>
      </c>
      <c r="V1297" s="4">
        <v>41</v>
      </c>
      <c r="W1297" s="4">
        <v>85</v>
      </c>
    </row>
    <row r="1298" spans="1:23" ht="11.25" customHeight="1" x14ac:dyDescent="0.25">
      <c r="A1298" s="4" t="s">
        <v>30</v>
      </c>
      <c r="B1298" s="4" t="s">
        <v>22</v>
      </c>
      <c r="C1298" s="4" t="s">
        <v>23</v>
      </c>
      <c r="D1298" s="4" t="s">
        <v>24</v>
      </c>
      <c r="E1298" s="4" t="s">
        <v>32</v>
      </c>
      <c r="F1298" s="4" t="s">
        <v>25</v>
      </c>
      <c r="G1298" s="4" t="s">
        <v>25</v>
      </c>
      <c r="H1298" s="4" t="s">
        <v>25</v>
      </c>
      <c r="I1298" s="5">
        <v>44805</v>
      </c>
      <c r="J1298" s="6">
        <v>0</v>
      </c>
      <c r="K1298" s="6">
        <v>0</v>
      </c>
      <c r="L1298" s="6">
        <v>2.3959999999999999</v>
      </c>
      <c r="M1298" s="6">
        <v>2.3959999999999999</v>
      </c>
      <c r="N1298" s="6">
        <v>2.3959999999999999</v>
      </c>
      <c r="O1298" s="6">
        <v>2.3959999999999999</v>
      </c>
      <c r="P1298" s="6">
        <v>2</v>
      </c>
      <c r="Q1298" s="4" t="s">
        <v>26</v>
      </c>
      <c r="R1298" s="4">
        <v>0</v>
      </c>
      <c r="S1298" s="4" t="s">
        <v>328</v>
      </c>
      <c r="T1298" s="4" t="s">
        <v>598</v>
      </c>
      <c r="U1298" s="4">
        <v>0</v>
      </c>
      <c r="V1298" s="4">
        <v>41</v>
      </c>
      <c r="W1298" s="4">
        <v>85</v>
      </c>
    </row>
    <row r="1299" spans="1:23" ht="11.25" customHeight="1" x14ac:dyDescent="0.25">
      <c r="A1299" s="4" t="s">
        <v>21</v>
      </c>
      <c r="B1299" s="4" t="s">
        <v>22</v>
      </c>
      <c r="C1299" s="4" t="s">
        <v>23</v>
      </c>
      <c r="D1299" s="4" t="s">
        <v>24</v>
      </c>
      <c r="E1299" s="4" t="s">
        <v>32</v>
      </c>
      <c r="F1299" s="4" t="s">
        <v>25</v>
      </c>
      <c r="G1299" s="4" t="s">
        <v>25</v>
      </c>
      <c r="H1299" s="4" t="s">
        <v>25</v>
      </c>
      <c r="I1299" s="5">
        <v>44835</v>
      </c>
      <c r="J1299" s="6">
        <v>0</v>
      </c>
      <c r="K1299" s="6">
        <v>0</v>
      </c>
      <c r="L1299" s="6">
        <v>2802.288</v>
      </c>
      <c r="M1299" s="6">
        <v>2802.288</v>
      </c>
      <c r="N1299" s="6">
        <v>2802.288</v>
      </c>
      <c r="O1299" s="6">
        <v>2802.288</v>
      </c>
      <c r="P1299" s="6">
        <v>9559</v>
      </c>
      <c r="Q1299" s="4" t="s">
        <v>26</v>
      </c>
      <c r="R1299" s="4">
        <v>0</v>
      </c>
      <c r="S1299" s="4" t="s">
        <v>329</v>
      </c>
      <c r="T1299" s="4" t="s">
        <v>599</v>
      </c>
      <c r="U1299" s="4">
        <v>0</v>
      </c>
      <c r="V1299" s="4">
        <v>41</v>
      </c>
      <c r="W1299" s="4">
        <v>85</v>
      </c>
    </row>
    <row r="1300" spans="1:23" ht="11.25" customHeight="1" x14ac:dyDescent="0.25">
      <c r="A1300" s="4" t="s">
        <v>27</v>
      </c>
      <c r="B1300" s="4" t="s">
        <v>22</v>
      </c>
      <c r="C1300" s="4" t="s">
        <v>23</v>
      </c>
      <c r="D1300" s="4" t="s">
        <v>24</v>
      </c>
      <c r="E1300" s="4" t="s">
        <v>32</v>
      </c>
      <c r="F1300" s="4" t="s">
        <v>25</v>
      </c>
      <c r="G1300" s="4" t="s">
        <v>25</v>
      </c>
      <c r="H1300" s="4" t="s">
        <v>25</v>
      </c>
      <c r="I1300" s="5">
        <v>44835</v>
      </c>
      <c r="J1300" s="6">
        <v>0</v>
      </c>
      <c r="K1300" s="6">
        <v>0</v>
      </c>
      <c r="L1300" s="6">
        <v>-7.4139999999999997</v>
      </c>
      <c r="M1300" s="6">
        <v>-7.4139999999999997</v>
      </c>
      <c r="N1300" s="6">
        <v>-7.4139999999999997</v>
      </c>
      <c r="O1300" s="6">
        <v>-7.4139999999999997</v>
      </c>
      <c r="P1300" s="6">
        <v>-3</v>
      </c>
      <c r="Q1300" s="4" t="s">
        <v>26</v>
      </c>
      <c r="R1300" s="4">
        <v>0</v>
      </c>
      <c r="S1300" s="4" t="s">
        <v>329</v>
      </c>
      <c r="T1300" s="4" t="s">
        <v>599</v>
      </c>
      <c r="U1300" s="4">
        <v>0</v>
      </c>
      <c r="V1300" s="4">
        <v>41</v>
      </c>
      <c r="W1300" s="4">
        <v>85</v>
      </c>
    </row>
    <row r="1301" spans="1:23" ht="11.25" customHeight="1" x14ac:dyDescent="0.25">
      <c r="A1301" s="4" t="s">
        <v>28</v>
      </c>
      <c r="B1301" s="4" t="s">
        <v>22</v>
      </c>
      <c r="C1301" s="4" t="s">
        <v>23</v>
      </c>
      <c r="D1301" s="4" t="s">
        <v>24</v>
      </c>
      <c r="E1301" s="4" t="s">
        <v>32</v>
      </c>
      <c r="F1301" s="4" t="s">
        <v>25</v>
      </c>
      <c r="G1301" s="4" t="s">
        <v>25</v>
      </c>
      <c r="H1301" s="4" t="s">
        <v>25</v>
      </c>
      <c r="I1301" s="5">
        <v>44835</v>
      </c>
      <c r="J1301" s="6">
        <v>0</v>
      </c>
      <c r="K1301" s="6">
        <v>0</v>
      </c>
      <c r="L1301" s="6">
        <v>1254.0550000000001</v>
      </c>
      <c r="M1301" s="6">
        <v>1254.0550000000001</v>
      </c>
      <c r="N1301" s="6">
        <v>1254.0550000000001</v>
      </c>
      <c r="O1301" s="6">
        <v>1254.0550000000001</v>
      </c>
      <c r="P1301" s="6">
        <v>7651</v>
      </c>
      <c r="Q1301" s="4" t="s">
        <v>26</v>
      </c>
      <c r="R1301" s="4">
        <v>0</v>
      </c>
      <c r="S1301" s="4" t="s">
        <v>329</v>
      </c>
      <c r="T1301" s="4" t="s">
        <v>599</v>
      </c>
      <c r="U1301" s="4">
        <v>0</v>
      </c>
      <c r="V1301" s="4">
        <v>41</v>
      </c>
      <c r="W1301" s="4">
        <v>85</v>
      </c>
    </row>
    <row r="1302" spans="1:23" ht="11.25" customHeight="1" x14ac:dyDescent="0.25">
      <c r="A1302" s="4" t="s">
        <v>29</v>
      </c>
      <c r="B1302" s="4" t="s">
        <v>22</v>
      </c>
      <c r="C1302" s="4" t="s">
        <v>23</v>
      </c>
      <c r="D1302" s="4" t="s">
        <v>24</v>
      </c>
      <c r="E1302" s="4" t="s">
        <v>32</v>
      </c>
      <c r="F1302" s="4" t="s">
        <v>25</v>
      </c>
      <c r="G1302" s="4" t="s">
        <v>25</v>
      </c>
      <c r="H1302" s="4" t="s">
        <v>25</v>
      </c>
      <c r="I1302" s="5">
        <v>44835</v>
      </c>
      <c r="J1302" s="6">
        <v>0</v>
      </c>
      <c r="K1302" s="6">
        <v>0</v>
      </c>
      <c r="L1302" s="6">
        <v>-3.7069999999999999</v>
      </c>
      <c r="M1302" s="6">
        <v>-3.7069999999999999</v>
      </c>
      <c r="N1302" s="6">
        <v>-3.7069999999999999</v>
      </c>
      <c r="O1302" s="6">
        <v>-3.7069999999999999</v>
      </c>
      <c r="P1302" s="6">
        <v>-4</v>
      </c>
      <c r="Q1302" s="4" t="s">
        <v>26</v>
      </c>
      <c r="R1302" s="4">
        <v>0</v>
      </c>
      <c r="S1302" s="4" t="s">
        <v>329</v>
      </c>
      <c r="T1302" s="4" t="s">
        <v>599</v>
      </c>
      <c r="U1302" s="4">
        <v>0</v>
      </c>
      <c r="V1302" s="4">
        <v>41</v>
      </c>
      <c r="W1302" s="4">
        <v>85</v>
      </c>
    </row>
    <row r="1303" spans="1:23" ht="11.25" customHeight="1" x14ac:dyDescent="0.25">
      <c r="A1303" s="4" t="s">
        <v>30</v>
      </c>
      <c r="B1303" s="4" t="s">
        <v>22</v>
      </c>
      <c r="C1303" s="4" t="s">
        <v>23</v>
      </c>
      <c r="D1303" s="4" t="s">
        <v>24</v>
      </c>
      <c r="E1303" s="4" t="s">
        <v>32</v>
      </c>
      <c r="F1303" s="4" t="s">
        <v>25</v>
      </c>
      <c r="G1303" s="4" t="s">
        <v>25</v>
      </c>
      <c r="H1303" s="4" t="s">
        <v>25</v>
      </c>
      <c r="I1303" s="5">
        <v>44835</v>
      </c>
      <c r="J1303" s="6">
        <v>0</v>
      </c>
      <c r="K1303" s="6">
        <v>0</v>
      </c>
      <c r="L1303" s="6">
        <v>2.5870000000000002</v>
      </c>
      <c r="M1303" s="6">
        <v>2.5870000000000002</v>
      </c>
      <c r="N1303" s="6">
        <v>2.5870000000000002</v>
      </c>
      <c r="O1303" s="6">
        <v>2.5870000000000002</v>
      </c>
      <c r="P1303" s="6">
        <v>0</v>
      </c>
      <c r="Q1303" s="4" t="s">
        <v>26</v>
      </c>
      <c r="R1303" s="4">
        <v>0</v>
      </c>
      <c r="S1303" s="4" t="s">
        <v>329</v>
      </c>
      <c r="T1303" s="4" t="s">
        <v>599</v>
      </c>
      <c r="U1303" s="4">
        <v>0</v>
      </c>
      <c r="V1303" s="4">
        <v>41</v>
      </c>
      <c r="W1303" s="4">
        <v>85</v>
      </c>
    </row>
    <row r="1304" spans="1:23" ht="11.25" customHeight="1" x14ac:dyDescent="0.25">
      <c r="A1304" s="4" t="s">
        <v>59</v>
      </c>
      <c r="B1304" s="4" t="s">
        <v>22</v>
      </c>
      <c r="C1304" s="4" t="s">
        <v>23</v>
      </c>
      <c r="D1304" s="4" t="s">
        <v>24</v>
      </c>
      <c r="E1304" s="4" t="s">
        <v>32</v>
      </c>
      <c r="F1304" s="4" t="s">
        <v>25</v>
      </c>
      <c r="G1304" s="4" t="s">
        <v>25</v>
      </c>
      <c r="H1304" s="4" t="s">
        <v>25</v>
      </c>
      <c r="I1304" s="5">
        <v>44866</v>
      </c>
      <c r="J1304" s="6">
        <v>0</v>
      </c>
      <c r="K1304" s="6">
        <v>0</v>
      </c>
      <c r="L1304" s="6">
        <v>2802.288</v>
      </c>
      <c r="M1304" s="6">
        <v>2802.288</v>
      </c>
      <c r="N1304" s="6">
        <v>2802.288</v>
      </c>
      <c r="O1304" s="6">
        <v>2802.288</v>
      </c>
      <c r="P1304" s="6">
        <v>9559</v>
      </c>
      <c r="Q1304" s="4" t="s">
        <v>26</v>
      </c>
      <c r="R1304" s="4">
        <v>0</v>
      </c>
      <c r="S1304" s="4" t="s">
        <v>330</v>
      </c>
      <c r="T1304" s="4" t="s">
        <v>600</v>
      </c>
      <c r="U1304" s="4">
        <v>0</v>
      </c>
      <c r="V1304" s="4">
        <v>41</v>
      </c>
      <c r="W1304" s="4">
        <v>85</v>
      </c>
    </row>
    <row r="1305" spans="1:23" ht="11.25" customHeight="1" x14ac:dyDescent="0.25">
      <c r="A1305" s="4" t="s">
        <v>59</v>
      </c>
      <c r="B1305" s="4" t="s">
        <v>22</v>
      </c>
      <c r="C1305" s="4" t="s">
        <v>23</v>
      </c>
      <c r="D1305" s="4" t="s">
        <v>24</v>
      </c>
      <c r="E1305" s="4" t="s">
        <v>32</v>
      </c>
      <c r="F1305" s="4" t="s">
        <v>25</v>
      </c>
      <c r="G1305" s="4" t="s">
        <v>25</v>
      </c>
      <c r="H1305" s="4" t="s">
        <v>25</v>
      </c>
      <c r="I1305" s="5">
        <v>44866</v>
      </c>
      <c r="J1305" s="6">
        <v>0</v>
      </c>
      <c r="K1305" s="6">
        <v>0</v>
      </c>
      <c r="L1305" s="6">
        <v>-7.4139999999999997</v>
      </c>
      <c r="M1305" s="6">
        <v>-7.4139999999999997</v>
      </c>
      <c r="N1305" s="6">
        <v>-7.4139999999999997</v>
      </c>
      <c r="O1305" s="6">
        <v>-7.4139999999999997</v>
      </c>
      <c r="P1305" s="6">
        <v>-3</v>
      </c>
      <c r="Q1305" s="4" t="s">
        <v>26</v>
      </c>
      <c r="R1305" s="4">
        <v>0</v>
      </c>
      <c r="S1305" s="4" t="s">
        <v>330</v>
      </c>
      <c r="T1305" s="4" t="s">
        <v>600</v>
      </c>
      <c r="U1305" s="4">
        <v>0</v>
      </c>
      <c r="V1305" s="4">
        <v>41</v>
      </c>
      <c r="W1305" s="4">
        <v>85</v>
      </c>
    </row>
    <row r="1306" spans="1:23" ht="11.25" customHeight="1" x14ac:dyDescent="0.25">
      <c r="A1306" s="4" t="s">
        <v>59</v>
      </c>
      <c r="B1306" s="4" t="s">
        <v>22</v>
      </c>
      <c r="C1306" s="4" t="s">
        <v>23</v>
      </c>
      <c r="D1306" s="4" t="s">
        <v>24</v>
      </c>
      <c r="E1306" s="4" t="s">
        <v>32</v>
      </c>
      <c r="F1306" s="4" t="s">
        <v>25</v>
      </c>
      <c r="G1306" s="4" t="s">
        <v>25</v>
      </c>
      <c r="H1306" s="4" t="s">
        <v>25</v>
      </c>
      <c r="I1306" s="5">
        <v>44866</v>
      </c>
      <c r="J1306" s="6">
        <v>0</v>
      </c>
      <c r="K1306" s="6">
        <v>0</v>
      </c>
      <c r="L1306" s="6">
        <v>1254.0550000000001</v>
      </c>
      <c r="M1306" s="6">
        <v>1254.0550000000001</v>
      </c>
      <c r="N1306" s="6">
        <v>1254.0550000000001</v>
      </c>
      <c r="O1306" s="6">
        <v>1254.0550000000001</v>
      </c>
      <c r="P1306" s="6">
        <v>7651</v>
      </c>
      <c r="Q1306" s="4" t="s">
        <v>26</v>
      </c>
      <c r="R1306" s="4">
        <v>0</v>
      </c>
      <c r="S1306" s="4" t="s">
        <v>330</v>
      </c>
      <c r="T1306" s="4" t="s">
        <v>600</v>
      </c>
      <c r="U1306" s="4">
        <v>0</v>
      </c>
      <c r="V1306" s="4">
        <v>41</v>
      </c>
      <c r="W1306" s="4">
        <v>85</v>
      </c>
    </row>
    <row r="1307" spans="1:23" ht="11.25" customHeight="1" x14ac:dyDescent="0.25">
      <c r="A1307" s="4" t="s">
        <v>59</v>
      </c>
      <c r="B1307" s="4" t="s">
        <v>22</v>
      </c>
      <c r="C1307" s="4" t="s">
        <v>23</v>
      </c>
      <c r="D1307" s="4" t="s">
        <v>24</v>
      </c>
      <c r="E1307" s="4" t="s">
        <v>32</v>
      </c>
      <c r="F1307" s="4" t="s">
        <v>25</v>
      </c>
      <c r="G1307" s="4" t="s">
        <v>25</v>
      </c>
      <c r="H1307" s="4" t="s">
        <v>25</v>
      </c>
      <c r="I1307" s="5">
        <v>44866</v>
      </c>
      <c r="J1307" s="6">
        <v>0</v>
      </c>
      <c r="K1307" s="6">
        <v>0</v>
      </c>
      <c r="L1307" s="6">
        <v>-3.7069999999999999</v>
      </c>
      <c r="M1307" s="6">
        <v>-3.7069999999999999</v>
      </c>
      <c r="N1307" s="6">
        <v>-3.7069999999999999</v>
      </c>
      <c r="O1307" s="6">
        <v>-3.7069999999999999</v>
      </c>
      <c r="P1307" s="6">
        <v>-4</v>
      </c>
      <c r="Q1307" s="4" t="s">
        <v>26</v>
      </c>
      <c r="R1307" s="4">
        <v>0</v>
      </c>
      <c r="S1307" s="4" t="s">
        <v>330</v>
      </c>
      <c r="T1307" s="4" t="s">
        <v>600</v>
      </c>
      <c r="U1307" s="4">
        <v>0</v>
      </c>
      <c r="V1307" s="4">
        <v>41</v>
      </c>
      <c r="W1307" s="4">
        <v>85</v>
      </c>
    </row>
    <row r="1308" spans="1:23" ht="11.25" customHeight="1" x14ac:dyDescent="0.25">
      <c r="A1308" s="4" t="s">
        <v>59</v>
      </c>
      <c r="B1308" s="4" t="s">
        <v>22</v>
      </c>
      <c r="C1308" s="4" t="s">
        <v>23</v>
      </c>
      <c r="D1308" s="4" t="s">
        <v>24</v>
      </c>
      <c r="E1308" s="4" t="s">
        <v>32</v>
      </c>
      <c r="F1308" s="4" t="s">
        <v>25</v>
      </c>
      <c r="G1308" s="4" t="s">
        <v>25</v>
      </c>
      <c r="H1308" s="4" t="s">
        <v>25</v>
      </c>
      <c r="I1308" s="5">
        <v>44866</v>
      </c>
      <c r="J1308" s="6">
        <v>0</v>
      </c>
      <c r="K1308" s="6">
        <v>0</v>
      </c>
      <c r="L1308" s="6">
        <v>2.5870000000000002</v>
      </c>
      <c r="M1308" s="6">
        <v>2.5870000000000002</v>
      </c>
      <c r="N1308" s="6">
        <v>2.5870000000000002</v>
      </c>
      <c r="O1308" s="6">
        <v>2.5870000000000002</v>
      </c>
      <c r="P1308" s="6">
        <v>0</v>
      </c>
      <c r="Q1308" s="4" t="s">
        <v>26</v>
      </c>
      <c r="R1308" s="4">
        <v>0</v>
      </c>
      <c r="S1308" s="4" t="s">
        <v>330</v>
      </c>
      <c r="T1308" s="4" t="s">
        <v>600</v>
      </c>
      <c r="U1308" s="4">
        <v>0</v>
      </c>
      <c r="V1308" s="4">
        <v>41</v>
      </c>
      <c r="W1308" s="4">
        <v>85</v>
      </c>
    </row>
    <row r="1309" spans="1:23" ht="11.25" customHeight="1" x14ac:dyDescent="0.25">
      <c r="A1309" s="4" t="s">
        <v>21</v>
      </c>
      <c r="B1309" s="4" t="s">
        <v>22</v>
      </c>
      <c r="C1309" s="4" t="s">
        <v>23</v>
      </c>
      <c r="D1309" s="4" t="s">
        <v>24</v>
      </c>
      <c r="E1309" s="4" t="s">
        <v>33</v>
      </c>
      <c r="F1309" s="4" t="s">
        <v>25</v>
      </c>
      <c r="G1309" s="4" t="s">
        <v>25</v>
      </c>
      <c r="H1309" s="4" t="s">
        <v>25</v>
      </c>
      <c r="I1309" s="5">
        <v>44531</v>
      </c>
      <c r="J1309" s="6">
        <v>0</v>
      </c>
      <c r="K1309" s="6">
        <v>0</v>
      </c>
      <c r="L1309" s="6">
        <v>1946.9680000000001</v>
      </c>
      <c r="M1309" s="6">
        <v>1946.9680000000001</v>
      </c>
      <c r="N1309" s="6">
        <v>1946.9680000000001</v>
      </c>
      <c r="O1309" s="6">
        <v>1946.9680000000001</v>
      </c>
      <c r="P1309" s="6">
        <v>17173</v>
      </c>
      <c r="Q1309" s="4" t="s">
        <v>26</v>
      </c>
      <c r="R1309" s="4">
        <v>0</v>
      </c>
      <c r="S1309" s="4" t="s">
        <v>331</v>
      </c>
      <c r="T1309" s="4" t="s">
        <v>601</v>
      </c>
      <c r="U1309" s="4">
        <v>0</v>
      </c>
      <c r="V1309" s="4">
        <v>42</v>
      </c>
      <c r="W1309" s="4">
        <v>86</v>
      </c>
    </row>
    <row r="1310" spans="1:23" ht="11.25" customHeight="1" x14ac:dyDescent="0.25">
      <c r="A1310" s="4" t="s">
        <v>27</v>
      </c>
      <c r="B1310" s="4" t="s">
        <v>22</v>
      </c>
      <c r="C1310" s="4" t="s">
        <v>23</v>
      </c>
      <c r="D1310" s="4" t="s">
        <v>24</v>
      </c>
      <c r="E1310" s="4" t="s">
        <v>33</v>
      </c>
      <c r="F1310" s="4" t="s">
        <v>25</v>
      </c>
      <c r="G1310" s="4" t="s">
        <v>25</v>
      </c>
      <c r="H1310" s="4" t="s">
        <v>25</v>
      </c>
      <c r="I1310" s="5">
        <v>44531</v>
      </c>
      <c r="J1310" s="6">
        <v>0</v>
      </c>
      <c r="K1310" s="6">
        <v>0</v>
      </c>
      <c r="L1310" s="6">
        <v>-29.727</v>
      </c>
      <c r="M1310" s="6">
        <v>-29.727</v>
      </c>
      <c r="N1310" s="6">
        <v>-29.727</v>
      </c>
      <c r="O1310" s="6">
        <v>-29.727</v>
      </c>
      <c r="P1310" s="6">
        <v>-55</v>
      </c>
      <c r="Q1310" s="4" t="s">
        <v>26</v>
      </c>
      <c r="R1310" s="4">
        <v>0</v>
      </c>
      <c r="S1310" s="4" t="s">
        <v>331</v>
      </c>
      <c r="T1310" s="4" t="s">
        <v>601</v>
      </c>
      <c r="U1310" s="4">
        <v>0</v>
      </c>
      <c r="V1310" s="4">
        <v>42</v>
      </c>
      <c r="W1310" s="4">
        <v>86</v>
      </c>
    </row>
    <row r="1311" spans="1:23" ht="11.25" customHeight="1" x14ac:dyDescent="0.25">
      <c r="A1311" s="4" t="s">
        <v>28</v>
      </c>
      <c r="B1311" s="4" t="s">
        <v>22</v>
      </c>
      <c r="C1311" s="4" t="s">
        <v>23</v>
      </c>
      <c r="D1311" s="4" t="s">
        <v>24</v>
      </c>
      <c r="E1311" s="4" t="s">
        <v>33</v>
      </c>
      <c r="F1311" s="4" t="s">
        <v>25</v>
      </c>
      <c r="G1311" s="4" t="s">
        <v>25</v>
      </c>
      <c r="H1311" s="4" t="s">
        <v>25</v>
      </c>
      <c r="I1311" s="5">
        <v>44531</v>
      </c>
      <c r="J1311" s="6">
        <v>0</v>
      </c>
      <c r="K1311" s="6">
        <v>0</v>
      </c>
      <c r="L1311" s="6">
        <v>679.99</v>
      </c>
      <c r="M1311" s="6">
        <v>679.99</v>
      </c>
      <c r="N1311" s="6">
        <v>679.99</v>
      </c>
      <c r="O1311" s="6">
        <v>679.99</v>
      </c>
      <c r="P1311" s="6">
        <v>8647</v>
      </c>
      <c r="Q1311" s="4" t="s">
        <v>26</v>
      </c>
      <c r="R1311" s="4">
        <v>0</v>
      </c>
      <c r="S1311" s="4" t="s">
        <v>331</v>
      </c>
      <c r="T1311" s="4" t="s">
        <v>601</v>
      </c>
      <c r="U1311" s="4">
        <v>0</v>
      </c>
      <c r="V1311" s="4">
        <v>42</v>
      </c>
      <c r="W1311" s="4">
        <v>86</v>
      </c>
    </row>
    <row r="1312" spans="1:23" ht="11.25" customHeight="1" x14ac:dyDescent="0.25">
      <c r="A1312" s="4" t="s">
        <v>29</v>
      </c>
      <c r="B1312" s="4" t="s">
        <v>22</v>
      </c>
      <c r="C1312" s="4" t="s">
        <v>23</v>
      </c>
      <c r="D1312" s="4" t="s">
        <v>24</v>
      </c>
      <c r="E1312" s="4" t="s">
        <v>33</v>
      </c>
      <c r="F1312" s="4" t="s">
        <v>25</v>
      </c>
      <c r="G1312" s="4" t="s">
        <v>25</v>
      </c>
      <c r="H1312" s="4" t="s">
        <v>25</v>
      </c>
      <c r="I1312" s="5">
        <v>44531</v>
      </c>
      <c r="J1312" s="6">
        <v>0</v>
      </c>
      <c r="K1312" s="6">
        <v>0</v>
      </c>
      <c r="L1312" s="6">
        <v>-0.59099999999999997</v>
      </c>
      <c r="M1312" s="6">
        <v>-0.59099999999999997</v>
      </c>
      <c r="N1312" s="6">
        <v>-0.59099999999999997</v>
      </c>
      <c r="O1312" s="6">
        <v>-0.59099999999999997</v>
      </c>
      <c r="P1312" s="6">
        <v>-7</v>
      </c>
      <c r="Q1312" s="4" t="s">
        <v>26</v>
      </c>
      <c r="R1312" s="4">
        <v>0</v>
      </c>
      <c r="S1312" s="4" t="s">
        <v>331</v>
      </c>
      <c r="T1312" s="4" t="s">
        <v>601</v>
      </c>
      <c r="U1312" s="4">
        <v>0</v>
      </c>
      <c r="V1312" s="4">
        <v>42</v>
      </c>
      <c r="W1312" s="4">
        <v>86</v>
      </c>
    </row>
    <row r="1313" spans="1:23" ht="11.25" customHeight="1" x14ac:dyDescent="0.25">
      <c r="A1313" s="4" t="s">
        <v>30</v>
      </c>
      <c r="B1313" s="4" t="s">
        <v>22</v>
      </c>
      <c r="C1313" s="4" t="s">
        <v>23</v>
      </c>
      <c r="D1313" s="4" t="s">
        <v>24</v>
      </c>
      <c r="E1313" s="4" t="s">
        <v>33</v>
      </c>
      <c r="F1313" s="4" t="s">
        <v>25</v>
      </c>
      <c r="G1313" s="4" t="s">
        <v>25</v>
      </c>
      <c r="H1313" s="4" t="s">
        <v>25</v>
      </c>
      <c r="I1313" s="5">
        <v>44531</v>
      </c>
      <c r="J1313" s="6">
        <v>0</v>
      </c>
      <c r="K1313" s="6">
        <v>0</v>
      </c>
      <c r="L1313" s="6">
        <v>1.887</v>
      </c>
      <c r="M1313" s="6">
        <v>1.887</v>
      </c>
      <c r="N1313" s="6">
        <v>1.887</v>
      </c>
      <c r="O1313" s="6">
        <v>1.887</v>
      </c>
      <c r="P1313" s="6">
        <v>1</v>
      </c>
      <c r="Q1313" s="4" t="s">
        <v>26</v>
      </c>
      <c r="R1313" s="4">
        <v>0</v>
      </c>
      <c r="S1313" s="4" t="s">
        <v>331</v>
      </c>
      <c r="T1313" s="4" t="s">
        <v>601</v>
      </c>
      <c r="U1313" s="4">
        <v>0</v>
      </c>
      <c r="V1313" s="4">
        <v>42</v>
      </c>
      <c r="W1313" s="4">
        <v>86</v>
      </c>
    </row>
    <row r="1314" spans="1:23" ht="11.25" customHeight="1" x14ac:dyDescent="0.25">
      <c r="A1314" s="4" t="s">
        <v>30</v>
      </c>
      <c r="B1314" s="4" t="s">
        <v>22</v>
      </c>
      <c r="C1314" s="4" t="s">
        <v>23</v>
      </c>
      <c r="D1314" s="4" t="s">
        <v>24</v>
      </c>
      <c r="E1314" s="4" t="s">
        <v>33</v>
      </c>
      <c r="F1314" s="4" t="s">
        <v>25</v>
      </c>
      <c r="G1314" s="4" t="s">
        <v>25</v>
      </c>
      <c r="H1314" s="4" t="s">
        <v>25</v>
      </c>
      <c r="I1314" s="5">
        <v>44531</v>
      </c>
      <c r="J1314" s="6">
        <v>0</v>
      </c>
      <c r="K1314" s="6">
        <v>0</v>
      </c>
      <c r="L1314" s="6">
        <v>-0.12</v>
      </c>
      <c r="M1314" s="6">
        <v>-0.12</v>
      </c>
      <c r="N1314" s="6">
        <v>-0.12</v>
      </c>
      <c r="O1314" s="6">
        <v>-0.12</v>
      </c>
      <c r="P1314" s="6">
        <v>0</v>
      </c>
      <c r="Q1314" s="4" t="s">
        <v>26</v>
      </c>
      <c r="R1314" s="4">
        <v>0</v>
      </c>
      <c r="S1314" s="4" t="s">
        <v>331</v>
      </c>
      <c r="T1314" s="4" t="s">
        <v>601</v>
      </c>
      <c r="U1314" s="4">
        <v>0</v>
      </c>
      <c r="V1314" s="4">
        <v>42</v>
      </c>
      <c r="W1314" s="4">
        <v>86</v>
      </c>
    </row>
    <row r="1315" spans="1:23" ht="11.25" customHeight="1" x14ac:dyDescent="0.25">
      <c r="A1315" s="4" t="s">
        <v>21</v>
      </c>
      <c r="B1315" s="4" t="s">
        <v>22</v>
      </c>
      <c r="C1315" s="4" t="s">
        <v>23</v>
      </c>
      <c r="D1315" s="4" t="s">
        <v>24</v>
      </c>
      <c r="E1315" s="4" t="s">
        <v>33</v>
      </c>
      <c r="F1315" s="4" t="s">
        <v>25</v>
      </c>
      <c r="G1315" s="4" t="s">
        <v>25</v>
      </c>
      <c r="H1315" s="4" t="s">
        <v>25</v>
      </c>
      <c r="I1315" s="5">
        <v>44562</v>
      </c>
      <c r="J1315" s="6">
        <v>0</v>
      </c>
      <c r="K1315" s="6">
        <v>0</v>
      </c>
      <c r="L1315" s="6">
        <v>1980.35</v>
      </c>
      <c r="M1315" s="6">
        <v>1980.35</v>
      </c>
      <c r="N1315" s="6">
        <v>1980.35</v>
      </c>
      <c r="O1315" s="6">
        <v>1980.35</v>
      </c>
      <c r="P1315" s="6">
        <v>17131</v>
      </c>
      <c r="Q1315" s="4" t="s">
        <v>26</v>
      </c>
      <c r="R1315" s="4">
        <v>0</v>
      </c>
      <c r="S1315" s="4" t="s">
        <v>332</v>
      </c>
      <c r="T1315" s="4" t="s">
        <v>602</v>
      </c>
      <c r="U1315" s="4">
        <v>0</v>
      </c>
      <c r="V1315" s="4">
        <v>42</v>
      </c>
      <c r="W1315" s="4">
        <v>86</v>
      </c>
    </row>
    <row r="1316" spans="1:23" ht="11.25" customHeight="1" x14ac:dyDescent="0.25">
      <c r="A1316" s="4" t="s">
        <v>27</v>
      </c>
      <c r="B1316" s="4" t="s">
        <v>22</v>
      </c>
      <c r="C1316" s="4" t="s">
        <v>23</v>
      </c>
      <c r="D1316" s="4" t="s">
        <v>24</v>
      </c>
      <c r="E1316" s="4" t="s">
        <v>33</v>
      </c>
      <c r="F1316" s="4" t="s">
        <v>25</v>
      </c>
      <c r="G1316" s="4" t="s">
        <v>25</v>
      </c>
      <c r="H1316" s="4" t="s">
        <v>25</v>
      </c>
      <c r="I1316" s="5">
        <v>44562</v>
      </c>
      <c r="J1316" s="6">
        <v>0</v>
      </c>
      <c r="K1316" s="6">
        <v>0</v>
      </c>
      <c r="L1316" s="6">
        <v>-11.058999999999999</v>
      </c>
      <c r="M1316" s="6">
        <v>-11.058999999999999</v>
      </c>
      <c r="N1316" s="6">
        <v>-11.058999999999999</v>
      </c>
      <c r="O1316" s="6">
        <v>-11.058999999999999</v>
      </c>
      <c r="P1316" s="6">
        <v>-81</v>
      </c>
      <c r="Q1316" s="4" t="s">
        <v>26</v>
      </c>
      <c r="R1316" s="4">
        <v>0</v>
      </c>
      <c r="S1316" s="4" t="s">
        <v>332</v>
      </c>
      <c r="T1316" s="4" t="s">
        <v>602</v>
      </c>
      <c r="U1316" s="4">
        <v>0</v>
      </c>
      <c r="V1316" s="4">
        <v>42</v>
      </c>
      <c r="W1316" s="4">
        <v>86</v>
      </c>
    </row>
    <row r="1317" spans="1:23" ht="11.25" customHeight="1" x14ac:dyDescent="0.25">
      <c r="A1317" s="4" t="s">
        <v>28</v>
      </c>
      <c r="B1317" s="4" t="s">
        <v>22</v>
      </c>
      <c r="C1317" s="4" t="s">
        <v>23</v>
      </c>
      <c r="D1317" s="4" t="s">
        <v>24</v>
      </c>
      <c r="E1317" s="4" t="s">
        <v>33</v>
      </c>
      <c r="F1317" s="4" t="s">
        <v>25</v>
      </c>
      <c r="G1317" s="4" t="s">
        <v>25</v>
      </c>
      <c r="H1317" s="4" t="s">
        <v>25</v>
      </c>
      <c r="I1317" s="5">
        <v>44562</v>
      </c>
      <c r="J1317" s="6">
        <v>0</v>
      </c>
      <c r="K1317" s="6">
        <v>0</v>
      </c>
      <c r="L1317" s="6">
        <v>698.64099999999996</v>
      </c>
      <c r="M1317" s="6">
        <v>698.64099999999996</v>
      </c>
      <c r="N1317" s="6">
        <v>698.64099999999996</v>
      </c>
      <c r="O1317" s="6">
        <v>698.64099999999996</v>
      </c>
      <c r="P1317" s="6">
        <v>8716</v>
      </c>
      <c r="Q1317" s="4" t="s">
        <v>26</v>
      </c>
      <c r="R1317" s="4">
        <v>0</v>
      </c>
      <c r="S1317" s="4" t="s">
        <v>332</v>
      </c>
      <c r="T1317" s="4" t="s">
        <v>602</v>
      </c>
      <c r="U1317" s="4">
        <v>0</v>
      </c>
      <c r="V1317" s="4">
        <v>42</v>
      </c>
      <c r="W1317" s="4">
        <v>86</v>
      </c>
    </row>
    <row r="1318" spans="1:23" ht="11.25" customHeight="1" x14ac:dyDescent="0.25">
      <c r="A1318" s="4" t="s">
        <v>29</v>
      </c>
      <c r="B1318" s="4" t="s">
        <v>22</v>
      </c>
      <c r="C1318" s="4" t="s">
        <v>23</v>
      </c>
      <c r="D1318" s="4" t="s">
        <v>24</v>
      </c>
      <c r="E1318" s="4" t="s">
        <v>33</v>
      </c>
      <c r="F1318" s="4" t="s">
        <v>25</v>
      </c>
      <c r="G1318" s="4" t="s">
        <v>25</v>
      </c>
      <c r="H1318" s="4" t="s">
        <v>25</v>
      </c>
      <c r="I1318" s="5">
        <v>44562</v>
      </c>
      <c r="J1318" s="6">
        <v>0</v>
      </c>
      <c r="K1318" s="6">
        <v>0</v>
      </c>
      <c r="L1318" s="6">
        <v>-0.83499999999999996</v>
      </c>
      <c r="M1318" s="6">
        <v>-0.83499999999999996</v>
      </c>
      <c r="N1318" s="6">
        <v>-0.83499999999999996</v>
      </c>
      <c r="O1318" s="6">
        <v>-0.83499999999999996</v>
      </c>
      <c r="P1318" s="6">
        <v>-15</v>
      </c>
      <c r="Q1318" s="4" t="s">
        <v>26</v>
      </c>
      <c r="R1318" s="4">
        <v>0</v>
      </c>
      <c r="S1318" s="4" t="s">
        <v>332</v>
      </c>
      <c r="T1318" s="4" t="s">
        <v>602</v>
      </c>
      <c r="U1318" s="4">
        <v>0</v>
      </c>
      <c r="V1318" s="4">
        <v>42</v>
      </c>
      <c r="W1318" s="4">
        <v>86</v>
      </c>
    </row>
    <row r="1319" spans="1:23" ht="11.25" customHeight="1" x14ac:dyDescent="0.25">
      <c r="A1319" s="4" t="s">
        <v>30</v>
      </c>
      <c r="B1319" s="4" t="s">
        <v>22</v>
      </c>
      <c r="C1319" s="4" t="s">
        <v>23</v>
      </c>
      <c r="D1319" s="4" t="s">
        <v>24</v>
      </c>
      <c r="E1319" s="4" t="s">
        <v>33</v>
      </c>
      <c r="F1319" s="4" t="s">
        <v>25</v>
      </c>
      <c r="G1319" s="4" t="s">
        <v>25</v>
      </c>
      <c r="H1319" s="4" t="s">
        <v>25</v>
      </c>
      <c r="I1319" s="5">
        <v>44562</v>
      </c>
      <c r="J1319" s="6">
        <v>0</v>
      </c>
      <c r="K1319" s="6">
        <v>0</v>
      </c>
      <c r="L1319" s="6">
        <v>1.1519999999999999</v>
      </c>
      <c r="M1319" s="6">
        <v>1.1519999999999999</v>
      </c>
      <c r="N1319" s="6">
        <v>1.1519999999999999</v>
      </c>
      <c r="O1319" s="6">
        <v>1.1519999999999999</v>
      </c>
      <c r="P1319" s="6">
        <v>4</v>
      </c>
      <c r="Q1319" s="4" t="s">
        <v>26</v>
      </c>
      <c r="R1319" s="4">
        <v>0</v>
      </c>
      <c r="S1319" s="4" t="s">
        <v>332</v>
      </c>
      <c r="T1319" s="4" t="s">
        <v>602</v>
      </c>
      <c r="U1319" s="4">
        <v>0</v>
      </c>
      <c r="V1319" s="4">
        <v>42</v>
      </c>
      <c r="W1319" s="4">
        <v>86</v>
      </c>
    </row>
    <row r="1320" spans="1:23" ht="11.25" customHeight="1" x14ac:dyDescent="0.25">
      <c r="A1320" s="4" t="s">
        <v>30</v>
      </c>
      <c r="B1320" s="4" t="s">
        <v>22</v>
      </c>
      <c r="C1320" s="4" t="s">
        <v>23</v>
      </c>
      <c r="D1320" s="4" t="s">
        <v>24</v>
      </c>
      <c r="E1320" s="4" t="s">
        <v>33</v>
      </c>
      <c r="F1320" s="4" t="s">
        <v>25</v>
      </c>
      <c r="G1320" s="4" t="s">
        <v>25</v>
      </c>
      <c r="H1320" s="4" t="s">
        <v>25</v>
      </c>
      <c r="I1320" s="5">
        <v>44562</v>
      </c>
      <c r="J1320" s="6">
        <v>0</v>
      </c>
      <c r="K1320" s="6">
        <v>0</v>
      </c>
      <c r="L1320" s="6">
        <v>-0.12</v>
      </c>
      <c r="M1320" s="6">
        <v>-0.12</v>
      </c>
      <c r="N1320" s="6">
        <v>-0.12</v>
      </c>
      <c r="O1320" s="6">
        <v>-0.12</v>
      </c>
      <c r="P1320" s="6">
        <v>0</v>
      </c>
      <c r="Q1320" s="4" t="s">
        <v>26</v>
      </c>
      <c r="R1320" s="4">
        <v>0</v>
      </c>
      <c r="S1320" s="4" t="s">
        <v>332</v>
      </c>
      <c r="T1320" s="4" t="s">
        <v>602</v>
      </c>
      <c r="U1320" s="4">
        <v>0</v>
      </c>
      <c r="V1320" s="4">
        <v>42</v>
      </c>
      <c r="W1320" s="4">
        <v>86</v>
      </c>
    </row>
    <row r="1321" spans="1:23" ht="11.25" customHeight="1" x14ac:dyDescent="0.25">
      <c r="A1321" s="4" t="s">
        <v>21</v>
      </c>
      <c r="B1321" s="4" t="s">
        <v>22</v>
      </c>
      <c r="C1321" s="4" t="s">
        <v>23</v>
      </c>
      <c r="D1321" s="4" t="s">
        <v>24</v>
      </c>
      <c r="E1321" s="4" t="s">
        <v>33</v>
      </c>
      <c r="F1321" s="4" t="s">
        <v>25</v>
      </c>
      <c r="G1321" s="4" t="s">
        <v>25</v>
      </c>
      <c r="H1321" s="4" t="s">
        <v>25</v>
      </c>
      <c r="I1321" s="5">
        <v>44593</v>
      </c>
      <c r="J1321" s="6">
        <v>0</v>
      </c>
      <c r="K1321" s="6">
        <v>0</v>
      </c>
      <c r="L1321" s="6">
        <v>1915.366</v>
      </c>
      <c r="M1321" s="6">
        <v>1915.366</v>
      </c>
      <c r="N1321" s="6">
        <v>1915.366</v>
      </c>
      <c r="O1321" s="6">
        <v>1915.366</v>
      </c>
      <c r="P1321" s="6">
        <v>18658</v>
      </c>
      <c r="Q1321" s="4" t="s">
        <v>26</v>
      </c>
      <c r="R1321" s="4">
        <v>0</v>
      </c>
      <c r="S1321" s="4" t="s">
        <v>333</v>
      </c>
      <c r="T1321" s="4" t="s">
        <v>603</v>
      </c>
      <c r="U1321" s="4">
        <v>0</v>
      </c>
      <c r="V1321" s="4">
        <v>42</v>
      </c>
      <c r="W1321" s="4">
        <v>86</v>
      </c>
    </row>
    <row r="1322" spans="1:23" ht="11.25" customHeight="1" x14ac:dyDescent="0.25">
      <c r="A1322" s="4" t="s">
        <v>27</v>
      </c>
      <c r="B1322" s="4" t="s">
        <v>22</v>
      </c>
      <c r="C1322" s="4" t="s">
        <v>23</v>
      </c>
      <c r="D1322" s="4" t="s">
        <v>24</v>
      </c>
      <c r="E1322" s="4" t="s">
        <v>33</v>
      </c>
      <c r="F1322" s="4" t="s">
        <v>25</v>
      </c>
      <c r="G1322" s="4" t="s">
        <v>25</v>
      </c>
      <c r="H1322" s="4" t="s">
        <v>25</v>
      </c>
      <c r="I1322" s="5">
        <v>44593</v>
      </c>
      <c r="J1322" s="6">
        <v>0</v>
      </c>
      <c r="K1322" s="6">
        <v>0</v>
      </c>
      <c r="L1322" s="6">
        <v>-12.904</v>
      </c>
      <c r="M1322" s="6">
        <v>-12.904</v>
      </c>
      <c r="N1322" s="6">
        <v>-12.904</v>
      </c>
      <c r="O1322" s="6">
        <v>-12.904</v>
      </c>
      <c r="P1322" s="6">
        <v>-22</v>
      </c>
      <c r="Q1322" s="4" t="s">
        <v>26</v>
      </c>
      <c r="R1322" s="4">
        <v>0</v>
      </c>
      <c r="S1322" s="4" t="s">
        <v>333</v>
      </c>
      <c r="T1322" s="4" t="s">
        <v>603</v>
      </c>
      <c r="U1322" s="4">
        <v>0</v>
      </c>
      <c r="V1322" s="4">
        <v>42</v>
      </c>
      <c r="W1322" s="4">
        <v>86</v>
      </c>
    </row>
    <row r="1323" spans="1:23" ht="11.25" customHeight="1" x14ac:dyDescent="0.25">
      <c r="A1323" s="4" t="s">
        <v>28</v>
      </c>
      <c r="B1323" s="4" t="s">
        <v>22</v>
      </c>
      <c r="C1323" s="4" t="s">
        <v>23</v>
      </c>
      <c r="D1323" s="4" t="s">
        <v>24</v>
      </c>
      <c r="E1323" s="4" t="s">
        <v>33</v>
      </c>
      <c r="F1323" s="4" t="s">
        <v>25</v>
      </c>
      <c r="G1323" s="4" t="s">
        <v>25</v>
      </c>
      <c r="H1323" s="4" t="s">
        <v>25</v>
      </c>
      <c r="I1323" s="5">
        <v>44593</v>
      </c>
      <c r="J1323" s="6">
        <v>0</v>
      </c>
      <c r="K1323" s="6">
        <v>0</v>
      </c>
      <c r="L1323" s="6">
        <v>631.60599999999999</v>
      </c>
      <c r="M1323" s="6">
        <v>631.60599999999999</v>
      </c>
      <c r="N1323" s="6">
        <v>631.60599999999999</v>
      </c>
      <c r="O1323" s="6">
        <v>631.60599999999999</v>
      </c>
      <c r="P1323" s="6">
        <v>8574</v>
      </c>
      <c r="Q1323" s="4" t="s">
        <v>26</v>
      </c>
      <c r="R1323" s="4">
        <v>0</v>
      </c>
      <c r="S1323" s="4" t="s">
        <v>333</v>
      </c>
      <c r="T1323" s="4" t="s">
        <v>603</v>
      </c>
      <c r="U1323" s="4">
        <v>0</v>
      </c>
      <c r="V1323" s="4">
        <v>42</v>
      </c>
      <c r="W1323" s="4">
        <v>86</v>
      </c>
    </row>
    <row r="1324" spans="1:23" ht="11.25" customHeight="1" x14ac:dyDescent="0.25">
      <c r="A1324" s="4" t="s">
        <v>29</v>
      </c>
      <c r="B1324" s="4" t="s">
        <v>22</v>
      </c>
      <c r="C1324" s="4" t="s">
        <v>23</v>
      </c>
      <c r="D1324" s="4" t="s">
        <v>24</v>
      </c>
      <c r="E1324" s="4" t="s">
        <v>33</v>
      </c>
      <c r="F1324" s="4" t="s">
        <v>25</v>
      </c>
      <c r="G1324" s="4" t="s">
        <v>25</v>
      </c>
      <c r="H1324" s="4" t="s">
        <v>25</v>
      </c>
      <c r="I1324" s="5">
        <v>44593</v>
      </c>
      <c r="J1324" s="6">
        <v>0</v>
      </c>
      <c r="K1324" s="6">
        <v>0</v>
      </c>
      <c r="L1324" s="6">
        <v>-1.839</v>
      </c>
      <c r="M1324" s="6">
        <v>-1.839</v>
      </c>
      <c r="N1324" s="6">
        <v>-1.839</v>
      </c>
      <c r="O1324" s="6">
        <v>-1.839</v>
      </c>
      <c r="P1324" s="6">
        <v>-2</v>
      </c>
      <c r="Q1324" s="4" t="s">
        <v>26</v>
      </c>
      <c r="R1324" s="4">
        <v>0</v>
      </c>
      <c r="S1324" s="4" t="s">
        <v>333</v>
      </c>
      <c r="T1324" s="4" t="s">
        <v>603</v>
      </c>
      <c r="U1324" s="4">
        <v>0</v>
      </c>
      <c r="V1324" s="4">
        <v>42</v>
      </c>
      <c r="W1324" s="4">
        <v>86</v>
      </c>
    </row>
    <row r="1325" spans="1:23" ht="11.25" customHeight="1" x14ac:dyDescent="0.25">
      <c r="A1325" s="4" t="s">
        <v>30</v>
      </c>
      <c r="B1325" s="4" t="s">
        <v>22</v>
      </c>
      <c r="C1325" s="4" t="s">
        <v>23</v>
      </c>
      <c r="D1325" s="4" t="s">
        <v>24</v>
      </c>
      <c r="E1325" s="4" t="s">
        <v>33</v>
      </c>
      <c r="F1325" s="4" t="s">
        <v>25</v>
      </c>
      <c r="G1325" s="4" t="s">
        <v>25</v>
      </c>
      <c r="H1325" s="4" t="s">
        <v>25</v>
      </c>
      <c r="I1325" s="5">
        <v>44593</v>
      </c>
      <c r="J1325" s="6">
        <v>0</v>
      </c>
      <c r="K1325" s="6">
        <v>0</v>
      </c>
      <c r="L1325" s="6">
        <v>1.286</v>
      </c>
      <c r="M1325" s="6">
        <v>1.286</v>
      </c>
      <c r="N1325" s="6">
        <v>1.286</v>
      </c>
      <c r="O1325" s="6">
        <v>1.286</v>
      </c>
      <c r="P1325" s="6">
        <v>5</v>
      </c>
      <c r="Q1325" s="4" t="s">
        <v>26</v>
      </c>
      <c r="R1325" s="4">
        <v>0</v>
      </c>
      <c r="S1325" s="4" t="s">
        <v>333</v>
      </c>
      <c r="T1325" s="4" t="s">
        <v>603</v>
      </c>
      <c r="U1325" s="4">
        <v>0</v>
      </c>
      <c r="V1325" s="4">
        <v>42</v>
      </c>
      <c r="W1325" s="4">
        <v>86</v>
      </c>
    </row>
    <row r="1326" spans="1:23" ht="11.25" customHeight="1" x14ac:dyDescent="0.25">
      <c r="A1326" s="4" t="s">
        <v>30</v>
      </c>
      <c r="B1326" s="4" t="s">
        <v>22</v>
      </c>
      <c r="C1326" s="4" t="s">
        <v>23</v>
      </c>
      <c r="D1326" s="4" t="s">
        <v>24</v>
      </c>
      <c r="E1326" s="4" t="s">
        <v>33</v>
      </c>
      <c r="F1326" s="4" t="s">
        <v>25</v>
      </c>
      <c r="G1326" s="4" t="s">
        <v>25</v>
      </c>
      <c r="H1326" s="4" t="s">
        <v>25</v>
      </c>
      <c r="I1326" s="5">
        <v>44593</v>
      </c>
      <c r="J1326" s="6">
        <v>0</v>
      </c>
      <c r="K1326" s="6">
        <v>0</v>
      </c>
      <c r="L1326" s="6">
        <v>-0.12</v>
      </c>
      <c r="M1326" s="6">
        <v>-0.12</v>
      </c>
      <c r="N1326" s="6">
        <v>-0.12</v>
      </c>
      <c r="O1326" s="6">
        <v>-0.12</v>
      </c>
      <c r="P1326" s="6">
        <v>0</v>
      </c>
      <c r="Q1326" s="4" t="s">
        <v>26</v>
      </c>
      <c r="R1326" s="4">
        <v>0</v>
      </c>
      <c r="S1326" s="4" t="s">
        <v>333</v>
      </c>
      <c r="T1326" s="4" t="s">
        <v>603</v>
      </c>
      <c r="U1326" s="4">
        <v>0</v>
      </c>
      <c r="V1326" s="4">
        <v>42</v>
      </c>
      <c r="W1326" s="4">
        <v>86</v>
      </c>
    </row>
    <row r="1327" spans="1:23" ht="11.25" customHeight="1" x14ac:dyDescent="0.25">
      <c r="A1327" s="4" t="s">
        <v>21</v>
      </c>
      <c r="B1327" s="4" t="s">
        <v>22</v>
      </c>
      <c r="C1327" s="4" t="s">
        <v>23</v>
      </c>
      <c r="D1327" s="4" t="s">
        <v>24</v>
      </c>
      <c r="E1327" s="4" t="s">
        <v>33</v>
      </c>
      <c r="F1327" s="4" t="s">
        <v>25</v>
      </c>
      <c r="G1327" s="4" t="s">
        <v>25</v>
      </c>
      <c r="H1327" s="4" t="s">
        <v>25</v>
      </c>
      <c r="I1327" s="5">
        <v>44621</v>
      </c>
      <c r="J1327" s="6">
        <v>0</v>
      </c>
      <c r="K1327" s="6">
        <v>0</v>
      </c>
      <c r="L1327" s="6">
        <v>2132.096</v>
      </c>
      <c r="M1327" s="6">
        <v>2132.096</v>
      </c>
      <c r="N1327" s="6">
        <v>2132.096</v>
      </c>
      <c r="O1327" s="6">
        <v>2132.096</v>
      </c>
      <c r="P1327" s="6">
        <v>19774</v>
      </c>
      <c r="Q1327" s="4" t="s">
        <v>26</v>
      </c>
      <c r="R1327" s="4">
        <v>0</v>
      </c>
      <c r="S1327" s="4" t="s">
        <v>334</v>
      </c>
      <c r="T1327" s="4" t="s">
        <v>604</v>
      </c>
      <c r="U1327" s="4">
        <v>0</v>
      </c>
      <c r="V1327" s="4">
        <v>42</v>
      </c>
      <c r="W1327" s="4">
        <v>86</v>
      </c>
    </row>
    <row r="1328" spans="1:23" ht="11.25" customHeight="1" x14ac:dyDescent="0.25">
      <c r="A1328" s="4" t="s">
        <v>27</v>
      </c>
      <c r="B1328" s="4" t="s">
        <v>22</v>
      </c>
      <c r="C1328" s="4" t="s">
        <v>23</v>
      </c>
      <c r="D1328" s="4" t="s">
        <v>24</v>
      </c>
      <c r="E1328" s="4" t="s">
        <v>33</v>
      </c>
      <c r="F1328" s="4" t="s">
        <v>25</v>
      </c>
      <c r="G1328" s="4" t="s">
        <v>25</v>
      </c>
      <c r="H1328" s="4" t="s">
        <v>25</v>
      </c>
      <c r="I1328" s="5">
        <v>44621</v>
      </c>
      <c r="J1328" s="6">
        <v>0</v>
      </c>
      <c r="K1328" s="6">
        <v>0</v>
      </c>
      <c r="L1328" s="6">
        <v>-17.984000000000002</v>
      </c>
      <c r="M1328" s="6">
        <v>-17.984000000000002</v>
      </c>
      <c r="N1328" s="6">
        <v>-17.984000000000002</v>
      </c>
      <c r="O1328" s="6">
        <v>-17.984000000000002</v>
      </c>
      <c r="P1328" s="6">
        <v>-5</v>
      </c>
      <c r="Q1328" s="4" t="s">
        <v>26</v>
      </c>
      <c r="R1328" s="4">
        <v>0</v>
      </c>
      <c r="S1328" s="4" t="s">
        <v>334</v>
      </c>
      <c r="T1328" s="4" t="s">
        <v>604</v>
      </c>
      <c r="U1328" s="4">
        <v>0</v>
      </c>
      <c r="V1328" s="4">
        <v>42</v>
      </c>
      <c r="W1328" s="4">
        <v>86</v>
      </c>
    </row>
    <row r="1329" spans="1:23" ht="11.25" customHeight="1" x14ac:dyDescent="0.25">
      <c r="A1329" s="4" t="s">
        <v>28</v>
      </c>
      <c r="B1329" s="4" t="s">
        <v>22</v>
      </c>
      <c r="C1329" s="4" t="s">
        <v>23</v>
      </c>
      <c r="D1329" s="4" t="s">
        <v>24</v>
      </c>
      <c r="E1329" s="4" t="s">
        <v>33</v>
      </c>
      <c r="F1329" s="4" t="s">
        <v>25</v>
      </c>
      <c r="G1329" s="4" t="s">
        <v>25</v>
      </c>
      <c r="H1329" s="4" t="s">
        <v>25</v>
      </c>
      <c r="I1329" s="5">
        <v>44621</v>
      </c>
      <c r="J1329" s="6">
        <v>0</v>
      </c>
      <c r="K1329" s="6">
        <v>0</v>
      </c>
      <c r="L1329" s="6">
        <v>690.65200000000004</v>
      </c>
      <c r="M1329" s="6">
        <v>690.65200000000004</v>
      </c>
      <c r="N1329" s="6">
        <v>690.65200000000004</v>
      </c>
      <c r="O1329" s="6">
        <v>690.65200000000004</v>
      </c>
      <c r="P1329" s="6">
        <v>8988</v>
      </c>
      <c r="Q1329" s="4" t="s">
        <v>26</v>
      </c>
      <c r="R1329" s="4">
        <v>0</v>
      </c>
      <c r="S1329" s="4" t="s">
        <v>334</v>
      </c>
      <c r="T1329" s="4" t="s">
        <v>604</v>
      </c>
      <c r="U1329" s="4">
        <v>0</v>
      </c>
      <c r="V1329" s="4">
        <v>42</v>
      </c>
      <c r="W1329" s="4">
        <v>86</v>
      </c>
    </row>
    <row r="1330" spans="1:23" ht="11.25" customHeight="1" x14ac:dyDescent="0.25">
      <c r="A1330" s="4" t="s">
        <v>29</v>
      </c>
      <c r="B1330" s="4" t="s">
        <v>22</v>
      </c>
      <c r="C1330" s="4" t="s">
        <v>23</v>
      </c>
      <c r="D1330" s="4" t="s">
        <v>24</v>
      </c>
      <c r="E1330" s="4" t="s">
        <v>33</v>
      </c>
      <c r="F1330" s="4" t="s">
        <v>25</v>
      </c>
      <c r="G1330" s="4" t="s">
        <v>25</v>
      </c>
      <c r="H1330" s="4" t="s">
        <v>25</v>
      </c>
      <c r="I1330" s="5">
        <v>44621</v>
      </c>
      <c r="J1330" s="6">
        <v>0</v>
      </c>
      <c r="K1330" s="6">
        <v>0</v>
      </c>
      <c r="L1330" s="6">
        <v>-1.0860000000000001</v>
      </c>
      <c r="M1330" s="6">
        <v>-1.0860000000000001</v>
      </c>
      <c r="N1330" s="6">
        <v>-1.0860000000000001</v>
      </c>
      <c r="O1330" s="6">
        <v>-1.0860000000000001</v>
      </c>
      <c r="P1330" s="6">
        <v>-14</v>
      </c>
      <c r="Q1330" s="4" t="s">
        <v>26</v>
      </c>
      <c r="R1330" s="4">
        <v>0</v>
      </c>
      <c r="S1330" s="4" t="s">
        <v>334</v>
      </c>
      <c r="T1330" s="4" t="s">
        <v>604</v>
      </c>
      <c r="U1330" s="4">
        <v>0</v>
      </c>
      <c r="V1330" s="4">
        <v>42</v>
      </c>
      <c r="W1330" s="4">
        <v>86</v>
      </c>
    </row>
    <row r="1331" spans="1:23" ht="11.25" customHeight="1" x14ac:dyDescent="0.25">
      <c r="A1331" s="4" t="s">
        <v>30</v>
      </c>
      <c r="B1331" s="4" t="s">
        <v>22</v>
      </c>
      <c r="C1331" s="4" t="s">
        <v>23</v>
      </c>
      <c r="D1331" s="4" t="s">
        <v>24</v>
      </c>
      <c r="E1331" s="4" t="s">
        <v>33</v>
      </c>
      <c r="F1331" s="4" t="s">
        <v>25</v>
      </c>
      <c r="G1331" s="4" t="s">
        <v>25</v>
      </c>
      <c r="H1331" s="4" t="s">
        <v>25</v>
      </c>
      <c r="I1331" s="5">
        <v>44621</v>
      </c>
      <c r="J1331" s="6">
        <v>0</v>
      </c>
      <c r="K1331" s="6">
        <v>0</v>
      </c>
      <c r="L1331" s="6">
        <v>1.1200000000000001</v>
      </c>
      <c r="M1331" s="6">
        <v>1.1200000000000001</v>
      </c>
      <c r="N1331" s="6">
        <v>1.1200000000000001</v>
      </c>
      <c r="O1331" s="6">
        <v>1.1200000000000001</v>
      </c>
      <c r="P1331" s="6">
        <v>5</v>
      </c>
      <c r="Q1331" s="4" t="s">
        <v>26</v>
      </c>
      <c r="R1331" s="4">
        <v>0</v>
      </c>
      <c r="S1331" s="4" t="s">
        <v>334</v>
      </c>
      <c r="T1331" s="4" t="s">
        <v>604</v>
      </c>
      <c r="U1331" s="4">
        <v>0</v>
      </c>
      <c r="V1331" s="4">
        <v>42</v>
      </c>
      <c r="W1331" s="4">
        <v>86</v>
      </c>
    </row>
    <row r="1332" spans="1:23" ht="11.25" customHeight="1" x14ac:dyDescent="0.25">
      <c r="A1332" s="4" t="s">
        <v>21</v>
      </c>
      <c r="B1332" s="4" t="s">
        <v>22</v>
      </c>
      <c r="C1332" s="4" t="s">
        <v>23</v>
      </c>
      <c r="D1332" s="4" t="s">
        <v>24</v>
      </c>
      <c r="E1332" s="4" t="s">
        <v>33</v>
      </c>
      <c r="F1332" s="4" t="s">
        <v>25</v>
      </c>
      <c r="G1332" s="4" t="s">
        <v>25</v>
      </c>
      <c r="H1332" s="4" t="s">
        <v>25</v>
      </c>
      <c r="I1332" s="5">
        <v>44652</v>
      </c>
      <c r="J1332" s="6">
        <v>0</v>
      </c>
      <c r="K1332" s="6">
        <v>0</v>
      </c>
      <c r="L1332" s="6">
        <v>2202.0889999999999</v>
      </c>
      <c r="M1332" s="6">
        <v>2202.0889999999999</v>
      </c>
      <c r="N1332" s="6">
        <v>2202.0889999999999</v>
      </c>
      <c r="O1332" s="6">
        <v>2202.0889999999999</v>
      </c>
      <c r="P1332" s="6">
        <v>20561</v>
      </c>
      <c r="Q1332" s="4" t="s">
        <v>26</v>
      </c>
      <c r="R1332" s="4">
        <v>0</v>
      </c>
      <c r="S1332" s="4" t="s">
        <v>335</v>
      </c>
      <c r="T1332" s="4" t="s">
        <v>605</v>
      </c>
      <c r="U1332" s="4">
        <v>0</v>
      </c>
      <c r="V1332" s="4">
        <v>42</v>
      </c>
      <c r="W1332" s="4">
        <v>86</v>
      </c>
    </row>
    <row r="1333" spans="1:23" ht="11.25" customHeight="1" x14ac:dyDescent="0.25">
      <c r="A1333" s="4" t="s">
        <v>27</v>
      </c>
      <c r="B1333" s="4" t="s">
        <v>22</v>
      </c>
      <c r="C1333" s="4" t="s">
        <v>23</v>
      </c>
      <c r="D1333" s="4" t="s">
        <v>24</v>
      </c>
      <c r="E1333" s="4" t="s">
        <v>33</v>
      </c>
      <c r="F1333" s="4" t="s">
        <v>25</v>
      </c>
      <c r="G1333" s="4" t="s">
        <v>25</v>
      </c>
      <c r="H1333" s="4" t="s">
        <v>25</v>
      </c>
      <c r="I1333" s="5">
        <v>44652</v>
      </c>
      <c r="J1333" s="6">
        <v>0</v>
      </c>
      <c r="K1333" s="6">
        <v>0</v>
      </c>
      <c r="L1333" s="6">
        <v>-10.914999999999999</v>
      </c>
      <c r="M1333" s="6">
        <v>-10.914999999999999</v>
      </c>
      <c r="N1333" s="6">
        <v>-10.914999999999999</v>
      </c>
      <c r="O1333" s="6">
        <v>-10.914999999999999</v>
      </c>
      <c r="P1333" s="6">
        <v>-7</v>
      </c>
      <c r="Q1333" s="4" t="s">
        <v>26</v>
      </c>
      <c r="R1333" s="4">
        <v>0</v>
      </c>
      <c r="S1333" s="4" t="s">
        <v>335</v>
      </c>
      <c r="T1333" s="4" t="s">
        <v>605</v>
      </c>
      <c r="U1333" s="4">
        <v>0</v>
      </c>
      <c r="V1333" s="4">
        <v>42</v>
      </c>
      <c r="W1333" s="4">
        <v>86</v>
      </c>
    </row>
    <row r="1334" spans="1:23" ht="11.25" customHeight="1" x14ac:dyDescent="0.25">
      <c r="A1334" s="4" t="s">
        <v>28</v>
      </c>
      <c r="B1334" s="4" t="s">
        <v>22</v>
      </c>
      <c r="C1334" s="4" t="s">
        <v>23</v>
      </c>
      <c r="D1334" s="4" t="s">
        <v>24</v>
      </c>
      <c r="E1334" s="4" t="s">
        <v>33</v>
      </c>
      <c r="F1334" s="4" t="s">
        <v>25</v>
      </c>
      <c r="G1334" s="4" t="s">
        <v>25</v>
      </c>
      <c r="H1334" s="4" t="s">
        <v>25</v>
      </c>
      <c r="I1334" s="5">
        <v>44652</v>
      </c>
      <c r="J1334" s="6">
        <v>0</v>
      </c>
      <c r="K1334" s="6">
        <v>0</v>
      </c>
      <c r="L1334" s="6">
        <v>715.89200000000005</v>
      </c>
      <c r="M1334" s="6">
        <v>715.89200000000005</v>
      </c>
      <c r="N1334" s="6">
        <v>715.89200000000005</v>
      </c>
      <c r="O1334" s="6">
        <v>715.89200000000005</v>
      </c>
      <c r="P1334" s="6">
        <v>9310</v>
      </c>
      <c r="Q1334" s="4" t="s">
        <v>26</v>
      </c>
      <c r="R1334" s="4">
        <v>0</v>
      </c>
      <c r="S1334" s="4" t="s">
        <v>335</v>
      </c>
      <c r="T1334" s="4" t="s">
        <v>605</v>
      </c>
      <c r="U1334" s="4">
        <v>0</v>
      </c>
      <c r="V1334" s="4">
        <v>42</v>
      </c>
      <c r="W1334" s="4">
        <v>86</v>
      </c>
    </row>
    <row r="1335" spans="1:23" ht="11.25" customHeight="1" x14ac:dyDescent="0.25">
      <c r="A1335" s="4" t="s">
        <v>29</v>
      </c>
      <c r="B1335" s="4" t="s">
        <v>22</v>
      </c>
      <c r="C1335" s="4" t="s">
        <v>23</v>
      </c>
      <c r="D1335" s="4" t="s">
        <v>24</v>
      </c>
      <c r="E1335" s="4" t="s">
        <v>33</v>
      </c>
      <c r="F1335" s="4" t="s">
        <v>25</v>
      </c>
      <c r="G1335" s="4" t="s">
        <v>25</v>
      </c>
      <c r="H1335" s="4" t="s">
        <v>25</v>
      </c>
      <c r="I1335" s="5">
        <v>44652</v>
      </c>
      <c r="J1335" s="6">
        <v>0</v>
      </c>
      <c r="K1335" s="6">
        <v>0</v>
      </c>
      <c r="L1335" s="6">
        <v>-1.1240000000000001</v>
      </c>
      <c r="M1335" s="6">
        <v>-1.1240000000000001</v>
      </c>
      <c r="N1335" s="6">
        <v>-1.1240000000000001</v>
      </c>
      <c r="O1335" s="6">
        <v>-1.1240000000000001</v>
      </c>
      <c r="P1335" s="6">
        <v>-42</v>
      </c>
      <c r="Q1335" s="4" t="s">
        <v>26</v>
      </c>
      <c r="R1335" s="4">
        <v>0</v>
      </c>
      <c r="S1335" s="4" t="s">
        <v>335</v>
      </c>
      <c r="T1335" s="4" t="s">
        <v>605</v>
      </c>
      <c r="U1335" s="4">
        <v>0</v>
      </c>
      <c r="V1335" s="4">
        <v>42</v>
      </c>
      <c r="W1335" s="4">
        <v>86</v>
      </c>
    </row>
    <row r="1336" spans="1:23" ht="11.25" customHeight="1" x14ac:dyDescent="0.25">
      <c r="A1336" s="4" t="s">
        <v>30</v>
      </c>
      <c r="B1336" s="4" t="s">
        <v>22</v>
      </c>
      <c r="C1336" s="4" t="s">
        <v>23</v>
      </c>
      <c r="D1336" s="4" t="s">
        <v>24</v>
      </c>
      <c r="E1336" s="4" t="s">
        <v>33</v>
      </c>
      <c r="F1336" s="4" t="s">
        <v>25</v>
      </c>
      <c r="G1336" s="4" t="s">
        <v>25</v>
      </c>
      <c r="H1336" s="4" t="s">
        <v>25</v>
      </c>
      <c r="I1336" s="5">
        <v>44652</v>
      </c>
      <c r="J1336" s="6">
        <v>0</v>
      </c>
      <c r="K1336" s="6">
        <v>0</v>
      </c>
      <c r="L1336" s="6">
        <v>1.546</v>
      </c>
      <c r="M1336" s="6">
        <v>1.546</v>
      </c>
      <c r="N1336" s="6">
        <v>1.546</v>
      </c>
      <c r="O1336" s="6">
        <v>1.546</v>
      </c>
      <c r="P1336" s="6">
        <v>7</v>
      </c>
      <c r="Q1336" s="4" t="s">
        <v>26</v>
      </c>
      <c r="R1336" s="4">
        <v>0</v>
      </c>
      <c r="S1336" s="4" t="s">
        <v>335</v>
      </c>
      <c r="T1336" s="4" t="s">
        <v>605</v>
      </c>
      <c r="U1336" s="4">
        <v>0</v>
      </c>
      <c r="V1336" s="4">
        <v>42</v>
      </c>
      <c r="W1336" s="4">
        <v>86</v>
      </c>
    </row>
    <row r="1337" spans="1:23" ht="11.25" customHeight="1" x14ac:dyDescent="0.25">
      <c r="A1337" s="4" t="s">
        <v>21</v>
      </c>
      <c r="B1337" s="4" t="s">
        <v>22</v>
      </c>
      <c r="C1337" s="4" t="s">
        <v>23</v>
      </c>
      <c r="D1337" s="4" t="s">
        <v>24</v>
      </c>
      <c r="E1337" s="4" t="s">
        <v>33</v>
      </c>
      <c r="F1337" s="4" t="s">
        <v>25</v>
      </c>
      <c r="G1337" s="4" t="s">
        <v>25</v>
      </c>
      <c r="H1337" s="4" t="s">
        <v>25</v>
      </c>
      <c r="I1337" s="5">
        <v>44682</v>
      </c>
      <c r="J1337" s="6">
        <v>0</v>
      </c>
      <c r="K1337" s="6">
        <v>0</v>
      </c>
      <c r="L1337" s="6">
        <v>2136.712</v>
      </c>
      <c r="M1337" s="6">
        <v>2136.712</v>
      </c>
      <c r="N1337" s="6">
        <v>2136.712</v>
      </c>
      <c r="O1337" s="6">
        <v>2136.712</v>
      </c>
      <c r="P1337" s="6">
        <v>19961</v>
      </c>
      <c r="Q1337" s="4" t="s">
        <v>26</v>
      </c>
      <c r="R1337" s="4">
        <v>0</v>
      </c>
      <c r="S1337" s="4" t="s">
        <v>336</v>
      </c>
      <c r="T1337" s="4" t="s">
        <v>606</v>
      </c>
      <c r="U1337" s="4">
        <v>0</v>
      </c>
      <c r="V1337" s="4">
        <v>42</v>
      </c>
      <c r="W1337" s="4">
        <v>86</v>
      </c>
    </row>
    <row r="1338" spans="1:23" ht="11.25" customHeight="1" x14ac:dyDescent="0.25">
      <c r="A1338" s="4" t="s">
        <v>27</v>
      </c>
      <c r="B1338" s="4" t="s">
        <v>22</v>
      </c>
      <c r="C1338" s="4" t="s">
        <v>23</v>
      </c>
      <c r="D1338" s="4" t="s">
        <v>24</v>
      </c>
      <c r="E1338" s="4" t="s">
        <v>33</v>
      </c>
      <c r="F1338" s="4" t="s">
        <v>25</v>
      </c>
      <c r="G1338" s="4" t="s">
        <v>25</v>
      </c>
      <c r="H1338" s="4" t="s">
        <v>25</v>
      </c>
      <c r="I1338" s="5">
        <v>44682</v>
      </c>
      <c r="J1338" s="6">
        <v>0</v>
      </c>
      <c r="K1338" s="6">
        <v>0</v>
      </c>
      <c r="L1338" s="6">
        <v>-11.265000000000001</v>
      </c>
      <c r="M1338" s="6">
        <v>-11.265000000000001</v>
      </c>
      <c r="N1338" s="6">
        <v>-11.265000000000001</v>
      </c>
      <c r="O1338" s="6">
        <v>-11.265000000000001</v>
      </c>
      <c r="P1338" s="6">
        <v>-6</v>
      </c>
      <c r="Q1338" s="4" t="s">
        <v>26</v>
      </c>
      <c r="R1338" s="4">
        <v>0</v>
      </c>
      <c r="S1338" s="4" t="s">
        <v>336</v>
      </c>
      <c r="T1338" s="4" t="s">
        <v>606</v>
      </c>
      <c r="U1338" s="4">
        <v>0</v>
      </c>
      <c r="V1338" s="4">
        <v>42</v>
      </c>
      <c r="W1338" s="4">
        <v>86</v>
      </c>
    </row>
    <row r="1339" spans="1:23" ht="11.25" customHeight="1" x14ac:dyDescent="0.25">
      <c r="A1339" s="4" t="s">
        <v>28</v>
      </c>
      <c r="B1339" s="4" t="s">
        <v>22</v>
      </c>
      <c r="C1339" s="4" t="s">
        <v>23</v>
      </c>
      <c r="D1339" s="4" t="s">
        <v>24</v>
      </c>
      <c r="E1339" s="4" t="s">
        <v>33</v>
      </c>
      <c r="F1339" s="4" t="s">
        <v>25</v>
      </c>
      <c r="G1339" s="4" t="s">
        <v>25</v>
      </c>
      <c r="H1339" s="4" t="s">
        <v>25</v>
      </c>
      <c r="I1339" s="5">
        <v>44682</v>
      </c>
      <c r="J1339" s="6">
        <v>0</v>
      </c>
      <c r="K1339" s="6">
        <v>0</v>
      </c>
      <c r="L1339" s="6">
        <v>669.12400000000002</v>
      </c>
      <c r="M1339" s="6">
        <v>669.12400000000002</v>
      </c>
      <c r="N1339" s="6">
        <v>669.12400000000002</v>
      </c>
      <c r="O1339" s="6">
        <v>669.12400000000002</v>
      </c>
      <c r="P1339" s="6">
        <v>8927</v>
      </c>
      <c r="Q1339" s="4" t="s">
        <v>26</v>
      </c>
      <c r="R1339" s="4">
        <v>0</v>
      </c>
      <c r="S1339" s="4" t="s">
        <v>336</v>
      </c>
      <c r="T1339" s="4" t="s">
        <v>606</v>
      </c>
      <c r="U1339" s="4">
        <v>0</v>
      </c>
      <c r="V1339" s="4">
        <v>42</v>
      </c>
      <c r="W1339" s="4">
        <v>86</v>
      </c>
    </row>
    <row r="1340" spans="1:23" ht="11.25" customHeight="1" x14ac:dyDescent="0.25">
      <c r="A1340" s="4" t="s">
        <v>29</v>
      </c>
      <c r="B1340" s="4" t="s">
        <v>22</v>
      </c>
      <c r="C1340" s="4" t="s">
        <v>23</v>
      </c>
      <c r="D1340" s="4" t="s">
        <v>24</v>
      </c>
      <c r="E1340" s="4" t="s">
        <v>33</v>
      </c>
      <c r="F1340" s="4" t="s">
        <v>25</v>
      </c>
      <c r="G1340" s="4" t="s">
        <v>25</v>
      </c>
      <c r="H1340" s="4" t="s">
        <v>25</v>
      </c>
      <c r="I1340" s="5">
        <v>44682</v>
      </c>
      <c r="J1340" s="6">
        <v>0</v>
      </c>
      <c r="K1340" s="6">
        <v>0</v>
      </c>
      <c r="L1340" s="6">
        <v>-1.2549999999999999</v>
      </c>
      <c r="M1340" s="6">
        <v>-1.2549999999999999</v>
      </c>
      <c r="N1340" s="6">
        <v>-1.2549999999999999</v>
      </c>
      <c r="O1340" s="6">
        <v>-1.2549999999999999</v>
      </c>
      <c r="P1340" s="6">
        <v>-6</v>
      </c>
      <c r="Q1340" s="4" t="s">
        <v>26</v>
      </c>
      <c r="R1340" s="4">
        <v>0</v>
      </c>
      <c r="S1340" s="4" t="s">
        <v>336</v>
      </c>
      <c r="T1340" s="4" t="s">
        <v>606</v>
      </c>
      <c r="U1340" s="4">
        <v>0</v>
      </c>
      <c r="V1340" s="4">
        <v>42</v>
      </c>
      <c r="W1340" s="4">
        <v>86</v>
      </c>
    </row>
    <row r="1341" spans="1:23" ht="11.25" customHeight="1" x14ac:dyDescent="0.25">
      <c r="A1341" s="4" t="s">
        <v>30</v>
      </c>
      <c r="B1341" s="4" t="s">
        <v>22</v>
      </c>
      <c r="C1341" s="4" t="s">
        <v>23</v>
      </c>
      <c r="D1341" s="4" t="s">
        <v>24</v>
      </c>
      <c r="E1341" s="4" t="s">
        <v>33</v>
      </c>
      <c r="F1341" s="4" t="s">
        <v>25</v>
      </c>
      <c r="G1341" s="4" t="s">
        <v>25</v>
      </c>
      <c r="H1341" s="4" t="s">
        <v>25</v>
      </c>
      <c r="I1341" s="5">
        <v>44682</v>
      </c>
      <c r="J1341" s="6">
        <v>0</v>
      </c>
      <c r="K1341" s="6">
        <v>0</v>
      </c>
      <c r="L1341" s="6">
        <v>1.0049999999999999</v>
      </c>
      <c r="M1341" s="6">
        <v>1.0049999999999999</v>
      </c>
      <c r="N1341" s="6">
        <v>1.0049999999999999</v>
      </c>
      <c r="O1341" s="6">
        <v>1.0049999999999999</v>
      </c>
      <c r="P1341" s="6">
        <v>5</v>
      </c>
      <c r="Q1341" s="4" t="s">
        <v>26</v>
      </c>
      <c r="R1341" s="4">
        <v>0</v>
      </c>
      <c r="S1341" s="4" t="s">
        <v>336</v>
      </c>
      <c r="T1341" s="4" t="s">
        <v>606</v>
      </c>
      <c r="U1341" s="4">
        <v>0</v>
      </c>
      <c r="V1341" s="4">
        <v>42</v>
      </c>
      <c r="W1341" s="4">
        <v>86</v>
      </c>
    </row>
    <row r="1342" spans="1:23" ht="11.25" customHeight="1" x14ac:dyDescent="0.25">
      <c r="A1342" s="4" t="s">
        <v>21</v>
      </c>
      <c r="B1342" s="4" t="s">
        <v>22</v>
      </c>
      <c r="C1342" s="4" t="s">
        <v>23</v>
      </c>
      <c r="D1342" s="4" t="s">
        <v>24</v>
      </c>
      <c r="E1342" s="4" t="s">
        <v>33</v>
      </c>
      <c r="F1342" s="4" t="s">
        <v>25</v>
      </c>
      <c r="G1342" s="4" t="s">
        <v>25</v>
      </c>
      <c r="H1342" s="4" t="s">
        <v>25</v>
      </c>
      <c r="I1342" s="5">
        <v>44713</v>
      </c>
      <c r="J1342" s="6">
        <v>0</v>
      </c>
      <c r="K1342" s="6">
        <v>0</v>
      </c>
      <c r="L1342" s="6">
        <v>1966.913</v>
      </c>
      <c r="M1342" s="6">
        <v>1966.913</v>
      </c>
      <c r="N1342" s="6">
        <v>1966.913</v>
      </c>
      <c r="O1342" s="6">
        <v>1966.913</v>
      </c>
      <c r="P1342" s="6">
        <v>20598</v>
      </c>
      <c r="Q1342" s="4" t="s">
        <v>26</v>
      </c>
      <c r="R1342" s="4">
        <v>0</v>
      </c>
      <c r="S1342" s="4" t="s">
        <v>337</v>
      </c>
      <c r="T1342" s="4" t="s">
        <v>607</v>
      </c>
      <c r="U1342" s="4">
        <v>0</v>
      </c>
      <c r="V1342" s="4">
        <v>42</v>
      </c>
      <c r="W1342" s="4">
        <v>86</v>
      </c>
    </row>
    <row r="1343" spans="1:23" ht="11.25" customHeight="1" x14ac:dyDescent="0.25">
      <c r="A1343" s="4" t="s">
        <v>27</v>
      </c>
      <c r="B1343" s="4" t="s">
        <v>22</v>
      </c>
      <c r="C1343" s="4" t="s">
        <v>23</v>
      </c>
      <c r="D1343" s="4" t="s">
        <v>24</v>
      </c>
      <c r="E1343" s="4" t="s">
        <v>33</v>
      </c>
      <c r="F1343" s="4" t="s">
        <v>25</v>
      </c>
      <c r="G1343" s="4" t="s">
        <v>25</v>
      </c>
      <c r="H1343" s="4" t="s">
        <v>25</v>
      </c>
      <c r="I1343" s="5">
        <v>44713</v>
      </c>
      <c r="J1343" s="6">
        <v>0</v>
      </c>
      <c r="K1343" s="6">
        <v>0</v>
      </c>
      <c r="L1343" s="6">
        <v>-4.7759999999999998</v>
      </c>
      <c r="M1343" s="6">
        <v>-4.7759999999999998</v>
      </c>
      <c r="N1343" s="6">
        <v>-4.7759999999999998</v>
      </c>
      <c r="O1343" s="6">
        <v>-4.7759999999999998</v>
      </c>
      <c r="P1343" s="6">
        <v>-12</v>
      </c>
      <c r="Q1343" s="4" t="s">
        <v>26</v>
      </c>
      <c r="R1343" s="4">
        <v>0</v>
      </c>
      <c r="S1343" s="4" t="s">
        <v>337</v>
      </c>
      <c r="T1343" s="4" t="s">
        <v>607</v>
      </c>
      <c r="U1343" s="4">
        <v>0</v>
      </c>
      <c r="V1343" s="4">
        <v>42</v>
      </c>
      <c r="W1343" s="4">
        <v>86</v>
      </c>
    </row>
    <row r="1344" spans="1:23" ht="11.25" customHeight="1" x14ac:dyDescent="0.25">
      <c r="A1344" s="4" t="s">
        <v>28</v>
      </c>
      <c r="B1344" s="4" t="s">
        <v>22</v>
      </c>
      <c r="C1344" s="4" t="s">
        <v>23</v>
      </c>
      <c r="D1344" s="4" t="s">
        <v>24</v>
      </c>
      <c r="E1344" s="4" t="s">
        <v>33</v>
      </c>
      <c r="F1344" s="4" t="s">
        <v>25</v>
      </c>
      <c r="G1344" s="4" t="s">
        <v>25</v>
      </c>
      <c r="H1344" s="4" t="s">
        <v>25</v>
      </c>
      <c r="I1344" s="5">
        <v>44713</v>
      </c>
      <c r="J1344" s="6">
        <v>0</v>
      </c>
      <c r="K1344" s="6">
        <v>0</v>
      </c>
      <c r="L1344" s="6">
        <v>631.46799999999996</v>
      </c>
      <c r="M1344" s="6">
        <v>631.46799999999996</v>
      </c>
      <c r="N1344" s="6">
        <v>631.46799999999996</v>
      </c>
      <c r="O1344" s="6">
        <v>631.46799999999996</v>
      </c>
      <c r="P1344" s="6">
        <v>8796</v>
      </c>
      <c r="Q1344" s="4" t="s">
        <v>26</v>
      </c>
      <c r="R1344" s="4">
        <v>0</v>
      </c>
      <c r="S1344" s="4" t="s">
        <v>337</v>
      </c>
      <c r="T1344" s="4" t="s">
        <v>607</v>
      </c>
      <c r="U1344" s="4">
        <v>0</v>
      </c>
      <c r="V1344" s="4">
        <v>42</v>
      </c>
      <c r="W1344" s="4">
        <v>86</v>
      </c>
    </row>
    <row r="1345" spans="1:23" ht="11.25" customHeight="1" x14ac:dyDescent="0.25">
      <c r="A1345" s="4" t="s">
        <v>29</v>
      </c>
      <c r="B1345" s="4" t="s">
        <v>22</v>
      </c>
      <c r="C1345" s="4" t="s">
        <v>23</v>
      </c>
      <c r="D1345" s="4" t="s">
        <v>24</v>
      </c>
      <c r="E1345" s="4" t="s">
        <v>33</v>
      </c>
      <c r="F1345" s="4" t="s">
        <v>25</v>
      </c>
      <c r="G1345" s="4" t="s">
        <v>25</v>
      </c>
      <c r="H1345" s="4" t="s">
        <v>25</v>
      </c>
      <c r="I1345" s="5">
        <v>44713</v>
      </c>
      <c r="J1345" s="6">
        <v>0</v>
      </c>
      <c r="K1345" s="6">
        <v>0</v>
      </c>
      <c r="L1345" s="6">
        <v>-0.307</v>
      </c>
      <c r="M1345" s="6">
        <v>-0.307</v>
      </c>
      <c r="N1345" s="6">
        <v>-0.307</v>
      </c>
      <c r="O1345" s="6">
        <v>-0.307</v>
      </c>
      <c r="P1345" s="6">
        <v>-1</v>
      </c>
      <c r="Q1345" s="4" t="s">
        <v>26</v>
      </c>
      <c r="R1345" s="4">
        <v>0</v>
      </c>
      <c r="S1345" s="4" t="s">
        <v>337</v>
      </c>
      <c r="T1345" s="4" t="s">
        <v>607</v>
      </c>
      <c r="U1345" s="4">
        <v>0</v>
      </c>
      <c r="V1345" s="4">
        <v>42</v>
      </c>
      <c r="W1345" s="4">
        <v>86</v>
      </c>
    </row>
    <row r="1346" spans="1:23" ht="11.25" customHeight="1" x14ac:dyDescent="0.25">
      <c r="A1346" s="4" t="s">
        <v>30</v>
      </c>
      <c r="B1346" s="4" t="s">
        <v>22</v>
      </c>
      <c r="C1346" s="4" t="s">
        <v>23</v>
      </c>
      <c r="D1346" s="4" t="s">
        <v>24</v>
      </c>
      <c r="E1346" s="4" t="s">
        <v>33</v>
      </c>
      <c r="F1346" s="4" t="s">
        <v>25</v>
      </c>
      <c r="G1346" s="4" t="s">
        <v>25</v>
      </c>
      <c r="H1346" s="4" t="s">
        <v>25</v>
      </c>
      <c r="I1346" s="5">
        <v>44713</v>
      </c>
      <c r="J1346" s="6">
        <v>0</v>
      </c>
      <c r="K1346" s="6">
        <v>0</v>
      </c>
      <c r="L1346" s="6">
        <v>0.88500000000000001</v>
      </c>
      <c r="M1346" s="6">
        <v>0.88500000000000001</v>
      </c>
      <c r="N1346" s="6">
        <v>0.88500000000000001</v>
      </c>
      <c r="O1346" s="6">
        <v>0.88500000000000001</v>
      </c>
      <c r="P1346" s="6">
        <v>10</v>
      </c>
      <c r="Q1346" s="4" t="s">
        <v>26</v>
      </c>
      <c r="R1346" s="4">
        <v>0</v>
      </c>
      <c r="S1346" s="4" t="s">
        <v>337</v>
      </c>
      <c r="T1346" s="4" t="s">
        <v>607</v>
      </c>
      <c r="U1346" s="4">
        <v>0</v>
      </c>
      <c r="V1346" s="4">
        <v>42</v>
      </c>
      <c r="W1346" s="4">
        <v>86</v>
      </c>
    </row>
    <row r="1347" spans="1:23" ht="11.25" customHeight="1" x14ac:dyDescent="0.25">
      <c r="A1347" s="4" t="s">
        <v>21</v>
      </c>
      <c r="B1347" s="4" t="s">
        <v>22</v>
      </c>
      <c r="C1347" s="4" t="s">
        <v>23</v>
      </c>
      <c r="D1347" s="4" t="s">
        <v>24</v>
      </c>
      <c r="E1347" s="4" t="s">
        <v>33</v>
      </c>
      <c r="F1347" s="4" t="s">
        <v>25</v>
      </c>
      <c r="G1347" s="4" t="s">
        <v>25</v>
      </c>
      <c r="H1347" s="4" t="s">
        <v>25</v>
      </c>
      <c r="I1347" s="5">
        <v>44743</v>
      </c>
      <c r="J1347" s="6">
        <v>0</v>
      </c>
      <c r="K1347" s="6">
        <v>0</v>
      </c>
      <c r="L1347" s="6">
        <v>2318.8159999999998</v>
      </c>
      <c r="M1347" s="6">
        <v>2318.8159999999998</v>
      </c>
      <c r="N1347" s="6">
        <v>2318.8159999999998</v>
      </c>
      <c r="O1347" s="6">
        <v>2318.8159999999998</v>
      </c>
      <c r="P1347" s="6">
        <v>21029</v>
      </c>
      <c r="Q1347" s="4" t="s">
        <v>26</v>
      </c>
      <c r="R1347" s="4">
        <v>0</v>
      </c>
      <c r="S1347" s="4" t="s">
        <v>338</v>
      </c>
      <c r="T1347" s="4" t="s">
        <v>608</v>
      </c>
      <c r="U1347" s="4">
        <v>0</v>
      </c>
      <c r="V1347" s="4">
        <v>42</v>
      </c>
      <c r="W1347" s="4">
        <v>86</v>
      </c>
    </row>
    <row r="1348" spans="1:23" ht="11.25" customHeight="1" x14ac:dyDescent="0.25">
      <c r="A1348" s="4" t="s">
        <v>27</v>
      </c>
      <c r="B1348" s="4" t="s">
        <v>22</v>
      </c>
      <c r="C1348" s="4" t="s">
        <v>23</v>
      </c>
      <c r="D1348" s="4" t="s">
        <v>24</v>
      </c>
      <c r="E1348" s="4" t="s">
        <v>33</v>
      </c>
      <c r="F1348" s="4" t="s">
        <v>25</v>
      </c>
      <c r="G1348" s="4" t="s">
        <v>25</v>
      </c>
      <c r="H1348" s="4" t="s">
        <v>25</v>
      </c>
      <c r="I1348" s="5">
        <v>44743</v>
      </c>
      <c r="J1348" s="6">
        <v>0</v>
      </c>
      <c r="K1348" s="6">
        <v>0</v>
      </c>
      <c r="L1348" s="6">
        <v>-4.03</v>
      </c>
      <c r="M1348" s="6">
        <v>-4.03</v>
      </c>
      <c r="N1348" s="6">
        <v>-4.03</v>
      </c>
      <c r="O1348" s="6">
        <v>-4.03</v>
      </c>
      <c r="P1348" s="6">
        <v>-20</v>
      </c>
      <c r="Q1348" s="4" t="s">
        <v>26</v>
      </c>
      <c r="R1348" s="4">
        <v>0</v>
      </c>
      <c r="S1348" s="4" t="s">
        <v>338</v>
      </c>
      <c r="T1348" s="4" t="s">
        <v>608</v>
      </c>
      <c r="U1348" s="4">
        <v>0</v>
      </c>
      <c r="V1348" s="4">
        <v>42</v>
      </c>
      <c r="W1348" s="4">
        <v>86</v>
      </c>
    </row>
    <row r="1349" spans="1:23" ht="11.25" customHeight="1" x14ac:dyDescent="0.25">
      <c r="A1349" s="4" t="s">
        <v>28</v>
      </c>
      <c r="B1349" s="4" t="s">
        <v>22</v>
      </c>
      <c r="C1349" s="4" t="s">
        <v>23</v>
      </c>
      <c r="D1349" s="4" t="s">
        <v>24</v>
      </c>
      <c r="E1349" s="4" t="s">
        <v>33</v>
      </c>
      <c r="F1349" s="4" t="s">
        <v>25</v>
      </c>
      <c r="G1349" s="4" t="s">
        <v>25</v>
      </c>
      <c r="H1349" s="4" t="s">
        <v>25</v>
      </c>
      <c r="I1349" s="5">
        <v>44743</v>
      </c>
      <c r="J1349" s="6">
        <v>0</v>
      </c>
      <c r="K1349" s="6">
        <v>0</v>
      </c>
      <c r="L1349" s="6">
        <v>761.06799999999998</v>
      </c>
      <c r="M1349" s="6">
        <v>761.06799999999998</v>
      </c>
      <c r="N1349" s="6">
        <v>761.06799999999998</v>
      </c>
      <c r="O1349" s="6">
        <v>761.06799999999998</v>
      </c>
      <c r="P1349" s="6">
        <v>9648</v>
      </c>
      <c r="Q1349" s="4" t="s">
        <v>26</v>
      </c>
      <c r="R1349" s="4">
        <v>0</v>
      </c>
      <c r="S1349" s="4" t="s">
        <v>338</v>
      </c>
      <c r="T1349" s="4" t="s">
        <v>608</v>
      </c>
      <c r="U1349" s="4">
        <v>0</v>
      </c>
      <c r="V1349" s="4">
        <v>42</v>
      </c>
      <c r="W1349" s="4">
        <v>86</v>
      </c>
    </row>
    <row r="1350" spans="1:23" ht="11.25" customHeight="1" x14ac:dyDescent="0.25">
      <c r="A1350" s="4" t="s">
        <v>29</v>
      </c>
      <c r="B1350" s="4" t="s">
        <v>22</v>
      </c>
      <c r="C1350" s="4" t="s">
        <v>23</v>
      </c>
      <c r="D1350" s="4" t="s">
        <v>24</v>
      </c>
      <c r="E1350" s="4" t="s">
        <v>33</v>
      </c>
      <c r="F1350" s="4" t="s">
        <v>25</v>
      </c>
      <c r="G1350" s="4" t="s">
        <v>25</v>
      </c>
      <c r="H1350" s="4" t="s">
        <v>25</v>
      </c>
      <c r="I1350" s="5">
        <v>44743</v>
      </c>
      <c r="J1350" s="6">
        <v>0</v>
      </c>
      <c r="K1350" s="6">
        <v>0</v>
      </c>
      <c r="L1350" s="6">
        <v>-0.58199999999999996</v>
      </c>
      <c r="M1350" s="6">
        <v>-0.58199999999999996</v>
      </c>
      <c r="N1350" s="6">
        <v>-0.58199999999999996</v>
      </c>
      <c r="O1350" s="6">
        <v>-0.58199999999999996</v>
      </c>
      <c r="P1350" s="6">
        <v>-1</v>
      </c>
      <c r="Q1350" s="4" t="s">
        <v>26</v>
      </c>
      <c r="R1350" s="4">
        <v>0</v>
      </c>
      <c r="S1350" s="4" t="s">
        <v>338</v>
      </c>
      <c r="T1350" s="4" t="s">
        <v>608</v>
      </c>
      <c r="U1350" s="4">
        <v>0</v>
      </c>
      <c r="V1350" s="4">
        <v>42</v>
      </c>
      <c r="W1350" s="4">
        <v>86</v>
      </c>
    </row>
    <row r="1351" spans="1:23" ht="11.25" customHeight="1" x14ac:dyDescent="0.25">
      <c r="A1351" s="4" t="s">
        <v>30</v>
      </c>
      <c r="B1351" s="4" t="s">
        <v>22</v>
      </c>
      <c r="C1351" s="4" t="s">
        <v>23</v>
      </c>
      <c r="D1351" s="4" t="s">
        <v>24</v>
      </c>
      <c r="E1351" s="4" t="s">
        <v>33</v>
      </c>
      <c r="F1351" s="4" t="s">
        <v>25</v>
      </c>
      <c r="G1351" s="4" t="s">
        <v>25</v>
      </c>
      <c r="H1351" s="4" t="s">
        <v>25</v>
      </c>
      <c r="I1351" s="5">
        <v>44743</v>
      </c>
      <c r="J1351" s="6">
        <v>0</v>
      </c>
      <c r="K1351" s="6">
        <v>0</v>
      </c>
      <c r="L1351" s="6">
        <v>1.5429999999999999</v>
      </c>
      <c r="M1351" s="6">
        <v>1.5429999999999999</v>
      </c>
      <c r="N1351" s="6">
        <v>1.5429999999999999</v>
      </c>
      <c r="O1351" s="6">
        <v>1.5429999999999999</v>
      </c>
      <c r="P1351" s="6">
        <v>7</v>
      </c>
      <c r="Q1351" s="4" t="s">
        <v>26</v>
      </c>
      <c r="R1351" s="4">
        <v>0</v>
      </c>
      <c r="S1351" s="4" t="s">
        <v>338</v>
      </c>
      <c r="T1351" s="4" t="s">
        <v>608</v>
      </c>
      <c r="U1351" s="4">
        <v>0</v>
      </c>
      <c r="V1351" s="4">
        <v>42</v>
      </c>
      <c r="W1351" s="4">
        <v>86</v>
      </c>
    </row>
    <row r="1352" spans="1:23" ht="11.25" customHeight="1" x14ac:dyDescent="0.25">
      <c r="A1352" s="4" t="s">
        <v>21</v>
      </c>
      <c r="B1352" s="4" t="s">
        <v>22</v>
      </c>
      <c r="C1352" s="4" t="s">
        <v>23</v>
      </c>
      <c r="D1352" s="4" t="s">
        <v>24</v>
      </c>
      <c r="E1352" s="4" t="s">
        <v>33</v>
      </c>
      <c r="F1352" s="4" t="s">
        <v>25</v>
      </c>
      <c r="G1352" s="4" t="s">
        <v>25</v>
      </c>
      <c r="H1352" s="4" t="s">
        <v>25</v>
      </c>
      <c r="I1352" s="5">
        <v>44774</v>
      </c>
      <c r="J1352" s="6">
        <v>0</v>
      </c>
      <c r="K1352" s="6">
        <v>0</v>
      </c>
      <c r="L1352" s="6">
        <v>2242.2280000000001</v>
      </c>
      <c r="M1352" s="6">
        <v>2242.2280000000001</v>
      </c>
      <c r="N1352" s="6">
        <v>2242.2280000000001</v>
      </c>
      <c r="O1352" s="6">
        <v>2242.2280000000001</v>
      </c>
      <c r="P1352" s="6">
        <v>17330</v>
      </c>
      <c r="Q1352" s="4" t="s">
        <v>26</v>
      </c>
      <c r="R1352" s="4">
        <v>0</v>
      </c>
      <c r="S1352" s="4" t="s">
        <v>339</v>
      </c>
      <c r="T1352" s="4" t="s">
        <v>609</v>
      </c>
      <c r="U1352" s="4">
        <v>0</v>
      </c>
      <c r="V1352" s="4">
        <v>42</v>
      </c>
      <c r="W1352" s="4">
        <v>86</v>
      </c>
    </row>
    <row r="1353" spans="1:23" ht="11.25" customHeight="1" x14ac:dyDescent="0.25">
      <c r="A1353" s="4" t="s">
        <v>27</v>
      </c>
      <c r="B1353" s="4" t="s">
        <v>22</v>
      </c>
      <c r="C1353" s="4" t="s">
        <v>23</v>
      </c>
      <c r="D1353" s="4" t="s">
        <v>24</v>
      </c>
      <c r="E1353" s="4" t="s">
        <v>33</v>
      </c>
      <c r="F1353" s="4" t="s">
        <v>25</v>
      </c>
      <c r="G1353" s="4" t="s">
        <v>25</v>
      </c>
      <c r="H1353" s="4" t="s">
        <v>25</v>
      </c>
      <c r="I1353" s="5">
        <v>44774</v>
      </c>
      <c r="J1353" s="6">
        <v>0</v>
      </c>
      <c r="K1353" s="6">
        <v>0</v>
      </c>
      <c r="L1353" s="6">
        <v>-1.9630000000000001</v>
      </c>
      <c r="M1353" s="6">
        <v>-1.9630000000000001</v>
      </c>
      <c r="N1353" s="6">
        <v>-1.9630000000000001</v>
      </c>
      <c r="O1353" s="6">
        <v>-1.9630000000000001</v>
      </c>
      <c r="P1353" s="6">
        <v>-16</v>
      </c>
      <c r="Q1353" s="4" t="s">
        <v>26</v>
      </c>
      <c r="R1353" s="4">
        <v>0</v>
      </c>
      <c r="S1353" s="4" t="s">
        <v>339</v>
      </c>
      <c r="T1353" s="4" t="s">
        <v>609</v>
      </c>
      <c r="U1353" s="4">
        <v>0</v>
      </c>
      <c r="V1353" s="4">
        <v>42</v>
      </c>
      <c r="W1353" s="4">
        <v>86</v>
      </c>
    </row>
    <row r="1354" spans="1:23" ht="11.25" customHeight="1" x14ac:dyDescent="0.25">
      <c r="A1354" s="4" t="s">
        <v>28</v>
      </c>
      <c r="B1354" s="4" t="s">
        <v>22</v>
      </c>
      <c r="C1354" s="4" t="s">
        <v>23</v>
      </c>
      <c r="D1354" s="4" t="s">
        <v>24</v>
      </c>
      <c r="E1354" s="4" t="s">
        <v>33</v>
      </c>
      <c r="F1354" s="4" t="s">
        <v>25</v>
      </c>
      <c r="G1354" s="4" t="s">
        <v>25</v>
      </c>
      <c r="H1354" s="4" t="s">
        <v>25</v>
      </c>
      <c r="I1354" s="5">
        <v>44774</v>
      </c>
      <c r="J1354" s="6">
        <v>0</v>
      </c>
      <c r="K1354" s="6">
        <v>0</v>
      </c>
      <c r="L1354" s="6">
        <v>1030.547</v>
      </c>
      <c r="M1354" s="6">
        <v>1030.547</v>
      </c>
      <c r="N1354" s="6">
        <v>1030.547</v>
      </c>
      <c r="O1354" s="6">
        <v>1030.547</v>
      </c>
      <c r="P1354" s="6">
        <v>13096</v>
      </c>
      <c r="Q1354" s="4" t="s">
        <v>26</v>
      </c>
      <c r="R1354" s="4">
        <v>0</v>
      </c>
      <c r="S1354" s="4" t="s">
        <v>339</v>
      </c>
      <c r="T1354" s="4" t="s">
        <v>609</v>
      </c>
      <c r="U1354" s="4">
        <v>0</v>
      </c>
      <c r="V1354" s="4">
        <v>42</v>
      </c>
      <c r="W1354" s="4">
        <v>86</v>
      </c>
    </row>
    <row r="1355" spans="1:23" ht="11.25" customHeight="1" x14ac:dyDescent="0.25">
      <c r="A1355" s="4" t="s">
        <v>29</v>
      </c>
      <c r="B1355" s="4" t="s">
        <v>22</v>
      </c>
      <c r="C1355" s="4" t="s">
        <v>23</v>
      </c>
      <c r="D1355" s="4" t="s">
        <v>24</v>
      </c>
      <c r="E1355" s="4" t="s">
        <v>33</v>
      </c>
      <c r="F1355" s="4" t="s">
        <v>25</v>
      </c>
      <c r="G1355" s="4" t="s">
        <v>25</v>
      </c>
      <c r="H1355" s="4" t="s">
        <v>25</v>
      </c>
      <c r="I1355" s="5">
        <v>44774</v>
      </c>
      <c r="J1355" s="6">
        <v>0</v>
      </c>
      <c r="K1355" s="6">
        <v>0</v>
      </c>
      <c r="L1355" s="6">
        <v>-2.016</v>
      </c>
      <c r="M1355" s="6">
        <v>-2.016</v>
      </c>
      <c r="N1355" s="6">
        <v>-2.016</v>
      </c>
      <c r="O1355" s="6">
        <v>-2.016</v>
      </c>
      <c r="P1355" s="6">
        <v>-8</v>
      </c>
      <c r="Q1355" s="4" t="s">
        <v>26</v>
      </c>
      <c r="R1355" s="4">
        <v>0</v>
      </c>
      <c r="S1355" s="4" t="s">
        <v>339</v>
      </c>
      <c r="T1355" s="4" t="s">
        <v>609</v>
      </c>
      <c r="U1355" s="4">
        <v>0</v>
      </c>
      <c r="V1355" s="4">
        <v>42</v>
      </c>
      <c r="W1355" s="4">
        <v>86</v>
      </c>
    </row>
    <row r="1356" spans="1:23" ht="11.25" customHeight="1" x14ac:dyDescent="0.25">
      <c r="A1356" s="4" t="s">
        <v>30</v>
      </c>
      <c r="B1356" s="4" t="s">
        <v>22</v>
      </c>
      <c r="C1356" s="4" t="s">
        <v>23</v>
      </c>
      <c r="D1356" s="4" t="s">
        <v>24</v>
      </c>
      <c r="E1356" s="4" t="s">
        <v>33</v>
      </c>
      <c r="F1356" s="4" t="s">
        <v>25</v>
      </c>
      <c r="G1356" s="4" t="s">
        <v>25</v>
      </c>
      <c r="H1356" s="4" t="s">
        <v>25</v>
      </c>
      <c r="I1356" s="5">
        <v>44774</v>
      </c>
      <c r="J1356" s="6">
        <v>0</v>
      </c>
      <c r="K1356" s="6">
        <v>0</v>
      </c>
      <c r="L1356" s="6">
        <v>1.619</v>
      </c>
      <c r="M1356" s="6">
        <v>1.619</v>
      </c>
      <c r="N1356" s="6">
        <v>1.619</v>
      </c>
      <c r="O1356" s="6">
        <v>1.619</v>
      </c>
      <c r="P1356" s="6">
        <v>9</v>
      </c>
      <c r="Q1356" s="4" t="s">
        <v>26</v>
      </c>
      <c r="R1356" s="4">
        <v>0</v>
      </c>
      <c r="S1356" s="4" t="s">
        <v>339</v>
      </c>
      <c r="T1356" s="4" t="s">
        <v>609</v>
      </c>
      <c r="U1356" s="4">
        <v>0</v>
      </c>
      <c r="V1356" s="4">
        <v>42</v>
      </c>
      <c r="W1356" s="4">
        <v>86</v>
      </c>
    </row>
    <row r="1357" spans="1:23" ht="11.25" customHeight="1" x14ac:dyDescent="0.25">
      <c r="A1357" s="4" t="s">
        <v>21</v>
      </c>
      <c r="B1357" s="4" t="s">
        <v>22</v>
      </c>
      <c r="C1357" s="4" t="s">
        <v>23</v>
      </c>
      <c r="D1357" s="4" t="s">
        <v>24</v>
      </c>
      <c r="E1357" s="4" t="s">
        <v>33</v>
      </c>
      <c r="F1357" s="4" t="s">
        <v>25</v>
      </c>
      <c r="G1357" s="4" t="s">
        <v>25</v>
      </c>
      <c r="H1357" s="4" t="s">
        <v>25</v>
      </c>
      <c r="I1357" s="5">
        <v>44805</v>
      </c>
      <c r="J1357" s="6">
        <v>0</v>
      </c>
      <c r="K1357" s="6">
        <v>0</v>
      </c>
      <c r="L1357" s="6">
        <v>2420.0030000000002</v>
      </c>
      <c r="M1357" s="6">
        <v>2420.0030000000002</v>
      </c>
      <c r="N1357" s="6">
        <v>2420.0030000000002</v>
      </c>
      <c r="O1357" s="6">
        <v>2420.0030000000002</v>
      </c>
      <c r="P1357" s="6">
        <v>21267</v>
      </c>
      <c r="Q1357" s="4" t="s">
        <v>26</v>
      </c>
      <c r="R1357" s="4">
        <v>0</v>
      </c>
      <c r="S1357" s="4" t="s">
        <v>340</v>
      </c>
      <c r="T1357" s="4" t="s">
        <v>610</v>
      </c>
      <c r="U1357" s="4">
        <v>0</v>
      </c>
      <c r="V1357" s="4">
        <v>42</v>
      </c>
      <c r="W1357" s="4">
        <v>86</v>
      </c>
    </row>
    <row r="1358" spans="1:23" ht="11.25" customHeight="1" x14ac:dyDescent="0.25">
      <c r="A1358" s="4" t="s">
        <v>27</v>
      </c>
      <c r="B1358" s="4" t="s">
        <v>22</v>
      </c>
      <c r="C1358" s="4" t="s">
        <v>23</v>
      </c>
      <c r="D1358" s="4" t="s">
        <v>24</v>
      </c>
      <c r="E1358" s="4" t="s">
        <v>33</v>
      </c>
      <c r="F1358" s="4" t="s">
        <v>25</v>
      </c>
      <c r="G1358" s="4" t="s">
        <v>25</v>
      </c>
      <c r="H1358" s="4" t="s">
        <v>25</v>
      </c>
      <c r="I1358" s="5">
        <v>44805</v>
      </c>
      <c r="J1358" s="6">
        <v>0</v>
      </c>
      <c r="K1358" s="6">
        <v>0</v>
      </c>
      <c r="L1358" s="6">
        <v>-5.4390000000000001</v>
      </c>
      <c r="M1358" s="6">
        <v>-5.4390000000000001</v>
      </c>
      <c r="N1358" s="6">
        <v>-5.4390000000000001</v>
      </c>
      <c r="O1358" s="6">
        <v>-5.4390000000000001</v>
      </c>
      <c r="P1358" s="6">
        <v>-3</v>
      </c>
      <c r="Q1358" s="4" t="s">
        <v>26</v>
      </c>
      <c r="R1358" s="4">
        <v>0</v>
      </c>
      <c r="S1358" s="4" t="s">
        <v>340</v>
      </c>
      <c r="T1358" s="4" t="s">
        <v>610</v>
      </c>
      <c r="U1358" s="4">
        <v>0</v>
      </c>
      <c r="V1358" s="4">
        <v>42</v>
      </c>
      <c r="W1358" s="4">
        <v>86</v>
      </c>
    </row>
    <row r="1359" spans="1:23" ht="11.25" customHeight="1" x14ac:dyDescent="0.25">
      <c r="A1359" s="4" t="s">
        <v>28</v>
      </c>
      <c r="B1359" s="4" t="s">
        <v>22</v>
      </c>
      <c r="C1359" s="4" t="s">
        <v>23</v>
      </c>
      <c r="D1359" s="4" t="s">
        <v>24</v>
      </c>
      <c r="E1359" s="4" t="s">
        <v>33</v>
      </c>
      <c r="F1359" s="4" t="s">
        <v>25</v>
      </c>
      <c r="G1359" s="4" t="s">
        <v>25</v>
      </c>
      <c r="H1359" s="4" t="s">
        <v>25</v>
      </c>
      <c r="I1359" s="5">
        <v>44805</v>
      </c>
      <c r="J1359" s="6">
        <v>0</v>
      </c>
      <c r="K1359" s="6">
        <v>0</v>
      </c>
      <c r="L1359" s="6">
        <v>785.86599999999999</v>
      </c>
      <c r="M1359" s="6">
        <v>785.86599999999999</v>
      </c>
      <c r="N1359" s="6">
        <v>785.86599999999999</v>
      </c>
      <c r="O1359" s="6">
        <v>785.86599999999999</v>
      </c>
      <c r="P1359" s="6">
        <v>9611</v>
      </c>
      <c r="Q1359" s="4" t="s">
        <v>26</v>
      </c>
      <c r="R1359" s="4">
        <v>0</v>
      </c>
      <c r="S1359" s="4" t="s">
        <v>340</v>
      </c>
      <c r="T1359" s="4" t="s">
        <v>610</v>
      </c>
      <c r="U1359" s="4">
        <v>0</v>
      </c>
      <c r="V1359" s="4">
        <v>42</v>
      </c>
      <c r="W1359" s="4">
        <v>86</v>
      </c>
    </row>
    <row r="1360" spans="1:23" ht="11.25" customHeight="1" x14ac:dyDescent="0.25">
      <c r="A1360" s="4" t="s">
        <v>29</v>
      </c>
      <c r="B1360" s="4" t="s">
        <v>22</v>
      </c>
      <c r="C1360" s="4" t="s">
        <v>23</v>
      </c>
      <c r="D1360" s="4" t="s">
        <v>24</v>
      </c>
      <c r="E1360" s="4" t="s">
        <v>33</v>
      </c>
      <c r="F1360" s="4" t="s">
        <v>25</v>
      </c>
      <c r="G1360" s="4" t="s">
        <v>25</v>
      </c>
      <c r="H1360" s="4" t="s">
        <v>25</v>
      </c>
      <c r="I1360" s="5">
        <v>44805</v>
      </c>
      <c r="J1360" s="6">
        <v>0</v>
      </c>
      <c r="K1360" s="6">
        <v>0</v>
      </c>
      <c r="L1360" s="6">
        <v>-0.48</v>
      </c>
      <c r="M1360" s="6">
        <v>-0.48</v>
      </c>
      <c r="N1360" s="6">
        <v>-0.48</v>
      </c>
      <c r="O1360" s="6">
        <v>-0.48</v>
      </c>
      <c r="P1360" s="6">
        <v>0</v>
      </c>
      <c r="Q1360" s="4" t="s">
        <v>26</v>
      </c>
      <c r="R1360" s="4">
        <v>0</v>
      </c>
      <c r="S1360" s="4" t="s">
        <v>340</v>
      </c>
      <c r="T1360" s="4" t="s">
        <v>610</v>
      </c>
      <c r="U1360" s="4">
        <v>0</v>
      </c>
      <c r="V1360" s="4">
        <v>42</v>
      </c>
      <c r="W1360" s="4">
        <v>86</v>
      </c>
    </row>
    <row r="1361" spans="1:23" ht="11.25" customHeight="1" x14ac:dyDescent="0.25">
      <c r="A1361" s="4" t="s">
        <v>30</v>
      </c>
      <c r="B1361" s="4" t="s">
        <v>22</v>
      </c>
      <c r="C1361" s="4" t="s">
        <v>23</v>
      </c>
      <c r="D1361" s="4" t="s">
        <v>24</v>
      </c>
      <c r="E1361" s="4" t="s">
        <v>33</v>
      </c>
      <c r="F1361" s="4" t="s">
        <v>25</v>
      </c>
      <c r="G1361" s="4" t="s">
        <v>25</v>
      </c>
      <c r="H1361" s="4" t="s">
        <v>25</v>
      </c>
      <c r="I1361" s="5">
        <v>44805</v>
      </c>
      <c r="J1361" s="6">
        <v>0</v>
      </c>
      <c r="K1361" s="6">
        <v>0</v>
      </c>
      <c r="L1361" s="6">
        <v>1.736</v>
      </c>
      <c r="M1361" s="6">
        <v>1.736</v>
      </c>
      <c r="N1361" s="6">
        <v>1.736</v>
      </c>
      <c r="O1361" s="6">
        <v>1.736</v>
      </c>
      <c r="P1361" s="6">
        <v>7</v>
      </c>
      <c r="Q1361" s="4" t="s">
        <v>26</v>
      </c>
      <c r="R1361" s="4">
        <v>0</v>
      </c>
      <c r="S1361" s="4" t="s">
        <v>340</v>
      </c>
      <c r="T1361" s="4" t="s">
        <v>610</v>
      </c>
      <c r="U1361" s="4">
        <v>0</v>
      </c>
      <c r="V1361" s="4">
        <v>42</v>
      </c>
      <c r="W1361" s="4">
        <v>86</v>
      </c>
    </row>
    <row r="1362" spans="1:23" ht="11.25" customHeight="1" x14ac:dyDescent="0.25">
      <c r="A1362" s="4" t="s">
        <v>21</v>
      </c>
      <c r="B1362" s="4" t="s">
        <v>22</v>
      </c>
      <c r="C1362" s="4" t="s">
        <v>23</v>
      </c>
      <c r="D1362" s="4" t="s">
        <v>24</v>
      </c>
      <c r="E1362" s="4" t="s">
        <v>33</v>
      </c>
      <c r="F1362" s="4" t="s">
        <v>25</v>
      </c>
      <c r="G1362" s="4" t="s">
        <v>25</v>
      </c>
      <c r="H1362" s="4" t="s">
        <v>25</v>
      </c>
      <c r="I1362" s="5">
        <v>44835</v>
      </c>
      <c r="J1362" s="6">
        <v>0</v>
      </c>
      <c r="K1362" s="6">
        <v>0</v>
      </c>
      <c r="L1362" s="6">
        <v>2705.0569999999998</v>
      </c>
      <c r="M1362" s="6">
        <v>2705.0569999999998</v>
      </c>
      <c r="N1362" s="6">
        <v>2705.0569999999998</v>
      </c>
      <c r="O1362" s="6">
        <v>2705.0569999999998</v>
      </c>
      <c r="P1362" s="6">
        <v>21473</v>
      </c>
      <c r="Q1362" s="4" t="s">
        <v>26</v>
      </c>
      <c r="R1362" s="4">
        <v>0</v>
      </c>
      <c r="S1362" s="4" t="s">
        <v>341</v>
      </c>
      <c r="T1362" s="4" t="s">
        <v>611</v>
      </c>
      <c r="U1362" s="4">
        <v>0</v>
      </c>
      <c r="V1362" s="4">
        <v>42</v>
      </c>
      <c r="W1362" s="4">
        <v>86</v>
      </c>
    </row>
    <row r="1363" spans="1:23" ht="11.25" customHeight="1" x14ac:dyDescent="0.25">
      <c r="A1363" s="4" t="s">
        <v>27</v>
      </c>
      <c r="B1363" s="4" t="s">
        <v>22</v>
      </c>
      <c r="C1363" s="4" t="s">
        <v>23</v>
      </c>
      <c r="D1363" s="4" t="s">
        <v>24</v>
      </c>
      <c r="E1363" s="4" t="s">
        <v>33</v>
      </c>
      <c r="F1363" s="4" t="s">
        <v>25</v>
      </c>
      <c r="G1363" s="4" t="s">
        <v>25</v>
      </c>
      <c r="H1363" s="4" t="s">
        <v>25</v>
      </c>
      <c r="I1363" s="5">
        <v>44835</v>
      </c>
      <c r="J1363" s="6">
        <v>0</v>
      </c>
      <c r="K1363" s="6">
        <v>0</v>
      </c>
      <c r="L1363" s="6">
        <v>-8.7959999999999994</v>
      </c>
      <c r="M1363" s="6">
        <v>-8.7959999999999994</v>
      </c>
      <c r="N1363" s="6">
        <v>-8.7959999999999994</v>
      </c>
      <c r="O1363" s="6">
        <v>-8.7959999999999994</v>
      </c>
      <c r="P1363" s="6">
        <v>-7</v>
      </c>
      <c r="Q1363" s="4" t="s">
        <v>26</v>
      </c>
      <c r="R1363" s="4">
        <v>0</v>
      </c>
      <c r="S1363" s="4" t="s">
        <v>341</v>
      </c>
      <c r="T1363" s="4" t="s">
        <v>611</v>
      </c>
      <c r="U1363" s="4">
        <v>0</v>
      </c>
      <c r="V1363" s="4">
        <v>42</v>
      </c>
      <c r="W1363" s="4">
        <v>86</v>
      </c>
    </row>
    <row r="1364" spans="1:23" ht="11.25" customHeight="1" x14ac:dyDescent="0.25">
      <c r="A1364" s="4" t="s">
        <v>28</v>
      </c>
      <c r="B1364" s="4" t="s">
        <v>22</v>
      </c>
      <c r="C1364" s="4" t="s">
        <v>23</v>
      </c>
      <c r="D1364" s="4" t="s">
        <v>24</v>
      </c>
      <c r="E1364" s="4" t="s">
        <v>33</v>
      </c>
      <c r="F1364" s="4" t="s">
        <v>25</v>
      </c>
      <c r="G1364" s="4" t="s">
        <v>25</v>
      </c>
      <c r="H1364" s="4" t="s">
        <v>25</v>
      </c>
      <c r="I1364" s="5">
        <v>44835</v>
      </c>
      <c r="J1364" s="6">
        <v>0</v>
      </c>
      <c r="K1364" s="6">
        <v>0</v>
      </c>
      <c r="L1364" s="6">
        <v>864.66600000000005</v>
      </c>
      <c r="M1364" s="6">
        <v>864.66600000000005</v>
      </c>
      <c r="N1364" s="6">
        <v>864.66600000000005</v>
      </c>
      <c r="O1364" s="6">
        <v>864.66600000000005</v>
      </c>
      <c r="P1364" s="6">
        <v>9951</v>
      </c>
      <c r="Q1364" s="4" t="s">
        <v>26</v>
      </c>
      <c r="R1364" s="4">
        <v>0</v>
      </c>
      <c r="S1364" s="4" t="s">
        <v>341</v>
      </c>
      <c r="T1364" s="4" t="s">
        <v>611</v>
      </c>
      <c r="U1364" s="4">
        <v>0</v>
      </c>
      <c r="V1364" s="4">
        <v>42</v>
      </c>
      <c r="W1364" s="4">
        <v>86</v>
      </c>
    </row>
    <row r="1365" spans="1:23" ht="11.25" customHeight="1" x14ac:dyDescent="0.25">
      <c r="A1365" s="4" t="s">
        <v>29</v>
      </c>
      <c r="B1365" s="4" t="s">
        <v>22</v>
      </c>
      <c r="C1365" s="4" t="s">
        <v>23</v>
      </c>
      <c r="D1365" s="4" t="s">
        <v>24</v>
      </c>
      <c r="E1365" s="4" t="s">
        <v>33</v>
      </c>
      <c r="F1365" s="4" t="s">
        <v>25</v>
      </c>
      <c r="G1365" s="4" t="s">
        <v>25</v>
      </c>
      <c r="H1365" s="4" t="s">
        <v>25</v>
      </c>
      <c r="I1365" s="5">
        <v>44835</v>
      </c>
      <c r="J1365" s="6">
        <v>0</v>
      </c>
      <c r="K1365" s="6">
        <v>0</v>
      </c>
      <c r="L1365" s="6">
        <v>-6.1689999999999996</v>
      </c>
      <c r="M1365" s="6">
        <v>-6.1689999999999996</v>
      </c>
      <c r="N1365" s="6">
        <v>-6.1689999999999996</v>
      </c>
      <c r="O1365" s="6">
        <v>-6.1689999999999996</v>
      </c>
      <c r="P1365" s="6">
        <v>0</v>
      </c>
      <c r="Q1365" s="4" t="s">
        <v>26</v>
      </c>
      <c r="R1365" s="4">
        <v>0</v>
      </c>
      <c r="S1365" s="4" t="s">
        <v>341</v>
      </c>
      <c r="T1365" s="4" t="s">
        <v>611</v>
      </c>
      <c r="U1365" s="4">
        <v>0</v>
      </c>
      <c r="V1365" s="4">
        <v>42</v>
      </c>
      <c r="W1365" s="4">
        <v>86</v>
      </c>
    </row>
    <row r="1366" spans="1:23" ht="11.25" customHeight="1" x14ac:dyDescent="0.25">
      <c r="A1366" s="4" t="s">
        <v>30</v>
      </c>
      <c r="B1366" s="4" t="s">
        <v>22</v>
      </c>
      <c r="C1366" s="4" t="s">
        <v>23</v>
      </c>
      <c r="D1366" s="4" t="s">
        <v>24</v>
      </c>
      <c r="E1366" s="4" t="s">
        <v>33</v>
      </c>
      <c r="F1366" s="4" t="s">
        <v>25</v>
      </c>
      <c r="G1366" s="4" t="s">
        <v>25</v>
      </c>
      <c r="H1366" s="4" t="s">
        <v>25</v>
      </c>
      <c r="I1366" s="5">
        <v>44835</v>
      </c>
      <c r="J1366" s="6">
        <v>0</v>
      </c>
      <c r="K1366" s="6">
        <v>0</v>
      </c>
      <c r="L1366" s="6">
        <v>2.1469999999999998</v>
      </c>
      <c r="M1366" s="6">
        <v>2.1469999999999998</v>
      </c>
      <c r="N1366" s="6">
        <v>2.1469999999999998</v>
      </c>
      <c r="O1366" s="6">
        <v>2.1469999999999998</v>
      </c>
      <c r="P1366" s="6">
        <v>5</v>
      </c>
      <c r="Q1366" s="4" t="s">
        <v>26</v>
      </c>
      <c r="R1366" s="4">
        <v>0</v>
      </c>
      <c r="S1366" s="4" t="s">
        <v>341</v>
      </c>
      <c r="T1366" s="4" t="s">
        <v>611</v>
      </c>
      <c r="U1366" s="4">
        <v>0</v>
      </c>
      <c r="V1366" s="4">
        <v>42</v>
      </c>
      <c r="W1366" s="4">
        <v>86</v>
      </c>
    </row>
    <row r="1367" spans="1:23" ht="11.25" customHeight="1" x14ac:dyDescent="0.25">
      <c r="A1367" s="4" t="s">
        <v>59</v>
      </c>
      <c r="B1367" s="4" t="s">
        <v>22</v>
      </c>
      <c r="C1367" s="4" t="s">
        <v>23</v>
      </c>
      <c r="D1367" s="4" t="s">
        <v>24</v>
      </c>
      <c r="E1367" s="4" t="s">
        <v>33</v>
      </c>
      <c r="F1367" s="4" t="s">
        <v>25</v>
      </c>
      <c r="G1367" s="4" t="s">
        <v>25</v>
      </c>
      <c r="H1367" s="4" t="s">
        <v>25</v>
      </c>
      <c r="I1367" s="5">
        <v>44866</v>
      </c>
      <c r="J1367" s="6">
        <v>0</v>
      </c>
      <c r="K1367" s="6">
        <v>0</v>
      </c>
      <c r="L1367" s="6">
        <v>2705.0569999999998</v>
      </c>
      <c r="M1367" s="6">
        <v>2705.0569999999998</v>
      </c>
      <c r="N1367" s="6">
        <v>2705.0569999999998</v>
      </c>
      <c r="O1367" s="6">
        <v>2705.0569999999998</v>
      </c>
      <c r="P1367" s="6">
        <v>21473</v>
      </c>
      <c r="Q1367" s="4" t="s">
        <v>26</v>
      </c>
      <c r="R1367" s="4">
        <v>0</v>
      </c>
      <c r="S1367" s="4" t="s">
        <v>342</v>
      </c>
      <c r="T1367" s="4" t="s">
        <v>612</v>
      </c>
      <c r="U1367" s="4">
        <v>0</v>
      </c>
      <c r="V1367" s="4">
        <v>42</v>
      </c>
      <c r="W1367" s="4">
        <v>86</v>
      </c>
    </row>
    <row r="1368" spans="1:23" ht="11.25" customHeight="1" x14ac:dyDescent="0.25">
      <c r="A1368" s="4" t="s">
        <v>59</v>
      </c>
      <c r="B1368" s="4" t="s">
        <v>22</v>
      </c>
      <c r="C1368" s="4" t="s">
        <v>23</v>
      </c>
      <c r="D1368" s="4" t="s">
        <v>24</v>
      </c>
      <c r="E1368" s="4" t="s">
        <v>33</v>
      </c>
      <c r="F1368" s="4" t="s">
        <v>25</v>
      </c>
      <c r="G1368" s="4" t="s">
        <v>25</v>
      </c>
      <c r="H1368" s="4" t="s">
        <v>25</v>
      </c>
      <c r="I1368" s="5">
        <v>44866</v>
      </c>
      <c r="J1368" s="6">
        <v>0</v>
      </c>
      <c r="K1368" s="6">
        <v>0</v>
      </c>
      <c r="L1368" s="6">
        <v>-8.7959999999999994</v>
      </c>
      <c r="M1368" s="6">
        <v>-8.7959999999999994</v>
      </c>
      <c r="N1368" s="6">
        <v>-8.7959999999999994</v>
      </c>
      <c r="O1368" s="6">
        <v>-8.7959999999999994</v>
      </c>
      <c r="P1368" s="6">
        <v>-7</v>
      </c>
      <c r="Q1368" s="4" t="s">
        <v>26</v>
      </c>
      <c r="R1368" s="4">
        <v>0</v>
      </c>
      <c r="S1368" s="4" t="s">
        <v>342</v>
      </c>
      <c r="T1368" s="4" t="s">
        <v>612</v>
      </c>
      <c r="U1368" s="4">
        <v>0</v>
      </c>
      <c r="V1368" s="4">
        <v>42</v>
      </c>
      <c r="W1368" s="4">
        <v>86</v>
      </c>
    </row>
    <row r="1369" spans="1:23" ht="11.25" customHeight="1" x14ac:dyDescent="0.25">
      <c r="A1369" s="4" t="s">
        <v>59</v>
      </c>
      <c r="B1369" s="4" t="s">
        <v>22</v>
      </c>
      <c r="C1369" s="4" t="s">
        <v>23</v>
      </c>
      <c r="D1369" s="4" t="s">
        <v>24</v>
      </c>
      <c r="E1369" s="4" t="s">
        <v>33</v>
      </c>
      <c r="F1369" s="4" t="s">
        <v>25</v>
      </c>
      <c r="G1369" s="4" t="s">
        <v>25</v>
      </c>
      <c r="H1369" s="4" t="s">
        <v>25</v>
      </c>
      <c r="I1369" s="5">
        <v>44866</v>
      </c>
      <c r="J1369" s="6">
        <v>0</v>
      </c>
      <c r="K1369" s="6">
        <v>0</v>
      </c>
      <c r="L1369" s="6">
        <v>864.66600000000005</v>
      </c>
      <c r="M1369" s="6">
        <v>864.66600000000005</v>
      </c>
      <c r="N1369" s="6">
        <v>864.66600000000005</v>
      </c>
      <c r="O1369" s="6">
        <v>864.66600000000005</v>
      </c>
      <c r="P1369" s="6">
        <v>9951</v>
      </c>
      <c r="Q1369" s="4" t="s">
        <v>26</v>
      </c>
      <c r="R1369" s="4">
        <v>0</v>
      </c>
      <c r="S1369" s="4" t="s">
        <v>342</v>
      </c>
      <c r="T1369" s="4" t="s">
        <v>612</v>
      </c>
      <c r="U1369" s="4">
        <v>0</v>
      </c>
      <c r="V1369" s="4">
        <v>42</v>
      </c>
      <c r="W1369" s="4">
        <v>86</v>
      </c>
    </row>
    <row r="1370" spans="1:23" ht="11.25" customHeight="1" x14ac:dyDescent="0.25">
      <c r="A1370" s="4" t="s">
        <v>59</v>
      </c>
      <c r="B1370" s="4" t="s">
        <v>22</v>
      </c>
      <c r="C1370" s="4" t="s">
        <v>23</v>
      </c>
      <c r="D1370" s="4" t="s">
        <v>24</v>
      </c>
      <c r="E1370" s="4" t="s">
        <v>33</v>
      </c>
      <c r="F1370" s="4" t="s">
        <v>25</v>
      </c>
      <c r="G1370" s="4" t="s">
        <v>25</v>
      </c>
      <c r="H1370" s="4" t="s">
        <v>25</v>
      </c>
      <c r="I1370" s="5">
        <v>44866</v>
      </c>
      <c r="J1370" s="6">
        <v>0</v>
      </c>
      <c r="K1370" s="6">
        <v>0</v>
      </c>
      <c r="L1370" s="6">
        <v>-6.1689999999999996</v>
      </c>
      <c r="M1370" s="6">
        <v>-6.1689999999999996</v>
      </c>
      <c r="N1370" s="6">
        <v>-6.1689999999999996</v>
      </c>
      <c r="O1370" s="6">
        <v>-6.1689999999999996</v>
      </c>
      <c r="P1370" s="6">
        <v>0</v>
      </c>
      <c r="Q1370" s="4" t="s">
        <v>26</v>
      </c>
      <c r="R1370" s="4">
        <v>0</v>
      </c>
      <c r="S1370" s="4" t="s">
        <v>342</v>
      </c>
      <c r="T1370" s="4" t="s">
        <v>612</v>
      </c>
      <c r="U1370" s="4">
        <v>0</v>
      </c>
      <c r="V1370" s="4">
        <v>42</v>
      </c>
      <c r="W1370" s="4">
        <v>86</v>
      </c>
    </row>
    <row r="1371" spans="1:23" ht="11.25" customHeight="1" x14ac:dyDescent="0.25">
      <c r="A1371" s="4" t="s">
        <v>59</v>
      </c>
      <c r="B1371" s="4" t="s">
        <v>22</v>
      </c>
      <c r="C1371" s="4" t="s">
        <v>23</v>
      </c>
      <c r="D1371" s="4" t="s">
        <v>24</v>
      </c>
      <c r="E1371" s="4" t="s">
        <v>33</v>
      </c>
      <c r="F1371" s="4" t="s">
        <v>25</v>
      </c>
      <c r="G1371" s="4" t="s">
        <v>25</v>
      </c>
      <c r="H1371" s="4" t="s">
        <v>25</v>
      </c>
      <c r="I1371" s="5">
        <v>44866</v>
      </c>
      <c r="J1371" s="6">
        <v>0</v>
      </c>
      <c r="K1371" s="6">
        <v>0</v>
      </c>
      <c r="L1371" s="6">
        <v>2.1469999999999998</v>
      </c>
      <c r="M1371" s="6">
        <v>2.1469999999999998</v>
      </c>
      <c r="N1371" s="6">
        <v>2.1469999999999998</v>
      </c>
      <c r="O1371" s="6">
        <v>2.1469999999999998</v>
      </c>
      <c r="P1371" s="6">
        <v>5</v>
      </c>
      <c r="Q1371" s="4" t="s">
        <v>26</v>
      </c>
      <c r="R1371" s="4">
        <v>0</v>
      </c>
      <c r="S1371" s="4" t="s">
        <v>342</v>
      </c>
      <c r="T1371" s="4" t="s">
        <v>612</v>
      </c>
      <c r="U1371" s="4">
        <v>0</v>
      </c>
      <c r="V1371" s="4">
        <v>42</v>
      </c>
      <c r="W1371" s="4">
        <v>86</v>
      </c>
    </row>
    <row r="1372" spans="1:23" ht="11.25" customHeight="1" x14ac:dyDescent="0.25">
      <c r="A1372" s="4" t="s">
        <v>21</v>
      </c>
      <c r="B1372" s="4" t="s">
        <v>22</v>
      </c>
      <c r="C1372" s="4" t="s">
        <v>23</v>
      </c>
      <c r="D1372" s="4" t="s">
        <v>24</v>
      </c>
      <c r="E1372" s="4" t="s">
        <v>34</v>
      </c>
      <c r="F1372" s="4" t="s">
        <v>25</v>
      </c>
      <c r="G1372" s="4" t="s">
        <v>25</v>
      </c>
      <c r="H1372" s="4" t="s">
        <v>25</v>
      </c>
      <c r="I1372" s="5">
        <v>44531</v>
      </c>
      <c r="J1372" s="6">
        <v>0</v>
      </c>
      <c r="K1372" s="6">
        <v>0</v>
      </c>
      <c r="L1372" s="6">
        <v>1049.191</v>
      </c>
      <c r="M1372" s="6">
        <v>1049.191</v>
      </c>
      <c r="N1372" s="6">
        <v>1049.191</v>
      </c>
      <c r="O1372" s="6">
        <v>1049.191</v>
      </c>
      <c r="P1372" s="6">
        <v>8530</v>
      </c>
      <c r="Q1372" s="4" t="s">
        <v>26</v>
      </c>
      <c r="R1372" s="4">
        <v>0</v>
      </c>
      <c r="S1372" s="4" t="s">
        <v>343</v>
      </c>
      <c r="T1372" s="4" t="s">
        <v>613</v>
      </c>
      <c r="U1372" s="4">
        <v>0</v>
      </c>
      <c r="V1372" s="4">
        <v>43</v>
      </c>
      <c r="W1372" s="4">
        <v>87</v>
      </c>
    </row>
    <row r="1373" spans="1:23" ht="11.25" customHeight="1" x14ac:dyDescent="0.25">
      <c r="A1373" s="4" t="s">
        <v>27</v>
      </c>
      <c r="B1373" s="4" t="s">
        <v>22</v>
      </c>
      <c r="C1373" s="4" t="s">
        <v>23</v>
      </c>
      <c r="D1373" s="4" t="s">
        <v>24</v>
      </c>
      <c r="E1373" s="4" t="s">
        <v>34</v>
      </c>
      <c r="F1373" s="4" t="s">
        <v>25</v>
      </c>
      <c r="G1373" s="4" t="s">
        <v>25</v>
      </c>
      <c r="H1373" s="4" t="s">
        <v>25</v>
      </c>
      <c r="I1373" s="5">
        <v>44531</v>
      </c>
      <c r="J1373" s="6">
        <v>0</v>
      </c>
      <c r="K1373" s="6">
        <v>0</v>
      </c>
      <c r="L1373" s="6">
        <v>-42.261000000000003</v>
      </c>
      <c r="M1373" s="6">
        <v>-42.261000000000003</v>
      </c>
      <c r="N1373" s="6">
        <v>-42.261000000000003</v>
      </c>
      <c r="O1373" s="6">
        <v>-42.261000000000003</v>
      </c>
      <c r="P1373" s="6">
        <v>-91</v>
      </c>
      <c r="Q1373" s="4" t="s">
        <v>26</v>
      </c>
      <c r="R1373" s="4">
        <v>0</v>
      </c>
      <c r="S1373" s="4" t="s">
        <v>343</v>
      </c>
      <c r="T1373" s="4" t="s">
        <v>613</v>
      </c>
      <c r="U1373" s="4">
        <v>0</v>
      </c>
      <c r="V1373" s="4">
        <v>43</v>
      </c>
      <c r="W1373" s="4">
        <v>87</v>
      </c>
    </row>
    <row r="1374" spans="1:23" ht="11.25" customHeight="1" x14ac:dyDescent="0.25">
      <c r="A1374" s="4" t="s">
        <v>28</v>
      </c>
      <c r="B1374" s="4" t="s">
        <v>22</v>
      </c>
      <c r="C1374" s="4" t="s">
        <v>23</v>
      </c>
      <c r="D1374" s="4" t="s">
        <v>24</v>
      </c>
      <c r="E1374" s="4" t="s">
        <v>34</v>
      </c>
      <c r="F1374" s="4" t="s">
        <v>25</v>
      </c>
      <c r="G1374" s="4" t="s">
        <v>25</v>
      </c>
      <c r="H1374" s="4" t="s">
        <v>25</v>
      </c>
      <c r="I1374" s="5">
        <v>44531</v>
      </c>
      <c r="J1374" s="6">
        <v>0</v>
      </c>
      <c r="K1374" s="6">
        <v>0</v>
      </c>
      <c r="L1374" s="6">
        <v>269.61799999999999</v>
      </c>
      <c r="M1374" s="6">
        <v>269.61799999999999</v>
      </c>
      <c r="N1374" s="6">
        <v>269.61799999999999</v>
      </c>
      <c r="O1374" s="6">
        <v>269.61799999999999</v>
      </c>
      <c r="P1374" s="6">
        <v>2565</v>
      </c>
      <c r="Q1374" s="4" t="s">
        <v>26</v>
      </c>
      <c r="R1374" s="4">
        <v>0</v>
      </c>
      <c r="S1374" s="4" t="s">
        <v>343</v>
      </c>
      <c r="T1374" s="4" t="s">
        <v>613</v>
      </c>
      <c r="U1374" s="4">
        <v>0</v>
      </c>
      <c r="V1374" s="4">
        <v>43</v>
      </c>
      <c r="W1374" s="4">
        <v>87</v>
      </c>
    </row>
    <row r="1375" spans="1:23" ht="11.25" customHeight="1" x14ac:dyDescent="0.25">
      <c r="A1375" s="4" t="s">
        <v>29</v>
      </c>
      <c r="B1375" s="4" t="s">
        <v>22</v>
      </c>
      <c r="C1375" s="4" t="s">
        <v>23</v>
      </c>
      <c r="D1375" s="4" t="s">
        <v>24</v>
      </c>
      <c r="E1375" s="4" t="s">
        <v>34</v>
      </c>
      <c r="F1375" s="4" t="s">
        <v>25</v>
      </c>
      <c r="G1375" s="4" t="s">
        <v>25</v>
      </c>
      <c r="H1375" s="4" t="s">
        <v>25</v>
      </c>
      <c r="I1375" s="5">
        <v>44531</v>
      </c>
      <c r="J1375" s="6">
        <v>0</v>
      </c>
      <c r="K1375" s="6">
        <v>0</v>
      </c>
      <c r="L1375" s="6">
        <v>-0.51400000000000001</v>
      </c>
      <c r="M1375" s="6">
        <v>-0.51400000000000001</v>
      </c>
      <c r="N1375" s="6">
        <v>-0.51400000000000001</v>
      </c>
      <c r="O1375" s="6">
        <v>-0.51400000000000001</v>
      </c>
      <c r="P1375" s="6">
        <v>-4</v>
      </c>
      <c r="Q1375" s="4" t="s">
        <v>26</v>
      </c>
      <c r="R1375" s="4">
        <v>0</v>
      </c>
      <c r="S1375" s="4" t="s">
        <v>343</v>
      </c>
      <c r="T1375" s="4" t="s">
        <v>613</v>
      </c>
      <c r="U1375" s="4">
        <v>0</v>
      </c>
      <c r="V1375" s="4">
        <v>43</v>
      </c>
      <c r="W1375" s="4">
        <v>87</v>
      </c>
    </row>
    <row r="1376" spans="1:23" ht="11.25" customHeight="1" x14ac:dyDescent="0.25">
      <c r="A1376" s="4" t="s">
        <v>30</v>
      </c>
      <c r="B1376" s="4" t="s">
        <v>22</v>
      </c>
      <c r="C1376" s="4" t="s">
        <v>23</v>
      </c>
      <c r="D1376" s="4" t="s">
        <v>24</v>
      </c>
      <c r="E1376" s="4" t="s">
        <v>34</v>
      </c>
      <c r="F1376" s="4" t="s">
        <v>25</v>
      </c>
      <c r="G1376" s="4" t="s">
        <v>25</v>
      </c>
      <c r="H1376" s="4" t="s">
        <v>25</v>
      </c>
      <c r="I1376" s="5">
        <v>44531</v>
      </c>
      <c r="J1376" s="6">
        <v>0</v>
      </c>
      <c r="K1376" s="6">
        <v>0</v>
      </c>
      <c r="L1376" s="6">
        <v>4.2859999999999996</v>
      </c>
      <c r="M1376" s="6">
        <v>4.2859999999999996</v>
      </c>
      <c r="N1376" s="6">
        <v>4.2859999999999996</v>
      </c>
      <c r="O1376" s="6">
        <v>4.2859999999999996</v>
      </c>
      <c r="P1376" s="6">
        <v>28</v>
      </c>
      <c r="Q1376" s="4" t="s">
        <v>26</v>
      </c>
      <c r="R1376" s="4">
        <v>0</v>
      </c>
      <c r="S1376" s="4" t="s">
        <v>343</v>
      </c>
      <c r="T1376" s="4" t="s">
        <v>613</v>
      </c>
      <c r="U1376" s="4">
        <v>0</v>
      </c>
      <c r="V1376" s="4">
        <v>43</v>
      </c>
      <c r="W1376" s="4">
        <v>87</v>
      </c>
    </row>
    <row r="1377" spans="1:23" ht="11.25" customHeight="1" x14ac:dyDescent="0.25">
      <c r="A1377" s="4" t="s">
        <v>30</v>
      </c>
      <c r="B1377" s="4" t="s">
        <v>22</v>
      </c>
      <c r="C1377" s="4" t="s">
        <v>23</v>
      </c>
      <c r="D1377" s="4" t="s">
        <v>24</v>
      </c>
      <c r="E1377" s="4" t="s">
        <v>34</v>
      </c>
      <c r="F1377" s="4" t="s">
        <v>25</v>
      </c>
      <c r="G1377" s="4" t="s">
        <v>25</v>
      </c>
      <c r="H1377" s="4" t="s">
        <v>25</v>
      </c>
      <c r="I1377" s="5">
        <v>44531</v>
      </c>
      <c r="J1377" s="6">
        <v>0</v>
      </c>
      <c r="K1377" s="6">
        <v>0</v>
      </c>
      <c r="L1377" s="6">
        <v>-2.1970000000000001</v>
      </c>
      <c r="M1377" s="6">
        <v>-2.1970000000000001</v>
      </c>
      <c r="N1377" s="6">
        <v>-2.1970000000000001</v>
      </c>
      <c r="O1377" s="6">
        <v>-2.1970000000000001</v>
      </c>
      <c r="P1377" s="6">
        <v>-1</v>
      </c>
      <c r="Q1377" s="4" t="s">
        <v>26</v>
      </c>
      <c r="R1377" s="4">
        <v>0</v>
      </c>
      <c r="S1377" s="4" t="s">
        <v>343</v>
      </c>
      <c r="T1377" s="4" t="s">
        <v>613</v>
      </c>
      <c r="U1377" s="4">
        <v>0</v>
      </c>
      <c r="V1377" s="4">
        <v>43</v>
      </c>
      <c r="W1377" s="4">
        <v>87</v>
      </c>
    </row>
    <row r="1378" spans="1:23" ht="11.25" customHeight="1" x14ac:dyDescent="0.25">
      <c r="A1378" s="4" t="s">
        <v>21</v>
      </c>
      <c r="B1378" s="4" t="s">
        <v>22</v>
      </c>
      <c r="C1378" s="4" t="s">
        <v>23</v>
      </c>
      <c r="D1378" s="4" t="s">
        <v>24</v>
      </c>
      <c r="E1378" s="4" t="s">
        <v>34</v>
      </c>
      <c r="F1378" s="4" t="s">
        <v>25</v>
      </c>
      <c r="G1378" s="4" t="s">
        <v>25</v>
      </c>
      <c r="H1378" s="4" t="s">
        <v>25</v>
      </c>
      <c r="I1378" s="5">
        <v>44562</v>
      </c>
      <c r="J1378" s="6">
        <v>0</v>
      </c>
      <c r="K1378" s="6">
        <v>0</v>
      </c>
      <c r="L1378" s="6">
        <v>1096.509</v>
      </c>
      <c r="M1378" s="6">
        <v>1096.509</v>
      </c>
      <c r="N1378" s="6">
        <v>1096.509</v>
      </c>
      <c r="O1378" s="6">
        <v>1096.509</v>
      </c>
      <c r="P1378" s="6">
        <v>8858</v>
      </c>
      <c r="Q1378" s="4" t="s">
        <v>26</v>
      </c>
      <c r="R1378" s="4">
        <v>0</v>
      </c>
      <c r="S1378" s="4" t="s">
        <v>344</v>
      </c>
      <c r="T1378" s="4" t="s">
        <v>614</v>
      </c>
      <c r="U1378" s="4">
        <v>0</v>
      </c>
      <c r="V1378" s="4">
        <v>43</v>
      </c>
      <c r="W1378" s="4">
        <v>87</v>
      </c>
    </row>
    <row r="1379" spans="1:23" ht="11.25" customHeight="1" x14ac:dyDescent="0.25">
      <c r="A1379" s="4" t="s">
        <v>27</v>
      </c>
      <c r="B1379" s="4" t="s">
        <v>22</v>
      </c>
      <c r="C1379" s="4" t="s">
        <v>23</v>
      </c>
      <c r="D1379" s="4" t="s">
        <v>24</v>
      </c>
      <c r="E1379" s="4" t="s">
        <v>34</v>
      </c>
      <c r="F1379" s="4" t="s">
        <v>25</v>
      </c>
      <c r="G1379" s="4" t="s">
        <v>25</v>
      </c>
      <c r="H1379" s="4" t="s">
        <v>25</v>
      </c>
      <c r="I1379" s="5">
        <v>44562</v>
      </c>
      <c r="J1379" s="6">
        <v>0</v>
      </c>
      <c r="K1379" s="6">
        <v>0</v>
      </c>
      <c r="L1379" s="6">
        <v>-17.289000000000001</v>
      </c>
      <c r="M1379" s="6">
        <v>-17.289000000000001</v>
      </c>
      <c r="N1379" s="6">
        <v>-17.289000000000001</v>
      </c>
      <c r="O1379" s="6">
        <v>-17.289000000000001</v>
      </c>
      <c r="P1379" s="6">
        <v>-52</v>
      </c>
      <c r="Q1379" s="4" t="s">
        <v>26</v>
      </c>
      <c r="R1379" s="4">
        <v>0</v>
      </c>
      <c r="S1379" s="4" t="s">
        <v>344</v>
      </c>
      <c r="T1379" s="4" t="s">
        <v>614</v>
      </c>
      <c r="U1379" s="4">
        <v>0</v>
      </c>
      <c r="V1379" s="4">
        <v>43</v>
      </c>
      <c r="W1379" s="4">
        <v>87</v>
      </c>
    </row>
    <row r="1380" spans="1:23" ht="11.25" customHeight="1" x14ac:dyDescent="0.25">
      <c r="A1380" s="4" t="s">
        <v>28</v>
      </c>
      <c r="B1380" s="4" t="s">
        <v>22</v>
      </c>
      <c r="C1380" s="4" t="s">
        <v>23</v>
      </c>
      <c r="D1380" s="4" t="s">
        <v>24</v>
      </c>
      <c r="E1380" s="4" t="s">
        <v>34</v>
      </c>
      <c r="F1380" s="4" t="s">
        <v>25</v>
      </c>
      <c r="G1380" s="4" t="s">
        <v>25</v>
      </c>
      <c r="H1380" s="4" t="s">
        <v>25</v>
      </c>
      <c r="I1380" s="5">
        <v>44562</v>
      </c>
      <c r="J1380" s="6">
        <v>0</v>
      </c>
      <c r="K1380" s="6">
        <v>0</v>
      </c>
      <c r="L1380" s="6">
        <v>281.786</v>
      </c>
      <c r="M1380" s="6">
        <v>281.786</v>
      </c>
      <c r="N1380" s="6">
        <v>281.786</v>
      </c>
      <c r="O1380" s="6">
        <v>281.786</v>
      </c>
      <c r="P1380" s="6">
        <v>2654</v>
      </c>
      <c r="Q1380" s="4" t="s">
        <v>26</v>
      </c>
      <c r="R1380" s="4">
        <v>0</v>
      </c>
      <c r="S1380" s="4" t="s">
        <v>344</v>
      </c>
      <c r="T1380" s="4" t="s">
        <v>614</v>
      </c>
      <c r="U1380" s="4">
        <v>0</v>
      </c>
      <c r="V1380" s="4">
        <v>43</v>
      </c>
      <c r="W1380" s="4">
        <v>87</v>
      </c>
    </row>
    <row r="1381" spans="1:23" ht="11.25" customHeight="1" x14ac:dyDescent="0.25">
      <c r="A1381" s="4" t="s">
        <v>29</v>
      </c>
      <c r="B1381" s="4" t="s">
        <v>22</v>
      </c>
      <c r="C1381" s="4" t="s">
        <v>23</v>
      </c>
      <c r="D1381" s="4" t="s">
        <v>24</v>
      </c>
      <c r="E1381" s="4" t="s">
        <v>34</v>
      </c>
      <c r="F1381" s="4" t="s">
        <v>25</v>
      </c>
      <c r="G1381" s="4" t="s">
        <v>25</v>
      </c>
      <c r="H1381" s="4" t="s">
        <v>25</v>
      </c>
      <c r="I1381" s="5">
        <v>44562</v>
      </c>
      <c r="J1381" s="6">
        <v>0</v>
      </c>
      <c r="K1381" s="6">
        <v>0</v>
      </c>
      <c r="L1381" s="6">
        <v>-4.2779999999999996</v>
      </c>
      <c r="M1381" s="6">
        <v>-4.2779999999999996</v>
      </c>
      <c r="N1381" s="6">
        <v>-4.2779999999999996</v>
      </c>
      <c r="O1381" s="6">
        <v>-4.2779999999999996</v>
      </c>
      <c r="P1381" s="6">
        <v>-5</v>
      </c>
      <c r="Q1381" s="4" t="s">
        <v>26</v>
      </c>
      <c r="R1381" s="4">
        <v>0</v>
      </c>
      <c r="S1381" s="4" t="s">
        <v>344</v>
      </c>
      <c r="T1381" s="4" t="s">
        <v>614</v>
      </c>
      <c r="U1381" s="4">
        <v>0</v>
      </c>
      <c r="V1381" s="4">
        <v>43</v>
      </c>
      <c r="W1381" s="4">
        <v>87</v>
      </c>
    </row>
    <row r="1382" spans="1:23" ht="11.25" customHeight="1" x14ac:dyDescent="0.25">
      <c r="A1382" s="4" t="s">
        <v>30</v>
      </c>
      <c r="B1382" s="4" t="s">
        <v>22</v>
      </c>
      <c r="C1382" s="4" t="s">
        <v>23</v>
      </c>
      <c r="D1382" s="4" t="s">
        <v>24</v>
      </c>
      <c r="E1382" s="4" t="s">
        <v>34</v>
      </c>
      <c r="F1382" s="4" t="s">
        <v>25</v>
      </c>
      <c r="G1382" s="4" t="s">
        <v>25</v>
      </c>
      <c r="H1382" s="4" t="s">
        <v>25</v>
      </c>
      <c r="I1382" s="5">
        <v>44562</v>
      </c>
      <c r="J1382" s="6">
        <v>0</v>
      </c>
      <c r="K1382" s="6">
        <v>0</v>
      </c>
      <c r="L1382" s="6">
        <v>3.492</v>
      </c>
      <c r="M1382" s="6">
        <v>3.492</v>
      </c>
      <c r="N1382" s="6">
        <v>3.492</v>
      </c>
      <c r="O1382" s="6">
        <v>3.492</v>
      </c>
      <c r="P1382" s="6">
        <v>30</v>
      </c>
      <c r="Q1382" s="4" t="s">
        <v>26</v>
      </c>
      <c r="R1382" s="4">
        <v>0</v>
      </c>
      <c r="S1382" s="4" t="s">
        <v>344</v>
      </c>
      <c r="T1382" s="4" t="s">
        <v>614</v>
      </c>
      <c r="U1382" s="4">
        <v>0</v>
      </c>
      <c r="V1382" s="4">
        <v>43</v>
      </c>
      <c r="W1382" s="4">
        <v>87</v>
      </c>
    </row>
    <row r="1383" spans="1:23" ht="11.25" customHeight="1" x14ac:dyDescent="0.25">
      <c r="A1383" s="4" t="s">
        <v>30</v>
      </c>
      <c r="B1383" s="4" t="s">
        <v>22</v>
      </c>
      <c r="C1383" s="4" t="s">
        <v>23</v>
      </c>
      <c r="D1383" s="4" t="s">
        <v>24</v>
      </c>
      <c r="E1383" s="4" t="s">
        <v>34</v>
      </c>
      <c r="F1383" s="4" t="s">
        <v>25</v>
      </c>
      <c r="G1383" s="4" t="s">
        <v>25</v>
      </c>
      <c r="H1383" s="4" t="s">
        <v>25</v>
      </c>
      <c r="I1383" s="5">
        <v>44562</v>
      </c>
      <c r="J1383" s="6">
        <v>0</v>
      </c>
      <c r="K1383" s="6">
        <v>0</v>
      </c>
      <c r="L1383" s="6">
        <v>-0.03</v>
      </c>
      <c r="M1383" s="6">
        <v>-0.03</v>
      </c>
      <c r="N1383" s="6">
        <v>-0.03</v>
      </c>
      <c r="O1383" s="6">
        <v>-0.03</v>
      </c>
      <c r="P1383" s="6">
        <v>-1</v>
      </c>
      <c r="Q1383" s="4" t="s">
        <v>26</v>
      </c>
      <c r="R1383" s="4">
        <v>0</v>
      </c>
      <c r="S1383" s="4" t="s">
        <v>344</v>
      </c>
      <c r="T1383" s="4" t="s">
        <v>614</v>
      </c>
      <c r="U1383" s="4">
        <v>0</v>
      </c>
      <c r="V1383" s="4">
        <v>43</v>
      </c>
      <c r="W1383" s="4">
        <v>87</v>
      </c>
    </row>
    <row r="1384" spans="1:23" ht="11.25" customHeight="1" x14ac:dyDescent="0.25">
      <c r="A1384" s="4" t="s">
        <v>21</v>
      </c>
      <c r="B1384" s="4" t="s">
        <v>22</v>
      </c>
      <c r="C1384" s="4" t="s">
        <v>23</v>
      </c>
      <c r="D1384" s="4" t="s">
        <v>24</v>
      </c>
      <c r="E1384" s="4" t="s">
        <v>34</v>
      </c>
      <c r="F1384" s="4" t="s">
        <v>25</v>
      </c>
      <c r="G1384" s="4" t="s">
        <v>25</v>
      </c>
      <c r="H1384" s="4" t="s">
        <v>25</v>
      </c>
      <c r="I1384" s="5">
        <v>44593</v>
      </c>
      <c r="J1384" s="6">
        <v>0</v>
      </c>
      <c r="K1384" s="6">
        <v>0</v>
      </c>
      <c r="L1384" s="6">
        <v>990.79200000000003</v>
      </c>
      <c r="M1384" s="6">
        <v>990.79200000000003</v>
      </c>
      <c r="N1384" s="6">
        <v>990.79200000000003</v>
      </c>
      <c r="O1384" s="6">
        <v>990.79200000000003</v>
      </c>
      <c r="P1384" s="6">
        <v>8031</v>
      </c>
      <c r="Q1384" s="4" t="s">
        <v>26</v>
      </c>
      <c r="R1384" s="4">
        <v>0</v>
      </c>
      <c r="S1384" s="4" t="s">
        <v>345</v>
      </c>
      <c r="T1384" s="4" t="s">
        <v>615</v>
      </c>
      <c r="U1384" s="4">
        <v>0</v>
      </c>
      <c r="V1384" s="4">
        <v>43</v>
      </c>
      <c r="W1384" s="4">
        <v>87</v>
      </c>
    </row>
    <row r="1385" spans="1:23" ht="11.25" customHeight="1" x14ac:dyDescent="0.25">
      <c r="A1385" s="4" t="s">
        <v>27</v>
      </c>
      <c r="B1385" s="4" t="s">
        <v>22</v>
      </c>
      <c r="C1385" s="4" t="s">
        <v>23</v>
      </c>
      <c r="D1385" s="4" t="s">
        <v>24</v>
      </c>
      <c r="E1385" s="4" t="s">
        <v>34</v>
      </c>
      <c r="F1385" s="4" t="s">
        <v>25</v>
      </c>
      <c r="G1385" s="4" t="s">
        <v>25</v>
      </c>
      <c r="H1385" s="4" t="s">
        <v>25</v>
      </c>
      <c r="I1385" s="5">
        <v>44593</v>
      </c>
      <c r="J1385" s="6">
        <v>0</v>
      </c>
      <c r="K1385" s="6">
        <v>0</v>
      </c>
      <c r="L1385" s="6">
        <v>-3.859</v>
      </c>
      <c r="M1385" s="6">
        <v>-3.859</v>
      </c>
      <c r="N1385" s="6">
        <v>-3.859</v>
      </c>
      <c r="O1385" s="6">
        <v>-3.859</v>
      </c>
      <c r="P1385" s="6">
        <v>-40</v>
      </c>
      <c r="Q1385" s="4" t="s">
        <v>26</v>
      </c>
      <c r="R1385" s="4">
        <v>0</v>
      </c>
      <c r="S1385" s="4" t="s">
        <v>345</v>
      </c>
      <c r="T1385" s="4" t="s">
        <v>615</v>
      </c>
      <c r="U1385" s="4">
        <v>0</v>
      </c>
      <c r="V1385" s="4">
        <v>43</v>
      </c>
      <c r="W1385" s="4">
        <v>87</v>
      </c>
    </row>
    <row r="1386" spans="1:23" ht="11.25" customHeight="1" x14ac:dyDescent="0.25">
      <c r="A1386" s="4" t="s">
        <v>28</v>
      </c>
      <c r="B1386" s="4" t="s">
        <v>22</v>
      </c>
      <c r="C1386" s="4" t="s">
        <v>23</v>
      </c>
      <c r="D1386" s="4" t="s">
        <v>24</v>
      </c>
      <c r="E1386" s="4" t="s">
        <v>34</v>
      </c>
      <c r="F1386" s="4" t="s">
        <v>25</v>
      </c>
      <c r="G1386" s="4" t="s">
        <v>25</v>
      </c>
      <c r="H1386" s="4" t="s">
        <v>25</v>
      </c>
      <c r="I1386" s="5">
        <v>44593</v>
      </c>
      <c r="J1386" s="6">
        <v>0</v>
      </c>
      <c r="K1386" s="6">
        <v>0</v>
      </c>
      <c r="L1386" s="6">
        <v>227.375</v>
      </c>
      <c r="M1386" s="6">
        <v>227.375</v>
      </c>
      <c r="N1386" s="6">
        <v>227.375</v>
      </c>
      <c r="O1386" s="6">
        <v>227.375</v>
      </c>
      <c r="P1386" s="6">
        <v>2266</v>
      </c>
      <c r="Q1386" s="4" t="s">
        <v>26</v>
      </c>
      <c r="R1386" s="4">
        <v>0</v>
      </c>
      <c r="S1386" s="4" t="s">
        <v>345</v>
      </c>
      <c r="T1386" s="4" t="s">
        <v>615</v>
      </c>
      <c r="U1386" s="4">
        <v>0</v>
      </c>
      <c r="V1386" s="4">
        <v>43</v>
      </c>
      <c r="W1386" s="4">
        <v>87</v>
      </c>
    </row>
    <row r="1387" spans="1:23" ht="11.25" customHeight="1" x14ac:dyDescent="0.25">
      <c r="A1387" s="4" t="s">
        <v>29</v>
      </c>
      <c r="B1387" s="4" t="s">
        <v>22</v>
      </c>
      <c r="C1387" s="4" t="s">
        <v>23</v>
      </c>
      <c r="D1387" s="4" t="s">
        <v>24</v>
      </c>
      <c r="E1387" s="4" t="s">
        <v>34</v>
      </c>
      <c r="F1387" s="4" t="s">
        <v>25</v>
      </c>
      <c r="G1387" s="4" t="s">
        <v>25</v>
      </c>
      <c r="H1387" s="4" t="s">
        <v>25</v>
      </c>
      <c r="I1387" s="5">
        <v>44593</v>
      </c>
      <c r="J1387" s="6">
        <v>0</v>
      </c>
      <c r="K1387" s="6">
        <v>0</v>
      </c>
      <c r="L1387" s="6">
        <v>-14.207000000000001</v>
      </c>
      <c r="M1387" s="6">
        <v>-14.207000000000001</v>
      </c>
      <c r="N1387" s="6">
        <v>-14.207000000000001</v>
      </c>
      <c r="O1387" s="6">
        <v>-14.207000000000001</v>
      </c>
      <c r="P1387" s="6">
        <v>-5</v>
      </c>
      <c r="Q1387" s="4" t="s">
        <v>26</v>
      </c>
      <c r="R1387" s="4">
        <v>0</v>
      </c>
      <c r="S1387" s="4" t="s">
        <v>345</v>
      </c>
      <c r="T1387" s="4" t="s">
        <v>615</v>
      </c>
      <c r="U1387" s="4">
        <v>0</v>
      </c>
      <c r="V1387" s="4">
        <v>43</v>
      </c>
      <c r="W1387" s="4">
        <v>87</v>
      </c>
    </row>
    <row r="1388" spans="1:23" ht="11.25" customHeight="1" x14ac:dyDescent="0.25">
      <c r="A1388" s="4" t="s">
        <v>30</v>
      </c>
      <c r="B1388" s="4" t="s">
        <v>22</v>
      </c>
      <c r="C1388" s="4" t="s">
        <v>23</v>
      </c>
      <c r="D1388" s="4" t="s">
        <v>24</v>
      </c>
      <c r="E1388" s="4" t="s">
        <v>34</v>
      </c>
      <c r="F1388" s="4" t="s">
        <v>25</v>
      </c>
      <c r="G1388" s="4" t="s">
        <v>25</v>
      </c>
      <c r="H1388" s="4" t="s">
        <v>25</v>
      </c>
      <c r="I1388" s="5">
        <v>44593</v>
      </c>
      <c r="J1388" s="6">
        <v>0</v>
      </c>
      <c r="K1388" s="6">
        <v>0</v>
      </c>
      <c r="L1388" s="6">
        <v>2.3650000000000002</v>
      </c>
      <c r="M1388" s="6">
        <v>2.3650000000000002</v>
      </c>
      <c r="N1388" s="6">
        <v>2.3650000000000002</v>
      </c>
      <c r="O1388" s="6">
        <v>2.3650000000000002</v>
      </c>
      <c r="P1388" s="6">
        <v>34</v>
      </c>
      <c r="Q1388" s="4" t="s">
        <v>26</v>
      </c>
      <c r="R1388" s="4">
        <v>0</v>
      </c>
      <c r="S1388" s="4" t="s">
        <v>345</v>
      </c>
      <c r="T1388" s="4" t="s">
        <v>615</v>
      </c>
      <c r="U1388" s="4">
        <v>0</v>
      </c>
      <c r="V1388" s="4">
        <v>43</v>
      </c>
      <c r="W1388" s="4">
        <v>87</v>
      </c>
    </row>
    <row r="1389" spans="1:23" ht="11.25" customHeight="1" x14ac:dyDescent="0.25">
      <c r="A1389" s="4" t="s">
        <v>30</v>
      </c>
      <c r="B1389" s="4" t="s">
        <v>22</v>
      </c>
      <c r="C1389" s="4" t="s">
        <v>23</v>
      </c>
      <c r="D1389" s="4" t="s">
        <v>24</v>
      </c>
      <c r="E1389" s="4" t="s">
        <v>34</v>
      </c>
      <c r="F1389" s="4" t="s">
        <v>25</v>
      </c>
      <c r="G1389" s="4" t="s">
        <v>25</v>
      </c>
      <c r="H1389" s="4" t="s">
        <v>25</v>
      </c>
      <c r="I1389" s="5">
        <v>44593</v>
      </c>
      <c r="J1389" s="6">
        <v>0</v>
      </c>
      <c r="K1389" s="6">
        <v>0</v>
      </c>
      <c r="L1389" s="6">
        <v>-2.9000000000000001E-2</v>
      </c>
      <c r="M1389" s="6">
        <v>-2.9000000000000001E-2</v>
      </c>
      <c r="N1389" s="6">
        <v>-2.9000000000000001E-2</v>
      </c>
      <c r="O1389" s="6">
        <v>-2.9000000000000001E-2</v>
      </c>
      <c r="P1389" s="6">
        <v>-1</v>
      </c>
      <c r="Q1389" s="4" t="s">
        <v>26</v>
      </c>
      <c r="R1389" s="4">
        <v>0</v>
      </c>
      <c r="S1389" s="4" t="s">
        <v>345</v>
      </c>
      <c r="T1389" s="4" t="s">
        <v>615</v>
      </c>
      <c r="U1389" s="4">
        <v>0</v>
      </c>
      <c r="V1389" s="4">
        <v>43</v>
      </c>
      <c r="W1389" s="4">
        <v>87</v>
      </c>
    </row>
    <row r="1390" spans="1:23" ht="11.25" customHeight="1" x14ac:dyDescent="0.25">
      <c r="A1390" s="4" t="s">
        <v>21</v>
      </c>
      <c r="B1390" s="4" t="s">
        <v>22</v>
      </c>
      <c r="C1390" s="4" t="s">
        <v>23</v>
      </c>
      <c r="D1390" s="4" t="s">
        <v>24</v>
      </c>
      <c r="E1390" s="4" t="s">
        <v>34</v>
      </c>
      <c r="F1390" s="4" t="s">
        <v>25</v>
      </c>
      <c r="G1390" s="4" t="s">
        <v>25</v>
      </c>
      <c r="H1390" s="4" t="s">
        <v>25</v>
      </c>
      <c r="I1390" s="5">
        <v>44621</v>
      </c>
      <c r="J1390" s="6">
        <v>0</v>
      </c>
      <c r="K1390" s="6">
        <v>0</v>
      </c>
      <c r="L1390" s="6">
        <v>1061.9000000000001</v>
      </c>
      <c r="M1390" s="6">
        <v>1061.9000000000001</v>
      </c>
      <c r="N1390" s="6">
        <v>1061.9000000000001</v>
      </c>
      <c r="O1390" s="6">
        <v>1061.9000000000001</v>
      </c>
      <c r="P1390" s="6">
        <v>9110</v>
      </c>
      <c r="Q1390" s="4" t="s">
        <v>26</v>
      </c>
      <c r="R1390" s="4">
        <v>0</v>
      </c>
      <c r="S1390" s="4" t="s">
        <v>346</v>
      </c>
      <c r="T1390" s="4" t="s">
        <v>616</v>
      </c>
      <c r="U1390" s="4">
        <v>0</v>
      </c>
      <c r="V1390" s="4">
        <v>43</v>
      </c>
      <c r="W1390" s="4">
        <v>87</v>
      </c>
    </row>
    <row r="1391" spans="1:23" ht="11.25" customHeight="1" x14ac:dyDescent="0.25">
      <c r="A1391" s="4" t="s">
        <v>27</v>
      </c>
      <c r="B1391" s="4" t="s">
        <v>22</v>
      </c>
      <c r="C1391" s="4" t="s">
        <v>23</v>
      </c>
      <c r="D1391" s="4" t="s">
        <v>24</v>
      </c>
      <c r="E1391" s="4" t="s">
        <v>34</v>
      </c>
      <c r="F1391" s="4" t="s">
        <v>25</v>
      </c>
      <c r="G1391" s="4" t="s">
        <v>25</v>
      </c>
      <c r="H1391" s="4" t="s">
        <v>25</v>
      </c>
      <c r="I1391" s="5">
        <v>44621</v>
      </c>
      <c r="J1391" s="6">
        <v>0</v>
      </c>
      <c r="K1391" s="6">
        <v>0</v>
      </c>
      <c r="L1391" s="6">
        <v>-5.4640000000000004</v>
      </c>
      <c r="M1391" s="6">
        <v>-5.4640000000000004</v>
      </c>
      <c r="N1391" s="6">
        <v>-5.4640000000000004</v>
      </c>
      <c r="O1391" s="6">
        <v>-5.4640000000000004</v>
      </c>
      <c r="P1391" s="6">
        <v>-23</v>
      </c>
      <c r="Q1391" s="4" t="s">
        <v>26</v>
      </c>
      <c r="R1391" s="4">
        <v>0</v>
      </c>
      <c r="S1391" s="4" t="s">
        <v>346</v>
      </c>
      <c r="T1391" s="4" t="s">
        <v>616</v>
      </c>
      <c r="U1391" s="4">
        <v>0</v>
      </c>
      <c r="V1391" s="4">
        <v>43</v>
      </c>
      <c r="W1391" s="4">
        <v>87</v>
      </c>
    </row>
    <row r="1392" spans="1:23" ht="11.25" customHeight="1" x14ac:dyDescent="0.25">
      <c r="A1392" s="4" t="s">
        <v>28</v>
      </c>
      <c r="B1392" s="4" t="s">
        <v>22</v>
      </c>
      <c r="C1392" s="4" t="s">
        <v>23</v>
      </c>
      <c r="D1392" s="4" t="s">
        <v>24</v>
      </c>
      <c r="E1392" s="4" t="s">
        <v>34</v>
      </c>
      <c r="F1392" s="4" t="s">
        <v>25</v>
      </c>
      <c r="G1392" s="4" t="s">
        <v>25</v>
      </c>
      <c r="H1392" s="4" t="s">
        <v>25</v>
      </c>
      <c r="I1392" s="5">
        <v>44621</v>
      </c>
      <c r="J1392" s="6">
        <v>0</v>
      </c>
      <c r="K1392" s="6">
        <v>0</v>
      </c>
      <c r="L1392" s="6">
        <v>257.94900000000001</v>
      </c>
      <c r="M1392" s="6">
        <v>257.94900000000001</v>
      </c>
      <c r="N1392" s="6">
        <v>257.94900000000001</v>
      </c>
      <c r="O1392" s="6">
        <v>257.94900000000001</v>
      </c>
      <c r="P1392" s="6">
        <v>2548</v>
      </c>
      <c r="Q1392" s="4" t="s">
        <v>26</v>
      </c>
      <c r="R1392" s="4">
        <v>0</v>
      </c>
      <c r="S1392" s="4" t="s">
        <v>346</v>
      </c>
      <c r="T1392" s="4" t="s">
        <v>616</v>
      </c>
      <c r="U1392" s="4">
        <v>0</v>
      </c>
      <c r="V1392" s="4">
        <v>43</v>
      </c>
      <c r="W1392" s="4">
        <v>87</v>
      </c>
    </row>
    <row r="1393" spans="1:23" ht="11.25" customHeight="1" x14ac:dyDescent="0.25">
      <c r="A1393" s="4" t="s">
        <v>29</v>
      </c>
      <c r="B1393" s="4" t="s">
        <v>22</v>
      </c>
      <c r="C1393" s="4" t="s">
        <v>23</v>
      </c>
      <c r="D1393" s="4" t="s">
        <v>24</v>
      </c>
      <c r="E1393" s="4" t="s">
        <v>34</v>
      </c>
      <c r="F1393" s="4" t="s">
        <v>25</v>
      </c>
      <c r="G1393" s="4" t="s">
        <v>25</v>
      </c>
      <c r="H1393" s="4" t="s">
        <v>25</v>
      </c>
      <c r="I1393" s="5">
        <v>44621</v>
      </c>
      <c r="J1393" s="6">
        <v>0</v>
      </c>
      <c r="K1393" s="6">
        <v>0</v>
      </c>
      <c r="L1393" s="6">
        <v>-0.50700000000000001</v>
      </c>
      <c r="M1393" s="6">
        <v>-0.50700000000000001</v>
      </c>
      <c r="N1393" s="6">
        <v>-0.50700000000000001</v>
      </c>
      <c r="O1393" s="6">
        <v>-0.50700000000000001</v>
      </c>
      <c r="P1393" s="6">
        <v>-6</v>
      </c>
      <c r="Q1393" s="4" t="s">
        <v>26</v>
      </c>
      <c r="R1393" s="4">
        <v>0</v>
      </c>
      <c r="S1393" s="4" t="s">
        <v>346</v>
      </c>
      <c r="T1393" s="4" t="s">
        <v>616</v>
      </c>
      <c r="U1393" s="4">
        <v>0</v>
      </c>
      <c r="V1393" s="4">
        <v>43</v>
      </c>
      <c r="W1393" s="4">
        <v>87</v>
      </c>
    </row>
    <row r="1394" spans="1:23" ht="11.25" customHeight="1" x14ac:dyDescent="0.25">
      <c r="A1394" s="4" t="s">
        <v>30</v>
      </c>
      <c r="B1394" s="4" t="s">
        <v>22</v>
      </c>
      <c r="C1394" s="4" t="s">
        <v>23</v>
      </c>
      <c r="D1394" s="4" t="s">
        <v>24</v>
      </c>
      <c r="E1394" s="4" t="s">
        <v>34</v>
      </c>
      <c r="F1394" s="4" t="s">
        <v>25</v>
      </c>
      <c r="G1394" s="4" t="s">
        <v>25</v>
      </c>
      <c r="H1394" s="4" t="s">
        <v>25</v>
      </c>
      <c r="I1394" s="5">
        <v>44621</v>
      </c>
      <c r="J1394" s="6">
        <v>0</v>
      </c>
      <c r="K1394" s="6">
        <v>0</v>
      </c>
      <c r="L1394" s="6">
        <v>2.5219999999999998</v>
      </c>
      <c r="M1394" s="6">
        <v>2.5219999999999998</v>
      </c>
      <c r="N1394" s="6">
        <v>2.5219999999999998</v>
      </c>
      <c r="O1394" s="6">
        <v>2.5219999999999998</v>
      </c>
      <c r="P1394" s="6">
        <v>37</v>
      </c>
      <c r="Q1394" s="4" t="s">
        <v>26</v>
      </c>
      <c r="R1394" s="4">
        <v>0</v>
      </c>
      <c r="S1394" s="4" t="s">
        <v>346</v>
      </c>
      <c r="T1394" s="4" t="s">
        <v>616</v>
      </c>
      <c r="U1394" s="4">
        <v>0</v>
      </c>
      <c r="V1394" s="4">
        <v>43</v>
      </c>
      <c r="W1394" s="4">
        <v>87</v>
      </c>
    </row>
    <row r="1395" spans="1:23" ht="11.25" customHeight="1" x14ac:dyDescent="0.25">
      <c r="A1395" s="4" t="s">
        <v>21</v>
      </c>
      <c r="B1395" s="4" t="s">
        <v>22</v>
      </c>
      <c r="C1395" s="4" t="s">
        <v>23</v>
      </c>
      <c r="D1395" s="4" t="s">
        <v>24</v>
      </c>
      <c r="E1395" s="4" t="s">
        <v>34</v>
      </c>
      <c r="F1395" s="4" t="s">
        <v>25</v>
      </c>
      <c r="G1395" s="4" t="s">
        <v>25</v>
      </c>
      <c r="H1395" s="4" t="s">
        <v>25</v>
      </c>
      <c r="I1395" s="5">
        <v>44652</v>
      </c>
      <c r="J1395" s="6">
        <v>0</v>
      </c>
      <c r="K1395" s="6">
        <v>0</v>
      </c>
      <c r="L1395" s="6">
        <v>1132.326</v>
      </c>
      <c r="M1395" s="6">
        <v>1132.326</v>
      </c>
      <c r="N1395" s="6">
        <v>1132.326</v>
      </c>
      <c r="O1395" s="6">
        <v>1132.326</v>
      </c>
      <c r="P1395" s="6">
        <v>9345</v>
      </c>
      <c r="Q1395" s="4" t="s">
        <v>26</v>
      </c>
      <c r="R1395" s="4">
        <v>0</v>
      </c>
      <c r="S1395" s="4" t="s">
        <v>347</v>
      </c>
      <c r="T1395" s="4" t="s">
        <v>617</v>
      </c>
      <c r="U1395" s="4">
        <v>0</v>
      </c>
      <c r="V1395" s="4">
        <v>43</v>
      </c>
      <c r="W1395" s="4">
        <v>87</v>
      </c>
    </row>
    <row r="1396" spans="1:23" ht="11.25" customHeight="1" x14ac:dyDescent="0.25">
      <c r="A1396" s="4" t="s">
        <v>27</v>
      </c>
      <c r="B1396" s="4" t="s">
        <v>22</v>
      </c>
      <c r="C1396" s="4" t="s">
        <v>23</v>
      </c>
      <c r="D1396" s="4" t="s">
        <v>24</v>
      </c>
      <c r="E1396" s="4" t="s">
        <v>34</v>
      </c>
      <c r="F1396" s="4" t="s">
        <v>25</v>
      </c>
      <c r="G1396" s="4" t="s">
        <v>25</v>
      </c>
      <c r="H1396" s="4" t="s">
        <v>25</v>
      </c>
      <c r="I1396" s="5">
        <v>44652</v>
      </c>
      <c r="J1396" s="6">
        <v>0</v>
      </c>
      <c r="K1396" s="6">
        <v>0</v>
      </c>
      <c r="L1396" s="6">
        <v>2.7719999999999998</v>
      </c>
      <c r="M1396" s="6">
        <v>2.7719999999999998</v>
      </c>
      <c r="N1396" s="6">
        <v>2.7719999999999998</v>
      </c>
      <c r="O1396" s="6">
        <v>2.7719999999999998</v>
      </c>
      <c r="P1396" s="6">
        <v>-34</v>
      </c>
      <c r="Q1396" s="4" t="s">
        <v>26</v>
      </c>
      <c r="R1396" s="4">
        <v>0</v>
      </c>
      <c r="S1396" s="4" t="s">
        <v>347</v>
      </c>
      <c r="T1396" s="4" t="s">
        <v>617</v>
      </c>
      <c r="U1396" s="4">
        <v>0</v>
      </c>
      <c r="V1396" s="4">
        <v>43</v>
      </c>
      <c r="W1396" s="4">
        <v>87</v>
      </c>
    </row>
    <row r="1397" spans="1:23" ht="11.25" customHeight="1" x14ac:dyDescent="0.25">
      <c r="A1397" s="4" t="s">
        <v>28</v>
      </c>
      <c r="B1397" s="4" t="s">
        <v>22</v>
      </c>
      <c r="C1397" s="4" t="s">
        <v>23</v>
      </c>
      <c r="D1397" s="4" t="s">
        <v>24</v>
      </c>
      <c r="E1397" s="4" t="s">
        <v>34</v>
      </c>
      <c r="F1397" s="4" t="s">
        <v>25</v>
      </c>
      <c r="G1397" s="4" t="s">
        <v>25</v>
      </c>
      <c r="H1397" s="4" t="s">
        <v>25</v>
      </c>
      <c r="I1397" s="5">
        <v>44652</v>
      </c>
      <c r="J1397" s="6">
        <v>0</v>
      </c>
      <c r="K1397" s="6">
        <v>0</v>
      </c>
      <c r="L1397" s="6">
        <v>269.14</v>
      </c>
      <c r="M1397" s="6">
        <v>269.14</v>
      </c>
      <c r="N1397" s="6">
        <v>269.14</v>
      </c>
      <c r="O1397" s="6">
        <v>269.14</v>
      </c>
      <c r="P1397" s="6">
        <v>2632</v>
      </c>
      <c r="Q1397" s="4" t="s">
        <v>26</v>
      </c>
      <c r="R1397" s="4">
        <v>0</v>
      </c>
      <c r="S1397" s="4" t="s">
        <v>347</v>
      </c>
      <c r="T1397" s="4" t="s">
        <v>617</v>
      </c>
      <c r="U1397" s="4">
        <v>0</v>
      </c>
      <c r="V1397" s="4">
        <v>43</v>
      </c>
      <c r="W1397" s="4">
        <v>87</v>
      </c>
    </row>
    <row r="1398" spans="1:23" ht="11.25" customHeight="1" x14ac:dyDescent="0.25">
      <c r="A1398" s="4" t="s">
        <v>29</v>
      </c>
      <c r="B1398" s="4" t="s">
        <v>22</v>
      </c>
      <c r="C1398" s="4" t="s">
        <v>23</v>
      </c>
      <c r="D1398" s="4" t="s">
        <v>24</v>
      </c>
      <c r="E1398" s="4" t="s">
        <v>34</v>
      </c>
      <c r="F1398" s="4" t="s">
        <v>25</v>
      </c>
      <c r="G1398" s="4" t="s">
        <v>25</v>
      </c>
      <c r="H1398" s="4" t="s">
        <v>25</v>
      </c>
      <c r="I1398" s="5">
        <v>44652</v>
      </c>
      <c r="J1398" s="6">
        <v>0</v>
      </c>
      <c r="K1398" s="6">
        <v>0</v>
      </c>
      <c r="L1398" s="6">
        <v>-1.2090000000000001</v>
      </c>
      <c r="M1398" s="6">
        <v>-1.2090000000000001</v>
      </c>
      <c r="N1398" s="6">
        <v>-1.2090000000000001</v>
      </c>
      <c r="O1398" s="6">
        <v>-1.2090000000000001</v>
      </c>
      <c r="P1398" s="6">
        <v>-14</v>
      </c>
      <c r="Q1398" s="4" t="s">
        <v>26</v>
      </c>
      <c r="R1398" s="4">
        <v>0</v>
      </c>
      <c r="S1398" s="4" t="s">
        <v>347</v>
      </c>
      <c r="T1398" s="4" t="s">
        <v>617</v>
      </c>
      <c r="U1398" s="4">
        <v>0</v>
      </c>
      <c r="V1398" s="4">
        <v>43</v>
      </c>
      <c r="W1398" s="4">
        <v>87</v>
      </c>
    </row>
    <row r="1399" spans="1:23" ht="11.25" customHeight="1" x14ac:dyDescent="0.25">
      <c r="A1399" s="4" t="s">
        <v>30</v>
      </c>
      <c r="B1399" s="4" t="s">
        <v>22</v>
      </c>
      <c r="C1399" s="4" t="s">
        <v>23</v>
      </c>
      <c r="D1399" s="4" t="s">
        <v>24</v>
      </c>
      <c r="E1399" s="4" t="s">
        <v>34</v>
      </c>
      <c r="F1399" s="4" t="s">
        <v>25</v>
      </c>
      <c r="G1399" s="4" t="s">
        <v>25</v>
      </c>
      <c r="H1399" s="4" t="s">
        <v>25</v>
      </c>
      <c r="I1399" s="5">
        <v>44652</v>
      </c>
      <c r="J1399" s="6">
        <v>0</v>
      </c>
      <c r="K1399" s="6">
        <v>0</v>
      </c>
      <c r="L1399" s="6">
        <v>1.9550000000000001</v>
      </c>
      <c r="M1399" s="6">
        <v>1.9550000000000001</v>
      </c>
      <c r="N1399" s="6">
        <v>1.9550000000000001</v>
      </c>
      <c r="O1399" s="6">
        <v>1.9550000000000001</v>
      </c>
      <c r="P1399" s="6">
        <v>39</v>
      </c>
      <c r="Q1399" s="4" t="s">
        <v>26</v>
      </c>
      <c r="R1399" s="4">
        <v>0</v>
      </c>
      <c r="S1399" s="4" t="s">
        <v>347</v>
      </c>
      <c r="T1399" s="4" t="s">
        <v>617</v>
      </c>
      <c r="U1399" s="4">
        <v>0</v>
      </c>
      <c r="V1399" s="4">
        <v>43</v>
      </c>
      <c r="W1399" s="4">
        <v>87</v>
      </c>
    </row>
    <row r="1400" spans="1:23" ht="11.25" customHeight="1" x14ac:dyDescent="0.25">
      <c r="A1400" s="4" t="s">
        <v>21</v>
      </c>
      <c r="B1400" s="4" t="s">
        <v>22</v>
      </c>
      <c r="C1400" s="4" t="s">
        <v>23</v>
      </c>
      <c r="D1400" s="4" t="s">
        <v>24</v>
      </c>
      <c r="E1400" s="4" t="s">
        <v>34</v>
      </c>
      <c r="F1400" s="4" t="s">
        <v>25</v>
      </c>
      <c r="G1400" s="4" t="s">
        <v>25</v>
      </c>
      <c r="H1400" s="4" t="s">
        <v>25</v>
      </c>
      <c r="I1400" s="5">
        <v>44682</v>
      </c>
      <c r="J1400" s="6">
        <v>0</v>
      </c>
      <c r="K1400" s="6">
        <v>0</v>
      </c>
      <c r="L1400" s="6">
        <v>1108.713</v>
      </c>
      <c r="M1400" s="6">
        <v>1108.713</v>
      </c>
      <c r="N1400" s="6">
        <v>1108.713</v>
      </c>
      <c r="O1400" s="6">
        <v>1108.713</v>
      </c>
      <c r="P1400" s="6">
        <v>9125</v>
      </c>
      <c r="Q1400" s="4" t="s">
        <v>26</v>
      </c>
      <c r="R1400" s="4">
        <v>0</v>
      </c>
      <c r="S1400" s="4" t="s">
        <v>348</v>
      </c>
      <c r="T1400" s="4" t="s">
        <v>618</v>
      </c>
      <c r="U1400" s="4">
        <v>0</v>
      </c>
      <c r="V1400" s="4">
        <v>43</v>
      </c>
      <c r="W1400" s="4">
        <v>87</v>
      </c>
    </row>
    <row r="1401" spans="1:23" ht="11.25" customHeight="1" x14ac:dyDescent="0.25">
      <c r="A1401" s="4" t="s">
        <v>27</v>
      </c>
      <c r="B1401" s="4" t="s">
        <v>22</v>
      </c>
      <c r="C1401" s="4" t="s">
        <v>23</v>
      </c>
      <c r="D1401" s="4" t="s">
        <v>24</v>
      </c>
      <c r="E1401" s="4" t="s">
        <v>34</v>
      </c>
      <c r="F1401" s="4" t="s">
        <v>25</v>
      </c>
      <c r="G1401" s="4" t="s">
        <v>25</v>
      </c>
      <c r="H1401" s="4" t="s">
        <v>25</v>
      </c>
      <c r="I1401" s="5">
        <v>44682</v>
      </c>
      <c r="J1401" s="6">
        <v>0</v>
      </c>
      <c r="K1401" s="6">
        <v>0</v>
      </c>
      <c r="L1401" s="6">
        <v>3.0230000000000001</v>
      </c>
      <c r="M1401" s="6">
        <v>3.0230000000000001</v>
      </c>
      <c r="N1401" s="6">
        <v>3.0230000000000001</v>
      </c>
      <c r="O1401" s="6">
        <v>3.0230000000000001</v>
      </c>
      <c r="P1401" s="6">
        <v>-18</v>
      </c>
      <c r="Q1401" s="4" t="s">
        <v>26</v>
      </c>
      <c r="R1401" s="4">
        <v>0</v>
      </c>
      <c r="S1401" s="4" t="s">
        <v>348</v>
      </c>
      <c r="T1401" s="4" t="s">
        <v>618</v>
      </c>
      <c r="U1401" s="4">
        <v>0</v>
      </c>
      <c r="V1401" s="4">
        <v>43</v>
      </c>
      <c r="W1401" s="4">
        <v>87</v>
      </c>
    </row>
    <row r="1402" spans="1:23" ht="11.25" customHeight="1" x14ac:dyDescent="0.25">
      <c r="A1402" s="4" t="s">
        <v>28</v>
      </c>
      <c r="B1402" s="4" t="s">
        <v>22</v>
      </c>
      <c r="C1402" s="4" t="s">
        <v>23</v>
      </c>
      <c r="D1402" s="4" t="s">
        <v>24</v>
      </c>
      <c r="E1402" s="4" t="s">
        <v>34</v>
      </c>
      <c r="F1402" s="4" t="s">
        <v>25</v>
      </c>
      <c r="G1402" s="4" t="s">
        <v>25</v>
      </c>
      <c r="H1402" s="4" t="s">
        <v>25</v>
      </c>
      <c r="I1402" s="5">
        <v>44682</v>
      </c>
      <c r="J1402" s="6">
        <v>0</v>
      </c>
      <c r="K1402" s="6">
        <v>0</v>
      </c>
      <c r="L1402" s="6">
        <v>238.76499999999999</v>
      </c>
      <c r="M1402" s="6">
        <v>238.76499999999999</v>
      </c>
      <c r="N1402" s="6">
        <v>238.76499999999999</v>
      </c>
      <c r="O1402" s="6">
        <v>238.76499999999999</v>
      </c>
      <c r="P1402" s="6">
        <v>2296</v>
      </c>
      <c r="Q1402" s="4" t="s">
        <v>26</v>
      </c>
      <c r="R1402" s="4">
        <v>0</v>
      </c>
      <c r="S1402" s="4" t="s">
        <v>348</v>
      </c>
      <c r="T1402" s="4" t="s">
        <v>618</v>
      </c>
      <c r="U1402" s="4">
        <v>0</v>
      </c>
      <c r="V1402" s="4">
        <v>43</v>
      </c>
      <c r="W1402" s="4">
        <v>87</v>
      </c>
    </row>
    <row r="1403" spans="1:23" ht="11.25" customHeight="1" x14ac:dyDescent="0.25">
      <c r="A1403" s="4" t="s">
        <v>29</v>
      </c>
      <c r="B1403" s="4" t="s">
        <v>22</v>
      </c>
      <c r="C1403" s="4" t="s">
        <v>23</v>
      </c>
      <c r="D1403" s="4" t="s">
        <v>24</v>
      </c>
      <c r="E1403" s="4" t="s">
        <v>34</v>
      </c>
      <c r="F1403" s="4" t="s">
        <v>25</v>
      </c>
      <c r="G1403" s="4" t="s">
        <v>25</v>
      </c>
      <c r="H1403" s="4" t="s">
        <v>25</v>
      </c>
      <c r="I1403" s="5">
        <v>44682</v>
      </c>
      <c r="J1403" s="6">
        <v>0</v>
      </c>
      <c r="K1403" s="6">
        <v>0</v>
      </c>
      <c r="L1403" s="6">
        <v>-6.2050000000000001</v>
      </c>
      <c r="M1403" s="6">
        <v>-6.2050000000000001</v>
      </c>
      <c r="N1403" s="6">
        <v>-6.2050000000000001</v>
      </c>
      <c r="O1403" s="6">
        <v>-6.2050000000000001</v>
      </c>
      <c r="P1403" s="6">
        <v>-8</v>
      </c>
      <c r="Q1403" s="4" t="s">
        <v>26</v>
      </c>
      <c r="R1403" s="4">
        <v>0</v>
      </c>
      <c r="S1403" s="4" t="s">
        <v>348</v>
      </c>
      <c r="T1403" s="4" t="s">
        <v>618</v>
      </c>
      <c r="U1403" s="4">
        <v>0</v>
      </c>
      <c r="V1403" s="4">
        <v>43</v>
      </c>
      <c r="W1403" s="4">
        <v>87</v>
      </c>
    </row>
    <row r="1404" spans="1:23" ht="11.25" customHeight="1" x14ac:dyDescent="0.25">
      <c r="A1404" s="4" t="s">
        <v>30</v>
      </c>
      <c r="B1404" s="4" t="s">
        <v>22</v>
      </c>
      <c r="C1404" s="4" t="s">
        <v>23</v>
      </c>
      <c r="D1404" s="4" t="s">
        <v>24</v>
      </c>
      <c r="E1404" s="4" t="s">
        <v>34</v>
      </c>
      <c r="F1404" s="4" t="s">
        <v>25</v>
      </c>
      <c r="G1404" s="4" t="s">
        <v>25</v>
      </c>
      <c r="H1404" s="4" t="s">
        <v>25</v>
      </c>
      <c r="I1404" s="5">
        <v>44682</v>
      </c>
      <c r="J1404" s="6">
        <v>0</v>
      </c>
      <c r="K1404" s="6">
        <v>0</v>
      </c>
      <c r="L1404" s="6">
        <v>2.3730000000000002</v>
      </c>
      <c r="M1404" s="6">
        <v>2.3730000000000002</v>
      </c>
      <c r="N1404" s="6">
        <v>2.3730000000000002</v>
      </c>
      <c r="O1404" s="6">
        <v>2.3730000000000002</v>
      </c>
      <c r="P1404" s="6">
        <v>40</v>
      </c>
      <c r="Q1404" s="4" t="s">
        <v>26</v>
      </c>
      <c r="R1404" s="4">
        <v>0</v>
      </c>
      <c r="S1404" s="4" t="s">
        <v>348</v>
      </c>
      <c r="T1404" s="4" t="s">
        <v>618</v>
      </c>
      <c r="U1404" s="4">
        <v>0</v>
      </c>
      <c r="V1404" s="4">
        <v>43</v>
      </c>
      <c r="W1404" s="4">
        <v>87</v>
      </c>
    </row>
    <row r="1405" spans="1:23" ht="11.25" customHeight="1" x14ac:dyDescent="0.25">
      <c r="A1405" s="4" t="s">
        <v>21</v>
      </c>
      <c r="B1405" s="4" t="s">
        <v>22</v>
      </c>
      <c r="C1405" s="4" t="s">
        <v>23</v>
      </c>
      <c r="D1405" s="4" t="s">
        <v>24</v>
      </c>
      <c r="E1405" s="4" t="s">
        <v>34</v>
      </c>
      <c r="F1405" s="4" t="s">
        <v>25</v>
      </c>
      <c r="G1405" s="4" t="s">
        <v>25</v>
      </c>
      <c r="H1405" s="4" t="s">
        <v>25</v>
      </c>
      <c r="I1405" s="5">
        <v>44713</v>
      </c>
      <c r="J1405" s="6">
        <v>0</v>
      </c>
      <c r="K1405" s="6">
        <v>0</v>
      </c>
      <c r="L1405" s="6">
        <v>862.18299999999999</v>
      </c>
      <c r="M1405" s="6">
        <v>862.18299999999999</v>
      </c>
      <c r="N1405" s="6">
        <v>862.18299999999999</v>
      </c>
      <c r="O1405" s="6">
        <v>862.18299999999999</v>
      </c>
      <c r="P1405" s="6">
        <v>7680</v>
      </c>
      <c r="Q1405" s="4" t="s">
        <v>26</v>
      </c>
      <c r="R1405" s="4">
        <v>0</v>
      </c>
      <c r="S1405" s="4" t="s">
        <v>349</v>
      </c>
      <c r="T1405" s="4" t="s">
        <v>619</v>
      </c>
      <c r="U1405" s="4">
        <v>0</v>
      </c>
      <c r="V1405" s="4">
        <v>43</v>
      </c>
      <c r="W1405" s="4">
        <v>87</v>
      </c>
    </row>
    <row r="1406" spans="1:23" ht="11.25" customHeight="1" x14ac:dyDescent="0.25">
      <c r="A1406" s="4" t="s">
        <v>27</v>
      </c>
      <c r="B1406" s="4" t="s">
        <v>22</v>
      </c>
      <c r="C1406" s="4" t="s">
        <v>23</v>
      </c>
      <c r="D1406" s="4" t="s">
        <v>24</v>
      </c>
      <c r="E1406" s="4" t="s">
        <v>34</v>
      </c>
      <c r="F1406" s="4" t="s">
        <v>25</v>
      </c>
      <c r="G1406" s="4" t="s">
        <v>25</v>
      </c>
      <c r="H1406" s="4" t="s">
        <v>25</v>
      </c>
      <c r="I1406" s="5">
        <v>44713</v>
      </c>
      <c r="J1406" s="6">
        <v>0</v>
      </c>
      <c r="K1406" s="6">
        <v>0</v>
      </c>
      <c r="L1406" s="6">
        <v>-39.286000000000001</v>
      </c>
      <c r="M1406" s="6">
        <v>-39.286000000000001</v>
      </c>
      <c r="N1406" s="6">
        <v>-39.286000000000001</v>
      </c>
      <c r="O1406" s="6">
        <v>-39.286000000000001</v>
      </c>
      <c r="P1406" s="6">
        <v>-24</v>
      </c>
      <c r="Q1406" s="4" t="s">
        <v>26</v>
      </c>
      <c r="R1406" s="4">
        <v>0</v>
      </c>
      <c r="S1406" s="4" t="s">
        <v>349</v>
      </c>
      <c r="T1406" s="4" t="s">
        <v>619</v>
      </c>
      <c r="U1406" s="4">
        <v>0</v>
      </c>
      <c r="V1406" s="4">
        <v>43</v>
      </c>
      <c r="W1406" s="4">
        <v>87</v>
      </c>
    </row>
    <row r="1407" spans="1:23" ht="11.25" customHeight="1" x14ac:dyDescent="0.25">
      <c r="A1407" s="4" t="s">
        <v>28</v>
      </c>
      <c r="B1407" s="4" t="s">
        <v>22</v>
      </c>
      <c r="C1407" s="4" t="s">
        <v>23</v>
      </c>
      <c r="D1407" s="4" t="s">
        <v>24</v>
      </c>
      <c r="E1407" s="4" t="s">
        <v>34</v>
      </c>
      <c r="F1407" s="4" t="s">
        <v>25</v>
      </c>
      <c r="G1407" s="4" t="s">
        <v>25</v>
      </c>
      <c r="H1407" s="4" t="s">
        <v>25</v>
      </c>
      <c r="I1407" s="5">
        <v>44713</v>
      </c>
      <c r="J1407" s="6">
        <v>0</v>
      </c>
      <c r="K1407" s="6">
        <v>0</v>
      </c>
      <c r="L1407" s="6">
        <v>197.06899999999999</v>
      </c>
      <c r="M1407" s="6">
        <v>197.06899999999999</v>
      </c>
      <c r="N1407" s="6">
        <v>197.06899999999999</v>
      </c>
      <c r="O1407" s="6">
        <v>197.06899999999999</v>
      </c>
      <c r="P1407" s="6">
        <v>2066</v>
      </c>
      <c r="Q1407" s="4" t="s">
        <v>26</v>
      </c>
      <c r="R1407" s="4">
        <v>0</v>
      </c>
      <c r="S1407" s="4" t="s">
        <v>349</v>
      </c>
      <c r="T1407" s="4" t="s">
        <v>619</v>
      </c>
      <c r="U1407" s="4">
        <v>0</v>
      </c>
      <c r="V1407" s="4">
        <v>43</v>
      </c>
      <c r="W1407" s="4">
        <v>87</v>
      </c>
    </row>
    <row r="1408" spans="1:23" ht="11.25" customHeight="1" x14ac:dyDescent="0.25">
      <c r="A1408" s="4" t="s">
        <v>29</v>
      </c>
      <c r="B1408" s="4" t="s">
        <v>22</v>
      </c>
      <c r="C1408" s="4" t="s">
        <v>23</v>
      </c>
      <c r="D1408" s="4" t="s">
        <v>24</v>
      </c>
      <c r="E1408" s="4" t="s">
        <v>34</v>
      </c>
      <c r="F1408" s="4" t="s">
        <v>25</v>
      </c>
      <c r="G1408" s="4" t="s">
        <v>25</v>
      </c>
      <c r="H1408" s="4" t="s">
        <v>25</v>
      </c>
      <c r="I1408" s="5">
        <v>44713</v>
      </c>
      <c r="J1408" s="6">
        <v>0</v>
      </c>
      <c r="K1408" s="6">
        <v>0</v>
      </c>
      <c r="L1408" s="6">
        <v>-4.6539999999999999</v>
      </c>
      <c r="M1408" s="6">
        <v>-4.6539999999999999</v>
      </c>
      <c r="N1408" s="6">
        <v>-4.6539999999999999</v>
      </c>
      <c r="O1408" s="6">
        <v>-4.6539999999999999</v>
      </c>
      <c r="P1408" s="6">
        <v>-2</v>
      </c>
      <c r="Q1408" s="4" t="s">
        <v>26</v>
      </c>
      <c r="R1408" s="4">
        <v>0</v>
      </c>
      <c r="S1408" s="4" t="s">
        <v>349</v>
      </c>
      <c r="T1408" s="4" t="s">
        <v>619</v>
      </c>
      <c r="U1408" s="4">
        <v>0</v>
      </c>
      <c r="V1408" s="4">
        <v>43</v>
      </c>
      <c r="W1408" s="4">
        <v>87</v>
      </c>
    </row>
    <row r="1409" spans="1:23" ht="11.25" customHeight="1" x14ac:dyDescent="0.25">
      <c r="A1409" s="4" t="s">
        <v>30</v>
      </c>
      <c r="B1409" s="4" t="s">
        <v>22</v>
      </c>
      <c r="C1409" s="4" t="s">
        <v>23</v>
      </c>
      <c r="D1409" s="4" t="s">
        <v>24</v>
      </c>
      <c r="E1409" s="4" t="s">
        <v>34</v>
      </c>
      <c r="F1409" s="4" t="s">
        <v>25</v>
      </c>
      <c r="G1409" s="4" t="s">
        <v>25</v>
      </c>
      <c r="H1409" s="4" t="s">
        <v>25</v>
      </c>
      <c r="I1409" s="5">
        <v>44713</v>
      </c>
      <c r="J1409" s="6">
        <v>0</v>
      </c>
      <c r="K1409" s="6">
        <v>0</v>
      </c>
      <c r="L1409" s="6">
        <v>2.633</v>
      </c>
      <c r="M1409" s="6">
        <v>2.633</v>
      </c>
      <c r="N1409" s="6">
        <v>2.633</v>
      </c>
      <c r="O1409" s="6">
        <v>2.633</v>
      </c>
      <c r="P1409" s="6">
        <v>37</v>
      </c>
      <c r="Q1409" s="4" t="s">
        <v>26</v>
      </c>
      <c r="R1409" s="4">
        <v>0</v>
      </c>
      <c r="S1409" s="4" t="s">
        <v>349</v>
      </c>
      <c r="T1409" s="4" t="s">
        <v>619</v>
      </c>
      <c r="U1409" s="4">
        <v>0</v>
      </c>
      <c r="V1409" s="4">
        <v>43</v>
      </c>
      <c r="W1409" s="4">
        <v>87</v>
      </c>
    </row>
    <row r="1410" spans="1:23" ht="11.25" customHeight="1" x14ac:dyDescent="0.25">
      <c r="A1410" s="4" t="s">
        <v>21</v>
      </c>
      <c r="B1410" s="4" t="s">
        <v>22</v>
      </c>
      <c r="C1410" s="4" t="s">
        <v>23</v>
      </c>
      <c r="D1410" s="4" t="s">
        <v>24</v>
      </c>
      <c r="E1410" s="4" t="s">
        <v>34</v>
      </c>
      <c r="F1410" s="4" t="s">
        <v>25</v>
      </c>
      <c r="G1410" s="4" t="s">
        <v>25</v>
      </c>
      <c r="H1410" s="4" t="s">
        <v>25</v>
      </c>
      <c r="I1410" s="5">
        <v>44743</v>
      </c>
      <c r="J1410" s="6">
        <v>0</v>
      </c>
      <c r="K1410" s="6">
        <v>0</v>
      </c>
      <c r="L1410" s="6">
        <v>1246.318</v>
      </c>
      <c r="M1410" s="6">
        <v>1246.318</v>
      </c>
      <c r="N1410" s="6">
        <v>1246.318</v>
      </c>
      <c r="O1410" s="6">
        <v>1246.318</v>
      </c>
      <c r="P1410" s="6">
        <v>9969</v>
      </c>
      <c r="Q1410" s="4" t="s">
        <v>26</v>
      </c>
      <c r="R1410" s="4">
        <v>0</v>
      </c>
      <c r="S1410" s="4" t="s">
        <v>350</v>
      </c>
      <c r="T1410" s="4" t="s">
        <v>620</v>
      </c>
      <c r="U1410" s="4">
        <v>0</v>
      </c>
      <c r="V1410" s="4">
        <v>43</v>
      </c>
      <c r="W1410" s="4">
        <v>87</v>
      </c>
    </row>
    <row r="1411" spans="1:23" ht="11.25" customHeight="1" x14ac:dyDescent="0.25">
      <c r="A1411" s="4" t="s">
        <v>27</v>
      </c>
      <c r="B1411" s="4" t="s">
        <v>22</v>
      </c>
      <c r="C1411" s="4" t="s">
        <v>23</v>
      </c>
      <c r="D1411" s="4" t="s">
        <v>24</v>
      </c>
      <c r="E1411" s="4" t="s">
        <v>34</v>
      </c>
      <c r="F1411" s="4" t="s">
        <v>25</v>
      </c>
      <c r="G1411" s="4" t="s">
        <v>25</v>
      </c>
      <c r="H1411" s="4" t="s">
        <v>25</v>
      </c>
      <c r="I1411" s="5">
        <v>44743</v>
      </c>
      <c r="J1411" s="6">
        <v>0</v>
      </c>
      <c r="K1411" s="6">
        <v>0</v>
      </c>
      <c r="L1411" s="6">
        <v>-28.143000000000001</v>
      </c>
      <c r="M1411" s="6">
        <v>-28.143000000000001</v>
      </c>
      <c r="N1411" s="6">
        <v>-28.143000000000001</v>
      </c>
      <c r="O1411" s="6">
        <v>-28.143000000000001</v>
      </c>
      <c r="P1411" s="6">
        <v>-28</v>
      </c>
      <c r="Q1411" s="4" t="s">
        <v>26</v>
      </c>
      <c r="R1411" s="4">
        <v>0</v>
      </c>
      <c r="S1411" s="4" t="s">
        <v>350</v>
      </c>
      <c r="T1411" s="4" t="s">
        <v>620</v>
      </c>
      <c r="U1411" s="4">
        <v>0</v>
      </c>
      <c r="V1411" s="4">
        <v>43</v>
      </c>
      <c r="W1411" s="4">
        <v>87</v>
      </c>
    </row>
    <row r="1412" spans="1:23" ht="11.25" customHeight="1" x14ac:dyDescent="0.25">
      <c r="A1412" s="4" t="s">
        <v>28</v>
      </c>
      <c r="B1412" s="4" t="s">
        <v>22</v>
      </c>
      <c r="C1412" s="4" t="s">
        <v>23</v>
      </c>
      <c r="D1412" s="4" t="s">
        <v>24</v>
      </c>
      <c r="E1412" s="4" t="s">
        <v>34</v>
      </c>
      <c r="F1412" s="4" t="s">
        <v>25</v>
      </c>
      <c r="G1412" s="4" t="s">
        <v>25</v>
      </c>
      <c r="H1412" s="4" t="s">
        <v>25</v>
      </c>
      <c r="I1412" s="5">
        <v>44743</v>
      </c>
      <c r="J1412" s="6">
        <v>0</v>
      </c>
      <c r="K1412" s="6">
        <v>0</v>
      </c>
      <c r="L1412" s="6">
        <v>281.52499999999998</v>
      </c>
      <c r="M1412" s="6">
        <v>281.52499999999998</v>
      </c>
      <c r="N1412" s="6">
        <v>281.52499999999998</v>
      </c>
      <c r="O1412" s="6">
        <v>281.52499999999998</v>
      </c>
      <c r="P1412" s="6">
        <v>2679</v>
      </c>
      <c r="Q1412" s="4" t="s">
        <v>26</v>
      </c>
      <c r="R1412" s="4">
        <v>0</v>
      </c>
      <c r="S1412" s="4" t="s">
        <v>350</v>
      </c>
      <c r="T1412" s="4" t="s">
        <v>620</v>
      </c>
      <c r="U1412" s="4">
        <v>0</v>
      </c>
      <c r="V1412" s="4">
        <v>43</v>
      </c>
      <c r="W1412" s="4">
        <v>87</v>
      </c>
    </row>
    <row r="1413" spans="1:23" ht="11.25" customHeight="1" x14ac:dyDescent="0.25">
      <c r="A1413" s="4" t="s">
        <v>29</v>
      </c>
      <c r="B1413" s="4" t="s">
        <v>22</v>
      </c>
      <c r="C1413" s="4" t="s">
        <v>23</v>
      </c>
      <c r="D1413" s="4" t="s">
        <v>24</v>
      </c>
      <c r="E1413" s="4" t="s">
        <v>34</v>
      </c>
      <c r="F1413" s="4" t="s">
        <v>25</v>
      </c>
      <c r="G1413" s="4" t="s">
        <v>25</v>
      </c>
      <c r="H1413" s="4" t="s">
        <v>25</v>
      </c>
      <c r="I1413" s="5">
        <v>44743</v>
      </c>
      <c r="J1413" s="6">
        <v>0</v>
      </c>
      <c r="K1413" s="6">
        <v>0</v>
      </c>
      <c r="L1413" s="6">
        <v>-5.6539999999999999</v>
      </c>
      <c r="M1413" s="6">
        <v>-5.6539999999999999</v>
      </c>
      <c r="N1413" s="6">
        <v>-5.6539999999999999</v>
      </c>
      <c r="O1413" s="6">
        <v>-5.6539999999999999</v>
      </c>
      <c r="P1413" s="6">
        <v>-4</v>
      </c>
      <c r="Q1413" s="4" t="s">
        <v>26</v>
      </c>
      <c r="R1413" s="4">
        <v>0</v>
      </c>
      <c r="S1413" s="4" t="s">
        <v>350</v>
      </c>
      <c r="T1413" s="4" t="s">
        <v>620</v>
      </c>
      <c r="U1413" s="4">
        <v>0</v>
      </c>
      <c r="V1413" s="4">
        <v>43</v>
      </c>
      <c r="W1413" s="4">
        <v>87</v>
      </c>
    </row>
    <row r="1414" spans="1:23" ht="11.25" customHeight="1" x14ac:dyDescent="0.25">
      <c r="A1414" s="4" t="s">
        <v>30</v>
      </c>
      <c r="B1414" s="4" t="s">
        <v>22</v>
      </c>
      <c r="C1414" s="4" t="s">
        <v>23</v>
      </c>
      <c r="D1414" s="4" t="s">
        <v>24</v>
      </c>
      <c r="E1414" s="4" t="s">
        <v>34</v>
      </c>
      <c r="F1414" s="4" t="s">
        <v>25</v>
      </c>
      <c r="G1414" s="4" t="s">
        <v>25</v>
      </c>
      <c r="H1414" s="4" t="s">
        <v>25</v>
      </c>
      <c r="I1414" s="5">
        <v>44743</v>
      </c>
      <c r="J1414" s="6">
        <v>0</v>
      </c>
      <c r="K1414" s="6">
        <v>0</v>
      </c>
      <c r="L1414" s="6">
        <v>2.7109999999999999</v>
      </c>
      <c r="M1414" s="6">
        <v>2.7109999999999999</v>
      </c>
      <c r="N1414" s="6">
        <v>2.7109999999999999</v>
      </c>
      <c r="O1414" s="6">
        <v>2.7109999999999999</v>
      </c>
      <c r="P1414" s="6">
        <v>44</v>
      </c>
      <c r="Q1414" s="4" t="s">
        <v>26</v>
      </c>
      <c r="R1414" s="4">
        <v>0</v>
      </c>
      <c r="S1414" s="4" t="s">
        <v>350</v>
      </c>
      <c r="T1414" s="4" t="s">
        <v>620</v>
      </c>
      <c r="U1414" s="4">
        <v>0</v>
      </c>
      <c r="V1414" s="4">
        <v>43</v>
      </c>
      <c r="W1414" s="4">
        <v>87</v>
      </c>
    </row>
    <row r="1415" spans="1:23" ht="11.25" customHeight="1" x14ac:dyDescent="0.25">
      <c r="A1415" s="4" t="s">
        <v>21</v>
      </c>
      <c r="B1415" s="4" t="s">
        <v>22</v>
      </c>
      <c r="C1415" s="4" t="s">
        <v>23</v>
      </c>
      <c r="D1415" s="4" t="s">
        <v>24</v>
      </c>
      <c r="E1415" s="4" t="s">
        <v>34</v>
      </c>
      <c r="F1415" s="4" t="s">
        <v>25</v>
      </c>
      <c r="G1415" s="4" t="s">
        <v>25</v>
      </c>
      <c r="H1415" s="4" t="s">
        <v>25</v>
      </c>
      <c r="I1415" s="5">
        <v>44774</v>
      </c>
      <c r="J1415" s="6">
        <v>0</v>
      </c>
      <c r="K1415" s="6">
        <v>0</v>
      </c>
      <c r="L1415" s="6">
        <v>1378.7329999999999</v>
      </c>
      <c r="M1415" s="6">
        <v>1378.7329999999999</v>
      </c>
      <c r="N1415" s="6">
        <v>1378.7329999999999</v>
      </c>
      <c r="O1415" s="6">
        <v>1378.7329999999999</v>
      </c>
      <c r="P1415" s="6">
        <v>10564</v>
      </c>
      <c r="Q1415" s="4" t="s">
        <v>26</v>
      </c>
      <c r="R1415" s="4">
        <v>0</v>
      </c>
      <c r="S1415" s="4" t="s">
        <v>351</v>
      </c>
      <c r="T1415" s="4" t="s">
        <v>621</v>
      </c>
      <c r="U1415" s="4">
        <v>0</v>
      </c>
      <c r="V1415" s="4">
        <v>43</v>
      </c>
      <c r="W1415" s="4">
        <v>87</v>
      </c>
    </row>
    <row r="1416" spans="1:23" ht="11.25" customHeight="1" x14ac:dyDescent="0.25">
      <c r="A1416" s="4" t="s">
        <v>27</v>
      </c>
      <c r="B1416" s="4" t="s">
        <v>22</v>
      </c>
      <c r="C1416" s="4" t="s">
        <v>23</v>
      </c>
      <c r="D1416" s="4" t="s">
        <v>24</v>
      </c>
      <c r="E1416" s="4" t="s">
        <v>34</v>
      </c>
      <c r="F1416" s="4" t="s">
        <v>25</v>
      </c>
      <c r="G1416" s="4" t="s">
        <v>25</v>
      </c>
      <c r="H1416" s="4" t="s">
        <v>25</v>
      </c>
      <c r="I1416" s="5">
        <v>44774</v>
      </c>
      <c r="J1416" s="6">
        <v>0</v>
      </c>
      <c r="K1416" s="6">
        <v>0</v>
      </c>
      <c r="L1416" s="6">
        <v>-17.792000000000002</v>
      </c>
      <c r="M1416" s="6">
        <v>-17.792000000000002</v>
      </c>
      <c r="N1416" s="6">
        <v>-17.792000000000002</v>
      </c>
      <c r="O1416" s="6">
        <v>-17.792000000000002</v>
      </c>
      <c r="P1416" s="6">
        <v>-11</v>
      </c>
      <c r="Q1416" s="4" t="s">
        <v>26</v>
      </c>
      <c r="R1416" s="4">
        <v>0</v>
      </c>
      <c r="S1416" s="4" t="s">
        <v>351</v>
      </c>
      <c r="T1416" s="4" t="s">
        <v>621</v>
      </c>
      <c r="U1416" s="4">
        <v>0</v>
      </c>
      <c r="V1416" s="4">
        <v>43</v>
      </c>
      <c r="W1416" s="4">
        <v>87</v>
      </c>
    </row>
    <row r="1417" spans="1:23" ht="11.25" customHeight="1" x14ac:dyDescent="0.25">
      <c r="A1417" s="4" t="s">
        <v>28</v>
      </c>
      <c r="B1417" s="4" t="s">
        <v>22</v>
      </c>
      <c r="C1417" s="4" t="s">
        <v>23</v>
      </c>
      <c r="D1417" s="4" t="s">
        <v>24</v>
      </c>
      <c r="E1417" s="4" t="s">
        <v>34</v>
      </c>
      <c r="F1417" s="4" t="s">
        <v>25</v>
      </c>
      <c r="G1417" s="4" t="s">
        <v>25</v>
      </c>
      <c r="H1417" s="4" t="s">
        <v>25</v>
      </c>
      <c r="I1417" s="5">
        <v>44774</v>
      </c>
      <c r="J1417" s="6">
        <v>0</v>
      </c>
      <c r="K1417" s="6">
        <v>0</v>
      </c>
      <c r="L1417" s="6">
        <v>424.41399999999999</v>
      </c>
      <c r="M1417" s="6">
        <v>424.41399999999999</v>
      </c>
      <c r="N1417" s="6">
        <v>424.41399999999999</v>
      </c>
      <c r="O1417" s="6">
        <v>424.41399999999999</v>
      </c>
      <c r="P1417" s="6">
        <v>3671</v>
      </c>
      <c r="Q1417" s="4" t="s">
        <v>26</v>
      </c>
      <c r="R1417" s="4">
        <v>0</v>
      </c>
      <c r="S1417" s="4" t="s">
        <v>351</v>
      </c>
      <c r="T1417" s="4" t="s">
        <v>621</v>
      </c>
      <c r="U1417" s="4">
        <v>0</v>
      </c>
      <c r="V1417" s="4">
        <v>43</v>
      </c>
      <c r="W1417" s="4">
        <v>87</v>
      </c>
    </row>
    <row r="1418" spans="1:23" ht="11.25" customHeight="1" x14ac:dyDescent="0.25">
      <c r="A1418" s="4" t="s">
        <v>29</v>
      </c>
      <c r="B1418" s="4" t="s">
        <v>22</v>
      </c>
      <c r="C1418" s="4" t="s">
        <v>23</v>
      </c>
      <c r="D1418" s="4" t="s">
        <v>24</v>
      </c>
      <c r="E1418" s="4" t="s">
        <v>34</v>
      </c>
      <c r="F1418" s="4" t="s">
        <v>25</v>
      </c>
      <c r="G1418" s="4" t="s">
        <v>25</v>
      </c>
      <c r="H1418" s="4" t="s">
        <v>25</v>
      </c>
      <c r="I1418" s="5">
        <v>44774</v>
      </c>
      <c r="J1418" s="6">
        <v>0</v>
      </c>
      <c r="K1418" s="6">
        <v>0</v>
      </c>
      <c r="L1418" s="6">
        <v>-8.952</v>
      </c>
      <c r="M1418" s="6">
        <v>-8.952</v>
      </c>
      <c r="N1418" s="6">
        <v>-8.952</v>
      </c>
      <c r="O1418" s="6">
        <v>-8.952</v>
      </c>
      <c r="P1418" s="6">
        <v>-12</v>
      </c>
      <c r="Q1418" s="4" t="s">
        <v>26</v>
      </c>
      <c r="R1418" s="4">
        <v>0</v>
      </c>
      <c r="S1418" s="4" t="s">
        <v>351</v>
      </c>
      <c r="T1418" s="4" t="s">
        <v>621</v>
      </c>
      <c r="U1418" s="4">
        <v>0</v>
      </c>
      <c r="V1418" s="4">
        <v>43</v>
      </c>
      <c r="W1418" s="4">
        <v>87</v>
      </c>
    </row>
    <row r="1419" spans="1:23" ht="11.25" customHeight="1" x14ac:dyDescent="0.25">
      <c r="A1419" s="4" t="s">
        <v>30</v>
      </c>
      <c r="B1419" s="4" t="s">
        <v>22</v>
      </c>
      <c r="C1419" s="4" t="s">
        <v>23</v>
      </c>
      <c r="D1419" s="4" t="s">
        <v>24</v>
      </c>
      <c r="E1419" s="4" t="s">
        <v>34</v>
      </c>
      <c r="F1419" s="4" t="s">
        <v>25</v>
      </c>
      <c r="G1419" s="4" t="s">
        <v>25</v>
      </c>
      <c r="H1419" s="4" t="s">
        <v>25</v>
      </c>
      <c r="I1419" s="5">
        <v>44774</v>
      </c>
      <c r="J1419" s="6">
        <v>0</v>
      </c>
      <c r="K1419" s="6">
        <v>0</v>
      </c>
      <c r="L1419" s="6">
        <v>5.4349999999999996</v>
      </c>
      <c r="M1419" s="6">
        <v>5.4349999999999996</v>
      </c>
      <c r="N1419" s="6">
        <v>5.4349999999999996</v>
      </c>
      <c r="O1419" s="6">
        <v>5.4349999999999996</v>
      </c>
      <c r="P1419" s="6">
        <v>45</v>
      </c>
      <c r="Q1419" s="4" t="s">
        <v>26</v>
      </c>
      <c r="R1419" s="4">
        <v>0</v>
      </c>
      <c r="S1419" s="4" t="s">
        <v>351</v>
      </c>
      <c r="T1419" s="4" t="s">
        <v>621</v>
      </c>
      <c r="U1419" s="4">
        <v>0</v>
      </c>
      <c r="V1419" s="4">
        <v>43</v>
      </c>
      <c r="W1419" s="4">
        <v>87</v>
      </c>
    </row>
    <row r="1420" spans="1:23" ht="11.25" customHeight="1" x14ac:dyDescent="0.25">
      <c r="A1420" s="4" t="s">
        <v>21</v>
      </c>
      <c r="B1420" s="4" t="s">
        <v>22</v>
      </c>
      <c r="C1420" s="4" t="s">
        <v>23</v>
      </c>
      <c r="D1420" s="4" t="s">
        <v>24</v>
      </c>
      <c r="E1420" s="4" t="s">
        <v>34</v>
      </c>
      <c r="F1420" s="4" t="s">
        <v>25</v>
      </c>
      <c r="G1420" s="4" t="s">
        <v>25</v>
      </c>
      <c r="H1420" s="4" t="s">
        <v>25</v>
      </c>
      <c r="I1420" s="5">
        <v>44805</v>
      </c>
      <c r="J1420" s="6">
        <v>0</v>
      </c>
      <c r="K1420" s="6">
        <v>0</v>
      </c>
      <c r="L1420" s="6">
        <v>1355.74</v>
      </c>
      <c r="M1420" s="6">
        <v>1355.74</v>
      </c>
      <c r="N1420" s="6">
        <v>1355.74</v>
      </c>
      <c r="O1420" s="6">
        <v>1355.74</v>
      </c>
      <c r="P1420" s="6">
        <v>10852</v>
      </c>
      <c r="Q1420" s="4" t="s">
        <v>26</v>
      </c>
      <c r="R1420" s="4">
        <v>0</v>
      </c>
      <c r="S1420" s="4" t="s">
        <v>352</v>
      </c>
      <c r="T1420" s="4" t="s">
        <v>622</v>
      </c>
      <c r="U1420" s="4">
        <v>0</v>
      </c>
      <c r="V1420" s="4">
        <v>43</v>
      </c>
      <c r="W1420" s="4">
        <v>87</v>
      </c>
    </row>
    <row r="1421" spans="1:23" ht="11.25" customHeight="1" x14ac:dyDescent="0.25">
      <c r="A1421" s="4" t="s">
        <v>27</v>
      </c>
      <c r="B1421" s="4" t="s">
        <v>22</v>
      </c>
      <c r="C1421" s="4" t="s">
        <v>23</v>
      </c>
      <c r="D1421" s="4" t="s">
        <v>24</v>
      </c>
      <c r="E1421" s="4" t="s">
        <v>34</v>
      </c>
      <c r="F1421" s="4" t="s">
        <v>25</v>
      </c>
      <c r="G1421" s="4" t="s">
        <v>25</v>
      </c>
      <c r="H1421" s="4" t="s">
        <v>25</v>
      </c>
      <c r="I1421" s="5">
        <v>44805</v>
      </c>
      <c r="J1421" s="6">
        <v>0</v>
      </c>
      <c r="K1421" s="6">
        <v>0</v>
      </c>
      <c r="L1421" s="6">
        <v>-15.724</v>
      </c>
      <c r="M1421" s="6">
        <v>-15.724</v>
      </c>
      <c r="N1421" s="6">
        <v>-15.724</v>
      </c>
      <c r="O1421" s="6">
        <v>-15.724</v>
      </c>
      <c r="P1421" s="6">
        <v>-18</v>
      </c>
      <c r="Q1421" s="4" t="s">
        <v>26</v>
      </c>
      <c r="R1421" s="4">
        <v>0</v>
      </c>
      <c r="S1421" s="4" t="s">
        <v>352</v>
      </c>
      <c r="T1421" s="4" t="s">
        <v>622</v>
      </c>
      <c r="U1421" s="4">
        <v>0</v>
      </c>
      <c r="V1421" s="4">
        <v>43</v>
      </c>
      <c r="W1421" s="4">
        <v>87</v>
      </c>
    </row>
    <row r="1422" spans="1:23" ht="11.25" customHeight="1" x14ac:dyDescent="0.25">
      <c r="A1422" s="4" t="s">
        <v>28</v>
      </c>
      <c r="B1422" s="4" t="s">
        <v>22</v>
      </c>
      <c r="C1422" s="4" t="s">
        <v>23</v>
      </c>
      <c r="D1422" s="4" t="s">
        <v>24</v>
      </c>
      <c r="E1422" s="4" t="s">
        <v>34</v>
      </c>
      <c r="F1422" s="4" t="s">
        <v>25</v>
      </c>
      <c r="G1422" s="4" t="s">
        <v>25</v>
      </c>
      <c r="H1422" s="4" t="s">
        <v>25</v>
      </c>
      <c r="I1422" s="5">
        <v>44805</v>
      </c>
      <c r="J1422" s="6">
        <v>0</v>
      </c>
      <c r="K1422" s="6">
        <v>0</v>
      </c>
      <c r="L1422" s="6">
        <v>344.08600000000001</v>
      </c>
      <c r="M1422" s="6">
        <v>344.08600000000001</v>
      </c>
      <c r="N1422" s="6">
        <v>344.08600000000001</v>
      </c>
      <c r="O1422" s="6">
        <v>344.08600000000001</v>
      </c>
      <c r="P1422" s="6">
        <v>2879</v>
      </c>
      <c r="Q1422" s="4" t="s">
        <v>26</v>
      </c>
      <c r="R1422" s="4">
        <v>0</v>
      </c>
      <c r="S1422" s="4" t="s">
        <v>352</v>
      </c>
      <c r="T1422" s="4" t="s">
        <v>622</v>
      </c>
      <c r="U1422" s="4">
        <v>0</v>
      </c>
      <c r="V1422" s="4">
        <v>43</v>
      </c>
      <c r="W1422" s="4">
        <v>87</v>
      </c>
    </row>
    <row r="1423" spans="1:23" ht="11.25" customHeight="1" x14ac:dyDescent="0.25">
      <c r="A1423" s="4" t="s">
        <v>29</v>
      </c>
      <c r="B1423" s="4" t="s">
        <v>22</v>
      </c>
      <c r="C1423" s="4" t="s">
        <v>23</v>
      </c>
      <c r="D1423" s="4" t="s">
        <v>24</v>
      </c>
      <c r="E1423" s="4" t="s">
        <v>34</v>
      </c>
      <c r="F1423" s="4" t="s">
        <v>25</v>
      </c>
      <c r="G1423" s="4" t="s">
        <v>25</v>
      </c>
      <c r="H1423" s="4" t="s">
        <v>25</v>
      </c>
      <c r="I1423" s="5">
        <v>44805</v>
      </c>
      <c r="J1423" s="6">
        <v>0</v>
      </c>
      <c r="K1423" s="6">
        <v>0</v>
      </c>
      <c r="L1423" s="6">
        <v>-4.3019999999999996</v>
      </c>
      <c r="M1423" s="6">
        <v>-4.3019999999999996</v>
      </c>
      <c r="N1423" s="6">
        <v>-4.3019999999999996</v>
      </c>
      <c r="O1423" s="6">
        <v>-4.3019999999999996</v>
      </c>
      <c r="P1423" s="6">
        <v>-4</v>
      </c>
      <c r="Q1423" s="4" t="s">
        <v>26</v>
      </c>
      <c r="R1423" s="4">
        <v>0</v>
      </c>
      <c r="S1423" s="4" t="s">
        <v>352</v>
      </c>
      <c r="T1423" s="4" t="s">
        <v>622</v>
      </c>
      <c r="U1423" s="4">
        <v>0</v>
      </c>
      <c r="V1423" s="4">
        <v>43</v>
      </c>
      <c r="W1423" s="4">
        <v>87</v>
      </c>
    </row>
    <row r="1424" spans="1:23" ht="11.25" customHeight="1" x14ac:dyDescent="0.25">
      <c r="A1424" s="4" t="s">
        <v>30</v>
      </c>
      <c r="B1424" s="4" t="s">
        <v>22</v>
      </c>
      <c r="C1424" s="4" t="s">
        <v>23</v>
      </c>
      <c r="D1424" s="4" t="s">
        <v>24</v>
      </c>
      <c r="E1424" s="4" t="s">
        <v>34</v>
      </c>
      <c r="F1424" s="4" t="s">
        <v>25</v>
      </c>
      <c r="G1424" s="4" t="s">
        <v>25</v>
      </c>
      <c r="H1424" s="4" t="s">
        <v>25</v>
      </c>
      <c r="I1424" s="5">
        <v>44805</v>
      </c>
      <c r="J1424" s="6">
        <v>0</v>
      </c>
      <c r="K1424" s="6">
        <v>0</v>
      </c>
      <c r="L1424" s="6">
        <v>7.8170000000000002</v>
      </c>
      <c r="M1424" s="6">
        <v>7.8170000000000002</v>
      </c>
      <c r="N1424" s="6">
        <v>7.8170000000000002</v>
      </c>
      <c r="O1424" s="6">
        <v>7.8170000000000002</v>
      </c>
      <c r="P1424" s="6">
        <v>53</v>
      </c>
      <c r="Q1424" s="4" t="s">
        <v>26</v>
      </c>
      <c r="R1424" s="4">
        <v>0</v>
      </c>
      <c r="S1424" s="4" t="s">
        <v>352</v>
      </c>
      <c r="T1424" s="4" t="s">
        <v>622</v>
      </c>
      <c r="U1424" s="4">
        <v>0</v>
      </c>
      <c r="V1424" s="4">
        <v>43</v>
      </c>
      <c r="W1424" s="4">
        <v>87</v>
      </c>
    </row>
    <row r="1425" spans="1:23" ht="11.25" customHeight="1" x14ac:dyDescent="0.25">
      <c r="A1425" s="4" t="s">
        <v>21</v>
      </c>
      <c r="B1425" s="4" t="s">
        <v>22</v>
      </c>
      <c r="C1425" s="4" t="s">
        <v>23</v>
      </c>
      <c r="D1425" s="4" t="s">
        <v>24</v>
      </c>
      <c r="E1425" s="4" t="s">
        <v>34</v>
      </c>
      <c r="F1425" s="4" t="s">
        <v>25</v>
      </c>
      <c r="G1425" s="4" t="s">
        <v>25</v>
      </c>
      <c r="H1425" s="4" t="s">
        <v>25</v>
      </c>
      <c r="I1425" s="5">
        <v>44835</v>
      </c>
      <c r="J1425" s="6">
        <v>0</v>
      </c>
      <c r="K1425" s="6">
        <v>0</v>
      </c>
      <c r="L1425" s="6">
        <v>1772.847</v>
      </c>
      <c r="M1425" s="6">
        <v>1772.847</v>
      </c>
      <c r="N1425" s="6">
        <v>1772.847</v>
      </c>
      <c r="O1425" s="6">
        <v>1772.847</v>
      </c>
      <c r="P1425" s="6">
        <v>12858</v>
      </c>
      <c r="Q1425" s="4" t="s">
        <v>26</v>
      </c>
      <c r="R1425" s="4">
        <v>0</v>
      </c>
      <c r="S1425" s="4" t="s">
        <v>353</v>
      </c>
      <c r="T1425" s="4" t="s">
        <v>623</v>
      </c>
      <c r="U1425" s="4">
        <v>0</v>
      </c>
      <c r="V1425" s="4">
        <v>43</v>
      </c>
      <c r="W1425" s="4">
        <v>87</v>
      </c>
    </row>
    <row r="1426" spans="1:23" ht="11.25" customHeight="1" x14ac:dyDescent="0.25">
      <c r="A1426" s="4" t="s">
        <v>27</v>
      </c>
      <c r="B1426" s="4" t="s">
        <v>22</v>
      </c>
      <c r="C1426" s="4" t="s">
        <v>23</v>
      </c>
      <c r="D1426" s="4" t="s">
        <v>24</v>
      </c>
      <c r="E1426" s="4" t="s">
        <v>34</v>
      </c>
      <c r="F1426" s="4" t="s">
        <v>25</v>
      </c>
      <c r="G1426" s="4" t="s">
        <v>25</v>
      </c>
      <c r="H1426" s="4" t="s">
        <v>25</v>
      </c>
      <c r="I1426" s="5">
        <v>44835</v>
      </c>
      <c r="J1426" s="6">
        <v>0</v>
      </c>
      <c r="K1426" s="6">
        <v>0</v>
      </c>
      <c r="L1426" s="6">
        <v>-13.37</v>
      </c>
      <c r="M1426" s="6">
        <v>-13.37</v>
      </c>
      <c r="N1426" s="6">
        <v>-13.37</v>
      </c>
      <c r="O1426" s="6">
        <v>-13.37</v>
      </c>
      <c r="P1426" s="6">
        <v>-33</v>
      </c>
      <c r="Q1426" s="4" t="s">
        <v>26</v>
      </c>
      <c r="R1426" s="4">
        <v>0</v>
      </c>
      <c r="S1426" s="4" t="s">
        <v>353</v>
      </c>
      <c r="T1426" s="4" t="s">
        <v>623</v>
      </c>
      <c r="U1426" s="4">
        <v>0</v>
      </c>
      <c r="V1426" s="4">
        <v>43</v>
      </c>
      <c r="W1426" s="4">
        <v>87</v>
      </c>
    </row>
    <row r="1427" spans="1:23" ht="11.25" customHeight="1" x14ac:dyDescent="0.25">
      <c r="A1427" s="4" t="s">
        <v>28</v>
      </c>
      <c r="B1427" s="4" t="s">
        <v>22</v>
      </c>
      <c r="C1427" s="4" t="s">
        <v>23</v>
      </c>
      <c r="D1427" s="4" t="s">
        <v>24</v>
      </c>
      <c r="E1427" s="4" t="s">
        <v>34</v>
      </c>
      <c r="F1427" s="4" t="s">
        <v>25</v>
      </c>
      <c r="G1427" s="4" t="s">
        <v>25</v>
      </c>
      <c r="H1427" s="4" t="s">
        <v>25</v>
      </c>
      <c r="I1427" s="5">
        <v>44835</v>
      </c>
      <c r="J1427" s="6">
        <v>0</v>
      </c>
      <c r="K1427" s="6">
        <v>0</v>
      </c>
      <c r="L1427" s="6">
        <v>391.74</v>
      </c>
      <c r="M1427" s="6">
        <v>391.74</v>
      </c>
      <c r="N1427" s="6">
        <v>391.74</v>
      </c>
      <c r="O1427" s="6">
        <v>391.74</v>
      </c>
      <c r="P1427" s="6">
        <v>3327</v>
      </c>
      <c r="Q1427" s="4" t="s">
        <v>26</v>
      </c>
      <c r="R1427" s="4">
        <v>0</v>
      </c>
      <c r="S1427" s="4" t="s">
        <v>353</v>
      </c>
      <c r="T1427" s="4" t="s">
        <v>623</v>
      </c>
      <c r="U1427" s="4">
        <v>0</v>
      </c>
      <c r="V1427" s="4">
        <v>43</v>
      </c>
      <c r="W1427" s="4">
        <v>87</v>
      </c>
    </row>
    <row r="1428" spans="1:23" ht="11.25" customHeight="1" x14ac:dyDescent="0.25">
      <c r="A1428" s="4" t="s">
        <v>29</v>
      </c>
      <c r="B1428" s="4" t="s">
        <v>22</v>
      </c>
      <c r="C1428" s="4" t="s">
        <v>23</v>
      </c>
      <c r="D1428" s="4" t="s">
        <v>24</v>
      </c>
      <c r="E1428" s="4" t="s">
        <v>34</v>
      </c>
      <c r="F1428" s="4" t="s">
        <v>25</v>
      </c>
      <c r="G1428" s="4" t="s">
        <v>25</v>
      </c>
      <c r="H1428" s="4" t="s">
        <v>25</v>
      </c>
      <c r="I1428" s="5">
        <v>44835</v>
      </c>
      <c r="J1428" s="6">
        <v>0</v>
      </c>
      <c r="K1428" s="6">
        <v>0</v>
      </c>
      <c r="L1428" s="6">
        <v>-46.872</v>
      </c>
      <c r="M1428" s="6">
        <v>-46.872</v>
      </c>
      <c r="N1428" s="6">
        <v>-46.872</v>
      </c>
      <c r="O1428" s="6">
        <v>-46.872</v>
      </c>
      <c r="P1428" s="6">
        <v>-52</v>
      </c>
      <c r="Q1428" s="4" t="s">
        <v>26</v>
      </c>
      <c r="R1428" s="4">
        <v>0</v>
      </c>
      <c r="S1428" s="4" t="s">
        <v>353</v>
      </c>
      <c r="T1428" s="4" t="s">
        <v>623</v>
      </c>
      <c r="U1428" s="4">
        <v>0</v>
      </c>
      <c r="V1428" s="4">
        <v>43</v>
      </c>
      <c r="W1428" s="4">
        <v>87</v>
      </c>
    </row>
    <row r="1429" spans="1:23" ht="11.25" customHeight="1" x14ac:dyDescent="0.25">
      <c r="A1429" s="4" t="s">
        <v>30</v>
      </c>
      <c r="B1429" s="4" t="s">
        <v>22</v>
      </c>
      <c r="C1429" s="4" t="s">
        <v>23</v>
      </c>
      <c r="D1429" s="4" t="s">
        <v>24</v>
      </c>
      <c r="E1429" s="4" t="s">
        <v>34</v>
      </c>
      <c r="F1429" s="4" t="s">
        <v>25</v>
      </c>
      <c r="G1429" s="4" t="s">
        <v>25</v>
      </c>
      <c r="H1429" s="4" t="s">
        <v>25</v>
      </c>
      <c r="I1429" s="5">
        <v>44835</v>
      </c>
      <c r="J1429" s="6">
        <v>0</v>
      </c>
      <c r="K1429" s="6">
        <v>0</v>
      </c>
      <c r="L1429" s="6">
        <v>10.426</v>
      </c>
      <c r="M1429" s="6">
        <v>10.426</v>
      </c>
      <c r="N1429" s="6">
        <v>10.426</v>
      </c>
      <c r="O1429" s="6">
        <v>10.426</v>
      </c>
      <c r="P1429" s="6">
        <v>60</v>
      </c>
      <c r="Q1429" s="4" t="s">
        <v>26</v>
      </c>
      <c r="R1429" s="4">
        <v>0</v>
      </c>
      <c r="S1429" s="4" t="s">
        <v>353</v>
      </c>
      <c r="T1429" s="4" t="s">
        <v>623</v>
      </c>
      <c r="U1429" s="4">
        <v>0</v>
      </c>
      <c r="V1429" s="4">
        <v>43</v>
      </c>
      <c r="W1429" s="4">
        <v>87</v>
      </c>
    </row>
    <row r="1430" spans="1:23" ht="11.25" customHeight="1" x14ac:dyDescent="0.25">
      <c r="A1430" s="4" t="s">
        <v>59</v>
      </c>
      <c r="B1430" s="4" t="s">
        <v>22</v>
      </c>
      <c r="C1430" s="4" t="s">
        <v>23</v>
      </c>
      <c r="D1430" s="4" t="s">
        <v>24</v>
      </c>
      <c r="E1430" s="4" t="s">
        <v>34</v>
      </c>
      <c r="F1430" s="4" t="s">
        <v>25</v>
      </c>
      <c r="G1430" s="4" t="s">
        <v>25</v>
      </c>
      <c r="H1430" s="4" t="s">
        <v>25</v>
      </c>
      <c r="I1430" s="5">
        <v>44866</v>
      </c>
      <c r="J1430" s="6">
        <v>0</v>
      </c>
      <c r="K1430" s="6">
        <v>0</v>
      </c>
      <c r="L1430" s="6">
        <v>1772.847</v>
      </c>
      <c r="M1430" s="6">
        <v>1772.847</v>
      </c>
      <c r="N1430" s="6">
        <v>1772.847</v>
      </c>
      <c r="O1430" s="6">
        <v>1772.847</v>
      </c>
      <c r="P1430" s="6">
        <v>12858</v>
      </c>
      <c r="Q1430" s="4" t="s">
        <v>26</v>
      </c>
      <c r="R1430" s="4">
        <v>0</v>
      </c>
      <c r="S1430" s="4" t="s">
        <v>354</v>
      </c>
      <c r="T1430" s="4" t="s">
        <v>624</v>
      </c>
      <c r="U1430" s="4">
        <v>0</v>
      </c>
      <c r="V1430" s="4">
        <v>43</v>
      </c>
      <c r="W1430" s="4">
        <v>87</v>
      </c>
    </row>
    <row r="1431" spans="1:23" ht="11.25" customHeight="1" x14ac:dyDescent="0.25">
      <c r="A1431" s="4" t="s">
        <v>59</v>
      </c>
      <c r="B1431" s="4" t="s">
        <v>22</v>
      </c>
      <c r="C1431" s="4" t="s">
        <v>23</v>
      </c>
      <c r="D1431" s="4" t="s">
        <v>24</v>
      </c>
      <c r="E1431" s="4" t="s">
        <v>34</v>
      </c>
      <c r="F1431" s="4" t="s">
        <v>25</v>
      </c>
      <c r="G1431" s="4" t="s">
        <v>25</v>
      </c>
      <c r="H1431" s="4" t="s">
        <v>25</v>
      </c>
      <c r="I1431" s="5">
        <v>44866</v>
      </c>
      <c r="J1431" s="6">
        <v>0</v>
      </c>
      <c r="K1431" s="6">
        <v>0</v>
      </c>
      <c r="L1431" s="6">
        <v>-13.37</v>
      </c>
      <c r="M1431" s="6">
        <v>-13.37</v>
      </c>
      <c r="N1431" s="6">
        <v>-13.37</v>
      </c>
      <c r="O1431" s="6">
        <v>-13.37</v>
      </c>
      <c r="P1431" s="6">
        <v>-33</v>
      </c>
      <c r="Q1431" s="4" t="s">
        <v>26</v>
      </c>
      <c r="R1431" s="4">
        <v>0</v>
      </c>
      <c r="S1431" s="4" t="s">
        <v>354</v>
      </c>
      <c r="T1431" s="4" t="s">
        <v>624</v>
      </c>
      <c r="U1431" s="4">
        <v>0</v>
      </c>
      <c r="V1431" s="4">
        <v>43</v>
      </c>
      <c r="W1431" s="4">
        <v>87</v>
      </c>
    </row>
    <row r="1432" spans="1:23" ht="11.25" customHeight="1" x14ac:dyDescent="0.25">
      <c r="A1432" s="4" t="s">
        <v>59</v>
      </c>
      <c r="B1432" s="4" t="s">
        <v>22</v>
      </c>
      <c r="C1432" s="4" t="s">
        <v>23</v>
      </c>
      <c r="D1432" s="4" t="s">
        <v>24</v>
      </c>
      <c r="E1432" s="4" t="s">
        <v>34</v>
      </c>
      <c r="F1432" s="4" t="s">
        <v>25</v>
      </c>
      <c r="G1432" s="4" t="s">
        <v>25</v>
      </c>
      <c r="H1432" s="4" t="s">
        <v>25</v>
      </c>
      <c r="I1432" s="5">
        <v>44866</v>
      </c>
      <c r="J1432" s="6">
        <v>0</v>
      </c>
      <c r="K1432" s="6">
        <v>0</v>
      </c>
      <c r="L1432" s="6">
        <v>391.74</v>
      </c>
      <c r="M1432" s="6">
        <v>391.74</v>
      </c>
      <c r="N1432" s="6">
        <v>391.74</v>
      </c>
      <c r="O1432" s="6">
        <v>391.74</v>
      </c>
      <c r="P1432" s="6">
        <v>3327</v>
      </c>
      <c r="Q1432" s="4" t="s">
        <v>26</v>
      </c>
      <c r="R1432" s="4">
        <v>0</v>
      </c>
      <c r="S1432" s="4" t="s">
        <v>354</v>
      </c>
      <c r="T1432" s="4" t="s">
        <v>624</v>
      </c>
      <c r="U1432" s="4">
        <v>0</v>
      </c>
      <c r="V1432" s="4">
        <v>43</v>
      </c>
      <c r="W1432" s="4">
        <v>87</v>
      </c>
    </row>
    <row r="1433" spans="1:23" ht="11.25" customHeight="1" x14ac:dyDescent="0.25">
      <c r="A1433" s="4" t="s">
        <v>59</v>
      </c>
      <c r="B1433" s="4" t="s">
        <v>22</v>
      </c>
      <c r="C1433" s="4" t="s">
        <v>23</v>
      </c>
      <c r="D1433" s="4" t="s">
        <v>24</v>
      </c>
      <c r="E1433" s="4" t="s">
        <v>34</v>
      </c>
      <c r="F1433" s="4" t="s">
        <v>25</v>
      </c>
      <c r="G1433" s="4" t="s">
        <v>25</v>
      </c>
      <c r="H1433" s="4" t="s">
        <v>25</v>
      </c>
      <c r="I1433" s="5">
        <v>44866</v>
      </c>
      <c r="J1433" s="6">
        <v>0</v>
      </c>
      <c r="K1433" s="6">
        <v>0</v>
      </c>
      <c r="L1433" s="6">
        <v>-46.872</v>
      </c>
      <c r="M1433" s="6">
        <v>-46.872</v>
      </c>
      <c r="N1433" s="6">
        <v>-46.872</v>
      </c>
      <c r="O1433" s="6">
        <v>-46.872</v>
      </c>
      <c r="P1433" s="6">
        <v>-52</v>
      </c>
      <c r="Q1433" s="4" t="s">
        <v>26</v>
      </c>
      <c r="R1433" s="4">
        <v>0</v>
      </c>
      <c r="S1433" s="4" t="s">
        <v>354</v>
      </c>
      <c r="T1433" s="4" t="s">
        <v>624</v>
      </c>
      <c r="U1433" s="4">
        <v>0</v>
      </c>
      <c r="V1433" s="4">
        <v>43</v>
      </c>
      <c r="W1433" s="4">
        <v>87</v>
      </c>
    </row>
    <row r="1434" spans="1:23" ht="11.25" customHeight="1" x14ac:dyDescent="0.25">
      <c r="A1434" s="4" t="s">
        <v>59</v>
      </c>
      <c r="B1434" s="4" t="s">
        <v>22</v>
      </c>
      <c r="C1434" s="4" t="s">
        <v>23</v>
      </c>
      <c r="D1434" s="4" t="s">
        <v>24</v>
      </c>
      <c r="E1434" s="4" t="s">
        <v>34</v>
      </c>
      <c r="F1434" s="4" t="s">
        <v>25</v>
      </c>
      <c r="G1434" s="4" t="s">
        <v>25</v>
      </c>
      <c r="H1434" s="4" t="s">
        <v>25</v>
      </c>
      <c r="I1434" s="5">
        <v>44866</v>
      </c>
      <c r="J1434" s="6">
        <v>0</v>
      </c>
      <c r="K1434" s="6">
        <v>0</v>
      </c>
      <c r="L1434" s="6">
        <v>10.426</v>
      </c>
      <c r="M1434" s="6">
        <v>10.426</v>
      </c>
      <c r="N1434" s="6">
        <v>10.426</v>
      </c>
      <c r="O1434" s="6">
        <v>10.426</v>
      </c>
      <c r="P1434" s="6">
        <v>60</v>
      </c>
      <c r="Q1434" s="4" t="s">
        <v>26</v>
      </c>
      <c r="R1434" s="4">
        <v>0</v>
      </c>
      <c r="S1434" s="4" t="s">
        <v>354</v>
      </c>
      <c r="T1434" s="4" t="s">
        <v>624</v>
      </c>
      <c r="U1434" s="4">
        <v>0</v>
      </c>
      <c r="V1434" s="4">
        <v>43</v>
      </c>
      <c r="W1434" s="4">
        <v>87</v>
      </c>
    </row>
    <row r="1435" spans="1:23" ht="11.25" customHeight="1" x14ac:dyDescent="0.25">
      <c r="A1435" s="4" t="s">
        <v>21</v>
      </c>
      <c r="B1435" s="4" t="s">
        <v>46</v>
      </c>
      <c r="C1435" s="4" t="s">
        <v>35</v>
      </c>
      <c r="D1435" s="4" t="s">
        <v>47</v>
      </c>
      <c r="E1435" s="4" t="s">
        <v>25</v>
      </c>
      <c r="F1435" s="4" t="s">
        <v>25</v>
      </c>
      <c r="G1435" s="4" t="s">
        <v>25</v>
      </c>
      <c r="H1435" s="4" t="s">
        <v>37</v>
      </c>
      <c r="I1435" s="5">
        <v>44531</v>
      </c>
      <c r="J1435" s="6">
        <v>0</v>
      </c>
      <c r="K1435" s="6">
        <v>0</v>
      </c>
      <c r="L1435" s="6">
        <v>5.8879999999999999</v>
      </c>
      <c r="M1435" s="6">
        <v>5.8879999999999999</v>
      </c>
      <c r="N1435" s="6">
        <v>5.8879999999999999</v>
      </c>
      <c r="O1435" s="6">
        <v>5.8879999999999999</v>
      </c>
      <c r="P1435" s="6">
        <v>0</v>
      </c>
      <c r="Q1435" s="4" t="s">
        <v>26</v>
      </c>
      <c r="R1435" s="4">
        <v>0</v>
      </c>
      <c r="S1435" s="4" t="s">
        <v>355</v>
      </c>
      <c r="T1435" s="4" t="s">
        <v>625</v>
      </c>
      <c r="U1435" s="4">
        <v>0</v>
      </c>
      <c r="V1435" s="4">
        <v>51</v>
      </c>
      <c r="W1435" s="4">
        <v>95</v>
      </c>
    </row>
    <row r="1436" spans="1:23" ht="11.25" customHeight="1" x14ac:dyDescent="0.25">
      <c r="A1436" s="4" t="s">
        <v>28</v>
      </c>
      <c r="B1436" s="4" t="s">
        <v>46</v>
      </c>
      <c r="C1436" s="4" t="s">
        <v>35</v>
      </c>
      <c r="D1436" s="4" t="s">
        <v>47</v>
      </c>
      <c r="E1436" s="4" t="s">
        <v>25</v>
      </c>
      <c r="F1436" s="4" t="s">
        <v>25</v>
      </c>
      <c r="G1436" s="4" t="s">
        <v>25</v>
      </c>
      <c r="H1436" s="4" t="s">
        <v>37</v>
      </c>
      <c r="I1436" s="5">
        <v>44531</v>
      </c>
      <c r="J1436" s="6">
        <v>0</v>
      </c>
      <c r="K1436" s="6">
        <v>0</v>
      </c>
      <c r="L1436" s="6">
        <v>1.2999999999999999E-2</v>
      </c>
      <c r="M1436" s="6">
        <v>1.2999999999999999E-2</v>
      </c>
      <c r="N1436" s="6">
        <v>1.2999999999999999E-2</v>
      </c>
      <c r="O1436" s="6">
        <v>1.2999999999999999E-2</v>
      </c>
      <c r="P1436" s="6">
        <v>0</v>
      </c>
      <c r="Q1436" s="4" t="s">
        <v>26</v>
      </c>
      <c r="R1436" s="4">
        <v>0</v>
      </c>
      <c r="S1436" s="4" t="s">
        <v>355</v>
      </c>
      <c r="T1436" s="4" t="s">
        <v>625</v>
      </c>
      <c r="U1436" s="4">
        <v>0</v>
      </c>
      <c r="V1436" s="4">
        <v>51</v>
      </c>
      <c r="W1436" s="4">
        <v>95</v>
      </c>
    </row>
    <row r="1437" spans="1:23" ht="11.25" customHeight="1" x14ac:dyDescent="0.25">
      <c r="A1437" s="4" t="s">
        <v>21</v>
      </c>
      <c r="B1437" s="4" t="s">
        <v>46</v>
      </c>
      <c r="C1437" s="4" t="s">
        <v>35</v>
      </c>
      <c r="D1437" s="4" t="s">
        <v>47</v>
      </c>
      <c r="E1437" s="4" t="s">
        <v>25</v>
      </c>
      <c r="F1437" s="4" t="s">
        <v>25</v>
      </c>
      <c r="G1437" s="4" t="s">
        <v>25</v>
      </c>
      <c r="H1437" s="4" t="s">
        <v>37</v>
      </c>
      <c r="I1437" s="5">
        <v>44562</v>
      </c>
      <c r="J1437" s="6">
        <v>0</v>
      </c>
      <c r="K1437" s="6">
        <v>0</v>
      </c>
      <c r="L1437" s="6">
        <v>6.4119999999999999</v>
      </c>
      <c r="M1437" s="6">
        <v>6.4119999999999999</v>
      </c>
      <c r="N1437" s="6">
        <v>6.4119999999999999</v>
      </c>
      <c r="O1437" s="6">
        <v>6.4119999999999999</v>
      </c>
      <c r="P1437" s="6">
        <v>0</v>
      </c>
      <c r="Q1437" s="4" t="s">
        <v>26</v>
      </c>
      <c r="R1437" s="4">
        <v>0</v>
      </c>
      <c r="S1437" s="4" t="s">
        <v>356</v>
      </c>
      <c r="T1437" s="4" t="s">
        <v>626</v>
      </c>
      <c r="U1437" s="4">
        <v>0</v>
      </c>
      <c r="V1437" s="4">
        <v>51</v>
      </c>
      <c r="W1437" s="4">
        <v>95</v>
      </c>
    </row>
    <row r="1438" spans="1:23" ht="11.25" customHeight="1" x14ac:dyDescent="0.25">
      <c r="A1438" s="4" t="s">
        <v>28</v>
      </c>
      <c r="B1438" s="4" t="s">
        <v>46</v>
      </c>
      <c r="C1438" s="4" t="s">
        <v>35</v>
      </c>
      <c r="D1438" s="4" t="s">
        <v>47</v>
      </c>
      <c r="E1438" s="4" t="s">
        <v>25</v>
      </c>
      <c r="F1438" s="4" t="s">
        <v>25</v>
      </c>
      <c r="G1438" s="4" t="s">
        <v>25</v>
      </c>
      <c r="H1438" s="4" t="s">
        <v>37</v>
      </c>
      <c r="I1438" s="5">
        <v>44562</v>
      </c>
      <c r="J1438" s="6">
        <v>0</v>
      </c>
      <c r="K1438" s="6">
        <v>0</v>
      </c>
      <c r="L1438" s="6">
        <v>0.223</v>
      </c>
      <c r="M1438" s="6">
        <v>0.223</v>
      </c>
      <c r="N1438" s="6">
        <v>0.223</v>
      </c>
      <c r="O1438" s="6">
        <v>0.223</v>
      </c>
      <c r="P1438" s="6">
        <v>0</v>
      </c>
      <c r="Q1438" s="4" t="s">
        <v>26</v>
      </c>
      <c r="R1438" s="4">
        <v>0</v>
      </c>
      <c r="S1438" s="4" t="s">
        <v>356</v>
      </c>
      <c r="T1438" s="4" t="s">
        <v>626</v>
      </c>
      <c r="U1438" s="4">
        <v>0</v>
      </c>
      <c r="V1438" s="4">
        <v>51</v>
      </c>
      <c r="W1438" s="4">
        <v>95</v>
      </c>
    </row>
    <row r="1439" spans="1:23" ht="11.25" customHeight="1" x14ac:dyDescent="0.25">
      <c r="A1439" s="4" t="s">
        <v>21</v>
      </c>
      <c r="B1439" s="4" t="s">
        <v>46</v>
      </c>
      <c r="C1439" s="4" t="s">
        <v>35</v>
      </c>
      <c r="D1439" s="4" t="s">
        <v>47</v>
      </c>
      <c r="E1439" s="4" t="s">
        <v>25</v>
      </c>
      <c r="F1439" s="4" t="s">
        <v>25</v>
      </c>
      <c r="G1439" s="4" t="s">
        <v>25</v>
      </c>
      <c r="H1439" s="4" t="s">
        <v>37</v>
      </c>
      <c r="I1439" s="5">
        <v>44593</v>
      </c>
      <c r="J1439" s="6">
        <v>0</v>
      </c>
      <c r="K1439" s="6">
        <v>0</v>
      </c>
      <c r="L1439" s="6">
        <v>5.51</v>
      </c>
      <c r="M1439" s="6">
        <v>5.51</v>
      </c>
      <c r="N1439" s="6">
        <v>5.51</v>
      </c>
      <c r="O1439" s="6">
        <v>5.51</v>
      </c>
      <c r="P1439" s="6">
        <v>0</v>
      </c>
      <c r="Q1439" s="4" t="s">
        <v>26</v>
      </c>
      <c r="R1439" s="4">
        <v>0</v>
      </c>
      <c r="S1439" s="4" t="s">
        <v>357</v>
      </c>
      <c r="T1439" s="4" t="s">
        <v>627</v>
      </c>
      <c r="U1439" s="4">
        <v>0</v>
      </c>
      <c r="V1439" s="4">
        <v>51</v>
      </c>
      <c r="W1439" s="4">
        <v>95</v>
      </c>
    </row>
    <row r="1440" spans="1:23" ht="11.25" customHeight="1" x14ac:dyDescent="0.25">
      <c r="A1440" s="4" t="s">
        <v>28</v>
      </c>
      <c r="B1440" s="4" t="s">
        <v>46</v>
      </c>
      <c r="C1440" s="4" t="s">
        <v>35</v>
      </c>
      <c r="D1440" s="4" t="s">
        <v>47</v>
      </c>
      <c r="E1440" s="4" t="s">
        <v>25</v>
      </c>
      <c r="F1440" s="4" t="s">
        <v>25</v>
      </c>
      <c r="G1440" s="4" t="s">
        <v>25</v>
      </c>
      <c r="H1440" s="4" t="s">
        <v>37</v>
      </c>
      <c r="I1440" s="5">
        <v>44593</v>
      </c>
      <c r="J1440" s="6">
        <v>0</v>
      </c>
      <c r="K1440" s="6">
        <v>0</v>
      </c>
      <c r="L1440" s="6">
        <v>0.25</v>
      </c>
      <c r="M1440" s="6">
        <v>0.25</v>
      </c>
      <c r="N1440" s="6">
        <v>0.25</v>
      </c>
      <c r="O1440" s="6">
        <v>0.25</v>
      </c>
      <c r="P1440" s="6">
        <v>0</v>
      </c>
      <c r="Q1440" s="4" t="s">
        <v>26</v>
      </c>
      <c r="R1440" s="4">
        <v>0</v>
      </c>
      <c r="S1440" s="4" t="s">
        <v>357</v>
      </c>
      <c r="T1440" s="4" t="s">
        <v>627</v>
      </c>
      <c r="U1440" s="4">
        <v>0</v>
      </c>
      <c r="V1440" s="4">
        <v>51</v>
      </c>
      <c r="W1440" s="4">
        <v>95</v>
      </c>
    </row>
    <row r="1441" spans="1:23" ht="11.25" customHeight="1" x14ac:dyDescent="0.25">
      <c r="A1441" s="4" t="s">
        <v>21</v>
      </c>
      <c r="B1441" s="4" t="s">
        <v>46</v>
      </c>
      <c r="C1441" s="4" t="s">
        <v>35</v>
      </c>
      <c r="D1441" s="4" t="s">
        <v>47</v>
      </c>
      <c r="E1441" s="4" t="s">
        <v>25</v>
      </c>
      <c r="F1441" s="4" t="s">
        <v>25</v>
      </c>
      <c r="G1441" s="4" t="s">
        <v>25</v>
      </c>
      <c r="H1441" s="4" t="s">
        <v>37</v>
      </c>
      <c r="I1441" s="5">
        <v>44621</v>
      </c>
      <c r="J1441" s="6">
        <v>0</v>
      </c>
      <c r="K1441" s="6">
        <v>0</v>
      </c>
      <c r="L1441" s="6">
        <v>5.5250000000000004</v>
      </c>
      <c r="M1441" s="6">
        <v>5.5250000000000004</v>
      </c>
      <c r="N1441" s="6">
        <v>5.5250000000000004</v>
      </c>
      <c r="O1441" s="6">
        <v>5.5250000000000004</v>
      </c>
      <c r="P1441" s="6">
        <v>0</v>
      </c>
      <c r="Q1441" s="4" t="s">
        <v>26</v>
      </c>
      <c r="R1441" s="4">
        <v>0</v>
      </c>
      <c r="S1441" s="4" t="s">
        <v>358</v>
      </c>
      <c r="T1441" s="4" t="s">
        <v>628</v>
      </c>
      <c r="U1441" s="4">
        <v>0</v>
      </c>
      <c r="V1441" s="4">
        <v>51</v>
      </c>
      <c r="W1441" s="4">
        <v>95</v>
      </c>
    </row>
    <row r="1442" spans="1:23" ht="11.25" customHeight="1" x14ac:dyDescent="0.25">
      <c r="A1442" s="4" t="s">
        <v>21</v>
      </c>
      <c r="B1442" s="4" t="s">
        <v>46</v>
      </c>
      <c r="C1442" s="4" t="s">
        <v>35</v>
      </c>
      <c r="D1442" s="4" t="s">
        <v>47</v>
      </c>
      <c r="E1442" s="4" t="s">
        <v>25</v>
      </c>
      <c r="F1442" s="4" t="s">
        <v>25</v>
      </c>
      <c r="G1442" s="4" t="s">
        <v>25</v>
      </c>
      <c r="H1442" s="4" t="s">
        <v>37</v>
      </c>
      <c r="I1442" s="5">
        <v>44652</v>
      </c>
      <c r="J1442" s="6">
        <v>0</v>
      </c>
      <c r="K1442" s="6">
        <v>0</v>
      </c>
      <c r="L1442" s="6">
        <v>4.8090000000000002</v>
      </c>
      <c r="M1442" s="6">
        <v>4.8090000000000002</v>
      </c>
      <c r="N1442" s="6">
        <v>4.8090000000000002</v>
      </c>
      <c r="O1442" s="6">
        <v>4.8090000000000002</v>
      </c>
      <c r="P1442" s="6">
        <v>0</v>
      </c>
      <c r="Q1442" s="4" t="s">
        <v>26</v>
      </c>
      <c r="R1442" s="4">
        <v>0</v>
      </c>
      <c r="S1442" s="4" t="s">
        <v>359</v>
      </c>
      <c r="T1442" s="4" t="s">
        <v>629</v>
      </c>
      <c r="U1442" s="4">
        <v>0</v>
      </c>
      <c r="V1442" s="4">
        <v>51</v>
      </c>
      <c r="W1442" s="4">
        <v>95</v>
      </c>
    </row>
    <row r="1443" spans="1:23" ht="11.25" customHeight="1" x14ac:dyDescent="0.25">
      <c r="A1443" s="4" t="s">
        <v>21</v>
      </c>
      <c r="B1443" s="4" t="s">
        <v>46</v>
      </c>
      <c r="C1443" s="4" t="s">
        <v>35</v>
      </c>
      <c r="D1443" s="4" t="s">
        <v>47</v>
      </c>
      <c r="E1443" s="4" t="s">
        <v>25</v>
      </c>
      <c r="F1443" s="4" t="s">
        <v>25</v>
      </c>
      <c r="G1443" s="4" t="s">
        <v>25</v>
      </c>
      <c r="H1443" s="4" t="s">
        <v>37</v>
      </c>
      <c r="I1443" s="5">
        <v>44682</v>
      </c>
      <c r="J1443" s="6">
        <v>0</v>
      </c>
      <c r="K1443" s="6">
        <v>0</v>
      </c>
      <c r="L1443" s="6">
        <v>6.3789999999999996</v>
      </c>
      <c r="M1443" s="6">
        <v>6.3789999999999996</v>
      </c>
      <c r="N1443" s="6">
        <v>6.3789999999999996</v>
      </c>
      <c r="O1443" s="6">
        <v>6.3789999999999996</v>
      </c>
      <c r="P1443" s="6">
        <v>0</v>
      </c>
      <c r="Q1443" s="4" t="s">
        <v>26</v>
      </c>
      <c r="R1443" s="4">
        <v>0</v>
      </c>
      <c r="S1443" s="4" t="s">
        <v>360</v>
      </c>
      <c r="T1443" s="4" t="s">
        <v>630</v>
      </c>
      <c r="U1443" s="4">
        <v>0</v>
      </c>
      <c r="V1443" s="4">
        <v>51</v>
      </c>
      <c r="W1443" s="4">
        <v>95</v>
      </c>
    </row>
    <row r="1444" spans="1:23" ht="11.25" customHeight="1" x14ac:dyDescent="0.25">
      <c r="A1444" s="4" t="s">
        <v>21</v>
      </c>
      <c r="B1444" s="4" t="s">
        <v>46</v>
      </c>
      <c r="C1444" s="4" t="s">
        <v>35</v>
      </c>
      <c r="D1444" s="4" t="s">
        <v>47</v>
      </c>
      <c r="E1444" s="4" t="s">
        <v>25</v>
      </c>
      <c r="F1444" s="4" t="s">
        <v>25</v>
      </c>
      <c r="G1444" s="4" t="s">
        <v>25</v>
      </c>
      <c r="H1444" s="4" t="s">
        <v>37</v>
      </c>
      <c r="I1444" s="5">
        <v>44713</v>
      </c>
      <c r="J1444" s="6">
        <v>0</v>
      </c>
      <c r="K1444" s="6">
        <v>0</v>
      </c>
      <c r="L1444" s="6">
        <v>5.6680000000000001</v>
      </c>
      <c r="M1444" s="6">
        <v>5.6680000000000001</v>
      </c>
      <c r="N1444" s="6">
        <v>5.6680000000000001</v>
      </c>
      <c r="O1444" s="6">
        <v>5.6680000000000001</v>
      </c>
      <c r="P1444" s="6">
        <v>0</v>
      </c>
      <c r="Q1444" s="4" t="s">
        <v>26</v>
      </c>
      <c r="R1444" s="4">
        <v>0</v>
      </c>
      <c r="S1444" s="4" t="s">
        <v>361</v>
      </c>
      <c r="T1444" s="4" t="s">
        <v>631</v>
      </c>
      <c r="U1444" s="4">
        <v>0</v>
      </c>
      <c r="V1444" s="4">
        <v>51</v>
      </c>
      <c r="W1444" s="4">
        <v>95</v>
      </c>
    </row>
    <row r="1445" spans="1:23" ht="11.25" customHeight="1" x14ac:dyDescent="0.25">
      <c r="A1445" s="4" t="s">
        <v>21</v>
      </c>
      <c r="B1445" s="4" t="s">
        <v>46</v>
      </c>
      <c r="C1445" s="4" t="s">
        <v>35</v>
      </c>
      <c r="D1445" s="4" t="s">
        <v>47</v>
      </c>
      <c r="E1445" s="4" t="s">
        <v>25</v>
      </c>
      <c r="F1445" s="4" t="s">
        <v>25</v>
      </c>
      <c r="G1445" s="4" t="s">
        <v>25</v>
      </c>
      <c r="H1445" s="4" t="s">
        <v>37</v>
      </c>
      <c r="I1445" s="5">
        <v>44743</v>
      </c>
      <c r="J1445" s="6">
        <v>0</v>
      </c>
      <c r="K1445" s="6">
        <v>0</v>
      </c>
      <c r="L1445" s="6">
        <v>5.7770000000000001</v>
      </c>
      <c r="M1445" s="6">
        <v>5.7770000000000001</v>
      </c>
      <c r="N1445" s="6">
        <v>5.7770000000000001</v>
      </c>
      <c r="O1445" s="6">
        <v>5.7770000000000001</v>
      </c>
      <c r="P1445" s="6">
        <v>0</v>
      </c>
      <c r="Q1445" s="4" t="s">
        <v>26</v>
      </c>
      <c r="R1445" s="4">
        <v>0</v>
      </c>
      <c r="S1445" s="4" t="s">
        <v>362</v>
      </c>
      <c r="T1445" s="4" t="s">
        <v>632</v>
      </c>
      <c r="U1445" s="4">
        <v>0</v>
      </c>
      <c r="V1445" s="4">
        <v>51</v>
      </c>
      <c r="W1445" s="4">
        <v>95</v>
      </c>
    </row>
    <row r="1446" spans="1:23" ht="11.25" customHeight="1" x14ac:dyDescent="0.25">
      <c r="A1446" s="4" t="s">
        <v>21</v>
      </c>
      <c r="B1446" s="4" t="s">
        <v>46</v>
      </c>
      <c r="C1446" s="4" t="s">
        <v>35</v>
      </c>
      <c r="D1446" s="4" t="s">
        <v>47</v>
      </c>
      <c r="E1446" s="4" t="s">
        <v>25</v>
      </c>
      <c r="F1446" s="4" t="s">
        <v>25</v>
      </c>
      <c r="G1446" s="4" t="s">
        <v>25</v>
      </c>
      <c r="H1446" s="4" t="s">
        <v>37</v>
      </c>
      <c r="I1446" s="5">
        <v>44774</v>
      </c>
      <c r="J1446" s="6">
        <v>0</v>
      </c>
      <c r="K1446" s="6">
        <v>0</v>
      </c>
      <c r="L1446" s="6">
        <v>7.75</v>
      </c>
      <c r="M1446" s="6">
        <v>7.75</v>
      </c>
      <c r="N1446" s="6">
        <v>7.75</v>
      </c>
      <c r="O1446" s="6">
        <v>7.75</v>
      </c>
      <c r="P1446" s="6">
        <v>0</v>
      </c>
      <c r="Q1446" s="4" t="s">
        <v>26</v>
      </c>
      <c r="R1446" s="4">
        <v>0</v>
      </c>
      <c r="S1446" s="4" t="s">
        <v>363</v>
      </c>
      <c r="T1446" s="4" t="s">
        <v>633</v>
      </c>
      <c r="U1446" s="4">
        <v>0</v>
      </c>
      <c r="V1446" s="4">
        <v>51</v>
      </c>
      <c r="W1446" s="4">
        <v>95</v>
      </c>
    </row>
    <row r="1447" spans="1:23" ht="11.25" customHeight="1" x14ac:dyDescent="0.25">
      <c r="A1447" s="4" t="s">
        <v>21</v>
      </c>
      <c r="B1447" s="4" t="s">
        <v>46</v>
      </c>
      <c r="C1447" s="4" t="s">
        <v>35</v>
      </c>
      <c r="D1447" s="4" t="s">
        <v>47</v>
      </c>
      <c r="E1447" s="4" t="s">
        <v>25</v>
      </c>
      <c r="F1447" s="4" t="s">
        <v>25</v>
      </c>
      <c r="G1447" s="4" t="s">
        <v>25</v>
      </c>
      <c r="H1447" s="4" t="s">
        <v>37</v>
      </c>
      <c r="I1447" s="5">
        <v>44805</v>
      </c>
      <c r="J1447" s="6">
        <v>0</v>
      </c>
      <c r="K1447" s="6">
        <v>0</v>
      </c>
      <c r="L1447" s="6">
        <v>6.0750000000000002</v>
      </c>
      <c r="M1447" s="6">
        <v>6.0750000000000002</v>
      </c>
      <c r="N1447" s="6">
        <v>6.0750000000000002</v>
      </c>
      <c r="O1447" s="6">
        <v>6.0750000000000002</v>
      </c>
      <c r="P1447" s="6">
        <v>0</v>
      </c>
      <c r="Q1447" s="4" t="s">
        <v>26</v>
      </c>
      <c r="R1447" s="4">
        <v>0</v>
      </c>
      <c r="S1447" s="4" t="s">
        <v>364</v>
      </c>
      <c r="T1447" s="4" t="s">
        <v>634</v>
      </c>
      <c r="U1447" s="4">
        <v>0</v>
      </c>
      <c r="V1447" s="4">
        <v>51</v>
      </c>
      <c r="W1447" s="4">
        <v>95</v>
      </c>
    </row>
    <row r="1448" spans="1:23" ht="11.25" customHeight="1" x14ac:dyDescent="0.25">
      <c r="A1448" s="4" t="s">
        <v>21</v>
      </c>
      <c r="B1448" s="4" t="s">
        <v>46</v>
      </c>
      <c r="C1448" s="4" t="s">
        <v>35</v>
      </c>
      <c r="D1448" s="4" t="s">
        <v>47</v>
      </c>
      <c r="E1448" s="4" t="s">
        <v>25</v>
      </c>
      <c r="F1448" s="4" t="s">
        <v>25</v>
      </c>
      <c r="G1448" s="4" t="s">
        <v>25</v>
      </c>
      <c r="H1448" s="4" t="s">
        <v>37</v>
      </c>
      <c r="I1448" s="5">
        <v>44835</v>
      </c>
      <c r="J1448" s="6">
        <v>0</v>
      </c>
      <c r="K1448" s="6">
        <v>0</v>
      </c>
      <c r="L1448" s="6">
        <v>6.5540000000000003</v>
      </c>
      <c r="M1448" s="6">
        <v>6.5540000000000003</v>
      </c>
      <c r="N1448" s="6">
        <v>6.5540000000000003</v>
      </c>
      <c r="O1448" s="6">
        <v>6.5540000000000003</v>
      </c>
      <c r="P1448" s="6">
        <v>0</v>
      </c>
      <c r="Q1448" s="4" t="s">
        <v>26</v>
      </c>
      <c r="R1448" s="4">
        <v>0</v>
      </c>
      <c r="S1448" s="4" t="s">
        <v>365</v>
      </c>
      <c r="T1448" s="4" t="s">
        <v>635</v>
      </c>
      <c r="U1448" s="4">
        <v>0</v>
      </c>
      <c r="V1448" s="4">
        <v>51</v>
      </c>
      <c r="W1448" s="4">
        <v>95</v>
      </c>
    </row>
    <row r="1449" spans="1:23" ht="11.25" customHeight="1" x14ac:dyDescent="0.25">
      <c r="A1449" s="4" t="s">
        <v>59</v>
      </c>
      <c r="B1449" s="4" t="s">
        <v>46</v>
      </c>
      <c r="C1449" s="4" t="s">
        <v>35</v>
      </c>
      <c r="D1449" s="4" t="s">
        <v>47</v>
      </c>
      <c r="E1449" s="4" t="s">
        <v>25</v>
      </c>
      <c r="F1449" s="4" t="s">
        <v>25</v>
      </c>
      <c r="G1449" s="4" t="s">
        <v>25</v>
      </c>
      <c r="H1449" s="4" t="s">
        <v>37</v>
      </c>
      <c r="I1449" s="5">
        <v>44866</v>
      </c>
      <c r="J1449" s="6">
        <v>0</v>
      </c>
      <c r="K1449" s="6">
        <v>0</v>
      </c>
      <c r="L1449" s="6">
        <v>6.5540000000000003</v>
      </c>
      <c r="M1449" s="6">
        <v>6.5540000000000003</v>
      </c>
      <c r="N1449" s="6">
        <v>6.5540000000000003</v>
      </c>
      <c r="O1449" s="6">
        <v>6.5540000000000003</v>
      </c>
      <c r="P1449" s="6">
        <v>0</v>
      </c>
      <c r="Q1449" s="4" t="s">
        <v>26</v>
      </c>
      <c r="R1449" s="4">
        <v>0</v>
      </c>
      <c r="S1449" s="4" t="s">
        <v>366</v>
      </c>
      <c r="T1449" s="4" t="s">
        <v>636</v>
      </c>
      <c r="U1449" s="4">
        <v>0</v>
      </c>
      <c r="V1449" s="4">
        <v>51</v>
      </c>
      <c r="W1449" s="4">
        <v>95</v>
      </c>
    </row>
    <row r="1450" spans="1:23" ht="11.25" customHeight="1" x14ac:dyDescent="0.25">
      <c r="A1450" s="4" t="s">
        <v>21</v>
      </c>
      <c r="B1450" s="4" t="s">
        <v>46</v>
      </c>
      <c r="C1450" s="4" t="s">
        <v>35</v>
      </c>
      <c r="D1450" s="4" t="s">
        <v>47</v>
      </c>
      <c r="E1450" s="4" t="s">
        <v>25</v>
      </c>
      <c r="F1450" s="4" t="s">
        <v>25</v>
      </c>
      <c r="G1450" s="4" t="s">
        <v>25</v>
      </c>
      <c r="H1450" s="4" t="s">
        <v>38</v>
      </c>
      <c r="I1450" s="5">
        <v>44531</v>
      </c>
      <c r="J1450" s="6">
        <v>0</v>
      </c>
      <c r="K1450" s="6">
        <v>0</v>
      </c>
      <c r="L1450" s="6">
        <v>3.6999999999999998E-2</v>
      </c>
      <c r="M1450" s="6">
        <v>3.6999999999999998E-2</v>
      </c>
      <c r="N1450" s="6">
        <v>3.6999999999999998E-2</v>
      </c>
      <c r="O1450" s="6">
        <v>3.6999999999999998E-2</v>
      </c>
      <c r="P1450" s="6">
        <v>0</v>
      </c>
      <c r="Q1450" s="4" t="s">
        <v>26</v>
      </c>
      <c r="R1450" s="4">
        <v>0</v>
      </c>
      <c r="S1450" s="4" t="s">
        <v>367</v>
      </c>
      <c r="T1450" s="4" t="s">
        <v>637</v>
      </c>
      <c r="U1450" s="4">
        <v>0</v>
      </c>
      <c r="V1450" s="4">
        <v>50</v>
      </c>
      <c r="W1450" s="4">
        <v>94</v>
      </c>
    </row>
    <row r="1451" spans="1:23" ht="11.25" customHeight="1" x14ac:dyDescent="0.25">
      <c r="A1451" s="4" t="s">
        <v>28</v>
      </c>
      <c r="B1451" s="4" t="s">
        <v>46</v>
      </c>
      <c r="C1451" s="4" t="s">
        <v>35</v>
      </c>
      <c r="D1451" s="4" t="s">
        <v>47</v>
      </c>
      <c r="E1451" s="4" t="s">
        <v>25</v>
      </c>
      <c r="F1451" s="4" t="s">
        <v>25</v>
      </c>
      <c r="G1451" s="4" t="s">
        <v>25</v>
      </c>
      <c r="H1451" s="4" t="s">
        <v>38</v>
      </c>
      <c r="I1451" s="5">
        <v>44531</v>
      </c>
      <c r="J1451" s="6">
        <v>0</v>
      </c>
      <c r="K1451" s="6">
        <v>0</v>
      </c>
      <c r="L1451" s="6">
        <v>1E-3</v>
      </c>
      <c r="M1451" s="6">
        <v>1E-3</v>
      </c>
      <c r="N1451" s="6">
        <v>1E-3</v>
      </c>
      <c r="O1451" s="6">
        <v>1E-3</v>
      </c>
      <c r="P1451" s="6">
        <v>0</v>
      </c>
      <c r="Q1451" s="4" t="s">
        <v>26</v>
      </c>
      <c r="R1451" s="4">
        <v>0</v>
      </c>
      <c r="S1451" s="4" t="s">
        <v>367</v>
      </c>
      <c r="T1451" s="4" t="s">
        <v>637</v>
      </c>
      <c r="U1451" s="4">
        <v>0</v>
      </c>
      <c r="V1451" s="4">
        <v>50</v>
      </c>
      <c r="W1451" s="4">
        <v>94</v>
      </c>
    </row>
    <row r="1452" spans="1:23" ht="11.25" customHeight="1" x14ac:dyDescent="0.25">
      <c r="A1452" s="4" t="s">
        <v>21</v>
      </c>
      <c r="B1452" s="4" t="s">
        <v>46</v>
      </c>
      <c r="C1452" s="4" t="s">
        <v>35</v>
      </c>
      <c r="D1452" s="4" t="s">
        <v>47</v>
      </c>
      <c r="E1452" s="4" t="s">
        <v>25</v>
      </c>
      <c r="F1452" s="4" t="s">
        <v>25</v>
      </c>
      <c r="G1452" s="4" t="s">
        <v>25</v>
      </c>
      <c r="H1452" s="4" t="s">
        <v>38</v>
      </c>
      <c r="I1452" s="5">
        <v>44562</v>
      </c>
      <c r="J1452" s="6">
        <v>0</v>
      </c>
      <c r="K1452" s="6">
        <v>0</v>
      </c>
      <c r="L1452" s="6">
        <v>5.5E-2</v>
      </c>
      <c r="M1452" s="6">
        <v>5.5E-2</v>
      </c>
      <c r="N1452" s="6">
        <v>5.5E-2</v>
      </c>
      <c r="O1452" s="6">
        <v>5.5E-2</v>
      </c>
      <c r="P1452" s="6">
        <v>0</v>
      </c>
      <c r="Q1452" s="4" t="s">
        <v>26</v>
      </c>
      <c r="R1452" s="4">
        <v>0</v>
      </c>
      <c r="S1452" s="4" t="s">
        <v>368</v>
      </c>
      <c r="T1452" s="4" t="s">
        <v>638</v>
      </c>
      <c r="U1452" s="4">
        <v>0</v>
      </c>
      <c r="V1452" s="4">
        <v>50</v>
      </c>
      <c r="W1452" s="4">
        <v>94</v>
      </c>
    </row>
    <row r="1453" spans="1:23" ht="11.25" customHeight="1" x14ac:dyDescent="0.25">
      <c r="A1453" s="4" t="s">
        <v>28</v>
      </c>
      <c r="B1453" s="4" t="s">
        <v>46</v>
      </c>
      <c r="C1453" s="4" t="s">
        <v>35</v>
      </c>
      <c r="D1453" s="4" t="s">
        <v>47</v>
      </c>
      <c r="E1453" s="4" t="s">
        <v>25</v>
      </c>
      <c r="F1453" s="4" t="s">
        <v>25</v>
      </c>
      <c r="G1453" s="4" t="s">
        <v>25</v>
      </c>
      <c r="H1453" s="4" t="s">
        <v>38</v>
      </c>
      <c r="I1453" s="5">
        <v>44562</v>
      </c>
      <c r="J1453" s="6">
        <v>0</v>
      </c>
      <c r="K1453" s="6">
        <v>0</v>
      </c>
      <c r="L1453" s="6">
        <v>0.01</v>
      </c>
      <c r="M1453" s="6">
        <v>0.01</v>
      </c>
      <c r="N1453" s="6">
        <v>0.01</v>
      </c>
      <c r="O1453" s="6">
        <v>0.01</v>
      </c>
      <c r="P1453" s="6">
        <v>0</v>
      </c>
      <c r="Q1453" s="4" t="s">
        <v>26</v>
      </c>
      <c r="R1453" s="4">
        <v>0</v>
      </c>
      <c r="S1453" s="4" t="s">
        <v>368</v>
      </c>
      <c r="T1453" s="4" t="s">
        <v>638</v>
      </c>
      <c r="U1453" s="4">
        <v>0</v>
      </c>
      <c r="V1453" s="4">
        <v>50</v>
      </c>
      <c r="W1453" s="4">
        <v>94</v>
      </c>
    </row>
    <row r="1454" spans="1:23" ht="11.25" customHeight="1" x14ac:dyDescent="0.25">
      <c r="A1454" s="4" t="s">
        <v>21</v>
      </c>
      <c r="B1454" s="4" t="s">
        <v>46</v>
      </c>
      <c r="C1454" s="4" t="s">
        <v>35</v>
      </c>
      <c r="D1454" s="4" t="s">
        <v>47</v>
      </c>
      <c r="E1454" s="4" t="s">
        <v>25</v>
      </c>
      <c r="F1454" s="4" t="s">
        <v>25</v>
      </c>
      <c r="G1454" s="4" t="s">
        <v>25</v>
      </c>
      <c r="H1454" s="4" t="s">
        <v>38</v>
      </c>
      <c r="I1454" s="5">
        <v>44593</v>
      </c>
      <c r="J1454" s="6">
        <v>0</v>
      </c>
      <c r="K1454" s="6">
        <v>0</v>
      </c>
      <c r="L1454" s="6">
        <v>3.5000000000000003E-2</v>
      </c>
      <c r="M1454" s="6">
        <v>3.5000000000000003E-2</v>
      </c>
      <c r="N1454" s="6">
        <v>3.5000000000000003E-2</v>
      </c>
      <c r="O1454" s="6">
        <v>3.5000000000000003E-2</v>
      </c>
      <c r="P1454" s="6">
        <v>0</v>
      </c>
      <c r="Q1454" s="4" t="s">
        <v>26</v>
      </c>
      <c r="R1454" s="4">
        <v>0</v>
      </c>
      <c r="S1454" s="4" t="s">
        <v>369</v>
      </c>
      <c r="T1454" s="4" t="s">
        <v>639</v>
      </c>
      <c r="U1454" s="4">
        <v>0</v>
      </c>
      <c r="V1454" s="4">
        <v>50</v>
      </c>
      <c r="W1454" s="4">
        <v>94</v>
      </c>
    </row>
    <row r="1455" spans="1:23" ht="11.25" customHeight="1" x14ac:dyDescent="0.25">
      <c r="A1455" s="4" t="s">
        <v>28</v>
      </c>
      <c r="B1455" s="4" t="s">
        <v>46</v>
      </c>
      <c r="C1455" s="4" t="s">
        <v>35</v>
      </c>
      <c r="D1455" s="4" t="s">
        <v>47</v>
      </c>
      <c r="E1455" s="4" t="s">
        <v>25</v>
      </c>
      <c r="F1455" s="4" t="s">
        <v>25</v>
      </c>
      <c r="G1455" s="4" t="s">
        <v>25</v>
      </c>
      <c r="H1455" s="4" t="s">
        <v>38</v>
      </c>
      <c r="I1455" s="5">
        <v>44593</v>
      </c>
      <c r="J1455" s="6">
        <v>0</v>
      </c>
      <c r="K1455" s="6">
        <v>0</v>
      </c>
      <c r="L1455" s="6">
        <v>1.4999999999999999E-2</v>
      </c>
      <c r="M1455" s="6">
        <v>1.4999999999999999E-2</v>
      </c>
      <c r="N1455" s="6">
        <v>1.4999999999999999E-2</v>
      </c>
      <c r="O1455" s="6">
        <v>1.4999999999999999E-2</v>
      </c>
      <c r="P1455" s="6">
        <v>0</v>
      </c>
      <c r="Q1455" s="4" t="s">
        <v>26</v>
      </c>
      <c r="R1455" s="4">
        <v>0</v>
      </c>
      <c r="S1455" s="4" t="s">
        <v>369</v>
      </c>
      <c r="T1455" s="4" t="s">
        <v>639</v>
      </c>
      <c r="U1455" s="4">
        <v>0</v>
      </c>
      <c r="V1455" s="4">
        <v>50</v>
      </c>
      <c r="W1455" s="4">
        <v>94</v>
      </c>
    </row>
    <row r="1456" spans="1:23" ht="11.25" customHeight="1" x14ac:dyDescent="0.25">
      <c r="A1456" s="4" t="s">
        <v>21</v>
      </c>
      <c r="B1456" s="4" t="s">
        <v>46</v>
      </c>
      <c r="C1456" s="4" t="s">
        <v>35</v>
      </c>
      <c r="D1456" s="4" t="s">
        <v>47</v>
      </c>
      <c r="E1456" s="4" t="s">
        <v>25</v>
      </c>
      <c r="F1456" s="4" t="s">
        <v>25</v>
      </c>
      <c r="G1456" s="4" t="s">
        <v>25</v>
      </c>
      <c r="H1456" s="4" t="s">
        <v>38</v>
      </c>
      <c r="I1456" s="5">
        <v>44621</v>
      </c>
      <c r="J1456" s="6">
        <v>0</v>
      </c>
      <c r="K1456" s="6">
        <v>0</v>
      </c>
      <c r="L1456" s="6">
        <v>3.6999999999999998E-2</v>
      </c>
      <c r="M1456" s="6">
        <v>3.6999999999999998E-2</v>
      </c>
      <c r="N1456" s="6">
        <v>3.6999999999999998E-2</v>
      </c>
      <c r="O1456" s="6">
        <v>3.6999999999999998E-2</v>
      </c>
      <c r="P1456" s="6">
        <v>0</v>
      </c>
      <c r="Q1456" s="4" t="s">
        <v>26</v>
      </c>
      <c r="R1456" s="4">
        <v>0</v>
      </c>
      <c r="S1456" s="4" t="s">
        <v>370</v>
      </c>
      <c r="T1456" s="4" t="s">
        <v>640</v>
      </c>
      <c r="U1456" s="4">
        <v>0</v>
      </c>
      <c r="V1456" s="4">
        <v>50</v>
      </c>
      <c r="W1456" s="4">
        <v>94</v>
      </c>
    </row>
    <row r="1457" spans="1:23" ht="11.25" customHeight="1" x14ac:dyDescent="0.25">
      <c r="A1457" s="4" t="s">
        <v>21</v>
      </c>
      <c r="B1457" s="4" t="s">
        <v>46</v>
      </c>
      <c r="C1457" s="4" t="s">
        <v>35</v>
      </c>
      <c r="D1457" s="4" t="s">
        <v>47</v>
      </c>
      <c r="E1457" s="4" t="s">
        <v>25</v>
      </c>
      <c r="F1457" s="4" t="s">
        <v>25</v>
      </c>
      <c r="G1457" s="4" t="s">
        <v>25</v>
      </c>
      <c r="H1457" s="4" t="s">
        <v>38</v>
      </c>
      <c r="I1457" s="5">
        <v>44652</v>
      </c>
      <c r="J1457" s="6">
        <v>0</v>
      </c>
      <c r="K1457" s="6">
        <v>0</v>
      </c>
      <c r="L1457" s="6">
        <v>3.7999999999999999E-2</v>
      </c>
      <c r="M1457" s="6">
        <v>3.7999999999999999E-2</v>
      </c>
      <c r="N1457" s="6">
        <v>3.7999999999999999E-2</v>
      </c>
      <c r="O1457" s="6">
        <v>3.7999999999999999E-2</v>
      </c>
      <c r="P1457" s="6">
        <v>0</v>
      </c>
      <c r="Q1457" s="4" t="s">
        <v>26</v>
      </c>
      <c r="R1457" s="4">
        <v>0</v>
      </c>
      <c r="S1457" s="4" t="s">
        <v>371</v>
      </c>
      <c r="T1457" s="4" t="s">
        <v>641</v>
      </c>
      <c r="U1457" s="4">
        <v>0</v>
      </c>
      <c r="V1457" s="4">
        <v>50</v>
      </c>
      <c r="W1457" s="4">
        <v>94</v>
      </c>
    </row>
    <row r="1458" spans="1:23" ht="11.25" customHeight="1" x14ac:dyDescent="0.25">
      <c r="A1458" s="4" t="s">
        <v>21</v>
      </c>
      <c r="B1458" s="4" t="s">
        <v>46</v>
      </c>
      <c r="C1458" s="4" t="s">
        <v>35</v>
      </c>
      <c r="D1458" s="4" t="s">
        <v>47</v>
      </c>
      <c r="E1458" s="4" t="s">
        <v>25</v>
      </c>
      <c r="F1458" s="4" t="s">
        <v>25</v>
      </c>
      <c r="G1458" s="4" t="s">
        <v>25</v>
      </c>
      <c r="H1458" s="4" t="s">
        <v>38</v>
      </c>
      <c r="I1458" s="5">
        <v>44682</v>
      </c>
      <c r="J1458" s="6">
        <v>0</v>
      </c>
      <c r="K1458" s="6">
        <v>0</v>
      </c>
      <c r="L1458" s="6">
        <v>3.1E-2</v>
      </c>
      <c r="M1458" s="6">
        <v>3.1E-2</v>
      </c>
      <c r="N1458" s="6">
        <v>3.1E-2</v>
      </c>
      <c r="O1458" s="6">
        <v>3.1E-2</v>
      </c>
      <c r="P1458" s="6">
        <v>0</v>
      </c>
      <c r="Q1458" s="4" t="s">
        <v>26</v>
      </c>
      <c r="R1458" s="4">
        <v>0</v>
      </c>
      <c r="S1458" s="4" t="s">
        <v>372</v>
      </c>
      <c r="T1458" s="4" t="s">
        <v>642</v>
      </c>
      <c r="U1458" s="4">
        <v>0</v>
      </c>
      <c r="V1458" s="4">
        <v>50</v>
      </c>
      <c r="W1458" s="4">
        <v>94</v>
      </c>
    </row>
    <row r="1459" spans="1:23" ht="11.25" customHeight="1" x14ac:dyDescent="0.25">
      <c r="A1459" s="4" t="s">
        <v>21</v>
      </c>
      <c r="B1459" s="4" t="s">
        <v>46</v>
      </c>
      <c r="C1459" s="4" t="s">
        <v>35</v>
      </c>
      <c r="D1459" s="4" t="s">
        <v>47</v>
      </c>
      <c r="E1459" s="4" t="s">
        <v>25</v>
      </c>
      <c r="F1459" s="4" t="s">
        <v>25</v>
      </c>
      <c r="G1459" s="4" t="s">
        <v>25</v>
      </c>
      <c r="H1459" s="4" t="s">
        <v>38</v>
      </c>
      <c r="I1459" s="5">
        <v>44713</v>
      </c>
      <c r="J1459" s="6">
        <v>0</v>
      </c>
      <c r="K1459" s="6">
        <v>0</v>
      </c>
      <c r="L1459" s="6">
        <v>3.6999999999999998E-2</v>
      </c>
      <c r="M1459" s="6">
        <v>3.6999999999999998E-2</v>
      </c>
      <c r="N1459" s="6">
        <v>3.6999999999999998E-2</v>
      </c>
      <c r="O1459" s="6">
        <v>3.6999999999999998E-2</v>
      </c>
      <c r="P1459" s="6">
        <v>0</v>
      </c>
      <c r="Q1459" s="4" t="s">
        <v>26</v>
      </c>
      <c r="R1459" s="4">
        <v>0</v>
      </c>
      <c r="S1459" s="4" t="s">
        <v>373</v>
      </c>
      <c r="T1459" s="4" t="s">
        <v>643</v>
      </c>
      <c r="U1459" s="4">
        <v>0</v>
      </c>
      <c r="V1459" s="4">
        <v>50</v>
      </c>
      <c r="W1459" s="4">
        <v>94</v>
      </c>
    </row>
    <row r="1460" spans="1:23" ht="11.25" customHeight="1" x14ac:dyDescent="0.25">
      <c r="A1460" s="4" t="s">
        <v>21</v>
      </c>
      <c r="B1460" s="4" t="s">
        <v>46</v>
      </c>
      <c r="C1460" s="4" t="s">
        <v>35</v>
      </c>
      <c r="D1460" s="4" t="s">
        <v>47</v>
      </c>
      <c r="E1460" s="4" t="s">
        <v>25</v>
      </c>
      <c r="F1460" s="4" t="s">
        <v>25</v>
      </c>
      <c r="G1460" s="4" t="s">
        <v>25</v>
      </c>
      <c r="H1460" s="4" t="s">
        <v>38</v>
      </c>
      <c r="I1460" s="5">
        <v>44743</v>
      </c>
      <c r="J1460" s="6">
        <v>0</v>
      </c>
      <c r="K1460" s="6">
        <v>0</v>
      </c>
      <c r="L1460" s="6">
        <v>5.1999999999999998E-2</v>
      </c>
      <c r="M1460" s="6">
        <v>5.1999999999999998E-2</v>
      </c>
      <c r="N1460" s="6">
        <v>5.1999999999999998E-2</v>
      </c>
      <c r="O1460" s="6">
        <v>5.1999999999999998E-2</v>
      </c>
      <c r="P1460" s="6">
        <v>0</v>
      </c>
      <c r="Q1460" s="4" t="s">
        <v>26</v>
      </c>
      <c r="R1460" s="4">
        <v>0</v>
      </c>
      <c r="S1460" s="4" t="s">
        <v>374</v>
      </c>
      <c r="T1460" s="4" t="s">
        <v>644</v>
      </c>
      <c r="U1460" s="4">
        <v>0</v>
      </c>
      <c r="V1460" s="4">
        <v>50</v>
      </c>
      <c r="W1460" s="4">
        <v>94</v>
      </c>
    </row>
    <row r="1461" spans="1:23" ht="11.25" customHeight="1" x14ac:dyDescent="0.25">
      <c r="A1461" s="4" t="s">
        <v>21</v>
      </c>
      <c r="B1461" s="4" t="s">
        <v>46</v>
      </c>
      <c r="C1461" s="4" t="s">
        <v>35</v>
      </c>
      <c r="D1461" s="4" t="s">
        <v>47</v>
      </c>
      <c r="E1461" s="4" t="s">
        <v>25</v>
      </c>
      <c r="F1461" s="4" t="s">
        <v>25</v>
      </c>
      <c r="G1461" s="4" t="s">
        <v>25</v>
      </c>
      <c r="H1461" s="4" t="s">
        <v>38</v>
      </c>
      <c r="I1461" s="5">
        <v>44774</v>
      </c>
      <c r="J1461" s="6">
        <v>0</v>
      </c>
      <c r="K1461" s="6">
        <v>0</v>
      </c>
      <c r="L1461" s="6">
        <v>5.5E-2</v>
      </c>
      <c r="M1461" s="6">
        <v>5.5E-2</v>
      </c>
      <c r="N1461" s="6">
        <v>5.5E-2</v>
      </c>
      <c r="O1461" s="6">
        <v>5.5E-2</v>
      </c>
      <c r="P1461" s="6">
        <v>0</v>
      </c>
      <c r="Q1461" s="4" t="s">
        <v>26</v>
      </c>
      <c r="R1461" s="4">
        <v>0</v>
      </c>
      <c r="S1461" s="4" t="s">
        <v>375</v>
      </c>
      <c r="T1461" s="4" t="s">
        <v>645</v>
      </c>
      <c r="U1461" s="4">
        <v>0</v>
      </c>
      <c r="V1461" s="4">
        <v>50</v>
      </c>
      <c r="W1461" s="4">
        <v>94</v>
      </c>
    </row>
    <row r="1462" spans="1:23" ht="11.25" customHeight="1" x14ac:dyDescent="0.25">
      <c r="A1462" s="4" t="s">
        <v>21</v>
      </c>
      <c r="B1462" s="4" t="s">
        <v>46</v>
      </c>
      <c r="C1462" s="4" t="s">
        <v>35</v>
      </c>
      <c r="D1462" s="4" t="s">
        <v>47</v>
      </c>
      <c r="E1462" s="4" t="s">
        <v>25</v>
      </c>
      <c r="F1462" s="4" t="s">
        <v>25</v>
      </c>
      <c r="G1462" s="4" t="s">
        <v>25</v>
      </c>
      <c r="H1462" s="4" t="s">
        <v>38</v>
      </c>
      <c r="I1462" s="5">
        <v>44805</v>
      </c>
      <c r="J1462" s="6">
        <v>0</v>
      </c>
      <c r="K1462" s="6">
        <v>0</v>
      </c>
      <c r="L1462" s="6">
        <v>4.5999999999999999E-2</v>
      </c>
      <c r="M1462" s="6">
        <v>4.5999999999999999E-2</v>
      </c>
      <c r="N1462" s="6">
        <v>4.5999999999999999E-2</v>
      </c>
      <c r="O1462" s="6">
        <v>4.5999999999999999E-2</v>
      </c>
      <c r="P1462" s="6">
        <v>0</v>
      </c>
      <c r="Q1462" s="4" t="s">
        <v>26</v>
      </c>
      <c r="R1462" s="4">
        <v>0</v>
      </c>
      <c r="S1462" s="4" t="s">
        <v>376</v>
      </c>
      <c r="T1462" s="4" t="s">
        <v>646</v>
      </c>
      <c r="U1462" s="4">
        <v>0</v>
      </c>
      <c r="V1462" s="4">
        <v>50</v>
      </c>
      <c r="W1462" s="4">
        <v>94</v>
      </c>
    </row>
    <row r="1463" spans="1:23" ht="11.25" customHeight="1" x14ac:dyDescent="0.25">
      <c r="A1463" s="4" t="s">
        <v>21</v>
      </c>
      <c r="B1463" s="4" t="s">
        <v>46</v>
      </c>
      <c r="C1463" s="4" t="s">
        <v>35</v>
      </c>
      <c r="D1463" s="4" t="s">
        <v>47</v>
      </c>
      <c r="E1463" s="4" t="s">
        <v>25</v>
      </c>
      <c r="F1463" s="4" t="s">
        <v>25</v>
      </c>
      <c r="G1463" s="4" t="s">
        <v>25</v>
      </c>
      <c r="H1463" s="4" t="s">
        <v>38</v>
      </c>
      <c r="I1463" s="5">
        <v>44835</v>
      </c>
      <c r="J1463" s="6">
        <v>0</v>
      </c>
      <c r="K1463" s="6">
        <v>0</v>
      </c>
      <c r="L1463" s="6">
        <v>4.9000000000000002E-2</v>
      </c>
      <c r="M1463" s="6">
        <v>4.9000000000000002E-2</v>
      </c>
      <c r="N1463" s="6">
        <v>4.9000000000000002E-2</v>
      </c>
      <c r="O1463" s="6">
        <v>4.9000000000000002E-2</v>
      </c>
      <c r="P1463" s="6">
        <v>0</v>
      </c>
      <c r="Q1463" s="4" t="s">
        <v>26</v>
      </c>
      <c r="R1463" s="4">
        <v>0</v>
      </c>
      <c r="S1463" s="4" t="s">
        <v>377</v>
      </c>
      <c r="T1463" s="4" t="s">
        <v>647</v>
      </c>
      <c r="U1463" s="4">
        <v>0</v>
      </c>
      <c r="V1463" s="4">
        <v>50</v>
      </c>
      <c r="W1463" s="4">
        <v>94</v>
      </c>
    </row>
    <row r="1464" spans="1:23" ht="11.25" customHeight="1" x14ac:dyDescent="0.25">
      <c r="A1464" s="4" t="s">
        <v>59</v>
      </c>
      <c r="B1464" s="4" t="s">
        <v>46</v>
      </c>
      <c r="C1464" s="4" t="s">
        <v>35</v>
      </c>
      <c r="D1464" s="4" t="s">
        <v>47</v>
      </c>
      <c r="E1464" s="4" t="s">
        <v>25</v>
      </c>
      <c r="F1464" s="4" t="s">
        <v>25</v>
      </c>
      <c r="G1464" s="4" t="s">
        <v>25</v>
      </c>
      <c r="H1464" s="4" t="s">
        <v>38</v>
      </c>
      <c r="I1464" s="5">
        <v>44866</v>
      </c>
      <c r="J1464" s="6">
        <v>0</v>
      </c>
      <c r="K1464" s="6">
        <v>0</v>
      </c>
      <c r="L1464" s="6">
        <v>4.9000000000000002E-2</v>
      </c>
      <c r="M1464" s="6">
        <v>4.9000000000000002E-2</v>
      </c>
      <c r="N1464" s="6">
        <v>4.9000000000000002E-2</v>
      </c>
      <c r="O1464" s="6">
        <v>4.9000000000000002E-2</v>
      </c>
      <c r="P1464" s="6">
        <v>0</v>
      </c>
      <c r="Q1464" s="4" t="s">
        <v>26</v>
      </c>
      <c r="R1464" s="4">
        <v>0</v>
      </c>
      <c r="S1464" s="4" t="s">
        <v>378</v>
      </c>
      <c r="T1464" s="4" t="s">
        <v>648</v>
      </c>
      <c r="U1464" s="4">
        <v>0</v>
      </c>
      <c r="V1464" s="4">
        <v>50</v>
      </c>
      <c r="W1464" s="4">
        <v>94</v>
      </c>
    </row>
    <row r="1465" spans="1:23" ht="11.25" customHeight="1" x14ac:dyDescent="0.25">
      <c r="A1465" s="4" t="s">
        <v>21</v>
      </c>
      <c r="B1465" s="4" t="s">
        <v>46</v>
      </c>
      <c r="C1465" s="4" t="s">
        <v>35</v>
      </c>
      <c r="D1465" s="4" t="s">
        <v>47</v>
      </c>
      <c r="E1465" s="4" t="s">
        <v>25</v>
      </c>
      <c r="F1465" s="4" t="s">
        <v>25</v>
      </c>
      <c r="G1465" s="4" t="s">
        <v>25</v>
      </c>
      <c r="H1465" s="4" t="s">
        <v>36</v>
      </c>
      <c r="I1465" s="5">
        <v>44531</v>
      </c>
      <c r="J1465" s="6">
        <v>0</v>
      </c>
      <c r="K1465" s="6">
        <v>0</v>
      </c>
      <c r="L1465" s="6">
        <v>0.29199999999999998</v>
      </c>
      <c r="M1465" s="6">
        <v>0.29199999999999998</v>
      </c>
      <c r="N1465" s="6">
        <v>0.29199999999999998</v>
      </c>
      <c r="O1465" s="6">
        <v>0.29199999999999998</v>
      </c>
      <c r="P1465" s="6">
        <v>0</v>
      </c>
      <c r="Q1465" s="4" t="s">
        <v>26</v>
      </c>
      <c r="R1465" s="4">
        <v>0</v>
      </c>
      <c r="S1465" s="4" t="s">
        <v>379</v>
      </c>
      <c r="T1465" s="4" t="s">
        <v>649</v>
      </c>
      <c r="U1465" s="4">
        <v>0</v>
      </c>
      <c r="V1465" s="4">
        <v>49</v>
      </c>
      <c r="W1465" s="4">
        <v>93</v>
      </c>
    </row>
    <row r="1466" spans="1:23" ht="11.25" customHeight="1" x14ac:dyDescent="0.25">
      <c r="A1466" s="4" t="s">
        <v>28</v>
      </c>
      <c r="B1466" s="4" t="s">
        <v>46</v>
      </c>
      <c r="C1466" s="4" t="s">
        <v>35</v>
      </c>
      <c r="D1466" s="4" t="s">
        <v>47</v>
      </c>
      <c r="E1466" s="4" t="s">
        <v>25</v>
      </c>
      <c r="F1466" s="4" t="s">
        <v>25</v>
      </c>
      <c r="G1466" s="4" t="s">
        <v>25</v>
      </c>
      <c r="H1466" s="4" t="s">
        <v>36</v>
      </c>
      <c r="I1466" s="5">
        <v>44531</v>
      </c>
      <c r="J1466" s="6">
        <v>0</v>
      </c>
      <c r="K1466" s="6">
        <v>0</v>
      </c>
      <c r="L1466" s="6">
        <v>1E-3</v>
      </c>
      <c r="M1466" s="6">
        <v>1E-3</v>
      </c>
      <c r="N1466" s="6">
        <v>1E-3</v>
      </c>
      <c r="O1466" s="6">
        <v>1E-3</v>
      </c>
      <c r="P1466" s="6">
        <v>0</v>
      </c>
      <c r="Q1466" s="4" t="s">
        <v>26</v>
      </c>
      <c r="R1466" s="4">
        <v>0</v>
      </c>
      <c r="S1466" s="4" t="s">
        <v>379</v>
      </c>
      <c r="T1466" s="4" t="s">
        <v>649</v>
      </c>
      <c r="U1466" s="4">
        <v>0</v>
      </c>
      <c r="V1466" s="4">
        <v>49</v>
      </c>
      <c r="W1466" s="4">
        <v>93</v>
      </c>
    </row>
    <row r="1467" spans="1:23" ht="11.25" customHeight="1" x14ac:dyDescent="0.25">
      <c r="A1467" s="4" t="s">
        <v>21</v>
      </c>
      <c r="B1467" s="4" t="s">
        <v>46</v>
      </c>
      <c r="C1467" s="4" t="s">
        <v>35</v>
      </c>
      <c r="D1467" s="4" t="s">
        <v>47</v>
      </c>
      <c r="E1467" s="4" t="s">
        <v>25</v>
      </c>
      <c r="F1467" s="4" t="s">
        <v>25</v>
      </c>
      <c r="G1467" s="4" t="s">
        <v>25</v>
      </c>
      <c r="H1467" s="4" t="s">
        <v>36</v>
      </c>
      <c r="I1467" s="5">
        <v>44562</v>
      </c>
      <c r="J1467" s="6">
        <v>0</v>
      </c>
      <c r="K1467" s="6">
        <v>0</v>
      </c>
      <c r="L1467" s="6">
        <v>0.29599999999999999</v>
      </c>
      <c r="M1467" s="6">
        <v>0.29599999999999999</v>
      </c>
      <c r="N1467" s="6">
        <v>0.29599999999999999</v>
      </c>
      <c r="O1467" s="6">
        <v>0.29599999999999999</v>
      </c>
      <c r="P1467" s="6">
        <v>0</v>
      </c>
      <c r="Q1467" s="4" t="s">
        <v>26</v>
      </c>
      <c r="R1467" s="4">
        <v>0</v>
      </c>
      <c r="S1467" s="4" t="s">
        <v>380</v>
      </c>
      <c r="T1467" s="4" t="s">
        <v>650</v>
      </c>
      <c r="U1467" s="4">
        <v>0</v>
      </c>
      <c r="V1467" s="4">
        <v>49</v>
      </c>
      <c r="W1467" s="4">
        <v>93</v>
      </c>
    </row>
    <row r="1468" spans="1:23" ht="11.25" customHeight="1" x14ac:dyDescent="0.25">
      <c r="A1468" s="4" t="s">
        <v>28</v>
      </c>
      <c r="B1468" s="4" t="s">
        <v>46</v>
      </c>
      <c r="C1468" s="4" t="s">
        <v>35</v>
      </c>
      <c r="D1468" s="4" t="s">
        <v>47</v>
      </c>
      <c r="E1468" s="4" t="s">
        <v>25</v>
      </c>
      <c r="F1468" s="4" t="s">
        <v>25</v>
      </c>
      <c r="G1468" s="4" t="s">
        <v>25</v>
      </c>
      <c r="H1468" s="4" t="s">
        <v>36</v>
      </c>
      <c r="I1468" s="5">
        <v>44562</v>
      </c>
      <c r="J1468" s="6">
        <v>0</v>
      </c>
      <c r="K1468" s="6">
        <v>0</v>
      </c>
      <c r="L1468" s="6">
        <v>1.2999999999999999E-2</v>
      </c>
      <c r="M1468" s="6">
        <v>1.2999999999999999E-2</v>
      </c>
      <c r="N1468" s="6">
        <v>1.2999999999999999E-2</v>
      </c>
      <c r="O1468" s="6">
        <v>1.2999999999999999E-2</v>
      </c>
      <c r="P1468" s="6">
        <v>0</v>
      </c>
      <c r="Q1468" s="4" t="s">
        <v>26</v>
      </c>
      <c r="R1468" s="4">
        <v>0</v>
      </c>
      <c r="S1468" s="4" t="s">
        <v>380</v>
      </c>
      <c r="T1468" s="4" t="s">
        <v>650</v>
      </c>
      <c r="U1468" s="4">
        <v>0</v>
      </c>
      <c r="V1468" s="4">
        <v>49</v>
      </c>
      <c r="W1468" s="4">
        <v>93</v>
      </c>
    </row>
    <row r="1469" spans="1:23" ht="11.25" customHeight="1" x14ac:dyDescent="0.25">
      <c r="A1469" s="4" t="s">
        <v>21</v>
      </c>
      <c r="B1469" s="4" t="s">
        <v>46</v>
      </c>
      <c r="C1469" s="4" t="s">
        <v>35</v>
      </c>
      <c r="D1469" s="4" t="s">
        <v>47</v>
      </c>
      <c r="E1469" s="4" t="s">
        <v>25</v>
      </c>
      <c r="F1469" s="4" t="s">
        <v>25</v>
      </c>
      <c r="G1469" s="4" t="s">
        <v>25</v>
      </c>
      <c r="H1469" s="4" t="s">
        <v>36</v>
      </c>
      <c r="I1469" s="5">
        <v>44593</v>
      </c>
      <c r="J1469" s="6">
        <v>0</v>
      </c>
      <c r="K1469" s="6">
        <v>0</v>
      </c>
      <c r="L1469" s="6">
        <v>0.315</v>
      </c>
      <c r="M1469" s="6">
        <v>0.315</v>
      </c>
      <c r="N1469" s="6">
        <v>0.315</v>
      </c>
      <c r="O1469" s="6">
        <v>0.315</v>
      </c>
      <c r="P1469" s="6">
        <v>0</v>
      </c>
      <c r="Q1469" s="4" t="s">
        <v>26</v>
      </c>
      <c r="R1469" s="4">
        <v>0</v>
      </c>
      <c r="S1469" s="4" t="s">
        <v>381</v>
      </c>
      <c r="T1469" s="4" t="s">
        <v>651</v>
      </c>
      <c r="U1469" s="4">
        <v>0</v>
      </c>
      <c r="V1469" s="4">
        <v>49</v>
      </c>
      <c r="W1469" s="4">
        <v>93</v>
      </c>
    </row>
    <row r="1470" spans="1:23" ht="11.25" customHeight="1" x14ac:dyDescent="0.25">
      <c r="A1470" s="4" t="s">
        <v>28</v>
      </c>
      <c r="B1470" s="4" t="s">
        <v>46</v>
      </c>
      <c r="C1470" s="4" t="s">
        <v>35</v>
      </c>
      <c r="D1470" s="4" t="s">
        <v>47</v>
      </c>
      <c r="E1470" s="4" t="s">
        <v>25</v>
      </c>
      <c r="F1470" s="4" t="s">
        <v>25</v>
      </c>
      <c r="G1470" s="4" t="s">
        <v>25</v>
      </c>
      <c r="H1470" s="4" t="s">
        <v>36</v>
      </c>
      <c r="I1470" s="5">
        <v>44593</v>
      </c>
      <c r="J1470" s="6">
        <v>0</v>
      </c>
      <c r="K1470" s="6">
        <v>0</v>
      </c>
      <c r="L1470" s="6">
        <v>1.7999999999999999E-2</v>
      </c>
      <c r="M1470" s="6">
        <v>1.7999999999999999E-2</v>
      </c>
      <c r="N1470" s="6">
        <v>1.7999999999999999E-2</v>
      </c>
      <c r="O1470" s="6">
        <v>1.7999999999999999E-2</v>
      </c>
      <c r="P1470" s="6">
        <v>0</v>
      </c>
      <c r="Q1470" s="4" t="s">
        <v>26</v>
      </c>
      <c r="R1470" s="4">
        <v>0</v>
      </c>
      <c r="S1470" s="4" t="s">
        <v>381</v>
      </c>
      <c r="T1470" s="4" t="s">
        <v>651</v>
      </c>
      <c r="U1470" s="4">
        <v>0</v>
      </c>
      <c r="V1470" s="4">
        <v>49</v>
      </c>
      <c r="W1470" s="4">
        <v>93</v>
      </c>
    </row>
    <row r="1471" spans="1:23" ht="11.25" customHeight="1" x14ac:dyDescent="0.25">
      <c r="A1471" s="4" t="s">
        <v>21</v>
      </c>
      <c r="B1471" s="4" t="s">
        <v>46</v>
      </c>
      <c r="C1471" s="4" t="s">
        <v>35</v>
      </c>
      <c r="D1471" s="4" t="s">
        <v>47</v>
      </c>
      <c r="E1471" s="4" t="s">
        <v>25</v>
      </c>
      <c r="F1471" s="4" t="s">
        <v>25</v>
      </c>
      <c r="G1471" s="4" t="s">
        <v>25</v>
      </c>
      <c r="H1471" s="4" t="s">
        <v>36</v>
      </c>
      <c r="I1471" s="5">
        <v>44621</v>
      </c>
      <c r="J1471" s="6">
        <v>0</v>
      </c>
      <c r="K1471" s="6">
        <v>0</v>
      </c>
      <c r="L1471" s="6">
        <v>0.23400000000000001</v>
      </c>
      <c r="M1471" s="6">
        <v>0.23400000000000001</v>
      </c>
      <c r="N1471" s="6">
        <v>0.23400000000000001</v>
      </c>
      <c r="O1471" s="6">
        <v>0.23400000000000001</v>
      </c>
      <c r="P1471" s="6">
        <v>0</v>
      </c>
      <c r="Q1471" s="4" t="s">
        <v>26</v>
      </c>
      <c r="R1471" s="4">
        <v>0</v>
      </c>
      <c r="S1471" s="4" t="s">
        <v>382</v>
      </c>
      <c r="T1471" s="4" t="s">
        <v>652</v>
      </c>
      <c r="U1471" s="4">
        <v>0</v>
      </c>
      <c r="V1471" s="4">
        <v>49</v>
      </c>
      <c r="W1471" s="4">
        <v>93</v>
      </c>
    </row>
    <row r="1472" spans="1:23" ht="11.25" customHeight="1" x14ac:dyDescent="0.25">
      <c r="A1472" s="4" t="s">
        <v>21</v>
      </c>
      <c r="B1472" s="4" t="s">
        <v>46</v>
      </c>
      <c r="C1472" s="4" t="s">
        <v>35</v>
      </c>
      <c r="D1472" s="4" t="s">
        <v>47</v>
      </c>
      <c r="E1472" s="4" t="s">
        <v>25</v>
      </c>
      <c r="F1472" s="4" t="s">
        <v>25</v>
      </c>
      <c r="G1472" s="4" t="s">
        <v>25</v>
      </c>
      <c r="H1472" s="4" t="s">
        <v>36</v>
      </c>
      <c r="I1472" s="5">
        <v>44652</v>
      </c>
      <c r="J1472" s="6">
        <v>0</v>
      </c>
      <c r="K1472" s="6">
        <v>0</v>
      </c>
      <c r="L1472" s="6">
        <v>0.26700000000000002</v>
      </c>
      <c r="M1472" s="6">
        <v>0.26700000000000002</v>
      </c>
      <c r="N1472" s="6">
        <v>0.26700000000000002</v>
      </c>
      <c r="O1472" s="6">
        <v>0.26700000000000002</v>
      </c>
      <c r="P1472" s="6">
        <v>0</v>
      </c>
      <c r="Q1472" s="4" t="s">
        <v>26</v>
      </c>
      <c r="R1472" s="4">
        <v>0</v>
      </c>
      <c r="S1472" s="4" t="s">
        <v>383</v>
      </c>
      <c r="T1472" s="4" t="s">
        <v>653</v>
      </c>
      <c r="U1472" s="4">
        <v>0</v>
      </c>
      <c r="V1472" s="4">
        <v>49</v>
      </c>
      <c r="W1472" s="4">
        <v>93</v>
      </c>
    </row>
    <row r="1473" spans="1:23" ht="11.25" customHeight="1" x14ac:dyDescent="0.25">
      <c r="A1473" s="4" t="s">
        <v>21</v>
      </c>
      <c r="B1473" s="4" t="s">
        <v>46</v>
      </c>
      <c r="C1473" s="4" t="s">
        <v>35</v>
      </c>
      <c r="D1473" s="4" t="s">
        <v>47</v>
      </c>
      <c r="E1473" s="4" t="s">
        <v>25</v>
      </c>
      <c r="F1473" s="4" t="s">
        <v>25</v>
      </c>
      <c r="G1473" s="4" t="s">
        <v>25</v>
      </c>
      <c r="H1473" s="4" t="s">
        <v>36</v>
      </c>
      <c r="I1473" s="5">
        <v>44682</v>
      </c>
      <c r="J1473" s="6">
        <v>0</v>
      </c>
      <c r="K1473" s="6">
        <v>0</v>
      </c>
      <c r="L1473" s="6">
        <v>0.34200000000000003</v>
      </c>
      <c r="M1473" s="6">
        <v>0.34200000000000003</v>
      </c>
      <c r="N1473" s="6">
        <v>0.34200000000000003</v>
      </c>
      <c r="O1473" s="6">
        <v>0.34200000000000003</v>
      </c>
      <c r="P1473" s="6">
        <v>0</v>
      </c>
      <c r="Q1473" s="4" t="s">
        <v>26</v>
      </c>
      <c r="R1473" s="4">
        <v>0</v>
      </c>
      <c r="S1473" s="4" t="s">
        <v>384</v>
      </c>
      <c r="T1473" s="4" t="s">
        <v>654</v>
      </c>
      <c r="U1473" s="4">
        <v>0</v>
      </c>
      <c r="V1473" s="4">
        <v>49</v>
      </c>
      <c r="W1473" s="4">
        <v>93</v>
      </c>
    </row>
    <row r="1474" spans="1:23" ht="11.25" customHeight="1" x14ac:dyDescent="0.25">
      <c r="A1474" s="4" t="s">
        <v>21</v>
      </c>
      <c r="B1474" s="4" t="s">
        <v>46</v>
      </c>
      <c r="C1474" s="4" t="s">
        <v>35</v>
      </c>
      <c r="D1474" s="4" t="s">
        <v>47</v>
      </c>
      <c r="E1474" s="4" t="s">
        <v>25</v>
      </c>
      <c r="F1474" s="4" t="s">
        <v>25</v>
      </c>
      <c r="G1474" s="4" t="s">
        <v>25</v>
      </c>
      <c r="H1474" s="4" t="s">
        <v>36</v>
      </c>
      <c r="I1474" s="5">
        <v>44713</v>
      </c>
      <c r="J1474" s="6">
        <v>0</v>
      </c>
      <c r="K1474" s="6">
        <v>0</v>
      </c>
      <c r="L1474" s="6">
        <v>0.26200000000000001</v>
      </c>
      <c r="M1474" s="6">
        <v>0.26200000000000001</v>
      </c>
      <c r="N1474" s="6">
        <v>0.26200000000000001</v>
      </c>
      <c r="O1474" s="6">
        <v>0.26200000000000001</v>
      </c>
      <c r="P1474" s="6">
        <v>0</v>
      </c>
      <c r="Q1474" s="4" t="s">
        <v>26</v>
      </c>
      <c r="R1474" s="4">
        <v>0</v>
      </c>
      <c r="S1474" s="4" t="s">
        <v>385</v>
      </c>
      <c r="T1474" s="4" t="s">
        <v>655</v>
      </c>
      <c r="U1474" s="4">
        <v>0</v>
      </c>
      <c r="V1474" s="4">
        <v>49</v>
      </c>
      <c r="W1474" s="4">
        <v>93</v>
      </c>
    </row>
    <row r="1475" spans="1:23" ht="11.25" customHeight="1" x14ac:dyDescent="0.25">
      <c r="A1475" s="4" t="s">
        <v>21</v>
      </c>
      <c r="B1475" s="4" t="s">
        <v>46</v>
      </c>
      <c r="C1475" s="4" t="s">
        <v>35</v>
      </c>
      <c r="D1475" s="4" t="s">
        <v>47</v>
      </c>
      <c r="E1475" s="4" t="s">
        <v>25</v>
      </c>
      <c r="F1475" s="4" t="s">
        <v>25</v>
      </c>
      <c r="G1475" s="4" t="s">
        <v>25</v>
      </c>
      <c r="H1475" s="4" t="s">
        <v>36</v>
      </c>
      <c r="I1475" s="5">
        <v>44743</v>
      </c>
      <c r="J1475" s="6">
        <v>0</v>
      </c>
      <c r="K1475" s="6">
        <v>0</v>
      </c>
      <c r="L1475" s="6">
        <v>0.24</v>
      </c>
      <c r="M1475" s="6">
        <v>0.24</v>
      </c>
      <c r="N1475" s="6">
        <v>0.24</v>
      </c>
      <c r="O1475" s="6">
        <v>0.24</v>
      </c>
      <c r="P1475" s="6">
        <v>0</v>
      </c>
      <c r="Q1475" s="4" t="s">
        <v>26</v>
      </c>
      <c r="R1475" s="4">
        <v>0</v>
      </c>
      <c r="S1475" s="4" t="s">
        <v>386</v>
      </c>
      <c r="T1475" s="4" t="s">
        <v>656</v>
      </c>
      <c r="U1475" s="4">
        <v>0</v>
      </c>
      <c r="V1475" s="4">
        <v>49</v>
      </c>
      <c r="W1475" s="4">
        <v>93</v>
      </c>
    </row>
    <row r="1476" spans="1:23" ht="11.25" customHeight="1" x14ac:dyDescent="0.25">
      <c r="A1476" s="4" t="s">
        <v>21</v>
      </c>
      <c r="B1476" s="4" t="s">
        <v>46</v>
      </c>
      <c r="C1476" s="4" t="s">
        <v>35</v>
      </c>
      <c r="D1476" s="4" t="s">
        <v>47</v>
      </c>
      <c r="E1476" s="4" t="s">
        <v>25</v>
      </c>
      <c r="F1476" s="4" t="s">
        <v>25</v>
      </c>
      <c r="G1476" s="4" t="s">
        <v>25</v>
      </c>
      <c r="H1476" s="4" t="s">
        <v>36</v>
      </c>
      <c r="I1476" s="5">
        <v>44774</v>
      </c>
      <c r="J1476" s="6">
        <v>0</v>
      </c>
      <c r="K1476" s="6">
        <v>0</v>
      </c>
      <c r="L1476" s="6">
        <v>0.29899999999999999</v>
      </c>
      <c r="M1476" s="6">
        <v>0.29899999999999999</v>
      </c>
      <c r="N1476" s="6">
        <v>0.29899999999999999</v>
      </c>
      <c r="O1476" s="6">
        <v>0.29899999999999999</v>
      </c>
      <c r="P1476" s="6">
        <v>0</v>
      </c>
      <c r="Q1476" s="4" t="s">
        <v>26</v>
      </c>
      <c r="R1476" s="4">
        <v>0</v>
      </c>
      <c r="S1476" s="4" t="s">
        <v>387</v>
      </c>
      <c r="T1476" s="4" t="s">
        <v>657</v>
      </c>
      <c r="U1476" s="4">
        <v>0</v>
      </c>
      <c r="V1476" s="4">
        <v>49</v>
      </c>
      <c r="W1476" s="4">
        <v>93</v>
      </c>
    </row>
    <row r="1477" spans="1:23" ht="11.25" customHeight="1" x14ac:dyDescent="0.25">
      <c r="A1477" s="4" t="s">
        <v>21</v>
      </c>
      <c r="B1477" s="4" t="s">
        <v>46</v>
      </c>
      <c r="C1477" s="4" t="s">
        <v>35</v>
      </c>
      <c r="D1477" s="4" t="s">
        <v>47</v>
      </c>
      <c r="E1477" s="4" t="s">
        <v>25</v>
      </c>
      <c r="F1477" s="4" t="s">
        <v>25</v>
      </c>
      <c r="G1477" s="4" t="s">
        <v>25</v>
      </c>
      <c r="H1477" s="4" t="s">
        <v>36</v>
      </c>
      <c r="I1477" s="5">
        <v>44805</v>
      </c>
      <c r="J1477" s="6">
        <v>0</v>
      </c>
      <c r="K1477" s="6">
        <v>0</v>
      </c>
      <c r="L1477" s="6">
        <v>0.23599999999999999</v>
      </c>
      <c r="M1477" s="6">
        <v>0.23599999999999999</v>
      </c>
      <c r="N1477" s="6">
        <v>0.23599999999999999</v>
      </c>
      <c r="O1477" s="6">
        <v>0.23599999999999999</v>
      </c>
      <c r="P1477" s="6">
        <v>0</v>
      </c>
      <c r="Q1477" s="4" t="s">
        <v>26</v>
      </c>
      <c r="R1477" s="4">
        <v>0</v>
      </c>
      <c r="S1477" s="4" t="s">
        <v>388</v>
      </c>
      <c r="T1477" s="4" t="s">
        <v>658</v>
      </c>
      <c r="U1477" s="4">
        <v>0</v>
      </c>
      <c r="V1477" s="4">
        <v>49</v>
      </c>
      <c r="W1477" s="4">
        <v>93</v>
      </c>
    </row>
    <row r="1478" spans="1:23" ht="11.25" customHeight="1" x14ac:dyDescent="0.25">
      <c r="A1478" s="4" t="s">
        <v>21</v>
      </c>
      <c r="B1478" s="4" t="s">
        <v>46</v>
      </c>
      <c r="C1478" s="4" t="s">
        <v>35</v>
      </c>
      <c r="D1478" s="4" t="s">
        <v>47</v>
      </c>
      <c r="E1478" s="4" t="s">
        <v>25</v>
      </c>
      <c r="F1478" s="4" t="s">
        <v>25</v>
      </c>
      <c r="G1478" s="4" t="s">
        <v>25</v>
      </c>
      <c r="H1478" s="4" t="s">
        <v>36</v>
      </c>
      <c r="I1478" s="5">
        <v>44835</v>
      </c>
      <c r="J1478" s="6">
        <v>0</v>
      </c>
      <c r="K1478" s="6">
        <v>0</v>
      </c>
      <c r="L1478" s="6">
        <v>0.309</v>
      </c>
      <c r="M1478" s="6">
        <v>0.309</v>
      </c>
      <c r="N1478" s="6">
        <v>0.309</v>
      </c>
      <c r="O1478" s="6">
        <v>0.309</v>
      </c>
      <c r="P1478" s="6">
        <v>0</v>
      </c>
      <c r="Q1478" s="4" t="s">
        <v>26</v>
      </c>
      <c r="R1478" s="4">
        <v>0</v>
      </c>
      <c r="S1478" s="4" t="s">
        <v>389</v>
      </c>
      <c r="T1478" s="4" t="s">
        <v>659</v>
      </c>
      <c r="U1478" s="4">
        <v>0</v>
      </c>
      <c r="V1478" s="4">
        <v>49</v>
      </c>
      <c r="W1478" s="4">
        <v>93</v>
      </c>
    </row>
    <row r="1479" spans="1:23" ht="11.25" customHeight="1" x14ac:dyDescent="0.25">
      <c r="A1479" s="4" t="s">
        <v>59</v>
      </c>
      <c r="B1479" s="4" t="s">
        <v>46</v>
      </c>
      <c r="C1479" s="4" t="s">
        <v>35</v>
      </c>
      <c r="D1479" s="4" t="s">
        <v>47</v>
      </c>
      <c r="E1479" s="4" t="s">
        <v>25</v>
      </c>
      <c r="F1479" s="4" t="s">
        <v>25</v>
      </c>
      <c r="G1479" s="4" t="s">
        <v>25</v>
      </c>
      <c r="H1479" s="4" t="s">
        <v>36</v>
      </c>
      <c r="I1479" s="5">
        <v>44866</v>
      </c>
      <c r="J1479" s="6">
        <v>0</v>
      </c>
      <c r="K1479" s="6">
        <v>0</v>
      </c>
      <c r="L1479" s="6">
        <v>0.309</v>
      </c>
      <c r="M1479" s="6">
        <v>0.309</v>
      </c>
      <c r="N1479" s="6">
        <v>0.309</v>
      </c>
      <c r="O1479" s="6">
        <v>0.309</v>
      </c>
      <c r="P1479" s="6">
        <v>0</v>
      </c>
      <c r="Q1479" s="4" t="s">
        <v>26</v>
      </c>
      <c r="R1479" s="4">
        <v>0</v>
      </c>
      <c r="S1479" s="4" t="s">
        <v>390</v>
      </c>
      <c r="T1479" s="4" t="s">
        <v>660</v>
      </c>
      <c r="U1479" s="4">
        <v>0</v>
      </c>
      <c r="V1479" s="4">
        <v>49</v>
      </c>
      <c r="W1479" s="4">
        <v>93</v>
      </c>
    </row>
    <row r="1480" spans="1:23" ht="11.25" customHeight="1" x14ac:dyDescent="0.25">
      <c r="A1480" s="4" t="s">
        <v>21</v>
      </c>
      <c r="B1480" s="4" t="s">
        <v>46</v>
      </c>
      <c r="C1480" s="4" t="s">
        <v>23</v>
      </c>
      <c r="D1480" s="4" t="s">
        <v>47</v>
      </c>
      <c r="E1480" s="4" t="s">
        <v>55</v>
      </c>
      <c r="F1480" s="4" t="s">
        <v>56</v>
      </c>
      <c r="G1480" s="4" t="s">
        <v>25</v>
      </c>
      <c r="H1480" s="4" t="s">
        <v>25</v>
      </c>
      <c r="I1480" s="5">
        <v>44531</v>
      </c>
      <c r="J1480" s="6">
        <v>0</v>
      </c>
      <c r="K1480" s="6">
        <v>0</v>
      </c>
      <c r="L1480" s="6">
        <v>3.9769999999999999</v>
      </c>
      <c r="M1480" s="6">
        <v>3.9769999999999999</v>
      </c>
      <c r="N1480" s="6">
        <v>3.9769999999999999</v>
      </c>
      <c r="O1480" s="6">
        <v>3.9769999999999999</v>
      </c>
      <c r="P1480" s="6">
        <v>0</v>
      </c>
      <c r="Q1480" s="4" t="s">
        <v>26</v>
      </c>
      <c r="R1480" s="4">
        <v>0</v>
      </c>
      <c r="S1480" s="4" t="s">
        <v>391</v>
      </c>
      <c r="T1480" s="4" t="s">
        <v>661</v>
      </c>
      <c r="U1480" s="4">
        <v>0</v>
      </c>
      <c r="V1480" s="4">
        <v>52</v>
      </c>
      <c r="W1480" s="4">
        <v>96</v>
      </c>
    </row>
    <row r="1481" spans="1:23" ht="11.25" customHeight="1" x14ac:dyDescent="0.25">
      <c r="A1481" s="4" t="s">
        <v>28</v>
      </c>
      <c r="B1481" s="4" t="s">
        <v>46</v>
      </c>
      <c r="C1481" s="4" t="s">
        <v>23</v>
      </c>
      <c r="D1481" s="4" t="s">
        <v>47</v>
      </c>
      <c r="E1481" s="4" t="s">
        <v>55</v>
      </c>
      <c r="F1481" s="4" t="s">
        <v>56</v>
      </c>
      <c r="G1481" s="4" t="s">
        <v>25</v>
      </c>
      <c r="H1481" s="4" t="s">
        <v>25</v>
      </c>
      <c r="I1481" s="5">
        <v>44531</v>
      </c>
      <c r="J1481" s="6">
        <v>0</v>
      </c>
      <c r="K1481" s="6">
        <v>0</v>
      </c>
      <c r="L1481" s="6">
        <v>6.8330000000000002</v>
      </c>
      <c r="M1481" s="6">
        <v>6.8330000000000002</v>
      </c>
      <c r="N1481" s="6">
        <v>6.8330000000000002</v>
      </c>
      <c r="O1481" s="6">
        <v>6.8330000000000002</v>
      </c>
      <c r="P1481" s="6">
        <v>0</v>
      </c>
      <c r="Q1481" s="4" t="s">
        <v>26</v>
      </c>
      <c r="R1481" s="4">
        <v>0</v>
      </c>
      <c r="S1481" s="4" t="s">
        <v>391</v>
      </c>
      <c r="T1481" s="4" t="s">
        <v>661</v>
      </c>
      <c r="U1481" s="4">
        <v>0</v>
      </c>
      <c r="V1481" s="4">
        <v>52</v>
      </c>
      <c r="W1481" s="4">
        <v>96</v>
      </c>
    </row>
    <row r="1482" spans="1:23" ht="11.25" customHeight="1" x14ac:dyDescent="0.25">
      <c r="A1482" s="4" t="s">
        <v>29</v>
      </c>
      <c r="B1482" s="4" t="s">
        <v>46</v>
      </c>
      <c r="C1482" s="4" t="s">
        <v>23</v>
      </c>
      <c r="D1482" s="4" t="s">
        <v>47</v>
      </c>
      <c r="E1482" s="4" t="s">
        <v>55</v>
      </c>
      <c r="F1482" s="4" t="s">
        <v>56</v>
      </c>
      <c r="G1482" s="4" t="s">
        <v>25</v>
      </c>
      <c r="H1482" s="4" t="s">
        <v>25</v>
      </c>
      <c r="I1482" s="5">
        <v>44531</v>
      </c>
      <c r="J1482" s="6">
        <v>0</v>
      </c>
      <c r="K1482" s="6">
        <v>0</v>
      </c>
      <c r="L1482" s="6">
        <v>0.05</v>
      </c>
      <c r="M1482" s="6">
        <v>0.05</v>
      </c>
      <c r="N1482" s="6">
        <v>0.05</v>
      </c>
      <c r="O1482" s="6">
        <v>0.05</v>
      </c>
      <c r="P1482" s="6">
        <v>0</v>
      </c>
      <c r="Q1482" s="4" t="s">
        <v>26</v>
      </c>
      <c r="R1482" s="4">
        <v>0</v>
      </c>
      <c r="S1482" s="4" t="s">
        <v>391</v>
      </c>
      <c r="T1482" s="4" t="s">
        <v>661</v>
      </c>
      <c r="U1482" s="4">
        <v>0</v>
      </c>
      <c r="V1482" s="4">
        <v>52</v>
      </c>
      <c r="W1482" s="4">
        <v>96</v>
      </c>
    </row>
    <row r="1483" spans="1:23" ht="11.25" customHeight="1" x14ac:dyDescent="0.25">
      <c r="A1483" s="4" t="s">
        <v>21</v>
      </c>
      <c r="B1483" s="4" t="s">
        <v>46</v>
      </c>
      <c r="C1483" s="4" t="s">
        <v>23</v>
      </c>
      <c r="D1483" s="4" t="s">
        <v>47</v>
      </c>
      <c r="E1483" s="4" t="s">
        <v>55</v>
      </c>
      <c r="F1483" s="4" t="s">
        <v>56</v>
      </c>
      <c r="G1483" s="4" t="s">
        <v>25</v>
      </c>
      <c r="H1483" s="4" t="s">
        <v>25</v>
      </c>
      <c r="I1483" s="5">
        <v>44562</v>
      </c>
      <c r="J1483" s="6">
        <v>0</v>
      </c>
      <c r="K1483" s="6">
        <v>0</v>
      </c>
      <c r="L1483" s="6">
        <v>3.988</v>
      </c>
      <c r="M1483" s="6">
        <v>3.988</v>
      </c>
      <c r="N1483" s="6">
        <v>3.988</v>
      </c>
      <c r="O1483" s="6">
        <v>3.988</v>
      </c>
      <c r="P1483" s="6">
        <v>0</v>
      </c>
      <c r="Q1483" s="4" t="s">
        <v>26</v>
      </c>
      <c r="R1483" s="4">
        <v>0</v>
      </c>
      <c r="S1483" s="4" t="s">
        <v>392</v>
      </c>
      <c r="T1483" s="4" t="s">
        <v>662</v>
      </c>
      <c r="U1483" s="4">
        <v>0</v>
      </c>
      <c r="V1483" s="4">
        <v>52</v>
      </c>
      <c r="W1483" s="4">
        <v>96</v>
      </c>
    </row>
    <row r="1484" spans="1:23" ht="11.25" customHeight="1" x14ac:dyDescent="0.25">
      <c r="A1484" s="4" t="s">
        <v>28</v>
      </c>
      <c r="B1484" s="4" t="s">
        <v>46</v>
      </c>
      <c r="C1484" s="4" t="s">
        <v>23</v>
      </c>
      <c r="D1484" s="4" t="s">
        <v>47</v>
      </c>
      <c r="E1484" s="4" t="s">
        <v>55</v>
      </c>
      <c r="F1484" s="4" t="s">
        <v>56</v>
      </c>
      <c r="G1484" s="4" t="s">
        <v>25</v>
      </c>
      <c r="H1484" s="4" t="s">
        <v>25</v>
      </c>
      <c r="I1484" s="5">
        <v>44562</v>
      </c>
      <c r="J1484" s="6">
        <v>0</v>
      </c>
      <c r="K1484" s="6">
        <v>0</v>
      </c>
      <c r="L1484" s="6">
        <v>0.13700000000000001</v>
      </c>
      <c r="M1484" s="6">
        <v>0.13700000000000001</v>
      </c>
      <c r="N1484" s="6">
        <v>0.13700000000000001</v>
      </c>
      <c r="O1484" s="6">
        <v>0.13700000000000001</v>
      </c>
      <c r="P1484" s="6">
        <v>0</v>
      </c>
      <c r="Q1484" s="4" t="s">
        <v>26</v>
      </c>
      <c r="R1484" s="4">
        <v>0</v>
      </c>
      <c r="S1484" s="4" t="s">
        <v>392</v>
      </c>
      <c r="T1484" s="4" t="s">
        <v>662</v>
      </c>
      <c r="U1484" s="4">
        <v>0</v>
      </c>
      <c r="V1484" s="4">
        <v>52</v>
      </c>
      <c r="W1484" s="4">
        <v>96</v>
      </c>
    </row>
    <row r="1485" spans="1:23" ht="11.25" customHeight="1" x14ac:dyDescent="0.25">
      <c r="A1485" s="4" t="s">
        <v>29</v>
      </c>
      <c r="B1485" s="4" t="s">
        <v>46</v>
      </c>
      <c r="C1485" s="4" t="s">
        <v>23</v>
      </c>
      <c r="D1485" s="4" t="s">
        <v>47</v>
      </c>
      <c r="E1485" s="4" t="s">
        <v>55</v>
      </c>
      <c r="F1485" s="4" t="s">
        <v>56</v>
      </c>
      <c r="G1485" s="4" t="s">
        <v>25</v>
      </c>
      <c r="H1485" s="4" t="s">
        <v>25</v>
      </c>
      <c r="I1485" s="5">
        <v>44562</v>
      </c>
      <c r="J1485" s="6">
        <v>0</v>
      </c>
      <c r="K1485" s="6">
        <v>0</v>
      </c>
      <c r="L1485" s="6">
        <v>-6.13</v>
      </c>
      <c r="M1485" s="6">
        <v>-6.13</v>
      </c>
      <c r="N1485" s="6">
        <v>-6.13</v>
      </c>
      <c r="O1485" s="6">
        <v>-6.13</v>
      </c>
      <c r="P1485" s="6">
        <v>0</v>
      </c>
      <c r="Q1485" s="4" t="s">
        <v>26</v>
      </c>
      <c r="R1485" s="4">
        <v>0</v>
      </c>
      <c r="S1485" s="4" t="s">
        <v>392</v>
      </c>
      <c r="T1485" s="4" t="s">
        <v>662</v>
      </c>
      <c r="U1485" s="4">
        <v>0</v>
      </c>
      <c r="V1485" s="4">
        <v>52</v>
      </c>
      <c r="W1485" s="4">
        <v>96</v>
      </c>
    </row>
    <row r="1486" spans="1:23" ht="11.25" customHeight="1" x14ac:dyDescent="0.25">
      <c r="A1486" s="4" t="s">
        <v>21</v>
      </c>
      <c r="B1486" s="4" t="s">
        <v>46</v>
      </c>
      <c r="C1486" s="4" t="s">
        <v>23</v>
      </c>
      <c r="D1486" s="4" t="s">
        <v>47</v>
      </c>
      <c r="E1486" s="4" t="s">
        <v>55</v>
      </c>
      <c r="F1486" s="4" t="s">
        <v>56</v>
      </c>
      <c r="G1486" s="4" t="s">
        <v>25</v>
      </c>
      <c r="H1486" s="4" t="s">
        <v>25</v>
      </c>
      <c r="I1486" s="5">
        <v>44593</v>
      </c>
      <c r="J1486" s="6">
        <v>0</v>
      </c>
      <c r="K1486" s="6">
        <v>0</v>
      </c>
      <c r="L1486" s="6">
        <v>4.5960000000000001</v>
      </c>
      <c r="M1486" s="6">
        <v>4.5960000000000001</v>
      </c>
      <c r="N1486" s="6">
        <v>4.5960000000000001</v>
      </c>
      <c r="O1486" s="6">
        <v>4.5960000000000001</v>
      </c>
      <c r="P1486" s="6">
        <v>0</v>
      </c>
      <c r="Q1486" s="4" t="s">
        <v>26</v>
      </c>
      <c r="R1486" s="4">
        <v>0</v>
      </c>
      <c r="S1486" s="4" t="s">
        <v>393</v>
      </c>
      <c r="T1486" s="4" t="s">
        <v>663</v>
      </c>
      <c r="U1486" s="4">
        <v>0</v>
      </c>
      <c r="V1486" s="4">
        <v>52</v>
      </c>
      <c r="W1486" s="4">
        <v>96</v>
      </c>
    </row>
    <row r="1487" spans="1:23" ht="11.25" customHeight="1" x14ac:dyDescent="0.25">
      <c r="A1487" s="4" t="s">
        <v>28</v>
      </c>
      <c r="B1487" s="4" t="s">
        <v>46</v>
      </c>
      <c r="C1487" s="4" t="s">
        <v>23</v>
      </c>
      <c r="D1487" s="4" t="s">
        <v>47</v>
      </c>
      <c r="E1487" s="4" t="s">
        <v>55</v>
      </c>
      <c r="F1487" s="4" t="s">
        <v>56</v>
      </c>
      <c r="G1487" s="4" t="s">
        <v>25</v>
      </c>
      <c r="H1487" s="4" t="s">
        <v>25</v>
      </c>
      <c r="I1487" s="5">
        <v>44593</v>
      </c>
      <c r="J1487" s="6">
        <v>0</v>
      </c>
      <c r="K1487" s="6">
        <v>0</v>
      </c>
      <c r="L1487" s="6">
        <v>0.128</v>
      </c>
      <c r="M1487" s="6">
        <v>0.128</v>
      </c>
      <c r="N1487" s="6">
        <v>0.128</v>
      </c>
      <c r="O1487" s="6">
        <v>0.128</v>
      </c>
      <c r="P1487" s="6">
        <v>0</v>
      </c>
      <c r="Q1487" s="4" t="s">
        <v>26</v>
      </c>
      <c r="R1487" s="4">
        <v>0</v>
      </c>
      <c r="S1487" s="4" t="s">
        <v>393</v>
      </c>
      <c r="T1487" s="4" t="s">
        <v>663</v>
      </c>
      <c r="U1487" s="4">
        <v>0</v>
      </c>
      <c r="V1487" s="4">
        <v>52</v>
      </c>
      <c r="W1487" s="4">
        <v>96</v>
      </c>
    </row>
    <row r="1488" spans="1:23" ht="11.25" customHeight="1" x14ac:dyDescent="0.25">
      <c r="A1488" s="4" t="s">
        <v>29</v>
      </c>
      <c r="B1488" s="4" t="s">
        <v>46</v>
      </c>
      <c r="C1488" s="4" t="s">
        <v>23</v>
      </c>
      <c r="D1488" s="4" t="s">
        <v>47</v>
      </c>
      <c r="E1488" s="4" t="s">
        <v>55</v>
      </c>
      <c r="F1488" s="4" t="s">
        <v>56</v>
      </c>
      <c r="G1488" s="4" t="s">
        <v>25</v>
      </c>
      <c r="H1488" s="4" t="s">
        <v>25</v>
      </c>
      <c r="I1488" s="5">
        <v>44593</v>
      </c>
      <c r="J1488" s="6">
        <v>0</v>
      </c>
      <c r="K1488" s="6">
        <v>0</v>
      </c>
      <c r="L1488" s="6">
        <v>-4.6050000000000004</v>
      </c>
      <c r="M1488" s="6">
        <v>-4.6050000000000004</v>
      </c>
      <c r="N1488" s="6">
        <v>-4.6050000000000004</v>
      </c>
      <c r="O1488" s="6">
        <v>-4.6050000000000004</v>
      </c>
      <c r="P1488" s="6">
        <v>0</v>
      </c>
      <c r="Q1488" s="4" t="s">
        <v>26</v>
      </c>
      <c r="R1488" s="4">
        <v>0</v>
      </c>
      <c r="S1488" s="4" t="s">
        <v>393</v>
      </c>
      <c r="T1488" s="4" t="s">
        <v>663</v>
      </c>
      <c r="U1488" s="4">
        <v>0</v>
      </c>
      <c r="V1488" s="4">
        <v>52</v>
      </c>
      <c r="W1488" s="4">
        <v>96</v>
      </c>
    </row>
    <row r="1489" spans="1:23" ht="11.25" customHeight="1" x14ac:dyDescent="0.25">
      <c r="A1489" s="4" t="s">
        <v>21</v>
      </c>
      <c r="B1489" s="4" t="s">
        <v>46</v>
      </c>
      <c r="C1489" s="4" t="s">
        <v>23</v>
      </c>
      <c r="D1489" s="4" t="s">
        <v>47</v>
      </c>
      <c r="E1489" s="4" t="s">
        <v>55</v>
      </c>
      <c r="F1489" s="4" t="s">
        <v>56</v>
      </c>
      <c r="G1489" s="4" t="s">
        <v>25</v>
      </c>
      <c r="H1489" s="4" t="s">
        <v>25</v>
      </c>
      <c r="I1489" s="5">
        <v>44621</v>
      </c>
      <c r="J1489" s="6">
        <v>0</v>
      </c>
      <c r="K1489" s="6">
        <v>0</v>
      </c>
      <c r="L1489" s="6">
        <v>5.0549999999999997</v>
      </c>
      <c r="M1489" s="6">
        <v>5.0549999999999997</v>
      </c>
      <c r="N1489" s="6">
        <v>5.0549999999999997</v>
      </c>
      <c r="O1489" s="6">
        <v>5.0549999999999997</v>
      </c>
      <c r="P1489" s="6">
        <v>0</v>
      </c>
      <c r="Q1489" s="4" t="s">
        <v>26</v>
      </c>
      <c r="R1489" s="4">
        <v>0</v>
      </c>
      <c r="S1489" s="4" t="s">
        <v>394</v>
      </c>
      <c r="T1489" s="4" t="s">
        <v>664</v>
      </c>
      <c r="U1489" s="4">
        <v>0</v>
      </c>
      <c r="V1489" s="4">
        <v>52</v>
      </c>
      <c r="W1489" s="4">
        <v>96</v>
      </c>
    </row>
    <row r="1490" spans="1:23" ht="11.25" customHeight="1" x14ac:dyDescent="0.25">
      <c r="A1490" s="4" t="s">
        <v>28</v>
      </c>
      <c r="B1490" s="4" t="s">
        <v>46</v>
      </c>
      <c r="C1490" s="4" t="s">
        <v>23</v>
      </c>
      <c r="D1490" s="4" t="s">
        <v>47</v>
      </c>
      <c r="E1490" s="4" t="s">
        <v>55</v>
      </c>
      <c r="F1490" s="4" t="s">
        <v>56</v>
      </c>
      <c r="G1490" s="4" t="s">
        <v>25</v>
      </c>
      <c r="H1490" s="4" t="s">
        <v>25</v>
      </c>
      <c r="I1490" s="5">
        <v>44621</v>
      </c>
      <c r="J1490" s="6">
        <v>0</v>
      </c>
      <c r="K1490" s="6">
        <v>0</v>
      </c>
      <c r="L1490" s="6">
        <v>1.7999999999999999E-2</v>
      </c>
      <c r="M1490" s="6">
        <v>1.7999999999999999E-2</v>
      </c>
      <c r="N1490" s="6">
        <v>1.7999999999999999E-2</v>
      </c>
      <c r="O1490" s="6">
        <v>1.7999999999999999E-2</v>
      </c>
      <c r="P1490" s="6">
        <v>0</v>
      </c>
      <c r="Q1490" s="4" t="s">
        <v>26</v>
      </c>
      <c r="R1490" s="4">
        <v>0</v>
      </c>
      <c r="S1490" s="4" t="s">
        <v>394</v>
      </c>
      <c r="T1490" s="4" t="s">
        <v>664</v>
      </c>
      <c r="U1490" s="4">
        <v>0</v>
      </c>
      <c r="V1490" s="4">
        <v>52</v>
      </c>
      <c r="W1490" s="4">
        <v>96</v>
      </c>
    </row>
    <row r="1491" spans="1:23" ht="11.25" customHeight="1" x14ac:dyDescent="0.25">
      <c r="A1491" s="4" t="s">
        <v>21</v>
      </c>
      <c r="B1491" s="4" t="s">
        <v>46</v>
      </c>
      <c r="C1491" s="4" t="s">
        <v>23</v>
      </c>
      <c r="D1491" s="4" t="s">
        <v>47</v>
      </c>
      <c r="E1491" s="4" t="s">
        <v>55</v>
      </c>
      <c r="F1491" s="4" t="s">
        <v>56</v>
      </c>
      <c r="G1491" s="4" t="s">
        <v>25</v>
      </c>
      <c r="H1491" s="4" t="s">
        <v>25</v>
      </c>
      <c r="I1491" s="5">
        <v>44652</v>
      </c>
      <c r="J1491" s="6">
        <v>0</v>
      </c>
      <c r="K1491" s="6">
        <v>0</v>
      </c>
      <c r="L1491" s="6">
        <v>3.76</v>
      </c>
      <c r="M1491" s="6">
        <v>3.76</v>
      </c>
      <c r="N1491" s="6">
        <v>3.76</v>
      </c>
      <c r="O1491" s="6">
        <v>3.76</v>
      </c>
      <c r="P1491" s="6">
        <v>0</v>
      </c>
      <c r="Q1491" s="4" t="s">
        <v>26</v>
      </c>
      <c r="R1491" s="4">
        <v>0</v>
      </c>
      <c r="S1491" s="4" t="s">
        <v>395</v>
      </c>
      <c r="T1491" s="4" t="s">
        <v>665</v>
      </c>
      <c r="U1491" s="4">
        <v>0</v>
      </c>
      <c r="V1491" s="4">
        <v>52</v>
      </c>
      <c r="W1491" s="4">
        <v>96</v>
      </c>
    </row>
    <row r="1492" spans="1:23" ht="11.25" customHeight="1" x14ac:dyDescent="0.25">
      <c r="A1492" s="4" t="s">
        <v>27</v>
      </c>
      <c r="B1492" s="4" t="s">
        <v>46</v>
      </c>
      <c r="C1492" s="4" t="s">
        <v>23</v>
      </c>
      <c r="D1492" s="4" t="s">
        <v>47</v>
      </c>
      <c r="E1492" s="4" t="s">
        <v>55</v>
      </c>
      <c r="F1492" s="4" t="s">
        <v>56</v>
      </c>
      <c r="G1492" s="4" t="s">
        <v>25</v>
      </c>
      <c r="H1492" s="4" t="s">
        <v>25</v>
      </c>
      <c r="I1492" s="5">
        <v>44652</v>
      </c>
      <c r="J1492" s="6">
        <v>0</v>
      </c>
      <c r="K1492" s="6">
        <v>0</v>
      </c>
      <c r="L1492" s="6">
        <v>-12.438000000000001</v>
      </c>
      <c r="M1492" s="6">
        <v>-12.438000000000001</v>
      </c>
      <c r="N1492" s="6">
        <v>-12.438000000000001</v>
      </c>
      <c r="O1492" s="6">
        <v>-12.438000000000001</v>
      </c>
      <c r="P1492" s="6">
        <v>0</v>
      </c>
      <c r="Q1492" s="4" t="s">
        <v>26</v>
      </c>
      <c r="R1492" s="4">
        <v>0</v>
      </c>
      <c r="S1492" s="4" t="s">
        <v>395</v>
      </c>
      <c r="T1492" s="4" t="s">
        <v>665</v>
      </c>
      <c r="U1492" s="4">
        <v>0</v>
      </c>
      <c r="V1492" s="4">
        <v>52</v>
      </c>
      <c r="W1492" s="4">
        <v>96</v>
      </c>
    </row>
    <row r="1493" spans="1:23" ht="11.25" customHeight="1" x14ac:dyDescent="0.25">
      <c r="A1493" s="4" t="s">
        <v>28</v>
      </c>
      <c r="B1493" s="4" t="s">
        <v>46</v>
      </c>
      <c r="C1493" s="4" t="s">
        <v>23</v>
      </c>
      <c r="D1493" s="4" t="s">
        <v>47</v>
      </c>
      <c r="E1493" s="4" t="s">
        <v>55</v>
      </c>
      <c r="F1493" s="4" t="s">
        <v>56</v>
      </c>
      <c r="G1493" s="4" t="s">
        <v>25</v>
      </c>
      <c r="H1493" s="4" t="s">
        <v>25</v>
      </c>
      <c r="I1493" s="5">
        <v>44652</v>
      </c>
      <c r="J1493" s="6">
        <v>0</v>
      </c>
      <c r="K1493" s="6">
        <v>0</v>
      </c>
      <c r="L1493" s="6">
        <v>0.57199999999999995</v>
      </c>
      <c r="M1493" s="6">
        <v>0.57199999999999995</v>
      </c>
      <c r="N1493" s="6">
        <v>0.57199999999999995</v>
      </c>
      <c r="O1493" s="6">
        <v>0.57199999999999995</v>
      </c>
      <c r="P1493" s="6">
        <v>0</v>
      </c>
      <c r="Q1493" s="4" t="s">
        <v>26</v>
      </c>
      <c r="R1493" s="4">
        <v>0</v>
      </c>
      <c r="S1493" s="4" t="s">
        <v>395</v>
      </c>
      <c r="T1493" s="4" t="s">
        <v>665</v>
      </c>
      <c r="U1493" s="4">
        <v>0</v>
      </c>
      <c r="V1493" s="4">
        <v>52</v>
      </c>
      <c r="W1493" s="4">
        <v>96</v>
      </c>
    </row>
    <row r="1494" spans="1:23" ht="11.25" customHeight="1" x14ac:dyDescent="0.25">
      <c r="A1494" s="4" t="s">
        <v>21</v>
      </c>
      <c r="B1494" s="4" t="s">
        <v>46</v>
      </c>
      <c r="C1494" s="4" t="s">
        <v>23</v>
      </c>
      <c r="D1494" s="4" t="s">
        <v>47</v>
      </c>
      <c r="E1494" s="4" t="s">
        <v>55</v>
      </c>
      <c r="F1494" s="4" t="s">
        <v>56</v>
      </c>
      <c r="G1494" s="4" t="s">
        <v>25</v>
      </c>
      <c r="H1494" s="4" t="s">
        <v>25</v>
      </c>
      <c r="I1494" s="5">
        <v>44682</v>
      </c>
      <c r="J1494" s="6">
        <v>0</v>
      </c>
      <c r="K1494" s="6">
        <v>0</v>
      </c>
      <c r="L1494" s="6">
        <v>15.972</v>
      </c>
      <c r="M1494" s="6">
        <v>15.972</v>
      </c>
      <c r="N1494" s="6">
        <v>15.972</v>
      </c>
      <c r="O1494" s="6">
        <v>15.972</v>
      </c>
      <c r="P1494" s="6">
        <v>0</v>
      </c>
      <c r="Q1494" s="4" t="s">
        <v>26</v>
      </c>
      <c r="R1494" s="4">
        <v>0</v>
      </c>
      <c r="S1494" s="4" t="s">
        <v>396</v>
      </c>
      <c r="T1494" s="4" t="s">
        <v>666</v>
      </c>
      <c r="U1494" s="4">
        <v>0</v>
      </c>
      <c r="V1494" s="4">
        <v>52</v>
      </c>
      <c r="W1494" s="4">
        <v>96</v>
      </c>
    </row>
    <row r="1495" spans="1:23" ht="11.25" customHeight="1" x14ac:dyDescent="0.25">
      <c r="A1495" s="4" t="s">
        <v>27</v>
      </c>
      <c r="B1495" s="4" t="s">
        <v>46</v>
      </c>
      <c r="C1495" s="4" t="s">
        <v>23</v>
      </c>
      <c r="D1495" s="4" t="s">
        <v>47</v>
      </c>
      <c r="E1495" s="4" t="s">
        <v>55</v>
      </c>
      <c r="F1495" s="4" t="s">
        <v>56</v>
      </c>
      <c r="G1495" s="4" t="s">
        <v>25</v>
      </c>
      <c r="H1495" s="4" t="s">
        <v>25</v>
      </c>
      <c r="I1495" s="5">
        <v>44682</v>
      </c>
      <c r="J1495" s="6">
        <v>0</v>
      </c>
      <c r="K1495" s="6">
        <v>0</v>
      </c>
      <c r="L1495" s="6">
        <v>-0.25700000000000001</v>
      </c>
      <c r="M1495" s="6">
        <v>-0.25700000000000001</v>
      </c>
      <c r="N1495" s="6">
        <v>-0.25700000000000001</v>
      </c>
      <c r="O1495" s="6">
        <v>-0.25700000000000001</v>
      </c>
      <c r="P1495" s="6">
        <v>0</v>
      </c>
      <c r="Q1495" s="4" t="s">
        <v>26</v>
      </c>
      <c r="R1495" s="4">
        <v>0</v>
      </c>
      <c r="S1495" s="4" t="s">
        <v>396</v>
      </c>
      <c r="T1495" s="4" t="s">
        <v>666</v>
      </c>
      <c r="U1495" s="4">
        <v>0</v>
      </c>
      <c r="V1495" s="4">
        <v>52</v>
      </c>
      <c r="W1495" s="4">
        <v>96</v>
      </c>
    </row>
    <row r="1496" spans="1:23" ht="11.25" customHeight="1" x14ac:dyDescent="0.25">
      <c r="A1496" s="4" t="s">
        <v>28</v>
      </c>
      <c r="B1496" s="4" t="s">
        <v>46</v>
      </c>
      <c r="C1496" s="4" t="s">
        <v>23</v>
      </c>
      <c r="D1496" s="4" t="s">
        <v>47</v>
      </c>
      <c r="E1496" s="4" t="s">
        <v>55</v>
      </c>
      <c r="F1496" s="4" t="s">
        <v>56</v>
      </c>
      <c r="G1496" s="4" t="s">
        <v>25</v>
      </c>
      <c r="H1496" s="4" t="s">
        <v>25</v>
      </c>
      <c r="I1496" s="5">
        <v>44682</v>
      </c>
      <c r="J1496" s="6">
        <v>0</v>
      </c>
      <c r="K1496" s="6">
        <v>0</v>
      </c>
      <c r="L1496" s="6">
        <v>2.573</v>
      </c>
      <c r="M1496" s="6">
        <v>2.573</v>
      </c>
      <c r="N1496" s="6">
        <v>2.573</v>
      </c>
      <c r="O1496" s="6">
        <v>2.573</v>
      </c>
      <c r="P1496" s="6">
        <v>0</v>
      </c>
      <c r="Q1496" s="4" t="s">
        <v>26</v>
      </c>
      <c r="R1496" s="4">
        <v>0</v>
      </c>
      <c r="S1496" s="4" t="s">
        <v>396</v>
      </c>
      <c r="T1496" s="4" t="s">
        <v>666</v>
      </c>
      <c r="U1496" s="4">
        <v>0</v>
      </c>
      <c r="V1496" s="4">
        <v>52</v>
      </c>
      <c r="W1496" s="4">
        <v>96</v>
      </c>
    </row>
    <row r="1497" spans="1:23" ht="11.25" customHeight="1" x14ac:dyDescent="0.25">
      <c r="A1497" s="4" t="s">
        <v>21</v>
      </c>
      <c r="B1497" s="4" t="s">
        <v>46</v>
      </c>
      <c r="C1497" s="4" t="s">
        <v>23</v>
      </c>
      <c r="D1497" s="4" t="s">
        <v>47</v>
      </c>
      <c r="E1497" s="4" t="s">
        <v>55</v>
      </c>
      <c r="F1497" s="4" t="s">
        <v>56</v>
      </c>
      <c r="G1497" s="4" t="s">
        <v>25</v>
      </c>
      <c r="H1497" s="4" t="s">
        <v>25</v>
      </c>
      <c r="I1497" s="5">
        <v>44713</v>
      </c>
      <c r="J1497" s="6">
        <v>0</v>
      </c>
      <c r="K1497" s="6">
        <v>0</v>
      </c>
      <c r="L1497" s="6">
        <v>9.6989999999999998</v>
      </c>
      <c r="M1497" s="6">
        <v>9.6989999999999998</v>
      </c>
      <c r="N1497" s="6">
        <v>9.6989999999999998</v>
      </c>
      <c r="O1497" s="6">
        <v>9.6989999999999998</v>
      </c>
      <c r="P1497" s="6">
        <v>0</v>
      </c>
      <c r="Q1497" s="4" t="s">
        <v>26</v>
      </c>
      <c r="R1497" s="4">
        <v>0</v>
      </c>
      <c r="S1497" s="4" t="s">
        <v>397</v>
      </c>
      <c r="T1497" s="4" t="s">
        <v>667</v>
      </c>
      <c r="U1497" s="4">
        <v>0</v>
      </c>
      <c r="V1497" s="4">
        <v>52</v>
      </c>
      <c r="W1497" s="4">
        <v>96</v>
      </c>
    </row>
    <row r="1498" spans="1:23" ht="11.25" customHeight="1" x14ac:dyDescent="0.25">
      <c r="A1498" s="4" t="s">
        <v>27</v>
      </c>
      <c r="B1498" s="4" t="s">
        <v>46</v>
      </c>
      <c r="C1498" s="4" t="s">
        <v>23</v>
      </c>
      <c r="D1498" s="4" t="s">
        <v>47</v>
      </c>
      <c r="E1498" s="4" t="s">
        <v>55</v>
      </c>
      <c r="F1498" s="4" t="s">
        <v>56</v>
      </c>
      <c r="G1498" s="4" t="s">
        <v>25</v>
      </c>
      <c r="H1498" s="4" t="s">
        <v>25</v>
      </c>
      <c r="I1498" s="5">
        <v>44713</v>
      </c>
      <c r="J1498" s="6">
        <v>0</v>
      </c>
      <c r="K1498" s="6">
        <v>0</v>
      </c>
      <c r="L1498" s="6">
        <v>-7.1219999999999999</v>
      </c>
      <c r="M1498" s="6">
        <v>-7.1219999999999999</v>
      </c>
      <c r="N1498" s="6">
        <v>-7.1219999999999999</v>
      </c>
      <c r="O1498" s="6">
        <v>-7.1219999999999999</v>
      </c>
      <c r="P1498" s="6">
        <v>0</v>
      </c>
      <c r="Q1498" s="4" t="s">
        <v>26</v>
      </c>
      <c r="R1498" s="4">
        <v>0</v>
      </c>
      <c r="S1498" s="4" t="s">
        <v>397</v>
      </c>
      <c r="T1498" s="4" t="s">
        <v>667</v>
      </c>
      <c r="U1498" s="4">
        <v>0</v>
      </c>
      <c r="V1498" s="4">
        <v>52</v>
      </c>
      <c r="W1498" s="4">
        <v>96</v>
      </c>
    </row>
    <row r="1499" spans="1:23" ht="11.25" customHeight="1" x14ac:dyDescent="0.25">
      <c r="A1499" s="4" t="s">
        <v>28</v>
      </c>
      <c r="B1499" s="4" t="s">
        <v>46</v>
      </c>
      <c r="C1499" s="4" t="s">
        <v>23</v>
      </c>
      <c r="D1499" s="4" t="s">
        <v>47</v>
      </c>
      <c r="E1499" s="4" t="s">
        <v>55</v>
      </c>
      <c r="F1499" s="4" t="s">
        <v>56</v>
      </c>
      <c r="G1499" s="4" t="s">
        <v>25</v>
      </c>
      <c r="H1499" s="4" t="s">
        <v>25</v>
      </c>
      <c r="I1499" s="5">
        <v>44713</v>
      </c>
      <c r="J1499" s="6">
        <v>0</v>
      </c>
      <c r="K1499" s="6">
        <v>0</v>
      </c>
      <c r="L1499" s="6">
        <v>1.0009999999999999</v>
      </c>
      <c r="M1499" s="6">
        <v>1.0009999999999999</v>
      </c>
      <c r="N1499" s="6">
        <v>1.0009999999999999</v>
      </c>
      <c r="O1499" s="6">
        <v>1.0009999999999999</v>
      </c>
      <c r="P1499" s="6">
        <v>0</v>
      </c>
      <c r="Q1499" s="4" t="s">
        <v>26</v>
      </c>
      <c r="R1499" s="4">
        <v>0</v>
      </c>
      <c r="S1499" s="4" t="s">
        <v>397</v>
      </c>
      <c r="T1499" s="4" t="s">
        <v>667</v>
      </c>
      <c r="U1499" s="4">
        <v>0</v>
      </c>
      <c r="V1499" s="4">
        <v>52</v>
      </c>
      <c r="W1499" s="4">
        <v>96</v>
      </c>
    </row>
    <row r="1500" spans="1:23" ht="11.25" customHeight="1" x14ac:dyDescent="0.25">
      <c r="A1500" s="4" t="s">
        <v>21</v>
      </c>
      <c r="B1500" s="4" t="s">
        <v>46</v>
      </c>
      <c r="C1500" s="4" t="s">
        <v>23</v>
      </c>
      <c r="D1500" s="4" t="s">
        <v>47</v>
      </c>
      <c r="E1500" s="4" t="s">
        <v>55</v>
      </c>
      <c r="F1500" s="4" t="s">
        <v>56</v>
      </c>
      <c r="G1500" s="4" t="s">
        <v>25</v>
      </c>
      <c r="H1500" s="4" t="s">
        <v>25</v>
      </c>
      <c r="I1500" s="5">
        <v>44743</v>
      </c>
      <c r="J1500" s="6">
        <v>0</v>
      </c>
      <c r="K1500" s="6">
        <v>0</v>
      </c>
      <c r="L1500" s="6">
        <v>3.0059999999999998</v>
      </c>
      <c r="M1500" s="6">
        <v>3.0059999999999998</v>
      </c>
      <c r="N1500" s="6">
        <v>3.0059999999999998</v>
      </c>
      <c r="O1500" s="6">
        <v>3.0059999999999998</v>
      </c>
      <c r="P1500" s="6">
        <v>0</v>
      </c>
      <c r="Q1500" s="4" t="s">
        <v>26</v>
      </c>
      <c r="R1500" s="4">
        <v>0</v>
      </c>
      <c r="S1500" s="4" t="s">
        <v>398</v>
      </c>
      <c r="T1500" s="4" t="s">
        <v>668</v>
      </c>
      <c r="U1500" s="4">
        <v>0</v>
      </c>
      <c r="V1500" s="4">
        <v>52</v>
      </c>
      <c r="W1500" s="4">
        <v>96</v>
      </c>
    </row>
    <row r="1501" spans="1:23" ht="11.25" customHeight="1" x14ac:dyDescent="0.25">
      <c r="A1501" s="4" t="s">
        <v>28</v>
      </c>
      <c r="B1501" s="4" t="s">
        <v>46</v>
      </c>
      <c r="C1501" s="4" t="s">
        <v>23</v>
      </c>
      <c r="D1501" s="4" t="s">
        <v>47</v>
      </c>
      <c r="E1501" s="4" t="s">
        <v>55</v>
      </c>
      <c r="F1501" s="4" t="s">
        <v>56</v>
      </c>
      <c r="G1501" s="4" t="s">
        <v>25</v>
      </c>
      <c r="H1501" s="4" t="s">
        <v>25</v>
      </c>
      <c r="I1501" s="5">
        <v>44743</v>
      </c>
      <c r="J1501" s="6">
        <v>0</v>
      </c>
      <c r="K1501" s="6">
        <v>0</v>
      </c>
      <c r="L1501" s="6">
        <v>1.712</v>
      </c>
      <c r="M1501" s="6">
        <v>1.712</v>
      </c>
      <c r="N1501" s="6">
        <v>1.712</v>
      </c>
      <c r="O1501" s="6">
        <v>1.712</v>
      </c>
      <c r="P1501" s="6">
        <v>0</v>
      </c>
      <c r="Q1501" s="4" t="s">
        <v>26</v>
      </c>
      <c r="R1501" s="4">
        <v>0</v>
      </c>
      <c r="S1501" s="4" t="s">
        <v>398</v>
      </c>
      <c r="T1501" s="4" t="s">
        <v>668</v>
      </c>
      <c r="U1501" s="4">
        <v>0</v>
      </c>
      <c r="V1501" s="4">
        <v>52</v>
      </c>
      <c r="W1501" s="4">
        <v>96</v>
      </c>
    </row>
    <row r="1502" spans="1:23" ht="11.25" customHeight="1" x14ac:dyDescent="0.25">
      <c r="A1502" s="4" t="s">
        <v>21</v>
      </c>
      <c r="B1502" s="4" t="s">
        <v>46</v>
      </c>
      <c r="C1502" s="4" t="s">
        <v>23</v>
      </c>
      <c r="D1502" s="4" t="s">
        <v>47</v>
      </c>
      <c r="E1502" s="4" t="s">
        <v>55</v>
      </c>
      <c r="F1502" s="4" t="s">
        <v>56</v>
      </c>
      <c r="G1502" s="4" t="s">
        <v>25</v>
      </c>
      <c r="H1502" s="4" t="s">
        <v>25</v>
      </c>
      <c r="I1502" s="5">
        <v>44774</v>
      </c>
      <c r="J1502" s="6">
        <v>0</v>
      </c>
      <c r="K1502" s="6">
        <v>0</v>
      </c>
      <c r="L1502" s="6">
        <v>1.7569999999999999</v>
      </c>
      <c r="M1502" s="6">
        <v>1.7569999999999999</v>
      </c>
      <c r="N1502" s="6">
        <v>1.7569999999999999</v>
      </c>
      <c r="O1502" s="6">
        <v>1.7569999999999999</v>
      </c>
      <c r="P1502" s="6">
        <v>0</v>
      </c>
      <c r="Q1502" s="4" t="s">
        <v>26</v>
      </c>
      <c r="R1502" s="4">
        <v>0</v>
      </c>
      <c r="S1502" s="4" t="s">
        <v>399</v>
      </c>
      <c r="T1502" s="4" t="s">
        <v>669</v>
      </c>
      <c r="U1502" s="4">
        <v>0</v>
      </c>
      <c r="V1502" s="4">
        <v>52</v>
      </c>
      <c r="W1502" s="4">
        <v>96</v>
      </c>
    </row>
    <row r="1503" spans="1:23" ht="11.25" customHeight="1" x14ac:dyDescent="0.25">
      <c r="A1503" s="4" t="s">
        <v>28</v>
      </c>
      <c r="B1503" s="4" t="s">
        <v>46</v>
      </c>
      <c r="C1503" s="4" t="s">
        <v>23</v>
      </c>
      <c r="D1503" s="4" t="s">
        <v>47</v>
      </c>
      <c r="E1503" s="4" t="s">
        <v>55</v>
      </c>
      <c r="F1503" s="4" t="s">
        <v>56</v>
      </c>
      <c r="G1503" s="4" t="s">
        <v>25</v>
      </c>
      <c r="H1503" s="4" t="s">
        <v>25</v>
      </c>
      <c r="I1503" s="5">
        <v>44774</v>
      </c>
      <c r="J1503" s="6">
        <v>0</v>
      </c>
      <c r="K1503" s="6">
        <v>0</v>
      </c>
      <c r="L1503" s="6">
        <v>2.359</v>
      </c>
      <c r="M1503" s="6">
        <v>2.359</v>
      </c>
      <c r="N1503" s="6">
        <v>2.359</v>
      </c>
      <c r="O1503" s="6">
        <v>2.359</v>
      </c>
      <c r="P1503" s="6">
        <v>0</v>
      </c>
      <c r="Q1503" s="4" t="s">
        <v>26</v>
      </c>
      <c r="R1503" s="4">
        <v>0</v>
      </c>
      <c r="S1503" s="4" t="s">
        <v>399</v>
      </c>
      <c r="T1503" s="4" t="s">
        <v>669</v>
      </c>
      <c r="U1503" s="4">
        <v>0</v>
      </c>
      <c r="V1503" s="4">
        <v>52</v>
      </c>
      <c r="W1503" s="4">
        <v>96</v>
      </c>
    </row>
    <row r="1504" spans="1:23" ht="11.25" customHeight="1" x14ac:dyDescent="0.25">
      <c r="A1504" s="4" t="s">
        <v>21</v>
      </c>
      <c r="B1504" s="4" t="s">
        <v>46</v>
      </c>
      <c r="C1504" s="4" t="s">
        <v>23</v>
      </c>
      <c r="D1504" s="4" t="s">
        <v>47</v>
      </c>
      <c r="E1504" s="4" t="s">
        <v>55</v>
      </c>
      <c r="F1504" s="4" t="s">
        <v>56</v>
      </c>
      <c r="G1504" s="4" t="s">
        <v>25</v>
      </c>
      <c r="H1504" s="4" t="s">
        <v>25</v>
      </c>
      <c r="I1504" s="5">
        <v>44805</v>
      </c>
      <c r="J1504" s="6">
        <v>0</v>
      </c>
      <c r="K1504" s="6">
        <v>0</v>
      </c>
      <c r="L1504" s="6">
        <v>4.3470000000000004</v>
      </c>
      <c r="M1504" s="6">
        <v>4.3470000000000004</v>
      </c>
      <c r="N1504" s="6">
        <v>4.3470000000000004</v>
      </c>
      <c r="O1504" s="6">
        <v>4.3470000000000004</v>
      </c>
      <c r="P1504" s="6">
        <v>0</v>
      </c>
      <c r="Q1504" s="4" t="s">
        <v>26</v>
      </c>
      <c r="R1504" s="4">
        <v>0</v>
      </c>
      <c r="S1504" s="4" t="s">
        <v>400</v>
      </c>
      <c r="T1504" s="4" t="s">
        <v>670</v>
      </c>
      <c r="U1504" s="4">
        <v>0</v>
      </c>
      <c r="V1504" s="4">
        <v>52</v>
      </c>
      <c r="W1504" s="4">
        <v>96</v>
      </c>
    </row>
    <row r="1505" spans="1:23" ht="11.25" customHeight="1" x14ac:dyDescent="0.25">
      <c r="A1505" s="4" t="s">
        <v>28</v>
      </c>
      <c r="B1505" s="4" t="s">
        <v>46</v>
      </c>
      <c r="C1505" s="4" t="s">
        <v>23</v>
      </c>
      <c r="D1505" s="4" t="s">
        <v>47</v>
      </c>
      <c r="E1505" s="4" t="s">
        <v>55</v>
      </c>
      <c r="F1505" s="4" t="s">
        <v>56</v>
      </c>
      <c r="G1505" s="4" t="s">
        <v>25</v>
      </c>
      <c r="H1505" s="4" t="s">
        <v>25</v>
      </c>
      <c r="I1505" s="5">
        <v>44805</v>
      </c>
      <c r="J1505" s="6">
        <v>0</v>
      </c>
      <c r="K1505" s="6">
        <v>0</v>
      </c>
      <c r="L1505" s="6">
        <v>2.4380000000000002</v>
      </c>
      <c r="M1505" s="6">
        <v>2.4380000000000002</v>
      </c>
      <c r="N1505" s="6">
        <v>2.4380000000000002</v>
      </c>
      <c r="O1505" s="6">
        <v>2.4380000000000002</v>
      </c>
      <c r="P1505" s="6">
        <v>0</v>
      </c>
      <c r="Q1505" s="4" t="s">
        <v>26</v>
      </c>
      <c r="R1505" s="4">
        <v>0</v>
      </c>
      <c r="S1505" s="4" t="s">
        <v>400</v>
      </c>
      <c r="T1505" s="4" t="s">
        <v>670</v>
      </c>
      <c r="U1505" s="4">
        <v>0</v>
      </c>
      <c r="V1505" s="4">
        <v>52</v>
      </c>
      <c r="W1505" s="4">
        <v>96</v>
      </c>
    </row>
    <row r="1506" spans="1:23" ht="11.25" customHeight="1" x14ac:dyDescent="0.25">
      <c r="A1506" s="4" t="s">
        <v>21</v>
      </c>
      <c r="B1506" s="4" t="s">
        <v>46</v>
      </c>
      <c r="C1506" s="4" t="s">
        <v>23</v>
      </c>
      <c r="D1506" s="4" t="s">
        <v>47</v>
      </c>
      <c r="E1506" s="4" t="s">
        <v>55</v>
      </c>
      <c r="F1506" s="4" t="s">
        <v>56</v>
      </c>
      <c r="G1506" s="4" t="s">
        <v>25</v>
      </c>
      <c r="H1506" s="4" t="s">
        <v>25</v>
      </c>
      <c r="I1506" s="5">
        <v>44835</v>
      </c>
      <c r="J1506" s="6">
        <v>0</v>
      </c>
      <c r="K1506" s="6">
        <v>0</v>
      </c>
      <c r="L1506" s="6">
        <v>7.6920000000000002</v>
      </c>
      <c r="M1506" s="6">
        <v>7.6920000000000002</v>
      </c>
      <c r="N1506" s="6">
        <v>7.6920000000000002</v>
      </c>
      <c r="O1506" s="6">
        <v>7.6920000000000002</v>
      </c>
      <c r="P1506" s="6">
        <v>0</v>
      </c>
      <c r="Q1506" s="4" t="s">
        <v>26</v>
      </c>
      <c r="R1506" s="4">
        <v>0</v>
      </c>
      <c r="S1506" s="4" t="s">
        <v>401</v>
      </c>
      <c r="T1506" s="4" t="s">
        <v>671</v>
      </c>
      <c r="U1506" s="4">
        <v>0</v>
      </c>
      <c r="V1506" s="4">
        <v>52</v>
      </c>
      <c r="W1506" s="4">
        <v>96</v>
      </c>
    </row>
    <row r="1507" spans="1:23" ht="11.25" customHeight="1" x14ac:dyDescent="0.25">
      <c r="A1507" s="4" t="s">
        <v>28</v>
      </c>
      <c r="B1507" s="4" t="s">
        <v>46</v>
      </c>
      <c r="C1507" s="4" t="s">
        <v>23</v>
      </c>
      <c r="D1507" s="4" t="s">
        <v>47</v>
      </c>
      <c r="E1507" s="4" t="s">
        <v>55</v>
      </c>
      <c r="F1507" s="4" t="s">
        <v>56</v>
      </c>
      <c r="G1507" s="4" t="s">
        <v>25</v>
      </c>
      <c r="H1507" s="4" t="s">
        <v>25</v>
      </c>
      <c r="I1507" s="5">
        <v>44835</v>
      </c>
      <c r="J1507" s="6">
        <v>0</v>
      </c>
      <c r="K1507" s="6">
        <v>0</v>
      </c>
      <c r="L1507" s="6">
        <v>3.1509999999999998</v>
      </c>
      <c r="M1507" s="6">
        <v>3.1509999999999998</v>
      </c>
      <c r="N1507" s="6">
        <v>3.1509999999999998</v>
      </c>
      <c r="O1507" s="6">
        <v>3.1509999999999998</v>
      </c>
      <c r="P1507" s="6">
        <v>0</v>
      </c>
      <c r="Q1507" s="4" t="s">
        <v>26</v>
      </c>
      <c r="R1507" s="4">
        <v>0</v>
      </c>
      <c r="S1507" s="4" t="s">
        <v>401</v>
      </c>
      <c r="T1507" s="4" t="s">
        <v>671</v>
      </c>
      <c r="U1507" s="4">
        <v>0</v>
      </c>
      <c r="V1507" s="4">
        <v>52</v>
      </c>
      <c r="W1507" s="4">
        <v>96</v>
      </c>
    </row>
    <row r="1508" spans="1:23" ht="11.25" customHeight="1" x14ac:dyDescent="0.25">
      <c r="A1508" s="4" t="s">
        <v>59</v>
      </c>
      <c r="B1508" s="4" t="s">
        <v>46</v>
      </c>
      <c r="C1508" s="4" t="s">
        <v>23</v>
      </c>
      <c r="D1508" s="4" t="s">
        <v>47</v>
      </c>
      <c r="E1508" s="4" t="s">
        <v>55</v>
      </c>
      <c r="F1508" s="4" t="s">
        <v>56</v>
      </c>
      <c r="G1508" s="4" t="s">
        <v>25</v>
      </c>
      <c r="H1508" s="4" t="s">
        <v>25</v>
      </c>
      <c r="I1508" s="5">
        <v>44866</v>
      </c>
      <c r="J1508" s="6">
        <v>0</v>
      </c>
      <c r="K1508" s="6">
        <v>0</v>
      </c>
      <c r="L1508" s="6">
        <v>7.6920000000000002</v>
      </c>
      <c r="M1508" s="6">
        <v>7.6920000000000002</v>
      </c>
      <c r="N1508" s="6">
        <v>7.6920000000000002</v>
      </c>
      <c r="O1508" s="6">
        <v>7.6920000000000002</v>
      </c>
      <c r="P1508" s="6">
        <v>0</v>
      </c>
      <c r="Q1508" s="4" t="s">
        <v>26</v>
      </c>
      <c r="R1508" s="4">
        <v>0</v>
      </c>
      <c r="S1508" s="4" t="s">
        <v>402</v>
      </c>
      <c r="T1508" s="4" t="s">
        <v>672</v>
      </c>
      <c r="U1508" s="4">
        <v>0</v>
      </c>
      <c r="V1508" s="4">
        <v>52</v>
      </c>
      <c r="W1508" s="4">
        <v>96</v>
      </c>
    </row>
    <row r="1509" spans="1:23" ht="11.25" customHeight="1" x14ac:dyDescent="0.25">
      <c r="A1509" s="4" t="s">
        <v>59</v>
      </c>
      <c r="B1509" s="4" t="s">
        <v>46</v>
      </c>
      <c r="C1509" s="4" t="s">
        <v>23</v>
      </c>
      <c r="D1509" s="4" t="s">
        <v>47</v>
      </c>
      <c r="E1509" s="4" t="s">
        <v>55</v>
      </c>
      <c r="F1509" s="4" t="s">
        <v>56</v>
      </c>
      <c r="G1509" s="4" t="s">
        <v>25</v>
      </c>
      <c r="H1509" s="4" t="s">
        <v>25</v>
      </c>
      <c r="I1509" s="5">
        <v>44866</v>
      </c>
      <c r="J1509" s="6">
        <v>0</v>
      </c>
      <c r="K1509" s="6">
        <v>0</v>
      </c>
      <c r="L1509" s="6">
        <v>3.1509999999999998</v>
      </c>
      <c r="M1509" s="6">
        <v>3.1509999999999998</v>
      </c>
      <c r="N1509" s="6">
        <v>3.1509999999999998</v>
      </c>
      <c r="O1509" s="6">
        <v>3.1509999999999998</v>
      </c>
      <c r="P1509" s="6">
        <v>0</v>
      </c>
      <c r="Q1509" s="4" t="s">
        <v>26</v>
      </c>
      <c r="R1509" s="4">
        <v>0</v>
      </c>
      <c r="S1509" s="4" t="s">
        <v>402</v>
      </c>
      <c r="T1509" s="4" t="s">
        <v>672</v>
      </c>
      <c r="U1509" s="4">
        <v>0</v>
      </c>
      <c r="V1509" s="4">
        <v>52</v>
      </c>
      <c r="W1509" s="4">
        <v>96</v>
      </c>
    </row>
    <row r="1510" spans="1:23" ht="11.25" customHeight="1" x14ac:dyDescent="0.25">
      <c r="A1510" s="4" t="s">
        <v>21</v>
      </c>
      <c r="B1510" s="4" t="s">
        <v>46</v>
      </c>
      <c r="C1510" s="4" t="s">
        <v>23</v>
      </c>
      <c r="D1510" s="4" t="s">
        <v>47</v>
      </c>
      <c r="E1510" s="4" t="s">
        <v>55</v>
      </c>
      <c r="F1510" s="4" t="s">
        <v>57</v>
      </c>
      <c r="G1510" s="4" t="s">
        <v>25</v>
      </c>
      <c r="H1510" s="4" t="s">
        <v>25</v>
      </c>
      <c r="I1510" s="5">
        <v>44531</v>
      </c>
      <c r="J1510" s="6">
        <v>0</v>
      </c>
      <c r="K1510" s="6">
        <v>0</v>
      </c>
      <c r="L1510" s="6">
        <v>1.8819999999999999</v>
      </c>
      <c r="M1510" s="6">
        <v>0.62105999999999995</v>
      </c>
      <c r="N1510" s="6">
        <v>1.8819999999999999</v>
      </c>
      <c r="O1510" s="6">
        <v>0.62105999999999995</v>
      </c>
      <c r="P1510" s="6">
        <v>0</v>
      </c>
      <c r="Q1510" s="4" t="s">
        <v>26</v>
      </c>
      <c r="R1510" s="4">
        <v>0</v>
      </c>
      <c r="S1510" s="4" t="s">
        <v>391</v>
      </c>
      <c r="T1510" s="4" t="s">
        <v>661</v>
      </c>
      <c r="U1510" s="4">
        <v>0</v>
      </c>
      <c r="V1510" s="4">
        <v>52</v>
      </c>
      <c r="W1510" s="4">
        <v>96</v>
      </c>
    </row>
    <row r="1511" spans="1:23" ht="11.25" customHeight="1" x14ac:dyDescent="0.25">
      <c r="A1511" s="4" t="s">
        <v>28</v>
      </c>
      <c r="B1511" s="4" t="s">
        <v>46</v>
      </c>
      <c r="C1511" s="4" t="s">
        <v>23</v>
      </c>
      <c r="D1511" s="4" t="s">
        <v>47</v>
      </c>
      <c r="E1511" s="4" t="s">
        <v>55</v>
      </c>
      <c r="F1511" s="4" t="s">
        <v>57</v>
      </c>
      <c r="G1511" s="4" t="s">
        <v>25</v>
      </c>
      <c r="H1511" s="4" t="s">
        <v>25</v>
      </c>
      <c r="I1511" s="5">
        <v>44531</v>
      </c>
      <c r="J1511" s="6">
        <v>0</v>
      </c>
      <c r="K1511" s="6">
        <v>0</v>
      </c>
      <c r="L1511" s="6">
        <v>1.224</v>
      </c>
      <c r="M1511" s="6">
        <v>0.40392</v>
      </c>
      <c r="N1511" s="6">
        <v>1.224</v>
      </c>
      <c r="O1511" s="6">
        <v>0.40392</v>
      </c>
      <c r="P1511" s="6">
        <v>0</v>
      </c>
      <c r="Q1511" s="4" t="s">
        <v>26</v>
      </c>
      <c r="R1511" s="4">
        <v>0</v>
      </c>
      <c r="S1511" s="4" t="s">
        <v>391</v>
      </c>
      <c r="T1511" s="4" t="s">
        <v>661</v>
      </c>
      <c r="U1511" s="4">
        <v>0</v>
      </c>
      <c r="V1511" s="4">
        <v>52</v>
      </c>
      <c r="W1511" s="4">
        <v>96</v>
      </c>
    </row>
    <row r="1512" spans="1:23" ht="11.25" customHeight="1" x14ac:dyDescent="0.25">
      <c r="A1512" s="4" t="s">
        <v>21</v>
      </c>
      <c r="B1512" s="4" t="s">
        <v>46</v>
      </c>
      <c r="C1512" s="4" t="s">
        <v>23</v>
      </c>
      <c r="D1512" s="4" t="s">
        <v>47</v>
      </c>
      <c r="E1512" s="4" t="s">
        <v>55</v>
      </c>
      <c r="F1512" s="4" t="s">
        <v>57</v>
      </c>
      <c r="G1512" s="4" t="s">
        <v>25</v>
      </c>
      <c r="H1512" s="4" t="s">
        <v>25</v>
      </c>
      <c r="I1512" s="5">
        <v>44562</v>
      </c>
      <c r="J1512" s="6">
        <v>0</v>
      </c>
      <c r="K1512" s="6">
        <v>0</v>
      </c>
      <c r="L1512" s="6">
        <v>1.351</v>
      </c>
      <c r="M1512" s="6">
        <v>0.44583</v>
      </c>
      <c r="N1512" s="6">
        <v>1.351</v>
      </c>
      <c r="O1512" s="6">
        <v>0.44583</v>
      </c>
      <c r="P1512" s="6">
        <v>0</v>
      </c>
      <c r="Q1512" s="4" t="s">
        <v>26</v>
      </c>
      <c r="R1512" s="4">
        <v>0</v>
      </c>
      <c r="S1512" s="4" t="s">
        <v>392</v>
      </c>
      <c r="T1512" s="4" t="s">
        <v>662</v>
      </c>
      <c r="U1512" s="4">
        <v>0</v>
      </c>
      <c r="V1512" s="4">
        <v>52</v>
      </c>
      <c r="W1512" s="4">
        <v>96</v>
      </c>
    </row>
    <row r="1513" spans="1:23" ht="11.25" customHeight="1" x14ac:dyDescent="0.25">
      <c r="A1513" s="4" t="s">
        <v>28</v>
      </c>
      <c r="B1513" s="4" t="s">
        <v>46</v>
      </c>
      <c r="C1513" s="4" t="s">
        <v>23</v>
      </c>
      <c r="D1513" s="4" t="s">
        <v>47</v>
      </c>
      <c r="E1513" s="4" t="s">
        <v>55</v>
      </c>
      <c r="F1513" s="4" t="s">
        <v>57</v>
      </c>
      <c r="G1513" s="4" t="s">
        <v>25</v>
      </c>
      <c r="H1513" s="4" t="s">
        <v>25</v>
      </c>
      <c r="I1513" s="5">
        <v>44562</v>
      </c>
      <c r="J1513" s="6">
        <v>0</v>
      </c>
      <c r="K1513" s="6">
        <v>0</v>
      </c>
      <c r="L1513" s="6">
        <v>3.8969999999999998</v>
      </c>
      <c r="M1513" s="6">
        <v>1.2860100000000001</v>
      </c>
      <c r="N1513" s="6">
        <v>3.8969999999999998</v>
      </c>
      <c r="O1513" s="6">
        <v>1.2860100000000001</v>
      </c>
      <c r="P1513" s="6">
        <v>0</v>
      </c>
      <c r="Q1513" s="4" t="s">
        <v>26</v>
      </c>
      <c r="R1513" s="4">
        <v>0</v>
      </c>
      <c r="S1513" s="4" t="s">
        <v>392</v>
      </c>
      <c r="T1513" s="4" t="s">
        <v>662</v>
      </c>
      <c r="U1513" s="4">
        <v>0</v>
      </c>
      <c r="V1513" s="4">
        <v>52</v>
      </c>
      <c r="W1513" s="4">
        <v>96</v>
      </c>
    </row>
    <row r="1514" spans="1:23" ht="11.25" customHeight="1" x14ac:dyDescent="0.25">
      <c r="A1514" s="4" t="s">
        <v>29</v>
      </c>
      <c r="B1514" s="4" t="s">
        <v>46</v>
      </c>
      <c r="C1514" s="4" t="s">
        <v>23</v>
      </c>
      <c r="D1514" s="4" t="s">
        <v>47</v>
      </c>
      <c r="E1514" s="4" t="s">
        <v>55</v>
      </c>
      <c r="F1514" s="4" t="s">
        <v>57</v>
      </c>
      <c r="G1514" s="4" t="s">
        <v>25</v>
      </c>
      <c r="H1514" s="4" t="s">
        <v>25</v>
      </c>
      <c r="I1514" s="5">
        <v>44562</v>
      </c>
      <c r="J1514" s="6">
        <v>0</v>
      </c>
      <c r="K1514" s="6">
        <v>0</v>
      </c>
      <c r="L1514" s="6">
        <v>0.48799999999999999</v>
      </c>
      <c r="M1514" s="6">
        <v>0.16103999999999999</v>
      </c>
      <c r="N1514" s="6">
        <v>0.48799999999999999</v>
      </c>
      <c r="O1514" s="6">
        <v>0.16103999999999999</v>
      </c>
      <c r="P1514" s="6">
        <v>0</v>
      </c>
      <c r="Q1514" s="4" t="s">
        <v>26</v>
      </c>
      <c r="R1514" s="4">
        <v>0</v>
      </c>
      <c r="S1514" s="4" t="s">
        <v>392</v>
      </c>
      <c r="T1514" s="4" t="s">
        <v>662</v>
      </c>
      <c r="U1514" s="4">
        <v>0</v>
      </c>
      <c r="V1514" s="4">
        <v>52</v>
      </c>
      <c r="W1514" s="4">
        <v>96</v>
      </c>
    </row>
    <row r="1515" spans="1:23" ht="11.25" customHeight="1" x14ac:dyDescent="0.25">
      <c r="A1515" s="4" t="s">
        <v>21</v>
      </c>
      <c r="B1515" s="4" t="s">
        <v>46</v>
      </c>
      <c r="C1515" s="4" t="s">
        <v>23</v>
      </c>
      <c r="D1515" s="4" t="s">
        <v>47</v>
      </c>
      <c r="E1515" s="4" t="s">
        <v>55</v>
      </c>
      <c r="F1515" s="4" t="s">
        <v>57</v>
      </c>
      <c r="G1515" s="4" t="s">
        <v>25</v>
      </c>
      <c r="H1515" s="4" t="s">
        <v>25</v>
      </c>
      <c r="I1515" s="5">
        <v>44593</v>
      </c>
      <c r="J1515" s="6">
        <v>0</v>
      </c>
      <c r="K1515" s="6">
        <v>0</v>
      </c>
      <c r="L1515" s="6">
        <v>1.948</v>
      </c>
      <c r="M1515" s="6">
        <v>0.64283999999999997</v>
      </c>
      <c r="N1515" s="6">
        <v>1.948</v>
      </c>
      <c r="O1515" s="6">
        <v>0.64283999999999997</v>
      </c>
      <c r="P1515" s="6">
        <v>0</v>
      </c>
      <c r="Q1515" s="4" t="s">
        <v>26</v>
      </c>
      <c r="R1515" s="4">
        <v>0</v>
      </c>
      <c r="S1515" s="4" t="s">
        <v>393</v>
      </c>
      <c r="T1515" s="4" t="s">
        <v>663</v>
      </c>
      <c r="U1515" s="4">
        <v>0</v>
      </c>
      <c r="V1515" s="4">
        <v>52</v>
      </c>
      <c r="W1515" s="4">
        <v>96</v>
      </c>
    </row>
    <row r="1516" spans="1:23" ht="11.25" customHeight="1" x14ac:dyDescent="0.25">
      <c r="A1516" s="4" t="s">
        <v>28</v>
      </c>
      <c r="B1516" s="4" t="s">
        <v>46</v>
      </c>
      <c r="C1516" s="4" t="s">
        <v>23</v>
      </c>
      <c r="D1516" s="4" t="s">
        <v>47</v>
      </c>
      <c r="E1516" s="4" t="s">
        <v>55</v>
      </c>
      <c r="F1516" s="4" t="s">
        <v>57</v>
      </c>
      <c r="G1516" s="4" t="s">
        <v>25</v>
      </c>
      <c r="H1516" s="4" t="s">
        <v>25</v>
      </c>
      <c r="I1516" s="5">
        <v>44593</v>
      </c>
      <c r="J1516" s="6">
        <v>0</v>
      </c>
      <c r="K1516" s="6">
        <v>0</v>
      </c>
      <c r="L1516" s="6">
        <v>1.242</v>
      </c>
      <c r="M1516" s="6">
        <v>0.40986</v>
      </c>
      <c r="N1516" s="6">
        <v>1.242</v>
      </c>
      <c r="O1516" s="6">
        <v>0.40986</v>
      </c>
      <c r="P1516" s="6">
        <v>0</v>
      </c>
      <c r="Q1516" s="4" t="s">
        <v>26</v>
      </c>
      <c r="R1516" s="4">
        <v>0</v>
      </c>
      <c r="S1516" s="4" t="s">
        <v>393</v>
      </c>
      <c r="T1516" s="4" t="s">
        <v>663</v>
      </c>
      <c r="U1516" s="4">
        <v>0</v>
      </c>
      <c r="V1516" s="4">
        <v>52</v>
      </c>
      <c r="W1516" s="4">
        <v>96</v>
      </c>
    </row>
    <row r="1517" spans="1:23" ht="11.25" customHeight="1" x14ac:dyDescent="0.25">
      <c r="A1517" s="4" t="s">
        <v>29</v>
      </c>
      <c r="B1517" s="4" t="s">
        <v>46</v>
      </c>
      <c r="C1517" s="4" t="s">
        <v>23</v>
      </c>
      <c r="D1517" s="4" t="s">
        <v>47</v>
      </c>
      <c r="E1517" s="4" t="s">
        <v>55</v>
      </c>
      <c r="F1517" s="4" t="s">
        <v>57</v>
      </c>
      <c r="G1517" s="4" t="s">
        <v>25</v>
      </c>
      <c r="H1517" s="4" t="s">
        <v>25</v>
      </c>
      <c r="I1517" s="5">
        <v>44593</v>
      </c>
      <c r="J1517" s="6">
        <v>0</v>
      </c>
      <c r="K1517" s="6">
        <v>0</v>
      </c>
      <c r="L1517" s="6">
        <v>4.5549999999999997</v>
      </c>
      <c r="M1517" s="6">
        <v>1.50315</v>
      </c>
      <c r="N1517" s="6">
        <v>4.5549999999999997</v>
      </c>
      <c r="O1517" s="6">
        <v>1.50315</v>
      </c>
      <c r="P1517" s="6">
        <v>0</v>
      </c>
      <c r="Q1517" s="4" t="s">
        <v>26</v>
      </c>
      <c r="R1517" s="4">
        <v>0</v>
      </c>
      <c r="S1517" s="4" t="s">
        <v>393</v>
      </c>
      <c r="T1517" s="4" t="s">
        <v>663</v>
      </c>
      <c r="U1517" s="4">
        <v>0</v>
      </c>
      <c r="V1517" s="4">
        <v>52</v>
      </c>
      <c r="W1517" s="4">
        <v>96</v>
      </c>
    </row>
    <row r="1518" spans="1:23" ht="11.25" customHeight="1" x14ac:dyDescent="0.25">
      <c r="A1518" s="4" t="s">
        <v>21</v>
      </c>
      <c r="B1518" s="4" t="s">
        <v>46</v>
      </c>
      <c r="C1518" s="4" t="s">
        <v>23</v>
      </c>
      <c r="D1518" s="4" t="s">
        <v>47</v>
      </c>
      <c r="E1518" s="4" t="s">
        <v>55</v>
      </c>
      <c r="F1518" s="4" t="s">
        <v>57</v>
      </c>
      <c r="G1518" s="4" t="s">
        <v>25</v>
      </c>
      <c r="H1518" s="4" t="s">
        <v>25</v>
      </c>
      <c r="I1518" s="5">
        <v>44621</v>
      </c>
      <c r="J1518" s="6">
        <v>0</v>
      </c>
      <c r="K1518" s="6">
        <v>0</v>
      </c>
      <c r="L1518" s="6">
        <v>1.423</v>
      </c>
      <c r="M1518" s="6">
        <v>0.46959000000000001</v>
      </c>
      <c r="N1518" s="6">
        <v>1.423</v>
      </c>
      <c r="O1518" s="6">
        <v>0.46959000000000001</v>
      </c>
      <c r="P1518" s="6">
        <v>0</v>
      </c>
      <c r="Q1518" s="4" t="s">
        <v>26</v>
      </c>
      <c r="R1518" s="4">
        <v>0</v>
      </c>
      <c r="S1518" s="4" t="s">
        <v>394</v>
      </c>
      <c r="T1518" s="4" t="s">
        <v>664</v>
      </c>
      <c r="U1518" s="4">
        <v>0</v>
      </c>
      <c r="V1518" s="4">
        <v>52</v>
      </c>
      <c r="W1518" s="4">
        <v>96</v>
      </c>
    </row>
    <row r="1519" spans="1:23" ht="11.25" customHeight="1" x14ac:dyDescent="0.25">
      <c r="A1519" s="4" t="s">
        <v>28</v>
      </c>
      <c r="B1519" s="4" t="s">
        <v>46</v>
      </c>
      <c r="C1519" s="4" t="s">
        <v>23</v>
      </c>
      <c r="D1519" s="4" t="s">
        <v>47</v>
      </c>
      <c r="E1519" s="4" t="s">
        <v>55</v>
      </c>
      <c r="F1519" s="4" t="s">
        <v>57</v>
      </c>
      <c r="G1519" s="4" t="s">
        <v>25</v>
      </c>
      <c r="H1519" s="4" t="s">
        <v>25</v>
      </c>
      <c r="I1519" s="5">
        <v>44621</v>
      </c>
      <c r="J1519" s="6">
        <v>0</v>
      </c>
      <c r="K1519" s="6">
        <v>0</v>
      </c>
      <c r="L1519" s="6">
        <v>0.879</v>
      </c>
      <c r="M1519" s="6">
        <v>0.29006999999999999</v>
      </c>
      <c r="N1519" s="6">
        <v>0.879</v>
      </c>
      <c r="O1519" s="6">
        <v>0.29006999999999999</v>
      </c>
      <c r="P1519" s="6">
        <v>0</v>
      </c>
      <c r="Q1519" s="4" t="s">
        <v>26</v>
      </c>
      <c r="R1519" s="4">
        <v>0</v>
      </c>
      <c r="S1519" s="4" t="s">
        <v>394</v>
      </c>
      <c r="T1519" s="4" t="s">
        <v>664</v>
      </c>
      <c r="U1519" s="4">
        <v>0</v>
      </c>
      <c r="V1519" s="4">
        <v>52</v>
      </c>
      <c r="W1519" s="4">
        <v>96</v>
      </c>
    </row>
    <row r="1520" spans="1:23" ht="11.25" customHeight="1" x14ac:dyDescent="0.25">
      <c r="A1520" s="4" t="s">
        <v>21</v>
      </c>
      <c r="B1520" s="4" t="s">
        <v>46</v>
      </c>
      <c r="C1520" s="4" t="s">
        <v>23</v>
      </c>
      <c r="D1520" s="4" t="s">
        <v>47</v>
      </c>
      <c r="E1520" s="4" t="s">
        <v>55</v>
      </c>
      <c r="F1520" s="4" t="s">
        <v>57</v>
      </c>
      <c r="G1520" s="4" t="s">
        <v>25</v>
      </c>
      <c r="H1520" s="4" t="s">
        <v>25</v>
      </c>
      <c r="I1520" s="5">
        <v>44652</v>
      </c>
      <c r="J1520" s="6">
        <v>0</v>
      </c>
      <c r="K1520" s="6">
        <v>0</v>
      </c>
      <c r="L1520" s="6">
        <v>1.024</v>
      </c>
      <c r="M1520" s="6">
        <v>0.33792</v>
      </c>
      <c r="N1520" s="6">
        <v>1.024</v>
      </c>
      <c r="O1520" s="6">
        <v>0.33792</v>
      </c>
      <c r="P1520" s="6">
        <v>0</v>
      </c>
      <c r="Q1520" s="4" t="s">
        <v>26</v>
      </c>
      <c r="R1520" s="4">
        <v>0</v>
      </c>
      <c r="S1520" s="4" t="s">
        <v>395</v>
      </c>
      <c r="T1520" s="4" t="s">
        <v>665</v>
      </c>
      <c r="U1520" s="4">
        <v>0</v>
      </c>
      <c r="V1520" s="4">
        <v>52</v>
      </c>
      <c r="W1520" s="4">
        <v>96</v>
      </c>
    </row>
    <row r="1521" spans="1:23" ht="11.25" customHeight="1" x14ac:dyDescent="0.25">
      <c r="A1521" s="4" t="s">
        <v>27</v>
      </c>
      <c r="B1521" s="4" t="s">
        <v>46</v>
      </c>
      <c r="C1521" s="4" t="s">
        <v>23</v>
      </c>
      <c r="D1521" s="4" t="s">
        <v>47</v>
      </c>
      <c r="E1521" s="4" t="s">
        <v>55</v>
      </c>
      <c r="F1521" s="4" t="s">
        <v>57</v>
      </c>
      <c r="G1521" s="4" t="s">
        <v>25</v>
      </c>
      <c r="H1521" s="4" t="s">
        <v>25</v>
      </c>
      <c r="I1521" s="5">
        <v>44652</v>
      </c>
      <c r="J1521" s="6">
        <v>0</v>
      </c>
      <c r="K1521" s="6">
        <v>0</v>
      </c>
      <c r="L1521" s="6">
        <v>-8.6999999999999994E-2</v>
      </c>
      <c r="M1521" s="6">
        <v>-2.8709999999999999E-2</v>
      </c>
      <c r="N1521" s="6">
        <v>-8.6999999999999994E-2</v>
      </c>
      <c r="O1521" s="6">
        <v>-2.8709999999999999E-2</v>
      </c>
      <c r="P1521" s="6">
        <v>0</v>
      </c>
      <c r="Q1521" s="4" t="s">
        <v>26</v>
      </c>
      <c r="R1521" s="4">
        <v>0</v>
      </c>
      <c r="S1521" s="4" t="s">
        <v>395</v>
      </c>
      <c r="T1521" s="4" t="s">
        <v>665</v>
      </c>
      <c r="U1521" s="4">
        <v>0</v>
      </c>
      <c r="V1521" s="4">
        <v>52</v>
      </c>
      <c r="W1521" s="4">
        <v>96</v>
      </c>
    </row>
    <row r="1522" spans="1:23" ht="11.25" customHeight="1" x14ac:dyDescent="0.25">
      <c r="A1522" s="4" t="s">
        <v>28</v>
      </c>
      <c r="B1522" s="4" t="s">
        <v>46</v>
      </c>
      <c r="C1522" s="4" t="s">
        <v>23</v>
      </c>
      <c r="D1522" s="4" t="s">
        <v>47</v>
      </c>
      <c r="E1522" s="4" t="s">
        <v>55</v>
      </c>
      <c r="F1522" s="4" t="s">
        <v>57</v>
      </c>
      <c r="G1522" s="4" t="s">
        <v>25</v>
      </c>
      <c r="H1522" s="4" t="s">
        <v>25</v>
      </c>
      <c r="I1522" s="5">
        <v>44652</v>
      </c>
      <c r="J1522" s="6">
        <v>0</v>
      </c>
      <c r="K1522" s="6">
        <v>0</v>
      </c>
      <c r="L1522" s="6">
        <v>0.90600000000000003</v>
      </c>
      <c r="M1522" s="6">
        <v>0.29898000000000002</v>
      </c>
      <c r="N1522" s="6">
        <v>0.90600000000000003</v>
      </c>
      <c r="O1522" s="6">
        <v>0.29898000000000002</v>
      </c>
      <c r="P1522" s="6">
        <v>0</v>
      </c>
      <c r="Q1522" s="4" t="s">
        <v>26</v>
      </c>
      <c r="R1522" s="4">
        <v>0</v>
      </c>
      <c r="S1522" s="4" t="s">
        <v>395</v>
      </c>
      <c r="T1522" s="4" t="s">
        <v>665</v>
      </c>
      <c r="U1522" s="4">
        <v>0</v>
      </c>
      <c r="V1522" s="4">
        <v>52</v>
      </c>
      <c r="W1522" s="4">
        <v>96</v>
      </c>
    </row>
    <row r="1523" spans="1:23" ht="11.25" customHeight="1" x14ac:dyDescent="0.25">
      <c r="A1523" s="4" t="s">
        <v>21</v>
      </c>
      <c r="B1523" s="4" t="s">
        <v>46</v>
      </c>
      <c r="C1523" s="4" t="s">
        <v>23</v>
      </c>
      <c r="D1523" s="4" t="s">
        <v>47</v>
      </c>
      <c r="E1523" s="4" t="s">
        <v>55</v>
      </c>
      <c r="F1523" s="4" t="s">
        <v>57</v>
      </c>
      <c r="G1523" s="4" t="s">
        <v>25</v>
      </c>
      <c r="H1523" s="4" t="s">
        <v>25</v>
      </c>
      <c r="I1523" s="5">
        <v>44682</v>
      </c>
      <c r="J1523" s="6">
        <v>0</v>
      </c>
      <c r="K1523" s="6">
        <v>0</v>
      </c>
      <c r="L1523" s="6">
        <v>2.7010000000000001</v>
      </c>
      <c r="M1523" s="6">
        <v>0.89132999999999996</v>
      </c>
      <c r="N1523" s="6">
        <v>2.7010000000000001</v>
      </c>
      <c r="O1523" s="6">
        <v>0.89132999999999996</v>
      </c>
      <c r="P1523" s="6">
        <v>0</v>
      </c>
      <c r="Q1523" s="4" t="s">
        <v>26</v>
      </c>
      <c r="R1523" s="4">
        <v>0</v>
      </c>
      <c r="S1523" s="4" t="s">
        <v>396</v>
      </c>
      <c r="T1523" s="4" t="s">
        <v>666</v>
      </c>
      <c r="U1523" s="4">
        <v>0</v>
      </c>
      <c r="V1523" s="4">
        <v>52</v>
      </c>
      <c r="W1523" s="4">
        <v>96</v>
      </c>
    </row>
    <row r="1524" spans="1:23" ht="11.25" customHeight="1" x14ac:dyDescent="0.25">
      <c r="A1524" s="4" t="s">
        <v>27</v>
      </c>
      <c r="B1524" s="4" t="s">
        <v>46</v>
      </c>
      <c r="C1524" s="4" t="s">
        <v>23</v>
      </c>
      <c r="D1524" s="4" t="s">
        <v>47</v>
      </c>
      <c r="E1524" s="4" t="s">
        <v>55</v>
      </c>
      <c r="F1524" s="4" t="s">
        <v>57</v>
      </c>
      <c r="G1524" s="4" t="s">
        <v>25</v>
      </c>
      <c r="H1524" s="4" t="s">
        <v>25</v>
      </c>
      <c r="I1524" s="5">
        <v>44682</v>
      </c>
      <c r="J1524" s="6">
        <v>0</v>
      </c>
      <c r="K1524" s="6">
        <v>0</v>
      </c>
      <c r="L1524" s="6">
        <v>-0.23799999999999999</v>
      </c>
      <c r="M1524" s="6">
        <v>-7.8539999999999999E-2</v>
      </c>
      <c r="N1524" s="6">
        <v>-0.23799999999999999</v>
      </c>
      <c r="O1524" s="6">
        <v>-7.8539999999999999E-2</v>
      </c>
      <c r="P1524" s="6">
        <v>0</v>
      </c>
      <c r="Q1524" s="4" t="s">
        <v>26</v>
      </c>
      <c r="R1524" s="4">
        <v>0</v>
      </c>
      <c r="S1524" s="4" t="s">
        <v>396</v>
      </c>
      <c r="T1524" s="4" t="s">
        <v>666</v>
      </c>
      <c r="U1524" s="4">
        <v>0</v>
      </c>
      <c r="V1524" s="4">
        <v>52</v>
      </c>
      <c r="W1524" s="4">
        <v>96</v>
      </c>
    </row>
    <row r="1525" spans="1:23" ht="11.25" customHeight="1" x14ac:dyDescent="0.25">
      <c r="A1525" s="4" t="s">
        <v>28</v>
      </c>
      <c r="B1525" s="4" t="s">
        <v>46</v>
      </c>
      <c r="C1525" s="4" t="s">
        <v>23</v>
      </c>
      <c r="D1525" s="4" t="s">
        <v>47</v>
      </c>
      <c r="E1525" s="4" t="s">
        <v>55</v>
      </c>
      <c r="F1525" s="4" t="s">
        <v>57</v>
      </c>
      <c r="G1525" s="4" t="s">
        <v>25</v>
      </c>
      <c r="H1525" s="4" t="s">
        <v>25</v>
      </c>
      <c r="I1525" s="5">
        <v>44682</v>
      </c>
      <c r="J1525" s="6">
        <v>0</v>
      </c>
      <c r="K1525" s="6">
        <v>0</v>
      </c>
      <c r="L1525" s="6">
        <v>0.95699999999999996</v>
      </c>
      <c r="M1525" s="6">
        <v>0.31580999999999998</v>
      </c>
      <c r="N1525" s="6">
        <v>0.95699999999999996</v>
      </c>
      <c r="O1525" s="6">
        <v>0.31580999999999998</v>
      </c>
      <c r="P1525" s="6">
        <v>0</v>
      </c>
      <c r="Q1525" s="4" t="s">
        <v>26</v>
      </c>
      <c r="R1525" s="4">
        <v>0</v>
      </c>
      <c r="S1525" s="4" t="s">
        <v>396</v>
      </c>
      <c r="T1525" s="4" t="s">
        <v>666</v>
      </c>
      <c r="U1525" s="4">
        <v>0</v>
      </c>
      <c r="V1525" s="4">
        <v>52</v>
      </c>
      <c r="W1525" s="4">
        <v>96</v>
      </c>
    </row>
    <row r="1526" spans="1:23" ht="11.25" customHeight="1" x14ac:dyDescent="0.25">
      <c r="A1526" s="4" t="s">
        <v>21</v>
      </c>
      <c r="B1526" s="4" t="s">
        <v>46</v>
      </c>
      <c r="C1526" s="4" t="s">
        <v>23</v>
      </c>
      <c r="D1526" s="4" t="s">
        <v>47</v>
      </c>
      <c r="E1526" s="4" t="s">
        <v>55</v>
      </c>
      <c r="F1526" s="4" t="s">
        <v>57</v>
      </c>
      <c r="G1526" s="4" t="s">
        <v>25</v>
      </c>
      <c r="H1526" s="4" t="s">
        <v>25</v>
      </c>
      <c r="I1526" s="5">
        <v>44713</v>
      </c>
      <c r="J1526" s="6">
        <v>0</v>
      </c>
      <c r="K1526" s="6">
        <v>0</v>
      </c>
      <c r="L1526" s="6">
        <v>3.1280000000000001</v>
      </c>
      <c r="M1526" s="6">
        <v>1.03224</v>
      </c>
      <c r="N1526" s="6">
        <v>3.1280000000000001</v>
      </c>
      <c r="O1526" s="6">
        <v>1.03224</v>
      </c>
      <c r="P1526" s="6">
        <v>0</v>
      </c>
      <c r="Q1526" s="4" t="s">
        <v>26</v>
      </c>
      <c r="R1526" s="4">
        <v>0</v>
      </c>
      <c r="S1526" s="4" t="s">
        <v>397</v>
      </c>
      <c r="T1526" s="4" t="s">
        <v>667</v>
      </c>
      <c r="U1526" s="4">
        <v>0</v>
      </c>
      <c r="V1526" s="4">
        <v>52</v>
      </c>
      <c r="W1526" s="4">
        <v>96</v>
      </c>
    </row>
    <row r="1527" spans="1:23" ht="11.25" customHeight="1" x14ac:dyDescent="0.25">
      <c r="A1527" s="4" t="s">
        <v>28</v>
      </c>
      <c r="B1527" s="4" t="s">
        <v>46</v>
      </c>
      <c r="C1527" s="4" t="s">
        <v>23</v>
      </c>
      <c r="D1527" s="4" t="s">
        <v>47</v>
      </c>
      <c r="E1527" s="4" t="s">
        <v>55</v>
      </c>
      <c r="F1527" s="4" t="s">
        <v>57</v>
      </c>
      <c r="G1527" s="4" t="s">
        <v>25</v>
      </c>
      <c r="H1527" s="4" t="s">
        <v>25</v>
      </c>
      <c r="I1527" s="5">
        <v>44713</v>
      </c>
      <c r="J1527" s="6">
        <v>0</v>
      </c>
      <c r="K1527" s="6">
        <v>0</v>
      </c>
      <c r="L1527" s="6">
        <v>1.5840000000000001</v>
      </c>
      <c r="M1527" s="6">
        <v>0.52271999999999996</v>
      </c>
      <c r="N1527" s="6">
        <v>1.5840000000000001</v>
      </c>
      <c r="O1527" s="6">
        <v>0.52271999999999996</v>
      </c>
      <c r="P1527" s="6">
        <v>0</v>
      </c>
      <c r="Q1527" s="4" t="s">
        <v>26</v>
      </c>
      <c r="R1527" s="4">
        <v>0</v>
      </c>
      <c r="S1527" s="4" t="s">
        <v>397</v>
      </c>
      <c r="T1527" s="4" t="s">
        <v>667</v>
      </c>
      <c r="U1527" s="4">
        <v>0</v>
      </c>
      <c r="V1527" s="4">
        <v>52</v>
      </c>
      <c r="W1527" s="4">
        <v>96</v>
      </c>
    </row>
    <row r="1528" spans="1:23" ht="11.25" customHeight="1" x14ac:dyDescent="0.25">
      <c r="A1528" s="4" t="s">
        <v>21</v>
      </c>
      <c r="B1528" s="4" t="s">
        <v>46</v>
      </c>
      <c r="C1528" s="4" t="s">
        <v>23</v>
      </c>
      <c r="D1528" s="4" t="s">
        <v>47</v>
      </c>
      <c r="E1528" s="4" t="s">
        <v>55</v>
      </c>
      <c r="F1528" s="4" t="s">
        <v>57</v>
      </c>
      <c r="G1528" s="4" t="s">
        <v>25</v>
      </c>
      <c r="H1528" s="4" t="s">
        <v>25</v>
      </c>
      <c r="I1528" s="5">
        <v>44743</v>
      </c>
      <c r="J1528" s="6">
        <v>0</v>
      </c>
      <c r="K1528" s="6">
        <v>0</v>
      </c>
      <c r="L1528" s="6">
        <v>6.5789999999999997</v>
      </c>
      <c r="M1528" s="6">
        <v>2.1710699999999998</v>
      </c>
      <c r="N1528" s="6">
        <v>6.5789999999999997</v>
      </c>
      <c r="O1528" s="6">
        <v>2.1710699999999998</v>
      </c>
      <c r="P1528" s="6">
        <v>0</v>
      </c>
      <c r="Q1528" s="4" t="s">
        <v>26</v>
      </c>
      <c r="R1528" s="4">
        <v>0</v>
      </c>
      <c r="S1528" s="4" t="s">
        <v>398</v>
      </c>
      <c r="T1528" s="4" t="s">
        <v>668</v>
      </c>
      <c r="U1528" s="4">
        <v>0</v>
      </c>
      <c r="V1528" s="4">
        <v>52</v>
      </c>
      <c r="W1528" s="4">
        <v>96</v>
      </c>
    </row>
    <row r="1529" spans="1:23" ht="11.25" customHeight="1" x14ac:dyDescent="0.25">
      <c r="A1529" s="4" t="s">
        <v>28</v>
      </c>
      <c r="B1529" s="4" t="s">
        <v>46</v>
      </c>
      <c r="C1529" s="4" t="s">
        <v>23</v>
      </c>
      <c r="D1529" s="4" t="s">
        <v>47</v>
      </c>
      <c r="E1529" s="4" t="s">
        <v>55</v>
      </c>
      <c r="F1529" s="4" t="s">
        <v>57</v>
      </c>
      <c r="G1529" s="4" t="s">
        <v>25</v>
      </c>
      <c r="H1529" s="4" t="s">
        <v>25</v>
      </c>
      <c r="I1529" s="5">
        <v>44743</v>
      </c>
      <c r="J1529" s="6">
        <v>0</v>
      </c>
      <c r="K1529" s="6">
        <v>0</v>
      </c>
      <c r="L1529" s="6">
        <v>1.6679999999999999</v>
      </c>
      <c r="M1529" s="6">
        <v>0.55044000000000004</v>
      </c>
      <c r="N1529" s="6">
        <v>1.6679999999999999</v>
      </c>
      <c r="O1529" s="6">
        <v>0.55044000000000004</v>
      </c>
      <c r="P1529" s="6">
        <v>0</v>
      </c>
      <c r="Q1529" s="4" t="s">
        <v>26</v>
      </c>
      <c r="R1529" s="4">
        <v>0</v>
      </c>
      <c r="S1529" s="4" t="s">
        <v>398</v>
      </c>
      <c r="T1529" s="4" t="s">
        <v>668</v>
      </c>
      <c r="U1529" s="4">
        <v>0</v>
      </c>
      <c r="V1529" s="4">
        <v>52</v>
      </c>
      <c r="W1529" s="4">
        <v>96</v>
      </c>
    </row>
    <row r="1530" spans="1:23" ht="11.25" customHeight="1" x14ac:dyDescent="0.25">
      <c r="A1530" s="4" t="s">
        <v>21</v>
      </c>
      <c r="B1530" s="4" t="s">
        <v>46</v>
      </c>
      <c r="C1530" s="4" t="s">
        <v>23</v>
      </c>
      <c r="D1530" s="4" t="s">
        <v>47</v>
      </c>
      <c r="E1530" s="4" t="s">
        <v>55</v>
      </c>
      <c r="F1530" s="4" t="s">
        <v>57</v>
      </c>
      <c r="G1530" s="4" t="s">
        <v>25</v>
      </c>
      <c r="H1530" s="4" t="s">
        <v>25</v>
      </c>
      <c r="I1530" s="5">
        <v>44774</v>
      </c>
      <c r="J1530" s="6">
        <v>0</v>
      </c>
      <c r="K1530" s="6">
        <v>0</v>
      </c>
      <c r="L1530" s="6">
        <v>7.8360000000000003</v>
      </c>
      <c r="M1530" s="6">
        <v>2.58588</v>
      </c>
      <c r="N1530" s="6">
        <v>7.8360000000000003</v>
      </c>
      <c r="O1530" s="6">
        <v>2.58588</v>
      </c>
      <c r="P1530" s="6">
        <v>0</v>
      </c>
      <c r="Q1530" s="4" t="s">
        <v>26</v>
      </c>
      <c r="R1530" s="4">
        <v>0</v>
      </c>
      <c r="S1530" s="4" t="s">
        <v>399</v>
      </c>
      <c r="T1530" s="4" t="s">
        <v>669</v>
      </c>
      <c r="U1530" s="4">
        <v>0</v>
      </c>
      <c r="V1530" s="4">
        <v>52</v>
      </c>
      <c r="W1530" s="4">
        <v>96</v>
      </c>
    </row>
    <row r="1531" spans="1:23" ht="11.25" customHeight="1" x14ac:dyDescent="0.25">
      <c r="A1531" s="4" t="s">
        <v>28</v>
      </c>
      <c r="B1531" s="4" t="s">
        <v>46</v>
      </c>
      <c r="C1531" s="4" t="s">
        <v>23</v>
      </c>
      <c r="D1531" s="4" t="s">
        <v>47</v>
      </c>
      <c r="E1531" s="4" t="s">
        <v>55</v>
      </c>
      <c r="F1531" s="4" t="s">
        <v>57</v>
      </c>
      <c r="G1531" s="4" t="s">
        <v>25</v>
      </c>
      <c r="H1531" s="4" t="s">
        <v>25</v>
      </c>
      <c r="I1531" s="5">
        <v>44774</v>
      </c>
      <c r="J1531" s="6">
        <v>0</v>
      </c>
      <c r="K1531" s="6">
        <v>0</v>
      </c>
      <c r="L1531" s="6">
        <v>3.8460000000000001</v>
      </c>
      <c r="M1531" s="6">
        <v>1.26918</v>
      </c>
      <c r="N1531" s="6">
        <v>3.8460000000000001</v>
      </c>
      <c r="O1531" s="6">
        <v>1.26918</v>
      </c>
      <c r="P1531" s="6">
        <v>0</v>
      </c>
      <c r="Q1531" s="4" t="s">
        <v>26</v>
      </c>
      <c r="R1531" s="4">
        <v>0</v>
      </c>
      <c r="S1531" s="4" t="s">
        <v>399</v>
      </c>
      <c r="T1531" s="4" t="s">
        <v>669</v>
      </c>
      <c r="U1531" s="4">
        <v>0</v>
      </c>
      <c r="V1531" s="4">
        <v>52</v>
      </c>
      <c r="W1531" s="4">
        <v>96</v>
      </c>
    </row>
    <row r="1532" spans="1:23" ht="11.25" customHeight="1" x14ac:dyDescent="0.25">
      <c r="A1532" s="4" t="s">
        <v>21</v>
      </c>
      <c r="B1532" s="4" t="s">
        <v>46</v>
      </c>
      <c r="C1532" s="4" t="s">
        <v>23</v>
      </c>
      <c r="D1532" s="4" t="s">
        <v>47</v>
      </c>
      <c r="E1532" s="4" t="s">
        <v>55</v>
      </c>
      <c r="F1532" s="4" t="s">
        <v>57</v>
      </c>
      <c r="G1532" s="4" t="s">
        <v>25</v>
      </c>
      <c r="H1532" s="4" t="s">
        <v>25</v>
      </c>
      <c r="I1532" s="5">
        <v>44805</v>
      </c>
      <c r="J1532" s="6">
        <v>0</v>
      </c>
      <c r="K1532" s="6">
        <v>0</v>
      </c>
      <c r="L1532" s="6">
        <v>5.8609999999999998</v>
      </c>
      <c r="M1532" s="6">
        <v>1.9341299999999999</v>
      </c>
      <c r="N1532" s="6">
        <v>5.8609999999999998</v>
      </c>
      <c r="O1532" s="6">
        <v>1.9341299999999999</v>
      </c>
      <c r="P1532" s="6">
        <v>0</v>
      </c>
      <c r="Q1532" s="4" t="s">
        <v>26</v>
      </c>
      <c r="R1532" s="4">
        <v>0</v>
      </c>
      <c r="S1532" s="4" t="s">
        <v>400</v>
      </c>
      <c r="T1532" s="4" t="s">
        <v>670</v>
      </c>
      <c r="U1532" s="4">
        <v>0</v>
      </c>
      <c r="V1532" s="4">
        <v>52</v>
      </c>
      <c r="W1532" s="4">
        <v>96</v>
      </c>
    </row>
    <row r="1533" spans="1:23" ht="11.25" customHeight="1" x14ac:dyDescent="0.25">
      <c r="A1533" s="4" t="s">
        <v>28</v>
      </c>
      <c r="B1533" s="4" t="s">
        <v>46</v>
      </c>
      <c r="C1533" s="4" t="s">
        <v>23</v>
      </c>
      <c r="D1533" s="4" t="s">
        <v>47</v>
      </c>
      <c r="E1533" s="4" t="s">
        <v>55</v>
      </c>
      <c r="F1533" s="4" t="s">
        <v>57</v>
      </c>
      <c r="G1533" s="4" t="s">
        <v>25</v>
      </c>
      <c r="H1533" s="4" t="s">
        <v>25</v>
      </c>
      <c r="I1533" s="5">
        <v>44805</v>
      </c>
      <c r="J1533" s="6">
        <v>0</v>
      </c>
      <c r="K1533" s="6">
        <v>0</v>
      </c>
      <c r="L1533" s="6">
        <v>2.2930000000000001</v>
      </c>
      <c r="M1533" s="6">
        <v>0.75668999999999997</v>
      </c>
      <c r="N1533" s="6">
        <v>2.2930000000000001</v>
      </c>
      <c r="O1533" s="6">
        <v>0.75668999999999997</v>
      </c>
      <c r="P1533" s="6">
        <v>0</v>
      </c>
      <c r="Q1533" s="4" t="s">
        <v>26</v>
      </c>
      <c r="R1533" s="4">
        <v>0</v>
      </c>
      <c r="S1533" s="4" t="s">
        <v>400</v>
      </c>
      <c r="T1533" s="4" t="s">
        <v>670</v>
      </c>
      <c r="U1533" s="4">
        <v>0</v>
      </c>
      <c r="V1533" s="4">
        <v>52</v>
      </c>
      <c r="W1533" s="4">
        <v>96</v>
      </c>
    </row>
    <row r="1534" spans="1:23" ht="11.25" customHeight="1" x14ac:dyDescent="0.25">
      <c r="A1534" s="4" t="s">
        <v>21</v>
      </c>
      <c r="B1534" s="4" t="s">
        <v>46</v>
      </c>
      <c r="C1534" s="4" t="s">
        <v>23</v>
      </c>
      <c r="D1534" s="4" t="s">
        <v>47</v>
      </c>
      <c r="E1534" s="4" t="s">
        <v>55</v>
      </c>
      <c r="F1534" s="4" t="s">
        <v>57</v>
      </c>
      <c r="G1534" s="4" t="s">
        <v>25</v>
      </c>
      <c r="H1534" s="4" t="s">
        <v>25</v>
      </c>
      <c r="I1534" s="5">
        <v>44835</v>
      </c>
      <c r="J1534" s="6">
        <v>0</v>
      </c>
      <c r="K1534" s="6">
        <v>0</v>
      </c>
      <c r="L1534" s="6">
        <v>3.5070000000000001</v>
      </c>
      <c r="M1534" s="6">
        <v>1.1573100000000001</v>
      </c>
      <c r="N1534" s="6">
        <v>3.5070000000000001</v>
      </c>
      <c r="O1534" s="6">
        <v>1.1573100000000001</v>
      </c>
      <c r="P1534" s="6">
        <v>0</v>
      </c>
      <c r="Q1534" s="4" t="s">
        <v>26</v>
      </c>
      <c r="R1534" s="4">
        <v>0</v>
      </c>
      <c r="S1534" s="4" t="s">
        <v>401</v>
      </c>
      <c r="T1534" s="4" t="s">
        <v>671</v>
      </c>
      <c r="U1534" s="4">
        <v>0</v>
      </c>
      <c r="V1534" s="4">
        <v>52</v>
      </c>
      <c r="W1534" s="4">
        <v>96</v>
      </c>
    </row>
    <row r="1535" spans="1:23" ht="11.25" customHeight="1" x14ac:dyDescent="0.25">
      <c r="A1535" s="4" t="s">
        <v>28</v>
      </c>
      <c r="B1535" s="4" t="s">
        <v>46</v>
      </c>
      <c r="C1535" s="4" t="s">
        <v>23</v>
      </c>
      <c r="D1535" s="4" t="s">
        <v>47</v>
      </c>
      <c r="E1535" s="4" t="s">
        <v>55</v>
      </c>
      <c r="F1535" s="4" t="s">
        <v>57</v>
      </c>
      <c r="G1535" s="4" t="s">
        <v>25</v>
      </c>
      <c r="H1535" s="4" t="s">
        <v>25</v>
      </c>
      <c r="I1535" s="5">
        <v>44835</v>
      </c>
      <c r="J1535" s="6">
        <v>0</v>
      </c>
      <c r="K1535" s="6">
        <v>0</v>
      </c>
      <c r="L1535" s="6">
        <v>2.9489999999999998</v>
      </c>
      <c r="M1535" s="6">
        <v>0.97316999999999998</v>
      </c>
      <c r="N1535" s="6">
        <v>2.9489999999999998</v>
      </c>
      <c r="O1535" s="6">
        <v>0.97316999999999998</v>
      </c>
      <c r="P1535" s="6">
        <v>0</v>
      </c>
      <c r="Q1535" s="4" t="s">
        <v>26</v>
      </c>
      <c r="R1535" s="4">
        <v>0</v>
      </c>
      <c r="S1535" s="4" t="s">
        <v>401</v>
      </c>
      <c r="T1535" s="4" t="s">
        <v>671</v>
      </c>
      <c r="U1535" s="4">
        <v>0</v>
      </c>
      <c r="V1535" s="4">
        <v>52</v>
      </c>
      <c r="W1535" s="4">
        <v>96</v>
      </c>
    </row>
    <row r="1536" spans="1:23" ht="11.25" customHeight="1" x14ac:dyDescent="0.25">
      <c r="A1536" s="4" t="s">
        <v>59</v>
      </c>
      <c r="B1536" s="4" t="s">
        <v>46</v>
      </c>
      <c r="C1536" s="4" t="s">
        <v>23</v>
      </c>
      <c r="D1536" s="4" t="s">
        <v>47</v>
      </c>
      <c r="E1536" s="4" t="s">
        <v>55</v>
      </c>
      <c r="F1536" s="4" t="s">
        <v>57</v>
      </c>
      <c r="G1536" s="4" t="s">
        <v>25</v>
      </c>
      <c r="H1536" s="4" t="s">
        <v>25</v>
      </c>
      <c r="I1536" s="5">
        <v>44866</v>
      </c>
      <c r="J1536" s="6">
        <v>0</v>
      </c>
      <c r="K1536" s="6">
        <v>0</v>
      </c>
      <c r="L1536" s="6">
        <v>3.5070000000000001</v>
      </c>
      <c r="M1536" s="6">
        <v>1.1573100000000001</v>
      </c>
      <c r="N1536" s="6">
        <v>3.5070000000000001</v>
      </c>
      <c r="O1536" s="6">
        <v>1.1573100000000001</v>
      </c>
      <c r="P1536" s="6">
        <v>0</v>
      </c>
      <c r="Q1536" s="4" t="s">
        <v>26</v>
      </c>
      <c r="R1536" s="4">
        <v>0</v>
      </c>
      <c r="S1536" s="4" t="s">
        <v>402</v>
      </c>
      <c r="T1536" s="4" t="s">
        <v>672</v>
      </c>
      <c r="U1536" s="4">
        <v>0</v>
      </c>
      <c r="V1536" s="4">
        <v>52</v>
      </c>
      <c r="W1536" s="4">
        <v>96</v>
      </c>
    </row>
    <row r="1537" spans="1:23" ht="11.25" customHeight="1" x14ac:dyDescent="0.25">
      <c r="A1537" s="4" t="s">
        <v>59</v>
      </c>
      <c r="B1537" s="4" t="s">
        <v>46</v>
      </c>
      <c r="C1537" s="4" t="s">
        <v>23</v>
      </c>
      <c r="D1537" s="4" t="s">
        <v>47</v>
      </c>
      <c r="E1537" s="4" t="s">
        <v>55</v>
      </c>
      <c r="F1537" s="4" t="s">
        <v>57</v>
      </c>
      <c r="G1537" s="4" t="s">
        <v>25</v>
      </c>
      <c r="H1537" s="4" t="s">
        <v>25</v>
      </c>
      <c r="I1537" s="5">
        <v>44866</v>
      </c>
      <c r="J1537" s="6">
        <v>0</v>
      </c>
      <c r="K1537" s="6">
        <v>0</v>
      </c>
      <c r="L1537" s="6">
        <v>2.9489999999999998</v>
      </c>
      <c r="M1537" s="6">
        <v>0.97316999999999998</v>
      </c>
      <c r="N1537" s="6">
        <v>2.9489999999999998</v>
      </c>
      <c r="O1537" s="6">
        <v>0.97316999999999998</v>
      </c>
      <c r="P1537" s="6">
        <v>0</v>
      </c>
      <c r="Q1537" s="4" t="s">
        <v>26</v>
      </c>
      <c r="R1537" s="4">
        <v>0</v>
      </c>
      <c r="S1537" s="4" t="s">
        <v>402</v>
      </c>
      <c r="T1537" s="4" t="s">
        <v>672</v>
      </c>
      <c r="U1537" s="4">
        <v>0</v>
      </c>
      <c r="V1537" s="4">
        <v>52</v>
      </c>
      <c r="W1537" s="4">
        <v>96</v>
      </c>
    </row>
    <row r="1538" spans="1:23" ht="11.25" customHeight="1" x14ac:dyDescent="0.25">
      <c r="A1538" s="4" t="s">
        <v>21</v>
      </c>
      <c r="B1538" s="4" t="s">
        <v>46</v>
      </c>
      <c r="C1538" s="4" t="s">
        <v>23</v>
      </c>
      <c r="D1538" s="4" t="s">
        <v>47</v>
      </c>
      <c r="E1538" s="4" t="s">
        <v>58</v>
      </c>
      <c r="F1538" s="4" t="s">
        <v>56</v>
      </c>
      <c r="G1538" s="4" t="s">
        <v>25</v>
      </c>
      <c r="H1538" s="4" t="s">
        <v>25</v>
      </c>
      <c r="I1538" s="5">
        <v>44682</v>
      </c>
      <c r="J1538" s="6">
        <v>0</v>
      </c>
      <c r="K1538" s="6">
        <v>0</v>
      </c>
      <c r="L1538" s="6">
        <v>0.30099999999999999</v>
      </c>
      <c r="M1538" s="6">
        <v>0.30099999999999999</v>
      </c>
      <c r="N1538" s="6">
        <v>0.30099999999999999</v>
      </c>
      <c r="O1538" s="6">
        <v>0.30099999999999999</v>
      </c>
      <c r="P1538" s="6">
        <v>0</v>
      </c>
      <c r="Q1538" s="4" t="s">
        <v>26</v>
      </c>
      <c r="R1538" s="4">
        <v>0</v>
      </c>
      <c r="S1538" s="4" t="s">
        <v>396</v>
      </c>
      <c r="T1538" s="4" t="s">
        <v>666</v>
      </c>
      <c r="U1538" s="4">
        <v>0</v>
      </c>
      <c r="V1538" s="4">
        <v>52</v>
      </c>
      <c r="W1538" s="4">
        <v>96</v>
      </c>
    </row>
    <row r="1539" spans="1:23" ht="11.25" customHeight="1" x14ac:dyDescent="0.25">
      <c r="A1539" s="4" t="s">
        <v>21</v>
      </c>
      <c r="B1539" s="4" t="s">
        <v>46</v>
      </c>
      <c r="C1539" s="4" t="s">
        <v>23</v>
      </c>
      <c r="D1539" s="4" t="s">
        <v>47</v>
      </c>
      <c r="E1539" s="4" t="s">
        <v>58</v>
      </c>
      <c r="F1539" s="4" t="s">
        <v>56</v>
      </c>
      <c r="G1539" s="4" t="s">
        <v>25</v>
      </c>
      <c r="H1539" s="4" t="s">
        <v>25</v>
      </c>
      <c r="I1539" s="5">
        <v>44713</v>
      </c>
      <c r="J1539" s="6">
        <v>0</v>
      </c>
      <c r="K1539" s="6">
        <v>0</v>
      </c>
      <c r="L1539" s="6">
        <v>0.25700000000000001</v>
      </c>
      <c r="M1539" s="6">
        <v>0.25700000000000001</v>
      </c>
      <c r="N1539" s="6">
        <v>0.25700000000000001</v>
      </c>
      <c r="O1539" s="6">
        <v>0.25700000000000001</v>
      </c>
      <c r="P1539" s="6">
        <v>0</v>
      </c>
      <c r="Q1539" s="4" t="s">
        <v>26</v>
      </c>
      <c r="R1539" s="4">
        <v>0</v>
      </c>
      <c r="S1539" s="4" t="s">
        <v>397</v>
      </c>
      <c r="T1539" s="4" t="s">
        <v>667</v>
      </c>
      <c r="U1539" s="4">
        <v>0</v>
      </c>
      <c r="V1539" s="4">
        <v>52</v>
      </c>
      <c r="W1539" s="4">
        <v>96</v>
      </c>
    </row>
    <row r="1540" spans="1:23" ht="11.25" customHeight="1" x14ac:dyDescent="0.25">
      <c r="A1540" s="4" t="s">
        <v>21</v>
      </c>
      <c r="B1540" s="4" t="s">
        <v>46</v>
      </c>
      <c r="C1540" s="4" t="s">
        <v>23</v>
      </c>
      <c r="D1540" s="4" t="s">
        <v>47</v>
      </c>
      <c r="E1540" s="4" t="s">
        <v>58</v>
      </c>
      <c r="F1540" s="4" t="s">
        <v>56</v>
      </c>
      <c r="G1540" s="4" t="s">
        <v>25</v>
      </c>
      <c r="H1540" s="4" t="s">
        <v>25</v>
      </c>
      <c r="I1540" s="5">
        <v>44743</v>
      </c>
      <c r="J1540" s="6">
        <v>0</v>
      </c>
      <c r="K1540" s="6">
        <v>0</v>
      </c>
      <c r="L1540" s="6">
        <v>0.27400000000000002</v>
      </c>
      <c r="M1540" s="6">
        <v>0.27400000000000002</v>
      </c>
      <c r="N1540" s="6">
        <v>0.27400000000000002</v>
      </c>
      <c r="O1540" s="6">
        <v>0.27400000000000002</v>
      </c>
      <c r="P1540" s="6">
        <v>0</v>
      </c>
      <c r="Q1540" s="4" t="s">
        <v>26</v>
      </c>
      <c r="R1540" s="4">
        <v>0</v>
      </c>
      <c r="S1540" s="4" t="s">
        <v>398</v>
      </c>
      <c r="T1540" s="4" t="s">
        <v>668</v>
      </c>
      <c r="U1540" s="4">
        <v>0</v>
      </c>
      <c r="V1540" s="4">
        <v>52</v>
      </c>
      <c r="W1540" s="4">
        <v>96</v>
      </c>
    </row>
    <row r="1541" spans="1:23" ht="11.25" customHeight="1" x14ac:dyDescent="0.25">
      <c r="A1541" s="4" t="s">
        <v>21</v>
      </c>
      <c r="B1541" s="4" t="s">
        <v>46</v>
      </c>
      <c r="C1541" s="4" t="s">
        <v>23</v>
      </c>
      <c r="D1541" s="4" t="s">
        <v>47</v>
      </c>
      <c r="E1541" s="4" t="s">
        <v>58</v>
      </c>
      <c r="F1541" s="4" t="s">
        <v>56</v>
      </c>
      <c r="G1541" s="4" t="s">
        <v>25</v>
      </c>
      <c r="H1541" s="4" t="s">
        <v>25</v>
      </c>
      <c r="I1541" s="5">
        <v>44774</v>
      </c>
      <c r="J1541" s="6">
        <v>0</v>
      </c>
      <c r="K1541" s="6">
        <v>0</v>
      </c>
      <c r="L1541" s="6">
        <v>0.23</v>
      </c>
      <c r="M1541" s="6">
        <v>0.23</v>
      </c>
      <c r="N1541" s="6">
        <v>0.23</v>
      </c>
      <c r="O1541" s="6">
        <v>0.23</v>
      </c>
      <c r="P1541" s="6">
        <v>0</v>
      </c>
      <c r="Q1541" s="4" t="s">
        <v>26</v>
      </c>
      <c r="R1541" s="4">
        <v>0</v>
      </c>
      <c r="S1541" s="4" t="s">
        <v>399</v>
      </c>
      <c r="T1541" s="4" t="s">
        <v>669</v>
      </c>
      <c r="U1541" s="4">
        <v>0</v>
      </c>
      <c r="V1541" s="4">
        <v>52</v>
      </c>
      <c r="W1541" s="4">
        <v>96</v>
      </c>
    </row>
    <row r="1542" spans="1:23" ht="11.25" customHeight="1" x14ac:dyDescent="0.25">
      <c r="A1542" s="4" t="s">
        <v>21</v>
      </c>
      <c r="B1542" s="4" t="s">
        <v>46</v>
      </c>
      <c r="C1542" s="4" t="s">
        <v>23</v>
      </c>
      <c r="D1542" s="4" t="s">
        <v>47</v>
      </c>
      <c r="E1542" s="4" t="s">
        <v>25</v>
      </c>
      <c r="F1542" s="4" t="s">
        <v>25</v>
      </c>
      <c r="G1542" s="4" t="s">
        <v>25</v>
      </c>
      <c r="H1542" s="4" t="s">
        <v>25</v>
      </c>
      <c r="I1542" s="5">
        <v>44531</v>
      </c>
      <c r="J1542" s="6">
        <v>0</v>
      </c>
      <c r="K1542" s="6">
        <v>0</v>
      </c>
      <c r="L1542" s="6">
        <v>3806.0970000000002</v>
      </c>
      <c r="M1542" s="6">
        <v>3806.0970000000002</v>
      </c>
      <c r="N1542" s="6">
        <v>3806.0970000000002</v>
      </c>
      <c r="O1542" s="6">
        <v>3806.0970000000002</v>
      </c>
      <c r="P1542" s="6">
        <v>21162</v>
      </c>
      <c r="Q1542" s="4" t="s">
        <v>26</v>
      </c>
      <c r="R1542" s="4">
        <v>0</v>
      </c>
      <c r="S1542" s="4" t="s">
        <v>391</v>
      </c>
      <c r="T1542" s="4" t="s">
        <v>661</v>
      </c>
      <c r="U1542" s="4">
        <v>0</v>
      </c>
      <c r="V1542" s="4">
        <v>52</v>
      </c>
      <c r="W1542" s="4">
        <v>96</v>
      </c>
    </row>
    <row r="1543" spans="1:23" ht="11.25" customHeight="1" x14ac:dyDescent="0.25">
      <c r="A1543" s="4" t="s">
        <v>27</v>
      </c>
      <c r="B1543" s="4" t="s">
        <v>46</v>
      </c>
      <c r="C1543" s="4" t="s">
        <v>23</v>
      </c>
      <c r="D1543" s="4" t="s">
        <v>47</v>
      </c>
      <c r="E1543" s="4" t="s">
        <v>25</v>
      </c>
      <c r="F1543" s="4" t="s">
        <v>25</v>
      </c>
      <c r="G1543" s="4" t="s">
        <v>25</v>
      </c>
      <c r="H1543" s="4" t="s">
        <v>25</v>
      </c>
      <c r="I1543" s="5">
        <v>44531</v>
      </c>
      <c r="J1543" s="6">
        <v>0</v>
      </c>
      <c r="K1543" s="6">
        <v>0</v>
      </c>
      <c r="L1543" s="6">
        <v>-53.863999999999997</v>
      </c>
      <c r="M1543" s="6">
        <v>-53.863999999999997</v>
      </c>
      <c r="N1543" s="6">
        <v>-53.863999999999997</v>
      </c>
      <c r="O1543" s="6">
        <v>-53.863999999999997</v>
      </c>
      <c r="P1543" s="6">
        <v>-17</v>
      </c>
      <c r="Q1543" s="4" t="s">
        <v>26</v>
      </c>
      <c r="R1543" s="4">
        <v>0</v>
      </c>
      <c r="S1543" s="4" t="s">
        <v>391</v>
      </c>
      <c r="T1543" s="4" t="s">
        <v>661</v>
      </c>
      <c r="U1543" s="4">
        <v>0</v>
      </c>
      <c r="V1543" s="4">
        <v>52</v>
      </c>
      <c r="W1543" s="4">
        <v>96</v>
      </c>
    </row>
    <row r="1544" spans="1:23" ht="11.25" customHeight="1" x14ac:dyDescent="0.25">
      <c r="A1544" s="4" t="s">
        <v>28</v>
      </c>
      <c r="B1544" s="4" t="s">
        <v>46</v>
      </c>
      <c r="C1544" s="4" t="s">
        <v>23</v>
      </c>
      <c r="D1544" s="4" t="s">
        <v>47</v>
      </c>
      <c r="E1544" s="4" t="s">
        <v>25</v>
      </c>
      <c r="F1544" s="4" t="s">
        <v>25</v>
      </c>
      <c r="G1544" s="4" t="s">
        <v>25</v>
      </c>
      <c r="H1544" s="4" t="s">
        <v>25</v>
      </c>
      <c r="I1544" s="5">
        <v>44531</v>
      </c>
      <c r="J1544" s="6">
        <v>0</v>
      </c>
      <c r="K1544" s="6">
        <v>0</v>
      </c>
      <c r="L1544" s="6">
        <v>742.30700000000002</v>
      </c>
      <c r="M1544" s="6">
        <v>742.30700000000002</v>
      </c>
      <c r="N1544" s="6">
        <v>742.30700000000002</v>
      </c>
      <c r="O1544" s="6">
        <v>742.30700000000002</v>
      </c>
      <c r="P1544" s="6">
        <v>4882</v>
      </c>
      <c r="Q1544" s="4" t="s">
        <v>26</v>
      </c>
      <c r="R1544" s="4">
        <v>0</v>
      </c>
      <c r="S1544" s="4" t="s">
        <v>391</v>
      </c>
      <c r="T1544" s="4" t="s">
        <v>661</v>
      </c>
      <c r="U1544" s="4">
        <v>0</v>
      </c>
      <c r="V1544" s="4">
        <v>52</v>
      </c>
      <c r="W1544" s="4">
        <v>96</v>
      </c>
    </row>
    <row r="1545" spans="1:23" ht="11.25" customHeight="1" x14ac:dyDescent="0.25">
      <c r="A1545" s="4" t="s">
        <v>29</v>
      </c>
      <c r="B1545" s="4" t="s">
        <v>46</v>
      </c>
      <c r="C1545" s="4" t="s">
        <v>23</v>
      </c>
      <c r="D1545" s="4" t="s">
        <v>47</v>
      </c>
      <c r="E1545" s="4" t="s">
        <v>25</v>
      </c>
      <c r="F1545" s="4" t="s">
        <v>25</v>
      </c>
      <c r="G1545" s="4" t="s">
        <v>25</v>
      </c>
      <c r="H1545" s="4" t="s">
        <v>25</v>
      </c>
      <c r="I1545" s="5">
        <v>44531</v>
      </c>
      <c r="J1545" s="6">
        <v>0</v>
      </c>
      <c r="K1545" s="6">
        <v>0</v>
      </c>
      <c r="L1545" s="6">
        <v>-0.57199999999999995</v>
      </c>
      <c r="M1545" s="6">
        <v>-0.57199999999999995</v>
      </c>
      <c r="N1545" s="6">
        <v>-0.57199999999999995</v>
      </c>
      <c r="O1545" s="6">
        <v>-0.57199999999999995</v>
      </c>
      <c r="P1545" s="6">
        <v>-6</v>
      </c>
      <c r="Q1545" s="4" t="s">
        <v>26</v>
      </c>
      <c r="R1545" s="4">
        <v>0</v>
      </c>
      <c r="S1545" s="4" t="s">
        <v>391</v>
      </c>
      <c r="T1545" s="4" t="s">
        <v>661</v>
      </c>
      <c r="U1545" s="4">
        <v>0</v>
      </c>
      <c r="V1545" s="4">
        <v>52</v>
      </c>
      <c r="W1545" s="4">
        <v>96</v>
      </c>
    </row>
    <row r="1546" spans="1:23" ht="11.25" customHeight="1" x14ac:dyDescent="0.25">
      <c r="A1546" s="4" t="s">
        <v>30</v>
      </c>
      <c r="B1546" s="4" t="s">
        <v>46</v>
      </c>
      <c r="C1546" s="4" t="s">
        <v>23</v>
      </c>
      <c r="D1546" s="4" t="s">
        <v>47</v>
      </c>
      <c r="E1546" s="4" t="s">
        <v>25</v>
      </c>
      <c r="F1546" s="4" t="s">
        <v>25</v>
      </c>
      <c r="G1546" s="4" t="s">
        <v>25</v>
      </c>
      <c r="H1546" s="4" t="s">
        <v>25</v>
      </c>
      <c r="I1546" s="5">
        <v>44531</v>
      </c>
      <c r="J1546" s="6">
        <v>0</v>
      </c>
      <c r="K1546" s="6">
        <v>0</v>
      </c>
      <c r="L1546" s="6">
        <v>33.865000000000002</v>
      </c>
      <c r="M1546" s="6">
        <v>33.865000000000002</v>
      </c>
      <c r="N1546" s="6">
        <v>33.865000000000002</v>
      </c>
      <c r="O1546" s="6">
        <v>33.865000000000002</v>
      </c>
      <c r="P1546" s="6">
        <v>188</v>
      </c>
      <c r="Q1546" s="4" t="s">
        <v>26</v>
      </c>
      <c r="R1546" s="4">
        <v>0</v>
      </c>
      <c r="S1546" s="4" t="s">
        <v>391</v>
      </c>
      <c r="T1546" s="4" t="s">
        <v>661</v>
      </c>
      <c r="U1546" s="4">
        <v>0</v>
      </c>
      <c r="V1546" s="4">
        <v>52</v>
      </c>
      <c r="W1546" s="4">
        <v>96</v>
      </c>
    </row>
    <row r="1547" spans="1:23" ht="11.25" customHeight="1" x14ac:dyDescent="0.25">
      <c r="A1547" s="4" t="s">
        <v>30</v>
      </c>
      <c r="B1547" s="4" t="s">
        <v>46</v>
      </c>
      <c r="C1547" s="4" t="s">
        <v>23</v>
      </c>
      <c r="D1547" s="4" t="s">
        <v>47</v>
      </c>
      <c r="E1547" s="4" t="s">
        <v>25</v>
      </c>
      <c r="F1547" s="4" t="s">
        <v>25</v>
      </c>
      <c r="G1547" s="4" t="s">
        <v>25</v>
      </c>
      <c r="H1547" s="4" t="s">
        <v>25</v>
      </c>
      <c r="I1547" s="5">
        <v>44531</v>
      </c>
      <c r="J1547" s="6">
        <v>0</v>
      </c>
      <c r="K1547" s="6">
        <v>0</v>
      </c>
      <c r="L1547" s="6">
        <v>2.5419999999999998</v>
      </c>
      <c r="M1547" s="6">
        <v>2.5419999999999998</v>
      </c>
      <c r="N1547" s="6">
        <v>2.5419999999999998</v>
      </c>
      <c r="O1547" s="6">
        <v>2.5419999999999998</v>
      </c>
      <c r="P1547" s="6">
        <v>0</v>
      </c>
      <c r="Q1547" s="4" t="s">
        <v>26</v>
      </c>
      <c r="R1547" s="4">
        <v>0</v>
      </c>
      <c r="S1547" s="4" t="s">
        <v>391</v>
      </c>
      <c r="T1547" s="4" t="s">
        <v>661</v>
      </c>
      <c r="U1547" s="4">
        <v>0</v>
      </c>
      <c r="V1547" s="4">
        <v>52</v>
      </c>
      <c r="W1547" s="4">
        <v>96</v>
      </c>
    </row>
    <row r="1548" spans="1:23" ht="11.25" customHeight="1" x14ac:dyDescent="0.25">
      <c r="A1548" s="4" t="s">
        <v>21</v>
      </c>
      <c r="B1548" s="4" t="s">
        <v>46</v>
      </c>
      <c r="C1548" s="4" t="s">
        <v>23</v>
      </c>
      <c r="D1548" s="4" t="s">
        <v>47</v>
      </c>
      <c r="E1548" s="4" t="s">
        <v>25</v>
      </c>
      <c r="F1548" s="4" t="s">
        <v>25</v>
      </c>
      <c r="G1548" s="4" t="s">
        <v>25</v>
      </c>
      <c r="H1548" s="4" t="s">
        <v>25</v>
      </c>
      <c r="I1548" s="5">
        <v>44562</v>
      </c>
      <c r="J1548" s="6">
        <v>0</v>
      </c>
      <c r="K1548" s="6">
        <v>0</v>
      </c>
      <c r="L1548" s="6">
        <v>3887.748</v>
      </c>
      <c r="M1548" s="6">
        <v>3887.748</v>
      </c>
      <c r="N1548" s="6">
        <v>3887.748</v>
      </c>
      <c r="O1548" s="6">
        <v>3887.748</v>
      </c>
      <c r="P1548" s="6">
        <v>21159</v>
      </c>
      <c r="Q1548" s="4" t="s">
        <v>26</v>
      </c>
      <c r="R1548" s="4">
        <v>0</v>
      </c>
      <c r="S1548" s="4" t="s">
        <v>392</v>
      </c>
      <c r="T1548" s="4" t="s">
        <v>662</v>
      </c>
      <c r="U1548" s="4">
        <v>0</v>
      </c>
      <c r="V1548" s="4">
        <v>52</v>
      </c>
      <c r="W1548" s="4">
        <v>96</v>
      </c>
    </row>
    <row r="1549" spans="1:23" ht="11.25" customHeight="1" x14ac:dyDescent="0.25">
      <c r="A1549" s="4" t="s">
        <v>27</v>
      </c>
      <c r="B1549" s="4" t="s">
        <v>46</v>
      </c>
      <c r="C1549" s="4" t="s">
        <v>23</v>
      </c>
      <c r="D1549" s="4" t="s">
        <v>47</v>
      </c>
      <c r="E1549" s="4" t="s">
        <v>25</v>
      </c>
      <c r="F1549" s="4" t="s">
        <v>25</v>
      </c>
      <c r="G1549" s="4" t="s">
        <v>25</v>
      </c>
      <c r="H1549" s="4" t="s">
        <v>25</v>
      </c>
      <c r="I1549" s="5">
        <v>44562</v>
      </c>
      <c r="J1549" s="6">
        <v>0</v>
      </c>
      <c r="K1549" s="6">
        <v>0</v>
      </c>
      <c r="L1549" s="6">
        <v>-23.393999999999998</v>
      </c>
      <c r="M1549" s="6">
        <v>-23.393999999999998</v>
      </c>
      <c r="N1549" s="6">
        <v>-23.393999999999998</v>
      </c>
      <c r="O1549" s="6">
        <v>-23.393999999999998</v>
      </c>
      <c r="P1549" s="6">
        <v>-23</v>
      </c>
      <c r="Q1549" s="4" t="s">
        <v>26</v>
      </c>
      <c r="R1549" s="4">
        <v>0</v>
      </c>
      <c r="S1549" s="4" t="s">
        <v>392</v>
      </c>
      <c r="T1549" s="4" t="s">
        <v>662</v>
      </c>
      <c r="U1549" s="4">
        <v>0</v>
      </c>
      <c r="V1549" s="4">
        <v>52</v>
      </c>
      <c r="W1549" s="4">
        <v>96</v>
      </c>
    </row>
    <row r="1550" spans="1:23" ht="11.25" customHeight="1" x14ac:dyDescent="0.25">
      <c r="A1550" s="4" t="s">
        <v>28</v>
      </c>
      <c r="B1550" s="4" t="s">
        <v>46</v>
      </c>
      <c r="C1550" s="4" t="s">
        <v>23</v>
      </c>
      <c r="D1550" s="4" t="s">
        <v>47</v>
      </c>
      <c r="E1550" s="4" t="s">
        <v>25</v>
      </c>
      <c r="F1550" s="4" t="s">
        <v>25</v>
      </c>
      <c r="G1550" s="4" t="s">
        <v>25</v>
      </c>
      <c r="H1550" s="4" t="s">
        <v>25</v>
      </c>
      <c r="I1550" s="5">
        <v>44562</v>
      </c>
      <c r="J1550" s="6">
        <v>0</v>
      </c>
      <c r="K1550" s="6">
        <v>0</v>
      </c>
      <c r="L1550" s="6">
        <v>748.86</v>
      </c>
      <c r="M1550" s="6">
        <v>748.86</v>
      </c>
      <c r="N1550" s="6">
        <v>748.86</v>
      </c>
      <c r="O1550" s="6">
        <v>748.86</v>
      </c>
      <c r="P1550" s="6">
        <v>4864</v>
      </c>
      <c r="Q1550" s="4" t="s">
        <v>26</v>
      </c>
      <c r="R1550" s="4">
        <v>0</v>
      </c>
      <c r="S1550" s="4" t="s">
        <v>392</v>
      </c>
      <c r="T1550" s="4" t="s">
        <v>662</v>
      </c>
      <c r="U1550" s="4">
        <v>0</v>
      </c>
      <c r="V1550" s="4">
        <v>52</v>
      </c>
      <c r="W1550" s="4">
        <v>96</v>
      </c>
    </row>
    <row r="1551" spans="1:23" ht="11.25" customHeight="1" x14ac:dyDescent="0.25">
      <c r="A1551" s="4" t="s">
        <v>29</v>
      </c>
      <c r="B1551" s="4" t="s">
        <v>46</v>
      </c>
      <c r="C1551" s="4" t="s">
        <v>23</v>
      </c>
      <c r="D1551" s="4" t="s">
        <v>47</v>
      </c>
      <c r="E1551" s="4" t="s">
        <v>25</v>
      </c>
      <c r="F1551" s="4" t="s">
        <v>25</v>
      </c>
      <c r="G1551" s="4" t="s">
        <v>25</v>
      </c>
      <c r="H1551" s="4" t="s">
        <v>25</v>
      </c>
      <c r="I1551" s="5">
        <v>44562</v>
      </c>
      <c r="J1551" s="6">
        <v>0</v>
      </c>
      <c r="K1551" s="6">
        <v>0</v>
      </c>
      <c r="L1551" s="6">
        <v>-2.786</v>
      </c>
      <c r="M1551" s="6">
        <v>-2.786</v>
      </c>
      <c r="N1551" s="6">
        <v>-2.786</v>
      </c>
      <c r="O1551" s="6">
        <v>-2.786</v>
      </c>
      <c r="P1551" s="6">
        <v>-20</v>
      </c>
      <c r="Q1551" s="4" t="s">
        <v>26</v>
      </c>
      <c r="R1551" s="4">
        <v>0</v>
      </c>
      <c r="S1551" s="4" t="s">
        <v>392</v>
      </c>
      <c r="T1551" s="4" t="s">
        <v>662</v>
      </c>
      <c r="U1551" s="4">
        <v>0</v>
      </c>
      <c r="V1551" s="4">
        <v>52</v>
      </c>
      <c r="W1551" s="4">
        <v>96</v>
      </c>
    </row>
    <row r="1552" spans="1:23" ht="11.25" customHeight="1" x14ac:dyDescent="0.25">
      <c r="A1552" s="4" t="s">
        <v>30</v>
      </c>
      <c r="B1552" s="4" t="s">
        <v>46</v>
      </c>
      <c r="C1552" s="4" t="s">
        <v>23</v>
      </c>
      <c r="D1552" s="4" t="s">
        <v>47</v>
      </c>
      <c r="E1552" s="4" t="s">
        <v>25</v>
      </c>
      <c r="F1552" s="4" t="s">
        <v>25</v>
      </c>
      <c r="G1552" s="4" t="s">
        <v>25</v>
      </c>
      <c r="H1552" s="4" t="s">
        <v>25</v>
      </c>
      <c r="I1552" s="5">
        <v>44562</v>
      </c>
      <c r="J1552" s="6">
        <v>0</v>
      </c>
      <c r="K1552" s="6">
        <v>0</v>
      </c>
      <c r="L1552" s="6">
        <v>39.856999999999999</v>
      </c>
      <c r="M1552" s="6">
        <v>39.856999999999999</v>
      </c>
      <c r="N1552" s="6">
        <v>39.856999999999999</v>
      </c>
      <c r="O1552" s="6">
        <v>39.856999999999999</v>
      </c>
      <c r="P1552" s="6">
        <v>203</v>
      </c>
      <c r="Q1552" s="4" t="s">
        <v>26</v>
      </c>
      <c r="R1552" s="4">
        <v>0</v>
      </c>
      <c r="S1552" s="4" t="s">
        <v>392</v>
      </c>
      <c r="T1552" s="4" t="s">
        <v>662</v>
      </c>
      <c r="U1552" s="4">
        <v>0</v>
      </c>
      <c r="V1552" s="4">
        <v>52</v>
      </c>
      <c r="W1552" s="4">
        <v>96</v>
      </c>
    </row>
    <row r="1553" spans="1:23" ht="11.25" customHeight="1" x14ac:dyDescent="0.25">
      <c r="A1553" s="4" t="s">
        <v>30</v>
      </c>
      <c r="B1553" s="4" t="s">
        <v>46</v>
      </c>
      <c r="C1553" s="4" t="s">
        <v>23</v>
      </c>
      <c r="D1553" s="4" t="s">
        <v>47</v>
      </c>
      <c r="E1553" s="4" t="s">
        <v>25</v>
      </c>
      <c r="F1553" s="4" t="s">
        <v>25</v>
      </c>
      <c r="G1553" s="4" t="s">
        <v>25</v>
      </c>
      <c r="H1553" s="4" t="s">
        <v>25</v>
      </c>
      <c r="I1553" s="5">
        <v>44562</v>
      </c>
      <c r="J1553" s="6">
        <v>0</v>
      </c>
      <c r="K1553" s="6">
        <v>0</v>
      </c>
      <c r="L1553" s="6">
        <v>-1.012</v>
      </c>
      <c r="M1553" s="6">
        <v>-1.012</v>
      </c>
      <c r="N1553" s="6">
        <v>-1.012</v>
      </c>
      <c r="O1553" s="6">
        <v>-1.012</v>
      </c>
      <c r="P1553" s="6">
        <v>0</v>
      </c>
      <c r="Q1553" s="4" t="s">
        <v>26</v>
      </c>
      <c r="R1553" s="4">
        <v>0</v>
      </c>
      <c r="S1553" s="4" t="s">
        <v>392</v>
      </c>
      <c r="T1553" s="4" t="s">
        <v>662</v>
      </c>
      <c r="U1553" s="4">
        <v>0</v>
      </c>
      <c r="V1553" s="4">
        <v>52</v>
      </c>
      <c r="W1553" s="4">
        <v>96</v>
      </c>
    </row>
    <row r="1554" spans="1:23" ht="11.25" customHeight="1" x14ac:dyDescent="0.25">
      <c r="A1554" s="4" t="s">
        <v>21</v>
      </c>
      <c r="B1554" s="4" t="s">
        <v>46</v>
      </c>
      <c r="C1554" s="4" t="s">
        <v>23</v>
      </c>
      <c r="D1554" s="4" t="s">
        <v>47</v>
      </c>
      <c r="E1554" s="4" t="s">
        <v>25</v>
      </c>
      <c r="F1554" s="4" t="s">
        <v>25</v>
      </c>
      <c r="G1554" s="4" t="s">
        <v>25</v>
      </c>
      <c r="H1554" s="4" t="s">
        <v>25</v>
      </c>
      <c r="I1554" s="5">
        <v>44593</v>
      </c>
      <c r="J1554" s="6">
        <v>0</v>
      </c>
      <c r="K1554" s="6">
        <v>0</v>
      </c>
      <c r="L1554" s="6">
        <v>3613.3420000000001</v>
      </c>
      <c r="M1554" s="6">
        <v>3613.3420000000001</v>
      </c>
      <c r="N1554" s="6">
        <v>3613.3420000000001</v>
      </c>
      <c r="O1554" s="6">
        <v>3613.3420000000001</v>
      </c>
      <c r="P1554" s="6">
        <v>21006</v>
      </c>
      <c r="Q1554" s="4" t="s">
        <v>26</v>
      </c>
      <c r="R1554" s="4">
        <v>0</v>
      </c>
      <c r="S1554" s="4" t="s">
        <v>393</v>
      </c>
      <c r="T1554" s="4" t="s">
        <v>663</v>
      </c>
      <c r="U1554" s="4">
        <v>0</v>
      </c>
      <c r="V1554" s="4">
        <v>52</v>
      </c>
      <c r="W1554" s="4">
        <v>96</v>
      </c>
    </row>
    <row r="1555" spans="1:23" ht="11.25" customHeight="1" x14ac:dyDescent="0.25">
      <c r="A1555" s="4" t="s">
        <v>27</v>
      </c>
      <c r="B1555" s="4" t="s">
        <v>46</v>
      </c>
      <c r="C1555" s="4" t="s">
        <v>23</v>
      </c>
      <c r="D1555" s="4" t="s">
        <v>47</v>
      </c>
      <c r="E1555" s="4" t="s">
        <v>25</v>
      </c>
      <c r="F1555" s="4" t="s">
        <v>25</v>
      </c>
      <c r="G1555" s="4" t="s">
        <v>25</v>
      </c>
      <c r="H1555" s="4" t="s">
        <v>25</v>
      </c>
      <c r="I1555" s="5">
        <v>44593</v>
      </c>
      <c r="J1555" s="6">
        <v>0</v>
      </c>
      <c r="K1555" s="6">
        <v>0</v>
      </c>
      <c r="L1555" s="6">
        <v>-33.165999999999997</v>
      </c>
      <c r="M1555" s="6">
        <v>-33.165999999999997</v>
      </c>
      <c r="N1555" s="6">
        <v>-33.165999999999997</v>
      </c>
      <c r="O1555" s="6">
        <v>-33.165999999999997</v>
      </c>
      <c r="P1555" s="6">
        <v>-4</v>
      </c>
      <c r="Q1555" s="4" t="s">
        <v>26</v>
      </c>
      <c r="R1555" s="4">
        <v>0</v>
      </c>
      <c r="S1555" s="4" t="s">
        <v>393</v>
      </c>
      <c r="T1555" s="4" t="s">
        <v>663</v>
      </c>
      <c r="U1555" s="4">
        <v>0</v>
      </c>
      <c r="V1555" s="4">
        <v>52</v>
      </c>
      <c r="W1555" s="4">
        <v>96</v>
      </c>
    </row>
    <row r="1556" spans="1:23" ht="11.25" customHeight="1" x14ac:dyDescent="0.25">
      <c r="A1556" s="4" t="s">
        <v>28</v>
      </c>
      <c r="B1556" s="4" t="s">
        <v>46</v>
      </c>
      <c r="C1556" s="4" t="s">
        <v>23</v>
      </c>
      <c r="D1556" s="4" t="s">
        <v>47</v>
      </c>
      <c r="E1556" s="4" t="s">
        <v>25</v>
      </c>
      <c r="F1556" s="4" t="s">
        <v>25</v>
      </c>
      <c r="G1556" s="4" t="s">
        <v>25</v>
      </c>
      <c r="H1556" s="4" t="s">
        <v>25</v>
      </c>
      <c r="I1556" s="5">
        <v>44593</v>
      </c>
      <c r="J1556" s="6">
        <v>0</v>
      </c>
      <c r="K1556" s="6">
        <v>0</v>
      </c>
      <c r="L1556" s="6">
        <v>702.58799999999997</v>
      </c>
      <c r="M1556" s="6">
        <v>702.58799999999997</v>
      </c>
      <c r="N1556" s="6">
        <v>702.58799999999997</v>
      </c>
      <c r="O1556" s="6">
        <v>702.58799999999997</v>
      </c>
      <c r="P1556" s="6">
        <v>4804</v>
      </c>
      <c r="Q1556" s="4" t="s">
        <v>26</v>
      </c>
      <c r="R1556" s="4">
        <v>0</v>
      </c>
      <c r="S1556" s="4" t="s">
        <v>393</v>
      </c>
      <c r="T1556" s="4" t="s">
        <v>663</v>
      </c>
      <c r="U1556" s="4">
        <v>0</v>
      </c>
      <c r="V1556" s="4">
        <v>52</v>
      </c>
      <c r="W1556" s="4">
        <v>96</v>
      </c>
    </row>
    <row r="1557" spans="1:23" ht="11.25" customHeight="1" x14ac:dyDescent="0.25">
      <c r="A1557" s="4" t="s">
        <v>29</v>
      </c>
      <c r="B1557" s="4" t="s">
        <v>46</v>
      </c>
      <c r="C1557" s="4" t="s">
        <v>23</v>
      </c>
      <c r="D1557" s="4" t="s">
        <v>47</v>
      </c>
      <c r="E1557" s="4" t="s">
        <v>25</v>
      </c>
      <c r="F1557" s="4" t="s">
        <v>25</v>
      </c>
      <c r="G1557" s="4" t="s">
        <v>25</v>
      </c>
      <c r="H1557" s="4" t="s">
        <v>25</v>
      </c>
      <c r="I1557" s="5">
        <v>44593</v>
      </c>
      <c r="J1557" s="6">
        <v>0</v>
      </c>
      <c r="K1557" s="6">
        <v>0</v>
      </c>
      <c r="L1557" s="6">
        <v>-5.923</v>
      </c>
      <c r="M1557" s="6">
        <v>-5.923</v>
      </c>
      <c r="N1557" s="6">
        <v>-5.923</v>
      </c>
      <c r="O1557" s="6">
        <v>-5.923</v>
      </c>
      <c r="P1557" s="6">
        <v>-3</v>
      </c>
      <c r="Q1557" s="4" t="s">
        <v>26</v>
      </c>
      <c r="R1557" s="4">
        <v>0</v>
      </c>
      <c r="S1557" s="4" t="s">
        <v>393</v>
      </c>
      <c r="T1557" s="4" t="s">
        <v>663</v>
      </c>
      <c r="U1557" s="4">
        <v>0</v>
      </c>
      <c r="V1557" s="4">
        <v>52</v>
      </c>
      <c r="W1557" s="4">
        <v>96</v>
      </c>
    </row>
    <row r="1558" spans="1:23" ht="11.25" customHeight="1" x14ac:dyDescent="0.25">
      <c r="A1558" s="4" t="s">
        <v>30</v>
      </c>
      <c r="B1558" s="4" t="s">
        <v>46</v>
      </c>
      <c r="C1558" s="4" t="s">
        <v>23</v>
      </c>
      <c r="D1558" s="4" t="s">
        <v>47</v>
      </c>
      <c r="E1558" s="4" t="s">
        <v>25</v>
      </c>
      <c r="F1558" s="4" t="s">
        <v>25</v>
      </c>
      <c r="G1558" s="4" t="s">
        <v>25</v>
      </c>
      <c r="H1558" s="4" t="s">
        <v>25</v>
      </c>
      <c r="I1558" s="5">
        <v>44593</v>
      </c>
      <c r="J1558" s="6">
        <v>0</v>
      </c>
      <c r="K1558" s="6">
        <v>0</v>
      </c>
      <c r="L1558" s="6">
        <v>36.982999999999997</v>
      </c>
      <c r="M1558" s="6">
        <v>36.982999999999997</v>
      </c>
      <c r="N1558" s="6">
        <v>36.982999999999997</v>
      </c>
      <c r="O1558" s="6">
        <v>36.982999999999997</v>
      </c>
      <c r="P1558" s="6">
        <v>217</v>
      </c>
      <c r="Q1558" s="4" t="s">
        <v>26</v>
      </c>
      <c r="R1558" s="4">
        <v>0</v>
      </c>
      <c r="S1558" s="4" t="s">
        <v>393</v>
      </c>
      <c r="T1558" s="4" t="s">
        <v>663</v>
      </c>
      <c r="U1558" s="4">
        <v>0</v>
      </c>
      <c r="V1558" s="4">
        <v>52</v>
      </c>
      <c r="W1558" s="4">
        <v>96</v>
      </c>
    </row>
    <row r="1559" spans="1:23" ht="11.25" customHeight="1" x14ac:dyDescent="0.25">
      <c r="A1559" s="4" t="s">
        <v>30</v>
      </c>
      <c r="B1559" s="4" t="s">
        <v>46</v>
      </c>
      <c r="C1559" s="4" t="s">
        <v>23</v>
      </c>
      <c r="D1559" s="4" t="s">
        <v>47</v>
      </c>
      <c r="E1559" s="4" t="s">
        <v>25</v>
      </c>
      <c r="F1559" s="4" t="s">
        <v>25</v>
      </c>
      <c r="G1559" s="4" t="s">
        <v>25</v>
      </c>
      <c r="H1559" s="4" t="s">
        <v>25</v>
      </c>
      <c r="I1559" s="5">
        <v>44593</v>
      </c>
      <c r="J1559" s="6">
        <v>0</v>
      </c>
      <c r="K1559" s="6">
        <v>0</v>
      </c>
      <c r="L1559" s="6">
        <v>-0.374</v>
      </c>
      <c r="M1559" s="6">
        <v>-0.374</v>
      </c>
      <c r="N1559" s="6">
        <v>-0.374</v>
      </c>
      <c r="O1559" s="6">
        <v>-0.374</v>
      </c>
      <c r="P1559" s="6">
        <v>0</v>
      </c>
      <c r="Q1559" s="4" t="s">
        <v>26</v>
      </c>
      <c r="R1559" s="4">
        <v>0</v>
      </c>
      <c r="S1559" s="4" t="s">
        <v>393</v>
      </c>
      <c r="T1559" s="4" t="s">
        <v>663</v>
      </c>
      <c r="U1559" s="4">
        <v>0</v>
      </c>
      <c r="V1559" s="4">
        <v>52</v>
      </c>
      <c r="W1559" s="4">
        <v>96</v>
      </c>
    </row>
    <row r="1560" spans="1:23" ht="11.25" customHeight="1" x14ac:dyDescent="0.25">
      <c r="A1560" s="4" t="s">
        <v>21</v>
      </c>
      <c r="B1560" s="4" t="s">
        <v>46</v>
      </c>
      <c r="C1560" s="4" t="s">
        <v>23</v>
      </c>
      <c r="D1560" s="4" t="s">
        <v>47</v>
      </c>
      <c r="E1560" s="4" t="s">
        <v>25</v>
      </c>
      <c r="F1560" s="4" t="s">
        <v>25</v>
      </c>
      <c r="G1560" s="4" t="s">
        <v>25</v>
      </c>
      <c r="H1560" s="4" t="s">
        <v>25</v>
      </c>
      <c r="I1560" s="5">
        <v>44621</v>
      </c>
      <c r="J1560" s="6">
        <v>0</v>
      </c>
      <c r="K1560" s="6">
        <v>0</v>
      </c>
      <c r="L1560" s="6">
        <v>2898.288</v>
      </c>
      <c r="M1560" s="6">
        <v>2898.288</v>
      </c>
      <c r="N1560" s="6">
        <v>2898.288</v>
      </c>
      <c r="O1560" s="6">
        <v>2898.288</v>
      </c>
      <c r="P1560" s="6">
        <v>15380</v>
      </c>
      <c r="Q1560" s="4" t="s">
        <v>26</v>
      </c>
      <c r="R1560" s="4">
        <v>0</v>
      </c>
      <c r="S1560" s="4" t="s">
        <v>394</v>
      </c>
      <c r="T1560" s="4" t="s">
        <v>664</v>
      </c>
      <c r="U1560" s="4">
        <v>0</v>
      </c>
      <c r="V1560" s="4">
        <v>52</v>
      </c>
      <c r="W1560" s="4">
        <v>96</v>
      </c>
    </row>
    <row r="1561" spans="1:23" ht="11.25" customHeight="1" x14ac:dyDescent="0.25">
      <c r="A1561" s="4" t="s">
        <v>27</v>
      </c>
      <c r="B1561" s="4" t="s">
        <v>46</v>
      </c>
      <c r="C1561" s="4" t="s">
        <v>23</v>
      </c>
      <c r="D1561" s="4" t="s">
        <v>47</v>
      </c>
      <c r="E1561" s="4" t="s">
        <v>25</v>
      </c>
      <c r="F1561" s="4" t="s">
        <v>25</v>
      </c>
      <c r="G1561" s="4" t="s">
        <v>25</v>
      </c>
      <c r="H1561" s="4" t="s">
        <v>25</v>
      </c>
      <c r="I1561" s="5">
        <v>44621</v>
      </c>
      <c r="J1561" s="6">
        <v>0</v>
      </c>
      <c r="K1561" s="6">
        <v>0</v>
      </c>
      <c r="L1561" s="6">
        <v>-52.097000000000001</v>
      </c>
      <c r="M1561" s="6">
        <v>-52.097000000000001</v>
      </c>
      <c r="N1561" s="6">
        <v>-52.097000000000001</v>
      </c>
      <c r="O1561" s="6">
        <v>-52.097000000000001</v>
      </c>
      <c r="P1561" s="6">
        <v>-33</v>
      </c>
      <c r="Q1561" s="4" t="s">
        <v>26</v>
      </c>
      <c r="R1561" s="4">
        <v>0</v>
      </c>
      <c r="S1561" s="4" t="s">
        <v>394</v>
      </c>
      <c r="T1561" s="4" t="s">
        <v>664</v>
      </c>
      <c r="U1561" s="4">
        <v>0</v>
      </c>
      <c r="V1561" s="4">
        <v>52</v>
      </c>
      <c r="W1561" s="4">
        <v>96</v>
      </c>
    </row>
    <row r="1562" spans="1:23" ht="11.25" customHeight="1" x14ac:dyDescent="0.25">
      <c r="A1562" s="4" t="s">
        <v>28</v>
      </c>
      <c r="B1562" s="4" t="s">
        <v>46</v>
      </c>
      <c r="C1562" s="4" t="s">
        <v>23</v>
      </c>
      <c r="D1562" s="4" t="s">
        <v>47</v>
      </c>
      <c r="E1562" s="4" t="s">
        <v>25</v>
      </c>
      <c r="F1562" s="4" t="s">
        <v>25</v>
      </c>
      <c r="G1562" s="4" t="s">
        <v>25</v>
      </c>
      <c r="H1562" s="4" t="s">
        <v>25</v>
      </c>
      <c r="I1562" s="5">
        <v>44621</v>
      </c>
      <c r="J1562" s="6">
        <v>0</v>
      </c>
      <c r="K1562" s="6">
        <v>0</v>
      </c>
      <c r="L1562" s="6">
        <v>529.798</v>
      </c>
      <c r="M1562" s="6">
        <v>529.798</v>
      </c>
      <c r="N1562" s="6">
        <v>529.798</v>
      </c>
      <c r="O1562" s="6">
        <v>529.798</v>
      </c>
      <c r="P1562" s="6">
        <v>3489</v>
      </c>
      <c r="Q1562" s="4" t="s">
        <v>26</v>
      </c>
      <c r="R1562" s="4">
        <v>0</v>
      </c>
      <c r="S1562" s="4" t="s">
        <v>394</v>
      </c>
      <c r="T1562" s="4" t="s">
        <v>664</v>
      </c>
      <c r="U1562" s="4">
        <v>0</v>
      </c>
      <c r="V1562" s="4">
        <v>52</v>
      </c>
      <c r="W1562" s="4">
        <v>96</v>
      </c>
    </row>
    <row r="1563" spans="1:23" ht="11.25" customHeight="1" x14ac:dyDescent="0.25">
      <c r="A1563" s="4" t="s">
        <v>29</v>
      </c>
      <c r="B1563" s="4" t="s">
        <v>46</v>
      </c>
      <c r="C1563" s="4" t="s">
        <v>23</v>
      </c>
      <c r="D1563" s="4" t="s">
        <v>47</v>
      </c>
      <c r="E1563" s="4" t="s">
        <v>25</v>
      </c>
      <c r="F1563" s="4" t="s">
        <v>25</v>
      </c>
      <c r="G1563" s="4" t="s">
        <v>25</v>
      </c>
      <c r="H1563" s="4" t="s">
        <v>25</v>
      </c>
      <c r="I1563" s="5">
        <v>44621</v>
      </c>
      <c r="J1563" s="6">
        <v>0</v>
      </c>
      <c r="K1563" s="6">
        <v>0</v>
      </c>
      <c r="L1563" s="6">
        <v>-3.395</v>
      </c>
      <c r="M1563" s="6">
        <v>-3.395</v>
      </c>
      <c r="N1563" s="6">
        <v>-3.395</v>
      </c>
      <c r="O1563" s="6">
        <v>-3.395</v>
      </c>
      <c r="P1563" s="6">
        <v>0</v>
      </c>
      <c r="Q1563" s="4" t="s">
        <v>26</v>
      </c>
      <c r="R1563" s="4">
        <v>0</v>
      </c>
      <c r="S1563" s="4" t="s">
        <v>394</v>
      </c>
      <c r="T1563" s="4" t="s">
        <v>664</v>
      </c>
      <c r="U1563" s="4">
        <v>0</v>
      </c>
      <c r="V1563" s="4">
        <v>52</v>
      </c>
      <c r="W1563" s="4">
        <v>96</v>
      </c>
    </row>
    <row r="1564" spans="1:23" ht="11.25" customHeight="1" x14ac:dyDescent="0.25">
      <c r="A1564" s="4" t="s">
        <v>30</v>
      </c>
      <c r="B1564" s="4" t="s">
        <v>46</v>
      </c>
      <c r="C1564" s="4" t="s">
        <v>23</v>
      </c>
      <c r="D1564" s="4" t="s">
        <v>47</v>
      </c>
      <c r="E1564" s="4" t="s">
        <v>25</v>
      </c>
      <c r="F1564" s="4" t="s">
        <v>25</v>
      </c>
      <c r="G1564" s="4" t="s">
        <v>25</v>
      </c>
      <c r="H1564" s="4" t="s">
        <v>25</v>
      </c>
      <c r="I1564" s="5">
        <v>44621</v>
      </c>
      <c r="J1564" s="6">
        <v>0</v>
      </c>
      <c r="K1564" s="6">
        <v>0</v>
      </c>
      <c r="L1564" s="6">
        <v>41.938000000000002</v>
      </c>
      <c r="M1564" s="6">
        <v>41.938000000000002</v>
      </c>
      <c r="N1564" s="6">
        <v>41.938000000000002</v>
      </c>
      <c r="O1564" s="6">
        <v>41.938000000000002</v>
      </c>
      <c r="P1564" s="6">
        <v>218</v>
      </c>
      <c r="Q1564" s="4" t="s">
        <v>26</v>
      </c>
      <c r="R1564" s="4">
        <v>0</v>
      </c>
      <c r="S1564" s="4" t="s">
        <v>394</v>
      </c>
      <c r="T1564" s="4" t="s">
        <v>664</v>
      </c>
      <c r="U1564" s="4">
        <v>0</v>
      </c>
      <c r="V1564" s="4">
        <v>52</v>
      </c>
      <c r="W1564" s="4">
        <v>96</v>
      </c>
    </row>
    <row r="1565" spans="1:23" ht="11.25" customHeight="1" x14ac:dyDescent="0.25">
      <c r="A1565" s="4" t="s">
        <v>30</v>
      </c>
      <c r="B1565" s="4" t="s">
        <v>46</v>
      </c>
      <c r="C1565" s="4" t="s">
        <v>23</v>
      </c>
      <c r="D1565" s="4" t="s">
        <v>47</v>
      </c>
      <c r="E1565" s="4" t="s">
        <v>25</v>
      </c>
      <c r="F1565" s="4" t="s">
        <v>25</v>
      </c>
      <c r="G1565" s="4" t="s">
        <v>25</v>
      </c>
      <c r="H1565" s="4" t="s">
        <v>25</v>
      </c>
      <c r="I1565" s="5">
        <v>44621</v>
      </c>
      <c r="J1565" s="6">
        <v>0</v>
      </c>
      <c r="K1565" s="6">
        <v>0</v>
      </c>
      <c r="L1565" s="6">
        <v>-9.4E-2</v>
      </c>
      <c r="M1565" s="6">
        <v>-9.4E-2</v>
      </c>
      <c r="N1565" s="6">
        <v>-9.4E-2</v>
      </c>
      <c r="O1565" s="6">
        <v>-9.4E-2</v>
      </c>
      <c r="P1565" s="6">
        <v>0</v>
      </c>
      <c r="Q1565" s="4" t="s">
        <v>26</v>
      </c>
      <c r="R1565" s="4">
        <v>0</v>
      </c>
      <c r="S1565" s="4" t="s">
        <v>394</v>
      </c>
      <c r="T1565" s="4" t="s">
        <v>664</v>
      </c>
      <c r="U1565" s="4">
        <v>0</v>
      </c>
      <c r="V1565" s="4">
        <v>52</v>
      </c>
      <c r="W1565" s="4">
        <v>96</v>
      </c>
    </row>
    <row r="1566" spans="1:23" ht="11.25" customHeight="1" x14ac:dyDescent="0.25">
      <c r="A1566" s="4" t="s">
        <v>21</v>
      </c>
      <c r="B1566" s="4" t="s">
        <v>46</v>
      </c>
      <c r="C1566" s="4" t="s">
        <v>23</v>
      </c>
      <c r="D1566" s="4" t="s">
        <v>47</v>
      </c>
      <c r="E1566" s="4" t="s">
        <v>25</v>
      </c>
      <c r="F1566" s="4" t="s">
        <v>25</v>
      </c>
      <c r="G1566" s="4" t="s">
        <v>25</v>
      </c>
      <c r="H1566" s="4" t="s">
        <v>25</v>
      </c>
      <c r="I1566" s="5">
        <v>44652</v>
      </c>
      <c r="J1566" s="6">
        <v>0</v>
      </c>
      <c r="K1566" s="6">
        <v>0</v>
      </c>
      <c r="L1566" s="6">
        <v>2877.9259999999999</v>
      </c>
      <c r="M1566" s="6">
        <v>2877.9259999999999</v>
      </c>
      <c r="N1566" s="6">
        <v>2877.9259999999999</v>
      </c>
      <c r="O1566" s="6">
        <v>2877.9259999999999</v>
      </c>
      <c r="P1566" s="6">
        <v>15383</v>
      </c>
      <c r="Q1566" s="4" t="s">
        <v>26</v>
      </c>
      <c r="R1566" s="4">
        <v>0</v>
      </c>
      <c r="S1566" s="4" t="s">
        <v>395</v>
      </c>
      <c r="T1566" s="4" t="s">
        <v>665</v>
      </c>
      <c r="U1566" s="4">
        <v>0</v>
      </c>
      <c r="V1566" s="4">
        <v>52</v>
      </c>
      <c r="W1566" s="4">
        <v>96</v>
      </c>
    </row>
    <row r="1567" spans="1:23" ht="11.25" customHeight="1" x14ac:dyDescent="0.25">
      <c r="A1567" s="4" t="s">
        <v>27</v>
      </c>
      <c r="B1567" s="4" t="s">
        <v>46</v>
      </c>
      <c r="C1567" s="4" t="s">
        <v>23</v>
      </c>
      <c r="D1567" s="4" t="s">
        <v>47</v>
      </c>
      <c r="E1567" s="4" t="s">
        <v>25</v>
      </c>
      <c r="F1567" s="4" t="s">
        <v>25</v>
      </c>
      <c r="G1567" s="4" t="s">
        <v>25</v>
      </c>
      <c r="H1567" s="4" t="s">
        <v>25</v>
      </c>
      <c r="I1567" s="5">
        <v>44652</v>
      </c>
      <c r="J1567" s="6">
        <v>0</v>
      </c>
      <c r="K1567" s="6">
        <v>0</v>
      </c>
      <c r="L1567" s="6">
        <v>-9.7509999999999994</v>
      </c>
      <c r="M1567" s="6">
        <v>-9.7509999999999994</v>
      </c>
      <c r="N1567" s="6">
        <v>-9.7509999999999994</v>
      </c>
      <c r="O1567" s="6">
        <v>-9.7509999999999994</v>
      </c>
      <c r="P1567" s="6">
        <v>-4</v>
      </c>
      <c r="Q1567" s="4" t="s">
        <v>26</v>
      </c>
      <c r="R1567" s="4">
        <v>0</v>
      </c>
      <c r="S1567" s="4" t="s">
        <v>395</v>
      </c>
      <c r="T1567" s="4" t="s">
        <v>665</v>
      </c>
      <c r="U1567" s="4">
        <v>0</v>
      </c>
      <c r="V1567" s="4">
        <v>52</v>
      </c>
      <c r="W1567" s="4">
        <v>96</v>
      </c>
    </row>
    <row r="1568" spans="1:23" ht="11.25" customHeight="1" x14ac:dyDescent="0.25">
      <c r="A1568" s="4" t="s">
        <v>28</v>
      </c>
      <c r="B1568" s="4" t="s">
        <v>46</v>
      </c>
      <c r="C1568" s="4" t="s">
        <v>23</v>
      </c>
      <c r="D1568" s="4" t="s">
        <v>47</v>
      </c>
      <c r="E1568" s="4" t="s">
        <v>25</v>
      </c>
      <c r="F1568" s="4" t="s">
        <v>25</v>
      </c>
      <c r="G1568" s="4" t="s">
        <v>25</v>
      </c>
      <c r="H1568" s="4" t="s">
        <v>25</v>
      </c>
      <c r="I1568" s="5">
        <v>44652</v>
      </c>
      <c r="J1568" s="6">
        <v>0</v>
      </c>
      <c r="K1568" s="6">
        <v>0</v>
      </c>
      <c r="L1568" s="6">
        <v>526.774</v>
      </c>
      <c r="M1568" s="6">
        <v>526.774</v>
      </c>
      <c r="N1568" s="6">
        <v>526.774</v>
      </c>
      <c r="O1568" s="6">
        <v>526.774</v>
      </c>
      <c r="P1568" s="6">
        <v>3478</v>
      </c>
      <c r="Q1568" s="4" t="s">
        <v>26</v>
      </c>
      <c r="R1568" s="4">
        <v>0</v>
      </c>
      <c r="S1568" s="4" t="s">
        <v>395</v>
      </c>
      <c r="T1568" s="4" t="s">
        <v>665</v>
      </c>
      <c r="U1568" s="4">
        <v>0</v>
      </c>
      <c r="V1568" s="4">
        <v>52</v>
      </c>
      <c r="W1568" s="4">
        <v>96</v>
      </c>
    </row>
    <row r="1569" spans="1:23" ht="11.25" customHeight="1" x14ac:dyDescent="0.25">
      <c r="A1569" s="4" t="s">
        <v>30</v>
      </c>
      <c r="B1569" s="4" t="s">
        <v>46</v>
      </c>
      <c r="C1569" s="4" t="s">
        <v>23</v>
      </c>
      <c r="D1569" s="4" t="s">
        <v>47</v>
      </c>
      <c r="E1569" s="4" t="s">
        <v>25</v>
      </c>
      <c r="F1569" s="4" t="s">
        <v>25</v>
      </c>
      <c r="G1569" s="4" t="s">
        <v>25</v>
      </c>
      <c r="H1569" s="4" t="s">
        <v>25</v>
      </c>
      <c r="I1569" s="5">
        <v>44652</v>
      </c>
      <c r="J1569" s="6">
        <v>0</v>
      </c>
      <c r="K1569" s="6">
        <v>0</v>
      </c>
      <c r="L1569" s="6">
        <v>48.956000000000003</v>
      </c>
      <c r="M1569" s="6">
        <v>48.956000000000003</v>
      </c>
      <c r="N1569" s="6">
        <v>48.956000000000003</v>
      </c>
      <c r="O1569" s="6">
        <v>48.956000000000003</v>
      </c>
      <c r="P1569" s="6">
        <v>231</v>
      </c>
      <c r="Q1569" s="4" t="s">
        <v>26</v>
      </c>
      <c r="R1569" s="4">
        <v>0</v>
      </c>
      <c r="S1569" s="4" t="s">
        <v>395</v>
      </c>
      <c r="T1569" s="4" t="s">
        <v>665</v>
      </c>
      <c r="U1569" s="4">
        <v>0</v>
      </c>
      <c r="V1569" s="4">
        <v>52</v>
      </c>
      <c r="W1569" s="4">
        <v>96</v>
      </c>
    </row>
    <row r="1570" spans="1:23" ht="11.25" customHeight="1" x14ac:dyDescent="0.25">
      <c r="A1570" s="4" t="s">
        <v>30</v>
      </c>
      <c r="B1570" s="4" t="s">
        <v>46</v>
      </c>
      <c r="C1570" s="4" t="s">
        <v>23</v>
      </c>
      <c r="D1570" s="4" t="s">
        <v>47</v>
      </c>
      <c r="E1570" s="4" t="s">
        <v>25</v>
      </c>
      <c r="F1570" s="4" t="s">
        <v>25</v>
      </c>
      <c r="G1570" s="4" t="s">
        <v>25</v>
      </c>
      <c r="H1570" s="4" t="s">
        <v>25</v>
      </c>
      <c r="I1570" s="5">
        <v>44652</v>
      </c>
      <c r="J1570" s="6">
        <v>0</v>
      </c>
      <c r="K1570" s="6">
        <v>0</v>
      </c>
      <c r="L1570" s="6">
        <v>-0.71</v>
      </c>
      <c r="M1570" s="6">
        <v>-0.71</v>
      </c>
      <c r="N1570" s="6">
        <v>-0.71</v>
      </c>
      <c r="O1570" s="6">
        <v>-0.71</v>
      </c>
      <c r="P1570" s="6">
        <v>0</v>
      </c>
      <c r="Q1570" s="4" t="s">
        <v>26</v>
      </c>
      <c r="R1570" s="4">
        <v>0</v>
      </c>
      <c r="S1570" s="4" t="s">
        <v>395</v>
      </c>
      <c r="T1570" s="4" t="s">
        <v>665</v>
      </c>
      <c r="U1570" s="4">
        <v>0</v>
      </c>
      <c r="V1570" s="4">
        <v>52</v>
      </c>
      <c r="W1570" s="4">
        <v>96</v>
      </c>
    </row>
    <row r="1571" spans="1:23" ht="11.25" customHeight="1" x14ac:dyDescent="0.25">
      <c r="A1571" s="4" t="s">
        <v>21</v>
      </c>
      <c r="B1571" s="4" t="s">
        <v>46</v>
      </c>
      <c r="C1571" s="4" t="s">
        <v>23</v>
      </c>
      <c r="D1571" s="4" t="s">
        <v>47</v>
      </c>
      <c r="E1571" s="4" t="s">
        <v>25</v>
      </c>
      <c r="F1571" s="4" t="s">
        <v>25</v>
      </c>
      <c r="G1571" s="4" t="s">
        <v>25</v>
      </c>
      <c r="H1571" s="4" t="s">
        <v>25</v>
      </c>
      <c r="I1571" s="5">
        <v>44682</v>
      </c>
      <c r="J1571" s="6">
        <v>0</v>
      </c>
      <c r="K1571" s="6">
        <v>0</v>
      </c>
      <c r="L1571" s="6">
        <v>3004.248</v>
      </c>
      <c r="M1571" s="6">
        <v>3004.248</v>
      </c>
      <c r="N1571" s="6">
        <v>3004.248</v>
      </c>
      <c r="O1571" s="6">
        <v>3004.248</v>
      </c>
      <c r="P1571" s="6">
        <v>15425</v>
      </c>
      <c r="Q1571" s="4" t="s">
        <v>26</v>
      </c>
      <c r="R1571" s="4">
        <v>0</v>
      </c>
      <c r="S1571" s="4" t="s">
        <v>396</v>
      </c>
      <c r="T1571" s="4" t="s">
        <v>666</v>
      </c>
      <c r="U1571" s="4">
        <v>0</v>
      </c>
      <c r="V1571" s="4">
        <v>52</v>
      </c>
      <c r="W1571" s="4">
        <v>96</v>
      </c>
    </row>
    <row r="1572" spans="1:23" ht="11.25" customHeight="1" x14ac:dyDescent="0.25">
      <c r="A1572" s="4" t="s">
        <v>27</v>
      </c>
      <c r="B1572" s="4" t="s">
        <v>46</v>
      </c>
      <c r="C1572" s="4" t="s">
        <v>23</v>
      </c>
      <c r="D1572" s="4" t="s">
        <v>47</v>
      </c>
      <c r="E1572" s="4" t="s">
        <v>25</v>
      </c>
      <c r="F1572" s="4" t="s">
        <v>25</v>
      </c>
      <c r="G1572" s="4" t="s">
        <v>25</v>
      </c>
      <c r="H1572" s="4" t="s">
        <v>25</v>
      </c>
      <c r="I1572" s="5">
        <v>44682</v>
      </c>
      <c r="J1572" s="6">
        <v>0</v>
      </c>
      <c r="K1572" s="6">
        <v>0</v>
      </c>
      <c r="L1572" s="6">
        <v>-31.387</v>
      </c>
      <c r="M1572" s="6">
        <v>-31.387</v>
      </c>
      <c r="N1572" s="6">
        <v>-31.387</v>
      </c>
      <c r="O1572" s="6">
        <v>-31.387</v>
      </c>
      <c r="P1572" s="6">
        <v>-3</v>
      </c>
      <c r="Q1572" s="4" t="s">
        <v>26</v>
      </c>
      <c r="R1572" s="4">
        <v>0</v>
      </c>
      <c r="S1572" s="4" t="s">
        <v>396</v>
      </c>
      <c r="T1572" s="4" t="s">
        <v>666</v>
      </c>
      <c r="U1572" s="4">
        <v>0</v>
      </c>
      <c r="V1572" s="4">
        <v>52</v>
      </c>
      <c r="W1572" s="4">
        <v>96</v>
      </c>
    </row>
    <row r="1573" spans="1:23" ht="11.25" customHeight="1" x14ac:dyDescent="0.25">
      <c r="A1573" s="4" t="s">
        <v>28</v>
      </c>
      <c r="B1573" s="4" t="s">
        <v>46</v>
      </c>
      <c r="C1573" s="4" t="s">
        <v>23</v>
      </c>
      <c r="D1573" s="4" t="s">
        <v>47</v>
      </c>
      <c r="E1573" s="4" t="s">
        <v>25</v>
      </c>
      <c r="F1573" s="4" t="s">
        <v>25</v>
      </c>
      <c r="G1573" s="4" t="s">
        <v>25</v>
      </c>
      <c r="H1573" s="4" t="s">
        <v>25</v>
      </c>
      <c r="I1573" s="5">
        <v>44682</v>
      </c>
      <c r="J1573" s="6">
        <v>0</v>
      </c>
      <c r="K1573" s="6">
        <v>0</v>
      </c>
      <c r="L1573" s="6">
        <v>555.50800000000004</v>
      </c>
      <c r="M1573" s="6">
        <v>555.50800000000004</v>
      </c>
      <c r="N1573" s="6">
        <v>555.50800000000004</v>
      </c>
      <c r="O1573" s="6">
        <v>555.50800000000004</v>
      </c>
      <c r="P1573" s="6">
        <v>3483</v>
      </c>
      <c r="Q1573" s="4" t="s">
        <v>26</v>
      </c>
      <c r="R1573" s="4">
        <v>0</v>
      </c>
      <c r="S1573" s="4" t="s">
        <v>396</v>
      </c>
      <c r="T1573" s="4" t="s">
        <v>666</v>
      </c>
      <c r="U1573" s="4">
        <v>0</v>
      </c>
      <c r="V1573" s="4">
        <v>52</v>
      </c>
      <c r="W1573" s="4">
        <v>96</v>
      </c>
    </row>
    <row r="1574" spans="1:23" ht="11.25" customHeight="1" x14ac:dyDescent="0.25">
      <c r="A1574" s="4" t="s">
        <v>29</v>
      </c>
      <c r="B1574" s="4" t="s">
        <v>46</v>
      </c>
      <c r="C1574" s="4" t="s">
        <v>23</v>
      </c>
      <c r="D1574" s="4" t="s">
        <v>47</v>
      </c>
      <c r="E1574" s="4" t="s">
        <v>25</v>
      </c>
      <c r="F1574" s="4" t="s">
        <v>25</v>
      </c>
      <c r="G1574" s="4" t="s">
        <v>25</v>
      </c>
      <c r="H1574" s="4" t="s">
        <v>25</v>
      </c>
      <c r="I1574" s="5">
        <v>44682</v>
      </c>
      <c r="J1574" s="6">
        <v>0</v>
      </c>
      <c r="K1574" s="6">
        <v>0</v>
      </c>
      <c r="L1574" s="6">
        <v>-0.11799999999999999</v>
      </c>
      <c r="M1574" s="6">
        <v>-0.11799999999999999</v>
      </c>
      <c r="N1574" s="6">
        <v>-0.11799999999999999</v>
      </c>
      <c r="O1574" s="6">
        <v>-0.11799999999999999</v>
      </c>
      <c r="P1574" s="6">
        <v>0</v>
      </c>
      <c r="Q1574" s="4" t="s">
        <v>26</v>
      </c>
      <c r="R1574" s="4">
        <v>0</v>
      </c>
      <c r="S1574" s="4" t="s">
        <v>396</v>
      </c>
      <c r="T1574" s="4" t="s">
        <v>666</v>
      </c>
      <c r="U1574" s="4">
        <v>0</v>
      </c>
      <c r="V1574" s="4">
        <v>52</v>
      </c>
      <c r="W1574" s="4">
        <v>96</v>
      </c>
    </row>
    <row r="1575" spans="1:23" ht="11.25" customHeight="1" x14ac:dyDescent="0.25">
      <c r="A1575" s="4" t="s">
        <v>30</v>
      </c>
      <c r="B1575" s="4" t="s">
        <v>46</v>
      </c>
      <c r="C1575" s="4" t="s">
        <v>23</v>
      </c>
      <c r="D1575" s="4" t="s">
        <v>47</v>
      </c>
      <c r="E1575" s="4" t="s">
        <v>25</v>
      </c>
      <c r="F1575" s="4" t="s">
        <v>25</v>
      </c>
      <c r="G1575" s="4" t="s">
        <v>25</v>
      </c>
      <c r="H1575" s="4" t="s">
        <v>25</v>
      </c>
      <c r="I1575" s="5">
        <v>44682</v>
      </c>
      <c r="J1575" s="6">
        <v>0</v>
      </c>
      <c r="K1575" s="6">
        <v>0</v>
      </c>
      <c r="L1575" s="6">
        <v>50.243000000000002</v>
      </c>
      <c r="M1575" s="6">
        <v>50.243000000000002</v>
      </c>
      <c r="N1575" s="6">
        <v>50.243000000000002</v>
      </c>
      <c r="O1575" s="6">
        <v>50.243000000000002</v>
      </c>
      <c r="P1575" s="6">
        <v>266</v>
      </c>
      <c r="Q1575" s="4" t="s">
        <v>26</v>
      </c>
      <c r="R1575" s="4">
        <v>0</v>
      </c>
      <c r="S1575" s="4" t="s">
        <v>396</v>
      </c>
      <c r="T1575" s="4" t="s">
        <v>666</v>
      </c>
      <c r="U1575" s="4">
        <v>0</v>
      </c>
      <c r="V1575" s="4">
        <v>52</v>
      </c>
      <c r="W1575" s="4">
        <v>96</v>
      </c>
    </row>
    <row r="1576" spans="1:23" ht="11.25" customHeight="1" x14ac:dyDescent="0.25">
      <c r="A1576" s="4" t="s">
        <v>30</v>
      </c>
      <c r="B1576" s="4" t="s">
        <v>46</v>
      </c>
      <c r="C1576" s="4" t="s">
        <v>23</v>
      </c>
      <c r="D1576" s="4" t="s">
        <v>47</v>
      </c>
      <c r="E1576" s="4" t="s">
        <v>25</v>
      </c>
      <c r="F1576" s="4" t="s">
        <v>25</v>
      </c>
      <c r="G1576" s="4" t="s">
        <v>25</v>
      </c>
      <c r="H1576" s="4" t="s">
        <v>25</v>
      </c>
      <c r="I1576" s="5">
        <v>44682</v>
      </c>
      <c r="J1576" s="6">
        <v>0</v>
      </c>
      <c r="K1576" s="6">
        <v>0</v>
      </c>
      <c r="L1576" s="6">
        <v>-4.1109999999999998</v>
      </c>
      <c r="M1576" s="6">
        <v>-4.1109999999999998</v>
      </c>
      <c r="N1576" s="6">
        <v>-4.1109999999999998</v>
      </c>
      <c r="O1576" s="6">
        <v>-4.1109999999999998</v>
      </c>
      <c r="P1576" s="6">
        <v>0</v>
      </c>
      <c r="Q1576" s="4" t="s">
        <v>26</v>
      </c>
      <c r="R1576" s="4">
        <v>0</v>
      </c>
      <c r="S1576" s="4" t="s">
        <v>396</v>
      </c>
      <c r="T1576" s="4" t="s">
        <v>666</v>
      </c>
      <c r="U1576" s="4">
        <v>0</v>
      </c>
      <c r="V1576" s="4">
        <v>52</v>
      </c>
      <c r="W1576" s="4">
        <v>96</v>
      </c>
    </row>
    <row r="1577" spans="1:23" ht="11.25" customHeight="1" x14ac:dyDescent="0.25">
      <c r="A1577" s="4" t="s">
        <v>21</v>
      </c>
      <c r="B1577" s="4" t="s">
        <v>46</v>
      </c>
      <c r="C1577" s="4" t="s">
        <v>23</v>
      </c>
      <c r="D1577" s="4" t="s">
        <v>47</v>
      </c>
      <c r="E1577" s="4" t="s">
        <v>25</v>
      </c>
      <c r="F1577" s="4" t="s">
        <v>25</v>
      </c>
      <c r="G1577" s="4" t="s">
        <v>25</v>
      </c>
      <c r="H1577" s="4" t="s">
        <v>25</v>
      </c>
      <c r="I1577" s="5">
        <v>44713</v>
      </c>
      <c r="J1577" s="6">
        <v>0</v>
      </c>
      <c r="K1577" s="6">
        <v>0</v>
      </c>
      <c r="L1577" s="6">
        <v>2815.1010000000001</v>
      </c>
      <c r="M1577" s="6">
        <v>2815.1010000000001</v>
      </c>
      <c r="N1577" s="6">
        <v>2815.1010000000001</v>
      </c>
      <c r="O1577" s="6">
        <v>2815.1010000000001</v>
      </c>
      <c r="P1577" s="6">
        <v>15374</v>
      </c>
      <c r="Q1577" s="4" t="s">
        <v>26</v>
      </c>
      <c r="R1577" s="4">
        <v>0</v>
      </c>
      <c r="S1577" s="4" t="s">
        <v>397</v>
      </c>
      <c r="T1577" s="4" t="s">
        <v>667</v>
      </c>
      <c r="U1577" s="4">
        <v>0</v>
      </c>
      <c r="V1577" s="4">
        <v>52</v>
      </c>
      <c r="W1577" s="4">
        <v>96</v>
      </c>
    </row>
    <row r="1578" spans="1:23" ht="11.25" customHeight="1" x14ac:dyDescent="0.25">
      <c r="A1578" s="4" t="s">
        <v>27</v>
      </c>
      <c r="B1578" s="4" t="s">
        <v>46</v>
      </c>
      <c r="C1578" s="4" t="s">
        <v>23</v>
      </c>
      <c r="D1578" s="4" t="s">
        <v>47</v>
      </c>
      <c r="E1578" s="4" t="s">
        <v>25</v>
      </c>
      <c r="F1578" s="4" t="s">
        <v>25</v>
      </c>
      <c r="G1578" s="4" t="s">
        <v>25</v>
      </c>
      <c r="H1578" s="4" t="s">
        <v>25</v>
      </c>
      <c r="I1578" s="5">
        <v>44713</v>
      </c>
      <c r="J1578" s="6">
        <v>0</v>
      </c>
      <c r="K1578" s="6">
        <v>0</v>
      </c>
      <c r="L1578" s="6">
        <v>-58.545999999999999</v>
      </c>
      <c r="M1578" s="6">
        <v>-58.545999999999999</v>
      </c>
      <c r="N1578" s="6">
        <v>-58.545999999999999</v>
      </c>
      <c r="O1578" s="6">
        <v>-58.545999999999999</v>
      </c>
      <c r="P1578" s="6">
        <v>-9</v>
      </c>
      <c r="Q1578" s="4" t="s">
        <v>26</v>
      </c>
      <c r="R1578" s="4">
        <v>0</v>
      </c>
      <c r="S1578" s="4" t="s">
        <v>397</v>
      </c>
      <c r="T1578" s="4" t="s">
        <v>667</v>
      </c>
      <c r="U1578" s="4">
        <v>0</v>
      </c>
      <c r="V1578" s="4">
        <v>52</v>
      </c>
      <c r="W1578" s="4">
        <v>96</v>
      </c>
    </row>
    <row r="1579" spans="1:23" ht="11.25" customHeight="1" x14ac:dyDescent="0.25">
      <c r="A1579" s="4" t="s">
        <v>28</v>
      </c>
      <c r="B1579" s="4" t="s">
        <v>46</v>
      </c>
      <c r="C1579" s="4" t="s">
        <v>23</v>
      </c>
      <c r="D1579" s="4" t="s">
        <v>47</v>
      </c>
      <c r="E1579" s="4" t="s">
        <v>25</v>
      </c>
      <c r="F1579" s="4" t="s">
        <v>25</v>
      </c>
      <c r="G1579" s="4" t="s">
        <v>25</v>
      </c>
      <c r="H1579" s="4" t="s">
        <v>25</v>
      </c>
      <c r="I1579" s="5">
        <v>44713</v>
      </c>
      <c r="J1579" s="6">
        <v>0</v>
      </c>
      <c r="K1579" s="6">
        <v>0</v>
      </c>
      <c r="L1579" s="6">
        <v>540.92100000000005</v>
      </c>
      <c r="M1579" s="6">
        <v>540.92100000000005</v>
      </c>
      <c r="N1579" s="6">
        <v>540.92100000000005</v>
      </c>
      <c r="O1579" s="6">
        <v>540.92100000000005</v>
      </c>
      <c r="P1579" s="6">
        <v>3559</v>
      </c>
      <c r="Q1579" s="4" t="s">
        <v>26</v>
      </c>
      <c r="R1579" s="4">
        <v>0</v>
      </c>
      <c r="S1579" s="4" t="s">
        <v>397</v>
      </c>
      <c r="T1579" s="4" t="s">
        <v>667</v>
      </c>
      <c r="U1579" s="4">
        <v>0</v>
      </c>
      <c r="V1579" s="4">
        <v>52</v>
      </c>
      <c r="W1579" s="4">
        <v>96</v>
      </c>
    </row>
    <row r="1580" spans="1:23" ht="11.25" customHeight="1" x14ac:dyDescent="0.25">
      <c r="A1580" s="4" t="s">
        <v>29</v>
      </c>
      <c r="B1580" s="4" t="s">
        <v>46</v>
      </c>
      <c r="C1580" s="4" t="s">
        <v>23</v>
      </c>
      <c r="D1580" s="4" t="s">
        <v>47</v>
      </c>
      <c r="E1580" s="4" t="s">
        <v>25</v>
      </c>
      <c r="F1580" s="4" t="s">
        <v>25</v>
      </c>
      <c r="G1580" s="4" t="s">
        <v>25</v>
      </c>
      <c r="H1580" s="4" t="s">
        <v>25</v>
      </c>
      <c r="I1580" s="5">
        <v>44713</v>
      </c>
      <c r="J1580" s="6">
        <v>0</v>
      </c>
      <c r="K1580" s="6">
        <v>0</v>
      </c>
      <c r="L1580" s="6">
        <v>-19.776</v>
      </c>
      <c r="M1580" s="6">
        <v>-19.776</v>
      </c>
      <c r="N1580" s="6">
        <v>-19.776</v>
      </c>
      <c r="O1580" s="6">
        <v>-19.776</v>
      </c>
      <c r="P1580" s="6">
        <v>-4</v>
      </c>
      <c r="Q1580" s="4" t="s">
        <v>26</v>
      </c>
      <c r="R1580" s="4">
        <v>0</v>
      </c>
      <c r="S1580" s="4" t="s">
        <v>397</v>
      </c>
      <c r="T1580" s="4" t="s">
        <v>667</v>
      </c>
      <c r="U1580" s="4">
        <v>0</v>
      </c>
      <c r="V1580" s="4">
        <v>52</v>
      </c>
      <c r="W1580" s="4">
        <v>96</v>
      </c>
    </row>
    <row r="1581" spans="1:23" ht="11.25" customHeight="1" x14ac:dyDescent="0.25">
      <c r="A1581" s="4" t="s">
        <v>30</v>
      </c>
      <c r="B1581" s="4" t="s">
        <v>46</v>
      </c>
      <c r="C1581" s="4" t="s">
        <v>23</v>
      </c>
      <c r="D1581" s="4" t="s">
        <v>47</v>
      </c>
      <c r="E1581" s="4" t="s">
        <v>25</v>
      </c>
      <c r="F1581" s="4" t="s">
        <v>25</v>
      </c>
      <c r="G1581" s="4" t="s">
        <v>25</v>
      </c>
      <c r="H1581" s="4" t="s">
        <v>25</v>
      </c>
      <c r="I1581" s="5">
        <v>44713</v>
      </c>
      <c r="J1581" s="6">
        <v>0</v>
      </c>
      <c r="K1581" s="6">
        <v>0</v>
      </c>
      <c r="L1581" s="6">
        <v>46.615000000000002</v>
      </c>
      <c r="M1581" s="6">
        <v>46.615000000000002</v>
      </c>
      <c r="N1581" s="6">
        <v>46.615000000000002</v>
      </c>
      <c r="O1581" s="6">
        <v>46.615000000000002</v>
      </c>
      <c r="P1581" s="6">
        <v>288</v>
      </c>
      <c r="Q1581" s="4" t="s">
        <v>26</v>
      </c>
      <c r="R1581" s="4">
        <v>0</v>
      </c>
      <c r="S1581" s="4" t="s">
        <v>397</v>
      </c>
      <c r="T1581" s="4" t="s">
        <v>667</v>
      </c>
      <c r="U1581" s="4">
        <v>0</v>
      </c>
      <c r="V1581" s="4">
        <v>52</v>
      </c>
      <c r="W1581" s="4">
        <v>96</v>
      </c>
    </row>
    <row r="1582" spans="1:23" ht="11.25" customHeight="1" x14ac:dyDescent="0.25">
      <c r="A1582" s="4" t="s">
        <v>30</v>
      </c>
      <c r="B1582" s="4" t="s">
        <v>46</v>
      </c>
      <c r="C1582" s="4" t="s">
        <v>23</v>
      </c>
      <c r="D1582" s="4" t="s">
        <v>47</v>
      </c>
      <c r="E1582" s="4" t="s">
        <v>25</v>
      </c>
      <c r="F1582" s="4" t="s">
        <v>25</v>
      </c>
      <c r="G1582" s="4" t="s">
        <v>25</v>
      </c>
      <c r="H1582" s="4" t="s">
        <v>25</v>
      </c>
      <c r="I1582" s="5">
        <v>44713</v>
      </c>
      <c r="J1582" s="6">
        <v>0</v>
      </c>
      <c r="K1582" s="6">
        <v>0</v>
      </c>
      <c r="L1582" s="6">
        <v>1.7000000000000001E-2</v>
      </c>
      <c r="M1582" s="6">
        <v>1.7000000000000001E-2</v>
      </c>
      <c r="N1582" s="6">
        <v>1.7000000000000001E-2</v>
      </c>
      <c r="O1582" s="6">
        <v>1.7000000000000001E-2</v>
      </c>
      <c r="P1582" s="6">
        <v>0</v>
      </c>
      <c r="Q1582" s="4" t="s">
        <v>26</v>
      </c>
      <c r="R1582" s="4">
        <v>0</v>
      </c>
      <c r="S1582" s="4" t="s">
        <v>397</v>
      </c>
      <c r="T1582" s="4" t="s">
        <v>667</v>
      </c>
      <c r="U1582" s="4">
        <v>0</v>
      </c>
      <c r="V1582" s="4">
        <v>52</v>
      </c>
      <c r="W1582" s="4">
        <v>96</v>
      </c>
    </row>
    <row r="1583" spans="1:23" ht="11.25" customHeight="1" x14ac:dyDescent="0.25">
      <c r="A1583" s="4" t="s">
        <v>21</v>
      </c>
      <c r="B1583" s="4" t="s">
        <v>46</v>
      </c>
      <c r="C1583" s="4" t="s">
        <v>23</v>
      </c>
      <c r="D1583" s="4" t="s">
        <v>47</v>
      </c>
      <c r="E1583" s="4" t="s">
        <v>25</v>
      </c>
      <c r="F1583" s="4" t="s">
        <v>25</v>
      </c>
      <c r="G1583" s="4" t="s">
        <v>25</v>
      </c>
      <c r="H1583" s="4" t="s">
        <v>25</v>
      </c>
      <c r="I1583" s="5">
        <v>44743</v>
      </c>
      <c r="J1583" s="6">
        <v>0</v>
      </c>
      <c r="K1583" s="6">
        <v>0</v>
      </c>
      <c r="L1583" s="6">
        <v>3019.623</v>
      </c>
      <c r="M1583" s="6">
        <v>3019.623</v>
      </c>
      <c r="N1583" s="6">
        <v>3019.623</v>
      </c>
      <c r="O1583" s="6">
        <v>3019.623</v>
      </c>
      <c r="P1583" s="6">
        <v>15356</v>
      </c>
      <c r="Q1583" s="4" t="s">
        <v>26</v>
      </c>
      <c r="R1583" s="4">
        <v>0</v>
      </c>
      <c r="S1583" s="4" t="s">
        <v>398</v>
      </c>
      <c r="T1583" s="4" t="s">
        <v>668</v>
      </c>
      <c r="U1583" s="4">
        <v>0</v>
      </c>
      <c r="V1583" s="4">
        <v>52</v>
      </c>
      <c r="W1583" s="4">
        <v>96</v>
      </c>
    </row>
    <row r="1584" spans="1:23" ht="11.25" customHeight="1" x14ac:dyDescent="0.25">
      <c r="A1584" s="4" t="s">
        <v>27</v>
      </c>
      <c r="B1584" s="4" t="s">
        <v>46</v>
      </c>
      <c r="C1584" s="4" t="s">
        <v>23</v>
      </c>
      <c r="D1584" s="4" t="s">
        <v>47</v>
      </c>
      <c r="E1584" s="4" t="s">
        <v>25</v>
      </c>
      <c r="F1584" s="4" t="s">
        <v>25</v>
      </c>
      <c r="G1584" s="4" t="s">
        <v>25</v>
      </c>
      <c r="H1584" s="4" t="s">
        <v>25</v>
      </c>
      <c r="I1584" s="5">
        <v>44743</v>
      </c>
      <c r="J1584" s="6">
        <v>0</v>
      </c>
      <c r="K1584" s="6">
        <v>0</v>
      </c>
      <c r="L1584" s="6">
        <v>-23.911000000000001</v>
      </c>
      <c r="M1584" s="6">
        <v>-23.911000000000001</v>
      </c>
      <c r="N1584" s="6">
        <v>-23.911000000000001</v>
      </c>
      <c r="O1584" s="6">
        <v>-23.911000000000001</v>
      </c>
      <c r="P1584" s="6">
        <v>-26</v>
      </c>
      <c r="Q1584" s="4" t="s">
        <v>26</v>
      </c>
      <c r="R1584" s="4">
        <v>0</v>
      </c>
      <c r="S1584" s="4" t="s">
        <v>398</v>
      </c>
      <c r="T1584" s="4" t="s">
        <v>668</v>
      </c>
      <c r="U1584" s="4">
        <v>0</v>
      </c>
      <c r="V1584" s="4">
        <v>52</v>
      </c>
      <c r="W1584" s="4">
        <v>96</v>
      </c>
    </row>
    <row r="1585" spans="1:23" ht="11.25" customHeight="1" x14ac:dyDescent="0.25">
      <c r="A1585" s="4" t="s">
        <v>28</v>
      </c>
      <c r="B1585" s="4" t="s">
        <v>46</v>
      </c>
      <c r="C1585" s="4" t="s">
        <v>23</v>
      </c>
      <c r="D1585" s="4" t="s">
        <v>47</v>
      </c>
      <c r="E1585" s="4" t="s">
        <v>25</v>
      </c>
      <c r="F1585" s="4" t="s">
        <v>25</v>
      </c>
      <c r="G1585" s="4" t="s">
        <v>25</v>
      </c>
      <c r="H1585" s="4" t="s">
        <v>25</v>
      </c>
      <c r="I1585" s="5">
        <v>44743</v>
      </c>
      <c r="J1585" s="6">
        <v>0</v>
      </c>
      <c r="K1585" s="6">
        <v>0</v>
      </c>
      <c r="L1585" s="6">
        <v>582.73400000000004</v>
      </c>
      <c r="M1585" s="6">
        <v>582.73400000000004</v>
      </c>
      <c r="N1585" s="6">
        <v>582.73400000000004</v>
      </c>
      <c r="O1585" s="6">
        <v>582.73400000000004</v>
      </c>
      <c r="P1585" s="6">
        <v>3633</v>
      </c>
      <c r="Q1585" s="4" t="s">
        <v>26</v>
      </c>
      <c r="R1585" s="4">
        <v>0</v>
      </c>
      <c r="S1585" s="4" t="s">
        <v>398</v>
      </c>
      <c r="T1585" s="4" t="s">
        <v>668</v>
      </c>
      <c r="U1585" s="4">
        <v>0</v>
      </c>
      <c r="V1585" s="4">
        <v>52</v>
      </c>
      <c r="W1585" s="4">
        <v>96</v>
      </c>
    </row>
    <row r="1586" spans="1:23" ht="11.25" customHeight="1" x14ac:dyDescent="0.25">
      <c r="A1586" s="4" t="s">
        <v>29</v>
      </c>
      <c r="B1586" s="4" t="s">
        <v>46</v>
      </c>
      <c r="C1586" s="4" t="s">
        <v>23</v>
      </c>
      <c r="D1586" s="4" t="s">
        <v>47</v>
      </c>
      <c r="E1586" s="4" t="s">
        <v>25</v>
      </c>
      <c r="F1586" s="4" t="s">
        <v>25</v>
      </c>
      <c r="G1586" s="4" t="s">
        <v>25</v>
      </c>
      <c r="H1586" s="4" t="s">
        <v>25</v>
      </c>
      <c r="I1586" s="5">
        <v>44743</v>
      </c>
      <c r="J1586" s="6">
        <v>0</v>
      </c>
      <c r="K1586" s="6">
        <v>0</v>
      </c>
      <c r="L1586" s="6">
        <v>-0.622</v>
      </c>
      <c r="M1586" s="6">
        <v>-0.622</v>
      </c>
      <c r="N1586" s="6">
        <v>-0.622</v>
      </c>
      <c r="O1586" s="6">
        <v>-0.622</v>
      </c>
      <c r="P1586" s="6">
        <v>0</v>
      </c>
      <c r="Q1586" s="4" t="s">
        <v>26</v>
      </c>
      <c r="R1586" s="4">
        <v>0</v>
      </c>
      <c r="S1586" s="4" t="s">
        <v>398</v>
      </c>
      <c r="T1586" s="4" t="s">
        <v>668</v>
      </c>
      <c r="U1586" s="4">
        <v>0</v>
      </c>
      <c r="V1586" s="4">
        <v>52</v>
      </c>
      <c r="W1586" s="4">
        <v>96</v>
      </c>
    </row>
    <row r="1587" spans="1:23" ht="11.25" customHeight="1" x14ac:dyDescent="0.25">
      <c r="A1587" s="4" t="s">
        <v>30</v>
      </c>
      <c r="B1587" s="4" t="s">
        <v>46</v>
      </c>
      <c r="C1587" s="4" t="s">
        <v>23</v>
      </c>
      <c r="D1587" s="4" t="s">
        <v>47</v>
      </c>
      <c r="E1587" s="4" t="s">
        <v>25</v>
      </c>
      <c r="F1587" s="4" t="s">
        <v>25</v>
      </c>
      <c r="G1587" s="4" t="s">
        <v>25</v>
      </c>
      <c r="H1587" s="4" t="s">
        <v>25</v>
      </c>
      <c r="I1587" s="5">
        <v>44743</v>
      </c>
      <c r="J1587" s="6">
        <v>0</v>
      </c>
      <c r="K1587" s="6">
        <v>0</v>
      </c>
      <c r="L1587" s="6">
        <v>46.082999999999998</v>
      </c>
      <c r="M1587" s="6">
        <v>46.082999999999998</v>
      </c>
      <c r="N1587" s="6">
        <v>46.082999999999998</v>
      </c>
      <c r="O1587" s="6">
        <v>46.082999999999998</v>
      </c>
      <c r="P1587" s="6">
        <v>297</v>
      </c>
      <c r="Q1587" s="4" t="s">
        <v>26</v>
      </c>
      <c r="R1587" s="4">
        <v>0</v>
      </c>
      <c r="S1587" s="4" t="s">
        <v>398</v>
      </c>
      <c r="T1587" s="4" t="s">
        <v>668</v>
      </c>
      <c r="U1587" s="4">
        <v>0</v>
      </c>
      <c r="V1587" s="4">
        <v>52</v>
      </c>
      <c r="W1587" s="4">
        <v>96</v>
      </c>
    </row>
    <row r="1588" spans="1:23" ht="11.25" customHeight="1" x14ac:dyDescent="0.25">
      <c r="A1588" s="4" t="s">
        <v>30</v>
      </c>
      <c r="B1588" s="4" t="s">
        <v>46</v>
      </c>
      <c r="C1588" s="4" t="s">
        <v>23</v>
      </c>
      <c r="D1588" s="4" t="s">
        <v>47</v>
      </c>
      <c r="E1588" s="4" t="s">
        <v>25</v>
      </c>
      <c r="F1588" s="4" t="s">
        <v>25</v>
      </c>
      <c r="G1588" s="4" t="s">
        <v>25</v>
      </c>
      <c r="H1588" s="4" t="s">
        <v>25</v>
      </c>
      <c r="I1588" s="5">
        <v>44743</v>
      </c>
      <c r="J1588" s="6">
        <v>0</v>
      </c>
      <c r="K1588" s="6">
        <v>0</v>
      </c>
      <c r="L1588" s="6">
        <v>-1.7749999999999999</v>
      </c>
      <c r="M1588" s="6">
        <v>-1.7749999999999999</v>
      </c>
      <c r="N1588" s="6">
        <v>-1.7749999999999999</v>
      </c>
      <c r="O1588" s="6">
        <v>-1.7749999999999999</v>
      </c>
      <c r="P1588" s="6">
        <v>0</v>
      </c>
      <c r="Q1588" s="4" t="s">
        <v>26</v>
      </c>
      <c r="R1588" s="4">
        <v>0</v>
      </c>
      <c r="S1588" s="4" t="s">
        <v>398</v>
      </c>
      <c r="T1588" s="4" t="s">
        <v>668</v>
      </c>
      <c r="U1588" s="4">
        <v>0</v>
      </c>
      <c r="V1588" s="4">
        <v>52</v>
      </c>
      <c r="W1588" s="4">
        <v>96</v>
      </c>
    </row>
    <row r="1589" spans="1:23" ht="11.25" customHeight="1" x14ac:dyDescent="0.25">
      <c r="A1589" s="4" t="s">
        <v>21</v>
      </c>
      <c r="B1589" s="4" t="s">
        <v>46</v>
      </c>
      <c r="C1589" s="4" t="s">
        <v>23</v>
      </c>
      <c r="D1589" s="4" t="s">
        <v>47</v>
      </c>
      <c r="E1589" s="4" t="s">
        <v>25</v>
      </c>
      <c r="F1589" s="4" t="s">
        <v>25</v>
      </c>
      <c r="G1589" s="4" t="s">
        <v>25</v>
      </c>
      <c r="H1589" s="4" t="s">
        <v>25</v>
      </c>
      <c r="I1589" s="5">
        <v>44774</v>
      </c>
      <c r="J1589" s="6">
        <v>0</v>
      </c>
      <c r="K1589" s="6">
        <v>0</v>
      </c>
      <c r="L1589" s="6">
        <v>3155.2730000000001</v>
      </c>
      <c r="M1589" s="6">
        <v>3155.2730000000001</v>
      </c>
      <c r="N1589" s="6">
        <v>3155.2730000000001</v>
      </c>
      <c r="O1589" s="6">
        <v>3155.2730000000001</v>
      </c>
      <c r="P1589" s="6">
        <v>15334</v>
      </c>
      <c r="Q1589" s="4" t="s">
        <v>26</v>
      </c>
      <c r="R1589" s="4">
        <v>0</v>
      </c>
      <c r="S1589" s="4" t="s">
        <v>399</v>
      </c>
      <c r="T1589" s="4" t="s">
        <v>669</v>
      </c>
      <c r="U1589" s="4">
        <v>0</v>
      </c>
      <c r="V1589" s="4">
        <v>52</v>
      </c>
      <c r="W1589" s="4">
        <v>96</v>
      </c>
    </row>
    <row r="1590" spans="1:23" ht="11.25" customHeight="1" x14ac:dyDescent="0.25">
      <c r="A1590" s="4" t="s">
        <v>27</v>
      </c>
      <c r="B1590" s="4" t="s">
        <v>46</v>
      </c>
      <c r="C1590" s="4" t="s">
        <v>23</v>
      </c>
      <c r="D1590" s="4" t="s">
        <v>47</v>
      </c>
      <c r="E1590" s="4" t="s">
        <v>25</v>
      </c>
      <c r="F1590" s="4" t="s">
        <v>25</v>
      </c>
      <c r="G1590" s="4" t="s">
        <v>25</v>
      </c>
      <c r="H1590" s="4" t="s">
        <v>25</v>
      </c>
      <c r="I1590" s="5">
        <v>44774</v>
      </c>
      <c r="J1590" s="6">
        <v>0</v>
      </c>
      <c r="K1590" s="6">
        <v>0</v>
      </c>
      <c r="L1590" s="6">
        <v>-14.010999999999999</v>
      </c>
      <c r="M1590" s="6">
        <v>-14.010999999999999</v>
      </c>
      <c r="N1590" s="6">
        <v>-14.010999999999999</v>
      </c>
      <c r="O1590" s="6">
        <v>-14.010999999999999</v>
      </c>
      <c r="P1590" s="6">
        <v>-7</v>
      </c>
      <c r="Q1590" s="4" t="s">
        <v>26</v>
      </c>
      <c r="R1590" s="4">
        <v>0</v>
      </c>
      <c r="S1590" s="4" t="s">
        <v>399</v>
      </c>
      <c r="T1590" s="4" t="s">
        <v>669</v>
      </c>
      <c r="U1590" s="4">
        <v>0</v>
      </c>
      <c r="V1590" s="4">
        <v>52</v>
      </c>
      <c r="W1590" s="4">
        <v>96</v>
      </c>
    </row>
    <row r="1591" spans="1:23" ht="11.25" customHeight="1" x14ac:dyDescent="0.25">
      <c r="A1591" s="4" t="s">
        <v>28</v>
      </c>
      <c r="B1591" s="4" t="s">
        <v>46</v>
      </c>
      <c r="C1591" s="4" t="s">
        <v>23</v>
      </c>
      <c r="D1591" s="4" t="s">
        <v>47</v>
      </c>
      <c r="E1591" s="4" t="s">
        <v>25</v>
      </c>
      <c r="F1591" s="4" t="s">
        <v>25</v>
      </c>
      <c r="G1591" s="4" t="s">
        <v>25</v>
      </c>
      <c r="H1591" s="4" t="s">
        <v>25</v>
      </c>
      <c r="I1591" s="5">
        <v>44774</v>
      </c>
      <c r="J1591" s="6">
        <v>0</v>
      </c>
      <c r="K1591" s="6">
        <v>0</v>
      </c>
      <c r="L1591" s="6">
        <v>603.70399999999995</v>
      </c>
      <c r="M1591" s="6">
        <v>603.70399999999995</v>
      </c>
      <c r="N1591" s="6">
        <v>603.70399999999995</v>
      </c>
      <c r="O1591" s="6">
        <v>603.70399999999995</v>
      </c>
      <c r="P1591" s="6">
        <v>3643</v>
      </c>
      <c r="Q1591" s="4" t="s">
        <v>26</v>
      </c>
      <c r="R1591" s="4">
        <v>0</v>
      </c>
      <c r="S1591" s="4" t="s">
        <v>399</v>
      </c>
      <c r="T1591" s="4" t="s">
        <v>669</v>
      </c>
      <c r="U1591" s="4">
        <v>0</v>
      </c>
      <c r="V1591" s="4">
        <v>52</v>
      </c>
      <c r="W1591" s="4">
        <v>96</v>
      </c>
    </row>
    <row r="1592" spans="1:23" ht="11.25" customHeight="1" x14ac:dyDescent="0.25">
      <c r="A1592" s="4" t="s">
        <v>29</v>
      </c>
      <c r="B1592" s="4" t="s">
        <v>46</v>
      </c>
      <c r="C1592" s="4" t="s">
        <v>23</v>
      </c>
      <c r="D1592" s="4" t="s">
        <v>47</v>
      </c>
      <c r="E1592" s="4" t="s">
        <v>25</v>
      </c>
      <c r="F1592" s="4" t="s">
        <v>25</v>
      </c>
      <c r="G1592" s="4" t="s">
        <v>25</v>
      </c>
      <c r="H1592" s="4" t="s">
        <v>25</v>
      </c>
      <c r="I1592" s="5">
        <v>44774</v>
      </c>
      <c r="J1592" s="6">
        <v>0</v>
      </c>
      <c r="K1592" s="6">
        <v>0</v>
      </c>
      <c r="L1592" s="6">
        <v>-10.214</v>
      </c>
      <c r="M1592" s="6">
        <v>-10.214</v>
      </c>
      <c r="N1592" s="6">
        <v>-10.214</v>
      </c>
      <c r="O1592" s="6">
        <v>-10.214</v>
      </c>
      <c r="P1592" s="6">
        <v>-1</v>
      </c>
      <c r="Q1592" s="4" t="s">
        <v>26</v>
      </c>
      <c r="R1592" s="4">
        <v>0</v>
      </c>
      <c r="S1592" s="4" t="s">
        <v>399</v>
      </c>
      <c r="T1592" s="4" t="s">
        <v>669</v>
      </c>
      <c r="U1592" s="4">
        <v>0</v>
      </c>
      <c r="V1592" s="4">
        <v>52</v>
      </c>
      <c r="W1592" s="4">
        <v>96</v>
      </c>
    </row>
    <row r="1593" spans="1:23" ht="11.25" customHeight="1" x14ac:dyDescent="0.25">
      <c r="A1593" s="4" t="s">
        <v>30</v>
      </c>
      <c r="B1593" s="4" t="s">
        <v>46</v>
      </c>
      <c r="C1593" s="4" t="s">
        <v>23</v>
      </c>
      <c r="D1593" s="4" t="s">
        <v>47</v>
      </c>
      <c r="E1593" s="4" t="s">
        <v>25</v>
      </c>
      <c r="F1593" s="4" t="s">
        <v>25</v>
      </c>
      <c r="G1593" s="4" t="s">
        <v>25</v>
      </c>
      <c r="H1593" s="4" t="s">
        <v>25</v>
      </c>
      <c r="I1593" s="5">
        <v>44774</v>
      </c>
      <c r="J1593" s="6">
        <v>0</v>
      </c>
      <c r="K1593" s="6">
        <v>0</v>
      </c>
      <c r="L1593" s="6">
        <v>48.884999999999998</v>
      </c>
      <c r="M1593" s="6">
        <v>48.884999999999998</v>
      </c>
      <c r="N1593" s="6">
        <v>48.884999999999998</v>
      </c>
      <c r="O1593" s="6">
        <v>48.884999999999998</v>
      </c>
      <c r="P1593" s="6">
        <v>327</v>
      </c>
      <c r="Q1593" s="4" t="s">
        <v>26</v>
      </c>
      <c r="R1593" s="4">
        <v>0</v>
      </c>
      <c r="S1593" s="4" t="s">
        <v>399</v>
      </c>
      <c r="T1593" s="4" t="s">
        <v>669</v>
      </c>
      <c r="U1593" s="4">
        <v>0</v>
      </c>
      <c r="V1593" s="4">
        <v>52</v>
      </c>
      <c r="W1593" s="4">
        <v>96</v>
      </c>
    </row>
    <row r="1594" spans="1:23" ht="11.25" customHeight="1" x14ac:dyDescent="0.25">
      <c r="A1594" s="4" t="s">
        <v>21</v>
      </c>
      <c r="B1594" s="4" t="s">
        <v>46</v>
      </c>
      <c r="C1594" s="4" t="s">
        <v>23</v>
      </c>
      <c r="D1594" s="4" t="s">
        <v>47</v>
      </c>
      <c r="E1594" s="4" t="s">
        <v>25</v>
      </c>
      <c r="F1594" s="4" t="s">
        <v>25</v>
      </c>
      <c r="G1594" s="4" t="s">
        <v>25</v>
      </c>
      <c r="H1594" s="4" t="s">
        <v>25</v>
      </c>
      <c r="I1594" s="5">
        <v>44805</v>
      </c>
      <c r="J1594" s="6">
        <v>0</v>
      </c>
      <c r="K1594" s="6">
        <v>0</v>
      </c>
      <c r="L1594" s="6">
        <v>3011.6759999999999</v>
      </c>
      <c r="M1594" s="6">
        <v>3011.6759999999999</v>
      </c>
      <c r="N1594" s="6">
        <v>3011.6759999999999</v>
      </c>
      <c r="O1594" s="6">
        <v>3011.6759999999999</v>
      </c>
      <c r="P1594" s="6">
        <v>15309</v>
      </c>
      <c r="Q1594" s="4" t="s">
        <v>26</v>
      </c>
      <c r="R1594" s="4">
        <v>0</v>
      </c>
      <c r="S1594" s="4" t="s">
        <v>400</v>
      </c>
      <c r="T1594" s="4" t="s">
        <v>670</v>
      </c>
      <c r="U1594" s="4">
        <v>0</v>
      </c>
      <c r="V1594" s="4">
        <v>52</v>
      </c>
      <c r="W1594" s="4">
        <v>96</v>
      </c>
    </row>
    <row r="1595" spans="1:23" ht="11.25" customHeight="1" x14ac:dyDescent="0.25">
      <c r="A1595" s="4" t="s">
        <v>27</v>
      </c>
      <c r="B1595" s="4" t="s">
        <v>46</v>
      </c>
      <c r="C1595" s="4" t="s">
        <v>23</v>
      </c>
      <c r="D1595" s="4" t="s">
        <v>47</v>
      </c>
      <c r="E1595" s="4" t="s">
        <v>25</v>
      </c>
      <c r="F1595" s="4" t="s">
        <v>25</v>
      </c>
      <c r="G1595" s="4" t="s">
        <v>25</v>
      </c>
      <c r="H1595" s="4" t="s">
        <v>25</v>
      </c>
      <c r="I1595" s="5">
        <v>44805</v>
      </c>
      <c r="J1595" s="6">
        <v>0</v>
      </c>
      <c r="K1595" s="6">
        <v>0</v>
      </c>
      <c r="L1595" s="6">
        <v>-22.221</v>
      </c>
      <c r="M1595" s="6">
        <v>-22.221</v>
      </c>
      <c r="N1595" s="6">
        <v>-22.221</v>
      </c>
      <c r="O1595" s="6">
        <v>-22.221</v>
      </c>
      <c r="P1595" s="6">
        <v>-7</v>
      </c>
      <c r="Q1595" s="4" t="s">
        <v>26</v>
      </c>
      <c r="R1595" s="4">
        <v>0</v>
      </c>
      <c r="S1595" s="4" t="s">
        <v>400</v>
      </c>
      <c r="T1595" s="4" t="s">
        <v>670</v>
      </c>
      <c r="U1595" s="4">
        <v>0</v>
      </c>
      <c r="V1595" s="4">
        <v>52</v>
      </c>
      <c r="W1595" s="4">
        <v>96</v>
      </c>
    </row>
    <row r="1596" spans="1:23" ht="11.25" customHeight="1" x14ac:dyDescent="0.25">
      <c r="A1596" s="4" t="s">
        <v>28</v>
      </c>
      <c r="B1596" s="4" t="s">
        <v>46</v>
      </c>
      <c r="C1596" s="4" t="s">
        <v>23</v>
      </c>
      <c r="D1596" s="4" t="s">
        <v>47</v>
      </c>
      <c r="E1596" s="4" t="s">
        <v>25</v>
      </c>
      <c r="F1596" s="4" t="s">
        <v>25</v>
      </c>
      <c r="G1596" s="4" t="s">
        <v>25</v>
      </c>
      <c r="H1596" s="4" t="s">
        <v>25</v>
      </c>
      <c r="I1596" s="5">
        <v>44805</v>
      </c>
      <c r="J1596" s="6">
        <v>0</v>
      </c>
      <c r="K1596" s="6">
        <v>0</v>
      </c>
      <c r="L1596" s="6">
        <v>608.98199999999997</v>
      </c>
      <c r="M1596" s="6">
        <v>608.98199999999997</v>
      </c>
      <c r="N1596" s="6">
        <v>608.98199999999997</v>
      </c>
      <c r="O1596" s="6">
        <v>608.98199999999997</v>
      </c>
      <c r="P1596" s="6">
        <v>3679</v>
      </c>
      <c r="Q1596" s="4" t="s">
        <v>26</v>
      </c>
      <c r="R1596" s="4">
        <v>0</v>
      </c>
      <c r="S1596" s="4" t="s">
        <v>400</v>
      </c>
      <c r="T1596" s="4" t="s">
        <v>670</v>
      </c>
      <c r="U1596" s="4">
        <v>0</v>
      </c>
      <c r="V1596" s="4">
        <v>52</v>
      </c>
      <c r="W1596" s="4">
        <v>96</v>
      </c>
    </row>
    <row r="1597" spans="1:23" ht="11.25" customHeight="1" x14ac:dyDescent="0.25">
      <c r="A1597" s="4" t="s">
        <v>30</v>
      </c>
      <c r="B1597" s="4" t="s">
        <v>46</v>
      </c>
      <c r="C1597" s="4" t="s">
        <v>23</v>
      </c>
      <c r="D1597" s="4" t="s">
        <v>47</v>
      </c>
      <c r="E1597" s="4" t="s">
        <v>25</v>
      </c>
      <c r="F1597" s="4" t="s">
        <v>25</v>
      </c>
      <c r="G1597" s="4" t="s">
        <v>25</v>
      </c>
      <c r="H1597" s="4" t="s">
        <v>25</v>
      </c>
      <c r="I1597" s="5">
        <v>44805</v>
      </c>
      <c r="J1597" s="6">
        <v>0</v>
      </c>
      <c r="K1597" s="6">
        <v>0</v>
      </c>
      <c r="L1597" s="6">
        <v>45.816000000000003</v>
      </c>
      <c r="M1597" s="6">
        <v>45.816000000000003</v>
      </c>
      <c r="N1597" s="6">
        <v>45.816000000000003</v>
      </c>
      <c r="O1597" s="6">
        <v>45.816000000000003</v>
      </c>
      <c r="P1597" s="6">
        <v>337</v>
      </c>
      <c r="Q1597" s="4" t="s">
        <v>26</v>
      </c>
      <c r="R1597" s="4">
        <v>0</v>
      </c>
      <c r="S1597" s="4" t="s">
        <v>400</v>
      </c>
      <c r="T1597" s="4" t="s">
        <v>670</v>
      </c>
      <c r="U1597" s="4">
        <v>0</v>
      </c>
      <c r="V1597" s="4">
        <v>52</v>
      </c>
      <c r="W1597" s="4">
        <v>96</v>
      </c>
    </row>
    <row r="1598" spans="1:23" ht="11.25" customHeight="1" x14ac:dyDescent="0.25">
      <c r="A1598" s="4" t="s">
        <v>21</v>
      </c>
      <c r="B1598" s="4" t="s">
        <v>46</v>
      </c>
      <c r="C1598" s="4" t="s">
        <v>23</v>
      </c>
      <c r="D1598" s="4" t="s">
        <v>47</v>
      </c>
      <c r="E1598" s="4" t="s">
        <v>25</v>
      </c>
      <c r="F1598" s="4" t="s">
        <v>25</v>
      </c>
      <c r="G1598" s="4" t="s">
        <v>25</v>
      </c>
      <c r="H1598" s="4" t="s">
        <v>25</v>
      </c>
      <c r="I1598" s="5">
        <v>44835</v>
      </c>
      <c r="J1598" s="6">
        <v>0</v>
      </c>
      <c r="K1598" s="6">
        <v>0</v>
      </c>
      <c r="L1598" s="6">
        <v>3097.9110000000001</v>
      </c>
      <c r="M1598" s="6">
        <v>3097.9110000000001</v>
      </c>
      <c r="N1598" s="6">
        <v>3097.9110000000001</v>
      </c>
      <c r="O1598" s="6">
        <v>3097.9110000000001</v>
      </c>
      <c r="P1598" s="6">
        <v>15296</v>
      </c>
      <c r="Q1598" s="4" t="s">
        <v>26</v>
      </c>
      <c r="R1598" s="4">
        <v>0</v>
      </c>
      <c r="S1598" s="4" t="s">
        <v>401</v>
      </c>
      <c r="T1598" s="4" t="s">
        <v>671</v>
      </c>
      <c r="U1598" s="4">
        <v>0</v>
      </c>
      <c r="V1598" s="4">
        <v>52</v>
      </c>
      <c r="W1598" s="4">
        <v>96</v>
      </c>
    </row>
    <row r="1599" spans="1:23" ht="11.25" customHeight="1" x14ac:dyDescent="0.25">
      <c r="A1599" s="4" t="s">
        <v>27</v>
      </c>
      <c r="B1599" s="4" t="s">
        <v>46</v>
      </c>
      <c r="C1599" s="4" t="s">
        <v>23</v>
      </c>
      <c r="D1599" s="4" t="s">
        <v>47</v>
      </c>
      <c r="E1599" s="4" t="s">
        <v>25</v>
      </c>
      <c r="F1599" s="4" t="s">
        <v>25</v>
      </c>
      <c r="G1599" s="4" t="s">
        <v>25</v>
      </c>
      <c r="H1599" s="4" t="s">
        <v>25</v>
      </c>
      <c r="I1599" s="5">
        <v>44835</v>
      </c>
      <c r="J1599" s="6">
        <v>0</v>
      </c>
      <c r="K1599" s="6">
        <v>0</v>
      </c>
      <c r="L1599" s="6">
        <v>-27.672999999999998</v>
      </c>
      <c r="M1599" s="6">
        <v>-27.672999999999998</v>
      </c>
      <c r="N1599" s="6">
        <v>-27.672999999999998</v>
      </c>
      <c r="O1599" s="6">
        <v>-27.672999999999998</v>
      </c>
      <c r="P1599" s="6">
        <v>-6</v>
      </c>
      <c r="Q1599" s="4" t="s">
        <v>26</v>
      </c>
      <c r="R1599" s="4">
        <v>0</v>
      </c>
      <c r="S1599" s="4" t="s">
        <v>401</v>
      </c>
      <c r="T1599" s="4" t="s">
        <v>671</v>
      </c>
      <c r="U1599" s="4">
        <v>0</v>
      </c>
      <c r="V1599" s="4">
        <v>52</v>
      </c>
      <c r="W1599" s="4">
        <v>96</v>
      </c>
    </row>
    <row r="1600" spans="1:23" ht="11.25" customHeight="1" x14ac:dyDescent="0.25">
      <c r="A1600" s="4" t="s">
        <v>28</v>
      </c>
      <c r="B1600" s="4" t="s">
        <v>46</v>
      </c>
      <c r="C1600" s="4" t="s">
        <v>23</v>
      </c>
      <c r="D1600" s="4" t="s">
        <v>47</v>
      </c>
      <c r="E1600" s="4" t="s">
        <v>25</v>
      </c>
      <c r="F1600" s="4" t="s">
        <v>25</v>
      </c>
      <c r="G1600" s="4" t="s">
        <v>25</v>
      </c>
      <c r="H1600" s="4" t="s">
        <v>25</v>
      </c>
      <c r="I1600" s="5">
        <v>44835</v>
      </c>
      <c r="J1600" s="6">
        <v>0</v>
      </c>
      <c r="K1600" s="6">
        <v>0</v>
      </c>
      <c r="L1600" s="6">
        <v>586.95500000000004</v>
      </c>
      <c r="M1600" s="6">
        <v>586.95500000000004</v>
      </c>
      <c r="N1600" s="6">
        <v>586.95500000000004</v>
      </c>
      <c r="O1600" s="6">
        <v>586.95500000000004</v>
      </c>
      <c r="P1600" s="6">
        <v>3664</v>
      </c>
      <c r="Q1600" s="4" t="s">
        <v>26</v>
      </c>
      <c r="R1600" s="4">
        <v>0</v>
      </c>
      <c r="S1600" s="4" t="s">
        <v>401</v>
      </c>
      <c r="T1600" s="4" t="s">
        <v>671</v>
      </c>
      <c r="U1600" s="4">
        <v>0</v>
      </c>
      <c r="V1600" s="4">
        <v>52</v>
      </c>
      <c r="W1600" s="4">
        <v>96</v>
      </c>
    </row>
    <row r="1601" spans="1:23" ht="11.25" customHeight="1" x14ac:dyDescent="0.25">
      <c r="A1601" s="4" t="s">
        <v>29</v>
      </c>
      <c r="B1601" s="4" t="s">
        <v>46</v>
      </c>
      <c r="C1601" s="4" t="s">
        <v>23</v>
      </c>
      <c r="D1601" s="4" t="s">
        <v>47</v>
      </c>
      <c r="E1601" s="4" t="s">
        <v>25</v>
      </c>
      <c r="F1601" s="4" t="s">
        <v>25</v>
      </c>
      <c r="G1601" s="4" t="s">
        <v>25</v>
      </c>
      <c r="H1601" s="4" t="s">
        <v>25</v>
      </c>
      <c r="I1601" s="5">
        <v>44835</v>
      </c>
      <c r="J1601" s="6">
        <v>0</v>
      </c>
      <c r="K1601" s="6">
        <v>0</v>
      </c>
      <c r="L1601" s="6">
        <v>-6.76</v>
      </c>
      <c r="M1601" s="6">
        <v>-6.76</v>
      </c>
      <c r="N1601" s="6">
        <v>-6.76</v>
      </c>
      <c r="O1601" s="6">
        <v>-6.76</v>
      </c>
      <c r="P1601" s="6">
        <v>0</v>
      </c>
      <c r="Q1601" s="4" t="s">
        <v>26</v>
      </c>
      <c r="R1601" s="4">
        <v>0</v>
      </c>
      <c r="S1601" s="4" t="s">
        <v>401</v>
      </c>
      <c r="T1601" s="4" t="s">
        <v>671</v>
      </c>
      <c r="U1601" s="4">
        <v>0</v>
      </c>
      <c r="V1601" s="4">
        <v>52</v>
      </c>
      <c r="W1601" s="4">
        <v>96</v>
      </c>
    </row>
    <row r="1602" spans="1:23" ht="11.25" customHeight="1" x14ac:dyDescent="0.25">
      <c r="A1602" s="4" t="s">
        <v>30</v>
      </c>
      <c r="B1602" s="4" t="s">
        <v>46</v>
      </c>
      <c r="C1602" s="4" t="s">
        <v>23</v>
      </c>
      <c r="D1602" s="4" t="s">
        <v>47</v>
      </c>
      <c r="E1602" s="4" t="s">
        <v>25</v>
      </c>
      <c r="F1602" s="4" t="s">
        <v>25</v>
      </c>
      <c r="G1602" s="4" t="s">
        <v>25</v>
      </c>
      <c r="H1602" s="4" t="s">
        <v>25</v>
      </c>
      <c r="I1602" s="5">
        <v>44835</v>
      </c>
      <c r="J1602" s="6">
        <v>0</v>
      </c>
      <c r="K1602" s="6">
        <v>0</v>
      </c>
      <c r="L1602" s="6">
        <v>52.517000000000003</v>
      </c>
      <c r="M1602" s="6">
        <v>52.517000000000003</v>
      </c>
      <c r="N1602" s="6">
        <v>52.517000000000003</v>
      </c>
      <c r="O1602" s="6">
        <v>52.517000000000003</v>
      </c>
      <c r="P1602" s="6">
        <v>343</v>
      </c>
      <c r="Q1602" s="4" t="s">
        <v>26</v>
      </c>
      <c r="R1602" s="4">
        <v>0</v>
      </c>
      <c r="S1602" s="4" t="s">
        <v>401</v>
      </c>
      <c r="T1602" s="4" t="s">
        <v>671</v>
      </c>
      <c r="U1602" s="4">
        <v>0</v>
      </c>
      <c r="V1602" s="4">
        <v>52</v>
      </c>
      <c r="W1602" s="4">
        <v>96</v>
      </c>
    </row>
    <row r="1603" spans="1:23" ht="11.25" customHeight="1" x14ac:dyDescent="0.25">
      <c r="A1603" s="4" t="s">
        <v>59</v>
      </c>
      <c r="B1603" s="4" t="s">
        <v>46</v>
      </c>
      <c r="C1603" s="4" t="s">
        <v>23</v>
      </c>
      <c r="D1603" s="4" t="s">
        <v>47</v>
      </c>
      <c r="E1603" s="4" t="s">
        <v>25</v>
      </c>
      <c r="F1603" s="4" t="s">
        <v>25</v>
      </c>
      <c r="G1603" s="4" t="s">
        <v>25</v>
      </c>
      <c r="H1603" s="4" t="s">
        <v>25</v>
      </c>
      <c r="I1603" s="5">
        <v>44866</v>
      </c>
      <c r="J1603" s="6">
        <v>0</v>
      </c>
      <c r="K1603" s="6">
        <v>0</v>
      </c>
      <c r="L1603" s="6">
        <v>3097.9110000000001</v>
      </c>
      <c r="M1603" s="6">
        <v>3097.9110000000001</v>
      </c>
      <c r="N1603" s="6">
        <v>3097.9110000000001</v>
      </c>
      <c r="O1603" s="6">
        <v>3097.9110000000001</v>
      </c>
      <c r="P1603" s="6">
        <v>15296</v>
      </c>
      <c r="Q1603" s="4" t="s">
        <v>26</v>
      </c>
      <c r="R1603" s="4">
        <v>0</v>
      </c>
      <c r="S1603" s="4" t="s">
        <v>402</v>
      </c>
      <c r="T1603" s="4" t="s">
        <v>672</v>
      </c>
      <c r="U1603" s="4">
        <v>0</v>
      </c>
      <c r="V1603" s="4">
        <v>52</v>
      </c>
      <c r="W1603" s="4">
        <v>96</v>
      </c>
    </row>
    <row r="1604" spans="1:23" ht="11.25" customHeight="1" x14ac:dyDescent="0.25">
      <c r="A1604" s="4" t="s">
        <v>59</v>
      </c>
      <c r="B1604" s="4" t="s">
        <v>46</v>
      </c>
      <c r="C1604" s="4" t="s">
        <v>23</v>
      </c>
      <c r="D1604" s="4" t="s">
        <v>47</v>
      </c>
      <c r="E1604" s="4" t="s">
        <v>25</v>
      </c>
      <c r="F1604" s="4" t="s">
        <v>25</v>
      </c>
      <c r="G1604" s="4" t="s">
        <v>25</v>
      </c>
      <c r="H1604" s="4" t="s">
        <v>25</v>
      </c>
      <c r="I1604" s="5">
        <v>44866</v>
      </c>
      <c r="J1604" s="6">
        <v>0</v>
      </c>
      <c r="K1604" s="6">
        <v>0</v>
      </c>
      <c r="L1604" s="6">
        <v>-27.672999999999998</v>
      </c>
      <c r="M1604" s="6">
        <v>-27.672999999999998</v>
      </c>
      <c r="N1604" s="6">
        <v>-27.672999999999998</v>
      </c>
      <c r="O1604" s="6">
        <v>-27.672999999999998</v>
      </c>
      <c r="P1604" s="6">
        <v>-6</v>
      </c>
      <c r="Q1604" s="4" t="s">
        <v>26</v>
      </c>
      <c r="R1604" s="4">
        <v>0</v>
      </c>
      <c r="S1604" s="4" t="s">
        <v>402</v>
      </c>
      <c r="T1604" s="4" t="s">
        <v>672</v>
      </c>
      <c r="U1604" s="4">
        <v>0</v>
      </c>
      <c r="V1604" s="4">
        <v>52</v>
      </c>
      <c r="W1604" s="4">
        <v>96</v>
      </c>
    </row>
    <row r="1605" spans="1:23" ht="11.25" customHeight="1" x14ac:dyDescent="0.25">
      <c r="A1605" s="4" t="s">
        <v>59</v>
      </c>
      <c r="B1605" s="4" t="s">
        <v>46</v>
      </c>
      <c r="C1605" s="4" t="s">
        <v>23</v>
      </c>
      <c r="D1605" s="4" t="s">
        <v>47</v>
      </c>
      <c r="E1605" s="4" t="s">
        <v>25</v>
      </c>
      <c r="F1605" s="4" t="s">
        <v>25</v>
      </c>
      <c r="G1605" s="4" t="s">
        <v>25</v>
      </c>
      <c r="H1605" s="4" t="s">
        <v>25</v>
      </c>
      <c r="I1605" s="5">
        <v>44866</v>
      </c>
      <c r="J1605" s="6">
        <v>0</v>
      </c>
      <c r="K1605" s="6">
        <v>0</v>
      </c>
      <c r="L1605" s="6">
        <v>586.95500000000004</v>
      </c>
      <c r="M1605" s="6">
        <v>586.95500000000004</v>
      </c>
      <c r="N1605" s="6">
        <v>586.95500000000004</v>
      </c>
      <c r="O1605" s="6">
        <v>586.95500000000004</v>
      </c>
      <c r="P1605" s="6">
        <v>3664</v>
      </c>
      <c r="Q1605" s="4" t="s">
        <v>26</v>
      </c>
      <c r="R1605" s="4">
        <v>0</v>
      </c>
      <c r="S1605" s="4" t="s">
        <v>402</v>
      </c>
      <c r="T1605" s="4" t="s">
        <v>672</v>
      </c>
      <c r="U1605" s="4">
        <v>0</v>
      </c>
      <c r="V1605" s="4">
        <v>52</v>
      </c>
      <c r="W1605" s="4">
        <v>96</v>
      </c>
    </row>
    <row r="1606" spans="1:23" ht="11.25" customHeight="1" x14ac:dyDescent="0.25">
      <c r="A1606" s="4" t="s">
        <v>59</v>
      </c>
      <c r="B1606" s="4" t="s">
        <v>46</v>
      </c>
      <c r="C1606" s="4" t="s">
        <v>23</v>
      </c>
      <c r="D1606" s="4" t="s">
        <v>47</v>
      </c>
      <c r="E1606" s="4" t="s">
        <v>25</v>
      </c>
      <c r="F1606" s="4" t="s">
        <v>25</v>
      </c>
      <c r="G1606" s="4" t="s">
        <v>25</v>
      </c>
      <c r="H1606" s="4" t="s">
        <v>25</v>
      </c>
      <c r="I1606" s="5">
        <v>44866</v>
      </c>
      <c r="J1606" s="6">
        <v>0</v>
      </c>
      <c r="K1606" s="6">
        <v>0</v>
      </c>
      <c r="L1606" s="6">
        <v>-6.76</v>
      </c>
      <c r="M1606" s="6">
        <v>-6.76</v>
      </c>
      <c r="N1606" s="6">
        <v>-6.76</v>
      </c>
      <c r="O1606" s="6">
        <v>-6.76</v>
      </c>
      <c r="P1606" s="6">
        <v>0</v>
      </c>
      <c r="Q1606" s="4" t="s">
        <v>26</v>
      </c>
      <c r="R1606" s="4">
        <v>0</v>
      </c>
      <c r="S1606" s="4" t="s">
        <v>402</v>
      </c>
      <c r="T1606" s="4" t="s">
        <v>672</v>
      </c>
      <c r="U1606" s="4">
        <v>0</v>
      </c>
      <c r="V1606" s="4">
        <v>52</v>
      </c>
      <c r="W1606" s="4">
        <v>96</v>
      </c>
    </row>
    <row r="1607" spans="1:23" ht="11.25" customHeight="1" x14ac:dyDescent="0.25">
      <c r="A1607" s="4" t="s">
        <v>59</v>
      </c>
      <c r="B1607" s="4" t="s">
        <v>46</v>
      </c>
      <c r="C1607" s="4" t="s">
        <v>23</v>
      </c>
      <c r="D1607" s="4" t="s">
        <v>47</v>
      </c>
      <c r="E1607" s="4" t="s">
        <v>25</v>
      </c>
      <c r="F1607" s="4" t="s">
        <v>25</v>
      </c>
      <c r="G1607" s="4" t="s">
        <v>25</v>
      </c>
      <c r="H1607" s="4" t="s">
        <v>25</v>
      </c>
      <c r="I1607" s="5">
        <v>44866</v>
      </c>
      <c r="J1607" s="6">
        <v>0</v>
      </c>
      <c r="K1607" s="6">
        <v>0</v>
      </c>
      <c r="L1607" s="6">
        <v>52.517000000000003</v>
      </c>
      <c r="M1607" s="6">
        <v>52.517000000000003</v>
      </c>
      <c r="N1607" s="6">
        <v>52.517000000000003</v>
      </c>
      <c r="O1607" s="6">
        <v>52.517000000000003</v>
      </c>
      <c r="P1607" s="6">
        <v>343</v>
      </c>
      <c r="Q1607" s="4" t="s">
        <v>26</v>
      </c>
      <c r="R1607" s="4">
        <v>0</v>
      </c>
      <c r="S1607" s="4" t="s">
        <v>402</v>
      </c>
      <c r="T1607" s="4" t="s">
        <v>672</v>
      </c>
      <c r="U1607" s="4">
        <v>0</v>
      </c>
      <c r="V1607" s="4">
        <v>52</v>
      </c>
      <c r="W1607" s="4">
        <v>96</v>
      </c>
    </row>
    <row r="1608" spans="1:23" ht="11.25" customHeight="1" x14ac:dyDescent="0.25">
      <c r="A1608" s="4" t="s">
        <v>21</v>
      </c>
      <c r="B1608" s="4" t="s">
        <v>39</v>
      </c>
      <c r="C1608" s="4" t="s">
        <v>35</v>
      </c>
      <c r="D1608" s="4" t="s">
        <v>45</v>
      </c>
      <c r="E1608" s="4" t="s">
        <v>25</v>
      </c>
      <c r="F1608" s="4" t="s">
        <v>25</v>
      </c>
      <c r="G1608" s="4" t="s">
        <v>25</v>
      </c>
      <c r="H1608" s="4" t="s">
        <v>37</v>
      </c>
      <c r="I1608" s="5">
        <v>44531</v>
      </c>
      <c r="J1608" s="6">
        <v>0</v>
      </c>
      <c r="K1608" s="6">
        <v>0</v>
      </c>
      <c r="L1608" s="6">
        <v>90.626999999999995</v>
      </c>
      <c r="M1608" s="6">
        <v>90.626999999999995</v>
      </c>
      <c r="N1608" s="6">
        <v>90.626999999999995</v>
      </c>
      <c r="O1608" s="6">
        <v>90.626999999999995</v>
      </c>
      <c r="P1608" s="6">
        <v>0</v>
      </c>
      <c r="Q1608" s="4" t="s">
        <v>26</v>
      </c>
      <c r="R1608" s="4">
        <v>0</v>
      </c>
      <c r="S1608" s="4" t="s">
        <v>403</v>
      </c>
      <c r="T1608" s="4" t="s">
        <v>673</v>
      </c>
      <c r="U1608" s="4">
        <v>0</v>
      </c>
      <c r="V1608" s="4">
        <v>66</v>
      </c>
      <c r="W1608" s="4">
        <v>110</v>
      </c>
    </row>
    <row r="1609" spans="1:23" ht="11.25" customHeight="1" x14ac:dyDescent="0.25">
      <c r="A1609" s="4" t="s">
        <v>27</v>
      </c>
      <c r="B1609" s="4" t="s">
        <v>39</v>
      </c>
      <c r="C1609" s="4" t="s">
        <v>35</v>
      </c>
      <c r="D1609" s="4" t="s">
        <v>45</v>
      </c>
      <c r="E1609" s="4" t="s">
        <v>25</v>
      </c>
      <c r="F1609" s="4" t="s">
        <v>25</v>
      </c>
      <c r="G1609" s="4" t="s">
        <v>25</v>
      </c>
      <c r="H1609" s="4" t="s">
        <v>37</v>
      </c>
      <c r="I1609" s="5">
        <v>44531</v>
      </c>
      <c r="J1609" s="6">
        <v>0</v>
      </c>
      <c r="K1609" s="6">
        <v>0</v>
      </c>
      <c r="L1609" s="6">
        <v>3.306</v>
      </c>
      <c r="M1609" s="6">
        <v>3.306</v>
      </c>
      <c r="N1609" s="6">
        <v>3.306</v>
      </c>
      <c r="O1609" s="6">
        <v>3.306</v>
      </c>
      <c r="P1609" s="6">
        <v>0</v>
      </c>
      <c r="Q1609" s="4" t="s">
        <v>26</v>
      </c>
      <c r="R1609" s="4">
        <v>0</v>
      </c>
      <c r="S1609" s="4" t="s">
        <v>403</v>
      </c>
      <c r="T1609" s="4" t="s">
        <v>673</v>
      </c>
      <c r="U1609" s="4">
        <v>0</v>
      </c>
      <c r="V1609" s="4">
        <v>66</v>
      </c>
      <c r="W1609" s="4">
        <v>110</v>
      </c>
    </row>
    <row r="1610" spans="1:23" ht="11.25" customHeight="1" x14ac:dyDescent="0.25">
      <c r="A1610" s="4" t="s">
        <v>28</v>
      </c>
      <c r="B1610" s="4" t="s">
        <v>39</v>
      </c>
      <c r="C1610" s="4" t="s">
        <v>35</v>
      </c>
      <c r="D1610" s="4" t="s">
        <v>45</v>
      </c>
      <c r="E1610" s="4" t="s">
        <v>25</v>
      </c>
      <c r="F1610" s="4" t="s">
        <v>25</v>
      </c>
      <c r="G1610" s="4" t="s">
        <v>25</v>
      </c>
      <c r="H1610" s="4" t="s">
        <v>37</v>
      </c>
      <c r="I1610" s="5">
        <v>44531</v>
      </c>
      <c r="J1610" s="6">
        <v>0</v>
      </c>
      <c r="K1610" s="6">
        <v>0</v>
      </c>
      <c r="L1610" s="6">
        <v>14.162000000000001</v>
      </c>
      <c r="M1610" s="6">
        <v>14.162000000000001</v>
      </c>
      <c r="N1610" s="6">
        <v>14.162000000000001</v>
      </c>
      <c r="O1610" s="6">
        <v>14.162000000000001</v>
      </c>
      <c r="P1610" s="6">
        <v>0</v>
      </c>
      <c r="Q1610" s="4" t="s">
        <v>26</v>
      </c>
      <c r="R1610" s="4">
        <v>0</v>
      </c>
      <c r="S1610" s="4" t="s">
        <v>403</v>
      </c>
      <c r="T1610" s="4" t="s">
        <v>673</v>
      </c>
      <c r="U1610" s="4">
        <v>0</v>
      </c>
      <c r="V1610" s="4">
        <v>66</v>
      </c>
      <c r="W1610" s="4">
        <v>110</v>
      </c>
    </row>
    <row r="1611" spans="1:23" ht="11.25" customHeight="1" x14ac:dyDescent="0.25">
      <c r="A1611" s="4" t="s">
        <v>30</v>
      </c>
      <c r="B1611" s="4" t="s">
        <v>39</v>
      </c>
      <c r="C1611" s="4" t="s">
        <v>35</v>
      </c>
      <c r="D1611" s="4" t="s">
        <v>45</v>
      </c>
      <c r="E1611" s="4" t="s">
        <v>25</v>
      </c>
      <c r="F1611" s="4" t="s">
        <v>25</v>
      </c>
      <c r="G1611" s="4" t="s">
        <v>25</v>
      </c>
      <c r="H1611" s="4" t="s">
        <v>37</v>
      </c>
      <c r="I1611" s="5">
        <v>44531</v>
      </c>
      <c r="J1611" s="6">
        <v>0</v>
      </c>
      <c r="K1611" s="6">
        <v>0</v>
      </c>
      <c r="L1611" s="6">
        <v>1.117</v>
      </c>
      <c r="M1611" s="6">
        <v>1.117</v>
      </c>
      <c r="N1611" s="6">
        <v>1.117</v>
      </c>
      <c r="O1611" s="6">
        <v>1.117</v>
      </c>
      <c r="P1611" s="6">
        <v>0</v>
      </c>
      <c r="Q1611" s="4" t="s">
        <v>26</v>
      </c>
      <c r="R1611" s="4">
        <v>0</v>
      </c>
      <c r="S1611" s="4" t="s">
        <v>403</v>
      </c>
      <c r="T1611" s="4" t="s">
        <v>673</v>
      </c>
      <c r="U1611" s="4">
        <v>0</v>
      </c>
      <c r="V1611" s="4">
        <v>66</v>
      </c>
      <c r="W1611" s="4">
        <v>110</v>
      </c>
    </row>
    <row r="1612" spans="1:23" ht="11.25" customHeight="1" x14ac:dyDescent="0.25">
      <c r="A1612" s="4" t="s">
        <v>21</v>
      </c>
      <c r="B1612" s="4" t="s">
        <v>39</v>
      </c>
      <c r="C1612" s="4" t="s">
        <v>35</v>
      </c>
      <c r="D1612" s="4" t="s">
        <v>45</v>
      </c>
      <c r="E1612" s="4" t="s">
        <v>25</v>
      </c>
      <c r="F1612" s="4" t="s">
        <v>25</v>
      </c>
      <c r="G1612" s="4" t="s">
        <v>25</v>
      </c>
      <c r="H1612" s="4" t="s">
        <v>37</v>
      </c>
      <c r="I1612" s="5">
        <v>44562</v>
      </c>
      <c r="J1612" s="6">
        <v>0</v>
      </c>
      <c r="K1612" s="6">
        <v>0</v>
      </c>
      <c r="L1612" s="6">
        <v>88.043999999999997</v>
      </c>
      <c r="M1612" s="6">
        <v>88.043999999999997</v>
      </c>
      <c r="N1612" s="6">
        <v>88.043999999999997</v>
      </c>
      <c r="O1612" s="6">
        <v>88.043999999999997</v>
      </c>
      <c r="P1612" s="6">
        <v>0</v>
      </c>
      <c r="Q1612" s="4" t="s">
        <v>26</v>
      </c>
      <c r="R1612" s="4">
        <v>0</v>
      </c>
      <c r="S1612" s="4" t="s">
        <v>404</v>
      </c>
      <c r="T1612" s="4" t="s">
        <v>674</v>
      </c>
      <c r="U1612" s="4">
        <v>0</v>
      </c>
      <c r="V1612" s="4">
        <v>66</v>
      </c>
      <c r="W1612" s="4">
        <v>110</v>
      </c>
    </row>
    <row r="1613" spans="1:23" ht="11.25" customHeight="1" x14ac:dyDescent="0.25">
      <c r="A1613" s="4" t="s">
        <v>27</v>
      </c>
      <c r="B1613" s="4" t="s">
        <v>39</v>
      </c>
      <c r="C1613" s="4" t="s">
        <v>35</v>
      </c>
      <c r="D1613" s="4" t="s">
        <v>45</v>
      </c>
      <c r="E1613" s="4" t="s">
        <v>25</v>
      </c>
      <c r="F1613" s="4" t="s">
        <v>25</v>
      </c>
      <c r="G1613" s="4" t="s">
        <v>25</v>
      </c>
      <c r="H1613" s="4" t="s">
        <v>37</v>
      </c>
      <c r="I1613" s="5">
        <v>44562</v>
      </c>
      <c r="J1613" s="6">
        <v>0</v>
      </c>
      <c r="K1613" s="6">
        <v>0</v>
      </c>
      <c r="L1613" s="6">
        <v>-1.08</v>
      </c>
      <c r="M1613" s="6">
        <v>-1.08</v>
      </c>
      <c r="N1613" s="6">
        <v>-1.08</v>
      </c>
      <c r="O1613" s="6">
        <v>-1.08</v>
      </c>
      <c r="P1613" s="6">
        <v>0</v>
      </c>
      <c r="Q1613" s="4" t="s">
        <v>26</v>
      </c>
      <c r="R1613" s="4">
        <v>0</v>
      </c>
      <c r="S1613" s="4" t="s">
        <v>404</v>
      </c>
      <c r="T1613" s="4" t="s">
        <v>674</v>
      </c>
      <c r="U1613" s="4">
        <v>0</v>
      </c>
      <c r="V1613" s="4">
        <v>66</v>
      </c>
      <c r="W1613" s="4">
        <v>110</v>
      </c>
    </row>
    <row r="1614" spans="1:23" ht="11.25" customHeight="1" x14ac:dyDescent="0.25">
      <c r="A1614" s="4" t="s">
        <v>28</v>
      </c>
      <c r="B1614" s="4" t="s">
        <v>39</v>
      </c>
      <c r="C1614" s="4" t="s">
        <v>35</v>
      </c>
      <c r="D1614" s="4" t="s">
        <v>45</v>
      </c>
      <c r="E1614" s="4" t="s">
        <v>25</v>
      </c>
      <c r="F1614" s="4" t="s">
        <v>25</v>
      </c>
      <c r="G1614" s="4" t="s">
        <v>25</v>
      </c>
      <c r="H1614" s="4" t="s">
        <v>37</v>
      </c>
      <c r="I1614" s="5">
        <v>44562</v>
      </c>
      <c r="J1614" s="6">
        <v>0</v>
      </c>
      <c r="K1614" s="6">
        <v>0</v>
      </c>
      <c r="L1614" s="6">
        <v>14.417</v>
      </c>
      <c r="M1614" s="6">
        <v>14.417</v>
      </c>
      <c r="N1614" s="6">
        <v>14.417</v>
      </c>
      <c r="O1614" s="6">
        <v>14.417</v>
      </c>
      <c r="P1614" s="6">
        <v>0</v>
      </c>
      <c r="Q1614" s="4" t="s">
        <v>26</v>
      </c>
      <c r="R1614" s="4">
        <v>0</v>
      </c>
      <c r="S1614" s="4" t="s">
        <v>404</v>
      </c>
      <c r="T1614" s="4" t="s">
        <v>674</v>
      </c>
      <c r="U1614" s="4">
        <v>0</v>
      </c>
      <c r="V1614" s="4">
        <v>66</v>
      </c>
      <c r="W1614" s="4">
        <v>110</v>
      </c>
    </row>
    <row r="1615" spans="1:23" ht="11.25" customHeight="1" x14ac:dyDescent="0.25">
      <c r="A1615" s="4" t="s">
        <v>30</v>
      </c>
      <c r="B1615" s="4" t="s">
        <v>39</v>
      </c>
      <c r="C1615" s="4" t="s">
        <v>35</v>
      </c>
      <c r="D1615" s="4" t="s">
        <v>45</v>
      </c>
      <c r="E1615" s="4" t="s">
        <v>25</v>
      </c>
      <c r="F1615" s="4" t="s">
        <v>25</v>
      </c>
      <c r="G1615" s="4" t="s">
        <v>25</v>
      </c>
      <c r="H1615" s="4" t="s">
        <v>37</v>
      </c>
      <c r="I1615" s="5">
        <v>44562</v>
      </c>
      <c r="J1615" s="6">
        <v>0</v>
      </c>
      <c r="K1615" s="6">
        <v>0</v>
      </c>
      <c r="L1615" s="6">
        <v>1.1160000000000001</v>
      </c>
      <c r="M1615" s="6">
        <v>1.1160000000000001</v>
      </c>
      <c r="N1615" s="6">
        <v>1.1160000000000001</v>
      </c>
      <c r="O1615" s="6">
        <v>1.1160000000000001</v>
      </c>
      <c r="P1615" s="6">
        <v>0</v>
      </c>
      <c r="Q1615" s="4" t="s">
        <v>26</v>
      </c>
      <c r="R1615" s="4">
        <v>0</v>
      </c>
      <c r="S1615" s="4" t="s">
        <v>404</v>
      </c>
      <c r="T1615" s="4" t="s">
        <v>674</v>
      </c>
      <c r="U1615" s="4">
        <v>0</v>
      </c>
      <c r="V1615" s="4">
        <v>66</v>
      </c>
      <c r="W1615" s="4">
        <v>110</v>
      </c>
    </row>
    <row r="1616" spans="1:23" ht="11.25" customHeight="1" x14ac:dyDescent="0.25">
      <c r="A1616" s="4" t="s">
        <v>30</v>
      </c>
      <c r="B1616" s="4" t="s">
        <v>39</v>
      </c>
      <c r="C1616" s="4" t="s">
        <v>35</v>
      </c>
      <c r="D1616" s="4" t="s">
        <v>45</v>
      </c>
      <c r="E1616" s="4" t="s">
        <v>25</v>
      </c>
      <c r="F1616" s="4" t="s">
        <v>25</v>
      </c>
      <c r="G1616" s="4" t="s">
        <v>25</v>
      </c>
      <c r="H1616" s="4" t="s">
        <v>37</v>
      </c>
      <c r="I1616" s="5">
        <v>44562</v>
      </c>
      <c r="J1616" s="6">
        <v>0</v>
      </c>
      <c r="K1616" s="6">
        <v>0</v>
      </c>
      <c r="L1616" s="6">
        <v>-0.31900000000000001</v>
      </c>
      <c r="M1616" s="6">
        <v>-0.31900000000000001</v>
      </c>
      <c r="N1616" s="6">
        <v>-0.31900000000000001</v>
      </c>
      <c r="O1616" s="6">
        <v>-0.31900000000000001</v>
      </c>
      <c r="P1616" s="6">
        <v>0</v>
      </c>
      <c r="Q1616" s="4" t="s">
        <v>26</v>
      </c>
      <c r="R1616" s="4">
        <v>0</v>
      </c>
      <c r="S1616" s="4" t="s">
        <v>404</v>
      </c>
      <c r="T1616" s="4" t="s">
        <v>674</v>
      </c>
      <c r="U1616" s="4">
        <v>0</v>
      </c>
      <c r="V1616" s="4">
        <v>66</v>
      </c>
      <c r="W1616" s="4">
        <v>110</v>
      </c>
    </row>
    <row r="1617" spans="1:23" ht="11.25" customHeight="1" x14ac:dyDescent="0.25">
      <c r="A1617" s="4" t="s">
        <v>21</v>
      </c>
      <c r="B1617" s="4" t="s">
        <v>39</v>
      </c>
      <c r="C1617" s="4" t="s">
        <v>35</v>
      </c>
      <c r="D1617" s="4" t="s">
        <v>45</v>
      </c>
      <c r="E1617" s="4" t="s">
        <v>25</v>
      </c>
      <c r="F1617" s="4" t="s">
        <v>25</v>
      </c>
      <c r="G1617" s="4" t="s">
        <v>25</v>
      </c>
      <c r="H1617" s="4" t="s">
        <v>37</v>
      </c>
      <c r="I1617" s="5">
        <v>44593</v>
      </c>
      <c r="J1617" s="6">
        <v>0</v>
      </c>
      <c r="K1617" s="6">
        <v>0</v>
      </c>
      <c r="L1617" s="6">
        <v>74.156000000000006</v>
      </c>
      <c r="M1617" s="6">
        <v>74.156000000000006</v>
      </c>
      <c r="N1617" s="6">
        <v>74.156000000000006</v>
      </c>
      <c r="O1617" s="6">
        <v>74.156000000000006</v>
      </c>
      <c r="P1617" s="6">
        <v>0</v>
      </c>
      <c r="Q1617" s="4" t="s">
        <v>26</v>
      </c>
      <c r="R1617" s="4">
        <v>0</v>
      </c>
      <c r="S1617" s="4" t="s">
        <v>405</v>
      </c>
      <c r="T1617" s="4" t="s">
        <v>675</v>
      </c>
      <c r="U1617" s="4">
        <v>0</v>
      </c>
      <c r="V1617" s="4">
        <v>66</v>
      </c>
      <c r="W1617" s="4">
        <v>110</v>
      </c>
    </row>
    <row r="1618" spans="1:23" ht="11.25" customHeight="1" x14ac:dyDescent="0.25">
      <c r="A1618" s="4" t="s">
        <v>28</v>
      </c>
      <c r="B1618" s="4" t="s">
        <v>39</v>
      </c>
      <c r="C1618" s="4" t="s">
        <v>35</v>
      </c>
      <c r="D1618" s="4" t="s">
        <v>45</v>
      </c>
      <c r="E1618" s="4" t="s">
        <v>25</v>
      </c>
      <c r="F1618" s="4" t="s">
        <v>25</v>
      </c>
      <c r="G1618" s="4" t="s">
        <v>25</v>
      </c>
      <c r="H1618" s="4" t="s">
        <v>37</v>
      </c>
      <c r="I1618" s="5">
        <v>44593</v>
      </c>
      <c r="J1618" s="6">
        <v>0</v>
      </c>
      <c r="K1618" s="6">
        <v>0</v>
      </c>
      <c r="L1618" s="6">
        <v>12.398999999999999</v>
      </c>
      <c r="M1618" s="6">
        <v>12.398999999999999</v>
      </c>
      <c r="N1618" s="6">
        <v>12.398999999999999</v>
      </c>
      <c r="O1618" s="6">
        <v>12.398999999999999</v>
      </c>
      <c r="P1618" s="6">
        <v>0</v>
      </c>
      <c r="Q1618" s="4" t="s">
        <v>26</v>
      </c>
      <c r="R1618" s="4">
        <v>0</v>
      </c>
      <c r="S1618" s="4" t="s">
        <v>405</v>
      </c>
      <c r="T1618" s="4" t="s">
        <v>675</v>
      </c>
      <c r="U1618" s="4">
        <v>0</v>
      </c>
      <c r="V1618" s="4">
        <v>66</v>
      </c>
      <c r="W1618" s="4">
        <v>110</v>
      </c>
    </row>
    <row r="1619" spans="1:23" ht="11.25" customHeight="1" x14ac:dyDescent="0.25">
      <c r="A1619" s="4" t="s">
        <v>30</v>
      </c>
      <c r="B1619" s="4" t="s">
        <v>39</v>
      </c>
      <c r="C1619" s="4" t="s">
        <v>35</v>
      </c>
      <c r="D1619" s="4" t="s">
        <v>45</v>
      </c>
      <c r="E1619" s="4" t="s">
        <v>25</v>
      </c>
      <c r="F1619" s="4" t="s">
        <v>25</v>
      </c>
      <c r="G1619" s="4" t="s">
        <v>25</v>
      </c>
      <c r="H1619" s="4" t="s">
        <v>37</v>
      </c>
      <c r="I1619" s="5">
        <v>44593</v>
      </c>
      <c r="J1619" s="6">
        <v>0</v>
      </c>
      <c r="K1619" s="6">
        <v>0</v>
      </c>
      <c r="L1619" s="6">
        <v>0.82299999999999995</v>
      </c>
      <c r="M1619" s="6">
        <v>0.82299999999999995</v>
      </c>
      <c r="N1619" s="6">
        <v>0.82299999999999995</v>
      </c>
      <c r="O1619" s="6">
        <v>0.82299999999999995</v>
      </c>
      <c r="P1619" s="6">
        <v>0</v>
      </c>
      <c r="Q1619" s="4" t="s">
        <v>26</v>
      </c>
      <c r="R1619" s="4">
        <v>0</v>
      </c>
      <c r="S1619" s="4" t="s">
        <v>405</v>
      </c>
      <c r="T1619" s="4" t="s">
        <v>675</v>
      </c>
      <c r="U1619" s="4">
        <v>0</v>
      </c>
      <c r="V1619" s="4">
        <v>66</v>
      </c>
      <c r="W1619" s="4">
        <v>110</v>
      </c>
    </row>
    <row r="1620" spans="1:23" ht="11.25" customHeight="1" x14ac:dyDescent="0.25">
      <c r="A1620" s="4" t="s">
        <v>21</v>
      </c>
      <c r="B1620" s="4" t="s">
        <v>39</v>
      </c>
      <c r="C1620" s="4" t="s">
        <v>35</v>
      </c>
      <c r="D1620" s="4" t="s">
        <v>45</v>
      </c>
      <c r="E1620" s="4" t="s">
        <v>25</v>
      </c>
      <c r="F1620" s="4" t="s">
        <v>25</v>
      </c>
      <c r="G1620" s="4" t="s">
        <v>25</v>
      </c>
      <c r="H1620" s="4" t="s">
        <v>37</v>
      </c>
      <c r="I1620" s="5">
        <v>44621</v>
      </c>
      <c r="J1620" s="6">
        <v>0</v>
      </c>
      <c r="K1620" s="6">
        <v>0</v>
      </c>
      <c r="L1620" s="6">
        <v>80.355999999999995</v>
      </c>
      <c r="M1620" s="6">
        <v>80.355999999999995</v>
      </c>
      <c r="N1620" s="6">
        <v>80.355999999999995</v>
      </c>
      <c r="O1620" s="6">
        <v>80.355999999999995</v>
      </c>
      <c r="P1620" s="6">
        <v>0</v>
      </c>
      <c r="Q1620" s="4" t="s">
        <v>26</v>
      </c>
      <c r="R1620" s="4">
        <v>0</v>
      </c>
      <c r="S1620" s="4" t="s">
        <v>406</v>
      </c>
      <c r="T1620" s="4" t="s">
        <v>676</v>
      </c>
      <c r="U1620" s="4">
        <v>0</v>
      </c>
      <c r="V1620" s="4">
        <v>66</v>
      </c>
      <c r="W1620" s="4">
        <v>110</v>
      </c>
    </row>
    <row r="1621" spans="1:23" ht="11.25" customHeight="1" x14ac:dyDescent="0.25">
      <c r="A1621" s="4" t="s">
        <v>27</v>
      </c>
      <c r="B1621" s="4" t="s">
        <v>39</v>
      </c>
      <c r="C1621" s="4" t="s">
        <v>35</v>
      </c>
      <c r="D1621" s="4" t="s">
        <v>45</v>
      </c>
      <c r="E1621" s="4" t="s">
        <v>25</v>
      </c>
      <c r="F1621" s="4" t="s">
        <v>25</v>
      </c>
      <c r="G1621" s="4" t="s">
        <v>25</v>
      </c>
      <c r="H1621" s="4" t="s">
        <v>37</v>
      </c>
      <c r="I1621" s="5">
        <v>44621</v>
      </c>
      <c r="J1621" s="6">
        <v>0</v>
      </c>
      <c r="K1621" s="6">
        <v>0</v>
      </c>
      <c r="L1621" s="6">
        <v>0.53300000000000003</v>
      </c>
      <c r="M1621" s="6">
        <v>0.53300000000000003</v>
      </c>
      <c r="N1621" s="6">
        <v>0.53300000000000003</v>
      </c>
      <c r="O1621" s="6">
        <v>0.53300000000000003</v>
      </c>
      <c r="P1621" s="6">
        <v>0</v>
      </c>
      <c r="Q1621" s="4" t="s">
        <v>26</v>
      </c>
      <c r="R1621" s="4">
        <v>0</v>
      </c>
      <c r="S1621" s="4" t="s">
        <v>406</v>
      </c>
      <c r="T1621" s="4" t="s">
        <v>676</v>
      </c>
      <c r="U1621" s="4">
        <v>0</v>
      </c>
      <c r="V1621" s="4">
        <v>66</v>
      </c>
      <c r="W1621" s="4">
        <v>110</v>
      </c>
    </row>
    <row r="1622" spans="1:23" ht="11.25" customHeight="1" x14ac:dyDescent="0.25">
      <c r="A1622" s="4" t="s">
        <v>28</v>
      </c>
      <c r="B1622" s="4" t="s">
        <v>39</v>
      </c>
      <c r="C1622" s="4" t="s">
        <v>35</v>
      </c>
      <c r="D1622" s="4" t="s">
        <v>45</v>
      </c>
      <c r="E1622" s="4" t="s">
        <v>25</v>
      </c>
      <c r="F1622" s="4" t="s">
        <v>25</v>
      </c>
      <c r="G1622" s="4" t="s">
        <v>25</v>
      </c>
      <c r="H1622" s="4" t="s">
        <v>37</v>
      </c>
      <c r="I1622" s="5">
        <v>44621</v>
      </c>
      <c r="J1622" s="6">
        <v>0</v>
      </c>
      <c r="K1622" s="6">
        <v>0</v>
      </c>
      <c r="L1622" s="6">
        <v>11.769</v>
      </c>
      <c r="M1622" s="6">
        <v>11.769</v>
      </c>
      <c r="N1622" s="6">
        <v>11.769</v>
      </c>
      <c r="O1622" s="6">
        <v>11.769</v>
      </c>
      <c r="P1622" s="6">
        <v>0</v>
      </c>
      <c r="Q1622" s="4" t="s">
        <v>26</v>
      </c>
      <c r="R1622" s="4">
        <v>0</v>
      </c>
      <c r="S1622" s="4" t="s">
        <v>406</v>
      </c>
      <c r="T1622" s="4" t="s">
        <v>676</v>
      </c>
      <c r="U1622" s="4">
        <v>0</v>
      </c>
      <c r="V1622" s="4">
        <v>66</v>
      </c>
      <c r="W1622" s="4">
        <v>110</v>
      </c>
    </row>
    <row r="1623" spans="1:23" ht="11.25" customHeight="1" x14ac:dyDescent="0.25">
      <c r="A1623" s="4" t="s">
        <v>29</v>
      </c>
      <c r="B1623" s="4" t="s">
        <v>39</v>
      </c>
      <c r="C1623" s="4" t="s">
        <v>35</v>
      </c>
      <c r="D1623" s="4" t="s">
        <v>45</v>
      </c>
      <c r="E1623" s="4" t="s">
        <v>25</v>
      </c>
      <c r="F1623" s="4" t="s">
        <v>25</v>
      </c>
      <c r="G1623" s="4" t="s">
        <v>25</v>
      </c>
      <c r="H1623" s="4" t="s">
        <v>37</v>
      </c>
      <c r="I1623" s="5">
        <v>44621</v>
      </c>
      <c r="J1623" s="6">
        <v>0</v>
      </c>
      <c r="K1623" s="6">
        <v>0</v>
      </c>
      <c r="L1623" s="6">
        <v>2.714</v>
      </c>
      <c r="M1623" s="6">
        <v>2.714</v>
      </c>
      <c r="N1623" s="6">
        <v>2.714</v>
      </c>
      <c r="O1623" s="6">
        <v>2.714</v>
      </c>
      <c r="P1623" s="6">
        <v>0</v>
      </c>
      <c r="Q1623" s="4" t="s">
        <v>26</v>
      </c>
      <c r="R1623" s="4">
        <v>0</v>
      </c>
      <c r="S1623" s="4" t="s">
        <v>406</v>
      </c>
      <c r="T1623" s="4" t="s">
        <v>676</v>
      </c>
      <c r="U1623" s="4">
        <v>0</v>
      </c>
      <c r="V1623" s="4">
        <v>66</v>
      </c>
      <c r="W1623" s="4">
        <v>110</v>
      </c>
    </row>
    <row r="1624" spans="1:23" ht="11.25" customHeight="1" x14ac:dyDescent="0.25">
      <c r="A1624" s="4" t="s">
        <v>30</v>
      </c>
      <c r="B1624" s="4" t="s">
        <v>39</v>
      </c>
      <c r="C1624" s="4" t="s">
        <v>35</v>
      </c>
      <c r="D1624" s="4" t="s">
        <v>45</v>
      </c>
      <c r="E1624" s="4" t="s">
        <v>25</v>
      </c>
      <c r="F1624" s="4" t="s">
        <v>25</v>
      </c>
      <c r="G1624" s="4" t="s">
        <v>25</v>
      </c>
      <c r="H1624" s="4" t="s">
        <v>37</v>
      </c>
      <c r="I1624" s="5">
        <v>44621</v>
      </c>
      <c r="J1624" s="6">
        <v>0</v>
      </c>
      <c r="K1624" s="6">
        <v>0</v>
      </c>
      <c r="L1624" s="6">
        <v>0.63600000000000001</v>
      </c>
      <c r="M1624" s="6">
        <v>0.63600000000000001</v>
      </c>
      <c r="N1624" s="6">
        <v>0.63600000000000001</v>
      </c>
      <c r="O1624" s="6">
        <v>0.63600000000000001</v>
      </c>
      <c r="P1624" s="6">
        <v>0</v>
      </c>
      <c r="Q1624" s="4" t="s">
        <v>26</v>
      </c>
      <c r="R1624" s="4">
        <v>0</v>
      </c>
      <c r="S1624" s="4" t="s">
        <v>406</v>
      </c>
      <c r="T1624" s="4" t="s">
        <v>676</v>
      </c>
      <c r="U1624" s="4">
        <v>0</v>
      </c>
      <c r="V1624" s="4">
        <v>66</v>
      </c>
      <c r="W1624" s="4">
        <v>110</v>
      </c>
    </row>
    <row r="1625" spans="1:23" ht="11.25" customHeight="1" x14ac:dyDescent="0.25">
      <c r="A1625" s="4" t="s">
        <v>21</v>
      </c>
      <c r="B1625" s="4" t="s">
        <v>39</v>
      </c>
      <c r="C1625" s="4" t="s">
        <v>35</v>
      </c>
      <c r="D1625" s="4" t="s">
        <v>45</v>
      </c>
      <c r="E1625" s="4" t="s">
        <v>25</v>
      </c>
      <c r="F1625" s="4" t="s">
        <v>25</v>
      </c>
      <c r="G1625" s="4" t="s">
        <v>25</v>
      </c>
      <c r="H1625" s="4" t="s">
        <v>37</v>
      </c>
      <c r="I1625" s="5">
        <v>44652</v>
      </c>
      <c r="J1625" s="6">
        <v>0</v>
      </c>
      <c r="K1625" s="6">
        <v>0</v>
      </c>
      <c r="L1625" s="6">
        <v>85.734999999999999</v>
      </c>
      <c r="M1625" s="6">
        <v>85.734999999999999</v>
      </c>
      <c r="N1625" s="6">
        <v>85.734999999999999</v>
      </c>
      <c r="O1625" s="6">
        <v>85.734999999999999</v>
      </c>
      <c r="P1625" s="6">
        <v>0</v>
      </c>
      <c r="Q1625" s="4" t="s">
        <v>26</v>
      </c>
      <c r="R1625" s="4">
        <v>0</v>
      </c>
      <c r="S1625" s="4" t="s">
        <v>407</v>
      </c>
      <c r="T1625" s="4" t="s">
        <v>677</v>
      </c>
      <c r="U1625" s="4">
        <v>0</v>
      </c>
      <c r="V1625" s="4">
        <v>66</v>
      </c>
      <c r="W1625" s="4">
        <v>110</v>
      </c>
    </row>
    <row r="1626" spans="1:23" ht="11.25" customHeight="1" x14ac:dyDescent="0.25">
      <c r="A1626" s="4" t="s">
        <v>28</v>
      </c>
      <c r="B1626" s="4" t="s">
        <v>39</v>
      </c>
      <c r="C1626" s="4" t="s">
        <v>35</v>
      </c>
      <c r="D1626" s="4" t="s">
        <v>45</v>
      </c>
      <c r="E1626" s="4" t="s">
        <v>25</v>
      </c>
      <c r="F1626" s="4" t="s">
        <v>25</v>
      </c>
      <c r="G1626" s="4" t="s">
        <v>25</v>
      </c>
      <c r="H1626" s="4" t="s">
        <v>37</v>
      </c>
      <c r="I1626" s="5">
        <v>44652</v>
      </c>
      <c r="J1626" s="6">
        <v>0</v>
      </c>
      <c r="K1626" s="6">
        <v>0</v>
      </c>
      <c r="L1626" s="6">
        <v>12.68</v>
      </c>
      <c r="M1626" s="6">
        <v>12.68</v>
      </c>
      <c r="N1626" s="6">
        <v>12.68</v>
      </c>
      <c r="O1626" s="6">
        <v>12.68</v>
      </c>
      <c r="P1626" s="6">
        <v>0</v>
      </c>
      <c r="Q1626" s="4" t="s">
        <v>26</v>
      </c>
      <c r="R1626" s="4">
        <v>0</v>
      </c>
      <c r="S1626" s="4" t="s">
        <v>407</v>
      </c>
      <c r="T1626" s="4" t="s">
        <v>677</v>
      </c>
      <c r="U1626" s="4">
        <v>0</v>
      </c>
      <c r="V1626" s="4">
        <v>66</v>
      </c>
      <c r="W1626" s="4">
        <v>110</v>
      </c>
    </row>
    <row r="1627" spans="1:23" ht="11.25" customHeight="1" x14ac:dyDescent="0.25">
      <c r="A1627" s="4" t="s">
        <v>30</v>
      </c>
      <c r="B1627" s="4" t="s">
        <v>39</v>
      </c>
      <c r="C1627" s="4" t="s">
        <v>35</v>
      </c>
      <c r="D1627" s="4" t="s">
        <v>45</v>
      </c>
      <c r="E1627" s="4" t="s">
        <v>25</v>
      </c>
      <c r="F1627" s="4" t="s">
        <v>25</v>
      </c>
      <c r="G1627" s="4" t="s">
        <v>25</v>
      </c>
      <c r="H1627" s="4" t="s">
        <v>37</v>
      </c>
      <c r="I1627" s="5">
        <v>44652</v>
      </c>
      <c r="J1627" s="6">
        <v>0</v>
      </c>
      <c r="K1627" s="6">
        <v>0</v>
      </c>
      <c r="L1627" s="6">
        <v>1.4</v>
      </c>
      <c r="M1627" s="6">
        <v>1.4</v>
      </c>
      <c r="N1627" s="6">
        <v>1.4</v>
      </c>
      <c r="O1627" s="6">
        <v>1.4</v>
      </c>
      <c r="P1627" s="6">
        <v>0</v>
      </c>
      <c r="Q1627" s="4" t="s">
        <v>26</v>
      </c>
      <c r="R1627" s="4">
        <v>0</v>
      </c>
      <c r="S1627" s="4" t="s">
        <v>407</v>
      </c>
      <c r="T1627" s="4" t="s">
        <v>677</v>
      </c>
      <c r="U1627" s="4">
        <v>0</v>
      </c>
      <c r="V1627" s="4">
        <v>66</v>
      </c>
      <c r="W1627" s="4">
        <v>110</v>
      </c>
    </row>
    <row r="1628" spans="1:23" ht="11.25" customHeight="1" x14ac:dyDescent="0.25">
      <c r="A1628" s="4" t="s">
        <v>21</v>
      </c>
      <c r="B1628" s="4" t="s">
        <v>39</v>
      </c>
      <c r="C1628" s="4" t="s">
        <v>35</v>
      </c>
      <c r="D1628" s="4" t="s">
        <v>45</v>
      </c>
      <c r="E1628" s="4" t="s">
        <v>25</v>
      </c>
      <c r="F1628" s="4" t="s">
        <v>25</v>
      </c>
      <c r="G1628" s="4" t="s">
        <v>25</v>
      </c>
      <c r="H1628" s="4" t="s">
        <v>37</v>
      </c>
      <c r="I1628" s="5">
        <v>44682</v>
      </c>
      <c r="J1628" s="6">
        <v>0</v>
      </c>
      <c r="K1628" s="6">
        <v>0</v>
      </c>
      <c r="L1628" s="6">
        <v>83.745000000000005</v>
      </c>
      <c r="M1628" s="6">
        <v>83.745000000000005</v>
      </c>
      <c r="N1628" s="6">
        <v>83.745000000000005</v>
      </c>
      <c r="O1628" s="6">
        <v>83.745000000000005</v>
      </c>
      <c r="P1628" s="6">
        <v>0</v>
      </c>
      <c r="Q1628" s="4" t="s">
        <v>26</v>
      </c>
      <c r="R1628" s="4">
        <v>0</v>
      </c>
      <c r="S1628" s="4" t="s">
        <v>408</v>
      </c>
      <c r="T1628" s="4" t="s">
        <v>678</v>
      </c>
      <c r="U1628" s="4">
        <v>0</v>
      </c>
      <c r="V1628" s="4">
        <v>66</v>
      </c>
      <c r="W1628" s="4">
        <v>110</v>
      </c>
    </row>
    <row r="1629" spans="1:23" ht="11.25" customHeight="1" x14ac:dyDescent="0.25">
      <c r="A1629" s="4" t="s">
        <v>28</v>
      </c>
      <c r="B1629" s="4" t="s">
        <v>39</v>
      </c>
      <c r="C1629" s="4" t="s">
        <v>35</v>
      </c>
      <c r="D1629" s="4" t="s">
        <v>45</v>
      </c>
      <c r="E1629" s="4" t="s">
        <v>25</v>
      </c>
      <c r="F1629" s="4" t="s">
        <v>25</v>
      </c>
      <c r="G1629" s="4" t="s">
        <v>25</v>
      </c>
      <c r="H1629" s="4" t="s">
        <v>37</v>
      </c>
      <c r="I1629" s="5">
        <v>44682</v>
      </c>
      <c r="J1629" s="6">
        <v>0</v>
      </c>
      <c r="K1629" s="6">
        <v>0</v>
      </c>
      <c r="L1629" s="6">
        <v>12.835000000000001</v>
      </c>
      <c r="M1629" s="6">
        <v>12.835000000000001</v>
      </c>
      <c r="N1629" s="6">
        <v>12.835000000000001</v>
      </c>
      <c r="O1629" s="6">
        <v>12.835000000000001</v>
      </c>
      <c r="P1629" s="6">
        <v>0</v>
      </c>
      <c r="Q1629" s="4" t="s">
        <v>26</v>
      </c>
      <c r="R1629" s="4">
        <v>0</v>
      </c>
      <c r="S1629" s="4" t="s">
        <v>408</v>
      </c>
      <c r="T1629" s="4" t="s">
        <v>678</v>
      </c>
      <c r="U1629" s="4">
        <v>0</v>
      </c>
      <c r="V1629" s="4">
        <v>66</v>
      </c>
      <c r="W1629" s="4">
        <v>110</v>
      </c>
    </row>
    <row r="1630" spans="1:23" ht="11.25" customHeight="1" x14ac:dyDescent="0.25">
      <c r="A1630" s="4" t="s">
        <v>29</v>
      </c>
      <c r="B1630" s="4" t="s">
        <v>39</v>
      </c>
      <c r="C1630" s="4" t="s">
        <v>35</v>
      </c>
      <c r="D1630" s="4" t="s">
        <v>45</v>
      </c>
      <c r="E1630" s="4" t="s">
        <v>25</v>
      </c>
      <c r="F1630" s="4" t="s">
        <v>25</v>
      </c>
      <c r="G1630" s="4" t="s">
        <v>25</v>
      </c>
      <c r="H1630" s="4" t="s">
        <v>37</v>
      </c>
      <c r="I1630" s="5">
        <v>44682</v>
      </c>
      <c r="J1630" s="6">
        <v>0</v>
      </c>
      <c r="K1630" s="6">
        <v>0</v>
      </c>
      <c r="L1630" s="6">
        <v>0.61099999999999999</v>
      </c>
      <c r="M1630" s="6">
        <v>0.61099999999999999</v>
      </c>
      <c r="N1630" s="6">
        <v>0.61099999999999999</v>
      </c>
      <c r="O1630" s="6">
        <v>0.61099999999999999</v>
      </c>
      <c r="P1630" s="6">
        <v>0</v>
      </c>
      <c r="Q1630" s="4" t="s">
        <v>26</v>
      </c>
      <c r="R1630" s="4">
        <v>0</v>
      </c>
      <c r="S1630" s="4" t="s">
        <v>408</v>
      </c>
      <c r="T1630" s="4" t="s">
        <v>678</v>
      </c>
      <c r="U1630" s="4">
        <v>0</v>
      </c>
      <c r="V1630" s="4">
        <v>66</v>
      </c>
      <c r="W1630" s="4">
        <v>110</v>
      </c>
    </row>
    <row r="1631" spans="1:23" ht="11.25" customHeight="1" x14ac:dyDescent="0.25">
      <c r="A1631" s="4" t="s">
        <v>30</v>
      </c>
      <c r="B1631" s="4" t="s">
        <v>39</v>
      </c>
      <c r="C1631" s="4" t="s">
        <v>35</v>
      </c>
      <c r="D1631" s="4" t="s">
        <v>45</v>
      </c>
      <c r="E1631" s="4" t="s">
        <v>25</v>
      </c>
      <c r="F1631" s="4" t="s">
        <v>25</v>
      </c>
      <c r="G1631" s="4" t="s">
        <v>25</v>
      </c>
      <c r="H1631" s="4" t="s">
        <v>37</v>
      </c>
      <c r="I1631" s="5">
        <v>44682</v>
      </c>
      <c r="J1631" s="6">
        <v>0</v>
      </c>
      <c r="K1631" s="6">
        <v>0</v>
      </c>
      <c r="L1631" s="6">
        <v>1.2190000000000001</v>
      </c>
      <c r="M1631" s="6">
        <v>1.2190000000000001</v>
      </c>
      <c r="N1631" s="6">
        <v>1.2190000000000001</v>
      </c>
      <c r="O1631" s="6">
        <v>1.2190000000000001</v>
      </c>
      <c r="P1631" s="6">
        <v>0</v>
      </c>
      <c r="Q1631" s="4" t="s">
        <v>26</v>
      </c>
      <c r="R1631" s="4">
        <v>0</v>
      </c>
      <c r="S1631" s="4" t="s">
        <v>408</v>
      </c>
      <c r="T1631" s="4" t="s">
        <v>678</v>
      </c>
      <c r="U1631" s="4">
        <v>0</v>
      </c>
      <c r="V1631" s="4">
        <v>66</v>
      </c>
      <c r="W1631" s="4">
        <v>110</v>
      </c>
    </row>
    <row r="1632" spans="1:23" ht="11.25" customHeight="1" x14ac:dyDescent="0.25">
      <c r="A1632" s="4" t="s">
        <v>21</v>
      </c>
      <c r="B1632" s="4" t="s">
        <v>39</v>
      </c>
      <c r="C1632" s="4" t="s">
        <v>35</v>
      </c>
      <c r="D1632" s="4" t="s">
        <v>45</v>
      </c>
      <c r="E1632" s="4" t="s">
        <v>25</v>
      </c>
      <c r="F1632" s="4" t="s">
        <v>25</v>
      </c>
      <c r="G1632" s="4" t="s">
        <v>25</v>
      </c>
      <c r="H1632" s="4" t="s">
        <v>37</v>
      </c>
      <c r="I1632" s="5">
        <v>44713</v>
      </c>
      <c r="J1632" s="6">
        <v>0</v>
      </c>
      <c r="K1632" s="6">
        <v>0</v>
      </c>
      <c r="L1632" s="6">
        <v>78.867999999999995</v>
      </c>
      <c r="M1632" s="6">
        <v>78.867999999999995</v>
      </c>
      <c r="N1632" s="6">
        <v>78.867999999999995</v>
      </c>
      <c r="O1632" s="6">
        <v>78.867999999999995</v>
      </c>
      <c r="P1632" s="6">
        <v>0</v>
      </c>
      <c r="Q1632" s="4" t="s">
        <v>26</v>
      </c>
      <c r="R1632" s="4">
        <v>0</v>
      </c>
      <c r="S1632" s="4" t="s">
        <v>409</v>
      </c>
      <c r="T1632" s="4" t="s">
        <v>679</v>
      </c>
      <c r="U1632" s="4">
        <v>0</v>
      </c>
      <c r="V1632" s="4">
        <v>66</v>
      </c>
      <c r="W1632" s="4">
        <v>110</v>
      </c>
    </row>
    <row r="1633" spans="1:23" ht="11.25" customHeight="1" x14ac:dyDescent="0.25">
      <c r="A1633" s="4" t="s">
        <v>28</v>
      </c>
      <c r="B1633" s="4" t="s">
        <v>39</v>
      </c>
      <c r="C1633" s="4" t="s">
        <v>35</v>
      </c>
      <c r="D1633" s="4" t="s">
        <v>45</v>
      </c>
      <c r="E1633" s="4" t="s">
        <v>25</v>
      </c>
      <c r="F1633" s="4" t="s">
        <v>25</v>
      </c>
      <c r="G1633" s="4" t="s">
        <v>25</v>
      </c>
      <c r="H1633" s="4" t="s">
        <v>37</v>
      </c>
      <c r="I1633" s="5">
        <v>44713</v>
      </c>
      <c r="J1633" s="6">
        <v>0</v>
      </c>
      <c r="K1633" s="6">
        <v>0</v>
      </c>
      <c r="L1633" s="6">
        <v>12.303000000000001</v>
      </c>
      <c r="M1633" s="6">
        <v>12.303000000000001</v>
      </c>
      <c r="N1633" s="6">
        <v>12.303000000000001</v>
      </c>
      <c r="O1633" s="6">
        <v>12.303000000000001</v>
      </c>
      <c r="P1633" s="6">
        <v>0</v>
      </c>
      <c r="Q1633" s="4" t="s">
        <v>26</v>
      </c>
      <c r="R1633" s="4">
        <v>0</v>
      </c>
      <c r="S1633" s="4" t="s">
        <v>409</v>
      </c>
      <c r="T1633" s="4" t="s">
        <v>679</v>
      </c>
      <c r="U1633" s="4">
        <v>0</v>
      </c>
      <c r="V1633" s="4">
        <v>66</v>
      </c>
      <c r="W1633" s="4">
        <v>110</v>
      </c>
    </row>
    <row r="1634" spans="1:23" ht="11.25" customHeight="1" x14ac:dyDescent="0.25">
      <c r="A1634" s="4" t="s">
        <v>21</v>
      </c>
      <c r="B1634" s="4" t="s">
        <v>39</v>
      </c>
      <c r="C1634" s="4" t="s">
        <v>35</v>
      </c>
      <c r="D1634" s="4" t="s">
        <v>45</v>
      </c>
      <c r="E1634" s="4" t="s">
        <v>25</v>
      </c>
      <c r="F1634" s="4" t="s">
        <v>25</v>
      </c>
      <c r="G1634" s="4" t="s">
        <v>25</v>
      </c>
      <c r="H1634" s="4" t="s">
        <v>37</v>
      </c>
      <c r="I1634" s="5">
        <v>44743</v>
      </c>
      <c r="J1634" s="6">
        <v>0</v>
      </c>
      <c r="K1634" s="6">
        <v>0</v>
      </c>
      <c r="L1634" s="6">
        <v>91.926000000000002</v>
      </c>
      <c r="M1634" s="6">
        <v>91.926000000000002</v>
      </c>
      <c r="N1634" s="6">
        <v>91.926000000000002</v>
      </c>
      <c r="O1634" s="6">
        <v>91.926000000000002</v>
      </c>
      <c r="P1634" s="6">
        <v>0</v>
      </c>
      <c r="Q1634" s="4" t="s">
        <v>26</v>
      </c>
      <c r="R1634" s="4">
        <v>0</v>
      </c>
      <c r="S1634" s="4" t="s">
        <v>410</v>
      </c>
      <c r="T1634" s="4" t="s">
        <v>680</v>
      </c>
      <c r="U1634" s="4">
        <v>0</v>
      </c>
      <c r="V1634" s="4">
        <v>66</v>
      </c>
      <c r="W1634" s="4">
        <v>110</v>
      </c>
    </row>
    <row r="1635" spans="1:23" ht="11.25" customHeight="1" x14ac:dyDescent="0.25">
      <c r="A1635" s="4" t="s">
        <v>27</v>
      </c>
      <c r="B1635" s="4" t="s">
        <v>39</v>
      </c>
      <c r="C1635" s="4" t="s">
        <v>35</v>
      </c>
      <c r="D1635" s="4" t="s">
        <v>45</v>
      </c>
      <c r="E1635" s="4" t="s">
        <v>25</v>
      </c>
      <c r="F1635" s="4" t="s">
        <v>25</v>
      </c>
      <c r="G1635" s="4" t="s">
        <v>25</v>
      </c>
      <c r="H1635" s="4" t="s">
        <v>37</v>
      </c>
      <c r="I1635" s="5">
        <v>44743</v>
      </c>
      <c r="J1635" s="6">
        <v>0</v>
      </c>
      <c r="K1635" s="6">
        <v>0</v>
      </c>
      <c r="L1635" s="6">
        <v>1.724</v>
      </c>
      <c r="M1635" s="6">
        <v>1.724</v>
      </c>
      <c r="N1635" s="6">
        <v>1.724</v>
      </c>
      <c r="O1635" s="6">
        <v>1.724</v>
      </c>
      <c r="P1635" s="6">
        <v>0</v>
      </c>
      <c r="Q1635" s="4" t="s">
        <v>26</v>
      </c>
      <c r="R1635" s="4">
        <v>0</v>
      </c>
      <c r="S1635" s="4" t="s">
        <v>410</v>
      </c>
      <c r="T1635" s="4" t="s">
        <v>680</v>
      </c>
      <c r="U1635" s="4">
        <v>0</v>
      </c>
      <c r="V1635" s="4">
        <v>66</v>
      </c>
      <c r="W1635" s="4">
        <v>110</v>
      </c>
    </row>
    <row r="1636" spans="1:23" ht="11.25" customHeight="1" x14ac:dyDescent="0.25">
      <c r="A1636" s="4" t="s">
        <v>28</v>
      </c>
      <c r="B1636" s="4" t="s">
        <v>39</v>
      </c>
      <c r="C1636" s="4" t="s">
        <v>35</v>
      </c>
      <c r="D1636" s="4" t="s">
        <v>45</v>
      </c>
      <c r="E1636" s="4" t="s">
        <v>25</v>
      </c>
      <c r="F1636" s="4" t="s">
        <v>25</v>
      </c>
      <c r="G1636" s="4" t="s">
        <v>25</v>
      </c>
      <c r="H1636" s="4" t="s">
        <v>37</v>
      </c>
      <c r="I1636" s="5">
        <v>44743</v>
      </c>
      <c r="J1636" s="6">
        <v>0</v>
      </c>
      <c r="K1636" s="6">
        <v>0</v>
      </c>
      <c r="L1636" s="6">
        <v>13.997</v>
      </c>
      <c r="M1636" s="6">
        <v>13.997</v>
      </c>
      <c r="N1636" s="6">
        <v>13.997</v>
      </c>
      <c r="O1636" s="6">
        <v>13.997</v>
      </c>
      <c r="P1636" s="6">
        <v>0</v>
      </c>
      <c r="Q1636" s="4" t="s">
        <v>26</v>
      </c>
      <c r="R1636" s="4">
        <v>0</v>
      </c>
      <c r="S1636" s="4" t="s">
        <v>410</v>
      </c>
      <c r="T1636" s="4" t="s">
        <v>680</v>
      </c>
      <c r="U1636" s="4">
        <v>0</v>
      </c>
      <c r="V1636" s="4">
        <v>66</v>
      </c>
      <c r="W1636" s="4">
        <v>110</v>
      </c>
    </row>
    <row r="1637" spans="1:23" ht="11.25" customHeight="1" x14ac:dyDescent="0.25">
      <c r="A1637" s="4" t="s">
        <v>30</v>
      </c>
      <c r="B1637" s="4" t="s">
        <v>39</v>
      </c>
      <c r="C1637" s="4" t="s">
        <v>35</v>
      </c>
      <c r="D1637" s="4" t="s">
        <v>45</v>
      </c>
      <c r="E1637" s="4" t="s">
        <v>25</v>
      </c>
      <c r="F1637" s="4" t="s">
        <v>25</v>
      </c>
      <c r="G1637" s="4" t="s">
        <v>25</v>
      </c>
      <c r="H1637" s="4" t="s">
        <v>37</v>
      </c>
      <c r="I1637" s="5">
        <v>44743</v>
      </c>
      <c r="J1637" s="6">
        <v>0</v>
      </c>
      <c r="K1637" s="6">
        <v>0</v>
      </c>
      <c r="L1637" s="6">
        <v>2.9260000000000002</v>
      </c>
      <c r="M1637" s="6">
        <v>2.9260000000000002</v>
      </c>
      <c r="N1637" s="6">
        <v>2.9260000000000002</v>
      </c>
      <c r="O1637" s="6">
        <v>2.9260000000000002</v>
      </c>
      <c r="P1637" s="6">
        <v>0</v>
      </c>
      <c r="Q1637" s="4" t="s">
        <v>26</v>
      </c>
      <c r="R1637" s="4">
        <v>0</v>
      </c>
      <c r="S1637" s="4" t="s">
        <v>410</v>
      </c>
      <c r="T1637" s="4" t="s">
        <v>680</v>
      </c>
      <c r="U1637" s="4">
        <v>0</v>
      </c>
      <c r="V1637" s="4">
        <v>66</v>
      </c>
      <c r="W1637" s="4">
        <v>110</v>
      </c>
    </row>
    <row r="1638" spans="1:23" ht="11.25" customHeight="1" x14ac:dyDescent="0.25">
      <c r="A1638" s="4" t="s">
        <v>21</v>
      </c>
      <c r="B1638" s="4" t="s">
        <v>39</v>
      </c>
      <c r="C1638" s="4" t="s">
        <v>35</v>
      </c>
      <c r="D1638" s="4" t="s">
        <v>45</v>
      </c>
      <c r="E1638" s="4" t="s">
        <v>25</v>
      </c>
      <c r="F1638" s="4" t="s">
        <v>25</v>
      </c>
      <c r="G1638" s="4" t="s">
        <v>25</v>
      </c>
      <c r="H1638" s="4" t="s">
        <v>37</v>
      </c>
      <c r="I1638" s="5">
        <v>44774</v>
      </c>
      <c r="J1638" s="6">
        <v>0</v>
      </c>
      <c r="K1638" s="6">
        <v>0</v>
      </c>
      <c r="L1638" s="6">
        <v>90.677000000000007</v>
      </c>
      <c r="M1638" s="6">
        <v>90.677000000000007</v>
      </c>
      <c r="N1638" s="6">
        <v>90.677000000000007</v>
      </c>
      <c r="O1638" s="6">
        <v>90.677000000000007</v>
      </c>
      <c r="P1638" s="6">
        <v>0</v>
      </c>
      <c r="Q1638" s="4" t="s">
        <v>26</v>
      </c>
      <c r="R1638" s="4">
        <v>0</v>
      </c>
      <c r="S1638" s="4" t="s">
        <v>411</v>
      </c>
      <c r="T1638" s="4" t="s">
        <v>681</v>
      </c>
      <c r="U1638" s="4">
        <v>0</v>
      </c>
      <c r="V1638" s="4">
        <v>66</v>
      </c>
      <c r="W1638" s="4">
        <v>110</v>
      </c>
    </row>
    <row r="1639" spans="1:23" ht="11.25" customHeight="1" x14ac:dyDescent="0.25">
      <c r="A1639" s="4" t="s">
        <v>27</v>
      </c>
      <c r="B1639" s="4" t="s">
        <v>39</v>
      </c>
      <c r="C1639" s="4" t="s">
        <v>35</v>
      </c>
      <c r="D1639" s="4" t="s">
        <v>45</v>
      </c>
      <c r="E1639" s="4" t="s">
        <v>25</v>
      </c>
      <c r="F1639" s="4" t="s">
        <v>25</v>
      </c>
      <c r="G1639" s="4" t="s">
        <v>25</v>
      </c>
      <c r="H1639" s="4" t="s">
        <v>37</v>
      </c>
      <c r="I1639" s="5">
        <v>44774</v>
      </c>
      <c r="J1639" s="6">
        <v>0</v>
      </c>
      <c r="K1639" s="6">
        <v>0</v>
      </c>
      <c r="L1639" s="6">
        <v>-5.5E-2</v>
      </c>
      <c r="M1639" s="6">
        <v>-5.5E-2</v>
      </c>
      <c r="N1639" s="6">
        <v>-5.5E-2</v>
      </c>
      <c r="O1639" s="6">
        <v>-5.5E-2</v>
      </c>
      <c r="P1639" s="6">
        <v>0</v>
      </c>
      <c r="Q1639" s="4" t="s">
        <v>26</v>
      </c>
      <c r="R1639" s="4">
        <v>0</v>
      </c>
      <c r="S1639" s="4" t="s">
        <v>411</v>
      </c>
      <c r="T1639" s="4" t="s">
        <v>681</v>
      </c>
      <c r="U1639" s="4">
        <v>0</v>
      </c>
      <c r="V1639" s="4">
        <v>66</v>
      </c>
      <c r="W1639" s="4">
        <v>110</v>
      </c>
    </row>
    <row r="1640" spans="1:23" ht="11.25" customHeight="1" x14ac:dyDescent="0.25">
      <c r="A1640" s="4" t="s">
        <v>28</v>
      </c>
      <c r="B1640" s="4" t="s">
        <v>39</v>
      </c>
      <c r="C1640" s="4" t="s">
        <v>35</v>
      </c>
      <c r="D1640" s="4" t="s">
        <v>45</v>
      </c>
      <c r="E1640" s="4" t="s">
        <v>25</v>
      </c>
      <c r="F1640" s="4" t="s">
        <v>25</v>
      </c>
      <c r="G1640" s="4" t="s">
        <v>25</v>
      </c>
      <c r="H1640" s="4" t="s">
        <v>37</v>
      </c>
      <c r="I1640" s="5">
        <v>44774</v>
      </c>
      <c r="J1640" s="6">
        <v>0</v>
      </c>
      <c r="K1640" s="6">
        <v>0</v>
      </c>
      <c r="L1640" s="6">
        <v>13.965999999999999</v>
      </c>
      <c r="M1640" s="6">
        <v>13.965999999999999</v>
      </c>
      <c r="N1640" s="6">
        <v>13.965999999999999</v>
      </c>
      <c r="O1640" s="6">
        <v>13.965999999999999</v>
      </c>
      <c r="P1640" s="6">
        <v>0</v>
      </c>
      <c r="Q1640" s="4" t="s">
        <v>26</v>
      </c>
      <c r="R1640" s="4">
        <v>0</v>
      </c>
      <c r="S1640" s="4" t="s">
        <v>411</v>
      </c>
      <c r="T1640" s="4" t="s">
        <v>681</v>
      </c>
      <c r="U1640" s="4">
        <v>0</v>
      </c>
      <c r="V1640" s="4">
        <v>66</v>
      </c>
      <c r="W1640" s="4">
        <v>110</v>
      </c>
    </row>
    <row r="1641" spans="1:23" ht="11.25" customHeight="1" x14ac:dyDescent="0.25">
      <c r="A1641" s="4" t="s">
        <v>30</v>
      </c>
      <c r="B1641" s="4" t="s">
        <v>39</v>
      </c>
      <c r="C1641" s="4" t="s">
        <v>35</v>
      </c>
      <c r="D1641" s="4" t="s">
        <v>45</v>
      </c>
      <c r="E1641" s="4" t="s">
        <v>25</v>
      </c>
      <c r="F1641" s="4" t="s">
        <v>25</v>
      </c>
      <c r="G1641" s="4" t="s">
        <v>25</v>
      </c>
      <c r="H1641" s="4" t="s">
        <v>37</v>
      </c>
      <c r="I1641" s="5">
        <v>44774</v>
      </c>
      <c r="J1641" s="6">
        <v>0</v>
      </c>
      <c r="K1641" s="6">
        <v>0</v>
      </c>
      <c r="L1641" s="6">
        <v>1.59</v>
      </c>
      <c r="M1641" s="6">
        <v>1.59</v>
      </c>
      <c r="N1641" s="6">
        <v>1.59</v>
      </c>
      <c r="O1641" s="6">
        <v>1.59</v>
      </c>
      <c r="P1641" s="6">
        <v>0</v>
      </c>
      <c r="Q1641" s="4" t="s">
        <v>26</v>
      </c>
      <c r="R1641" s="4">
        <v>0</v>
      </c>
      <c r="S1641" s="4" t="s">
        <v>411</v>
      </c>
      <c r="T1641" s="4" t="s">
        <v>681</v>
      </c>
      <c r="U1641" s="4">
        <v>0</v>
      </c>
      <c r="V1641" s="4">
        <v>66</v>
      </c>
      <c r="W1641" s="4">
        <v>110</v>
      </c>
    </row>
    <row r="1642" spans="1:23" ht="11.25" customHeight="1" x14ac:dyDescent="0.25">
      <c r="A1642" s="4" t="s">
        <v>21</v>
      </c>
      <c r="B1642" s="4" t="s">
        <v>39</v>
      </c>
      <c r="C1642" s="4" t="s">
        <v>35</v>
      </c>
      <c r="D1642" s="4" t="s">
        <v>45</v>
      </c>
      <c r="E1642" s="4" t="s">
        <v>25</v>
      </c>
      <c r="F1642" s="4" t="s">
        <v>25</v>
      </c>
      <c r="G1642" s="4" t="s">
        <v>25</v>
      </c>
      <c r="H1642" s="4" t="s">
        <v>37</v>
      </c>
      <c r="I1642" s="5">
        <v>44805</v>
      </c>
      <c r="J1642" s="6">
        <v>0</v>
      </c>
      <c r="K1642" s="6">
        <v>0</v>
      </c>
      <c r="L1642" s="6">
        <v>89.917000000000002</v>
      </c>
      <c r="M1642" s="6">
        <v>89.917000000000002</v>
      </c>
      <c r="N1642" s="6">
        <v>89.917000000000002</v>
      </c>
      <c r="O1642" s="6">
        <v>89.917000000000002</v>
      </c>
      <c r="P1642" s="6">
        <v>0</v>
      </c>
      <c r="Q1642" s="4" t="s">
        <v>26</v>
      </c>
      <c r="R1642" s="4">
        <v>0</v>
      </c>
      <c r="S1642" s="4" t="s">
        <v>412</v>
      </c>
      <c r="T1642" s="4" t="s">
        <v>682</v>
      </c>
      <c r="U1642" s="4">
        <v>0</v>
      </c>
      <c r="V1642" s="4">
        <v>66</v>
      </c>
      <c r="W1642" s="4">
        <v>110</v>
      </c>
    </row>
    <row r="1643" spans="1:23" ht="11.25" customHeight="1" x14ac:dyDescent="0.25">
      <c r="A1643" s="4" t="s">
        <v>27</v>
      </c>
      <c r="B1643" s="4" t="s">
        <v>39</v>
      </c>
      <c r="C1643" s="4" t="s">
        <v>35</v>
      </c>
      <c r="D1643" s="4" t="s">
        <v>45</v>
      </c>
      <c r="E1643" s="4" t="s">
        <v>25</v>
      </c>
      <c r="F1643" s="4" t="s">
        <v>25</v>
      </c>
      <c r="G1643" s="4" t="s">
        <v>25</v>
      </c>
      <c r="H1643" s="4" t="s">
        <v>37</v>
      </c>
      <c r="I1643" s="5">
        <v>44805</v>
      </c>
      <c r="J1643" s="6">
        <v>0</v>
      </c>
      <c r="K1643" s="6">
        <v>0</v>
      </c>
      <c r="L1643" s="6">
        <v>0.23400000000000001</v>
      </c>
      <c r="M1643" s="6">
        <v>0.23400000000000001</v>
      </c>
      <c r="N1643" s="6">
        <v>0.23400000000000001</v>
      </c>
      <c r="O1643" s="6">
        <v>0.23400000000000001</v>
      </c>
      <c r="P1643" s="6">
        <v>0</v>
      </c>
      <c r="Q1643" s="4" t="s">
        <v>26</v>
      </c>
      <c r="R1643" s="4">
        <v>0</v>
      </c>
      <c r="S1643" s="4" t="s">
        <v>412</v>
      </c>
      <c r="T1643" s="4" t="s">
        <v>682</v>
      </c>
      <c r="U1643" s="4">
        <v>0</v>
      </c>
      <c r="V1643" s="4">
        <v>66</v>
      </c>
      <c r="W1643" s="4">
        <v>110</v>
      </c>
    </row>
    <row r="1644" spans="1:23" ht="11.25" customHeight="1" x14ac:dyDescent="0.25">
      <c r="A1644" s="4" t="s">
        <v>28</v>
      </c>
      <c r="B1644" s="4" t="s">
        <v>39</v>
      </c>
      <c r="C1644" s="4" t="s">
        <v>35</v>
      </c>
      <c r="D1644" s="4" t="s">
        <v>45</v>
      </c>
      <c r="E1644" s="4" t="s">
        <v>25</v>
      </c>
      <c r="F1644" s="4" t="s">
        <v>25</v>
      </c>
      <c r="G1644" s="4" t="s">
        <v>25</v>
      </c>
      <c r="H1644" s="4" t="s">
        <v>37</v>
      </c>
      <c r="I1644" s="5">
        <v>44805</v>
      </c>
      <c r="J1644" s="6">
        <v>0</v>
      </c>
      <c r="K1644" s="6">
        <v>0</v>
      </c>
      <c r="L1644" s="6">
        <v>14.349</v>
      </c>
      <c r="M1644" s="6">
        <v>14.349</v>
      </c>
      <c r="N1644" s="6">
        <v>14.349</v>
      </c>
      <c r="O1644" s="6">
        <v>14.349</v>
      </c>
      <c r="P1644" s="6">
        <v>0</v>
      </c>
      <c r="Q1644" s="4" t="s">
        <v>26</v>
      </c>
      <c r="R1644" s="4">
        <v>0</v>
      </c>
      <c r="S1644" s="4" t="s">
        <v>412</v>
      </c>
      <c r="T1644" s="4" t="s">
        <v>682</v>
      </c>
      <c r="U1644" s="4">
        <v>0</v>
      </c>
      <c r="V1644" s="4">
        <v>66</v>
      </c>
      <c r="W1644" s="4">
        <v>110</v>
      </c>
    </row>
    <row r="1645" spans="1:23" ht="11.25" customHeight="1" x14ac:dyDescent="0.25">
      <c r="A1645" s="4" t="s">
        <v>30</v>
      </c>
      <c r="B1645" s="4" t="s">
        <v>39</v>
      </c>
      <c r="C1645" s="4" t="s">
        <v>35</v>
      </c>
      <c r="D1645" s="4" t="s">
        <v>45</v>
      </c>
      <c r="E1645" s="4" t="s">
        <v>25</v>
      </c>
      <c r="F1645" s="4" t="s">
        <v>25</v>
      </c>
      <c r="G1645" s="4" t="s">
        <v>25</v>
      </c>
      <c r="H1645" s="4" t="s">
        <v>37</v>
      </c>
      <c r="I1645" s="5">
        <v>44805</v>
      </c>
      <c r="J1645" s="6">
        <v>0</v>
      </c>
      <c r="K1645" s="6">
        <v>0</v>
      </c>
      <c r="L1645" s="6">
        <v>3.82</v>
      </c>
      <c r="M1645" s="6">
        <v>3.82</v>
      </c>
      <c r="N1645" s="6">
        <v>3.82</v>
      </c>
      <c r="O1645" s="6">
        <v>3.82</v>
      </c>
      <c r="P1645" s="6">
        <v>0</v>
      </c>
      <c r="Q1645" s="4" t="s">
        <v>26</v>
      </c>
      <c r="R1645" s="4">
        <v>0</v>
      </c>
      <c r="S1645" s="4" t="s">
        <v>412</v>
      </c>
      <c r="T1645" s="4" t="s">
        <v>682</v>
      </c>
      <c r="U1645" s="4">
        <v>0</v>
      </c>
      <c r="V1645" s="4">
        <v>66</v>
      </c>
      <c r="W1645" s="4">
        <v>110</v>
      </c>
    </row>
    <row r="1646" spans="1:23" ht="11.25" customHeight="1" x14ac:dyDescent="0.25">
      <c r="A1646" s="4" t="s">
        <v>30</v>
      </c>
      <c r="B1646" s="4" t="s">
        <v>39</v>
      </c>
      <c r="C1646" s="4" t="s">
        <v>35</v>
      </c>
      <c r="D1646" s="4" t="s">
        <v>45</v>
      </c>
      <c r="E1646" s="4" t="s">
        <v>25</v>
      </c>
      <c r="F1646" s="4" t="s">
        <v>25</v>
      </c>
      <c r="G1646" s="4" t="s">
        <v>25</v>
      </c>
      <c r="H1646" s="4" t="s">
        <v>37</v>
      </c>
      <c r="I1646" s="5">
        <v>44805</v>
      </c>
      <c r="J1646" s="6">
        <v>0</v>
      </c>
      <c r="K1646" s="6">
        <v>0</v>
      </c>
      <c r="L1646" s="6">
        <v>-0.73099999999999998</v>
      </c>
      <c r="M1646" s="6">
        <v>-0.73099999999999998</v>
      </c>
      <c r="N1646" s="6">
        <v>-0.73099999999999998</v>
      </c>
      <c r="O1646" s="6">
        <v>-0.73099999999999998</v>
      </c>
      <c r="P1646" s="6">
        <v>0</v>
      </c>
      <c r="Q1646" s="4" t="s">
        <v>26</v>
      </c>
      <c r="R1646" s="4">
        <v>0</v>
      </c>
      <c r="S1646" s="4" t="s">
        <v>412</v>
      </c>
      <c r="T1646" s="4" t="s">
        <v>682</v>
      </c>
      <c r="U1646" s="4">
        <v>0</v>
      </c>
      <c r="V1646" s="4">
        <v>66</v>
      </c>
      <c r="W1646" s="4">
        <v>110</v>
      </c>
    </row>
    <row r="1647" spans="1:23" ht="11.25" customHeight="1" x14ac:dyDescent="0.25">
      <c r="A1647" s="4" t="s">
        <v>21</v>
      </c>
      <c r="B1647" s="4" t="s">
        <v>39</v>
      </c>
      <c r="C1647" s="4" t="s">
        <v>35</v>
      </c>
      <c r="D1647" s="4" t="s">
        <v>45</v>
      </c>
      <c r="E1647" s="4" t="s">
        <v>25</v>
      </c>
      <c r="F1647" s="4" t="s">
        <v>25</v>
      </c>
      <c r="G1647" s="4" t="s">
        <v>25</v>
      </c>
      <c r="H1647" s="4" t="s">
        <v>37</v>
      </c>
      <c r="I1647" s="5">
        <v>44835</v>
      </c>
      <c r="J1647" s="6">
        <v>0</v>
      </c>
      <c r="K1647" s="6">
        <v>0</v>
      </c>
      <c r="L1647" s="6">
        <v>93.462000000000003</v>
      </c>
      <c r="M1647" s="6">
        <v>93.462000000000003</v>
      </c>
      <c r="N1647" s="6">
        <v>93.462000000000003</v>
      </c>
      <c r="O1647" s="6">
        <v>93.462000000000003</v>
      </c>
      <c r="P1647" s="6">
        <v>0</v>
      </c>
      <c r="Q1647" s="4" t="s">
        <v>26</v>
      </c>
      <c r="R1647" s="4">
        <v>0</v>
      </c>
      <c r="S1647" s="4" t="s">
        <v>413</v>
      </c>
      <c r="T1647" s="4" t="s">
        <v>683</v>
      </c>
      <c r="U1647" s="4">
        <v>0</v>
      </c>
      <c r="V1647" s="4">
        <v>66</v>
      </c>
      <c r="W1647" s="4">
        <v>110</v>
      </c>
    </row>
    <row r="1648" spans="1:23" ht="11.25" customHeight="1" x14ac:dyDescent="0.25">
      <c r="A1648" s="4" t="s">
        <v>28</v>
      </c>
      <c r="B1648" s="4" t="s">
        <v>39</v>
      </c>
      <c r="C1648" s="4" t="s">
        <v>35</v>
      </c>
      <c r="D1648" s="4" t="s">
        <v>45</v>
      </c>
      <c r="E1648" s="4" t="s">
        <v>25</v>
      </c>
      <c r="F1648" s="4" t="s">
        <v>25</v>
      </c>
      <c r="G1648" s="4" t="s">
        <v>25</v>
      </c>
      <c r="H1648" s="4" t="s">
        <v>37</v>
      </c>
      <c r="I1648" s="5">
        <v>44835</v>
      </c>
      <c r="J1648" s="6">
        <v>0</v>
      </c>
      <c r="K1648" s="6">
        <v>0</v>
      </c>
      <c r="L1648" s="6">
        <v>12.234999999999999</v>
      </c>
      <c r="M1648" s="6">
        <v>12.234999999999999</v>
      </c>
      <c r="N1648" s="6">
        <v>12.234999999999999</v>
      </c>
      <c r="O1648" s="6">
        <v>12.234999999999999</v>
      </c>
      <c r="P1648" s="6">
        <v>0</v>
      </c>
      <c r="Q1648" s="4" t="s">
        <v>26</v>
      </c>
      <c r="R1648" s="4">
        <v>0</v>
      </c>
      <c r="S1648" s="4" t="s">
        <v>413</v>
      </c>
      <c r="T1648" s="4" t="s">
        <v>683</v>
      </c>
      <c r="U1648" s="4">
        <v>0</v>
      </c>
      <c r="V1648" s="4">
        <v>66</v>
      </c>
      <c r="W1648" s="4">
        <v>110</v>
      </c>
    </row>
    <row r="1649" spans="1:23" ht="11.25" customHeight="1" x14ac:dyDescent="0.25">
      <c r="A1649" s="4" t="s">
        <v>30</v>
      </c>
      <c r="B1649" s="4" t="s">
        <v>39</v>
      </c>
      <c r="C1649" s="4" t="s">
        <v>35</v>
      </c>
      <c r="D1649" s="4" t="s">
        <v>45</v>
      </c>
      <c r="E1649" s="4" t="s">
        <v>25</v>
      </c>
      <c r="F1649" s="4" t="s">
        <v>25</v>
      </c>
      <c r="G1649" s="4" t="s">
        <v>25</v>
      </c>
      <c r="H1649" s="4" t="s">
        <v>37</v>
      </c>
      <c r="I1649" s="5">
        <v>44835</v>
      </c>
      <c r="J1649" s="6">
        <v>0</v>
      </c>
      <c r="K1649" s="6">
        <v>0</v>
      </c>
      <c r="L1649" s="6">
        <v>-3.0979999999999999</v>
      </c>
      <c r="M1649" s="6">
        <v>-3.0979999999999999</v>
      </c>
      <c r="N1649" s="6">
        <v>-3.0979999999999999</v>
      </c>
      <c r="O1649" s="6">
        <v>-3.0979999999999999</v>
      </c>
      <c r="P1649" s="6">
        <v>0</v>
      </c>
      <c r="Q1649" s="4" t="s">
        <v>26</v>
      </c>
      <c r="R1649" s="4">
        <v>0</v>
      </c>
      <c r="S1649" s="4" t="s">
        <v>413</v>
      </c>
      <c r="T1649" s="4" t="s">
        <v>683</v>
      </c>
      <c r="U1649" s="4">
        <v>0</v>
      </c>
      <c r="V1649" s="4">
        <v>66</v>
      </c>
      <c r="W1649" s="4">
        <v>110</v>
      </c>
    </row>
    <row r="1650" spans="1:23" ht="11.25" customHeight="1" x14ac:dyDescent="0.25">
      <c r="A1650" s="4" t="s">
        <v>59</v>
      </c>
      <c r="B1650" s="4" t="s">
        <v>39</v>
      </c>
      <c r="C1650" s="4" t="s">
        <v>35</v>
      </c>
      <c r="D1650" s="4" t="s">
        <v>45</v>
      </c>
      <c r="E1650" s="4" t="s">
        <v>25</v>
      </c>
      <c r="F1650" s="4" t="s">
        <v>25</v>
      </c>
      <c r="G1650" s="4" t="s">
        <v>25</v>
      </c>
      <c r="H1650" s="4" t="s">
        <v>37</v>
      </c>
      <c r="I1650" s="5">
        <v>44866</v>
      </c>
      <c r="J1650" s="6">
        <v>0</v>
      </c>
      <c r="K1650" s="6">
        <v>0</v>
      </c>
      <c r="L1650" s="6">
        <v>93.462000000000003</v>
      </c>
      <c r="M1650" s="6">
        <v>93.462000000000003</v>
      </c>
      <c r="N1650" s="6">
        <v>93.462000000000003</v>
      </c>
      <c r="O1650" s="6">
        <v>93.462000000000003</v>
      </c>
      <c r="P1650" s="6">
        <v>0</v>
      </c>
      <c r="Q1650" s="4" t="s">
        <v>26</v>
      </c>
      <c r="R1650" s="4">
        <v>0</v>
      </c>
      <c r="S1650" s="4" t="s">
        <v>414</v>
      </c>
      <c r="T1650" s="4" t="s">
        <v>684</v>
      </c>
      <c r="U1650" s="4">
        <v>0</v>
      </c>
      <c r="V1650" s="4">
        <v>66</v>
      </c>
      <c r="W1650" s="4">
        <v>110</v>
      </c>
    </row>
    <row r="1651" spans="1:23" ht="11.25" customHeight="1" x14ac:dyDescent="0.25">
      <c r="A1651" s="4" t="s">
        <v>59</v>
      </c>
      <c r="B1651" s="4" t="s">
        <v>39</v>
      </c>
      <c r="C1651" s="4" t="s">
        <v>35</v>
      </c>
      <c r="D1651" s="4" t="s">
        <v>45</v>
      </c>
      <c r="E1651" s="4" t="s">
        <v>25</v>
      </c>
      <c r="F1651" s="4" t="s">
        <v>25</v>
      </c>
      <c r="G1651" s="4" t="s">
        <v>25</v>
      </c>
      <c r="H1651" s="4" t="s">
        <v>37</v>
      </c>
      <c r="I1651" s="5">
        <v>44866</v>
      </c>
      <c r="J1651" s="6">
        <v>0</v>
      </c>
      <c r="K1651" s="6">
        <v>0</v>
      </c>
      <c r="L1651" s="6">
        <v>12.234999999999999</v>
      </c>
      <c r="M1651" s="6">
        <v>12.234999999999999</v>
      </c>
      <c r="N1651" s="6">
        <v>12.234999999999999</v>
      </c>
      <c r="O1651" s="6">
        <v>12.234999999999999</v>
      </c>
      <c r="P1651" s="6">
        <v>0</v>
      </c>
      <c r="Q1651" s="4" t="s">
        <v>26</v>
      </c>
      <c r="R1651" s="4">
        <v>0</v>
      </c>
      <c r="S1651" s="4" t="s">
        <v>414</v>
      </c>
      <c r="T1651" s="4" t="s">
        <v>684</v>
      </c>
      <c r="U1651" s="4">
        <v>0</v>
      </c>
      <c r="V1651" s="4">
        <v>66</v>
      </c>
      <c r="W1651" s="4">
        <v>110</v>
      </c>
    </row>
    <row r="1652" spans="1:23" ht="11.25" customHeight="1" x14ac:dyDescent="0.25">
      <c r="A1652" s="4" t="s">
        <v>59</v>
      </c>
      <c r="B1652" s="4" t="s">
        <v>39</v>
      </c>
      <c r="C1652" s="4" t="s">
        <v>35</v>
      </c>
      <c r="D1652" s="4" t="s">
        <v>45</v>
      </c>
      <c r="E1652" s="4" t="s">
        <v>25</v>
      </c>
      <c r="F1652" s="4" t="s">
        <v>25</v>
      </c>
      <c r="G1652" s="4" t="s">
        <v>25</v>
      </c>
      <c r="H1652" s="4" t="s">
        <v>37</v>
      </c>
      <c r="I1652" s="5">
        <v>44866</v>
      </c>
      <c r="J1652" s="6">
        <v>0</v>
      </c>
      <c r="K1652" s="6">
        <v>0</v>
      </c>
      <c r="L1652" s="6">
        <v>-3.0979999999999999</v>
      </c>
      <c r="M1652" s="6">
        <v>-3.0979999999999999</v>
      </c>
      <c r="N1652" s="6">
        <v>-3.0979999999999999</v>
      </c>
      <c r="O1652" s="6">
        <v>-3.0979999999999999</v>
      </c>
      <c r="P1652" s="6">
        <v>0</v>
      </c>
      <c r="Q1652" s="4" t="s">
        <v>26</v>
      </c>
      <c r="R1652" s="4">
        <v>0</v>
      </c>
      <c r="S1652" s="4" t="s">
        <v>414</v>
      </c>
      <c r="T1652" s="4" t="s">
        <v>684</v>
      </c>
      <c r="U1652" s="4">
        <v>0</v>
      </c>
      <c r="V1652" s="4">
        <v>66</v>
      </c>
      <c r="W1652" s="4">
        <v>110</v>
      </c>
    </row>
    <row r="1653" spans="1:23" ht="11.25" customHeight="1" x14ac:dyDescent="0.25">
      <c r="A1653" s="4" t="s">
        <v>21</v>
      </c>
      <c r="B1653" s="4" t="s">
        <v>39</v>
      </c>
      <c r="C1653" s="4" t="s">
        <v>35</v>
      </c>
      <c r="D1653" s="4" t="s">
        <v>45</v>
      </c>
      <c r="E1653" s="4" t="s">
        <v>25</v>
      </c>
      <c r="F1653" s="4" t="s">
        <v>25</v>
      </c>
      <c r="G1653" s="4" t="s">
        <v>25</v>
      </c>
      <c r="H1653" s="4" t="s">
        <v>38</v>
      </c>
      <c r="I1653" s="5">
        <v>44531</v>
      </c>
      <c r="J1653" s="6">
        <v>0</v>
      </c>
      <c r="K1653" s="6">
        <v>0</v>
      </c>
      <c r="L1653" s="6">
        <v>2.33</v>
      </c>
      <c r="M1653" s="6">
        <v>2.33</v>
      </c>
      <c r="N1653" s="6">
        <v>2.33</v>
      </c>
      <c r="O1653" s="6">
        <v>2.33</v>
      </c>
      <c r="P1653" s="6">
        <v>0</v>
      </c>
      <c r="Q1653" s="4" t="s">
        <v>26</v>
      </c>
      <c r="R1653" s="4">
        <v>0</v>
      </c>
      <c r="S1653" s="4" t="s">
        <v>415</v>
      </c>
      <c r="T1653" s="4" t="s">
        <v>685</v>
      </c>
      <c r="U1653" s="4">
        <v>0</v>
      </c>
      <c r="V1653" s="4">
        <v>65</v>
      </c>
      <c r="W1653" s="4">
        <v>109</v>
      </c>
    </row>
    <row r="1654" spans="1:23" ht="11.25" customHeight="1" x14ac:dyDescent="0.25">
      <c r="A1654" s="4" t="s">
        <v>27</v>
      </c>
      <c r="B1654" s="4" t="s">
        <v>39</v>
      </c>
      <c r="C1654" s="4" t="s">
        <v>35</v>
      </c>
      <c r="D1654" s="4" t="s">
        <v>45</v>
      </c>
      <c r="E1654" s="4" t="s">
        <v>25</v>
      </c>
      <c r="F1654" s="4" t="s">
        <v>25</v>
      </c>
      <c r="G1654" s="4" t="s">
        <v>25</v>
      </c>
      <c r="H1654" s="4" t="s">
        <v>38</v>
      </c>
      <c r="I1654" s="5">
        <v>44531</v>
      </c>
      <c r="J1654" s="6">
        <v>0</v>
      </c>
      <c r="K1654" s="6">
        <v>0</v>
      </c>
      <c r="L1654" s="6">
        <v>0.28000000000000003</v>
      </c>
      <c r="M1654" s="6">
        <v>0.28000000000000003</v>
      </c>
      <c r="N1654" s="6">
        <v>0.28000000000000003</v>
      </c>
      <c r="O1654" s="6">
        <v>0.28000000000000003</v>
      </c>
      <c r="P1654" s="6">
        <v>0</v>
      </c>
      <c r="Q1654" s="4" t="s">
        <v>26</v>
      </c>
      <c r="R1654" s="4">
        <v>0</v>
      </c>
      <c r="S1654" s="4" t="s">
        <v>415</v>
      </c>
      <c r="T1654" s="4" t="s">
        <v>685</v>
      </c>
      <c r="U1654" s="4">
        <v>0</v>
      </c>
      <c r="V1654" s="4">
        <v>65</v>
      </c>
      <c r="W1654" s="4">
        <v>109</v>
      </c>
    </row>
    <row r="1655" spans="1:23" ht="11.25" customHeight="1" x14ac:dyDescent="0.25">
      <c r="A1655" s="4" t="s">
        <v>28</v>
      </c>
      <c r="B1655" s="4" t="s">
        <v>39</v>
      </c>
      <c r="C1655" s="4" t="s">
        <v>35</v>
      </c>
      <c r="D1655" s="4" t="s">
        <v>45</v>
      </c>
      <c r="E1655" s="4" t="s">
        <v>25</v>
      </c>
      <c r="F1655" s="4" t="s">
        <v>25</v>
      </c>
      <c r="G1655" s="4" t="s">
        <v>25</v>
      </c>
      <c r="H1655" s="4" t="s">
        <v>38</v>
      </c>
      <c r="I1655" s="5">
        <v>44531</v>
      </c>
      <c r="J1655" s="6">
        <v>0</v>
      </c>
      <c r="K1655" s="6">
        <v>0</v>
      </c>
      <c r="L1655" s="6">
        <v>0.623</v>
      </c>
      <c r="M1655" s="6">
        <v>0.623</v>
      </c>
      <c r="N1655" s="6">
        <v>0.623</v>
      </c>
      <c r="O1655" s="6">
        <v>0.623</v>
      </c>
      <c r="P1655" s="6">
        <v>0</v>
      </c>
      <c r="Q1655" s="4" t="s">
        <v>26</v>
      </c>
      <c r="R1655" s="4">
        <v>0</v>
      </c>
      <c r="S1655" s="4" t="s">
        <v>415</v>
      </c>
      <c r="T1655" s="4" t="s">
        <v>685</v>
      </c>
      <c r="U1655" s="4">
        <v>0</v>
      </c>
      <c r="V1655" s="4">
        <v>65</v>
      </c>
      <c r="W1655" s="4">
        <v>109</v>
      </c>
    </row>
    <row r="1656" spans="1:23" ht="11.25" customHeight="1" x14ac:dyDescent="0.25">
      <c r="A1656" s="4" t="s">
        <v>30</v>
      </c>
      <c r="B1656" s="4" t="s">
        <v>39</v>
      </c>
      <c r="C1656" s="4" t="s">
        <v>35</v>
      </c>
      <c r="D1656" s="4" t="s">
        <v>45</v>
      </c>
      <c r="E1656" s="4" t="s">
        <v>25</v>
      </c>
      <c r="F1656" s="4" t="s">
        <v>25</v>
      </c>
      <c r="G1656" s="4" t="s">
        <v>25</v>
      </c>
      <c r="H1656" s="4" t="s">
        <v>38</v>
      </c>
      <c r="I1656" s="5">
        <v>44531</v>
      </c>
      <c r="J1656" s="6">
        <v>0</v>
      </c>
      <c r="K1656" s="6">
        <v>0</v>
      </c>
      <c r="L1656" s="6">
        <v>5.7000000000000002E-2</v>
      </c>
      <c r="M1656" s="6">
        <v>5.7000000000000002E-2</v>
      </c>
      <c r="N1656" s="6">
        <v>5.7000000000000002E-2</v>
      </c>
      <c r="O1656" s="6">
        <v>5.7000000000000002E-2</v>
      </c>
      <c r="P1656" s="6">
        <v>0</v>
      </c>
      <c r="Q1656" s="4" t="s">
        <v>26</v>
      </c>
      <c r="R1656" s="4">
        <v>0</v>
      </c>
      <c r="S1656" s="4" t="s">
        <v>415</v>
      </c>
      <c r="T1656" s="4" t="s">
        <v>685</v>
      </c>
      <c r="U1656" s="4">
        <v>0</v>
      </c>
      <c r="V1656" s="4">
        <v>65</v>
      </c>
      <c r="W1656" s="4">
        <v>109</v>
      </c>
    </row>
    <row r="1657" spans="1:23" ht="11.25" customHeight="1" x14ac:dyDescent="0.25">
      <c r="A1657" s="4" t="s">
        <v>21</v>
      </c>
      <c r="B1657" s="4" t="s">
        <v>39</v>
      </c>
      <c r="C1657" s="4" t="s">
        <v>35</v>
      </c>
      <c r="D1657" s="4" t="s">
        <v>45</v>
      </c>
      <c r="E1657" s="4" t="s">
        <v>25</v>
      </c>
      <c r="F1657" s="4" t="s">
        <v>25</v>
      </c>
      <c r="G1657" s="4" t="s">
        <v>25</v>
      </c>
      <c r="H1657" s="4" t="s">
        <v>38</v>
      </c>
      <c r="I1657" s="5">
        <v>44562</v>
      </c>
      <c r="J1657" s="6">
        <v>0</v>
      </c>
      <c r="K1657" s="6">
        <v>0</v>
      </c>
      <c r="L1657" s="6">
        <v>2.181</v>
      </c>
      <c r="M1657" s="6">
        <v>2.181</v>
      </c>
      <c r="N1657" s="6">
        <v>2.181</v>
      </c>
      <c r="O1657" s="6">
        <v>2.181</v>
      </c>
      <c r="P1657" s="6">
        <v>0</v>
      </c>
      <c r="Q1657" s="4" t="s">
        <v>26</v>
      </c>
      <c r="R1657" s="4">
        <v>0</v>
      </c>
      <c r="S1657" s="4" t="s">
        <v>416</v>
      </c>
      <c r="T1657" s="4" t="s">
        <v>686</v>
      </c>
      <c r="U1657" s="4">
        <v>0</v>
      </c>
      <c r="V1657" s="4">
        <v>65</v>
      </c>
      <c r="W1657" s="4">
        <v>109</v>
      </c>
    </row>
    <row r="1658" spans="1:23" ht="11.25" customHeight="1" x14ac:dyDescent="0.25">
      <c r="A1658" s="4" t="s">
        <v>27</v>
      </c>
      <c r="B1658" s="4" t="s">
        <v>39</v>
      </c>
      <c r="C1658" s="4" t="s">
        <v>35</v>
      </c>
      <c r="D1658" s="4" t="s">
        <v>45</v>
      </c>
      <c r="E1658" s="4" t="s">
        <v>25</v>
      </c>
      <c r="F1658" s="4" t="s">
        <v>25</v>
      </c>
      <c r="G1658" s="4" t="s">
        <v>25</v>
      </c>
      <c r="H1658" s="4" t="s">
        <v>38</v>
      </c>
      <c r="I1658" s="5">
        <v>44562</v>
      </c>
      <c r="J1658" s="6">
        <v>0</v>
      </c>
      <c r="K1658" s="6">
        <v>0</v>
      </c>
      <c r="L1658" s="6">
        <v>-7.0999999999999994E-2</v>
      </c>
      <c r="M1658" s="6">
        <v>-7.0999999999999994E-2</v>
      </c>
      <c r="N1658" s="6">
        <v>-7.0999999999999994E-2</v>
      </c>
      <c r="O1658" s="6">
        <v>-7.0999999999999994E-2</v>
      </c>
      <c r="P1658" s="6">
        <v>0</v>
      </c>
      <c r="Q1658" s="4" t="s">
        <v>26</v>
      </c>
      <c r="R1658" s="4">
        <v>0</v>
      </c>
      <c r="S1658" s="4" t="s">
        <v>416</v>
      </c>
      <c r="T1658" s="4" t="s">
        <v>686</v>
      </c>
      <c r="U1658" s="4">
        <v>0</v>
      </c>
      <c r="V1658" s="4">
        <v>65</v>
      </c>
      <c r="W1658" s="4">
        <v>109</v>
      </c>
    </row>
    <row r="1659" spans="1:23" ht="11.25" customHeight="1" x14ac:dyDescent="0.25">
      <c r="A1659" s="4" t="s">
        <v>28</v>
      </c>
      <c r="B1659" s="4" t="s">
        <v>39</v>
      </c>
      <c r="C1659" s="4" t="s">
        <v>35</v>
      </c>
      <c r="D1659" s="4" t="s">
        <v>45</v>
      </c>
      <c r="E1659" s="4" t="s">
        <v>25</v>
      </c>
      <c r="F1659" s="4" t="s">
        <v>25</v>
      </c>
      <c r="G1659" s="4" t="s">
        <v>25</v>
      </c>
      <c r="H1659" s="4" t="s">
        <v>38</v>
      </c>
      <c r="I1659" s="5">
        <v>44562</v>
      </c>
      <c r="J1659" s="6">
        <v>0</v>
      </c>
      <c r="K1659" s="6">
        <v>0</v>
      </c>
      <c r="L1659" s="6">
        <v>0.61199999999999999</v>
      </c>
      <c r="M1659" s="6">
        <v>0.61199999999999999</v>
      </c>
      <c r="N1659" s="6">
        <v>0.61199999999999999</v>
      </c>
      <c r="O1659" s="6">
        <v>0.61199999999999999</v>
      </c>
      <c r="P1659" s="6">
        <v>0</v>
      </c>
      <c r="Q1659" s="4" t="s">
        <v>26</v>
      </c>
      <c r="R1659" s="4">
        <v>0</v>
      </c>
      <c r="S1659" s="4" t="s">
        <v>416</v>
      </c>
      <c r="T1659" s="4" t="s">
        <v>686</v>
      </c>
      <c r="U1659" s="4">
        <v>0</v>
      </c>
      <c r="V1659" s="4">
        <v>65</v>
      </c>
      <c r="W1659" s="4">
        <v>109</v>
      </c>
    </row>
    <row r="1660" spans="1:23" ht="11.25" customHeight="1" x14ac:dyDescent="0.25">
      <c r="A1660" s="4" t="s">
        <v>30</v>
      </c>
      <c r="B1660" s="4" t="s">
        <v>39</v>
      </c>
      <c r="C1660" s="4" t="s">
        <v>35</v>
      </c>
      <c r="D1660" s="4" t="s">
        <v>45</v>
      </c>
      <c r="E1660" s="4" t="s">
        <v>25</v>
      </c>
      <c r="F1660" s="4" t="s">
        <v>25</v>
      </c>
      <c r="G1660" s="4" t="s">
        <v>25</v>
      </c>
      <c r="H1660" s="4" t="s">
        <v>38</v>
      </c>
      <c r="I1660" s="5">
        <v>44562</v>
      </c>
      <c r="J1660" s="6">
        <v>0</v>
      </c>
      <c r="K1660" s="6">
        <v>0</v>
      </c>
      <c r="L1660" s="6">
        <v>4.8000000000000001E-2</v>
      </c>
      <c r="M1660" s="6">
        <v>4.8000000000000001E-2</v>
      </c>
      <c r="N1660" s="6">
        <v>4.8000000000000001E-2</v>
      </c>
      <c r="O1660" s="6">
        <v>4.8000000000000001E-2</v>
      </c>
      <c r="P1660" s="6">
        <v>0</v>
      </c>
      <c r="Q1660" s="4" t="s">
        <v>26</v>
      </c>
      <c r="R1660" s="4">
        <v>0</v>
      </c>
      <c r="S1660" s="4" t="s">
        <v>416</v>
      </c>
      <c r="T1660" s="4" t="s">
        <v>686</v>
      </c>
      <c r="U1660" s="4">
        <v>0</v>
      </c>
      <c r="V1660" s="4">
        <v>65</v>
      </c>
      <c r="W1660" s="4">
        <v>109</v>
      </c>
    </row>
    <row r="1661" spans="1:23" ht="11.25" customHeight="1" x14ac:dyDescent="0.25">
      <c r="A1661" s="4" t="s">
        <v>21</v>
      </c>
      <c r="B1661" s="4" t="s">
        <v>39</v>
      </c>
      <c r="C1661" s="4" t="s">
        <v>35</v>
      </c>
      <c r="D1661" s="4" t="s">
        <v>45</v>
      </c>
      <c r="E1661" s="4" t="s">
        <v>25</v>
      </c>
      <c r="F1661" s="4" t="s">
        <v>25</v>
      </c>
      <c r="G1661" s="4" t="s">
        <v>25</v>
      </c>
      <c r="H1661" s="4" t="s">
        <v>38</v>
      </c>
      <c r="I1661" s="5">
        <v>44593</v>
      </c>
      <c r="J1661" s="6">
        <v>0</v>
      </c>
      <c r="K1661" s="6">
        <v>0</v>
      </c>
      <c r="L1661" s="6">
        <v>2.1339999999999999</v>
      </c>
      <c r="M1661" s="6">
        <v>2.1339999999999999</v>
      </c>
      <c r="N1661" s="6">
        <v>2.1339999999999999</v>
      </c>
      <c r="O1661" s="6">
        <v>2.1339999999999999</v>
      </c>
      <c r="P1661" s="6">
        <v>0</v>
      </c>
      <c r="Q1661" s="4" t="s">
        <v>26</v>
      </c>
      <c r="R1661" s="4">
        <v>0</v>
      </c>
      <c r="S1661" s="4" t="s">
        <v>417</v>
      </c>
      <c r="T1661" s="4" t="s">
        <v>687</v>
      </c>
      <c r="U1661" s="4">
        <v>0</v>
      </c>
      <c r="V1661" s="4">
        <v>65</v>
      </c>
      <c r="W1661" s="4">
        <v>109</v>
      </c>
    </row>
    <row r="1662" spans="1:23" ht="11.25" customHeight="1" x14ac:dyDescent="0.25">
      <c r="A1662" s="4" t="s">
        <v>28</v>
      </c>
      <c r="B1662" s="4" t="s">
        <v>39</v>
      </c>
      <c r="C1662" s="4" t="s">
        <v>35</v>
      </c>
      <c r="D1662" s="4" t="s">
        <v>45</v>
      </c>
      <c r="E1662" s="4" t="s">
        <v>25</v>
      </c>
      <c r="F1662" s="4" t="s">
        <v>25</v>
      </c>
      <c r="G1662" s="4" t="s">
        <v>25</v>
      </c>
      <c r="H1662" s="4" t="s">
        <v>38</v>
      </c>
      <c r="I1662" s="5">
        <v>44593</v>
      </c>
      <c r="J1662" s="6">
        <v>0</v>
      </c>
      <c r="K1662" s="6">
        <v>0</v>
      </c>
      <c r="L1662" s="6">
        <v>0.64500000000000002</v>
      </c>
      <c r="M1662" s="6">
        <v>0.64500000000000002</v>
      </c>
      <c r="N1662" s="6">
        <v>0.64500000000000002</v>
      </c>
      <c r="O1662" s="6">
        <v>0.64500000000000002</v>
      </c>
      <c r="P1662" s="6">
        <v>0</v>
      </c>
      <c r="Q1662" s="4" t="s">
        <v>26</v>
      </c>
      <c r="R1662" s="4">
        <v>0</v>
      </c>
      <c r="S1662" s="4" t="s">
        <v>417</v>
      </c>
      <c r="T1662" s="4" t="s">
        <v>687</v>
      </c>
      <c r="U1662" s="4">
        <v>0</v>
      </c>
      <c r="V1662" s="4">
        <v>65</v>
      </c>
      <c r="W1662" s="4">
        <v>109</v>
      </c>
    </row>
    <row r="1663" spans="1:23" ht="11.25" customHeight="1" x14ac:dyDescent="0.25">
      <c r="A1663" s="4" t="s">
        <v>30</v>
      </c>
      <c r="B1663" s="4" t="s">
        <v>39</v>
      </c>
      <c r="C1663" s="4" t="s">
        <v>35</v>
      </c>
      <c r="D1663" s="4" t="s">
        <v>45</v>
      </c>
      <c r="E1663" s="4" t="s">
        <v>25</v>
      </c>
      <c r="F1663" s="4" t="s">
        <v>25</v>
      </c>
      <c r="G1663" s="4" t="s">
        <v>25</v>
      </c>
      <c r="H1663" s="4" t="s">
        <v>38</v>
      </c>
      <c r="I1663" s="5">
        <v>44593</v>
      </c>
      <c r="J1663" s="6">
        <v>0</v>
      </c>
      <c r="K1663" s="6">
        <v>0</v>
      </c>
      <c r="L1663" s="6">
        <v>4.2999999999999997E-2</v>
      </c>
      <c r="M1663" s="6">
        <v>4.2999999999999997E-2</v>
      </c>
      <c r="N1663" s="6">
        <v>4.2999999999999997E-2</v>
      </c>
      <c r="O1663" s="6">
        <v>4.2999999999999997E-2</v>
      </c>
      <c r="P1663" s="6">
        <v>0</v>
      </c>
      <c r="Q1663" s="4" t="s">
        <v>26</v>
      </c>
      <c r="R1663" s="4">
        <v>0</v>
      </c>
      <c r="S1663" s="4" t="s">
        <v>417</v>
      </c>
      <c r="T1663" s="4" t="s">
        <v>687</v>
      </c>
      <c r="U1663" s="4">
        <v>0</v>
      </c>
      <c r="V1663" s="4">
        <v>65</v>
      </c>
      <c r="W1663" s="4">
        <v>109</v>
      </c>
    </row>
    <row r="1664" spans="1:23" ht="11.25" customHeight="1" x14ac:dyDescent="0.25">
      <c r="A1664" s="4" t="s">
        <v>21</v>
      </c>
      <c r="B1664" s="4" t="s">
        <v>39</v>
      </c>
      <c r="C1664" s="4" t="s">
        <v>35</v>
      </c>
      <c r="D1664" s="4" t="s">
        <v>45</v>
      </c>
      <c r="E1664" s="4" t="s">
        <v>25</v>
      </c>
      <c r="F1664" s="4" t="s">
        <v>25</v>
      </c>
      <c r="G1664" s="4" t="s">
        <v>25</v>
      </c>
      <c r="H1664" s="4" t="s">
        <v>38</v>
      </c>
      <c r="I1664" s="5">
        <v>44621</v>
      </c>
      <c r="J1664" s="6">
        <v>0</v>
      </c>
      <c r="K1664" s="6">
        <v>0</v>
      </c>
      <c r="L1664" s="6">
        <v>1.7390000000000001</v>
      </c>
      <c r="M1664" s="6">
        <v>1.7390000000000001</v>
      </c>
      <c r="N1664" s="6">
        <v>1.7390000000000001</v>
      </c>
      <c r="O1664" s="6">
        <v>1.7390000000000001</v>
      </c>
      <c r="P1664" s="6">
        <v>0</v>
      </c>
      <c r="Q1664" s="4" t="s">
        <v>26</v>
      </c>
      <c r="R1664" s="4">
        <v>0</v>
      </c>
      <c r="S1664" s="4" t="s">
        <v>418</v>
      </c>
      <c r="T1664" s="4" t="s">
        <v>688</v>
      </c>
      <c r="U1664" s="4">
        <v>0</v>
      </c>
      <c r="V1664" s="4">
        <v>65</v>
      </c>
      <c r="W1664" s="4">
        <v>109</v>
      </c>
    </row>
    <row r="1665" spans="1:23" ht="11.25" customHeight="1" x14ac:dyDescent="0.25">
      <c r="A1665" s="4" t="s">
        <v>27</v>
      </c>
      <c r="B1665" s="4" t="s">
        <v>39</v>
      </c>
      <c r="C1665" s="4" t="s">
        <v>35</v>
      </c>
      <c r="D1665" s="4" t="s">
        <v>45</v>
      </c>
      <c r="E1665" s="4" t="s">
        <v>25</v>
      </c>
      <c r="F1665" s="4" t="s">
        <v>25</v>
      </c>
      <c r="G1665" s="4" t="s">
        <v>25</v>
      </c>
      <c r="H1665" s="4" t="s">
        <v>38</v>
      </c>
      <c r="I1665" s="5">
        <v>44621</v>
      </c>
      <c r="J1665" s="6">
        <v>0</v>
      </c>
      <c r="K1665" s="6">
        <v>0</v>
      </c>
      <c r="L1665" s="6">
        <v>-6.5000000000000002E-2</v>
      </c>
      <c r="M1665" s="6">
        <v>-6.5000000000000002E-2</v>
      </c>
      <c r="N1665" s="6">
        <v>-6.5000000000000002E-2</v>
      </c>
      <c r="O1665" s="6">
        <v>-6.5000000000000002E-2</v>
      </c>
      <c r="P1665" s="6">
        <v>0</v>
      </c>
      <c r="Q1665" s="4" t="s">
        <v>26</v>
      </c>
      <c r="R1665" s="4">
        <v>0</v>
      </c>
      <c r="S1665" s="4" t="s">
        <v>418</v>
      </c>
      <c r="T1665" s="4" t="s">
        <v>688</v>
      </c>
      <c r="U1665" s="4">
        <v>0</v>
      </c>
      <c r="V1665" s="4">
        <v>65</v>
      </c>
      <c r="W1665" s="4">
        <v>109</v>
      </c>
    </row>
    <row r="1666" spans="1:23" ht="11.25" customHeight="1" x14ac:dyDescent="0.25">
      <c r="A1666" s="4" t="s">
        <v>28</v>
      </c>
      <c r="B1666" s="4" t="s">
        <v>39</v>
      </c>
      <c r="C1666" s="4" t="s">
        <v>35</v>
      </c>
      <c r="D1666" s="4" t="s">
        <v>45</v>
      </c>
      <c r="E1666" s="4" t="s">
        <v>25</v>
      </c>
      <c r="F1666" s="4" t="s">
        <v>25</v>
      </c>
      <c r="G1666" s="4" t="s">
        <v>25</v>
      </c>
      <c r="H1666" s="4" t="s">
        <v>38</v>
      </c>
      <c r="I1666" s="5">
        <v>44621</v>
      </c>
      <c r="J1666" s="6">
        <v>0</v>
      </c>
      <c r="K1666" s="6">
        <v>0</v>
      </c>
      <c r="L1666" s="6">
        <v>0.438</v>
      </c>
      <c r="M1666" s="6">
        <v>0.438</v>
      </c>
      <c r="N1666" s="6">
        <v>0.438</v>
      </c>
      <c r="O1666" s="6">
        <v>0.438</v>
      </c>
      <c r="P1666" s="6">
        <v>0</v>
      </c>
      <c r="Q1666" s="4" t="s">
        <v>26</v>
      </c>
      <c r="R1666" s="4">
        <v>0</v>
      </c>
      <c r="S1666" s="4" t="s">
        <v>418</v>
      </c>
      <c r="T1666" s="4" t="s">
        <v>688</v>
      </c>
      <c r="U1666" s="4">
        <v>0</v>
      </c>
      <c r="V1666" s="4">
        <v>65</v>
      </c>
      <c r="W1666" s="4">
        <v>109</v>
      </c>
    </row>
    <row r="1667" spans="1:23" ht="11.25" customHeight="1" x14ac:dyDescent="0.25">
      <c r="A1667" s="4" t="s">
        <v>30</v>
      </c>
      <c r="B1667" s="4" t="s">
        <v>39</v>
      </c>
      <c r="C1667" s="4" t="s">
        <v>35</v>
      </c>
      <c r="D1667" s="4" t="s">
        <v>45</v>
      </c>
      <c r="E1667" s="4" t="s">
        <v>25</v>
      </c>
      <c r="F1667" s="4" t="s">
        <v>25</v>
      </c>
      <c r="G1667" s="4" t="s">
        <v>25</v>
      </c>
      <c r="H1667" s="4" t="s">
        <v>38</v>
      </c>
      <c r="I1667" s="5">
        <v>44621</v>
      </c>
      <c r="J1667" s="6">
        <v>0</v>
      </c>
      <c r="K1667" s="6">
        <v>0</v>
      </c>
      <c r="L1667" s="6">
        <v>4.4999999999999998E-2</v>
      </c>
      <c r="M1667" s="6">
        <v>4.4999999999999998E-2</v>
      </c>
      <c r="N1667" s="6">
        <v>4.4999999999999998E-2</v>
      </c>
      <c r="O1667" s="6">
        <v>4.4999999999999998E-2</v>
      </c>
      <c r="P1667" s="6">
        <v>0</v>
      </c>
      <c r="Q1667" s="4" t="s">
        <v>26</v>
      </c>
      <c r="R1667" s="4">
        <v>0</v>
      </c>
      <c r="S1667" s="4" t="s">
        <v>418</v>
      </c>
      <c r="T1667" s="4" t="s">
        <v>688</v>
      </c>
      <c r="U1667" s="4">
        <v>0</v>
      </c>
      <c r="V1667" s="4">
        <v>65</v>
      </c>
      <c r="W1667" s="4">
        <v>109</v>
      </c>
    </row>
    <row r="1668" spans="1:23" ht="11.25" customHeight="1" x14ac:dyDescent="0.25">
      <c r="A1668" s="4" t="s">
        <v>21</v>
      </c>
      <c r="B1668" s="4" t="s">
        <v>39</v>
      </c>
      <c r="C1668" s="4" t="s">
        <v>35</v>
      </c>
      <c r="D1668" s="4" t="s">
        <v>45</v>
      </c>
      <c r="E1668" s="4" t="s">
        <v>25</v>
      </c>
      <c r="F1668" s="4" t="s">
        <v>25</v>
      </c>
      <c r="G1668" s="4" t="s">
        <v>25</v>
      </c>
      <c r="H1668" s="4" t="s">
        <v>38</v>
      </c>
      <c r="I1668" s="5">
        <v>44652</v>
      </c>
      <c r="J1668" s="6">
        <v>0</v>
      </c>
      <c r="K1668" s="6">
        <v>0</v>
      </c>
      <c r="L1668" s="6">
        <v>2.8250000000000002</v>
      </c>
      <c r="M1668" s="6">
        <v>2.8250000000000002</v>
      </c>
      <c r="N1668" s="6">
        <v>2.8250000000000002</v>
      </c>
      <c r="O1668" s="6">
        <v>2.8250000000000002</v>
      </c>
      <c r="P1668" s="6">
        <v>0</v>
      </c>
      <c r="Q1668" s="4" t="s">
        <v>26</v>
      </c>
      <c r="R1668" s="4">
        <v>0</v>
      </c>
      <c r="S1668" s="4" t="s">
        <v>419</v>
      </c>
      <c r="T1668" s="4" t="s">
        <v>689</v>
      </c>
      <c r="U1668" s="4">
        <v>0</v>
      </c>
      <c r="V1668" s="4">
        <v>65</v>
      </c>
      <c r="W1668" s="4">
        <v>109</v>
      </c>
    </row>
    <row r="1669" spans="1:23" ht="11.25" customHeight="1" x14ac:dyDescent="0.25">
      <c r="A1669" s="4" t="s">
        <v>28</v>
      </c>
      <c r="B1669" s="4" t="s">
        <v>39</v>
      </c>
      <c r="C1669" s="4" t="s">
        <v>35</v>
      </c>
      <c r="D1669" s="4" t="s">
        <v>45</v>
      </c>
      <c r="E1669" s="4" t="s">
        <v>25</v>
      </c>
      <c r="F1669" s="4" t="s">
        <v>25</v>
      </c>
      <c r="G1669" s="4" t="s">
        <v>25</v>
      </c>
      <c r="H1669" s="4" t="s">
        <v>38</v>
      </c>
      <c r="I1669" s="5">
        <v>44652</v>
      </c>
      <c r="J1669" s="6">
        <v>0</v>
      </c>
      <c r="K1669" s="6">
        <v>0</v>
      </c>
      <c r="L1669" s="6">
        <v>1.3440000000000001</v>
      </c>
      <c r="M1669" s="6">
        <v>1.3440000000000001</v>
      </c>
      <c r="N1669" s="6">
        <v>1.3440000000000001</v>
      </c>
      <c r="O1669" s="6">
        <v>1.3440000000000001</v>
      </c>
      <c r="P1669" s="6">
        <v>0</v>
      </c>
      <c r="Q1669" s="4" t="s">
        <v>26</v>
      </c>
      <c r="R1669" s="4">
        <v>0</v>
      </c>
      <c r="S1669" s="4" t="s">
        <v>419</v>
      </c>
      <c r="T1669" s="4" t="s">
        <v>689</v>
      </c>
      <c r="U1669" s="4">
        <v>0</v>
      </c>
      <c r="V1669" s="4">
        <v>65</v>
      </c>
      <c r="W1669" s="4">
        <v>109</v>
      </c>
    </row>
    <row r="1670" spans="1:23" ht="11.25" customHeight="1" x14ac:dyDescent="0.25">
      <c r="A1670" s="4" t="s">
        <v>30</v>
      </c>
      <c r="B1670" s="4" t="s">
        <v>39</v>
      </c>
      <c r="C1670" s="4" t="s">
        <v>35</v>
      </c>
      <c r="D1670" s="4" t="s">
        <v>45</v>
      </c>
      <c r="E1670" s="4" t="s">
        <v>25</v>
      </c>
      <c r="F1670" s="4" t="s">
        <v>25</v>
      </c>
      <c r="G1670" s="4" t="s">
        <v>25</v>
      </c>
      <c r="H1670" s="4" t="s">
        <v>38</v>
      </c>
      <c r="I1670" s="5">
        <v>44652</v>
      </c>
      <c r="J1670" s="6">
        <v>0</v>
      </c>
      <c r="K1670" s="6">
        <v>0</v>
      </c>
      <c r="L1670" s="6">
        <v>5.0999999999999997E-2</v>
      </c>
      <c r="M1670" s="6">
        <v>5.0999999999999997E-2</v>
      </c>
      <c r="N1670" s="6">
        <v>5.0999999999999997E-2</v>
      </c>
      <c r="O1670" s="6">
        <v>5.0999999999999997E-2</v>
      </c>
      <c r="P1670" s="6">
        <v>0</v>
      </c>
      <c r="Q1670" s="4" t="s">
        <v>26</v>
      </c>
      <c r="R1670" s="4">
        <v>0</v>
      </c>
      <c r="S1670" s="4" t="s">
        <v>419</v>
      </c>
      <c r="T1670" s="4" t="s">
        <v>689</v>
      </c>
      <c r="U1670" s="4">
        <v>0</v>
      </c>
      <c r="V1670" s="4">
        <v>65</v>
      </c>
      <c r="W1670" s="4">
        <v>109</v>
      </c>
    </row>
    <row r="1671" spans="1:23" ht="11.25" customHeight="1" x14ac:dyDescent="0.25">
      <c r="A1671" s="4" t="s">
        <v>21</v>
      </c>
      <c r="B1671" s="4" t="s">
        <v>39</v>
      </c>
      <c r="C1671" s="4" t="s">
        <v>35</v>
      </c>
      <c r="D1671" s="4" t="s">
        <v>45</v>
      </c>
      <c r="E1671" s="4" t="s">
        <v>25</v>
      </c>
      <c r="F1671" s="4" t="s">
        <v>25</v>
      </c>
      <c r="G1671" s="4" t="s">
        <v>25</v>
      </c>
      <c r="H1671" s="4" t="s">
        <v>38</v>
      </c>
      <c r="I1671" s="5">
        <v>44682</v>
      </c>
      <c r="J1671" s="6">
        <v>0</v>
      </c>
      <c r="K1671" s="6">
        <v>0</v>
      </c>
      <c r="L1671" s="6">
        <v>2.157</v>
      </c>
      <c r="M1671" s="6">
        <v>2.157</v>
      </c>
      <c r="N1671" s="6">
        <v>2.157</v>
      </c>
      <c r="O1671" s="6">
        <v>2.157</v>
      </c>
      <c r="P1671" s="6">
        <v>0</v>
      </c>
      <c r="Q1671" s="4" t="s">
        <v>26</v>
      </c>
      <c r="R1671" s="4">
        <v>0</v>
      </c>
      <c r="S1671" s="4" t="s">
        <v>420</v>
      </c>
      <c r="T1671" s="4" t="s">
        <v>690</v>
      </c>
      <c r="U1671" s="4">
        <v>0</v>
      </c>
      <c r="V1671" s="4">
        <v>65</v>
      </c>
      <c r="W1671" s="4">
        <v>109</v>
      </c>
    </row>
    <row r="1672" spans="1:23" ht="11.25" customHeight="1" x14ac:dyDescent="0.25">
      <c r="A1672" s="4" t="s">
        <v>28</v>
      </c>
      <c r="B1672" s="4" t="s">
        <v>39</v>
      </c>
      <c r="C1672" s="4" t="s">
        <v>35</v>
      </c>
      <c r="D1672" s="4" t="s">
        <v>45</v>
      </c>
      <c r="E1672" s="4" t="s">
        <v>25</v>
      </c>
      <c r="F1672" s="4" t="s">
        <v>25</v>
      </c>
      <c r="G1672" s="4" t="s">
        <v>25</v>
      </c>
      <c r="H1672" s="4" t="s">
        <v>38</v>
      </c>
      <c r="I1672" s="5">
        <v>44682</v>
      </c>
      <c r="J1672" s="6">
        <v>0</v>
      </c>
      <c r="K1672" s="6">
        <v>0</v>
      </c>
      <c r="L1672" s="6">
        <v>0.85899999999999999</v>
      </c>
      <c r="M1672" s="6">
        <v>0.85899999999999999</v>
      </c>
      <c r="N1672" s="6">
        <v>0.85899999999999999</v>
      </c>
      <c r="O1672" s="6">
        <v>0.85899999999999999</v>
      </c>
      <c r="P1672" s="6">
        <v>0</v>
      </c>
      <c r="Q1672" s="4" t="s">
        <v>26</v>
      </c>
      <c r="R1672" s="4">
        <v>0</v>
      </c>
      <c r="S1672" s="4" t="s">
        <v>420</v>
      </c>
      <c r="T1672" s="4" t="s">
        <v>690</v>
      </c>
      <c r="U1672" s="4">
        <v>0</v>
      </c>
      <c r="V1672" s="4">
        <v>65</v>
      </c>
      <c r="W1672" s="4">
        <v>109</v>
      </c>
    </row>
    <row r="1673" spans="1:23" ht="11.25" customHeight="1" x14ac:dyDescent="0.25">
      <c r="A1673" s="4" t="s">
        <v>29</v>
      </c>
      <c r="B1673" s="4" t="s">
        <v>39</v>
      </c>
      <c r="C1673" s="4" t="s">
        <v>35</v>
      </c>
      <c r="D1673" s="4" t="s">
        <v>45</v>
      </c>
      <c r="E1673" s="4" t="s">
        <v>25</v>
      </c>
      <c r="F1673" s="4" t="s">
        <v>25</v>
      </c>
      <c r="G1673" s="4" t="s">
        <v>25</v>
      </c>
      <c r="H1673" s="4" t="s">
        <v>38</v>
      </c>
      <c r="I1673" s="5">
        <v>44682</v>
      </c>
      <c r="J1673" s="6">
        <v>0</v>
      </c>
      <c r="K1673" s="6">
        <v>0</v>
      </c>
      <c r="L1673" s="6">
        <v>-0.746</v>
      </c>
      <c r="M1673" s="6">
        <v>-0.746</v>
      </c>
      <c r="N1673" s="6">
        <v>-0.746</v>
      </c>
      <c r="O1673" s="6">
        <v>-0.746</v>
      </c>
      <c r="P1673" s="6">
        <v>0</v>
      </c>
      <c r="Q1673" s="4" t="s">
        <v>26</v>
      </c>
      <c r="R1673" s="4">
        <v>0</v>
      </c>
      <c r="S1673" s="4" t="s">
        <v>420</v>
      </c>
      <c r="T1673" s="4" t="s">
        <v>690</v>
      </c>
      <c r="U1673" s="4">
        <v>0</v>
      </c>
      <c r="V1673" s="4">
        <v>65</v>
      </c>
      <c r="W1673" s="4">
        <v>109</v>
      </c>
    </row>
    <row r="1674" spans="1:23" ht="11.25" customHeight="1" x14ac:dyDescent="0.25">
      <c r="A1674" s="4" t="s">
        <v>30</v>
      </c>
      <c r="B1674" s="4" t="s">
        <v>39</v>
      </c>
      <c r="C1674" s="4" t="s">
        <v>35</v>
      </c>
      <c r="D1674" s="4" t="s">
        <v>45</v>
      </c>
      <c r="E1674" s="4" t="s">
        <v>25</v>
      </c>
      <c r="F1674" s="4" t="s">
        <v>25</v>
      </c>
      <c r="G1674" s="4" t="s">
        <v>25</v>
      </c>
      <c r="H1674" s="4" t="s">
        <v>38</v>
      </c>
      <c r="I1674" s="5">
        <v>44682</v>
      </c>
      <c r="J1674" s="6">
        <v>0</v>
      </c>
      <c r="K1674" s="6">
        <v>0</v>
      </c>
      <c r="L1674" s="6">
        <v>5.1999999999999998E-2</v>
      </c>
      <c r="M1674" s="6">
        <v>5.1999999999999998E-2</v>
      </c>
      <c r="N1674" s="6">
        <v>5.1999999999999998E-2</v>
      </c>
      <c r="O1674" s="6">
        <v>5.1999999999999998E-2</v>
      </c>
      <c r="P1674" s="6">
        <v>0</v>
      </c>
      <c r="Q1674" s="4" t="s">
        <v>26</v>
      </c>
      <c r="R1674" s="4">
        <v>0</v>
      </c>
      <c r="S1674" s="4" t="s">
        <v>420</v>
      </c>
      <c r="T1674" s="4" t="s">
        <v>690</v>
      </c>
      <c r="U1674" s="4">
        <v>0</v>
      </c>
      <c r="V1674" s="4">
        <v>65</v>
      </c>
      <c r="W1674" s="4">
        <v>109</v>
      </c>
    </row>
    <row r="1675" spans="1:23" ht="11.25" customHeight="1" x14ac:dyDescent="0.25">
      <c r="A1675" s="4" t="s">
        <v>21</v>
      </c>
      <c r="B1675" s="4" t="s">
        <v>39</v>
      </c>
      <c r="C1675" s="4" t="s">
        <v>35</v>
      </c>
      <c r="D1675" s="4" t="s">
        <v>45</v>
      </c>
      <c r="E1675" s="4" t="s">
        <v>25</v>
      </c>
      <c r="F1675" s="4" t="s">
        <v>25</v>
      </c>
      <c r="G1675" s="4" t="s">
        <v>25</v>
      </c>
      <c r="H1675" s="4" t="s">
        <v>38</v>
      </c>
      <c r="I1675" s="5">
        <v>44713</v>
      </c>
      <c r="J1675" s="6">
        <v>0</v>
      </c>
      <c r="K1675" s="6">
        <v>0</v>
      </c>
      <c r="L1675" s="6">
        <v>1.823</v>
      </c>
      <c r="M1675" s="6">
        <v>1.823</v>
      </c>
      <c r="N1675" s="6">
        <v>1.823</v>
      </c>
      <c r="O1675" s="6">
        <v>1.823</v>
      </c>
      <c r="P1675" s="6">
        <v>0</v>
      </c>
      <c r="Q1675" s="4" t="s">
        <v>26</v>
      </c>
      <c r="R1675" s="4">
        <v>0</v>
      </c>
      <c r="S1675" s="4" t="s">
        <v>421</v>
      </c>
      <c r="T1675" s="4" t="s">
        <v>691</v>
      </c>
      <c r="U1675" s="4">
        <v>0</v>
      </c>
      <c r="V1675" s="4">
        <v>65</v>
      </c>
      <c r="W1675" s="4">
        <v>109</v>
      </c>
    </row>
    <row r="1676" spans="1:23" ht="11.25" customHeight="1" x14ac:dyDescent="0.25">
      <c r="A1676" s="4" t="s">
        <v>28</v>
      </c>
      <c r="B1676" s="4" t="s">
        <v>39</v>
      </c>
      <c r="C1676" s="4" t="s">
        <v>35</v>
      </c>
      <c r="D1676" s="4" t="s">
        <v>45</v>
      </c>
      <c r="E1676" s="4" t="s">
        <v>25</v>
      </c>
      <c r="F1676" s="4" t="s">
        <v>25</v>
      </c>
      <c r="G1676" s="4" t="s">
        <v>25</v>
      </c>
      <c r="H1676" s="4" t="s">
        <v>38</v>
      </c>
      <c r="I1676" s="5">
        <v>44713</v>
      </c>
      <c r="J1676" s="6">
        <v>0</v>
      </c>
      <c r="K1676" s="6">
        <v>0</v>
      </c>
      <c r="L1676" s="6">
        <v>0.58399999999999996</v>
      </c>
      <c r="M1676" s="6">
        <v>0.58399999999999996</v>
      </c>
      <c r="N1676" s="6">
        <v>0.58399999999999996</v>
      </c>
      <c r="O1676" s="6">
        <v>0.58399999999999996</v>
      </c>
      <c r="P1676" s="6">
        <v>0</v>
      </c>
      <c r="Q1676" s="4" t="s">
        <v>26</v>
      </c>
      <c r="R1676" s="4">
        <v>0</v>
      </c>
      <c r="S1676" s="4" t="s">
        <v>421</v>
      </c>
      <c r="T1676" s="4" t="s">
        <v>691</v>
      </c>
      <c r="U1676" s="4">
        <v>0</v>
      </c>
      <c r="V1676" s="4">
        <v>65</v>
      </c>
      <c r="W1676" s="4">
        <v>109</v>
      </c>
    </row>
    <row r="1677" spans="1:23" ht="11.25" customHeight="1" x14ac:dyDescent="0.25">
      <c r="A1677" s="4" t="s">
        <v>21</v>
      </c>
      <c r="B1677" s="4" t="s">
        <v>39</v>
      </c>
      <c r="C1677" s="4" t="s">
        <v>35</v>
      </c>
      <c r="D1677" s="4" t="s">
        <v>45</v>
      </c>
      <c r="E1677" s="4" t="s">
        <v>25</v>
      </c>
      <c r="F1677" s="4" t="s">
        <v>25</v>
      </c>
      <c r="G1677" s="4" t="s">
        <v>25</v>
      </c>
      <c r="H1677" s="4" t="s">
        <v>38</v>
      </c>
      <c r="I1677" s="5">
        <v>44743</v>
      </c>
      <c r="J1677" s="6">
        <v>0</v>
      </c>
      <c r="K1677" s="6">
        <v>0</v>
      </c>
      <c r="L1677" s="6">
        <v>3.214</v>
      </c>
      <c r="M1677" s="6">
        <v>3.214</v>
      </c>
      <c r="N1677" s="6">
        <v>3.214</v>
      </c>
      <c r="O1677" s="6">
        <v>3.214</v>
      </c>
      <c r="P1677" s="6">
        <v>0</v>
      </c>
      <c r="Q1677" s="4" t="s">
        <v>26</v>
      </c>
      <c r="R1677" s="4">
        <v>0</v>
      </c>
      <c r="S1677" s="4" t="s">
        <v>422</v>
      </c>
      <c r="T1677" s="4" t="s">
        <v>692</v>
      </c>
      <c r="U1677" s="4">
        <v>0</v>
      </c>
      <c r="V1677" s="4">
        <v>65</v>
      </c>
      <c r="W1677" s="4">
        <v>109</v>
      </c>
    </row>
    <row r="1678" spans="1:23" ht="11.25" customHeight="1" x14ac:dyDescent="0.25">
      <c r="A1678" s="4" t="s">
        <v>27</v>
      </c>
      <c r="B1678" s="4" t="s">
        <v>39</v>
      </c>
      <c r="C1678" s="4" t="s">
        <v>35</v>
      </c>
      <c r="D1678" s="4" t="s">
        <v>45</v>
      </c>
      <c r="E1678" s="4" t="s">
        <v>25</v>
      </c>
      <c r="F1678" s="4" t="s">
        <v>25</v>
      </c>
      <c r="G1678" s="4" t="s">
        <v>25</v>
      </c>
      <c r="H1678" s="4" t="s">
        <v>38</v>
      </c>
      <c r="I1678" s="5">
        <v>44743</v>
      </c>
      <c r="J1678" s="6">
        <v>0</v>
      </c>
      <c r="K1678" s="6">
        <v>0</v>
      </c>
      <c r="L1678" s="6">
        <v>0.21299999999999999</v>
      </c>
      <c r="M1678" s="6">
        <v>0.21299999999999999</v>
      </c>
      <c r="N1678" s="6">
        <v>0.21299999999999999</v>
      </c>
      <c r="O1678" s="6">
        <v>0.21299999999999999</v>
      </c>
      <c r="P1678" s="6">
        <v>0</v>
      </c>
      <c r="Q1678" s="4" t="s">
        <v>26</v>
      </c>
      <c r="R1678" s="4">
        <v>0</v>
      </c>
      <c r="S1678" s="4" t="s">
        <v>422</v>
      </c>
      <c r="T1678" s="4" t="s">
        <v>692</v>
      </c>
      <c r="U1678" s="4">
        <v>0</v>
      </c>
      <c r="V1678" s="4">
        <v>65</v>
      </c>
      <c r="W1678" s="4">
        <v>109</v>
      </c>
    </row>
    <row r="1679" spans="1:23" ht="11.25" customHeight="1" x14ac:dyDescent="0.25">
      <c r="A1679" s="4" t="s">
        <v>28</v>
      </c>
      <c r="B1679" s="4" t="s">
        <v>39</v>
      </c>
      <c r="C1679" s="4" t="s">
        <v>35</v>
      </c>
      <c r="D1679" s="4" t="s">
        <v>45</v>
      </c>
      <c r="E1679" s="4" t="s">
        <v>25</v>
      </c>
      <c r="F1679" s="4" t="s">
        <v>25</v>
      </c>
      <c r="G1679" s="4" t="s">
        <v>25</v>
      </c>
      <c r="H1679" s="4" t="s">
        <v>38</v>
      </c>
      <c r="I1679" s="5">
        <v>44743</v>
      </c>
      <c r="J1679" s="6">
        <v>0</v>
      </c>
      <c r="K1679" s="6">
        <v>0</v>
      </c>
      <c r="L1679" s="6">
        <v>0.67800000000000005</v>
      </c>
      <c r="M1679" s="6">
        <v>0.67800000000000005</v>
      </c>
      <c r="N1679" s="6">
        <v>0.67800000000000005</v>
      </c>
      <c r="O1679" s="6">
        <v>0.67800000000000005</v>
      </c>
      <c r="P1679" s="6">
        <v>0</v>
      </c>
      <c r="Q1679" s="4" t="s">
        <v>26</v>
      </c>
      <c r="R1679" s="4">
        <v>0</v>
      </c>
      <c r="S1679" s="4" t="s">
        <v>422</v>
      </c>
      <c r="T1679" s="4" t="s">
        <v>692</v>
      </c>
      <c r="U1679" s="4">
        <v>0</v>
      </c>
      <c r="V1679" s="4">
        <v>65</v>
      </c>
      <c r="W1679" s="4">
        <v>109</v>
      </c>
    </row>
    <row r="1680" spans="1:23" ht="11.25" customHeight="1" x14ac:dyDescent="0.25">
      <c r="A1680" s="4" t="s">
        <v>30</v>
      </c>
      <c r="B1680" s="4" t="s">
        <v>39</v>
      </c>
      <c r="C1680" s="4" t="s">
        <v>35</v>
      </c>
      <c r="D1680" s="4" t="s">
        <v>45</v>
      </c>
      <c r="E1680" s="4" t="s">
        <v>25</v>
      </c>
      <c r="F1680" s="4" t="s">
        <v>25</v>
      </c>
      <c r="G1680" s="4" t="s">
        <v>25</v>
      </c>
      <c r="H1680" s="4" t="s">
        <v>38</v>
      </c>
      <c r="I1680" s="5">
        <v>44743</v>
      </c>
      <c r="J1680" s="6">
        <v>0</v>
      </c>
      <c r="K1680" s="6">
        <v>0</v>
      </c>
      <c r="L1680" s="6">
        <v>4.2999999999999997E-2</v>
      </c>
      <c r="M1680" s="6">
        <v>4.2999999999999997E-2</v>
      </c>
      <c r="N1680" s="6">
        <v>4.2999999999999997E-2</v>
      </c>
      <c r="O1680" s="6">
        <v>4.2999999999999997E-2</v>
      </c>
      <c r="P1680" s="6">
        <v>0</v>
      </c>
      <c r="Q1680" s="4" t="s">
        <v>26</v>
      </c>
      <c r="R1680" s="4">
        <v>0</v>
      </c>
      <c r="S1680" s="4" t="s">
        <v>422</v>
      </c>
      <c r="T1680" s="4" t="s">
        <v>692</v>
      </c>
      <c r="U1680" s="4">
        <v>0</v>
      </c>
      <c r="V1680" s="4">
        <v>65</v>
      </c>
      <c r="W1680" s="4">
        <v>109</v>
      </c>
    </row>
    <row r="1681" spans="1:23" ht="11.25" customHeight="1" x14ac:dyDescent="0.25">
      <c r="A1681" s="4" t="s">
        <v>21</v>
      </c>
      <c r="B1681" s="4" t="s">
        <v>39</v>
      </c>
      <c r="C1681" s="4" t="s">
        <v>35</v>
      </c>
      <c r="D1681" s="4" t="s">
        <v>45</v>
      </c>
      <c r="E1681" s="4" t="s">
        <v>25</v>
      </c>
      <c r="F1681" s="4" t="s">
        <v>25</v>
      </c>
      <c r="G1681" s="4" t="s">
        <v>25</v>
      </c>
      <c r="H1681" s="4" t="s">
        <v>38</v>
      </c>
      <c r="I1681" s="5">
        <v>44774</v>
      </c>
      <c r="J1681" s="6">
        <v>0</v>
      </c>
      <c r="K1681" s="6">
        <v>0</v>
      </c>
      <c r="L1681" s="6">
        <v>2.2719999999999998</v>
      </c>
      <c r="M1681" s="6">
        <v>2.2719999999999998</v>
      </c>
      <c r="N1681" s="6">
        <v>2.2719999999999998</v>
      </c>
      <c r="O1681" s="6">
        <v>2.2719999999999998</v>
      </c>
      <c r="P1681" s="6">
        <v>0</v>
      </c>
      <c r="Q1681" s="4" t="s">
        <v>26</v>
      </c>
      <c r="R1681" s="4">
        <v>0</v>
      </c>
      <c r="S1681" s="4" t="s">
        <v>423</v>
      </c>
      <c r="T1681" s="4" t="s">
        <v>693</v>
      </c>
      <c r="U1681" s="4">
        <v>0</v>
      </c>
      <c r="V1681" s="4">
        <v>65</v>
      </c>
      <c r="W1681" s="4">
        <v>109</v>
      </c>
    </row>
    <row r="1682" spans="1:23" ht="11.25" customHeight="1" x14ac:dyDescent="0.25">
      <c r="A1682" s="4" t="s">
        <v>27</v>
      </c>
      <c r="B1682" s="4" t="s">
        <v>39</v>
      </c>
      <c r="C1682" s="4" t="s">
        <v>35</v>
      </c>
      <c r="D1682" s="4" t="s">
        <v>45</v>
      </c>
      <c r="E1682" s="4" t="s">
        <v>25</v>
      </c>
      <c r="F1682" s="4" t="s">
        <v>25</v>
      </c>
      <c r="G1682" s="4" t="s">
        <v>25</v>
      </c>
      <c r="H1682" s="4" t="s">
        <v>38</v>
      </c>
      <c r="I1682" s="5">
        <v>44774</v>
      </c>
      <c r="J1682" s="6">
        <v>0</v>
      </c>
      <c r="K1682" s="6">
        <v>0</v>
      </c>
      <c r="L1682" s="6">
        <v>-0.82</v>
      </c>
      <c r="M1682" s="6">
        <v>-0.82</v>
      </c>
      <c r="N1682" s="6">
        <v>-0.82</v>
      </c>
      <c r="O1682" s="6">
        <v>-0.82</v>
      </c>
      <c r="P1682" s="6">
        <v>0</v>
      </c>
      <c r="Q1682" s="4" t="s">
        <v>26</v>
      </c>
      <c r="R1682" s="4">
        <v>0</v>
      </c>
      <c r="S1682" s="4" t="s">
        <v>423</v>
      </c>
      <c r="T1682" s="4" t="s">
        <v>693</v>
      </c>
      <c r="U1682" s="4">
        <v>0</v>
      </c>
      <c r="V1682" s="4">
        <v>65</v>
      </c>
      <c r="W1682" s="4">
        <v>109</v>
      </c>
    </row>
    <row r="1683" spans="1:23" ht="11.25" customHeight="1" x14ac:dyDescent="0.25">
      <c r="A1683" s="4" t="s">
        <v>28</v>
      </c>
      <c r="B1683" s="4" t="s">
        <v>39</v>
      </c>
      <c r="C1683" s="4" t="s">
        <v>35</v>
      </c>
      <c r="D1683" s="4" t="s">
        <v>45</v>
      </c>
      <c r="E1683" s="4" t="s">
        <v>25</v>
      </c>
      <c r="F1683" s="4" t="s">
        <v>25</v>
      </c>
      <c r="G1683" s="4" t="s">
        <v>25</v>
      </c>
      <c r="H1683" s="4" t="s">
        <v>38</v>
      </c>
      <c r="I1683" s="5">
        <v>44774</v>
      </c>
      <c r="J1683" s="6">
        <v>0</v>
      </c>
      <c r="K1683" s="6">
        <v>0</v>
      </c>
      <c r="L1683" s="6">
        <v>0.56599999999999995</v>
      </c>
      <c r="M1683" s="6">
        <v>0.56599999999999995</v>
      </c>
      <c r="N1683" s="6">
        <v>0.56599999999999995</v>
      </c>
      <c r="O1683" s="6">
        <v>0.56599999999999995</v>
      </c>
      <c r="P1683" s="6">
        <v>0</v>
      </c>
      <c r="Q1683" s="4" t="s">
        <v>26</v>
      </c>
      <c r="R1683" s="4">
        <v>0</v>
      </c>
      <c r="S1683" s="4" t="s">
        <v>423</v>
      </c>
      <c r="T1683" s="4" t="s">
        <v>693</v>
      </c>
      <c r="U1683" s="4">
        <v>0</v>
      </c>
      <c r="V1683" s="4">
        <v>65</v>
      </c>
      <c r="W1683" s="4">
        <v>109</v>
      </c>
    </row>
    <row r="1684" spans="1:23" ht="11.25" customHeight="1" x14ac:dyDescent="0.25">
      <c r="A1684" s="4" t="s">
        <v>30</v>
      </c>
      <c r="B1684" s="4" t="s">
        <v>39</v>
      </c>
      <c r="C1684" s="4" t="s">
        <v>35</v>
      </c>
      <c r="D1684" s="4" t="s">
        <v>45</v>
      </c>
      <c r="E1684" s="4" t="s">
        <v>25</v>
      </c>
      <c r="F1684" s="4" t="s">
        <v>25</v>
      </c>
      <c r="G1684" s="4" t="s">
        <v>25</v>
      </c>
      <c r="H1684" s="4" t="s">
        <v>38</v>
      </c>
      <c r="I1684" s="5">
        <v>44774</v>
      </c>
      <c r="J1684" s="6">
        <v>0</v>
      </c>
      <c r="K1684" s="6">
        <v>0</v>
      </c>
      <c r="L1684" s="6">
        <v>1.7999999999999999E-2</v>
      </c>
      <c r="M1684" s="6">
        <v>1.7999999999999999E-2</v>
      </c>
      <c r="N1684" s="6">
        <v>1.7999999999999999E-2</v>
      </c>
      <c r="O1684" s="6">
        <v>1.7999999999999999E-2</v>
      </c>
      <c r="P1684" s="6">
        <v>0</v>
      </c>
      <c r="Q1684" s="4" t="s">
        <v>26</v>
      </c>
      <c r="R1684" s="4">
        <v>0</v>
      </c>
      <c r="S1684" s="4" t="s">
        <v>423</v>
      </c>
      <c r="T1684" s="4" t="s">
        <v>693</v>
      </c>
      <c r="U1684" s="4">
        <v>0</v>
      </c>
      <c r="V1684" s="4">
        <v>65</v>
      </c>
      <c r="W1684" s="4">
        <v>109</v>
      </c>
    </row>
    <row r="1685" spans="1:23" ht="11.25" customHeight="1" x14ac:dyDescent="0.25">
      <c r="A1685" s="4" t="s">
        <v>21</v>
      </c>
      <c r="B1685" s="4" t="s">
        <v>39</v>
      </c>
      <c r="C1685" s="4" t="s">
        <v>35</v>
      </c>
      <c r="D1685" s="4" t="s">
        <v>45</v>
      </c>
      <c r="E1685" s="4" t="s">
        <v>25</v>
      </c>
      <c r="F1685" s="4" t="s">
        <v>25</v>
      </c>
      <c r="G1685" s="4" t="s">
        <v>25</v>
      </c>
      <c r="H1685" s="4" t="s">
        <v>38</v>
      </c>
      <c r="I1685" s="5">
        <v>44805</v>
      </c>
      <c r="J1685" s="6">
        <v>0</v>
      </c>
      <c r="K1685" s="6">
        <v>0</v>
      </c>
      <c r="L1685" s="6">
        <v>2.4159999999999999</v>
      </c>
      <c r="M1685" s="6">
        <v>2.4159999999999999</v>
      </c>
      <c r="N1685" s="6">
        <v>2.4159999999999999</v>
      </c>
      <c r="O1685" s="6">
        <v>2.4159999999999999</v>
      </c>
      <c r="P1685" s="6">
        <v>0</v>
      </c>
      <c r="Q1685" s="4" t="s">
        <v>26</v>
      </c>
      <c r="R1685" s="4">
        <v>0</v>
      </c>
      <c r="S1685" s="4" t="s">
        <v>424</v>
      </c>
      <c r="T1685" s="4" t="s">
        <v>694</v>
      </c>
      <c r="U1685" s="4">
        <v>0</v>
      </c>
      <c r="V1685" s="4">
        <v>65</v>
      </c>
      <c r="W1685" s="4">
        <v>109</v>
      </c>
    </row>
    <row r="1686" spans="1:23" ht="11.25" customHeight="1" x14ac:dyDescent="0.25">
      <c r="A1686" s="4" t="s">
        <v>27</v>
      </c>
      <c r="B1686" s="4" t="s">
        <v>39</v>
      </c>
      <c r="C1686" s="4" t="s">
        <v>35</v>
      </c>
      <c r="D1686" s="4" t="s">
        <v>45</v>
      </c>
      <c r="E1686" s="4" t="s">
        <v>25</v>
      </c>
      <c r="F1686" s="4" t="s">
        <v>25</v>
      </c>
      <c r="G1686" s="4" t="s">
        <v>25</v>
      </c>
      <c r="H1686" s="4" t="s">
        <v>38</v>
      </c>
      <c r="I1686" s="5">
        <v>44805</v>
      </c>
      <c r="J1686" s="6">
        <v>0</v>
      </c>
      <c r="K1686" s="6">
        <v>0</v>
      </c>
      <c r="L1686" s="6">
        <v>8.9999999999999993E-3</v>
      </c>
      <c r="M1686" s="6">
        <v>8.9999999999999993E-3</v>
      </c>
      <c r="N1686" s="6">
        <v>8.9999999999999993E-3</v>
      </c>
      <c r="O1686" s="6">
        <v>8.9999999999999993E-3</v>
      </c>
      <c r="P1686" s="6">
        <v>0</v>
      </c>
      <c r="Q1686" s="4" t="s">
        <v>26</v>
      </c>
      <c r="R1686" s="4">
        <v>0</v>
      </c>
      <c r="S1686" s="4" t="s">
        <v>424</v>
      </c>
      <c r="T1686" s="4" t="s">
        <v>694</v>
      </c>
      <c r="U1686" s="4">
        <v>0</v>
      </c>
      <c r="V1686" s="4">
        <v>65</v>
      </c>
      <c r="W1686" s="4">
        <v>109</v>
      </c>
    </row>
    <row r="1687" spans="1:23" ht="11.25" customHeight="1" x14ac:dyDescent="0.25">
      <c r="A1687" s="4" t="s">
        <v>28</v>
      </c>
      <c r="B1687" s="4" t="s">
        <v>39</v>
      </c>
      <c r="C1687" s="4" t="s">
        <v>35</v>
      </c>
      <c r="D1687" s="4" t="s">
        <v>45</v>
      </c>
      <c r="E1687" s="4" t="s">
        <v>25</v>
      </c>
      <c r="F1687" s="4" t="s">
        <v>25</v>
      </c>
      <c r="G1687" s="4" t="s">
        <v>25</v>
      </c>
      <c r="H1687" s="4" t="s">
        <v>38</v>
      </c>
      <c r="I1687" s="5">
        <v>44805</v>
      </c>
      <c r="J1687" s="6">
        <v>0</v>
      </c>
      <c r="K1687" s="6">
        <v>0</v>
      </c>
      <c r="L1687" s="6">
        <v>0.46400000000000002</v>
      </c>
      <c r="M1687" s="6">
        <v>0.46400000000000002</v>
      </c>
      <c r="N1687" s="6">
        <v>0.46400000000000002</v>
      </c>
      <c r="O1687" s="6">
        <v>0.46400000000000002</v>
      </c>
      <c r="P1687" s="6">
        <v>0</v>
      </c>
      <c r="Q1687" s="4" t="s">
        <v>26</v>
      </c>
      <c r="R1687" s="4">
        <v>0</v>
      </c>
      <c r="S1687" s="4" t="s">
        <v>424</v>
      </c>
      <c r="T1687" s="4" t="s">
        <v>694</v>
      </c>
      <c r="U1687" s="4">
        <v>0</v>
      </c>
      <c r="V1687" s="4">
        <v>65</v>
      </c>
      <c r="W1687" s="4">
        <v>109</v>
      </c>
    </row>
    <row r="1688" spans="1:23" ht="11.25" customHeight="1" x14ac:dyDescent="0.25">
      <c r="A1688" s="4" t="s">
        <v>30</v>
      </c>
      <c r="B1688" s="4" t="s">
        <v>39</v>
      </c>
      <c r="C1688" s="4" t="s">
        <v>35</v>
      </c>
      <c r="D1688" s="4" t="s">
        <v>45</v>
      </c>
      <c r="E1688" s="4" t="s">
        <v>25</v>
      </c>
      <c r="F1688" s="4" t="s">
        <v>25</v>
      </c>
      <c r="G1688" s="4" t="s">
        <v>25</v>
      </c>
      <c r="H1688" s="4" t="s">
        <v>38</v>
      </c>
      <c r="I1688" s="5">
        <v>44805</v>
      </c>
      <c r="J1688" s="6">
        <v>0</v>
      </c>
      <c r="K1688" s="6">
        <v>0</v>
      </c>
      <c r="L1688" s="6">
        <v>3.1E-2</v>
      </c>
      <c r="M1688" s="6">
        <v>3.1E-2</v>
      </c>
      <c r="N1688" s="6">
        <v>3.1E-2</v>
      </c>
      <c r="O1688" s="6">
        <v>3.1E-2</v>
      </c>
      <c r="P1688" s="6">
        <v>0</v>
      </c>
      <c r="Q1688" s="4" t="s">
        <v>26</v>
      </c>
      <c r="R1688" s="4">
        <v>0</v>
      </c>
      <c r="S1688" s="4" t="s">
        <v>424</v>
      </c>
      <c r="T1688" s="4" t="s">
        <v>694</v>
      </c>
      <c r="U1688" s="4">
        <v>0</v>
      </c>
      <c r="V1688" s="4">
        <v>65</v>
      </c>
      <c r="W1688" s="4">
        <v>109</v>
      </c>
    </row>
    <row r="1689" spans="1:23" ht="11.25" customHeight="1" x14ac:dyDescent="0.25">
      <c r="A1689" s="4" t="s">
        <v>21</v>
      </c>
      <c r="B1689" s="4" t="s">
        <v>39</v>
      </c>
      <c r="C1689" s="4" t="s">
        <v>35</v>
      </c>
      <c r="D1689" s="4" t="s">
        <v>45</v>
      </c>
      <c r="E1689" s="4" t="s">
        <v>25</v>
      </c>
      <c r="F1689" s="4" t="s">
        <v>25</v>
      </c>
      <c r="G1689" s="4" t="s">
        <v>25</v>
      </c>
      <c r="H1689" s="4" t="s">
        <v>38</v>
      </c>
      <c r="I1689" s="5">
        <v>44835</v>
      </c>
      <c r="J1689" s="6">
        <v>0</v>
      </c>
      <c r="K1689" s="6">
        <v>0</v>
      </c>
      <c r="L1689" s="6">
        <v>2.7989999999999999</v>
      </c>
      <c r="M1689" s="6">
        <v>2.7989999999999999</v>
      </c>
      <c r="N1689" s="6">
        <v>2.7989999999999999</v>
      </c>
      <c r="O1689" s="6">
        <v>2.7989999999999999</v>
      </c>
      <c r="P1689" s="6">
        <v>0</v>
      </c>
      <c r="Q1689" s="4" t="s">
        <v>26</v>
      </c>
      <c r="R1689" s="4">
        <v>0</v>
      </c>
      <c r="S1689" s="4" t="s">
        <v>425</v>
      </c>
      <c r="T1689" s="4" t="s">
        <v>695</v>
      </c>
      <c r="U1689" s="4">
        <v>0</v>
      </c>
      <c r="V1689" s="4">
        <v>65</v>
      </c>
      <c r="W1689" s="4">
        <v>109</v>
      </c>
    </row>
    <row r="1690" spans="1:23" ht="11.25" customHeight="1" x14ac:dyDescent="0.25">
      <c r="A1690" s="4" t="s">
        <v>28</v>
      </c>
      <c r="B1690" s="4" t="s">
        <v>39</v>
      </c>
      <c r="C1690" s="4" t="s">
        <v>35</v>
      </c>
      <c r="D1690" s="4" t="s">
        <v>45</v>
      </c>
      <c r="E1690" s="4" t="s">
        <v>25</v>
      </c>
      <c r="F1690" s="4" t="s">
        <v>25</v>
      </c>
      <c r="G1690" s="4" t="s">
        <v>25</v>
      </c>
      <c r="H1690" s="4" t="s">
        <v>38</v>
      </c>
      <c r="I1690" s="5">
        <v>44835</v>
      </c>
      <c r="J1690" s="6">
        <v>0</v>
      </c>
      <c r="K1690" s="6">
        <v>0</v>
      </c>
      <c r="L1690" s="6">
        <v>0.57499999999999996</v>
      </c>
      <c r="M1690" s="6">
        <v>0.57499999999999996</v>
      </c>
      <c r="N1690" s="6">
        <v>0.57499999999999996</v>
      </c>
      <c r="O1690" s="6">
        <v>0.57499999999999996</v>
      </c>
      <c r="P1690" s="6">
        <v>0</v>
      </c>
      <c r="Q1690" s="4" t="s">
        <v>26</v>
      </c>
      <c r="R1690" s="4">
        <v>0</v>
      </c>
      <c r="S1690" s="4" t="s">
        <v>425</v>
      </c>
      <c r="T1690" s="4" t="s">
        <v>695</v>
      </c>
      <c r="U1690" s="4">
        <v>0</v>
      </c>
      <c r="V1690" s="4">
        <v>65</v>
      </c>
      <c r="W1690" s="4">
        <v>109</v>
      </c>
    </row>
    <row r="1691" spans="1:23" ht="11.25" customHeight="1" x14ac:dyDescent="0.25">
      <c r="A1691" s="4" t="s">
        <v>30</v>
      </c>
      <c r="B1691" s="4" t="s">
        <v>39</v>
      </c>
      <c r="C1691" s="4" t="s">
        <v>35</v>
      </c>
      <c r="D1691" s="4" t="s">
        <v>45</v>
      </c>
      <c r="E1691" s="4" t="s">
        <v>25</v>
      </c>
      <c r="F1691" s="4" t="s">
        <v>25</v>
      </c>
      <c r="G1691" s="4" t="s">
        <v>25</v>
      </c>
      <c r="H1691" s="4" t="s">
        <v>38</v>
      </c>
      <c r="I1691" s="5">
        <v>44835</v>
      </c>
      <c r="J1691" s="6">
        <v>0</v>
      </c>
      <c r="K1691" s="6">
        <v>0</v>
      </c>
      <c r="L1691" s="6">
        <v>1.0999999999999999E-2</v>
      </c>
      <c r="M1691" s="6">
        <v>1.0999999999999999E-2</v>
      </c>
      <c r="N1691" s="6">
        <v>1.0999999999999999E-2</v>
      </c>
      <c r="O1691" s="6">
        <v>1.0999999999999999E-2</v>
      </c>
      <c r="P1691" s="6">
        <v>0</v>
      </c>
      <c r="Q1691" s="4" t="s">
        <v>26</v>
      </c>
      <c r="R1691" s="4">
        <v>0</v>
      </c>
      <c r="S1691" s="4" t="s">
        <v>425</v>
      </c>
      <c r="T1691" s="4" t="s">
        <v>695</v>
      </c>
      <c r="U1691" s="4">
        <v>0</v>
      </c>
      <c r="V1691" s="4">
        <v>65</v>
      </c>
      <c r="W1691" s="4">
        <v>109</v>
      </c>
    </row>
    <row r="1692" spans="1:23" ht="11.25" customHeight="1" x14ac:dyDescent="0.25">
      <c r="A1692" s="4" t="s">
        <v>59</v>
      </c>
      <c r="B1692" s="4" t="s">
        <v>39</v>
      </c>
      <c r="C1692" s="4" t="s">
        <v>35</v>
      </c>
      <c r="D1692" s="4" t="s">
        <v>45</v>
      </c>
      <c r="E1692" s="4" t="s">
        <v>25</v>
      </c>
      <c r="F1692" s="4" t="s">
        <v>25</v>
      </c>
      <c r="G1692" s="4" t="s">
        <v>25</v>
      </c>
      <c r="H1692" s="4" t="s">
        <v>38</v>
      </c>
      <c r="I1692" s="5">
        <v>44866</v>
      </c>
      <c r="J1692" s="6">
        <v>0</v>
      </c>
      <c r="K1692" s="6">
        <v>0</v>
      </c>
      <c r="L1692" s="6">
        <v>2.7989999999999999</v>
      </c>
      <c r="M1692" s="6">
        <v>2.7989999999999999</v>
      </c>
      <c r="N1692" s="6">
        <v>2.7989999999999999</v>
      </c>
      <c r="O1692" s="6">
        <v>2.7989999999999999</v>
      </c>
      <c r="P1692" s="6">
        <v>0</v>
      </c>
      <c r="Q1692" s="4" t="s">
        <v>26</v>
      </c>
      <c r="R1692" s="4">
        <v>0</v>
      </c>
      <c r="S1692" s="4" t="s">
        <v>426</v>
      </c>
      <c r="T1692" s="4" t="s">
        <v>696</v>
      </c>
      <c r="U1692" s="4">
        <v>0</v>
      </c>
      <c r="V1692" s="4">
        <v>65</v>
      </c>
      <c r="W1692" s="4">
        <v>109</v>
      </c>
    </row>
    <row r="1693" spans="1:23" ht="11.25" customHeight="1" x14ac:dyDescent="0.25">
      <c r="A1693" s="4" t="s">
        <v>59</v>
      </c>
      <c r="B1693" s="4" t="s">
        <v>39</v>
      </c>
      <c r="C1693" s="4" t="s">
        <v>35</v>
      </c>
      <c r="D1693" s="4" t="s">
        <v>45</v>
      </c>
      <c r="E1693" s="4" t="s">
        <v>25</v>
      </c>
      <c r="F1693" s="4" t="s">
        <v>25</v>
      </c>
      <c r="G1693" s="4" t="s">
        <v>25</v>
      </c>
      <c r="H1693" s="4" t="s">
        <v>38</v>
      </c>
      <c r="I1693" s="5">
        <v>44866</v>
      </c>
      <c r="J1693" s="6">
        <v>0</v>
      </c>
      <c r="K1693" s="6">
        <v>0</v>
      </c>
      <c r="L1693" s="6">
        <v>0.57499999999999996</v>
      </c>
      <c r="M1693" s="6">
        <v>0.57499999999999996</v>
      </c>
      <c r="N1693" s="6">
        <v>0.57499999999999996</v>
      </c>
      <c r="O1693" s="6">
        <v>0.57499999999999996</v>
      </c>
      <c r="P1693" s="6">
        <v>0</v>
      </c>
      <c r="Q1693" s="4" t="s">
        <v>26</v>
      </c>
      <c r="R1693" s="4">
        <v>0</v>
      </c>
      <c r="S1693" s="4" t="s">
        <v>426</v>
      </c>
      <c r="T1693" s="4" t="s">
        <v>696</v>
      </c>
      <c r="U1693" s="4">
        <v>0</v>
      </c>
      <c r="V1693" s="4">
        <v>65</v>
      </c>
      <c r="W1693" s="4">
        <v>109</v>
      </c>
    </row>
    <row r="1694" spans="1:23" ht="11.25" customHeight="1" x14ac:dyDescent="0.25">
      <c r="A1694" s="4" t="s">
        <v>59</v>
      </c>
      <c r="B1694" s="4" t="s">
        <v>39</v>
      </c>
      <c r="C1694" s="4" t="s">
        <v>35</v>
      </c>
      <c r="D1694" s="4" t="s">
        <v>45</v>
      </c>
      <c r="E1694" s="4" t="s">
        <v>25</v>
      </c>
      <c r="F1694" s="4" t="s">
        <v>25</v>
      </c>
      <c r="G1694" s="4" t="s">
        <v>25</v>
      </c>
      <c r="H1694" s="4" t="s">
        <v>38</v>
      </c>
      <c r="I1694" s="5">
        <v>44866</v>
      </c>
      <c r="J1694" s="6">
        <v>0</v>
      </c>
      <c r="K1694" s="6">
        <v>0</v>
      </c>
      <c r="L1694" s="6">
        <v>1.0999999999999999E-2</v>
      </c>
      <c r="M1694" s="6">
        <v>1.0999999999999999E-2</v>
      </c>
      <c r="N1694" s="6">
        <v>1.0999999999999999E-2</v>
      </c>
      <c r="O1694" s="6">
        <v>1.0999999999999999E-2</v>
      </c>
      <c r="P1694" s="6">
        <v>0</v>
      </c>
      <c r="Q1694" s="4" t="s">
        <v>26</v>
      </c>
      <c r="R1694" s="4">
        <v>0</v>
      </c>
      <c r="S1694" s="4" t="s">
        <v>426</v>
      </c>
      <c r="T1694" s="4" t="s">
        <v>696</v>
      </c>
      <c r="U1694" s="4">
        <v>0</v>
      </c>
      <c r="V1694" s="4">
        <v>65</v>
      </c>
      <c r="W1694" s="4">
        <v>109</v>
      </c>
    </row>
    <row r="1695" spans="1:23" ht="11.25" customHeight="1" x14ac:dyDescent="0.25">
      <c r="A1695" s="4" t="s">
        <v>21</v>
      </c>
      <c r="B1695" s="4" t="s">
        <v>39</v>
      </c>
      <c r="C1695" s="4" t="s">
        <v>35</v>
      </c>
      <c r="D1695" s="4" t="s">
        <v>45</v>
      </c>
      <c r="E1695" s="4" t="s">
        <v>25</v>
      </c>
      <c r="F1695" s="4" t="s">
        <v>25</v>
      </c>
      <c r="G1695" s="4" t="s">
        <v>25</v>
      </c>
      <c r="H1695" s="4" t="s">
        <v>36</v>
      </c>
      <c r="I1695" s="5">
        <v>44531</v>
      </c>
      <c r="J1695" s="6">
        <v>0</v>
      </c>
      <c r="K1695" s="6">
        <v>0</v>
      </c>
      <c r="L1695" s="6">
        <v>5.181</v>
      </c>
      <c r="M1695" s="6">
        <v>5.181</v>
      </c>
      <c r="N1695" s="6">
        <v>5.181</v>
      </c>
      <c r="O1695" s="6">
        <v>5.181</v>
      </c>
      <c r="P1695" s="6">
        <v>0</v>
      </c>
      <c r="Q1695" s="4" t="s">
        <v>26</v>
      </c>
      <c r="R1695" s="4">
        <v>0</v>
      </c>
      <c r="S1695" s="4" t="s">
        <v>427</v>
      </c>
      <c r="T1695" s="4" t="s">
        <v>697</v>
      </c>
      <c r="U1695" s="4">
        <v>0</v>
      </c>
      <c r="V1695" s="4">
        <v>64</v>
      </c>
      <c r="W1695" s="4">
        <v>108</v>
      </c>
    </row>
    <row r="1696" spans="1:23" ht="11.25" customHeight="1" x14ac:dyDescent="0.25">
      <c r="A1696" s="4" t="s">
        <v>27</v>
      </c>
      <c r="B1696" s="4" t="s">
        <v>39</v>
      </c>
      <c r="C1696" s="4" t="s">
        <v>35</v>
      </c>
      <c r="D1696" s="4" t="s">
        <v>45</v>
      </c>
      <c r="E1696" s="4" t="s">
        <v>25</v>
      </c>
      <c r="F1696" s="4" t="s">
        <v>25</v>
      </c>
      <c r="G1696" s="4" t="s">
        <v>25</v>
      </c>
      <c r="H1696" s="4" t="s">
        <v>36</v>
      </c>
      <c r="I1696" s="5">
        <v>44531</v>
      </c>
      <c r="J1696" s="6">
        <v>0</v>
      </c>
      <c r="K1696" s="6">
        <v>0</v>
      </c>
      <c r="L1696" s="6">
        <v>0.438</v>
      </c>
      <c r="M1696" s="6">
        <v>0.438</v>
      </c>
      <c r="N1696" s="6">
        <v>0.438</v>
      </c>
      <c r="O1696" s="6">
        <v>0.438</v>
      </c>
      <c r="P1696" s="6">
        <v>0</v>
      </c>
      <c r="Q1696" s="4" t="s">
        <v>26</v>
      </c>
      <c r="R1696" s="4">
        <v>0</v>
      </c>
      <c r="S1696" s="4" t="s">
        <v>427</v>
      </c>
      <c r="T1696" s="4" t="s">
        <v>697</v>
      </c>
      <c r="U1696" s="4">
        <v>0</v>
      </c>
      <c r="V1696" s="4">
        <v>64</v>
      </c>
      <c r="W1696" s="4">
        <v>108</v>
      </c>
    </row>
    <row r="1697" spans="1:23" ht="11.25" customHeight="1" x14ac:dyDescent="0.25">
      <c r="A1697" s="4" t="s">
        <v>28</v>
      </c>
      <c r="B1697" s="4" t="s">
        <v>39</v>
      </c>
      <c r="C1697" s="4" t="s">
        <v>35</v>
      </c>
      <c r="D1697" s="4" t="s">
        <v>45</v>
      </c>
      <c r="E1697" s="4" t="s">
        <v>25</v>
      </c>
      <c r="F1697" s="4" t="s">
        <v>25</v>
      </c>
      <c r="G1697" s="4" t="s">
        <v>25</v>
      </c>
      <c r="H1697" s="4" t="s">
        <v>36</v>
      </c>
      <c r="I1697" s="5">
        <v>44531</v>
      </c>
      <c r="J1697" s="6">
        <v>0</v>
      </c>
      <c r="K1697" s="6">
        <v>0</v>
      </c>
      <c r="L1697" s="6">
        <v>0.50600000000000001</v>
      </c>
      <c r="M1697" s="6">
        <v>0.50600000000000001</v>
      </c>
      <c r="N1697" s="6">
        <v>0.50600000000000001</v>
      </c>
      <c r="O1697" s="6">
        <v>0.50600000000000001</v>
      </c>
      <c r="P1697" s="6">
        <v>0</v>
      </c>
      <c r="Q1697" s="4" t="s">
        <v>26</v>
      </c>
      <c r="R1697" s="4">
        <v>0</v>
      </c>
      <c r="S1697" s="4" t="s">
        <v>427</v>
      </c>
      <c r="T1697" s="4" t="s">
        <v>697</v>
      </c>
      <c r="U1697" s="4">
        <v>0</v>
      </c>
      <c r="V1697" s="4">
        <v>64</v>
      </c>
      <c r="W1697" s="4">
        <v>108</v>
      </c>
    </row>
    <row r="1698" spans="1:23" ht="11.25" customHeight="1" x14ac:dyDescent="0.25">
      <c r="A1698" s="4" t="s">
        <v>30</v>
      </c>
      <c r="B1698" s="4" t="s">
        <v>39</v>
      </c>
      <c r="C1698" s="4" t="s">
        <v>35</v>
      </c>
      <c r="D1698" s="4" t="s">
        <v>45</v>
      </c>
      <c r="E1698" s="4" t="s">
        <v>25</v>
      </c>
      <c r="F1698" s="4" t="s">
        <v>25</v>
      </c>
      <c r="G1698" s="4" t="s">
        <v>25</v>
      </c>
      <c r="H1698" s="4" t="s">
        <v>36</v>
      </c>
      <c r="I1698" s="5">
        <v>44531</v>
      </c>
      <c r="J1698" s="6">
        <v>0</v>
      </c>
      <c r="K1698" s="6">
        <v>0</v>
      </c>
      <c r="L1698" s="6">
        <v>7.0000000000000007E-2</v>
      </c>
      <c r="M1698" s="6">
        <v>7.0000000000000007E-2</v>
      </c>
      <c r="N1698" s="6">
        <v>7.0000000000000007E-2</v>
      </c>
      <c r="O1698" s="6">
        <v>7.0000000000000007E-2</v>
      </c>
      <c r="P1698" s="6">
        <v>0</v>
      </c>
      <c r="Q1698" s="4" t="s">
        <v>26</v>
      </c>
      <c r="R1698" s="4">
        <v>0</v>
      </c>
      <c r="S1698" s="4" t="s">
        <v>427</v>
      </c>
      <c r="T1698" s="4" t="s">
        <v>697</v>
      </c>
      <c r="U1698" s="4">
        <v>0</v>
      </c>
      <c r="V1698" s="4">
        <v>64</v>
      </c>
      <c r="W1698" s="4">
        <v>108</v>
      </c>
    </row>
    <row r="1699" spans="1:23" ht="11.25" customHeight="1" x14ac:dyDescent="0.25">
      <c r="A1699" s="4" t="s">
        <v>21</v>
      </c>
      <c r="B1699" s="4" t="s">
        <v>39</v>
      </c>
      <c r="C1699" s="4" t="s">
        <v>35</v>
      </c>
      <c r="D1699" s="4" t="s">
        <v>45</v>
      </c>
      <c r="E1699" s="4" t="s">
        <v>25</v>
      </c>
      <c r="F1699" s="4" t="s">
        <v>25</v>
      </c>
      <c r="G1699" s="4" t="s">
        <v>25</v>
      </c>
      <c r="H1699" s="4" t="s">
        <v>36</v>
      </c>
      <c r="I1699" s="5">
        <v>44562</v>
      </c>
      <c r="J1699" s="6">
        <v>0</v>
      </c>
      <c r="K1699" s="6">
        <v>0</v>
      </c>
      <c r="L1699" s="6">
        <v>5.2590000000000003</v>
      </c>
      <c r="M1699" s="6">
        <v>5.2590000000000003</v>
      </c>
      <c r="N1699" s="6">
        <v>5.2590000000000003</v>
      </c>
      <c r="O1699" s="6">
        <v>5.2590000000000003</v>
      </c>
      <c r="P1699" s="6">
        <v>0</v>
      </c>
      <c r="Q1699" s="4" t="s">
        <v>26</v>
      </c>
      <c r="R1699" s="4">
        <v>0</v>
      </c>
      <c r="S1699" s="4" t="s">
        <v>428</v>
      </c>
      <c r="T1699" s="4" t="s">
        <v>698</v>
      </c>
      <c r="U1699" s="4">
        <v>0</v>
      </c>
      <c r="V1699" s="4">
        <v>64</v>
      </c>
      <c r="W1699" s="4">
        <v>108</v>
      </c>
    </row>
    <row r="1700" spans="1:23" ht="11.25" customHeight="1" x14ac:dyDescent="0.25">
      <c r="A1700" s="4" t="s">
        <v>27</v>
      </c>
      <c r="B1700" s="4" t="s">
        <v>39</v>
      </c>
      <c r="C1700" s="4" t="s">
        <v>35</v>
      </c>
      <c r="D1700" s="4" t="s">
        <v>45</v>
      </c>
      <c r="E1700" s="4" t="s">
        <v>25</v>
      </c>
      <c r="F1700" s="4" t="s">
        <v>25</v>
      </c>
      <c r="G1700" s="4" t="s">
        <v>25</v>
      </c>
      <c r="H1700" s="4" t="s">
        <v>36</v>
      </c>
      <c r="I1700" s="5">
        <v>44562</v>
      </c>
      <c r="J1700" s="6">
        <v>0</v>
      </c>
      <c r="K1700" s="6">
        <v>0</v>
      </c>
      <c r="L1700" s="6">
        <v>-3.5000000000000003E-2</v>
      </c>
      <c r="M1700" s="6">
        <v>-3.5000000000000003E-2</v>
      </c>
      <c r="N1700" s="6">
        <v>-3.5000000000000003E-2</v>
      </c>
      <c r="O1700" s="6">
        <v>-3.5000000000000003E-2</v>
      </c>
      <c r="P1700" s="6">
        <v>0</v>
      </c>
      <c r="Q1700" s="4" t="s">
        <v>26</v>
      </c>
      <c r="R1700" s="4">
        <v>0</v>
      </c>
      <c r="S1700" s="4" t="s">
        <v>428</v>
      </c>
      <c r="T1700" s="4" t="s">
        <v>698</v>
      </c>
      <c r="U1700" s="4">
        <v>0</v>
      </c>
      <c r="V1700" s="4">
        <v>64</v>
      </c>
      <c r="W1700" s="4">
        <v>108</v>
      </c>
    </row>
    <row r="1701" spans="1:23" ht="11.25" customHeight="1" x14ac:dyDescent="0.25">
      <c r="A1701" s="4" t="s">
        <v>28</v>
      </c>
      <c r="B1701" s="4" t="s">
        <v>39</v>
      </c>
      <c r="C1701" s="4" t="s">
        <v>35</v>
      </c>
      <c r="D1701" s="4" t="s">
        <v>45</v>
      </c>
      <c r="E1701" s="4" t="s">
        <v>25</v>
      </c>
      <c r="F1701" s="4" t="s">
        <v>25</v>
      </c>
      <c r="G1701" s="4" t="s">
        <v>25</v>
      </c>
      <c r="H1701" s="4" t="s">
        <v>36</v>
      </c>
      <c r="I1701" s="5">
        <v>44562</v>
      </c>
      <c r="J1701" s="6">
        <v>0</v>
      </c>
      <c r="K1701" s="6">
        <v>0</v>
      </c>
      <c r="L1701" s="6">
        <v>0.60699999999999998</v>
      </c>
      <c r="M1701" s="6">
        <v>0.60699999999999998</v>
      </c>
      <c r="N1701" s="6">
        <v>0.60699999999999998</v>
      </c>
      <c r="O1701" s="6">
        <v>0.60699999999999998</v>
      </c>
      <c r="P1701" s="6">
        <v>0</v>
      </c>
      <c r="Q1701" s="4" t="s">
        <v>26</v>
      </c>
      <c r="R1701" s="4">
        <v>0</v>
      </c>
      <c r="S1701" s="4" t="s">
        <v>428</v>
      </c>
      <c r="T1701" s="4" t="s">
        <v>698</v>
      </c>
      <c r="U1701" s="4">
        <v>0</v>
      </c>
      <c r="V1701" s="4">
        <v>64</v>
      </c>
      <c r="W1701" s="4">
        <v>108</v>
      </c>
    </row>
    <row r="1702" spans="1:23" ht="11.25" customHeight="1" x14ac:dyDescent="0.25">
      <c r="A1702" s="4" t="s">
        <v>30</v>
      </c>
      <c r="B1702" s="4" t="s">
        <v>39</v>
      </c>
      <c r="C1702" s="4" t="s">
        <v>35</v>
      </c>
      <c r="D1702" s="4" t="s">
        <v>45</v>
      </c>
      <c r="E1702" s="4" t="s">
        <v>25</v>
      </c>
      <c r="F1702" s="4" t="s">
        <v>25</v>
      </c>
      <c r="G1702" s="4" t="s">
        <v>25</v>
      </c>
      <c r="H1702" s="4" t="s">
        <v>36</v>
      </c>
      <c r="I1702" s="5">
        <v>44562</v>
      </c>
      <c r="J1702" s="6">
        <v>0</v>
      </c>
      <c r="K1702" s="6">
        <v>0</v>
      </c>
      <c r="L1702" s="6">
        <v>8.5000000000000006E-2</v>
      </c>
      <c r="M1702" s="6">
        <v>8.5000000000000006E-2</v>
      </c>
      <c r="N1702" s="6">
        <v>8.5000000000000006E-2</v>
      </c>
      <c r="O1702" s="6">
        <v>8.5000000000000006E-2</v>
      </c>
      <c r="P1702" s="6">
        <v>0</v>
      </c>
      <c r="Q1702" s="4" t="s">
        <v>26</v>
      </c>
      <c r="R1702" s="4">
        <v>0</v>
      </c>
      <c r="S1702" s="4" t="s">
        <v>428</v>
      </c>
      <c r="T1702" s="4" t="s">
        <v>698</v>
      </c>
      <c r="U1702" s="4">
        <v>0</v>
      </c>
      <c r="V1702" s="4">
        <v>64</v>
      </c>
      <c r="W1702" s="4">
        <v>108</v>
      </c>
    </row>
    <row r="1703" spans="1:23" ht="11.25" customHeight="1" x14ac:dyDescent="0.25">
      <c r="A1703" s="4" t="s">
        <v>21</v>
      </c>
      <c r="B1703" s="4" t="s">
        <v>39</v>
      </c>
      <c r="C1703" s="4" t="s">
        <v>35</v>
      </c>
      <c r="D1703" s="4" t="s">
        <v>45</v>
      </c>
      <c r="E1703" s="4" t="s">
        <v>25</v>
      </c>
      <c r="F1703" s="4" t="s">
        <v>25</v>
      </c>
      <c r="G1703" s="4" t="s">
        <v>25</v>
      </c>
      <c r="H1703" s="4" t="s">
        <v>36</v>
      </c>
      <c r="I1703" s="5">
        <v>44593</v>
      </c>
      <c r="J1703" s="6">
        <v>0</v>
      </c>
      <c r="K1703" s="6">
        <v>0</v>
      </c>
      <c r="L1703" s="6">
        <v>4.6779999999999999</v>
      </c>
      <c r="M1703" s="6">
        <v>4.6779999999999999</v>
      </c>
      <c r="N1703" s="6">
        <v>4.6779999999999999</v>
      </c>
      <c r="O1703" s="6">
        <v>4.6779999999999999</v>
      </c>
      <c r="P1703" s="6">
        <v>0</v>
      </c>
      <c r="Q1703" s="4" t="s">
        <v>26</v>
      </c>
      <c r="R1703" s="4">
        <v>0</v>
      </c>
      <c r="S1703" s="4" t="s">
        <v>429</v>
      </c>
      <c r="T1703" s="4" t="s">
        <v>699</v>
      </c>
      <c r="U1703" s="4">
        <v>0</v>
      </c>
      <c r="V1703" s="4">
        <v>64</v>
      </c>
      <c r="W1703" s="4">
        <v>108</v>
      </c>
    </row>
    <row r="1704" spans="1:23" ht="11.25" customHeight="1" x14ac:dyDescent="0.25">
      <c r="A1704" s="4" t="s">
        <v>28</v>
      </c>
      <c r="B1704" s="4" t="s">
        <v>39</v>
      </c>
      <c r="C1704" s="4" t="s">
        <v>35</v>
      </c>
      <c r="D1704" s="4" t="s">
        <v>45</v>
      </c>
      <c r="E1704" s="4" t="s">
        <v>25</v>
      </c>
      <c r="F1704" s="4" t="s">
        <v>25</v>
      </c>
      <c r="G1704" s="4" t="s">
        <v>25</v>
      </c>
      <c r="H1704" s="4" t="s">
        <v>36</v>
      </c>
      <c r="I1704" s="5">
        <v>44593</v>
      </c>
      <c r="J1704" s="6">
        <v>0</v>
      </c>
      <c r="K1704" s="6">
        <v>0</v>
      </c>
      <c r="L1704" s="6">
        <v>0.71</v>
      </c>
      <c r="M1704" s="6">
        <v>0.71</v>
      </c>
      <c r="N1704" s="6">
        <v>0.71</v>
      </c>
      <c r="O1704" s="6">
        <v>0.71</v>
      </c>
      <c r="P1704" s="6">
        <v>0</v>
      </c>
      <c r="Q1704" s="4" t="s">
        <v>26</v>
      </c>
      <c r="R1704" s="4">
        <v>0</v>
      </c>
      <c r="S1704" s="4" t="s">
        <v>429</v>
      </c>
      <c r="T1704" s="4" t="s">
        <v>699</v>
      </c>
      <c r="U1704" s="4">
        <v>0</v>
      </c>
      <c r="V1704" s="4">
        <v>64</v>
      </c>
      <c r="W1704" s="4">
        <v>108</v>
      </c>
    </row>
    <row r="1705" spans="1:23" ht="11.25" customHeight="1" x14ac:dyDescent="0.25">
      <c r="A1705" s="4" t="s">
        <v>30</v>
      </c>
      <c r="B1705" s="4" t="s">
        <v>39</v>
      </c>
      <c r="C1705" s="4" t="s">
        <v>35</v>
      </c>
      <c r="D1705" s="4" t="s">
        <v>45</v>
      </c>
      <c r="E1705" s="4" t="s">
        <v>25</v>
      </c>
      <c r="F1705" s="4" t="s">
        <v>25</v>
      </c>
      <c r="G1705" s="4" t="s">
        <v>25</v>
      </c>
      <c r="H1705" s="4" t="s">
        <v>36</v>
      </c>
      <c r="I1705" s="5">
        <v>44593</v>
      </c>
      <c r="J1705" s="6">
        <v>0</v>
      </c>
      <c r="K1705" s="6">
        <v>0</v>
      </c>
      <c r="L1705" s="6">
        <v>6.8000000000000005E-2</v>
      </c>
      <c r="M1705" s="6">
        <v>6.8000000000000005E-2</v>
      </c>
      <c r="N1705" s="6">
        <v>6.8000000000000005E-2</v>
      </c>
      <c r="O1705" s="6">
        <v>6.8000000000000005E-2</v>
      </c>
      <c r="P1705" s="6">
        <v>0</v>
      </c>
      <c r="Q1705" s="4" t="s">
        <v>26</v>
      </c>
      <c r="R1705" s="4">
        <v>0</v>
      </c>
      <c r="S1705" s="4" t="s">
        <v>429</v>
      </c>
      <c r="T1705" s="4" t="s">
        <v>699</v>
      </c>
      <c r="U1705" s="4">
        <v>0</v>
      </c>
      <c r="V1705" s="4">
        <v>64</v>
      </c>
      <c r="W1705" s="4">
        <v>108</v>
      </c>
    </row>
    <row r="1706" spans="1:23" ht="11.25" customHeight="1" x14ac:dyDescent="0.25">
      <c r="A1706" s="4" t="s">
        <v>21</v>
      </c>
      <c r="B1706" s="4" t="s">
        <v>39</v>
      </c>
      <c r="C1706" s="4" t="s">
        <v>35</v>
      </c>
      <c r="D1706" s="4" t="s">
        <v>45</v>
      </c>
      <c r="E1706" s="4" t="s">
        <v>25</v>
      </c>
      <c r="F1706" s="4" t="s">
        <v>25</v>
      </c>
      <c r="G1706" s="4" t="s">
        <v>25</v>
      </c>
      <c r="H1706" s="4" t="s">
        <v>36</v>
      </c>
      <c r="I1706" s="5">
        <v>44621</v>
      </c>
      <c r="J1706" s="6">
        <v>0</v>
      </c>
      <c r="K1706" s="6">
        <v>0</v>
      </c>
      <c r="L1706" s="6">
        <v>4.72</v>
      </c>
      <c r="M1706" s="6">
        <v>4.72</v>
      </c>
      <c r="N1706" s="6">
        <v>4.72</v>
      </c>
      <c r="O1706" s="6">
        <v>4.72</v>
      </c>
      <c r="P1706" s="6">
        <v>0</v>
      </c>
      <c r="Q1706" s="4" t="s">
        <v>26</v>
      </c>
      <c r="R1706" s="4">
        <v>0</v>
      </c>
      <c r="S1706" s="4" t="s">
        <v>430</v>
      </c>
      <c r="T1706" s="4" t="s">
        <v>700</v>
      </c>
      <c r="U1706" s="4">
        <v>0</v>
      </c>
      <c r="V1706" s="4">
        <v>64</v>
      </c>
      <c r="W1706" s="4">
        <v>108</v>
      </c>
    </row>
    <row r="1707" spans="1:23" ht="11.25" customHeight="1" x14ac:dyDescent="0.25">
      <c r="A1707" s="4" t="s">
        <v>27</v>
      </c>
      <c r="B1707" s="4" t="s">
        <v>39</v>
      </c>
      <c r="C1707" s="4" t="s">
        <v>35</v>
      </c>
      <c r="D1707" s="4" t="s">
        <v>45</v>
      </c>
      <c r="E1707" s="4" t="s">
        <v>25</v>
      </c>
      <c r="F1707" s="4" t="s">
        <v>25</v>
      </c>
      <c r="G1707" s="4" t="s">
        <v>25</v>
      </c>
      <c r="H1707" s="4" t="s">
        <v>36</v>
      </c>
      <c r="I1707" s="5">
        <v>44621</v>
      </c>
      <c r="J1707" s="6">
        <v>0</v>
      </c>
      <c r="K1707" s="6">
        <v>0</v>
      </c>
      <c r="L1707" s="6">
        <v>-0.254</v>
      </c>
      <c r="M1707" s="6">
        <v>-0.254</v>
      </c>
      <c r="N1707" s="6">
        <v>-0.254</v>
      </c>
      <c r="O1707" s="6">
        <v>-0.254</v>
      </c>
      <c r="P1707" s="6">
        <v>0</v>
      </c>
      <c r="Q1707" s="4" t="s">
        <v>26</v>
      </c>
      <c r="R1707" s="4">
        <v>0</v>
      </c>
      <c r="S1707" s="4" t="s">
        <v>430</v>
      </c>
      <c r="T1707" s="4" t="s">
        <v>700</v>
      </c>
      <c r="U1707" s="4">
        <v>0</v>
      </c>
      <c r="V1707" s="4">
        <v>64</v>
      </c>
      <c r="W1707" s="4">
        <v>108</v>
      </c>
    </row>
    <row r="1708" spans="1:23" ht="11.25" customHeight="1" x14ac:dyDescent="0.25">
      <c r="A1708" s="4" t="s">
        <v>28</v>
      </c>
      <c r="B1708" s="4" t="s">
        <v>39</v>
      </c>
      <c r="C1708" s="4" t="s">
        <v>35</v>
      </c>
      <c r="D1708" s="4" t="s">
        <v>45</v>
      </c>
      <c r="E1708" s="4" t="s">
        <v>25</v>
      </c>
      <c r="F1708" s="4" t="s">
        <v>25</v>
      </c>
      <c r="G1708" s="4" t="s">
        <v>25</v>
      </c>
      <c r="H1708" s="4" t="s">
        <v>36</v>
      </c>
      <c r="I1708" s="5">
        <v>44621</v>
      </c>
      <c r="J1708" s="6">
        <v>0</v>
      </c>
      <c r="K1708" s="6">
        <v>0</v>
      </c>
      <c r="L1708" s="6">
        <v>0.38300000000000001</v>
      </c>
      <c r="M1708" s="6">
        <v>0.38300000000000001</v>
      </c>
      <c r="N1708" s="6">
        <v>0.38300000000000001</v>
      </c>
      <c r="O1708" s="6">
        <v>0.38300000000000001</v>
      </c>
      <c r="P1708" s="6">
        <v>0</v>
      </c>
      <c r="Q1708" s="4" t="s">
        <v>26</v>
      </c>
      <c r="R1708" s="4">
        <v>0</v>
      </c>
      <c r="S1708" s="4" t="s">
        <v>430</v>
      </c>
      <c r="T1708" s="4" t="s">
        <v>700</v>
      </c>
      <c r="U1708" s="4">
        <v>0</v>
      </c>
      <c r="V1708" s="4">
        <v>64</v>
      </c>
      <c r="W1708" s="4">
        <v>108</v>
      </c>
    </row>
    <row r="1709" spans="1:23" ht="11.25" customHeight="1" x14ac:dyDescent="0.25">
      <c r="A1709" s="4" t="s">
        <v>29</v>
      </c>
      <c r="B1709" s="4" t="s">
        <v>39</v>
      </c>
      <c r="C1709" s="4" t="s">
        <v>35</v>
      </c>
      <c r="D1709" s="4" t="s">
        <v>45</v>
      </c>
      <c r="E1709" s="4" t="s">
        <v>25</v>
      </c>
      <c r="F1709" s="4" t="s">
        <v>25</v>
      </c>
      <c r="G1709" s="4" t="s">
        <v>25</v>
      </c>
      <c r="H1709" s="4" t="s">
        <v>36</v>
      </c>
      <c r="I1709" s="5">
        <v>44621</v>
      </c>
      <c r="J1709" s="6">
        <v>0</v>
      </c>
      <c r="K1709" s="6">
        <v>0</v>
      </c>
      <c r="L1709" s="6">
        <v>0.02</v>
      </c>
      <c r="M1709" s="6">
        <v>0.02</v>
      </c>
      <c r="N1709" s="6">
        <v>0.02</v>
      </c>
      <c r="O1709" s="6">
        <v>0.02</v>
      </c>
      <c r="P1709" s="6">
        <v>0</v>
      </c>
      <c r="Q1709" s="4" t="s">
        <v>26</v>
      </c>
      <c r="R1709" s="4">
        <v>0</v>
      </c>
      <c r="S1709" s="4" t="s">
        <v>430</v>
      </c>
      <c r="T1709" s="4" t="s">
        <v>700</v>
      </c>
      <c r="U1709" s="4">
        <v>0</v>
      </c>
      <c r="V1709" s="4">
        <v>64</v>
      </c>
      <c r="W1709" s="4">
        <v>108</v>
      </c>
    </row>
    <row r="1710" spans="1:23" ht="11.25" customHeight="1" x14ac:dyDescent="0.25">
      <c r="A1710" s="4" t="s">
        <v>30</v>
      </c>
      <c r="B1710" s="4" t="s">
        <v>39</v>
      </c>
      <c r="C1710" s="4" t="s">
        <v>35</v>
      </c>
      <c r="D1710" s="4" t="s">
        <v>45</v>
      </c>
      <c r="E1710" s="4" t="s">
        <v>25</v>
      </c>
      <c r="F1710" s="4" t="s">
        <v>25</v>
      </c>
      <c r="G1710" s="4" t="s">
        <v>25</v>
      </c>
      <c r="H1710" s="4" t="s">
        <v>36</v>
      </c>
      <c r="I1710" s="5">
        <v>44621</v>
      </c>
      <c r="J1710" s="6">
        <v>0</v>
      </c>
      <c r="K1710" s="6">
        <v>0</v>
      </c>
      <c r="L1710" s="6">
        <v>7.0999999999999994E-2</v>
      </c>
      <c r="M1710" s="6">
        <v>7.0999999999999994E-2</v>
      </c>
      <c r="N1710" s="6">
        <v>7.0999999999999994E-2</v>
      </c>
      <c r="O1710" s="6">
        <v>7.0999999999999994E-2</v>
      </c>
      <c r="P1710" s="6">
        <v>0</v>
      </c>
      <c r="Q1710" s="4" t="s">
        <v>26</v>
      </c>
      <c r="R1710" s="4">
        <v>0</v>
      </c>
      <c r="S1710" s="4" t="s">
        <v>430</v>
      </c>
      <c r="T1710" s="4" t="s">
        <v>700</v>
      </c>
      <c r="U1710" s="4">
        <v>0</v>
      </c>
      <c r="V1710" s="4">
        <v>64</v>
      </c>
      <c r="W1710" s="4">
        <v>108</v>
      </c>
    </row>
    <row r="1711" spans="1:23" ht="11.25" customHeight="1" x14ac:dyDescent="0.25">
      <c r="A1711" s="4" t="s">
        <v>21</v>
      </c>
      <c r="B1711" s="4" t="s">
        <v>39</v>
      </c>
      <c r="C1711" s="4" t="s">
        <v>35</v>
      </c>
      <c r="D1711" s="4" t="s">
        <v>45</v>
      </c>
      <c r="E1711" s="4" t="s">
        <v>25</v>
      </c>
      <c r="F1711" s="4" t="s">
        <v>25</v>
      </c>
      <c r="G1711" s="4" t="s">
        <v>25</v>
      </c>
      <c r="H1711" s="4" t="s">
        <v>36</v>
      </c>
      <c r="I1711" s="5">
        <v>44652</v>
      </c>
      <c r="J1711" s="6">
        <v>0</v>
      </c>
      <c r="K1711" s="6">
        <v>0</v>
      </c>
      <c r="L1711" s="6">
        <v>4.66</v>
      </c>
      <c r="M1711" s="6">
        <v>4.66</v>
      </c>
      <c r="N1711" s="6">
        <v>4.66</v>
      </c>
      <c r="O1711" s="6">
        <v>4.66</v>
      </c>
      <c r="P1711" s="6">
        <v>0</v>
      </c>
      <c r="Q1711" s="4" t="s">
        <v>26</v>
      </c>
      <c r="R1711" s="4">
        <v>0</v>
      </c>
      <c r="S1711" s="4" t="s">
        <v>431</v>
      </c>
      <c r="T1711" s="4" t="s">
        <v>701</v>
      </c>
      <c r="U1711" s="4">
        <v>0</v>
      </c>
      <c r="V1711" s="4">
        <v>64</v>
      </c>
      <c r="W1711" s="4">
        <v>108</v>
      </c>
    </row>
    <row r="1712" spans="1:23" ht="11.25" customHeight="1" x14ac:dyDescent="0.25">
      <c r="A1712" s="4" t="s">
        <v>28</v>
      </c>
      <c r="B1712" s="4" t="s">
        <v>39</v>
      </c>
      <c r="C1712" s="4" t="s">
        <v>35</v>
      </c>
      <c r="D1712" s="4" t="s">
        <v>45</v>
      </c>
      <c r="E1712" s="4" t="s">
        <v>25</v>
      </c>
      <c r="F1712" s="4" t="s">
        <v>25</v>
      </c>
      <c r="G1712" s="4" t="s">
        <v>25</v>
      </c>
      <c r="H1712" s="4" t="s">
        <v>36</v>
      </c>
      <c r="I1712" s="5">
        <v>44652</v>
      </c>
      <c r="J1712" s="6">
        <v>0</v>
      </c>
      <c r="K1712" s="6">
        <v>0</v>
      </c>
      <c r="L1712" s="6">
        <v>1.7290000000000001</v>
      </c>
      <c r="M1712" s="6">
        <v>1.7290000000000001</v>
      </c>
      <c r="N1712" s="6">
        <v>1.7290000000000001</v>
      </c>
      <c r="O1712" s="6">
        <v>1.7290000000000001</v>
      </c>
      <c r="P1712" s="6">
        <v>0</v>
      </c>
      <c r="Q1712" s="4" t="s">
        <v>26</v>
      </c>
      <c r="R1712" s="4">
        <v>0</v>
      </c>
      <c r="S1712" s="4" t="s">
        <v>431</v>
      </c>
      <c r="T1712" s="4" t="s">
        <v>701</v>
      </c>
      <c r="U1712" s="4">
        <v>0</v>
      </c>
      <c r="V1712" s="4">
        <v>64</v>
      </c>
      <c r="W1712" s="4">
        <v>108</v>
      </c>
    </row>
    <row r="1713" spans="1:23" ht="11.25" customHeight="1" x14ac:dyDescent="0.25">
      <c r="A1713" s="4" t="s">
        <v>30</v>
      </c>
      <c r="B1713" s="4" t="s">
        <v>39</v>
      </c>
      <c r="C1713" s="4" t="s">
        <v>35</v>
      </c>
      <c r="D1713" s="4" t="s">
        <v>45</v>
      </c>
      <c r="E1713" s="4" t="s">
        <v>25</v>
      </c>
      <c r="F1713" s="4" t="s">
        <v>25</v>
      </c>
      <c r="G1713" s="4" t="s">
        <v>25</v>
      </c>
      <c r="H1713" s="4" t="s">
        <v>36</v>
      </c>
      <c r="I1713" s="5">
        <v>44652</v>
      </c>
      <c r="J1713" s="6">
        <v>0</v>
      </c>
      <c r="K1713" s="6">
        <v>0</v>
      </c>
      <c r="L1713" s="6">
        <v>7.0999999999999994E-2</v>
      </c>
      <c r="M1713" s="6">
        <v>7.0999999999999994E-2</v>
      </c>
      <c r="N1713" s="6">
        <v>7.0999999999999994E-2</v>
      </c>
      <c r="O1713" s="6">
        <v>7.0999999999999994E-2</v>
      </c>
      <c r="P1713" s="6">
        <v>0</v>
      </c>
      <c r="Q1713" s="4" t="s">
        <v>26</v>
      </c>
      <c r="R1713" s="4">
        <v>0</v>
      </c>
      <c r="S1713" s="4" t="s">
        <v>431</v>
      </c>
      <c r="T1713" s="4" t="s">
        <v>701</v>
      </c>
      <c r="U1713" s="4">
        <v>0</v>
      </c>
      <c r="V1713" s="4">
        <v>64</v>
      </c>
      <c r="W1713" s="4">
        <v>108</v>
      </c>
    </row>
    <row r="1714" spans="1:23" ht="11.25" customHeight="1" x14ac:dyDescent="0.25">
      <c r="A1714" s="4" t="s">
        <v>21</v>
      </c>
      <c r="B1714" s="4" t="s">
        <v>39</v>
      </c>
      <c r="C1714" s="4" t="s">
        <v>35</v>
      </c>
      <c r="D1714" s="4" t="s">
        <v>45</v>
      </c>
      <c r="E1714" s="4" t="s">
        <v>25</v>
      </c>
      <c r="F1714" s="4" t="s">
        <v>25</v>
      </c>
      <c r="G1714" s="4" t="s">
        <v>25</v>
      </c>
      <c r="H1714" s="4" t="s">
        <v>36</v>
      </c>
      <c r="I1714" s="5">
        <v>44682</v>
      </c>
      <c r="J1714" s="6">
        <v>0</v>
      </c>
      <c r="K1714" s="6">
        <v>0</v>
      </c>
      <c r="L1714" s="6">
        <v>4.6550000000000002</v>
      </c>
      <c r="M1714" s="6">
        <v>4.6550000000000002</v>
      </c>
      <c r="N1714" s="6">
        <v>4.6550000000000002</v>
      </c>
      <c r="O1714" s="6">
        <v>4.6550000000000002</v>
      </c>
      <c r="P1714" s="6">
        <v>0</v>
      </c>
      <c r="Q1714" s="4" t="s">
        <v>26</v>
      </c>
      <c r="R1714" s="4">
        <v>0</v>
      </c>
      <c r="S1714" s="4" t="s">
        <v>432</v>
      </c>
      <c r="T1714" s="4" t="s">
        <v>702</v>
      </c>
      <c r="U1714" s="4">
        <v>0</v>
      </c>
      <c r="V1714" s="4">
        <v>64</v>
      </c>
      <c r="W1714" s="4">
        <v>108</v>
      </c>
    </row>
    <row r="1715" spans="1:23" ht="11.25" customHeight="1" x14ac:dyDescent="0.25">
      <c r="A1715" s="4" t="s">
        <v>28</v>
      </c>
      <c r="B1715" s="4" t="s">
        <v>39</v>
      </c>
      <c r="C1715" s="4" t="s">
        <v>35</v>
      </c>
      <c r="D1715" s="4" t="s">
        <v>45</v>
      </c>
      <c r="E1715" s="4" t="s">
        <v>25</v>
      </c>
      <c r="F1715" s="4" t="s">
        <v>25</v>
      </c>
      <c r="G1715" s="4" t="s">
        <v>25</v>
      </c>
      <c r="H1715" s="4" t="s">
        <v>36</v>
      </c>
      <c r="I1715" s="5">
        <v>44682</v>
      </c>
      <c r="J1715" s="6">
        <v>0</v>
      </c>
      <c r="K1715" s="6">
        <v>0</v>
      </c>
      <c r="L1715" s="6">
        <v>0.64300000000000002</v>
      </c>
      <c r="M1715" s="6">
        <v>0.64300000000000002</v>
      </c>
      <c r="N1715" s="6">
        <v>0.64300000000000002</v>
      </c>
      <c r="O1715" s="6">
        <v>0.64300000000000002</v>
      </c>
      <c r="P1715" s="6">
        <v>0</v>
      </c>
      <c r="Q1715" s="4" t="s">
        <v>26</v>
      </c>
      <c r="R1715" s="4">
        <v>0</v>
      </c>
      <c r="S1715" s="4" t="s">
        <v>432</v>
      </c>
      <c r="T1715" s="4" t="s">
        <v>702</v>
      </c>
      <c r="U1715" s="4">
        <v>0</v>
      </c>
      <c r="V1715" s="4">
        <v>64</v>
      </c>
      <c r="W1715" s="4">
        <v>108</v>
      </c>
    </row>
    <row r="1716" spans="1:23" ht="11.25" customHeight="1" x14ac:dyDescent="0.25">
      <c r="A1716" s="4" t="s">
        <v>29</v>
      </c>
      <c r="B1716" s="4" t="s">
        <v>39</v>
      </c>
      <c r="C1716" s="4" t="s">
        <v>35</v>
      </c>
      <c r="D1716" s="4" t="s">
        <v>45</v>
      </c>
      <c r="E1716" s="4" t="s">
        <v>25</v>
      </c>
      <c r="F1716" s="4" t="s">
        <v>25</v>
      </c>
      <c r="G1716" s="4" t="s">
        <v>25</v>
      </c>
      <c r="H1716" s="4" t="s">
        <v>36</v>
      </c>
      <c r="I1716" s="5">
        <v>44682</v>
      </c>
      <c r="J1716" s="6">
        <v>0</v>
      </c>
      <c r="K1716" s="6">
        <v>0</v>
      </c>
      <c r="L1716" s="6">
        <v>-1.21</v>
      </c>
      <c r="M1716" s="6">
        <v>-1.21</v>
      </c>
      <c r="N1716" s="6">
        <v>-1.21</v>
      </c>
      <c r="O1716" s="6">
        <v>-1.21</v>
      </c>
      <c r="P1716" s="6">
        <v>0</v>
      </c>
      <c r="Q1716" s="4" t="s">
        <v>26</v>
      </c>
      <c r="R1716" s="4">
        <v>0</v>
      </c>
      <c r="S1716" s="4" t="s">
        <v>432</v>
      </c>
      <c r="T1716" s="4" t="s">
        <v>702</v>
      </c>
      <c r="U1716" s="4">
        <v>0</v>
      </c>
      <c r="V1716" s="4">
        <v>64</v>
      </c>
      <c r="W1716" s="4">
        <v>108</v>
      </c>
    </row>
    <row r="1717" spans="1:23" ht="11.25" customHeight="1" x14ac:dyDescent="0.25">
      <c r="A1717" s="4" t="s">
        <v>30</v>
      </c>
      <c r="B1717" s="4" t="s">
        <v>39</v>
      </c>
      <c r="C1717" s="4" t="s">
        <v>35</v>
      </c>
      <c r="D1717" s="4" t="s">
        <v>45</v>
      </c>
      <c r="E1717" s="4" t="s">
        <v>25</v>
      </c>
      <c r="F1717" s="4" t="s">
        <v>25</v>
      </c>
      <c r="G1717" s="4" t="s">
        <v>25</v>
      </c>
      <c r="H1717" s="4" t="s">
        <v>36</v>
      </c>
      <c r="I1717" s="5">
        <v>44682</v>
      </c>
      <c r="J1717" s="6">
        <v>0</v>
      </c>
      <c r="K1717" s="6">
        <v>0</v>
      </c>
      <c r="L1717" s="6">
        <v>6.7000000000000004E-2</v>
      </c>
      <c r="M1717" s="6">
        <v>6.7000000000000004E-2</v>
      </c>
      <c r="N1717" s="6">
        <v>6.7000000000000004E-2</v>
      </c>
      <c r="O1717" s="6">
        <v>6.7000000000000004E-2</v>
      </c>
      <c r="P1717" s="6">
        <v>0</v>
      </c>
      <c r="Q1717" s="4" t="s">
        <v>26</v>
      </c>
      <c r="R1717" s="4">
        <v>0</v>
      </c>
      <c r="S1717" s="4" t="s">
        <v>432</v>
      </c>
      <c r="T1717" s="4" t="s">
        <v>702</v>
      </c>
      <c r="U1717" s="4">
        <v>0</v>
      </c>
      <c r="V1717" s="4">
        <v>64</v>
      </c>
      <c r="W1717" s="4">
        <v>108</v>
      </c>
    </row>
    <row r="1718" spans="1:23" ht="11.25" customHeight="1" x14ac:dyDescent="0.25">
      <c r="A1718" s="4" t="s">
        <v>21</v>
      </c>
      <c r="B1718" s="4" t="s">
        <v>39</v>
      </c>
      <c r="C1718" s="4" t="s">
        <v>35</v>
      </c>
      <c r="D1718" s="4" t="s">
        <v>45</v>
      </c>
      <c r="E1718" s="4" t="s">
        <v>25</v>
      </c>
      <c r="F1718" s="4" t="s">
        <v>25</v>
      </c>
      <c r="G1718" s="4" t="s">
        <v>25</v>
      </c>
      <c r="H1718" s="4" t="s">
        <v>36</v>
      </c>
      <c r="I1718" s="5">
        <v>44713</v>
      </c>
      <c r="J1718" s="6">
        <v>0</v>
      </c>
      <c r="K1718" s="6">
        <v>0</v>
      </c>
      <c r="L1718" s="6">
        <v>5.0389999999999997</v>
      </c>
      <c r="M1718" s="6">
        <v>5.0389999999999997</v>
      </c>
      <c r="N1718" s="6">
        <v>5.0389999999999997</v>
      </c>
      <c r="O1718" s="6">
        <v>5.0389999999999997</v>
      </c>
      <c r="P1718" s="6">
        <v>0</v>
      </c>
      <c r="Q1718" s="4" t="s">
        <v>26</v>
      </c>
      <c r="R1718" s="4">
        <v>0</v>
      </c>
      <c r="S1718" s="4" t="s">
        <v>433</v>
      </c>
      <c r="T1718" s="4" t="s">
        <v>703</v>
      </c>
      <c r="U1718" s="4">
        <v>0</v>
      </c>
      <c r="V1718" s="4">
        <v>64</v>
      </c>
      <c r="W1718" s="4">
        <v>108</v>
      </c>
    </row>
    <row r="1719" spans="1:23" ht="11.25" customHeight="1" x14ac:dyDescent="0.25">
      <c r="A1719" s="4" t="s">
        <v>28</v>
      </c>
      <c r="B1719" s="4" t="s">
        <v>39</v>
      </c>
      <c r="C1719" s="4" t="s">
        <v>35</v>
      </c>
      <c r="D1719" s="4" t="s">
        <v>45</v>
      </c>
      <c r="E1719" s="4" t="s">
        <v>25</v>
      </c>
      <c r="F1719" s="4" t="s">
        <v>25</v>
      </c>
      <c r="G1719" s="4" t="s">
        <v>25</v>
      </c>
      <c r="H1719" s="4" t="s">
        <v>36</v>
      </c>
      <c r="I1719" s="5">
        <v>44713</v>
      </c>
      <c r="J1719" s="6">
        <v>0</v>
      </c>
      <c r="K1719" s="6">
        <v>0</v>
      </c>
      <c r="L1719" s="6">
        <v>0.755</v>
      </c>
      <c r="M1719" s="6">
        <v>0.755</v>
      </c>
      <c r="N1719" s="6">
        <v>0.755</v>
      </c>
      <c r="O1719" s="6">
        <v>0.755</v>
      </c>
      <c r="P1719" s="6">
        <v>0</v>
      </c>
      <c r="Q1719" s="4" t="s">
        <v>26</v>
      </c>
      <c r="R1719" s="4">
        <v>0</v>
      </c>
      <c r="S1719" s="4" t="s">
        <v>433</v>
      </c>
      <c r="T1719" s="4" t="s">
        <v>703</v>
      </c>
      <c r="U1719" s="4">
        <v>0</v>
      </c>
      <c r="V1719" s="4">
        <v>64</v>
      </c>
      <c r="W1719" s="4">
        <v>108</v>
      </c>
    </row>
    <row r="1720" spans="1:23" ht="11.25" customHeight="1" x14ac:dyDescent="0.25">
      <c r="A1720" s="4" t="s">
        <v>21</v>
      </c>
      <c r="B1720" s="4" t="s">
        <v>39</v>
      </c>
      <c r="C1720" s="4" t="s">
        <v>35</v>
      </c>
      <c r="D1720" s="4" t="s">
        <v>45</v>
      </c>
      <c r="E1720" s="4" t="s">
        <v>25</v>
      </c>
      <c r="F1720" s="4" t="s">
        <v>25</v>
      </c>
      <c r="G1720" s="4" t="s">
        <v>25</v>
      </c>
      <c r="H1720" s="4" t="s">
        <v>36</v>
      </c>
      <c r="I1720" s="5">
        <v>44743</v>
      </c>
      <c r="J1720" s="6">
        <v>0</v>
      </c>
      <c r="K1720" s="6">
        <v>0</v>
      </c>
      <c r="L1720" s="6">
        <v>6.3769999999999998</v>
      </c>
      <c r="M1720" s="6">
        <v>6.3769999999999998</v>
      </c>
      <c r="N1720" s="6">
        <v>6.3769999999999998</v>
      </c>
      <c r="O1720" s="6">
        <v>6.3769999999999998</v>
      </c>
      <c r="P1720" s="6">
        <v>0</v>
      </c>
      <c r="Q1720" s="4" t="s">
        <v>26</v>
      </c>
      <c r="R1720" s="4">
        <v>0</v>
      </c>
      <c r="S1720" s="4" t="s">
        <v>434</v>
      </c>
      <c r="T1720" s="4" t="s">
        <v>704</v>
      </c>
      <c r="U1720" s="4">
        <v>0</v>
      </c>
      <c r="V1720" s="4">
        <v>64</v>
      </c>
      <c r="W1720" s="4">
        <v>108</v>
      </c>
    </row>
    <row r="1721" spans="1:23" ht="11.25" customHeight="1" x14ac:dyDescent="0.25">
      <c r="A1721" s="4" t="s">
        <v>27</v>
      </c>
      <c r="B1721" s="4" t="s">
        <v>39</v>
      </c>
      <c r="C1721" s="4" t="s">
        <v>35</v>
      </c>
      <c r="D1721" s="4" t="s">
        <v>45</v>
      </c>
      <c r="E1721" s="4" t="s">
        <v>25</v>
      </c>
      <c r="F1721" s="4" t="s">
        <v>25</v>
      </c>
      <c r="G1721" s="4" t="s">
        <v>25</v>
      </c>
      <c r="H1721" s="4" t="s">
        <v>36</v>
      </c>
      <c r="I1721" s="5">
        <v>44743</v>
      </c>
      <c r="J1721" s="6">
        <v>0</v>
      </c>
      <c r="K1721" s="6">
        <v>0</v>
      </c>
      <c r="L1721" s="6">
        <v>0.22</v>
      </c>
      <c r="M1721" s="6">
        <v>0.22</v>
      </c>
      <c r="N1721" s="6">
        <v>0.22</v>
      </c>
      <c r="O1721" s="6">
        <v>0.22</v>
      </c>
      <c r="P1721" s="6">
        <v>0</v>
      </c>
      <c r="Q1721" s="4" t="s">
        <v>26</v>
      </c>
      <c r="R1721" s="4">
        <v>0</v>
      </c>
      <c r="S1721" s="4" t="s">
        <v>434</v>
      </c>
      <c r="T1721" s="4" t="s">
        <v>704</v>
      </c>
      <c r="U1721" s="4">
        <v>0</v>
      </c>
      <c r="V1721" s="4">
        <v>64</v>
      </c>
      <c r="W1721" s="4">
        <v>108</v>
      </c>
    </row>
    <row r="1722" spans="1:23" ht="11.25" customHeight="1" x14ac:dyDescent="0.25">
      <c r="A1722" s="4" t="s">
        <v>28</v>
      </c>
      <c r="B1722" s="4" t="s">
        <v>39</v>
      </c>
      <c r="C1722" s="4" t="s">
        <v>35</v>
      </c>
      <c r="D1722" s="4" t="s">
        <v>45</v>
      </c>
      <c r="E1722" s="4" t="s">
        <v>25</v>
      </c>
      <c r="F1722" s="4" t="s">
        <v>25</v>
      </c>
      <c r="G1722" s="4" t="s">
        <v>25</v>
      </c>
      <c r="H1722" s="4" t="s">
        <v>36</v>
      </c>
      <c r="I1722" s="5">
        <v>44743</v>
      </c>
      <c r="J1722" s="6">
        <v>0</v>
      </c>
      <c r="K1722" s="6">
        <v>0</v>
      </c>
      <c r="L1722" s="6">
        <v>0.50900000000000001</v>
      </c>
      <c r="M1722" s="6">
        <v>0.50900000000000001</v>
      </c>
      <c r="N1722" s="6">
        <v>0.50900000000000001</v>
      </c>
      <c r="O1722" s="6">
        <v>0.50900000000000001</v>
      </c>
      <c r="P1722" s="6">
        <v>0</v>
      </c>
      <c r="Q1722" s="4" t="s">
        <v>26</v>
      </c>
      <c r="R1722" s="4">
        <v>0</v>
      </c>
      <c r="S1722" s="4" t="s">
        <v>434</v>
      </c>
      <c r="T1722" s="4" t="s">
        <v>704</v>
      </c>
      <c r="U1722" s="4">
        <v>0</v>
      </c>
      <c r="V1722" s="4">
        <v>64</v>
      </c>
      <c r="W1722" s="4">
        <v>108</v>
      </c>
    </row>
    <row r="1723" spans="1:23" ht="11.25" customHeight="1" x14ac:dyDescent="0.25">
      <c r="A1723" s="4" t="s">
        <v>30</v>
      </c>
      <c r="B1723" s="4" t="s">
        <v>39</v>
      </c>
      <c r="C1723" s="4" t="s">
        <v>35</v>
      </c>
      <c r="D1723" s="4" t="s">
        <v>45</v>
      </c>
      <c r="E1723" s="4" t="s">
        <v>25</v>
      </c>
      <c r="F1723" s="4" t="s">
        <v>25</v>
      </c>
      <c r="G1723" s="4" t="s">
        <v>25</v>
      </c>
      <c r="H1723" s="4" t="s">
        <v>36</v>
      </c>
      <c r="I1723" s="5">
        <v>44743</v>
      </c>
      <c r="J1723" s="6">
        <v>0</v>
      </c>
      <c r="K1723" s="6">
        <v>0</v>
      </c>
      <c r="L1723" s="6">
        <v>5.8999999999999997E-2</v>
      </c>
      <c r="M1723" s="6">
        <v>5.8999999999999997E-2</v>
      </c>
      <c r="N1723" s="6">
        <v>5.8999999999999997E-2</v>
      </c>
      <c r="O1723" s="6">
        <v>5.8999999999999997E-2</v>
      </c>
      <c r="P1723" s="6">
        <v>0</v>
      </c>
      <c r="Q1723" s="4" t="s">
        <v>26</v>
      </c>
      <c r="R1723" s="4">
        <v>0</v>
      </c>
      <c r="S1723" s="4" t="s">
        <v>434</v>
      </c>
      <c r="T1723" s="4" t="s">
        <v>704</v>
      </c>
      <c r="U1723" s="4">
        <v>0</v>
      </c>
      <c r="V1723" s="4">
        <v>64</v>
      </c>
      <c r="W1723" s="4">
        <v>108</v>
      </c>
    </row>
    <row r="1724" spans="1:23" ht="11.25" customHeight="1" x14ac:dyDescent="0.25">
      <c r="A1724" s="4" t="s">
        <v>21</v>
      </c>
      <c r="B1724" s="4" t="s">
        <v>39</v>
      </c>
      <c r="C1724" s="4" t="s">
        <v>35</v>
      </c>
      <c r="D1724" s="4" t="s">
        <v>45</v>
      </c>
      <c r="E1724" s="4" t="s">
        <v>25</v>
      </c>
      <c r="F1724" s="4" t="s">
        <v>25</v>
      </c>
      <c r="G1724" s="4" t="s">
        <v>25</v>
      </c>
      <c r="H1724" s="4" t="s">
        <v>36</v>
      </c>
      <c r="I1724" s="5">
        <v>44774</v>
      </c>
      <c r="J1724" s="6">
        <v>0</v>
      </c>
      <c r="K1724" s="6">
        <v>0</v>
      </c>
      <c r="L1724" s="6">
        <v>4.97</v>
      </c>
      <c r="M1724" s="6">
        <v>4.97</v>
      </c>
      <c r="N1724" s="6">
        <v>4.97</v>
      </c>
      <c r="O1724" s="6">
        <v>4.97</v>
      </c>
      <c r="P1724" s="6">
        <v>0</v>
      </c>
      <c r="Q1724" s="4" t="s">
        <v>26</v>
      </c>
      <c r="R1724" s="4">
        <v>0</v>
      </c>
      <c r="S1724" s="4" t="s">
        <v>435</v>
      </c>
      <c r="T1724" s="4" t="s">
        <v>705</v>
      </c>
      <c r="U1724" s="4">
        <v>0</v>
      </c>
      <c r="V1724" s="4">
        <v>64</v>
      </c>
      <c r="W1724" s="4">
        <v>108</v>
      </c>
    </row>
    <row r="1725" spans="1:23" ht="11.25" customHeight="1" x14ac:dyDescent="0.25">
      <c r="A1725" s="4" t="s">
        <v>27</v>
      </c>
      <c r="B1725" s="4" t="s">
        <v>39</v>
      </c>
      <c r="C1725" s="4" t="s">
        <v>35</v>
      </c>
      <c r="D1725" s="4" t="s">
        <v>45</v>
      </c>
      <c r="E1725" s="4" t="s">
        <v>25</v>
      </c>
      <c r="F1725" s="4" t="s">
        <v>25</v>
      </c>
      <c r="G1725" s="4" t="s">
        <v>25</v>
      </c>
      <c r="H1725" s="4" t="s">
        <v>36</v>
      </c>
      <c r="I1725" s="5">
        <v>44774</v>
      </c>
      <c r="J1725" s="6">
        <v>0</v>
      </c>
      <c r="K1725" s="6">
        <v>0</v>
      </c>
      <c r="L1725" s="6">
        <v>-0.81100000000000005</v>
      </c>
      <c r="M1725" s="6">
        <v>-0.81100000000000005</v>
      </c>
      <c r="N1725" s="6">
        <v>-0.81100000000000005</v>
      </c>
      <c r="O1725" s="6">
        <v>-0.81100000000000005</v>
      </c>
      <c r="P1725" s="6">
        <v>0</v>
      </c>
      <c r="Q1725" s="4" t="s">
        <v>26</v>
      </c>
      <c r="R1725" s="4">
        <v>0</v>
      </c>
      <c r="S1725" s="4" t="s">
        <v>435</v>
      </c>
      <c r="T1725" s="4" t="s">
        <v>705</v>
      </c>
      <c r="U1725" s="4">
        <v>0</v>
      </c>
      <c r="V1725" s="4">
        <v>64</v>
      </c>
      <c r="W1725" s="4">
        <v>108</v>
      </c>
    </row>
    <row r="1726" spans="1:23" ht="11.25" customHeight="1" x14ac:dyDescent="0.25">
      <c r="A1726" s="4" t="s">
        <v>28</v>
      </c>
      <c r="B1726" s="4" t="s">
        <v>39</v>
      </c>
      <c r="C1726" s="4" t="s">
        <v>35</v>
      </c>
      <c r="D1726" s="4" t="s">
        <v>45</v>
      </c>
      <c r="E1726" s="4" t="s">
        <v>25</v>
      </c>
      <c r="F1726" s="4" t="s">
        <v>25</v>
      </c>
      <c r="G1726" s="4" t="s">
        <v>25</v>
      </c>
      <c r="H1726" s="4" t="s">
        <v>36</v>
      </c>
      <c r="I1726" s="5">
        <v>44774</v>
      </c>
      <c r="J1726" s="6">
        <v>0</v>
      </c>
      <c r="K1726" s="6">
        <v>0</v>
      </c>
      <c r="L1726" s="6">
        <v>0.495</v>
      </c>
      <c r="M1726" s="6">
        <v>0.495</v>
      </c>
      <c r="N1726" s="6">
        <v>0.495</v>
      </c>
      <c r="O1726" s="6">
        <v>0.495</v>
      </c>
      <c r="P1726" s="6">
        <v>0</v>
      </c>
      <c r="Q1726" s="4" t="s">
        <v>26</v>
      </c>
      <c r="R1726" s="4">
        <v>0</v>
      </c>
      <c r="S1726" s="4" t="s">
        <v>435</v>
      </c>
      <c r="T1726" s="4" t="s">
        <v>705</v>
      </c>
      <c r="U1726" s="4">
        <v>0</v>
      </c>
      <c r="V1726" s="4">
        <v>64</v>
      </c>
      <c r="W1726" s="4">
        <v>108</v>
      </c>
    </row>
    <row r="1727" spans="1:23" ht="11.25" customHeight="1" x14ac:dyDescent="0.25">
      <c r="A1727" s="4" t="s">
        <v>30</v>
      </c>
      <c r="B1727" s="4" t="s">
        <v>39</v>
      </c>
      <c r="C1727" s="4" t="s">
        <v>35</v>
      </c>
      <c r="D1727" s="4" t="s">
        <v>45</v>
      </c>
      <c r="E1727" s="4" t="s">
        <v>25</v>
      </c>
      <c r="F1727" s="4" t="s">
        <v>25</v>
      </c>
      <c r="G1727" s="4" t="s">
        <v>25</v>
      </c>
      <c r="H1727" s="4" t="s">
        <v>36</v>
      </c>
      <c r="I1727" s="5">
        <v>44774</v>
      </c>
      <c r="J1727" s="6">
        <v>0</v>
      </c>
      <c r="K1727" s="6">
        <v>0</v>
      </c>
      <c r="L1727" s="6">
        <v>1.524</v>
      </c>
      <c r="M1727" s="6">
        <v>1.524</v>
      </c>
      <c r="N1727" s="6">
        <v>1.524</v>
      </c>
      <c r="O1727" s="6">
        <v>1.524</v>
      </c>
      <c r="P1727" s="6">
        <v>0</v>
      </c>
      <c r="Q1727" s="4" t="s">
        <v>26</v>
      </c>
      <c r="R1727" s="4">
        <v>0</v>
      </c>
      <c r="S1727" s="4" t="s">
        <v>435</v>
      </c>
      <c r="T1727" s="4" t="s">
        <v>705</v>
      </c>
      <c r="U1727" s="4">
        <v>0</v>
      </c>
      <c r="V1727" s="4">
        <v>64</v>
      </c>
      <c r="W1727" s="4">
        <v>108</v>
      </c>
    </row>
    <row r="1728" spans="1:23" ht="11.25" customHeight="1" x14ac:dyDescent="0.25">
      <c r="A1728" s="4" t="s">
        <v>21</v>
      </c>
      <c r="B1728" s="4" t="s">
        <v>39</v>
      </c>
      <c r="C1728" s="4" t="s">
        <v>35</v>
      </c>
      <c r="D1728" s="4" t="s">
        <v>45</v>
      </c>
      <c r="E1728" s="4" t="s">
        <v>25</v>
      </c>
      <c r="F1728" s="4" t="s">
        <v>25</v>
      </c>
      <c r="G1728" s="4" t="s">
        <v>25</v>
      </c>
      <c r="H1728" s="4" t="s">
        <v>36</v>
      </c>
      <c r="I1728" s="5">
        <v>44805</v>
      </c>
      <c r="J1728" s="6">
        <v>0</v>
      </c>
      <c r="K1728" s="6">
        <v>0</v>
      </c>
      <c r="L1728" s="6">
        <v>5.891</v>
      </c>
      <c r="M1728" s="6">
        <v>5.891</v>
      </c>
      <c r="N1728" s="6">
        <v>5.891</v>
      </c>
      <c r="O1728" s="6">
        <v>5.891</v>
      </c>
      <c r="P1728" s="6">
        <v>0</v>
      </c>
      <c r="Q1728" s="4" t="s">
        <v>26</v>
      </c>
      <c r="R1728" s="4">
        <v>0</v>
      </c>
      <c r="S1728" s="4" t="s">
        <v>436</v>
      </c>
      <c r="T1728" s="4" t="s">
        <v>706</v>
      </c>
      <c r="U1728" s="4">
        <v>0</v>
      </c>
      <c r="V1728" s="4">
        <v>64</v>
      </c>
      <c r="W1728" s="4">
        <v>108</v>
      </c>
    </row>
    <row r="1729" spans="1:23" ht="11.25" customHeight="1" x14ac:dyDescent="0.25">
      <c r="A1729" s="4" t="s">
        <v>27</v>
      </c>
      <c r="B1729" s="4" t="s">
        <v>39</v>
      </c>
      <c r="C1729" s="4" t="s">
        <v>35</v>
      </c>
      <c r="D1729" s="4" t="s">
        <v>45</v>
      </c>
      <c r="E1729" s="4" t="s">
        <v>25</v>
      </c>
      <c r="F1729" s="4" t="s">
        <v>25</v>
      </c>
      <c r="G1729" s="4" t="s">
        <v>25</v>
      </c>
      <c r="H1729" s="4" t="s">
        <v>36</v>
      </c>
      <c r="I1729" s="5">
        <v>44805</v>
      </c>
      <c r="J1729" s="6">
        <v>0</v>
      </c>
      <c r="K1729" s="6">
        <v>0</v>
      </c>
      <c r="L1729" s="6">
        <v>-3.0000000000000001E-3</v>
      </c>
      <c r="M1729" s="6">
        <v>-3.0000000000000001E-3</v>
      </c>
      <c r="N1729" s="6">
        <v>-3.0000000000000001E-3</v>
      </c>
      <c r="O1729" s="6">
        <v>-3.0000000000000001E-3</v>
      </c>
      <c r="P1729" s="6">
        <v>0</v>
      </c>
      <c r="Q1729" s="4" t="s">
        <v>26</v>
      </c>
      <c r="R1729" s="4">
        <v>0</v>
      </c>
      <c r="S1729" s="4" t="s">
        <v>436</v>
      </c>
      <c r="T1729" s="4" t="s">
        <v>706</v>
      </c>
      <c r="U1729" s="4">
        <v>0</v>
      </c>
      <c r="V1729" s="4">
        <v>64</v>
      </c>
      <c r="W1729" s="4">
        <v>108</v>
      </c>
    </row>
    <row r="1730" spans="1:23" ht="11.25" customHeight="1" x14ac:dyDescent="0.25">
      <c r="A1730" s="4" t="s">
        <v>28</v>
      </c>
      <c r="B1730" s="4" t="s">
        <v>39</v>
      </c>
      <c r="C1730" s="4" t="s">
        <v>35</v>
      </c>
      <c r="D1730" s="4" t="s">
        <v>45</v>
      </c>
      <c r="E1730" s="4" t="s">
        <v>25</v>
      </c>
      <c r="F1730" s="4" t="s">
        <v>25</v>
      </c>
      <c r="G1730" s="4" t="s">
        <v>25</v>
      </c>
      <c r="H1730" s="4" t="s">
        <v>36</v>
      </c>
      <c r="I1730" s="5">
        <v>44805</v>
      </c>
      <c r="J1730" s="6">
        <v>0</v>
      </c>
      <c r="K1730" s="6">
        <v>0</v>
      </c>
      <c r="L1730" s="6">
        <v>0.505</v>
      </c>
      <c r="M1730" s="6">
        <v>0.505</v>
      </c>
      <c r="N1730" s="6">
        <v>0.505</v>
      </c>
      <c r="O1730" s="6">
        <v>0.505</v>
      </c>
      <c r="P1730" s="6">
        <v>0</v>
      </c>
      <c r="Q1730" s="4" t="s">
        <v>26</v>
      </c>
      <c r="R1730" s="4">
        <v>0</v>
      </c>
      <c r="S1730" s="4" t="s">
        <v>436</v>
      </c>
      <c r="T1730" s="4" t="s">
        <v>706</v>
      </c>
      <c r="U1730" s="4">
        <v>0</v>
      </c>
      <c r="V1730" s="4">
        <v>64</v>
      </c>
      <c r="W1730" s="4">
        <v>108</v>
      </c>
    </row>
    <row r="1731" spans="1:23" ht="11.25" customHeight="1" x14ac:dyDescent="0.25">
      <c r="A1731" s="4" t="s">
        <v>30</v>
      </c>
      <c r="B1731" s="4" t="s">
        <v>39</v>
      </c>
      <c r="C1731" s="4" t="s">
        <v>35</v>
      </c>
      <c r="D1731" s="4" t="s">
        <v>45</v>
      </c>
      <c r="E1731" s="4" t="s">
        <v>25</v>
      </c>
      <c r="F1731" s="4" t="s">
        <v>25</v>
      </c>
      <c r="G1731" s="4" t="s">
        <v>25</v>
      </c>
      <c r="H1731" s="4" t="s">
        <v>36</v>
      </c>
      <c r="I1731" s="5">
        <v>44805</v>
      </c>
      <c r="J1731" s="6">
        <v>0</v>
      </c>
      <c r="K1731" s="6">
        <v>0</v>
      </c>
      <c r="L1731" s="6">
        <v>0.217</v>
      </c>
      <c r="M1731" s="6">
        <v>0.217</v>
      </c>
      <c r="N1731" s="6">
        <v>0.217</v>
      </c>
      <c r="O1731" s="6">
        <v>0.217</v>
      </c>
      <c r="P1731" s="6">
        <v>0</v>
      </c>
      <c r="Q1731" s="4" t="s">
        <v>26</v>
      </c>
      <c r="R1731" s="4">
        <v>0</v>
      </c>
      <c r="S1731" s="4" t="s">
        <v>436</v>
      </c>
      <c r="T1731" s="4" t="s">
        <v>706</v>
      </c>
      <c r="U1731" s="4">
        <v>0</v>
      </c>
      <c r="V1731" s="4">
        <v>64</v>
      </c>
      <c r="W1731" s="4">
        <v>108</v>
      </c>
    </row>
    <row r="1732" spans="1:23" ht="11.25" customHeight="1" x14ac:dyDescent="0.25">
      <c r="A1732" s="4" t="s">
        <v>30</v>
      </c>
      <c r="B1732" s="4" t="s">
        <v>39</v>
      </c>
      <c r="C1732" s="4" t="s">
        <v>35</v>
      </c>
      <c r="D1732" s="4" t="s">
        <v>45</v>
      </c>
      <c r="E1732" s="4" t="s">
        <v>25</v>
      </c>
      <c r="F1732" s="4" t="s">
        <v>25</v>
      </c>
      <c r="G1732" s="4" t="s">
        <v>25</v>
      </c>
      <c r="H1732" s="4" t="s">
        <v>36</v>
      </c>
      <c r="I1732" s="5">
        <v>44805</v>
      </c>
      <c r="J1732" s="6">
        <v>0</v>
      </c>
      <c r="K1732" s="6">
        <v>0</v>
      </c>
      <c r="L1732" s="6">
        <v>-1.4970000000000001</v>
      </c>
      <c r="M1732" s="6">
        <v>-1.4970000000000001</v>
      </c>
      <c r="N1732" s="6">
        <v>-1.4970000000000001</v>
      </c>
      <c r="O1732" s="6">
        <v>-1.4970000000000001</v>
      </c>
      <c r="P1732" s="6">
        <v>0</v>
      </c>
      <c r="Q1732" s="4" t="s">
        <v>26</v>
      </c>
      <c r="R1732" s="4">
        <v>0</v>
      </c>
      <c r="S1732" s="4" t="s">
        <v>436</v>
      </c>
      <c r="T1732" s="4" t="s">
        <v>706</v>
      </c>
      <c r="U1732" s="4">
        <v>0</v>
      </c>
      <c r="V1732" s="4">
        <v>64</v>
      </c>
      <c r="W1732" s="4">
        <v>108</v>
      </c>
    </row>
    <row r="1733" spans="1:23" ht="11.25" customHeight="1" x14ac:dyDescent="0.25">
      <c r="A1733" s="4" t="s">
        <v>21</v>
      </c>
      <c r="B1733" s="4" t="s">
        <v>39</v>
      </c>
      <c r="C1733" s="4" t="s">
        <v>35</v>
      </c>
      <c r="D1733" s="4" t="s">
        <v>45</v>
      </c>
      <c r="E1733" s="4" t="s">
        <v>25</v>
      </c>
      <c r="F1733" s="4" t="s">
        <v>25</v>
      </c>
      <c r="G1733" s="4" t="s">
        <v>25</v>
      </c>
      <c r="H1733" s="4" t="s">
        <v>36</v>
      </c>
      <c r="I1733" s="5">
        <v>44835</v>
      </c>
      <c r="J1733" s="6">
        <v>0</v>
      </c>
      <c r="K1733" s="6">
        <v>0</v>
      </c>
      <c r="L1733" s="6">
        <v>5.2279999999999998</v>
      </c>
      <c r="M1733" s="6">
        <v>5.2279999999999998</v>
      </c>
      <c r="N1733" s="6">
        <v>5.2279999999999998</v>
      </c>
      <c r="O1733" s="6">
        <v>5.2279999999999998</v>
      </c>
      <c r="P1733" s="6">
        <v>0</v>
      </c>
      <c r="Q1733" s="4" t="s">
        <v>26</v>
      </c>
      <c r="R1733" s="4">
        <v>0</v>
      </c>
      <c r="S1733" s="4" t="s">
        <v>437</v>
      </c>
      <c r="T1733" s="4" t="s">
        <v>707</v>
      </c>
      <c r="U1733" s="4">
        <v>0</v>
      </c>
      <c r="V1733" s="4">
        <v>64</v>
      </c>
      <c r="W1733" s="4">
        <v>108</v>
      </c>
    </row>
    <row r="1734" spans="1:23" ht="11.25" customHeight="1" x14ac:dyDescent="0.25">
      <c r="A1734" s="4" t="s">
        <v>28</v>
      </c>
      <c r="B1734" s="4" t="s">
        <v>39</v>
      </c>
      <c r="C1734" s="4" t="s">
        <v>35</v>
      </c>
      <c r="D1734" s="4" t="s">
        <v>45</v>
      </c>
      <c r="E1734" s="4" t="s">
        <v>25</v>
      </c>
      <c r="F1734" s="4" t="s">
        <v>25</v>
      </c>
      <c r="G1734" s="4" t="s">
        <v>25</v>
      </c>
      <c r="H1734" s="4" t="s">
        <v>36</v>
      </c>
      <c r="I1734" s="5">
        <v>44835</v>
      </c>
      <c r="J1734" s="6">
        <v>0</v>
      </c>
      <c r="K1734" s="6">
        <v>0</v>
      </c>
      <c r="L1734" s="6">
        <v>0.63900000000000001</v>
      </c>
      <c r="M1734" s="6">
        <v>0.63900000000000001</v>
      </c>
      <c r="N1734" s="6">
        <v>0.63900000000000001</v>
      </c>
      <c r="O1734" s="6">
        <v>0.63900000000000001</v>
      </c>
      <c r="P1734" s="6">
        <v>0</v>
      </c>
      <c r="Q1734" s="4" t="s">
        <v>26</v>
      </c>
      <c r="R1734" s="4">
        <v>0</v>
      </c>
      <c r="S1734" s="4" t="s">
        <v>437</v>
      </c>
      <c r="T1734" s="4" t="s">
        <v>707</v>
      </c>
      <c r="U1734" s="4">
        <v>0</v>
      </c>
      <c r="V1734" s="4">
        <v>64</v>
      </c>
      <c r="W1734" s="4">
        <v>108</v>
      </c>
    </row>
    <row r="1735" spans="1:23" ht="11.25" customHeight="1" x14ac:dyDescent="0.25">
      <c r="A1735" s="4" t="s">
        <v>30</v>
      </c>
      <c r="B1735" s="4" t="s">
        <v>39</v>
      </c>
      <c r="C1735" s="4" t="s">
        <v>35</v>
      </c>
      <c r="D1735" s="4" t="s">
        <v>45</v>
      </c>
      <c r="E1735" s="4" t="s">
        <v>25</v>
      </c>
      <c r="F1735" s="4" t="s">
        <v>25</v>
      </c>
      <c r="G1735" s="4" t="s">
        <v>25</v>
      </c>
      <c r="H1735" s="4" t="s">
        <v>36</v>
      </c>
      <c r="I1735" s="5">
        <v>44835</v>
      </c>
      <c r="J1735" s="6">
        <v>0</v>
      </c>
      <c r="K1735" s="6">
        <v>0</v>
      </c>
      <c r="L1735" s="6">
        <v>-0.152</v>
      </c>
      <c r="M1735" s="6">
        <v>-0.152</v>
      </c>
      <c r="N1735" s="6">
        <v>-0.152</v>
      </c>
      <c r="O1735" s="6">
        <v>-0.152</v>
      </c>
      <c r="P1735" s="6">
        <v>0</v>
      </c>
      <c r="Q1735" s="4" t="s">
        <v>26</v>
      </c>
      <c r="R1735" s="4">
        <v>0</v>
      </c>
      <c r="S1735" s="4" t="s">
        <v>437</v>
      </c>
      <c r="T1735" s="4" t="s">
        <v>707</v>
      </c>
      <c r="U1735" s="4">
        <v>0</v>
      </c>
      <c r="V1735" s="4">
        <v>64</v>
      </c>
      <c r="W1735" s="4">
        <v>108</v>
      </c>
    </row>
    <row r="1736" spans="1:23" ht="11.25" customHeight="1" x14ac:dyDescent="0.25">
      <c r="A1736" s="4" t="s">
        <v>59</v>
      </c>
      <c r="B1736" s="4" t="s">
        <v>39</v>
      </c>
      <c r="C1736" s="4" t="s">
        <v>35</v>
      </c>
      <c r="D1736" s="4" t="s">
        <v>45</v>
      </c>
      <c r="E1736" s="4" t="s">
        <v>25</v>
      </c>
      <c r="F1736" s="4" t="s">
        <v>25</v>
      </c>
      <c r="G1736" s="4" t="s">
        <v>25</v>
      </c>
      <c r="H1736" s="4" t="s">
        <v>36</v>
      </c>
      <c r="I1736" s="5">
        <v>44866</v>
      </c>
      <c r="J1736" s="6">
        <v>0</v>
      </c>
      <c r="K1736" s="6">
        <v>0</v>
      </c>
      <c r="L1736" s="6">
        <v>5.2279999999999998</v>
      </c>
      <c r="M1736" s="6">
        <v>5.2279999999999998</v>
      </c>
      <c r="N1736" s="6">
        <v>5.2279999999999998</v>
      </c>
      <c r="O1736" s="6">
        <v>5.2279999999999998</v>
      </c>
      <c r="P1736" s="6">
        <v>0</v>
      </c>
      <c r="Q1736" s="4" t="s">
        <v>26</v>
      </c>
      <c r="R1736" s="4">
        <v>0</v>
      </c>
      <c r="S1736" s="4" t="s">
        <v>438</v>
      </c>
      <c r="T1736" s="4" t="s">
        <v>708</v>
      </c>
      <c r="U1736" s="4">
        <v>0</v>
      </c>
      <c r="V1736" s="4">
        <v>64</v>
      </c>
      <c r="W1736" s="4">
        <v>108</v>
      </c>
    </row>
    <row r="1737" spans="1:23" ht="11.25" customHeight="1" x14ac:dyDescent="0.25">
      <c r="A1737" s="4" t="s">
        <v>59</v>
      </c>
      <c r="B1737" s="4" t="s">
        <v>39</v>
      </c>
      <c r="C1737" s="4" t="s">
        <v>35</v>
      </c>
      <c r="D1737" s="4" t="s">
        <v>45</v>
      </c>
      <c r="E1737" s="4" t="s">
        <v>25</v>
      </c>
      <c r="F1737" s="4" t="s">
        <v>25</v>
      </c>
      <c r="G1737" s="4" t="s">
        <v>25</v>
      </c>
      <c r="H1737" s="4" t="s">
        <v>36</v>
      </c>
      <c r="I1737" s="5">
        <v>44866</v>
      </c>
      <c r="J1737" s="6">
        <v>0</v>
      </c>
      <c r="K1737" s="6">
        <v>0</v>
      </c>
      <c r="L1737" s="6">
        <v>0.63900000000000001</v>
      </c>
      <c r="M1737" s="6">
        <v>0.63900000000000001</v>
      </c>
      <c r="N1737" s="6">
        <v>0.63900000000000001</v>
      </c>
      <c r="O1737" s="6">
        <v>0.63900000000000001</v>
      </c>
      <c r="P1737" s="6">
        <v>0</v>
      </c>
      <c r="Q1737" s="4" t="s">
        <v>26</v>
      </c>
      <c r="R1737" s="4">
        <v>0</v>
      </c>
      <c r="S1737" s="4" t="s">
        <v>438</v>
      </c>
      <c r="T1737" s="4" t="s">
        <v>708</v>
      </c>
      <c r="U1737" s="4">
        <v>0</v>
      </c>
      <c r="V1737" s="4">
        <v>64</v>
      </c>
      <c r="W1737" s="4">
        <v>108</v>
      </c>
    </row>
    <row r="1738" spans="1:23" ht="11.25" customHeight="1" x14ac:dyDescent="0.25">
      <c r="A1738" s="4" t="s">
        <v>59</v>
      </c>
      <c r="B1738" s="4" t="s">
        <v>39</v>
      </c>
      <c r="C1738" s="4" t="s">
        <v>35</v>
      </c>
      <c r="D1738" s="4" t="s">
        <v>45</v>
      </c>
      <c r="E1738" s="4" t="s">
        <v>25</v>
      </c>
      <c r="F1738" s="4" t="s">
        <v>25</v>
      </c>
      <c r="G1738" s="4" t="s">
        <v>25</v>
      </c>
      <c r="H1738" s="4" t="s">
        <v>36</v>
      </c>
      <c r="I1738" s="5">
        <v>44866</v>
      </c>
      <c r="J1738" s="6">
        <v>0</v>
      </c>
      <c r="K1738" s="6">
        <v>0</v>
      </c>
      <c r="L1738" s="6">
        <v>-0.152</v>
      </c>
      <c r="M1738" s="6">
        <v>-0.152</v>
      </c>
      <c r="N1738" s="6">
        <v>-0.152</v>
      </c>
      <c r="O1738" s="6">
        <v>-0.152</v>
      </c>
      <c r="P1738" s="6">
        <v>0</v>
      </c>
      <c r="Q1738" s="4" t="s">
        <v>26</v>
      </c>
      <c r="R1738" s="4">
        <v>0</v>
      </c>
      <c r="S1738" s="4" t="s">
        <v>438</v>
      </c>
      <c r="T1738" s="4" t="s">
        <v>708</v>
      </c>
      <c r="U1738" s="4">
        <v>0</v>
      </c>
      <c r="V1738" s="4">
        <v>64</v>
      </c>
      <c r="W1738" s="4">
        <v>108</v>
      </c>
    </row>
    <row r="1739" spans="1:23" ht="11.25" customHeight="1" x14ac:dyDescent="0.25">
      <c r="A1739" s="4" t="s">
        <v>21</v>
      </c>
      <c r="B1739" s="4" t="s">
        <v>39</v>
      </c>
      <c r="C1739" s="4" t="s">
        <v>35</v>
      </c>
      <c r="D1739" s="4" t="s">
        <v>40</v>
      </c>
      <c r="E1739" s="4" t="s">
        <v>25</v>
      </c>
      <c r="F1739" s="4" t="s">
        <v>25</v>
      </c>
      <c r="G1739" s="4" t="s">
        <v>25</v>
      </c>
      <c r="H1739" s="4" t="s">
        <v>37</v>
      </c>
      <c r="I1739" s="5">
        <v>44531</v>
      </c>
      <c r="J1739" s="6">
        <v>0</v>
      </c>
      <c r="K1739" s="6">
        <v>0</v>
      </c>
      <c r="L1739" s="6">
        <v>0.28299999999999997</v>
      </c>
      <c r="M1739" s="6">
        <v>0.28299999999999997</v>
      </c>
      <c r="N1739" s="6">
        <v>0.28299999999999997</v>
      </c>
      <c r="O1739" s="6">
        <v>0.28299999999999997</v>
      </c>
      <c r="P1739" s="6">
        <v>0</v>
      </c>
      <c r="Q1739" s="4" t="s">
        <v>26</v>
      </c>
      <c r="R1739" s="4">
        <v>0</v>
      </c>
      <c r="S1739" s="4" t="s">
        <v>403</v>
      </c>
      <c r="T1739" s="4" t="s">
        <v>673</v>
      </c>
      <c r="U1739" s="4">
        <v>0</v>
      </c>
      <c r="V1739" s="4">
        <v>66</v>
      </c>
      <c r="W1739" s="4">
        <v>110</v>
      </c>
    </row>
    <row r="1740" spans="1:23" ht="11.25" customHeight="1" x14ac:dyDescent="0.25">
      <c r="A1740" s="4" t="s">
        <v>21</v>
      </c>
      <c r="B1740" s="4" t="s">
        <v>39</v>
      </c>
      <c r="C1740" s="4" t="s">
        <v>35</v>
      </c>
      <c r="D1740" s="4" t="s">
        <v>40</v>
      </c>
      <c r="E1740" s="4" t="s">
        <v>25</v>
      </c>
      <c r="F1740" s="4" t="s">
        <v>25</v>
      </c>
      <c r="G1740" s="4" t="s">
        <v>25</v>
      </c>
      <c r="H1740" s="4" t="s">
        <v>37</v>
      </c>
      <c r="I1740" s="5">
        <v>44562</v>
      </c>
      <c r="J1740" s="6">
        <v>0</v>
      </c>
      <c r="K1740" s="6">
        <v>0</v>
      </c>
      <c r="L1740" s="6">
        <v>0.38100000000000001</v>
      </c>
      <c r="M1740" s="6">
        <v>0.38100000000000001</v>
      </c>
      <c r="N1740" s="6">
        <v>0.38100000000000001</v>
      </c>
      <c r="O1740" s="6">
        <v>0.38100000000000001</v>
      </c>
      <c r="P1740" s="6">
        <v>0</v>
      </c>
      <c r="Q1740" s="4" t="s">
        <v>26</v>
      </c>
      <c r="R1740" s="4">
        <v>0</v>
      </c>
      <c r="S1740" s="4" t="s">
        <v>404</v>
      </c>
      <c r="T1740" s="4" t="s">
        <v>674</v>
      </c>
      <c r="U1740" s="4">
        <v>0</v>
      </c>
      <c r="V1740" s="4">
        <v>66</v>
      </c>
      <c r="W1740" s="4">
        <v>110</v>
      </c>
    </row>
    <row r="1741" spans="1:23" ht="11.25" customHeight="1" x14ac:dyDescent="0.25">
      <c r="A1741" s="4" t="s">
        <v>21</v>
      </c>
      <c r="B1741" s="4" t="s">
        <v>39</v>
      </c>
      <c r="C1741" s="4" t="s">
        <v>35</v>
      </c>
      <c r="D1741" s="4" t="s">
        <v>40</v>
      </c>
      <c r="E1741" s="4" t="s">
        <v>25</v>
      </c>
      <c r="F1741" s="4" t="s">
        <v>25</v>
      </c>
      <c r="G1741" s="4" t="s">
        <v>25</v>
      </c>
      <c r="H1741" s="4" t="s">
        <v>37</v>
      </c>
      <c r="I1741" s="5">
        <v>44593</v>
      </c>
      <c r="J1741" s="6">
        <v>0</v>
      </c>
      <c r="K1741" s="6">
        <v>0</v>
      </c>
      <c r="L1741" s="6">
        <v>0.30499999999999999</v>
      </c>
      <c r="M1741" s="6">
        <v>0.30499999999999999</v>
      </c>
      <c r="N1741" s="6">
        <v>0.30499999999999999</v>
      </c>
      <c r="O1741" s="6">
        <v>0.30499999999999999</v>
      </c>
      <c r="P1741" s="6">
        <v>0</v>
      </c>
      <c r="Q1741" s="4" t="s">
        <v>26</v>
      </c>
      <c r="R1741" s="4">
        <v>0</v>
      </c>
      <c r="S1741" s="4" t="s">
        <v>405</v>
      </c>
      <c r="T1741" s="4" t="s">
        <v>675</v>
      </c>
      <c r="U1741" s="4">
        <v>0</v>
      </c>
      <c r="V1741" s="4">
        <v>66</v>
      </c>
      <c r="W1741" s="4">
        <v>110</v>
      </c>
    </row>
    <row r="1742" spans="1:23" ht="11.25" customHeight="1" x14ac:dyDescent="0.25">
      <c r="A1742" s="4" t="s">
        <v>21</v>
      </c>
      <c r="B1742" s="4" t="s">
        <v>39</v>
      </c>
      <c r="C1742" s="4" t="s">
        <v>35</v>
      </c>
      <c r="D1742" s="4" t="s">
        <v>40</v>
      </c>
      <c r="E1742" s="4" t="s">
        <v>25</v>
      </c>
      <c r="F1742" s="4" t="s">
        <v>25</v>
      </c>
      <c r="G1742" s="4" t="s">
        <v>25</v>
      </c>
      <c r="H1742" s="4" t="s">
        <v>37</v>
      </c>
      <c r="I1742" s="5">
        <v>44621</v>
      </c>
      <c r="J1742" s="6">
        <v>0</v>
      </c>
      <c r="K1742" s="6">
        <v>0</v>
      </c>
      <c r="L1742" s="6">
        <v>0.28799999999999998</v>
      </c>
      <c r="M1742" s="6">
        <v>0.28799999999999998</v>
      </c>
      <c r="N1742" s="6">
        <v>0.28799999999999998</v>
      </c>
      <c r="O1742" s="6">
        <v>0.28799999999999998</v>
      </c>
      <c r="P1742" s="6">
        <v>0</v>
      </c>
      <c r="Q1742" s="4" t="s">
        <v>26</v>
      </c>
      <c r="R1742" s="4">
        <v>0</v>
      </c>
      <c r="S1742" s="4" t="s">
        <v>406</v>
      </c>
      <c r="T1742" s="4" t="s">
        <v>676</v>
      </c>
      <c r="U1742" s="4">
        <v>0</v>
      </c>
      <c r="V1742" s="4">
        <v>66</v>
      </c>
      <c r="W1742" s="4">
        <v>110</v>
      </c>
    </row>
    <row r="1743" spans="1:23" ht="11.25" customHeight="1" x14ac:dyDescent="0.25">
      <c r="A1743" s="4" t="s">
        <v>21</v>
      </c>
      <c r="B1743" s="4" t="s">
        <v>39</v>
      </c>
      <c r="C1743" s="4" t="s">
        <v>35</v>
      </c>
      <c r="D1743" s="4" t="s">
        <v>40</v>
      </c>
      <c r="E1743" s="4" t="s">
        <v>25</v>
      </c>
      <c r="F1743" s="4" t="s">
        <v>25</v>
      </c>
      <c r="G1743" s="4" t="s">
        <v>25</v>
      </c>
      <c r="H1743" s="4" t="s">
        <v>37</v>
      </c>
      <c r="I1743" s="5">
        <v>44652</v>
      </c>
      <c r="J1743" s="6">
        <v>0</v>
      </c>
      <c r="K1743" s="6">
        <v>0</v>
      </c>
      <c r="L1743" s="6">
        <v>0.28699999999999998</v>
      </c>
      <c r="M1743" s="6">
        <v>0.28699999999999998</v>
      </c>
      <c r="N1743" s="6">
        <v>0.28699999999999998</v>
      </c>
      <c r="O1743" s="6">
        <v>0.28699999999999998</v>
      </c>
      <c r="P1743" s="6">
        <v>0</v>
      </c>
      <c r="Q1743" s="4" t="s">
        <v>26</v>
      </c>
      <c r="R1743" s="4">
        <v>0</v>
      </c>
      <c r="S1743" s="4" t="s">
        <v>407</v>
      </c>
      <c r="T1743" s="4" t="s">
        <v>677</v>
      </c>
      <c r="U1743" s="4">
        <v>0</v>
      </c>
      <c r="V1743" s="4">
        <v>66</v>
      </c>
      <c r="W1743" s="4">
        <v>110</v>
      </c>
    </row>
    <row r="1744" spans="1:23" ht="11.25" customHeight="1" x14ac:dyDescent="0.25">
      <c r="A1744" s="4" t="s">
        <v>21</v>
      </c>
      <c r="B1744" s="4" t="s">
        <v>39</v>
      </c>
      <c r="C1744" s="4" t="s">
        <v>35</v>
      </c>
      <c r="D1744" s="4" t="s">
        <v>40</v>
      </c>
      <c r="E1744" s="4" t="s">
        <v>25</v>
      </c>
      <c r="F1744" s="4" t="s">
        <v>25</v>
      </c>
      <c r="G1744" s="4" t="s">
        <v>25</v>
      </c>
      <c r="H1744" s="4" t="s">
        <v>37</v>
      </c>
      <c r="I1744" s="5">
        <v>44682</v>
      </c>
      <c r="J1744" s="6">
        <v>0</v>
      </c>
      <c r="K1744" s="6">
        <v>0</v>
      </c>
      <c r="L1744" s="6">
        <v>0.309</v>
      </c>
      <c r="M1744" s="6">
        <v>0.309</v>
      </c>
      <c r="N1744" s="6">
        <v>0.309</v>
      </c>
      <c r="O1744" s="6">
        <v>0.309</v>
      </c>
      <c r="P1744" s="6">
        <v>0</v>
      </c>
      <c r="Q1744" s="4" t="s">
        <v>26</v>
      </c>
      <c r="R1744" s="4">
        <v>0</v>
      </c>
      <c r="S1744" s="4" t="s">
        <v>408</v>
      </c>
      <c r="T1744" s="4" t="s">
        <v>678</v>
      </c>
      <c r="U1744" s="4">
        <v>0</v>
      </c>
      <c r="V1744" s="4">
        <v>66</v>
      </c>
      <c r="W1744" s="4">
        <v>110</v>
      </c>
    </row>
    <row r="1745" spans="1:23" ht="11.25" customHeight="1" x14ac:dyDescent="0.25">
      <c r="A1745" s="4" t="s">
        <v>21</v>
      </c>
      <c r="B1745" s="4" t="s">
        <v>39</v>
      </c>
      <c r="C1745" s="4" t="s">
        <v>35</v>
      </c>
      <c r="D1745" s="4" t="s">
        <v>40</v>
      </c>
      <c r="E1745" s="4" t="s">
        <v>25</v>
      </c>
      <c r="F1745" s="4" t="s">
        <v>25</v>
      </c>
      <c r="G1745" s="4" t="s">
        <v>25</v>
      </c>
      <c r="H1745" s="4" t="s">
        <v>37</v>
      </c>
      <c r="I1745" s="5">
        <v>44713</v>
      </c>
      <c r="J1745" s="6">
        <v>0</v>
      </c>
      <c r="K1745" s="6">
        <v>0</v>
      </c>
      <c r="L1745" s="6">
        <v>0.24099999999999999</v>
      </c>
      <c r="M1745" s="6">
        <v>0.24099999999999999</v>
      </c>
      <c r="N1745" s="6">
        <v>0.24099999999999999</v>
      </c>
      <c r="O1745" s="6">
        <v>0.24099999999999999</v>
      </c>
      <c r="P1745" s="6">
        <v>0</v>
      </c>
      <c r="Q1745" s="4" t="s">
        <v>26</v>
      </c>
      <c r="R1745" s="4">
        <v>0</v>
      </c>
      <c r="S1745" s="4" t="s">
        <v>409</v>
      </c>
      <c r="T1745" s="4" t="s">
        <v>679</v>
      </c>
      <c r="U1745" s="4">
        <v>0</v>
      </c>
      <c r="V1745" s="4">
        <v>66</v>
      </c>
      <c r="W1745" s="4">
        <v>110</v>
      </c>
    </row>
    <row r="1746" spans="1:23" ht="11.25" customHeight="1" x14ac:dyDescent="0.25">
      <c r="A1746" s="4" t="s">
        <v>21</v>
      </c>
      <c r="B1746" s="4" t="s">
        <v>39</v>
      </c>
      <c r="C1746" s="4" t="s">
        <v>35</v>
      </c>
      <c r="D1746" s="4" t="s">
        <v>40</v>
      </c>
      <c r="E1746" s="4" t="s">
        <v>25</v>
      </c>
      <c r="F1746" s="4" t="s">
        <v>25</v>
      </c>
      <c r="G1746" s="4" t="s">
        <v>25</v>
      </c>
      <c r="H1746" s="4" t="s">
        <v>37</v>
      </c>
      <c r="I1746" s="5">
        <v>44743</v>
      </c>
      <c r="J1746" s="6">
        <v>0</v>
      </c>
      <c r="K1746" s="6">
        <v>0</v>
      </c>
      <c r="L1746" s="6">
        <v>0.28999999999999998</v>
      </c>
      <c r="M1746" s="6">
        <v>0.28999999999999998</v>
      </c>
      <c r="N1746" s="6">
        <v>0.28999999999999998</v>
      </c>
      <c r="O1746" s="6">
        <v>0.28999999999999998</v>
      </c>
      <c r="P1746" s="6">
        <v>0</v>
      </c>
      <c r="Q1746" s="4" t="s">
        <v>26</v>
      </c>
      <c r="R1746" s="4">
        <v>0</v>
      </c>
      <c r="S1746" s="4" t="s">
        <v>410</v>
      </c>
      <c r="T1746" s="4" t="s">
        <v>680</v>
      </c>
      <c r="U1746" s="4">
        <v>0</v>
      </c>
      <c r="V1746" s="4">
        <v>66</v>
      </c>
      <c r="W1746" s="4">
        <v>110</v>
      </c>
    </row>
    <row r="1747" spans="1:23" ht="11.25" customHeight="1" x14ac:dyDescent="0.25">
      <c r="A1747" s="4" t="s">
        <v>21</v>
      </c>
      <c r="B1747" s="4" t="s">
        <v>39</v>
      </c>
      <c r="C1747" s="4" t="s">
        <v>35</v>
      </c>
      <c r="D1747" s="4" t="s">
        <v>40</v>
      </c>
      <c r="E1747" s="4" t="s">
        <v>25</v>
      </c>
      <c r="F1747" s="4" t="s">
        <v>25</v>
      </c>
      <c r="G1747" s="4" t="s">
        <v>25</v>
      </c>
      <c r="H1747" s="4" t="s">
        <v>37</v>
      </c>
      <c r="I1747" s="5">
        <v>44774</v>
      </c>
      <c r="J1747" s="6">
        <v>0</v>
      </c>
      <c r="K1747" s="6">
        <v>0</v>
      </c>
      <c r="L1747" s="6">
        <v>0.29499999999999998</v>
      </c>
      <c r="M1747" s="6">
        <v>0.29499999999999998</v>
      </c>
      <c r="N1747" s="6">
        <v>0.29499999999999998</v>
      </c>
      <c r="O1747" s="6">
        <v>0.29499999999999998</v>
      </c>
      <c r="P1747" s="6">
        <v>0</v>
      </c>
      <c r="Q1747" s="4" t="s">
        <v>26</v>
      </c>
      <c r="R1747" s="4">
        <v>0</v>
      </c>
      <c r="S1747" s="4" t="s">
        <v>411</v>
      </c>
      <c r="T1747" s="4" t="s">
        <v>681</v>
      </c>
      <c r="U1747" s="4">
        <v>0</v>
      </c>
      <c r="V1747" s="4">
        <v>66</v>
      </c>
      <c r="W1747" s="4">
        <v>110</v>
      </c>
    </row>
    <row r="1748" spans="1:23" ht="11.25" customHeight="1" x14ac:dyDescent="0.25">
      <c r="A1748" s="4" t="s">
        <v>21</v>
      </c>
      <c r="B1748" s="4" t="s">
        <v>39</v>
      </c>
      <c r="C1748" s="4" t="s">
        <v>35</v>
      </c>
      <c r="D1748" s="4" t="s">
        <v>40</v>
      </c>
      <c r="E1748" s="4" t="s">
        <v>25</v>
      </c>
      <c r="F1748" s="4" t="s">
        <v>25</v>
      </c>
      <c r="G1748" s="4" t="s">
        <v>25</v>
      </c>
      <c r="H1748" s="4" t="s">
        <v>37</v>
      </c>
      <c r="I1748" s="5">
        <v>44805</v>
      </c>
      <c r="J1748" s="6">
        <v>0</v>
      </c>
      <c r="K1748" s="6">
        <v>0</v>
      </c>
      <c r="L1748" s="6">
        <v>0.28899999999999998</v>
      </c>
      <c r="M1748" s="6">
        <v>0.28899999999999998</v>
      </c>
      <c r="N1748" s="6">
        <v>0.28899999999999998</v>
      </c>
      <c r="O1748" s="6">
        <v>0.28899999999999998</v>
      </c>
      <c r="P1748" s="6">
        <v>0</v>
      </c>
      <c r="Q1748" s="4" t="s">
        <v>26</v>
      </c>
      <c r="R1748" s="4">
        <v>0</v>
      </c>
      <c r="S1748" s="4" t="s">
        <v>412</v>
      </c>
      <c r="T1748" s="4" t="s">
        <v>682</v>
      </c>
      <c r="U1748" s="4">
        <v>0</v>
      </c>
      <c r="V1748" s="4">
        <v>66</v>
      </c>
      <c r="W1748" s="4">
        <v>110</v>
      </c>
    </row>
    <row r="1749" spans="1:23" ht="11.25" customHeight="1" x14ac:dyDescent="0.25">
      <c r="A1749" s="4" t="s">
        <v>21</v>
      </c>
      <c r="B1749" s="4" t="s">
        <v>39</v>
      </c>
      <c r="C1749" s="4" t="s">
        <v>35</v>
      </c>
      <c r="D1749" s="4" t="s">
        <v>40</v>
      </c>
      <c r="E1749" s="4" t="s">
        <v>25</v>
      </c>
      <c r="F1749" s="4" t="s">
        <v>25</v>
      </c>
      <c r="G1749" s="4" t="s">
        <v>25</v>
      </c>
      <c r="H1749" s="4" t="s">
        <v>37</v>
      </c>
      <c r="I1749" s="5">
        <v>44835</v>
      </c>
      <c r="J1749" s="6">
        <v>0</v>
      </c>
      <c r="K1749" s="6">
        <v>0</v>
      </c>
      <c r="L1749" s="6">
        <v>0.28000000000000003</v>
      </c>
      <c r="M1749" s="6">
        <v>0.28000000000000003</v>
      </c>
      <c r="N1749" s="6">
        <v>0.28000000000000003</v>
      </c>
      <c r="O1749" s="6">
        <v>0.28000000000000003</v>
      </c>
      <c r="P1749" s="6">
        <v>0</v>
      </c>
      <c r="Q1749" s="4" t="s">
        <v>26</v>
      </c>
      <c r="R1749" s="4">
        <v>0</v>
      </c>
      <c r="S1749" s="4" t="s">
        <v>413</v>
      </c>
      <c r="T1749" s="4" t="s">
        <v>683</v>
      </c>
      <c r="U1749" s="4">
        <v>0</v>
      </c>
      <c r="V1749" s="4">
        <v>66</v>
      </c>
      <c r="W1749" s="4">
        <v>110</v>
      </c>
    </row>
    <row r="1750" spans="1:23" ht="11.25" customHeight="1" x14ac:dyDescent="0.25">
      <c r="A1750" s="4" t="s">
        <v>59</v>
      </c>
      <c r="B1750" s="4" t="s">
        <v>39</v>
      </c>
      <c r="C1750" s="4" t="s">
        <v>35</v>
      </c>
      <c r="D1750" s="4" t="s">
        <v>40</v>
      </c>
      <c r="E1750" s="4" t="s">
        <v>25</v>
      </c>
      <c r="F1750" s="4" t="s">
        <v>25</v>
      </c>
      <c r="G1750" s="4" t="s">
        <v>25</v>
      </c>
      <c r="H1750" s="4" t="s">
        <v>37</v>
      </c>
      <c r="I1750" s="5">
        <v>44866</v>
      </c>
      <c r="J1750" s="6">
        <v>0</v>
      </c>
      <c r="K1750" s="6">
        <v>0</v>
      </c>
      <c r="L1750" s="6">
        <v>0.28000000000000003</v>
      </c>
      <c r="M1750" s="6">
        <v>0.28000000000000003</v>
      </c>
      <c r="N1750" s="6">
        <v>0.28000000000000003</v>
      </c>
      <c r="O1750" s="6">
        <v>0.28000000000000003</v>
      </c>
      <c r="P1750" s="6">
        <v>0</v>
      </c>
      <c r="Q1750" s="4" t="s">
        <v>26</v>
      </c>
      <c r="R1750" s="4">
        <v>0</v>
      </c>
      <c r="S1750" s="4" t="s">
        <v>414</v>
      </c>
      <c r="T1750" s="4" t="s">
        <v>684</v>
      </c>
      <c r="U1750" s="4">
        <v>0</v>
      </c>
      <c r="V1750" s="4">
        <v>66</v>
      </c>
      <c r="W1750" s="4">
        <v>110</v>
      </c>
    </row>
    <row r="1751" spans="1:23" ht="11.25" customHeight="1" x14ac:dyDescent="0.25">
      <c r="A1751" s="4" t="s">
        <v>21</v>
      </c>
      <c r="B1751" s="4" t="s">
        <v>39</v>
      </c>
      <c r="C1751" s="4" t="s">
        <v>35</v>
      </c>
      <c r="D1751" s="4" t="s">
        <v>40</v>
      </c>
      <c r="E1751" s="4" t="s">
        <v>25</v>
      </c>
      <c r="F1751" s="4" t="s">
        <v>25</v>
      </c>
      <c r="G1751" s="4" t="s">
        <v>25</v>
      </c>
      <c r="H1751" s="4" t="s">
        <v>38</v>
      </c>
      <c r="I1751" s="5">
        <v>44531</v>
      </c>
      <c r="J1751" s="6">
        <v>0</v>
      </c>
      <c r="K1751" s="6">
        <v>0</v>
      </c>
      <c r="L1751" s="6">
        <v>0.01</v>
      </c>
      <c r="M1751" s="6">
        <v>0.01</v>
      </c>
      <c r="N1751" s="6">
        <v>0.01</v>
      </c>
      <c r="O1751" s="6">
        <v>0.01</v>
      </c>
      <c r="P1751" s="6">
        <v>0</v>
      </c>
      <c r="Q1751" s="4" t="s">
        <v>26</v>
      </c>
      <c r="R1751" s="4">
        <v>0</v>
      </c>
      <c r="S1751" s="4" t="s">
        <v>415</v>
      </c>
      <c r="T1751" s="4" t="s">
        <v>685</v>
      </c>
      <c r="U1751" s="4">
        <v>0</v>
      </c>
      <c r="V1751" s="4">
        <v>65</v>
      </c>
      <c r="W1751" s="4">
        <v>109</v>
      </c>
    </row>
    <row r="1752" spans="1:23" ht="11.25" customHeight="1" x14ac:dyDescent="0.25">
      <c r="A1752" s="4" t="s">
        <v>21</v>
      </c>
      <c r="B1752" s="4" t="s">
        <v>39</v>
      </c>
      <c r="C1752" s="4" t="s">
        <v>35</v>
      </c>
      <c r="D1752" s="4" t="s">
        <v>40</v>
      </c>
      <c r="E1752" s="4" t="s">
        <v>25</v>
      </c>
      <c r="F1752" s="4" t="s">
        <v>25</v>
      </c>
      <c r="G1752" s="4" t="s">
        <v>25</v>
      </c>
      <c r="H1752" s="4" t="s">
        <v>38</v>
      </c>
      <c r="I1752" s="5">
        <v>44562</v>
      </c>
      <c r="J1752" s="6">
        <v>0</v>
      </c>
      <c r="K1752" s="6">
        <v>0</v>
      </c>
      <c r="L1752" s="6">
        <v>1.7000000000000001E-2</v>
      </c>
      <c r="M1752" s="6">
        <v>1.7000000000000001E-2</v>
      </c>
      <c r="N1752" s="6">
        <v>1.7000000000000001E-2</v>
      </c>
      <c r="O1752" s="6">
        <v>1.7000000000000001E-2</v>
      </c>
      <c r="P1752" s="6">
        <v>0</v>
      </c>
      <c r="Q1752" s="4" t="s">
        <v>26</v>
      </c>
      <c r="R1752" s="4">
        <v>0</v>
      </c>
      <c r="S1752" s="4" t="s">
        <v>416</v>
      </c>
      <c r="T1752" s="4" t="s">
        <v>686</v>
      </c>
      <c r="U1752" s="4">
        <v>0</v>
      </c>
      <c r="V1752" s="4">
        <v>65</v>
      </c>
      <c r="W1752" s="4">
        <v>109</v>
      </c>
    </row>
    <row r="1753" spans="1:23" ht="11.25" customHeight="1" x14ac:dyDescent="0.25">
      <c r="A1753" s="4" t="s">
        <v>21</v>
      </c>
      <c r="B1753" s="4" t="s">
        <v>39</v>
      </c>
      <c r="C1753" s="4" t="s">
        <v>35</v>
      </c>
      <c r="D1753" s="4" t="s">
        <v>40</v>
      </c>
      <c r="E1753" s="4" t="s">
        <v>25</v>
      </c>
      <c r="F1753" s="4" t="s">
        <v>25</v>
      </c>
      <c r="G1753" s="4" t="s">
        <v>25</v>
      </c>
      <c r="H1753" s="4" t="s">
        <v>38</v>
      </c>
      <c r="I1753" s="5">
        <v>44593</v>
      </c>
      <c r="J1753" s="6">
        <v>0</v>
      </c>
      <c r="K1753" s="6">
        <v>0</v>
      </c>
      <c r="L1753" s="6">
        <v>8.9999999999999993E-3</v>
      </c>
      <c r="M1753" s="6">
        <v>8.9999999999999993E-3</v>
      </c>
      <c r="N1753" s="6">
        <v>8.9999999999999993E-3</v>
      </c>
      <c r="O1753" s="6">
        <v>8.9999999999999993E-3</v>
      </c>
      <c r="P1753" s="6">
        <v>0</v>
      </c>
      <c r="Q1753" s="4" t="s">
        <v>26</v>
      </c>
      <c r="R1753" s="4">
        <v>0</v>
      </c>
      <c r="S1753" s="4" t="s">
        <v>417</v>
      </c>
      <c r="T1753" s="4" t="s">
        <v>687</v>
      </c>
      <c r="U1753" s="4">
        <v>0</v>
      </c>
      <c r="V1753" s="4">
        <v>65</v>
      </c>
      <c r="W1753" s="4">
        <v>109</v>
      </c>
    </row>
    <row r="1754" spans="1:23" ht="11.25" customHeight="1" x14ac:dyDescent="0.25">
      <c r="A1754" s="4" t="s">
        <v>21</v>
      </c>
      <c r="B1754" s="4" t="s">
        <v>39</v>
      </c>
      <c r="C1754" s="4" t="s">
        <v>35</v>
      </c>
      <c r="D1754" s="4" t="s">
        <v>40</v>
      </c>
      <c r="E1754" s="4" t="s">
        <v>25</v>
      </c>
      <c r="F1754" s="4" t="s">
        <v>25</v>
      </c>
      <c r="G1754" s="4" t="s">
        <v>25</v>
      </c>
      <c r="H1754" s="4" t="s">
        <v>38</v>
      </c>
      <c r="I1754" s="5">
        <v>44621</v>
      </c>
      <c r="J1754" s="6">
        <v>0</v>
      </c>
      <c r="K1754" s="6">
        <v>0</v>
      </c>
      <c r="L1754" s="6">
        <v>8.9999999999999993E-3</v>
      </c>
      <c r="M1754" s="6">
        <v>8.9999999999999993E-3</v>
      </c>
      <c r="N1754" s="6">
        <v>8.9999999999999993E-3</v>
      </c>
      <c r="O1754" s="6">
        <v>8.9999999999999993E-3</v>
      </c>
      <c r="P1754" s="6">
        <v>0</v>
      </c>
      <c r="Q1754" s="4" t="s">
        <v>26</v>
      </c>
      <c r="R1754" s="4">
        <v>0</v>
      </c>
      <c r="S1754" s="4" t="s">
        <v>418</v>
      </c>
      <c r="T1754" s="4" t="s">
        <v>688</v>
      </c>
      <c r="U1754" s="4">
        <v>0</v>
      </c>
      <c r="V1754" s="4">
        <v>65</v>
      </c>
      <c r="W1754" s="4">
        <v>109</v>
      </c>
    </row>
    <row r="1755" spans="1:23" ht="11.25" customHeight="1" x14ac:dyDescent="0.25">
      <c r="A1755" s="4" t="s">
        <v>21</v>
      </c>
      <c r="B1755" s="4" t="s">
        <v>39</v>
      </c>
      <c r="C1755" s="4" t="s">
        <v>35</v>
      </c>
      <c r="D1755" s="4" t="s">
        <v>40</v>
      </c>
      <c r="E1755" s="4" t="s">
        <v>25</v>
      </c>
      <c r="F1755" s="4" t="s">
        <v>25</v>
      </c>
      <c r="G1755" s="4" t="s">
        <v>25</v>
      </c>
      <c r="H1755" s="4" t="s">
        <v>38</v>
      </c>
      <c r="I1755" s="5">
        <v>44652</v>
      </c>
      <c r="J1755" s="6">
        <v>0</v>
      </c>
      <c r="K1755" s="6">
        <v>0</v>
      </c>
      <c r="L1755" s="6">
        <v>1.4E-2</v>
      </c>
      <c r="M1755" s="6">
        <v>1.4E-2</v>
      </c>
      <c r="N1755" s="6">
        <v>1.4E-2</v>
      </c>
      <c r="O1755" s="6">
        <v>1.4E-2</v>
      </c>
      <c r="P1755" s="6">
        <v>0</v>
      </c>
      <c r="Q1755" s="4" t="s">
        <v>26</v>
      </c>
      <c r="R1755" s="4">
        <v>0</v>
      </c>
      <c r="S1755" s="4" t="s">
        <v>419</v>
      </c>
      <c r="T1755" s="4" t="s">
        <v>689</v>
      </c>
      <c r="U1755" s="4">
        <v>0</v>
      </c>
      <c r="V1755" s="4">
        <v>65</v>
      </c>
      <c r="W1755" s="4">
        <v>109</v>
      </c>
    </row>
    <row r="1756" spans="1:23" ht="11.25" customHeight="1" x14ac:dyDescent="0.25">
      <c r="A1756" s="4" t="s">
        <v>21</v>
      </c>
      <c r="B1756" s="4" t="s">
        <v>39</v>
      </c>
      <c r="C1756" s="4" t="s">
        <v>35</v>
      </c>
      <c r="D1756" s="4" t="s">
        <v>40</v>
      </c>
      <c r="E1756" s="4" t="s">
        <v>25</v>
      </c>
      <c r="F1756" s="4" t="s">
        <v>25</v>
      </c>
      <c r="G1756" s="4" t="s">
        <v>25</v>
      </c>
      <c r="H1756" s="4" t="s">
        <v>38</v>
      </c>
      <c r="I1756" s="5">
        <v>44682</v>
      </c>
      <c r="J1756" s="6">
        <v>0</v>
      </c>
      <c r="K1756" s="6">
        <v>0</v>
      </c>
      <c r="L1756" s="6">
        <v>1.2E-2</v>
      </c>
      <c r="M1756" s="6">
        <v>1.2E-2</v>
      </c>
      <c r="N1756" s="6">
        <v>1.2E-2</v>
      </c>
      <c r="O1756" s="6">
        <v>1.2E-2</v>
      </c>
      <c r="P1756" s="6">
        <v>0</v>
      </c>
      <c r="Q1756" s="4" t="s">
        <v>26</v>
      </c>
      <c r="R1756" s="4">
        <v>0</v>
      </c>
      <c r="S1756" s="4" t="s">
        <v>420</v>
      </c>
      <c r="T1756" s="4" t="s">
        <v>690</v>
      </c>
      <c r="U1756" s="4">
        <v>0</v>
      </c>
      <c r="V1756" s="4">
        <v>65</v>
      </c>
      <c r="W1756" s="4">
        <v>109</v>
      </c>
    </row>
    <row r="1757" spans="1:23" ht="11.25" customHeight="1" x14ac:dyDescent="0.25">
      <c r="A1757" s="4" t="s">
        <v>21</v>
      </c>
      <c r="B1757" s="4" t="s">
        <v>39</v>
      </c>
      <c r="C1757" s="4" t="s">
        <v>35</v>
      </c>
      <c r="D1757" s="4" t="s">
        <v>40</v>
      </c>
      <c r="E1757" s="4" t="s">
        <v>25</v>
      </c>
      <c r="F1757" s="4" t="s">
        <v>25</v>
      </c>
      <c r="G1757" s="4" t="s">
        <v>25</v>
      </c>
      <c r="H1757" s="4" t="s">
        <v>38</v>
      </c>
      <c r="I1757" s="5">
        <v>44713</v>
      </c>
      <c r="J1757" s="6">
        <v>0</v>
      </c>
      <c r="K1757" s="6">
        <v>0</v>
      </c>
      <c r="L1757" s="6">
        <v>1.2E-2</v>
      </c>
      <c r="M1757" s="6">
        <v>1.2E-2</v>
      </c>
      <c r="N1757" s="6">
        <v>1.2E-2</v>
      </c>
      <c r="O1757" s="6">
        <v>1.2E-2</v>
      </c>
      <c r="P1757" s="6">
        <v>0</v>
      </c>
      <c r="Q1757" s="4" t="s">
        <v>26</v>
      </c>
      <c r="R1757" s="4">
        <v>0</v>
      </c>
      <c r="S1757" s="4" t="s">
        <v>421</v>
      </c>
      <c r="T1757" s="4" t="s">
        <v>691</v>
      </c>
      <c r="U1757" s="4">
        <v>0</v>
      </c>
      <c r="V1757" s="4">
        <v>65</v>
      </c>
      <c r="W1757" s="4">
        <v>109</v>
      </c>
    </row>
    <row r="1758" spans="1:23" ht="11.25" customHeight="1" x14ac:dyDescent="0.25">
      <c r="A1758" s="4" t="s">
        <v>21</v>
      </c>
      <c r="B1758" s="4" t="s">
        <v>39</v>
      </c>
      <c r="C1758" s="4" t="s">
        <v>35</v>
      </c>
      <c r="D1758" s="4" t="s">
        <v>40</v>
      </c>
      <c r="E1758" s="4" t="s">
        <v>25</v>
      </c>
      <c r="F1758" s="4" t="s">
        <v>25</v>
      </c>
      <c r="G1758" s="4" t="s">
        <v>25</v>
      </c>
      <c r="H1758" s="4" t="s">
        <v>38</v>
      </c>
      <c r="I1758" s="5">
        <v>44743</v>
      </c>
      <c r="J1758" s="6">
        <v>0</v>
      </c>
      <c r="K1758" s="6">
        <v>0</v>
      </c>
      <c r="L1758" s="6">
        <v>1.0999999999999999E-2</v>
      </c>
      <c r="M1758" s="6">
        <v>1.0999999999999999E-2</v>
      </c>
      <c r="N1758" s="6">
        <v>1.0999999999999999E-2</v>
      </c>
      <c r="O1758" s="6">
        <v>1.0999999999999999E-2</v>
      </c>
      <c r="P1758" s="6">
        <v>0</v>
      </c>
      <c r="Q1758" s="4" t="s">
        <v>26</v>
      </c>
      <c r="R1758" s="4">
        <v>0</v>
      </c>
      <c r="S1758" s="4" t="s">
        <v>422</v>
      </c>
      <c r="T1758" s="4" t="s">
        <v>692</v>
      </c>
      <c r="U1758" s="4">
        <v>0</v>
      </c>
      <c r="V1758" s="4">
        <v>65</v>
      </c>
      <c r="W1758" s="4">
        <v>109</v>
      </c>
    </row>
    <row r="1759" spans="1:23" ht="11.25" customHeight="1" x14ac:dyDescent="0.25">
      <c r="A1759" s="4" t="s">
        <v>21</v>
      </c>
      <c r="B1759" s="4" t="s">
        <v>39</v>
      </c>
      <c r="C1759" s="4" t="s">
        <v>35</v>
      </c>
      <c r="D1759" s="4" t="s">
        <v>40</v>
      </c>
      <c r="E1759" s="4" t="s">
        <v>25</v>
      </c>
      <c r="F1759" s="4" t="s">
        <v>25</v>
      </c>
      <c r="G1759" s="4" t="s">
        <v>25</v>
      </c>
      <c r="H1759" s="4" t="s">
        <v>38</v>
      </c>
      <c r="I1759" s="5">
        <v>44774</v>
      </c>
      <c r="J1759" s="6">
        <v>0</v>
      </c>
      <c r="K1759" s="6">
        <v>0</v>
      </c>
      <c r="L1759" s="6">
        <v>1.0999999999999999E-2</v>
      </c>
      <c r="M1759" s="6">
        <v>1.0999999999999999E-2</v>
      </c>
      <c r="N1759" s="6">
        <v>1.0999999999999999E-2</v>
      </c>
      <c r="O1759" s="6">
        <v>1.0999999999999999E-2</v>
      </c>
      <c r="P1759" s="6">
        <v>0</v>
      </c>
      <c r="Q1759" s="4" t="s">
        <v>26</v>
      </c>
      <c r="R1759" s="4">
        <v>0</v>
      </c>
      <c r="S1759" s="4" t="s">
        <v>423</v>
      </c>
      <c r="T1759" s="4" t="s">
        <v>693</v>
      </c>
      <c r="U1759" s="4">
        <v>0</v>
      </c>
      <c r="V1759" s="4">
        <v>65</v>
      </c>
      <c r="W1759" s="4">
        <v>109</v>
      </c>
    </row>
    <row r="1760" spans="1:23" ht="11.25" customHeight="1" x14ac:dyDescent="0.25">
      <c r="A1760" s="4" t="s">
        <v>21</v>
      </c>
      <c r="B1760" s="4" t="s">
        <v>39</v>
      </c>
      <c r="C1760" s="4" t="s">
        <v>35</v>
      </c>
      <c r="D1760" s="4" t="s">
        <v>40</v>
      </c>
      <c r="E1760" s="4" t="s">
        <v>25</v>
      </c>
      <c r="F1760" s="4" t="s">
        <v>25</v>
      </c>
      <c r="G1760" s="4" t="s">
        <v>25</v>
      </c>
      <c r="H1760" s="4" t="s">
        <v>38</v>
      </c>
      <c r="I1760" s="5">
        <v>44805</v>
      </c>
      <c r="J1760" s="6">
        <v>0</v>
      </c>
      <c r="K1760" s="6">
        <v>0</v>
      </c>
      <c r="L1760" s="6">
        <v>1.2999999999999999E-2</v>
      </c>
      <c r="M1760" s="6">
        <v>1.2999999999999999E-2</v>
      </c>
      <c r="N1760" s="6">
        <v>1.2999999999999999E-2</v>
      </c>
      <c r="O1760" s="6">
        <v>1.2999999999999999E-2</v>
      </c>
      <c r="P1760" s="6">
        <v>0</v>
      </c>
      <c r="Q1760" s="4" t="s">
        <v>26</v>
      </c>
      <c r="R1760" s="4">
        <v>0</v>
      </c>
      <c r="S1760" s="4" t="s">
        <v>424</v>
      </c>
      <c r="T1760" s="4" t="s">
        <v>694</v>
      </c>
      <c r="U1760" s="4">
        <v>0</v>
      </c>
      <c r="V1760" s="4">
        <v>65</v>
      </c>
      <c r="W1760" s="4">
        <v>109</v>
      </c>
    </row>
    <row r="1761" spans="1:23" ht="11.25" customHeight="1" x14ac:dyDescent="0.25">
      <c r="A1761" s="4" t="s">
        <v>21</v>
      </c>
      <c r="B1761" s="4" t="s">
        <v>39</v>
      </c>
      <c r="C1761" s="4" t="s">
        <v>35</v>
      </c>
      <c r="D1761" s="4" t="s">
        <v>40</v>
      </c>
      <c r="E1761" s="4" t="s">
        <v>25</v>
      </c>
      <c r="F1761" s="4" t="s">
        <v>25</v>
      </c>
      <c r="G1761" s="4" t="s">
        <v>25</v>
      </c>
      <c r="H1761" s="4" t="s">
        <v>38</v>
      </c>
      <c r="I1761" s="5">
        <v>44835</v>
      </c>
      <c r="J1761" s="6">
        <v>0</v>
      </c>
      <c r="K1761" s="6">
        <v>0</v>
      </c>
      <c r="L1761" s="6">
        <v>8.9999999999999993E-3</v>
      </c>
      <c r="M1761" s="6">
        <v>8.9999999999999993E-3</v>
      </c>
      <c r="N1761" s="6">
        <v>8.9999999999999993E-3</v>
      </c>
      <c r="O1761" s="6">
        <v>8.9999999999999993E-3</v>
      </c>
      <c r="P1761" s="6">
        <v>0</v>
      </c>
      <c r="Q1761" s="4" t="s">
        <v>26</v>
      </c>
      <c r="R1761" s="4">
        <v>0</v>
      </c>
      <c r="S1761" s="4" t="s">
        <v>425</v>
      </c>
      <c r="T1761" s="4" t="s">
        <v>695</v>
      </c>
      <c r="U1761" s="4">
        <v>0</v>
      </c>
      <c r="V1761" s="4">
        <v>65</v>
      </c>
      <c r="W1761" s="4">
        <v>109</v>
      </c>
    </row>
    <row r="1762" spans="1:23" ht="11.25" customHeight="1" x14ac:dyDescent="0.25">
      <c r="A1762" s="4" t="s">
        <v>59</v>
      </c>
      <c r="B1762" s="4" t="s">
        <v>39</v>
      </c>
      <c r="C1762" s="4" t="s">
        <v>35</v>
      </c>
      <c r="D1762" s="4" t="s">
        <v>40</v>
      </c>
      <c r="E1762" s="4" t="s">
        <v>25</v>
      </c>
      <c r="F1762" s="4" t="s">
        <v>25</v>
      </c>
      <c r="G1762" s="4" t="s">
        <v>25</v>
      </c>
      <c r="H1762" s="4" t="s">
        <v>38</v>
      </c>
      <c r="I1762" s="5">
        <v>44866</v>
      </c>
      <c r="J1762" s="6">
        <v>0</v>
      </c>
      <c r="K1762" s="6">
        <v>0</v>
      </c>
      <c r="L1762" s="6">
        <v>8.9999999999999993E-3</v>
      </c>
      <c r="M1762" s="6">
        <v>8.9999999999999993E-3</v>
      </c>
      <c r="N1762" s="6">
        <v>8.9999999999999993E-3</v>
      </c>
      <c r="O1762" s="6">
        <v>8.9999999999999993E-3</v>
      </c>
      <c r="P1762" s="6">
        <v>0</v>
      </c>
      <c r="Q1762" s="4" t="s">
        <v>26</v>
      </c>
      <c r="R1762" s="4">
        <v>0</v>
      </c>
      <c r="S1762" s="4" t="s">
        <v>426</v>
      </c>
      <c r="T1762" s="4" t="s">
        <v>696</v>
      </c>
      <c r="U1762" s="4">
        <v>0</v>
      </c>
      <c r="V1762" s="4">
        <v>65</v>
      </c>
      <c r="W1762" s="4">
        <v>109</v>
      </c>
    </row>
    <row r="1763" spans="1:23" ht="11.25" customHeight="1" x14ac:dyDescent="0.25">
      <c r="A1763" s="4" t="s">
        <v>21</v>
      </c>
      <c r="B1763" s="4" t="s">
        <v>39</v>
      </c>
      <c r="C1763" s="4" t="s">
        <v>35</v>
      </c>
      <c r="D1763" s="4" t="s">
        <v>40</v>
      </c>
      <c r="E1763" s="4" t="s">
        <v>25</v>
      </c>
      <c r="F1763" s="4" t="s">
        <v>25</v>
      </c>
      <c r="G1763" s="4" t="s">
        <v>25</v>
      </c>
      <c r="H1763" s="4" t="s">
        <v>36</v>
      </c>
      <c r="I1763" s="5">
        <v>44531</v>
      </c>
      <c r="J1763" s="6">
        <v>0</v>
      </c>
      <c r="K1763" s="6">
        <v>0</v>
      </c>
      <c r="L1763" s="6">
        <v>3.0000000000000001E-3</v>
      </c>
      <c r="M1763" s="6">
        <v>3.0000000000000001E-3</v>
      </c>
      <c r="N1763" s="6">
        <v>3.0000000000000001E-3</v>
      </c>
      <c r="O1763" s="6">
        <v>3.0000000000000001E-3</v>
      </c>
      <c r="P1763" s="6">
        <v>0</v>
      </c>
      <c r="Q1763" s="4" t="s">
        <v>26</v>
      </c>
      <c r="R1763" s="4">
        <v>0</v>
      </c>
      <c r="S1763" s="4" t="s">
        <v>427</v>
      </c>
      <c r="T1763" s="4" t="s">
        <v>697</v>
      </c>
      <c r="U1763" s="4">
        <v>0</v>
      </c>
      <c r="V1763" s="4">
        <v>64</v>
      </c>
      <c r="W1763" s="4">
        <v>108</v>
      </c>
    </row>
    <row r="1764" spans="1:23" ht="11.25" customHeight="1" x14ac:dyDescent="0.25">
      <c r="A1764" s="4" t="s">
        <v>21</v>
      </c>
      <c r="B1764" s="4" t="s">
        <v>39</v>
      </c>
      <c r="C1764" s="4" t="s">
        <v>35</v>
      </c>
      <c r="D1764" s="4" t="s">
        <v>40</v>
      </c>
      <c r="E1764" s="4" t="s">
        <v>25</v>
      </c>
      <c r="F1764" s="4" t="s">
        <v>25</v>
      </c>
      <c r="G1764" s="4" t="s">
        <v>25</v>
      </c>
      <c r="H1764" s="4" t="s">
        <v>36</v>
      </c>
      <c r="I1764" s="5">
        <v>44562</v>
      </c>
      <c r="J1764" s="6">
        <v>0</v>
      </c>
      <c r="K1764" s="6">
        <v>0</v>
      </c>
      <c r="L1764" s="6">
        <v>7.0000000000000001E-3</v>
      </c>
      <c r="M1764" s="6">
        <v>7.0000000000000001E-3</v>
      </c>
      <c r="N1764" s="6">
        <v>7.0000000000000001E-3</v>
      </c>
      <c r="O1764" s="6">
        <v>7.0000000000000001E-3</v>
      </c>
      <c r="P1764" s="6">
        <v>0</v>
      </c>
      <c r="Q1764" s="4" t="s">
        <v>26</v>
      </c>
      <c r="R1764" s="4">
        <v>0</v>
      </c>
      <c r="S1764" s="4" t="s">
        <v>428</v>
      </c>
      <c r="T1764" s="4" t="s">
        <v>698</v>
      </c>
      <c r="U1764" s="4">
        <v>0</v>
      </c>
      <c r="V1764" s="4">
        <v>64</v>
      </c>
      <c r="W1764" s="4">
        <v>108</v>
      </c>
    </row>
    <row r="1765" spans="1:23" ht="11.25" customHeight="1" x14ac:dyDescent="0.25">
      <c r="A1765" s="4" t="s">
        <v>21</v>
      </c>
      <c r="B1765" s="4" t="s">
        <v>39</v>
      </c>
      <c r="C1765" s="4" t="s">
        <v>35</v>
      </c>
      <c r="D1765" s="4" t="s">
        <v>40</v>
      </c>
      <c r="E1765" s="4" t="s">
        <v>25</v>
      </c>
      <c r="F1765" s="4" t="s">
        <v>25</v>
      </c>
      <c r="G1765" s="4" t="s">
        <v>25</v>
      </c>
      <c r="H1765" s="4" t="s">
        <v>36</v>
      </c>
      <c r="I1765" s="5">
        <v>44593</v>
      </c>
      <c r="J1765" s="6">
        <v>0</v>
      </c>
      <c r="K1765" s="6">
        <v>0</v>
      </c>
      <c r="L1765" s="6">
        <v>3.0000000000000001E-3</v>
      </c>
      <c r="M1765" s="6">
        <v>3.0000000000000001E-3</v>
      </c>
      <c r="N1765" s="6">
        <v>3.0000000000000001E-3</v>
      </c>
      <c r="O1765" s="6">
        <v>3.0000000000000001E-3</v>
      </c>
      <c r="P1765" s="6">
        <v>0</v>
      </c>
      <c r="Q1765" s="4" t="s">
        <v>26</v>
      </c>
      <c r="R1765" s="4">
        <v>0</v>
      </c>
      <c r="S1765" s="4" t="s">
        <v>429</v>
      </c>
      <c r="T1765" s="4" t="s">
        <v>699</v>
      </c>
      <c r="U1765" s="4">
        <v>0</v>
      </c>
      <c r="V1765" s="4">
        <v>64</v>
      </c>
      <c r="W1765" s="4">
        <v>108</v>
      </c>
    </row>
    <row r="1766" spans="1:23" ht="11.25" customHeight="1" x14ac:dyDescent="0.25">
      <c r="A1766" s="4" t="s">
        <v>21</v>
      </c>
      <c r="B1766" s="4" t="s">
        <v>39</v>
      </c>
      <c r="C1766" s="4" t="s">
        <v>35</v>
      </c>
      <c r="D1766" s="4" t="s">
        <v>40</v>
      </c>
      <c r="E1766" s="4" t="s">
        <v>25</v>
      </c>
      <c r="F1766" s="4" t="s">
        <v>25</v>
      </c>
      <c r="G1766" s="4" t="s">
        <v>25</v>
      </c>
      <c r="H1766" s="4" t="s">
        <v>36</v>
      </c>
      <c r="I1766" s="5">
        <v>44621</v>
      </c>
      <c r="J1766" s="6">
        <v>0</v>
      </c>
      <c r="K1766" s="6">
        <v>0</v>
      </c>
      <c r="L1766" s="6">
        <v>2E-3</v>
      </c>
      <c r="M1766" s="6">
        <v>2E-3</v>
      </c>
      <c r="N1766" s="6">
        <v>2E-3</v>
      </c>
      <c r="O1766" s="6">
        <v>2E-3</v>
      </c>
      <c r="P1766" s="6">
        <v>0</v>
      </c>
      <c r="Q1766" s="4" t="s">
        <v>26</v>
      </c>
      <c r="R1766" s="4">
        <v>0</v>
      </c>
      <c r="S1766" s="4" t="s">
        <v>430</v>
      </c>
      <c r="T1766" s="4" t="s">
        <v>700</v>
      </c>
      <c r="U1766" s="4">
        <v>0</v>
      </c>
      <c r="V1766" s="4">
        <v>64</v>
      </c>
      <c r="W1766" s="4">
        <v>108</v>
      </c>
    </row>
    <row r="1767" spans="1:23" ht="11.25" customHeight="1" x14ac:dyDescent="0.25">
      <c r="A1767" s="4" t="s">
        <v>21</v>
      </c>
      <c r="B1767" s="4" t="s">
        <v>39</v>
      </c>
      <c r="C1767" s="4" t="s">
        <v>35</v>
      </c>
      <c r="D1767" s="4" t="s">
        <v>40</v>
      </c>
      <c r="E1767" s="4" t="s">
        <v>25</v>
      </c>
      <c r="F1767" s="4" t="s">
        <v>25</v>
      </c>
      <c r="G1767" s="4" t="s">
        <v>25</v>
      </c>
      <c r="H1767" s="4" t="s">
        <v>36</v>
      </c>
      <c r="I1767" s="5">
        <v>44652</v>
      </c>
      <c r="J1767" s="6">
        <v>0</v>
      </c>
      <c r="K1767" s="6">
        <v>0</v>
      </c>
      <c r="L1767" s="6">
        <v>6.0000000000000001E-3</v>
      </c>
      <c r="M1767" s="6">
        <v>6.0000000000000001E-3</v>
      </c>
      <c r="N1767" s="6">
        <v>6.0000000000000001E-3</v>
      </c>
      <c r="O1767" s="6">
        <v>6.0000000000000001E-3</v>
      </c>
      <c r="P1767" s="6">
        <v>0</v>
      </c>
      <c r="Q1767" s="4" t="s">
        <v>26</v>
      </c>
      <c r="R1767" s="4">
        <v>0</v>
      </c>
      <c r="S1767" s="4" t="s">
        <v>431</v>
      </c>
      <c r="T1767" s="4" t="s">
        <v>701</v>
      </c>
      <c r="U1767" s="4">
        <v>0</v>
      </c>
      <c r="V1767" s="4">
        <v>64</v>
      </c>
      <c r="W1767" s="4">
        <v>108</v>
      </c>
    </row>
    <row r="1768" spans="1:23" ht="11.25" customHeight="1" x14ac:dyDescent="0.25">
      <c r="A1768" s="4" t="s">
        <v>21</v>
      </c>
      <c r="B1768" s="4" t="s">
        <v>39</v>
      </c>
      <c r="C1768" s="4" t="s">
        <v>35</v>
      </c>
      <c r="D1768" s="4" t="s">
        <v>40</v>
      </c>
      <c r="E1768" s="4" t="s">
        <v>25</v>
      </c>
      <c r="F1768" s="4" t="s">
        <v>25</v>
      </c>
      <c r="G1768" s="4" t="s">
        <v>25</v>
      </c>
      <c r="H1768" s="4" t="s">
        <v>36</v>
      </c>
      <c r="I1768" s="5">
        <v>44682</v>
      </c>
      <c r="J1768" s="6">
        <v>0</v>
      </c>
      <c r="K1768" s="6">
        <v>0</v>
      </c>
      <c r="L1768" s="6">
        <v>4.0000000000000001E-3</v>
      </c>
      <c r="M1768" s="6">
        <v>4.0000000000000001E-3</v>
      </c>
      <c r="N1768" s="6">
        <v>4.0000000000000001E-3</v>
      </c>
      <c r="O1768" s="6">
        <v>4.0000000000000001E-3</v>
      </c>
      <c r="P1768" s="6">
        <v>0</v>
      </c>
      <c r="Q1768" s="4" t="s">
        <v>26</v>
      </c>
      <c r="R1768" s="4">
        <v>0</v>
      </c>
      <c r="S1768" s="4" t="s">
        <v>432</v>
      </c>
      <c r="T1768" s="4" t="s">
        <v>702</v>
      </c>
      <c r="U1768" s="4">
        <v>0</v>
      </c>
      <c r="V1768" s="4">
        <v>64</v>
      </c>
      <c r="W1768" s="4">
        <v>108</v>
      </c>
    </row>
    <row r="1769" spans="1:23" ht="11.25" customHeight="1" x14ac:dyDescent="0.25">
      <c r="A1769" s="4" t="s">
        <v>21</v>
      </c>
      <c r="B1769" s="4" t="s">
        <v>39</v>
      </c>
      <c r="C1769" s="4" t="s">
        <v>35</v>
      </c>
      <c r="D1769" s="4" t="s">
        <v>40</v>
      </c>
      <c r="E1769" s="4" t="s">
        <v>25</v>
      </c>
      <c r="F1769" s="4" t="s">
        <v>25</v>
      </c>
      <c r="G1769" s="4" t="s">
        <v>25</v>
      </c>
      <c r="H1769" s="4" t="s">
        <v>36</v>
      </c>
      <c r="I1769" s="5">
        <v>44713</v>
      </c>
      <c r="J1769" s="6">
        <v>0</v>
      </c>
      <c r="K1769" s="6">
        <v>0</v>
      </c>
      <c r="L1769" s="6">
        <v>7.0000000000000001E-3</v>
      </c>
      <c r="M1769" s="6">
        <v>7.0000000000000001E-3</v>
      </c>
      <c r="N1769" s="6">
        <v>7.0000000000000001E-3</v>
      </c>
      <c r="O1769" s="6">
        <v>7.0000000000000001E-3</v>
      </c>
      <c r="P1769" s="6">
        <v>0</v>
      </c>
      <c r="Q1769" s="4" t="s">
        <v>26</v>
      </c>
      <c r="R1769" s="4">
        <v>0</v>
      </c>
      <c r="S1769" s="4" t="s">
        <v>433</v>
      </c>
      <c r="T1769" s="4" t="s">
        <v>703</v>
      </c>
      <c r="U1769" s="4">
        <v>0</v>
      </c>
      <c r="V1769" s="4">
        <v>64</v>
      </c>
      <c r="W1769" s="4">
        <v>108</v>
      </c>
    </row>
    <row r="1770" spans="1:23" ht="11.25" customHeight="1" x14ac:dyDescent="0.25">
      <c r="A1770" s="4" t="s">
        <v>21</v>
      </c>
      <c r="B1770" s="4" t="s">
        <v>39</v>
      </c>
      <c r="C1770" s="4" t="s">
        <v>35</v>
      </c>
      <c r="D1770" s="4" t="s">
        <v>40</v>
      </c>
      <c r="E1770" s="4" t="s">
        <v>25</v>
      </c>
      <c r="F1770" s="4" t="s">
        <v>25</v>
      </c>
      <c r="G1770" s="4" t="s">
        <v>25</v>
      </c>
      <c r="H1770" s="4" t="s">
        <v>36</v>
      </c>
      <c r="I1770" s="5">
        <v>44743</v>
      </c>
      <c r="J1770" s="6">
        <v>0</v>
      </c>
      <c r="K1770" s="6">
        <v>0</v>
      </c>
      <c r="L1770" s="6">
        <v>3.0000000000000001E-3</v>
      </c>
      <c r="M1770" s="6">
        <v>3.0000000000000001E-3</v>
      </c>
      <c r="N1770" s="6">
        <v>3.0000000000000001E-3</v>
      </c>
      <c r="O1770" s="6">
        <v>3.0000000000000001E-3</v>
      </c>
      <c r="P1770" s="6">
        <v>0</v>
      </c>
      <c r="Q1770" s="4" t="s">
        <v>26</v>
      </c>
      <c r="R1770" s="4">
        <v>0</v>
      </c>
      <c r="S1770" s="4" t="s">
        <v>434</v>
      </c>
      <c r="T1770" s="4" t="s">
        <v>704</v>
      </c>
      <c r="U1770" s="4">
        <v>0</v>
      </c>
      <c r="V1770" s="4">
        <v>64</v>
      </c>
      <c r="W1770" s="4">
        <v>108</v>
      </c>
    </row>
    <row r="1771" spans="1:23" ht="11.25" customHeight="1" x14ac:dyDescent="0.25">
      <c r="A1771" s="4" t="s">
        <v>21</v>
      </c>
      <c r="B1771" s="4" t="s">
        <v>39</v>
      </c>
      <c r="C1771" s="4" t="s">
        <v>35</v>
      </c>
      <c r="D1771" s="4" t="s">
        <v>40</v>
      </c>
      <c r="E1771" s="4" t="s">
        <v>25</v>
      </c>
      <c r="F1771" s="4" t="s">
        <v>25</v>
      </c>
      <c r="G1771" s="4" t="s">
        <v>25</v>
      </c>
      <c r="H1771" s="4" t="s">
        <v>36</v>
      </c>
      <c r="I1771" s="5">
        <v>44774</v>
      </c>
      <c r="J1771" s="6">
        <v>0</v>
      </c>
      <c r="K1771" s="6">
        <v>0</v>
      </c>
      <c r="L1771" s="6">
        <v>6.0000000000000001E-3</v>
      </c>
      <c r="M1771" s="6">
        <v>6.0000000000000001E-3</v>
      </c>
      <c r="N1771" s="6">
        <v>6.0000000000000001E-3</v>
      </c>
      <c r="O1771" s="6">
        <v>6.0000000000000001E-3</v>
      </c>
      <c r="P1771" s="6">
        <v>0</v>
      </c>
      <c r="Q1771" s="4" t="s">
        <v>26</v>
      </c>
      <c r="R1771" s="4">
        <v>0</v>
      </c>
      <c r="S1771" s="4" t="s">
        <v>435</v>
      </c>
      <c r="T1771" s="4" t="s">
        <v>705</v>
      </c>
      <c r="U1771" s="4">
        <v>0</v>
      </c>
      <c r="V1771" s="4">
        <v>64</v>
      </c>
      <c r="W1771" s="4">
        <v>108</v>
      </c>
    </row>
    <row r="1772" spans="1:23" ht="11.25" customHeight="1" x14ac:dyDescent="0.25">
      <c r="A1772" s="4" t="s">
        <v>21</v>
      </c>
      <c r="B1772" s="4" t="s">
        <v>39</v>
      </c>
      <c r="C1772" s="4" t="s">
        <v>35</v>
      </c>
      <c r="D1772" s="4" t="s">
        <v>40</v>
      </c>
      <c r="E1772" s="4" t="s">
        <v>25</v>
      </c>
      <c r="F1772" s="4" t="s">
        <v>25</v>
      </c>
      <c r="G1772" s="4" t="s">
        <v>25</v>
      </c>
      <c r="H1772" s="4" t="s">
        <v>36</v>
      </c>
      <c r="I1772" s="5">
        <v>44805</v>
      </c>
      <c r="J1772" s="6">
        <v>0</v>
      </c>
      <c r="K1772" s="6">
        <v>0</v>
      </c>
      <c r="L1772" s="6">
        <v>3.0000000000000001E-3</v>
      </c>
      <c r="M1772" s="6">
        <v>3.0000000000000001E-3</v>
      </c>
      <c r="N1772" s="6">
        <v>3.0000000000000001E-3</v>
      </c>
      <c r="O1772" s="6">
        <v>3.0000000000000001E-3</v>
      </c>
      <c r="P1772" s="6">
        <v>0</v>
      </c>
      <c r="Q1772" s="4" t="s">
        <v>26</v>
      </c>
      <c r="R1772" s="4">
        <v>0</v>
      </c>
      <c r="S1772" s="4" t="s">
        <v>436</v>
      </c>
      <c r="T1772" s="4" t="s">
        <v>706</v>
      </c>
      <c r="U1772" s="4">
        <v>0</v>
      </c>
      <c r="V1772" s="4">
        <v>64</v>
      </c>
      <c r="W1772" s="4">
        <v>108</v>
      </c>
    </row>
    <row r="1773" spans="1:23" ht="11.25" customHeight="1" x14ac:dyDescent="0.25">
      <c r="A1773" s="4" t="s">
        <v>21</v>
      </c>
      <c r="B1773" s="4" t="s">
        <v>39</v>
      </c>
      <c r="C1773" s="4" t="s">
        <v>35</v>
      </c>
      <c r="D1773" s="4" t="s">
        <v>40</v>
      </c>
      <c r="E1773" s="4" t="s">
        <v>25</v>
      </c>
      <c r="F1773" s="4" t="s">
        <v>25</v>
      </c>
      <c r="G1773" s="4" t="s">
        <v>25</v>
      </c>
      <c r="H1773" s="4" t="s">
        <v>36</v>
      </c>
      <c r="I1773" s="5">
        <v>44835</v>
      </c>
      <c r="J1773" s="6">
        <v>0</v>
      </c>
      <c r="K1773" s="6">
        <v>0</v>
      </c>
      <c r="L1773" s="6">
        <v>3.0000000000000001E-3</v>
      </c>
      <c r="M1773" s="6">
        <v>3.0000000000000001E-3</v>
      </c>
      <c r="N1773" s="6">
        <v>3.0000000000000001E-3</v>
      </c>
      <c r="O1773" s="6">
        <v>3.0000000000000001E-3</v>
      </c>
      <c r="P1773" s="6">
        <v>0</v>
      </c>
      <c r="Q1773" s="4" t="s">
        <v>26</v>
      </c>
      <c r="R1773" s="4">
        <v>0</v>
      </c>
      <c r="S1773" s="4" t="s">
        <v>437</v>
      </c>
      <c r="T1773" s="4" t="s">
        <v>707</v>
      </c>
      <c r="U1773" s="4">
        <v>0</v>
      </c>
      <c r="V1773" s="4">
        <v>64</v>
      </c>
      <c r="W1773" s="4">
        <v>108</v>
      </c>
    </row>
    <row r="1774" spans="1:23" ht="11.25" customHeight="1" x14ac:dyDescent="0.25">
      <c r="A1774" s="4" t="s">
        <v>59</v>
      </c>
      <c r="B1774" s="4" t="s">
        <v>39</v>
      </c>
      <c r="C1774" s="4" t="s">
        <v>35</v>
      </c>
      <c r="D1774" s="4" t="s">
        <v>40</v>
      </c>
      <c r="E1774" s="4" t="s">
        <v>25</v>
      </c>
      <c r="F1774" s="4" t="s">
        <v>25</v>
      </c>
      <c r="G1774" s="4" t="s">
        <v>25</v>
      </c>
      <c r="H1774" s="4" t="s">
        <v>36</v>
      </c>
      <c r="I1774" s="5">
        <v>44866</v>
      </c>
      <c r="J1774" s="6">
        <v>0</v>
      </c>
      <c r="K1774" s="6">
        <v>0</v>
      </c>
      <c r="L1774" s="6">
        <v>3.0000000000000001E-3</v>
      </c>
      <c r="M1774" s="6">
        <v>3.0000000000000001E-3</v>
      </c>
      <c r="N1774" s="6">
        <v>3.0000000000000001E-3</v>
      </c>
      <c r="O1774" s="6">
        <v>3.0000000000000001E-3</v>
      </c>
      <c r="P1774" s="6">
        <v>0</v>
      </c>
      <c r="Q1774" s="4" t="s">
        <v>26</v>
      </c>
      <c r="R1774" s="4">
        <v>0</v>
      </c>
      <c r="S1774" s="4" t="s">
        <v>438</v>
      </c>
      <c r="T1774" s="4" t="s">
        <v>708</v>
      </c>
      <c r="U1774" s="4">
        <v>0</v>
      </c>
      <c r="V1774" s="4">
        <v>64</v>
      </c>
      <c r="W1774" s="4">
        <v>108</v>
      </c>
    </row>
    <row r="1775" spans="1:23" ht="11.25" customHeight="1" x14ac:dyDescent="0.25">
      <c r="A1775" s="4" t="s">
        <v>21</v>
      </c>
      <c r="B1775" s="4" t="s">
        <v>39</v>
      </c>
      <c r="C1775" s="4" t="s">
        <v>35</v>
      </c>
      <c r="D1775" s="4" t="s">
        <v>48</v>
      </c>
      <c r="E1775" s="4" t="s">
        <v>25</v>
      </c>
      <c r="F1775" s="4" t="s">
        <v>25</v>
      </c>
      <c r="G1775" s="4" t="s">
        <v>25</v>
      </c>
      <c r="H1775" s="4" t="s">
        <v>37</v>
      </c>
      <c r="I1775" s="5">
        <v>44531</v>
      </c>
      <c r="J1775" s="6">
        <v>0</v>
      </c>
      <c r="K1775" s="6">
        <v>0</v>
      </c>
      <c r="L1775" s="6">
        <v>7.5250000000000004</v>
      </c>
      <c r="M1775" s="6">
        <v>7.5250000000000004</v>
      </c>
      <c r="N1775" s="6">
        <v>7.5250000000000004</v>
      </c>
      <c r="O1775" s="6">
        <v>7.5250000000000004</v>
      </c>
      <c r="P1775" s="6">
        <v>0</v>
      </c>
      <c r="Q1775" s="4" t="s">
        <v>26</v>
      </c>
      <c r="R1775" s="4">
        <v>0</v>
      </c>
      <c r="S1775" s="4" t="s">
        <v>403</v>
      </c>
      <c r="T1775" s="4" t="s">
        <v>673</v>
      </c>
      <c r="U1775" s="4">
        <v>0</v>
      </c>
      <c r="V1775" s="4">
        <v>66</v>
      </c>
      <c r="W1775" s="4">
        <v>110</v>
      </c>
    </row>
    <row r="1776" spans="1:23" ht="11.25" customHeight="1" x14ac:dyDescent="0.25">
      <c r="A1776" s="4" t="s">
        <v>27</v>
      </c>
      <c r="B1776" s="4" t="s">
        <v>39</v>
      </c>
      <c r="C1776" s="4" t="s">
        <v>35</v>
      </c>
      <c r="D1776" s="4" t="s">
        <v>48</v>
      </c>
      <c r="E1776" s="4" t="s">
        <v>25</v>
      </c>
      <c r="F1776" s="4" t="s">
        <v>25</v>
      </c>
      <c r="G1776" s="4" t="s">
        <v>25</v>
      </c>
      <c r="H1776" s="4" t="s">
        <v>37</v>
      </c>
      <c r="I1776" s="5">
        <v>44531</v>
      </c>
      <c r="J1776" s="6">
        <v>0</v>
      </c>
      <c r="K1776" s="6">
        <v>0</v>
      </c>
      <c r="L1776" s="6">
        <v>1.369</v>
      </c>
      <c r="M1776" s="6">
        <v>1.369</v>
      </c>
      <c r="N1776" s="6">
        <v>1.369</v>
      </c>
      <c r="O1776" s="6">
        <v>1.369</v>
      </c>
      <c r="P1776" s="6">
        <v>0</v>
      </c>
      <c r="Q1776" s="4" t="s">
        <v>26</v>
      </c>
      <c r="R1776" s="4">
        <v>0</v>
      </c>
      <c r="S1776" s="4" t="s">
        <v>403</v>
      </c>
      <c r="T1776" s="4" t="s">
        <v>673</v>
      </c>
      <c r="U1776" s="4">
        <v>0</v>
      </c>
      <c r="V1776" s="4">
        <v>66</v>
      </c>
      <c r="W1776" s="4">
        <v>110</v>
      </c>
    </row>
    <row r="1777" spans="1:23" ht="11.25" customHeight="1" x14ac:dyDescent="0.25">
      <c r="A1777" s="4" t="s">
        <v>21</v>
      </c>
      <c r="B1777" s="4" t="s">
        <v>39</v>
      </c>
      <c r="C1777" s="4" t="s">
        <v>35</v>
      </c>
      <c r="D1777" s="4" t="s">
        <v>48</v>
      </c>
      <c r="E1777" s="4" t="s">
        <v>25</v>
      </c>
      <c r="F1777" s="4" t="s">
        <v>25</v>
      </c>
      <c r="G1777" s="4" t="s">
        <v>25</v>
      </c>
      <c r="H1777" s="4" t="s">
        <v>37</v>
      </c>
      <c r="I1777" s="5">
        <v>44562</v>
      </c>
      <c r="J1777" s="6">
        <v>0</v>
      </c>
      <c r="K1777" s="6">
        <v>0</v>
      </c>
      <c r="L1777" s="6">
        <v>6.5129999999999999</v>
      </c>
      <c r="M1777" s="6">
        <v>6.5129999999999999</v>
      </c>
      <c r="N1777" s="6">
        <v>6.5129999999999999</v>
      </c>
      <c r="O1777" s="6">
        <v>6.5129999999999999</v>
      </c>
      <c r="P1777" s="6">
        <v>0</v>
      </c>
      <c r="Q1777" s="4" t="s">
        <v>26</v>
      </c>
      <c r="R1777" s="4">
        <v>0</v>
      </c>
      <c r="S1777" s="4" t="s">
        <v>404</v>
      </c>
      <c r="T1777" s="4" t="s">
        <v>674</v>
      </c>
      <c r="U1777" s="4">
        <v>0</v>
      </c>
      <c r="V1777" s="4">
        <v>66</v>
      </c>
      <c r="W1777" s="4">
        <v>110</v>
      </c>
    </row>
    <row r="1778" spans="1:23" ht="11.25" customHeight="1" x14ac:dyDescent="0.25">
      <c r="A1778" s="4" t="s">
        <v>21</v>
      </c>
      <c r="B1778" s="4" t="s">
        <v>39</v>
      </c>
      <c r="C1778" s="4" t="s">
        <v>35</v>
      </c>
      <c r="D1778" s="4" t="s">
        <v>48</v>
      </c>
      <c r="E1778" s="4" t="s">
        <v>25</v>
      </c>
      <c r="F1778" s="4" t="s">
        <v>25</v>
      </c>
      <c r="G1778" s="4" t="s">
        <v>25</v>
      </c>
      <c r="H1778" s="4" t="s">
        <v>37</v>
      </c>
      <c r="I1778" s="5">
        <v>44593</v>
      </c>
      <c r="J1778" s="6">
        <v>0</v>
      </c>
      <c r="K1778" s="6">
        <v>0</v>
      </c>
      <c r="L1778" s="6">
        <v>5.2389999999999999</v>
      </c>
      <c r="M1778" s="6">
        <v>5.2389999999999999</v>
      </c>
      <c r="N1778" s="6">
        <v>5.2389999999999999</v>
      </c>
      <c r="O1778" s="6">
        <v>5.2389999999999999</v>
      </c>
      <c r="P1778" s="6">
        <v>0</v>
      </c>
      <c r="Q1778" s="4" t="s">
        <v>26</v>
      </c>
      <c r="R1778" s="4">
        <v>0</v>
      </c>
      <c r="S1778" s="4" t="s">
        <v>405</v>
      </c>
      <c r="T1778" s="4" t="s">
        <v>675</v>
      </c>
      <c r="U1778" s="4">
        <v>0</v>
      </c>
      <c r="V1778" s="4">
        <v>66</v>
      </c>
      <c r="W1778" s="4">
        <v>110</v>
      </c>
    </row>
    <row r="1779" spans="1:23" ht="11.25" customHeight="1" x14ac:dyDescent="0.25">
      <c r="A1779" s="4" t="s">
        <v>21</v>
      </c>
      <c r="B1779" s="4" t="s">
        <v>39</v>
      </c>
      <c r="C1779" s="4" t="s">
        <v>35</v>
      </c>
      <c r="D1779" s="4" t="s">
        <v>48</v>
      </c>
      <c r="E1779" s="4" t="s">
        <v>25</v>
      </c>
      <c r="F1779" s="4" t="s">
        <v>25</v>
      </c>
      <c r="G1779" s="4" t="s">
        <v>25</v>
      </c>
      <c r="H1779" s="4" t="s">
        <v>37</v>
      </c>
      <c r="I1779" s="5">
        <v>44621</v>
      </c>
      <c r="J1779" s="6">
        <v>0</v>
      </c>
      <c r="K1779" s="6">
        <v>0</v>
      </c>
      <c r="L1779" s="6">
        <v>6.1890000000000001</v>
      </c>
      <c r="M1779" s="6">
        <v>6.1890000000000001</v>
      </c>
      <c r="N1779" s="6">
        <v>6.1890000000000001</v>
      </c>
      <c r="O1779" s="6">
        <v>6.1890000000000001</v>
      </c>
      <c r="P1779" s="6">
        <v>0</v>
      </c>
      <c r="Q1779" s="4" t="s">
        <v>26</v>
      </c>
      <c r="R1779" s="4">
        <v>0</v>
      </c>
      <c r="S1779" s="4" t="s">
        <v>406</v>
      </c>
      <c r="T1779" s="4" t="s">
        <v>676</v>
      </c>
      <c r="U1779" s="4">
        <v>0</v>
      </c>
      <c r="V1779" s="4">
        <v>66</v>
      </c>
      <c r="W1779" s="4">
        <v>110</v>
      </c>
    </row>
    <row r="1780" spans="1:23" ht="11.25" customHeight="1" x14ac:dyDescent="0.25">
      <c r="A1780" s="4" t="s">
        <v>21</v>
      </c>
      <c r="B1780" s="4" t="s">
        <v>39</v>
      </c>
      <c r="C1780" s="4" t="s">
        <v>35</v>
      </c>
      <c r="D1780" s="4" t="s">
        <v>48</v>
      </c>
      <c r="E1780" s="4" t="s">
        <v>25</v>
      </c>
      <c r="F1780" s="4" t="s">
        <v>25</v>
      </c>
      <c r="G1780" s="4" t="s">
        <v>25</v>
      </c>
      <c r="H1780" s="4" t="s">
        <v>37</v>
      </c>
      <c r="I1780" s="5">
        <v>44652</v>
      </c>
      <c r="J1780" s="6">
        <v>0</v>
      </c>
      <c r="K1780" s="6">
        <v>0</v>
      </c>
      <c r="L1780" s="6">
        <v>6.5919999999999996</v>
      </c>
      <c r="M1780" s="6">
        <v>6.5919999999999996</v>
      </c>
      <c r="N1780" s="6">
        <v>6.5919999999999996</v>
      </c>
      <c r="O1780" s="6">
        <v>6.5919999999999996</v>
      </c>
      <c r="P1780" s="6">
        <v>0</v>
      </c>
      <c r="Q1780" s="4" t="s">
        <v>26</v>
      </c>
      <c r="R1780" s="4">
        <v>0</v>
      </c>
      <c r="S1780" s="4" t="s">
        <v>407</v>
      </c>
      <c r="T1780" s="4" t="s">
        <v>677</v>
      </c>
      <c r="U1780" s="4">
        <v>0</v>
      </c>
      <c r="V1780" s="4">
        <v>66</v>
      </c>
      <c r="W1780" s="4">
        <v>110</v>
      </c>
    </row>
    <row r="1781" spans="1:23" ht="11.25" customHeight="1" x14ac:dyDescent="0.25">
      <c r="A1781" s="4" t="s">
        <v>27</v>
      </c>
      <c r="B1781" s="4" t="s">
        <v>39</v>
      </c>
      <c r="C1781" s="4" t="s">
        <v>35</v>
      </c>
      <c r="D1781" s="4" t="s">
        <v>48</v>
      </c>
      <c r="E1781" s="4" t="s">
        <v>25</v>
      </c>
      <c r="F1781" s="4" t="s">
        <v>25</v>
      </c>
      <c r="G1781" s="4" t="s">
        <v>25</v>
      </c>
      <c r="H1781" s="4" t="s">
        <v>37</v>
      </c>
      <c r="I1781" s="5">
        <v>44652</v>
      </c>
      <c r="J1781" s="6">
        <v>0</v>
      </c>
      <c r="K1781" s="6">
        <v>0</v>
      </c>
      <c r="L1781" s="6">
        <v>-1.0369999999999999</v>
      </c>
      <c r="M1781" s="6">
        <v>-1.0369999999999999</v>
      </c>
      <c r="N1781" s="6">
        <v>-1.0369999999999999</v>
      </c>
      <c r="O1781" s="6">
        <v>-1.0369999999999999</v>
      </c>
      <c r="P1781" s="6">
        <v>0</v>
      </c>
      <c r="Q1781" s="4" t="s">
        <v>26</v>
      </c>
      <c r="R1781" s="4">
        <v>0</v>
      </c>
      <c r="S1781" s="4" t="s">
        <v>407</v>
      </c>
      <c r="T1781" s="4" t="s">
        <v>677</v>
      </c>
      <c r="U1781" s="4">
        <v>0</v>
      </c>
      <c r="V1781" s="4">
        <v>66</v>
      </c>
      <c r="W1781" s="4">
        <v>110</v>
      </c>
    </row>
    <row r="1782" spans="1:23" ht="11.25" customHeight="1" x14ac:dyDescent="0.25">
      <c r="A1782" s="4" t="s">
        <v>21</v>
      </c>
      <c r="B1782" s="4" t="s">
        <v>39</v>
      </c>
      <c r="C1782" s="4" t="s">
        <v>35</v>
      </c>
      <c r="D1782" s="4" t="s">
        <v>48</v>
      </c>
      <c r="E1782" s="4" t="s">
        <v>25</v>
      </c>
      <c r="F1782" s="4" t="s">
        <v>25</v>
      </c>
      <c r="G1782" s="4" t="s">
        <v>25</v>
      </c>
      <c r="H1782" s="4" t="s">
        <v>37</v>
      </c>
      <c r="I1782" s="5">
        <v>44682</v>
      </c>
      <c r="J1782" s="6">
        <v>0</v>
      </c>
      <c r="K1782" s="6">
        <v>0</v>
      </c>
      <c r="L1782" s="6">
        <v>8.7040000000000006</v>
      </c>
      <c r="M1782" s="6">
        <v>8.7040000000000006</v>
      </c>
      <c r="N1782" s="6">
        <v>8.7040000000000006</v>
      </c>
      <c r="O1782" s="6">
        <v>8.7040000000000006</v>
      </c>
      <c r="P1782" s="6">
        <v>0</v>
      </c>
      <c r="Q1782" s="4" t="s">
        <v>26</v>
      </c>
      <c r="R1782" s="4">
        <v>0</v>
      </c>
      <c r="S1782" s="4" t="s">
        <v>408</v>
      </c>
      <c r="T1782" s="4" t="s">
        <v>678</v>
      </c>
      <c r="U1782" s="4">
        <v>0</v>
      </c>
      <c r="V1782" s="4">
        <v>66</v>
      </c>
      <c r="W1782" s="4">
        <v>110</v>
      </c>
    </row>
    <row r="1783" spans="1:23" ht="11.25" customHeight="1" x14ac:dyDescent="0.25">
      <c r="A1783" s="4" t="s">
        <v>21</v>
      </c>
      <c r="B1783" s="4" t="s">
        <v>39</v>
      </c>
      <c r="C1783" s="4" t="s">
        <v>35</v>
      </c>
      <c r="D1783" s="4" t="s">
        <v>48</v>
      </c>
      <c r="E1783" s="4" t="s">
        <v>25</v>
      </c>
      <c r="F1783" s="4" t="s">
        <v>25</v>
      </c>
      <c r="G1783" s="4" t="s">
        <v>25</v>
      </c>
      <c r="H1783" s="4" t="s">
        <v>37</v>
      </c>
      <c r="I1783" s="5">
        <v>44713</v>
      </c>
      <c r="J1783" s="6">
        <v>0</v>
      </c>
      <c r="K1783" s="6">
        <v>0</v>
      </c>
      <c r="L1783" s="6">
        <v>6.5490000000000004</v>
      </c>
      <c r="M1783" s="6">
        <v>6.5490000000000004</v>
      </c>
      <c r="N1783" s="6">
        <v>6.5490000000000004</v>
      </c>
      <c r="O1783" s="6">
        <v>6.5490000000000004</v>
      </c>
      <c r="P1783" s="6">
        <v>0</v>
      </c>
      <c r="Q1783" s="4" t="s">
        <v>26</v>
      </c>
      <c r="R1783" s="4">
        <v>0</v>
      </c>
      <c r="S1783" s="4" t="s">
        <v>409</v>
      </c>
      <c r="T1783" s="4" t="s">
        <v>679</v>
      </c>
      <c r="U1783" s="4">
        <v>0</v>
      </c>
      <c r="V1783" s="4">
        <v>66</v>
      </c>
      <c r="W1783" s="4">
        <v>110</v>
      </c>
    </row>
    <row r="1784" spans="1:23" ht="11.25" customHeight="1" x14ac:dyDescent="0.25">
      <c r="A1784" s="4" t="s">
        <v>28</v>
      </c>
      <c r="B1784" s="4" t="s">
        <v>39</v>
      </c>
      <c r="C1784" s="4" t="s">
        <v>35</v>
      </c>
      <c r="D1784" s="4" t="s">
        <v>48</v>
      </c>
      <c r="E1784" s="4" t="s">
        <v>25</v>
      </c>
      <c r="F1784" s="4" t="s">
        <v>25</v>
      </c>
      <c r="G1784" s="4" t="s">
        <v>25</v>
      </c>
      <c r="H1784" s="4" t="s">
        <v>37</v>
      </c>
      <c r="I1784" s="5">
        <v>44713</v>
      </c>
      <c r="J1784" s="6">
        <v>0</v>
      </c>
      <c r="K1784" s="6">
        <v>0</v>
      </c>
      <c r="L1784" s="6">
        <v>8.7999999999999995E-2</v>
      </c>
      <c r="M1784" s="6">
        <v>8.7999999999999995E-2</v>
      </c>
      <c r="N1784" s="6">
        <v>8.7999999999999995E-2</v>
      </c>
      <c r="O1784" s="6">
        <v>8.7999999999999995E-2</v>
      </c>
      <c r="P1784" s="6">
        <v>0</v>
      </c>
      <c r="Q1784" s="4" t="s">
        <v>26</v>
      </c>
      <c r="R1784" s="4">
        <v>0</v>
      </c>
      <c r="S1784" s="4" t="s">
        <v>409</v>
      </c>
      <c r="T1784" s="4" t="s">
        <v>679</v>
      </c>
      <c r="U1784" s="4">
        <v>0</v>
      </c>
      <c r="V1784" s="4">
        <v>66</v>
      </c>
      <c r="W1784" s="4">
        <v>110</v>
      </c>
    </row>
    <row r="1785" spans="1:23" ht="11.25" customHeight="1" x14ac:dyDescent="0.25">
      <c r="A1785" s="4" t="s">
        <v>21</v>
      </c>
      <c r="B1785" s="4" t="s">
        <v>39</v>
      </c>
      <c r="C1785" s="4" t="s">
        <v>35</v>
      </c>
      <c r="D1785" s="4" t="s">
        <v>48</v>
      </c>
      <c r="E1785" s="4" t="s">
        <v>25</v>
      </c>
      <c r="F1785" s="4" t="s">
        <v>25</v>
      </c>
      <c r="G1785" s="4" t="s">
        <v>25</v>
      </c>
      <c r="H1785" s="4" t="s">
        <v>37</v>
      </c>
      <c r="I1785" s="5">
        <v>44743</v>
      </c>
      <c r="J1785" s="6">
        <v>0</v>
      </c>
      <c r="K1785" s="6">
        <v>0</v>
      </c>
      <c r="L1785" s="6">
        <v>8.452</v>
      </c>
      <c r="M1785" s="6">
        <v>8.452</v>
      </c>
      <c r="N1785" s="6">
        <v>8.452</v>
      </c>
      <c r="O1785" s="6">
        <v>8.452</v>
      </c>
      <c r="P1785" s="6">
        <v>0</v>
      </c>
      <c r="Q1785" s="4" t="s">
        <v>26</v>
      </c>
      <c r="R1785" s="4">
        <v>0</v>
      </c>
      <c r="S1785" s="4" t="s">
        <v>410</v>
      </c>
      <c r="T1785" s="4" t="s">
        <v>680</v>
      </c>
      <c r="U1785" s="4">
        <v>0</v>
      </c>
      <c r="V1785" s="4">
        <v>66</v>
      </c>
      <c r="W1785" s="4">
        <v>110</v>
      </c>
    </row>
    <row r="1786" spans="1:23" ht="11.25" customHeight="1" x14ac:dyDescent="0.25">
      <c r="A1786" s="4" t="s">
        <v>28</v>
      </c>
      <c r="B1786" s="4" t="s">
        <v>39</v>
      </c>
      <c r="C1786" s="4" t="s">
        <v>35</v>
      </c>
      <c r="D1786" s="4" t="s">
        <v>48</v>
      </c>
      <c r="E1786" s="4" t="s">
        <v>25</v>
      </c>
      <c r="F1786" s="4" t="s">
        <v>25</v>
      </c>
      <c r="G1786" s="4" t="s">
        <v>25</v>
      </c>
      <c r="H1786" s="4" t="s">
        <v>37</v>
      </c>
      <c r="I1786" s="5">
        <v>44743</v>
      </c>
      <c r="J1786" s="6">
        <v>0</v>
      </c>
      <c r="K1786" s="6">
        <v>0</v>
      </c>
      <c r="L1786" s="6">
        <v>0.24099999999999999</v>
      </c>
      <c r="M1786" s="6">
        <v>0.24099999999999999</v>
      </c>
      <c r="N1786" s="6">
        <v>0.24099999999999999</v>
      </c>
      <c r="O1786" s="6">
        <v>0.24099999999999999</v>
      </c>
      <c r="P1786" s="6">
        <v>0</v>
      </c>
      <c r="Q1786" s="4" t="s">
        <v>26</v>
      </c>
      <c r="R1786" s="4">
        <v>0</v>
      </c>
      <c r="S1786" s="4" t="s">
        <v>410</v>
      </c>
      <c r="T1786" s="4" t="s">
        <v>680</v>
      </c>
      <c r="U1786" s="4">
        <v>0</v>
      </c>
      <c r="V1786" s="4">
        <v>66</v>
      </c>
      <c r="W1786" s="4">
        <v>110</v>
      </c>
    </row>
    <row r="1787" spans="1:23" ht="11.25" customHeight="1" x14ac:dyDescent="0.25">
      <c r="A1787" s="4" t="s">
        <v>21</v>
      </c>
      <c r="B1787" s="4" t="s">
        <v>39</v>
      </c>
      <c r="C1787" s="4" t="s">
        <v>35</v>
      </c>
      <c r="D1787" s="4" t="s">
        <v>48</v>
      </c>
      <c r="E1787" s="4" t="s">
        <v>25</v>
      </c>
      <c r="F1787" s="4" t="s">
        <v>25</v>
      </c>
      <c r="G1787" s="4" t="s">
        <v>25</v>
      </c>
      <c r="H1787" s="4" t="s">
        <v>37</v>
      </c>
      <c r="I1787" s="5">
        <v>44774</v>
      </c>
      <c r="J1787" s="6">
        <v>0</v>
      </c>
      <c r="K1787" s="6">
        <v>0</v>
      </c>
      <c r="L1787" s="6">
        <v>7.8049999999999997</v>
      </c>
      <c r="M1787" s="6">
        <v>7.8049999999999997</v>
      </c>
      <c r="N1787" s="6">
        <v>7.8049999999999997</v>
      </c>
      <c r="O1787" s="6">
        <v>7.8049999999999997</v>
      </c>
      <c r="P1787" s="6">
        <v>0</v>
      </c>
      <c r="Q1787" s="4" t="s">
        <v>26</v>
      </c>
      <c r="R1787" s="4">
        <v>0</v>
      </c>
      <c r="S1787" s="4" t="s">
        <v>411</v>
      </c>
      <c r="T1787" s="4" t="s">
        <v>681</v>
      </c>
      <c r="U1787" s="4">
        <v>0</v>
      </c>
      <c r="V1787" s="4">
        <v>66</v>
      </c>
      <c r="W1787" s="4">
        <v>110</v>
      </c>
    </row>
    <row r="1788" spans="1:23" ht="11.25" customHeight="1" x14ac:dyDescent="0.25">
      <c r="A1788" s="4" t="s">
        <v>27</v>
      </c>
      <c r="B1788" s="4" t="s">
        <v>39</v>
      </c>
      <c r="C1788" s="4" t="s">
        <v>35</v>
      </c>
      <c r="D1788" s="4" t="s">
        <v>48</v>
      </c>
      <c r="E1788" s="4" t="s">
        <v>25</v>
      </c>
      <c r="F1788" s="4" t="s">
        <v>25</v>
      </c>
      <c r="G1788" s="4" t="s">
        <v>25</v>
      </c>
      <c r="H1788" s="4" t="s">
        <v>37</v>
      </c>
      <c r="I1788" s="5">
        <v>44774</v>
      </c>
      <c r="J1788" s="6">
        <v>0</v>
      </c>
      <c r="K1788" s="6">
        <v>0</v>
      </c>
      <c r="L1788" s="6">
        <v>0.59099999999999997</v>
      </c>
      <c r="M1788" s="6">
        <v>0.59099999999999997</v>
      </c>
      <c r="N1788" s="6">
        <v>0.59099999999999997</v>
      </c>
      <c r="O1788" s="6">
        <v>0.59099999999999997</v>
      </c>
      <c r="P1788" s="6">
        <v>0</v>
      </c>
      <c r="Q1788" s="4" t="s">
        <v>26</v>
      </c>
      <c r="R1788" s="4">
        <v>0</v>
      </c>
      <c r="S1788" s="4" t="s">
        <v>411</v>
      </c>
      <c r="T1788" s="4" t="s">
        <v>681</v>
      </c>
      <c r="U1788" s="4">
        <v>0</v>
      </c>
      <c r="V1788" s="4">
        <v>66</v>
      </c>
      <c r="W1788" s="4">
        <v>110</v>
      </c>
    </row>
    <row r="1789" spans="1:23" ht="11.25" customHeight="1" x14ac:dyDescent="0.25">
      <c r="A1789" s="4" t="s">
        <v>28</v>
      </c>
      <c r="B1789" s="4" t="s">
        <v>39</v>
      </c>
      <c r="C1789" s="4" t="s">
        <v>35</v>
      </c>
      <c r="D1789" s="4" t="s">
        <v>48</v>
      </c>
      <c r="E1789" s="4" t="s">
        <v>25</v>
      </c>
      <c r="F1789" s="4" t="s">
        <v>25</v>
      </c>
      <c r="G1789" s="4" t="s">
        <v>25</v>
      </c>
      <c r="H1789" s="4" t="s">
        <v>37</v>
      </c>
      <c r="I1789" s="5">
        <v>44774</v>
      </c>
      <c r="J1789" s="6">
        <v>0</v>
      </c>
      <c r="K1789" s="6">
        <v>0</v>
      </c>
      <c r="L1789" s="6">
        <v>0.192</v>
      </c>
      <c r="M1789" s="6">
        <v>0.192</v>
      </c>
      <c r="N1789" s="6">
        <v>0.192</v>
      </c>
      <c r="O1789" s="6">
        <v>0.192</v>
      </c>
      <c r="P1789" s="6">
        <v>0</v>
      </c>
      <c r="Q1789" s="4" t="s">
        <v>26</v>
      </c>
      <c r="R1789" s="4">
        <v>0</v>
      </c>
      <c r="S1789" s="4" t="s">
        <v>411</v>
      </c>
      <c r="T1789" s="4" t="s">
        <v>681</v>
      </c>
      <c r="U1789" s="4">
        <v>0</v>
      </c>
      <c r="V1789" s="4">
        <v>66</v>
      </c>
      <c r="W1789" s="4">
        <v>110</v>
      </c>
    </row>
    <row r="1790" spans="1:23" ht="11.25" customHeight="1" x14ac:dyDescent="0.25">
      <c r="A1790" s="4" t="s">
        <v>21</v>
      </c>
      <c r="B1790" s="4" t="s">
        <v>39</v>
      </c>
      <c r="C1790" s="4" t="s">
        <v>35</v>
      </c>
      <c r="D1790" s="4" t="s">
        <v>48</v>
      </c>
      <c r="E1790" s="4" t="s">
        <v>25</v>
      </c>
      <c r="F1790" s="4" t="s">
        <v>25</v>
      </c>
      <c r="G1790" s="4" t="s">
        <v>25</v>
      </c>
      <c r="H1790" s="4" t="s">
        <v>37</v>
      </c>
      <c r="I1790" s="5">
        <v>44805</v>
      </c>
      <c r="J1790" s="6">
        <v>0</v>
      </c>
      <c r="K1790" s="6">
        <v>0</v>
      </c>
      <c r="L1790" s="6">
        <v>14.026999999999999</v>
      </c>
      <c r="M1790" s="6">
        <v>14.026999999999999</v>
      </c>
      <c r="N1790" s="6">
        <v>14.026999999999999</v>
      </c>
      <c r="O1790" s="6">
        <v>14.026999999999999</v>
      </c>
      <c r="P1790" s="6">
        <v>0</v>
      </c>
      <c r="Q1790" s="4" t="s">
        <v>26</v>
      </c>
      <c r="R1790" s="4">
        <v>0</v>
      </c>
      <c r="S1790" s="4" t="s">
        <v>412</v>
      </c>
      <c r="T1790" s="4" t="s">
        <v>682</v>
      </c>
      <c r="U1790" s="4">
        <v>0</v>
      </c>
      <c r="V1790" s="4">
        <v>66</v>
      </c>
      <c r="W1790" s="4">
        <v>110</v>
      </c>
    </row>
    <row r="1791" spans="1:23" ht="11.25" customHeight="1" x14ac:dyDescent="0.25">
      <c r="A1791" s="4" t="s">
        <v>28</v>
      </c>
      <c r="B1791" s="4" t="s">
        <v>39</v>
      </c>
      <c r="C1791" s="4" t="s">
        <v>35</v>
      </c>
      <c r="D1791" s="4" t="s">
        <v>48</v>
      </c>
      <c r="E1791" s="4" t="s">
        <v>25</v>
      </c>
      <c r="F1791" s="4" t="s">
        <v>25</v>
      </c>
      <c r="G1791" s="4" t="s">
        <v>25</v>
      </c>
      <c r="H1791" s="4" t="s">
        <v>37</v>
      </c>
      <c r="I1791" s="5">
        <v>44805</v>
      </c>
      <c r="J1791" s="6">
        <v>0</v>
      </c>
      <c r="K1791" s="6">
        <v>0</v>
      </c>
      <c r="L1791" s="6">
        <v>0.154</v>
      </c>
      <c r="M1791" s="6">
        <v>0.154</v>
      </c>
      <c r="N1791" s="6">
        <v>0.154</v>
      </c>
      <c r="O1791" s="6">
        <v>0.154</v>
      </c>
      <c r="P1791" s="6">
        <v>0</v>
      </c>
      <c r="Q1791" s="4" t="s">
        <v>26</v>
      </c>
      <c r="R1791" s="4">
        <v>0</v>
      </c>
      <c r="S1791" s="4" t="s">
        <v>412</v>
      </c>
      <c r="T1791" s="4" t="s">
        <v>682</v>
      </c>
      <c r="U1791" s="4">
        <v>0</v>
      </c>
      <c r="V1791" s="4">
        <v>66</v>
      </c>
      <c r="W1791" s="4">
        <v>110</v>
      </c>
    </row>
    <row r="1792" spans="1:23" ht="11.25" customHeight="1" x14ac:dyDescent="0.25">
      <c r="A1792" s="4" t="s">
        <v>21</v>
      </c>
      <c r="B1792" s="4" t="s">
        <v>39</v>
      </c>
      <c r="C1792" s="4" t="s">
        <v>35</v>
      </c>
      <c r="D1792" s="4" t="s">
        <v>48</v>
      </c>
      <c r="E1792" s="4" t="s">
        <v>25</v>
      </c>
      <c r="F1792" s="4" t="s">
        <v>25</v>
      </c>
      <c r="G1792" s="4" t="s">
        <v>25</v>
      </c>
      <c r="H1792" s="4" t="s">
        <v>37</v>
      </c>
      <c r="I1792" s="5">
        <v>44835</v>
      </c>
      <c r="J1792" s="6">
        <v>0</v>
      </c>
      <c r="K1792" s="6">
        <v>0</v>
      </c>
      <c r="L1792" s="6">
        <v>20.574000000000002</v>
      </c>
      <c r="M1792" s="6">
        <v>20.574000000000002</v>
      </c>
      <c r="N1792" s="6">
        <v>20.574000000000002</v>
      </c>
      <c r="O1792" s="6">
        <v>20.574000000000002</v>
      </c>
      <c r="P1792" s="6">
        <v>0</v>
      </c>
      <c r="Q1792" s="4" t="s">
        <v>26</v>
      </c>
      <c r="R1792" s="4">
        <v>0</v>
      </c>
      <c r="S1792" s="4" t="s">
        <v>413</v>
      </c>
      <c r="T1792" s="4" t="s">
        <v>683</v>
      </c>
      <c r="U1792" s="4">
        <v>0</v>
      </c>
      <c r="V1792" s="4">
        <v>66</v>
      </c>
      <c r="W1792" s="4">
        <v>110</v>
      </c>
    </row>
    <row r="1793" spans="1:23" ht="11.25" customHeight="1" x14ac:dyDescent="0.25">
      <c r="A1793" s="4" t="s">
        <v>28</v>
      </c>
      <c r="B1793" s="4" t="s">
        <v>39</v>
      </c>
      <c r="C1793" s="4" t="s">
        <v>35</v>
      </c>
      <c r="D1793" s="4" t="s">
        <v>48</v>
      </c>
      <c r="E1793" s="4" t="s">
        <v>25</v>
      </c>
      <c r="F1793" s="4" t="s">
        <v>25</v>
      </c>
      <c r="G1793" s="4" t="s">
        <v>25</v>
      </c>
      <c r="H1793" s="4" t="s">
        <v>37</v>
      </c>
      <c r="I1793" s="5">
        <v>44835</v>
      </c>
      <c r="J1793" s="6">
        <v>0</v>
      </c>
      <c r="K1793" s="6">
        <v>0</v>
      </c>
      <c r="L1793" s="6">
        <v>0.34300000000000003</v>
      </c>
      <c r="M1793" s="6">
        <v>0.34300000000000003</v>
      </c>
      <c r="N1793" s="6">
        <v>0.34300000000000003</v>
      </c>
      <c r="O1793" s="6">
        <v>0.34300000000000003</v>
      </c>
      <c r="P1793" s="6">
        <v>0</v>
      </c>
      <c r="Q1793" s="4" t="s">
        <v>26</v>
      </c>
      <c r="R1793" s="4">
        <v>0</v>
      </c>
      <c r="S1793" s="4" t="s">
        <v>413</v>
      </c>
      <c r="T1793" s="4" t="s">
        <v>683</v>
      </c>
      <c r="U1793" s="4">
        <v>0</v>
      </c>
      <c r="V1793" s="4">
        <v>66</v>
      </c>
      <c r="W1793" s="4">
        <v>110</v>
      </c>
    </row>
    <row r="1794" spans="1:23" ht="11.25" customHeight="1" x14ac:dyDescent="0.25">
      <c r="A1794" s="4" t="s">
        <v>59</v>
      </c>
      <c r="B1794" s="4" t="s">
        <v>39</v>
      </c>
      <c r="C1794" s="4" t="s">
        <v>35</v>
      </c>
      <c r="D1794" s="4" t="s">
        <v>48</v>
      </c>
      <c r="E1794" s="4" t="s">
        <v>25</v>
      </c>
      <c r="F1794" s="4" t="s">
        <v>25</v>
      </c>
      <c r="G1794" s="4" t="s">
        <v>25</v>
      </c>
      <c r="H1794" s="4" t="s">
        <v>37</v>
      </c>
      <c r="I1794" s="5">
        <v>44866</v>
      </c>
      <c r="J1794" s="6">
        <v>0</v>
      </c>
      <c r="K1794" s="6">
        <v>0</v>
      </c>
      <c r="L1794" s="6">
        <v>20.574000000000002</v>
      </c>
      <c r="M1794" s="6">
        <v>20.574000000000002</v>
      </c>
      <c r="N1794" s="6">
        <v>20.574000000000002</v>
      </c>
      <c r="O1794" s="6">
        <v>20.574000000000002</v>
      </c>
      <c r="P1794" s="6">
        <v>0</v>
      </c>
      <c r="Q1794" s="4" t="s">
        <v>26</v>
      </c>
      <c r="R1794" s="4">
        <v>0</v>
      </c>
      <c r="S1794" s="4" t="s">
        <v>414</v>
      </c>
      <c r="T1794" s="4" t="s">
        <v>684</v>
      </c>
      <c r="U1794" s="4">
        <v>0</v>
      </c>
      <c r="V1794" s="4">
        <v>66</v>
      </c>
      <c r="W1794" s="4">
        <v>110</v>
      </c>
    </row>
    <row r="1795" spans="1:23" ht="11.25" customHeight="1" x14ac:dyDescent="0.25">
      <c r="A1795" s="4" t="s">
        <v>59</v>
      </c>
      <c r="B1795" s="4" t="s">
        <v>39</v>
      </c>
      <c r="C1795" s="4" t="s">
        <v>35</v>
      </c>
      <c r="D1795" s="4" t="s">
        <v>48</v>
      </c>
      <c r="E1795" s="4" t="s">
        <v>25</v>
      </c>
      <c r="F1795" s="4" t="s">
        <v>25</v>
      </c>
      <c r="G1795" s="4" t="s">
        <v>25</v>
      </c>
      <c r="H1795" s="4" t="s">
        <v>37</v>
      </c>
      <c r="I1795" s="5">
        <v>44866</v>
      </c>
      <c r="J1795" s="6">
        <v>0</v>
      </c>
      <c r="K1795" s="6">
        <v>0</v>
      </c>
      <c r="L1795" s="6">
        <v>0.34300000000000003</v>
      </c>
      <c r="M1795" s="6">
        <v>0.34300000000000003</v>
      </c>
      <c r="N1795" s="6">
        <v>0.34300000000000003</v>
      </c>
      <c r="O1795" s="6">
        <v>0.34300000000000003</v>
      </c>
      <c r="P1795" s="6">
        <v>0</v>
      </c>
      <c r="Q1795" s="4" t="s">
        <v>26</v>
      </c>
      <c r="R1795" s="4">
        <v>0</v>
      </c>
      <c r="S1795" s="4" t="s">
        <v>414</v>
      </c>
      <c r="T1795" s="4" t="s">
        <v>684</v>
      </c>
      <c r="U1795" s="4">
        <v>0</v>
      </c>
      <c r="V1795" s="4">
        <v>66</v>
      </c>
      <c r="W1795" s="4">
        <v>110</v>
      </c>
    </row>
    <row r="1796" spans="1:23" ht="11.25" customHeight="1" x14ac:dyDescent="0.25">
      <c r="A1796" s="4" t="s">
        <v>21</v>
      </c>
      <c r="B1796" s="4" t="s">
        <v>39</v>
      </c>
      <c r="C1796" s="4" t="s">
        <v>35</v>
      </c>
      <c r="D1796" s="4" t="s">
        <v>48</v>
      </c>
      <c r="E1796" s="4" t="s">
        <v>25</v>
      </c>
      <c r="F1796" s="4" t="s">
        <v>25</v>
      </c>
      <c r="G1796" s="4" t="s">
        <v>25</v>
      </c>
      <c r="H1796" s="4" t="s">
        <v>38</v>
      </c>
      <c r="I1796" s="5">
        <v>44531</v>
      </c>
      <c r="J1796" s="6">
        <v>0</v>
      </c>
      <c r="K1796" s="6">
        <v>0</v>
      </c>
      <c r="L1796" s="6">
        <v>0.185</v>
      </c>
      <c r="M1796" s="6">
        <v>0.185</v>
      </c>
      <c r="N1796" s="6">
        <v>0.185</v>
      </c>
      <c r="O1796" s="6">
        <v>0.185</v>
      </c>
      <c r="P1796" s="6">
        <v>0</v>
      </c>
      <c r="Q1796" s="4" t="s">
        <v>26</v>
      </c>
      <c r="R1796" s="4">
        <v>0</v>
      </c>
      <c r="S1796" s="4" t="s">
        <v>415</v>
      </c>
      <c r="T1796" s="4" t="s">
        <v>685</v>
      </c>
      <c r="U1796" s="4">
        <v>0</v>
      </c>
      <c r="V1796" s="4">
        <v>65</v>
      </c>
      <c r="W1796" s="4">
        <v>109</v>
      </c>
    </row>
    <row r="1797" spans="1:23" ht="11.25" customHeight="1" x14ac:dyDescent="0.25">
      <c r="A1797" s="4" t="s">
        <v>27</v>
      </c>
      <c r="B1797" s="4" t="s">
        <v>39</v>
      </c>
      <c r="C1797" s="4" t="s">
        <v>35</v>
      </c>
      <c r="D1797" s="4" t="s">
        <v>48</v>
      </c>
      <c r="E1797" s="4" t="s">
        <v>25</v>
      </c>
      <c r="F1797" s="4" t="s">
        <v>25</v>
      </c>
      <c r="G1797" s="4" t="s">
        <v>25</v>
      </c>
      <c r="H1797" s="4" t="s">
        <v>38</v>
      </c>
      <c r="I1797" s="5">
        <v>44531</v>
      </c>
      <c r="J1797" s="6">
        <v>0</v>
      </c>
      <c r="K1797" s="6">
        <v>0</v>
      </c>
      <c r="L1797" s="6">
        <v>-1.9E-2</v>
      </c>
      <c r="M1797" s="6">
        <v>-1.9E-2</v>
      </c>
      <c r="N1797" s="6">
        <v>-1.9E-2</v>
      </c>
      <c r="O1797" s="6">
        <v>-1.9E-2</v>
      </c>
      <c r="P1797" s="6">
        <v>0</v>
      </c>
      <c r="Q1797" s="4" t="s">
        <v>26</v>
      </c>
      <c r="R1797" s="4">
        <v>0</v>
      </c>
      <c r="S1797" s="4" t="s">
        <v>415</v>
      </c>
      <c r="T1797" s="4" t="s">
        <v>685</v>
      </c>
      <c r="U1797" s="4">
        <v>0</v>
      </c>
      <c r="V1797" s="4">
        <v>65</v>
      </c>
      <c r="W1797" s="4">
        <v>109</v>
      </c>
    </row>
    <row r="1798" spans="1:23" ht="11.25" customHeight="1" x14ac:dyDescent="0.25">
      <c r="A1798" s="4" t="s">
        <v>21</v>
      </c>
      <c r="B1798" s="4" t="s">
        <v>39</v>
      </c>
      <c r="C1798" s="4" t="s">
        <v>35</v>
      </c>
      <c r="D1798" s="4" t="s">
        <v>48</v>
      </c>
      <c r="E1798" s="4" t="s">
        <v>25</v>
      </c>
      <c r="F1798" s="4" t="s">
        <v>25</v>
      </c>
      <c r="G1798" s="4" t="s">
        <v>25</v>
      </c>
      <c r="H1798" s="4" t="s">
        <v>38</v>
      </c>
      <c r="I1798" s="5">
        <v>44562</v>
      </c>
      <c r="J1798" s="6">
        <v>0</v>
      </c>
      <c r="K1798" s="6">
        <v>0</v>
      </c>
      <c r="L1798" s="6">
        <v>0.09</v>
      </c>
      <c r="M1798" s="6">
        <v>0.09</v>
      </c>
      <c r="N1798" s="6">
        <v>0.09</v>
      </c>
      <c r="O1798" s="6">
        <v>0.09</v>
      </c>
      <c r="P1798" s="6">
        <v>0</v>
      </c>
      <c r="Q1798" s="4" t="s">
        <v>26</v>
      </c>
      <c r="R1798" s="4">
        <v>0</v>
      </c>
      <c r="S1798" s="4" t="s">
        <v>416</v>
      </c>
      <c r="T1798" s="4" t="s">
        <v>686</v>
      </c>
      <c r="U1798" s="4">
        <v>0</v>
      </c>
      <c r="V1798" s="4">
        <v>65</v>
      </c>
      <c r="W1798" s="4">
        <v>109</v>
      </c>
    </row>
    <row r="1799" spans="1:23" ht="11.25" customHeight="1" x14ac:dyDescent="0.25">
      <c r="A1799" s="4" t="s">
        <v>21</v>
      </c>
      <c r="B1799" s="4" t="s">
        <v>39</v>
      </c>
      <c r="C1799" s="4" t="s">
        <v>35</v>
      </c>
      <c r="D1799" s="4" t="s">
        <v>48</v>
      </c>
      <c r="E1799" s="4" t="s">
        <v>25</v>
      </c>
      <c r="F1799" s="4" t="s">
        <v>25</v>
      </c>
      <c r="G1799" s="4" t="s">
        <v>25</v>
      </c>
      <c r="H1799" s="4" t="s">
        <v>38</v>
      </c>
      <c r="I1799" s="5">
        <v>44593</v>
      </c>
      <c r="J1799" s="6">
        <v>0</v>
      </c>
      <c r="K1799" s="6">
        <v>0</v>
      </c>
      <c r="L1799" s="6">
        <v>0.126</v>
      </c>
      <c r="M1799" s="6">
        <v>0.126</v>
      </c>
      <c r="N1799" s="6">
        <v>0.126</v>
      </c>
      <c r="O1799" s="6">
        <v>0.126</v>
      </c>
      <c r="P1799" s="6">
        <v>0</v>
      </c>
      <c r="Q1799" s="4" t="s">
        <v>26</v>
      </c>
      <c r="R1799" s="4">
        <v>0</v>
      </c>
      <c r="S1799" s="4" t="s">
        <v>417</v>
      </c>
      <c r="T1799" s="4" t="s">
        <v>687</v>
      </c>
      <c r="U1799" s="4">
        <v>0</v>
      </c>
      <c r="V1799" s="4">
        <v>65</v>
      </c>
      <c r="W1799" s="4">
        <v>109</v>
      </c>
    </row>
    <row r="1800" spans="1:23" ht="11.25" customHeight="1" x14ac:dyDescent="0.25">
      <c r="A1800" s="4" t="s">
        <v>21</v>
      </c>
      <c r="B1800" s="4" t="s">
        <v>39</v>
      </c>
      <c r="C1800" s="4" t="s">
        <v>35</v>
      </c>
      <c r="D1800" s="4" t="s">
        <v>48</v>
      </c>
      <c r="E1800" s="4" t="s">
        <v>25</v>
      </c>
      <c r="F1800" s="4" t="s">
        <v>25</v>
      </c>
      <c r="G1800" s="4" t="s">
        <v>25</v>
      </c>
      <c r="H1800" s="4" t="s">
        <v>38</v>
      </c>
      <c r="I1800" s="5">
        <v>44621</v>
      </c>
      <c r="J1800" s="6">
        <v>0</v>
      </c>
      <c r="K1800" s="6">
        <v>0</v>
      </c>
      <c r="L1800" s="6">
        <v>0.24299999999999999</v>
      </c>
      <c r="M1800" s="6">
        <v>0.24299999999999999</v>
      </c>
      <c r="N1800" s="6">
        <v>0.24299999999999999</v>
      </c>
      <c r="O1800" s="6">
        <v>0.24299999999999999</v>
      </c>
      <c r="P1800" s="6">
        <v>0</v>
      </c>
      <c r="Q1800" s="4" t="s">
        <v>26</v>
      </c>
      <c r="R1800" s="4">
        <v>0</v>
      </c>
      <c r="S1800" s="4" t="s">
        <v>418</v>
      </c>
      <c r="T1800" s="4" t="s">
        <v>688</v>
      </c>
      <c r="U1800" s="4">
        <v>0</v>
      </c>
      <c r="V1800" s="4">
        <v>65</v>
      </c>
      <c r="W1800" s="4">
        <v>109</v>
      </c>
    </row>
    <row r="1801" spans="1:23" ht="11.25" customHeight="1" x14ac:dyDescent="0.25">
      <c r="A1801" s="4" t="s">
        <v>21</v>
      </c>
      <c r="B1801" s="4" t="s">
        <v>39</v>
      </c>
      <c r="C1801" s="4" t="s">
        <v>35</v>
      </c>
      <c r="D1801" s="4" t="s">
        <v>48</v>
      </c>
      <c r="E1801" s="4" t="s">
        <v>25</v>
      </c>
      <c r="F1801" s="4" t="s">
        <v>25</v>
      </c>
      <c r="G1801" s="4" t="s">
        <v>25</v>
      </c>
      <c r="H1801" s="4" t="s">
        <v>38</v>
      </c>
      <c r="I1801" s="5">
        <v>44652</v>
      </c>
      <c r="J1801" s="6">
        <v>0</v>
      </c>
      <c r="K1801" s="6">
        <v>0</v>
      </c>
      <c r="L1801" s="6">
        <v>0.185</v>
      </c>
      <c r="M1801" s="6">
        <v>0.185</v>
      </c>
      <c r="N1801" s="6">
        <v>0.185</v>
      </c>
      <c r="O1801" s="6">
        <v>0.185</v>
      </c>
      <c r="P1801" s="6">
        <v>0</v>
      </c>
      <c r="Q1801" s="4" t="s">
        <v>26</v>
      </c>
      <c r="R1801" s="4">
        <v>0</v>
      </c>
      <c r="S1801" s="4" t="s">
        <v>419</v>
      </c>
      <c r="T1801" s="4" t="s">
        <v>689</v>
      </c>
      <c r="U1801" s="4">
        <v>0</v>
      </c>
      <c r="V1801" s="4">
        <v>65</v>
      </c>
      <c r="W1801" s="4">
        <v>109</v>
      </c>
    </row>
    <row r="1802" spans="1:23" ht="11.25" customHeight="1" x14ac:dyDescent="0.25">
      <c r="A1802" s="4" t="s">
        <v>27</v>
      </c>
      <c r="B1802" s="4" t="s">
        <v>39</v>
      </c>
      <c r="C1802" s="4" t="s">
        <v>35</v>
      </c>
      <c r="D1802" s="4" t="s">
        <v>48</v>
      </c>
      <c r="E1802" s="4" t="s">
        <v>25</v>
      </c>
      <c r="F1802" s="4" t="s">
        <v>25</v>
      </c>
      <c r="G1802" s="4" t="s">
        <v>25</v>
      </c>
      <c r="H1802" s="4" t="s">
        <v>38</v>
      </c>
      <c r="I1802" s="5">
        <v>44652</v>
      </c>
      <c r="J1802" s="6">
        <v>0</v>
      </c>
      <c r="K1802" s="6">
        <v>0</v>
      </c>
      <c r="L1802" s="6">
        <v>-6.7000000000000004E-2</v>
      </c>
      <c r="M1802" s="6">
        <v>-6.7000000000000004E-2</v>
      </c>
      <c r="N1802" s="6">
        <v>-6.7000000000000004E-2</v>
      </c>
      <c r="O1802" s="6">
        <v>-6.7000000000000004E-2</v>
      </c>
      <c r="P1802" s="6">
        <v>0</v>
      </c>
      <c r="Q1802" s="4" t="s">
        <v>26</v>
      </c>
      <c r="R1802" s="4">
        <v>0</v>
      </c>
      <c r="S1802" s="4" t="s">
        <v>419</v>
      </c>
      <c r="T1802" s="4" t="s">
        <v>689</v>
      </c>
      <c r="U1802" s="4">
        <v>0</v>
      </c>
      <c r="V1802" s="4">
        <v>65</v>
      </c>
      <c r="W1802" s="4">
        <v>109</v>
      </c>
    </row>
    <row r="1803" spans="1:23" ht="11.25" customHeight="1" x14ac:dyDescent="0.25">
      <c r="A1803" s="4" t="s">
        <v>21</v>
      </c>
      <c r="B1803" s="4" t="s">
        <v>39</v>
      </c>
      <c r="C1803" s="4" t="s">
        <v>35</v>
      </c>
      <c r="D1803" s="4" t="s">
        <v>48</v>
      </c>
      <c r="E1803" s="4" t="s">
        <v>25</v>
      </c>
      <c r="F1803" s="4" t="s">
        <v>25</v>
      </c>
      <c r="G1803" s="4" t="s">
        <v>25</v>
      </c>
      <c r="H1803" s="4" t="s">
        <v>38</v>
      </c>
      <c r="I1803" s="5">
        <v>44682</v>
      </c>
      <c r="J1803" s="6">
        <v>0</v>
      </c>
      <c r="K1803" s="6">
        <v>0</v>
      </c>
      <c r="L1803" s="6">
        <v>0.216</v>
      </c>
      <c r="M1803" s="6">
        <v>0.216</v>
      </c>
      <c r="N1803" s="6">
        <v>0.216</v>
      </c>
      <c r="O1803" s="6">
        <v>0.216</v>
      </c>
      <c r="P1803" s="6">
        <v>0</v>
      </c>
      <c r="Q1803" s="4" t="s">
        <v>26</v>
      </c>
      <c r="R1803" s="4">
        <v>0</v>
      </c>
      <c r="S1803" s="4" t="s">
        <v>420</v>
      </c>
      <c r="T1803" s="4" t="s">
        <v>690</v>
      </c>
      <c r="U1803" s="4">
        <v>0</v>
      </c>
      <c r="V1803" s="4">
        <v>65</v>
      </c>
      <c r="W1803" s="4">
        <v>109</v>
      </c>
    </row>
    <row r="1804" spans="1:23" ht="11.25" customHeight="1" x14ac:dyDescent="0.25">
      <c r="A1804" s="4" t="s">
        <v>21</v>
      </c>
      <c r="B1804" s="4" t="s">
        <v>39</v>
      </c>
      <c r="C1804" s="4" t="s">
        <v>35</v>
      </c>
      <c r="D1804" s="4" t="s">
        <v>48</v>
      </c>
      <c r="E1804" s="4" t="s">
        <v>25</v>
      </c>
      <c r="F1804" s="4" t="s">
        <v>25</v>
      </c>
      <c r="G1804" s="4" t="s">
        <v>25</v>
      </c>
      <c r="H1804" s="4" t="s">
        <v>38</v>
      </c>
      <c r="I1804" s="5">
        <v>44713</v>
      </c>
      <c r="J1804" s="6">
        <v>0</v>
      </c>
      <c r="K1804" s="6">
        <v>0</v>
      </c>
      <c r="L1804" s="6">
        <v>0.19800000000000001</v>
      </c>
      <c r="M1804" s="6">
        <v>0.19800000000000001</v>
      </c>
      <c r="N1804" s="6">
        <v>0.19800000000000001</v>
      </c>
      <c r="O1804" s="6">
        <v>0.19800000000000001</v>
      </c>
      <c r="P1804" s="6">
        <v>0</v>
      </c>
      <c r="Q1804" s="4" t="s">
        <v>26</v>
      </c>
      <c r="R1804" s="4">
        <v>0</v>
      </c>
      <c r="S1804" s="4" t="s">
        <v>421</v>
      </c>
      <c r="T1804" s="4" t="s">
        <v>691</v>
      </c>
      <c r="U1804" s="4">
        <v>0</v>
      </c>
      <c r="V1804" s="4">
        <v>65</v>
      </c>
      <c r="W1804" s="4">
        <v>109</v>
      </c>
    </row>
    <row r="1805" spans="1:23" ht="11.25" customHeight="1" x14ac:dyDescent="0.25">
      <c r="A1805" s="4" t="s">
        <v>28</v>
      </c>
      <c r="B1805" s="4" t="s">
        <v>39</v>
      </c>
      <c r="C1805" s="4" t="s">
        <v>35</v>
      </c>
      <c r="D1805" s="4" t="s">
        <v>48</v>
      </c>
      <c r="E1805" s="4" t="s">
        <v>25</v>
      </c>
      <c r="F1805" s="4" t="s">
        <v>25</v>
      </c>
      <c r="G1805" s="4" t="s">
        <v>25</v>
      </c>
      <c r="H1805" s="4" t="s">
        <v>38</v>
      </c>
      <c r="I1805" s="5">
        <v>44713</v>
      </c>
      <c r="J1805" s="6">
        <v>0</v>
      </c>
      <c r="K1805" s="6">
        <v>0</v>
      </c>
      <c r="L1805" s="6">
        <v>4.0000000000000001E-3</v>
      </c>
      <c r="M1805" s="6">
        <v>4.0000000000000001E-3</v>
      </c>
      <c r="N1805" s="6">
        <v>4.0000000000000001E-3</v>
      </c>
      <c r="O1805" s="6">
        <v>4.0000000000000001E-3</v>
      </c>
      <c r="P1805" s="6">
        <v>0</v>
      </c>
      <c r="Q1805" s="4" t="s">
        <v>26</v>
      </c>
      <c r="R1805" s="4">
        <v>0</v>
      </c>
      <c r="S1805" s="4" t="s">
        <v>421</v>
      </c>
      <c r="T1805" s="4" t="s">
        <v>691</v>
      </c>
      <c r="U1805" s="4">
        <v>0</v>
      </c>
      <c r="V1805" s="4">
        <v>65</v>
      </c>
      <c r="W1805" s="4">
        <v>109</v>
      </c>
    </row>
    <row r="1806" spans="1:23" ht="11.25" customHeight="1" x14ac:dyDescent="0.25">
      <c r="A1806" s="4" t="s">
        <v>21</v>
      </c>
      <c r="B1806" s="4" t="s">
        <v>39</v>
      </c>
      <c r="C1806" s="4" t="s">
        <v>35</v>
      </c>
      <c r="D1806" s="4" t="s">
        <v>48</v>
      </c>
      <c r="E1806" s="4" t="s">
        <v>25</v>
      </c>
      <c r="F1806" s="4" t="s">
        <v>25</v>
      </c>
      <c r="G1806" s="4" t="s">
        <v>25</v>
      </c>
      <c r="H1806" s="4" t="s">
        <v>38</v>
      </c>
      <c r="I1806" s="5">
        <v>44743</v>
      </c>
      <c r="J1806" s="6">
        <v>0</v>
      </c>
      <c r="K1806" s="6">
        <v>0</v>
      </c>
      <c r="L1806" s="6">
        <v>0.32500000000000001</v>
      </c>
      <c r="M1806" s="6">
        <v>0.32500000000000001</v>
      </c>
      <c r="N1806" s="6">
        <v>0.32500000000000001</v>
      </c>
      <c r="O1806" s="6">
        <v>0.32500000000000001</v>
      </c>
      <c r="P1806" s="6">
        <v>0</v>
      </c>
      <c r="Q1806" s="4" t="s">
        <v>26</v>
      </c>
      <c r="R1806" s="4">
        <v>0</v>
      </c>
      <c r="S1806" s="4" t="s">
        <v>422</v>
      </c>
      <c r="T1806" s="4" t="s">
        <v>692</v>
      </c>
      <c r="U1806" s="4">
        <v>0</v>
      </c>
      <c r="V1806" s="4">
        <v>65</v>
      </c>
      <c r="W1806" s="4">
        <v>109</v>
      </c>
    </row>
    <row r="1807" spans="1:23" ht="11.25" customHeight="1" x14ac:dyDescent="0.25">
      <c r="A1807" s="4" t="s">
        <v>28</v>
      </c>
      <c r="B1807" s="4" t="s">
        <v>39</v>
      </c>
      <c r="C1807" s="4" t="s">
        <v>35</v>
      </c>
      <c r="D1807" s="4" t="s">
        <v>48</v>
      </c>
      <c r="E1807" s="4" t="s">
        <v>25</v>
      </c>
      <c r="F1807" s="4" t="s">
        <v>25</v>
      </c>
      <c r="G1807" s="4" t="s">
        <v>25</v>
      </c>
      <c r="H1807" s="4" t="s">
        <v>38</v>
      </c>
      <c r="I1807" s="5">
        <v>44743</v>
      </c>
      <c r="J1807" s="6">
        <v>0</v>
      </c>
      <c r="K1807" s="6">
        <v>0</v>
      </c>
      <c r="L1807" s="6">
        <v>6.0000000000000001E-3</v>
      </c>
      <c r="M1807" s="6">
        <v>6.0000000000000001E-3</v>
      </c>
      <c r="N1807" s="6">
        <v>6.0000000000000001E-3</v>
      </c>
      <c r="O1807" s="6">
        <v>6.0000000000000001E-3</v>
      </c>
      <c r="P1807" s="6">
        <v>0</v>
      </c>
      <c r="Q1807" s="4" t="s">
        <v>26</v>
      </c>
      <c r="R1807" s="4">
        <v>0</v>
      </c>
      <c r="S1807" s="4" t="s">
        <v>422</v>
      </c>
      <c r="T1807" s="4" t="s">
        <v>692</v>
      </c>
      <c r="U1807" s="4">
        <v>0</v>
      </c>
      <c r="V1807" s="4">
        <v>65</v>
      </c>
      <c r="W1807" s="4">
        <v>109</v>
      </c>
    </row>
    <row r="1808" spans="1:23" ht="11.25" customHeight="1" x14ac:dyDescent="0.25">
      <c r="A1808" s="4" t="s">
        <v>21</v>
      </c>
      <c r="B1808" s="4" t="s">
        <v>39</v>
      </c>
      <c r="C1808" s="4" t="s">
        <v>35</v>
      </c>
      <c r="D1808" s="4" t="s">
        <v>48</v>
      </c>
      <c r="E1808" s="4" t="s">
        <v>25</v>
      </c>
      <c r="F1808" s="4" t="s">
        <v>25</v>
      </c>
      <c r="G1808" s="4" t="s">
        <v>25</v>
      </c>
      <c r="H1808" s="4" t="s">
        <v>38</v>
      </c>
      <c r="I1808" s="5">
        <v>44774</v>
      </c>
      <c r="J1808" s="6">
        <v>0</v>
      </c>
      <c r="K1808" s="6">
        <v>0</v>
      </c>
      <c r="L1808" s="6">
        <v>2.6070000000000002</v>
      </c>
      <c r="M1808" s="6">
        <v>2.6070000000000002</v>
      </c>
      <c r="N1808" s="6">
        <v>2.6070000000000002</v>
      </c>
      <c r="O1808" s="6">
        <v>2.6070000000000002</v>
      </c>
      <c r="P1808" s="6">
        <v>0</v>
      </c>
      <c r="Q1808" s="4" t="s">
        <v>26</v>
      </c>
      <c r="R1808" s="4">
        <v>0</v>
      </c>
      <c r="S1808" s="4" t="s">
        <v>423</v>
      </c>
      <c r="T1808" s="4" t="s">
        <v>693</v>
      </c>
      <c r="U1808" s="4">
        <v>0</v>
      </c>
      <c r="V1808" s="4">
        <v>65</v>
      </c>
      <c r="W1808" s="4">
        <v>109</v>
      </c>
    </row>
    <row r="1809" spans="1:23" ht="11.25" customHeight="1" x14ac:dyDescent="0.25">
      <c r="A1809" s="4" t="s">
        <v>27</v>
      </c>
      <c r="B1809" s="4" t="s">
        <v>39</v>
      </c>
      <c r="C1809" s="4" t="s">
        <v>35</v>
      </c>
      <c r="D1809" s="4" t="s">
        <v>48</v>
      </c>
      <c r="E1809" s="4" t="s">
        <v>25</v>
      </c>
      <c r="F1809" s="4" t="s">
        <v>25</v>
      </c>
      <c r="G1809" s="4" t="s">
        <v>25</v>
      </c>
      <c r="H1809" s="4" t="s">
        <v>38</v>
      </c>
      <c r="I1809" s="5">
        <v>44774</v>
      </c>
      <c r="J1809" s="6">
        <v>0</v>
      </c>
      <c r="K1809" s="6">
        <v>0</v>
      </c>
      <c r="L1809" s="6">
        <v>8.9999999999999993E-3</v>
      </c>
      <c r="M1809" s="6">
        <v>8.9999999999999993E-3</v>
      </c>
      <c r="N1809" s="6">
        <v>8.9999999999999993E-3</v>
      </c>
      <c r="O1809" s="6">
        <v>8.9999999999999993E-3</v>
      </c>
      <c r="P1809" s="6">
        <v>0</v>
      </c>
      <c r="Q1809" s="4" t="s">
        <v>26</v>
      </c>
      <c r="R1809" s="4">
        <v>0</v>
      </c>
      <c r="S1809" s="4" t="s">
        <v>423</v>
      </c>
      <c r="T1809" s="4" t="s">
        <v>693</v>
      </c>
      <c r="U1809" s="4">
        <v>0</v>
      </c>
      <c r="V1809" s="4">
        <v>65</v>
      </c>
      <c r="W1809" s="4">
        <v>109</v>
      </c>
    </row>
    <row r="1810" spans="1:23" ht="11.25" customHeight="1" x14ac:dyDescent="0.25">
      <c r="A1810" s="4" t="s">
        <v>28</v>
      </c>
      <c r="B1810" s="4" t="s">
        <v>39</v>
      </c>
      <c r="C1810" s="4" t="s">
        <v>35</v>
      </c>
      <c r="D1810" s="4" t="s">
        <v>48</v>
      </c>
      <c r="E1810" s="4" t="s">
        <v>25</v>
      </c>
      <c r="F1810" s="4" t="s">
        <v>25</v>
      </c>
      <c r="G1810" s="4" t="s">
        <v>25</v>
      </c>
      <c r="H1810" s="4" t="s">
        <v>38</v>
      </c>
      <c r="I1810" s="5">
        <v>44774</v>
      </c>
      <c r="J1810" s="6">
        <v>0</v>
      </c>
      <c r="K1810" s="6">
        <v>0</v>
      </c>
      <c r="L1810" s="6">
        <v>5.0000000000000001E-3</v>
      </c>
      <c r="M1810" s="6">
        <v>5.0000000000000001E-3</v>
      </c>
      <c r="N1810" s="6">
        <v>5.0000000000000001E-3</v>
      </c>
      <c r="O1810" s="6">
        <v>5.0000000000000001E-3</v>
      </c>
      <c r="P1810" s="6">
        <v>0</v>
      </c>
      <c r="Q1810" s="4" t="s">
        <v>26</v>
      </c>
      <c r="R1810" s="4">
        <v>0</v>
      </c>
      <c r="S1810" s="4" t="s">
        <v>423</v>
      </c>
      <c r="T1810" s="4" t="s">
        <v>693</v>
      </c>
      <c r="U1810" s="4">
        <v>0</v>
      </c>
      <c r="V1810" s="4">
        <v>65</v>
      </c>
      <c r="W1810" s="4">
        <v>109</v>
      </c>
    </row>
    <row r="1811" spans="1:23" ht="11.25" customHeight="1" x14ac:dyDescent="0.25">
      <c r="A1811" s="4" t="s">
        <v>21</v>
      </c>
      <c r="B1811" s="4" t="s">
        <v>39</v>
      </c>
      <c r="C1811" s="4" t="s">
        <v>35</v>
      </c>
      <c r="D1811" s="4" t="s">
        <v>48</v>
      </c>
      <c r="E1811" s="4" t="s">
        <v>25</v>
      </c>
      <c r="F1811" s="4" t="s">
        <v>25</v>
      </c>
      <c r="G1811" s="4" t="s">
        <v>25</v>
      </c>
      <c r="H1811" s="4" t="s">
        <v>38</v>
      </c>
      <c r="I1811" s="5">
        <v>44805</v>
      </c>
      <c r="J1811" s="6">
        <v>0</v>
      </c>
      <c r="K1811" s="6">
        <v>0</v>
      </c>
      <c r="L1811" s="6">
        <v>0.439</v>
      </c>
      <c r="M1811" s="6">
        <v>0.439</v>
      </c>
      <c r="N1811" s="6">
        <v>0.439</v>
      </c>
      <c r="O1811" s="6">
        <v>0.439</v>
      </c>
      <c r="P1811" s="6">
        <v>0</v>
      </c>
      <c r="Q1811" s="4" t="s">
        <v>26</v>
      </c>
      <c r="R1811" s="4">
        <v>0</v>
      </c>
      <c r="S1811" s="4" t="s">
        <v>424</v>
      </c>
      <c r="T1811" s="4" t="s">
        <v>694</v>
      </c>
      <c r="U1811" s="4">
        <v>0</v>
      </c>
      <c r="V1811" s="4">
        <v>65</v>
      </c>
      <c r="W1811" s="4">
        <v>109</v>
      </c>
    </row>
    <row r="1812" spans="1:23" ht="11.25" customHeight="1" x14ac:dyDescent="0.25">
      <c r="A1812" s="4" t="s">
        <v>28</v>
      </c>
      <c r="B1812" s="4" t="s">
        <v>39</v>
      </c>
      <c r="C1812" s="4" t="s">
        <v>35</v>
      </c>
      <c r="D1812" s="4" t="s">
        <v>48</v>
      </c>
      <c r="E1812" s="4" t="s">
        <v>25</v>
      </c>
      <c r="F1812" s="4" t="s">
        <v>25</v>
      </c>
      <c r="G1812" s="4" t="s">
        <v>25</v>
      </c>
      <c r="H1812" s="4" t="s">
        <v>38</v>
      </c>
      <c r="I1812" s="5">
        <v>44805</v>
      </c>
      <c r="J1812" s="6">
        <v>0</v>
      </c>
      <c r="K1812" s="6">
        <v>0</v>
      </c>
      <c r="L1812" s="6">
        <v>6.0000000000000001E-3</v>
      </c>
      <c r="M1812" s="6">
        <v>6.0000000000000001E-3</v>
      </c>
      <c r="N1812" s="6">
        <v>6.0000000000000001E-3</v>
      </c>
      <c r="O1812" s="6">
        <v>6.0000000000000001E-3</v>
      </c>
      <c r="P1812" s="6">
        <v>0</v>
      </c>
      <c r="Q1812" s="4" t="s">
        <v>26</v>
      </c>
      <c r="R1812" s="4">
        <v>0</v>
      </c>
      <c r="S1812" s="4" t="s">
        <v>424</v>
      </c>
      <c r="T1812" s="4" t="s">
        <v>694</v>
      </c>
      <c r="U1812" s="4">
        <v>0</v>
      </c>
      <c r="V1812" s="4">
        <v>65</v>
      </c>
      <c r="W1812" s="4">
        <v>109</v>
      </c>
    </row>
    <row r="1813" spans="1:23" ht="11.25" customHeight="1" x14ac:dyDescent="0.25">
      <c r="A1813" s="4" t="s">
        <v>21</v>
      </c>
      <c r="B1813" s="4" t="s">
        <v>39</v>
      </c>
      <c r="C1813" s="4" t="s">
        <v>35</v>
      </c>
      <c r="D1813" s="4" t="s">
        <v>48</v>
      </c>
      <c r="E1813" s="4" t="s">
        <v>25</v>
      </c>
      <c r="F1813" s="4" t="s">
        <v>25</v>
      </c>
      <c r="G1813" s="4" t="s">
        <v>25</v>
      </c>
      <c r="H1813" s="4" t="s">
        <v>38</v>
      </c>
      <c r="I1813" s="5">
        <v>44835</v>
      </c>
      <c r="J1813" s="6">
        <v>0</v>
      </c>
      <c r="K1813" s="6">
        <v>0</v>
      </c>
      <c r="L1813" s="6">
        <v>0.55700000000000005</v>
      </c>
      <c r="M1813" s="6">
        <v>0.55700000000000005</v>
      </c>
      <c r="N1813" s="6">
        <v>0.55700000000000005</v>
      </c>
      <c r="O1813" s="6">
        <v>0.55700000000000005</v>
      </c>
      <c r="P1813" s="6">
        <v>0</v>
      </c>
      <c r="Q1813" s="4" t="s">
        <v>26</v>
      </c>
      <c r="R1813" s="4">
        <v>0</v>
      </c>
      <c r="S1813" s="4" t="s">
        <v>425</v>
      </c>
      <c r="T1813" s="4" t="s">
        <v>695</v>
      </c>
      <c r="U1813" s="4">
        <v>0</v>
      </c>
      <c r="V1813" s="4">
        <v>65</v>
      </c>
      <c r="W1813" s="4">
        <v>109</v>
      </c>
    </row>
    <row r="1814" spans="1:23" ht="11.25" customHeight="1" x14ac:dyDescent="0.25">
      <c r="A1814" s="4" t="s">
        <v>28</v>
      </c>
      <c r="B1814" s="4" t="s">
        <v>39</v>
      </c>
      <c r="C1814" s="4" t="s">
        <v>35</v>
      </c>
      <c r="D1814" s="4" t="s">
        <v>48</v>
      </c>
      <c r="E1814" s="4" t="s">
        <v>25</v>
      </c>
      <c r="F1814" s="4" t="s">
        <v>25</v>
      </c>
      <c r="G1814" s="4" t="s">
        <v>25</v>
      </c>
      <c r="H1814" s="4" t="s">
        <v>38</v>
      </c>
      <c r="I1814" s="5">
        <v>44835</v>
      </c>
      <c r="J1814" s="6">
        <v>0</v>
      </c>
      <c r="K1814" s="6">
        <v>0</v>
      </c>
      <c r="L1814" s="6">
        <v>1.2999999999999999E-2</v>
      </c>
      <c r="M1814" s="6">
        <v>1.2999999999999999E-2</v>
      </c>
      <c r="N1814" s="6">
        <v>1.2999999999999999E-2</v>
      </c>
      <c r="O1814" s="6">
        <v>1.2999999999999999E-2</v>
      </c>
      <c r="P1814" s="6">
        <v>0</v>
      </c>
      <c r="Q1814" s="4" t="s">
        <v>26</v>
      </c>
      <c r="R1814" s="4">
        <v>0</v>
      </c>
      <c r="S1814" s="4" t="s">
        <v>425</v>
      </c>
      <c r="T1814" s="4" t="s">
        <v>695</v>
      </c>
      <c r="U1814" s="4">
        <v>0</v>
      </c>
      <c r="V1814" s="4">
        <v>65</v>
      </c>
      <c r="W1814" s="4">
        <v>109</v>
      </c>
    </row>
    <row r="1815" spans="1:23" ht="11.25" customHeight="1" x14ac:dyDescent="0.25">
      <c r="A1815" s="4" t="s">
        <v>59</v>
      </c>
      <c r="B1815" s="4" t="s">
        <v>39</v>
      </c>
      <c r="C1815" s="4" t="s">
        <v>35</v>
      </c>
      <c r="D1815" s="4" t="s">
        <v>48</v>
      </c>
      <c r="E1815" s="4" t="s">
        <v>25</v>
      </c>
      <c r="F1815" s="4" t="s">
        <v>25</v>
      </c>
      <c r="G1815" s="4" t="s">
        <v>25</v>
      </c>
      <c r="H1815" s="4" t="s">
        <v>38</v>
      </c>
      <c r="I1815" s="5">
        <v>44866</v>
      </c>
      <c r="J1815" s="6">
        <v>0</v>
      </c>
      <c r="K1815" s="6">
        <v>0</v>
      </c>
      <c r="L1815" s="6">
        <v>0.55700000000000005</v>
      </c>
      <c r="M1815" s="6">
        <v>0.55700000000000005</v>
      </c>
      <c r="N1815" s="6">
        <v>0.55700000000000005</v>
      </c>
      <c r="O1815" s="6">
        <v>0.55700000000000005</v>
      </c>
      <c r="P1815" s="6">
        <v>0</v>
      </c>
      <c r="Q1815" s="4" t="s">
        <v>26</v>
      </c>
      <c r="R1815" s="4">
        <v>0</v>
      </c>
      <c r="S1815" s="4" t="s">
        <v>426</v>
      </c>
      <c r="T1815" s="4" t="s">
        <v>696</v>
      </c>
      <c r="U1815" s="4">
        <v>0</v>
      </c>
      <c r="V1815" s="4">
        <v>65</v>
      </c>
      <c r="W1815" s="4">
        <v>109</v>
      </c>
    </row>
    <row r="1816" spans="1:23" ht="11.25" customHeight="1" x14ac:dyDescent="0.25">
      <c r="A1816" s="4" t="s">
        <v>59</v>
      </c>
      <c r="B1816" s="4" t="s">
        <v>39</v>
      </c>
      <c r="C1816" s="4" t="s">
        <v>35</v>
      </c>
      <c r="D1816" s="4" t="s">
        <v>48</v>
      </c>
      <c r="E1816" s="4" t="s">
        <v>25</v>
      </c>
      <c r="F1816" s="4" t="s">
        <v>25</v>
      </c>
      <c r="G1816" s="4" t="s">
        <v>25</v>
      </c>
      <c r="H1816" s="4" t="s">
        <v>38</v>
      </c>
      <c r="I1816" s="5">
        <v>44866</v>
      </c>
      <c r="J1816" s="6">
        <v>0</v>
      </c>
      <c r="K1816" s="6">
        <v>0</v>
      </c>
      <c r="L1816" s="6">
        <v>1.2999999999999999E-2</v>
      </c>
      <c r="M1816" s="6">
        <v>1.2999999999999999E-2</v>
      </c>
      <c r="N1816" s="6">
        <v>1.2999999999999999E-2</v>
      </c>
      <c r="O1816" s="6">
        <v>1.2999999999999999E-2</v>
      </c>
      <c r="P1816" s="6">
        <v>0</v>
      </c>
      <c r="Q1816" s="4" t="s">
        <v>26</v>
      </c>
      <c r="R1816" s="4">
        <v>0</v>
      </c>
      <c r="S1816" s="4" t="s">
        <v>426</v>
      </c>
      <c r="T1816" s="4" t="s">
        <v>696</v>
      </c>
      <c r="U1816" s="4">
        <v>0</v>
      </c>
      <c r="V1816" s="4">
        <v>65</v>
      </c>
      <c r="W1816" s="4">
        <v>109</v>
      </c>
    </row>
    <row r="1817" spans="1:23" ht="11.25" customHeight="1" x14ac:dyDescent="0.25">
      <c r="A1817" s="4" t="s">
        <v>21</v>
      </c>
      <c r="B1817" s="4" t="s">
        <v>39</v>
      </c>
      <c r="C1817" s="4" t="s">
        <v>35</v>
      </c>
      <c r="D1817" s="4" t="s">
        <v>48</v>
      </c>
      <c r="E1817" s="4" t="s">
        <v>25</v>
      </c>
      <c r="F1817" s="4" t="s">
        <v>25</v>
      </c>
      <c r="G1817" s="4" t="s">
        <v>25</v>
      </c>
      <c r="H1817" s="4" t="s">
        <v>36</v>
      </c>
      <c r="I1817" s="5">
        <v>44531</v>
      </c>
      <c r="J1817" s="6">
        <v>0</v>
      </c>
      <c r="K1817" s="6">
        <v>0</v>
      </c>
      <c r="L1817" s="6">
        <v>0.51700000000000002</v>
      </c>
      <c r="M1817" s="6">
        <v>0.51700000000000002</v>
      </c>
      <c r="N1817" s="6">
        <v>0.51700000000000002</v>
      </c>
      <c r="O1817" s="6">
        <v>0.51700000000000002</v>
      </c>
      <c r="P1817" s="6">
        <v>0</v>
      </c>
      <c r="Q1817" s="4" t="s">
        <v>26</v>
      </c>
      <c r="R1817" s="4">
        <v>0</v>
      </c>
      <c r="S1817" s="4" t="s">
        <v>427</v>
      </c>
      <c r="T1817" s="4" t="s">
        <v>697</v>
      </c>
      <c r="U1817" s="4">
        <v>0</v>
      </c>
      <c r="V1817" s="4">
        <v>64</v>
      </c>
      <c r="W1817" s="4">
        <v>108</v>
      </c>
    </row>
    <row r="1818" spans="1:23" ht="11.25" customHeight="1" x14ac:dyDescent="0.25">
      <c r="A1818" s="4" t="s">
        <v>27</v>
      </c>
      <c r="B1818" s="4" t="s">
        <v>39</v>
      </c>
      <c r="C1818" s="4" t="s">
        <v>35</v>
      </c>
      <c r="D1818" s="4" t="s">
        <v>48</v>
      </c>
      <c r="E1818" s="4" t="s">
        <v>25</v>
      </c>
      <c r="F1818" s="4" t="s">
        <v>25</v>
      </c>
      <c r="G1818" s="4" t="s">
        <v>25</v>
      </c>
      <c r="H1818" s="4" t="s">
        <v>36</v>
      </c>
      <c r="I1818" s="5">
        <v>44531</v>
      </c>
      <c r="J1818" s="6">
        <v>0</v>
      </c>
      <c r="K1818" s="6">
        <v>0</v>
      </c>
      <c r="L1818" s="6">
        <v>4.7E-2</v>
      </c>
      <c r="M1818" s="6">
        <v>4.7E-2</v>
      </c>
      <c r="N1818" s="6">
        <v>4.7E-2</v>
      </c>
      <c r="O1818" s="6">
        <v>4.7E-2</v>
      </c>
      <c r="P1818" s="6">
        <v>0</v>
      </c>
      <c r="Q1818" s="4" t="s">
        <v>26</v>
      </c>
      <c r="R1818" s="4">
        <v>0</v>
      </c>
      <c r="S1818" s="4" t="s">
        <v>427</v>
      </c>
      <c r="T1818" s="4" t="s">
        <v>697</v>
      </c>
      <c r="U1818" s="4">
        <v>0</v>
      </c>
      <c r="V1818" s="4">
        <v>64</v>
      </c>
      <c r="W1818" s="4">
        <v>108</v>
      </c>
    </row>
    <row r="1819" spans="1:23" ht="11.25" customHeight="1" x14ac:dyDescent="0.25">
      <c r="A1819" s="4" t="s">
        <v>21</v>
      </c>
      <c r="B1819" s="4" t="s">
        <v>39</v>
      </c>
      <c r="C1819" s="4" t="s">
        <v>35</v>
      </c>
      <c r="D1819" s="4" t="s">
        <v>48</v>
      </c>
      <c r="E1819" s="4" t="s">
        <v>25</v>
      </c>
      <c r="F1819" s="4" t="s">
        <v>25</v>
      </c>
      <c r="G1819" s="4" t="s">
        <v>25</v>
      </c>
      <c r="H1819" s="4" t="s">
        <v>36</v>
      </c>
      <c r="I1819" s="5">
        <v>44562</v>
      </c>
      <c r="J1819" s="6">
        <v>0</v>
      </c>
      <c r="K1819" s="6">
        <v>0</v>
      </c>
      <c r="L1819" s="6">
        <v>0.20300000000000001</v>
      </c>
      <c r="M1819" s="6">
        <v>0.20300000000000001</v>
      </c>
      <c r="N1819" s="6">
        <v>0.20300000000000001</v>
      </c>
      <c r="O1819" s="6">
        <v>0.20300000000000001</v>
      </c>
      <c r="P1819" s="6">
        <v>0</v>
      </c>
      <c r="Q1819" s="4" t="s">
        <v>26</v>
      </c>
      <c r="R1819" s="4">
        <v>0</v>
      </c>
      <c r="S1819" s="4" t="s">
        <v>428</v>
      </c>
      <c r="T1819" s="4" t="s">
        <v>698</v>
      </c>
      <c r="U1819" s="4">
        <v>0</v>
      </c>
      <c r="V1819" s="4">
        <v>64</v>
      </c>
      <c r="W1819" s="4">
        <v>108</v>
      </c>
    </row>
    <row r="1820" spans="1:23" ht="11.25" customHeight="1" x14ac:dyDescent="0.25">
      <c r="A1820" s="4" t="s">
        <v>21</v>
      </c>
      <c r="B1820" s="4" t="s">
        <v>39</v>
      </c>
      <c r="C1820" s="4" t="s">
        <v>35</v>
      </c>
      <c r="D1820" s="4" t="s">
        <v>48</v>
      </c>
      <c r="E1820" s="4" t="s">
        <v>25</v>
      </c>
      <c r="F1820" s="4" t="s">
        <v>25</v>
      </c>
      <c r="G1820" s="4" t="s">
        <v>25</v>
      </c>
      <c r="H1820" s="4" t="s">
        <v>36</v>
      </c>
      <c r="I1820" s="5">
        <v>44593</v>
      </c>
      <c r="J1820" s="6">
        <v>0</v>
      </c>
      <c r="K1820" s="6">
        <v>0</v>
      </c>
      <c r="L1820" s="6">
        <v>0.36</v>
      </c>
      <c r="M1820" s="6">
        <v>0.36</v>
      </c>
      <c r="N1820" s="6">
        <v>0.36</v>
      </c>
      <c r="O1820" s="6">
        <v>0.36</v>
      </c>
      <c r="P1820" s="6">
        <v>0</v>
      </c>
      <c r="Q1820" s="4" t="s">
        <v>26</v>
      </c>
      <c r="R1820" s="4">
        <v>0</v>
      </c>
      <c r="S1820" s="4" t="s">
        <v>429</v>
      </c>
      <c r="T1820" s="4" t="s">
        <v>699</v>
      </c>
      <c r="U1820" s="4">
        <v>0</v>
      </c>
      <c r="V1820" s="4">
        <v>64</v>
      </c>
      <c r="W1820" s="4">
        <v>108</v>
      </c>
    </row>
    <row r="1821" spans="1:23" ht="11.25" customHeight="1" x14ac:dyDescent="0.25">
      <c r="A1821" s="4" t="s">
        <v>21</v>
      </c>
      <c r="B1821" s="4" t="s">
        <v>39</v>
      </c>
      <c r="C1821" s="4" t="s">
        <v>35</v>
      </c>
      <c r="D1821" s="4" t="s">
        <v>48</v>
      </c>
      <c r="E1821" s="4" t="s">
        <v>25</v>
      </c>
      <c r="F1821" s="4" t="s">
        <v>25</v>
      </c>
      <c r="G1821" s="4" t="s">
        <v>25</v>
      </c>
      <c r="H1821" s="4" t="s">
        <v>36</v>
      </c>
      <c r="I1821" s="5">
        <v>44621</v>
      </c>
      <c r="J1821" s="6">
        <v>0</v>
      </c>
      <c r="K1821" s="6">
        <v>0</v>
      </c>
      <c r="L1821" s="6">
        <v>0.249</v>
      </c>
      <c r="M1821" s="6">
        <v>0.249</v>
      </c>
      <c r="N1821" s="6">
        <v>0.249</v>
      </c>
      <c r="O1821" s="6">
        <v>0.249</v>
      </c>
      <c r="P1821" s="6">
        <v>0</v>
      </c>
      <c r="Q1821" s="4" t="s">
        <v>26</v>
      </c>
      <c r="R1821" s="4">
        <v>0</v>
      </c>
      <c r="S1821" s="4" t="s">
        <v>430</v>
      </c>
      <c r="T1821" s="4" t="s">
        <v>700</v>
      </c>
      <c r="U1821" s="4">
        <v>0</v>
      </c>
      <c r="V1821" s="4">
        <v>64</v>
      </c>
      <c r="W1821" s="4">
        <v>108</v>
      </c>
    </row>
    <row r="1822" spans="1:23" ht="11.25" customHeight="1" x14ac:dyDescent="0.25">
      <c r="A1822" s="4" t="s">
        <v>21</v>
      </c>
      <c r="B1822" s="4" t="s">
        <v>39</v>
      </c>
      <c r="C1822" s="4" t="s">
        <v>35</v>
      </c>
      <c r="D1822" s="4" t="s">
        <v>48</v>
      </c>
      <c r="E1822" s="4" t="s">
        <v>25</v>
      </c>
      <c r="F1822" s="4" t="s">
        <v>25</v>
      </c>
      <c r="G1822" s="4" t="s">
        <v>25</v>
      </c>
      <c r="H1822" s="4" t="s">
        <v>36</v>
      </c>
      <c r="I1822" s="5">
        <v>44652</v>
      </c>
      <c r="J1822" s="6">
        <v>0</v>
      </c>
      <c r="K1822" s="6">
        <v>0</v>
      </c>
      <c r="L1822" s="6">
        <v>0.32500000000000001</v>
      </c>
      <c r="M1822" s="6">
        <v>0.32500000000000001</v>
      </c>
      <c r="N1822" s="6">
        <v>0.32500000000000001</v>
      </c>
      <c r="O1822" s="6">
        <v>0.32500000000000001</v>
      </c>
      <c r="P1822" s="6">
        <v>0</v>
      </c>
      <c r="Q1822" s="4" t="s">
        <v>26</v>
      </c>
      <c r="R1822" s="4">
        <v>0</v>
      </c>
      <c r="S1822" s="4" t="s">
        <v>431</v>
      </c>
      <c r="T1822" s="4" t="s">
        <v>701</v>
      </c>
      <c r="U1822" s="4">
        <v>0</v>
      </c>
      <c r="V1822" s="4">
        <v>64</v>
      </c>
      <c r="W1822" s="4">
        <v>108</v>
      </c>
    </row>
    <row r="1823" spans="1:23" ht="11.25" customHeight="1" x14ac:dyDescent="0.25">
      <c r="A1823" s="4" t="s">
        <v>27</v>
      </c>
      <c r="B1823" s="4" t="s">
        <v>39</v>
      </c>
      <c r="C1823" s="4" t="s">
        <v>35</v>
      </c>
      <c r="D1823" s="4" t="s">
        <v>48</v>
      </c>
      <c r="E1823" s="4" t="s">
        <v>25</v>
      </c>
      <c r="F1823" s="4" t="s">
        <v>25</v>
      </c>
      <c r="G1823" s="4" t="s">
        <v>25</v>
      </c>
      <c r="H1823" s="4" t="s">
        <v>36</v>
      </c>
      <c r="I1823" s="5">
        <v>44652</v>
      </c>
      <c r="J1823" s="6">
        <v>0</v>
      </c>
      <c r="K1823" s="6">
        <v>0</v>
      </c>
      <c r="L1823" s="6">
        <v>-9.5000000000000001E-2</v>
      </c>
      <c r="M1823" s="6">
        <v>-9.5000000000000001E-2</v>
      </c>
      <c r="N1823" s="6">
        <v>-9.5000000000000001E-2</v>
      </c>
      <c r="O1823" s="6">
        <v>-9.5000000000000001E-2</v>
      </c>
      <c r="P1823" s="6">
        <v>0</v>
      </c>
      <c r="Q1823" s="4" t="s">
        <v>26</v>
      </c>
      <c r="R1823" s="4">
        <v>0</v>
      </c>
      <c r="S1823" s="4" t="s">
        <v>431</v>
      </c>
      <c r="T1823" s="4" t="s">
        <v>701</v>
      </c>
      <c r="U1823" s="4">
        <v>0</v>
      </c>
      <c r="V1823" s="4">
        <v>64</v>
      </c>
      <c r="W1823" s="4">
        <v>108</v>
      </c>
    </row>
    <row r="1824" spans="1:23" ht="11.25" customHeight="1" x14ac:dyDescent="0.25">
      <c r="A1824" s="4" t="s">
        <v>21</v>
      </c>
      <c r="B1824" s="4" t="s">
        <v>39</v>
      </c>
      <c r="C1824" s="4" t="s">
        <v>35</v>
      </c>
      <c r="D1824" s="4" t="s">
        <v>48</v>
      </c>
      <c r="E1824" s="4" t="s">
        <v>25</v>
      </c>
      <c r="F1824" s="4" t="s">
        <v>25</v>
      </c>
      <c r="G1824" s="4" t="s">
        <v>25</v>
      </c>
      <c r="H1824" s="4" t="s">
        <v>36</v>
      </c>
      <c r="I1824" s="5">
        <v>44682</v>
      </c>
      <c r="J1824" s="6">
        <v>0</v>
      </c>
      <c r="K1824" s="6">
        <v>0</v>
      </c>
      <c r="L1824" s="6">
        <v>0.434</v>
      </c>
      <c r="M1824" s="6">
        <v>0.434</v>
      </c>
      <c r="N1824" s="6">
        <v>0.434</v>
      </c>
      <c r="O1824" s="6">
        <v>0.434</v>
      </c>
      <c r="P1824" s="6">
        <v>0</v>
      </c>
      <c r="Q1824" s="4" t="s">
        <v>26</v>
      </c>
      <c r="R1824" s="4">
        <v>0</v>
      </c>
      <c r="S1824" s="4" t="s">
        <v>432</v>
      </c>
      <c r="T1824" s="4" t="s">
        <v>702</v>
      </c>
      <c r="U1824" s="4">
        <v>0</v>
      </c>
      <c r="V1824" s="4">
        <v>64</v>
      </c>
      <c r="W1824" s="4">
        <v>108</v>
      </c>
    </row>
    <row r="1825" spans="1:23" ht="11.25" customHeight="1" x14ac:dyDescent="0.25">
      <c r="A1825" s="4" t="s">
        <v>21</v>
      </c>
      <c r="B1825" s="4" t="s">
        <v>39</v>
      </c>
      <c r="C1825" s="4" t="s">
        <v>35</v>
      </c>
      <c r="D1825" s="4" t="s">
        <v>48</v>
      </c>
      <c r="E1825" s="4" t="s">
        <v>25</v>
      </c>
      <c r="F1825" s="4" t="s">
        <v>25</v>
      </c>
      <c r="G1825" s="4" t="s">
        <v>25</v>
      </c>
      <c r="H1825" s="4" t="s">
        <v>36</v>
      </c>
      <c r="I1825" s="5">
        <v>44713</v>
      </c>
      <c r="J1825" s="6">
        <v>0</v>
      </c>
      <c r="K1825" s="6">
        <v>0</v>
      </c>
      <c r="L1825" s="6">
        <v>0.40500000000000003</v>
      </c>
      <c r="M1825" s="6">
        <v>0.40500000000000003</v>
      </c>
      <c r="N1825" s="6">
        <v>0.40500000000000003</v>
      </c>
      <c r="O1825" s="6">
        <v>0.40500000000000003</v>
      </c>
      <c r="P1825" s="6">
        <v>0</v>
      </c>
      <c r="Q1825" s="4" t="s">
        <v>26</v>
      </c>
      <c r="R1825" s="4">
        <v>0</v>
      </c>
      <c r="S1825" s="4" t="s">
        <v>433</v>
      </c>
      <c r="T1825" s="4" t="s">
        <v>703</v>
      </c>
      <c r="U1825" s="4">
        <v>0</v>
      </c>
      <c r="V1825" s="4">
        <v>64</v>
      </c>
      <c r="W1825" s="4">
        <v>108</v>
      </c>
    </row>
    <row r="1826" spans="1:23" ht="11.25" customHeight="1" x14ac:dyDescent="0.25">
      <c r="A1826" s="4" t="s">
        <v>28</v>
      </c>
      <c r="B1826" s="4" t="s">
        <v>39</v>
      </c>
      <c r="C1826" s="4" t="s">
        <v>35</v>
      </c>
      <c r="D1826" s="4" t="s">
        <v>48</v>
      </c>
      <c r="E1826" s="4" t="s">
        <v>25</v>
      </c>
      <c r="F1826" s="4" t="s">
        <v>25</v>
      </c>
      <c r="G1826" s="4" t="s">
        <v>25</v>
      </c>
      <c r="H1826" s="4" t="s">
        <v>36</v>
      </c>
      <c r="I1826" s="5">
        <v>44713</v>
      </c>
      <c r="J1826" s="6">
        <v>0</v>
      </c>
      <c r="K1826" s="6">
        <v>0</v>
      </c>
      <c r="L1826" s="6">
        <v>4.0000000000000001E-3</v>
      </c>
      <c r="M1826" s="6">
        <v>4.0000000000000001E-3</v>
      </c>
      <c r="N1826" s="6">
        <v>4.0000000000000001E-3</v>
      </c>
      <c r="O1826" s="6">
        <v>4.0000000000000001E-3</v>
      </c>
      <c r="P1826" s="6">
        <v>0</v>
      </c>
      <c r="Q1826" s="4" t="s">
        <v>26</v>
      </c>
      <c r="R1826" s="4">
        <v>0</v>
      </c>
      <c r="S1826" s="4" t="s">
        <v>433</v>
      </c>
      <c r="T1826" s="4" t="s">
        <v>703</v>
      </c>
      <c r="U1826" s="4">
        <v>0</v>
      </c>
      <c r="V1826" s="4">
        <v>64</v>
      </c>
      <c r="W1826" s="4">
        <v>108</v>
      </c>
    </row>
    <row r="1827" spans="1:23" ht="11.25" customHeight="1" x14ac:dyDescent="0.25">
      <c r="A1827" s="4" t="s">
        <v>21</v>
      </c>
      <c r="B1827" s="4" t="s">
        <v>39</v>
      </c>
      <c r="C1827" s="4" t="s">
        <v>35</v>
      </c>
      <c r="D1827" s="4" t="s">
        <v>48</v>
      </c>
      <c r="E1827" s="4" t="s">
        <v>25</v>
      </c>
      <c r="F1827" s="4" t="s">
        <v>25</v>
      </c>
      <c r="G1827" s="4" t="s">
        <v>25</v>
      </c>
      <c r="H1827" s="4" t="s">
        <v>36</v>
      </c>
      <c r="I1827" s="5">
        <v>44743</v>
      </c>
      <c r="J1827" s="6">
        <v>0</v>
      </c>
      <c r="K1827" s="6">
        <v>0</v>
      </c>
      <c r="L1827" s="6">
        <v>0.52900000000000003</v>
      </c>
      <c r="M1827" s="6">
        <v>0.52900000000000003</v>
      </c>
      <c r="N1827" s="6">
        <v>0.52900000000000003</v>
      </c>
      <c r="O1827" s="6">
        <v>0.52900000000000003</v>
      </c>
      <c r="P1827" s="6">
        <v>0</v>
      </c>
      <c r="Q1827" s="4" t="s">
        <v>26</v>
      </c>
      <c r="R1827" s="4">
        <v>0</v>
      </c>
      <c r="S1827" s="4" t="s">
        <v>434</v>
      </c>
      <c r="T1827" s="4" t="s">
        <v>704</v>
      </c>
      <c r="U1827" s="4">
        <v>0</v>
      </c>
      <c r="V1827" s="4">
        <v>64</v>
      </c>
      <c r="W1827" s="4">
        <v>108</v>
      </c>
    </row>
    <row r="1828" spans="1:23" ht="11.25" customHeight="1" x14ac:dyDescent="0.25">
      <c r="A1828" s="4" t="s">
        <v>28</v>
      </c>
      <c r="B1828" s="4" t="s">
        <v>39</v>
      </c>
      <c r="C1828" s="4" t="s">
        <v>35</v>
      </c>
      <c r="D1828" s="4" t="s">
        <v>48</v>
      </c>
      <c r="E1828" s="4" t="s">
        <v>25</v>
      </c>
      <c r="F1828" s="4" t="s">
        <v>25</v>
      </c>
      <c r="G1828" s="4" t="s">
        <v>25</v>
      </c>
      <c r="H1828" s="4" t="s">
        <v>36</v>
      </c>
      <c r="I1828" s="5">
        <v>44743</v>
      </c>
      <c r="J1828" s="6">
        <v>0</v>
      </c>
      <c r="K1828" s="6">
        <v>0</v>
      </c>
      <c r="L1828" s="6">
        <v>8.9999999999999993E-3</v>
      </c>
      <c r="M1828" s="6">
        <v>8.9999999999999993E-3</v>
      </c>
      <c r="N1828" s="6">
        <v>8.9999999999999993E-3</v>
      </c>
      <c r="O1828" s="6">
        <v>8.9999999999999993E-3</v>
      </c>
      <c r="P1828" s="6">
        <v>0</v>
      </c>
      <c r="Q1828" s="4" t="s">
        <v>26</v>
      </c>
      <c r="R1828" s="4">
        <v>0</v>
      </c>
      <c r="S1828" s="4" t="s">
        <v>434</v>
      </c>
      <c r="T1828" s="4" t="s">
        <v>704</v>
      </c>
      <c r="U1828" s="4">
        <v>0</v>
      </c>
      <c r="V1828" s="4">
        <v>64</v>
      </c>
      <c r="W1828" s="4">
        <v>108</v>
      </c>
    </row>
    <row r="1829" spans="1:23" ht="11.25" customHeight="1" x14ac:dyDescent="0.25">
      <c r="A1829" s="4" t="s">
        <v>21</v>
      </c>
      <c r="B1829" s="4" t="s">
        <v>39</v>
      </c>
      <c r="C1829" s="4" t="s">
        <v>35</v>
      </c>
      <c r="D1829" s="4" t="s">
        <v>48</v>
      </c>
      <c r="E1829" s="4" t="s">
        <v>25</v>
      </c>
      <c r="F1829" s="4" t="s">
        <v>25</v>
      </c>
      <c r="G1829" s="4" t="s">
        <v>25</v>
      </c>
      <c r="H1829" s="4" t="s">
        <v>36</v>
      </c>
      <c r="I1829" s="5">
        <v>44774</v>
      </c>
      <c r="J1829" s="6">
        <v>0</v>
      </c>
      <c r="K1829" s="6">
        <v>0</v>
      </c>
      <c r="L1829" s="6">
        <v>0.58499999999999996</v>
      </c>
      <c r="M1829" s="6">
        <v>0.58499999999999996</v>
      </c>
      <c r="N1829" s="6">
        <v>0.58499999999999996</v>
      </c>
      <c r="O1829" s="6">
        <v>0.58499999999999996</v>
      </c>
      <c r="P1829" s="6">
        <v>0</v>
      </c>
      <c r="Q1829" s="4" t="s">
        <v>26</v>
      </c>
      <c r="R1829" s="4">
        <v>0</v>
      </c>
      <c r="S1829" s="4" t="s">
        <v>435</v>
      </c>
      <c r="T1829" s="4" t="s">
        <v>705</v>
      </c>
      <c r="U1829" s="4">
        <v>0</v>
      </c>
      <c r="V1829" s="4">
        <v>64</v>
      </c>
      <c r="W1829" s="4">
        <v>108</v>
      </c>
    </row>
    <row r="1830" spans="1:23" ht="11.25" customHeight="1" x14ac:dyDescent="0.25">
      <c r="A1830" s="4" t="s">
        <v>27</v>
      </c>
      <c r="B1830" s="4" t="s">
        <v>39</v>
      </c>
      <c r="C1830" s="4" t="s">
        <v>35</v>
      </c>
      <c r="D1830" s="4" t="s">
        <v>48</v>
      </c>
      <c r="E1830" s="4" t="s">
        <v>25</v>
      </c>
      <c r="F1830" s="4" t="s">
        <v>25</v>
      </c>
      <c r="G1830" s="4" t="s">
        <v>25</v>
      </c>
      <c r="H1830" s="4" t="s">
        <v>36</v>
      </c>
      <c r="I1830" s="5">
        <v>44774</v>
      </c>
      <c r="J1830" s="6">
        <v>0</v>
      </c>
      <c r="K1830" s="6">
        <v>0</v>
      </c>
      <c r="L1830" s="6">
        <v>1.2E-2</v>
      </c>
      <c r="M1830" s="6">
        <v>1.2E-2</v>
      </c>
      <c r="N1830" s="6">
        <v>1.2E-2</v>
      </c>
      <c r="O1830" s="6">
        <v>1.2E-2</v>
      </c>
      <c r="P1830" s="6">
        <v>0</v>
      </c>
      <c r="Q1830" s="4" t="s">
        <v>26</v>
      </c>
      <c r="R1830" s="4">
        <v>0</v>
      </c>
      <c r="S1830" s="4" t="s">
        <v>435</v>
      </c>
      <c r="T1830" s="4" t="s">
        <v>705</v>
      </c>
      <c r="U1830" s="4">
        <v>0</v>
      </c>
      <c r="V1830" s="4">
        <v>64</v>
      </c>
      <c r="W1830" s="4">
        <v>108</v>
      </c>
    </row>
    <row r="1831" spans="1:23" ht="11.25" customHeight="1" x14ac:dyDescent="0.25">
      <c r="A1831" s="4" t="s">
        <v>28</v>
      </c>
      <c r="B1831" s="4" t="s">
        <v>39</v>
      </c>
      <c r="C1831" s="4" t="s">
        <v>35</v>
      </c>
      <c r="D1831" s="4" t="s">
        <v>48</v>
      </c>
      <c r="E1831" s="4" t="s">
        <v>25</v>
      </c>
      <c r="F1831" s="4" t="s">
        <v>25</v>
      </c>
      <c r="G1831" s="4" t="s">
        <v>25</v>
      </c>
      <c r="H1831" s="4" t="s">
        <v>36</v>
      </c>
      <c r="I1831" s="5">
        <v>44774</v>
      </c>
      <c r="J1831" s="6">
        <v>0</v>
      </c>
      <c r="K1831" s="6">
        <v>0</v>
      </c>
      <c r="L1831" s="6">
        <v>8.0000000000000002E-3</v>
      </c>
      <c r="M1831" s="6">
        <v>8.0000000000000002E-3</v>
      </c>
      <c r="N1831" s="6">
        <v>8.0000000000000002E-3</v>
      </c>
      <c r="O1831" s="6">
        <v>8.0000000000000002E-3</v>
      </c>
      <c r="P1831" s="6">
        <v>0</v>
      </c>
      <c r="Q1831" s="4" t="s">
        <v>26</v>
      </c>
      <c r="R1831" s="4">
        <v>0</v>
      </c>
      <c r="S1831" s="4" t="s">
        <v>435</v>
      </c>
      <c r="T1831" s="4" t="s">
        <v>705</v>
      </c>
      <c r="U1831" s="4">
        <v>0</v>
      </c>
      <c r="V1831" s="4">
        <v>64</v>
      </c>
      <c r="W1831" s="4">
        <v>108</v>
      </c>
    </row>
    <row r="1832" spans="1:23" ht="11.25" customHeight="1" x14ac:dyDescent="0.25">
      <c r="A1832" s="4" t="s">
        <v>21</v>
      </c>
      <c r="B1832" s="4" t="s">
        <v>39</v>
      </c>
      <c r="C1832" s="4" t="s">
        <v>35</v>
      </c>
      <c r="D1832" s="4" t="s">
        <v>48</v>
      </c>
      <c r="E1832" s="4" t="s">
        <v>25</v>
      </c>
      <c r="F1832" s="4" t="s">
        <v>25</v>
      </c>
      <c r="G1832" s="4" t="s">
        <v>25</v>
      </c>
      <c r="H1832" s="4" t="s">
        <v>36</v>
      </c>
      <c r="I1832" s="5">
        <v>44805</v>
      </c>
      <c r="J1832" s="6">
        <v>0</v>
      </c>
      <c r="K1832" s="6">
        <v>0</v>
      </c>
      <c r="L1832" s="6">
        <v>1.61</v>
      </c>
      <c r="M1832" s="6">
        <v>1.61</v>
      </c>
      <c r="N1832" s="6">
        <v>1.61</v>
      </c>
      <c r="O1832" s="6">
        <v>1.61</v>
      </c>
      <c r="P1832" s="6">
        <v>0</v>
      </c>
      <c r="Q1832" s="4" t="s">
        <v>26</v>
      </c>
      <c r="R1832" s="4">
        <v>0</v>
      </c>
      <c r="S1832" s="4" t="s">
        <v>436</v>
      </c>
      <c r="T1832" s="4" t="s">
        <v>706</v>
      </c>
      <c r="U1832" s="4">
        <v>0</v>
      </c>
      <c r="V1832" s="4">
        <v>64</v>
      </c>
      <c r="W1832" s="4">
        <v>108</v>
      </c>
    </row>
    <row r="1833" spans="1:23" ht="11.25" customHeight="1" x14ac:dyDescent="0.25">
      <c r="A1833" s="4" t="s">
        <v>28</v>
      </c>
      <c r="B1833" s="4" t="s">
        <v>39</v>
      </c>
      <c r="C1833" s="4" t="s">
        <v>35</v>
      </c>
      <c r="D1833" s="4" t="s">
        <v>48</v>
      </c>
      <c r="E1833" s="4" t="s">
        <v>25</v>
      </c>
      <c r="F1833" s="4" t="s">
        <v>25</v>
      </c>
      <c r="G1833" s="4" t="s">
        <v>25</v>
      </c>
      <c r="H1833" s="4" t="s">
        <v>36</v>
      </c>
      <c r="I1833" s="5">
        <v>44805</v>
      </c>
      <c r="J1833" s="6">
        <v>0</v>
      </c>
      <c r="K1833" s="6">
        <v>0</v>
      </c>
      <c r="L1833" s="6">
        <v>0.70499999999999996</v>
      </c>
      <c r="M1833" s="6">
        <v>0.70499999999999996</v>
      </c>
      <c r="N1833" s="6">
        <v>0.70499999999999996</v>
      </c>
      <c r="O1833" s="6">
        <v>0.70499999999999996</v>
      </c>
      <c r="P1833" s="6">
        <v>0</v>
      </c>
      <c r="Q1833" s="4" t="s">
        <v>26</v>
      </c>
      <c r="R1833" s="4">
        <v>0</v>
      </c>
      <c r="S1833" s="4" t="s">
        <v>436</v>
      </c>
      <c r="T1833" s="4" t="s">
        <v>706</v>
      </c>
      <c r="U1833" s="4">
        <v>0</v>
      </c>
      <c r="V1833" s="4">
        <v>64</v>
      </c>
      <c r="W1833" s="4">
        <v>108</v>
      </c>
    </row>
    <row r="1834" spans="1:23" ht="11.25" customHeight="1" x14ac:dyDescent="0.25">
      <c r="A1834" s="4" t="s">
        <v>21</v>
      </c>
      <c r="B1834" s="4" t="s">
        <v>39</v>
      </c>
      <c r="C1834" s="4" t="s">
        <v>35</v>
      </c>
      <c r="D1834" s="4" t="s">
        <v>48</v>
      </c>
      <c r="E1834" s="4" t="s">
        <v>25</v>
      </c>
      <c r="F1834" s="4" t="s">
        <v>25</v>
      </c>
      <c r="G1834" s="4" t="s">
        <v>25</v>
      </c>
      <c r="H1834" s="4" t="s">
        <v>36</v>
      </c>
      <c r="I1834" s="5">
        <v>44835</v>
      </c>
      <c r="J1834" s="6">
        <v>0</v>
      </c>
      <c r="K1834" s="6">
        <v>0</v>
      </c>
      <c r="L1834" s="6">
        <v>2.2469999999999999</v>
      </c>
      <c r="M1834" s="6">
        <v>2.2469999999999999</v>
      </c>
      <c r="N1834" s="6">
        <v>2.2469999999999999</v>
      </c>
      <c r="O1834" s="6">
        <v>2.2469999999999999</v>
      </c>
      <c r="P1834" s="6">
        <v>0</v>
      </c>
      <c r="Q1834" s="4" t="s">
        <v>26</v>
      </c>
      <c r="R1834" s="4">
        <v>0</v>
      </c>
      <c r="S1834" s="4" t="s">
        <v>437</v>
      </c>
      <c r="T1834" s="4" t="s">
        <v>707</v>
      </c>
      <c r="U1834" s="4">
        <v>0</v>
      </c>
      <c r="V1834" s="4">
        <v>64</v>
      </c>
      <c r="W1834" s="4">
        <v>108</v>
      </c>
    </row>
    <row r="1835" spans="1:23" ht="11.25" customHeight="1" x14ac:dyDescent="0.25">
      <c r="A1835" s="4" t="s">
        <v>28</v>
      </c>
      <c r="B1835" s="4" t="s">
        <v>39</v>
      </c>
      <c r="C1835" s="4" t="s">
        <v>35</v>
      </c>
      <c r="D1835" s="4" t="s">
        <v>48</v>
      </c>
      <c r="E1835" s="4" t="s">
        <v>25</v>
      </c>
      <c r="F1835" s="4" t="s">
        <v>25</v>
      </c>
      <c r="G1835" s="4" t="s">
        <v>25</v>
      </c>
      <c r="H1835" s="4" t="s">
        <v>36</v>
      </c>
      <c r="I1835" s="5">
        <v>44835</v>
      </c>
      <c r="J1835" s="6">
        <v>0</v>
      </c>
      <c r="K1835" s="6">
        <v>0</v>
      </c>
      <c r="L1835" s="6">
        <v>0.35799999999999998</v>
      </c>
      <c r="M1835" s="6">
        <v>0.35799999999999998</v>
      </c>
      <c r="N1835" s="6">
        <v>0.35799999999999998</v>
      </c>
      <c r="O1835" s="6">
        <v>0.35799999999999998</v>
      </c>
      <c r="P1835" s="6">
        <v>0</v>
      </c>
      <c r="Q1835" s="4" t="s">
        <v>26</v>
      </c>
      <c r="R1835" s="4">
        <v>0</v>
      </c>
      <c r="S1835" s="4" t="s">
        <v>437</v>
      </c>
      <c r="T1835" s="4" t="s">
        <v>707</v>
      </c>
      <c r="U1835" s="4">
        <v>0</v>
      </c>
      <c r="V1835" s="4">
        <v>64</v>
      </c>
      <c r="W1835" s="4">
        <v>108</v>
      </c>
    </row>
    <row r="1836" spans="1:23" ht="11.25" customHeight="1" x14ac:dyDescent="0.25">
      <c r="A1836" s="4" t="s">
        <v>59</v>
      </c>
      <c r="B1836" s="4" t="s">
        <v>39</v>
      </c>
      <c r="C1836" s="4" t="s">
        <v>35</v>
      </c>
      <c r="D1836" s="4" t="s">
        <v>48</v>
      </c>
      <c r="E1836" s="4" t="s">
        <v>25</v>
      </c>
      <c r="F1836" s="4" t="s">
        <v>25</v>
      </c>
      <c r="G1836" s="4" t="s">
        <v>25</v>
      </c>
      <c r="H1836" s="4" t="s">
        <v>36</v>
      </c>
      <c r="I1836" s="5">
        <v>44866</v>
      </c>
      <c r="J1836" s="6">
        <v>0</v>
      </c>
      <c r="K1836" s="6">
        <v>0</v>
      </c>
      <c r="L1836" s="6">
        <v>2.2469999999999999</v>
      </c>
      <c r="M1836" s="6">
        <v>2.2469999999999999</v>
      </c>
      <c r="N1836" s="6">
        <v>2.2469999999999999</v>
      </c>
      <c r="O1836" s="6">
        <v>2.2469999999999999</v>
      </c>
      <c r="P1836" s="6">
        <v>0</v>
      </c>
      <c r="Q1836" s="4" t="s">
        <v>26</v>
      </c>
      <c r="R1836" s="4">
        <v>0</v>
      </c>
      <c r="S1836" s="4" t="s">
        <v>438</v>
      </c>
      <c r="T1836" s="4" t="s">
        <v>708</v>
      </c>
      <c r="U1836" s="4">
        <v>0</v>
      </c>
      <c r="V1836" s="4">
        <v>64</v>
      </c>
      <c r="W1836" s="4">
        <v>108</v>
      </c>
    </row>
    <row r="1837" spans="1:23" ht="11.25" customHeight="1" x14ac:dyDescent="0.25">
      <c r="A1837" s="4" t="s">
        <v>59</v>
      </c>
      <c r="B1837" s="4" t="s">
        <v>39</v>
      </c>
      <c r="C1837" s="4" t="s">
        <v>35</v>
      </c>
      <c r="D1837" s="4" t="s">
        <v>48</v>
      </c>
      <c r="E1837" s="4" t="s">
        <v>25</v>
      </c>
      <c r="F1837" s="4" t="s">
        <v>25</v>
      </c>
      <c r="G1837" s="4" t="s">
        <v>25</v>
      </c>
      <c r="H1837" s="4" t="s">
        <v>36</v>
      </c>
      <c r="I1837" s="5">
        <v>44866</v>
      </c>
      <c r="J1837" s="6">
        <v>0</v>
      </c>
      <c r="K1837" s="6">
        <v>0</v>
      </c>
      <c r="L1837" s="6">
        <v>0.35799999999999998</v>
      </c>
      <c r="M1837" s="6">
        <v>0.35799999999999998</v>
      </c>
      <c r="N1837" s="6">
        <v>0.35799999999999998</v>
      </c>
      <c r="O1837" s="6">
        <v>0.35799999999999998</v>
      </c>
      <c r="P1837" s="6">
        <v>0</v>
      </c>
      <c r="Q1837" s="4" t="s">
        <v>26</v>
      </c>
      <c r="R1837" s="4">
        <v>0</v>
      </c>
      <c r="S1837" s="4" t="s">
        <v>438</v>
      </c>
      <c r="T1837" s="4" t="s">
        <v>708</v>
      </c>
      <c r="U1837" s="4">
        <v>0</v>
      </c>
      <c r="V1837" s="4">
        <v>64</v>
      </c>
      <c r="W1837" s="4">
        <v>108</v>
      </c>
    </row>
    <row r="1838" spans="1:23" ht="11.25" customHeight="1" x14ac:dyDescent="0.25">
      <c r="A1838" s="4" t="s">
        <v>21</v>
      </c>
      <c r="B1838" s="4" t="s">
        <v>39</v>
      </c>
      <c r="C1838" s="4" t="s">
        <v>23</v>
      </c>
      <c r="D1838" s="4" t="s">
        <v>45</v>
      </c>
      <c r="E1838" s="4" t="s">
        <v>25</v>
      </c>
      <c r="F1838" s="4" t="s">
        <v>25</v>
      </c>
      <c r="G1838" s="4" t="s">
        <v>25</v>
      </c>
      <c r="H1838" s="4" t="s">
        <v>25</v>
      </c>
      <c r="I1838" s="5">
        <v>44531</v>
      </c>
      <c r="J1838" s="6">
        <v>0</v>
      </c>
      <c r="K1838" s="6">
        <v>0</v>
      </c>
      <c r="L1838" s="6">
        <v>10236.842000000001</v>
      </c>
      <c r="M1838" s="6">
        <v>10236.842000000001</v>
      </c>
      <c r="N1838" s="6">
        <v>10236.842000000001</v>
      </c>
      <c r="O1838" s="6">
        <v>10236.842000000001</v>
      </c>
      <c r="P1838" s="6">
        <v>17058</v>
      </c>
      <c r="Q1838" s="4" t="s">
        <v>26</v>
      </c>
      <c r="R1838" s="4">
        <v>0</v>
      </c>
      <c r="S1838" s="4" t="s">
        <v>439</v>
      </c>
      <c r="T1838" s="4" t="s">
        <v>709</v>
      </c>
      <c r="U1838" s="4">
        <v>0</v>
      </c>
      <c r="V1838" s="4">
        <v>67</v>
      </c>
      <c r="W1838" s="4">
        <v>111</v>
      </c>
    </row>
    <row r="1839" spans="1:23" ht="11.25" customHeight="1" x14ac:dyDescent="0.25">
      <c r="A1839" s="4" t="s">
        <v>27</v>
      </c>
      <c r="B1839" s="4" t="s">
        <v>39</v>
      </c>
      <c r="C1839" s="4" t="s">
        <v>23</v>
      </c>
      <c r="D1839" s="4" t="s">
        <v>45</v>
      </c>
      <c r="E1839" s="4" t="s">
        <v>25</v>
      </c>
      <c r="F1839" s="4" t="s">
        <v>25</v>
      </c>
      <c r="G1839" s="4" t="s">
        <v>25</v>
      </c>
      <c r="H1839" s="4" t="s">
        <v>25</v>
      </c>
      <c r="I1839" s="5">
        <v>44531</v>
      </c>
      <c r="J1839" s="6">
        <v>0</v>
      </c>
      <c r="K1839" s="6">
        <v>0</v>
      </c>
      <c r="L1839" s="6">
        <v>-86.658000000000001</v>
      </c>
      <c r="M1839" s="6">
        <v>-86.658000000000001</v>
      </c>
      <c r="N1839" s="6">
        <v>-86.658000000000001</v>
      </c>
      <c r="O1839" s="6">
        <v>-86.658000000000001</v>
      </c>
      <c r="P1839" s="6">
        <v>-26</v>
      </c>
      <c r="Q1839" s="4" t="s">
        <v>26</v>
      </c>
      <c r="R1839" s="4">
        <v>0</v>
      </c>
      <c r="S1839" s="4" t="s">
        <v>439</v>
      </c>
      <c r="T1839" s="4" t="s">
        <v>709</v>
      </c>
      <c r="U1839" s="4">
        <v>0</v>
      </c>
      <c r="V1839" s="4">
        <v>67</v>
      </c>
      <c r="W1839" s="4">
        <v>111</v>
      </c>
    </row>
    <row r="1840" spans="1:23" ht="11.25" customHeight="1" x14ac:dyDescent="0.25">
      <c r="A1840" s="4" t="s">
        <v>28</v>
      </c>
      <c r="B1840" s="4" t="s">
        <v>39</v>
      </c>
      <c r="C1840" s="4" t="s">
        <v>23</v>
      </c>
      <c r="D1840" s="4" t="s">
        <v>45</v>
      </c>
      <c r="E1840" s="4" t="s">
        <v>25</v>
      </c>
      <c r="F1840" s="4" t="s">
        <v>25</v>
      </c>
      <c r="G1840" s="4" t="s">
        <v>25</v>
      </c>
      <c r="H1840" s="4" t="s">
        <v>25</v>
      </c>
      <c r="I1840" s="5">
        <v>44531</v>
      </c>
      <c r="J1840" s="6">
        <v>0</v>
      </c>
      <c r="K1840" s="6">
        <v>0</v>
      </c>
      <c r="L1840" s="6">
        <v>2413.0639999999999</v>
      </c>
      <c r="M1840" s="6">
        <v>2413.0639999999999</v>
      </c>
      <c r="N1840" s="6">
        <v>2413.0639999999999</v>
      </c>
      <c r="O1840" s="6">
        <v>2413.0639999999999</v>
      </c>
      <c r="P1840" s="6">
        <v>4949</v>
      </c>
      <c r="Q1840" s="4" t="s">
        <v>26</v>
      </c>
      <c r="R1840" s="4">
        <v>0</v>
      </c>
      <c r="S1840" s="4" t="s">
        <v>439</v>
      </c>
      <c r="T1840" s="4" t="s">
        <v>709</v>
      </c>
      <c r="U1840" s="4">
        <v>0</v>
      </c>
      <c r="V1840" s="4">
        <v>67</v>
      </c>
      <c r="W1840" s="4">
        <v>111</v>
      </c>
    </row>
    <row r="1841" spans="1:23" ht="11.25" customHeight="1" x14ac:dyDescent="0.25">
      <c r="A1841" s="4" t="s">
        <v>29</v>
      </c>
      <c r="B1841" s="4" t="s">
        <v>39</v>
      </c>
      <c r="C1841" s="4" t="s">
        <v>23</v>
      </c>
      <c r="D1841" s="4" t="s">
        <v>45</v>
      </c>
      <c r="E1841" s="4" t="s">
        <v>25</v>
      </c>
      <c r="F1841" s="4" t="s">
        <v>25</v>
      </c>
      <c r="G1841" s="4" t="s">
        <v>25</v>
      </c>
      <c r="H1841" s="4" t="s">
        <v>25</v>
      </c>
      <c r="I1841" s="5">
        <v>44531</v>
      </c>
      <c r="J1841" s="6">
        <v>0</v>
      </c>
      <c r="K1841" s="6">
        <v>0</v>
      </c>
      <c r="L1841" s="6">
        <v>-2.9620000000000002</v>
      </c>
      <c r="M1841" s="6">
        <v>-2.9620000000000002</v>
      </c>
      <c r="N1841" s="6">
        <v>-2.9620000000000002</v>
      </c>
      <c r="O1841" s="6">
        <v>-2.9620000000000002</v>
      </c>
      <c r="P1841" s="6">
        <v>-1</v>
      </c>
      <c r="Q1841" s="4" t="s">
        <v>26</v>
      </c>
      <c r="R1841" s="4">
        <v>0</v>
      </c>
      <c r="S1841" s="4" t="s">
        <v>439</v>
      </c>
      <c r="T1841" s="4" t="s">
        <v>709</v>
      </c>
      <c r="U1841" s="4">
        <v>0</v>
      </c>
      <c r="V1841" s="4">
        <v>67</v>
      </c>
      <c r="W1841" s="4">
        <v>111</v>
      </c>
    </row>
    <row r="1842" spans="1:23" ht="11.25" customHeight="1" x14ac:dyDescent="0.25">
      <c r="A1842" s="4" t="s">
        <v>30</v>
      </c>
      <c r="B1842" s="4" t="s">
        <v>39</v>
      </c>
      <c r="C1842" s="4" t="s">
        <v>23</v>
      </c>
      <c r="D1842" s="4" t="s">
        <v>45</v>
      </c>
      <c r="E1842" s="4" t="s">
        <v>25</v>
      </c>
      <c r="F1842" s="4" t="s">
        <v>25</v>
      </c>
      <c r="G1842" s="4" t="s">
        <v>25</v>
      </c>
      <c r="H1842" s="4" t="s">
        <v>25</v>
      </c>
      <c r="I1842" s="5">
        <v>44531</v>
      </c>
      <c r="J1842" s="6">
        <v>0</v>
      </c>
      <c r="K1842" s="6">
        <v>0</v>
      </c>
      <c r="L1842" s="6">
        <v>377.08199999999999</v>
      </c>
      <c r="M1842" s="6">
        <v>377.08199999999999</v>
      </c>
      <c r="N1842" s="6">
        <v>377.08199999999999</v>
      </c>
      <c r="O1842" s="6">
        <v>377.08199999999999</v>
      </c>
      <c r="P1842" s="6">
        <v>427</v>
      </c>
      <c r="Q1842" s="4" t="s">
        <v>26</v>
      </c>
      <c r="R1842" s="4">
        <v>0</v>
      </c>
      <c r="S1842" s="4" t="s">
        <v>439</v>
      </c>
      <c r="T1842" s="4" t="s">
        <v>709</v>
      </c>
      <c r="U1842" s="4">
        <v>0</v>
      </c>
      <c r="V1842" s="4">
        <v>67</v>
      </c>
      <c r="W1842" s="4">
        <v>111</v>
      </c>
    </row>
    <row r="1843" spans="1:23" ht="11.25" customHeight="1" x14ac:dyDescent="0.25">
      <c r="A1843" s="4" t="s">
        <v>30</v>
      </c>
      <c r="B1843" s="4" t="s">
        <v>39</v>
      </c>
      <c r="C1843" s="4" t="s">
        <v>23</v>
      </c>
      <c r="D1843" s="4" t="s">
        <v>45</v>
      </c>
      <c r="E1843" s="4" t="s">
        <v>25</v>
      </c>
      <c r="F1843" s="4" t="s">
        <v>25</v>
      </c>
      <c r="G1843" s="4" t="s">
        <v>25</v>
      </c>
      <c r="H1843" s="4" t="s">
        <v>25</v>
      </c>
      <c r="I1843" s="5">
        <v>44531</v>
      </c>
      <c r="J1843" s="6">
        <v>0</v>
      </c>
      <c r="K1843" s="6">
        <v>0</v>
      </c>
      <c r="L1843" s="6">
        <v>-12.066000000000001</v>
      </c>
      <c r="M1843" s="6">
        <v>-12.066000000000001</v>
      </c>
      <c r="N1843" s="6">
        <v>-12.066000000000001</v>
      </c>
      <c r="O1843" s="6">
        <v>-12.066000000000001</v>
      </c>
      <c r="P1843" s="6">
        <v>0</v>
      </c>
      <c r="Q1843" s="4" t="s">
        <v>26</v>
      </c>
      <c r="R1843" s="4">
        <v>0</v>
      </c>
      <c r="S1843" s="4" t="s">
        <v>439</v>
      </c>
      <c r="T1843" s="4" t="s">
        <v>709</v>
      </c>
      <c r="U1843" s="4">
        <v>0</v>
      </c>
      <c r="V1843" s="4">
        <v>67</v>
      </c>
      <c r="W1843" s="4">
        <v>111</v>
      </c>
    </row>
    <row r="1844" spans="1:23" ht="11.25" customHeight="1" x14ac:dyDescent="0.25">
      <c r="A1844" s="4" t="s">
        <v>21</v>
      </c>
      <c r="B1844" s="4" t="s">
        <v>39</v>
      </c>
      <c r="C1844" s="4" t="s">
        <v>23</v>
      </c>
      <c r="D1844" s="4" t="s">
        <v>45</v>
      </c>
      <c r="E1844" s="4" t="s">
        <v>25</v>
      </c>
      <c r="F1844" s="4" t="s">
        <v>25</v>
      </c>
      <c r="G1844" s="4" t="s">
        <v>25</v>
      </c>
      <c r="H1844" s="4" t="s">
        <v>25</v>
      </c>
      <c r="I1844" s="5">
        <v>44562</v>
      </c>
      <c r="J1844" s="6">
        <v>0</v>
      </c>
      <c r="K1844" s="6">
        <v>0</v>
      </c>
      <c r="L1844" s="6">
        <v>9558.0079999999998</v>
      </c>
      <c r="M1844" s="6">
        <v>9558.0079999999998</v>
      </c>
      <c r="N1844" s="6">
        <v>9558.0079999999998</v>
      </c>
      <c r="O1844" s="6">
        <v>9558.0079999999998</v>
      </c>
      <c r="P1844" s="6">
        <v>16953</v>
      </c>
      <c r="Q1844" s="4" t="s">
        <v>26</v>
      </c>
      <c r="R1844" s="4">
        <v>0</v>
      </c>
      <c r="S1844" s="4" t="s">
        <v>440</v>
      </c>
      <c r="T1844" s="4" t="s">
        <v>710</v>
      </c>
      <c r="U1844" s="4">
        <v>0</v>
      </c>
      <c r="V1844" s="4">
        <v>67</v>
      </c>
      <c r="W1844" s="4">
        <v>111</v>
      </c>
    </row>
    <row r="1845" spans="1:23" ht="11.25" customHeight="1" x14ac:dyDescent="0.25">
      <c r="A1845" s="4" t="s">
        <v>27</v>
      </c>
      <c r="B1845" s="4" t="s">
        <v>39</v>
      </c>
      <c r="C1845" s="4" t="s">
        <v>23</v>
      </c>
      <c r="D1845" s="4" t="s">
        <v>45</v>
      </c>
      <c r="E1845" s="4" t="s">
        <v>25</v>
      </c>
      <c r="F1845" s="4" t="s">
        <v>25</v>
      </c>
      <c r="G1845" s="4" t="s">
        <v>25</v>
      </c>
      <c r="H1845" s="4" t="s">
        <v>25</v>
      </c>
      <c r="I1845" s="5">
        <v>44562</v>
      </c>
      <c r="J1845" s="6">
        <v>0</v>
      </c>
      <c r="K1845" s="6">
        <v>0</v>
      </c>
      <c r="L1845" s="6">
        <v>-19.021999999999998</v>
      </c>
      <c r="M1845" s="6">
        <v>-19.021999999999998</v>
      </c>
      <c r="N1845" s="6">
        <v>-19.021999999999998</v>
      </c>
      <c r="O1845" s="6">
        <v>-19.021999999999998</v>
      </c>
      <c r="P1845" s="6">
        <v>-7</v>
      </c>
      <c r="Q1845" s="4" t="s">
        <v>26</v>
      </c>
      <c r="R1845" s="4">
        <v>0</v>
      </c>
      <c r="S1845" s="4" t="s">
        <v>440</v>
      </c>
      <c r="T1845" s="4" t="s">
        <v>710</v>
      </c>
      <c r="U1845" s="4">
        <v>0</v>
      </c>
      <c r="V1845" s="4">
        <v>67</v>
      </c>
      <c r="W1845" s="4">
        <v>111</v>
      </c>
    </row>
    <row r="1846" spans="1:23" ht="11.25" customHeight="1" x14ac:dyDescent="0.25">
      <c r="A1846" s="4" t="s">
        <v>28</v>
      </c>
      <c r="B1846" s="4" t="s">
        <v>39</v>
      </c>
      <c r="C1846" s="4" t="s">
        <v>23</v>
      </c>
      <c r="D1846" s="4" t="s">
        <v>45</v>
      </c>
      <c r="E1846" s="4" t="s">
        <v>25</v>
      </c>
      <c r="F1846" s="4" t="s">
        <v>25</v>
      </c>
      <c r="G1846" s="4" t="s">
        <v>25</v>
      </c>
      <c r="H1846" s="4" t="s">
        <v>25</v>
      </c>
      <c r="I1846" s="5">
        <v>44562</v>
      </c>
      <c r="J1846" s="6">
        <v>0</v>
      </c>
      <c r="K1846" s="6">
        <v>0</v>
      </c>
      <c r="L1846" s="6">
        <v>2364.6089999999999</v>
      </c>
      <c r="M1846" s="6">
        <v>2364.6089999999999</v>
      </c>
      <c r="N1846" s="6">
        <v>2364.6089999999999</v>
      </c>
      <c r="O1846" s="6">
        <v>2364.6089999999999</v>
      </c>
      <c r="P1846" s="6">
        <v>4961</v>
      </c>
      <c r="Q1846" s="4" t="s">
        <v>26</v>
      </c>
      <c r="R1846" s="4">
        <v>0</v>
      </c>
      <c r="S1846" s="4" t="s">
        <v>440</v>
      </c>
      <c r="T1846" s="4" t="s">
        <v>710</v>
      </c>
      <c r="U1846" s="4">
        <v>0</v>
      </c>
      <c r="V1846" s="4">
        <v>67</v>
      </c>
      <c r="W1846" s="4">
        <v>111</v>
      </c>
    </row>
    <row r="1847" spans="1:23" ht="11.25" customHeight="1" x14ac:dyDescent="0.25">
      <c r="A1847" s="4" t="s">
        <v>29</v>
      </c>
      <c r="B1847" s="4" t="s">
        <v>39</v>
      </c>
      <c r="C1847" s="4" t="s">
        <v>23</v>
      </c>
      <c r="D1847" s="4" t="s">
        <v>45</v>
      </c>
      <c r="E1847" s="4" t="s">
        <v>25</v>
      </c>
      <c r="F1847" s="4" t="s">
        <v>25</v>
      </c>
      <c r="G1847" s="4" t="s">
        <v>25</v>
      </c>
      <c r="H1847" s="4" t="s">
        <v>25</v>
      </c>
      <c r="I1847" s="5">
        <v>44562</v>
      </c>
      <c r="J1847" s="6">
        <v>0</v>
      </c>
      <c r="K1847" s="6">
        <v>0</v>
      </c>
      <c r="L1847" s="6">
        <v>-1.181</v>
      </c>
      <c r="M1847" s="6">
        <v>-1.181</v>
      </c>
      <c r="N1847" s="6">
        <v>-1.181</v>
      </c>
      <c r="O1847" s="6">
        <v>-1.181</v>
      </c>
      <c r="P1847" s="6">
        <v>-1</v>
      </c>
      <c r="Q1847" s="4" t="s">
        <v>26</v>
      </c>
      <c r="R1847" s="4">
        <v>0</v>
      </c>
      <c r="S1847" s="4" t="s">
        <v>440</v>
      </c>
      <c r="T1847" s="4" t="s">
        <v>710</v>
      </c>
      <c r="U1847" s="4">
        <v>0</v>
      </c>
      <c r="V1847" s="4">
        <v>67</v>
      </c>
      <c r="W1847" s="4">
        <v>111</v>
      </c>
    </row>
    <row r="1848" spans="1:23" ht="11.25" customHeight="1" x14ac:dyDescent="0.25">
      <c r="A1848" s="4" t="s">
        <v>30</v>
      </c>
      <c r="B1848" s="4" t="s">
        <v>39</v>
      </c>
      <c r="C1848" s="4" t="s">
        <v>23</v>
      </c>
      <c r="D1848" s="4" t="s">
        <v>45</v>
      </c>
      <c r="E1848" s="4" t="s">
        <v>25</v>
      </c>
      <c r="F1848" s="4" t="s">
        <v>25</v>
      </c>
      <c r="G1848" s="4" t="s">
        <v>25</v>
      </c>
      <c r="H1848" s="4" t="s">
        <v>25</v>
      </c>
      <c r="I1848" s="5">
        <v>44562</v>
      </c>
      <c r="J1848" s="6">
        <v>0</v>
      </c>
      <c r="K1848" s="6">
        <v>0</v>
      </c>
      <c r="L1848" s="6">
        <v>369.82799999999997</v>
      </c>
      <c r="M1848" s="6">
        <v>369.82799999999997</v>
      </c>
      <c r="N1848" s="6">
        <v>369.82799999999997</v>
      </c>
      <c r="O1848" s="6">
        <v>369.82799999999997</v>
      </c>
      <c r="P1848" s="6">
        <v>457</v>
      </c>
      <c r="Q1848" s="4" t="s">
        <v>26</v>
      </c>
      <c r="R1848" s="4">
        <v>0</v>
      </c>
      <c r="S1848" s="4" t="s">
        <v>440</v>
      </c>
      <c r="T1848" s="4" t="s">
        <v>710</v>
      </c>
      <c r="U1848" s="4">
        <v>0</v>
      </c>
      <c r="V1848" s="4">
        <v>67</v>
      </c>
      <c r="W1848" s="4">
        <v>111</v>
      </c>
    </row>
    <row r="1849" spans="1:23" ht="11.25" customHeight="1" x14ac:dyDescent="0.25">
      <c r="A1849" s="4" t="s">
        <v>30</v>
      </c>
      <c r="B1849" s="4" t="s">
        <v>39</v>
      </c>
      <c r="C1849" s="4" t="s">
        <v>23</v>
      </c>
      <c r="D1849" s="4" t="s">
        <v>45</v>
      </c>
      <c r="E1849" s="4" t="s">
        <v>25</v>
      </c>
      <c r="F1849" s="4" t="s">
        <v>25</v>
      </c>
      <c r="G1849" s="4" t="s">
        <v>25</v>
      </c>
      <c r="H1849" s="4" t="s">
        <v>25</v>
      </c>
      <c r="I1849" s="5">
        <v>44562</v>
      </c>
      <c r="J1849" s="6">
        <v>0</v>
      </c>
      <c r="K1849" s="6">
        <v>0</v>
      </c>
      <c r="L1849" s="6">
        <v>-3.1739999999999999</v>
      </c>
      <c r="M1849" s="6">
        <v>-3.1739999999999999</v>
      </c>
      <c r="N1849" s="6">
        <v>-3.1739999999999999</v>
      </c>
      <c r="O1849" s="6">
        <v>-3.1739999999999999</v>
      </c>
      <c r="P1849" s="6">
        <v>-3</v>
      </c>
      <c r="Q1849" s="4" t="s">
        <v>26</v>
      </c>
      <c r="R1849" s="4">
        <v>0</v>
      </c>
      <c r="S1849" s="4" t="s">
        <v>440</v>
      </c>
      <c r="T1849" s="4" t="s">
        <v>710</v>
      </c>
      <c r="U1849" s="4">
        <v>0</v>
      </c>
      <c r="V1849" s="4">
        <v>67</v>
      </c>
      <c r="W1849" s="4">
        <v>111</v>
      </c>
    </row>
    <row r="1850" spans="1:23" ht="11.25" customHeight="1" x14ac:dyDescent="0.25">
      <c r="A1850" s="4" t="s">
        <v>21</v>
      </c>
      <c r="B1850" s="4" t="s">
        <v>39</v>
      </c>
      <c r="C1850" s="4" t="s">
        <v>23</v>
      </c>
      <c r="D1850" s="4" t="s">
        <v>45</v>
      </c>
      <c r="E1850" s="4" t="s">
        <v>25</v>
      </c>
      <c r="F1850" s="4" t="s">
        <v>25</v>
      </c>
      <c r="G1850" s="4" t="s">
        <v>25</v>
      </c>
      <c r="H1850" s="4" t="s">
        <v>25</v>
      </c>
      <c r="I1850" s="5">
        <v>44593</v>
      </c>
      <c r="J1850" s="6">
        <v>0</v>
      </c>
      <c r="K1850" s="6">
        <v>0</v>
      </c>
      <c r="L1850" s="6">
        <v>9240.1290000000008</v>
      </c>
      <c r="M1850" s="6">
        <v>9240.1290000000008</v>
      </c>
      <c r="N1850" s="6">
        <v>9240.1290000000008</v>
      </c>
      <c r="O1850" s="6">
        <v>9240.1290000000008</v>
      </c>
      <c r="P1850" s="6">
        <v>16962</v>
      </c>
      <c r="Q1850" s="4" t="s">
        <v>26</v>
      </c>
      <c r="R1850" s="4">
        <v>0</v>
      </c>
      <c r="S1850" s="4" t="s">
        <v>441</v>
      </c>
      <c r="T1850" s="4" t="s">
        <v>711</v>
      </c>
      <c r="U1850" s="4">
        <v>0</v>
      </c>
      <c r="V1850" s="4">
        <v>67</v>
      </c>
      <c r="W1850" s="4">
        <v>111</v>
      </c>
    </row>
    <row r="1851" spans="1:23" ht="11.25" customHeight="1" x14ac:dyDescent="0.25">
      <c r="A1851" s="4" t="s">
        <v>27</v>
      </c>
      <c r="B1851" s="4" t="s">
        <v>39</v>
      </c>
      <c r="C1851" s="4" t="s">
        <v>23</v>
      </c>
      <c r="D1851" s="4" t="s">
        <v>45</v>
      </c>
      <c r="E1851" s="4" t="s">
        <v>25</v>
      </c>
      <c r="F1851" s="4" t="s">
        <v>25</v>
      </c>
      <c r="G1851" s="4" t="s">
        <v>25</v>
      </c>
      <c r="H1851" s="4" t="s">
        <v>25</v>
      </c>
      <c r="I1851" s="5">
        <v>44593</v>
      </c>
      <c r="J1851" s="6">
        <v>0</v>
      </c>
      <c r="K1851" s="6">
        <v>0</v>
      </c>
      <c r="L1851" s="6">
        <v>-75.787000000000006</v>
      </c>
      <c r="M1851" s="6">
        <v>-75.787000000000006</v>
      </c>
      <c r="N1851" s="6">
        <v>-75.787000000000006</v>
      </c>
      <c r="O1851" s="6">
        <v>-75.787000000000006</v>
      </c>
      <c r="P1851" s="6">
        <v>-30</v>
      </c>
      <c r="Q1851" s="4" t="s">
        <v>26</v>
      </c>
      <c r="R1851" s="4">
        <v>0</v>
      </c>
      <c r="S1851" s="4" t="s">
        <v>441</v>
      </c>
      <c r="T1851" s="4" t="s">
        <v>711</v>
      </c>
      <c r="U1851" s="4">
        <v>0</v>
      </c>
      <c r="V1851" s="4">
        <v>67</v>
      </c>
      <c r="W1851" s="4">
        <v>111</v>
      </c>
    </row>
    <row r="1852" spans="1:23" ht="11.25" customHeight="1" x14ac:dyDescent="0.25">
      <c r="A1852" s="4" t="s">
        <v>28</v>
      </c>
      <c r="B1852" s="4" t="s">
        <v>39</v>
      </c>
      <c r="C1852" s="4" t="s">
        <v>23</v>
      </c>
      <c r="D1852" s="4" t="s">
        <v>45</v>
      </c>
      <c r="E1852" s="4" t="s">
        <v>25</v>
      </c>
      <c r="F1852" s="4" t="s">
        <v>25</v>
      </c>
      <c r="G1852" s="4" t="s">
        <v>25</v>
      </c>
      <c r="H1852" s="4" t="s">
        <v>25</v>
      </c>
      <c r="I1852" s="5">
        <v>44593</v>
      </c>
      <c r="J1852" s="6">
        <v>0</v>
      </c>
      <c r="K1852" s="6">
        <v>0</v>
      </c>
      <c r="L1852" s="6">
        <v>2179.73</v>
      </c>
      <c r="M1852" s="6">
        <v>2179.73</v>
      </c>
      <c r="N1852" s="6">
        <v>2179.73</v>
      </c>
      <c r="O1852" s="6">
        <v>2179.73</v>
      </c>
      <c r="P1852" s="6">
        <v>4947</v>
      </c>
      <c r="Q1852" s="4" t="s">
        <v>26</v>
      </c>
      <c r="R1852" s="4">
        <v>0</v>
      </c>
      <c r="S1852" s="4" t="s">
        <v>441</v>
      </c>
      <c r="T1852" s="4" t="s">
        <v>711</v>
      </c>
      <c r="U1852" s="4">
        <v>0</v>
      </c>
      <c r="V1852" s="4">
        <v>67</v>
      </c>
      <c r="W1852" s="4">
        <v>111</v>
      </c>
    </row>
    <row r="1853" spans="1:23" ht="11.25" customHeight="1" x14ac:dyDescent="0.25">
      <c r="A1853" s="4" t="s">
        <v>29</v>
      </c>
      <c r="B1853" s="4" t="s">
        <v>39</v>
      </c>
      <c r="C1853" s="4" t="s">
        <v>23</v>
      </c>
      <c r="D1853" s="4" t="s">
        <v>45</v>
      </c>
      <c r="E1853" s="4" t="s">
        <v>25</v>
      </c>
      <c r="F1853" s="4" t="s">
        <v>25</v>
      </c>
      <c r="G1853" s="4" t="s">
        <v>25</v>
      </c>
      <c r="H1853" s="4" t="s">
        <v>25</v>
      </c>
      <c r="I1853" s="5">
        <v>44593</v>
      </c>
      <c r="J1853" s="6">
        <v>0</v>
      </c>
      <c r="K1853" s="6">
        <v>0</v>
      </c>
      <c r="L1853" s="6">
        <v>-2.1469999999999998</v>
      </c>
      <c r="M1853" s="6">
        <v>-2.1469999999999998</v>
      </c>
      <c r="N1853" s="6">
        <v>-2.1469999999999998</v>
      </c>
      <c r="O1853" s="6">
        <v>-2.1469999999999998</v>
      </c>
      <c r="P1853" s="6">
        <v>-1</v>
      </c>
      <c r="Q1853" s="4" t="s">
        <v>26</v>
      </c>
      <c r="R1853" s="4">
        <v>0</v>
      </c>
      <c r="S1853" s="4" t="s">
        <v>441</v>
      </c>
      <c r="T1853" s="4" t="s">
        <v>711</v>
      </c>
      <c r="U1853" s="4">
        <v>0</v>
      </c>
      <c r="V1853" s="4">
        <v>67</v>
      </c>
      <c r="W1853" s="4">
        <v>111</v>
      </c>
    </row>
    <row r="1854" spans="1:23" ht="11.25" customHeight="1" x14ac:dyDescent="0.25">
      <c r="A1854" s="4" t="s">
        <v>30</v>
      </c>
      <c r="B1854" s="4" t="s">
        <v>39</v>
      </c>
      <c r="C1854" s="4" t="s">
        <v>23</v>
      </c>
      <c r="D1854" s="4" t="s">
        <v>45</v>
      </c>
      <c r="E1854" s="4" t="s">
        <v>25</v>
      </c>
      <c r="F1854" s="4" t="s">
        <v>25</v>
      </c>
      <c r="G1854" s="4" t="s">
        <v>25</v>
      </c>
      <c r="H1854" s="4" t="s">
        <v>25</v>
      </c>
      <c r="I1854" s="5">
        <v>44593</v>
      </c>
      <c r="J1854" s="6">
        <v>0</v>
      </c>
      <c r="K1854" s="6">
        <v>0</v>
      </c>
      <c r="L1854" s="6">
        <v>364.43099999999998</v>
      </c>
      <c r="M1854" s="6">
        <v>364.43099999999998</v>
      </c>
      <c r="N1854" s="6">
        <v>364.43099999999998</v>
      </c>
      <c r="O1854" s="6">
        <v>364.43099999999998</v>
      </c>
      <c r="P1854" s="6">
        <v>483</v>
      </c>
      <c r="Q1854" s="4" t="s">
        <v>26</v>
      </c>
      <c r="R1854" s="4">
        <v>0</v>
      </c>
      <c r="S1854" s="4" t="s">
        <v>441</v>
      </c>
      <c r="T1854" s="4" t="s">
        <v>711</v>
      </c>
      <c r="U1854" s="4">
        <v>0</v>
      </c>
      <c r="V1854" s="4">
        <v>67</v>
      </c>
      <c r="W1854" s="4">
        <v>111</v>
      </c>
    </row>
    <row r="1855" spans="1:23" ht="11.25" customHeight="1" x14ac:dyDescent="0.25">
      <c r="A1855" s="4" t="s">
        <v>30</v>
      </c>
      <c r="B1855" s="4" t="s">
        <v>39</v>
      </c>
      <c r="C1855" s="4" t="s">
        <v>23</v>
      </c>
      <c r="D1855" s="4" t="s">
        <v>45</v>
      </c>
      <c r="E1855" s="4" t="s">
        <v>25</v>
      </c>
      <c r="F1855" s="4" t="s">
        <v>25</v>
      </c>
      <c r="G1855" s="4" t="s">
        <v>25</v>
      </c>
      <c r="H1855" s="4" t="s">
        <v>25</v>
      </c>
      <c r="I1855" s="5">
        <v>44593</v>
      </c>
      <c r="J1855" s="6">
        <v>0</v>
      </c>
      <c r="K1855" s="6">
        <v>0</v>
      </c>
      <c r="L1855" s="6">
        <v>7.234</v>
      </c>
      <c r="M1855" s="6">
        <v>7.234</v>
      </c>
      <c r="N1855" s="6">
        <v>7.234</v>
      </c>
      <c r="O1855" s="6">
        <v>7.234</v>
      </c>
      <c r="P1855" s="6">
        <v>0</v>
      </c>
      <c r="Q1855" s="4" t="s">
        <v>26</v>
      </c>
      <c r="R1855" s="4">
        <v>0</v>
      </c>
      <c r="S1855" s="4" t="s">
        <v>441</v>
      </c>
      <c r="T1855" s="4" t="s">
        <v>711</v>
      </c>
      <c r="U1855" s="4">
        <v>0</v>
      </c>
      <c r="V1855" s="4">
        <v>67</v>
      </c>
      <c r="W1855" s="4">
        <v>111</v>
      </c>
    </row>
    <row r="1856" spans="1:23" ht="11.25" customHeight="1" x14ac:dyDescent="0.25">
      <c r="A1856" s="4" t="s">
        <v>21</v>
      </c>
      <c r="B1856" s="4" t="s">
        <v>39</v>
      </c>
      <c r="C1856" s="4" t="s">
        <v>23</v>
      </c>
      <c r="D1856" s="4" t="s">
        <v>45</v>
      </c>
      <c r="E1856" s="4" t="s">
        <v>25</v>
      </c>
      <c r="F1856" s="4" t="s">
        <v>25</v>
      </c>
      <c r="G1856" s="4" t="s">
        <v>25</v>
      </c>
      <c r="H1856" s="4" t="s">
        <v>25</v>
      </c>
      <c r="I1856" s="5">
        <v>44621</v>
      </c>
      <c r="J1856" s="6">
        <v>0</v>
      </c>
      <c r="K1856" s="6">
        <v>0</v>
      </c>
      <c r="L1856" s="6">
        <v>9562.4619999999995</v>
      </c>
      <c r="M1856" s="6">
        <v>9562.4619999999995</v>
      </c>
      <c r="N1856" s="6">
        <v>9562.4619999999995</v>
      </c>
      <c r="O1856" s="6">
        <v>9562.4619999999995</v>
      </c>
      <c r="P1856" s="6">
        <v>17045</v>
      </c>
      <c r="Q1856" s="4" t="s">
        <v>26</v>
      </c>
      <c r="R1856" s="4">
        <v>0</v>
      </c>
      <c r="S1856" s="4" t="s">
        <v>442</v>
      </c>
      <c r="T1856" s="4" t="s">
        <v>712</v>
      </c>
      <c r="U1856" s="4">
        <v>0</v>
      </c>
      <c r="V1856" s="4">
        <v>67</v>
      </c>
      <c r="W1856" s="4">
        <v>111</v>
      </c>
    </row>
    <row r="1857" spans="1:23" ht="11.25" customHeight="1" x14ac:dyDescent="0.25">
      <c r="A1857" s="4" t="s">
        <v>27</v>
      </c>
      <c r="B1857" s="4" t="s">
        <v>39</v>
      </c>
      <c r="C1857" s="4" t="s">
        <v>23</v>
      </c>
      <c r="D1857" s="4" t="s">
        <v>45</v>
      </c>
      <c r="E1857" s="4" t="s">
        <v>25</v>
      </c>
      <c r="F1857" s="4" t="s">
        <v>25</v>
      </c>
      <c r="G1857" s="4" t="s">
        <v>25</v>
      </c>
      <c r="H1857" s="4" t="s">
        <v>25</v>
      </c>
      <c r="I1857" s="5">
        <v>44621</v>
      </c>
      <c r="J1857" s="6">
        <v>0</v>
      </c>
      <c r="K1857" s="6">
        <v>0</v>
      </c>
      <c r="L1857" s="6">
        <v>-171.40899999999999</v>
      </c>
      <c r="M1857" s="6">
        <v>-171.40899999999999</v>
      </c>
      <c r="N1857" s="6">
        <v>-171.40899999999999</v>
      </c>
      <c r="O1857" s="6">
        <v>-171.40899999999999</v>
      </c>
      <c r="P1857" s="6">
        <v>-11</v>
      </c>
      <c r="Q1857" s="4" t="s">
        <v>26</v>
      </c>
      <c r="R1857" s="4">
        <v>0</v>
      </c>
      <c r="S1857" s="4" t="s">
        <v>442</v>
      </c>
      <c r="T1857" s="4" t="s">
        <v>712</v>
      </c>
      <c r="U1857" s="4">
        <v>0</v>
      </c>
      <c r="V1857" s="4">
        <v>67</v>
      </c>
      <c r="W1857" s="4">
        <v>111</v>
      </c>
    </row>
    <row r="1858" spans="1:23" ht="11.25" customHeight="1" x14ac:dyDescent="0.25">
      <c r="A1858" s="4" t="s">
        <v>28</v>
      </c>
      <c r="B1858" s="4" t="s">
        <v>39</v>
      </c>
      <c r="C1858" s="4" t="s">
        <v>23</v>
      </c>
      <c r="D1858" s="4" t="s">
        <v>45</v>
      </c>
      <c r="E1858" s="4" t="s">
        <v>25</v>
      </c>
      <c r="F1858" s="4" t="s">
        <v>25</v>
      </c>
      <c r="G1858" s="4" t="s">
        <v>25</v>
      </c>
      <c r="H1858" s="4" t="s">
        <v>25</v>
      </c>
      <c r="I1858" s="5">
        <v>44621</v>
      </c>
      <c r="J1858" s="6">
        <v>0</v>
      </c>
      <c r="K1858" s="6">
        <v>0</v>
      </c>
      <c r="L1858" s="6">
        <v>2278.6219999999998</v>
      </c>
      <c r="M1858" s="6">
        <v>2278.6219999999998</v>
      </c>
      <c r="N1858" s="6">
        <v>2278.6219999999998</v>
      </c>
      <c r="O1858" s="6">
        <v>2278.6219999999998</v>
      </c>
      <c r="P1858" s="6">
        <v>4934</v>
      </c>
      <c r="Q1858" s="4" t="s">
        <v>26</v>
      </c>
      <c r="R1858" s="4">
        <v>0</v>
      </c>
      <c r="S1858" s="4" t="s">
        <v>442</v>
      </c>
      <c r="T1858" s="4" t="s">
        <v>712</v>
      </c>
      <c r="U1858" s="4">
        <v>0</v>
      </c>
      <c r="V1858" s="4">
        <v>67</v>
      </c>
      <c r="W1858" s="4">
        <v>111</v>
      </c>
    </row>
    <row r="1859" spans="1:23" ht="11.25" customHeight="1" x14ac:dyDescent="0.25">
      <c r="A1859" s="4" t="s">
        <v>29</v>
      </c>
      <c r="B1859" s="4" t="s">
        <v>39</v>
      </c>
      <c r="C1859" s="4" t="s">
        <v>23</v>
      </c>
      <c r="D1859" s="4" t="s">
        <v>45</v>
      </c>
      <c r="E1859" s="4" t="s">
        <v>25</v>
      </c>
      <c r="F1859" s="4" t="s">
        <v>25</v>
      </c>
      <c r="G1859" s="4" t="s">
        <v>25</v>
      </c>
      <c r="H1859" s="4" t="s">
        <v>25</v>
      </c>
      <c r="I1859" s="5">
        <v>44621</v>
      </c>
      <c r="J1859" s="6">
        <v>0</v>
      </c>
      <c r="K1859" s="6">
        <v>0</v>
      </c>
      <c r="L1859" s="6">
        <v>1.097</v>
      </c>
      <c r="M1859" s="6">
        <v>1.097</v>
      </c>
      <c r="N1859" s="6">
        <v>1.097</v>
      </c>
      <c r="O1859" s="6">
        <v>1.097</v>
      </c>
      <c r="P1859" s="6">
        <v>0</v>
      </c>
      <c r="Q1859" s="4" t="s">
        <v>26</v>
      </c>
      <c r="R1859" s="4">
        <v>0</v>
      </c>
      <c r="S1859" s="4" t="s">
        <v>442</v>
      </c>
      <c r="T1859" s="4" t="s">
        <v>712</v>
      </c>
      <c r="U1859" s="4">
        <v>0</v>
      </c>
      <c r="V1859" s="4">
        <v>67</v>
      </c>
      <c r="W1859" s="4">
        <v>111</v>
      </c>
    </row>
    <row r="1860" spans="1:23" ht="11.25" customHeight="1" x14ac:dyDescent="0.25">
      <c r="A1860" s="4" t="s">
        <v>30</v>
      </c>
      <c r="B1860" s="4" t="s">
        <v>39</v>
      </c>
      <c r="C1860" s="4" t="s">
        <v>23</v>
      </c>
      <c r="D1860" s="4" t="s">
        <v>45</v>
      </c>
      <c r="E1860" s="4" t="s">
        <v>25</v>
      </c>
      <c r="F1860" s="4" t="s">
        <v>25</v>
      </c>
      <c r="G1860" s="4" t="s">
        <v>25</v>
      </c>
      <c r="H1860" s="4" t="s">
        <v>25</v>
      </c>
      <c r="I1860" s="5">
        <v>44621</v>
      </c>
      <c r="J1860" s="6">
        <v>0</v>
      </c>
      <c r="K1860" s="6">
        <v>0</v>
      </c>
      <c r="L1860" s="6">
        <v>407.46</v>
      </c>
      <c r="M1860" s="6">
        <v>407.46</v>
      </c>
      <c r="N1860" s="6">
        <v>407.46</v>
      </c>
      <c r="O1860" s="6">
        <v>407.46</v>
      </c>
      <c r="P1860" s="6">
        <v>518</v>
      </c>
      <c r="Q1860" s="4" t="s">
        <v>26</v>
      </c>
      <c r="R1860" s="4">
        <v>0</v>
      </c>
      <c r="S1860" s="4" t="s">
        <v>442</v>
      </c>
      <c r="T1860" s="4" t="s">
        <v>712</v>
      </c>
      <c r="U1860" s="4">
        <v>0</v>
      </c>
      <c r="V1860" s="4">
        <v>67</v>
      </c>
      <c r="W1860" s="4">
        <v>111</v>
      </c>
    </row>
    <row r="1861" spans="1:23" ht="11.25" customHeight="1" x14ac:dyDescent="0.25">
      <c r="A1861" s="4" t="s">
        <v>30</v>
      </c>
      <c r="B1861" s="4" t="s">
        <v>39</v>
      </c>
      <c r="C1861" s="4" t="s">
        <v>23</v>
      </c>
      <c r="D1861" s="4" t="s">
        <v>45</v>
      </c>
      <c r="E1861" s="4" t="s">
        <v>25</v>
      </c>
      <c r="F1861" s="4" t="s">
        <v>25</v>
      </c>
      <c r="G1861" s="4" t="s">
        <v>25</v>
      </c>
      <c r="H1861" s="4" t="s">
        <v>25</v>
      </c>
      <c r="I1861" s="5">
        <v>44621</v>
      </c>
      <c r="J1861" s="6">
        <v>0</v>
      </c>
      <c r="K1861" s="6">
        <v>0</v>
      </c>
      <c r="L1861" s="6">
        <v>2.3330000000000002</v>
      </c>
      <c r="M1861" s="6">
        <v>2.3330000000000002</v>
      </c>
      <c r="N1861" s="6">
        <v>2.3330000000000002</v>
      </c>
      <c r="O1861" s="6">
        <v>2.3330000000000002</v>
      </c>
      <c r="P1861" s="6">
        <v>1</v>
      </c>
      <c r="Q1861" s="4" t="s">
        <v>26</v>
      </c>
      <c r="R1861" s="4">
        <v>0</v>
      </c>
      <c r="S1861" s="4" t="s">
        <v>442</v>
      </c>
      <c r="T1861" s="4" t="s">
        <v>712</v>
      </c>
      <c r="U1861" s="4">
        <v>0</v>
      </c>
      <c r="V1861" s="4">
        <v>67</v>
      </c>
      <c r="W1861" s="4">
        <v>111</v>
      </c>
    </row>
    <row r="1862" spans="1:23" ht="11.25" customHeight="1" x14ac:dyDescent="0.25">
      <c r="A1862" s="4" t="s">
        <v>21</v>
      </c>
      <c r="B1862" s="4" t="s">
        <v>39</v>
      </c>
      <c r="C1862" s="4" t="s">
        <v>23</v>
      </c>
      <c r="D1862" s="4" t="s">
        <v>45</v>
      </c>
      <c r="E1862" s="4" t="s">
        <v>25</v>
      </c>
      <c r="F1862" s="4" t="s">
        <v>25</v>
      </c>
      <c r="G1862" s="4" t="s">
        <v>25</v>
      </c>
      <c r="H1862" s="4" t="s">
        <v>25</v>
      </c>
      <c r="I1862" s="5">
        <v>44652</v>
      </c>
      <c r="J1862" s="6">
        <v>0</v>
      </c>
      <c r="K1862" s="6">
        <v>0</v>
      </c>
      <c r="L1862" s="6">
        <v>9765.7469999999994</v>
      </c>
      <c r="M1862" s="6">
        <v>9765.7469999999994</v>
      </c>
      <c r="N1862" s="6">
        <v>9765.7469999999994</v>
      </c>
      <c r="O1862" s="6">
        <v>9765.7469999999994</v>
      </c>
      <c r="P1862" s="6">
        <v>17068</v>
      </c>
      <c r="Q1862" s="4" t="s">
        <v>26</v>
      </c>
      <c r="R1862" s="4">
        <v>0</v>
      </c>
      <c r="S1862" s="4" t="s">
        <v>443</v>
      </c>
      <c r="T1862" s="4" t="s">
        <v>713</v>
      </c>
      <c r="U1862" s="4">
        <v>0</v>
      </c>
      <c r="V1862" s="4">
        <v>67</v>
      </c>
      <c r="W1862" s="4">
        <v>111</v>
      </c>
    </row>
    <row r="1863" spans="1:23" ht="11.25" customHeight="1" x14ac:dyDescent="0.25">
      <c r="A1863" s="4" t="s">
        <v>27</v>
      </c>
      <c r="B1863" s="4" t="s">
        <v>39</v>
      </c>
      <c r="C1863" s="4" t="s">
        <v>23</v>
      </c>
      <c r="D1863" s="4" t="s">
        <v>45</v>
      </c>
      <c r="E1863" s="4" t="s">
        <v>25</v>
      </c>
      <c r="F1863" s="4" t="s">
        <v>25</v>
      </c>
      <c r="G1863" s="4" t="s">
        <v>25</v>
      </c>
      <c r="H1863" s="4" t="s">
        <v>25</v>
      </c>
      <c r="I1863" s="5">
        <v>44652</v>
      </c>
      <c r="J1863" s="6">
        <v>0</v>
      </c>
      <c r="K1863" s="6">
        <v>0</v>
      </c>
      <c r="L1863" s="6">
        <v>-49.198999999999998</v>
      </c>
      <c r="M1863" s="6">
        <v>-49.198999999999998</v>
      </c>
      <c r="N1863" s="6">
        <v>-49.198999999999998</v>
      </c>
      <c r="O1863" s="6">
        <v>-49.198999999999998</v>
      </c>
      <c r="P1863" s="6">
        <v>-5</v>
      </c>
      <c r="Q1863" s="4" t="s">
        <v>26</v>
      </c>
      <c r="R1863" s="4">
        <v>0</v>
      </c>
      <c r="S1863" s="4" t="s">
        <v>443</v>
      </c>
      <c r="T1863" s="4" t="s">
        <v>713</v>
      </c>
      <c r="U1863" s="4">
        <v>0</v>
      </c>
      <c r="V1863" s="4">
        <v>67</v>
      </c>
      <c r="W1863" s="4">
        <v>111</v>
      </c>
    </row>
    <row r="1864" spans="1:23" ht="11.25" customHeight="1" x14ac:dyDescent="0.25">
      <c r="A1864" s="4" t="s">
        <v>28</v>
      </c>
      <c r="B1864" s="4" t="s">
        <v>39</v>
      </c>
      <c r="C1864" s="4" t="s">
        <v>23</v>
      </c>
      <c r="D1864" s="4" t="s">
        <v>45</v>
      </c>
      <c r="E1864" s="4" t="s">
        <v>25</v>
      </c>
      <c r="F1864" s="4" t="s">
        <v>25</v>
      </c>
      <c r="G1864" s="4" t="s">
        <v>25</v>
      </c>
      <c r="H1864" s="4" t="s">
        <v>25</v>
      </c>
      <c r="I1864" s="5">
        <v>44652</v>
      </c>
      <c r="J1864" s="6">
        <v>0</v>
      </c>
      <c r="K1864" s="6">
        <v>0</v>
      </c>
      <c r="L1864" s="6">
        <v>2344.4650000000001</v>
      </c>
      <c r="M1864" s="6">
        <v>2344.4650000000001</v>
      </c>
      <c r="N1864" s="6">
        <v>2344.4650000000001</v>
      </c>
      <c r="O1864" s="6">
        <v>2344.4650000000001</v>
      </c>
      <c r="P1864" s="6">
        <v>4941</v>
      </c>
      <c r="Q1864" s="4" t="s">
        <v>26</v>
      </c>
      <c r="R1864" s="4">
        <v>0</v>
      </c>
      <c r="S1864" s="4" t="s">
        <v>443</v>
      </c>
      <c r="T1864" s="4" t="s">
        <v>713</v>
      </c>
      <c r="U1864" s="4">
        <v>0</v>
      </c>
      <c r="V1864" s="4">
        <v>67</v>
      </c>
      <c r="W1864" s="4">
        <v>111</v>
      </c>
    </row>
    <row r="1865" spans="1:23" ht="11.25" customHeight="1" x14ac:dyDescent="0.25">
      <c r="A1865" s="4" t="s">
        <v>29</v>
      </c>
      <c r="B1865" s="4" t="s">
        <v>39</v>
      </c>
      <c r="C1865" s="4" t="s">
        <v>23</v>
      </c>
      <c r="D1865" s="4" t="s">
        <v>45</v>
      </c>
      <c r="E1865" s="4" t="s">
        <v>25</v>
      </c>
      <c r="F1865" s="4" t="s">
        <v>25</v>
      </c>
      <c r="G1865" s="4" t="s">
        <v>25</v>
      </c>
      <c r="H1865" s="4" t="s">
        <v>25</v>
      </c>
      <c r="I1865" s="5">
        <v>44652</v>
      </c>
      <c r="J1865" s="6">
        <v>0</v>
      </c>
      <c r="K1865" s="6">
        <v>0</v>
      </c>
      <c r="L1865" s="6">
        <v>-2.5739999999999998</v>
      </c>
      <c r="M1865" s="6">
        <v>-2.5739999999999998</v>
      </c>
      <c r="N1865" s="6">
        <v>-2.5739999999999998</v>
      </c>
      <c r="O1865" s="6">
        <v>-2.5739999999999998</v>
      </c>
      <c r="P1865" s="6">
        <v>0</v>
      </c>
      <c r="Q1865" s="4" t="s">
        <v>26</v>
      </c>
      <c r="R1865" s="4">
        <v>0</v>
      </c>
      <c r="S1865" s="4" t="s">
        <v>443</v>
      </c>
      <c r="T1865" s="4" t="s">
        <v>713</v>
      </c>
      <c r="U1865" s="4">
        <v>0</v>
      </c>
      <c r="V1865" s="4">
        <v>67</v>
      </c>
      <c r="W1865" s="4">
        <v>111</v>
      </c>
    </row>
    <row r="1866" spans="1:23" ht="11.25" customHeight="1" x14ac:dyDescent="0.25">
      <c r="A1866" s="4" t="s">
        <v>30</v>
      </c>
      <c r="B1866" s="4" t="s">
        <v>39</v>
      </c>
      <c r="C1866" s="4" t="s">
        <v>23</v>
      </c>
      <c r="D1866" s="4" t="s">
        <v>45</v>
      </c>
      <c r="E1866" s="4" t="s">
        <v>25</v>
      </c>
      <c r="F1866" s="4" t="s">
        <v>25</v>
      </c>
      <c r="G1866" s="4" t="s">
        <v>25</v>
      </c>
      <c r="H1866" s="4" t="s">
        <v>25</v>
      </c>
      <c r="I1866" s="5">
        <v>44652</v>
      </c>
      <c r="J1866" s="6">
        <v>0</v>
      </c>
      <c r="K1866" s="6">
        <v>0</v>
      </c>
      <c r="L1866" s="6">
        <v>455.43200000000002</v>
      </c>
      <c r="M1866" s="6">
        <v>455.43200000000002</v>
      </c>
      <c r="N1866" s="6">
        <v>455.43200000000002</v>
      </c>
      <c r="O1866" s="6">
        <v>455.43200000000002</v>
      </c>
      <c r="P1866" s="6">
        <v>550</v>
      </c>
      <c r="Q1866" s="4" t="s">
        <v>26</v>
      </c>
      <c r="R1866" s="4">
        <v>0</v>
      </c>
      <c r="S1866" s="4" t="s">
        <v>443</v>
      </c>
      <c r="T1866" s="4" t="s">
        <v>713</v>
      </c>
      <c r="U1866" s="4">
        <v>0</v>
      </c>
      <c r="V1866" s="4">
        <v>67</v>
      </c>
      <c r="W1866" s="4">
        <v>111</v>
      </c>
    </row>
    <row r="1867" spans="1:23" ht="11.25" customHeight="1" x14ac:dyDescent="0.25">
      <c r="A1867" s="4" t="s">
        <v>30</v>
      </c>
      <c r="B1867" s="4" t="s">
        <v>39</v>
      </c>
      <c r="C1867" s="4" t="s">
        <v>23</v>
      </c>
      <c r="D1867" s="4" t="s">
        <v>45</v>
      </c>
      <c r="E1867" s="4" t="s">
        <v>25</v>
      </c>
      <c r="F1867" s="4" t="s">
        <v>25</v>
      </c>
      <c r="G1867" s="4" t="s">
        <v>25</v>
      </c>
      <c r="H1867" s="4" t="s">
        <v>25</v>
      </c>
      <c r="I1867" s="5">
        <v>44652</v>
      </c>
      <c r="J1867" s="6">
        <v>0</v>
      </c>
      <c r="K1867" s="6">
        <v>0</v>
      </c>
      <c r="L1867" s="6">
        <v>-7.0460000000000003</v>
      </c>
      <c r="M1867" s="6">
        <v>-7.0460000000000003</v>
      </c>
      <c r="N1867" s="6">
        <v>-7.0460000000000003</v>
      </c>
      <c r="O1867" s="6">
        <v>-7.0460000000000003</v>
      </c>
      <c r="P1867" s="6">
        <v>0</v>
      </c>
      <c r="Q1867" s="4" t="s">
        <v>26</v>
      </c>
      <c r="R1867" s="4">
        <v>0</v>
      </c>
      <c r="S1867" s="4" t="s">
        <v>443</v>
      </c>
      <c r="T1867" s="4" t="s">
        <v>713</v>
      </c>
      <c r="U1867" s="4">
        <v>0</v>
      </c>
      <c r="V1867" s="4">
        <v>67</v>
      </c>
      <c r="W1867" s="4">
        <v>111</v>
      </c>
    </row>
    <row r="1868" spans="1:23" ht="11.25" customHeight="1" x14ac:dyDescent="0.25">
      <c r="A1868" s="4" t="s">
        <v>21</v>
      </c>
      <c r="B1868" s="4" t="s">
        <v>39</v>
      </c>
      <c r="C1868" s="4" t="s">
        <v>23</v>
      </c>
      <c r="D1868" s="4" t="s">
        <v>45</v>
      </c>
      <c r="E1868" s="4" t="s">
        <v>25</v>
      </c>
      <c r="F1868" s="4" t="s">
        <v>25</v>
      </c>
      <c r="G1868" s="4" t="s">
        <v>25</v>
      </c>
      <c r="H1868" s="4" t="s">
        <v>25</v>
      </c>
      <c r="I1868" s="5">
        <v>44682</v>
      </c>
      <c r="J1868" s="6">
        <v>0</v>
      </c>
      <c r="K1868" s="6">
        <v>0</v>
      </c>
      <c r="L1868" s="6">
        <v>9820.3739999999998</v>
      </c>
      <c r="M1868" s="6">
        <v>9820.3739999999998</v>
      </c>
      <c r="N1868" s="6">
        <v>9820.3739999999998</v>
      </c>
      <c r="O1868" s="6">
        <v>9820.3739999999998</v>
      </c>
      <c r="P1868" s="6">
        <v>17078</v>
      </c>
      <c r="Q1868" s="4" t="s">
        <v>26</v>
      </c>
      <c r="R1868" s="4">
        <v>0</v>
      </c>
      <c r="S1868" s="4" t="s">
        <v>444</v>
      </c>
      <c r="T1868" s="4" t="s">
        <v>714</v>
      </c>
      <c r="U1868" s="4">
        <v>0</v>
      </c>
      <c r="V1868" s="4">
        <v>67</v>
      </c>
      <c r="W1868" s="4">
        <v>111</v>
      </c>
    </row>
    <row r="1869" spans="1:23" ht="11.25" customHeight="1" x14ac:dyDescent="0.25">
      <c r="A1869" s="4" t="s">
        <v>27</v>
      </c>
      <c r="B1869" s="4" t="s">
        <v>39</v>
      </c>
      <c r="C1869" s="4" t="s">
        <v>23</v>
      </c>
      <c r="D1869" s="4" t="s">
        <v>45</v>
      </c>
      <c r="E1869" s="4" t="s">
        <v>25</v>
      </c>
      <c r="F1869" s="4" t="s">
        <v>25</v>
      </c>
      <c r="G1869" s="4" t="s">
        <v>25</v>
      </c>
      <c r="H1869" s="4" t="s">
        <v>25</v>
      </c>
      <c r="I1869" s="5">
        <v>44682</v>
      </c>
      <c r="J1869" s="6">
        <v>0</v>
      </c>
      <c r="K1869" s="6">
        <v>0</v>
      </c>
      <c r="L1869" s="6">
        <v>-127.26900000000001</v>
      </c>
      <c r="M1869" s="6">
        <v>-127.26900000000001</v>
      </c>
      <c r="N1869" s="6">
        <v>-127.26900000000001</v>
      </c>
      <c r="O1869" s="6">
        <v>-127.26900000000001</v>
      </c>
      <c r="P1869" s="6">
        <v>-41</v>
      </c>
      <c r="Q1869" s="4" t="s">
        <v>26</v>
      </c>
      <c r="R1869" s="4">
        <v>0</v>
      </c>
      <c r="S1869" s="4" t="s">
        <v>444</v>
      </c>
      <c r="T1869" s="4" t="s">
        <v>714</v>
      </c>
      <c r="U1869" s="4">
        <v>0</v>
      </c>
      <c r="V1869" s="4">
        <v>67</v>
      </c>
      <c r="W1869" s="4">
        <v>111</v>
      </c>
    </row>
    <row r="1870" spans="1:23" ht="11.25" customHeight="1" x14ac:dyDescent="0.25">
      <c r="A1870" s="4" t="s">
        <v>28</v>
      </c>
      <c r="B1870" s="4" t="s">
        <v>39</v>
      </c>
      <c r="C1870" s="4" t="s">
        <v>23</v>
      </c>
      <c r="D1870" s="4" t="s">
        <v>45</v>
      </c>
      <c r="E1870" s="4" t="s">
        <v>25</v>
      </c>
      <c r="F1870" s="4" t="s">
        <v>25</v>
      </c>
      <c r="G1870" s="4" t="s">
        <v>25</v>
      </c>
      <c r="H1870" s="4" t="s">
        <v>25</v>
      </c>
      <c r="I1870" s="5">
        <v>44682</v>
      </c>
      <c r="J1870" s="6">
        <v>0</v>
      </c>
      <c r="K1870" s="6">
        <v>0</v>
      </c>
      <c r="L1870" s="6">
        <v>2360.4650000000001</v>
      </c>
      <c r="M1870" s="6">
        <v>2360.4650000000001</v>
      </c>
      <c r="N1870" s="6">
        <v>2360.4650000000001</v>
      </c>
      <c r="O1870" s="6">
        <v>2360.4650000000001</v>
      </c>
      <c r="P1870" s="6">
        <v>4977</v>
      </c>
      <c r="Q1870" s="4" t="s">
        <v>26</v>
      </c>
      <c r="R1870" s="4">
        <v>0</v>
      </c>
      <c r="S1870" s="4" t="s">
        <v>444</v>
      </c>
      <c r="T1870" s="4" t="s">
        <v>714</v>
      </c>
      <c r="U1870" s="4">
        <v>0</v>
      </c>
      <c r="V1870" s="4">
        <v>67</v>
      </c>
      <c r="W1870" s="4">
        <v>111</v>
      </c>
    </row>
    <row r="1871" spans="1:23" ht="11.25" customHeight="1" x14ac:dyDescent="0.25">
      <c r="A1871" s="4" t="s">
        <v>29</v>
      </c>
      <c r="B1871" s="4" t="s">
        <v>39</v>
      </c>
      <c r="C1871" s="4" t="s">
        <v>23</v>
      </c>
      <c r="D1871" s="4" t="s">
        <v>45</v>
      </c>
      <c r="E1871" s="4" t="s">
        <v>25</v>
      </c>
      <c r="F1871" s="4" t="s">
        <v>25</v>
      </c>
      <c r="G1871" s="4" t="s">
        <v>25</v>
      </c>
      <c r="H1871" s="4" t="s">
        <v>25</v>
      </c>
      <c r="I1871" s="5">
        <v>44682</v>
      </c>
      <c r="J1871" s="6">
        <v>0</v>
      </c>
      <c r="K1871" s="6">
        <v>0</v>
      </c>
      <c r="L1871" s="6">
        <v>-0.315</v>
      </c>
      <c r="M1871" s="6">
        <v>-0.315</v>
      </c>
      <c r="N1871" s="6">
        <v>-0.315</v>
      </c>
      <c r="O1871" s="6">
        <v>-0.315</v>
      </c>
      <c r="P1871" s="6">
        <v>0</v>
      </c>
      <c r="Q1871" s="4" t="s">
        <v>26</v>
      </c>
      <c r="R1871" s="4">
        <v>0</v>
      </c>
      <c r="S1871" s="4" t="s">
        <v>444</v>
      </c>
      <c r="T1871" s="4" t="s">
        <v>714</v>
      </c>
      <c r="U1871" s="4">
        <v>0</v>
      </c>
      <c r="V1871" s="4">
        <v>67</v>
      </c>
      <c r="W1871" s="4">
        <v>111</v>
      </c>
    </row>
    <row r="1872" spans="1:23" ht="11.25" customHeight="1" x14ac:dyDescent="0.25">
      <c r="A1872" s="4" t="s">
        <v>30</v>
      </c>
      <c r="B1872" s="4" t="s">
        <v>39</v>
      </c>
      <c r="C1872" s="4" t="s">
        <v>23</v>
      </c>
      <c r="D1872" s="4" t="s">
        <v>45</v>
      </c>
      <c r="E1872" s="4" t="s">
        <v>25</v>
      </c>
      <c r="F1872" s="4" t="s">
        <v>25</v>
      </c>
      <c r="G1872" s="4" t="s">
        <v>25</v>
      </c>
      <c r="H1872" s="4" t="s">
        <v>25</v>
      </c>
      <c r="I1872" s="5">
        <v>44682</v>
      </c>
      <c r="J1872" s="6">
        <v>0</v>
      </c>
      <c r="K1872" s="6">
        <v>0</v>
      </c>
      <c r="L1872" s="6">
        <v>440.52600000000001</v>
      </c>
      <c r="M1872" s="6">
        <v>440.52600000000001</v>
      </c>
      <c r="N1872" s="6">
        <v>440.52600000000001</v>
      </c>
      <c r="O1872" s="6">
        <v>440.52600000000001</v>
      </c>
      <c r="P1872" s="6">
        <v>590</v>
      </c>
      <c r="Q1872" s="4" t="s">
        <v>26</v>
      </c>
      <c r="R1872" s="4">
        <v>0</v>
      </c>
      <c r="S1872" s="4" t="s">
        <v>444</v>
      </c>
      <c r="T1872" s="4" t="s">
        <v>714</v>
      </c>
      <c r="U1872" s="4">
        <v>0</v>
      </c>
      <c r="V1872" s="4">
        <v>67</v>
      </c>
      <c r="W1872" s="4">
        <v>111</v>
      </c>
    </row>
    <row r="1873" spans="1:23" ht="11.25" customHeight="1" x14ac:dyDescent="0.25">
      <c r="A1873" s="4" t="s">
        <v>30</v>
      </c>
      <c r="B1873" s="4" t="s">
        <v>39</v>
      </c>
      <c r="C1873" s="4" t="s">
        <v>23</v>
      </c>
      <c r="D1873" s="4" t="s">
        <v>45</v>
      </c>
      <c r="E1873" s="4" t="s">
        <v>25</v>
      </c>
      <c r="F1873" s="4" t="s">
        <v>25</v>
      </c>
      <c r="G1873" s="4" t="s">
        <v>25</v>
      </c>
      <c r="H1873" s="4" t="s">
        <v>25</v>
      </c>
      <c r="I1873" s="5">
        <v>44682</v>
      </c>
      <c r="J1873" s="6">
        <v>0</v>
      </c>
      <c r="K1873" s="6">
        <v>0</v>
      </c>
      <c r="L1873" s="6">
        <v>-0.76300000000000001</v>
      </c>
      <c r="M1873" s="6">
        <v>-0.76300000000000001</v>
      </c>
      <c r="N1873" s="6">
        <v>-0.76300000000000001</v>
      </c>
      <c r="O1873" s="6">
        <v>-0.76300000000000001</v>
      </c>
      <c r="P1873" s="6">
        <v>0</v>
      </c>
      <c r="Q1873" s="4" t="s">
        <v>26</v>
      </c>
      <c r="R1873" s="4">
        <v>0</v>
      </c>
      <c r="S1873" s="4" t="s">
        <v>444</v>
      </c>
      <c r="T1873" s="4" t="s">
        <v>714</v>
      </c>
      <c r="U1873" s="4">
        <v>0</v>
      </c>
      <c r="V1873" s="4">
        <v>67</v>
      </c>
      <c r="W1873" s="4">
        <v>111</v>
      </c>
    </row>
    <row r="1874" spans="1:23" ht="11.25" customHeight="1" x14ac:dyDescent="0.25">
      <c r="A1874" s="4" t="s">
        <v>21</v>
      </c>
      <c r="B1874" s="4" t="s">
        <v>39</v>
      </c>
      <c r="C1874" s="4" t="s">
        <v>23</v>
      </c>
      <c r="D1874" s="4" t="s">
        <v>45</v>
      </c>
      <c r="E1874" s="4" t="s">
        <v>25</v>
      </c>
      <c r="F1874" s="4" t="s">
        <v>25</v>
      </c>
      <c r="G1874" s="4" t="s">
        <v>25</v>
      </c>
      <c r="H1874" s="4" t="s">
        <v>25</v>
      </c>
      <c r="I1874" s="5">
        <v>44713</v>
      </c>
      <c r="J1874" s="6">
        <v>0</v>
      </c>
      <c r="K1874" s="6">
        <v>0</v>
      </c>
      <c r="L1874" s="6">
        <v>9055.1980000000003</v>
      </c>
      <c r="M1874" s="6">
        <v>9055.1980000000003</v>
      </c>
      <c r="N1874" s="6">
        <v>9055.1980000000003</v>
      </c>
      <c r="O1874" s="6">
        <v>9055.1980000000003</v>
      </c>
      <c r="P1874" s="6">
        <v>17081</v>
      </c>
      <c r="Q1874" s="4" t="s">
        <v>26</v>
      </c>
      <c r="R1874" s="4">
        <v>0</v>
      </c>
      <c r="S1874" s="4" t="s">
        <v>445</v>
      </c>
      <c r="T1874" s="4" t="s">
        <v>715</v>
      </c>
      <c r="U1874" s="4">
        <v>0</v>
      </c>
      <c r="V1874" s="4">
        <v>67</v>
      </c>
      <c r="W1874" s="4">
        <v>111</v>
      </c>
    </row>
    <row r="1875" spans="1:23" ht="11.25" customHeight="1" x14ac:dyDescent="0.25">
      <c r="A1875" s="4" t="s">
        <v>27</v>
      </c>
      <c r="B1875" s="4" t="s">
        <v>39</v>
      </c>
      <c r="C1875" s="4" t="s">
        <v>23</v>
      </c>
      <c r="D1875" s="4" t="s">
        <v>45</v>
      </c>
      <c r="E1875" s="4" t="s">
        <v>25</v>
      </c>
      <c r="F1875" s="4" t="s">
        <v>25</v>
      </c>
      <c r="G1875" s="4" t="s">
        <v>25</v>
      </c>
      <c r="H1875" s="4" t="s">
        <v>25</v>
      </c>
      <c r="I1875" s="5">
        <v>44713</v>
      </c>
      <c r="J1875" s="6">
        <v>0</v>
      </c>
      <c r="K1875" s="6">
        <v>0</v>
      </c>
      <c r="L1875" s="6">
        <v>-12.457000000000001</v>
      </c>
      <c r="M1875" s="6">
        <v>-12.457000000000001</v>
      </c>
      <c r="N1875" s="6">
        <v>-12.457000000000001</v>
      </c>
      <c r="O1875" s="6">
        <v>-12.457000000000001</v>
      </c>
      <c r="P1875" s="6">
        <v>-14</v>
      </c>
      <c r="Q1875" s="4" t="s">
        <v>26</v>
      </c>
      <c r="R1875" s="4">
        <v>0</v>
      </c>
      <c r="S1875" s="4" t="s">
        <v>445</v>
      </c>
      <c r="T1875" s="4" t="s">
        <v>715</v>
      </c>
      <c r="U1875" s="4">
        <v>0</v>
      </c>
      <c r="V1875" s="4">
        <v>67</v>
      </c>
      <c r="W1875" s="4">
        <v>111</v>
      </c>
    </row>
    <row r="1876" spans="1:23" ht="11.25" customHeight="1" x14ac:dyDescent="0.25">
      <c r="A1876" s="4" t="s">
        <v>28</v>
      </c>
      <c r="B1876" s="4" t="s">
        <v>39</v>
      </c>
      <c r="C1876" s="4" t="s">
        <v>23</v>
      </c>
      <c r="D1876" s="4" t="s">
        <v>45</v>
      </c>
      <c r="E1876" s="4" t="s">
        <v>25</v>
      </c>
      <c r="F1876" s="4" t="s">
        <v>25</v>
      </c>
      <c r="G1876" s="4" t="s">
        <v>25</v>
      </c>
      <c r="H1876" s="4" t="s">
        <v>25</v>
      </c>
      <c r="I1876" s="5">
        <v>44713</v>
      </c>
      <c r="J1876" s="6">
        <v>0</v>
      </c>
      <c r="K1876" s="6">
        <v>0</v>
      </c>
      <c r="L1876" s="6">
        <v>2249.4110000000001</v>
      </c>
      <c r="M1876" s="6">
        <v>2249.4110000000001</v>
      </c>
      <c r="N1876" s="6">
        <v>2249.4110000000001</v>
      </c>
      <c r="O1876" s="6">
        <v>2249.4110000000001</v>
      </c>
      <c r="P1876" s="6">
        <v>4993</v>
      </c>
      <c r="Q1876" s="4" t="s">
        <v>26</v>
      </c>
      <c r="R1876" s="4">
        <v>0</v>
      </c>
      <c r="S1876" s="4" t="s">
        <v>445</v>
      </c>
      <c r="T1876" s="4" t="s">
        <v>715</v>
      </c>
      <c r="U1876" s="4">
        <v>0</v>
      </c>
      <c r="V1876" s="4">
        <v>67</v>
      </c>
      <c r="W1876" s="4">
        <v>111</v>
      </c>
    </row>
    <row r="1877" spans="1:23" ht="11.25" customHeight="1" x14ac:dyDescent="0.25">
      <c r="A1877" s="4" t="s">
        <v>29</v>
      </c>
      <c r="B1877" s="4" t="s">
        <v>39</v>
      </c>
      <c r="C1877" s="4" t="s">
        <v>23</v>
      </c>
      <c r="D1877" s="4" t="s">
        <v>45</v>
      </c>
      <c r="E1877" s="4" t="s">
        <v>25</v>
      </c>
      <c r="F1877" s="4" t="s">
        <v>25</v>
      </c>
      <c r="G1877" s="4" t="s">
        <v>25</v>
      </c>
      <c r="H1877" s="4" t="s">
        <v>25</v>
      </c>
      <c r="I1877" s="5">
        <v>44713</v>
      </c>
      <c r="J1877" s="6">
        <v>0</v>
      </c>
      <c r="K1877" s="6">
        <v>0</v>
      </c>
      <c r="L1877" s="6">
        <v>-5.3479999999999999</v>
      </c>
      <c r="M1877" s="6">
        <v>-5.3479999999999999</v>
      </c>
      <c r="N1877" s="6">
        <v>-5.3479999999999999</v>
      </c>
      <c r="O1877" s="6">
        <v>-5.3479999999999999</v>
      </c>
      <c r="P1877" s="6">
        <v>-2</v>
      </c>
      <c r="Q1877" s="4" t="s">
        <v>26</v>
      </c>
      <c r="R1877" s="4">
        <v>0</v>
      </c>
      <c r="S1877" s="4" t="s">
        <v>445</v>
      </c>
      <c r="T1877" s="4" t="s">
        <v>715</v>
      </c>
      <c r="U1877" s="4">
        <v>0</v>
      </c>
      <c r="V1877" s="4">
        <v>67</v>
      </c>
      <c r="W1877" s="4">
        <v>111</v>
      </c>
    </row>
    <row r="1878" spans="1:23" ht="11.25" customHeight="1" x14ac:dyDescent="0.25">
      <c r="A1878" s="4" t="s">
        <v>30</v>
      </c>
      <c r="B1878" s="4" t="s">
        <v>39</v>
      </c>
      <c r="C1878" s="4" t="s">
        <v>23</v>
      </c>
      <c r="D1878" s="4" t="s">
        <v>45</v>
      </c>
      <c r="E1878" s="4" t="s">
        <v>25</v>
      </c>
      <c r="F1878" s="4" t="s">
        <v>25</v>
      </c>
      <c r="G1878" s="4" t="s">
        <v>25</v>
      </c>
      <c r="H1878" s="4" t="s">
        <v>25</v>
      </c>
      <c r="I1878" s="5">
        <v>44713</v>
      </c>
      <c r="J1878" s="6">
        <v>0</v>
      </c>
      <c r="K1878" s="6">
        <v>0</v>
      </c>
      <c r="L1878" s="6">
        <v>484.36599999999999</v>
      </c>
      <c r="M1878" s="6">
        <v>484.36599999999999</v>
      </c>
      <c r="N1878" s="6">
        <v>484.36599999999999</v>
      </c>
      <c r="O1878" s="6">
        <v>484.36599999999999</v>
      </c>
      <c r="P1878" s="6">
        <v>620</v>
      </c>
      <c r="Q1878" s="4" t="s">
        <v>26</v>
      </c>
      <c r="R1878" s="4">
        <v>0</v>
      </c>
      <c r="S1878" s="4" t="s">
        <v>445</v>
      </c>
      <c r="T1878" s="4" t="s">
        <v>715</v>
      </c>
      <c r="U1878" s="4">
        <v>0</v>
      </c>
      <c r="V1878" s="4">
        <v>67</v>
      </c>
      <c r="W1878" s="4">
        <v>111</v>
      </c>
    </row>
    <row r="1879" spans="1:23" ht="11.25" customHeight="1" x14ac:dyDescent="0.25">
      <c r="A1879" s="4" t="s">
        <v>30</v>
      </c>
      <c r="B1879" s="4" t="s">
        <v>39</v>
      </c>
      <c r="C1879" s="4" t="s">
        <v>23</v>
      </c>
      <c r="D1879" s="4" t="s">
        <v>45</v>
      </c>
      <c r="E1879" s="4" t="s">
        <v>25</v>
      </c>
      <c r="F1879" s="4" t="s">
        <v>25</v>
      </c>
      <c r="G1879" s="4" t="s">
        <v>25</v>
      </c>
      <c r="H1879" s="4" t="s">
        <v>25</v>
      </c>
      <c r="I1879" s="5">
        <v>44713</v>
      </c>
      <c r="J1879" s="6">
        <v>0</v>
      </c>
      <c r="K1879" s="6">
        <v>0</v>
      </c>
      <c r="L1879" s="6">
        <v>-8.0969999999999995</v>
      </c>
      <c r="M1879" s="6">
        <v>-8.0969999999999995</v>
      </c>
      <c r="N1879" s="6">
        <v>-8.0969999999999995</v>
      </c>
      <c r="O1879" s="6">
        <v>-8.0969999999999995</v>
      </c>
      <c r="P1879" s="6">
        <v>-1</v>
      </c>
      <c r="Q1879" s="4" t="s">
        <v>26</v>
      </c>
      <c r="R1879" s="4">
        <v>0</v>
      </c>
      <c r="S1879" s="4" t="s">
        <v>445</v>
      </c>
      <c r="T1879" s="4" t="s">
        <v>715</v>
      </c>
      <c r="U1879" s="4">
        <v>0</v>
      </c>
      <c r="V1879" s="4">
        <v>67</v>
      </c>
      <c r="W1879" s="4">
        <v>111</v>
      </c>
    </row>
    <row r="1880" spans="1:23" ht="11.25" customHeight="1" x14ac:dyDescent="0.25">
      <c r="A1880" s="4" t="s">
        <v>21</v>
      </c>
      <c r="B1880" s="4" t="s">
        <v>39</v>
      </c>
      <c r="C1880" s="4" t="s">
        <v>23</v>
      </c>
      <c r="D1880" s="4" t="s">
        <v>45</v>
      </c>
      <c r="E1880" s="4" t="s">
        <v>25</v>
      </c>
      <c r="F1880" s="4" t="s">
        <v>25</v>
      </c>
      <c r="G1880" s="4" t="s">
        <v>25</v>
      </c>
      <c r="H1880" s="4" t="s">
        <v>25</v>
      </c>
      <c r="I1880" s="5">
        <v>44743</v>
      </c>
      <c r="J1880" s="6">
        <v>0</v>
      </c>
      <c r="K1880" s="6">
        <v>0</v>
      </c>
      <c r="L1880" s="6">
        <v>10252.762000000001</v>
      </c>
      <c r="M1880" s="6">
        <v>10252.762000000001</v>
      </c>
      <c r="N1880" s="6">
        <v>10252.762000000001</v>
      </c>
      <c r="O1880" s="6">
        <v>10252.762000000001</v>
      </c>
      <c r="P1880" s="6">
        <v>17076</v>
      </c>
      <c r="Q1880" s="4" t="s">
        <v>26</v>
      </c>
      <c r="R1880" s="4">
        <v>0</v>
      </c>
      <c r="S1880" s="4" t="s">
        <v>446</v>
      </c>
      <c r="T1880" s="4" t="s">
        <v>716</v>
      </c>
      <c r="U1880" s="4">
        <v>0</v>
      </c>
      <c r="V1880" s="4">
        <v>67</v>
      </c>
      <c r="W1880" s="4">
        <v>111</v>
      </c>
    </row>
    <row r="1881" spans="1:23" ht="11.25" customHeight="1" x14ac:dyDescent="0.25">
      <c r="A1881" s="4" t="s">
        <v>27</v>
      </c>
      <c r="B1881" s="4" t="s">
        <v>39</v>
      </c>
      <c r="C1881" s="4" t="s">
        <v>23</v>
      </c>
      <c r="D1881" s="4" t="s">
        <v>45</v>
      </c>
      <c r="E1881" s="4" t="s">
        <v>25</v>
      </c>
      <c r="F1881" s="4" t="s">
        <v>25</v>
      </c>
      <c r="G1881" s="4" t="s">
        <v>25</v>
      </c>
      <c r="H1881" s="4" t="s">
        <v>25</v>
      </c>
      <c r="I1881" s="5">
        <v>44743</v>
      </c>
      <c r="J1881" s="6">
        <v>0</v>
      </c>
      <c r="K1881" s="6">
        <v>0</v>
      </c>
      <c r="L1881" s="6">
        <v>-74.813999999999993</v>
      </c>
      <c r="M1881" s="6">
        <v>-74.813999999999993</v>
      </c>
      <c r="N1881" s="6">
        <v>-74.813999999999993</v>
      </c>
      <c r="O1881" s="6">
        <v>-74.813999999999993</v>
      </c>
      <c r="P1881" s="6">
        <v>-4</v>
      </c>
      <c r="Q1881" s="4" t="s">
        <v>26</v>
      </c>
      <c r="R1881" s="4">
        <v>0</v>
      </c>
      <c r="S1881" s="4" t="s">
        <v>446</v>
      </c>
      <c r="T1881" s="4" t="s">
        <v>716</v>
      </c>
      <c r="U1881" s="4">
        <v>0</v>
      </c>
      <c r="V1881" s="4">
        <v>67</v>
      </c>
      <c r="W1881" s="4">
        <v>111</v>
      </c>
    </row>
    <row r="1882" spans="1:23" ht="11.25" customHeight="1" x14ac:dyDescent="0.25">
      <c r="A1882" s="4" t="s">
        <v>28</v>
      </c>
      <c r="B1882" s="4" t="s">
        <v>39</v>
      </c>
      <c r="C1882" s="4" t="s">
        <v>23</v>
      </c>
      <c r="D1882" s="4" t="s">
        <v>45</v>
      </c>
      <c r="E1882" s="4" t="s">
        <v>25</v>
      </c>
      <c r="F1882" s="4" t="s">
        <v>25</v>
      </c>
      <c r="G1882" s="4" t="s">
        <v>25</v>
      </c>
      <c r="H1882" s="4" t="s">
        <v>25</v>
      </c>
      <c r="I1882" s="5">
        <v>44743</v>
      </c>
      <c r="J1882" s="6">
        <v>0</v>
      </c>
      <c r="K1882" s="6">
        <v>0</v>
      </c>
      <c r="L1882" s="6">
        <v>2473.7350000000001</v>
      </c>
      <c r="M1882" s="6">
        <v>2473.7350000000001</v>
      </c>
      <c r="N1882" s="6">
        <v>2473.7350000000001</v>
      </c>
      <c r="O1882" s="6">
        <v>2473.7350000000001</v>
      </c>
      <c r="P1882" s="6">
        <v>5002</v>
      </c>
      <c r="Q1882" s="4" t="s">
        <v>26</v>
      </c>
      <c r="R1882" s="4">
        <v>0</v>
      </c>
      <c r="S1882" s="4" t="s">
        <v>446</v>
      </c>
      <c r="T1882" s="4" t="s">
        <v>716</v>
      </c>
      <c r="U1882" s="4">
        <v>0</v>
      </c>
      <c r="V1882" s="4">
        <v>67</v>
      </c>
      <c r="W1882" s="4">
        <v>111</v>
      </c>
    </row>
    <row r="1883" spans="1:23" ht="11.25" customHeight="1" x14ac:dyDescent="0.25">
      <c r="A1883" s="4" t="s">
        <v>29</v>
      </c>
      <c r="B1883" s="4" t="s">
        <v>39</v>
      </c>
      <c r="C1883" s="4" t="s">
        <v>23</v>
      </c>
      <c r="D1883" s="4" t="s">
        <v>45</v>
      </c>
      <c r="E1883" s="4" t="s">
        <v>25</v>
      </c>
      <c r="F1883" s="4" t="s">
        <v>25</v>
      </c>
      <c r="G1883" s="4" t="s">
        <v>25</v>
      </c>
      <c r="H1883" s="4" t="s">
        <v>25</v>
      </c>
      <c r="I1883" s="5">
        <v>44743</v>
      </c>
      <c r="J1883" s="6">
        <v>0</v>
      </c>
      <c r="K1883" s="6">
        <v>0</v>
      </c>
      <c r="L1883" s="6">
        <v>-1.02</v>
      </c>
      <c r="M1883" s="6">
        <v>-1.02</v>
      </c>
      <c r="N1883" s="6">
        <v>-1.02</v>
      </c>
      <c r="O1883" s="6">
        <v>-1.02</v>
      </c>
      <c r="P1883" s="6">
        <v>0</v>
      </c>
      <c r="Q1883" s="4" t="s">
        <v>26</v>
      </c>
      <c r="R1883" s="4">
        <v>0</v>
      </c>
      <c r="S1883" s="4" t="s">
        <v>446</v>
      </c>
      <c r="T1883" s="4" t="s">
        <v>716</v>
      </c>
      <c r="U1883" s="4">
        <v>0</v>
      </c>
      <c r="V1883" s="4">
        <v>67</v>
      </c>
      <c r="W1883" s="4">
        <v>111</v>
      </c>
    </row>
    <row r="1884" spans="1:23" ht="11.25" customHeight="1" x14ac:dyDescent="0.25">
      <c r="A1884" s="4" t="s">
        <v>30</v>
      </c>
      <c r="B1884" s="4" t="s">
        <v>39</v>
      </c>
      <c r="C1884" s="4" t="s">
        <v>23</v>
      </c>
      <c r="D1884" s="4" t="s">
        <v>45</v>
      </c>
      <c r="E1884" s="4" t="s">
        <v>25</v>
      </c>
      <c r="F1884" s="4" t="s">
        <v>25</v>
      </c>
      <c r="G1884" s="4" t="s">
        <v>25</v>
      </c>
      <c r="H1884" s="4" t="s">
        <v>25</v>
      </c>
      <c r="I1884" s="5">
        <v>44743</v>
      </c>
      <c r="J1884" s="6">
        <v>0</v>
      </c>
      <c r="K1884" s="6">
        <v>0</v>
      </c>
      <c r="L1884" s="6">
        <v>544.82899999999995</v>
      </c>
      <c r="M1884" s="6">
        <v>544.82899999999995</v>
      </c>
      <c r="N1884" s="6">
        <v>544.82899999999995</v>
      </c>
      <c r="O1884" s="6">
        <v>544.82899999999995</v>
      </c>
      <c r="P1884" s="6">
        <v>649</v>
      </c>
      <c r="Q1884" s="4" t="s">
        <v>26</v>
      </c>
      <c r="R1884" s="4">
        <v>0</v>
      </c>
      <c r="S1884" s="4" t="s">
        <v>446</v>
      </c>
      <c r="T1884" s="4" t="s">
        <v>716</v>
      </c>
      <c r="U1884" s="4">
        <v>0</v>
      </c>
      <c r="V1884" s="4">
        <v>67</v>
      </c>
      <c r="W1884" s="4">
        <v>111</v>
      </c>
    </row>
    <row r="1885" spans="1:23" ht="11.25" customHeight="1" x14ac:dyDescent="0.25">
      <c r="A1885" s="4" t="s">
        <v>21</v>
      </c>
      <c r="B1885" s="4" t="s">
        <v>39</v>
      </c>
      <c r="C1885" s="4" t="s">
        <v>23</v>
      </c>
      <c r="D1885" s="4" t="s">
        <v>45</v>
      </c>
      <c r="E1885" s="4" t="s">
        <v>25</v>
      </c>
      <c r="F1885" s="4" t="s">
        <v>25</v>
      </c>
      <c r="G1885" s="4" t="s">
        <v>25</v>
      </c>
      <c r="H1885" s="4" t="s">
        <v>25</v>
      </c>
      <c r="I1885" s="5">
        <v>44774</v>
      </c>
      <c r="J1885" s="6">
        <v>0</v>
      </c>
      <c r="K1885" s="6">
        <v>0</v>
      </c>
      <c r="L1885" s="6">
        <v>10532.821</v>
      </c>
      <c r="M1885" s="6">
        <v>10532.821</v>
      </c>
      <c r="N1885" s="6">
        <v>10532.821</v>
      </c>
      <c r="O1885" s="6">
        <v>10532.821</v>
      </c>
      <c r="P1885" s="6">
        <v>17061</v>
      </c>
      <c r="Q1885" s="4" t="s">
        <v>26</v>
      </c>
      <c r="R1885" s="4">
        <v>0</v>
      </c>
      <c r="S1885" s="4" t="s">
        <v>447</v>
      </c>
      <c r="T1885" s="4" t="s">
        <v>717</v>
      </c>
      <c r="U1885" s="4">
        <v>0</v>
      </c>
      <c r="V1885" s="4">
        <v>67</v>
      </c>
      <c r="W1885" s="4">
        <v>111</v>
      </c>
    </row>
    <row r="1886" spans="1:23" ht="11.25" customHeight="1" x14ac:dyDescent="0.25">
      <c r="A1886" s="4" t="s">
        <v>27</v>
      </c>
      <c r="B1886" s="4" t="s">
        <v>39</v>
      </c>
      <c r="C1886" s="4" t="s">
        <v>23</v>
      </c>
      <c r="D1886" s="4" t="s">
        <v>45</v>
      </c>
      <c r="E1886" s="4" t="s">
        <v>25</v>
      </c>
      <c r="F1886" s="4" t="s">
        <v>25</v>
      </c>
      <c r="G1886" s="4" t="s">
        <v>25</v>
      </c>
      <c r="H1886" s="4" t="s">
        <v>25</v>
      </c>
      <c r="I1886" s="5">
        <v>44774</v>
      </c>
      <c r="J1886" s="6">
        <v>0</v>
      </c>
      <c r="K1886" s="6">
        <v>0</v>
      </c>
      <c r="L1886" s="6">
        <v>-201.72</v>
      </c>
      <c r="M1886" s="6">
        <v>-201.72</v>
      </c>
      <c r="N1886" s="6">
        <v>-201.72</v>
      </c>
      <c r="O1886" s="6">
        <v>-201.72</v>
      </c>
      <c r="P1886" s="6">
        <v>-14</v>
      </c>
      <c r="Q1886" s="4" t="s">
        <v>26</v>
      </c>
      <c r="R1886" s="4">
        <v>0</v>
      </c>
      <c r="S1886" s="4" t="s">
        <v>447</v>
      </c>
      <c r="T1886" s="4" t="s">
        <v>717</v>
      </c>
      <c r="U1886" s="4">
        <v>0</v>
      </c>
      <c r="V1886" s="4">
        <v>67</v>
      </c>
      <c r="W1886" s="4">
        <v>111</v>
      </c>
    </row>
    <row r="1887" spans="1:23" ht="11.25" customHeight="1" x14ac:dyDescent="0.25">
      <c r="A1887" s="4" t="s">
        <v>28</v>
      </c>
      <c r="B1887" s="4" t="s">
        <v>39</v>
      </c>
      <c r="C1887" s="4" t="s">
        <v>23</v>
      </c>
      <c r="D1887" s="4" t="s">
        <v>45</v>
      </c>
      <c r="E1887" s="4" t="s">
        <v>25</v>
      </c>
      <c r="F1887" s="4" t="s">
        <v>25</v>
      </c>
      <c r="G1887" s="4" t="s">
        <v>25</v>
      </c>
      <c r="H1887" s="4" t="s">
        <v>25</v>
      </c>
      <c r="I1887" s="5">
        <v>44774</v>
      </c>
      <c r="J1887" s="6">
        <v>0</v>
      </c>
      <c r="K1887" s="6">
        <v>0</v>
      </c>
      <c r="L1887" s="6">
        <v>2478.7950000000001</v>
      </c>
      <c r="M1887" s="6">
        <v>2478.7950000000001</v>
      </c>
      <c r="N1887" s="6">
        <v>2478.7950000000001</v>
      </c>
      <c r="O1887" s="6">
        <v>2478.7950000000001</v>
      </c>
      <c r="P1887" s="6">
        <v>5004</v>
      </c>
      <c r="Q1887" s="4" t="s">
        <v>26</v>
      </c>
      <c r="R1887" s="4">
        <v>0</v>
      </c>
      <c r="S1887" s="4" t="s">
        <v>447</v>
      </c>
      <c r="T1887" s="4" t="s">
        <v>717</v>
      </c>
      <c r="U1887" s="4">
        <v>0</v>
      </c>
      <c r="V1887" s="4">
        <v>67</v>
      </c>
      <c r="W1887" s="4">
        <v>111</v>
      </c>
    </row>
    <row r="1888" spans="1:23" ht="11.25" customHeight="1" x14ac:dyDescent="0.25">
      <c r="A1888" s="4" t="s">
        <v>29</v>
      </c>
      <c r="B1888" s="4" t="s">
        <v>39</v>
      </c>
      <c r="C1888" s="4" t="s">
        <v>23</v>
      </c>
      <c r="D1888" s="4" t="s">
        <v>45</v>
      </c>
      <c r="E1888" s="4" t="s">
        <v>25</v>
      </c>
      <c r="F1888" s="4" t="s">
        <v>25</v>
      </c>
      <c r="G1888" s="4" t="s">
        <v>25</v>
      </c>
      <c r="H1888" s="4" t="s">
        <v>25</v>
      </c>
      <c r="I1888" s="5">
        <v>44774</v>
      </c>
      <c r="J1888" s="6">
        <v>0</v>
      </c>
      <c r="K1888" s="6">
        <v>0</v>
      </c>
      <c r="L1888" s="6">
        <v>-2.4319999999999999</v>
      </c>
      <c r="M1888" s="6">
        <v>-2.4319999999999999</v>
      </c>
      <c r="N1888" s="6">
        <v>-2.4319999999999999</v>
      </c>
      <c r="O1888" s="6">
        <v>-2.4319999999999999</v>
      </c>
      <c r="P1888" s="6">
        <v>-1</v>
      </c>
      <c r="Q1888" s="4" t="s">
        <v>26</v>
      </c>
      <c r="R1888" s="4">
        <v>0</v>
      </c>
      <c r="S1888" s="4" t="s">
        <v>447</v>
      </c>
      <c r="T1888" s="4" t="s">
        <v>717</v>
      </c>
      <c r="U1888" s="4">
        <v>0</v>
      </c>
      <c r="V1888" s="4">
        <v>67</v>
      </c>
      <c r="W1888" s="4">
        <v>111</v>
      </c>
    </row>
    <row r="1889" spans="1:23" ht="11.25" customHeight="1" x14ac:dyDescent="0.25">
      <c r="A1889" s="4" t="s">
        <v>30</v>
      </c>
      <c r="B1889" s="4" t="s">
        <v>39</v>
      </c>
      <c r="C1889" s="4" t="s">
        <v>23</v>
      </c>
      <c r="D1889" s="4" t="s">
        <v>45</v>
      </c>
      <c r="E1889" s="4" t="s">
        <v>25</v>
      </c>
      <c r="F1889" s="4" t="s">
        <v>25</v>
      </c>
      <c r="G1889" s="4" t="s">
        <v>25</v>
      </c>
      <c r="H1889" s="4" t="s">
        <v>25</v>
      </c>
      <c r="I1889" s="5">
        <v>44774</v>
      </c>
      <c r="J1889" s="6">
        <v>0</v>
      </c>
      <c r="K1889" s="6">
        <v>0</v>
      </c>
      <c r="L1889" s="6">
        <v>559.06700000000001</v>
      </c>
      <c r="M1889" s="6">
        <v>559.06700000000001</v>
      </c>
      <c r="N1889" s="6">
        <v>559.06700000000001</v>
      </c>
      <c r="O1889" s="6">
        <v>559.06700000000001</v>
      </c>
      <c r="P1889" s="6">
        <v>675</v>
      </c>
      <c r="Q1889" s="4" t="s">
        <v>26</v>
      </c>
      <c r="R1889" s="4">
        <v>0</v>
      </c>
      <c r="S1889" s="4" t="s">
        <v>447</v>
      </c>
      <c r="T1889" s="4" t="s">
        <v>717</v>
      </c>
      <c r="U1889" s="4">
        <v>0</v>
      </c>
      <c r="V1889" s="4">
        <v>67</v>
      </c>
      <c r="W1889" s="4">
        <v>111</v>
      </c>
    </row>
    <row r="1890" spans="1:23" ht="11.25" customHeight="1" x14ac:dyDescent="0.25">
      <c r="A1890" s="4" t="s">
        <v>30</v>
      </c>
      <c r="B1890" s="4" t="s">
        <v>39</v>
      </c>
      <c r="C1890" s="4" t="s">
        <v>23</v>
      </c>
      <c r="D1890" s="4" t="s">
        <v>45</v>
      </c>
      <c r="E1890" s="4" t="s">
        <v>25</v>
      </c>
      <c r="F1890" s="4" t="s">
        <v>25</v>
      </c>
      <c r="G1890" s="4" t="s">
        <v>25</v>
      </c>
      <c r="H1890" s="4" t="s">
        <v>25</v>
      </c>
      <c r="I1890" s="5">
        <v>44774</v>
      </c>
      <c r="J1890" s="6">
        <v>0</v>
      </c>
      <c r="K1890" s="6">
        <v>0</v>
      </c>
      <c r="L1890" s="6">
        <v>-15.41</v>
      </c>
      <c r="M1890" s="6">
        <v>-15.41</v>
      </c>
      <c r="N1890" s="6">
        <v>-15.41</v>
      </c>
      <c r="O1890" s="6">
        <v>-15.41</v>
      </c>
      <c r="P1890" s="6">
        <v>0</v>
      </c>
      <c r="Q1890" s="4" t="s">
        <v>26</v>
      </c>
      <c r="R1890" s="4">
        <v>0</v>
      </c>
      <c r="S1890" s="4" t="s">
        <v>447</v>
      </c>
      <c r="T1890" s="4" t="s">
        <v>717</v>
      </c>
      <c r="U1890" s="4">
        <v>0</v>
      </c>
      <c r="V1890" s="4">
        <v>67</v>
      </c>
      <c r="W1890" s="4">
        <v>111</v>
      </c>
    </row>
    <row r="1891" spans="1:23" ht="11.25" customHeight="1" x14ac:dyDescent="0.25">
      <c r="A1891" s="4" t="s">
        <v>21</v>
      </c>
      <c r="B1891" s="4" t="s">
        <v>39</v>
      </c>
      <c r="C1891" s="4" t="s">
        <v>23</v>
      </c>
      <c r="D1891" s="4" t="s">
        <v>45</v>
      </c>
      <c r="E1891" s="4" t="s">
        <v>25</v>
      </c>
      <c r="F1891" s="4" t="s">
        <v>25</v>
      </c>
      <c r="G1891" s="4" t="s">
        <v>25</v>
      </c>
      <c r="H1891" s="4" t="s">
        <v>25</v>
      </c>
      <c r="I1891" s="5">
        <v>44805</v>
      </c>
      <c r="J1891" s="6">
        <v>0</v>
      </c>
      <c r="K1891" s="6">
        <v>0</v>
      </c>
      <c r="L1891" s="6">
        <v>10293.308000000001</v>
      </c>
      <c r="M1891" s="6">
        <v>10293.308000000001</v>
      </c>
      <c r="N1891" s="6">
        <v>10293.308000000001</v>
      </c>
      <c r="O1891" s="6">
        <v>10293.308000000001</v>
      </c>
      <c r="P1891" s="6">
        <v>17080</v>
      </c>
      <c r="Q1891" s="4" t="s">
        <v>26</v>
      </c>
      <c r="R1891" s="4">
        <v>0</v>
      </c>
      <c r="S1891" s="4" t="s">
        <v>448</v>
      </c>
      <c r="T1891" s="4" t="s">
        <v>718</v>
      </c>
      <c r="U1891" s="4">
        <v>0</v>
      </c>
      <c r="V1891" s="4">
        <v>67</v>
      </c>
      <c r="W1891" s="4">
        <v>111</v>
      </c>
    </row>
    <row r="1892" spans="1:23" ht="11.25" customHeight="1" x14ac:dyDescent="0.25">
      <c r="A1892" s="4" t="s">
        <v>27</v>
      </c>
      <c r="B1892" s="4" t="s">
        <v>39</v>
      </c>
      <c r="C1892" s="4" t="s">
        <v>23</v>
      </c>
      <c r="D1892" s="4" t="s">
        <v>45</v>
      </c>
      <c r="E1892" s="4" t="s">
        <v>25</v>
      </c>
      <c r="F1892" s="4" t="s">
        <v>25</v>
      </c>
      <c r="G1892" s="4" t="s">
        <v>25</v>
      </c>
      <c r="H1892" s="4" t="s">
        <v>25</v>
      </c>
      <c r="I1892" s="5">
        <v>44805</v>
      </c>
      <c r="J1892" s="6">
        <v>0</v>
      </c>
      <c r="K1892" s="6">
        <v>0</v>
      </c>
      <c r="L1892" s="6">
        <v>-15.920999999999999</v>
      </c>
      <c r="M1892" s="6">
        <v>-15.920999999999999</v>
      </c>
      <c r="N1892" s="6">
        <v>-15.920999999999999</v>
      </c>
      <c r="O1892" s="6">
        <v>-15.920999999999999</v>
      </c>
      <c r="P1892" s="6">
        <v>-14</v>
      </c>
      <c r="Q1892" s="4" t="s">
        <v>26</v>
      </c>
      <c r="R1892" s="4">
        <v>0</v>
      </c>
      <c r="S1892" s="4" t="s">
        <v>448</v>
      </c>
      <c r="T1892" s="4" t="s">
        <v>718</v>
      </c>
      <c r="U1892" s="4">
        <v>0</v>
      </c>
      <c r="V1892" s="4">
        <v>67</v>
      </c>
      <c r="W1892" s="4">
        <v>111</v>
      </c>
    </row>
    <row r="1893" spans="1:23" ht="11.25" customHeight="1" x14ac:dyDescent="0.25">
      <c r="A1893" s="4" t="s">
        <v>28</v>
      </c>
      <c r="B1893" s="4" t="s">
        <v>39</v>
      </c>
      <c r="C1893" s="4" t="s">
        <v>23</v>
      </c>
      <c r="D1893" s="4" t="s">
        <v>45</v>
      </c>
      <c r="E1893" s="4" t="s">
        <v>25</v>
      </c>
      <c r="F1893" s="4" t="s">
        <v>25</v>
      </c>
      <c r="G1893" s="4" t="s">
        <v>25</v>
      </c>
      <c r="H1893" s="4" t="s">
        <v>25</v>
      </c>
      <c r="I1893" s="5">
        <v>44805</v>
      </c>
      <c r="J1893" s="6">
        <v>0</v>
      </c>
      <c r="K1893" s="6">
        <v>0</v>
      </c>
      <c r="L1893" s="6">
        <v>2528.9760000000001</v>
      </c>
      <c r="M1893" s="6">
        <v>2528.9760000000001</v>
      </c>
      <c r="N1893" s="6">
        <v>2528.9760000000001</v>
      </c>
      <c r="O1893" s="6">
        <v>2528.9760000000001</v>
      </c>
      <c r="P1893" s="6">
        <v>5022</v>
      </c>
      <c r="Q1893" s="4" t="s">
        <v>26</v>
      </c>
      <c r="R1893" s="4">
        <v>0</v>
      </c>
      <c r="S1893" s="4" t="s">
        <v>448</v>
      </c>
      <c r="T1893" s="4" t="s">
        <v>718</v>
      </c>
      <c r="U1893" s="4">
        <v>0</v>
      </c>
      <c r="V1893" s="4">
        <v>67</v>
      </c>
      <c r="W1893" s="4">
        <v>111</v>
      </c>
    </row>
    <row r="1894" spans="1:23" ht="11.25" customHeight="1" x14ac:dyDescent="0.25">
      <c r="A1894" s="4" t="s">
        <v>29</v>
      </c>
      <c r="B1894" s="4" t="s">
        <v>39</v>
      </c>
      <c r="C1894" s="4" t="s">
        <v>23</v>
      </c>
      <c r="D1894" s="4" t="s">
        <v>45</v>
      </c>
      <c r="E1894" s="4" t="s">
        <v>25</v>
      </c>
      <c r="F1894" s="4" t="s">
        <v>25</v>
      </c>
      <c r="G1894" s="4" t="s">
        <v>25</v>
      </c>
      <c r="H1894" s="4" t="s">
        <v>25</v>
      </c>
      <c r="I1894" s="5">
        <v>44805</v>
      </c>
      <c r="J1894" s="6">
        <v>0</v>
      </c>
      <c r="K1894" s="6">
        <v>0</v>
      </c>
      <c r="L1894" s="6">
        <v>-15.271000000000001</v>
      </c>
      <c r="M1894" s="6">
        <v>-15.271000000000001</v>
      </c>
      <c r="N1894" s="6">
        <v>-15.271000000000001</v>
      </c>
      <c r="O1894" s="6">
        <v>-15.271000000000001</v>
      </c>
      <c r="P1894" s="6">
        <v>-4</v>
      </c>
      <c r="Q1894" s="4" t="s">
        <v>26</v>
      </c>
      <c r="R1894" s="4">
        <v>0</v>
      </c>
      <c r="S1894" s="4" t="s">
        <v>448</v>
      </c>
      <c r="T1894" s="4" t="s">
        <v>718</v>
      </c>
      <c r="U1894" s="4">
        <v>0</v>
      </c>
      <c r="V1894" s="4">
        <v>67</v>
      </c>
      <c r="W1894" s="4">
        <v>111</v>
      </c>
    </row>
    <row r="1895" spans="1:23" ht="11.25" customHeight="1" x14ac:dyDescent="0.25">
      <c r="A1895" s="4" t="s">
        <v>30</v>
      </c>
      <c r="B1895" s="4" t="s">
        <v>39</v>
      </c>
      <c r="C1895" s="4" t="s">
        <v>23</v>
      </c>
      <c r="D1895" s="4" t="s">
        <v>45</v>
      </c>
      <c r="E1895" s="4" t="s">
        <v>25</v>
      </c>
      <c r="F1895" s="4" t="s">
        <v>25</v>
      </c>
      <c r="G1895" s="4" t="s">
        <v>25</v>
      </c>
      <c r="H1895" s="4" t="s">
        <v>25</v>
      </c>
      <c r="I1895" s="5">
        <v>44805</v>
      </c>
      <c r="J1895" s="6">
        <v>0</v>
      </c>
      <c r="K1895" s="6">
        <v>0</v>
      </c>
      <c r="L1895" s="6">
        <v>525.98</v>
      </c>
      <c r="M1895" s="6">
        <v>525.98</v>
      </c>
      <c r="N1895" s="6">
        <v>525.98</v>
      </c>
      <c r="O1895" s="6">
        <v>525.98</v>
      </c>
      <c r="P1895" s="6">
        <v>695</v>
      </c>
      <c r="Q1895" s="4" t="s">
        <v>26</v>
      </c>
      <c r="R1895" s="4">
        <v>0</v>
      </c>
      <c r="S1895" s="4" t="s">
        <v>448</v>
      </c>
      <c r="T1895" s="4" t="s">
        <v>718</v>
      </c>
      <c r="U1895" s="4">
        <v>0</v>
      </c>
      <c r="V1895" s="4">
        <v>67</v>
      </c>
      <c r="W1895" s="4">
        <v>111</v>
      </c>
    </row>
    <row r="1896" spans="1:23" ht="11.25" customHeight="1" x14ac:dyDescent="0.25">
      <c r="A1896" s="4" t="s">
        <v>30</v>
      </c>
      <c r="B1896" s="4" t="s">
        <v>39</v>
      </c>
      <c r="C1896" s="4" t="s">
        <v>23</v>
      </c>
      <c r="D1896" s="4" t="s">
        <v>45</v>
      </c>
      <c r="E1896" s="4" t="s">
        <v>25</v>
      </c>
      <c r="F1896" s="4" t="s">
        <v>25</v>
      </c>
      <c r="G1896" s="4" t="s">
        <v>25</v>
      </c>
      <c r="H1896" s="4" t="s">
        <v>25</v>
      </c>
      <c r="I1896" s="5">
        <v>44805</v>
      </c>
      <c r="J1896" s="6">
        <v>0</v>
      </c>
      <c r="K1896" s="6">
        <v>0</v>
      </c>
      <c r="L1896" s="6">
        <v>-0.83</v>
      </c>
      <c r="M1896" s="6">
        <v>-0.83</v>
      </c>
      <c r="N1896" s="6">
        <v>-0.83</v>
      </c>
      <c r="O1896" s="6">
        <v>-0.83</v>
      </c>
      <c r="P1896" s="6">
        <v>1</v>
      </c>
      <c r="Q1896" s="4" t="s">
        <v>26</v>
      </c>
      <c r="R1896" s="4">
        <v>0</v>
      </c>
      <c r="S1896" s="4" t="s">
        <v>448</v>
      </c>
      <c r="T1896" s="4" t="s">
        <v>718</v>
      </c>
      <c r="U1896" s="4">
        <v>0</v>
      </c>
      <c r="V1896" s="4">
        <v>67</v>
      </c>
      <c r="W1896" s="4">
        <v>111</v>
      </c>
    </row>
    <row r="1897" spans="1:23" ht="11.25" customHeight="1" x14ac:dyDescent="0.25">
      <c r="A1897" s="4" t="s">
        <v>21</v>
      </c>
      <c r="B1897" s="4" t="s">
        <v>39</v>
      </c>
      <c r="C1897" s="4" t="s">
        <v>23</v>
      </c>
      <c r="D1897" s="4" t="s">
        <v>45</v>
      </c>
      <c r="E1897" s="4" t="s">
        <v>25</v>
      </c>
      <c r="F1897" s="4" t="s">
        <v>25</v>
      </c>
      <c r="G1897" s="4" t="s">
        <v>25</v>
      </c>
      <c r="H1897" s="4" t="s">
        <v>25</v>
      </c>
      <c r="I1897" s="5">
        <v>44835</v>
      </c>
      <c r="J1897" s="6">
        <v>0</v>
      </c>
      <c r="K1897" s="6">
        <v>0</v>
      </c>
      <c r="L1897" s="6">
        <v>10811.177</v>
      </c>
      <c r="M1897" s="6">
        <v>10811.177</v>
      </c>
      <c r="N1897" s="6">
        <v>10811.177</v>
      </c>
      <c r="O1897" s="6">
        <v>10811.177</v>
      </c>
      <c r="P1897" s="6">
        <v>17086</v>
      </c>
      <c r="Q1897" s="4" t="s">
        <v>26</v>
      </c>
      <c r="R1897" s="4">
        <v>0</v>
      </c>
      <c r="S1897" s="4" t="s">
        <v>449</v>
      </c>
      <c r="T1897" s="4" t="s">
        <v>719</v>
      </c>
      <c r="U1897" s="4">
        <v>0</v>
      </c>
      <c r="V1897" s="4">
        <v>67</v>
      </c>
      <c r="W1897" s="4">
        <v>111</v>
      </c>
    </row>
    <row r="1898" spans="1:23" ht="11.25" customHeight="1" x14ac:dyDescent="0.25">
      <c r="A1898" s="4" t="s">
        <v>27</v>
      </c>
      <c r="B1898" s="4" t="s">
        <v>39</v>
      </c>
      <c r="C1898" s="4" t="s">
        <v>23</v>
      </c>
      <c r="D1898" s="4" t="s">
        <v>45</v>
      </c>
      <c r="E1898" s="4" t="s">
        <v>25</v>
      </c>
      <c r="F1898" s="4" t="s">
        <v>25</v>
      </c>
      <c r="G1898" s="4" t="s">
        <v>25</v>
      </c>
      <c r="H1898" s="4" t="s">
        <v>25</v>
      </c>
      <c r="I1898" s="5">
        <v>44835</v>
      </c>
      <c r="J1898" s="6">
        <v>0</v>
      </c>
      <c r="K1898" s="6">
        <v>0</v>
      </c>
      <c r="L1898" s="6">
        <v>-64.725999999999999</v>
      </c>
      <c r="M1898" s="6">
        <v>-64.725999999999999</v>
      </c>
      <c r="N1898" s="6">
        <v>-64.725999999999999</v>
      </c>
      <c r="O1898" s="6">
        <v>-64.725999999999999</v>
      </c>
      <c r="P1898" s="6">
        <v>-12</v>
      </c>
      <c r="Q1898" s="4" t="s">
        <v>26</v>
      </c>
      <c r="R1898" s="4">
        <v>0</v>
      </c>
      <c r="S1898" s="4" t="s">
        <v>449</v>
      </c>
      <c r="T1898" s="4" t="s">
        <v>719</v>
      </c>
      <c r="U1898" s="4">
        <v>0</v>
      </c>
      <c r="V1898" s="4">
        <v>67</v>
      </c>
      <c r="W1898" s="4">
        <v>111</v>
      </c>
    </row>
    <row r="1899" spans="1:23" ht="11.25" customHeight="1" x14ac:dyDescent="0.25">
      <c r="A1899" s="4" t="s">
        <v>28</v>
      </c>
      <c r="B1899" s="4" t="s">
        <v>39</v>
      </c>
      <c r="C1899" s="4" t="s">
        <v>23</v>
      </c>
      <c r="D1899" s="4" t="s">
        <v>45</v>
      </c>
      <c r="E1899" s="4" t="s">
        <v>25</v>
      </c>
      <c r="F1899" s="4" t="s">
        <v>25</v>
      </c>
      <c r="G1899" s="4" t="s">
        <v>25</v>
      </c>
      <c r="H1899" s="4" t="s">
        <v>25</v>
      </c>
      <c r="I1899" s="5">
        <v>44835</v>
      </c>
      <c r="J1899" s="6">
        <v>0</v>
      </c>
      <c r="K1899" s="6">
        <v>0</v>
      </c>
      <c r="L1899" s="6">
        <v>2639.0830000000001</v>
      </c>
      <c r="M1899" s="6">
        <v>2639.0830000000001</v>
      </c>
      <c r="N1899" s="6">
        <v>2639.0830000000001</v>
      </c>
      <c r="O1899" s="6">
        <v>2639.0830000000001</v>
      </c>
      <c r="P1899" s="6">
        <v>4981</v>
      </c>
      <c r="Q1899" s="4" t="s">
        <v>26</v>
      </c>
      <c r="R1899" s="4">
        <v>0</v>
      </c>
      <c r="S1899" s="4" t="s">
        <v>449</v>
      </c>
      <c r="T1899" s="4" t="s">
        <v>719</v>
      </c>
      <c r="U1899" s="4">
        <v>0</v>
      </c>
      <c r="V1899" s="4">
        <v>67</v>
      </c>
      <c r="W1899" s="4">
        <v>111</v>
      </c>
    </row>
    <row r="1900" spans="1:23" ht="11.25" customHeight="1" x14ac:dyDescent="0.25">
      <c r="A1900" s="4" t="s">
        <v>29</v>
      </c>
      <c r="B1900" s="4" t="s">
        <v>39</v>
      </c>
      <c r="C1900" s="4" t="s">
        <v>23</v>
      </c>
      <c r="D1900" s="4" t="s">
        <v>45</v>
      </c>
      <c r="E1900" s="4" t="s">
        <v>25</v>
      </c>
      <c r="F1900" s="4" t="s">
        <v>25</v>
      </c>
      <c r="G1900" s="4" t="s">
        <v>25</v>
      </c>
      <c r="H1900" s="4" t="s">
        <v>25</v>
      </c>
      <c r="I1900" s="5">
        <v>44835</v>
      </c>
      <c r="J1900" s="6">
        <v>0</v>
      </c>
      <c r="K1900" s="6">
        <v>0</v>
      </c>
      <c r="L1900" s="6">
        <v>-4.8179999999999996</v>
      </c>
      <c r="M1900" s="6">
        <v>-4.8179999999999996</v>
      </c>
      <c r="N1900" s="6">
        <v>-4.8179999999999996</v>
      </c>
      <c r="O1900" s="6">
        <v>-4.8179999999999996</v>
      </c>
      <c r="P1900" s="6">
        <v>-3</v>
      </c>
      <c r="Q1900" s="4" t="s">
        <v>26</v>
      </c>
      <c r="R1900" s="4">
        <v>0</v>
      </c>
      <c r="S1900" s="4" t="s">
        <v>449</v>
      </c>
      <c r="T1900" s="4" t="s">
        <v>719</v>
      </c>
      <c r="U1900" s="4">
        <v>0</v>
      </c>
      <c r="V1900" s="4">
        <v>67</v>
      </c>
      <c r="W1900" s="4">
        <v>111</v>
      </c>
    </row>
    <row r="1901" spans="1:23" ht="11.25" customHeight="1" x14ac:dyDescent="0.25">
      <c r="A1901" s="4" t="s">
        <v>30</v>
      </c>
      <c r="B1901" s="4" t="s">
        <v>39</v>
      </c>
      <c r="C1901" s="4" t="s">
        <v>23</v>
      </c>
      <c r="D1901" s="4" t="s">
        <v>45</v>
      </c>
      <c r="E1901" s="4" t="s">
        <v>25</v>
      </c>
      <c r="F1901" s="4" t="s">
        <v>25</v>
      </c>
      <c r="G1901" s="4" t="s">
        <v>25</v>
      </c>
      <c r="H1901" s="4" t="s">
        <v>25</v>
      </c>
      <c r="I1901" s="5">
        <v>44835</v>
      </c>
      <c r="J1901" s="6">
        <v>0</v>
      </c>
      <c r="K1901" s="6">
        <v>0</v>
      </c>
      <c r="L1901" s="6">
        <v>552.38499999999999</v>
      </c>
      <c r="M1901" s="6">
        <v>552.38499999999999</v>
      </c>
      <c r="N1901" s="6">
        <v>552.38499999999999</v>
      </c>
      <c r="O1901" s="6">
        <v>552.38499999999999</v>
      </c>
      <c r="P1901" s="6">
        <v>716</v>
      </c>
      <c r="Q1901" s="4" t="s">
        <v>26</v>
      </c>
      <c r="R1901" s="4">
        <v>0</v>
      </c>
      <c r="S1901" s="4" t="s">
        <v>449</v>
      </c>
      <c r="T1901" s="4" t="s">
        <v>719</v>
      </c>
      <c r="U1901" s="4">
        <v>0</v>
      </c>
      <c r="V1901" s="4">
        <v>67</v>
      </c>
      <c r="W1901" s="4">
        <v>111</v>
      </c>
    </row>
    <row r="1902" spans="1:23" ht="11.25" customHeight="1" x14ac:dyDescent="0.25">
      <c r="A1902" s="4" t="s">
        <v>30</v>
      </c>
      <c r="B1902" s="4" t="s">
        <v>39</v>
      </c>
      <c r="C1902" s="4" t="s">
        <v>23</v>
      </c>
      <c r="D1902" s="4" t="s">
        <v>45</v>
      </c>
      <c r="E1902" s="4" t="s">
        <v>25</v>
      </c>
      <c r="F1902" s="4" t="s">
        <v>25</v>
      </c>
      <c r="G1902" s="4" t="s">
        <v>25</v>
      </c>
      <c r="H1902" s="4" t="s">
        <v>25</v>
      </c>
      <c r="I1902" s="5">
        <v>44835</v>
      </c>
      <c r="J1902" s="6">
        <v>0</v>
      </c>
      <c r="K1902" s="6">
        <v>0</v>
      </c>
      <c r="L1902" s="6">
        <v>-0.436</v>
      </c>
      <c r="M1902" s="6">
        <v>-0.436</v>
      </c>
      <c r="N1902" s="6">
        <v>-0.436</v>
      </c>
      <c r="O1902" s="6">
        <v>-0.436</v>
      </c>
      <c r="P1902" s="6">
        <v>1</v>
      </c>
      <c r="Q1902" s="4" t="s">
        <v>26</v>
      </c>
      <c r="R1902" s="4">
        <v>0</v>
      </c>
      <c r="S1902" s="4" t="s">
        <v>449</v>
      </c>
      <c r="T1902" s="4" t="s">
        <v>719</v>
      </c>
      <c r="U1902" s="4">
        <v>0</v>
      </c>
      <c r="V1902" s="4">
        <v>67</v>
      </c>
      <c r="W1902" s="4">
        <v>111</v>
      </c>
    </row>
    <row r="1903" spans="1:23" ht="11.25" customHeight="1" x14ac:dyDescent="0.25">
      <c r="A1903" s="4" t="s">
        <v>59</v>
      </c>
      <c r="B1903" s="4" t="s">
        <v>39</v>
      </c>
      <c r="C1903" s="4" t="s">
        <v>23</v>
      </c>
      <c r="D1903" s="4" t="s">
        <v>45</v>
      </c>
      <c r="E1903" s="4" t="s">
        <v>25</v>
      </c>
      <c r="F1903" s="4" t="s">
        <v>25</v>
      </c>
      <c r="G1903" s="4" t="s">
        <v>25</v>
      </c>
      <c r="H1903" s="4" t="s">
        <v>25</v>
      </c>
      <c r="I1903" s="5">
        <v>44866</v>
      </c>
      <c r="J1903" s="6">
        <v>0</v>
      </c>
      <c r="K1903" s="6">
        <v>0</v>
      </c>
      <c r="L1903" s="6">
        <v>10811.177</v>
      </c>
      <c r="M1903" s="6">
        <v>10811.177</v>
      </c>
      <c r="N1903" s="6">
        <v>10811.177</v>
      </c>
      <c r="O1903" s="6">
        <v>10811.177</v>
      </c>
      <c r="P1903" s="6">
        <v>17086</v>
      </c>
      <c r="Q1903" s="4" t="s">
        <v>26</v>
      </c>
      <c r="R1903" s="4">
        <v>0</v>
      </c>
      <c r="S1903" s="4" t="s">
        <v>450</v>
      </c>
      <c r="T1903" s="4" t="s">
        <v>720</v>
      </c>
      <c r="U1903" s="4">
        <v>0</v>
      </c>
      <c r="V1903" s="4">
        <v>67</v>
      </c>
      <c r="W1903" s="4">
        <v>111</v>
      </c>
    </row>
    <row r="1904" spans="1:23" ht="11.25" customHeight="1" x14ac:dyDescent="0.25">
      <c r="A1904" s="4" t="s">
        <v>59</v>
      </c>
      <c r="B1904" s="4" t="s">
        <v>39</v>
      </c>
      <c r="C1904" s="4" t="s">
        <v>23</v>
      </c>
      <c r="D1904" s="4" t="s">
        <v>45</v>
      </c>
      <c r="E1904" s="4" t="s">
        <v>25</v>
      </c>
      <c r="F1904" s="4" t="s">
        <v>25</v>
      </c>
      <c r="G1904" s="4" t="s">
        <v>25</v>
      </c>
      <c r="H1904" s="4" t="s">
        <v>25</v>
      </c>
      <c r="I1904" s="5">
        <v>44866</v>
      </c>
      <c r="J1904" s="6">
        <v>0</v>
      </c>
      <c r="K1904" s="6">
        <v>0</v>
      </c>
      <c r="L1904" s="6">
        <v>-64.725999999999999</v>
      </c>
      <c r="M1904" s="6">
        <v>-64.725999999999999</v>
      </c>
      <c r="N1904" s="6">
        <v>-64.725999999999999</v>
      </c>
      <c r="O1904" s="6">
        <v>-64.725999999999999</v>
      </c>
      <c r="P1904" s="6">
        <v>-12</v>
      </c>
      <c r="Q1904" s="4" t="s">
        <v>26</v>
      </c>
      <c r="R1904" s="4">
        <v>0</v>
      </c>
      <c r="S1904" s="4" t="s">
        <v>450</v>
      </c>
      <c r="T1904" s="4" t="s">
        <v>720</v>
      </c>
      <c r="U1904" s="4">
        <v>0</v>
      </c>
      <c r="V1904" s="4">
        <v>67</v>
      </c>
      <c r="W1904" s="4">
        <v>111</v>
      </c>
    </row>
    <row r="1905" spans="1:23" ht="11.25" customHeight="1" x14ac:dyDescent="0.25">
      <c r="A1905" s="4" t="s">
        <v>59</v>
      </c>
      <c r="B1905" s="4" t="s">
        <v>39</v>
      </c>
      <c r="C1905" s="4" t="s">
        <v>23</v>
      </c>
      <c r="D1905" s="4" t="s">
        <v>45</v>
      </c>
      <c r="E1905" s="4" t="s">
        <v>25</v>
      </c>
      <c r="F1905" s="4" t="s">
        <v>25</v>
      </c>
      <c r="G1905" s="4" t="s">
        <v>25</v>
      </c>
      <c r="H1905" s="4" t="s">
        <v>25</v>
      </c>
      <c r="I1905" s="5">
        <v>44866</v>
      </c>
      <c r="J1905" s="6">
        <v>0</v>
      </c>
      <c r="K1905" s="6">
        <v>0</v>
      </c>
      <c r="L1905" s="6">
        <v>2639.0830000000001</v>
      </c>
      <c r="M1905" s="6">
        <v>2639.0830000000001</v>
      </c>
      <c r="N1905" s="6">
        <v>2639.0830000000001</v>
      </c>
      <c r="O1905" s="6">
        <v>2639.0830000000001</v>
      </c>
      <c r="P1905" s="6">
        <v>4981</v>
      </c>
      <c r="Q1905" s="4" t="s">
        <v>26</v>
      </c>
      <c r="R1905" s="4">
        <v>0</v>
      </c>
      <c r="S1905" s="4" t="s">
        <v>450</v>
      </c>
      <c r="T1905" s="4" t="s">
        <v>720</v>
      </c>
      <c r="U1905" s="4">
        <v>0</v>
      </c>
      <c r="V1905" s="4">
        <v>67</v>
      </c>
      <c r="W1905" s="4">
        <v>111</v>
      </c>
    </row>
    <row r="1906" spans="1:23" ht="11.25" customHeight="1" x14ac:dyDescent="0.25">
      <c r="A1906" s="4" t="s">
        <v>59</v>
      </c>
      <c r="B1906" s="4" t="s">
        <v>39</v>
      </c>
      <c r="C1906" s="4" t="s">
        <v>23</v>
      </c>
      <c r="D1906" s="4" t="s">
        <v>45</v>
      </c>
      <c r="E1906" s="4" t="s">
        <v>25</v>
      </c>
      <c r="F1906" s="4" t="s">
        <v>25</v>
      </c>
      <c r="G1906" s="4" t="s">
        <v>25</v>
      </c>
      <c r="H1906" s="4" t="s">
        <v>25</v>
      </c>
      <c r="I1906" s="5">
        <v>44866</v>
      </c>
      <c r="J1906" s="6">
        <v>0</v>
      </c>
      <c r="K1906" s="6">
        <v>0</v>
      </c>
      <c r="L1906" s="6">
        <v>-4.8179999999999996</v>
      </c>
      <c r="M1906" s="6">
        <v>-4.8179999999999996</v>
      </c>
      <c r="N1906" s="6">
        <v>-4.8179999999999996</v>
      </c>
      <c r="O1906" s="6">
        <v>-4.8179999999999996</v>
      </c>
      <c r="P1906" s="6">
        <v>-3</v>
      </c>
      <c r="Q1906" s="4" t="s">
        <v>26</v>
      </c>
      <c r="R1906" s="4">
        <v>0</v>
      </c>
      <c r="S1906" s="4" t="s">
        <v>450</v>
      </c>
      <c r="T1906" s="4" t="s">
        <v>720</v>
      </c>
      <c r="U1906" s="4">
        <v>0</v>
      </c>
      <c r="V1906" s="4">
        <v>67</v>
      </c>
      <c r="W1906" s="4">
        <v>111</v>
      </c>
    </row>
    <row r="1907" spans="1:23" ht="11.25" customHeight="1" x14ac:dyDescent="0.25">
      <c r="A1907" s="4" t="s">
        <v>59</v>
      </c>
      <c r="B1907" s="4" t="s">
        <v>39</v>
      </c>
      <c r="C1907" s="4" t="s">
        <v>23</v>
      </c>
      <c r="D1907" s="4" t="s">
        <v>45</v>
      </c>
      <c r="E1907" s="4" t="s">
        <v>25</v>
      </c>
      <c r="F1907" s="4" t="s">
        <v>25</v>
      </c>
      <c r="G1907" s="4" t="s">
        <v>25</v>
      </c>
      <c r="H1907" s="4" t="s">
        <v>25</v>
      </c>
      <c r="I1907" s="5">
        <v>44866</v>
      </c>
      <c r="J1907" s="6">
        <v>0</v>
      </c>
      <c r="K1907" s="6">
        <v>0</v>
      </c>
      <c r="L1907" s="6">
        <v>552.38499999999999</v>
      </c>
      <c r="M1907" s="6">
        <v>552.38499999999999</v>
      </c>
      <c r="N1907" s="6">
        <v>552.38499999999999</v>
      </c>
      <c r="O1907" s="6">
        <v>552.38499999999999</v>
      </c>
      <c r="P1907" s="6">
        <v>716</v>
      </c>
      <c r="Q1907" s="4" t="s">
        <v>26</v>
      </c>
      <c r="R1907" s="4">
        <v>0</v>
      </c>
      <c r="S1907" s="4" t="s">
        <v>450</v>
      </c>
      <c r="T1907" s="4" t="s">
        <v>720</v>
      </c>
      <c r="U1907" s="4">
        <v>0</v>
      </c>
      <c r="V1907" s="4">
        <v>67</v>
      </c>
      <c r="W1907" s="4">
        <v>111</v>
      </c>
    </row>
    <row r="1908" spans="1:23" ht="11.25" customHeight="1" x14ac:dyDescent="0.25">
      <c r="A1908" s="4" t="s">
        <v>59</v>
      </c>
      <c r="B1908" s="4" t="s">
        <v>39</v>
      </c>
      <c r="C1908" s="4" t="s">
        <v>23</v>
      </c>
      <c r="D1908" s="4" t="s">
        <v>45</v>
      </c>
      <c r="E1908" s="4" t="s">
        <v>25</v>
      </c>
      <c r="F1908" s="4" t="s">
        <v>25</v>
      </c>
      <c r="G1908" s="4" t="s">
        <v>25</v>
      </c>
      <c r="H1908" s="4" t="s">
        <v>25</v>
      </c>
      <c r="I1908" s="5">
        <v>44866</v>
      </c>
      <c r="J1908" s="6">
        <v>0</v>
      </c>
      <c r="K1908" s="6">
        <v>0</v>
      </c>
      <c r="L1908" s="6">
        <v>-0.436</v>
      </c>
      <c r="M1908" s="6">
        <v>-0.436</v>
      </c>
      <c r="N1908" s="6">
        <v>-0.436</v>
      </c>
      <c r="O1908" s="6">
        <v>-0.436</v>
      </c>
      <c r="P1908" s="6">
        <v>1</v>
      </c>
      <c r="Q1908" s="4" t="s">
        <v>26</v>
      </c>
      <c r="R1908" s="4">
        <v>0</v>
      </c>
      <c r="S1908" s="4" t="s">
        <v>450</v>
      </c>
      <c r="T1908" s="4" t="s">
        <v>720</v>
      </c>
      <c r="U1908" s="4">
        <v>0</v>
      </c>
      <c r="V1908" s="4">
        <v>67</v>
      </c>
      <c r="W1908" s="4">
        <v>111</v>
      </c>
    </row>
    <row r="1909" spans="1:23" ht="11.25" customHeight="1" x14ac:dyDescent="0.25">
      <c r="A1909" s="4" t="s">
        <v>21</v>
      </c>
      <c r="B1909" s="4" t="s">
        <v>39</v>
      </c>
      <c r="C1909" s="4" t="s">
        <v>23</v>
      </c>
      <c r="D1909" s="4" t="s">
        <v>54</v>
      </c>
      <c r="E1909" s="4" t="s">
        <v>25</v>
      </c>
      <c r="F1909" s="4" t="s">
        <v>25</v>
      </c>
      <c r="G1909" s="4" t="s">
        <v>25</v>
      </c>
      <c r="H1909" s="4" t="s">
        <v>25</v>
      </c>
      <c r="I1909" s="5">
        <v>44531</v>
      </c>
      <c r="J1909" s="6">
        <v>0</v>
      </c>
      <c r="K1909" s="6">
        <v>0</v>
      </c>
      <c r="L1909" s="6">
        <v>71.150999999999996</v>
      </c>
      <c r="M1909" s="6">
        <v>71.150999999999996</v>
      </c>
      <c r="N1909" s="6">
        <v>71.150999999999996</v>
      </c>
      <c r="O1909" s="6">
        <v>71.150999999999996</v>
      </c>
      <c r="P1909" s="6">
        <v>37</v>
      </c>
      <c r="Q1909" s="4" t="s">
        <v>26</v>
      </c>
      <c r="R1909" s="4">
        <v>0</v>
      </c>
      <c r="S1909" s="4" t="s">
        <v>439</v>
      </c>
      <c r="T1909" s="4" t="s">
        <v>709</v>
      </c>
      <c r="U1909" s="4">
        <v>0</v>
      </c>
      <c r="V1909" s="4">
        <v>67</v>
      </c>
      <c r="W1909" s="4">
        <v>111</v>
      </c>
    </row>
    <row r="1910" spans="1:23" ht="11.25" customHeight="1" x14ac:dyDescent="0.25">
      <c r="A1910" s="4" t="s">
        <v>28</v>
      </c>
      <c r="B1910" s="4" t="s">
        <v>39</v>
      </c>
      <c r="C1910" s="4" t="s">
        <v>23</v>
      </c>
      <c r="D1910" s="4" t="s">
        <v>54</v>
      </c>
      <c r="E1910" s="4" t="s">
        <v>25</v>
      </c>
      <c r="F1910" s="4" t="s">
        <v>25</v>
      </c>
      <c r="G1910" s="4" t="s">
        <v>25</v>
      </c>
      <c r="H1910" s="4" t="s">
        <v>25</v>
      </c>
      <c r="I1910" s="5">
        <v>44531</v>
      </c>
      <c r="J1910" s="6">
        <v>0</v>
      </c>
      <c r="K1910" s="6">
        <v>0</v>
      </c>
      <c r="L1910" s="6">
        <v>11.047000000000001</v>
      </c>
      <c r="M1910" s="6">
        <v>11.047000000000001</v>
      </c>
      <c r="N1910" s="6">
        <v>11.047000000000001</v>
      </c>
      <c r="O1910" s="6">
        <v>11.047000000000001</v>
      </c>
      <c r="P1910" s="6">
        <v>14</v>
      </c>
      <c r="Q1910" s="4" t="s">
        <v>26</v>
      </c>
      <c r="R1910" s="4">
        <v>0</v>
      </c>
      <c r="S1910" s="4" t="s">
        <v>439</v>
      </c>
      <c r="T1910" s="4" t="s">
        <v>709</v>
      </c>
      <c r="U1910" s="4">
        <v>0</v>
      </c>
      <c r="V1910" s="4">
        <v>67</v>
      </c>
      <c r="W1910" s="4">
        <v>111</v>
      </c>
    </row>
    <row r="1911" spans="1:23" ht="11.25" customHeight="1" x14ac:dyDescent="0.25">
      <c r="A1911" s="4" t="s">
        <v>21</v>
      </c>
      <c r="B1911" s="4" t="s">
        <v>39</v>
      </c>
      <c r="C1911" s="4" t="s">
        <v>23</v>
      </c>
      <c r="D1911" s="4" t="s">
        <v>54</v>
      </c>
      <c r="E1911" s="4" t="s">
        <v>25</v>
      </c>
      <c r="F1911" s="4" t="s">
        <v>25</v>
      </c>
      <c r="G1911" s="4" t="s">
        <v>25</v>
      </c>
      <c r="H1911" s="4" t="s">
        <v>25</v>
      </c>
      <c r="I1911" s="5">
        <v>44562</v>
      </c>
      <c r="J1911" s="6">
        <v>0</v>
      </c>
      <c r="K1911" s="6">
        <v>0</v>
      </c>
      <c r="L1911" s="6">
        <v>74.81</v>
      </c>
      <c r="M1911" s="6">
        <v>74.81</v>
      </c>
      <c r="N1911" s="6">
        <v>74.81</v>
      </c>
      <c r="O1911" s="6">
        <v>74.81</v>
      </c>
      <c r="P1911" s="6">
        <v>38</v>
      </c>
      <c r="Q1911" s="4" t="s">
        <v>26</v>
      </c>
      <c r="R1911" s="4">
        <v>0</v>
      </c>
      <c r="S1911" s="4" t="s">
        <v>440</v>
      </c>
      <c r="T1911" s="4" t="s">
        <v>710</v>
      </c>
      <c r="U1911" s="4">
        <v>0</v>
      </c>
      <c r="V1911" s="4">
        <v>67</v>
      </c>
      <c r="W1911" s="4">
        <v>111</v>
      </c>
    </row>
    <row r="1912" spans="1:23" ht="11.25" customHeight="1" x14ac:dyDescent="0.25">
      <c r="A1912" s="4" t="s">
        <v>28</v>
      </c>
      <c r="B1912" s="4" t="s">
        <v>39</v>
      </c>
      <c r="C1912" s="4" t="s">
        <v>23</v>
      </c>
      <c r="D1912" s="4" t="s">
        <v>54</v>
      </c>
      <c r="E1912" s="4" t="s">
        <v>25</v>
      </c>
      <c r="F1912" s="4" t="s">
        <v>25</v>
      </c>
      <c r="G1912" s="4" t="s">
        <v>25</v>
      </c>
      <c r="H1912" s="4" t="s">
        <v>25</v>
      </c>
      <c r="I1912" s="5">
        <v>44562</v>
      </c>
      <c r="J1912" s="6">
        <v>0</v>
      </c>
      <c r="K1912" s="6">
        <v>0</v>
      </c>
      <c r="L1912" s="6">
        <v>10.885</v>
      </c>
      <c r="M1912" s="6">
        <v>10.885</v>
      </c>
      <c r="N1912" s="6">
        <v>10.885</v>
      </c>
      <c r="O1912" s="6">
        <v>10.885</v>
      </c>
      <c r="P1912" s="6">
        <v>14</v>
      </c>
      <c r="Q1912" s="4" t="s">
        <v>26</v>
      </c>
      <c r="R1912" s="4">
        <v>0</v>
      </c>
      <c r="S1912" s="4" t="s">
        <v>440</v>
      </c>
      <c r="T1912" s="4" t="s">
        <v>710</v>
      </c>
      <c r="U1912" s="4">
        <v>0</v>
      </c>
      <c r="V1912" s="4">
        <v>67</v>
      </c>
      <c r="W1912" s="4">
        <v>111</v>
      </c>
    </row>
    <row r="1913" spans="1:23" ht="11.25" customHeight="1" x14ac:dyDescent="0.25">
      <c r="A1913" s="4" t="s">
        <v>30</v>
      </c>
      <c r="B1913" s="4" t="s">
        <v>39</v>
      </c>
      <c r="C1913" s="4" t="s">
        <v>23</v>
      </c>
      <c r="D1913" s="4" t="s">
        <v>54</v>
      </c>
      <c r="E1913" s="4" t="s">
        <v>25</v>
      </c>
      <c r="F1913" s="4" t="s">
        <v>25</v>
      </c>
      <c r="G1913" s="4" t="s">
        <v>25</v>
      </c>
      <c r="H1913" s="4" t="s">
        <v>25</v>
      </c>
      <c r="I1913" s="5">
        <v>44562</v>
      </c>
      <c r="J1913" s="6">
        <v>0</v>
      </c>
      <c r="K1913" s="6">
        <v>0</v>
      </c>
      <c r="L1913" s="6">
        <v>0.1</v>
      </c>
      <c r="M1913" s="6">
        <v>0.1</v>
      </c>
      <c r="N1913" s="6">
        <v>0.1</v>
      </c>
      <c r="O1913" s="6">
        <v>0.1</v>
      </c>
      <c r="P1913" s="6">
        <v>1</v>
      </c>
      <c r="Q1913" s="4" t="s">
        <v>26</v>
      </c>
      <c r="R1913" s="4">
        <v>0</v>
      </c>
      <c r="S1913" s="4" t="s">
        <v>440</v>
      </c>
      <c r="T1913" s="4" t="s">
        <v>710</v>
      </c>
      <c r="U1913" s="4">
        <v>0</v>
      </c>
      <c r="V1913" s="4">
        <v>67</v>
      </c>
      <c r="W1913" s="4">
        <v>111</v>
      </c>
    </row>
    <row r="1914" spans="1:23" ht="11.25" customHeight="1" x14ac:dyDescent="0.25">
      <c r="A1914" s="4" t="s">
        <v>30</v>
      </c>
      <c r="B1914" s="4" t="s">
        <v>39</v>
      </c>
      <c r="C1914" s="4" t="s">
        <v>23</v>
      </c>
      <c r="D1914" s="4" t="s">
        <v>54</v>
      </c>
      <c r="E1914" s="4" t="s">
        <v>25</v>
      </c>
      <c r="F1914" s="4" t="s">
        <v>25</v>
      </c>
      <c r="G1914" s="4" t="s">
        <v>25</v>
      </c>
      <c r="H1914" s="4" t="s">
        <v>25</v>
      </c>
      <c r="I1914" s="5">
        <v>44562</v>
      </c>
      <c r="J1914" s="6">
        <v>0</v>
      </c>
      <c r="K1914" s="6">
        <v>0</v>
      </c>
      <c r="L1914" s="6">
        <v>0.80900000000000005</v>
      </c>
      <c r="M1914" s="6">
        <v>0.80900000000000005</v>
      </c>
      <c r="N1914" s="6">
        <v>0.80900000000000005</v>
      </c>
      <c r="O1914" s="6">
        <v>0.80900000000000005</v>
      </c>
      <c r="P1914" s="6">
        <v>4</v>
      </c>
      <c r="Q1914" s="4" t="s">
        <v>26</v>
      </c>
      <c r="R1914" s="4">
        <v>0</v>
      </c>
      <c r="S1914" s="4" t="s">
        <v>440</v>
      </c>
      <c r="T1914" s="4" t="s">
        <v>710</v>
      </c>
      <c r="U1914" s="4">
        <v>0</v>
      </c>
      <c r="V1914" s="4">
        <v>67</v>
      </c>
      <c r="W1914" s="4">
        <v>111</v>
      </c>
    </row>
    <row r="1915" spans="1:23" ht="11.25" customHeight="1" x14ac:dyDescent="0.25">
      <c r="A1915" s="4" t="s">
        <v>21</v>
      </c>
      <c r="B1915" s="4" t="s">
        <v>39</v>
      </c>
      <c r="C1915" s="4" t="s">
        <v>23</v>
      </c>
      <c r="D1915" s="4" t="s">
        <v>54</v>
      </c>
      <c r="E1915" s="4" t="s">
        <v>25</v>
      </c>
      <c r="F1915" s="4" t="s">
        <v>25</v>
      </c>
      <c r="G1915" s="4" t="s">
        <v>25</v>
      </c>
      <c r="H1915" s="4" t="s">
        <v>25</v>
      </c>
      <c r="I1915" s="5">
        <v>44593</v>
      </c>
      <c r="J1915" s="6">
        <v>0</v>
      </c>
      <c r="K1915" s="6">
        <v>0</v>
      </c>
      <c r="L1915" s="6">
        <v>78.963999999999999</v>
      </c>
      <c r="M1915" s="6">
        <v>78.963999999999999</v>
      </c>
      <c r="N1915" s="6">
        <v>78.963999999999999</v>
      </c>
      <c r="O1915" s="6">
        <v>78.963999999999999</v>
      </c>
      <c r="P1915" s="6">
        <v>38</v>
      </c>
      <c r="Q1915" s="4" t="s">
        <v>26</v>
      </c>
      <c r="R1915" s="4">
        <v>0</v>
      </c>
      <c r="S1915" s="4" t="s">
        <v>441</v>
      </c>
      <c r="T1915" s="4" t="s">
        <v>711</v>
      </c>
      <c r="U1915" s="4">
        <v>0</v>
      </c>
      <c r="V1915" s="4">
        <v>67</v>
      </c>
      <c r="W1915" s="4">
        <v>111</v>
      </c>
    </row>
    <row r="1916" spans="1:23" ht="11.25" customHeight="1" x14ac:dyDescent="0.25">
      <c r="A1916" s="4" t="s">
        <v>28</v>
      </c>
      <c r="B1916" s="4" t="s">
        <v>39</v>
      </c>
      <c r="C1916" s="4" t="s">
        <v>23</v>
      </c>
      <c r="D1916" s="4" t="s">
        <v>54</v>
      </c>
      <c r="E1916" s="4" t="s">
        <v>25</v>
      </c>
      <c r="F1916" s="4" t="s">
        <v>25</v>
      </c>
      <c r="G1916" s="4" t="s">
        <v>25</v>
      </c>
      <c r="H1916" s="4" t="s">
        <v>25</v>
      </c>
      <c r="I1916" s="5">
        <v>44593</v>
      </c>
      <c r="J1916" s="6">
        <v>0</v>
      </c>
      <c r="K1916" s="6">
        <v>0</v>
      </c>
      <c r="L1916" s="6">
        <v>10.352</v>
      </c>
      <c r="M1916" s="6">
        <v>10.352</v>
      </c>
      <c r="N1916" s="6">
        <v>10.352</v>
      </c>
      <c r="O1916" s="6">
        <v>10.352</v>
      </c>
      <c r="P1916" s="6">
        <v>14</v>
      </c>
      <c r="Q1916" s="4" t="s">
        <v>26</v>
      </c>
      <c r="R1916" s="4">
        <v>0</v>
      </c>
      <c r="S1916" s="4" t="s">
        <v>441</v>
      </c>
      <c r="T1916" s="4" t="s">
        <v>711</v>
      </c>
      <c r="U1916" s="4">
        <v>0</v>
      </c>
      <c r="V1916" s="4">
        <v>67</v>
      </c>
      <c r="W1916" s="4">
        <v>111</v>
      </c>
    </row>
    <row r="1917" spans="1:23" ht="11.25" customHeight="1" x14ac:dyDescent="0.25">
      <c r="A1917" s="4" t="s">
        <v>21</v>
      </c>
      <c r="B1917" s="4" t="s">
        <v>39</v>
      </c>
      <c r="C1917" s="4" t="s">
        <v>23</v>
      </c>
      <c r="D1917" s="4" t="s">
        <v>54</v>
      </c>
      <c r="E1917" s="4" t="s">
        <v>25</v>
      </c>
      <c r="F1917" s="4" t="s">
        <v>25</v>
      </c>
      <c r="G1917" s="4" t="s">
        <v>25</v>
      </c>
      <c r="H1917" s="4" t="s">
        <v>25</v>
      </c>
      <c r="I1917" s="5">
        <v>44621</v>
      </c>
      <c r="J1917" s="6">
        <v>0</v>
      </c>
      <c r="K1917" s="6">
        <v>0</v>
      </c>
      <c r="L1917" s="6">
        <v>64.923000000000002</v>
      </c>
      <c r="M1917" s="6">
        <v>64.923000000000002</v>
      </c>
      <c r="N1917" s="6">
        <v>64.923000000000002</v>
      </c>
      <c r="O1917" s="6">
        <v>64.923000000000002</v>
      </c>
      <c r="P1917" s="6">
        <v>38</v>
      </c>
      <c r="Q1917" s="4" t="s">
        <v>26</v>
      </c>
      <c r="R1917" s="4">
        <v>0</v>
      </c>
      <c r="S1917" s="4" t="s">
        <v>442</v>
      </c>
      <c r="T1917" s="4" t="s">
        <v>712</v>
      </c>
      <c r="U1917" s="4">
        <v>0</v>
      </c>
      <c r="V1917" s="4">
        <v>67</v>
      </c>
      <c r="W1917" s="4">
        <v>111</v>
      </c>
    </row>
    <row r="1918" spans="1:23" ht="11.25" customHeight="1" x14ac:dyDescent="0.25">
      <c r="A1918" s="4" t="s">
        <v>28</v>
      </c>
      <c r="B1918" s="4" t="s">
        <v>39</v>
      </c>
      <c r="C1918" s="4" t="s">
        <v>23</v>
      </c>
      <c r="D1918" s="4" t="s">
        <v>54</v>
      </c>
      <c r="E1918" s="4" t="s">
        <v>25</v>
      </c>
      <c r="F1918" s="4" t="s">
        <v>25</v>
      </c>
      <c r="G1918" s="4" t="s">
        <v>25</v>
      </c>
      <c r="H1918" s="4" t="s">
        <v>25</v>
      </c>
      <c r="I1918" s="5">
        <v>44621</v>
      </c>
      <c r="J1918" s="6">
        <v>0</v>
      </c>
      <c r="K1918" s="6">
        <v>0</v>
      </c>
      <c r="L1918" s="6">
        <v>9.6199999999999992</v>
      </c>
      <c r="M1918" s="6">
        <v>9.6199999999999992</v>
      </c>
      <c r="N1918" s="6">
        <v>9.6199999999999992</v>
      </c>
      <c r="O1918" s="6">
        <v>9.6199999999999992</v>
      </c>
      <c r="P1918" s="6">
        <v>14</v>
      </c>
      <c r="Q1918" s="4" t="s">
        <v>26</v>
      </c>
      <c r="R1918" s="4">
        <v>0</v>
      </c>
      <c r="S1918" s="4" t="s">
        <v>442</v>
      </c>
      <c r="T1918" s="4" t="s">
        <v>712</v>
      </c>
      <c r="U1918" s="4">
        <v>0</v>
      </c>
      <c r="V1918" s="4">
        <v>67</v>
      </c>
      <c r="W1918" s="4">
        <v>111</v>
      </c>
    </row>
    <row r="1919" spans="1:23" ht="11.25" customHeight="1" x14ac:dyDescent="0.25">
      <c r="A1919" s="4" t="s">
        <v>30</v>
      </c>
      <c r="B1919" s="4" t="s">
        <v>39</v>
      </c>
      <c r="C1919" s="4" t="s">
        <v>23</v>
      </c>
      <c r="D1919" s="4" t="s">
        <v>54</v>
      </c>
      <c r="E1919" s="4" t="s">
        <v>25</v>
      </c>
      <c r="F1919" s="4" t="s">
        <v>25</v>
      </c>
      <c r="G1919" s="4" t="s">
        <v>25</v>
      </c>
      <c r="H1919" s="4" t="s">
        <v>25</v>
      </c>
      <c r="I1919" s="5">
        <v>44621</v>
      </c>
      <c r="J1919" s="6">
        <v>0</v>
      </c>
      <c r="K1919" s="6">
        <v>0</v>
      </c>
      <c r="L1919" s="6">
        <v>0.1</v>
      </c>
      <c r="M1919" s="6">
        <v>0.1</v>
      </c>
      <c r="N1919" s="6">
        <v>0.1</v>
      </c>
      <c r="O1919" s="6">
        <v>0.1</v>
      </c>
      <c r="P1919" s="6">
        <v>1</v>
      </c>
      <c r="Q1919" s="4" t="s">
        <v>26</v>
      </c>
      <c r="R1919" s="4">
        <v>0</v>
      </c>
      <c r="S1919" s="4" t="s">
        <v>442</v>
      </c>
      <c r="T1919" s="4" t="s">
        <v>712</v>
      </c>
      <c r="U1919" s="4">
        <v>0</v>
      </c>
      <c r="V1919" s="4">
        <v>67</v>
      </c>
      <c r="W1919" s="4">
        <v>111</v>
      </c>
    </row>
    <row r="1920" spans="1:23" ht="11.25" customHeight="1" x14ac:dyDescent="0.25">
      <c r="A1920" s="4" t="s">
        <v>21</v>
      </c>
      <c r="B1920" s="4" t="s">
        <v>39</v>
      </c>
      <c r="C1920" s="4" t="s">
        <v>23</v>
      </c>
      <c r="D1920" s="4" t="s">
        <v>54</v>
      </c>
      <c r="E1920" s="4" t="s">
        <v>25</v>
      </c>
      <c r="F1920" s="4" t="s">
        <v>25</v>
      </c>
      <c r="G1920" s="4" t="s">
        <v>25</v>
      </c>
      <c r="H1920" s="4" t="s">
        <v>25</v>
      </c>
      <c r="I1920" s="5">
        <v>44652</v>
      </c>
      <c r="J1920" s="6">
        <v>0</v>
      </c>
      <c r="K1920" s="6">
        <v>0</v>
      </c>
      <c r="L1920" s="6">
        <v>74.230999999999995</v>
      </c>
      <c r="M1920" s="6">
        <v>74.230999999999995</v>
      </c>
      <c r="N1920" s="6">
        <v>74.230999999999995</v>
      </c>
      <c r="O1920" s="6">
        <v>74.230999999999995</v>
      </c>
      <c r="P1920" s="6">
        <v>36</v>
      </c>
      <c r="Q1920" s="4" t="s">
        <v>26</v>
      </c>
      <c r="R1920" s="4">
        <v>0</v>
      </c>
      <c r="S1920" s="4" t="s">
        <v>443</v>
      </c>
      <c r="T1920" s="4" t="s">
        <v>713</v>
      </c>
      <c r="U1920" s="4">
        <v>0</v>
      </c>
      <c r="V1920" s="4">
        <v>67</v>
      </c>
      <c r="W1920" s="4">
        <v>111</v>
      </c>
    </row>
    <row r="1921" spans="1:23" ht="11.25" customHeight="1" x14ac:dyDescent="0.25">
      <c r="A1921" s="4" t="s">
        <v>28</v>
      </c>
      <c r="B1921" s="4" t="s">
        <v>39</v>
      </c>
      <c r="C1921" s="4" t="s">
        <v>23</v>
      </c>
      <c r="D1921" s="4" t="s">
        <v>54</v>
      </c>
      <c r="E1921" s="4" t="s">
        <v>25</v>
      </c>
      <c r="F1921" s="4" t="s">
        <v>25</v>
      </c>
      <c r="G1921" s="4" t="s">
        <v>25</v>
      </c>
      <c r="H1921" s="4" t="s">
        <v>25</v>
      </c>
      <c r="I1921" s="5">
        <v>44652</v>
      </c>
      <c r="J1921" s="6">
        <v>0</v>
      </c>
      <c r="K1921" s="6">
        <v>0</v>
      </c>
      <c r="L1921" s="6">
        <v>10.284000000000001</v>
      </c>
      <c r="M1921" s="6">
        <v>10.284000000000001</v>
      </c>
      <c r="N1921" s="6">
        <v>10.284000000000001</v>
      </c>
      <c r="O1921" s="6">
        <v>10.284000000000001</v>
      </c>
      <c r="P1921" s="6">
        <v>16</v>
      </c>
      <c r="Q1921" s="4" t="s">
        <v>26</v>
      </c>
      <c r="R1921" s="4">
        <v>0</v>
      </c>
      <c r="S1921" s="4" t="s">
        <v>443</v>
      </c>
      <c r="T1921" s="4" t="s">
        <v>713</v>
      </c>
      <c r="U1921" s="4">
        <v>0</v>
      </c>
      <c r="V1921" s="4">
        <v>67</v>
      </c>
      <c r="W1921" s="4">
        <v>111</v>
      </c>
    </row>
    <row r="1922" spans="1:23" ht="11.25" customHeight="1" x14ac:dyDescent="0.25">
      <c r="A1922" s="4" t="s">
        <v>30</v>
      </c>
      <c r="B1922" s="4" t="s">
        <v>39</v>
      </c>
      <c r="C1922" s="4" t="s">
        <v>23</v>
      </c>
      <c r="D1922" s="4" t="s">
        <v>54</v>
      </c>
      <c r="E1922" s="4" t="s">
        <v>25</v>
      </c>
      <c r="F1922" s="4" t="s">
        <v>25</v>
      </c>
      <c r="G1922" s="4" t="s">
        <v>25</v>
      </c>
      <c r="H1922" s="4" t="s">
        <v>25</v>
      </c>
      <c r="I1922" s="5">
        <v>44652</v>
      </c>
      <c r="J1922" s="6">
        <v>0</v>
      </c>
      <c r="K1922" s="6">
        <v>0</v>
      </c>
      <c r="L1922" s="6">
        <v>0.1</v>
      </c>
      <c r="M1922" s="6">
        <v>0.1</v>
      </c>
      <c r="N1922" s="6">
        <v>0.1</v>
      </c>
      <c r="O1922" s="6">
        <v>0.1</v>
      </c>
      <c r="P1922" s="6">
        <v>1</v>
      </c>
      <c r="Q1922" s="4" t="s">
        <v>26</v>
      </c>
      <c r="R1922" s="4">
        <v>0</v>
      </c>
      <c r="S1922" s="4" t="s">
        <v>443</v>
      </c>
      <c r="T1922" s="4" t="s">
        <v>713</v>
      </c>
      <c r="U1922" s="4">
        <v>0</v>
      </c>
      <c r="V1922" s="4">
        <v>67</v>
      </c>
      <c r="W1922" s="4">
        <v>111</v>
      </c>
    </row>
    <row r="1923" spans="1:23" ht="11.25" customHeight="1" x14ac:dyDescent="0.25">
      <c r="A1923" s="4" t="s">
        <v>21</v>
      </c>
      <c r="B1923" s="4" t="s">
        <v>39</v>
      </c>
      <c r="C1923" s="4" t="s">
        <v>23</v>
      </c>
      <c r="D1923" s="4" t="s">
        <v>54</v>
      </c>
      <c r="E1923" s="4" t="s">
        <v>25</v>
      </c>
      <c r="F1923" s="4" t="s">
        <v>25</v>
      </c>
      <c r="G1923" s="4" t="s">
        <v>25</v>
      </c>
      <c r="H1923" s="4" t="s">
        <v>25</v>
      </c>
      <c r="I1923" s="5">
        <v>44682</v>
      </c>
      <c r="J1923" s="6">
        <v>0</v>
      </c>
      <c r="K1923" s="6">
        <v>0</v>
      </c>
      <c r="L1923" s="6">
        <v>64.531999999999996</v>
      </c>
      <c r="M1923" s="6">
        <v>64.531999999999996</v>
      </c>
      <c r="N1923" s="6">
        <v>64.531999999999996</v>
      </c>
      <c r="O1923" s="6">
        <v>64.531999999999996</v>
      </c>
      <c r="P1923" s="6">
        <v>35</v>
      </c>
      <c r="Q1923" s="4" t="s">
        <v>26</v>
      </c>
      <c r="R1923" s="4">
        <v>0</v>
      </c>
      <c r="S1923" s="4" t="s">
        <v>444</v>
      </c>
      <c r="T1923" s="4" t="s">
        <v>714</v>
      </c>
      <c r="U1923" s="4">
        <v>0</v>
      </c>
      <c r="V1923" s="4">
        <v>67</v>
      </c>
      <c r="W1923" s="4">
        <v>111</v>
      </c>
    </row>
    <row r="1924" spans="1:23" ht="11.25" customHeight="1" x14ac:dyDescent="0.25">
      <c r="A1924" s="4" t="s">
        <v>27</v>
      </c>
      <c r="B1924" s="4" t="s">
        <v>39</v>
      </c>
      <c r="C1924" s="4" t="s">
        <v>23</v>
      </c>
      <c r="D1924" s="4" t="s">
        <v>54</v>
      </c>
      <c r="E1924" s="4" t="s">
        <v>25</v>
      </c>
      <c r="F1924" s="4" t="s">
        <v>25</v>
      </c>
      <c r="G1924" s="4" t="s">
        <v>25</v>
      </c>
      <c r="H1924" s="4" t="s">
        <v>25</v>
      </c>
      <c r="I1924" s="5">
        <v>44682</v>
      </c>
      <c r="J1924" s="6">
        <v>0</v>
      </c>
      <c r="K1924" s="6">
        <v>0</v>
      </c>
      <c r="L1924" s="6">
        <v>0.05</v>
      </c>
      <c r="M1924" s="6">
        <v>0.05</v>
      </c>
      <c r="N1924" s="6">
        <v>0.05</v>
      </c>
      <c r="O1924" s="6">
        <v>0.05</v>
      </c>
      <c r="P1924" s="6">
        <v>1</v>
      </c>
      <c r="Q1924" s="4" t="s">
        <v>26</v>
      </c>
      <c r="R1924" s="4">
        <v>0</v>
      </c>
      <c r="S1924" s="4" t="s">
        <v>444</v>
      </c>
      <c r="T1924" s="4" t="s">
        <v>714</v>
      </c>
      <c r="U1924" s="4">
        <v>0</v>
      </c>
      <c r="V1924" s="4">
        <v>67</v>
      </c>
      <c r="W1924" s="4">
        <v>111</v>
      </c>
    </row>
    <row r="1925" spans="1:23" ht="11.25" customHeight="1" x14ac:dyDescent="0.25">
      <c r="A1925" s="4" t="s">
        <v>28</v>
      </c>
      <c r="B1925" s="4" t="s">
        <v>39</v>
      </c>
      <c r="C1925" s="4" t="s">
        <v>23</v>
      </c>
      <c r="D1925" s="4" t="s">
        <v>54</v>
      </c>
      <c r="E1925" s="4" t="s">
        <v>25</v>
      </c>
      <c r="F1925" s="4" t="s">
        <v>25</v>
      </c>
      <c r="G1925" s="4" t="s">
        <v>25</v>
      </c>
      <c r="H1925" s="4" t="s">
        <v>25</v>
      </c>
      <c r="I1925" s="5">
        <v>44682</v>
      </c>
      <c r="J1925" s="6">
        <v>0</v>
      </c>
      <c r="K1925" s="6">
        <v>0</v>
      </c>
      <c r="L1925" s="6">
        <v>10.206</v>
      </c>
      <c r="M1925" s="6">
        <v>10.206</v>
      </c>
      <c r="N1925" s="6">
        <v>10.206</v>
      </c>
      <c r="O1925" s="6">
        <v>10.206</v>
      </c>
      <c r="P1925" s="6">
        <v>16</v>
      </c>
      <c r="Q1925" s="4" t="s">
        <v>26</v>
      </c>
      <c r="R1925" s="4">
        <v>0</v>
      </c>
      <c r="S1925" s="4" t="s">
        <v>444</v>
      </c>
      <c r="T1925" s="4" t="s">
        <v>714</v>
      </c>
      <c r="U1925" s="4">
        <v>0</v>
      </c>
      <c r="V1925" s="4">
        <v>67</v>
      </c>
      <c r="W1925" s="4">
        <v>111</v>
      </c>
    </row>
    <row r="1926" spans="1:23" ht="11.25" customHeight="1" x14ac:dyDescent="0.25">
      <c r="A1926" s="4" t="s">
        <v>30</v>
      </c>
      <c r="B1926" s="4" t="s">
        <v>39</v>
      </c>
      <c r="C1926" s="4" t="s">
        <v>23</v>
      </c>
      <c r="D1926" s="4" t="s">
        <v>54</v>
      </c>
      <c r="E1926" s="4" t="s">
        <v>25</v>
      </c>
      <c r="F1926" s="4" t="s">
        <v>25</v>
      </c>
      <c r="G1926" s="4" t="s">
        <v>25</v>
      </c>
      <c r="H1926" s="4" t="s">
        <v>25</v>
      </c>
      <c r="I1926" s="5">
        <v>44682</v>
      </c>
      <c r="J1926" s="6">
        <v>0</v>
      </c>
      <c r="K1926" s="6">
        <v>0</v>
      </c>
      <c r="L1926" s="6">
        <v>0.1</v>
      </c>
      <c r="M1926" s="6">
        <v>0.1</v>
      </c>
      <c r="N1926" s="6">
        <v>0.1</v>
      </c>
      <c r="O1926" s="6">
        <v>0.1</v>
      </c>
      <c r="P1926" s="6">
        <v>1</v>
      </c>
      <c r="Q1926" s="4" t="s">
        <v>26</v>
      </c>
      <c r="R1926" s="4">
        <v>0</v>
      </c>
      <c r="S1926" s="4" t="s">
        <v>444</v>
      </c>
      <c r="T1926" s="4" t="s">
        <v>714</v>
      </c>
      <c r="U1926" s="4">
        <v>0</v>
      </c>
      <c r="V1926" s="4">
        <v>67</v>
      </c>
      <c r="W1926" s="4">
        <v>111</v>
      </c>
    </row>
    <row r="1927" spans="1:23" ht="11.25" customHeight="1" x14ac:dyDescent="0.25">
      <c r="A1927" s="4" t="s">
        <v>21</v>
      </c>
      <c r="B1927" s="4" t="s">
        <v>39</v>
      </c>
      <c r="C1927" s="4" t="s">
        <v>23</v>
      </c>
      <c r="D1927" s="4" t="s">
        <v>54</v>
      </c>
      <c r="E1927" s="4" t="s">
        <v>25</v>
      </c>
      <c r="F1927" s="4" t="s">
        <v>25</v>
      </c>
      <c r="G1927" s="4" t="s">
        <v>25</v>
      </c>
      <c r="H1927" s="4" t="s">
        <v>25</v>
      </c>
      <c r="I1927" s="5">
        <v>44713</v>
      </c>
      <c r="J1927" s="6">
        <v>0</v>
      </c>
      <c r="K1927" s="6">
        <v>0</v>
      </c>
      <c r="L1927" s="6">
        <v>54.491999999999997</v>
      </c>
      <c r="M1927" s="6">
        <v>54.491999999999997</v>
      </c>
      <c r="N1927" s="6">
        <v>54.491999999999997</v>
      </c>
      <c r="O1927" s="6">
        <v>54.491999999999997</v>
      </c>
      <c r="P1927" s="6">
        <v>38</v>
      </c>
      <c r="Q1927" s="4" t="s">
        <v>26</v>
      </c>
      <c r="R1927" s="4">
        <v>0</v>
      </c>
      <c r="S1927" s="4" t="s">
        <v>445</v>
      </c>
      <c r="T1927" s="4" t="s">
        <v>715</v>
      </c>
      <c r="U1927" s="4">
        <v>0</v>
      </c>
      <c r="V1927" s="4">
        <v>67</v>
      </c>
      <c r="W1927" s="4">
        <v>111</v>
      </c>
    </row>
    <row r="1928" spans="1:23" ht="11.25" customHeight="1" x14ac:dyDescent="0.25">
      <c r="A1928" s="4" t="s">
        <v>27</v>
      </c>
      <c r="B1928" s="4" t="s">
        <v>39</v>
      </c>
      <c r="C1928" s="4" t="s">
        <v>23</v>
      </c>
      <c r="D1928" s="4" t="s">
        <v>54</v>
      </c>
      <c r="E1928" s="4" t="s">
        <v>25</v>
      </c>
      <c r="F1928" s="4" t="s">
        <v>25</v>
      </c>
      <c r="G1928" s="4" t="s">
        <v>25</v>
      </c>
      <c r="H1928" s="4" t="s">
        <v>25</v>
      </c>
      <c r="I1928" s="5">
        <v>44713</v>
      </c>
      <c r="J1928" s="6">
        <v>0</v>
      </c>
      <c r="K1928" s="6">
        <v>0</v>
      </c>
      <c r="L1928" s="6">
        <v>1.7490000000000001</v>
      </c>
      <c r="M1928" s="6">
        <v>1.7490000000000001</v>
      </c>
      <c r="N1928" s="6">
        <v>1.7490000000000001</v>
      </c>
      <c r="O1928" s="6">
        <v>1.7490000000000001</v>
      </c>
      <c r="P1928" s="6">
        <v>2</v>
      </c>
      <c r="Q1928" s="4" t="s">
        <v>26</v>
      </c>
      <c r="R1928" s="4">
        <v>0</v>
      </c>
      <c r="S1928" s="4" t="s">
        <v>445</v>
      </c>
      <c r="T1928" s="4" t="s">
        <v>715</v>
      </c>
      <c r="U1928" s="4">
        <v>0</v>
      </c>
      <c r="V1928" s="4">
        <v>67</v>
      </c>
      <c r="W1928" s="4">
        <v>111</v>
      </c>
    </row>
    <row r="1929" spans="1:23" ht="11.25" customHeight="1" x14ac:dyDescent="0.25">
      <c r="A1929" s="4" t="s">
        <v>28</v>
      </c>
      <c r="B1929" s="4" t="s">
        <v>39</v>
      </c>
      <c r="C1929" s="4" t="s">
        <v>23</v>
      </c>
      <c r="D1929" s="4" t="s">
        <v>54</v>
      </c>
      <c r="E1929" s="4" t="s">
        <v>25</v>
      </c>
      <c r="F1929" s="4" t="s">
        <v>25</v>
      </c>
      <c r="G1929" s="4" t="s">
        <v>25</v>
      </c>
      <c r="H1929" s="4" t="s">
        <v>25</v>
      </c>
      <c r="I1929" s="5">
        <v>44713</v>
      </c>
      <c r="J1929" s="6">
        <v>0</v>
      </c>
      <c r="K1929" s="6">
        <v>0</v>
      </c>
      <c r="L1929" s="6">
        <v>10.053000000000001</v>
      </c>
      <c r="M1929" s="6">
        <v>10.053000000000001</v>
      </c>
      <c r="N1929" s="6">
        <v>10.053000000000001</v>
      </c>
      <c r="O1929" s="6">
        <v>10.053000000000001</v>
      </c>
      <c r="P1929" s="6">
        <v>17</v>
      </c>
      <c r="Q1929" s="4" t="s">
        <v>26</v>
      </c>
      <c r="R1929" s="4">
        <v>0</v>
      </c>
      <c r="S1929" s="4" t="s">
        <v>445</v>
      </c>
      <c r="T1929" s="4" t="s">
        <v>715</v>
      </c>
      <c r="U1929" s="4">
        <v>0</v>
      </c>
      <c r="V1929" s="4">
        <v>67</v>
      </c>
      <c r="W1929" s="4">
        <v>111</v>
      </c>
    </row>
    <row r="1930" spans="1:23" ht="11.25" customHeight="1" x14ac:dyDescent="0.25">
      <c r="A1930" s="4" t="s">
        <v>30</v>
      </c>
      <c r="B1930" s="4" t="s">
        <v>39</v>
      </c>
      <c r="C1930" s="4" t="s">
        <v>23</v>
      </c>
      <c r="D1930" s="4" t="s">
        <v>54</v>
      </c>
      <c r="E1930" s="4" t="s">
        <v>25</v>
      </c>
      <c r="F1930" s="4" t="s">
        <v>25</v>
      </c>
      <c r="G1930" s="4" t="s">
        <v>25</v>
      </c>
      <c r="H1930" s="4" t="s">
        <v>25</v>
      </c>
      <c r="I1930" s="5">
        <v>44713</v>
      </c>
      <c r="J1930" s="6">
        <v>0</v>
      </c>
      <c r="K1930" s="6">
        <v>0</v>
      </c>
      <c r="L1930" s="6">
        <v>0.1</v>
      </c>
      <c r="M1930" s="6">
        <v>0.1</v>
      </c>
      <c r="N1930" s="6">
        <v>0.1</v>
      </c>
      <c r="O1930" s="6">
        <v>0.1</v>
      </c>
      <c r="P1930" s="6">
        <v>1</v>
      </c>
      <c r="Q1930" s="4" t="s">
        <v>26</v>
      </c>
      <c r="R1930" s="4">
        <v>0</v>
      </c>
      <c r="S1930" s="4" t="s">
        <v>445</v>
      </c>
      <c r="T1930" s="4" t="s">
        <v>715</v>
      </c>
      <c r="U1930" s="4">
        <v>0</v>
      </c>
      <c r="V1930" s="4">
        <v>67</v>
      </c>
      <c r="W1930" s="4">
        <v>111</v>
      </c>
    </row>
    <row r="1931" spans="1:23" ht="11.25" customHeight="1" x14ac:dyDescent="0.25">
      <c r="A1931" s="4" t="s">
        <v>21</v>
      </c>
      <c r="B1931" s="4" t="s">
        <v>39</v>
      </c>
      <c r="C1931" s="4" t="s">
        <v>23</v>
      </c>
      <c r="D1931" s="4" t="s">
        <v>54</v>
      </c>
      <c r="E1931" s="4" t="s">
        <v>25</v>
      </c>
      <c r="F1931" s="4" t="s">
        <v>25</v>
      </c>
      <c r="G1931" s="4" t="s">
        <v>25</v>
      </c>
      <c r="H1931" s="4" t="s">
        <v>25</v>
      </c>
      <c r="I1931" s="5">
        <v>44743</v>
      </c>
      <c r="J1931" s="6">
        <v>0</v>
      </c>
      <c r="K1931" s="6">
        <v>0</v>
      </c>
      <c r="L1931" s="6">
        <v>68.287000000000006</v>
      </c>
      <c r="M1931" s="6">
        <v>68.287000000000006</v>
      </c>
      <c r="N1931" s="6">
        <v>68.287000000000006</v>
      </c>
      <c r="O1931" s="6">
        <v>68.287000000000006</v>
      </c>
      <c r="P1931" s="6">
        <v>40</v>
      </c>
      <c r="Q1931" s="4" t="s">
        <v>26</v>
      </c>
      <c r="R1931" s="4">
        <v>0</v>
      </c>
      <c r="S1931" s="4" t="s">
        <v>446</v>
      </c>
      <c r="T1931" s="4" t="s">
        <v>716</v>
      </c>
      <c r="U1931" s="4">
        <v>0</v>
      </c>
      <c r="V1931" s="4">
        <v>67</v>
      </c>
      <c r="W1931" s="4">
        <v>111</v>
      </c>
    </row>
    <row r="1932" spans="1:23" ht="11.25" customHeight="1" x14ac:dyDescent="0.25">
      <c r="A1932" s="4" t="s">
        <v>28</v>
      </c>
      <c r="B1932" s="4" t="s">
        <v>39</v>
      </c>
      <c r="C1932" s="4" t="s">
        <v>23</v>
      </c>
      <c r="D1932" s="4" t="s">
        <v>54</v>
      </c>
      <c r="E1932" s="4" t="s">
        <v>25</v>
      </c>
      <c r="F1932" s="4" t="s">
        <v>25</v>
      </c>
      <c r="G1932" s="4" t="s">
        <v>25</v>
      </c>
      <c r="H1932" s="4" t="s">
        <v>25</v>
      </c>
      <c r="I1932" s="5">
        <v>44743</v>
      </c>
      <c r="J1932" s="6">
        <v>0</v>
      </c>
      <c r="K1932" s="6">
        <v>0</v>
      </c>
      <c r="L1932" s="6">
        <v>10.9</v>
      </c>
      <c r="M1932" s="6">
        <v>10.9</v>
      </c>
      <c r="N1932" s="6">
        <v>10.9</v>
      </c>
      <c r="O1932" s="6">
        <v>10.9</v>
      </c>
      <c r="P1932" s="6">
        <v>17</v>
      </c>
      <c r="Q1932" s="4" t="s">
        <v>26</v>
      </c>
      <c r="R1932" s="4">
        <v>0</v>
      </c>
      <c r="S1932" s="4" t="s">
        <v>446</v>
      </c>
      <c r="T1932" s="4" t="s">
        <v>716</v>
      </c>
      <c r="U1932" s="4">
        <v>0</v>
      </c>
      <c r="V1932" s="4">
        <v>67</v>
      </c>
      <c r="W1932" s="4">
        <v>111</v>
      </c>
    </row>
    <row r="1933" spans="1:23" ht="11.25" customHeight="1" x14ac:dyDescent="0.25">
      <c r="A1933" s="4" t="s">
        <v>30</v>
      </c>
      <c r="B1933" s="4" t="s">
        <v>39</v>
      </c>
      <c r="C1933" s="4" t="s">
        <v>23</v>
      </c>
      <c r="D1933" s="4" t="s">
        <v>54</v>
      </c>
      <c r="E1933" s="4" t="s">
        <v>25</v>
      </c>
      <c r="F1933" s="4" t="s">
        <v>25</v>
      </c>
      <c r="G1933" s="4" t="s">
        <v>25</v>
      </c>
      <c r="H1933" s="4" t="s">
        <v>25</v>
      </c>
      <c r="I1933" s="5">
        <v>44743</v>
      </c>
      <c r="J1933" s="6">
        <v>0</v>
      </c>
      <c r="K1933" s="6">
        <v>0</v>
      </c>
      <c r="L1933" s="6">
        <v>0.1</v>
      </c>
      <c r="M1933" s="6">
        <v>0.1</v>
      </c>
      <c r="N1933" s="6">
        <v>0.1</v>
      </c>
      <c r="O1933" s="6">
        <v>0.1</v>
      </c>
      <c r="P1933" s="6">
        <v>1</v>
      </c>
      <c r="Q1933" s="4" t="s">
        <v>26</v>
      </c>
      <c r="R1933" s="4">
        <v>0</v>
      </c>
      <c r="S1933" s="4" t="s">
        <v>446</v>
      </c>
      <c r="T1933" s="4" t="s">
        <v>716</v>
      </c>
      <c r="U1933" s="4">
        <v>0</v>
      </c>
      <c r="V1933" s="4">
        <v>67</v>
      </c>
      <c r="W1933" s="4">
        <v>111</v>
      </c>
    </row>
    <row r="1934" spans="1:23" ht="11.25" customHeight="1" x14ac:dyDescent="0.25">
      <c r="A1934" s="4" t="s">
        <v>21</v>
      </c>
      <c r="B1934" s="4" t="s">
        <v>39</v>
      </c>
      <c r="C1934" s="4" t="s">
        <v>23</v>
      </c>
      <c r="D1934" s="4" t="s">
        <v>54</v>
      </c>
      <c r="E1934" s="4" t="s">
        <v>25</v>
      </c>
      <c r="F1934" s="4" t="s">
        <v>25</v>
      </c>
      <c r="G1934" s="4" t="s">
        <v>25</v>
      </c>
      <c r="H1934" s="4" t="s">
        <v>25</v>
      </c>
      <c r="I1934" s="5">
        <v>44774</v>
      </c>
      <c r="J1934" s="6">
        <v>0</v>
      </c>
      <c r="K1934" s="6">
        <v>0</v>
      </c>
      <c r="L1934" s="6">
        <v>80.492999999999995</v>
      </c>
      <c r="M1934" s="6">
        <v>80.492999999999995</v>
      </c>
      <c r="N1934" s="6">
        <v>80.492999999999995</v>
      </c>
      <c r="O1934" s="6">
        <v>80.492999999999995</v>
      </c>
      <c r="P1934" s="6">
        <v>42</v>
      </c>
      <c r="Q1934" s="4" t="s">
        <v>26</v>
      </c>
      <c r="R1934" s="4">
        <v>0</v>
      </c>
      <c r="S1934" s="4" t="s">
        <v>447</v>
      </c>
      <c r="T1934" s="4" t="s">
        <v>717</v>
      </c>
      <c r="U1934" s="4">
        <v>0</v>
      </c>
      <c r="V1934" s="4">
        <v>67</v>
      </c>
      <c r="W1934" s="4">
        <v>111</v>
      </c>
    </row>
    <row r="1935" spans="1:23" ht="11.25" customHeight="1" x14ac:dyDescent="0.25">
      <c r="A1935" s="4" t="s">
        <v>28</v>
      </c>
      <c r="B1935" s="4" t="s">
        <v>39</v>
      </c>
      <c r="C1935" s="4" t="s">
        <v>23</v>
      </c>
      <c r="D1935" s="4" t="s">
        <v>54</v>
      </c>
      <c r="E1935" s="4" t="s">
        <v>25</v>
      </c>
      <c r="F1935" s="4" t="s">
        <v>25</v>
      </c>
      <c r="G1935" s="4" t="s">
        <v>25</v>
      </c>
      <c r="H1935" s="4" t="s">
        <v>25</v>
      </c>
      <c r="I1935" s="5">
        <v>44774</v>
      </c>
      <c r="J1935" s="6">
        <v>0</v>
      </c>
      <c r="K1935" s="6">
        <v>0</v>
      </c>
      <c r="L1935" s="6">
        <v>11.92</v>
      </c>
      <c r="M1935" s="6">
        <v>11.92</v>
      </c>
      <c r="N1935" s="6">
        <v>11.92</v>
      </c>
      <c r="O1935" s="6">
        <v>11.92</v>
      </c>
      <c r="P1935" s="6">
        <v>17</v>
      </c>
      <c r="Q1935" s="4" t="s">
        <v>26</v>
      </c>
      <c r="R1935" s="4">
        <v>0</v>
      </c>
      <c r="S1935" s="4" t="s">
        <v>447</v>
      </c>
      <c r="T1935" s="4" t="s">
        <v>717</v>
      </c>
      <c r="U1935" s="4">
        <v>0</v>
      </c>
      <c r="V1935" s="4">
        <v>67</v>
      </c>
      <c r="W1935" s="4">
        <v>111</v>
      </c>
    </row>
    <row r="1936" spans="1:23" ht="11.25" customHeight="1" x14ac:dyDescent="0.25">
      <c r="A1936" s="4" t="s">
        <v>30</v>
      </c>
      <c r="B1936" s="4" t="s">
        <v>39</v>
      </c>
      <c r="C1936" s="4" t="s">
        <v>23</v>
      </c>
      <c r="D1936" s="4" t="s">
        <v>54</v>
      </c>
      <c r="E1936" s="4" t="s">
        <v>25</v>
      </c>
      <c r="F1936" s="4" t="s">
        <v>25</v>
      </c>
      <c r="G1936" s="4" t="s">
        <v>25</v>
      </c>
      <c r="H1936" s="4" t="s">
        <v>25</v>
      </c>
      <c r="I1936" s="5">
        <v>44774</v>
      </c>
      <c r="J1936" s="6">
        <v>0</v>
      </c>
      <c r="K1936" s="6">
        <v>0</v>
      </c>
      <c r="L1936" s="6">
        <v>0.1</v>
      </c>
      <c r="M1936" s="6">
        <v>0.1</v>
      </c>
      <c r="N1936" s="6">
        <v>0.1</v>
      </c>
      <c r="O1936" s="6">
        <v>0.1</v>
      </c>
      <c r="P1936" s="6">
        <v>1</v>
      </c>
      <c r="Q1936" s="4" t="s">
        <v>26</v>
      </c>
      <c r="R1936" s="4">
        <v>0</v>
      </c>
      <c r="S1936" s="4" t="s">
        <v>447</v>
      </c>
      <c r="T1936" s="4" t="s">
        <v>717</v>
      </c>
      <c r="U1936" s="4">
        <v>0</v>
      </c>
      <c r="V1936" s="4">
        <v>67</v>
      </c>
      <c r="W1936" s="4">
        <v>111</v>
      </c>
    </row>
    <row r="1937" spans="1:23" ht="11.25" customHeight="1" x14ac:dyDescent="0.25">
      <c r="A1937" s="4" t="s">
        <v>21</v>
      </c>
      <c r="B1937" s="4" t="s">
        <v>39</v>
      </c>
      <c r="C1937" s="4" t="s">
        <v>23</v>
      </c>
      <c r="D1937" s="4" t="s">
        <v>54</v>
      </c>
      <c r="E1937" s="4" t="s">
        <v>25</v>
      </c>
      <c r="F1937" s="4" t="s">
        <v>25</v>
      </c>
      <c r="G1937" s="4" t="s">
        <v>25</v>
      </c>
      <c r="H1937" s="4" t="s">
        <v>25</v>
      </c>
      <c r="I1937" s="5">
        <v>44805</v>
      </c>
      <c r="J1937" s="6">
        <v>0</v>
      </c>
      <c r="K1937" s="6">
        <v>0</v>
      </c>
      <c r="L1937" s="6">
        <v>85.3</v>
      </c>
      <c r="M1937" s="6">
        <v>85.3</v>
      </c>
      <c r="N1937" s="6">
        <v>85.3</v>
      </c>
      <c r="O1937" s="6">
        <v>85.3</v>
      </c>
      <c r="P1937" s="6">
        <v>38</v>
      </c>
      <c r="Q1937" s="4" t="s">
        <v>26</v>
      </c>
      <c r="R1937" s="4">
        <v>0</v>
      </c>
      <c r="S1937" s="4" t="s">
        <v>448</v>
      </c>
      <c r="T1937" s="4" t="s">
        <v>718</v>
      </c>
      <c r="U1937" s="4">
        <v>0</v>
      </c>
      <c r="V1937" s="4">
        <v>67</v>
      </c>
      <c r="W1937" s="4">
        <v>111</v>
      </c>
    </row>
    <row r="1938" spans="1:23" ht="11.25" customHeight="1" x14ac:dyDescent="0.25">
      <c r="A1938" s="4" t="s">
        <v>27</v>
      </c>
      <c r="B1938" s="4" t="s">
        <v>39</v>
      </c>
      <c r="C1938" s="4" t="s">
        <v>23</v>
      </c>
      <c r="D1938" s="4" t="s">
        <v>54</v>
      </c>
      <c r="E1938" s="4" t="s">
        <v>25</v>
      </c>
      <c r="F1938" s="4" t="s">
        <v>25</v>
      </c>
      <c r="G1938" s="4" t="s">
        <v>25</v>
      </c>
      <c r="H1938" s="4" t="s">
        <v>25</v>
      </c>
      <c r="I1938" s="5">
        <v>44805</v>
      </c>
      <c r="J1938" s="6">
        <v>0</v>
      </c>
      <c r="K1938" s="6">
        <v>0</v>
      </c>
      <c r="L1938" s="6">
        <v>0.495</v>
      </c>
      <c r="M1938" s="6">
        <v>0.495</v>
      </c>
      <c r="N1938" s="6">
        <v>0.495</v>
      </c>
      <c r="O1938" s="6">
        <v>0.495</v>
      </c>
      <c r="P1938" s="6">
        <v>4</v>
      </c>
      <c r="Q1938" s="4" t="s">
        <v>26</v>
      </c>
      <c r="R1938" s="4">
        <v>0</v>
      </c>
      <c r="S1938" s="4" t="s">
        <v>448</v>
      </c>
      <c r="T1938" s="4" t="s">
        <v>718</v>
      </c>
      <c r="U1938" s="4">
        <v>0</v>
      </c>
      <c r="V1938" s="4">
        <v>67</v>
      </c>
      <c r="W1938" s="4">
        <v>111</v>
      </c>
    </row>
    <row r="1939" spans="1:23" ht="11.25" customHeight="1" x14ac:dyDescent="0.25">
      <c r="A1939" s="4" t="s">
        <v>28</v>
      </c>
      <c r="B1939" s="4" t="s">
        <v>39</v>
      </c>
      <c r="C1939" s="4" t="s">
        <v>23</v>
      </c>
      <c r="D1939" s="4" t="s">
        <v>54</v>
      </c>
      <c r="E1939" s="4" t="s">
        <v>25</v>
      </c>
      <c r="F1939" s="4" t="s">
        <v>25</v>
      </c>
      <c r="G1939" s="4" t="s">
        <v>25</v>
      </c>
      <c r="H1939" s="4" t="s">
        <v>25</v>
      </c>
      <c r="I1939" s="5">
        <v>44805</v>
      </c>
      <c r="J1939" s="6">
        <v>0</v>
      </c>
      <c r="K1939" s="6">
        <v>0</v>
      </c>
      <c r="L1939" s="6">
        <v>11.877000000000001</v>
      </c>
      <c r="M1939" s="6">
        <v>11.877000000000001</v>
      </c>
      <c r="N1939" s="6">
        <v>11.877000000000001</v>
      </c>
      <c r="O1939" s="6">
        <v>11.877000000000001</v>
      </c>
      <c r="P1939" s="6">
        <v>17</v>
      </c>
      <c r="Q1939" s="4" t="s">
        <v>26</v>
      </c>
      <c r="R1939" s="4">
        <v>0</v>
      </c>
      <c r="S1939" s="4" t="s">
        <v>448</v>
      </c>
      <c r="T1939" s="4" t="s">
        <v>718</v>
      </c>
      <c r="U1939" s="4">
        <v>0</v>
      </c>
      <c r="V1939" s="4">
        <v>67</v>
      </c>
      <c r="W1939" s="4">
        <v>111</v>
      </c>
    </row>
    <row r="1940" spans="1:23" ht="11.25" customHeight="1" x14ac:dyDescent="0.25">
      <c r="A1940" s="4" t="s">
        <v>30</v>
      </c>
      <c r="B1940" s="4" t="s">
        <v>39</v>
      </c>
      <c r="C1940" s="4" t="s">
        <v>23</v>
      </c>
      <c r="D1940" s="4" t="s">
        <v>54</v>
      </c>
      <c r="E1940" s="4" t="s">
        <v>25</v>
      </c>
      <c r="F1940" s="4" t="s">
        <v>25</v>
      </c>
      <c r="G1940" s="4" t="s">
        <v>25</v>
      </c>
      <c r="H1940" s="4" t="s">
        <v>25</v>
      </c>
      <c r="I1940" s="5">
        <v>44805</v>
      </c>
      <c r="J1940" s="6">
        <v>0</v>
      </c>
      <c r="K1940" s="6">
        <v>0</v>
      </c>
      <c r="L1940" s="6">
        <v>0.1</v>
      </c>
      <c r="M1940" s="6">
        <v>0.1</v>
      </c>
      <c r="N1940" s="6">
        <v>0.1</v>
      </c>
      <c r="O1940" s="6">
        <v>0.1</v>
      </c>
      <c r="P1940" s="6">
        <v>1</v>
      </c>
      <c r="Q1940" s="4" t="s">
        <v>26</v>
      </c>
      <c r="R1940" s="4">
        <v>0</v>
      </c>
      <c r="S1940" s="4" t="s">
        <v>448</v>
      </c>
      <c r="T1940" s="4" t="s">
        <v>718</v>
      </c>
      <c r="U1940" s="4">
        <v>0</v>
      </c>
      <c r="V1940" s="4">
        <v>67</v>
      </c>
      <c r="W1940" s="4">
        <v>111</v>
      </c>
    </row>
    <row r="1941" spans="1:23" ht="11.25" customHeight="1" x14ac:dyDescent="0.25">
      <c r="A1941" s="4" t="s">
        <v>21</v>
      </c>
      <c r="B1941" s="4" t="s">
        <v>39</v>
      </c>
      <c r="C1941" s="4" t="s">
        <v>23</v>
      </c>
      <c r="D1941" s="4" t="s">
        <v>54</v>
      </c>
      <c r="E1941" s="4" t="s">
        <v>25</v>
      </c>
      <c r="F1941" s="4" t="s">
        <v>25</v>
      </c>
      <c r="G1941" s="4" t="s">
        <v>25</v>
      </c>
      <c r="H1941" s="4" t="s">
        <v>25</v>
      </c>
      <c r="I1941" s="5">
        <v>44835</v>
      </c>
      <c r="J1941" s="6">
        <v>0</v>
      </c>
      <c r="K1941" s="6">
        <v>0</v>
      </c>
      <c r="L1941" s="6">
        <v>81.680999999999997</v>
      </c>
      <c r="M1941" s="6">
        <v>81.680999999999997</v>
      </c>
      <c r="N1941" s="6">
        <v>81.680999999999997</v>
      </c>
      <c r="O1941" s="6">
        <v>81.680999999999997</v>
      </c>
      <c r="P1941" s="6">
        <v>40</v>
      </c>
      <c r="Q1941" s="4" t="s">
        <v>26</v>
      </c>
      <c r="R1941" s="4">
        <v>0</v>
      </c>
      <c r="S1941" s="4" t="s">
        <v>449</v>
      </c>
      <c r="T1941" s="4" t="s">
        <v>719</v>
      </c>
      <c r="U1941" s="4">
        <v>0</v>
      </c>
      <c r="V1941" s="4">
        <v>67</v>
      </c>
      <c r="W1941" s="4">
        <v>111</v>
      </c>
    </row>
    <row r="1942" spans="1:23" ht="11.25" customHeight="1" x14ac:dyDescent="0.25">
      <c r="A1942" s="4" t="s">
        <v>28</v>
      </c>
      <c r="B1942" s="4" t="s">
        <v>39</v>
      </c>
      <c r="C1942" s="4" t="s">
        <v>23</v>
      </c>
      <c r="D1942" s="4" t="s">
        <v>54</v>
      </c>
      <c r="E1942" s="4" t="s">
        <v>25</v>
      </c>
      <c r="F1942" s="4" t="s">
        <v>25</v>
      </c>
      <c r="G1942" s="4" t="s">
        <v>25</v>
      </c>
      <c r="H1942" s="4" t="s">
        <v>25</v>
      </c>
      <c r="I1942" s="5">
        <v>44835</v>
      </c>
      <c r="J1942" s="6">
        <v>0</v>
      </c>
      <c r="K1942" s="6">
        <v>0</v>
      </c>
      <c r="L1942" s="6">
        <v>19.181000000000001</v>
      </c>
      <c r="M1942" s="6">
        <v>19.181000000000001</v>
      </c>
      <c r="N1942" s="6">
        <v>19.181000000000001</v>
      </c>
      <c r="O1942" s="6">
        <v>19.181000000000001</v>
      </c>
      <c r="P1942" s="6">
        <v>32</v>
      </c>
      <c r="Q1942" s="4" t="s">
        <v>26</v>
      </c>
      <c r="R1942" s="4">
        <v>0</v>
      </c>
      <c r="S1942" s="4" t="s">
        <v>449</v>
      </c>
      <c r="T1942" s="4" t="s">
        <v>719</v>
      </c>
      <c r="U1942" s="4">
        <v>0</v>
      </c>
      <c r="V1942" s="4">
        <v>67</v>
      </c>
      <c r="W1942" s="4">
        <v>111</v>
      </c>
    </row>
    <row r="1943" spans="1:23" ht="11.25" customHeight="1" x14ac:dyDescent="0.25">
      <c r="A1943" s="4" t="s">
        <v>30</v>
      </c>
      <c r="B1943" s="4" t="s">
        <v>39</v>
      </c>
      <c r="C1943" s="4" t="s">
        <v>23</v>
      </c>
      <c r="D1943" s="4" t="s">
        <v>54</v>
      </c>
      <c r="E1943" s="4" t="s">
        <v>25</v>
      </c>
      <c r="F1943" s="4" t="s">
        <v>25</v>
      </c>
      <c r="G1943" s="4" t="s">
        <v>25</v>
      </c>
      <c r="H1943" s="4" t="s">
        <v>25</v>
      </c>
      <c r="I1943" s="5">
        <v>44835</v>
      </c>
      <c r="J1943" s="6">
        <v>0</v>
      </c>
      <c r="K1943" s="6">
        <v>0</v>
      </c>
      <c r="L1943" s="6">
        <v>0.1</v>
      </c>
      <c r="M1943" s="6">
        <v>0.1</v>
      </c>
      <c r="N1943" s="6">
        <v>0.1</v>
      </c>
      <c r="O1943" s="6">
        <v>0.1</v>
      </c>
      <c r="P1943" s="6">
        <v>1</v>
      </c>
      <c r="Q1943" s="4" t="s">
        <v>26</v>
      </c>
      <c r="R1943" s="4">
        <v>0</v>
      </c>
      <c r="S1943" s="4" t="s">
        <v>449</v>
      </c>
      <c r="T1943" s="4" t="s">
        <v>719</v>
      </c>
      <c r="U1943" s="4">
        <v>0</v>
      </c>
      <c r="V1943" s="4">
        <v>67</v>
      </c>
      <c r="W1943" s="4">
        <v>111</v>
      </c>
    </row>
    <row r="1944" spans="1:23" ht="11.25" customHeight="1" x14ac:dyDescent="0.25">
      <c r="A1944" s="4" t="s">
        <v>59</v>
      </c>
      <c r="B1944" s="4" t="s">
        <v>39</v>
      </c>
      <c r="C1944" s="4" t="s">
        <v>23</v>
      </c>
      <c r="D1944" s="4" t="s">
        <v>54</v>
      </c>
      <c r="E1944" s="4" t="s">
        <v>25</v>
      </c>
      <c r="F1944" s="4" t="s">
        <v>25</v>
      </c>
      <c r="G1944" s="4" t="s">
        <v>25</v>
      </c>
      <c r="H1944" s="4" t="s">
        <v>25</v>
      </c>
      <c r="I1944" s="5">
        <v>44866</v>
      </c>
      <c r="J1944" s="6">
        <v>0</v>
      </c>
      <c r="K1944" s="6">
        <v>0</v>
      </c>
      <c r="L1944" s="6">
        <v>81.680999999999997</v>
      </c>
      <c r="M1944" s="6">
        <v>81.680999999999997</v>
      </c>
      <c r="N1944" s="6">
        <v>81.680999999999997</v>
      </c>
      <c r="O1944" s="6">
        <v>81.680999999999997</v>
      </c>
      <c r="P1944" s="6">
        <v>40</v>
      </c>
      <c r="Q1944" s="4" t="s">
        <v>26</v>
      </c>
      <c r="R1944" s="4">
        <v>0</v>
      </c>
      <c r="S1944" s="4" t="s">
        <v>450</v>
      </c>
      <c r="T1944" s="4" t="s">
        <v>720</v>
      </c>
      <c r="U1944" s="4">
        <v>0</v>
      </c>
      <c r="V1944" s="4">
        <v>67</v>
      </c>
      <c r="W1944" s="4">
        <v>111</v>
      </c>
    </row>
    <row r="1945" spans="1:23" ht="11.25" customHeight="1" x14ac:dyDescent="0.25">
      <c r="A1945" s="4" t="s">
        <v>59</v>
      </c>
      <c r="B1945" s="4" t="s">
        <v>39</v>
      </c>
      <c r="C1945" s="4" t="s">
        <v>23</v>
      </c>
      <c r="D1945" s="4" t="s">
        <v>54</v>
      </c>
      <c r="E1945" s="4" t="s">
        <v>25</v>
      </c>
      <c r="F1945" s="4" t="s">
        <v>25</v>
      </c>
      <c r="G1945" s="4" t="s">
        <v>25</v>
      </c>
      <c r="H1945" s="4" t="s">
        <v>25</v>
      </c>
      <c r="I1945" s="5">
        <v>44866</v>
      </c>
      <c r="J1945" s="6">
        <v>0</v>
      </c>
      <c r="K1945" s="6">
        <v>0</v>
      </c>
      <c r="L1945" s="6">
        <v>19.181000000000001</v>
      </c>
      <c r="M1945" s="6">
        <v>19.181000000000001</v>
      </c>
      <c r="N1945" s="6">
        <v>19.181000000000001</v>
      </c>
      <c r="O1945" s="6">
        <v>19.181000000000001</v>
      </c>
      <c r="P1945" s="6">
        <v>32</v>
      </c>
      <c r="Q1945" s="4" t="s">
        <v>26</v>
      </c>
      <c r="R1945" s="4">
        <v>0</v>
      </c>
      <c r="S1945" s="4" t="s">
        <v>450</v>
      </c>
      <c r="T1945" s="4" t="s">
        <v>720</v>
      </c>
      <c r="U1945" s="4">
        <v>0</v>
      </c>
      <c r="V1945" s="4">
        <v>67</v>
      </c>
      <c r="W1945" s="4">
        <v>111</v>
      </c>
    </row>
    <row r="1946" spans="1:23" ht="11.25" customHeight="1" x14ac:dyDescent="0.25">
      <c r="A1946" s="4" t="s">
        <v>59</v>
      </c>
      <c r="B1946" s="4" t="s">
        <v>39</v>
      </c>
      <c r="C1946" s="4" t="s">
        <v>23</v>
      </c>
      <c r="D1946" s="4" t="s">
        <v>54</v>
      </c>
      <c r="E1946" s="4" t="s">
        <v>25</v>
      </c>
      <c r="F1946" s="4" t="s">
        <v>25</v>
      </c>
      <c r="G1946" s="4" t="s">
        <v>25</v>
      </c>
      <c r="H1946" s="4" t="s">
        <v>25</v>
      </c>
      <c r="I1946" s="5">
        <v>44866</v>
      </c>
      <c r="J1946" s="6">
        <v>0</v>
      </c>
      <c r="K1946" s="6">
        <v>0</v>
      </c>
      <c r="L1946" s="6">
        <v>0.1</v>
      </c>
      <c r="M1946" s="6">
        <v>0.1</v>
      </c>
      <c r="N1946" s="6">
        <v>0.1</v>
      </c>
      <c r="O1946" s="6">
        <v>0.1</v>
      </c>
      <c r="P1946" s="6">
        <v>1</v>
      </c>
      <c r="Q1946" s="4" t="s">
        <v>26</v>
      </c>
      <c r="R1946" s="4">
        <v>0</v>
      </c>
      <c r="S1946" s="4" t="s">
        <v>450</v>
      </c>
      <c r="T1946" s="4" t="s">
        <v>720</v>
      </c>
      <c r="U1946" s="4">
        <v>0</v>
      </c>
      <c r="V1946" s="4">
        <v>67</v>
      </c>
      <c r="W1946" s="4">
        <v>111</v>
      </c>
    </row>
    <row r="1947" spans="1:23" ht="11.25" customHeight="1" x14ac:dyDescent="0.25">
      <c r="A1947" s="4" t="s">
        <v>21</v>
      </c>
      <c r="B1947" s="4" t="s">
        <v>39</v>
      </c>
      <c r="C1947" s="4" t="s">
        <v>23</v>
      </c>
      <c r="D1947" s="4" t="s">
        <v>40</v>
      </c>
      <c r="E1947" s="4" t="s">
        <v>25</v>
      </c>
      <c r="F1947" s="4" t="s">
        <v>25</v>
      </c>
      <c r="G1947" s="4" t="s">
        <v>25</v>
      </c>
      <c r="H1947" s="4" t="s">
        <v>25</v>
      </c>
      <c r="I1947" s="5">
        <v>44531</v>
      </c>
      <c r="J1947" s="6">
        <v>0</v>
      </c>
      <c r="K1947" s="6">
        <v>0</v>
      </c>
      <c r="L1947" s="6">
        <v>231.19300000000001</v>
      </c>
      <c r="M1947" s="6">
        <v>231.19300000000001</v>
      </c>
      <c r="N1947" s="6">
        <v>231.19300000000001</v>
      </c>
      <c r="O1947" s="6">
        <v>231.19300000000001</v>
      </c>
      <c r="P1947" s="6">
        <v>138</v>
      </c>
      <c r="Q1947" s="4" t="s">
        <v>26</v>
      </c>
      <c r="R1947" s="4">
        <v>0</v>
      </c>
      <c r="S1947" s="4" t="s">
        <v>439</v>
      </c>
      <c r="T1947" s="4" t="s">
        <v>709</v>
      </c>
      <c r="U1947" s="4">
        <v>0</v>
      </c>
      <c r="V1947" s="4">
        <v>67</v>
      </c>
      <c r="W1947" s="4">
        <v>111</v>
      </c>
    </row>
    <row r="1948" spans="1:23" ht="11.25" customHeight="1" x14ac:dyDescent="0.25">
      <c r="A1948" s="4" t="s">
        <v>27</v>
      </c>
      <c r="B1948" s="4" t="s">
        <v>39</v>
      </c>
      <c r="C1948" s="4" t="s">
        <v>23</v>
      </c>
      <c r="D1948" s="4" t="s">
        <v>40</v>
      </c>
      <c r="E1948" s="4" t="s">
        <v>25</v>
      </c>
      <c r="F1948" s="4" t="s">
        <v>25</v>
      </c>
      <c r="G1948" s="4" t="s">
        <v>25</v>
      </c>
      <c r="H1948" s="4" t="s">
        <v>25</v>
      </c>
      <c r="I1948" s="5">
        <v>44531</v>
      </c>
      <c r="J1948" s="6">
        <v>0</v>
      </c>
      <c r="K1948" s="6">
        <v>0</v>
      </c>
      <c r="L1948" s="6">
        <v>-1.0149999999999999</v>
      </c>
      <c r="M1948" s="6">
        <v>-1.0149999999999999</v>
      </c>
      <c r="N1948" s="6">
        <v>-1.0149999999999999</v>
      </c>
      <c r="O1948" s="6">
        <v>-1.0149999999999999</v>
      </c>
      <c r="P1948" s="6">
        <v>0</v>
      </c>
      <c r="Q1948" s="4" t="s">
        <v>26</v>
      </c>
      <c r="R1948" s="4">
        <v>0</v>
      </c>
      <c r="S1948" s="4" t="s">
        <v>439</v>
      </c>
      <c r="T1948" s="4" t="s">
        <v>709</v>
      </c>
      <c r="U1948" s="4">
        <v>0</v>
      </c>
      <c r="V1948" s="4">
        <v>67</v>
      </c>
      <c r="W1948" s="4">
        <v>111</v>
      </c>
    </row>
    <row r="1949" spans="1:23" ht="11.25" customHeight="1" x14ac:dyDescent="0.25">
      <c r="A1949" s="4" t="s">
        <v>28</v>
      </c>
      <c r="B1949" s="4" t="s">
        <v>39</v>
      </c>
      <c r="C1949" s="4" t="s">
        <v>23</v>
      </c>
      <c r="D1949" s="4" t="s">
        <v>40</v>
      </c>
      <c r="E1949" s="4" t="s">
        <v>25</v>
      </c>
      <c r="F1949" s="4" t="s">
        <v>25</v>
      </c>
      <c r="G1949" s="4" t="s">
        <v>25</v>
      </c>
      <c r="H1949" s="4" t="s">
        <v>25</v>
      </c>
      <c r="I1949" s="5">
        <v>44531</v>
      </c>
      <c r="J1949" s="6">
        <v>0</v>
      </c>
      <c r="K1949" s="6">
        <v>0</v>
      </c>
      <c r="L1949" s="6">
        <v>55.295999999999999</v>
      </c>
      <c r="M1949" s="6">
        <v>55.295999999999999</v>
      </c>
      <c r="N1949" s="6">
        <v>55.295999999999999</v>
      </c>
      <c r="O1949" s="6">
        <v>55.295999999999999</v>
      </c>
      <c r="P1949" s="6">
        <v>42</v>
      </c>
      <c r="Q1949" s="4" t="s">
        <v>26</v>
      </c>
      <c r="R1949" s="4">
        <v>0</v>
      </c>
      <c r="S1949" s="4" t="s">
        <v>439</v>
      </c>
      <c r="T1949" s="4" t="s">
        <v>709</v>
      </c>
      <c r="U1949" s="4">
        <v>0</v>
      </c>
      <c r="V1949" s="4">
        <v>67</v>
      </c>
      <c r="W1949" s="4">
        <v>111</v>
      </c>
    </row>
    <row r="1950" spans="1:23" ht="11.25" customHeight="1" x14ac:dyDescent="0.25">
      <c r="A1950" s="4" t="s">
        <v>30</v>
      </c>
      <c r="B1950" s="4" t="s">
        <v>39</v>
      </c>
      <c r="C1950" s="4" t="s">
        <v>23</v>
      </c>
      <c r="D1950" s="4" t="s">
        <v>40</v>
      </c>
      <c r="E1950" s="4" t="s">
        <v>25</v>
      </c>
      <c r="F1950" s="4" t="s">
        <v>25</v>
      </c>
      <c r="G1950" s="4" t="s">
        <v>25</v>
      </c>
      <c r="H1950" s="4" t="s">
        <v>25</v>
      </c>
      <c r="I1950" s="5">
        <v>44531</v>
      </c>
      <c r="J1950" s="6">
        <v>0</v>
      </c>
      <c r="K1950" s="6">
        <v>0</v>
      </c>
      <c r="L1950" s="6">
        <v>12.651</v>
      </c>
      <c r="M1950" s="6">
        <v>12.651</v>
      </c>
      <c r="N1950" s="6">
        <v>12.651</v>
      </c>
      <c r="O1950" s="6">
        <v>12.651</v>
      </c>
      <c r="P1950" s="6">
        <v>8</v>
      </c>
      <c r="Q1950" s="4" t="s">
        <v>26</v>
      </c>
      <c r="R1950" s="4">
        <v>0</v>
      </c>
      <c r="S1950" s="4" t="s">
        <v>439</v>
      </c>
      <c r="T1950" s="4" t="s">
        <v>709</v>
      </c>
      <c r="U1950" s="4">
        <v>0</v>
      </c>
      <c r="V1950" s="4">
        <v>67</v>
      </c>
      <c r="W1950" s="4">
        <v>111</v>
      </c>
    </row>
    <row r="1951" spans="1:23" ht="11.25" customHeight="1" x14ac:dyDescent="0.25">
      <c r="A1951" s="4" t="s">
        <v>21</v>
      </c>
      <c r="B1951" s="4" t="s">
        <v>39</v>
      </c>
      <c r="C1951" s="4" t="s">
        <v>23</v>
      </c>
      <c r="D1951" s="4" t="s">
        <v>40</v>
      </c>
      <c r="E1951" s="4" t="s">
        <v>25</v>
      </c>
      <c r="F1951" s="4" t="s">
        <v>25</v>
      </c>
      <c r="G1951" s="4" t="s">
        <v>25</v>
      </c>
      <c r="H1951" s="4" t="s">
        <v>25</v>
      </c>
      <c r="I1951" s="5">
        <v>44562</v>
      </c>
      <c r="J1951" s="6">
        <v>0</v>
      </c>
      <c r="K1951" s="6">
        <v>0</v>
      </c>
      <c r="L1951" s="6">
        <v>235.43100000000001</v>
      </c>
      <c r="M1951" s="6">
        <v>235.43100000000001</v>
      </c>
      <c r="N1951" s="6">
        <v>235.43100000000001</v>
      </c>
      <c r="O1951" s="6">
        <v>235.43100000000001</v>
      </c>
      <c r="P1951" s="6">
        <v>137</v>
      </c>
      <c r="Q1951" s="4" t="s">
        <v>26</v>
      </c>
      <c r="R1951" s="4">
        <v>0</v>
      </c>
      <c r="S1951" s="4" t="s">
        <v>440</v>
      </c>
      <c r="T1951" s="4" t="s">
        <v>710</v>
      </c>
      <c r="U1951" s="4">
        <v>0</v>
      </c>
      <c r="V1951" s="4">
        <v>67</v>
      </c>
      <c r="W1951" s="4">
        <v>111</v>
      </c>
    </row>
    <row r="1952" spans="1:23" ht="11.25" customHeight="1" x14ac:dyDescent="0.25">
      <c r="A1952" s="4" t="s">
        <v>27</v>
      </c>
      <c r="B1952" s="4" t="s">
        <v>39</v>
      </c>
      <c r="C1952" s="4" t="s">
        <v>23</v>
      </c>
      <c r="D1952" s="4" t="s">
        <v>40</v>
      </c>
      <c r="E1952" s="4" t="s">
        <v>25</v>
      </c>
      <c r="F1952" s="4" t="s">
        <v>25</v>
      </c>
      <c r="G1952" s="4" t="s">
        <v>25</v>
      </c>
      <c r="H1952" s="4" t="s">
        <v>25</v>
      </c>
      <c r="I1952" s="5">
        <v>44562</v>
      </c>
      <c r="J1952" s="6">
        <v>0</v>
      </c>
      <c r="K1952" s="6">
        <v>0</v>
      </c>
      <c r="L1952" s="6">
        <v>2.008</v>
      </c>
      <c r="M1952" s="6">
        <v>2.008</v>
      </c>
      <c r="N1952" s="6">
        <v>2.008</v>
      </c>
      <c r="O1952" s="6">
        <v>2.008</v>
      </c>
      <c r="P1952" s="6">
        <v>0</v>
      </c>
      <c r="Q1952" s="4" t="s">
        <v>26</v>
      </c>
      <c r="R1952" s="4">
        <v>0</v>
      </c>
      <c r="S1952" s="4" t="s">
        <v>440</v>
      </c>
      <c r="T1952" s="4" t="s">
        <v>710</v>
      </c>
      <c r="U1952" s="4">
        <v>0</v>
      </c>
      <c r="V1952" s="4">
        <v>67</v>
      </c>
      <c r="W1952" s="4">
        <v>111</v>
      </c>
    </row>
    <row r="1953" spans="1:23" ht="11.25" customHeight="1" x14ac:dyDescent="0.25">
      <c r="A1953" s="4" t="s">
        <v>28</v>
      </c>
      <c r="B1953" s="4" t="s">
        <v>39</v>
      </c>
      <c r="C1953" s="4" t="s">
        <v>23</v>
      </c>
      <c r="D1953" s="4" t="s">
        <v>40</v>
      </c>
      <c r="E1953" s="4" t="s">
        <v>25</v>
      </c>
      <c r="F1953" s="4" t="s">
        <v>25</v>
      </c>
      <c r="G1953" s="4" t="s">
        <v>25</v>
      </c>
      <c r="H1953" s="4" t="s">
        <v>25</v>
      </c>
      <c r="I1953" s="5">
        <v>44562</v>
      </c>
      <c r="J1953" s="6">
        <v>0</v>
      </c>
      <c r="K1953" s="6">
        <v>0</v>
      </c>
      <c r="L1953" s="6">
        <v>55.817</v>
      </c>
      <c r="M1953" s="6">
        <v>55.817</v>
      </c>
      <c r="N1953" s="6">
        <v>55.817</v>
      </c>
      <c r="O1953" s="6">
        <v>55.817</v>
      </c>
      <c r="P1953" s="6">
        <v>42</v>
      </c>
      <c r="Q1953" s="4" t="s">
        <v>26</v>
      </c>
      <c r="R1953" s="4">
        <v>0</v>
      </c>
      <c r="S1953" s="4" t="s">
        <v>440</v>
      </c>
      <c r="T1953" s="4" t="s">
        <v>710</v>
      </c>
      <c r="U1953" s="4">
        <v>0</v>
      </c>
      <c r="V1953" s="4">
        <v>67</v>
      </c>
      <c r="W1953" s="4">
        <v>111</v>
      </c>
    </row>
    <row r="1954" spans="1:23" ht="11.25" customHeight="1" x14ac:dyDescent="0.25">
      <c r="A1954" s="4" t="s">
        <v>30</v>
      </c>
      <c r="B1954" s="4" t="s">
        <v>39</v>
      </c>
      <c r="C1954" s="4" t="s">
        <v>23</v>
      </c>
      <c r="D1954" s="4" t="s">
        <v>40</v>
      </c>
      <c r="E1954" s="4" t="s">
        <v>25</v>
      </c>
      <c r="F1954" s="4" t="s">
        <v>25</v>
      </c>
      <c r="G1954" s="4" t="s">
        <v>25</v>
      </c>
      <c r="H1954" s="4" t="s">
        <v>25</v>
      </c>
      <c r="I1954" s="5">
        <v>44562</v>
      </c>
      <c r="J1954" s="6">
        <v>0</v>
      </c>
      <c r="K1954" s="6">
        <v>0</v>
      </c>
      <c r="L1954" s="6">
        <v>13.535</v>
      </c>
      <c r="M1954" s="6">
        <v>13.535</v>
      </c>
      <c r="N1954" s="6">
        <v>13.535</v>
      </c>
      <c r="O1954" s="6">
        <v>13.535</v>
      </c>
      <c r="P1954" s="6">
        <v>9</v>
      </c>
      <c r="Q1954" s="4" t="s">
        <v>26</v>
      </c>
      <c r="R1954" s="4">
        <v>0</v>
      </c>
      <c r="S1954" s="4" t="s">
        <v>440</v>
      </c>
      <c r="T1954" s="4" t="s">
        <v>710</v>
      </c>
      <c r="U1954" s="4">
        <v>0</v>
      </c>
      <c r="V1954" s="4">
        <v>67</v>
      </c>
      <c r="W1954" s="4">
        <v>111</v>
      </c>
    </row>
    <row r="1955" spans="1:23" ht="11.25" customHeight="1" x14ac:dyDescent="0.25">
      <c r="A1955" s="4" t="s">
        <v>30</v>
      </c>
      <c r="B1955" s="4" t="s">
        <v>39</v>
      </c>
      <c r="C1955" s="4" t="s">
        <v>23</v>
      </c>
      <c r="D1955" s="4" t="s">
        <v>40</v>
      </c>
      <c r="E1955" s="4" t="s">
        <v>25</v>
      </c>
      <c r="F1955" s="4" t="s">
        <v>25</v>
      </c>
      <c r="G1955" s="4" t="s">
        <v>25</v>
      </c>
      <c r="H1955" s="4" t="s">
        <v>25</v>
      </c>
      <c r="I1955" s="5">
        <v>44562</v>
      </c>
      <c r="J1955" s="6">
        <v>0</v>
      </c>
      <c r="K1955" s="6">
        <v>0</v>
      </c>
      <c r="L1955" s="6">
        <v>-13.553000000000001</v>
      </c>
      <c r="M1955" s="6">
        <v>-13.553000000000001</v>
      </c>
      <c r="N1955" s="6">
        <v>-13.553000000000001</v>
      </c>
      <c r="O1955" s="6">
        <v>-13.553000000000001</v>
      </c>
      <c r="P1955" s="6">
        <v>0</v>
      </c>
      <c r="Q1955" s="4" t="s">
        <v>26</v>
      </c>
      <c r="R1955" s="4">
        <v>0</v>
      </c>
      <c r="S1955" s="4" t="s">
        <v>440</v>
      </c>
      <c r="T1955" s="4" t="s">
        <v>710</v>
      </c>
      <c r="U1955" s="4">
        <v>0</v>
      </c>
      <c r="V1955" s="4">
        <v>67</v>
      </c>
      <c r="W1955" s="4">
        <v>111</v>
      </c>
    </row>
    <row r="1956" spans="1:23" ht="11.25" customHeight="1" x14ac:dyDescent="0.25">
      <c r="A1956" s="4" t="s">
        <v>21</v>
      </c>
      <c r="B1956" s="4" t="s">
        <v>39</v>
      </c>
      <c r="C1956" s="4" t="s">
        <v>23</v>
      </c>
      <c r="D1956" s="4" t="s">
        <v>40</v>
      </c>
      <c r="E1956" s="4" t="s">
        <v>25</v>
      </c>
      <c r="F1956" s="4" t="s">
        <v>25</v>
      </c>
      <c r="G1956" s="4" t="s">
        <v>25</v>
      </c>
      <c r="H1956" s="4" t="s">
        <v>25</v>
      </c>
      <c r="I1956" s="5">
        <v>44593</v>
      </c>
      <c r="J1956" s="6">
        <v>0</v>
      </c>
      <c r="K1956" s="6">
        <v>0</v>
      </c>
      <c r="L1956" s="6">
        <v>252.23400000000001</v>
      </c>
      <c r="M1956" s="6">
        <v>252.23400000000001</v>
      </c>
      <c r="N1956" s="6">
        <v>252.23400000000001</v>
      </c>
      <c r="O1956" s="6">
        <v>252.23400000000001</v>
      </c>
      <c r="P1956" s="6">
        <v>137</v>
      </c>
      <c r="Q1956" s="4" t="s">
        <v>26</v>
      </c>
      <c r="R1956" s="4">
        <v>0</v>
      </c>
      <c r="S1956" s="4" t="s">
        <v>441</v>
      </c>
      <c r="T1956" s="4" t="s">
        <v>711</v>
      </c>
      <c r="U1956" s="4">
        <v>0</v>
      </c>
      <c r="V1956" s="4">
        <v>67</v>
      </c>
      <c r="W1956" s="4">
        <v>111</v>
      </c>
    </row>
    <row r="1957" spans="1:23" ht="11.25" customHeight="1" x14ac:dyDescent="0.25">
      <c r="A1957" s="4" t="s">
        <v>28</v>
      </c>
      <c r="B1957" s="4" t="s">
        <v>39</v>
      </c>
      <c r="C1957" s="4" t="s">
        <v>23</v>
      </c>
      <c r="D1957" s="4" t="s">
        <v>40</v>
      </c>
      <c r="E1957" s="4" t="s">
        <v>25</v>
      </c>
      <c r="F1957" s="4" t="s">
        <v>25</v>
      </c>
      <c r="G1957" s="4" t="s">
        <v>25</v>
      </c>
      <c r="H1957" s="4" t="s">
        <v>25</v>
      </c>
      <c r="I1957" s="5">
        <v>44593</v>
      </c>
      <c r="J1957" s="6">
        <v>0</v>
      </c>
      <c r="K1957" s="6">
        <v>0</v>
      </c>
      <c r="L1957" s="6">
        <v>52.442</v>
      </c>
      <c r="M1957" s="6">
        <v>52.442</v>
      </c>
      <c r="N1957" s="6">
        <v>52.442</v>
      </c>
      <c r="O1957" s="6">
        <v>52.442</v>
      </c>
      <c r="P1957" s="6">
        <v>41</v>
      </c>
      <c r="Q1957" s="4" t="s">
        <v>26</v>
      </c>
      <c r="R1957" s="4">
        <v>0</v>
      </c>
      <c r="S1957" s="4" t="s">
        <v>441</v>
      </c>
      <c r="T1957" s="4" t="s">
        <v>711</v>
      </c>
      <c r="U1957" s="4">
        <v>0</v>
      </c>
      <c r="V1957" s="4">
        <v>67</v>
      </c>
      <c r="W1957" s="4">
        <v>111</v>
      </c>
    </row>
    <row r="1958" spans="1:23" ht="11.25" customHeight="1" x14ac:dyDescent="0.25">
      <c r="A1958" s="4" t="s">
        <v>30</v>
      </c>
      <c r="B1958" s="4" t="s">
        <v>39</v>
      </c>
      <c r="C1958" s="4" t="s">
        <v>23</v>
      </c>
      <c r="D1958" s="4" t="s">
        <v>40</v>
      </c>
      <c r="E1958" s="4" t="s">
        <v>25</v>
      </c>
      <c r="F1958" s="4" t="s">
        <v>25</v>
      </c>
      <c r="G1958" s="4" t="s">
        <v>25</v>
      </c>
      <c r="H1958" s="4" t="s">
        <v>25</v>
      </c>
      <c r="I1958" s="5">
        <v>44593</v>
      </c>
      <c r="J1958" s="6">
        <v>0</v>
      </c>
      <c r="K1958" s="6">
        <v>0</v>
      </c>
      <c r="L1958" s="6">
        <v>8.4529999999999994</v>
      </c>
      <c r="M1958" s="6">
        <v>8.4529999999999994</v>
      </c>
      <c r="N1958" s="6">
        <v>8.4529999999999994</v>
      </c>
      <c r="O1958" s="6">
        <v>8.4529999999999994</v>
      </c>
      <c r="P1958" s="6">
        <v>9</v>
      </c>
      <c r="Q1958" s="4" t="s">
        <v>26</v>
      </c>
      <c r="R1958" s="4">
        <v>0</v>
      </c>
      <c r="S1958" s="4" t="s">
        <v>441</v>
      </c>
      <c r="T1958" s="4" t="s">
        <v>711</v>
      </c>
      <c r="U1958" s="4">
        <v>0</v>
      </c>
      <c r="V1958" s="4">
        <v>67</v>
      </c>
      <c r="W1958" s="4">
        <v>111</v>
      </c>
    </row>
    <row r="1959" spans="1:23" ht="11.25" customHeight="1" x14ac:dyDescent="0.25">
      <c r="A1959" s="4" t="s">
        <v>30</v>
      </c>
      <c r="B1959" s="4" t="s">
        <v>39</v>
      </c>
      <c r="C1959" s="4" t="s">
        <v>23</v>
      </c>
      <c r="D1959" s="4" t="s">
        <v>40</v>
      </c>
      <c r="E1959" s="4" t="s">
        <v>25</v>
      </c>
      <c r="F1959" s="4" t="s">
        <v>25</v>
      </c>
      <c r="G1959" s="4" t="s">
        <v>25</v>
      </c>
      <c r="H1959" s="4" t="s">
        <v>25</v>
      </c>
      <c r="I1959" s="5">
        <v>44593</v>
      </c>
      <c r="J1959" s="6">
        <v>0</v>
      </c>
      <c r="K1959" s="6">
        <v>0</v>
      </c>
      <c r="L1959" s="6">
        <v>6.8280000000000003</v>
      </c>
      <c r="M1959" s="6">
        <v>6.8280000000000003</v>
      </c>
      <c r="N1959" s="6">
        <v>6.8280000000000003</v>
      </c>
      <c r="O1959" s="6">
        <v>6.8280000000000003</v>
      </c>
      <c r="P1959" s="6">
        <v>0</v>
      </c>
      <c r="Q1959" s="4" t="s">
        <v>26</v>
      </c>
      <c r="R1959" s="4">
        <v>0</v>
      </c>
      <c r="S1959" s="4" t="s">
        <v>441</v>
      </c>
      <c r="T1959" s="4" t="s">
        <v>711</v>
      </c>
      <c r="U1959" s="4">
        <v>0</v>
      </c>
      <c r="V1959" s="4">
        <v>67</v>
      </c>
      <c r="W1959" s="4">
        <v>111</v>
      </c>
    </row>
    <row r="1960" spans="1:23" ht="11.25" customHeight="1" x14ac:dyDescent="0.25">
      <c r="A1960" s="4" t="s">
        <v>21</v>
      </c>
      <c r="B1960" s="4" t="s">
        <v>39</v>
      </c>
      <c r="C1960" s="4" t="s">
        <v>23</v>
      </c>
      <c r="D1960" s="4" t="s">
        <v>40</v>
      </c>
      <c r="E1960" s="4" t="s">
        <v>25</v>
      </c>
      <c r="F1960" s="4" t="s">
        <v>25</v>
      </c>
      <c r="G1960" s="4" t="s">
        <v>25</v>
      </c>
      <c r="H1960" s="4" t="s">
        <v>25</v>
      </c>
      <c r="I1960" s="5">
        <v>44621</v>
      </c>
      <c r="J1960" s="6">
        <v>0</v>
      </c>
      <c r="K1960" s="6">
        <v>0</v>
      </c>
      <c r="L1960" s="6">
        <v>230.59399999999999</v>
      </c>
      <c r="M1960" s="6">
        <v>230.59399999999999</v>
      </c>
      <c r="N1960" s="6">
        <v>230.59399999999999</v>
      </c>
      <c r="O1960" s="6">
        <v>230.59399999999999</v>
      </c>
      <c r="P1960" s="6">
        <v>140</v>
      </c>
      <c r="Q1960" s="4" t="s">
        <v>26</v>
      </c>
      <c r="R1960" s="4">
        <v>0</v>
      </c>
      <c r="S1960" s="4" t="s">
        <v>442</v>
      </c>
      <c r="T1960" s="4" t="s">
        <v>712</v>
      </c>
      <c r="U1960" s="4">
        <v>0</v>
      </c>
      <c r="V1960" s="4">
        <v>67</v>
      </c>
      <c r="W1960" s="4">
        <v>111</v>
      </c>
    </row>
    <row r="1961" spans="1:23" ht="11.25" customHeight="1" x14ac:dyDescent="0.25">
      <c r="A1961" s="4" t="s">
        <v>28</v>
      </c>
      <c r="B1961" s="4" t="s">
        <v>39</v>
      </c>
      <c r="C1961" s="4" t="s">
        <v>23</v>
      </c>
      <c r="D1961" s="4" t="s">
        <v>40</v>
      </c>
      <c r="E1961" s="4" t="s">
        <v>25</v>
      </c>
      <c r="F1961" s="4" t="s">
        <v>25</v>
      </c>
      <c r="G1961" s="4" t="s">
        <v>25</v>
      </c>
      <c r="H1961" s="4" t="s">
        <v>25</v>
      </c>
      <c r="I1961" s="5">
        <v>44621</v>
      </c>
      <c r="J1961" s="6">
        <v>0</v>
      </c>
      <c r="K1961" s="6">
        <v>0</v>
      </c>
      <c r="L1961" s="6">
        <v>48.39</v>
      </c>
      <c r="M1961" s="6">
        <v>48.39</v>
      </c>
      <c r="N1961" s="6">
        <v>48.39</v>
      </c>
      <c r="O1961" s="6">
        <v>48.39</v>
      </c>
      <c r="P1961" s="6">
        <v>41</v>
      </c>
      <c r="Q1961" s="4" t="s">
        <v>26</v>
      </c>
      <c r="R1961" s="4">
        <v>0</v>
      </c>
      <c r="S1961" s="4" t="s">
        <v>442</v>
      </c>
      <c r="T1961" s="4" t="s">
        <v>712</v>
      </c>
      <c r="U1961" s="4">
        <v>0</v>
      </c>
      <c r="V1961" s="4">
        <v>67</v>
      </c>
      <c r="W1961" s="4">
        <v>111</v>
      </c>
    </row>
    <row r="1962" spans="1:23" ht="11.25" customHeight="1" x14ac:dyDescent="0.25">
      <c r="A1962" s="4" t="s">
        <v>30</v>
      </c>
      <c r="B1962" s="4" t="s">
        <v>39</v>
      </c>
      <c r="C1962" s="4" t="s">
        <v>23</v>
      </c>
      <c r="D1962" s="4" t="s">
        <v>40</v>
      </c>
      <c r="E1962" s="4" t="s">
        <v>25</v>
      </c>
      <c r="F1962" s="4" t="s">
        <v>25</v>
      </c>
      <c r="G1962" s="4" t="s">
        <v>25</v>
      </c>
      <c r="H1962" s="4" t="s">
        <v>25</v>
      </c>
      <c r="I1962" s="5">
        <v>44621</v>
      </c>
      <c r="J1962" s="6">
        <v>0</v>
      </c>
      <c r="K1962" s="6">
        <v>0</v>
      </c>
      <c r="L1962" s="6">
        <v>13.256</v>
      </c>
      <c r="M1962" s="6">
        <v>13.256</v>
      </c>
      <c r="N1962" s="6">
        <v>13.256</v>
      </c>
      <c r="O1962" s="6">
        <v>13.256</v>
      </c>
      <c r="P1962" s="6">
        <v>10</v>
      </c>
      <c r="Q1962" s="4" t="s">
        <v>26</v>
      </c>
      <c r="R1962" s="4">
        <v>0</v>
      </c>
      <c r="S1962" s="4" t="s">
        <v>442</v>
      </c>
      <c r="T1962" s="4" t="s">
        <v>712</v>
      </c>
      <c r="U1962" s="4">
        <v>0</v>
      </c>
      <c r="V1962" s="4">
        <v>67</v>
      </c>
      <c r="W1962" s="4">
        <v>111</v>
      </c>
    </row>
    <row r="1963" spans="1:23" ht="11.25" customHeight="1" x14ac:dyDescent="0.25">
      <c r="A1963" s="4" t="s">
        <v>21</v>
      </c>
      <c r="B1963" s="4" t="s">
        <v>39</v>
      </c>
      <c r="C1963" s="4" t="s">
        <v>23</v>
      </c>
      <c r="D1963" s="4" t="s">
        <v>40</v>
      </c>
      <c r="E1963" s="4" t="s">
        <v>25</v>
      </c>
      <c r="F1963" s="4" t="s">
        <v>25</v>
      </c>
      <c r="G1963" s="4" t="s">
        <v>25</v>
      </c>
      <c r="H1963" s="4" t="s">
        <v>25</v>
      </c>
      <c r="I1963" s="5">
        <v>44652</v>
      </c>
      <c r="J1963" s="6">
        <v>0</v>
      </c>
      <c r="K1963" s="6">
        <v>0</v>
      </c>
      <c r="L1963" s="6">
        <v>248.05</v>
      </c>
      <c r="M1963" s="6">
        <v>248.05</v>
      </c>
      <c r="N1963" s="6">
        <v>248.05</v>
      </c>
      <c r="O1963" s="6">
        <v>248.05</v>
      </c>
      <c r="P1963" s="6">
        <v>136</v>
      </c>
      <c r="Q1963" s="4" t="s">
        <v>26</v>
      </c>
      <c r="R1963" s="4">
        <v>0</v>
      </c>
      <c r="S1963" s="4" t="s">
        <v>443</v>
      </c>
      <c r="T1963" s="4" t="s">
        <v>713</v>
      </c>
      <c r="U1963" s="4">
        <v>0</v>
      </c>
      <c r="V1963" s="4">
        <v>67</v>
      </c>
      <c r="W1963" s="4">
        <v>111</v>
      </c>
    </row>
    <row r="1964" spans="1:23" ht="11.25" customHeight="1" x14ac:dyDescent="0.25">
      <c r="A1964" s="4" t="s">
        <v>27</v>
      </c>
      <c r="B1964" s="4" t="s">
        <v>39</v>
      </c>
      <c r="C1964" s="4" t="s">
        <v>23</v>
      </c>
      <c r="D1964" s="4" t="s">
        <v>40</v>
      </c>
      <c r="E1964" s="4" t="s">
        <v>25</v>
      </c>
      <c r="F1964" s="4" t="s">
        <v>25</v>
      </c>
      <c r="G1964" s="4" t="s">
        <v>25</v>
      </c>
      <c r="H1964" s="4" t="s">
        <v>25</v>
      </c>
      <c r="I1964" s="5">
        <v>44652</v>
      </c>
      <c r="J1964" s="6">
        <v>0</v>
      </c>
      <c r="K1964" s="6">
        <v>0</v>
      </c>
      <c r="L1964" s="6">
        <v>-2.6160000000000001</v>
      </c>
      <c r="M1964" s="6">
        <v>-2.6160000000000001</v>
      </c>
      <c r="N1964" s="6">
        <v>-2.6160000000000001</v>
      </c>
      <c r="O1964" s="6">
        <v>-2.6160000000000001</v>
      </c>
      <c r="P1964" s="6">
        <v>-1</v>
      </c>
      <c r="Q1964" s="4" t="s">
        <v>26</v>
      </c>
      <c r="R1964" s="4">
        <v>0</v>
      </c>
      <c r="S1964" s="4" t="s">
        <v>443</v>
      </c>
      <c r="T1964" s="4" t="s">
        <v>713</v>
      </c>
      <c r="U1964" s="4">
        <v>0</v>
      </c>
      <c r="V1964" s="4">
        <v>67</v>
      </c>
      <c r="W1964" s="4">
        <v>111</v>
      </c>
    </row>
    <row r="1965" spans="1:23" ht="11.25" customHeight="1" x14ac:dyDescent="0.25">
      <c r="A1965" s="4" t="s">
        <v>28</v>
      </c>
      <c r="B1965" s="4" t="s">
        <v>39</v>
      </c>
      <c r="C1965" s="4" t="s">
        <v>23</v>
      </c>
      <c r="D1965" s="4" t="s">
        <v>40</v>
      </c>
      <c r="E1965" s="4" t="s">
        <v>25</v>
      </c>
      <c r="F1965" s="4" t="s">
        <v>25</v>
      </c>
      <c r="G1965" s="4" t="s">
        <v>25</v>
      </c>
      <c r="H1965" s="4" t="s">
        <v>25</v>
      </c>
      <c r="I1965" s="5">
        <v>44652</v>
      </c>
      <c r="J1965" s="6">
        <v>0</v>
      </c>
      <c r="K1965" s="6">
        <v>0</v>
      </c>
      <c r="L1965" s="6">
        <v>54.962000000000003</v>
      </c>
      <c r="M1965" s="6">
        <v>54.962000000000003</v>
      </c>
      <c r="N1965" s="6">
        <v>54.962000000000003</v>
      </c>
      <c r="O1965" s="6">
        <v>54.962000000000003</v>
      </c>
      <c r="P1965" s="6">
        <v>41</v>
      </c>
      <c r="Q1965" s="4" t="s">
        <v>26</v>
      </c>
      <c r="R1965" s="4">
        <v>0</v>
      </c>
      <c r="S1965" s="4" t="s">
        <v>443</v>
      </c>
      <c r="T1965" s="4" t="s">
        <v>713</v>
      </c>
      <c r="U1965" s="4">
        <v>0</v>
      </c>
      <c r="V1965" s="4">
        <v>67</v>
      </c>
      <c r="W1965" s="4">
        <v>111</v>
      </c>
    </row>
    <row r="1966" spans="1:23" ht="11.25" customHeight="1" x14ac:dyDescent="0.25">
      <c r="A1966" s="4" t="s">
        <v>30</v>
      </c>
      <c r="B1966" s="4" t="s">
        <v>39</v>
      </c>
      <c r="C1966" s="4" t="s">
        <v>23</v>
      </c>
      <c r="D1966" s="4" t="s">
        <v>40</v>
      </c>
      <c r="E1966" s="4" t="s">
        <v>25</v>
      </c>
      <c r="F1966" s="4" t="s">
        <v>25</v>
      </c>
      <c r="G1966" s="4" t="s">
        <v>25</v>
      </c>
      <c r="H1966" s="4" t="s">
        <v>25</v>
      </c>
      <c r="I1966" s="5">
        <v>44652</v>
      </c>
      <c r="J1966" s="6">
        <v>0</v>
      </c>
      <c r="K1966" s="6">
        <v>0</v>
      </c>
      <c r="L1966" s="6">
        <v>16.506</v>
      </c>
      <c r="M1966" s="6">
        <v>16.506</v>
      </c>
      <c r="N1966" s="6">
        <v>16.506</v>
      </c>
      <c r="O1966" s="6">
        <v>16.506</v>
      </c>
      <c r="P1966" s="6">
        <v>12</v>
      </c>
      <c r="Q1966" s="4" t="s">
        <v>26</v>
      </c>
      <c r="R1966" s="4">
        <v>0</v>
      </c>
      <c r="S1966" s="4" t="s">
        <v>443</v>
      </c>
      <c r="T1966" s="4" t="s">
        <v>713</v>
      </c>
      <c r="U1966" s="4">
        <v>0</v>
      </c>
      <c r="V1966" s="4">
        <v>67</v>
      </c>
      <c r="W1966" s="4">
        <v>111</v>
      </c>
    </row>
    <row r="1967" spans="1:23" ht="11.25" customHeight="1" x14ac:dyDescent="0.25">
      <c r="A1967" s="4" t="s">
        <v>21</v>
      </c>
      <c r="B1967" s="4" t="s">
        <v>39</v>
      </c>
      <c r="C1967" s="4" t="s">
        <v>23</v>
      </c>
      <c r="D1967" s="4" t="s">
        <v>40</v>
      </c>
      <c r="E1967" s="4" t="s">
        <v>25</v>
      </c>
      <c r="F1967" s="4" t="s">
        <v>25</v>
      </c>
      <c r="G1967" s="4" t="s">
        <v>25</v>
      </c>
      <c r="H1967" s="4" t="s">
        <v>25</v>
      </c>
      <c r="I1967" s="5">
        <v>44682</v>
      </c>
      <c r="J1967" s="6">
        <v>0</v>
      </c>
      <c r="K1967" s="6">
        <v>0</v>
      </c>
      <c r="L1967" s="6">
        <v>240.24100000000001</v>
      </c>
      <c r="M1967" s="6">
        <v>240.24100000000001</v>
      </c>
      <c r="N1967" s="6">
        <v>240.24100000000001</v>
      </c>
      <c r="O1967" s="6">
        <v>240.24100000000001</v>
      </c>
      <c r="P1967" s="6">
        <v>142</v>
      </c>
      <c r="Q1967" s="4" t="s">
        <v>26</v>
      </c>
      <c r="R1967" s="4">
        <v>0</v>
      </c>
      <c r="S1967" s="4" t="s">
        <v>444</v>
      </c>
      <c r="T1967" s="4" t="s">
        <v>714</v>
      </c>
      <c r="U1967" s="4">
        <v>0</v>
      </c>
      <c r="V1967" s="4">
        <v>67</v>
      </c>
      <c r="W1967" s="4">
        <v>111</v>
      </c>
    </row>
    <row r="1968" spans="1:23" ht="11.25" customHeight="1" x14ac:dyDescent="0.25">
      <c r="A1968" s="4" t="s">
        <v>28</v>
      </c>
      <c r="B1968" s="4" t="s">
        <v>39</v>
      </c>
      <c r="C1968" s="4" t="s">
        <v>23</v>
      </c>
      <c r="D1968" s="4" t="s">
        <v>40</v>
      </c>
      <c r="E1968" s="4" t="s">
        <v>25</v>
      </c>
      <c r="F1968" s="4" t="s">
        <v>25</v>
      </c>
      <c r="G1968" s="4" t="s">
        <v>25</v>
      </c>
      <c r="H1968" s="4" t="s">
        <v>25</v>
      </c>
      <c r="I1968" s="5">
        <v>44682</v>
      </c>
      <c r="J1968" s="6">
        <v>0</v>
      </c>
      <c r="K1968" s="6">
        <v>0</v>
      </c>
      <c r="L1968" s="6">
        <v>54.588999999999999</v>
      </c>
      <c r="M1968" s="6">
        <v>54.588999999999999</v>
      </c>
      <c r="N1968" s="6">
        <v>54.588999999999999</v>
      </c>
      <c r="O1968" s="6">
        <v>54.588999999999999</v>
      </c>
      <c r="P1968" s="6">
        <v>42</v>
      </c>
      <c r="Q1968" s="4" t="s">
        <v>26</v>
      </c>
      <c r="R1968" s="4">
        <v>0</v>
      </c>
      <c r="S1968" s="4" t="s">
        <v>444</v>
      </c>
      <c r="T1968" s="4" t="s">
        <v>714</v>
      </c>
      <c r="U1968" s="4">
        <v>0</v>
      </c>
      <c r="V1968" s="4">
        <v>67</v>
      </c>
      <c r="W1968" s="4">
        <v>111</v>
      </c>
    </row>
    <row r="1969" spans="1:23" ht="11.25" customHeight="1" x14ac:dyDescent="0.25">
      <c r="A1969" s="4" t="s">
        <v>30</v>
      </c>
      <c r="B1969" s="4" t="s">
        <v>39</v>
      </c>
      <c r="C1969" s="4" t="s">
        <v>23</v>
      </c>
      <c r="D1969" s="4" t="s">
        <v>40</v>
      </c>
      <c r="E1969" s="4" t="s">
        <v>25</v>
      </c>
      <c r="F1969" s="4" t="s">
        <v>25</v>
      </c>
      <c r="G1969" s="4" t="s">
        <v>25</v>
      </c>
      <c r="H1969" s="4" t="s">
        <v>25</v>
      </c>
      <c r="I1969" s="5">
        <v>44682</v>
      </c>
      <c r="J1969" s="6">
        <v>0</v>
      </c>
      <c r="K1969" s="6">
        <v>0</v>
      </c>
      <c r="L1969" s="6">
        <v>11.673</v>
      </c>
      <c r="M1969" s="6">
        <v>11.673</v>
      </c>
      <c r="N1969" s="6">
        <v>11.673</v>
      </c>
      <c r="O1969" s="6">
        <v>11.673</v>
      </c>
      <c r="P1969" s="6">
        <v>12</v>
      </c>
      <c r="Q1969" s="4" t="s">
        <v>26</v>
      </c>
      <c r="R1969" s="4">
        <v>0</v>
      </c>
      <c r="S1969" s="4" t="s">
        <v>444</v>
      </c>
      <c r="T1969" s="4" t="s">
        <v>714</v>
      </c>
      <c r="U1969" s="4">
        <v>0</v>
      </c>
      <c r="V1969" s="4">
        <v>67</v>
      </c>
      <c r="W1969" s="4">
        <v>111</v>
      </c>
    </row>
    <row r="1970" spans="1:23" ht="11.25" customHeight="1" x14ac:dyDescent="0.25">
      <c r="A1970" s="4" t="s">
        <v>21</v>
      </c>
      <c r="B1970" s="4" t="s">
        <v>39</v>
      </c>
      <c r="C1970" s="4" t="s">
        <v>23</v>
      </c>
      <c r="D1970" s="4" t="s">
        <v>40</v>
      </c>
      <c r="E1970" s="4" t="s">
        <v>25</v>
      </c>
      <c r="F1970" s="4" t="s">
        <v>25</v>
      </c>
      <c r="G1970" s="4" t="s">
        <v>25</v>
      </c>
      <c r="H1970" s="4" t="s">
        <v>25</v>
      </c>
      <c r="I1970" s="5">
        <v>44713</v>
      </c>
      <c r="J1970" s="6">
        <v>0</v>
      </c>
      <c r="K1970" s="6">
        <v>0</v>
      </c>
      <c r="L1970" s="6">
        <v>237.809</v>
      </c>
      <c r="M1970" s="6">
        <v>237.809</v>
      </c>
      <c r="N1970" s="6">
        <v>237.809</v>
      </c>
      <c r="O1970" s="6">
        <v>237.809</v>
      </c>
      <c r="P1970" s="6">
        <v>138</v>
      </c>
      <c r="Q1970" s="4" t="s">
        <v>26</v>
      </c>
      <c r="R1970" s="4">
        <v>0</v>
      </c>
      <c r="S1970" s="4" t="s">
        <v>445</v>
      </c>
      <c r="T1970" s="4" t="s">
        <v>715</v>
      </c>
      <c r="U1970" s="4">
        <v>0</v>
      </c>
      <c r="V1970" s="4">
        <v>67</v>
      </c>
      <c r="W1970" s="4">
        <v>111</v>
      </c>
    </row>
    <row r="1971" spans="1:23" ht="11.25" customHeight="1" x14ac:dyDescent="0.25">
      <c r="A1971" s="4" t="s">
        <v>28</v>
      </c>
      <c r="B1971" s="4" t="s">
        <v>39</v>
      </c>
      <c r="C1971" s="4" t="s">
        <v>23</v>
      </c>
      <c r="D1971" s="4" t="s">
        <v>40</v>
      </c>
      <c r="E1971" s="4" t="s">
        <v>25</v>
      </c>
      <c r="F1971" s="4" t="s">
        <v>25</v>
      </c>
      <c r="G1971" s="4" t="s">
        <v>25</v>
      </c>
      <c r="H1971" s="4" t="s">
        <v>25</v>
      </c>
      <c r="I1971" s="5">
        <v>44713</v>
      </c>
      <c r="J1971" s="6">
        <v>0</v>
      </c>
      <c r="K1971" s="6">
        <v>0</v>
      </c>
      <c r="L1971" s="6">
        <v>57.137</v>
      </c>
      <c r="M1971" s="6">
        <v>57.137</v>
      </c>
      <c r="N1971" s="6">
        <v>57.137</v>
      </c>
      <c r="O1971" s="6">
        <v>57.137</v>
      </c>
      <c r="P1971" s="6">
        <v>42</v>
      </c>
      <c r="Q1971" s="4" t="s">
        <v>26</v>
      </c>
      <c r="R1971" s="4">
        <v>0</v>
      </c>
      <c r="S1971" s="4" t="s">
        <v>445</v>
      </c>
      <c r="T1971" s="4" t="s">
        <v>715</v>
      </c>
      <c r="U1971" s="4">
        <v>0</v>
      </c>
      <c r="V1971" s="4">
        <v>67</v>
      </c>
      <c r="W1971" s="4">
        <v>111</v>
      </c>
    </row>
    <row r="1972" spans="1:23" ht="11.25" customHeight="1" x14ac:dyDescent="0.25">
      <c r="A1972" s="4" t="s">
        <v>30</v>
      </c>
      <c r="B1972" s="4" t="s">
        <v>39</v>
      </c>
      <c r="C1972" s="4" t="s">
        <v>23</v>
      </c>
      <c r="D1972" s="4" t="s">
        <v>40</v>
      </c>
      <c r="E1972" s="4" t="s">
        <v>25</v>
      </c>
      <c r="F1972" s="4" t="s">
        <v>25</v>
      </c>
      <c r="G1972" s="4" t="s">
        <v>25</v>
      </c>
      <c r="H1972" s="4" t="s">
        <v>25</v>
      </c>
      <c r="I1972" s="5">
        <v>44713</v>
      </c>
      <c r="J1972" s="6">
        <v>0</v>
      </c>
      <c r="K1972" s="6">
        <v>0</v>
      </c>
      <c r="L1972" s="6">
        <v>12.44</v>
      </c>
      <c r="M1972" s="6">
        <v>12.44</v>
      </c>
      <c r="N1972" s="6">
        <v>12.44</v>
      </c>
      <c r="O1972" s="6">
        <v>12.44</v>
      </c>
      <c r="P1972" s="6">
        <v>13</v>
      </c>
      <c r="Q1972" s="4" t="s">
        <v>26</v>
      </c>
      <c r="R1972" s="4">
        <v>0</v>
      </c>
      <c r="S1972" s="4" t="s">
        <v>445</v>
      </c>
      <c r="T1972" s="4" t="s">
        <v>715</v>
      </c>
      <c r="U1972" s="4">
        <v>0</v>
      </c>
      <c r="V1972" s="4">
        <v>67</v>
      </c>
      <c r="W1972" s="4">
        <v>111</v>
      </c>
    </row>
    <row r="1973" spans="1:23" ht="11.25" customHeight="1" x14ac:dyDescent="0.25">
      <c r="A1973" s="4" t="s">
        <v>21</v>
      </c>
      <c r="B1973" s="4" t="s">
        <v>39</v>
      </c>
      <c r="C1973" s="4" t="s">
        <v>23</v>
      </c>
      <c r="D1973" s="4" t="s">
        <v>40</v>
      </c>
      <c r="E1973" s="4" t="s">
        <v>25</v>
      </c>
      <c r="F1973" s="4" t="s">
        <v>25</v>
      </c>
      <c r="G1973" s="4" t="s">
        <v>25</v>
      </c>
      <c r="H1973" s="4" t="s">
        <v>25</v>
      </c>
      <c r="I1973" s="5">
        <v>44743</v>
      </c>
      <c r="J1973" s="6">
        <v>0</v>
      </c>
      <c r="K1973" s="6">
        <v>0</v>
      </c>
      <c r="L1973" s="6">
        <v>264.55099999999999</v>
      </c>
      <c r="M1973" s="6">
        <v>264.55099999999999</v>
      </c>
      <c r="N1973" s="6">
        <v>264.55099999999999</v>
      </c>
      <c r="O1973" s="6">
        <v>264.55099999999999</v>
      </c>
      <c r="P1973" s="6">
        <v>139</v>
      </c>
      <c r="Q1973" s="4" t="s">
        <v>26</v>
      </c>
      <c r="R1973" s="4">
        <v>0</v>
      </c>
      <c r="S1973" s="4" t="s">
        <v>446</v>
      </c>
      <c r="T1973" s="4" t="s">
        <v>716</v>
      </c>
      <c r="U1973" s="4">
        <v>0</v>
      </c>
      <c r="V1973" s="4">
        <v>67</v>
      </c>
      <c r="W1973" s="4">
        <v>111</v>
      </c>
    </row>
    <row r="1974" spans="1:23" ht="11.25" customHeight="1" x14ac:dyDescent="0.25">
      <c r="A1974" s="4" t="s">
        <v>27</v>
      </c>
      <c r="B1974" s="4" t="s">
        <v>39</v>
      </c>
      <c r="C1974" s="4" t="s">
        <v>23</v>
      </c>
      <c r="D1974" s="4" t="s">
        <v>40</v>
      </c>
      <c r="E1974" s="4" t="s">
        <v>25</v>
      </c>
      <c r="F1974" s="4" t="s">
        <v>25</v>
      </c>
      <c r="G1974" s="4" t="s">
        <v>25</v>
      </c>
      <c r="H1974" s="4" t="s">
        <v>25</v>
      </c>
      <c r="I1974" s="5">
        <v>44743</v>
      </c>
      <c r="J1974" s="6">
        <v>0</v>
      </c>
      <c r="K1974" s="6">
        <v>0</v>
      </c>
      <c r="L1974" s="6">
        <v>-8.0090000000000003</v>
      </c>
      <c r="M1974" s="6">
        <v>-8.0090000000000003</v>
      </c>
      <c r="N1974" s="6">
        <v>-8.0090000000000003</v>
      </c>
      <c r="O1974" s="6">
        <v>-8.0090000000000003</v>
      </c>
      <c r="P1974" s="6">
        <v>-1</v>
      </c>
      <c r="Q1974" s="4" t="s">
        <v>26</v>
      </c>
      <c r="R1974" s="4">
        <v>0</v>
      </c>
      <c r="S1974" s="4" t="s">
        <v>446</v>
      </c>
      <c r="T1974" s="4" t="s">
        <v>716</v>
      </c>
      <c r="U1974" s="4">
        <v>0</v>
      </c>
      <c r="V1974" s="4">
        <v>67</v>
      </c>
      <c r="W1974" s="4">
        <v>111</v>
      </c>
    </row>
    <row r="1975" spans="1:23" ht="11.25" customHeight="1" x14ac:dyDescent="0.25">
      <c r="A1975" s="4" t="s">
        <v>28</v>
      </c>
      <c r="B1975" s="4" t="s">
        <v>39</v>
      </c>
      <c r="C1975" s="4" t="s">
        <v>23</v>
      </c>
      <c r="D1975" s="4" t="s">
        <v>40</v>
      </c>
      <c r="E1975" s="4" t="s">
        <v>25</v>
      </c>
      <c r="F1975" s="4" t="s">
        <v>25</v>
      </c>
      <c r="G1975" s="4" t="s">
        <v>25</v>
      </c>
      <c r="H1975" s="4" t="s">
        <v>25</v>
      </c>
      <c r="I1975" s="5">
        <v>44743</v>
      </c>
      <c r="J1975" s="6">
        <v>0</v>
      </c>
      <c r="K1975" s="6">
        <v>0</v>
      </c>
      <c r="L1975" s="6">
        <v>63.402999999999999</v>
      </c>
      <c r="M1975" s="6">
        <v>63.402999999999999</v>
      </c>
      <c r="N1975" s="6">
        <v>63.402999999999999</v>
      </c>
      <c r="O1975" s="6">
        <v>63.402999999999999</v>
      </c>
      <c r="P1975" s="6">
        <v>42</v>
      </c>
      <c r="Q1975" s="4" t="s">
        <v>26</v>
      </c>
      <c r="R1975" s="4">
        <v>0</v>
      </c>
      <c r="S1975" s="4" t="s">
        <v>446</v>
      </c>
      <c r="T1975" s="4" t="s">
        <v>716</v>
      </c>
      <c r="U1975" s="4">
        <v>0</v>
      </c>
      <c r="V1975" s="4">
        <v>67</v>
      </c>
      <c r="W1975" s="4">
        <v>111</v>
      </c>
    </row>
    <row r="1976" spans="1:23" ht="11.25" customHeight="1" x14ac:dyDescent="0.25">
      <c r="A1976" s="4" t="s">
        <v>30</v>
      </c>
      <c r="B1976" s="4" t="s">
        <v>39</v>
      </c>
      <c r="C1976" s="4" t="s">
        <v>23</v>
      </c>
      <c r="D1976" s="4" t="s">
        <v>40</v>
      </c>
      <c r="E1976" s="4" t="s">
        <v>25</v>
      </c>
      <c r="F1976" s="4" t="s">
        <v>25</v>
      </c>
      <c r="G1976" s="4" t="s">
        <v>25</v>
      </c>
      <c r="H1976" s="4" t="s">
        <v>25</v>
      </c>
      <c r="I1976" s="5">
        <v>44743</v>
      </c>
      <c r="J1976" s="6">
        <v>0</v>
      </c>
      <c r="K1976" s="6">
        <v>0</v>
      </c>
      <c r="L1976" s="6">
        <v>11.417999999999999</v>
      </c>
      <c r="M1976" s="6">
        <v>11.417999999999999</v>
      </c>
      <c r="N1976" s="6">
        <v>11.417999999999999</v>
      </c>
      <c r="O1976" s="6">
        <v>11.417999999999999</v>
      </c>
      <c r="P1976" s="6">
        <v>13</v>
      </c>
      <c r="Q1976" s="4" t="s">
        <v>26</v>
      </c>
      <c r="R1976" s="4">
        <v>0</v>
      </c>
      <c r="S1976" s="4" t="s">
        <v>446</v>
      </c>
      <c r="T1976" s="4" t="s">
        <v>716</v>
      </c>
      <c r="U1976" s="4">
        <v>0</v>
      </c>
      <c r="V1976" s="4">
        <v>67</v>
      </c>
      <c r="W1976" s="4">
        <v>111</v>
      </c>
    </row>
    <row r="1977" spans="1:23" ht="11.25" customHeight="1" x14ac:dyDescent="0.25">
      <c r="A1977" s="4" t="s">
        <v>21</v>
      </c>
      <c r="B1977" s="4" t="s">
        <v>39</v>
      </c>
      <c r="C1977" s="4" t="s">
        <v>23</v>
      </c>
      <c r="D1977" s="4" t="s">
        <v>40</v>
      </c>
      <c r="E1977" s="4" t="s">
        <v>25</v>
      </c>
      <c r="F1977" s="4" t="s">
        <v>25</v>
      </c>
      <c r="G1977" s="4" t="s">
        <v>25</v>
      </c>
      <c r="H1977" s="4" t="s">
        <v>25</v>
      </c>
      <c r="I1977" s="5">
        <v>44774</v>
      </c>
      <c r="J1977" s="6">
        <v>0</v>
      </c>
      <c r="K1977" s="6">
        <v>0</v>
      </c>
      <c r="L1977" s="6">
        <v>287.07</v>
      </c>
      <c r="M1977" s="6">
        <v>287.07</v>
      </c>
      <c r="N1977" s="6">
        <v>287.07</v>
      </c>
      <c r="O1977" s="6">
        <v>287.07</v>
      </c>
      <c r="P1977" s="6">
        <v>141</v>
      </c>
      <c r="Q1977" s="4" t="s">
        <v>26</v>
      </c>
      <c r="R1977" s="4">
        <v>0</v>
      </c>
      <c r="S1977" s="4" t="s">
        <v>447</v>
      </c>
      <c r="T1977" s="4" t="s">
        <v>717</v>
      </c>
      <c r="U1977" s="4">
        <v>0</v>
      </c>
      <c r="V1977" s="4">
        <v>67</v>
      </c>
      <c r="W1977" s="4">
        <v>111</v>
      </c>
    </row>
    <row r="1978" spans="1:23" ht="11.25" customHeight="1" x14ac:dyDescent="0.25">
      <c r="A1978" s="4" t="s">
        <v>27</v>
      </c>
      <c r="B1978" s="4" t="s">
        <v>39</v>
      </c>
      <c r="C1978" s="4" t="s">
        <v>23</v>
      </c>
      <c r="D1978" s="4" t="s">
        <v>40</v>
      </c>
      <c r="E1978" s="4" t="s">
        <v>25</v>
      </c>
      <c r="F1978" s="4" t="s">
        <v>25</v>
      </c>
      <c r="G1978" s="4" t="s">
        <v>25</v>
      </c>
      <c r="H1978" s="4" t="s">
        <v>25</v>
      </c>
      <c r="I1978" s="5">
        <v>44774</v>
      </c>
      <c r="J1978" s="6">
        <v>0</v>
      </c>
      <c r="K1978" s="6">
        <v>0</v>
      </c>
      <c r="L1978" s="6">
        <v>-16.888999999999999</v>
      </c>
      <c r="M1978" s="6">
        <v>-16.888999999999999</v>
      </c>
      <c r="N1978" s="6">
        <v>-16.888999999999999</v>
      </c>
      <c r="O1978" s="6">
        <v>-16.888999999999999</v>
      </c>
      <c r="P1978" s="6">
        <v>-4</v>
      </c>
      <c r="Q1978" s="4" t="s">
        <v>26</v>
      </c>
      <c r="R1978" s="4">
        <v>0</v>
      </c>
      <c r="S1978" s="4" t="s">
        <v>447</v>
      </c>
      <c r="T1978" s="4" t="s">
        <v>717</v>
      </c>
      <c r="U1978" s="4">
        <v>0</v>
      </c>
      <c r="V1978" s="4">
        <v>67</v>
      </c>
      <c r="W1978" s="4">
        <v>111</v>
      </c>
    </row>
    <row r="1979" spans="1:23" ht="11.25" customHeight="1" x14ac:dyDescent="0.25">
      <c r="A1979" s="4" t="s">
        <v>28</v>
      </c>
      <c r="B1979" s="4" t="s">
        <v>39</v>
      </c>
      <c r="C1979" s="4" t="s">
        <v>23</v>
      </c>
      <c r="D1979" s="4" t="s">
        <v>40</v>
      </c>
      <c r="E1979" s="4" t="s">
        <v>25</v>
      </c>
      <c r="F1979" s="4" t="s">
        <v>25</v>
      </c>
      <c r="G1979" s="4" t="s">
        <v>25</v>
      </c>
      <c r="H1979" s="4" t="s">
        <v>25</v>
      </c>
      <c r="I1979" s="5">
        <v>44774</v>
      </c>
      <c r="J1979" s="6">
        <v>0</v>
      </c>
      <c r="K1979" s="6">
        <v>0</v>
      </c>
      <c r="L1979" s="6">
        <v>67.813000000000002</v>
      </c>
      <c r="M1979" s="6">
        <v>67.813000000000002</v>
      </c>
      <c r="N1979" s="6">
        <v>67.813000000000002</v>
      </c>
      <c r="O1979" s="6">
        <v>67.813000000000002</v>
      </c>
      <c r="P1979" s="6">
        <v>42</v>
      </c>
      <c r="Q1979" s="4" t="s">
        <v>26</v>
      </c>
      <c r="R1979" s="4">
        <v>0</v>
      </c>
      <c r="S1979" s="4" t="s">
        <v>447</v>
      </c>
      <c r="T1979" s="4" t="s">
        <v>717</v>
      </c>
      <c r="U1979" s="4">
        <v>0</v>
      </c>
      <c r="V1979" s="4">
        <v>67</v>
      </c>
      <c r="W1979" s="4">
        <v>111</v>
      </c>
    </row>
    <row r="1980" spans="1:23" ht="11.25" customHeight="1" x14ac:dyDescent="0.25">
      <c r="A1980" s="4" t="s">
        <v>30</v>
      </c>
      <c r="B1980" s="4" t="s">
        <v>39</v>
      </c>
      <c r="C1980" s="4" t="s">
        <v>23</v>
      </c>
      <c r="D1980" s="4" t="s">
        <v>40</v>
      </c>
      <c r="E1980" s="4" t="s">
        <v>25</v>
      </c>
      <c r="F1980" s="4" t="s">
        <v>25</v>
      </c>
      <c r="G1980" s="4" t="s">
        <v>25</v>
      </c>
      <c r="H1980" s="4" t="s">
        <v>25</v>
      </c>
      <c r="I1980" s="5">
        <v>44774</v>
      </c>
      <c r="J1980" s="6">
        <v>0</v>
      </c>
      <c r="K1980" s="6">
        <v>0</v>
      </c>
      <c r="L1980" s="6">
        <v>11.07</v>
      </c>
      <c r="M1980" s="6">
        <v>11.07</v>
      </c>
      <c r="N1980" s="6">
        <v>11.07</v>
      </c>
      <c r="O1980" s="6">
        <v>11.07</v>
      </c>
      <c r="P1980" s="6">
        <v>13</v>
      </c>
      <c r="Q1980" s="4" t="s">
        <v>26</v>
      </c>
      <c r="R1980" s="4">
        <v>0</v>
      </c>
      <c r="S1980" s="4" t="s">
        <v>447</v>
      </c>
      <c r="T1980" s="4" t="s">
        <v>717</v>
      </c>
      <c r="U1980" s="4">
        <v>0</v>
      </c>
      <c r="V1980" s="4">
        <v>67</v>
      </c>
      <c r="W1980" s="4">
        <v>111</v>
      </c>
    </row>
    <row r="1981" spans="1:23" ht="11.25" customHeight="1" x14ac:dyDescent="0.25">
      <c r="A1981" s="4" t="s">
        <v>21</v>
      </c>
      <c r="B1981" s="4" t="s">
        <v>39</v>
      </c>
      <c r="C1981" s="4" t="s">
        <v>23</v>
      </c>
      <c r="D1981" s="4" t="s">
        <v>40</v>
      </c>
      <c r="E1981" s="4" t="s">
        <v>25</v>
      </c>
      <c r="F1981" s="4" t="s">
        <v>25</v>
      </c>
      <c r="G1981" s="4" t="s">
        <v>25</v>
      </c>
      <c r="H1981" s="4" t="s">
        <v>25</v>
      </c>
      <c r="I1981" s="5">
        <v>44805</v>
      </c>
      <c r="J1981" s="6">
        <v>0</v>
      </c>
      <c r="K1981" s="6">
        <v>0</v>
      </c>
      <c r="L1981" s="6">
        <v>301.15699999999998</v>
      </c>
      <c r="M1981" s="6">
        <v>301.15699999999998</v>
      </c>
      <c r="N1981" s="6">
        <v>301.15699999999998</v>
      </c>
      <c r="O1981" s="6">
        <v>301.15699999999998</v>
      </c>
      <c r="P1981" s="6">
        <v>139</v>
      </c>
      <c r="Q1981" s="4" t="s">
        <v>26</v>
      </c>
      <c r="R1981" s="4">
        <v>0</v>
      </c>
      <c r="S1981" s="4" t="s">
        <v>448</v>
      </c>
      <c r="T1981" s="4" t="s">
        <v>718</v>
      </c>
      <c r="U1981" s="4">
        <v>0</v>
      </c>
      <c r="V1981" s="4">
        <v>67</v>
      </c>
      <c r="W1981" s="4">
        <v>111</v>
      </c>
    </row>
    <row r="1982" spans="1:23" ht="11.25" customHeight="1" x14ac:dyDescent="0.25">
      <c r="A1982" s="4" t="s">
        <v>28</v>
      </c>
      <c r="B1982" s="4" t="s">
        <v>39</v>
      </c>
      <c r="C1982" s="4" t="s">
        <v>23</v>
      </c>
      <c r="D1982" s="4" t="s">
        <v>40</v>
      </c>
      <c r="E1982" s="4" t="s">
        <v>25</v>
      </c>
      <c r="F1982" s="4" t="s">
        <v>25</v>
      </c>
      <c r="G1982" s="4" t="s">
        <v>25</v>
      </c>
      <c r="H1982" s="4" t="s">
        <v>25</v>
      </c>
      <c r="I1982" s="5">
        <v>44805</v>
      </c>
      <c r="J1982" s="6">
        <v>0</v>
      </c>
      <c r="K1982" s="6">
        <v>0</v>
      </c>
      <c r="L1982" s="6">
        <v>66.947999999999993</v>
      </c>
      <c r="M1982" s="6">
        <v>66.947999999999993</v>
      </c>
      <c r="N1982" s="6">
        <v>66.947999999999993</v>
      </c>
      <c r="O1982" s="6">
        <v>66.947999999999993</v>
      </c>
      <c r="P1982" s="6">
        <v>43</v>
      </c>
      <c r="Q1982" s="4" t="s">
        <v>26</v>
      </c>
      <c r="R1982" s="4">
        <v>0</v>
      </c>
      <c r="S1982" s="4" t="s">
        <v>448</v>
      </c>
      <c r="T1982" s="4" t="s">
        <v>718</v>
      </c>
      <c r="U1982" s="4">
        <v>0</v>
      </c>
      <c r="V1982" s="4">
        <v>67</v>
      </c>
      <c r="W1982" s="4">
        <v>111</v>
      </c>
    </row>
    <row r="1983" spans="1:23" ht="11.25" customHeight="1" x14ac:dyDescent="0.25">
      <c r="A1983" s="4" t="s">
        <v>30</v>
      </c>
      <c r="B1983" s="4" t="s">
        <v>39</v>
      </c>
      <c r="C1983" s="4" t="s">
        <v>23</v>
      </c>
      <c r="D1983" s="4" t="s">
        <v>40</v>
      </c>
      <c r="E1983" s="4" t="s">
        <v>25</v>
      </c>
      <c r="F1983" s="4" t="s">
        <v>25</v>
      </c>
      <c r="G1983" s="4" t="s">
        <v>25</v>
      </c>
      <c r="H1983" s="4" t="s">
        <v>25</v>
      </c>
      <c r="I1983" s="5">
        <v>44805</v>
      </c>
      <c r="J1983" s="6">
        <v>0</v>
      </c>
      <c r="K1983" s="6">
        <v>0</v>
      </c>
      <c r="L1983" s="6">
        <v>8.2149999999999999</v>
      </c>
      <c r="M1983" s="6">
        <v>8.2149999999999999</v>
      </c>
      <c r="N1983" s="6">
        <v>8.2149999999999999</v>
      </c>
      <c r="O1983" s="6">
        <v>8.2149999999999999</v>
      </c>
      <c r="P1983" s="6">
        <v>13</v>
      </c>
      <c r="Q1983" s="4" t="s">
        <v>26</v>
      </c>
      <c r="R1983" s="4">
        <v>0</v>
      </c>
      <c r="S1983" s="4" t="s">
        <v>448</v>
      </c>
      <c r="T1983" s="4" t="s">
        <v>718</v>
      </c>
      <c r="U1983" s="4">
        <v>0</v>
      </c>
      <c r="V1983" s="4">
        <v>67</v>
      </c>
      <c r="W1983" s="4">
        <v>111</v>
      </c>
    </row>
    <row r="1984" spans="1:23" ht="11.25" customHeight="1" x14ac:dyDescent="0.25">
      <c r="A1984" s="4" t="s">
        <v>30</v>
      </c>
      <c r="B1984" s="4" t="s">
        <v>39</v>
      </c>
      <c r="C1984" s="4" t="s">
        <v>23</v>
      </c>
      <c r="D1984" s="4" t="s">
        <v>40</v>
      </c>
      <c r="E1984" s="4" t="s">
        <v>25</v>
      </c>
      <c r="F1984" s="4" t="s">
        <v>25</v>
      </c>
      <c r="G1984" s="4" t="s">
        <v>25</v>
      </c>
      <c r="H1984" s="4" t="s">
        <v>25</v>
      </c>
      <c r="I1984" s="5">
        <v>44805</v>
      </c>
      <c r="J1984" s="6">
        <v>0</v>
      </c>
      <c r="K1984" s="6">
        <v>0</v>
      </c>
      <c r="L1984" s="6">
        <v>2.2669999999999999</v>
      </c>
      <c r="M1984" s="6">
        <v>2.2669999999999999</v>
      </c>
      <c r="N1984" s="6">
        <v>2.2669999999999999</v>
      </c>
      <c r="O1984" s="6">
        <v>2.2669999999999999</v>
      </c>
      <c r="P1984" s="6">
        <v>0</v>
      </c>
      <c r="Q1984" s="4" t="s">
        <v>26</v>
      </c>
      <c r="R1984" s="4">
        <v>0</v>
      </c>
      <c r="S1984" s="4" t="s">
        <v>448</v>
      </c>
      <c r="T1984" s="4" t="s">
        <v>718</v>
      </c>
      <c r="U1984" s="4">
        <v>0</v>
      </c>
      <c r="V1984" s="4">
        <v>67</v>
      </c>
      <c r="W1984" s="4">
        <v>111</v>
      </c>
    </row>
    <row r="1985" spans="1:23" ht="11.25" customHeight="1" x14ac:dyDescent="0.25">
      <c r="A1985" s="4" t="s">
        <v>21</v>
      </c>
      <c r="B1985" s="4" t="s">
        <v>39</v>
      </c>
      <c r="C1985" s="4" t="s">
        <v>23</v>
      </c>
      <c r="D1985" s="4" t="s">
        <v>40</v>
      </c>
      <c r="E1985" s="4" t="s">
        <v>25</v>
      </c>
      <c r="F1985" s="4" t="s">
        <v>25</v>
      </c>
      <c r="G1985" s="4" t="s">
        <v>25</v>
      </c>
      <c r="H1985" s="4" t="s">
        <v>25</v>
      </c>
      <c r="I1985" s="5">
        <v>44835</v>
      </c>
      <c r="J1985" s="6">
        <v>0</v>
      </c>
      <c r="K1985" s="6">
        <v>0</v>
      </c>
      <c r="L1985" s="6">
        <v>274.10199999999998</v>
      </c>
      <c r="M1985" s="6">
        <v>274.10199999999998</v>
      </c>
      <c r="N1985" s="6">
        <v>274.10199999999998</v>
      </c>
      <c r="O1985" s="6">
        <v>274.10199999999998</v>
      </c>
      <c r="P1985" s="6">
        <v>136</v>
      </c>
      <c r="Q1985" s="4" t="s">
        <v>26</v>
      </c>
      <c r="R1985" s="4">
        <v>0</v>
      </c>
      <c r="S1985" s="4" t="s">
        <v>449</v>
      </c>
      <c r="T1985" s="4" t="s">
        <v>719</v>
      </c>
      <c r="U1985" s="4">
        <v>0</v>
      </c>
      <c r="V1985" s="4">
        <v>67</v>
      </c>
      <c r="W1985" s="4">
        <v>111</v>
      </c>
    </row>
    <row r="1986" spans="1:23" ht="11.25" customHeight="1" x14ac:dyDescent="0.25">
      <c r="A1986" s="4" t="s">
        <v>27</v>
      </c>
      <c r="B1986" s="4" t="s">
        <v>39</v>
      </c>
      <c r="C1986" s="4" t="s">
        <v>23</v>
      </c>
      <c r="D1986" s="4" t="s">
        <v>40</v>
      </c>
      <c r="E1986" s="4" t="s">
        <v>25</v>
      </c>
      <c r="F1986" s="4" t="s">
        <v>25</v>
      </c>
      <c r="G1986" s="4" t="s">
        <v>25</v>
      </c>
      <c r="H1986" s="4" t="s">
        <v>25</v>
      </c>
      <c r="I1986" s="5">
        <v>44835</v>
      </c>
      <c r="J1986" s="6">
        <v>0</v>
      </c>
      <c r="K1986" s="6">
        <v>0</v>
      </c>
      <c r="L1986" s="6">
        <v>-2.3479999999999999</v>
      </c>
      <c r="M1986" s="6">
        <v>-2.3479999999999999</v>
      </c>
      <c r="N1986" s="6">
        <v>-2.3479999999999999</v>
      </c>
      <c r="O1986" s="6">
        <v>-2.3479999999999999</v>
      </c>
      <c r="P1986" s="6">
        <v>-1</v>
      </c>
      <c r="Q1986" s="4" t="s">
        <v>26</v>
      </c>
      <c r="R1986" s="4">
        <v>0</v>
      </c>
      <c r="S1986" s="4" t="s">
        <v>449</v>
      </c>
      <c r="T1986" s="4" t="s">
        <v>719</v>
      </c>
      <c r="U1986" s="4">
        <v>0</v>
      </c>
      <c r="V1986" s="4">
        <v>67</v>
      </c>
      <c r="W1986" s="4">
        <v>111</v>
      </c>
    </row>
    <row r="1987" spans="1:23" ht="11.25" customHeight="1" x14ac:dyDescent="0.25">
      <c r="A1987" s="4" t="s">
        <v>28</v>
      </c>
      <c r="B1987" s="4" t="s">
        <v>39</v>
      </c>
      <c r="C1987" s="4" t="s">
        <v>23</v>
      </c>
      <c r="D1987" s="4" t="s">
        <v>40</v>
      </c>
      <c r="E1987" s="4" t="s">
        <v>25</v>
      </c>
      <c r="F1987" s="4" t="s">
        <v>25</v>
      </c>
      <c r="G1987" s="4" t="s">
        <v>25</v>
      </c>
      <c r="H1987" s="4" t="s">
        <v>25</v>
      </c>
      <c r="I1987" s="5">
        <v>44835</v>
      </c>
      <c r="J1987" s="6">
        <v>0</v>
      </c>
      <c r="K1987" s="6">
        <v>0</v>
      </c>
      <c r="L1987" s="6">
        <v>83.93</v>
      </c>
      <c r="M1987" s="6">
        <v>83.93</v>
      </c>
      <c r="N1987" s="6">
        <v>83.93</v>
      </c>
      <c r="O1987" s="6">
        <v>83.93</v>
      </c>
      <c r="P1987" s="6">
        <v>40</v>
      </c>
      <c r="Q1987" s="4" t="s">
        <v>26</v>
      </c>
      <c r="R1987" s="4">
        <v>0</v>
      </c>
      <c r="S1987" s="4" t="s">
        <v>449</v>
      </c>
      <c r="T1987" s="4" t="s">
        <v>719</v>
      </c>
      <c r="U1987" s="4">
        <v>0</v>
      </c>
      <c r="V1987" s="4">
        <v>67</v>
      </c>
      <c r="W1987" s="4">
        <v>111</v>
      </c>
    </row>
    <row r="1988" spans="1:23" ht="11.25" customHeight="1" x14ac:dyDescent="0.25">
      <c r="A1988" s="4" t="s">
        <v>30</v>
      </c>
      <c r="B1988" s="4" t="s">
        <v>39</v>
      </c>
      <c r="C1988" s="4" t="s">
        <v>23</v>
      </c>
      <c r="D1988" s="4" t="s">
        <v>40</v>
      </c>
      <c r="E1988" s="4" t="s">
        <v>25</v>
      </c>
      <c r="F1988" s="4" t="s">
        <v>25</v>
      </c>
      <c r="G1988" s="4" t="s">
        <v>25</v>
      </c>
      <c r="H1988" s="4" t="s">
        <v>25</v>
      </c>
      <c r="I1988" s="5">
        <v>44835</v>
      </c>
      <c r="J1988" s="6">
        <v>0</v>
      </c>
      <c r="K1988" s="6">
        <v>0</v>
      </c>
      <c r="L1988" s="6">
        <v>11.15</v>
      </c>
      <c r="M1988" s="6">
        <v>11.15</v>
      </c>
      <c r="N1988" s="6">
        <v>11.15</v>
      </c>
      <c r="O1988" s="6">
        <v>11.15</v>
      </c>
      <c r="P1988" s="6">
        <v>13</v>
      </c>
      <c r="Q1988" s="4" t="s">
        <v>26</v>
      </c>
      <c r="R1988" s="4">
        <v>0</v>
      </c>
      <c r="S1988" s="4" t="s">
        <v>449</v>
      </c>
      <c r="T1988" s="4" t="s">
        <v>719</v>
      </c>
      <c r="U1988" s="4">
        <v>0</v>
      </c>
      <c r="V1988" s="4">
        <v>67</v>
      </c>
      <c r="W1988" s="4">
        <v>111</v>
      </c>
    </row>
    <row r="1989" spans="1:23" ht="11.25" customHeight="1" x14ac:dyDescent="0.25">
      <c r="A1989" s="4" t="s">
        <v>59</v>
      </c>
      <c r="B1989" s="4" t="s">
        <v>39</v>
      </c>
      <c r="C1989" s="4" t="s">
        <v>23</v>
      </c>
      <c r="D1989" s="4" t="s">
        <v>40</v>
      </c>
      <c r="E1989" s="4" t="s">
        <v>25</v>
      </c>
      <c r="F1989" s="4" t="s">
        <v>25</v>
      </c>
      <c r="G1989" s="4" t="s">
        <v>25</v>
      </c>
      <c r="H1989" s="4" t="s">
        <v>25</v>
      </c>
      <c r="I1989" s="5">
        <v>44866</v>
      </c>
      <c r="J1989" s="6">
        <v>0</v>
      </c>
      <c r="K1989" s="6">
        <v>0</v>
      </c>
      <c r="L1989" s="6">
        <v>274.10199999999998</v>
      </c>
      <c r="M1989" s="6">
        <v>274.10199999999998</v>
      </c>
      <c r="N1989" s="6">
        <v>274.10199999999998</v>
      </c>
      <c r="O1989" s="6">
        <v>274.10199999999998</v>
      </c>
      <c r="P1989" s="6">
        <v>136</v>
      </c>
      <c r="Q1989" s="4" t="s">
        <v>26</v>
      </c>
      <c r="R1989" s="4">
        <v>0</v>
      </c>
      <c r="S1989" s="4" t="s">
        <v>450</v>
      </c>
      <c r="T1989" s="4" t="s">
        <v>720</v>
      </c>
      <c r="U1989" s="4">
        <v>0</v>
      </c>
      <c r="V1989" s="4">
        <v>67</v>
      </c>
      <c r="W1989" s="4">
        <v>111</v>
      </c>
    </row>
    <row r="1990" spans="1:23" ht="11.25" customHeight="1" x14ac:dyDescent="0.25">
      <c r="A1990" s="4" t="s">
        <v>59</v>
      </c>
      <c r="B1990" s="4" t="s">
        <v>39</v>
      </c>
      <c r="C1990" s="4" t="s">
        <v>23</v>
      </c>
      <c r="D1990" s="4" t="s">
        <v>40</v>
      </c>
      <c r="E1990" s="4" t="s">
        <v>25</v>
      </c>
      <c r="F1990" s="4" t="s">
        <v>25</v>
      </c>
      <c r="G1990" s="4" t="s">
        <v>25</v>
      </c>
      <c r="H1990" s="4" t="s">
        <v>25</v>
      </c>
      <c r="I1990" s="5">
        <v>44866</v>
      </c>
      <c r="J1990" s="6">
        <v>0</v>
      </c>
      <c r="K1990" s="6">
        <v>0</v>
      </c>
      <c r="L1990" s="6">
        <v>-2.3479999999999999</v>
      </c>
      <c r="M1990" s="6">
        <v>-2.3479999999999999</v>
      </c>
      <c r="N1990" s="6">
        <v>-2.3479999999999999</v>
      </c>
      <c r="O1990" s="6">
        <v>-2.3479999999999999</v>
      </c>
      <c r="P1990" s="6">
        <v>-1</v>
      </c>
      <c r="Q1990" s="4" t="s">
        <v>26</v>
      </c>
      <c r="R1990" s="4">
        <v>0</v>
      </c>
      <c r="S1990" s="4" t="s">
        <v>450</v>
      </c>
      <c r="T1990" s="4" t="s">
        <v>720</v>
      </c>
      <c r="U1990" s="4">
        <v>0</v>
      </c>
      <c r="V1990" s="4">
        <v>67</v>
      </c>
      <c r="W1990" s="4">
        <v>111</v>
      </c>
    </row>
    <row r="1991" spans="1:23" ht="11.25" customHeight="1" x14ac:dyDescent="0.25">
      <c r="A1991" s="4" t="s">
        <v>59</v>
      </c>
      <c r="B1991" s="4" t="s">
        <v>39</v>
      </c>
      <c r="C1991" s="4" t="s">
        <v>23</v>
      </c>
      <c r="D1991" s="4" t="s">
        <v>40</v>
      </c>
      <c r="E1991" s="4" t="s">
        <v>25</v>
      </c>
      <c r="F1991" s="4" t="s">
        <v>25</v>
      </c>
      <c r="G1991" s="4" t="s">
        <v>25</v>
      </c>
      <c r="H1991" s="4" t="s">
        <v>25</v>
      </c>
      <c r="I1991" s="5">
        <v>44866</v>
      </c>
      <c r="J1991" s="6">
        <v>0</v>
      </c>
      <c r="K1991" s="6">
        <v>0</v>
      </c>
      <c r="L1991" s="6">
        <v>83.93</v>
      </c>
      <c r="M1991" s="6">
        <v>83.93</v>
      </c>
      <c r="N1991" s="6">
        <v>83.93</v>
      </c>
      <c r="O1991" s="6">
        <v>83.93</v>
      </c>
      <c r="P1991" s="6">
        <v>40</v>
      </c>
      <c r="Q1991" s="4" t="s">
        <v>26</v>
      </c>
      <c r="R1991" s="4">
        <v>0</v>
      </c>
      <c r="S1991" s="4" t="s">
        <v>450</v>
      </c>
      <c r="T1991" s="4" t="s">
        <v>720</v>
      </c>
      <c r="U1991" s="4">
        <v>0</v>
      </c>
      <c r="V1991" s="4">
        <v>67</v>
      </c>
      <c r="W1991" s="4">
        <v>111</v>
      </c>
    </row>
    <row r="1992" spans="1:23" ht="11.25" customHeight="1" x14ac:dyDescent="0.25">
      <c r="A1992" s="4" t="s">
        <v>59</v>
      </c>
      <c r="B1992" s="4" t="s">
        <v>39</v>
      </c>
      <c r="C1992" s="4" t="s">
        <v>23</v>
      </c>
      <c r="D1992" s="4" t="s">
        <v>40</v>
      </c>
      <c r="E1992" s="4" t="s">
        <v>25</v>
      </c>
      <c r="F1992" s="4" t="s">
        <v>25</v>
      </c>
      <c r="G1992" s="4" t="s">
        <v>25</v>
      </c>
      <c r="H1992" s="4" t="s">
        <v>25</v>
      </c>
      <c r="I1992" s="5">
        <v>44866</v>
      </c>
      <c r="J1992" s="6">
        <v>0</v>
      </c>
      <c r="K1992" s="6">
        <v>0</v>
      </c>
      <c r="L1992" s="6">
        <v>11.15</v>
      </c>
      <c r="M1992" s="6">
        <v>11.15</v>
      </c>
      <c r="N1992" s="6">
        <v>11.15</v>
      </c>
      <c r="O1992" s="6">
        <v>11.15</v>
      </c>
      <c r="P1992" s="6">
        <v>13</v>
      </c>
      <c r="Q1992" s="4" t="s">
        <v>26</v>
      </c>
      <c r="R1992" s="4">
        <v>0</v>
      </c>
      <c r="S1992" s="4" t="s">
        <v>450</v>
      </c>
      <c r="T1992" s="4" t="s">
        <v>720</v>
      </c>
      <c r="U1992" s="4">
        <v>0</v>
      </c>
      <c r="V1992" s="4">
        <v>67</v>
      </c>
      <c r="W1992" s="4">
        <v>111</v>
      </c>
    </row>
    <row r="1993" spans="1:23" ht="11.25" customHeight="1" x14ac:dyDescent="0.25">
      <c r="A1993" s="4" t="s">
        <v>21</v>
      </c>
      <c r="B1993" s="4" t="s">
        <v>39</v>
      </c>
      <c r="C1993" s="4" t="s">
        <v>23</v>
      </c>
      <c r="D1993" s="4" t="s">
        <v>48</v>
      </c>
      <c r="E1993" s="4" t="s">
        <v>25</v>
      </c>
      <c r="F1993" s="4" t="s">
        <v>25</v>
      </c>
      <c r="G1993" s="4" t="s">
        <v>25</v>
      </c>
      <c r="H1993" s="4" t="s">
        <v>25</v>
      </c>
      <c r="I1993" s="5">
        <v>44531</v>
      </c>
      <c r="J1993" s="6">
        <v>0</v>
      </c>
      <c r="K1993" s="6">
        <v>0</v>
      </c>
      <c r="L1993" s="6">
        <v>2343.3449999999998</v>
      </c>
      <c r="M1993" s="6">
        <v>2343.3449999999998</v>
      </c>
      <c r="N1993" s="6">
        <v>2343.3449999999998</v>
      </c>
      <c r="O1993" s="6">
        <v>2343.3449999999998</v>
      </c>
      <c r="P1993" s="6">
        <v>1800</v>
      </c>
      <c r="Q1993" s="4" t="s">
        <v>26</v>
      </c>
      <c r="R1993" s="4">
        <v>0</v>
      </c>
      <c r="S1993" s="4" t="s">
        <v>439</v>
      </c>
      <c r="T1993" s="4" t="s">
        <v>709</v>
      </c>
      <c r="U1993" s="4">
        <v>0</v>
      </c>
      <c r="V1993" s="4">
        <v>67</v>
      </c>
      <c r="W1993" s="4">
        <v>111</v>
      </c>
    </row>
    <row r="1994" spans="1:23" ht="11.25" customHeight="1" x14ac:dyDescent="0.25">
      <c r="A1994" s="4" t="s">
        <v>27</v>
      </c>
      <c r="B1994" s="4" t="s">
        <v>39</v>
      </c>
      <c r="C1994" s="4" t="s">
        <v>23</v>
      </c>
      <c r="D1994" s="4" t="s">
        <v>48</v>
      </c>
      <c r="E1994" s="4" t="s">
        <v>25</v>
      </c>
      <c r="F1994" s="4" t="s">
        <v>25</v>
      </c>
      <c r="G1994" s="4" t="s">
        <v>25</v>
      </c>
      <c r="H1994" s="4" t="s">
        <v>25</v>
      </c>
      <c r="I1994" s="5">
        <v>44531</v>
      </c>
      <c r="J1994" s="6">
        <v>0</v>
      </c>
      <c r="K1994" s="6">
        <v>0</v>
      </c>
      <c r="L1994" s="6">
        <v>-6.657</v>
      </c>
      <c r="M1994" s="6">
        <v>-6.657</v>
      </c>
      <c r="N1994" s="6">
        <v>-6.657</v>
      </c>
      <c r="O1994" s="6">
        <v>-6.657</v>
      </c>
      <c r="P1994" s="6">
        <v>-146</v>
      </c>
      <c r="Q1994" s="4" t="s">
        <v>26</v>
      </c>
      <c r="R1994" s="4">
        <v>0</v>
      </c>
      <c r="S1994" s="4" t="s">
        <v>439</v>
      </c>
      <c r="T1994" s="4" t="s">
        <v>709</v>
      </c>
      <c r="U1994" s="4">
        <v>0</v>
      </c>
      <c r="V1994" s="4">
        <v>67</v>
      </c>
      <c r="W1994" s="4">
        <v>111</v>
      </c>
    </row>
    <row r="1995" spans="1:23" ht="11.25" customHeight="1" x14ac:dyDescent="0.25">
      <c r="A1995" s="4" t="s">
        <v>28</v>
      </c>
      <c r="B1995" s="4" t="s">
        <v>39</v>
      </c>
      <c r="C1995" s="4" t="s">
        <v>23</v>
      </c>
      <c r="D1995" s="4" t="s">
        <v>48</v>
      </c>
      <c r="E1995" s="4" t="s">
        <v>25</v>
      </c>
      <c r="F1995" s="4" t="s">
        <v>25</v>
      </c>
      <c r="G1995" s="4" t="s">
        <v>25</v>
      </c>
      <c r="H1995" s="4" t="s">
        <v>25</v>
      </c>
      <c r="I1995" s="5">
        <v>44531</v>
      </c>
      <c r="J1995" s="6">
        <v>0</v>
      </c>
      <c r="K1995" s="6">
        <v>0</v>
      </c>
      <c r="L1995" s="6">
        <v>1096.2439999999999</v>
      </c>
      <c r="M1995" s="6">
        <v>1096.2439999999999</v>
      </c>
      <c r="N1995" s="6">
        <v>1096.2439999999999</v>
      </c>
      <c r="O1995" s="6">
        <v>1096.2439999999999</v>
      </c>
      <c r="P1995" s="6">
        <v>1021</v>
      </c>
      <c r="Q1995" s="4" t="s">
        <v>26</v>
      </c>
      <c r="R1995" s="4">
        <v>0</v>
      </c>
      <c r="S1995" s="4" t="s">
        <v>439</v>
      </c>
      <c r="T1995" s="4" t="s">
        <v>709</v>
      </c>
      <c r="U1995" s="4">
        <v>0</v>
      </c>
      <c r="V1995" s="4">
        <v>67</v>
      </c>
      <c r="W1995" s="4">
        <v>111</v>
      </c>
    </row>
    <row r="1996" spans="1:23" ht="11.25" customHeight="1" x14ac:dyDescent="0.25">
      <c r="A1996" s="4" t="s">
        <v>29</v>
      </c>
      <c r="B1996" s="4" t="s">
        <v>39</v>
      </c>
      <c r="C1996" s="4" t="s">
        <v>23</v>
      </c>
      <c r="D1996" s="4" t="s">
        <v>48</v>
      </c>
      <c r="E1996" s="4" t="s">
        <v>25</v>
      </c>
      <c r="F1996" s="4" t="s">
        <v>25</v>
      </c>
      <c r="G1996" s="4" t="s">
        <v>25</v>
      </c>
      <c r="H1996" s="4" t="s">
        <v>25</v>
      </c>
      <c r="I1996" s="5">
        <v>44531</v>
      </c>
      <c r="J1996" s="6">
        <v>0</v>
      </c>
      <c r="K1996" s="6">
        <v>0</v>
      </c>
      <c r="L1996" s="6">
        <v>-96.757999999999996</v>
      </c>
      <c r="M1996" s="6">
        <v>-96.757999999999996</v>
      </c>
      <c r="N1996" s="6">
        <v>-96.757999999999996</v>
      </c>
      <c r="O1996" s="6">
        <v>-96.757999999999996</v>
      </c>
      <c r="P1996" s="6">
        <v>-20</v>
      </c>
      <c r="Q1996" s="4" t="s">
        <v>26</v>
      </c>
      <c r="R1996" s="4">
        <v>0</v>
      </c>
      <c r="S1996" s="4" t="s">
        <v>439</v>
      </c>
      <c r="T1996" s="4" t="s">
        <v>709</v>
      </c>
      <c r="U1996" s="4">
        <v>0</v>
      </c>
      <c r="V1996" s="4">
        <v>67</v>
      </c>
      <c r="W1996" s="4">
        <v>111</v>
      </c>
    </row>
    <row r="1997" spans="1:23" ht="11.25" customHeight="1" x14ac:dyDescent="0.25">
      <c r="A1997" s="4" t="s">
        <v>21</v>
      </c>
      <c r="B1997" s="4" t="s">
        <v>39</v>
      </c>
      <c r="C1997" s="4" t="s">
        <v>23</v>
      </c>
      <c r="D1997" s="4" t="s">
        <v>48</v>
      </c>
      <c r="E1997" s="4" t="s">
        <v>25</v>
      </c>
      <c r="F1997" s="4" t="s">
        <v>25</v>
      </c>
      <c r="G1997" s="4" t="s">
        <v>25</v>
      </c>
      <c r="H1997" s="4" t="s">
        <v>25</v>
      </c>
      <c r="I1997" s="5">
        <v>44562</v>
      </c>
      <c r="J1997" s="6">
        <v>0</v>
      </c>
      <c r="K1997" s="6">
        <v>0</v>
      </c>
      <c r="L1997" s="6">
        <v>2054.578</v>
      </c>
      <c r="M1997" s="6">
        <v>2054.578</v>
      </c>
      <c r="N1997" s="6">
        <v>2054.578</v>
      </c>
      <c r="O1997" s="6">
        <v>2054.578</v>
      </c>
      <c r="P1997" s="6">
        <v>1799</v>
      </c>
      <c r="Q1997" s="4" t="s">
        <v>26</v>
      </c>
      <c r="R1997" s="4">
        <v>0</v>
      </c>
      <c r="S1997" s="4" t="s">
        <v>440</v>
      </c>
      <c r="T1997" s="4" t="s">
        <v>710</v>
      </c>
      <c r="U1997" s="4">
        <v>0</v>
      </c>
      <c r="V1997" s="4">
        <v>67</v>
      </c>
      <c r="W1997" s="4">
        <v>111</v>
      </c>
    </row>
    <row r="1998" spans="1:23" ht="11.25" customHeight="1" x14ac:dyDescent="0.25">
      <c r="A1998" s="4" t="s">
        <v>27</v>
      </c>
      <c r="B1998" s="4" t="s">
        <v>39</v>
      </c>
      <c r="C1998" s="4" t="s">
        <v>23</v>
      </c>
      <c r="D1998" s="4" t="s">
        <v>48</v>
      </c>
      <c r="E1998" s="4" t="s">
        <v>25</v>
      </c>
      <c r="F1998" s="4" t="s">
        <v>25</v>
      </c>
      <c r="G1998" s="4" t="s">
        <v>25</v>
      </c>
      <c r="H1998" s="4" t="s">
        <v>25</v>
      </c>
      <c r="I1998" s="5">
        <v>44562</v>
      </c>
      <c r="J1998" s="6">
        <v>0</v>
      </c>
      <c r="K1998" s="6">
        <v>0</v>
      </c>
      <c r="L1998" s="6">
        <v>-0.75</v>
      </c>
      <c r="M1998" s="6">
        <v>-0.75</v>
      </c>
      <c r="N1998" s="6">
        <v>-0.75</v>
      </c>
      <c r="O1998" s="6">
        <v>-0.75</v>
      </c>
      <c r="P1998" s="6">
        <v>-11</v>
      </c>
      <c r="Q1998" s="4" t="s">
        <v>26</v>
      </c>
      <c r="R1998" s="4">
        <v>0</v>
      </c>
      <c r="S1998" s="4" t="s">
        <v>440</v>
      </c>
      <c r="T1998" s="4" t="s">
        <v>710</v>
      </c>
      <c r="U1998" s="4">
        <v>0</v>
      </c>
      <c r="V1998" s="4">
        <v>67</v>
      </c>
      <c r="W1998" s="4">
        <v>111</v>
      </c>
    </row>
    <row r="1999" spans="1:23" ht="11.25" customHeight="1" x14ac:dyDescent="0.25">
      <c r="A1999" s="4" t="s">
        <v>28</v>
      </c>
      <c r="B1999" s="4" t="s">
        <v>39</v>
      </c>
      <c r="C1999" s="4" t="s">
        <v>23</v>
      </c>
      <c r="D1999" s="4" t="s">
        <v>48</v>
      </c>
      <c r="E1999" s="4" t="s">
        <v>25</v>
      </c>
      <c r="F1999" s="4" t="s">
        <v>25</v>
      </c>
      <c r="G1999" s="4" t="s">
        <v>25</v>
      </c>
      <c r="H1999" s="4" t="s">
        <v>25</v>
      </c>
      <c r="I1999" s="5">
        <v>44562</v>
      </c>
      <c r="J1999" s="6">
        <v>0</v>
      </c>
      <c r="K1999" s="6">
        <v>0</v>
      </c>
      <c r="L1999" s="6">
        <v>937.68299999999999</v>
      </c>
      <c r="M1999" s="6">
        <v>937.68299999999999</v>
      </c>
      <c r="N1999" s="6">
        <v>937.68299999999999</v>
      </c>
      <c r="O1999" s="6">
        <v>937.68299999999999</v>
      </c>
      <c r="P1999" s="6">
        <v>1013</v>
      </c>
      <c r="Q1999" s="4" t="s">
        <v>26</v>
      </c>
      <c r="R1999" s="4">
        <v>0</v>
      </c>
      <c r="S1999" s="4" t="s">
        <v>440</v>
      </c>
      <c r="T1999" s="4" t="s">
        <v>710</v>
      </c>
      <c r="U1999" s="4">
        <v>0</v>
      </c>
      <c r="V1999" s="4">
        <v>67</v>
      </c>
      <c r="W1999" s="4">
        <v>111</v>
      </c>
    </row>
    <row r="2000" spans="1:23" ht="11.25" customHeight="1" x14ac:dyDescent="0.25">
      <c r="A2000" s="4" t="s">
        <v>21</v>
      </c>
      <c r="B2000" s="4" t="s">
        <v>39</v>
      </c>
      <c r="C2000" s="4" t="s">
        <v>23</v>
      </c>
      <c r="D2000" s="4" t="s">
        <v>48</v>
      </c>
      <c r="E2000" s="4" t="s">
        <v>25</v>
      </c>
      <c r="F2000" s="4" t="s">
        <v>25</v>
      </c>
      <c r="G2000" s="4" t="s">
        <v>25</v>
      </c>
      <c r="H2000" s="4" t="s">
        <v>25</v>
      </c>
      <c r="I2000" s="5">
        <v>44593</v>
      </c>
      <c r="J2000" s="6">
        <v>0</v>
      </c>
      <c r="K2000" s="6">
        <v>0</v>
      </c>
      <c r="L2000" s="6">
        <v>1868.3040000000001</v>
      </c>
      <c r="M2000" s="6">
        <v>1868.3040000000001</v>
      </c>
      <c r="N2000" s="6">
        <v>1868.3040000000001</v>
      </c>
      <c r="O2000" s="6">
        <v>1868.3040000000001</v>
      </c>
      <c r="P2000" s="6">
        <v>1795</v>
      </c>
      <c r="Q2000" s="4" t="s">
        <v>26</v>
      </c>
      <c r="R2000" s="4">
        <v>0</v>
      </c>
      <c r="S2000" s="4" t="s">
        <v>441</v>
      </c>
      <c r="T2000" s="4" t="s">
        <v>711</v>
      </c>
      <c r="U2000" s="4">
        <v>0</v>
      </c>
      <c r="V2000" s="4">
        <v>67</v>
      </c>
      <c r="W2000" s="4">
        <v>111</v>
      </c>
    </row>
    <row r="2001" spans="1:23" ht="11.25" customHeight="1" x14ac:dyDescent="0.25">
      <c r="A2001" s="4" t="s">
        <v>27</v>
      </c>
      <c r="B2001" s="4" t="s">
        <v>39</v>
      </c>
      <c r="C2001" s="4" t="s">
        <v>23</v>
      </c>
      <c r="D2001" s="4" t="s">
        <v>48</v>
      </c>
      <c r="E2001" s="4" t="s">
        <v>25</v>
      </c>
      <c r="F2001" s="4" t="s">
        <v>25</v>
      </c>
      <c r="G2001" s="4" t="s">
        <v>25</v>
      </c>
      <c r="H2001" s="4" t="s">
        <v>25</v>
      </c>
      <c r="I2001" s="5">
        <v>44593</v>
      </c>
      <c r="J2001" s="6">
        <v>0</v>
      </c>
      <c r="K2001" s="6">
        <v>0</v>
      </c>
      <c r="L2001" s="6">
        <v>-0.32</v>
      </c>
      <c r="M2001" s="6">
        <v>-0.32</v>
      </c>
      <c r="N2001" s="6">
        <v>-0.32</v>
      </c>
      <c r="O2001" s="6">
        <v>-0.32</v>
      </c>
      <c r="P2001" s="6">
        <v>-2</v>
      </c>
      <c r="Q2001" s="4" t="s">
        <v>26</v>
      </c>
      <c r="R2001" s="4">
        <v>0</v>
      </c>
      <c r="S2001" s="4" t="s">
        <v>441</v>
      </c>
      <c r="T2001" s="4" t="s">
        <v>711</v>
      </c>
      <c r="U2001" s="4">
        <v>0</v>
      </c>
      <c r="V2001" s="4">
        <v>67</v>
      </c>
      <c r="W2001" s="4">
        <v>111</v>
      </c>
    </row>
    <row r="2002" spans="1:23" ht="11.25" customHeight="1" x14ac:dyDescent="0.25">
      <c r="A2002" s="4" t="s">
        <v>28</v>
      </c>
      <c r="B2002" s="4" t="s">
        <v>39</v>
      </c>
      <c r="C2002" s="4" t="s">
        <v>23</v>
      </c>
      <c r="D2002" s="4" t="s">
        <v>48</v>
      </c>
      <c r="E2002" s="4" t="s">
        <v>25</v>
      </c>
      <c r="F2002" s="4" t="s">
        <v>25</v>
      </c>
      <c r="G2002" s="4" t="s">
        <v>25</v>
      </c>
      <c r="H2002" s="4" t="s">
        <v>25</v>
      </c>
      <c r="I2002" s="5">
        <v>44593</v>
      </c>
      <c r="J2002" s="6">
        <v>0</v>
      </c>
      <c r="K2002" s="6">
        <v>0</v>
      </c>
      <c r="L2002" s="6">
        <v>842.548</v>
      </c>
      <c r="M2002" s="6">
        <v>842.548</v>
      </c>
      <c r="N2002" s="6">
        <v>842.548</v>
      </c>
      <c r="O2002" s="6">
        <v>842.548</v>
      </c>
      <c r="P2002" s="6">
        <v>1014</v>
      </c>
      <c r="Q2002" s="4" t="s">
        <v>26</v>
      </c>
      <c r="R2002" s="4">
        <v>0</v>
      </c>
      <c r="S2002" s="4" t="s">
        <v>441</v>
      </c>
      <c r="T2002" s="4" t="s">
        <v>711</v>
      </c>
      <c r="U2002" s="4">
        <v>0</v>
      </c>
      <c r="V2002" s="4">
        <v>67</v>
      </c>
      <c r="W2002" s="4">
        <v>111</v>
      </c>
    </row>
    <row r="2003" spans="1:23" ht="11.25" customHeight="1" x14ac:dyDescent="0.25">
      <c r="A2003" s="4" t="s">
        <v>21</v>
      </c>
      <c r="B2003" s="4" t="s">
        <v>39</v>
      </c>
      <c r="C2003" s="4" t="s">
        <v>23</v>
      </c>
      <c r="D2003" s="4" t="s">
        <v>48</v>
      </c>
      <c r="E2003" s="4" t="s">
        <v>25</v>
      </c>
      <c r="F2003" s="4" t="s">
        <v>25</v>
      </c>
      <c r="G2003" s="4" t="s">
        <v>25</v>
      </c>
      <c r="H2003" s="4" t="s">
        <v>25</v>
      </c>
      <c r="I2003" s="5">
        <v>44621</v>
      </c>
      <c r="J2003" s="6">
        <v>0</v>
      </c>
      <c r="K2003" s="6">
        <v>0</v>
      </c>
      <c r="L2003" s="6">
        <v>1872.5809999999999</v>
      </c>
      <c r="M2003" s="6">
        <v>1872.5809999999999</v>
      </c>
      <c r="N2003" s="6">
        <v>1872.5809999999999</v>
      </c>
      <c r="O2003" s="6">
        <v>1872.5809999999999</v>
      </c>
      <c r="P2003" s="6">
        <v>1799</v>
      </c>
      <c r="Q2003" s="4" t="s">
        <v>26</v>
      </c>
      <c r="R2003" s="4">
        <v>0</v>
      </c>
      <c r="S2003" s="4" t="s">
        <v>442</v>
      </c>
      <c r="T2003" s="4" t="s">
        <v>712</v>
      </c>
      <c r="U2003" s="4">
        <v>0</v>
      </c>
      <c r="V2003" s="4">
        <v>67</v>
      </c>
      <c r="W2003" s="4">
        <v>111</v>
      </c>
    </row>
    <row r="2004" spans="1:23" ht="11.25" customHeight="1" x14ac:dyDescent="0.25">
      <c r="A2004" s="4" t="s">
        <v>28</v>
      </c>
      <c r="B2004" s="4" t="s">
        <v>39</v>
      </c>
      <c r="C2004" s="4" t="s">
        <v>23</v>
      </c>
      <c r="D2004" s="4" t="s">
        <v>48</v>
      </c>
      <c r="E2004" s="4" t="s">
        <v>25</v>
      </c>
      <c r="F2004" s="4" t="s">
        <v>25</v>
      </c>
      <c r="G2004" s="4" t="s">
        <v>25</v>
      </c>
      <c r="H2004" s="4" t="s">
        <v>25</v>
      </c>
      <c r="I2004" s="5">
        <v>44621</v>
      </c>
      <c r="J2004" s="6">
        <v>0</v>
      </c>
      <c r="K2004" s="6">
        <v>0</v>
      </c>
      <c r="L2004" s="6">
        <v>826.08799999999997</v>
      </c>
      <c r="M2004" s="6">
        <v>826.08799999999997</v>
      </c>
      <c r="N2004" s="6">
        <v>826.08799999999997</v>
      </c>
      <c r="O2004" s="6">
        <v>826.08799999999997</v>
      </c>
      <c r="P2004" s="6">
        <v>1018</v>
      </c>
      <c r="Q2004" s="4" t="s">
        <v>26</v>
      </c>
      <c r="R2004" s="4">
        <v>0</v>
      </c>
      <c r="S2004" s="4" t="s">
        <v>442</v>
      </c>
      <c r="T2004" s="4" t="s">
        <v>712</v>
      </c>
      <c r="U2004" s="4">
        <v>0</v>
      </c>
      <c r="V2004" s="4">
        <v>67</v>
      </c>
      <c r="W2004" s="4">
        <v>111</v>
      </c>
    </row>
    <row r="2005" spans="1:23" ht="11.25" customHeight="1" x14ac:dyDescent="0.25">
      <c r="A2005" s="4" t="s">
        <v>21</v>
      </c>
      <c r="B2005" s="4" t="s">
        <v>39</v>
      </c>
      <c r="C2005" s="4" t="s">
        <v>23</v>
      </c>
      <c r="D2005" s="4" t="s">
        <v>48</v>
      </c>
      <c r="E2005" s="4" t="s">
        <v>25</v>
      </c>
      <c r="F2005" s="4" t="s">
        <v>25</v>
      </c>
      <c r="G2005" s="4" t="s">
        <v>25</v>
      </c>
      <c r="H2005" s="4" t="s">
        <v>25</v>
      </c>
      <c r="I2005" s="5">
        <v>44652</v>
      </c>
      <c r="J2005" s="6">
        <v>0</v>
      </c>
      <c r="K2005" s="6">
        <v>0</v>
      </c>
      <c r="L2005" s="6">
        <v>2228.373</v>
      </c>
      <c r="M2005" s="6">
        <v>2228.373</v>
      </c>
      <c r="N2005" s="6">
        <v>2228.373</v>
      </c>
      <c r="O2005" s="6">
        <v>2228.373</v>
      </c>
      <c r="P2005" s="6">
        <v>1801</v>
      </c>
      <c r="Q2005" s="4" t="s">
        <v>26</v>
      </c>
      <c r="R2005" s="4">
        <v>0</v>
      </c>
      <c r="S2005" s="4" t="s">
        <v>443</v>
      </c>
      <c r="T2005" s="4" t="s">
        <v>713</v>
      </c>
      <c r="U2005" s="4">
        <v>0</v>
      </c>
      <c r="V2005" s="4">
        <v>67</v>
      </c>
      <c r="W2005" s="4">
        <v>111</v>
      </c>
    </row>
    <row r="2006" spans="1:23" ht="11.25" customHeight="1" x14ac:dyDescent="0.25">
      <c r="A2006" s="4" t="s">
        <v>28</v>
      </c>
      <c r="B2006" s="4" t="s">
        <v>39</v>
      </c>
      <c r="C2006" s="4" t="s">
        <v>23</v>
      </c>
      <c r="D2006" s="4" t="s">
        <v>48</v>
      </c>
      <c r="E2006" s="4" t="s">
        <v>25</v>
      </c>
      <c r="F2006" s="4" t="s">
        <v>25</v>
      </c>
      <c r="G2006" s="4" t="s">
        <v>25</v>
      </c>
      <c r="H2006" s="4" t="s">
        <v>25</v>
      </c>
      <c r="I2006" s="5">
        <v>44652</v>
      </c>
      <c r="J2006" s="6">
        <v>0</v>
      </c>
      <c r="K2006" s="6">
        <v>0</v>
      </c>
      <c r="L2006" s="6">
        <v>928.88</v>
      </c>
      <c r="M2006" s="6">
        <v>928.88</v>
      </c>
      <c r="N2006" s="6">
        <v>928.88</v>
      </c>
      <c r="O2006" s="6">
        <v>928.88</v>
      </c>
      <c r="P2006" s="6">
        <v>1021</v>
      </c>
      <c r="Q2006" s="4" t="s">
        <v>26</v>
      </c>
      <c r="R2006" s="4">
        <v>0</v>
      </c>
      <c r="S2006" s="4" t="s">
        <v>443</v>
      </c>
      <c r="T2006" s="4" t="s">
        <v>713</v>
      </c>
      <c r="U2006" s="4">
        <v>0</v>
      </c>
      <c r="V2006" s="4">
        <v>67</v>
      </c>
      <c r="W2006" s="4">
        <v>111</v>
      </c>
    </row>
    <row r="2007" spans="1:23" ht="11.25" customHeight="1" x14ac:dyDescent="0.25">
      <c r="A2007" s="4" t="s">
        <v>30</v>
      </c>
      <c r="B2007" s="4" t="s">
        <v>39</v>
      </c>
      <c r="C2007" s="4" t="s">
        <v>23</v>
      </c>
      <c r="D2007" s="4" t="s">
        <v>48</v>
      </c>
      <c r="E2007" s="4" t="s">
        <v>25</v>
      </c>
      <c r="F2007" s="4" t="s">
        <v>25</v>
      </c>
      <c r="G2007" s="4" t="s">
        <v>25</v>
      </c>
      <c r="H2007" s="4" t="s">
        <v>25</v>
      </c>
      <c r="I2007" s="5">
        <v>44652</v>
      </c>
      <c r="J2007" s="6">
        <v>0</v>
      </c>
      <c r="K2007" s="6">
        <v>0</v>
      </c>
      <c r="L2007" s="6">
        <v>0.1</v>
      </c>
      <c r="M2007" s="6">
        <v>0.1</v>
      </c>
      <c r="N2007" s="6">
        <v>0.1</v>
      </c>
      <c r="O2007" s="6">
        <v>0.1</v>
      </c>
      <c r="P2007" s="6">
        <v>1</v>
      </c>
      <c r="Q2007" s="4" t="s">
        <v>26</v>
      </c>
      <c r="R2007" s="4">
        <v>0</v>
      </c>
      <c r="S2007" s="4" t="s">
        <v>443</v>
      </c>
      <c r="T2007" s="4" t="s">
        <v>713</v>
      </c>
      <c r="U2007" s="4">
        <v>0</v>
      </c>
      <c r="V2007" s="4">
        <v>67</v>
      </c>
      <c r="W2007" s="4">
        <v>111</v>
      </c>
    </row>
    <row r="2008" spans="1:23" ht="11.25" customHeight="1" x14ac:dyDescent="0.25">
      <c r="A2008" s="4" t="s">
        <v>21</v>
      </c>
      <c r="B2008" s="4" t="s">
        <v>39</v>
      </c>
      <c r="C2008" s="4" t="s">
        <v>23</v>
      </c>
      <c r="D2008" s="4" t="s">
        <v>48</v>
      </c>
      <c r="E2008" s="4" t="s">
        <v>25</v>
      </c>
      <c r="F2008" s="4" t="s">
        <v>25</v>
      </c>
      <c r="G2008" s="4" t="s">
        <v>25</v>
      </c>
      <c r="H2008" s="4" t="s">
        <v>25</v>
      </c>
      <c r="I2008" s="5">
        <v>44682</v>
      </c>
      <c r="J2008" s="6">
        <v>0</v>
      </c>
      <c r="K2008" s="6">
        <v>0</v>
      </c>
      <c r="L2008" s="6">
        <v>2492.3620000000001</v>
      </c>
      <c r="M2008" s="6">
        <v>2492.3620000000001</v>
      </c>
      <c r="N2008" s="6">
        <v>2492.3620000000001</v>
      </c>
      <c r="O2008" s="6">
        <v>2492.3620000000001</v>
      </c>
      <c r="P2008" s="6">
        <v>1791</v>
      </c>
      <c r="Q2008" s="4" t="s">
        <v>26</v>
      </c>
      <c r="R2008" s="4">
        <v>0</v>
      </c>
      <c r="S2008" s="4" t="s">
        <v>444</v>
      </c>
      <c r="T2008" s="4" t="s">
        <v>714</v>
      </c>
      <c r="U2008" s="4">
        <v>0</v>
      </c>
      <c r="V2008" s="4">
        <v>67</v>
      </c>
      <c r="W2008" s="4">
        <v>111</v>
      </c>
    </row>
    <row r="2009" spans="1:23" ht="11.25" customHeight="1" x14ac:dyDescent="0.25">
      <c r="A2009" s="4" t="s">
        <v>27</v>
      </c>
      <c r="B2009" s="4" t="s">
        <v>39</v>
      </c>
      <c r="C2009" s="4" t="s">
        <v>23</v>
      </c>
      <c r="D2009" s="4" t="s">
        <v>48</v>
      </c>
      <c r="E2009" s="4" t="s">
        <v>25</v>
      </c>
      <c r="F2009" s="4" t="s">
        <v>25</v>
      </c>
      <c r="G2009" s="4" t="s">
        <v>25</v>
      </c>
      <c r="H2009" s="4" t="s">
        <v>25</v>
      </c>
      <c r="I2009" s="5">
        <v>44682</v>
      </c>
      <c r="J2009" s="6">
        <v>0</v>
      </c>
      <c r="K2009" s="6">
        <v>0</v>
      </c>
      <c r="L2009" s="6">
        <v>-0.16</v>
      </c>
      <c r="M2009" s="6">
        <v>-0.16</v>
      </c>
      <c r="N2009" s="6">
        <v>-0.16</v>
      </c>
      <c r="O2009" s="6">
        <v>-0.16</v>
      </c>
      <c r="P2009" s="6">
        <v>-2</v>
      </c>
      <c r="Q2009" s="4" t="s">
        <v>26</v>
      </c>
      <c r="R2009" s="4">
        <v>0</v>
      </c>
      <c r="S2009" s="4" t="s">
        <v>444</v>
      </c>
      <c r="T2009" s="4" t="s">
        <v>714</v>
      </c>
      <c r="U2009" s="4">
        <v>0</v>
      </c>
      <c r="V2009" s="4">
        <v>67</v>
      </c>
      <c r="W2009" s="4">
        <v>111</v>
      </c>
    </row>
    <row r="2010" spans="1:23" ht="11.25" customHeight="1" x14ac:dyDescent="0.25">
      <c r="A2010" s="4" t="s">
        <v>28</v>
      </c>
      <c r="B2010" s="4" t="s">
        <v>39</v>
      </c>
      <c r="C2010" s="4" t="s">
        <v>23</v>
      </c>
      <c r="D2010" s="4" t="s">
        <v>48</v>
      </c>
      <c r="E2010" s="4" t="s">
        <v>25</v>
      </c>
      <c r="F2010" s="4" t="s">
        <v>25</v>
      </c>
      <c r="G2010" s="4" t="s">
        <v>25</v>
      </c>
      <c r="H2010" s="4" t="s">
        <v>25</v>
      </c>
      <c r="I2010" s="5">
        <v>44682</v>
      </c>
      <c r="J2010" s="6">
        <v>0</v>
      </c>
      <c r="K2010" s="6">
        <v>0</v>
      </c>
      <c r="L2010" s="6">
        <v>1046.462</v>
      </c>
      <c r="M2010" s="6">
        <v>1046.462</v>
      </c>
      <c r="N2010" s="6">
        <v>1046.462</v>
      </c>
      <c r="O2010" s="6">
        <v>1046.462</v>
      </c>
      <c r="P2010" s="6">
        <v>1024</v>
      </c>
      <c r="Q2010" s="4" t="s">
        <v>26</v>
      </c>
      <c r="R2010" s="4">
        <v>0</v>
      </c>
      <c r="S2010" s="4" t="s">
        <v>444</v>
      </c>
      <c r="T2010" s="4" t="s">
        <v>714</v>
      </c>
      <c r="U2010" s="4">
        <v>0</v>
      </c>
      <c r="V2010" s="4">
        <v>67</v>
      </c>
      <c r="W2010" s="4">
        <v>111</v>
      </c>
    </row>
    <row r="2011" spans="1:23" ht="11.25" customHeight="1" x14ac:dyDescent="0.25">
      <c r="A2011" s="4" t="s">
        <v>30</v>
      </c>
      <c r="B2011" s="4" t="s">
        <v>39</v>
      </c>
      <c r="C2011" s="4" t="s">
        <v>23</v>
      </c>
      <c r="D2011" s="4" t="s">
        <v>48</v>
      </c>
      <c r="E2011" s="4" t="s">
        <v>25</v>
      </c>
      <c r="F2011" s="4" t="s">
        <v>25</v>
      </c>
      <c r="G2011" s="4" t="s">
        <v>25</v>
      </c>
      <c r="H2011" s="4" t="s">
        <v>25</v>
      </c>
      <c r="I2011" s="5">
        <v>44682</v>
      </c>
      <c r="J2011" s="6">
        <v>0</v>
      </c>
      <c r="K2011" s="6">
        <v>0</v>
      </c>
      <c r="L2011" s="6">
        <v>0.1</v>
      </c>
      <c r="M2011" s="6">
        <v>0.1</v>
      </c>
      <c r="N2011" s="6">
        <v>0.1</v>
      </c>
      <c r="O2011" s="6">
        <v>0.1</v>
      </c>
      <c r="P2011" s="6">
        <v>1</v>
      </c>
      <c r="Q2011" s="4" t="s">
        <v>26</v>
      </c>
      <c r="R2011" s="4">
        <v>0</v>
      </c>
      <c r="S2011" s="4" t="s">
        <v>444</v>
      </c>
      <c r="T2011" s="4" t="s">
        <v>714</v>
      </c>
      <c r="U2011" s="4">
        <v>0</v>
      </c>
      <c r="V2011" s="4">
        <v>67</v>
      </c>
      <c r="W2011" s="4">
        <v>111</v>
      </c>
    </row>
    <row r="2012" spans="1:23" ht="11.25" customHeight="1" x14ac:dyDescent="0.25">
      <c r="A2012" s="4" t="s">
        <v>21</v>
      </c>
      <c r="B2012" s="4" t="s">
        <v>39</v>
      </c>
      <c r="C2012" s="4" t="s">
        <v>23</v>
      </c>
      <c r="D2012" s="4" t="s">
        <v>48</v>
      </c>
      <c r="E2012" s="4" t="s">
        <v>25</v>
      </c>
      <c r="F2012" s="4" t="s">
        <v>25</v>
      </c>
      <c r="G2012" s="4" t="s">
        <v>25</v>
      </c>
      <c r="H2012" s="4" t="s">
        <v>25</v>
      </c>
      <c r="I2012" s="5">
        <v>44713</v>
      </c>
      <c r="J2012" s="6">
        <v>0</v>
      </c>
      <c r="K2012" s="6">
        <v>0</v>
      </c>
      <c r="L2012" s="6">
        <v>2354.482</v>
      </c>
      <c r="M2012" s="6">
        <v>2354.482</v>
      </c>
      <c r="N2012" s="6">
        <v>2354.482</v>
      </c>
      <c r="O2012" s="6">
        <v>2354.482</v>
      </c>
      <c r="P2012" s="6">
        <v>1790</v>
      </c>
      <c r="Q2012" s="4" t="s">
        <v>26</v>
      </c>
      <c r="R2012" s="4">
        <v>0</v>
      </c>
      <c r="S2012" s="4" t="s">
        <v>445</v>
      </c>
      <c r="T2012" s="4" t="s">
        <v>715</v>
      </c>
      <c r="U2012" s="4">
        <v>0</v>
      </c>
      <c r="V2012" s="4">
        <v>67</v>
      </c>
      <c r="W2012" s="4">
        <v>111</v>
      </c>
    </row>
    <row r="2013" spans="1:23" ht="11.25" customHeight="1" x14ac:dyDescent="0.25">
      <c r="A2013" s="4" t="s">
        <v>27</v>
      </c>
      <c r="B2013" s="4" t="s">
        <v>39</v>
      </c>
      <c r="C2013" s="4" t="s">
        <v>23</v>
      </c>
      <c r="D2013" s="4" t="s">
        <v>48</v>
      </c>
      <c r="E2013" s="4" t="s">
        <v>25</v>
      </c>
      <c r="F2013" s="4" t="s">
        <v>25</v>
      </c>
      <c r="G2013" s="4" t="s">
        <v>25</v>
      </c>
      <c r="H2013" s="4" t="s">
        <v>25</v>
      </c>
      <c r="I2013" s="5">
        <v>44713</v>
      </c>
      <c r="J2013" s="6">
        <v>0</v>
      </c>
      <c r="K2013" s="6">
        <v>0</v>
      </c>
      <c r="L2013" s="6">
        <v>4.7830000000000004</v>
      </c>
      <c r="M2013" s="6">
        <v>4.7830000000000004</v>
      </c>
      <c r="N2013" s="6">
        <v>4.7830000000000004</v>
      </c>
      <c r="O2013" s="6">
        <v>4.7830000000000004</v>
      </c>
      <c r="P2013" s="6">
        <v>2</v>
      </c>
      <c r="Q2013" s="4" t="s">
        <v>26</v>
      </c>
      <c r="R2013" s="4">
        <v>0</v>
      </c>
      <c r="S2013" s="4" t="s">
        <v>445</v>
      </c>
      <c r="T2013" s="4" t="s">
        <v>715</v>
      </c>
      <c r="U2013" s="4">
        <v>0</v>
      </c>
      <c r="V2013" s="4">
        <v>67</v>
      </c>
      <c r="W2013" s="4">
        <v>111</v>
      </c>
    </row>
    <row r="2014" spans="1:23" ht="11.25" customHeight="1" x14ac:dyDescent="0.25">
      <c r="A2014" s="4" t="s">
        <v>28</v>
      </c>
      <c r="B2014" s="4" t="s">
        <v>39</v>
      </c>
      <c r="C2014" s="4" t="s">
        <v>23</v>
      </c>
      <c r="D2014" s="4" t="s">
        <v>48</v>
      </c>
      <c r="E2014" s="4" t="s">
        <v>25</v>
      </c>
      <c r="F2014" s="4" t="s">
        <v>25</v>
      </c>
      <c r="G2014" s="4" t="s">
        <v>25</v>
      </c>
      <c r="H2014" s="4" t="s">
        <v>25</v>
      </c>
      <c r="I2014" s="5">
        <v>44713</v>
      </c>
      <c r="J2014" s="6">
        <v>0</v>
      </c>
      <c r="K2014" s="6">
        <v>0</v>
      </c>
      <c r="L2014" s="6">
        <v>988.85699999999997</v>
      </c>
      <c r="M2014" s="6">
        <v>988.85699999999997</v>
      </c>
      <c r="N2014" s="6">
        <v>988.85699999999997</v>
      </c>
      <c r="O2014" s="6">
        <v>988.85699999999997</v>
      </c>
      <c r="P2014" s="6">
        <v>1020</v>
      </c>
      <c r="Q2014" s="4" t="s">
        <v>26</v>
      </c>
      <c r="R2014" s="4">
        <v>0</v>
      </c>
      <c r="S2014" s="4" t="s">
        <v>445</v>
      </c>
      <c r="T2014" s="4" t="s">
        <v>715</v>
      </c>
      <c r="U2014" s="4">
        <v>0</v>
      </c>
      <c r="V2014" s="4">
        <v>67</v>
      </c>
      <c r="W2014" s="4">
        <v>111</v>
      </c>
    </row>
    <row r="2015" spans="1:23" ht="11.25" customHeight="1" x14ac:dyDescent="0.25">
      <c r="A2015" s="4" t="s">
        <v>30</v>
      </c>
      <c r="B2015" s="4" t="s">
        <v>39</v>
      </c>
      <c r="C2015" s="4" t="s">
        <v>23</v>
      </c>
      <c r="D2015" s="4" t="s">
        <v>48</v>
      </c>
      <c r="E2015" s="4" t="s">
        <v>25</v>
      </c>
      <c r="F2015" s="4" t="s">
        <v>25</v>
      </c>
      <c r="G2015" s="4" t="s">
        <v>25</v>
      </c>
      <c r="H2015" s="4" t="s">
        <v>25</v>
      </c>
      <c r="I2015" s="5">
        <v>44713</v>
      </c>
      <c r="J2015" s="6">
        <v>0</v>
      </c>
      <c r="K2015" s="6">
        <v>0</v>
      </c>
      <c r="L2015" s="6">
        <v>3.0670000000000002</v>
      </c>
      <c r="M2015" s="6">
        <v>3.0670000000000002</v>
      </c>
      <c r="N2015" s="6">
        <v>3.0670000000000002</v>
      </c>
      <c r="O2015" s="6">
        <v>3.0670000000000002</v>
      </c>
      <c r="P2015" s="6">
        <v>3</v>
      </c>
      <c r="Q2015" s="4" t="s">
        <v>26</v>
      </c>
      <c r="R2015" s="4">
        <v>0</v>
      </c>
      <c r="S2015" s="4" t="s">
        <v>445</v>
      </c>
      <c r="T2015" s="4" t="s">
        <v>715</v>
      </c>
      <c r="U2015" s="4">
        <v>0</v>
      </c>
      <c r="V2015" s="4">
        <v>67</v>
      </c>
      <c r="W2015" s="4">
        <v>111</v>
      </c>
    </row>
    <row r="2016" spans="1:23" ht="11.25" customHeight="1" x14ac:dyDescent="0.25">
      <c r="A2016" s="4" t="s">
        <v>30</v>
      </c>
      <c r="B2016" s="4" t="s">
        <v>39</v>
      </c>
      <c r="C2016" s="4" t="s">
        <v>23</v>
      </c>
      <c r="D2016" s="4" t="s">
        <v>48</v>
      </c>
      <c r="E2016" s="4" t="s">
        <v>25</v>
      </c>
      <c r="F2016" s="4" t="s">
        <v>25</v>
      </c>
      <c r="G2016" s="4" t="s">
        <v>25</v>
      </c>
      <c r="H2016" s="4" t="s">
        <v>25</v>
      </c>
      <c r="I2016" s="5">
        <v>44713</v>
      </c>
      <c r="J2016" s="6">
        <v>0</v>
      </c>
      <c r="K2016" s="6">
        <v>0</v>
      </c>
      <c r="L2016" s="6">
        <v>1.0609999999999999</v>
      </c>
      <c r="M2016" s="6">
        <v>1.0609999999999999</v>
      </c>
      <c r="N2016" s="6">
        <v>1.0609999999999999</v>
      </c>
      <c r="O2016" s="6">
        <v>1.0609999999999999</v>
      </c>
      <c r="P2016" s="6">
        <v>1</v>
      </c>
      <c r="Q2016" s="4" t="s">
        <v>26</v>
      </c>
      <c r="R2016" s="4">
        <v>0</v>
      </c>
      <c r="S2016" s="4" t="s">
        <v>445</v>
      </c>
      <c r="T2016" s="4" t="s">
        <v>715</v>
      </c>
      <c r="U2016" s="4">
        <v>0</v>
      </c>
      <c r="V2016" s="4">
        <v>67</v>
      </c>
      <c r="W2016" s="4">
        <v>111</v>
      </c>
    </row>
    <row r="2017" spans="1:23" ht="11.25" customHeight="1" x14ac:dyDescent="0.25">
      <c r="A2017" s="4" t="s">
        <v>21</v>
      </c>
      <c r="B2017" s="4" t="s">
        <v>39</v>
      </c>
      <c r="C2017" s="4" t="s">
        <v>23</v>
      </c>
      <c r="D2017" s="4" t="s">
        <v>48</v>
      </c>
      <c r="E2017" s="4" t="s">
        <v>25</v>
      </c>
      <c r="F2017" s="4" t="s">
        <v>25</v>
      </c>
      <c r="G2017" s="4" t="s">
        <v>25</v>
      </c>
      <c r="H2017" s="4" t="s">
        <v>25</v>
      </c>
      <c r="I2017" s="5">
        <v>44743</v>
      </c>
      <c r="J2017" s="6">
        <v>0</v>
      </c>
      <c r="K2017" s="6">
        <v>0</v>
      </c>
      <c r="L2017" s="6">
        <v>2655.08</v>
      </c>
      <c r="M2017" s="6">
        <v>2655.08</v>
      </c>
      <c r="N2017" s="6">
        <v>2655.08</v>
      </c>
      <c r="O2017" s="6">
        <v>2655.08</v>
      </c>
      <c r="P2017" s="6">
        <v>1791</v>
      </c>
      <c r="Q2017" s="4" t="s">
        <v>26</v>
      </c>
      <c r="R2017" s="4">
        <v>0</v>
      </c>
      <c r="S2017" s="4" t="s">
        <v>446</v>
      </c>
      <c r="T2017" s="4" t="s">
        <v>716</v>
      </c>
      <c r="U2017" s="4">
        <v>0</v>
      </c>
      <c r="V2017" s="4">
        <v>67</v>
      </c>
      <c r="W2017" s="4">
        <v>111</v>
      </c>
    </row>
    <row r="2018" spans="1:23" ht="11.25" customHeight="1" x14ac:dyDescent="0.25">
      <c r="A2018" s="4" t="s">
        <v>27</v>
      </c>
      <c r="B2018" s="4" t="s">
        <v>39</v>
      </c>
      <c r="C2018" s="4" t="s">
        <v>23</v>
      </c>
      <c r="D2018" s="4" t="s">
        <v>48</v>
      </c>
      <c r="E2018" s="4" t="s">
        <v>25</v>
      </c>
      <c r="F2018" s="4" t="s">
        <v>25</v>
      </c>
      <c r="G2018" s="4" t="s">
        <v>25</v>
      </c>
      <c r="H2018" s="4" t="s">
        <v>25</v>
      </c>
      <c r="I2018" s="5">
        <v>44743</v>
      </c>
      <c r="J2018" s="6">
        <v>0</v>
      </c>
      <c r="K2018" s="6">
        <v>0</v>
      </c>
      <c r="L2018" s="6">
        <v>2.4660000000000002</v>
      </c>
      <c r="M2018" s="6">
        <v>2.4660000000000002</v>
      </c>
      <c r="N2018" s="6">
        <v>2.4660000000000002</v>
      </c>
      <c r="O2018" s="6">
        <v>2.4660000000000002</v>
      </c>
      <c r="P2018" s="6">
        <v>-1</v>
      </c>
      <c r="Q2018" s="4" t="s">
        <v>26</v>
      </c>
      <c r="R2018" s="4">
        <v>0</v>
      </c>
      <c r="S2018" s="4" t="s">
        <v>446</v>
      </c>
      <c r="T2018" s="4" t="s">
        <v>716</v>
      </c>
      <c r="U2018" s="4">
        <v>0</v>
      </c>
      <c r="V2018" s="4">
        <v>67</v>
      </c>
      <c r="W2018" s="4">
        <v>111</v>
      </c>
    </row>
    <row r="2019" spans="1:23" ht="11.25" customHeight="1" x14ac:dyDescent="0.25">
      <c r="A2019" s="4" t="s">
        <v>28</v>
      </c>
      <c r="B2019" s="4" t="s">
        <v>39</v>
      </c>
      <c r="C2019" s="4" t="s">
        <v>23</v>
      </c>
      <c r="D2019" s="4" t="s">
        <v>48</v>
      </c>
      <c r="E2019" s="4" t="s">
        <v>25</v>
      </c>
      <c r="F2019" s="4" t="s">
        <v>25</v>
      </c>
      <c r="G2019" s="4" t="s">
        <v>25</v>
      </c>
      <c r="H2019" s="4" t="s">
        <v>25</v>
      </c>
      <c r="I2019" s="5">
        <v>44743</v>
      </c>
      <c r="J2019" s="6">
        <v>0</v>
      </c>
      <c r="K2019" s="6">
        <v>0</v>
      </c>
      <c r="L2019" s="6">
        <v>1157.019</v>
      </c>
      <c r="M2019" s="6">
        <v>1157.019</v>
      </c>
      <c r="N2019" s="6">
        <v>1157.019</v>
      </c>
      <c r="O2019" s="6">
        <v>1157.019</v>
      </c>
      <c r="P2019" s="6">
        <v>1032</v>
      </c>
      <c r="Q2019" s="4" t="s">
        <v>26</v>
      </c>
      <c r="R2019" s="4">
        <v>0</v>
      </c>
      <c r="S2019" s="4" t="s">
        <v>446</v>
      </c>
      <c r="T2019" s="4" t="s">
        <v>716</v>
      </c>
      <c r="U2019" s="4">
        <v>0</v>
      </c>
      <c r="V2019" s="4">
        <v>67</v>
      </c>
      <c r="W2019" s="4">
        <v>111</v>
      </c>
    </row>
    <row r="2020" spans="1:23" ht="11.25" customHeight="1" x14ac:dyDescent="0.25">
      <c r="A2020" s="4" t="s">
        <v>30</v>
      </c>
      <c r="B2020" s="4" t="s">
        <v>39</v>
      </c>
      <c r="C2020" s="4" t="s">
        <v>23</v>
      </c>
      <c r="D2020" s="4" t="s">
        <v>48</v>
      </c>
      <c r="E2020" s="4" t="s">
        <v>25</v>
      </c>
      <c r="F2020" s="4" t="s">
        <v>25</v>
      </c>
      <c r="G2020" s="4" t="s">
        <v>25</v>
      </c>
      <c r="H2020" s="4" t="s">
        <v>25</v>
      </c>
      <c r="I2020" s="5">
        <v>44743</v>
      </c>
      <c r="J2020" s="6">
        <v>0</v>
      </c>
      <c r="K2020" s="6">
        <v>0</v>
      </c>
      <c r="L2020" s="6">
        <v>1.909</v>
      </c>
      <c r="M2020" s="6">
        <v>1.909</v>
      </c>
      <c r="N2020" s="6">
        <v>1.909</v>
      </c>
      <c r="O2020" s="6">
        <v>1.909</v>
      </c>
      <c r="P2020" s="6">
        <v>2</v>
      </c>
      <c r="Q2020" s="4" t="s">
        <v>26</v>
      </c>
      <c r="R2020" s="4">
        <v>0</v>
      </c>
      <c r="S2020" s="4" t="s">
        <v>446</v>
      </c>
      <c r="T2020" s="4" t="s">
        <v>716</v>
      </c>
      <c r="U2020" s="4">
        <v>0</v>
      </c>
      <c r="V2020" s="4">
        <v>67</v>
      </c>
      <c r="W2020" s="4">
        <v>111</v>
      </c>
    </row>
    <row r="2021" spans="1:23" ht="11.25" customHeight="1" x14ac:dyDescent="0.25">
      <c r="A2021" s="4" t="s">
        <v>30</v>
      </c>
      <c r="B2021" s="4" t="s">
        <v>39</v>
      </c>
      <c r="C2021" s="4" t="s">
        <v>23</v>
      </c>
      <c r="D2021" s="4" t="s">
        <v>48</v>
      </c>
      <c r="E2021" s="4" t="s">
        <v>25</v>
      </c>
      <c r="F2021" s="4" t="s">
        <v>25</v>
      </c>
      <c r="G2021" s="4" t="s">
        <v>25</v>
      </c>
      <c r="H2021" s="4" t="s">
        <v>25</v>
      </c>
      <c r="I2021" s="5">
        <v>44743</v>
      </c>
      <c r="J2021" s="6">
        <v>0</v>
      </c>
      <c r="K2021" s="6">
        <v>0</v>
      </c>
      <c r="L2021" s="6">
        <v>0.52200000000000002</v>
      </c>
      <c r="M2021" s="6">
        <v>0.52200000000000002</v>
      </c>
      <c r="N2021" s="6">
        <v>0.52200000000000002</v>
      </c>
      <c r="O2021" s="6">
        <v>0.52200000000000002</v>
      </c>
      <c r="P2021" s="6">
        <v>0</v>
      </c>
      <c r="Q2021" s="4" t="s">
        <v>26</v>
      </c>
      <c r="R2021" s="4">
        <v>0</v>
      </c>
      <c r="S2021" s="4" t="s">
        <v>446</v>
      </c>
      <c r="T2021" s="4" t="s">
        <v>716</v>
      </c>
      <c r="U2021" s="4">
        <v>0</v>
      </c>
      <c r="V2021" s="4">
        <v>67</v>
      </c>
      <c r="W2021" s="4">
        <v>111</v>
      </c>
    </row>
    <row r="2022" spans="1:23" ht="11.25" customHeight="1" x14ac:dyDescent="0.25">
      <c r="A2022" s="4" t="s">
        <v>21</v>
      </c>
      <c r="B2022" s="4" t="s">
        <v>39</v>
      </c>
      <c r="C2022" s="4" t="s">
        <v>23</v>
      </c>
      <c r="D2022" s="4" t="s">
        <v>48</v>
      </c>
      <c r="E2022" s="4" t="s">
        <v>25</v>
      </c>
      <c r="F2022" s="4" t="s">
        <v>25</v>
      </c>
      <c r="G2022" s="4" t="s">
        <v>25</v>
      </c>
      <c r="H2022" s="4" t="s">
        <v>25</v>
      </c>
      <c r="I2022" s="5">
        <v>44774</v>
      </c>
      <c r="J2022" s="6">
        <v>0</v>
      </c>
      <c r="K2022" s="6">
        <v>0</v>
      </c>
      <c r="L2022" s="6">
        <v>2868.5</v>
      </c>
      <c r="M2022" s="6">
        <v>2868.5</v>
      </c>
      <c r="N2022" s="6">
        <v>2868.5</v>
      </c>
      <c r="O2022" s="6">
        <v>2868.5</v>
      </c>
      <c r="P2022" s="6">
        <v>1794</v>
      </c>
      <c r="Q2022" s="4" t="s">
        <v>26</v>
      </c>
      <c r="R2022" s="4">
        <v>0</v>
      </c>
      <c r="S2022" s="4" t="s">
        <v>447</v>
      </c>
      <c r="T2022" s="4" t="s">
        <v>717</v>
      </c>
      <c r="U2022" s="4">
        <v>0</v>
      </c>
      <c r="V2022" s="4">
        <v>67</v>
      </c>
      <c r="W2022" s="4">
        <v>111</v>
      </c>
    </row>
    <row r="2023" spans="1:23" ht="11.25" customHeight="1" x14ac:dyDescent="0.25">
      <c r="A2023" s="4" t="s">
        <v>27</v>
      </c>
      <c r="B2023" s="4" t="s">
        <v>39</v>
      </c>
      <c r="C2023" s="4" t="s">
        <v>23</v>
      </c>
      <c r="D2023" s="4" t="s">
        <v>48</v>
      </c>
      <c r="E2023" s="4" t="s">
        <v>25</v>
      </c>
      <c r="F2023" s="4" t="s">
        <v>25</v>
      </c>
      <c r="G2023" s="4" t="s">
        <v>25</v>
      </c>
      <c r="H2023" s="4" t="s">
        <v>25</v>
      </c>
      <c r="I2023" s="5">
        <v>44774</v>
      </c>
      <c r="J2023" s="6">
        <v>0</v>
      </c>
      <c r="K2023" s="6">
        <v>0</v>
      </c>
      <c r="L2023" s="6">
        <v>0.14299999999999999</v>
      </c>
      <c r="M2023" s="6">
        <v>0.14299999999999999</v>
      </c>
      <c r="N2023" s="6">
        <v>0.14299999999999999</v>
      </c>
      <c r="O2023" s="6">
        <v>0.14299999999999999</v>
      </c>
      <c r="P2023" s="6">
        <v>-2</v>
      </c>
      <c r="Q2023" s="4" t="s">
        <v>26</v>
      </c>
      <c r="R2023" s="4">
        <v>0</v>
      </c>
      <c r="S2023" s="4" t="s">
        <v>447</v>
      </c>
      <c r="T2023" s="4" t="s">
        <v>717</v>
      </c>
      <c r="U2023" s="4">
        <v>0</v>
      </c>
      <c r="V2023" s="4">
        <v>67</v>
      </c>
      <c r="W2023" s="4">
        <v>111</v>
      </c>
    </row>
    <row r="2024" spans="1:23" ht="11.25" customHeight="1" x14ac:dyDescent="0.25">
      <c r="A2024" s="4" t="s">
        <v>28</v>
      </c>
      <c r="B2024" s="4" t="s">
        <v>39</v>
      </c>
      <c r="C2024" s="4" t="s">
        <v>23</v>
      </c>
      <c r="D2024" s="4" t="s">
        <v>48</v>
      </c>
      <c r="E2024" s="4" t="s">
        <v>25</v>
      </c>
      <c r="F2024" s="4" t="s">
        <v>25</v>
      </c>
      <c r="G2024" s="4" t="s">
        <v>25</v>
      </c>
      <c r="H2024" s="4" t="s">
        <v>25</v>
      </c>
      <c r="I2024" s="5">
        <v>44774</v>
      </c>
      <c r="J2024" s="6">
        <v>0</v>
      </c>
      <c r="K2024" s="6">
        <v>0</v>
      </c>
      <c r="L2024" s="6">
        <v>1115.1610000000001</v>
      </c>
      <c r="M2024" s="6">
        <v>1115.1610000000001</v>
      </c>
      <c r="N2024" s="6">
        <v>1115.1610000000001</v>
      </c>
      <c r="O2024" s="6">
        <v>1115.1610000000001</v>
      </c>
      <c r="P2024" s="6">
        <v>1036</v>
      </c>
      <c r="Q2024" s="4" t="s">
        <v>26</v>
      </c>
      <c r="R2024" s="4">
        <v>0</v>
      </c>
      <c r="S2024" s="4" t="s">
        <v>447</v>
      </c>
      <c r="T2024" s="4" t="s">
        <v>717</v>
      </c>
      <c r="U2024" s="4">
        <v>0</v>
      </c>
      <c r="V2024" s="4">
        <v>67</v>
      </c>
      <c r="W2024" s="4">
        <v>111</v>
      </c>
    </row>
    <row r="2025" spans="1:23" ht="11.25" customHeight="1" x14ac:dyDescent="0.25">
      <c r="A2025" s="4" t="s">
        <v>30</v>
      </c>
      <c r="B2025" s="4" t="s">
        <v>39</v>
      </c>
      <c r="C2025" s="4" t="s">
        <v>23</v>
      </c>
      <c r="D2025" s="4" t="s">
        <v>48</v>
      </c>
      <c r="E2025" s="4" t="s">
        <v>25</v>
      </c>
      <c r="F2025" s="4" t="s">
        <v>25</v>
      </c>
      <c r="G2025" s="4" t="s">
        <v>25</v>
      </c>
      <c r="H2025" s="4" t="s">
        <v>25</v>
      </c>
      <c r="I2025" s="5">
        <v>44774</v>
      </c>
      <c r="J2025" s="6">
        <v>0</v>
      </c>
      <c r="K2025" s="6">
        <v>0</v>
      </c>
      <c r="L2025" s="6">
        <v>1.05</v>
      </c>
      <c r="M2025" s="6">
        <v>1.05</v>
      </c>
      <c r="N2025" s="6">
        <v>1.05</v>
      </c>
      <c r="O2025" s="6">
        <v>1.05</v>
      </c>
      <c r="P2025" s="6">
        <v>2</v>
      </c>
      <c r="Q2025" s="4" t="s">
        <v>26</v>
      </c>
      <c r="R2025" s="4">
        <v>0</v>
      </c>
      <c r="S2025" s="4" t="s">
        <v>447</v>
      </c>
      <c r="T2025" s="4" t="s">
        <v>717</v>
      </c>
      <c r="U2025" s="4">
        <v>0</v>
      </c>
      <c r="V2025" s="4">
        <v>67</v>
      </c>
      <c r="W2025" s="4">
        <v>111</v>
      </c>
    </row>
    <row r="2026" spans="1:23" ht="11.25" customHeight="1" x14ac:dyDescent="0.25">
      <c r="A2026" s="4" t="s">
        <v>21</v>
      </c>
      <c r="B2026" s="4" t="s">
        <v>39</v>
      </c>
      <c r="C2026" s="4" t="s">
        <v>23</v>
      </c>
      <c r="D2026" s="4" t="s">
        <v>48</v>
      </c>
      <c r="E2026" s="4" t="s">
        <v>25</v>
      </c>
      <c r="F2026" s="4" t="s">
        <v>25</v>
      </c>
      <c r="G2026" s="4" t="s">
        <v>25</v>
      </c>
      <c r="H2026" s="4" t="s">
        <v>25</v>
      </c>
      <c r="I2026" s="5">
        <v>44805</v>
      </c>
      <c r="J2026" s="6">
        <v>0</v>
      </c>
      <c r="K2026" s="6">
        <v>0</v>
      </c>
      <c r="L2026" s="6">
        <v>2589.1</v>
      </c>
      <c r="M2026" s="6">
        <v>2589.1</v>
      </c>
      <c r="N2026" s="6">
        <v>2589.1</v>
      </c>
      <c r="O2026" s="6">
        <v>2589.1</v>
      </c>
      <c r="P2026" s="6">
        <v>1799</v>
      </c>
      <c r="Q2026" s="4" t="s">
        <v>26</v>
      </c>
      <c r="R2026" s="4">
        <v>0</v>
      </c>
      <c r="S2026" s="4" t="s">
        <v>448</v>
      </c>
      <c r="T2026" s="4" t="s">
        <v>718</v>
      </c>
      <c r="U2026" s="4">
        <v>0</v>
      </c>
      <c r="V2026" s="4">
        <v>67</v>
      </c>
      <c r="W2026" s="4">
        <v>111</v>
      </c>
    </row>
    <row r="2027" spans="1:23" ht="11.25" customHeight="1" x14ac:dyDescent="0.25">
      <c r="A2027" s="4" t="s">
        <v>28</v>
      </c>
      <c r="B2027" s="4" t="s">
        <v>39</v>
      </c>
      <c r="C2027" s="4" t="s">
        <v>23</v>
      </c>
      <c r="D2027" s="4" t="s">
        <v>48</v>
      </c>
      <c r="E2027" s="4" t="s">
        <v>25</v>
      </c>
      <c r="F2027" s="4" t="s">
        <v>25</v>
      </c>
      <c r="G2027" s="4" t="s">
        <v>25</v>
      </c>
      <c r="H2027" s="4" t="s">
        <v>25</v>
      </c>
      <c r="I2027" s="5">
        <v>44805</v>
      </c>
      <c r="J2027" s="6">
        <v>0</v>
      </c>
      <c r="K2027" s="6">
        <v>0</v>
      </c>
      <c r="L2027" s="6">
        <v>1138.297</v>
      </c>
      <c r="M2027" s="6">
        <v>1138.297</v>
      </c>
      <c r="N2027" s="6">
        <v>1138.297</v>
      </c>
      <c r="O2027" s="6">
        <v>1138.297</v>
      </c>
      <c r="P2027" s="6">
        <v>1037</v>
      </c>
      <c r="Q2027" s="4" t="s">
        <v>26</v>
      </c>
      <c r="R2027" s="4">
        <v>0</v>
      </c>
      <c r="S2027" s="4" t="s">
        <v>448</v>
      </c>
      <c r="T2027" s="4" t="s">
        <v>718</v>
      </c>
      <c r="U2027" s="4">
        <v>0</v>
      </c>
      <c r="V2027" s="4">
        <v>67</v>
      </c>
      <c r="W2027" s="4">
        <v>111</v>
      </c>
    </row>
    <row r="2028" spans="1:23" ht="11.25" customHeight="1" x14ac:dyDescent="0.25">
      <c r="A2028" s="4" t="s">
        <v>29</v>
      </c>
      <c r="B2028" s="4" t="s">
        <v>39</v>
      </c>
      <c r="C2028" s="4" t="s">
        <v>23</v>
      </c>
      <c r="D2028" s="4" t="s">
        <v>48</v>
      </c>
      <c r="E2028" s="4" t="s">
        <v>25</v>
      </c>
      <c r="F2028" s="4" t="s">
        <v>25</v>
      </c>
      <c r="G2028" s="4" t="s">
        <v>25</v>
      </c>
      <c r="H2028" s="4" t="s">
        <v>25</v>
      </c>
      <c r="I2028" s="5">
        <v>44805</v>
      </c>
      <c r="J2028" s="6">
        <v>0</v>
      </c>
      <c r="K2028" s="6">
        <v>0</v>
      </c>
      <c r="L2028" s="6">
        <v>6.2450000000000001</v>
      </c>
      <c r="M2028" s="6">
        <v>6.2450000000000001</v>
      </c>
      <c r="N2028" s="6">
        <v>6.2450000000000001</v>
      </c>
      <c r="O2028" s="6">
        <v>6.2450000000000001</v>
      </c>
      <c r="P2028" s="6">
        <v>0</v>
      </c>
      <c r="Q2028" s="4" t="s">
        <v>26</v>
      </c>
      <c r="R2028" s="4">
        <v>0</v>
      </c>
      <c r="S2028" s="4" t="s">
        <v>448</v>
      </c>
      <c r="T2028" s="4" t="s">
        <v>718</v>
      </c>
      <c r="U2028" s="4">
        <v>0</v>
      </c>
      <c r="V2028" s="4">
        <v>67</v>
      </c>
      <c r="W2028" s="4">
        <v>111</v>
      </c>
    </row>
    <row r="2029" spans="1:23" ht="11.25" customHeight="1" x14ac:dyDescent="0.25">
      <c r="A2029" s="4" t="s">
        <v>30</v>
      </c>
      <c r="B2029" s="4" t="s">
        <v>39</v>
      </c>
      <c r="C2029" s="4" t="s">
        <v>23</v>
      </c>
      <c r="D2029" s="4" t="s">
        <v>48</v>
      </c>
      <c r="E2029" s="4" t="s">
        <v>25</v>
      </c>
      <c r="F2029" s="4" t="s">
        <v>25</v>
      </c>
      <c r="G2029" s="4" t="s">
        <v>25</v>
      </c>
      <c r="H2029" s="4" t="s">
        <v>25</v>
      </c>
      <c r="I2029" s="5">
        <v>44805</v>
      </c>
      <c r="J2029" s="6">
        <v>0</v>
      </c>
      <c r="K2029" s="6">
        <v>0</v>
      </c>
      <c r="L2029" s="6">
        <v>0.57399999999999995</v>
      </c>
      <c r="M2029" s="6">
        <v>0.57399999999999995</v>
      </c>
      <c r="N2029" s="6">
        <v>0.57399999999999995</v>
      </c>
      <c r="O2029" s="6">
        <v>0.57399999999999995</v>
      </c>
      <c r="P2029" s="6">
        <v>2</v>
      </c>
      <c r="Q2029" s="4" t="s">
        <v>26</v>
      </c>
      <c r="R2029" s="4">
        <v>0</v>
      </c>
      <c r="S2029" s="4" t="s">
        <v>448</v>
      </c>
      <c r="T2029" s="4" t="s">
        <v>718</v>
      </c>
      <c r="U2029" s="4">
        <v>0</v>
      </c>
      <c r="V2029" s="4">
        <v>67</v>
      </c>
      <c r="W2029" s="4">
        <v>111</v>
      </c>
    </row>
    <row r="2030" spans="1:23" ht="11.25" customHeight="1" x14ac:dyDescent="0.25">
      <c r="A2030" s="4" t="s">
        <v>21</v>
      </c>
      <c r="B2030" s="4" t="s">
        <v>39</v>
      </c>
      <c r="C2030" s="4" t="s">
        <v>23</v>
      </c>
      <c r="D2030" s="4" t="s">
        <v>48</v>
      </c>
      <c r="E2030" s="4" t="s">
        <v>25</v>
      </c>
      <c r="F2030" s="4" t="s">
        <v>25</v>
      </c>
      <c r="G2030" s="4" t="s">
        <v>25</v>
      </c>
      <c r="H2030" s="4" t="s">
        <v>25</v>
      </c>
      <c r="I2030" s="5">
        <v>44835</v>
      </c>
      <c r="J2030" s="6">
        <v>0</v>
      </c>
      <c r="K2030" s="6">
        <v>0</v>
      </c>
      <c r="L2030" s="6">
        <v>3006.2080000000001</v>
      </c>
      <c r="M2030" s="6">
        <v>3006.2080000000001</v>
      </c>
      <c r="N2030" s="6">
        <v>3006.2080000000001</v>
      </c>
      <c r="O2030" s="6">
        <v>3006.2080000000001</v>
      </c>
      <c r="P2030" s="6">
        <v>1788</v>
      </c>
      <c r="Q2030" s="4" t="s">
        <v>26</v>
      </c>
      <c r="R2030" s="4">
        <v>0</v>
      </c>
      <c r="S2030" s="4" t="s">
        <v>449</v>
      </c>
      <c r="T2030" s="4" t="s">
        <v>719</v>
      </c>
      <c r="U2030" s="4">
        <v>0</v>
      </c>
      <c r="V2030" s="4">
        <v>67</v>
      </c>
      <c r="W2030" s="4">
        <v>111</v>
      </c>
    </row>
    <row r="2031" spans="1:23" ht="11.25" customHeight="1" x14ac:dyDescent="0.25">
      <c r="A2031" s="4" t="s">
        <v>27</v>
      </c>
      <c r="B2031" s="4" t="s">
        <v>39</v>
      </c>
      <c r="C2031" s="4" t="s">
        <v>23</v>
      </c>
      <c r="D2031" s="4" t="s">
        <v>48</v>
      </c>
      <c r="E2031" s="4" t="s">
        <v>25</v>
      </c>
      <c r="F2031" s="4" t="s">
        <v>25</v>
      </c>
      <c r="G2031" s="4" t="s">
        <v>25</v>
      </c>
      <c r="H2031" s="4" t="s">
        <v>25</v>
      </c>
      <c r="I2031" s="5">
        <v>44835</v>
      </c>
      <c r="J2031" s="6">
        <v>0</v>
      </c>
      <c r="K2031" s="6">
        <v>0</v>
      </c>
      <c r="L2031" s="6">
        <v>-4.3120000000000003</v>
      </c>
      <c r="M2031" s="6">
        <v>-4.3120000000000003</v>
      </c>
      <c r="N2031" s="6">
        <v>-4.3120000000000003</v>
      </c>
      <c r="O2031" s="6">
        <v>-4.3120000000000003</v>
      </c>
      <c r="P2031" s="6">
        <v>0</v>
      </c>
      <c r="Q2031" s="4" t="s">
        <v>26</v>
      </c>
      <c r="R2031" s="4">
        <v>0</v>
      </c>
      <c r="S2031" s="4" t="s">
        <v>449</v>
      </c>
      <c r="T2031" s="4" t="s">
        <v>719</v>
      </c>
      <c r="U2031" s="4">
        <v>0</v>
      </c>
      <c r="V2031" s="4">
        <v>67</v>
      </c>
      <c r="W2031" s="4">
        <v>111</v>
      </c>
    </row>
    <row r="2032" spans="1:23" ht="11.25" customHeight="1" x14ac:dyDescent="0.25">
      <c r="A2032" s="4" t="s">
        <v>28</v>
      </c>
      <c r="B2032" s="4" t="s">
        <v>39</v>
      </c>
      <c r="C2032" s="4" t="s">
        <v>23</v>
      </c>
      <c r="D2032" s="4" t="s">
        <v>48</v>
      </c>
      <c r="E2032" s="4" t="s">
        <v>25</v>
      </c>
      <c r="F2032" s="4" t="s">
        <v>25</v>
      </c>
      <c r="G2032" s="4" t="s">
        <v>25</v>
      </c>
      <c r="H2032" s="4" t="s">
        <v>25</v>
      </c>
      <c r="I2032" s="5">
        <v>44835</v>
      </c>
      <c r="J2032" s="6">
        <v>0</v>
      </c>
      <c r="K2032" s="6">
        <v>0</v>
      </c>
      <c r="L2032" s="6">
        <v>1290.7349999999999</v>
      </c>
      <c r="M2032" s="6">
        <v>1290.7349999999999</v>
      </c>
      <c r="N2032" s="6">
        <v>1290.7349999999999</v>
      </c>
      <c r="O2032" s="6">
        <v>1290.7349999999999</v>
      </c>
      <c r="P2032" s="6">
        <v>1036</v>
      </c>
      <c r="Q2032" s="4" t="s">
        <v>26</v>
      </c>
      <c r="R2032" s="4">
        <v>0</v>
      </c>
      <c r="S2032" s="4" t="s">
        <v>449</v>
      </c>
      <c r="T2032" s="4" t="s">
        <v>719</v>
      </c>
      <c r="U2032" s="4">
        <v>0</v>
      </c>
      <c r="V2032" s="4">
        <v>67</v>
      </c>
      <c r="W2032" s="4">
        <v>111</v>
      </c>
    </row>
    <row r="2033" spans="1:23" ht="11.25" customHeight="1" x14ac:dyDescent="0.25">
      <c r="A2033" s="4" t="s">
        <v>29</v>
      </c>
      <c r="B2033" s="4" t="s">
        <v>39</v>
      </c>
      <c r="C2033" s="4" t="s">
        <v>23</v>
      </c>
      <c r="D2033" s="4" t="s">
        <v>48</v>
      </c>
      <c r="E2033" s="4" t="s">
        <v>25</v>
      </c>
      <c r="F2033" s="4" t="s">
        <v>25</v>
      </c>
      <c r="G2033" s="4" t="s">
        <v>25</v>
      </c>
      <c r="H2033" s="4" t="s">
        <v>25</v>
      </c>
      <c r="I2033" s="5">
        <v>44835</v>
      </c>
      <c r="J2033" s="6">
        <v>0</v>
      </c>
      <c r="K2033" s="6">
        <v>0</v>
      </c>
      <c r="L2033" s="6">
        <v>-9.4550000000000001</v>
      </c>
      <c r="M2033" s="6">
        <v>-9.4550000000000001</v>
      </c>
      <c r="N2033" s="6">
        <v>-9.4550000000000001</v>
      </c>
      <c r="O2033" s="6">
        <v>-9.4550000000000001</v>
      </c>
      <c r="P2033" s="6">
        <v>0</v>
      </c>
      <c r="Q2033" s="4" t="s">
        <v>26</v>
      </c>
      <c r="R2033" s="4">
        <v>0</v>
      </c>
      <c r="S2033" s="4" t="s">
        <v>449</v>
      </c>
      <c r="T2033" s="4" t="s">
        <v>719</v>
      </c>
      <c r="U2033" s="4">
        <v>0</v>
      </c>
      <c r="V2033" s="4">
        <v>67</v>
      </c>
      <c r="W2033" s="4">
        <v>111</v>
      </c>
    </row>
    <row r="2034" spans="1:23" ht="11.25" customHeight="1" x14ac:dyDescent="0.25">
      <c r="A2034" s="4" t="s">
        <v>30</v>
      </c>
      <c r="B2034" s="4" t="s">
        <v>39</v>
      </c>
      <c r="C2034" s="4" t="s">
        <v>23</v>
      </c>
      <c r="D2034" s="4" t="s">
        <v>48</v>
      </c>
      <c r="E2034" s="4" t="s">
        <v>25</v>
      </c>
      <c r="F2034" s="4" t="s">
        <v>25</v>
      </c>
      <c r="G2034" s="4" t="s">
        <v>25</v>
      </c>
      <c r="H2034" s="4" t="s">
        <v>25</v>
      </c>
      <c r="I2034" s="5">
        <v>44835</v>
      </c>
      <c r="J2034" s="6">
        <v>0</v>
      </c>
      <c r="K2034" s="6">
        <v>0</v>
      </c>
      <c r="L2034" s="6">
        <v>0.98099999999999998</v>
      </c>
      <c r="M2034" s="6">
        <v>0.98099999999999998</v>
      </c>
      <c r="N2034" s="6">
        <v>0.98099999999999998</v>
      </c>
      <c r="O2034" s="6">
        <v>0.98099999999999998</v>
      </c>
      <c r="P2034" s="6">
        <v>2</v>
      </c>
      <c r="Q2034" s="4" t="s">
        <v>26</v>
      </c>
      <c r="R2034" s="4">
        <v>0</v>
      </c>
      <c r="S2034" s="4" t="s">
        <v>449</v>
      </c>
      <c r="T2034" s="4" t="s">
        <v>719</v>
      </c>
      <c r="U2034" s="4">
        <v>0</v>
      </c>
      <c r="V2034" s="4">
        <v>67</v>
      </c>
      <c r="W2034" s="4">
        <v>111</v>
      </c>
    </row>
    <row r="2035" spans="1:23" ht="11.25" customHeight="1" x14ac:dyDescent="0.25">
      <c r="A2035" s="4" t="s">
        <v>59</v>
      </c>
      <c r="B2035" s="4" t="s">
        <v>39</v>
      </c>
      <c r="C2035" s="4" t="s">
        <v>23</v>
      </c>
      <c r="D2035" s="4" t="s">
        <v>48</v>
      </c>
      <c r="E2035" s="4" t="s">
        <v>25</v>
      </c>
      <c r="F2035" s="4" t="s">
        <v>25</v>
      </c>
      <c r="G2035" s="4" t="s">
        <v>25</v>
      </c>
      <c r="H2035" s="4" t="s">
        <v>25</v>
      </c>
      <c r="I2035" s="5">
        <v>44866</v>
      </c>
      <c r="J2035" s="6">
        <v>0</v>
      </c>
      <c r="K2035" s="6">
        <v>0</v>
      </c>
      <c r="L2035" s="6">
        <v>3006.2080000000001</v>
      </c>
      <c r="M2035" s="6">
        <v>3006.2080000000001</v>
      </c>
      <c r="N2035" s="6">
        <v>3006.2080000000001</v>
      </c>
      <c r="O2035" s="6">
        <v>3006.2080000000001</v>
      </c>
      <c r="P2035" s="6">
        <v>1788</v>
      </c>
      <c r="Q2035" s="4" t="s">
        <v>26</v>
      </c>
      <c r="R2035" s="4">
        <v>0</v>
      </c>
      <c r="S2035" s="4" t="s">
        <v>450</v>
      </c>
      <c r="T2035" s="4" t="s">
        <v>720</v>
      </c>
      <c r="U2035" s="4">
        <v>0</v>
      </c>
      <c r="V2035" s="4">
        <v>67</v>
      </c>
      <c r="W2035" s="4">
        <v>111</v>
      </c>
    </row>
    <row r="2036" spans="1:23" ht="11.25" customHeight="1" x14ac:dyDescent="0.25">
      <c r="A2036" s="4" t="s">
        <v>59</v>
      </c>
      <c r="B2036" s="4" t="s">
        <v>39</v>
      </c>
      <c r="C2036" s="4" t="s">
        <v>23</v>
      </c>
      <c r="D2036" s="4" t="s">
        <v>48</v>
      </c>
      <c r="E2036" s="4" t="s">
        <v>25</v>
      </c>
      <c r="F2036" s="4" t="s">
        <v>25</v>
      </c>
      <c r="G2036" s="4" t="s">
        <v>25</v>
      </c>
      <c r="H2036" s="4" t="s">
        <v>25</v>
      </c>
      <c r="I2036" s="5">
        <v>44866</v>
      </c>
      <c r="J2036" s="6">
        <v>0</v>
      </c>
      <c r="K2036" s="6">
        <v>0</v>
      </c>
      <c r="L2036" s="6">
        <v>-4.3120000000000003</v>
      </c>
      <c r="M2036" s="6">
        <v>-4.3120000000000003</v>
      </c>
      <c r="N2036" s="6">
        <v>-4.3120000000000003</v>
      </c>
      <c r="O2036" s="6">
        <v>-4.3120000000000003</v>
      </c>
      <c r="P2036" s="6">
        <v>0</v>
      </c>
      <c r="Q2036" s="4" t="s">
        <v>26</v>
      </c>
      <c r="R2036" s="4">
        <v>0</v>
      </c>
      <c r="S2036" s="4" t="s">
        <v>450</v>
      </c>
      <c r="T2036" s="4" t="s">
        <v>720</v>
      </c>
      <c r="U2036" s="4">
        <v>0</v>
      </c>
      <c r="V2036" s="4">
        <v>67</v>
      </c>
      <c r="W2036" s="4">
        <v>111</v>
      </c>
    </row>
    <row r="2037" spans="1:23" ht="11.25" customHeight="1" x14ac:dyDescent="0.25">
      <c r="A2037" s="4" t="s">
        <v>59</v>
      </c>
      <c r="B2037" s="4" t="s">
        <v>39</v>
      </c>
      <c r="C2037" s="4" t="s">
        <v>23</v>
      </c>
      <c r="D2037" s="4" t="s">
        <v>48</v>
      </c>
      <c r="E2037" s="4" t="s">
        <v>25</v>
      </c>
      <c r="F2037" s="4" t="s">
        <v>25</v>
      </c>
      <c r="G2037" s="4" t="s">
        <v>25</v>
      </c>
      <c r="H2037" s="4" t="s">
        <v>25</v>
      </c>
      <c r="I2037" s="5">
        <v>44866</v>
      </c>
      <c r="J2037" s="6">
        <v>0</v>
      </c>
      <c r="K2037" s="6">
        <v>0</v>
      </c>
      <c r="L2037" s="6">
        <v>1290.7349999999999</v>
      </c>
      <c r="M2037" s="6">
        <v>1290.7349999999999</v>
      </c>
      <c r="N2037" s="6">
        <v>1290.7349999999999</v>
      </c>
      <c r="O2037" s="6">
        <v>1290.7349999999999</v>
      </c>
      <c r="P2037" s="6">
        <v>1036</v>
      </c>
      <c r="Q2037" s="4" t="s">
        <v>26</v>
      </c>
      <c r="R2037" s="4">
        <v>0</v>
      </c>
      <c r="S2037" s="4" t="s">
        <v>450</v>
      </c>
      <c r="T2037" s="4" t="s">
        <v>720</v>
      </c>
      <c r="U2037" s="4">
        <v>0</v>
      </c>
      <c r="V2037" s="4">
        <v>67</v>
      </c>
      <c r="W2037" s="4">
        <v>111</v>
      </c>
    </row>
    <row r="2038" spans="1:23" ht="11.25" customHeight="1" x14ac:dyDescent="0.25">
      <c r="A2038" s="4" t="s">
        <v>59</v>
      </c>
      <c r="B2038" s="4" t="s">
        <v>39</v>
      </c>
      <c r="C2038" s="4" t="s">
        <v>23</v>
      </c>
      <c r="D2038" s="4" t="s">
        <v>48</v>
      </c>
      <c r="E2038" s="4" t="s">
        <v>25</v>
      </c>
      <c r="F2038" s="4" t="s">
        <v>25</v>
      </c>
      <c r="G2038" s="4" t="s">
        <v>25</v>
      </c>
      <c r="H2038" s="4" t="s">
        <v>25</v>
      </c>
      <c r="I2038" s="5">
        <v>44866</v>
      </c>
      <c r="J2038" s="6">
        <v>0</v>
      </c>
      <c r="K2038" s="6">
        <v>0</v>
      </c>
      <c r="L2038" s="6">
        <v>-9.4550000000000001</v>
      </c>
      <c r="M2038" s="6">
        <v>-9.4550000000000001</v>
      </c>
      <c r="N2038" s="6">
        <v>-9.4550000000000001</v>
      </c>
      <c r="O2038" s="6">
        <v>-9.4550000000000001</v>
      </c>
      <c r="P2038" s="6">
        <v>0</v>
      </c>
      <c r="Q2038" s="4" t="s">
        <v>26</v>
      </c>
      <c r="R2038" s="4">
        <v>0</v>
      </c>
      <c r="S2038" s="4" t="s">
        <v>450</v>
      </c>
      <c r="T2038" s="4" t="s">
        <v>720</v>
      </c>
      <c r="U2038" s="4">
        <v>0</v>
      </c>
      <c r="V2038" s="4">
        <v>67</v>
      </c>
      <c r="W2038" s="4">
        <v>111</v>
      </c>
    </row>
    <row r="2039" spans="1:23" ht="11.25" customHeight="1" x14ac:dyDescent="0.25">
      <c r="A2039" s="4" t="s">
        <v>59</v>
      </c>
      <c r="B2039" s="4" t="s">
        <v>39</v>
      </c>
      <c r="C2039" s="4" t="s">
        <v>23</v>
      </c>
      <c r="D2039" s="4" t="s">
        <v>48</v>
      </c>
      <c r="E2039" s="4" t="s">
        <v>25</v>
      </c>
      <c r="F2039" s="4" t="s">
        <v>25</v>
      </c>
      <c r="G2039" s="4" t="s">
        <v>25</v>
      </c>
      <c r="H2039" s="4" t="s">
        <v>25</v>
      </c>
      <c r="I2039" s="5">
        <v>44866</v>
      </c>
      <c r="J2039" s="6">
        <v>0</v>
      </c>
      <c r="K2039" s="6">
        <v>0</v>
      </c>
      <c r="L2039" s="6">
        <v>0.98099999999999998</v>
      </c>
      <c r="M2039" s="6">
        <v>0.98099999999999998</v>
      </c>
      <c r="N2039" s="6">
        <v>0.98099999999999998</v>
      </c>
      <c r="O2039" s="6">
        <v>0.98099999999999998</v>
      </c>
      <c r="P2039" s="6">
        <v>2</v>
      </c>
      <c r="Q2039" s="4" t="s">
        <v>26</v>
      </c>
      <c r="R2039" s="4">
        <v>0</v>
      </c>
      <c r="S2039" s="4" t="s">
        <v>450</v>
      </c>
      <c r="T2039" s="4" t="s">
        <v>720</v>
      </c>
      <c r="U2039" s="4">
        <v>0</v>
      </c>
      <c r="V2039" s="4">
        <v>67</v>
      </c>
      <c r="W2039" s="4">
        <v>111</v>
      </c>
    </row>
    <row r="2040" spans="1:23" ht="11.25" customHeight="1" x14ac:dyDescent="0.25">
      <c r="A2040" s="4" t="s">
        <v>21</v>
      </c>
      <c r="B2040" s="4" t="s">
        <v>39</v>
      </c>
      <c r="C2040" s="4" t="s">
        <v>23</v>
      </c>
      <c r="D2040" s="4" t="s">
        <v>52</v>
      </c>
      <c r="E2040" s="4" t="s">
        <v>53</v>
      </c>
      <c r="F2040" s="4" t="s">
        <v>25</v>
      </c>
      <c r="G2040" s="4" t="s">
        <v>25</v>
      </c>
      <c r="H2040" s="4" t="s">
        <v>25</v>
      </c>
      <c r="I2040" s="5">
        <v>44531</v>
      </c>
      <c r="J2040" s="6">
        <v>0</v>
      </c>
      <c r="K2040" s="6">
        <v>0</v>
      </c>
      <c r="L2040" s="6">
        <v>207.70500000000001</v>
      </c>
      <c r="M2040" s="6">
        <v>195.24270000000001</v>
      </c>
      <c r="N2040" s="6">
        <v>207.70500000000001</v>
      </c>
      <c r="O2040" s="6">
        <v>195.24270000000001</v>
      </c>
      <c r="P2040" s="6">
        <v>85</v>
      </c>
      <c r="Q2040" s="4" t="s">
        <v>26</v>
      </c>
      <c r="R2040" s="4">
        <v>0</v>
      </c>
      <c r="S2040" s="4" t="s">
        <v>439</v>
      </c>
      <c r="T2040" s="4" t="s">
        <v>709</v>
      </c>
      <c r="U2040" s="4">
        <v>0</v>
      </c>
      <c r="V2040" s="4">
        <v>67</v>
      </c>
      <c r="W2040" s="4">
        <v>111</v>
      </c>
    </row>
    <row r="2041" spans="1:23" ht="11.25" customHeight="1" x14ac:dyDescent="0.25">
      <c r="A2041" s="4" t="s">
        <v>28</v>
      </c>
      <c r="B2041" s="4" t="s">
        <v>39</v>
      </c>
      <c r="C2041" s="4" t="s">
        <v>23</v>
      </c>
      <c r="D2041" s="4" t="s">
        <v>52</v>
      </c>
      <c r="E2041" s="4" t="s">
        <v>53</v>
      </c>
      <c r="F2041" s="4" t="s">
        <v>25</v>
      </c>
      <c r="G2041" s="4" t="s">
        <v>25</v>
      </c>
      <c r="H2041" s="4" t="s">
        <v>25</v>
      </c>
      <c r="I2041" s="5">
        <v>44531</v>
      </c>
      <c r="J2041" s="6">
        <v>0</v>
      </c>
      <c r="K2041" s="6">
        <v>0</v>
      </c>
      <c r="L2041" s="6">
        <v>578.97699999999998</v>
      </c>
      <c r="M2041" s="6">
        <v>544.23838000000001</v>
      </c>
      <c r="N2041" s="6">
        <v>578.97699999999998</v>
      </c>
      <c r="O2041" s="6">
        <v>544.23838000000001</v>
      </c>
      <c r="P2041" s="6">
        <v>111</v>
      </c>
      <c r="Q2041" s="4" t="s">
        <v>26</v>
      </c>
      <c r="R2041" s="4">
        <v>0</v>
      </c>
      <c r="S2041" s="4" t="s">
        <v>439</v>
      </c>
      <c r="T2041" s="4" t="s">
        <v>709</v>
      </c>
      <c r="U2041" s="4">
        <v>0</v>
      </c>
      <c r="V2041" s="4">
        <v>67</v>
      </c>
      <c r="W2041" s="4">
        <v>111</v>
      </c>
    </row>
    <row r="2042" spans="1:23" ht="11.25" customHeight="1" x14ac:dyDescent="0.25">
      <c r="A2042" s="4" t="s">
        <v>21</v>
      </c>
      <c r="B2042" s="4" t="s">
        <v>39</v>
      </c>
      <c r="C2042" s="4" t="s">
        <v>23</v>
      </c>
      <c r="D2042" s="4" t="s">
        <v>52</v>
      </c>
      <c r="E2042" s="4" t="s">
        <v>53</v>
      </c>
      <c r="F2042" s="4" t="s">
        <v>25</v>
      </c>
      <c r="G2042" s="4" t="s">
        <v>25</v>
      </c>
      <c r="H2042" s="4" t="s">
        <v>25</v>
      </c>
      <c r="I2042" s="5">
        <v>44562</v>
      </c>
      <c r="J2042" s="6">
        <v>0</v>
      </c>
      <c r="K2042" s="6">
        <v>0</v>
      </c>
      <c r="L2042" s="6">
        <v>227.67</v>
      </c>
      <c r="M2042" s="6">
        <v>214.00980000000001</v>
      </c>
      <c r="N2042" s="6">
        <v>227.67</v>
      </c>
      <c r="O2042" s="6">
        <v>214.00980000000001</v>
      </c>
      <c r="P2042" s="6">
        <v>83</v>
      </c>
      <c r="Q2042" s="4" t="s">
        <v>26</v>
      </c>
      <c r="R2042" s="4">
        <v>0</v>
      </c>
      <c r="S2042" s="4" t="s">
        <v>440</v>
      </c>
      <c r="T2042" s="4" t="s">
        <v>710</v>
      </c>
      <c r="U2042" s="4">
        <v>0</v>
      </c>
      <c r="V2042" s="4">
        <v>67</v>
      </c>
      <c r="W2042" s="4">
        <v>111</v>
      </c>
    </row>
    <row r="2043" spans="1:23" ht="11.25" customHeight="1" x14ac:dyDescent="0.25">
      <c r="A2043" s="4" t="s">
        <v>28</v>
      </c>
      <c r="B2043" s="4" t="s">
        <v>39</v>
      </c>
      <c r="C2043" s="4" t="s">
        <v>23</v>
      </c>
      <c r="D2043" s="4" t="s">
        <v>52</v>
      </c>
      <c r="E2043" s="4" t="s">
        <v>53</v>
      </c>
      <c r="F2043" s="4" t="s">
        <v>25</v>
      </c>
      <c r="G2043" s="4" t="s">
        <v>25</v>
      </c>
      <c r="H2043" s="4" t="s">
        <v>25</v>
      </c>
      <c r="I2043" s="5">
        <v>44562</v>
      </c>
      <c r="J2043" s="6">
        <v>0</v>
      </c>
      <c r="K2043" s="6">
        <v>0</v>
      </c>
      <c r="L2043" s="6">
        <v>583.32899999999995</v>
      </c>
      <c r="M2043" s="6">
        <v>548.32925999999998</v>
      </c>
      <c r="N2043" s="6">
        <v>583.32899999999995</v>
      </c>
      <c r="O2043" s="6">
        <v>548.32925999999998</v>
      </c>
      <c r="P2043" s="6">
        <v>111</v>
      </c>
      <c r="Q2043" s="4" t="s">
        <v>26</v>
      </c>
      <c r="R2043" s="4">
        <v>0</v>
      </c>
      <c r="S2043" s="4" t="s">
        <v>440</v>
      </c>
      <c r="T2043" s="4" t="s">
        <v>710</v>
      </c>
      <c r="U2043" s="4">
        <v>0</v>
      </c>
      <c r="V2043" s="4">
        <v>67</v>
      </c>
      <c r="W2043" s="4">
        <v>111</v>
      </c>
    </row>
    <row r="2044" spans="1:23" ht="11.25" customHeight="1" x14ac:dyDescent="0.25">
      <c r="A2044" s="4" t="s">
        <v>21</v>
      </c>
      <c r="B2044" s="4" t="s">
        <v>39</v>
      </c>
      <c r="C2044" s="4" t="s">
        <v>23</v>
      </c>
      <c r="D2044" s="4" t="s">
        <v>52</v>
      </c>
      <c r="E2044" s="4" t="s">
        <v>53</v>
      </c>
      <c r="F2044" s="4" t="s">
        <v>25</v>
      </c>
      <c r="G2044" s="4" t="s">
        <v>25</v>
      </c>
      <c r="H2044" s="4" t="s">
        <v>25</v>
      </c>
      <c r="I2044" s="5">
        <v>44593</v>
      </c>
      <c r="J2044" s="6">
        <v>0</v>
      </c>
      <c r="K2044" s="6">
        <v>0</v>
      </c>
      <c r="L2044" s="6">
        <v>212.714</v>
      </c>
      <c r="M2044" s="6">
        <v>199.95115999999999</v>
      </c>
      <c r="N2044" s="6">
        <v>212.714</v>
      </c>
      <c r="O2044" s="6">
        <v>199.95115999999999</v>
      </c>
      <c r="P2044" s="6">
        <v>83</v>
      </c>
      <c r="Q2044" s="4" t="s">
        <v>26</v>
      </c>
      <c r="R2044" s="4">
        <v>0</v>
      </c>
      <c r="S2044" s="4" t="s">
        <v>441</v>
      </c>
      <c r="T2044" s="4" t="s">
        <v>711</v>
      </c>
      <c r="U2044" s="4">
        <v>0</v>
      </c>
      <c r="V2044" s="4">
        <v>67</v>
      </c>
      <c r="W2044" s="4">
        <v>111</v>
      </c>
    </row>
    <row r="2045" spans="1:23" ht="11.25" customHeight="1" x14ac:dyDescent="0.25">
      <c r="A2045" s="4" t="s">
        <v>27</v>
      </c>
      <c r="B2045" s="4" t="s">
        <v>39</v>
      </c>
      <c r="C2045" s="4" t="s">
        <v>23</v>
      </c>
      <c r="D2045" s="4" t="s">
        <v>52</v>
      </c>
      <c r="E2045" s="4" t="s">
        <v>53</v>
      </c>
      <c r="F2045" s="4" t="s">
        <v>25</v>
      </c>
      <c r="G2045" s="4" t="s">
        <v>25</v>
      </c>
      <c r="H2045" s="4" t="s">
        <v>25</v>
      </c>
      <c r="I2045" s="5">
        <v>44593</v>
      </c>
      <c r="J2045" s="6">
        <v>0</v>
      </c>
      <c r="K2045" s="6">
        <v>0</v>
      </c>
      <c r="L2045" s="6">
        <v>4.2999999999999997E-2</v>
      </c>
      <c r="M2045" s="6">
        <v>4.0419999999999998E-2</v>
      </c>
      <c r="N2045" s="6">
        <v>4.2999999999999997E-2</v>
      </c>
      <c r="O2045" s="6">
        <v>4.0419999999999998E-2</v>
      </c>
      <c r="P2045" s="6">
        <v>0</v>
      </c>
      <c r="Q2045" s="4" t="s">
        <v>26</v>
      </c>
      <c r="R2045" s="4">
        <v>0</v>
      </c>
      <c r="S2045" s="4" t="s">
        <v>441</v>
      </c>
      <c r="T2045" s="4" t="s">
        <v>711</v>
      </c>
      <c r="U2045" s="4">
        <v>0</v>
      </c>
      <c r="V2045" s="4">
        <v>67</v>
      </c>
      <c r="W2045" s="4">
        <v>111</v>
      </c>
    </row>
    <row r="2046" spans="1:23" ht="11.25" customHeight="1" x14ac:dyDescent="0.25">
      <c r="A2046" s="4" t="s">
        <v>28</v>
      </c>
      <c r="B2046" s="4" t="s">
        <v>39</v>
      </c>
      <c r="C2046" s="4" t="s">
        <v>23</v>
      </c>
      <c r="D2046" s="4" t="s">
        <v>52</v>
      </c>
      <c r="E2046" s="4" t="s">
        <v>53</v>
      </c>
      <c r="F2046" s="4" t="s">
        <v>25</v>
      </c>
      <c r="G2046" s="4" t="s">
        <v>25</v>
      </c>
      <c r="H2046" s="4" t="s">
        <v>25</v>
      </c>
      <c r="I2046" s="5">
        <v>44593</v>
      </c>
      <c r="J2046" s="6">
        <v>0</v>
      </c>
      <c r="K2046" s="6">
        <v>0</v>
      </c>
      <c r="L2046" s="6">
        <v>576.90099999999995</v>
      </c>
      <c r="M2046" s="6">
        <v>542.28693999999996</v>
      </c>
      <c r="N2046" s="6">
        <v>576.90099999999995</v>
      </c>
      <c r="O2046" s="6">
        <v>542.28693999999996</v>
      </c>
      <c r="P2046" s="6">
        <v>111</v>
      </c>
      <c r="Q2046" s="4" t="s">
        <v>26</v>
      </c>
      <c r="R2046" s="4">
        <v>0</v>
      </c>
      <c r="S2046" s="4" t="s">
        <v>441</v>
      </c>
      <c r="T2046" s="4" t="s">
        <v>711</v>
      </c>
      <c r="U2046" s="4">
        <v>0</v>
      </c>
      <c r="V2046" s="4">
        <v>67</v>
      </c>
      <c r="W2046" s="4">
        <v>111</v>
      </c>
    </row>
    <row r="2047" spans="1:23" ht="11.25" customHeight="1" x14ac:dyDescent="0.25">
      <c r="A2047" s="4" t="s">
        <v>21</v>
      </c>
      <c r="B2047" s="4" t="s">
        <v>39</v>
      </c>
      <c r="C2047" s="4" t="s">
        <v>23</v>
      </c>
      <c r="D2047" s="4" t="s">
        <v>52</v>
      </c>
      <c r="E2047" s="4" t="s">
        <v>53</v>
      </c>
      <c r="F2047" s="4" t="s">
        <v>25</v>
      </c>
      <c r="G2047" s="4" t="s">
        <v>25</v>
      </c>
      <c r="H2047" s="4" t="s">
        <v>25</v>
      </c>
      <c r="I2047" s="5">
        <v>44621</v>
      </c>
      <c r="J2047" s="6">
        <v>0</v>
      </c>
      <c r="K2047" s="6">
        <v>0</v>
      </c>
      <c r="L2047" s="6">
        <v>199.59299999999999</v>
      </c>
      <c r="M2047" s="6">
        <v>187.61742000000001</v>
      </c>
      <c r="N2047" s="6">
        <v>199.59299999999999</v>
      </c>
      <c r="O2047" s="6">
        <v>187.61742000000001</v>
      </c>
      <c r="P2047" s="6">
        <v>81</v>
      </c>
      <c r="Q2047" s="4" t="s">
        <v>26</v>
      </c>
      <c r="R2047" s="4">
        <v>0</v>
      </c>
      <c r="S2047" s="4" t="s">
        <v>442</v>
      </c>
      <c r="T2047" s="4" t="s">
        <v>712</v>
      </c>
      <c r="U2047" s="4">
        <v>0</v>
      </c>
      <c r="V2047" s="4">
        <v>67</v>
      </c>
      <c r="W2047" s="4">
        <v>111</v>
      </c>
    </row>
    <row r="2048" spans="1:23" ht="11.25" customHeight="1" x14ac:dyDescent="0.25">
      <c r="A2048" s="4" t="s">
        <v>28</v>
      </c>
      <c r="B2048" s="4" t="s">
        <v>39</v>
      </c>
      <c r="C2048" s="4" t="s">
        <v>23</v>
      </c>
      <c r="D2048" s="4" t="s">
        <v>52</v>
      </c>
      <c r="E2048" s="4" t="s">
        <v>53</v>
      </c>
      <c r="F2048" s="4" t="s">
        <v>25</v>
      </c>
      <c r="G2048" s="4" t="s">
        <v>25</v>
      </c>
      <c r="H2048" s="4" t="s">
        <v>25</v>
      </c>
      <c r="I2048" s="5">
        <v>44621</v>
      </c>
      <c r="J2048" s="6">
        <v>0</v>
      </c>
      <c r="K2048" s="6">
        <v>0</v>
      </c>
      <c r="L2048" s="6">
        <v>556.97799999999995</v>
      </c>
      <c r="M2048" s="6">
        <v>523.55931999999996</v>
      </c>
      <c r="N2048" s="6">
        <v>556.97799999999995</v>
      </c>
      <c r="O2048" s="6">
        <v>523.55931999999996</v>
      </c>
      <c r="P2048" s="6">
        <v>110</v>
      </c>
      <c r="Q2048" s="4" t="s">
        <v>26</v>
      </c>
      <c r="R2048" s="4">
        <v>0</v>
      </c>
      <c r="S2048" s="4" t="s">
        <v>442</v>
      </c>
      <c r="T2048" s="4" t="s">
        <v>712</v>
      </c>
      <c r="U2048" s="4">
        <v>0</v>
      </c>
      <c r="V2048" s="4">
        <v>67</v>
      </c>
      <c r="W2048" s="4">
        <v>111</v>
      </c>
    </row>
    <row r="2049" spans="1:23" ht="11.25" customHeight="1" x14ac:dyDescent="0.25">
      <c r="A2049" s="4" t="s">
        <v>21</v>
      </c>
      <c r="B2049" s="4" t="s">
        <v>39</v>
      </c>
      <c r="C2049" s="4" t="s">
        <v>23</v>
      </c>
      <c r="D2049" s="4" t="s">
        <v>52</v>
      </c>
      <c r="E2049" s="4" t="s">
        <v>53</v>
      </c>
      <c r="F2049" s="4" t="s">
        <v>25</v>
      </c>
      <c r="G2049" s="4" t="s">
        <v>25</v>
      </c>
      <c r="H2049" s="4" t="s">
        <v>25</v>
      </c>
      <c r="I2049" s="5">
        <v>44652</v>
      </c>
      <c r="J2049" s="6">
        <v>0</v>
      </c>
      <c r="K2049" s="6">
        <v>0</v>
      </c>
      <c r="L2049" s="6">
        <v>228.82</v>
      </c>
      <c r="M2049" s="6">
        <v>215.0908</v>
      </c>
      <c r="N2049" s="6">
        <v>228.82</v>
      </c>
      <c r="O2049" s="6">
        <v>215.0908</v>
      </c>
      <c r="P2049" s="6">
        <v>64</v>
      </c>
      <c r="Q2049" s="4" t="s">
        <v>26</v>
      </c>
      <c r="R2049" s="4">
        <v>0</v>
      </c>
      <c r="S2049" s="4" t="s">
        <v>443</v>
      </c>
      <c r="T2049" s="4" t="s">
        <v>713</v>
      </c>
      <c r="U2049" s="4">
        <v>0</v>
      </c>
      <c r="V2049" s="4">
        <v>67</v>
      </c>
      <c r="W2049" s="4">
        <v>111</v>
      </c>
    </row>
    <row r="2050" spans="1:23" ht="11.25" customHeight="1" x14ac:dyDescent="0.25">
      <c r="A2050" s="4" t="s">
        <v>28</v>
      </c>
      <c r="B2050" s="4" t="s">
        <v>39</v>
      </c>
      <c r="C2050" s="4" t="s">
        <v>23</v>
      </c>
      <c r="D2050" s="4" t="s">
        <v>52</v>
      </c>
      <c r="E2050" s="4" t="s">
        <v>53</v>
      </c>
      <c r="F2050" s="4" t="s">
        <v>25</v>
      </c>
      <c r="G2050" s="4" t="s">
        <v>25</v>
      </c>
      <c r="H2050" s="4" t="s">
        <v>25</v>
      </c>
      <c r="I2050" s="5">
        <v>44652</v>
      </c>
      <c r="J2050" s="6">
        <v>0</v>
      </c>
      <c r="K2050" s="6">
        <v>0</v>
      </c>
      <c r="L2050" s="6">
        <v>619.88599999999997</v>
      </c>
      <c r="M2050" s="6">
        <v>582.69284000000005</v>
      </c>
      <c r="N2050" s="6">
        <v>619.88599999999997</v>
      </c>
      <c r="O2050" s="6">
        <v>582.69284000000005</v>
      </c>
      <c r="P2050" s="6">
        <v>110</v>
      </c>
      <c r="Q2050" s="4" t="s">
        <v>26</v>
      </c>
      <c r="R2050" s="4">
        <v>0</v>
      </c>
      <c r="S2050" s="4" t="s">
        <v>443</v>
      </c>
      <c r="T2050" s="4" t="s">
        <v>713</v>
      </c>
      <c r="U2050" s="4">
        <v>0</v>
      </c>
      <c r="V2050" s="4">
        <v>67</v>
      </c>
      <c r="W2050" s="4">
        <v>111</v>
      </c>
    </row>
    <row r="2051" spans="1:23" ht="11.25" customHeight="1" x14ac:dyDescent="0.25">
      <c r="A2051" s="4" t="s">
        <v>21</v>
      </c>
      <c r="B2051" s="4" t="s">
        <v>39</v>
      </c>
      <c r="C2051" s="4" t="s">
        <v>23</v>
      </c>
      <c r="D2051" s="4" t="s">
        <v>52</v>
      </c>
      <c r="E2051" s="4" t="s">
        <v>53</v>
      </c>
      <c r="F2051" s="4" t="s">
        <v>25</v>
      </c>
      <c r="G2051" s="4" t="s">
        <v>25</v>
      </c>
      <c r="H2051" s="4" t="s">
        <v>25</v>
      </c>
      <c r="I2051" s="5">
        <v>44682</v>
      </c>
      <c r="J2051" s="6">
        <v>0</v>
      </c>
      <c r="K2051" s="6">
        <v>0</v>
      </c>
      <c r="L2051" s="6">
        <v>192.78</v>
      </c>
      <c r="M2051" s="6">
        <v>181.2132</v>
      </c>
      <c r="N2051" s="6">
        <v>192.78</v>
      </c>
      <c r="O2051" s="6">
        <v>181.2132</v>
      </c>
      <c r="P2051" s="6">
        <v>44</v>
      </c>
      <c r="Q2051" s="4" t="s">
        <v>26</v>
      </c>
      <c r="R2051" s="4">
        <v>0</v>
      </c>
      <c r="S2051" s="4" t="s">
        <v>444</v>
      </c>
      <c r="T2051" s="4" t="s">
        <v>714</v>
      </c>
      <c r="U2051" s="4">
        <v>0</v>
      </c>
      <c r="V2051" s="4">
        <v>67</v>
      </c>
      <c r="W2051" s="4">
        <v>111</v>
      </c>
    </row>
    <row r="2052" spans="1:23" ht="11.25" customHeight="1" x14ac:dyDescent="0.25">
      <c r="A2052" s="4" t="s">
        <v>27</v>
      </c>
      <c r="B2052" s="4" t="s">
        <v>39</v>
      </c>
      <c r="C2052" s="4" t="s">
        <v>23</v>
      </c>
      <c r="D2052" s="4" t="s">
        <v>52</v>
      </c>
      <c r="E2052" s="4" t="s">
        <v>53</v>
      </c>
      <c r="F2052" s="4" t="s">
        <v>25</v>
      </c>
      <c r="G2052" s="4" t="s">
        <v>25</v>
      </c>
      <c r="H2052" s="4" t="s">
        <v>25</v>
      </c>
      <c r="I2052" s="5">
        <v>44682</v>
      </c>
      <c r="J2052" s="6">
        <v>0</v>
      </c>
      <c r="K2052" s="6">
        <v>0</v>
      </c>
      <c r="L2052" s="6">
        <v>-0.1</v>
      </c>
      <c r="M2052" s="6">
        <v>-9.4E-2</v>
      </c>
      <c r="N2052" s="6">
        <v>-0.1</v>
      </c>
      <c r="O2052" s="6">
        <v>-9.4E-2</v>
      </c>
      <c r="P2052" s="6">
        <v>-1</v>
      </c>
      <c r="Q2052" s="4" t="s">
        <v>26</v>
      </c>
      <c r="R2052" s="4">
        <v>0</v>
      </c>
      <c r="S2052" s="4" t="s">
        <v>444</v>
      </c>
      <c r="T2052" s="4" t="s">
        <v>714</v>
      </c>
      <c r="U2052" s="4">
        <v>0</v>
      </c>
      <c r="V2052" s="4">
        <v>67</v>
      </c>
      <c r="W2052" s="4">
        <v>111</v>
      </c>
    </row>
    <row r="2053" spans="1:23" ht="11.25" customHeight="1" x14ac:dyDescent="0.25">
      <c r="A2053" s="4" t="s">
        <v>28</v>
      </c>
      <c r="B2053" s="4" t="s">
        <v>39</v>
      </c>
      <c r="C2053" s="4" t="s">
        <v>23</v>
      </c>
      <c r="D2053" s="4" t="s">
        <v>52</v>
      </c>
      <c r="E2053" s="4" t="s">
        <v>53</v>
      </c>
      <c r="F2053" s="4" t="s">
        <v>25</v>
      </c>
      <c r="G2053" s="4" t="s">
        <v>25</v>
      </c>
      <c r="H2053" s="4" t="s">
        <v>25</v>
      </c>
      <c r="I2053" s="5">
        <v>44682</v>
      </c>
      <c r="J2053" s="6">
        <v>0</v>
      </c>
      <c r="K2053" s="6">
        <v>0</v>
      </c>
      <c r="L2053" s="6">
        <v>583.01499999999999</v>
      </c>
      <c r="M2053" s="6">
        <v>548.03409999999997</v>
      </c>
      <c r="N2053" s="6">
        <v>583.01499999999999</v>
      </c>
      <c r="O2053" s="6">
        <v>548.03409999999997</v>
      </c>
      <c r="P2053" s="6">
        <v>115</v>
      </c>
      <c r="Q2053" s="4" t="s">
        <v>26</v>
      </c>
      <c r="R2053" s="4">
        <v>0</v>
      </c>
      <c r="S2053" s="4" t="s">
        <v>444</v>
      </c>
      <c r="T2053" s="4" t="s">
        <v>714</v>
      </c>
      <c r="U2053" s="4">
        <v>0</v>
      </c>
      <c r="V2053" s="4">
        <v>67</v>
      </c>
      <c r="W2053" s="4">
        <v>111</v>
      </c>
    </row>
    <row r="2054" spans="1:23" ht="11.25" customHeight="1" x14ac:dyDescent="0.25">
      <c r="A2054" s="4" t="s">
        <v>21</v>
      </c>
      <c r="B2054" s="4" t="s">
        <v>39</v>
      </c>
      <c r="C2054" s="4" t="s">
        <v>23</v>
      </c>
      <c r="D2054" s="4" t="s">
        <v>52</v>
      </c>
      <c r="E2054" s="4" t="s">
        <v>53</v>
      </c>
      <c r="F2054" s="4" t="s">
        <v>25</v>
      </c>
      <c r="G2054" s="4" t="s">
        <v>25</v>
      </c>
      <c r="H2054" s="4" t="s">
        <v>25</v>
      </c>
      <c r="I2054" s="5">
        <v>44713</v>
      </c>
      <c r="J2054" s="6">
        <v>0</v>
      </c>
      <c r="K2054" s="6">
        <v>0</v>
      </c>
      <c r="L2054" s="6">
        <v>225.28800000000001</v>
      </c>
      <c r="M2054" s="6">
        <v>211.77072000000001</v>
      </c>
      <c r="N2054" s="6">
        <v>225.28800000000001</v>
      </c>
      <c r="O2054" s="6">
        <v>211.77072000000001</v>
      </c>
      <c r="P2054" s="6">
        <v>54</v>
      </c>
      <c r="Q2054" s="4" t="s">
        <v>26</v>
      </c>
      <c r="R2054" s="4">
        <v>0</v>
      </c>
      <c r="S2054" s="4" t="s">
        <v>445</v>
      </c>
      <c r="T2054" s="4" t="s">
        <v>715</v>
      </c>
      <c r="U2054" s="4">
        <v>0</v>
      </c>
      <c r="V2054" s="4">
        <v>67</v>
      </c>
      <c r="W2054" s="4">
        <v>111</v>
      </c>
    </row>
    <row r="2055" spans="1:23" ht="11.25" customHeight="1" x14ac:dyDescent="0.25">
      <c r="A2055" s="4" t="s">
        <v>28</v>
      </c>
      <c r="B2055" s="4" t="s">
        <v>39</v>
      </c>
      <c r="C2055" s="4" t="s">
        <v>23</v>
      </c>
      <c r="D2055" s="4" t="s">
        <v>52</v>
      </c>
      <c r="E2055" s="4" t="s">
        <v>53</v>
      </c>
      <c r="F2055" s="4" t="s">
        <v>25</v>
      </c>
      <c r="G2055" s="4" t="s">
        <v>25</v>
      </c>
      <c r="H2055" s="4" t="s">
        <v>25</v>
      </c>
      <c r="I2055" s="5">
        <v>44713</v>
      </c>
      <c r="J2055" s="6">
        <v>0</v>
      </c>
      <c r="K2055" s="6">
        <v>0</v>
      </c>
      <c r="L2055" s="6">
        <v>608.83100000000002</v>
      </c>
      <c r="M2055" s="6">
        <v>572.30114000000003</v>
      </c>
      <c r="N2055" s="6">
        <v>608.83100000000002</v>
      </c>
      <c r="O2055" s="6">
        <v>572.30114000000003</v>
      </c>
      <c r="P2055" s="6">
        <v>118</v>
      </c>
      <c r="Q2055" s="4" t="s">
        <v>26</v>
      </c>
      <c r="R2055" s="4">
        <v>0</v>
      </c>
      <c r="S2055" s="4" t="s">
        <v>445</v>
      </c>
      <c r="T2055" s="4" t="s">
        <v>715</v>
      </c>
      <c r="U2055" s="4">
        <v>0</v>
      </c>
      <c r="V2055" s="4">
        <v>67</v>
      </c>
      <c r="W2055" s="4">
        <v>111</v>
      </c>
    </row>
    <row r="2056" spans="1:23" ht="11.25" customHeight="1" x14ac:dyDescent="0.25">
      <c r="A2056" s="4" t="s">
        <v>21</v>
      </c>
      <c r="B2056" s="4" t="s">
        <v>39</v>
      </c>
      <c r="C2056" s="4" t="s">
        <v>23</v>
      </c>
      <c r="D2056" s="4" t="s">
        <v>52</v>
      </c>
      <c r="E2056" s="4" t="s">
        <v>53</v>
      </c>
      <c r="F2056" s="4" t="s">
        <v>25</v>
      </c>
      <c r="G2056" s="4" t="s">
        <v>25</v>
      </c>
      <c r="H2056" s="4" t="s">
        <v>25</v>
      </c>
      <c r="I2056" s="5">
        <v>44743</v>
      </c>
      <c r="J2056" s="6">
        <v>0</v>
      </c>
      <c r="K2056" s="6">
        <v>0</v>
      </c>
      <c r="L2056" s="6">
        <v>212.22800000000001</v>
      </c>
      <c r="M2056" s="6">
        <v>199.49431999999999</v>
      </c>
      <c r="N2056" s="6">
        <v>212.22800000000001</v>
      </c>
      <c r="O2056" s="6">
        <v>199.49431999999999</v>
      </c>
      <c r="P2056" s="6">
        <v>54</v>
      </c>
      <c r="Q2056" s="4" t="s">
        <v>26</v>
      </c>
      <c r="R2056" s="4">
        <v>0</v>
      </c>
      <c r="S2056" s="4" t="s">
        <v>446</v>
      </c>
      <c r="T2056" s="4" t="s">
        <v>716</v>
      </c>
      <c r="U2056" s="4">
        <v>0</v>
      </c>
      <c r="V2056" s="4">
        <v>67</v>
      </c>
      <c r="W2056" s="4">
        <v>111</v>
      </c>
    </row>
    <row r="2057" spans="1:23" ht="11.25" customHeight="1" x14ac:dyDescent="0.25">
      <c r="A2057" s="4" t="s">
        <v>28</v>
      </c>
      <c r="B2057" s="4" t="s">
        <v>39</v>
      </c>
      <c r="C2057" s="4" t="s">
        <v>23</v>
      </c>
      <c r="D2057" s="4" t="s">
        <v>52</v>
      </c>
      <c r="E2057" s="4" t="s">
        <v>53</v>
      </c>
      <c r="F2057" s="4" t="s">
        <v>25</v>
      </c>
      <c r="G2057" s="4" t="s">
        <v>25</v>
      </c>
      <c r="H2057" s="4" t="s">
        <v>25</v>
      </c>
      <c r="I2057" s="5">
        <v>44743</v>
      </c>
      <c r="J2057" s="6">
        <v>0</v>
      </c>
      <c r="K2057" s="6">
        <v>0</v>
      </c>
      <c r="L2057" s="6">
        <v>624.28899999999999</v>
      </c>
      <c r="M2057" s="6">
        <v>586.83166000000006</v>
      </c>
      <c r="N2057" s="6">
        <v>624.28899999999999</v>
      </c>
      <c r="O2057" s="6">
        <v>586.83166000000006</v>
      </c>
      <c r="P2057" s="6">
        <v>119</v>
      </c>
      <c r="Q2057" s="4" t="s">
        <v>26</v>
      </c>
      <c r="R2057" s="4">
        <v>0</v>
      </c>
      <c r="S2057" s="4" t="s">
        <v>446</v>
      </c>
      <c r="T2057" s="4" t="s">
        <v>716</v>
      </c>
      <c r="U2057" s="4">
        <v>0</v>
      </c>
      <c r="V2057" s="4">
        <v>67</v>
      </c>
      <c r="W2057" s="4">
        <v>111</v>
      </c>
    </row>
    <row r="2058" spans="1:23" ht="11.25" customHeight="1" x14ac:dyDescent="0.25">
      <c r="A2058" s="4" t="s">
        <v>29</v>
      </c>
      <c r="B2058" s="4" t="s">
        <v>39</v>
      </c>
      <c r="C2058" s="4" t="s">
        <v>23</v>
      </c>
      <c r="D2058" s="4" t="s">
        <v>52</v>
      </c>
      <c r="E2058" s="4" t="s">
        <v>53</v>
      </c>
      <c r="F2058" s="4" t="s">
        <v>25</v>
      </c>
      <c r="G2058" s="4" t="s">
        <v>25</v>
      </c>
      <c r="H2058" s="4" t="s">
        <v>25</v>
      </c>
      <c r="I2058" s="5">
        <v>44743</v>
      </c>
      <c r="J2058" s="6">
        <v>0</v>
      </c>
      <c r="K2058" s="6">
        <v>0</v>
      </c>
      <c r="L2058" s="6">
        <v>-0.21299999999999999</v>
      </c>
      <c r="M2058" s="6">
        <v>-0.20022000000000001</v>
      </c>
      <c r="N2058" s="6">
        <v>-0.21299999999999999</v>
      </c>
      <c r="O2058" s="6">
        <v>-0.20022000000000001</v>
      </c>
      <c r="P2058" s="6">
        <v>0</v>
      </c>
      <c r="Q2058" s="4" t="s">
        <v>26</v>
      </c>
      <c r="R2058" s="4">
        <v>0</v>
      </c>
      <c r="S2058" s="4" t="s">
        <v>446</v>
      </c>
      <c r="T2058" s="4" t="s">
        <v>716</v>
      </c>
      <c r="U2058" s="4">
        <v>0</v>
      </c>
      <c r="V2058" s="4">
        <v>67</v>
      </c>
      <c r="W2058" s="4">
        <v>111</v>
      </c>
    </row>
    <row r="2059" spans="1:23" ht="11.25" customHeight="1" x14ac:dyDescent="0.25">
      <c r="A2059" s="4" t="s">
        <v>21</v>
      </c>
      <c r="B2059" s="4" t="s">
        <v>39</v>
      </c>
      <c r="C2059" s="4" t="s">
        <v>23</v>
      </c>
      <c r="D2059" s="4" t="s">
        <v>52</v>
      </c>
      <c r="E2059" s="4" t="s">
        <v>53</v>
      </c>
      <c r="F2059" s="4" t="s">
        <v>25</v>
      </c>
      <c r="G2059" s="4" t="s">
        <v>25</v>
      </c>
      <c r="H2059" s="4" t="s">
        <v>25</v>
      </c>
      <c r="I2059" s="5">
        <v>44774</v>
      </c>
      <c r="J2059" s="6">
        <v>0</v>
      </c>
      <c r="K2059" s="6">
        <v>0</v>
      </c>
      <c r="L2059" s="6">
        <v>595.33299999999997</v>
      </c>
      <c r="M2059" s="6">
        <v>559.61302000000001</v>
      </c>
      <c r="N2059" s="6">
        <v>595.33299999999997</v>
      </c>
      <c r="O2059" s="6">
        <v>559.61302000000001</v>
      </c>
      <c r="P2059" s="6">
        <v>57</v>
      </c>
      <c r="Q2059" s="4" t="s">
        <v>26</v>
      </c>
      <c r="R2059" s="4">
        <v>0</v>
      </c>
      <c r="S2059" s="4" t="s">
        <v>447</v>
      </c>
      <c r="T2059" s="4" t="s">
        <v>717</v>
      </c>
      <c r="U2059" s="4">
        <v>0</v>
      </c>
      <c r="V2059" s="4">
        <v>67</v>
      </c>
      <c r="W2059" s="4">
        <v>111</v>
      </c>
    </row>
    <row r="2060" spans="1:23" ht="11.25" customHeight="1" x14ac:dyDescent="0.25">
      <c r="A2060" s="4" t="s">
        <v>27</v>
      </c>
      <c r="B2060" s="4" t="s">
        <v>39</v>
      </c>
      <c r="C2060" s="4" t="s">
        <v>23</v>
      </c>
      <c r="D2060" s="4" t="s">
        <v>52</v>
      </c>
      <c r="E2060" s="4" t="s">
        <v>53</v>
      </c>
      <c r="F2060" s="4" t="s">
        <v>25</v>
      </c>
      <c r="G2060" s="4" t="s">
        <v>25</v>
      </c>
      <c r="H2060" s="4" t="s">
        <v>25</v>
      </c>
      <c r="I2060" s="5">
        <v>44774</v>
      </c>
      <c r="J2060" s="6">
        <v>0</v>
      </c>
      <c r="K2060" s="6">
        <v>0</v>
      </c>
      <c r="L2060" s="6">
        <v>-487.476</v>
      </c>
      <c r="M2060" s="6">
        <v>-458.22744</v>
      </c>
      <c r="N2060" s="6">
        <v>-487.476</v>
      </c>
      <c r="O2060" s="6">
        <v>-458.22744</v>
      </c>
      <c r="P2060" s="6">
        <v>-1</v>
      </c>
      <c r="Q2060" s="4" t="s">
        <v>26</v>
      </c>
      <c r="R2060" s="4">
        <v>0</v>
      </c>
      <c r="S2060" s="4" t="s">
        <v>447</v>
      </c>
      <c r="T2060" s="4" t="s">
        <v>717</v>
      </c>
      <c r="U2060" s="4">
        <v>0</v>
      </c>
      <c r="V2060" s="4">
        <v>67</v>
      </c>
      <c r="W2060" s="4">
        <v>111</v>
      </c>
    </row>
    <row r="2061" spans="1:23" ht="11.25" customHeight="1" x14ac:dyDescent="0.25">
      <c r="A2061" s="4" t="s">
        <v>28</v>
      </c>
      <c r="B2061" s="4" t="s">
        <v>39</v>
      </c>
      <c r="C2061" s="4" t="s">
        <v>23</v>
      </c>
      <c r="D2061" s="4" t="s">
        <v>52</v>
      </c>
      <c r="E2061" s="4" t="s">
        <v>53</v>
      </c>
      <c r="F2061" s="4" t="s">
        <v>25</v>
      </c>
      <c r="G2061" s="4" t="s">
        <v>25</v>
      </c>
      <c r="H2061" s="4" t="s">
        <v>25</v>
      </c>
      <c r="I2061" s="5">
        <v>44774</v>
      </c>
      <c r="J2061" s="6">
        <v>0</v>
      </c>
      <c r="K2061" s="6">
        <v>0</v>
      </c>
      <c r="L2061" s="6">
        <v>640.26900000000001</v>
      </c>
      <c r="M2061" s="6">
        <v>601.85285999999996</v>
      </c>
      <c r="N2061" s="6">
        <v>640.26900000000001</v>
      </c>
      <c r="O2061" s="6">
        <v>601.85285999999996</v>
      </c>
      <c r="P2061" s="6">
        <v>120</v>
      </c>
      <c r="Q2061" s="4" t="s">
        <v>26</v>
      </c>
      <c r="R2061" s="4">
        <v>0</v>
      </c>
      <c r="S2061" s="4" t="s">
        <v>447</v>
      </c>
      <c r="T2061" s="4" t="s">
        <v>717</v>
      </c>
      <c r="U2061" s="4">
        <v>0</v>
      </c>
      <c r="V2061" s="4">
        <v>67</v>
      </c>
      <c r="W2061" s="4">
        <v>111</v>
      </c>
    </row>
    <row r="2062" spans="1:23" ht="11.25" customHeight="1" x14ac:dyDescent="0.25">
      <c r="A2062" s="4" t="s">
        <v>29</v>
      </c>
      <c r="B2062" s="4" t="s">
        <v>39</v>
      </c>
      <c r="C2062" s="4" t="s">
        <v>23</v>
      </c>
      <c r="D2062" s="4" t="s">
        <v>52</v>
      </c>
      <c r="E2062" s="4" t="s">
        <v>53</v>
      </c>
      <c r="F2062" s="4" t="s">
        <v>25</v>
      </c>
      <c r="G2062" s="4" t="s">
        <v>25</v>
      </c>
      <c r="H2062" s="4" t="s">
        <v>25</v>
      </c>
      <c r="I2062" s="5">
        <v>44774</v>
      </c>
      <c r="J2062" s="6">
        <v>0</v>
      </c>
      <c r="K2062" s="6">
        <v>0</v>
      </c>
      <c r="L2062" s="6">
        <v>-3.7069999999999999</v>
      </c>
      <c r="M2062" s="6">
        <v>-3.4845799999999998</v>
      </c>
      <c r="N2062" s="6">
        <v>-3.7069999999999999</v>
      </c>
      <c r="O2062" s="6">
        <v>-3.4845799999999998</v>
      </c>
      <c r="P2062" s="6">
        <v>-1</v>
      </c>
      <c r="Q2062" s="4" t="s">
        <v>26</v>
      </c>
      <c r="R2062" s="4">
        <v>0</v>
      </c>
      <c r="S2062" s="4" t="s">
        <v>447</v>
      </c>
      <c r="T2062" s="4" t="s">
        <v>717</v>
      </c>
      <c r="U2062" s="4">
        <v>0</v>
      </c>
      <c r="V2062" s="4">
        <v>67</v>
      </c>
      <c r="W2062" s="4">
        <v>111</v>
      </c>
    </row>
    <row r="2063" spans="1:23" ht="11.25" customHeight="1" x14ac:dyDescent="0.25">
      <c r="A2063" s="4" t="s">
        <v>21</v>
      </c>
      <c r="B2063" s="4" t="s">
        <v>39</v>
      </c>
      <c r="C2063" s="4" t="s">
        <v>23</v>
      </c>
      <c r="D2063" s="4" t="s">
        <v>52</v>
      </c>
      <c r="E2063" s="4" t="s">
        <v>53</v>
      </c>
      <c r="F2063" s="4" t="s">
        <v>25</v>
      </c>
      <c r="G2063" s="4" t="s">
        <v>25</v>
      </c>
      <c r="H2063" s="4" t="s">
        <v>25</v>
      </c>
      <c r="I2063" s="5">
        <v>44805</v>
      </c>
      <c r="J2063" s="6">
        <v>0</v>
      </c>
      <c r="K2063" s="6">
        <v>0</v>
      </c>
      <c r="L2063" s="6">
        <v>184.00700000000001</v>
      </c>
      <c r="M2063" s="6">
        <v>172.96657999999999</v>
      </c>
      <c r="N2063" s="6">
        <v>184.00700000000001</v>
      </c>
      <c r="O2063" s="6">
        <v>172.96657999999999</v>
      </c>
      <c r="P2063" s="6">
        <v>55</v>
      </c>
      <c r="Q2063" s="4" t="s">
        <v>26</v>
      </c>
      <c r="R2063" s="4">
        <v>0</v>
      </c>
      <c r="S2063" s="4" t="s">
        <v>448</v>
      </c>
      <c r="T2063" s="4" t="s">
        <v>718</v>
      </c>
      <c r="U2063" s="4">
        <v>0</v>
      </c>
      <c r="V2063" s="4">
        <v>67</v>
      </c>
      <c r="W2063" s="4">
        <v>111</v>
      </c>
    </row>
    <row r="2064" spans="1:23" ht="11.25" customHeight="1" x14ac:dyDescent="0.25">
      <c r="A2064" s="4" t="s">
        <v>28</v>
      </c>
      <c r="B2064" s="4" t="s">
        <v>39</v>
      </c>
      <c r="C2064" s="4" t="s">
        <v>23</v>
      </c>
      <c r="D2064" s="4" t="s">
        <v>52</v>
      </c>
      <c r="E2064" s="4" t="s">
        <v>53</v>
      </c>
      <c r="F2064" s="4" t="s">
        <v>25</v>
      </c>
      <c r="G2064" s="4" t="s">
        <v>25</v>
      </c>
      <c r="H2064" s="4" t="s">
        <v>25</v>
      </c>
      <c r="I2064" s="5">
        <v>44805</v>
      </c>
      <c r="J2064" s="6">
        <v>0</v>
      </c>
      <c r="K2064" s="6">
        <v>0</v>
      </c>
      <c r="L2064" s="6">
        <v>626.57399999999996</v>
      </c>
      <c r="M2064" s="6">
        <v>588.97955999999999</v>
      </c>
      <c r="N2064" s="6">
        <v>626.57399999999996</v>
      </c>
      <c r="O2064" s="6">
        <v>588.97955999999999</v>
      </c>
      <c r="P2064" s="6">
        <v>119</v>
      </c>
      <c r="Q2064" s="4" t="s">
        <v>26</v>
      </c>
      <c r="R2064" s="4">
        <v>0</v>
      </c>
      <c r="S2064" s="4" t="s">
        <v>448</v>
      </c>
      <c r="T2064" s="4" t="s">
        <v>718</v>
      </c>
      <c r="U2064" s="4">
        <v>0</v>
      </c>
      <c r="V2064" s="4">
        <v>67</v>
      </c>
      <c r="W2064" s="4">
        <v>111</v>
      </c>
    </row>
    <row r="2065" spans="1:23" ht="11.25" customHeight="1" x14ac:dyDescent="0.25">
      <c r="A2065" s="4" t="s">
        <v>29</v>
      </c>
      <c r="B2065" s="4" t="s">
        <v>39</v>
      </c>
      <c r="C2065" s="4" t="s">
        <v>23</v>
      </c>
      <c r="D2065" s="4" t="s">
        <v>52</v>
      </c>
      <c r="E2065" s="4" t="s">
        <v>53</v>
      </c>
      <c r="F2065" s="4" t="s">
        <v>25</v>
      </c>
      <c r="G2065" s="4" t="s">
        <v>25</v>
      </c>
      <c r="H2065" s="4" t="s">
        <v>25</v>
      </c>
      <c r="I2065" s="5">
        <v>44805</v>
      </c>
      <c r="J2065" s="6">
        <v>0</v>
      </c>
      <c r="K2065" s="6">
        <v>0</v>
      </c>
      <c r="L2065" s="6">
        <v>-0.17100000000000001</v>
      </c>
      <c r="M2065" s="6">
        <v>-0.16073999999999999</v>
      </c>
      <c r="N2065" s="6">
        <v>-0.17100000000000001</v>
      </c>
      <c r="O2065" s="6">
        <v>-0.16073999999999999</v>
      </c>
      <c r="P2065" s="6">
        <v>0</v>
      </c>
      <c r="Q2065" s="4" t="s">
        <v>26</v>
      </c>
      <c r="R2065" s="4">
        <v>0</v>
      </c>
      <c r="S2065" s="4" t="s">
        <v>448</v>
      </c>
      <c r="T2065" s="4" t="s">
        <v>718</v>
      </c>
      <c r="U2065" s="4">
        <v>0</v>
      </c>
      <c r="V2065" s="4">
        <v>67</v>
      </c>
      <c r="W2065" s="4">
        <v>111</v>
      </c>
    </row>
    <row r="2066" spans="1:23" ht="11.25" customHeight="1" x14ac:dyDescent="0.25">
      <c r="A2066" s="4" t="s">
        <v>21</v>
      </c>
      <c r="B2066" s="4" t="s">
        <v>39</v>
      </c>
      <c r="C2066" s="4" t="s">
        <v>23</v>
      </c>
      <c r="D2066" s="4" t="s">
        <v>52</v>
      </c>
      <c r="E2066" s="4" t="s">
        <v>53</v>
      </c>
      <c r="F2066" s="4" t="s">
        <v>25</v>
      </c>
      <c r="G2066" s="4" t="s">
        <v>25</v>
      </c>
      <c r="H2066" s="4" t="s">
        <v>25</v>
      </c>
      <c r="I2066" s="5">
        <v>44835</v>
      </c>
      <c r="J2066" s="6">
        <v>0</v>
      </c>
      <c r="K2066" s="6">
        <v>0</v>
      </c>
      <c r="L2066" s="6">
        <v>143.55099999999999</v>
      </c>
      <c r="M2066" s="6">
        <v>134.93794</v>
      </c>
      <c r="N2066" s="6">
        <v>143.55099999999999</v>
      </c>
      <c r="O2066" s="6">
        <v>134.93794</v>
      </c>
      <c r="P2066" s="6">
        <v>55</v>
      </c>
      <c r="Q2066" s="4" t="s">
        <v>26</v>
      </c>
      <c r="R2066" s="4">
        <v>0</v>
      </c>
      <c r="S2066" s="4" t="s">
        <v>449</v>
      </c>
      <c r="T2066" s="4" t="s">
        <v>719</v>
      </c>
      <c r="U2066" s="4">
        <v>0</v>
      </c>
      <c r="V2066" s="4">
        <v>67</v>
      </c>
      <c r="W2066" s="4">
        <v>111</v>
      </c>
    </row>
    <row r="2067" spans="1:23" ht="11.25" customHeight="1" x14ac:dyDescent="0.25">
      <c r="A2067" s="4" t="s">
        <v>27</v>
      </c>
      <c r="B2067" s="4" t="s">
        <v>39</v>
      </c>
      <c r="C2067" s="4" t="s">
        <v>23</v>
      </c>
      <c r="D2067" s="4" t="s">
        <v>52</v>
      </c>
      <c r="E2067" s="4" t="s">
        <v>53</v>
      </c>
      <c r="F2067" s="4" t="s">
        <v>25</v>
      </c>
      <c r="G2067" s="4" t="s">
        <v>25</v>
      </c>
      <c r="H2067" s="4" t="s">
        <v>25</v>
      </c>
      <c r="I2067" s="5">
        <v>44835</v>
      </c>
      <c r="J2067" s="6">
        <v>0</v>
      </c>
      <c r="K2067" s="6">
        <v>0</v>
      </c>
      <c r="L2067" s="6">
        <v>-0.1</v>
      </c>
      <c r="M2067" s="6">
        <v>-9.4E-2</v>
      </c>
      <c r="N2067" s="6">
        <v>-0.1</v>
      </c>
      <c r="O2067" s="6">
        <v>-9.4E-2</v>
      </c>
      <c r="P2067" s="6">
        <v>-1</v>
      </c>
      <c r="Q2067" s="4" t="s">
        <v>26</v>
      </c>
      <c r="R2067" s="4">
        <v>0</v>
      </c>
      <c r="S2067" s="4" t="s">
        <v>449</v>
      </c>
      <c r="T2067" s="4" t="s">
        <v>719</v>
      </c>
      <c r="U2067" s="4">
        <v>0</v>
      </c>
      <c r="V2067" s="4">
        <v>67</v>
      </c>
      <c r="W2067" s="4">
        <v>111</v>
      </c>
    </row>
    <row r="2068" spans="1:23" ht="11.25" customHeight="1" x14ac:dyDescent="0.25">
      <c r="A2068" s="4" t="s">
        <v>28</v>
      </c>
      <c r="B2068" s="4" t="s">
        <v>39</v>
      </c>
      <c r="C2068" s="4" t="s">
        <v>23</v>
      </c>
      <c r="D2068" s="4" t="s">
        <v>52</v>
      </c>
      <c r="E2068" s="4" t="s">
        <v>53</v>
      </c>
      <c r="F2068" s="4" t="s">
        <v>25</v>
      </c>
      <c r="G2068" s="4" t="s">
        <v>25</v>
      </c>
      <c r="H2068" s="4" t="s">
        <v>25</v>
      </c>
      <c r="I2068" s="5">
        <v>44835</v>
      </c>
      <c r="J2068" s="6">
        <v>0</v>
      </c>
      <c r="K2068" s="6">
        <v>0</v>
      </c>
      <c r="L2068" s="6">
        <v>529.55600000000004</v>
      </c>
      <c r="M2068" s="6">
        <v>497.78264000000001</v>
      </c>
      <c r="N2068" s="6">
        <v>529.55600000000004</v>
      </c>
      <c r="O2068" s="6">
        <v>497.78264000000001</v>
      </c>
      <c r="P2068" s="6">
        <v>120</v>
      </c>
      <c r="Q2068" s="4" t="s">
        <v>26</v>
      </c>
      <c r="R2068" s="4">
        <v>0</v>
      </c>
      <c r="S2068" s="4" t="s">
        <v>449</v>
      </c>
      <c r="T2068" s="4" t="s">
        <v>719</v>
      </c>
      <c r="U2068" s="4">
        <v>0</v>
      </c>
      <c r="V2068" s="4">
        <v>67</v>
      </c>
      <c r="W2068" s="4">
        <v>111</v>
      </c>
    </row>
    <row r="2069" spans="1:23" ht="11.25" customHeight="1" x14ac:dyDescent="0.25">
      <c r="A2069" s="4" t="s">
        <v>29</v>
      </c>
      <c r="B2069" s="4" t="s">
        <v>39</v>
      </c>
      <c r="C2069" s="4" t="s">
        <v>23</v>
      </c>
      <c r="D2069" s="4" t="s">
        <v>52</v>
      </c>
      <c r="E2069" s="4" t="s">
        <v>53</v>
      </c>
      <c r="F2069" s="4" t="s">
        <v>25</v>
      </c>
      <c r="G2069" s="4" t="s">
        <v>25</v>
      </c>
      <c r="H2069" s="4" t="s">
        <v>25</v>
      </c>
      <c r="I2069" s="5">
        <v>44835</v>
      </c>
      <c r="J2069" s="6">
        <v>0</v>
      </c>
      <c r="K2069" s="6">
        <v>0</v>
      </c>
      <c r="L2069" s="6">
        <v>-0.17499999999999999</v>
      </c>
      <c r="M2069" s="6">
        <v>-0.16450000000000001</v>
      </c>
      <c r="N2069" s="6">
        <v>-0.17499999999999999</v>
      </c>
      <c r="O2069" s="6">
        <v>-0.16450000000000001</v>
      </c>
      <c r="P2069" s="6">
        <v>0</v>
      </c>
      <c r="Q2069" s="4" t="s">
        <v>26</v>
      </c>
      <c r="R2069" s="4">
        <v>0</v>
      </c>
      <c r="S2069" s="4" t="s">
        <v>449</v>
      </c>
      <c r="T2069" s="4" t="s">
        <v>719</v>
      </c>
      <c r="U2069" s="4">
        <v>0</v>
      </c>
      <c r="V2069" s="4">
        <v>67</v>
      </c>
      <c r="W2069" s="4">
        <v>111</v>
      </c>
    </row>
    <row r="2070" spans="1:23" ht="11.25" customHeight="1" x14ac:dyDescent="0.25">
      <c r="A2070" s="4" t="s">
        <v>59</v>
      </c>
      <c r="B2070" s="4" t="s">
        <v>39</v>
      </c>
      <c r="C2070" s="4" t="s">
        <v>23</v>
      </c>
      <c r="D2070" s="4" t="s">
        <v>52</v>
      </c>
      <c r="E2070" s="4" t="s">
        <v>53</v>
      </c>
      <c r="F2070" s="4" t="s">
        <v>25</v>
      </c>
      <c r="G2070" s="4" t="s">
        <v>25</v>
      </c>
      <c r="H2070" s="4" t="s">
        <v>25</v>
      </c>
      <c r="I2070" s="5">
        <v>44866</v>
      </c>
      <c r="J2070" s="6">
        <v>0</v>
      </c>
      <c r="K2070" s="6">
        <v>0</v>
      </c>
      <c r="L2070" s="6">
        <v>143.55099999999999</v>
      </c>
      <c r="M2070" s="6">
        <v>134.93794</v>
      </c>
      <c r="N2070" s="6">
        <v>143.55099999999999</v>
      </c>
      <c r="O2070" s="6">
        <v>134.93794</v>
      </c>
      <c r="P2070" s="6">
        <v>55</v>
      </c>
      <c r="Q2070" s="4" t="s">
        <v>26</v>
      </c>
      <c r="R2070" s="4">
        <v>0</v>
      </c>
      <c r="S2070" s="4" t="s">
        <v>450</v>
      </c>
      <c r="T2070" s="4" t="s">
        <v>720</v>
      </c>
      <c r="U2070" s="4">
        <v>0</v>
      </c>
      <c r="V2070" s="4">
        <v>67</v>
      </c>
      <c r="W2070" s="4">
        <v>111</v>
      </c>
    </row>
    <row r="2071" spans="1:23" ht="11.25" customHeight="1" x14ac:dyDescent="0.25">
      <c r="A2071" s="4" t="s">
        <v>59</v>
      </c>
      <c r="B2071" s="4" t="s">
        <v>39</v>
      </c>
      <c r="C2071" s="4" t="s">
        <v>23</v>
      </c>
      <c r="D2071" s="4" t="s">
        <v>52</v>
      </c>
      <c r="E2071" s="4" t="s">
        <v>53</v>
      </c>
      <c r="F2071" s="4" t="s">
        <v>25</v>
      </c>
      <c r="G2071" s="4" t="s">
        <v>25</v>
      </c>
      <c r="H2071" s="4" t="s">
        <v>25</v>
      </c>
      <c r="I2071" s="5">
        <v>44866</v>
      </c>
      <c r="J2071" s="6">
        <v>0</v>
      </c>
      <c r="K2071" s="6">
        <v>0</v>
      </c>
      <c r="L2071" s="6">
        <v>-0.1</v>
      </c>
      <c r="M2071" s="6">
        <v>-9.4E-2</v>
      </c>
      <c r="N2071" s="6">
        <v>-0.1</v>
      </c>
      <c r="O2071" s="6">
        <v>-9.4E-2</v>
      </c>
      <c r="P2071" s="6">
        <v>-1</v>
      </c>
      <c r="Q2071" s="4" t="s">
        <v>26</v>
      </c>
      <c r="R2071" s="4">
        <v>0</v>
      </c>
      <c r="S2071" s="4" t="s">
        <v>450</v>
      </c>
      <c r="T2071" s="4" t="s">
        <v>720</v>
      </c>
      <c r="U2071" s="4">
        <v>0</v>
      </c>
      <c r="V2071" s="4">
        <v>67</v>
      </c>
      <c r="W2071" s="4">
        <v>111</v>
      </c>
    </row>
    <row r="2072" spans="1:23" ht="11.25" customHeight="1" x14ac:dyDescent="0.25">
      <c r="A2072" s="4" t="s">
        <v>59</v>
      </c>
      <c r="B2072" s="4" t="s">
        <v>39</v>
      </c>
      <c r="C2072" s="4" t="s">
        <v>23</v>
      </c>
      <c r="D2072" s="4" t="s">
        <v>52</v>
      </c>
      <c r="E2072" s="4" t="s">
        <v>53</v>
      </c>
      <c r="F2072" s="4" t="s">
        <v>25</v>
      </c>
      <c r="G2072" s="4" t="s">
        <v>25</v>
      </c>
      <c r="H2072" s="4" t="s">
        <v>25</v>
      </c>
      <c r="I2072" s="5">
        <v>44866</v>
      </c>
      <c r="J2072" s="6">
        <v>0</v>
      </c>
      <c r="K2072" s="6">
        <v>0</v>
      </c>
      <c r="L2072" s="6">
        <v>529.55600000000004</v>
      </c>
      <c r="M2072" s="6">
        <v>497.78264000000001</v>
      </c>
      <c r="N2072" s="6">
        <v>529.55600000000004</v>
      </c>
      <c r="O2072" s="6">
        <v>497.78264000000001</v>
      </c>
      <c r="P2072" s="6">
        <v>120</v>
      </c>
      <c r="Q2072" s="4" t="s">
        <v>26</v>
      </c>
      <c r="R2072" s="4">
        <v>0</v>
      </c>
      <c r="S2072" s="4" t="s">
        <v>450</v>
      </c>
      <c r="T2072" s="4" t="s">
        <v>720</v>
      </c>
      <c r="U2072" s="4">
        <v>0</v>
      </c>
      <c r="V2072" s="4">
        <v>67</v>
      </c>
      <c r="W2072" s="4">
        <v>111</v>
      </c>
    </row>
    <row r="2073" spans="1:23" ht="11.25" customHeight="1" x14ac:dyDescent="0.25">
      <c r="A2073" s="4" t="s">
        <v>59</v>
      </c>
      <c r="B2073" s="4" t="s">
        <v>39</v>
      </c>
      <c r="C2073" s="4" t="s">
        <v>23</v>
      </c>
      <c r="D2073" s="4" t="s">
        <v>52</v>
      </c>
      <c r="E2073" s="4" t="s">
        <v>53</v>
      </c>
      <c r="F2073" s="4" t="s">
        <v>25</v>
      </c>
      <c r="G2073" s="4" t="s">
        <v>25</v>
      </c>
      <c r="H2073" s="4" t="s">
        <v>25</v>
      </c>
      <c r="I2073" s="5">
        <v>44866</v>
      </c>
      <c r="J2073" s="6">
        <v>0</v>
      </c>
      <c r="K2073" s="6">
        <v>0</v>
      </c>
      <c r="L2073" s="6">
        <v>-0.17499999999999999</v>
      </c>
      <c r="M2073" s="6">
        <v>-0.16450000000000001</v>
      </c>
      <c r="N2073" s="6">
        <v>-0.17499999999999999</v>
      </c>
      <c r="O2073" s="6">
        <v>-0.16450000000000001</v>
      </c>
      <c r="P2073" s="6">
        <v>0</v>
      </c>
      <c r="Q2073" s="4" t="s">
        <v>26</v>
      </c>
      <c r="R2073" s="4">
        <v>0</v>
      </c>
      <c r="S2073" s="4" t="s">
        <v>450</v>
      </c>
      <c r="T2073" s="4" t="s">
        <v>720</v>
      </c>
      <c r="U2073" s="4">
        <v>0</v>
      </c>
      <c r="V2073" s="4">
        <v>67</v>
      </c>
      <c r="W2073" s="4">
        <v>111</v>
      </c>
    </row>
    <row r="2074" spans="1:23" ht="11.25" customHeight="1" x14ac:dyDescent="0.25">
      <c r="A2074" s="4" t="s">
        <v>21</v>
      </c>
      <c r="B2074" s="4" t="s">
        <v>49</v>
      </c>
      <c r="C2074" s="4" t="s">
        <v>23</v>
      </c>
      <c r="D2074" s="4" t="s">
        <v>50</v>
      </c>
      <c r="E2074" s="4" t="s">
        <v>51</v>
      </c>
      <c r="F2074" s="4" t="s">
        <v>25</v>
      </c>
      <c r="G2074" s="4" t="s">
        <v>25</v>
      </c>
      <c r="H2074" s="4" t="s">
        <v>25</v>
      </c>
      <c r="I2074" s="5">
        <v>44531</v>
      </c>
      <c r="J2074" s="6">
        <v>0</v>
      </c>
      <c r="K2074" s="6">
        <v>0</v>
      </c>
      <c r="L2074" s="6">
        <v>2728.7550000000001</v>
      </c>
      <c r="M2074" s="6">
        <v>2728.7550000000001</v>
      </c>
      <c r="N2074" s="6">
        <v>2728.7550000000001</v>
      </c>
      <c r="O2074" s="6">
        <v>2728.7550000000001</v>
      </c>
      <c r="P2074" s="6">
        <v>369</v>
      </c>
      <c r="Q2074" s="4" t="s">
        <v>26</v>
      </c>
      <c r="R2074" s="4">
        <v>0</v>
      </c>
      <c r="S2074" s="4" t="s">
        <v>451</v>
      </c>
      <c r="T2074" s="4" t="s">
        <v>721</v>
      </c>
      <c r="U2074" s="4">
        <v>0</v>
      </c>
      <c r="V2074" s="4">
        <v>69</v>
      </c>
      <c r="W2074" s="4">
        <v>113</v>
      </c>
    </row>
    <row r="2075" spans="1:23" ht="11.25" customHeight="1" x14ac:dyDescent="0.25">
      <c r="A2075" s="4" t="s">
        <v>28</v>
      </c>
      <c r="B2075" s="4" t="s">
        <v>49</v>
      </c>
      <c r="C2075" s="4" t="s">
        <v>23</v>
      </c>
      <c r="D2075" s="4" t="s">
        <v>50</v>
      </c>
      <c r="E2075" s="4" t="s">
        <v>51</v>
      </c>
      <c r="F2075" s="4" t="s">
        <v>25</v>
      </c>
      <c r="G2075" s="4" t="s">
        <v>25</v>
      </c>
      <c r="H2075" s="4" t="s">
        <v>25</v>
      </c>
      <c r="I2075" s="5">
        <v>44531</v>
      </c>
      <c r="J2075" s="6">
        <v>0</v>
      </c>
      <c r="K2075" s="6">
        <v>0</v>
      </c>
      <c r="L2075" s="6">
        <v>1067.463</v>
      </c>
      <c r="M2075" s="6">
        <v>1067.463</v>
      </c>
      <c r="N2075" s="6">
        <v>1067.463</v>
      </c>
      <c r="O2075" s="6">
        <v>1067.463</v>
      </c>
      <c r="P2075" s="6">
        <v>85</v>
      </c>
      <c r="Q2075" s="4" t="s">
        <v>26</v>
      </c>
      <c r="R2075" s="4">
        <v>0</v>
      </c>
      <c r="S2075" s="4" t="s">
        <v>451</v>
      </c>
      <c r="T2075" s="4" t="s">
        <v>721</v>
      </c>
      <c r="U2075" s="4">
        <v>0</v>
      </c>
      <c r="V2075" s="4">
        <v>69</v>
      </c>
      <c r="W2075" s="4">
        <v>113</v>
      </c>
    </row>
    <row r="2076" spans="1:23" ht="11.25" customHeight="1" x14ac:dyDescent="0.25">
      <c r="A2076" s="4" t="s">
        <v>21</v>
      </c>
      <c r="B2076" s="4" t="s">
        <v>49</v>
      </c>
      <c r="C2076" s="4" t="s">
        <v>23</v>
      </c>
      <c r="D2076" s="4" t="s">
        <v>50</v>
      </c>
      <c r="E2076" s="4" t="s">
        <v>51</v>
      </c>
      <c r="F2076" s="4" t="s">
        <v>25</v>
      </c>
      <c r="G2076" s="4" t="s">
        <v>25</v>
      </c>
      <c r="H2076" s="4" t="s">
        <v>25</v>
      </c>
      <c r="I2076" s="5">
        <v>44562</v>
      </c>
      <c r="J2076" s="6">
        <v>0</v>
      </c>
      <c r="K2076" s="6">
        <v>0</v>
      </c>
      <c r="L2076" s="6">
        <v>3100.297</v>
      </c>
      <c r="M2076" s="6">
        <v>3100.297</v>
      </c>
      <c r="N2076" s="6">
        <v>3100.297</v>
      </c>
      <c r="O2076" s="6">
        <v>3100.297</v>
      </c>
      <c r="P2076" s="6">
        <v>373</v>
      </c>
      <c r="Q2076" s="4" t="s">
        <v>26</v>
      </c>
      <c r="R2076" s="4">
        <v>0</v>
      </c>
      <c r="S2076" s="4" t="s">
        <v>452</v>
      </c>
      <c r="T2076" s="4" t="s">
        <v>722</v>
      </c>
      <c r="U2076" s="4">
        <v>0</v>
      </c>
      <c r="V2076" s="4">
        <v>69</v>
      </c>
      <c r="W2076" s="4">
        <v>113</v>
      </c>
    </row>
    <row r="2077" spans="1:23" ht="11.25" customHeight="1" x14ac:dyDescent="0.25">
      <c r="A2077" s="4" t="s">
        <v>28</v>
      </c>
      <c r="B2077" s="4" t="s">
        <v>49</v>
      </c>
      <c r="C2077" s="4" t="s">
        <v>23</v>
      </c>
      <c r="D2077" s="4" t="s">
        <v>50</v>
      </c>
      <c r="E2077" s="4" t="s">
        <v>51</v>
      </c>
      <c r="F2077" s="4" t="s">
        <v>25</v>
      </c>
      <c r="G2077" s="4" t="s">
        <v>25</v>
      </c>
      <c r="H2077" s="4" t="s">
        <v>25</v>
      </c>
      <c r="I2077" s="5">
        <v>44562</v>
      </c>
      <c r="J2077" s="6">
        <v>0</v>
      </c>
      <c r="K2077" s="6">
        <v>0</v>
      </c>
      <c r="L2077" s="6">
        <v>1069.21</v>
      </c>
      <c r="M2077" s="6">
        <v>1069.21</v>
      </c>
      <c r="N2077" s="6">
        <v>1069.21</v>
      </c>
      <c r="O2077" s="6">
        <v>1069.21</v>
      </c>
      <c r="P2077" s="6">
        <v>86</v>
      </c>
      <c r="Q2077" s="4" t="s">
        <v>26</v>
      </c>
      <c r="R2077" s="4">
        <v>0</v>
      </c>
      <c r="S2077" s="4" t="s">
        <v>452</v>
      </c>
      <c r="T2077" s="4" t="s">
        <v>722</v>
      </c>
      <c r="U2077" s="4">
        <v>0</v>
      </c>
      <c r="V2077" s="4">
        <v>69</v>
      </c>
      <c r="W2077" s="4">
        <v>113</v>
      </c>
    </row>
    <row r="2078" spans="1:23" ht="11.25" customHeight="1" x14ac:dyDescent="0.25">
      <c r="A2078" s="4" t="s">
        <v>21</v>
      </c>
      <c r="B2078" s="4" t="s">
        <v>49</v>
      </c>
      <c r="C2078" s="4" t="s">
        <v>23</v>
      </c>
      <c r="D2078" s="4" t="s">
        <v>50</v>
      </c>
      <c r="E2078" s="4" t="s">
        <v>51</v>
      </c>
      <c r="F2078" s="4" t="s">
        <v>25</v>
      </c>
      <c r="G2078" s="4" t="s">
        <v>25</v>
      </c>
      <c r="H2078" s="4" t="s">
        <v>25</v>
      </c>
      <c r="I2078" s="5">
        <v>44593</v>
      </c>
      <c r="J2078" s="6">
        <v>0</v>
      </c>
      <c r="K2078" s="6">
        <v>0</v>
      </c>
      <c r="L2078" s="6">
        <v>2735.3440000000001</v>
      </c>
      <c r="M2078" s="6">
        <v>2735.3440000000001</v>
      </c>
      <c r="N2078" s="6">
        <v>2735.3440000000001</v>
      </c>
      <c r="O2078" s="6">
        <v>2735.3440000000001</v>
      </c>
      <c r="P2078" s="6">
        <v>375</v>
      </c>
      <c r="Q2078" s="4" t="s">
        <v>26</v>
      </c>
      <c r="R2078" s="4">
        <v>0</v>
      </c>
      <c r="S2078" s="4" t="s">
        <v>453</v>
      </c>
      <c r="T2078" s="4" t="s">
        <v>723</v>
      </c>
      <c r="U2078" s="4">
        <v>0</v>
      </c>
      <c r="V2078" s="4">
        <v>69</v>
      </c>
      <c r="W2078" s="4">
        <v>113</v>
      </c>
    </row>
    <row r="2079" spans="1:23" ht="11.25" customHeight="1" x14ac:dyDescent="0.25">
      <c r="A2079" s="4" t="s">
        <v>28</v>
      </c>
      <c r="B2079" s="4" t="s">
        <v>49</v>
      </c>
      <c r="C2079" s="4" t="s">
        <v>23</v>
      </c>
      <c r="D2079" s="4" t="s">
        <v>50</v>
      </c>
      <c r="E2079" s="4" t="s">
        <v>51</v>
      </c>
      <c r="F2079" s="4" t="s">
        <v>25</v>
      </c>
      <c r="G2079" s="4" t="s">
        <v>25</v>
      </c>
      <c r="H2079" s="4" t="s">
        <v>25</v>
      </c>
      <c r="I2079" s="5">
        <v>44593</v>
      </c>
      <c r="J2079" s="6">
        <v>0</v>
      </c>
      <c r="K2079" s="6">
        <v>0</v>
      </c>
      <c r="L2079" s="6">
        <v>1539.951</v>
      </c>
      <c r="M2079" s="6">
        <v>1539.951</v>
      </c>
      <c r="N2079" s="6">
        <v>1539.951</v>
      </c>
      <c r="O2079" s="6">
        <v>1539.951</v>
      </c>
      <c r="P2079" s="6">
        <v>87</v>
      </c>
      <c r="Q2079" s="4" t="s">
        <v>26</v>
      </c>
      <c r="R2079" s="4">
        <v>0</v>
      </c>
      <c r="S2079" s="4" t="s">
        <v>453</v>
      </c>
      <c r="T2079" s="4" t="s">
        <v>723</v>
      </c>
      <c r="U2079" s="4">
        <v>0</v>
      </c>
      <c r="V2079" s="4">
        <v>69</v>
      </c>
      <c r="W2079" s="4">
        <v>113</v>
      </c>
    </row>
    <row r="2080" spans="1:23" ht="11.25" customHeight="1" x14ac:dyDescent="0.25">
      <c r="A2080" s="4" t="s">
        <v>21</v>
      </c>
      <c r="B2080" s="4" t="s">
        <v>49</v>
      </c>
      <c r="C2080" s="4" t="s">
        <v>23</v>
      </c>
      <c r="D2080" s="4" t="s">
        <v>50</v>
      </c>
      <c r="E2080" s="4" t="s">
        <v>51</v>
      </c>
      <c r="F2080" s="4" t="s">
        <v>25</v>
      </c>
      <c r="G2080" s="4" t="s">
        <v>25</v>
      </c>
      <c r="H2080" s="4" t="s">
        <v>25</v>
      </c>
      <c r="I2080" s="5">
        <v>44621</v>
      </c>
      <c r="J2080" s="6">
        <v>0</v>
      </c>
      <c r="K2080" s="6">
        <v>0</v>
      </c>
      <c r="L2080" s="6">
        <v>3075.13</v>
      </c>
      <c r="M2080" s="6">
        <v>3075.13</v>
      </c>
      <c r="N2080" s="6">
        <v>3075.13</v>
      </c>
      <c r="O2080" s="6">
        <v>3075.13</v>
      </c>
      <c r="P2080" s="6">
        <v>368</v>
      </c>
      <c r="Q2080" s="4" t="s">
        <v>26</v>
      </c>
      <c r="R2080" s="4">
        <v>0</v>
      </c>
      <c r="S2080" s="4" t="s">
        <v>454</v>
      </c>
      <c r="T2080" s="4" t="s">
        <v>724</v>
      </c>
      <c r="U2080" s="4">
        <v>0</v>
      </c>
      <c r="V2080" s="4">
        <v>69</v>
      </c>
      <c r="W2080" s="4">
        <v>113</v>
      </c>
    </row>
    <row r="2081" spans="1:23" ht="11.25" customHeight="1" x14ac:dyDescent="0.25">
      <c r="A2081" s="4" t="s">
        <v>28</v>
      </c>
      <c r="B2081" s="4" t="s">
        <v>49</v>
      </c>
      <c r="C2081" s="4" t="s">
        <v>23</v>
      </c>
      <c r="D2081" s="4" t="s">
        <v>50</v>
      </c>
      <c r="E2081" s="4" t="s">
        <v>51</v>
      </c>
      <c r="F2081" s="4" t="s">
        <v>25</v>
      </c>
      <c r="G2081" s="4" t="s">
        <v>25</v>
      </c>
      <c r="H2081" s="4" t="s">
        <v>25</v>
      </c>
      <c r="I2081" s="5">
        <v>44621</v>
      </c>
      <c r="J2081" s="6">
        <v>0</v>
      </c>
      <c r="K2081" s="6">
        <v>0</v>
      </c>
      <c r="L2081" s="6">
        <v>1401.1510000000001</v>
      </c>
      <c r="M2081" s="6">
        <v>1401.1510000000001</v>
      </c>
      <c r="N2081" s="6">
        <v>1401.1510000000001</v>
      </c>
      <c r="O2081" s="6">
        <v>1401.1510000000001</v>
      </c>
      <c r="P2081" s="6">
        <v>87</v>
      </c>
      <c r="Q2081" s="4" t="s">
        <v>26</v>
      </c>
      <c r="R2081" s="4">
        <v>0</v>
      </c>
      <c r="S2081" s="4" t="s">
        <v>454</v>
      </c>
      <c r="T2081" s="4" t="s">
        <v>724</v>
      </c>
      <c r="U2081" s="4">
        <v>0</v>
      </c>
      <c r="V2081" s="4">
        <v>69</v>
      </c>
      <c r="W2081" s="4">
        <v>113</v>
      </c>
    </row>
    <row r="2082" spans="1:23" ht="11.25" customHeight="1" x14ac:dyDescent="0.25">
      <c r="A2082" s="4" t="s">
        <v>21</v>
      </c>
      <c r="B2082" s="4" t="s">
        <v>49</v>
      </c>
      <c r="C2082" s="4" t="s">
        <v>23</v>
      </c>
      <c r="D2082" s="4" t="s">
        <v>50</v>
      </c>
      <c r="E2082" s="4" t="s">
        <v>51</v>
      </c>
      <c r="F2082" s="4" t="s">
        <v>25</v>
      </c>
      <c r="G2082" s="4" t="s">
        <v>25</v>
      </c>
      <c r="H2082" s="4" t="s">
        <v>25</v>
      </c>
      <c r="I2082" s="5">
        <v>44652</v>
      </c>
      <c r="J2082" s="6">
        <v>0</v>
      </c>
      <c r="K2082" s="6">
        <v>0</v>
      </c>
      <c r="L2082" s="6">
        <v>3494.0070000000001</v>
      </c>
      <c r="M2082" s="6">
        <v>3494.0070000000001</v>
      </c>
      <c r="N2082" s="6">
        <v>3494.0070000000001</v>
      </c>
      <c r="O2082" s="6">
        <v>3494.0070000000001</v>
      </c>
      <c r="P2082" s="6">
        <v>372</v>
      </c>
      <c r="Q2082" s="4" t="s">
        <v>26</v>
      </c>
      <c r="R2082" s="4">
        <v>0</v>
      </c>
      <c r="S2082" s="4" t="s">
        <v>455</v>
      </c>
      <c r="T2082" s="4" t="s">
        <v>725</v>
      </c>
      <c r="U2082" s="4">
        <v>0</v>
      </c>
      <c r="V2082" s="4">
        <v>69</v>
      </c>
      <c r="W2082" s="4">
        <v>113</v>
      </c>
    </row>
    <row r="2083" spans="1:23" ht="11.25" customHeight="1" x14ac:dyDescent="0.25">
      <c r="A2083" s="4" t="s">
        <v>27</v>
      </c>
      <c r="B2083" s="4" t="s">
        <v>49</v>
      </c>
      <c r="C2083" s="4" t="s">
        <v>23</v>
      </c>
      <c r="D2083" s="4" t="s">
        <v>50</v>
      </c>
      <c r="E2083" s="4" t="s">
        <v>51</v>
      </c>
      <c r="F2083" s="4" t="s">
        <v>25</v>
      </c>
      <c r="G2083" s="4" t="s">
        <v>25</v>
      </c>
      <c r="H2083" s="4" t="s">
        <v>25</v>
      </c>
      <c r="I2083" s="5">
        <v>44652</v>
      </c>
      <c r="J2083" s="6">
        <v>0</v>
      </c>
      <c r="K2083" s="6">
        <v>0</v>
      </c>
      <c r="L2083" s="6">
        <v>-0.51700000000000002</v>
      </c>
      <c r="M2083" s="6">
        <v>-0.51700000000000002</v>
      </c>
      <c r="N2083" s="6">
        <v>-0.51700000000000002</v>
      </c>
      <c r="O2083" s="6">
        <v>-0.51700000000000002</v>
      </c>
      <c r="P2083" s="6">
        <v>-1</v>
      </c>
      <c r="Q2083" s="4" t="s">
        <v>26</v>
      </c>
      <c r="R2083" s="4">
        <v>0</v>
      </c>
      <c r="S2083" s="4" t="s">
        <v>455</v>
      </c>
      <c r="T2083" s="4" t="s">
        <v>725</v>
      </c>
      <c r="U2083" s="4">
        <v>0</v>
      </c>
      <c r="V2083" s="4">
        <v>69</v>
      </c>
      <c r="W2083" s="4">
        <v>113</v>
      </c>
    </row>
    <row r="2084" spans="1:23" ht="11.25" customHeight="1" x14ac:dyDescent="0.25">
      <c r="A2084" s="4" t="s">
        <v>28</v>
      </c>
      <c r="B2084" s="4" t="s">
        <v>49</v>
      </c>
      <c r="C2084" s="4" t="s">
        <v>23</v>
      </c>
      <c r="D2084" s="4" t="s">
        <v>50</v>
      </c>
      <c r="E2084" s="4" t="s">
        <v>51</v>
      </c>
      <c r="F2084" s="4" t="s">
        <v>25</v>
      </c>
      <c r="G2084" s="4" t="s">
        <v>25</v>
      </c>
      <c r="H2084" s="4" t="s">
        <v>25</v>
      </c>
      <c r="I2084" s="5">
        <v>44652</v>
      </c>
      <c r="J2084" s="6">
        <v>0</v>
      </c>
      <c r="K2084" s="6">
        <v>0</v>
      </c>
      <c r="L2084" s="6">
        <v>1040.809</v>
      </c>
      <c r="M2084" s="6">
        <v>1040.809</v>
      </c>
      <c r="N2084" s="6">
        <v>1040.809</v>
      </c>
      <c r="O2084" s="6">
        <v>1040.809</v>
      </c>
      <c r="P2084" s="6">
        <v>86</v>
      </c>
      <c r="Q2084" s="4" t="s">
        <v>26</v>
      </c>
      <c r="R2084" s="4">
        <v>0</v>
      </c>
      <c r="S2084" s="4" t="s">
        <v>455</v>
      </c>
      <c r="T2084" s="4" t="s">
        <v>725</v>
      </c>
      <c r="U2084" s="4">
        <v>0</v>
      </c>
      <c r="V2084" s="4">
        <v>69</v>
      </c>
      <c r="W2084" s="4">
        <v>113</v>
      </c>
    </row>
    <row r="2085" spans="1:23" ht="11.25" customHeight="1" x14ac:dyDescent="0.25">
      <c r="A2085" s="4" t="s">
        <v>21</v>
      </c>
      <c r="B2085" s="4" t="s">
        <v>49</v>
      </c>
      <c r="C2085" s="4" t="s">
        <v>23</v>
      </c>
      <c r="D2085" s="4" t="s">
        <v>50</v>
      </c>
      <c r="E2085" s="4" t="s">
        <v>51</v>
      </c>
      <c r="F2085" s="4" t="s">
        <v>25</v>
      </c>
      <c r="G2085" s="4" t="s">
        <v>25</v>
      </c>
      <c r="H2085" s="4" t="s">
        <v>25</v>
      </c>
      <c r="I2085" s="5">
        <v>44682</v>
      </c>
      <c r="J2085" s="6">
        <v>0</v>
      </c>
      <c r="K2085" s="6">
        <v>0</v>
      </c>
      <c r="L2085" s="6">
        <v>2812.8359999999998</v>
      </c>
      <c r="M2085" s="6">
        <v>2812.8359999999998</v>
      </c>
      <c r="N2085" s="6">
        <v>2812.8359999999998</v>
      </c>
      <c r="O2085" s="6">
        <v>2812.8359999999998</v>
      </c>
      <c r="P2085" s="6">
        <v>366</v>
      </c>
      <c r="Q2085" s="4" t="s">
        <v>26</v>
      </c>
      <c r="R2085" s="4">
        <v>0</v>
      </c>
      <c r="S2085" s="4" t="s">
        <v>456</v>
      </c>
      <c r="T2085" s="4" t="s">
        <v>726</v>
      </c>
      <c r="U2085" s="4">
        <v>0</v>
      </c>
      <c r="V2085" s="4">
        <v>69</v>
      </c>
      <c r="W2085" s="4">
        <v>113</v>
      </c>
    </row>
    <row r="2086" spans="1:23" ht="11.25" customHeight="1" x14ac:dyDescent="0.25">
      <c r="A2086" s="4" t="s">
        <v>28</v>
      </c>
      <c r="B2086" s="4" t="s">
        <v>49</v>
      </c>
      <c r="C2086" s="4" t="s">
        <v>23</v>
      </c>
      <c r="D2086" s="4" t="s">
        <v>50</v>
      </c>
      <c r="E2086" s="4" t="s">
        <v>51</v>
      </c>
      <c r="F2086" s="4" t="s">
        <v>25</v>
      </c>
      <c r="G2086" s="4" t="s">
        <v>25</v>
      </c>
      <c r="H2086" s="4" t="s">
        <v>25</v>
      </c>
      <c r="I2086" s="5">
        <v>44682</v>
      </c>
      <c r="J2086" s="6">
        <v>0</v>
      </c>
      <c r="K2086" s="6">
        <v>0</v>
      </c>
      <c r="L2086" s="6">
        <v>1072.2629999999999</v>
      </c>
      <c r="M2086" s="6">
        <v>1072.2629999999999</v>
      </c>
      <c r="N2086" s="6">
        <v>1072.2629999999999</v>
      </c>
      <c r="O2086" s="6">
        <v>1072.2629999999999</v>
      </c>
      <c r="P2086" s="6">
        <v>88</v>
      </c>
      <c r="Q2086" s="4" t="s">
        <v>26</v>
      </c>
      <c r="R2086" s="4">
        <v>0</v>
      </c>
      <c r="S2086" s="4" t="s">
        <v>456</v>
      </c>
      <c r="T2086" s="4" t="s">
        <v>726</v>
      </c>
      <c r="U2086" s="4">
        <v>0</v>
      </c>
      <c r="V2086" s="4">
        <v>69</v>
      </c>
      <c r="W2086" s="4">
        <v>113</v>
      </c>
    </row>
    <row r="2087" spans="1:23" ht="11.25" customHeight="1" x14ac:dyDescent="0.25">
      <c r="A2087" s="4" t="s">
        <v>21</v>
      </c>
      <c r="B2087" s="4" t="s">
        <v>49</v>
      </c>
      <c r="C2087" s="4" t="s">
        <v>23</v>
      </c>
      <c r="D2087" s="4" t="s">
        <v>50</v>
      </c>
      <c r="E2087" s="4" t="s">
        <v>51</v>
      </c>
      <c r="F2087" s="4" t="s">
        <v>25</v>
      </c>
      <c r="G2087" s="4" t="s">
        <v>25</v>
      </c>
      <c r="H2087" s="4" t="s">
        <v>25</v>
      </c>
      <c r="I2087" s="5">
        <v>44713</v>
      </c>
      <c r="J2087" s="6">
        <v>0</v>
      </c>
      <c r="K2087" s="6">
        <v>0</v>
      </c>
      <c r="L2087" s="6">
        <v>2705.3670000000002</v>
      </c>
      <c r="M2087" s="6">
        <v>2705.3670000000002</v>
      </c>
      <c r="N2087" s="6">
        <v>2705.3670000000002</v>
      </c>
      <c r="O2087" s="6">
        <v>2705.3670000000002</v>
      </c>
      <c r="P2087" s="6">
        <v>364</v>
      </c>
      <c r="Q2087" s="4" t="s">
        <v>26</v>
      </c>
      <c r="R2087" s="4">
        <v>0</v>
      </c>
      <c r="S2087" s="4" t="s">
        <v>457</v>
      </c>
      <c r="T2087" s="4" t="s">
        <v>727</v>
      </c>
      <c r="U2087" s="4">
        <v>0</v>
      </c>
      <c r="V2087" s="4">
        <v>69</v>
      </c>
      <c r="W2087" s="4">
        <v>113</v>
      </c>
    </row>
    <row r="2088" spans="1:23" ht="11.25" customHeight="1" x14ac:dyDescent="0.25">
      <c r="A2088" s="4" t="s">
        <v>27</v>
      </c>
      <c r="B2088" s="4" t="s">
        <v>49</v>
      </c>
      <c r="C2088" s="4" t="s">
        <v>23</v>
      </c>
      <c r="D2088" s="4" t="s">
        <v>50</v>
      </c>
      <c r="E2088" s="4" t="s">
        <v>51</v>
      </c>
      <c r="F2088" s="4" t="s">
        <v>25</v>
      </c>
      <c r="G2088" s="4" t="s">
        <v>25</v>
      </c>
      <c r="H2088" s="4" t="s">
        <v>25</v>
      </c>
      <c r="I2088" s="5">
        <v>44713</v>
      </c>
      <c r="J2088" s="6">
        <v>0</v>
      </c>
      <c r="K2088" s="6">
        <v>0</v>
      </c>
      <c r="L2088" s="6">
        <v>-0.36899999999999999</v>
      </c>
      <c r="M2088" s="6">
        <v>-0.36899999999999999</v>
      </c>
      <c r="N2088" s="6">
        <v>-0.36899999999999999</v>
      </c>
      <c r="O2088" s="6">
        <v>-0.36899999999999999</v>
      </c>
      <c r="P2088" s="6">
        <v>0</v>
      </c>
      <c r="Q2088" s="4" t="s">
        <v>26</v>
      </c>
      <c r="R2088" s="4">
        <v>0</v>
      </c>
      <c r="S2088" s="4" t="s">
        <v>457</v>
      </c>
      <c r="T2088" s="4" t="s">
        <v>727</v>
      </c>
      <c r="U2088" s="4">
        <v>0</v>
      </c>
      <c r="V2088" s="4">
        <v>69</v>
      </c>
      <c r="W2088" s="4">
        <v>113</v>
      </c>
    </row>
    <row r="2089" spans="1:23" ht="11.25" customHeight="1" x14ac:dyDescent="0.25">
      <c r="A2089" s="4" t="s">
        <v>28</v>
      </c>
      <c r="B2089" s="4" t="s">
        <v>49</v>
      </c>
      <c r="C2089" s="4" t="s">
        <v>23</v>
      </c>
      <c r="D2089" s="4" t="s">
        <v>50</v>
      </c>
      <c r="E2089" s="4" t="s">
        <v>51</v>
      </c>
      <c r="F2089" s="4" t="s">
        <v>25</v>
      </c>
      <c r="G2089" s="4" t="s">
        <v>25</v>
      </c>
      <c r="H2089" s="4" t="s">
        <v>25</v>
      </c>
      <c r="I2089" s="5">
        <v>44713</v>
      </c>
      <c r="J2089" s="6">
        <v>0</v>
      </c>
      <c r="K2089" s="6">
        <v>0</v>
      </c>
      <c r="L2089" s="6">
        <v>1035.412</v>
      </c>
      <c r="M2089" s="6">
        <v>1035.412</v>
      </c>
      <c r="N2089" s="6">
        <v>1035.412</v>
      </c>
      <c r="O2089" s="6">
        <v>1035.412</v>
      </c>
      <c r="P2089" s="6">
        <v>83</v>
      </c>
      <c r="Q2089" s="4" t="s">
        <v>26</v>
      </c>
      <c r="R2089" s="4">
        <v>0</v>
      </c>
      <c r="S2089" s="4" t="s">
        <v>457</v>
      </c>
      <c r="T2089" s="4" t="s">
        <v>727</v>
      </c>
      <c r="U2089" s="4">
        <v>0</v>
      </c>
      <c r="V2089" s="4">
        <v>69</v>
      </c>
      <c r="W2089" s="4">
        <v>113</v>
      </c>
    </row>
    <row r="2090" spans="1:23" ht="11.25" customHeight="1" x14ac:dyDescent="0.25">
      <c r="A2090" s="4" t="s">
        <v>21</v>
      </c>
      <c r="B2090" s="4" t="s">
        <v>49</v>
      </c>
      <c r="C2090" s="4" t="s">
        <v>23</v>
      </c>
      <c r="D2090" s="4" t="s">
        <v>50</v>
      </c>
      <c r="E2090" s="4" t="s">
        <v>51</v>
      </c>
      <c r="F2090" s="4" t="s">
        <v>25</v>
      </c>
      <c r="G2090" s="4" t="s">
        <v>25</v>
      </c>
      <c r="H2090" s="4" t="s">
        <v>25</v>
      </c>
      <c r="I2090" s="5">
        <v>44743</v>
      </c>
      <c r="J2090" s="6">
        <v>0</v>
      </c>
      <c r="K2090" s="6">
        <v>0</v>
      </c>
      <c r="L2090" s="6">
        <v>2837.2240000000002</v>
      </c>
      <c r="M2090" s="6">
        <v>2837.2240000000002</v>
      </c>
      <c r="N2090" s="6">
        <v>2837.2240000000002</v>
      </c>
      <c r="O2090" s="6">
        <v>2837.2240000000002</v>
      </c>
      <c r="P2090" s="6">
        <v>363</v>
      </c>
      <c r="Q2090" s="4" t="s">
        <v>26</v>
      </c>
      <c r="R2090" s="4">
        <v>0</v>
      </c>
      <c r="S2090" s="4" t="s">
        <v>458</v>
      </c>
      <c r="T2090" s="4" t="s">
        <v>728</v>
      </c>
      <c r="U2090" s="4">
        <v>0</v>
      </c>
      <c r="V2090" s="4">
        <v>69</v>
      </c>
      <c r="W2090" s="4">
        <v>113</v>
      </c>
    </row>
    <row r="2091" spans="1:23" ht="11.25" customHeight="1" x14ac:dyDescent="0.25">
      <c r="A2091" s="4" t="s">
        <v>28</v>
      </c>
      <c r="B2091" s="4" t="s">
        <v>49</v>
      </c>
      <c r="C2091" s="4" t="s">
        <v>23</v>
      </c>
      <c r="D2091" s="4" t="s">
        <v>50</v>
      </c>
      <c r="E2091" s="4" t="s">
        <v>51</v>
      </c>
      <c r="F2091" s="4" t="s">
        <v>25</v>
      </c>
      <c r="G2091" s="4" t="s">
        <v>25</v>
      </c>
      <c r="H2091" s="4" t="s">
        <v>25</v>
      </c>
      <c r="I2091" s="5">
        <v>44743</v>
      </c>
      <c r="J2091" s="6">
        <v>0</v>
      </c>
      <c r="K2091" s="6">
        <v>0</v>
      </c>
      <c r="L2091" s="6">
        <v>1081.5360000000001</v>
      </c>
      <c r="M2091" s="6">
        <v>1081.5360000000001</v>
      </c>
      <c r="N2091" s="6">
        <v>1081.5360000000001</v>
      </c>
      <c r="O2091" s="6">
        <v>1081.5360000000001</v>
      </c>
      <c r="P2091" s="6">
        <v>89</v>
      </c>
      <c r="Q2091" s="4" t="s">
        <v>26</v>
      </c>
      <c r="R2091" s="4">
        <v>0</v>
      </c>
      <c r="S2091" s="4" t="s">
        <v>458</v>
      </c>
      <c r="T2091" s="4" t="s">
        <v>728</v>
      </c>
      <c r="U2091" s="4">
        <v>0</v>
      </c>
      <c r="V2091" s="4">
        <v>69</v>
      </c>
      <c r="W2091" s="4">
        <v>113</v>
      </c>
    </row>
    <row r="2092" spans="1:23" ht="11.25" customHeight="1" x14ac:dyDescent="0.25">
      <c r="A2092" s="4" t="s">
        <v>21</v>
      </c>
      <c r="B2092" s="4" t="s">
        <v>49</v>
      </c>
      <c r="C2092" s="4" t="s">
        <v>23</v>
      </c>
      <c r="D2092" s="4" t="s">
        <v>50</v>
      </c>
      <c r="E2092" s="4" t="s">
        <v>51</v>
      </c>
      <c r="F2092" s="4" t="s">
        <v>25</v>
      </c>
      <c r="G2092" s="4" t="s">
        <v>25</v>
      </c>
      <c r="H2092" s="4" t="s">
        <v>25</v>
      </c>
      <c r="I2092" s="5">
        <v>44774</v>
      </c>
      <c r="J2092" s="6">
        <v>0</v>
      </c>
      <c r="K2092" s="6">
        <v>0</v>
      </c>
      <c r="L2092" s="6">
        <v>2991.7440000000001</v>
      </c>
      <c r="M2092" s="6">
        <v>2991.7440000000001</v>
      </c>
      <c r="N2092" s="6">
        <v>2991.7440000000001</v>
      </c>
      <c r="O2092" s="6">
        <v>2991.7440000000001</v>
      </c>
      <c r="P2092" s="6">
        <v>362</v>
      </c>
      <c r="Q2092" s="4" t="s">
        <v>26</v>
      </c>
      <c r="R2092" s="4">
        <v>0</v>
      </c>
      <c r="S2092" s="4" t="s">
        <v>459</v>
      </c>
      <c r="T2092" s="4" t="s">
        <v>729</v>
      </c>
      <c r="U2092" s="4">
        <v>0</v>
      </c>
      <c r="V2092" s="4">
        <v>69</v>
      </c>
      <c r="W2092" s="4">
        <v>113</v>
      </c>
    </row>
    <row r="2093" spans="1:23" ht="11.25" customHeight="1" x14ac:dyDescent="0.25">
      <c r="A2093" s="4" t="s">
        <v>28</v>
      </c>
      <c r="B2093" s="4" t="s">
        <v>49</v>
      </c>
      <c r="C2093" s="4" t="s">
        <v>23</v>
      </c>
      <c r="D2093" s="4" t="s">
        <v>50</v>
      </c>
      <c r="E2093" s="4" t="s">
        <v>51</v>
      </c>
      <c r="F2093" s="4" t="s">
        <v>25</v>
      </c>
      <c r="G2093" s="4" t="s">
        <v>25</v>
      </c>
      <c r="H2093" s="4" t="s">
        <v>25</v>
      </c>
      <c r="I2093" s="5">
        <v>44774</v>
      </c>
      <c r="J2093" s="6">
        <v>0</v>
      </c>
      <c r="K2093" s="6">
        <v>0</v>
      </c>
      <c r="L2093" s="6">
        <v>1078.5619999999999</v>
      </c>
      <c r="M2093" s="6">
        <v>1078.5619999999999</v>
      </c>
      <c r="N2093" s="6">
        <v>1078.5619999999999</v>
      </c>
      <c r="O2093" s="6">
        <v>1078.5619999999999</v>
      </c>
      <c r="P2093" s="6">
        <v>88</v>
      </c>
      <c r="Q2093" s="4" t="s">
        <v>26</v>
      </c>
      <c r="R2093" s="4">
        <v>0</v>
      </c>
      <c r="S2093" s="4" t="s">
        <v>459</v>
      </c>
      <c r="T2093" s="4" t="s">
        <v>729</v>
      </c>
      <c r="U2093" s="4">
        <v>0</v>
      </c>
      <c r="V2093" s="4">
        <v>69</v>
      </c>
      <c r="W2093" s="4">
        <v>113</v>
      </c>
    </row>
    <row r="2094" spans="1:23" ht="11.25" customHeight="1" x14ac:dyDescent="0.25">
      <c r="A2094" s="4" t="s">
        <v>21</v>
      </c>
      <c r="B2094" s="4" t="s">
        <v>49</v>
      </c>
      <c r="C2094" s="4" t="s">
        <v>23</v>
      </c>
      <c r="D2094" s="4" t="s">
        <v>50</v>
      </c>
      <c r="E2094" s="4" t="s">
        <v>51</v>
      </c>
      <c r="F2094" s="4" t="s">
        <v>25</v>
      </c>
      <c r="G2094" s="4" t="s">
        <v>25</v>
      </c>
      <c r="H2094" s="4" t="s">
        <v>25</v>
      </c>
      <c r="I2094" s="5">
        <v>44805</v>
      </c>
      <c r="J2094" s="6">
        <v>0</v>
      </c>
      <c r="K2094" s="6">
        <v>0</v>
      </c>
      <c r="L2094" s="6">
        <v>2756.1149999999998</v>
      </c>
      <c r="M2094" s="6">
        <v>2756.1149999999998</v>
      </c>
      <c r="N2094" s="6">
        <v>2756.1149999999998</v>
      </c>
      <c r="O2094" s="6">
        <v>2756.1149999999998</v>
      </c>
      <c r="P2094" s="6">
        <v>365</v>
      </c>
      <c r="Q2094" s="4" t="s">
        <v>26</v>
      </c>
      <c r="R2094" s="4">
        <v>0</v>
      </c>
      <c r="S2094" s="4" t="s">
        <v>460</v>
      </c>
      <c r="T2094" s="4" t="s">
        <v>730</v>
      </c>
      <c r="U2094" s="4">
        <v>0</v>
      </c>
      <c r="V2094" s="4">
        <v>69</v>
      </c>
      <c r="W2094" s="4">
        <v>113</v>
      </c>
    </row>
    <row r="2095" spans="1:23" ht="11.25" customHeight="1" x14ac:dyDescent="0.25">
      <c r="A2095" s="4" t="s">
        <v>28</v>
      </c>
      <c r="B2095" s="4" t="s">
        <v>49</v>
      </c>
      <c r="C2095" s="4" t="s">
        <v>23</v>
      </c>
      <c r="D2095" s="4" t="s">
        <v>50</v>
      </c>
      <c r="E2095" s="4" t="s">
        <v>51</v>
      </c>
      <c r="F2095" s="4" t="s">
        <v>25</v>
      </c>
      <c r="G2095" s="4" t="s">
        <v>25</v>
      </c>
      <c r="H2095" s="4" t="s">
        <v>25</v>
      </c>
      <c r="I2095" s="5">
        <v>44805</v>
      </c>
      <c r="J2095" s="6">
        <v>0</v>
      </c>
      <c r="K2095" s="6">
        <v>0</v>
      </c>
      <c r="L2095" s="6">
        <v>1398.29</v>
      </c>
      <c r="M2095" s="6">
        <v>1398.29</v>
      </c>
      <c r="N2095" s="6">
        <v>1398.29</v>
      </c>
      <c r="O2095" s="6">
        <v>1398.29</v>
      </c>
      <c r="P2095" s="6">
        <v>92</v>
      </c>
      <c r="Q2095" s="4" t="s">
        <v>26</v>
      </c>
      <c r="R2095" s="4">
        <v>0</v>
      </c>
      <c r="S2095" s="4" t="s">
        <v>460</v>
      </c>
      <c r="T2095" s="4" t="s">
        <v>730</v>
      </c>
      <c r="U2095" s="4">
        <v>0</v>
      </c>
      <c r="V2095" s="4">
        <v>69</v>
      </c>
      <c r="W2095" s="4">
        <v>113</v>
      </c>
    </row>
    <row r="2096" spans="1:23" ht="11.25" customHeight="1" x14ac:dyDescent="0.25">
      <c r="A2096" s="4" t="s">
        <v>29</v>
      </c>
      <c r="B2096" s="4" t="s">
        <v>49</v>
      </c>
      <c r="C2096" s="4" t="s">
        <v>23</v>
      </c>
      <c r="D2096" s="4" t="s">
        <v>50</v>
      </c>
      <c r="E2096" s="4" t="s">
        <v>51</v>
      </c>
      <c r="F2096" s="4" t="s">
        <v>25</v>
      </c>
      <c r="G2096" s="4" t="s">
        <v>25</v>
      </c>
      <c r="H2096" s="4" t="s">
        <v>25</v>
      </c>
      <c r="I2096" s="5">
        <v>44805</v>
      </c>
      <c r="J2096" s="6">
        <v>0</v>
      </c>
      <c r="K2096" s="6">
        <v>0</v>
      </c>
      <c r="L2096" s="6">
        <v>-4.3999999999999997E-2</v>
      </c>
      <c r="M2096" s="6">
        <v>-4.3999999999999997E-2</v>
      </c>
      <c r="N2096" s="6">
        <v>-4.3999999999999997E-2</v>
      </c>
      <c r="O2096" s="6">
        <v>-4.3999999999999997E-2</v>
      </c>
      <c r="P2096" s="6">
        <v>0</v>
      </c>
      <c r="Q2096" s="4" t="s">
        <v>26</v>
      </c>
      <c r="R2096" s="4">
        <v>0</v>
      </c>
      <c r="S2096" s="4" t="s">
        <v>460</v>
      </c>
      <c r="T2096" s="4" t="s">
        <v>730</v>
      </c>
      <c r="U2096" s="4">
        <v>0</v>
      </c>
      <c r="V2096" s="4">
        <v>69</v>
      </c>
      <c r="W2096" s="4">
        <v>113</v>
      </c>
    </row>
    <row r="2097" spans="1:23" ht="11.25" customHeight="1" x14ac:dyDescent="0.25">
      <c r="A2097" s="4" t="s">
        <v>21</v>
      </c>
      <c r="B2097" s="4" t="s">
        <v>49</v>
      </c>
      <c r="C2097" s="4" t="s">
        <v>23</v>
      </c>
      <c r="D2097" s="4" t="s">
        <v>50</v>
      </c>
      <c r="E2097" s="4" t="s">
        <v>51</v>
      </c>
      <c r="F2097" s="4" t="s">
        <v>25</v>
      </c>
      <c r="G2097" s="4" t="s">
        <v>25</v>
      </c>
      <c r="H2097" s="4" t="s">
        <v>25</v>
      </c>
      <c r="I2097" s="5">
        <v>44835</v>
      </c>
      <c r="J2097" s="6">
        <v>0</v>
      </c>
      <c r="K2097" s="6">
        <v>0</v>
      </c>
      <c r="L2097" s="6">
        <v>3114.703</v>
      </c>
      <c r="M2097" s="6">
        <v>3114.703</v>
      </c>
      <c r="N2097" s="6">
        <v>3114.703</v>
      </c>
      <c r="O2097" s="6">
        <v>3114.703</v>
      </c>
      <c r="P2097" s="6">
        <v>365</v>
      </c>
      <c r="Q2097" s="4" t="s">
        <v>26</v>
      </c>
      <c r="R2097" s="4">
        <v>0</v>
      </c>
      <c r="S2097" s="4" t="s">
        <v>461</v>
      </c>
      <c r="T2097" s="4" t="s">
        <v>731</v>
      </c>
      <c r="U2097" s="4">
        <v>0</v>
      </c>
      <c r="V2097" s="4">
        <v>69</v>
      </c>
      <c r="W2097" s="4">
        <v>113</v>
      </c>
    </row>
    <row r="2098" spans="1:23" ht="11.25" customHeight="1" x14ac:dyDescent="0.25">
      <c r="A2098" s="4" t="s">
        <v>27</v>
      </c>
      <c r="B2098" s="4" t="s">
        <v>49</v>
      </c>
      <c r="C2098" s="4" t="s">
        <v>23</v>
      </c>
      <c r="D2098" s="4" t="s">
        <v>50</v>
      </c>
      <c r="E2098" s="4" t="s">
        <v>51</v>
      </c>
      <c r="F2098" s="4" t="s">
        <v>25</v>
      </c>
      <c r="G2098" s="4" t="s">
        <v>25</v>
      </c>
      <c r="H2098" s="4" t="s">
        <v>25</v>
      </c>
      <c r="I2098" s="5">
        <v>44835</v>
      </c>
      <c r="J2098" s="6">
        <v>0</v>
      </c>
      <c r="K2098" s="6">
        <v>0</v>
      </c>
      <c r="L2098" s="6">
        <v>-18.777000000000001</v>
      </c>
      <c r="M2098" s="6">
        <v>-18.777000000000001</v>
      </c>
      <c r="N2098" s="6">
        <v>-18.777000000000001</v>
      </c>
      <c r="O2098" s="6">
        <v>-18.777000000000001</v>
      </c>
      <c r="P2098" s="6">
        <v>-3</v>
      </c>
      <c r="Q2098" s="4" t="s">
        <v>26</v>
      </c>
      <c r="R2098" s="4">
        <v>0</v>
      </c>
      <c r="S2098" s="4" t="s">
        <v>461</v>
      </c>
      <c r="T2098" s="4" t="s">
        <v>731</v>
      </c>
      <c r="U2098" s="4">
        <v>0</v>
      </c>
      <c r="V2098" s="4">
        <v>69</v>
      </c>
      <c r="W2098" s="4">
        <v>113</v>
      </c>
    </row>
    <row r="2099" spans="1:23" ht="11.25" customHeight="1" x14ac:dyDescent="0.25">
      <c r="A2099" s="4" t="s">
        <v>28</v>
      </c>
      <c r="B2099" s="4" t="s">
        <v>49</v>
      </c>
      <c r="C2099" s="4" t="s">
        <v>23</v>
      </c>
      <c r="D2099" s="4" t="s">
        <v>50</v>
      </c>
      <c r="E2099" s="4" t="s">
        <v>51</v>
      </c>
      <c r="F2099" s="4" t="s">
        <v>25</v>
      </c>
      <c r="G2099" s="4" t="s">
        <v>25</v>
      </c>
      <c r="H2099" s="4" t="s">
        <v>25</v>
      </c>
      <c r="I2099" s="5">
        <v>44835</v>
      </c>
      <c r="J2099" s="6">
        <v>0</v>
      </c>
      <c r="K2099" s="6">
        <v>0</v>
      </c>
      <c r="L2099" s="6">
        <v>1076.3969999999999</v>
      </c>
      <c r="M2099" s="6">
        <v>1076.3969999999999</v>
      </c>
      <c r="N2099" s="6">
        <v>1076.3969999999999</v>
      </c>
      <c r="O2099" s="6">
        <v>1076.3969999999999</v>
      </c>
      <c r="P2099" s="6">
        <v>94</v>
      </c>
      <c r="Q2099" s="4" t="s">
        <v>26</v>
      </c>
      <c r="R2099" s="4">
        <v>0</v>
      </c>
      <c r="S2099" s="4" t="s">
        <v>461</v>
      </c>
      <c r="T2099" s="4" t="s">
        <v>731</v>
      </c>
      <c r="U2099" s="4">
        <v>0</v>
      </c>
      <c r="V2099" s="4">
        <v>69</v>
      </c>
      <c r="W2099" s="4">
        <v>113</v>
      </c>
    </row>
    <row r="2100" spans="1:23" ht="11.25" customHeight="1" x14ac:dyDescent="0.25">
      <c r="A2100" s="4" t="s">
        <v>59</v>
      </c>
      <c r="B2100" s="4" t="s">
        <v>49</v>
      </c>
      <c r="C2100" s="4" t="s">
        <v>23</v>
      </c>
      <c r="D2100" s="4" t="s">
        <v>50</v>
      </c>
      <c r="E2100" s="4" t="s">
        <v>51</v>
      </c>
      <c r="F2100" s="4" t="s">
        <v>25</v>
      </c>
      <c r="G2100" s="4" t="s">
        <v>25</v>
      </c>
      <c r="H2100" s="4" t="s">
        <v>25</v>
      </c>
      <c r="I2100" s="5">
        <v>44866</v>
      </c>
      <c r="J2100" s="6">
        <v>0</v>
      </c>
      <c r="K2100" s="6">
        <v>0</v>
      </c>
      <c r="L2100" s="6">
        <v>3114.703</v>
      </c>
      <c r="M2100" s="6">
        <v>3114.703</v>
      </c>
      <c r="N2100" s="6">
        <v>3114.703</v>
      </c>
      <c r="O2100" s="6">
        <v>3114.703</v>
      </c>
      <c r="P2100" s="6">
        <v>365</v>
      </c>
      <c r="Q2100" s="4" t="s">
        <v>26</v>
      </c>
      <c r="R2100" s="4">
        <v>0</v>
      </c>
      <c r="S2100" s="4" t="s">
        <v>462</v>
      </c>
      <c r="T2100" s="4" t="s">
        <v>732</v>
      </c>
      <c r="U2100" s="4">
        <v>0</v>
      </c>
      <c r="V2100" s="4">
        <v>69</v>
      </c>
      <c r="W2100" s="4">
        <v>113</v>
      </c>
    </row>
    <row r="2101" spans="1:23" ht="11.25" customHeight="1" x14ac:dyDescent="0.25">
      <c r="A2101" s="4" t="s">
        <v>59</v>
      </c>
      <c r="B2101" s="4" t="s">
        <v>49</v>
      </c>
      <c r="C2101" s="4" t="s">
        <v>23</v>
      </c>
      <c r="D2101" s="4" t="s">
        <v>50</v>
      </c>
      <c r="E2101" s="4" t="s">
        <v>51</v>
      </c>
      <c r="F2101" s="4" t="s">
        <v>25</v>
      </c>
      <c r="G2101" s="4" t="s">
        <v>25</v>
      </c>
      <c r="H2101" s="4" t="s">
        <v>25</v>
      </c>
      <c r="I2101" s="5">
        <v>44866</v>
      </c>
      <c r="J2101" s="6">
        <v>0</v>
      </c>
      <c r="K2101" s="6">
        <v>0</v>
      </c>
      <c r="L2101" s="6">
        <v>-18.777000000000001</v>
      </c>
      <c r="M2101" s="6">
        <v>-18.777000000000001</v>
      </c>
      <c r="N2101" s="6">
        <v>-18.777000000000001</v>
      </c>
      <c r="O2101" s="6">
        <v>-18.777000000000001</v>
      </c>
      <c r="P2101" s="6">
        <v>-3</v>
      </c>
      <c r="Q2101" s="4" t="s">
        <v>26</v>
      </c>
      <c r="R2101" s="4">
        <v>0</v>
      </c>
      <c r="S2101" s="4" t="s">
        <v>462</v>
      </c>
      <c r="T2101" s="4" t="s">
        <v>732</v>
      </c>
      <c r="U2101" s="4">
        <v>0</v>
      </c>
      <c r="V2101" s="4">
        <v>69</v>
      </c>
      <c r="W2101" s="4">
        <v>113</v>
      </c>
    </row>
    <row r="2102" spans="1:23" ht="11.25" customHeight="1" x14ac:dyDescent="0.25">
      <c r="A2102" s="4" t="s">
        <v>59</v>
      </c>
      <c r="B2102" s="4" t="s">
        <v>49</v>
      </c>
      <c r="C2102" s="4" t="s">
        <v>23</v>
      </c>
      <c r="D2102" s="4" t="s">
        <v>50</v>
      </c>
      <c r="E2102" s="4" t="s">
        <v>51</v>
      </c>
      <c r="F2102" s="4" t="s">
        <v>25</v>
      </c>
      <c r="G2102" s="4" t="s">
        <v>25</v>
      </c>
      <c r="H2102" s="4" t="s">
        <v>25</v>
      </c>
      <c r="I2102" s="5">
        <v>44866</v>
      </c>
      <c r="J2102" s="6">
        <v>0</v>
      </c>
      <c r="K2102" s="6">
        <v>0</v>
      </c>
      <c r="L2102" s="6">
        <v>1076.3969999999999</v>
      </c>
      <c r="M2102" s="6">
        <v>1076.3969999999999</v>
      </c>
      <c r="N2102" s="6">
        <v>1076.3969999999999</v>
      </c>
      <c r="O2102" s="6">
        <v>1076.3969999999999</v>
      </c>
      <c r="P2102" s="6">
        <v>94</v>
      </c>
      <c r="Q2102" s="4" t="s">
        <v>26</v>
      </c>
      <c r="R2102" s="4">
        <v>0</v>
      </c>
      <c r="S2102" s="4" t="s">
        <v>462</v>
      </c>
      <c r="T2102" s="4" t="s">
        <v>732</v>
      </c>
      <c r="U2102" s="4">
        <v>0</v>
      </c>
      <c r="V2102" s="4">
        <v>69</v>
      </c>
      <c r="W2102" s="4">
        <v>113</v>
      </c>
    </row>
  </sheetData>
  <sortState xmlns:xlrd2="http://schemas.microsoft.com/office/spreadsheetml/2017/richdata2" ref="A2:W2102">
    <sortCondition ref="B2:B2102"/>
    <sortCondition ref="C2:C2102"/>
    <sortCondition ref="D2:D2102"/>
    <sortCondition ref="E2:E2102"/>
    <sortCondition ref="F2:F2102"/>
    <sortCondition ref="H2:H2102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C975C-241F-4A6A-8B65-E1A3D25DDF72}">
  <sheetPr codeName="Planilha2"/>
  <dimension ref="A1:H219"/>
  <sheetViews>
    <sheetView showGridLines="0" workbookViewId="0">
      <selection activeCell="H1" sqref="H1"/>
    </sheetView>
  </sheetViews>
  <sheetFormatPr defaultRowHeight="11.25" customHeight="1" x14ac:dyDescent="0.25"/>
  <cols>
    <col min="1" max="1" width="12.140625" style="8" bestFit="1" customWidth="1"/>
    <col min="2" max="2" width="85.7109375" style="8" bestFit="1" customWidth="1"/>
    <col min="3" max="3" width="13.140625" style="8" bestFit="1" customWidth="1"/>
    <col min="4" max="4" width="5.5703125" style="8" bestFit="1" customWidth="1"/>
    <col min="5" max="5" width="8.42578125" style="8" bestFit="1" customWidth="1"/>
    <col min="6" max="6" width="9.140625" style="8"/>
    <col min="7" max="7" width="18.5703125" style="8" bestFit="1" customWidth="1"/>
    <col min="8" max="8" width="2" style="8" bestFit="1" customWidth="1"/>
    <col min="9" max="16384" width="9.140625" style="8"/>
  </cols>
  <sheetData>
    <row r="1" spans="1:8" s="7" customFormat="1" ht="11.25" customHeight="1" x14ac:dyDescent="0.25">
      <c r="A1" s="7" t="s">
        <v>65</v>
      </c>
      <c r="B1" s="7" t="s">
        <v>66</v>
      </c>
      <c r="C1" s="7" t="s">
        <v>67</v>
      </c>
      <c r="D1" s="7" t="s">
        <v>68</v>
      </c>
      <c r="E1" s="7" t="s">
        <v>69</v>
      </c>
      <c r="G1" s="7" t="s">
        <v>70</v>
      </c>
      <c r="H1" s="7">
        <f>COUNTA(A:A)</f>
        <v>219</v>
      </c>
    </row>
    <row r="2" spans="1:8" ht="11.25" customHeight="1" x14ac:dyDescent="0.25">
      <c r="A2" s="8" t="s">
        <v>481</v>
      </c>
      <c r="B2" s="8" t="s">
        <v>482</v>
      </c>
      <c r="C2" s="8" t="s">
        <v>483</v>
      </c>
      <c r="D2" s="8">
        <v>25</v>
      </c>
      <c r="E2" s="8" t="s">
        <v>484</v>
      </c>
    </row>
    <row r="3" spans="1:8" ht="11.25" customHeight="1" x14ac:dyDescent="0.25">
      <c r="A3" s="8" t="s">
        <v>481</v>
      </c>
      <c r="B3" s="8" t="s">
        <v>482</v>
      </c>
      <c r="C3" s="8" t="s">
        <v>483</v>
      </c>
      <c r="D3" s="8">
        <v>26</v>
      </c>
      <c r="E3" s="8" t="s">
        <v>484</v>
      </c>
    </row>
    <row r="4" spans="1:8" ht="11.25" customHeight="1" x14ac:dyDescent="0.25">
      <c r="A4" s="8" t="s">
        <v>481</v>
      </c>
      <c r="B4" s="8" t="s">
        <v>482</v>
      </c>
      <c r="C4" s="8" t="s">
        <v>483</v>
      </c>
      <c r="D4" s="8">
        <v>27</v>
      </c>
      <c r="E4" s="8" t="s">
        <v>484</v>
      </c>
    </row>
    <row r="5" spans="1:8" ht="11.25" customHeight="1" x14ac:dyDescent="0.25">
      <c r="A5" s="8" t="s">
        <v>481</v>
      </c>
      <c r="B5" s="8" t="s">
        <v>482</v>
      </c>
      <c r="C5" s="8" t="s">
        <v>483</v>
      </c>
      <c r="D5" s="8">
        <v>28</v>
      </c>
      <c r="E5" s="8" t="s">
        <v>484</v>
      </c>
    </row>
    <row r="6" spans="1:8" ht="11.25" customHeight="1" x14ac:dyDescent="0.25">
      <c r="A6" s="8" t="s">
        <v>481</v>
      </c>
      <c r="B6" s="8" t="s">
        <v>482</v>
      </c>
      <c r="C6" s="8" t="s">
        <v>483</v>
      </c>
      <c r="D6" s="8">
        <v>29</v>
      </c>
      <c r="E6" s="8" t="s">
        <v>484</v>
      </c>
    </row>
    <row r="7" spans="1:8" ht="11.25" customHeight="1" x14ac:dyDescent="0.25">
      <c r="A7" s="8" t="s">
        <v>481</v>
      </c>
      <c r="B7" s="8" t="s">
        <v>482</v>
      </c>
      <c r="C7" s="8" t="s">
        <v>483</v>
      </c>
      <c r="D7" s="8">
        <v>30</v>
      </c>
      <c r="E7" s="8" t="s">
        <v>484</v>
      </c>
    </row>
    <row r="8" spans="1:8" ht="11.25" customHeight="1" x14ac:dyDescent="0.25">
      <c r="A8" s="8" t="s">
        <v>481</v>
      </c>
      <c r="B8" s="8" t="s">
        <v>482</v>
      </c>
      <c r="C8" s="8" t="s">
        <v>483</v>
      </c>
      <c r="D8" s="8">
        <v>31</v>
      </c>
      <c r="E8" s="8" t="s">
        <v>484</v>
      </c>
    </row>
    <row r="9" spans="1:8" ht="11.25" customHeight="1" x14ac:dyDescent="0.25">
      <c r="A9" s="8" t="s">
        <v>481</v>
      </c>
      <c r="B9" s="8" t="s">
        <v>482</v>
      </c>
      <c r="C9" s="8" t="s">
        <v>483</v>
      </c>
      <c r="D9" s="8">
        <v>32</v>
      </c>
      <c r="E9" s="8" t="s">
        <v>484</v>
      </c>
    </row>
    <row r="10" spans="1:8" ht="11.25" customHeight="1" x14ac:dyDescent="0.25">
      <c r="A10" s="8" t="s">
        <v>481</v>
      </c>
      <c r="B10" s="8" t="s">
        <v>482</v>
      </c>
      <c r="C10" s="8" t="s">
        <v>483</v>
      </c>
      <c r="D10" s="8">
        <v>33</v>
      </c>
      <c r="E10" s="8" t="s">
        <v>484</v>
      </c>
    </row>
    <row r="11" spans="1:8" ht="11.25" customHeight="1" x14ac:dyDescent="0.25">
      <c r="A11" s="8" t="s">
        <v>481</v>
      </c>
      <c r="B11" s="8" t="s">
        <v>482</v>
      </c>
      <c r="C11" s="8" t="s">
        <v>483</v>
      </c>
      <c r="D11" s="8">
        <v>34</v>
      </c>
      <c r="E11" s="8" t="s">
        <v>484</v>
      </c>
    </row>
    <row r="12" spans="1:8" ht="11.25" customHeight="1" x14ac:dyDescent="0.25">
      <c r="A12" s="8" t="s">
        <v>481</v>
      </c>
      <c r="B12" s="8" t="s">
        <v>482</v>
      </c>
      <c r="C12" s="8" t="s">
        <v>483</v>
      </c>
      <c r="D12" s="8">
        <v>35</v>
      </c>
      <c r="E12" s="8" t="s">
        <v>484</v>
      </c>
    </row>
    <row r="13" spans="1:8" ht="11.25" customHeight="1" x14ac:dyDescent="0.25">
      <c r="A13" s="8" t="s">
        <v>481</v>
      </c>
      <c r="B13" s="8" t="s">
        <v>482</v>
      </c>
      <c r="C13" s="8" t="s">
        <v>483</v>
      </c>
      <c r="D13" s="8">
        <v>36</v>
      </c>
      <c r="E13" s="8" t="s">
        <v>484</v>
      </c>
    </row>
    <row r="14" spans="1:8" ht="11.25" customHeight="1" x14ac:dyDescent="0.25">
      <c r="A14" s="8" t="s">
        <v>481</v>
      </c>
      <c r="B14" s="8" t="s">
        <v>482</v>
      </c>
      <c r="C14" s="8" t="s">
        <v>483</v>
      </c>
      <c r="D14" s="8">
        <v>69</v>
      </c>
      <c r="E14" s="8" t="s">
        <v>484</v>
      </c>
    </row>
    <row r="15" spans="1:8" ht="11.25" customHeight="1" x14ac:dyDescent="0.25">
      <c r="A15" s="8" t="s">
        <v>481</v>
      </c>
      <c r="B15" s="8" t="s">
        <v>482</v>
      </c>
      <c r="C15" s="8" t="s">
        <v>483</v>
      </c>
      <c r="D15" s="8">
        <v>70</v>
      </c>
      <c r="E15" s="8" t="s">
        <v>484</v>
      </c>
    </row>
    <row r="16" spans="1:8" ht="11.25" customHeight="1" x14ac:dyDescent="0.25">
      <c r="A16" s="8" t="s">
        <v>481</v>
      </c>
      <c r="B16" s="8" t="s">
        <v>482</v>
      </c>
      <c r="C16" s="8" t="s">
        <v>483</v>
      </c>
      <c r="D16" s="8">
        <v>71</v>
      </c>
      <c r="E16" s="8" t="s">
        <v>484</v>
      </c>
    </row>
    <row r="17" spans="1:5" ht="11.25" customHeight="1" x14ac:dyDescent="0.25">
      <c r="A17" s="8" t="s">
        <v>481</v>
      </c>
      <c r="B17" s="8" t="s">
        <v>482</v>
      </c>
      <c r="C17" s="8" t="s">
        <v>483</v>
      </c>
      <c r="D17" s="8">
        <v>72</v>
      </c>
      <c r="E17" s="8" t="s">
        <v>484</v>
      </c>
    </row>
    <row r="18" spans="1:5" ht="11.25" customHeight="1" x14ac:dyDescent="0.25">
      <c r="A18" s="8" t="s">
        <v>481</v>
      </c>
      <c r="B18" s="8" t="s">
        <v>482</v>
      </c>
      <c r="C18" s="8" t="s">
        <v>483</v>
      </c>
      <c r="D18" s="8">
        <v>73</v>
      </c>
      <c r="E18" s="8" t="s">
        <v>484</v>
      </c>
    </row>
    <row r="19" spans="1:5" ht="11.25" customHeight="1" x14ac:dyDescent="0.25">
      <c r="A19" s="8" t="s">
        <v>481</v>
      </c>
      <c r="B19" s="8" t="s">
        <v>482</v>
      </c>
      <c r="C19" s="8" t="s">
        <v>483</v>
      </c>
      <c r="D19" s="8">
        <v>74</v>
      </c>
      <c r="E19" s="8" t="s">
        <v>484</v>
      </c>
    </row>
    <row r="20" spans="1:5" ht="11.25" customHeight="1" x14ac:dyDescent="0.25">
      <c r="A20" s="8" t="s">
        <v>481</v>
      </c>
      <c r="B20" s="8" t="s">
        <v>482</v>
      </c>
      <c r="C20" s="8" t="s">
        <v>483</v>
      </c>
      <c r="D20" s="8">
        <v>75</v>
      </c>
      <c r="E20" s="8" t="s">
        <v>484</v>
      </c>
    </row>
    <row r="21" spans="1:5" ht="11.25" customHeight="1" x14ac:dyDescent="0.25">
      <c r="A21" s="8" t="s">
        <v>481</v>
      </c>
      <c r="B21" s="8" t="s">
        <v>482</v>
      </c>
      <c r="C21" s="8" t="s">
        <v>483</v>
      </c>
      <c r="D21" s="8">
        <v>76</v>
      </c>
      <c r="E21" s="8" t="s">
        <v>484</v>
      </c>
    </row>
    <row r="22" spans="1:5" ht="11.25" customHeight="1" x14ac:dyDescent="0.25">
      <c r="A22" s="8" t="s">
        <v>481</v>
      </c>
      <c r="B22" s="8" t="s">
        <v>482</v>
      </c>
      <c r="C22" s="8" t="s">
        <v>483</v>
      </c>
      <c r="D22" s="8">
        <v>77</v>
      </c>
      <c r="E22" s="8" t="s">
        <v>484</v>
      </c>
    </row>
    <row r="23" spans="1:5" ht="11.25" customHeight="1" x14ac:dyDescent="0.25">
      <c r="A23" s="8" t="s">
        <v>481</v>
      </c>
      <c r="B23" s="8" t="s">
        <v>482</v>
      </c>
      <c r="C23" s="8" t="s">
        <v>483</v>
      </c>
      <c r="D23" s="8">
        <v>78</v>
      </c>
      <c r="E23" s="8" t="s">
        <v>484</v>
      </c>
    </row>
    <row r="24" spans="1:5" ht="11.25" customHeight="1" x14ac:dyDescent="0.25">
      <c r="A24" s="8" t="s">
        <v>481</v>
      </c>
      <c r="B24" s="8" t="s">
        <v>482</v>
      </c>
      <c r="C24" s="8" t="s">
        <v>483</v>
      </c>
      <c r="D24" s="8">
        <v>79</v>
      </c>
      <c r="E24" s="8" t="s">
        <v>484</v>
      </c>
    </row>
    <row r="25" spans="1:5" ht="11.25" customHeight="1" x14ac:dyDescent="0.25">
      <c r="A25" s="8" t="s">
        <v>481</v>
      </c>
      <c r="B25" s="8" t="s">
        <v>482</v>
      </c>
      <c r="C25" s="8" t="s">
        <v>483</v>
      </c>
      <c r="D25" s="8">
        <v>80</v>
      </c>
      <c r="E25" s="8" t="s">
        <v>484</v>
      </c>
    </row>
    <row r="26" spans="1:5" ht="11.25" customHeight="1" x14ac:dyDescent="0.25">
      <c r="A26" s="8" t="s">
        <v>481</v>
      </c>
      <c r="B26" s="8" t="s">
        <v>482</v>
      </c>
      <c r="C26" s="8" t="s">
        <v>483</v>
      </c>
      <c r="D26" s="8">
        <v>81</v>
      </c>
      <c r="E26" s="8" t="s">
        <v>484</v>
      </c>
    </row>
    <row r="27" spans="1:5" ht="11.25" customHeight="1" x14ac:dyDescent="0.25">
      <c r="A27" s="8" t="s">
        <v>481</v>
      </c>
      <c r="B27" s="8" t="s">
        <v>482</v>
      </c>
      <c r="C27" s="8" t="s">
        <v>483</v>
      </c>
      <c r="D27" s="8">
        <v>82</v>
      </c>
      <c r="E27" s="8" t="s">
        <v>484</v>
      </c>
    </row>
    <row r="28" spans="1:5" ht="11.25" customHeight="1" x14ac:dyDescent="0.25">
      <c r="A28" s="8" t="s">
        <v>481</v>
      </c>
      <c r="B28" s="8" t="s">
        <v>482</v>
      </c>
      <c r="C28" s="8" t="s">
        <v>483</v>
      </c>
      <c r="D28" s="8">
        <v>83</v>
      </c>
      <c r="E28" s="8" t="s">
        <v>484</v>
      </c>
    </row>
    <row r="29" spans="1:5" ht="11.25" customHeight="1" x14ac:dyDescent="0.25">
      <c r="A29" s="8" t="s">
        <v>481</v>
      </c>
      <c r="B29" s="8" t="s">
        <v>482</v>
      </c>
      <c r="C29" s="8" t="s">
        <v>483</v>
      </c>
      <c r="D29" s="8">
        <v>84</v>
      </c>
      <c r="E29" s="8" t="s">
        <v>484</v>
      </c>
    </row>
    <row r="30" spans="1:5" ht="11.25" customHeight="1" x14ac:dyDescent="0.25">
      <c r="A30" s="8" t="s">
        <v>481</v>
      </c>
      <c r="B30" s="8" t="s">
        <v>482</v>
      </c>
      <c r="C30" s="8" t="s">
        <v>483</v>
      </c>
      <c r="D30" s="8">
        <v>85</v>
      </c>
      <c r="E30" s="8" t="s">
        <v>484</v>
      </c>
    </row>
    <row r="31" spans="1:5" ht="11.25" customHeight="1" x14ac:dyDescent="0.25">
      <c r="A31" s="8" t="s">
        <v>481</v>
      </c>
      <c r="B31" s="8" t="s">
        <v>482</v>
      </c>
      <c r="C31" s="8" t="s">
        <v>483</v>
      </c>
      <c r="D31" s="8">
        <v>86</v>
      </c>
      <c r="E31" s="8" t="s">
        <v>484</v>
      </c>
    </row>
    <row r="32" spans="1:5" ht="11.25" customHeight="1" x14ac:dyDescent="0.25">
      <c r="A32" s="8" t="s">
        <v>481</v>
      </c>
      <c r="B32" s="8" t="s">
        <v>482</v>
      </c>
      <c r="C32" s="8" t="s">
        <v>483</v>
      </c>
      <c r="D32" s="8">
        <v>116</v>
      </c>
      <c r="E32" s="8" t="s">
        <v>484</v>
      </c>
    </row>
    <row r="33" spans="1:5" ht="11.25" customHeight="1" x14ac:dyDescent="0.25">
      <c r="A33" s="8" t="s">
        <v>481</v>
      </c>
      <c r="B33" s="8" t="s">
        <v>482</v>
      </c>
      <c r="C33" s="8" t="s">
        <v>483</v>
      </c>
      <c r="D33" s="8">
        <v>117</v>
      </c>
      <c r="E33" s="8" t="s">
        <v>484</v>
      </c>
    </row>
    <row r="34" spans="1:5" ht="11.25" customHeight="1" x14ac:dyDescent="0.25">
      <c r="A34" s="8" t="s">
        <v>481</v>
      </c>
      <c r="B34" s="8" t="s">
        <v>482</v>
      </c>
      <c r="C34" s="8" t="s">
        <v>483</v>
      </c>
      <c r="D34" s="8">
        <v>118</v>
      </c>
      <c r="E34" s="8" t="s">
        <v>484</v>
      </c>
    </row>
    <row r="35" spans="1:5" ht="11.25" customHeight="1" x14ac:dyDescent="0.25">
      <c r="A35" s="8" t="s">
        <v>481</v>
      </c>
      <c r="B35" s="8" t="s">
        <v>482</v>
      </c>
      <c r="C35" s="8" t="s">
        <v>483</v>
      </c>
      <c r="D35" s="8">
        <v>119</v>
      </c>
      <c r="E35" s="8" t="s">
        <v>484</v>
      </c>
    </row>
    <row r="36" spans="1:5" ht="11.25" customHeight="1" x14ac:dyDescent="0.25">
      <c r="A36" s="8" t="s">
        <v>481</v>
      </c>
      <c r="B36" s="8" t="s">
        <v>482</v>
      </c>
      <c r="C36" s="8" t="s">
        <v>483</v>
      </c>
      <c r="D36" s="8">
        <v>120</v>
      </c>
      <c r="E36" s="8" t="s">
        <v>484</v>
      </c>
    </row>
    <row r="37" spans="1:5" ht="11.25" customHeight="1" x14ac:dyDescent="0.25">
      <c r="A37" s="8" t="s">
        <v>481</v>
      </c>
      <c r="B37" s="8" t="s">
        <v>482</v>
      </c>
      <c r="C37" s="8" t="s">
        <v>483</v>
      </c>
      <c r="D37" s="8">
        <v>121</v>
      </c>
      <c r="E37" s="8" t="s">
        <v>484</v>
      </c>
    </row>
    <row r="38" spans="1:5" ht="11.25" customHeight="1" x14ac:dyDescent="0.25">
      <c r="A38" s="8" t="s">
        <v>481</v>
      </c>
      <c r="B38" s="8" t="s">
        <v>482</v>
      </c>
      <c r="C38" s="8" t="s">
        <v>483</v>
      </c>
      <c r="D38" s="8">
        <v>137</v>
      </c>
      <c r="E38" s="8" t="s">
        <v>484</v>
      </c>
    </row>
    <row r="39" spans="1:5" ht="11.25" customHeight="1" x14ac:dyDescent="0.25">
      <c r="A39" s="8" t="s">
        <v>481</v>
      </c>
      <c r="B39" s="8" t="s">
        <v>482</v>
      </c>
      <c r="C39" s="8" t="s">
        <v>483</v>
      </c>
      <c r="D39" s="8">
        <v>138</v>
      </c>
      <c r="E39" s="8" t="s">
        <v>484</v>
      </c>
    </row>
    <row r="40" spans="1:5" ht="11.25" customHeight="1" x14ac:dyDescent="0.25">
      <c r="A40" s="8" t="s">
        <v>481</v>
      </c>
      <c r="B40" s="8" t="s">
        <v>482</v>
      </c>
      <c r="C40" s="8" t="s">
        <v>483</v>
      </c>
      <c r="D40" s="8">
        <v>139</v>
      </c>
      <c r="E40" s="8" t="s">
        <v>484</v>
      </c>
    </row>
    <row r="41" spans="1:5" ht="11.25" customHeight="1" x14ac:dyDescent="0.25">
      <c r="A41" s="8" t="s">
        <v>481</v>
      </c>
      <c r="B41" s="8" t="s">
        <v>482</v>
      </c>
      <c r="C41" s="8" t="s">
        <v>483</v>
      </c>
      <c r="D41" s="8">
        <v>140</v>
      </c>
      <c r="E41" s="8" t="s">
        <v>484</v>
      </c>
    </row>
    <row r="42" spans="1:5" ht="11.25" customHeight="1" x14ac:dyDescent="0.25">
      <c r="A42" s="8" t="s">
        <v>481</v>
      </c>
      <c r="B42" s="8" t="s">
        <v>482</v>
      </c>
      <c r="C42" s="8" t="s">
        <v>483</v>
      </c>
      <c r="D42" s="8">
        <v>141</v>
      </c>
      <c r="E42" s="8" t="s">
        <v>484</v>
      </c>
    </row>
    <row r="43" spans="1:5" ht="11.25" customHeight="1" x14ac:dyDescent="0.25">
      <c r="A43" s="8" t="s">
        <v>481</v>
      </c>
      <c r="B43" s="8" t="s">
        <v>482</v>
      </c>
      <c r="C43" s="8" t="s">
        <v>483</v>
      </c>
      <c r="D43" s="8">
        <v>142</v>
      </c>
      <c r="E43" s="8" t="s">
        <v>484</v>
      </c>
    </row>
    <row r="44" spans="1:5" ht="11.25" customHeight="1" x14ac:dyDescent="0.25">
      <c r="A44" s="8" t="s">
        <v>481</v>
      </c>
      <c r="B44" s="8" t="s">
        <v>482</v>
      </c>
      <c r="C44" s="8" t="s">
        <v>483</v>
      </c>
      <c r="D44" s="8">
        <v>143</v>
      </c>
      <c r="E44" s="8" t="s">
        <v>484</v>
      </c>
    </row>
    <row r="45" spans="1:5" ht="11.25" customHeight="1" x14ac:dyDescent="0.25">
      <c r="A45" s="8" t="s">
        <v>481</v>
      </c>
      <c r="B45" s="8" t="s">
        <v>482</v>
      </c>
      <c r="C45" s="8" t="s">
        <v>483</v>
      </c>
      <c r="D45" s="8">
        <v>144</v>
      </c>
      <c r="E45" s="8" t="s">
        <v>484</v>
      </c>
    </row>
    <row r="46" spans="1:5" ht="11.25" customHeight="1" x14ac:dyDescent="0.25">
      <c r="A46" s="8" t="s">
        <v>481</v>
      </c>
      <c r="B46" s="8" t="s">
        <v>482</v>
      </c>
      <c r="C46" s="8" t="s">
        <v>483</v>
      </c>
      <c r="D46" s="8">
        <v>145</v>
      </c>
      <c r="E46" s="8" t="s">
        <v>484</v>
      </c>
    </row>
    <row r="47" spans="1:5" ht="11.25" customHeight="1" x14ac:dyDescent="0.25">
      <c r="A47" s="8" t="s">
        <v>481</v>
      </c>
      <c r="B47" s="8" t="s">
        <v>482</v>
      </c>
      <c r="C47" s="8" t="s">
        <v>483</v>
      </c>
      <c r="D47" s="8">
        <v>155</v>
      </c>
      <c r="E47" s="8" t="s">
        <v>484</v>
      </c>
    </row>
    <row r="48" spans="1:5" ht="11.25" customHeight="1" x14ac:dyDescent="0.25">
      <c r="A48" s="8" t="s">
        <v>481</v>
      </c>
      <c r="B48" s="8" t="s">
        <v>482</v>
      </c>
      <c r="C48" s="8" t="s">
        <v>483</v>
      </c>
      <c r="D48" s="8">
        <v>156</v>
      </c>
      <c r="E48" s="8" t="s">
        <v>484</v>
      </c>
    </row>
    <row r="49" spans="1:5" ht="11.25" customHeight="1" x14ac:dyDescent="0.25">
      <c r="A49" s="8" t="s">
        <v>481</v>
      </c>
      <c r="B49" s="8" t="s">
        <v>482</v>
      </c>
      <c r="C49" s="8" t="s">
        <v>483</v>
      </c>
      <c r="D49" s="8">
        <v>157</v>
      </c>
      <c r="E49" s="8" t="s">
        <v>484</v>
      </c>
    </row>
    <row r="50" spans="1:5" ht="11.25" customHeight="1" x14ac:dyDescent="0.25">
      <c r="A50" s="8" t="s">
        <v>481</v>
      </c>
      <c r="B50" s="8" t="s">
        <v>482</v>
      </c>
      <c r="C50" s="8" t="s">
        <v>483</v>
      </c>
      <c r="D50" s="8">
        <v>158</v>
      </c>
      <c r="E50" s="8" t="s">
        <v>484</v>
      </c>
    </row>
    <row r="51" spans="1:5" ht="11.25" customHeight="1" x14ac:dyDescent="0.25">
      <c r="A51" s="8" t="s">
        <v>481</v>
      </c>
      <c r="B51" s="8" t="s">
        <v>482</v>
      </c>
      <c r="C51" s="8" t="s">
        <v>483</v>
      </c>
      <c r="D51" s="8">
        <v>159</v>
      </c>
      <c r="E51" s="8" t="s">
        <v>484</v>
      </c>
    </row>
    <row r="52" spans="1:5" ht="11.25" customHeight="1" x14ac:dyDescent="0.25">
      <c r="A52" s="8" t="s">
        <v>481</v>
      </c>
      <c r="B52" s="8" t="s">
        <v>482</v>
      </c>
      <c r="C52" s="8" t="s">
        <v>483</v>
      </c>
      <c r="D52" s="8">
        <v>160</v>
      </c>
      <c r="E52" s="8" t="s">
        <v>484</v>
      </c>
    </row>
    <row r="53" spans="1:5" ht="11.25" customHeight="1" x14ac:dyDescent="0.25">
      <c r="A53" s="8" t="s">
        <v>481</v>
      </c>
      <c r="B53" s="8" t="s">
        <v>482</v>
      </c>
      <c r="C53" s="8" t="s">
        <v>483</v>
      </c>
      <c r="D53" s="8">
        <v>161</v>
      </c>
      <c r="E53" s="8" t="s">
        <v>484</v>
      </c>
    </row>
    <row r="54" spans="1:5" ht="11.25" customHeight="1" x14ac:dyDescent="0.25">
      <c r="A54" s="8" t="s">
        <v>481</v>
      </c>
      <c r="B54" s="8" t="s">
        <v>482</v>
      </c>
      <c r="C54" s="8" t="s">
        <v>483</v>
      </c>
      <c r="D54" s="8">
        <v>162</v>
      </c>
      <c r="E54" s="8" t="s">
        <v>484</v>
      </c>
    </row>
    <row r="55" spans="1:5" ht="11.25" customHeight="1" x14ac:dyDescent="0.25">
      <c r="A55" s="8" t="s">
        <v>481</v>
      </c>
      <c r="B55" s="8" t="s">
        <v>482</v>
      </c>
      <c r="C55" s="8" t="s">
        <v>483</v>
      </c>
      <c r="D55" s="8">
        <v>163</v>
      </c>
      <c r="E55" s="8" t="s">
        <v>484</v>
      </c>
    </row>
    <row r="56" spans="1:5" ht="11.25" customHeight="1" x14ac:dyDescent="0.25">
      <c r="A56" s="8" t="s">
        <v>481</v>
      </c>
      <c r="B56" s="8" t="s">
        <v>482</v>
      </c>
      <c r="C56" s="8" t="s">
        <v>483</v>
      </c>
      <c r="D56" s="8">
        <v>164</v>
      </c>
      <c r="E56" s="8" t="s">
        <v>484</v>
      </c>
    </row>
    <row r="57" spans="1:5" ht="11.25" customHeight="1" x14ac:dyDescent="0.25">
      <c r="A57" s="8" t="s">
        <v>481</v>
      </c>
      <c r="B57" s="8" t="s">
        <v>482</v>
      </c>
      <c r="C57" s="8" t="s">
        <v>483</v>
      </c>
      <c r="D57" s="8">
        <v>165</v>
      </c>
      <c r="E57" s="8" t="s">
        <v>484</v>
      </c>
    </row>
    <row r="58" spans="1:5" ht="11.25" customHeight="1" x14ac:dyDescent="0.25">
      <c r="A58" s="8" t="s">
        <v>481</v>
      </c>
      <c r="B58" s="8" t="s">
        <v>482</v>
      </c>
      <c r="C58" s="8" t="s">
        <v>483</v>
      </c>
      <c r="D58" s="8">
        <v>166</v>
      </c>
      <c r="E58" s="8" t="s">
        <v>484</v>
      </c>
    </row>
    <row r="59" spans="1:5" ht="11.25" customHeight="1" x14ac:dyDescent="0.25">
      <c r="A59" s="8" t="s">
        <v>481</v>
      </c>
      <c r="B59" s="8" t="s">
        <v>528</v>
      </c>
      <c r="C59" s="8" t="s">
        <v>483</v>
      </c>
      <c r="D59" s="8">
        <v>506</v>
      </c>
      <c r="E59" s="8" t="s">
        <v>484</v>
      </c>
    </row>
    <row r="60" spans="1:5" ht="11.25" customHeight="1" x14ac:dyDescent="0.25">
      <c r="A60" s="8" t="s">
        <v>481</v>
      </c>
      <c r="B60" s="8" t="s">
        <v>528</v>
      </c>
      <c r="C60" s="8" t="s">
        <v>483</v>
      </c>
      <c r="D60" s="8">
        <v>507</v>
      </c>
      <c r="E60" s="8" t="s">
        <v>484</v>
      </c>
    </row>
    <row r="61" spans="1:5" ht="11.25" customHeight="1" x14ac:dyDescent="0.25">
      <c r="A61" s="8" t="s">
        <v>481</v>
      </c>
      <c r="B61" s="8" t="s">
        <v>528</v>
      </c>
      <c r="C61" s="8" t="s">
        <v>483</v>
      </c>
      <c r="D61" s="8">
        <v>508</v>
      </c>
      <c r="E61" s="8" t="s">
        <v>484</v>
      </c>
    </row>
    <row r="62" spans="1:5" ht="11.25" customHeight="1" x14ac:dyDescent="0.25">
      <c r="A62" s="8" t="s">
        <v>481</v>
      </c>
      <c r="B62" s="8" t="s">
        <v>528</v>
      </c>
      <c r="C62" s="8" t="s">
        <v>483</v>
      </c>
      <c r="D62" s="8">
        <v>509</v>
      </c>
      <c r="E62" s="8" t="s">
        <v>484</v>
      </c>
    </row>
    <row r="63" spans="1:5" ht="11.25" customHeight="1" x14ac:dyDescent="0.25">
      <c r="A63" s="8" t="s">
        <v>481</v>
      </c>
      <c r="B63" s="8" t="s">
        <v>528</v>
      </c>
      <c r="C63" s="8" t="s">
        <v>483</v>
      </c>
      <c r="D63" s="8">
        <v>510</v>
      </c>
      <c r="E63" s="8" t="s">
        <v>484</v>
      </c>
    </row>
    <row r="64" spans="1:5" ht="11.25" customHeight="1" x14ac:dyDescent="0.25">
      <c r="A64" s="8" t="s">
        <v>481</v>
      </c>
      <c r="B64" s="8" t="s">
        <v>528</v>
      </c>
      <c r="C64" s="8" t="s">
        <v>483</v>
      </c>
      <c r="D64" s="8">
        <v>511</v>
      </c>
      <c r="E64" s="8" t="s">
        <v>484</v>
      </c>
    </row>
    <row r="65" spans="1:5" ht="11.25" customHeight="1" x14ac:dyDescent="0.25">
      <c r="A65" s="8" t="s">
        <v>481</v>
      </c>
      <c r="B65" s="8" t="s">
        <v>528</v>
      </c>
      <c r="C65" s="8" t="s">
        <v>483</v>
      </c>
      <c r="D65" s="8">
        <v>512</v>
      </c>
      <c r="E65" s="8" t="s">
        <v>484</v>
      </c>
    </row>
    <row r="66" spans="1:5" ht="11.25" customHeight="1" x14ac:dyDescent="0.25">
      <c r="A66" s="8" t="s">
        <v>481</v>
      </c>
      <c r="B66" s="8" t="s">
        <v>528</v>
      </c>
      <c r="C66" s="8" t="s">
        <v>483</v>
      </c>
      <c r="D66" s="8">
        <v>513</v>
      </c>
      <c r="E66" s="8" t="s">
        <v>484</v>
      </c>
    </row>
    <row r="67" spans="1:5" ht="11.25" customHeight="1" x14ac:dyDescent="0.25">
      <c r="A67" s="8" t="s">
        <v>481</v>
      </c>
      <c r="B67" s="8" t="s">
        <v>528</v>
      </c>
      <c r="C67" s="8" t="s">
        <v>483</v>
      </c>
      <c r="D67" s="8">
        <v>514</v>
      </c>
      <c r="E67" s="8" t="s">
        <v>484</v>
      </c>
    </row>
    <row r="68" spans="1:5" ht="11.25" customHeight="1" x14ac:dyDescent="0.25">
      <c r="A68" s="8" t="s">
        <v>481</v>
      </c>
      <c r="B68" s="8" t="s">
        <v>528</v>
      </c>
      <c r="C68" s="8" t="s">
        <v>483</v>
      </c>
      <c r="D68" s="8">
        <v>515</v>
      </c>
      <c r="E68" s="8" t="s">
        <v>484</v>
      </c>
    </row>
    <row r="69" spans="1:5" ht="11.25" customHeight="1" x14ac:dyDescent="0.25">
      <c r="A69" s="8" t="s">
        <v>481</v>
      </c>
      <c r="B69" s="8" t="s">
        <v>528</v>
      </c>
      <c r="C69" s="8" t="s">
        <v>483</v>
      </c>
      <c r="D69" s="8">
        <v>516</v>
      </c>
      <c r="E69" s="8" t="s">
        <v>484</v>
      </c>
    </row>
    <row r="70" spans="1:5" ht="11.25" customHeight="1" x14ac:dyDescent="0.25">
      <c r="A70" s="8" t="s">
        <v>481</v>
      </c>
      <c r="B70" s="8" t="s">
        <v>528</v>
      </c>
      <c r="C70" s="8" t="s">
        <v>483</v>
      </c>
      <c r="D70" s="8">
        <v>517</v>
      </c>
      <c r="E70" s="8" t="s">
        <v>484</v>
      </c>
    </row>
    <row r="71" spans="1:5" ht="11.25" customHeight="1" x14ac:dyDescent="0.25">
      <c r="A71" s="8" t="s">
        <v>481</v>
      </c>
      <c r="B71" s="8" t="s">
        <v>528</v>
      </c>
      <c r="C71" s="8" t="s">
        <v>483</v>
      </c>
      <c r="D71" s="8">
        <v>518</v>
      </c>
      <c r="E71" s="8" t="s">
        <v>484</v>
      </c>
    </row>
    <row r="72" spans="1:5" ht="11.25" customHeight="1" x14ac:dyDescent="0.25">
      <c r="A72" s="8" t="s">
        <v>481</v>
      </c>
      <c r="B72" s="8" t="s">
        <v>528</v>
      </c>
      <c r="C72" s="8" t="s">
        <v>483</v>
      </c>
      <c r="D72" s="8">
        <v>519</v>
      </c>
      <c r="E72" s="8" t="s">
        <v>484</v>
      </c>
    </row>
    <row r="73" spans="1:5" ht="11.25" customHeight="1" x14ac:dyDescent="0.25">
      <c r="A73" s="8" t="s">
        <v>481</v>
      </c>
      <c r="B73" s="8" t="s">
        <v>528</v>
      </c>
      <c r="C73" s="8" t="s">
        <v>483</v>
      </c>
      <c r="D73" s="8">
        <v>520</v>
      </c>
      <c r="E73" s="8" t="s">
        <v>484</v>
      </c>
    </row>
    <row r="74" spans="1:5" ht="11.25" customHeight="1" x14ac:dyDescent="0.25">
      <c r="A74" s="8" t="s">
        <v>481</v>
      </c>
      <c r="B74" s="8" t="s">
        <v>528</v>
      </c>
      <c r="C74" s="8" t="s">
        <v>483</v>
      </c>
      <c r="D74" s="8">
        <v>521</v>
      </c>
      <c r="E74" s="8" t="s">
        <v>484</v>
      </c>
    </row>
    <row r="75" spans="1:5" ht="11.25" customHeight="1" x14ac:dyDescent="0.25">
      <c r="A75" s="8" t="s">
        <v>481</v>
      </c>
      <c r="B75" s="8" t="s">
        <v>528</v>
      </c>
      <c r="C75" s="8" t="s">
        <v>483</v>
      </c>
      <c r="D75" s="8">
        <v>522</v>
      </c>
      <c r="E75" s="8" t="s">
        <v>484</v>
      </c>
    </row>
    <row r="76" spans="1:5" ht="11.25" customHeight="1" x14ac:dyDescent="0.25">
      <c r="A76" s="8" t="s">
        <v>481</v>
      </c>
      <c r="B76" s="8" t="s">
        <v>528</v>
      </c>
      <c r="C76" s="8" t="s">
        <v>483</v>
      </c>
      <c r="D76" s="8">
        <v>523</v>
      </c>
      <c r="E76" s="8" t="s">
        <v>484</v>
      </c>
    </row>
    <row r="77" spans="1:5" ht="11.25" customHeight="1" x14ac:dyDescent="0.25">
      <c r="A77" s="8" t="s">
        <v>481</v>
      </c>
      <c r="B77" s="8" t="s">
        <v>528</v>
      </c>
      <c r="C77" s="8" t="s">
        <v>483</v>
      </c>
      <c r="D77" s="8">
        <v>524</v>
      </c>
      <c r="E77" s="8" t="s">
        <v>484</v>
      </c>
    </row>
    <row r="78" spans="1:5" ht="11.25" customHeight="1" x14ac:dyDescent="0.25">
      <c r="A78" s="8" t="s">
        <v>481</v>
      </c>
      <c r="B78" s="8" t="s">
        <v>528</v>
      </c>
      <c r="C78" s="8" t="s">
        <v>483</v>
      </c>
      <c r="D78" s="8">
        <v>525</v>
      </c>
      <c r="E78" s="8" t="s">
        <v>484</v>
      </c>
    </row>
    <row r="79" spans="1:5" ht="11.25" customHeight="1" x14ac:dyDescent="0.25">
      <c r="A79" s="8" t="s">
        <v>481</v>
      </c>
      <c r="B79" s="8" t="s">
        <v>528</v>
      </c>
      <c r="C79" s="8" t="s">
        <v>483</v>
      </c>
      <c r="D79" s="8">
        <v>526</v>
      </c>
      <c r="E79" s="8" t="s">
        <v>484</v>
      </c>
    </row>
    <row r="80" spans="1:5" ht="11.25" customHeight="1" x14ac:dyDescent="0.25">
      <c r="A80" s="8" t="s">
        <v>481</v>
      </c>
      <c r="B80" s="8" t="s">
        <v>528</v>
      </c>
      <c r="C80" s="8" t="s">
        <v>483</v>
      </c>
      <c r="D80" s="8">
        <v>527</v>
      </c>
      <c r="E80" s="8" t="s">
        <v>484</v>
      </c>
    </row>
    <row r="81" spans="1:5" ht="11.25" customHeight="1" x14ac:dyDescent="0.25">
      <c r="A81" s="8" t="s">
        <v>481</v>
      </c>
      <c r="B81" s="8" t="s">
        <v>528</v>
      </c>
      <c r="C81" s="8" t="s">
        <v>483</v>
      </c>
      <c r="D81" s="8">
        <v>528</v>
      </c>
      <c r="E81" s="8" t="s">
        <v>484</v>
      </c>
    </row>
    <row r="82" spans="1:5" ht="11.25" customHeight="1" x14ac:dyDescent="0.25">
      <c r="A82" s="8" t="s">
        <v>481</v>
      </c>
      <c r="B82" s="8" t="s">
        <v>528</v>
      </c>
      <c r="C82" s="8" t="s">
        <v>483</v>
      </c>
      <c r="D82" s="8">
        <v>529</v>
      </c>
      <c r="E82" s="8" t="s">
        <v>484</v>
      </c>
    </row>
    <row r="83" spans="1:5" ht="11.25" customHeight="1" x14ac:dyDescent="0.25">
      <c r="A83" s="8" t="s">
        <v>481</v>
      </c>
      <c r="B83" s="8" t="s">
        <v>528</v>
      </c>
      <c r="C83" s="8" t="s">
        <v>483</v>
      </c>
      <c r="D83" s="8">
        <v>530</v>
      </c>
      <c r="E83" s="8" t="s">
        <v>484</v>
      </c>
    </row>
    <row r="84" spans="1:5" ht="11.25" customHeight="1" x14ac:dyDescent="0.25">
      <c r="A84" s="8" t="s">
        <v>481</v>
      </c>
      <c r="B84" s="8" t="s">
        <v>528</v>
      </c>
      <c r="C84" s="8" t="s">
        <v>483</v>
      </c>
      <c r="D84" s="8">
        <v>531</v>
      </c>
      <c r="E84" s="8" t="s">
        <v>484</v>
      </c>
    </row>
    <row r="85" spans="1:5" ht="11.25" customHeight="1" x14ac:dyDescent="0.25">
      <c r="A85" s="8" t="s">
        <v>481</v>
      </c>
      <c r="B85" s="8" t="s">
        <v>528</v>
      </c>
      <c r="C85" s="8" t="s">
        <v>483</v>
      </c>
      <c r="D85" s="8">
        <v>532</v>
      </c>
      <c r="E85" s="8" t="s">
        <v>484</v>
      </c>
    </row>
    <row r="86" spans="1:5" ht="11.25" customHeight="1" x14ac:dyDescent="0.25">
      <c r="A86" s="8" t="s">
        <v>481</v>
      </c>
      <c r="B86" s="8" t="s">
        <v>528</v>
      </c>
      <c r="C86" s="8" t="s">
        <v>483</v>
      </c>
      <c r="D86" s="8">
        <v>533</v>
      </c>
      <c r="E86" s="8" t="s">
        <v>484</v>
      </c>
    </row>
    <row r="87" spans="1:5" ht="11.25" customHeight="1" x14ac:dyDescent="0.25">
      <c r="A87" s="8" t="s">
        <v>481</v>
      </c>
      <c r="B87" s="8" t="s">
        <v>528</v>
      </c>
      <c r="C87" s="8" t="s">
        <v>483</v>
      </c>
      <c r="D87" s="8">
        <v>534</v>
      </c>
      <c r="E87" s="8" t="s">
        <v>484</v>
      </c>
    </row>
    <row r="88" spans="1:5" ht="11.25" customHeight="1" x14ac:dyDescent="0.25">
      <c r="A88" s="8" t="s">
        <v>481</v>
      </c>
      <c r="B88" s="8" t="s">
        <v>528</v>
      </c>
      <c r="C88" s="8" t="s">
        <v>483</v>
      </c>
      <c r="D88" s="8">
        <v>535</v>
      </c>
      <c r="E88" s="8" t="s">
        <v>484</v>
      </c>
    </row>
    <row r="89" spans="1:5" ht="11.25" customHeight="1" x14ac:dyDescent="0.25">
      <c r="A89" s="8" t="s">
        <v>481</v>
      </c>
      <c r="B89" s="8" t="s">
        <v>528</v>
      </c>
      <c r="C89" s="8" t="s">
        <v>483</v>
      </c>
      <c r="D89" s="8">
        <v>536</v>
      </c>
      <c r="E89" s="8" t="s">
        <v>484</v>
      </c>
    </row>
    <row r="90" spans="1:5" ht="11.25" customHeight="1" x14ac:dyDescent="0.25">
      <c r="A90" s="8" t="s">
        <v>481</v>
      </c>
      <c r="B90" s="8" t="s">
        <v>528</v>
      </c>
      <c r="C90" s="8" t="s">
        <v>483</v>
      </c>
      <c r="D90" s="8">
        <v>537</v>
      </c>
      <c r="E90" s="8" t="s">
        <v>484</v>
      </c>
    </row>
    <row r="91" spans="1:5" ht="11.25" customHeight="1" x14ac:dyDescent="0.25">
      <c r="A91" s="8" t="s">
        <v>481</v>
      </c>
      <c r="B91" s="8" t="s">
        <v>528</v>
      </c>
      <c r="C91" s="8" t="s">
        <v>483</v>
      </c>
      <c r="D91" s="8">
        <v>538</v>
      </c>
      <c r="E91" s="8" t="s">
        <v>484</v>
      </c>
    </row>
    <row r="92" spans="1:5" ht="11.25" customHeight="1" x14ac:dyDescent="0.25">
      <c r="A92" s="8" t="s">
        <v>481</v>
      </c>
      <c r="B92" s="8" t="s">
        <v>528</v>
      </c>
      <c r="C92" s="8" t="s">
        <v>483</v>
      </c>
      <c r="D92" s="8">
        <v>539</v>
      </c>
      <c r="E92" s="8" t="s">
        <v>484</v>
      </c>
    </row>
    <row r="93" spans="1:5" ht="11.25" customHeight="1" x14ac:dyDescent="0.25">
      <c r="A93" s="8" t="s">
        <v>481</v>
      </c>
      <c r="B93" s="8" t="s">
        <v>528</v>
      </c>
      <c r="C93" s="8" t="s">
        <v>483</v>
      </c>
      <c r="D93" s="8">
        <v>540</v>
      </c>
      <c r="E93" s="8" t="s">
        <v>484</v>
      </c>
    </row>
    <row r="94" spans="1:5" ht="11.25" customHeight="1" x14ac:dyDescent="0.25">
      <c r="A94" s="8" t="s">
        <v>481</v>
      </c>
      <c r="B94" s="8" t="s">
        <v>528</v>
      </c>
      <c r="C94" s="8" t="s">
        <v>483</v>
      </c>
      <c r="D94" s="8">
        <v>541</v>
      </c>
      <c r="E94" s="8" t="s">
        <v>484</v>
      </c>
    </row>
    <row r="95" spans="1:5" ht="11.25" customHeight="1" x14ac:dyDescent="0.25">
      <c r="A95" s="8" t="s">
        <v>481</v>
      </c>
      <c r="B95" s="8" t="s">
        <v>528</v>
      </c>
      <c r="C95" s="8" t="s">
        <v>483</v>
      </c>
      <c r="D95" s="8">
        <v>542</v>
      </c>
      <c r="E95" s="8" t="s">
        <v>484</v>
      </c>
    </row>
    <row r="96" spans="1:5" ht="11.25" customHeight="1" x14ac:dyDescent="0.25">
      <c r="A96" s="8" t="s">
        <v>481</v>
      </c>
      <c r="B96" s="8" t="s">
        <v>528</v>
      </c>
      <c r="C96" s="8" t="s">
        <v>483</v>
      </c>
      <c r="D96" s="8">
        <v>543</v>
      </c>
      <c r="E96" s="8" t="s">
        <v>484</v>
      </c>
    </row>
    <row r="97" spans="1:5" ht="11.25" customHeight="1" x14ac:dyDescent="0.25">
      <c r="A97" s="8" t="s">
        <v>481</v>
      </c>
      <c r="B97" s="8" t="s">
        <v>528</v>
      </c>
      <c r="C97" s="8" t="s">
        <v>483</v>
      </c>
      <c r="D97" s="8">
        <v>598</v>
      </c>
      <c r="E97" s="8" t="s">
        <v>484</v>
      </c>
    </row>
    <row r="98" spans="1:5" ht="11.25" customHeight="1" x14ac:dyDescent="0.25">
      <c r="A98" s="8" t="s">
        <v>481</v>
      </c>
      <c r="B98" s="8" t="s">
        <v>528</v>
      </c>
      <c r="C98" s="8" t="s">
        <v>483</v>
      </c>
      <c r="D98" s="8">
        <v>599</v>
      </c>
      <c r="E98" s="8" t="s">
        <v>484</v>
      </c>
    </row>
    <row r="99" spans="1:5" ht="11.25" customHeight="1" x14ac:dyDescent="0.25">
      <c r="A99" s="8" t="s">
        <v>481</v>
      </c>
      <c r="B99" s="8" t="s">
        <v>528</v>
      </c>
      <c r="C99" s="8" t="s">
        <v>483</v>
      </c>
      <c r="D99" s="8">
        <v>600</v>
      </c>
      <c r="E99" s="8" t="s">
        <v>484</v>
      </c>
    </row>
    <row r="100" spans="1:5" ht="11.25" customHeight="1" x14ac:dyDescent="0.25">
      <c r="A100" s="8" t="s">
        <v>481</v>
      </c>
      <c r="B100" s="8" t="s">
        <v>528</v>
      </c>
      <c r="C100" s="8" t="s">
        <v>483</v>
      </c>
      <c r="D100" s="8">
        <v>601</v>
      </c>
      <c r="E100" s="8" t="s">
        <v>484</v>
      </c>
    </row>
    <row r="101" spans="1:5" ht="11.25" customHeight="1" x14ac:dyDescent="0.25">
      <c r="A101" s="8" t="s">
        <v>481</v>
      </c>
      <c r="B101" s="8" t="s">
        <v>528</v>
      </c>
      <c r="C101" s="8" t="s">
        <v>483</v>
      </c>
      <c r="D101" s="8">
        <v>602</v>
      </c>
      <c r="E101" s="8" t="s">
        <v>484</v>
      </c>
    </row>
    <row r="102" spans="1:5" ht="11.25" customHeight="1" x14ac:dyDescent="0.25">
      <c r="A102" s="8" t="s">
        <v>481</v>
      </c>
      <c r="B102" s="8" t="s">
        <v>528</v>
      </c>
      <c r="C102" s="8" t="s">
        <v>483</v>
      </c>
      <c r="D102" s="8">
        <v>603</v>
      </c>
      <c r="E102" s="8" t="s">
        <v>484</v>
      </c>
    </row>
    <row r="103" spans="1:5" ht="11.25" customHeight="1" x14ac:dyDescent="0.25">
      <c r="A103" s="8" t="s">
        <v>481</v>
      </c>
      <c r="B103" s="8" t="s">
        <v>528</v>
      </c>
      <c r="C103" s="8" t="s">
        <v>483</v>
      </c>
      <c r="D103" s="8">
        <v>604</v>
      </c>
      <c r="E103" s="8" t="s">
        <v>484</v>
      </c>
    </row>
    <row r="104" spans="1:5" ht="11.25" customHeight="1" x14ac:dyDescent="0.25">
      <c r="A104" s="8" t="s">
        <v>481</v>
      </c>
      <c r="B104" s="8" t="s">
        <v>528</v>
      </c>
      <c r="C104" s="8" t="s">
        <v>483</v>
      </c>
      <c r="D104" s="8">
        <v>605</v>
      </c>
      <c r="E104" s="8" t="s">
        <v>484</v>
      </c>
    </row>
    <row r="105" spans="1:5" ht="11.25" customHeight="1" x14ac:dyDescent="0.25">
      <c r="A105" s="8" t="s">
        <v>481</v>
      </c>
      <c r="B105" s="8" t="s">
        <v>528</v>
      </c>
      <c r="C105" s="8" t="s">
        <v>483</v>
      </c>
      <c r="D105" s="8">
        <v>606</v>
      </c>
      <c r="E105" s="8" t="s">
        <v>484</v>
      </c>
    </row>
    <row r="106" spans="1:5" ht="11.25" customHeight="1" x14ac:dyDescent="0.25">
      <c r="A106" s="8" t="s">
        <v>481</v>
      </c>
      <c r="B106" s="8" t="s">
        <v>528</v>
      </c>
      <c r="C106" s="8" t="s">
        <v>483</v>
      </c>
      <c r="D106" s="8">
        <v>607</v>
      </c>
      <c r="E106" s="8" t="s">
        <v>484</v>
      </c>
    </row>
    <row r="107" spans="1:5" ht="11.25" customHeight="1" x14ac:dyDescent="0.25">
      <c r="A107" s="8" t="s">
        <v>481</v>
      </c>
      <c r="B107" s="8" t="s">
        <v>528</v>
      </c>
      <c r="C107" s="8" t="s">
        <v>483</v>
      </c>
      <c r="D107" s="8">
        <v>608</v>
      </c>
      <c r="E107" s="8" t="s">
        <v>484</v>
      </c>
    </row>
    <row r="108" spans="1:5" ht="11.25" customHeight="1" x14ac:dyDescent="0.25">
      <c r="A108" s="8" t="s">
        <v>481</v>
      </c>
      <c r="B108" s="8" t="s">
        <v>528</v>
      </c>
      <c r="C108" s="8" t="s">
        <v>483</v>
      </c>
      <c r="D108" s="8">
        <v>609</v>
      </c>
      <c r="E108" s="8" t="s">
        <v>484</v>
      </c>
    </row>
    <row r="109" spans="1:5" ht="11.25" customHeight="1" x14ac:dyDescent="0.25">
      <c r="A109" s="8" t="s">
        <v>481</v>
      </c>
      <c r="B109" s="8" t="s">
        <v>528</v>
      </c>
      <c r="C109" s="8" t="s">
        <v>483</v>
      </c>
      <c r="D109" s="8">
        <v>701</v>
      </c>
      <c r="E109" s="8" t="s">
        <v>484</v>
      </c>
    </row>
    <row r="110" spans="1:5" ht="11.25" customHeight="1" x14ac:dyDescent="0.25">
      <c r="A110" s="8" t="s">
        <v>481</v>
      </c>
      <c r="B110" s="8" t="s">
        <v>528</v>
      </c>
      <c r="C110" s="8" t="s">
        <v>483</v>
      </c>
      <c r="D110" s="8">
        <v>702</v>
      </c>
      <c r="E110" s="8" t="s">
        <v>484</v>
      </c>
    </row>
    <row r="111" spans="1:5" ht="11.25" customHeight="1" x14ac:dyDescent="0.25">
      <c r="A111" s="8" t="s">
        <v>481</v>
      </c>
      <c r="B111" s="8" t="s">
        <v>528</v>
      </c>
      <c r="C111" s="8" t="s">
        <v>483</v>
      </c>
      <c r="D111" s="8">
        <v>703</v>
      </c>
      <c r="E111" s="8" t="s">
        <v>484</v>
      </c>
    </row>
    <row r="112" spans="1:5" ht="11.25" customHeight="1" x14ac:dyDescent="0.25">
      <c r="A112" s="8" t="s">
        <v>481</v>
      </c>
      <c r="B112" s="8" t="s">
        <v>528</v>
      </c>
      <c r="C112" s="8" t="s">
        <v>483</v>
      </c>
      <c r="D112" s="8">
        <v>704</v>
      </c>
      <c r="E112" s="8" t="s">
        <v>484</v>
      </c>
    </row>
    <row r="113" spans="1:5" ht="11.25" customHeight="1" x14ac:dyDescent="0.25">
      <c r="A113" s="8" t="s">
        <v>481</v>
      </c>
      <c r="B113" s="8" t="s">
        <v>528</v>
      </c>
      <c r="C113" s="8" t="s">
        <v>483</v>
      </c>
      <c r="D113" s="8">
        <v>705</v>
      </c>
      <c r="E113" s="8" t="s">
        <v>484</v>
      </c>
    </row>
    <row r="114" spans="1:5" ht="11.25" customHeight="1" x14ac:dyDescent="0.25">
      <c r="A114" s="8" t="s">
        <v>481</v>
      </c>
      <c r="B114" s="8" t="s">
        <v>528</v>
      </c>
      <c r="C114" s="8" t="s">
        <v>483</v>
      </c>
      <c r="D114" s="8">
        <v>706</v>
      </c>
      <c r="E114" s="8" t="s">
        <v>484</v>
      </c>
    </row>
    <row r="115" spans="1:5" ht="11.25" customHeight="1" x14ac:dyDescent="0.25">
      <c r="A115" s="8" t="s">
        <v>481</v>
      </c>
      <c r="B115" s="8" t="s">
        <v>528</v>
      </c>
      <c r="C115" s="8" t="s">
        <v>483</v>
      </c>
      <c r="D115" s="8">
        <v>707</v>
      </c>
      <c r="E115" s="8" t="s">
        <v>484</v>
      </c>
    </row>
    <row r="116" spans="1:5" ht="11.25" customHeight="1" x14ac:dyDescent="0.25">
      <c r="A116" s="8" t="s">
        <v>481</v>
      </c>
      <c r="B116" s="8" t="s">
        <v>528</v>
      </c>
      <c r="C116" s="8" t="s">
        <v>483</v>
      </c>
      <c r="D116" s="8">
        <v>708</v>
      </c>
      <c r="E116" s="8" t="s">
        <v>484</v>
      </c>
    </row>
    <row r="117" spans="1:5" ht="11.25" customHeight="1" x14ac:dyDescent="0.25">
      <c r="A117" s="8" t="s">
        <v>481</v>
      </c>
      <c r="B117" s="8" t="s">
        <v>528</v>
      </c>
      <c r="C117" s="8" t="s">
        <v>483</v>
      </c>
      <c r="D117" s="8">
        <v>709</v>
      </c>
      <c r="E117" s="8" t="s">
        <v>484</v>
      </c>
    </row>
    <row r="118" spans="1:5" ht="11.25" customHeight="1" x14ac:dyDescent="0.25">
      <c r="A118" s="8" t="s">
        <v>481</v>
      </c>
      <c r="B118" s="8" t="s">
        <v>528</v>
      </c>
      <c r="C118" s="8" t="s">
        <v>483</v>
      </c>
      <c r="D118" s="8">
        <v>710</v>
      </c>
      <c r="E118" s="8" t="s">
        <v>484</v>
      </c>
    </row>
    <row r="119" spans="1:5" ht="11.25" customHeight="1" x14ac:dyDescent="0.25">
      <c r="A119" s="8" t="s">
        <v>481</v>
      </c>
      <c r="B119" s="8" t="s">
        <v>528</v>
      </c>
      <c r="C119" s="8" t="s">
        <v>483</v>
      </c>
      <c r="D119" s="8">
        <v>711</v>
      </c>
      <c r="E119" s="8" t="s">
        <v>484</v>
      </c>
    </row>
    <row r="120" spans="1:5" ht="11.25" customHeight="1" x14ac:dyDescent="0.25">
      <c r="A120" s="8" t="s">
        <v>481</v>
      </c>
      <c r="B120" s="8" t="s">
        <v>528</v>
      </c>
      <c r="C120" s="8" t="s">
        <v>483</v>
      </c>
      <c r="D120" s="8">
        <v>712</v>
      </c>
      <c r="E120" s="8" t="s">
        <v>484</v>
      </c>
    </row>
    <row r="121" spans="1:5" ht="11.25" customHeight="1" x14ac:dyDescent="0.25">
      <c r="A121" s="8" t="s">
        <v>481</v>
      </c>
      <c r="B121" s="8" t="s">
        <v>528</v>
      </c>
      <c r="C121" s="8" t="s">
        <v>483</v>
      </c>
      <c r="D121" s="8">
        <v>713</v>
      </c>
      <c r="E121" s="8" t="s">
        <v>484</v>
      </c>
    </row>
    <row r="122" spans="1:5" ht="11.25" customHeight="1" x14ac:dyDescent="0.25">
      <c r="A122" s="8" t="s">
        <v>481</v>
      </c>
      <c r="B122" s="8" t="s">
        <v>528</v>
      </c>
      <c r="C122" s="8" t="s">
        <v>483</v>
      </c>
      <c r="D122" s="8">
        <v>714</v>
      </c>
      <c r="E122" s="8" t="s">
        <v>484</v>
      </c>
    </row>
    <row r="123" spans="1:5" ht="11.25" customHeight="1" x14ac:dyDescent="0.25">
      <c r="A123" s="8" t="s">
        <v>481</v>
      </c>
      <c r="B123" s="8" t="s">
        <v>528</v>
      </c>
      <c r="C123" s="8" t="s">
        <v>483</v>
      </c>
      <c r="D123" s="8">
        <v>715</v>
      </c>
      <c r="E123" s="8" t="s">
        <v>484</v>
      </c>
    </row>
    <row r="124" spans="1:5" ht="11.25" customHeight="1" x14ac:dyDescent="0.25">
      <c r="A124" s="8" t="s">
        <v>481</v>
      </c>
      <c r="B124" s="8" t="s">
        <v>528</v>
      </c>
      <c r="C124" s="8" t="s">
        <v>483</v>
      </c>
      <c r="D124" s="8">
        <v>716</v>
      </c>
      <c r="E124" s="8" t="s">
        <v>484</v>
      </c>
    </row>
    <row r="125" spans="1:5" ht="11.25" customHeight="1" x14ac:dyDescent="0.25">
      <c r="A125" s="8" t="s">
        <v>481</v>
      </c>
      <c r="B125" s="8" t="s">
        <v>528</v>
      </c>
      <c r="C125" s="8" t="s">
        <v>483</v>
      </c>
      <c r="D125" s="8">
        <v>717</v>
      </c>
      <c r="E125" s="8" t="s">
        <v>484</v>
      </c>
    </row>
    <row r="126" spans="1:5" ht="11.25" customHeight="1" x14ac:dyDescent="0.25">
      <c r="A126" s="8" t="s">
        <v>481</v>
      </c>
      <c r="B126" s="8" t="s">
        <v>528</v>
      </c>
      <c r="C126" s="8" t="s">
        <v>483</v>
      </c>
      <c r="D126" s="8">
        <v>718</v>
      </c>
      <c r="E126" s="8" t="s">
        <v>484</v>
      </c>
    </row>
    <row r="127" spans="1:5" ht="11.25" customHeight="1" x14ac:dyDescent="0.25">
      <c r="A127" s="8" t="s">
        <v>481</v>
      </c>
      <c r="B127" s="8" t="s">
        <v>528</v>
      </c>
      <c r="C127" s="8" t="s">
        <v>483</v>
      </c>
      <c r="D127" s="8">
        <v>719</v>
      </c>
      <c r="E127" s="8" t="s">
        <v>484</v>
      </c>
    </row>
    <row r="128" spans="1:5" ht="11.25" customHeight="1" x14ac:dyDescent="0.25">
      <c r="A128" s="8" t="s">
        <v>481</v>
      </c>
      <c r="B128" s="8" t="s">
        <v>528</v>
      </c>
      <c r="C128" s="8" t="s">
        <v>483</v>
      </c>
      <c r="D128" s="8">
        <v>720</v>
      </c>
      <c r="E128" s="8" t="s">
        <v>484</v>
      </c>
    </row>
    <row r="129" spans="1:5" ht="11.25" customHeight="1" x14ac:dyDescent="0.25">
      <c r="A129" s="8" t="s">
        <v>481</v>
      </c>
      <c r="B129" s="8" t="s">
        <v>528</v>
      </c>
      <c r="C129" s="8" t="s">
        <v>483</v>
      </c>
      <c r="D129" s="8">
        <v>721</v>
      </c>
      <c r="E129" s="8" t="s">
        <v>484</v>
      </c>
    </row>
    <row r="130" spans="1:5" ht="11.25" customHeight="1" x14ac:dyDescent="0.25">
      <c r="A130" s="8" t="s">
        <v>481</v>
      </c>
      <c r="B130" s="8" t="s">
        <v>528</v>
      </c>
      <c r="C130" s="8" t="s">
        <v>483</v>
      </c>
      <c r="D130" s="8">
        <v>722</v>
      </c>
      <c r="E130" s="8" t="s">
        <v>484</v>
      </c>
    </row>
    <row r="131" spans="1:5" ht="11.25" customHeight="1" x14ac:dyDescent="0.25">
      <c r="A131" s="8" t="s">
        <v>481</v>
      </c>
      <c r="B131" s="8" t="s">
        <v>528</v>
      </c>
      <c r="C131" s="8" t="s">
        <v>483</v>
      </c>
      <c r="D131" s="8">
        <v>723</v>
      </c>
      <c r="E131" s="8" t="s">
        <v>484</v>
      </c>
    </row>
    <row r="132" spans="1:5" ht="11.25" customHeight="1" x14ac:dyDescent="0.25">
      <c r="A132" s="8" t="s">
        <v>481</v>
      </c>
      <c r="B132" s="8" t="s">
        <v>528</v>
      </c>
      <c r="C132" s="8" t="s">
        <v>483</v>
      </c>
      <c r="D132" s="8">
        <v>724</v>
      </c>
      <c r="E132" s="8" t="s">
        <v>484</v>
      </c>
    </row>
    <row r="133" spans="1:5" ht="11.25" customHeight="1" x14ac:dyDescent="0.25">
      <c r="A133" s="8" t="s">
        <v>481</v>
      </c>
      <c r="B133" s="8" t="s">
        <v>528</v>
      </c>
      <c r="C133" s="8" t="s">
        <v>483</v>
      </c>
      <c r="D133" s="8">
        <v>725</v>
      </c>
      <c r="E133" s="8" t="s">
        <v>484</v>
      </c>
    </row>
    <row r="134" spans="1:5" ht="11.25" customHeight="1" x14ac:dyDescent="0.25">
      <c r="A134" s="8" t="s">
        <v>481</v>
      </c>
      <c r="B134" s="8" t="s">
        <v>528</v>
      </c>
      <c r="C134" s="8" t="s">
        <v>483</v>
      </c>
      <c r="D134" s="8">
        <v>726</v>
      </c>
      <c r="E134" s="8" t="s">
        <v>484</v>
      </c>
    </row>
    <row r="135" spans="1:5" ht="11.25" customHeight="1" x14ac:dyDescent="0.25">
      <c r="A135" s="8" t="s">
        <v>481</v>
      </c>
      <c r="B135" s="8" t="s">
        <v>528</v>
      </c>
      <c r="C135" s="8" t="s">
        <v>483</v>
      </c>
      <c r="D135" s="8">
        <v>727</v>
      </c>
      <c r="E135" s="8" t="s">
        <v>484</v>
      </c>
    </row>
    <row r="136" spans="1:5" ht="11.25" customHeight="1" x14ac:dyDescent="0.25">
      <c r="A136" s="8" t="s">
        <v>481</v>
      </c>
      <c r="B136" s="8" t="s">
        <v>528</v>
      </c>
      <c r="C136" s="8" t="s">
        <v>483</v>
      </c>
      <c r="D136" s="8">
        <v>728</v>
      </c>
      <c r="E136" s="8" t="s">
        <v>484</v>
      </c>
    </row>
    <row r="137" spans="1:5" ht="11.25" customHeight="1" x14ac:dyDescent="0.25">
      <c r="A137" s="8" t="s">
        <v>481</v>
      </c>
      <c r="B137" s="8" t="s">
        <v>528</v>
      </c>
      <c r="C137" s="8" t="s">
        <v>483</v>
      </c>
      <c r="D137" s="8">
        <v>729</v>
      </c>
      <c r="E137" s="8" t="s">
        <v>484</v>
      </c>
    </row>
    <row r="138" spans="1:5" ht="11.25" customHeight="1" x14ac:dyDescent="0.25">
      <c r="A138" s="8" t="s">
        <v>481</v>
      </c>
      <c r="B138" s="8" t="s">
        <v>528</v>
      </c>
      <c r="C138" s="8" t="s">
        <v>483</v>
      </c>
      <c r="D138" s="8">
        <v>730</v>
      </c>
      <c r="E138" s="8" t="s">
        <v>484</v>
      </c>
    </row>
    <row r="139" spans="1:5" ht="11.25" customHeight="1" x14ac:dyDescent="0.25">
      <c r="A139" s="8" t="s">
        <v>481</v>
      </c>
      <c r="B139" s="8" t="s">
        <v>528</v>
      </c>
      <c r="C139" s="8" t="s">
        <v>483</v>
      </c>
      <c r="D139" s="8">
        <v>731</v>
      </c>
      <c r="E139" s="8" t="s">
        <v>484</v>
      </c>
    </row>
    <row r="140" spans="1:5" ht="11.25" customHeight="1" x14ac:dyDescent="0.25">
      <c r="A140" s="8" t="s">
        <v>481</v>
      </c>
      <c r="B140" s="8" t="s">
        <v>528</v>
      </c>
      <c r="C140" s="8" t="s">
        <v>483</v>
      </c>
      <c r="D140" s="8">
        <v>732</v>
      </c>
      <c r="E140" s="8" t="s">
        <v>484</v>
      </c>
    </row>
    <row r="141" spans="1:5" ht="11.25" customHeight="1" x14ac:dyDescent="0.25">
      <c r="A141" s="8" t="s">
        <v>481</v>
      </c>
      <c r="B141" s="8" t="s">
        <v>528</v>
      </c>
      <c r="C141" s="8" t="s">
        <v>483</v>
      </c>
      <c r="D141" s="8">
        <v>733</v>
      </c>
      <c r="E141" s="8" t="s">
        <v>484</v>
      </c>
    </row>
    <row r="142" spans="1:5" ht="11.25" customHeight="1" x14ac:dyDescent="0.25">
      <c r="A142" s="8" t="s">
        <v>481</v>
      </c>
      <c r="B142" s="8" t="s">
        <v>528</v>
      </c>
      <c r="C142" s="8" t="s">
        <v>483</v>
      </c>
      <c r="D142" s="8">
        <v>734</v>
      </c>
      <c r="E142" s="8" t="s">
        <v>484</v>
      </c>
    </row>
    <row r="143" spans="1:5" ht="11.25" customHeight="1" x14ac:dyDescent="0.25">
      <c r="A143" s="8" t="s">
        <v>481</v>
      </c>
      <c r="B143" s="8" t="s">
        <v>528</v>
      </c>
      <c r="C143" s="8" t="s">
        <v>483</v>
      </c>
      <c r="D143" s="8">
        <v>735</v>
      </c>
      <c r="E143" s="8" t="s">
        <v>484</v>
      </c>
    </row>
    <row r="144" spans="1:5" ht="11.25" customHeight="1" x14ac:dyDescent="0.25">
      <c r="A144" s="8" t="s">
        <v>481</v>
      </c>
      <c r="B144" s="8" t="s">
        <v>528</v>
      </c>
      <c r="C144" s="8" t="s">
        <v>483</v>
      </c>
      <c r="D144" s="8">
        <v>736</v>
      </c>
      <c r="E144" s="8" t="s">
        <v>484</v>
      </c>
    </row>
    <row r="145" spans="1:5" ht="11.25" customHeight="1" x14ac:dyDescent="0.25">
      <c r="A145" s="8" t="s">
        <v>481</v>
      </c>
      <c r="B145" s="8" t="s">
        <v>528</v>
      </c>
      <c r="C145" s="8" t="s">
        <v>483</v>
      </c>
      <c r="D145" s="8">
        <v>737</v>
      </c>
      <c r="E145" s="8" t="s">
        <v>484</v>
      </c>
    </row>
    <row r="146" spans="1:5" ht="11.25" customHeight="1" x14ac:dyDescent="0.25">
      <c r="A146" s="8" t="s">
        <v>481</v>
      </c>
      <c r="B146" s="8" t="s">
        <v>528</v>
      </c>
      <c r="C146" s="8" t="s">
        <v>483</v>
      </c>
      <c r="D146" s="8">
        <v>738</v>
      </c>
      <c r="E146" s="8" t="s">
        <v>484</v>
      </c>
    </row>
    <row r="147" spans="1:5" ht="11.25" customHeight="1" x14ac:dyDescent="0.25">
      <c r="A147" s="8" t="s">
        <v>481</v>
      </c>
      <c r="B147" s="8" t="s">
        <v>528</v>
      </c>
      <c r="C147" s="8" t="s">
        <v>483</v>
      </c>
      <c r="D147" s="8">
        <v>817</v>
      </c>
      <c r="E147" s="8" t="s">
        <v>484</v>
      </c>
    </row>
    <row r="148" spans="1:5" ht="11.25" customHeight="1" x14ac:dyDescent="0.25">
      <c r="A148" s="8" t="s">
        <v>481</v>
      </c>
      <c r="B148" s="8" t="s">
        <v>528</v>
      </c>
      <c r="C148" s="8" t="s">
        <v>483</v>
      </c>
      <c r="D148" s="8">
        <v>818</v>
      </c>
      <c r="E148" s="8" t="s">
        <v>484</v>
      </c>
    </row>
    <row r="149" spans="1:5" ht="11.25" customHeight="1" x14ac:dyDescent="0.25">
      <c r="A149" s="8" t="s">
        <v>481</v>
      </c>
      <c r="B149" s="8" t="s">
        <v>528</v>
      </c>
      <c r="C149" s="8" t="s">
        <v>483</v>
      </c>
      <c r="D149" s="8">
        <v>819</v>
      </c>
      <c r="E149" s="8" t="s">
        <v>484</v>
      </c>
    </row>
    <row r="150" spans="1:5" ht="11.25" customHeight="1" x14ac:dyDescent="0.25">
      <c r="A150" s="8" t="s">
        <v>481</v>
      </c>
      <c r="B150" s="8" t="s">
        <v>528</v>
      </c>
      <c r="C150" s="8" t="s">
        <v>483</v>
      </c>
      <c r="D150" s="8">
        <v>820</v>
      </c>
      <c r="E150" s="8" t="s">
        <v>484</v>
      </c>
    </row>
    <row r="151" spans="1:5" ht="11.25" customHeight="1" x14ac:dyDescent="0.25">
      <c r="A151" s="8" t="s">
        <v>481</v>
      </c>
      <c r="B151" s="8" t="s">
        <v>528</v>
      </c>
      <c r="C151" s="8" t="s">
        <v>483</v>
      </c>
      <c r="D151" s="8">
        <v>821</v>
      </c>
      <c r="E151" s="8" t="s">
        <v>484</v>
      </c>
    </row>
    <row r="152" spans="1:5" ht="11.25" customHeight="1" x14ac:dyDescent="0.25">
      <c r="A152" s="8" t="s">
        <v>481</v>
      </c>
      <c r="B152" s="8" t="s">
        <v>528</v>
      </c>
      <c r="C152" s="8" t="s">
        <v>483</v>
      </c>
      <c r="D152" s="8">
        <v>822</v>
      </c>
      <c r="E152" s="8" t="s">
        <v>484</v>
      </c>
    </row>
    <row r="153" spans="1:5" ht="11.25" customHeight="1" x14ac:dyDescent="0.25">
      <c r="A153" s="8" t="s">
        <v>481</v>
      </c>
      <c r="B153" s="8" t="s">
        <v>528</v>
      </c>
      <c r="C153" s="8" t="s">
        <v>483</v>
      </c>
      <c r="D153" s="8">
        <v>823</v>
      </c>
      <c r="E153" s="8" t="s">
        <v>484</v>
      </c>
    </row>
    <row r="154" spans="1:5" ht="11.25" customHeight="1" x14ac:dyDescent="0.25">
      <c r="A154" s="8" t="s">
        <v>481</v>
      </c>
      <c r="B154" s="8" t="s">
        <v>528</v>
      </c>
      <c r="C154" s="8" t="s">
        <v>483</v>
      </c>
      <c r="D154" s="8">
        <v>824</v>
      </c>
      <c r="E154" s="8" t="s">
        <v>484</v>
      </c>
    </row>
    <row r="155" spans="1:5" ht="11.25" customHeight="1" x14ac:dyDescent="0.25">
      <c r="A155" s="8" t="s">
        <v>481</v>
      </c>
      <c r="B155" s="8" t="s">
        <v>528</v>
      </c>
      <c r="C155" s="8" t="s">
        <v>483</v>
      </c>
      <c r="D155" s="8">
        <v>825</v>
      </c>
      <c r="E155" s="8" t="s">
        <v>484</v>
      </c>
    </row>
    <row r="156" spans="1:5" ht="11.25" customHeight="1" x14ac:dyDescent="0.25">
      <c r="A156" s="8" t="s">
        <v>481</v>
      </c>
      <c r="B156" s="8" t="s">
        <v>528</v>
      </c>
      <c r="C156" s="8" t="s">
        <v>483</v>
      </c>
      <c r="D156" s="8">
        <v>826</v>
      </c>
      <c r="E156" s="8" t="s">
        <v>484</v>
      </c>
    </row>
    <row r="157" spans="1:5" ht="11.25" customHeight="1" x14ac:dyDescent="0.25">
      <c r="A157" s="8" t="s">
        <v>481</v>
      </c>
      <c r="B157" s="8" t="s">
        <v>528</v>
      </c>
      <c r="C157" s="8" t="s">
        <v>483</v>
      </c>
      <c r="D157" s="8">
        <v>827</v>
      </c>
      <c r="E157" s="8" t="s">
        <v>484</v>
      </c>
    </row>
    <row r="158" spans="1:5" ht="11.25" customHeight="1" x14ac:dyDescent="0.25">
      <c r="A158" s="8" t="s">
        <v>481</v>
      </c>
      <c r="B158" s="8" t="s">
        <v>528</v>
      </c>
      <c r="C158" s="8" t="s">
        <v>483</v>
      </c>
      <c r="D158" s="8">
        <v>828</v>
      </c>
      <c r="E158" s="8" t="s">
        <v>484</v>
      </c>
    </row>
    <row r="159" spans="1:5" ht="11.25" customHeight="1" x14ac:dyDescent="0.25">
      <c r="A159" s="8" t="s">
        <v>481</v>
      </c>
      <c r="B159" s="8" t="s">
        <v>528</v>
      </c>
      <c r="C159" s="8" t="s">
        <v>483</v>
      </c>
      <c r="D159" s="8">
        <v>829</v>
      </c>
      <c r="E159" s="8" t="s">
        <v>484</v>
      </c>
    </row>
    <row r="160" spans="1:5" ht="11.25" customHeight="1" x14ac:dyDescent="0.25">
      <c r="A160" s="8" t="s">
        <v>481</v>
      </c>
      <c r="B160" s="8" t="s">
        <v>528</v>
      </c>
      <c r="C160" s="8" t="s">
        <v>483</v>
      </c>
      <c r="D160" s="8">
        <v>830</v>
      </c>
      <c r="E160" s="8" t="s">
        <v>484</v>
      </c>
    </row>
    <row r="161" spans="1:5" ht="11.25" customHeight="1" x14ac:dyDescent="0.25">
      <c r="A161" s="8" t="s">
        <v>481</v>
      </c>
      <c r="B161" s="8" t="s">
        <v>528</v>
      </c>
      <c r="C161" s="8" t="s">
        <v>483</v>
      </c>
      <c r="D161" s="8">
        <v>831</v>
      </c>
      <c r="E161" s="8" t="s">
        <v>484</v>
      </c>
    </row>
    <row r="162" spans="1:5" ht="11.25" customHeight="1" x14ac:dyDescent="0.25">
      <c r="A162" s="8" t="s">
        <v>481</v>
      </c>
      <c r="B162" s="8" t="s">
        <v>528</v>
      </c>
      <c r="C162" s="8" t="s">
        <v>483</v>
      </c>
      <c r="D162" s="8">
        <v>832</v>
      </c>
      <c r="E162" s="8" t="s">
        <v>484</v>
      </c>
    </row>
    <row r="163" spans="1:5" ht="11.25" customHeight="1" x14ac:dyDescent="0.25">
      <c r="A163" s="8" t="s">
        <v>481</v>
      </c>
      <c r="B163" s="8" t="s">
        <v>528</v>
      </c>
      <c r="C163" s="8" t="s">
        <v>483</v>
      </c>
      <c r="D163" s="8">
        <v>833</v>
      </c>
      <c r="E163" s="8" t="s">
        <v>484</v>
      </c>
    </row>
    <row r="164" spans="1:5" ht="11.25" customHeight="1" x14ac:dyDescent="0.25">
      <c r="A164" s="8" t="s">
        <v>481</v>
      </c>
      <c r="B164" s="8" t="s">
        <v>528</v>
      </c>
      <c r="C164" s="8" t="s">
        <v>483</v>
      </c>
      <c r="D164" s="8">
        <v>834</v>
      </c>
      <c r="E164" s="8" t="s">
        <v>484</v>
      </c>
    </row>
    <row r="165" spans="1:5" ht="11.25" customHeight="1" x14ac:dyDescent="0.25">
      <c r="A165" s="8" t="s">
        <v>481</v>
      </c>
      <c r="B165" s="8" t="s">
        <v>528</v>
      </c>
      <c r="C165" s="8" t="s">
        <v>483</v>
      </c>
      <c r="D165" s="8">
        <v>835</v>
      </c>
      <c r="E165" s="8" t="s">
        <v>484</v>
      </c>
    </row>
    <row r="166" spans="1:5" ht="11.25" customHeight="1" x14ac:dyDescent="0.25">
      <c r="A166" s="8" t="s">
        <v>481</v>
      </c>
      <c r="B166" s="8" t="s">
        <v>528</v>
      </c>
      <c r="C166" s="8" t="s">
        <v>483</v>
      </c>
      <c r="D166" s="8">
        <v>836</v>
      </c>
      <c r="E166" s="8" t="s">
        <v>484</v>
      </c>
    </row>
    <row r="167" spans="1:5" ht="11.25" customHeight="1" x14ac:dyDescent="0.25">
      <c r="A167" s="8" t="s">
        <v>481</v>
      </c>
      <c r="B167" s="8" t="s">
        <v>528</v>
      </c>
      <c r="C167" s="8" t="s">
        <v>483</v>
      </c>
      <c r="D167" s="8">
        <v>837</v>
      </c>
      <c r="E167" s="8" t="s">
        <v>484</v>
      </c>
    </row>
    <row r="168" spans="1:5" ht="11.25" customHeight="1" x14ac:dyDescent="0.25">
      <c r="A168" s="8" t="s">
        <v>481</v>
      </c>
      <c r="B168" s="8" t="s">
        <v>528</v>
      </c>
      <c r="C168" s="8" t="s">
        <v>483</v>
      </c>
      <c r="D168" s="8">
        <v>838</v>
      </c>
      <c r="E168" s="8" t="s">
        <v>484</v>
      </c>
    </row>
    <row r="169" spans="1:5" ht="11.25" customHeight="1" x14ac:dyDescent="0.25">
      <c r="A169" s="8" t="s">
        <v>481</v>
      </c>
      <c r="B169" s="8" t="s">
        <v>528</v>
      </c>
      <c r="C169" s="8" t="s">
        <v>483</v>
      </c>
      <c r="D169" s="8">
        <v>839</v>
      </c>
      <c r="E169" s="8" t="s">
        <v>484</v>
      </c>
    </row>
    <row r="170" spans="1:5" ht="11.25" customHeight="1" x14ac:dyDescent="0.25">
      <c r="A170" s="8" t="s">
        <v>481</v>
      </c>
      <c r="B170" s="8" t="s">
        <v>528</v>
      </c>
      <c r="C170" s="8" t="s">
        <v>483</v>
      </c>
      <c r="D170" s="8">
        <v>840</v>
      </c>
      <c r="E170" s="8" t="s">
        <v>484</v>
      </c>
    </row>
    <row r="171" spans="1:5" ht="11.25" customHeight="1" x14ac:dyDescent="0.25">
      <c r="A171" s="8" t="s">
        <v>481</v>
      </c>
      <c r="B171" s="8" t="s">
        <v>528</v>
      </c>
      <c r="C171" s="8" t="s">
        <v>483</v>
      </c>
      <c r="D171" s="8">
        <v>841</v>
      </c>
      <c r="E171" s="8" t="s">
        <v>484</v>
      </c>
    </row>
    <row r="172" spans="1:5" ht="11.25" customHeight="1" x14ac:dyDescent="0.25">
      <c r="A172" s="8" t="s">
        <v>481</v>
      </c>
      <c r="B172" s="8" t="s">
        <v>528</v>
      </c>
      <c r="C172" s="8" t="s">
        <v>483</v>
      </c>
      <c r="D172" s="8">
        <v>842</v>
      </c>
      <c r="E172" s="8" t="s">
        <v>484</v>
      </c>
    </row>
    <row r="173" spans="1:5" ht="11.25" customHeight="1" x14ac:dyDescent="0.25">
      <c r="A173" s="8" t="s">
        <v>481</v>
      </c>
      <c r="B173" s="8" t="s">
        <v>528</v>
      </c>
      <c r="C173" s="8" t="s">
        <v>483</v>
      </c>
      <c r="D173" s="8">
        <v>843</v>
      </c>
      <c r="E173" s="8" t="s">
        <v>484</v>
      </c>
    </row>
    <row r="174" spans="1:5" ht="11.25" customHeight="1" x14ac:dyDescent="0.25">
      <c r="A174" s="8" t="s">
        <v>481</v>
      </c>
      <c r="B174" s="8" t="s">
        <v>528</v>
      </c>
      <c r="C174" s="8" t="s">
        <v>483</v>
      </c>
      <c r="D174" s="8">
        <v>844</v>
      </c>
      <c r="E174" s="8" t="s">
        <v>484</v>
      </c>
    </row>
    <row r="175" spans="1:5" ht="11.25" customHeight="1" x14ac:dyDescent="0.25">
      <c r="A175" s="8" t="s">
        <v>481</v>
      </c>
      <c r="B175" s="8" t="s">
        <v>528</v>
      </c>
      <c r="C175" s="8" t="s">
        <v>483</v>
      </c>
      <c r="D175" s="8">
        <v>845</v>
      </c>
      <c r="E175" s="8" t="s">
        <v>484</v>
      </c>
    </row>
    <row r="176" spans="1:5" ht="11.25" customHeight="1" x14ac:dyDescent="0.25">
      <c r="A176" s="8" t="s">
        <v>481</v>
      </c>
      <c r="B176" s="8" t="s">
        <v>528</v>
      </c>
      <c r="C176" s="8" t="s">
        <v>483</v>
      </c>
      <c r="D176" s="8">
        <v>846</v>
      </c>
      <c r="E176" s="8" t="s">
        <v>484</v>
      </c>
    </row>
    <row r="177" spans="1:5" ht="11.25" customHeight="1" x14ac:dyDescent="0.25">
      <c r="A177" s="8" t="s">
        <v>481</v>
      </c>
      <c r="B177" s="8" t="s">
        <v>528</v>
      </c>
      <c r="C177" s="8" t="s">
        <v>483</v>
      </c>
      <c r="D177" s="8">
        <v>847</v>
      </c>
      <c r="E177" s="8" t="s">
        <v>484</v>
      </c>
    </row>
    <row r="178" spans="1:5" ht="11.25" customHeight="1" x14ac:dyDescent="0.25">
      <c r="A178" s="8" t="s">
        <v>481</v>
      </c>
      <c r="B178" s="8" t="s">
        <v>528</v>
      </c>
      <c r="C178" s="8" t="s">
        <v>483</v>
      </c>
      <c r="D178" s="8">
        <v>848</v>
      </c>
      <c r="E178" s="8" t="s">
        <v>484</v>
      </c>
    </row>
    <row r="179" spans="1:5" ht="11.25" customHeight="1" x14ac:dyDescent="0.25">
      <c r="A179" s="8" t="s">
        <v>481</v>
      </c>
      <c r="B179" s="8" t="s">
        <v>528</v>
      </c>
      <c r="C179" s="8" t="s">
        <v>483</v>
      </c>
      <c r="D179" s="8">
        <v>849</v>
      </c>
      <c r="E179" s="8" t="s">
        <v>484</v>
      </c>
    </row>
    <row r="180" spans="1:5" ht="11.25" customHeight="1" x14ac:dyDescent="0.25">
      <c r="A180" s="8" t="s">
        <v>481</v>
      </c>
      <c r="B180" s="8" t="s">
        <v>528</v>
      </c>
      <c r="C180" s="8" t="s">
        <v>483</v>
      </c>
      <c r="D180" s="8">
        <v>850</v>
      </c>
      <c r="E180" s="8" t="s">
        <v>484</v>
      </c>
    </row>
    <row r="181" spans="1:5" ht="11.25" customHeight="1" x14ac:dyDescent="0.25">
      <c r="A181" s="8" t="s">
        <v>481</v>
      </c>
      <c r="B181" s="8" t="s">
        <v>528</v>
      </c>
      <c r="C181" s="8" t="s">
        <v>483</v>
      </c>
      <c r="D181" s="8">
        <v>851</v>
      </c>
      <c r="E181" s="8" t="s">
        <v>484</v>
      </c>
    </row>
    <row r="182" spans="1:5" ht="11.25" customHeight="1" x14ac:dyDescent="0.25">
      <c r="A182" s="8" t="s">
        <v>481</v>
      </c>
      <c r="B182" s="8" t="s">
        <v>528</v>
      </c>
      <c r="C182" s="8" t="s">
        <v>483</v>
      </c>
      <c r="D182" s="8">
        <v>852</v>
      </c>
      <c r="E182" s="8" t="s">
        <v>484</v>
      </c>
    </row>
    <row r="183" spans="1:5" ht="11.25" customHeight="1" x14ac:dyDescent="0.25">
      <c r="A183" s="8" t="s">
        <v>481</v>
      </c>
      <c r="B183" s="8" t="s">
        <v>528</v>
      </c>
      <c r="C183" s="8" t="s">
        <v>483</v>
      </c>
      <c r="D183" s="8">
        <v>853</v>
      </c>
      <c r="E183" s="8" t="s">
        <v>484</v>
      </c>
    </row>
    <row r="184" spans="1:5" ht="11.25" customHeight="1" x14ac:dyDescent="0.25">
      <c r="A184" s="8" t="s">
        <v>481</v>
      </c>
      <c r="B184" s="8" t="s">
        <v>528</v>
      </c>
      <c r="C184" s="8" t="s">
        <v>483</v>
      </c>
      <c r="D184" s="8">
        <v>854</v>
      </c>
      <c r="E184" s="8" t="s">
        <v>484</v>
      </c>
    </row>
    <row r="185" spans="1:5" ht="11.25" customHeight="1" x14ac:dyDescent="0.25">
      <c r="A185" s="8" t="s">
        <v>481</v>
      </c>
      <c r="B185" s="8" t="s">
        <v>528</v>
      </c>
      <c r="C185" s="8" t="s">
        <v>483</v>
      </c>
      <c r="D185" s="8">
        <v>899</v>
      </c>
      <c r="E185" s="8" t="s">
        <v>484</v>
      </c>
    </row>
    <row r="186" spans="1:5" ht="11.25" customHeight="1" x14ac:dyDescent="0.25">
      <c r="A186" s="8" t="s">
        <v>481</v>
      </c>
      <c r="B186" s="8" t="s">
        <v>528</v>
      </c>
      <c r="C186" s="8" t="s">
        <v>483</v>
      </c>
      <c r="D186" s="8">
        <v>900</v>
      </c>
      <c r="E186" s="8" t="s">
        <v>484</v>
      </c>
    </row>
    <row r="187" spans="1:5" ht="11.25" customHeight="1" x14ac:dyDescent="0.25">
      <c r="A187" s="8" t="s">
        <v>481</v>
      </c>
      <c r="B187" s="8" t="s">
        <v>528</v>
      </c>
      <c r="C187" s="8" t="s">
        <v>483</v>
      </c>
      <c r="D187" s="8">
        <v>901</v>
      </c>
      <c r="E187" s="8" t="s">
        <v>484</v>
      </c>
    </row>
    <row r="188" spans="1:5" ht="11.25" customHeight="1" x14ac:dyDescent="0.25">
      <c r="A188" s="8" t="s">
        <v>481</v>
      </c>
      <c r="B188" s="8" t="s">
        <v>528</v>
      </c>
      <c r="C188" s="8" t="s">
        <v>483</v>
      </c>
      <c r="D188" s="8">
        <v>902</v>
      </c>
      <c r="E188" s="8" t="s">
        <v>484</v>
      </c>
    </row>
    <row r="189" spans="1:5" ht="11.25" customHeight="1" x14ac:dyDescent="0.25">
      <c r="A189" s="8" t="s">
        <v>481</v>
      </c>
      <c r="B189" s="8" t="s">
        <v>528</v>
      </c>
      <c r="C189" s="8" t="s">
        <v>483</v>
      </c>
      <c r="D189" s="8">
        <v>931</v>
      </c>
      <c r="E189" s="8" t="s">
        <v>484</v>
      </c>
    </row>
    <row r="190" spans="1:5" ht="11.25" customHeight="1" x14ac:dyDescent="0.25">
      <c r="A190" s="8" t="s">
        <v>481</v>
      </c>
      <c r="B190" s="8" t="s">
        <v>528</v>
      </c>
      <c r="C190" s="8" t="s">
        <v>483</v>
      </c>
      <c r="D190" s="8">
        <v>932</v>
      </c>
      <c r="E190" s="8" t="s">
        <v>484</v>
      </c>
    </row>
    <row r="191" spans="1:5" ht="11.25" customHeight="1" x14ac:dyDescent="0.25">
      <c r="A191" s="8" t="s">
        <v>481</v>
      </c>
      <c r="B191" s="8" t="s">
        <v>528</v>
      </c>
      <c r="C191" s="8" t="s">
        <v>483</v>
      </c>
      <c r="D191" s="8">
        <v>933</v>
      </c>
      <c r="E191" s="8" t="s">
        <v>484</v>
      </c>
    </row>
    <row r="192" spans="1:5" ht="11.25" customHeight="1" x14ac:dyDescent="0.25">
      <c r="A192" s="8" t="s">
        <v>481</v>
      </c>
      <c r="B192" s="8" t="s">
        <v>528</v>
      </c>
      <c r="C192" s="8" t="s">
        <v>483</v>
      </c>
      <c r="D192" s="8">
        <v>934</v>
      </c>
      <c r="E192" s="8" t="s">
        <v>484</v>
      </c>
    </row>
    <row r="193" spans="1:5" ht="11.25" customHeight="1" x14ac:dyDescent="0.25">
      <c r="A193" s="8" t="s">
        <v>481</v>
      </c>
      <c r="B193" s="8" t="s">
        <v>528</v>
      </c>
      <c r="C193" s="8" t="s">
        <v>483</v>
      </c>
      <c r="D193" s="8">
        <v>935</v>
      </c>
      <c r="E193" s="8" t="s">
        <v>484</v>
      </c>
    </row>
    <row r="194" spans="1:5" ht="11.25" customHeight="1" x14ac:dyDescent="0.25">
      <c r="A194" s="8" t="s">
        <v>481</v>
      </c>
      <c r="B194" s="8" t="s">
        <v>528</v>
      </c>
      <c r="C194" s="8" t="s">
        <v>483</v>
      </c>
      <c r="D194" s="8">
        <v>936</v>
      </c>
      <c r="E194" s="8" t="s">
        <v>484</v>
      </c>
    </row>
    <row r="195" spans="1:5" ht="11.25" customHeight="1" x14ac:dyDescent="0.25">
      <c r="A195" s="8" t="s">
        <v>481</v>
      </c>
      <c r="B195" s="8" t="s">
        <v>528</v>
      </c>
      <c r="C195" s="8" t="s">
        <v>483</v>
      </c>
      <c r="D195" s="8">
        <v>937</v>
      </c>
      <c r="E195" s="8" t="s">
        <v>484</v>
      </c>
    </row>
    <row r="196" spans="1:5" ht="11.25" customHeight="1" x14ac:dyDescent="0.25">
      <c r="A196" s="8" t="s">
        <v>481</v>
      </c>
      <c r="B196" s="8" t="s">
        <v>528</v>
      </c>
      <c r="C196" s="8" t="s">
        <v>483</v>
      </c>
      <c r="D196" s="8">
        <v>938</v>
      </c>
      <c r="E196" s="8" t="s">
        <v>484</v>
      </c>
    </row>
    <row r="197" spans="1:5" ht="11.25" customHeight="1" x14ac:dyDescent="0.25">
      <c r="A197" s="8" t="s">
        <v>481</v>
      </c>
      <c r="B197" s="8" t="s">
        <v>528</v>
      </c>
      <c r="C197" s="8" t="s">
        <v>483</v>
      </c>
      <c r="D197" s="8">
        <v>939</v>
      </c>
      <c r="E197" s="8" t="s">
        <v>484</v>
      </c>
    </row>
    <row r="198" spans="1:5" ht="11.25" customHeight="1" x14ac:dyDescent="0.25">
      <c r="A198" s="8" t="s">
        <v>481</v>
      </c>
      <c r="B198" s="8" t="s">
        <v>528</v>
      </c>
      <c r="C198" s="8" t="s">
        <v>483</v>
      </c>
      <c r="D198" s="8">
        <v>940</v>
      </c>
      <c r="E198" s="8" t="s">
        <v>484</v>
      </c>
    </row>
    <row r="199" spans="1:5" ht="11.25" customHeight="1" x14ac:dyDescent="0.25">
      <c r="A199" s="8" t="s">
        <v>481</v>
      </c>
      <c r="B199" s="8" t="s">
        <v>528</v>
      </c>
      <c r="C199" s="8" t="s">
        <v>483</v>
      </c>
      <c r="D199" s="8">
        <v>941</v>
      </c>
      <c r="E199" s="8" t="s">
        <v>484</v>
      </c>
    </row>
    <row r="200" spans="1:5" ht="11.25" customHeight="1" x14ac:dyDescent="0.25">
      <c r="A200" s="8" t="s">
        <v>481</v>
      </c>
      <c r="B200" s="8" t="s">
        <v>528</v>
      </c>
      <c r="C200" s="8" t="s">
        <v>483</v>
      </c>
      <c r="D200" s="8">
        <v>942</v>
      </c>
      <c r="E200" s="8" t="s">
        <v>484</v>
      </c>
    </row>
    <row r="201" spans="1:5" ht="11.25" customHeight="1" x14ac:dyDescent="0.25">
      <c r="A201" s="8" t="s">
        <v>481</v>
      </c>
      <c r="B201" s="8" t="s">
        <v>528</v>
      </c>
      <c r="C201" s="8" t="s">
        <v>483</v>
      </c>
      <c r="D201" s="8">
        <v>943</v>
      </c>
      <c r="E201" s="8" t="s">
        <v>484</v>
      </c>
    </row>
    <row r="202" spans="1:5" ht="11.25" customHeight="1" x14ac:dyDescent="0.25">
      <c r="A202" s="8" t="s">
        <v>481</v>
      </c>
      <c r="B202" s="8" t="s">
        <v>528</v>
      </c>
      <c r="C202" s="8" t="s">
        <v>483</v>
      </c>
      <c r="D202" s="8">
        <v>944</v>
      </c>
      <c r="E202" s="8" t="s">
        <v>484</v>
      </c>
    </row>
    <row r="203" spans="1:5" ht="11.25" customHeight="1" x14ac:dyDescent="0.25">
      <c r="A203" s="8" t="s">
        <v>481</v>
      </c>
      <c r="B203" s="8" t="s">
        <v>528</v>
      </c>
      <c r="C203" s="8" t="s">
        <v>483</v>
      </c>
      <c r="D203" s="8">
        <v>945</v>
      </c>
      <c r="E203" s="8" t="s">
        <v>484</v>
      </c>
    </row>
    <row r="204" spans="1:5" ht="11.25" customHeight="1" x14ac:dyDescent="0.25">
      <c r="A204" s="8" t="s">
        <v>481</v>
      </c>
      <c r="B204" s="8" t="s">
        <v>528</v>
      </c>
      <c r="C204" s="8" t="s">
        <v>483</v>
      </c>
      <c r="D204" s="8">
        <v>946</v>
      </c>
      <c r="E204" s="8" t="s">
        <v>484</v>
      </c>
    </row>
    <row r="205" spans="1:5" ht="11.25" customHeight="1" x14ac:dyDescent="0.25">
      <c r="A205" s="8" t="s">
        <v>481</v>
      </c>
      <c r="B205" s="8" t="s">
        <v>528</v>
      </c>
      <c r="C205" s="8" t="s">
        <v>483</v>
      </c>
      <c r="D205" s="8">
        <v>947</v>
      </c>
      <c r="E205" s="8" t="s">
        <v>484</v>
      </c>
    </row>
    <row r="206" spans="1:5" ht="11.25" customHeight="1" x14ac:dyDescent="0.25">
      <c r="A206" s="8" t="s">
        <v>481</v>
      </c>
      <c r="B206" s="8" t="s">
        <v>528</v>
      </c>
      <c r="C206" s="8" t="s">
        <v>483</v>
      </c>
      <c r="D206" s="8">
        <v>948</v>
      </c>
      <c r="E206" s="8" t="s">
        <v>484</v>
      </c>
    </row>
    <row r="207" spans="1:5" ht="11.25" customHeight="1" x14ac:dyDescent="0.25">
      <c r="A207" s="8" t="s">
        <v>481</v>
      </c>
      <c r="B207" s="8" t="s">
        <v>528</v>
      </c>
      <c r="C207" s="8" t="s">
        <v>483</v>
      </c>
      <c r="D207" s="8">
        <v>949</v>
      </c>
      <c r="E207" s="8" t="s">
        <v>484</v>
      </c>
    </row>
    <row r="208" spans="1:5" ht="11.25" customHeight="1" x14ac:dyDescent="0.25">
      <c r="A208" s="8" t="s">
        <v>481</v>
      </c>
      <c r="B208" s="8" t="s">
        <v>528</v>
      </c>
      <c r="C208" s="8" t="s">
        <v>483</v>
      </c>
      <c r="D208" s="8">
        <v>950</v>
      </c>
      <c r="E208" s="8" t="s">
        <v>484</v>
      </c>
    </row>
    <row r="209" spans="1:5" ht="11.25" customHeight="1" x14ac:dyDescent="0.25">
      <c r="A209" s="8" t="s">
        <v>481</v>
      </c>
      <c r="B209" s="8" t="s">
        <v>528</v>
      </c>
      <c r="C209" s="8" t="s">
        <v>483</v>
      </c>
      <c r="D209" s="8">
        <v>951</v>
      </c>
      <c r="E209" s="8" t="s">
        <v>484</v>
      </c>
    </row>
    <row r="210" spans="1:5" ht="11.25" customHeight="1" x14ac:dyDescent="0.25">
      <c r="A210" s="8" t="s">
        <v>481</v>
      </c>
      <c r="B210" s="8" t="s">
        <v>528</v>
      </c>
      <c r="C210" s="8" t="s">
        <v>483</v>
      </c>
      <c r="D210" s="8">
        <v>952</v>
      </c>
      <c r="E210" s="8" t="s">
        <v>484</v>
      </c>
    </row>
    <row r="211" spans="1:5" ht="11.25" customHeight="1" x14ac:dyDescent="0.25">
      <c r="A211" s="8" t="s">
        <v>481</v>
      </c>
      <c r="B211" s="8" t="s">
        <v>528</v>
      </c>
      <c r="C211" s="8" t="s">
        <v>483</v>
      </c>
      <c r="D211" s="8">
        <v>953</v>
      </c>
      <c r="E211" s="8" t="s">
        <v>484</v>
      </c>
    </row>
    <row r="212" spans="1:5" ht="11.25" customHeight="1" x14ac:dyDescent="0.25">
      <c r="A212" s="8" t="s">
        <v>481</v>
      </c>
      <c r="B212" s="8" t="s">
        <v>528</v>
      </c>
      <c r="C212" s="8" t="s">
        <v>483</v>
      </c>
      <c r="D212" s="8">
        <v>954</v>
      </c>
      <c r="E212" s="8" t="s">
        <v>484</v>
      </c>
    </row>
    <row r="213" spans="1:5" ht="11.25" customHeight="1" x14ac:dyDescent="0.25">
      <c r="A213" s="8" t="s">
        <v>481</v>
      </c>
      <c r="C213" s="8" t="s">
        <v>822</v>
      </c>
      <c r="D213" s="8">
        <v>40</v>
      </c>
      <c r="E213" s="8" t="s">
        <v>9</v>
      </c>
    </row>
    <row r="214" spans="1:5" ht="11.25" customHeight="1" x14ac:dyDescent="0.25">
      <c r="A214" s="8" t="s">
        <v>481</v>
      </c>
      <c r="C214" s="8" t="s">
        <v>822</v>
      </c>
      <c r="D214" s="8">
        <v>40</v>
      </c>
      <c r="E214" s="8" t="s">
        <v>9</v>
      </c>
    </row>
    <row r="215" spans="1:5" ht="11.25" customHeight="1" x14ac:dyDescent="0.25">
      <c r="A215" s="8" t="s">
        <v>481</v>
      </c>
      <c r="C215" s="8" t="s">
        <v>822</v>
      </c>
      <c r="D215" s="8">
        <v>40</v>
      </c>
      <c r="E215" s="8" t="s">
        <v>9</v>
      </c>
    </row>
    <row r="216" spans="1:5" ht="11.25" customHeight="1" x14ac:dyDescent="0.25">
      <c r="A216" s="8" t="s">
        <v>481</v>
      </c>
      <c r="C216" s="8" t="s">
        <v>822</v>
      </c>
      <c r="D216" s="8">
        <v>40</v>
      </c>
      <c r="E216" s="8" t="s">
        <v>9</v>
      </c>
    </row>
    <row r="217" spans="1:5" ht="11.25" customHeight="1" x14ac:dyDescent="0.25">
      <c r="A217" s="8" t="s">
        <v>481</v>
      </c>
      <c r="C217" s="8" t="s">
        <v>822</v>
      </c>
      <c r="D217" s="8">
        <v>40</v>
      </c>
      <c r="E217" s="8" t="s">
        <v>9</v>
      </c>
    </row>
    <row r="218" spans="1:5" ht="11.25" customHeight="1" x14ac:dyDescent="0.25">
      <c r="A218" s="8" t="s">
        <v>481</v>
      </c>
      <c r="C218" s="8" t="s">
        <v>822</v>
      </c>
      <c r="D218" s="8">
        <v>40</v>
      </c>
      <c r="E218" s="8" t="s">
        <v>9</v>
      </c>
    </row>
    <row r="219" spans="1:5" ht="11.25" customHeight="1" x14ac:dyDescent="0.25">
      <c r="A219" s="8" t="s">
        <v>481</v>
      </c>
      <c r="C219" s="8" t="s">
        <v>822</v>
      </c>
      <c r="D219" s="8">
        <v>40</v>
      </c>
      <c r="E219" s="8" t="s">
        <v>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A60A0-0864-43AA-A835-DB6D08616782}">
  <sheetPr codeName="Planilha3"/>
  <dimension ref="A1:AX115"/>
  <sheetViews>
    <sheetView showGridLines="0" workbookViewId="0"/>
  </sheetViews>
  <sheetFormatPr defaultRowHeight="11.25" x14ac:dyDescent="0.25"/>
  <cols>
    <col min="1" max="1" width="4.7109375" style="8" bestFit="1" customWidth="1"/>
    <col min="2" max="2" width="8.85546875" style="8" bestFit="1" customWidth="1"/>
    <col min="3" max="3" width="8.7109375" style="8" bestFit="1" customWidth="1"/>
    <col min="4" max="4" width="27.140625" style="8" bestFit="1" customWidth="1"/>
    <col min="5" max="5" width="13.5703125" style="8" bestFit="1" customWidth="1"/>
    <col min="6" max="6" width="25.140625" style="8" bestFit="1" customWidth="1"/>
    <col min="7" max="7" width="10.28515625" style="8" bestFit="1" customWidth="1"/>
    <col min="8" max="8" width="14.140625" style="8" bestFit="1" customWidth="1"/>
    <col min="9" max="9" width="10.28515625" style="8" bestFit="1" customWidth="1"/>
    <col min="10" max="10" width="6.85546875" style="8" bestFit="1" customWidth="1"/>
    <col min="11" max="11" width="4.5703125" style="8" bestFit="1" customWidth="1"/>
    <col min="12" max="12" width="4.42578125" style="8" bestFit="1" customWidth="1"/>
    <col min="13" max="13" width="6.7109375" style="8" bestFit="1" customWidth="1"/>
    <col min="14" max="14" width="6.28515625" style="8" bestFit="1" customWidth="1"/>
    <col min="15" max="15" width="11.140625" style="8" bestFit="1" customWidth="1"/>
    <col min="16" max="16" width="10.42578125" style="8" bestFit="1" customWidth="1"/>
    <col min="17" max="16384" width="9.140625" style="8"/>
  </cols>
  <sheetData>
    <row r="1" spans="1:50" ht="11.25" customHeight="1" x14ac:dyDescent="0.25">
      <c r="A1" s="30" t="s">
        <v>880</v>
      </c>
      <c r="B1" s="30" t="s">
        <v>871</v>
      </c>
      <c r="C1" s="30" t="s">
        <v>1</v>
      </c>
      <c r="D1" s="30" t="s">
        <v>2</v>
      </c>
      <c r="E1" s="30" t="s">
        <v>3</v>
      </c>
      <c r="F1" s="30" t="s">
        <v>4</v>
      </c>
      <c r="G1" s="30" t="s">
        <v>5</v>
      </c>
      <c r="H1" s="30" t="s">
        <v>6</v>
      </c>
      <c r="I1" s="30" t="s">
        <v>7</v>
      </c>
      <c r="J1" s="30" t="s">
        <v>872</v>
      </c>
      <c r="K1" s="30" t="s">
        <v>873</v>
      </c>
      <c r="L1" s="30" t="s">
        <v>874</v>
      </c>
      <c r="M1" s="30" t="s">
        <v>875</v>
      </c>
      <c r="N1" s="30" t="s">
        <v>876</v>
      </c>
      <c r="O1" s="30" t="s">
        <v>754</v>
      </c>
      <c r="P1" s="30" t="s">
        <v>740</v>
      </c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</row>
    <row r="2" spans="1:50" ht="11.25" customHeight="1" x14ac:dyDescent="0.25">
      <c r="A2" s="31">
        <v>1</v>
      </c>
      <c r="B2" s="31" t="s">
        <v>734</v>
      </c>
      <c r="C2" s="31" t="s">
        <v>43</v>
      </c>
      <c r="D2" s="31" t="s">
        <v>42</v>
      </c>
      <c r="E2" s="31" t="s">
        <v>25</v>
      </c>
      <c r="F2" s="31" t="s">
        <v>25</v>
      </c>
      <c r="G2" s="31" t="s">
        <v>25</v>
      </c>
      <c r="H2" s="31" t="s">
        <v>25</v>
      </c>
      <c r="I2" s="31" t="s">
        <v>36</v>
      </c>
      <c r="J2" s="31" t="s">
        <v>877</v>
      </c>
      <c r="K2" s="31" t="s">
        <v>878</v>
      </c>
      <c r="L2" s="31" t="s">
        <v>85</v>
      </c>
      <c r="M2" s="31">
        <v>2021</v>
      </c>
      <c r="N2" s="31">
        <v>0</v>
      </c>
      <c r="O2" s="31">
        <v>56.22</v>
      </c>
      <c r="P2" s="31">
        <v>0</v>
      </c>
    </row>
    <row r="3" spans="1:50" ht="11.25" customHeight="1" x14ac:dyDescent="0.25">
      <c r="A3" s="31">
        <v>2</v>
      </c>
      <c r="B3" s="31" t="s">
        <v>762</v>
      </c>
      <c r="C3" s="31" t="s">
        <v>80</v>
      </c>
      <c r="D3" s="31" t="s">
        <v>81</v>
      </c>
      <c r="E3" s="31" t="s">
        <v>25</v>
      </c>
      <c r="F3" s="31" t="s">
        <v>25</v>
      </c>
      <c r="G3" s="31" t="s">
        <v>25</v>
      </c>
      <c r="H3" s="31" t="s">
        <v>25</v>
      </c>
      <c r="I3" s="31" t="s">
        <v>37</v>
      </c>
      <c r="J3" s="31" t="s">
        <v>879</v>
      </c>
      <c r="K3" s="31" t="s">
        <v>878</v>
      </c>
      <c r="L3" s="31" t="s">
        <v>82</v>
      </c>
      <c r="M3" s="31">
        <v>2021</v>
      </c>
      <c r="N3" s="31">
        <v>0</v>
      </c>
      <c r="O3" s="31">
        <v>168.06</v>
      </c>
      <c r="P3" s="31">
        <v>0</v>
      </c>
    </row>
    <row r="4" spans="1:50" ht="11.25" customHeight="1" x14ac:dyDescent="0.25">
      <c r="A4" s="31">
        <v>3</v>
      </c>
      <c r="B4" s="31" t="s">
        <v>762</v>
      </c>
      <c r="C4" s="31" t="s">
        <v>80</v>
      </c>
      <c r="D4" s="31" t="s">
        <v>81</v>
      </c>
      <c r="E4" s="31" t="s">
        <v>25</v>
      </c>
      <c r="F4" s="31" t="s">
        <v>25</v>
      </c>
      <c r="G4" s="31" t="s">
        <v>25</v>
      </c>
      <c r="H4" s="31" t="s">
        <v>25</v>
      </c>
      <c r="I4" s="31" t="s">
        <v>36</v>
      </c>
      <c r="J4" s="31" t="s">
        <v>879</v>
      </c>
      <c r="K4" s="31" t="s">
        <v>878</v>
      </c>
      <c r="L4" s="31" t="s">
        <v>82</v>
      </c>
      <c r="M4" s="31">
        <v>2021</v>
      </c>
      <c r="N4" s="31">
        <v>0</v>
      </c>
      <c r="O4" s="31">
        <v>270.3</v>
      </c>
      <c r="P4" s="31">
        <v>0</v>
      </c>
    </row>
    <row r="5" spans="1:50" ht="11.25" customHeight="1" x14ac:dyDescent="0.25">
      <c r="A5" s="31">
        <v>4</v>
      </c>
      <c r="B5" s="31" t="s">
        <v>734</v>
      </c>
      <c r="C5" s="31" t="s">
        <v>43</v>
      </c>
      <c r="D5" s="31" t="s">
        <v>42</v>
      </c>
      <c r="E5" s="31" t="s">
        <v>25</v>
      </c>
      <c r="F5" s="31" t="s">
        <v>25</v>
      </c>
      <c r="G5" s="31" t="s">
        <v>25</v>
      </c>
      <c r="H5" s="31" t="s">
        <v>25</v>
      </c>
      <c r="I5" s="31" t="s">
        <v>37</v>
      </c>
      <c r="J5" s="31" t="s">
        <v>877</v>
      </c>
      <c r="K5" s="31" t="s">
        <v>878</v>
      </c>
      <c r="L5" s="31" t="s">
        <v>85</v>
      </c>
      <c r="M5" s="31">
        <v>2021</v>
      </c>
      <c r="N5" s="31">
        <v>0</v>
      </c>
      <c r="O5" s="31">
        <v>19.8</v>
      </c>
      <c r="P5" s="31">
        <v>0</v>
      </c>
    </row>
    <row r="6" spans="1:50" ht="11.25" customHeight="1" x14ac:dyDescent="0.25">
      <c r="A6" s="31">
        <v>5</v>
      </c>
      <c r="B6" s="31" t="s">
        <v>734</v>
      </c>
      <c r="C6" s="31" t="s">
        <v>80</v>
      </c>
      <c r="D6" s="31" t="s">
        <v>42</v>
      </c>
      <c r="E6" s="31" t="s">
        <v>25</v>
      </c>
      <c r="F6" s="31" t="s">
        <v>25</v>
      </c>
      <c r="G6" s="31" t="s">
        <v>89</v>
      </c>
      <c r="H6" s="31" t="s">
        <v>25</v>
      </c>
      <c r="I6" s="31" t="s">
        <v>25</v>
      </c>
      <c r="J6" s="31" t="s">
        <v>879</v>
      </c>
      <c r="K6" s="31" t="s">
        <v>878</v>
      </c>
      <c r="L6" s="31" t="s">
        <v>82</v>
      </c>
      <c r="M6" s="31">
        <v>2021</v>
      </c>
      <c r="N6" s="31">
        <v>0</v>
      </c>
      <c r="O6" s="31">
        <v>12.8071026038114</v>
      </c>
      <c r="P6" s="31">
        <v>0</v>
      </c>
    </row>
    <row r="7" spans="1:50" ht="11.25" customHeight="1" x14ac:dyDescent="0.25">
      <c r="A7" s="31">
        <v>6</v>
      </c>
      <c r="B7" s="31" t="s">
        <v>734</v>
      </c>
      <c r="C7" s="31" t="s">
        <v>80</v>
      </c>
      <c r="D7" s="31" t="s">
        <v>42</v>
      </c>
      <c r="E7" s="31" t="s">
        <v>25</v>
      </c>
      <c r="F7" s="31" t="s">
        <v>25</v>
      </c>
      <c r="G7" s="31" t="s">
        <v>25</v>
      </c>
      <c r="H7" s="31" t="s">
        <v>25</v>
      </c>
      <c r="I7" s="31" t="s">
        <v>37</v>
      </c>
      <c r="J7" s="31" t="s">
        <v>877</v>
      </c>
      <c r="K7" s="31" t="s">
        <v>878</v>
      </c>
      <c r="L7" s="31" t="s">
        <v>85</v>
      </c>
      <c r="M7" s="31">
        <v>2021</v>
      </c>
      <c r="N7" s="31">
        <v>0</v>
      </c>
      <c r="O7" s="31">
        <v>18.562149263658899</v>
      </c>
      <c r="P7" s="31">
        <v>0</v>
      </c>
    </row>
    <row r="8" spans="1:50" ht="11.25" customHeight="1" x14ac:dyDescent="0.25">
      <c r="A8" s="31">
        <v>7</v>
      </c>
      <c r="B8" s="31" t="s">
        <v>734</v>
      </c>
      <c r="C8" s="31" t="s">
        <v>43</v>
      </c>
      <c r="D8" s="31" t="s">
        <v>42</v>
      </c>
      <c r="E8" s="31" t="s">
        <v>25</v>
      </c>
      <c r="F8" s="31" t="s">
        <v>25</v>
      </c>
      <c r="G8" s="31" t="s">
        <v>25</v>
      </c>
      <c r="H8" s="31" t="s">
        <v>25</v>
      </c>
      <c r="I8" s="31" t="s">
        <v>25</v>
      </c>
      <c r="J8" s="31" t="s">
        <v>879</v>
      </c>
      <c r="K8" s="31" t="s">
        <v>878</v>
      </c>
      <c r="L8" s="31" t="s">
        <v>82</v>
      </c>
      <c r="M8" s="31">
        <v>2021</v>
      </c>
      <c r="N8" s="31">
        <v>0</v>
      </c>
      <c r="O8" s="31">
        <v>84.31</v>
      </c>
      <c r="P8" s="31">
        <v>22.261437178405501</v>
      </c>
    </row>
    <row r="9" spans="1:50" ht="11.25" customHeight="1" x14ac:dyDescent="0.25">
      <c r="A9" s="31">
        <v>8</v>
      </c>
      <c r="B9" s="31" t="s">
        <v>734</v>
      </c>
      <c r="C9" s="31" t="s">
        <v>43</v>
      </c>
      <c r="D9" s="31" t="s">
        <v>42</v>
      </c>
      <c r="E9" s="31" t="s">
        <v>25</v>
      </c>
      <c r="F9" s="31" t="s">
        <v>25</v>
      </c>
      <c r="G9" s="31" t="s">
        <v>89</v>
      </c>
      <c r="H9" s="31" t="s">
        <v>25</v>
      </c>
      <c r="I9" s="31" t="s">
        <v>25</v>
      </c>
      <c r="J9" s="31" t="s">
        <v>879</v>
      </c>
      <c r="K9" s="31" t="s">
        <v>878</v>
      </c>
      <c r="L9" s="31" t="s">
        <v>82</v>
      </c>
      <c r="M9" s="31">
        <v>2021</v>
      </c>
      <c r="N9" s="31">
        <v>0</v>
      </c>
      <c r="O9" s="31">
        <v>31.1</v>
      </c>
      <c r="P9" s="31">
        <v>0</v>
      </c>
    </row>
    <row r="10" spans="1:50" ht="11.25" customHeight="1" x14ac:dyDescent="0.25">
      <c r="A10" s="31">
        <v>9</v>
      </c>
      <c r="B10" s="31" t="s">
        <v>734</v>
      </c>
      <c r="C10" s="31" t="s">
        <v>80</v>
      </c>
      <c r="D10" s="31" t="s">
        <v>42</v>
      </c>
      <c r="E10" s="31" t="s">
        <v>25</v>
      </c>
      <c r="F10" s="31" t="s">
        <v>25</v>
      </c>
      <c r="G10" s="31" t="s">
        <v>25</v>
      </c>
      <c r="H10" s="31" t="s">
        <v>25</v>
      </c>
      <c r="I10" s="31" t="s">
        <v>25</v>
      </c>
      <c r="J10" s="31" t="s">
        <v>879</v>
      </c>
      <c r="K10" s="31" t="s">
        <v>878</v>
      </c>
      <c r="L10" s="31" t="s">
        <v>82</v>
      </c>
      <c r="M10" s="31">
        <v>2021</v>
      </c>
      <c r="N10" s="31">
        <v>0</v>
      </c>
      <c r="O10" s="31">
        <v>56.353352525881597</v>
      </c>
      <c r="P10" s="31">
        <v>17.143865413254701</v>
      </c>
    </row>
    <row r="11" spans="1:50" ht="11.25" customHeight="1" x14ac:dyDescent="0.25">
      <c r="A11" s="31">
        <v>10</v>
      </c>
      <c r="B11" s="31" t="s">
        <v>734</v>
      </c>
      <c r="C11" s="31" t="s">
        <v>80</v>
      </c>
      <c r="D11" s="31" t="s">
        <v>42</v>
      </c>
      <c r="E11" s="31" t="s">
        <v>25</v>
      </c>
      <c r="F11" s="31" t="s">
        <v>25</v>
      </c>
      <c r="G11" s="31" t="s">
        <v>25</v>
      </c>
      <c r="H11" s="31" t="s">
        <v>25</v>
      </c>
      <c r="I11" s="31" t="s">
        <v>36</v>
      </c>
      <c r="J11" s="31" t="s">
        <v>877</v>
      </c>
      <c r="K11" s="31" t="s">
        <v>878</v>
      </c>
      <c r="L11" s="31" t="s">
        <v>85</v>
      </c>
      <c r="M11" s="31">
        <v>2021</v>
      </c>
      <c r="N11" s="31">
        <v>0</v>
      </c>
      <c r="O11" s="31">
        <v>52.701573939399701</v>
      </c>
      <c r="P11" s="31">
        <v>0</v>
      </c>
    </row>
    <row r="12" spans="1:50" ht="11.25" customHeight="1" x14ac:dyDescent="0.25">
      <c r="A12" s="31">
        <v>11</v>
      </c>
      <c r="B12" s="31" t="s">
        <v>734</v>
      </c>
      <c r="C12" s="31" t="s">
        <v>43</v>
      </c>
      <c r="D12" s="31" t="s">
        <v>91</v>
      </c>
      <c r="E12" s="31" t="s">
        <v>25</v>
      </c>
      <c r="F12" s="31" t="s">
        <v>25</v>
      </c>
      <c r="G12" s="31" t="s">
        <v>25</v>
      </c>
      <c r="H12" s="31" t="s">
        <v>25</v>
      </c>
      <c r="I12" s="31" t="s">
        <v>25</v>
      </c>
      <c r="J12" s="31" t="s">
        <v>877</v>
      </c>
      <c r="K12" s="31" t="s">
        <v>878</v>
      </c>
      <c r="L12" s="31" t="s">
        <v>85</v>
      </c>
      <c r="M12" s="31">
        <v>2021</v>
      </c>
      <c r="N12" s="31">
        <v>0</v>
      </c>
      <c r="O12" s="31">
        <v>18.98</v>
      </c>
      <c r="P12" s="31">
        <v>0</v>
      </c>
    </row>
    <row r="13" spans="1:50" ht="11.25" customHeight="1" x14ac:dyDescent="0.25">
      <c r="A13" s="31">
        <v>12</v>
      </c>
      <c r="B13" s="31" t="s">
        <v>734</v>
      </c>
      <c r="C13" s="31" t="s">
        <v>43</v>
      </c>
      <c r="D13" s="31" t="s">
        <v>44</v>
      </c>
      <c r="E13" s="31" t="s">
        <v>25</v>
      </c>
      <c r="F13" s="31" t="s">
        <v>25</v>
      </c>
      <c r="G13" s="31" t="s">
        <v>25</v>
      </c>
      <c r="H13" s="31" t="s">
        <v>25</v>
      </c>
      <c r="I13" s="31" t="s">
        <v>25</v>
      </c>
      <c r="J13" s="31" t="s">
        <v>877</v>
      </c>
      <c r="K13" s="31" t="s">
        <v>878</v>
      </c>
      <c r="L13" s="31" t="s">
        <v>85</v>
      </c>
      <c r="M13" s="31">
        <v>2021</v>
      </c>
      <c r="N13" s="31">
        <v>0</v>
      </c>
      <c r="O13" s="31">
        <v>19.8</v>
      </c>
      <c r="P13" s="31">
        <v>0</v>
      </c>
    </row>
    <row r="14" spans="1:50" ht="11.25" customHeight="1" x14ac:dyDescent="0.25">
      <c r="A14" s="31">
        <v>13</v>
      </c>
      <c r="B14" s="31" t="s">
        <v>734</v>
      </c>
      <c r="C14" s="31" t="s">
        <v>43</v>
      </c>
      <c r="D14" s="31" t="s">
        <v>44</v>
      </c>
      <c r="E14" s="31" t="s">
        <v>25</v>
      </c>
      <c r="F14" s="31" t="s">
        <v>25</v>
      </c>
      <c r="G14" s="31" t="s">
        <v>25</v>
      </c>
      <c r="H14" s="31" t="s">
        <v>25</v>
      </c>
      <c r="I14" s="31" t="s">
        <v>36</v>
      </c>
      <c r="J14" s="31" t="s">
        <v>879</v>
      </c>
      <c r="K14" s="31" t="s">
        <v>878</v>
      </c>
      <c r="L14" s="31" t="s">
        <v>82</v>
      </c>
      <c r="M14" s="31">
        <v>2021</v>
      </c>
      <c r="N14" s="31">
        <v>0</v>
      </c>
      <c r="O14" s="31">
        <v>1448.96</v>
      </c>
      <c r="P14" s="31">
        <v>22.261437178405501</v>
      </c>
    </row>
    <row r="15" spans="1:50" ht="11.25" customHeight="1" x14ac:dyDescent="0.25">
      <c r="A15" s="31">
        <v>14</v>
      </c>
      <c r="B15" s="31" t="s">
        <v>734</v>
      </c>
      <c r="C15" s="31" t="s">
        <v>43</v>
      </c>
      <c r="D15" s="31" t="s">
        <v>44</v>
      </c>
      <c r="E15" s="31" t="s">
        <v>25</v>
      </c>
      <c r="F15" s="31" t="s">
        <v>25</v>
      </c>
      <c r="G15" s="31" t="s">
        <v>25</v>
      </c>
      <c r="H15" s="31" t="s">
        <v>25</v>
      </c>
      <c r="I15" s="31" t="s">
        <v>37</v>
      </c>
      <c r="J15" s="31" t="s">
        <v>879</v>
      </c>
      <c r="K15" s="31" t="s">
        <v>878</v>
      </c>
      <c r="L15" s="31" t="s">
        <v>82</v>
      </c>
      <c r="M15" s="31">
        <v>2021</v>
      </c>
      <c r="N15" s="31">
        <v>0</v>
      </c>
      <c r="O15" s="31">
        <v>84.31</v>
      </c>
      <c r="P15" s="31">
        <v>22.261437178405501</v>
      </c>
    </row>
    <row r="16" spans="1:50" ht="11.25" customHeight="1" x14ac:dyDescent="0.25">
      <c r="A16" s="31">
        <v>15</v>
      </c>
      <c r="B16" s="31" t="s">
        <v>734</v>
      </c>
      <c r="C16" s="31" t="s">
        <v>43</v>
      </c>
      <c r="D16" s="31" t="s">
        <v>44</v>
      </c>
      <c r="E16" s="31" t="s">
        <v>25</v>
      </c>
      <c r="F16" s="31" t="s">
        <v>25</v>
      </c>
      <c r="G16" s="31" t="s">
        <v>89</v>
      </c>
      <c r="H16" s="31" t="s">
        <v>25</v>
      </c>
      <c r="I16" s="31" t="s">
        <v>36</v>
      </c>
      <c r="J16" s="31" t="s">
        <v>879</v>
      </c>
      <c r="K16" s="31" t="s">
        <v>878</v>
      </c>
      <c r="L16" s="31" t="s">
        <v>82</v>
      </c>
      <c r="M16" s="31">
        <v>2021</v>
      </c>
      <c r="N16" s="31">
        <v>0</v>
      </c>
      <c r="O16" s="31">
        <v>1395.76</v>
      </c>
      <c r="P16" s="31">
        <v>0</v>
      </c>
    </row>
    <row r="17" spans="1:16" ht="11.25" customHeight="1" x14ac:dyDescent="0.25">
      <c r="A17" s="31">
        <v>16</v>
      </c>
      <c r="B17" s="31" t="s">
        <v>734</v>
      </c>
      <c r="C17" s="31" t="s">
        <v>43</v>
      </c>
      <c r="D17" s="31" t="s">
        <v>44</v>
      </c>
      <c r="E17" s="31" t="s">
        <v>25</v>
      </c>
      <c r="F17" s="31" t="s">
        <v>25</v>
      </c>
      <c r="G17" s="31" t="s">
        <v>89</v>
      </c>
      <c r="H17" s="31" t="s">
        <v>25</v>
      </c>
      <c r="I17" s="31" t="s">
        <v>37</v>
      </c>
      <c r="J17" s="31" t="s">
        <v>879</v>
      </c>
      <c r="K17" s="31" t="s">
        <v>878</v>
      </c>
      <c r="L17" s="31" t="s">
        <v>82</v>
      </c>
      <c r="M17" s="31">
        <v>2021</v>
      </c>
      <c r="N17" s="31">
        <v>0</v>
      </c>
      <c r="O17" s="31">
        <v>31.1</v>
      </c>
      <c r="P17" s="31">
        <v>0</v>
      </c>
    </row>
    <row r="18" spans="1:16" ht="11.25" customHeight="1" x14ac:dyDescent="0.25">
      <c r="A18" s="31">
        <v>17</v>
      </c>
      <c r="B18" s="31" t="s">
        <v>734</v>
      </c>
      <c r="C18" s="31" t="s">
        <v>43</v>
      </c>
      <c r="D18" s="31" t="s">
        <v>23</v>
      </c>
      <c r="E18" s="31" t="s">
        <v>25</v>
      </c>
      <c r="F18" s="31" t="s">
        <v>25</v>
      </c>
      <c r="G18" s="31" t="s">
        <v>25</v>
      </c>
      <c r="H18" s="31" t="s">
        <v>25</v>
      </c>
      <c r="I18" s="31" t="s">
        <v>25</v>
      </c>
      <c r="J18" s="31" t="s">
        <v>877</v>
      </c>
      <c r="K18" s="31" t="s">
        <v>878</v>
      </c>
      <c r="L18" s="31" t="s">
        <v>85</v>
      </c>
      <c r="M18" s="31">
        <v>2021</v>
      </c>
      <c r="N18" s="31">
        <v>0</v>
      </c>
      <c r="O18" s="31">
        <v>60.27</v>
      </c>
      <c r="P18" s="31">
        <v>0</v>
      </c>
    </row>
    <row r="19" spans="1:16" ht="11.25" customHeight="1" x14ac:dyDescent="0.25">
      <c r="A19" s="31">
        <v>18</v>
      </c>
      <c r="B19" s="31" t="s">
        <v>734</v>
      </c>
      <c r="C19" s="31" t="s">
        <v>43</v>
      </c>
      <c r="D19" s="31" t="s">
        <v>23</v>
      </c>
      <c r="E19" s="31" t="s">
        <v>25</v>
      </c>
      <c r="F19" s="31" t="s">
        <v>25</v>
      </c>
      <c r="G19" s="31" t="s">
        <v>25</v>
      </c>
      <c r="H19" s="31" t="s">
        <v>25</v>
      </c>
      <c r="I19" s="31" t="s">
        <v>25</v>
      </c>
      <c r="J19" s="31" t="s">
        <v>879</v>
      </c>
      <c r="K19" s="31" t="s">
        <v>878</v>
      </c>
      <c r="L19" s="31" t="s">
        <v>82</v>
      </c>
      <c r="M19" s="31">
        <v>2021</v>
      </c>
      <c r="N19" s="31">
        <v>0</v>
      </c>
      <c r="O19" s="31">
        <v>84.31</v>
      </c>
      <c r="P19" s="31">
        <v>22.261437178405501</v>
      </c>
    </row>
    <row r="20" spans="1:16" ht="11.25" customHeight="1" x14ac:dyDescent="0.25">
      <c r="A20" s="31">
        <v>19</v>
      </c>
      <c r="B20" s="31" t="s">
        <v>734</v>
      </c>
      <c r="C20" s="31" t="s">
        <v>41</v>
      </c>
      <c r="D20" s="31" t="s">
        <v>42</v>
      </c>
      <c r="E20" s="31" t="s">
        <v>25</v>
      </c>
      <c r="F20" s="31" t="s">
        <v>25</v>
      </c>
      <c r="G20" s="31" t="s">
        <v>25</v>
      </c>
      <c r="H20" s="31" t="s">
        <v>25</v>
      </c>
      <c r="I20" s="31" t="s">
        <v>36</v>
      </c>
      <c r="J20" s="31" t="s">
        <v>877</v>
      </c>
      <c r="K20" s="31" t="s">
        <v>878</v>
      </c>
      <c r="L20" s="31" t="s">
        <v>85</v>
      </c>
      <c r="M20" s="31">
        <v>2021</v>
      </c>
      <c r="N20" s="31">
        <v>0</v>
      </c>
      <c r="O20" s="31">
        <v>56.22</v>
      </c>
      <c r="P20" s="31">
        <v>0</v>
      </c>
    </row>
    <row r="21" spans="1:16" ht="11.25" customHeight="1" x14ac:dyDescent="0.25">
      <c r="A21" s="31">
        <v>20</v>
      </c>
      <c r="B21" s="31" t="s">
        <v>734</v>
      </c>
      <c r="C21" s="31" t="s">
        <v>41</v>
      </c>
      <c r="D21" s="31" t="s">
        <v>42</v>
      </c>
      <c r="E21" s="31" t="s">
        <v>25</v>
      </c>
      <c r="F21" s="31" t="s">
        <v>25</v>
      </c>
      <c r="G21" s="31" t="s">
        <v>25</v>
      </c>
      <c r="H21" s="31" t="s">
        <v>25</v>
      </c>
      <c r="I21" s="31" t="s">
        <v>37</v>
      </c>
      <c r="J21" s="31" t="s">
        <v>877</v>
      </c>
      <c r="K21" s="31" t="s">
        <v>878</v>
      </c>
      <c r="L21" s="31" t="s">
        <v>85</v>
      </c>
      <c r="M21" s="31">
        <v>2021</v>
      </c>
      <c r="N21" s="31">
        <v>0</v>
      </c>
      <c r="O21" s="31">
        <v>19.8</v>
      </c>
      <c r="P21" s="31">
        <v>0</v>
      </c>
    </row>
    <row r="22" spans="1:16" ht="11.25" customHeight="1" x14ac:dyDescent="0.25">
      <c r="A22" s="31">
        <v>21</v>
      </c>
      <c r="B22" s="31" t="s">
        <v>734</v>
      </c>
      <c r="C22" s="31" t="s">
        <v>41</v>
      </c>
      <c r="D22" s="31" t="s">
        <v>42</v>
      </c>
      <c r="E22" s="31" t="s">
        <v>25</v>
      </c>
      <c r="F22" s="31" t="s">
        <v>25</v>
      </c>
      <c r="G22" s="31" t="s">
        <v>25</v>
      </c>
      <c r="H22" s="31" t="s">
        <v>25</v>
      </c>
      <c r="I22" s="31" t="s">
        <v>25</v>
      </c>
      <c r="J22" s="31" t="s">
        <v>879</v>
      </c>
      <c r="K22" s="31" t="s">
        <v>878</v>
      </c>
      <c r="L22" s="31" t="s">
        <v>82</v>
      </c>
      <c r="M22" s="31">
        <v>2021</v>
      </c>
      <c r="N22" s="31">
        <v>0</v>
      </c>
      <c r="O22" s="31">
        <v>84.31</v>
      </c>
      <c r="P22" s="31">
        <v>22.261437178405501</v>
      </c>
    </row>
    <row r="23" spans="1:16" ht="11.25" customHeight="1" x14ac:dyDescent="0.25">
      <c r="A23" s="31">
        <v>22</v>
      </c>
      <c r="B23" s="31" t="s">
        <v>734</v>
      </c>
      <c r="C23" s="31" t="s">
        <v>41</v>
      </c>
      <c r="D23" s="31" t="s">
        <v>42</v>
      </c>
      <c r="E23" s="31" t="s">
        <v>25</v>
      </c>
      <c r="F23" s="31" t="s">
        <v>25</v>
      </c>
      <c r="G23" s="31" t="s">
        <v>89</v>
      </c>
      <c r="H23" s="31" t="s">
        <v>25</v>
      </c>
      <c r="I23" s="31" t="s">
        <v>25</v>
      </c>
      <c r="J23" s="31" t="s">
        <v>879</v>
      </c>
      <c r="K23" s="31" t="s">
        <v>878</v>
      </c>
      <c r="L23" s="31" t="s">
        <v>82</v>
      </c>
      <c r="M23" s="31">
        <v>2021</v>
      </c>
      <c r="N23" s="31">
        <v>0</v>
      </c>
      <c r="O23" s="31">
        <v>31.1</v>
      </c>
      <c r="P23" s="31">
        <v>0</v>
      </c>
    </row>
    <row r="24" spans="1:16" ht="11.25" customHeight="1" x14ac:dyDescent="0.25">
      <c r="A24" s="31">
        <v>23</v>
      </c>
      <c r="B24" s="31" t="s">
        <v>734</v>
      </c>
      <c r="C24" s="31" t="s">
        <v>41</v>
      </c>
      <c r="D24" s="31" t="s">
        <v>62</v>
      </c>
      <c r="E24" s="31" t="s">
        <v>25</v>
      </c>
      <c r="F24" s="31" t="s">
        <v>25</v>
      </c>
      <c r="G24" s="31" t="s">
        <v>25</v>
      </c>
      <c r="H24" s="31" t="s">
        <v>63</v>
      </c>
      <c r="I24" s="31" t="s">
        <v>36</v>
      </c>
      <c r="J24" s="31" t="s">
        <v>877</v>
      </c>
      <c r="K24" s="31" t="s">
        <v>878</v>
      </c>
      <c r="L24" s="31" t="s">
        <v>85</v>
      </c>
      <c r="M24" s="31">
        <v>2021</v>
      </c>
      <c r="N24" s="31">
        <v>0</v>
      </c>
      <c r="O24" s="31">
        <v>15.78</v>
      </c>
      <c r="P24" s="31">
        <v>0</v>
      </c>
    </row>
    <row r="25" spans="1:16" ht="11.25" customHeight="1" x14ac:dyDescent="0.25">
      <c r="A25" s="31">
        <v>24</v>
      </c>
      <c r="B25" s="31" t="s">
        <v>734</v>
      </c>
      <c r="C25" s="31" t="s">
        <v>41</v>
      </c>
      <c r="D25" s="31" t="s">
        <v>62</v>
      </c>
      <c r="E25" s="31" t="s">
        <v>25</v>
      </c>
      <c r="F25" s="31" t="s">
        <v>25</v>
      </c>
      <c r="G25" s="31" t="s">
        <v>25</v>
      </c>
      <c r="H25" s="31" t="s">
        <v>63</v>
      </c>
      <c r="I25" s="31" t="s">
        <v>37</v>
      </c>
      <c r="J25" s="31" t="s">
        <v>877</v>
      </c>
      <c r="K25" s="31" t="s">
        <v>878</v>
      </c>
      <c r="L25" s="31" t="s">
        <v>85</v>
      </c>
      <c r="M25" s="31">
        <v>2021</v>
      </c>
      <c r="N25" s="31">
        <v>0</v>
      </c>
      <c r="O25" s="31">
        <v>7.64</v>
      </c>
      <c r="P25" s="31">
        <v>0</v>
      </c>
    </row>
    <row r="26" spans="1:16" ht="11.25" customHeight="1" x14ac:dyDescent="0.25">
      <c r="A26" s="31">
        <v>25</v>
      </c>
      <c r="B26" s="31" t="s">
        <v>734</v>
      </c>
      <c r="C26" s="31" t="s">
        <v>41</v>
      </c>
      <c r="D26" s="31" t="s">
        <v>62</v>
      </c>
      <c r="E26" s="31" t="s">
        <v>25</v>
      </c>
      <c r="F26" s="31" t="s">
        <v>25</v>
      </c>
      <c r="G26" s="31" t="s">
        <v>25</v>
      </c>
      <c r="H26" s="31" t="s">
        <v>63</v>
      </c>
      <c r="I26" s="31" t="s">
        <v>25</v>
      </c>
      <c r="J26" s="31" t="s">
        <v>879</v>
      </c>
      <c r="K26" s="31" t="s">
        <v>878</v>
      </c>
      <c r="L26" s="31" t="s">
        <v>82</v>
      </c>
      <c r="M26" s="31">
        <v>2021</v>
      </c>
      <c r="N26" s="31">
        <v>0</v>
      </c>
      <c r="O26" s="31">
        <v>10.28</v>
      </c>
      <c r="P26" s="31">
        <v>0</v>
      </c>
    </row>
    <row r="27" spans="1:16" ht="11.25" customHeight="1" x14ac:dyDescent="0.25">
      <c r="A27" s="31">
        <v>26</v>
      </c>
      <c r="B27" s="31" t="s">
        <v>734</v>
      </c>
      <c r="C27" s="31" t="s">
        <v>41</v>
      </c>
      <c r="D27" s="31" t="s">
        <v>91</v>
      </c>
      <c r="E27" s="31" t="s">
        <v>25</v>
      </c>
      <c r="F27" s="31" t="s">
        <v>25</v>
      </c>
      <c r="G27" s="31" t="s">
        <v>25</v>
      </c>
      <c r="H27" s="31" t="s">
        <v>25</v>
      </c>
      <c r="I27" s="31" t="s">
        <v>25</v>
      </c>
      <c r="J27" s="31" t="s">
        <v>877</v>
      </c>
      <c r="K27" s="31" t="s">
        <v>878</v>
      </c>
      <c r="L27" s="31" t="s">
        <v>85</v>
      </c>
      <c r="M27" s="31">
        <v>2021</v>
      </c>
      <c r="N27" s="31">
        <v>0</v>
      </c>
      <c r="O27" s="31">
        <v>18.98</v>
      </c>
      <c r="P27" s="31">
        <v>0</v>
      </c>
    </row>
    <row r="28" spans="1:16" ht="11.25" customHeight="1" x14ac:dyDescent="0.25">
      <c r="A28" s="31">
        <v>27</v>
      </c>
      <c r="B28" s="31" t="s">
        <v>734</v>
      </c>
      <c r="C28" s="31" t="s">
        <v>41</v>
      </c>
      <c r="D28" s="31" t="s">
        <v>44</v>
      </c>
      <c r="E28" s="31" t="s">
        <v>25</v>
      </c>
      <c r="F28" s="31" t="s">
        <v>25</v>
      </c>
      <c r="G28" s="31" t="s">
        <v>25</v>
      </c>
      <c r="H28" s="31" t="s">
        <v>25</v>
      </c>
      <c r="I28" s="31" t="s">
        <v>25</v>
      </c>
      <c r="J28" s="31" t="s">
        <v>877</v>
      </c>
      <c r="K28" s="31" t="s">
        <v>878</v>
      </c>
      <c r="L28" s="31" t="s">
        <v>85</v>
      </c>
      <c r="M28" s="31">
        <v>2021</v>
      </c>
      <c r="N28" s="31">
        <v>0</v>
      </c>
      <c r="O28" s="31">
        <v>19.8</v>
      </c>
      <c r="P28" s="31">
        <v>0</v>
      </c>
    </row>
    <row r="29" spans="1:16" ht="11.25" customHeight="1" x14ac:dyDescent="0.25">
      <c r="A29" s="31">
        <v>28</v>
      </c>
      <c r="B29" s="31" t="s">
        <v>734</v>
      </c>
      <c r="C29" s="31" t="s">
        <v>41</v>
      </c>
      <c r="D29" s="31" t="s">
        <v>44</v>
      </c>
      <c r="E29" s="31" t="s">
        <v>25</v>
      </c>
      <c r="F29" s="31" t="s">
        <v>25</v>
      </c>
      <c r="G29" s="31" t="s">
        <v>25</v>
      </c>
      <c r="H29" s="31" t="s">
        <v>25</v>
      </c>
      <c r="I29" s="31" t="s">
        <v>36</v>
      </c>
      <c r="J29" s="31" t="s">
        <v>879</v>
      </c>
      <c r="K29" s="31" t="s">
        <v>878</v>
      </c>
      <c r="L29" s="31" t="s">
        <v>82</v>
      </c>
      <c r="M29" s="31">
        <v>2021</v>
      </c>
      <c r="N29" s="31">
        <v>0</v>
      </c>
      <c r="O29" s="31">
        <v>1448.96</v>
      </c>
      <c r="P29" s="31">
        <v>22.261437178405501</v>
      </c>
    </row>
    <row r="30" spans="1:16" ht="11.25" customHeight="1" x14ac:dyDescent="0.25">
      <c r="A30" s="31">
        <v>29</v>
      </c>
      <c r="B30" s="31" t="s">
        <v>734</v>
      </c>
      <c r="C30" s="31" t="s">
        <v>41</v>
      </c>
      <c r="D30" s="31" t="s">
        <v>44</v>
      </c>
      <c r="E30" s="31" t="s">
        <v>25</v>
      </c>
      <c r="F30" s="31" t="s">
        <v>25</v>
      </c>
      <c r="G30" s="31" t="s">
        <v>25</v>
      </c>
      <c r="H30" s="31" t="s">
        <v>25</v>
      </c>
      <c r="I30" s="31" t="s">
        <v>37</v>
      </c>
      <c r="J30" s="31" t="s">
        <v>879</v>
      </c>
      <c r="K30" s="31" t="s">
        <v>878</v>
      </c>
      <c r="L30" s="31" t="s">
        <v>82</v>
      </c>
      <c r="M30" s="31">
        <v>2021</v>
      </c>
      <c r="N30" s="31">
        <v>0</v>
      </c>
      <c r="O30" s="31">
        <v>84.31</v>
      </c>
      <c r="P30" s="31">
        <v>22.261437178405501</v>
      </c>
    </row>
    <row r="31" spans="1:16" ht="11.25" customHeight="1" x14ac:dyDescent="0.25">
      <c r="A31" s="31">
        <v>30</v>
      </c>
      <c r="B31" s="31" t="s">
        <v>734</v>
      </c>
      <c r="C31" s="31" t="s">
        <v>41</v>
      </c>
      <c r="D31" s="31" t="s">
        <v>44</v>
      </c>
      <c r="E31" s="31" t="s">
        <v>25</v>
      </c>
      <c r="F31" s="31" t="s">
        <v>25</v>
      </c>
      <c r="G31" s="31" t="s">
        <v>89</v>
      </c>
      <c r="H31" s="31" t="s">
        <v>25</v>
      </c>
      <c r="I31" s="31" t="s">
        <v>36</v>
      </c>
      <c r="J31" s="31" t="s">
        <v>879</v>
      </c>
      <c r="K31" s="31" t="s">
        <v>878</v>
      </c>
      <c r="L31" s="31" t="s">
        <v>82</v>
      </c>
      <c r="M31" s="31">
        <v>2021</v>
      </c>
      <c r="N31" s="31">
        <v>0</v>
      </c>
      <c r="O31" s="31">
        <v>1395.76</v>
      </c>
      <c r="P31" s="31">
        <v>0</v>
      </c>
    </row>
    <row r="32" spans="1:16" ht="11.25" customHeight="1" x14ac:dyDescent="0.25">
      <c r="A32" s="31">
        <v>31</v>
      </c>
      <c r="B32" s="31" t="s">
        <v>734</v>
      </c>
      <c r="C32" s="31" t="s">
        <v>41</v>
      </c>
      <c r="D32" s="31" t="s">
        <v>44</v>
      </c>
      <c r="E32" s="31" t="s">
        <v>25</v>
      </c>
      <c r="F32" s="31" t="s">
        <v>25</v>
      </c>
      <c r="G32" s="31" t="s">
        <v>89</v>
      </c>
      <c r="H32" s="31" t="s">
        <v>25</v>
      </c>
      <c r="I32" s="31" t="s">
        <v>37</v>
      </c>
      <c r="J32" s="31" t="s">
        <v>879</v>
      </c>
      <c r="K32" s="31" t="s">
        <v>878</v>
      </c>
      <c r="L32" s="31" t="s">
        <v>82</v>
      </c>
      <c r="M32" s="31">
        <v>2021</v>
      </c>
      <c r="N32" s="31">
        <v>0</v>
      </c>
      <c r="O32" s="31">
        <v>31.1</v>
      </c>
      <c r="P32" s="31">
        <v>0</v>
      </c>
    </row>
    <row r="33" spans="1:16" ht="11.25" customHeight="1" x14ac:dyDescent="0.25">
      <c r="A33" s="31">
        <v>32</v>
      </c>
      <c r="B33" s="31" t="s">
        <v>734</v>
      </c>
      <c r="C33" s="31" t="s">
        <v>41</v>
      </c>
      <c r="D33" s="31" t="s">
        <v>23</v>
      </c>
      <c r="E33" s="31" t="s">
        <v>25</v>
      </c>
      <c r="F33" s="31" t="s">
        <v>25</v>
      </c>
      <c r="G33" s="31" t="s">
        <v>25</v>
      </c>
      <c r="H33" s="31" t="s">
        <v>25</v>
      </c>
      <c r="I33" s="31" t="s">
        <v>25</v>
      </c>
      <c r="J33" s="31" t="s">
        <v>877</v>
      </c>
      <c r="K33" s="31" t="s">
        <v>878</v>
      </c>
      <c r="L33" s="31" t="s">
        <v>85</v>
      </c>
      <c r="M33" s="31">
        <v>2021</v>
      </c>
      <c r="N33" s="31">
        <v>0</v>
      </c>
      <c r="O33" s="31">
        <v>60.27</v>
      </c>
      <c r="P33" s="31">
        <v>0</v>
      </c>
    </row>
    <row r="34" spans="1:16" ht="11.25" customHeight="1" x14ac:dyDescent="0.25">
      <c r="A34" s="31">
        <v>33</v>
      </c>
      <c r="B34" s="31" t="s">
        <v>734</v>
      </c>
      <c r="C34" s="31" t="s">
        <v>41</v>
      </c>
      <c r="D34" s="31" t="s">
        <v>23</v>
      </c>
      <c r="E34" s="31" t="s">
        <v>25</v>
      </c>
      <c r="F34" s="31" t="s">
        <v>25</v>
      </c>
      <c r="G34" s="31" t="s">
        <v>25</v>
      </c>
      <c r="H34" s="31" t="s">
        <v>25</v>
      </c>
      <c r="I34" s="31" t="s">
        <v>25</v>
      </c>
      <c r="J34" s="31" t="s">
        <v>879</v>
      </c>
      <c r="K34" s="31" t="s">
        <v>878</v>
      </c>
      <c r="L34" s="31" t="s">
        <v>82</v>
      </c>
      <c r="M34" s="31">
        <v>2021</v>
      </c>
      <c r="N34" s="31">
        <v>0</v>
      </c>
      <c r="O34" s="31">
        <v>84.31</v>
      </c>
      <c r="P34" s="31">
        <v>22.261437178405501</v>
      </c>
    </row>
    <row r="35" spans="1:16" ht="11.25" customHeight="1" x14ac:dyDescent="0.25">
      <c r="A35" s="31">
        <v>34</v>
      </c>
      <c r="B35" s="31" t="s">
        <v>734</v>
      </c>
      <c r="C35" s="31" t="s">
        <v>95</v>
      </c>
      <c r="D35" s="31" t="s">
        <v>91</v>
      </c>
      <c r="E35" s="31" t="s">
        <v>25</v>
      </c>
      <c r="F35" s="31" t="s">
        <v>25</v>
      </c>
      <c r="G35" s="31" t="s">
        <v>96</v>
      </c>
      <c r="H35" s="31" t="s">
        <v>25</v>
      </c>
      <c r="I35" s="31" t="s">
        <v>25</v>
      </c>
      <c r="J35" s="31" t="s">
        <v>877</v>
      </c>
      <c r="K35" s="31" t="s">
        <v>878</v>
      </c>
      <c r="L35" s="31" t="s">
        <v>85</v>
      </c>
      <c r="M35" s="31">
        <v>2021</v>
      </c>
      <c r="N35" s="31">
        <v>0</v>
      </c>
      <c r="O35" s="31">
        <v>14.52</v>
      </c>
      <c r="P35" s="31">
        <v>0</v>
      </c>
    </row>
    <row r="36" spans="1:16" ht="11.25" customHeight="1" x14ac:dyDescent="0.25">
      <c r="A36" s="31">
        <v>35</v>
      </c>
      <c r="B36" s="31" t="s">
        <v>734</v>
      </c>
      <c r="C36" s="31" t="s">
        <v>95</v>
      </c>
      <c r="D36" s="31" t="s">
        <v>91</v>
      </c>
      <c r="E36" s="31" t="s">
        <v>25</v>
      </c>
      <c r="F36" s="31" t="s">
        <v>25</v>
      </c>
      <c r="G36" s="31" t="s">
        <v>97</v>
      </c>
      <c r="H36" s="31" t="s">
        <v>25</v>
      </c>
      <c r="I36" s="31" t="s">
        <v>25</v>
      </c>
      <c r="J36" s="31" t="s">
        <v>877</v>
      </c>
      <c r="K36" s="31" t="s">
        <v>878</v>
      </c>
      <c r="L36" s="31" t="s">
        <v>85</v>
      </c>
      <c r="M36" s="31">
        <v>2021</v>
      </c>
      <c r="N36" s="31">
        <v>0</v>
      </c>
      <c r="O36" s="31">
        <v>32.28</v>
      </c>
      <c r="P36" s="31">
        <v>0</v>
      </c>
    </row>
    <row r="37" spans="1:16" ht="11.25" customHeight="1" x14ac:dyDescent="0.25">
      <c r="A37" s="31">
        <v>36</v>
      </c>
      <c r="B37" s="31" t="s">
        <v>734</v>
      </c>
      <c r="C37" s="31" t="s">
        <v>22</v>
      </c>
      <c r="D37" s="31" t="s">
        <v>35</v>
      </c>
      <c r="E37" s="31" t="s">
        <v>24</v>
      </c>
      <c r="F37" s="31" t="s">
        <v>24</v>
      </c>
      <c r="G37" s="31" t="s">
        <v>25</v>
      </c>
      <c r="H37" s="31" t="s">
        <v>25</v>
      </c>
      <c r="I37" s="31" t="s">
        <v>36</v>
      </c>
      <c r="J37" s="31" t="s">
        <v>879</v>
      </c>
      <c r="K37" s="31" t="s">
        <v>878</v>
      </c>
      <c r="L37" s="31" t="s">
        <v>82</v>
      </c>
      <c r="M37" s="31">
        <v>2021</v>
      </c>
      <c r="N37" s="31">
        <v>0</v>
      </c>
      <c r="O37" s="31">
        <v>1215.78</v>
      </c>
      <c r="P37" s="31">
        <v>25.587858825753401</v>
      </c>
    </row>
    <row r="38" spans="1:16" ht="11.25" customHeight="1" x14ac:dyDescent="0.25">
      <c r="A38" s="31">
        <v>37</v>
      </c>
      <c r="B38" s="31" t="s">
        <v>734</v>
      </c>
      <c r="C38" s="31" t="s">
        <v>22</v>
      </c>
      <c r="D38" s="31" t="s">
        <v>35</v>
      </c>
      <c r="E38" s="31" t="s">
        <v>24</v>
      </c>
      <c r="F38" s="31" t="s">
        <v>24</v>
      </c>
      <c r="G38" s="31" t="s">
        <v>25</v>
      </c>
      <c r="H38" s="31" t="s">
        <v>25</v>
      </c>
      <c r="I38" s="31" t="s">
        <v>38</v>
      </c>
      <c r="J38" s="31" t="s">
        <v>879</v>
      </c>
      <c r="K38" s="31" t="s">
        <v>878</v>
      </c>
      <c r="L38" s="31" t="s">
        <v>82</v>
      </c>
      <c r="M38" s="31">
        <v>2021</v>
      </c>
      <c r="N38" s="31">
        <v>0</v>
      </c>
      <c r="O38" s="31">
        <v>774.97</v>
      </c>
      <c r="P38" s="31">
        <v>25.587858825753401</v>
      </c>
    </row>
    <row r="39" spans="1:16" ht="11.25" customHeight="1" x14ac:dyDescent="0.25">
      <c r="A39" s="31">
        <v>38</v>
      </c>
      <c r="B39" s="31" t="s">
        <v>734</v>
      </c>
      <c r="C39" s="31" t="s">
        <v>22</v>
      </c>
      <c r="D39" s="31" t="s">
        <v>35</v>
      </c>
      <c r="E39" s="31" t="s">
        <v>24</v>
      </c>
      <c r="F39" s="31" t="s">
        <v>24</v>
      </c>
      <c r="G39" s="31" t="s">
        <v>25</v>
      </c>
      <c r="H39" s="31" t="s">
        <v>25</v>
      </c>
      <c r="I39" s="31" t="s">
        <v>37</v>
      </c>
      <c r="J39" s="31" t="s">
        <v>879</v>
      </c>
      <c r="K39" s="31" t="s">
        <v>878</v>
      </c>
      <c r="L39" s="31" t="s">
        <v>82</v>
      </c>
      <c r="M39" s="31">
        <v>2021</v>
      </c>
      <c r="N39" s="31">
        <v>0</v>
      </c>
      <c r="O39" s="31">
        <v>334.16</v>
      </c>
      <c r="P39" s="31">
        <v>25.587858825753401</v>
      </c>
    </row>
    <row r="40" spans="1:16" ht="11.25" customHeight="1" x14ac:dyDescent="0.25">
      <c r="A40" s="31">
        <v>39</v>
      </c>
      <c r="B40" s="31" t="s">
        <v>734</v>
      </c>
      <c r="C40" s="31" t="s">
        <v>22</v>
      </c>
      <c r="D40" s="31" t="s">
        <v>23</v>
      </c>
      <c r="E40" s="31" t="s">
        <v>24</v>
      </c>
      <c r="F40" s="31" t="s">
        <v>24</v>
      </c>
      <c r="G40" s="31" t="s">
        <v>25</v>
      </c>
      <c r="H40" s="31" t="s">
        <v>25</v>
      </c>
      <c r="I40" s="31" t="s">
        <v>25</v>
      </c>
      <c r="J40" s="31" t="s">
        <v>879</v>
      </c>
      <c r="K40" s="31" t="s">
        <v>878</v>
      </c>
      <c r="L40" s="31" t="s">
        <v>82</v>
      </c>
      <c r="M40" s="31">
        <v>2021</v>
      </c>
      <c r="N40" s="31">
        <v>0</v>
      </c>
      <c r="O40" s="31">
        <v>463.6</v>
      </c>
      <c r="P40" s="31">
        <v>25.587858825753401</v>
      </c>
    </row>
    <row r="41" spans="1:16" ht="11.25" customHeight="1" x14ac:dyDescent="0.25">
      <c r="A41" s="31">
        <v>40</v>
      </c>
      <c r="B41" s="31" t="s">
        <v>734</v>
      </c>
      <c r="C41" s="31" t="s">
        <v>22</v>
      </c>
      <c r="D41" s="31" t="s">
        <v>23</v>
      </c>
      <c r="E41" s="31" t="s">
        <v>24</v>
      </c>
      <c r="F41" s="31" t="s">
        <v>31</v>
      </c>
      <c r="G41" s="31" t="s">
        <v>25</v>
      </c>
      <c r="H41" s="31" t="s">
        <v>25</v>
      </c>
      <c r="I41" s="31" t="s">
        <v>25</v>
      </c>
      <c r="J41" s="31" t="s">
        <v>879</v>
      </c>
      <c r="K41" s="31" t="s">
        <v>878</v>
      </c>
      <c r="L41" s="31" t="s">
        <v>82</v>
      </c>
      <c r="M41" s="31">
        <v>2021</v>
      </c>
      <c r="N41" s="31">
        <v>0</v>
      </c>
      <c r="O41" s="31">
        <v>141.44</v>
      </c>
      <c r="P41" s="31">
        <v>0</v>
      </c>
    </row>
    <row r="42" spans="1:16" ht="11.25" customHeight="1" x14ac:dyDescent="0.25">
      <c r="A42" s="31">
        <v>41</v>
      </c>
      <c r="B42" s="31" t="s">
        <v>734</v>
      </c>
      <c r="C42" s="31" t="s">
        <v>22</v>
      </c>
      <c r="D42" s="31" t="s">
        <v>23</v>
      </c>
      <c r="E42" s="31" t="s">
        <v>24</v>
      </c>
      <c r="F42" s="31" t="s">
        <v>32</v>
      </c>
      <c r="G42" s="31" t="s">
        <v>25</v>
      </c>
      <c r="H42" s="31" t="s">
        <v>25</v>
      </c>
      <c r="I42" s="31" t="s">
        <v>25</v>
      </c>
      <c r="J42" s="31" t="s">
        <v>879</v>
      </c>
      <c r="K42" s="31" t="s">
        <v>878</v>
      </c>
      <c r="L42" s="31" t="s">
        <v>82</v>
      </c>
      <c r="M42" s="31">
        <v>2021</v>
      </c>
      <c r="N42" s="31">
        <v>0</v>
      </c>
      <c r="O42" s="31">
        <v>242.47</v>
      </c>
      <c r="P42" s="31">
        <v>0</v>
      </c>
    </row>
    <row r="43" spans="1:16" ht="11.25" customHeight="1" x14ac:dyDescent="0.25">
      <c r="A43" s="31">
        <v>42</v>
      </c>
      <c r="B43" s="31" t="s">
        <v>734</v>
      </c>
      <c r="C43" s="31" t="s">
        <v>22</v>
      </c>
      <c r="D43" s="31" t="s">
        <v>23</v>
      </c>
      <c r="E43" s="31" t="s">
        <v>24</v>
      </c>
      <c r="F43" s="31" t="s">
        <v>33</v>
      </c>
      <c r="G43" s="31" t="s">
        <v>25</v>
      </c>
      <c r="H43" s="31" t="s">
        <v>25</v>
      </c>
      <c r="I43" s="31" t="s">
        <v>25</v>
      </c>
      <c r="J43" s="31" t="s">
        <v>879</v>
      </c>
      <c r="K43" s="31" t="s">
        <v>878</v>
      </c>
      <c r="L43" s="31" t="s">
        <v>82</v>
      </c>
      <c r="M43" s="31">
        <v>2021</v>
      </c>
      <c r="N43" s="31">
        <v>0</v>
      </c>
      <c r="O43" s="31">
        <v>363.71</v>
      </c>
      <c r="P43" s="31">
        <v>0</v>
      </c>
    </row>
    <row r="44" spans="1:16" ht="11.25" customHeight="1" x14ac:dyDescent="0.25">
      <c r="A44" s="31">
        <v>43</v>
      </c>
      <c r="B44" s="31" t="s">
        <v>734</v>
      </c>
      <c r="C44" s="31" t="s">
        <v>22</v>
      </c>
      <c r="D44" s="31" t="s">
        <v>23</v>
      </c>
      <c r="E44" s="31" t="s">
        <v>24</v>
      </c>
      <c r="F44" s="31" t="s">
        <v>34</v>
      </c>
      <c r="G44" s="31" t="s">
        <v>25</v>
      </c>
      <c r="H44" s="31" t="s">
        <v>25</v>
      </c>
      <c r="I44" s="31" t="s">
        <v>25</v>
      </c>
      <c r="J44" s="31" t="s">
        <v>879</v>
      </c>
      <c r="K44" s="31" t="s">
        <v>878</v>
      </c>
      <c r="L44" s="31" t="s">
        <v>82</v>
      </c>
      <c r="M44" s="31">
        <v>2021</v>
      </c>
      <c r="N44" s="31">
        <v>0</v>
      </c>
      <c r="O44" s="31">
        <v>404.12</v>
      </c>
      <c r="P44" s="31">
        <v>0</v>
      </c>
    </row>
    <row r="45" spans="1:16" ht="11.25" customHeight="1" x14ac:dyDescent="0.25">
      <c r="A45" s="31">
        <v>44</v>
      </c>
      <c r="B45" s="31" t="s">
        <v>734</v>
      </c>
      <c r="C45" s="31" t="s">
        <v>22</v>
      </c>
      <c r="D45" s="31" t="s">
        <v>100</v>
      </c>
      <c r="E45" s="31" t="s">
        <v>24</v>
      </c>
      <c r="F45" s="31" t="s">
        <v>24</v>
      </c>
      <c r="G45" s="31" t="s">
        <v>25</v>
      </c>
      <c r="H45" s="31" t="s">
        <v>25</v>
      </c>
      <c r="I45" s="31" t="s">
        <v>25</v>
      </c>
      <c r="J45" s="31" t="s">
        <v>879</v>
      </c>
      <c r="K45" s="31" t="s">
        <v>878</v>
      </c>
      <c r="L45" s="31" t="s">
        <v>82</v>
      </c>
      <c r="M45" s="31">
        <v>2021</v>
      </c>
      <c r="N45" s="31">
        <v>0</v>
      </c>
      <c r="O45" s="31">
        <v>463.6</v>
      </c>
      <c r="P45" s="31">
        <v>25.587858825753401</v>
      </c>
    </row>
    <row r="46" spans="1:16" ht="11.25" customHeight="1" x14ac:dyDescent="0.25">
      <c r="A46" s="31">
        <v>45</v>
      </c>
      <c r="B46" s="31" t="s">
        <v>734</v>
      </c>
      <c r="C46" s="31" t="s">
        <v>22</v>
      </c>
      <c r="D46" s="31" t="s">
        <v>100</v>
      </c>
      <c r="E46" s="31" t="s">
        <v>24</v>
      </c>
      <c r="F46" s="31" t="s">
        <v>31</v>
      </c>
      <c r="G46" s="31" t="s">
        <v>25</v>
      </c>
      <c r="H46" s="31" t="s">
        <v>25</v>
      </c>
      <c r="I46" s="31" t="s">
        <v>25</v>
      </c>
      <c r="J46" s="31" t="s">
        <v>879</v>
      </c>
      <c r="K46" s="31" t="s">
        <v>878</v>
      </c>
      <c r="L46" s="31" t="s">
        <v>82</v>
      </c>
      <c r="M46" s="31">
        <v>2021</v>
      </c>
      <c r="N46" s="31">
        <v>0</v>
      </c>
      <c r="O46" s="31">
        <v>141.44</v>
      </c>
      <c r="P46" s="31">
        <v>0</v>
      </c>
    </row>
    <row r="47" spans="1:16" ht="11.25" customHeight="1" x14ac:dyDescent="0.25">
      <c r="A47" s="31">
        <v>46</v>
      </c>
      <c r="B47" s="31" t="s">
        <v>734</v>
      </c>
      <c r="C47" s="31" t="s">
        <v>22</v>
      </c>
      <c r="D47" s="31" t="s">
        <v>100</v>
      </c>
      <c r="E47" s="31" t="s">
        <v>24</v>
      </c>
      <c r="F47" s="31" t="s">
        <v>32</v>
      </c>
      <c r="G47" s="31" t="s">
        <v>25</v>
      </c>
      <c r="H47" s="31" t="s">
        <v>25</v>
      </c>
      <c r="I47" s="31" t="s">
        <v>25</v>
      </c>
      <c r="J47" s="31" t="s">
        <v>879</v>
      </c>
      <c r="K47" s="31" t="s">
        <v>878</v>
      </c>
      <c r="L47" s="31" t="s">
        <v>82</v>
      </c>
      <c r="M47" s="31">
        <v>2021</v>
      </c>
      <c r="N47" s="31">
        <v>0</v>
      </c>
      <c r="O47" s="31">
        <v>242.47</v>
      </c>
      <c r="P47" s="31">
        <v>0</v>
      </c>
    </row>
    <row r="48" spans="1:16" ht="11.25" customHeight="1" x14ac:dyDescent="0.25">
      <c r="A48" s="31">
        <v>47</v>
      </c>
      <c r="B48" s="31" t="s">
        <v>734</v>
      </c>
      <c r="C48" s="31" t="s">
        <v>22</v>
      </c>
      <c r="D48" s="31" t="s">
        <v>100</v>
      </c>
      <c r="E48" s="31" t="s">
        <v>24</v>
      </c>
      <c r="F48" s="31" t="s">
        <v>33</v>
      </c>
      <c r="G48" s="31" t="s">
        <v>25</v>
      </c>
      <c r="H48" s="31" t="s">
        <v>25</v>
      </c>
      <c r="I48" s="31" t="s">
        <v>25</v>
      </c>
      <c r="J48" s="31" t="s">
        <v>879</v>
      </c>
      <c r="K48" s="31" t="s">
        <v>878</v>
      </c>
      <c r="L48" s="31" t="s">
        <v>82</v>
      </c>
      <c r="M48" s="31">
        <v>2021</v>
      </c>
      <c r="N48" s="31">
        <v>0</v>
      </c>
      <c r="O48" s="31">
        <v>363.71</v>
      </c>
      <c r="P48" s="31">
        <v>0</v>
      </c>
    </row>
    <row r="49" spans="1:16" ht="11.25" customHeight="1" x14ac:dyDescent="0.25">
      <c r="A49" s="31">
        <v>48</v>
      </c>
      <c r="B49" s="31" t="s">
        <v>734</v>
      </c>
      <c r="C49" s="31" t="s">
        <v>22</v>
      </c>
      <c r="D49" s="31" t="s">
        <v>100</v>
      </c>
      <c r="E49" s="31" t="s">
        <v>24</v>
      </c>
      <c r="F49" s="31" t="s">
        <v>34</v>
      </c>
      <c r="G49" s="31" t="s">
        <v>25</v>
      </c>
      <c r="H49" s="31" t="s">
        <v>25</v>
      </c>
      <c r="I49" s="31" t="s">
        <v>25</v>
      </c>
      <c r="J49" s="31" t="s">
        <v>879</v>
      </c>
      <c r="K49" s="31" t="s">
        <v>878</v>
      </c>
      <c r="L49" s="31" t="s">
        <v>82</v>
      </c>
      <c r="M49" s="31">
        <v>2021</v>
      </c>
      <c r="N49" s="31">
        <v>0</v>
      </c>
      <c r="O49" s="31">
        <v>404.12</v>
      </c>
      <c r="P49" s="31">
        <v>0</v>
      </c>
    </row>
    <row r="50" spans="1:16" ht="11.25" customHeight="1" x14ac:dyDescent="0.25">
      <c r="A50" s="31">
        <v>49</v>
      </c>
      <c r="B50" s="31" t="s">
        <v>734</v>
      </c>
      <c r="C50" s="31" t="s">
        <v>46</v>
      </c>
      <c r="D50" s="31" t="s">
        <v>35</v>
      </c>
      <c r="E50" s="31" t="s">
        <v>47</v>
      </c>
      <c r="F50" s="31" t="s">
        <v>25</v>
      </c>
      <c r="G50" s="31" t="s">
        <v>25</v>
      </c>
      <c r="H50" s="31" t="s">
        <v>25</v>
      </c>
      <c r="I50" s="31" t="s">
        <v>36</v>
      </c>
      <c r="J50" s="31" t="s">
        <v>879</v>
      </c>
      <c r="K50" s="31" t="s">
        <v>878</v>
      </c>
      <c r="L50" s="31" t="s">
        <v>82</v>
      </c>
      <c r="M50" s="31">
        <v>2021</v>
      </c>
      <c r="N50" s="31">
        <v>0</v>
      </c>
      <c r="O50" s="31">
        <v>1039.0999999999999</v>
      </c>
      <c r="P50" s="31">
        <v>22.517315766663</v>
      </c>
    </row>
    <row r="51" spans="1:16" ht="11.25" customHeight="1" x14ac:dyDescent="0.25">
      <c r="A51" s="31">
        <v>50</v>
      </c>
      <c r="B51" s="31" t="s">
        <v>734</v>
      </c>
      <c r="C51" s="31" t="s">
        <v>46</v>
      </c>
      <c r="D51" s="31" t="s">
        <v>35</v>
      </c>
      <c r="E51" s="31" t="s">
        <v>47</v>
      </c>
      <c r="F51" s="31" t="s">
        <v>25</v>
      </c>
      <c r="G51" s="31" t="s">
        <v>25</v>
      </c>
      <c r="H51" s="31" t="s">
        <v>25</v>
      </c>
      <c r="I51" s="31" t="s">
        <v>38</v>
      </c>
      <c r="J51" s="31" t="s">
        <v>879</v>
      </c>
      <c r="K51" s="31" t="s">
        <v>878</v>
      </c>
      <c r="L51" s="31" t="s">
        <v>82</v>
      </c>
      <c r="M51" s="31">
        <v>2021</v>
      </c>
      <c r="N51" s="31">
        <v>0</v>
      </c>
      <c r="O51" s="31">
        <v>663.5</v>
      </c>
      <c r="P51" s="31">
        <v>22.517315766663</v>
      </c>
    </row>
    <row r="52" spans="1:16" ht="11.25" customHeight="1" x14ac:dyDescent="0.25">
      <c r="A52" s="31">
        <v>51</v>
      </c>
      <c r="B52" s="31" t="s">
        <v>734</v>
      </c>
      <c r="C52" s="31" t="s">
        <v>46</v>
      </c>
      <c r="D52" s="31" t="s">
        <v>35</v>
      </c>
      <c r="E52" s="31" t="s">
        <v>47</v>
      </c>
      <c r="F52" s="31" t="s">
        <v>25</v>
      </c>
      <c r="G52" s="31" t="s">
        <v>25</v>
      </c>
      <c r="H52" s="31" t="s">
        <v>25</v>
      </c>
      <c r="I52" s="31" t="s">
        <v>37</v>
      </c>
      <c r="J52" s="31" t="s">
        <v>879</v>
      </c>
      <c r="K52" s="31" t="s">
        <v>878</v>
      </c>
      <c r="L52" s="31" t="s">
        <v>82</v>
      </c>
      <c r="M52" s="31">
        <v>2021</v>
      </c>
      <c r="N52" s="31">
        <v>0</v>
      </c>
      <c r="O52" s="31">
        <v>287.89999999999998</v>
      </c>
      <c r="P52" s="31">
        <v>22.517315766663</v>
      </c>
    </row>
    <row r="53" spans="1:16" ht="11.25" customHeight="1" x14ac:dyDescent="0.25">
      <c r="A53" s="31">
        <v>52</v>
      </c>
      <c r="B53" s="31" t="s">
        <v>734</v>
      </c>
      <c r="C53" s="31" t="s">
        <v>46</v>
      </c>
      <c r="D53" s="31" t="s">
        <v>23</v>
      </c>
      <c r="E53" s="31" t="s">
        <v>47</v>
      </c>
      <c r="F53" s="31" t="s">
        <v>25</v>
      </c>
      <c r="G53" s="31" t="s">
        <v>25</v>
      </c>
      <c r="H53" s="31" t="s">
        <v>25</v>
      </c>
      <c r="I53" s="31" t="s">
        <v>25</v>
      </c>
      <c r="J53" s="31" t="s">
        <v>879</v>
      </c>
      <c r="K53" s="31" t="s">
        <v>878</v>
      </c>
      <c r="L53" s="31" t="s">
        <v>82</v>
      </c>
      <c r="M53" s="31">
        <v>2021</v>
      </c>
      <c r="N53" s="31">
        <v>0</v>
      </c>
      <c r="O53" s="31">
        <v>407.97</v>
      </c>
      <c r="P53" s="31">
        <v>22.517315766663</v>
      </c>
    </row>
    <row r="54" spans="1:16" ht="11.25" customHeight="1" x14ac:dyDescent="0.25">
      <c r="A54" s="31">
        <v>53</v>
      </c>
      <c r="B54" s="31" t="s">
        <v>734</v>
      </c>
      <c r="C54" s="31" t="s">
        <v>46</v>
      </c>
      <c r="D54" s="31" t="s">
        <v>35</v>
      </c>
      <c r="E54" s="31" t="s">
        <v>47</v>
      </c>
      <c r="F54" s="31" t="s">
        <v>101</v>
      </c>
      <c r="G54" s="31" t="s">
        <v>25</v>
      </c>
      <c r="H54" s="31" t="s">
        <v>25</v>
      </c>
      <c r="I54" s="31" t="s">
        <v>36</v>
      </c>
      <c r="J54" s="31" t="s">
        <v>879</v>
      </c>
      <c r="K54" s="31" t="s">
        <v>878</v>
      </c>
      <c r="L54" s="31" t="s">
        <v>82</v>
      </c>
      <c r="M54" s="31">
        <v>2021</v>
      </c>
      <c r="N54" s="31">
        <v>0</v>
      </c>
      <c r="O54" s="31">
        <v>1039.0999999999999</v>
      </c>
      <c r="P54" s="31">
        <v>22.517315766663</v>
      </c>
    </row>
    <row r="55" spans="1:16" ht="11.25" customHeight="1" x14ac:dyDescent="0.25">
      <c r="A55" s="31">
        <v>54</v>
      </c>
      <c r="B55" s="31" t="s">
        <v>734</v>
      </c>
      <c r="C55" s="31" t="s">
        <v>46</v>
      </c>
      <c r="D55" s="31" t="s">
        <v>35</v>
      </c>
      <c r="E55" s="31" t="s">
        <v>47</v>
      </c>
      <c r="F55" s="31" t="s">
        <v>101</v>
      </c>
      <c r="G55" s="31" t="s">
        <v>25</v>
      </c>
      <c r="H55" s="31" t="s">
        <v>25</v>
      </c>
      <c r="I55" s="31" t="s">
        <v>38</v>
      </c>
      <c r="J55" s="31" t="s">
        <v>879</v>
      </c>
      <c r="K55" s="31" t="s">
        <v>878</v>
      </c>
      <c r="L55" s="31" t="s">
        <v>82</v>
      </c>
      <c r="M55" s="31">
        <v>2021</v>
      </c>
      <c r="N55" s="31">
        <v>0</v>
      </c>
      <c r="O55" s="31">
        <v>663.5</v>
      </c>
      <c r="P55" s="31">
        <v>22.517315766663</v>
      </c>
    </row>
    <row r="56" spans="1:16" ht="11.25" customHeight="1" x14ac:dyDescent="0.25">
      <c r="A56" s="31">
        <v>55</v>
      </c>
      <c r="B56" s="31" t="s">
        <v>734</v>
      </c>
      <c r="C56" s="31" t="s">
        <v>46</v>
      </c>
      <c r="D56" s="31" t="s">
        <v>35</v>
      </c>
      <c r="E56" s="31" t="s">
        <v>47</v>
      </c>
      <c r="F56" s="31" t="s">
        <v>101</v>
      </c>
      <c r="G56" s="31" t="s">
        <v>25</v>
      </c>
      <c r="H56" s="31" t="s">
        <v>25</v>
      </c>
      <c r="I56" s="31" t="s">
        <v>37</v>
      </c>
      <c r="J56" s="31" t="s">
        <v>879</v>
      </c>
      <c r="K56" s="31" t="s">
        <v>878</v>
      </c>
      <c r="L56" s="31" t="s">
        <v>82</v>
      </c>
      <c r="M56" s="31">
        <v>2021</v>
      </c>
      <c r="N56" s="31">
        <v>0</v>
      </c>
      <c r="O56" s="31">
        <v>287.89999999999998</v>
      </c>
      <c r="P56" s="31">
        <v>22.517315766663</v>
      </c>
    </row>
    <row r="57" spans="1:16" ht="11.25" customHeight="1" x14ac:dyDescent="0.25">
      <c r="A57" s="31">
        <v>56</v>
      </c>
      <c r="B57" s="31" t="s">
        <v>734</v>
      </c>
      <c r="C57" s="31" t="s">
        <v>46</v>
      </c>
      <c r="D57" s="31" t="s">
        <v>23</v>
      </c>
      <c r="E57" s="31" t="s">
        <v>47</v>
      </c>
      <c r="F57" s="31" t="s">
        <v>101</v>
      </c>
      <c r="G57" s="31" t="s">
        <v>25</v>
      </c>
      <c r="H57" s="31" t="s">
        <v>25</v>
      </c>
      <c r="I57" s="31" t="s">
        <v>25</v>
      </c>
      <c r="J57" s="31" t="s">
        <v>879</v>
      </c>
      <c r="K57" s="31" t="s">
        <v>878</v>
      </c>
      <c r="L57" s="31" t="s">
        <v>82</v>
      </c>
      <c r="M57" s="31">
        <v>2021</v>
      </c>
      <c r="N57" s="31">
        <v>0</v>
      </c>
      <c r="O57" s="31">
        <v>407.97</v>
      </c>
      <c r="P57" s="31">
        <v>22.517315766663</v>
      </c>
    </row>
    <row r="58" spans="1:16" ht="11.25" customHeight="1" x14ac:dyDescent="0.25">
      <c r="A58" s="31">
        <v>57</v>
      </c>
      <c r="B58" s="31" t="s">
        <v>734</v>
      </c>
      <c r="C58" s="31" t="s">
        <v>46</v>
      </c>
      <c r="D58" s="31" t="s">
        <v>35</v>
      </c>
      <c r="E58" s="31" t="s">
        <v>47</v>
      </c>
      <c r="F58" s="31" t="s">
        <v>102</v>
      </c>
      <c r="G58" s="31" t="s">
        <v>25</v>
      </c>
      <c r="H58" s="31" t="s">
        <v>25</v>
      </c>
      <c r="I58" s="31" t="s">
        <v>36</v>
      </c>
      <c r="J58" s="31" t="s">
        <v>879</v>
      </c>
      <c r="K58" s="31" t="s">
        <v>878</v>
      </c>
      <c r="L58" s="31" t="s">
        <v>82</v>
      </c>
      <c r="M58" s="31">
        <v>2021</v>
      </c>
      <c r="N58" s="31">
        <v>0</v>
      </c>
      <c r="O58" s="31">
        <v>991.87</v>
      </c>
      <c r="P58" s="31">
        <v>21.493801413632902</v>
      </c>
    </row>
    <row r="59" spans="1:16" ht="11.25" customHeight="1" x14ac:dyDescent="0.25">
      <c r="A59" s="31">
        <v>58</v>
      </c>
      <c r="B59" s="31" t="s">
        <v>734</v>
      </c>
      <c r="C59" s="31" t="s">
        <v>46</v>
      </c>
      <c r="D59" s="31" t="s">
        <v>35</v>
      </c>
      <c r="E59" s="31" t="s">
        <v>47</v>
      </c>
      <c r="F59" s="31" t="s">
        <v>102</v>
      </c>
      <c r="G59" s="31" t="s">
        <v>25</v>
      </c>
      <c r="H59" s="31" t="s">
        <v>25</v>
      </c>
      <c r="I59" s="31" t="s">
        <v>38</v>
      </c>
      <c r="J59" s="31" t="s">
        <v>879</v>
      </c>
      <c r="K59" s="31" t="s">
        <v>878</v>
      </c>
      <c r="L59" s="31" t="s">
        <v>82</v>
      </c>
      <c r="M59" s="31">
        <v>2021</v>
      </c>
      <c r="N59" s="31">
        <v>0</v>
      </c>
      <c r="O59" s="31">
        <v>633.34</v>
      </c>
      <c r="P59" s="31">
        <v>21.493801413632902</v>
      </c>
    </row>
    <row r="60" spans="1:16" ht="11.25" customHeight="1" x14ac:dyDescent="0.25">
      <c r="A60" s="31">
        <v>59</v>
      </c>
      <c r="B60" s="31" t="s">
        <v>734</v>
      </c>
      <c r="C60" s="31" t="s">
        <v>46</v>
      </c>
      <c r="D60" s="31" t="s">
        <v>35</v>
      </c>
      <c r="E60" s="31" t="s">
        <v>47</v>
      </c>
      <c r="F60" s="31" t="s">
        <v>102</v>
      </c>
      <c r="G60" s="31" t="s">
        <v>25</v>
      </c>
      <c r="H60" s="31" t="s">
        <v>25</v>
      </c>
      <c r="I60" s="31" t="s">
        <v>37</v>
      </c>
      <c r="J60" s="31" t="s">
        <v>879</v>
      </c>
      <c r="K60" s="31" t="s">
        <v>878</v>
      </c>
      <c r="L60" s="31" t="s">
        <v>82</v>
      </c>
      <c r="M60" s="31">
        <v>2021</v>
      </c>
      <c r="N60" s="31">
        <v>0</v>
      </c>
      <c r="O60" s="31">
        <v>274.82</v>
      </c>
      <c r="P60" s="31">
        <v>21.493801413632902</v>
      </c>
    </row>
    <row r="61" spans="1:16" ht="11.25" customHeight="1" x14ac:dyDescent="0.25">
      <c r="A61" s="31">
        <v>60</v>
      </c>
      <c r="B61" s="31" t="s">
        <v>734</v>
      </c>
      <c r="C61" s="31" t="s">
        <v>46</v>
      </c>
      <c r="D61" s="31" t="s">
        <v>23</v>
      </c>
      <c r="E61" s="31" t="s">
        <v>47</v>
      </c>
      <c r="F61" s="31" t="s">
        <v>102</v>
      </c>
      <c r="G61" s="31" t="s">
        <v>25</v>
      </c>
      <c r="H61" s="31" t="s">
        <v>25</v>
      </c>
      <c r="I61" s="31" t="s">
        <v>25</v>
      </c>
      <c r="J61" s="31" t="s">
        <v>879</v>
      </c>
      <c r="K61" s="31" t="s">
        <v>878</v>
      </c>
      <c r="L61" s="31" t="s">
        <v>82</v>
      </c>
      <c r="M61" s="31">
        <v>2021</v>
      </c>
      <c r="N61" s="31">
        <v>0</v>
      </c>
      <c r="O61" s="31">
        <v>389.43</v>
      </c>
      <c r="P61" s="31">
        <v>21.493801413632902</v>
      </c>
    </row>
    <row r="62" spans="1:16" ht="11.25" customHeight="1" x14ac:dyDescent="0.25">
      <c r="A62" s="31">
        <v>61</v>
      </c>
      <c r="B62" s="31" t="s">
        <v>734</v>
      </c>
      <c r="C62" s="31" t="s">
        <v>46</v>
      </c>
      <c r="D62" s="31" t="s">
        <v>100</v>
      </c>
      <c r="E62" s="31" t="s">
        <v>47</v>
      </c>
      <c r="F62" s="31" t="s">
        <v>25</v>
      </c>
      <c r="G62" s="31" t="s">
        <v>25</v>
      </c>
      <c r="H62" s="31" t="s">
        <v>25</v>
      </c>
      <c r="I62" s="31" t="s">
        <v>25</v>
      </c>
      <c r="J62" s="31" t="s">
        <v>879</v>
      </c>
      <c r="K62" s="31" t="s">
        <v>878</v>
      </c>
      <c r="L62" s="31" t="s">
        <v>82</v>
      </c>
      <c r="M62" s="31">
        <v>2021</v>
      </c>
      <c r="N62" s="31">
        <v>0</v>
      </c>
      <c r="O62" s="31">
        <v>407.97</v>
      </c>
      <c r="P62" s="31">
        <v>22.517315766663</v>
      </c>
    </row>
    <row r="63" spans="1:16" ht="11.25" customHeight="1" x14ac:dyDescent="0.25">
      <c r="A63" s="31">
        <v>62</v>
      </c>
      <c r="B63" s="31" t="s">
        <v>734</v>
      </c>
      <c r="C63" s="31" t="s">
        <v>46</v>
      </c>
      <c r="D63" s="31" t="s">
        <v>100</v>
      </c>
      <c r="E63" s="31" t="s">
        <v>47</v>
      </c>
      <c r="F63" s="31" t="s">
        <v>101</v>
      </c>
      <c r="G63" s="31" t="s">
        <v>25</v>
      </c>
      <c r="H63" s="31" t="s">
        <v>25</v>
      </c>
      <c r="I63" s="31" t="s">
        <v>25</v>
      </c>
      <c r="J63" s="31" t="s">
        <v>879</v>
      </c>
      <c r="K63" s="31" t="s">
        <v>878</v>
      </c>
      <c r="L63" s="31" t="s">
        <v>82</v>
      </c>
      <c r="M63" s="31">
        <v>2021</v>
      </c>
      <c r="N63" s="31">
        <v>0</v>
      </c>
      <c r="O63" s="31">
        <v>407.97</v>
      </c>
      <c r="P63" s="31">
        <v>22.517315766663</v>
      </c>
    </row>
    <row r="64" spans="1:16" ht="11.25" customHeight="1" x14ac:dyDescent="0.25">
      <c r="A64" s="31">
        <v>63</v>
      </c>
      <c r="B64" s="31" t="s">
        <v>734</v>
      </c>
      <c r="C64" s="31" t="s">
        <v>46</v>
      </c>
      <c r="D64" s="31" t="s">
        <v>100</v>
      </c>
      <c r="E64" s="31" t="s">
        <v>47</v>
      </c>
      <c r="F64" s="31" t="s">
        <v>102</v>
      </c>
      <c r="G64" s="31" t="s">
        <v>25</v>
      </c>
      <c r="H64" s="31" t="s">
        <v>25</v>
      </c>
      <c r="I64" s="31" t="s">
        <v>25</v>
      </c>
      <c r="J64" s="31" t="s">
        <v>879</v>
      </c>
      <c r="K64" s="31" t="s">
        <v>878</v>
      </c>
      <c r="L64" s="31" t="s">
        <v>82</v>
      </c>
      <c r="M64" s="31">
        <v>2021</v>
      </c>
      <c r="N64" s="31">
        <v>0</v>
      </c>
      <c r="O64" s="31">
        <v>389.43</v>
      </c>
      <c r="P64" s="31">
        <v>21.493801413632902</v>
      </c>
    </row>
    <row r="65" spans="1:16" ht="11.25" customHeight="1" x14ac:dyDescent="0.25">
      <c r="A65" s="31">
        <v>64</v>
      </c>
      <c r="B65" s="31" t="s">
        <v>734</v>
      </c>
      <c r="C65" s="31" t="s">
        <v>39</v>
      </c>
      <c r="D65" s="31" t="s">
        <v>35</v>
      </c>
      <c r="E65" s="31" t="s">
        <v>25</v>
      </c>
      <c r="F65" s="31" t="s">
        <v>25</v>
      </c>
      <c r="G65" s="31" t="s">
        <v>25</v>
      </c>
      <c r="H65" s="31" t="s">
        <v>25</v>
      </c>
      <c r="I65" s="31" t="s">
        <v>36</v>
      </c>
      <c r="J65" s="31" t="s">
        <v>879</v>
      </c>
      <c r="K65" s="31" t="s">
        <v>878</v>
      </c>
      <c r="L65" s="31" t="s">
        <v>82</v>
      </c>
      <c r="M65" s="31">
        <v>2021</v>
      </c>
      <c r="N65" s="31">
        <v>0</v>
      </c>
      <c r="O65" s="31">
        <v>1303.25</v>
      </c>
      <c r="P65" s="31">
        <v>25.587858825753401</v>
      </c>
    </row>
    <row r="66" spans="1:16" ht="11.25" customHeight="1" x14ac:dyDescent="0.25">
      <c r="A66" s="31">
        <v>65</v>
      </c>
      <c r="B66" s="31" t="s">
        <v>734</v>
      </c>
      <c r="C66" s="31" t="s">
        <v>39</v>
      </c>
      <c r="D66" s="31" t="s">
        <v>35</v>
      </c>
      <c r="E66" s="31" t="s">
        <v>25</v>
      </c>
      <c r="F66" s="31" t="s">
        <v>25</v>
      </c>
      <c r="G66" s="31" t="s">
        <v>25</v>
      </c>
      <c r="H66" s="31" t="s">
        <v>25</v>
      </c>
      <c r="I66" s="31" t="s">
        <v>38</v>
      </c>
      <c r="J66" s="31" t="s">
        <v>879</v>
      </c>
      <c r="K66" s="31" t="s">
        <v>878</v>
      </c>
      <c r="L66" s="31" t="s">
        <v>82</v>
      </c>
      <c r="M66" s="31">
        <v>2021</v>
      </c>
      <c r="N66" s="31">
        <v>0</v>
      </c>
      <c r="O66" s="31">
        <v>827.45</v>
      </c>
      <c r="P66" s="31">
        <v>25.587858825753401</v>
      </c>
    </row>
    <row r="67" spans="1:16" ht="11.25" customHeight="1" x14ac:dyDescent="0.25">
      <c r="A67" s="31">
        <v>66</v>
      </c>
      <c r="B67" s="31" t="s">
        <v>734</v>
      </c>
      <c r="C67" s="31" t="s">
        <v>39</v>
      </c>
      <c r="D67" s="31" t="s">
        <v>35</v>
      </c>
      <c r="E67" s="31" t="s">
        <v>25</v>
      </c>
      <c r="F67" s="31" t="s">
        <v>25</v>
      </c>
      <c r="G67" s="31" t="s">
        <v>25</v>
      </c>
      <c r="H67" s="31" t="s">
        <v>25</v>
      </c>
      <c r="I67" s="31" t="s">
        <v>37</v>
      </c>
      <c r="J67" s="31" t="s">
        <v>879</v>
      </c>
      <c r="K67" s="31" t="s">
        <v>878</v>
      </c>
      <c r="L67" s="31" t="s">
        <v>82</v>
      </c>
      <c r="M67" s="31">
        <v>2021</v>
      </c>
      <c r="N67" s="31">
        <v>0</v>
      </c>
      <c r="O67" s="31">
        <v>351.65</v>
      </c>
      <c r="P67" s="31">
        <v>25.587858825753401</v>
      </c>
    </row>
    <row r="68" spans="1:16" ht="11.25" customHeight="1" x14ac:dyDescent="0.25">
      <c r="A68" s="31">
        <v>67</v>
      </c>
      <c r="B68" s="31" t="s">
        <v>734</v>
      </c>
      <c r="C68" s="31" t="s">
        <v>39</v>
      </c>
      <c r="D68" s="31" t="s">
        <v>23</v>
      </c>
      <c r="E68" s="31" t="s">
        <v>25</v>
      </c>
      <c r="F68" s="31" t="s">
        <v>25</v>
      </c>
      <c r="G68" s="31" t="s">
        <v>25</v>
      </c>
      <c r="H68" s="31" t="s">
        <v>25</v>
      </c>
      <c r="I68" s="31" t="s">
        <v>25</v>
      </c>
      <c r="J68" s="31" t="s">
        <v>879</v>
      </c>
      <c r="K68" s="31" t="s">
        <v>878</v>
      </c>
      <c r="L68" s="31" t="s">
        <v>82</v>
      </c>
      <c r="M68" s="31">
        <v>2021</v>
      </c>
      <c r="N68" s="31">
        <v>0</v>
      </c>
      <c r="O68" s="31">
        <v>463.6</v>
      </c>
      <c r="P68" s="31">
        <v>25.587858825753401</v>
      </c>
    </row>
    <row r="69" spans="1:16" ht="11.25" customHeight="1" x14ac:dyDescent="0.25">
      <c r="A69" s="31">
        <v>68</v>
      </c>
      <c r="B69" s="31" t="s">
        <v>734</v>
      </c>
      <c r="C69" s="31" t="s">
        <v>39</v>
      </c>
      <c r="D69" s="31" t="s">
        <v>100</v>
      </c>
      <c r="E69" s="31" t="s">
        <v>25</v>
      </c>
      <c r="F69" s="31" t="s">
        <v>25</v>
      </c>
      <c r="G69" s="31" t="s">
        <v>25</v>
      </c>
      <c r="H69" s="31" t="s">
        <v>25</v>
      </c>
      <c r="I69" s="31" t="s">
        <v>25</v>
      </c>
      <c r="J69" s="31" t="s">
        <v>879</v>
      </c>
      <c r="K69" s="31" t="s">
        <v>878</v>
      </c>
      <c r="L69" s="31" t="s">
        <v>82</v>
      </c>
      <c r="M69" s="31">
        <v>2021</v>
      </c>
      <c r="N69" s="31">
        <v>0</v>
      </c>
      <c r="O69" s="31">
        <v>463.6</v>
      </c>
      <c r="P69" s="31">
        <v>25.587858825753401</v>
      </c>
    </row>
    <row r="70" spans="1:16" ht="11.25" customHeight="1" x14ac:dyDescent="0.25">
      <c r="A70" s="31">
        <v>69</v>
      </c>
      <c r="B70" s="31" t="s">
        <v>734</v>
      </c>
      <c r="C70" s="31" t="s">
        <v>49</v>
      </c>
      <c r="D70" s="31" t="s">
        <v>23</v>
      </c>
      <c r="E70" s="31" t="s">
        <v>50</v>
      </c>
      <c r="F70" s="31" t="s">
        <v>51</v>
      </c>
      <c r="G70" s="31" t="s">
        <v>25</v>
      </c>
      <c r="H70" s="31" t="s">
        <v>25</v>
      </c>
      <c r="I70" s="31" t="s">
        <v>25</v>
      </c>
      <c r="J70" s="31" t="s">
        <v>879</v>
      </c>
      <c r="K70" s="31" t="s">
        <v>878</v>
      </c>
      <c r="L70" s="31" t="s">
        <v>82</v>
      </c>
      <c r="M70" s="31">
        <v>2021</v>
      </c>
      <c r="N70" s="31">
        <v>0</v>
      </c>
      <c r="O70" s="31">
        <v>254.98</v>
      </c>
      <c r="P70" s="31">
        <v>14.0733223541644</v>
      </c>
    </row>
    <row r="71" spans="1:16" ht="11.25" customHeight="1" x14ac:dyDescent="0.25">
      <c r="A71" s="31">
        <v>70</v>
      </c>
      <c r="B71" s="31" t="s">
        <v>734</v>
      </c>
      <c r="C71" s="31" t="s">
        <v>49</v>
      </c>
      <c r="D71" s="31" t="s">
        <v>23</v>
      </c>
      <c r="E71" s="31" t="s">
        <v>50</v>
      </c>
      <c r="F71" s="31" t="s">
        <v>103</v>
      </c>
      <c r="G71" s="31" t="s">
        <v>25</v>
      </c>
      <c r="H71" s="31" t="s">
        <v>25</v>
      </c>
      <c r="I71" s="31" t="s">
        <v>25</v>
      </c>
      <c r="J71" s="31" t="s">
        <v>879</v>
      </c>
      <c r="K71" s="31" t="s">
        <v>878</v>
      </c>
      <c r="L71" s="31" t="s">
        <v>82</v>
      </c>
      <c r="M71" s="31">
        <v>2021</v>
      </c>
      <c r="N71" s="31">
        <v>0</v>
      </c>
      <c r="O71" s="31">
        <v>278.16000000000003</v>
      </c>
      <c r="P71" s="31">
        <v>15.3527152954521</v>
      </c>
    </row>
    <row r="72" spans="1:16" ht="11.25" customHeight="1" x14ac:dyDescent="0.25">
      <c r="A72" s="31">
        <v>71</v>
      </c>
      <c r="B72" s="31" t="s">
        <v>762</v>
      </c>
      <c r="C72" s="31" t="s">
        <v>43</v>
      </c>
      <c r="D72" s="31" t="s">
        <v>81</v>
      </c>
      <c r="E72" s="31" t="s">
        <v>25</v>
      </c>
      <c r="F72" s="31" t="s">
        <v>25</v>
      </c>
      <c r="G72" s="31" t="s">
        <v>25</v>
      </c>
      <c r="H72" s="31" t="s">
        <v>25</v>
      </c>
      <c r="I72" s="31" t="s">
        <v>36</v>
      </c>
      <c r="J72" s="31" t="s">
        <v>879</v>
      </c>
      <c r="K72" s="31" t="s">
        <v>878</v>
      </c>
      <c r="L72" s="31" t="s">
        <v>82</v>
      </c>
      <c r="M72" s="31">
        <v>2021</v>
      </c>
      <c r="N72" s="31">
        <v>0</v>
      </c>
      <c r="O72" s="31">
        <v>270.3</v>
      </c>
      <c r="P72" s="31"/>
    </row>
    <row r="73" spans="1:16" ht="11.25" customHeight="1" x14ac:dyDescent="0.25">
      <c r="A73" s="31">
        <v>72</v>
      </c>
      <c r="B73" s="31" t="s">
        <v>762</v>
      </c>
      <c r="C73" s="31" t="s">
        <v>43</v>
      </c>
      <c r="D73" s="31" t="s">
        <v>81</v>
      </c>
      <c r="E73" s="31" t="s">
        <v>25</v>
      </c>
      <c r="F73" s="31" t="s">
        <v>25</v>
      </c>
      <c r="G73" s="31" t="s">
        <v>25</v>
      </c>
      <c r="H73" s="31" t="s">
        <v>25</v>
      </c>
      <c r="I73" s="31" t="s">
        <v>37</v>
      </c>
      <c r="J73" s="31" t="s">
        <v>879</v>
      </c>
      <c r="K73" s="31" t="s">
        <v>878</v>
      </c>
      <c r="L73" s="31" t="s">
        <v>82</v>
      </c>
      <c r="M73" s="31">
        <v>2021</v>
      </c>
      <c r="N73" s="31">
        <v>0</v>
      </c>
      <c r="O73" s="31">
        <v>168.06</v>
      </c>
      <c r="P73" s="31"/>
    </row>
    <row r="74" spans="1:16" ht="11.25" customHeight="1" x14ac:dyDescent="0.25">
      <c r="A74" s="31">
        <v>73</v>
      </c>
      <c r="B74" s="31" t="s">
        <v>762</v>
      </c>
      <c r="C74" s="31" t="s">
        <v>43</v>
      </c>
      <c r="D74" s="31" t="s">
        <v>90</v>
      </c>
      <c r="E74" s="31" t="s">
        <v>25</v>
      </c>
      <c r="F74" s="31" t="s">
        <v>25</v>
      </c>
      <c r="G74" s="31" t="s">
        <v>25</v>
      </c>
      <c r="H74" s="31" t="s">
        <v>25</v>
      </c>
      <c r="I74" s="31" t="s">
        <v>25</v>
      </c>
      <c r="J74" s="31" t="s">
        <v>879</v>
      </c>
      <c r="K74" s="31" t="s">
        <v>878</v>
      </c>
      <c r="L74" s="31" t="s">
        <v>82</v>
      </c>
      <c r="M74" s="31">
        <v>2021</v>
      </c>
      <c r="N74" s="31">
        <v>0</v>
      </c>
      <c r="O74" s="31">
        <v>176.58</v>
      </c>
      <c r="P74" s="31"/>
    </row>
    <row r="75" spans="1:16" ht="11.25" customHeight="1" x14ac:dyDescent="0.25">
      <c r="A75" s="31">
        <v>74</v>
      </c>
      <c r="B75" s="31" t="s">
        <v>762</v>
      </c>
      <c r="C75" s="31" t="s">
        <v>41</v>
      </c>
      <c r="D75" s="31" t="s">
        <v>81</v>
      </c>
      <c r="E75" s="31" t="s">
        <v>25</v>
      </c>
      <c r="F75" s="31" t="s">
        <v>25</v>
      </c>
      <c r="G75" s="31" t="s">
        <v>25</v>
      </c>
      <c r="H75" s="31" t="s">
        <v>25</v>
      </c>
      <c r="I75" s="31" t="s">
        <v>36</v>
      </c>
      <c r="J75" s="31" t="s">
        <v>879</v>
      </c>
      <c r="K75" s="31" t="s">
        <v>878</v>
      </c>
      <c r="L75" s="31" t="s">
        <v>82</v>
      </c>
      <c r="M75" s="31">
        <v>2021</v>
      </c>
      <c r="N75" s="31">
        <v>0</v>
      </c>
      <c r="O75" s="31">
        <v>270.3</v>
      </c>
      <c r="P75" s="31"/>
    </row>
    <row r="76" spans="1:16" ht="11.25" customHeight="1" x14ac:dyDescent="0.25">
      <c r="A76" s="31">
        <v>75</v>
      </c>
      <c r="B76" s="31" t="s">
        <v>762</v>
      </c>
      <c r="C76" s="31" t="s">
        <v>41</v>
      </c>
      <c r="D76" s="31" t="s">
        <v>81</v>
      </c>
      <c r="E76" s="31" t="s">
        <v>25</v>
      </c>
      <c r="F76" s="31" t="s">
        <v>25</v>
      </c>
      <c r="G76" s="31" t="s">
        <v>25</v>
      </c>
      <c r="H76" s="31" t="s">
        <v>25</v>
      </c>
      <c r="I76" s="31" t="s">
        <v>37</v>
      </c>
      <c r="J76" s="31" t="s">
        <v>879</v>
      </c>
      <c r="K76" s="31" t="s">
        <v>878</v>
      </c>
      <c r="L76" s="31" t="s">
        <v>82</v>
      </c>
      <c r="M76" s="31">
        <v>2021</v>
      </c>
      <c r="N76" s="31">
        <v>0</v>
      </c>
      <c r="O76" s="31">
        <v>168.06</v>
      </c>
      <c r="P76" s="31"/>
    </row>
    <row r="77" spans="1:16" ht="11.25" customHeight="1" x14ac:dyDescent="0.25">
      <c r="A77" s="31">
        <v>76</v>
      </c>
      <c r="B77" s="31" t="s">
        <v>762</v>
      </c>
      <c r="C77" s="31" t="s">
        <v>41</v>
      </c>
      <c r="D77" s="31" t="s">
        <v>92</v>
      </c>
      <c r="E77" s="31" t="s">
        <v>25</v>
      </c>
      <c r="F77" s="31" t="s">
        <v>25</v>
      </c>
      <c r="G77" s="31" t="s">
        <v>93</v>
      </c>
      <c r="H77" s="31" t="s">
        <v>25</v>
      </c>
      <c r="I77" s="31" t="s">
        <v>25</v>
      </c>
      <c r="J77" s="31" t="s">
        <v>879</v>
      </c>
      <c r="K77" s="31" t="s">
        <v>878</v>
      </c>
      <c r="L77" s="31" t="s">
        <v>82</v>
      </c>
      <c r="M77" s="31">
        <v>2021</v>
      </c>
      <c r="N77" s="31">
        <v>0</v>
      </c>
      <c r="O77" s="31">
        <v>176.24</v>
      </c>
      <c r="P77" s="31"/>
    </row>
    <row r="78" spans="1:16" ht="11.25" customHeight="1" x14ac:dyDescent="0.25">
      <c r="A78" s="31">
        <v>77</v>
      </c>
      <c r="B78" s="31" t="s">
        <v>762</v>
      </c>
      <c r="C78" s="31" t="s">
        <v>41</v>
      </c>
      <c r="D78" s="31" t="s">
        <v>90</v>
      </c>
      <c r="E78" s="31" t="s">
        <v>25</v>
      </c>
      <c r="F78" s="31" t="s">
        <v>25</v>
      </c>
      <c r="G78" s="31" t="s">
        <v>25</v>
      </c>
      <c r="H78" s="31" t="s">
        <v>25</v>
      </c>
      <c r="I78" s="31" t="s">
        <v>25</v>
      </c>
      <c r="J78" s="31" t="s">
        <v>879</v>
      </c>
      <c r="K78" s="31" t="s">
        <v>878</v>
      </c>
      <c r="L78" s="31" t="s">
        <v>82</v>
      </c>
      <c r="M78" s="31">
        <v>2021</v>
      </c>
      <c r="N78" s="31">
        <v>0</v>
      </c>
      <c r="O78" s="31">
        <v>176.58</v>
      </c>
      <c r="P78" s="31"/>
    </row>
    <row r="79" spans="1:16" ht="11.25" customHeight="1" x14ac:dyDescent="0.25">
      <c r="A79" s="31">
        <v>78</v>
      </c>
      <c r="B79" s="31" t="s">
        <v>762</v>
      </c>
      <c r="C79" s="31" t="s">
        <v>41</v>
      </c>
      <c r="D79" s="31" t="s">
        <v>94</v>
      </c>
      <c r="E79" s="31" t="s">
        <v>25</v>
      </c>
      <c r="F79" s="31" t="s">
        <v>25</v>
      </c>
      <c r="G79" s="31" t="s">
        <v>93</v>
      </c>
      <c r="H79" s="31" t="s">
        <v>25</v>
      </c>
      <c r="I79" s="31" t="s">
        <v>25</v>
      </c>
      <c r="J79" s="31" t="s">
        <v>879</v>
      </c>
      <c r="K79" s="31" t="s">
        <v>878</v>
      </c>
      <c r="L79" s="31" t="s">
        <v>82</v>
      </c>
      <c r="M79" s="31">
        <v>2021</v>
      </c>
      <c r="N79" s="31">
        <v>0</v>
      </c>
      <c r="O79" s="31">
        <v>176.24</v>
      </c>
      <c r="P79" s="31"/>
    </row>
    <row r="80" spans="1:16" ht="11.25" customHeight="1" x14ac:dyDescent="0.25">
      <c r="A80" s="31">
        <v>79</v>
      </c>
      <c r="B80" s="31" t="s">
        <v>762</v>
      </c>
      <c r="C80" s="31" t="s">
        <v>41</v>
      </c>
      <c r="D80" s="31" t="s">
        <v>92</v>
      </c>
      <c r="E80" s="31" t="s">
        <v>25</v>
      </c>
      <c r="F80" s="31" t="s">
        <v>25</v>
      </c>
      <c r="G80" s="31" t="s">
        <v>25</v>
      </c>
      <c r="H80" s="31" t="s">
        <v>25</v>
      </c>
      <c r="I80" s="31" t="s">
        <v>25</v>
      </c>
      <c r="J80" s="31" t="s">
        <v>879</v>
      </c>
      <c r="K80" s="31" t="s">
        <v>878</v>
      </c>
      <c r="L80" s="31" t="s">
        <v>82</v>
      </c>
      <c r="M80" s="31">
        <v>2021</v>
      </c>
      <c r="N80" s="31">
        <v>0</v>
      </c>
      <c r="O80" s="31">
        <v>157.19999999999999</v>
      </c>
      <c r="P80" s="31"/>
    </row>
    <row r="81" spans="1:16" ht="11.25" customHeight="1" x14ac:dyDescent="0.25">
      <c r="A81" s="31">
        <v>80</v>
      </c>
      <c r="B81" s="31" t="s">
        <v>762</v>
      </c>
      <c r="C81" s="31" t="s">
        <v>22</v>
      </c>
      <c r="D81" s="31" t="s">
        <v>81</v>
      </c>
      <c r="E81" s="31" t="s">
        <v>24</v>
      </c>
      <c r="F81" s="31" t="s">
        <v>24</v>
      </c>
      <c r="G81" s="31" t="s">
        <v>25</v>
      </c>
      <c r="H81" s="31" t="s">
        <v>25</v>
      </c>
      <c r="I81" s="31" t="s">
        <v>36</v>
      </c>
      <c r="J81" s="31" t="s">
        <v>879</v>
      </c>
      <c r="K81" s="31" t="s">
        <v>878</v>
      </c>
      <c r="L81" s="31" t="s">
        <v>82</v>
      </c>
      <c r="M81" s="31">
        <v>2021</v>
      </c>
      <c r="N81" s="31">
        <v>0</v>
      </c>
      <c r="O81" s="31">
        <v>270.3</v>
      </c>
      <c r="P81" s="31"/>
    </row>
    <row r="82" spans="1:16" ht="11.25" customHeight="1" x14ac:dyDescent="0.25">
      <c r="A82" s="31">
        <v>81</v>
      </c>
      <c r="B82" s="31" t="s">
        <v>762</v>
      </c>
      <c r="C82" s="31" t="s">
        <v>22</v>
      </c>
      <c r="D82" s="31" t="s">
        <v>81</v>
      </c>
      <c r="E82" s="31" t="s">
        <v>24</v>
      </c>
      <c r="F82" s="31" t="s">
        <v>24</v>
      </c>
      <c r="G82" s="31" t="s">
        <v>25</v>
      </c>
      <c r="H82" s="31" t="s">
        <v>25</v>
      </c>
      <c r="I82" s="31" t="s">
        <v>38</v>
      </c>
      <c r="J82" s="31" t="s">
        <v>879</v>
      </c>
      <c r="K82" s="31" t="s">
        <v>878</v>
      </c>
      <c r="L82" s="31" t="s">
        <v>82</v>
      </c>
      <c r="M82" s="31">
        <v>2021</v>
      </c>
      <c r="N82" s="31">
        <v>0</v>
      </c>
      <c r="O82" s="31">
        <v>168.06</v>
      </c>
      <c r="P82" s="31"/>
    </row>
    <row r="83" spans="1:16" ht="11.25" customHeight="1" x14ac:dyDescent="0.25">
      <c r="A83" s="31">
        <v>82</v>
      </c>
      <c r="B83" s="31" t="s">
        <v>762</v>
      </c>
      <c r="C83" s="31" t="s">
        <v>22</v>
      </c>
      <c r="D83" s="31" t="s">
        <v>81</v>
      </c>
      <c r="E83" s="31" t="s">
        <v>24</v>
      </c>
      <c r="F83" s="31" t="s">
        <v>24</v>
      </c>
      <c r="G83" s="31" t="s">
        <v>25</v>
      </c>
      <c r="H83" s="31" t="s">
        <v>25</v>
      </c>
      <c r="I83" s="31" t="s">
        <v>37</v>
      </c>
      <c r="J83" s="31" t="s">
        <v>879</v>
      </c>
      <c r="K83" s="31" t="s">
        <v>878</v>
      </c>
      <c r="L83" s="31" t="s">
        <v>82</v>
      </c>
      <c r="M83" s="31">
        <v>2021</v>
      </c>
      <c r="N83" s="31">
        <v>0</v>
      </c>
      <c r="O83" s="31">
        <v>168.06</v>
      </c>
      <c r="P83" s="31"/>
    </row>
    <row r="84" spans="1:16" ht="11.25" customHeight="1" x14ac:dyDescent="0.25">
      <c r="A84" s="31">
        <v>83</v>
      </c>
      <c r="B84" s="31" t="s">
        <v>762</v>
      </c>
      <c r="C84" s="31" t="s">
        <v>22</v>
      </c>
      <c r="D84" s="31" t="s">
        <v>90</v>
      </c>
      <c r="E84" s="31" t="s">
        <v>24</v>
      </c>
      <c r="F84" s="31" t="s">
        <v>24</v>
      </c>
      <c r="G84" s="31" t="s">
        <v>25</v>
      </c>
      <c r="H84" s="31" t="s">
        <v>25</v>
      </c>
      <c r="I84" s="31" t="s">
        <v>25</v>
      </c>
      <c r="J84" s="31" t="s">
        <v>879</v>
      </c>
      <c r="K84" s="31" t="s">
        <v>878</v>
      </c>
      <c r="L84" s="31" t="s">
        <v>82</v>
      </c>
      <c r="M84" s="31">
        <v>2021</v>
      </c>
      <c r="N84" s="31">
        <v>0</v>
      </c>
      <c r="O84" s="31">
        <v>176.58</v>
      </c>
      <c r="P84" s="31"/>
    </row>
    <row r="85" spans="1:16" ht="11.25" customHeight="1" x14ac:dyDescent="0.25">
      <c r="A85" s="31">
        <v>84</v>
      </c>
      <c r="B85" s="31" t="s">
        <v>762</v>
      </c>
      <c r="C85" s="31" t="s">
        <v>22</v>
      </c>
      <c r="D85" s="31" t="s">
        <v>90</v>
      </c>
      <c r="E85" s="31" t="s">
        <v>24</v>
      </c>
      <c r="F85" s="31" t="s">
        <v>31</v>
      </c>
      <c r="G85" s="31" t="s">
        <v>25</v>
      </c>
      <c r="H85" s="31" t="s">
        <v>25</v>
      </c>
      <c r="I85" s="31" t="s">
        <v>25</v>
      </c>
      <c r="J85" s="31" t="s">
        <v>879</v>
      </c>
      <c r="K85" s="31" t="s">
        <v>878</v>
      </c>
      <c r="L85" s="31" t="s">
        <v>82</v>
      </c>
      <c r="M85" s="31">
        <v>2021</v>
      </c>
      <c r="N85" s="31">
        <v>0</v>
      </c>
      <c r="O85" s="31">
        <v>61.8</v>
      </c>
      <c r="P85" s="31"/>
    </row>
    <row r="86" spans="1:16" ht="11.25" customHeight="1" x14ac:dyDescent="0.25">
      <c r="A86" s="31">
        <v>85</v>
      </c>
      <c r="B86" s="31" t="s">
        <v>762</v>
      </c>
      <c r="C86" s="31" t="s">
        <v>22</v>
      </c>
      <c r="D86" s="31" t="s">
        <v>90</v>
      </c>
      <c r="E86" s="31" t="s">
        <v>24</v>
      </c>
      <c r="F86" s="31" t="s">
        <v>32</v>
      </c>
      <c r="G86" s="31" t="s">
        <v>25</v>
      </c>
      <c r="H86" s="31" t="s">
        <v>25</v>
      </c>
      <c r="I86" s="31" t="s">
        <v>25</v>
      </c>
      <c r="J86" s="31" t="s">
        <v>879</v>
      </c>
      <c r="K86" s="31" t="s">
        <v>878</v>
      </c>
      <c r="L86" s="31" t="s">
        <v>82</v>
      </c>
      <c r="M86" s="31">
        <v>2021</v>
      </c>
      <c r="N86" s="31">
        <v>0</v>
      </c>
      <c r="O86" s="31">
        <v>105.95</v>
      </c>
      <c r="P86" s="31"/>
    </row>
    <row r="87" spans="1:16" ht="11.25" customHeight="1" x14ac:dyDescent="0.25">
      <c r="A87" s="31">
        <v>86</v>
      </c>
      <c r="B87" s="31" t="s">
        <v>762</v>
      </c>
      <c r="C87" s="31" t="s">
        <v>22</v>
      </c>
      <c r="D87" s="31" t="s">
        <v>90</v>
      </c>
      <c r="E87" s="31" t="s">
        <v>24</v>
      </c>
      <c r="F87" s="31" t="s">
        <v>33</v>
      </c>
      <c r="G87" s="31" t="s">
        <v>25</v>
      </c>
      <c r="H87" s="31" t="s">
        <v>25</v>
      </c>
      <c r="I87" s="31" t="s">
        <v>25</v>
      </c>
      <c r="J87" s="31" t="s">
        <v>879</v>
      </c>
      <c r="K87" s="31" t="s">
        <v>878</v>
      </c>
      <c r="L87" s="31" t="s">
        <v>82</v>
      </c>
      <c r="M87" s="31">
        <v>2021</v>
      </c>
      <c r="N87" s="31">
        <v>0</v>
      </c>
      <c r="O87" s="31">
        <v>158.91999999999999</v>
      </c>
      <c r="P87" s="31"/>
    </row>
    <row r="88" spans="1:16" ht="11.25" customHeight="1" x14ac:dyDescent="0.25">
      <c r="A88" s="31">
        <v>87</v>
      </c>
      <c r="B88" s="31" t="s">
        <v>762</v>
      </c>
      <c r="C88" s="31" t="s">
        <v>22</v>
      </c>
      <c r="D88" s="31" t="s">
        <v>90</v>
      </c>
      <c r="E88" s="31" t="s">
        <v>24</v>
      </c>
      <c r="F88" s="31" t="s">
        <v>34</v>
      </c>
      <c r="G88" s="31" t="s">
        <v>25</v>
      </c>
      <c r="H88" s="31" t="s">
        <v>25</v>
      </c>
      <c r="I88" s="31" t="s">
        <v>25</v>
      </c>
      <c r="J88" s="31" t="s">
        <v>879</v>
      </c>
      <c r="K88" s="31" t="s">
        <v>878</v>
      </c>
      <c r="L88" s="31" t="s">
        <v>82</v>
      </c>
      <c r="M88" s="31">
        <v>2021</v>
      </c>
      <c r="N88" s="31">
        <v>0</v>
      </c>
      <c r="O88" s="31">
        <v>176.58</v>
      </c>
      <c r="P88" s="31"/>
    </row>
    <row r="89" spans="1:16" ht="11.25" customHeight="1" x14ac:dyDescent="0.25">
      <c r="A89" s="31">
        <v>88</v>
      </c>
      <c r="B89" s="31" t="s">
        <v>762</v>
      </c>
      <c r="C89" s="31" t="s">
        <v>22</v>
      </c>
      <c r="D89" s="31" t="s">
        <v>99</v>
      </c>
      <c r="E89" s="31" t="s">
        <v>24</v>
      </c>
      <c r="F89" s="31" t="s">
        <v>24</v>
      </c>
      <c r="G89" s="31" t="s">
        <v>25</v>
      </c>
      <c r="H89" s="31" t="s">
        <v>25</v>
      </c>
      <c r="I89" s="31" t="s">
        <v>25</v>
      </c>
      <c r="J89" s="31" t="s">
        <v>879</v>
      </c>
      <c r="K89" s="31" t="s">
        <v>878</v>
      </c>
      <c r="L89" s="31" t="s">
        <v>82</v>
      </c>
      <c r="M89" s="31">
        <v>2021</v>
      </c>
      <c r="N89" s="31">
        <v>0</v>
      </c>
      <c r="O89" s="31">
        <v>176.58</v>
      </c>
      <c r="P89" s="31"/>
    </row>
    <row r="90" spans="1:16" ht="11.25" customHeight="1" x14ac:dyDescent="0.25">
      <c r="A90" s="31">
        <v>89</v>
      </c>
      <c r="B90" s="31" t="s">
        <v>762</v>
      </c>
      <c r="C90" s="31" t="s">
        <v>22</v>
      </c>
      <c r="D90" s="31" t="s">
        <v>99</v>
      </c>
      <c r="E90" s="31" t="s">
        <v>24</v>
      </c>
      <c r="F90" s="31" t="s">
        <v>31</v>
      </c>
      <c r="G90" s="31" t="s">
        <v>25</v>
      </c>
      <c r="H90" s="31" t="s">
        <v>25</v>
      </c>
      <c r="I90" s="31" t="s">
        <v>25</v>
      </c>
      <c r="J90" s="31" t="s">
        <v>879</v>
      </c>
      <c r="K90" s="31" t="s">
        <v>878</v>
      </c>
      <c r="L90" s="31" t="s">
        <v>82</v>
      </c>
      <c r="M90" s="31">
        <v>2021</v>
      </c>
      <c r="N90" s="31">
        <v>0</v>
      </c>
      <c r="O90" s="31">
        <v>61.8</v>
      </c>
      <c r="P90" s="31"/>
    </row>
    <row r="91" spans="1:16" ht="11.25" customHeight="1" x14ac:dyDescent="0.25">
      <c r="A91" s="31">
        <v>90</v>
      </c>
      <c r="B91" s="31" t="s">
        <v>762</v>
      </c>
      <c r="C91" s="31" t="s">
        <v>22</v>
      </c>
      <c r="D91" s="31" t="s">
        <v>99</v>
      </c>
      <c r="E91" s="31" t="s">
        <v>24</v>
      </c>
      <c r="F91" s="31" t="s">
        <v>32</v>
      </c>
      <c r="G91" s="31" t="s">
        <v>25</v>
      </c>
      <c r="H91" s="31" t="s">
        <v>25</v>
      </c>
      <c r="I91" s="31" t="s">
        <v>25</v>
      </c>
      <c r="J91" s="31" t="s">
        <v>879</v>
      </c>
      <c r="K91" s="31" t="s">
        <v>878</v>
      </c>
      <c r="L91" s="31" t="s">
        <v>82</v>
      </c>
      <c r="M91" s="31">
        <v>2021</v>
      </c>
      <c r="N91" s="31">
        <v>0</v>
      </c>
      <c r="O91" s="31">
        <v>105.95</v>
      </c>
      <c r="P91" s="31"/>
    </row>
    <row r="92" spans="1:16" ht="11.25" customHeight="1" x14ac:dyDescent="0.25">
      <c r="A92" s="31">
        <v>91</v>
      </c>
      <c r="B92" s="31" t="s">
        <v>762</v>
      </c>
      <c r="C92" s="31" t="s">
        <v>22</v>
      </c>
      <c r="D92" s="31" t="s">
        <v>99</v>
      </c>
      <c r="E92" s="31" t="s">
        <v>24</v>
      </c>
      <c r="F92" s="31" t="s">
        <v>33</v>
      </c>
      <c r="G92" s="31" t="s">
        <v>25</v>
      </c>
      <c r="H92" s="31" t="s">
        <v>25</v>
      </c>
      <c r="I92" s="31" t="s">
        <v>25</v>
      </c>
      <c r="J92" s="31" t="s">
        <v>879</v>
      </c>
      <c r="K92" s="31" t="s">
        <v>878</v>
      </c>
      <c r="L92" s="31" t="s">
        <v>82</v>
      </c>
      <c r="M92" s="31">
        <v>2021</v>
      </c>
      <c r="N92" s="31">
        <v>0</v>
      </c>
      <c r="O92" s="31">
        <v>158.91999999999999</v>
      </c>
      <c r="P92" s="31"/>
    </row>
    <row r="93" spans="1:16" ht="11.25" customHeight="1" x14ac:dyDescent="0.25">
      <c r="A93" s="31">
        <v>92</v>
      </c>
      <c r="B93" s="31" t="s">
        <v>762</v>
      </c>
      <c r="C93" s="31" t="s">
        <v>22</v>
      </c>
      <c r="D93" s="31" t="s">
        <v>99</v>
      </c>
      <c r="E93" s="31" t="s">
        <v>24</v>
      </c>
      <c r="F93" s="31" t="s">
        <v>34</v>
      </c>
      <c r="G93" s="31" t="s">
        <v>25</v>
      </c>
      <c r="H93" s="31" t="s">
        <v>25</v>
      </c>
      <c r="I93" s="31" t="s">
        <v>25</v>
      </c>
      <c r="J93" s="31" t="s">
        <v>879</v>
      </c>
      <c r="K93" s="31" t="s">
        <v>878</v>
      </c>
      <c r="L93" s="31" t="s">
        <v>82</v>
      </c>
      <c r="M93" s="31">
        <v>2021</v>
      </c>
      <c r="N93" s="31">
        <v>0</v>
      </c>
      <c r="O93" s="31">
        <v>176.58</v>
      </c>
      <c r="P93" s="31"/>
    </row>
    <row r="94" spans="1:16" ht="11.25" customHeight="1" x14ac:dyDescent="0.25">
      <c r="A94" s="31">
        <v>93</v>
      </c>
      <c r="B94" s="31" t="s">
        <v>762</v>
      </c>
      <c r="C94" s="31" t="s">
        <v>46</v>
      </c>
      <c r="D94" s="31" t="s">
        <v>81</v>
      </c>
      <c r="E94" s="31" t="s">
        <v>47</v>
      </c>
      <c r="F94" s="31" t="s">
        <v>25</v>
      </c>
      <c r="G94" s="31" t="s">
        <v>25</v>
      </c>
      <c r="H94" s="31" t="s">
        <v>25</v>
      </c>
      <c r="I94" s="31" t="s">
        <v>36</v>
      </c>
      <c r="J94" s="31" t="s">
        <v>879</v>
      </c>
      <c r="K94" s="31" t="s">
        <v>878</v>
      </c>
      <c r="L94" s="31" t="s">
        <v>82</v>
      </c>
      <c r="M94" s="31">
        <v>2021</v>
      </c>
      <c r="N94" s="31">
        <v>0</v>
      </c>
      <c r="O94" s="31">
        <v>237.87</v>
      </c>
      <c r="P94" s="31"/>
    </row>
    <row r="95" spans="1:16" ht="11.25" customHeight="1" x14ac:dyDescent="0.25">
      <c r="A95" s="31">
        <v>94</v>
      </c>
      <c r="B95" s="31" t="s">
        <v>762</v>
      </c>
      <c r="C95" s="31" t="s">
        <v>46</v>
      </c>
      <c r="D95" s="31" t="s">
        <v>81</v>
      </c>
      <c r="E95" s="31" t="s">
        <v>47</v>
      </c>
      <c r="F95" s="31" t="s">
        <v>25</v>
      </c>
      <c r="G95" s="31" t="s">
        <v>25</v>
      </c>
      <c r="H95" s="31" t="s">
        <v>25</v>
      </c>
      <c r="I95" s="31" t="s">
        <v>38</v>
      </c>
      <c r="J95" s="31" t="s">
        <v>879</v>
      </c>
      <c r="K95" s="31" t="s">
        <v>878</v>
      </c>
      <c r="L95" s="31" t="s">
        <v>82</v>
      </c>
      <c r="M95" s="31">
        <v>2021</v>
      </c>
      <c r="N95" s="31">
        <v>0</v>
      </c>
      <c r="O95" s="31">
        <v>147.88999999999999</v>
      </c>
      <c r="P95" s="31"/>
    </row>
    <row r="96" spans="1:16" ht="11.25" customHeight="1" x14ac:dyDescent="0.25">
      <c r="A96" s="31">
        <v>95</v>
      </c>
      <c r="B96" s="31" t="s">
        <v>762</v>
      </c>
      <c r="C96" s="31" t="s">
        <v>46</v>
      </c>
      <c r="D96" s="31" t="s">
        <v>81</v>
      </c>
      <c r="E96" s="31" t="s">
        <v>47</v>
      </c>
      <c r="F96" s="31" t="s">
        <v>25</v>
      </c>
      <c r="G96" s="31" t="s">
        <v>25</v>
      </c>
      <c r="H96" s="31" t="s">
        <v>25</v>
      </c>
      <c r="I96" s="31" t="s">
        <v>37</v>
      </c>
      <c r="J96" s="31" t="s">
        <v>879</v>
      </c>
      <c r="K96" s="31" t="s">
        <v>878</v>
      </c>
      <c r="L96" s="31" t="s">
        <v>82</v>
      </c>
      <c r="M96" s="31">
        <v>2021</v>
      </c>
      <c r="N96" s="31">
        <v>0</v>
      </c>
      <c r="O96" s="31">
        <v>147.88999999999999</v>
      </c>
      <c r="P96" s="31"/>
    </row>
    <row r="97" spans="1:16" ht="11.25" customHeight="1" x14ac:dyDescent="0.25">
      <c r="A97" s="31">
        <v>96</v>
      </c>
      <c r="B97" s="31" t="s">
        <v>762</v>
      </c>
      <c r="C97" s="31" t="s">
        <v>46</v>
      </c>
      <c r="D97" s="31" t="s">
        <v>90</v>
      </c>
      <c r="E97" s="31" t="s">
        <v>47</v>
      </c>
      <c r="F97" s="31" t="s">
        <v>25</v>
      </c>
      <c r="G97" s="31" t="s">
        <v>25</v>
      </c>
      <c r="H97" s="31" t="s">
        <v>25</v>
      </c>
      <c r="I97" s="31" t="s">
        <v>25</v>
      </c>
      <c r="J97" s="31" t="s">
        <v>879</v>
      </c>
      <c r="K97" s="31" t="s">
        <v>878</v>
      </c>
      <c r="L97" s="31" t="s">
        <v>82</v>
      </c>
      <c r="M97" s="31">
        <v>2021</v>
      </c>
      <c r="N97" s="31">
        <v>0</v>
      </c>
      <c r="O97" s="31">
        <v>155.38999999999999</v>
      </c>
      <c r="P97" s="31"/>
    </row>
    <row r="98" spans="1:16" ht="11.25" customHeight="1" x14ac:dyDescent="0.25">
      <c r="A98" s="31">
        <v>97</v>
      </c>
      <c r="B98" s="31" t="s">
        <v>762</v>
      </c>
      <c r="C98" s="31" t="s">
        <v>46</v>
      </c>
      <c r="D98" s="31" t="s">
        <v>81</v>
      </c>
      <c r="E98" s="31" t="s">
        <v>47</v>
      </c>
      <c r="F98" s="31" t="s">
        <v>101</v>
      </c>
      <c r="G98" s="31" t="s">
        <v>25</v>
      </c>
      <c r="H98" s="31" t="s">
        <v>25</v>
      </c>
      <c r="I98" s="31" t="s">
        <v>36</v>
      </c>
      <c r="J98" s="31" t="s">
        <v>879</v>
      </c>
      <c r="K98" s="31" t="s">
        <v>878</v>
      </c>
      <c r="L98" s="31" t="s">
        <v>82</v>
      </c>
      <c r="M98" s="31">
        <v>2021</v>
      </c>
      <c r="N98" s="31">
        <v>0</v>
      </c>
      <c r="O98" s="31">
        <v>237.87</v>
      </c>
      <c r="P98" s="31"/>
    </row>
    <row r="99" spans="1:16" ht="11.25" customHeight="1" x14ac:dyDescent="0.25">
      <c r="A99" s="31">
        <v>98</v>
      </c>
      <c r="B99" s="31" t="s">
        <v>762</v>
      </c>
      <c r="C99" s="31" t="s">
        <v>46</v>
      </c>
      <c r="D99" s="31" t="s">
        <v>81</v>
      </c>
      <c r="E99" s="31" t="s">
        <v>47</v>
      </c>
      <c r="F99" s="31" t="s">
        <v>101</v>
      </c>
      <c r="G99" s="31" t="s">
        <v>25</v>
      </c>
      <c r="H99" s="31" t="s">
        <v>25</v>
      </c>
      <c r="I99" s="31" t="s">
        <v>38</v>
      </c>
      <c r="J99" s="31" t="s">
        <v>879</v>
      </c>
      <c r="K99" s="31" t="s">
        <v>878</v>
      </c>
      <c r="L99" s="31" t="s">
        <v>82</v>
      </c>
      <c r="M99" s="31">
        <v>2021</v>
      </c>
      <c r="N99" s="31">
        <v>0</v>
      </c>
      <c r="O99" s="31">
        <v>147.88999999999999</v>
      </c>
      <c r="P99" s="31"/>
    </row>
    <row r="100" spans="1:16" ht="11.25" customHeight="1" x14ac:dyDescent="0.25">
      <c r="A100" s="31">
        <v>99</v>
      </c>
      <c r="B100" s="31" t="s">
        <v>762</v>
      </c>
      <c r="C100" s="31" t="s">
        <v>46</v>
      </c>
      <c r="D100" s="31" t="s">
        <v>81</v>
      </c>
      <c r="E100" s="31" t="s">
        <v>47</v>
      </c>
      <c r="F100" s="31" t="s">
        <v>101</v>
      </c>
      <c r="G100" s="31" t="s">
        <v>25</v>
      </c>
      <c r="H100" s="31" t="s">
        <v>25</v>
      </c>
      <c r="I100" s="31" t="s">
        <v>37</v>
      </c>
      <c r="J100" s="31" t="s">
        <v>879</v>
      </c>
      <c r="K100" s="31" t="s">
        <v>878</v>
      </c>
      <c r="L100" s="31" t="s">
        <v>82</v>
      </c>
      <c r="M100" s="31">
        <v>2021</v>
      </c>
      <c r="N100" s="31">
        <v>0</v>
      </c>
      <c r="O100" s="31">
        <v>147.88999999999999</v>
      </c>
      <c r="P100" s="31"/>
    </row>
    <row r="101" spans="1:16" ht="11.25" customHeight="1" x14ac:dyDescent="0.25">
      <c r="A101" s="31">
        <v>100</v>
      </c>
      <c r="B101" s="31" t="s">
        <v>762</v>
      </c>
      <c r="C101" s="31" t="s">
        <v>46</v>
      </c>
      <c r="D101" s="31" t="s">
        <v>90</v>
      </c>
      <c r="E101" s="31" t="s">
        <v>47</v>
      </c>
      <c r="F101" s="31" t="s">
        <v>101</v>
      </c>
      <c r="G101" s="31" t="s">
        <v>25</v>
      </c>
      <c r="H101" s="31" t="s">
        <v>25</v>
      </c>
      <c r="I101" s="31" t="s">
        <v>25</v>
      </c>
      <c r="J101" s="31" t="s">
        <v>879</v>
      </c>
      <c r="K101" s="31" t="s">
        <v>878</v>
      </c>
      <c r="L101" s="31" t="s">
        <v>82</v>
      </c>
      <c r="M101" s="31">
        <v>2021</v>
      </c>
      <c r="N101" s="31">
        <v>0</v>
      </c>
      <c r="O101" s="31">
        <v>155.38999999999999</v>
      </c>
      <c r="P101" s="31"/>
    </row>
    <row r="102" spans="1:16" ht="11.25" customHeight="1" x14ac:dyDescent="0.25">
      <c r="A102" s="31">
        <v>101</v>
      </c>
      <c r="B102" s="31" t="s">
        <v>762</v>
      </c>
      <c r="C102" s="31" t="s">
        <v>46</v>
      </c>
      <c r="D102" s="31" t="s">
        <v>81</v>
      </c>
      <c r="E102" s="31" t="s">
        <v>47</v>
      </c>
      <c r="F102" s="31" t="s">
        <v>102</v>
      </c>
      <c r="G102" s="31" t="s">
        <v>25</v>
      </c>
      <c r="H102" s="31" t="s">
        <v>25</v>
      </c>
      <c r="I102" s="31" t="s">
        <v>36</v>
      </c>
      <c r="J102" s="31" t="s">
        <v>879</v>
      </c>
      <c r="K102" s="31" t="s">
        <v>878</v>
      </c>
      <c r="L102" s="31" t="s">
        <v>82</v>
      </c>
      <c r="M102" s="31">
        <v>2021</v>
      </c>
      <c r="N102" s="31">
        <v>0</v>
      </c>
      <c r="O102" s="31">
        <v>227.05</v>
      </c>
      <c r="P102" s="31"/>
    </row>
    <row r="103" spans="1:16" ht="11.25" customHeight="1" x14ac:dyDescent="0.25">
      <c r="A103" s="31">
        <v>102</v>
      </c>
      <c r="B103" s="31" t="s">
        <v>762</v>
      </c>
      <c r="C103" s="31" t="s">
        <v>46</v>
      </c>
      <c r="D103" s="31" t="s">
        <v>81</v>
      </c>
      <c r="E103" s="31" t="s">
        <v>47</v>
      </c>
      <c r="F103" s="31" t="s">
        <v>102</v>
      </c>
      <c r="G103" s="31" t="s">
        <v>25</v>
      </c>
      <c r="H103" s="31" t="s">
        <v>25</v>
      </c>
      <c r="I103" s="31" t="s">
        <v>38</v>
      </c>
      <c r="J103" s="31" t="s">
        <v>879</v>
      </c>
      <c r="K103" s="31" t="s">
        <v>878</v>
      </c>
      <c r="L103" s="31" t="s">
        <v>82</v>
      </c>
      <c r="M103" s="31">
        <v>2021</v>
      </c>
      <c r="N103" s="31">
        <v>0</v>
      </c>
      <c r="O103" s="31">
        <v>141.16999999999999</v>
      </c>
      <c r="P103" s="31"/>
    </row>
    <row r="104" spans="1:16" ht="11.25" customHeight="1" x14ac:dyDescent="0.25">
      <c r="A104" s="31">
        <v>103</v>
      </c>
      <c r="B104" s="31" t="s">
        <v>762</v>
      </c>
      <c r="C104" s="31" t="s">
        <v>46</v>
      </c>
      <c r="D104" s="31" t="s">
        <v>81</v>
      </c>
      <c r="E104" s="31" t="s">
        <v>47</v>
      </c>
      <c r="F104" s="31" t="s">
        <v>102</v>
      </c>
      <c r="G104" s="31" t="s">
        <v>25</v>
      </c>
      <c r="H104" s="31" t="s">
        <v>25</v>
      </c>
      <c r="I104" s="31" t="s">
        <v>37</v>
      </c>
      <c r="J104" s="31" t="s">
        <v>879</v>
      </c>
      <c r="K104" s="31" t="s">
        <v>878</v>
      </c>
      <c r="L104" s="31" t="s">
        <v>82</v>
      </c>
      <c r="M104" s="31">
        <v>2021</v>
      </c>
      <c r="N104" s="31">
        <v>0</v>
      </c>
      <c r="O104" s="31">
        <v>141.16999999999999</v>
      </c>
      <c r="P104" s="31"/>
    </row>
    <row r="105" spans="1:16" ht="11.25" customHeight="1" x14ac:dyDescent="0.25">
      <c r="A105" s="31">
        <v>104</v>
      </c>
      <c r="B105" s="31" t="s">
        <v>762</v>
      </c>
      <c r="C105" s="31" t="s">
        <v>46</v>
      </c>
      <c r="D105" s="31" t="s">
        <v>90</v>
      </c>
      <c r="E105" s="31" t="s">
        <v>47</v>
      </c>
      <c r="F105" s="31" t="s">
        <v>102</v>
      </c>
      <c r="G105" s="31" t="s">
        <v>25</v>
      </c>
      <c r="H105" s="31" t="s">
        <v>25</v>
      </c>
      <c r="I105" s="31" t="s">
        <v>25</v>
      </c>
      <c r="J105" s="31" t="s">
        <v>879</v>
      </c>
      <c r="K105" s="31" t="s">
        <v>878</v>
      </c>
      <c r="L105" s="31" t="s">
        <v>82</v>
      </c>
      <c r="M105" s="31">
        <v>2021</v>
      </c>
      <c r="N105" s="31">
        <v>0</v>
      </c>
      <c r="O105" s="31">
        <v>148.33000000000001</v>
      </c>
      <c r="P105" s="31"/>
    </row>
    <row r="106" spans="1:16" ht="11.25" customHeight="1" x14ac:dyDescent="0.25">
      <c r="A106" s="31">
        <v>105</v>
      </c>
      <c r="B106" s="31" t="s">
        <v>762</v>
      </c>
      <c r="C106" s="31" t="s">
        <v>46</v>
      </c>
      <c r="D106" s="31" t="s">
        <v>99</v>
      </c>
      <c r="E106" s="31" t="s">
        <v>47</v>
      </c>
      <c r="F106" s="31" t="s">
        <v>25</v>
      </c>
      <c r="G106" s="31" t="s">
        <v>25</v>
      </c>
      <c r="H106" s="31" t="s">
        <v>25</v>
      </c>
      <c r="I106" s="31" t="s">
        <v>25</v>
      </c>
      <c r="J106" s="31" t="s">
        <v>879</v>
      </c>
      <c r="K106" s="31" t="s">
        <v>878</v>
      </c>
      <c r="L106" s="31" t="s">
        <v>82</v>
      </c>
      <c r="M106" s="31">
        <v>2021</v>
      </c>
      <c r="N106" s="31">
        <v>0</v>
      </c>
      <c r="O106" s="31">
        <v>155.38999999999999</v>
      </c>
      <c r="P106" s="31"/>
    </row>
    <row r="107" spans="1:16" ht="11.25" customHeight="1" x14ac:dyDescent="0.25">
      <c r="A107" s="31">
        <v>106</v>
      </c>
      <c r="B107" s="31" t="s">
        <v>762</v>
      </c>
      <c r="C107" s="31" t="s">
        <v>46</v>
      </c>
      <c r="D107" s="31" t="s">
        <v>99</v>
      </c>
      <c r="E107" s="31" t="s">
        <v>47</v>
      </c>
      <c r="F107" s="31" t="s">
        <v>101</v>
      </c>
      <c r="G107" s="31" t="s">
        <v>25</v>
      </c>
      <c r="H107" s="31" t="s">
        <v>25</v>
      </c>
      <c r="I107" s="31" t="s">
        <v>25</v>
      </c>
      <c r="J107" s="31" t="s">
        <v>879</v>
      </c>
      <c r="K107" s="31" t="s">
        <v>878</v>
      </c>
      <c r="L107" s="31" t="s">
        <v>82</v>
      </c>
      <c r="M107" s="31">
        <v>2021</v>
      </c>
      <c r="N107" s="31">
        <v>0</v>
      </c>
      <c r="O107" s="31">
        <v>155.38999999999999</v>
      </c>
      <c r="P107" s="31"/>
    </row>
    <row r="108" spans="1:16" ht="11.25" customHeight="1" x14ac:dyDescent="0.25">
      <c r="A108" s="31">
        <v>107</v>
      </c>
      <c r="B108" s="31" t="s">
        <v>762</v>
      </c>
      <c r="C108" s="31" t="s">
        <v>46</v>
      </c>
      <c r="D108" s="31" t="s">
        <v>99</v>
      </c>
      <c r="E108" s="31" t="s">
        <v>47</v>
      </c>
      <c r="F108" s="31" t="s">
        <v>102</v>
      </c>
      <c r="G108" s="31" t="s">
        <v>25</v>
      </c>
      <c r="H108" s="31" t="s">
        <v>25</v>
      </c>
      <c r="I108" s="31" t="s">
        <v>25</v>
      </c>
      <c r="J108" s="31" t="s">
        <v>879</v>
      </c>
      <c r="K108" s="31" t="s">
        <v>878</v>
      </c>
      <c r="L108" s="31" t="s">
        <v>82</v>
      </c>
      <c r="M108" s="31">
        <v>2021</v>
      </c>
      <c r="N108" s="31">
        <v>0</v>
      </c>
      <c r="O108" s="31">
        <v>148.33000000000001</v>
      </c>
      <c r="P108" s="31"/>
    </row>
    <row r="109" spans="1:16" ht="11.25" customHeight="1" x14ac:dyDescent="0.25">
      <c r="A109" s="31">
        <v>108</v>
      </c>
      <c r="B109" s="31" t="s">
        <v>762</v>
      </c>
      <c r="C109" s="31" t="s">
        <v>39</v>
      </c>
      <c r="D109" s="31" t="s">
        <v>81</v>
      </c>
      <c r="E109" s="31" t="s">
        <v>25</v>
      </c>
      <c r="F109" s="31" t="s">
        <v>25</v>
      </c>
      <c r="G109" s="31" t="s">
        <v>25</v>
      </c>
      <c r="H109" s="31" t="s">
        <v>25</v>
      </c>
      <c r="I109" s="31" t="s">
        <v>36</v>
      </c>
      <c r="J109" s="31" t="s">
        <v>879</v>
      </c>
      <c r="K109" s="31" t="s">
        <v>878</v>
      </c>
      <c r="L109" s="31" t="s">
        <v>82</v>
      </c>
      <c r="M109" s="31">
        <v>2021</v>
      </c>
      <c r="N109" s="31">
        <v>0</v>
      </c>
      <c r="O109" s="31">
        <v>270.3</v>
      </c>
      <c r="P109" s="31"/>
    </row>
    <row r="110" spans="1:16" ht="11.25" customHeight="1" x14ac:dyDescent="0.25">
      <c r="A110" s="31">
        <v>109</v>
      </c>
      <c r="B110" s="31" t="s">
        <v>762</v>
      </c>
      <c r="C110" s="31" t="s">
        <v>39</v>
      </c>
      <c r="D110" s="31" t="s">
        <v>81</v>
      </c>
      <c r="E110" s="31" t="s">
        <v>25</v>
      </c>
      <c r="F110" s="31" t="s">
        <v>25</v>
      </c>
      <c r="G110" s="31" t="s">
        <v>25</v>
      </c>
      <c r="H110" s="31" t="s">
        <v>25</v>
      </c>
      <c r="I110" s="31" t="s">
        <v>38</v>
      </c>
      <c r="J110" s="31" t="s">
        <v>879</v>
      </c>
      <c r="K110" s="31" t="s">
        <v>878</v>
      </c>
      <c r="L110" s="31" t="s">
        <v>82</v>
      </c>
      <c r="M110" s="31">
        <v>2021</v>
      </c>
      <c r="N110" s="31">
        <v>0</v>
      </c>
      <c r="O110" s="31">
        <v>168.06</v>
      </c>
      <c r="P110" s="31"/>
    </row>
    <row r="111" spans="1:16" ht="11.25" customHeight="1" x14ac:dyDescent="0.25">
      <c r="A111" s="31">
        <v>110</v>
      </c>
      <c r="B111" s="31" t="s">
        <v>762</v>
      </c>
      <c r="C111" s="31" t="s">
        <v>39</v>
      </c>
      <c r="D111" s="31" t="s">
        <v>81</v>
      </c>
      <c r="E111" s="31" t="s">
        <v>25</v>
      </c>
      <c r="F111" s="31" t="s">
        <v>25</v>
      </c>
      <c r="G111" s="31" t="s">
        <v>25</v>
      </c>
      <c r="H111" s="31" t="s">
        <v>25</v>
      </c>
      <c r="I111" s="31" t="s">
        <v>37</v>
      </c>
      <c r="J111" s="31" t="s">
        <v>879</v>
      </c>
      <c r="K111" s="31" t="s">
        <v>878</v>
      </c>
      <c r="L111" s="31" t="s">
        <v>82</v>
      </c>
      <c r="M111" s="31">
        <v>2021</v>
      </c>
      <c r="N111" s="31">
        <v>0</v>
      </c>
      <c r="O111" s="31">
        <v>168.06</v>
      </c>
      <c r="P111" s="31"/>
    </row>
    <row r="112" spans="1:16" ht="11.25" customHeight="1" x14ac:dyDescent="0.25">
      <c r="A112" s="31">
        <v>111</v>
      </c>
      <c r="B112" s="31" t="s">
        <v>762</v>
      </c>
      <c r="C112" s="31" t="s">
        <v>39</v>
      </c>
      <c r="D112" s="31" t="s">
        <v>90</v>
      </c>
      <c r="E112" s="31" t="s">
        <v>25</v>
      </c>
      <c r="F112" s="31" t="s">
        <v>25</v>
      </c>
      <c r="G112" s="31" t="s">
        <v>25</v>
      </c>
      <c r="H112" s="31" t="s">
        <v>25</v>
      </c>
      <c r="I112" s="31" t="s">
        <v>25</v>
      </c>
      <c r="J112" s="31" t="s">
        <v>879</v>
      </c>
      <c r="K112" s="31" t="s">
        <v>878</v>
      </c>
      <c r="L112" s="31" t="s">
        <v>82</v>
      </c>
      <c r="M112" s="31">
        <v>2021</v>
      </c>
      <c r="N112" s="31">
        <v>0</v>
      </c>
      <c r="O112" s="31">
        <v>176.58</v>
      </c>
      <c r="P112" s="31"/>
    </row>
    <row r="113" spans="1:16" ht="11.25" customHeight="1" x14ac:dyDescent="0.25">
      <c r="A113" s="31">
        <v>112</v>
      </c>
      <c r="B113" s="31" t="s">
        <v>762</v>
      </c>
      <c r="C113" s="31" t="s">
        <v>39</v>
      </c>
      <c r="D113" s="31" t="s">
        <v>99</v>
      </c>
      <c r="E113" s="31" t="s">
        <v>25</v>
      </c>
      <c r="F113" s="31" t="s">
        <v>25</v>
      </c>
      <c r="G113" s="31" t="s">
        <v>25</v>
      </c>
      <c r="H113" s="31" t="s">
        <v>25</v>
      </c>
      <c r="I113" s="31" t="s">
        <v>25</v>
      </c>
      <c r="J113" s="31" t="s">
        <v>879</v>
      </c>
      <c r="K113" s="31" t="s">
        <v>878</v>
      </c>
      <c r="L113" s="31" t="s">
        <v>82</v>
      </c>
      <c r="M113" s="31">
        <v>2021</v>
      </c>
      <c r="N113" s="31">
        <v>0</v>
      </c>
      <c r="O113" s="31">
        <v>176.58</v>
      </c>
      <c r="P113" s="31"/>
    </row>
    <row r="114" spans="1:16" ht="11.25" customHeight="1" x14ac:dyDescent="0.25">
      <c r="A114" s="31">
        <v>113</v>
      </c>
      <c r="B114" s="31" t="s">
        <v>762</v>
      </c>
      <c r="C114" s="31" t="s">
        <v>49</v>
      </c>
      <c r="D114" s="31" t="s">
        <v>90</v>
      </c>
      <c r="E114" s="31" t="s">
        <v>50</v>
      </c>
      <c r="F114" s="31" t="s">
        <v>51</v>
      </c>
      <c r="G114" s="31" t="s">
        <v>25</v>
      </c>
      <c r="H114" s="31" t="s">
        <v>25</v>
      </c>
      <c r="I114" s="31" t="s">
        <v>25</v>
      </c>
      <c r="J114" s="31" t="s">
        <v>879</v>
      </c>
      <c r="K114" s="31" t="s">
        <v>878</v>
      </c>
      <c r="L114" s="31" t="s">
        <v>82</v>
      </c>
      <c r="M114" s="31">
        <v>2021</v>
      </c>
      <c r="N114" s="31">
        <v>0</v>
      </c>
      <c r="O114" s="31">
        <v>97.12</v>
      </c>
      <c r="P114" s="31"/>
    </row>
    <row r="115" spans="1:16" ht="11.25" customHeight="1" x14ac:dyDescent="0.25">
      <c r="A115" s="31">
        <v>114</v>
      </c>
      <c r="B115" s="31" t="s">
        <v>762</v>
      </c>
      <c r="C115" s="31" t="s">
        <v>49</v>
      </c>
      <c r="D115" s="31" t="s">
        <v>90</v>
      </c>
      <c r="E115" s="31" t="s">
        <v>50</v>
      </c>
      <c r="F115" s="31" t="s">
        <v>103</v>
      </c>
      <c r="G115" s="31" t="s">
        <v>25</v>
      </c>
      <c r="H115" s="31" t="s">
        <v>25</v>
      </c>
      <c r="I115" s="31" t="s">
        <v>25</v>
      </c>
      <c r="J115" s="31" t="s">
        <v>879</v>
      </c>
      <c r="K115" s="31" t="s">
        <v>878</v>
      </c>
      <c r="L115" s="31" t="s">
        <v>82</v>
      </c>
      <c r="M115" s="31">
        <v>2021</v>
      </c>
      <c r="N115" s="31">
        <v>0</v>
      </c>
      <c r="O115" s="31">
        <v>105.95</v>
      </c>
      <c r="P115" s="3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63259-0886-4F9F-9217-CF24C238F48E}">
  <sheetPr codeName="Planilha4"/>
  <dimension ref="A1:AD66"/>
  <sheetViews>
    <sheetView showGridLines="0" workbookViewId="0">
      <selection activeCell="A2" sqref="A2:A5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5" width="10.28515625" style="9" bestFit="1" customWidth="1"/>
    <col min="6" max="6" width="14.140625" style="9" bestFit="1" customWidth="1"/>
    <col min="7" max="7" width="6.28515625" style="9" bestFit="1" customWidth="1"/>
    <col min="8" max="8" width="7.42578125" style="9" bestFit="1" customWidth="1"/>
    <col min="9" max="20" width="7.85546875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71</v>
      </c>
      <c r="B1" s="10" t="s">
        <v>72</v>
      </c>
      <c r="C1" s="10" t="s">
        <v>73</v>
      </c>
      <c r="D1" s="10" t="s">
        <v>74</v>
      </c>
      <c r="E1" s="10" t="s">
        <v>75</v>
      </c>
      <c r="F1" s="10" t="s">
        <v>76</v>
      </c>
      <c r="G1" s="10" t="s">
        <v>77</v>
      </c>
      <c r="H1" s="10" t="s">
        <v>78</v>
      </c>
      <c r="I1" s="11">
        <v>44531</v>
      </c>
      <c r="J1" s="11">
        <v>44562</v>
      </c>
      <c r="K1" s="11">
        <v>44593</v>
      </c>
      <c r="L1" s="11">
        <v>44621</v>
      </c>
      <c r="M1" s="11">
        <v>44652</v>
      </c>
      <c r="N1" s="11">
        <v>44682</v>
      </c>
      <c r="O1" s="11">
        <v>44713</v>
      </c>
      <c r="P1" s="11">
        <v>44743</v>
      </c>
      <c r="Q1" s="11">
        <v>44774</v>
      </c>
      <c r="R1" s="11">
        <v>44805</v>
      </c>
      <c r="S1" s="11">
        <v>44835</v>
      </c>
      <c r="T1" s="11">
        <v>44866</v>
      </c>
      <c r="U1" s="10" t="s">
        <v>79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92" t="s">
        <v>80</v>
      </c>
      <c r="B2" s="92" t="s">
        <v>42</v>
      </c>
      <c r="C2" s="92" t="s">
        <v>25</v>
      </c>
      <c r="D2" s="92" t="s">
        <v>25</v>
      </c>
      <c r="E2" s="92" t="s">
        <v>25</v>
      </c>
      <c r="F2" s="92" t="s">
        <v>25</v>
      </c>
      <c r="G2" s="13" t="s">
        <v>86</v>
      </c>
      <c r="H2" s="13" t="s">
        <v>85</v>
      </c>
      <c r="I2" s="13">
        <f>SUMIF(Mercado_Receita!$S$2:$S$2102,"44531A3AzulNão se aplicaNão se aplicaNão se aplicaNão se aplicaPonta",Mercado_Receita!$J$2:$J$2102)+SUMIF(Mercado_Receita!$S$2:$S$2102,"44531A3AzulNão se aplicaNão se aplicaAPENão se aplicaPonta",Mercado_Receita!$J$2:$J$2102)+SUMIF(Mercado_Receita!$S$2:$S$2102,"44531A3ConvencionalNão se aplicaNão se aplicaNão se aplicaNão se aplicaNão se aplica",Mercado_Receita!$J$2:$J$2102)*0.72</f>
        <v>0</v>
      </c>
      <c r="J2" s="13">
        <f>SUMIF(Mercado_Receita!$S$2:$S$2102,"44562A3AzulNão se aplicaNão se aplicaNão se aplicaNão se aplicaPonta",Mercado_Receita!$J$2:$J$2102)+SUMIF(Mercado_Receita!$S$2:$S$2102,"44562A3AzulNão se aplicaNão se aplicaAPENão se aplicaPonta",Mercado_Receita!$J$2:$J$2102)+SUMIF(Mercado_Receita!$S$2:$S$2102,"44562A3ConvencionalNão se aplicaNão se aplicaNão se aplicaNão se aplicaNão se aplica",Mercado_Receita!$J$2:$J$2102)*0.72</f>
        <v>0</v>
      </c>
      <c r="K2" s="13">
        <f>SUMIF(Mercado_Receita!$S$2:$S$2102,"44593A3AzulNão se aplicaNão se aplicaNão se aplicaNão se aplicaPonta",Mercado_Receita!$J$2:$J$2102)+SUMIF(Mercado_Receita!$S$2:$S$2102,"44593A3AzulNão se aplicaNão se aplicaAPENão se aplicaPonta",Mercado_Receita!$J$2:$J$2102)+SUMIF(Mercado_Receita!$S$2:$S$2102,"44593A3ConvencionalNão se aplicaNão se aplicaNão se aplicaNão se aplicaNão se aplica",Mercado_Receita!$J$2:$J$2102)*0.72</f>
        <v>0</v>
      </c>
      <c r="L2" s="13">
        <f>SUMIF(Mercado_Receita!$S$2:$S$2102,"44621A3AzulNão se aplicaNão se aplicaNão se aplicaNão se aplicaPonta",Mercado_Receita!$J$2:$J$2102)+SUMIF(Mercado_Receita!$S$2:$S$2102,"44621A3AzulNão se aplicaNão se aplicaAPENão se aplicaPonta",Mercado_Receita!$J$2:$J$2102)+SUMIF(Mercado_Receita!$S$2:$S$2102,"44621A3ConvencionalNão se aplicaNão se aplicaNão se aplicaNão se aplicaNão se aplica",Mercado_Receita!$J$2:$J$2102)*0.72</f>
        <v>0</v>
      </c>
      <c r="M2" s="13">
        <f>SUMIF(Mercado_Receita!$S$2:$S$2102,"44652A3AzulNão se aplicaNão se aplicaNão se aplicaNão se aplicaPonta",Mercado_Receita!$J$2:$J$2102)+SUMIF(Mercado_Receita!$S$2:$S$2102,"44652A3AzulNão se aplicaNão se aplicaAPENão se aplicaPonta",Mercado_Receita!$J$2:$J$2102)+SUMIF(Mercado_Receita!$S$2:$S$2102,"44652A3ConvencionalNão se aplicaNão se aplicaNão se aplicaNão se aplicaNão se aplica",Mercado_Receita!$J$2:$J$2102)*0.72</f>
        <v>0</v>
      </c>
      <c r="N2" s="13">
        <f>SUMIF(Mercado_Receita!$S$2:$S$2102,"44682A3AzulNão se aplicaNão se aplicaNão se aplicaNão se aplicaPonta",Mercado_Receita!$J$2:$J$2102)+SUMIF(Mercado_Receita!$S$2:$S$2102,"44682A3AzulNão se aplicaNão se aplicaAPENão se aplicaPonta",Mercado_Receita!$J$2:$J$2102)+SUMIF(Mercado_Receita!$S$2:$S$2102,"44682A3ConvencionalNão se aplicaNão se aplicaNão se aplicaNão se aplicaNão se aplica",Mercado_Receita!$J$2:$J$2102)*0.72</f>
        <v>0</v>
      </c>
      <c r="O2" s="13">
        <f>SUMIF(Mercado_Receita!$S$2:$S$2102,"44713A3AzulNão se aplicaNão se aplicaNão se aplicaNão se aplicaPonta",Mercado_Receita!$J$2:$J$2102)+SUMIF(Mercado_Receita!$S$2:$S$2102,"44713A3AzulNão se aplicaNão se aplicaAPENão se aplicaPonta",Mercado_Receita!$J$2:$J$2102)+SUMIF(Mercado_Receita!$S$2:$S$2102,"44713A3ConvencionalNão se aplicaNão se aplicaNão se aplicaNão se aplicaNão se aplica",Mercado_Receita!$J$2:$J$2102)*0.72</f>
        <v>0</v>
      </c>
      <c r="P2" s="13">
        <f>SUMIF(Mercado_Receita!$S$2:$S$2102,"44743A3AzulNão se aplicaNão se aplicaNão se aplicaNão se aplicaPonta",Mercado_Receita!$J$2:$J$2102)+SUMIF(Mercado_Receita!$S$2:$S$2102,"44743A3AzulNão se aplicaNão se aplicaAPENão se aplicaPonta",Mercado_Receita!$J$2:$J$2102)+SUMIF(Mercado_Receita!$S$2:$S$2102,"44743A3ConvencionalNão se aplicaNão se aplicaNão se aplicaNão se aplicaNão se aplica",Mercado_Receita!$J$2:$J$2102)*0.72</f>
        <v>0</v>
      </c>
      <c r="Q2" s="13">
        <f>SUMIF(Mercado_Receita!$S$2:$S$2102,"44774A3AzulNão se aplicaNão se aplicaNão se aplicaNão se aplicaPonta",Mercado_Receita!$J$2:$J$2102)+SUMIF(Mercado_Receita!$S$2:$S$2102,"44774A3AzulNão se aplicaNão se aplicaAPENão se aplicaPonta",Mercado_Receita!$J$2:$J$2102)+SUMIF(Mercado_Receita!$S$2:$S$2102,"44774A3ConvencionalNão se aplicaNão se aplicaNão se aplicaNão se aplicaNão se aplica",Mercado_Receita!$J$2:$J$2102)*0.72</f>
        <v>0</v>
      </c>
      <c r="R2" s="13">
        <f>SUMIF(Mercado_Receita!$S$2:$S$2102,"44805A3AzulNão se aplicaNão se aplicaNão se aplicaNão se aplicaPonta",Mercado_Receita!$J$2:$J$2102)+SUMIF(Mercado_Receita!$S$2:$S$2102,"44805A3AzulNão se aplicaNão se aplicaAPENão se aplicaPonta",Mercado_Receita!$J$2:$J$2102)+SUMIF(Mercado_Receita!$S$2:$S$2102,"44805A3ConvencionalNão se aplicaNão se aplicaNão se aplicaNão se aplicaNão se aplica",Mercado_Receita!$J$2:$J$2102)*0.72</f>
        <v>0</v>
      </c>
      <c r="S2" s="13">
        <f>SUMIF(Mercado_Receita!$S$2:$S$2102,"44835A3AzulNão se aplicaNão se aplicaNão se aplicaNão se aplicaPonta",Mercado_Receita!$J$2:$J$2102)+SUMIF(Mercado_Receita!$S$2:$S$2102,"44835A3AzulNão se aplicaNão se aplicaAPENão se aplicaPonta",Mercado_Receita!$J$2:$J$2102)+SUMIF(Mercado_Receita!$S$2:$S$2102,"44835A3ConvencionalNão se aplicaNão se aplicaNão se aplicaNão se aplicaNão se aplica",Mercado_Receita!$J$2:$J$2102)*0.72</f>
        <v>0</v>
      </c>
      <c r="T2" s="13">
        <f>SUMIF(Mercado_Receita!$S$2:$S$2102,"44866A3AzulNão se aplicaNão se aplicaNão se aplicaNão se aplicaPonta",Mercado_Receita!$J$2:$J$2102)+SUMIF(Mercado_Receita!$S$2:$S$2102,"44866A3AzulNão se aplicaNão se aplicaAPENão se aplicaPonta",Mercado_Receita!$J$2:$J$2102)+SUMIF(Mercado_Receita!$S$2:$S$2102,"44866A3ConvencionalNão se aplicaNão se aplicaNão se aplicaNão se aplicaNão se aplica",Mercado_Receita!$J$2:$J$2102)*0.72</f>
        <v>0</v>
      </c>
      <c r="U2" s="13">
        <f t="shared" ref="U2:U33" si="0">SUM(I2:T2)</f>
        <v>0</v>
      </c>
      <c r="V2" s="13"/>
      <c r="W2" s="13"/>
    </row>
    <row r="3" spans="1:30" ht="11.25" customHeight="1" x14ac:dyDescent="0.25">
      <c r="A3" s="93"/>
      <c r="B3" s="93"/>
      <c r="C3" s="93"/>
      <c r="D3" s="93"/>
      <c r="E3" s="93"/>
      <c r="F3" s="93"/>
      <c r="G3" s="13" t="s">
        <v>87</v>
      </c>
      <c r="H3" s="13" t="s">
        <v>85</v>
      </c>
      <c r="I3" s="13">
        <f>SUMIF(Mercado_Receita!$S$2:$S$2102,"44531A3AzulNão se aplicaNão se aplicaNão se aplicaNão se aplicaFora ponta",Mercado_Receita!$J$2:$J$2102)+SUMIF(Mercado_Receita!$S$2:$S$2102,"44531A3AzulNão se aplicaNão se aplicaAPENão se aplicaFora ponta",Mercado_Receita!$J$2:$J$2102)+SUMIF(Mercado_Receita!$S$2:$S$2102,"44531A3ConvencionalNão se aplicaNão se aplicaNão se aplicaNão se aplicaNão se aplica",Mercado_Receita!$J$2:$J$2102)*1</f>
        <v>0</v>
      </c>
      <c r="J3" s="13">
        <f>SUMIF(Mercado_Receita!$S$2:$S$2102,"44562A3AzulNão se aplicaNão se aplicaNão se aplicaNão se aplicaFora ponta",Mercado_Receita!$J$2:$J$2102)+SUMIF(Mercado_Receita!$S$2:$S$2102,"44562A3AzulNão se aplicaNão se aplicaAPENão se aplicaFora ponta",Mercado_Receita!$J$2:$J$2102)+SUMIF(Mercado_Receita!$S$2:$S$2102,"44562A3ConvencionalNão se aplicaNão se aplicaNão se aplicaNão se aplicaNão se aplica",Mercado_Receita!$J$2:$J$2102)*1</f>
        <v>0</v>
      </c>
      <c r="K3" s="13">
        <f>SUMIF(Mercado_Receita!$S$2:$S$2102,"44593A3AzulNão se aplicaNão se aplicaNão se aplicaNão se aplicaFora ponta",Mercado_Receita!$J$2:$J$2102)+SUMIF(Mercado_Receita!$S$2:$S$2102,"44593A3AzulNão se aplicaNão se aplicaAPENão se aplicaFora ponta",Mercado_Receita!$J$2:$J$2102)+SUMIF(Mercado_Receita!$S$2:$S$2102,"44593A3ConvencionalNão se aplicaNão se aplicaNão se aplicaNão se aplicaNão se aplica",Mercado_Receita!$J$2:$J$2102)*1</f>
        <v>0</v>
      </c>
      <c r="L3" s="13">
        <f>SUMIF(Mercado_Receita!$S$2:$S$2102,"44621A3AzulNão se aplicaNão se aplicaNão se aplicaNão se aplicaFora ponta",Mercado_Receita!$J$2:$J$2102)+SUMIF(Mercado_Receita!$S$2:$S$2102,"44621A3AzulNão se aplicaNão se aplicaAPENão se aplicaFora ponta",Mercado_Receita!$J$2:$J$2102)+SUMIF(Mercado_Receita!$S$2:$S$2102,"44621A3ConvencionalNão se aplicaNão se aplicaNão se aplicaNão se aplicaNão se aplica",Mercado_Receita!$J$2:$J$2102)*1</f>
        <v>0</v>
      </c>
      <c r="M3" s="13">
        <f>SUMIF(Mercado_Receita!$S$2:$S$2102,"44652A3AzulNão se aplicaNão se aplicaNão se aplicaNão se aplicaFora ponta",Mercado_Receita!$J$2:$J$2102)+SUMIF(Mercado_Receita!$S$2:$S$2102,"44652A3AzulNão se aplicaNão se aplicaAPENão se aplicaFora ponta",Mercado_Receita!$J$2:$J$2102)+SUMIF(Mercado_Receita!$S$2:$S$2102,"44652A3ConvencionalNão se aplicaNão se aplicaNão se aplicaNão se aplicaNão se aplica",Mercado_Receita!$J$2:$J$2102)*1</f>
        <v>0</v>
      </c>
      <c r="N3" s="13">
        <f>SUMIF(Mercado_Receita!$S$2:$S$2102,"44682A3AzulNão se aplicaNão se aplicaNão se aplicaNão se aplicaFora ponta",Mercado_Receita!$J$2:$J$2102)+SUMIF(Mercado_Receita!$S$2:$S$2102,"44682A3AzulNão se aplicaNão se aplicaAPENão se aplicaFora ponta",Mercado_Receita!$J$2:$J$2102)+SUMIF(Mercado_Receita!$S$2:$S$2102,"44682A3ConvencionalNão se aplicaNão se aplicaNão se aplicaNão se aplicaNão se aplica",Mercado_Receita!$J$2:$J$2102)*1</f>
        <v>0</v>
      </c>
      <c r="O3" s="13">
        <f>SUMIF(Mercado_Receita!$S$2:$S$2102,"44713A3AzulNão se aplicaNão se aplicaNão se aplicaNão se aplicaFora ponta",Mercado_Receita!$J$2:$J$2102)+SUMIF(Mercado_Receita!$S$2:$S$2102,"44713A3AzulNão se aplicaNão se aplicaAPENão se aplicaFora ponta",Mercado_Receita!$J$2:$J$2102)+SUMIF(Mercado_Receita!$S$2:$S$2102,"44713A3ConvencionalNão se aplicaNão se aplicaNão se aplicaNão se aplicaNão se aplica",Mercado_Receita!$J$2:$J$2102)*1</f>
        <v>0</v>
      </c>
      <c r="P3" s="13">
        <f>SUMIF(Mercado_Receita!$S$2:$S$2102,"44743A3AzulNão se aplicaNão se aplicaNão se aplicaNão se aplicaFora ponta",Mercado_Receita!$J$2:$J$2102)+SUMIF(Mercado_Receita!$S$2:$S$2102,"44743A3AzulNão se aplicaNão se aplicaAPENão se aplicaFora ponta",Mercado_Receita!$J$2:$J$2102)+SUMIF(Mercado_Receita!$S$2:$S$2102,"44743A3ConvencionalNão se aplicaNão se aplicaNão se aplicaNão se aplicaNão se aplica",Mercado_Receita!$J$2:$J$2102)*1</f>
        <v>0</v>
      </c>
      <c r="Q3" s="13">
        <f>SUMIF(Mercado_Receita!$S$2:$S$2102,"44774A3AzulNão se aplicaNão se aplicaNão se aplicaNão se aplicaFora ponta",Mercado_Receita!$J$2:$J$2102)+SUMIF(Mercado_Receita!$S$2:$S$2102,"44774A3AzulNão se aplicaNão se aplicaAPENão se aplicaFora ponta",Mercado_Receita!$J$2:$J$2102)+SUMIF(Mercado_Receita!$S$2:$S$2102,"44774A3ConvencionalNão se aplicaNão se aplicaNão se aplicaNão se aplicaNão se aplica",Mercado_Receita!$J$2:$J$2102)*1</f>
        <v>0</v>
      </c>
      <c r="R3" s="13">
        <f>SUMIF(Mercado_Receita!$S$2:$S$2102,"44805A3AzulNão se aplicaNão se aplicaNão se aplicaNão se aplicaFora ponta",Mercado_Receita!$J$2:$J$2102)+SUMIF(Mercado_Receita!$S$2:$S$2102,"44805A3AzulNão se aplicaNão se aplicaAPENão se aplicaFora ponta",Mercado_Receita!$J$2:$J$2102)+SUMIF(Mercado_Receita!$S$2:$S$2102,"44805A3ConvencionalNão se aplicaNão se aplicaNão se aplicaNão se aplicaNão se aplica",Mercado_Receita!$J$2:$J$2102)*1</f>
        <v>0</v>
      </c>
      <c r="S3" s="13">
        <f>SUMIF(Mercado_Receita!$S$2:$S$2102,"44835A3AzulNão se aplicaNão se aplicaNão se aplicaNão se aplicaFora ponta",Mercado_Receita!$J$2:$J$2102)+SUMIF(Mercado_Receita!$S$2:$S$2102,"44835A3AzulNão se aplicaNão se aplicaAPENão se aplicaFora ponta",Mercado_Receita!$J$2:$J$2102)+SUMIF(Mercado_Receita!$S$2:$S$2102,"44835A3ConvencionalNão se aplicaNão se aplicaNão se aplicaNão se aplicaNão se aplica",Mercado_Receita!$J$2:$J$2102)*1</f>
        <v>0</v>
      </c>
      <c r="T3" s="13">
        <f>SUMIF(Mercado_Receita!$S$2:$S$2102,"44866A3AzulNão se aplicaNão se aplicaNão se aplicaNão se aplicaFora ponta",Mercado_Receita!$J$2:$J$2102)+SUMIF(Mercado_Receita!$S$2:$S$2102,"44866A3AzulNão se aplicaNão se aplicaAPENão se aplicaFora ponta",Mercado_Receita!$J$2:$J$2102)+SUMIF(Mercado_Receita!$S$2:$S$2102,"44866A3ConvencionalNão se aplicaNão se aplicaNão se aplicaNão se aplicaNão se aplica",Mercado_Receita!$J$2:$J$2102)*1</f>
        <v>0</v>
      </c>
      <c r="U3" s="13">
        <f t="shared" si="0"/>
        <v>0</v>
      </c>
      <c r="V3" s="13"/>
      <c r="W3" s="13"/>
    </row>
    <row r="4" spans="1:30" ht="11.25" customHeight="1" x14ac:dyDescent="0.25">
      <c r="A4" s="93"/>
      <c r="B4" s="93"/>
      <c r="C4" s="93"/>
      <c r="D4" s="93"/>
      <c r="E4" s="93"/>
      <c r="F4" s="93"/>
      <c r="G4" s="13" t="s">
        <v>88</v>
      </c>
      <c r="H4" s="13" t="s">
        <v>82</v>
      </c>
      <c r="I4" s="13">
        <f>SUMIF(Mercado_Receita!$S$2:$S$2102,"44531A3AzulNão se aplicaNão se aplicaNão se aplicaNão se aplicaPonta",Mercado_Receita!$L$2:$L$2102)+SUMIF(Mercado_Receita!$S$2:$S$2102,"44531A3AzulNão se aplicaNão se aplicaNão se aplicaNão se aplicaFora ponta",Mercado_Receita!$L$2:$L$2102)+SUMIF(Mercado_Receita!$S$2:$S$2102,"44531A3AzulNão se aplicaNão se aplicaNão se aplicaNão se aplicaIntermediário",Mercado_Receita!$L$2:$L$2102)+SUMIF(Mercado_Receita!$S$2:$S$2102,"44531A3AzulNão se aplicaNão se aplicaNão se aplicaNão se aplicaNão se aplica",Mercado_Receita!$L$2:$L$2102)+SUMIF(Mercado_Receita!$S$2:$S$2102,"44531A3ConvencionalNão se aplicaNão se aplicaNão se aplicaNão se aplicaNão se aplica",Mercado_Receita!$L$2:$L$2102)</f>
        <v>0</v>
      </c>
      <c r="J4" s="13">
        <f>SUMIF(Mercado_Receita!$S$2:$S$2102,"44562A3AzulNão se aplicaNão se aplicaNão se aplicaNão se aplicaPonta",Mercado_Receita!$L$2:$L$2102)+SUMIF(Mercado_Receita!$S$2:$S$2102,"44562A3AzulNão se aplicaNão se aplicaNão se aplicaNão se aplicaFora ponta",Mercado_Receita!$L$2:$L$2102)+SUMIF(Mercado_Receita!$S$2:$S$2102,"44562A3AzulNão se aplicaNão se aplicaNão se aplicaNão se aplicaIntermediário",Mercado_Receita!$L$2:$L$2102)+SUMIF(Mercado_Receita!$S$2:$S$2102,"44562A3AzulNão se aplicaNão se aplicaNão se aplicaNão se aplicaNão se aplica",Mercado_Receita!$L$2:$L$2102)+SUMIF(Mercado_Receita!$S$2:$S$2102,"44562A3ConvencionalNão se aplicaNão se aplicaNão se aplicaNão se aplicaNão se aplica",Mercado_Receita!$L$2:$L$2102)</f>
        <v>0</v>
      </c>
      <c r="K4" s="13">
        <f>SUMIF(Mercado_Receita!$S$2:$S$2102,"44593A3AzulNão se aplicaNão se aplicaNão se aplicaNão se aplicaPonta",Mercado_Receita!$L$2:$L$2102)+SUMIF(Mercado_Receita!$S$2:$S$2102,"44593A3AzulNão se aplicaNão se aplicaNão se aplicaNão se aplicaFora ponta",Mercado_Receita!$L$2:$L$2102)+SUMIF(Mercado_Receita!$S$2:$S$2102,"44593A3AzulNão se aplicaNão se aplicaNão se aplicaNão se aplicaIntermediário",Mercado_Receita!$L$2:$L$2102)+SUMIF(Mercado_Receita!$S$2:$S$2102,"44593A3AzulNão se aplicaNão se aplicaNão se aplicaNão se aplicaNão se aplica",Mercado_Receita!$L$2:$L$2102)+SUMIF(Mercado_Receita!$S$2:$S$2102,"44593A3ConvencionalNão se aplicaNão se aplicaNão se aplicaNão se aplicaNão se aplica",Mercado_Receita!$L$2:$L$2102)</f>
        <v>0</v>
      </c>
      <c r="L4" s="13">
        <f>SUMIF(Mercado_Receita!$S$2:$S$2102,"44621A3AzulNão se aplicaNão se aplicaNão se aplicaNão se aplicaPonta",Mercado_Receita!$L$2:$L$2102)+SUMIF(Mercado_Receita!$S$2:$S$2102,"44621A3AzulNão se aplicaNão se aplicaNão se aplicaNão se aplicaFora ponta",Mercado_Receita!$L$2:$L$2102)+SUMIF(Mercado_Receita!$S$2:$S$2102,"44621A3AzulNão se aplicaNão se aplicaNão se aplicaNão se aplicaIntermediário",Mercado_Receita!$L$2:$L$2102)+SUMIF(Mercado_Receita!$S$2:$S$2102,"44621A3AzulNão se aplicaNão se aplicaNão se aplicaNão se aplicaNão se aplica",Mercado_Receita!$L$2:$L$2102)+SUMIF(Mercado_Receita!$S$2:$S$2102,"44621A3ConvencionalNão se aplicaNão se aplicaNão se aplicaNão se aplicaNão se aplica",Mercado_Receita!$L$2:$L$2102)</f>
        <v>0</v>
      </c>
      <c r="M4" s="13">
        <f>SUMIF(Mercado_Receita!$S$2:$S$2102,"44652A3AzulNão se aplicaNão se aplicaNão se aplicaNão se aplicaPonta",Mercado_Receita!$L$2:$L$2102)+SUMIF(Mercado_Receita!$S$2:$S$2102,"44652A3AzulNão se aplicaNão se aplicaNão se aplicaNão se aplicaFora ponta",Mercado_Receita!$L$2:$L$2102)+SUMIF(Mercado_Receita!$S$2:$S$2102,"44652A3AzulNão se aplicaNão se aplicaNão se aplicaNão se aplicaIntermediário",Mercado_Receita!$L$2:$L$2102)+SUMIF(Mercado_Receita!$S$2:$S$2102,"44652A3AzulNão se aplicaNão se aplicaNão se aplicaNão se aplicaNão se aplica",Mercado_Receita!$L$2:$L$2102)+SUMIF(Mercado_Receita!$S$2:$S$2102,"44652A3ConvencionalNão se aplicaNão se aplicaNão se aplicaNão se aplicaNão se aplica",Mercado_Receita!$L$2:$L$2102)</f>
        <v>0</v>
      </c>
      <c r="N4" s="13">
        <f>SUMIF(Mercado_Receita!$S$2:$S$2102,"44682A3AzulNão se aplicaNão se aplicaNão se aplicaNão se aplicaPonta",Mercado_Receita!$L$2:$L$2102)+SUMIF(Mercado_Receita!$S$2:$S$2102,"44682A3AzulNão se aplicaNão se aplicaNão se aplicaNão se aplicaFora ponta",Mercado_Receita!$L$2:$L$2102)+SUMIF(Mercado_Receita!$S$2:$S$2102,"44682A3AzulNão se aplicaNão se aplicaNão se aplicaNão se aplicaIntermediário",Mercado_Receita!$L$2:$L$2102)+SUMIF(Mercado_Receita!$S$2:$S$2102,"44682A3AzulNão se aplicaNão se aplicaNão se aplicaNão se aplicaNão se aplica",Mercado_Receita!$L$2:$L$2102)+SUMIF(Mercado_Receita!$S$2:$S$2102,"44682A3ConvencionalNão se aplicaNão se aplicaNão se aplicaNão se aplicaNão se aplica",Mercado_Receita!$L$2:$L$2102)</f>
        <v>0</v>
      </c>
      <c r="O4" s="13">
        <f>SUMIF(Mercado_Receita!$S$2:$S$2102,"44713A3AzulNão se aplicaNão se aplicaNão se aplicaNão se aplicaPonta",Mercado_Receita!$L$2:$L$2102)+SUMIF(Mercado_Receita!$S$2:$S$2102,"44713A3AzulNão se aplicaNão se aplicaNão se aplicaNão se aplicaFora ponta",Mercado_Receita!$L$2:$L$2102)+SUMIF(Mercado_Receita!$S$2:$S$2102,"44713A3AzulNão se aplicaNão se aplicaNão se aplicaNão se aplicaIntermediário",Mercado_Receita!$L$2:$L$2102)+SUMIF(Mercado_Receita!$S$2:$S$2102,"44713A3AzulNão se aplicaNão se aplicaNão se aplicaNão se aplicaNão se aplica",Mercado_Receita!$L$2:$L$2102)+SUMIF(Mercado_Receita!$S$2:$S$2102,"44713A3ConvencionalNão se aplicaNão se aplicaNão se aplicaNão se aplicaNão se aplica",Mercado_Receita!$L$2:$L$2102)</f>
        <v>0</v>
      </c>
      <c r="P4" s="13">
        <f>SUMIF(Mercado_Receita!$S$2:$S$2102,"44743A3AzulNão se aplicaNão se aplicaNão se aplicaNão se aplicaPonta",Mercado_Receita!$L$2:$L$2102)+SUMIF(Mercado_Receita!$S$2:$S$2102,"44743A3AzulNão se aplicaNão se aplicaNão se aplicaNão se aplicaFora ponta",Mercado_Receita!$L$2:$L$2102)+SUMIF(Mercado_Receita!$S$2:$S$2102,"44743A3AzulNão se aplicaNão se aplicaNão se aplicaNão se aplicaIntermediário",Mercado_Receita!$L$2:$L$2102)+SUMIF(Mercado_Receita!$S$2:$S$2102,"44743A3AzulNão se aplicaNão se aplicaNão se aplicaNão se aplicaNão se aplica",Mercado_Receita!$L$2:$L$2102)+SUMIF(Mercado_Receita!$S$2:$S$2102,"44743A3ConvencionalNão se aplicaNão se aplicaNão se aplicaNão se aplicaNão se aplica",Mercado_Receita!$L$2:$L$2102)</f>
        <v>0</v>
      </c>
      <c r="Q4" s="13">
        <f>SUMIF(Mercado_Receita!$S$2:$S$2102,"44774A3AzulNão se aplicaNão se aplicaNão se aplicaNão se aplicaPonta",Mercado_Receita!$L$2:$L$2102)+SUMIF(Mercado_Receita!$S$2:$S$2102,"44774A3AzulNão se aplicaNão se aplicaNão se aplicaNão se aplicaFora ponta",Mercado_Receita!$L$2:$L$2102)+SUMIF(Mercado_Receita!$S$2:$S$2102,"44774A3AzulNão se aplicaNão se aplicaNão se aplicaNão se aplicaIntermediário",Mercado_Receita!$L$2:$L$2102)+SUMIF(Mercado_Receita!$S$2:$S$2102,"44774A3AzulNão se aplicaNão se aplicaNão se aplicaNão se aplicaNão se aplica",Mercado_Receita!$L$2:$L$2102)+SUMIF(Mercado_Receita!$S$2:$S$2102,"44774A3ConvencionalNão se aplicaNão se aplicaNão se aplicaNão se aplicaNão se aplica",Mercado_Receita!$L$2:$L$2102)</f>
        <v>0</v>
      </c>
      <c r="R4" s="13">
        <f>SUMIF(Mercado_Receita!$S$2:$S$2102,"44805A3AzulNão se aplicaNão se aplicaNão se aplicaNão se aplicaPonta",Mercado_Receita!$L$2:$L$2102)+SUMIF(Mercado_Receita!$S$2:$S$2102,"44805A3AzulNão se aplicaNão se aplicaNão se aplicaNão se aplicaFora ponta",Mercado_Receita!$L$2:$L$2102)+SUMIF(Mercado_Receita!$S$2:$S$2102,"44805A3AzulNão se aplicaNão se aplicaNão se aplicaNão se aplicaIntermediário",Mercado_Receita!$L$2:$L$2102)+SUMIF(Mercado_Receita!$S$2:$S$2102,"44805A3AzulNão se aplicaNão se aplicaNão se aplicaNão se aplicaNão se aplica",Mercado_Receita!$L$2:$L$2102)+SUMIF(Mercado_Receita!$S$2:$S$2102,"44805A3ConvencionalNão se aplicaNão se aplicaNão se aplicaNão se aplicaNão se aplica",Mercado_Receita!$L$2:$L$2102)</f>
        <v>0</v>
      </c>
      <c r="S4" s="13">
        <f>SUMIF(Mercado_Receita!$S$2:$S$2102,"44835A3AzulNão se aplicaNão se aplicaNão se aplicaNão se aplicaPonta",Mercado_Receita!$L$2:$L$2102)+SUMIF(Mercado_Receita!$S$2:$S$2102,"44835A3AzulNão se aplicaNão se aplicaNão se aplicaNão se aplicaFora ponta",Mercado_Receita!$L$2:$L$2102)+SUMIF(Mercado_Receita!$S$2:$S$2102,"44835A3AzulNão se aplicaNão se aplicaNão se aplicaNão se aplicaIntermediário",Mercado_Receita!$L$2:$L$2102)+SUMIF(Mercado_Receita!$S$2:$S$2102,"44835A3AzulNão se aplicaNão se aplicaNão se aplicaNão se aplicaNão se aplica",Mercado_Receita!$L$2:$L$2102)+SUMIF(Mercado_Receita!$S$2:$S$2102,"44835A3ConvencionalNão se aplicaNão se aplicaNão se aplicaNão se aplicaNão se aplica",Mercado_Receita!$L$2:$L$2102)</f>
        <v>0</v>
      </c>
      <c r="T4" s="13">
        <f>SUMIF(Mercado_Receita!$S$2:$S$2102,"44866A3AzulNão se aplicaNão se aplicaNão se aplicaNão se aplicaPonta",Mercado_Receita!$L$2:$L$2102)+SUMIF(Mercado_Receita!$S$2:$S$2102,"44866A3AzulNão se aplicaNão se aplicaNão se aplicaNão se aplicaFora ponta",Mercado_Receita!$L$2:$L$2102)+SUMIF(Mercado_Receita!$S$2:$S$2102,"44866A3AzulNão se aplicaNão se aplicaNão se aplicaNão se aplicaIntermediário",Mercado_Receita!$L$2:$L$2102)+SUMIF(Mercado_Receita!$S$2:$S$2102,"44866A3AzulNão se aplicaNão se aplicaNão se aplicaNão se aplicaNão se aplica",Mercado_Receita!$L$2:$L$2102)+SUMIF(Mercado_Receita!$S$2:$S$2102,"44866A3ConvencionalNão se aplicaNão se aplicaNão se aplicaNão se aplicaNão se aplica",Mercado_Receita!$L$2:$L$2102)</f>
        <v>0</v>
      </c>
      <c r="U4" s="13">
        <f t="shared" si="0"/>
        <v>0</v>
      </c>
      <c r="V4" s="13"/>
      <c r="W4" s="13"/>
    </row>
    <row r="5" spans="1:30" ht="11.25" customHeight="1" x14ac:dyDescent="0.25">
      <c r="A5" s="93"/>
      <c r="B5" s="93"/>
      <c r="C5" s="93"/>
      <c r="D5" s="93"/>
      <c r="E5" s="12" t="s">
        <v>89</v>
      </c>
      <c r="F5" s="12" t="s">
        <v>25</v>
      </c>
      <c r="G5" s="13" t="s">
        <v>88</v>
      </c>
      <c r="H5" s="13" t="s">
        <v>82</v>
      </c>
      <c r="I5" s="13">
        <f>SUMIF(Mercado_Receita!$S$2:$S$2102,"44531A3AzulNão se aplicaNão se aplicaAPENão se aplicaPonta",Mercado_Receita!$L$2:$L$2102)+SUMIF(Mercado_Receita!$S$2:$S$2102,"44531A3AzulNão se aplicaNão se aplicaAPENão se aplicaFora ponta",Mercado_Receita!$L$2:$L$2102)+SUMIF(Mercado_Receita!$S$2:$S$2102,"44531A3AzulNão se aplicaNão se aplicaAPENão se aplicaIntermediário",Mercado_Receita!$L$2:$L$2102)+SUMIF(Mercado_Receita!$S$2:$S$2102,"44531A3AzulNão se aplicaNão se aplicaAPENão se aplicaNão se aplica",Mercado_Receita!$L$2:$L$2102)+SUMIF(Mercado_Receita!$S$2:$S$2102,"44531A3ConvencionalNão se aplicaNão se aplicaAPENão se aplicaNão se aplica",Mercado_Receita!$L$2:$L$2102)</f>
        <v>0</v>
      </c>
      <c r="J5" s="13">
        <f>SUMIF(Mercado_Receita!$S$2:$S$2102,"44562A3AzulNão se aplicaNão se aplicaAPENão se aplicaPonta",Mercado_Receita!$L$2:$L$2102)+SUMIF(Mercado_Receita!$S$2:$S$2102,"44562A3AzulNão se aplicaNão se aplicaAPENão se aplicaFora ponta",Mercado_Receita!$L$2:$L$2102)+SUMIF(Mercado_Receita!$S$2:$S$2102,"44562A3AzulNão se aplicaNão se aplicaAPENão se aplicaIntermediário",Mercado_Receita!$L$2:$L$2102)+SUMIF(Mercado_Receita!$S$2:$S$2102,"44562A3AzulNão se aplicaNão se aplicaAPENão se aplicaNão se aplica",Mercado_Receita!$L$2:$L$2102)+SUMIF(Mercado_Receita!$S$2:$S$2102,"44562A3ConvencionalNão se aplicaNão se aplicaAPENão se aplicaNão se aplica",Mercado_Receita!$L$2:$L$2102)</f>
        <v>0</v>
      </c>
      <c r="K5" s="13">
        <f>SUMIF(Mercado_Receita!$S$2:$S$2102,"44593A3AzulNão se aplicaNão se aplicaAPENão se aplicaPonta",Mercado_Receita!$L$2:$L$2102)+SUMIF(Mercado_Receita!$S$2:$S$2102,"44593A3AzulNão se aplicaNão se aplicaAPENão se aplicaFora ponta",Mercado_Receita!$L$2:$L$2102)+SUMIF(Mercado_Receita!$S$2:$S$2102,"44593A3AzulNão se aplicaNão se aplicaAPENão se aplicaIntermediário",Mercado_Receita!$L$2:$L$2102)+SUMIF(Mercado_Receita!$S$2:$S$2102,"44593A3AzulNão se aplicaNão se aplicaAPENão se aplicaNão se aplica",Mercado_Receita!$L$2:$L$2102)+SUMIF(Mercado_Receita!$S$2:$S$2102,"44593A3ConvencionalNão se aplicaNão se aplicaAPENão se aplicaNão se aplica",Mercado_Receita!$L$2:$L$2102)</f>
        <v>0</v>
      </c>
      <c r="L5" s="13">
        <f>SUMIF(Mercado_Receita!$S$2:$S$2102,"44621A3AzulNão se aplicaNão se aplicaAPENão se aplicaPonta",Mercado_Receita!$L$2:$L$2102)+SUMIF(Mercado_Receita!$S$2:$S$2102,"44621A3AzulNão se aplicaNão se aplicaAPENão se aplicaFora ponta",Mercado_Receita!$L$2:$L$2102)+SUMIF(Mercado_Receita!$S$2:$S$2102,"44621A3AzulNão se aplicaNão se aplicaAPENão se aplicaIntermediário",Mercado_Receita!$L$2:$L$2102)+SUMIF(Mercado_Receita!$S$2:$S$2102,"44621A3AzulNão se aplicaNão se aplicaAPENão se aplicaNão se aplica",Mercado_Receita!$L$2:$L$2102)+SUMIF(Mercado_Receita!$S$2:$S$2102,"44621A3ConvencionalNão se aplicaNão se aplicaAPENão se aplicaNão se aplica",Mercado_Receita!$L$2:$L$2102)</f>
        <v>0</v>
      </c>
      <c r="M5" s="13">
        <f>SUMIF(Mercado_Receita!$S$2:$S$2102,"44652A3AzulNão se aplicaNão se aplicaAPENão se aplicaPonta",Mercado_Receita!$L$2:$L$2102)+SUMIF(Mercado_Receita!$S$2:$S$2102,"44652A3AzulNão se aplicaNão se aplicaAPENão se aplicaFora ponta",Mercado_Receita!$L$2:$L$2102)+SUMIF(Mercado_Receita!$S$2:$S$2102,"44652A3AzulNão se aplicaNão se aplicaAPENão se aplicaIntermediário",Mercado_Receita!$L$2:$L$2102)+SUMIF(Mercado_Receita!$S$2:$S$2102,"44652A3AzulNão se aplicaNão se aplicaAPENão se aplicaNão se aplica",Mercado_Receita!$L$2:$L$2102)+SUMIF(Mercado_Receita!$S$2:$S$2102,"44652A3ConvencionalNão se aplicaNão se aplicaAPENão se aplicaNão se aplica",Mercado_Receita!$L$2:$L$2102)</f>
        <v>0</v>
      </c>
      <c r="N5" s="13">
        <f>SUMIF(Mercado_Receita!$S$2:$S$2102,"44682A3AzulNão se aplicaNão se aplicaAPENão se aplicaPonta",Mercado_Receita!$L$2:$L$2102)+SUMIF(Mercado_Receita!$S$2:$S$2102,"44682A3AzulNão se aplicaNão se aplicaAPENão se aplicaFora ponta",Mercado_Receita!$L$2:$L$2102)+SUMIF(Mercado_Receita!$S$2:$S$2102,"44682A3AzulNão se aplicaNão se aplicaAPENão se aplicaIntermediário",Mercado_Receita!$L$2:$L$2102)+SUMIF(Mercado_Receita!$S$2:$S$2102,"44682A3AzulNão se aplicaNão se aplicaAPENão se aplicaNão se aplica",Mercado_Receita!$L$2:$L$2102)+SUMIF(Mercado_Receita!$S$2:$S$2102,"44682A3ConvencionalNão se aplicaNão se aplicaAPENão se aplicaNão se aplica",Mercado_Receita!$L$2:$L$2102)</f>
        <v>0</v>
      </c>
      <c r="O5" s="13">
        <f>SUMIF(Mercado_Receita!$S$2:$S$2102,"44713A3AzulNão se aplicaNão se aplicaAPENão se aplicaPonta",Mercado_Receita!$L$2:$L$2102)+SUMIF(Mercado_Receita!$S$2:$S$2102,"44713A3AzulNão se aplicaNão se aplicaAPENão se aplicaFora ponta",Mercado_Receita!$L$2:$L$2102)+SUMIF(Mercado_Receita!$S$2:$S$2102,"44713A3AzulNão se aplicaNão se aplicaAPENão se aplicaIntermediário",Mercado_Receita!$L$2:$L$2102)+SUMIF(Mercado_Receita!$S$2:$S$2102,"44713A3AzulNão se aplicaNão se aplicaAPENão se aplicaNão se aplica",Mercado_Receita!$L$2:$L$2102)+SUMIF(Mercado_Receita!$S$2:$S$2102,"44713A3ConvencionalNão se aplicaNão se aplicaAPENão se aplicaNão se aplica",Mercado_Receita!$L$2:$L$2102)</f>
        <v>0</v>
      </c>
      <c r="P5" s="13">
        <f>SUMIF(Mercado_Receita!$S$2:$S$2102,"44743A3AzulNão se aplicaNão se aplicaAPENão se aplicaPonta",Mercado_Receita!$L$2:$L$2102)+SUMIF(Mercado_Receita!$S$2:$S$2102,"44743A3AzulNão se aplicaNão se aplicaAPENão se aplicaFora ponta",Mercado_Receita!$L$2:$L$2102)+SUMIF(Mercado_Receita!$S$2:$S$2102,"44743A3AzulNão se aplicaNão se aplicaAPENão se aplicaIntermediário",Mercado_Receita!$L$2:$L$2102)+SUMIF(Mercado_Receita!$S$2:$S$2102,"44743A3AzulNão se aplicaNão se aplicaAPENão se aplicaNão se aplica",Mercado_Receita!$L$2:$L$2102)+SUMIF(Mercado_Receita!$S$2:$S$2102,"44743A3ConvencionalNão se aplicaNão se aplicaAPENão se aplicaNão se aplica",Mercado_Receita!$L$2:$L$2102)</f>
        <v>0</v>
      </c>
      <c r="Q5" s="13">
        <f>SUMIF(Mercado_Receita!$S$2:$S$2102,"44774A3AzulNão se aplicaNão se aplicaAPENão se aplicaPonta",Mercado_Receita!$L$2:$L$2102)+SUMIF(Mercado_Receita!$S$2:$S$2102,"44774A3AzulNão se aplicaNão se aplicaAPENão se aplicaFora ponta",Mercado_Receita!$L$2:$L$2102)+SUMIF(Mercado_Receita!$S$2:$S$2102,"44774A3AzulNão se aplicaNão se aplicaAPENão se aplicaIntermediário",Mercado_Receita!$L$2:$L$2102)+SUMIF(Mercado_Receita!$S$2:$S$2102,"44774A3AzulNão se aplicaNão se aplicaAPENão se aplicaNão se aplica",Mercado_Receita!$L$2:$L$2102)+SUMIF(Mercado_Receita!$S$2:$S$2102,"44774A3ConvencionalNão se aplicaNão se aplicaAPENão se aplicaNão se aplica",Mercado_Receita!$L$2:$L$2102)</f>
        <v>0</v>
      </c>
      <c r="R5" s="13">
        <f>SUMIF(Mercado_Receita!$S$2:$S$2102,"44805A3AzulNão se aplicaNão se aplicaAPENão se aplicaPonta",Mercado_Receita!$L$2:$L$2102)+SUMIF(Mercado_Receita!$S$2:$S$2102,"44805A3AzulNão se aplicaNão se aplicaAPENão se aplicaFora ponta",Mercado_Receita!$L$2:$L$2102)+SUMIF(Mercado_Receita!$S$2:$S$2102,"44805A3AzulNão se aplicaNão se aplicaAPENão se aplicaIntermediário",Mercado_Receita!$L$2:$L$2102)+SUMIF(Mercado_Receita!$S$2:$S$2102,"44805A3AzulNão se aplicaNão se aplicaAPENão se aplicaNão se aplica",Mercado_Receita!$L$2:$L$2102)+SUMIF(Mercado_Receita!$S$2:$S$2102,"44805A3ConvencionalNão se aplicaNão se aplicaAPENão se aplicaNão se aplica",Mercado_Receita!$L$2:$L$2102)</f>
        <v>0</v>
      </c>
      <c r="S5" s="13">
        <f>SUMIF(Mercado_Receita!$S$2:$S$2102,"44835A3AzulNão se aplicaNão se aplicaAPENão se aplicaPonta",Mercado_Receita!$L$2:$L$2102)+SUMIF(Mercado_Receita!$S$2:$S$2102,"44835A3AzulNão se aplicaNão se aplicaAPENão se aplicaFora ponta",Mercado_Receita!$L$2:$L$2102)+SUMIF(Mercado_Receita!$S$2:$S$2102,"44835A3AzulNão se aplicaNão se aplicaAPENão se aplicaIntermediário",Mercado_Receita!$L$2:$L$2102)+SUMIF(Mercado_Receita!$S$2:$S$2102,"44835A3AzulNão se aplicaNão se aplicaAPENão se aplicaNão se aplica",Mercado_Receita!$L$2:$L$2102)+SUMIF(Mercado_Receita!$S$2:$S$2102,"44835A3ConvencionalNão se aplicaNão se aplicaAPENão se aplicaNão se aplica",Mercado_Receita!$L$2:$L$2102)</f>
        <v>0</v>
      </c>
      <c r="T5" s="13">
        <f>SUMIF(Mercado_Receita!$S$2:$S$2102,"44866A3AzulNão se aplicaNão se aplicaAPENão se aplicaPonta",Mercado_Receita!$L$2:$L$2102)+SUMIF(Mercado_Receita!$S$2:$S$2102,"44866A3AzulNão se aplicaNão se aplicaAPENão se aplicaFora ponta",Mercado_Receita!$L$2:$L$2102)+SUMIF(Mercado_Receita!$S$2:$S$2102,"44866A3AzulNão se aplicaNão se aplicaAPENão se aplicaIntermediário",Mercado_Receita!$L$2:$L$2102)+SUMIF(Mercado_Receita!$S$2:$S$2102,"44866A3AzulNão se aplicaNão se aplicaAPENão se aplicaNão se aplica",Mercado_Receita!$L$2:$L$2102)+SUMIF(Mercado_Receita!$S$2:$S$2102,"44866A3ConvencionalNão se aplicaNão se aplicaAPENão se aplicaNão se aplica",Mercado_Receita!$L$2:$L$2102)</f>
        <v>0</v>
      </c>
      <c r="U5" s="13">
        <f t="shared" si="0"/>
        <v>0</v>
      </c>
      <c r="V5" s="13"/>
      <c r="W5" s="13"/>
    </row>
    <row r="6" spans="1:30" ht="11.25" customHeight="1" x14ac:dyDescent="0.25">
      <c r="A6" s="92" t="s">
        <v>43</v>
      </c>
      <c r="B6" s="92" t="s">
        <v>42</v>
      </c>
      <c r="C6" s="92" t="s">
        <v>25</v>
      </c>
      <c r="D6" s="92" t="s">
        <v>25</v>
      </c>
      <c r="E6" s="92" t="s">
        <v>25</v>
      </c>
      <c r="F6" s="92" t="s">
        <v>25</v>
      </c>
      <c r="G6" s="13" t="s">
        <v>86</v>
      </c>
      <c r="H6" s="13" t="s">
        <v>85</v>
      </c>
      <c r="I6" s="13">
        <f>SUMIF(Mercado_Receita!$S$2:$S$2102,"44531A3aAzulNão se aplicaNão se aplicaNão se aplicaNão se aplicaPonta",Mercado_Receita!$J$2:$J$2102)+SUMIF(Mercado_Receita!$S$2:$S$2102,"44531A3aAzulNão se aplicaNão se aplicaAPENão se aplicaPonta",Mercado_Receita!$J$2:$J$2102)</f>
        <v>30</v>
      </c>
      <c r="J6" s="13">
        <f>SUMIF(Mercado_Receita!$S$2:$S$2102,"44562A3aAzulNão se aplicaNão se aplicaNão se aplicaNão se aplicaPonta",Mercado_Receita!$J$2:$J$2102)+SUMIF(Mercado_Receita!$S$2:$S$2102,"44562A3aAzulNão se aplicaNão se aplicaAPENão se aplicaPonta",Mercado_Receita!$J$2:$J$2102)</f>
        <v>30</v>
      </c>
      <c r="K6" s="13">
        <f>SUMIF(Mercado_Receita!$S$2:$S$2102,"44593A3aAzulNão se aplicaNão se aplicaNão se aplicaNão se aplicaPonta",Mercado_Receita!$J$2:$J$2102)+SUMIF(Mercado_Receita!$S$2:$S$2102,"44593A3aAzulNão se aplicaNão se aplicaAPENão se aplicaPonta",Mercado_Receita!$J$2:$J$2102)</f>
        <v>30</v>
      </c>
      <c r="L6" s="13">
        <f>SUMIF(Mercado_Receita!$S$2:$S$2102,"44621A3aAzulNão se aplicaNão se aplicaNão se aplicaNão se aplicaPonta",Mercado_Receita!$J$2:$J$2102)+SUMIF(Mercado_Receita!$S$2:$S$2102,"44621A3aAzulNão se aplicaNão se aplicaAPENão se aplicaPonta",Mercado_Receita!$J$2:$J$2102)</f>
        <v>30</v>
      </c>
      <c r="M6" s="13">
        <f>SUMIF(Mercado_Receita!$S$2:$S$2102,"44652A3aAzulNão se aplicaNão se aplicaNão se aplicaNão se aplicaPonta",Mercado_Receita!$J$2:$J$2102)+SUMIF(Mercado_Receita!$S$2:$S$2102,"44652A3aAzulNão se aplicaNão se aplicaAPENão se aplicaPonta",Mercado_Receita!$J$2:$J$2102)</f>
        <v>30</v>
      </c>
      <c r="N6" s="13">
        <f>SUMIF(Mercado_Receita!$S$2:$S$2102,"44682A3aAzulNão se aplicaNão se aplicaNão se aplicaNão se aplicaPonta",Mercado_Receita!$J$2:$J$2102)+SUMIF(Mercado_Receita!$S$2:$S$2102,"44682A3aAzulNão se aplicaNão se aplicaAPENão se aplicaPonta",Mercado_Receita!$J$2:$J$2102)</f>
        <v>0</v>
      </c>
      <c r="O6" s="13">
        <f>SUMIF(Mercado_Receita!$S$2:$S$2102,"44713A3aAzulNão se aplicaNão se aplicaNão se aplicaNão se aplicaPonta",Mercado_Receita!$J$2:$J$2102)+SUMIF(Mercado_Receita!$S$2:$S$2102,"44713A3aAzulNão se aplicaNão se aplicaAPENão se aplicaPonta",Mercado_Receita!$J$2:$J$2102)</f>
        <v>0</v>
      </c>
      <c r="P6" s="13">
        <f>SUMIF(Mercado_Receita!$S$2:$S$2102,"44743A3aAzulNão se aplicaNão se aplicaNão se aplicaNão se aplicaPonta",Mercado_Receita!$J$2:$J$2102)+SUMIF(Mercado_Receita!$S$2:$S$2102,"44743A3aAzulNão se aplicaNão se aplicaAPENão se aplicaPonta",Mercado_Receita!$J$2:$J$2102)</f>
        <v>0</v>
      </c>
      <c r="Q6" s="13">
        <f>SUMIF(Mercado_Receita!$S$2:$S$2102,"44774A3aAzulNão se aplicaNão se aplicaNão se aplicaNão se aplicaPonta",Mercado_Receita!$J$2:$J$2102)+SUMIF(Mercado_Receita!$S$2:$S$2102,"44774A3aAzulNão se aplicaNão se aplicaAPENão se aplicaPonta",Mercado_Receita!$J$2:$J$2102)</f>
        <v>0</v>
      </c>
      <c r="R6" s="13">
        <f>SUMIF(Mercado_Receita!$S$2:$S$2102,"44805A3aAzulNão se aplicaNão se aplicaNão se aplicaNão se aplicaPonta",Mercado_Receita!$J$2:$J$2102)+SUMIF(Mercado_Receita!$S$2:$S$2102,"44805A3aAzulNão se aplicaNão se aplicaAPENão se aplicaPonta",Mercado_Receita!$J$2:$J$2102)</f>
        <v>0</v>
      </c>
      <c r="S6" s="13">
        <f>SUMIF(Mercado_Receita!$S$2:$S$2102,"44835A3aAzulNão se aplicaNão se aplicaNão se aplicaNão se aplicaPonta",Mercado_Receita!$J$2:$J$2102)+SUMIF(Mercado_Receita!$S$2:$S$2102,"44835A3aAzulNão se aplicaNão se aplicaAPENão se aplicaPonta",Mercado_Receita!$J$2:$J$2102)</f>
        <v>0</v>
      </c>
      <c r="T6" s="13">
        <f>SUMIF(Mercado_Receita!$S$2:$S$2102,"44866A3aAzulNão se aplicaNão se aplicaNão se aplicaNão se aplicaPonta",Mercado_Receita!$J$2:$J$2102)+SUMIF(Mercado_Receita!$S$2:$S$2102,"44866A3aAzulNão se aplicaNão se aplicaAPENão se aplicaPonta",Mercado_Receita!$J$2:$J$2102)</f>
        <v>0</v>
      </c>
      <c r="U6" s="13">
        <f t="shared" si="0"/>
        <v>150</v>
      </c>
      <c r="V6" s="13"/>
      <c r="W6" s="13"/>
    </row>
    <row r="7" spans="1:30" ht="11.25" customHeight="1" x14ac:dyDescent="0.25">
      <c r="A7" s="93"/>
      <c r="B7" s="93"/>
      <c r="C7" s="93"/>
      <c r="D7" s="93"/>
      <c r="E7" s="93"/>
      <c r="F7" s="93"/>
      <c r="G7" s="13" t="s">
        <v>87</v>
      </c>
      <c r="H7" s="13" t="s">
        <v>85</v>
      </c>
      <c r="I7" s="13">
        <f>SUMIF(Mercado_Receita!$S$2:$S$2102,"44531A3aAzulNão se aplicaNão se aplicaNão se aplicaNão se aplicaFora ponta",Mercado_Receita!$J$2:$J$2102)+SUMIF(Mercado_Receita!$S$2:$S$2102,"44531A3aAzulNão se aplicaNão se aplicaAPENão se aplicaFora ponta",Mercado_Receita!$J$2:$J$2102)</f>
        <v>207</v>
      </c>
      <c r="J7" s="13">
        <f>SUMIF(Mercado_Receita!$S$2:$S$2102,"44562A3aAzulNão se aplicaNão se aplicaNão se aplicaNão se aplicaFora ponta",Mercado_Receita!$J$2:$J$2102)+SUMIF(Mercado_Receita!$S$2:$S$2102,"44562A3aAzulNão se aplicaNão se aplicaAPENão se aplicaFora ponta",Mercado_Receita!$J$2:$J$2102)</f>
        <v>207</v>
      </c>
      <c r="K7" s="13">
        <f>SUMIF(Mercado_Receita!$S$2:$S$2102,"44593A3aAzulNão se aplicaNão se aplicaNão se aplicaNão se aplicaFora ponta",Mercado_Receita!$J$2:$J$2102)+SUMIF(Mercado_Receita!$S$2:$S$2102,"44593A3aAzulNão se aplicaNão se aplicaAPENão se aplicaFora ponta",Mercado_Receita!$J$2:$J$2102)</f>
        <v>207</v>
      </c>
      <c r="L7" s="13">
        <f>SUMIF(Mercado_Receita!$S$2:$S$2102,"44621A3aAzulNão se aplicaNão se aplicaNão se aplicaNão se aplicaFora ponta",Mercado_Receita!$J$2:$J$2102)+SUMIF(Mercado_Receita!$S$2:$S$2102,"44621A3aAzulNão se aplicaNão se aplicaAPENão se aplicaFora ponta",Mercado_Receita!$J$2:$J$2102)</f>
        <v>207</v>
      </c>
      <c r="M7" s="13">
        <f>SUMIF(Mercado_Receita!$S$2:$S$2102,"44652A3aAzulNão se aplicaNão se aplicaNão se aplicaNão se aplicaFora ponta",Mercado_Receita!$J$2:$J$2102)+SUMIF(Mercado_Receita!$S$2:$S$2102,"44652A3aAzulNão se aplicaNão se aplicaAPENão se aplicaFora ponta",Mercado_Receita!$J$2:$J$2102)</f>
        <v>207</v>
      </c>
      <c r="N7" s="13">
        <f>SUMIF(Mercado_Receita!$S$2:$S$2102,"44682A3aAzulNão se aplicaNão se aplicaNão se aplicaNão se aplicaFora ponta",Mercado_Receita!$J$2:$J$2102)+SUMIF(Mercado_Receita!$S$2:$S$2102,"44682A3aAzulNão se aplicaNão se aplicaAPENão se aplicaFora ponta",Mercado_Receita!$J$2:$J$2102)</f>
        <v>0</v>
      </c>
      <c r="O7" s="13">
        <f>SUMIF(Mercado_Receita!$S$2:$S$2102,"44713A3aAzulNão se aplicaNão se aplicaNão se aplicaNão se aplicaFora ponta",Mercado_Receita!$J$2:$J$2102)+SUMIF(Mercado_Receita!$S$2:$S$2102,"44713A3aAzulNão se aplicaNão se aplicaAPENão se aplicaFora ponta",Mercado_Receita!$J$2:$J$2102)</f>
        <v>0</v>
      </c>
      <c r="P7" s="13">
        <f>SUMIF(Mercado_Receita!$S$2:$S$2102,"44743A3aAzulNão se aplicaNão se aplicaNão se aplicaNão se aplicaFora ponta",Mercado_Receita!$J$2:$J$2102)+SUMIF(Mercado_Receita!$S$2:$S$2102,"44743A3aAzulNão se aplicaNão se aplicaAPENão se aplicaFora ponta",Mercado_Receita!$J$2:$J$2102)</f>
        <v>0</v>
      </c>
      <c r="Q7" s="13">
        <f>SUMIF(Mercado_Receita!$S$2:$S$2102,"44774A3aAzulNão se aplicaNão se aplicaNão se aplicaNão se aplicaFora ponta",Mercado_Receita!$J$2:$J$2102)+SUMIF(Mercado_Receita!$S$2:$S$2102,"44774A3aAzulNão se aplicaNão se aplicaAPENão se aplicaFora ponta",Mercado_Receita!$J$2:$J$2102)</f>
        <v>0</v>
      </c>
      <c r="R7" s="13">
        <f>SUMIF(Mercado_Receita!$S$2:$S$2102,"44805A3aAzulNão se aplicaNão se aplicaNão se aplicaNão se aplicaFora ponta",Mercado_Receita!$J$2:$J$2102)+SUMIF(Mercado_Receita!$S$2:$S$2102,"44805A3aAzulNão se aplicaNão se aplicaAPENão se aplicaFora ponta",Mercado_Receita!$J$2:$J$2102)</f>
        <v>0</v>
      </c>
      <c r="S7" s="13">
        <f>SUMIF(Mercado_Receita!$S$2:$S$2102,"44835A3aAzulNão se aplicaNão se aplicaNão se aplicaNão se aplicaFora ponta",Mercado_Receita!$J$2:$J$2102)+SUMIF(Mercado_Receita!$S$2:$S$2102,"44835A3aAzulNão se aplicaNão se aplicaAPENão se aplicaFora ponta",Mercado_Receita!$J$2:$J$2102)</f>
        <v>0</v>
      </c>
      <c r="T7" s="13">
        <f>SUMIF(Mercado_Receita!$S$2:$S$2102,"44866A3aAzulNão se aplicaNão se aplicaNão se aplicaNão se aplicaFora ponta",Mercado_Receita!$J$2:$J$2102)+SUMIF(Mercado_Receita!$S$2:$S$2102,"44866A3aAzulNão se aplicaNão se aplicaAPENão se aplicaFora ponta",Mercado_Receita!$J$2:$J$2102)</f>
        <v>0</v>
      </c>
      <c r="U7" s="13">
        <f t="shared" si="0"/>
        <v>1035</v>
      </c>
      <c r="V7" s="13"/>
      <c r="W7" s="13"/>
    </row>
    <row r="8" spans="1:30" ht="11.25" customHeight="1" x14ac:dyDescent="0.25">
      <c r="A8" s="93"/>
      <c r="B8" s="93"/>
      <c r="C8" s="93"/>
      <c r="D8" s="93"/>
      <c r="E8" s="93"/>
      <c r="F8" s="93"/>
      <c r="G8" s="13" t="s">
        <v>88</v>
      </c>
      <c r="H8" s="13" t="s">
        <v>82</v>
      </c>
      <c r="I8" s="13">
        <f>SUMIF(Mercado_Receita!$S$2:$S$2102,"44531A3aAzulNão se aplicaNão se aplicaNão se aplicaNão se aplicaPonta",Mercado_Receita!$L$2:$L$2102)+SUMIF(Mercado_Receita!$S$2:$S$2102,"44531A3aAzulNão se aplicaNão se aplicaNão se aplicaNão se aplicaFora ponta",Mercado_Receita!$L$2:$L$2102)+SUMIF(Mercado_Receita!$S$2:$S$2102,"44531A3aAzulNão se aplicaNão se aplicaNão se aplicaNão se aplicaIntermediário",Mercado_Receita!$L$2:$L$2102)+SUMIF(Mercado_Receita!$S$2:$S$2102,"44531A3aAzulNão se aplicaNão se aplicaNão se aplicaNão se aplicaNão se aplica",Mercado_Receita!$L$2:$L$2102)</f>
        <v>0</v>
      </c>
      <c r="J8" s="13">
        <f>SUMIF(Mercado_Receita!$S$2:$S$2102,"44562A3aAzulNão se aplicaNão se aplicaNão se aplicaNão se aplicaPonta",Mercado_Receita!$L$2:$L$2102)+SUMIF(Mercado_Receita!$S$2:$S$2102,"44562A3aAzulNão se aplicaNão se aplicaNão se aplicaNão se aplicaFora ponta",Mercado_Receita!$L$2:$L$2102)+SUMIF(Mercado_Receita!$S$2:$S$2102,"44562A3aAzulNão se aplicaNão se aplicaNão se aplicaNão se aplicaIntermediário",Mercado_Receita!$L$2:$L$2102)+SUMIF(Mercado_Receita!$S$2:$S$2102,"44562A3aAzulNão se aplicaNão se aplicaNão se aplicaNão se aplicaNão se aplica",Mercado_Receita!$L$2:$L$2102)</f>
        <v>0</v>
      </c>
      <c r="K8" s="13">
        <f>SUMIF(Mercado_Receita!$S$2:$S$2102,"44593A3aAzulNão se aplicaNão se aplicaNão se aplicaNão se aplicaPonta",Mercado_Receita!$L$2:$L$2102)+SUMIF(Mercado_Receita!$S$2:$S$2102,"44593A3aAzulNão se aplicaNão se aplicaNão se aplicaNão se aplicaFora ponta",Mercado_Receita!$L$2:$L$2102)+SUMIF(Mercado_Receita!$S$2:$S$2102,"44593A3aAzulNão se aplicaNão se aplicaNão se aplicaNão se aplicaIntermediário",Mercado_Receita!$L$2:$L$2102)+SUMIF(Mercado_Receita!$S$2:$S$2102,"44593A3aAzulNão se aplicaNão se aplicaNão se aplicaNão se aplicaNão se aplica",Mercado_Receita!$L$2:$L$2102)</f>
        <v>0</v>
      </c>
      <c r="L8" s="13">
        <f>SUMIF(Mercado_Receita!$S$2:$S$2102,"44621A3aAzulNão se aplicaNão se aplicaNão se aplicaNão se aplicaPonta",Mercado_Receita!$L$2:$L$2102)+SUMIF(Mercado_Receita!$S$2:$S$2102,"44621A3aAzulNão se aplicaNão se aplicaNão se aplicaNão se aplicaFora ponta",Mercado_Receita!$L$2:$L$2102)+SUMIF(Mercado_Receita!$S$2:$S$2102,"44621A3aAzulNão se aplicaNão se aplicaNão se aplicaNão se aplicaIntermediário",Mercado_Receita!$L$2:$L$2102)+SUMIF(Mercado_Receita!$S$2:$S$2102,"44621A3aAzulNão se aplicaNão se aplicaNão se aplicaNão se aplicaNão se aplica",Mercado_Receita!$L$2:$L$2102)</f>
        <v>0</v>
      </c>
      <c r="M8" s="13">
        <f>SUMIF(Mercado_Receita!$S$2:$S$2102,"44652A3aAzulNão se aplicaNão se aplicaNão se aplicaNão se aplicaPonta",Mercado_Receita!$L$2:$L$2102)+SUMIF(Mercado_Receita!$S$2:$S$2102,"44652A3aAzulNão se aplicaNão se aplicaNão se aplicaNão se aplicaFora ponta",Mercado_Receita!$L$2:$L$2102)+SUMIF(Mercado_Receita!$S$2:$S$2102,"44652A3aAzulNão se aplicaNão se aplicaNão se aplicaNão se aplicaIntermediário",Mercado_Receita!$L$2:$L$2102)+SUMIF(Mercado_Receita!$S$2:$S$2102,"44652A3aAzulNão se aplicaNão se aplicaNão se aplicaNão se aplicaNão se aplica",Mercado_Receita!$L$2:$L$2102)</f>
        <v>0</v>
      </c>
      <c r="N8" s="13">
        <f>SUMIF(Mercado_Receita!$S$2:$S$2102,"44682A3aAzulNão se aplicaNão se aplicaNão se aplicaNão se aplicaPonta",Mercado_Receita!$L$2:$L$2102)+SUMIF(Mercado_Receita!$S$2:$S$2102,"44682A3aAzulNão se aplicaNão se aplicaNão se aplicaNão se aplicaFora ponta",Mercado_Receita!$L$2:$L$2102)+SUMIF(Mercado_Receita!$S$2:$S$2102,"44682A3aAzulNão se aplicaNão se aplicaNão se aplicaNão se aplicaIntermediário",Mercado_Receita!$L$2:$L$2102)+SUMIF(Mercado_Receita!$S$2:$S$2102,"44682A3aAzulNão se aplicaNão se aplicaNão se aplicaNão se aplicaNão se aplica",Mercado_Receita!$L$2:$L$2102)</f>
        <v>0</v>
      </c>
      <c r="O8" s="13">
        <f>SUMIF(Mercado_Receita!$S$2:$S$2102,"44713A3aAzulNão se aplicaNão se aplicaNão se aplicaNão se aplicaPonta",Mercado_Receita!$L$2:$L$2102)+SUMIF(Mercado_Receita!$S$2:$S$2102,"44713A3aAzulNão se aplicaNão se aplicaNão se aplicaNão se aplicaFora ponta",Mercado_Receita!$L$2:$L$2102)+SUMIF(Mercado_Receita!$S$2:$S$2102,"44713A3aAzulNão se aplicaNão se aplicaNão se aplicaNão se aplicaIntermediário",Mercado_Receita!$L$2:$L$2102)+SUMIF(Mercado_Receita!$S$2:$S$2102,"44713A3aAzulNão se aplicaNão se aplicaNão se aplicaNão se aplicaNão se aplica",Mercado_Receita!$L$2:$L$2102)</f>
        <v>0</v>
      </c>
      <c r="P8" s="13">
        <f>SUMIF(Mercado_Receita!$S$2:$S$2102,"44743A3aAzulNão se aplicaNão se aplicaNão se aplicaNão se aplicaPonta",Mercado_Receita!$L$2:$L$2102)+SUMIF(Mercado_Receita!$S$2:$S$2102,"44743A3aAzulNão se aplicaNão se aplicaNão se aplicaNão se aplicaFora ponta",Mercado_Receita!$L$2:$L$2102)+SUMIF(Mercado_Receita!$S$2:$S$2102,"44743A3aAzulNão se aplicaNão se aplicaNão se aplicaNão se aplicaIntermediário",Mercado_Receita!$L$2:$L$2102)+SUMIF(Mercado_Receita!$S$2:$S$2102,"44743A3aAzulNão se aplicaNão se aplicaNão se aplicaNão se aplicaNão se aplica",Mercado_Receita!$L$2:$L$2102)</f>
        <v>0</v>
      </c>
      <c r="Q8" s="13">
        <f>SUMIF(Mercado_Receita!$S$2:$S$2102,"44774A3aAzulNão se aplicaNão se aplicaNão se aplicaNão se aplicaPonta",Mercado_Receita!$L$2:$L$2102)+SUMIF(Mercado_Receita!$S$2:$S$2102,"44774A3aAzulNão se aplicaNão se aplicaNão se aplicaNão se aplicaFora ponta",Mercado_Receita!$L$2:$L$2102)+SUMIF(Mercado_Receita!$S$2:$S$2102,"44774A3aAzulNão se aplicaNão se aplicaNão se aplicaNão se aplicaIntermediário",Mercado_Receita!$L$2:$L$2102)+SUMIF(Mercado_Receita!$S$2:$S$2102,"44774A3aAzulNão se aplicaNão se aplicaNão se aplicaNão se aplicaNão se aplica",Mercado_Receita!$L$2:$L$2102)</f>
        <v>0</v>
      </c>
      <c r="R8" s="13">
        <f>SUMIF(Mercado_Receita!$S$2:$S$2102,"44805A3aAzulNão se aplicaNão se aplicaNão se aplicaNão se aplicaPonta",Mercado_Receita!$L$2:$L$2102)+SUMIF(Mercado_Receita!$S$2:$S$2102,"44805A3aAzulNão se aplicaNão se aplicaNão se aplicaNão se aplicaFora ponta",Mercado_Receita!$L$2:$L$2102)+SUMIF(Mercado_Receita!$S$2:$S$2102,"44805A3aAzulNão se aplicaNão se aplicaNão se aplicaNão se aplicaIntermediário",Mercado_Receita!$L$2:$L$2102)+SUMIF(Mercado_Receita!$S$2:$S$2102,"44805A3aAzulNão se aplicaNão se aplicaNão se aplicaNão se aplicaNão se aplica",Mercado_Receita!$L$2:$L$2102)</f>
        <v>0</v>
      </c>
      <c r="S8" s="13">
        <f>SUMIF(Mercado_Receita!$S$2:$S$2102,"44835A3aAzulNão se aplicaNão se aplicaNão se aplicaNão se aplicaPonta",Mercado_Receita!$L$2:$L$2102)+SUMIF(Mercado_Receita!$S$2:$S$2102,"44835A3aAzulNão se aplicaNão se aplicaNão se aplicaNão se aplicaFora ponta",Mercado_Receita!$L$2:$L$2102)+SUMIF(Mercado_Receita!$S$2:$S$2102,"44835A3aAzulNão se aplicaNão se aplicaNão se aplicaNão se aplicaIntermediário",Mercado_Receita!$L$2:$L$2102)+SUMIF(Mercado_Receita!$S$2:$S$2102,"44835A3aAzulNão se aplicaNão se aplicaNão se aplicaNão se aplicaNão se aplica",Mercado_Receita!$L$2:$L$2102)</f>
        <v>0</v>
      </c>
      <c r="T8" s="13">
        <f>SUMIF(Mercado_Receita!$S$2:$S$2102,"44866A3aAzulNão se aplicaNão se aplicaNão se aplicaNão se aplicaPonta",Mercado_Receita!$L$2:$L$2102)+SUMIF(Mercado_Receita!$S$2:$S$2102,"44866A3aAzulNão se aplicaNão se aplicaNão se aplicaNão se aplicaFora ponta",Mercado_Receita!$L$2:$L$2102)+SUMIF(Mercado_Receita!$S$2:$S$2102,"44866A3aAzulNão se aplicaNão se aplicaNão se aplicaNão se aplicaIntermediário",Mercado_Receita!$L$2:$L$2102)+SUMIF(Mercado_Receita!$S$2:$S$2102,"44866A3aAzulNão se aplicaNão se aplicaNão se aplicaNão se aplicaNão se aplica",Mercado_Receita!$L$2:$L$2102)</f>
        <v>0</v>
      </c>
      <c r="U8" s="13">
        <f t="shared" si="0"/>
        <v>0</v>
      </c>
      <c r="V8" s="13"/>
      <c r="W8" s="13"/>
    </row>
    <row r="9" spans="1:30" ht="11.25" customHeight="1" x14ac:dyDescent="0.25">
      <c r="A9" s="93"/>
      <c r="B9" s="93"/>
      <c r="C9" s="93"/>
      <c r="D9" s="93"/>
      <c r="E9" s="12" t="s">
        <v>89</v>
      </c>
      <c r="F9" s="12" t="s">
        <v>25</v>
      </c>
      <c r="G9" s="13" t="s">
        <v>88</v>
      </c>
      <c r="H9" s="13" t="s">
        <v>82</v>
      </c>
      <c r="I9" s="13">
        <f>SUMIF(Mercado_Receita!$S$2:$S$2102,"44531A3aAzulNão se aplicaNão se aplicaAPENão se aplicaPonta",Mercado_Receita!$L$2:$L$2102)+SUMIF(Mercado_Receita!$S$2:$S$2102,"44531A3aAzulNão se aplicaNão se aplicaAPENão se aplicaFora ponta",Mercado_Receita!$L$2:$L$2102)+SUMIF(Mercado_Receita!$S$2:$S$2102,"44531A3aAzulNão se aplicaNão se aplicaAPENão se aplicaIntermediário",Mercado_Receita!$L$2:$L$2102)+SUMIF(Mercado_Receita!$S$2:$S$2102,"44531A3aAzulNão se aplicaNão se aplicaAPENão se aplicaNão se aplica",Mercado_Receita!$L$2:$L$2102)</f>
        <v>0</v>
      </c>
      <c r="J9" s="13">
        <f>SUMIF(Mercado_Receita!$S$2:$S$2102,"44562A3aAzulNão se aplicaNão se aplicaAPENão se aplicaPonta",Mercado_Receita!$L$2:$L$2102)+SUMIF(Mercado_Receita!$S$2:$S$2102,"44562A3aAzulNão se aplicaNão se aplicaAPENão se aplicaFora ponta",Mercado_Receita!$L$2:$L$2102)+SUMIF(Mercado_Receita!$S$2:$S$2102,"44562A3aAzulNão se aplicaNão se aplicaAPENão se aplicaIntermediário",Mercado_Receita!$L$2:$L$2102)+SUMIF(Mercado_Receita!$S$2:$S$2102,"44562A3aAzulNão se aplicaNão se aplicaAPENão se aplicaNão se aplica",Mercado_Receita!$L$2:$L$2102)</f>
        <v>0</v>
      </c>
      <c r="K9" s="13">
        <f>SUMIF(Mercado_Receita!$S$2:$S$2102,"44593A3aAzulNão se aplicaNão se aplicaAPENão se aplicaPonta",Mercado_Receita!$L$2:$L$2102)+SUMIF(Mercado_Receita!$S$2:$S$2102,"44593A3aAzulNão se aplicaNão se aplicaAPENão se aplicaFora ponta",Mercado_Receita!$L$2:$L$2102)+SUMIF(Mercado_Receita!$S$2:$S$2102,"44593A3aAzulNão se aplicaNão se aplicaAPENão se aplicaIntermediário",Mercado_Receita!$L$2:$L$2102)+SUMIF(Mercado_Receita!$S$2:$S$2102,"44593A3aAzulNão se aplicaNão se aplicaAPENão se aplicaNão se aplica",Mercado_Receita!$L$2:$L$2102)</f>
        <v>0</v>
      </c>
      <c r="L9" s="13">
        <f>SUMIF(Mercado_Receita!$S$2:$S$2102,"44621A3aAzulNão se aplicaNão se aplicaAPENão se aplicaPonta",Mercado_Receita!$L$2:$L$2102)+SUMIF(Mercado_Receita!$S$2:$S$2102,"44621A3aAzulNão se aplicaNão se aplicaAPENão se aplicaFora ponta",Mercado_Receita!$L$2:$L$2102)+SUMIF(Mercado_Receita!$S$2:$S$2102,"44621A3aAzulNão se aplicaNão se aplicaAPENão se aplicaIntermediário",Mercado_Receita!$L$2:$L$2102)+SUMIF(Mercado_Receita!$S$2:$S$2102,"44621A3aAzulNão se aplicaNão se aplicaAPENão se aplicaNão se aplica",Mercado_Receita!$L$2:$L$2102)</f>
        <v>0</v>
      </c>
      <c r="M9" s="13">
        <f>SUMIF(Mercado_Receita!$S$2:$S$2102,"44652A3aAzulNão se aplicaNão se aplicaAPENão se aplicaPonta",Mercado_Receita!$L$2:$L$2102)+SUMIF(Mercado_Receita!$S$2:$S$2102,"44652A3aAzulNão se aplicaNão se aplicaAPENão se aplicaFora ponta",Mercado_Receita!$L$2:$L$2102)+SUMIF(Mercado_Receita!$S$2:$S$2102,"44652A3aAzulNão se aplicaNão se aplicaAPENão se aplicaIntermediário",Mercado_Receita!$L$2:$L$2102)+SUMIF(Mercado_Receita!$S$2:$S$2102,"44652A3aAzulNão se aplicaNão se aplicaAPENão se aplicaNão se aplica",Mercado_Receita!$L$2:$L$2102)</f>
        <v>0</v>
      </c>
      <c r="N9" s="13">
        <f>SUMIF(Mercado_Receita!$S$2:$S$2102,"44682A3aAzulNão se aplicaNão se aplicaAPENão se aplicaPonta",Mercado_Receita!$L$2:$L$2102)+SUMIF(Mercado_Receita!$S$2:$S$2102,"44682A3aAzulNão se aplicaNão se aplicaAPENão se aplicaFora ponta",Mercado_Receita!$L$2:$L$2102)+SUMIF(Mercado_Receita!$S$2:$S$2102,"44682A3aAzulNão se aplicaNão se aplicaAPENão se aplicaIntermediário",Mercado_Receita!$L$2:$L$2102)+SUMIF(Mercado_Receita!$S$2:$S$2102,"44682A3aAzulNão se aplicaNão se aplicaAPENão se aplicaNão se aplica",Mercado_Receita!$L$2:$L$2102)</f>
        <v>0</v>
      </c>
      <c r="O9" s="13">
        <f>SUMIF(Mercado_Receita!$S$2:$S$2102,"44713A3aAzulNão se aplicaNão se aplicaAPENão se aplicaPonta",Mercado_Receita!$L$2:$L$2102)+SUMIF(Mercado_Receita!$S$2:$S$2102,"44713A3aAzulNão se aplicaNão se aplicaAPENão se aplicaFora ponta",Mercado_Receita!$L$2:$L$2102)+SUMIF(Mercado_Receita!$S$2:$S$2102,"44713A3aAzulNão se aplicaNão se aplicaAPENão se aplicaIntermediário",Mercado_Receita!$L$2:$L$2102)+SUMIF(Mercado_Receita!$S$2:$S$2102,"44713A3aAzulNão se aplicaNão se aplicaAPENão se aplicaNão se aplica",Mercado_Receita!$L$2:$L$2102)</f>
        <v>0</v>
      </c>
      <c r="P9" s="13">
        <f>SUMIF(Mercado_Receita!$S$2:$S$2102,"44743A3aAzulNão se aplicaNão se aplicaAPENão se aplicaPonta",Mercado_Receita!$L$2:$L$2102)+SUMIF(Mercado_Receita!$S$2:$S$2102,"44743A3aAzulNão se aplicaNão se aplicaAPENão se aplicaFora ponta",Mercado_Receita!$L$2:$L$2102)+SUMIF(Mercado_Receita!$S$2:$S$2102,"44743A3aAzulNão se aplicaNão se aplicaAPENão se aplicaIntermediário",Mercado_Receita!$L$2:$L$2102)+SUMIF(Mercado_Receita!$S$2:$S$2102,"44743A3aAzulNão se aplicaNão se aplicaAPENão se aplicaNão se aplica",Mercado_Receita!$L$2:$L$2102)</f>
        <v>0</v>
      </c>
      <c r="Q9" s="13">
        <f>SUMIF(Mercado_Receita!$S$2:$S$2102,"44774A3aAzulNão se aplicaNão se aplicaAPENão se aplicaPonta",Mercado_Receita!$L$2:$L$2102)+SUMIF(Mercado_Receita!$S$2:$S$2102,"44774A3aAzulNão se aplicaNão se aplicaAPENão se aplicaFora ponta",Mercado_Receita!$L$2:$L$2102)+SUMIF(Mercado_Receita!$S$2:$S$2102,"44774A3aAzulNão se aplicaNão se aplicaAPENão se aplicaIntermediário",Mercado_Receita!$L$2:$L$2102)+SUMIF(Mercado_Receita!$S$2:$S$2102,"44774A3aAzulNão se aplicaNão se aplicaAPENão se aplicaNão se aplica",Mercado_Receita!$L$2:$L$2102)</f>
        <v>0</v>
      </c>
      <c r="R9" s="13">
        <f>SUMIF(Mercado_Receita!$S$2:$S$2102,"44805A3aAzulNão se aplicaNão se aplicaAPENão se aplicaPonta",Mercado_Receita!$L$2:$L$2102)+SUMIF(Mercado_Receita!$S$2:$S$2102,"44805A3aAzulNão se aplicaNão se aplicaAPENão se aplicaFora ponta",Mercado_Receita!$L$2:$L$2102)+SUMIF(Mercado_Receita!$S$2:$S$2102,"44805A3aAzulNão se aplicaNão se aplicaAPENão se aplicaIntermediário",Mercado_Receita!$L$2:$L$2102)+SUMIF(Mercado_Receita!$S$2:$S$2102,"44805A3aAzulNão se aplicaNão se aplicaAPENão se aplicaNão se aplica",Mercado_Receita!$L$2:$L$2102)</f>
        <v>0</v>
      </c>
      <c r="S9" s="13">
        <f>SUMIF(Mercado_Receita!$S$2:$S$2102,"44835A3aAzulNão se aplicaNão se aplicaAPENão se aplicaPonta",Mercado_Receita!$L$2:$L$2102)+SUMIF(Mercado_Receita!$S$2:$S$2102,"44835A3aAzulNão se aplicaNão se aplicaAPENão se aplicaFora ponta",Mercado_Receita!$L$2:$L$2102)+SUMIF(Mercado_Receita!$S$2:$S$2102,"44835A3aAzulNão se aplicaNão se aplicaAPENão se aplicaIntermediário",Mercado_Receita!$L$2:$L$2102)+SUMIF(Mercado_Receita!$S$2:$S$2102,"44835A3aAzulNão se aplicaNão se aplicaAPENão se aplicaNão se aplica",Mercado_Receita!$L$2:$L$2102)</f>
        <v>0</v>
      </c>
      <c r="T9" s="13">
        <f>SUMIF(Mercado_Receita!$S$2:$S$2102,"44866A3aAzulNão se aplicaNão se aplicaAPENão se aplicaPonta",Mercado_Receita!$L$2:$L$2102)+SUMIF(Mercado_Receita!$S$2:$S$2102,"44866A3aAzulNão se aplicaNão se aplicaAPENão se aplicaFora ponta",Mercado_Receita!$L$2:$L$2102)+SUMIF(Mercado_Receita!$S$2:$S$2102,"44866A3aAzulNão se aplicaNão se aplicaAPENão se aplicaIntermediário",Mercado_Receita!$L$2:$L$2102)+SUMIF(Mercado_Receita!$S$2:$S$2102,"44866A3aAzulNão se aplicaNão se aplicaAPENão se aplicaNão se aplica",Mercado_Receita!$L$2:$L$2102)</f>
        <v>0</v>
      </c>
      <c r="U9" s="13">
        <f t="shared" si="0"/>
        <v>0</v>
      </c>
      <c r="V9" s="13"/>
      <c r="W9" s="13"/>
    </row>
    <row r="10" spans="1:30" ht="11.25" customHeight="1" x14ac:dyDescent="0.25">
      <c r="A10" s="93"/>
      <c r="B10" s="12" t="s">
        <v>91</v>
      </c>
      <c r="C10" s="12" t="s">
        <v>25</v>
      </c>
      <c r="D10" s="12" t="s">
        <v>25</v>
      </c>
      <c r="E10" s="12" t="s">
        <v>25</v>
      </c>
      <c r="F10" s="12" t="s">
        <v>25</v>
      </c>
      <c r="G10" s="13" t="s">
        <v>9</v>
      </c>
      <c r="H10" s="13" t="s">
        <v>85</v>
      </c>
      <c r="I10" s="13">
        <f>SUMIF(Mercado_Receita!$S$2:$S$2102,"44531A3aGeraçãoNão se aplicaNão se aplicaNão se aplicaNão se aplicaNão se aplica",Mercado_Receita!$J$2:$J$2102)+SUMIF(Mercado_Receita!$S$2:$S$2102,"44531A3aGeraçãoNão se aplicaNão se aplicaAPENão se aplicaNão se aplica",Mercado_Receita!$J$2:$J$2102)</f>
        <v>0</v>
      </c>
      <c r="J10" s="13">
        <f>SUMIF(Mercado_Receita!$S$2:$S$2102,"44562A3aGeraçãoNão se aplicaNão se aplicaNão se aplicaNão se aplicaNão se aplica",Mercado_Receita!$J$2:$J$2102)+SUMIF(Mercado_Receita!$S$2:$S$2102,"44562A3aGeraçãoNão se aplicaNão se aplicaAPENão se aplicaNão se aplica",Mercado_Receita!$J$2:$J$2102)</f>
        <v>0</v>
      </c>
      <c r="K10" s="13">
        <f>SUMIF(Mercado_Receita!$S$2:$S$2102,"44593A3aGeraçãoNão se aplicaNão se aplicaNão se aplicaNão se aplicaNão se aplica",Mercado_Receita!$J$2:$J$2102)+SUMIF(Mercado_Receita!$S$2:$S$2102,"44593A3aGeraçãoNão se aplicaNão se aplicaAPENão se aplicaNão se aplica",Mercado_Receita!$J$2:$J$2102)</f>
        <v>0</v>
      </c>
      <c r="L10" s="13">
        <f>SUMIF(Mercado_Receita!$S$2:$S$2102,"44621A3aGeraçãoNão se aplicaNão se aplicaNão se aplicaNão se aplicaNão se aplica",Mercado_Receita!$J$2:$J$2102)+SUMIF(Mercado_Receita!$S$2:$S$2102,"44621A3aGeraçãoNão se aplicaNão se aplicaAPENão se aplicaNão se aplica",Mercado_Receita!$J$2:$J$2102)</f>
        <v>0</v>
      </c>
      <c r="M10" s="13">
        <f>SUMIF(Mercado_Receita!$S$2:$S$2102,"44652A3aGeraçãoNão se aplicaNão se aplicaNão se aplicaNão se aplicaNão se aplica",Mercado_Receita!$J$2:$J$2102)+SUMIF(Mercado_Receita!$S$2:$S$2102,"44652A3aGeraçãoNão se aplicaNão se aplicaAPENão se aplicaNão se aplica",Mercado_Receita!$J$2:$J$2102)</f>
        <v>0</v>
      </c>
      <c r="N10" s="13">
        <f>SUMIF(Mercado_Receita!$S$2:$S$2102,"44682A3aGeraçãoNão se aplicaNão se aplicaNão se aplicaNão se aplicaNão se aplica",Mercado_Receita!$J$2:$J$2102)+SUMIF(Mercado_Receita!$S$2:$S$2102,"44682A3aGeraçãoNão se aplicaNão se aplicaAPENão se aplicaNão se aplica",Mercado_Receita!$J$2:$J$2102)</f>
        <v>0</v>
      </c>
      <c r="O10" s="13">
        <f>SUMIF(Mercado_Receita!$S$2:$S$2102,"44713A3aGeraçãoNão se aplicaNão se aplicaNão se aplicaNão se aplicaNão se aplica",Mercado_Receita!$J$2:$J$2102)+SUMIF(Mercado_Receita!$S$2:$S$2102,"44713A3aGeraçãoNão se aplicaNão se aplicaAPENão se aplicaNão se aplica",Mercado_Receita!$J$2:$J$2102)</f>
        <v>0</v>
      </c>
      <c r="P10" s="13">
        <f>SUMIF(Mercado_Receita!$S$2:$S$2102,"44743A3aGeraçãoNão se aplicaNão se aplicaNão se aplicaNão se aplicaNão se aplica",Mercado_Receita!$J$2:$J$2102)+SUMIF(Mercado_Receita!$S$2:$S$2102,"44743A3aGeraçãoNão se aplicaNão se aplicaAPENão se aplicaNão se aplica",Mercado_Receita!$J$2:$J$2102)</f>
        <v>0</v>
      </c>
      <c r="Q10" s="13">
        <f>SUMIF(Mercado_Receita!$S$2:$S$2102,"44774A3aGeraçãoNão se aplicaNão se aplicaNão se aplicaNão se aplicaNão se aplica",Mercado_Receita!$J$2:$J$2102)+SUMIF(Mercado_Receita!$S$2:$S$2102,"44774A3aGeraçãoNão se aplicaNão se aplicaAPENão se aplicaNão se aplica",Mercado_Receita!$J$2:$J$2102)</f>
        <v>0</v>
      </c>
      <c r="R10" s="13">
        <f>SUMIF(Mercado_Receita!$S$2:$S$2102,"44805A3aGeraçãoNão se aplicaNão se aplicaNão se aplicaNão se aplicaNão se aplica",Mercado_Receita!$J$2:$J$2102)+SUMIF(Mercado_Receita!$S$2:$S$2102,"44805A3aGeraçãoNão se aplicaNão se aplicaAPENão se aplicaNão se aplica",Mercado_Receita!$J$2:$J$2102)</f>
        <v>0</v>
      </c>
      <c r="S10" s="13">
        <f>SUMIF(Mercado_Receita!$S$2:$S$2102,"44835A3aGeraçãoNão se aplicaNão se aplicaNão se aplicaNão se aplicaNão se aplica",Mercado_Receita!$J$2:$J$2102)+SUMIF(Mercado_Receita!$S$2:$S$2102,"44835A3aGeraçãoNão se aplicaNão se aplicaAPENão se aplicaNão se aplica",Mercado_Receita!$J$2:$J$2102)</f>
        <v>0</v>
      </c>
      <c r="T10" s="13">
        <f>SUMIF(Mercado_Receita!$S$2:$S$2102,"44866A3aGeraçãoNão se aplicaNão se aplicaNão se aplicaNão se aplicaNão se aplica",Mercado_Receita!$J$2:$J$2102)+SUMIF(Mercado_Receita!$S$2:$S$2102,"44866A3aGeraçãoNão se aplicaNão se aplicaAPENão se aplicaNão se aplica",Mercado_Receita!$J$2:$J$2102)</f>
        <v>0</v>
      </c>
      <c r="U10" s="13">
        <f t="shared" si="0"/>
        <v>0</v>
      </c>
      <c r="V10" s="13"/>
      <c r="W10" s="13"/>
    </row>
    <row r="11" spans="1:30" ht="11.25" customHeight="1" x14ac:dyDescent="0.25">
      <c r="A11" s="93"/>
      <c r="B11" s="92" t="s">
        <v>44</v>
      </c>
      <c r="C11" s="92" t="s">
        <v>25</v>
      </c>
      <c r="D11" s="92" t="s">
        <v>25</v>
      </c>
      <c r="E11" s="92" t="s">
        <v>25</v>
      </c>
      <c r="F11" s="92" t="s">
        <v>25</v>
      </c>
      <c r="G11" s="13" t="s">
        <v>9</v>
      </c>
      <c r="H11" s="13" t="s">
        <v>85</v>
      </c>
      <c r="I11" s="13">
        <f>SUMIF(Mercado_Receita!$S$2:$S$2102,"44531A3aVerdeNão se aplicaNão se aplicaNão se aplicaNão se aplicaNão se aplica",Mercado_Receita!$J$2:$J$2102)+SUMIF(Mercado_Receita!$S$2:$S$2102,"44531A3aVerdeNão se aplicaNão se aplicaAPENão se aplicaNão se aplica",Mercado_Receita!$J$2:$J$2102)</f>
        <v>627</v>
      </c>
      <c r="J11" s="13">
        <f>SUMIF(Mercado_Receita!$S$2:$S$2102,"44562A3aVerdeNão se aplicaNão se aplicaNão se aplicaNão se aplicaNão se aplica",Mercado_Receita!$J$2:$J$2102)+SUMIF(Mercado_Receita!$S$2:$S$2102,"44562A3aVerdeNão se aplicaNão se aplicaAPENão se aplicaNão se aplica",Mercado_Receita!$J$2:$J$2102)</f>
        <v>616</v>
      </c>
      <c r="K11" s="13">
        <f>SUMIF(Mercado_Receita!$S$2:$S$2102,"44593A3aVerdeNão se aplicaNão se aplicaNão se aplicaNão se aplicaNão se aplica",Mercado_Receita!$J$2:$J$2102)+SUMIF(Mercado_Receita!$S$2:$S$2102,"44593A3aVerdeNão se aplicaNão se aplicaAPENão se aplicaNão se aplica",Mercado_Receita!$J$2:$J$2102)</f>
        <v>623</v>
      </c>
      <c r="L11" s="13">
        <f>SUMIF(Mercado_Receita!$S$2:$S$2102,"44621A3aVerdeNão se aplicaNão se aplicaNão se aplicaNão se aplicaNão se aplica",Mercado_Receita!$J$2:$J$2102)+SUMIF(Mercado_Receita!$S$2:$S$2102,"44621A3aVerdeNão se aplicaNão se aplicaAPENão se aplicaNão se aplica",Mercado_Receita!$J$2:$J$2102)</f>
        <v>799</v>
      </c>
      <c r="M11" s="13">
        <f>SUMIF(Mercado_Receita!$S$2:$S$2102,"44652A3aVerdeNão se aplicaNão se aplicaNão se aplicaNão se aplicaNão se aplica",Mercado_Receita!$J$2:$J$2102)+SUMIF(Mercado_Receita!$S$2:$S$2102,"44652A3aVerdeNão se aplicaNão se aplicaAPENão se aplicaNão se aplica",Mercado_Receita!$J$2:$J$2102)</f>
        <v>799</v>
      </c>
      <c r="N11" s="13">
        <f>SUMIF(Mercado_Receita!$S$2:$S$2102,"44682A3aVerdeNão se aplicaNão se aplicaNão se aplicaNão se aplicaNão se aplica",Mercado_Receita!$J$2:$J$2102)+SUMIF(Mercado_Receita!$S$2:$S$2102,"44682A3aVerdeNão se aplicaNão se aplicaAPENão se aplicaNão se aplica",Mercado_Receita!$J$2:$J$2102)</f>
        <v>1023</v>
      </c>
      <c r="O11" s="13">
        <f>SUMIF(Mercado_Receita!$S$2:$S$2102,"44713A3aVerdeNão se aplicaNão se aplicaNão se aplicaNão se aplicaNão se aplica",Mercado_Receita!$J$2:$J$2102)+SUMIF(Mercado_Receita!$S$2:$S$2102,"44713A3aVerdeNão se aplicaNão se aplicaAPENão se aplicaNão se aplica",Mercado_Receita!$J$2:$J$2102)</f>
        <v>1045</v>
      </c>
      <c r="P11" s="13">
        <f>SUMIF(Mercado_Receita!$S$2:$S$2102,"44743A3aVerdeNão se aplicaNão se aplicaNão se aplicaNão se aplicaNão se aplica",Mercado_Receita!$J$2:$J$2102)+SUMIF(Mercado_Receita!$S$2:$S$2102,"44743A3aVerdeNão se aplicaNão se aplicaAPENão se aplicaNão se aplica",Mercado_Receita!$J$2:$J$2102)</f>
        <v>998</v>
      </c>
      <c r="Q11" s="13">
        <f>SUMIF(Mercado_Receita!$S$2:$S$2102,"44774A3aVerdeNão se aplicaNão se aplicaNão se aplicaNão se aplicaNão se aplica",Mercado_Receita!$J$2:$J$2102)+SUMIF(Mercado_Receita!$S$2:$S$2102,"44774A3aVerdeNão se aplicaNão se aplicaAPENão se aplicaNão se aplica",Mercado_Receita!$J$2:$J$2102)</f>
        <v>982</v>
      </c>
      <c r="R11" s="13">
        <f>SUMIF(Mercado_Receita!$S$2:$S$2102,"44805A3aVerdeNão se aplicaNão se aplicaNão se aplicaNão se aplicaNão se aplica",Mercado_Receita!$J$2:$J$2102)+SUMIF(Mercado_Receita!$S$2:$S$2102,"44805A3aVerdeNão se aplicaNão se aplicaAPENão se aplicaNão se aplica",Mercado_Receita!$J$2:$J$2102)</f>
        <v>1155</v>
      </c>
      <c r="S11" s="13">
        <f>SUMIF(Mercado_Receita!$S$2:$S$2102,"44835A3aVerdeNão se aplicaNão se aplicaNão se aplicaNão se aplicaNão se aplica",Mercado_Receita!$J$2:$J$2102)+SUMIF(Mercado_Receita!$S$2:$S$2102,"44835A3aVerdeNão se aplicaNão se aplicaAPENão se aplicaNão se aplica",Mercado_Receita!$J$2:$J$2102)</f>
        <v>986</v>
      </c>
      <c r="T11" s="13">
        <f>SUMIF(Mercado_Receita!$S$2:$S$2102,"44866A3aVerdeNão se aplicaNão se aplicaNão se aplicaNão se aplicaNão se aplica",Mercado_Receita!$J$2:$J$2102)+SUMIF(Mercado_Receita!$S$2:$S$2102,"44866A3aVerdeNão se aplicaNão se aplicaAPENão se aplicaNão se aplica",Mercado_Receita!$J$2:$J$2102)</f>
        <v>986</v>
      </c>
      <c r="U11" s="13">
        <f t="shared" si="0"/>
        <v>10639</v>
      </c>
      <c r="V11" s="13"/>
      <c r="W11" s="13"/>
    </row>
    <row r="12" spans="1:30" ht="11.25" customHeight="1" x14ac:dyDescent="0.25">
      <c r="A12" s="93"/>
      <c r="B12" s="93"/>
      <c r="C12" s="93"/>
      <c r="D12" s="93"/>
      <c r="E12" s="93"/>
      <c r="F12" s="93"/>
      <c r="G12" s="13" t="s">
        <v>83</v>
      </c>
      <c r="H12" s="13" t="s">
        <v>82</v>
      </c>
      <c r="I12" s="13">
        <f>SUMIF(Mercado_Receita!$S$2:$S$2102,"44531A3aVerdeNão se aplicaNão se aplicaNão se aplicaNão se aplicaPonta",Mercado_Receita!$L$2:$L$2102)</f>
        <v>11.59</v>
      </c>
      <c r="J12" s="13">
        <f>SUMIF(Mercado_Receita!$S$2:$S$2102,"44562A3aVerdeNão se aplicaNão se aplicaNão se aplicaNão se aplicaPonta",Mercado_Receita!$L$2:$L$2102)</f>
        <v>8.4269999999999996</v>
      </c>
      <c r="K12" s="13">
        <f>SUMIF(Mercado_Receita!$S$2:$S$2102,"44593A3aVerdeNão se aplicaNão se aplicaNão se aplicaNão se aplicaPonta",Mercado_Receita!$L$2:$L$2102)</f>
        <v>9.5169999999999995</v>
      </c>
      <c r="L12" s="13">
        <f>SUMIF(Mercado_Receita!$S$2:$S$2102,"44621A3aVerdeNão se aplicaNão se aplicaNão se aplicaNão se aplicaPonta",Mercado_Receita!$L$2:$L$2102)</f>
        <v>12.26</v>
      </c>
      <c r="M12" s="13">
        <f>SUMIF(Mercado_Receita!$S$2:$S$2102,"44652A3aVerdeNão se aplicaNão se aplicaNão se aplicaNão se aplicaPonta",Mercado_Receita!$L$2:$L$2102)</f>
        <v>21.187999999999999</v>
      </c>
      <c r="N12" s="13">
        <f>SUMIF(Mercado_Receita!$S$2:$S$2102,"44682A3aVerdeNão se aplicaNão se aplicaNão se aplicaNão se aplicaPonta",Mercado_Receita!$L$2:$L$2102)</f>
        <v>12.246</v>
      </c>
      <c r="O12" s="13">
        <f>SUMIF(Mercado_Receita!$S$2:$S$2102,"44713A3aVerdeNão se aplicaNão se aplicaNão se aplicaNão se aplicaPonta",Mercado_Receita!$L$2:$L$2102)</f>
        <v>12.848000000000001</v>
      </c>
      <c r="P12" s="13">
        <f>SUMIF(Mercado_Receita!$S$2:$S$2102,"44743A3aVerdeNão se aplicaNão se aplicaNão se aplicaNão se aplicaPonta",Mercado_Receita!$L$2:$L$2102)</f>
        <v>12.28</v>
      </c>
      <c r="Q12" s="13">
        <f>SUMIF(Mercado_Receita!$S$2:$S$2102,"44774A3aVerdeNão se aplicaNão se aplicaNão se aplicaNão se aplicaPonta",Mercado_Receita!$L$2:$L$2102)</f>
        <v>8.984</v>
      </c>
      <c r="R12" s="13">
        <f>SUMIF(Mercado_Receita!$S$2:$S$2102,"44805A3aVerdeNão se aplicaNão se aplicaNão se aplicaNão se aplicaPonta",Mercado_Receita!$L$2:$L$2102)</f>
        <v>18.873999999999999</v>
      </c>
      <c r="S12" s="13">
        <f>SUMIF(Mercado_Receita!$S$2:$S$2102,"44835A3aVerdeNão se aplicaNão se aplicaNão se aplicaNão se aplicaPonta",Mercado_Receita!$L$2:$L$2102)</f>
        <v>17.463999999999999</v>
      </c>
      <c r="T12" s="13">
        <f>SUMIF(Mercado_Receita!$S$2:$S$2102,"44866A3aVerdeNão se aplicaNão se aplicaNão se aplicaNão se aplicaPonta",Mercado_Receita!$L$2:$L$2102)</f>
        <v>17.463999999999999</v>
      </c>
      <c r="U12" s="13">
        <f t="shared" si="0"/>
        <v>163.142</v>
      </c>
      <c r="V12" s="13"/>
      <c r="W12" s="13"/>
    </row>
    <row r="13" spans="1:30" ht="11.25" customHeight="1" x14ac:dyDescent="0.25">
      <c r="A13" s="93"/>
      <c r="B13" s="93"/>
      <c r="C13" s="93"/>
      <c r="D13" s="93"/>
      <c r="E13" s="93"/>
      <c r="F13" s="93"/>
      <c r="G13" s="13" t="s">
        <v>84</v>
      </c>
      <c r="H13" s="13" t="s">
        <v>82</v>
      </c>
      <c r="I13" s="13">
        <f>SUMIF(Mercado_Receita!$S$2:$S$2102,"44531A3aVerdeNão se aplicaNão se aplicaNão se aplicaNão se aplicaFora ponta",Mercado_Receita!$L$2:$L$2102)</f>
        <v>111.486</v>
      </c>
      <c r="J13" s="13">
        <f>SUMIF(Mercado_Receita!$S$2:$S$2102,"44562A3aVerdeNão se aplicaNão se aplicaNão se aplicaNão se aplicaFora ponta",Mercado_Receita!$L$2:$L$2102)</f>
        <v>108.02799999999999</v>
      </c>
      <c r="K13" s="13">
        <f>SUMIF(Mercado_Receita!$S$2:$S$2102,"44593A3aVerdeNão se aplicaNão se aplicaNão se aplicaNão se aplicaFora ponta",Mercado_Receita!$L$2:$L$2102)</f>
        <v>90.537999999999997</v>
      </c>
      <c r="L13" s="13">
        <f>SUMIF(Mercado_Receita!$S$2:$S$2102,"44621A3aVerdeNão se aplicaNão se aplicaNão se aplicaNão se aplicaFora ponta",Mercado_Receita!$L$2:$L$2102)</f>
        <v>112.05599999999998</v>
      </c>
      <c r="M13" s="13">
        <f>SUMIF(Mercado_Receita!$S$2:$S$2102,"44652A3aVerdeNão se aplicaNão se aplicaNão se aplicaNão se aplicaFora ponta",Mercado_Receita!$L$2:$L$2102)</f>
        <v>185.47399999999999</v>
      </c>
      <c r="N13" s="13">
        <f>SUMIF(Mercado_Receita!$S$2:$S$2102,"44682A3aVerdeNão se aplicaNão se aplicaNão se aplicaNão se aplicaFora ponta",Mercado_Receita!$L$2:$L$2102)</f>
        <v>118.557</v>
      </c>
      <c r="O13" s="13">
        <f>SUMIF(Mercado_Receita!$S$2:$S$2102,"44713A3aVerdeNão se aplicaNão se aplicaNão se aplicaNão se aplicaFora ponta",Mercado_Receita!$L$2:$L$2102)</f>
        <v>130.27700000000002</v>
      </c>
      <c r="P13" s="13">
        <f>SUMIF(Mercado_Receita!$S$2:$S$2102,"44743A3aVerdeNão se aplicaNão se aplicaNão se aplicaNão se aplicaFora ponta",Mercado_Receita!$L$2:$L$2102)</f>
        <v>136.70500000000001</v>
      </c>
      <c r="Q13" s="13">
        <f>SUMIF(Mercado_Receita!$S$2:$S$2102,"44774A3aVerdeNão se aplicaNão se aplicaNão se aplicaNão se aplicaFora ponta",Mercado_Receita!$L$2:$L$2102)</f>
        <v>117.667</v>
      </c>
      <c r="R13" s="13">
        <f>SUMIF(Mercado_Receita!$S$2:$S$2102,"44805A3aVerdeNão se aplicaNão se aplicaNão se aplicaNão se aplicaFora ponta",Mercado_Receita!$L$2:$L$2102)</f>
        <v>308.48700000000002</v>
      </c>
      <c r="S13" s="13">
        <f>SUMIF(Mercado_Receita!$S$2:$S$2102,"44835A3aVerdeNão se aplicaNão se aplicaNão se aplicaNão se aplicaFora ponta",Mercado_Receita!$L$2:$L$2102)</f>
        <v>173.73099999999999</v>
      </c>
      <c r="T13" s="13">
        <f>SUMIF(Mercado_Receita!$S$2:$S$2102,"44866A3aVerdeNão se aplicaNão se aplicaNão se aplicaNão se aplicaFora ponta",Mercado_Receita!$L$2:$L$2102)</f>
        <v>173.73099999999999</v>
      </c>
      <c r="U13" s="13">
        <f t="shared" si="0"/>
        <v>1766.7370000000001</v>
      </c>
      <c r="V13" s="13"/>
      <c r="W13" s="13"/>
    </row>
    <row r="14" spans="1:30" ht="11.25" customHeight="1" x14ac:dyDescent="0.25">
      <c r="A14" s="93"/>
      <c r="B14" s="93"/>
      <c r="C14" s="93"/>
      <c r="D14" s="93"/>
      <c r="E14" s="92" t="s">
        <v>89</v>
      </c>
      <c r="F14" s="92" t="s">
        <v>25</v>
      </c>
      <c r="G14" s="13" t="s">
        <v>83</v>
      </c>
      <c r="H14" s="13" t="s">
        <v>82</v>
      </c>
      <c r="I14" s="13">
        <f>SUMIF(Mercado_Receita!$S$2:$S$2102,"44531A3aVerdeNão se aplicaNão se aplicaAPENão se aplicaPonta",Mercado_Receita!$L$2:$L$2102)</f>
        <v>0</v>
      </c>
      <c r="J14" s="13">
        <f>SUMIF(Mercado_Receita!$S$2:$S$2102,"44562A3aVerdeNão se aplicaNão se aplicaAPENão se aplicaPonta",Mercado_Receita!$L$2:$L$2102)</f>
        <v>0</v>
      </c>
      <c r="K14" s="13">
        <f>SUMIF(Mercado_Receita!$S$2:$S$2102,"44593A3aVerdeNão se aplicaNão se aplicaAPENão se aplicaPonta",Mercado_Receita!$L$2:$L$2102)</f>
        <v>0</v>
      </c>
      <c r="L14" s="13">
        <f>SUMIF(Mercado_Receita!$S$2:$S$2102,"44621A3aVerdeNão se aplicaNão se aplicaAPENão se aplicaPonta",Mercado_Receita!$L$2:$L$2102)</f>
        <v>0</v>
      </c>
      <c r="M14" s="13">
        <f>SUMIF(Mercado_Receita!$S$2:$S$2102,"44652A3aVerdeNão se aplicaNão se aplicaAPENão se aplicaPonta",Mercado_Receita!$L$2:$L$2102)</f>
        <v>0</v>
      </c>
      <c r="N14" s="13">
        <f>SUMIF(Mercado_Receita!$S$2:$S$2102,"44682A3aVerdeNão se aplicaNão se aplicaAPENão se aplicaPonta",Mercado_Receita!$L$2:$L$2102)</f>
        <v>0</v>
      </c>
      <c r="O14" s="13">
        <f>SUMIF(Mercado_Receita!$S$2:$S$2102,"44713A3aVerdeNão se aplicaNão se aplicaAPENão se aplicaPonta",Mercado_Receita!$L$2:$L$2102)</f>
        <v>0</v>
      </c>
      <c r="P14" s="13">
        <f>SUMIF(Mercado_Receita!$S$2:$S$2102,"44743A3aVerdeNão se aplicaNão se aplicaAPENão se aplicaPonta",Mercado_Receita!$L$2:$L$2102)</f>
        <v>0</v>
      </c>
      <c r="Q14" s="13">
        <f>SUMIF(Mercado_Receita!$S$2:$S$2102,"44774A3aVerdeNão se aplicaNão se aplicaAPENão se aplicaPonta",Mercado_Receita!$L$2:$L$2102)</f>
        <v>0</v>
      </c>
      <c r="R14" s="13">
        <f>SUMIF(Mercado_Receita!$S$2:$S$2102,"44805A3aVerdeNão se aplicaNão se aplicaAPENão se aplicaPonta",Mercado_Receita!$L$2:$L$2102)</f>
        <v>0</v>
      </c>
      <c r="S14" s="13">
        <f>SUMIF(Mercado_Receita!$S$2:$S$2102,"44835A3aVerdeNão se aplicaNão se aplicaAPENão se aplicaPonta",Mercado_Receita!$L$2:$L$2102)</f>
        <v>0</v>
      </c>
      <c r="T14" s="13">
        <f>SUMIF(Mercado_Receita!$S$2:$S$2102,"44866A3aVerdeNão se aplicaNão se aplicaAPENão se aplicaPonta",Mercado_Receita!$L$2:$L$2102)</f>
        <v>0</v>
      </c>
      <c r="U14" s="13">
        <f t="shared" si="0"/>
        <v>0</v>
      </c>
      <c r="V14" s="13"/>
      <c r="W14" s="13"/>
    </row>
    <row r="15" spans="1:30" ht="11.25" customHeight="1" x14ac:dyDescent="0.25">
      <c r="A15" s="93"/>
      <c r="B15" s="93"/>
      <c r="C15" s="93"/>
      <c r="D15" s="93"/>
      <c r="E15" s="93"/>
      <c r="F15" s="93"/>
      <c r="G15" s="13" t="s">
        <v>84</v>
      </c>
      <c r="H15" s="13" t="s">
        <v>82</v>
      </c>
      <c r="I15" s="13">
        <f>SUMIF(Mercado_Receita!$S$2:$S$2102,"44531A3aVerdeNão se aplicaNão se aplicaAPENão se aplicaFora ponta",Mercado_Receita!$L$2:$L$2102)</f>
        <v>0</v>
      </c>
      <c r="J15" s="13">
        <f>SUMIF(Mercado_Receita!$S$2:$S$2102,"44562A3aVerdeNão se aplicaNão se aplicaAPENão se aplicaFora ponta",Mercado_Receita!$L$2:$L$2102)</f>
        <v>0</v>
      </c>
      <c r="K15" s="13">
        <f>SUMIF(Mercado_Receita!$S$2:$S$2102,"44593A3aVerdeNão se aplicaNão se aplicaAPENão se aplicaFora ponta",Mercado_Receita!$L$2:$L$2102)</f>
        <v>0</v>
      </c>
      <c r="L15" s="13">
        <f>SUMIF(Mercado_Receita!$S$2:$S$2102,"44621A3aVerdeNão se aplicaNão se aplicaAPENão se aplicaFora ponta",Mercado_Receita!$L$2:$L$2102)</f>
        <v>0</v>
      </c>
      <c r="M15" s="13">
        <f>SUMIF(Mercado_Receita!$S$2:$S$2102,"44652A3aVerdeNão se aplicaNão se aplicaAPENão se aplicaFora ponta",Mercado_Receita!$L$2:$L$2102)</f>
        <v>0</v>
      </c>
      <c r="N15" s="13">
        <f>SUMIF(Mercado_Receita!$S$2:$S$2102,"44682A3aVerdeNão se aplicaNão se aplicaAPENão se aplicaFora ponta",Mercado_Receita!$L$2:$L$2102)</f>
        <v>0</v>
      </c>
      <c r="O15" s="13">
        <f>SUMIF(Mercado_Receita!$S$2:$S$2102,"44713A3aVerdeNão se aplicaNão se aplicaAPENão se aplicaFora ponta",Mercado_Receita!$L$2:$L$2102)</f>
        <v>0</v>
      </c>
      <c r="P15" s="13">
        <f>SUMIF(Mercado_Receita!$S$2:$S$2102,"44743A3aVerdeNão se aplicaNão se aplicaAPENão se aplicaFora ponta",Mercado_Receita!$L$2:$L$2102)</f>
        <v>0</v>
      </c>
      <c r="Q15" s="13">
        <f>SUMIF(Mercado_Receita!$S$2:$S$2102,"44774A3aVerdeNão se aplicaNão se aplicaAPENão se aplicaFora ponta",Mercado_Receita!$L$2:$L$2102)</f>
        <v>0</v>
      </c>
      <c r="R15" s="13">
        <f>SUMIF(Mercado_Receita!$S$2:$S$2102,"44805A3aVerdeNão se aplicaNão se aplicaAPENão se aplicaFora ponta",Mercado_Receita!$L$2:$L$2102)</f>
        <v>0</v>
      </c>
      <c r="S15" s="13">
        <f>SUMIF(Mercado_Receita!$S$2:$S$2102,"44835A3aVerdeNão se aplicaNão se aplicaAPENão se aplicaFora ponta",Mercado_Receita!$L$2:$L$2102)</f>
        <v>0</v>
      </c>
      <c r="T15" s="13">
        <f>SUMIF(Mercado_Receita!$S$2:$S$2102,"44866A3aVerdeNão se aplicaNão se aplicaAPENão se aplicaFora ponta",Mercado_Receita!$L$2:$L$2102)</f>
        <v>0</v>
      </c>
      <c r="U15" s="13">
        <f t="shared" si="0"/>
        <v>0</v>
      </c>
      <c r="V15" s="13"/>
      <c r="W15" s="13"/>
    </row>
    <row r="16" spans="1:30" ht="11.25" customHeight="1" x14ac:dyDescent="0.25">
      <c r="A16" s="92" t="s">
        <v>41</v>
      </c>
      <c r="B16" s="92" t="s">
        <v>42</v>
      </c>
      <c r="C16" s="92" t="s">
        <v>25</v>
      </c>
      <c r="D16" s="92" t="s">
        <v>25</v>
      </c>
      <c r="E16" s="92" t="s">
        <v>25</v>
      </c>
      <c r="F16" s="92" t="s">
        <v>25</v>
      </c>
      <c r="G16" s="13" t="s">
        <v>86</v>
      </c>
      <c r="H16" s="13" t="s">
        <v>85</v>
      </c>
      <c r="I16" s="13">
        <f>SUMIF(Mercado_Receita!$S$2:$S$2102,"44531A4AzulNão se aplicaNão se aplicaNão se aplicaNão se aplicaPonta",Mercado_Receita!$J$2:$J$2102)+SUMIF(Mercado_Receita!$S$2:$S$2102,"44531A4AzulNão se aplicaNão se aplicaAPENão se aplicaPonta",Mercado_Receita!$J$2:$J$2102)</f>
        <v>12295</v>
      </c>
      <c r="J16" s="13">
        <f>SUMIF(Mercado_Receita!$S$2:$S$2102,"44562A4AzulNão se aplicaNão se aplicaNão se aplicaNão se aplicaPonta",Mercado_Receita!$J$2:$J$2102)+SUMIF(Mercado_Receita!$S$2:$S$2102,"44562A4AzulNão se aplicaNão se aplicaAPENão se aplicaPonta",Mercado_Receita!$J$2:$J$2102)</f>
        <v>10507</v>
      </c>
      <c r="K16" s="13">
        <f>SUMIF(Mercado_Receita!$S$2:$S$2102,"44593A4AzulNão se aplicaNão se aplicaNão se aplicaNão se aplicaPonta",Mercado_Receita!$J$2:$J$2102)+SUMIF(Mercado_Receita!$S$2:$S$2102,"44593A4AzulNão se aplicaNão se aplicaAPENão se aplicaPonta",Mercado_Receita!$J$2:$J$2102)</f>
        <v>10469</v>
      </c>
      <c r="L16" s="13">
        <f>SUMIF(Mercado_Receita!$S$2:$S$2102,"44621A4AzulNão se aplicaNão se aplicaNão se aplicaNão se aplicaPonta",Mercado_Receita!$J$2:$J$2102)+SUMIF(Mercado_Receita!$S$2:$S$2102,"44621A4AzulNão se aplicaNão se aplicaAPENão se aplicaPonta",Mercado_Receita!$J$2:$J$2102)</f>
        <v>10440</v>
      </c>
      <c r="M16" s="13">
        <f>SUMIF(Mercado_Receita!$S$2:$S$2102,"44652A4AzulNão se aplicaNão se aplicaNão se aplicaNão se aplicaPonta",Mercado_Receita!$J$2:$J$2102)+SUMIF(Mercado_Receita!$S$2:$S$2102,"44652A4AzulNão se aplicaNão se aplicaAPENão se aplicaPonta",Mercado_Receita!$J$2:$J$2102)</f>
        <v>10428</v>
      </c>
      <c r="N16" s="13">
        <f>SUMIF(Mercado_Receita!$S$2:$S$2102,"44682A4AzulNão se aplicaNão se aplicaNão se aplicaNão se aplicaPonta",Mercado_Receita!$J$2:$J$2102)+SUMIF(Mercado_Receita!$S$2:$S$2102,"44682A4AzulNão se aplicaNão se aplicaAPENão se aplicaPonta",Mercado_Receita!$J$2:$J$2102)</f>
        <v>10440</v>
      </c>
      <c r="O16" s="13">
        <f>SUMIF(Mercado_Receita!$S$2:$S$2102,"44713A4AzulNão se aplicaNão se aplicaNão se aplicaNão se aplicaPonta",Mercado_Receita!$J$2:$J$2102)+SUMIF(Mercado_Receita!$S$2:$S$2102,"44713A4AzulNão se aplicaNão se aplicaAPENão se aplicaPonta",Mercado_Receita!$J$2:$J$2102)</f>
        <v>9878</v>
      </c>
      <c r="P16" s="13">
        <f>SUMIF(Mercado_Receita!$S$2:$S$2102,"44743A4AzulNão se aplicaNão se aplicaNão se aplicaNão se aplicaPonta",Mercado_Receita!$J$2:$J$2102)+SUMIF(Mercado_Receita!$S$2:$S$2102,"44743A4AzulNão se aplicaNão se aplicaAPENão se aplicaPonta",Mercado_Receita!$J$2:$J$2102)</f>
        <v>10500</v>
      </c>
      <c r="Q16" s="13">
        <f>SUMIF(Mercado_Receita!$S$2:$S$2102,"44774A4AzulNão se aplicaNão se aplicaNão se aplicaNão se aplicaPonta",Mercado_Receita!$J$2:$J$2102)+SUMIF(Mercado_Receita!$S$2:$S$2102,"44774A4AzulNão se aplicaNão se aplicaAPENão se aplicaPonta",Mercado_Receita!$J$2:$J$2102)</f>
        <v>10514</v>
      </c>
      <c r="R16" s="13">
        <f>SUMIF(Mercado_Receita!$S$2:$S$2102,"44805A4AzulNão se aplicaNão se aplicaNão se aplicaNão se aplicaPonta",Mercado_Receita!$J$2:$J$2102)+SUMIF(Mercado_Receita!$S$2:$S$2102,"44805A4AzulNão se aplicaNão se aplicaAPENão se aplicaPonta",Mercado_Receita!$J$2:$J$2102)</f>
        <v>10496</v>
      </c>
      <c r="S16" s="13">
        <f>SUMIF(Mercado_Receita!$S$2:$S$2102,"44835A4AzulNão se aplicaNão se aplicaNão se aplicaNão se aplicaPonta",Mercado_Receita!$J$2:$J$2102)+SUMIF(Mercado_Receita!$S$2:$S$2102,"44835A4AzulNão se aplicaNão se aplicaAPENão se aplicaPonta",Mercado_Receita!$J$2:$J$2102)</f>
        <v>10662</v>
      </c>
      <c r="T16" s="13">
        <f>SUMIF(Mercado_Receita!$S$2:$S$2102,"44866A4AzulNão se aplicaNão se aplicaNão se aplicaNão se aplicaPonta",Mercado_Receita!$J$2:$J$2102)+SUMIF(Mercado_Receita!$S$2:$S$2102,"44866A4AzulNão se aplicaNão se aplicaAPENão se aplicaPonta",Mercado_Receita!$J$2:$J$2102)</f>
        <v>10662</v>
      </c>
      <c r="U16" s="13">
        <f t="shared" si="0"/>
        <v>127291</v>
      </c>
      <c r="V16" s="13"/>
      <c r="W16" s="13"/>
    </row>
    <row r="17" spans="1:23" ht="11.25" customHeight="1" x14ac:dyDescent="0.25">
      <c r="A17" s="93"/>
      <c r="B17" s="93"/>
      <c r="C17" s="93"/>
      <c r="D17" s="93"/>
      <c r="E17" s="93"/>
      <c r="F17" s="93"/>
      <c r="G17" s="13" t="s">
        <v>87</v>
      </c>
      <c r="H17" s="13" t="s">
        <v>85</v>
      </c>
      <c r="I17" s="13">
        <f>SUMIF(Mercado_Receita!$S$2:$S$2102,"44531A4AzulNão se aplicaNão se aplicaNão se aplicaNão se aplicaFora ponta",Mercado_Receita!$J$2:$J$2102)+SUMIF(Mercado_Receita!$S$2:$S$2102,"44531A4AzulNão se aplicaNão se aplicaAPENão se aplicaFora ponta",Mercado_Receita!$J$2:$J$2102)</f>
        <v>13627</v>
      </c>
      <c r="J17" s="13">
        <f>SUMIF(Mercado_Receita!$S$2:$S$2102,"44562A4AzulNão se aplicaNão se aplicaNão se aplicaNão se aplicaFora ponta",Mercado_Receita!$J$2:$J$2102)+SUMIF(Mercado_Receita!$S$2:$S$2102,"44562A4AzulNão se aplicaNão se aplicaAPENão se aplicaFora ponta",Mercado_Receita!$J$2:$J$2102)</f>
        <v>11964</v>
      </c>
      <c r="K17" s="13">
        <f>SUMIF(Mercado_Receita!$S$2:$S$2102,"44593A4AzulNão se aplicaNão se aplicaNão se aplicaNão se aplicaFora ponta",Mercado_Receita!$J$2:$J$2102)+SUMIF(Mercado_Receita!$S$2:$S$2102,"44593A4AzulNão se aplicaNão se aplicaAPENão se aplicaFora ponta",Mercado_Receita!$J$2:$J$2102)</f>
        <v>11795</v>
      </c>
      <c r="L17" s="13">
        <f>SUMIF(Mercado_Receita!$S$2:$S$2102,"44621A4AzulNão se aplicaNão se aplicaNão se aplicaNão se aplicaFora ponta",Mercado_Receita!$J$2:$J$2102)+SUMIF(Mercado_Receita!$S$2:$S$2102,"44621A4AzulNão se aplicaNão se aplicaAPENão se aplicaFora ponta",Mercado_Receita!$J$2:$J$2102)</f>
        <v>11856</v>
      </c>
      <c r="M17" s="13">
        <f>SUMIF(Mercado_Receita!$S$2:$S$2102,"44652A4AzulNão se aplicaNão se aplicaNão se aplicaNão se aplicaFora ponta",Mercado_Receita!$J$2:$J$2102)+SUMIF(Mercado_Receita!$S$2:$S$2102,"44652A4AzulNão se aplicaNão se aplicaAPENão se aplicaFora ponta",Mercado_Receita!$J$2:$J$2102)</f>
        <v>11884</v>
      </c>
      <c r="N17" s="13">
        <f>SUMIF(Mercado_Receita!$S$2:$S$2102,"44682A4AzulNão se aplicaNão se aplicaNão se aplicaNão se aplicaFora ponta",Mercado_Receita!$J$2:$J$2102)+SUMIF(Mercado_Receita!$S$2:$S$2102,"44682A4AzulNão se aplicaNão se aplicaAPENão se aplicaFora ponta",Mercado_Receita!$J$2:$J$2102)</f>
        <v>11719</v>
      </c>
      <c r="O17" s="13">
        <f>SUMIF(Mercado_Receita!$S$2:$S$2102,"44713A4AzulNão se aplicaNão se aplicaNão se aplicaNão se aplicaFora ponta",Mercado_Receita!$J$2:$J$2102)+SUMIF(Mercado_Receita!$S$2:$S$2102,"44713A4AzulNão se aplicaNão se aplicaAPENão se aplicaFora ponta",Mercado_Receita!$J$2:$J$2102)</f>
        <v>12048</v>
      </c>
      <c r="P17" s="13">
        <f>SUMIF(Mercado_Receita!$S$2:$S$2102,"44743A4AzulNão se aplicaNão se aplicaNão se aplicaNão se aplicaFora ponta",Mercado_Receita!$J$2:$J$2102)+SUMIF(Mercado_Receita!$S$2:$S$2102,"44743A4AzulNão se aplicaNão se aplicaAPENão se aplicaFora ponta",Mercado_Receita!$J$2:$J$2102)</f>
        <v>11934</v>
      </c>
      <c r="Q17" s="13">
        <f>SUMIF(Mercado_Receita!$S$2:$S$2102,"44774A4AzulNão se aplicaNão se aplicaNão se aplicaNão se aplicaFora ponta",Mercado_Receita!$J$2:$J$2102)+SUMIF(Mercado_Receita!$S$2:$S$2102,"44774A4AzulNão se aplicaNão se aplicaAPENão se aplicaFora ponta",Mercado_Receita!$J$2:$J$2102)</f>
        <v>12031</v>
      </c>
      <c r="R17" s="13">
        <f>SUMIF(Mercado_Receita!$S$2:$S$2102,"44805A4AzulNão se aplicaNão se aplicaNão se aplicaNão se aplicaFora ponta",Mercado_Receita!$J$2:$J$2102)+SUMIF(Mercado_Receita!$S$2:$S$2102,"44805A4AzulNão se aplicaNão se aplicaAPENão se aplicaFora ponta",Mercado_Receita!$J$2:$J$2102)</f>
        <v>12069</v>
      </c>
      <c r="S17" s="13">
        <f>SUMIF(Mercado_Receita!$S$2:$S$2102,"44835A4AzulNão se aplicaNão se aplicaNão se aplicaNão se aplicaFora ponta",Mercado_Receita!$J$2:$J$2102)+SUMIF(Mercado_Receita!$S$2:$S$2102,"44835A4AzulNão se aplicaNão se aplicaAPENão se aplicaFora ponta",Mercado_Receita!$J$2:$J$2102)</f>
        <v>12248</v>
      </c>
      <c r="T17" s="13">
        <f>SUMIF(Mercado_Receita!$S$2:$S$2102,"44866A4AzulNão se aplicaNão se aplicaNão se aplicaNão se aplicaFora ponta",Mercado_Receita!$J$2:$J$2102)+SUMIF(Mercado_Receita!$S$2:$S$2102,"44866A4AzulNão se aplicaNão se aplicaAPENão se aplicaFora ponta",Mercado_Receita!$J$2:$J$2102)</f>
        <v>12248</v>
      </c>
      <c r="U17" s="13">
        <f t="shared" si="0"/>
        <v>145423</v>
      </c>
      <c r="V17" s="13"/>
      <c r="W17" s="13"/>
    </row>
    <row r="18" spans="1:23" ht="11.25" customHeight="1" x14ac:dyDescent="0.25">
      <c r="A18" s="93"/>
      <c r="B18" s="93"/>
      <c r="C18" s="93"/>
      <c r="D18" s="93"/>
      <c r="E18" s="93"/>
      <c r="F18" s="93"/>
      <c r="G18" s="13" t="s">
        <v>88</v>
      </c>
      <c r="H18" s="13" t="s">
        <v>82</v>
      </c>
      <c r="I18" s="13">
        <f>SUMIF(Mercado_Receita!$S$2:$S$2102,"44531A4AzulNão se aplicaNão se aplicaNão se aplicaNão se aplicaPonta",Mercado_Receita!$L$2:$L$2102)+SUMIF(Mercado_Receita!$S$2:$S$2102,"44531A4AzulNão se aplicaNão se aplicaNão se aplicaNão se aplicaFora ponta",Mercado_Receita!$L$2:$L$2102)+SUMIF(Mercado_Receita!$S$2:$S$2102,"44531A4AzulNão se aplicaNão se aplicaNão se aplicaNão se aplicaIntermediário",Mercado_Receita!$L$2:$L$2102)+SUMIF(Mercado_Receita!$S$2:$S$2102,"44531A4AzulNão se aplicaNão se aplicaNão se aplicaNão se aplicaNão se aplica",Mercado_Receita!$L$2:$L$2102)</f>
        <v>4898.2430000000004</v>
      </c>
      <c r="J18" s="13">
        <f>SUMIF(Mercado_Receita!$S$2:$S$2102,"44562A4AzulNão se aplicaNão se aplicaNão se aplicaNão se aplicaPonta",Mercado_Receita!$L$2:$L$2102)+SUMIF(Mercado_Receita!$S$2:$S$2102,"44562A4AzulNão se aplicaNão se aplicaNão se aplicaNão se aplicaFora ponta",Mercado_Receita!$L$2:$L$2102)+SUMIF(Mercado_Receita!$S$2:$S$2102,"44562A4AzulNão se aplicaNão se aplicaNão se aplicaNão se aplicaIntermediário",Mercado_Receita!$L$2:$L$2102)+SUMIF(Mercado_Receita!$S$2:$S$2102,"44562A4AzulNão se aplicaNão se aplicaNão se aplicaNão se aplicaNão se aplica",Mercado_Receita!$L$2:$L$2102)</f>
        <v>4512.9870000000001</v>
      </c>
      <c r="K18" s="13">
        <f>SUMIF(Mercado_Receita!$S$2:$S$2102,"44593A4AzulNão se aplicaNão se aplicaNão se aplicaNão se aplicaPonta",Mercado_Receita!$L$2:$L$2102)+SUMIF(Mercado_Receita!$S$2:$S$2102,"44593A4AzulNão se aplicaNão se aplicaNão se aplicaNão se aplicaFora ponta",Mercado_Receita!$L$2:$L$2102)+SUMIF(Mercado_Receita!$S$2:$S$2102,"44593A4AzulNão se aplicaNão se aplicaNão se aplicaNão se aplicaIntermediário",Mercado_Receita!$L$2:$L$2102)+SUMIF(Mercado_Receita!$S$2:$S$2102,"44593A4AzulNão se aplicaNão se aplicaNão se aplicaNão se aplicaNão se aplica",Mercado_Receita!$L$2:$L$2102)</f>
        <v>4196.1270000000004</v>
      </c>
      <c r="L18" s="13">
        <f>SUMIF(Mercado_Receita!$S$2:$S$2102,"44621A4AzulNão se aplicaNão se aplicaNão se aplicaNão se aplicaPonta",Mercado_Receita!$L$2:$L$2102)+SUMIF(Mercado_Receita!$S$2:$S$2102,"44621A4AzulNão se aplicaNão se aplicaNão se aplicaNão se aplicaFora ponta",Mercado_Receita!$L$2:$L$2102)+SUMIF(Mercado_Receita!$S$2:$S$2102,"44621A4AzulNão se aplicaNão se aplicaNão se aplicaNão se aplicaIntermediário",Mercado_Receita!$L$2:$L$2102)+SUMIF(Mercado_Receita!$S$2:$S$2102,"44621A4AzulNão se aplicaNão se aplicaNão se aplicaNão se aplicaNão se aplica",Mercado_Receita!$L$2:$L$2102)</f>
        <v>4088.8539999999998</v>
      </c>
      <c r="M18" s="13">
        <f>SUMIF(Mercado_Receita!$S$2:$S$2102,"44652A4AzulNão se aplicaNão se aplicaNão se aplicaNão se aplicaPonta",Mercado_Receita!$L$2:$L$2102)+SUMIF(Mercado_Receita!$S$2:$S$2102,"44652A4AzulNão se aplicaNão se aplicaNão se aplicaNão se aplicaFora ponta",Mercado_Receita!$L$2:$L$2102)+SUMIF(Mercado_Receita!$S$2:$S$2102,"44652A4AzulNão se aplicaNão se aplicaNão se aplicaNão se aplicaIntermediário",Mercado_Receita!$L$2:$L$2102)+SUMIF(Mercado_Receita!$S$2:$S$2102,"44652A4AzulNão se aplicaNão se aplicaNão se aplicaNão se aplicaNão se aplica",Mercado_Receita!$L$2:$L$2102)</f>
        <v>4243.996000000001</v>
      </c>
      <c r="N18" s="13">
        <f>SUMIF(Mercado_Receita!$S$2:$S$2102,"44682A4AzulNão se aplicaNão se aplicaNão se aplicaNão se aplicaPonta",Mercado_Receita!$L$2:$L$2102)+SUMIF(Mercado_Receita!$S$2:$S$2102,"44682A4AzulNão se aplicaNão se aplicaNão se aplicaNão se aplicaFora ponta",Mercado_Receita!$L$2:$L$2102)+SUMIF(Mercado_Receita!$S$2:$S$2102,"44682A4AzulNão se aplicaNão se aplicaNão se aplicaNão se aplicaIntermediário",Mercado_Receita!$L$2:$L$2102)+SUMIF(Mercado_Receita!$S$2:$S$2102,"44682A4AzulNão se aplicaNão se aplicaNão se aplicaNão se aplicaNão se aplica",Mercado_Receita!$L$2:$L$2102)</f>
        <v>4172.8670000000002</v>
      </c>
      <c r="O18" s="13">
        <f>SUMIF(Mercado_Receita!$S$2:$S$2102,"44713A4AzulNão se aplicaNão se aplicaNão se aplicaNão se aplicaPonta",Mercado_Receita!$L$2:$L$2102)+SUMIF(Mercado_Receita!$S$2:$S$2102,"44713A4AzulNão se aplicaNão se aplicaNão se aplicaNão se aplicaFora ponta",Mercado_Receita!$L$2:$L$2102)+SUMIF(Mercado_Receita!$S$2:$S$2102,"44713A4AzulNão se aplicaNão se aplicaNão se aplicaNão se aplicaIntermediário",Mercado_Receita!$L$2:$L$2102)+SUMIF(Mercado_Receita!$S$2:$S$2102,"44713A4AzulNão se aplicaNão se aplicaNão se aplicaNão se aplicaNão se aplica",Mercado_Receita!$L$2:$L$2102)</f>
        <v>4145.2039999999997</v>
      </c>
      <c r="P18" s="13">
        <f>SUMIF(Mercado_Receita!$S$2:$S$2102,"44743A4AzulNão se aplicaNão se aplicaNão se aplicaNão se aplicaPonta",Mercado_Receita!$L$2:$L$2102)+SUMIF(Mercado_Receita!$S$2:$S$2102,"44743A4AzulNão se aplicaNão se aplicaNão se aplicaNão se aplicaFora ponta",Mercado_Receita!$L$2:$L$2102)+SUMIF(Mercado_Receita!$S$2:$S$2102,"44743A4AzulNão se aplicaNão se aplicaNão se aplicaNão se aplicaIntermediário",Mercado_Receita!$L$2:$L$2102)+SUMIF(Mercado_Receita!$S$2:$S$2102,"44743A4AzulNão se aplicaNão se aplicaNão se aplicaNão se aplicaNão se aplica",Mercado_Receita!$L$2:$L$2102)</f>
        <v>4206.7709999999997</v>
      </c>
      <c r="Q18" s="13">
        <f>SUMIF(Mercado_Receita!$S$2:$S$2102,"44774A4AzulNão se aplicaNão se aplicaNão se aplicaNão se aplicaPonta",Mercado_Receita!$L$2:$L$2102)+SUMIF(Mercado_Receita!$S$2:$S$2102,"44774A4AzulNão se aplicaNão se aplicaNão se aplicaNão se aplicaFora ponta",Mercado_Receita!$L$2:$L$2102)+SUMIF(Mercado_Receita!$S$2:$S$2102,"44774A4AzulNão se aplicaNão se aplicaNão se aplicaNão se aplicaIntermediário",Mercado_Receita!$L$2:$L$2102)+SUMIF(Mercado_Receita!$S$2:$S$2102,"44774A4AzulNão se aplicaNão se aplicaNão se aplicaNão se aplicaNão se aplica",Mercado_Receita!$L$2:$L$2102)</f>
        <v>4393.8500000000004</v>
      </c>
      <c r="R18" s="13">
        <f>SUMIF(Mercado_Receita!$S$2:$S$2102,"44805A4AzulNão se aplicaNão se aplicaNão se aplicaNão se aplicaPonta",Mercado_Receita!$L$2:$L$2102)+SUMIF(Mercado_Receita!$S$2:$S$2102,"44805A4AzulNão se aplicaNão se aplicaNão se aplicaNão se aplicaFora ponta",Mercado_Receita!$L$2:$L$2102)+SUMIF(Mercado_Receita!$S$2:$S$2102,"44805A4AzulNão se aplicaNão se aplicaNão se aplicaNão se aplicaIntermediário",Mercado_Receita!$L$2:$L$2102)+SUMIF(Mercado_Receita!$S$2:$S$2102,"44805A4AzulNão se aplicaNão se aplicaNão se aplicaNão se aplicaNão se aplica",Mercado_Receita!$L$2:$L$2102)</f>
        <v>4120.9880000000003</v>
      </c>
      <c r="S18" s="13">
        <f>SUMIF(Mercado_Receita!$S$2:$S$2102,"44835A4AzulNão se aplicaNão se aplicaNão se aplicaNão se aplicaPonta",Mercado_Receita!$L$2:$L$2102)+SUMIF(Mercado_Receita!$S$2:$S$2102,"44835A4AzulNão se aplicaNão se aplicaNão se aplicaNão se aplicaFora ponta",Mercado_Receita!$L$2:$L$2102)+SUMIF(Mercado_Receita!$S$2:$S$2102,"44835A4AzulNão se aplicaNão se aplicaNão se aplicaNão se aplicaIntermediário",Mercado_Receita!$L$2:$L$2102)+SUMIF(Mercado_Receita!$S$2:$S$2102,"44835A4AzulNão se aplicaNão se aplicaNão se aplicaNão se aplicaNão se aplica",Mercado_Receita!$L$2:$L$2102)</f>
        <v>4337.3099999999995</v>
      </c>
      <c r="T18" s="13">
        <f>SUMIF(Mercado_Receita!$S$2:$S$2102,"44866A4AzulNão se aplicaNão se aplicaNão se aplicaNão se aplicaPonta",Mercado_Receita!$L$2:$L$2102)+SUMIF(Mercado_Receita!$S$2:$S$2102,"44866A4AzulNão se aplicaNão se aplicaNão se aplicaNão se aplicaFora ponta",Mercado_Receita!$L$2:$L$2102)+SUMIF(Mercado_Receita!$S$2:$S$2102,"44866A4AzulNão se aplicaNão se aplicaNão se aplicaNão se aplicaIntermediário",Mercado_Receita!$L$2:$L$2102)+SUMIF(Mercado_Receita!$S$2:$S$2102,"44866A4AzulNão se aplicaNão se aplicaNão se aplicaNão se aplicaNão se aplica",Mercado_Receita!$L$2:$L$2102)</f>
        <v>4337.3099999999995</v>
      </c>
      <c r="U18" s="13">
        <f t="shared" si="0"/>
        <v>51654.506999999991</v>
      </c>
      <c r="V18" s="13"/>
      <c r="W18" s="13"/>
    </row>
    <row r="19" spans="1:23" ht="11.25" customHeight="1" x14ac:dyDescent="0.25">
      <c r="A19" s="93"/>
      <c r="B19" s="93"/>
      <c r="C19" s="93"/>
      <c r="D19" s="93"/>
      <c r="E19" s="12" t="s">
        <v>89</v>
      </c>
      <c r="F19" s="12" t="s">
        <v>25</v>
      </c>
      <c r="G19" s="13" t="s">
        <v>88</v>
      </c>
      <c r="H19" s="13" t="s">
        <v>82</v>
      </c>
      <c r="I19" s="13">
        <f>SUMIF(Mercado_Receita!$S$2:$S$2102,"44531A4AzulNão se aplicaNão se aplicaAPENão se aplicaPonta",Mercado_Receita!$L$2:$L$2102)+SUMIF(Mercado_Receita!$S$2:$S$2102,"44531A4AzulNão se aplicaNão se aplicaAPENão se aplicaFora ponta",Mercado_Receita!$L$2:$L$2102)+SUMIF(Mercado_Receita!$S$2:$S$2102,"44531A4AzulNão se aplicaNão se aplicaAPENão se aplicaIntermediário",Mercado_Receita!$L$2:$L$2102)+SUMIF(Mercado_Receita!$S$2:$S$2102,"44531A4AzulNão se aplicaNão se aplicaAPENão se aplicaNão se aplica",Mercado_Receita!$L$2:$L$2102)</f>
        <v>0</v>
      </c>
      <c r="J19" s="13">
        <f>SUMIF(Mercado_Receita!$S$2:$S$2102,"44562A4AzulNão se aplicaNão se aplicaAPENão se aplicaPonta",Mercado_Receita!$L$2:$L$2102)+SUMIF(Mercado_Receita!$S$2:$S$2102,"44562A4AzulNão se aplicaNão se aplicaAPENão se aplicaFora ponta",Mercado_Receita!$L$2:$L$2102)+SUMIF(Mercado_Receita!$S$2:$S$2102,"44562A4AzulNão se aplicaNão se aplicaAPENão se aplicaIntermediário",Mercado_Receita!$L$2:$L$2102)+SUMIF(Mercado_Receita!$S$2:$S$2102,"44562A4AzulNão se aplicaNão se aplicaAPENão se aplicaNão se aplica",Mercado_Receita!$L$2:$L$2102)</f>
        <v>0</v>
      </c>
      <c r="K19" s="13">
        <f>SUMIF(Mercado_Receita!$S$2:$S$2102,"44593A4AzulNão se aplicaNão se aplicaAPENão se aplicaPonta",Mercado_Receita!$L$2:$L$2102)+SUMIF(Mercado_Receita!$S$2:$S$2102,"44593A4AzulNão se aplicaNão se aplicaAPENão se aplicaFora ponta",Mercado_Receita!$L$2:$L$2102)+SUMIF(Mercado_Receita!$S$2:$S$2102,"44593A4AzulNão se aplicaNão se aplicaAPENão se aplicaIntermediário",Mercado_Receita!$L$2:$L$2102)+SUMIF(Mercado_Receita!$S$2:$S$2102,"44593A4AzulNão se aplicaNão se aplicaAPENão se aplicaNão se aplica",Mercado_Receita!$L$2:$L$2102)</f>
        <v>0</v>
      </c>
      <c r="L19" s="13">
        <f>SUMIF(Mercado_Receita!$S$2:$S$2102,"44621A4AzulNão se aplicaNão se aplicaAPENão se aplicaPonta",Mercado_Receita!$L$2:$L$2102)+SUMIF(Mercado_Receita!$S$2:$S$2102,"44621A4AzulNão se aplicaNão se aplicaAPENão se aplicaFora ponta",Mercado_Receita!$L$2:$L$2102)+SUMIF(Mercado_Receita!$S$2:$S$2102,"44621A4AzulNão se aplicaNão se aplicaAPENão se aplicaIntermediário",Mercado_Receita!$L$2:$L$2102)+SUMIF(Mercado_Receita!$S$2:$S$2102,"44621A4AzulNão se aplicaNão se aplicaAPENão se aplicaNão se aplica",Mercado_Receita!$L$2:$L$2102)</f>
        <v>0</v>
      </c>
      <c r="M19" s="13">
        <f>SUMIF(Mercado_Receita!$S$2:$S$2102,"44652A4AzulNão se aplicaNão se aplicaAPENão se aplicaPonta",Mercado_Receita!$L$2:$L$2102)+SUMIF(Mercado_Receita!$S$2:$S$2102,"44652A4AzulNão se aplicaNão se aplicaAPENão se aplicaFora ponta",Mercado_Receita!$L$2:$L$2102)+SUMIF(Mercado_Receita!$S$2:$S$2102,"44652A4AzulNão se aplicaNão se aplicaAPENão se aplicaIntermediário",Mercado_Receita!$L$2:$L$2102)+SUMIF(Mercado_Receita!$S$2:$S$2102,"44652A4AzulNão se aplicaNão se aplicaAPENão se aplicaNão se aplica",Mercado_Receita!$L$2:$L$2102)</f>
        <v>0</v>
      </c>
      <c r="N19" s="13">
        <f>SUMIF(Mercado_Receita!$S$2:$S$2102,"44682A4AzulNão se aplicaNão se aplicaAPENão se aplicaPonta",Mercado_Receita!$L$2:$L$2102)+SUMIF(Mercado_Receita!$S$2:$S$2102,"44682A4AzulNão se aplicaNão se aplicaAPENão se aplicaFora ponta",Mercado_Receita!$L$2:$L$2102)+SUMIF(Mercado_Receita!$S$2:$S$2102,"44682A4AzulNão se aplicaNão se aplicaAPENão se aplicaIntermediário",Mercado_Receita!$L$2:$L$2102)+SUMIF(Mercado_Receita!$S$2:$S$2102,"44682A4AzulNão se aplicaNão se aplicaAPENão se aplicaNão se aplica",Mercado_Receita!$L$2:$L$2102)</f>
        <v>0</v>
      </c>
      <c r="O19" s="13">
        <f>SUMIF(Mercado_Receita!$S$2:$S$2102,"44713A4AzulNão se aplicaNão se aplicaAPENão se aplicaPonta",Mercado_Receita!$L$2:$L$2102)+SUMIF(Mercado_Receita!$S$2:$S$2102,"44713A4AzulNão se aplicaNão se aplicaAPENão se aplicaFora ponta",Mercado_Receita!$L$2:$L$2102)+SUMIF(Mercado_Receita!$S$2:$S$2102,"44713A4AzulNão se aplicaNão se aplicaAPENão se aplicaIntermediário",Mercado_Receita!$L$2:$L$2102)+SUMIF(Mercado_Receita!$S$2:$S$2102,"44713A4AzulNão se aplicaNão se aplicaAPENão se aplicaNão se aplica",Mercado_Receita!$L$2:$L$2102)</f>
        <v>0</v>
      </c>
      <c r="P19" s="13">
        <f>SUMIF(Mercado_Receita!$S$2:$S$2102,"44743A4AzulNão se aplicaNão se aplicaAPENão se aplicaPonta",Mercado_Receita!$L$2:$L$2102)+SUMIF(Mercado_Receita!$S$2:$S$2102,"44743A4AzulNão se aplicaNão se aplicaAPENão se aplicaFora ponta",Mercado_Receita!$L$2:$L$2102)+SUMIF(Mercado_Receita!$S$2:$S$2102,"44743A4AzulNão se aplicaNão se aplicaAPENão se aplicaIntermediário",Mercado_Receita!$L$2:$L$2102)+SUMIF(Mercado_Receita!$S$2:$S$2102,"44743A4AzulNão se aplicaNão se aplicaAPENão se aplicaNão se aplica",Mercado_Receita!$L$2:$L$2102)</f>
        <v>0</v>
      </c>
      <c r="Q19" s="13">
        <f>SUMIF(Mercado_Receita!$S$2:$S$2102,"44774A4AzulNão se aplicaNão se aplicaAPENão se aplicaPonta",Mercado_Receita!$L$2:$L$2102)+SUMIF(Mercado_Receita!$S$2:$S$2102,"44774A4AzulNão se aplicaNão se aplicaAPENão se aplicaFora ponta",Mercado_Receita!$L$2:$L$2102)+SUMIF(Mercado_Receita!$S$2:$S$2102,"44774A4AzulNão se aplicaNão se aplicaAPENão se aplicaIntermediário",Mercado_Receita!$L$2:$L$2102)+SUMIF(Mercado_Receita!$S$2:$S$2102,"44774A4AzulNão se aplicaNão se aplicaAPENão se aplicaNão se aplica",Mercado_Receita!$L$2:$L$2102)</f>
        <v>0</v>
      </c>
      <c r="R19" s="13">
        <f>SUMIF(Mercado_Receita!$S$2:$S$2102,"44805A4AzulNão se aplicaNão se aplicaAPENão se aplicaPonta",Mercado_Receita!$L$2:$L$2102)+SUMIF(Mercado_Receita!$S$2:$S$2102,"44805A4AzulNão se aplicaNão se aplicaAPENão se aplicaFora ponta",Mercado_Receita!$L$2:$L$2102)+SUMIF(Mercado_Receita!$S$2:$S$2102,"44805A4AzulNão se aplicaNão se aplicaAPENão se aplicaIntermediário",Mercado_Receita!$L$2:$L$2102)+SUMIF(Mercado_Receita!$S$2:$S$2102,"44805A4AzulNão se aplicaNão se aplicaAPENão se aplicaNão se aplica",Mercado_Receita!$L$2:$L$2102)</f>
        <v>0</v>
      </c>
      <c r="S19" s="13">
        <f>SUMIF(Mercado_Receita!$S$2:$S$2102,"44835A4AzulNão se aplicaNão se aplicaAPENão se aplicaPonta",Mercado_Receita!$L$2:$L$2102)+SUMIF(Mercado_Receita!$S$2:$S$2102,"44835A4AzulNão se aplicaNão se aplicaAPENão se aplicaFora ponta",Mercado_Receita!$L$2:$L$2102)+SUMIF(Mercado_Receita!$S$2:$S$2102,"44835A4AzulNão se aplicaNão se aplicaAPENão se aplicaIntermediário",Mercado_Receita!$L$2:$L$2102)+SUMIF(Mercado_Receita!$S$2:$S$2102,"44835A4AzulNão se aplicaNão se aplicaAPENão se aplicaNão se aplica",Mercado_Receita!$L$2:$L$2102)</f>
        <v>0</v>
      </c>
      <c r="T19" s="13">
        <f>SUMIF(Mercado_Receita!$S$2:$S$2102,"44866A4AzulNão se aplicaNão se aplicaAPENão se aplicaPonta",Mercado_Receita!$L$2:$L$2102)+SUMIF(Mercado_Receita!$S$2:$S$2102,"44866A4AzulNão se aplicaNão se aplicaAPENão se aplicaFora ponta",Mercado_Receita!$L$2:$L$2102)+SUMIF(Mercado_Receita!$S$2:$S$2102,"44866A4AzulNão se aplicaNão se aplicaAPENão se aplicaIntermediário",Mercado_Receita!$L$2:$L$2102)+SUMIF(Mercado_Receita!$S$2:$S$2102,"44866A4AzulNão se aplicaNão se aplicaAPENão se aplicaNão se aplica",Mercado_Receita!$L$2:$L$2102)</f>
        <v>0</v>
      </c>
      <c r="U19" s="13">
        <f t="shared" si="0"/>
        <v>0</v>
      </c>
      <c r="V19" s="13"/>
      <c r="W19" s="13"/>
    </row>
    <row r="20" spans="1:23" ht="11.25" customHeight="1" x14ac:dyDescent="0.25">
      <c r="A20" s="93"/>
      <c r="B20" s="92" t="s">
        <v>62</v>
      </c>
      <c r="C20" s="92" t="s">
        <v>25</v>
      </c>
      <c r="D20" s="92" t="s">
        <v>25</v>
      </c>
      <c r="E20" s="92" t="s">
        <v>25</v>
      </c>
      <c r="F20" s="92" t="s">
        <v>63</v>
      </c>
      <c r="G20" s="13" t="s">
        <v>86</v>
      </c>
      <c r="H20" s="13" t="s">
        <v>85</v>
      </c>
      <c r="I20" s="13">
        <f>SUMIF(Mercado_Receita!$S$2:$S$2102,"44531A4DistribuiçãoNão se aplicaNão se aplicaNão se aplicaAmazonas EnergiaPonta",Mercado_Receita!$J$2:$J$2102)+SUMIF(Mercado_Receita!$S$2:$S$2102,"44531A4DistribuiçãoNão se aplicaNão se aplicaNão se aplicaAmazonas EnergiaNão se aplica",Mercado_Receita!$J$2:$J$2102)*0.72</f>
        <v>1523</v>
      </c>
      <c r="J20" s="13">
        <f>SUMIF(Mercado_Receita!$S$2:$S$2102,"44562A4DistribuiçãoNão se aplicaNão se aplicaNão se aplicaAmazonas EnergiaPonta",Mercado_Receita!$J$2:$J$2102)+SUMIF(Mercado_Receita!$S$2:$S$2102,"44562A4DistribuiçãoNão se aplicaNão se aplicaNão se aplicaAmazonas EnergiaNão se aplica",Mercado_Receita!$J$2:$J$2102)*0.72</f>
        <v>1456</v>
      </c>
      <c r="K20" s="13">
        <f>SUMIF(Mercado_Receita!$S$2:$S$2102,"44593A4DistribuiçãoNão se aplicaNão se aplicaNão se aplicaAmazonas EnergiaPonta",Mercado_Receita!$J$2:$J$2102)+SUMIF(Mercado_Receita!$S$2:$S$2102,"44593A4DistribuiçãoNão se aplicaNão se aplicaNão se aplicaAmazonas EnergiaNão se aplica",Mercado_Receita!$J$2:$J$2102)*0.72</f>
        <v>1568</v>
      </c>
      <c r="L20" s="13">
        <f>SUMIF(Mercado_Receita!$S$2:$S$2102,"44621A4DistribuiçãoNão se aplicaNão se aplicaNão se aplicaAmazonas EnergiaPonta",Mercado_Receita!$J$2:$J$2102)+SUMIF(Mercado_Receita!$S$2:$S$2102,"44621A4DistribuiçãoNão se aplicaNão se aplicaNão se aplicaAmazonas EnergiaNão se aplica",Mercado_Receita!$J$2:$J$2102)*0.72</f>
        <v>1500</v>
      </c>
      <c r="M20" s="13">
        <f>SUMIF(Mercado_Receita!$S$2:$S$2102,"44652A4DistribuiçãoNão se aplicaNão se aplicaNão se aplicaAmazonas EnergiaPonta",Mercado_Receita!$J$2:$J$2102)+SUMIF(Mercado_Receita!$S$2:$S$2102,"44652A4DistribuiçãoNão se aplicaNão se aplicaNão se aplicaAmazonas EnergiaNão se aplica",Mercado_Receita!$J$2:$J$2102)*0.72</f>
        <v>1478</v>
      </c>
      <c r="N20" s="13">
        <f>SUMIF(Mercado_Receita!$S$2:$S$2102,"44682A4DistribuiçãoNão se aplicaNão se aplicaNão se aplicaAmazonas EnergiaPonta",Mercado_Receita!$J$2:$J$2102)+SUMIF(Mercado_Receita!$S$2:$S$2102,"44682A4DistribuiçãoNão se aplicaNão se aplicaNão se aplicaAmazonas EnergiaNão se aplica",Mercado_Receita!$J$2:$J$2102)*0.72</f>
        <v>1612</v>
      </c>
      <c r="O20" s="13">
        <f>SUMIF(Mercado_Receita!$S$2:$S$2102,"44713A4DistribuiçãoNão se aplicaNão se aplicaNão se aplicaAmazonas EnergiaPonta",Mercado_Receita!$J$2:$J$2102)+SUMIF(Mercado_Receita!$S$2:$S$2102,"44713A4DistribuiçãoNão se aplicaNão se aplicaNão se aplicaAmazonas EnergiaNão se aplica",Mercado_Receita!$J$2:$J$2102)*0.72</f>
        <v>1545</v>
      </c>
      <c r="P20" s="13">
        <f>SUMIF(Mercado_Receita!$S$2:$S$2102,"44743A4DistribuiçãoNão se aplicaNão se aplicaNão se aplicaAmazonas EnergiaPonta",Mercado_Receita!$J$2:$J$2102)+SUMIF(Mercado_Receita!$S$2:$S$2102,"44743A4DistribuiçãoNão se aplicaNão se aplicaNão se aplicaAmazonas EnergiaNão se aplica",Mercado_Receita!$J$2:$J$2102)*0.72</f>
        <v>1456</v>
      </c>
      <c r="Q20" s="13">
        <f>SUMIF(Mercado_Receita!$S$2:$S$2102,"44774A4DistribuiçãoNão se aplicaNão se aplicaNão se aplicaAmazonas EnergiaPonta",Mercado_Receita!$J$2:$J$2102)+SUMIF(Mercado_Receita!$S$2:$S$2102,"44774A4DistribuiçãoNão se aplicaNão se aplicaNão se aplicaAmazonas EnergiaNão se aplica",Mercado_Receita!$J$2:$J$2102)*0.72</f>
        <v>1545</v>
      </c>
      <c r="R20" s="13">
        <f>SUMIF(Mercado_Receita!$S$2:$S$2102,"44805A4DistribuiçãoNão se aplicaNão se aplicaNão se aplicaAmazonas EnergiaPonta",Mercado_Receita!$J$2:$J$2102)+SUMIF(Mercado_Receita!$S$2:$S$2102,"44805A4DistribuiçãoNão se aplicaNão se aplicaNão se aplicaAmazonas EnergiaNão se aplica",Mercado_Receita!$J$2:$J$2102)*0.72</f>
        <v>1646</v>
      </c>
      <c r="S20" s="13">
        <f>SUMIF(Mercado_Receita!$S$2:$S$2102,"44835A4DistribuiçãoNão se aplicaNão se aplicaNão se aplicaAmazonas EnergiaPonta",Mercado_Receita!$J$2:$J$2102)+SUMIF(Mercado_Receita!$S$2:$S$2102,"44835A4DistribuiçãoNão se aplicaNão se aplicaNão se aplicaAmazonas EnergiaNão se aplica",Mercado_Receita!$J$2:$J$2102)*0.72</f>
        <v>1825</v>
      </c>
      <c r="T20" s="13">
        <f>SUMIF(Mercado_Receita!$S$2:$S$2102,"44866A4DistribuiçãoNão se aplicaNão se aplicaNão se aplicaAmazonas EnergiaPonta",Mercado_Receita!$J$2:$J$2102)+SUMIF(Mercado_Receita!$S$2:$S$2102,"44866A4DistribuiçãoNão se aplicaNão se aplicaNão se aplicaAmazonas EnergiaNão se aplica",Mercado_Receita!$J$2:$J$2102)*0.72</f>
        <v>1825</v>
      </c>
      <c r="U20" s="13">
        <f t="shared" si="0"/>
        <v>18979</v>
      </c>
      <c r="V20" s="13"/>
      <c r="W20" s="13"/>
    </row>
    <row r="21" spans="1:23" ht="11.25" customHeight="1" x14ac:dyDescent="0.25">
      <c r="A21" s="93"/>
      <c r="B21" s="93"/>
      <c r="C21" s="93"/>
      <c r="D21" s="93"/>
      <c r="E21" s="93"/>
      <c r="F21" s="93"/>
      <c r="G21" s="13" t="s">
        <v>87</v>
      </c>
      <c r="H21" s="13" t="s">
        <v>85</v>
      </c>
      <c r="I21" s="13">
        <f>SUMIF(Mercado_Receita!$S$2:$S$2102,"44531A4DistribuiçãoNão se aplicaNão se aplicaNão se aplicaAmazonas EnergiaFora ponta",Mercado_Receita!$J$2:$J$2102)+SUMIF(Mercado_Receita!$S$2:$S$2102,"44531A4DistribuiçãoNão se aplicaNão se aplicaNão se aplicaAmazonas EnergiaNão se aplica",Mercado_Receita!$J$2:$J$2102)*1</f>
        <v>1568</v>
      </c>
      <c r="J21" s="13">
        <f>SUMIF(Mercado_Receita!$S$2:$S$2102,"44562A4DistribuiçãoNão se aplicaNão se aplicaNão se aplicaAmazonas EnergiaFora ponta",Mercado_Receita!$J$2:$J$2102)+SUMIF(Mercado_Receita!$S$2:$S$2102,"44562A4DistribuiçãoNão se aplicaNão se aplicaNão se aplicaAmazonas EnergiaNão se aplica",Mercado_Receita!$J$2:$J$2102)*1</f>
        <v>1478</v>
      </c>
      <c r="K21" s="13">
        <f>SUMIF(Mercado_Receita!$S$2:$S$2102,"44593A4DistribuiçãoNão se aplicaNão se aplicaNão se aplicaAmazonas EnergiaFora ponta",Mercado_Receita!$J$2:$J$2102)+SUMIF(Mercado_Receita!$S$2:$S$2102,"44593A4DistribuiçãoNão se aplicaNão se aplicaNão se aplicaAmazonas EnergiaNão se aplica",Mercado_Receita!$J$2:$J$2102)*1</f>
        <v>1568</v>
      </c>
      <c r="L21" s="13">
        <f>SUMIF(Mercado_Receita!$S$2:$S$2102,"44621A4DistribuiçãoNão se aplicaNão se aplicaNão se aplicaAmazonas EnergiaFora ponta",Mercado_Receita!$J$2:$J$2102)+SUMIF(Mercado_Receita!$S$2:$S$2102,"44621A4DistribuiçãoNão se aplicaNão se aplicaNão se aplicaAmazonas EnergiaNão se aplica",Mercado_Receita!$J$2:$J$2102)*1</f>
        <v>1500</v>
      </c>
      <c r="M21" s="13">
        <f>SUMIF(Mercado_Receita!$S$2:$S$2102,"44652A4DistribuiçãoNão se aplicaNão se aplicaNão se aplicaAmazonas EnergiaFora ponta",Mercado_Receita!$J$2:$J$2102)+SUMIF(Mercado_Receita!$S$2:$S$2102,"44652A4DistribuiçãoNão se aplicaNão se aplicaNão se aplicaAmazonas EnergiaNão se aplica",Mercado_Receita!$J$2:$J$2102)*1</f>
        <v>1500</v>
      </c>
      <c r="N21" s="13">
        <f>SUMIF(Mercado_Receita!$S$2:$S$2102,"44682A4DistribuiçãoNão se aplicaNão se aplicaNão se aplicaAmazonas EnergiaFora ponta",Mercado_Receita!$J$2:$J$2102)+SUMIF(Mercado_Receita!$S$2:$S$2102,"44682A4DistribuiçãoNão se aplicaNão se aplicaNão se aplicaAmazonas EnergiaNão se aplica",Mercado_Receita!$J$2:$J$2102)*1</f>
        <v>1657</v>
      </c>
      <c r="O21" s="13">
        <f>SUMIF(Mercado_Receita!$S$2:$S$2102,"44713A4DistribuiçãoNão se aplicaNão se aplicaNão se aplicaAmazonas EnergiaFora ponta",Mercado_Receita!$J$2:$J$2102)+SUMIF(Mercado_Receita!$S$2:$S$2102,"44713A4DistribuiçãoNão se aplicaNão se aplicaNão se aplicaAmazonas EnergiaNão se aplica",Mercado_Receita!$J$2:$J$2102)*1</f>
        <v>1523</v>
      </c>
      <c r="P21" s="13">
        <f>SUMIF(Mercado_Receita!$S$2:$S$2102,"44743A4DistribuiçãoNão se aplicaNão se aplicaNão se aplicaAmazonas EnergiaFora ponta",Mercado_Receita!$J$2:$J$2102)+SUMIF(Mercado_Receita!$S$2:$S$2102,"44743A4DistribuiçãoNão se aplicaNão se aplicaNão se aplicaAmazonas EnergiaNão se aplica",Mercado_Receita!$J$2:$J$2102)*1</f>
        <v>1456</v>
      </c>
      <c r="Q21" s="13">
        <f>SUMIF(Mercado_Receita!$S$2:$S$2102,"44774A4DistribuiçãoNão se aplicaNão se aplicaNão se aplicaAmazonas EnergiaFora ponta",Mercado_Receita!$J$2:$J$2102)+SUMIF(Mercado_Receita!$S$2:$S$2102,"44774A4DistribuiçãoNão se aplicaNão se aplicaNão se aplicaAmazonas EnergiaNão se aplica",Mercado_Receita!$J$2:$J$2102)*1</f>
        <v>1568</v>
      </c>
      <c r="R21" s="13">
        <f>SUMIF(Mercado_Receita!$S$2:$S$2102,"44805A4DistribuiçãoNão se aplicaNão se aplicaNão se aplicaAmazonas EnergiaFora ponta",Mercado_Receita!$J$2:$J$2102)+SUMIF(Mercado_Receita!$S$2:$S$2102,"44805A4DistribuiçãoNão se aplicaNão se aplicaNão se aplicaAmazonas EnergiaNão se aplica",Mercado_Receita!$J$2:$J$2102)*1</f>
        <v>1680</v>
      </c>
      <c r="S21" s="13">
        <f>SUMIF(Mercado_Receita!$S$2:$S$2102,"44835A4DistribuiçãoNão se aplicaNão se aplicaNão se aplicaAmazonas EnergiaFora ponta",Mercado_Receita!$J$2:$J$2102)+SUMIF(Mercado_Receita!$S$2:$S$2102,"44835A4DistribuiçãoNão se aplicaNão se aplicaNão se aplicaAmazonas EnergiaNão se aplica",Mercado_Receita!$J$2:$J$2102)*1</f>
        <v>1826</v>
      </c>
      <c r="T21" s="13">
        <f>SUMIF(Mercado_Receita!$S$2:$S$2102,"44866A4DistribuiçãoNão se aplicaNão se aplicaNão se aplicaAmazonas EnergiaFora ponta",Mercado_Receita!$J$2:$J$2102)+SUMIF(Mercado_Receita!$S$2:$S$2102,"44866A4DistribuiçãoNão se aplicaNão se aplicaNão se aplicaAmazonas EnergiaNão se aplica",Mercado_Receita!$J$2:$J$2102)*1</f>
        <v>1826</v>
      </c>
      <c r="U21" s="13">
        <f t="shared" si="0"/>
        <v>19150</v>
      </c>
      <c r="V21" s="13"/>
      <c r="W21" s="13"/>
    </row>
    <row r="22" spans="1:23" ht="11.25" customHeight="1" x14ac:dyDescent="0.25">
      <c r="A22" s="93"/>
      <c r="B22" s="93"/>
      <c r="C22" s="93"/>
      <c r="D22" s="93"/>
      <c r="E22" s="93"/>
      <c r="F22" s="93"/>
      <c r="G22" s="13" t="s">
        <v>88</v>
      </c>
      <c r="H22" s="13" t="s">
        <v>82</v>
      </c>
      <c r="I22" s="13">
        <f>IF((I20+I21)&lt;&gt;0,SUMIF(Mercado_Receita!$S$2:$S$2102,"44531A4DistribuiçãoNão se aplicaNão se aplicaNão se aplicaAmazonas EnergiaPonta",Mercado_Receita!$L$2:$L$2102)+SUMIF(Mercado_Receita!$S$2:$S$2102,"44531A4DistribuiçãoNão se aplicaNão se aplicaNão se aplicaAmazonas EnergiaFora ponta",Mercado_Receita!$L$2:$L$2102)+SUMIF(Mercado_Receita!$S$2:$S$2102,"44531A4DistribuiçãoNão se aplicaNão se aplicaNão se aplicaAmazonas EnergiaIntermediário",Mercado_Receita!$L$2:$L$2102)+SUMIF(Mercado_Receita!$S$2:$S$2102,"44531A4DistribuiçãoNão se aplicaNão se aplicaNão se aplicaAmazonas EnergiaNão se aplica",Mercado_Receita!$L$2:$L$2102),0)</f>
        <v>763.34699999999998</v>
      </c>
      <c r="J22" s="13">
        <f>IF((J20+J21)&lt;&gt;0,SUMIF(Mercado_Receita!$S$2:$S$2102,"44562A4DistribuiçãoNão se aplicaNão se aplicaNão se aplicaAmazonas EnergiaPonta",Mercado_Receita!$L$2:$L$2102)+SUMIF(Mercado_Receita!$S$2:$S$2102,"44562A4DistribuiçãoNão se aplicaNão se aplicaNão se aplicaAmazonas EnergiaFora ponta",Mercado_Receita!$L$2:$L$2102)+SUMIF(Mercado_Receita!$S$2:$S$2102,"44562A4DistribuiçãoNão se aplicaNão se aplicaNão se aplicaAmazonas EnergiaIntermediário",Mercado_Receita!$L$2:$L$2102)+SUMIF(Mercado_Receita!$S$2:$S$2102,"44562A4DistribuiçãoNão se aplicaNão se aplicaNão se aplicaAmazonas EnergiaNão se aplica",Mercado_Receita!$L$2:$L$2102),0)</f>
        <v>850.53300000000002</v>
      </c>
      <c r="K22" s="13">
        <f>IF((K20+K21)&lt;&gt;0,SUMIF(Mercado_Receita!$S$2:$S$2102,"44593A4DistribuiçãoNão se aplicaNão se aplicaNão se aplicaAmazonas EnergiaPonta",Mercado_Receita!$L$2:$L$2102)+SUMIF(Mercado_Receita!$S$2:$S$2102,"44593A4DistribuiçãoNão se aplicaNão se aplicaNão se aplicaAmazonas EnergiaFora ponta",Mercado_Receita!$L$2:$L$2102)+SUMIF(Mercado_Receita!$S$2:$S$2102,"44593A4DistribuiçãoNão se aplicaNão se aplicaNão se aplicaAmazonas EnergiaIntermediário",Mercado_Receita!$L$2:$L$2102)+SUMIF(Mercado_Receita!$S$2:$S$2102,"44593A4DistribuiçãoNão se aplicaNão se aplicaNão se aplicaAmazonas EnergiaNão se aplica",Mercado_Receita!$L$2:$L$2102),0)</f>
        <v>830.18299999999999</v>
      </c>
      <c r="L22" s="13">
        <f>IF((L20+L21)&lt;&gt;0,SUMIF(Mercado_Receita!$S$2:$S$2102,"44621A4DistribuiçãoNão se aplicaNão se aplicaNão se aplicaAmazonas EnergiaPonta",Mercado_Receita!$L$2:$L$2102)+SUMIF(Mercado_Receita!$S$2:$S$2102,"44621A4DistribuiçãoNão se aplicaNão se aplicaNão se aplicaAmazonas EnergiaFora ponta",Mercado_Receita!$L$2:$L$2102)+SUMIF(Mercado_Receita!$S$2:$S$2102,"44621A4DistribuiçãoNão se aplicaNão se aplicaNão se aplicaAmazonas EnergiaIntermediário",Mercado_Receita!$L$2:$L$2102)+SUMIF(Mercado_Receita!$S$2:$S$2102,"44621A4DistribuiçãoNão se aplicaNão se aplicaNão se aplicaAmazonas EnergiaNão se aplica",Mercado_Receita!$L$2:$L$2102),0)</f>
        <v>745.49399999999991</v>
      </c>
      <c r="M22" s="13">
        <f>IF((M20+M21)&lt;&gt;0,SUMIF(Mercado_Receita!$S$2:$S$2102,"44652A4DistribuiçãoNão se aplicaNão se aplicaNão se aplicaAmazonas EnergiaPonta",Mercado_Receita!$L$2:$L$2102)+SUMIF(Mercado_Receita!$S$2:$S$2102,"44652A4DistribuiçãoNão se aplicaNão se aplicaNão se aplicaAmazonas EnergiaFora ponta",Mercado_Receita!$L$2:$L$2102)+SUMIF(Mercado_Receita!$S$2:$S$2102,"44652A4DistribuiçãoNão se aplicaNão se aplicaNão se aplicaAmazonas EnergiaIntermediário",Mercado_Receita!$L$2:$L$2102)+SUMIF(Mercado_Receita!$S$2:$S$2102,"44652A4DistribuiçãoNão se aplicaNão se aplicaNão se aplicaAmazonas EnergiaNão se aplica",Mercado_Receita!$L$2:$L$2102),0)</f>
        <v>836.303</v>
      </c>
      <c r="N22" s="13">
        <f>IF((N20+N21)&lt;&gt;0,SUMIF(Mercado_Receita!$S$2:$S$2102,"44682A4DistribuiçãoNão se aplicaNão se aplicaNão se aplicaAmazonas EnergiaPonta",Mercado_Receita!$L$2:$L$2102)+SUMIF(Mercado_Receita!$S$2:$S$2102,"44682A4DistribuiçãoNão se aplicaNão se aplicaNão se aplicaAmazonas EnergiaFora ponta",Mercado_Receita!$L$2:$L$2102)+SUMIF(Mercado_Receita!$S$2:$S$2102,"44682A4DistribuiçãoNão se aplicaNão se aplicaNão se aplicaAmazonas EnergiaIntermediário",Mercado_Receita!$L$2:$L$2102)+SUMIF(Mercado_Receita!$S$2:$S$2102,"44682A4DistribuiçãoNão se aplicaNão se aplicaNão se aplicaAmazonas EnergiaNão se aplica",Mercado_Receita!$L$2:$L$2102),0)</f>
        <v>823.65200000000004</v>
      </c>
      <c r="O22" s="13">
        <f>IF((O20+O21)&lt;&gt;0,SUMIF(Mercado_Receita!$S$2:$S$2102,"44713A4DistribuiçãoNão se aplicaNão se aplicaNão se aplicaAmazonas EnergiaPonta",Mercado_Receita!$L$2:$L$2102)+SUMIF(Mercado_Receita!$S$2:$S$2102,"44713A4DistribuiçãoNão se aplicaNão se aplicaNão se aplicaAmazonas EnergiaFora ponta",Mercado_Receita!$L$2:$L$2102)+SUMIF(Mercado_Receita!$S$2:$S$2102,"44713A4DistribuiçãoNão se aplicaNão se aplicaNão se aplicaAmazonas EnergiaIntermediário",Mercado_Receita!$L$2:$L$2102)+SUMIF(Mercado_Receita!$S$2:$S$2102,"44713A4DistribuiçãoNão se aplicaNão se aplicaNão se aplicaAmazonas EnergiaNão se aplica",Mercado_Receita!$L$2:$L$2102),0)</f>
        <v>839.31099999999992</v>
      </c>
      <c r="P22" s="13">
        <f>IF((P20+P21)&lt;&gt;0,SUMIF(Mercado_Receita!$S$2:$S$2102,"44743A4DistribuiçãoNão se aplicaNão se aplicaNão se aplicaAmazonas EnergiaPonta",Mercado_Receita!$L$2:$L$2102)+SUMIF(Mercado_Receita!$S$2:$S$2102,"44743A4DistribuiçãoNão se aplicaNão se aplicaNão se aplicaAmazonas EnergiaFora ponta",Mercado_Receita!$L$2:$L$2102)+SUMIF(Mercado_Receita!$S$2:$S$2102,"44743A4DistribuiçãoNão se aplicaNão se aplicaNão se aplicaAmazonas EnergiaIntermediário",Mercado_Receita!$L$2:$L$2102)+SUMIF(Mercado_Receita!$S$2:$S$2102,"44743A4DistribuiçãoNão se aplicaNão se aplicaNão se aplicaAmazonas EnergiaNão se aplica",Mercado_Receita!$L$2:$L$2102),0)</f>
        <v>791.928</v>
      </c>
      <c r="Q22" s="13">
        <f>IF((Q20+Q21)&lt;&gt;0,SUMIF(Mercado_Receita!$S$2:$S$2102,"44774A4DistribuiçãoNão se aplicaNão se aplicaNão se aplicaAmazonas EnergiaPonta",Mercado_Receita!$L$2:$L$2102)+SUMIF(Mercado_Receita!$S$2:$S$2102,"44774A4DistribuiçãoNão se aplicaNão se aplicaNão se aplicaAmazonas EnergiaFora ponta",Mercado_Receita!$L$2:$L$2102)+SUMIF(Mercado_Receita!$S$2:$S$2102,"44774A4DistribuiçãoNão se aplicaNão se aplicaNão se aplicaAmazonas EnergiaIntermediário",Mercado_Receita!$L$2:$L$2102)+SUMIF(Mercado_Receita!$S$2:$S$2102,"44774A4DistribuiçãoNão se aplicaNão se aplicaNão se aplicaAmazonas EnergiaNão se aplica",Mercado_Receita!$L$2:$L$2102),0)</f>
        <v>854.55399999999997</v>
      </c>
      <c r="R22" s="13">
        <f>IF((R20+R21)&lt;&gt;0,SUMIF(Mercado_Receita!$S$2:$S$2102,"44805A4DistribuiçãoNão se aplicaNão se aplicaNão se aplicaAmazonas EnergiaPonta",Mercado_Receita!$L$2:$L$2102)+SUMIF(Mercado_Receita!$S$2:$S$2102,"44805A4DistribuiçãoNão se aplicaNão se aplicaNão se aplicaAmazonas EnergiaFora ponta",Mercado_Receita!$L$2:$L$2102)+SUMIF(Mercado_Receita!$S$2:$S$2102,"44805A4DistribuiçãoNão se aplicaNão se aplicaNão se aplicaAmazonas EnergiaIntermediário",Mercado_Receita!$L$2:$L$2102)+SUMIF(Mercado_Receita!$S$2:$S$2102,"44805A4DistribuiçãoNão se aplicaNão se aplicaNão se aplicaAmazonas EnergiaNão se aplica",Mercado_Receita!$L$2:$L$2102),0)</f>
        <v>871.35400000000004</v>
      </c>
      <c r="S22" s="13">
        <f>IF((S20+S21)&lt;&gt;0,SUMIF(Mercado_Receita!$S$2:$S$2102,"44835A4DistribuiçãoNão se aplicaNão se aplicaNão se aplicaAmazonas EnergiaPonta",Mercado_Receita!$L$2:$L$2102)+SUMIF(Mercado_Receita!$S$2:$S$2102,"44835A4DistribuiçãoNão se aplicaNão se aplicaNão se aplicaAmazonas EnergiaFora ponta",Mercado_Receita!$L$2:$L$2102)+SUMIF(Mercado_Receita!$S$2:$S$2102,"44835A4DistribuiçãoNão se aplicaNão se aplicaNão se aplicaAmazonas EnergiaIntermediário",Mercado_Receita!$L$2:$L$2102)+SUMIF(Mercado_Receita!$S$2:$S$2102,"44835A4DistribuiçãoNão se aplicaNão se aplicaNão se aplicaAmazonas EnergiaNão se aplica",Mercado_Receita!$L$2:$L$2102),0)</f>
        <v>921.48799999999994</v>
      </c>
      <c r="T22" s="13">
        <f>IF((T20+T21)&lt;&gt;0,SUMIF(Mercado_Receita!$S$2:$S$2102,"44866A4DistribuiçãoNão se aplicaNão se aplicaNão se aplicaAmazonas EnergiaPonta",Mercado_Receita!$L$2:$L$2102)+SUMIF(Mercado_Receita!$S$2:$S$2102,"44866A4DistribuiçãoNão se aplicaNão se aplicaNão se aplicaAmazonas EnergiaFora ponta",Mercado_Receita!$L$2:$L$2102)+SUMIF(Mercado_Receita!$S$2:$S$2102,"44866A4DistribuiçãoNão se aplicaNão se aplicaNão se aplicaAmazonas EnergiaIntermediário",Mercado_Receita!$L$2:$L$2102)+SUMIF(Mercado_Receita!$S$2:$S$2102,"44866A4DistribuiçãoNão se aplicaNão se aplicaNão se aplicaAmazonas EnergiaNão se aplica",Mercado_Receita!$L$2:$L$2102),0)</f>
        <v>921.48799999999994</v>
      </c>
      <c r="U22" s="13">
        <f t="shared" si="0"/>
        <v>10049.634999999998</v>
      </c>
      <c r="V22" s="13"/>
      <c r="W22" s="13"/>
    </row>
    <row r="23" spans="1:23" ht="11.25" customHeight="1" x14ac:dyDescent="0.25">
      <c r="A23" s="93"/>
      <c r="B23" s="12" t="s">
        <v>91</v>
      </c>
      <c r="C23" s="12" t="s">
        <v>25</v>
      </c>
      <c r="D23" s="12" t="s">
        <v>25</v>
      </c>
      <c r="E23" s="12" t="s">
        <v>25</v>
      </c>
      <c r="F23" s="12" t="s">
        <v>25</v>
      </c>
      <c r="G23" s="13" t="s">
        <v>9</v>
      </c>
      <c r="H23" s="13" t="s">
        <v>85</v>
      </c>
      <c r="I23" s="13">
        <f>SUMIF(Mercado_Receita!$S$2:$S$2102,"44531A4GeraçãoNão se aplicaNão se aplicaNão se aplicaNão se aplicaNão se aplica",Mercado_Receita!$J$2:$J$2102)+SUMIF(Mercado_Receita!$S$2:$S$2102,"44531A4GeraçãoNão se aplicaNão se aplicaAPENão se aplicaNão se aplica",Mercado_Receita!$J$2:$J$2102)</f>
        <v>0</v>
      </c>
      <c r="J23" s="13">
        <f>SUMIF(Mercado_Receita!$S$2:$S$2102,"44562A4GeraçãoNão se aplicaNão se aplicaNão se aplicaNão se aplicaNão se aplica",Mercado_Receita!$J$2:$J$2102)+SUMIF(Mercado_Receita!$S$2:$S$2102,"44562A4GeraçãoNão se aplicaNão se aplicaAPENão se aplicaNão se aplica",Mercado_Receita!$J$2:$J$2102)</f>
        <v>0</v>
      </c>
      <c r="K23" s="13">
        <f>SUMIF(Mercado_Receita!$S$2:$S$2102,"44593A4GeraçãoNão se aplicaNão se aplicaNão se aplicaNão se aplicaNão se aplica",Mercado_Receita!$J$2:$J$2102)+SUMIF(Mercado_Receita!$S$2:$S$2102,"44593A4GeraçãoNão se aplicaNão se aplicaAPENão se aplicaNão se aplica",Mercado_Receita!$J$2:$J$2102)</f>
        <v>0</v>
      </c>
      <c r="L23" s="13">
        <f>SUMIF(Mercado_Receita!$S$2:$S$2102,"44621A4GeraçãoNão se aplicaNão se aplicaNão se aplicaNão se aplicaNão se aplica",Mercado_Receita!$J$2:$J$2102)+SUMIF(Mercado_Receita!$S$2:$S$2102,"44621A4GeraçãoNão se aplicaNão se aplicaAPENão se aplicaNão se aplica",Mercado_Receita!$J$2:$J$2102)</f>
        <v>0</v>
      </c>
      <c r="M23" s="13">
        <f>SUMIF(Mercado_Receita!$S$2:$S$2102,"44652A4GeraçãoNão se aplicaNão se aplicaNão se aplicaNão se aplicaNão se aplica",Mercado_Receita!$J$2:$J$2102)+SUMIF(Mercado_Receita!$S$2:$S$2102,"44652A4GeraçãoNão se aplicaNão se aplicaAPENão se aplicaNão se aplica",Mercado_Receita!$J$2:$J$2102)</f>
        <v>0</v>
      </c>
      <c r="N23" s="13">
        <f>SUMIF(Mercado_Receita!$S$2:$S$2102,"44682A4GeraçãoNão se aplicaNão se aplicaNão se aplicaNão se aplicaNão se aplica",Mercado_Receita!$J$2:$J$2102)+SUMIF(Mercado_Receita!$S$2:$S$2102,"44682A4GeraçãoNão se aplicaNão se aplicaAPENão se aplicaNão se aplica",Mercado_Receita!$J$2:$J$2102)</f>
        <v>0</v>
      </c>
      <c r="O23" s="13">
        <f>SUMIF(Mercado_Receita!$S$2:$S$2102,"44713A4GeraçãoNão se aplicaNão se aplicaNão se aplicaNão se aplicaNão se aplica",Mercado_Receita!$J$2:$J$2102)+SUMIF(Mercado_Receita!$S$2:$S$2102,"44713A4GeraçãoNão se aplicaNão se aplicaAPENão se aplicaNão se aplica",Mercado_Receita!$J$2:$J$2102)</f>
        <v>0</v>
      </c>
      <c r="P23" s="13">
        <f>SUMIF(Mercado_Receita!$S$2:$S$2102,"44743A4GeraçãoNão se aplicaNão se aplicaNão se aplicaNão se aplicaNão se aplica",Mercado_Receita!$J$2:$J$2102)+SUMIF(Mercado_Receita!$S$2:$S$2102,"44743A4GeraçãoNão se aplicaNão se aplicaAPENão se aplicaNão se aplica",Mercado_Receita!$J$2:$J$2102)</f>
        <v>0</v>
      </c>
      <c r="Q23" s="13">
        <f>SUMIF(Mercado_Receita!$S$2:$S$2102,"44774A4GeraçãoNão se aplicaNão se aplicaNão se aplicaNão se aplicaNão se aplica",Mercado_Receita!$J$2:$J$2102)+SUMIF(Mercado_Receita!$S$2:$S$2102,"44774A4GeraçãoNão se aplicaNão se aplicaAPENão se aplicaNão se aplica",Mercado_Receita!$J$2:$J$2102)</f>
        <v>0</v>
      </c>
      <c r="R23" s="13">
        <f>SUMIF(Mercado_Receita!$S$2:$S$2102,"44805A4GeraçãoNão se aplicaNão se aplicaNão se aplicaNão se aplicaNão se aplica",Mercado_Receita!$J$2:$J$2102)+SUMIF(Mercado_Receita!$S$2:$S$2102,"44805A4GeraçãoNão se aplicaNão se aplicaAPENão se aplicaNão se aplica",Mercado_Receita!$J$2:$J$2102)</f>
        <v>0</v>
      </c>
      <c r="S23" s="13">
        <f>SUMIF(Mercado_Receita!$S$2:$S$2102,"44835A4GeraçãoNão se aplicaNão se aplicaNão se aplicaNão se aplicaNão se aplica",Mercado_Receita!$J$2:$J$2102)+SUMIF(Mercado_Receita!$S$2:$S$2102,"44835A4GeraçãoNão se aplicaNão se aplicaAPENão se aplicaNão se aplica",Mercado_Receita!$J$2:$J$2102)</f>
        <v>0</v>
      </c>
      <c r="T23" s="13">
        <f>SUMIF(Mercado_Receita!$S$2:$S$2102,"44866A4GeraçãoNão se aplicaNão se aplicaNão se aplicaNão se aplicaNão se aplica",Mercado_Receita!$J$2:$J$2102)+SUMIF(Mercado_Receita!$S$2:$S$2102,"44866A4GeraçãoNão se aplicaNão se aplicaAPENão se aplicaNão se aplica",Mercado_Receita!$J$2:$J$2102)</f>
        <v>0</v>
      </c>
      <c r="U23" s="13">
        <f t="shared" si="0"/>
        <v>0</v>
      </c>
      <c r="V23" s="13"/>
      <c r="W23" s="13"/>
    </row>
    <row r="24" spans="1:23" ht="11.25" customHeight="1" x14ac:dyDescent="0.25">
      <c r="A24" s="93"/>
      <c r="B24" s="92" t="s">
        <v>44</v>
      </c>
      <c r="C24" s="92" t="s">
        <v>25</v>
      </c>
      <c r="D24" s="92" t="s">
        <v>25</v>
      </c>
      <c r="E24" s="92" t="s">
        <v>25</v>
      </c>
      <c r="F24" s="92" t="s">
        <v>25</v>
      </c>
      <c r="G24" s="13" t="s">
        <v>9</v>
      </c>
      <c r="H24" s="13" t="s">
        <v>85</v>
      </c>
      <c r="I24" s="13">
        <f>SUMIF(Mercado_Receita!$S$2:$S$2102,"44531A4VerdeNão se aplicaNão se aplicaNão se aplicaNão se aplicaNão se aplica",Mercado_Receita!$J$2:$J$2102)+SUMIF(Mercado_Receita!$S$2:$S$2102,"44531A4VerdeNão se aplicaNão se aplicaAPENão se aplicaNão se aplica",Mercado_Receita!$J$2:$J$2102)</f>
        <v>93592</v>
      </c>
      <c r="J24" s="13">
        <f>SUMIF(Mercado_Receita!$S$2:$S$2102,"44562A4VerdeNão se aplicaNão se aplicaNão se aplicaNão se aplicaNão se aplica",Mercado_Receita!$J$2:$J$2102)+SUMIF(Mercado_Receita!$S$2:$S$2102,"44562A4VerdeNão se aplicaNão se aplicaAPENão se aplicaNão se aplica",Mercado_Receita!$J$2:$J$2102)</f>
        <v>94158</v>
      </c>
      <c r="K24" s="13">
        <f>SUMIF(Mercado_Receita!$S$2:$S$2102,"44593A4VerdeNão se aplicaNão se aplicaNão se aplicaNão se aplicaNão se aplica",Mercado_Receita!$J$2:$J$2102)+SUMIF(Mercado_Receita!$S$2:$S$2102,"44593A4VerdeNão se aplicaNão se aplicaAPENão se aplicaNão se aplica",Mercado_Receita!$J$2:$J$2102)</f>
        <v>94438</v>
      </c>
      <c r="L24" s="13">
        <f>SUMIF(Mercado_Receita!$S$2:$S$2102,"44621A4VerdeNão se aplicaNão se aplicaNão se aplicaNão se aplicaNão se aplica",Mercado_Receita!$J$2:$J$2102)+SUMIF(Mercado_Receita!$S$2:$S$2102,"44621A4VerdeNão se aplicaNão se aplicaAPENão se aplicaNão se aplica",Mercado_Receita!$J$2:$J$2102)</f>
        <v>95019</v>
      </c>
      <c r="M24" s="13">
        <f>SUMIF(Mercado_Receita!$S$2:$S$2102,"44652A4VerdeNão se aplicaNão se aplicaNão se aplicaNão se aplicaNão se aplica",Mercado_Receita!$J$2:$J$2102)+SUMIF(Mercado_Receita!$S$2:$S$2102,"44652A4VerdeNão se aplicaNão se aplicaAPENão se aplicaNão se aplica",Mercado_Receita!$J$2:$J$2102)</f>
        <v>95458</v>
      </c>
      <c r="N24" s="13">
        <f>SUMIF(Mercado_Receita!$S$2:$S$2102,"44682A4VerdeNão se aplicaNão se aplicaNão se aplicaNão se aplicaNão se aplica",Mercado_Receita!$J$2:$J$2102)+SUMIF(Mercado_Receita!$S$2:$S$2102,"44682A4VerdeNão se aplicaNão se aplicaAPENão se aplicaNão se aplica",Mercado_Receita!$J$2:$J$2102)</f>
        <v>95601</v>
      </c>
      <c r="O24" s="13">
        <f>SUMIF(Mercado_Receita!$S$2:$S$2102,"44713A4VerdeNão se aplicaNão se aplicaNão se aplicaNão se aplicaNão se aplica",Mercado_Receita!$J$2:$J$2102)+SUMIF(Mercado_Receita!$S$2:$S$2102,"44713A4VerdeNão se aplicaNão se aplicaAPENão se aplicaNão se aplica",Mercado_Receita!$J$2:$J$2102)</f>
        <v>94611</v>
      </c>
      <c r="P24" s="13">
        <f>SUMIF(Mercado_Receita!$S$2:$S$2102,"44743A4VerdeNão se aplicaNão se aplicaNão se aplicaNão se aplicaNão se aplica",Mercado_Receita!$J$2:$J$2102)+SUMIF(Mercado_Receita!$S$2:$S$2102,"44743A4VerdeNão se aplicaNão se aplicaAPENão se aplicaNão se aplica",Mercado_Receita!$J$2:$J$2102)</f>
        <v>95439</v>
      </c>
      <c r="Q24" s="13">
        <f>SUMIF(Mercado_Receita!$S$2:$S$2102,"44774A4VerdeNão se aplicaNão se aplicaNão se aplicaNão se aplicaNão se aplica",Mercado_Receita!$J$2:$J$2102)+SUMIF(Mercado_Receita!$S$2:$S$2102,"44774A4VerdeNão se aplicaNão se aplicaAPENão se aplicaNão se aplica",Mercado_Receita!$J$2:$J$2102)</f>
        <v>96513</v>
      </c>
      <c r="R24" s="13">
        <f>SUMIF(Mercado_Receita!$S$2:$S$2102,"44805A4VerdeNão se aplicaNão se aplicaNão se aplicaNão se aplicaNão se aplica",Mercado_Receita!$J$2:$J$2102)+SUMIF(Mercado_Receita!$S$2:$S$2102,"44805A4VerdeNão se aplicaNão se aplicaAPENão se aplicaNão se aplica",Mercado_Receita!$J$2:$J$2102)</f>
        <v>96699</v>
      </c>
      <c r="S24" s="13">
        <f>SUMIF(Mercado_Receita!$S$2:$S$2102,"44835A4VerdeNão se aplicaNão se aplicaNão se aplicaNão se aplicaNão se aplica",Mercado_Receita!$J$2:$J$2102)+SUMIF(Mercado_Receita!$S$2:$S$2102,"44835A4VerdeNão se aplicaNão se aplicaAPENão se aplicaNão se aplica",Mercado_Receita!$J$2:$J$2102)</f>
        <v>96914</v>
      </c>
      <c r="T24" s="13">
        <f>SUMIF(Mercado_Receita!$S$2:$S$2102,"44866A4VerdeNão se aplicaNão se aplicaNão se aplicaNão se aplicaNão se aplica",Mercado_Receita!$J$2:$J$2102)+SUMIF(Mercado_Receita!$S$2:$S$2102,"44866A4VerdeNão se aplicaNão se aplicaAPENão se aplicaNão se aplica",Mercado_Receita!$J$2:$J$2102)</f>
        <v>96914</v>
      </c>
      <c r="U24" s="13">
        <f t="shared" si="0"/>
        <v>1145356</v>
      </c>
      <c r="V24" s="13"/>
      <c r="W24" s="13"/>
    </row>
    <row r="25" spans="1:23" ht="11.25" customHeight="1" x14ac:dyDescent="0.25">
      <c r="A25" s="93"/>
      <c r="B25" s="93"/>
      <c r="C25" s="93"/>
      <c r="D25" s="93"/>
      <c r="E25" s="93"/>
      <c r="F25" s="93"/>
      <c r="G25" s="13" t="s">
        <v>83</v>
      </c>
      <c r="H25" s="13" t="s">
        <v>82</v>
      </c>
      <c r="I25" s="13">
        <f>SUMIF(Mercado_Receita!$S$2:$S$2102,"44531A4VerdeNão se aplicaNão se aplicaNão se aplicaNão se aplicaPonta",Mercado_Receita!$L$2:$L$2102)</f>
        <v>1279.691</v>
      </c>
      <c r="J25" s="13">
        <f>SUMIF(Mercado_Receita!$S$2:$S$2102,"44562A4VerdeNão se aplicaNão se aplicaNão se aplicaNão se aplicaPonta",Mercado_Receita!$L$2:$L$2102)</f>
        <v>1313.91</v>
      </c>
      <c r="K25" s="13">
        <f>SUMIF(Mercado_Receita!$S$2:$S$2102,"44593A4VerdeNão se aplicaNão se aplicaNão se aplicaNão se aplicaPonta",Mercado_Receita!$L$2:$L$2102)</f>
        <v>1190.3860000000002</v>
      </c>
      <c r="L25" s="13">
        <f>SUMIF(Mercado_Receita!$S$2:$S$2102,"44621A4VerdeNão se aplicaNão se aplicaNão se aplicaNão se aplicaPonta",Mercado_Receita!$L$2:$L$2102)</f>
        <v>1276.1179999999999</v>
      </c>
      <c r="M25" s="13">
        <f>SUMIF(Mercado_Receita!$S$2:$S$2102,"44652A4VerdeNão se aplicaNão se aplicaNão se aplicaNão se aplicaPonta",Mercado_Receita!$L$2:$L$2102)</f>
        <v>1306.7790000000002</v>
      </c>
      <c r="N25" s="13">
        <f>SUMIF(Mercado_Receita!$S$2:$S$2102,"44682A4VerdeNão se aplicaNão se aplicaNão se aplicaNão se aplicaPonta",Mercado_Receita!$L$2:$L$2102)</f>
        <v>1327.0329999999999</v>
      </c>
      <c r="O25" s="13">
        <f>SUMIF(Mercado_Receita!$S$2:$S$2102,"44713A4VerdeNão se aplicaNão se aplicaNão se aplicaNão se aplicaPonta",Mercado_Receita!$L$2:$L$2102)</f>
        <v>1345.9619999999998</v>
      </c>
      <c r="P25" s="13">
        <f>SUMIF(Mercado_Receita!$S$2:$S$2102,"44743A4VerdeNão se aplicaNão se aplicaNão se aplicaNão se aplicaPonta",Mercado_Receita!$L$2:$L$2102)</f>
        <v>1379.817</v>
      </c>
      <c r="Q25" s="13">
        <f>SUMIF(Mercado_Receita!$S$2:$S$2102,"44774A4VerdeNão se aplicaNão se aplicaNão se aplicaNão se aplicaPonta",Mercado_Receita!$L$2:$L$2102)</f>
        <v>1514.9560000000004</v>
      </c>
      <c r="R25" s="13">
        <f>SUMIF(Mercado_Receita!$S$2:$S$2102,"44805A4VerdeNão se aplicaNão se aplicaNão se aplicaNão se aplicaPonta",Mercado_Receita!$L$2:$L$2102)</f>
        <v>1552.1950000000002</v>
      </c>
      <c r="S25" s="13">
        <f>SUMIF(Mercado_Receita!$S$2:$S$2102,"44835A4VerdeNão se aplicaNão se aplicaNão se aplicaNão se aplicaPonta",Mercado_Receita!$L$2:$L$2102)</f>
        <v>1492.54</v>
      </c>
      <c r="T25" s="13">
        <f>SUMIF(Mercado_Receita!$S$2:$S$2102,"44866A4VerdeNão se aplicaNão se aplicaNão se aplicaNão se aplicaPonta",Mercado_Receita!$L$2:$L$2102)</f>
        <v>1492.54</v>
      </c>
      <c r="U25" s="13">
        <f t="shared" si="0"/>
        <v>16471.927</v>
      </c>
      <c r="V25" s="13"/>
      <c r="W25" s="13"/>
    </row>
    <row r="26" spans="1:23" ht="11.25" customHeight="1" x14ac:dyDescent="0.25">
      <c r="A26" s="93"/>
      <c r="B26" s="93"/>
      <c r="C26" s="93"/>
      <c r="D26" s="93"/>
      <c r="E26" s="93"/>
      <c r="F26" s="93"/>
      <c r="G26" s="13" t="s">
        <v>84</v>
      </c>
      <c r="H26" s="13" t="s">
        <v>82</v>
      </c>
      <c r="I26" s="13">
        <f>SUMIF(Mercado_Receita!$S$2:$S$2102,"44531A4VerdeNão se aplicaNão se aplicaNão se aplicaNão se aplicaFora ponta",Mercado_Receita!$L$2:$L$2102)</f>
        <v>15905.673999999999</v>
      </c>
      <c r="J26" s="13">
        <f>SUMIF(Mercado_Receita!$S$2:$S$2102,"44562A4VerdeNão se aplicaNão se aplicaNão se aplicaNão se aplicaFora ponta",Mercado_Receita!$L$2:$L$2102)</f>
        <v>16273.747999999996</v>
      </c>
      <c r="K26" s="13">
        <f>SUMIF(Mercado_Receita!$S$2:$S$2102,"44593A4VerdeNão se aplicaNão se aplicaNão se aplicaNão se aplicaFora ponta",Mercado_Receita!$L$2:$L$2102)</f>
        <v>15271.675999999999</v>
      </c>
      <c r="L26" s="13">
        <f>SUMIF(Mercado_Receita!$S$2:$S$2102,"44621A4VerdeNão se aplicaNão se aplicaNão se aplicaNão se aplicaFora ponta",Mercado_Receita!$L$2:$L$2102)</f>
        <v>15309.387000000001</v>
      </c>
      <c r="M26" s="13">
        <f>SUMIF(Mercado_Receita!$S$2:$S$2102,"44652A4VerdeNão se aplicaNão se aplicaNão se aplicaNão se aplicaFora ponta",Mercado_Receita!$L$2:$L$2102)</f>
        <v>16123.512999999999</v>
      </c>
      <c r="N26" s="13">
        <f>SUMIF(Mercado_Receita!$S$2:$S$2102,"44682A4VerdeNão se aplicaNão se aplicaNão se aplicaNão se aplicaFora ponta",Mercado_Receita!$L$2:$L$2102)</f>
        <v>16910.18</v>
      </c>
      <c r="O26" s="13">
        <f>SUMIF(Mercado_Receita!$S$2:$S$2102,"44713A4VerdeNão se aplicaNão se aplicaNão se aplicaNão se aplicaFora ponta",Mercado_Receita!$L$2:$L$2102)</f>
        <v>16690.181</v>
      </c>
      <c r="P26" s="13">
        <f>SUMIF(Mercado_Receita!$S$2:$S$2102,"44743A4VerdeNão se aplicaNão se aplicaNão se aplicaNão se aplicaFora ponta",Mercado_Receita!$L$2:$L$2102)</f>
        <v>16904.897000000001</v>
      </c>
      <c r="Q26" s="13">
        <f>SUMIF(Mercado_Receita!$S$2:$S$2102,"44774A4VerdeNão se aplicaNão se aplicaNão se aplicaNão se aplicaFora ponta",Mercado_Receita!$L$2:$L$2102)</f>
        <v>17975.071</v>
      </c>
      <c r="R26" s="13">
        <f>SUMIF(Mercado_Receita!$S$2:$S$2102,"44805A4VerdeNão se aplicaNão se aplicaNão se aplicaNão se aplicaFora ponta",Mercado_Receita!$L$2:$L$2102)</f>
        <v>17723.96</v>
      </c>
      <c r="S26" s="13">
        <f>SUMIF(Mercado_Receita!$S$2:$S$2102,"44835A4VerdeNão se aplicaNão se aplicaNão se aplicaNão se aplicaFora ponta",Mercado_Receita!$L$2:$L$2102)</f>
        <v>17887.826000000001</v>
      </c>
      <c r="T26" s="13">
        <f>SUMIF(Mercado_Receita!$S$2:$S$2102,"44866A4VerdeNão se aplicaNão se aplicaNão se aplicaNão se aplicaFora ponta",Mercado_Receita!$L$2:$L$2102)</f>
        <v>17887.826000000001</v>
      </c>
      <c r="U26" s="13">
        <f t="shared" si="0"/>
        <v>200863.93899999998</v>
      </c>
      <c r="V26" s="13"/>
      <c r="W26" s="13"/>
    </row>
    <row r="27" spans="1:23" ht="11.25" customHeight="1" x14ac:dyDescent="0.25">
      <c r="A27" s="93"/>
      <c r="B27" s="93"/>
      <c r="C27" s="93"/>
      <c r="D27" s="93"/>
      <c r="E27" s="92" t="s">
        <v>89</v>
      </c>
      <c r="F27" s="92" t="s">
        <v>25</v>
      </c>
      <c r="G27" s="13" t="s">
        <v>83</v>
      </c>
      <c r="H27" s="13" t="s">
        <v>82</v>
      </c>
      <c r="I27" s="13">
        <f>SUMIF(Mercado_Receita!$S$2:$S$2102,"44531A4VerdeNão se aplicaNão se aplicaAPENão se aplicaPonta",Mercado_Receita!$L$2:$L$2102)</f>
        <v>0</v>
      </c>
      <c r="J27" s="13">
        <f>SUMIF(Mercado_Receita!$S$2:$S$2102,"44562A4VerdeNão se aplicaNão se aplicaAPENão se aplicaPonta",Mercado_Receita!$L$2:$L$2102)</f>
        <v>0</v>
      </c>
      <c r="K27" s="13">
        <f>SUMIF(Mercado_Receita!$S$2:$S$2102,"44593A4VerdeNão se aplicaNão se aplicaAPENão se aplicaPonta",Mercado_Receita!$L$2:$L$2102)</f>
        <v>0</v>
      </c>
      <c r="L27" s="13">
        <f>SUMIF(Mercado_Receita!$S$2:$S$2102,"44621A4VerdeNão se aplicaNão se aplicaAPENão se aplicaPonta",Mercado_Receita!$L$2:$L$2102)</f>
        <v>0</v>
      </c>
      <c r="M27" s="13">
        <f>SUMIF(Mercado_Receita!$S$2:$S$2102,"44652A4VerdeNão se aplicaNão se aplicaAPENão se aplicaPonta",Mercado_Receita!$L$2:$L$2102)</f>
        <v>0</v>
      </c>
      <c r="N27" s="13">
        <f>SUMIF(Mercado_Receita!$S$2:$S$2102,"44682A4VerdeNão se aplicaNão se aplicaAPENão se aplicaPonta",Mercado_Receita!$L$2:$L$2102)</f>
        <v>0</v>
      </c>
      <c r="O27" s="13">
        <f>SUMIF(Mercado_Receita!$S$2:$S$2102,"44713A4VerdeNão se aplicaNão se aplicaAPENão se aplicaPonta",Mercado_Receita!$L$2:$L$2102)</f>
        <v>0</v>
      </c>
      <c r="P27" s="13">
        <f>SUMIF(Mercado_Receita!$S$2:$S$2102,"44743A4VerdeNão se aplicaNão se aplicaAPENão se aplicaPonta",Mercado_Receita!$L$2:$L$2102)</f>
        <v>0</v>
      </c>
      <c r="Q27" s="13">
        <f>SUMIF(Mercado_Receita!$S$2:$S$2102,"44774A4VerdeNão se aplicaNão se aplicaAPENão se aplicaPonta",Mercado_Receita!$L$2:$L$2102)</f>
        <v>0</v>
      </c>
      <c r="R27" s="13">
        <f>SUMIF(Mercado_Receita!$S$2:$S$2102,"44805A4VerdeNão se aplicaNão se aplicaAPENão se aplicaPonta",Mercado_Receita!$L$2:$L$2102)</f>
        <v>0</v>
      </c>
      <c r="S27" s="13">
        <f>SUMIF(Mercado_Receita!$S$2:$S$2102,"44835A4VerdeNão se aplicaNão se aplicaAPENão se aplicaPonta",Mercado_Receita!$L$2:$L$2102)</f>
        <v>0</v>
      </c>
      <c r="T27" s="13">
        <f>SUMIF(Mercado_Receita!$S$2:$S$2102,"44866A4VerdeNão se aplicaNão se aplicaAPENão se aplicaPonta",Mercado_Receita!$L$2:$L$2102)</f>
        <v>0</v>
      </c>
      <c r="U27" s="13">
        <f t="shared" si="0"/>
        <v>0</v>
      </c>
      <c r="V27" s="13"/>
      <c r="W27" s="13"/>
    </row>
    <row r="28" spans="1:23" ht="11.25" customHeight="1" x14ac:dyDescent="0.25">
      <c r="A28" s="93"/>
      <c r="B28" s="93"/>
      <c r="C28" s="93"/>
      <c r="D28" s="93"/>
      <c r="E28" s="93"/>
      <c r="F28" s="93"/>
      <c r="G28" s="13" t="s">
        <v>84</v>
      </c>
      <c r="H28" s="13" t="s">
        <v>82</v>
      </c>
      <c r="I28" s="13">
        <f>SUMIF(Mercado_Receita!$S$2:$S$2102,"44531A4VerdeNão se aplicaNão se aplicaAPENão se aplicaFora ponta",Mercado_Receita!$L$2:$L$2102)</f>
        <v>0</v>
      </c>
      <c r="J28" s="13">
        <f>SUMIF(Mercado_Receita!$S$2:$S$2102,"44562A4VerdeNão se aplicaNão se aplicaAPENão se aplicaFora ponta",Mercado_Receita!$L$2:$L$2102)</f>
        <v>0</v>
      </c>
      <c r="K28" s="13">
        <f>SUMIF(Mercado_Receita!$S$2:$S$2102,"44593A4VerdeNão se aplicaNão se aplicaAPENão se aplicaFora ponta",Mercado_Receita!$L$2:$L$2102)</f>
        <v>0</v>
      </c>
      <c r="L28" s="13">
        <f>SUMIF(Mercado_Receita!$S$2:$S$2102,"44621A4VerdeNão se aplicaNão se aplicaAPENão se aplicaFora ponta",Mercado_Receita!$L$2:$L$2102)</f>
        <v>0</v>
      </c>
      <c r="M28" s="13">
        <f>SUMIF(Mercado_Receita!$S$2:$S$2102,"44652A4VerdeNão se aplicaNão se aplicaAPENão se aplicaFora ponta",Mercado_Receita!$L$2:$L$2102)</f>
        <v>0</v>
      </c>
      <c r="N28" s="13">
        <f>SUMIF(Mercado_Receita!$S$2:$S$2102,"44682A4VerdeNão se aplicaNão se aplicaAPENão se aplicaFora ponta",Mercado_Receita!$L$2:$L$2102)</f>
        <v>0</v>
      </c>
      <c r="O28" s="13">
        <f>SUMIF(Mercado_Receita!$S$2:$S$2102,"44713A4VerdeNão se aplicaNão se aplicaAPENão se aplicaFora ponta",Mercado_Receita!$L$2:$L$2102)</f>
        <v>0</v>
      </c>
      <c r="P28" s="13">
        <f>SUMIF(Mercado_Receita!$S$2:$S$2102,"44743A4VerdeNão se aplicaNão se aplicaAPENão se aplicaFora ponta",Mercado_Receita!$L$2:$L$2102)</f>
        <v>0</v>
      </c>
      <c r="Q28" s="13">
        <f>SUMIF(Mercado_Receita!$S$2:$S$2102,"44774A4VerdeNão se aplicaNão se aplicaAPENão se aplicaFora ponta",Mercado_Receita!$L$2:$L$2102)</f>
        <v>0</v>
      </c>
      <c r="R28" s="13">
        <f>SUMIF(Mercado_Receita!$S$2:$S$2102,"44805A4VerdeNão se aplicaNão se aplicaAPENão se aplicaFora ponta",Mercado_Receita!$L$2:$L$2102)</f>
        <v>0</v>
      </c>
      <c r="S28" s="13">
        <f>SUMIF(Mercado_Receita!$S$2:$S$2102,"44835A4VerdeNão se aplicaNão se aplicaAPENão se aplicaFora ponta",Mercado_Receita!$L$2:$L$2102)</f>
        <v>0</v>
      </c>
      <c r="T28" s="13">
        <f>SUMIF(Mercado_Receita!$S$2:$S$2102,"44866A4VerdeNão se aplicaNão se aplicaAPENão se aplicaFora ponta",Mercado_Receita!$L$2:$L$2102)</f>
        <v>0</v>
      </c>
      <c r="U28" s="13">
        <f t="shared" si="0"/>
        <v>0</v>
      </c>
      <c r="V28" s="13"/>
      <c r="W28" s="13"/>
    </row>
    <row r="29" spans="1:23" ht="11.25" customHeight="1" x14ac:dyDescent="0.25">
      <c r="A29" s="92" t="s">
        <v>95</v>
      </c>
      <c r="B29" s="92" t="s">
        <v>91</v>
      </c>
      <c r="C29" s="92" t="s">
        <v>25</v>
      </c>
      <c r="D29" s="92" t="s">
        <v>25</v>
      </c>
      <c r="E29" s="12" t="s">
        <v>96</v>
      </c>
      <c r="F29" s="12" t="s">
        <v>25</v>
      </c>
      <c r="G29" s="13" t="s">
        <v>9</v>
      </c>
      <c r="H29" s="13" t="s">
        <v>85</v>
      </c>
      <c r="I29" s="13">
        <f>SUMIF(Mercado_Receita!$S$2:$S$2102,"44531BGeraçãoNão se aplicaNão se aplicaTIPO 01Não se aplicaNão se aplica",Mercado_Receita!$J$2:$J$2102)+SUMIF(Mercado_Receita!$S$2:$S$2102,"44531BGeraçãoNão se aplicaNão se aplicaAPENão se aplicaNão se aplica",Mercado_Receita!$J$2:$J$2102)</f>
        <v>0</v>
      </c>
      <c r="J29" s="13">
        <f>SUMIF(Mercado_Receita!$S$2:$S$2102,"44562BGeraçãoNão se aplicaNão se aplicaTIPO 01Não se aplicaNão se aplica",Mercado_Receita!$J$2:$J$2102)+SUMIF(Mercado_Receita!$S$2:$S$2102,"44562BGeraçãoNão se aplicaNão se aplicaAPENão se aplicaNão se aplica",Mercado_Receita!$J$2:$J$2102)</f>
        <v>0</v>
      </c>
      <c r="K29" s="13">
        <f>SUMIF(Mercado_Receita!$S$2:$S$2102,"44593BGeraçãoNão se aplicaNão se aplicaTIPO 01Não se aplicaNão se aplica",Mercado_Receita!$J$2:$J$2102)+SUMIF(Mercado_Receita!$S$2:$S$2102,"44593BGeraçãoNão se aplicaNão se aplicaAPENão se aplicaNão se aplica",Mercado_Receita!$J$2:$J$2102)</f>
        <v>0</v>
      </c>
      <c r="L29" s="13">
        <f>SUMIF(Mercado_Receita!$S$2:$S$2102,"44621BGeraçãoNão se aplicaNão se aplicaTIPO 01Não se aplicaNão se aplica",Mercado_Receita!$J$2:$J$2102)+SUMIF(Mercado_Receita!$S$2:$S$2102,"44621BGeraçãoNão se aplicaNão se aplicaAPENão se aplicaNão se aplica",Mercado_Receita!$J$2:$J$2102)</f>
        <v>0</v>
      </c>
      <c r="M29" s="13">
        <f>SUMIF(Mercado_Receita!$S$2:$S$2102,"44652BGeraçãoNão se aplicaNão se aplicaTIPO 01Não se aplicaNão se aplica",Mercado_Receita!$J$2:$J$2102)+SUMIF(Mercado_Receita!$S$2:$S$2102,"44652BGeraçãoNão se aplicaNão se aplicaAPENão se aplicaNão se aplica",Mercado_Receita!$J$2:$J$2102)</f>
        <v>0</v>
      </c>
      <c r="N29" s="13">
        <f>SUMIF(Mercado_Receita!$S$2:$S$2102,"44682BGeraçãoNão se aplicaNão se aplicaTIPO 01Não se aplicaNão se aplica",Mercado_Receita!$J$2:$J$2102)+SUMIF(Mercado_Receita!$S$2:$S$2102,"44682BGeraçãoNão se aplicaNão se aplicaAPENão se aplicaNão se aplica",Mercado_Receita!$J$2:$J$2102)</f>
        <v>0</v>
      </c>
      <c r="O29" s="13">
        <f>SUMIF(Mercado_Receita!$S$2:$S$2102,"44713BGeraçãoNão se aplicaNão se aplicaTIPO 01Não se aplicaNão se aplica",Mercado_Receita!$J$2:$J$2102)+SUMIF(Mercado_Receita!$S$2:$S$2102,"44713BGeraçãoNão se aplicaNão se aplicaAPENão se aplicaNão se aplica",Mercado_Receita!$J$2:$J$2102)</f>
        <v>0</v>
      </c>
      <c r="P29" s="13">
        <f>SUMIF(Mercado_Receita!$S$2:$S$2102,"44743BGeraçãoNão se aplicaNão se aplicaTIPO 01Não se aplicaNão se aplica",Mercado_Receita!$J$2:$J$2102)+SUMIF(Mercado_Receita!$S$2:$S$2102,"44743BGeraçãoNão se aplicaNão se aplicaAPENão se aplicaNão se aplica",Mercado_Receita!$J$2:$J$2102)</f>
        <v>0</v>
      </c>
      <c r="Q29" s="13">
        <f>SUMIF(Mercado_Receita!$S$2:$S$2102,"44774BGeraçãoNão se aplicaNão se aplicaTIPO 01Não se aplicaNão se aplica",Mercado_Receita!$J$2:$J$2102)+SUMIF(Mercado_Receita!$S$2:$S$2102,"44774BGeraçãoNão se aplicaNão se aplicaAPENão se aplicaNão se aplica",Mercado_Receita!$J$2:$J$2102)</f>
        <v>0</v>
      </c>
      <c r="R29" s="13">
        <f>SUMIF(Mercado_Receita!$S$2:$S$2102,"44805BGeraçãoNão se aplicaNão se aplicaTIPO 01Não se aplicaNão se aplica",Mercado_Receita!$J$2:$J$2102)+SUMIF(Mercado_Receita!$S$2:$S$2102,"44805BGeraçãoNão se aplicaNão se aplicaAPENão se aplicaNão se aplica",Mercado_Receita!$J$2:$J$2102)</f>
        <v>0</v>
      </c>
      <c r="S29" s="13">
        <f>SUMIF(Mercado_Receita!$S$2:$S$2102,"44835BGeraçãoNão se aplicaNão se aplicaTIPO 01Não se aplicaNão se aplica",Mercado_Receita!$J$2:$J$2102)+SUMIF(Mercado_Receita!$S$2:$S$2102,"44835BGeraçãoNão se aplicaNão se aplicaAPENão se aplicaNão se aplica",Mercado_Receita!$J$2:$J$2102)</f>
        <v>0</v>
      </c>
      <c r="T29" s="13">
        <f>SUMIF(Mercado_Receita!$S$2:$S$2102,"44866BGeraçãoNão se aplicaNão se aplicaTIPO 01Não se aplicaNão se aplica",Mercado_Receita!$J$2:$J$2102)+SUMIF(Mercado_Receita!$S$2:$S$2102,"44866BGeraçãoNão se aplicaNão se aplicaAPENão se aplicaNão se aplica",Mercado_Receita!$J$2:$J$2102)</f>
        <v>0</v>
      </c>
      <c r="U29" s="13">
        <f t="shared" si="0"/>
        <v>0</v>
      </c>
      <c r="V29" s="13"/>
      <c r="W29" s="13"/>
    </row>
    <row r="30" spans="1:23" ht="11.25" customHeight="1" x14ac:dyDescent="0.25">
      <c r="A30" s="93"/>
      <c r="B30" s="93"/>
      <c r="C30" s="93"/>
      <c r="D30" s="93"/>
      <c r="E30" s="12" t="s">
        <v>97</v>
      </c>
      <c r="F30" s="12" t="s">
        <v>25</v>
      </c>
      <c r="G30" s="13" t="s">
        <v>9</v>
      </c>
      <c r="H30" s="13" t="s">
        <v>85</v>
      </c>
      <c r="I30" s="13">
        <f>SUMIF(Mercado_Receita!$S$2:$S$2102,"44531BGeraçãoNão se aplicaNão se aplicaTIPO 02Não se aplicaNão se aplica",Mercado_Receita!$J$2:$J$2102)+SUMIF(Mercado_Receita!$S$2:$S$2102,"44531BGeraçãoNão se aplicaNão se aplicaAPENão se aplicaNão se aplica",Mercado_Receita!$J$2:$J$2102)</f>
        <v>0</v>
      </c>
      <c r="J30" s="13">
        <f>SUMIF(Mercado_Receita!$S$2:$S$2102,"44562BGeraçãoNão se aplicaNão se aplicaTIPO 02Não se aplicaNão se aplica",Mercado_Receita!$J$2:$J$2102)+SUMIF(Mercado_Receita!$S$2:$S$2102,"44562BGeraçãoNão se aplicaNão se aplicaAPENão se aplicaNão se aplica",Mercado_Receita!$J$2:$J$2102)</f>
        <v>0</v>
      </c>
      <c r="K30" s="13">
        <f>SUMIF(Mercado_Receita!$S$2:$S$2102,"44593BGeraçãoNão se aplicaNão se aplicaTIPO 02Não se aplicaNão se aplica",Mercado_Receita!$J$2:$J$2102)+SUMIF(Mercado_Receita!$S$2:$S$2102,"44593BGeraçãoNão se aplicaNão se aplicaAPENão se aplicaNão se aplica",Mercado_Receita!$J$2:$J$2102)</f>
        <v>0</v>
      </c>
      <c r="L30" s="13">
        <f>SUMIF(Mercado_Receita!$S$2:$S$2102,"44621BGeraçãoNão se aplicaNão se aplicaTIPO 02Não se aplicaNão se aplica",Mercado_Receita!$J$2:$J$2102)+SUMIF(Mercado_Receita!$S$2:$S$2102,"44621BGeraçãoNão se aplicaNão se aplicaAPENão se aplicaNão se aplica",Mercado_Receita!$J$2:$J$2102)</f>
        <v>0</v>
      </c>
      <c r="M30" s="13">
        <f>SUMIF(Mercado_Receita!$S$2:$S$2102,"44652BGeraçãoNão se aplicaNão se aplicaTIPO 02Não se aplicaNão se aplica",Mercado_Receita!$J$2:$J$2102)+SUMIF(Mercado_Receita!$S$2:$S$2102,"44652BGeraçãoNão se aplicaNão se aplicaAPENão se aplicaNão se aplica",Mercado_Receita!$J$2:$J$2102)</f>
        <v>0</v>
      </c>
      <c r="N30" s="13">
        <f>SUMIF(Mercado_Receita!$S$2:$S$2102,"44682BGeraçãoNão se aplicaNão se aplicaTIPO 02Não se aplicaNão se aplica",Mercado_Receita!$J$2:$J$2102)+SUMIF(Mercado_Receita!$S$2:$S$2102,"44682BGeraçãoNão se aplicaNão se aplicaAPENão se aplicaNão se aplica",Mercado_Receita!$J$2:$J$2102)</f>
        <v>0</v>
      </c>
      <c r="O30" s="13">
        <f>SUMIF(Mercado_Receita!$S$2:$S$2102,"44713BGeraçãoNão se aplicaNão se aplicaTIPO 02Não se aplicaNão se aplica",Mercado_Receita!$J$2:$J$2102)+SUMIF(Mercado_Receita!$S$2:$S$2102,"44713BGeraçãoNão se aplicaNão se aplicaAPENão se aplicaNão se aplica",Mercado_Receita!$J$2:$J$2102)</f>
        <v>0</v>
      </c>
      <c r="P30" s="13">
        <f>SUMIF(Mercado_Receita!$S$2:$S$2102,"44743BGeraçãoNão se aplicaNão se aplicaTIPO 02Não se aplicaNão se aplica",Mercado_Receita!$J$2:$J$2102)+SUMIF(Mercado_Receita!$S$2:$S$2102,"44743BGeraçãoNão se aplicaNão se aplicaAPENão se aplicaNão se aplica",Mercado_Receita!$J$2:$J$2102)</f>
        <v>0</v>
      </c>
      <c r="Q30" s="13">
        <f>SUMIF(Mercado_Receita!$S$2:$S$2102,"44774BGeraçãoNão se aplicaNão se aplicaTIPO 02Não se aplicaNão se aplica",Mercado_Receita!$J$2:$J$2102)+SUMIF(Mercado_Receita!$S$2:$S$2102,"44774BGeraçãoNão se aplicaNão se aplicaAPENão se aplicaNão se aplica",Mercado_Receita!$J$2:$J$2102)</f>
        <v>0</v>
      </c>
      <c r="R30" s="13">
        <f>SUMIF(Mercado_Receita!$S$2:$S$2102,"44805BGeraçãoNão se aplicaNão se aplicaTIPO 02Não se aplicaNão se aplica",Mercado_Receita!$J$2:$J$2102)+SUMIF(Mercado_Receita!$S$2:$S$2102,"44805BGeraçãoNão se aplicaNão se aplicaAPENão se aplicaNão se aplica",Mercado_Receita!$J$2:$J$2102)</f>
        <v>0</v>
      </c>
      <c r="S30" s="13">
        <f>SUMIF(Mercado_Receita!$S$2:$S$2102,"44835BGeraçãoNão se aplicaNão se aplicaTIPO 02Não se aplicaNão se aplica",Mercado_Receita!$J$2:$J$2102)+SUMIF(Mercado_Receita!$S$2:$S$2102,"44835BGeraçãoNão se aplicaNão se aplicaAPENão se aplicaNão se aplica",Mercado_Receita!$J$2:$J$2102)</f>
        <v>0</v>
      </c>
      <c r="T30" s="13">
        <f>SUMIF(Mercado_Receita!$S$2:$S$2102,"44866BGeraçãoNão se aplicaNão se aplicaTIPO 02Não se aplicaNão se aplica",Mercado_Receita!$J$2:$J$2102)+SUMIF(Mercado_Receita!$S$2:$S$2102,"44866BGeraçãoNão se aplicaNão se aplicaAPENão se aplicaNão se aplica",Mercado_Receita!$J$2:$J$2102)</f>
        <v>0</v>
      </c>
      <c r="U30" s="13">
        <f t="shared" si="0"/>
        <v>0</v>
      </c>
      <c r="V30" s="13"/>
      <c r="W30" s="13"/>
    </row>
    <row r="31" spans="1:23" ht="11.25" customHeight="1" x14ac:dyDescent="0.25">
      <c r="A31" s="92" t="s">
        <v>22</v>
      </c>
      <c r="B31" s="92" t="s">
        <v>35</v>
      </c>
      <c r="C31" s="92" t="s">
        <v>24</v>
      </c>
      <c r="D31" s="92" t="s">
        <v>24</v>
      </c>
      <c r="E31" s="92" t="s">
        <v>25</v>
      </c>
      <c r="F31" s="92" t="s">
        <v>25</v>
      </c>
      <c r="G31" s="13" t="s">
        <v>83</v>
      </c>
      <c r="H31" s="13" t="s">
        <v>82</v>
      </c>
      <c r="I31" s="13">
        <f>SUMIF(Mercado_Receita!$S$2:$S$2102,"44531B1BrancaResidencialResidencialNão se aplicaNão se aplicaPonta",Mercado_Receita!$L$2:$L$2102)</f>
        <v>3.8340000000000001</v>
      </c>
      <c r="J31" s="13">
        <f>SUMIF(Mercado_Receita!$S$2:$S$2102,"44562B1BrancaResidencialResidencialNão se aplicaNão se aplicaPonta",Mercado_Receita!$L$2:$L$2102)</f>
        <v>3.4099999999999997</v>
      </c>
      <c r="K31" s="13">
        <f>SUMIF(Mercado_Receita!$S$2:$S$2102,"44593B1BrancaResidencialResidencialNão se aplicaNão se aplicaPonta",Mercado_Receita!$L$2:$L$2102)</f>
        <v>3.468</v>
      </c>
      <c r="L31" s="13">
        <f>SUMIF(Mercado_Receita!$S$2:$S$2102,"44621B1BrancaResidencialResidencialNão se aplicaNão se aplicaPonta",Mercado_Receita!$L$2:$L$2102)</f>
        <v>8.0060000000000002</v>
      </c>
      <c r="M31" s="13">
        <f>SUMIF(Mercado_Receita!$S$2:$S$2102,"44652B1BrancaResidencialResidencialNão se aplicaNão se aplicaPonta",Mercado_Receita!$L$2:$L$2102)</f>
        <v>1.1220000000000001</v>
      </c>
      <c r="N31" s="13">
        <f>SUMIF(Mercado_Receita!$S$2:$S$2102,"44682B1BrancaResidencialResidencialNão se aplicaNão se aplicaPonta",Mercado_Receita!$L$2:$L$2102)</f>
        <v>4.125</v>
      </c>
      <c r="O31" s="13">
        <f>SUMIF(Mercado_Receita!$S$2:$S$2102,"44713B1BrancaResidencialResidencialNão se aplicaNão se aplicaPonta",Mercado_Receita!$L$2:$L$2102)</f>
        <v>3.7450000000000001</v>
      </c>
      <c r="P31" s="13">
        <f>SUMIF(Mercado_Receita!$S$2:$S$2102,"44743B1BrancaResidencialResidencialNão se aplicaNão se aplicaPonta",Mercado_Receita!$L$2:$L$2102)</f>
        <v>4.0759999999999996</v>
      </c>
      <c r="Q31" s="13">
        <f>SUMIF(Mercado_Receita!$S$2:$S$2102,"44774B1BrancaResidencialResidencialNão se aplicaNão se aplicaPonta",Mercado_Receita!$L$2:$L$2102)</f>
        <v>4.6449999999999996</v>
      </c>
      <c r="R31" s="13">
        <f>SUMIF(Mercado_Receita!$S$2:$S$2102,"44805B1BrancaResidencialResidencialNão se aplicaNão se aplicaPonta",Mercado_Receita!$L$2:$L$2102)</f>
        <v>5.556</v>
      </c>
      <c r="S31" s="13">
        <f>SUMIF(Mercado_Receita!$S$2:$S$2102,"44835B1BrancaResidencialResidencialNão se aplicaNão se aplicaPonta",Mercado_Receita!$L$2:$L$2102)</f>
        <v>4.7279999999999998</v>
      </c>
      <c r="T31" s="13">
        <f>SUMIF(Mercado_Receita!$S$2:$S$2102,"44866B1BrancaResidencialResidencialNão se aplicaNão se aplicaPonta",Mercado_Receita!$L$2:$L$2102)</f>
        <v>4.7279999999999998</v>
      </c>
      <c r="U31" s="13">
        <f t="shared" si="0"/>
        <v>51.442999999999998</v>
      </c>
      <c r="V31" s="13"/>
      <c r="W31" s="13"/>
    </row>
    <row r="32" spans="1:23" ht="11.25" customHeight="1" x14ac:dyDescent="0.25">
      <c r="A32" s="93"/>
      <c r="B32" s="93"/>
      <c r="C32" s="93"/>
      <c r="D32" s="93"/>
      <c r="E32" s="93"/>
      <c r="F32" s="93"/>
      <c r="G32" s="13" t="s">
        <v>98</v>
      </c>
      <c r="H32" s="13" t="s">
        <v>82</v>
      </c>
      <c r="I32" s="13">
        <f>SUMIF(Mercado_Receita!$S$2:$S$2102,"44531B1BrancaResidencialResidencialNão se aplicaNão se aplicaIntermediário",Mercado_Receita!$L$2:$L$2102)</f>
        <v>1.2670000000000001</v>
      </c>
      <c r="J32" s="13">
        <f>SUMIF(Mercado_Receita!$S$2:$S$2102,"44562B1BrancaResidencialResidencialNão se aplicaNão se aplicaIntermediário",Mercado_Receita!$L$2:$L$2102)</f>
        <v>0.86</v>
      </c>
      <c r="K32" s="13">
        <f>SUMIF(Mercado_Receita!$S$2:$S$2102,"44593B1BrancaResidencialResidencialNão se aplicaNão se aplicaIntermediário",Mercado_Receita!$L$2:$L$2102)</f>
        <v>0.754</v>
      </c>
      <c r="L32" s="13">
        <f>SUMIF(Mercado_Receita!$S$2:$S$2102,"44621B1BrancaResidencialResidencialNão se aplicaNão se aplicaIntermediário",Mercado_Receita!$L$2:$L$2102)</f>
        <v>2.0790000000000002</v>
      </c>
      <c r="M32" s="13">
        <f>SUMIF(Mercado_Receita!$S$2:$S$2102,"44652B1BrancaResidencialResidencialNão se aplicaNão se aplicaIntermediário",Mercado_Receita!$L$2:$L$2102)</f>
        <v>1.0929999999999997</v>
      </c>
      <c r="N32" s="13">
        <f>SUMIF(Mercado_Receita!$S$2:$S$2102,"44682B1BrancaResidencialResidencialNão se aplicaNão se aplicaIntermediário",Mercado_Receita!$L$2:$L$2102)</f>
        <v>1.3160000000000001</v>
      </c>
      <c r="O32" s="13">
        <f>SUMIF(Mercado_Receita!$S$2:$S$2102,"44713B1BrancaResidencialResidencialNão se aplicaNão se aplicaIntermediário",Mercado_Receita!$L$2:$L$2102)</f>
        <v>1.4079999999999999</v>
      </c>
      <c r="P32" s="13">
        <f>SUMIF(Mercado_Receita!$S$2:$S$2102,"44743B1BrancaResidencialResidencialNão se aplicaNão se aplicaIntermediário",Mercado_Receita!$L$2:$L$2102)</f>
        <v>1.325</v>
      </c>
      <c r="Q32" s="13">
        <f>SUMIF(Mercado_Receita!$S$2:$S$2102,"44774B1BrancaResidencialResidencialNão se aplicaNão se aplicaIntermediário",Mercado_Receita!$L$2:$L$2102)</f>
        <v>1.7069999999999996</v>
      </c>
      <c r="R32" s="13">
        <f>SUMIF(Mercado_Receita!$S$2:$S$2102,"44805B1BrancaResidencialResidencialNão se aplicaNão se aplicaIntermediário",Mercado_Receita!$L$2:$L$2102)</f>
        <v>1.1939999999999997</v>
      </c>
      <c r="S32" s="13">
        <f>SUMIF(Mercado_Receita!$S$2:$S$2102,"44835B1BrancaResidencialResidencialNão se aplicaNão se aplicaIntermediário",Mercado_Receita!$L$2:$L$2102)</f>
        <v>1.9730000000000001</v>
      </c>
      <c r="T32" s="13">
        <f>SUMIF(Mercado_Receita!$S$2:$S$2102,"44866B1BrancaResidencialResidencialNão se aplicaNão se aplicaIntermediário",Mercado_Receita!$L$2:$L$2102)</f>
        <v>1.9730000000000001</v>
      </c>
      <c r="U32" s="13">
        <f t="shared" si="0"/>
        <v>16.948999999999998</v>
      </c>
      <c r="V32" s="13"/>
      <c r="W32" s="13"/>
    </row>
    <row r="33" spans="1:23" ht="11.25" customHeight="1" x14ac:dyDescent="0.25">
      <c r="A33" s="93"/>
      <c r="B33" s="93"/>
      <c r="C33" s="93"/>
      <c r="D33" s="93"/>
      <c r="E33" s="93"/>
      <c r="F33" s="93"/>
      <c r="G33" s="13" t="s">
        <v>84</v>
      </c>
      <c r="H33" s="13" t="s">
        <v>82</v>
      </c>
      <c r="I33" s="13">
        <f>SUMIF(Mercado_Receita!$S$2:$S$2102,"44531B1BrancaResidencialResidencialNão se aplicaNão se aplicaFora ponta",Mercado_Receita!$L$2:$L$2102)</f>
        <v>36.981999999999999</v>
      </c>
      <c r="J33" s="13">
        <f>SUMIF(Mercado_Receita!$S$2:$S$2102,"44562B1BrancaResidencialResidencialNão se aplicaNão se aplicaFora ponta",Mercado_Receita!$L$2:$L$2102)</f>
        <v>36.811</v>
      </c>
      <c r="K33" s="13">
        <f>SUMIF(Mercado_Receita!$S$2:$S$2102,"44593B1BrancaResidencialResidencialNão se aplicaNão se aplicaFora ponta",Mercado_Receita!$L$2:$L$2102)</f>
        <v>33.597999999999999</v>
      </c>
      <c r="L33" s="13">
        <f>SUMIF(Mercado_Receita!$S$2:$S$2102,"44621B1BrancaResidencialResidencialNão se aplicaNão se aplicaFora ponta",Mercado_Receita!$L$2:$L$2102)</f>
        <v>34.762000000000008</v>
      </c>
      <c r="M33" s="13">
        <f>SUMIF(Mercado_Receita!$S$2:$S$2102,"44652B1BrancaResidencialResidencialNão se aplicaNão se aplicaFora ponta",Mercado_Receita!$L$2:$L$2102)</f>
        <v>35.46</v>
      </c>
      <c r="N33" s="13">
        <f>SUMIF(Mercado_Receita!$S$2:$S$2102,"44682B1BrancaResidencialResidencialNão se aplicaNão se aplicaFora ponta",Mercado_Receita!$L$2:$L$2102)</f>
        <v>42.865000000000002</v>
      </c>
      <c r="O33" s="13">
        <f>SUMIF(Mercado_Receita!$S$2:$S$2102,"44713B1BrancaResidencialResidencialNão se aplicaNão se aplicaFora ponta",Mercado_Receita!$L$2:$L$2102)</f>
        <v>36.928000000000004</v>
      </c>
      <c r="P33" s="13">
        <f>SUMIF(Mercado_Receita!$S$2:$S$2102,"44743B1BrancaResidencialResidencialNão se aplicaNão se aplicaFora ponta",Mercado_Receita!$L$2:$L$2102)</f>
        <v>41.156000000000006</v>
      </c>
      <c r="Q33" s="13">
        <f>SUMIF(Mercado_Receita!$S$2:$S$2102,"44774B1BrancaResidencialResidencialNão se aplicaNão se aplicaFora ponta",Mercado_Receita!$L$2:$L$2102)</f>
        <v>46.488</v>
      </c>
      <c r="R33" s="13">
        <f>SUMIF(Mercado_Receita!$S$2:$S$2102,"44805B1BrancaResidencialResidencialNão se aplicaNão se aplicaFora ponta",Mercado_Receita!$L$2:$L$2102)</f>
        <v>45.06</v>
      </c>
      <c r="S33" s="13">
        <f>SUMIF(Mercado_Receita!$S$2:$S$2102,"44835B1BrancaResidencialResidencialNão se aplicaNão se aplicaFora ponta",Mercado_Receita!$L$2:$L$2102)</f>
        <v>50.042999999999992</v>
      </c>
      <c r="T33" s="13">
        <f>SUMIF(Mercado_Receita!$S$2:$S$2102,"44866B1BrancaResidencialResidencialNão se aplicaNão se aplicaFora ponta",Mercado_Receita!$L$2:$L$2102)</f>
        <v>50.042999999999992</v>
      </c>
      <c r="U33" s="13">
        <f t="shared" si="0"/>
        <v>490.19600000000008</v>
      </c>
      <c r="V33" s="13"/>
      <c r="W33" s="13"/>
    </row>
    <row r="34" spans="1:23" ht="11.25" customHeight="1" x14ac:dyDescent="0.25">
      <c r="A34" s="93"/>
      <c r="B34" s="92" t="s">
        <v>23</v>
      </c>
      <c r="C34" s="92" t="s">
        <v>24</v>
      </c>
      <c r="D34" s="12" t="s">
        <v>24</v>
      </c>
      <c r="E34" s="12" t="s">
        <v>25</v>
      </c>
      <c r="F34" s="12" t="s">
        <v>25</v>
      </c>
      <c r="G34" s="13" t="s">
        <v>88</v>
      </c>
      <c r="H34" s="13" t="s">
        <v>82</v>
      </c>
      <c r="I34" s="13">
        <f>SUMIF(Mercado_Receita!$S$2:$S$2102,"44531B1ConvencionalResidencialResidencialNão se aplicaNão se aplicaPonta",Mercado_Receita!$L$2:$L$2102)+SUMIF(Mercado_Receita!$S$2:$S$2102,"44531B1ConvencionalResidencialResidencialNão se aplicaNão se aplicaFora ponta",Mercado_Receita!$L$2:$L$2102)+SUMIF(Mercado_Receita!$S$2:$S$2102,"44531B1ConvencionalResidencialResidencialNão se aplicaNão se aplicaIntermediário",Mercado_Receita!$L$2:$L$2102)+SUMIF(Mercado_Receita!$S$2:$S$2102,"44531B1ConvencionalResidencialResidencialNão se aplicaNão se aplicaNão se aplica",Mercado_Receita!$L$2:$L$2102)</f>
        <v>37036.048999999999</v>
      </c>
      <c r="J34" s="13">
        <f>SUMIF(Mercado_Receita!$S$2:$S$2102,"44562B1ConvencionalResidencialResidencialNão se aplicaNão se aplicaPonta",Mercado_Receita!$L$2:$L$2102)+SUMIF(Mercado_Receita!$S$2:$S$2102,"44562B1ConvencionalResidencialResidencialNão se aplicaNão se aplicaFora ponta",Mercado_Receita!$L$2:$L$2102)+SUMIF(Mercado_Receita!$S$2:$S$2102,"44562B1ConvencionalResidencialResidencialNão se aplicaNão se aplicaIntermediário",Mercado_Receita!$L$2:$L$2102)+SUMIF(Mercado_Receita!$S$2:$S$2102,"44562B1ConvencionalResidencialResidencialNão se aplicaNão se aplicaNão se aplica",Mercado_Receita!$L$2:$L$2102)</f>
        <v>37455.951000000001</v>
      </c>
      <c r="K34" s="13">
        <f>SUMIF(Mercado_Receita!$S$2:$S$2102,"44593B1ConvencionalResidencialResidencialNão se aplicaNão se aplicaPonta",Mercado_Receita!$L$2:$L$2102)+SUMIF(Mercado_Receita!$S$2:$S$2102,"44593B1ConvencionalResidencialResidencialNão se aplicaNão se aplicaFora ponta",Mercado_Receita!$L$2:$L$2102)+SUMIF(Mercado_Receita!$S$2:$S$2102,"44593B1ConvencionalResidencialResidencialNão se aplicaNão se aplicaIntermediário",Mercado_Receita!$L$2:$L$2102)+SUMIF(Mercado_Receita!$S$2:$S$2102,"44593B1ConvencionalResidencialResidencialNão se aplicaNão se aplicaNão se aplica",Mercado_Receita!$L$2:$L$2102)</f>
        <v>33803.551000000007</v>
      </c>
      <c r="L34" s="13">
        <f>SUMIF(Mercado_Receita!$S$2:$S$2102,"44621B1ConvencionalResidencialResidencialNão se aplicaNão se aplicaPonta",Mercado_Receita!$L$2:$L$2102)+SUMIF(Mercado_Receita!$S$2:$S$2102,"44621B1ConvencionalResidencialResidencialNão se aplicaNão se aplicaFora ponta",Mercado_Receita!$L$2:$L$2102)+SUMIF(Mercado_Receita!$S$2:$S$2102,"44621B1ConvencionalResidencialResidencialNão se aplicaNão se aplicaIntermediário",Mercado_Receita!$L$2:$L$2102)+SUMIF(Mercado_Receita!$S$2:$S$2102,"44621B1ConvencionalResidencialResidencialNão se aplicaNão se aplicaNão se aplica",Mercado_Receita!$L$2:$L$2102)</f>
        <v>34720.167000000001</v>
      </c>
      <c r="M34" s="13">
        <f>SUMIF(Mercado_Receita!$S$2:$S$2102,"44652B1ConvencionalResidencialResidencialNão se aplicaNão se aplicaPonta",Mercado_Receita!$L$2:$L$2102)+SUMIF(Mercado_Receita!$S$2:$S$2102,"44652B1ConvencionalResidencialResidencialNão se aplicaNão se aplicaFora ponta",Mercado_Receita!$L$2:$L$2102)+SUMIF(Mercado_Receita!$S$2:$S$2102,"44652B1ConvencionalResidencialResidencialNão se aplicaNão se aplicaIntermediário",Mercado_Receita!$L$2:$L$2102)+SUMIF(Mercado_Receita!$S$2:$S$2102,"44652B1ConvencionalResidencialResidencialNão se aplicaNão se aplicaNão se aplica",Mercado_Receita!$L$2:$L$2102)</f>
        <v>34350.619999999995</v>
      </c>
      <c r="N34" s="13">
        <f>SUMIF(Mercado_Receita!$S$2:$S$2102,"44682B1ConvencionalResidencialResidencialNão se aplicaNão se aplicaPonta",Mercado_Receita!$L$2:$L$2102)+SUMIF(Mercado_Receita!$S$2:$S$2102,"44682B1ConvencionalResidencialResidencialNão se aplicaNão se aplicaFora ponta",Mercado_Receita!$L$2:$L$2102)+SUMIF(Mercado_Receita!$S$2:$S$2102,"44682B1ConvencionalResidencialResidencialNão se aplicaNão se aplicaIntermediário",Mercado_Receita!$L$2:$L$2102)+SUMIF(Mercado_Receita!$S$2:$S$2102,"44682B1ConvencionalResidencialResidencialNão se aplicaNão se aplicaNão se aplica",Mercado_Receita!$L$2:$L$2102)</f>
        <v>36424.966999999997</v>
      </c>
      <c r="O34" s="13">
        <f>SUMIF(Mercado_Receita!$S$2:$S$2102,"44713B1ConvencionalResidencialResidencialNão se aplicaNão se aplicaPonta",Mercado_Receita!$L$2:$L$2102)+SUMIF(Mercado_Receita!$S$2:$S$2102,"44713B1ConvencionalResidencialResidencialNão se aplicaNão se aplicaFora ponta",Mercado_Receita!$L$2:$L$2102)+SUMIF(Mercado_Receita!$S$2:$S$2102,"44713B1ConvencionalResidencialResidencialNão se aplicaNão se aplicaIntermediário",Mercado_Receita!$L$2:$L$2102)+SUMIF(Mercado_Receita!$S$2:$S$2102,"44713B1ConvencionalResidencialResidencialNão se aplicaNão se aplicaNão se aplica",Mercado_Receita!$L$2:$L$2102)</f>
        <v>32675.464</v>
      </c>
      <c r="P34" s="13">
        <f>SUMIF(Mercado_Receita!$S$2:$S$2102,"44743B1ConvencionalResidencialResidencialNão se aplicaNão se aplicaPonta",Mercado_Receita!$L$2:$L$2102)+SUMIF(Mercado_Receita!$S$2:$S$2102,"44743B1ConvencionalResidencialResidencialNão se aplicaNão se aplicaFora ponta",Mercado_Receita!$L$2:$L$2102)+SUMIF(Mercado_Receita!$S$2:$S$2102,"44743B1ConvencionalResidencialResidencialNão se aplicaNão se aplicaIntermediário",Mercado_Receita!$L$2:$L$2102)+SUMIF(Mercado_Receita!$S$2:$S$2102,"44743B1ConvencionalResidencialResidencialNão se aplicaNão se aplicaNão se aplica",Mercado_Receita!$L$2:$L$2102)</f>
        <v>36779.915000000001</v>
      </c>
      <c r="Q34" s="13">
        <f>SUMIF(Mercado_Receita!$S$2:$S$2102,"44774B1ConvencionalResidencialResidencialNão se aplicaNão se aplicaPonta",Mercado_Receita!$L$2:$L$2102)+SUMIF(Mercado_Receita!$S$2:$S$2102,"44774B1ConvencionalResidencialResidencialNão se aplicaNão se aplicaFora ponta",Mercado_Receita!$L$2:$L$2102)+SUMIF(Mercado_Receita!$S$2:$S$2102,"44774B1ConvencionalResidencialResidencialNão se aplicaNão se aplicaIntermediário",Mercado_Receita!$L$2:$L$2102)+SUMIF(Mercado_Receita!$S$2:$S$2102,"44774B1ConvencionalResidencialResidencialNão se aplicaNão se aplicaNão se aplica",Mercado_Receita!$L$2:$L$2102)</f>
        <v>39071.4</v>
      </c>
      <c r="R34" s="13">
        <f>SUMIF(Mercado_Receita!$S$2:$S$2102,"44805B1ConvencionalResidencialResidencialNão se aplicaNão se aplicaPonta",Mercado_Receita!$L$2:$L$2102)+SUMIF(Mercado_Receita!$S$2:$S$2102,"44805B1ConvencionalResidencialResidencialNão se aplicaNão se aplicaFora ponta",Mercado_Receita!$L$2:$L$2102)+SUMIF(Mercado_Receita!$S$2:$S$2102,"44805B1ConvencionalResidencialResidencialNão se aplicaNão se aplicaIntermediário",Mercado_Receita!$L$2:$L$2102)+SUMIF(Mercado_Receita!$S$2:$S$2102,"44805B1ConvencionalResidencialResidencialNão se aplicaNão se aplicaNão se aplica",Mercado_Receita!$L$2:$L$2102)</f>
        <v>37677.941999999995</v>
      </c>
      <c r="S34" s="13">
        <f>SUMIF(Mercado_Receita!$S$2:$S$2102,"44835B1ConvencionalResidencialResidencialNão se aplicaNão se aplicaPonta",Mercado_Receita!$L$2:$L$2102)+SUMIF(Mercado_Receita!$S$2:$S$2102,"44835B1ConvencionalResidencialResidencialNão se aplicaNão se aplicaFora ponta",Mercado_Receita!$L$2:$L$2102)+SUMIF(Mercado_Receita!$S$2:$S$2102,"44835B1ConvencionalResidencialResidencialNão se aplicaNão se aplicaIntermediário",Mercado_Receita!$L$2:$L$2102)+SUMIF(Mercado_Receita!$S$2:$S$2102,"44835B1ConvencionalResidencialResidencialNão se aplicaNão se aplicaNão se aplica",Mercado_Receita!$L$2:$L$2102)</f>
        <v>40661.111999999994</v>
      </c>
      <c r="T34" s="13">
        <f>SUMIF(Mercado_Receita!$S$2:$S$2102,"44866B1ConvencionalResidencialResidencialNão se aplicaNão se aplicaPonta",Mercado_Receita!$L$2:$L$2102)+SUMIF(Mercado_Receita!$S$2:$S$2102,"44866B1ConvencionalResidencialResidencialNão se aplicaNão se aplicaFora ponta",Mercado_Receita!$L$2:$L$2102)+SUMIF(Mercado_Receita!$S$2:$S$2102,"44866B1ConvencionalResidencialResidencialNão se aplicaNão se aplicaIntermediário",Mercado_Receita!$L$2:$L$2102)+SUMIF(Mercado_Receita!$S$2:$S$2102,"44866B1ConvencionalResidencialResidencialNão se aplicaNão se aplicaNão se aplica",Mercado_Receita!$L$2:$L$2102)</f>
        <v>40661.111999999994</v>
      </c>
      <c r="U34" s="13">
        <f t="shared" ref="U34:U65" si="1">SUM(I34:T34)</f>
        <v>441318.25</v>
      </c>
      <c r="V34" s="13"/>
      <c r="W34" s="13"/>
    </row>
    <row r="35" spans="1:23" ht="11.25" customHeight="1" x14ac:dyDescent="0.25">
      <c r="A35" s="93"/>
      <c r="B35" s="93"/>
      <c r="C35" s="93"/>
      <c r="D35" s="12" t="s">
        <v>31</v>
      </c>
      <c r="E35" s="12" t="s">
        <v>25</v>
      </c>
      <c r="F35" s="12" t="s">
        <v>25</v>
      </c>
      <c r="G35" s="13" t="s">
        <v>88</v>
      </c>
      <c r="H35" s="13" t="s">
        <v>82</v>
      </c>
      <c r="I35" s="13">
        <f>SUMIF(Mercado_Receita!$S$2:$S$2102,"44531B1ConvencionalResidencialResidencial baixa renda – faixa 01Não se aplicaNão se aplicaPonta",Mercado_Receita!$L$2:$L$2102)+SUMIF(Mercado_Receita!$S$2:$S$2102,"44531B1ConvencionalResidencialResidencial baixa renda – faixa 01Não se aplicaNão se aplicaFora ponta",Mercado_Receita!$L$2:$L$2102)+SUMIF(Mercado_Receita!$S$2:$S$2102,"44531B1ConvencionalResidencialResidencial baixa renda – faixa 01Não se aplicaNão se aplicaIntermediário",Mercado_Receita!$L$2:$L$2102)+SUMIF(Mercado_Receita!$S$2:$S$2102,"44531B1ConvencionalResidencialResidencial baixa renda – faixa 01Não se aplicaNão se aplicaNão se aplica",Mercado_Receita!$L$2:$L$2102)</f>
        <v>1663.8009999999997</v>
      </c>
      <c r="J35" s="13">
        <f>SUMIF(Mercado_Receita!$S$2:$S$2102,"44562B1ConvencionalResidencialResidencial baixa renda – faixa 01Não se aplicaNão se aplicaPonta",Mercado_Receita!$L$2:$L$2102)+SUMIF(Mercado_Receita!$S$2:$S$2102,"44562B1ConvencionalResidencialResidencial baixa renda – faixa 01Não se aplicaNão se aplicaFora ponta",Mercado_Receita!$L$2:$L$2102)+SUMIF(Mercado_Receita!$S$2:$S$2102,"44562B1ConvencionalResidencialResidencial baixa renda – faixa 01Não se aplicaNão se aplicaIntermediário",Mercado_Receita!$L$2:$L$2102)+SUMIF(Mercado_Receita!$S$2:$S$2102,"44562B1ConvencionalResidencialResidencial baixa renda – faixa 01Não se aplicaNão se aplicaNão se aplica",Mercado_Receita!$L$2:$L$2102)</f>
        <v>1710.4749999999997</v>
      </c>
      <c r="K35" s="13">
        <f>SUMIF(Mercado_Receita!$S$2:$S$2102,"44593B1ConvencionalResidencialResidencial baixa renda – faixa 01Não se aplicaNão se aplicaPonta",Mercado_Receita!$L$2:$L$2102)+SUMIF(Mercado_Receita!$S$2:$S$2102,"44593B1ConvencionalResidencialResidencial baixa renda – faixa 01Não se aplicaNão se aplicaFora ponta",Mercado_Receita!$L$2:$L$2102)+SUMIF(Mercado_Receita!$S$2:$S$2102,"44593B1ConvencionalResidencialResidencial baixa renda – faixa 01Não se aplicaNão se aplicaIntermediário",Mercado_Receita!$L$2:$L$2102)+SUMIF(Mercado_Receita!$S$2:$S$2102,"44593B1ConvencionalResidencialResidencial baixa renda – faixa 01Não se aplicaNão se aplicaNão se aplica",Mercado_Receita!$L$2:$L$2102)</f>
        <v>1811.2600000000002</v>
      </c>
      <c r="L35" s="13">
        <f>SUMIF(Mercado_Receita!$S$2:$S$2102,"44621B1ConvencionalResidencialResidencial baixa renda – faixa 01Não se aplicaNão se aplicaPonta",Mercado_Receita!$L$2:$L$2102)+SUMIF(Mercado_Receita!$S$2:$S$2102,"44621B1ConvencionalResidencialResidencial baixa renda – faixa 01Não se aplicaNão se aplicaFora ponta",Mercado_Receita!$L$2:$L$2102)+SUMIF(Mercado_Receita!$S$2:$S$2102,"44621B1ConvencionalResidencialResidencial baixa renda – faixa 01Não se aplicaNão se aplicaIntermediário",Mercado_Receita!$L$2:$L$2102)+SUMIF(Mercado_Receita!$S$2:$S$2102,"44621B1ConvencionalResidencialResidencial baixa renda – faixa 01Não se aplicaNão se aplicaNão se aplica",Mercado_Receita!$L$2:$L$2102)</f>
        <v>1863.0059999999999</v>
      </c>
      <c r="M35" s="13">
        <f>SUMIF(Mercado_Receita!$S$2:$S$2102,"44652B1ConvencionalResidencialResidencial baixa renda – faixa 01Não se aplicaNão se aplicaPonta",Mercado_Receita!$L$2:$L$2102)+SUMIF(Mercado_Receita!$S$2:$S$2102,"44652B1ConvencionalResidencialResidencial baixa renda – faixa 01Não se aplicaNão se aplicaFora ponta",Mercado_Receita!$L$2:$L$2102)+SUMIF(Mercado_Receita!$S$2:$S$2102,"44652B1ConvencionalResidencialResidencial baixa renda – faixa 01Não se aplicaNão se aplicaIntermediário",Mercado_Receita!$L$2:$L$2102)+SUMIF(Mercado_Receita!$S$2:$S$2102,"44652B1ConvencionalResidencialResidencial baixa renda – faixa 01Não se aplicaNão se aplicaNão se aplica",Mercado_Receita!$L$2:$L$2102)</f>
        <v>1924.5090000000002</v>
      </c>
      <c r="N35" s="13">
        <f>SUMIF(Mercado_Receita!$S$2:$S$2102,"44682B1ConvencionalResidencialResidencial baixa renda – faixa 01Não se aplicaNão se aplicaPonta",Mercado_Receita!$L$2:$L$2102)+SUMIF(Mercado_Receita!$S$2:$S$2102,"44682B1ConvencionalResidencialResidencial baixa renda – faixa 01Não se aplicaNão se aplicaFora ponta",Mercado_Receita!$L$2:$L$2102)+SUMIF(Mercado_Receita!$S$2:$S$2102,"44682B1ConvencionalResidencialResidencial baixa renda – faixa 01Não se aplicaNão se aplicaIntermediário",Mercado_Receita!$L$2:$L$2102)+SUMIF(Mercado_Receita!$S$2:$S$2102,"44682B1ConvencionalResidencialResidencial baixa renda – faixa 01Não se aplicaNão se aplicaNão se aplica",Mercado_Receita!$L$2:$L$2102)</f>
        <v>1894.3580000000002</v>
      </c>
      <c r="O35" s="13">
        <f>SUMIF(Mercado_Receita!$S$2:$S$2102,"44713B1ConvencionalResidencialResidencial baixa renda – faixa 01Não se aplicaNão se aplicaPonta",Mercado_Receita!$L$2:$L$2102)+SUMIF(Mercado_Receita!$S$2:$S$2102,"44713B1ConvencionalResidencialResidencial baixa renda – faixa 01Não se aplicaNão se aplicaFora ponta",Mercado_Receita!$L$2:$L$2102)+SUMIF(Mercado_Receita!$S$2:$S$2102,"44713B1ConvencionalResidencialResidencial baixa renda – faixa 01Não se aplicaNão se aplicaIntermediário",Mercado_Receita!$L$2:$L$2102)+SUMIF(Mercado_Receita!$S$2:$S$2102,"44713B1ConvencionalResidencialResidencial baixa renda – faixa 01Não se aplicaNão se aplicaNão se aplica",Mercado_Receita!$L$2:$L$2102)</f>
        <v>1936.0140000000001</v>
      </c>
      <c r="P35" s="13">
        <f>SUMIF(Mercado_Receita!$S$2:$S$2102,"44743B1ConvencionalResidencialResidencial baixa renda – faixa 01Não se aplicaNão se aplicaPonta",Mercado_Receita!$L$2:$L$2102)+SUMIF(Mercado_Receita!$S$2:$S$2102,"44743B1ConvencionalResidencialResidencial baixa renda – faixa 01Não se aplicaNão se aplicaFora ponta",Mercado_Receita!$L$2:$L$2102)+SUMIF(Mercado_Receita!$S$2:$S$2102,"44743B1ConvencionalResidencialResidencial baixa renda – faixa 01Não se aplicaNão se aplicaIntermediário",Mercado_Receita!$L$2:$L$2102)+SUMIF(Mercado_Receita!$S$2:$S$2102,"44743B1ConvencionalResidencialResidencial baixa renda – faixa 01Não se aplicaNão se aplicaNão se aplica",Mercado_Receita!$L$2:$L$2102)</f>
        <v>2000.3000000000002</v>
      </c>
      <c r="Q35" s="13">
        <f>SUMIF(Mercado_Receita!$S$2:$S$2102,"44774B1ConvencionalResidencialResidencial baixa renda – faixa 01Não se aplicaNão se aplicaPonta",Mercado_Receita!$L$2:$L$2102)+SUMIF(Mercado_Receita!$S$2:$S$2102,"44774B1ConvencionalResidencialResidencial baixa renda – faixa 01Não se aplicaNão se aplicaFora ponta",Mercado_Receita!$L$2:$L$2102)+SUMIF(Mercado_Receita!$S$2:$S$2102,"44774B1ConvencionalResidencialResidencial baixa renda – faixa 01Não se aplicaNão se aplicaIntermediário",Mercado_Receita!$L$2:$L$2102)+SUMIF(Mercado_Receita!$S$2:$S$2102,"44774B1ConvencionalResidencialResidencial baixa renda – faixa 01Não se aplicaNão se aplicaNão se aplica",Mercado_Receita!$L$2:$L$2102)</f>
        <v>2010.3829999999998</v>
      </c>
      <c r="R35" s="13">
        <f>SUMIF(Mercado_Receita!$S$2:$S$2102,"44805B1ConvencionalResidencialResidencial baixa renda – faixa 01Não se aplicaNão se aplicaPonta",Mercado_Receita!$L$2:$L$2102)+SUMIF(Mercado_Receita!$S$2:$S$2102,"44805B1ConvencionalResidencialResidencial baixa renda – faixa 01Não se aplicaNão se aplicaFora ponta",Mercado_Receita!$L$2:$L$2102)+SUMIF(Mercado_Receita!$S$2:$S$2102,"44805B1ConvencionalResidencialResidencial baixa renda – faixa 01Não se aplicaNão se aplicaIntermediário",Mercado_Receita!$L$2:$L$2102)+SUMIF(Mercado_Receita!$S$2:$S$2102,"44805B1ConvencionalResidencialResidencial baixa renda – faixa 01Não se aplicaNão se aplicaNão se aplica",Mercado_Receita!$L$2:$L$2102)</f>
        <v>2036.0540000000001</v>
      </c>
      <c r="S35" s="13">
        <f>SUMIF(Mercado_Receita!$S$2:$S$2102,"44835B1ConvencionalResidencialResidencial baixa renda – faixa 01Não se aplicaNão se aplicaPonta",Mercado_Receita!$L$2:$L$2102)+SUMIF(Mercado_Receita!$S$2:$S$2102,"44835B1ConvencionalResidencialResidencial baixa renda – faixa 01Não se aplicaNão se aplicaFora ponta",Mercado_Receita!$L$2:$L$2102)+SUMIF(Mercado_Receita!$S$2:$S$2102,"44835B1ConvencionalResidencialResidencial baixa renda – faixa 01Não se aplicaNão se aplicaIntermediário",Mercado_Receita!$L$2:$L$2102)+SUMIF(Mercado_Receita!$S$2:$S$2102,"44835B1ConvencionalResidencialResidencial baixa renda – faixa 01Não se aplicaNão se aplicaNão se aplica",Mercado_Receita!$L$2:$L$2102)</f>
        <v>2079.0169999999998</v>
      </c>
      <c r="T35" s="13">
        <f>SUMIF(Mercado_Receita!$S$2:$S$2102,"44866B1ConvencionalResidencialResidencial baixa renda – faixa 01Não se aplicaNão se aplicaPonta",Mercado_Receita!$L$2:$L$2102)+SUMIF(Mercado_Receita!$S$2:$S$2102,"44866B1ConvencionalResidencialResidencial baixa renda – faixa 01Não se aplicaNão se aplicaFora ponta",Mercado_Receita!$L$2:$L$2102)+SUMIF(Mercado_Receita!$S$2:$S$2102,"44866B1ConvencionalResidencialResidencial baixa renda – faixa 01Não se aplicaNão se aplicaIntermediário",Mercado_Receita!$L$2:$L$2102)+SUMIF(Mercado_Receita!$S$2:$S$2102,"44866B1ConvencionalResidencialResidencial baixa renda – faixa 01Não se aplicaNão se aplicaNão se aplica",Mercado_Receita!$L$2:$L$2102)</f>
        <v>2079.0169999999998</v>
      </c>
      <c r="U35" s="13">
        <f t="shared" si="1"/>
        <v>23008.194</v>
      </c>
      <c r="V35" s="13"/>
      <c r="W35" s="13"/>
    </row>
    <row r="36" spans="1:23" ht="11.25" customHeight="1" x14ac:dyDescent="0.25">
      <c r="A36" s="93"/>
      <c r="B36" s="93"/>
      <c r="C36" s="93"/>
      <c r="D36" s="12" t="s">
        <v>32</v>
      </c>
      <c r="E36" s="12" t="s">
        <v>25</v>
      </c>
      <c r="F36" s="12" t="s">
        <v>25</v>
      </c>
      <c r="G36" s="13" t="s">
        <v>88</v>
      </c>
      <c r="H36" s="13" t="s">
        <v>82</v>
      </c>
      <c r="I36" s="13">
        <f>SUMIF(Mercado_Receita!$S$2:$S$2102,"44531B1ConvencionalResidencialResidencial baixa renda – faixa 02Não se aplicaNão se aplicaPonta",Mercado_Receita!$L$2:$L$2102)+SUMIF(Mercado_Receita!$S$2:$S$2102,"44531B1ConvencionalResidencialResidencial baixa renda – faixa 02Não se aplicaNão se aplicaFora ponta",Mercado_Receita!$L$2:$L$2102)+SUMIF(Mercado_Receita!$S$2:$S$2102,"44531B1ConvencionalResidencialResidencial baixa renda – faixa 02Não se aplicaNão se aplicaIntermediário",Mercado_Receita!$L$2:$L$2102)+SUMIF(Mercado_Receita!$S$2:$S$2102,"44531B1ConvencionalResidencialResidencial baixa renda – faixa 02Não se aplicaNão se aplicaNão se aplica",Mercado_Receita!$L$2:$L$2102)</f>
        <v>3152.8989999999994</v>
      </c>
      <c r="J36" s="13">
        <f>SUMIF(Mercado_Receita!$S$2:$S$2102,"44562B1ConvencionalResidencialResidencial baixa renda – faixa 02Não se aplicaNão se aplicaPonta",Mercado_Receita!$L$2:$L$2102)+SUMIF(Mercado_Receita!$S$2:$S$2102,"44562B1ConvencionalResidencialResidencial baixa renda – faixa 02Não se aplicaNão se aplicaFora ponta",Mercado_Receita!$L$2:$L$2102)+SUMIF(Mercado_Receita!$S$2:$S$2102,"44562B1ConvencionalResidencialResidencial baixa renda – faixa 02Não se aplicaNão se aplicaIntermediário",Mercado_Receita!$L$2:$L$2102)+SUMIF(Mercado_Receita!$S$2:$S$2102,"44562B1ConvencionalResidencialResidencial baixa renda – faixa 02Não se aplicaNão se aplicaNão se aplica",Mercado_Receita!$L$2:$L$2102)</f>
        <v>3207.9879999999998</v>
      </c>
      <c r="K36" s="13">
        <f>SUMIF(Mercado_Receita!$S$2:$S$2102,"44593B1ConvencionalResidencialResidencial baixa renda – faixa 02Não se aplicaNão se aplicaPonta",Mercado_Receita!$L$2:$L$2102)+SUMIF(Mercado_Receita!$S$2:$S$2102,"44593B1ConvencionalResidencialResidencial baixa renda – faixa 02Não se aplicaNão se aplicaFora ponta",Mercado_Receita!$L$2:$L$2102)+SUMIF(Mercado_Receita!$S$2:$S$2102,"44593B1ConvencionalResidencialResidencial baixa renda – faixa 02Não se aplicaNão se aplicaIntermediário",Mercado_Receita!$L$2:$L$2102)+SUMIF(Mercado_Receita!$S$2:$S$2102,"44593B1ConvencionalResidencialResidencial baixa renda – faixa 02Não se aplicaNão se aplicaNão se aplica",Mercado_Receita!$L$2:$L$2102)</f>
        <v>3360.5279999999998</v>
      </c>
      <c r="L36" s="13">
        <f>SUMIF(Mercado_Receita!$S$2:$S$2102,"44621B1ConvencionalResidencialResidencial baixa renda – faixa 02Não se aplicaNão se aplicaPonta",Mercado_Receita!$L$2:$L$2102)+SUMIF(Mercado_Receita!$S$2:$S$2102,"44621B1ConvencionalResidencialResidencial baixa renda – faixa 02Não se aplicaNão se aplicaFora ponta",Mercado_Receita!$L$2:$L$2102)+SUMIF(Mercado_Receita!$S$2:$S$2102,"44621B1ConvencionalResidencialResidencial baixa renda – faixa 02Não se aplicaNão se aplicaIntermediário",Mercado_Receita!$L$2:$L$2102)+SUMIF(Mercado_Receita!$S$2:$S$2102,"44621B1ConvencionalResidencialResidencial baixa renda – faixa 02Não se aplicaNão se aplicaNão se aplica",Mercado_Receita!$L$2:$L$2102)</f>
        <v>3512.9780000000001</v>
      </c>
      <c r="M36" s="13">
        <f>SUMIF(Mercado_Receita!$S$2:$S$2102,"44652B1ConvencionalResidencialResidencial baixa renda – faixa 02Não se aplicaNão se aplicaPonta",Mercado_Receita!$L$2:$L$2102)+SUMIF(Mercado_Receita!$S$2:$S$2102,"44652B1ConvencionalResidencialResidencial baixa renda – faixa 02Não se aplicaNão se aplicaFora ponta",Mercado_Receita!$L$2:$L$2102)+SUMIF(Mercado_Receita!$S$2:$S$2102,"44652B1ConvencionalResidencialResidencial baixa renda – faixa 02Não se aplicaNão se aplicaIntermediário",Mercado_Receita!$L$2:$L$2102)+SUMIF(Mercado_Receita!$S$2:$S$2102,"44652B1ConvencionalResidencialResidencial baixa renda – faixa 02Não se aplicaNão se aplicaNão se aplica",Mercado_Receita!$L$2:$L$2102)</f>
        <v>3639.3260000000005</v>
      </c>
      <c r="N36" s="13">
        <f>SUMIF(Mercado_Receita!$S$2:$S$2102,"44682B1ConvencionalResidencialResidencial baixa renda – faixa 02Não se aplicaNão se aplicaPonta",Mercado_Receita!$L$2:$L$2102)+SUMIF(Mercado_Receita!$S$2:$S$2102,"44682B1ConvencionalResidencialResidencial baixa renda – faixa 02Não se aplicaNão se aplicaFora ponta",Mercado_Receita!$L$2:$L$2102)+SUMIF(Mercado_Receita!$S$2:$S$2102,"44682B1ConvencionalResidencialResidencial baixa renda – faixa 02Não se aplicaNão se aplicaIntermediário",Mercado_Receita!$L$2:$L$2102)+SUMIF(Mercado_Receita!$S$2:$S$2102,"44682B1ConvencionalResidencialResidencial baixa renda – faixa 02Não se aplicaNão se aplicaNão se aplica",Mercado_Receita!$L$2:$L$2102)</f>
        <v>3561.3620000000001</v>
      </c>
      <c r="O36" s="13">
        <f>SUMIF(Mercado_Receita!$S$2:$S$2102,"44713B1ConvencionalResidencialResidencial baixa renda – faixa 02Não se aplicaNão se aplicaPonta",Mercado_Receita!$L$2:$L$2102)+SUMIF(Mercado_Receita!$S$2:$S$2102,"44713B1ConvencionalResidencialResidencial baixa renda – faixa 02Não se aplicaNão se aplicaFora ponta",Mercado_Receita!$L$2:$L$2102)+SUMIF(Mercado_Receita!$S$2:$S$2102,"44713B1ConvencionalResidencialResidencial baixa renda – faixa 02Não se aplicaNão se aplicaIntermediário",Mercado_Receita!$L$2:$L$2102)+SUMIF(Mercado_Receita!$S$2:$S$2102,"44713B1ConvencionalResidencialResidencial baixa renda – faixa 02Não se aplicaNão se aplicaNão se aplica",Mercado_Receita!$L$2:$L$2102)</f>
        <v>3582.768</v>
      </c>
      <c r="P36" s="13">
        <f>SUMIF(Mercado_Receita!$S$2:$S$2102,"44743B1ConvencionalResidencialResidencial baixa renda – faixa 02Não se aplicaNão se aplicaPonta",Mercado_Receita!$L$2:$L$2102)+SUMIF(Mercado_Receita!$S$2:$S$2102,"44743B1ConvencionalResidencialResidencial baixa renda – faixa 02Não se aplicaNão se aplicaFora ponta",Mercado_Receita!$L$2:$L$2102)+SUMIF(Mercado_Receita!$S$2:$S$2102,"44743B1ConvencionalResidencialResidencial baixa renda – faixa 02Não se aplicaNão se aplicaIntermediário",Mercado_Receita!$L$2:$L$2102)+SUMIF(Mercado_Receita!$S$2:$S$2102,"44743B1ConvencionalResidencialResidencial baixa renda – faixa 02Não se aplicaNão se aplicaNão se aplica",Mercado_Receita!$L$2:$L$2102)</f>
        <v>3798.3710000000005</v>
      </c>
      <c r="Q36" s="13">
        <f>SUMIF(Mercado_Receita!$S$2:$S$2102,"44774B1ConvencionalResidencialResidencial baixa renda – faixa 02Não se aplicaNão se aplicaPonta",Mercado_Receita!$L$2:$L$2102)+SUMIF(Mercado_Receita!$S$2:$S$2102,"44774B1ConvencionalResidencialResidencial baixa renda – faixa 02Não se aplicaNão se aplicaFora ponta",Mercado_Receita!$L$2:$L$2102)+SUMIF(Mercado_Receita!$S$2:$S$2102,"44774B1ConvencionalResidencialResidencial baixa renda – faixa 02Não se aplicaNão se aplicaIntermediário",Mercado_Receita!$L$2:$L$2102)+SUMIF(Mercado_Receita!$S$2:$S$2102,"44774B1ConvencionalResidencialResidencial baixa renda – faixa 02Não se aplicaNão se aplicaNão se aplica",Mercado_Receita!$L$2:$L$2102)</f>
        <v>3857.5480000000002</v>
      </c>
      <c r="R36" s="13">
        <f>SUMIF(Mercado_Receita!$S$2:$S$2102,"44805B1ConvencionalResidencialResidencial baixa renda – faixa 02Não se aplicaNão se aplicaPonta",Mercado_Receita!$L$2:$L$2102)+SUMIF(Mercado_Receita!$S$2:$S$2102,"44805B1ConvencionalResidencialResidencial baixa renda – faixa 02Não se aplicaNão se aplicaFora ponta",Mercado_Receita!$L$2:$L$2102)+SUMIF(Mercado_Receita!$S$2:$S$2102,"44805B1ConvencionalResidencialResidencial baixa renda – faixa 02Não se aplicaNão se aplicaIntermediário",Mercado_Receita!$L$2:$L$2102)+SUMIF(Mercado_Receita!$S$2:$S$2102,"44805B1ConvencionalResidencialResidencial baixa renda – faixa 02Não se aplicaNão se aplicaNão se aplica",Mercado_Receita!$L$2:$L$2102)</f>
        <v>3900.2020000000002</v>
      </c>
      <c r="S36" s="13">
        <f>SUMIF(Mercado_Receita!$S$2:$S$2102,"44835B1ConvencionalResidencialResidencial baixa renda – faixa 02Não se aplicaNão se aplicaPonta",Mercado_Receita!$L$2:$L$2102)+SUMIF(Mercado_Receita!$S$2:$S$2102,"44835B1ConvencionalResidencialResidencial baixa renda – faixa 02Não se aplicaNão se aplicaFora ponta",Mercado_Receita!$L$2:$L$2102)+SUMIF(Mercado_Receita!$S$2:$S$2102,"44835B1ConvencionalResidencialResidencial baixa renda – faixa 02Não se aplicaNão se aplicaIntermediário",Mercado_Receita!$L$2:$L$2102)+SUMIF(Mercado_Receita!$S$2:$S$2102,"44835B1ConvencionalResidencialResidencial baixa renda – faixa 02Não se aplicaNão se aplicaNão se aplica",Mercado_Receita!$L$2:$L$2102)</f>
        <v>4047.8090000000002</v>
      </c>
      <c r="T36" s="13">
        <f>SUMIF(Mercado_Receita!$S$2:$S$2102,"44866B1ConvencionalResidencialResidencial baixa renda – faixa 02Não se aplicaNão se aplicaPonta",Mercado_Receita!$L$2:$L$2102)+SUMIF(Mercado_Receita!$S$2:$S$2102,"44866B1ConvencionalResidencialResidencial baixa renda – faixa 02Não se aplicaNão se aplicaFora ponta",Mercado_Receita!$L$2:$L$2102)+SUMIF(Mercado_Receita!$S$2:$S$2102,"44866B1ConvencionalResidencialResidencial baixa renda – faixa 02Não se aplicaNão se aplicaIntermediário",Mercado_Receita!$L$2:$L$2102)+SUMIF(Mercado_Receita!$S$2:$S$2102,"44866B1ConvencionalResidencialResidencial baixa renda – faixa 02Não se aplicaNão se aplicaNão se aplica",Mercado_Receita!$L$2:$L$2102)</f>
        <v>4047.8090000000002</v>
      </c>
      <c r="U36" s="13">
        <f t="shared" si="1"/>
        <v>43669.588000000003</v>
      </c>
      <c r="V36" s="13"/>
      <c r="W36" s="13"/>
    </row>
    <row r="37" spans="1:23" ht="11.25" customHeight="1" x14ac:dyDescent="0.25">
      <c r="A37" s="93"/>
      <c r="B37" s="93"/>
      <c r="C37" s="93"/>
      <c r="D37" s="12" t="s">
        <v>33</v>
      </c>
      <c r="E37" s="12" t="s">
        <v>25</v>
      </c>
      <c r="F37" s="12" t="s">
        <v>25</v>
      </c>
      <c r="G37" s="13" t="s">
        <v>88</v>
      </c>
      <c r="H37" s="13" t="s">
        <v>82</v>
      </c>
      <c r="I37" s="13">
        <f>SUMIF(Mercado_Receita!$S$2:$S$2102,"44531B1ConvencionalResidencialResidencial baixa renda – faixa 03Não se aplicaNão se aplicaPonta",Mercado_Receita!$L$2:$L$2102)+SUMIF(Mercado_Receita!$S$2:$S$2102,"44531B1ConvencionalResidencialResidencial baixa renda – faixa 03Não se aplicaNão se aplicaFora ponta",Mercado_Receita!$L$2:$L$2102)+SUMIF(Mercado_Receita!$S$2:$S$2102,"44531B1ConvencionalResidencialResidencial baixa renda – faixa 03Não se aplicaNão se aplicaIntermediário",Mercado_Receita!$L$2:$L$2102)+SUMIF(Mercado_Receita!$S$2:$S$2102,"44531B1ConvencionalResidencialResidencial baixa renda – faixa 03Não se aplicaNão se aplicaNão se aplica",Mercado_Receita!$L$2:$L$2102)</f>
        <v>2598.4070000000002</v>
      </c>
      <c r="J37" s="13">
        <f>SUMIF(Mercado_Receita!$S$2:$S$2102,"44562B1ConvencionalResidencialResidencial baixa renda – faixa 03Não se aplicaNão se aplicaPonta",Mercado_Receita!$L$2:$L$2102)+SUMIF(Mercado_Receita!$S$2:$S$2102,"44562B1ConvencionalResidencialResidencial baixa renda – faixa 03Não se aplicaNão se aplicaFora ponta",Mercado_Receita!$L$2:$L$2102)+SUMIF(Mercado_Receita!$S$2:$S$2102,"44562B1ConvencionalResidencialResidencial baixa renda – faixa 03Não se aplicaNão se aplicaIntermediário",Mercado_Receita!$L$2:$L$2102)+SUMIF(Mercado_Receita!$S$2:$S$2102,"44562B1ConvencionalResidencialResidencial baixa renda – faixa 03Não se aplicaNão se aplicaNão se aplica",Mercado_Receita!$L$2:$L$2102)</f>
        <v>2668.1289999999999</v>
      </c>
      <c r="K37" s="13">
        <f>SUMIF(Mercado_Receita!$S$2:$S$2102,"44593B1ConvencionalResidencialResidencial baixa renda – faixa 03Não se aplicaNão se aplicaPonta",Mercado_Receita!$L$2:$L$2102)+SUMIF(Mercado_Receita!$S$2:$S$2102,"44593B1ConvencionalResidencialResidencial baixa renda – faixa 03Não se aplicaNão se aplicaFora ponta",Mercado_Receita!$L$2:$L$2102)+SUMIF(Mercado_Receita!$S$2:$S$2102,"44593B1ConvencionalResidencialResidencial baixa renda – faixa 03Não se aplicaNão se aplicaIntermediário",Mercado_Receita!$L$2:$L$2102)+SUMIF(Mercado_Receita!$S$2:$S$2102,"44593B1ConvencionalResidencialResidencial baixa renda – faixa 03Não se aplicaNão se aplicaNão se aplica",Mercado_Receita!$L$2:$L$2102)</f>
        <v>2533.3950000000004</v>
      </c>
      <c r="L37" s="13">
        <f>SUMIF(Mercado_Receita!$S$2:$S$2102,"44621B1ConvencionalResidencialResidencial baixa renda – faixa 03Não se aplicaNão se aplicaPonta",Mercado_Receita!$L$2:$L$2102)+SUMIF(Mercado_Receita!$S$2:$S$2102,"44621B1ConvencionalResidencialResidencial baixa renda – faixa 03Não se aplicaNão se aplicaFora ponta",Mercado_Receita!$L$2:$L$2102)+SUMIF(Mercado_Receita!$S$2:$S$2102,"44621B1ConvencionalResidencialResidencial baixa renda – faixa 03Não se aplicaNão se aplicaIntermediário",Mercado_Receita!$L$2:$L$2102)+SUMIF(Mercado_Receita!$S$2:$S$2102,"44621B1ConvencionalResidencialResidencial baixa renda – faixa 03Não se aplicaNão se aplicaNão se aplica",Mercado_Receita!$L$2:$L$2102)</f>
        <v>2804.7980000000002</v>
      </c>
      <c r="M37" s="13">
        <f>SUMIF(Mercado_Receita!$S$2:$S$2102,"44652B1ConvencionalResidencialResidencial baixa renda – faixa 03Não se aplicaNão se aplicaPonta",Mercado_Receita!$L$2:$L$2102)+SUMIF(Mercado_Receita!$S$2:$S$2102,"44652B1ConvencionalResidencialResidencial baixa renda – faixa 03Não se aplicaNão se aplicaFora ponta",Mercado_Receita!$L$2:$L$2102)+SUMIF(Mercado_Receita!$S$2:$S$2102,"44652B1ConvencionalResidencialResidencial baixa renda – faixa 03Não se aplicaNão se aplicaIntermediário",Mercado_Receita!$L$2:$L$2102)+SUMIF(Mercado_Receita!$S$2:$S$2102,"44652B1ConvencionalResidencialResidencial baixa renda – faixa 03Não se aplicaNão se aplicaNão se aplica",Mercado_Receita!$L$2:$L$2102)</f>
        <v>2907.4879999999998</v>
      </c>
      <c r="N37" s="13">
        <f>SUMIF(Mercado_Receita!$S$2:$S$2102,"44682B1ConvencionalResidencialResidencial baixa renda – faixa 03Não se aplicaNão se aplicaPonta",Mercado_Receita!$L$2:$L$2102)+SUMIF(Mercado_Receita!$S$2:$S$2102,"44682B1ConvencionalResidencialResidencial baixa renda – faixa 03Não se aplicaNão se aplicaFora ponta",Mercado_Receita!$L$2:$L$2102)+SUMIF(Mercado_Receita!$S$2:$S$2102,"44682B1ConvencionalResidencialResidencial baixa renda – faixa 03Não se aplicaNão se aplicaIntermediário",Mercado_Receita!$L$2:$L$2102)+SUMIF(Mercado_Receita!$S$2:$S$2102,"44682B1ConvencionalResidencialResidencial baixa renda – faixa 03Não se aplicaNão se aplicaNão se aplica",Mercado_Receita!$L$2:$L$2102)</f>
        <v>2794.3209999999999</v>
      </c>
      <c r="O37" s="13">
        <f>SUMIF(Mercado_Receita!$S$2:$S$2102,"44713B1ConvencionalResidencialResidencial baixa renda – faixa 03Não se aplicaNão se aplicaPonta",Mercado_Receita!$L$2:$L$2102)+SUMIF(Mercado_Receita!$S$2:$S$2102,"44713B1ConvencionalResidencialResidencial baixa renda – faixa 03Não se aplicaNão se aplicaFora ponta",Mercado_Receita!$L$2:$L$2102)+SUMIF(Mercado_Receita!$S$2:$S$2102,"44713B1ConvencionalResidencialResidencial baixa renda – faixa 03Não se aplicaNão se aplicaIntermediário",Mercado_Receita!$L$2:$L$2102)+SUMIF(Mercado_Receita!$S$2:$S$2102,"44713B1ConvencionalResidencialResidencial baixa renda – faixa 03Não se aplicaNão se aplicaNão se aplica",Mercado_Receita!$L$2:$L$2102)</f>
        <v>2594.1830000000004</v>
      </c>
      <c r="P37" s="13">
        <f>SUMIF(Mercado_Receita!$S$2:$S$2102,"44743B1ConvencionalResidencialResidencial baixa renda – faixa 03Não se aplicaNão se aplicaPonta",Mercado_Receita!$L$2:$L$2102)+SUMIF(Mercado_Receita!$S$2:$S$2102,"44743B1ConvencionalResidencialResidencial baixa renda – faixa 03Não se aplicaNão se aplicaFora ponta",Mercado_Receita!$L$2:$L$2102)+SUMIF(Mercado_Receita!$S$2:$S$2102,"44743B1ConvencionalResidencialResidencial baixa renda – faixa 03Não se aplicaNão se aplicaIntermediário",Mercado_Receita!$L$2:$L$2102)+SUMIF(Mercado_Receita!$S$2:$S$2102,"44743B1ConvencionalResidencialResidencial baixa renda – faixa 03Não se aplicaNão se aplicaNão se aplica",Mercado_Receita!$L$2:$L$2102)</f>
        <v>3076.8149999999996</v>
      </c>
      <c r="Q37" s="13">
        <f>SUMIF(Mercado_Receita!$S$2:$S$2102,"44774B1ConvencionalResidencialResidencial baixa renda – faixa 03Não se aplicaNão se aplicaPonta",Mercado_Receita!$L$2:$L$2102)+SUMIF(Mercado_Receita!$S$2:$S$2102,"44774B1ConvencionalResidencialResidencial baixa renda – faixa 03Não se aplicaNão se aplicaFora ponta",Mercado_Receita!$L$2:$L$2102)+SUMIF(Mercado_Receita!$S$2:$S$2102,"44774B1ConvencionalResidencialResidencial baixa renda – faixa 03Não se aplicaNão se aplicaIntermediário",Mercado_Receita!$L$2:$L$2102)+SUMIF(Mercado_Receita!$S$2:$S$2102,"44774B1ConvencionalResidencialResidencial baixa renda – faixa 03Não se aplicaNão se aplicaNão se aplica",Mercado_Receita!$L$2:$L$2102)</f>
        <v>3270.415</v>
      </c>
      <c r="R37" s="13">
        <f>SUMIF(Mercado_Receita!$S$2:$S$2102,"44805B1ConvencionalResidencialResidencial baixa renda – faixa 03Não se aplicaNão se aplicaPonta",Mercado_Receita!$L$2:$L$2102)+SUMIF(Mercado_Receita!$S$2:$S$2102,"44805B1ConvencionalResidencialResidencial baixa renda – faixa 03Não se aplicaNão se aplicaFora ponta",Mercado_Receita!$L$2:$L$2102)+SUMIF(Mercado_Receita!$S$2:$S$2102,"44805B1ConvencionalResidencialResidencial baixa renda – faixa 03Não se aplicaNão se aplicaIntermediário",Mercado_Receita!$L$2:$L$2102)+SUMIF(Mercado_Receita!$S$2:$S$2102,"44805B1ConvencionalResidencialResidencial baixa renda – faixa 03Não se aplicaNão se aplicaNão se aplica",Mercado_Receita!$L$2:$L$2102)</f>
        <v>3201.6860000000001</v>
      </c>
      <c r="S37" s="13">
        <f>SUMIF(Mercado_Receita!$S$2:$S$2102,"44835B1ConvencionalResidencialResidencial baixa renda – faixa 03Não se aplicaNão se aplicaPonta",Mercado_Receita!$L$2:$L$2102)+SUMIF(Mercado_Receita!$S$2:$S$2102,"44835B1ConvencionalResidencialResidencial baixa renda – faixa 03Não se aplicaNão se aplicaFora ponta",Mercado_Receita!$L$2:$L$2102)+SUMIF(Mercado_Receita!$S$2:$S$2102,"44835B1ConvencionalResidencialResidencial baixa renda – faixa 03Não se aplicaNão se aplicaIntermediário",Mercado_Receita!$L$2:$L$2102)+SUMIF(Mercado_Receita!$S$2:$S$2102,"44835B1ConvencionalResidencialResidencial baixa renda – faixa 03Não se aplicaNão se aplicaNão se aplica",Mercado_Receita!$L$2:$L$2102)</f>
        <v>3556.9050000000002</v>
      </c>
      <c r="T37" s="13">
        <f>SUMIF(Mercado_Receita!$S$2:$S$2102,"44866B1ConvencionalResidencialResidencial baixa renda – faixa 03Não se aplicaNão se aplicaPonta",Mercado_Receita!$L$2:$L$2102)+SUMIF(Mercado_Receita!$S$2:$S$2102,"44866B1ConvencionalResidencialResidencial baixa renda – faixa 03Não se aplicaNão se aplicaFora ponta",Mercado_Receita!$L$2:$L$2102)+SUMIF(Mercado_Receita!$S$2:$S$2102,"44866B1ConvencionalResidencialResidencial baixa renda – faixa 03Não se aplicaNão se aplicaIntermediário",Mercado_Receita!$L$2:$L$2102)+SUMIF(Mercado_Receita!$S$2:$S$2102,"44866B1ConvencionalResidencialResidencial baixa renda – faixa 03Não se aplicaNão se aplicaNão se aplica",Mercado_Receita!$L$2:$L$2102)</f>
        <v>3556.9050000000002</v>
      </c>
      <c r="U37" s="13">
        <f t="shared" si="1"/>
        <v>35563.447</v>
      </c>
      <c r="V37" s="13"/>
      <c r="W37" s="13"/>
    </row>
    <row r="38" spans="1:23" ht="11.25" customHeight="1" x14ac:dyDescent="0.25">
      <c r="A38" s="93"/>
      <c r="B38" s="93"/>
      <c r="C38" s="93"/>
      <c r="D38" s="12" t="s">
        <v>34</v>
      </c>
      <c r="E38" s="12" t="s">
        <v>25</v>
      </c>
      <c r="F38" s="12" t="s">
        <v>25</v>
      </c>
      <c r="G38" s="13" t="s">
        <v>88</v>
      </c>
      <c r="H38" s="13" t="s">
        <v>82</v>
      </c>
      <c r="I38" s="13">
        <f>SUMIF(Mercado_Receita!$S$2:$S$2102,"44531B1ConvencionalResidencialResidencial baixa renda – faixa 04Não se aplicaNão se aplicaPonta",Mercado_Receita!$L$2:$L$2102)+SUMIF(Mercado_Receita!$S$2:$S$2102,"44531B1ConvencionalResidencialResidencial baixa renda – faixa 04Não se aplicaNão se aplicaFora ponta",Mercado_Receita!$L$2:$L$2102)+SUMIF(Mercado_Receita!$S$2:$S$2102,"44531B1ConvencionalResidencialResidencial baixa renda – faixa 04Não se aplicaNão se aplicaIntermediário",Mercado_Receita!$L$2:$L$2102)+SUMIF(Mercado_Receita!$S$2:$S$2102,"44531B1ConvencionalResidencialResidencial baixa renda – faixa 04Não se aplicaNão se aplicaNão se aplica",Mercado_Receita!$L$2:$L$2102)</f>
        <v>1278.1230000000003</v>
      </c>
      <c r="J38" s="13">
        <f>SUMIF(Mercado_Receita!$S$2:$S$2102,"44562B1ConvencionalResidencialResidencial baixa renda – faixa 04Não se aplicaNão se aplicaPonta",Mercado_Receita!$L$2:$L$2102)+SUMIF(Mercado_Receita!$S$2:$S$2102,"44562B1ConvencionalResidencialResidencial baixa renda – faixa 04Não se aplicaNão se aplicaFora ponta",Mercado_Receita!$L$2:$L$2102)+SUMIF(Mercado_Receita!$S$2:$S$2102,"44562B1ConvencionalResidencialResidencial baixa renda – faixa 04Não se aplicaNão se aplicaIntermediário",Mercado_Receita!$L$2:$L$2102)+SUMIF(Mercado_Receita!$S$2:$S$2102,"44562B1ConvencionalResidencialResidencial baixa renda – faixa 04Não se aplicaNão se aplicaNão se aplica",Mercado_Receita!$L$2:$L$2102)</f>
        <v>1360.19</v>
      </c>
      <c r="K38" s="13">
        <f>SUMIF(Mercado_Receita!$S$2:$S$2102,"44593B1ConvencionalResidencialResidencial baixa renda – faixa 04Não se aplicaNão se aplicaPonta",Mercado_Receita!$L$2:$L$2102)+SUMIF(Mercado_Receita!$S$2:$S$2102,"44593B1ConvencionalResidencialResidencial baixa renda – faixa 04Não se aplicaNão se aplicaFora ponta",Mercado_Receita!$L$2:$L$2102)+SUMIF(Mercado_Receita!$S$2:$S$2102,"44593B1ConvencionalResidencialResidencial baixa renda – faixa 04Não se aplicaNão se aplicaIntermediário",Mercado_Receita!$L$2:$L$2102)+SUMIF(Mercado_Receita!$S$2:$S$2102,"44593B1ConvencionalResidencialResidencial baixa renda – faixa 04Não se aplicaNão se aplicaNão se aplica",Mercado_Receita!$L$2:$L$2102)</f>
        <v>1202.4369999999999</v>
      </c>
      <c r="L38" s="13">
        <f>SUMIF(Mercado_Receita!$S$2:$S$2102,"44621B1ConvencionalResidencialResidencial baixa renda – faixa 04Não se aplicaNão se aplicaPonta",Mercado_Receita!$L$2:$L$2102)+SUMIF(Mercado_Receita!$S$2:$S$2102,"44621B1ConvencionalResidencialResidencial baixa renda – faixa 04Não se aplicaNão se aplicaFora ponta",Mercado_Receita!$L$2:$L$2102)+SUMIF(Mercado_Receita!$S$2:$S$2102,"44621B1ConvencionalResidencialResidencial baixa renda – faixa 04Não se aplicaNão se aplicaIntermediário",Mercado_Receita!$L$2:$L$2102)+SUMIF(Mercado_Receita!$S$2:$S$2102,"44621B1ConvencionalResidencialResidencial baixa renda – faixa 04Não se aplicaNão se aplicaNão se aplica",Mercado_Receita!$L$2:$L$2102)</f>
        <v>1316.4</v>
      </c>
      <c r="M38" s="13">
        <f>SUMIF(Mercado_Receita!$S$2:$S$2102,"44652B1ConvencionalResidencialResidencial baixa renda – faixa 04Não se aplicaNão se aplicaPonta",Mercado_Receita!$L$2:$L$2102)+SUMIF(Mercado_Receita!$S$2:$S$2102,"44652B1ConvencionalResidencialResidencial baixa renda – faixa 04Não se aplicaNão se aplicaFora ponta",Mercado_Receita!$L$2:$L$2102)+SUMIF(Mercado_Receita!$S$2:$S$2102,"44652B1ConvencionalResidencialResidencial baixa renda – faixa 04Não se aplicaNão se aplicaIntermediário",Mercado_Receita!$L$2:$L$2102)+SUMIF(Mercado_Receita!$S$2:$S$2102,"44652B1ConvencionalResidencialResidencial baixa renda – faixa 04Não se aplicaNão se aplicaNão se aplica",Mercado_Receita!$L$2:$L$2102)</f>
        <v>1404.9839999999997</v>
      </c>
      <c r="N38" s="13">
        <f>SUMIF(Mercado_Receita!$S$2:$S$2102,"44682B1ConvencionalResidencialResidencial baixa renda – faixa 04Não se aplicaNão se aplicaPonta",Mercado_Receita!$L$2:$L$2102)+SUMIF(Mercado_Receita!$S$2:$S$2102,"44682B1ConvencionalResidencialResidencial baixa renda – faixa 04Não se aplicaNão se aplicaFora ponta",Mercado_Receita!$L$2:$L$2102)+SUMIF(Mercado_Receita!$S$2:$S$2102,"44682B1ConvencionalResidencialResidencial baixa renda – faixa 04Não se aplicaNão se aplicaIntermediário",Mercado_Receita!$L$2:$L$2102)+SUMIF(Mercado_Receita!$S$2:$S$2102,"44682B1ConvencionalResidencialResidencial baixa renda – faixa 04Não se aplicaNão se aplicaNão se aplica",Mercado_Receita!$L$2:$L$2102)</f>
        <v>1346.6689999999999</v>
      </c>
      <c r="O38" s="13">
        <f>SUMIF(Mercado_Receita!$S$2:$S$2102,"44713B1ConvencionalResidencialResidencial baixa renda – faixa 04Não se aplicaNão se aplicaPonta",Mercado_Receita!$L$2:$L$2102)+SUMIF(Mercado_Receita!$S$2:$S$2102,"44713B1ConvencionalResidencialResidencial baixa renda – faixa 04Não se aplicaNão se aplicaFora ponta",Mercado_Receita!$L$2:$L$2102)+SUMIF(Mercado_Receita!$S$2:$S$2102,"44713B1ConvencionalResidencialResidencial baixa renda – faixa 04Não se aplicaNão se aplicaIntermediário",Mercado_Receita!$L$2:$L$2102)+SUMIF(Mercado_Receita!$S$2:$S$2102,"44713B1ConvencionalResidencialResidencial baixa renda – faixa 04Não se aplicaNão se aplicaNão se aplica",Mercado_Receita!$L$2:$L$2102)</f>
        <v>1017.9449999999999</v>
      </c>
      <c r="P38" s="13">
        <f>SUMIF(Mercado_Receita!$S$2:$S$2102,"44743B1ConvencionalResidencialResidencial baixa renda – faixa 04Não se aplicaNão se aplicaPonta",Mercado_Receita!$L$2:$L$2102)+SUMIF(Mercado_Receita!$S$2:$S$2102,"44743B1ConvencionalResidencialResidencial baixa renda – faixa 04Não se aplicaNão se aplicaFora ponta",Mercado_Receita!$L$2:$L$2102)+SUMIF(Mercado_Receita!$S$2:$S$2102,"44743B1ConvencionalResidencialResidencial baixa renda – faixa 04Não se aplicaNão se aplicaIntermediário",Mercado_Receita!$L$2:$L$2102)+SUMIF(Mercado_Receita!$S$2:$S$2102,"44743B1ConvencionalResidencialResidencial baixa renda – faixa 04Não se aplicaNão se aplicaNão se aplica",Mercado_Receita!$L$2:$L$2102)</f>
        <v>1496.7569999999998</v>
      </c>
      <c r="Q38" s="13">
        <f>SUMIF(Mercado_Receita!$S$2:$S$2102,"44774B1ConvencionalResidencialResidencial baixa renda – faixa 04Não se aplicaNão se aplicaPonta",Mercado_Receita!$L$2:$L$2102)+SUMIF(Mercado_Receita!$S$2:$S$2102,"44774B1ConvencionalResidencialResidencial baixa renda – faixa 04Não se aplicaNão se aplicaFora ponta",Mercado_Receita!$L$2:$L$2102)+SUMIF(Mercado_Receita!$S$2:$S$2102,"44774B1ConvencionalResidencialResidencial baixa renda – faixa 04Não se aplicaNão se aplicaIntermediário",Mercado_Receita!$L$2:$L$2102)+SUMIF(Mercado_Receita!$S$2:$S$2102,"44774B1ConvencionalResidencialResidencial baixa renda – faixa 04Não se aplicaNão se aplicaNão se aplica",Mercado_Receita!$L$2:$L$2102)</f>
        <v>1781.838</v>
      </c>
      <c r="R38" s="13">
        <f>SUMIF(Mercado_Receita!$S$2:$S$2102,"44805B1ConvencionalResidencialResidencial baixa renda – faixa 04Não se aplicaNão se aplicaPonta",Mercado_Receita!$L$2:$L$2102)+SUMIF(Mercado_Receita!$S$2:$S$2102,"44805B1ConvencionalResidencialResidencial baixa renda – faixa 04Não se aplicaNão se aplicaFora ponta",Mercado_Receita!$L$2:$L$2102)+SUMIF(Mercado_Receita!$S$2:$S$2102,"44805B1ConvencionalResidencialResidencial baixa renda – faixa 04Não se aplicaNão se aplicaIntermediário",Mercado_Receita!$L$2:$L$2102)+SUMIF(Mercado_Receita!$S$2:$S$2102,"44805B1ConvencionalResidencialResidencial baixa renda – faixa 04Não se aplicaNão se aplicaNão se aplica",Mercado_Receita!$L$2:$L$2102)</f>
        <v>1687.6170000000002</v>
      </c>
      <c r="S38" s="13">
        <f>SUMIF(Mercado_Receita!$S$2:$S$2102,"44835B1ConvencionalResidencialResidencial baixa renda – faixa 04Não se aplicaNão se aplicaPonta",Mercado_Receita!$L$2:$L$2102)+SUMIF(Mercado_Receita!$S$2:$S$2102,"44835B1ConvencionalResidencialResidencial baixa renda – faixa 04Não se aplicaNão se aplicaFora ponta",Mercado_Receita!$L$2:$L$2102)+SUMIF(Mercado_Receita!$S$2:$S$2102,"44835B1ConvencionalResidencialResidencial baixa renda – faixa 04Não se aplicaNão se aplicaIntermediário",Mercado_Receita!$L$2:$L$2102)+SUMIF(Mercado_Receita!$S$2:$S$2102,"44835B1ConvencionalResidencialResidencial baixa renda – faixa 04Não se aplicaNão se aplicaNão se aplica",Mercado_Receita!$L$2:$L$2102)</f>
        <v>2114.7710000000002</v>
      </c>
      <c r="T38" s="13">
        <f>SUMIF(Mercado_Receita!$S$2:$S$2102,"44866B1ConvencionalResidencialResidencial baixa renda – faixa 04Não se aplicaNão se aplicaPonta",Mercado_Receita!$L$2:$L$2102)+SUMIF(Mercado_Receita!$S$2:$S$2102,"44866B1ConvencionalResidencialResidencial baixa renda – faixa 04Não se aplicaNão se aplicaFora ponta",Mercado_Receita!$L$2:$L$2102)+SUMIF(Mercado_Receita!$S$2:$S$2102,"44866B1ConvencionalResidencialResidencial baixa renda – faixa 04Não se aplicaNão se aplicaIntermediário",Mercado_Receita!$L$2:$L$2102)+SUMIF(Mercado_Receita!$S$2:$S$2102,"44866B1ConvencionalResidencialResidencial baixa renda – faixa 04Não se aplicaNão se aplicaNão se aplica",Mercado_Receita!$L$2:$L$2102)</f>
        <v>2114.7710000000002</v>
      </c>
      <c r="U38" s="13">
        <f t="shared" si="1"/>
        <v>18122.502</v>
      </c>
      <c r="V38" s="13"/>
      <c r="W38" s="13"/>
    </row>
    <row r="39" spans="1:23" ht="11.25" customHeight="1" x14ac:dyDescent="0.25">
      <c r="A39" s="93"/>
      <c r="B39" s="92" t="s">
        <v>100</v>
      </c>
      <c r="C39" s="92" t="s">
        <v>24</v>
      </c>
      <c r="D39" s="12" t="s">
        <v>24</v>
      </c>
      <c r="E39" s="12" t="s">
        <v>25</v>
      </c>
      <c r="F39" s="12" t="s">
        <v>25</v>
      </c>
      <c r="G39" s="13" t="s">
        <v>88</v>
      </c>
      <c r="H39" s="13" t="s">
        <v>82</v>
      </c>
      <c r="I39" s="13">
        <f>SUMIF(Mercado_Receita!$S$2:$S$2102,"44531B1Convencional pré-pagamentoResidencialResidencialNão se aplicaNão se aplicaPonta",Mercado_Receita!$L$2:$L$2102)+SUMIF(Mercado_Receita!$S$2:$S$2102,"44531B1Convencional pré-pagamentoResidencialResidencialNão se aplicaNão se aplicaFora ponta",Mercado_Receita!$L$2:$L$2102)+SUMIF(Mercado_Receita!$S$2:$S$2102,"44531B1Convencional pré-pagamentoResidencialResidencialNão se aplicaNão se aplicaIntermediário",Mercado_Receita!$L$2:$L$2102)+SUMIF(Mercado_Receita!$S$2:$S$2102,"44531B1Convencional pré-pagamentoResidencialResidencialNão se aplicaNão se aplicaNão se aplica",Mercado_Receita!$L$2:$L$2102)</f>
        <v>0</v>
      </c>
      <c r="J39" s="13">
        <f>SUMIF(Mercado_Receita!$S$2:$S$2102,"44562B1Convencional pré-pagamentoResidencialResidencialNão se aplicaNão se aplicaPonta",Mercado_Receita!$L$2:$L$2102)+SUMIF(Mercado_Receita!$S$2:$S$2102,"44562B1Convencional pré-pagamentoResidencialResidencialNão se aplicaNão se aplicaFora ponta",Mercado_Receita!$L$2:$L$2102)+SUMIF(Mercado_Receita!$S$2:$S$2102,"44562B1Convencional pré-pagamentoResidencialResidencialNão se aplicaNão se aplicaIntermediário",Mercado_Receita!$L$2:$L$2102)+SUMIF(Mercado_Receita!$S$2:$S$2102,"44562B1Convencional pré-pagamentoResidencialResidencialNão se aplicaNão se aplicaNão se aplica",Mercado_Receita!$L$2:$L$2102)</f>
        <v>0</v>
      </c>
      <c r="K39" s="13">
        <f>SUMIF(Mercado_Receita!$S$2:$S$2102,"44593B1Convencional pré-pagamentoResidencialResidencialNão se aplicaNão se aplicaPonta",Mercado_Receita!$L$2:$L$2102)+SUMIF(Mercado_Receita!$S$2:$S$2102,"44593B1Convencional pré-pagamentoResidencialResidencialNão se aplicaNão se aplicaFora ponta",Mercado_Receita!$L$2:$L$2102)+SUMIF(Mercado_Receita!$S$2:$S$2102,"44593B1Convencional pré-pagamentoResidencialResidencialNão se aplicaNão se aplicaIntermediário",Mercado_Receita!$L$2:$L$2102)+SUMIF(Mercado_Receita!$S$2:$S$2102,"44593B1Convencional pré-pagamentoResidencialResidencialNão se aplicaNão se aplicaNão se aplica",Mercado_Receita!$L$2:$L$2102)</f>
        <v>0</v>
      </c>
      <c r="L39" s="13">
        <f>SUMIF(Mercado_Receita!$S$2:$S$2102,"44621B1Convencional pré-pagamentoResidencialResidencialNão se aplicaNão se aplicaPonta",Mercado_Receita!$L$2:$L$2102)+SUMIF(Mercado_Receita!$S$2:$S$2102,"44621B1Convencional pré-pagamentoResidencialResidencialNão se aplicaNão se aplicaFora ponta",Mercado_Receita!$L$2:$L$2102)+SUMIF(Mercado_Receita!$S$2:$S$2102,"44621B1Convencional pré-pagamentoResidencialResidencialNão se aplicaNão se aplicaIntermediário",Mercado_Receita!$L$2:$L$2102)+SUMIF(Mercado_Receita!$S$2:$S$2102,"44621B1Convencional pré-pagamentoResidencialResidencialNão se aplicaNão se aplicaNão se aplica",Mercado_Receita!$L$2:$L$2102)</f>
        <v>0</v>
      </c>
      <c r="M39" s="13">
        <f>SUMIF(Mercado_Receita!$S$2:$S$2102,"44652B1Convencional pré-pagamentoResidencialResidencialNão se aplicaNão se aplicaPonta",Mercado_Receita!$L$2:$L$2102)+SUMIF(Mercado_Receita!$S$2:$S$2102,"44652B1Convencional pré-pagamentoResidencialResidencialNão se aplicaNão se aplicaFora ponta",Mercado_Receita!$L$2:$L$2102)+SUMIF(Mercado_Receita!$S$2:$S$2102,"44652B1Convencional pré-pagamentoResidencialResidencialNão se aplicaNão se aplicaIntermediário",Mercado_Receita!$L$2:$L$2102)+SUMIF(Mercado_Receita!$S$2:$S$2102,"44652B1Convencional pré-pagamentoResidencialResidencialNão se aplicaNão se aplicaNão se aplica",Mercado_Receita!$L$2:$L$2102)</f>
        <v>0</v>
      </c>
      <c r="N39" s="13">
        <f>SUMIF(Mercado_Receita!$S$2:$S$2102,"44682B1Convencional pré-pagamentoResidencialResidencialNão se aplicaNão se aplicaPonta",Mercado_Receita!$L$2:$L$2102)+SUMIF(Mercado_Receita!$S$2:$S$2102,"44682B1Convencional pré-pagamentoResidencialResidencialNão se aplicaNão se aplicaFora ponta",Mercado_Receita!$L$2:$L$2102)+SUMIF(Mercado_Receita!$S$2:$S$2102,"44682B1Convencional pré-pagamentoResidencialResidencialNão se aplicaNão se aplicaIntermediário",Mercado_Receita!$L$2:$L$2102)+SUMIF(Mercado_Receita!$S$2:$S$2102,"44682B1Convencional pré-pagamentoResidencialResidencialNão se aplicaNão se aplicaNão se aplica",Mercado_Receita!$L$2:$L$2102)</f>
        <v>0</v>
      </c>
      <c r="O39" s="13">
        <f>SUMIF(Mercado_Receita!$S$2:$S$2102,"44713B1Convencional pré-pagamentoResidencialResidencialNão se aplicaNão se aplicaPonta",Mercado_Receita!$L$2:$L$2102)+SUMIF(Mercado_Receita!$S$2:$S$2102,"44713B1Convencional pré-pagamentoResidencialResidencialNão se aplicaNão se aplicaFora ponta",Mercado_Receita!$L$2:$L$2102)+SUMIF(Mercado_Receita!$S$2:$S$2102,"44713B1Convencional pré-pagamentoResidencialResidencialNão se aplicaNão se aplicaIntermediário",Mercado_Receita!$L$2:$L$2102)+SUMIF(Mercado_Receita!$S$2:$S$2102,"44713B1Convencional pré-pagamentoResidencialResidencialNão se aplicaNão se aplicaNão se aplica",Mercado_Receita!$L$2:$L$2102)</f>
        <v>0</v>
      </c>
      <c r="P39" s="13">
        <f>SUMIF(Mercado_Receita!$S$2:$S$2102,"44743B1Convencional pré-pagamentoResidencialResidencialNão se aplicaNão se aplicaPonta",Mercado_Receita!$L$2:$L$2102)+SUMIF(Mercado_Receita!$S$2:$S$2102,"44743B1Convencional pré-pagamentoResidencialResidencialNão se aplicaNão se aplicaFora ponta",Mercado_Receita!$L$2:$L$2102)+SUMIF(Mercado_Receita!$S$2:$S$2102,"44743B1Convencional pré-pagamentoResidencialResidencialNão se aplicaNão se aplicaIntermediário",Mercado_Receita!$L$2:$L$2102)+SUMIF(Mercado_Receita!$S$2:$S$2102,"44743B1Convencional pré-pagamentoResidencialResidencialNão se aplicaNão se aplicaNão se aplica",Mercado_Receita!$L$2:$L$2102)</f>
        <v>0</v>
      </c>
      <c r="Q39" s="13">
        <f>SUMIF(Mercado_Receita!$S$2:$S$2102,"44774B1Convencional pré-pagamentoResidencialResidencialNão se aplicaNão se aplicaPonta",Mercado_Receita!$L$2:$L$2102)+SUMIF(Mercado_Receita!$S$2:$S$2102,"44774B1Convencional pré-pagamentoResidencialResidencialNão se aplicaNão se aplicaFora ponta",Mercado_Receita!$L$2:$L$2102)+SUMIF(Mercado_Receita!$S$2:$S$2102,"44774B1Convencional pré-pagamentoResidencialResidencialNão se aplicaNão se aplicaIntermediário",Mercado_Receita!$L$2:$L$2102)+SUMIF(Mercado_Receita!$S$2:$S$2102,"44774B1Convencional pré-pagamentoResidencialResidencialNão se aplicaNão se aplicaNão se aplica",Mercado_Receita!$L$2:$L$2102)</f>
        <v>0</v>
      </c>
      <c r="R39" s="13">
        <f>SUMIF(Mercado_Receita!$S$2:$S$2102,"44805B1Convencional pré-pagamentoResidencialResidencialNão se aplicaNão se aplicaPonta",Mercado_Receita!$L$2:$L$2102)+SUMIF(Mercado_Receita!$S$2:$S$2102,"44805B1Convencional pré-pagamentoResidencialResidencialNão se aplicaNão se aplicaFora ponta",Mercado_Receita!$L$2:$L$2102)+SUMIF(Mercado_Receita!$S$2:$S$2102,"44805B1Convencional pré-pagamentoResidencialResidencialNão se aplicaNão se aplicaIntermediário",Mercado_Receita!$L$2:$L$2102)+SUMIF(Mercado_Receita!$S$2:$S$2102,"44805B1Convencional pré-pagamentoResidencialResidencialNão se aplicaNão se aplicaNão se aplica",Mercado_Receita!$L$2:$L$2102)</f>
        <v>0</v>
      </c>
      <c r="S39" s="13">
        <f>SUMIF(Mercado_Receita!$S$2:$S$2102,"44835B1Convencional pré-pagamentoResidencialResidencialNão se aplicaNão se aplicaPonta",Mercado_Receita!$L$2:$L$2102)+SUMIF(Mercado_Receita!$S$2:$S$2102,"44835B1Convencional pré-pagamentoResidencialResidencialNão se aplicaNão se aplicaFora ponta",Mercado_Receita!$L$2:$L$2102)+SUMIF(Mercado_Receita!$S$2:$S$2102,"44835B1Convencional pré-pagamentoResidencialResidencialNão se aplicaNão se aplicaIntermediário",Mercado_Receita!$L$2:$L$2102)+SUMIF(Mercado_Receita!$S$2:$S$2102,"44835B1Convencional pré-pagamentoResidencialResidencialNão se aplicaNão se aplicaNão se aplica",Mercado_Receita!$L$2:$L$2102)</f>
        <v>0</v>
      </c>
      <c r="T39" s="13">
        <f>SUMIF(Mercado_Receita!$S$2:$S$2102,"44866B1Convencional pré-pagamentoResidencialResidencialNão se aplicaNão se aplicaPonta",Mercado_Receita!$L$2:$L$2102)+SUMIF(Mercado_Receita!$S$2:$S$2102,"44866B1Convencional pré-pagamentoResidencialResidencialNão se aplicaNão se aplicaFora ponta",Mercado_Receita!$L$2:$L$2102)+SUMIF(Mercado_Receita!$S$2:$S$2102,"44866B1Convencional pré-pagamentoResidencialResidencialNão se aplicaNão se aplicaIntermediário",Mercado_Receita!$L$2:$L$2102)+SUMIF(Mercado_Receita!$S$2:$S$2102,"44866B1Convencional pré-pagamentoResidencialResidencialNão se aplicaNão se aplicaNão se aplica",Mercado_Receita!$L$2:$L$2102)</f>
        <v>0</v>
      </c>
      <c r="U39" s="13">
        <f t="shared" si="1"/>
        <v>0</v>
      </c>
      <c r="V39" s="13"/>
      <c r="W39" s="13"/>
    </row>
    <row r="40" spans="1:23" ht="11.25" customHeight="1" x14ac:dyDescent="0.25">
      <c r="A40" s="93"/>
      <c r="B40" s="93"/>
      <c r="C40" s="93"/>
      <c r="D40" s="12" t="s">
        <v>31</v>
      </c>
      <c r="E40" s="12" t="s">
        <v>25</v>
      </c>
      <c r="F40" s="12" t="s">
        <v>25</v>
      </c>
      <c r="G40" s="13" t="s">
        <v>88</v>
      </c>
      <c r="H40" s="13" t="s">
        <v>82</v>
      </c>
      <c r="I40" s="13">
        <f>SUMIF(Mercado_Receita!$S$2:$S$2102,"44531B1Convencional pré-pagamentoResidencialResidencial baixa renda – faixa 01Não se aplicaNão se aplicaPonta",Mercado_Receita!$L$2:$L$2102)+SUMIF(Mercado_Receita!$S$2:$S$2102,"44531B1Convencional pré-pagamentoResidencialResidencial baixa renda – faixa 01Não se aplicaNão se aplicaFora ponta",Mercado_Receita!$L$2:$L$2102)+SUMIF(Mercado_Receita!$S$2:$S$2102,"44531B1Convencional pré-pagamentoResidencialResidencial baixa renda – faixa 01Não se aplicaNão se aplicaIntermediário",Mercado_Receita!$L$2:$L$2102)+SUMIF(Mercado_Receita!$S$2:$S$2102,"44531B1Convencional pré-pagamentoResidencialResidencial baixa renda – faixa 01Não se aplicaNão se aplicaNão se aplica",Mercado_Receita!$L$2:$L$2102)</f>
        <v>0</v>
      </c>
      <c r="J40" s="13">
        <f>SUMIF(Mercado_Receita!$S$2:$S$2102,"44562B1Convencional pré-pagamentoResidencialResidencial baixa renda – faixa 01Não se aplicaNão se aplicaPonta",Mercado_Receita!$L$2:$L$2102)+SUMIF(Mercado_Receita!$S$2:$S$2102,"44562B1Convencional pré-pagamentoResidencialResidencial baixa renda – faixa 01Não se aplicaNão se aplicaFora ponta",Mercado_Receita!$L$2:$L$2102)+SUMIF(Mercado_Receita!$S$2:$S$2102,"44562B1Convencional pré-pagamentoResidencialResidencial baixa renda – faixa 01Não se aplicaNão se aplicaIntermediário",Mercado_Receita!$L$2:$L$2102)+SUMIF(Mercado_Receita!$S$2:$S$2102,"44562B1Convencional pré-pagamentoResidencialResidencial baixa renda – faixa 01Não se aplicaNão se aplicaNão se aplica",Mercado_Receita!$L$2:$L$2102)</f>
        <v>0</v>
      </c>
      <c r="K40" s="13">
        <f>SUMIF(Mercado_Receita!$S$2:$S$2102,"44593B1Convencional pré-pagamentoResidencialResidencial baixa renda – faixa 01Não se aplicaNão se aplicaPonta",Mercado_Receita!$L$2:$L$2102)+SUMIF(Mercado_Receita!$S$2:$S$2102,"44593B1Convencional pré-pagamentoResidencialResidencial baixa renda – faixa 01Não se aplicaNão se aplicaFora ponta",Mercado_Receita!$L$2:$L$2102)+SUMIF(Mercado_Receita!$S$2:$S$2102,"44593B1Convencional pré-pagamentoResidencialResidencial baixa renda – faixa 01Não se aplicaNão se aplicaIntermediário",Mercado_Receita!$L$2:$L$2102)+SUMIF(Mercado_Receita!$S$2:$S$2102,"44593B1Convencional pré-pagamentoResidencialResidencial baixa renda – faixa 01Não se aplicaNão se aplicaNão se aplica",Mercado_Receita!$L$2:$L$2102)</f>
        <v>0</v>
      </c>
      <c r="L40" s="13">
        <f>SUMIF(Mercado_Receita!$S$2:$S$2102,"44621B1Convencional pré-pagamentoResidencialResidencial baixa renda – faixa 01Não se aplicaNão se aplicaPonta",Mercado_Receita!$L$2:$L$2102)+SUMIF(Mercado_Receita!$S$2:$S$2102,"44621B1Convencional pré-pagamentoResidencialResidencial baixa renda – faixa 01Não se aplicaNão se aplicaFora ponta",Mercado_Receita!$L$2:$L$2102)+SUMIF(Mercado_Receita!$S$2:$S$2102,"44621B1Convencional pré-pagamentoResidencialResidencial baixa renda – faixa 01Não se aplicaNão se aplicaIntermediário",Mercado_Receita!$L$2:$L$2102)+SUMIF(Mercado_Receita!$S$2:$S$2102,"44621B1Convencional pré-pagamentoResidencialResidencial baixa renda – faixa 01Não se aplicaNão se aplicaNão se aplica",Mercado_Receita!$L$2:$L$2102)</f>
        <v>0</v>
      </c>
      <c r="M40" s="13">
        <f>SUMIF(Mercado_Receita!$S$2:$S$2102,"44652B1Convencional pré-pagamentoResidencialResidencial baixa renda – faixa 01Não se aplicaNão se aplicaPonta",Mercado_Receita!$L$2:$L$2102)+SUMIF(Mercado_Receita!$S$2:$S$2102,"44652B1Convencional pré-pagamentoResidencialResidencial baixa renda – faixa 01Não se aplicaNão se aplicaFora ponta",Mercado_Receita!$L$2:$L$2102)+SUMIF(Mercado_Receita!$S$2:$S$2102,"44652B1Convencional pré-pagamentoResidencialResidencial baixa renda – faixa 01Não se aplicaNão se aplicaIntermediário",Mercado_Receita!$L$2:$L$2102)+SUMIF(Mercado_Receita!$S$2:$S$2102,"44652B1Convencional pré-pagamentoResidencialResidencial baixa renda – faixa 01Não se aplicaNão se aplicaNão se aplica",Mercado_Receita!$L$2:$L$2102)</f>
        <v>0</v>
      </c>
      <c r="N40" s="13">
        <f>SUMIF(Mercado_Receita!$S$2:$S$2102,"44682B1Convencional pré-pagamentoResidencialResidencial baixa renda – faixa 01Não se aplicaNão se aplicaPonta",Mercado_Receita!$L$2:$L$2102)+SUMIF(Mercado_Receita!$S$2:$S$2102,"44682B1Convencional pré-pagamentoResidencialResidencial baixa renda – faixa 01Não se aplicaNão se aplicaFora ponta",Mercado_Receita!$L$2:$L$2102)+SUMIF(Mercado_Receita!$S$2:$S$2102,"44682B1Convencional pré-pagamentoResidencialResidencial baixa renda – faixa 01Não se aplicaNão se aplicaIntermediário",Mercado_Receita!$L$2:$L$2102)+SUMIF(Mercado_Receita!$S$2:$S$2102,"44682B1Convencional pré-pagamentoResidencialResidencial baixa renda – faixa 01Não se aplicaNão se aplicaNão se aplica",Mercado_Receita!$L$2:$L$2102)</f>
        <v>0</v>
      </c>
      <c r="O40" s="13">
        <f>SUMIF(Mercado_Receita!$S$2:$S$2102,"44713B1Convencional pré-pagamentoResidencialResidencial baixa renda – faixa 01Não se aplicaNão se aplicaPonta",Mercado_Receita!$L$2:$L$2102)+SUMIF(Mercado_Receita!$S$2:$S$2102,"44713B1Convencional pré-pagamentoResidencialResidencial baixa renda – faixa 01Não se aplicaNão se aplicaFora ponta",Mercado_Receita!$L$2:$L$2102)+SUMIF(Mercado_Receita!$S$2:$S$2102,"44713B1Convencional pré-pagamentoResidencialResidencial baixa renda – faixa 01Não se aplicaNão se aplicaIntermediário",Mercado_Receita!$L$2:$L$2102)+SUMIF(Mercado_Receita!$S$2:$S$2102,"44713B1Convencional pré-pagamentoResidencialResidencial baixa renda – faixa 01Não se aplicaNão se aplicaNão se aplica",Mercado_Receita!$L$2:$L$2102)</f>
        <v>0</v>
      </c>
      <c r="P40" s="13">
        <f>SUMIF(Mercado_Receita!$S$2:$S$2102,"44743B1Convencional pré-pagamentoResidencialResidencial baixa renda – faixa 01Não se aplicaNão se aplicaPonta",Mercado_Receita!$L$2:$L$2102)+SUMIF(Mercado_Receita!$S$2:$S$2102,"44743B1Convencional pré-pagamentoResidencialResidencial baixa renda – faixa 01Não se aplicaNão se aplicaFora ponta",Mercado_Receita!$L$2:$L$2102)+SUMIF(Mercado_Receita!$S$2:$S$2102,"44743B1Convencional pré-pagamentoResidencialResidencial baixa renda – faixa 01Não se aplicaNão se aplicaIntermediário",Mercado_Receita!$L$2:$L$2102)+SUMIF(Mercado_Receita!$S$2:$S$2102,"44743B1Convencional pré-pagamentoResidencialResidencial baixa renda – faixa 01Não se aplicaNão se aplicaNão se aplica",Mercado_Receita!$L$2:$L$2102)</f>
        <v>0</v>
      </c>
      <c r="Q40" s="13">
        <f>SUMIF(Mercado_Receita!$S$2:$S$2102,"44774B1Convencional pré-pagamentoResidencialResidencial baixa renda – faixa 01Não se aplicaNão se aplicaPonta",Mercado_Receita!$L$2:$L$2102)+SUMIF(Mercado_Receita!$S$2:$S$2102,"44774B1Convencional pré-pagamentoResidencialResidencial baixa renda – faixa 01Não se aplicaNão se aplicaFora ponta",Mercado_Receita!$L$2:$L$2102)+SUMIF(Mercado_Receita!$S$2:$S$2102,"44774B1Convencional pré-pagamentoResidencialResidencial baixa renda – faixa 01Não se aplicaNão se aplicaIntermediário",Mercado_Receita!$L$2:$L$2102)+SUMIF(Mercado_Receita!$S$2:$S$2102,"44774B1Convencional pré-pagamentoResidencialResidencial baixa renda – faixa 01Não se aplicaNão se aplicaNão se aplica",Mercado_Receita!$L$2:$L$2102)</f>
        <v>0</v>
      </c>
      <c r="R40" s="13">
        <f>SUMIF(Mercado_Receita!$S$2:$S$2102,"44805B1Convencional pré-pagamentoResidencialResidencial baixa renda – faixa 01Não se aplicaNão se aplicaPonta",Mercado_Receita!$L$2:$L$2102)+SUMIF(Mercado_Receita!$S$2:$S$2102,"44805B1Convencional pré-pagamentoResidencialResidencial baixa renda – faixa 01Não se aplicaNão se aplicaFora ponta",Mercado_Receita!$L$2:$L$2102)+SUMIF(Mercado_Receita!$S$2:$S$2102,"44805B1Convencional pré-pagamentoResidencialResidencial baixa renda – faixa 01Não se aplicaNão se aplicaIntermediário",Mercado_Receita!$L$2:$L$2102)+SUMIF(Mercado_Receita!$S$2:$S$2102,"44805B1Convencional pré-pagamentoResidencialResidencial baixa renda – faixa 01Não se aplicaNão se aplicaNão se aplica",Mercado_Receita!$L$2:$L$2102)</f>
        <v>0</v>
      </c>
      <c r="S40" s="13">
        <f>SUMIF(Mercado_Receita!$S$2:$S$2102,"44835B1Convencional pré-pagamentoResidencialResidencial baixa renda – faixa 01Não se aplicaNão se aplicaPonta",Mercado_Receita!$L$2:$L$2102)+SUMIF(Mercado_Receita!$S$2:$S$2102,"44835B1Convencional pré-pagamentoResidencialResidencial baixa renda – faixa 01Não se aplicaNão se aplicaFora ponta",Mercado_Receita!$L$2:$L$2102)+SUMIF(Mercado_Receita!$S$2:$S$2102,"44835B1Convencional pré-pagamentoResidencialResidencial baixa renda – faixa 01Não se aplicaNão se aplicaIntermediário",Mercado_Receita!$L$2:$L$2102)+SUMIF(Mercado_Receita!$S$2:$S$2102,"44835B1Convencional pré-pagamentoResidencialResidencial baixa renda – faixa 01Não se aplicaNão se aplicaNão se aplica",Mercado_Receita!$L$2:$L$2102)</f>
        <v>0</v>
      </c>
      <c r="T40" s="13">
        <f>SUMIF(Mercado_Receita!$S$2:$S$2102,"44866B1Convencional pré-pagamentoResidencialResidencial baixa renda – faixa 01Não se aplicaNão se aplicaPonta",Mercado_Receita!$L$2:$L$2102)+SUMIF(Mercado_Receita!$S$2:$S$2102,"44866B1Convencional pré-pagamentoResidencialResidencial baixa renda – faixa 01Não se aplicaNão se aplicaFora ponta",Mercado_Receita!$L$2:$L$2102)+SUMIF(Mercado_Receita!$S$2:$S$2102,"44866B1Convencional pré-pagamentoResidencialResidencial baixa renda – faixa 01Não se aplicaNão se aplicaIntermediário",Mercado_Receita!$L$2:$L$2102)+SUMIF(Mercado_Receita!$S$2:$S$2102,"44866B1Convencional pré-pagamentoResidencialResidencial baixa renda – faixa 01Não se aplicaNão se aplicaNão se aplica",Mercado_Receita!$L$2:$L$2102)</f>
        <v>0</v>
      </c>
      <c r="U40" s="13">
        <f t="shared" si="1"/>
        <v>0</v>
      </c>
      <c r="V40" s="13"/>
      <c r="W40" s="13"/>
    </row>
    <row r="41" spans="1:23" ht="11.25" customHeight="1" x14ac:dyDescent="0.25">
      <c r="A41" s="93"/>
      <c r="B41" s="93"/>
      <c r="C41" s="93"/>
      <c r="D41" s="12" t="s">
        <v>32</v>
      </c>
      <c r="E41" s="12" t="s">
        <v>25</v>
      </c>
      <c r="F41" s="12" t="s">
        <v>25</v>
      </c>
      <c r="G41" s="13" t="s">
        <v>88</v>
      </c>
      <c r="H41" s="13" t="s">
        <v>82</v>
      </c>
      <c r="I41" s="13">
        <f>SUMIF(Mercado_Receita!$S$2:$S$2102,"44531B1Convencional pré-pagamentoResidencialResidencial baixa renda – faixa 02Não se aplicaNão se aplicaPonta",Mercado_Receita!$L$2:$L$2102)+SUMIF(Mercado_Receita!$S$2:$S$2102,"44531B1Convencional pré-pagamentoResidencialResidencial baixa renda – faixa 02Não se aplicaNão se aplicaFora ponta",Mercado_Receita!$L$2:$L$2102)+SUMIF(Mercado_Receita!$S$2:$S$2102,"44531B1Convencional pré-pagamentoResidencialResidencial baixa renda – faixa 02Não se aplicaNão se aplicaIntermediário",Mercado_Receita!$L$2:$L$2102)+SUMIF(Mercado_Receita!$S$2:$S$2102,"44531B1Convencional pré-pagamentoResidencialResidencial baixa renda – faixa 02Não se aplicaNão se aplicaNão se aplica",Mercado_Receita!$L$2:$L$2102)</f>
        <v>0</v>
      </c>
      <c r="J41" s="13">
        <f>SUMIF(Mercado_Receita!$S$2:$S$2102,"44562B1Convencional pré-pagamentoResidencialResidencial baixa renda – faixa 02Não se aplicaNão se aplicaPonta",Mercado_Receita!$L$2:$L$2102)+SUMIF(Mercado_Receita!$S$2:$S$2102,"44562B1Convencional pré-pagamentoResidencialResidencial baixa renda – faixa 02Não se aplicaNão se aplicaFora ponta",Mercado_Receita!$L$2:$L$2102)+SUMIF(Mercado_Receita!$S$2:$S$2102,"44562B1Convencional pré-pagamentoResidencialResidencial baixa renda – faixa 02Não se aplicaNão se aplicaIntermediário",Mercado_Receita!$L$2:$L$2102)+SUMIF(Mercado_Receita!$S$2:$S$2102,"44562B1Convencional pré-pagamentoResidencialResidencial baixa renda – faixa 02Não se aplicaNão se aplicaNão se aplica",Mercado_Receita!$L$2:$L$2102)</f>
        <v>0</v>
      </c>
      <c r="K41" s="13">
        <f>SUMIF(Mercado_Receita!$S$2:$S$2102,"44593B1Convencional pré-pagamentoResidencialResidencial baixa renda – faixa 02Não se aplicaNão se aplicaPonta",Mercado_Receita!$L$2:$L$2102)+SUMIF(Mercado_Receita!$S$2:$S$2102,"44593B1Convencional pré-pagamentoResidencialResidencial baixa renda – faixa 02Não se aplicaNão se aplicaFora ponta",Mercado_Receita!$L$2:$L$2102)+SUMIF(Mercado_Receita!$S$2:$S$2102,"44593B1Convencional pré-pagamentoResidencialResidencial baixa renda – faixa 02Não se aplicaNão se aplicaIntermediário",Mercado_Receita!$L$2:$L$2102)+SUMIF(Mercado_Receita!$S$2:$S$2102,"44593B1Convencional pré-pagamentoResidencialResidencial baixa renda – faixa 02Não se aplicaNão se aplicaNão se aplica",Mercado_Receita!$L$2:$L$2102)</f>
        <v>0</v>
      </c>
      <c r="L41" s="13">
        <f>SUMIF(Mercado_Receita!$S$2:$S$2102,"44621B1Convencional pré-pagamentoResidencialResidencial baixa renda – faixa 02Não se aplicaNão se aplicaPonta",Mercado_Receita!$L$2:$L$2102)+SUMIF(Mercado_Receita!$S$2:$S$2102,"44621B1Convencional pré-pagamentoResidencialResidencial baixa renda – faixa 02Não se aplicaNão se aplicaFora ponta",Mercado_Receita!$L$2:$L$2102)+SUMIF(Mercado_Receita!$S$2:$S$2102,"44621B1Convencional pré-pagamentoResidencialResidencial baixa renda – faixa 02Não se aplicaNão se aplicaIntermediário",Mercado_Receita!$L$2:$L$2102)+SUMIF(Mercado_Receita!$S$2:$S$2102,"44621B1Convencional pré-pagamentoResidencialResidencial baixa renda – faixa 02Não se aplicaNão se aplicaNão se aplica",Mercado_Receita!$L$2:$L$2102)</f>
        <v>0</v>
      </c>
      <c r="M41" s="13">
        <f>SUMIF(Mercado_Receita!$S$2:$S$2102,"44652B1Convencional pré-pagamentoResidencialResidencial baixa renda – faixa 02Não se aplicaNão se aplicaPonta",Mercado_Receita!$L$2:$L$2102)+SUMIF(Mercado_Receita!$S$2:$S$2102,"44652B1Convencional pré-pagamentoResidencialResidencial baixa renda – faixa 02Não se aplicaNão se aplicaFora ponta",Mercado_Receita!$L$2:$L$2102)+SUMIF(Mercado_Receita!$S$2:$S$2102,"44652B1Convencional pré-pagamentoResidencialResidencial baixa renda – faixa 02Não se aplicaNão se aplicaIntermediário",Mercado_Receita!$L$2:$L$2102)+SUMIF(Mercado_Receita!$S$2:$S$2102,"44652B1Convencional pré-pagamentoResidencialResidencial baixa renda – faixa 02Não se aplicaNão se aplicaNão se aplica",Mercado_Receita!$L$2:$L$2102)</f>
        <v>0</v>
      </c>
      <c r="N41" s="13">
        <f>SUMIF(Mercado_Receita!$S$2:$S$2102,"44682B1Convencional pré-pagamentoResidencialResidencial baixa renda – faixa 02Não se aplicaNão se aplicaPonta",Mercado_Receita!$L$2:$L$2102)+SUMIF(Mercado_Receita!$S$2:$S$2102,"44682B1Convencional pré-pagamentoResidencialResidencial baixa renda – faixa 02Não se aplicaNão se aplicaFora ponta",Mercado_Receita!$L$2:$L$2102)+SUMIF(Mercado_Receita!$S$2:$S$2102,"44682B1Convencional pré-pagamentoResidencialResidencial baixa renda – faixa 02Não se aplicaNão se aplicaIntermediário",Mercado_Receita!$L$2:$L$2102)+SUMIF(Mercado_Receita!$S$2:$S$2102,"44682B1Convencional pré-pagamentoResidencialResidencial baixa renda – faixa 02Não se aplicaNão se aplicaNão se aplica",Mercado_Receita!$L$2:$L$2102)</f>
        <v>0</v>
      </c>
      <c r="O41" s="13">
        <f>SUMIF(Mercado_Receita!$S$2:$S$2102,"44713B1Convencional pré-pagamentoResidencialResidencial baixa renda – faixa 02Não se aplicaNão se aplicaPonta",Mercado_Receita!$L$2:$L$2102)+SUMIF(Mercado_Receita!$S$2:$S$2102,"44713B1Convencional pré-pagamentoResidencialResidencial baixa renda – faixa 02Não se aplicaNão se aplicaFora ponta",Mercado_Receita!$L$2:$L$2102)+SUMIF(Mercado_Receita!$S$2:$S$2102,"44713B1Convencional pré-pagamentoResidencialResidencial baixa renda – faixa 02Não se aplicaNão se aplicaIntermediário",Mercado_Receita!$L$2:$L$2102)+SUMIF(Mercado_Receita!$S$2:$S$2102,"44713B1Convencional pré-pagamentoResidencialResidencial baixa renda – faixa 02Não se aplicaNão se aplicaNão se aplica",Mercado_Receita!$L$2:$L$2102)</f>
        <v>0</v>
      </c>
      <c r="P41" s="13">
        <f>SUMIF(Mercado_Receita!$S$2:$S$2102,"44743B1Convencional pré-pagamentoResidencialResidencial baixa renda – faixa 02Não se aplicaNão se aplicaPonta",Mercado_Receita!$L$2:$L$2102)+SUMIF(Mercado_Receita!$S$2:$S$2102,"44743B1Convencional pré-pagamentoResidencialResidencial baixa renda – faixa 02Não se aplicaNão se aplicaFora ponta",Mercado_Receita!$L$2:$L$2102)+SUMIF(Mercado_Receita!$S$2:$S$2102,"44743B1Convencional pré-pagamentoResidencialResidencial baixa renda – faixa 02Não se aplicaNão se aplicaIntermediário",Mercado_Receita!$L$2:$L$2102)+SUMIF(Mercado_Receita!$S$2:$S$2102,"44743B1Convencional pré-pagamentoResidencialResidencial baixa renda – faixa 02Não se aplicaNão se aplicaNão se aplica",Mercado_Receita!$L$2:$L$2102)</f>
        <v>0</v>
      </c>
      <c r="Q41" s="13">
        <f>SUMIF(Mercado_Receita!$S$2:$S$2102,"44774B1Convencional pré-pagamentoResidencialResidencial baixa renda – faixa 02Não se aplicaNão se aplicaPonta",Mercado_Receita!$L$2:$L$2102)+SUMIF(Mercado_Receita!$S$2:$S$2102,"44774B1Convencional pré-pagamentoResidencialResidencial baixa renda – faixa 02Não se aplicaNão se aplicaFora ponta",Mercado_Receita!$L$2:$L$2102)+SUMIF(Mercado_Receita!$S$2:$S$2102,"44774B1Convencional pré-pagamentoResidencialResidencial baixa renda – faixa 02Não se aplicaNão se aplicaIntermediário",Mercado_Receita!$L$2:$L$2102)+SUMIF(Mercado_Receita!$S$2:$S$2102,"44774B1Convencional pré-pagamentoResidencialResidencial baixa renda – faixa 02Não se aplicaNão se aplicaNão se aplica",Mercado_Receita!$L$2:$L$2102)</f>
        <v>0</v>
      </c>
      <c r="R41" s="13">
        <f>SUMIF(Mercado_Receita!$S$2:$S$2102,"44805B1Convencional pré-pagamentoResidencialResidencial baixa renda – faixa 02Não se aplicaNão se aplicaPonta",Mercado_Receita!$L$2:$L$2102)+SUMIF(Mercado_Receita!$S$2:$S$2102,"44805B1Convencional pré-pagamentoResidencialResidencial baixa renda – faixa 02Não se aplicaNão se aplicaFora ponta",Mercado_Receita!$L$2:$L$2102)+SUMIF(Mercado_Receita!$S$2:$S$2102,"44805B1Convencional pré-pagamentoResidencialResidencial baixa renda – faixa 02Não se aplicaNão se aplicaIntermediário",Mercado_Receita!$L$2:$L$2102)+SUMIF(Mercado_Receita!$S$2:$S$2102,"44805B1Convencional pré-pagamentoResidencialResidencial baixa renda – faixa 02Não se aplicaNão se aplicaNão se aplica",Mercado_Receita!$L$2:$L$2102)</f>
        <v>0</v>
      </c>
      <c r="S41" s="13">
        <f>SUMIF(Mercado_Receita!$S$2:$S$2102,"44835B1Convencional pré-pagamentoResidencialResidencial baixa renda – faixa 02Não se aplicaNão se aplicaPonta",Mercado_Receita!$L$2:$L$2102)+SUMIF(Mercado_Receita!$S$2:$S$2102,"44835B1Convencional pré-pagamentoResidencialResidencial baixa renda – faixa 02Não se aplicaNão se aplicaFora ponta",Mercado_Receita!$L$2:$L$2102)+SUMIF(Mercado_Receita!$S$2:$S$2102,"44835B1Convencional pré-pagamentoResidencialResidencial baixa renda – faixa 02Não se aplicaNão se aplicaIntermediário",Mercado_Receita!$L$2:$L$2102)+SUMIF(Mercado_Receita!$S$2:$S$2102,"44835B1Convencional pré-pagamentoResidencialResidencial baixa renda – faixa 02Não se aplicaNão se aplicaNão se aplica",Mercado_Receita!$L$2:$L$2102)</f>
        <v>0</v>
      </c>
      <c r="T41" s="13">
        <f>SUMIF(Mercado_Receita!$S$2:$S$2102,"44866B1Convencional pré-pagamentoResidencialResidencial baixa renda – faixa 02Não se aplicaNão se aplicaPonta",Mercado_Receita!$L$2:$L$2102)+SUMIF(Mercado_Receita!$S$2:$S$2102,"44866B1Convencional pré-pagamentoResidencialResidencial baixa renda – faixa 02Não se aplicaNão se aplicaFora ponta",Mercado_Receita!$L$2:$L$2102)+SUMIF(Mercado_Receita!$S$2:$S$2102,"44866B1Convencional pré-pagamentoResidencialResidencial baixa renda – faixa 02Não se aplicaNão se aplicaIntermediário",Mercado_Receita!$L$2:$L$2102)+SUMIF(Mercado_Receita!$S$2:$S$2102,"44866B1Convencional pré-pagamentoResidencialResidencial baixa renda – faixa 02Não se aplicaNão se aplicaNão se aplica",Mercado_Receita!$L$2:$L$2102)</f>
        <v>0</v>
      </c>
      <c r="U41" s="13">
        <f t="shared" si="1"/>
        <v>0</v>
      </c>
      <c r="V41" s="13"/>
      <c r="W41" s="13"/>
    </row>
    <row r="42" spans="1:23" ht="11.25" customHeight="1" x14ac:dyDescent="0.25">
      <c r="A42" s="93"/>
      <c r="B42" s="93"/>
      <c r="C42" s="93"/>
      <c r="D42" s="12" t="s">
        <v>33</v>
      </c>
      <c r="E42" s="12" t="s">
        <v>25</v>
      </c>
      <c r="F42" s="12" t="s">
        <v>25</v>
      </c>
      <c r="G42" s="13" t="s">
        <v>88</v>
      </c>
      <c r="H42" s="13" t="s">
        <v>82</v>
      </c>
      <c r="I42" s="13">
        <f>SUMIF(Mercado_Receita!$S$2:$S$2102,"44531B1Convencional pré-pagamentoResidencialResidencial baixa renda – faixa 03Não se aplicaNão se aplicaPonta",Mercado_Receita!$L$2:$L$2102)+SUMIF(Mercado_Receita!$S$2:$S$2102,"44531B1Convencional pré-pagamentoResidencialResidencial baixa renda – faixa 03Não se aplicaNão se aplicaFora ponta",Mercado_Receita!$L$2:$L$2102)+SUMIF(Mercado_Receita!$S$2:$S$2102,"44531B1Convencional pré-pagamentoResidencialResidencial baixa renda – faixa 03Não se aplicaNão se aplicaIntermediário",Mercado_Receita!$L$2:$L$2102)+SUMIF(Mercado_Receita!$S$2:$S$2102,"44531B1Convencional pré-pagamentoResidencialResidencial baixa renda – faixa 03Não se aplicaNão se aplicaNão se aplica",Mercado_Receita!$L$2:$L$2102)</f>
        <v>0</v>
      </c>
      <c r="J42" s="13">
        <f>SUMIF(Mercado_Receita!$S$2:$S$2102,"44562B1Convencional pré-pagamentoResidencialResidencial baixa renda – faixa 03Não se aplicaNão se aplicaPonta",Mercado_Receita!$L$2:$L$2102)+SUMIF(Mercado_Receita!$S$2:$S$2102,"44562B1Convencional pré-pagamentoResidencialResidencial baixa renda – faixa 03Não se aplicaNão se aplicaFora ponta",Mercado_Receita!$L$2:$L$2102)+SUMIF(Mercado_Receita!$S$2:$S$2102,"44562B1Convencional pré-pagamentoResidencialResidencial baixa renda – faixa 03Não se aplicaNão se aplicaIntermediário",Mercado_Receita!$L$2:$L$2102)+SUMIF(Mercado_Receita!$S$2:$S$2102,"44562B1Convencional pré-pagamentoResidencialResidencial baixa renda – faixa 03Não se aplicaNão se aplicaNão se aplica",Mercado_Receita!$L$2:$L$2102)</f>
        <v>0</v>
      </c>
      <c r="K42" s="13">
        <f>SUMIF(Mercado_Receita!$S$2:$S$2102,"44593B1Convencional pré-pagamentoResidencialResidencial baixa renda – faixa 03Não se aplicaNão se aplicaPonta",Mercado_Receita!$L$2:$L$2102)+SUMIF(Mercado_Receita!$S$2:$S$2102,"44593B1Convencional pré-pagamentoResidencialResidencial baixa renda – faixa 03Não se aplicaNão se aplicaFora ponta",Mercado_Receita!$L$2:$L$2102)+SUMIF(Mercado_Receita!$S$2:$S$2102,"44593B1Convencional pré-pagamentoResidencialResidencial baixa renda – faixa 03Não se aplicaNão se aplicaIntermediário",Mercado_Receita!$L$2:$L$2102)+SUMIF(Mercado_Receita!$S$2:$S$2102,"44593B1Convencional pré-pagamentoResidencialResidencial baixa renda – faixa 03Não se aplicaNão se aplicaNão se aplica",Mercado_Receita!$L$2:$L$2102)</f>
        <v>0</v>
      </c>
      <c r="L42" s="13">
        <f>SUMIF(Mercado_Receita!$S$2:$S$2102,"44621B1Convencional pré-pagamentoResidencialResidencial baixa renda – faixa 03Não se aplicaNão se aplicaPonta",Mercado_Receita!$L$2:$L$2102)+SUMIF(Mercado_Receita!$S$2:$S$2102,"44621B1Convencional pré-pagamentoResidencialResidencial baixa renda – faixa 03Não se aplicaNão se aplicaFora ponta",Mercado_Receita!$L$2:$L$2102)+SUMIF(Mercado_Receita!$S$2:$S$2102,"44621B1Convencional pré-pagamentoResidencialResidencial baixa renda – faixa 03Não se aplicaNão se aplicaIntermediário",Mercado_Receita!$L$2:$L$2102)+SUMIF(Mercado_Receita!$S$2:$S$2102,"44621B1Convencional pré-pagamentoResidencialResidencial baixa renda – faixa 03Não se aplicaNão se aplicaNão se aplica",Mercado_Receita!$L$2:$L$2102)</f>
        <v>0</v>
      </c>
      <c r="M42" s="13">
        <f>SUMIF(Mercado_Receita!$S$2:$S$2102,"44652B1Convencional pré-pagamentoResidencialResidencial baixa renda – faixa 03Não se aplicaNão se aplicaPonta",Mercado_Receita!$L$2:$L$2102)+SUMIF(Mercado_Receita!$S$2:$S$2102,"44652B1Convencional pré-pagamentoResidencialResidencial baixa renda – faixa 03Não se aplicaNão se aplicaFora ponta",Mercado_Receita!$L$2:$L$2102)+SUMIF(Mercado_Receita!$S$2:$S$2102,"44652B1Convencional pré-pagamentoResidencialResidencial baixa renda – faixa 03Não se aplicaNão se aplicaIntermediário",Mercado_Receita!$L$2:$L$2102)+SUMIF(Mercado_Receita!$S$2:$S$2102,"44652B1Convencional pré-pagamentoResidencialResidencial baixa renda – faixa 03Não se aplicaNão se aplicaNão se aplica",Mercado_Receita!$L$2:$L$2102)</f>
        <v>0</v>
      </c>
      <c r="N42" s="13">
        <f>SUMIF(Mercado_Receita!$S$2:$S$2102,"44682B1Convencional pré-pagamentoResidencialResidencial baixa renda – faixa 03Não se aplicaNão se aplicaPonta",Mercado_Receita!$L$2:$L$2102)+SUMIF(Mercado_Receita!$S$2:$S$2102,"44682B1Convencional pré-pagamentoResidencialResidencial baixa renda – faixa 03Não se aplicaNão se aplicaFora ponta",Mercado_Receita!$L$2:$L$2102)+SUMIF(Mercado_Receita!$S$2:$S$2102,"44682B1Convencional pré-pagamentoResidencialResidencial baixa renda – faixa 03Não se aplicaNão se aplicaIntermediário",Mercado_Receita!$L$2:$L$2102)+SUMIF(Mercado_Receita!$S$2:$S$2102,"44682B1Convencional pré-pagamentoResidencialResidencial baixa renda – faixa 03Não se aplicaNão se aplicaNão se aplica",Mercado_Receita!$L$2:$L$2102)</f>
        <v>0</v>
      </c>
      <c r="O42" s="13">
        <f>SUMIF(Mercado_Receita!$S$2:$S$2102,"44713B1Convencional pré-pagamentoResidencialResidencial baixa renda – faixa 03Não se aplicaNão se aplicaPonta",Mercado_Receita!$L$2:$L$2102)+SUMIF(Mercado_Receita!$S$2:$S$2102,"44713B1Convencional pré-pagamentoResidencialResidencial baixa renda – faixa 03Não se aplicaNão se aplicaFora ponta",Mercado_Receita!$L$2:$L$2102)+SUMIF(Mercado_Receita!$S$2:$S$2102,"44713B1Convencional pré-pagamentoResidencialResidencial baixa renda – faixa 03Não se aplicaNão se aplicaIntermediário",Mercado_Receita!$L$2:$L$2102)+SUMIF(Mercado_Receita!$S$2:$S$2102,"44713B1Convencional pré-pagamentoResidencialResidencial baixa renda – faixa 03Não se aplicaNão se aplicaNão se aplica",Mercado_Receita!$L$2:$L$2102)</f>
        <v>0</v>
      </c>
      <c r="P42" s="13">
        <f>SUMIF(Mercado_Receita!$S$2:$S$2102,"44743B1Convencional pré-pagamentoResidencialResidencial baixa renda – faixa 03Não se aplicaNão se aplicaPonta",Mercado_Receita!$L$2:$L$2102)+SUMIF(Mercado_Receita!$S$2:$S$2102,"44743B1Convencional pré-pagamentoResidencialResidencial baixa renda – faixa 03Não se aplicaNão se aplicaFora ponta",Mercado_Receita!$L$2:$L$2102)+SUMIF(Mercado_Receita!$S$2:$S$2102,"44743B1Convencional pré-pagamentoResidencialResidencial baixa renda – faixa 03Não se aplicaNão se aplicaIntermediário",Mercado_Receita!$L$2:$L$2102)+SUMIF(Mercado_Receita!$S$2:$S$2102,"44743B1Convencional pré-pagamentoResidencialResidencial baixa renda – faixa 03Não se aplicaNão se aplicaNão se aplica",Mercado_Receita!$L$2:$L$2102)</f>
        <v>0</v>
      </c>
      <c r="Q42" s="13">
        <f>SUMIF(Mercado_Receita!$S$2:$S$2102,"44774B1Convencional pré-pagamentoResidencialResidencial baixa renda – faixa 03Não se aplicaNão se aplicaPonta",Mercado_Receita!$L$2:$L$2102)+SUMIF(Mercado_Receita!$S$2:$S$2102,"44774B1Convencional pré-pagamentoResidencialResidencial baixa renda – faixa 03Não se aplicaNão se aplicaFora ponta",Mercado_Receita!$L$2:$L$2102)+SUMIF(Mercado_Receita!$S$2:$S$2102,"44774B1Convencional pré-pagamentoResidencialResidencial baixa renda – faixa 03Não se aplicaNão se aplicaIntermediário",Mercado_Receita!$L$2:$L$2102)+SUMIF(Mercado_Receita!$S$2:$S$2102,"44774B1Convencional pré-pagamentoResidencialResidencial baixa renda – faixa 03Não se aplicaNão se aplicaNão se aplica",Mercado_Receita!$L$2:$L$2102)</f>
        <v>0</v>
      </c>
      <c r="R42" s="13">
        <f>SUMIF(Mercado_Receita!$S$2:$S$2102,"44805B1Convencional pré-pagamentoResidencialResidencial baixa renda – faixa 03Não se aplicaNão se aplicaPonta",Mercado_Receita!$L$2:$L$2102)+SUMIF(Mercado_Receita!$S$2:$S$2102,"44805B1Convencional pré-pagamentoResidencialResidencial baixa renda – faixa 03Não se aplicaNão se aplicaFora ponta",Mercado_Receita!$L$2:$L$2102)+SUMIF(Mercado_Receita!$S$2:$S$2102,"44805B1Convencional pré-pagamentoResidencialResidencial baixa renda – faixa 03Não se aplicaNão se aplicaIntermediário",Mercado_Receita!$L$2:$L$2102)+SUMIF(Mercado_Receita!$S$2:$S$2102,"44805B1Convencional pré-pagamentoResidencialResidencial baixa renda – faixa 03Não se aplicaNão se aplicaNão se aplica",Mercado_Receita!$L$2:$L$2102)</f>
        <v>0</v>
      </c>
      <c r="S42" s="13">
        <f>SUMIF(Mercado_Receita!$S$2:$S$2102,"44835B1Convencional pré-pagamentoResidencialResidencial baixa renda – faixa 03Não se aplicaNão se aplicaPonta",Mercado_Receita!$L$2:$L$2102)+SUMIF(Mercado_Receita!$S$2:$S$2102,"44835B1Convencional pré-pagamentoResidencialResidencial baixa renda – faixa 03Não se aplicaNão se aplicaFora ponta",Mercado_Receita!$L$2:$L$2102)+SUMIF(Mercado_Receita!$S$2:$S$2102,"44835B1Convencional pré-pagamentoResidencialResidencial baixa renda – faixa 03Não se aplicaNão se aplicaIntermediário",Mercado_Receita!$L$2:$L$2102)+SUMIF(Mercado_Receita!$S$2:$S$2102,"44835B1Convencional pré-pagamentoResidencialResidencial baixa renda – faixa 03Não se aplicaNão se aplicaNão se aplica",Mercado_Receita!$L$2:$L$2102)</f>
        <v>0</v>
      </c>
      <c r="T42" s="13">
        <f>SUMIF(Mercado_Receita!$S$2:$S$2102,"44866B1Convencional pré-pagamentoResidencialResidencial baixa renda – faixa 03Não se aplicaNão se aplicaPonta",Mercado_Receita!$L$2:$L$2102)+SUMIF(Mercado_Receita!$S$2:$S$2102,"44866B1Convencional pré-pagamentoResidencialResidencial baixa renda – faixa 03Não se aplicaNão se aplicaFora ponta",Mercado_Receita!$L$2:$L$2102)+SUMIF(Mercado_Receita!$S$2:$S$2102,"44866B1Convencional pré-pagamentoResidencialResidencial baixa renda – faixa 03Não se aplicaNão se aplicaIntermediário",Mercado_Receita!$L$2:$L$2102)+SUMIF(Mercado_Receita!$S$2:$S$2102,"44866B1Convencional pré-pagamentoResidencialResidencial baixa renda – faixa 03Não se aplicaNão se aplicaNão se aplica",Mercado_Receita!$L$2:$L$2102)</f>
        <v>0</v>
      </c>
      <c r="U42" s="13">
        <f t="shared" si="1"/>
        <v>0</v>
      </c>
      <c r="V42" s="13"/>
      <c r="W42" s="13"/>
    </row>
    <row r="43" spans="1:23" ht="11.25" customHeight="1" x14ac:dyDescent="0.25">
      <c r="A43" s="93"/>
      <c r="B43" s="93"/>
      <c r="C43" s="93"/>
      <c r="D43" s="12" t="s">
        <v>34</v>
      </c>
      <c r="E43" s="12" t="s">
        <v>25</v>
      </c>
      <c r="F43" s="12" t="s">
        <v>25</v>
      </c>
      <c r="G43" s="13" t="s">
        <v>88</v>
      </c>
      <c r="H43" s="13" t="s">
        <v>82</v>
      </c>
      <c r="I43" s="13">
        <f>SUMIF(Mercado_Receita!$S$2:$S$2102,"44531B1Convencional pré-pagamentoResidencialResidencial baixa renda – faixa 04Não se aplicaNão se aplicaPonta",Mercado_Receita!$L$2:$L$2102)+SUMIF(Mercado_Receita!$S$2:$S$2102,"44531B1Convencional pré-pagamentoResidencialResidencial baixa renda – faixa 04Não se aplicaNão se aplicaFora ponta",Mercado_Receita!$L$2:$L$2102)+SUMIF(Mercado_Receita!$S$2:$S$2102,"44531B1Convencional pré-pagamentoResidencialResidencial baixa renda – faixa 04Não se aplicaNão se aplicaIntermediário",Mercado_Receita!$L$2:$L$2102)+SUMIF(Mercado_Receita!$S$2:$S$2102,"44531B1Convencional pré-pagamentoResidencialResidencial baixa renda – faixa 04Não se aplicaNão se aplicaNão se aplica",Mercado_Receita!$L$2:$L$2102)</f>
        <v>0</v>
      </c>
      <c r="J43" s="13">
        <f>SUMIF(Mercado_Receita!$S$2:$S$2102,"44562B1Convencional pré-pagamentoResidencialResidencial baixa renda – faixa 04Não se aplicaNão se aplicaPonta",Mercado_Receita!$L$2:$L$2102)+SUMIF(Mercado_Receita!$S$2:$S$2102,"44562B1Convencional pré-pagamentoResidencialResidencial baixa renda – faixa 04Não se aplicaNão se aplicaFora ponta",Mercado_Receita!$L$2:$L$2102)+SUMIF(Mercado_Receita!$S$2:$S$2102,"44562B1Convencional pré-pagamentoResidencialResidencial baixa renda – faixa 04Não se aplicaNão se aplicaIntermediário",Mercado_Receita!$L$2:$L$2102)+SUMIF(Mercado_Receita!$S$2:$S$2102,"44562B1Convencional pré-pagamentoResidencialResidencial baixa renda – faixa 04Não se aplicaNão se aplicaNão se aplica",Mercado_Receita!$L$2:$L$2102)</f>
        <v>0</v>
      </c>
      <c r="K43" s="13">
        <f>SUMIF(Mercado_Receita!$S$2:$S$2102,"44593B1Convencional pré-pagamentoResidencialResidencial baixa renda – faixa 04Não se aplicaNão se aplicaPonta",Mercado_Receita!$L$2:$L$2102)+SUMIF(Mercado_Receita!$S$2:$S$2102,"44593B1Convencional pré-pagamentoResidencialResidencial baixa renda – faixa 04Não se aplicaNão se aplicaFora ponta",Mercado_Receita!$L$2:$L$2102)+SUMIF(Mercado_Receita!$S$2:$S$2102,"44593B1Convencional pré-pagamentoResidencialResidencial baixa renda – faixa 04Não se aplicaNão se aplicaIntermediário",Mercado_Receita!$L$2:$L$2102)+SUMIF(Mercado_Receita!$S$2:$S$2102,"44593B1Convencional pré-pagamentoResidencialResidencial baixa renda – faixa 04Não se aplicaNão se aplicaNão se aplica",Mercado_Receita!$L$2:$L$2102)</f>
        <v>0</v>
      </c>
      <c r="L43" s="13">
        <f>SUMIF(Mercado_Receita!$S$2:$S$2102,"44621B1Convencional pré-pagamentoResidencialResidencial baixa renda – faixa 04Não se aplicaNão se aplicaPonta",Mercado_Receita!$L$2:$L$2102)+SUMIF(Mercado_Receita!$S$2:$S$2102,"44621B1Convencional pré-pagamentoResidencialResidencial baixa renda – faixa 04Não se aplicaNão se aplicaFora ponta",Mercado_Receita!$L$2:$L$2102)+SUMIF(Mercado_Receita!$S$2:$S$2102,"44621B1Convencional pré-pagamentoResidencialResidencial baixa renda – faixa 04Não se aplicaNão se aplicaIntermediário",Mercado_Receita!$L$2:$L$2102)+SUMIF(Mercado_Receita!$S$2:$S$2102,"44621B1Convencional pré-pagamentoResidencialResidencial baixa renda – faixa 04Não se aplicaNão se aplicaNão se aplica",Mercado_Receita!$L$2:$L$2102)</f>
        <v>0</v>
      </c>
      <c r="M43" s="13">
        <f>SUMIF(Mercado_Receita!$S$2:$S$2102,"44652B1Convencional pré-pagamentoResidencialResidencial baixa renda – faixa 04Não se aplicaNão se aplicaPonta",Mercado_Receita!$L$2:$L$2102)+SUMIF(Mercado_Receita!$S$2:$S$2102,"44652B1Convencional pré-pagamentoResidencialResidencial baixa renda – faixa 04Não se aplicaNão se aplicaFora ponta",Mercado_Receita!$L$2:$L$2102)+SUMIF(Mercado_Receita!$S$2:$S$2102,"44652B1Convencional pré-pagamentoResidencialResidencial baixa renda – faixa 04Não se aplicaNão se aplicaIntermediário",Mercado_Receita!$L$2:$L$2102)+SUMIF(Mercado_Receita!$S$2:$S$2102,"44652B1Convencional pré-pagamentoResidencialResidencial baixa renda – faixa 04Não se aplicaNão se aplicaNão se aplica",Mercado_Receita!$L$2:$L$2102)</f>
        <v>0</v>
      </c>
      <c r="N43" s="13">
        <f>SUMIF(Mercado_Receita!$S$2:$S$2102,"44682B1Convencional pré-pagamentoResidencialResidencial baixa renda – faixa 04Não se aplicaNão se aplicaPonta",Mercado_Receita!$L$2:$L$2102)+SUMIF(Mercado_Receita!$S$2:$S$2102,"44682B1Convencional pré-pagamentoResidencialResidencial baixa renda – faixa 04Não se aplicaNão se aplicaFora ponta",Mercado_Receita!$L$2:$L$2102)+SUMIF(Mercado_Receita!$S$2:$S$2102,"44682B1Convencional pré-pagamentoResidencialResidencial baixa renda – faixa 04Não se aplicaNão se aplicaIntermediário",Mercado_Receita!$L$2:$L$2102)+SUMIF(Mercado_Receita!$S$2:$S$2102,"44682B1Convencional pré-pagamentoResidencialResidencial baixa renda – faixa 04Não se aplicaNão se aplicaNão se aplica",Mercado_Receita!$L$2:$L$2102)</f>
        <v>0</v>
      </c>
      <c r="O43" s="13">
        <f>SUMIF(Mercado_Receita!$S$2:$S$2102,"44713B1Convencional pré-pagamentoResidencialResidencial baixa renda – faixa 04Não se aplicaNão se aplicaPonta",Mercado_Receita!$L$2:$L$2102)+SUMIF(Mercado_Receita!$S$2:$S$2102,"44713B1Convencional pré-pagamentoResidencialResidencial baixa renda – faixa 04Não se aplicaNão se aplicaFora ponta",Mercado_Receita!$L$2:$L$2102)+SUMIF(Mercado_Receita!$S$2:$S$2102,"44713B1Convencional pré-pagamentoResidencialResidencial baixa renda – faixa 04Não se aplicaNão se aplicaIntermediário",Mercado_Receita!$L$2:$L$2102)+SUMIF(Mercado_Receita!$S$2:$S$2102,"44713B1Convencional pré-pagamentoResidencialResidencial baixa renda – faixa 04Não se aplicaNão se aplicaNão se aplica",Mercado_Receita!$L$2:$L$2102)</f>
        <v>0</v>
      </c>
      <c r="P43" s="13">
        <f>SUMIF(Mercado_Receita!$S$2:$S$2102,"44743B1Convencional pré-pagamentoResidencialResidencial baixa renda – faixa 04Não se aplicaNão se aplicaPonta",Mercado_Receita!$L$2:$L$2102)+SUMIF(Mercado_Receita!$S$2:$S$2102,"44743B1Convencional pré-pagamentoResidencialResidencial baixa renda – faixa 04Não se aplicaNão se aplicaFora ponta",Mercado_Receita!$L$2:$L$2102)+SUMIF(Mercado_Receita!$S$2:$S$2102,"44743B1Convencional pré-pagamentoResidencialResidencial baixa renda – faixa 04Não se aplicaNão se aplicaIntermediário",Mercado_Receita!$L$2:$L$2102)+SUMIF(Mercado_Receita!$S$2:$S$2102,"44743B1Convencional pré-pagamentoResidencialResidencial baixa renda – faixa 04Não se aplicaNão se aplicaNão se aplica",Mercado_Receita!$L$2:$L$2102)</f>
        <v>0</v>
      </c>
      <c r="Q43" s="13">
        <f>SUMIF(Mercado_Receita!$S$2:$S$2102,"44774B1Convencional pré-pagamentoResidencialResidencial baixa renda – faixa 04Não se aplicaNão se aplicaPonta",Mercado_Receita!$L$2:$L$2102)+SUMIF(Mercado_Receita!$S$2:$S$2102,"44774B1Convencional pré-pagamentoResidencialResidencial baixa renda – faixa 04Não se aplicaNão se aplicaFora ponta",Mercado_Receita!$L$2:$L$2102)+SUMIF(Mercado_Receita!$S$2:$S$2102,"44774B1Convencional pré-pagamentoResidencialResidencial baixa renda – faixa 04Não se aplicaNão se aplicaIntermediário",Mercado_Receita!$L$2:$L$2102)+SUMIF(Mercado_Receita!$S$2:$S$2102,"44774B1Convencional pré-pagamentoResidencialResidencial baixa renda – faixa 04Não se aplicaNão se aplicaNão se aplica",Mercado_Receita!$L$2:$L$2102)</f>
        <v>0</v>
      </c>
      <c r="R43" s="13">
        <f>SUMIF(Mercado_Receita!$S$2:$S$2102,"44805B1Convencional pré-pagamentoResidencialResidencial baixa renda – faixa 04Não se aplicaNão se aplicaPonta",Mercado_Receita!$L$2:$L$2102)+SUMIF(Mercado_Receita!$S$2:$S$2102,"44805B1Convencional pré-pagamentoResidencialResidencial baixa renda – faixa 04Não se aplicaNão se aplicaFora ponta",Mercado_Receita!$L$2:$L$2102)+SUMIF(Mercado_Receita!$S$2:$S$2102,"44805B1Convencional pré-pagamentoResidencialResidencial baixa renda – faixa 04Não se aplicaNão se aplicaIntermediário",Mercado_Receita!$L$2:$L$2102)+SUMIF(Mercado_Receita!$S$2:$S$2102,"44805B1Convencional pré-pagamentoResidencialResidencial baixa renda – faixa 04Não se aplicaNão se aplicaNão se aplica",Mercado_Receita!$L$2:$L$2102)</f>
        <v>0</v>
      </c>
      <c r="S43" s="13">
        <f>SUMIF(Mercado_Receita!$S$2:$S$2102,"44835B1Convencional pré-pagamentoResidencialResidencial baixa renda – faixa 04Não se aplicaNão se aplicaPonta",Mercado_Receita!$L$2:$L$2102)+SUMIF(Mercado_Receita!$S$2:$S$2102,"44835B1Convencional pré-pagamentoResidencialResidencial baixa renda – faixa 04Não se aplicaNão se aplicaFora ponta",Mercado_Receita!$L$2:$L$2102)+SUMIF(Mercado_Receita!$S$2:$S$2102,"44835B1Convencional pré-pagamentoResidencialResidencial baixa renda – faixa 04Não se aplicaNão se aplicaIntermediário",Mercado_Receita!$L$2:$L$2102)+SUMIF(Mercado_Receita!$S$2:$S$2102,"44835B1Convencional pré-pagamentoResidencialResidencial baixa renda – faixa 04Não se aplicaNão se aplicaNão se aplica",Mercado_Receita!$L$2:$L$2102)</f>
        <v>0</v>
      </c>
      <c r="T43" s="13">
        <f>SUMIF(Mercado_Receita!$S$2:$S$2102,"44866B1Convencional pré-pagamentoResidencialResidencial baixa renda – faixa 04Não se aplicaNão se aplicaPonta",Mercado_Receita!$L$2:$L$2102)+SUMIF(Mercado_Receita!$S$2:$S$2102,"44866B1Convencional pré-pagamentoResidencialResidencial baixa renda – faixa 04Não se aplicaNão se aplicaFora ponta",Mercado_Receita!$L$2:$L$2102)+SUMIF(Mercado_Receita!$S$2:$S$2102,"44866B1Convencional pré-pagamentoResidencialResidencial baixa renda – faixa 04Não se aplicaNão se aplicaIntermediário",Mercado_Receita!$L$2:$L$2102)+SUMIF(Mercado_Receita!$S$2:$S$2102,"44866B1Convencional pré-pagamentoResidencialResidencial baixa renda – faixa 04Não se aplicaNão se aplicaNão se aplica",Mercado_Receita!$L$2:$L$2102)</f>
        <v>0</v>
      </c>
      <c r="U43" s="13">
        <f t="shared" si="1"/>
        <v>0</v>
      </c>
      <c r="V43" s="13"/>
      <c r="W43" s="13"/>
    </row>
    <row r="44" spans="1:23" ht="11.25" customHeight="1" x14ac:dyDescent="0.25">
      <c r="A44" s="92" t="s">
        <v>46</v>
      </c>
      <c r="B44" s="92" t="s">
        <v>35</v>
      </c>
      <c r="C44" s="92" t="s">
        <v>47</v>
      </c>
      <c r="D44" s="92" t="s">
        <v>25</v>
      </c>
      <c r="E44" s="92" t="s">
        <v>25</v>
      </c>
      <c r="F44" s="92" t="s">
        <v>25</v>
      </c>
      <c r="G44" s="13" t="s">
        <v>83</v>
      </c>
      <c r="H44" s="13" t="s">
        <v>82</v>
      </c>
      <c r="I44" s="13">
        <f>SUMIF(Mercado_Receita!$S$2:$S$2102,"44531B2BrancaRuralNão se aplicaNão se aplicaNão se aplicaPonta",Mercado_Receita!$L$2:$L$2102)</f>
        <v>0.29299999999999998</v>
      </c>
      <c r="J44" s="13">
        <f>SUMIF(Mercado_Receita!$S$2:$S$2102,"44562B2BrancaRuralNão se aplicaNão se aplicaNão se aplicaPonta",Mercado_Receita!$L$2:$L$2102)</f>
        <v>0.309</v>
      </c>
      <c r="K44" s="13">
        <f>SUMIF(Mercado_Receita!$S$2:$S$2102,"44593B2BrancaRuralNão se aplicaNão se aplicaNão se aplicaPonta",Mercado_Receita!$L$2:$L$2102)</f>
        <v>0.33300000000000002</v>
      </c>
      <c r="L44" s="13">
        <f>SUMIF(Mercado_Receita!$S$2:$S$2102,"44621B2BrancaRuralNão se aplicaNão se aplicaNão se aplicaPonta",Mercado_Receita!$L$2:$L$2102)</f>
        <v>0.23400000000000001</v>
      </c>
      <c r="M44" s="13">
        <f>SUMIF(Mercado_Receita!$S$2:$S$2102,"44652B2BrancaRuralNão se aplicaNão se aplicaNão se aplicaPonta",Mercado_Receita!$L$2:$L$2102)</f>
        <v>0.26700000000000002</v>
      </c>
      <c r="N44" s="13">
        <f>SUMIF(Mercado_Receita!$S$2:$S$2102,"44682B2BrancaRuralNão se aplicaNão se aplicaNão se aplicaPonta",Mercado_Receita!$L$2:$L$2102)</f>
        <v>0.34200000000000003</v>
      </c>
      <c r="O44" s="13">
        <f>SUMIF(Mercado_Receita!$S$2:$S$2102,"44713B2BrancaRuralNão se aplicaNão se aplicaNão se aplicaPonta",Mercado_Receita!$L$2:$L$2102)</f>
        <v>0.26200000000000001</v>
      </c>
      <c r="P44" s="13">
        <f>SUMIF(Mercado_Receita!$S$2:$S$2102,"44743B2BrancaRuralNão se aplicaNão se aplicaNão se aplicaPonta",Mercado_Receita!$L$2:$L$2102)</f>
        <v>0.24</v>
      </c>
      <c r="Q44" s="13">
        <f>SUMIF(Mercado_Receita!$S$2:$S$2102,"44774B2BrancaRuralNão se aplicaNão se aplicaNão se aplicaPonta",Mercado_Receita!$L$2:$L$2102)</f>
        <v>0.29899999999999999</v>
      </c>
      <c r="R44" s="13">
        <f>SUMIF(Mercado_Receita!$S$2:$S$2102,"44805B2BrancaRuralNão se aplicaNão se aplicaNão se aplicaPonta",Mercado_Receita!$L$2:$L$2102)</f>
        <v>0.23599999999999999</v>
      </c>
      <c r="S44" s="13">
        <f>SUMIF(Mercado_Receita!$S$2:$S$2102,"44835B2BrancaRuralNão se aplicaNão se aplicaNão se aplicaPonta",Mercado_Receita!$L$2:$L$2102)</f>
        <v>0.309</v>
      </c>
      <c r="T44" s="13">
        <f>SUMIF(Mercado_Receita!$S$2:$S$2102,"44866B2BrancaRuralNão se aplicaNão se aplicaNão se aplicaPonta",Mercado_Receita!$L$2:$L$2102)</f>
        <v>0.309</v>
      </c>
      <c r="U44" s="13">
        <f t="shared" si="1"/>
        <v>3.4330000000000007</v>
      </c>
      <c r="V44" s="13"/>
      <c r="W44" s="13"/>
    </row>
    <row r="45" spans="1:23" ht="11.25" customHeight="1" x14ac:dyDescent="0.25">
      <c r="A45" s="93"/>
      <c r="B45" s="93"/>
      <c r="C45" s="93"/>
      <c r="D45" s="93"/>
      <c r="E45" s="93"/>
      <c r="F45" s="93"/>
      <c r="G45" s="13" t="s">
        <v>98</v>
      </c>
      <c r="H45" s="13" t="s">
        <v>82</v>
      </c>
      <c r="I45" s="13">
        <f>SUMIF(Mercado_Receita!$S$2:$S$2102,"44531B2BrancaRuralNão se aplicaNão se aplicaNão se aplicaIntermediário",Mercado_Receita!$L$2:$L$2102)</f>
        <v>3.7999999999999999E-2</v>
      </c>
      <c r="J45" s="13">
        <f>SUMIF(Mercado_Receita!$S$2:$S$2102,"44562B2BrancaRuralNão se aplicaNão se aplicaNão se aplicaIntermediário",Mercado_Receita!$L$2:$L$2102)</f>
        <v>6.5000000000000002E-2</v>
      </c>
      <c r="K45" s="13">
        <f>SUMIF(Mercado_Receita!$S$2:$S$2102,"44593B2BrancaRuralNão se aplicaNão se aplicaNão se aplicaIntermediário",Mercado_Receita!$L$2:$L$2102)</f>
        <v>0.05</v>
      </c>
      <c r="L45" s="13">
        <f>SUMIF(Mercado_Receita!$S$2:$S$2102,"44621B2BrancaRuralNão se aplicaNão se aplicaNão se aplicaIntermediário",Mercado_Receita!$L$2:$L$2102)</f>
        <v>3.6999999999999998E-2</v>
      </c>
      <c r="M45" s="13">
        <f>SUMIF(Mercado_Receita!$S$2:$S$2102,"44652B2BrancaRuralNão se aplicaNão se aplicaNão se aplicaIntermediário",Mercado_Receita!$L$2:$L$2102)</f>
        <v>3.7999999999999999E-2</v>
      </c>
      <c r="N45" s="13">
        <f>SUMIF(Mercado_Receita!$S$2:$S$2102,"44682B2BrancaRuralNão se aplicaNão se aplicaNão se aplicaIntermediário",Mercado_Receita!$L$2:$L$2102)</f>
        <v>3.1E-2</v>
      </c>
      <c r="O45" s="13">
        <f>SUMIF(Mercado_Receita!$S$2:$S$2102,"44713B2BrancaRuralNão se aplicaNão se aplicaNão se aplicaIntermediário",Mercado_Receita!$L$2:$L$2102)</f>
        <v>3.6999999999999998E-2</v>
      </c>
      <c r="P45" s="13">
        <f>SUMIF(Mercado_Receita!$S$2:$S$2102,"44743B2BrancaRuralNão se aplicaNão se aplicaNão se aplicaIntermediário",Mercado_Receita!$L$2:$L$2102)</f>
        <v>5.1999999999999998E-2</v>
      </c>
      <c r="Q45" s="13">
        <f>SUMIF(Mercado_Receita!$S$2:$S$2102,"44774B2BrancaRuralNão se aplicaNão se aplicaNão se aplicaIntermediário",Mercado_Receita!$L$2:$L$2102)</f>
        <v>5.5E-2</v>
      </c>
      <c r="R45" s="13">
        <f>SUMIF(Mercado_Receita!$S$2:$S$2102,"44805B2BrancaRuralNão se aplicaNão se aplicaNão se aplicaIntermediário",Mercado_Receita!$L$2:$L$2102)</f>
        <v>4.5999999999999999E-2</v>
      </c>
      <c r="S45" s="13">
        <f>SUMIF(Mercado_Receita!$S$2:$S$2102,"44835B2BrancaRuralNão se aplicaNão se aplicaNão se aplicaIntermediário",Mercado_Receita!$L$2:$L$2102)</f>
        <v>4.9000000000000002E-2</v>
      </c>
      <c r="T45" s="13">
        <f>SUMIF(Mercado_Receita!$S$2:$S$2102,"44866B2BrancaRuralNão se aplicaNão se aplicaNão se aplicaIntermediário",Mercado_Receita!$L$2:$L$2102)</f>
        <v>4.9000000000000002E-2</v>
      </c>
      <c r="U45" s="13">
        <f t="shared" si="1"/>
        <v>0.54699999999999993</v>
      </c>
      <c r="V45" s="13"/>
      <c r="W45" s="13"/>
    </row>
    <row r="46" spans="1:23" ht="11.25" customHeight="1" x14ac:dyDescent="0.25">
      <c r="A46" s="93"/>
      <c r="B46" s="93"/>
      <c r="C46" s="93"/>
      <c r="D46" s="93"/>
      <c r="E46" s="93"/>
      <c r="F46" s="93"/>
      <c r="G46" s="13" t="s">
        <v>84</v>
      </c>
      <c r="H46" s="13" t="s">
        <v>82</v>
      </c>
      <c r="I46" s="13">
        <f>SUMIF(Mercado_Receita!$S$2:$S$2102,"44531B2BrancaRuralNão se aplicaNão se aplicaNão se aplicaFora ponta",Mercado_Receita!$L$2:$L$2102)</f>
        <v>5.9009999999999998</v>
      </c>
      <c r="J46" s="13">
        <f>SUMIF(Mercado_Receita!$S$2:$S$2102,"44562B2BrancaRuralNão se aplicaNão se aplicaNão se aplicaFora ponta",Mercado_Receita!$L$2:$L$2102)</f>
        <v>6.6349999999999998</v>
      </c>
      <c r="K46" s="13">
        <f>SUMIF(Mercado_Receita!$S$2:$S$2102,"44593B2BrancaRuralNão se aplicaNão se aplicaNão se aplicaFora ponta",Mercado_Receita!$L$2:$L$2102)</f>
        <v>5.76</v>
      </c>
      <c r="L46" s="13">
        <f>SUMIF(Mercado_Receita!$S$2:$S$2102,"44621B2BrancaRuralNão se aplicaNão se aplicaNão se aplicaFora ponta",Mercado_Receita!$L$2:$L$2102)</f>
        <v>5.5250000000000004</v>
      </c>
      <c r="M46" s="13">
        <f>SUMIF(Mercado_Receita!$S$2:$S$2102,"44652B2BrancaRuralNão se aplicaNão se aplicaNão se aplicaFora ponta",Mercado_Receita!$L$2:$L$2102)</f>
        <v>4.8090000000000002</v>
      </c>
      <c r="N46" s="13">
        <f>SUMIF(Mercado_Receita!$S$2:$S$2102,"44682B2BrancaRuralNão se aplicaNão se aplicaNão se aplicaFora ponta",Mercado_Receita!$L$2:$L$2102)</f>
        <v>6.3789999999999996</v>
      </c>
      <c r="O46" s="13">
        <f>SUMIF(Mercado_Receita!$S$2:$S$2102,"44713B2BrancaRuralNão se aplicaNão se aplicaNão se aplicaFora ponta",Mercado_Receita!$L$2:$L$2102)</f>
        <v>5.6680000000000001</v>
      </c>
      <c r="P46" s="13">
        <f>SUMIF(Mercado_Receita!$S$2:$S$2102,"44743B2BrancaRuralNão se aplicaNão se aplicaNão se aplicaFora ponta",Mercado_Receita!$L$2:$L$2102)</f>
        <v>5.7770000000000001</v>
      </c>
      <c r="Q46" s="13">
        <f>SUMIF(Mercado_Receita!$S$2:$S$2102,"44774B2BrancaRuralNão se aplicaNão se aplicaNão se aplicaFora ponta",Mercado_Receita!$L$2:$L$2102)</f>
        <v>7.75</v>
      </c>
      <c r="R46" s="13">
        <f>SUMIF(Mercado_Receita!$S$2:$S$2102,"44805B2BrancaRuralNão se aplicaNão se aplicaNão se aplicaFora ponta",Mercado_Receita!$L$2:$L$2102)</f>
        <v>6.0750000000000002</v>
      </c>
      <c r="S46" s="13">
        <f>SUMIF(Mercado_Receita!$S$2:$S$2102,"44835B2BrancaRuralNão se aplicaNão se aplicaNão se aplicaFora ponta",Mercado_Receita!$L$2:$L$2102)</f>
        <v>6.5540000000000003</v>
      </c>
      <c r="T46" s="13">
        <f>SUMIF(Mercado_Receita!$S$2:$S$2102,"44866B2BrancaRuralNão se aplicaNão se aplicaNão se aplicaFora ponta",Mercado_Receita!$L$2:$L$2102)</f>
        <v>6.5540000000000003</v>
      </c>
      <c r="U46" s="13">
        <f t="shared" si="1"/>
        <v>73.387</v>
      </c>
      <c r="V46" s="13"/>
      <c r="W46" s="13"/>
    </row>
    <row r="47" spans="1:23" ht="11.25" customHeight="1" x14ac:dyDescent="0.25">
      <c r="A47" s="93"/>
      <c r="B47" s="12" t="s">
        <v>23</v>
      </c>
      <c r="C47" s="12" t="s">
        <v>47</v>
      </c>
      <c r="D47" s="12" t="s">
        <v>25</v>
      </c>
      <c r="E47" s="12" t="s">
        <v>25</v>
      </c>
      <c r="F47" s="12" t="s">
        <v>25</v>
      </c>
      <c r="G47" s="13" t="s">
        <v>88</v>
      </c>
      <c r="H47" s="13" t="s">
        <v>82</v>
      </c>
      <c r="I47" s="13">
        <f>SUMIF(Mercado_Receita!$S$2:$S$2102,"44531B2ConvencionalRuralNão se aplicaNão se aplicaNão se aplicaPonta",Mercado_Receita!$L$2:$L$2102)+SUMIF(Mercado_Receita!$S$2:$S$2102,"44531B2ConvencionalRuralNão se aplicaNão se aplicaNão se aplicaFora ponta",Mercado_Receita!$L$2:$L$2102)+SUMIF(Mercado_Receita!$S$2:$S$2102,"44531B2ConvencionalRuralNão se aplicaNão se aplicaNão se aplicaIntermediário",Mercado_Receita!$L$2:$L$2102)+SUMIF(Mercado_Receita!$S$2:$S$2102,"44531B2ConvencionalRuralNão se aplicaNão se aplicaNão se aplicaNão se aplica",Mercado_Receita!$L$2:$L$2102)</f>
        <v>4544.3410000000003</v>
      </c>
      <c r="J47" s="13">
        <f>SUMIF(Mercado_Receita!$S$2:$S$2102,"44562B2ConvencionalRuralNão se aplicaNão se aplicaNão se aplicaPonta",Mercado_Receita!$L$2:$L$2102)+SUMIF(Mercado_Receita!$S$2:$S$2102,"44562B2ConvencionalRuralNão se aplicaNão se aplicaNão se aplicaFora ponta",Mercado_Receita!$L$2:$L$2102)+SUMIF(Mercado_Receita!$S$2:$S$2102,"44562B2ConvencionalRuralNão se aplicaNão se aplicaNão se aplicaIntermediário",Mercado_Receita!$L$2:$L$2102)+SUMIF(Mercado_Receita!$S$2:$S$2102,"44562B2ConvencionalRuralNão se aplicaNão se aplicaNão se aplicaNão se aplica",Mercado_Receita!$L$2:$L$2102)</f>
        <v>4653.0040000000008</v>
      </c>
      <c r="K47" s="13">
        <f>SUMIF(Mercado_Receita!$S$2:$S$2102,"44593B2ConvencionalRuralNão se aplicaNão se aplicaNão se aplicaPonta",Mercado_Receita!$L$2:$L$2102)+SUMIF(Mercado_Receita!$S$2:$S$2102,"44593B2ConvencionalRuralNão se aplicaNão se aplicaNão se aplicaFora ponta",Mercado_Receita!$L$2:$L$2102)+SUMIF(Mercado_Receita!$S$2:$S$2102,"44593B2ConvencionalRuralNão se aplicaNão se aplicaNão se aplicaIntermediário",Mercado_Receita!$L$2:$L$2102)+SUMIF(Mercado_Receita!$S$2:$S$2102,"44593B2ConvencionalRuralNão se aplicaNão se aplicaNão se aplicaNão se aplica",Mercado_Receita!$L$2:$L$2102)</f>
        <v>4321.3140000000003</v>
      </c>
      <c r="L47" s="13">
        <f>SUMIF(Mercado_Receita!$S$2:$S$2102,"44621B2ConvencionalRuralNão se aplicaNão se aplicaNão se aplicaPonta",Mercado_Receita!$L$2:$L$2102)+SUMIF(Mercado_Receita!$S$2:$S$2102,"44621B2ConvencionalRuralNão se aplicaNão se aplicaNão se aplicaFora ponta",Mercado_Receita!$L$2:$L$2102)+SUMIF(Mercado_Receita!$S$2:$S$2102,"44621B2ConvencionalRuralNão se aplicaNão se aplicaNão se aplicaIntermediário",Mercado_Receita!$L$2:$L$2102)+SUMIF(Mercado_Receita!$S$2:$S$2102,"44621B2ConvencionalRuralNão se aplicaNão se aplicaNão se aplicaNão se aplica",Mercado_Receita!$L$2:$L$2102)</f>
        <v>3421.8129999999996</v>
      </c>
      <c r="M47" s="13">
        <f>SUMIF(Mercado_Receita!$S$2:$S$2102,"44652B2ConvencionalRuralNão se aplicaNão se aplicaNão se aplicaPonta",Mercado_Receita!$L$2:$L$2102)+SUMIF(Mercado_Receita!$S$2:$S$2102,"44652B2ConvencionalRuralNão se aplicaNão se aplicaNão se aplicaFora ponta",Mercado_Receita!$L$2:$L$2102)+SUMIF(Mercado_Receita!$S$2:$S$2102,"44652B2ConvencionalRuralNão se aplicaNão se aplicaNão se aplicaIntermediário",Mercado_Receita!$L$2:$L$2102)+SUMIF(Mercado_Receita!$S$2:$S$2102,"44652B2ConvencionalRuralNão se aplicaNão se aplicaNão se aplicaNão se aplica",Mercado_Receita!$L$2:$L$2102)</f>
        <v>3436.9319999999998</v>
      </c>
      <c r="N47" s="13">
        <f>SUMIF(Mercado_Receita!$S$2:$S$2102,"44682B2ConvencionalRuralNão se aplicaNão se aplicaNão se aplicaPonta",Mercado_Receita!$L$2:$L$2102)+SUMIF(Mercado_Receita!$S$2:$S$2102,"44682B2ConvencionalRuralNão se aplicaNão se aplicaNão se aplicaFora ponta",Mercado_Receita!$L$2:$L$2102)+SUMIF(Mercado_Receita!$S$2:$S$2102,"44682B2ConvencionalRuralNão se aplicaNão se aplicaNão se aplicaIntermediário",Mercado_Receita!$L$2:$L$2102)+SUMIF(Mercado_Receita!$S$2:$S$2102,"44682B2ConvencionalRuralNão se aplicaNão se aplicaNão se aplicaNão se aplica",Mercado_Receita!$L$2:$L$2102)</f>
        <v>3596.3919999999998</v>
      </c>
      <c r="O47" s="13">
        <f>SUMIF(Mercado_Receita!$S$2:$S$2102,"44713B2ConvencionalRuralNão se aplicaNão se aplicaNão se aplicaPonta",Mercado_Receita!$L$2:$L$2102)+SUMIF(Mercado_Receita!$S$2:$S$2102,"44713B2ConvencionalRuralNão se aplicaNão se aplicaNão se aplicaFora ponta",Mercado_Receita!$L$2:$L$2102)+SUMIF(Mercado_Receita!$S$2:$S$2102,"44713B2ConvencionalRuralNão se aplicaNão se aplicaNão se aplicaIntermediário",Mercado_Receita!$L$2:$L$2102)+SUMIF(Mercado_Receita!$S$2:$S$2102,"44713B2ConvencionalRuralNão se aplicaNão se aplicaNão se aplicaNão se aplica",Mercado_Receita!$L$2:$L$2102)</f>
        <v>3332.8789999999999</v>
      </c>
      <c r="P47" s="13">
        <f>SUMIF(Mercado_Receita!$S$2:$S$2102,"44743B2ConvencionalRuralNão se aplicaNão se aplicaNão se aplicaPonta",Mercado_Receita!$L$2:$L$2102)+SUMIF(Mercado_Receita!$S$2:$S$2102,"44743B2ConvencionalRuralNão se aplicaNão se aplicaNão se aplicaFora ponta",Mercado_Receita!$L$2:$L$2102)+SUMIF(Mercado_Receita!$S$2:$S$2102,"44743B2ConvencionalRuralNão se aplicaNão se aplicaNão se aplicaIntermediário",Mercado_Receita!$L$2:$L$2102)+SUMIF(Mercado_Receita!$S$2:$S$2102,"44743B2ConvencionalRuralNão se aplicaNão se aplicaNão se aplicaNão se aplica",Mercado_Receita!$L$2:$L$2102)</f>
        <v>3635.3710000000001</v>
      </c>
      <c r="Q47" s="13">
        <f>SUMIF(Mercado_Receita!$S$2:$S$2102,"44774B2ConvencionalRuralNão se aplicaNão se aplicaNão se aplicaPonta",Mercado_Receita!$L$2:$L$2102)+SUMIF(Mercado_Receita!$S$2:$S$2102,"44774B2ConvencionalRuralNão se aplicaNão se aplicaNão se aplicaFora ponta",Mercado_Receita!$L$2:$L$2102)+SUMIF(Mercado_Receita!$S$2:$S$2102,"44774B2ConvencionalRuralNão se aplicaNão se aplicaNão se aplicaIntermediário",Mercado_Receita!$L$2:$L$2102)+SUMIF(Mercado_Receita!$S$2:$S$2102,"44774B2ConvencionalRuralNão se aplicaNão se aplicaNão se aplicaNão se aplica",Mercado_Receita!$L$2:$L$2102)</f>
        <v>3799.665</v>
      </c>
      <c r="R47" s="13">
        <f>SUMIF(Mercado_Receita!$S$2:$S$2102,"44805B2ConvencionalRuralNão se aplicaNão se aplicaNão se aplicaPonta",Mercado_Receita!$L$2:$L$2102)+SUMIF(Mercado_Receita!$S$2:$S$2102,"44805B2ConvencionalRuralNão se aplicaNão se aplicaNão se aplicaFora ponta",Mercado_Receita!$L$2:$L$2102)+SUMIF(Mercado_Receita!$S$2:$S$2102,"44805B2ConvencionalRuralNão se aplicaNão se aplicaNão se aplicaIntermediário",Mercado_Receita!$L$2:$L$2102)+SUMIF(Mercado_Receita!$S$2:$S$2102,"44805B2ConvencionalRuralNão se aplicaNão se aplicaNão se aplicaNão se aplica",Mercado_Receita!$L$2:$L$2102)</f>
        <v>3659.1919999999996</v>
      </c>
      <c r="S47" s="13">
        <f>SUMIF(Mercado_Receita!$S$2:$S$2102,"44835B2ConvencionalRuralNão se aplicaNão se aplicaNão se aplicaPonta",Mercado_Receita!$L$2:$L$2102)+SUMIF(Mercado_Receita!$S$2:$S$2102,"44835B2ConvencionalRuralNão se aplicaNão se aplicaNão se aplicaFora ponta",Mercado_Receita!$L$2:$L$2102)+SUMIF(Mercado_Receita!$S$2:$S$2102,"44835B2ConvencionalRuralNão se aplicaNão se aplicaNão se aplicaIntermediário",Mercado_Receita!$L$2:$L$2102)+SUMIF(Mercado_Receita!$S$2:$S$2102,"44835B2ConvencionalRuralNão se aplicaNão se aplicaNão se aplicaNão se aplica",Mercado_Receita!$L$2:$L$2102)</f>
        <v>3720.2489999999998</v>
      </c>
      <c r="T47" s="13">
        <f>SUMIF(Mercado_Receita!$S$2:$S$2102,"44866B2ConvencionalRuralNão se aplicaNão se aplicaNão se aplicaPonta",Mercado_Receita!$L$2:$L$2102)+SUMIF(Mercado_Receita!$S$2:$S$2102,"44866B2ConvencionalRuralNão se aplicaNão se aplicaNão se aplicaFora ponta",Mercado_Receita!$L$2:$L$2102)+SUMIF(Mercado_Receita!$S$2:$S$2102,"44866B2ConvencionalRuralNão se aplicaNão se aplicaNão se aplicaIntermediário",Mercado_Receita!$L$2:$L$2102)+SUMIF(Mercado_Receita!$S$2:$S$2102,"44866B2ConvencionalRuralNão se aplicaNão se aplicaNão se aplicaNão se aplica",Mercado_Receita!$L$2:$L$2102)</f>
        <v>3720.2489999999998</v>
      </c>
      <c r="U47" s="13">
        <f t="shared" si="1"/>
        <v>45841.400999999998</v>
      </c>
      <c r="V47" s="13"/>
      <c r="W47" s="13"/>
    </row>
    <row r="48" spans="1:23" ht="11.25" customHeight="1" x14ac:dyDescent="0.25">
      <c r="A48" s="93"/>
      <c r="B48" s="92" t="s">
        <v>35</v>
      </c>
      <c r="C48" s="92" t="s">
        <v>47</v>
      </c>
      <c r="D48" s="92" t="s">
        <v>101</v>
      </c>
      <c r="E48" s="92" t="s">
        <v>25</v>
      </c>
      <c r="F48" s="92" t="s">
        <v>25</v>
      </c>
      <c r="G48" s="13" t="s">
        <v>83</v>
      </c>
      <c r="H48" s="13" t="s">
        <v>82</v>
      </c>
      <c r="I48" s="13">
        <f>SUMIF(Mercado_Receita!$S$2:$S$2102,"44531B2BrancaRuralCooperativa de eletrificação ruralNão se aplicaNão se aplicaPonta",Mercado_Receita!$L$2:$L$2102)</f>
        <v>0</v>
      </c>
      <c r="J48" s="13">
        <f>SUMIF(Mercado_Receita!$S$2:$S$2102,"44562B2BrancaRuralCooperativa de eletrificação ruralNão se aplicaNão se aplicaPonta",Mercado_Receita!$L$2:$L$2102)</f>
        <v>0</v>
      </c>
      <c r="K48" s="13">
        <f>SUMIF(Mercado_Receita!$S$2:$S$2102,"44593B2BrancaRuralCooperativa de eletrificação ruralNão se aplicaNão se aplicaPonta",Mercado_Receita!$L$2:$L$2102)</f>
        <v>0</v>
      </c>
      <c r="L48" s="13">
        <f>SUMIF(Mercado_Receita!$S$2:$S$2102,"44621B2BrancaRuralCooperativa de eletrificação ruralNão se aplicaNão se aplicaPonta",Mercado_Receita!$L$2:$L$2102)</f>
        <v>0</v>
      </c>
      <c r="M48" s="13">
        <f>SUMIF(Mercado_Receita!$S$2:$S$2102,"44652B2BrancaRuralCooperativa de eletrificação ruralNão se aplicaNão se aplicaPonta",Mercado_Receita!$L$2:$L$2102)</f>
        <v>0</v>
      </c>
      <c r="N48" s="13">
        <f>SUMIF(Mercado_Receita!$S$2:$S$2102,"44682B2BrancaRuralCooperativa de eletrificação ruralNão se aplicaNão se aplicaPonta",Mercado_Receita!$L$2:$L$2102)</f>
        <v>0</v>
      </c>
      <c r="O48" s="13">
        <f>SUMIF(Mercado_Receita!$S$2:$S$2102,"44713B2BrancaRuralCooperativa de eletrificação ruralNão se aplicaNão se aplicaPonta",Mercado_Receita!$L$2:$L$2102)</f>
        <v>0</v>
      </c>
      <c r="P48" s="13">
        <f>SUMIF(Mercado_Receita!$S$2:$S$2102,"44743B2BrancaRuralCooperativa de eletrificação ruralNão se aplicaNão se aplicaPonta",Mercado_Receita!$L$2:$L$2102)</f>
        <v>0</v>
      </c>
      <c r="Q48" s="13">
        <f>SUMIF(Mercado_Receita!$S$2:$S$2102,"44774B2BrancaRuralCooperativa de eletrificação ruralNão se aplicaNão se aplicaPonta",Mercado_Receita!$L$2:$L$2102)</f>
        <v>0</v>
      </c>
      <c r="R48" s="13">
        <f>SUMIF(Mercado_Receita!$S$2:$S$2102,"44805B2BrancaRuralCooperativa de eletrificação ruralNão se aplicaNão se aplicaPonta",Mercado_Receita!$L$2:$L$2102)</f>
        <v>0</v>
      </c>
      <c r="S48" s="13">
        <f>SUMIF(Mercado_Receita!$S$2:$S$2102,"44835B2BrancaRuralCooperativa de eletrificação ruralNão se aplicaNão se aplicaPonta",Mercado_Receita!$L$2:$L$2102)</f>
        <v>0</v>
      </c>
      <c r="T48" s="13">
        <f>SUMIF(Mercado_Receita!$S$2:$S$2102,"44866B2BrancaRuralCooperativa de eletrificação ruralNão se aplicaNão se aplicaPonta",Mercado_Receita!$L$2:$L$2102)</f>
        <v>0</v>
      </c>
      <c r="U48" s="13">
        <f t="shared" si="1"/>
        <v>0</v>
      </c>
      <c r="V48" s="13"/>
      <c r="W48" s="13"/>
    </row>
    <row r="49" spans="1:23" ht="11.25" customHeight="1" x14ac:dyDescent="0.25">
      <c r="A49" s="93"/>
      <c r="B49" s="93"/>
      <c r="C49" s="93"/>
      <c r="D49" s="93"/>
      <c r="E49" s="93"/>
      <c r="F49" s="93"/>
      <c r="G49" s="13" t="s">
        <v>98</v>
      </c>
      <c r="H49" s="13" t="s">
        <v>82</v>
      </c>
      <c r="I49" s="13">
        <f>SUMIF(Mercado_Receita!$S$2:$S$2102,"44531B2BrancaRuralCooperativa de eletrificação ruralNão se aplicaNão se aplicaIntermediário",Mercado_Receita!$L$2:$L$2102)</f>
        <v>0</v>
      </c>
      <c r="J49" s="13">
        <f>SUMIF(Mercado_Receita!$S$2:$S$2102,"44562B2BrancaRuralCooperativa de eletrificação ruralNão se aplicaNão se aplicaIntermediário",Mercado_Receita!$L$2:$L$2102)</f>
        <v>0</v>
      </c>
      <c r="K49" s="13">
        <f>SUMIF(Mercado_Receita!$S$2:$S$2102,"44593B2BrancaRuralCooperativa de eletrificação ruralNão se aplicaNão se aplicaIntermediário",Mercado_Receita!$L$2:$L$2102)</f>
        <v>0</v>
      </c>
      <c r="L49" s="13">
        <f>SUMIF(Mercado_Receita!$S$2:$S$2102,"44621B2BrancaRuralCooperativa de eletrificação ruralNão se aplicaNão se aplicaIntermediário",Mercado_Receita!$L$2:$L$2102)</f>
        <v>0</v>
      </c>
      <c r="M49" s="13">
        <f>SUMIF(Mercado_Receita!$S$2:$S$2102,"44652B2BrancaRuralCooperativa de eletrificação ruralNão se aplicaNão se aplicaIntermediário",Mercado_Receita!$L$2:$L$2102)</f>
        <v>0</v>
      </c>
      <c r="N49" s="13">
        <f>SUMIF(Mercado_Receita!$S$2:$S$2102,"44682B2BrancaRuralCooperativa de eletrificação ruralNão se aplicaNão se aplicaIntermediário",Mercado_Receita!$L$2:$L$2102)</f>
        <v>0</v>
      </c>
      <c r="O49" s="13">
        <f>SUMIF(Mercado_Receita!$S$2:$S$2102,"44713B2BrancaRuralCooperativa de eletrificação ruralNão se aplicaNão se aplicaIntermediário",Mercado_Receita!$L$2:$L$2102)</f>
        <v>0</v>
      </c>
      <c r="P49" s="13">
        <f>SUMIF(Mercado_Receita!$S$2:$S$2102,"44743B2BrancaRuralCooperativa de eletrificação ruralNão se aplicaNão se aplicaIntermediário",Mercado_Receita!$L$2:$L$2102)</f>
        <v>0</v>
      </c>
      <c r="Q49" s="13">
        <f>SUMIF(Mercado_Receita!$S$2:$S$2102,"44774B2BrancaRuralCooperativa de eletrificação ruralNão se aplicaNão se aplicaIntermediário",Mercado_Receita!$L$2:$L$2102)</f>
        <v>0</v>
      </c>
      <c r="R49" s="13">
        <f>SUMIF(Mercado_Receita!$S$2:$S$2102,"44805B2BrancaRuralCooperativa de eletrificação ruralNão se aplicaNão se aplicaIntermediário",Mercado_Receita!$L$2:$L$2102)</f>
        <v>0</v>
      </c>
      <c r="S49" s="13">
        <f>SUMIF(Mercado_Receita!$S$2:$S$2102,"44835B2BrancaRuralCooperativa de eletrificação ruralNão se aplicaNão se aplicaIntermediário",Mercado_Receita!$L$2:$L$2102)</f>
        <v>0</v>
      </c>
      <c r="T49" s="13">
        <f>SUMIF(Mercado_Receita!$S$2:$S$2102,"44866B2BrancaRuralCooperativa de eletrificação ruralNão se aplicaNão se aplicaIntermediário",Mercado_Receita!$L$2:$L$2102)</f>
        <v>0</v>
      </c>
      <c r="U49" s="13">
        <f t="shared" si="1"/>
        <v>0</v>
      </c>
      <c r="V49" s="13"/>
      <c r="W49" s="13"/>
    </row>
    <row r="50" spans="1:23" ht="11.25" customHeight="1" x14ac:dyDescent="0.25">
      <c r="A50" s="93"/>
      <c r="B50" s="93"/>
      <c r="C50" s="93"/>
      <c r="D50" s="93"/>
      <c r="E50" s="93"/>
      <c r="F50" s="93"/>
      <c r="G50" s="13" t="s">
        <v>84</v>
      </c>
      <c r="H50" s="13" t="s">
        <v>82</v>
      </c>
      <c r="I50" s="13">
        <f>SUMIF(Mercado_Receita!$S$2:$S$2102,"44531B2BrancaRuralCooperativa de eletrificação ruralNão se aplicaNão se aplicaFora ponta",Mercado_Receita!$L$2:$L$2102)</f>
        <v>0</v>
      </c>
      <c r="J50" s="13">
        <f>SUMIF(Mercado_Receita!$S$2:$S$2102,"44562B2BrancaRuralCooperativa de eletrificação ruralNão se aplicaNão se aplicaFora ponta",Mercado_Receita!$L$2:$L$2102)</f>
        <v>0</v>
      </c>
      <c r="K50" s="13">
        <f>SUMIF(Mercado_Receita!$S$2:$S$2102,"44593B2BrancaRuralCooperativa de eletrificação ruralNão se aplicaNão se aplicaFora ponta",Mercado_Receita!$L$2:$L$2102)</f>
        <v>0</v>
      </c>
      <c r="L50" s="13">
        <f>SUMIF(Mercado_Receita!$S$2:$S$2102,"44621B2BrancaRuralCooperativa de eletrificação ruralNão se aplicaNão se aplicaFora ponta",Mercado_Receita!$L$2:$L$2102)</f>
        <v>0</v>
      </c>
      <c r="M50" s="13">
        <f>SUMIF(Mercado_Receita!$S$2:$S$2102,"44652B2BrancaRuralCooperativa de eletrificação ruralNão se aplicaNão se aplicaFora ponta",Mercado_Receita!$L$2:$L$2102)</f>
        <v>0</v>
      </c>
      <c r="N50" s="13">
        <f>SUMIF(Mercado_Receita!$S$2:$S$2102,"44682B2BrancaRuralCooperativa de eletrificação ruralNão se aplicaNão se aplicaFora ponta",Mercado_Receita!$L$2:$L$2102)</f>
        <v>0</v>
      </c>
      <c r="O50" s="13">
        <f>SUMIF(Mercado_Receita!$S$2:$S$2102,"44713B2BrancaRuralCooperativa de eletrificação ruralNão se aplicaNão se aplicaFora ponta",Mercado_Receita!$L$2:$L$2102)</f>
        <v>0</v>
      </c>
      <c r="P50" s="13">
        <f>SUMIF(Mercado_Receita!$S$2:$S$2102,"44743B2BrancaRuralCooperativa de eletrificação ruralNão se aplicaNão se aplicaFora ponta",Mercado_Receita!$L$2:$L$2102)</f>
        <v>0</v>
      </c>
      <c r="Q50" s="13">
        <f>SUMIF(Mercado_Receita!$S$2:$S$2102,"44774B2BrancaRuralCooperativa de eletrificação ruralNão se aplicaNão se aplicaFora ponta",Mercado_Receita!$L$2:$L$2102)</f>
        <v>0</v>
      </c>
      <c r="R50" s="13">
        <f>SUMIF(Mercado_Receita!$S$2:$S$2102,"44805B2BrancaRuralCooperativa de eletrificação ruralNão se aplicaNão se aplicaFora ponta",Mercado_Receita!$L$2:$L$2102)</f>
        <v>0</v>
      </c>
      <c r="S50" s="13">
        <f>SUMIF(Mercado_Receita!$S$2:$S$2102,"44835B2BrancaRuralCooperativa de eletrificação ruralNão se aplicaNão se aplicaFora ponta",Mercado_Receita!$L$2:$L$2102)</f>
        <v>0</v>
      </c>
      <c r="T50" s="13">
        <f>SUMIF(Mercado_Receita!$S$2:$S$2102,"44866B2BrancaRuralCooperativa de eletrificação ruralNão se aplicaNão se aplicaFora ponta",Mercado_Receita!$L$2:$L$2102)</f>
        <v>0</v>
      </c>
      <c r="U50" s="13">
        <f t="shared" si="1"/>
        <v>0</v>
      </c>
      <c r="V50" s="13"/>
      <c r="W50" s="13"/>
    </row>
    <row r="51" spans="1:23" ht="11.25" customHeight="1" x14ac:dyDescent="0.25">
      <c r="A51" s="93"/>
      <c r="B51" s="12" t="s">
        <v>23</v>
      </c>
      <c r="C51" s="12" t="s">
        <v>47</v>
      </c>
      <c r="D51" s="12" t="s">
        <v>101</v>
      </c>
      <c r="E51" s="12" t="s">
        <v>25</v>
      </c>
      <c r="F51" s="12" t="s">
        <v>25</v>
      </c>
      <c r="G51" s="13" t="s">
        <v>88</v>
      </c>
      <c r="H51" s="13" t="s">
        <v>82</v>
      </c>
      <c r="I51" s="13">
        <f>SUMIF(Mercado_Receita!$S$2:$S$2102,"44531B2ConvencionalRuralCooperativa de eletrificação ruralNão se aplicaNão se aplicaPonta",Mercado_Receita!$L$2:$L$2102)+SUMIF(Mercado_Receita!$S$2:$S$2102,"44531B2ConvencionalRuralCooperativa de eletrificação ruralNão se aplicaNão se aplicaFora ponta",Mercado_Receita!$L$2:$L$2102)+SUMIF(Mercado_Receita!$S$2:$S$2102,"44531B2ConvencionalRuralCooperativa de eletrificação ruralNão se aplicaNão se aplicaIntermediário",Mercado_Receita!$L$2:$L$2102)+SUMIF(Mercado_Receita!$S$2:$S$2102,"44531B2ConvencionalRuralCooperativa de eletrificação ruralNão se aplicaNão se aplicaNão se aplica",Mercado_Receita!$L$2:$L$2102)</f>
        <v>0</v>
      </c>
      <c r="J51" s="13">
        <f>SUMIF(Mercado_Receita!$S$2:$S$2102,"44562B2ConvencionalRuralCooperativa de eletrificação ruralNão se aplicaNão se aplicaPonta",Mercado_Receita!$L$2:$L$2102)+SUMIF(Mercado_Receita!$S$2:$S$2102,"44562B2ConvencionalRuralCooperativa de eletrificação ruralNão se aplicaNão se aplicaFora ponta",Mercado_Receita!$L$2:$L$2102)+SUMIF(Mercado_Receita!$S$2:$S$2102,"44562B2ConvencionalRuralCooperativa de eletrificação ruralNão se aplicaNão se aplicaIntermediário",Mercado_Receita!$L$2:$L$2102)+SUMIF(Mercado_Receita!$S$2:$S$2102,"44562B2ConvencionalRuralCooperativa de eletrificação ruralNão se aplicaNão se aplicaNão se aplica",Mercado_Receita!$L$2:$L$2102)</f>
        <v>0</v>
      </c>
      <c r="K51" s="13">
        <f>SUMIF(Mercado_Receita!$S$2:$S$2102,"44593B2ConvencionalRuralCooperativa de eletrificação ruralNão se aplicaNão se aplicaPonta",Mercado_Receita!$L$2:$L$2102)+SUMIF(Mercado_Receita!$S$2:$S$2102,"44593B2ConvencionalRuralCooperativa de eletrificação ruralNão se aplicaNão se aplicaFora ponta",Mercado_Receita!$L$2:$L$2102)+SUMIF(Mercado_Receita!$S$2:$S$2102,"44593B2ConvencionalRuralCooperativa de eletrificação ruralNão se aplicaNão se aplicaIntermediário",Mercado_Receita!$L$2:$L$2102)+SUMIF(Mercado_Receita!$S$2:$S$2102,"44593B2ConvencionalRuralCooperativa de eletrificação ruralNão se aplicaNão se aplicaNão se aplica",Mercado_Receita!$L$2:$L$2102)</f>
        <v>0</v>
      </c>
      <c r="L51" s="13">
        <f>SUMIF(Mercado_Receita!$S$2:$S$2102,"44621B2ConvencionalRuralCooperativa de eletrificação ruralNão se aplicaNão se aplicaPonta",Mercado_Receita!$L$2:$L$2102)+SUMIF(Mercado_Receita!$S$2:$S$2102,"44621B2ConvencionalRuralCooperativa de eletrificação ruralNão se aplicaNão se aplicaFora ponta",Mercado_Receita!$L$2:$L$2102)+SUMIF(Mercado_Receita!$S$2:$S$2102,"44621B2ConvencionalRuralCooperativa de eletrificação ruralNão se aplicaNão se aplicaIntermediário",Mercado_Receita!$L$2:$L$2102)+SUMIF(Mercado_Receita!$S$2:$S$2102,"44621B2ConvencionalRuralCooperativa de eletrificação ruralNão se aplicaNão se aplicaNão se aplica",Mercado_Receita!$L$2:$L$2102)</f>
        <v>0</v>
      </c>
      <c r="M51" s="13">
        <f>SUMIF(Mercado_Receita!$S$2:$S$2102,"44652B2ConvencionalRuralCooperativa de eletrificação ruralNão se aplicaNão se aplicaPonta",Mercado_Receita!$L$2:$L$2102)+SUMIF(Mercado_Receita!$S$2:$S$2102,"44652B2ConvencionalRuralCooperativa de eletrificação ruralNão se aplicaNão se aplicaFora ponta",Mercado_Receita!$L$2:$L$2102)+SUMIF(Mercado_Receita!$S$2:$S$2102,"44652B2ConvencionalRuralCooperativa de eletrificação ruralNão se aplicaNão se aplicaIntermediário",Mercado_Receita!$L$2:$L$2102)+SUMIF(Mercado_Receita!$S$2:$S$2102,"44652B2ConvencionalRuralCooperativa de eletrificação ruralNão se aplicaNão se aplicaNão se aplica",Mercado_Receita!$L$2:$L$2102)</f>
        <v>0</v>
      </c>
      <c r="N51" s="13">
        <f>SUMIF(Mercado_Receita!$S$2:$S$2102,"44682B2ConvencionalRuralCooperativa de eletrificação ruralNão se aplicaNão se aplicaPonta",Mercado_Receita!$L$2:$L$2102)+SUMIF(Mercado_Receita!$S$2:$S$2102,"44682B2ConvencionalRuralCooperativa de eletrificação ruralNão se aplicaNão se aplicaFora ponta",Mercado_Receita!$L$2:$L$2102)+SUMIF(Mercado_Receita!$S$2:$S$2102,"44682B2ConvencionalRuralCooperativa de eletrificação ruralNão se aplicaNão se aplicaIntermediário",Mercado_Receita!$L$2:$L$2102)+SUMIF(Mercado_Receita!$S$2:$S$2102,"44682B2ConvencionalRuralCooperativa de eletrificação ruralNão se aplicaNão se aplicaNão se aplica",Mercado_Receita!$L$2:$L$2102)</f>
        <v>0</v>
      </c>
      <c r="O51" s="13">
        <f>SUMIF(Mercado_Receita!$S$2:$S$2102,"44713B2ConvencionalRuralCooperativa de eletrificação ruralNão se aplicaNão se aplicaPonta",Mercado_Receita!$L$2:$L$2102)+SUMIF(Mercado_Receita!$S$2:$S$2102,"44713B2ConvencionalRuralCooperativa de eletrificação ruralNão se aplicaNão se aplicaFora ponta",Mercado_Receita!$L$2:$L$2102)+SUMIF(Mercado_Receita!$S$2:$S$2102,"44713B2ConvencionalRuralCooperativa de eletrificação ruralNão se aplicaNão se aplicaIntermediário",Mercado_Receita!$L$2:$L$2102)+SUMIF(Mercado_Receita!$S$2:$S$2102,"44713B2ConvencionalRuralCooperativa de eletrificação ruralNão se aplicaNão se aplicaNão se aplica",Mercado_Receita!$L$2:$L$2102)</f>
        <v>0</v>
      </c>
      <c r="P51" s="13">
        <f>SUMIF(Mercado_Receita!$S$2:$S$2102,"44743B2ConvencionalRuralCooperativa de eletrificação ruralNão se aplicaNão se aplicaPonta",Mercado_Receita!$L$2:$L$2102)+SUMIF(Mercado_Receita!$S$2:$S$2102,"44743B2ConvencionalRuralCooperativa de eletrificação ruralNão se aplicaNão se aplicaFora ponta",Mercado_Receita!$L$2:$L$2102)+SUMIF(Mercado_Receita!$S$2:$S$2102,"44743B2ConvencionalRuralCooperativa de eletrificação ruralNão se aplicaNão se aplicaIntermediário",Mercado_Receita!$L$2:$L$2102)+SUMIF(Mercado_Receita!$S$2:$S$2102,"44743B2ConvencionalRuralCooperativa de eletrificação ruralNão se aplicaNão se aplicaNão se aplica",Mercado_Receita!$L$2:$L$2102)</f>
        <v>0</v>
      </c>
      <c r="Q51" s="13">
        <f>SUMIF(Mercado_Receita!$S$2:$S$2102,"44774B2ConvencionalRuralCooperativa de eletrificação ruralNão se aplicaNão se aplicaPonta",Mercado_Receita!$L$2:$L$2102)+SUMIF(Mercado_Receita!$S$2:$S$2102,"44774B2ConvencionalRuralCooperativa de eletrificação ruralNão se aplicaNão se aplicaFora ponta",Mercado_Receita!$L$2:$L$2102)+SUMIF(Mercado_Receita!$S$2:$S$2102,"44774B2ConvencionalRuralCooperativa de eletrificação ruralNão se aplicaNão se aplicaIntermediário",Mercado_Receita!$L$2:$L$2102)+SUMIF(Mercado_Receita!$S$2:$S$2102,"44774B2ConvencionalRuralCooperativa de eletrificação ruralNão se aplicaNão se aplicaNão se aplica",Mercado_Receita!$L$2:$L$2102)</f>
        <v>0</v>
      </c>
      <c r="R51" s="13">
        <f>SUMIF(Mercado_Receita!$S$2:$S$2102,"44805B2ConvencionalRuralCooperativa de eletrificação ruralNão se aplicaNão se aplicaPonta",Mercado_Receita!$L$2:$L$2102)+SUMIF(Mercado_Receita!$S$2:$S$2102,"44805B2ConvencionalRuralCooperativa de eletrificação ruralNão se aplicaNão se aplicaFora ponta",Mercado_Receita!$L$2:$L$2102)+SUMIF(Mercado_Receita!$S$2:$S$2102,"44805B2ConvencionalRuralCooperativa de eletrificação ruralNão se aplicaNão se aplicaIntermediário",Mercado_Receita!$L$2:$L$2102)+SUMIF(Mercado_Receita!$S$2:$S$2102,"44805B2ConvencionalRuralCooperativa de eletrificação ruralNão se aplicaNão se aplicaNão se aplica",Mercado_Receita!$L$2:$L$2102)</f>
        <v>0</v>
      </c>
      <c r="S51" s="13">
        <f>SUMIF(Mercado_Receita!$S$2:$S$2102,"44835B2ConvencionalRuralCooperativa de eletrificação ruralNão se aplicaNão se aplicaPonta",Mercado_Receita!$L$2:$L$2102)+SUMIF(Mercado_Receita!$S$2:$S$2102,"44835B2ConvencionalRuralCooperativa de eletrificação ruralNão se aplicaNão se aplicaFora ponta",Mercado_Receita!$L$2:$L$2102)+SUMIF(Mercado_Receita!$S$2:$S$2102,"44835B2ConvencionalRuralCooperativa de eletrificação ruralNão se aplicaNão se aplicaIntermediário",Mercado_Receita!$L$2:$L$2102)+SUMIF(Mercado_Receita!$S$2:$S$2102,"44835B2ConvencionalRuralCooperativa de eletrificação ruralNão se aplicaNão se aplicaNão se aplica",Mercado_Receita!$L$2:$L$2102)</f>
        <v>0</v>
      </c>
      <c r="T51" s="13">
        <f>SUMIF(Mercado_Receita!$S$2:$S$2102,"44866B2ConvencionalRuralCooperativa de eletrificação ruralNão se aplicaNão se aplicaPonta",Mercado_Receita!$L$2:$L$2102)+SUMIF(Mercado_Receita!$S$2:$S$2102,"44866B2ConvencionalRuralCooperativa de eletrificação ruralNão se aplicaNão se aplicaFora ponta",Mercado_Receita!$L$2:$L$2102)+SUMIF(Mercado_Receita!$S$2:$S$2102,"44866B2ConvencionalRuralCooperativa de eletrificação ruralNão se aplicaNão se aplicaIntermediário",Mercado_Receita!$L$2:$L$2102)+SUMIF(Mercado_Receita!$S$2:$S$2102,"44866B2ConvencionalRuralCooperativa de eletrificação ruralNão se aplicaNão se aplicaNão se aplica",Mercado_Receita!$L$2:$L$2102)</f>
        <v>0</v>
      </c>
      <c r="U51" s="13">
        <f t="shared" si="1"/>
        <v>0</v>
      </c>
      <c r="V51" s="13"/>
      <c r="W51" s="13"/>
    </row>
    <row r="52" spans="1:23" ht="11.25" customHeight="1" x14ac:dyDescent="0.25">
      <c r="A52" s="93"/>
      <c r="B52" s="92" t="s">
        <v>35</v>
      </c>
      <c r="C52" s="92" t="s">
        <v>47</v>
      </c>
      <c r="D52" s="92" t="s">
        <v>102</v>
      </c>
      <c r="E52" s="92" t="s">
        <v>25</v>
      </c>
      <c r="F52" s="92" t="s">
        <v>25</v>
      </c>
      <c r="G52" s="13" t="s">
        <v>83</v>
      </c>
      <c r="H52" s="13" t="s">
        <v>82</v>
      </c>
      <c r="I52" s="13">
        <f>SUMIF(Mercado_Receita!$S$2:$S$2102,"44531B2BrancaRuralServiço público de irrigação ruralNão se aplicaNão se aplicaPonta",Mercado_Receita!$L$2:$L$2102)</f>
        <v>0</v>
      </c>
      <c r="J52" s="13">
        <f>SUMIF(Mercado_Receita!$S$2:$S$2102,"44562B2BrancaRuralServiço público de irrigação ruralNão se aplicaNão se aplicaPonta",Mercado_Receita!$L$2:$L$2102)</f>
        <v>0</v>
      </c>
      <c r="K52" s="13">
        <f>SUMIF(Mercado_Receita!$S$2:$S$2102,"44593B2BrancaRuralServiço público de irrigação ruralNão se aplicaNão se aplicaPonta",Mercado_Receita!$L$2:$L$2102)</f>
        <v>0</v>
      </c>
      <c r="L52" s="13">
        <f>SUMIF(Mercado_Receita!$S$2:$S$2102,"44621B2BrancaRuralServiço público de irrigação ruralNão se aplicaNão se aplicaPonta",Mercado_Receita!$L$2:$L$2102)</f>
        <v>0</v>
      </c>
      <c r="M52" s="13">
        <f>SUMIF(Mercado_Receita!$S$2:$S$2102,"44652B2BrancaRuralServiço público de irrigação ruralNão se aplicaNão se aplicaPonta",Mercado_Receita!$L$2:$L$2102)</f>
        <v>0</v>
      </c>
      <c r="N52" s="13">
        <f>SUMIF(Mercado_Receita!$S$2:$S$2102,"44682B2BrancaRuralServiço público de irrigação ruralNão se aplicaNão se aplicaPonta",Mercado_Receita!$L$2:$L$2102)</f>
        <v>0</v>
      </c>
      <c r="O52" s="13">
        <f>SUMIF(Mercado_Receita!$S$2:$S$2102,"44713B2BrancaRuralServiço público de irrigação ruralNão se aplicaNão se aplicaPonta",Mercado_Receita!$L$2:$L$2102)</f>
        <v>0</v>
      </c>
      <c r="P52" s="13">
        <f>SUMIF(Mercado_Receita!$S$2:$S$2102,"44743B2BrancaRuralServiço público de irrigação ruralNão se aplicaNão se aplicaPonta",Mercado_Receita!$L$2:$L$2102)</f>
        <v>0</v>
      </c>
      <c r="Q52" s="13">
        <f>SUMIF(Mercado_Receita!$S$2:$S$2102,"44774B2BrancaRuralServiço público de irrigação ruralNão se aplicaNão se aplicaPonta",Mercado_Receita!$L$2:$L$2102)</f>
        <v>0</v>
      </c>
      <c r="R52" s="13">
        <f>SUMIF(Mercado_Receita!$S$2:$S$2102,"44805B2BrancaRuralServiço público de irrigação ruralNão se aplicaNão se aplicaPonta",Mercado_Receita!$L$2:$L$2102)</f>
        <v>0</v>
      </c>
      <c r="S52" s="13">
        <f>SUMIF(Mercado_Receita!$S$2:$S$2102,"44835B2BrancaRuralServiço público de irrigação ruralNão se aplicaNão se aplicaPonta",Mercado_Receita!$L$2:$L$2102)</f>
        <v>0</v>
      </c>
      <c r="T52" s="13">
        <f>SUMIF(Mercado_Receita!$S$2:$S$2102,"44866B2BrancaRuralServiço público de irrigação ruralNão se aplicaNão se aplicaPonta",Mercado_Receita!$L$2:$L$2102)</f>
        <v>0</v>
      </c>
      <c r="U52" s="13">
        <f t="shared" si="1"/>
        <v>0</v>
      </c>
      <c r="V52" s="13"/>
      <c r="W52" s="13"/>
    </row>
    <row r="53" spans="1:23" ht="11.25" customHeight="1" x14ac:dyDescent="0.25">
      <c r="A53" s="93"/>
      <c r="B53" s="93"/>
      <c r="C53" s="93"/>
      <c r="D53" s="93"/>
      <c r="E53" s="93"/>
      <c r="F53" s="93"/>
      <c r="G53" s="13" t="s">
        <v>98</v>
      </c>
      <c r="H53" s="13" t="s">
        <v>82</v>
      </c>
      <c r="I53" s="13">
        <f>SUMIF(Mercado_Receita!$S$2:$S$2102,"44531B2BrancaRuralServiço público de irrigação ruralNão se aplicaNão se aplicaIntermediário",Mercado_Receita!$L$2:$L$2102)</f>
        <v>0</v>
      </c>
      <c r="J53" s="13">
        <f>SUMIF(Mercado_Receita!$S$2:$S$2102,"44562B2BrancaRuralServiço público de irrigação ruralNão se aplicaNão se aplicaIntermediário",Mercado_Receita!$L$2:$L$2102)</f>
        <v>0</v>
      </c>
      <c r="K53" s="13">
        <f>SUMIF(Mercado_Receita!$S$2:$S$2102,"44593B2BrancaRuralServiço público de irrigação ruralNão se aplicaNão se aplicaIntermediário",Mercado_Receita!$L$2:$L$2102)</f>
        <v>0</v>
      </c>
      <c r="L53" s="13">
        <f>SUMIF(Mercado_Receita!$S$2:$S$2102,"44621B2BrancaRuralServiço público de irrigação ruralNão se aplicaNão se aplicaIntermediário",Mercado_Receita!$L$2:$L$2102)</f>
        <v>0</v>
      </c>
      <c r="M53" s="13">
        <f>SUMIF(Mercado_Receita!$S$2:$S$2102,"44652B2BrancaRuralServiço público de irrigação ruralNão se aplicaNão se aplicaIntermediário",Mercado_Receita!$L$2:$L$2102)</f>
        <v>0</v>
      </c>
      <c r="N53" s="13">
        <f>SUMIF(Mercado_Receita!$S$2:$S$2102,"44682B2BrancaRuralServiço público de irrigação ruralNão se aplicaNão se aplicaIntermediário",Mercado_Receita!$L$2:$L$2102)</f>
        <v>0</v>
      </c>
      <c r="O53" s="13">
        <f>SUMIF(Mercado_Receita!$S$2:$S$2102,"44713B2BrancaRuralServiço público de irrigação ruralNão se aplicaNão se aplicaIntermediário",Mercado_Receita!$L$2:$L$2102)</f>
        <v>0</v>
      </c>
      <c r="P53" s="13">
        <f>SUMIF(Mercado_Receita!$S$2:$S$2102,"44743B2BrancaRuralServiço público de irrigação ruralNão se aplicaNão se aplicaIntermediário",Mercado_Receita!$L$2:$L$2102)</f>
        <v>0</v>
      </c>
      <c r="Q53" s="13">
        <f>SUMIF(Mercado_Receita!$S$2:$S$2102,"44774B2BrancaRuralServiço público de irrigação ruralNão se aplicaNão se aplicaIntermediário",Mercado_Receita!$L$2:$L$2102)</f>
        <v>0</v>
      </c>
      <c r="R53" s="13">
        <f>SUMIF(Mercado_Receita!$S$2:$S$2102,"44805B2BrancaRuralServiço público de irrigação ruralNão se aplicaNão se aplicaIntermediário",Mercado_Receita!$L$2:$L$2102)</f>
        <v>0</v>
      </c>
      <c r="S53" s="13">
        <f>SUMIF(Mercado_Receita!$S$2:$S$2102,"44835B2BrancaRuralServiço público de irrigação ruralNão se aplicaNão se aplicaIntermediário",Mercado_Receita!$L$2:$L$2102)</f>
        <v>0</v>
      </c>
      <c r="T53" s="13">
        <f>SUMIF(Mercado_Receita!$S$2:$S$2102,"44866B2BrancaRuralServiço público de irrigação ruralNão se aplicaNão se aplicaIntermediário",Mercado_Receita!$L$2:$L$2102)</f>
        <v>0</v>
      </c>
      <c r="U53" s="13">
        <f t="shared" si="1"/>
        <v>0</v>
      </c>
      <c r="V53" s="13"/>
      <c r="W53" s="13"/>
    </row>
    <row r="54" spans="1:23" ht="11.25" customHeight="1" x14ac:dyDescent="0.25">
      <c r="A54" s="93"/>
      <c r="B54" s="93"/>
      <c r="C54" s="93"/>
      <c r="D54" s="93"/>
      <c r="E54" s="93"/>
      <c r="F54" s="93"/>
      <c r="G54" s="13" t="s">
        <v>84</v>
      </c>
      <c r="H54" s="13" t="s">
        <v>82</v>
      </c>
      <c r="I54" s="13">
        <f>SUMIF(Mercado_Receita!$S$2:$S$2102,"44531B2BrancaRuralServiço público de irrigação ruralNão se aplicaNão se aplicaFora ponta",Mercado_Receita!$L$2:$L$2102)</f>
        <v>0</v>
      </c>
      <c r="J54" s="13">
        <f>SUMIF(Mercado_Receita!$S$2:$S$2102,"44562B2BrancaRuralServiço público de irrigação ruralNão se aplicaNão se aplicaFora ponta",Mercado_Receita!$L$2:$L$2102)</f>
        <v>0</v>
      </c>
      <c r="K54" s="13">
        <f>SUMIF(Mercado_Receita!$S$2:$S$2102,"44593B2BrancaRuralServiço público de irrigação ruralNão se aplicaNão se aplicaFora ponta",Mercado_Receita!$L$2:$L$2102)</f>
        <v>0</v>
      </c>
      <c r="L54" s="13">
        <f>SUMIF(Mercado_Receita!$S$2:$S$2102,"44621B2BrancaRuralServiço público de irrigação ruralNão se aplicaNão se aplicaFora ponta",Mercado_Receita!$L$2:$L$2102)</f>
        <v>0</v>
      </c>
      <c r="M54" s="13">
        <f>SUMIF(Mercado_Receita!$S$2:$S$2102,"44652B2BrancaRuralServiço público de irrigação ruralNão se aplicaNão se aplicaFora ponta",Mercado_Receita!$L$2:$L$2102)</f>
        <v>0</v>
      </c>
      <c r="N54" s="13">
        <f>SUMIF(Mercado_Receita!$S$2:$S$2102,"44682B2BrancaRuralServiço público de irrigação ruralNão se aplicaNão se aplicaFora ponta",Mercado_Receita!$L$2:$L$2102)</f>
        <v>0</v>
      </c>
      <c r="O54" s="13">
        <f>SUMIF(Mercado_Receita!$S$2:$S$2102,"44713B2BrancaRuralServiço público de irrigação ruralNão se aplicaNão se aplicaFora ponta",Mercado_Receita!$L$2:$L$2102)</f>
        <v>0</v>
      </c>
      <c r="P54" s="13">
        <f>SUMIF(Mercado_Receita!$S$2:$S$2102,"44743B2BrancaRuralServiço público de irrigação ruralNão se aplicaNão se aplicaFora ponta",Mercado_Receita!$L$2:$L$2102)</f>
        <v>0</v>
      </c>
      <c r="Q54" s="13">
        <f>SUMIF(Mercado_Receita!$S$2:$S$2102,"44774B2BrancaRuralServiço público de irrigação ruralNão se aplicaNão se aplicaFora ponta",Mercado_Receita!$L$2:$L$2102)</f>
        <v>0</v>
      </c>
      <c r="R54" s="13">
        <f>SUMIF(Mercado_Receita!$S$2:$S$2102,"44805B2BrancaRuralServiço público de irrigação ruralNão se aplicaNão se aplicaFora ponta",Mercado_Receita!$L$2:$L$2102)</f>
        <v>0</v>
      </c>
      <c r="S54" s="13">
        <f>SUMIF(Mercado_Receita!$S$2:$S$2102,"44835B2BrancaRuralServiço público de irrigação ruralNão se aplicaNão se aplicaFora ponta",Mercado_Receita!$L$2:$L$2102)</f>
        <v>0</v>
      </c>
      <c r="T54" s="13">
        <f>SUMIF(Mercado_Receita!$S$2:$S$2102,"44866B2BrancaRuralServiço público de irrigação ruralNão se aplicaNão se aplicaFora ponta",Mercado_Receita!$L$2:$L$2102)</f>
        <v>0</v>
      </c>
      <c r="U54" s="13">
        <f t="shared" si="1"/>
        <v>0</v>
      </c>
      <c r="V54" s="13"/>
      <c r="W54" s="13"/>
    </row>
    <row r="55" spans="1:23" ht="11.25" customHeight="1" x14ac:dyDescent="0.25">
      <c r="A55" s="93"/>
      <c r="B55" s="12" t="s">
        <v>23</v>
      </c>
      <c r="C55" s="12" t="s">
        <v>47</v>
      </c>
      <c r="D55" s="12" t="s">
        <v>102</v>
      </c>
      <c r="E55" s="12" t="s">
        <v>25</v>
      </c>
      <c r="F55" s="12" t="s">
        <v>25</v>
      </c>
      <c r="G55" s="13" t="s">
        <v>88</v>
      </c>
      <c r="H55" s="13" t="s">
        <v>82</v>
      </c>
      <c r="I55" s="13">
        <f>SUMIF(Mercado_Receita!$S$2:$S$2102,"44531B2ConvencionalRuralServiço público de irrigação ruralNão se aplicaNão se aplicaPonta",Mercado_Receita!$L$2:$L$2102)+SUMIF(Mercado_Receita!$S$2:$S$2102,"44531B2ConvencionalRuralServiço público de irrigação ruralNão se aplicaNão se aplicaFora ponta",Mercado_Receita!$L$2:$L$2102)+SUMIF(Mercado_Receita!$S$2:$S$2102,"44531B2ConvencionalRuralServiço público de irrigação ruralNão se aplicaNão se aplicaIntermediário",Mercado_Receita!$L$2:$L$2102)+SUMIF(Mercado_Receita!$S$2:$S$2102,"44531B2ConvencionalRuralServiço público de irrigação ruralNão se aplicaNão se aplicaNão se aplica",Mercado_Receita!$L$2:$L$2102)</f>
        <v>0</v>
      </c>
      <c r="J55" s="13">
        <f>SUMIF(Mercado_Receita!$S$2:$S$2102,"44562B2ConvencionalRuralServiço público de irrigação ruralNão se aplicaNão se aplicaPonta",Mercado_Receita!$L$2:$L$2102)+SUMIF(Mercado_Receita!$S$2:$S$2102,"44562B2ConvencionalRuralServiço público de irrigação ruralNão se aplicaNão se aplicaFora ponta",Mercado_Receita!$L$2:$L$2102)+SUMIF(Mercado_Receita!$S$2:$S$2102,"44562B2ConvencionalRuralServiço público de irrigação ruralNão se aplicaNão se aplicaIntermediário",Mercado_Receita!$L$2:$L$2102)+SUMIF(Mercado_Receita!$S$2:$S$2102,"44562B2ConvencionalRuralServiço público de irrigação ruralNão se aplicaNão se aplicaNão se aplica",Mercado_Receita!$L$2:$L$2102)</f>
        <v>0</v>
      </c>
      <c r="K55" s="13">
        <f>SUMIF(Mercado_Receita!$S$2:$S$2102,"44593B2ConvencionalRuralServiço público de irrigação ruralNão se aplicaNão se aplicaPonta",Mercado_Receita!$L$2:$L$2102)+SUMIF(Mercado_Receita!$S$2:$S$2102,"44593B2ConvencionalRuralServiço público de irrigação ruralNão se aplicaNão se aplicaFora ponta",Mercado_Receita!$L$2:$L$2102)+SUMIF(Mercado_Receita!$S$2:$S$2102,"44593B2ConvencionalRuralServiço público de irrigação ruralNão se aplicaNão se aplicaIntermediário",Mercado_Receita!$L$2:$L$2102)+SUMIF(Mercado_Receita!$S$2:$S$2102,"44593B2ConvencionalRuralServiço público de irrigação ruralNão se aplicaNão se aplicaNão se aplica",Mercado_Receita!$L$2:$L$2102)</f>
        <v>0</v>
      </c>
      <c r="L55" s="13">
        <f>SUMIF(Mercado_Receita!$S$2:$S$2102,"44621B2ConvencionalRuralServiço público de irrigação ruralNão se aplicaNão se aplicaPonta",Mercado_Receita!$L$2:$L$2102)+SUMIF(Mercado_Receita!$S$2:$S$2102,"44621B2ConvencionalRuralServiço público de irrigação ruralNão se aplicaNão se aplicaFora ponta",Mercado_Receita!$L$2:$L$2102)+SUMIF(Mercado_Receita!$S$2:$S$2102,"44621B2ConvencionalRuralServiço público de irrigação ruralNão se aplicaNão se aplicaIntermediário",Mercado_Receita!$L$2:$L$2102)+SUMIF(Mercado_Receita!$S$2:$S$2102,"44621B2ConvencionalRuralServiço público de irrigação ruralNão se aplicaNão se aplicaNão se aplica",Mercado_Receita!$L$2:$L$2102)</f>
        <v>0</v>
      </c>
      <c r="M55" s="13">
        <f>SUMIF(Mercado_Receita!$S$2:$S$2102,"44652B2ConvencionalRuralServiço público de irrigação ruralNão se aplicaNão se aplicaPonta",Mercado_Receita!$L$2:$L$2102)+SUMIF(Mercado_Receita!$S$2:$S$2102,"44652B2ConvencionalRuralServiço público de irrigação ruralNão se aplicaNão se aplicaFora ponta",Mercado_Receita!$L$2:$L$2102)+SUMIF(Mercado_Receita!$S$2:$S$2102,"44652B2ConvencionalRuralServiço público de irrigação ruralNão se aplicaNão se aplicaIntermediário",Mercado_Receita!$L$2:$L$2102)+SUMIF(Mercado_Receita!$S$2:$S$2102,"44652B2ConvencionalRuralServiço público de irrigação ruralNão se aplicaNão se aplicaNão se aplica",Mercado_Receita!$L$2:$L$2102)</f>
        <v>0</v>
      </c>
      <c r="N55" s="13">
        <f>SUMIF(Mercado_Receita!$S$2:$S$2102,"44682B2ConvencionalRuralServiço público de irrigação ruralNão se aplicaNão se aplicaPonta",Mercado_Receita!$L$2:$L$2102)+SUMIF(Mercado_Receita!$S$2:$S$2102,"44682B2ConvencionalRuralServiço público de irrigação ruralNão se aplicaNão se aplicaFora ponta",Mercado_Receita!$L$2:$L$2102)+SUMIF(Mercado_Receita!$S$2:$S$2102,"44682B2ConvencionalRuralServiço público de irrigação ruralNão se aplicaNão se aplicaIntermediário",Mercado_Receita!$L$2:$L$2102)+SUMIF(Mercado_Receita!$S$2:$S$2102,"44682B2ConvencionalRuralServiço público de irrigação ruralNão se aplicaNão se aplicaNão se aplica",Mercado_Receita!$L$2:$L$2102)</f>
        <v>0</v>
      </c>
      <c r="O55" s="13">
        <f>SUMIF(Mercado_Receita!$S$2:$S$2102,"44713B2ConvencionalRuralServiço público de irrigação ruralNão se aplicaNão se aplicaPonta",Mercado_Receita!$L$2:$L$2102)+SUMIF(Mercado_Receita!$S$2:$S$2102,"44713B2ConvencionalRuralServiço público de irrigação ruralNão se aplicaNão se aplicaFora ponta",Mercado_Receita!$L$2:$L$2102)+SUMIF(Mercado_Receita!$S$2:$S$2102,"44713B2ConvencionalRuralServiço público de irrigação ruralNão se aplicaNão se aplicaIntermediário",Mercado_Receita!$L$2:$L$2102)+SUMIF(Mercado_Receita!$S$2:$S$2102,"44713B2ConvencionalRuralServiço público de irrigação ruralNão se aplicaNão se aplicaNão se aplica",Mercado_Receita!$L$2:$L$2102)</f>
        <v>0</v>
      </c>
      <c r="P55" s="13">
        <f>SUMIF(Mercado_Receita!$S$2:$S$2102,"44743B2ConvencionalRuralServiço público de irrigação ruralNão se aplicaNão se aplicaPonta",Mercado_Receita!$L$2:$L$2102)+SUMIF(Mercado_Receita!$S$2:$S$2102,"44743B2ConvencionalRuralServiço público de irrigação ruralNão se aplicaNão se aplicaFora ponta",Mercado_Receita!$L$2:$L$2102)+SUMIF(Mercado_Receita!$S$2:$S$2102,"44743B2ConvencionalRuralServiço público de irrigação ruralNão se aplicaNão se aplicaIntermediário",Mercado_Receita!$L$2:$L$2102)+SUMIF(Mercado_Receita!$S$2:$S$2102,"44743B2ConvencionalRuralServiço público de irrigação ruralNão se aplicaNão se aplicaNão se aplica",Mercado_Receita!$L$2:$L$2102)</f>
        <v>0</v>
      </c>
      <c r="Q55" s="13">
        <f>SUMIF(Mercado_Receita!$S$2:$S$2102,"44774B2ConvencionalRuralServiço público de irrigação ruralNão se aplicaNão se aplicaPonta",Mercado_Receita!$L$2:$L$2102)+SUMIF(Mercado_Receita!$S$2:$S$2102,"44774B2ConvencionalRuralServiço público de irrigação ruralNão se aplicaNão se aplicaFora ponta",Mercado_Receita!$L$2:$L$2102)+SUMIF(Mercado_Receita!$S$2:$S$2102,"44774B2ConvencionalRuralServiço público de irrigação ruralNão se aplicaNão se aplicaIntermediário",Mercado_Receita!$L$2:$L$2102)+SUMIF(Mercado_Receita!$S$2:$S$2102,"44774B2ConvencionalRuralServiço público de irrigação ruralNão se aplicaNão se aplicaNão se aplica",Mercado_Receita!$L$2:$L$2102)</f>
        <v>0</v>
      </c>
      <c r="R55" s="13">
        <f>SUMIF(Mercado_Receita!$S$2:$S$2102,"44805B2ConvencionalRuralServiço público de irrigação ruralNão se aplicaNão se aplicaPonta",Mercado_Receita!$L$2:$L$2102)+SUMIF(Mercado_Receita!$S$2:$S$2102,"44805B2ConvencionalRuralServiço público de irrigação ruralNão se aplicaNão se aplicaFora ponta",Mercado_Receita!$L$2:$L$2102)+SUMIF(Mercado_Receita!$S$2:$S$2102,"44805B2ConvencionalRuralServiço público de irrigação ruralNão se aplicaNão se aplicaIntermediário",Mercado_Receita!$L$2:$L$2102)+SUMIF(Mercado_Receita!$S$2:$S$2102,"44805B2ConvencionalRuralServiço público de irrigação ruralNão se aplicaNão se aplicaNão se aplica",Mercado_Receita!$L$2:$L$2102)</f>
        <v>0</v>
      </c>
      <c r="S55" s="13">
        <f>SUMIF(Mercado_Receita!$S$2:$S$2102,"44835B2ConvencionalRuralServiço público de irrigação ruralNão se aplicaNão se aplicaPonta",Mercado_Receita!$L$2:$L$2102)+SUMIF(Mercado_Receita!$S$2:$S$2102,"44835B2ConvencionalRuralServiço público de irrigação ruralNão se aplicaNão se aplicaFora ponta",Mercado_Receita!$L$2:$L$2102)+SUMIF(Mercado_Receita!$S$2:$S$2102,"44835B2ConvencionalRuralServiço público de irrigação ruralNão se aplicaNão se aplicaIntermediário",Mercado_Receita!$L$2:$L$2102)+SUMIF(Mercado_Receita!$S$2:$S$2102,"44835B2ConvencionalRuralServiço público de irrigação ruralNão se aplicaNão se aplicaNão se aplica",Mercado_Receita!$L$2:$L$2102)</f>
        <v>0</v>
      </c>
      <c r="T55" s="13">
        <f>SUMIF(Mercado_Receita!$S$2:$S$2102,"44866B2ConvencionalRuralServiço público de irrigação ruralNão se aplicaNão se aplicaPonta",Mercado_Receita!$L$2:$L$2102)+SUMIF(Mercado_Receita!$S$2:$S$2102,"44866B2ConvencionalRuralServiço público de irrigação ruralNão se aplicaNão se aplicaFora ponta",Mercado_Receita!$L$2:$L$2102)+SUMIF(Mercado_Receita!$S$2:$S$2102,"44866B2ConvencionalRuralServiço público de irrigação ruralNão se aplicaNão se aplicaIntermediário",Mercado_Receita!$L$2:$L$2102)+SUMIF(Mercado_Receita!$S$2:$S$2102,"44866B2ConvencionalRuralServiço público de irrigação ruralNão se aplicaNão se aplicaNão se aplica",Mercado_Receita!$L$2:$L$2102)</f>
        <v>0</v>
      </c>
      <c r="U55" s="13">
        <f t="shared" si="1"/>
        <v>0</v>
      </c>
      <c r="V55" s="13"/>
      <c r="W55" s="13"/>
    </row>
    <row r="56" spans="1:23" ht="11.25" customHeight="1" x14ac:dyDescent="0.25">
      <c r="A56" s="93"/>
      <c r="B56" s="92" t="s">
        <v>100</v>
      </c>
      <c r="C56" s="92" t="s">
        <v>47</v>
      </c>
      <c r="D56" s="12" t="s">
        <v>25</v>
      </c>
      <c r="E56" s="12" t="s">
        <v>25</v>
      </c>
      <c r="F56" s="12" t="s">
        <v>25</v>
      </c>
      <c r="G56" s="13" t="s">
        <v>88</v>
      </c>
      <c r="H56" s="13" t="s">
        <v>82</v>
      </c>
      <c r="I56" s="13">
        <f>SUMIF(Mercado_Receita!$S$2:$S$2102,"44531B2Convencional pré-pagamentoRuralNão se aplicaNão se aplicaNão se aplicaPonta",Mercado_Receita!$L$2:$L$2102)+SUMIF(Mercado_Receita!$S$2:$S$2102,"44531B2Convencional pré-pagamentoRuralNão se aplicaNão se aplicaNão se aplicaFora ponta",Mercado_Receita!$L$2:$L$2102)+SUMIF(Mercado_Receita!$S$2:$S$2102,"44531B2Convencional pré-pagamentoRuralNão se aplicaNão se aplicaNão se aplicaIntermediário",Mercado_Receita!$L$2:$L$2102)+SUMIF(Mercado_Receita!$S$2:$S$2102,"44531B2Convencional pré-pagamentoRuralNão se aplicaNão se aplicaNão se aplicaNão se aplica",Mercado_Receita!$L$2:$L$2102)</f>
        <v>0</v>
      </c>
      <c r="J56" s="13">
        <f>SUMIF(Mercado_Receita!$S$2:$S$2102,"44562B2Convencional pré-pagamentoRuralNão se aplicaNão se aplicaNão se aplicaPonta",Mercado_Receita!$L$2:$L$2102)+SUMIF(Mercado_Receita!$S$2:$S$2102,"44562B2Convencional pré-pagamentoRuralNão se aplicaNão se aplicaNão se aplicaFora ponta",Mercado_Receita!$L$2:$L$2102)+SUMIF(Mercado_Receita!$S$2:$S$2102,"44562B2Convencional pré-pagamentoRuralNão se aplicaNão se aplicaNão se aplicaIntermediário",Mercado_Receita!$L$2:$L$2102)+SUMIF(Mercado_Receita!$S$2:$S$2102,"44562B2Convencional pré-pagamentoRuralNão se aplicaNão se aplicaNão se aplicaNão se aplica",Mercado_Receita!$L$2:$L$2102)</f>
        <v>0</v>
      </c>
      <c r="K56" s="13">
        <f>SUMIF(Mercado_Receita!$S$2:$S$2102,"44593B2Convencional pré-pagamentoRuralNão se aplicaNão se aplicaNão se aplicaPonta",Mercado_Receita!$L$2:$L$2102)+SUMIF(Mercado_Receita!$S$2:$S$2102,"44593B2Convencional pré-pagamentoRuralNão se aplicaNão se aplicaNão se aplicaFora ponta",Mercado_Receita!$L$2:$L$2102)+SUMIF(Mercado_Receita!$S$2:$S$2102,"44593B2Convencional pré-pagamentoRuralNão se aplicaNão se aplicaNão se aplicaIntermediário",Mercado_Receita!$L$2:$L$2102)+SUMIF(Mercado_Receita!$S$2:$S$2102,"44593B2Convencional pré-pagamentoRuralNão se aplicaNão se aplicaNão se aplicaNão se aplica",Mercado_Receita!$L$2:$L$2102)</f>
        <v>0</v>
      </c>
      <c r="L56" s="13">
        <f>SUMIF(Mercado_Receita!$S$2:$S$2102,"44621B2Convencional pré-pagamentoRuralNão se aplicaNão se aplicaNão se aplicaPonta",Mercado_Receita!$L$2:$L$2102)+SUMIF(Mercado_Receita!$S$2:$S$2102,"44621B2Convencional pré-pagamentoRuralNão se aplicaNão se aplicaNão se aplicaFora ponta",Mercado_Receita!$L$2:$L$2102)+SUMIF(Mercado_Receita!$S$2:$S$2102,"44621B2Convencional pré-pagamentoRuralNão se aplicaNão se aplicaNão se aplicaIntermediário",Mercado_Receita!$L$2:$L$2102)+SUMIF(Mercado_Receita!$S$2:$S$2102,"44621B2Convencional pré-pagamentoRuralNão se aplicaNão se aplicaNão se aplicaNão se aplica",Mercado_Receita!$L$2:$L$2102)</f>
        <v>0</v>
      </c>
      <c r="M56" s="13">
        <f>SUMIF(Mercado_Receita!$S$2:$S$2102,"44652B2Convencional pré-pagamentoRuralNão se aplicaNão se aplicaNão se aplicaPonta",Mercado_Receita!$L$2:$L$2102)+SUMIF(Mercado_Receita!$S$2:$S$2102,"44652B2Convencional pré-pagamentoRuralNão se aplicaNão se aplicaNão se aplicaFora ponta",Mercado_Receita!$L$2:$L$2102)+SUMIF(Mercado_Receita!$S$2:$S$2102,"44652B2Convencional pré-pagamentoRuralNão se aplicaNão se aplicaNão se aplicaIntermediário",Mercado_Receita!$L$2:$L$2102)+SUMIF(Mercado_Receita!$S$2:$S$2102,"44652B2Convencional pré-pagamentoRuralNão se aplicaNão se aplicaNão se aplicaNão se aplica",Mercado_Receita!$L$2:$L$2102)</f>
        <v>0</v>
      </c>
      <c r="N56" s="13">
        <f>SUMIF(Mercado_Receita!$S$2:$S$2102,"44682B2Convencional pré-pagamentoRuralNão se aplicaNão se aplicaNão se aplicaPonta",Mercado_Receita!$L$2:$L$2102)+SUMIF(Mercado_Receita!$S$2:$S$2102,"44682B2Convencional pré-pagamentoRuralNão se aplicaNão se aplicaNão se aplicaFora ponta",Mercado_Receita!$L$2:$L$2102)+SUMIF(Mercado_Receita!$S$2:$S$2102,"44682B2Convencional pré-pagamentoRuralNão se aplicaNão se aplicaNão se aplicaIntermediário",Mercado_Receita!$L$2:$L$2102)+SUMIF(Mercado_Receita!$S$2:$S$2102,"44682B2Convencional pré-pagamentoRuralNão se aplicaNão se aplicaNão se aplicaNão se aplica",Mercado_Receita!$L$2:$L$2102)</f>
        <v>0</v>
      </c>
      <c r="O56" s="13">
        <f>SUMIF(Mercado_Receita!$S$2:$S$2102,"44713B2Convencional pré-pagamentoRuralNão se aplicaNão se aplicaNão se aplicaPonta",Mercado_Receita!$L$2:$L$2102)+SUMIF(Mercado_Receita!$S$2:$S$2102,"44713B2Convencional pré-pagamentoRuralNão se aplicaNão se aplicaNão se aplicaFora ponta",Mercado_Receita!$L$2:$L$2102)+SUMIF(Mercado_Receita!$S$2:$S$2102,"44713B2Convencional pré-pagamentoRuralNão se aplicaNão se aplicaNão se aplicaIntermediário",Mercado_Receita!$L$2:$L$2102)+SUMIF(Mercado_Receita!$S$2:$S$2102,"44713B2Convencional pré-pagamentoRuralNão se aplicaNão se aplicaNão se aplicaNão se aplica",Mercado_Receita!$L$2:$L$2102)</f>
        <v>0</v>
      </c>
      <c r="P56" s="13">
        <f>SUMIF(Mercado_Receita!$S$2:$S$2102,"44743B2Convencional pré-pagamentoRuralNão se aplicaNão se aplicaNão se aplicaPonta",Mercado_Receita!$L$2:$L$2102)+SUMIF(Mercado_Receita!$S$2:$S$2102,"44743B2Convencional pré-pagamentoRuralNão se aplicaNão se aplicaNão se aplicaFora ponta",Mercado_Receita!$L$2:$L$2102)+SUMIF(Mercado_Receita!$S$2:$S$2102,"44743B2Convencional pré-pagamentoRuralNão se aplicaNão se aplicaNão se aplicaIntermediário",Mercado_Receita!$L$2:$L$2102)+SUMIF(Mercado_Receita!$S$2:$S$2102,"44743B2Convencional pré-pagamentoRuralNão se aplicaNão se aplicaNão se aplicaNão se aplica",Mercado_Receita!$L$2:$L$2102)</f>
        <v>0</v>
      </c>
      <c r="Q56" s="13">
        <f>SUMIF(Mercado_Receita!$S$2:$S$2102,"44774B2Convencional pré-pagamentoRuralNão se aplicaNão se aplicaNão se aplicaPonta",Mercado_Receita!$L$2:$L$2102)+SUMIF(Mercado_Receita!$S$2:$S$2102,"44774B2Convencional pré-pagamentoRuralNão se aplicaNão se aplicaNão se aplicaFora ponta",Mercado_Receita!$L$2:$L$2102)+SUMIF(Mercado_Receita!$S$2:$S$2102,"44774B2Convencional pré-pagamentoRuralNão se aplicaNão se aplicaNão se aplicaIntermediário",Mercado_Receita!$L$2:$L$2102)+SUMIF(Mercado_Receita!$S$2:$S$2102,"44774B2Convencional pré-pagamentoRuralNão se aplicaNão se aplicaNão se aplicaNão se aplica",Mercado_Receita!$L$2:$L$2102)</f>
        <v>0</v>
      </c>
      <c r="R56" s="13">
        <f>SUMIF(Mercado_Receita!$S$2:$S$2102,"44805B2Convencional pré-pagamentoRuralNão se aplicaNão se aplicaNão se aplicaPonta",Mercado_Receita!$L$2:$L$2102)+SUMIF(Mercado_Receita!$S$2:$S$2102,"44805B2Convencional pré-pagamentoRuralNão se aplicaNão se aplicaNão se aplicaFora ponta",Mercado_Receita!$L$2:$L$2102)+SUMIF(Mercado_Receita!$S$2:$S$2102,"44805B2Convencional pré-pagamentoRuralNão se aplicaNão se aplicaNão se aplicaIntermediário",Mercado_Receita!$L$2:$L$2102)+SUMIF(Mercado_Receita!$S$2:$S$2102,"44805B2Convencional pré-pagamentoRuralNão se aplicaNão se aplicaNão se aplicaNão se aplica",Mercado_Receita!$L$2:$L$2102)</f>
        <v>0</v>
      </c>
      <c r="S56" s="13">
        <f>SUMIF(Mercado_Receita!$S$2:$S$2102,"44835B2Convencional pré-pagamentoRuralNão se aplicaNão se aplicaNão se aplicaPonta",Mercado_Receita!$L$2:$L$2102)+SUMIF(Mercado_Receita!$S$2:$S$2102,"44835B2Convencional pré-pagamentoRuralNão se aplicaNão se aplicaNão se aplicaFora ponta",Mercado_Receita!$L$2:$L$2102)+SUMIF(Mercado_Receita!$S$2:$S$2102,"44835B2Convencional pré-pagamentoRuralNão se aplicaNão se aplicaNão se aplicaIntermediário",Mercado_Receita!$L$2:$L$2102)+SUMIF(Mercado_Receita!$S$2:$S$2102,"44835B2Convencional pré-pagamentoRuralNão se aplicaNão se aplicaNão se aplicaNão se aplica",Mercado_Receita!$L$2:$L$2102)</f>
        <v>0</v>
      </c>
      <c r="T56" s="13">
        <f>SUMIF(Mercado_Receita!$S$2:$S$2102,"44866B2Convencional pré-pagamentoRuralNão se aplicaNão se aplicaNão se aplicaPonta",Mercado_Receita!$L$2:$L$2102)+SUMIF(Mercado_Receita!$S$2:$S$2102,"44866B2Convencional pré-pagamentoRuralNão se aplicaNão se aplicaNão se aplicaFora ponta",Mercado_Receita!$L$2:$L$2102)+SUMIF(Mercado_Receita!$S$2:$S$2102,"44866B2Convencional pré-pagamentoRuralNão se aplicaNão se aplicaNão se aplicaIntermediário",Mercado_Receita!$L$2:$L$2102)+SUMIF(Mercado_Receita!$S$2:$S$2102,"44866B2Convencional pré-pagamentoRuralNão se aplicaNão se aplicaNão se aplicaNão se aplica",Mercado_Receita!$L$2:$L$2102)</f>
        <v>0</v>
      </c>
      <c r="U56" s="13">
        <f t="shared" si="1"/>
        <v>0</v>
      </c>
      <c r="V56" s="13"/>
      <c r="W56" s="13"/>
    </row>
    <row r="57" spans="1:23" ht="11.25" customHeight="1" x14ac:dyDescent="0.25">
      <c r="A57" s="93"/>
      <c r="B57" s="93"/>
      <c r="C57" s="93"/>
      <c r="D57" s="12" t="s">
        <v>101</v>
      </c>
      <c r="E57" s="12" t="s">
        <v>25</v>
      </c>
      <c r="F57" s="12" t="s">
        <v>25</v>
      </c>
      <c r="G57" s="13" t="s">
        <v>88</v>
      </c>
      <c r="H57" s="13" t="s">
        <v>82</v>
      </c>
      <c r="I57" s="13">
        <f>SUMIF(Mercado_Receita!$S$2:$S$2102,"44531B2Convencional pré-pagamentoRuralCooperativa de eletrificação ruralNão se aplicaNão se aplicaPonta",Mercado_Receita!$L$2:$L$2102)+SUMIF(Mercado_Receita!$S$2:$S$2102,"44531B2Convencional pré-pagamentoRuralCooperativa de eletrificação ruralNão se aplicaNão se aplicaFora ponta",Mercado_Receita!$L$2:$L$2102)+SUMIF(Mercado_Receita!$S$2:$S$2102,"44531B2Convencional pré-pagamentoRuralCooperativa de eletrificação ruralNão se aplicaNão se aplicaIntermediário",Mercado_Receita!$L$2:$L$2102)+SUMIF(Mercado_Receita!$S$2:$S$2102,"44531B2Convencional pré-pagamentoRuralCooperativa de eletrificação ruralNão se aplicaNão se aplicaNão se aplica",Mercado_Receita!$L$2:$L$2102)</f>
        <v>0</v>
      </c>
      <c r="J57" s="13">
        <f>SUMIF(Mercado_Receita!$S$2:$S$2102,"44562B2Convencional pré-pagamentoRuralCooperativa de eletrificação ruralNão se aplicaNão se aplicaPonta",Mercado_Receita!$L$2:$L$2102)+SUMIF(Mercado_Receita!$S$2:$S$2102,"44562B2Convencional pré-pagamentoRuralCooperativa de eletrificação ruralNão se aplicaNão se aplicaFora ponta",Mercado_Receita!$L$2:$L$2102)+SUMIF(Mercado_Receita!$S$2:$S$2102,"44562B2Convencional pré-pagamentoRuralCooperativa de eletrificação ruralNão se aplicaNão se aplicaIntermediário",Mercado_Receita!$L$2:$L$2102)+SUMIF(Mercado_Receita!$S$2:$S$2102,"44562B2Convencional pré-pagamentoRuralCooperativa de eletrificação ruralNão se aplicaNão se aplicaNão se aplica",Mercado_Receita!$L$2:$L$2102)</f>
        <v>0</v>
      </c>
      <c r="K57" s="13">
        <f>SUMIF(Mercado_Receita!$S$2:$S$2102,"44593B2Convencional pré-pagamentoRuralCooperativa de eletrificação ruralNão se aplicaNão se aplicaPonta",Mercado_Receita!$L$2:$L$2102)+SUMIF(Mercado_Receita!$S$2:$S$2102,"44593B2Convencional pré-pagamentoRuralCooperativa de eletrificação ruralNão se aplicaNão se aplicaFora ponta",Mercado_Receita!$L$2:$L$2102)+SUMIF(Mercado_Receita!$S$2:$S$2102,"44593B2Convencional pré-pagamentoRuralCooperativa de eletrificação ruralNão se aplicaNão se aplicaIntermediário",Mercado_Receita!$L$2:$L$2102)+SUMIF(Mercado_Receita!$S$2:$S$2102,"44593B2Convencional pré-pagamentoRuralCooperativa de eletrificação ruralNão se aplicaNão se aplicaNão se aplica",Mercado_Receita!$L$2:$L$2102)</f>
        <v>0</v>
      </c>
      <c r="L57" s="13">
        <f>SUMIF(Mercado_Receita!$S$2:$S$2102,"44621B2Convencional pré-pagamentoRuralCooperativa de eletrificação ruralNão se aplicaNão se aplicaPonta",Mercado_Receita!$L$2:$L$2102)+SUMIF(Mercado_Receita!$S$2:$S$2102,"44621B2Convencional pré-pagamentoRuralCooperativa de eletrificação ruralNão se aplicaNão se aplicaFora ponta",Mercado_Receita!$L$2:$L$2102)+SUMIF(Mercado_Receita!$S$2:$S$2102,"44621B2Convencional pré-pagamentoRuralCooperativa de eletrificação ruralNão se aplicaNão se aplicaIntermediário",Mercado_Receita!$L$2:$L$2102)+SUMIF(Mercado_Receita!$S$2:$S$2102,"44621B2Convencional pré-pagamentoRuralCooperativa de eletrificação ruralNão se aplicaNão se aplicaNão se aplica",Mercado_Receita!$L$2:$L$2102)</f>
        <v>0</v>
      </c>
      <c r="M57" s="13">
        <f>SUMIF(Mercado_Receita!$S$2:$S$2102,"44652B2Convencional pré-pagamentoRuralCooperativa de eletrificação ruralNão se aplicaNão se aplicaPonta",Mercado_Receita!$L$2:$L$2102)+SUMIF(Mercado_Receita!$S$2:$S$2102,"44652B2Convencional pré-pagamentoRuralCooperativa de eletrificação ruralNão se aplicaNão se aplicaFora ponta",Mercado_Receita!$L$2:$L$2102)+SUMIF(Mercado_Receita!$S$2:$S$2102,"44652B2Convencional pré-pagamentoRuralCooperativa de eletrificação ruralNão se aplicaNão se aplicaIntermediário",Mercado_Receita!$L$2:$L$2102)+SUMIF(Mercado_Receita!$S$2:$S$2102,"44652B2Convencional pré-pagamentoRuralCooperativa de eletrificação ruralNão se aplicaNão se aplicaNão se aplica",Mercado_Receita!$L$2:$L$2102)</f>
        <v>0</v>
      </c>
      <c r="N57" s="13">
        <f>SUMIF(Mercado_Receita!$S$2:$S$2102,"44682B2Convencional pré-pagamentoRuralCooperativa de eletrificação ruralNão se aplicaNão se aplicaPonta",Mercado_Receita!$L$2:$L$2102)+SUMIF(Mercado_Receita!$S$2:$S$2102,"44682B2Convencional pré-pagamentoRuralCooperativa de eletrificação ruralNão se aplicaNão se aplicaFora ponta",Mercado_Receita!$L$2:$L$2102)+SUMIF(Mercado_Receita!$S$2:$S$2102,"44682B2Convencional pré-pagamentoRuralCooperativa de eletrificação ruralNão se aplicaNão se aplicaIntermediário",Mercado_Receita!$L$2:$L$2102)+SUMIF(Mercado_Receita!$S$2:$S$2102,"44682B2Convencional pré-pagamentoRuralCooperativa de eletrificação ruralNão se aplicaNão se aplicaNão se aplica",Mercado_Receita!$L$2:$L$2102)</f>
        <v>0</v>
      </c>
      <c r="O57" s="13">
        <f>SUMIF(Mercado_Receita!$S$2:$S$2102,"44713B2Convencional pré-pagamentoRuralCooperativa de eletrificação ruralNão se aplicaNão se aplicaPonta",Mercado_Receita!$L$2:$L$2102)+SUMIF(Mercado_Receita!$S$2:$S$2102,"44713B2Convencional pré-pagamentoRuralCooperativa de eletrificação ruralNão se aplicaNão se aplicaFora ponta",Mercado_Receita!$L$2:$L$2102)+SUMIF(Mercado_Receita!$S$2:$S$2102,"44713B2Convencional pré-pagamentoRuralCooperativa de eletrificação ruralNão se aplicaNão se aplicaIntermediário",Mercado_Receita!$L$2:$L$2102)+SUMIF(Mercado_Receita!$S$2:$S$2102,"44713B2Convencional pré-pagamentoRuralCooperativa de eletrificação ruralNão se aplicaNão se aplicaNão se aplica",Mercado_Receita!$L$2:$L$2102)</f>
        <v>0</v>
      </c>
      <c r="P57" s="13">
        <f>SUMIF(Mercado_Receita!$S$2:$S$2102,"44743B2Convencional pré-pagamentoRuralCooperativa de eletrificação ruralNão se aplicaNão se aplicaPonta",Mercado_Receita!$L$2:$L$2102)+SUMIF(Mercado_Receita!$S$2:$S$2102,"44743B2Convencional pré-pagamentoRuralCooperativa de eletrificação ruralNão se aplicaNão se aplicaFora ponta",Mercado_Receita!$L$2:$L$2102)+SUMIF(Mercado_Receita!$S$2:$S$2102,"44743B2Convencional pré-pagamentoRuralCooperativa de eletrificação ruralNão se aplicaNão se aplicaIntermediário",Mercado_Receita!$L$2:$L$2102)+SUMIF(Mercado_Receita!$S$2:$S$2102,"44743B2Convencional pré-pagamentoRuralCooperativa de eletrificação ruralNão se aplicaNão se aplicaNão se aplica",Mercado_Receita!$L$2:$L$2102)</f>
        <v>0</v>
      </c>
      <c r="Q57" s="13">
        <f>SUMIF(Mercado_Receita!$S$2:$S$2102,"44774B2Convencional pré-pagamentoRuralCooperativa de eletrificação ruralNão se aplicaNão se aplicaPonta",Mercado_Receita!$L$2:$L$2102)+SUMIF(Mercado_Receita!$S$2:$S$2102,"44774B2Convencional pré-pagamentoRuralCooperativa de eletrificação ruralNão se aplicaNão se aplicaFora ponta",Mercado_Receita!$L$2:$L$2102)+SUMIF(Mercado_Receita!$S$2:$S$2102,"44774B2Convencional pré-pagamentoRuralCooperativa de eletrificação ruralNão se aplicaNão se aplicaIntermediário",Mercado_Receita!$L$2:$L$2102)+SUMIF(Mercado_Receita!$S$2:$S$2102,"44774B2Convencional pré-pagamentoRuralCooperativa de eletrificação ruralNão se aplicaNão se aplicaNão se aplica",Mercado_Receita!$L$2:$L$2102)</f>
        <v>0</v>
      </c>
      <c r="R57" s="13">
        <f>SUMIF(Mercado_Receita!$S$2:$S$2102,"44805B2Convencional pré-pagamentoRuralCooperativa de eletrificação ruralNão se aplicaNão se aplicaPonta",Mercado_Receita!$L$2:$L$2102)+SUMIF(Mercado_Receita!$S$2:$S$2102,"44805B2Convencional pré-pagamentoRuralCooperativa de eletrificação ruralNão se aplicaNão se aplicaFora ponta",Mercado_Receita!$L$2:$L$2102)+SUMIF(Mercado_Receita!$S$2:$S$2102,"44805B2Convencional pré-pagamentoRuralCooperativa de eletrificação ruralNão se aplicaNão se aplicaIntermediário",Mercado_Receita!$L$2:$L$2102)+SUMIF(Mercado_Receita!$S$2:$S$2102,"44805B2Convencional pré-pagamentoRuralCooperativa de eletrificação ruralNão se aplicaNão se aplicaNão se aplica",Mercado_Receita!$L$2:$L$2102)</f>
        <v>0</v>
      </c>
      <c r="S57" s="13">
        <f>SUMIF(Mercado_Receita!$S$2:$S$2102,"44835B2Convencional pré-pagamentoRuralCooperativa de eletrificação ruralNão se aplicaNão se aplicaPonta",Mercado_Receita!$L$2:$L$2102)+SUMIF(Mercado_Receita!$S$2:$S$2102,"44835B2Convencional pré-pagamentoRuralCooperativa de eletrificação ruralNão se aplicaNão se aplicaFora ponta",Mercado_Receita!$L$2:$L$2102)+SUMIF(Mercado_Receita!$S$2:$S$2102,"44835B2Convencional pré-pagamentoRuralCooperativa de eletrificação ruralNão se aplicaNão se aplicaIntermediário",Mercado_Receita!$L$2:$L$2102)+SUMIF(Mercado_Receita!$S$2:$S$2102,"44835B2Convencional pré-pagamentoRuralCooperativa de eletrificação ruralNão se aplicaNão se aplicaNão se aplica",Mercado_Receita!$L$2:$L$2102)</f>
        <v>0</v>
      </c>
      <c r="T57" s="13">
        <f>SUMIF(Mercado_Receita!$S$2:$S$2102,"44866B2Convencional pré-pagamentoRuralCooperativa de eletrificação ruralNão se aplicaNão se aplicaPonta",Mercado_Receita!$L$2:$L$2102)+SUMIF(Mercado_Receita!$S$2:$S$2102,"44866B2Convencional pré-pagamentoRuralCooperativa de eletrificação ruralNão se aplicaNão se aplicaFora ponta",Mercado_Receita!$L$2:$L$2102)+SUMIF(Mercado_Receita!$S$2:$S$2102,"44866B2Convencional pré-pagamentoRuralCooperativa de eletrificação ruralNão se aplicaNão se aplicaIntermediário",Mercado_Receita!$L$2:$L$2102)+SUMIF(Mercado_Receita!$S$2:$S$2102,"44866B2Convencional pré-pagamentoRuralCooperativa de eletrificação ruralNão se aplicaNão se aplicaNão se aplica",Mercado_Receita!$L$2:$L$2102)</f>
        <v>0</v>
      </c>
      <c r="U57" s="13">
        <f t="shared" si="1"/>
        <v>0</v>
      </c>
      <c r="V57" s="13"/>
      <c r="W57" s="13"/>
    </row>
    <row r="58" spans="1:23" ht="11.25" customHeight="1" x14ac:dyDescent="0.25">
      <c r="A58" s="93"/>
      <c r="B58" s="93"/>
      <c r="C58" s="93"/>
      <c r="D58" s="12" t="s">
        <v>102</v>
      </c>
      <c r="E58" s="12" t="s">
        <v>25</v>
      </c>
      <c r="F58" s="12" t="s">
        <v>25</v>
      </c>
      <c r="G58" s="13" t="s">
        <v>88</v>
      </c>
      <c r="H58" s="13" t="s">
        <v>82</v>
      </c>
      <c r="I58" s="13">
        <f>SUMIF(Mercado_Receita!$S$2:$S$2102,"44531B2Convencional pré-pagamentoRuralServiço público de irrigação ruralNão se aplicaNão se aplicaPonta",Mercado_Receita!$L$2:$L$2102)+SUMIF(Mercado_Receita!$S$2:$S$2102,"44531B2Convencional pré-pagamentoRuralServiço público de irrigação ruralNão se aplicaNão se aplicaFora ponta",Mercado_Receita!$L$2:$L$2102)+SUMIF(Mercado_Receita!$S$2:$S$2102,"44531B2Convencional pré-pagamentoRuralServiço público de irrigação ruralNão se aplicaNão se aplicaIntermediário",Mercado_Receita!$L$2:$L$2102)+SUMIF(Mercado_Receita!$S$2:$S$2102,"44531B2Convencional pré-pagamentoRuralServiço público de irrigação ruralNão se aplicaNão se aplicaNão se aplica",Mercado_Receita!$L$2:$L$2102)</f>
        <v>0</v>
      </c>
      <c r="J58" s="13">
        <f>SUMIF(Mercado_Receita!$S$2:$S$2102,"44562B2Convencional pré-pagamentoRuralServiço público de irrigação ruralNão se aplicaNão se aplicaPonta",Mercado_Receita!$L$2:$L$2102)+SUMIF(Mercado_Receita!$S$2:$S$2102,"44562B2Convencional pré-pagamentoRuralServiço público de irrigação ruralNão se aplicaNão se aplicaFora ponta",Mercado_Receita!$L$2:$L$2102)+SUMIF(Mercado_Receita!$S$2:$S$2102,"44562B2Convencional pré-pagamentoRuralServiço público de irrigação ruralNão se aplicaNão se aplicaIntermediário",Mercado_Receita!$L$2:$L$2102)+SUMIF(Mercado_Receita!$S$2:$S$2102,"44562B2Convencional pré-pagamentoRuralServiço público de irrigação ruralNão se aplicaNão se aplicaNão se aplica",Mercado_Receita!$L$2:$L$2102)</f>
        <v>0</v>
      </c>
      <c r="K58" s="13">
        <f>SUMIF(Mercado_Receita!$S$2:$S$2102,"44593B2Convencional pré-pagamentoRuralServiço público de irrigação ruralNão se aplicaNão se aplicaPonta",Mercado_Receita!$L$2:$L$2102)+SUMIF(Mercado_Receita!$S$2:$S$2102,"44593B2Convencional pré-pagamentoRuralServiço público de irrigação ruralNão se aplicaNão se aplicaFora ponta",Mercado_Receita!$L$2:$L$2102)+SUMIF(Mercado_Receita!$S$2:$S$2102,"44593B2Convencional pré-pagamentoRuralServiço público de irrigação ruralNão se aplicaNão se aplicaIntermediário",Mercado_Receita!$L$2:$L$2102)+SUMIF(Mercado_Receita!$S$2:$S$2102,"44593B2Convencional pré-pagamentoRuralServiço público de irrigação ruralNão se aplicaNão se aplicaNão se aplica",Mercado_Receita!$L$2:$L$2102)</f>
        <v>0</v>
      </c>
      <c r="L58" s="13">
        <f>SUMIF(Mercado_Receita!$S$2:$S$2102,"44621B2Convencional pré-pagamentoRuralServiço público de irrigação ruralNão se aplicaNão se aplicaPonta",Mercado_Receita!$L$2:$L$2102)+SUMIF(Mercado_Receita!$S$2:$S$2102,"44621B2Convencional pré-pagamentoRuralServiço público de irrigação ruralNão se aplicaNão se aplicaFora ponta",Mercado_Receita!$L$2:$L$2102)+SUMIF(Mercado_Receita!$S$2:$S$2102,"44621B2Convencional pré-pagamentoRuralServiço público de irrigação ruralNão se aplicaNão se aplicaIntermediário",Mercado_Receita!$L$2:$L$2102)+SUMIF(Mercado_Receita!$S$2:$S$2102,"44621B2Convencional pré-pagamentoRuralServiço público de irrigação ruralNão se aplicaNão se aplicaNão se aplica",Mercado_Receita!$L$2:$L$2102)</f>
        <v>0</v>
      </c>
      <c r="M58" s="13">
        <f>SUMIF(Mercado_Receita!$S$2:$S$2102,"44652B2Convencional pré-pagamentoRuralServiço público de irrigação ruralNão se aplicaNão se aplicaPonta",Mercado_Receita!$L$2:$L$2102)+SUMIF(Mercado_Receita!$S$2:$S$2102,"44652B2Convencional pré-pagamentoRuralServiço público de irrigação ruralNão se aplicaNão se aplicaFora ponta",Mercado_Receita!$L$2:$L$2102)+SUMIF(Mercado_Receita!$S$2:$S$2102,"44652B2Convencional pré-pagamentoRuralServiço público de irrigação ruralNão se aplicaNão se aplicaIntermediário",Mercado_Receita!$L$2:$L$2102)+SUMIF(Mercado_Receita!$S$2:$S$2102,"44652B2Convencional pré-pagamentoRuralServiço público de irrigação ruralNão se aplicaNão se aplicaNão se aplica",Mercado_Receita!$L$2:$L$2102)</f>
        <v>0</v>
      </c>
      <c r="N58" s="13">
        <f>SUMIF(Mercado_Receita!$S$2:$S$2102,"44682B2Convencional pré-pagamentoRuralServiço público de irrigação ruralNão se aplicaNão se aplicaPonta",Mercado_Receita!$L$2:$L$2102)+SUMIF(Mercado_Receita!$S$2:$S$2102,"44682B2Convencional pré-pagamentoRuralServiço público de irrigação ruralNão se aplicaNão se aplicaFora ponta",Mercado_Receita!$L$2:$L$2102)+SUMIF(Mercado_Receita!$S$2:$S$2102,"44682B2Convencional pré-pagamentoRuralServiço público de irrigação ruralNão se aplicaNão se aplicaIntermediário",Mercado_Receita!$L$2:$L$2102)+SUMIF(Mercado_Receita!$S$2:$S$2102,"44682B2Convencional pré-pagamentoRuralServiço público de irrigação ruralNão se aplicaNão se aplicaNão se aplica",Mercado_Receita!$L$2:$L$2102)</f>
        <v>0</v>
      </c>
      <c r="O58" s="13">
        <f>SUMIF(Mercado_Receita!$S$2:$S$2102,"44713B2Convencional pré-pagamentoRuralServiço público de irrigação ruralNão se aplicaNão se aplicaPonta",Mercado_Receita!$L$2:$L$2102)+SUMIF(Mercado_Receita!$S$2:$S$2102,"44713B2Convencional pré-pagamentoRuralServiço público de irrigação ruralNão se aplicaNão se aplicaFora ponta",Mercado_Receita!$L$2:$L$2102)+SUMIF(Mercado_Receita!$S$2:$S$2102,"44713B2Convencional pré-pagamentoRuralServiço público de irrigação ruralNão se aplicaNão se aplicaIntermediário",Mercado_Receita!$L$2:$L$2102)+SUMIF(Mercado_Receita!$S$2:$S$2102,"44713B2Convencional pré-pagamentoRuralServiço público de irrigação ruralNão se aplicaNão se aplicaNão se aplica",Mercado_Receita!$L$2:$L$2102)</f>
        <v>0</v>
      </c>
      <c r="P58" s="13">
        <f>SUMIF(Mercado_Receita!$S$2:$S$2102,"44743B2Convencional pré-pagamentoRuralServiço público de irrigação ruralNão se aplicaNão se aplicaPonta",Mercado_Receita!$L$2:$L$2102)+SUMIF(Mercado_Receita!$S$2:$S$2102,"44743B2Convencional pré-pagamentoRuralServiço público de irrigação ruralNão se aplicaNão se aplicaFora ponta",Mercado_Receita!$L$2:$L$2102)+SUMIF(Mercado_Receita!$S$2:$S$2102,"44743B2Convencional pré-pagamentoRuralServiço público de irrigação ruralNão se aplicaNão se aplicaIntermediário",Mercado_Receita!$L$2:$L$2102)+SUMIF(Mercado_Receita!$S$2:$S$2102,"44743B2Convencional pré-pagamentoRuralServiço público de irrigação ruralNão se aplicaNão se aplicaNão se aplica",Mercado_Receita!$L$2:$L$2102)</f>
        <v>0</v>
      </c>
      <c r="Q58" s="13">
        <f>SUMIF(Mercado_Receita!$S$2:$S$2102,"44774B2Convencional pré-pagamentoRuralServiço público de irrigação ruralNão se aplicaNão se aplicaPonta",Mercado_Receita!$L$2:$L$2102)+SUMIF(Mercado_Receita!$S$2:$S$2102,"44774B2Convencional pré-pagamentoRuralServiço público de irrigação ruralNão se aplicaNão se aplicaFora ponta",Mercado_Receita!$L$2:$L$2102)+SUMIF(Mercado_Receita!$S$2:$S$2102,"44774B2Convencional pré-pagamentoRuralServiço público de irrigação ruralNão se aplicaNão se aplicaIntermediário",Mercado_Receita!$L$2:$L$2102)+SUMIF(Mercado_Receita!$S$2:$S$2102,"44774B2Convencional pré-pagamentoRuralServiço público de irrigação ruralNão se aplicaNão se aplicaNão se aplica",Mercado_Receita!$L$2:$L$2102)</f>
        <v>0</v>
      </c>
      <c r="R58" s="13">
        <f>SUMIF(Mercado_Receita!$S$2:$S$2102,"44805B2Convencional pré-pagamentoRuralServiço público de irrigação ruralNão se aplicaNão se aplicaPonta",Mercado_Receita!$L$2:$L$2102)+SUMIF(Mercado_Receita!$S$2:$S$2102,"44805B2Convencional pré-pagamentoRuralServiço público de irrigação ruralNão se aplicaNão se aplicaFora ponta",Mercado_Receita!$L$2:$L$2102)+SUMIF(Mercado_Receita!$S$2:$S$2102,"44805B2Convencional pré-pagamentoRuralServiço público de irrigação ruralNão se aplicaNão se aplicaIntermediário",Mercado_Receita!$L$2:$L$2102)+SUMIF(Mercado_Receita!$S$2:$S$2102,"44805B2Convencional pré-pagamentoRuralServiço público de irrigação ruralNão se aplicaNão se aplicaNão se aplica",Mercado_Receita!$L$2:$L$2102)</f>
        <v>0</v>
      </c>
      <c r="S58" s="13">
        <f>SUMIF(Mercado_Receita!$S$2:$S$2102,"44835B2Convencional pré-pagamentoRuralServiço público de irrigação ruralNão se aplicaNão se aplicaPonta",Mercado_Receita!$L$2:$L$2102)+SUMIF(Mercado_Receita!$S$2:$S$2102,"44835B2Convencional pré-pagamentoRuralServiço público de irrigação ruralNão se aplicaNão se aplicaFora ponta",Mercado_Receita!$L$2:$L$2102)+SUMIF(Mercado_Receita!$S$2:$S$2102,"44835B2Convencional pré-pagamentoRuralServiço público de irrigação ruralNão se aplicaNão se aplicaIntermediário",Mercado_Receita!$L$2:$L$2102)+SUMIF(Mercado_Receita!$S$2:$S$2102,"44835B2Convencional pré-pagamentoRuralServiço público de irrigação ruralNão se aplicaNão se aplicaNão se aplica",Mercado_Receita!$L$2:$L$2102)</f>
        <v>0</v>
      </c>
      <c r="T58" s="13">
        <f>SUMIF(Mercado_Receita!$S$2:$S$2102,"44866B2Convencional pré-pagamentoRuralServiço público de irrigação ruralNão se aplicaNão se aplicaPonta",Mercado_Receita!$L$2:$L$2102)+SUMIF(Mercado_Receita!$S$2:$S$2102,"44866B2Convencional pré-pagamentoRuralServiço público de irrigação ruralNão se aplicaNão se aplicaFora ponta",Mercado_Receita!$L$2:$L$2102)+SUMIF(Mercado_Receita!$S$2:$S$2102,"44866B2Convencional pré-pagamentoRuralServiço público de irrigação ruralNão se aplicaNão se aplicaIntermediário",Mercado_Receita!$L$2:$L$2102)+SUMIF(Mercado_Receita!$S$2:$S$2102,"44866B2Convencional pré-pagamentoRuralServiço público de irrigação ruralNão se aplicaNão se aplicaNão se aplica",Mercado_Receita!$L$2:$L$2102)</f>
        <v>0</v>
      </c>
      <c r="U58" s="13">
        <f t="shared" si="1"/>
        <v>0</v>
      </c>
      <c r="V58" s="13"/>
      <c r="W58" s="13"/>
    </row>
    <row r="59" spans="1:23" ht="11.25" customHeight="1" x14ac:dyDescent="0.25">
      <c r="A59" s="92" t="s">
        <v>39</v>
      </c>
      <c r="B59" s="92" t="s">
        <v>35</v>
      </c>
      <c r="C59" s="92" t="s">
        <v>25</v>
      </c>
      <c r="D59" s="92" t="s">
        <v>25</v>
      </c>
      <c r="E59" s="92" t="s">
        <v>25</v>
      </c>
      <c r="F59" s="92" t="s">
        <v>25</v>
      </c>
      <c r="G59" s="13" t="s">
        <v>83</v>
      </c>
      <c r="H59" s="13" t="s">
        <v>82</v>
      </c>
      <c r="I59" s="13">
        <f>SUMIF(Mercado_Receita!$S$2:$S$2102,"44531B3BrancaNão se aplicaNão se aplicaNão se aplicaNão se aplicaPonta",Mercado_Receita!$L$2:$L$2102)</f>
        <v>6.7620000000000005</v>
      </c>
      <c r="J59" s="13">
        <f>SUMIF(Mercado_Receita!$S$2:$S$2102,"44562B3BrancaNão se aplicaNão se aplicaNão se aplicaNão se aplicaPonta",Mercado_Receita!$L$2:$L$2102)</f>
        <v>6.1260000000000003</v>
      </c>
      <c r="K59" s="13">
        <f>SUMIF(Mercado_Receita!$S$2:$S$2102,"44593B3BrancaNão se aplicaNão se aplicaNão se aplicaNão se aplicaPonta",Mercado_Receita!$L$2:$L$2102)</f>
        <v>5.819</v>
      </c>
      <c r="L59" s="13">
        <f>SUMIF(Mercado_Receita!$S$2:$S$2102,"44621B3BrancaNão se aplicaNão se aplicaNão se aplicaNão se aplicaPonta",Mercado_Receita!$L$2:$L$2102)</f>
        <v>5.1909999999999981</v>
      </c>
      <c r="M59" s="13">
        <f>SUMIF(Mercado_Receita!$S$2:$S$2102,"44652B3BrancaNão se aplicaNão se aplicaNão se aplicaNão se aplicaPonta",Mercado_Receita!$L$2:$L$2102)</f>
        <v>6.6960000000000006</v>
      </c>
      <c r="N59" s="13">
        <f>SUMIF(Mercado_Receita!$S$2:$S$2102,"44682B3BrancaNão se aplicaNão se aplicaNão se aplicaNão se aplicaPonta",Mercado_Receita!$L$2:$L$2102)</f>
        <v>4.593</v>
      </c>
      <c r="O59" s="13">
        <f>SUMIF(Mercado_Receita!$S$2:$S$2102,"44713B3BrancaNão se aplicaNão se aplicaNão se aplicaNão se aplicaPonta",Mercado_Receita!$L$2:$L$2102)</f>
        <v>6.2099999999999991</v>
      </c>
      <c r="P59" s="13">
        <f>SUMIF(Mercado_Receita!$S$2:$S$2102,"44743B3BrancaNão se aplicaNão se aplicaNão se aplicaNão se aplicaPonta",Mercado_Receita!$L$2:$L$2102)</f>
        <v>7.7060000000000004</v>
      </c>
      <c r="Q59" s="13">
        <f>SUMIF(Mercado_Receita!$S$2:$S$2102,"44774B3BrancaNão se aplicaNão se aplicaNão se aplicaNão se aplicaPonta",Mercado_Receita!$L$2:$L$2102)</f>
        <v>6.7889999999999997</v>
      </c>
      <c r="R59" s="13">
        <f>SUMIF(Mercado_Receita!$S$2:$S$2102,"44805B3BrancaNão se aplicaNão se aplicaNão se aplicaNão se aplicaPonta",Mercado_Receita!$L$2:$L$2102)</f>
        <v>7.431</v>
      </c>
      <c r="S59" s="13">
        <f>SUMIF(Mercado_Receita!$S$2:$S$2102,"44835B3BrancaNão se aplicaNão se aplicaNão se aplicaNão se aplicaPonta",Mercado_Receita!$L$2:$L$2102)</f>
        <v>8.3230000000000004</v>
      </c>
      <c r="T59" s="13">
        <f>SUMIF(Mercado_Receita!$S$2:$S$2102,"44866B3BrancaNão se aplicaNão se aplicaNão se aplicaNão se aplicaPonta",Mercado_Receita!$L$2:$L$2102)</f>
        <v>8.3230000000000004</v>
      </c>
      <c r="U59" s="13">
        <f t="shared" si="1"/>
        <v>79.968999999999994</v>
      </c>
      <c r="V59" s="13"/>
      <c r="W59" s="13"/>
    </row>
    <row r="60" spans="1:23" ht="11.25" customHeight="1" x14ac:dyDescent="0.25">
      <c r="A60" s="93"/>
      <c r="B60" s="93"/>
      <c r="C60" s="93"/>
      <c r="D60" s="93"/>
      <c r="E60" s="93"/>
      <c r="F60" s="93"/>
      <c r="G60" s="13" t="s">
        <v>98</v>
      </c>
      <c r="H60" s="13" t="s">
        <v>82</v>
      </c>
      <c r="I60" s="13">
        <f>SUMIF(Mercado_Receita!$S$2:$S$2102,"44531B3BrancaNão se aplicaNão se aplicaNão se aplicaNão se aplicaIntermediário",Mercado_Receita!$L$2:$L$2102)</f>
        <v>3.4660000000000002</v>
      </c>
      <c r="J60" s="13">
        <f>SUMIF(Mercado_Receita!$S$2:$S$2102,"44562B3BrancaNão se aplicaNão se aplicaNão se aplicaNão se aplicaIntermediário",Mercado_Receita!$L$2:$L$2102)</f>
        <v>2.8769999999999998</v>
      </c>
      <c r="K60" s="13">
        <f>SUMIF(Mercado_Receita!$S$2:$S$2102,"44593B3BrancaNão se aplicaNão se aplicaNão se aplicaNão se aplicaIntermediário",Mercado_Receita!$L$2:$L$2102)</f>
        <v>2.9569999999999999</v>
      </c>
      <c r="L60" s="13">
        <f>SUMIF(Mercado_Receita!$S$2:$S$2102,"44621B3BrancaNão se aplicaNão se aplicaNão se aplicaNão se aplicaIntermediário",Mercado_Receita!$L$2:$L$2102)</f>
        <v>2.4089999999999998</v>
      </c>
      <c r="M60" s="13">
        <f>SUMIF(Mercado_Receita!$S$2:$S$2102,"44652B3BrancaNão se aplicaNão se aplicaNão se aplicaNão se aplicaIntermediário",Mercado_Receita!$L$2:$L$2102)</f>
        <v>4.3520000000000003</v>
      </c>
      <c r="N60" s="13">
        <f>SUMIF(Mercado_Receita!$S$2:$S$2102,"44682B3BrancaNão se aplicaNão se aplicaNão se aplicaNão se aplicaIntermediário",Mercado_Receita!$L$2:$L$2102)</f>
        <v>2.5500000000000003</v>
      </c>
      <c r="O60" s="13">
        <f>SUMIF(Mercado_Receita!$S$2:$S$2102,"44713B3BrancaNão se aplicaNão se aplicaNão se aplicaNão se aplicaIntermediário",Mercado_Receita!$L$2:$L$2102)</f>
        <v>2.621</v>
      </c>
      <c r="P60" s="13">
        <f>SUMIF(Mercado_Receita!$S$2:$S$2102,"44743B3BrancaNão se aplicaNão se aplicaNão se aplicaNão se aplicaIntermediário",Mercado_Receita!$L$2:$L$2102)</f>
        <v>4.4900000000000011</v>
      </c>
      <c r="Q60" s="13">
        <f>SUMIF(Mercado_Receita!$S$2:$S$2102,"44774B3BrancaNão se aplicaNão se aplicaNão se aplicaNão se aplicaIntermediário",Mercado_Receita!$L$2:$L$2102)</f>
        <v>4.6680000000000001</v>
      </c>
      <c r="R60" s="13">
        <f>SUMIF(Mercado_Receita!$S$2:$S$2102,"44805B3BrancaNão se aplicaNão se aplicaNão se aplicaNão se aplicaIntermediário",Mercado_Receita!$L$2:$L$2102)</f>
        <v>3.3779999999999997</v>
      </c>
      <c r="S60" s="13">
        <f>SUMIF(Mercado_Receita!$S$2:$S$2102,"44835B3BrancaNão se aplicaNão se aplicaNão se aplicaNão se aplicaIntermediário",Mercado_Receita!$L$2:$L$2102)</f>
        <v>3.9639999999999995</v>
      </c>
      <c r="T60" s="13">
        <f>SUMIF(Mercado_Receita!$S$2:$S$2102,"44866B3BrancaNão se aplicaNão se aplicaNão se aplicaNão se aplicaIntermediário",Mercado_Receita!$L$2:$L$2102)</f>
        <v>3.9639999999999995</v>
      </c>
      <c r="U60" s="13">
        <f t="shared" si="1"/>
        <v>41.695999999999998</v>
      </c>
      <c r="V60" s="13"/>
      <c r="W60" s="13"/>
    </row>
    <row r="61" spans="1:23" ht="11.25" customHeight="1" x14ac:dyDescent="0.25">
      <c r="A61" s="93"/>
      <c r="B61" s="93"/>
      <c r="C61" s="93"/>
      <c r="D61" s="93"/>
      <c r="E61" s="93"/>
      <c r="F61" s="93"/>
      <c r="G61" s="13" t="s">
        <v>84</v>
      </c>
      <c r="H61" s="13" t="s">
        <v>82</v>
      </c>
      <c r="I61" s="13">
        <f>SUMIF(Mercado_Receita!$S$2:$S$2102,"44531B3BrancaNão se aplicaNão se aplicaNão se aplicaNão se aplicaFora ponta",Mercado_Receita!$L$2:$L$2102)</f>
        <v>118.38900000000001</v>
      </c>
      <c r="J61" s="13">
        <f>SUMIF(Mercado_Receita!$S$2:$S$2102,"44562B3BrancaNão se aplicaNão se aplicaNão se aplicaNão se aplicaFora ponta",Mercado_Receita!$L$2:$L$2102)</f>
        <v>109.072</v>
      </c>
      <c r="K61" s="13">
        <f>SUMIF(Mercado_Receita!$S$2:$S$2102,"44593B3BrancaNão se aplicaNão se aplicaNão se aplicaNão se aplicaFora ponta",Mercado_Receita!$L$2:$L$2102)</f>
        <v>92.922000000000011</v>
      </c>
      <c r="L61" s="13">
        <f>SUMIF(Mercado_Receita!$S$2:$S$2102,"44621B3BrancaNão se aplicaNão se aplicaNão se aplicaNão se aplicaFora ponta",Mercado_Receita!$L$2:$L$2102)</f>
        <v>102.48499999999999</v>
      </c>
      <c r="M61" s="13">
        <f>SUMIF(Mercado_Receita!$S$2:$S$2102,"44652B3BrancaNão se aplicaNão se aplicaNão se aplicaNão se aplicaFora ponta",Mercado_Receita!$L$2:$L$2102)</f>
        <v>105.657</v>
      </c>
      <c r="N61" s="13">
        <f>SUMIF(Mercado_Receita!$S$2:$S$2102,"44682B3BrancaNão se aplicaNão se aplicaNão se aplicaNão se aplicaFora ponta",Mercado_Receita!$L$2:$L$2102)</f>
        <v>107.423</v>
      </c>
      <c r="O61" s="13">
        <f>SUMIF(Mercado_Receita!$S$2:$S$2102,"44713B3BrancaNão se aplicaNão se aplicaNão se aplicaNão se aplicaFora ponta",Mercado_Receita!$L$2:$L$2102)</f>
        <v>98.048999999999992</v>
      </c>
      <c r="P61" s="13">
        <f>SUMIF(Mercado_Receita!$S$2:$S$2102,"44743B3BrancaNão se aplicaNão se aplicaNão se aplicaNão se aplicaFora ponta",Mercado_Receita!$L$2:$L$2102)</f>
        <v>119.55600000000001</v>
      </c>
      <c r="Q61" s="13">
        <f>SUMIF(Mercado_Receita!$S$2:$S$2102,"44774B3BrancaNão se aplicaNão se aplicaNão se aplicaNão se aplicaFora ponta",Mercado_Receita!$L$2:$L$2102)</f>
        <v>115.06099999999998</v>
      </c>
      <c r="R61" s="13">
        <f>SUMIF(Mercado_Receita!$S$2:$S$2102,"44805B3BrancaNão se aplicaNão se aplicaNão se aplicaNão se aplicaFora ponta",Mercado_Receita!$L$2:$L$2102)</f>
        <v>122.059</v>
      </c>
      <c r="S61" s="13">
        <f>SUMIF(Mercado_Receita!$S$2:$S$2102,"44835B3BrancaNão se aplicaNão se aplicaNão se aplicaNão se aplicaFora ponta",Mercado_Receita!$L$2:$L$2102)</f>
        <v>123.79600000000001</v>
      </c>
      <c r="T61" s="13">
        <f>SUMIF(Mercado_Receita!$S$2:$S$2102,"44866B3BrancaNão se aplicaNão se aplicaNão se aplicaNão se aplicaFora ponta",Mercado_Receita!$L$2:$L$2102)</f>
        <v>123.79600000000001</v>
      </c>
      <c r="U61" s="13">
        <f t="shared" si="1"/>
        <v>1338.2650000000001</v>
      </c>
      <c r="V61" s="13"/>
      <c r="W61" s="13"/>
    </row>
    <row r="62" spans="1:23" ht="11.25" customHeight="1" x14ac:dyDescent="0.25">
      <c r="A62" s="93"/>
      <c r="B62" s="12" t="s">
        <v>23</v>
      </c>
      <c r="C62" s="12" t="s">
        <v>25</v>
      </c>
      <c r="D62" s="12" t="s">
        <v>25</v>
      </c>
      <c r="E62" s="12" t="s">
        <v>25</v>
      </c>
      <c r="F62" s="12" t="s">
        <v>25</v>
      </c>
      <c r="G62" s="13" t="s">
        <v>88</v>
      </c>
      <c r="H62" s="13" t="s">
        <v>82</v>
      </c>
      <c r="I62" s="13">
        <f>SUMIF(Mercado_Receita!$S$2:$S$2102,"44531B3ConvencionalNão se aplicaNão se aplicaNão se aplicaNão se aplicaPonta",Mercado_Receita!$L$2:$L$2102)+SUMIF(Mercado_Receita!$S$2:$S$2102,"44531B3ConvencionalNão se aplicaNão se aplicaNão se aplicaNão se aplicaFora ponta",Mercado_Receita!$L$2:$L$2102)+SUMIF(Mercado_Receita!$S$2:$S$2102,"44531B3ConvencionalNão se aplicaNão se aplicaNão se aplicaNão se aplicaIntermediário",Mercado_Receita!$L$2:$L$2102)+SUMIF(Mercado_Receita!$S$2:$S$2102,"44531B3ConvencionalNão se aplicaNão se aplicaNão se aplicaNão se aplicaNão se aplica",Mercado_Receita!$L$2:$L$2102)</f>
        <v>17428.481</v>
      </c>
      <c r="J62" s="13">
        <f>SUMIF(Mercado_Receita!$S$2:$S$2102,"44562B3ConvencionalNão se aplicaNão se aplicaNão se aplicaNão se aplicaPonta",Mercado_Receita!$L$2:$L$2102)+SUMIF(Mercado_Receita!$S$2:$S$2102,"44562B3ConvencionalNão se aplicaNão se aplicaNão se aplicaNão se aplicaFora ponta",Mercado_Receita!$L$2:$L$2102)+SUMIF(Mercado_Receita!$S$2:$S$2102,"44562B3ConvencionalNão se aplicaNão se aplicaNão se aplicaNão se aplicaIntermediário",Mercado_Receita!$L$2:$L$2102)+SUMIF(Mercado_Receita!$S$2:$S$2102,"44562B3ConvencionalNão se aplicaNão se aplicaNão se aplicaNão se aplicaNão se aplica",Mercado_Receita!$L$2:$L$2102)</f>
        <v>16451.419999999995</v>
      </c>
      <c r="K62" s="13">
        <f>SUMIF(Mercado_Receita!$S$2:$S$2102,"44593B3ConvencionalNão se aplicaNão se aplicaNão se aplicaNão se aplicaPonta",Mercado_Receita!$L$2:$L$2102)+SUMIF(Mercado_Receita!$S$2:$S$2102,"44593B3ConvencionalNão se aplicaNão se aplicaNão se aplicaNão se aplicaFora ponta",Mercado_Receita!$L$2:$L$2102)+SUMIF(Mercado_Receita!$S$2:$S$2102,"44593B3ConvencionalNão se aplicaNão se aplicaNão se aplicaNão se aplicaIntermediário",Mercado_Receita!$L$2:$L$2102)+SUMIF(Mercado_Receita!$S$2:$S$2102,"44593B3ConvencionalNão se aplicaNão se aplicaNão se aplicaNão se aplicaNão se aplica",Mercado_Receita!$L$2:$L$2102)</f>
        <v>15623.053</v>
      </c>
      <c r="L62" s="13">
        <f>SUMIF(Mercado_Receita!$S$2:$S$2102,"44621B3ConvencionalNão se aplicaNão se aplicaNão se aplicaNão se aplicaPonta",Mercado_Receita!$L$2:$L$2102)+SUMIF(Mercado_Receita!$S$2:$S$2102,"44621B3ConvencionalNão se aplicaNão se aplicaNão se aplicaNão se aplicaFora ponta",Mercado_Receita!$L$2:$L$2102)+SUMIF(Mercado_Receita!$S$2:$S$2102,"44621B3ConvencionalNão se aplicaNão se aplicaNão se aplicaNão se aplicaIntermediário",Mercado_Receita!$L$2:$L$2102)+SUMIF(Mercado_Receita!$S$2:$S$2102,"44621B3ConvencionalNão se aplicaNão se aplicaNão se aplicaNão se aplicaNão se aplica",Mercado_Receita!$L$2:$L$2102)</f>
        <v>15902.687999999998</v>
      </c>
      <c r="M62" s="13">
        <f>SUMIF(Mercado_Receita!$S$2:$S$2102,"44652B3ConvencionalNão se aplicaNão se aplicaNão se aplicaNão se aplicaPonta",Mercado_Receita!$L$2:$L$2102)+SUMIF(Mercado_Receita!$S$2:$S$2102,"44652B3ConvencionalNão se aplicaNão se aplicaNão se aplicaNão se aplicaFora ponta",Mercado_Receita!$L$2:$L$2102)+SUMIF(Mercado_Receita!$S$2:$S$2102,"44652B3ConvencionalNão se aplicaNão se aplicaNão se aplicaNão se aplicaIntermediário",Mercado_Receita!$L$2:$L$2102)+SUMIF(Mercado_Receita!$S$2:$S$2102,"44652B3ConvencionalNão se aplicaNão se aplicaNão se aplicaNão se aplicaNão se aplica",Mercado_Receita!$L$2:$L$2102)</f>
        <v>16914.400999999994</v>
      </c>
      <c r="N62" s="13">
        <f>SUMIF(Mercado_Receita!$S$2:$S$2102,"44682B3ConvencionalNão se aplicaNão se aplicaNão se aplicaNão se aplicaPonta",Mercado_Receita!$L$2:$L$2102)+SUMIF(Mercado_Receita!$S$2:$S$2102,"44682B3ConvencionalNão se aplicaNão se aplicaNão se aplicaNão se aplicaFora ponta",Mercado_Receita!$L$2:$L$2102)+SUMIF(Mercado_Receita!$S$2:$S$2102,"44682B3ConvencionalNão se aplicaNão se aplicaNão se aplicaNão se aplicaIntermediário",Mercado_Receita!$L$2:$L$2102)+SUMIF(Mercado_Receita!$S$2:$S$2102,"44682B3ConvencionalNão se aplicaNão se aplicaNão se aplicaNão se aplicaNão se aplica",Mercado_Receita!$L$2:$L$2102)</f>
        <v>17188.867999999995</v>
      </c>
      <c r="O62" s="13">
        <f>SUMIF(Mercado_Receita!$S$2:$S$2102,"44713B3ConvencionalNão se aplicaNão se aplicaNão se aplicaNão se aplicaPonta",Mercado_Receita!$L$2:$L$2102)+SUMIF(Mercado_Receita!$S$2:$S$2102,"44713B3ConvencionalNão se aplicaNão se aplicaNão se aplicaNão se aplicaFora ponta",Mercado_Receita!$L$2:$L$2102)+SUMIF(Mercado_Receita!$S$2:$S$2102,"44713B3ConvencionalNão se aplicaNão se aplicaNão se aplicaNão se aplicaIntermediário",Mercado_Receita!$L$2:$L$2102)+SUMIF(Mercado_Receita!$S$2:$S$2102,"44713B3ConvencionalNão se aplicaNão se aplicaNão se aplicaNão se aplicaNão se aplica",Mercado_Receita!$L$2:$L$2102)</f>
        <v>16323.222</v>
      </c>
      <c r="P62" s="13">
        <f>SUMIF(Mercado_Receita!$S$2:$S$2102,"44743B3ConvencionalNão se aplicaNão se aplicaNão se aplicaNão se aplicaPonta",Mercado_Receita!$L$2:$L$2102)+SUMIF(Mercado_Receita!$S$2:$S$2102,"44743B3ConvencionalNão se aplicaNão se aplicaNão se aplicaNão se aplicaFora ponta",Mercado_Receita!$L$2:$L$2102)+SUMIF(Mercado_Receita!$S$2:$S$2102,"44743B3ConvencionalNão se aplicaNão se aplicaNão se aplicaNão se aplicaIntermediário",Mercado_Receita!$L$2:$L$2102)+SUMIF(Mercado_Receita!$S$2:$S$2102,"44743B3ConvencionalNão se aplicaNão se aplicaNão se aplicaNão se aplicaNão se aplica",Mercado_Receita!$L$2:$L$2102)</f>
        <v>18259.441999999999</v>
      </c>
      <c r="Q62" s="13">
        <f>SUMIF(Mercado_Receita!$S$2:$S$2102,"44774B3ConvencionalNão se aplicaNão se aplicaNão se aplicaNão se aplicaPonta",Mercado_Receita!$L$2:$L$2102)+SUMIF(Mercado_Receita!$S$2:$S$2102,"44774B3ConvencionalNão se aplicaNão se aplicaNão se aplicaNão se aplicaFora ponta",Mercado_Receita!$L$2:$L$2102)+SUMIF(Mercado_Receita!$S$2:$S$2102,"44774B3ConvencionalNão se aplicaNão se aplicaNão se aplicaNão se aplicaIntermediário",Mercado_Receita!$L$2:$L$2102)+SUMIF(Mercado_Receita!$S$2:$S$2102,"44774B3ConvencionalNão se aplicaNão se aplicaNão se aplicaNão se aplicaNão se aplica",Mercado_Receita!$L$2:$L$2102)</f>
        <v>18521.971000000001</v>
      </c>
      <c r="R62" s="13">
        <f>SUMIF(Mercado_Receita!$S$2:$S$2102,"44805B3ConvencionalNão se aplicaNão se aplicaNão se aplicaNão se aplicaPonta",Mercado_Receita!$L$2:$L$2102)+SUMIF(Mercado_Receita!$S$2:$S$2102,"44805B3ConvencionalNão se aplicaNão se aplicaNão se aplicaNão se aplicaFora ponta",Mercado_Receita!$L$2:$L$2102)+SUMIF(Mercado_Receita!$S$2:$S$2102,"44805B3ConvencionalNão se aplicaNão se aplicaNão se aplicaNão se aplicaIntermediário",Mercado_Receita!$L$2:$L$2102)+SUMIF(Mercado_Receita!$S$2:$S$2102,"44805B3ConvencionalNão se aplicaNão se aplicaNão se aplicaNão se aplicaNão se aplica",Mercado_Receita!$L$2:$L$2102)</f>
        <v>18337.227000000003</v>
      </c>
      <c r="S62" s="13">
        <f>SUMIF(Mercado_Receita!$S$2:$S$2102,"44835B3ConvencionalNão se aplicaNão se aplicaNão se aplicaNão se aplicaPonta",Mercado_Receita!$L$2:$L$2102)+SUMIF(Mercado_Receita!$S$2:$S$2102,"44835B3ConvencionalNão se aplicaNão se aplicaNão se aplicaNão se aplicaFora ponta",Mercado_Receita!$L$2:$L$2102)+SUMIF(Mercado_Receita!$S$2:$S$2102,"44835B3ConvencionalNão se aplicaNão se aplicaNão se aplicaNão se aplicaIntermediário",Mercado_Receita!$L$2:$L$2102)+SUMIF(Mercado_Receita!$S$2:$S$2102,"44835B3ConvencionalNão se aplicaNão se aplicaNão se aplicaNão se aplicaNão se aplica",Mercado_Receita!$L$2:$L$2102)</f>
        <v>19357.45</v>
      </c>
      <c r="T62" s="13">
        <f>SUMIF(Mercado_Receita!$S$2:$S$2102,"44866B3ConvencionalNão se aplicaNão se aplicaNão se aplicaNão se aplicaPonta",Mercado_Receita!$L$2:$L$2102)+SUMIF(Mercado_Receita!$S$2:$S$2102,"44866B3ConvencionalNão se aplicaNão se aplicaNão se aplicaNão se aplicaFora ponta",Mercado_Receita!$L$2:$L$2102)+SUMIF(Mercado_Receita!$S$2:$S$2102,"44866B3ConvencionalNão se aplicaNão se aplicaNão se aplicaNão se aplicaIntermediário",Mercado_Receita!$L$2:$L$2102)+SUMIF(Mercado_Receita!$S$2:$S$2102,"44866B3ConvencionalNão se aplicaNão se aplicaNão se aplicaNão se aplicaNão se aplica",Mercado_Receita!$L$2:$L$2102)</f>
        <v>19357.45</v>
      </c>
      <c r="U62" s="13">
        <f t="shared" si="1"/>
        <v>209665.67300000001</v>
      </c>
      <c r="V62" s="13"/>
      <c r="W62" s="13"/>
    </row>
    <row r="63" spans="1:23" ht="11.25" customHeight="1" x14ac:dyDescent="0.25">
      <c r="A63" s="93"/>
      <c r="B63" s="12" t="s">
        <v>100</v>
      </c>
      <c r="C63" s="12" t="s">
        <v>25</v>
      </c>
      <c r="D63" s="12" t="s">
        <v>25</v>
      </c>
      <c r="E63" s="12" t="s">
        <v>25</v>
      </c>
      <c r="F63" s="12" t="s">
        <v>25</v>
      </c>
      <c r="G63" s="13" t="s">
        <v>88</v>
      </c>
      <c r="H63" s="13" t="s">
        <v>82</v>
      </c>
      <c r="I63" s="13">
        <f>SUMIF(Mercado_Receita!$S$2:$S$2102,"44531B3Convencional pré-pagamentoNão se aplicaNão se aplicaNão se aplicaNão se aplicaPonta",Mercado_Receita!$L$2:$L$2102)+SUMIF(Mercado_Receita!$S$2:$S$2102,"44531B3Convencional pré-pagamentoNão se aplicaNão se aplicaNão se aplicaNão se aplicaFora ponta",Mercado_Receita!$L$2:$L$2102)+SUMIF(Mercado_Receita!$S$2:$S$2102,"44531B3Convencional pré-pagamentoNão se aplicaNão se aplicaNão se aplicaNão se aplicaIntermediário",Mercado_Receita!$L$2:$L$2102)+SUMIF(Mercado_Receita!$S$2:$S$2102,"44531B3Convencional pré-pagamentoNão se aplicaNão se aplicaNão se aplicaNão se aplicaNão se aplica",Mercado_Receita!$L$2:$L$2102)</f>
        <v>0</v>
      </c>
      <c r="J63" s="13">
        <f>SUMIF(Mercado_Receita!$S$2:$S$2102,"44562B3Convencional pré-pagamentoNão se aplicaNão se aplicaNão se aplicaNão se aplicaPonta",Mercado_Receita!$L$2:$L$2102)+SUMIF(Mercado_Receita!$S$2:$S$2102,"44562B3Convencional pré-pagamentoNão se aplicaNão se aplicaNão se aplicaNão se aplicaFora ponta",Mercado_Receita!$L$2:$L$2102)+SUMIF(Mercado_Receita!$S$2:$S$2102,"44562B3Convencional pré-pagamentoNão se aplicaNão se aplicaNão se aplicaNão se aplicaIntermediário",Mercado_Receita!$L$2:$L$2102)+SUMIF(Mercado_Receita!$S$2:$S$2102,"44562B3Convencional pré-pagamentoNão se aplicaNão se aplicaNão se aplicaNão se aplicaNão se aplica",Mercado_Receita!$L$2:$L$2102)</f>
        <v>0</v>
      </c>
      <c r="K63" s="13">
        <f>SUMIF(Mercado_Receita!$S$2:$S$2102,"44593B3Convencional pré-pagamentoNão se aplicaNão se aplicaNão se aplicaNão se aplicaPonta",Mercado_Receita!$L$2:$L$2102)+SUMIF(Mercado_Receita!$S$2:$S$2102,"44593B3Convencional pré-pagamentoNão se aplicaNão se aplicaNão se aplicaNão se aplicaFora ponta",Mercado_Receita!$L$2:$L$2102)+SUMIF(Mercado_Receita!$S$2:$S$2102,"44593B3Convencional pré-pagamentoNão se aplicaNão se aplicaNão se aplicaNão se aplicaIntermediário",Mercado_Receita!$L$2:$L$2102)+SUMIF(Mercado_Receita!$S$2:$S$2102,"44593B3Convencional pré-pagamentoNão se aplicaNão se aplicaNão se aplicaNão se aplicaNão se aplica",Mercado_Receita!$L$2:$L$2102)</f>
        <v>0</v>
      </c>
      <c r="L63" s="13">
        <f>SUMIF(Mercado_Receita!$S$2:$S$2102,"44621B3Convencional pré-pagamentoNão se aplicaNão se aplicaNão se aplicaNão se aplicaPonta",Mercado_Receita!$L$2:$L$2102)+SUMIF(Mercado_Receita!$S$2:$S$2102,"44621B3Convencional pré-pagamentoNão se aplicaNão se aplicaNão se aplicaNão se aplicaFora ponta",Mercado_Receita!$L$2:$L$2102)+SUMIF(Mercado_Receita!$S$2:$S$2102,"44621B3Convencional pré-pagamentoNão se aplicaNão se aplicaNão se aplicaNão se aplicaIntermediário",Mercado_Receita!$L$2:$L$2102)+SUMIF(Mercado_Receita!$S$2:$S$2102,"44621B3Convencional pré-pagamentoNão se aplicaNão se aplicaNão se aplicaNão se aplicaNão se aplica",Mercado_Receita!$L$2:$L$2102)</f>
        <v>0</v>
      </c>
      <c r="M63" s="13">
        <f>SUMIF(Mercado_Receita!$S$2:$S$2102,"44652B3Convencional pré-pagamentoNão se aplicaNão se aplicaNão se aplicaNão se aplicaPonta",Mercado_Receita!$L$2:$L$2102)+SUMIF(Mercado_Receita!$S$2:$S$2102,"44652B3Convencional pré-pagamentoNão se aplicaNão se aplicaNão se aplicaNão se aplicaFora ponta",Mercado_Receita!$L$2:$L$2102)+SUMIF(Mercado_Receita!$S$2:$S$2102,"44652B3Convencional pré-pagamentoNão se aplicaNão se aplicaNão se aplicaNão se aplicaIntermediário",Mercado_Receita!$L$2:$L$2102)+SUMIF(Mercado_Receita!$S$2:$S$2102,"44652B3Convencional pré-pagamentoNão se aplicaNão se aplicaNão se aplicaNão se aplicaNão se aplica",Mercado_Receita!$L$2:$L$2102)</f>
        <v>0</v>
      </c>
      <c r="N63" s="13">
        <f>SUMIF(Mercado_Receita!$S$2:$S$2102,"44682B3Convencional pré-pagamentoNão se aplicaNão se aplicaNão se aplicaNão se aplicaPonta",Mercado_Receita!$L$2:$L$2102)+SUMIF(Mercado_Receita!$S$2:$S$2102,"44682B3Convencional pré-pagamentoNão se aplicaNão se aplicaNão se aplicaNão se aplicaFora ponta",Mercado_Receita!$L$2:$L$2102)+SUMIF(Mercado_Receita!$S$2:$S$2102,"44682B3Convencional pré-pagamentoNão se aplicaNão se aplicaNão se aplicaNão se aplicaIntermediário",Mercado_Receita!$L$2:$L$2102)+SUMIF(Mercado_Receita!$S$2:$S$2102,"44682B3Convencional pré-pagamentoNão se aplicaNão se aplicaNão se aplicaNão se aplicaNão se aplica",Mercado_Receita!$L$2:$L$2102)</f>
        <v>0</v>
      </c>
      <c r="O63" s="13">
        <f>SUMIF(Mercado_Receita!$S$2:$S$2102,"44713B3Convencional pré-pagamentoNão se aplicaNão se aplicaNão se aplicaNão se aplicaPonta",Mercado_Receita!$L$2:$L$2102)+SUMIF(Mercado_Receita!$S$2:$S$2102,"44713B3Convencional pré-pagamentoNão se aplicaNão se aplicaNão se aplicaNão se aplicaFora ponta",Mercado_Receita!$L$2:$L$2102)+SUMIF(Mercado_Receita!$S$2:$S$2102,"44713B3Convencional pré-pagamentoNão se aplicaNão se aplicaNão se aplicaNão se aplicaIntermediário",Mercado_Receita!$L$2:$L$2102)+SUMIF(Mercado_Receita!$S$2:$S$2102,"44713B3Convencional pré-pagamentoNão se aplicaNão se aplicaNão se aplicaNão se aplicaNão se aplica",Mercado_Receita!$L$2:$L$2102)</f>
        <v>0</v>
      </c>
      <c r="P63" s="13">
        <f>SUMIF(Mercado_Receita!$S$2:$S$2102,"44743B3Convencional pré-pagamentoNão se aplicaNão se aplicaNão se aplicaNão se aplicaPonta",Mercado_Receita!$L$2:$L$2102)+SUMIF(Mercado_Receita!$S$2:$S$2102,"44743B3Convencional pré-pagamentoNão se aplicaNão se aplicaNão se aplicaNão se aplicaFora ponta",Mercado_Receita!$L$2:$L$2102)+SUMIF(Mercado_Receita!$S$2:$S$2102,"44743B3Convencional pré-pagamentoNão se aplicaNão se aplicaNão se aplicaNão se aplicaIntermediário",Mercado_Receita!$L$2:$L$2102)+SUMIF(Mercado_Receita!$S$2:$S$2102,"44743B3Convencional pré-pagamentoNão se aplicaNão se aplicaNão se aplicaNão se aplicaNão se aplica",Mercado_Receita!$L$2:$L$2102)</f>
        <v>0</v>
      </c>
      <c r="Q63" s="13">
        <f>SUMIF(Mercado_Receita!$S$2:$S$2102,"44774B3Convencional pré-pagamentoNão se aplicaNão se aplicaNão se aplicaNão se aplicaPonta",Mercado_Receita!$L$2:$L$2102)+SUMIF(Mercado_Receita!$S$2:$S$2102,"44774B3Convencional pré-pagamentoNão se aplicaNão se aplicaNão se aplicaNão se aplicaFora ponta",Mercado_Receita!$L$2:$L$2102)+SUMIF(Mercado_Receita!$S$2:$S$2102,"44774B3Convencional pré-pagamentoNão se aplicaNão se aplicaNão se aplicaNão se aplicaIntermediário",Mercado_Receita!$L$2:$L$2102)+SUMIF(Mercado_Receita!$S$2:$S$2102,"44774B3Convencional pré-pagamentoNão se aplicaNão se aplicaNão se aplicaNão se aplicaNão se aplica",Mercado_Receita!$L$2:$L$2102)</f>
        <v>0</v>
      </c>
      <c r="R63" s="13">
        <f>SUMIF(Mercado_Receita!$S$2:$S$2102,"44805B3Convencional pré-pagamentoNão se aplicaNão se aplicaNão se aplicaNão se aplicaPonta",Mercado_Receita!$L$2:$L$2102)+SUMIF(Mercado_Receita!$S$2:$S$2102,"44805B3Convencional pré-pagamentoNão se aplicaNão se aplicaNão se aplicaNão se aplicaFora ponta",Mercado_Receita!$L$2:$L$2102)+SUMIF(Mercado_Receita!$S$2:$S$2102,"44805B3Convencional pré-pagamentoNão se aplicaNão se aplicaNão se aplicaNão se aplicaIntermediário",Mercado_Receita!$L$2:$L$2102)+SUMIF(Mercado_Receita!$S$2:$S$2102,"44805B3Convencional pré-pagamentoNão se aplicaNão se aplicaNão se aplicaNão se aplicaNão se aplica",Mercado_Receita!$L$2:$L$2102)</f>
        <v>0</v>
      </c>
      <c r="S63" s="13">
        <f>SUMIF(Mercado_Receita!$S$2:$S$2102,"44835B3Convencional pré-pagamentoNão se aplicaNão se aplicaNão se aplicaNão se aplicaPonta",Mercado_Receita!$L$2:$L$2102)+SUMIF(Mercado_Receita!$S$2:$S$2102,"44835B3Convencional pré-pagamentoNão se aplicaNão se aplicaNão se aplicaNão se aplicaFora ponta",Mercado_Receita!$L$2:$L$2102)+SUMIF(Mercado_Receita!$S$2:$S$2102,"44835B3Convencional pré-pagamentoNão se aplicaNão se aplicaNão se aplicaNão se aplicaIntermediário",Mercado_Receita!$L$2:$L$2102)+SUMIF(Mercado_Receita!$S$2:$S$2102,"44835B3Convencional pré-pagamentoNão se aplicaNão se aplicaNão se aplicaNão se aplicaNão se aplica",Mercado_Receita!$L$2:$L$2102)</f>
        <v>0</v>
      </c>
      <c r="T63" s="13">
        <f>SUMIF(Mercado_Receita!$S$2:$S$2102,"44866B3Convencional pré-pagamentoNão se aplicaNão se aplicaNão se aplicaNão se aplicaPonta",Mercado_Receita!$L$2:$L$2102)+SUMIF(Mercado_Receita!$S$2:$S$2102,"44866B3Convencional pré-pagamentoNão se aplicaNão se aplicaNão se aplicaNão se aplicaFora ponta",Mercado_Receita!$L$2:$L$2102)+SUMIF(Mercado_Receita!$S$2:$S$2102,"44866B3Convencional pré-pagamentoNão se aplicaNão se aplicaNão se aplicaNão se aplicaIntermediário",Mercado_Receita!$L$2:$L$2102)+SUMIF(Mercado_Receita!$S$2:$S$2102,"44866B3Convencional pré-pagamentoNão se aplicaNão se aplicaNão se aplicaNão se aplicaNão se aplica",Mercado_Receita!$L$2:$L$2102)</f>
        <v>0</v>
      </c>
      <c r="U63" s="13">
        <f t="shared" si="1"/>
        <v>0</v>
      </c>
      <c r="V63" s="13"/>
      <c r="W63" s="13"/>
    </row>
    <row r="64" spans="1:23" ht="11.25" customHeight="1" x14ac:dyDescent="0.25">
      <c r="A64" s="92" t="s">
        <v>49</v>
      </c>
      <c r="B64" s="92" t="s">
        <v>23</v>
      </c>
      <c r="C64" s="92" t="s">
        <v>50</v>
      </c>
      <c r="D64" s="12" t="s">
        <v>51</v>
      </c>
      <c r="E64" s="12" t="s">
        <v>25</v>
      </c>
      <c r="F64" s="12" t="s">
        <v>25</v>
      </c>
      <c r="G64" s="13" t="s">
        <v>88</v>
      </c>
      <c r="H64" s="13" t="s">
        <v>82</v>
      </c>
      <c r="I64" s="13">
        <f>SUMIF(Mercado_Receita!$S$2:$S$2102,"44531B4ConvencionalIluminação públicaIluminação pública – B4aNão se aplicaNão se aplicaPonta",Mercado_Receita!$L$2:$L$2102)+SUMIF(Mercado_Receita!$S$2:$S$2102,"44531B4ConvencionalIluminação públicaIluminação pública – B4aNão se aplicaNão se aplicaFora ponta",Mercado_Receita!$L$2:$L$2102)+SUMIF(Mercado_Receita!$S$2:$S$2102,"44531B4ConvencionalIluminação públicaIluminação pública – B4aNão se aplicaNão se aplicaIntermediário",Mercado_Receita!$L$2:$L$2102)+SUMIF(Mercado_Receita!$S$2:$S$2102,"44531B4ConvencionalIluminação públicaIluminação pública – B4aNão se aplicaNão se aplicaNão se aplica",Mercado_Receita!$L$2:$L$2102)</f>
        <v>3796.2179999999998</v>
      </c>
      <c r="J64" s="13">
        <f>SUMIF(Mercado_Receita!$S$2:$S$2102,"44562B4ConvencionalIluminação públicaIluminação pública – B4aNão se aplicaNão se aplicaPonta",Mercado_Receita!$L$2:$L$2102)+SUMIF(Mercado_Receita!$S$2:$S$2102,"44562B4ConvencionalIluminação públicaIluminação pública – B4aNão se aplicaNão se aplicaFora ponta",Mercado_Receita!$L$2:$L$2102)+SUMIF(Mercado_Receita!$S$2:$S$2102,"44562B4ConvencionalIluminação públicaIluminação pública – B4aNão se aplicaNão se aplicaIntermediário",Mercado_Receita!$L$2:$L$2102)+SUMIF(Mercado_Receita!$S$2:$S$2102,"44562B4ConvencionalIluminação públicaIluminação pública – B4aNão se aplicaNão se aplicaNão se aplica",Mercado_Receita!$L$2:$L$2102)</f>
        <v>4169.5069999999996</v>
      </c>
      <c r="K64" s="13">
        <f>SUMIF(Mercado_Receita!$S$2:$S$2102,"44593B4ConvencionalIluminação públicaIluminação pública – B4aNão se aplicaNão se aplicaPonta",Mercado_Receita!$L$2:$L$2102)+SUMIF(Mercado_Receita!$S$2:$S$2102,"44593B4ConvencionalIluminação públicaIluminação pública – B4aNão se aplicaNão se aplicaFora ponta",Mercado_Receita!$L$2:$L$2102)+SUMIF(Mercado_Receita!$S$2:$S$2102,"44593B4ConvencionalIluminação públicaIluminação pública – B4aNão se aplicaNão se aplicaIntermediário",Mercado_Receita!$L$2:$L$2102)+SUMIF(Mercado_Receita!$S$2:$S$2102,"44593B4ConvencionalIluminação públicaIluminação pública – B4aNão se aplicaNão se aplicaNão se aplica",Mercado_Receita!$L$2:$L$2102)</f>
        <v>4275.2950000000001</v>
      </c>
      <c r="L64" s="13">
        <f>SUMIF(Mercado_Receita!$S$2:$S$2102,"44621B4ConvencionalIluminação públicaIluminação pública – B4aNão se aplicaNão se aplicaPonta",Mercado_Receita!$L$2:$L$2102)+SUMIF(Mercado_Receita!$S$2:$S$2102,"44621B4ConvencionalIluminação públicaIluminação pública – B4aNão se aplicaNão se aplicaFora ponta",Mercado_Receita!$L$2:$L$2102)+SUMIF(Mercado_Receita!$S$2:$S$2102,"44621B4ConvencionalIluminação públicaIluminação pública – B4aNão se aplicaNão se aplicaIntermediário",Mercado_Receita!$L$2:$L$2102)+SUMIF(Mercado_Receita!$S$2:$S$2102,"44621B4ConvencionalIluminação públicaIluminação pública – B4aNão se aplicaNão se aplicaNão se aplica",Mercado_Receita!$L$2:$L$2102)</f>
        <v>4476.2809999999999</v>
      </c>
      <c r="M64" s="13">
        <f>SUMIF(Mercado_Receita!$S$2:$S$2102,"44652B4ConvencionalIluminação públicaIluminação pública – B4aNão se aplicaNão se aplicaPonta",Mercado_Receita!$L$2:$L$2102)+SUMIF(Mercado_Receita!$S$2:$S$2102,"44652B4ConvencionalIluminação públicaIluminação pública – B4aNão se aplicaNão se aplicaFora ponta",Mercado_Receita!$L$2:$L$2102)+SUMIF(Mercado_Receita!$S$2:$S$2102,"44652B4ConvencionalIluminação públicaIluminação pública – B4aNão se aplicaNão se aplicaIntermediário",Mercado_Receita!$L$2:$L$2102)+SUMIF(Mercado_Receita!$S$2:$S$2102,"44652B4ConvencionalIluminação públicaIluminação pública – B4aNão se aplicaNão se aplicaNão se aplica",Mercado_Receita!$L$2:$L$2102)</f>
        <v>4534.299</v>
      </c>
      <c r="N64" s="13">
        <f>SUMIF(Mercado_Receita!$S$2:$S$2102,"44682B4ConvencionalIluminação públicaIluminação pública – B4aNão se aplicaNão se aplicaPonta",Mercado_Receita!$L$2:$L$2102)+SUMIF(Mercado_Receita!$S$2:$S$2102,"44682B4ConvencionalIluminação públicaIluminação pública – B4aNão se aplicaNão se aplicaFora ponta",Mercado_Receita!$L$2:$L$2102)+SUMIF(Mercado_Receita!$S$2:$S$2102,"44682B4ConvencionalIluminação públicaIluminação pública – B4aNão se aplicaNão se aplicaIntermediário",Mercado_Receita!$L$2:$L$2102)+SUMIF(Mercado_Receita!$S$2:$S$2102,"44682B4ConvencionalIluminação públicaIluminação pública – B4aNão se aplicaNão se aplicaNão se aplica",Mercado_Receita!$L$2:$L$2102)</f>
        <v>3885.0989999999997</v>
      </c>
      <c r="O64" s="13">
        <f>SUMIF(Mercado_Receita!$S$2:$S$2102,"44713B4ConvencionalIluminação públicaIluminação pública – B4aNão se aplicaNão se aplicaPonta",Mercado_Receita!$L$2:$L$2102)+SUMIF(Mercado_Receita!$S$2:$S$2102,"44713B4ConvencionalIluminação públicaIluminação pública – B4aNão se aplicaNão se aplicaFora ponta",Mercado_Receita!$L$2:$L$2102)+SUMIF(Mercado_Receita!$S$2:$S$2102,"44713B4ConvencionalIluminação públicaIluminação pública – B4aNão se aplicaNão se aplicaIntermediário",Mercado_Receita!$L$2:$L$2102)+SUMIF(Mercado_Receita!$S$2:$S$2102,"44713B4ConvencionalIluminação públicaIluminação pública – B4aNão se aplicaNão se aplicaNão se aplica",Mercado_Receita!$L$2:$L$2102)</f>
        <v>3740.41</v>
      </c>
      <c r="P64" s="13">
        <f>SUMIF(Mercado_Receita!$S$2:$S$2102,"44743B4ConvencionalIluminação públicaIluminação pública – B4aNão se aplicaNão se aplicaPonta",Mercado_Receita!$L$2:$L$2102)+SUMIF(Mercado_Receita!$S$2:$S$2102,"44743B4ConvencionalIluminação públicaIluminação pública – B4aNão se aplicaNão se aplicaFora ponta",Mercado_Receita!$L$2:$L$2102)+SUMIF(Mercado_Receita!$S$2:$S$2102,"44743B4ConvencionalIluminação públicaIluminação pública – B4aNão se aplicaNão se aplicaIntermediário",Mercado_Receita!$L$2:$L$2102)+SUMIF(Mercado_Receita!$S$2:$S$2102,"44743B4ConvencionalIluminação públicaIluminação pública – B4aNão se aplicaNão se aplicaNão se aplica",Mercado_Receita!$L$2:$L$2102)</f>
        <v>3918.76</v>
      </c>
      <c r="Q64" s="13">
        <f>SUMIF(Mercado_Receita!$S$2:$S$2102,"44774B4ConvencionalIluminação públicaIluminação pública – B4aNão se aplicaNão se aplicaPonta",Mercado_Receita!$L$2:$L$2102)+SUMIF(Mercado_Receita!$S$2:$S$2102,"44774B4ConvencionalIluminação públicaIluminação pública – B4aNão se aplicaNão se aplicaFora ponta",Mercado_Receita!$L$2:$L$2102)+SUMIF(Mercado_Receita!$S$2:$S$2102,"44774B4ConvencionalIluminação públicaIluminação pública – B4aNão se aplicaNão se aplicaIntermediário",Mercado_Receita!$L$2:$L$2102)+SUMIF(Mercado_Receita!$S$2:$S$2102,"44774B4ConvencionalIluminação públicaIluminação pública – B4aNão se aplicaNão se aplicaNão se aplica",Mercado_Receita!$L$2:$L$2102)</f>
        <v>4070.306</v>
      </c>
      <c r="R64" s="13">
        <f>SUMIF(Mercado_Receita!$S$2:$S$2102,"44805B4ConvencionalIluminação públicaIluminação pública – B4aNão se aplicaNão se aplicaPonta",Mercado_Receita!$L$2:$L$2102)+SUMIF(Mercado_Receita!$S$2:$S$2102,"44805B4ConvencionalIluminação públicaIluminação pública – B4aNão se aplicaNão se aplicaFora ponta",Mercado_Receita!$L$2:$L$2102)+SUMIF(Mercado_Receita!$S$2:$S$2102,"44805B4ConvencionalIluminação públicaIluminação pública – B4aNão se aplicaNão se aplicaIntermediário",Mercado_Receita!$L$2:$L$2102)+SUMIF(Mercado_Receita!$S$2:$S$2102,"44805B4ConvencionalIluminação públicaIluminação pública – B4aNão se aplicaNão se aplicaNão se aplica",Mercado_Receita!$L$2:$L$2102)</f>
        <v>4154.3609999999999</v>
      </c>
      <c r="S64" s="13">
        <f>SUMIF(Mercado_Receita!$S$2:$S$2102,"44835B4ConvencionalIluminação públicaIluminação pública – B4aNão se aplicaNão se aplicaPonta",Mercado_Receita!$L$2:$L$2102)+SUMIF(Mercado_Receita!$S$2:$S$2102,"44835B4ConvencionalIluminação públicaIluminação pública – B4aNão se aplicaNão se aplicaFora ponta",Mercado_Receita!$L$2:$L$2102)+SUMIF(Mercado_Receita!$S$2:$S$2102,"44835B4ConvencionalIluminação públicaIluminação pública – B4aNão se aplicaNão se aplicaIntermediário",Mercado_Receita!$L$2:$L$2102)+SUMIF(Mercado_Receita!$S$2:$S$2102,"44835B4ConvencionalIluminação públicaIluminação pública – B4aNão se aplicaNão se aplicaNão se aplica",Mercado_Receita!$L$2:$L$2102)</f>
        <v>4172.3230000000003</v>
      </c>
      <c r="T64" s="13">
        <f>SUMIF(Mercado_Receita!$S$2:$S$2102,"44866B4ConvencionalIluminação públicaIluminação pública – B4aNão se aplicaNão se aplicaPonta",Mercado_Receita!$L$2:$L$2102)+SUMIF(Mercado_Receita!$S$2:$S$2102,"44866B4ConvencionalIluminação públicaIluminação pública – B4aNão se aplicaNão se aplicaFora ponta",Mercado_Receita!$L$2:$L$2102)+SUMIF(Mercado_Receita!$S$2:$S$2102,"44866B4ConvencionalIluminação públicaIluminação pública – B4aNão se aplicaNão se aplicaIntermediário",Mercado_Receita!$L$2:$L$2102)+SUMIF(Mercado_Receita!$S$2:$S$2102,"44866B4ConvencionalIluminação públicaIluminação pública – B4aNão se aplicaNão se aplicaNão se aplica",Mercado_Receita!$L$2:$L$2102)</f>
        <v>4172.3230000000003</v>
      </c>
      <c r="U64" s="13">
        <f t="shared" si="1"/>
        <v>49365.182000000001</v>
      </c>
      <c r="V64" s="13"/>
      <c r="W64" s="13"/>
    </row>
    <row r="65" spans="1:23" ht="11.25" customHeight="1" x14ac:dyDescent="0.25">
      <c r="A65" s="93"/>
      <c r="B65" s="93"/>
      <c r="C65" s="93"/>
      <c r="D65" s="13" t="s">
        <v>103</v>
      </c>
      <c r="E65" s="13" t="s">
        <v>25</v>
      </c>
      <c r="F65" s="13" t="s">
        <v>25</v>
      </c>
      <c r="G65" s="13" t="s">
        <v>88</v>
      </c>
      <c r="H65" s="13" t="s">
        <v>82</v>
      </c>
      <c r="I65" s="13">
        <f>SUMIF(Mercado_Receita!$S$2:$S$2102,"44531B4ConvencionalIluminação públicaIluminação pública – B4bNão se aplicaNão se aplicaPonta",Mercado_Receita!$L$2:$L$2102)+SUMIF(Mercado_Receita!$S$2:$S$2102,"44531B4ConvencionalIluminação públicaIluminação pública – B4bNão se aplicaNão se aplicaFora ponta",Mercado_Receita!$L$2:$L$2102)+SUMIF(Mercado_Receita!$S$2:$S$2102,"44531B4ConvencionalIluminação públicaIluminação pública – B4bNão se aplicaNão se aplicaIntermediário",Mercado_Receita!$L$2:$L$2102)+SUMIF(Mercado_Receita!$S$2:$S$2102,"44531B4ConvencionalIluminação públicaIluminação pública – B4bNão se aplicaNão se aplicaNão se aplica",Mercado_Receita!$L$2:$L$2102)</f>
        <v>0</v>
      </c>
      <c r="J65" s="13">
        <f>SUMIF(Mercado_Receita!$S$2:$S$2102,"44562B4ConvencionalIluminação públicaIluminação pública – B4bNão se aplicaNão se aplicaPonta",Mercado_Receita!$L$2:$L$2102)+SUMIF(Mercado_Receita!$S$2:$S$2102,"44562B4ConvencionalIluminação públicaIluminação pública – B4bNão se aplicaNão se aplicaFora ponta",Mercado_Receita!$L$2:$L$2102)+SUMIF(Mercado_Receita!$S$2:$S$2102,"44562B4ConvencionalIluminação públicaIluminação pública – B4bNão se aplicaNão se aplicaIntermediário",Mercado_Receita!$L$2:$L$2102)+SUMIF(Mercado_Receita!$S$2:$S$2102,"44562B4ConvencionalIluminação públicaIluminação pública – B4bNão se aplicaNão se aplicaNão se aplica",Mercado_Receita!$L$2:$L$2102)</f>
        <v>0</v>
      </c>
      <c r="K65" s="13">
        <f>SUMIF(Mercado_Receita!$S$2:$S$2102,"44593B4ConvencionalIluminação públicaIluminação pública – B4bNão se aplicaNão se aplicaPonta",Mercado_Receita!$L$2:$L$2102)+SUMIF(Mercado_Receita!$S$2:$S$2102,"44593B4ConvencionalIluminação públicaIluminação pública – B4bNão se aplicaNão se aplicaFora ponta",Mercado_Receita!$L$2:$L$2102)+SUMIF(Mercado_Receita!$S$2:$S$2102,"44593B4ConvencionalIluminação públicaIluminação pública – B4bNão se aplicaNão se aplicaIntermediário",Mercado_Receita!$L$2:$L$2102)+SUMIF(Mercado_Receita!$S$2:$S$2102,"44593B4ConvencionalIluminação públicaIluminação pública – B4bNão se aplicaNão se aplicaNão se aplica",Mercado_Receita!$L$2:$L$2102)</f>
        <v>0</v>
      </c>
      <c r="L65" s="13">
        <f>SUMIF(Mercado_Receita!$S$2:$S$2102,"44621B4ConvencionalIluminação públicaIluminação pública – B4bNão se aplicaNão se aplicaPonta",Mercado_Receita!$L$2:$L$2102)+SUMIF(Mercado_Receita!$S$2:$S$2102,"44621B4ConvencionalIluminação públicaIluminação pública – B4bNão se aplicaNão se aplicaFora ponta",Mercado_Receita!$L$2:$L$2102)+SUMIF(Mercado_Receita!$S$2:$S$2102,"44621B4ConvencionalIluminação públicaIluminação pública – B4bNão se aplicaNão se aplicaIntermediário",Mercado_Receita!$L$2:$L$2102)+SUMIF(Mercado_Receita!$S$2:$S$2102,"44621B4ConvencionalIluminação públicaIluminação pública – B4bNão se aplicaNão se aplicaNão se aplica",Mercado_Receita!$L$2:$L$2102)</f>
        <v>0</v>
      </c>
      <c r="M65" s="13">
        <f>SUMIF(Mercado_Receita!$S$2:$S$2102,"44652B4ConvencionalIluminação públicaIluminação pública – B4bNão se aplicaNão se aplicaPonta",Mercado_Receita!$L$2:$L$2102)+SUMIF(Mercado_Receita!$S$2:$S$2102,"44652B4ConvencionalIluminação públicaIluminação pública – B4bNão se aplicaNão se aplicaFora ponta",Mercado_Receita!$L$2:$L$2102)+SUMIF(Mercado_Receita!$S$2:$S$2102,"44652B4ConvencionalIluminação públicaIluminação pública – B4bNão se aplicaNão se aplicaIntermediário",Mercado_Receita!$L$2:$L$2102)+SUMIF(Mercado_Receita!$S$2:$S$2102,"44652B4ConvencionalIluminação públicaIluminação pública – B4bNão se aplicaNão se aplicaNão se aplica",Mercado_Receita!$L$2:$L$2102)</f>
        <v>0</v>
      </c>
      <c r="N65" s="13">
        <f>SUMIF(Mercado_Receita!$S$2:$S$2102,"44682B4ConvencionalIluminação públicaIluminação pública – B4bNão se aplicaNão se aplicaPonta",Mercado_Receita!$L$2:$L$2102)+SUMIF(Mercado_Receita!$S$2:$S$2102,"44682B4ConvencionalIluminação públicaIluminação pública – B4bNão se aplicaNão se aplicaFora ponta",Mercado_Receita!$L$2:$L$2102)+SUMIF(Mercado_Receita!$S$2:$S$2102,"44682B4ConvencionalIluminação públicaIluminação pública – B4bNão se aplicaNão se aplicaIntermediário",Mercado_Receita!$L$2:$L$2102)+SUMIF(Mercado_Receita!$S$2:$S$2102,"44682B4ConvencionalIluminação públicaIluminação pública – B4bNão se aplicaNão se aplicaNão se aplica",Mercado_Receita!$L$2:$L$2102)</f>
        <v>0</v>
      </c>
      <c r="O65" s="13">
        <f>SUMIF(Mercado_Receita!$S$2:$S$2102,"44713B4ConvencionalIluminação públicaIluminação pública – B4bNão se aplicaNão se aplicaPonta",Mercado_Receita!$L$2:$L$2102)+SUMIF(Mercado_Receita!$S$2:$S$2102,"44713B4ConvencionalIluminação públicaIluminação pública – B4bNão se aplicaNão se aplicaFora ponta",Mercado_Receita!$L$2:$L$2102)+SUMIF(Mercado_Receita!$S$2:$S$2102,"44713B4ConvencionalIluminação públicaIluminação pública – B4bNão se aplicaNão se aplicaIntermediário",Mercado_Receita!$L$2:$L$2102)+SUMIF(Mercado_Receita!$S$2:$S$2102,"44713B4ConvencionalIluminação públicaIluminação pública – B4bNão se aplicaNão se aplicaNão se aplica",Mercado_Receita!$L$2:$L$2102)</f>
        <v>0</v>
      </c>
      <c r="P65" s="13">
        <f>SUMIF(Mercado_Receita!$S$2:$S$2102,"44743B4ConvencionalIluminação públicaIluminação pública – B4bNão se aplicaNão se aplicaPonta",Mercado_Receita!$L$2:$L$2102)+SUMIF(Mercado_Receita!$S$2:$S$2102,"44743B4ConvencionalIluminação públicaIluminação pública – B4bNão se aplicaNão se aplicaFora ponta",Mercado_Receita!$L$2:$L$2102)+SUMIF(Mercado_Receita!$S$2:$S$2102,"44743B4ConvencionalIluminação públicaIluminação pública – B4bNão se aplicaNão se aplicaIntermediário",Mercado_Receita!$L$2:$L$2102)+SUMIF(Mercado_Receita!$S$2:$S$2102,"44743B4ConvencionalIluminação públicaIluminação pública – B4bNão se aplicaNão se aplicaNão se aplica",Mercado_Receita!$L$2:$L$2102)</f>
        <v>0</v>
      </c>
      <c r="Q65" s="13">
        <f>SUMIF(Mercado_Receita!$S$2:$S$2102,"44774B4ConvencionalIluminação públicaIluminação pública – B4bNão se aplicaNão se aplicaPonta",Mercado_Receita!$L$2:$L$2102)+SUMIF(Mercado_Receita!$S$2:$S$2102,"44774B4ConvencionalIluminação públicaIluminação pública – B4bNão se aplicaNão se aplicaFora ponta",Mercado_Receita!$L$2:$L$2102)+SUMIF(Mercado_Receita!$S$2:$S$2102,"44774B4ConvencionalIluminação públicaIluminação pública – B4bNão se aplicaNão se aplicaIntermediário",Mercado_Receita!$L$2:$L$2102)+SUMIF(Mercado_Receita!$S$2:$S$2102,"44774B4ConvencionalIluminação públicaIluminação pública – B4bNão se aplicaNão se aplicaNão se aplica",Mercado_Receita!$L$2:$L$2102)</f>
        <v>0</v>
      </c>
      <c r="R65" s="13">
        <f>SUMIF(Mercado_Receita!$S$2:$S$2102,"44805B4ConvencionalIluminação públicaIluminação pública – B4bNão se aplicaNão se aplicaPonta",Mercado_Receita!$L$2:$L$2102)+SUMIF(Mercado_Receita!$S$2:$S$2102,"44805B4ConvencionalIluminação públicaIluminação pública – B4bNão se aplicaNão se aplicaFora ponta",Mercado_Receita!$L$2:$L$2102)+SUMIF(Mercado_Receita!$S$2:$S$2102,"44805B4ConvencionalIluminação públicaIluminação pública – B4bNão se aplicaNão se aplicaIntermediário",Mercado_Receita!$L$2:$L$2102)+SUMIF(Mercado_Receita!$S$2:$S$2102,"44805B4ConvencionalIluminação públicaIluminação pública – B4bNão se aplicaNão se aplicaNão se aplica",Mercado_Receita!$L$2:$L$2102)</f>
        <v>0</v>
      </c>
      <c r="S65" s="13">
        <f>SUMIF(Mercado_Receita!$S$2:$S$2102,"44835B4ConvencionalIluminação públicaIluminação pública – B4bNão se aplicaNão se aplicaPonta",Mercado_Receita!$L$2:$L$2102)+SUMIF(Mercado_Receita!$S$2:$S$2102,"44835B4ConvencionalIluminação públicaIluminação pública – B4bNão se aplicaNão se aplicaFora ponta",Mercado_Receita!$L$2:$L$2102)+SUMIF(Mercado_Receita!$S$2:$S$2102,"44835B4ConvencionalIluminação públicaIluminação pública – B4bNão se aplicaNão se aplicaIntermediário",Mercado_Receita!$L$2:$L$2102)+SUMIF(Mercado_Receita!$S$2:$S$2102,"44835B4ConvencionalIluminação públicaIluminação pública – B4bNão se aplicaNão se aplicaNão se aplica",Mercado_Receita!$L$2:$L$2102)</f>
        <v>0</v>
      </c>
      <c r="T65" s="13">
        <f>SUMIF(Mercado_Receita!$S$2:$S$2102,"44866B4ConvencionalIluminação públicaIluminação pública – B4bNão se aplicaNão se aplicaPonta",Mercado_Receita!$L$2:$L$2102)+SUMIF(Mercado_Receita!$S$2:$S$2102,"44866B4ConvencionalIluminação públicaIluminação pública – B4bNão se aplicaNão se aplicaFora ponta",Mercado_Receita!$L$2:$L$2102)+SUMIF(Mercado_Receita!$S$2:$S$2102,"44866B4ConvencionalIluminação públicaIluminação pública – B4bNão se aplicaNão se aplicaIntermediário",Mercado_Receita!$L$2:$L$2102)+SUMIF(Mercado_Receita!$S$2:$S$2102,"44866B4ConvencionalIluminação públicaIluminação pública – B4bNão se aplicaNão se aplicaNão se aplica",Mercado_Receita!$L$2:$L$2102)</f>
        <v>0</v>
      </c>
      <c r="U65" s="13">
        <f t="shared" si="1"/>
        <v>0</v>
      </c>
      <c r="V65" s="13"/>
      <c r="W65" s="13"/>
    </row>
    <row r="66" spans="1:23" ht="11.25" customHeight="1" x14ac:dyDescent="0.25">
      <c r="A66" s="94" t="s">
        <v>733</v>
      </c>
      <c r="B66" s="95"/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13"/>
      <c r="W66" s="13"/>
    </row>
  </sheetData>
  <mergeCells count="79">
    <mergeCell ref="A64:A65"/>
    <mergeCell ref="B64:B65"/>
    <mergeCell ref="C64:C65"/>
    <mergeCell ref="A66:U66"/>
    <mergeCell ref="C56:C58"/>
    <mergeCell ref="B56:B58"/>
    <mergeCell ref="A44:A58"/>
    <mergeCell ref="F59:F61"/>
    <mergeCell ref="E59:E61"/>
    <mergeCell ref="D59:D61"/>
    <mergeCell ref="C59:C61"/>
    <mergeCell ref="B59:B61"/>
    <mergeCell ref="A59:A63"/>
    <mergeCell ref="F48:F50"/>
    <mergeCell ref="E48:E50"/>
    <mergeCell ref="D48:D50"/>
    <mergeCell ref="C48:C50"/>
    <mergeCell ref="B48:B50"/>
    <mergeCell ref="F52:F54"/>
    <mergeCell ref="E52:E54"/>
    <mergeCell ref="D52:D54"/>
    <mergeCell ref="C52:C54"/>
    <mergeCell ref="B52:B54"/>
    <mergeCell ref="C39:C43"/>
    <mergeCell ref="B39:B43"/>
    <mergeCell ref="A31:A43"/>
    <mergeCell ref="F44:F46"/>
    <mergeCell ref="E44:E46"/>
    <mergeCell ref="D44:D46"/>
    <mergeCell ref="C44:C46"/>
    <mergeCell ref="B44:B46"/>
    <mergeCell ref="F31:F33"/>
    <mergeCell ref="E31:E33"/>
    <mergeCell ref="D31:D33"/>
    <mergeCell ref="C31:C33"/>
    <mergeCell ref="B31:B33"/>
    <mergeCell ref="C34:C38"/>
    <mergeCell ref="B34:B38"/>
    <mergeCell ref="B24:B28"/>
    <mergeCell ref="A16:A28"/>
    <mergeCell ref="D29:D30"/>
    <mergeCell ref="C29:C30"/>
    <mergeCell ref="B29:B30"/>
    <mergeCell ref="A29:A30"/>
    <mergeCell ref="C24:C28"/>
    <mergeCell ref="F24:F26"/>
    <mergeCell ref="E24:E26"/>
    <mergeCell ref="F27:F28"/>
    <mergeCell ref="E27:E28"/>
    <mergeCell ref="D24:D28"/>
    <mergeCell ref="F16:F18"/>
    <mergeCell ref="E16:E18"/>
    <mergeCell ref="D16:D19"/>
    <mergeCell ref="C16:C19"/>
    <mergeCell ref="B16:B19"/>
    <mergeCell ref="F20:F22"/>
    <mergeCell ref="E20:E22"/>
    <mergeCell ref="D20:D22"/>
    <mergeCell ref="C20:C22"/>
    <mergeCell ref="B20:B22"/>
    <mergeCell ref="A6:A15"/>
    <mergeCell ref="F6:F8"/>
    <mergeCell ref="E6:E8"/>
    <mergeCell ref="D6:D9"/>
    <mergeCell ref="C6:C9"/>
    <mergeCell ref="B6:B9"/>
    <mergeCell ref="F11:F13"/>
    <mergeCell ref="E11:E13"/>
    <mergeCell ref="F14:F15"/>
    <mergeCell ref="E14:E15"/>
    <mergeCell ref="D11:D15"/>
    <mergeCell ref="C11:C15"/>
    <mergeCell ref="B11:B15"/>
    <mergeCell ref="A2:A5"/>
    <mergeCell ref="F2:F4"/>
    <mergeCell ref="E2:E4"/>
    <mergeCell ref="D2:D5"/>
    <mergeCell ref="C2:C5"/>
    <mergeCell ref="B2:B5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36D81-6FE9-4D5C-A1DE-8EF6B747DD19}">
  <sheetPr codeName="Planilha5"/>
  <dimension ref="A1:AD49"/>
  <sheetViews>
    <sheetView showGridLines="0" workbookViewId="0">
      <selection activeCell="A2" sqref="A2:A4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7.85546875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71</v>
      </c>
      <c r="B1" s="10" t="s">
        <v>72</v>
      </c>
      <c r="C1" s="10" t="s">
        <v>73</v>
      </c>
      <c r="D1" s="10" t="s">
        <v>74</v>
      </c>
      <c r="E1" s="10" t="s">
        <v>75</v>
      </c>
      <c r="F1" s="10" t="s">
        <v>76</v>
      </c>
      <c r="G1" s="10" t="s">
        <v>77</v>
      </c>
      <c r="H1" s="10" t="s">
        <v>78</v>
      </c>
      <c r="I1" s="11">
        <v>44531</v>
      </c>
      <c r="J1" s="11">
        <v>44562</v>
      </c>
      <c r="K1" s="11">
        <v>44593</v>
      </c>
      <c r="L1" s="11">
        <v>44621</v>
      </c>
      <c r="M1" s="11">
        <v>44652</v>
      </c>
      <c r="N1" s="11">
        <v>44682</v>
      </c>
      <c r="O1" s="11">
        <v>44713</v>
      </c>
      <c r="P1" s="11">
        <v>44743</v>
      </c>
      <c r="Q1" s="11">
        <v>44774</v>
      </c>
      <c r="R1" s="11">
        <v>44805</v>
      </c>
      <c r="S1" s="11">
        <v>44835</v>
      </c>
      <c r="T1" s="11">
        <v>44866</v>
      </c>
      <c r="U1" s="10" t="s">
        <v>79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92" t="s">
        <v>80</v>
      </c>
      <c r="B2" s="92" t="s">
        <v>81</v>
      </c>
      <c r="C2" s="92" t="s">
        <v>25</v>
      </c>
      <c r="D2" s="92" t="s">
        <v>25</v>
      </c>
      <c r="E2" s="92" t="s">
        <v>25</v>
      </c>
      <c r="F2" s="92" t="s">
        <v>25</v>
      </c>
      <c r="G2" s="13" t="s">
        <v>83</v>
      </c>
      <c r="H2" s="13" t="s">
        <v>82</v>
      </c>
      <c r="I2" s="13">
        <f>SUMIF(Mercado_Receita!$T$2:$T$2102,"44531A3Energia horáriaNão se aplicaNão se aplicaNão se aplicaNão se aplicaPonta",Mercado_Receita!$N$2:$N$2102)</f>
        <v>0</v>
      </c>
      <c r="J2" s="13">
        <f>SUMIF(Mercado_Receita!$T$2:$T$2102,"44562A3Energia horáriaNão se aplicaNão se aplicaNão se aplicaNão se aplicaPonta",Mercado_Receita!$N$2:$N$2102)</f>
        <v>0</v>
      </c>
      <c r="K2" s="13">
        <f>SUMIF(Mercado_Receita!$T$2:$T$2102,"44593A3Energia horáriaNão se aplicaNão se aplicaNão se aplicaNão se aplicaPonta",Mercado_Receita!$N$2:$N$2102)</f>
        <v>0</v>
      </c>
      <c r="L2" s="13">
        <f>SUMIF(Mercado_Receita!$T$2:$T$2102,"44621A3Energia horáriaNão se aplicaNão se aplicaNão se aplicaNão se aplicaPonta",Mercado_Receita!$N$2:$N$2102)</f>
        <v>0</v>
      </c>
      <c r="M2" s="13">
        <f>SUMIF(Mercado_Receita!$T$2:$T$2102,"44652A3Energia horáriaNão se aplicaNão se aplicaNão se aplicaNão se aplicaPonta",Mercado_Receita!$N$2:$N$2102)</f>
        <v>0</v>
      </c>
      <c r="N2" s="13">
        <f>SUMIF(Mercado_Receita!$T$2:$T$2102,"44682A3Energia horáriaNão se aplicaNão se aplicaNão se aplicaNão se aplicaPonta",Mercado_Receita!$N$2:$N$2102)</f>
        <v>0</v>
      </c>
      <c r="O2" s="13">
        <f>SUMIF(Mercado_Receita!$T$2:$T$2102,"44713A3Energia horáriaNão se aplicaNão se aplicaNão se aplicaNão se aplicaPonta",Mercado_Receita!$N$2:$N$2102)</f>
        <v>0</v>
      </c>
      <c r="P2" s="13">
        <f>SUMIF(Mercado_Receita!$T$2:$T$2102,"44743A3Energia horáriaNão se aplicaNão se aplicaNão se aplicaNão se aplicaPonta",Mercado_Receita!$N$2:$N$2102)</f>
        <v>0</v>
      </c>
      <c r="Q2" s="13">
        <f>SUMIF(Mercado_Receita!$T$2:$T$2102,"44774A3Energia horáriaNão se aplicaNão se aplicaNão se aplicaNão se aplicaPonta",Mercado_Receita!$N$2:$N$2102)</f>
        <v>0</v>
      </c>
      <c r="R2" s="13">
        <f>SUMIF(Mercado_Receita!$T$2:$T$2102,"44805A3Energia horáriaNão se aplicaNão se aplicaNão se aplicaNão se aplicaPonta",Mercado_Receita!$N$2:$N$2102)</f>
        <v>0</v>
      </c>
      <c r="S2" s="13">
        <f>SUMIF(Mercado_Receita!$T$2:$T$2102,"44835A3Energia horáriaNão se aplicaNão se aplicaNão se aplicaNão se aplicaPonta",Mercado_Receita!$N$2:$N$2102)</f>
        <v>0</v>
      </c>
      <c r="T2" s="13">
        <f>SUMIF(Mercado_Receita!$T$2:$T$2102,"44866A3Energia horáriaNão se aplicaNão se aplicaNão se aplicaNão se aplicaPonta",Mercado_Receita!$N$2:$N$2102)</f>
        <v>0</v>
      </c>
      <c r="U2" s="13">
        <f t="shared" ref="U2:U48" si="0">SUM(I2:T2)</f>
        <v>0</v>
      </c>
      <c r="V2" s="13"/>
      <c r="W2" s="13"/>
    </row>
    <row r="3" spans="1:30" ht="11.25" customHeight="1" x14ac:dyDescent="0.25">
      <c r="A3" s="93"/>
      <c r="B3" s="93"/>
      <c r="C3" s="93"/>
      <c r="D3" s="93"/>
      <c r="E3" s="93"/>
      <c r="F3" s="93"/>
      <c r="G3" s="13" t="s">
        <v>84</v>
      </c>
      <c r="H3" s="13" t="s">
        <v>82</v>
      </c>
      <c r="I3" s="13">
        <f>SUMIF(Mercado_Receita!$T$2:$T$2102,"44531A3Energia horáriaNão se aplicaNão se aplicaNão se aplicaNão se aplicaFora ponta",Mercado_Receita!$N$2:$N$2102)</f>
        <v>0</v>
      </c>
      <c r="J3" s="13">
        <f>SUMIF(Mercado_Receita!$T$2:$T$2102,"44562A3Energia horáriaNão se aplicaNão se aplicaNão se aplicaNão se aplicaFora ponta",Mercado_Receita!$N$2:$N$2102)</f>
        <v>0</v>
      </c>
      <c r="K3" s="13">
        <f>SUMIF(Mercado_Receita!$T$2:$T$2102,"44593A3Energia horáriaNão se aplicaNão se aplicaNão se aplicaNão se aplicaFora ponta",Mercado_Receita!$N$2:$N$2102)</f>
        <v>0</v>
      </c>
      <c r="L3" s="13">
        <f>SUMIF(Mercado_Receita!$T$2:$T$2102,"44621A3Energia horáriaNão se aplicaNão se aplicaNão se aplicaNão se aplicaFora ponta",Mercado_Receita!$N$2:$N$2102)</f>
        <v>0</v>
      </c>
      <c r="M3" s="13">
        <f>SUMIF(Mercado_Receita!$T$2:$T$2102,"44652A3Energia horáriaNão se aplicaNão se aplicaNão se aplicaNão se aplicaFora ponta",Mercado_Receita!$N$2:$N$2102)</f>
        <v>0</v>
      </c>
      <c r="N3" s="13">
        <f>SUMIF(Mercado_Receita!$T$2:$T$2102,"44682A3Energia horáriaNão se aplicaNão se aplicaNão se aplicaNão se aplicaFora ponta",Mercado_Receita!$N$2:$N$2102)</f>
        <v>0</v>
      </c>
      <c r="O3" s="13">
        <f>SUMIF(Mercado_Receita!$T$2:$T$2102,"44713A3Energia horáriaNão se aplicaNão se aplicaNão se aplicaNão se aplicaFora ponta",Mercado_Receita!$N$2:$N$2102)</f>
        <v>0</v>
      </c>
      <c r="P3" s="13">
        <f>SUMIF(Mercado_Receita!$T$2:$T$2102,"44743A3Energia horáriaNão se aplicaNão se aplicaNão se aplicaNão se aplicaFora ponta",Mercado_Receita!$N$2:$N$2102)</f>
        <v>0</v>
      </c>
      <c r="Q3" s="13">
        <f>SUMIF(Mercado_Receita!$T$2:$T$2102,"44774A3Energia horáriaNão se aplicaNão se aplicaNão se aplicaNão se aplicaFora ponta",Mercado_Receita!$N$2:$N$2102)</f>
        <v>0</v>
      </c>
      <c r="R3" s="13">
        <f>SUMIF(Mercado_Receita!$T$2:$T$2102,"44805A3Energia horáriaNão se aplicaNão se aplicaNão se aplicaNão se aplicaFora ponta",Mercado_Receita!$N$2:$N$2102)</f>
        <v>0</v>
      </c>
      <c r="S3" s="13">
        <f>SUMIF(Mercado_Receita!$T$2:$T$2102,"44835A3Energia horáriaNão se aplicaNão se aplicaNão se aplicaNão se aplicaFora ponta",Mercado_Receita!$N$2:$N$2102)</f>
        <v>0</v>
      </c>
      <c r="T3" s="13">
        <f>SUMIF(Mercado_Receita!$T$2:$T$2102,"44866A3Energia horáriaNão se aplicaNão se aplicaNão se aplicaNão se aplicaFora ponta",Mercado_Receita!$N$2:$N$2102)</f>
        <v>0</v>
      </c>
      <c r="U3" s="13">
        <f t="shared" si="0"/>
        <v>0</v>
      </c>
      <c r="V3" s="13"/>
      <c r="W3" s="13"/>
    </row>
    <row r="4" spans="1:30" ht="11.25" customHeight="1" x14ac:dyDescent="0.25">
      <c r="A4" s="93"/>
      <c r="B4" s="12" t="s">
        <v>90</v>
      </c>
      <c r="C4" s="12" t="s">
        <v>25</v>
      </c>
      <c r="D4" s="12" t="s">
        <v>25</v>
      </c>
      <c r="E4" s="12" t="s">
        <v>25</v>
      </c>
      <c r="F4" s="12" t="s">
        <v>25</v>
      </c>
      <c r="G4" s="13" t="s">
        <v>88</v>
      </c>
      <c r="H4" s="13" t="s">
        <v>82</v>
      </c>
      <c r="I4" s="13">
        <f>SUMIF(Mercado_Receita!$T$2:$T$2102,"44531A3Energia convencionalNão se aplicaNão se aplicaNão se aplicaNão se aplicaNão se aplica",Mercado_Receita!$N$2:$N$2102)</f>
        <v>0</v>
      </c>
      <c r="J4" s="13">
        <f>SUMIF(Mercado_Receita!$T$2:$T$2102,"44562A3Energia convencionalNão se aplicaNão se aplicaNão se aplicaNão se aplicaNão se aplica",Mercado_Receita!$N$2:$N$2102)</f>
        <v>0</v>
      </c>
      <c r="K4" s="13">
        <f>SUMIF(Mercado_Receita!$T$2:$T$2102,"44593A3Energia convencionalNão se aplicaNão se aplicaNão se aplicaNão se aplicaNão se aplica",Mercado_Receita!$N$2:$N$2102)</f>
        <v>0</v>
      </c>
      <c r="L4" s="13">
        <f>SUMIF(Mercado_Receita!$T$2:$T$2102,"44621A3Energia convencionalNão se aplicaNão se aplicaNão se aplicaNão se aplicaNão se aplica",Mercado_Receita!$N$2:$N$2102)</f>
        <v>0</v>
      </c>
      <c r="M4" s="13">
        <f>SUMIF(Mercado_Receita!$T$2:$T$2102,"44652A3Energia convencionalNão se aplicaNão se aplicaNão se aplicaNão se aplicaNão se aplica",Mercado_Receita!$N$2:$N$2102)</f>
        <v>0</v>
      </c>
      <c r="N4" s="13">
        <f>SUMIF(Mercado_Receita!$T$2:$T$2102,"44682A3Energia convencionalNão se aplicaNão se aplicaNão se aplicaNão se aplicaNão se aplica",Mercado_Receita!$N$2:$N$2102)</f>
        <v>0</v>
      </c>
      <c r="O4" s="13">
        <f>SUMIF(Mercado_Receita!$T$2:$T$2102,"44713A3Energia convencionalNão se aplicaNão se aplicaNão se aplicaNão se aplicaNão se aplica",Mercado_Receita!$N$2:$N$2102)</f>
        <v>0</v>
      </c>
      <c r="P4" s="13">
        <f>SUMIF(Mercado_Receita!$T$2:$T$2102,"44743A3Energia convencionalNão se aplicaNão se aplicaNão se aplicaNão se aplicaNão se aplica",Mercado_Receita!$N$2:$N$2102)</f>
        <v>0</v>
      </c>
      <c r="Q4" s="13">
        <f>SUMIF(Mercado_Receita!$T$2:$T$2102,"44774A3Energia convencionalNão se aplicaNão se aplicaNão se aplicaNão se aplicaNão se aplica",Mercado_Receita!$N$2:$N$2102)</f>
        <v>0</v>
      </c>
      <c r="R4" s="13">
        <f>SUMIF(Mercado_Receita!$T$2:$T$2102,"44805A3Energia convencionalNão se aplicaNão se aplicaNão se aplicaNão se aplicaNão se aplica",Mercado_Receita!$N$2:$N$2102)</f>
        <v>0</v>
      </c>
      <c r="S4" s="13">
        <f>SUMIF(Mercado_Receita!$T$2:$T$2102,"44835A3Energia convencionalNão se aplicaNão se aplicaNão se aplicaNão se aplicaNão se aplica",Mercado_Receita!$N$2:$N$2102)</f>
        <v>0</v>
      </c>
      <c r="T4" s="13">
        <f>SUMIF(Mercado_Receita!$T$2:$T$2102,"44866A3Energia convencionalNão se aplicaNão se aplicaNão se aplicaNão se aplicaNão se aplica",Mercado_Receita!$N$2:$N$2102)</f>
        <v>0</v>
      </c>
      <c r="U4" s="13">
        <f t="shared" si="0"/>
        <v>0</v>
      </c>
      <c r="V4" s="13"/>
      <c r="W4" s="13"/>
    </row>
    <row r="5" spans="1:30" ht="11.25" customHeight="1" x14ac:dyDescent="0.25">
      <c r="A5" s="92" t="s">
        <v>43</v>
      </c>
      <c r="B5" s="92" t="s">
        <v>81</v>
      </c>
      <c r="C5" s="92" t="s">
        <v>25</v>
      </c>
      <c r="D5" s="92" t="s">
        <v>25</v>
      </c>
      <c r="E5" s="92" t="s">
        <v>25</v>
      </c>
      <c r="F5" s="92" t="s">
        <v>25</v>
      </c>
      <c r="G5" s="13" t="s">
        <v>83</v>
      </c>
      <c r="H5" s="13" t="s">
        <v>82</v>
      </c>
      <c r="I5" s="13">
        <f>SUMIF(Mercado_Receita!$T$2:$T$2102,"44531A3aEnergia horáriaNão se aplicaNão se aplicaNão se aplicaNão se aplicaPonta",Mercado_Receita!$N$2:$N$2102)</f>
        <v>11.59</v>
      </c>
      <c r="J5" s="13">
        <f>SUMIF(Mercado_Receita!$T$2:$T$2102,"44562A3aEnergia horáriaNão se aplicaNão se aplicaNão se aplicaNão se aplicaPonta",Mercado_Receita!$N$2:$N$2102)</f>
        <v>8.4269999999999996</v>
      </c>
      <c r="K5" s="13">
        <f>SUMIF(Mercado_Receita!$T$2:$T$2102,"44593A3aEnergia horáriaNão se aplicaNão se aplicaNão se aplicaNão se aplicaPonta",Mercado_Receita!$N$2:$N$2102)</f>
        <v>9.5169999999999995</v>
      </c>
      <c r="L5" s="13">
        <f>SUMIF(Mercado_Receita!$T$2:$T$2102,"44621A3aEnergia horáriaNão se aplicaNão se aplicaNão se aplicaNão se aplicaPonta",Mercado_Receita!$N$2:$N$2102)</f>
        <v>12.26</v>
      </c>
      <c r="M5" s="13">
        <f>SUMIF(Mercado_Receita!$T$2:$T$2102,"44652A3aEnergia horáriaNão se aplicaNão se aplicaNão se aplicaNão se aplicaPonta",Mercado_Receita!$N$2:$N$2102)</f>
        <v>21.187999999999999</v>
      </c>
      <c r="N5" s="13">
        <f>SUMIF(Mercado_Receita!$T$2:$T$2102,"44682A3aEnergia horáriaNão se aplicaNão se aplicaNão se aplicaNão se aplicaPonta",Mercado_Receita!$N$2:$N$2102)</f>
        <v>12.246</v>
      </c>
      <c r="O5" s="13">
        <f>SUMIF(Mercado_Receita!$T$2:$T$2102,"44713A3aEnergia horáriaNão se aplicaNão se aplicaNão se aplicaNão se aplicaPonta",Mercado_Receita!$N$2:$N$2102)</f>
        <v>12.848000000000001</v>
      </c>
      <c r="P5" s="13">
        <f>SUMIF(Mercado_Receita!$T$2:$T$2102,"44743A3aEnergia horáriaNão se aplicaNão se aplicaNão se aplicaNão se aplicaPonta",Mercado_Receita!$N$2:$N$2102)</f>
        <v>12.28</v>
      </c>
      <c r="Q5" s="13">
        <f>SUMIF(Mercado_Receita!$T$2:$T$2102,"44774A3aEnergia horáriaNão se aplicaNão se aplicaNão se aplicaNão se aplicaPonta",Mercado_Receita!$N$2:$N$2102)</f>
        <v>8.984</v>
      </c>
      <c r="R5" s="13">
        <f>SUMIF(Mercado_Receita!$T$2:$T$2102,"44805A3aEnergia horáriaNão se aplicaNão se aplicaNão se aplicaNão se aplicaPonta",Mercado_Receita!$N$2:$N$2102)</f>
        <v>18.873999999999999</v>
      </c>
      <c r="S5" s="13">
        <f>SUMIF(Mercado_Receita!$T$2:$T$2102,"44835A3aEnergia horáriaNão se aplicaNão se aplicaNão se aplicaNão se aplicaPonta",Mercado_Receita!$N$2:$N$2102)</f>
        <v>17.463999999999999</v>
      </c>
      <c r="T5" s="13">
        <f>SUMIF(Mercado_Receita!$T$2:$T$2102,"44866A3aEnergia horáriaNão se aplicaNão se aplicaNão se aplicaNão se aplicaPonta",Mercado_Receita!$N$2:$N$2102)</f>
        <v>17.463999999999999</v>
      </c>
      <c r="U5" s="13">
        <f t="shared" si="0"/>
        <v>163.142</v>
      </c>
      <c r="V5" s="13"/>
      <c r="W5" s="13"/>
    </row>
    <row r="6" spans="1:30" ht="11.25" customHeight="1" x14ac:dyDescent="0.25">
      <c r="A6" s="93"/>
      <c r="B6" s="93"/>
      <c r="C6" s="93"/>
      <c r="D6" s="93"/>
      <c r="E6" s="93"/>
      <c r="F6" s="93"/>
      <c r="G6" s="13" t="s">
        <v>84</v>
      </c>
      <c r="H6" s="13" t="s">
        <v>82</v>
      </c>
      <c r="I6" s="13">
        <f>SUMIF(Mercado_Receita!$T$2:$T$2102,"44531A3aEnergia horáriaNão se aplicaNão se aplicaNão se aplicaNão se aplicaFora ponta",Mercado_Receita!$N$2:$N$2102)</f>
        <v>111.486</v>
      </c>
      <c r="J6" s="13">
        <f>SUMIF(Mercado_Receita!$T$2:$T$2102,"44562A3aEnergia horáriaNão se aplicaNão se aplicaNão se aplicaNão se aplicaFora ponta",Mercado_Receita!$N$2:$N$2102)</f>
        <v>108.02799999999999</v>
      </c>
      <c r="K6" s="13">
        <f>SUMIF(Mercado_Receita!$T$2:$T$2102,"44593A3aEnergia horáriaNão se aplicaNão se aplicaNão se aplicaNão se aplicaFora ponta",Mercado_Receita!$N$2:$N$2102)</f>
        <v>90.537999999999997</v>
      </c>
      <c r="L6" s="13">
        <f>SUMIF(Mercado_Receita!$T$2:$T$2102,"44621A3aEnergia horáriaNão se aplicaNão se aplicaNão se aplicaNão se aplicaFora ponta",Mercado_Receita!$N$2:$N$2102)</f>
        <v>112.05599999999998</v>
      </c>
      <c r="M6" s="13">
        <f>SUMIF(Mercado_Receita!$T$2:$T$2102,"44652A3aEnergia horáriaNão se aplicaNão se aplicaNão se aplicaNão se aplicaFora ponta",Mercado_Receita!$N$2:$N$2102)</f>
        <v>185.47399999999999</v>
      </c>
      <c r="N6" s="13">
        <f>SUMIF(Mercado_Receita!$T$2:$T$2102,"44682A3aEnergia horáriaNão se aplicaNão se aplicaNão se aplicaNão se aplicaFora ponta",Mercado_Receita!$N$2:$N$2102)</f>
        <v>118.557</v>
      </c>
      <c r="O6" s="13">
        <f>SUMIF(Mercado_Receita!$T$2:$T$2102,"44713A3aEnergia horáriaNão se aplicaNão se aplicaNão se aplicaNão se aplicaFora ponta",Mercado_Receita!$N$2:$N$2102)</f>
        <v>130.27700000000002</v>
      </c>
      <c r="P6" s="13">
        <f>SUMIF(Mercado_Receita!$T$2:$T$2102,"44743A3aEnergia horáriaNão se aplicaNão se aplicaNão se aplicaNão se aplicaFora ponta",Mercado_Receita!$N$2:$N$2102)</f>
        <v>136.70500000000001</v>
      </c>
      <c r="Q6" s="13">
        <f>SUMIF(Mercado_Receita!$T$2:$T$2102,"44774A3aEnergia horáriaNão se aplicaNão se aplicaNão se aplicaNão se aplicaFora ponta",Mercado_Receita!$N$2:$N$2102)</f>
        <v>117.667</v>
      </c>
      <c r="R6" s="13">
        <f>SUMIF(Mercado_Receita!$T$2:$T$2102,"44805A3aEnergia horáriaNão se aplicaNão se aplicaNão se aplicaNão se aplicaFora ponta",Mercado_Receita!$N$2:$N$2102)</f>
        <v>308.48700000000002</v>
      </c>
      <c r="S6" s="13">
        <f>SUMIF(Mercado_Receita!$T$2:$T$2102,"44835A3aEnergia horáriaNão se aplicaNão se aplicaNão se aplicaNão se aplicaFora ponta",Mercado_Receita!$N$2:$N$2102)</f>
        <v>173.73099999999999</v>
      </c>
      <c r="T6" s="13">
        <f>SUMIF(Mercado_Receita!$T$2:$T$2102,"44866A3aEnergia horáriaNão se aplicaNão se aplicaNão se aplicaNão se aplicaFora ponta",Mercado_Receita!$N$2:$N$2102)</f>
        <v>173.73099999999999</v>
      </c>
      <c r="U6" s="13">
        <f t="shared" si="0"/>
        <v>1766.7370000000001</v>
      </c>
      <c r="V6" s="13"/>
      <c r="W6" s="13"/>
    </row>
    <row r="7" spans="1:30" ht="11.25" customHeight="1" x14ac:dyDescent="0.25">
      <c r="A7" s="93"/>
      <c r="B7" s="12" t="s">
        <v>90</v>
      </c>
      <c r="C7" s="12" t="s">
        <v>25</v>
      </c>
      <c r="D7" s="12" t="s">
        <v>25</v>
      </c>
      <c r="E7" s="12" t="s">
        <v>25</v>
      </c>
      <c r="F7" s="12" t="s">
        <v>25</v>
      </c>
      <c r="G7" s="13" t="s">
        <v>88</v>
      </c>
      <c r="H7" s="13" t="s">
        <v>82</v>
      </c>
      <c r="I7" s="13">
        <f>SUMIF(Mercado_Receita!$T$2:$T$2102,"44531A3aEnergia convencionalNão se aplicaNão se aplicaNão se aplicaNão se aplicaNão se aplica",Mercado_Receita!$N$2:$N$2102)</f>
        <v>0</v>
      </c>
      <c r="J7" s="13">
        <f>SUMIF(Mercado_Receita!$T$2:$T$2102,"44562A3aEnergia convencionalNão se aplicaNão se aplicaNão se aplicaNão se aplicaNão se aplica",Mercado_Receita!$N$2:$N$2102)</f>
        <v>0</v>
      </c>
      <c r="K7" s="13">
        <f>SUMIF(Mercado_Receita!$T$2:$T$2102,"44593A3aEnergia convencionalNão se aplicaNão se aplicaNão se aplicaNão se aplicaNão se aplica",Mercado_Receita!$N$2:$N$2102)</f>
        <v>0</v>
      </c>
      <c r="L7" s="13">
        <f>SUMIF(Mercado_Receita!$T$2:$T$2102,"44621A3aEnergia convencionalNão se aplicaNão se aplicaNão se aplicaNão se aplicaNão se aplica",Mercado_Receita!$N$2:$N$2102)</f>
        <v>0</v>
      </c>
      <c r="M7" s="13">
        <f>SUMIF(Mercado_Receita!$T$2:$T$2102,"44652A3aEnergia convencionalNão se aplicaNão se aplicaNão se aplicaNão se aplicaNão se aplica",Mercado_Receita!$N$2:$N$2102)</f>
        <v>0</v>
      </c>
      <c r="N7" s="13">
        <f>SUMIF(Mercado_Receita!$T$2:$T$2102,"44682A3aEnergia convencionalNão se aplicaNão se aplicaNão se aplicaNão se aplicaNão se aplica",Mercado_Receita!$N$2:$N$2102)</f>
        <v>0</v>
      </c>
      <c r="O7" s="13">
        <f>SUMIF(Mercado_Receita!$T$2:$T$2102,"44713A3aEnergia convencionalNão se aplicaNão se aplicaNão se aplicaNão se aplicaNão se aplica",Mercado_Receita!$N$2:$N$2102)</f>
        <v>0</v>
      </c>
      <c r="P7" s="13">
        <f>SUMIF(Mercado_Receita!$T$2:$T$2102,"44743A3aEnergia convencionalNão se aplicaNão se aplicaNão se aplicaNão se aplicaNão se aplica",Mercado_Receita!$N$2:$N$2102)</f>
        <v>0</v>
      </c>
      <c r="Q7" s="13">
        <f>SUMIF(Mercado_Receita!$T$2:$T$2102,"44774A3aEnergia convencionalNão se aplicaNão se aplicaNão se aplicaNão se aplicaNão se aplica",Mercado_Receita!$N$2:$N$2102)</f>
        <v>0</v>
      </c>
      <c r="R7" s="13">
        <f>SUMIF(Mercado_Receita!$T$2:$T$2102,"44805A3aEnergia convencionalNão se aplicaNão se aplicaNão se aplicaNão se aplicaNão se aplica",Mercado_Receita!$N$2:$N$2102)</f>
        <v>0</v>
      </c>
      <c r="S7" s="13">
        <f>SUMIF(Mercado_Receita!$T$2:$T$2102,"44835A3aEnergia convencionalNão se aplicaNão se aplicaNão se aplicaNão se aplicaNão se aplica",Mercado_Receita!$N$2:$N$2102)</f>
        <v>0</v>
      </c>
      <c r="T7" s="13">
        <f>SUMIF(Mercado_Receita!$T$2:$T$2102,"44866A3aEnergia convencionalNão se aplicaNão se aplicaNão se aplicaNão se aplicaNão se aplica",Mercado_Receita!$N$2:$N$2102)</f>
        <v>0</v>
      </c>
      <c r="U7" s="13">
        <f t="shared" si="0"/>
        <v>0</v>
      </c>
      <c r="V7" s="13"/>
      <c r="W7" s="13"/>
    </row>
    <row r="8" spans="1:30" ht="11.25" customHeight="1" x14ac:dyDescent="0.25">
      <c r="A8" s="92" t="s">
        <v>41</v>
      </c>
      <c r="B8" s="92" t="s">
        <v>81</v>
      </c>
      <c r="C8" s="92" t="s">
        <v>25</v>
      </c>
      <c r="D8" s="92" t="s">
        <v>25</v>
      </c>
      <c r="E8" s="92" t="s">
        <v>25</v>
      </c>
      <c r="F8" s="92" t="s">
        <v>25</v>
      </c>
      <c r="G8" s="13" t="s">
        <v>83</v>
      </c>
      <c r="H8" s="13" t="s">
        <v>82</v>
      </c>
      <c r="I8" s="13">
        <f>SUMIF(Mercado_Receita!$T$2:$T$2102,"44531A4Energia horáriaNão se aplicaNão se aplicaNão se aplicaNão se aplicaPonta",Mercado_Receita!$N$2:$N$2102)</f>
        <v>1300.0330000000004</v>
      </c>
      <c r="J8" s="13">
        <f>SUMIF(Mercado_Receita!$T$2:$T$2102,"44562A4Energia horáriaNão se aplicaNão se aplicaNão se aplicaNão se aplicaPonta",Mercado_Receita!$N$2:$N$2102)</f>
        <v>1235.7549999999999</v>
      </c>
      <c r="K8" s="13">
        <f>SUMIF(Mercado_Receita!$T$2:$T$2102,"44593A4Energia horáriaNão se aplicaNão se aplicaNão se aplicaNão se aplicaPonta",Mercado_Receita!$N$2:$N$2102)</f>
        <v>1133.2140000000002</v>
      </c>
      <c r="L8" s="13">
        <f>SUMIF(Mercado_Receita!$T$2:$T$2102,"44621A4Energia horáriaNão se aplicaNão se aplicaNão se aplicaNão se aplicaPonta",Mercado_Receita!$N$2:$N$2102)</f>
        <v>1253.7929999999999</v>
      </c>
      <c r="M8" s="13">
        <f>SUMIF(Mercado_Receita!$T$2:$T$2102,"44652A4Energia horáriaNão se aplicaNão se aplicaNão se aplicaNão se aplicaPonta",Mercado_Receita!$N$2:$N$2102)</f>
        <v>1209.4590000000001</v>
      </c>
      <c r="N8" s="13">
        <f>SUMIF(Mercado_Receita!$T$2:$T$2102,"44682A4Energia horáriaNão se aplicaNão se aplicaNão se aplicaNão se aplicaPonta",Mercado_Receita!$N$2:$N$2102)</f>
        <v>1270.2179999999998</v>
      </c>
      <c r="O8" s="13">
        <f>SUMIF(Mercado_Receita!$T$2:$T$2102,"44713A4Energia horáriaNão se aplicaNão se aplicaNão se aplicaNão se aplicaPonta",Mercado_Receita!$N$2:$N$2102)</f>
        <v>1254.0849999999998</v>
      </c>
      <c r="P8" s="13">
        <f>SUMIF(Mercado_Receita!$T$2:$T$2102,"44743A4Energia horáriaNão se aplicaNão se aplicaNão se aplicaNão se aplicaPonta",Mercado_Receita!$N$2:$N$2102)</f>
        <v>1331.0299999999997</v>
      </c>
      <c r="Q8" s="13">
        <f>SUMIF(Mercado_Receita!$T$2:$T$2102,"44774A4Energia horáriaNão se aplicaNão se aplicaNão se aplicaNão se aplicaPonta",Mercado_Receita!$N$2:$N$2102)</f>
        <v>1468.5070000000003</v>
      </c>
      <c r="R8" s="13">
        <f>SUMIF(Mercado_Receita!$T$2:$T$2102,"44805A4Energia horáriaNão se aplicaNão se aplicaNão se aplicaNão se aplicaPonta",Mercado_Receita!$N$2:$N$2102)</f>
        <v>1442.681</v>
      </c>
      <c r="S8" s="13">
        <f>SUMIF(Mercado_Receita!$T$2:$T$2102,"44835A4Energia horáriaNão se aplicaNão se aplicaNão se aplicaNão se aplicaPonta",Mercado_Receita!$N$2:$N$2102)</f>
        <v>1416.153</v>
      </c>
      <c r="T8" s="13">
        <f>SUMIF(Mercado_Receita!$T$2:$T$2102,"44866A4Energia horáriaNão se aplicaNão se aplicaNão se aplicaNão se aplicaPonta",Mercado_Receita!$N$2:$N$2102)</f>
        <v>1416.153</v>
      </c>
      <c r="U8" s="13">
        <f t="shared" si="0"/>
        <v>15731.081</v>
      </c>
      <c r="V8" s="13"/>
      <c r="W8" s="13"/>
    </row>
    <row r="9" spans="1:30" ht="11.25" customHeight="1" x14ac:dyDescent="0.25">
      <c r="A9" s="93"/>
      <c r="B9" s="93"/>
      <c r="C9" s="93"/>
      <c r="D9" s="93"/>
      <c r="E9" s="93"/>
      <c r="F9" s="93"/>
      <c r="G9" s="13" t="s">
        <v>84</v>
      </c>
      <c r="H9" s="13" t="s">
        <v>82</v>
      </c>
      <c r="I9" s="13">
        <f>SUMIF(Mercado_Receita!$T$2:$T$2102,"44531A4Energia horáriaNão se aplicaNão se aplicaNão se aplicaNão se aplicaFora ponta",Mercado_Receita!$N$2:$N$2102)</f>
        <v>16068.228999999999</v>
      </c>
      <c r="J9" s="13">
        <f>SUMIF(Mercado_Receita!$T$2:$T$2102,"44562A4Energia horáriaNão se aplicaNão se aplicaNão se aplicaNão se aplicaFora ponta",Mercado_Receita!$N$2:$N$2102)</f>
        <v>15765.094999999998</v>
      </c>
      <c r="K9" s="13">
        <f>SUMIF(Mercado_Receita!$T$2:$T$2102,"44593A4Energia horáriaNão se aplicaNão se aplicaNão se aplicaNão se aplicaFora ponta",Mercado_Receita!$N$2:$N$2102)</f>
        <v>14534.31</v>
      </c>
      <c r="L9" s="13">
        <f>SUMIF(Mercado_Receita!$T$2:$T$2102,"44621A4Energia horáriaNão se aplicaNão se aplicaNão se aplicaNão se aplicaFora ponta",Mercado_Receita!$N$2:$N$2102)</f>
        <v>15239.166999999999</v>
      </c>
      <c r="M9" s="13">
        <f>SUMIF(Mercado_Receita!$T$2:$T$2102,"44652A4Energia horáriaNão se aplicaNão se aplicaNão se aplicaNão se aplicaFora ponta",Mercado_Receita!$N$2:$N$2102)</f>
        <v>15485.026</v>
      </c>
      <c r="N9" s="13">
        <f>SUMIF(Mercado_Receita!$T$2:$T$2102,"44682A4Energia horáriaNão se aplicaNão se aplicaNão se aplicaNão se aplicaFora ponta",Mercado_Receita!$N$2:$N$2102)</f>
        <v>16268.238999999998</v>
      </c>
      <c r="O9" s="13">
        <f>SUMIF(Mercado_Receita!$T$2:$T$2102,"44713A4Energia horáriaNão se aplicaNão se aplicaNão se aplicaNão se aplicaFora ponta",Mercado_Receita!$N$2:$N$2102)</f>
        <v>15888.245999999999</v>
      </c>
      <c r="P9" s="13">
        <f>SUMIF(Mercado_Receita!$T$2:$T$2102,"44743A4Energia horáriaNão se aplicaNão se aplicaNão se aplicaNão se aplicaFora ponta",Mercado_Receita!$N$2:$N$2102)</f>
        <v>16493.202000000001</v>
      </c>
      <c r="Q9" s="13">
        <f>SUMIF(Mercado_Receita!$T$2:$T$2102,"44774A4Energia horáriaNão se aplicaNão se aplicaNão se aplicaNão se aplicaFora ponta",Mercado_Receita!$N$2:$N$2102)</f>
        <v>17286.555</v>
      </c>
      <c r="R9" s="13">
        <f>SUMIF(Mercado_Receita!$T$2:$T$2102,"44805A4Energia horáriaNão se aplicaNão se aplicaNão se aplicaNão se aplicaFora ponta",Mercado_Receita!$N$2:$N$2102)</f>
        <v>17074.637999999999</v>
      </c>
      <c r="S9" s="13">
        <f>SUMIF(Mercado_Receita!$T$2:$T$2102,"44835A4Energia horáriaNão se aplicaNão se aplicaNão se aplicaNão se aplicaFora ponta",Mercado_Receita!$N$2:$N$2102)</f>
        <v>17524.077000000001</v>
      </c>
      <c r="T9" s="13">
        <f>SUMIF(Mercado_Receita!$T$2:$T$2102,"44866A4Energia horáriaNão se aplicaNão se aplicaNão se aplicaNão se aplicaFora ponta",Mercado_Receita!$N$2:$N$2102)</f>
        <v>17524.077000000001</v>
      </c>
      <c r="U9" s="13">
        <f t="shared" si="0"/>
        <v>195150.861</v>
      </c>
      <c r="V9" s="13"/>
      <c r="W9" s="13"/>
    </row>
    <row r="10" spans="1:30" ht="11.25" customHeight="1" x14ac:dyDescent="0.25">
      <c r="A10" s="93"/>
      <c r="B10" s="12" t="s">
        <v>92</v>
      </c>
      <c r="C10" s="12" t="s">
        <v>25</v>
      </c>
      <c r="D10" s="12" t="s">
        <v>25</v>
      </c>
      <c r="E10" s="12" t="s">
        <v>93</v>
      </c>
      <c r="F10" s="12" t="s">
        <v>25</v>
      </c>
      <c r="G10" s="13" t="s">
        <v>88</v>
      </c>
      <c r="H10" s="13" t="s">
        <v>82</v>
      </c>
      <c r="I10" s="13">
        <f>SUMIF(Mercado_Receita!$T$2:$T$2102,"44531A4Energia suprimento concessionáriaNão se aplicaNão se aplica&lt;500GWhNão se aplicaNão se aplica",Mercado_Receita!$N$2:$N$2102)</f>
        <v>0</v>
      </c>
      <c r="J10" s="13">
        <f>SUMIF(Mercado_Receita!$T$2:$T$2102,"44562A4Energia suprimento concessionáriaNão se aplicaNão se aplica&lt;500GWhNão se aplicaNão se aplica",Mercado_Receita!$N$2:$N$2102)</f>
        <v>0</v>
      </c>
      <c r="K10" s="13">
        <f>SUMIF(Mercado_Receita!$T$2:$T$2102,"44593A4Energia suprimento concessionáriaNão se aplicaNão se aplica&lt;500GWhNão se aplicaNão se aplica",Mercado_Receita!$N$2:$N$2102)</f>
        <v>0</v>
      </c>
      <c r="L10" s="13">
        <f>SUMIF(Mercado_Receita!$T$2:$T$2102,"44621A4Energia suprimento concessionáriaNão se aplicaNão se aplica&lt;500GWhNão se aplicaNão se aplica",Mercado_Receita!$N$2:$N$2102)</f>
        <v>0</v>
      </c>
      <c r="M10" s="13">
        <f>SUMIF(Mercado_Receita!$T$2:$T$2102,"44652A4Energia suprimento concessionáriaNão se aplicaNão se aplica&lt;500GWhNão se aplicaNão se aplica",Mercado_Receita!$N$2:$N$2102)</f>
        <v>0</v>
      </c>
      <c r="N10" s="13">
        <f>SUMIF(Mercado_Receita!$T$2:$T$2102,"44682A4Energia suprimento concessionáriaNão se aplicaNão se aplica&lt;500GWhNão se aplicaNão se aplica",Mercado_Receita!$N$2:$N$2102)</f>
        <v>0</v>
      </c>
      <c r="O10" s="13">
        <f>SUMIF(Mercado_Receita!$T$2:$T$2102,"44713A4Energia suprimento concessionáriaNão se aplicaNão se aplica&lt;500GWhNão se aplicaNão se aplica",Mercado_Receita!$N$2:$N$2102)</f>
        <v>0</v>
      </c>
      <c r="P10" s="13">
        <f>SUMIF(Mercado_Receita!$T$2:$T$2102,"44743A4Energia suprimento concessionáriaNão se aplicaNão se aplica&lt;500GWhNão se aplicaNão se aplica",Mercado_Receita!$N$2:$N$2102)</f>
        <v>0</v>
      </c>
      <c r="Q10" s="13">
        <f>SUMIF(Mercado_Receita!$T$2:$T$2102,"44774A4Energia suprimento concessionáriaNão se aplicaNão se aplica&lt;500GWhNão se aplicaNão se aplica",Mercado_Receita!$N$2:$N$2102)</f>
        <v>0</v>
      </c>
      <c r="R10" s="13">
        <f>SUMIF(Mercado_Receita!$T$2:$T$2102,"44805A4Energia suprimento concessionáriaNão se aplicaNão se aplica&lt;500GWhNão se aplicaNão se aplica",Mercado_Receita!$N$2:$N$2102)</f>
        <v>0</v>
      </c>
      <c r="S10" s="13">
        <f>SUMIF(Mercado_Receita!$T$2:$T$2102,"44835A4Energia suprimento concessionáriaNão se aplicaNão se aplica&lt;500GWhNão se aplicaNão se aplica",Mercado_Receita!$N$2:$N$2102)</f>
        <v>0</v>
      </c>
      <c r="T10" s="13">
        <f>SUMIF(Mercado_Receita!$T$2:$T$2102,"44866A4Energia suprimento concessionáriaNão se aplicaNão se aplica&lt;500GWhNão se aplicaNão se aplica",Mercado_Receita!$N$2:$N$2102)</f>
        <v>0</v>
      </c>
      <c r="U10" s="13">
        <f t="shared" si="0"/>
        <v>0</v>
      </c>
      <c r="V10" s="13"/>
      <c r="W10" s="13"/>
    </row>
    <row r="11" spans="1:30" ht="11.25" customHeight="1" x14ac:dyDescent="0.25">
      <c r="A11" s="93"/>
      <c r="B11" s="12" t="s">
        <v>90</v>
      </c>
      <c r="C11" s="12" t="s">
        <v>25</v>
      </c>
      <c r="D11" s="12" t="s">
        <v>25</v>
      </c>
      <c r="E11" s="12" t="s">
        <v>25</v>
      </c>
      <c r="F11" s="12" t="s">
        <v>25</v>
      </c>
      <c r="G11" s="13" t="s">
        <v>88</v>
      </c>
      <c r="H11" s="13" t="s">
        <v>82</v>
      </c>
      <c r="I11" s="13">
        <f>SUMIF(Mercado_Receita!$T$2:$T$2102,"44531A4Energia convencionalNão se aplicaNão se aplicaNão se aplicaNão se aplicaNão se aplica",Mercado_Receita!$N$2:$N$2102)</f>
        <v>0</v>
      </c>
      <c r="J11" s="13">
        <f>SUMIF(Mercado_Receita!$T$2:$T$2102,"44562A4Energia convencionalNão se aplicaNão se aplicaNão se aplicaNão se aplicaNão se aplica",Mercado_Receita!$N$2:$N$2102)</f>
        <v>0</v>
      </c>
      <c r="K11" s="13">
        <f>SUMIF(Mercado_Receita!$T$2:$T$2102,"44593A4Energia convencionalNão se aplicaNão se aplicaNão se aplicaNão se aplicaNão se aplica",Mercado_Receita!$N$2:$N$2102)</f>
        <v>0</v>
      </c>
      <c r="L11" s="13">
        <f>SUMIF(Mercado_Receita!$T$2:$T$2102,"44621A4Energia convencionalNão se aplicaNão se aplicaNão se aplicaNão se aplicaNão se aplica",Mercado_Receita!$N$2:$N$2102)</f>
        <v>0</v>
      </c>
      <c r="M11" s="13">
        <f>SUMIF(Mercado_Receita!$T$2:$T$2102,"44652A4Energia convencionalNão se aplicaNão se aplicaNão se aplicaNão se aplicaNão se aplica",Mercado_Receita!$N$2:$N$2102)</f>
        <v>0</v>
      </c>
      <c r="N11" s="13">
        <f>SUMIF(Mercado_Receita!$T$2:$T$2102,"44682A4Energia convencionalNão se aplicaNão se aplicaNão se aplicaNão se aplicaNão se aplica",Mercado_Receita!$N$2:$N$2102)</f>
        <v>0</v>
      </c>
      <c r="O11" s="13">
        <f>SUMIF(Mercado_Receita!$T$2:$T$2102,"44713A4Energia convencionalNão se aplicaNão se aplicaNão se aplicaNão se aplicaNão se aplica",Mercado_Receita!$N$2:$N$2102)</f>
        <v>0</v>
      </c>
      <c r="P11" s="13">
        <f>SUMIF(Mercado_Receita!$T$2:$T$2102,"44743A4Energia convencionalNão se aplicaNão se aplicaNão se aplicaNão se aplicaNão se aplica",Mercado_Receita!$N$2:$N$2102)</f>
        <v>0</v>
      </c>
      <c r="Q11" s="13">
        <f>SUMIF(Mercado_Receita!$T$2:$T$2102,"44774A4Energia convencionalNão se aplicaNão se aplicaNão se aplicaNão se aplicaNão se aplica",Mercado_Receita!$N$2:$N$2102)</f>
        <v>0</v>
      </c>
      <c r="R11" s="13">
        <f>SUMIF(Mercado_Receita!$T$2:$T$2102,"44805A4Energia convencionalNão se aplicaNão se aplicaNão se aplicaNão se aplicaNão se aplica",Mercado_Receita!$N$2:$N$2102)</f>
        <v>0</v>
      </c>
      <c r="S11" s="13">
        <f>SUMIF(Mercado_Receita!$T$2:$T$2102,"44835A4Energia convencionalNão se aplicaNão se aplicaNão se aplicaNão se aplicaNão se aplica",Mercado_Receita!$N$2:$N$2102)</f>
        <v>0</v>
      </c>
      <c r="T11" s="13">
        <f>SUMIF(Mercado_Receita!$T$2:$T$2102,"44866A4Energia convencionalNão se aplicaNão se aplicaNão se aplicaNão se aplicaNão se aplica",Mercado_Receita!$N$2:$N$2102)</f>
        <v>0</v>
      </c>
      <c r="U11" s="13">
        <f t="shared" si="0"/>
        <v>0</v>
      </c>
      <c r="V11" s="13"/>
      <c r="W11" s="13"/>
    </row>
    <row r="12" spans="1:30" ht="11.25" customHeight="1" x14ac:dyDescent="0.25">
      <c r="A12" s="93"/>
      <c r="B12" s="12" t="s">
        <v>94</v>
      </c>
      <c r="C12" s="12" t="s">
        <v>25</v>
      </c>
      <c r="D12" s="12" t="s">
        <v>25</v>
      </c>
      <c r="E12" s="12" t="s">
        <v>93</v>
      </c>
      <c r="F12" s="12" t="s">
        <v>25</v>
      </c>
      <c r="G12" s="13" t="s">
        <v>88</v>
      </c>
      <c r="H12" s="13" t="s">
        <v>82</v>
      </c>
      <c r="I12" s="13">
        <f>SUMIF(Mercado_Receita!$T$2:$T$2102,"44531A4Energia suprimento permissionáriaNão se aplicaNão se aplica&lt;500GWhNão se aplicaNão se aplica",Mercado_Receita!$N$2:$N$2102)</f>
        <v>0</v>
      </c>
      <c r="J12" s="13">
        <f>SUMIF(Mercado_Receita!$T$2:$T$2102,"44562A4Energia suprimento permissionáriaNão se aplicaNão se aplica&lt;500GWhNão se aplicaNão se aplica",Mercado_Receita!$N$2:$N$2102)</f>
        <v>0</v>
      </c>
      <c r="K12" s="13">
        <f>SUMIF(Mercado_Receita!$T$2:$T$2102,"44593A4Energia suprimento permissionáriaNão se aplicaNão se aplica&lt;500GWhNão se aplicaNão se aplica",Mercado_Receita!$N$2:$N$2102)</f>
        <v>0</v>
      </c>
      <c r="L12" s="13">
        <f>SUMIF(Mercado_Receita!$T$2:$T$2102,"44621A4Energia suprimento permissionáriaNão se aplicaNão se aplica&lt;500GWhNão se aplicaNão se aplica",Mercado_Receita!$N$2:$N$2102)</f>
        <v>0</v>
      </c>
      <c r="M12" s="13">
        <f>SUMIF(Mercado_Receita!$T$2:$T$2102,"44652A4Energia suprimento permissionáriaNão se aplicaNão se aplica&lt;500GWhNão se aplicaNão se aplica",Mercado_Receita!$N$2:$N$2102)</f>
        <v>0</v>
      </c>
      <c r="N12" s="13">
        <f>SUMIF(Mercado_Receita!$T$2:$T$2102,"44682A4Energia suprimento permissionáriaNão se aplicaNão se aplica&lt;500GWhNão se aplicaNão se aplica",Mercado_Receita!$N$2:$N$2102)</f>
        <v>0</v>
      </c>
      <c r="O12" s="13">
        <f>SUMIF(Mercado_Receita!$T$2:$T$2102,"44713A4Energia suprimento permissionáriaNão se aplicaNão se aplica&lt;500GWhNão se aplicaNão se aplica",Mercado_Receita!$N$2:$N$2102)</f>
        <v>0</v>
      </c>
      <c r="P12" s="13">
        <f>SUMIF(Mercado_Receita!$T$2:$T$2102,"44743A4Energia suprimento permissionáriaNão se aplicaNão se aplica&lt;500GWhNão se aplicaNão se aplica",Mercado_Receita!$N$2:$N$2102)</f>
        <v>0</v>
      </c>
      <c r="Q12" s="13">
        <f>SUMIF(Mercado_Receita!$T$2:$T$2102,"44774A4Energia suprimento permissionáriaNão se aplicaNão se aplica&lt;500GWhNão se aplicaNão se aplica",Mercado_Receita!$N$2:$N$2102)</f>
        <v>0</v>
      </c>
      <c r="R12" s="13">
        <f>SUMIF(Mercado_Receita!$T$2:$T$2102,"44805A4Energia suprimento permissionáriaNão se aplicaNão se aplica&lt;500GWhNão se aplicaNão se aplica",Mercado_Receita!$N$2:$N$2102)</f>
        <v>0</v>
      </c>
      <c r="S12" s="13">
        <f>SUMIF(Mercado_Receita!$T$2:$T$2102,"44835A4Energia suprimento permissionáriaNão se aplicaNão se aplica&lt;500GWhNão se aplicaNão se aplica",Mercado_Receita!$N$2:$N$2102)</f>
        <v>0</v>
      </c>
      <c r="T12" s="13">
        <f>SUMIF(Mercado_Receita!$T$2:$T$2102,"44866A4Energia suprimento permissionáriaNão se aplicaNão se aplica&lt;500GWhNão se aplicaNão se aplica",Mercado_Receita!$N$2:$N$2102)</f>
        <v>0</v>
      </c>
      <c r="U12" s="13">
        <f t="shared" si="0"/>
        <v>0</v>
      </c>
      <c r="V12" s="13"/>
      <c r="W12" s="13"/>
    </row>
    <row r="13" spans="1:30" ht="11.25" customHeight="1" x14ac:dyDescent="0.25">
      <c r="A13" s="93"/>
      <c r="B13" s="12" t="s">
        <v>92</v>
      </c>
      <c r="C13" s="12" t="s">
        <v>25</v>
      </c>
      <c r="D13" s="12" t="s">
        <v>25</v>
      </c>
      <c r="E13" s="12" t="s">
        <v>25</v>
      </c>
      <c r="F13" s="12" t="s">
        <v>25</v>
      </c>
      <c r="G13" s="13" t="s">
        <v>88</v>
      </c>
      <c r="H13" s="13" t="s">
        <v>82</v>
      </c>
      <c r="I13" s="13">
        <f>SUMIF(Mercado_Receita!$T$2:$T$2102,"44531A4Energia suprimento concessionáriaNão se aplicaNão se aplicaNão se aplicaNão se aplicaNão se aplica",Mercado_Receita!$N$2:$N$2102)</f>
        <v>763.34699999999998</v>
      </c>
      <c r="J13" s="13">
        <f>SUMIF(Mercado_Receita!$T$2:$T$2102,"44562A4Energia suprimento concessionáriaNão se aplicaNão se aplicaNão se aplicaNão se aplicaNão se aplica",Mercado_Receita!$N$2:$N$2102)</f>
        <v>850.53300000000002</v>
      </c>
      <c r="K13" s="13">
        <f>SUMIF(Mercado_Receita!$T$2:$T$2102,"44593A4Energia suprimento concessionáriaNão se aplicaNão se aplicaNão se aplicaNão se aplicaNão se aplica",Mercado_Receita!$N$2:$N$2102)</f>
        <v>830.18299999999999</v>
      </c>
      <c r="L13" s="13">
        <f>SUMIF(Mercado_Receita!$T$2:$T$2102,"44621A4Energia suprimento concessionáriaNão se aplicaNão se aplicaNão se aplicaNão se aplicaNão se aplica",Mercado_Receita!$N$2:$N$2102)</f>
        <v>745.49400000000003</v>
      </c>
      <c r="M13" s="13">
        <f>SUMIF(Mercado_Receita!$T$2:$T$2102,"44652A4Energia suprimento concessionáriaNão se aplicaNão se aplicaNão se aplicaNão se aplicaNão se aplica",Mercado_Receita!$N$2:$N$2102)</f>
        <v>836.30399999999997</v>
      </c>
      <c r="N13" s="13">
        <f>SUMIF(Mercado_Receita!$T$2:$T$2102,"44682A4Energia suprimento concessionáriaNão se aplicaNão se aplicaNão se aplicaNão se aplicaNão se aplica",Mercado_Receita!$N$2:$N$2102)</f>
        <v>823.65300000000002</v>
      </c>
      <c r="O13" s="13">
        <f>SUMIF(Mercado_Receita!$T$2:$T$2102,"44713A4Energia suprimento concessionáriaNão se aplicaNão se aplicaNão se aplicaNão se aplicaNão se aplica",Mercado_Receita!$N$2:$N$2102)</f>
        <v>839.31100000000004</v>
      </c>
      <c r="P13" s="13">
        <f>SUMIF(Mercado_Receita!$T$2:$T$2102,"44743A4Energia suprimento concessionáriaNão se aplicaNão se aplicaNão se aplicaNão se aplicaNão se aplica",Mercado_Receita!$N$2:$N$2102)</f>
        <v>791.92899999999997</v>
      </c>
      <c r="Q13" s="13">
        <f>SUMIF(Mercado_Receita!$T$2:$T$2102,"44774A4Energia suprimento concessionáriaNão se aplicaNão se aplicaNão se aplicaNão se aplicaNão se aplica",Mercado_Receita!$N$2:$N$2102)</f>
        <v>854.55399999999997</v>
      </c>
      <c r="R13" s="13">
        <f>SUMIF(Mercado_Receita!$T$2:$T$2102,"44805A4Energia suprimento concessionáriaNão se aplicaNão se aplicaNão se aplicaNão se aplicaNão se aplica",Mercado_Receita!$N$2:$N$2102)</f>
        <v>871.35400000000004</v>
      </c>
      <c r="S13" s="13">
        <f>SUMIF(Mercado_Receita!$T$2:$T$2102,"44835A4Energia suprimento concessionáriaNão se aplicaNão se aplicaNão se aplicaNão se aplicaNão se aplica",Mercado_Receita!$N$2:$N$2102)</f>
        <v>921.48900000000003</v>
      </c>
      <c r="T13" s="13">
        <f>SUMIF(Mercado_Receita!$T$2:$T$2102,"44866A4Energia suprimento concessionáriaNão se aplicaNão se aplicaNão se aplicaNão se aplicaNão se aplica",Mercado_Receita!$N$2:$N$2102)</f>
        <v>921.48900000000003</v>
      </c>
      <c r="U13" s="13">
        <f t="shared" si="0"/>
        <v>10049.64</v>
      </c>
      <c r="V13" s="13"/>
      <c r="W13" s="13"/>
    </row>
    <row r="14" spans="1:30" ht="11.25" customHeight="1" x14ac:dyDescent="0.25">
      <c r="A14" s="92" t="s">
        <v>22</v>
      </c>
      <c r="B14" s="92" t="s">
        <v>81</v>
      </c>
      <c r="C14" s="92" t="s">
        <v>24</v>
      </c>
      <c r="D14" s="92" t="s">
        <v>24</v>
      </c>
      <c r="E14" s="92" t="s">
        <v>25</v>
      </c>
      <c r="F14" s="92" t="s">
        <v>25</v>
      </c>
      <c r="G14" s="13" t="s">
        <v>83</v>
      </c>
      <c r="H14" s="13" t="s">
        <v>82</v>
      </c>
      <c r="I14" s="13">
        <f>SUMIF(Mercado_Receita!$T$2:$T$2102,"44531B1Energia horáriaResidencialResidencialNão se aplicaNão se aplicaPonta",Mercado_Receita!$N$2:$N$2102)</f>
        <v>3.8340000000000001</v>
      </c>
      <c r="J14" s="13">
        <f>SUMIF(Mercado_Receita!$T$2:$T$2102,"44562B1Energia horáriaResidencialResidencialNão se aplicaNão se aplicaPonta",Mercado_Receita!$N$2:$N$2102)</f>
        <v>3.4099999999999997</v>
      </c>
      <c r="K14" s="13">
        <f>SUMIF(Mercado_Receita!$T$2:$T$2102,"44593B1Energia horáriaResidencialResidencialNão se aplicaNão se aplicaPonta",Mercado_Receita!$N$2:$N$2102)</f>
        <v>3.468</v>
      </c>
      <c r="L14" s="13">
        <f>SUMIF(Mercado_Receita!$T$2:$T$2102,"44621B1Energia horáriaResidencialResidencialNão se aplicaNão se aplicaPonta",Mercado_Receita!$N$2:$N$2102)</f>
        <v>8.0060000000000002</v>
      </c>
      <c r="M14" s="13">
        <f>SUMIF(Mercado_Receita!$T$2:$T$2102,"44652B1Energia horáriaResidencialResidencialNão se aplicaNão se aplicaPonta",Mercado_Receita!$N$2:$N$2102)</f>
        <v>1.1220000000000001</v>
      </c>
      <c r="N14" s="13">
        <f>SUMIF(Mercado_Receita!$T$2:$T$2102,"44682B1Energia horáriaResidencialResidencialNão se aplicaNão se aplicaPonta",Mercado_Receita!$N$2:$N$2102)</f>
        <v>4.125</v>
      </c>
      <c r="O14" s="13">
        <f>SUMIF(Mercado_Receita!$T$2:$T$2102,"44713B1Energia horáriaResidencialResidencialNão se aplicaNão se aplicaPonta",Mercado_Receita!$N$2:$N$2102)</f>
        <v>3.7450000000000001</v>
      </c>
      <c r="P14" s="13">
        <f>SUMIF(Mercado_Receita!$T$2:$T$2102,"44743B1Energia horáriaResidencialResidencialNão se aplicaNão se aplicaPonta",Mercado_Receita!$N$2:$N$2102)</f>
        <v>4.0759999999999996</v>
      </c>
      <c r="Q14" s="13">
        <f>SUMIF(Mercado_Receita!$T$2:$T$2102,"44774B1Energia horáriaResidencialResidencialNão se aplicaNão se aplicaPonta",Mercado_Receita!$N$2:$N$2102)</f>
        <v>4.6449999999999996</v>
      </c>
      <c r="R14" s="13">
        <f>SUMIF(Mercado_Receita!$T$2:$T$2102,"44805B1Energia horáriaResidencialResidencialNão se aplicaNão se aplicaPonta",Mercado_Receita!$N$2:$N$2102)</f>
        <v>5.556</v>
      </c>
      <c r="S14" s="13">
        <f>SUMIF(Mercado_Receita!$T$2:$T$2102,"44835B1Energia horáriaResidencialResidencialNão se aplicaNão se aplicaPonta",Mercado_Receita!$N$2:$N$2102)</f>
        <v>4.7279999999999998</v>
      </c>
      <c r="T14" s="13">
        <f>SUMIF(Mercado_Receita!$T$2:$T$2102,"44866B1Energia horáriaResidencialResidencialNão se aplicaNão se aplicaPonta",Mercado_Receita!$N$2:$N$2102)</f>
        <v>4.7279999999999998</v>
      </c>
      <c r="U14" s="13">
        <f t="shared" si="0"/>
        <v>51.442999999999998</v>
      </c>
      <c r="V14" s="13"/>
      <c r="W14" s="13"/>
    </row>
    <row r="15" spans="1:30" ht="11.25" customHeight="1" x14ac:dyDescent="0.25">
      <c r="A15" s="93"/>
      <c r="B15" s="93"/>
      <c r="C15" s="93"/>
      <c r="D15" s="93"/>
      <c r="E15" s="93"/>
      <c r="F15" s="93"/>
      <c r="G15" s="13" t="s">
        <v>98</v>
      </c>
      <c r="H15" s="13" t="s">
        <v>82</v>
      </c>
      <c r="I15" s="13">
        <f>SUMIF(Mercado_Receita!$T$2:$T$2102,"44531B1Energia horáriaResidencialResidencialNão se aplicaNão se aplicaIntermediário",Mercado_Receita!$N$2:$N$2102)</f>
        <v>1.2670000000000001</v>
      </c>
      <c r="J15" s="13">
        <f>SUMIF(Mercado_Receita!$T$2:$T$2102,"44562B1Energia horáriaResidencialResidencialNão se aplicaNão se aplicaIntermediário",Mercado_Receita!$N$2:$N$2102)</f>
        <v>0.86</v>
      </c>
      <c r="K15" s="13">
        <f>SUMIF(Mercado_Receita!$T$2:$T$2102,"44593B1Energia horáriaResidencialResidencialNão se aplicaNão se aplicaIntermediário",Mercado_Receita!$N$2:$N$2102)</f>
        <v>0.754</v>
      </c>
      <c r="L15" s="13">
        <f>SUMIF(Mercado_Receita!$T$2:$T$2102,"44621B1Energia horáriaResidencialResidencialNão se aplicaNão se aplicaIntermediário",Mercado_Receita!$N$2:$N$2102)</f>
        <v>2.0790000000000002</v>
      </c>
      <c r="M15" s="13">
        <f>SUMIF(Mercado_Receita!$T$2:$T$2102,"44652B1Energia horáriaResidencialResidencialNão se aplicaNão se aplicaIntermediário",Mercado_Receita!$N$2:$N$2102)</f>
        <v>1.0929999999999997</v>
      </c>
      <c r="N15" s="13">
        <f>SUMIF(Mercado_Receita!$T$2:$T$2102,"44682B1Energia horáriaResidencialResidencialNão se aplicaNão se aplicaIntermediário",Mercado_Receita!$N$2:$N$2102)</f>
        <v>1.3160000000000001</v>
      </c>
      <c r="O15" s="13">
        <f>SUMIF(Mercado_Receita!$T$2:$T$2102,"44713B1Energia horáriaResidencialResidencialNão se aplicaNão se aplicaIntermediário",Mercado_Receita!$N$2:$N$2102)</f>
        <v>1.4079999999999999</v>
      </c>
      <c r="P15" s="13">
        <f>SUMIF(Mercado_Receita!$T$2:$T$2102,"44743B1Energia horáriaResidencialResidencialNão se aplicaNão se aplicaIntermediário",Mercado_Receita!$N$2:$N$2102)</f>
        <v>1.325</v>
      </c>
      <c r="Q15" s="13">
        <f>SUMIF(Mercado_Receita!$T$2:$T$2102,"44774B1Energia horáriaResidencialResidencialNão se aplicaNão se aplicaIntermediário",Mercado_Receita!$N$2:$N$2102)</f>
        <v>1.7069999999999996</v>
      </c>
      <c r="R15" s="13">
        <f>SUMIF(Mercado_Receita!$T$2:$T$2102,"44805B1Energia horáriaResidencialResidencialNão se aplicaNão se aplicaIntermediário",Mercado_Receita!$N$2:$N$2102)</f>
        <v>1.1939999999999997</v>
      </c>
      <c r="S15" s="13">
        <f>SUMIF(Mercado_Receita!$T$2:$T$2102,"44835B1Energia horáriaResidencialResidencialNão se aplicaNão se aplicaIntermediário",Mercado_Receita!$N$2:$N$2102)</f>
        <v>1.9730000000000001</v>
      </c>
      <c r="T15" s="13">
        <f>SUMIF(Mercado_Receita!$T$2:$T$2102,"44866B1Energia horáriaResidencialResidencialNão se aplicaNão se aplicaIntermediário",Mercado_Receita!$N$2:$N$2102)</f>
        <v>1.9730000000000001</v>
      </c>
      <c r="U15" s="13">
        <f t="shared" si="0"/>
        <v>16.948999999999998</v>
      </c>
      <c r="V15" s="13"/>
      <c r="W15" s="13"/>
    </row>
    <row r="16" spans="1:30" ht="11.25" customHeight="1" x14ac:dyDescent="0.25">
      <c r="A16" s="93"/>
      <c r="B16" s="93"/>
      <c r="C16" s="93"/>
      <c r="D16" s="93"/>
      <c r="E16" s="93"/>
      <c r="F16" s="93"/>
      <c r="G16" s="13" t="s">
        <v>84</v>
      </c>
      <c r="H16" s="13" t="s">
        <v>82</v>
      </c>
      <c r="I16" s="13">
        <f>SUMIF(Mercado_Receita!$T$2:$T$2102,"44531B1Energia horáriaResidencialResidencialNão se aplicaNão se aplicaFora ponta",Mercado_Receita!$N$2:$N$2102)</f>
        <v>36.981999999999999</v>
      </c>
      <c r="J16" s="13">
        <f>SUMIF(Mercado_Receita!$T$2:$T$2102,"44562B1Energia horáriaResidencialResidencialNão se aplicaNão se aplicaFora ponta",Mercado_Receita!$N$2:$N$2102)</f>
        <v>36.811</v>
      </c>
      <c r="K16" s="13">
        <f>SUMIF(Mercado_Receita!$T$2:$T$2102,"44593B1Energia horáriaResidencialResidencialNão se aplicaNão se aplicaFora ponta",Mercado_Receita!$N$2:$N$2102)</f>
        <v>33.597999999999999</v>
      </c>
      <c r="L16" s="13">
        <f>SUMIF(Mercado_Receita!$T$2:$T$2102,"44621B1Energia horáriaResidencialResidencialNão se aplicaNão se aplicaFora ponta",Mercado_Receita!$N$2:$N$2102)</f>
        <v>34.762000000000008</v>
      </c>
      <c r="M16" s="13">
        <f>SUMIF(Mercado_Receita!$T$2:$T$2102,"44652B1Energia horáriaResidencialResidencialNão se aplicaNão se aplicaFora ponta",Mercado_Receita!$N$2:$N$2102)</f>
        <v>35.46</v>
      </c>
      <c r="N16" s="13">
        <f>SUMIF(Mercado_Receita!$T$2:$T$2102,"44682B1Energia horáriaResidencialResidencialNão se aplicaNão se aplicaFora ponta",Mercado_Receita!$N$2:$N$2102)</f>
        <v>42.865000000000002</v>
      </c>
      <c r="O16" s="13">
        <f>SUMIF(Mercado_Receita!$T$2:$T$2102,"44713B1Energia horáriaResidencialResidencialNão se aplicaNão se aplicaFora ponta",Mercado_Receita!$N$2:$N$2102)</f>
        <v>36.928000000000004</v>
      </c>
      <c r="P16" s="13">
        <f>SUMIF(Mercado_Receita!$T$2:$T$2102,"44743B1Energia horáriaResidencialResidencialNão se aplicaNão se aplicaFora ponta",Mercado_Receita!$N$2:$N$2102)</f>
        <v>41.156000000000006</v>
      </c>
      <c r="Q16" s="13">
        <f>SUMIF(Mercado_Receita!$T$2:$T$2102,"44774B1Energia horáriaResidencialResidencialNão se aplicaNão se aplicaFora ponta",Mercado_Receita!$N$2:$N$2102)</f>
        <v>46.488</v>
      </c>
      <c r="R16" s="13">
        <f>SUMIF(Mercado_Receita!$T$2:$T$2102,"44805B1Energia horáriaResidencialResidencialNão se aplicaNão se aplicaFora ponta",Mercado_Receita!$N$2:$N$2102)</f>
        <v>45.06</v>
      </c>
      <c r="S16" s="13">
        <f>SUMIF(Mercado_Receita!$T$2:$T$2102,"44835B1Energia horáriaResidencialResidencialNão se aplicaNão se aplicaFora ponta",Mercado_Receita!$N$2:$N$2102)</f>
        <v>50.042999999999992</v>
      </c>
      <c r="T16" s="13">
        <f>SUMIF(Mercado_Receita!$T$2:$T$2102,"44866B1Energia horáriaResidencialResidencialNão se aplicaNão se aplicaFora ponta",Mercado_Receita!$N$2:$N$2102)</f>
        <v>50.042999999999992</v>
      </c>
      <c r="U16" s="13">
        <f t="shared" si="0"/>
        <v>490.19600000000008</v>
      </c>
      <c r="V16" s="13"/>
      <c r="W16" s="13"/>
    </row>
    <row r="17" spans="1:23" ht="11.25" customHeight="1" x14ac:dyDescent="0.25">
      <c r="A17" s="93"/>
      <c r="B17" s="92" t="s">
        <v>90</v>
      </c>
      <c r="C17" s="92" t="s">
        <v>24</v>
      </c>
      <c r="D17" s="12" t="s">
        <v>24</v>
      </c>
      <c r="E17" s="12" t="s">
        <v>25</v>
      </c>
      <c r="F17" s="12" t="s">
        <v>25</v>
      </c>
      <c r="G17" s="13" t="s">
        <v>88</v>
      </c>
      <c r="H17" s="13" t="s">
        <v>82</v>
      </c>
      <c r="I17" s="13">
        <f>SUMIF(Mercado_Receita!$T$2:$T$2102,"44531B1Energia convencionalResidencialResidencialNão se aplicaNão se aplicaNão se aplica",Mercado_Receita!$N$2:$N$2102)</f>
        <v>37036.048999999999</v>
      </c>
      <c r="J17" s="13">
        <f>SUMIF(Mercado_Receita!$T$2:$T$2102,"44562B1Energia convencionalResidencialResidencialNão se aplicaNão se aplicaNão se aplica",Mercado_Receita!$N$2:$N$2102)</f>
        <v>37455.951000000001</v>
      </c>
      <c r="K17" s="13">
        <f>SUMIF(Mercado_Receita!$T$2:$T$2102,"44593B1Energia convencionalResidencialResidencialNão se aplicaNão se aplicaNão se aplica",Mercado_Receita!$N$2:$N$2102)</f>
        <v>33803.551000000007</v>
      </c>
      <c r="L17" s="13">
        <f>SUMIF(Mercado_Receita!$T$2:$T$2102,"44621B1Energia convencionalResidencialResidencialNão se aplicaNão se aplicaNão se aplica",Mercado_Receita!$N$2:$N$2102)</f>
        <v>34720.167000000001</v>
      </c>
      <c r="M17" s="13">
        <f>SUMIF(Mercado_Receita!$T$2:$T$2102,"44652B1Energia convencionalResidencialResidencialNão se aplicaNão se aplicaNão se aplica",Mercado_Receita!$N$2:$N$2102)</f>
        <v>34350.619999999995</v>
      </c>
      <c r="N17" s="13">
        <f>SUMIF(Mercado_Receita!$T$2:$T$2102,"44682B1Energia convencionalResidencialResidencialNão se aplicaNão se aplicaNão se aplica",Mercado_Receita!$N$2:$N$2102)</f>
        <v>36424.966999999997</v>
      </c>
      <c r="O17" s="13">
        <f>SUMIF(Mercado_Receita!$T$2:$T$2102,"44713B1Energia convencionalResidencialResidencialNão se aplicaNão se aplicaNão se aplica",Mercado_Receita!$N$2:$N$2102)</f>
        <v>32675.464</v>
      </c>
      <c r="P17" s="13">
        <f>SUMIF(Mercado_Receita!$T$2:$T$2102,"44743B1Energia convencionalResidencialResidencialNão se aplicaNão se aplicaNão se aplica",Mercado_Receita!$N$2:$N$2102)</f>
        <v>36779.915000000001</v>
      </c>
      <c r="Q17" s="13">
        <f>SUMIF(Mercado_Receita!$T$2:$T$2102,"44774B1Energia convencionalResidencialResidencialNão se aplicaNão se aplicaNão se aplica",Mercado_Receita!$N$2:$N$2102)</f>
        <v>39071.4</v>
      </c>
      <c r="R17" s="13">
        <f>SUMIF(Mercado_Receita!$T$2:$T$2102,"44805B1Energia convencionalResidencialResidencialNão se aplicaNão se aplicaNão se aplica",Mercado_Receita!$N$2:$N$2102)</f>
        <v>37677.941999999995</v>
      </c>
      <c r="S17" s="13">
        <f>SUMIF(Mercado_Receita!$T$2:$T$2102,"44835B1Energia convencionalResidencialResidencialNão se aplicaNão se aplicaNão se aplica",Mercado_Receita!$N$2:$N$2102)</f>
        <v>40661.111999999994</v>
      </c>
      <c r="T17" s="13">
        <f>SUMIF(Mercado_Receita!$T$2:$T$2102,"44866B1Energia convencionalResidencialResidencialNão se aplicaNão se aplicaNão se aplica",Mercado_Receita!$N$2:$N$2102)</f>
        <v>40661.111999999994</v>
      </c>
      <c r="U17" s="13">
        <f t="shared" si="0"/>
        <v>441318.25</v>
      </c>
      <c r="V17" s="13"/>
      <c r="W17" s="13"/>
    </row>
    <row r="18" spans="1:23" ht="11.25" customHeight="1" x14ac:dyDescent="0.25">
      <c r="A18" s="93"/>
      <c r="B18" s="93"/>
      <c r="C18" s="93"/>
      <c r="D18" s="12" t="s">
        <v>31</v>
      </c>
      <c r="E18" s="12" t="s">
        <v>25</v>
      </c>
      <c r="F18" s="12" t="s">
        <v>25</v>
      </c>
      <c r="G18" s="13" t="s">
        <v>88</v>
      </c>
      <c r="H18" s="13" t="s">
        <v>82</v>
      </c>
      <c r="I18" s="13">
        <f>SUMIF(Mercado_Receita!$T$2:$T$2102,"44531B1Energia convencionalResidencialResidencial baixa renda – faixa 01Não se aplicaNão se aplicaNão se aplica",Mercado_Receita!$N$2:$N$2102)</f>
        <v>1663.8009999999997</v>
      </c>
      <c r="J18" s="13">
        <f>SUMIF(Mercado_Receita!$T$2:$T$2102,"44562B1Energia convencionalResidencialResidencial baixa renda – faixa 01Não se aplicaNão se aplicaNão se aplica",Mercado_Receita!$N$2:$N$2102)</f>
        <v>1710.4749999999997</v>
      </c>
      <c r="K18" s="13">
        <f>SUMIF(Mercado_Receita!$T$2:$T$2102,"44593B1Energia convencionalResidencialResidencial baixa renda – faixa 01Não se aplicaNão se aplicaNão se aplica",Mercado_Receita!$N$2:$N$2102)</f>
        <v>1811.2600000000002</v>
      </c>
      <c r="L18" s="13">
        <f>SUMIF(Mercado_Receita!$T$2:$T$2102,"44621B1Energia convencionalResidencialResidencial baixa renda – faixa 01Não se aplicaNão se aplicaNão se aplica",Mercado_Receita!$N$2:$N$2102)</f>
        <v>1863.0059999999999</v>
      </c>
      <c r="M18" s="13">
        <f>SUMIF(Mercado_Receita!$T$2:$T$2102,"44652B1Energia convencionalResidencialResidencial baixa renda – faixa 01Não se aplicaNão se aplicaNão se aplica",Mercado_Receita!$N$2:$N$2102)</f>
        <v>1924.5090000000002</v>
      </c>
      <c r="N18" s="13">
        <f>SUMIF(Mercado_Receita!$T$2:$T$2102,"44682B1Energia convencionalResidencialResidencial baixa renda – faixa 01Não se aplicaNão se aplicaNão se aplica",Mercado_Receita!$N$2:$N$2102)</f>
        <v>1894.3580000000002</v>
      </c>
      <c r="O18" s="13">
        <f>SUMIF(Mercado_Receita!$T$2:$T$2102,"44713B1Energia convencionalResidencialResidencial baixa renda – faixa 01Não se aplicaNão se aplicaNão se aplica",Mercado_Receita!$N$2:$N$2102)</f>
        <v>1936.0140000000001</v>
      </c>
      <c r="P18" s="13">
        <f>SUMIF(Mercado_Receita!$T$2:$T$2102,"44743B1Energia convencionalResidencialResidencial baixa renda – faixa 01Não se aplicaNão se aplicaNão se aplica",Mercado_Receita!$N$2:$N$2102)</f>
        <v>2000.3000000000002</v>
      </c>
      <c r="Q18" s="13">
        <f>SUMIF(Mercado_Receita!$T$2:$T$2102,"44774B1Energia convencionalResidencialResidencial baixa renda – faixa 01Não se aplicaNão se aplicaNão se aplica",Mercado_Receita!$N$2:$N$2102)</f>
        <v>2010.3829999999998</v>
      </c>
      <c r="R18" s="13">
        <f>SUMIF(Mercado_Receita!$T$2:$T$2102,"44805B1Energia convencionalResidencialResidencial baixa renda – faixa 01Não se aplicaNão se aplicaNão se aplica",Mercado_Receita!$N$2:$N$2102)</f>
        <v>2036.0540000000001</v>
      </c>
      <c r="S18" s="13">
        <f>SUMIF(Mercado_Receita!$T$2:$T$2102,"44835B1Energia convencionalResidencialResidencial baixa renda – faixa 01Não se aplicaNão se aplicaNão se aplica",Mercado_Receita!$N$2:$N$2102)</f>
        <v>2079.0169999999998</v>
      </c>
      <c r="T18" s="13">
        <f>SUMIF(Mercado_Receita!$T$2:$T$2102,"44866B1Energia convencionalResidencialResidencial baixa renda – faixa 01Não se aplicaNão se aplicaNão se aplica",Mercado_Receita!$N$2:$N$2102)</f>
        <v>2079.0169999999998</v>
      </c>
      <c r="U18" s="13">
        <f t="shared" si="0"/>
        <v>23008.194</v>
      </c>
      <c r="V18" s="13"/>
      <c r="W18" s="13"/>
    </row>
    <row r="19" spans="1:23" ht="11.25" customHeight="1" x14ac:dyDescent="0.25">
      <c r="A19" s="93"/>
      <c r="B19" s="93"/>
      <c r="C19" s="93"/>
      <c r="D19" s="12" t="s">
        <v>32</v>
      </c>
      <c r="E19" s="12" t="s">
        <v>25</v>
      </c>
      <c r="F19" s="12" t="s">
        <v>25</v>
      </c>
      <c r="G19" s="13" t="s">
        <v>88</v>
      </c>
      <c r="H19" s="13" t="s">
        <v>82</v>
      </c>
      <c r="I19" s="13">
        <f>SUMIF(Mercado_Receita!$T$2:$T$2102,"44531B1Energia convencionalResidencialResidencial baixa renda – faixa 02Não se aplicaNão se aplicaNão se aplica",Mercado_Receita!$N$2:$N$2102)</f>
        <v>3152.8989999999994</v>
      </c>
      <c r="J19" s="13">
        <f>SUMIF(Mercado_Receita!$T$2:$T$2102,"44562B1Energia convencionalResidencialResidencial baixa renda – faixa 02Não se aplicaNão se aplicaNão se aplica",Mercado_Receita!$N$2:$N$2102)</f>
        <v>3207.9879999999998</v>
      </c>
      <c r="K19" s="13">
        <f>SUMIF(Mercado_Receita!$T$2:$T$2102,"44593B1Energia convencionalResidencialResidencial baixa renda – faixa 02Não se aplicaNão se aplicaNão se aplica",Mercado_Receita!$N$2:$N$2102)</f>
        <v>3360.5279999999998</v>
      </c>
      <c r="L19" s="13">
        <f>SUMIF(Mercado_Receita!$T$2:$T$2102,"44621B1Energia convencionalResidencialResidencial baixa renda – faixa 02Não se aplicaNão se aplicaNão se aplica",Mercado_Receita!$N$2:$N$2102)</f>
        <v>3512.9780000000001</v>
      </c>
      <c r="M19" s="13">
        <f>SUMIF(Mercado_Receita!$T$2:$T$2102,"44652B1Energia convencionalResidencialResidencial baixa renda – faixa 02Não se aplicaNão se aplicaNão se aplica",Mercado_Receita!$N$2:$N$2102)</f>
        <v>3639.3260000000005</v>
      </c>
      <c r="N19" s="13">
        <f>SUMIF(Mercado_Receita!$T$2:$T$2102,"44682B1Energia convencionalResidencialResidencial baixa renda – faixa 02Não se aplicaNão se aplicaNão se aplica",Mercado_Receita!$N$2:$N$2102)</f>
        <v>3561.3620000000001</v>
      </c>
      <c r="O19" s="13">
        <f>SUMIF(Mercado_Receita!$T$2:$T$2102,"44713B1Energia convencionalResidencialResidencial baixa renda – faixa 02Não se aplicaNão se aplicaNão se aplica",Mercado_Receita!$N$2:$N$2102)</f>
        <v>3582.768</v>
      </c>
      <c r="P19" s="13">
        <f>SUMIF(Mercado_Receita!$T$2:$T$2102,"44743B1Energia convencionalResidencialResidencial baixa renda – faixa 02Não se aplicaNão se aplicaNão se aplica",Mercado_Receita!$N$2:$N$2102)</f>
        <v>3798.3710000000005</v>
      </c>
      <c r="Q19" s="13">
        <f>SUMIF(Mercado_Receita!$T$2:$T$2102,"44774B1Energia convencionalResidencialResidencial baixa renda – faixa 02Não se aplicaNão se aplicaNão se aplica",Mercado_Receita!$N$2:$N$2102)</f>
        <v>3857.5480000000002</v>
      </c>
      <c r="R19" s="13">
        <f>SUMIF(Mercado_Receita!$T$2:$T$2102,"44805B1Energia convencionalResidencialResidencial baixa renda – faixa 02Não se aplicaNão se aplicaNão se aplica",Mercado_Receita!$N$2:$N$2102)</f>
        <v>3900.2020000000002</v>
      </c>
      <c r="S19" s="13">
        <f>SUMIF(Mercado_Receita!$T$2:$T$2102,"44835B1Energia convencionalResidencialResidencial baixa renda – faixa 02Não se aplicaNão se aplicaNão se aplica",Mercado_Receita!$N$2:$N$2102)</f>
        <v>4047.8090000000002</v>
      </c>
      <c r="T19" s="13">
        <f>SUMIF(Mercado_Receita!$T$2:$T$2102,"44866B1Energia convencionalResidencialResidencial baixa renda – faixa 02Não se aplicaNão se aplicaNão se aplica",Mercado_Receita!$N$2:$N$2102)</f>
        <v>4047.8090000000002</v>
      </c>
      <c r="U19" s="13">
        <f t="shared" si="0"/>
        <v>43669.588000000003</v>
      </c>
      <c r="V19" s="13"/>
      <c r="W19" s="13"/>
    </row>
    <row r="20" spans="1:23" ht="11.25" customHeight="1" x14ac:dyDescent="0.25">
      <c r="A20" s="93"/>
      <c r="B20" s="93"/>
      <c r="C20" s="93"/>
      <c r="D20" s="12" t="s">
        <v>33</v>
      </c>
      <c r="E20" s="12" t="s">
        <v>25</v>
      </c>
      <c r="F20" s="12" t="s">
        <v>25</v>
      </c>
      <c r="G20" s="13" t="s">
        <v>88</v>
      </c>
      <c r="H20" s="13" t="s">
        <v>82</v>
      </c>
      <c r="I20" s="13">
        <f>SUMIF(Mercado_Receita!$T$2:$T$2102,"44531B1Energia convencionalResidencialResidencial baixa renda – faixa 03Não se aplicaNão se aplicaNão se aplica",Mercado_Receita!$N$2:$N$2102)</f>
        <v>2598.4070000000002</v>
      </c>
      <c r="J20" s="13">
        <f>SUMIF(Mercado_Receita!$T$2:$T$2102,"44562B1Energia convencionalResidencialResidencial baixa renda – faixa 03Não se aplicaNão se aplicaNão se aplica",Mercado_Receita!$N$2:$N$2102)</f>
        <v>2668.1289999999999</v>
      </c>
      <c r="K20" s="13">
        <f>SUMIF(Mercado_Receita!$T$2:$T$2102,"44593B1Energia convencionalResidencialResidencial baixa renda – faixa 03Não se aplicaNão se aplicaNão se aplica",Mercado_Receita!$N$2:$N$2102)</f>
        <v>2533.3950000000004</v>
      </c>
      <c r="L20" s="13">
        <f>SUMIF(Mercado_Receita!$T$2:$T$2102,"44621B1Energia convencionalResidencialResidencial baixa renda – faixa 03Não se aplicaNão se aplicaNão se aplica",Mercado_Receita!$N$2:$N$2102)</f>
        <v>2804.7980000000002</v>
      </c>
      <c r="M20" s="13">
        <f>SUMIF(Mercado_Receita!$T$2:$T$2102,"44652B1Energia convencionalResidencialResidencial baixa renda – faixa 03Não se aplicaNão se aplicaNão se aplica",Mercado_Receita!$N$2:$N$2102)</f>
        <v>2907.4879999999998</v>
      </c>
      <c r="N20" s="13">
        <f>SUMIF(Mercado_Receita!$T$2:$T$2102,"44682B1Energia convencionalResidencialResidencial baixa renda – faixa 03Não se aplicaNão se aplicaNão se aplica",Mercado_Receita!$N$2:$N$2102)</f>
        <v>2794.3209999999999</v>
      </c>
      <c r="O20" s="13">
        <f>SUMIF(Mercado_Receita!$T$2:$T$2102,"44713B1Energia convencionalResidencialResidencial baixa renda – faixa 03Não se aplicaNão se aplicaNão se aplica",Mercado_Receita!$N$2:$N$2102)</f>
        <v>2594.1830000000004</v>
      </c>
      <c r="P20" s="13">
        <f>SUMIF(Mercado_Receita!$T$2:$T$2102,"44743B1Energia convencionalResidencialResidencial baixa renda – faixa 03Não se aplicaNão se aplicaNão se aplica",Mercado_Receita!$N$2:$N$2102)</f>
        <v>3076.8149999999996</v>
      </c>
      <c r="Q20" s="13">
        <f>SUMIF(Mercado_Receita!$T$2:$T$2102,"44774B1Energia convencionalResidencialResidencial baixa renda – faixa 03Não se aplicaNão se aplicaNão se aplica",Mercado_Receita!$N$2:$N$2102)</f>
        <v>3270.415</v>
      </c>
      <c r="R20" s="13">
        <f>SUMIF(Mercado_Receita!$T$2:$T$2102,"44805B1Energia convencionalResidencialResidencial baixa renda – faixa 03Não se aplicaNão se aplicaNão se aplica",Mercado_Receita!$N$2:$N$2102)</f>
        <v>3201.6860000000001</v>
      </c>
      <c r="S20" s="13">
        <f>SUMIF(Mercado_Receita!$T$2:$T$2102,"44835B1Energia convencionalResidencialResidencial baixa renda – faixa 03Não se aplicaNão se aplicaNão se aplica",Mercado_Receita!$N$2:$N$2102)</f>
        <v>3556.9050000000002</v>
      </c>
      <c r="T20" s="13">
        <f>SUMIF(Mercado_Receita!$T$2:$T$2102,"44866B1Energia convencionalResidencialResidencial baixa renda – faixa 03Não se aplicaNão se aplicaNão se aplica",Mercado_Receita!$N$2:$N$2102)</f>
        <v>3556.9050000000002</v>
      </c>
      <c r="U20" s="13">
        <f t="shared" si="0"/>
        <v>35563.447</v>
      </c>
      <c r="V20" s="13"/>
      <c r="W20" s="13"/>
    </row>
    <row r="21" spans="1:23" ht="11.25" customHeight="1" x14ac:dyDescent="0.25">
      <c r="A21" s="93"/>
      <c r="B21" s="93"/>
      <c r="C21" s="93"/>
      <c r="D21" s="12" t="s">
        <v>34</v>
      </c>
      <c r="E21" s="12" t="s">
        <v>25</v>
      </c>
      <c r="F21" s="12" t="s">
        <v>25</v>
      </c>
      <c r="G21" s="13" t="s">
        <v>88</v>
      </c>
      <c r="H21" s="13" t="s">
        <v>82</v>
      </c>
      <c r="I21" s="13">
        <f>SUMIF(Mercado_Receita!$T$2:$T$2102,"44531B1Energia convencionalResidencialResidencial baixa renda – faixa 04Não se aplicaNão se aplicaNão se aplica",Mercado_Receita!$N$2:$N$2102)</f>
        <v>1278.1230000000003</v>
      </c>
      <c r="J21" s="13">
        <f>SUMIF(Mercado_Receita!$T$2:$T$2102,"44562B1Energia convencionalResidencialResidencial baixa renda – faixa 04Não se aplicaNão se aplicaNão se aplica",Mercado_Receita!$N$2:$N$2102)</f>
        <v>1360.19</v>
      </c>
      <c r="K21" s="13">
        <f>SUMIF(Mercado_Receita!$T$2:$T$2102,"44593B1Energia convencionalResidencialResidencial baixa renda – faixa 04Não se aplicaNão se aplicaNão se aplica",Mercado_Receita!$N$2:$N$2102)</f>
        <v>1202.4369999999999</v>
      </c>
      <c r="L21" s="13">
        <f>SUMIF(Mercado_Receita!$T$2:$T$2102,"44621B1Energia convencionalResidencialResidencial baixa renda – faixa 04Não se aplicaNão se aplicaNão se aplica",Mercado_Receita!$N$2:$N$2102)</f>
        <v>1316.4</v>
      </c>
      <c r="M21" s="13">
        <f>SUMIF(Mercado_Receita!$T$2:$T$2102,"44652B1Energia convencionalResidencialResidencial baixa renda – faixa 04Não se aplicaNão se aplicaNão se aplica",Mercado_Receita!$N$2:$N$2102)</f>
        <v>1404.9839999999997</v>
      </c>
      <c r="N21" s="13">
        <f>SUMIF(Mercado_Receita!$T$2:$T$2102,"44682B1Energia convencionalResidencialResidencial baixa renda – faixa 04Não se aplicaNão se aplicaNão se aplica",Mercado_Receita!$N$2:$N$2102)</f>
        <v>1346.6689999999999</v>
      </c>
      <c r="O21" s="13">
        <f>SUMIF(Mercado_Receita!$T$2:$T$2102,"44713B1Energia convencionalResidencialResidencial baixa renda – faixa 04Não se aplicaNão se aplicaNão se aplica",Mercado_Receita!$N$2:$N$2102)</f>
        <v>1017.9449999999999</v>
      </c>
      <c r="P21" s="13">
        <f>SUMIF(Mercado_Receita!$T$2:$T$2102,"44743B1Energia convencionalResidencialResidencial baixa renda – faixa 04Não se aplicaNão se aplicaNão se aplica",Mercado_Receita!$N$2:$N$2102)</f>
        <v>1496.7569999999998</v>
      </c>
      <c r="Q21" s="13">
        <f>SUMIF(Mercado_Receita!$T$2:$T$2102,"44774B1Energia convencionalResidencialResidencial baixa renda – faixa 04Não se aplicaNão se aplicaNão se aplica",Mercado_Receita!$N$2:$N$2102)</f>
        <v>1781.838</v>
      </c>
      <c r="R21" s="13">
        <f>SUMIF(Mercado_Receita!$T$2:$T$2102,"44805B1Energia convencionalResidencialResidencial baixa renda – faixa 04Não se aplicaNão se aplicaNão se aplica",Mercado_Receita!$N$2:$N$2102)</f>
        <v>1687.6170000000002</v>
      </c>
      <c r="S21" s="13">
        <f>SUMIF(Mercado_Receita!$T$2:$T$2102,"44835B1Energia convencionalResidencialResidencial baixa renda – faixa 04Não se aplicaNão se aplicaNão se aplica",Mercado_Receita!$N$2:$N$2102)</f>
        <v>2114.7710000000002</v>
      </c>
      <c r="T21" s="13">
        <f>SUMIF(Mercado_Receita!$T$2:$T$2102,"44866B1Energia convencionalResidencialResidencial baixa renda – faixa 04Não se aplicaNão se aplicaNão se aplica",Mercado_Receita!$N$2:$N$2102)</f>
        <v>2114.7710000000002</v>
      </c>
      <c r="U21" s="13">
        <f t="shared" si="0"/>
        <v>18122.502</v>
      </c>
      <c r="V21" s="13"/>
      <c r="W21" s="13"/>
    </row>
    <row r="22" spans="1:23" ht="11.25" customHeight="1" x14ac:dyDescent="0.25">
      <c r="A22" s="93"/>
      <c r="B22" s="92" t="s">
        <v>99</v>
      </c>
      <c r="C22" s="92" t="s">
        <v>24</v>
      </c>
      <c r="D22" s="12" t="s">
        <v>24</v>
      </c>
      <c r="E22" s="12" t="s">
        <v>25</v>
      </c>
      <c r="F22" s="12" t="s">
        <v>25</v>
      </c>
      <c r="G22" s="13" t="s">
        <v>88</v>
      </c>
      <c r="H22" s="13" t="s">
        <v>82</v>
      </c>
      <c r="I22" s="13">
        <f>SUMIF(Mercado_Receita!$T$2:$T$2102,"44531B1Energia convencional pré-pagamentoResidencialResidencialNão se aplicaNão se aplicaNão se aplica",Mercado_Receita!$N$2:$N$2102)</f>
        <v>0</v>
      </c>
      <c r="J22" s="13">
        <f>SUMIF(Mercado_Receita!$T$2:$T$2102,"44562B1Energia convencional pré-pagamentoResidencialResidencialNão se aplicaNão se aplicaNão se aplica",Mercado_Receita!$N$2:$N$2102)</f>
        <v>0</v>
      </c>
      <c r="K22" s="13">
        <f>SUMIF(Mercado_Receita!$T$2:$T$2102,"44593B1Energia convencional pré-pagamentoResidencialResidencialNão se aplicaNão se aplicaNão se aplica",Mercado_Receita!$N$2:$N$2102)</f>
        <v>0</v>
      </c>
      <c r="L22" s="13">
        <f>SUMIF(Mercado_Receita!$T$2:$T$2102,"44621B1Energia convencional pré-pagamentoResidencialResidencialNão se aplicaNão se aplicaNão se aplica",Mercado_Receita!$N$2:$N$2102)</f>
        <v>0</v>
      </c>
      <c r="M22" s="13">
        <f>SUMIF(Mercado_Receita!$T$2:$T$2102,"44652B1Energia convencional pré-pagamentoResidencialResidencialNão se aplicaNão se aplicaNão se aplica",Mercado_Receita!$N$2:$N$2102)</f>
        <v>0</v>
      </c>
      <c r="N22" s="13">
        <f>SUMIF(Mercado_Receita!$T$2:$T$2102,"44682B1Energia convencional pré-pagamentoResidencialResidencialNão se aplicaNão se aplicaNão se aplica",Mercado_Receita!$N$2:$N$2102)</f>
        <v>0</v>
      </c>
      <c r="O22" s="13">
        <f>SUMIF(Mercado_Receita!$T$2:$T$2102,"44713B1Energia convencional pré-pagamentoResidencialResidencialNão se aplicaNão se aplicaNão se aplica",Mercado_Receita!$N$2:$N$2102)</f>
        <v>0</v>
      </c>
      <c r="P22" s="13">
        <f>SUMIF(Mercado_Receita!$T$2:$T$2102,"44743B1Energia convencional pré-pagamentoResidencialResidencialNão se aplicaNão se aplicaNão se aplica",Mercado_Receita!$N$2:$N$2102)</f>
        <v>0</v>
      </c>
      <c r="Q22" s="13">
        <f>SUMIF(Mercado_Receita!$T$2:$T$2102,"44774B1Energia convencional pré-pagamentoResidencialResidencialNão se aplicaNão se aplicaNão se aplica",Mercado_Receita!$N$2:$N$2102)</f>
        <v>0</v>
      </c>
      <c r="R22" s="13">
        <f>SUMIF(Mercado_Receita!$T$2:$T$2102,"44805B1Energia convencional pré-pagamentoResidencialResidencialNão se aplicaNão se aplicaNão se aplica",Mercado_Receita!$N$2:$N$2102)</f>
        <v>0</v>
      </c>
      <c r="S22" s="13">
        <f>SUMIF(Mercado_Receita!$T$2:$T$2102,"44835B1Energia convencional pré-pagamentoResidencialResidencialNão se aplicaNão se aplicaNão se aplica",Mercado_Receita!$N$2:$N$2102)</f>
        <v>0</v>
      </c>
      <c r="T22" s="13">
        <f>SUMIF(Mercado_Receita!$T$2:$T$2102,"44866B1Energia convencional pré-pagamentoResidencialResidencialNão se aplicaNão se aplicaNão se aplica",Mercado_Receita!$N$2:$N$2102)</f>
        <v>0</v>
      </c>
      <c r="U22" s="13">
        <f t="shared" si="0"/>
        <v>0</v>
      </c>
      <c r="V22" s="13"/>
      <c r="W22" s="13"/>
    </row>
    <row r="23" spans="1:23" ht="11.25" customHeight="1" x14ac:dyDescent="0.25">
      <c r="A23" s="93"/>
      <c r="B23" s="93"/>
      <c r="C23" s="93"/>
      <c r="D23" s="12" t="s">
        <v>31</v>
      </c>
      <c r="E23" s="12" t="s">
        <v>25</v>
      </c>
      <c r="F23" s="12" t="s">
        <v>25</v>
      </c>
      <c r="G23" s="13" t="s">
        <v>88</v>
      </c>
      <c r="H23" s="13" t="s">
        <v>82</v>
      </c>
      <c r="I23" s="13">
        <f>SUMIF(Mercado_Receita!$T$2:$T$2102,"44531B1Energia convencional pré-pagamentoResidencialResidencial baixa renda – faixa 01Não se aplicaNão se aplicaNão se aplica",Mercado_Receita!$N$2:$N$2102)</f>
        <v>0</v>
      </c>
      <c r="J23" s="13">
        <f>SUMIF(Mercado_Receita!$T$2:$T$2102,"44562B1Energia convencional pré-pagamentoResidencialResidencial baixa renda – faixa 01Não se aplicaNão se aplicaNão se aplica",Mercado_Receita!$N$2:$N$2102)</f>
        <v>0</v>
      </c>
      <c r="K23" s="13">
        <f>SUMIF(Mercado_Receita!$T$2:$T$2102,"44593B1Energia convencional pré-pagamentoResidencialResidencial baixa renda – faixa 01Não se aplicaNão se aplicaNão se aplica",Mercado_Receita!$N$2:$N$2102)</f>
        <v>0</v>
      </c>
      <c r="L23" s="13">
        <f>SUMIF(Mercado_Receita!$T$2:$T$2102,"44621B1Energia convencional pré-pagamentoResidencialResidencial baixa renda – faixa 01Não se aplicaNão se aplicaNão se aplica",Mercado_Receita!$N$2:$N$2102)</f>
        <v>0</v>
      </c>
      <c r="M23" s="13">
        <f>SUMIF(Mercado_Receita!$T$2:$T$2102,"44652B1Energia convencional pré-pagamentoResidencialResidencial baixa renda – faixa 01Não se aplicaNão se aplicaNão se aplica",Mercado_Receita!$N$2:$N$2102)</f>
        <v>0</v>
      </c>
      <c r="N23" s="13">
        <f>SUMIF(Mercado_Receita!$T$2:$T$2102,"44682B1Energia convencional pré-pagamentoResidencialResidencial baixa renda – faixa 01Não se aplicaNão se aplicaNão se aplica",Mercado_Receita!$N$2:$N$2102)</f>
        <v>0</v>
      </c>
      <c r="O23" s="13">
        <f>SUMIF(Mercado_Receita!$T$2:$T$2102,"44713B1Energia convencional pré-pagamentoResidencialResidencial baixa renda – faixa 01Não se aplicaNão se aplicaNão se aplica",Mercado_Receita!$N$2:$N$2102)</f>
        <v>0</v>
      </c>
      <c r="P23" s="13">
        <f>SUMIF(Mercado_Receita!$T$2:$T$2102,"44743B1Energia convencional pré-pagamentoResidencialResidencial baixa renda – faixa 01Não se aplicaNão se aplicaNão se aplica",Mercado_Receita!$N$2:$N$2102)</f>
        <v>0</v>
      </c>
      <c r="Q23" s="13">
        <f>SUMIF(Mercado_Receita!$T$2:$T$2102,"44774B1Energia convencional pré-pagamentoResidencialResidencial baixa renda – faixa 01Não se aplicaNão se aplicaNão se aplica",Mercado_Receita!$N$2:$N$2102)</f>
        <v>0</v>
      </c>
      <c r="R23" s="13">
        <f>SUMIF(Mercado_Receita!$T$2:$T$2102,"44805B1Energia convencional pré-pagamentoResidencialResidencial baixa renda – faixa 01Não se aplicaNão se aplicaNão se aplica",Mercado_Receita!$N$2:$N$2102)</f>
        <v>0</v>
      </c>
      <c r="S23" s="13">
        <f>SUMIF(Mercado_Receita!$T$2:$T$2102,"44835B1Energia convencional pré-pagamentoResidencialResidencial baixa renda – faixa 01Não se aplicaNão se aplicaNão se aplica",Mercado_Receita!$N$2:$N$2102)</f>
        <v>0</v>
      </c>
      <c r="T23" s="13">
        <f>SUMIF(Mercado_Receita!$T$2:$T$2102,"44866B1Energia convencional pré-pagamentoResidencialResidencial baixa renda – faixa 01Não se aplicaNão se aplicaNão se aplica",Mercado_Receita!$N$2:$N$2102)</f>
        <v>0</v>
      </c>
      <c r="U23" s="13">
        <f t="shared" si="0"/>
        <v>0</v>
      </c>
      <c r="V23" s="13"/>
      <c r="W23" s="13"/>
    </row>
    <row r="24" spans="1:23" ht="11.25" customHeight="1" x14ac:dyDescent="0.25">
      <c r="A24" s="93"/>
      <c r="B24" s="93"/>
      <c r="C24" s="93"/>
      <c r="D24" s="12" t="s">
        <v>32</v>
      </c>
      <c r="E24" s="12" t="s">
        <v>25</v>
      </c>
      <c r="F24" s="12" t="s">
        <v>25</v>
      </c>
      <c r="G24" s="13" t="s">
        <v>88</v>
      </c>
      <c r="H24" s="13" t="s">
        <v>82</v>
      </c>
      <c r="I24" s="13">
        <f>SUMIF(Mercado_Receita!$T$2:$T$2102,"44531B1Energia convencional pré-pagamentoResidencialResidencial baixa renda – faixa 02Não se aplicaNão se aplicaNão se aplica",Mercado_Receita!$N$2:$N$2102)</f>
        <v>0</v>
      </c>
      <c r="J24" s="13">
        <f>SUMIF(Mercado_Receita!$T$2:$T$2102,"44562B1Energia convencional pré-pagamentoResidencialResidencial baixa renda – faixa 02Não se aplicaNão se aplicaNão se aplica",Mercado_Receita!$N$2:$N$2102)</f>
        <v>0</v>
      </c>
      <c r="K24" s="13">
        <f>SUMIF(Mercado_Receita!$T$2:$T$2102,"44593B1Energia convencional pré-pagamentoResidencialResidencial baixa renda – faixa 02Não se aplicaNão se aplicaNão se aplica",Mercado_Receita!$N$2:$N$2102)</f>
        <v>0</v>
      </c>
      <c r="L24" s="13">
        <f>SUMIF(Mercado_Receita!$T$2:$T$2102,"44621B1Energia convencional pré-pagamentoResidencialResidencial baixa renda – faixa 02Não se aplicaNão se aplicaNão se aplica",Mercado_Receita!$N$2:$N$2102)</f>
        <v>0</v>
      </c>
      <c r="M24" s="13">
        <f>SUMIF(Mercado_Receita!$T$2:$T$2102,"44652B1Energia convencional pré-pagamentoResidencialResidencial baixa renda – faixa 02Não se aplicaNão se aplicaNão se aplica",Mercado_Receita!$N$2:$N$2102)</f>
        <v>0</v>
      </c>
      <c r="N24" s="13">
        <f>SUMIF(Mercado_Receita!$T$2:$T$2102,"44682B1Energia convencional pré-pagamentoResidencialResidencial baixa renda – faixa 02Não se aplicaNão se aplicaNão se aplica",Mercado_Receita!$N$2:$N$2102)</f>
        <v>0</v>
      </c>
      <c r="O24" s="13">
        <f>SUMIF(Mercado_Receita!$T$2:$T$2102,"44713B1Energia convencional pré-pagamentoResidencialResidencial baixa renda – faixa 02Não se aplicaNão se aplicaNão se aplica",Mercado_Receita!$N$2:$N$2102)</f>
        <v>0</v>
      </c>
      <c r="P24" s="13">
        <f>SUMIF(Mercado_Receita!$T$2:$T$2102,"44743B1Energia convencional pré-pagamentoResidencialResidencial baixa renda – faixa 02Não se aplicaNão se aplicaNão se aplica",Mercado_Receita!$N$2:$N$2102)</f>
        <v>0</v>
      </c>
      <c r="Q24" s="13">
        <f>SUMIF(Mercado_Receita!$T$2:$T$2102,"44774B1Energia convencional pré-pagamentoResidencialResidencial baixa renda – faixa 02Não se aplicaNão se aplicaNão se aplica",Mercado_Receita!$N$2:$N$2102)</f>
        <v>0</v>
      </c>
      <c r="R24" s="13">
        <f>SUMIF(Mercado_Receita!$T$2:$T$2102,"44805B1Energia convencional pré-pagamentoResidencialResidencial baixa renda – faixa 02Não se aplicaNão se aplicaNão se aplica",Mercado_Receita!$N$2:$N$2102)</f>
        <v>0</v>
      </c>
      <c r="S24" s="13">
        <f>SUMIF(Mercado_Receita!$T$2:$T$2102,"44835B1Energia convencional pré-pagamentoResidencialResidencial baixa renda – faixa 02Não se aplicaNão se aplicaNão se aplica",Mercado_Receita!$N$2:$N$2102)</f>
        <v>0</v>
      </c>
      <c r="T24" s="13">
        <f>SUMIF(Mercado_Receita!$T$2:$T$2102,"44866B1Energia convencional pré-pagamentoResidencialResidencial baixa renda – faixa 02Não se aplicaNão se aplicaNão se aplica",Mercado_Receita!$N$2:$N$2102)</f>
        <v>0</v>
      </c>
      <c r="U24" s="13">
        <f t="shared" si="0"/>
        <v>0</v>
      </c>
      <c r="V24" s="13"/>
      <c r="W24" s="13"/>
    </row>
    <row r="25" spans="1:23" ht="11.25" customHeight="1" x14ac:dyDescent="0.25">
      <c r="A25" s="93"/>
      <c r="B25" s="93"/>
      <c r="C25" s="93"/>
      <c r="D25" s="12" t="s">
        <v>33</v>
      </c>
      <c r="E25" s="12" t="s">
        <v>25</v>
      </c>
      <c r="F25" s="12" t="s">
        <v>25</v>
      </c>
      <c r="G25" s="13" t="s">
        <v>88</v>
      </c>
      <c r="H25" s="13" t="s">
        <v>82</v>
      </c>
      <c r="I25" s="13">
        <f>SUMIF(Mercado_Receita!$T$2:$T$2102,"44531B1Energia convencional pré-pagamentoResidencialResidencial baixa renda – faixa 03Não se aplicaNão se aplicaNão se aplica",Mercado_Receita!$N$2:$N$2102)</f>
        <v>0</v>
      </c>
      <c r="J25" s="13">
        <f>SUMIF(Mercado_Receita!$T$2:$T$2102,"44562B1Energia convencional pré-pagamentoResidencialResidencial baixa renda – faixa 03Não se aplicaNão se aplicaNão se aplica",Mercado_Receita!$N$2:$N$2102)</f>
        <v>0</v>
      </c>
      <c r="K25" s="13">
        <f>SUMIF(Mercado_Receita!$T$2:$T$2102,"44593B1Energia convencional pré-pagamentoResidencialResidencial baixa renda – faixa 03Não se aplicaNão se aplicaNão se aplica",Mercado_Receita!$N$2:$N$2102)</f>
        <v>0</v>
      </c>
      <c r="L25" s="13">
        <f>SUMIF(Mercado_Receita!$T$2:$T$2102,"44621B1Energia convencional pré-pagamentoResidencialResidencial baixa renda – faixa 03Não se aplicaNão se aplicaNão se aplica",Mercado_Receita!$N$2:$N$2102)</f>
        <v>0</v>
      </c>
      <c r="M25" s="13">
        <f>SUMIF(Mercado_Receita!$T$2:$T$2102,"44652B1Energia convencional pré-pagamentoResidencialResidencial baixa renda – faixa 03Não se aplicaNão se aplicaNão se aplica",Mercado_Receita!$N$2:$N$2102)</f>
        <v>0</v>
      </c>
      <c r="N25" s="13">
        <f>SUMIF(Mercado_Receita!$T$2:$T$2102,"44682B1Energia convencional pré-pagamentoResidencialResidencial baixa renda – faixa 03Não se aplicaNão se aplicaNão se aplica",Mercado_Receita!$N$2:$N$2102)</f>
        <v>0</v>
      </c>
      <c r="O25" s="13">
        <f>SUMIF(Mercado_Receita!$T$2:$T$2102,"44713B1Energia convencional pré-pagamentoResidencialResidencial baixa renda – faixa 03Não se aplicaNão se aplicaNão se aplica",Mercado_Receita!$N$2:$N$2102)</f>
        <v>0</v>
      </c>
      <c r="P25" s="13">
        <f>SUMIF(Mercado_Receita!$T$2:$T$2102,"44743B1Energia convencional pré-pagamentoResidencialResidencial baixa renda – faixa 03Não se aplicaNão se aplicaNão se aplica",Mercado_Receita!$N$2:$N$2102)</f>
        <v>0</v>
      </c>
      <c r="Q25" s="13">
        <f>SUMIF(Mercado_Receita!$T$2:$T$2102,"44774B1Energia convencional pré-pagamentoResidencialResidencial baixa renda – faixa 03Não se aplicaNão se aplicaNão se aplica",Mercado_Receita!$N$2:$N$2102)</f>
        <v>0</v>
      </c>
      <c r="R25" s="13">
        <f>SUMIF(Mercado_Receita!$T$2:$T$2102,"44805B1Energia convencional pré-pagamentoResidencialResidencial baixa renda – faixa 03Não se aplicaNão se aplicaNão se aplica",Mercado_Receita!$N$2:$N$2102)</f>
        <v>0</v>
      </c>
      <c r="S25" s="13">
        <f>SUMIF(Mercado_Receita!$T$2:$T$2102,"44835B1Energia convencional pré-pagamentoResidencialResidencial baixa renda – faixa 03Não se aplicaNão se aplicaNão se aplica",Mercado_Receita!$N$2:$N$2102)</f>
        <v>0</v>
      </c>
      <c r="T25" s="13">
        <f>SUMIF(Mercado_Receita!$T$2:$T$2102,"44866B1Energia convencional pré-pagamentoResidencialResidencial baixa renda – faixa 03Não se aplicaNão se aplicaNão se aplica",Mercado_Receita!$N$2:$N$2102)</f>
        <v>0</v>
      </c>
      <c r="U25" s="13">
        <f t="shared" si="0"/>
        <v>0</v>
      </c>
      <c r="V25" s="13"/>
      <c r="W25" s="13"/>
    </row>
    <row r="26" spans="1:23" ht="11.25" customHeight="1" x14ac:dyDescent="0.25">
      <c r="A26" s="93"/>
      <c r="B26" s="93"/>
      <c r="C26" s="93"/>
      <c r="D26" s="12" t="s">
        <v>34</v>
      </c>
      <c r="E26" s="12" t="s">
        <v>25</v>
      </c>
      <c r="F26" s="12" t="s">
        <v>25</v>
      </c>
      <c r="G26" s="13" t="s">
        <v>88</v>
      </c>
      <c r="H26" s="13" t="s">
        <v>82</v>
      </c>
      <c r="I26" s="13">
        <f>SUMIF(Mercado_Receita!$T$2:$T$2102,"44531B1Energia convencional pré-pagamentoResidencialResidencial baixa renda – faixa 04Não se aplicaNão se aplicaNão se aplica",Mercado_Receita!$N$2:$N$2102)</f>
        <v>0</v>
      </c>
      <c r="J26" s="13">
        <f>SUMIF(Mercado_Receita!$T$2:$T$2102,"44562B1Energia convencional pré-pagamentoResidencialResidencial baixa renda – faixa 04Não se aplicaNão se aplicaNão se aplica",Mercado_Receita!$N$2:$N$2102)</f>
        <v>0</v>
      </c>
      <c r="K26" s="13">
        <f>SUMIF(Mercado_Receita!$T$2:$T$2102,"44593B1Energia convencional pré-pagamentoResidencialResidencial baixa renda – faixa 04Não se aplicaNão se aplicaNão se aplica",Mercado_Receita!$N$2:$N$2102)</f>
        <v>0</v>
      </c>
      <c r="L26" s="13">
        <f>SUMIF(Mercado_Receita!$T$2:$T$2102,"44621B1Energia convencional pré-pagamentoResidencialResidencial baixa renda – faixa 04Não se aplicaNão se aplicaNão se aplica",Mercado_Receita!$N$2:$N$2102)</f>
        <v>0</v>
      </c>
      <c r="M26" s="13">
        <f>SUMIF(Mercado_Receita!$T$2:$T$2102,"44652B1Energia convencional pré-pagamentoResidencialResidencial baixa renda – faixa 04Não se aplicaNão se aplicaNão se aplica",Mercado_Receita!$N$2:$N$2102)</f>
        <v>0</v>
      </c>
      <c r="N26" s="13">
        <f>SUMIF(Mercado_Receita!$T$2:$T$2102,"44682B1Energia convencional pré-pagamentoResidencialResidencial baixa renda – faixa 04Não se aplicaNão se aplicaNão se aplica",Mercado_Receita!$N$2:$N$2102)</f>
        <v>0</v>
      </c>
      <c r="O26" s="13">
        <f>SUMIF(Mercado_Receita!$T$2:$T$2102,"44713B1Energia convencional pré-pagamentoResidencialResidencial baixa renda – faixa 04Não se aplicaNão se aplicaNão se aplica",Mercado_Receita!$N$2:$N$2102)</f>
        <v>0</v>
      </c>
      <c r="P26" s="13">
        <f>SUMIF(Mercado_Receita!$T$2:$T$2102,"44743B1Energia convencional pré-pagamentoResidencialResidencial baixa renda – faixa 04Não se aplicaNão se aplicaNão se aplica",Mercado_Receita!$N$2:$N$2102)</f>
        <v>0</v>
      </c>
      <c r="Q26" s="13">
        <f>SUMIF(Mercado_Receita!$T$2:$T$2102,"44774B1Energia convencional pré-pagamentoResidencialResidencial baixa renda – faixa 04Não se aplicaNão se aplicaNão se aplica",Mercado_Receita!$N$2:$N$2102)</f>
        <v>0</v>
      </c>
      <c r="R26" s="13">
        <f>SUMIF(Mercado_Receita!$T$2:$T$2102,"44805B1Energia convencional pré-pagamentoResidencialResidencial baixa renda – faixa 04Não se aplicaNão se aplicaNão se aplica",Mercado_Receita!$N$2:$N$2102)</f>
        <v>0</v>
      </c>
      <c r="S26" s="13">
        <f>SUMIF(Mercado_Receita!$T$2:$T$2102,"44835B1Energia convencional pré-pagamentoResidencialResidencial baixa renda – faixa 04Não se aplicaNão se aplicaNão se aplica",Mercado_Receita!$N$2:$N$2102)</f>
        <v>0</v>
      </c>
      <c r="T26" s="13">
        <f>SUMIF(Mercado_Receita!$T$2:$T$2102,"44866B1Energia convencional pré-pagamentoResidencialResidencial baixa renda – faixa 04Não se aplicaNão se aplicaNão se aplica",Mercado_Receita!$N$2:$N$2102)</f>
        <v>0</v>
      </c>
      <c r="U26" s="13">
        <f t="shared" si="0"/>
        <v>0</v>
      </c>
      <c r="V26" s="13"/>
      <c r="W26" s="13"/>
    </row>
    <row r="27" spans="1:23" ht="11.25" customHeight="1" x14ac:dyDescent="0.25">
      <c r="A27" s="92" t="s">
        <v>46</v>
      </c>
      <c r="B27" s="92" t="s">
        <v>81</v>
      </c>
      <c r="C27" s="92" t="s">
        <v>47</v>
      </c>
      <c r="D27" s="92" t="s">
        <v>25</v>
      </c>
      <c r="E27" s="92" t="s">
        <v>25</v>
      </c>
      <c r="F27" s="92" t="s">
        <v>25</v>
      </c>
      <c r="G27" s="13" t="s">
        <v>83</v>
      </c>
      <c r="H27" s="13" t="s">
        <v>82</v>
      </c>
      <c r="I27" s="13">
        <f>SUMIF(Mercado_Receita!$T$2:$T$2102,"44531B2Energia horáriaRuralNão se aplicaNão se aplicaNão se aplicaPonta",Mercado_Receita!$N$2:$N$2102)</f>
        <v>0.29299999999999998</v>
      </c>
      <c r="J27" s="13">
        <f>SUMIF(Mercado_Receita!$T$2:$T$2102,"44562B2Energia horáriaRuralNão se aplicaNão se aplicaNão se aplicaPonta",Mercado_Receita!$N$2:$N$2102)</f>
        <v>0.309</v>
      </c>
      <c r="K27" s="13">
        <f>SUMIF(Mercado_Receita!$T$2:$T$2102,"44593B2Energia horáriaRuralNão se aplicaNão se aplicaNão se aplicaPonta",Mercado_Receita!$N$2:$N$2102)</f>
        <v>0.33300000000000002</v>
      </c>
      <c r="L27" s="13">
        <f>SUMIF(Mercado_Receita!$T$2:$T$2102,"44621B2Energia horáriaRuralNão se aplicaNão se aplicaNão se aplicaPonta",Mercado_Receita!$N$2:$N$2102)</f>
        <v>0.23400000000000001</v>
      </c>
      <c r="M27" s="13">
        <f>SUMIF(Mercado_Receita!$T$2:$T$2102,"44652B2Energia horáriaRuralNão se aplicaNão se aplicaNão se aplicaPonta",Mercado_Receita!$N$2:$N$2102)</f>
        <v>0.26700000000000002</v>
      </c>
      <c r="N27" s="13">
        <f>SUMIF(Mercado_Receita!$T$2:$T$2102,"44682B2Energia horáriaRuralNão se aplicaNão se aplicaNão se aplicaPonta",Mercado_Receita!$N$2:$N$2102)</f>
        <v>0.34200000000000003</v>
      </c>
      <c r="O27" s="13">
        <f>SUMIF(Mercado_Receita!$T$2:$T$2102,"44713B2Energia horáriaRuralNão se aplicaNão se aplicaNão se aplicaPonta",Mercado_Receita!$N$2:$N$2102)</f>
        <v>0.26200000000000001</v>
      </c>
      <c r="P27" s="13">
        <f>SUMIF(Mercado_Receita!$T$2:$T$2102,"44743B2Energia horáriaRuralNão se aplicaNão se aplicaNão se aplicaPonta",Mercado_Receita!$N$2:$N$2102)</f>
        <v>0.24</v>
      </c>
      <c r="Q27" s="13">
        <f>SUMIF(Mercado_Receita!$T$2:$T$2102,"44774B2Energia horáriaRuralNão se aplicaNão se aplicaNão se aplicaPonta",Mercado_Receita!$N$2:$N$2102)</f>
        <v>0.29899999999999999</v>
      </c>
      <c r="R27" s="13">
        <f>SUMIF(Mercado_Receita!$T$2:$T$2102,"44805B2Energia horáriaRuralNão se aplicaNão se aplicaNão se aplicaPonta",Mercado_Receita!$N$2:$N$2102)</f>
        <v>0.23599999999999999</v>
      </c>
      <c r="S27" s="13">
        <f>SUMIF(Mercado_Receita!$T$2:$T$2102,"44835B2Energia horáriaRuralNão se aplicaNão se aplicaNão se aplicaPonta",Mercado_Receita!$N$2:$N$2102)</f>
        <v>0.309</v>
      </c>
      <c r="T27" s="13">
        <f>SUMIF(Mercado_Receita!$T$2:$T$2102,"44866B2Energia horáriaRuralNão se aplicaNão se aplicaNão se aplicaPonta",Mercado_Receita!$N$2:$N$2102)</f>
        <v>0.309</v>
      </c>
      <c r="U27" s="13">
        <f t="shared" si="0"/>
        <v>3.4330000000000007</v>
      </c>
      <c r="V27" s="13"/>
      <c r="W27" s="13"/>
    </row>
    <row r="28" spans="1:23" ht="11.25" customHeight="1" x14ac:dyDescent="0.25">
      <c r="A28" s="93"/>
      <c r="B28" s="93"/>
      <c r="C28" s="93"/>
      <c r="D28" s="93"/>
      <c r="E28" s="93"/>
      <c r="F28" s="93"/>
      <c r="G28" s="13" t="s">
        <v>98</v>
      </c>
      <c r="H28" s="13" t="s">
        <v>82</v>
      </c>
      <c r="I28" s="13">
        <f>SUMIF(Mercado_Receita!$T$2:$T$2102,"44531B2Energia horáriaRuralNão se aplicaNão se aplicaNão se aplicaIntermediário",Mercado_Receita!$N$2:$N$2102)</f>
        <v>3.7999999999999999E-2</v>
      </c>
      <c r="J28" s="13">
        <f>SUMIF(Mercado_Receita!$T$2:$T$2102,"44562B2Energia horáriaRuralNão se aplicaNão se aplicaNão se aplicaIntermediário",Mercado_Receita!$N$2:$N$2102)</f>
        <v>6.5000000000000002E-2</v>
      </c>
      <c r="K28" s="13">
        <f>SUMIF(Mercado_Receita!$T$2:$T$2102,"44593B2Energia horáriaRuralNão se aplicaNão se aplicaNão se aplicaIntermediário",Mercado_Receita!$N$2:$N$2102)</f>
        <v>0.05</v>
      </c>
      <c r="L28" s="13">
        <f>SUMIF(Mercado_Receita!$T$2:$T$2102,"44621B2Energia horáriaRuralNão se aplicaNão se aplicaNão se aplicaIntermediário",Mercado_Receita!$N$2:$N$2102)</f>
        <v>3.6999999999999998E-2</v>
      </c>
      <c r="M28" s="13">
        <f>SUMIF(Mercado_Receita!$T$2:$T$2102,"44652B2Energia horáriaRuralNão se aplicaNão se aplicaNão se aplicaIntermediário",Mercado_Receita!$N$2:$N$2102)</f>
        <v>3.7999999999999999E-2</v>
      </c>
      <c r="N28" s="13">
        <f>SUMIF(Mercado_Receita!$T$2:$T$2102,"44682B2Energia horáriaRuralNão se aplicaNão se aplicaNão se aplicaIntermediário",Mercado_Receita!$N$2:$N$2102)</f>
        <v>3.1E-2</v>
      </c>
      <c r="O28" s="13">
        <f>SUMIF(Mercado_Receita!$T$2:$T$2102,"44713B2Energia horáriaRuralNão se aplicaNão se aplicaNão se aplicaIntermediário",Mercado_Receita!$N$2:$N$2102)</f>
        <v>3.6999999999999998E-2</v>
      </c>
      <c r="P28" s="13">
        <f>SUMIF(Mercado_Receita!$T$2:$T$2102,"44743B2Energia horáriaRuralNão se aplicaNão se aplicaNão se aplicaIntermediário",Mercado_Receita!$N$2:$N$2102)</f>
        <v>5.1999999999999998E-2</v>
      </c>
      <c r="Q28" s="13">
        <f>SUMIF(Mercado_Receita!$T$2:$T$2102,"44774B2Energia horáriaRuralNão se aplicaNão se aplicaNão se aplicaIntermediário",Mercado_Receita!$N$2:$N$2102)</f>
        <v>5.5E-2</v>
      </c>
      <c r="R28" s="13">
        <f>SUMIF(Mercado_Receita!$T$2:$T$2102,"44805B2Energia horáriaRuralNão se aplicaNão se aplicaNão se aplicaIntermediário",Mercado_Receita!$N$2:$N$2102)</f>
        <v>4.5999999999999999E-2</v>
      </c>
      <c r="S28" s="13">
        <f>SUMIF(Mercado_Receita!$T$2:$T$2102,"44835B2Energia horáriaRuralNão se aplicaNão se aplicaNão se aplicaIntermediário",Mercado_Receita!$N$2:$N$2102)</f>
        <v>4.9000000000000002E-2</v>
      </c>
      <c r="T28" s="13">
        <f>SUMIF(Mercado_Receita!$T$2:$T$2102,"44866B2Energia horáriaRuralNão se aplicaNão se aplicaNão se aplicaIntermediário",Mercado_Receita!$N$2:$N$2102)</f>
        <v>4.9000000000000002E-2</v>
      </c>
      <c r="U28" s="13">
        <f t="shared" si="0"/>
        <v>0.54699999999999993</v>
      </c>
      <c r="V28" s="13"/>
      <c r="W28" s="13"/>
    </row>
    <row r="29" spans="1:23" ht="11.25" customHeight="1" x14ac:dyDescent="0.25">
      <c r="A29" s="93"/>
      <c r="B29" s="93"/>
      <c r="C29" s="93"/>
      <c r="D29" s="93"/>
      <c r="E29" s="93"/>
      <c r="F29" s="93"/>
      <c r="G29" s="13" t="s">
        <v>84</v>
      </c>
      <c r="H29" s="13" t="s">
        <v>82</v>
      </c>
      <c r="I29" s="13">
        <f>SUMIF(Mercado_Receita!$T$2:$T$2102,"44531B2Energia horáriaRuralNão se aplicaNão se aplicaNão se aplicaFora ponta",Mercado_Receita!$N$2:$N$2102)</f>
        <v>5.9009999999999998</v>
      </c>
      <c r="J29" s="13">
        <f>SUMIF(Mercado_Receita!$T$2:$T$2102,"44562B2Energia horáriaRuralNão se aplicaNão se aplicaNão se aplicaFora ponta",Mercado_Receita!$N$2:$N$2102)</f>
        <v>6.6349999999999998</v>
      </c>
      <c r="K29" s="13">
        <f>SUMIF(Mercado_Receita!$T$2:$T$2102,"44593B2Energia horáriaRuralNão se aplicaNão se aplicaNão se aplicaFora ponta",Mercado_Receita!$N$2:$N$2102)</f>
        <v>5.76</v>
      </c>
      <c r="L29" s="13">
        <f>SUMIF(Mercado_Receita!$T$2:$T$2102,"44621B2Energia horáriaRuralNão se aplicaNão se aplicaNão se aplicaFora ponta",Mercado_Receita!$N$2:$N$2102)</f>
        <v>5.5250000000000004</v>
      </c>
      <c r="M29" s="13">
        <f>SUMIF(Mercado_Receita!$T$2:$T$2102,"44652B2Energia horáriaRuralNão se aplicaNão se aplicaNão se aplicaFora ponta",Mercado_Receita!$N$2:$N$2102)</f>
        <v>4.8090000000000002</v>
      </c>
      <c r="N29" s="13">
        <f>SUMIF(Mercado_Receita!$T$2:$T$2102,"44682B2Energia horáriaRuralNão se aplicaNão se aplicaNão se aplicaFora ponta",Mercado_Receita!$N$2:$N$2102)</f>
        <v>6.3789999999999996</v>
      </c>
      <c r="O29" s="13">
        <f>SUMIF(Mercado_Receita!$T$2:$T$2102,"44713B2Energia horáriaRuralNão se aplicaNão se aplicaNão se aplicaFora ponta",Mercado_Receita!$N$2:$N$2102)</f>
        <v>5.6680000000000001</v>
      </c>
      <c r="P29" s="13">
        <f>SUMIF(Mercado_Receita!$T$2:$T$2102,"44743B2Energia horáriaRuralNão se aplicaNão se aplicaNão se aplicaFora ponta",Mercado_Receita!$N$2:$N$2102)</f>
        <v>5.7770000000000001</v>
      </c>
      <c r="Q29" s="13">
        <f>SUMIF(Mercado_Receita!$T$2:$T$2102,"44774B2Energia horáriaRuralNão se aplicaNão se aplicaNão se aplicaFora ponta",Mercado_Receita!$N$2:$N$2102)</f>
        <v>7.75</v>
      </c>
      <c r="R29" s="13">
        <f>SUMIF(Mercado_Receita!$T$2:$T$2102,"44805B2Energia horáriaRuralNão se aplicaNão se aplicaNão se aplicaFora ponta",Mercado_Receita!$N$2:$N$2102)</f>
        <v>6.0750000000000002</v>
      </c>
      <c r="S29" s="13">
        <f>SUMIF(Mercado_Receita!$T$2:$T$2102,"44835B2Energia horáriaRuralNão se aplicaNão se aplicaNão se aplicaFora ponta",Mercado_Receita!$N$2:$N$2102)</f>
        <v>6.5540000000000003</v>
      </c>
      <c r="T29" s="13">
        <f>SUMIF(Mercado_Receita!$T$2:$T$2102,"44866B2Energia horáriaRuralNão se aplicaNão se aplicaNão se aplicaFora ponta",Mercado_Receita!$N$2:$N$2102)</f>
        <v>6.5540000000000003</v>
      </c>
      <c r="U29" s="13">
        <f t="shared" si="0"/>
        <v>73.387</v>
      </c>
      <c r="V29" s="13"/>
      <c r="W29" s="13"/>
    </row>
    <row r="30" spans="1:23" ht="11.25" customHeight="1" x14ac:dyDescent="0.25">
      <c r="A30" s="93"/>
      <c r="B30" s="12" t="s">
        <v>90</v>
      </c>
      <c r="C30" s="12" t="s">
        <v>47</v>
      </c>
      <c r="D30" s="12" t="s">
        <v>25</v>
      </c>
      <c r="E30" s="12" t="s">
        <v>25</v>
      </c>
      <c r="F30" s="12" t="s">
        <v>25</v>
      </c>
      <c r="G30" s="13" t="s">
        <v>88</v>
      </c>
      <c r="H30" s="13" t="s">
        <v>82</v>
      </c>
      <c r="I30" s="13">
        <f>SUMIF(Mercado_Receita!$T$2:$T$2102,"44531B2Energia convencionalRuralNão se aplicaNão se aplicaNão se aplicaNão se aplica",Mercado_Receita!$N$2:$N$2102)</f>
        <v>4544.3410000000003</v>
      </c>
      <c r="J30" s="13">
        <f>SUMIF(Mercado_Receita!$T$2:$T$2102,"44562B2Energia convencionalRuralNão se aplicaNão se aplicaNão se aplicaNão se aplica",Mercado_Receita!$N$2:$N$2102)</f>
        <v>4653.0040000000008</v>
      </c>
      <c r="K30" s="13">
        <f>SUMIF(Mercado_Receita!$T$2:$T$2102,"44593B2Energia convencionalRuralNão se aplicaNão se aplicaNão se aplicaNão se aplica",Mercado_Receita!$N$2:$N$2102)</f>
        <v>4321.3140000000003</v>
      </c>
      <c r="L30" s="13">
        <f>SUMIF(Mercado_Receita!$T$2:$T$2102,"44621B2Energia convencionalRuralNão se aplicaNão se aplicaNão se aplicaNão se aplica",Mercado_Receita!$N$2:$N$2102)</f>
        <v>3421.8129999999996</v>
      </c>
      <c r="M30" s="13">
        <f>SUMIF(Mercado_Receita!$T$2:$T$2102,"44652B2Energia convencionalRuralNão se aplicaNão se aplicaNão se aplicaNão se aplica",Mercado_Receita!$N$2:$N$2102)</f>
        <v>3436.9319999999998</v>
      </c>
      <c r="N30" s="13">
        <f>SUMIF(Mercado_Receita!$T$2:$T$2102,"44682B2Energia convencionalRuralNão se aplicaNão se aplicaNão se aplicaNão se aplica",Mercado_Receita!$N$2:$N$2102)</f>
        <v>3596.3919999999998</v>
      </c>
      <c r="O30" s="13">
        <f>SUMIF(Mercado_Receita!$T$2:$T$2102,"44713B2Energia convencionalRuralNão se aplicaNão se aplicaNão se aplicaNão se aplica",Mercado_Receita!$N$2:$N$2102)</f>
        <v>3332.8789999999999</v>
      </c>
      <c r="P30" s="13">
        <f>SUMIF(Mercado_Receita!$T$2:$T$2102,"44743B2Energia convencionalRuralNão se aplicaNão se aplicaNão se aplicaNão se aplica",Mercado_Receita!$N$2:$N$2102)</f>
        <v>3635.3710000000001</v>
      </c>
      <c r="Q30" s="13">
        <f>SUMIF(Mercado_Receita!$T$2:$T$2102,"44774B2Energia convencionalRuralNão se aplicaNão se aplicaNão se aplicaNão se aplica",Mercado_Receita!$N$2:$N$2102)</f>
        <v>3799.665</v>
      </c>
      <c r="R30" s="13">
        <f>SUMIF(Mercado_Receita!$T$2:$T$2102,"44805B2Energia convencionalRuralNão se aplicaNão se aplicaNão se aplicaNão se aplica",Mercado_Receita!$N$2:$N$2102)</f>
        <v>3659.1919999999996</v>
      </c>
      <c r="S30" s="13">
        <f>SUMIF(Mercado_Receita!$T$2:$T$2102,"44835B2Energia convencionalRuralNão se aplicaNão se aplicaNão se aplicaNão se aplica",Mercado_Receita!$N$2:$N$2102)</f>
        <v>3720.2489999999998</v>
      </c>
      <c r="T30" s="13">
        <f>SUMIF(Mercado_Receita!$T$2:$T$2102,"44866B2Energia convencionalRuralNão se aplicaNão se aplicaNão se aplicaNão se aplica",Mercado_Receita!$N$2:$N$2102)</f>
        <v>3720.2489999999998</v>
      </c>
      <c r="U30" s="13">
        <f t="shared" si="0"/>
        <v>45841.400999999998</v>
      </c>
      <c r="V30" s="13"/>
      <c r="W30" s="13"/>
    </row>
    <row r="31" spans="1:23" ht="11.25" customHeight="1" x14ac:dyDescent="0.25">
      <c r="A31" s="93"/>
      <c r="B31" s="92" t="s">
        <v>81</v>
      </c>
      <c r="C31" s="92" t="s">
        <v>47</v>
      </c>
      <c r="D31" s="92" t="s">
        <v>101</v>
      </c>
      <c r="E31" s="92" t="s">
        <v>25</v>
      </c>
      <c r="F31" s="92" t="s">
        <v>25</v>
      </c>
      <c r="G31" s="13" t="s">
        <v>83</v>
      </c>
      <c r="H31" s="13" t="s">
        <v>82</v>
      </c>
      <c r="I31" s="13">
        <f>SUMIF(Mercado_Receita!$T$2:$T$2102,"44531B2Energia horáriaRuralCooperativa de eletrificação ruralNão se aplicaNão se aplicaPonta",Mercado_Receita!$N$2:$N$2102)</f>
        <v>0</v>
      </c>
      <c r="J31" s="13">
        <f>SUMIF(Mercado_Receita!$T$2:$T$2102,"44562B2Energia horáriaRuralCooperativa de eletrificação ruralNão se aplicaNão se aplicaPonta",Mercado_Receita!$N$2:$N$2102)</f>
        <v>0</v>
      </c>
      <c r="K31" s="13">
        <f>SUMIF(Mercado_Receita!$T$2:$T$2102,"44593B2Energia horáriaRuralCooperativa de eletrificação ruralNão se aplicaNão se aplicaPonta",Mercado_Receita!$N$2:$N$2102)</f>
        <v>0</v>
      </c>
      <c r="L31" s="13">
        <f>SUMIF(Mercado_Receita!$T$2:$T$2102,"44621B2Energia horáriaRuralCooperativa de eletrificação ruralNão se aplicaNão se aplicaPonta",Mercado_Receita!$N$2:$N$2102)</f>
        <v>0</v>
      </c>
      <c r="M31" s="13">
        <f>SUMIF(Mercado_Receita!$T$2:$T$2102,"44652B2Energia horáriaRuralCooperativa de eletrificação ruralNão se aplicaNão se aplicaPonta",Mercado_Receita!$N$2:$N$2102)</f>
        <v>0</v>
      </c>
      <c r="N31" s="13">
        <f>SUMIF(Mercado_Receita!$T$2:$T$2102,"44682B2Energia horáriaRuralCooperativa de eletrificação ruralNão se aplicaNão se aplicaPonta",Mercado_Receita!$N$2:$N$2102)</f>
        <v>0</v>
      </c>
      <c r="O31" s="13">
        <f>SUMIF(Mercado_Receita!$T$2:$T$2102,"44713B2Energia horáriaRuralCooperativa de eletrificação ruralNão se aplicaNão se aplicaPonta",Mercado_Receita!$N$2:$N$2102)</f>
        <v>0</v>
      </c>
      <c r="P31" s="13">
        <f>SUMIF(Mercado_Receita!$T$2:$T$2102,"44743B2Energia horáriaRuralCooperativa de eletrificação ruralNão se aplicaNão se aplicaPonta",Mercado_Receita!$N$2:$N$2102)</f>
        <v>0</v>
      </c>
      <c r="Q31" s="13">
        <f>SUMIF(Mercado_Receita!$T$2:$T$2102,"44774B2Energia horáriaRuralCooperativa de eletrificação ruralNão se aplicaNão se aplicaPonta",Mercado_Receita!$N$2:$N$2102)</f>
        <v>0</v>
      </c>
      <c r="R31" s="13">
        <f>SUMIF(Mercado_Receita!$T$2:$T$2102,"44805B2Energia horáriaRuralCooperativa de eletrificação ruralNão se aplicaNão se aplicaPonta",Mercado_Receita!$N$2:$N$2102)</f>
        <v>0</v>
      </c>
      <c r="S31" s="13">
        <f>SUMIF(Mercado_Receita!$T$2:$T$2102,"44835B2Energia horáriaRuralCooperativa de eletrificação ruralNão se aplicaNão se aplicaPonta",Mercado_Receita!$N$2:$N$2102)</f>
        <v>0</v>
      </c>
      <c r="T31" s="13">
        <f>SUMIF(Mercado_Receita!$T$2:$T$2102,"44866B2Energia horáriaRuralCooperativa de eletrificação ruralNão se aplicaNão se aplicaPonta",Mercado_Receita!$N$2:$N$2102)</f>
        <v>0</v>
      </c>
      <c r="U31" s="13">
        <f t="shared" si="0"/>
        <v>0</v>
      </c>
      <c r="V31" s="13"/>
      <c r="W31" s="13"/>
    </row>
    <row r="32" spans="1:23" ht="11.25" customHeight="1" x14ac:dyDescent="0.25">
      <c r="A32" s="93"/>
      <c r="B32" s="93"/>
      <c r="C32" s="93"/>
      <c r="D32" s="93"/>
      <c r="E32" s="93"/>
      <c r="F32" s="93"/>
      <c r="G32" s="13" t="s">
        <v>98</v>
      </c>
      <c r="H32" s="13" t="s">
        <v>82</v>
      </c>
      <c r="I32" s="13">
        <f>SUMIF(Mercado_Receita!$T$2:$T$2102,"44531B2Energia horáriaRuralCooperativa de eletrificação ruralNão se aplicaNão se aplicaIntermediário",Mercado_Receita!$N$2:$N$2102)</f>
        <v>0</v>
      </c>
      <c r="J32" s="13">
        <f>SUMIF(Mercado_Receita!$T$2:$T$2102,"44562B2Energia horáriaRuralCooperativa de eletrificação ruralNão se aplicaNão se aplicaIntermediário",Mercado_Receita!$N$2:$N$2102)</f>
        <v>0</v>
      </c>
      <c r="K32" s="13">
        <f>SUMIF(Mercado_Receita!$T$2:$T$2102,"44593B2Energia horáriaRuralCooperativa de eletrificação ruralNão se aplicaNão se aplicaIntermediário",Mercado_Receita!$N$2:$N$2102)</f>
        <v>0</v>
      </c>
      <c r="L32" s="13">
        <f>SUMIF(Mercado_Receita!$T$2:$T$2102,"44621B2Energia horáriaRuralCooperativa de eletrificação ruralNão se aplicaNão se aplicaIntermediário",Mercado_Receita!$N$2:$N$2102)</f>
        <v>0</v>
      </c>
      <c r="M32" s="13">
        <f>SUMIF(Mercado_Receita!$T$2:$T$2102,"44652B2Energia horáriaRuralCooperativa de eletrificação ruralNão se aplicaNão se aplicaIntermediário",Mercado_Receita!$N$2:$N$2102)</f>
        <v>0</v>
      </c>
      <c r="N32" s="13">
        <f>SUMIF(Mercado_Receita!$T$2:$T$2102,"44682B2Energia horáriaRuralCooperativa de eletrificação ruralNão se aplicaNão se aplicaIntermediário",Mercado_Receita!$N$2:$N$2102)</f>
        <v>0</v>
      </c>
      <c r="O32" s="13">
        <f>SUMIF(Mercado_Receita!$T$2:$T$2102,"44713B2Energia horáriaRuralCooperativa de eletrificação ruralNão se aplicaNão se aplicaIntermediário",Mercado_Receita!$N$2:$N$2102)</f>
        <v>0</v>
      </c>
      <c r="P32" s="13">
        <f>SUMIF(Mercado_Receita!$T$2:$T$2102,"44743B2Energia horáriaRuralCooperativa de eletrificação ruralNão se aplicaNão se aplicaIntermediário",Mercado_Receita!$N$2:$N$2102)</f>
        <v>0</v>
      </c>
      <c r="Q32" s="13">
        <f>SUMIF(Mercado_Receita!$T$2:$T$2102,"44774B2Energia horáriaRuralCooperativa de eletrificação ruralNão se aplicaNão se aplicaIntermediário",Mercado_Receita!$N$2:$N$2102)</f>
        <v>0</v>
      </c>
      <c r="R32" s="13">
        <f>SUMIF(Mercado_Receita!$T$2:$T$2102,"44805B2Energia horáriaRuralCooperativa de eletrificação ruralNão se aplicaNão se aplicaIntermediário",Mercado_Receita!$N$2:$N$2102)</f>
        <v>0</v>
      </c>
      <c r="S32" s="13">
        <f>SUMIF(Mercado_Receita!$T$2:$T$2102,"44835B2Energia horáriaRuralCooperativa de eletrificação ruralNão se aplicaNão se aplicaIntermediário",Mercado_Receita!$N$2:$N$2102)</f>
        <v>0</v>
      </c>
      <c r="T32" s="13">
        <f>SUMIF(Mercado_Receita!$T$2:$T$2102,"44866B2Energia horáriaRuralCooperativa de eletrificação ruralNão se aplicaNão se aplicaIntermediário",Mercado_Receita!$N$2:$N$2102)</f>
        <v>0</v>
      </c>
      <c r="U32" s="13">
        <f t="shared" si="0"/>
        <v>0</v>
      </c>
      <c r="V32" s="13"/>
      <c r="W32" s="13"/>
    </row>
    <row r="33" spans="1:23" ht="11.25" customHeight="1" x14ac:dyDescent="0.25">
      <c r="A33" s="93"/>
      <c r="B33" s="93"/>
      <c r="C33" s="93"/>
      <c r="D33" s="93"/>
      <c r="E33" s="93"/>
      <c r="F33" s="93"/>
      <c r="G33" s="13" t="s">
        <v>84</v>
      </c>
      <c r="H33" s="13" t="s">
        <v>82</v>
      </c>
      <c r="I33" s="13">
        <f>SUMIF(Mercado_Receita!$T$2:$T$2102,"44531B2Energia horáriaRuralCooperativa de eletrificação ruralNão se aplicaNão se aplicaFora ponta",Mercado_Receita!$N$2:$N$2102)</f>
        <v>0</v>
      </c>
      <c r="J33" s="13">
        <f>SUMIF(Mercado_Receita!$T$2:$T$2102,"44562B2Energia horáriaRuralCooperativa de eletrificação ruralNão se aplicaNão se aplicaFora ponta",Mercado_Receita!$N$2:$N$2102)</f>
        <v>0</v>
      </c>
      <c r="K33" s="13">
        <f>SUMIF(Mercado_Receita!$T$2:$T$2102,"44593B2Energia horáriaRuralCooperativa de eletrificação ruralNão se aplicaNão se aplicaFora ponta",Mercado_Receita!$N$2:$N$2102)</f>
        <v>0</v>
      </c>
      <c r="L33" s="13">
        <f>SUMIF(Mercado_Receita!$T$2:$T$2102,"44621B2Energia horáriaRuralCooperativa de eletrificação ruralNão se aplicaNão se aplicaFora ponta",Mercado_Receita!$N$2:$N$2102)</f>
        <v>0</v>
      </c>
      <c r="M33" s="13">
        <f>SUMIF(Mercado_Receita!$T$2:$T$2102,"44652B2Energia horáriaRuralCooperativa de eletrificação ruralNão se aplicaNão se aplicaFora ponta",Mercado_Receita!$N$2:$N$2102)</f>
        <v>0</v>
      </c>
      <c r="N33" s="13">
        <f>SUMIF(Mercado_Receita!$T$2:$T$2102,"44682B2Energia horáriaRuralCooperativa de eletrificação ruralNão se aplicaNão se aplicaFora ponta",Mercado_Receita!$N$2:$N$2102)</f>
        <v>0</v>
      </c>
      <c r="O33" s="13">
        <f>SUMIF(Mercado_Receita!$T$2:$T$2102,"44713B2Energia horáriaRuralCooperativa de eletrificação ruralNão se aplicaNão se aplicaFora ponta",Mercado_Receita!$N$2:$N$2102)</f>
        <v>0</v>
      </c>
      <c r="P33" s="13">
        <f>SUMIF(Mercado_Receita!$T$2:$T$2102,"44743B2Energia horáriaRuralCooperativa de eletrificação ruralNão se aplicaNão se aplicaFora ponta",Mercado_Receita!$N$2:$N$2102)</f>
        <v>0</v>
      </c>
      <c r="Q33" s="13">
        <f>SUMIF(Mercado_Receita!$T$2:$T$2102,"44774B2Energia horáriaRuralCooperativa de eletrificação ruralNão se aplicaNão se aplicaFora ponta",Mercado_Receita!$N$2:$N$2102)</f>
        <v>0</v>
      </c>
      <c r="R33" s="13">
        <f>SUMIF(Mercado_Receita!$T$2:$T$2102,"44805B2Energia horáriaRuralCooperativa de eletrificação ruralNão se aplicaNão se aplicaFora ponta",Mercado_Receita!$N$2:$N$2102)</f>
        <v>0</v>
      </c>
      <c r="S33" s="13">
        <f>SUMIF(Mercado_Receita!$T$2:$T$2102,"44835B2Energia horáriaRuralCooperativa de eletrificação ruralNão se aplicaNão se aplicaFora ponta",Mercado_Receita!$N$2:$N$2102)</f>
        <v>0</v>
      </c>
      <c r="T33" s="13">
        <f>SUMIF(Mercado_Receita!$T$2:$T$2102,"44866B2Energia horáriaRuralCooperativa de eletrificação ruralNão se aplicaNão se aplicaFora ponta",Mercado_Receita!$N$2:$N$2102)</f>
        <v>0</v>
      </c>
      <c r="U33" s="13">
        <f t="shared" si="0"/>
        <v>0</v>
      </c>
      <c r="V33" s="13"/>
      <c r="W33" s="13"/>
    </row>
    <row r="34" spans="1:23" ht="11.25" customHeight="1" x14ac:dyDescent="0.25">
      <c r="A34" s="93"/>
      <c r="B34" s="12" t="s">
        <v>90</v>
      </c>
      <c r="C34" s="12" t="s">
        <v>47</v>
      </c>
      <c r="D34" s="12" t="s">
        <v>101</v>
      </c>
      <c r="E34" s="12" t="s">
        <v>25</v>
      </c>
      <c r="F34" s="12" t="s">
        <v>25</v>
      </c>
      <c r="G34" s="13" t="s">
        <v>88</v>
      </c>
      <c r="H34" s="13" t="s">
        <v>82</v>
      </c>
      <c r="I34" s="13">
        <f>SUMIF(Mercado_Receita!$T$2:$T$2102,"44531B2Energia convencionalRuralCooperativa de eletrificação ruralNão se aplicaNão se aplicaNão se aplica",Mercado_Receita!$N$2:$N$2102)</f>
        <v>0</v>
      </c>
      <c r="J34" s="13">
        <f>SUMIF(Mercado_Receita!$T$2:$T$2102,"44562B2Energia convencionalRuralCooperativa de eletrificação ruralNão se aplicaNão se aplicaNão se aplica",Mercado_Receita!$N$2:$N$2102)</f>
        <v>0</v>
      </c>
      <c r="K34" s="13">
        <f>SUMIF(Mercado_Receita!$T$2:$T$2102,"44593B2Energia convencionalRuralCooperativa de eletrificação ruralNão se aplicaNão se aplicaNão se aplica",Mercado_Receita!$N$2:$N$2102)</f>
        <v>0</v>
      </c>
      <c r="L34" s="13">
        <f>SUMIF(Mercado_Receita!$T$2:$T$2102,"44621B2Energia convencionalRuralCooperativa de eletrificação ruralNão se aplicaNão se aplicaNão se aplica",Mercado_Receita!$N$2:$N$2102)</f>
        <v>0</v>
      </c>
      <c r="M34" s="13">
        <f>SUMIF(Mercado_Receita!$T$2:$T$2102,"44652B2Energia convencionalRuralCooperativa de eletrificação ruralNão se aplicaNão se aplicaNão se aplica",Mercado_Receita!$N$2:$N$2102)</f>
        <v>0</v>
      </c>
      <c r="N34" s="13">
        <f>SUMIF(Mercado_Receita!$T$2:$T$2102,"44682B2Energia convencionalRuralCooperativa de eletrificação ruralNão se aplicaNão se aplicaNão se aplica",Mercado_Receita!$N$2:$N$2102)</f>
        <v>0</v>
      </c>
      <c r="O34" s="13">
        <f>SUMIF(Mercado_Receita!$T$2:$T$2102,"44713B2Energia convencionalRuralCooperativa de eletrificação ruralNão se aplicaNão se aplicaNão se aplica",Mercado_Receita!$N$2:$N$2102)</f>
        <v>0</v>
      </c>
      <c r="P34" s="13">
        <f>SUMIF(Mercado_Receita!$T$2:$T$2102,"44743B2Energia convencionalRuralCooperativa de eletrificação ruralNão se aplicaNão se aplicaNão se aplica",Mercado_Receita!$N$2:$N$2102)</f>
        <v>0</v>
      </c>
      <c r="Q34" s="13">
        <f>SUMIF(Mercado_Receita!$T$2:$T$2102,"44774B2Energia convencionalRuralCooperativa de eletrificação ruralNão se aplicaNão se aplicaNão se aplica",Mercado_Receita!$N$2:$N$2102)</f>
        <v>0</v>
      </c>
      <c r="R34" s="13">
        <f>SUMIF(Mercado_Receita!$T$2:$T$2102,"44805B2Energia convencionalRuralCooperativa de eletrificação ruralNão se aplicaNão se aplicaNão se aplica",Mercado_Receita!$N$2:$N$2102)</f>
        <v>0</v>
      </c>
      <c r="S34" s="13">
        <f>SUMIF(Mercado_Receita!$T$2:$T$2102,"44835B2Energia convencionalRuralCooperativa de eletrificação ruralNão se aplicaNão se aplicaNão se aplica",Mercado_Receita!$N$2:$N$2102)</f>
        <v>0</v>
      </c>
      <c r="T34" s="13">
        <f>SUMIF(Mercado_Receita!$T$2:$T$2102,"44866B2Energia convencionalRuralCooperativa de eletrificação ruralNão se aplicaNão se aplicaNão se aplica",Mercado_Receita!$N$2:$N$2102)</f>
        <v>0</v>
      </c>
      <c r="U34" s="13">
        <f t="shared" si="0"/>
        <v>0</v>
      </c>
      <c r="V34" s="13"/>
      <c r="W34" s="13"/>
    </row>
    <row r="35" spans="1:23" ht="11.25" customHeight="1" x14ac:dyDescent="0.25">
      <c r="A35" s="93"/>
      <c r="B35" s="92" t="s">
        <v>81</v>
      </c>
      <c r="C35" s="92" t="s">
        <v>47</v>
      </c>
      <c r="D35" s="92" t="s">
        <v>102</v>
      </c>
      <c r="E35" s="92" t="s">
        <v>25</v>
      </c>
      <c r="F35" s="92" t="s">
        <v>25</v>
      </c>
      <c r="G35" s="13" t="s">
        <v>83</v>
      </c>
      <c r="H35" s="13" t="s">
        <v>82</v>
      </c>
      <c r="I35" s="13">
        <f>SUMIF(Mercado_Receita!$T$2:$T$2102,"44531B2Energia horáriaRuralServiço público de irrigação ruralNão se aplicaNão se aplicaPonta",Mercado_Receita!$N$2:$N$2102)</f>
        <v>0</v>
      </c>
      <c r="J35" s="13">
        <f>SUMIF(Mercado_Receita!$T$2:$T$2102,"44562B2Energia horáriaRuralServiço público de irrigação ruralNão se aplicaNão se aplicaPonta",Mercado_Receita!$N$2:$N$2102)</f>
        <v>0</v>
      </c>
      <c r="K35" s="13">
        <f>SUMIF(Mercado_Receita!$T$2:$T$2102,"44593B2Energia horáriaRuralServiço público de irrigação ruralNão se aplicaNão se aplicaPonta",Mercado_Receita!$N$2:$N$2102)</f>
        <v>0</v>
      </c>
      <c r="L35" s="13">
        <f>SUMIF(Mercado_Receita!$T$2:$T$2102,"44621B2Energia horáriaRuralServiço público de irrigação ruralNão se aplicaNão se aplicaPonta",Mercado_Receita!$N$2:$N$2102)</f>
        <v>0</v>
      </c>
      <c r="M35" s="13">
        <f>SUMIF(Mercado_Receita!$T$2:$T$2102,"44652B2Energia horáriaRuralServiço público de irrigação ruralNão se aplicaNão se aplicaPonta",Mercado_Receita!$N$2:$N$2102)</f>
        <v>0</v>
      </c>
      <c r="N35" s="13">
        <f>SUMIF(Mercado_Receita!$T$2:$T$2102,"44682B2Energia horáriaRuralServiço público de irrigação ruralNão se aplicaNão se aplicaPonta",Mercado_Receita!$N$2:$N$2102)</f>
        <v>0</v>
      </c>
      <c r="O35" s="13">
        <f>SUMIF(Mercado_Receita!$T$2:$T$2102,"44713B2Energia horáriaRuralServiço público de irrigação ruralNão se aplicaNão se aplicaPonta",Mercado_Receita!$N$2:$N$2102)</f>
        <v>0</v>
      </c>
      <c r="P35" s="13">
        <f>SUMIF(Mercado_Receita!$T$2:$T$2102,"44743B2Energia horáriaRuralServiço público de irrigação ruralNão se aplicaNão se aplicaPonta",Mercado_Receita!$N$2:$N$2102)</f>
        <v>0</v>
      </c>
      <c r="Q35" s="13">
        <f>SUMIF(Mercado_Receita!$T$2:$T$2102,"44774B2Energia horáriaRuralServiço público de irrigação ruralNão se aplicaNão se aplicaPonta",Mercado_Receita!$N$2:$N$2102)</f>
        <v>0</v>
      </c>
      <c r="R35" s="13">
        <f>SUMIF(Mercado_Receita!$T$2:$T$2102,"44805B2Energia horáriaRuralServiço público de irrigação ruralNão se aplicaNão se aplicaPonta",Mercado_Receita!$N$2:$N$2102)</f>
        <v>0</v>
      </c>
      <c r="S35" s="13">
        <f>SUMIF(Mercado_Receita!$T$2:$T$2102,"44835B2Energia horáriaRuralServiço público de irrigação ruralNão se aplicaNão se aplicaPonta",Mercado_Receita!$N$2:$N$2102)</f>
        <v>0</v>
      </c>
      <c r="T35" s="13">
        <f>SUMIF(Mercado_Receita!$T$2:$T$2102,"44866B2Energia horáriaRuralServiço público de irrigação ruralNão se aplicaNão se aplicaPonta",Mercado_Receita!$N$2:$N$2102)</f>
        <v>0</v>
      </c>
      <c r="U35" s="13">
        <f t="shared" si="0"/>
        <v>0</v>
      </c>
      <c r="V35" s="13"/>
      <c r="W35" s="13"/>
    </row>
    <row r="36" spans="1:23" ht="11.25" customHeight="1" x14ac:dyDescent="0.25">
      <c r="A36" s="93"/>
      <c r="B36" s="93"/>
      <c r="C36" s="93"/>
      <c r="D36" s="93"/>
      <c r="E36" s="93"/>
      <c r="F36" s="93"/>
      <c r="G36" s="13" t="s">
        <v>98</v>
      </c>
      <c r="H36" s="13" t="s">
        <v>82</v>
      </c>
      <c r="I36" s="13">
        <f>SUMIF(Mercado_Receita!$T$2:$T$2102,"44531B2Energia horáriaRuralServiço público de irrigação ruralNão se aplicaNão se aplicaIntermediário",Mercado_Receita!$N$2:$N$2102)</f>
        <v>0</v>
      </c>
      <c r="J36" s="13">
        <f>SUMIF(Mercado_Receita!$T$2:$T$2102,"44562B2Energia horáriaRuralServiço público de irrigação ruralNão se aplicaNão se aplicaIntermediário",Mercado_Receita!$N$2:$N$2102)</f>
        <v>0</v>
      </c>
      <c r="K36" s="13">
        <f>SUMIF(Mercado_Receita!$T$2:$T$2102,"44593B2Energia horáriaRuralServiço público de irrigação ruralNão se aplicaNão se aplicaIntermediário",Mercado_Receita!$N$2:$N$2102)</f>
        <v>0</v>
      </c>
      <c r="L36" s="13">
        <f>SUMIF(Mercado_Receita!$T$2:$T$2102,"44621B2Energia horáriaRuralServiço público de irrigação ruralNão se aplicaNão se aplicaIntermediário",Mercado_Receita!$N$2:$N$2102)</f>
        <v>0</v>
      </c>
      <c r="M36" s="13">
        <f>SUMIF(Mercado_Receita!$T$2:$T$2102,"44652B2Energia horáriaRuralServiço público de irrigação ruralNão se aplicaNão se aplicaIntermediário",Mercado_Receita!$N$2:$N$2102)</f>
        <v>0</v>
      </c>
      <c r="N36" s="13">
        <f>SUMIF(Mercado_Receita!$T$2:$T$2102,"44682B2Energia horáriaRuralServiço público de irrigação ruralNão se aplicaNão se aplicaIntermediário",Mercado_Receita!$N$2:$N$2102)</f>
        <v>0</v>
      </c>
      <c r="O36" s="13">
        <f>SUMIF(Mercado_Receita!$T$2:$T$2102,"44713B2Energia horáriaRuralServiço público de irrigação ruralNão se aplicaNão se aplicaIntermediário",Mercado_Receita!$N$2:$N$2102)</f>
        <v>0</v>
      </c>
      <c r="P36" s="13">
        <f>SUMIF(Mercado_Receita!$T$2:$T$2102,"44743B2Energia horáriaRuralServiço público de irrigação ruralNão se aplicaNão se aplicaIntermediário",Mercado_Receita!$N$2:$N$2102)</f>
        <v>0</v>
      </c>
      <c r="Q36" s="13">
        <f>SUMIF(Mercado_Receita!$T$2:$T$2102,"44774B2Energia horáriaRuralServiço público de irrigação ruralNão se aplicaNão se aplicaIntermediário",Mercado_Receita!$N$2:$N$2102)</f>
        <v>0</v>
      </c>
      <c r="R36" s="13">
        <f>SUMIF(Mercado_Receita!$T$2:$T$2102,"44805B2Energia horáriaRuralServiço público de irrigação ruralNão se aplicaNão se aplicaIntermediário",Mercado_Receita!$N$2:$N$2102)</f>
        <v>0</v>
      </c>
      <c r="S36" s="13">
        <f>SUMIF(Mercado_Receita!$T$2:$T$2102,"44835B2Energia horáriaRuralServiço público de irrigação ruralNão se aplicaNão se aplicaIntermediário",Mercado_Receita!$N$2:$N$2102)</f>
        <v>0</v>
      </c>
      <c r="T36" s="13">
        <f>SUMIF(Mercado_Receita!$T$2:$T$2102,"44866B2Energia horáriaRuralServiço público de irrigação ruralNão se aplicaNão se aplicaIntermediário",Mercado_Receita!$N$2:$N$2102)</f>
        <v>0</v>
      </c>
      <c r="U36" s="13">
        <f t="shared" si="0"/>
        <v>0</v>
      </c>
      <c r="V36" s="13"/>
      <c r="W36" s="13"/>
    </row>
    <row r="37" spans="1:23" ht="11.25" customHeight="1" x14ac:dyDescent="0.25">
      <c r="A37" s="93"/>
      <c r="B37" s="93"/>
      <c r="C37" s="93"/>
      <c r="D37" s="93"/>
      <c r="E37" s="93"/>
      <c r="F37" s="93"/>
      <c r="G37" s="13" t="s">
        <v>84</v>
      </c>
      <c r="H37" s="13" t="s">
        <v>82</v>
      </c>
      <c r="I37" s="13">
        <f>SUMIF(Mercado_Receita!$T$2:$T$2102,"44531B2Energia horáriaRuralServiço público de irrigação ruralNão se aplicaNão se aplicaFora ponta",Mercado_Receita!$N$2:$N$2102)</f>
        <v>0</v>
      </c>
      <c r="J37" s="13">
        <f>SUMIF(Mercado_Receita!$T$2:$T$2102,"44562B2Energia horáriaRuralServiço público de irrigação ruralNão se aplicaNão se aplicaFora ponta",Mercado_Receita!$N$2:$N$2102)</f>
        <v>0</v>
      </c>
      <c r="K37" s="13">
        <f>SUMIF(Mercado_Receita!$T$2:$T$2102,"44593B2Energia horáriaRuralServiço público de irrigação ruralNão se aplicaNão se aplicaFora ponta",Mercado_Receita!$N$2:$N$2102)</f>
        <v>0</v>
      </c>
      <c r="L37" s="13">
        <f>SUMIF(Mercado_Receita!$T$2:$T$2102,"44621B2Energia horáriaRuralServiço público de irrigação ruralNão se aplicaNão se aplicaFora ponta",Mercado_Receita!$N$2:$N$2102)</f>
        <v>0</v>
      </c>
      <c r="M37" s="13">
        <f>SUMIF(Mercado_Receita!$T$2:$T$2102,"44652B2Energia horáriaRuralServiço público de irrigação ruralNão se aplicaNão se aplicaFora ponta",Mercado_Receita!$N$2:$N$2102)</f>
        <v>0</v>
      </c>
      <c r="N37" s="13">
        <f>SUMIF(Mercado_Receita!$T$2:$T$2102,"44682B2Energia horáriaRuralServiço público de irrigação ruralNão se aplicaNão se aplicaFora ponta",Mercado_Receita!$N$2:$N$2102)</f>
        <v>0</v>
      </c>
      <c r="O37" s="13">
        <f>SUMIF(Mercado_Receita!$T$2:$T$2102,"44713B2Energia horáriaRuralServiço público de irrigação ruralNão se aplicaNão se aplicaFora ponta",Mercado_Receita!$N$2:$N$2102)</f>
        <v>0</v>
      </c>
      <c r="P37" s="13">
        <f>SUMIF(Mercado_Receita!$T$2:$T$2102,"44743B2Energia horáriaRuralServiço público de irrigação ruralNão se aplicaNão se aplicaFora ponta",Mercado_Receita!$N$2:$N$2102)</f>
        <v>0</v>
      </c>
      <c r="Q37" s="13">
        <f>SUMIF(Mercado_Receita!$T$2:$T$2102,"44774B2Energia horáriaRuralServiço público de irrigação ruralNão se aplicaNão se aplicaFora ponta",Mercado_Receita!$N$2:$N$2102)</f>
        <v>0</v>
      </c>
      <c r="R37" s="13">
        <f>SUMIF(Mercado_Receita!$T$2:$T$2102,"44805B2Energia horáriaRuralServiço público de irrigação ruralNão se aplicaNão se aplicaFora ponta",Mercado_Receita!$N$2:$N$2102)</f>
        <v>0</v>
      </c>
      <c r="S37" s="13">
        <f>SUMIF(Mercado_Receita!$T$2:$T$2102,"44835B2Energia horáriaRuralServiço público de irrigação ruralNão se aplicaNão se aplicaFora ponta",Mercado_Receita!$N$2:$N$2102)</f>
        <v>0</v>
      </c>
      <c r="T37" s="13">
        <f>SUMIF(Mercado_Receita!$T$2:$T$2102,"44866B2Energia horáriaRuralServiço público de irrigação ruralNão se aplicaNão se aplicaFora ponta",Mercado_Receita!$N$2:$N$2102)</f>
        <v>0</v>
      </c>
      <c r="U37" s="13">
        <f t="shared" si="0"/>
        <v>0</v>
      </c>
      <c r="V37" s="13"/>
      <c r="W37" s="13"/>
    </row>
    <row r="38" spans="1:23" ht="11.25" customHeight="1" x14ac:dyDescent="0.25">
      <c r="A38" s="93"/>
      <c r="B38" s="12" t="s">
        <v>90</v>
      </c>
      <c r="C38" s="12" t="s">
        <v>47</v>
      </c>
      <c r="D38" s="12" t="s">
        <v>102</v>
      </c>
      <c r="E38" s="12" t="s">
        <v>25</v>
      </c>
      <c r="F38" s="12" t="s">
        <v>25</v>
      </c>
      <c r="G38" s="13" t="s">
        <v>88</v>
      </c>
      <c r="H38" s="13" t="s">
        <v>82</v>
      </c>
      <c r="I38" s="13">
        <f>SUMIF(Mercado_Receita!$T$2:$T$2102,"44531B2Energia convencionalRuralServiço público de irrigação ruralNão se aplicaNão se aplicaNão se aplica",Mercado_Receita!$N$2:$N$2102)</f>
        <v>0</v>
      </c>
      <c r="J38" s="13">
        <f>SUMIF(Mercado_Receita!$T$2:$T$2102,"44562B2Energia convencionalRuralServiço público de irrigação ruralNão se aplicaNão se aplicaNão se aplica",Mercado_Receita!$N$2:$N$2102)</f>
        <v>0</v>
      </c>
      <c r="K38" s="13">
        <f>SUMIF(Mercado_Receita!$T$2:$T$2102,"44593B2Energia convencionalRuralServiço público de irrigação ruralNão se aplicaNão se aplicaNão se aplica",Mercado_Receita!$N$2:$N$2102)</f>
        <v>0</v>
      </c>
      <c r="L38" s="13">
        <f>SUMIF(Mercado_Receita!$T$2:$T$2102,"44621B2Energia convencionalRuralServiço público de irrigação ruralNão se aplicaNão se aplicaNão se aplica",Mercado_Receita!$N$2:$N$2102)</f>
        <v>0</v>
      </c>
      <c r="M38" s="13">
        <f>SUMIF(Mercado_Receita!$T$2:$T$2102,"44652B2Energia convencionalRuralServiço público de irrigação ruralNão se aplicaNão se aplicaNão se aplica",Mercado_Receita!$N$2:$N$2102)</f>
        <v>0</v>
      </c>
      <c r="N38" s="13">
        <f>SUMIF(Mercado_Receita!$T$2:$T$2102,"44682B2Energia convencionalRuralServiço público de irrigação ruralNão se aplicaNão se aplicaNão se aplica",Mercado_Receita!$N$2:$N$2102)</f>
        <v>0</v>
      </c>
      <c r="O38" s="13">
        <f>SUMIF(Mercado_Receita!$T$2:$T$2102,"44713B2Energia convencionalRuralServiço público de irrigação ruralNão se aplicaNão se aplicaNão se aplica",Mercado_Receita!$N$2:$N$2102)</f>
        <v>0</v>
      </c>
      <c r="P38" s="13">
        <f>SUMIF(Mercado_Receita!$T$2:$T$2102,"44743B2Energia convencionalRuralServiço público de irrigação ruralNão se aplicaNão se aplicaNão se aplica",Mercado_Receita!$N$2:$N$2102)</f>
        <v>0</v>
      </c>
      <c r="Q38" s="13">
        <f>SUMIF(Mercado_Receita!$T$2:$T$2102,"44774B2Energia convencionalRuralServiço público de irrigação ruralNão se aplicaNão se aplicaNão se aplica",Mercado_Receita!$N$2:$N$2102)</f>
        <v>0</v>
      </c>
      <c r="R38" s="13">
        <f>SUMIF(Mercado_Receita!$T$2:$T$2102,"44805B2Energia convencionalRuralServiço público de irrigação ruralNão se aplicaNão se aplicaNão se aplica",Mercado_Receita!$N$2:$N$2102)</f>
        <v>0</v>
      </c>
      <c r="S38" s="13">
        <f>SUMIF(Mercado_Receita!$T$2:$T$2102,"44835B2Energia convencionalRuralServiço público de irrigação ruralNão se aplicaNão se aplicaNão se aplica",Mercado_Receita!$N$2:$N$2102)</f>
        <v>0</v>
      </c>
      <c r="T38" s="13">
        <f>SUMIF(Mercado_Receita!$T$2:$T$2102,"44866B2Energia convencionalRuralServiço público de irrigação ruralNão se aplicaNão se aplicaNão se aplica",Mercado_Receita!$N$2:$N$2102)</f>
        <v>0</v>
      </c>
      <c r="U38" s="13">
        <f t="shared" si="0"/>
        <v>0</v>
      </c>
      <c r="V38" s="13"/>
      <c r="W38" s="13"/>
    </row>
    <row r="39" spans="1:23" ht="11.25" customHeight="1" x14ac:dyDescent="0.25">
      <c r="A39" s="93"/>
      <c r="B39" s="92" t="s">
        <v>99</v>
      </c>
      <c r="C39" s="92" t="s">
        <v>47</v>
      </c>
      <c r="D39" s="12" t="s">
        <v>25</v>
      </c>
      <c r="E39" s="12" t="s">
        <v>25</v>
      </c>
      <c r="F39" s="12" t="s">
        <v>25</v>
      </c>
      <c r="G39" s="13" t="s">
        <v>88</v>
      </c>
      <c r="H39" s="13" t="s">
        <v>82</v>
      </c>
      <c r="I39" s="13">
        <f>SUMIF(Mercado_Receita!$T$2:$T$2102,"44531B2Energia convencional pré-pagamentoRuralNão se aplicaNão se aplicaNão se aplicaNão se aplica",Mercado_Receita!$N$2:$N$2102)</f>
        <v>0</v>
      </c>
      <c r="J39" s="13">
        <f>SUMIF(Mercado_Receita!$T$2:$T$2102,"44562B2Energia convencional pré-pagamentoRuralNão se aplicaNão se aplicaNão se aplicaNão se aplica",Mercado_Receita!$N$2:$N$2102)</f>
        <v>0</v>
      </c>
      <c r="K39" s="13">
        <f>SUMIF(Mercado_Receita!$T$2:$T$2102,"44593B2Energia convencional pré-pagamentoRuralNão se aplicaNão se aplicaNão se aplicaNão se aplica",Mercado_Receita!$N$2:$N$2102)</f>
        <v>0</v>
      </c>
      <c r="L39" s="13">
        <f>SUMIF(Mercado_Receita!$T$2:$T$2102,"44621B2Energia convencional pré-pagamentoRuralNão se aplicaNão se aplicaNão se aplicaNão se aplica",Mercado_Receita!$N$2:$N$2102)</f>
        <v>0</v>
      </c>
      <c r="M39" s="13">
        <f>SUMIF(Mercado_Receita!$T$2:$T$2102,"44652B2Energia convencional pré-pagamentoRuralNão se aplicaNão se aplicaNão se aplicaNão se aplica",Mercado_Receita!$N$2:$N$2102)</f>
        <v>0</v>
      </c>
      <c r="N39" s="13">
        <f>SUMIF(Mercado_Receita!$T$2:$T$2102,"44682B2Energia convencional pré-pagamentoRuralNão se aplicaNão se aplicaNão se aplicaNão se aplica",Mercado_Receita!$N$2:$N$2102)</f>
        <v>0</v>
      </c>
      <c r="O39" s="13">
        <f>SUMIF(Mercado_Receita!$T$2:$T$2102,"44713B2Energia convencional pré-pagamentoRuralNão se aplicaNão se aplicaNão se aplicaNão se aplica",Mercado_Receita!$N$2:$N$2102)</f>
        <v>0</v>
      </c>
      <c r="P39" s="13">
        <f>SUMIF(Mercado_Receita!$T$2:$T$2102,"44743B2Energia convencional pré-pagamentoRuralNão se aplicaNão se aplicaNão se aplicaNão se aplica",Mercado_Receita!$N$2:$N$2102)</f>
        <v>0</v>
      </c>
      <c r="Q39" s="13">
        <f>SUMIF(Mercado_Receita!$T$2:$T$2102,"44774B2Energia convencional pré-pagamentoRuralNão se aplicaNão se aplicaNão se aplicaNão se aplica",Mercado_Receita!$N$2:$N$2102)</f>
        <v>0</v>
      </c>
      <c r="R39" s="13">
        <f>SUMIF(Mercado_Receita!$T$2:$T$2102,"44805B2Energia convencional pré-pagamentoRuralNão se aplicaNão se aplicaNão se aplicaNão se aplica",Mercado_Receita!$N$2:$N$2102)</f>
        <v>0</v>
      </c>
      <c r="S39" s="13">
        <f>SUMIF(Mercado_Receita!$T$2:$T$2102,"44835B2Energia convencional pré-pagamentoRuralNão se aplicaNão se aplicaNão se aplicaNão se aplica",Mercado_Receita!$N$2:$N$2102)</f>
        <v>0</v>
      </c>
      <c r="T39" s="13">
        <f>SUMIF(Mercado_Receita!$T$2:$T$2102,"44866B2Energia convencional pré-pagamentoRuralNão se aplicaNão se aplicaNão se aplicaNão se aplica",Mercado_Receita!$N$2:$N$2102)</f>
        <v>0</v>
      </c>
      <c r="U39" s="13">
        <f t="shared" si="0"/>
        <v>0</v>
      </c>
      <c r="V39" s="13"/>
      <c r="W39" s="13"/>
    </row>
    <row r="40" spans="1:23" ht="11.25" customHeight="1" x14ac:dyDescent="0.25">
      <c r="A40" s="93"/>
      <c r="B40" s="93"/>
      <c r="C40" s="93"/>
      <c r="D40" s="12" t="s">
        <v>101</v>
      </c>
      <c r="E40" s="12" t="s">
        <v>25</v>
      </c>
      <c r="F40" s="12" t="s">
        <v>25</v>
      </c>
      <c r="G40" s="13" t="s">
        <v>88</v>
      </c>
      <c r="H40" s="13" t="s">
        <v>82</v>
      </c>
      <c r="I40" s="13">
        <f>SUMIF(Mercado_Receita!$T$2:$T$2102,"44531B2Energia convencional pré-pagamentoRuralCooperativa de eletrificação ruralNão se aplicaNão se aplicaNão se aplica",Mercado_Receita!$N$2:$N$2102)</f>
        <v>0</v>
      </c>
      <c r="J40" s="13">
        <f>SUMIF(Mercado_Receita!$T$2:$T$2102,"44562B2Energia convencional pré-pagamentoRuralCooperativa de eletrificação ruralNão se aplicaNão se aplicaNão se aplica",Mercado_Receita!$N$2:$N$2102)</f>
        <v>0</v>
      </c>
      <c r="K40" s="13">
        <f>SUMIF(Mercado_Receita!$T$2:$T$2102,"44593B2Energia convencional pré-pagamentoRuralCooperativa de eletrificação ruralNão se aplicaNão se aplicaNão se aplica",Mercado_Receita!$N$2:$N$2102)</f>
        <v>0</v>
      </c>
      <c r="L40" s="13">
        <f>SUMIF(Mercado_Receita!$T$2:$T$2102,"44621B2Energia convencional pré-pagamentoRuralCooperativa de eletrificação ruralNão se aplicaNão se aplicaNão se aplica",Mercado_Receita!$N$2:$N$2102)</f>
        <v>0</v>
      </c>
      <c r="M40" s="13">
        <f>SUMIF(Mercado_Receita!$T$2:$T$2102,"44652B2Energia convencional pré-pagamentoRuralCooperativa de eletrificação ruralNão se aplicaNão se aplicaNão se aplica",Mercado_Receita!$N$2:$N$2102)</f>
        <v>0</v>
      </c>
      <c r="N40" s="13">
        <f>SUMIF(Mercado_Receita!$T$2:$T$2102,"44682B2Energia convencional pré-pagamentoRuralCooperativa de eletrificação ruralNão se aplicaNão se aplicaNão se aplica",Mercado_Receita!$N$2:$N$2102)</f>
        <v>0</v>
      </c>
      <c r="O40" s="13">
        <f>SUMIF(Mercado_Receita!$T$2:$T$2102,"44713B2Energia convencional pré-pagamentoRuralCooperativa de eletrificação ruralNão se aplicaNão se aplicaNão se aplica",Mercado_Receita!$N$2:$N$2102)</f>
        <v>0</v>
      </c>
      <c r="P40" s="13">
        <f>SUMIF(Mercado_Receita!$T$2:$T$2102,"44743B2Energia convencional pré-pagamentoRuralCooperativa de eletrificação ruralNão se aplicaNão se aplicaNão se aplica",Mercado_Receita!$N$2:$N$2102)</f>
        <v>0</v>
      </c>
      <c r="Q40" s="13">
        <f>SUMIF(Mercado_Receita!$T$2:$T$2102,"44774B2Energia convencional pré-pagamentoRuralCooperativa de eletrificação ruralNão se aplicaNão se aplicaNão se aplica",Mercado_Receita!$N$2:$N$2102)</f>
        <v>0</v>
      </c>
      <c r="R40" s="13">
        <f>SUMIF(Mercado_Receita!$T$2:$T$2102,"44805B2Energia convencional pré-pagamentoRuralCooperativa de eletrificação ruralNão se aplicaNão se aplicaNão se aplica",Mercado_Receita!$N$2:$N$2102)</f>
        <v>0</v>
      </c>
      <c r="S40" s="13">
        <f>SUMIF(Mercado_Receita!$T$2:$T$2102,"44835B2Energia convencional pré-pagamentoRuralCooperativa de eletrificação ruralNão se aplicaNão se aplicaNão se aplica",Mercado_Receita!$N$2:$N$2102)</f>
        <v>0</v>
      </c>
      <c r="T40" s="13">
        <f>SUMIF(Mercado_Receita!$T$2:$T$2102,"44866B2Energia convencional pré-pagamentoRuralCooperativa de eletrificação ruralNão se aplicaNão se aplicaNão se aplica",Mercado_Receita!$N$2:$N$2102)</f>
        <v>0</v>
      </c>
      <c r="U40" s="13">
        <f t="shared" si="0"/>
        <v>0</v>
      </c>
      <c r="V40" s="13"/>
      <c r="W40" s="13"/>
    </row>
    <row r="41" spans="1:23" ht="11.25" customHeight="1" x14ac:dyDescent="0.25">
      <c r="A41" s="93"/>
      <c r="B41" s="93"/>
      <c r="C41" s="93"/>
      <c r="D41" s="12" t="s">
        <v>102</v>
      </c>
      <c r="E41" s="12" t="s">
        <v>25</v>
      </c>
      <c r="F41" s="12" t="s">
        <v>25</v>
      </c>
      <c r="G41" s="13" t="s">
        <v>88</v>
      </c>
      <c r="H41" s="13" t="s">
        <v>82</v>
      </c>
      <c r="I41" s="13">
        <f>SUMIF(Mercado_Receita!$T$2:$T$2102,"44531B2Energia convencional pré-pagamentoRuralServiço público de irrigação ruralNão se aplicaNão se aplicaNão se aplica",Mercado_Receita!$N$2:$N$2102)</f>
        <v>0</v>
      </c>
      <c r="J41" s="13">
        <f>SUMIF(Mercado_Receita!$T$2:$T$2102,"44562B2Energia convencional pré-pagamentoRuralServiço público de irrigação ruralNão se aplicaNão se aplicaNão se aplica",Mercado_Receita!$N$2:$N$2102)</f>
        <v>0</v>
      </c>
      <c r="K41" s="13">
        <f>SUMIF(Mercado_Receita!$T$2:$T$2102,"44593B2Energia convencional pré-pagamentoRuralServiço público de irrigação ruralNão se aplicaNão se aplicaNão se aplica",Mercado_Receita!$N$2:$N$2102)</f>
        <v>0</v>
      </c>
      <c r="L41" s="13">
        <f>SUMIF(Mercado_Receita!$T$2:$T$2102,"44621B2Energia convencional pré-pagamentoRuralServiço público de irrigação ruralNão se aplicaNão se aplicaNão se aplica",Mercado_Receita!$N$2:$N$2102)</f>
        <v>0</v>
      </c>
      <c r="M41" s="13">
        <f>SUMIF(Mercado_Receita!$T$2:$T$2102,"44652B2Energia convencional pré-pagamentoRuralServiço público de irrigação ruralNão se aplicaNão se aplicaNão se aplica",Mercado_Receita!$N$2:$N$2102)</f>
        <v>0</v>
      </c>
      <c r="N41" s="13">
        <f>SUMIF(Mercado_Receita!$T$2:$T$2102,"44682B2Energia convencional pré-pagamentoRuralServiço público de irrigação ruralNão se aplicaNão se aplicaNão se aplica",Mercado_Receita!$N$2:$N$2102)</f>
        <v>0</v>
      </c>
      <c r="O41" s="13">
        <f>SUMIF(Mercado_Receita!$T$2:$T$2102,"44713B2Energia convencional pré-pagamentoRuralServiço público de irrigação ruralNão se aplicaNão se aplicaNão se aplica",Mercado_Receita!$N$2:$N$2102)</f>
        <v>0</v>
      </c>
      <c r="P41" s="13">
        <f>SUMIF(Mercado_Receita!$T$2:$T$2102,"44743B2Energia convencional pré-pagamentoRuralServiço público de irrigação ruralNão se aplicaNão se aplicaNão se aplica",Mercado_Receita!$N$2:$N$2102)</f>
        <v>0</v>
      </c>
      <c r="Q41" s="13">
        <f>SUMIF(Mercado_Receita!$T$2:$T$2102,"44774B2Energia convencional pré-pagamentoRuralServiço público de irrigação ruralNão se aplicaNão se aplicaNão se aplica",Mercado_Receita!$N$2:$N$2102)</f>
        <v>0</v>
      </c>
      <c r="R41" s="13">
        <f>SUMIF(Mercado_Receita!$T$2:$T$2102,"44805B2Energia convencional pré-pagamentoRuralServiço público de irrigação ruralNão se aplicaNão se aplicaNão se aplica",Mercado_Receita!$N$2:$N$2102)</f>
        <v>0</v>
      </c>
      <c r="S41" s="13">
        <f>SUMIF(Mercado_Receita!$T$2:$T$2102,"44835B2Energia convencional pré-pagamentoRuralServiço público de irrigação ruralNão se aplicaNão se aplicaNão se aplica",Mercado_Receita!$N$2:$N$2102)</f>
        <v>0</v>
      </c>
      <c r="T41" s="13">
        <f>SUMIF(Mercado_Receita!$T$2:$T$2102,"44866B2Energia convencional pré-pagamentoRuralServiço público de irrigação ruralNão se aplicaNão se aplicaNão se aplica",Mercado_Receita!$N$2:$N$2102)</f>
        <v>0</v>
      </c>
      <c r="U41" s="13">
        <f t="shared" si="0"/>
        <v>0</v>
      </c>
      <c r="V41" s="13"/>
      <c r="W41" s="13"/>
    </row>
    <row r="42" spans="1:23" ht="11.25" customHeight="1" x14ac:dyDescent="0.25">
      <c r="A42" s="92" t="s">
        <v>39</v>
      </c>
      <c r="B42" s="92" t="s">
        <v>81</v>
      </c>
      <c r="C42" s="92" t="s">
        <v>25</v>
      </c>
      <c r="D42" s="92" t="s">
        <v>25</v>
      </c>
      <c r="E42" s="92" t="s">
        <v>25</v>
      </c>
      <c r="F42" s="92" t="s">
        <v>25</v>
      </c>
      <c r="G42" s="13" t="s">
        <v>83</v>
      </c>
      <c r="H42" s="13" t="s">
        <v>82</v>
      </c>
      <c r="I42" s="13">
        <f>SUMIF(Mercado_Receita!$T$2:$T$2102,"44531B3Energia horáriaNão se aplicaNão se aplicaNão se aplicaNão se aplicaPonta",Mercado_Receita!$N$2:$N$2102)</f>
        <v>6.7620000000000005</v>
      </c>
      <c r="J42" s="13">
        <f>SUMIF(Mercado_Receita!$T$2:$T$2102,"44562B3Energia horáriaNão se aplicaNão se aplicaNão se aplicaNão se aplicaPonta",Mercado_Receita!$N$2:$N$2102)</f>
        <v>6.1260000000000003</v>
      </c>
      <c r="K42" s="13">
        <f>SUMIF(Mercado_Receita!$T$2:$T$2102,"44593B3Energia horáriaNão se aplicaNão se aplicaNão se aplicaNão se aplicaPonta",Mercado_Receita!$N$2:$N$2102)</f>
        <v>5.819</v>
      </c>
      <c r="L42" s="13">
        <f>SUMIF(Mercado_Receita!$T$2:$T$2102,"44621B3Energia horáriaNão se aplicaNão se aplicaNão se aplicaNão se aplicaPonta",Mercado_Receita!$N$2:$N$2102)</f>
        <v>5.1909999999999981</v>
      </c>
      <c r="M42" s="13">
        <f>SUMIF(Mercado_Receita!$T$2:$T$2102,"44652B3Energia horáriaNão se aplicaNão se aplicaNão se aplicaNão se aplicaPonta",Mercado_Receita!$N$2:$N$2102)</f>
        <v>6.6960000000000006</v>
      </c>
      <c r="N42" s="13">
        <f>SUMIF(Mercado_Receita!$T$2:$T$2102,"44682B3Energia horáriaNão se aplicaNão se aplicaNão se aplicaNão se aplicaPonta",Mercado_Receita!$N$2:$N$2102)</f>
        <v>4.593</v>
      </c>
      <c r="O42" s="13">
        <f>SUMIF(Mercado_Receita!$T$2:$T$2102,"44713B3Energia horáriaNão se aplicaNão se aplicaNão se aplicaNão se aplicaPonta",Mercado_Receita!$N$2:$N$2102)</f>
        <v>6.2099999999999991</v>
      </c>
      <c r="P42" s="13">
        <f>SUMIF(Mercado_Receita!$T$2:$T$2102,"44743B3Energia horáriaNão se aplicaNão se aplicaNão se aplicaNão se aplicaPonta",Mercado_Receita!$N$2:$N$2102)</f>
        <v>7.7060000000000004</v>
      </c>
      <c r="Q42" s="13">
        <f>SUMIF(Mercado_Receita!$T$2:$T$2102,"44774B3Energia horáriaNão se aplicaNão se aplicaNão se aplicaNão se aplicaPonta",Mercado_Receita!$N$2:$N$2102)</f>
        <v>6.7889999999999997</v>
      </c>
      <c r="R42" s="13">
        <f>SUMIF(Mercado_Receita!$T$2:$T$2102,"44805B3Energia horáriaNão se aplicaNão se aplicaNão se aplicaNão se aplicaPonta",Mercado_Receita!$N$2:$N$2102)</f>
        <v>7.431</v>
      </c>
      <c r="S42" s="13">
        <f>SUMIF(Mercado_Receita!$T$2:$T$2102,"44835B3Energia horáriaNão se aplicaNão se aplicaNão se aplicaNão se aplicaPonta",Mercado_Receita!$N$2:$N$2102)</f>
        <v>8.3230000000000004</v>
      </c>
      <c r="T42" s="13">
        <f>SUMIF(Mercado_Receita!$T$2:$T$2102,"44866B3Energia horáriaNão se aplicaNão se aplicaNão se aplicaNão se aplicaPonta",Mercado_Receita!$N$2:$N$2102)</f>
        <v>8.3230000000000004</v>
      </c>
      <c r="U42" s="13">
        <f t="shared" si="0"/>
        <v>79.968999999999994</v>
      </c>
      <c r="V42" s="13"/>
      <c r="W42" s="13"/>
    </row>
    <row r="43" spans="1:23" ht="11.25" customHeight="1" x14ac:dyDescent="0.25">
      <c r="A43" s="93"/>
      <c r="B43" s="93"/>
      <c r="C43" s="93"/>
      <c r="D43" s="93"/>
      <c r="E43" s="93"/>
      <c r="F43" s="93"/>
      <c r="G43" s="13" t="s">
        <v>98</v>
      </c>
      <c r="H43" s="13" t="s">
        <v>82</v>
      </c>
      <c r="I43" s="13">
        <f>SUMIF(Mercado_Receita!$T$2:$T$2102,"44531B3Energia horáriaNão se aplicaNão se aplicaNão se aplicaNão se aplicaIntermediário",Mercado_Receita!$N$2:$N$2102)</f>
        <v>3.4660000000000002</v>
      </c>
      <c r="J43" s="13">
        <f>SUMIF(Mercado_Receita!$T$2:$T$2102,"44562B3Energia horáriaNão se aplicaNão se aplicaNão se aplicaNão se aplicaIntermediário",Mercado_Receita!$N$2:$N$2102)</f>
        <v>2.8769999999999998</v>
      </c>
      <c r="K43" s="13">
        <f>SUMIF(Mercado_Receita!$T$2:$T$2102,"44593B3Energia horáriaNão se aplicaNão se aplicaNão se aplicaNão se aplicaIntermediário",Mercado_Receita!$N$2:$N$2102)</f>
        <v>2.9569999999999999</v>
      </c>
      <c r="L43" s="13">
        <f>SUMIF(Mercado_Receita!$T$2:$T$2102,"44621B3Energia horáriaNão se aplicaNão se aplicaNão se aplicaNão se aplicaIntermediário",Mercado_Receita!$N$2:$N$2102)</f>
        <v>2.4089999999999998</v>
      </c>
      <c r="M43" s="13">
        <f>SUMIF(Mercado_Receita!$T$2:$T$2102,"44652B3Energia horáriaNão se aplicaNão se aplicaNão se aplicaNão se aplicaIntermediário",Mercado_Receita!$N$2:$N$2102)</f>
        <v>4.3520000000000003</v>
      </c>
      <c r="N43" s="13">
        <f>SUMIF(Mercado_Receita!$T$2:$T$2102,"44682B3Energia horáriaNão se aplicaNão se aplicaNão se aplicaNão se aplicaIntermediário",Mercado_Receita!$N$2:$N$2102)</f>
        <v>2.5500000000000003</v>
      </c>
      <c r="O43" s="13">
        <f>SUMIF(Mercado_Receita!$T$2:$T$2102,"44713B3Energia horáriaNão se aplicaNão se aplicaNão se aplicaNão se aplicaIntermediário",Mercado_Receita!$N$2:$N$2102)</f>
        <v>2.621</v>
      </c>
      <c r="P43" s="13">
        <f>SUMIF(Mercado_Receita!$T$2:$T$2102,"44743B3Energia horáriaNão se aplicaNão se aplicaNão se aplicaNão se aplicaIntermediário",Mercado_Receita!$N$2:$N$2102)</f>
        <v>4.4900000000000011</v>
      </c>
      <c r="Q43" s="13">
        <f>SUMIF(Mercado_Receita!$T$2:$T$2102,"44774B3Energia horáriaNão se aplicaNão se aplicaNão se aplicaNão se aplicaIntermediário",Mercado_Receita!$N$2:$N$2102)</f>
        <v>4.6680000000000001</v>
      </c>
      <c r="R43" s="13">
        <f>SUMIF(Mercado_Receita!$T$2:$T$2102,"44805B3Energia horáriaNão se aplicaNão se aplicaNão se aplicaNão se aplicaIntermediário",Mercado_Receita!$N$2:$N$2102)</f>
        <v>3.3779999999999997</v>
      </c>
      <c r="S43" s="13">
        <f>SUMIF(Mercado_Receita!$T$2:$T$2102,"44835B3Energia horáriaNão se aplicaNão se aplicaNão se aplicaNão se aplicaIntermediário",Mercado_Receita!$N$2:$N$2102)</f>
        <v>3.9639999999999995</v>
      </c>
      <c r="T43" s="13">
        <f>SUMIF(Mercado_Receita!$T$2:$T$2102,"44866B3Energia horáriaNão se aplicaNão se aplicaNão se aplicaNão se aplicaIntermediário",Mercado_Receita!$N$2:$N$2102)</f>
        <v>3.9639999999999995</v>
      </c>
      <c r="U43" s="13">
        <f t="shared" si="0"/>
        <v>41.695999999999998</v>
      </c>
      <c r="V43" s="13"/>
      <c r="W43" s="13"/>
    </row>
    <row r="44" spans="1:23" ht="11.25" customHeight="1" x14ac:dyDescent="0.25">
      <c r="A44" s="93"/>
      <c r="B44" s="93"/>
      <c r="C44" s="93"/>
      <c r="D44" s="93"/>
      <c r="E44" s="93"/>
      <c r="F44" s="93"/>
      <c r="G44" s="13" t="s">
        <v>84</v>
      </c>
      <c r="H44" s="13" t="s">
        <v>82</v>
      </c>
      <c r="I44" s="13">
        <f>SUMIF(Mercado_Receita!$T$2:$T$2102,"44531B3Energia horáriaNão se aplicaNão se aplicaNão se aplicaNão se aplicaFora ponta",Mercado_Receita!$N$2:$N$2102)</f>
        <v>118.38900000000001</v>
      </c>
      <c r="J44" s="13">
        <f>SUMIF(Mercado_Receita!$T$2:$T$2102,"44562B3Energia horáriaNão se aplicaNão se aplicaNão se aplicaNão se aplicaFora ponta",Mercado_Receita!$N$2:$N$2102)</f>
        <v>109.072</v>
      </c>
      <c r="K44" s="13">
        <f>SUMIF(Mercado_Receita!$T$2:$T$2102,"44593B3Energia horáriaNão se aplicaNão se aplicaNão se aplicaNão se aplicaFora ponta",Mercado_Receita!$N$2:$N$2102)</f>
        <v>92.922000000000011</v>
      </c>
      <c r="L44" s="13">
        <f>SUMIF(Mercado_Receita!$T$2:$T$2102,"44621B3Energia horáriaNão se aplicaNão se aplicaNão se aplicaNão se aplicaFora ponta",Mercado_Receita!$N$2:$N$2102)</f>
        <v>102.48499999999999</v>
      </c>
      <c r="M44" s="13">
        <f>SUMIF(Mercado_Receita!$T$2:$T$2102,"44652B3Energia horáriaNão se aplicaNão se aplicaNão se aplicaNão se aplicaFora ponta",Mercado_Receita!$N$2:$N$2102)</f>
        <v>105.657</v>
      </c>
      <c r="N44" s="13">
        <f>SUMIF(Mercado_Receita!$T$2:$T$2102,"44682B3Energia horáriaNão se aplicaNão se aplicaNão se aplicaNão se aplicaFora ponta",Mercado_Receita!$N$2:$N$2102)</f>
        <v>107.423</v>
      </c>
      <c r="O44" s="13">
        <f>SUMIF(Mercado_Receita!$T$2:$T$2102,"44713B3Energia horáriaNão se aplicaNão se aplicaNão se aplicaNão se aplicaFora ponta",Mercado_Receita!$N$2:$N$2102)</f>
        <v>98.048999999999992</v>
      </c>
      <c r="P44" s="13">
        <f>SUMIF(Mercado_Receita!$T$2:$T$2102,"44743B3Energia horáriaNão se aplicaNão se aplicaNão se aplicaNão se aplicaFora ponta",Mercado_Receita!$N$2:$N$2102)</f>
        <v>119.55600000000001</v>
      </c>
      <c r="Q44" s="13">
        <f>SUMIF(Mercado_Receita!$T$2:$T$2102,"44774B3Energia horáriaNão se aplicaNão se aplicaNão se aplicaNão se aplicaFora ponta",Mercado_Receita!$N$2:$N$2102)</f>
        <v>115.06099999999998</v>
      </c>
      <c r="R44" s="13">
        <f>SUMIF(Mercado_Receita!$T$2:$T$2102,"44805B3Energia horáriaNão se aplicaNão se aplicaNão se aplicaNão se aplicaFora ponta",Mercado_Receita!$N$2:$N$2102)</f>
        <v>122.059</v>
      </c>
      <c r="S44" s="13">
        <f>SUMIF(Mercado_Receita!$T$2:$T$2102,"44835B3Energia horáriaNão se aplicaNão se aplicaNão se aplicaNão se aplicaFora ponta",Mercado_Receita!$N$2:$N$2102)</f>
        <v>123.79600000000001</v>
      </c>
      <c r="T44" s="13">
        <f>SUMIF(Mercado_Receita!$T$2:$T$2102,"44866B3Energia horáriaNão se aplicaNão se aplicaNão se aplicaNão se aplicaFora ponta",Mercado_Receita!$N$2:$N$2102)</f>
        <v>123.79600000000001</v>
      </c>
      <c r="U44" s="13">
        <f t="shared" si="0"/>
        <v>1338.2650000000001</v>
      </c>
      <c r="V44" s="13"/>
      <c r="W44" s="13"/>
    </row>
    <row r="45" spans="1:23" ht="11.25" customHeight="1" x14ac:dyDescent="0.25">
      <c r="A45" s="93"/>
      <c r="B45" s="12" t="s">
        <v>90</v>
      </c>
      <c r="C45" s="12" t="s">
        <v>25</v>
      </c>
      <c r="D45" s="12" t="s">
        <v>25</v>
      </c>
      <c r="E45" s="12" t="s">
        <v>25</v>
      </c>
      <c r="F45" s="12" t="s">
        <v>25</v>
      </c>
      <c r="G45" s="13" t="s">
        <v>88</v>
      </c>
      <c r="H45" s="13" t="s">
        <v>82</v>
      </c>
      <c r="I45" s="13">
        <f>SUMIF(Mercado_Receita!$T$2:$T$2102,"44531B3Energia convencionalNão se aplicaNão se aplicaNão se aplicaNão se aplicaNão se aplica",Mercado_Receita!$N$2:$N$2102)</f>
        <v>17428.481</v>
      </c>
      <c r="J45" s="13">
        <f>SUMIF(Mercado_Receita!$T$2:$T$2102,"44562B3Energia convencionalNão se aplicaNão se aplicaNão se aplicaNão se aplicaNão se aplica",Mercado_Receita!$N$2:$N$2102)</f>
        <v>16451.419999999995</v>
      </c>
      <c r="K45" s="13">
        <f>SUMIF(Mercado_Receita!$T$2:$T$2102,"44593B3Energia convencionalNão se aplicaNão se aplicaNão se aplicaNão se aplicaNão se aplica",Mercado_Receita!$N$2:$N$2102)</f>
        <v>15623.053</v>
      </c>
      <c r="L45" s="13">
        <f>SUMIF(Mercado_Receita!$T$2:$T$2102,"44621B3Energia convencionalNão se aplicaNão se aplicaNão se aplicaNão se aplicaNão se aplica",Mercado_Receita!$N$2:$N$2102)</f>
        <v>15902.687999999998</v>
      </c>
      <c r="M45" s="13">
        <f>SUMIF(Mercado_Receita!$T$2:$T$2102,"44652B3Energia convencionalNão se aplicaNão se aplicaNão se aplicaNão se aplicaNão se aplica",Mercado_Receita!$N$2:$N$2102)</f>
        <v>16914.400999999994</v>
      </c>
      <c r="N45" s="13">
        <f>SUMIF(Mercado_Receita!$T$2:$T$2102,"44682B3Energia convencionalNão se aplicaNão se aplicaNão se aplicaNão se aplicaNão se aplica",Mercado_Receita!$N$2:$N$2102)</f>
        <v>17188.867999999995</v>
      </c>
      <c r="O45" s="13">
        <f>SUMIF(Mercado_Receita!$T$2:$T$2102,"44713B3Energia convencionalNão se aplicaNão se aplicaNão se aplicaNão se aplicaNão se aplica",Mercado_Receita!$N$2:$N$2102)</f>
        <v>16323.222</v>
      </c>
      <c r="P45" s="13">
        <f>SUMIF(Mercado_Receita!$T$2:$T$2102,"44743B3Energia convencionalNão se aplicaNão se aplicaNão se aplicaNão se aplicaNão se aplica",Mercado_Receita!$N$2:$N$2102)</f>
        <v>18259.441999999999</v>
      </c>
      <c r="Q45" s="13">
        <f>SUMIF(Mercado_Receita!$T$2:$T$2102,"44774B3Energia convencionalNão se aplicaNão se aplicaNão se aplicaNão se aplicaNão se aplica",Mercado_Receita!$N$2:$N$2102)</f>
        <v>18521.971000000001</v>
      </c>
      <c r="R45" s="13">
        <f>SUMIF(Mercado_Receita!$T$2:$T$2102,"44805B3Energia convencionalNão se aplicaNão se aplicaNão se aplicaNão se aplicaNão se aplica",Mercado_Receita!$N$2:$N$2102)</f>
        <v>18337.227000000003</v>
      </c>
      <c r="S45" s="13">
        <f>SUMIF(Mercado_Receita!$T$2:$T$2102,"44835B3Energia convencionalNão se aplicaNão se aplicaNão se aplicaNão se aplicaNão se aplica",Mercado_Receita!$N$2:$N$2102)</f>
        <v>19357.45</v>
      </c>
      <c r="T45" s="13">
        <f>SUMIF(Mercado_Receita!$T$2:$T$2102,"44866B3Energia convencionalNão se aplicaNão se aplicaNão se aplicaNão se aplicaNão se aplica",Mercado_Receita!$N$2:$N$2102)</f>
        <v>19357.45</v>
      </c>
      <c r="U45" s="13">
        <f t="shared" si="0"/>
        <v>209665.67300000001</v>
      </c>
      <c r="V45" s="13"/>
      <c r="W45" s="13"/>
    </row>
    <row r="46" spans="1:23" ht="11.25" customHeight="1" x14ac:dyDescent="0.25">
      <c r="A46" s="93"/>
      <c r="B46" s="12" t="s">
        <v>99</v>
      </c>
      <c r="C46" s="12" t="s">
        <v>25</v>
      </c>
      <c r="D46" s="12" t="s">
        <v>25</v>
      </c>
      <c r="E46" s="12" t="s">
        <v>25</v>
      </c>
      <c r="F46" s="12" t="s">
        <v>25</v>
      </c>
      <c r="G46" s="13" t="s">
        <v>88</v>
      </c>
      <c r="H46" s="13" t="s">
        <v>82</v>
      </c>
      <c r="I46" s="13">
        <f>SUMIF(Mercado_Receita!$T$2:$T$2102,"44531B3Energia convencional pré-pagamentoNão se aplicaNão se aplicaNão se aplicaNão se aplicaNão se aplica",Mercado_Receita!$N$2:$N$2102)</f>
        <v>0</v>
      </c>
      <c r="J46" s="13">
        <f>SUMIF(Mercado_Receita!$T$2:$T$2102,"44562B3Energia convencional pré-pagamentoNão se aplicaNão se aplicaNão se aplicaNão se aplicaNão se aplica",Mercado_Receita!$N$2:$N$2102)</f>
        <v>0</v>
      </c>
      <c r="K46" s="13">
        <f>SUMIF(Mercado_Receita!$T$2:$T$2102,"44593B3Energia convencional pré-pagamentoNão se aplicaNão se aplicaNão se aplicaNão se aplicaNão se aplica",Mercado_Receita!$N$2:$N$2102)</f>
        <v>0</v>
      </c>
      <c r="L46" s="13">
        <f>SUMIF(Mercado_Receita!$T$2:$T$2102,"44621B3Energia convencional pré-pagamentoNão se aplicaNão se aplicaNão se aplicaNão se aplicaNão se aplica",Mercado_Receita!$N$2:$N$2102)</f>
        <v>0</v>
      </c>
      <c r="M46" s="13">
        <f>SUMIF(Mercado_Receita!$T$2:$T$2102,"44652B3Energia convencional pré-pagamentoNão se aplicaNão se aplicaNão se aplicaNão se aplicaNão se aplica",Mercado_Receita!$N$2:$N$2102)</f>
        <v>0</v>
      </c>
      <c r="N46" s="13">
        <f>SUMIF(Mercado_Receita!$T$2:$T$2102,"44682B3Energia convencional pré-pagamentoNão se aplicaNão se aplicaNão se aplicaNão se aplicaNão se aplica",Mercado_Receita!$N$2:$N$2102)</f>
        <v>0</v>
      </c>
      <c r="O46" s="13">
        <f>SUMIF(Mercado_Receita!$T$2:$T$2102,"44713B3Energia convencional pré-pagamentoNão se aplicaNão se aplicaNão se aplicaNão se aplicaNão se aplica",Mercado_Receita!$N$2:$N$2102)</f>
        <v>0</v>
      </c>
      <c r="P46" s="13">
        <f>SUMIF(Mercado_Receita!$T$2:$T$2102,"44743B3Energia convencional pré-pagamentoNão se aplicaNão se aplicaNão se aplicaNão se aplicaNão se aplica",Mercado_Receita!$N$2:$N$2102)</f>
        <v>0</v>
      </c>
      <c r="Q46" s="13">
        <f>SUMIF(Mercado_Receita!$T$2:$T$2102,"44774B3Energia convencional pré-pagamentoNão se aplicaNão se aplicaNão se aplicaNão se aplicaNão se aplica",Mercado_Receita!$N$2:$N$2102)</f>
        <v>0</v>
      </c>
      <c r="R46" s="13">
        <f>SUMIF(Mercado_Receita!$T$2:$T$2102,"44805B3Energia convencional pré-pagamentoNão se aplicaNão se aplicaNão se aplicaNão se aplicaNão se aplica",Mercado_Receita!$N$2:$N$2102)</f>
        <v>0</v>
      </c>
      <c r="S46" s="13">
        <f>SUMIF(Mercado_Receita!$T$2:$T$2102,"44835B3Energia convencional pré-pagamentoNão se aplicaNão se aplicaNão se aplicaNão se aplicaNão se aplica",Mercado_Receita!$N$2:$N$2102)</f>
        <v>0</v>
      </c>
      <c r="T46" s="13">
        <f>SUMIF(Mercado_Receita!$T$2:$T$2102,"44866B3Energia convencional pré-pagamentoNão se aplicaNão se aplicaNão se aplicaNão se aplicaNão se aplica",Mercado_Receita!$N$2:$N$2102)</f>
        <v>0</v>
      </c>
      <c r="U46" s="13">
        <f t="shared" si="0"/>
        <v>0</v>
      </c>
      <c r="V46" s="13"/>
      <c r="W46" s="13"/>
    </row>
    <row r="47" spans="1:23" ht="11.25" customHeight="1" x14ac:dyDescent="0.25">
      <c r="A47" s="92" t="s">
        <v>49</v>
      </c>
      <c r="B47" s="92" t="s">
        <v>90</v>
      </c>
      <c r="C47" s="92" t="s">
        <v>50</v>
      </c>
      <c r="D47" s="12" t="s">
        <v>51</v>
      </c>
      <c r="E47" s="12" t="s">
        <v>25</v>
      </c>
      <c r="F47" s="12" t="s">
        <v>25</v>
      </c>
      <c r="G47" s="13" t="s">
        <v>88</v>
      </c>
      <c r="H47" s="13" t="s">
        <v>82</v>
      </c>
      <c r="I47" s="13">
        <f>SUMIF(Mercado_Receita!$T$2:$T$2102,"44531B4Energia convencionalIluminação públicaIluminação pública – B4aNão se aplicaNão se aplicaNão se aplica",Mercado_Receita!$N$2:$N$2102)</f>
        <v>3796.2179999999998</v>
      </c>
      <c r="J47" s="13">
        <f>SUMIF(Mercado_Receita!$T$2:$T$2102,"44562B4Energia convencionalIluminação públicaIluminação pública – B4aNão se aplicaNão se aplicaNão se aplica",Mercado_Receita!$N$2:$N$2102)</f>
        <v>4169.5069999999996</v>
      </c>
      <c r="K47" s="13">
        <f>SUMIF(Mercado_Receita!$T$2:$T$2102,"44593B4Energia convencionalIluminação públicaIluminação pública – B4aNão se aplicaNão se aplicaNão se aplica",Mercado_Receita!$N$2:$N$2102)</f>
        <v>4275.2950000000001</v>
      </c>
      <c r="L47" s="13">
        <f>SUMIF(Mercado_Receita!$T$2:$T$2102,"44621B4Energia convencionalIluminação públicaIluminação pública – B4aNão se aplicaNão se aplicaNão se aplica",Mercado_Receita!$N$2:$N$2102)</f>
        <v>4476.2809999999999</v>
      </c>
      <c r="M47" s="13">
        <f>SUMIF(Mercado_Receita!$T$2:$T$2102,"44652B4Energia convencionalIluminação públicaIluminação pública – B4aNão se aplicaNão se aplicaNão se aplica",Mercado_Receita!$N$2:$N$2102)</f>
        <v>4534.299</v>
      </c>
      <c r="N47" s="13">
        <f>SUMIF(Mercado_Receita!$T$2:$T$2102,"44682B4Energia convencionalIluminação públicaIluminação pública – B4aNão se aplicaNão se aplicaNão se aplica",Mercado_Receita!$N$2:$N$2102)</f>
        <v>3885.0989999999997</v>
      </c>
      <c r="O47" s="13">
        <f>SUMIF(Mercado_Receita!$T$2:$T$2102,"44713B4Energia convencionalIluminação públicaIluminação pública – B4aNão se aplicaNão se aplicaNão se aplica",Mercado_Receita!$N$2:$N$2102)</f>
        <v>3740.41</v>
      </c>
      <c r="P47" s="13">
        <f>SUMIF(Mercado_Receita!$T$2:$T$2102,"44743B4Energia convencionalIluminação públicaIluminação pública – B4aNão se aplicaNão se aplicaNão se aplica",Mercado_Receita!$N$2:$N$2102)</f>
        <v>3918.76</v>
      </c>
      <c r="Q47" s="13">
        <f>SUMIF(Mercado_Receita!$T$2:$T$2102,"44774B4Energia convencionalIluminação públicaIluminação pública – B4aNão se aplicaNão se aplicaNão se aplica",Mercado_Receita!$N$2:$N$2102)</f>
        <v>4070.306</v>
      </c>
      <c r="R47" s="13">
        <f>SUMIF(Mercado_Receita!$T$2:$T$2102,"44805B4Energia convencionalIluminação públicaIluminação pública – B4aNão se aplicaNão se aplicaNão se aplica",Mercado_Receita!$N$2:$N$2102)</f>
        <v>4154.3609999999999</v>
      </c>
      <c r="S47" s="13">
        <f>SUMIF(Mercado_Receita!$T$2:$T$2102,"44835B4Energia convencionalIluminação públicaIluminação pública – B4aNão se aplicaNão se aplicaNão se aplica",Mercado_Receita!$N$2:$N$2102)</f>
        <v>4172.3230000000003</v>
      </c>
      <c r="T47" s="13">
        <f>SUMIF(Mercado_Receita!$T$2:$T$2102,"44866B4Energia convencionalIluminação públicaIluminação pública – B4aNão se aplicaNão se aplicaNão se aplica",Mercado_Receita!$N$2:$N$2102)</f>
        <v>4172.3230000000003</v>
      </c>
      <c r="U47" s="13">
        <f t="shared" si="0"/>
        <v>49365.182000000001</v>
      </c>
      <c r="V47" s="13"/>
      <c r="W47" s="13"/>
    </row>
    <row r="48" spans="1:23" ht="11.25" customHeight="1" x14ac:dyDescent="0.25">
      <c r="A48" s="93"/>
      <c r="B48" s="93"/>
      <c r="C48" s="93"/>
      <c r="D48" s="13" t="s">
        <v>103</v>
      </c>
      <c r="E48" s="13" t="s">
        <v>25</v>
      </c>
      <c r="F48" s="13" t="s">
        <v>25</v>
      </c>
      <c r="G48" s="13" t="s">
        <v>88</v>
      </c>
      <c r="H48" s="13" t="s">
        <v>82</v>
      </c>
      <c r="I48" s="13">
        <f>SUMIF(Mercado_Receita!$T$2:$T$2102,"44531B4Energia convencionalIluminação públicaIluminação pública – B4bNão se aplicaNão se aplicaNão se aplica",Mercado_Receita!$N$2:$N$2102)</f>
        <v>0</v>
      </c>
      <c r="J48" s="13">
        <f>SUMIF(Mercado_Receita!$T$2:$T$2102,"44562B4Energia convencionalIluminação públicaIluminação pública – B4bNão se aplicaNão se aplicaNão se aplica",Mercado_Receita!$N$2:$N$2102)</f>
        <v>0</v>
      </c>
      <c r="K48" s="13">
        <f>SUMIF(Mercado_Receita!$T$2:$T$2102,"44593B4Energia convencionalIluminação públicaIluminação pública – B4bNão se aplicaNão se aplicaNão se aplica",Mercado_Receita!$N$2:$N$2102)</f>
        <v>0</v>
      </c>
      <c r="L48" s="13">
        <f>SUMIF(Mercado_Receita!$T$2:$T$2102,"44621B4Energia convencionalIluminação públicaIluminação pública – B4bNão se aplicaNão se aplicaNão se aplica",Mercado_Receita!$N$2:$N$2102)</f>
        <v>0</v>
      </c>
      <c r="M48" s="13">
        <f>SUMIF(Mercado_Receita!$T$2:$T$2102,"44652B4Energia convencionalIluminação públicaIluminação pública – B4bNão se aplicaNão se aplicaNão se aplica",Mercado_Receita!$N$2:$N$2102)</f>
        <v>0</v>
      </c>
      <c r="N48" s="13">
        <f>SUMIF(Mercado_Receita!$T$2:$T$2102,"44682B4Energia convencionalIluminação públicaIluminação pública – B4bNão se aplicaNão se aplicaNão se aplica",Mercado_Receita!$N$2:$N$2102)</f>
        <v>0</v>
      </c>
      <c r="O48" s="13">
        <f>SUMIF(Mercado_Receita!$T$2:$T$2102,"44713B4Energia convencionalIluminação públicaIluminação pública – B4bNão se aplicaNão se aplicaNão se aplica",Mercado_Receita!$N$2:$N$2102)</f>
        <v>0</v>
      </c>
      <c r="P48" s="13">
        <f>SUMIF(Mercado_Receita!$T$2:$T$2102,"44743B4Energia convencionalIluminação públicaIluminação pública – B4bNão se aplicaNão se aplicaNão se aplica",Mercado_Receita!$N$2:$N$2102)</f>
        <v>0</v>
      </c>
      <c r="Q48" s="13">
        <f>SUMIF(Mercado_Receita!$T$2:$T$2102,"44774B4Energia convencionalIluminação públicaIluminação pública – B4bNão se aplicaNão se aplicaNão se aplica",Mercado_Receita!$N$2:$N$2102)</f>
        <v>0</v>
      </c>
      <c r="R48" s="13">
        <f>SUMIF(Mercado_Receita!$T$2:$T$2102,"44805B4Energia convencionalIluminação públicaIluminação pública – B4bNão se aplicaNão se aplicaNão se aplica",Mercado_Receita!$N$2:$N$2102)</f>
        <v>0</v>
      </c>
      <c r="S48" s="13">
        <f>SUMIF(Mercado_Receita!$T$2:$T$2102,"44835B4Energia convencionalIluminação públicaIluminação pública – B4bNão se aplicaNão se aplicaNão se aplica",Mercado_Receita!$N$2:$N$2102)</f>
        <v>0</v>
      </c>
      <c r="T48" s="13">
        <f>SUMIF(Mercado_Receita!$T$2:$T$2102,"44866B4Energia convencionalIluminação públicaIluminação pública – B4bNão se aplicaNão se aplicaNão se aplica",Mercado_Receita!$N$2:$N$2102)</f>
        <v>0</v>
      </c>
      <c r="U48" s="13">
        <f t="shared" si="0"/>
        <v>0</v>
      </c>
      <c r="V48" s="13"/>
      <c r="W48" s="13"/>
    </row>
    <row r="49" spans="1:23" ht="11.25" customHeight="1" x14ac:dyDescent="0.25">
      <c r="A49" s="94" t="s">
        <v>733</v>
      </c>
      <c r="B49" s="95"/>
      <c r="C49" s="95"/>
      <c r="D49" s="95"/>
      <c r="E49" s="95"/>
      <c r="F49" s="95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13"/>
      <c r="W49" s="13"/>
    </row>
  </sheetData>
  <mergeCells count="56">
    <mergeCell ref="A2:A4"/>
    <mergeCell ref="F2:F3"/>
    <mergeCell ref="E2:E3"/>
    <mergeCell ref="D2:D3"/>
    <mergeCell ref="C2:C3"/>
    <mergeCell ref="B2:B3"/>
    <mergeCell ref="A8:A13"/>
    <mergeCell ref="F5:F6"/>
    <mergeCell ref="E5:E6"/>
    <mergeCell ref="D5:D6"/>
    <mergeCell ref="C5:C6"/>
    <mergeCell ref="B5:B6"/>
    <mergeCell ref="A5:A7"/>
    <mergeCell ref="F8:F9"/>
    <mergeCell ref="E8:E9"/>
    <mergeCell ref="D8:D9"/>
    <mergeCell ref="C8:C9"/>
    <mergeCell ref="B8:B9"/>
    <mergeCell ref="C22:C26"/>
    <mergeCell ref="B22:B26"/>
    <mergeCell ref="A14:A26"/>
    <mergeCell ref="F27:F29"/>
    <mergeCell ref="E27:E29"/>
    <mergeCell ref="D27:D29"/>
    <mergeCell ref="C27:C29"/>
    <mergeCell ref="B27:B29"/>
    <mergeCell ref="F14:F16"/>
    <mergeCell ref="E14:E16"/>
    <mergeCell ref="D14:D16"/>
    <mergeCell ref="C14:C16"/>
    <mergeCell ref="B14:B16"/>
    <mergeCell ref="C17:C21"/>
    <mergeCell ref="B17:B21"/>
    <mergeCell ref="C31:C33"/>
    <mergeCell ref="B31:B33"/>
    <mergeCell ref="F35:F37"/>
    <mergeCell ref="E35:E37"/>
    <mergeCell ref="D35:D37"/>
    <mergeCell ref="C35:C37"/>
    <mergeCell ref="B35:B37"/>
    <mergeCell ref="A47:A48"/>
    <mergeCell ref="B47:B48"/>
    <mergeCell ref="C47:C48"/>
    <mergeCell ref="A49:U49"/>
    <mergeCell ref="C39:C41"/>
    <mergeCell ref="B39:B41"/>
    <mergeCell ref="A27:A41"/>
    <mergeCell ref="F42:F44"/>
    <mergeCell ref="E42:E44"/>
    <mergeCell ref="D42:D44"/>
    <mergeCell ref="C42:C44"/>
    <mergeCell ref="B42:B44"/>
    <mergeCell ref="A42:A46"/>
    <mergeCell ref="F31:F33"/>
    <mergeCell ref="E31:E33"/>
    <mergeCell ref="D31:D33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FA7C2-C7C1-4119-AC44-8625EED8058C}">
  <sheetPr codeName="Planilha6"/>
  <dimension ref="A1:AD200"/>
  <sheetViews>
    <sheetView showGridLines="0" topLeftCell="A34" workbookViewId="0">
      <selection activeCell="N45" sqref="N45"/>
    </sheetView>
  </sheetViews>
  <sheetFormatPr defaultRowHeight="12" customHeight="1" x14ac:dyDescent="0.2"/>
  <cols>
    <col min="1" max="1" width="10.5703125" style="14" bestFit="1" customWidth="1"/>
    <col min="2" max="2" width="14.42578125" style="14" bestFit="1" customWidth="1"/>
    <col min="3" max="3" width="18.42578125" style="14" bestFit="1" customWidth="1"/>
    <col min="4" max="4" width="15" style="14" bestFit="1" customWidth="1"/>
    <col min="5" max="5" width="14.5703125" style="14" bestFit="1" customWidth="1"/>
    <col min="6" max="6" width="10.85546875" style="14" bestFit="1" customWidth="1"/>
    <col min="7" max="11" width="9.140625" style="14"/>
    <col min="12" max="12" width="34.140625" style="14" bestFit="1" customWidth="1"/>
    <col min="13" max="13" width="11.7109375" style="14" bestFit="1" customWidth="1"/>
    <col min="14" max="14" width="36.140625" style="14" bestFit="1" customWidth="1"/>
    <col min="15" max="15" width="30.7109375" style="14" customWidth="1"/>
    <col min="16" max="16" width="13.5703125" style="14" bestFit="1" customWidth="1"/>
    <col min="17" max="17" width="10" style="14" bestFit="1" customWidth="1"/>
    <col min="18" max="18" width="14.5703125" style="14" bestFit="1" customWidth="1"/>
    <col min="19" max="19" width="31.140625" style="14" bestFit="1" customWidth="1"/>
    <col min="20" max="20" width="15.42578125" style="14" bestFit="1" customWidth="1"/>
    <col min="21" max="21" width="10.85546875" style="14" bestFit="1" customWidth="1"/>
    <col min="22" max="22" width="13.28515625" style="14" bestFit="1" customWidth="1"/>
    <col min="23" max="23" width="5" style="14" bestFit="1" customWidth="1"/>
    <col min="24" max="24" width="52.42578125" style="14" bestFit="1" customWidth="1"/>
    <col min="25" max="26" width="5" style="14" bestFit="1" customWidth="1"/>
    <col min="27" max="27" width="5.7109375" style="14" bestFit="1" customWidth="1"/>
    <col min="28" max="16384" width="9.140625" style="14"/>
  </cols>
  <sheetData>
    <row r="1" spans="1:30" ht="12" customHeight="1" x14ac:dyDescent="0.2">
      <c r="A1" s="10" t="s">
        <v>773</v>
      </c>
      <c r="B1" s="10" t="s">
        <v>774</v>
      </c>
      <c r="C1" s="10" t="s">
        <v>775</v>
      </c>
      <c r="D1" s="10" t="s">
        <v>776</v>
      </c>
      <c r="E1" s="10" t="s">
        <v>777</v>
      </c>
      <c r="F1" s="10" t="s">
        <v>778</v>
      </c>
      <c r="G1" s="7"/>
      <c r="H1" s="7"/>
      <c r="I1" s="7"/>
      <c r="J1" s="7"/>
      <c r="K1" s="7"/>
      <c r="L1" s="101" t="s">
        <v>779</v>
      </c>
      <c r="M1" s="101"/>
      <c r="N1" s="7"/>
      <c r="O1" s="105" t="s">
        <v>866</v>
      </c>
      <c r="P1" s="106"/>
      <c r="Q1" s="106"/>
      <c r="R1" s="106"/>
      <c r="S1" s="106"/>
      <c r="T1" s="106"/>
      <c r="U1" s="106"/>
      <c r="V1" s="7"/>
      <c r="W1" s="7"/>
      <c r="X1" s="7"/>
      <c r="Y1" s="7"/>
      <c r="Z1" s="7"/>
      <c r="AA1" s="7"/>
      <c r="AB1" s="7"/>
      <c r="AC1" s="7"/>
      <c r="AD1" s="7"/>
    </row>
    <row r="2" spans="1:30" ht="12" customHeight="1" x14ac:dyDescent="0.2">
      <c r="A2" s="102" t="s">
        <v>734</v>
      </c>
      <c r="B2" s="102" t="s">
        <v>735</v>
      </c>
      <c r="C2" s="16" t="s">
        <v>820</v>
      </c>
      <c r="D2" s="13">
        <v>21196044.622047894</v>
      </c>
      <c r="E2" s="13">
        <v>-2838001.1924613039</v>
      </c>
      <c r="F2" s="13">
        <v>812234.4769521897</v>
      </c>
      <c r="G2" s="15"/>
      <c r="H2" s="15"/>
      <c r="I2" s="15"/>
      <c r="J2" s="15"/>
      <c r="K2" s="15"/>
      <c r="L2" s="23" t="s">
        <v>780</v>
      </c>
      <c r="M2" s="52">
        <v>0.14051415698038139</v>
      </c>
      <c r="N2" s="15"/>
      <c r="O2" s="28" t="s">
        <v>867</v>
      </c>
      <c r="P2" s="28" t="s">
        <v>80</v>
      </c>
      <c r="Q2" s="28" t="s">
        <v>43</v>
      </c>
      <c r="R2" s="28" t="s">
        <v>41</v>
      </c>
      <c r="S2" s="28" t="s">
        <v>868</v>
      </c>
      <c r="T2" s="28" t="s">
        <v>95</v>
      </c>
      <c r="U2" s="28"/>
      <c r="V2" s="15"/>
      <c r="W2" s="15"/>
      <c r="X2" s="23" t="s">
        <v>833</v>
      </c>
      <c r="Y2" s="15"/>
      <c r="Z2" s="15"/>
      <c r="AA2" s="15" t="s">
        <v>876</v>
      </c>
      <c r="AB2" s="15"/>
      <c r="AC2" s="15"/>
      <c r="AD2" s="15"/>
    </row>
    <row r="3" spans="1:30" ht="12" customHeight="1" x14ac:dyDescent="0.2">
      <c r="A3" s="103"/>
      <c r="B3" s="103"/>
      <c r="C3" s="16" t="s">
        <v>736</v>
      </c>
      <c r="D3" s="13">
        <v>1244777.3683460983</v>
      </c>
      <c r="E3" s="13">
        <v>-21816.091014040208</v>
      </c>
      <c r="F3" s="13">
        <v>0</v>
      </c>
      <c r="G3" s="15"/>
      <c r="H3" s="15"/>
      <c r="I3" s="15"/>
      <c r="J3" s="15"/>
      <c r="K3" s="15"/>
      <c r="L3" s="23" t="s">
        <v>781</v>
      </c>
      <c r="M3" s="52"/>
      <c r="N3" s="15"/>
      <c r="O3" s="29">
        <v>1</v>
      </c>
      <c r="P3" s="29">
        <v>1</v>
      </c>
      <c r="Q3" s="56">
        <v>0.8</v>
      </c>
      <c r="R3" s="56">
        <v>0.8</v>
      </c>
      <c r="S3" s="29">
        <v>1</v>
      </c>
      <c r="T3" s="29">
        <v>1</v>
      </c>
      <c r="U3" s="29" t="s">
        <v>869</v>
      </c>
      <c r="V3" s="15"/>
      <c r="W3" s="15"/>
      <c r="X3" s="23" t="s">
        <v>834</v>
      </c>
      <c r="Y3" s="15"/>
      <c r="Z3" s="15"/>
      <c r="AA3" s="15">
        <v>0</v>
      </c>
      <c r="AB3" s="15"/>
      <c r="AC3" s="15"/>
      <c r="AD3" s="15"/>
    </row>
    <row r="4" spans="1:30" ht="12" customHeight="1" x14ac:dyDescent="0.2">
      <c r="A4" s="103"/>
      <c r="B4" s="103"/>
      <c r="C4" s="16" t="s">
        <v>737</v>
      </c>
      <c r="D4" s="13">
        <f>$M$22-D$30</f>
        <v>4405576.6480421154</v>
      </c>
      <c r="E4" s="13">
        <f>IF((D4+D$30)&lt;&gt;0,$M$20*D4/(D4+D$30),0)</f>
        <v>-1.0086501702871373</v>
      </c>
      <c r="F4" s="13">
        <f>IF((D4+D$30)&lt;&gt;0,$M$21*D4/(D4+D$30),0)</f>
        <v>0</v>
      </c>
      <c r="G4" s="15"/>
      <c r="H4" s="15"/>
      <c r="I4" s="15"/>
      <c r="J4" s="15"/>
      <c r="K4" s="15"/>
      <c r="L4" s="23" t="s">
        <v>782</v>
      </c>
      <c r="M4" s="52">
        <v>5.8952819237679366E-2</v>
      </c>
      <c r="N4" s="15"/>
      <c r="O4" s="29">
        <v>1</v>
      </c>
      <c r="P4" s="29">
        <v>1</v>
      </c>
      <c r="Q4" s="29">
        <v>1</v>
      </c>
      <c r="R4" s="29">
        <v>1</v>
      </c>
      <c r="S4" s="29">
        <v>1</v>
      </c>
      <c r="T4" s="29">
        <v>1</v>
      </c>
      <c r="U4" s="29" t="s">
        <v>91</v>
      </c>
      <c r="V4" s="15"/>
      <c r="W4" s="15"/>
      <c r="X4" s="15"/>
      <c r="Y4" s="15"/>
      <c r="Z4" s="15"/>
      <c r="AA4" s="15"/>
      <c r="AB4" s="15"/>
      <c r="AC4" s="15"/>
      <c r="AD4" s="15"/>
    </row>
    <row r="5" spans="1:30" ht="12" customHeight="1" x14ac:dyDescent="0.2">
      <c r="A5" s="103"/>
      <c r="B5" s="103"/>
      <c r="C5" s="16" t="s">
        <v>738</v>
      </c>
      <c r="D5" s="13">
        <v>0</v>
      </c>
      <c r="E5" s="13">
        <v>0</v>
      </c>
      <c r="F5" s="13">
        <v>0</v>
      </c>
      <c r="G5" s="15"/>
      <c r="H5" s="15"/>
      <c r="I5" s="15"/>
      <c r="J5" s="15"/>
      <c r="K5" s="15"/>
      <c r="L5" s="23" t="s">
        <v>783</v>
      </c>
      <c r="M5" s="52">
        <v>0.01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</row>
    <row r="6" spans="1:30" ht="12" customHeight="1" x14ac:dyDescent="0.2">
      <c r="A6" s="103"/>
      <c r="B6" s="103"/>
      <c r="C6" s="16" t="s">
        <v>739</v>
      </c>
      <c r="D6" s="13">
        <v>0</v>
      </c>
      <c r="E6" s="13">
        <v>0</v>
      </c>
      <c r="F6" s="13">
        <v>0</v>
      </c>
      <c r="G6" s="15"/>
      <c r="H6" s="15"/>
      <c r="I6" s="15"/>
      <c r="J6" s="15"/>
      <c r="K6" s="15"/>
      <c r="L6" s="23" t="s">
        <v>784</v>
      </c>
      <c r="M6" s="52">
        <v>0</v>
      </c>
      <c r="N6" s="15"/>
      <c r="O6" s="15"/>
      <c r="P6" s="15"/>
      <c r="Q6" s="55"/>
      <c r="R6" s="5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</row>
    <row r="7" spans="1:30" ht="12" customHeight="1" x14ac:dyDescent="0.2">
      <c r="A7" s="103"/>
      <c r="B7" s="103"/>
      <c r="C7" s="16" t="s">
        <v>740</v>
      </c>
      <c r="D7" s="13">
        <v>35101782.2952765</v>
      </c>
      <c r="E7" s="13">
        <v>-720751.51857831888</v>
      </c>
      <c r="F7" s="13">
        <v>13268550.4859</v>
      </c>
      <c r="G7" s="15"/>
      <c r="H7" s="15"/>
      <c r="I7" s="15"/>
      <c r="J7" s="15"/>
      <c r="K7" s="15"/>
      <c r="L7" s="23" t="s">
        <v>785</v>
      </c>
      <c r="M7" s="23">
        <f>M8+M9+M10+M11</f>
        <v>315822.84280016611</v>
      </c>
      <c r="N7" s="15"/>
      <c r="O7" s="15"/>
      <c r="P7" s="15"/>
      <c r="Q7" s="55"/>
      <c r="R7" s="5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</row>
    <row r="8" spans="1:30" ht="12" customHeight="1" x14ac:dyDescent="0.2">
      <c r="A8" s="103"/>
      <c r="B8" s="103"/>
      <c r="C8" s="16" t="s">
        <v>741</v>
      </c>
      <c r="D8" s="13">
        <v>13744465.34068593</v>
      </c>
      <c r="E8" s="13">
        <v>-334543.79990970809</v>
      </c>
      <c r="F8" s="13">
        <v>5029050.7885999996</v>
      </c>
      <c r="G8" s="15"/>
      <c r="H8" s="15"/>
      <c r="I8" s="15"/>
      <c r="J8" s="15"/>
      <c r="K8" s="15"/>
      <c r="L8" s="53" t="s">
        <v>786</v>
      </c>
      <c r="M8" s="23">
        <v>141232.48161896621</v>
      </c>
      <c r="N8" s="15"/>
      <c r="O8" s="23" t="s">
        <v>819</v>
      </c>
      <c r="P8" s="29">
        <v>0</v>
      </c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</row>
    <row r="9" spans="1:30" ht="12" customHeight="1" x14ac:dyDescent="0.2">
      <c r="A9" s="103"/>
      <c r="B9" s="103"/>
      <c r="C9" s="16" t="s">
        <v>742</v>
      </c>
      <c r="D9" s="13"/>
      <c r="E9" s="13"/>
      <c r="F9" s="13"/>
      <c r="G9" s="15"/>
      <c r="H9" s="15"/>
      <c r="I9" s="15"/>
      <c r="J9" s="15"/>
      <c r="K9" s="15"/>
      <c r="L9" s="54" t="s">
        <v>787</v>
      </c>
      <c r="M9" s="23">
        <v>142979.81008119983</v>
      </c>
      <c r="N9" s="15"/>
      <c r="O9" s="23" t="s">
        <v>824</v>
      </c>
      <c r="P9" s="29">
        <f>SUM(Mercado_Receita!$J$2:$J$2102)</f>
        <v>1468023</v>
      </c>
      <c r="Q9" s="29">
        <v>1468023</v>
      </c>
      <c r="R9" s="29" t="str">
        <f>IF(ABS(P9-Q9)&gt;1,"ERRO BADNET","OK BADNET")</f>
        <v>OK BADNET</v>
      </c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</row>
    <row r="10" spans="1:30" ht="12" customHeight="1" x14ac:dyDescent="0.2">
      <c r="A10" s="103"/>
      <c r="B10" s="104"/>
      <c r="C10" s="16" t="s">
        <v>743</v>
      </c>
      <c r="D10" s="13">
        <f>SUM(D$2:D9)</f>
        <v>75692646.274398535</v>
      </c>
      <c r="E10" s="13">
        <f>SUM(E$2:E9)</f>
        <v>-3915113.6106135412</v>
      </c>
      <c r="F10" s="13">
        <f>SUM(F$2:F9)</f>
        <v>19109835.751452189</v>
      </c>
      <c r="G10" s="15"/>
      <c r="H10" s="15"/>
      <c r="I10" s="15"/>
      <c r="J10" s="15"/>
      <c r="K10" s="15"/>
      <c r="L10" s="53" t="s">
        <v>788</v>
      </c>
      <c r="M10" s="23">
        <v>6530.458135717292</v>
      </c>
      <c r="N10" s="15"/>
      <c r="O10" s="23" t="s">
        <v>825</v>
      </c>
      <c r="P10" s="29">
        <f>SUM(Mercado_Receita!$L$2:$L$2102)</f>
        <v>1149620.009000001</v>
      </c>
      <c r="Q10" s="29">
        <v>1149620.0090000001</v>
      </c>
      <c r="R10" s="29" t="str">
        <f>IF(ABS(P10-Q10)&gt;1,"ERRO BADNET","OK BADNET")</f>
        <v>OK BADNET</v>
      </c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</row>
    <row r="11" spans="1:30" ht="12" customHeight="1" x14ac:dyDescent="0.2">
      <c r="A11" s="103"/>
      <c r="B11" s="102" t="s">
        <v>744</v>
      </c>
      <c r="C11" s="16" t="s">
        <v>745</v>
      </c>
      <c r="D11" s="13">
        <v>16896485.780000001</v>
      </c>
      <c r="E11" s="13">
        <v>175231.63823711593</v>
      </c>
      <c r="F11" s="13">
        <f>IF((+$D$11+$D$12+$D$16+$D$17+$D$39)&lt;&gt;0,$M$19*$D$11/(+$D$11+$D$12+$D$16+$D$17+$D$39),0)</f>
        <v>2809735.8723082175</v>
      </c>
      <c r="G11" s="15"/>
      <c r="H11" s="15"/>
      <c r="I11" s="15"/>
      <c r="J11" s="15"/>
      <c r="K11" s="15"/>
      <c r="L11" s="53" t="s">
        <v>789</v>
      </c>
      <c r="M11" s="23">
        <v>25080.092964282714</v>
      </c>
      <c r="N11" s="15"/>
      <c r="O11" s="23" t="s">
        <v>826</v>
      </c>
      <c r="P11" s="29">
        <f>SUM(Mercado_Receita!$N$2:$N$2102)</f>
        <v>1091511.5829999996</v>
      </c>
      <c r="Q11" s="29">
        <v>1091511.5830000001</v>
      </c>
      <c r="R11" s="29" t="str">
        <f>IF(ABS(P11-Q11)&gt;1,"ERRO BADNET","OK BADNET")</f>
        <v>OK BADNET</v>
      </c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</row>
    <row r="12" spans="1:30" ht="12" customHeight="1" x14ac:dyDescent="0.2">
      <c r="A12" s="103"/>
      <c r="B12" s="103"/>
      <c r="C12" s="16" t="s">
        <v>746</v>
      </c>
      <c r="D12" s="13">
        <v>18531916.760000002</v>
      </c>
      <c r="E12" s="13">
        <v>256474.14858591114</v>
      </c>
      <c r="F12" s="13">
        <f>IF((+$D$11+$D$12+$D$16+$D$17+$D$39)&lt;&gt;0,$M$19*$D$12/(+$D$11+$D$12+$D$16+$D$17+$D$39),0)</f>
        <v>3081693.5533917798</v>
      </c>
      <c r="G12" s="15"/>
      <c r="H12" s="15"/>
      <c r="I12" s="15"/>
      <c r="J12" s="15"/>
      <c r="K12" s="15"/>
      <c r="L12" s="23" t="s">
        <v>790</v>
      </c>
      <c r="M12" s="23">
        <v>1407334.4258001647</v>
      </c>
      <c r="N12" s="15"/>
      <c r="O12" s="23" t="s">
        <v>827</v>
      </c>
      <c r="P12" s="29">
        <f>SUMIF('MERCADO TUSD'!$H$2:$H$65,"kW",'MERCADO TUSD'!$U$2:$U$65)</f>
        <v>1468023</v>
      </c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</row>
    <row r="13" spans="1:30" ht="12" customHeight="1" x14ac:dyDescent="0.2">
      <c r="A13" s="103"/>
      <c r="B13" s="103"/>
      <c r="C13" s="16" t="s">
        <v>747</v>
      </c>
      <c r="D13" s="13">
        <f>-$M$51+1920298.81317661</f>
        <v>1920298.81317661</v>
      </c>
      <c r="E13" s="13">
        <v>-36441.037148729818</v>
      </c>
      <c r="F13" s="13">
        <v>0</v>
      </c>
      <c r="G13" s="15"/>
      <c r="H13" s="15"/>
      <c r="I13" s="15"/>
      <c r="J13" s="15"/>
      <c r="K13" s="15"/>
      <c r="L13" s="23" t="s">
        <v>791</v>
      </c>
      <c r="M13" s="23">
        <v>24768.943363398612</v>
      </c>
      <c r="N13" s="15"/>
      <c r="O13" s="23" t="s">
        <v>828</v>
      </c>
      <c r="P13" s="29">
        <f>SUMIF('MERCADO TUSD'!$H$2:$H$65,"MWh",'MERCADO TUSD'!$U$2:$U$65)</f>
        <v>1149620.0090000001</v>
      </c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</row>
    <row r="14" spans="1:30" ht="12" customHeight="1" x14ac:dyDescent="0.2">
      <c r="A14" s="103"/>
      <c r="B14" s="103"/>
      <c r="C14" s="16" t="s">
        <v>748</v>
      </c>
      <c r="D14" s="13">
        <v>0</v>
      </c>
      <c r="E14" s="13">
        <v>0</v>
      </c>
      <c r="F14" s="13">
        <v>0</v>
      </c>
      <c r="G14" s="15"/>
      <c r="H14" s="15"/>
      <c r="I14" s="15"/>
      <c r="J14" s="15"/>
      <c r="K14" s="15"/>
      <c r="L14" s="23" t="s">
        <v>792</v>
      </c>
      <c r="M14" s="23">
        <v>200.91900618868661</v>
      </c>
      <c r="N14" s="15"/>
      <c r="O14" s="23" t="s">
        <v>829</v>
      </c>
      <c r="P14" s="29">
        <f>SUMIF('MERCADO TE'!$H$2:$H$48,"MWh",'MERCADO TE'!$U$2:$U$48)</f>
        <v>1091511.5830000001</v>
      </c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</row>
    <row r="15" spans="1:30" ht="12" customHeight="1" x14ac:dyDescent="0.2">
      <c r="A15" s="103"/>
      <c r="B15" s="103"/>
      <c r="C15" s="16" t="s">
        <v>749</v>
      </c>
      <c r="D15" s="13">
        <v>0</v>
      </c>
      <c r="E15" s="13">
        <v>0</v>
      </c>
      <c r="F15" s="13">
        <v>0</v>
      </c>
      <c r="G15" s="15"/>
      <c r="H15" s="15"/>
      <c r="I15" s="15"/>
      <c r="J15" s="15"/>
      <c r="K15" s="15"/>
      <c r="L15" s="23" t="s">
        <v>793</v>
      </c>
      <c r="M15" s="23">
        <f>M14*M12</f>
        <v>282760234.20689499</v>
      </c>
      <c r="N15" s="15"/>
      <c r="O15" s="23" t="s">
        <v>830</v>
      </c>
      <c r="P15" s="29" t="str">
        <f>IF(ABS(P9-P12)&gt;1,"ERRO","OK")</f>
        <v>OK</v>
      </c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</row>
    <row r="16" spans="1:30" ht="12" customHeight="1" x14ac:dyDescent="0.2">
      <c r="A16" s="103"/>
      <c r="B16" s="103"/>
      <c r="C16" s="16" t="s">
        <v>750</v>
      </c>
      <c r="D16" s="13">
        <v>0</v>
      </c>
      <c r="E16" s="13">
        <v>0</v>
      </c>
      <c r="F16" s="13">
        <f>IF((+$D$11+$D$12+$D$16+$D$17+$D$39)&lt;&gt;0,$M$19*$D$16/(+$D$11+$D$12+$D$16+$D$17+$D$39),0)</f>
        <v>0</v>
      </c>
      <c r="G16" s="15"/>
      <c r="H16" s="15"/>
      <c r="I16" s="15"/>
      <c r="J16" s="15"/>
      <c r="K16" s="15"/>
      <c r="L16" s="23" t="s">
        <v>794</v>
      </c>
      <c r="M16" s="23">
        <v>38216801.992865339</v>
      </c>
      <c r="N16" s="15"/>
      <c r="O16" s="23" t="s">
        <v>831</v>
      </c>
      <c r="P16" s="29" t="str">
        <f>IF(ABS(P10-P13)&gt;1,"ERRO","OK")</f>
        <v>OK</v>
      </c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</row>
    <row r="17" spans="1:30" ht="12" customHeight="1" x14ac:dyDescent="0.2">
      <c r="A17" s="103"/>
      <c r="B17" s="103"/>
      <c r="C17" s="16" t="s">
        <v>751</v>
      </c>
      <c r="D17" s="13">
        <v>0</v>
      </c>
      <c r="E17" s="13">
        <v>0</v>
      </c>
      <c r="F17" s="13">
        <f>IF((+$D$11+$D$12+$D$16+$D$17+$D$39)&lt;&gt;0,$M$19*$D$17/(+$D$11+$D$12+$D$16+$D$17+$D$39),0)</f>
        <v>0</v>
      </c>
      <c r="G17" s="15"/>
      <c r="H17" s="15"/>
      <c r="I17" s="15"/>
      <c r="J17" s="15"/>
      <c r="K17" s="15"/>
      <c r="L17" s="23" t="s">
        <v>795</v>
      </c>
      <c r="M17" s="23">
        <v>-3610150.3299999996</v>
      </c>
      <c r="N17" s="15"/>
      <c r="O17" s="23" t="s">
        <v>832</v>
      </c>
      <c r="P17" s="29" t="str">
        <f>IF(ABS(P11-P14)&gt;1,"ERRO","OK")</f>
        <v>OK</v>
      </c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</row>
    <row r="18" spans="1:30" ht="12" customHeight="1" x14ac:dyDescent="0.2">
      <c r="A18" s="103"/>
      <c r="B18" s="104"/>
      <c r="C18" s="16" t="s">
        <v>743</v>
      </c>
      <c r="D18" s="13">
        <f>SUM(D$11:D17)</f>
        <v>37348701.353176616</v>
      </c>
      <c r="E18" s="13">
        <f>SUM(E$11:E17)</f>
        <v>395264.74967429723</v>
      </c>
      <c r="F18" s="13">
        <f>SUM(F$11:F17)</f>
        <v>5891429.4256999977</v>
      </c>
      <c r="G18" s="15"/>
      <c r="H18" s="15"/>
      <c r="I18" s="15"/>
      <c r="J18" s="15"/>
      <c r="K18" s="15"/>
      <c r="L18" s="23" t="s">
        <v>796</v>
      </c>
      <c r="M18" s="23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</row>
    <row r="19" spans="1:30" ht="12" customHeight="1" x14ac:dyDescent="0.2">
      <c r="A19" s="103"/>
      <c r="B19" s="102" t="s">
        <v>752</v>
      </c>
      <c r="C19" s="16" t="s">
        <v>753</v>
      </c>
      <c r="D19" s="13">
        <v>338718926.74802554</v>
      </c>
      <c r="E19" s="13">
        <v>-483987.81999999995</v>
      </c>
      <c r="F19" s="13">
        <v>0</v>
      </c>
      <c r="G19" s="15"/>
      <c r="H19" s="15"/>
      <c r="I19" s="15"/>
      <c r="J19" s="15"/>
      <c r="K19" s="15"/>
      <c r="L19" s="23" t="s">
        <v>797</v>
      </c>
      <c r="M19" s="23">
        <v>5891429.4256999977</v>
      </c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</row>
    <row r="20" spans="1:30" ht="12" customHeight="1" x14ac:dyDescent="0.2">
      <c r="A20" s="103"/>
      <c r="B20" s="104"/>
      <c r="C20" s="16" t="s">
        <v>743</v>
      </c>
      <c r="D20" s="13">
        <f>SUM(D$19:D19)</f>
        <v>338718926.74802554</v>
      </c>
      <c r="E20" s="13">
        <f>SUM(E$19:E19)</f>
        <v>-483987.81999999995</v>
      </c>
      <c r="F20" s="13">
        <f>SUM(F$19:F19)</f>
        <v>0</v>
      </c>
      <c r="G20" s="15"/>
      <c r="H20" s="15"/>
      <c r="I20" s="15"/>
      <c r="J20" s="15"/>
      <c r="K20" s="15"/>
      <c r="L20" s="23" t="s">
        <v>798</v>
      </c>
      <c r="M20" s="23">
        <v>-1.5755690445073185</v>
      </c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</row>
    <row r="21" spans="1:30" ht="12" customHeight="1" x14ac:dyDescent="0.2">
      <c r="A21" s="103"/>
      <c r="B21" s="102" t="s">
        <v>754</v>
      </c>
      <c r="C21" s="16" t="s">
        <v>755</v>
      </c>
      <c r="D21" s="13"/>
      <c r="E21" s="13">
        <f>IF($D$47&lt;&gt;0,(1-$D$46/$D$47)*-67737459.3087496,0)+0</f>
        <v>-46797907.055516258</v>
      </c>
      <c r="F21" s="13"/>
      <c r="G21" s="15"/>
      <c r="H21" s="15"/>
      <c r="I21" s="15"/>
      <c r="J21" s="15"/>
      <c r="K21" s="15"/>
      <c r="L21" s="23" t="s">
        <v>799</v>
      </c>
      <c r="M21" s="23">
        <v>0</v>
      </c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</row>
    <row r="22" spans="1:30" ht="12" customHeight="1" x14ac:dyDescent="0.2">
      <c r="A22" s="103"/>
      <c r="B22" s="103"/>
      <c r="C22" s="16" t="s">
        <v>756</v>
      </c>
      <c r="D22" s="13"/>
      <c r="E22" s="13"/>
      <c r="F22" s="13"/>
      <c r="G22" s="15"/>
      <c r="H22" s="15"/>
      <c r="I22" s="15"/>
      <c r="J22" s="15"/>
      <c r="K22" s="15"/>
      <c r="L22" s="23" t="s">
        <v>821</v>
      </c>
      <c r="M22" s="23">
        <v>6881761.778599075</v>
      </c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</row>
    <row r="23" spans="1:30" ht="12" customHeight="1" x14ac:dyDescent="0.2">
      <c r="A23" s="103"/>
      <c r="B23" s="104"/>
      <c r="C23" s="16" t="s">
        <v>743</v>
      </c>
      <c r="D23" s="13">
        <f>SUM(D$21:D22)</f>
        <v>0</v>
      </c>
      <c r="E23" s="13">
        <f>SUM(E$21:E22)</f>
        <v>-46797907.055516258</v>
      </c>
      <c r="F23" s="13">
        <f>SUM(F$21:F22)</f>
        <v>0</v>
      </c>
      <c r="G23" s="15"/>
      <c r="H23" s="15"/>
      <c r="I23" s="15"/>
      <c r="J23" s="15"/>
      <c r="K23" s="15"/>
      <c r="L23" s="23" t="s">
        <v>800</v>
      </c>
      <c r="M23" s="23">
        <v>26</v>
      </c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</row>
    <row r="24" spans="1:30" ht="12" customHeight="1" x14ac:dyDescent="0.2">
      <c r="A24" s="103"/>
      <c r="B24" s="102" t="s">
        <v>757</v>
      </c>
      <c r="C24" s="16" t="s">
        <v>758</v>
      </c>
      <c r="D24" s="13">
        <f>$M$14*$M$8</f>
        <v>28376289.848444641</v>
      </c>
      <c r="E24" s="13">
        <f>$M$16*$M$8/$M$12</f>
        <v>3835231.8297935533</v>
      </c>
      <c r="F24" s="13">
        <f>$M$17*$M$8/$M$12</f>
        <v>-362295.18782185263</v>
      </c>
      <c r="G24" s="15"/>
      <c r="H24" s="15"/>
      <c r="I24" s="15"/>
      <c r="J24" s="15"/>
      <c r="K24" s="15"/>
      <c r="L24" s="23" t="s">
        <v>801</v>
      </c>
      <c r="M24" s="23">
        <v>0</v>
      </c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</row>
    <row r="25" spans="1:30" ht="12" customHeight="1" x14ac:dyDescent="0.2">
      <c r="A25" s="103"/>
      <c r="B25" s="103"/>
      <c r="C25" s="16" t="s">
        <v>759</v>
      </c>
      <c r="D25" s="13">
        <f>$M$14*$M$10</f>
        <v>1312093.1585851414</v>
      </c>
      <c r="E25" s="13">
        <f>$M$16*$M$10/$M$12</f>
        <v>177337.5403316131</v>
      </c>
      <c r="F25" s="13">
        <f>$M$17*$M$10/$M$12</f>
        <v>-16752.191349477187</v>
      </c>
      <c r="G25" s="15"/>
      <c r="H25" s="15"/>
      <c r="I25" s="15"/>
      <c r="J25" s="15"/>
      <c r="K25" s="15"/>
      <c r="L25" s="23" t="s">
        <v>802</v>
      </c>
      <c r="M25" s="23">
        <v>0</v>
      </c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</row>
    <row r="26" spans="1:30" ht="12" customHeight="1" x14ac:dyDescent="0.2">
      <c r="A26" s="103"/>
      <c r="B26" s="103"/>
      <c r="C26" s="16" t="s">
        <v>760</v>
      </c>
      <c r="D26" s="13">
        <f>$M$14*$M$9</f>
        <v>28727361.346561823</v>
      </c>
      <c r="E26" s="13">
        <f>$M$16*$M$9/$M$12</f>
        <v>3882681.3234131755</v>
      </c>
      <c r="F26" s="13">
        <f>$M$17*$M$9/$M$12</f>
        <v>-366777.5043977187</v>
      </c>
      <c r="G26" s="15"/>
      <c r="H26" s="15"/>
      <c r="I26" s="15"/>
      <c r="J26" s="15"/>
      <c r="K26" s="15"/>
      <c r="L26" s="23" t="s">
        <v>803</v>
      </c>
      <c r="M26" s="23">
        <v>0</v>
      </c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</row>
    <row r="27" spans="1:30" ht="12" customHeight="1" x14ac:dyDescent="0.2">
      <c r="A27" s="103"/>
      <c r="B27" s="103"/>
      <c r="C27" s="16" t="s">
        <v>761</v>
      </c>
      <c r="D27" s="13">
        <v>12574203.058717519</v>
      </c>
      <c r="E27" s="13">
        <v>-780471.08261516178</v>
      </c>
      <c r="F27" s="13">
        <v>0</v>
      </c>
      <c r="G27" s="15"/>
      <c r="H27" s="15"/>
      <c r="I27" s="15"/>
      <c r="J27" s="15"/>
      <c r="K27" s="15"/>
      <c r="L27" s="23" t="s">
        <v>804</v>
      </c>
      <c r="M27" s="23">
        <v>0</v>
      </c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</row>
    <row r="28" spans="1:30" ht="12" customHeight="1" x14ac:dyDescent="0.2">
      <c r="A28" s="103"/>
      <c r="B28" s="104"/>
      <c r="C28" s="16" t="s">
        <v>743</v>
      </c>
      <c r="D28" s="13">
        <f>SUM(D$24:D27)</f>
        <v>70989947.412309125</v>
      </c>
      <c r="E28" s="13">
        <f>SUM(E$24:E27)</f>
        <v>7114779.6109231804</v>
      </c>
      <c r="F28" s="13">
        <f>SUM(F$24:F27)</f>
        <v>-745824.88356904848</v>
      </c>
      <c r="G28" s="15"/>
      <c r="H28" s="15"/>
      <c r="I28" s="15"/>
      <c r="J28" s="15"/>
      <c r="K28" s="15"/>
      <c r="L28" s="23" t="s">
        <v>805</v>
      </c>
      <c r="M28" s="23">
        <v>0</v>
      </c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</row>
    <row r="29" spans="1:30" ht="12" customHeight="1" x14ac:dyDescent="0.2">
      <c r="A29" s="104"/>
      <c r="B29" s="98" t="s">
        <v>743</v>
      </c>
      <c r="C29" s="100"/>
      <c r="D29" s="13">
        <f>SUMIF(C$2:C28,"SUBTOTAL",D$2:D28)</f>
        <v>522750221.78790981</v>
      </c>
      <c r="E29" s="13">
        <f>SUMIF(C$2:C28,"SUBTOTAL",E$2:E28)</f>
        <v>-43686964.125532322</v>
      </c>
      <c r="F29" s="13">
        <f>SUMIF(C$2:C28,"SUBTOTAL",F$2:F28)</f>
        <v>24255440.29358314</v>
      </c>
      <c r="G29" s="15"/>
      <c r="H29" s="15"/>
      <c r="I29" s="15"/>
      <c r="J29" s="15"/>
      <c r="K29" s="15"/>
      <c r="L29" s="23" t="s">
        <v>806</v>
      </c>
      <c r="M29" s="23">
        <v>0</v>
      </c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</row>
    <row r="30" spans="1:30" ht="12" customHeight="1" x14ac:dyDescent="0.2">
      <c r="A30" s="102" t="s">
        <v>762</v>
      </c>
      <c r="B30" s="102" t="s">
        <v>735</v>
      </c>
      <c r="C30" s="16" t="s">
        <v>737</v>
      </c>
      <c r="D30" s="13">
        <f>IFERROR($M$5*(+D$31+D$32+D$33+D$34+D$36+D$38+D$39+D$40+D$44)+($M$5^2)*(+D$31+D$32+D$33+D$34+D$36+D$38+D$39+D$40+D$44)/$M$22*(+$E$2+$F$2+$E$3+$F$3+$E$8+$F$8+$E$9+$F$9+$E$11+$F$11+$E$12+$F$12+$E$13+$F$13+$E$14+$F$14+$E$15+$F$15+$E$16+$F$16+$E$17+$F$17+$E$19+$F$19+$E$22+$F$22+$E$24+$F$24+$E$25+$F$25+$E$26+$F$26+$E$27+$F$27+$E$31+$F$31+$E$32+$F$32+$E$33+$F$33+$E$34+$F$34+$E$36+$F$36+$E$38+$F$38+$E$39+$F$39+$E$40+$F$40+$E$44+$F$44),0)</f>
        <v>2476185.1305569597</v>
      </c>
      <c r="E30" s="13">
        <f>IF((D30+D$4)&lt;&gt;0,$M$20*D30/(D30+D$4),0)</f>
        <v>-0.56691887422018106</v>
      </c>
      <c r="F30" s="13">
        <f>IF((D30+D$4)&lt;&gt;0,$M$21*D30/(D30+D$4),0)</f>
        <v>0</v>
      </c>
      <c r="G30" s="15"/>
      <c r="H30" s="15"/>
      <c r="I30" s="15"/>
      <c r="J30" s="15"/>
      <c r="K30" s="15"/>
      <c r="L30" s="23" t="s">
        <v>807</v>
      </c>
      <c r="M30" s="23">
        <v>0</v>
      </c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</row>
    <row r="31" spans="1:30" ht="12" customHeight="1" x14ac:dyDescent="0.2">
      <c r="A31" s="103"/>
      <c r="B31" s="103"/>
      <c r="C31" s="16" t="s">
        <v>763</v>
      </c>
      <c r="D31" s="13">
        <v>18851171.780000001</v>
      </c>
      <c r="E31" s="13">
        <v>5562714.3320097802</v>
      </c>
      <c r="F31" s="13">
        <v>806865.14749999996</v>
      </c>
      <c r="G31" s="15"/>
      <c r="H31" s="15"/>
      <c r="I31" s="15"/>
      <c r="J31" s="15"/>
      <c r="K31" s="15"/>
      <c r="L31" s="23" t="s">
        <v>808</v>
      </c>
      <c r="M31" s="23">
        <v>0</v>
      </c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</row>
    <row r="32" spans="1:30" ht="12" customHeight="1" x14ac:dyDescent="0.2">
      <c r="A32" s="103"/>
      <c r="B32" s="103"/>
      <c r="C32" s="16" t="s">
        <v>764</v>
      </c>
      <c r="D32" s="13">
        <v>0</v>
      </c>
      <c r="E32" s="13">
        <v>0</v>
      </c>
      <c r="F32" s="13">
        <v>0</v>
      </c>
      <c r="G32" s="15"/>
      <c r="H32" s="15"/>
      <c r="I32" s="15"/>
      <c r="J32" s="15"/>
      <c r="K32" s="15"/>
      <c r="L32" s="23" t="s">
        <v>809</v>
      </c>
      <c r="M32" s="23">
        <v>0.45</v>
      </c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</row>
    <row r="33" spans="1:30" ht="12" customHeight="1" x14ac:dyDescent="0.2">
      <c r="A33" s="103"/>
      <c r="B33" s="103"/>
      <c r="C33" s="16" t="s">
        <v>823</v>
      </c>
      <c r="D33" s="13">
        <v>5377709.5404118784</v>
      </c>
      <c r="E33" s="13">
        <v>-702415.19341195375</v>
      </c>
      <c r="F33" s="13">
        <v>206074.34894780969</v>
      </c>
      <c r="G33" s="15"/>
      <c r="H33" s="15"/>
      <c r="I33" s="15"/>
      <c r="J33" s="15"/>
      <c r="K33" s="15"/>
      <c r="L33" s="23" t="s">
        <v>810</v>
      </c>
      <c r="M33" s="23">
        <v>0.4</v>
      </c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</row>
    <row r="34" spans="1:30" ht="12" customHeight="1" x14ac:dyDescent="0.2">
      <c r="A34" s="103"/>
      <c r="B34" s="103"/>
      <c r="C34" s="16" t="s">
        <v>765</v>
      </c>
      <c r="D34" s="13">
        <v>-17146882.59</v>
      </c>
      <c r="E34" s="13">
        <v>0</v>
      </c>
      <c r="F34" s="13">
        <v>0</v>
      </c>
      <c r="G34" s="15"/>
      <c r="H34" s="15"/>
      <c r="I34" s="15"/>
      <c r="J34" s="15"/>
      <c r="K34" s="15"/>
      <c r="L34" s="23" t="s">
        <v>811</v>
      </c>
      <c r="M34" s="23">
        <v>0.65</v>
      </c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</row>
    <row r="35" spans="1:30" ht="12" customHeight="1" x14ac:dyDescent="0.2">
      <c r="A35" s="103"/>
      <c r="B35" s="104"/>
      <c r="C35" s="16" t="s">
        <v>743</v>
      </c>
      <c r="D35" s="13">
        <f>SUM(D$30:D34)</f>
        <v>9558183.8609688394</v>
      </c>
      <c r="E35" s="13">
        <f>SUM(E$30:E34)</f>
        <v>4860298.5716789523</v>
      </c>
      <c r="F35" s="13">
        <f>SUM(F$30:F34)</f>
        <v>1012939.4964478096</v>
      </c>
      <c r="G35" s="15"/>
      <c r="H35" s="15"/>
      <c r="I35" s="15"/>
      <c r="J35" s="15"/>
      <c r="K35" s="15"/>
      <c r="L35" s="23" t="s">
        <v>812</v>
      </c>
      <c r="M35" s="23">
        <v>0.4</v>
      </c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</row>
    <row r="36" spans="1:30" ht="12" customHeight="1" x14ac:dyDescent="0.2">
      <c r="A36" s="103"/>
      <c r="B36" s="102" t="s">
        <v>766</v>
      </c>
      <c r="C36" s="16" t="s">
        <v>767</v>
      </c>
      <c r="D36" s="13">
        <f>$M$14*($M$12-$M$7)</f>
        <v>219305422.49979985</v>
      </c>
      <c r="E36" s="13">
        <f>$M$16*($M$12-$M$7)/$M$12</f>
        <v>29640490.046786625</v>
      </c>
      <c r="F36" s="13">
        <f>$M$17*($M$12-$M$7)/$M$12</f>
        <v>-2799988.9928975585</v>
      </c>
      <c r="G36" s="15"/>
      <c r="H36" s="15"/>
      <c r="I36" s="15"/>
      <c r="J36" s="15"/>
      <c r="K36" s="15"/>
      <c r="L36" s="23" t="s">
        <v>813</v>
      </c>
      <c r="M36" s="23">
        <v>0.1</v>
      </c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</row>
    <row r="37" spans="1:30" ht="12" customHeight="1" x14ac:dyDescent="0.2">
      <c r="A37" s="103"/>
      <c r="B37" s="104"/>
      <c r="C37" s="16" t="s">
        <v>743</v>
      </c>
      <c r="D37" s="13">
        <f>SUM(D$36:D36)</f>
        <v>219305422.49979985</v>
      </c>
      <c r="E37" s="13">
        <f>SUM(E$36:E36)</f>
        <v>29640490.046786625</v>
      </c>
      <c r="F37" s="13">
        <f>SUM(F$36:F36)</f>
        <v>-2799988.9928975585</v>
      </c>
      <c r="G37" s="15"/>
      <c r="H37" s="15"/>
      <c r="I37" s="15"/>
      <c r="J37" s="15"/>
      <c r="K37" s="15"/>
      <c r="L37" s="23" t="s">
        <v>814</v>
      </c>
      <c r="M37" s="23">
        <v>0</v>
      </c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</row>
    <row r="38" spans="1:30" ht="12" customHeight="1" x14ac:dyDescent="0.2">
      <c r="A38" s="103"/>
      <c r="B38" s="102" t="s">
        <v>744</v>
      </c>
      <c r="C38" s="16" t="s">
        <v>768</v>
      </c>
      <c r="D38" s="13">
        <v>0</v>
      </c>
      <c r="E38" s="13">
        <v>0</v>
      </c>
      <c r="F38" s="13">
        <v>0</v>
      </c>
      <c r="G38" s="15"/>
      <c r="H38" s="15"/>
      <c r="I38" s="15"/>
      <c r="J38" s="15"/>
      <c r="K38" s="15"/>
      <c r="L38" s="23" t="s">
        <v>815</v>
      </c>
      <c r="M38" s="23">
        <f>IFERROR(VLOOKUP("Convencional1RuralNão se aplicaRURALB2",Descontos!B1:U88,VLOOKUP("Convencional1RuralNão se aplicaRURALB2",Descontos!B1:U88,20,FALSE)+12,FALSE),100)</f>
        <v>0.06</v>
      </c>
      <c r="N38" s="15" t="s">
        <v>870</v>
      </c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</row>
    <row r="39" spans="1:30" ht="12" customHeight="1" x14ac:dyDescent="0.2">
      <c r="A39" s="103"/>
      <c r="B39" s="103"/>
      <c r="C39" s="16" t="s">
        <v>769</v>
      </c>
      <c r="D39" s="13">
        <v>0</v>
      </c>
      <c r="E39" s="13">
        <v>0</v>
      </c>
      <c r="F39" s="13">
        <f>IF((+$D$11+$D$12+$D$16+$D$17+$D$39)&lt;&gt;0,$M$19*$D$39/(+$D$11+$D$12+$D$16+$D$17+$D$39),0)</f>
        <v>0</v>
      </c>
      <c r="G39" s="15"/>
      <c r="H39" s="15"/>
      <c r="I39" s="15"/>
      <c r="J39" s="15"/>
      <c r="K39" s="15"/>
      <c r="L39" s="23" t="s">
        <v>816</v>
      </c>
      <c r="M39" s="23">
        <f>IFERROR(VLOOKUP("Convencional1RuralCooperativa de eletrificação ruralPlanilha CUSTOB2",Descontos!B1:U88,VLOOKUP("Convencional1RuralCooperativa de eletrificação ruralPlanilha CUSTOB2",Descontos!B1:U88,20,FALSE)+12,FALSE),100)</f>
        <v>0.06</v>
      </c>
      <c r="N39" s="15">
        <v>0.3</v>
      </c>
      <c r="O39" s="15" t="s">
        <v>887</v>
      </c>
      <c r="P39" s="15" t="s">
        <v>888</v>
      </c>
      <c r="Q39" s="15" t="s">
        <v>889</v>
      </c>
      <c r="R39" s="15" t="s">
        <v>890</v>
      </c>
      <c r="S39" s="15" t="s">
        <v>1</v>
      </c>
      <c r="T39" s="15" t="s">
        <v>891</v>
      </c>
      <c r="U39" s="15"/>
      <c r="V39" s="15"/>
      <c r="W39" s="15"/>
      <c r="X39" s="15"/>
      <c r="Y39" s="15"/>
      <c r="Z39" s="15"/>
      <c r="AA39" s="15"/>
      <c r="AB39" s="15"/>
      <c r="AC39" s="15"/>
      <c r="AD39" s="15"/>
    </row>
    <row r="40" spans="1:30" ht="12" customHeight="1" x14ac:dyDescent="0.25">
      <c r="A40" s="103"/>
      <c r="B40" s="103"/>
      <c r="C40" s="16" t="s">
        <v>770</v>
      </c>
      <c r="D40" s="13"/>
      <c r="E40" s="13">
        <v>0</v>
      </c>
      <c r="F40" s="13">
        <v>0</v>
      </c>
      <c r="G40" s="15"/>
      <c r="H40" s="15"/>
      <c r="I40" s="15"/>
      <c r="J40" s="15"/>
      <c r="K40" s="15"/>
      <c r="L40" s="23" t="s">
        <v>817</v>
      </c>
      <c r="M40" s="23">
        <f>IFERROR(VLOOKUP("Convencional1RuralServiço público de irrigação ruralPlanilha CUSTOB2",Descontos!B1:U88,VLOOKUP("Convencional1RuralServiço público de irrigação ruralPlanilha CUSTOB2",Descontos!B1:U88,20,FALSE)+12,FALSE),100)</f>
        <v>0.08</v>
      </c>
      <c r="N40" s="15">
        <v>0.4</v>
      </c>
      <c r="O40" s="33"/>
      <c r="P40" s="33"/>
      <c r="Q40" s="33"/>
      <c r="R40" s="33"/>
      <c r="S40" s="33"/>
      <c r="T40" s="33"/>
      <c r="U40" s="15"/>
      <c r="V40" s="15"/>
      <c r="W40" s="15"/>
      <c r="X40" s="15"/>
      <c r="Y40" s="15"/>
      <c r="Z40" s="15"/>
      <c r="AA40" s="15"/>
      <c r="AB40" s="15"/>
      <c r="AC40" s="15"/>
      <c r="AD40" s="15"/>
    </row>
    <row r="41" spans="1:30" ht="12" customHeight="1" x14ac:dyDescent="0.25">
      <c r="A41" s="103"/>
      <c r="B41" s="104"/>
      <c r="C41" s="16" t="s">
        <v>743</v>
      </c>
      <c r="D41" s="13">
        <f>SUM(D$38:D40)</f>
        <v>0</v>
      </c>
      <c r="E41" s="13">
        <f>SUM(E$38:E40)</f>
        <v>0</v>
      </c>
      <c r="F41" s="13">
        <f>SUM(F$38:F40)</f>
        <v>0</v>
      </c>
      <c r="G41" s="15"/>
      <c r="H41" s="15"/>
      <c r="I41" s="15"/>
      <c r="J41" s="15"/>
      <c r="K41" s="15"/>
      <c r="L41" s="15"/>
      <c r="M41" s="15"/>
      <c r="N41" s="15"/>
      <c r="O41" s="33"/>
      <c r="P41" s="33"/>
      <c r="Q41" s="33"/>
      <c r="R41" s="33"/>
      <c r="S41" s="33"/>
      <c r="T41" s="33"/>
      <c r="U41" s="15"/>
      <c r="V41" s="15"/>
      <c r="W41" s="15"/>
      <c r="X41" s="15"/>
      <c r="Y41" s="15"/>
      <c r="Z41" s="15"/>
      <c r="AA41" s="15"/>
      <c r="AB41" s="15"/>
      <c r="AC41" s="15"/>
      <c r="AD41" s="15"/>
    </row>
    <row r="42" spans="1:30" ht="12" customHeight="1" x14ac:dyDescent="0.25">
      <c r="A42" s="103"/>
      <c r="B42" s="102" t="s">
        <v>754</v>
      </c>
      <c r="C42" s="16" t="s">
        <v>755</v>
      </c>
      <c r="D42" s="13"/>
      <c r="E42" s="13">
        <f>IF($D$47&lt;&gt;0,($D$46/$D$47)* -67737459.3087496,0)+0</f>
        <v>-20939552.25323334</v>
      </c>
      <c r="F42" s="13"/>
      <c r="G42" s="15"/>
      <c r="H42" s="15"/>
      <c r="I42" s="15"/>
      <c r="J42" s="15"/>
      <c r="K42" s="15"/>
      <c r="L42" s="15"/>
      <c r="M42" s="15"/>
      <c r="N42" s="15"/>
      <c r="O42" s="33"/>
      <c r="P42" s="33"/>
      <c r="Q42" s="33"/>
      <c r="R42" s="33"/>
      <c r="S42" s="33"/>
      <c r="T42" s="33"/>
      <c r="U42" s="15"/>
      <c r="V42" s="15"/>
      <c r="W42" s="15"/>
      <c r="X42" s="15"/>
      <c r="Y42" s="15"/>
      <c r="Z42" s="15"/>
      <c r="AA42" s="15"/>
      <c r="AB42" s="15"/>
      <c r="AC42" s="15"/>
      <c r="AD42" s="15"/>
    </row>
    <row r="43" spans="1:30" ht="12" customHeight="1" x14ac:dyDescent="0.25">
      <c r="A43" s="103"/>
      <c r="B43" s="104"/>
      <c r="C43" s="16" t="s">
        <v>743</v>
      </c>
      <c r="D43" s="13">
        <f>SUM(D$42:D42)</f>
        <v>0</v>
      </c>
      <c r="E43" s="13">
        <f>SUM(E$42:E42)</f>
        <v>-20939552.25323334</v>
      </c>
      <c r="F43" s="13">
        <f>SUM(F$42:F42)</f>
        <v>0</v>
      </c>
      <c r="G43" s="15"/>
      <c r="H43" s="15"/>
      <c r="I43" s="15"/>
      <c r="J43" s="15"/>
      <c r="K43" s="15"/>
      <c r="L43" s="15"/>
      <c r="M43" s="15"/>
      <c r="N43" s="15"/>
      <c r="O43" s="33"/>
      <c r="P43" s="33"/>
      <c r="Q43" s="33"/>
      <c r="R43" s="33"/>
      <c r="S43" s="33"/>
      <c r="T43" s="33"/>
      <c r="U43" s="15"/>
      <c r="V43" s="15"/>
      <c r="W43" s="15"/>
      <c r="X43" s="15"/>
      <c r="Y43" s="15"/>
      <c r="Z43" s="15"/>
      <c r="AA43" s="15"/>
      <c r="AB43" s="15"/>
      <c r="AC43" s="15"/>
      <c r="AD43" s="15"/>
    </row>
    <row r="44" spans="1:30" ht="12" customHeight="1" x14ac:dyDescent="0.25">
      <c r="A44" s="103"/>
      <c r="B44" s="102" t="s">
        <v>757</v>
      </c>
      <c r="C44" s="16" t="s">
        <v>771</v>
      </c>
      <c r="D44" s="13">
        <f>$M$14*$M$11</f>
        <v>5039067.3535035541</v>
      </c>
      <c r="E44" s="13">
        <f>$M$16*$M$11/$M$12</f>
        <v>681061.25254037359</v>
      </c>
      <c r="F44" s="13">
        <f>$M$17*$M$11/$M$12</f>
        <v>-64336.453533392501</v>
      </c>
      <c r="G44" s="15"/>
      <c r="H44" s="15"/>
      <c r="I44" s="15"/>
      <c r="J44" s="15"/>
      <c r="K44" s="15"/>
      <c r="L44" s="15"/>
      <c r="M44" s="15"/>
      <c r="N44" s="15"/>
      <c r="O44" s="33"/>
      <c r="P44" s="33"/>
      <c r="Q44" s="33"/>
      <c r="R44" s="33"/>
      <c r="S44" s="33"/>
      <c r="T44" s="33"/>
      <c r="U44" s="15"/>
      <c r="V44" s="15"/>
      <c r="W44" s="15"/>
      <c r="X44" s="15"/>
      <c r="Y44" s="15"/>
      <c r="Z44" s="15"/>
      <c r="AA44" s="15"/>
      <c r="AB44" s="15"/>
      <c r="AC44" s="15"/>
      <c r="AD44" s="15"/>
    </row>
    <row r="45" spans="1:30" ht="12" customHeight="1" x14ac:dyDescent="0.25">
      <c r="A45" s="103"/>
      <c r="B45" s="104"/>
      <c r="C45" s="16" t="s">
        <v>743</v>
      </c>
      <c r="D45" s="13">
        <f>SUM(D$44:D44)</f>
        <v>5039067.3535035541</v>
      </c>
      <c r="E45" s="13">
        <f>SUM(E$44:E44)</f>
        <v>681061.25254037359</v>
      </c>
      <c r="F45" s="13">
        <f>SUM(F$44:F44)</f>
        <v>-64336.453533392501</v>
      </c>
      <c r="G45" s="15"/>
      <c r="H45" s="15"/>
      <c r="I45" s="15"/>
      <c r="J45" s="15"/>
      <c r="K45" s="15"/>
      <c r="L45" s="15"/>
      <c r="M45" s="15"/>
      <c r="N45" s="15"/>
      <c r="O45" s="33"/>
      <c r="P45" s="33"/>
      <c r="Q45" s="33"/>
      <c r="R45" s="33"/>
      <c r="S45" s="33"/>
      <c r="T45" s="33"/>
      <c r="U45" s="15"/>
      <c r="V45" s="15"/>
      <c r="W45" s="15"/>
      <c r="X45" s="15"/>
      <c r="Y45" s="15"/>
      <c r="Z45" s="15"/>
      <c r="AA45" s="15"/>
      <c r="AB45" s="15"/>
      <c r="AC45" s="15"/>
      <c r="AD45" s="15"/>
    </row>
    <row r="46" spans="1:30" ht="12" customHeight="1" x14ac:dyDescent="0.25">
      <c r="A46" s="104"/>
      <c r="B46" s="98" t="s">
        <v>743</v>
      </c>
      <c r="C46" s="100"/>
      <c r="D46" s="13">
        <f>SUMIF(C$30:C45,"SUBTOTAL",D$30:D45)</f>
        <v>233902673.71427223</v>
      </c>
      <c r="E46" s="13">
        <f>SUMIF(C$30:C45,"SUBTOTAL",E$30:E45)</f>
        <v>14242297.617772615</v>
      </c>
      <c r="F46" s="13">
        <f>SUMIF(C$30:C45,"SUBTOTAL",F$30:F45)</f>
        <v>-1851385.9499831414</v>
      </c>
      <c r="G46" s="15"/>
      <c r="H46" s="15"/>
      <c r="I46" s="15"/>
      <c r="J46" s="15"/>
      <c r="K46" s="15"/>
      <c r="L46" s="15"/>
      <c r="M46" s="15"/>
      <c r="N46" s="15"/>
      <c r="O46" s="33"/>
      <c r="P46" s="33"/>
      <c r="Q46" s="33"/>
      <c r="R46" s="33"/>
      <c r="S46" s="33"/>
      <c r="T46" s="33"/>
      <c r="U46" s="15"/>
      <c r="V46" s="15"/>
      <c r="W46" s="15"/>
      <c r="X46" s="15"/>
      <c r="Y46" s="15"/>
      <c r="Z46" s="15"/>
      <c r="AA46" s="15"/>
      <c r="AB46" s="15"/>
      <c r="AC46" s="15"/>
      <c r="AD46" s="15"/>
    </row>
    <row r="47" spans="1:30" ht="12" customHeight="1" x14ac:dyDescent="0.25">
      <c r="A47" s="98" t="s">
        <v>772</v>
      </c>
      <c r="B47" s="99"/>
      <c r="C47" s="100"/>
      <c r="D47" s="13">
        <f>SUMIF(C$2:C46,"SUBTOTAL",D$2:D46)</f>
        <v>756652895.50218213</v>
      </c>
      <c r="E47" s="13">
        <f>SUMIF(C$2:C46,"SUBTOTAL",E$2:E46)</f>
        <v>-29444666.507759713</v>
      </c>
      <c r="F47" s="13">
        <f>SUMIF(C$2:C46,"SUBTOTAL",F$2:F46)</f>
        <v>22404054.343599997</v>
      </c>
      <c r="G47" s="15"/>
      <c r="H47" s="15"/>
      <c r="I47" s="15"/>
      <c r="J47" s="15"/>
      <c r="K47" s="15"/>
      <c r="L47" s="15"/>
      <c r="M47" s="15"/>
      <c r="N47" s="15"/>
      <c r="O47" s="33"/>
      <c r="P47" s="33"/>
      <c r="Q47" s="33"/>
      <c r="R47" s="33"/>
      <c r="S47" s="33"/>
      <c r="T47" s="33"/>
      <c r="U47" s="15"/>
      <c r="V47" s="15"/>
      <c r="W47" s="15"/>
      <c r="X47" s="15"/>
      <c r="Y47" s="15"/>
      <c r="Z47" s="15"/>
      <c r="AA47" s="15"/>
      <c r="AB47" s="15"/>
      <c r="AC47" s="15"/>
      <c r="AD47" s="15"/>
    </row>
    <row r="48" spans="1:30" ht="12" customHeight="1" x14ac:dyDescent="0.25">
      <c r="A48" s="96" t="s">
        <v>864</v>
      </c>
      <c r="B48" s="97"/>
      <c r="C48" s="97"/>
      <c r="D48" s="26">
        <f ca="1">'TUSD BE'!$AM$70+'TUSD BE'!$AM$74+'TE BE'!$AB$53</f>
        <v>756652895.50218201</v>
      </c>
      <c r="E48" s="26">
        <f ca="1">'TUSD BF'!$AM$70+'TE BF'!$AB$53</f>
        <v>-29444666.507759724</v>
      </c>
      <c r="F48" s="26">
        <f ca="1">'TUSD CVA'!$AM$70+'TE CVA'!$AB$53</f>
        <v>22404054.343599997</v>
      </c>
      <c r="L48" s="49"/>
      <c r="M48" s="23"/>
      <c r="O48" s="33"/>
      <c r="P48" s="33"/>
      <c r="Q48" s="33"/>
      <c r="R48" s="33"/>
      <c r="S48" s="33"/>
      <c r="T48" s="33"/>
    </row>
    <row r="49" spans="1:20" ht="12" customHeight="1" x14ac:dyDescent="0.25">
      <c r="A49" s="96" t="s">
        <v>865</v>
      </c>
      <c r="B49" s="97"/>
      <c r="C49" s="97"/>
      <c r="D49" s="27" t="str">
        <f ca="1">IF(ABS(D48-D47)&gt;1,"ERRO","OK")</f>
        <v>OK</v>
      </c>
      <c r="E49" s="27" t="str">
        <f ca="1">IF(ABS(E48-E47)&gt;1,"ERRO","OK")</f>
        <v>OK</v>
      </c>
      <c r="F49" s="27" t="str">
        <f ca="1">IF(ABS(F48-F47)&gt;1,"ERRO","OK")</f>
        <v>OK</v>
      </c>
      <c r="L49" s="49"/>
      <c r="M49" s="23"/>
      <c r="O49" s="33"/>
      <c r="P49" s="33"/>
      <c r="Q49" s="33"/>
      <c r="R49" s="33"/>
      <c r="S49" s="33"/>
      <c r="T49" s="33"/>
    </row>
    <row r="50" spans="1:20" ht="12" customHeight="1" x14ac:dyDescent="0.25">
      <c r="L50" s="49"/>
      <c r="M50" s="23"/>
      <c r="O50" s="33"/>
      <c r="P50" s="33"/>
      <c r="Q50" s="33"/>
      <c r="R50" s="33"/>
      <c r="S50" s="33"/>
      <c r="T50" s="33"/>
    </row>
    <row r="51" spans="1:20" ht="12" customHeight="1" x14ac:dyDescent="0.25">
      <c r="L51" s="40" t="s">
        <v>818</v>
      </c>
      <c r="M51" s="46">
        <v>0</v>
      </c>
      <c r="O51" s="33"/>
      <c r="P51" s="33"/>
      <c r="Q51" s="33"/>
      <c r="R51" s="33"/>
      <c r="S51" s="33"/>
      <c r="T51" s="33"/>
    </row>
    <row r="52" spans="1:20" ht="12" customHeight="1" x14ac:dyDescent="0.25">
      <c r="O52" s="33"/>
      <c r="P52" s="33"/>
      <c r="Q52" s="33"/>
      <c r="R52" s="33"/>
      <c r="S52" s="33"/>
      <c r="T52" s="33"/>
    </row>
    <row r="53" spans="1:20" ht="12" customHeight="1" x14ac:dyDescent="0.25">
      <c r="O53" s="33"/>
      <c r="P53" s="33"/>
      <c r="Q53" s="33"/>
      <c r="R53" s="33"/>
      <c r="S53" s="33"/>
      <c r="T53" s="33"/>
    </row>
    <row r="54" spans="1:20" ht="12" customHeight="1" x14ac:dyDescent="0.25">
      <c r="O54" s="33"/>
      <c r="P54" s="33"/>
      <c r="Q54" s="33"/>
      <c r="R54" s="33"/>
      <c r="S54" s="33"/>
      <c r="T54" s="33"/>
    </row>
    <row r="55" spans="1:20" ht="12" customHeight="1" x14ac:dyDescent="0.25">
      <c r="O55" s="33"/>
      <c r="P55" s="33"/>
      <c r="Q55" s="33"/>
      <c r="R55" s="33"/>
      <c r="S55" s="33"/>
      <c r="T55" s="33"/>
    </row>
    <row r="56" spans="1:20" ht="12" customHeight="1" x14ac:dyDescent="0.25">
      <c r="O56" s="33"/>
      <c r="P56" s="33"/>
      <c r="Q56" s="33"/>
      <c r="R56" s="33"/>
      <c r="S56" s="33"/>
      <c r="T56" s="33"/>
    </row>
    <row r="57" spans="1:20" ht="12" customHeight="1" x14ac:dyDescent="0.25">
      <c r="O57" s="33"/>
      <c r="P57" s="33"/>
      <c r="Q57" s="33"/>
      <c r="R57" s="33"/>
      <c r="S57" s="33"/>
      <c r="T57" s="33"/>
    </row>
    <row r="58" spans="1:20" ht="12" customHeight="1" x14ac:dyDescent="0.25">
      <c r="O58" s="33"/>
      <c r="P58" s="33"/>
      <c r="Q58" s="33"/>
      <c r="R58" s="33"/>
      <c r="S58" s="33"/>
      <c r="T58" s="33"/>
    </row>
    <row r="59" spans="1:20" ht="12" customHeight="1" x14ac:dyDescent="0.25">
      <c r="O59" s="33"/>
      <c r="P59" s="33"/>
      <c r="Q59" s="33"/>
      <c r="R59" s="33"/>
      <c r="S59" s="33"/>
      <c r="T59" s="33"/>
    </row>
    <row r="60" spans="1:20" ht="12" customHeight="1" x14ac:dyDescent="0.25">
      <c r="O60" s="33"/>
      <c r="P60" s="33"/>
      <c r="Q60" s="33"/>
      <c r="R60" s="33"/>
      <c r="S60" s="33"/>
      <c r="T60" s="33"/>
    </row>
    <row r="61" spans="1:20" ht="12" customHeight="1" x14ac:dyDescent="0.25">
      <c r="O61" s="33"/>
      <c r="P61" s="33"/>
      <c r="Q61" s="33"/>
      <c r="R61" s="33"/>
      <c r="S61" s="33"/>
      <c r="T61" s="33"/>
    </row>
    <row r="62" spans="1:20" ht="12" customHeight="1" x14ac:dyDescent="0.25">
      <c r="O62" s="33"/>
      <c r="P62" s="33"/>
      <c r="Q62" s="33"/>
      <c r="R62" s="33"/>
      <c r="S62" s="33"/>
      <c r="T62" s="33"/>
    </row>
    <row r="63" spans="1:20" ht="12" customHeight="1" x14ac:dyDescent="0.25">
      <c r="O63" s="33"/>
      <c r="P63" s="33"/>
      <c r="Q63" s="33"/>
      <c r="R63" s="33"/>
      <c r="S63" s="33"/>
      <c r="T63" s="33"/>
    </row>
    <row r="64" spans="1:20" ht="12" customHeight="1" x14ac:dyDescent="0.25">
      <c r="O64" s="33"/>
      <c r="P64" s="33"/>
      <c r="Q64" s="33"/>
      <c r="R64" s="33"/>
      <c r="S64" s="33"/>
      <c r="T64" s="33"/>
    </row>
    <row r="65" spans="15:20" ht="12" customHeight="1" x14ac:dyDescent="0.25">
      <c r="O65" s="33"/>
      <c r="P65" s="33"/>
      <c r="Q65" s="33"/>
      <c r="R65" s="33"/>
      <c r="S65" s="33"/>
      <c r="T65" s="33"/>
    </row>
    <row r="66" spans="15:20" ht="12" customHeight="1" x14ac:dyDescent="0.25">
      <c r="O66" s="33"/>
      <c r="P66" s="33"/>
      <c r="Q66" s="33"/>
      <c r="R66" s="33"/>
      <c r="S66" s="33"/>
      <c r="T66" s="33"/>
    </row>
    <row r="67" spans="15:20" ht="12" customHeight="1" x14ac:dyDescent="0.25">
      <c r="O67" s="33"/>
      <c r="P67" s="33"/>
      <c r="Q67" s="33"/>
      <c r="R67" s="33"/>
      <c r="S67" s="33"/>
      <c r="T67" s="33"/>
    </row>
    <row r="68" spans="15:20" ht="12" customHeight="1" x14ac:dyDescent="0.25">
      <c r="O68" s="33"/>
      <c r="P68" s="33"/>
      <c r="Q68" s="33"/>
      <c r="R68" s="33"/>
      <c r="S68" s="33"/>
      <c r="T68" s="33"/>
    </row>
    <row r="69" spans="15:20" ht="12" customHeight="1" x14ac:dyDescent="0.25">
      <c r="O69" s="33"/>
      <c r="P69" s="33"/>
      <c r="Q69" s="33"/>
      <c r="R69" s="33"/>
      <c r="S69" s="33"/>
      <c r="T69" s="33"/>
    </row>
    <row r="70" spans="15:20" ht="12" customHeight="1" x14ac:dyDescent="0.25">
      <c r="O70" s="33"/>
      <c r="P70" s="33"/>
      <c r="Q70" s="33"/>
      <c r="R70" s="33"/>
      <c r="S70" s="33"/>
      <c r="T70" s="33"/>
    </row>
    <row r="71" spans="15:20" ht="12" customHeight="1" x14ac:dyDescent="0.25">
      <c r="O71" s="33"/>
      <c r="P71" s="33"/>
      <c r="Q71" s="33"/>
      <c r="R71" s="33"/>
      <c r="S71" s="33"/>
      <c r="T71" s="33"/>
    </row>
    <row r="72" spans="15:20" ht="12" customHeight="1" x14ac:dyDescent="0.25">
      <c r="O72" s="33"/>
      <c r="P72" s="33"/>
      <c r="Q72" s="33"/>
      <c r="R72" s="33"/>
      <c r="S72" s="33"/>
      <c r="T72" s="33"/>
    </row>
    <row r="73" spans="15:20" ht="12" customHeight="1" x14ac:dyDescent="0.25">
      <c r="O73" s="33"/>
      <c r="P73" s="33"/>
      <c r="Q73" s="33"/>
      <c r="R73" s="33"/>
      <c r="S73" s="33"/>
      <c r="T73" s="33"/>
    </row>
    <row r="74" spans="15:20" ht="12" customHeight="1" x14ac:dyDescent="0.25">
      <c r="O74" s="33"/>
      <c r="P74" s="33"/>
      <c r="Q74" s="33"/>
      <c r="R74" s="33"/>
      <c r="S74" s="33"/>
      <c r="T74" s="33"/>
    </row>
    <row r="75" spans="15:20" ht="12" customHeight="1" x14ac:dyDescent="0.25">
      <c r="O75" s="33"/>
      <c r="P75" s="33"/>
      <c r="Q75" s="33"/>
      <c r="R75" s="33"/>
      <c r="S75" s="33"/>
      <c r="T75" s="33"/>
    </row>
    <row r="76" spans="15:20" ht="12" customHeight="1" x14ac:dyDescent="0.25">
      <c r="O76" s="33"/>
      <c r="P76" s="33"/>
      <c r="Q76" s="33"/>
      <c r="R76" s="33"/>
      <c r="S76" s="33"/>
      <c r="T76" s="33"/>
    </row>
    <row r="77" spans="15:20" ht="12" customHeight="1" x14ac:dyDescent="0.25">
      <c r="O77" s="33"/>
      <c r="P77" s="33"/>
      <c r="Q77" s="33"/>
      <c r="R77" s="33"/>
      <c r="S77" s="33"/>
      <c r="T77" s="33"/>
    </row>
    <row r="78" spans="15:20" ht="12" customHeight="1" x14ac:dyDescent="0.25">
      <c r="O78" s="33"/>
      <c r="P78" s="33"/>
      <c r="Q78" s="33"/>
      <c r="R78" s="33"/>
      <c r="S78" s="33"/>
      <c r="T78" s="33"/>
    </row>
    <row r="79" spans="15:20" ht="12" customHeight="1" x14ac:dyDescent="0.25">
      <c r="O79" s="33"/>
      <c r="P79" s="33"/>
      <c r="Q79" s="33"/>
      <c r="R79" s="33"/>
      <c r="S79" s="33"/>
      <c r="T79" s="33"/>
    </row>
    <row r="80" spans="15:20" ht="12" customHeight="1" x14ac:dyDescent="0.25">
      <c r="O80" s="33"/>
      <c r="P80" s="33"/>
      <c r="Q80" s="33"/>
      <c r="R80" s="33"/>
      <c r="S80" s="33"/>
      <c r="T80" s="33"/>
    </row>
    <row r="81" spans="15:20" ht="12" customHeight="1" x14ac:dyDescent="0.25">
      <c r="O81" s="33"/>
      <c r="P81" s="33"/>
      <c r="Q81" s="33"/>
      <c r="R81" s="33"/>
      <c r="S81" s="33"/>
      <c r="T81" s="33"/>
    </row>
    <row r="82" spans="15:20" ht="12" customHeight="1" x14ac:dyDescent="0.25">
      <c r="O82" s="33"/>
      <c r="P82" s="33"/>
      <c r="Q82" s="33"/>
      <c r="R82" s="33"/>
      <c r="S82" s="33"/>
      <c r="T82" s="33"/>
    </row>
    <row r="83" spans="15:20" ht="12" customHeight="1" x14ac:dyDescent="0.25">
      <c r="O83" s="33"/>
      <c r="P83" s="33"/>
      <c r="Q83" s="33"/>
      <c r="R83" s="33"/>
      <c r="S83" s="33"/>
      <c r="T83" s="33"/>
    </row>
    <row r="84" spans="15:20" ht="12" customHeight="1" x14ac:dyDescent="0.25">
      <c r="O84" s="33"/>
      <c r="P84" s="33"/>
      <c r="Q84" s="33"/>
      <c r="R84" s="33"/>
      <c r="S84" s="33"/>
      <c r="T84" s="33"/>
    </row>
    <row r="85" spans="15:20" ht="12" customHeight="1" x14ac:dyDescent="0.25">
      <c r="O85" s="33"/>
      <c r="P85" s="33"/>
      <c r="Q85" s="33"/>
      <c r="R85" s="33"/>
      <c r="S85" s="33"/>
      <c r="T85" s="33"/>
    </row>
    <row r="86" spans="15:20" ht="12" customHeight="1" x14ac:dyDescent="0.25">
      <c r="O86" s="33"/>
      <c r="P86" s="33"/>
      <c r="Q86" s="33"/>
      <c r="R86" s="33"/>
      <c r="S86" s="33"/>
      <c r="T86" s="33"/>
    </row>
    <row r="87" spans="15:20" ht="12" customHeight="1" x14ac:dyDescent="0.25">
      <c r="O87" s="33"/>
      <c r="P87" s="33"/>
      <c r="Q87" s="33"/>
      <c r="R87" s="33"/>
      <c r="S87" s="33"/>
      <c r="T87" s="33"/>
    </row>
    <row r="88" spans="15:20" ht="12" customHeight="1" x14ac:dyDescent="0.25">
      <c r="O88" s="33"/>
      <c r="P88" s="33"/>
      <c r="Q88" s="33"/>
      <c r="R88" s="33"/>
      <c r="S88" s="33"/>
      <c r="T88" s="33"/>
    </row>
    <row r="89" spans="15:20" ht="12" customHeight="1" x14ac:dyDescent="0.25">
      <c r="O89" s="33"/>
      <c r="P89" s="33"/>
      <c r="Q89" s="33"/>
      <c r="R89" s="33"/>
      <c r="S89" s="33"/>
      <c r="T89" s="33"/>
    </row>
    <row r="90" spans="15:20" ht="12" customHeight="1" x14ac:dyDescent="0.25">
      <c r="O90" s="33"/>
      <c r="P90" s="33"/>
      <c r="Q90" s="33"/>
      <c r="R90" s="33"/>
      <c r="S90" s="33"/>
      <c r="T90" s="33"/>
    </row>
    <row r="91" spans="15:20" ht="12" customHeight="1" x14ac:dyDescent="0.25">
      <c r="O91" s="33"/>
      <c r="P91" s="33"/>
      <c r="Q91" s="33"/>
      <c r="R91" s="33"/>
      <c r="S91" s="33"/>
      <c r="T91" s="33"/>
    </row>
    <row r="92" spans="15:20" ht="12" customHeight="1" x14ac:dyDescent="0.25">
      <c r="O92" s="33"/>
      <c r="P92" s="33"/>
      <c r="Q92" s="33"/>
      <c r="R92" s="33"/>
      <c r="S92" s="33"/>
      <c r="T92" s="33"/>
    </row>
    <row r="93" spans="15:20" ht="12" customHeight="1" x14ac:dyDescent="0.25">
      <c r="O93" s="33"/>
      <c r="P93" s="33"/>
      <c r="Q93" s="33"/>
      <c r="R93" s="33"/>
      <c r="S93" s="33"/>
      <c r="T93" s="33"/>
    </row>
    <row r="94" spans="15:20" ht="12" customHeight="1" x14ac:dyDescent="0.25">
      <c r="O94" s="33"/>
      <c r="P94" s="33"/>
      <c r="Q94" s="33"/>
      <c r="R94" s="33"/>
      <c r="S94" s="33"/>
      <c r="T94" s="33"/>
    </row>
    <row r="95" spans="15:20" ht="12" customHeight="1" x14ac:dyDescent="0.25">
      <c r="O95" s="33"/>
      <c r="P95" s="33"/>
      <c r="Q95" s="33"/>
      <c r="R95" s="33"/>
      <c r="S95" s="33"/>
      <c r="T95" s="33"/>
    </row>
    <row r="96" spans="15:20" ht="12" customHeight="1" x14ac:dyDescent="0.25">
      <c r="O96" s="33"/>
      <c r="P96" s="33"/>
      <c r="Q96" s="33"/>
      <c r="R96" s="33"/>
      <c r="S96" s="33"/>
      <c r="T96" s="33"/>
    </row>
    <row r="97" spans="15:30" ht="12" customHeight="1" x14ac:dyDescent="0.25">
      <c r="O97" s="33"/>
      <c r="P97" s="33"/>
      <c r="Q97" s="33"/>
      <c r="R97" s="33"/>
      <c r="S97" s="33"/>
      <c r="T97" s="33"/>
    </row>
    <row r="98" spans="15:30" ht="12" customHeight="1" x14ac:dyDescent="0.25">
      <c r="O98" s="33"/>
      <c r="P98" s="33"/>
      <c r="Q98" s="33"/>
      <c r="R98" s="33"/>
      <c r="S98" s="33"/>
      <c r="T98" s="33"/>
    </row>
    <row r="99" spans="15:30" ht="12" customHeight="1" x14ac:dyDescent="0.25">
      <c r="O99" s="32"/>
      <c r="P99" s="32"/>
      <c r="Q99" s="32"/>
      <c r="R99" s="32"/>
      <c r="S99" s="32"/>
      <c r="T99" s="32"/>
    </row>
    <row r="100" spans="15:30" ht="12" customHeight="1" x14ac:dyDescent="0.25"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</row>
    <row r="101" spans="15:30" ht="12" customHeight="1" x14ac:dyDescent="0.25">
      <c r="O101" s="33" t="s">
        <v>887</v>
      </c>
      <c r="P101" s="33" t="s">
        <v>892</v>
      </c>
      <c r="Q101" s="33" t="s">
        <v>893</v>
      </c>
      <c r="R101" s="33" t="s">
        <v>894</v>
      </c>
      <c r="S101" s="33" t="s">
        <v>895</v>
      </c>
      <c r="T101" s="33" t="s">
        <v>896</v>
      </c>
      <c r="U101" s="33" t="s">
        <v>897</v>
      </c>
      <c r="V101" s="33" t="s">
        <v>898</v>
      </c>
      <c r="W101" s="33"/>
      <c r="X101" s="33"/>
      <c r="Y101" s="33"/>
      <c r="Z101" s="33"/>
      <c r="AA101" s="33"/>
      <c r="AB101" s="33"/>
      <c r="AC101" s="33"/>
      <c r="AD101" s="33"/>
    </row>
    <row r="102" spans="15:30" ht="12" customHeight="1" x14ac:dyDescent="0.25">
      <c r="O102" s="33" t="s">
        <v>40</v>
      </c>
      <c r="P102" s="33" t="s">
        <v>42</v>
      </c>
      <c r="Q102" s="33" t="s">
        <v>80</v>
      </c>
      <c r="R102" s="33" t="s">
        <v>52</v>
      </c>
      <c r="S102" s="33" t="s">
        <v>53</v>
      </c>
      <c r="T102" s="33" t="s">
        <v>899</v>
      </c>
      <c r="U102" s="33">
        <v>4</v>
      </c>
      <c r="V102" s="33">
        <v>0.15</v>
      </c>
      <c r="W102" s="33">
        <v>0.12</v>
      </c>
      <c r="X102" s="33">
        <v>0.09</v>
      </c>
      <c r="Y102" s="33">
        <v>0.06</v>
      </c>
      <c r="Z102" s="33">
        <v>0.03</v>
      </c>
      <c r="AA102" s="33">
        <v>0</v>
      </c>
      <c r="AB102" s="33"/>
      <c r="AC102" s="33"/>
      <c r="AD102" s="33"/>
    </row>
    <row r="103" spans="15:30" ht="12" customHeight="1" x14ac:dyDescent="0.25">
      <c r="O103" s="33" t="s">
        <v>40</v>
      </c>
      <c r="P103" s="33" t="s">
        <v>42</v>
      </c>
      <c r="Q103" s="33" t="s">
        <v>43</v>
      </c>
      <c r="R103" s="33" t="s">
        <v>47</v>
      </c>
      <c r="S103" s="33" t="s">
        <v>25</v>
      </c>
      <c r="T103" s="33" t="s">
        <v>900</v>
      </c>
      <c r="U103" s="33">
        <v>4</v>
      </c>
      <c r="V103" s="33">
        <v>0.1</v>
      </c>
      <c r="W103" s="33">
        <v>0.08</v>
      </c>
      <c r="X103" s="33">
        <v>0.06</v>
      </c>
      <c r="Y103" s="33">
        <v>0.04</v>
      </c>
      <c r="Z103" s="33">
        <v>0.02</v>
      </c>
      <c r="AA103" s="33">
        <v>0</v>
      </c>
      <c r="AB103" s="33"/>
      <c r="AC103" s="33"/>
      <c r="AD103" s="33"/>
    </row>
    <row r="104" spans="15:30" ht="12" customHeight="1" x14ac:dyDescent="0.25">
      <c r="O104" s="33" t="s">
        <v>40</v>
      </c>
      <c r="P104" s="33" t="s">
        <v>42</v>
      </c>
      <c r="Q104" s="33" t="s">
        <v>43</v>
      </c>
      <c r="R104" s="33" t="s">
        <v>52</v>
      </c>
      <c r="S104" s="33" t="s">
        <v>53</v>
      </c>
      <c r="T104" s="33" t="s">
        <v>899</v>
      </c>
      <c r="U104" s="33">
        <v>4</v>
      </c>
      <c r="V104" s="33">
        <v>0.15</v>
      </c>
      <c r="W104" s="33">
        <v>0.12</v>
      </c>
      <c r="X104" s="33">
        <v>0.09</v>
      </c>
      <c r="Y104" s="33">
        <v>0.06</v>
      </c>
      <c r="Z104" s="33">
        <v>0.03</v>
      </c>
      <c r="AA104" s="33">
        <v>0</v>
      </c>
      <c r="AB104" s="33"/>
      <c r="AC104" s="33"/>
      <c r="AD104" s="33"/>
    </row>
    <row r="105" spans="15:30" ht="12" customHeight="1" x14ac:dyDescent="0.25">
      <c r="O105" s="33" t="s">
        <v>40</v>
      </c>
      <c r="P105" s="33" t="s">
        <v>42</v>
      </c>
      <c r="Q105" s="33" t="s">
        <v>41</v>
      </c>
      <c r="R105" s="33" t="s">
        <v>47</v>
      </c>
      <c r="S105" s="33" t="s">
        <v>25</v>
      </c>
      <c r="T105" s="33" t="s">
        <v>900</v>
      </c>
      <c r="U105" s="33">
        <v>4</v>
      </c>
      <c r="V105" s="33">
        <v>0.1</v>
      </c>
      <c r="W105" s="33">
        <v>0.08</v>
      </c>
      <c r="X105" s="33">
        <v>0.06</v>
      </c>
      <c r="Y105" s="33">
        <v>0.04</v>
      </c>
      <c r="Z105" s="33">
        <v>0.02</v>
      </c>
      <c r="AA105" s="33">
        <v>0</v>
      </c>
      <c r="AB105" s="33"/>
      <c r="AC105" s="33"/>
      <c r="AD105" s="33"/>
    </row>
    <row r="106" spans="15:30" ht="12" customHeight="1" x14ac:dyDescent="0.25">
      <c r="O106" s="33" t="s">
        <v>40</v>
      </c>
      <c r="P106" s="33" t="s">
        <v>42</v>
      </c>
      <c r="Q106" s="33" t="s">
        <v>41</v>
      </c>
      <c r="R106" s="33" t="s">
        <v>52</v>
      </c>
      <c r="S106" s="33" t="s">
        <v>53</v>
      </c>
      <c r="T106" s="33" t="s">
        <v>899</v>
      </c>
      <c r="U106" s="33">
        <v>4</v>
      </c>
      <c r="V106" s="33">
        <v>0.15</v>
      </c>
      <c r="W106" s="33">
        <v>0.12</v>
      </c>
      <c r="X106" s="33">
        <v>0.09</v>
      </c>
      <c r="Y106" s="33">
        <v>0.06</v>
      </c>
      <c r="Z106" s="33">
        <v>0.03</v>
      </c>
      <c r="AA106" s="33">
        <v>0</v>
      </c>
      <c r="AB106" s="33"/>
      <c r="AC106" s="33"/>
      <c r="AD106" s="33"/>
    </row>
    <row r="107" spans="15:30" ht="12" customHeight="1" x14ac:dyDescent="0.25">
      <c r="O107" s="33" t="s">
        <v>40</v>
      </c>
      <c r="P107" s="33" t="s">
        <v>901</v>
      </c>
      <c r="Q107" s="33" t="s">
        <v>46</v>
      </c>
      <c r="R107" s="33" t="s">
        <v>47</v>
      </c>
      <c r="S107" s="33" t="s">
        <v>101</v>
      </c>
      <c r="T107" s="33" t="s">
        <v>899</v>
      </c>
      <c r="U107" s="33">
        <v>4</v>
      </c>
      <c r="V107" s="33">
        <v>0.3</v>
      </c>
      <c r="W107" s="33">
        <v>0.24</v>
      </c>
      <c r="X107" s="33">
        <v>0.18</v>
      </c>
      <c r="Y107" s="33">
        <v>0.12</v>
      </c>
      <c r="Z107" s="33">
        <v>0.06</v>
      </c>
      <c r="AA107" s="33">
        <v>0</v>
      </c>
      <c r="AB107" s="33"/>
      <c r="AC107" s="33"/>
      <c r="AD107" s="33"/>
    </row>
    <row r="108" spans="15:30" ht="12" customHeight="1" x14ac:dyDescent="0.25">
      <c r="O108" s="33" t="s">
        <v>40</v>
      </c>
      <c r="P108" s="33" t="s">
        <v>35</v>
      </c>
      <c r="Q108" s="33" t="s">
        <v>46</v>
      </c>
      <c r="R108" s="33" t="s">
        <v>47</v>
      </c>
      <c r="S108" s="33" t="s">
        <v>25</v>
      </c>
      <c r="T108" s="33" t="s">
        <v>47</v>
      </c>
      <c r="U108" s="33">
        <v>4</v>
      </c>
      <c r="V108" s="33">
        <v>0.3</v>
      </c>
      <c r="W108" s="33">
        <v>0.24</v>
      </c>
      <c r="X108" s="33">
        <v>0.18</v>
      </c>
      <c r="Y108" s="33">
        <v>0.12</v>
      </c>
      <c r="Z108" s="33">
        <v>0.06</v>
      </c>
      <c r="AA108" s="33">
        <v>0</v>
      </c>
      <c r="AB108" s="33"/>
      <c r="AC108" s="33"/>
      <c r="AD108" s="33"/>
    </row>
    <row r="109" spans="15:30" ht="12" customHeight="1" x14ac:dyDescent="0.25">
      <c r="O109" s="33" t="s">
        <v>40</v>
      </c>
      <c r="P109" s="33" t="s">
        <v>901</v>
      </c>
      <c r="Q109" s="33" t="s">
        <v>46</v>
      </c>
      <c r="R109" s="33" t="s">
        <v>47</v>
      </c>
      <c r="S109" s="33" t="s">
        <v>102</v>
      </c>
      <c r="T109" s="33" t="s">
        <v>899</v>
      </c>
      <c r="U109" s="33">
        <v>4</v>
      </c>
      <c r="V109" s="33">
        <v>0.4</v>
      </c>
      <c r="W109" s="33">
        <v>0.32</v>
      </c>
      <c r="X109" s="33">
        <v>0.24</v>
      </c>
      <c r="Y109" s="33">
        <v>0.16</v>
      </c>
      <c r="Z109" s="33">
        <v>0.08</v>
      </c>
      <c r="AA109" s="33">
        <v>0</v>
      </c>
      <c r="AB109" s="33"/>
      <c r="AC109" s="33"/>
      <c r="AD109" s="33"/>
    </row>
    <row r="110" spans="15:30" ht="12" customHeight="1" x14ac:dyDescent="0.25">
      <c r="O110" s="33" t="s">
        <v>40</v>
      </c>
      <c r="P110" s="33" t="s">
        <v>35</v>
      </c>
      <c r="Q110" s="33" t="s">
        <v>39</v>
      </c>
      <c r="R110" s="33" t="s">
        <v>52</v>
      </c>
      <c r="S110" s="33" t="s">
        <v>53</v>
      </c>
      <c r="T110" s="33" t="s">
        <v>899</v>
      </c>
      <c r="U110" s="33">
        <v>4</v>
      </c>
      <c r="V110" s="33">
        <v>0.15</v>
      </c>
      <c r="W110" s="33">
        <v>0.12</v>
      </c>
      <c r="X110" s="33">
        <v>0.09</v>
      </c>
      <c r="Y110" s="33">
        <v>0.06</v>
      </c>
      <c r="Z110" s="33">
        <v>0.03</v>
      </c>
      <c r="AA110" s="33">
        <v>0</v>
      </c>
      <c r="AB110" s="33"/>
      <c r="AC110" s="33"/>
      <c r="AD110" s="33"/>
    </row>
    <row r="111" spans="15:30" ht="12" customHeight="1" x14ac:dyDescent="0.25">
      <c r="O111" s="33" t="s">
        <v>40</v>
      </c>
      <c r="P111" s="33" t="s">
        <v>902</v>
      </c>
      <c r="Q111" s="33" t="s">
        <v>80</v>
      </c>
      <c r="R111" s="33" t="s">
        <v>52</v>
      </c>
      <c r="S111" s="33" t="s">
        <v>53</v>
      </c>
      <c r="T111" s="33" t="s">
        <v>899</v>
      </c>
      <c r="U111" s="33">
        <v>4</v>
      </c>
      <c r="V111" s="33">
        <v>0.15</v>
      </c>
      <c r="W111" s="33">
        <v>0.12</v>
      </c>
      <c r="X111" s="33">
        <v>0.09</v>
      </c>
      <c r="Y111" s="33">
        <v>0.06</v>
      </c>
      <c r="Z111" s="33">
        <v>0.03</v>
      </c>
      <c r="AA111" s="33">
        <v>0</v>
      </c>
      <c r="AB111" s="33"/>
      <c r="AC111" s="33"/>
      <c r="AD111" s="33"/>
    </row>
    <row r="112" spans="15:30" ht="12" customHeight="1" x14ac:dyDescent="0.25">
      <c r="O112" s="33" t="s">
        <v>40</v>
      </c>
      <c r="P112" s="33" t="s">
        <v>23</v>
      </c>
      <c r="Q112" s="33" t="s">
        <v>43</v>
      </c>
      <c r="R112" s="33" t="s">
        <v>47</v>
      </c>
      <c r="S112" s="33" t="s">
        <v>25</v>
      </c>
      <c r="T112" s="33" t="s">
        <v>900</v>
      </c>
      <c r="U112" s="33">
        <v>4</v>
      </c>
      <c r="V112" s="33">
        <v>0.1</v>
      </c>
      <c r="W112" s="33">
        <v>0.08</v>
      </c>
      <c r="X112" s="33">
        <v>0.06</v>
      </c>
      <c r="Y112" s="33">
        <v>0.04</v>
      </c>
      <c r="Z112" s="33">
        <v>0.02</v>
      </c>
      <c r="AA112" s="33">
        <v>0</v>
      </c>
      <c r="AB112" s="33"/>
      <c r="AC112" s="33"/>
      <c r="AD112" s="33"/>
    </row>
    <row r="113" spans="15:30" ht="12" customHeight="1" x14ac:dyDescent="0.25">
      <c r="O113" s="33" t="s">
        <v>40</v>
      </c>
      <c r="P113" s="33" t="s">
        <v>902</v>
      </c>
      <c r="Q113" s="33" t="s">
        <v>43</v>
      </c>
      <c r="R113" s="33" t="s">
        <v>52</v>
      </c>
      <c r="S113" s="33" t="s">
        <v>53</v>
      </c>
      <c r="T113" s="33" t="s">
        <v>899</v>
      </c>
      <c r="U113" s="33">
        <v>4</v>
      </c>
      <c r="V113" s="33">
        <v>0.15</v>
      </c>
      <c r="W113" s="33">
        <v>0.12</v>
      </c>
      <c r="X113" s="33">
        <v>0.09</v>
      </c>
      <c r="Y113" s="33">
        <v>0.06</v>
      </c>
      <c r="Z113" s="33">
        <v>0.03</v>
      </c>
      <c r="AA113" s="33">
        <v>0</v>
      </c>
      <c r="AB113" s="33"/>
      <c r="AC113" s="33"/>
      <c r="AD113" s="33"/>
    </row>
    <row r="114" spans="15:30" ht="12" customHeight="1" x14ac:dyDescent="0.25">
      <c r="O114" s="33" t="s">
        <v>40</v>
      </c>
      <c r="P114" s="33" t="s">
        <v>23</v>
      </c>
      <c r="Q114" s="33" t="s">
        <v>41</v>
      </c>
      <c r="R114" s="33" t="s">
        <v>47</v>
      </c>
      <c r="S114" s="33" t="s">
        <v>25</v>
      </c>
      <c r="T114" s="33" t="s">
        <v>900</v>
      </c>
      <c r="U114" s="33">
        <v>4</v>
      </c>
      <c r="V114" s="33">
        <v>0.1</v>
      </c>
      <c r="W114" s="33">
        <v>0.08</v>
      </c>
      <c r="X114" s="33">
        <v>0.06</v>
      </c>
      <c r="Y114" s="33">
        <v>0.04</v>
      </c>
      <c r="Z114" s="33">
        <v>0.02</v>
      </c>
      <c r="AA114" s="33">
        <v>0</v>
      </c>
      <c r="AB114" s="33"/>
      <c r="AC114" s="33"/>
      <c r="AD114" s="33"/>
    </row>
    <row r="115" spans="15:30" ht="12" customHeight="1" x14ac:dyDescent="0.25">
      <c r="O115" s="33" t="s">
        <v>40</v>
      </c>
      <c r="P115" s="33" t="s">
        <v>902</v>
      </c>
      <c r="Q115" s="33" t="s">
        <v>41</v>
      </c>
      <c r="R115" s="33" t="s">
        <v>52</v>
      </c>
      <c r="S115" s="33" t="s">
        <v>53</v>
      </c>
      <c r="T115" s="33" t="s">
        <v>899</v>
      </c>
      <c r="U115" s="33">
        <v>4</v>
      </c>
      <c r="V115" s="33">
        <v>0.15</v>
      </c>
      <c r="W115" s="33">
        <v>0.12</v>
      </c>
      <c r="X115" s="33">
        <v>0.09</v>
      </c>
      <c r="Y115" s="33">
        <v>0.06</v>
      </c>
      <c r="Z115" s="33">
        <v>0.03</v>
      </c>
      <c r="AA115" s="33">
        <v>0</v>
      </c>
      <c r="AB115" s="33"/>
      <c r="AC115" s="33"/>
      <c r="AD115" s="33"/>
    </row>
    <row r="116" spans="15:30" ht="12" customHeight="1" x14ac:dyDescent="0.25">
      <c r="O116" s="33" t="s">
        <v>40</v>
      </c>
      <c r="P116" s="33" t="s">
        <v>23</v>
      </c>
      <c r="Q116" s="33" t="s">
        <v>46</v>
      </c>
      <c r="R116" s="33" t="s">
        <v>47</v>
      </c>
      <c r="S116" s="33" t="s">
        <v>101</v>
      </c>
      <c r="T116" s="33" t="s">
        <v>899</v>
      </c>
      <c r="U116" s="33">
        <v>4</v>
      </c>
      <c r="V116" s="33">
        <v>0.3</v>
      </c>
      <c r="W116" s="33">
        <v>0.24</v>
      </c>
      <c r="X116" s="33">
        <v>0.18</v>
      </c>
      <c r="Y116" s="33">
        <v>0.12</v>
      </c>
      <c r="Z116" s="33">
        <v>0.06</v>
      </c>
      <c r="AA116" s="33">
        <v>0</v>
      </c>
      <c r="AB116" s="33"/>
      <c r="AC116" s="33"/>
      <c r="AD116" s="33"/>
    </row>
    <row r="117" spans="15:30" ht="12" customHeight="1" x14ac:dyDescent="0.25">
      <c r="O117" s="33" t="s">
        <v>40</v>
      </c>
      <c r="P117" s="33" t="s">
        <v>23</v>
      </c>
      <c r="Q117" s="33" t="s">
        <v>46</v>
      </c>
      <c r="R117" s="33" t="s">
        <v>47</v>
      </c>
      <c r="S117" s="33" t="s">
        <v>25</v>
      </c>
      <c r="T117" s="33" t="s">
        <v>47</v>
      </c>
      <c r="U117" s="33">
        <v>4</v>
      </c>
      <c r="V117" s="33">
        <v>0.3</v>
      </c>
      <c r="W117" s="33">
        <v>0.24</v>
      </c>
      <c r="X117" s="33">
        <v>0.18</v>
      </c>
      <c r="Y117" s="33">
        <v>0.12</v>
      </c>
      <c r="Z117" s="33">
        <v>0.06</v>
      </c>
      <c r="AA117" s="33">
        <v>0</v>
      </c>
      <c r="AB117" s="33"/>
      <c r="AC117" s="33"/>
      <c r="AD117" s="33"/>
    </row>
    <row r="118" spans="15:30" ht="12" customHeight="1" x14ac:dyDescent="0.25">
      <c r="O118" s="33" t="s">
        <v>40</v>
      </c>
      <c r="P118" s="33" t="s">
        <v>23</v>
      </c>
      <c r="Q118" s="33" t="s">
        <v>46</v>
      </c>
      <c r="R118" s="33" t="s">
        <v>47</v>
      </c>
      <c r="S118" s="33" t="s">
        <v>102</v>
      </c>
      <c r="T118" s="33" t="s">
        <v>899</v>
      </c>
      <c r="U118" s="33">
        <v>4</v>
      </c>
      <c r="V118" s="33">
        <v>0.4</v>
      </c>
      <c r="W118" s="33">
        <v>0.32</v>
      </c>
      <c r="X118" s="33">
        <v>0.24</v>
      </c>
      <c r="Y118" s="33">
        <v>0.16</v>
      </c>
      <c r="Z118" s="33">
        <v>0.08</v>
      </c>
      <c r="AA118" s="33">
        <v>0</v>
      </c>
      <c r="AB118" s="33"/>
      <c r="AC118" s="33"/>
      <c r="AD118" s="33"/>
    </row>
    <row r="119" spans="15:30" ht="12" customHeight="1" x14ac:dyDescent="0.25">
      <c r="O119" s="33" t="s">
        <v>40</v>
      </c>
      <c r="P119" s="33" t="s">
        <v>23</v>
      </c>
      <c r="Q119" s="33" t="s">
        <v>39</v>
      </c>
      <c r="R119" s="33" t="s">
        <v>52</v>
      </c>
      <c r="S119" s="33" t="s">
        <v>53</v>
      </c>
      <c r="T119" s="33" t="s">
        <v>899</v>
      </c>
      <c r="U119" s="33">
        <v>4</v>
      </c>
      <c r="V119" s="33">
        <v>0.15</v>
      </c>
      <c r="W119" s="33">
        <v>0.12</v>
      </c>
      <c r="X119" s="33">
        <v>0.09</v>
      </c>
      <c r="Y119" s="33">
        <v>0.06</v>
      </c>
      <c r="Z119" s="33">
        <v>0.03</v>
      </c>
      <c r="AA119" s="33">
        <v>0</v>
      </c>
      <c r="AB119" s="33"/>
      <c r="AC119" s="33"/>
      <c r="AD119" s="33"/>
    </row>
    <row r="120" spans="15:30" ht="12" customHeight="1" x14ac:dyDescent="0.25">
      <c r="O120" s="33" t="s">
        <v>40</v>
      </c>
      <c r="P120" s="33" t="s">
        <v>44</v>
      </c>
      <c r="Q120" s="33" t="s">
        <v>80</v>
      </c>
      <c r="R120" s="33" t="s">
        <v>52</v>
      </c>
      <c r="S120" s="33" t="s">
        <v>53</v>
      </c>
      <c r="T120" s="33" t="s">
        <v>899</v>
      </c>
      <c r="U120" s="33">
        <v>4</v>
      </c>
      <c r="V120" s="33">
        <v>0.15</v>
      </c>
      <c r="W120" s="33">
        <v>0.12</v>
      </c>
      <c r="X120" s="33">
        <v>0.09</v>
      </c>
      <c r="Y120" s="33">
        <v>0.06</v>
      </c>
      <c r="Z120" s="33">
        <v>0.03</v>
      </c>
      <c r="AA120" s="33">
        <v>0</v>
      </c>
      <c r="AB120" s="33"/>
      <c r="AC120" s="33"/>
      <c r="AD120" s="33"/>
    </row>
    <row r="121" spans="15:30" ht="12" customHeight="1" x14ac:dyDescent="0.25">
      <c r="O121" s="33" t="s">
        <v>40</v>
      </c>
      <c r="P121" s="33" t="s">
        <v>44</v>
      </c>
      <c r="Q121" s="33" t="s">
        <v>43</v>
      </c>
      <c r="R121" s="33" t="s">
        <v>47</v>
      </c>
      <c r="S121" s="33" t="s">
        <v>25</v>
      </c>
      <c r="T121" s="33" t="s">
        <v>900</v>
      </c>
      <c r="U121" s="33">
        <v>4</v>
      </c>
      <c r="V121" s="33">
        <v>0.1</v>
      </c>
      <c r="W121" s="33">
        <v>0.08</v>
      </c>
      <c r="X121" s="33">
        <v>0.06</v>
      </c>
      <c r="Y121" s="33">
        <v>0.04</v>
      </c>
      <c r="Z121" s="33">
        <v>0.02</v>
      </c>
      <c r="AA121" s="33">
        <v>0</v>
      </c>
      <c r="AB121" s="33"/>
      <c r="AC121" s="33"/>
      <c r="AD121" s="33"/>
    </row>
    <row r="122" spans="15:30" ht="12" customHeight="1" x14ac:dyDescent="0.25">
      <c r="O122" s="33" t="s">
        <v>40</v>
      </c>
      <c r="P122" s="33" t="s">
        <v>44</v>
      </c>
      <c r="Q122" s="33" t="s">
        <v>43</v>
      </c>
      <c r="R122" s="33" t="s">
        <v>52</v>
      </c>
      <c r="S122" s="33" t="s">
        <v>53</v>
      </c>
      <c r="T122" s="33" t="s">
        <v>899</v>
      </c>
      <c r="U122" s="33">
        <v>4</v>
      </c>
      <c r="V122" s="33">
        <v>0.15</v>
      </c>
      <c r="W122" s="33">
        <v>0.12</v>
      </c>
      <c r="X122" s="33">
        <v>0.09</v>
      </c>
      <c r="Y122" s="33">
        <v>0.06</v>
      </c>
      <c r="Z122" s="33">
        <v>0.03</v>
      </c>
      <c r="AA122" s="33">
        <v>0</v>
      </c>
      <c r="AB122" s="33"/>
      <c r="AC122" s="33"/>
      <c r="AD122" s="33"/>
    </row>
    <row r="123" spans="15:30" ht="12" customHeight="1" x14ac:dyDescent="0.25">
      <c r="O123" s="33" t="s">
        <v>40</v>
      </c>
      <c r="P123" s="33" t="s">
        <v>44</v>
      </c>
      <c r="Q123" s="33" t="s">
        <v>41</v>
      </c>
      <c r="R123" s="33" t="s">
        <v>47</v>
      </c>
      <c r="S123" s="33" t="s">
        <v>25</v>
      </c>
      <c r="T123" s="33" t="s">
        <v>900</v>
      </c>
      <c r="U123" s="33">
        <v>4</v>
      </c>
      <c r="V123" s="33">
        <v>0.1</v>
      </c>
      <c r="W123" s="33">
        <v>0.08</v>
      </c>
      <c r="X123" s="33">
        <v>0.06</v>
      </c>
      <c r="Y123" s="33">
        <v>0.04</v>
      </c>
      <c r="Z123" s="33">
        <v>0.02</v>
      </c>
      <c r="AA123" s="33">
        <v>0</v>
      </c>
      <c r="AB123" s="33"/>
      <c r="AC123" s="33"/>
      <c r="AD123" s="33"/>
    </row>
    <row r="124" spans="15:30" ht="12" customHeight="1" x14ac:dyDescent="0.25">
      <c r="O124" s="33" t="s">
        <v>40</v>
      </c>
      <c r="P124" s="33" t="s">
        <v>44</v>
      </c>
      <c r="Q124" s="33" t="s">
        <v>41</v>
      </c>
      <c r="R124" s="33" t="s">
        <v>52</v>
      </c>
      <c r="S124" s="33" t="s">
        <v>53</v>
      </c>
      <c r="T124" s="33" t="s">
        <v>899</v>
      </c>
      <c r="U124" s="33">
        <v>4</v>
      </c>
      <c r="V124" s="33">
        <v>0.15</v>
      </c>
      <c r="W124" s="33">
        <v>0.12</v>
      </c>
      <c r="X124" s="33">
        <v>0.09</v>
      </c>
      <c r="Y124" s="33">
        <v>0.06</v>
      </c>
      <c r="Z124" s="33">
        <v>0.03</v>
      </c>
      <c r="AA124" s="33">
        <v>0</v>
      </c>
      <c r="AB124" s="33"/>
      <c r="AC124" s="33"/>
      <c r="AD124" s="33"/>
    </row>
    <row r="125" spans="15:30" ht="12" customHeight="1" x14ac:dyDescent="0.25"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</row>
    <row r="126" spans="15:30" ht="12" customHeight="1" x14ac:dyDescent="0.25"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</row>
    <row r="127" spans="15:30" ht="12" customHeight="1" x14ac:dyDescent="0.25"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</row>
    <row r="128" spans="15:30" ht="12" customHeight="1" x14ac:dyDescent="0.25"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</row>
    <row r="129" spans="15:30" ht="12" customHeight="1" x14ac:dyDescent="0.25"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</row>
    <row r="130" spans="15:30" ht="12" customHeight="1" x14ac:dyDescent="0.25"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</row>
    <row r="131" spans="15:30" ht="12" customHeight="1" x14ac:dyDescent="0.25"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</row>
    <row r="132" spans="15:30" ht="12" customHeight="1" x14ac:dyDescent="0.25"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</row>
    <row r="133" spans="15:30" ht="12" customHeight="1" x14ac:dyDescent="0.25"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</row>
    <row r="134" spans="15:30" ht="12" customHeight="1" x14ac:dyDescent="0.25"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</row>
    <row r="135" spans="15:30" ht="12" customHeight="1" x14ac:dyDescent="0.25"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</row>
    <row r="136" spans="15:30" ht="12" customHeight="1" x14ac:dyDescent="0.25"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</row>
    <row r="137" spans="15:30" ht="12" customHeight="1" x14ac:dyDescent="0.25"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</row>
    <row r="138" spans="15:30" ht="12" customHeight="1" x14ac:dyDescent="0.25"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</row>
    <row r="139" spans="15:30" ht="12" customHeight="1" x14ac:dyDescent="0.25"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</row>
    <row r="140" spans="15:30" ht="12" customHeight="1" x14ac:dyDescent="0.25"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</row>
    <row r="141" spans="15:30" ht="12" customHeight="1" x14ac:dyDescent="0.25"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</row>
    <row r="142" spans="15:30" ht="12" customHeight="1" x14ac:dyDescent="0.25"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</row>
    <row r="143" spans="15:30" ht="12" customHeight="1" x14ac:dyDescent="0.25"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</row>
    <row r="144" spans="15:30" ht="12" customHeight="1" x14ac:dyDescent="0.25"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</row>
    <row r="145" spans="15:30" ht="12" customHeight="1" x14ac:dyDescent="0.25"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</row>
    <row r="146" spans="15:30" ht="12" customHeight="1" x14ac:dyDescent="0.25"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</row>
    <row r="147" spans="15:30" ht="12" customHeight="1" x14ac:dyDescent="0.25"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</row>
    <row r="148" spans="15:30" ht="12" customHeight="1" x14ac:dyDescent="0.25"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</row>
    <row r="149" spans="15:30" ht="12" customHeight="1" x14ac:dyDescent="0.25"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</row>
    <row r="150" spans="15:30" ht="12" customHeight="1" x14ac:dyDescent="0.25"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</row>
    <row r="151" spans="15:30" ht="12" customHeight="1" x14ac:dyDescent="0.25"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</row>
    <row r="152" spans="15:30" ht="12" customHeight="1" x14ac:dyDescent="0.25"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</row>
    <row r="153" spans="15:30" ht="12" customHeight="1" x14ac:dyDescent="0.25"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</row>
    <row r="154" spans="15:30" ht="12" customHeight="1" x14ac:dyDescent="0.25"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</row>
    <row r="155" spans="15:30" ht="12" customHeight="1" x14ac:dyDescent="0.25"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</row>
    <row r="156" spans="15:30" ht="12" customHeight="1" x14ac:dyDescent="0.25"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</row>
    <row r="157" spans="15:30" ht="12" customHeight="1" x14ac:dyDescent="0.25"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</row>
    <row r="158" spans="15:30" ht="12" customHeight="1" x14ac:dyDescent="0.25"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</row>
    <row r="159" spans="15:30" ht="12" customHeight="1" x14ac:dyDescent="0.25"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</row>
    <row r="160" spans="15:30" ht="12" customHeight="1" x14ac:dyDescent="0.25"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</row>
    <row r="161" spans="15:30" ht="12" customHeight="1" x14ac:dyDescent="0.25"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</row>
    <row r="162" spans="15:30" ht="12" customHeight="1" x14ac:dyDescent="0.25"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</row>
    <row r="163" spans="15:30" ht="12" customHeight="1" x14ac:dyDescent="0.25"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</row>
    <row r="164" spans="15:30" ht="12" customHeight="1" x14ac:dyDescent="0.25"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</row>
    <row r="165" spans="15:30" ht="12" customHeight="1" x14ac:dyDescent="0.25"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</row>
    <row r="166" spans="15:30" ht="12" customHeight="1" x14ac:dyDescent="0.25"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</row>
    <row r="167" spans="15:30" ht="12" customHeight="1" x14ac:dyDescent="0.25"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</row>
    <row r="168" spans="15:30" ht="12" customHeight="1" x14ac:dyDescent="0.25"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</row>
    <row r="169" spans="15:30" ht="12" customHeight="1" x14ac:dyDescent="0.25"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</row>
    <row r="170" spans="15:30" ht="12" customHeight="1" x14ac:dyDescent="0.25"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</row>
    <row r="171" spans="15:30" ht="12" customHeight="1" x14ac:dyDescent="0.25"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</row>
    <row r="172" spans="15:30" ht="12" customHeight="1" x14ac:dyDescent="0.25"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</row>
    <row r="173" spans="15:30" ht="12" customHeight="1" x14ac:dyDescent="0.25"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</row>
    <row r="174" spans="15:30" ht="12" customHeight="1" x14ac:dyDescent="0.25"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</row>
    <row r="175" spans="15:30" ht="12" customHeight="1" x14ac:dyDescent="0.25"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</row>
    <row r="176" spans="15:30" ht="12" customHeight="1" x14ac:dyDescent="0.25"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</row>
    <row r="177" spans="15:30" ht="12" customHeight="1" x14ac:dyDescent="0.25"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</row>
    <row r="178" spans="15:30" ht="12" customHeight="1" x14ac:dyDescent="0.25"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</row>
    <row r="179" spans="15:30" ht="12" customHeight="1" x14ac:dyDescent="0.25"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</row>
    <row r="180" spans="15:30" ht="12" customHeight="1" x14ac:dyDescent="0.25"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</row>
    <row r="181" spans="15:30" ht="12" customHeight="1" x14ac:dyDescent="0.25"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</row>
    <row r="182" spans="15:30" ht="12" customHeight="1" x14ac:dyDescent="0.25"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</row>
    <row r="183" spans="15:30" ht="12" customHeight="1" x14ac:dyDescent="0.25"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</row>
    <row r="184" spans="15:30" ht="12" customHeight="1" x14ac:dyDescent="0.25"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</row>
    <row r="185" spans="15:30" ht="12" customHeight="1" x14ac:dyDescent="0.25"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</row>
    <row r="186" spans="15:30" ht="12" customHeight="1" x14ac:dyDescent="0.25"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</row>
    <row r="187" spans="15:30" ht="12" customHeight="1" x14ac:dyDescent="0.25"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</row>
    <row r="188" spans="15:30" ht="12" customHeight="1" x14ac:dyDescent="0.25"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</row>
    <row r="189" spans="15:30" ht="12" customHeight="1" x14ac:dyDescent="0.25"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</row>
    <row r="190" spans="15:30" ht="12" customHeight="1" x14ac:dyDescent="0.25"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</row>
    <row r="191" spans="15:30" ht="12" customHeight="1" x14ac:dyDescent="0.25"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</row>
    <row r="192" spans="15:30" ht="12" customHeight="1" x14ac:dyDescent="0.25"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</row>
    <row r="193" spans="15:30" ht="12" customHeight="1" x14ac:dyDescent="0.25"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</row>
    <row r="194" spans="15:30" ht="12" customHeight="1" x14ac:dyDescent="0.25"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</row>
    <row r="195" spans="15:30" ht="12" customHeight="1" x14ac:dyDescent="0.25"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</row>
    <row r="196" spans="15:30" ht="12" customHeight="1" x14ac:dyDescent="0.25"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</row>
    <row r="197" spans="15:30" ht="12" customHeight="1" x14ac:dyDescent="0.25"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</row>
    <row r="198" spans="15:30" ht="12" customHeight="1" x14ac:dyDescent="0.25"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</row>
    <row r="199" spans="15:30" ht="12" customHeight="1" x14ac:dyDescent="0.25"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</row>
    <row r="200" spans="15:30" ht="12" customHeight="1" x14ac:dyDescent="0.25"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</row>
  </sheetData>
  <mergeCells count="19">
    <mergeCell ref="B46:C46"/>
    <mergeCell ref="O1:U1"/>
    <mergeCell ref="A48:C48"/>
    <mergeCell ref="A49:C49"/>
    <mergeCell ref="A47:C47"/>
    <mergeCell ref="L1:M1"/>
    <mergeCell ref="A2:A29"/>
    <mergeCell ref="A30:A46"/>
    <mergeCell ref="B2:B10"/>
    <mergeCell ref="B11:B18"/>
    <mergeCell ref="B19:B20"/>
    <mergeCell ref="B21:B23"/>
    <mergeCell ref="B24:B28"/>
    <mergeCell ref="B29:C29"/>
    <mergeCell ref="B30:B35"/>
    <mergeCell ref="B36:B37"/>
    <mergeCell ref="B38:B41"/>
    <mergeCell ref="B42:B43"/>
    <mergeCell ref="B44:B45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F53FA-4F85-4B86-BBDF-6D834A3144CD}">
  <sheetPr codeName="Planilha7"/>
  <dimension ref="A1:AP68"/>
  <sheetViews>
    <sheetView showGridLines="0" topLeftCell="D53" workbookViewId="0">
      <selection activeCell="K79" sqref="K79:P79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5" width="10.28515625" style="9" bestFit="1" customWidth="1"/>
    <col min="6" max="6" width="14.140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5" width="10.85546875" style="9" bestFit="1" customWidth="1"/>
    <col min="16" max="16" width="9" style="9" bestFit="1" customWidth="1"/>
    <col min="17" max="18" width="10.85546875" style="9" bestFit="1" customWidth="1"/>
    <col min="19" max="19" width="10" style="9" bestFit="1" customWidth="1"/>
    <col min="20" max="22" width="10.85546875" style="9" bestFit="1" customWidth="1"/>
    <col min="23" max="23" width="10" style="9" bestFit="1" customWidth="1"/>
    <col min="24" max="24" width="9.85546875" style="9" bestFit="1" customWidth="1"/>
    <col min="25" max="25" width="5.14062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30" width="11.7109375" style="9" bestFit="1" customWidth="1"/>
    <col min="31" max="31" width="11.42578125" style="9" bestFit="1" customWidth="1"/>
    <col min="32" max="32" width="7.28515625" style="9" bestFit="1" customWidth="1"/>
    <col min="33" max="33" width="11.42578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8" width="10.85546875" style="9" bestFit="1" customWidth="1"/>
    <col min="39" max="39" width="11.71093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09" t="s">
        <v>71</v>
      </c>
      <c r="B1" s="109" t="s">
        <v>72</v>
      </c>
      <c r="C1" s="109" t="s">
        <v>73</v>
      </c>
      <c r="D1" s="109" t="s">
        <v>74</v>
      </c>
      <c r="E1" s="109" t="s">
        <v>75</v>
      </c>
      <c r="F1" s="109" t="s">
        <v>15</v>
      </c>
      <c r="G1" s="109" t="s">
        <v>77</v>
      </c>
      <c r="H1" s="109" t="s">
        <v>78</v>
      </c>
      <c r="I1" s="109" t="s">
        <v>835</v>
      </c>
      <c r="J1" s="105"/>
      <c r="L1" s="108" t="s">
        <v>836</v>
      </c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P1" s="108" t="s">
        <v>837</v>
      </c>
    </row>
    <row r="2" spans="1:42" ht="11.25" customHeight="1" x14ac:dyDescent="0.25">
      <c r="A2" s="109"/>
      <c r="B2" s="109"/>
      <c r="C2" s="109"/>
      <c r="D2" s="109"/>
      <c r="E2" s="109"/>
      <c r="F2" s="109"/>
      <c r="G2" s="109"/>
      <c r="H2" s="109"/>
      <c r="I2" s="109"/>
      <c r="J2" s="105"/>
      <c r="L2" s="108" t="s">
        <v>734</v>
      </c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P2" s="110"/>
    </row>
    <row r="3" spans="1:42" ht="11.25" customHeight="1" x14ac:dyDescent="0.25">
      <c r="A3" s="109"/>
      <c r="B3" s="109"/>
      <c r="C3" s="109"/>
      <c r="D3" s="109"/>
      <c r="E3" s="109"/>
      <c r="F3" s="109"/>
      <c r="G3" s="109"/>
      <c r="H3" s="109"/>
      <c r="I3" s="109"/>
      <c r="J3" s="105"/>
      <c r="L3" s="108" t="s">
        <v>735</v>
      </c>
      <c r="M3" s="108"/>
      <c r="N3" s="108"/>
      <c r="O3" s="108"/>
      <c r="P3" s="108"/>
      <c r="Q3" s="108"/>
      <c r="R3" s="108"/>
      <c r="S3" s="108"/>
      <c r="T3" s="108"/>
      <c r="U3" s="108" t="s">
        <v>744</v>
      </c>
      <c r="V3" s="108"/>
      <c r="W3" s="108"/>
      <c r="X3" s="108"/>
      <c r="Y3" s="108"/>
      <c r="Z3" s="108"/>
      <c r="AA3" s="108"/>
      <c r="AB3" s="108"/>
      <c r="AC3" s="108" t="s">
        <v>752</v>
      </c>
      <c r="AD3" s="108"/>
      <c r="AE3" s="108" t="s">
        <v>754</v>
      </c>
      <c r="AF3" s="108"/>
      <c r="AG3" s="108"/>
      <c r="AH3" s="108" t="s">
        <v>757</v>
      </c>
      <c r="AI3" s="108"/>
      <c r="AJ3" s="108"/>
      <c r="AK3" s="108"/>
      <c r="AL3" s="108"/>
      <c r="AM3" s="108" t="s">
        <v>743</v>
      </c>
      <c r="AP3" s="110"/>
    </row>
    <row r="4" spans="1:42" ht="11.25" customHeight="1" x14ac:dyDescent="0.25">
      <c r="A4" s="109"/>
      <c r="B4" s="109"/>
      <c r="C4" s="109"/>
      <c r="D4" s="109"/>
      <c r="E4" s="109"/>
      <c r="F4" s="109"/>
      <c r="G4" s="109"/>
      <c r="H4" s="109"/>
      <c r="I4" s="109"/>
      <c r="J4" s="105"/>
      <c r="L4" s="10" t="s">
        <v>820</v>
      </c>
      <c r="M4" s="10" t="s">
        <v>736</v>
      </c>
      <c r="N4" s="10" t="s">
        <v>737</v>
      </c>
      <c r="O4" s="10" t="s">
        <v>738</v>
      </c>
      <c r="P4" s="10" t="s">
        <v>739</v>
      </c>
      <c r="Q4" s="10" t="s">
        <v>740</v>
      </c>
      <c r="R4" s="10" t="s">
        <v>741</v>
      </c>
      <c r="S4" s="10" t="s">
        <v>742</v>
      </c>
      <c r="T4" s="10" t="s">
        <v>743</v>
      </c>
      <c r="U4" s="10" t="s">
        <v>745</v>
      </c>
      <c r="V4" s="10" t="s">
        <v>746</v>
      </c>
      <c r="W4" s="10" t="s">
        <v>747</v>
      </c>
      <c r="X4" s="10" t="s">
        <v>748</v>
      </c>
      <c r="Y4" s="10" t="s">
        <v>749</v>
      </c>
      <c r="Z4" s="10" t="s">
        <v>750</v>
      </c>
      <c r="AA4" s="10" t="s">
        <v>751</v>
      </c>
      <c r="AB4" s="10" t="s">
        <v>743</v>
      </c>
      <c r="AC4" s="10" t="s">
        <v>753</v>
      </c>
      <c r="AD4" s="10" t="s">
        <v>743</v>
      </c>
      <c r="AE4" s="10" t="s">
        <v>755</v>
      </c>
      <c r="AF4" s="10" t="s">
        <v>756</v>
      </c>
      <c r="AG4" s="10" t="s">
        <v>743</v>
      </c>
      <c r="AH4" s="10" t="s">
        <v>758</v>
      </c>
      <c r="AI4" s="10" t="s">
        <v>759</v>
      </c>
      <c r="AJ4" s="10" t="s">
        <v>760</v>
      </c>
      <c r="AK4" s="10" t="s">
        <v>761</v>
      </c>
      <c r="AL4" s="10" t="s">
        <v>743</v>
      </c>
      <c r="AM4" s="111"/>
      <c r="AP4" s="110"/>
    </row>
    <row r="5" spans="1:42" ht="11.25" customHeight="1" x14ac:dyDescent="0.25">
      <c r="A5" s="107" t="s">
        <v>80</v>
      </c>
      <c r="B5" s="107" t="s">
        <v>42</v>
      </c>
      <c r="C5" s="107" t="s">
        <v>25</v>
      </c>
      <c r="D5" s="107" t="s">
        <v>25</v>
      </c>
      <c r="E5" s="107" t="s">
        <v>25</v>
      </c>
      <c r="F5" s="107" t="s">
        <v>25</v>
      </c>
      <c r="G5" s="18" t="s">
        <v>86</v>
      </c>
      <c r="H5" s="18" t="s">
        <v>85</v>
      </c>
      <c r="I5" s="18">
        <f>'MERCADO TUSD'!$U$2+0.00000001</f>
        <v>1E-8</v>
      </c>
      <c r="J5" s="15"/>
      <c r="L5" s="13"/>
      <c r="M5" s="13"/>
      <c r="N5" s="13"/>
      <c r="O5" s="13"/>
      <c r="P5" s="13"/>
      <c r="Q5" s="13"/>
      <c r="R5" s="13"/>
      <c r="S5" s="13"/>
      <c r="T5" s="13"/>
      <c r="U5" s="13">
        <v>2.5402999999999998</v>
      </c>
      <c r="V5" s="13">
        <v>1.8615999999999999</v>
      </c>
      <c r="W5" s="13">
        <v>0.20100000000000001</v>
      </c>
      <c r="X5" s="13">
        <v>0</v>
      </c>
      <c r="Y5" s="13">
        <v>0</v>
      </c>
      <c r="Z5" s="13">
        <v>0</v>
      </c>
      <c r="AA5" s="13">
        <v>0</v>
      </c>
      <c r="AB5" s="13"/>
      <c r="AC5" s="13">
        <v>41.949599999999997</v>
      </c>
      <c r="AD5" s="13"/>
      <c r="AE5" s="13"/>
      <c r="AF5" s="13"/>
      <c r="AG5" s="13"/>
      <c r="AH5" s="13"/>
      <c r="AI5" s="13"/>
      <c r="AJ5" s="13"/>
      <c r="AK5" s="13"/>
      <c r="AL5" s="13"/>
      <c r="AM5" s="13"/>
      <c r="AP5" s="13">
        <v>1</v>
      </c>
    </row>
    <row r="6" spans="1:42" ht="11.25" customHeight="1" x14ac:dyDescent="0.25">
      <c r="A6" s="107"/>
      <c r="B6" s="107"/>
      <c r="C6" s="107"/>
      <c r="D6" s="107"/>
      <c r="E6" s="107"/>
      <c r="F6" s="107"/>
      <c r="G6" s="18" t="s">
        <v>87</v>
      </c>
      <c r="H6" s="18" t="s">
        <v>85</v>
      </c>
      <c r="I6" s="18">
        <f>'MERCADO TUSD'!$U$3+0.00000001</f>
        <v>1E-8</v>
      </c>
      <c r="J6" s="15"/>
      <c r="L6" s="13"/>
      <c r="M6" s="13"/>
      <c r="N6" s="13"/>
      <c r="O6" s="13"/>
      <c r="P6" s="13"/>
      <c r="Q6" s="13"/>
      <c r="R6" s="13"/>
      <c r="S6" s="13"/>
      <c r="T6" s="13"/>
      <c r="U6" s="13">
        <v>1.9072</v>
      </c>
      <c r="V6" s="13">
        <v>1.54</v>
      </c>
      <c r="W6" s="13">
        <v>0.16789999999999999</v>
      </c>
      <c r="X6" s="13">
        <v>0</v>
      </c>
      <c r="Y6" s="13">
        <v>0</v>
      </c>
      <c r="Z6" s="13">
        <v>0</v>
      </c>
      <c r="AA6" s="13">
        <v>0</v>
      </c>
      <c r="AB6" s="13"/>
      <c r="AC6" s="13">
        <v>12.615</v>
      </c>
      <c r="AD6" s="13"/>
      <c r="AE6" s="13"/>
      <c r="AF6" s="13"/>
      <c r="AG6" s="13"/>
      <c r="AH6" s="13"/>
      <c r="AI6" s="13"/>
      <c r="AJ6" s="13"/>
      <c r="AK6" s="13"/>
      <c r="AL6" s="13"/>
      <c r="AM6" s="13"/>
      <c r="AP6" s="13">
        <v>1</v>
      </c>
    </row>
    <row r="7" spans="1:42" ht="11.25" customHeight="1" x14ac:dyDescent="0.25">
      <c r="A7" s="107"/>
      <c r="B7" s="107"/>
      <c r="C7" s="107"/>
      <c r="D7" s="107"/>
      <c r="E7" s="107"/>
      <c r="F7" s="107"/>
      <c r="G7" s="18" t="s">
        <v>88</v>
      </c>
      <c r="H7" s="18" t="s">
        <v>82</v>
      </c>
      <c r="I7" s="18">
        <f>'MERCADO TUSD'!$U$4+0.00000001</f>
        <v>1E-8</v>
      </c>
      <c r="J7" s="15"/>
      <c r="L7" s="13"/>
      <c r="M7" s="13"/>
      <c r="N7" s="13"/>
      <c r="O7" s="13"/>
      <c r="P7" s="13"/>
      <c r="Q7" s="13"/>
      <c r="R7" s="13"/>
      <c r="S7" s="13"/>
      <c r="T7" s="13"/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/>
      <c r="AC7" s="13">
        <v>0</v>
      </c>
      <c r="AD7" s="13"/>
      <c r="AE7" s="13"/>
      <c r="AF7" s="13"/>
      <c r="AG7" s="13"/>
      <c r="AH7" s="13"/>
      <c r="AI7" s="13"/>
      <c r="AJ7" s="13"/>
      <c r="AK7" s="13"/>
      <c r="AL7" s="13"/>
      <c r="AM7" s="13"/>
      <c r="AP7" s="13">
        <v>1</v>
      </c>
    </row>
    <row r="8" spans="1:42" ht="11.25" customHeight="1" x14ac:dyDescent="0.25">
      <c r="A8" s="107"/>
      <c r="B8" s="107"/>
      <c r="C8" s="107"/>
      <c r="D8" s="107"/>
      <c r="E8" s="17" t="s">
        <v>89</v>
      </c>
      <c r="F8" s="17" t="s">
        <v>25</v>
      </c>
      <c r="G8" s="18" t="s">
        <v>88</v>
      </c>
      <c r="H8" s="18" t="s">
        <v>82</v>
      </c>
      <c r="I8" s="18">
        <f>'MERCADO TUSD'!$U$5+0.00000001</f>
        <v>1E-8</v>
      </c>
      <c r="J8" s="15"/>
      <c r="L8" s="13"/>
      <c r="M8" s="13"/>
      <c r="N8" s="13"/>
      <c r="O8" s="13"/>
      <c r="P8" s="13"/>
      <c r="Q8" s="13"/>
      <c r="R8" s="13"/>
      <c r="S8" s="13"/>
      <c r="T8" s="13"/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/>
      <c r="AC8" s="13">
        <v>0</v>
      </c>
      <c r="AD8" s="13"/>
      <c r="AE8" s="13"/>
      <c r="AF8" s="13"/>
      <c r="AG8" s="13"/>
      <c r="AH8" s="13"/>
      <c r="AI8" s="13"/>
      <c r="AJ8" s="13"/>
      <c r="AK8" s="13"/>
      <c r="AL8" s="13"/>
      <c r="AM8" s="13"/>
      <c r="AP8" s="13">
        <v>1</v>
      </c>
    </row>
    <row r="9" spans="1:42" ht="11.25" customHeight="1" x14ac:dyDescent="0.25">
      <c r="A9" s="107" t="s">
        <v>43</v>
      </c>
      <c r="B9" s="107" t="s">
        <v>42</v>
      </c>
      <c r="C9" s="107" t="s">
        <v>25</v>
      </c>
      <c r="D9" s="107" t="s">
        <v>25</v>
      </c>
      <c r="E9" s="107" t="s">
        <v>25</v>
      </c>
      <c r="F9" s="107" t="s">
        <v>25</v>
      </c>
      <c r="G9" s="18" t="s">
        <v>86</v>
      </c>
      <c r="H9" s="18" t="s">
        <v>85</v>
      </c>
      <c r="I9" s="18">
        <f>'MERCADO TUSD'!$U$6</f>
        <v>150</v>
      </c>
      <c r="J9" s="15"/>
      <c r="L9" s="13"/>
      <c r="M9" s="13"/>
      <c r="N9" s="13"/>
      <c r="O9" s="13"/>
      <c r="P9" s="13"/>
      <c r="Q9" s="13"/>
      <c r="R9" s="13"/>
      <c r="S9" s="13"/>
      <c r="T9" s="13"/>
      <c r="U9" s="13">
        <v>3.387</v>
      </c>
      <c r="V9" s="13">
        <v>2.4822000000000002</v>
      </c>
      <c r="W9" s="13">
        <v>0.26800000000000002</v>
      </c>
      <c r="X9" s="13">
        <v>0</v>
      </c>
      <c r="Y9" s="13">
        <v>0</v>
      </c>
      <c r="Z9" s="13">
        <v>0</v>
      </c>
      <c r="AA9" s="13">
        <v>0</v>
      </c>
      <c r="AB9" s="13"/>
      <c r="AC9" s="13">
        <v>55.9328</v>
      </c>
      <c r="AD9" s="13"/>
      <c r="AE9" s="13"/>
      <c r="AF9" s="13"/>
      <c r="AG9" s="13"/>
      <c r="AH9" s="13"/>
      <c r="AI9" s="13"/>
      <c r="AJ9" s="13"/>
      <c r="AK9" s="13"/>
      <c r="AL9" s="13"/>
      <c r="AM9" s="13"/>
      <c r="AP9" s="13">
        <v>1</v>
      </c>
    </row>
    <row r="10" spans="1:42" ht="11.25" customHeight="1" x14ac:dyDescent="0.25">
      <c r="A10" s="107"/>
      <c r="B10" s="107"/>
      <c r="C10" s="107"/>
      <c r="D10" s="107"/>
      <c r="E10" s="107"/>
      <c r="F10" s="107"/>
      <c r="G10" s="18" t="s">
        <v>87</v>
      </c>
      <c r="H10" s="18" t="s">
        <v>85</v>
      </c>
      <c r="I10" s="18">
        <f>'MERCADO TUSD'!$U$7</f>
        <v>1035</v>
      </c>
      <c r="J10" s="15"/>
      <c r="L10" s="13"/>
      <c r="M10" s="13"/>
      <c r="N10" s="13"/>
      <c r="O10" s="13"/>
      <c r="P10" s="13"/>
      <c r="Q10" s="13"/>
      <c r="R10" s="13"/>
      <c r="S10" s="13"/>
      <c r="T10" s="13"/>
      <c r="U10" s="13">
        <v>2.5428999999999999</v>
      </c>
      <c r="V10" s="13">
        <v>2.0533000000000001</v>
      </c>
      <c r="W10" s="13">
        <v>0.22389999999999999</v>
      </c>
      <c r="X10" s="13">
        <v>0</v>
      </c>
      <c r="Y10" s="13">
        <v>0</v>
      </c>
      <c r="Z10" s="13">
        <v>0</v>
      </c>
      <c r="AA10" s="13">
        <v>0</v>
      </c>
      <c r="AB10" s="13"/>
      <c r="AC10" s="13">
        <v>16.82</v>
      </c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P10" s="13">
        <v>1</v>
      </c>
    </row>
    <row r="11" spans="1:42" ht="11.25" customHeight="1" x14ac:dyDescent="0.25">
      <c r="A11" s="107"/>
      <c r="B11" s="107"/>
      <c r="C11" s="107"/>
      <c r="D11" s="107"/>
      <c r="E11" s="107"/>
      <c r="F11" s="107"/>
      <c r="G11" s="18" t="s">
        <v>88</v>
      </c>
      <c r="H11" s="18" t="s">
        <v>82</v>
      </c>
      <c r="I11" s="18">
        <f>'MERCADO TUSD'!$U$8</f>
        <v>0</v>
      </c>
      <c r="J11" s="15"/>
      <c r="L11" s="13"/>
      <c r="M11" s="13"/>
      <c r="N11" s="13"/>
      <c r="O11" s="13"/>
      <c r="P11" s="13"/>
      <c r="Q11" s="13"/>
      <c r="R11" s="13"/>
      <c r="S11" s="13"/>
      <c r="T11" s="13"/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/>
      <c r="AC11" s="13">
        <v>0</v>
      </c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P11" s="13">
        <v>1</v>
      </c>
    </row>
    <row r="12" spans="1:42" ht="11.25" customHeight="1" x14ac:dyDescent="0.25">
      <c r="A12" s="107"/>
      <c r="B12" s="107"/>
      <c r="C12" s="107"/>
      <c r="D12" s="107"/>
      <c r="E12" s="17" t="s">
        <v>89</v>
      </c>
      <c r="F12" s="17" t="s">
        <v>25</v>
      </c>
      <c r="G12" s="18" t="s">
        <v>88</v>
      </c>
      <c r="H12" s="18" t="s">
        <v>82</v>
      </c>
      <c r="I12" s="18">
        <f>'MERCADO TUSD'!$U$9</f>
        <v>0</v>
      </c>
      <c r="J12" s="15"/>
      <c r="L12" s="13"/>
      <c r="M12" s="13"/>
      <c r="N12" s="13"/>
      <c r="O12" s="13"/>
      <c r="P12" s="13"/>
      <c r="Q12" s="13"/>
      <c r="R12" s="13"/>
      <c r="S12" s="13"/>
      <c r="T12" s="13"/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/>
      <c r="AC12" s="13">
        <v>0</v>
      </c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P12" s="13">
        <v>1</v>
      </c>
    </row>
    <row r="13" spans="1:42" ht="11.25" customHeight="1" x14ac:dyDescent="0.25">
      <c r="A13" s="107"/>
      <c r="B13" s="17" t="s">
        <v>91</v>
      </c>
      <c r="C13" s="17" t="s">
        <v>25</v>
      </c>
      <c r="D13" s="17" t="s">
        <v>25</v>
      </c>
      <c r="E13" s="17" t="s">
        <v>25</v>
      </c>
      <c r="F13" s="17" t="s">
        <v>25</v>
      </c>
      <c r="G13" s="18" t="s">
        <v>9</v>
      </c>
      <c r="H13" s="18" t="s">
        <v>85</v>
      </c>
      <c r="I13" s="18">
        <f>'MERCADO TUSD'!$U$10</f>
        <v>0</v>
      </c>
      <c r="J13" s="15"/>
      <c r="L13" s="13"/>
      <c r="M13" s="13"/>
      <c r="N13" s="13"/>
      <c r="O13" s="13"/>
      <c r="P13" s="13"/>
      <c r="Q13" s="13"/>
      <c r="R13" s="13"/>
      <c r="S13" s="13"/>
      <c r="T13" s="13"/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/>
      <c r="AC13" s="13">
        <v>16.646100000000001</v>
      </c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P13" s="13"/>
    </row>
    <row r="14" spans="1:42" ht="11.25" customHeight="1" x14ac:dyDescent="0.25">
      <c r="A14" s="107"/>
      <c r="B14" s="107" t="s">
        <v>44</v>
      </c>
      <c r="C14" s="107" t="s">
        <v>25</v>
      </c>
      <c r="D14" s="107" t="s">
        <v>25</v>
      </c>
      <c r="E14" s="107" t="s">
        <v>25</v>
      </c>
      <c r="F14" s="107" t="s">
        <v>25</v>
      </c>
      <c r="G14" s="18" t="s">
        <v>9</v>
      </c>
      <c r="H14" s="18" t="s">
        <v>85</v>
      </c>
      <c r="I14" s="18">
        <f>'MERCADO TUSD'!$U$11</f>
        <v>10639</v>
      </c>
      <c r="J14" s="15"/>
      <c r="L14" s="13"/>
      <c r="M14" s="13"/>
      <c r="N14" s="13"/>
      <c r="O14" s="13"/>
      <c r="P14" s="13"/>
      <c r="Q14" s="13"/>
      <c r="R14" s="13"/>
      <c r="S14" s="13"/>
      <c r="T14" s="13"/>
      <c r="U14" s="13">
        <v>2.5428999999999999</v>
      </c>
      <c r="V14" s="13">
        <v>2.0533000000000001</v>
      </c>
      <c r="W14" s="13">
        <v>0.22389999999999999</v>
      </c>
      <c r="X14" s="13">
        <v>0</v>
      </c>
      <c r="Y14" s="13">
        <v>0</v>
      </c>
      <c r="Z14" s="13">
        <v>0</v>
      </c>
      <c r="AA14" s="13">
        <v>0</v>
      </c>
      <c r="AB14" s="13"/>
      <c r="AC14" s="13">
        <v>16.82</v>
      </c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P14" s="13">
        <v>1</v>
      </c>
    </row>
    <row r="15" spans="1:42" ht="11.25" customHeight="1" x14ac:dyDescent="0.25">
      <c r="A15" s="107"/>
      <c r="B15" s="107"/>
      <c r="C15" s="107"/>
      <c r="D15" s="107"/>
      <c r="E15" s="107"/>
      <c r="F15" s="107"/>
      <c r="G15" s="18" t="s">
        <v>83</v>
      </c>
      <c r="H15" s="18" t="s">
        <v>82</v>
      </c>
      <c r="I15" s="18">
        <f>'MERCADO TUSD'!$U$12</f>
        <v>163.142</v>
      </c>
      <c r="J15" s="15"/>
      <c r="L15" s="13"/>
      <c r="M15" s="13"/>
      <c r="N15" s="13"/>
      <c r="O15" s="13"/>
      <c r="P15" s="13"/>
      <c r="Q15" s="13"/>
      <c r="R15" s="13"/>
      <c r="S15" s="13"/>
      <c r="T15" s="13"/>
      <c r="U15" s="13">
        <v>81.458200000000005</v>
      </c>
      <c r="V15" s="13">
        <v>59.6965</v>
      </c>
      <c r="W15" s="13">
        <v>6.4451999999999998</v>
      </c>
      <c r="X15" s="13">
        <v>0</v>
      </c>
      <c r="Y15" s="13">
        <v>0</v>
      </c>
      <c r="Z15" s="13">
        <v>0</v>
      </c>
      <c r="AA15" s="13">
        <v>0</v>
      </c>
      <c r="AB15" s="13"/>
      <c r="AC15" s="13">
        <v>1345.1854000000001</v>
      </c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P15" s="13">
        <v>1</v>
      </c>
    </row>
    <row r="16" spans="1:42" ht="11.25" customHeight="1" x14ac:dyDescent="0.25">
      <c r="A16" s="107"/>
      <c r="B16" s="107"/>
      <c r="C16" s="107"/>
      <c r="D16" s="107"/>
      <c r="E16" s="107"/>
      <c r="F16" s="107"/>
      <c r="G16" s="18" t="s">
        <v>84</v>
      </c>
      <c r="H16" s="18" t="s">
        <v>82</v>
      </c>
      <c r="I16" s="18">
        <f>'MERCADO TUSD'!$U$13</f>
        <v>1766.7370000000001</v>
      </c>
      <c r="J16" s="15"/>
      <c r="L16" s="13"/>
      <c r="M16" s="13"/>
      <c r="N16" s="13"/>
      <c r="O16" s="13"/>
      <c r="P16" s="13"/>
      <c r="Q16" s="13"/>
      <c r="R16" s="13"/>
      <c r="S16" s="13"/>
      <c r="T16" s="13"/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/>
      <c r="AC16" s="13">
        <v>0</v>
      </c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P16" s="13">
        <v>1</v>
      </c>
    </row>
    <row r="17" spans="1:42" ht="11.25" customHeight="1" x14ac:dyDescent="0.25">
      <c r="A17" s="107"/>
      <c r="B17" s="107"/>
      <c r="C17" s="107"/>
      <c r="D17" s="107"/>
      <c r="E17" s="107" t="s">
        <v>89</v>
      </c>
      <c r="F17" s="107" t="s">
        <v>25</v>
      </c>
      <c r="G17" s="18" t="s">
        <v>83</v>
      </c>
      <c r="H17" s="18" t="s">
        <v>82</v>
      </c>
      <c r="I17" s="18">
        <f>'MERCADO TUSD'!$U$14</f>
        <v>0</v>
      </c>
      <c r="J17" s="15"/>
      <c r="L17" s="13"/>
      <c r="M17" s="13"/>
      <c r="N17" s="13"/>
      <c r="O17" s="13"/>
      <c r="P17" s="13"/>
      <c r="Q17" s="13"/>
      <c r="R17" s="13"/>
      <c r="S17" s="13"/>
      <c r="T17" s="13"/>
      <c r="U17" s="13">
        <v>81.458200000000005</v>
      </c>
      <c r="V17" s="13">
        <v>59.6965</v>
      </c>
      <c r="W17" s="13">
        <v>6.4451999999999998</v>
      </c>
      <c r="X17" s="13">
        <v>0</v>
      </c>
      <c r="Y17" s="13">
        <v>0</v>
      </c>
      <c r="Z17" s="13">
        <v>0</v>
      </c>
      <c r="AA17" s="13">
        <v>0</v>
      </c>
      <c r="AB17" s="13"/>
      <c r="AC17" s="13">
        <v>1345.1854000000001</v>
      </c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P17" s="13">
        <v>1</v>
      </c>
    </row>
    <row r="18" spans="1:42" ht="11.25" customHeight="1" x14ac:dyDescent="0.25">
      <c r="A18" s="107"/>
      <c r="B18" s="107"/>
      <c r="C18" s="107"/>
      <c r="D18" s="107"/>
      <c r="E18" s="107"/>
      <c r="F18" s="107"/>
      <c r="G18" s="18" t="s">
        <v>84</v>
      </c>
      <c r="H18" s="18" t="s">
        <v>82</v>
      </c>
      <c r="I18" s="18">
        <f>'MERCADO TUSD'!$U$15</f>
        <v>0</v>
      </c>
      <c r="J18" s="15"/>
      <c r="L18" s="13"/>
      <c r="M18" s="13"/>
      <c r="N18" s="13"/>
      <c r="O18" s="13"/>
      <c r="P18" s="13"/>
      <c r="Q18" s="13"/>
      <c r="R18" s="13"/>
      <c r="S18" s="13"/>
      <c r="T18" s="13"/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/>
      <c r="AC18" s="13">
        <v>0</v>
      </c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P18" s="13">
        <v>1</v>
      </c>
    </row>
    <row r="19" spans="1:42" ht="11.25" customHeight="1" x14ac:dyDescent="0.25">
      <c r="A19" s="107" t="s">
        <v>41</v>
      </c>
      <c r="B19" s="107" t="s">
        <v>42</v>
      </c>
      <c r="C19" s="107" t="s">
        <v>25</v>
      </c>
      <c r="D19" s="107" t="s">
        <v>25</v>
      </c>
      <c r="E19" s="107" t="s">
        <v>25</v>
      </c>
      <c r="F19" s="107" t="s">
        <v>25</v>
      </c>
      <c r="G19" s="18" t="s">
        <v>86</v>
      </c>
      <c r="H19" s="18" t="s">
        <v>85</v>
      </c>
      <c r="I19" s="18">
        <f>'MERCADO TUSD'!$U$16</f>
        <v>127291</v>
      </c>
      <c r="J19" s="15"/>
      <c r="L19" s="13"/>
      <c r="M19" s="13"/>
      <c r="N19" s="13"/>
      <c r="O19" s="13"/>
      <c r="P19" s="13"/>
      <c r="Q19" s="13"/>
      <c r="R19" s="13"/>
      <c r="S19" s="13"/>
      <c r="T19" s="13"/>
      <c r="U19" s="13">
        <v>3.387</v>
      </c>
      <c r="V19" s="13">
        <v>2.4822000000000002</v>
      </c>
      <c r="W19" s="13">
        <v>0.26800000000000002</v>
      </c>
      <c r="X19" s="13">
        <v>0</v>
      </c>
      <c r="Y19" s="13">
        <v>0</v>
      </c>
      <c r="Z19" s="13">
        <v>0</v>
      </c>
      <c r="AA19" s="13">
        <v>0</v>
      </c>
      <c r="AB19" s="13"/>
      <c r="AC19" s="13">
        <v>55.9328</v>
      </c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P19" s="13">
        <v>1</v>
      </c>
    </row>
    <row r="20" spans="1:42" ht="11.25" customHeight="1" x14ac:dyDescent="0.25">
      <c r="A20" s="107"/>
      <c r="B20" s="107"/>
      <c r="C20" s="107"/>
      <c r="D20" s="107"/>
      <c r="E20" s="107"/>
      <c r="F20" s="107"/>
      <c r="G20" s="18" t="s">
        <v>87</v>
      </c>
      <c r="H20" s="18" t="s">
        <v>85</v>
      </c>
      <c r="I20" s="18">
        <f>'MERCADO TUSD'!$U$17</f>
        <v>145423</v>
      </c>
      <c r="J20" s="15"/>
      <c r="L20" s="13"/>
      <c r="M20" s="13"/>
      <c r="N20" s="13"/>
      <c r="O20" s="13"/>
      <c r="P20" s="13"/>
      <c r="Q20" s="13"/>
      <c r="R20" s="13"/>
      <c r="S20" s="13"/>
      <c r="T20" s="13"/>
      <c r="U20" s="13">
        <v>2.5428999999999999</v>
      </c>
      <c r="V20" s="13">
        <v>2.0533000000000001</v>
      </c>
      <c r="W20" s="13">
        <v>0.22389999999999999</v>
      </c>
      <c r="X20" s="13">
        <v>0</v>
      </c>
      <c r="Y20" s="13">
        <v>0</v>
      </c>
      <c r="Z20" s="13">
        <v>0</v>
      </c>
      <c r="AA20" s="13">
        <v>0</v>
      </c>
      <c r="AB20" s="13"/>
      <c r="AC20" s="13">
        <v>16.82</v>
      </c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P20" s="13">
        <v>1</v>
      </c>
    </row>
    <row r="21" spans="1:42" ht="11.25" customHeight="1" x14ac:dyDescent="0.25">
      <c r="A21" s="107"/>
      <c r="B21" s="107"/>
      <c r="C21" s="107"/>
      <c r="D21" s="107"/>
      <c r="E21" s="107"/>
      <c r="F21" s="107"/>
      <c r="G21" s="18" t="s">
        <v>88</v>
      </c>
      <c r="H21" s="18" t="s">
        <v>82</v>
      </c>
      <c r="I21" s="18">
        <f>'MERCADO TUSD'!$U$18</f>
        <v>51654.506999999991</v>
      </c>
      <c r="J21" s="15"/>
      <c r="L21" s="13"/>
      <c r="M21" s="13"/>
      <c r="N21" s="13"/>
      <c r="O21" s="13"/>
      <c r="P21" s="13"/>
      <c r="Q21" s="13"/>
      <c r="R21" s="13"/>
      <c r="S21" s="13"/>
      <c r="T21" s="13"/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/>
      <c r="AC21" s="13">
        <v>0</v>
      </c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P21" s="13">
        <v>1</v>
      </c>
    </row>
    <row r="22" spans="1:42" ht="11.25" customHeight="1" x14ac:dyDescent="0.25">
      <c r="A22" s="107"/>
      <c r="B22" s="107"/>
      <c r="C22" s="107"/>
      <c r="D22" s="107"/>
      <c r="E22" s="17" t="s">
        <v>89</v>
      </c>
      <c r="F22" s="17" t="s">
        <v>25</v>
      </c>
      <c r="G22" s="18" t="s">
        <v>88</v>
      </c>
      <c r="H22" s="18" t="s">
        <v>82</v>
      </c>
      <c r="I22" s="18">
        <f>'MERCADO TUSD'!$U$19</f>
        <v>0</v>
      </c>
      <c r="J22" s="15"/>
      <c r="L22" s="13"/>
      <c r="M22" s="13"/>
      <c r="N22" s="13"/>
      <c r="O22" s="13"/>
      <c r="P22" s="13"/>
      <c r="Q22" s="13"/>
      <c r="R22" s="13"/>
      <c r="S22" s="13"/>
      <c r="T22" s="13"/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/>
      <c r="AC22" s="13">
        <v>0</v>
      </c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P22" s="13">
        <v>1</v>
      </c>
    </row>
    <row r="23" spans="1:42" ht="11.25" customHeight="1" x14ac:dyDescent="0.25">
      <c r="A23" s="107"/>
      <c r="B23" s="107" t="s">
        <v>62</v>
      </c>
      <c r="C23" s="107" t="s">
        <v>25</v>
      </c>
      <c r="D23" s="107" t="s">
        <v>25</v>
      </c>
      <c r="E23" s="107" t="s">
        <v>25</v>
      </c>
      <c r="F23" s="107" t="s">
        <v>63</v>
      </c>
      <c r="G23" s="18" t="s">
        <v>86</v>
      </c>
      <c r="H23" s="18" t="s">
        <v>85</v>
      </c>
      <c r="I23" s="18">
        <f>'MERCADO TUSD'!$U$20</f>
        <v>18979</v>
      </c>
      <c r="J23" s="15"/>
      <c r="L23" s="13"/>
      <c r="M23" s="13"/>
      <c r="N23" s="13"/>
      <c r="O23" s="13"/>
      <c r="P23" s="13"/>
      <c r="Q23" s="13"/>
      <c r="R23" s="13"/>
      <c r="S23" s="13"/>
      <c r="T23" s="13"/>
      <c r="U23" s="13">
        <v>3.387</v>
      </c>
      <c r="V23" s="13">
        <v>2.4822000000000002</v>
      </c>
      <c r="W23" s="13">
        <v>0.26800000000000002</v>
      </c>
      <c r="X23" s="13">
        <v>0</v>
      </c>
      <c r="Y23" s="13">
        <v>0</v>
      </c>
      <c r="Z23" s="13">
        <v>0</v>
      </c>
      <c r="AA23" s="13">
        <v>0</v>
      </c>
      <c r="AB23" s="13"/>
      <c r="AC23" s="13">
        <v>11.022</v>
      </c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P23" s="13">
        <v>1</v>
      </c>
    </row>
    <row r="24" spans="1:42" ht="11.25" customHeight="1" x14ac:dyDescent="0.25">
      <c r="A24" s="107"/>
      <c r="B24" s="107"/>
      <c r="C24" s="107"/>
      <c r="D24" s="107"/>
      <c r="E24" s="107"/>
      <c r="F24" s="107"/>
      <c r="G24" s="18" t="s">
        <v>87</v>
      </c>
      <c r="H24" s="18" t="s">
        <v>85</v>
      </c>
      <c r="I24" s="18">
        <f>'MERCADO TUSD'!$U$21</f>
        <v>19150</v>
      </c>
      <c r="J24" s="15"/>
      <c r="L24" s="13"/>
      <c r="M24" s="13"/>
      <c r="N24" s="13"/>
      <c r="O24" s="13"/>
      <c r="P24" s="13"/>
      <c r="Q24" s="13"/>
      <c r="R24" s="13"/>
      <c r="S24" s="13"/>
      <c r="T24" s="13"/>
      <c r="U24" s="13">
        <v>2.5428999999999999</v>
      </c>
      <c r="V24" s="13">
        <v>2.0533000000000001</v>
      </c>
      <c r="W24" s="13">
        <v>0.22389999999999999</v>
      </c>
      <c r="X24" s="13">
        <v>0</v>
      </c>
      <c r="Y24" s="13">
        <v>0</v>
      </c>
      <c r="Z24" s="13">
        <v>0</v>
      </c>
      <c r="AA24" s="13">
        <v>0</v>
      </c>
      <c r="AB24" s="13"/>
      <c r="AC24" s="13">
        <v>3.3144999999999998</v>
      </c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P24" s="13">
        <v>1</v>
      </c>
    </row>
    <row r="25" spans="1:42" ht="11.25" customHeight="1" x14ac:dyDescent="0.25">
      <c r="A25" s="107"/>
      <c r="B25" s="107"/>
      <c r="C25" s="107"/>
      <c r="D25" s="107"/>
      <c r="E25" s="107"/>
      <c r="F25" s="107"/>
      <c r="G25" s="18" t="s">
        <v>88</v>
      </c>
      <c r="H25" s="18" t="s">
        <v>82</v>
      </c>
      <c r="I25" s="18">
        <f>'MERCADO TUSD'!$U$22</f>
        <v>10049.634999999998</v>
      </c>
      <c r="J25" s="15"/>
      <c r="L25" s="13"/>
      <c r="M25" s="13"/>
      <c r="N25" s="13"/>
      <c r="O25" s="13"/>
      <c r="P25" s="13"/>
      <c r="Q25" s="13"/>
      <c r="R25" s="13"/>
      <c r="S25" s="13"/>
      <c r="T25" s="13"/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/>
      <c r="AC25" s="13">
        <v>0</v>
      </c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P25" s="13">
        <v>1</v>
      </c>
    </row>
    <row r="26" spans="1:42" ht="11.25" customHeight="1" x14ac:dyDescent="0.25">
      <c r="A26" s="107"/>
      <c r="B26" s="17" t="s">
        <v>91</v>
      </c>
      <c r="C26" s="17" t="s">
        <v>25</v>
      </c>
      <c r="D26" s="17" t="s">
        <v>25</v>
      </c>
      <c r="E26" s="17" t="s">
        <v>25</v>
      </c>
      <c r="F26" s="17" t="s">
        <v>25</v>
      </c>
      <c r="G26" s="18" t="s">
        <v>9</v>
      </c>
      <c r="H26" s="18" t="s">
        <v>85</v>
      </c>
      <c r="I26" s="18">
        <f>'MERCADO TUSD'!$U$23</f>
        <v>0</v>
      </c>
      <c r="J26" s="15"/>
      <c r="L26" s="13"/>
      <c r="M26" s="13"/>
      <c r="N26" s="13"/>
      <c r="O26" s="13"/>
      <c r="P26" s="13"/>
      <c r="Q26" s="13"/>
      <c r="R26" s="13"/>
      <c r="S26" s="13"/>
      <c r="T26" s="13"/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/>
      <c r="AC26" s="13">
        <v>16.646100000000001</v>
      </c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P26" s="13"/>
    </row>
    <row r="27" spans="1:42" ht="11.25" customHeight="1" x14ac:dyDescent="0.25">
      <c r="A27" s="107"/>
      <c r="B27" s="107" t="s">
        <v>44</v>
      </c>
      <c r="C27" s="107" t="s">
        <v>25</v>
      </c>
      <c r="D27" s="107" t="s">
        <v>25</v>
      </c>
      <c r="E27" s="107" t="s">
        <v>25</v>
      </c>
      <c r="F27" s="107" t="s">
        <v>25</v>
      </c>
      <c r="G27" s="18" t="s">
        <v>9</v>
      </c>
      <c r="H27" s="18" t="s">
        <v>85</v>
      </c>
      <c r="I27" s="18">
        <f>'MERCADO TUSD'!$U$24</f>
        <v>1145356</v>
      </c>
      <c r="J27" s="15"/>
      <c r="L27" s="13"/>
      <c r="M27" s="13"/>
      <c r="N27" s="13"/>
      <c r="O27" s="13"/>
      <c r="P27" s="13"/>
      <c r="Q27" s="13"/>
      <c r="R27" s="13"/>
      <c r="S27" s="13"/>
      <c r="T27" s="13"/>
      <c r="U27" s="13">
        <v>2.5428999999999999</v>
      </c>
      <c r="V27" s="13">
        <v>2.0533000000000001</v>
      </c>
      <c r="W27" s="13">
        <v>0.22389999999999999</v>
      </c>
      <c r="X27" s="13">
        <v>0</v>
      </c>
      <c r="Y27" s="13">
        <v>0</v>
      </c>
      <c r="Z27" s="13">
        <v>0</v>
      </c>
      <c r="AA27" s="13">
        <v>0</v>
      </c>
      <c r="AB27" s="13"/>
      <c r="AC27" s="13">
        <v>16.82</v>
      </c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P27" s="13">
        <v>1</v>
      </c>
    </row>
    <row r="28" spans="1:42" ht="11.25" customHeight="1" x14ac:dyDescent="0.25">
      <c r="A28" s="107"/>
      <c r="B28" s="107"/>
      <c r="C28" s="107"/>
      <c r="D28" s="107"/>
      <c r="E28" s="107"/>
      <c r="F28" s="107"/>
      <c r="G28" s="18" t="s">
        <v>83</v>
      </c>
      <c r="H28" s="18" t="s">
        <v>82</v>
      </c>
      <c r="I28" s="18">
        <f>'MERCADO TUSD'!$U$25</f>
        <v>16471.927</v>
      </c>
      <c r="J28" s="15"/>
      <c r="L28" s="13"/>
      <c r="M28" s="13"/>
      <c r="N28" s="13"/>
      <c r="O28" s="13"/>
      <c r="P28" s="13"/>
      <c r="Q28" s="13"/>
      <c r="R28" s="13"/>
      <c r="S28" s="13"/>
      <c r="T28" s="13"/>
      <c r="U28" s="13">
        <v>81.458200000000005</v>
      </c>
      <c r="V28" s="13">
        <v>59.6965</v>
      </c>
      <c r="W28" s="13">
        <v>6.4451999999999998</v>
      </c>
      <c r="X28" s="13">
        <v>0</v>
      </c>
      <c r="Y28" s="13">
        <v>0</v>
      </c>
      <c r="Z28" s="13">
        <v>0</v>
      </c>
      <c r="AA28" s="13">
        <v>0</v>
      </c>
      <c r="AB28" s="13"/>
      <c r="AC28" s="13">
        <v>1345.1854000000001</v>
      </c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P28" s="13">
        <v>1</v>
      </c>
    </row>
    <row r="29" spans="1:42" ht="11.25" customHeight="1" x14ac:dyDescent="0.25">
      <c r="A29" s="107"/>
      <c r="B29" s="107"/>
      <c r="C29" s="107"/>
      <c r="D29" s="107"/>
      <c r="E29" s="107"/>
      <c r="F29" s="107"/>
      <c r="G29" s="18" t="s">
        <v>84</v>
      </c>
      <c r="H29" s="18" t="s">
        <v>82</v>
      </c>
      <c r="I29" s="18">
        <f>'MERCADO TUSD'!$U$26</f>
        <v>200863.93899999998</v>
      </c>
      <c r="J29" s="15"/>
      <c r="L29" s="13"/>
      <c r="M29" s="13"/>
      <c r="N29" s="13"/>
      <c r="O29" s="13"/>
      <c r="P29" s="13"/>
      <c r="Q29" s="13"/>
      <c r="R29" s="13"/>
      <c r="S29" s="13"/>
      <c r="T29" s="13"/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/>
      <c r="AC29" s="13">
        <v>0</v>
      </c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P29" s="13">
        <v>1</v>
      </c>
    </row>
    <row r="30" spans="1:42" ht="11.25" customHeight="1" x14ac:dyDescent="0.25">
      <c r="A30" s="107"/>
      <c r="B30" s="107"/>
      <c r="C30" s="107"/>
      <c r="D30" s="107"/>
      <c r="E30" s="107" t="s">
        <v>89</v>
      </c>
      <c r="F30" s="107" t="s">
        <v>25</v>
      </c>
      <c r="G30" s="18" t="s">
        <v>83</v>
      </c>
      <c r="H30" s="18" t="s">
        <v>82</v>
      </c>
      <c r="I30" s="18">
        <f>'MERCADO TUSD'!$U$27</f>
        <v>0</v>
      </c>
      <c r="J30" s="15"/>
      <c r="L30" s="13"/>
      <c r="M30" s="13"/>
      <c r="N30" s="13"/>
      <c r="O30" s="13"/>
      <c r="P30" s="13"/>
      <c r="Q30" s="13"/>
      <c r="R30" s="13"/>
      <c r="S30" s="13"/>
      <c r="T30" s="13"/>
      <c r="U30" s="13">
        <v>81.458200000000005</v>
      </c>
      <c r="V30" s="13">
        <v>59.6965</v>
      </c>
      <c r="W30" s="13">
        <v>6.4451999999999998</v>
      </c>
      <c r="X30" s="13">
        <v>0</v>
      </c>
      <c r="Y30" s="13">
        <v>0</v>
      </c>
      <c r="Z30" s="13">
        <v>0</v>
      </c>
      <c r="AA30" s="13">
        <v>0</v>
      </c>
      <c r="AB30" s="13"/>
      <c r="AC30" s="13">
        <v>1345.1854000000001</v>
      </c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P30" s="13">
        <v>1</v>
      </c>
    </row>
    <row r="31" spans="1:42" ht="11.25" customHeight="1" x14ac:dyDescent="0.25">
      <c r="A31" s="107"/>
      <c r="B31" s="107"/>
      <c r="C31" s="107"/>
      <c r="D31" s="107"/>
      <c r="E31" s="107"/>
      <c r="F31" s="107"/>
      <c r="G31" s="18" t="s">
        <v>84</v>
      </c>
      <c r="H31" s="18" t="s">
        <v>82</v>
      </c>
      <c r="I31" s="18">
        <f>'MERCADO TUSD'!$U$28</f>
        <v>0</v>
      </c>
      <c r="J31" s="15"/>
      <c r="L31" s="13"/>
      <c r="M31" s="13"/>
      <c r="N31" s="13"/>
      <c r="O31" s="13"/>
      <c r="P31" s="13"/>
      <c r="Q31" s="13"/>
      <c r="R31" s="13"/>
      <c r="S31" s="13"/>
      <c r="T31" s="13"/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/>
      <c r="AC31" s="13">
        <v>0</v>
      </c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P31" s="13">
        <v>1</v>
      </c>
    </row>
    <row r="32" spans="1:42" ht="11.25" customHeight="1" x14ac:dyDescent="0.25">
      <c r="A32" s="107" t="s">
        <v>95</v>
      </c>
      <c r="B32" s="107" t="s">
        <v>91</v>
      </c>
      <c r="C32" s="107" t="s">
        <v>25</v>
      </c>
      <c r="D32" s="107" t="s">
        <v>25</v>
      </c>
      <c r="E32" s="17" t="s">
        <v>96</v>
      </c>
      <c r="F32" s="17" t="s">
        <v>25</v>
      </c>
      <c r="G32" s="18" t="s">
        <v>9</v>
      </c>
      <c r="H32" s="18" t="s">
        <v>85</v>
      </c>
      <c r="I32" s="18">
        <f>'MERCADO TUSD'!$U$29+0.00000001</f>
        <v>1E-8</v>
      </c>
      <c r="J32" s="15"/>
      <c r="L32" s="13"/>
      <c r="M32" s="13"/>
      <c r="N32" s="13"/>
      <c r="O32" s="13"/>
      <c r="P32" s="13"/>
      <c r="Q32" s="13"/>
      <c r="R32" s="13"/>
      <c r="S32" s="13"/>
      <c r="T32" s="13"/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/>
      <c r="AC32" s="13">
        <v>12.737</v>
      </c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P32" s="13"/>
    </row>
    <row r="33" spans="1:42" ht="11.25" customHeight="1" x14ac:dyDescent="0.25">
      <c r="A33" s="107"/>
      <c r="B33" s="107"/>
      <c r="C33" s="107"/>
      <c r="D33" s="107"/>
      <c r="E33" s="17" t="s">
        <v>97</v>
      </c>
      <c r="F33" s="17" t="s">
        <v>25</v>
      </c>
      <c r="G33" s="18" t="s">
        <v>9</v>
      </c>
      <c r="H33" s="18" t="s">
        <v>85</v>
      </c>
      <c r="I33" s="18">
        <f>'MERCADO TUSD'!$U$30+0.00000001</f>
        <v>1E-8</v>
      </c>
      <c r="J33" s="15"/>
      <c r="L33" s="13"/>
      <c r="M33" s="13"/>
      <c r="N33" s="13"/>
      <c r="O33" s="13"/>
      <c r="P33" s="13"/>
      <c r="Q33" s="13"/>
      <c r="R33" s="13"/>
      <c r="S33" s="13"/>
      <c r="T33" s="13"/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/>
      <c r="AC33" s="13">
        <v>28.517199999999999</v>
      </c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P33" s="13"/>
    </row>
    <row r="34" spans="1:42" ht="11.25" customHeight="1" x14ac:dyDescent="0.25">
      <c r="A34" s="107" t="s">
        <v>22</v>
      </c>
      <c r="B34" s="107" t="s">
        <v>35</v>
      </c>
      <c r="C34" s="107" t="s">
        <v>24</v>
      </c>
      <c r="D34" s="107" t="s">
        <v>24</v>
      </c>
      <c r="E34" s="107" t="s">
        <v>25</v>
      </c>
      <c r="F34" s="107" t="s">
        <v>25</v>
      </c>
      <c r="G34" s="18" t="s">
        <v>83</v>
      </c>
      <c r="H34" s="18" t="s">
        <v>82</v>
      </c>
      <c r="I34" s="18">
        <f>'MERCADO TUSD'!$U$31</f>
        <v>51.442999999999998</v>
      </c>
      <c r="J34" s="15"/>
      <c r="L34" s="13"/>
      <c r="M34" s="13"/>
      <c r="N34" s="13"/>
      <c r="O34" s="13"/>
      <c r="P34" s="13"/>
      <c r="Q34" s="13"/>
      <c r="R34" s="13"/>
      <c r="S34" s="13"/>
      <c r="T34" s="13"/>
      <c r="U34" s="13">
        <v>37.308500000000002</v>
      </c>
      <c r="V34" s="13">
        <v>28.4633</v>
      </c>
      <c r="W34" s="13">
        <v>3.0861999999999998</v>
      </c>
      <c r="X34" s="13">
        <v>0</v>
      </c>
      <c r="Y34" s="13">
        <v>0</v>
      </c>
      <c r="Z34" s="13">
        <v>0</v>
      </c>
      <c r="AA34" s="13">
        <v>0</v>
      </c>
      <c r="AB34" s="13"/>
      <c r="AC34" s="13">
        <v>896.75840000000005</v>
      </c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P34" s="13">
        <v>1</v>
      </c>
    </row>
    <row r="35" spans="1:42" ht="11.25" customHeight="1" x14ac:dyDescent="0.25">
      <c r="A35" s="107"/>
      <c r="B35" s="107"/>
      <c r="C35" s="107"/>
      <c r="D35" s="107"/>
      <c r="E35" s="107"/>
      <c r="F35" s="107"/>
      <c r="G35" s="18" t="s">
        <v>98</v>
      </c>
      <c r="H35" s="18" t="s">
        <v>82</v>
      </c>
      <c r="I35" s="18">
        <f>'MERCADO TUSD'!$U$32</f>
        <v>16.948999999999998</v>
      </c>
      <c r="J35" s="15"/>
      <c r="L35" s="13"/>
      <c r="M35" s="13"/>
      <c r="N35" s="13"/>
      <c r="O35" s="13"/>
      <c r="P35" s="13"/>
      <c r="Q35" s="13"/>
      <c r="R35" s="13"/>
      <c r="S35" s="13"/>
      <c r="T35" s="13"/>
      <c r="U35" s="13">
        <v>22.385100000000001</v>
      </c>
      <c r="V35" s="13">
        <v>17.077999999999999</v>
      </c>
      <c r="W35" s="13">
        <v>1.8516999999999999</v>
      </c>
      <c r="X35" s="13">
        <v>0</v>
      </c>
      <c r="Y35" s="13">
        <v>0</v>
      </c>
      <c r="Z35" s="13">
        <v>0</v>
      </c>
      <c r="AA35" s="13">
        <v>0</v>
      </c>
      <c r="AB35" s="13"/>
      <c r="AC35" s="13">
        <v>538.05510000000004</v>
      </c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P35" s="13">
        <v>1</v>
      </c>
    </row>
    <row r="36" spans="1:42" ht="11.25" customHeight="1" x14ac:dyDescent="0.25">
      <c r="A36" s="107"/>
      <c r="B36" s="107"/>
      <c r="C36" s="107"/>
      <c r="D36" s="107"/>
      <c r="E36" s="107"/>
      <c r="F36" s="107"/>
      <c r="G36" s="18" t="s">
        <v>84</v>
      </c>
      <c r="H36" s="18" t="s">
        <v>82</v>
      </c>
      <c r="I36" s="18">
        <f>'MERCADO TUSD'!$U$33</f>
        <v>490.19600000000008</v>
      </c>
      <c r="J36" s="15"/>
      <c r="L36" s="13"/>
      <c r="M36" s="13"/>
      <c r="N36" s="13"/>
      <c r="O36" s="13"/>
      <c r="P36" s="13"/>
      <c r="Q36" s="13"/>
      <c r="R36" s="13"/>
      <c r="S36" s="13"/>
      <c r="T36" s="13"/>
      <c r="U36" s="13">
        <v>7.4617000000000004</v>
      </c>
      <c r="V36" s="13">
        <v>5.6927000000000003</v>
      </c>
      <c r="W36" s="13">
        <v>0.61719999999999997</v>
      </c>
      <c r="X36" s="13">
        <v>0</v>
      </c>
      <c r="Y36" s="13">
        <v>0</v>
      </c>
      <c r="Z36" s="13">
        <v>0</v>
      </c>
      <c r="AA36" s="13">
        <v>0</v>
      </c>
      <c r="AB36" s="13"/>
      <c r="AC36" s="13">
        <v>179.35169999999999</v>
      </c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P36" s="13">
        <v>1</v>
      </c>
    </row>
    <row r="37" spans="1:42" ht="11.25" customHeight="1" x14ac:dyDescent="0.25">
      <c r="A37" s="107"/>
      <c r="B37" s="107" t="s">
        <v>23</v>
      </c>
      <c r="C37" s="107" t="s">
        <v>24</v>
      </c>
      <c r="D37" s="17" t="s">
        <v>24</v>
      </c>
      <c r="E37" s="17" t="s">
        <v>25</v>
      </c>
      <c r="F37" s="17" t="s">
        <v>25</v>
      </c>
      <c r="G37" s="18" t="s">
        <v>88</v>
      </c>
      <c r="H37" s="18" t="s">
        <v>82</v>
      </c>
      <c r="I37" s="18">
        <f>'MERCADO TUSD'!$U$34</f>
        <v>441318.25</v>
      </c>
      <c r="J37" s="15"/>
      <c r="L37" s="13"/>
      <c r="M37" s="13"/>
      <c r="N37" s="13"/>
      <c r="O37" s="13"/>
      <c r="P37" s="13"/>
      <c r="Q37" s="13"/>
      <c r="R37" s="13"/>
      <c r="S37" s="13"/>
      <c r="T37" s="13"/>
      <c r="U37" s="13">
        <v>11.843999999999999</v>
      </c>
      <c r="V37" s="13">
        <v>9.0359999999999996</v>
      </c>
      <c r="W37" s="13">
        <v>0.9798</v>
      </c>
      <c r="X37" s="13">
        <v>0</v>
      </c>
      <c r="Y37" s="13">
        <v>0</v>
      </c>
      <c r="Z37" s="13">
        <v>0</v>
      </c>
      <c r="AA37" s="13">
        <v>0</v>
      </c>
      <c r="AB37" s="13"/>
      <c r="AC37" s="13">
        <v>284.68520000000001</v>
      </c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P37" s="13">
        <v>1</v>
      </c>
    </row>
    <row r="38" spans="1:42" ht="11.25" customHeight="1" x14ac:dyDescent="0.25">
      <c r="A38" s="107"/>
      <c r="B38" s="107"/>
      <c r="C38" s="107"/>
      <c r="D38" s="17" t="s">
        <v>31</v>
      </c>
      <c r="E38" s="17" t="s">
        <v>25</v>
      </c>
      <c r="F38" s="17" t="s">
        <v>25</v>
      </c>
      <c r="G38" s="18" t="s">
        <v>88</v>
      </c>
      <c r="H38" s="18" t="s">
        <v>82</v>
      </c>
      <c r="I38" s="18">
        <f>'MERCADO TUSD'!$U$35</f>
        <v>23008.194</v>
      </c>
      <c r="J38" s="15"/>
      <c r="L38" s="13"/>
      <c r="M38" s="13"/>
      <c r="N38" s="13"/>
      <c r="O38" s="13"/>
      <c r="P38" s="13"/>
      <c r="Q38" s="13"/>
      <c r="R38" s="13"/>
      <c r="S38" s="13"/>
      <c r="T38" s="13"/>
      <c r="U38" s="13">
        <f>(1 - CUSTOS!$M$24)*11.844</f>
        <v>11.843999999999999</v>
      </c>
      <c r="V38" s="13">
        <f>(1 - CUSTOS!$M$24)*9.036</f>
        <v>9.0359999999999996</v>
      </c>
      <c r="W38" s="13">
        <f>(1 - CUSTOS!$M$24)*0.9798</f>
        <v>0.9798</v>
      </c>
      <c r="X38" s="13">
        <v>0</v>
      </c>
      <c r="Y38" s="13">
        <v>0</v>
      </c>
      <c r="Z38" s="13">
        <v>0</v>
      </c>
      <c r="AA38" s="13">
        <v>0</v>
      </c>
      <c r="AB38" s="13"/>
      <c r="AC38" s="13">
        <f>(1 - CUSTOS!$M$24)*284.6852</f>
        <v>284.68520000000001</v>
      </c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P38" s="13">
        <f>IF((1 - CUSTOS!$M$24)&lt;&gt;0,1/(1 - CUSTOS!$M$24),1)</f>
        <v>1</v>
      </c>
    </row>
    <row r="39" spans="1:42" ht="11.25" customHeight="1" x14ac:dyDescent="0.25">
      <c r="A39" s="107"/>
      <c r="B39" s="107"/>
      <c r="C39" s="107"/>
      <c r="D39" s="17" t="s">
        <v>32</v>
      </c>
      <c r="E39" s="17" t="s">
        <v>25</v>
      </c>
      <c r="F39" s="17" t="s">
        <v>25</v>
      </c>
      <c r="G39" s="18" t="s">
        <v>88</v>
      </c>
      <c r="H39" s="18" t="s">
        <v>82</v>
      </c>
      <c r="I39" s="18">
        <f>'MERCADO TUSD'!$U$36</f>
        <v>43669.588000000003</v>
      </c>
      <c r="J39" s="15"/>
      <c r="L39" s="13"/>
      <c r="M39" s="13"/>
      <c r="N39" s="13"/>
      <c r="O39" s="13"/>
      <c r="P39" s="13"/>
      <c r="Q39" s="13"/>
      <c r="R39" s="13"/>
      <c r="S39" s="13"/>
      <c r="T39" s="13"/>
      <c r="U39" s="13">
        <f>(1 - CUSTOS!$M$25)*11.844</f>
        <v>11.843999999999999</v>
      </c>
      <c r="V39" s="13">
        <f>(1 - CUSTOS!$M$25)*9.036</f>
        <v>9.0359999999999996</v>
      </c>
      <c r="W39" s="13">
        <f>(1 - CUSTOS!$M$25)*0.9798</f>
        <v>0.9798</v>
      </c>
      <c r="X39" s="13">
        <v>0</v>
      </c>
      <c r="Y39" s="13">
        <v>0</v>
      </c>
      <c r="Z39" s="13">
        <v>0</v>
      </c>
      <c r="AA39" s="13">
        <v>0</v>
      </c>
      <c r="AB39" s="13"/>
      <c r="AC39" s="13">
        <f>(1 - CUSTOS!$M$25)*284.6852</f>
        <v>284.68520000000001</v>
      </c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P39" s="13">
        <f>IF((1 - CUSTOS!$M$25)&lt;&gt;0,1/(1 - CUSTOS!$M$25),1)</f>
        <v>1</v>
      </c>
    </row>
    <row r="40" spans="1:42" ht="11.25" customHeight="1" x14ac:dyDescent="0.25">
      <c r="A40" s="107"/>
      <c r="B40" s="107"/>
      <c r="C40" s="107"/>
      <c r="D40" s="17" t="s">
        <v>33</v>
      </c>
      <c r="E40" s="17" t="s">
        <v>25</v>
      </c>
      <c r="F40" s="17" t="s">
        <v>25</v>
      </c>
      <c r="G40" s="18" t="s">
        <v>88</v>
      </c>
      <c r="H40" s="18" t="s">
        <v>82</v>
      </c>
      <c r="I40" s="18">
        <f>'MERCADO TUSD'!$U$37</f>
        <v>35563.447</v>
      </c>
      <c r="J40" s="15"/>
      <c r="L40" s="13"/>
      <c r="M40" s="13"/>
      <c r="N40" s="13"/>
      <c r="O40" s="13"/>
      <c r="P40" s="13"/>
      <c r="Q40" s="13"/>
      <c r="R40" s="13"/>
      <c r="S40" s="13"/>
      <c r="T40" s="13"/>
      <c r="U40" s="13">
        <f>(1 - CUSTOS!$M$26)*11.844</f>
        <v>11.843999999999999</v>
      </c>
      <c r="V40" s="13">
        <f>(1 - CUSTOS!$M$26)*9.036</f>
        <v>9.0359999999999996</v>
      </c>
      <c r="W40" s="13">
        <f>(1 - CUSTOS!$M$26)*0.9798</f>
        <v>0.9798</v>
      </c>
      <c r="X40" s="13">
        <v>0</v>
      </c>
      <c r="Y40" s="13">
        <v>0</v>
      </c>
      <c r="Z40" s="13">
        <v>0</v>
      </c>
      <c r="AA40" s="13">
        <v>0</v>
      </c>
      <c r="AB40" s="13"/>
      <c r="AC40" s="13">
        <f>(1 - CUSTOS!$M$26)*284.6852</f>
        <v>284.68520000000001</v>
      </c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P40" s="13">
        <f>IF((1 - CUSTOS!$M$26)&lt;&gt;0,1/(1 - CUSTOS!$M$26),1)</f>
        <v>1</v>
      </c>
    </row>
    <row r="41" spans="1:42" ht="11.25" customHeight="1" x14ac:dyDescent="0.25">
      <c r="A41" s="107"/>
      <c r="B41" s="107"/>
      <c r="C41" s="107"/>
      <c r="D41" s="17" t="s">
        <v>34</v>
      </c>
      <c r="E41" s="17" t="s">
        <v>25</v>
      </c>
      <c r="F41" s="17" t="s">
        <v>25</v>
      </c>
      <c r="G41" s="18" t="s">
        <v>88</v>
      </c>
      <c r="H41" s="18" t="s">
        <v>82</v>
      </c>
      <c r="I41" s="18">
        <f>'MERCADO TUSD'!$U$38</f>
        <v>18122.502</v>
      </c>
      <c r="J41" s="15"/>
      <c r="L41" s="13"/>
      <c r="M41" s="13"/>
      <c r="N41" s="13"/>
      <c r="O41" s="13"/>
      <c r="P41" s="13"/>
      <c r="Q41" s="13"/>
      <c r="R41" s="13"/>
      <c r="S41" s="13"/>
      <c r="T41" s="13"/>
      <c r="U41" s="13">
        <f>(1 - CUSTOS!$M$27)*11.844</f>
        <v>11.843999999999999</v>
      </c>
      <c r="V41" s="13">
        <f>(1 - CUSTOS!$M$27)*9.036</f>
        <v>9.0359999999999996</v>
      </c>
      <c r="W41" s="13">
        <f>(1 - CUSTOS!$M$27)*0.9798</f>
        <v>0.9798</v>
      </c>
      <c r="X41" s="13">
        <v>0</v>
      </c>
      <c r="Y41" s="13">
        <v>0</v>
      </c>
      <c r="Z41" s="13">
        <v>0</v>
      </c>
      <c r="AA41" s="13">
        <v>0</v>
      </c>
      <c r="AB41" s="13"/>
      <c r="AC41" s="13">
        <f>(1 - CUSTOS!$M$27)*284.6852</f>
        <v>284.68520000000001</v>
      </c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P41" s="13">
        <f>IF((1 - CUSTOS!$M$27)&lt;&gt;0,1/(1 - CUSTOS!$M$27),1)</f>
        <v>1</v>
      </c>
    </row>
    <row r="42" spans="1:42" ht="11.25" customHeight="1" x14ac:dyDescent="0.25">
      <c r="A42" s="107"/>
      <c r="B42" s="107" t="s">
        <v>100</v>
      </c>
      <c r="C42" s="107" t="s">
        <v>24</v>
      </c>
      <c r="D42" s="17" t="s">
        <v>24</v>
      </c>
      <c r="E42" s="17" t="s">
        <v>25</v>
      </c>
      <c r="F42" s="17" t="s">
        <v>25</v>
      </c>
      <c r="G42" s="18" t="s">
        <v>88</v>
      </c>
      <c r="H42" s="18" t="s">
        <v>82</v>
      </c>
      <c r="I42" s="18">
        <f>'MERCADO TUSD'!$U$39</f>
        <v>0</v>
      </c>
      <c r="J42" s="15"/>
      <c r="L42" s="13"/>
      <c r="M42" s="13"/>
      <c r="N42" s="13"/>
      <c r="O42" s="13"/>
      <c r="P42" s="13"/>
      <c r="Q42" s="13"/>
      <c r="R42" s="13"/>
      <c r="S42" s="13"/>
      <c r="T42" s="13"/>
      <c r="U42" s="13">
        <v>11.843999999999999</v>
      </c>
      <c r="V42" s="13">
        <v>9.0359999999999996</v>
      </c>
      <c r="W42" s="13">
        <v>0.9798</v>
      </c>
      <c r="X42" s="13">
        <v>0</v>
      </c>
      <c r="Y42" s="13">
        <v>0</v>
      </c>
      <c r="Z42" s="13">
        <v>0</v>
      </c>
      <c r="AA42" s="13">
        <v>0</v>
      </c>
      <c r="AB42" s="13"/>
      <c r="AC42" s="13">
        <v>284.68520000000001</v>
      </c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P42" s="13">
        <v>1</v>
      </c>
    </row>
    <row r="43" spans="1:42" ht="11.25" customHeight="1" x14ac:dyDescent="0.25">
      <c r="A43" s="107"/>
      <c r="B43" s="107"/>
      <c r="C43" s="107"/>
      <c r="D43" s="17" t="s">
        <v>31</v>
      </c>
      <c r="E43" s="17" t="s">
        <v>25</v>
      </c>
      <c r="F43" s="17" t="s">
        <v>25</v>
      </c>
      <c r="G43" s="18" t="s">
        <v>88</v>
      </c>
      <c r="H43" s="18" t="s">
        <v>82</v>
      </c>
      <c r="I43" s="18">
        <f>'MERCADO TUSD'!$U$40</f>
        <v>0</v>
      </c>
      <c r="J43" s="15"/>
      <c r="L43" s="13"/>
      <c r="M43" s="13"/>
      <c r="N43" s="13"/>
      <c r="O43" s="13"/>
      <c r="P43" s="13"/>
      <c r="Q43" s="13"/>
      <c r="R43" s="13"/>
      <c r="S43" s="13"/>
      <c r="T43" s="13"/>
      <c r="U43" s="13">
        <f>(1 - CUSTOS!$M$24)*11.844</f>
        <v>11.843999999999999</v>
      </c>
      <c r="V43" s="13">
        <f>(1 - CUSTOS!$M$24)*9.036</f>
        <v>9.0359999999999996</v>
      </c>
      <c r="W43" s="13">
        <f>(1 - CUSTOS!$M$24)*0.9798</f>
        <v>0.9798</v>
      </c>
      <c r="X43" s="13">
        <v>0</v>
      </c>
      <c r="Y43" s="13">
        <v>0</v>
      </c>
      <c r="Z43" s="13">
        <v>0</v>
      </c>
      <c r="AA43" s="13">
        <v>0</v>
      </c>
      <c r="AB43" s="13"/>
      <c r="AC43" s="13">
        <f>(1 - CUSTOS!$M$24)*284.6852</f>
        <v>284.68520000000001</v>
      </c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P43" s="13">
        <f>IF((1 - CUSTOS!$M$24)&lt;&gt;0,1/(1 - CUSTOS!$M$24),1)</f>
        <v>1</v>
      </c>
    </row>
    <row r="44" spans="1:42" ht="11.25" customHeight="1" x14ac:dyDescent="0.25">
      <c r="A44" s="107"/>
      <c r="B44" s="107"/>
      <c r="C44" s="107"/>
      <c r="D44" s="17" t="s">
        <v>32</v>
      </c>
      <c r="E44" s="17" t="s">
        <v>25</v>
      </c>
      <c r="F44" s="17" t="s">
        <v>25</v>
      </c>
      <c r="G44" s="18" t="s">
        <v>88</v>
      </c>
      <c r="H44" s="18" t="s">
        <v>82</v>
      </c>
      <c r="I44" s="18">
        <f>'MERCADO TUSD'!$U$41</f>
        <v>0</v>
      </c>
      <c r="J44" s="15"/>
      <c r="L44" s="13"/>
      <c r="M44" s="13"/>
      <c r="N44" s="13"/>
      <c r="O44" s="13"/>
      <c r="P44" s="13"/>
      <c r="Q44" s="13"/>
      <c r="R44" s="13"/>
      <c r="S44" s="13"/>
      <c r="T44" s="13"/>
      <c r="U44" s="13">
        <f>(1 - CUSTOS!$M$25)*11.844</f>
        <v>11.843999999999999</v>
      </c>
      <c r="V44" s="13">
        <f>(1 - CUSTOS!$M$25)*9.036</f>
        <v>9.0359999999999996</v>
      </c>
      <c r="W44" s="13">
        <f>(1 - CUSTOS!$M$25)*0.9798</f>
        <v>0.9798</v>
      </c>
      <c r="X44" s="13">
        <v>0</v>
      </c>
      <c r="Y44" s="13">
        <v>0</v>
      </c>
      <c r="Z44" s="13">
        <v>0</v>
      </c>
      <c r="AA44" s="13">
        <v>0</v>
      </c>
      <c r="AB44" s="13"/>
      <c r="AC44" s="13">
        <f>(1 - CUSTOS!$M$25)*284.6852</f>
        <v>284.68520000000001</v>
      </c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P44" s="13">
        <f>IF((1 - CUSTOS!$M$25)&lt;&gt;0,1/(1 - CUSTOS!$M$25),1)</f>
        <v>1</v>
      </c>
    </row>
    <row r="45" spans="1:42" ht="11.25" customHeight="1" x14ac:dyDescent="0.25">
      <c r="A45" s="107"/>
      <c r="B45" s="107"/>
      <c r="C45" s="107"/>
      <c r="D45" s="17" t="s">
        <v>33</v>
      </c>
      <c r="E45" s="17" t="s">
        <v>25</v>
      </c>
      <c r="F45" s="17" t="s">
        <v>25</v>
      </c>
      <c r="G45" s="18" t="s">
        <v>88</v>
      </c>
      <c r="H45" s="18" t="s">
        <v>82</v>
      </c>
      <c r="I45" s="18">
        <f>'MERCADO TUSD'!$U$42</f>
        <v>0</v>
      </c>
      <c r="J45" s="15"/>
      <c r="L45" s="13"/>
      <c r="M45" s="13"/>
      <c r="N45" s="13"/>
      <c r="O45" s="13"/>
      <c r="P45" s="13"/>
      <c r="Q45" s="13"/>
      <c r="R45" s="13"/>
      <c r="S45" s="13"/>
      <c r="T45" s="13"/>
      <c r="U45" s="13">
        <f>(1 - CUSTOS!$M$26)*11.844</f>
        <v>11.843999999999999</v>
      </c>
      <c r="V45" s="13">
        <f>(1 - CUSTOS!$M$26)*9.036</f>
        <v>9.0359999999999996</v>
      </c>
      <c r="W45" s="13">
        <f>(1 - CUSTOS!$M$26)*0.9798</f>
        <v>0.9798</v>
      </c>
      <c r="X45" s="13">
        <v>0</v>
      </c>
      <c r="Y45" s="13">
        <v>0</v>
      </c>
      <c r="Z45" s="13">
        <v>0</v>
      </c>
      <c r="AA45" s="13">
        <v>0</v>
      </c>
      <c r="AB45" s="13"/>
      <c r="AC45" s="13">
        <f>(1 - CUSTOS!$M$26)*284.6852</f>
        <v>284.68520000000001</v>
      </c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P45" s="13">
        <f>IF((1 - CUSTOS!$M$26)&lt;&gt;0,1/(1 - CUSTOS!$M$26),1)</f>
        <v>1</v>
      </c>
    </row>
    <row r="46" spans="1:42" ht="11.25" customHeight="1" x14ac:dyDescent="0.25">
      <c r="A46" s="107"/>
      <c r="B46" s="107"/>
      <c r="C46" s="107"/>
      <c r="D46" s="17" t="s">
        <v>34</v>
      </c>
      <c r="E46" s="17" t="s">
        <v>25</v>
      </c>
      <c r="F46" s="17" t="s">
        <v>25</v>
      </c>
      <c r="G46" s="18" t="s">
        <v>88</v>
      </c>
      <c r="H46" s="18" t="s">
        <v>82</v>
      </c>
      <c r="I46" s="18">
        <f>'MERCADO TUSD'!$U$43</f>
        <v>0</v>
      </c>
      <c r="J46" s="15"/>
      <c r="L46" s="13"/>
      <c r="M46" s="13"/>
      <c r="N46" s="13"/>
      <c r="O46" s="13"/>
      <c r="P46" s="13"/>
      <c r="Q46" s="13"/>
      <c r="R46" s="13"/>
      <c r="S46" s="13"/>
      <c r="T46" s="13"/>
      <c r="U46" s="13">
        <f>(1 - CUSTOS!$M$27)*11.844</f>
        <v>11.843999999999999</v>
      </c>
      <c r="V46" s="13">
        <f>(1 - CUSTOS!$M$27)*9.036</f>
        <v>9.0359999999999996</v>
      </c>
      <c r="W46" s="13">
        <f>(1 - CUSTOS!$M$27)*0.9798</f>
        <v>0.9798</v>
      </c>
      <c r="X46" s="13">
        <v>0</v>
      </c>
      <c r="Y46" s="13">
        <v>0</v>
      </c>
      <c r="Z46" s="13">
        <v>0</v>
      </c>
      <c r="AA46" s="13">
        <v>0</v>
      </c>
      <c r="AB46" s="13"/>
      <c r="AC46" s="13">
        <f>(1 - CUSTOS!$M$27)*284.6852</f>
        <v>284.68520000000001</v>
      </c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P46" s="13">
        <f>IF((1 - CUSTOS!$M$27)&lt;&gt;0,1/(1 - CUSTOS!$M$27),1)</f>
        <v>1</v>
      </c>
    </row>
    <row r="47" spans="1:42" ht="11.25" customHeight="1" x14ac:dyDescent="0.25">
      <c r="A47" s="107" t="s">
        <v>46</v>
      </c>
      <c r="B47" s="107" t="s">
        <v>35</v>
      </c>
      <c r="C47" s="107" t="s">
        <v>47</v>
      </c>
      <c r="D47" s="107" t="s">
        <v>25</v>
      </c>
      <c r="E47" s="107" t="s">
        <v>25</v>
      </c>
      <c r="F47" s="107" t="s">
        <v>25</v>
      </c>
      <c r="G47" s="18" t="s">
        <v>83</v>
      </c>
      <c r="H47" s="18" t="s">
        <v>82</v>
      </c>
      <c r="I47" s="18">
        <f>'MERCADO TUSD'!$U$44</f>
        <v>3.4330000000000007</v>
      </c>
      <c r="J47" s="15"/>
      <c r="L47" s="13"/>
      <c r="M47" s="13"/>
      <c r="N47" s="13"/>
      <c r="O47" s="13"/>
      <c r="P47" s="13"/>
      <c r="Q47" s="13"/>
      <c r="R47" s="13"/>
      <c r="S47" s="13"/>
      <c r="T47" s="13"/>
      <c r="U47" s="13">
        <f>(1 - CUSTOS!$M$28)*36.1241</f>
        <v>36.124099999999999</v>
      </c>
      <c r="V47" s="13">
        <f>(1 - CUSTOS!$M$28)*27.5597</f>
        <v>27.559699999999999</v>
      </c>
      <c r="W47" s="13">
        <f>(1 - CUSTOS!$M$28)*2.9882</f>
        <v>2.9882</v>
      </c>
      <c r="X47" s="13">
        <v>0</v>
      </c>
      <c r="Y47" s="13">
        <v>0</v>
      </c>
      <c r="Z47" s="13">
        <v>0</v>
      </c>
      <c r="AA47" s="13">
        <v>0</v>
      </c>
      <c r="AB47" s="13"/>
      <c r="AC47" s="13">
        <f>(1 - CUSTOS!$M$28)*868.2899</f>
        <v>868.28989999999999</v>
      </c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P47" s="13">
        <f>IF((1 - CUSTOS!$M$28)&lt;&gt;0,1/(1 - CUSTOS!$M$28),1)</f>
        <v>1</v>
      </c>
    </row>
    <row r="48" spans="1:42" ht="11.25" customHeight="1" x14ac:dyDescent="0.25">
      <c r="A48" s="107"/>
      <c r="B48" s="107"/>
      <c r="C48" s="107"/>
      <c r="D48" s="107"/>
      <c r="E48" s="107"/>
      <c r="F48" s="107"/>
      <c r="G48" s="18" t="s">
        <v>98</v>
      </c>
      <c r="H48" s="18" t="s">
        <v>82</v>
      </c>
      <c r="I48" s="18">
        <f>'MERCADO TUSD'!$U$45</f>
        <v>0.54699999999999993</v>
      </c>
      <c r="J48" s="15"/>
      <c r="L48" s="13"/>
      <c r="M48" s="13"/>
      <c r="N48" s="13"/>
      <c r="O48" s="13"/>
      <c r="P48" s="13"/>
      <c r="Q48" s="13"/>
      <c r="R48" s="13"/>
      <c r="S48" s="13"/>
      <c r="T48" s="13"/>
      <c r="U48" s="13">
        <f>(1 - CUSTOS!$M$28)*21.6745</f>
        <v>21.674499999999998</v>
      </c>
      <c r="V48" s="13">
        <f>(1 - CUSTOS!$M$28)*16.5358</f>
        <v>16.535799999999998</v>
      </c>
      <c r="W48" s="13">
        <f>(1 - CUSTOS!$M$28)*1.7929</f>
        <v>1.7928999999999999</v>
      </c>
      <c r="X48" s="13">
        <v>0</v>
      </c>
      <c r="Y48" s="13">
        <v>0</v>
      </c>
      <c r="Z48" s="13">
        <v>0</v>
      </c>
      <c r="AA48" s="13">
        <v>0</v>
      </c>
      <c r="AB48" s="13"/>
      <c r="AC48" s="13">
        <f>(1 - CUSTOS!$M$28)*520.9739</f>
        <v>520.97389999999996</v>
      </c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P48" s="13">
        <f>IF((1 - CUSTOS!$M$28)&lt;&gt;0,1/(1 - CUSTOS!$M$28),1)</f>
        <v>1</v>
      </c>
    </row>
    <row r="49" spans="1:42" ht="11.25" customHeight="1" x14ac:dyDescent="0.25">
      <c r="A49" s="107"/>
      <c r="B49" s="107"/>
      <c r="C49" s="107"/>
      <c r="D49" s="107"/>
      <c r="E49" s="107"/>
      <c r="F49" s="107"/>
      <c r="G49" s="18" t="s">
        <v>84</v>
      </c>
      <c r="H49" s="18" t="s">
        <v>82</v>
      </c>
      <c r="I49" s="18">
        <f>'MERCADO TUSD'!$U$46</f>
        <v>73.387</v>
      </c>
      <c r="J49" s="15"/>
      <c r="L49" s="13"/>
      <c r="M49" s="13"/>
      <c r="N49" s="13"/>
      <c r="O49" s="13"/>
      <c r="P49" s="13"/>
      <c r="Q49" s="13"/>
      <c r="R49" s="13"/>
      <c r="S49" s="13"/>
      <c r="T49" s="13"/>
      <c r="U49" s="13">
        <f>(1 - CUSTOS!$M$28)*7.2248</f>
        <v>7.2248000000000001</v>
      </c>
      <c r="V49" s="13">
        <f>(1 - CUSTOS!$M$28)*5.5119</f>
        <v>5.5118999999999998</v>
      </c>
      <c r="W49" s="13">
        <f>(1 - CUSTOS!$M$28)*0.5976</f>
        <v>0.59760000000000002</v>
      </c>
      <c r="X49" s="13">
        <v>0</v>
      </c>
      <c r="Y49" s="13">
        <v>0</v>
      </c>
      <c r="Z49" s="13">
        <v>0</v>
      </c>
      <c r="AA49" s="13">
        <v>0</v>
      </c>
      <c r="AB49" s="13"/>
      <c r="AC49" s="13">
        <f>(1 - CUSTOS!$M$28)*173.658</f>
        <v>173.65799999999999</v>
      </c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P49" s="13">
        <f>IF((1 - CUSTOS!$M$28)&lt;&gt;0,1/(1 - CUSTOS!$M$28),1)</f>
        <v>1</v>
      </c>
    </row>
    <row r="50" spans="1:42" ht="11.25" customHeight="1" x14ac:dyDescent="0.25">
      <c r="A50" s="107"/>
      <c r="B50" s="17" t="s">
        <v>23</v>
      </c>
      <c r="C50" s="17" t="s">
        <v>47</v>
      </c>
      <c r="D50" s="17" t="s">
        <v>25</v>
      </c>
      <c r="E50" s="17" t="s">
        <v>25</v>
      </c>
      <c r="F50" s="17" t="s">
        <v>25</v>
      </c>
      <c r="G50" s="18" t="s">
        <v>88</v>
      </c>
      <c r="H50" s="18" t="s">
        <v>82</v>
      </c>
      <c r="I50" s="18">
        <f>'MERCADO TUSD'!$U$47</f>
        <v>45841.400999999998</v>
      </c>
      <c r="J50" s="15"/>
      <c r="L50" s="13"/>
      <c r="M50" s="13"/>
      <c r="N50" s="13"/>
      <c r="O50" s="13"/>
      <c r="P50" s="13"/>
      <c r="Q50" s="13"/>
      <c r="R50" s="13"/>
      <c r="S50" s="13"/>
      <c r="T50" s="13"/>
      <c r="U50" s="13">
        <f>(1 - CUSTOS!$M$28)*11.844</f>
        <v>11.843999999999999</v>
      </c>
      <c r="V50" s="13">
        <f>(1 - CUSTOS!$M$28)*9.036</f>
        <v>9.0359999999999996</v>
      </c>
      <c r="W50" s="13">
        <f>(1 - CUSTOS!$M$28)*0.9798</f>
        <v>0.9798</v>
      </c>
      <c r="X50" s="13">
        <v>0</v>
      </c>
      <c r="Y50" s="13">
        <v>0</v>
      </c>
      <c r="Z50" s="13">
        <v>0</v>
      </c>
      <c r="AA50" s="13">
        <v>0</v>
      </c>
      <c r="AB50" s="13"/>
      <c r="AC50" s="13">
        <f>(1 - CUSTOS!$M$28)*284.6852</f>
        <v>284.68520000000001</v>
      </c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P50" s="13">
        <f>IF((1 - CUSTOS!$M$28)&lt;&gt;0,1/(1 - CUSTOS!$M$28),1)</f>
        <v>1</v>
      </c>
    </row>
    <row r="51" spans="1:42" ht="11.25" customHeight="1" x14ac:dyDescent="0.25">
      <c r="A51" s="107"/>
      <c r="B51" s="107" t="s">
        <v>35</v>
      </c>
      <c r="C51" s="107" t="s">
        <v>47</v>
      </c>
      <c r="D51" s="107" t="s">
        <v>101</v>
      </c>
      <c r="E51" s="107" t="s">
        <v>25</v>
      </c>
      <c r="F51" s="107" t="s">
        <v>25</v>
      </c>
      <c r="G51" s="18" t="s">
        <v>83</v>
      </c>
      <c r="H51" s="18" t="s">
        <v>82</v>
      </c>
      <c r="I51" s="18">
        <f>'MERCADO TUSD'!$U$48</f>
        <v>0</v>
      </c>
      <c r="J51" s="15"/>
      <c r="L51" s="13"/>
      <c r="M51" s="13"/>
      <c r="N51" s="13"/>
      <c r="O51" s="13"/>
      <c r="P51" s="13"/>
      <c r="Q51" s="13"/>
      <c r="R51" s="13"/>
      <c r="S51" s="13"/>
      <c r="T51" s="13"/>
      <c r="U51" s="13">
        <f>(1 - CUSTOS!$M$29)*36.1241</f>
        <v>36.124099999999999</v>
      </c>
      <c r="V51" s="13">
        <f>(1 - CUSTOS!$M$29)*27.5597</f>
        <v>27.559699999999999</v>
      </c>
      <c r="W51" s="13">
        <f>(1 - CUSTOS!$M$29)*2.9882</f>
        <v>2.9882</v>
      </c>
      <c r="X51" s="13">
        <v>0</v>
      </c>
      <c r="Y51" s="13">
        <v>0</v>
      </c>
      <c r="Z51" s="13">
        <v>0</v>
      </c>
      <c r="AA51" s="13">
        <v>0</v>
      </c>
      <c r="AB51" s="13"/>
      <c r="AC51" s="13">
        <f>(1 - CUSTOS!$M$29)*868.2899</f>
        <v>868.28989999999999</v>
      </c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P51" s="13">
        <f>IF((1 - CUSTOS!$M$29)&lt;&gt;0,1/(1 - CUSTOS!$M$29),1)</f>
        <v>1</v>
      </c>
    </row>
    <row r="52" spans="1:42" ht="11.25" customHeight="1" x14ac:dyDescent="0.25">
      <c r="A52" s="107"/>
      <c r="B52" s="107"/>
      <c r="C52" s="107"/>
      <c r="D52" s="107"/>
      <c r="E52" s="107"/>
      <c r="F52" s="107"/>
      <c r="G52" s="18" t="s">
        <v>98</v>
      </c>
      <c r="H52" s="18" t="s">
        <v>82</v>
      </c>
      <c r="I52" s="18">
        <f>'MERCADO TUSD'!$U$49</f>
        <v>0</v>
      </c>
      <c r="J52" s="15"/>
      <c r="L52" s="13"/>
      <c r="M52" s="13"/>
      <c r="N52" s="13"/>
      <c r="O52" s="13"/>
      <c r="P52" s="13"/>
      <c r="Q52" s="13"/>
      <c r="R52" s="13"/>
      <c r="S52" s="13"/>
      <c r="T52" s="13"/>
      <c r="U52" s="13">
        <f>(1 - CUSTOS!$M$29)*21.6745</f>
        <v>21.674499999999998</v>
      </c>
      <c r="V52" s="13">
        <f>(1 - CUSTOS!$M$29)*16.5358</f>
        <v>16.535799999999998</v>
      </c>
      <c r="W52" s="13">
        <f>(1 - CUSTOS!$M$29)*1.7929</f>
        <v>1.7928999999999999</v>
      </c>
      <c r="X52" s="13">
        <v>0</v>
      </c>
      <c r="Y52" s="13">
        <v>0</v>
      </c>
      <c r="Z52" s="13">
        <v>0</v>
      </c>
      <c r="AA52" s="13">
        <v>0</v>
      </c>
      <c r="AB52" s="13"/>
      <c r="AC52" s="13">
        <f>(1 - CUSTOS!$M$29)*520.9739</f>
        <v>520.97389999999996</v>
      </c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P52" s="13">
        <f>IF((1 - CUSTOS!$M$29)&lt;&gt;0,1/(1 - CUSTOS!$M$29),1)</f>
        <v>1</v>
      </c>
    </row>
    <row r="53" spans="1:42" ht="11.25" customHeight="1" x14ac:dyDescent="0.25">
      <c r="A53" s="107"/>
      <c r="B53" s="107"/>
      <c r="C53" s="107"/>
      <c r="D53" s="107"/>
      <c r="E53" s="107"/>
      <c r="F53" s="107"/>
      <c r="G53" s="18" t="s">
        <v>84</v>
      </c>
      <c r="H53" s="18" t="s">
        <v>82</v>
      </c>
      <c r="I53" s="18">
        <f>'MERCADO TUSD'!$U$50</f>
        <v>0</v>
      </c>
      <c r="J53" s="15"/>
      <c r="L53" s="13"/>
      <c r="M53" s="13"/>
      <c r="N53" s="13"/>
      <c r="O53" s="13"/>
      <c r="P53" s="13"/>
      <c r="Q53" s="13"/>
      <c r="R53" s="13"/>
      <c r="S53" s="13"/>
      <c r="T53" s="13"/>
      <c r="U53" s="13">
        <f>(1 - CUSTOS!$M$29)*7.2248</f>
        <v>7.2248000000000001</v>
      </c>
      <c r="V53" s="13">
        <f>(1 - CUSTOS!$M$29)*5.5119</f>
        <v>5.5118999999999998</v>
      </c>
      <c r="W53" s="13">
        <f>(1 - CUSTOS!$M$29)*0.5976</f>
        <v>0.59760000000000002</v>
      </c>
      <c r="X53" s="13">
        <v>0</v>
      </c>
      <c r="Y53" s="13">
        <v>0</v>
      </c>
      <c r="Z53" s="13">
        <v>0</v>
      </c>
      <c r="AA53" s="13">
        <v>0</v>
      </c>
      <c r="AB53" s="13"/>
      <c r="AC53" s="13">
        <f>(1 - CUSTOS!$M$29)*173.658</f>
        <v>173.65799999999999</v>
      </c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P53" s="13">
        <f>IF((1 - CUSTOS!$M$29)&lt;&gt;0,1/(1 - CUSTOS!$M$29),1)</f>
        <v>1</v>
      </c>
    </row>
    <row r="54" spans="1:42" ht="11.25" customHeight="1" x14ac:dyDescent="0.25">
      <c r="A54" s="107"/>
      <c r="B54" s="17" t="s">
        <v>23</v>
      </c>
      <c r="C54" s="17" t="s">
        <v>47</v>
      </c>
      <c r="D54" s="17" t="s">
        <v>101</v>
      </c>
      <c r="E54" s="17" t="s">
        <v>25</v>
      </c>
      <c r="F54" s="17" t="s">
        <v>25</v>
      </c>
      <c r="G54" s="18" t="s">
        <v>88</v>
      </c>
      <c r="H54" s="18" t="s">
        <v>82</v>
      </c>
      <c r="I54" s="18">
        <f>'MERCADO TUSD'!$U$51</f>
        <v>0</v>
      </c>
      <c r="J54" s="15"/>
      <c r="L54" s="13"/>
      <c r="M54" s="13"/>
      <c r="N54" s="13"/>
      <c r="O54" s="13"/>
      <c r="P54" s="13"/>
      <c r="Q54" s="13"/>
      <c r="R54" s="13"/>
      <c r="S54" s="13"/>
      <c r="T54" s="13"/>
      <c r="U54" s="13">
        <f>(1 - CUSTOS!$M$29)*11.844</f>
        <v>11.843999999999999</v>
      </c>
      <c r="V54" s="13">
        <f>(1 - CUSTOS!$M$29)*9.036</f>
        <v>9.0359999999999996</v>
      </c>
      <c r="W54" s="13">
        <f>(1 - CUSTOS!$M$29)*0.9798</f>
        <v>0.9798</v>
      </c>
      <c r="X54" s="13">
        <v>0</v>
      </c>
      <c r="Y54" s="13">
        <v>0</v>
      </c>
      <c r="Z54" s="13">
        <v>0</v>
      </c>
      <c r="AA54" s="13">
        <v>0</v>
      </c>
      <c r="AB54" s="13"/>
      <c r="AC54" s="13">
        <f>(1 - CUSTOS!$M$29)*284.6852</f>
        <v>284.68520000000001</v>
      </c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P54" s="13">
        <f>IF((1 - CUSTOS!$M$29)&lt;&gt;0,1/(1 - CUSTOS!$M$29),1)</f>
        <v>1</v>
      </c>
    </row>
    <row r="55" spans="1:42" ht="11.25" customHeight="1" x14ac:dyDescent="0.25">
      <c r="A55" s="107"/>
      <c r="B55" s="107" t="s">
        <v>35</v>
      </c>
      <c r="C55" s="107" t="s">
        <v>47</v>
      </c>
      <c r="D55" s="107" t="s">
        <v>102</v>
      </c>
      <c r="E55" s="107" t="s">
        <v>25</v>
      </c>
      <c r="F55" s="107" t="s">
        <v>25</v>
      </c>
      <c r="G55" s="18" t="s">
        <v>83</v>
      </c>
      <c r="H55" s="18" t="s">
        <v>82</v>
      </c>
      <c r="I55" s="18">
        <f>'MERCADO TUSD'!$U$52</f>
        <v>0</v>
      </c>
      <c r="J55" s="15"/>
      <c r="L55" s="13"/>
      <c r="M55" s="13"/>
      <c r="N55" s="13"/>
      <c r="O55" s="13"/>
      <c r="P55" s="13"/>
      <c r="Q55" s="13"/>
      <c r="R55" s="13"/>
      <c r="S55" s="13"/>
      <c r="T55" s="13"/>
      <c r="U55" s="13">
        <f>(1 - CUSTOS!$M$30)*36.1241</f>
        <v>36.124099999999999</v>
      </c>
      <c r="V55" s="13">
        <f>(1 - CUSTOS!$M$30)*27.5597</f>
        <v>27.559699999999999</v>
      </c>
      <c r="W55" s="13">
        <f>(1 - CUSTOS!$M$30)*2.9882</f>
        <v>2.9882</v>
      </c>
      <c r="X55" s="13">
        <v>0</v>
      </c>
      <c r="Y55" s="13">
        <v>0</v>
      </c>
      <c r="Z55" s="13">
        <v>0</v>
      </c>
      <c r="AA55" s="13">
        <v>0</v>
      </c>
      <c r="AB55" s="13"/>
      <c r="AC55" s="13">
        <f>(1 - CUSTOS!$M$30)*868.2899</f>
        <v>868.28989999999999</v>
      </c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P55" s="13">
        <f>IF((1 - CUSTOS!$M$30)&lt;&gt;0,1/(1 - CUSTOS!$M$30),1)</f>
        <v>1</v>
      </c>
    </row>
    <row r="56" spans="1:42" ht="11.25" customHeight="1" x14ac:dyDescent="0.25">
      <c r="A56" s="107"/>
      <c r="B56" s="107"/>
      <c r="C56" s="107"/>
      <c r="D56" s="107"/>
      <c r="E56" s="107"/>
      <c r="F56" s="107"/>
      <c r="G56" s="18" t="s">
        <v>98</v>
      </c>
      <c r="H56" s="18" t="s">
        <v>82</v>
      </c>
      <c r="I56" s="18">
        <f>'MERCADO TUSD'!$U$53</f>
        <v>0</v>
      </c>
      <c r="J56" s="15"/>
      <c r="L56" s="13"/>
      <c r="M56" s="13"/>
      <c r="N56" s="13"/>
      <c r="O56" s="13"/>
      <c r="P56" s="13"/>
      <c r="Q56" s="13"/>
      <c r="R56" s="13"/>
      <c r="S56" s="13"/>
      <c r="T56" s="13"/>
      <c r="U56" s="13">
        <f>(1 - CUSTOS!$M$30)*21.6745</f>
        <v>21.674499999999998</v>
      </c>
      <c r="V56" s="13">
        <f>(1 - CUSTOS!$M$30)*16.5358</f>
        <v>16.535799999999998</v>
      </c>
      <c r="W56" s="13">
        <f>(1 - CUSTOS!$M$30)*1.7929</f>
        <v>1.7928999999999999</v>
      </c>
      <c r="X56" s="13">
        <v>0</v>
      </c>
      <c r="Y56" s="13">
        <v>0</v>
      </c>
      <c r="Z56" s="13">
        <v>0</v>
      </c>
      <c r="AA56" s="13">
        <v>0</v>
      </c>
      <c r="AB56" s="13"/>
      <c r="AC56" s="13">
        <f>(1 - CUSTOS!$M$30)*520.9739</f>
        <v>520.97389999999996</v>
      </c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P56" s="13">
        <f>IF((1 - CUSTOS!$M$30)&lt;&gt;0,1/(1 - CUSTOS!$M$30),1)</f>
        <v>1</v>
      </c>
    </row>
    <row r="57" spans="1:42" ht="11.25" customHeight="1" x14ac:dyDescent="0.25">
      <c r="A57" s="107"/>
      <c r="B57" s="107"/>
      <c r="C57" s="107"/>
      <c r="D57" s="107"/>
      <c r="E57" s="107"/>
      <c r="F57" s="107"/>
      <c r="G57" s="18" t="s">
        <v>84</v>
      </c>
      <c r="H57" s="18" t="s">
        <v>82</v>
      </c>
      <c r="I57" s="18">
        <f>'MERCADO TUSD'!$U$54</f>
        <v>0</v>
      </c>
      <c r="J57" s="15"/>
      <c r="L57" s="13"/>
      <c r="M57" s="13"/>
      <c r="N57" s="13"/>
      <c r="O57" s="13"/>
      <c r="P57" s="13"/>
      <c r="Q57" s="13"/>
      <c r="R57" s="13"/>
      <c r="S57" s="13"/>
      <c r="T57" s="13"/>
      <c r="U57" s="13">
        <f>(1 - CUSTOS!$M$30)*7.2248</f>
        <v>7.2248000000000001</v>
      </c>
      <c r="V57" s="13">
        <f>(1 - CUSTOS!$M$30)*5.5119</f>
        <v>5.5118999999999998</v>
      </c>
      <c r="W57" s="13">
        <f>(1 - CUSTOS!$M$30)*0.5976</f>
        <v>0.59760000000000002</v>
      </c>
      <c r="X57" s="13">
        <v>0</v>
      </c>
      <c r="Y57" s="13">
        <v>0</v>
      </c>
      <c r="Z57" s="13">
        <v>0</v>
      </c>
      <c r="AA57" s="13">
        <v>0</v>
      </c>
      <c r="AB57" s="13"/>
      <c r="AC57" s="13">
        <f>(1 - CUSTOS!$M$30)*173.658</f>
        <v>173.65799999999999</v>
      </c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P57" s="13">
        <f>IF((1 - CUSTOS!$M$30)&lt;&gt;0,1/(1 - CUSTOS!$M$30),1)</f>
        <v>1</v>
      </c>
    </row>
    <row r="58" spans="1:42" ht="11.25" customHeight="1" x14ac:dyDescent="0.25">
      <c r="A58" s="107"/>
      <c r="B58" s="17" t="s">
        <v>23</v>
      </c>
      <c r="C58" s="17" t="s">
        <v>47</v>
      </c>
      <c r="D58" s="17" t="s">
        <v>102</v>
      </c>
      <c r="E58" s="17" t="s">
        <v>25</v>
      </c>
      <c r="F58" s="17" t="s">
        <v>25</v>
      </c>
      <c r="G58" s="18" t="s">
        <v>88</v>
      </c>
      <c r="H58" s="18" t="s">
        <v>82</v>
      </c>
      <c r="I58" s="18">
        <f>'MERCADO TUSD'!$U$55</f>
        <v>0</v>
      </c>
      <c r="J58" s="15"/>
      <c r="L58" s="13"/>
      <c r="M58" s="13"/>
      <c r="N58" s="13"/>
      <c r="O58" s="13"/>
      <c r="P58" s="13"/>
      <c r="Q58" s="13"/>
      <c r="R58" s="13"/>
      <c r="S58" s="13"/>
      <c r="T58" s="13"/>
      <c r="U58" s="13">
        <f>(1 - CUSTOS!$M$30)*11.844</f>
        <v>11.843999999999999</v>
      </c>
      <c r="V58" s="13">
        <f>(1 - CUSTOS!$M$30)*9.036</f>
        <v>9.0359999999999996</v>
      </c>
      <c r="W58" s="13">
        <f>(1 - CUSTOS!$M$30)*0.9798</f>
        <v>0.9798</v>
      </c>
      <c r="X58" s="13">
        <v>0</v>
      </c>
      <c r="Y58" s="13">
        <v>0</v>
      </c>
      <c r="Z58" s="13">
        <v>0</v>
      </c>
      <c r="AA58" s="13">
        <v>0</v>
      </c>
      <c r="AB58" s="13"/>
      <c r="AC58" s="13">
        <f>(1 - CUSTOS!$M$30)*284.6852</f>
        <v>284.68520000000001</v>
      </c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P58" s="13">
        <f>IF((1 - CUSTOS!$M$30)&lt;&gt;0,1/(1 - CUSTOS!$M$30),1)</f>
        <v>1</v>
      </c>
    </row>
    <row r="59" spans="1:42" ht="11.25" customHeight="1" x14ac:dyDescent="0.25">
      <c r="A59" s="107"/>
      <c r="B59" s="107" t="s">
        <v>100</v>
      </c>
      <c r="C59" s="107" t="s">
        <v>47</v>
      </c>
      <c r="D59" s="17" t="s">
        <v>25</v>
      </c>
      <c r="E59" s="17" t="s">
        <v>25</v>
      </c>
      <c r="F59" s="17" t="s">
        <v>25</v>
      </c>
      <c r="G59" s="18" t="s">
        <v>88</v>
      </c>
      <c r="H59" s="18" t="s">
        <v>82</v>
      </c>
      <c r="I59" s="18">
        <f>'MERCADO TUSD'!$U$56</f>
        <v>0</v>
      </c>
      <c r="J59" s="15"/>
      <c r="L59" s="13"/>
      <c r="M59" s="13"/>
      <c r="N59" s="13"/>
      <c r="O59" s="13"/>
      <c r="P59" s="13"/>
      <c r="Q59" s="13"/>
      <c r="R59" s="13"/>
      <c r="S59" s="13"/>
      <c r="T59" s="13"/>
      <c r="U59" s="13">
        <f>(1 - CUSTOS!$M$28)*11.844</f>
        <v>11.843999999999999</v>
      </c>
      <c r="V59" s="13">
        <f>(1 - CUSTOS!$M$28)*9.036</f>
        <v>9.0359999999999996</v>
      </c>
      <c r="W59" s="13">
        <f>(1 - CUSTOS!$M$28)*0.9798</f>
        <v>0.9798</v>
      </c>
      <c r="X59" s="13">
        <v>0</v>
      </c>
      <c r="Y59" s="13">
        <v>0</v>
      </c>
      <c r="Z59" s="13">
        <v>0</v>
      </c>
      <c r="AA59" s="13">
        <v>0</v>
      </c>
      <c r="AB59" s="13"/>
      <c r="AC59" s="13">
        <f>(1 - CUSTOS!$M$28)*284.6852</f>
        <v>284.68520000000001</v>
      </c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P59" s="13">
        <f>IF((1 - CUSTOS!$M$28)&lt;&gt;0,1/(1 - CUSTOS!$M$28),1)</f>
        <v>1</v>
      </c>
    </row>
    <row r="60" spans="1:42" ht="11.25" customHeight="1" x14ac:dyDescent="0.25">
      <c r="A60" s="107"/>
      <c r="B60" s="107"/>
      <c r="C60" s="107"/>
      <c r="D60" s="17" t="s">
        <v>101</v>
      </c>
      <c r="E60" s="17" t="s">
        <v>25</v>
      </c>
      <c r="F60" s="17" t="s">
        <v>25</v>
      </c>
      <c r="G60" s="18" t="s">
        <v>88</v>
      </c>
      <c r="H60" s="18" t="s">
        <v>82</v>
      </c>
      <c r="I60" s="18">
        <f>'MERCADO TUSD'!$U$57</f>
        <v>0</v>
      </c>
      <c r="J60" s="15"/>
      <c r="L60" s="13"/>
      <c r="M60" s="13"/>
      <c r="N60" s="13"/>
      <c r="O60" s="13"/>
      <c r="P60" s="13"/>
      <c r="Q60" s="13"/>
      <c r="R60" s="13"/>
      <c r="S60" s="13"/>
      <c r="T60" s="13"/>
      <c r="U60" s="13">
        <f>(1 - CUSTOS!$M$29)*11.844</f>
        <v>11.843999999999999</v>
      </c>
      <c r="V60" s="13">
        <f>(1 - CUSTOS!$M$29)*9.036</f>
        <v>9.0359999999999996</v>
      </c>
      <c r="W60" s="13">
        <f>(1 - CUSTOS!$M$29)*0.9798</f>
        <v>0.9798</v>
      </c>
      <c r="X60" s="13">
        <v>0</v>
      </c>
      <c r="Y60" s="13">
        <v>0</v>
      </c>
      <c r="Z60" s="13">
        <v>0</v>
      </c>
      <c r="AA60" s="13">
        <v>0</v>
      </c>
      <c r="AB60" s="13"/>
      <c r="AC60" s="13">
        <f>(1 - CUSTOS!$M$29)*284.6852</f>
        <v>284.68520000000001</v>
      </c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P60" s="13">
        <f>IF((1 - CUSTOS!$M$29)&lt;&gt;0,1/(1 - CUSTOS!$M$29),1)</f>
        <v>1</v>
      </c>
    </row>
    <row r="61" spans="1:42" ht="11.25" customHeight="1" x14ac:dyDescent="0.25">
      <c r="A61" s="107"/>
      <c r="B61" s="107"/>
      <c r="C61" s="107"/>
      <c r="D61" s="17" t="s">
        <v>102</v>
      </c>
      <c r="E61" s="17" t="s">
        <v>25</v>
      </c>
      <c r="F61" s="17" t="s">
        <v>25</v>
      </c>
      <c r="G61" s="18" t="s">
        <v>88</v>
      </c>
      <c r="H61" s="18" t="s">
        <v>82</v>
      </c>
      <c r="I61" s="18">
        <f>'MERCADO TUSD'!$U$58</f>
        <v>0</v>
      </c>
      <c r="J61" s="15"/>
      <c r="L61" s="13"/>
      <c r="M61" s="13"/>
      <c r="N61" s="13"/>
      <c r="O61" s="13"/>
      <c r="P61" s="13"/>
      <c r="Q61" s="13"/>
      <c r="R61" s="13"/>
      <c r="S61" s="13"/>
      <c r="T61" s="13"/>
      <c r="U61" s="13">
        <f>(1 - CUSTOS!$M$30)*11.844</f>
        <v>11.843999999999999</v>
      </c>
      <c r="V61" s="13">
        <f>(1 - CUSTOS!$M$30)*9.036</f>
        <v>9.0359999999999996</v>
      </c>
      <c r="W61" s="13">
        <f>(1 - CUSTOS!$M$30)*0.9798</f>
        <v>0.9798</v>
      </c>
      <c r="X61" s="13">
        <v>0</v>
      </c>
      <c r="Y61" s="13">
        <v>0</v>
      </c>
      <c r="Z61" s="13">
        <v>0</v>
      </c>
      <c r="AA61" s="13">
        <v>0</v>
      </c>
      <c r="AB61" s="13"/>
      <c r="AC61" s="13">
        <f>(1 - CUSTOS!$M$30)*284.6852</f>
        <v>284.68520000000001</v>
      </c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P61" s="13">
        <f>IF((1 - CUSTOS!$M$30)&lt;&gt;0,1/(1 - CUSTOS!$M$30),1)</f>
        <v>1</v>
      </c>
    </row>
    <row r="62" spans="1:42" ht="11.25" customHeight="1" x14ac:dyDescent="0.25">
      <c r="A62" s="107" t="s">
        <v>39</v>
      </c>
      <c r="B62" s="107" t="s">
        <v>35</v>
      </c>
      <c r="C62" s="107" t="s">
        <v>25</v>
      </c>
      <c r="D62" s="107" t="s">
        <v>25</v>
      </c>
      <c r="E62" s="107" t="s">
        <v>25</v>
      </c>
      <c r="F62" s="107" t="s">
        <v>25</v>
      </c>
      <c r="G62" s="18" t="s">
        <v>83</v>
      </c>
      <c r="H62" s="18" t="s">
        <v>82</v>
      </c>
      <c r="I62" s="18">
        <f>'MERCADO TUSD'!$U$59</f>
        <v>79.968999999999994</v>
      </c>
      <c r="J62" s="15"/>
      <c r="L62" s="13"/>
      <c r="M62" s="13"/>
      <c r="N62" s="13"/>
      <c r="O62" s="13"/>
      <c r="P62" s="13"/>
      <c r="Q62" s="13"/>
      <c r="R62" s="13"/>
      <c r="S62" s="13"/>
      <c r="T62" s="13"/>
      <c r="U62" s="13">
        <f>(1 - CUSTOS!$M$31)*40.2695</f>
        <v>40.269500000000001</v>
      </c>
      <c r="V62" s="13">
        <f>(1 - CUSTOS!$M$31)*30.7223</f>
        <v>30.722300000000001</v>
      </c>
      <c r="W62" s="13">
        <f>(1 - CUSTOS!$M$31)*3.3312</f>
        <v>3.3311999999999999</v>
      </c>
      <c r="X62" s="13">
        <v>0</v>
      </c>
      <c r="Y62" s="13">
        <v>0</v>
      </c>
      <c r="Z62" s="13">
        <v>0</v>
      </c>
      <c r="AA62" s="13">
        <v>0</v>
      </c>
      <c r="AB62" s="13"/>
      <c r="AC62" s="13">
        <f>(1 - CUSTOS!$M$31)*967.9297</f>
        <v>967.92970000000003</v>
      </c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P62" s="13">
        <f>IF((1 - CUSTOS!$M$31)&lt;&gt;0,1/(1 - CUSTOS!$M$31),1)</f>
        <v>1</v>
      </c>
    </row>
    <row r="63" spans="1:42" ht="11.25" customHeight="1" x14ac:dyDescent="0.25">
      <c r="A63" s="107"/>
      <c r="B63" s="107"/>
      <c r="C63" s="107"/>
      <c r="D63" s="107"/>
      <c r="E63" s="107"/>
      <c r="F63" s="107"/>
      <c r="G63" s="18" t="s">
        <v>98</v>
      </c>
      <c r="H63" s="18" t="s">
        <v>82</v>
      </c>
      <c r="I63" s="18">
        <f>'MERCADO TUSD'!$U$60</f>
        <v>41.695999999999998</v>
      </c>
      <c r="J63" s="15"/>
      <c r="L63" s="13"/>
      <c r="M63" s="13"/>
      <c r="N63" s="13"/>
      <c r="O63" s="13"/>
      <c r="P63" s="13"/>
      <c r="Q63" s="13"/>
      <c r="R63" s="13"/>
      <c r="S63" s="13"/>
      <c r="T63" s="13"/>
      <c r="U63" s="13">
        <f>(1 - CUSTOS!$M$31)*24.1617</f>
        <v>24.1617</v>
      </c>
      <c r="V63" s="13">
        <f>(1 - CUSTOS!$M$31)*18.4334</f>
        <v>18.433399999999999</v>
      </c>
      <c r="W63" s="13">
        <f>(1 - CUSTOS!$M$31)*1.9987</f>
        <v>1.9986999999999999</v>
      </c>
      <c r="X63" s="13">
        <v>0</v>
      </c>
      <c r="Y63" s="13">
        <v>0</v>
      </c>
      <c r="Z63" s="13">
        <v>0</v>
      </c>
      <c r="AA63" s="13">
        <v>0</v>
      </c>
      <c r="AB63" s="13"/>
      <c r="AC63" s="13">
        <f>(1 - CUSTOS!$M$31)*580.7578</f>
        <v>580.75779999999997</v>
      </c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P63" s="13">
        <f>IF((1 - CUSTOS!$M$31)&lt;&gt;0,1/(1 - CUSTOS!$M$31),1)</f>
        <v>1</v>
      </c>
    </row>
    <row r="64" spans="1:42" ht="11.25" customHeight="1" x14ac:dyDescent="0.25">
      <c r="A64" s="107"/>
      <c r="B64" s="107"/>
      <c r="C64" s="107"/>
      <c r="D64" s="107"/>
      <c r="E64" s="107"/>
      <c r="F64" s="107"/>
      <c r="G64" s="18" t="s">
        <v>84</v>
      </c>
      <c r="H64" s="18" t="s">
        <v>82</v>
      </c>
      <c r="I64" s="18">
        <f>'MERCADO TUSD'!$U$61</f>
        <v>1338.2650000000001</v>
      </c>
      <c r="J64" s="15"/>
      <c r="L64" s="13"/>
      <c r="M64" s="13"/>
      <c r="N64" s="13"/>
      <c r="O64" s="13"/>
      <c r="P64" s="13"/>
      <c r="Q64" s="13"/>
      <c r="R64" s="13"/>
      <c r="S64" s="13"/>
      <c r="T64" s="13"/>
      <c r="U64" s="13">
        <f>(1 - CUSTOS!$M$31)*8.0539</f>
        <v>8.0539000000000005</v>
      </c>
      <c r="V64" s="13">
        <f>(1 - CUSTOS!$M$31)*6.1445</f>
        <v>6.1444999999999999</v>
      </c>
      <c r="W64" s="13">
        <f>(1 - CUSTOS!$M$31)*0.6662</f>
        <v>0.66620000000000001</v>
      </c>
      <c r="X64" s="13">
        <v>0</v>
      </c>
      <c r="Y64" s="13">
        <v>0</v>
      </c>
      <c r="Z64" s="13">
        <v>0</v>
      </c>
      <c r="AA64" s="13">
        <v>0</v>
      </c>
      <c r="AB64" s="13"/>
      <c r="AC64" s="13">
        <f>(1 - CUSTOS!$M$31)*193.5859</f>
        <v>193.58590000000001</v>
      </c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P64" s="13">
        <f>IF((1 - CUSTOS!$M$31)&lt;&gt;0,1/(1 - CUSTOS!$M$31),1)</f>
        <v>1</v>
      </c>
    </row>
    <row r="65" spans="1:42" ht="11.25" customHeight="1" x14ac:dyDescent="0.25">
      <c r="A65" s="107"/>
      <c r="B65" s="17" t="s">
        <v>23</v>
      </c>
      <c r="C65" s="17" t="s">
        <v>25</v>
      </c>
      <c r="D65" s="17" t="s">
        <v>25</v>
      </c>
      <c r="E65" s="17" t="s">
        <v>25</v>
      </c>
      <c r="F65" s="17" t="s">
        <v>25</v>
      </c>
      <c r="G65" s="18" t="s">
        <v>88</v>
      </c>
      <c r="H65" s="18" t="s">
        <v>82</v>
      </c>
      <c r="I65" s="18">
        <f>'MERCADO TUSD'!$U$62</f>
        <v>209665.67300000001</v>
      </c>
      <c r="J65" s="15"/>
      <c r="L65" s="13"/>
      <c r="M65" s="13"/>
      <c r="N65" s="13"/>
      <c r="O65" s="13"/>
      <c r="P65" s="13"/>
      <c r="Q65" s="13"/>
      <c r="R65" s="13"/>
      <c r="S65" s="13"/>
      <c r="T65" s="13"/>
      <c r="U65" s="13">
        <f>(1 - CUSTOS!$M$31)*11.844</f>
        <v>11.843999999999999</v>
      </c>
      <c r="V65" s="13">
        <f>(1 - CUSTOS!$M$31)*9.036</f>
        <v>9.0359999999999996</v>
      </c>
      <c r="W65" s="13">
        <f>(1 - CUSTOS!$M$31)*0.9798</f>
        <v>0.9798</v>
      </c>
      <c r="X65" s="13">
        <v>0</v>
      </c>
      <c r="Y65" s="13">
        <v>0</v>
      </c>
      <c r="Z65" s="13">
        <v>0</v>
      </c>
      <c r="AA65" s="13">
        <v>0</v>
      </c>
      <c r="AB65" s="13"/>
      <c r="AC65" s="13">
        <f>(1 - CUSTOS!$M$31)*284.6852</f>
        <v>284.68520000000001</v>
      </c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P65" s="13">
        <f>IF((1 - CUSTOS!$M$31)&lt;&gt;0,1/(1 - CUSTOS!$M$31),1)</f>
        <v>1</v>
      </c>
    </row>
    <row r="66" spans="1:42" ht="11.25" customHeight="1" x14ac:dyDescent="0.25">
      <c r="A66" s="107"/>
      <c r="B66" s="17" t="s">
        <v>100</v>
      </c>
      <c r="C66" s="17" t="s">
        <v>25</v>
      </c>
      <c r="D66" s="17" t="s">
        <v>25</v>
      </c>
      <c r="E66" s="17" t="s">
        <v>25</v>
      </c>
      <c r="F66" s="17" t="s">
        <v>25</v>
      </c>
      <c r="G66" s="18" t="s">
        <v>88</v>
      </c>
      <c r="H66" s="18" t="s">
        <v>82</v>
      </c>
      <c r="I66" s="18">
        <f>'MERCADO TUSD'!$U$63</f>
        <v>0</v>
      </c>
      <c r="J66" s="15"/>
      <c r="L66" s="13"/>
      <c r="M66" s="13"/>
      <c r="N66" s="13"/>
      <c r="O66" s="13"/>
      <c r="P66" s="13"/>
      <c r="Q66" s="13"/>
      <c r="R66" s="13"/>
      <c r="S66" s="13"/>
      <c r="T66" s="13"/>
      <c r="U66" s="13">
        <f>(1 - CUSTOS!$M$31)*11.844</f>
        <v>11.843999999999999</v>
      </c>
      <c r="V66" s="13">
        <f>(1 - CUSTOS!$M$31)*9.036</f>
        <v>9.0359999999999996</v>
      </c>
      <c r="W66" s="13">
        <f>(1 - CUSTOS!$M$31)*0.9798</f>
        <v>0.9798</v>
      </c>
      <c r="X66" s="13">
        <v>0</v>
      </c>
      <c r="Y66" s="13">
        <v>0</v>
      </c>
      <c r="Z66" s="13">
        <v>0</v>
      </c>
      <c r="AA66" s="13">
        <v>0</v>
      </c>
      <c r="AB66" s="13"/>
      <c r="AC66" s="13">
        <f>(1 - CUSTOS!$M$31)*284.6852</f>
        <v>284.68520000000001</v>
      </c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P66" s="13">
        <f>IF((1 - CUSTOS!$M$31)&lt;&gt;0,1/(1 - CUSTOS!$M$31),1)</f>
        <v>1</v>
      </c>
    </row>
    <row r="67" spans="1:42" ht="11.25" customHeight="1" x14ac:dyDescent="0.25">
      <c r="A67" s="107" t="s">
        <v>49</v>
      </c>
      <c r="B67" s="107" t="s">
        <v>23</v>
      </c>
      <c r="C67" s="107" t="s">
        <v>50</v>
      </c>
      <c r="D67" s="17" t="s">
        <v>51</v>
      </c>
      <c r="E67" s="17" t="s">
        <v>25</v>
      </c>
      <c r="F67" s="17" t="s">
        <v>25</v>
      </c>
      <c r="G67" s="18" t="s">
        <v>88</v>
      </c>
      <c r="H67" s="18" t="s">
        <v>82</v>
      </c>
      <c r="I67" s="18">
        <f>'MERCADO TUSD'!$U$64</f>
        <v>49365.182000000001</v>
      </c>
      <c r="J67" s="15"/>
      <c r="L67" s="13"/>
      <c r="M67" s="13"/>
      <c r="N67" s="13"/>
      <c r="O67" s="13"/>
      <c r="P67" s="13"/>
      <c r="Q67" s="13"/>
      <c r="R67" s="13"/>
      <c r="S67" s="13"/>
      <c r="T67" s="13"/>
      <c r="U67" s="13">
        <f>(1 - CUSTOS!$M$32)*11.844</f>
        <v>6.5141999999999998</v>
      </c>
      <c r="V67" s="13">
        <f>(1 - CUSTOS!$M$32)*9.036</f>
        <v>4.9698000000000002</v>
      </c>
      <c r="W67" s="13">
        <f>(1 - CUSTOS!$M$32)*0.9798</f>
        <v>0.53889000000000009</v>
      </c>
      <c r="X67" s="13">
        <v>0</v>
      </c>
      <c r="Y67" s="13">
        <v>0</v>
      </c>
      <c r="Z67" s="13">
        <v>0</v>
      </c>
      <c r="AA67" s="13">
        <v>0</v>
      </c>
      <c r="AB67" s="13"/>
      <c r="AC67" s="13">
        <f>(1 - CUSTOS!$M$32)*284.6852</f>
        <v>156.57686000000001</v>
      </c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P67" s="13">
        <f>IF((1 - CUSTOS!$M$32)&lt;&gt;0,1/(1 - CUSTOS!$M$32),1)</f>
        <v>1.8181818181818181</v>
      </c>
    </row>
    <row r="68" spans="1:42" ht="11.25" customHeight="1" x14ac:dyDescent="0.25">
      <c r="A68" s="107"/>
      <c r="B68" s="107"/>
      <c r="C68" s="107"/>
      <c r="D68" s="18" t="s">
        <v>103</v>
      </c>
      <c r="E68" s="18" t="s">
        <v>25</v>
      </c>
      <c r="F68" s="18" t="s">
        <v>25</v>
      </c>
      <c r="G68" s="18" t="s">
        <v>88</v>
      </c>
      <c r="H68" s="18" t="s">
        <v>82</v>
      </c>
      <c r="I68" s="18">
        <f>'MERCADO TUSD'!$U$65</f>
        <v>0</v>
      </c>
      <c r="J68" s="15"/>
      <c r="L68" s="13"/>
      <c r="M68" s="13"/>
      <c r="N68" s="13"/>
      <c r="O68" s="13"/>
      <c r="P68" s="13"/>
      <c r="Q68" s="13"/>
      <c r="R68" s="13"/>
      <c r="S68" s="13"/>
      <c r="T68" s="13"/>
      <c r="U68" s="13">
        <f>(1 - CUSTOS!$M$33)*11.844</f>
        <v>7.1063999999999998</v>
      </c>
      <c r="V68" s="13">
        <f>(1 - CUSTOS!$M$33)*9.036</f>
        <v>5.4215999999999998</v>
      </c>
      <c r="W68" s="13">
        <f>(1 - CUSTOS!$M$33)*0.9798</f>
        <v>0.58787999999999996</v>
      </c>
      <c r="X68" s="13">
        <v>0</v>
      </c>
      <c r="Y68" s="13">
        <v>0</v>
      </c>
      <c r="Z68" s="13">
        <v>0</v>
      </c>
      <c r="AA68" s="13">
        <v>0</v>
      </c>
      <c r="AB68" s="13"/>
      <c r="AC68" s="13">
        <f>(1 - CUSTOS!$M$33)*284.6852</f>
        <v>170.81111999999999</v>
      </c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P68" s="13">
        <f>IF((1 - CUSTOS!$M$33)&lt;&gt;0,1/(1 - CUSTOS!$M$33),1)</f>
        <v>1.6666666666666667</v>
      </c>
    </row>
  </sheetData>
  <mergeCells count="97">
    <mergeCell ref="AP1:AP4"/>
    <mergeCell ref="L2:AM2"/>
    <mergeCell ref="L3:T3"/>
    <mergeCell ref="U3:AB3"/>
    <mergeCell ref="AC3:AD3"/>
    <mergeCell ref="AH3:AL3"/>
    <mergeCell ref="AM3:AM4"/>
    <mergeCell ref="L1:AM1"/>
    <mergeCell ref="A1:A4"/>
    <mergeCell ref="B1:B4"/>
    <mergeCell ref="C1:C4"/>
    <mergeCell ref="B14:B18"/>
    <mergeCell ref="C14:C18"/>
    <mergeCell ref="A5:A8"/>
    <mergeCell ref="B5:B8"/>
    <mergeCell ref="C5:C8"/>
    <mergeCell ref="D14:D18"/>
    <mergeCell ref="E14:E16"/>
    <mergeCell ref="AE3:AG3"/>
    <mergeCell ref="D1:D4"/>
    <mergeCell ref="E1:E4"/>
    <mergeCell ref="F1:F4"/>
    <mergeCell ref="F14:F16"/>
    <mergeCell ref="E17:E18"/>
    <mergeCell ref="F17:F18"/>
    <mergeCell ref="F5:F7"/>
    <mergeCell ref="G1:G4"/>
    <mergeCell ref="H1:H4"/>
    <mergeCell ref="I1:I4"/>
    <mergeCell ref="J1:J4"/>
    <mergeCell ref="D5:D8"/>
    <mergeCell ref="E5:E7"/>
    <mergeCell ref="E19:E21"/>
    <mergeCell ref="B27:B31"/>
    <mergeCell ref="C27:C31"/>
    <mergeCell ref="D27:D31"/>
    <mergeCell ref="E27:E29"/>
    <mergeCell ref="F19:F21"/>
    <mergeCell ref="B23:B25"/>
    <mergeCell ref="A9:A18"/>
    <mergeCell ref="B9:B12"/>
    <mergeCell ref="C9:C12"/>
    <mergeCell ref="D9:D12"/>
    <mergeCell ref="E9:E11"/>
    <mergeCell ref="F9:F11"/>
    <mergeCell ref="C23:C25"/>
    <mergeCell ref="D23:D25"/>
    <mergeCell ref="E23:E25"/>
    <mergeCell ref="F23:F25"/>
    <mergeCell ref="A19:A31"/>
    <mergeCell ref="B19:B22"/>
    <mergeCell ref="C19:C22"/>
    <mergeCell ref="D19:D22"/>
    <mergeCell ref="F27:F29"/>
    <mergeCell ref="E30:E31"/>
    <mergeCell ref="A34:A46"/>
    <mergeCell ref="B34:B36"/>
    <mergeCell ref="C34:C36"/>
    <mergeCell ref="D34:D36"/>
    <mergeCell ref="E34:E36"/>
    <mergeCell ref="F30:F31"/>
    <mergeCell ref="A32:A33"/>
    <mergeCell ref="B32:B33"/>
    <mergeCell ref="C32:C33"/>
    <mergeCell ref="D32:D33"/>
    <mergeCell ref="F34:F36"/>
    <mergeCell ref="B37:B41"/>
    <mergeCell ref="C37:C41"/>
    <mergeCell ref="B42:B46"/>
    <mergeCell ref="A47:A61"/>
    <mergeCell ref="B47:B49"/>
    <mergeCell ref="C47:C49"/>
    <mergeCell ref="D47:D49"/>
    <mergeCell ref="E47:E49"/>
    <mergeCell ref="C42:C46"/>
    <mergeCell ref="F47:F49"/>
    <mergeCell ref="B51:B53"/>
    <mergeCell ref="C51:C53"/>
    <mergeCell ref="D51:D53"/>
    <mergeCell ref="E51:E53"/>
    <mergeCell ref="F51:F53"/>
    <mergeCell ref="D62:D64"/>
    <mergeCell ref="E62:E64"/>
    <mergeCell ref="F62:F64"/>
    <mergeCell ref="B55:B57"/>
    <mergeCell ref="C55:C57"/>
    <mergeCell ref="D55:D57"/>
    <mergeCell ref="E55:E57"/>
    <mergeCell ref="F55:F57"/>
    <mergeCell ref="B59:B61"/>
    <mergeCell ref="C59:C61"/>
    <mergeCell ref="A67:A68"/>
    <mergeCell ref="B67:B68"/>
    <mergeCell ref="C67:C68"/>
    <mergeCell ref="A62:A66"/>
    <mergeCell ref="B62:B64"/>
    <mergeCell ref="C62:C64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2B944-EF1E-46C5-B6A9-40BB31143128}">
  <sheetPr codeName="Planilha8"/>
  <dimension ref="A1:AP89"/>
  <sheetViews>
    <sheetView showGridLines="0" topLeftCell="D53" workbookViewId="0">
      <selection activeCell="K79" sqref="K79:P79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5" width="10.28515625" style="9" bestFit="1" customWidth="1"/>
    <col min="6" max="6" width="14.140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5" width="10.85546875" style="9" bestFit="1" customWidth="1"/>
    <col min="16" max="16" width="9" style="9" bestFit="1" customWidth="1"/>
    <col min="17" max="18" width="10.85546875" style="9" bestFit="1" customWidth="1"/>
    <col min="19" max="19" width="10" style="9" bestFit="1" customWidth="1"/>
    <col min="20" max="22" width="10.85546875" style="9" bestFit="1" customWidth="1"/>
    <col min="23" max="23" width="10" style="9" bestFit="1" customWidth="1"/>
    <col min="24" max="24" width="9.85546875" style="9" bestFit="1" customWidth="1"/>
    <col min="25" max="25" width="5.14062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30" width="11.7109375" style="9" bestFit="1" customWidth="1"/>
    <col min="31" max="31" width="11.42578125" style="9" bestFit="1" customWidth="1"/>
    <col min="32" max="32" width="7.28515625" style="9" bestFit="1" customWidth="1"/>
    <col min="33" max="33" width="11.42578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8" width="10.85546875" style="9" bestFit="1" customWidth="1"/>
    <col min="39" max="39" width="11.71093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09" t="s">
        <v>71</v>
      </c>
      <c r="B1" s="109" t="s">
        <v>72</v>
      </c>
      <c r="C1" s="109" t="s">
        <v>73</v>
      </c>
      <c r="D1" s="109" t="s">
        <v>74</v>
      </c>
      <c r="E1" s="109" t="s">
        <v>75</v>
      </c>
      <c r="F1" s="109" t="s">
        <v>15</v>
      </c>
      <c r="G1" s="109" t="s">
        <v>77</v>
      </c>
      <c r="H1" s="109" t="s">
        <v>78</v>
      </c>
      <c r="I1" s="109" t="s">
        <v>835</v>
      </c>
      <c r="J1" s="105"/>
      <c r="L1" s="108" t="s">
        <v>836</v>
      </c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P1" s="108" t="s">
        <v>837</v>
      </c>
    </row>
    <row r="2" spans="1:42" ht="11.25" customHeight="1" x14ac:dyDescent="0.25">
      <c r="A2" s="109"/>
      <c r="B2" s="109"/>
      <c r="C2" s="109"/>
      <c r="D2" s="109"/>
      <c r="E2" s="109"/>
      <c r="F2" s="109"/>
      <c r="G2" s="109"/>
      <c r="H2" s="109"/>
      <c r="I2" s="109"/>
      <c r="J2" s="105"/>
      <c r="L2" s="108" t="s">
        <v>734</v>
      </c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P2" s="110"/>
    </row>
    <row r="3" spans="1:42" ht="11.25" customHeight="1" x14ac:dyDescent="0.25">
      <c r="A3" s="109"/>
      <c r="B3" s="109"/>
      <c r="C3" s="109"/>
      <c r="D3" s="109"/>
      <c r="E3" s="109"/>
      <c r="F3" s="109"/>
      <c r="G3" s="109"/>
      <c r="H3" s="109"/>
      <c r="I3" s="109"/>
      <c r="J3" s="105"/>
      <c r="L3" s="108" t="s">
        <v>735</v>
      </c>
      <c r="M3" s="108"/>
      <c r="N3" s="108"/>
      <c r="O3" s="108"/>
      <c r="P3" s="108"/>
      <c r="Q3" s="108"/>
      <c r="R3" s="108"/>
      <c r="S3" s="108"/>
      <c r="T3" s="108"/>
      <c r="U3" s="108" t="s">
        <v>744</v>
      </c>
      <c r="V3" s="108"/>
      <c r="W3" s="108"/>
      <c r="X3" s="108"/>
      <c r="Y3" s="108"/>
      <c r="Z3" s="108"/>
      <c r="AA3" s="108"/>
      <c r="AB3" s="108"/>
      <c r="AC3" s="108" t="s">
        <v>752</v>
      </c>
      <c r="AD3" s="108"/>
      <c r="AE3" s="108" t="s">
        <v>754</v>
      </c>
      <c r="AF3" s="108"/>
      <c r="AG3" s="108"/>
      <c r="AH3" s="108" t="s">
        <v>757</v>
      </c>
      <c r="AI3" s="108"/>
      <c r="AJ3" s="108"/>
      <c r="AK3" s="108"/>
      <c r="AL3" s="108"/>
      <c r="AM3" s="108" t="s">
        <v>743</v>
      </c>
      <c r="AP3" s="110"/>
    </row>
    <row r="4" spans="1:42" ht="11.25" customHeight="1" x14ac:dyDescent="0.25">
      <c r="A4" s="109"/>
      <c r="B4" s="109"/>
      <c r="C4" s="109"/>
      <c r="D4" s="109"/>
      <c r="E4" s="109"/>
      <c r="F4" s="109"/>
      <c r="G4" s="109"/>
      <c r="H4" s="109"/>
      <c r="I4" s="109"/>
      <c r="J4" s="105"/>
      <c r="L4" s="10" t="s">
        <v>820</v>
      </c>
      <c r="M4" s="10" t="s">
        <v>736</v>
      </c>
      <c r="N4" s="10" t="s">
        <v>737</v>
      </c>
      <c r="O4" s="10" t="s">
        <v>738</v>
      </c>
      <c r="P4" s="10" t="s">
        <v>739</v>
      </c>
      <c r="Q4" s="10" t="s">
        <v>740</v>
      </c>
      <c r="R4" s="10" t="s">
        <v>741</v>
      </c>
      <c r="S4" s="10" t="s">
        <v>742</v>
      </c>
      <c r="T4" s="10" t="s">
        <v>743</v>
      </c>
      <c r="U4" s="10" t="s">
        <v>745</v>
      </c>
      <c r="V4" s="10" t="s">
        <v>746</v>
      </c>
      <c r="W4" s="10" t="s">
        <v>747</v>
      </c>
      <c r="X4" s="10" t="s">
        <v>748</v>
      </c>
      <c r="Y4" s="10" t="s">
        <v>749</v>
      </c>
      <c r="Z4" s="10" t="s">
        <v>750</v>
      </c>
      <c r="AA4" s="10" t="s">
        <v>751</v>
      </c>
      <c r="AB4" s="10" t="s">
        <v>743</v>
      </c>
      <c r="AC4" s="10" t="s">
        <v>753</v>
      </c>
      <c r="AD4" s="10" t="s">
        <v>743</v>
      </c>
      <c r="AE4" s="10" t="s">
        <v>755</v>
      </c>
      <c r="AF4" s="10" t="s">
        <v>756</v>
      </c>
      <c r="AG4" s="10" t="s">
        <v>743</v>
      </c>
      <c r="AH4" s="10" t="s">
        <v>758</v>
      </c>
      <c r="AI4" s="10" t="s">
        <v>759</v>
      </c>
      <c r="AJ4" s="10" t="s">
        <v>760</v>
      </c>
      <c r="AK4" s="10" t="s">
        <v>761</v>
      </c>
      <c r="AL4" s="10" t="s">
        <v>743</v>
      </c>
      <c r="AM4" s="111"/>
      <c r="AP4" s="110"/>
    </row>
    <row r="5" spans="1:42" ht="11.25" customHeight="1" x14ac:dyDescent="0.25">
      <c r="A5" s="107" t="s">
        <v>80</v>
      </c>
      <c r="B5" s="107" t="s">
        <v>42</v>
      </c>
      <c r="C5" s="107" t="s">
        <v>25</v>
      </c>
      <c r="D5" s="107" t="s">
        <v>25</v>
      </c>
      <c r="E5" s="107" t="s">
        <v>25</v>
      </c>
      <c r="F5" s="107" t="s">
        <v>25</v>
      </c>
      <c r="G5" s="18" t="s">
        <v>86</v>
      </c>
      <c r="H5" s="18" t="s">
        <v>85</v>
      </c>
      <c r="I5" s="18">
        <f>'MERCADO TUSD'!$U$2+0.00000001</f>
        <v>1E-8</v>
      </c>
      <c r="J5" s="15"/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/>
      <c r="U5" s="13">
        <f>TRANSICAO!$U$5*CUSTOS!$P$3</f>
        <v>2.5402999999999998</v>
      </c>
      <c r="V5" s="13">
        <f>TRANSICAO!$V$5*CUSTOS!$P$3</f>
        <v>1.8615999999999999</v>
      </c>
      <c r="W5" s="13">
        <f>TRANSICAO!$W$5*CUSTOS!$P$3</f>
        <v>0.20100000000000001</v>
      </c>
      <c r="X5" s="13">
        <f>TRANSICAO!$X$5*CUSTOS!$P$3</f>
        <v>0</v>
      </c>
      <c r="Y5" s="13">
        <f>TRANSICAO!$Y$5*CUSTOS!$P$3</f>
        <v>0</v>
      </c>
      <c r="Z5" s="13">
        <f>TRANSICAO!$Z$5*CUSTOS!$P$3</f>
        <v>0</v>
      </c>
      <c r="AA5" s="13">
        <f>TRANSICAO!$AA$5*CUSTOS!$P$3</f>
        <v>0</v>
      </c>
      <c r="AB5" s="13">
        <f>TRANSICAO!$AB$5*CUSTOS!$P$3</f>
        <v>0</v>
      </c>
      <c r="AC5" s="13">
        <f>TRANSICAO!$AC$5*CUSTOS!$P$3</f>
        <v>41.949599999999997</v>
      </c>
      <c r="AD5" s="13">
        <f>TRANSICAO!$AD$5*CUSTOS!$P$3</f>
        <v>0</v>
      </c>
      <c r="AE5" s="13">
        <v>0</v>
      </c>
      <c r="AF5" s="13">
        <v>0</v>
      </c>
      <c r="AG5" s="13"/>
      <c r="AH5" s="13">
        <v>0</v>
      </c>
      <c r="AI5" s="13">
        <v>0</v>
      </c>
      <c r="AJ5" s="13">
        <v>0</v>
      </c>
      <c r="AK5" s="13">
        <f t="shared" ref="AK5:AK36" si="0">AJ5</f>
        <v>0</v>
      </c>
      <c r="AL5" s="13"/>
      <c r="AM5" s="13"/>
      <c r="AP5" s="13">
        <v>1</v>
      </c>
    </row>
    <row r="6" spans="1:42" ht="11.25" customHeight="1" x14ac:dyDescent="0.25">
      <c r="A6" s="107"/>
      <c r="B6" s="107"/>
      <c r="C6" s="107"/>
      <c r="D6" s="107"/>
      <c r="E6" s="107"/>
      <c r="F6" s="107"/>
      <c r="G6" s="18" t="s">
        <v>87</v>
      </c>
      <c r="H6" s="18" t="s">
        <v>85</v>
      </c>
      <c r="I6" s="18">
        <f>'MERCADO TUSD'!$U$3+0.00000001</f>
        <v>1E-8</v>
      </c>
      <c r="J6" s="15"/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/>
      <c r="U6" s="13">
        <f>TRANSICAO!$U$6*CUSTOS!$P$3</f>
        <v>1.9072</v>
      </c>
      <c r="V6" s="13">
        <f>TRANSICAO!$V$6*CUSTOS!$P$3</f>
        <v>1.54</v>
      </c>
      <c r="W6" s="13">
        <f>TRANSICAO!$W$6*CUSTOS!$P$3</f>
        <v>0.16789999999999999</v>
      </c>
      <c r="X6" s="13">
        <f>TRANSICAO!$X$6*CUSTOS!$P$3</f>
        <v>0</v>
      </c>
      <c r="Y6" s="13">
        <f>TRANSICAO!$Y$6*CUSTOS!$P$3</f>
        <v>0</v>
      </c>
      <c r="Z6" s="13">
        <f>TRANSICAO!$Z$6*CUSTOS!$P$3</f>
        <v>0</v>
      </c>
      <c r="AA6" s="13">
        <f>TRANSICAO!$AA$6*CUSTOS!$P$3</f>
        <v>0</v>
      </c>
      <c r="AB6" s="13">
        <f>TRANSICAO!$AB$6*CUSTOS!$P$3</f>
        <v>0</v>
      </c>
      <c r="AC6" s="13">
        <f>TRANSICAO!$AC$6*CUSTOS!$P$3</f>
        <v>12.615</v>
      </c>
      <c r="AD6" s="13">
        <f>TRANSICAO!$AD$6*CUSTOS!$P$3</f>
        <v>0</v>
      </c>
      <c r="AE6" s="13">
        <v>0</v>
      </c>
      <c r="AF6" s="13">
        <v>0</v>
      </c>
      <c r="AG6" s="13"/>
      <c r="AH6" s="13">
        <v>0</v>
      </c>
      <c r="AI6" s="13">
        <v>0</v>
      </c>
      <c r="AJ6" s="13">
        <v>0</v>
      </c>
      <c r="AK6" s="13">
        <f t="shared" si="0"/>
        <v>0</v>
      </c>
      <c r="AL6" s="13"/>
      <c r="AM6" s="13"/>
      <c r="AP6" s="13">
        <v>1</v>
      </c>
    </row>
    <row r="7" spans="1:42" ht="11.25" customHeight="1" x14ac:dyDescent="0.25">
      <c r="A7" s="107"/>
      <c r="B7" s="107"/>
      <c r="C7" s="107"/>
      <c r="D7" s="107"/>
      <c r="E7" s="107"/>
      <c r="F7" s="107"/>
      <c r="G7" s="18" t="s">
        <v>88</v>
      </c>
      <c r="H7" s="18" t="s">
        <v>82</v>
      </c>
      <c r="I7" s="18">
        <f>'MERCADO TUSD'!$U$4+0.00000001</f>
        <v>1E-8</v>
      </c>
      <c r="J7" s="15"/>
      <c r="L7" s="13">
        <f>0.62</f>
        <v>0.62</v>
      </c>
      <c r="M7" s="13">
        <f>IF(AND((+$I$7+$I$8)&lt;&gt;0,SUMPRODUCT($I$5:$I$68,$AC$5:$AC$68,$AP$5:$AP$68)&lt;&gt;0),$M$73*SUMPRODUCT($I$5:$I$8,$AC$5:$AC$8,$AP$5:$AP$8)/SUMPRODUCT($I$5:$I$68,$AC$5:$AC$68,$AP$5:$AP$68)/(+$I$7+$I$8),0)</f>
        <v>0.1176878431796695</v>
      </c>
      <c r="N7" s="13">
        <f ca="1">(+M7+O7+R7+U7+V7+W7+X7+Y7+Z7+AA7+AC7+AH7+AI7+AJ7+AK7)*CUSTOS!$M$5</f>
        <v>0.27314834611813554</v>
      </c>
      <c r="O7" s="13">
        <v>1</v>
      </c>
      <c r="P7" s="13">
        <v>1</v>
      </c>
      <c r="Q7" s="13">
        <f>0.62</f>
        <v>0.62</v>
      </c>
      <c r="R7" s="13">
        <v>1</v>
      </c>
      <c r="S7" s="13">
        <v>1</v>
      </c>
      <c r="T7" s="13"/>
      <c r="U7" s="13">
        <f>TRANSICAO!$U$7*CUSTOS!$P$3</f>
        <v>0</v>
      </c>
      <c r="V7" s="13">
        <f>TRANSICAO!$V$7*CUSTOS!$P$3</f>
        <v>0</v>
      </c>
      <c r="W7" s="13">
        <f>TRANSICAO!$W$7*CUSTOS!$P$3</f>
        <v>0</v>
      </c>
      <c r="X7" s="13">
        <f>TRANSICAO!$X$7*CUSTOS!$P$3</f>
        <v>0</v>
      </c>
      <c r="Y7" s="13">
        <f>TRANSICAO!$Y$7*CUSTOS!$P$3</f>
        <v>0</v>
      </c>
      <c r="Z7" s="13">
        <f>TRANSICAO!$Z$7*CUSTOS!$P$3</f>
        <v>0</v>
      </c>
      <c r="AA7" s="13">
        <f>TRANSICAO!$AA$7*CUSTOS!$P$3</f>
        <v>0</v>
      </c>
      <c r="AB7" s="13">
        <f>TRANSICAO!$AB$7*CUSTOS!$P$3</f>
        <v>0</v>
      </c>
      <c r="AC7" s="13">
        <f>TRANSICAO!$AC$7*CUSTOS!$P$3</f>
        <v>0</v>
      </c>
      <c r="AD7" s="13">
        <f>TRANSICAO!$AD$7*CUSTOS!$P$3</f>
        <v>0</v>
      </c>
      <c r="AE7" s="13">
        <v>0</v>
      </c>
      <c r="AF7" s="13">
        <v>0</v>
      </c>
      <c r="AG7" s="13"/>
      <c r="AH7" s="13">
        <v>8.1271000000000004</v>
      </c>
      <c r="AI7" s="13">
        <v>8.1271000000000004</v>
      </c>
      <c r="AJ7" s="13">
        <f ca="1">$N$80</f>
        <v>4.4714733843169396</v>
      </c>
      <c r="AK7" s="13">
        <f t="shared" ca="1" si="0"/>
        <v>4.4714733843169396</v>
      </c>
      <c r="AL7" s="13"/>
      <c r="AM7" s="13"/>
      <c r="AP7" s="13">
        <v>1</v>
      </c>
    </row>
    <row r="8" spans="1:42" ht="11.25" customHeight="1" x14ac:dyDescent="0.25">
      <c r="A8" s="107"/>
      <c r="B8" s="107"/>
      <c r="C8" s="107"/>
      <c r="D8" s="107"/>
      <c r="E8" s="17" t="s">
        <v>89</v>
      </c>
      <c r="F8" s="17" t="s">
        <v>25</v>
      </c>
      <c r="G8" s="18" t="s">
        <v>88</v>
      </c>
      <c r="H8" s="18" t="s">
        <v>82</v>
      </c>
      <c r="I8" s="18">
        <f>'MERCADO TUSD'!$U$5+0.00000001</f>
        <v>1E-8</v>
      </c>
      <c r="J8" s="15"/>
      <c r="L8" s="13">
        <v>0</v>
      </c>
      <c r="M8" s="13">
        <f>IF(AND((+$I$7+$I$8)&lt;&gt;0,SUMPRODUCT($I$5:$I$68,$AC$5:$AC$68,$AP$5:$AP$68)&lt;&gt;0),$M$73*SUMPRODUCT($I$5:$I$8,$AC$5:$AC$8,$AP$5:$AP$8)/SUMPRODUCT($I$5:$I$68,$AC$5:$AC$68,$AP$5:$AP$68)/(+$I$7+$I$8),0)</f>
        <v>0.1176878431796695</v>
      </c>
      <c r="N8" s="13">
        <f ca="1">(+M8+O8+R8+U8+V8+W8+X8+Y8+Z8+AA8+AC8+AH8+AI8+AJ8+AK8)*CUSTOS!$M$5</f>
        <v>0.26314834611813553</v>
      </c>
      <c r="O8" s="13">
        <v>1</v>
      </c>
      <c r="P8" s="13">
        <v>0</v>
      </c>
      <c r="Q8" s="13">
        <v>0</v>
      </c>
      <c r="R8" s="13">
        <v>0</v>
      </c>
      <c r="S8" s="13">
        <v>0</v>
      </c>
      <c r="T8" s="13"/>
      <c r="U8" s="13">
        <f>TRANSICAO!$U$8*CUSTOS!$P$3</f>
        <v>0</v>
      </c>
      <c r="V8" s="13">
        <f>TRANSICAO!$V$8*CUSTOS!$P$3</f>
        <v>0</v>
      </c>
      <c r="W8" s="13">
        <f>TRANSICAO!$W$8*CUSTOS!$P$3</f>
        <v>0</v>
      </c>
      <c r="X8" s="13">
        <f>TRANSICAO!$X$8*CUSTOS!$P$3</f>
        <v>0</v>
      </c>
      <c r="Y8" s="13">
        <f>TRANSICAO!$Y$8*CUSTOS!$P$3</f>
        <v>0</v>
      </c>
      <c r="Z8" s="13">
        <f>TRANSICAO!$Z$8*CUSTOS!$P$3</f>
        <v>0</v>
      </c>
      <c r="AA8" s="13">
        <f>TRANSICAO!$AA$8*CUSTOS!$P$3</f>
        <v>0</v>
      </c>
      <c r="AB8" s="13">
        <f>TRANSICAO!$AB$8*CUSTOS!$P$3</f>
        <v>0</v>
      </c>
      <c r="AC8" s="13">
        <f>TRANSICAO!$AC$8*CUSTOS!$P$3</f>
        <v>0</v>
      </c>
      <c r="AD8" s="13">
        <f>TRANSICAO!$AD$8*CUSTOS!$P$3</f>
        <v>0</v>
      </c>
      <c r="AE8" s="13">
        <v>0</v>
      </c>
      <c r="AF8" s="13">
        <v>0</v>
      </c>
      <c r="AG8" s="13"/>
      <c r="AH8" s="13">
        <v>8.1271000000000004</v>
      </c>
      <c r="AI8" s="13">
        <v>8.1271000000000004</v>
      </c>
      <c r="AJ8" s="13">
        <f ca="1">$N$80</f>
        <v>4.4714733843169396</v>
      </c>
      <c r="AK8" s="13">
        <f t="shared" ca="1" si="0"/>
        <v>4.4714733843169396</v>
      </c>
      <c r="AL8" s="13"/>
      <c r="AM8" s="13"/>
      <c r="AP8" s="13">
        <v>1</v>
      </c>
    </row>
    <row r="9" spans="1:42" ht="11.25" customHeight="1" x14ac:dyDescent="0.25">
      <c r="A9" s="107" t="s">
        <v>43</v>
      </c>
      <c r="B9" s="107" t="s">
        <v>42</v>
      </c>
      <c r="C9" s="107" t="s">
        <v>25</v>
      </c>
      <c r="D9" s="107" t="s">
        <v>25</v>
      </c>
      <c r="E9" s="107" t="s">
        <v>25</v>
      </c>
      <c r="F9" s="107" t="s">
        <v>25</v>
      </c>
      <c r="G9" s="18" t="s">
        <v>86</v>
      </c>
      <c r="H9" s="18" t="s">
        <v>85</v>
      </c>
      <c r="I9" s="18">
        <f>'MERCADO TUSD'!$U$6</f>
        <v>150</v>
      </c>
      <c r="J9" s="15"/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/>
      <c r="U9" s="13">
        <f>TRANSICAO!$U$9*CUSTOS!$Q$3</f>
        <v>2.7096</v>
      </c>
      <c r="V9" s="13">
        <f>TRANSICAO!$V$9*CUSTOS!$Q$3</f>
        <v>1.9857600000000002</v>
      </c>
      <c r="W9" s="13">
        <f>TRANSICAO!$W$9*CUSTOS!$Q$3</f>
        <v>0.21440000000000003</v>
      </c>
      <c r="X9" s="13">
        <f>TRANSICAO!$X$9*CUSTOS!$Q$3</f>
        <v>0</v>
      </c>
      <c r="Y9" s="13">
        <f>TRANSICAO!$Y$9*CUSTOS!$Q$3</f>
        <v>0</v>
      </c>
      <c r="Z9" s="13">
        <f>TRANSICAO!$Z$9*CUSTOS!$Q$3</f>
        <v>0</v>
      </c>
      <c r="AA9" s="13">
        <f>TRANSICAO!$AA$9*CUSTOS!$Q$3</f>
        <v>0</v>
      </c>
      <c r="AB9" s="13">
        <f>TRANSICAO!$AB$9*CUSTOS!$Q$3</f>
        <v>0</v>
      </c>
      <c r="AC9" s="13">
        <f>TRANSICAO!$AC$9*CUSTOS!$Q$3</f>
        <v>44.74624</v>
      </c>
      <c r="AD9" s="13">
        <f>TRANSICAO!$AD$9*CUSTOS!$Q$3</f>
        <v>0</v>
      </c>
      <c r="AE9" s="13">
        <v>0</v>
      </c>
      <c r="AF9" s="13">
        <v>0</v>
      </c>
      <c r="AG9" s="13"/>
      <c r="AH9" s="13">
        <v>0</v>
      </c>
      <c r="AI9" s="13">
        <v>0</v>
      </c>
      <c r="AJ9" s="13">
        <v>0</v>
      </c>
      <c r="AK9" s="13">
        <f t="shared" si="0"/>
        <v>0</v>
      </c>
      <c r="AL9" s="13"/>
      <c r="AM9" s="13"/>
      <c r="AP9" s="13">
        <v>1</v>
      </c>
    </row>
    <row r="10" spans="1:42" ht="11.25" customHeight="1" x14ac:dyDescent="0.25">
      <c r="A10" s="107"/>
      <c r="B10" s="107"/>
      <c r="C10" s="107"/>
      <c r="D10" s="107"/>
      <c r="E10" s="107"/>
      <c r="F10" s="107"/>
      <c r="G10" s="18" t="s">
        <v>87</v>
      </c>
      <c r="H10" s="18" t="s">
        <v>85</v>
      </c>
      <c r="I10" s="18">
        <f>'MERCADO TUSD'!$U$7</f>
        <v>1035</v>
      </c>
      <c r="J10" s="15"/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/>
      <c r="U10" s="13">
        <f>TRANSICAO!$U$10*CUSTOS!$Q$3</f>
        <v>2.0343200000000001</v>
      </c>
      <c r="V10" s="13">
        <f>TRANSICAO!$V$10*CUSTOS!$Q$3</f>
        <v>1.6426400000000001</v>
      </c>
      <c r="W10" s="13">
        <f>TRANSICAO!$W$10*CUSTOS!$Q$3</f>
        <v>0.17912</v>
      </c>
      <c r="X10" s="13">
        <f>TRANSICAO!$X$10*CUSTOS!$Q$3</f>
        <v>0</v>
      </c>
      <c r="Y10" s="13">
        <f>TRANSICAO!$Y$10*CUSTOS!$Q$3</f>
        <v>0</v>
      </c>
      <c r="Z10" s="13">
        <f>TRANSICAO!$Z$10*CUSTOS!$Q$3</f>
        <v>0</v>
      </c>
      <c r="AA10" s="13">
        <f>TRANSICAO!$AA$10*CUSTOS!$Q$3</f>
        <v>0</v>
      </c>
      <c r="AB10" s="13">
        <f>TRANSICAO!$AB$10*CUSTOS!$Q$3</f>
        <v>0</v>
      </c>
      <c r="AC10" s="13">
        <f>TRANSICAO!$AC$10*CUSTOS!$Q$3</f>
        <v>13.456000000000001</v>
      </c>
      <c r="AD10" s="13">
        <f>TRANSICAO!$AD$10*CUSTOS!$Q$3</f>
        <v>0</v>
      </c>
      <c r="AE10" s="13">
        <v>0</v>
      </c>
      <c r="AF10" s="13">
        <v>0</v>
      </c>
      <c r="AG10" s="13"/>
      <c r="AH10" s="13">
        <v>0</v>
      </c>
      <c r="AI10" s="13">
        <v>0</v>
      </c>
      <c r="AJ10" s="13">
        <v>0</v>
      </c>
      <c r="AK10" s="13">
        <f t="shared" si="0"/>
        <v>0</v>
      </c>
      <c r="AL10" s="13"/>
      <c r="AM10" s="13"/>
      <c r="AP10" s="13">
        <v>1</v>
      </c>
    </row>
    <row r="11" spans="1:42" ht="11.25" customHeight="1" x14ac:dyDescent="0.25">
      <c r="A11" s="107"/>
      <c r="B11" s="107"/>
      <c r="C11" s="107"/>
      <c r="D11" s="107"/>
      <c r="E11" s="107"/>
      <c r="F11" s="107"/>
      <c r="G11" s="18" t="s">
        <v>88</v>
      </c>
      <c r="H11" s="18" t="s">
        <v>82</v>
      </c>
      <c r="I11" s="18">
        <f>'MERCADO TUSD'!$U$8</f>
        <v>0</v>
      </c>
      <c r="J11" s="15"/>
      <c r="L11" s="13">
        <f>0.84</f>
        <v>0.84</v>
      </c>
      <c r="M11" s="13">
        <f>IF(AND((+$I$11+$I$12+$I$15+$I$16+$I$17+$I$18+$I$21+$I$22+$I$28+$I$29+$I$30+$I$31)&lt;&gt;0,SUMPRODUCT($I$5:$I$68,$AC$5:$AC$68,$AP$5:$AP$68)&lt;&gt;0),$M$73*SUMPRODUCT($I$9:$I$31,$AC$9:$AC$31,$AP$9:$AP$31)/SUMPRODUCT($I$5:$I$68,$AC$5:$AC$68,$AP$5:$AP$68)/(+$I$11+$I$12+$I$15+$I$16+$I$17+$I$18+$I$21+$I$22+$I$28+$I$29+$I$30+$I$31),0)</f>
        <v>0.65836419347030595</v>
      </c>
      <c r="N11" s="13">
        <f ca="1">(+M11+O11+R11+U11+V11+W11+X11+Y11+Z11+AA11+AC11+AH11+AI11+AJ11+AK11)*CUSTOS!$M$5</f>
        <v>0.60413856742376104</v>
      </c>
      <c r="O11" s="13">
        <v>1</v>
      </c>
      <c r="P11" s="13">
        <v>1</v>
      </c>
      <c r="Q11" s="13">
        <f>0.84</f>
        <v>0.84</v>
      </c>
      <c r="R11" s="13">
        <v>1</v>
      </c>
      <c r="S11" s="13">
        <v>1</v>
      </c>
      <c r="T11" s="13"/>
      <c r="U11" s="13">
        <f>TRANSICAO!$U$11*CUSTOS!$Q$3</f>
        <v>0</v>
      </c>
      <c r="V11" s="13">
        <f>TRANSICAO!$V$11*CUSTOS!$Q$3</f>
        <v>0</v>
      </c>
      <c r="W11" s="13">
        <f>TRANSICAO!$W$11*CUSTOS!$Q$3</f>
        <v>0</v>
      </c>
      <c r="X11" s="13">
        <f>TRANSICAO!$X$11*CUSTOS!$Q$3</f>
        <v>0</v>
      </c>
      <c r="Y11" s="13">
        <f>TRANSICAO!$Y$11*CUSTOS!$Q$3</f>
        <v>0</v>
      </c>
      <c r="Z11" s="13">
        <f>TRANSICAO!$Z$11*CUSTOS!$Q$3</f>
        <v>0</v>
      </c>
      <c r="AA11" s="13">
        <f>TRANSICAO!$AA$11*CUSTOS!$Q$3</f>
        <v>0</v>
      </c>
      <c r="AB11" s="13">
        <f>TRANSICAO!$AB$11*CUSTOS!$Q$3</f>
        <v>0</v>
      </c>
      <c r="AC11" s="13">
        <f>TRANSICAO!$AC$11*CUSTOS!$Q$3</f>
        <v>0</v>
      </c>
      <c r="AD11" s="13">
        <f>TRANSICAO!$AD$11*CUSTOS!$Q$3</f>
        <v>0</v>
      </c>
      <c r="AE11" s="13">
        <v>0</v>
      </c>
      <c r="AF11" s="13">
        <v>0</v>
      </c>
      <c r="AG11" s="13"/>
      <c r="AH11" s="13">
        <v>10.8362</v>
      </c>
      <c r="AI11" s="13">
        <v>10.8362</v>
      </c>
      <c r="AJ11" s="13">
        <f ca="1">$N$81</f>
        <v>18.041546274452898</v>
      </c>
      <c r="AK11" s="13">
        <f t="shared" ca="1" si="0"/>
        <v>18.041546274452898</v>
      </c>
      <c r="AL11" s="13"/>
      <c r="AM11" s="13"/>
      <c r="AP11" s="13">
        <v>1</v>
      </c>
    </row>
    <row r="12" spans="1:42" ht="11.25" customHeight="1" x14ac:dyDescent="0.25">
      <c r="A12" s="107"/>
      <c r="B12" s="107"/>
      <c r="C12" s="107"/>
      <c r="D12" s="107"/>
      <c r="E12" s="17" t="s">
        <v>89</v>
      </c>
      <c r="F12" s="17" t="s">
        <v>25</v>
      </c>
      <c r="G12" s="18" t="s">
        <v>88</v>
      </c>
      <c r="H12" s="18" t="s">
        <v>82</v>
      </c>
      <c r="I12" s="18">
        <f>'MERCADO TUSD'!$U$9</f>
        <v>0</v>
      </c>
      <c r="J12" s="15"/>
      <c r="L12" s="13">
        <v>0</v>
      </c>
      <c r="M12" s="13">
        <f>IF(AND((+$I$11+$I$12+$I$15+$I$16+$I$17+$I$18+$I$21+$I$22+$I$28+$I$29+$I$30+$I$31)&lt;&gt;0,SUMPRODUCT($I$5:$I$68,$AC$5:$AC$68,$AP$5:$AP$68)&lt;&gt;0),$M$73*SUMPRODUCT($I$9:$I$31,$AC$9:$AC$31,$AP$9:$AP$31)/SUMPRODUCT($I$5:$I$68,$AC$5:$AC$68,$AP$5:$AP$68)/(+$I$11+$I$12+$I$15+$I$16+$I$17+$I$18+$I$21+$I$22+$I$28+$I$29+$I$30+$I$31),0)</f>
        <v>0.65836419347030595</v>
      </c>
      <c r="N12" s="13">
        <f ca="1">(+M12+O12+R12+U12+V12+W12+X12+Y12+Z12+AA12+AC12+AH12+AI12+AJ12+AK12)*CUSTOS!$M$5</f>
        <v>0.59413856742376103</v>
      </c>
      <c r="O12" s="13">
        <v>1</v>
      </c>
      <c r="P12" s="13">
        <v>0</v>
      </c>
      <c r="Q12" s="13">
        <v>0</v>
      </c>
      <c r="R12" s="13">
        <v>0</v>
      </c>
      <c r="S12" s="13">
        <v>0</v>
      </c>
      <c r="T12" s="13"/>
      <c r="U12" s="13">
        <f>TRANSICAO!$U$12*CUSTOS!$Q$3</f>
        <v>0</v>
      </c>
      <c r="V12" s="13">
        <f>TRANSICAO!$V$12*CUSTOS!$Q$3</f>
        <v>0</v>
      </c>
      <c r="W12" s="13">
        <f>TRANSICAO!$W$12*CUSTOS!$Q$3</f>
        <v>0</v>
      </c>
      <c r="X12" s="13">
        <f>TRANSICAO!$X$12*CUSTOS!$Q$3</f>
        <v>0</v>
      </c>
      <c r="Y12" s="13">
        <f>TRANSICAO!$Y$12*CUSTOS!$Q$3</f>
        <v>0</v>
      </c>
      <c r="Z12" s="13">
        <f>TRANSICAO!$Z$12*CUSTOS!$Q$3</f>
        <v>0</v>
      </c>
      <c r="AA12" s="13">
        <f>TRANSICAO!$AA$12*CUSTOS!$Q$3</f>
        <v>0</v>
      </c>
      <c r="AB12" s="13">
        <f>TRANSICAO!$AB$12*CUSTOS!$Q$3</f>
        <v>0</v>
      </c>
      <c r="AC12" s="13">
        <f>TRANSICAO!$AC$12*CUSTOS!$Q$3</f>
        <v>0</v>
      </c>
      <c r="AD12" s="13">
        <f>TRANSICAO!$AD$12*CUSTOS!$Q$3</f>
        <v>0</v>
      </c>
      <c r="AE12" s="13">
        <v>0</v>
      </c>
      <c r="AF12" s="13">
        <v>0</v>
      </c>
      <c r="AG12" s="13"/>
      <c r="AH12" s="13">
        <v>10.8362</v>
      </c>
      <c r="AI12" s="13">
        <v>10.8362</v>
      </c>
      <c r="AJ12" s="13">
        <f ca="1">$N$81</f>
        <v>18.041546274452898</v>
      </c>
      <c r="AK12" s="13">
        <f t="shared" ca="1" si="0"/>
        <v>18.041546274452898</v>
      </c>
      <c r="AL12" s="13"/>
      <c r="AM12" s="13"/>
      <c r="AP12" s="13">
        <v>1</v>
      </c>
    </row>
    <row r="13" spans="1:42" ht="11.25" customHeight="1" x14ac:dyDescent="0.25">
      <c r="A13" s="107"/>
      <c r="B13" s="17" t="s">
        <v>91</v>
      </c>
      <c r="C13" s="17" t="s">
        <v>25</v>
      </c>
      <c r="D13" s="17" t="s">
        <v>25</v>
      </c>
      <c r="E13" s="17" t="s">
        <v>25</v>
      </c>
      <c r="F13" s="17" t="s">
        <v>25</v>
      </c>
      <c r="G13" s="18" t="s">
        <v>9</v>
      </c>
      <c r="H13" s="18" t="s">
        <v>85</v>
      </c>
      <c r="I13" s="18">
        <f>'MERCADO TUSD'!$U$10</f>
        <v>0</v>
      </c>
      <c r="J13" s="15"/>
      <c r="L13" s="13">
        <v>0</v>
      </c>
      <c r="M13" s="13">
        <v>6.6600000000000006E-2</v>
      </c>
      <c r="N13" s="13">
        <f>0.1671</f>
        <v>0.1671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/>
      <c r="U13" s="13">
        <f>TRANSICAO!$U$13*CUSTOS!$Q$4</f>
        <v>0</v>
      </c>
      <c r="V13" s="13">
        <f>TRANSICAO!$V$13*CUSTOS!$Q$4</f>
        <v>0</v>
      </c>
      <c r="W13" s="13">
        <f>TRANSICAO!$W$13*CUSTOS!$Q$4</f>
        <v>0</v>
      </c>
      <c r="X13" s="13">
        <f>TRANSICAO!$X$13*CUSTOS!$Q$4</f>
        <v>0</v>
      </c>
      <c r="Y13" s="13">
        <f>TRANSICAO!$Y$13*CUSTOS!$Q$4</f>
        <v>0</v>
      </c>
      <c r="Z13" s="13">
        <f>TRANSICAO!$Z$13*CUSTOS!$Q$4</f>
        <v>0</v>
      </c>
      <c r="AA13" s="13">
        <f>TRANSICAO!$AA$13*CUSTOS!$Q$4</f>
        <v>0</v>
      </c>
      <c r="AB13" s="13">
        <f>TRANSICAO!$AB$13*CUSTOS!$Q$4</f>
        <v>0</v>
      </c>
      <c r="AC13" s="13">
        <f>TRANSICAO!$AC$13*CUSTOS!$Q$4</f>
        <v>16.646100000000001</v>
      </c>
      <c r="AD13" s="13">
        <f>TRANSICAO!$AD$13*CUSTOS!$Q$4</f>
        <v>0</v>
      </c>
      <c r="AE13" s="13">
        <v>0</v>
      </c>
      <c r="AF13" s="13">
        <v>0</v>
      </c>
      <c r="AG13" s="13"/>
      <c r="AH13" s="13">
        <v>0</v>
      </c>
      <c r="AI13" s="13">
        <v>0</v>
      </c>
      <c r="AJ13" s="13">
        <v>0</v>
      </c>
      <c r="AK13" s="13">
        <f t="shared" si="0"/>
        <v>0</v>
      </c>
      <c r="AL13" s="13"/>
      <c r="AM13" s="13"/>
      <c r="AP13" s="13"/>
    </row>
    <row r="14" spans="1:42" ht="11.25" customHeight="1" x14ac:dyDescent="0.25">
      <c r="A14" s="107"/>
      <c r="B14" s="107" t="s">
        <v>44</v>
      </c>
      <c r="C14" s="107" t="s">
        <v>25</v>
      </c>
      <c r="D14" s="107" t="s">
        <v>25</v>
      </c>
      <c r="E14" s="107" t="s">
        <v>25</v>
      </c>
      <c r="F14" s="107" t="s">
        <v>25</v>
      </c>
      <c r="G14" s="18" t="s">
        <v>9</v>
      </c>
      <c r="H14" s="18" t="s">
        <v>85</v>
      </c>
      <c r="I14" s="18">
        <f>'MERCADO TUSD'!$U$11</f>
        <v>10639</v>
      </c>
      <c r="J14" s="15"/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/>
      <c r="U14" s="13">
        <f>TRANSICAO!$U$14*CUSTOS!$Q$3</f>
        <v>2.0343200000000001</v>
      </c>
      <c r="V14" s="13">
        <f>TRANSICAO!$V$14*CUSTOS!$Q$3</f>
        <v>1.6426400000000001</v>
      </c>
      <c r="W14" s="13">
        <f>TRANSICAO!$W$14*CUSTOS!$Q$3</f>
        <v>0.17912</v>
      </c>
      <c r="X14" s="13">
        <f>TRANSICAO!$X$14*CUSTOS!$Q$3</f>
        <v>0</v>
      </c>
      <c r="Y14" s="13">
        <f>TRANSICAO!$Y$14*CUSTOS!$Q$3</f>
        <v>0</v>
      </c>
      <c r="Z14" s="13">
        <f>TRANSICAO!$Z$14*CUSTOS!$Q$3</f>
        <v>0</v>
      </c>
      <c r="AA14" s="13">
        <f>TRANSICAO!$AA$14*CUSTOS!$Q$3</f>
        <v>0</v>
      </c>
      <c r="AB14" s="13">
        <f>TRANSICAO!$AB$14*CUSTOS!$Q$3</f>
        <v>0</v>
      </c>
      <c r="AC14" s="13">
        <f>TRANSICAO!$AC$14*CUSTOS!$Q$3</f>
        <v>13.456000000000001</v>
      </c>
      <c r="AD14" s="13">
        <f>TRANSICAO!$AD$14*CUSTOS!$Q$3</f>
        <v>0</v>
      </c>
      <c r="AE14" s="13">
        <v>0</v>
      </c>
      <c r="AF14" s="13">
        <v>0</v>
      </c>
      <c r="AG14" s="13"/>
      <c r="AH14" s="13">
        <v>0</v>
      </c>
      <c r="AI14" s="13">
        <v>0</v>
      </c>
      <c r="AJ14" s="13">
        <v>0</v>
      </c>
      <c r="AK14" s="13">
        <f t="shared" si="0"/>
        <v>0</v>
      </c>
      <c r="AL14" s="13"/>
      <c r="AM14" s="13"/>
      <c r="AP14" s="13">
        <v>1</v>
      </c>
    </row>
    <row r="15" spans="1:42" ht="11.25" customHeight="1" x14ac:dyDescent="0.25">
      <c r="A15" s="107"/>
      <c r="B15" s="107"/>
      <c r="C15" s="107"/>
      <c r="D15" s="107"/>
      <c r="E15" s="107"/>
      <c r="F15" s="107"/>
      <c r="G15" s="18" t="s">
        <v>83</v>
      </c>
      <c r="H15" s="18" t="s">
        <v>82</v>
      </c>
      <c r="I15" s="18">
        <f>'MERCADO TUSD'!$U$12</f>
        <v>163.142</v>
      </c>
      <c r="J15" s="15"/>
      <c r="L15" s="13">
        <f>0.84</f>
        <v>0.84</v>
      </c>
      <c r="M15" s="13">
        <f>IF(AND((+$I$11+$I$12+$I$15+$I$16+$I$17+$I$18+$I$21+$I$22+$I$28+$I$29+$I$30+$I$31)&lt;&gt;0,SUMPRODUCT($I$5:$I$68,$AC$5:$AC$68,$AP$5:$AP$68)&lt;&gt;0),$M$73*SUMPRODUCT($I$9:$I$31,$AC$9:$AC$31,$AP$9:$AP$31)/SUMPRODUCT($I$5:$I$68,$AC$5:$AC$68,$AP$5:$AP$68)/(+$I$11+$I$12+$I$15+$I$16+$I$17+$I$18+$I$21+$I$22+$I$28+$I$29+$I$30+$I$31),0)</f>
        <v>0.65836419347030595</v>
      </c>
      <c r="N15" s="13">
        <f ca="1">(+M15+O15+R15+U15+V15+W15+X15+Y15+Z15+AA15+AC15+AH15+AI15+AJ15+AK15)*CUSTOS!$M$5</f>
        <v>12.54642096742376</v>
      </c>
      <c r="O15" s="13">
        <v>1</v>
      </c>
      <c r="P15" s="13">
        <v>1</v>
      </c>
      <c r="Q15" s="13">
        <f>0.84</f>
        <v>0.84</v>
      </c>
      <c r="R15" s="13">
        <v>1</v>
      </c>
      <c r="S15" s="13">
        <v>1</v>
      </c>
      <c r="T15" s="13"/>
      <c r="U15" s="13">
        <f>TRANSICAO!$U$15*CUSTOS!$Q$3</f>
        <v>65.166560000000004</v>
      </c>
      <c r="V15" s="13">
        <f>TRANSICAO!$V$15*CUSTOS!$Q$3</f>
        <v>47.757200000000005</v>
      </c>
      <c r="W15" s="13">
        <f>TRANSICAO!$W$15*CUSTOS!$Q$3</f>
        <v>5.1561599999999999</v>
      </c>
      <c r="X15" s="13">
        <f>TRANSICAO!$X$15*CUSTOS!$Q$3</f>
        <v>0</v>
      </c>
      <c r="Y15" s="13">
        <f>TRANSICAO!$Y$15*CUSTOS!$Q$3</f>
        <v>0</v>
      </c>
      <c r="Z15" s="13">
        <f>TRANSICAO!$Z$15*CUSTOS!$Q$3</f>
        <v>0</v>
      </c>
      <c r="AA15" s="13">
        <f>TRANSICAO!$AA$15*CUSTOS!$Q$3</f>
        <v>0</v>
      </c>
      <c r="AB15" s="13">
        <f>TRANSICAO!$AB$15*CUSTOS!$Q$3</f>
        <v>0</v>
      </c>
      <c r="AC15" s="13">
        <f>TRANSICAO!$AC$15*CUSTOS!$Q$3</f>
        <v>1076.14832</v>
      </c>
      <c r="AD15" s="13">
        <f>TRANSICAO!$AD$15*CUSTOS!$Q$3</f>
        <v>0</v>
      </c>
      <c r="AE15" s="13">
        <v>0</v>
      </c>
      <c r="AF15" s="13">
        <v>0</v>
      </c>
      <c r="AG15" s="13"/>
      <c r="AH15" s="13">
        <v>10.8362</v>
      </c>
      <c r="AI15" s="13">
        <v>10.8362</v>
      </c>
      <c r="AJ15" s="13">
        <f ca="1">$N$81</f>
        <v>18.041546274452898</v>
      </c>
      <c r="AK15" s="13">
        <f t="shared" ca="1" si="0"/>
        <v>18.041546274452898</v>
      </c>
      <c r="AL15" s="13"/>
      <c r="AM15" s="13"/>
      <c r="AP15" s="13">
        <v>1</v>
      </c>
    </row>
    <row r="16" spans="1:42" ht="11.25" customHeight="1" x14ac:dyDescent="0.25">
      <c r="A16" s="107"/>
      <c r="B16" s="107"/>
      <c r="C16" s="107"/>
      <c r="D16" s="107"/>
      <c r="E16" s="107"/>
      <c r="F16" s="107"/>
      <c r="G16" s="18" t="s">
        <v>84</v>
      </c>
      <c r="H16" s="18" t="s">
        <v>82</v>
      </c>
      <c r="I16" s="18">
        <f>'MERCADO TUSD'!$U$13</f>
        <v>1766.7370000000001</v>
      </c>
      <c r="J16" s="15"/>
      <c r="L16" s="13">
        <f>0.84</f>
        <v>0.84</v>
      </c>
      <c r="M16" s="13">
        <f>IF(AND((+$I$11+$I$12+$I$15+$I$16+$I$17+$I$18+$I$21+$I$22+$I$28+$I$29+$I$30+$I$31)&lt;&gt;0,SUMPRODUCT($I$5:$I$68,$AC$5:$AC$68,$AP$5:$AP$68)&lt;&gt;0),$M$73*SUMPRODUCT($I$9:$I$31,$AC$9:$AC$31,$AP$9:$AP$31)/SUMPRODUCT($I$5:$I$68,$AC$5:$AC$68,$AP$5:$AP$68)/(+$I$11+$I$12+$I$15+$I$16+$I$17+$I$18+$I$21+$I$22+$I$28+$I$29+$I$30+$I$31),0)</f>
        <v>0.65836419347030595</v>
      </c>
      <c r="N16" s="13">
        <f ca="1">(+M16+O16+R16+U16+V16+W16+X16+Y16+Z16+AA16+AC16+AH16+AI16+AJ16+AK16)*CUSTOS!$M$5</f>
        <v>0.60413856742376104</v>
      </c>
      <c r="O16" s="13">
        <v>1</v>
      </c>
      <c r="P16" s="13">
        <v>1</v>
      </c>
      <c r="Q16" s="13">
        <f>0.84</f>
        <v>0.84</v>
      </c>
      <c r="R16" s="13">
        <v>1</v>
      </c>
      <c r="S16" s="13">
        <v>1</v>
      </c>
      <c r="T16" s="13"/>
      <c r="U16" s="13">
        <f>TRANSICAO!$U$16*CUSTOS!$Q$3</f>
        <v>0</v>
      </c>
      <c r="V16" s="13">
        <f>TRANSICAO!$V$16*CUSTOS!$Q$3</f>
        <v>0</v>
      </c>
      <c r="W16" s="13">
        <f>TRANSICAO!$W$16*CUSTOS!$Q$3</f>
        <v>0</v>
      </c>
      <c r="X16" s="13">
        <f>TRANSICAO!$X$16*CUSTOS!$Q$3</f>
        <v>0</v>
      </c>
      <c r="Y16" s="13">
        <f>TRANSICAO!$Y$16*CUSTOS!$Q$3</f>
        <v>0</v>
      </c>
      <c r="Z16" s="13">
        <f>TRANSICAO!$Z$16*CUSTOS!$Q$3</f>
        <v>0</v>
      </c>
      <c r="AA16" s="13">
        <f>TRANSICAO!$AA$16*CUSTOS!$Q$3</f>
        <v>0</v>
      </c>
      <c r="AB16" s="13">
        <f>TRANSICAO!$AB$16*CUSTOS!$Q$3</f>
        <v>0</v>
      </c>
      <c r="AC16" s="13">
        <f>TRANSICAO!$AC$16*CUSTOS!$Q$3</f>
        <v>0</v>
      </c>
      <c r="AD16" s="13">
        <f>TRANSICAO!$AD$16*CUSTOS!$Q$3</f>
        <v>0</v>
      </c>
      <c r="AE16" s="13">
        <v>0</v>
      </c>
      <c r="AF16" s="13">
        <v>0</v>
      </c>
      <c r="AG16" s="13"/>
      <c r="AH16" s="13">
        <v>10.8362</v>
      </c>
      <c r="AI16" s="13">
        <v>10.8362</v>
      </c>
      <c r="AJ16" s="13">
        <f ca="1">$N$81</f>
        <v>18.041546274452898</v>
      </c>
      <c r="AK16" s="13">
        <f t="shared" ca="1" si="0"/>
        <v>18.041546274452898</v>
      </c>
      <c r="AL16" s="13"/>
      <c r="AM16" s="13"/>
      <c r="AP16" s="13">
        <v>1</v>
      </c>
    </row>
    <row r="17" spans="1:42" ht="11.25" customHeight="1" x14ac:dyDescent="0.25">
      <c r="A17" s="107"/>
      <c r="B17" s="107"/>
      <c r="C17" s="107"/>
      <c r="D17" s="107"/>
      <c r="E17" s="107" t="s">
        <v>89</v>
      </c>
      <c r="F17" s="107" t="s">
        <v>25</v>
      </c>
      <c r="G17" s="18" t="s">
        <v>83</v>
      </c>
      <c r="H17" s="18" t="s">
        <v>82</v>
      </c>
      <c r="I17" s="18">
        <f>'MERCADO TUSD'!$U$14</f>
        <v>0</v>
      </c>
      <c r="J17" s="15"/>
      <c r="L17" s="13">
        <v>0</v>
      </c>
      <c r="M17" s="13">
        <f>IF(AND((+$I$11+$I$12+$I$15+$I$16+$I$17+$I$18+$I$21+$I$22+$I$28+$I$29+$I$30+$I$31)&lt;&gt;0,SUMPRODUCT($I$5:$I$68,$AC$5:$AC$68,$AP$5:$AP$68)&lt;&gt;0),$M$73*SUMPRODUCT($I$9:$I$31,$AC$9:$AC$31,$AP$9:$AP$31)/SUMPRODUCT($I$5:$I$68,$AC$5:$AC$68,$AP$5:$AP$68)/(+$I$11+$I$12+$I$15+$I$16+$I$17+$I$18+$I$21+$I$22+$I$28+$I$29+$I$30+$I$31),0)</f>
        <v>0.65836419347030595</v>
      </c>
      <c r="N17" s="13">
        <f ca="1">(+M17+O17+R17+U17+V17+W17+X17+Y17+Z17+AA17+AC17+AH17+AI17+AJ17+AK17)*CUSTOS!$M$5</f>
        <v>12.53642096742376</v>
      </c>
      <c r="O17" s="13">
        <v>1</v>
      </c>
      <c r="P17" s="13">
        <v>0</v>
      </c>
      <c r="Q17" s="13">
        <v>0</v>
      </c>
      <c r="R17" s="13">
        <v>0</v>
      </c>
      <c r="S17" s="13">
        <v>0</v>
      </c>
      <c r="T17" s="13"/>
      <c r="U17" s="13">
        <f>TRANSICAO!$U$17*CUSTOS!$Q$3</f>
        <v>65.166560000000004</v>
      </c>
      <c r="V17" s="13">
        <f>TRANSICAO!$V$17*CUSTOS!$Q$3</f>
        <v>47.757200000000005</v>
      </c>
      <c r="W17" s="13">
        <f>TRANSICAO!$W$17*CUSTOS!$Q$3</f>
        <v>5.1561599999999999</v>
      </c>
      <c r="X17" s="13">
        <f>TRANSICAO!$X$17*CUSTOS!$Q$3</f>
        <v>0</v>
      </c>
      <c r="Y17" s="13">
        <f>TRANSICAO!$Y$17*CUSTOS!$Q$3</f>
        <v>0</v>
      </c>
      <c r="Z17" s="13">
        <f>TRANSICAO!$Z$17*CUSTOS!$Q$3</f>
        <v>0</v>
      </c>
      <c r="AA17" s="13">
        <f>TRANSICAO!$AA$17*CUSTOS!$Q$3</f>
        <v>0</v>
      </c>
      <c r="AB17" s="13">
        <f>TRANSICAO!$AB$17*CUSTOS!$Q$3</f>
        <v>0</v>
      </c>
      <c r="AC17" s="13">
        <f>TRANSICAO!$AC$17*CUSTOS!$Q$3</f>
        <v>1076.14832</v>
      </c>
      <c r="AD17" s="13">
        <f>TRANSICAO!$AD$17*CUSTOS!$Q$3</f>
        <v>0</v>
      </c>
      <c r="AE17" s="13">
        <v>0</v>
      </c>
      <c r="AF17" s="13">
        <v>0</v>
      </c>
      <c r="AG17" s="13"/>
      <c r="AH17" s="13">
        <v>10.8362</v>
      </c>
      <c r="AI17" s="13">
        <v>10.8362</v>
      </c>
      <c r="AJ17" s="13">
        <f ca="1">$N$81</f>
        <v>18.041546274452898</v>
      </c>
      <c r="AK17" s="13">
        <f t="shared" ca="1" si="0"/>
        <v>18.041546274452898</v>
      </c>
      <c r="AL17" s="13"/>
      <c r="AM17" s="13"/>
      <c r="AP17" s="13">
        <v>1</v>
      </c>
    </row>
    <row r="18" spans="1:42" ht="11.25" customHeight="1" x14ac:dyDescent="0.25">
      <c r="A18" s="107"/>
      <c r="B18" s="107"/>
      <c r="C18" s="107"/>
      <c r="D18" s="107"/>
      <c r="E18" s="107"/>
      <c r="F18" s="107"/>
      <c r="G18" s="18" t="s">
        <v>84</v>
      </c>
      <c r="H18" s="18" t="s">
        <v>82</v>
      </c>
      <c r="I18" s="18">
        <f>'MERCADO TUSD'!$U$15</f>
        <v>0</v>
      </c>
      <c r="J18" s="15"/>
      <c r="L18" s="13">
        <v>0</v>
      </c>
      <c r="M18" s="13">
        <f>IF(AND((+$I$11+$I$12+$I$15+$I$16+$I$17+$I$18+$I$21+$I$22+$I$28+$I$29+$I$30+$I$31)&lt;&gt;0,SUMPRODUCT($I$5:$I$68,$AC$5:$AC$68,$AP$5:$AP$68)&lt;&gt;0),$M$73*SUMPRODUCT($I$9:$I$31,$AC$9:$AC$31,$AP$9:$AP$31)/SUMPRODUCT($I$5:$I$68,$AC$5:$AC$68,$AP$5:$AP$68)/(+$I$11+$I$12+$I$15+$I$16+$I$17+$I$18+$I$21+$I$22+$I$28+$I$29+$I$30+$I$31),0)</f>
        <v>0.65836419347030595</v>
      </c>
      <c r="N18" s="13">
        <f ca="1">(+M18+O18+R18+U18+V18+W18+X18+Y18+Z18+AA18+AC18+AH18+AI18+AJ18+AK18)*CUSTOS!$M$5</f>
        <v>0.59413856742376103</v>
      </c>
      <c r="O18" s="13">
        <v>1</v>
      </c>
      <c r="P18" s="13">
        <v>0</v>
      </c>
      <c r="Q18" s="13">
        <v>0</v>
      </c>
      <c r="R18" s="13">
        <v>0</v>
      </c>
      <c r="S18" s="13">
        <v>0</v>
      </c>
      <c r="T18" s="13"/>
      <c r="U18" s="13">
        <f>TRANSICAO!$U$18*CUSTOS!$Q$3</f>
        <v>0</v>
      </c>
      <c r="V18" s="13">
        <f>TRANSICAO!$V$18*CUSTOS!$Q$3</f>
        <v>0</v>
      </c>
      <c r="W18" s="13">
        <f>TRANSICAO!$W$18*CUSTOS!$Q$3</f>
        <v>0</v>
      </c>
      <c r="X18" s="13">
        <f>TRANSICAO!$X$18*CUSTOS!$Q$3</f>
        <v>0</v>
      </c>
      <c r="Y18" s="13">
        <f>TRANSICAO!$Y$18*CUSTOS!$Q$3</f>
        <v>0</v>
      </c>
      <c r="Z18" s="13">
        <f>TRANSICAO!$Z$18*CUSTOS!$Q$3</f>
        <v>0</v>
      </c>
      <c r="AA18" s="13">
        <f>TRANSICAO!$AA$18*CUSTOS!$Q$3</f>
        <v>0</v>
      </c>
      <c r="AB18" s="13">
        <f>TRANSICAO!$AB$18*CUSTOS!$Q$3</f>
        <v>0</v>
      </c>
      <c r="AC18" s="13">
        <f>TRANSICAO!$AC$18*CUSTOS!$Q$3</f>
        <v>0</v>
      </c>
      <c r="AD18" s="13">
        <f>TRANSICAO!$AD$18*CUSTOS!$Q$3</f>
        <v>0</v>
      </c>
      <c r="AE18" s="13">
        <v>0</v>
      </c>
      <c r="AF18" s="13">
        <v>0</v>
      </c>
      <c r="AG18" s="13"/>
      <c r="AH18" s="13">
        <v>10.8362</v>
      </c>
      <c r="AI18" s="13">
        <v>10.8362</v>
      </c>
      <c r="AJ18" s="13">
        <f ca="1">$N$81</f>
        <v>18.041546274452898</v>
      </c>
      <c r="AK18" s="13">
        <f t="shared" ca="1" si="0"/>
        <v>18.041546274452898</v>
      </c>
      <c r="AL18" s="13"/>
      <c r="AM18" s="13"/>
      <c r="AP18" s="13">
        <v>1</v>
      </c>
    </row>
    <row r="19" spans="1:42" ht="11.25" customHeight="1" x14ac:dyDescent="0.25">
      <c r="A19" s="107" t="s">
        <v>41</v>
      </c>
      <c r="B19" s="107" t="s">
        <v>42</v>
      </c>
      <c r="C19" s="107" t="s">
        <v>25</v>
      </c>
      <c r="D19" s="107" t="s">
        <v>25</v>
      </c>
      <c r="E19" s="107" t="s">
        <v>25</v>
      </c>
      <c r="F19" s="107" t="s">
        <v>25</v>
      </c>
      <c r="G19" s="18" t="s">
        <v>86</v>
      </c>
      <c r="H19" s="18" t="s">
        <v>85</v>
      </c>
      <c r="I19" s="18">
        <f>'MERCADO TUSD'!$U$16</f>
        <v>127291</v>
      </c>
      <c r="J19" s="15"/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/>
      <c r="U19" s="13">
        <f>TRANSICAO!$U$19*CUSTOS!$R$3</f>
        <v>2.7096</v>
      </c>
      <c r="V19" s="13">
        <f>TRANSICAO!$V$19*CUSTOS!$R$3</f>
        <v>1.9857600000000002</v>
      </c>
      <c r="W19" s="13">
        <f>TRANSICAO!$W$19*CUSTOS!$R$3</f>
        <v>0.21440000000000003</v>
      </c>
      <c r="X19" s="13">
        <f>TRANSICAO!$X$19*CUSTOS!$R$3</f>
        <v>0</v>
      </c>
      <c r="Y19" s="13">
        <f>TRANSICAO!$Y$19*CUSTOS!$R$3</f>
        <v>0</v>
      </c>
      <c r="Z19" s="13">
        <f>TRANSICAO!$Z$19*CUSTOS!$R$3</f>
        <v>0</v>
      </c>
      <c r="AA19" s="13">
        <f>TRANSICAO!$AA$19*CUSTOS!$R$3</f>
        <v>0</v>
      </c>
      <c r="AB19" s="13">
        <f>TRANSICAO!$AB$19*CUSTOS!$R$3</f>
        <v>0</v>
      </c>
      <c r="AC19" s="13">
        <f>TRANSICAO!$AC$19*CUSTOS!$R$3</f>
        <v>44.74624</v>
      </c>
      <c r="AD19" s="13">
        <f>TRANSICAO!$AD$19*CUSTOS!$R$3</f>
        <v>0</v>
      </c>
      <c r="AE19" s="13">
        <v>0</v>
      </c>
      <c r="AF19" s="13">
        <v>0</v>
      </c>
      <c r="AG19" s="13"/>
      <c r="AH19" s="13">
        <v>0</v>
      </c>
      <c r="AI19" s="13">
        <v>0</v>
      </c>
      <c r="AJ19" s="13">
        <v>0</v>
      </c>
      <c r="AK19" s="13">
        <f t="shared" si="0"/>
        <v>0</v>
      </c>
      <c r="AL19" s="13"/>
      <c r="AM19" s="13"/>
      <c r="AP19" s="13">
        <v>1</v>
      </c>
    </row>
    <row r="20" spans="1:42" ht="11.25" customHeight="1" x14ac:dyDescent="0.25">
      <c r="A20" s="107"/>
      <c r="B20" s="107"/>
      <c r="C20" s="107"/>
      <c r="D20" s="107"/>
      <c r="E20" s="107"/>
      <c r="F20" s="107"/>
      <c r="G20" s="18" t="s">
        <v>87</v>
      </c>
      <c r="H20" s="18" t="s">
        <v>85</v>
      </c>
      <c r="I20" s="18">
        <f>'MERCADO TUSD'!$U$17</f>
        <v>145423</v>
      </c>
      <c r="J20" s="15"/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/>
      <c r="U20" s="13">
        <f>TRANSICAO!$U$20*CUSTOS!$R$3</f>
        <v>2.0343200000000001</v>
      </c>
      <c r="V20" s="13">
        <f>TRANSICAO!$V$20*CUSTOS!$R$3</f>
        <v>1.6426400000000001</v>
      </c>
      <c r="W20" s="13">
        <f>TRANSICAO!$W$20*CUSTOS!$R$3</f>
        <v>0.17912</v>
      </c>
      <c r="X20" s="13">
        <f>TRANSICAO!$X$20*CUSTOS!$R$3</f>
        <v>0</v>
      </c>
      <c r="Y20" s="13">
        <f>TRANSICAO!$Y$20*CUSTOS!$R$3</f>
        <v>0</v>
      </c>
      <c r="Z20" s="13">
        <f>TRANSICAO!$Z$20*CUSTOS!$R$3</f>
        <v>0</v>
      </c>
      <c r="AA20" s="13">
        <f>TRANSICAO!$AA$20*CUSTOS!$R$3</f>
        <v>0</v>
      </c>
      <c r="AB20" s="13">
        <f>TRANSICAO!$AB$20*CUSTOS!$R$3</f>
        <v>0</v>
      </c>
      <c r="AC20" s="13">
        <f>TRANSICAO!$AC$20*CUSTOS!$R$3</f>
        <v>13.456000000000001</v>
      </c>
      <c r="AD20" s="13">
        <f>TRANSICAO!$AD$20*CUSTOS!$R$3</f>
        <v>0</v>
      </c>
      <c r="AE20" s="13">
        <v>0</v>
      </c>
      <c r="AF20" s="13">
        <v>0</v>
      </c>
      <c r="AG20" s="13"/>
      <c r="AH20" s="13">
        <v>0</v>
      </c>
      <c r="AI20" s="13">
        <v>0</v>
      </c>
      <c r="AJ20" s="13">
        <v>0</v>
      </c>
      <c r="AK20" s="13">
        <f t="shared" si="0"/>
        <v>0</v>
      </c>
      <c r="AL20" s="13"/>
      <c r="AM20" s="13"/>
      <c r="AP20" s="13">
        <v>1</v>
      </c>
    </row>
    <row r="21" spans="1:42" ht="11.25" customHeight="1" x14ac:dyDescent="0.25">
      <c r="A21" s="107"/>
      <c r="B21" s="107"/>
      <c r="C21" s="107"/>
      <c r="D21" s="107"/>
      <c r="E21" s="107"/>
      <c r="F21" s="107"/>
      <c r="G21" s="18" t="s">
        <v>88</v>
      </c>
      <c r="H21" s="18" t="s">
        <v>82</v>
      </c>
      <c r="I21" s="18">
        <f>'MERCADO TUSD'!$U$18</f>
        <v>51654.506999999991</v>
      </c>
      <c r="J21" s="15"/>
      <c r="L21" s="13">
        <f>0.84</f>
        <v>0.84</v>
      </c>
      <c r="M21" s="13">
        <f>IF(AND((+$I$11+$I$12+$I$15+$I$16+$I$17+$I$18+$I$21+$I$22+$I$28+$I$29+$I$30+$I$31)&lt;&gt;0,SUMPRODUCT($I$5:$I$68,$AC$5:$AC$68,$AP$5:$AP$68)&lt;&gt;0),$M$73*SUMPRODUCT($I$9:$I$31,$AC$9:$AC$31,$AP$9:$AP$31)/SUMPRODUCT($I$5:$I$68,$AC$5:$AC$68,$AP$5:$AP$68)/(+$I$11+$I$12+$I$15+$I$16+$I$17+$I$18+$I$21+$I$22+$I$28+$I$29+$I$30+$I$31),0)</f>
        <v>0.65836419347030595</v>
      </c>
      <c r="N21" s="13">
        <f ca="1">(+M21+O21+R21+U21+V21+W21+X21+Y21+Z21+AA21+AC21+AH21+AI21+AJ21+AK21)*CUSTOS!$M$5</f>
        <v>0.60413856742376104</v>
      </c>
      <c r="O21" s="13">
        <v>1</v>
      </c>
      <c r="P21" s="13">
        <v>1</v>
      </c>
      <c r="Q21" s="13">
        <f>0.84</f>
        <v>0.84</v>
      </c>
      <c r="R21" s="13">
        <v>1</v>
      </c>
      <c r="S21" s="13">
        <v>1</v>
      </c>
      <c r="T21" s="13"/>
      <c r="U21" s="13">
        <f>TRANSICAO!$U$21*CUSTOS!$R$3</f>
        <v>0</v>
      </c>
      <c r="V21" s="13">
        <f>TRANSICAO!$V$21*CUSTOS!$R$3</f>
        <v>0</v>
      </c>
      <c r="W21" s="13">
        <f>TRANSICAO!$W$21*CUSTOS!$R$3</f>
        <v>0</v>
      </c>
      <c r="X21" s="13">
        <f>TRANSICAO!$X$21*CUSTOS!$R$3</f>
        <v>0</v>
      </c>
      <c r="Y21" s="13">
        <f>TRANSICAO!$Y$21*CUSTOS!$R$3</f>
        <v>0</v>
      </c>
      <c r="Z21" s="13">
        <f>TRANSICAO!$Z$21*CUSTOS!$R$3</f>
        <v>0</v>
      </c>
      <c r="AA21" s="13">
        <f>TRANSICAO!$AA$21*CUSTOS!$R$3</f>
        <v>0</v>
      </c>
      <c r="AB21" s="13">
        <f>TRANSICAO!$AB$21*CUSTOS!$R$3</f>
        <v>0</v>
      </c>
      <c r="AC21" s="13">
        <f>TRANSICAO!$AC$21*CUSTOS!$R$3</f>
        <v>0</v>
      </c>
      <c r="AD21" s="13">
        <f>TRANSICAO!$AD$21*CUSTOS!$R$3</f>
        <v>0</v>
      </c>
      <c r="AE21" s="13">
        <v>0</v>
      </c>
      <c r="AF21" s="13">
        <v>0</v>
      </c>
      <c r="AG21" s="13"/>
      <c r="AH21" s="13">
        <v>10.8362</v>
      </c>
      <c r="AI21" s="13">
        <v>10.8362</v>
      </c>
      <c r="AJ21" s="13">
        <f ca="1">$N$82</f>
        <v>18.041546274452898</v>
      </c>
      <c r="AK21" s="13">
        <f t="shared" ca="1" si="0"/>
        <v>18.041546274452898</v>
      </c>
      <c r="AL21" s="13"/>
      <c r="AM21" s="13"/>
      <c r="AP21" s="13">
        <v>1</v>
      </c>
    </row>
    <row r="22" spans="1:42" ht="11.25" customHeight="1" x14ac:dyDescent="0.25">
      <c r="A22" s="107"/>
      <c r="B22" s="107"/>
      <c r="C22" s="107"/>
      <c r="D22" s="107"/>
      <c r="E22" s="17" t="s">
        <v>89</v>
      </c>
      <c r="F22" s="17" t="s">
        <v>25</v>
      </c>
      <c r="G22" s="18" t="s">
        <v>88</v>
      </c>
      <c r="H22" s="18" t="s">
        <v>82</v>
      </c>
      <c r="I22" s="18">
        <f>'MERCADO TUSD'!$U$19</f>
        <v>0</v>
      </c>
      <c r="J22" s="15"/>
      <c r="L22" s="13">
        <v>0</v>
      </c>
      <c r="M22" s="13">
        <f>IF(AND((+$I$11+$I$12+$I$15+$I$16+$I$17+$I$18+$I$21+$I$22+$I$28+$I$29+$I$30+$I$31)&lt;&gt;0,SUMPRODUCT($I$5:$I$68,$AC$5:$AC$68,$AP$5:$AP$68)&lt;&gt;0),$M$73*SUMPRODUCT($I$9:$I$31,$AC$9:$AC$31,$AP$9:$AP$31)/SUMPRODUCT($I$5:$I$68,$AC$5:$AC$68,$AP$5:$AP$68)/(+$I$11+$I$12+$I$15+$I$16+$I$17+$I$18+$I$21+$I$22+$I$28+$I$29+$I$30+$I$31),0)</f>
        <v>0.65836419347030595</v>
      </c>
      <c r="N22" s="13">
        <f ca="1">(+M22+O22+R22+U22+V22+W22+X22+Y22+Z22+AA22+AC22+AH22+AI22+AJ22+AK22)*CUSTOS!$M$5</f>
        <v>0.59413856742376103</v>
      </c>
      <c r="O22" s="13">
        <v>1</v>
      </c>
      <c r="P22" s="13">
        <v>0</v>
      </c>
      <c r="Q22" s="13">
        <v>0</v>
      </c>
      <c r="R22" s="13">
        <v>0</v>
      </c>
      <c r="S22" s="13">
        <v>0</v>
      </c>
      <c r="T22" s="13"/>
      <c r="U22" s="13">
        <f>TRANSICAO!$U$22*CUSTOS!$R$3</f>
        <v>0</v>
      </c>
      <c r="V22" s="13">
        <f>TRANSICAO!$V$22*CUSTOS!$R$3</f>
        <v>0</v>
      </c>
      <c r="W22" s="13">
        <f>TRANSICAO!$W$22*CUSTOS!$R$3</f>
        <v>0</v>
      </c>
      <c r="X22" s="13">
        <f>TRANSICAO!$X$22*CUSTOS!$R$3</f>
        <v>0</v>
      </c>
      <c r="Y22" s="13">
        <f>TRANSICAO!$Y$22*CUSTOS!$R$3</f>
        <v>0</v>
      </c>
      <c r="Z22" s="13">
        <f>TRANSICAO!$Z$22*CUSTOS!$R$3</f>
        <v>0</v>
      </c>
      <c r="AA22" s="13">
        <f>TRANSICAO!$AA$22*CUSTOS!$R$3</f>
        <v>0</v>
      </c>
      <c r="AB22" s="13">
        <f>TRANSICAO!$AB$22*CUSTOS!$R$3</f>
        <v>0</v>
      </c>
      <c r="AC22" s="13">
        <f>TRANSICAO!$AC$22*CUSTOS!$R$3</f>
        <v>0</v>
      </c>
      <c r="AD22" s="13">
        <f>TRANSICAO!$AD$22*CUSTOS!$R$3</f>
        <v>0</v>
      </c>
      <c r="AE22" s="13">
        <v>0</v>
      </c>
      <c r="AF22" s="13">
        <v>0</v>
      </c>
      <c r="AG22" s="13"/>
      <c r="AH22" s="13">
        <v>10.8362</v>
      </c>
      <c r="AI22" s="13">
        <v>10.8362</v>
      </c>
      <c r="AJ22" s="13">
        <f ca="1">$N$82</f>
        <v>18.041546274452898</v>
      </c>
      <c r="AK22" s="13">
        <f t="shared" ca="1" si="0"/>
        <v>18.041546274452898</v>
      </c>
      <c r="AL22" s="13"/>
      <c r="AM22" s="13"/>
      <c r="AP22" s="13">
        <v>1</v>
      </c>
    </row>
    <row r="23" spans="1:42" ht="11.25" customHeight="1" x14ac:dyDescent="0.25">
      <c r="A23" s="107"/>
      <c r="B23" s="107" t="s">
        <v>62</v>
      </c>
      <c r="C23" s="107" t="s">
        <v>25</v>
      </c>
      <c r="D23" s="107" t="s">
        <v>25</v>
      </c>
      <c r="E23" s="107" t="s">
        <v>25</v>
      </c>
      <c r="F23" s="107" t="s">
        <v>63</v>
      </c>
      <c r="G23" s="18" t="s">
        <v>86</v>
      </c>
      <c r="H23" s="18" t="s">
        <v>85</v>
      </c>
      <c r="I23" s="18">
        <f>'MERCADO TUSD'!$U$20</f>
        <v>18979</v>
      </c>
      <c r="J23" s="15"/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/>
      <c r="U23" s="13">
        <f>TRANSICAO!$U$23*CUSTOS!$R$3</f>
        <v>2.7096</v>
      </c>
      <c r="V23" s="13">
        <f>TRANSICAO!$V$23*CUSTOS!$R$3</f>
        <v>1.9857600000000002</v>
      </c>
      <c r="W23" s="13">
        <f>TRANSICAO!$W$23*CUSTOS!$R$3</f>
        <v>0.21440000000000003</v>
      </c>
      <c r="X23" s="13">
        <f>TRANSICAO!$X$23*CUSTOS!$R$3</f>
        <v>0</v>
      </c>
      <c r="Y23" s="13">
        <f>TRANSICAO!$Y$23*CUSTOS!$R$3</f>
        <v>0</v>
      </c>
      <c r="Z23" s="13">
        <f>TRANSICAO!$Z$23*CUSTOS!$R$3</f>
        <v>0</v>
      </c>
      <c r="AA23" s="13">
        <f>TRANSICAO!$AA$23*CUSTOS!$R$3</f>
        <v>0</v>
      </c>
      <c r="AB23" s="13">
        <f>TRANSICAO!$AB$23*CUSTOS!$R$3</f>
        <v>0</v>
      </c>
      <c r="AC23" s="13">
        <f>TRANSICAO!$AC$23*CUSTOS!$R$3</f>
        <v>8.8176000000000005</v>
      </c>
      <c r="AD23" s="13">
        <f>TRANSICAO!$AD$23*CUSTOS!$R$3</f>
        <v>0</v>
      </c>
      <c r="AE23" s="13">
        <v>0</v>
      </c>
      <c r="AF23" s="13">
        <v>0</v>
      </c>
      <c r="AG23" s="13"/>
      <c r="AH23" s="13">
        <v>0</v>
      </c>
      <c r="AI23" s="13">
        <v>0</v>
      </c>
      <c r="AJ23" s="13">
        <v>0</v>
      </c>
      <c r="AK23" s="13">
        <f t="shared" si="0"/>
        <v>0</v>
      </c>
      <c r="AL23" s="13"/>
      <c r="AM23" s="13"/>
      <c r="AP23" s="13">
        <v>1</v>
      </c>
    </row>
    <row r="24" spans="1:42" ht="11.25" customHeight="1" x14ac:dyDescent="0.25">
      <c r="A24" s="107"/>
      <c r="B24" s="107"/>
      <c r="C24" s="107"/>
      <c r="D24" s="107"/>
      <c r="E24" s="107"/>
      <c r="F24" s="107"/>
      <c r="G24" s="18" t="s">
        <v>87</v>
      </c>
      <c r="H24" s="18" t="s">
        <v>85</v>
      </c>
      <c r="I24" s="18">
        <f>'MERCADO TUSD'!$U$21</f>
        <v>19150</v>
      </c>
      <c r="J24" s="15"/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/>
      <c r="U24" s="13">
        <f>TRANSICAO!$U$24*CUSTOS!$R$3</f>
        <v>2.0343200000000001</v>
      </c>
      <c r="V24" s="13">
        <f>TRANSICAO!$V$24*CUSTOS!$R$3</f>
        <v>1.6426400000000001</v>
      </c>
      <c r="W24" s="13">
        <f>TRANSICAO!$W$24*CUSTOS!$R$3</f>
        <v>0.17912</v>
      </c>
      <c r="X24" s="13">
        <f>TRANSICAO!$X$24*CUSTOS!$R$3</f>
        <v>0</v>
      </c>
      <c r="Y24" s="13">
        <f>TRANSICAO!$Y$24*CUSTOS!$R$3</f>
        <v>0</v>
      </c>
      <c r="Z24" s="13">
        <f>TRANSICAO!$Z$24*CUSTOS!$R$3</f>
        <v>0</v>
      </c>
      <c r="AA24" s="13">
        <f>TRANSICAO!$AA$24*CUSTOS!$R$3</f>
        <v>0</v>
      </c>
      <c r="AB24" s="13">
        <f>TRANSICAO!$AB$24*CUSTOS!$R$3</f>
        <v>0</v>
      </c>
      <c r="AC24" s="13">
        <f>TRANSICAO!$AC$24*CUSTOS!$R$3</f>
        <v>2.6516000000000002</v>
      </c>
      <c r="AD24" s="13">
        <f>TRANSICAO!$AD$24*CUSTOS!$R$3</f>
        <v>0</v>
      </c>
      <c r="AE24" s="13">
        <v>0</v>
      </c>
      <c r="AF24" s="13">
        <v>0</v>
      </c>
      <c r="AG24" s="13"/>
      <c r="AH24" s="13">
        <v>0</v>
      </c>
      <c r="AI24" s="13">
        <v>0</v>
      </c>
      <c r="AJ24" s="13">
        <v>0</v>
      </c>
      <c r="AK24" s="13">
        <f t="shared" si="0"/>
        <v>0</v>
      </c>
      <c r="AL24" s="13"/>
      <c r="AM24" s="13"/>
      <c r="AP24" s="13">
        <v>1</v>
      </c>
    </row>
    <row r="25" spans="1:42" ht="11.25" customHeight="1" x14ac:dyDescent="0.25">
      <c r="A25" s="107"/>
      <c r="B25" s="107"/>
      <c r="C25" s="107"/>
      <c r="D25" s="107"/>
      <c r="E25" s="107"/>
      <c r="F25" s="107"/>
      <c r="G25" s="18" t="s">
        <v>88</v>
      </c>
      <c r="H25" s="18" t="s">
        <v>82</v>
      </c>
      <c r="I25" s="18">
        <f>'MERCADO TUSD'!$U$22</f>
        <v>10049.634999999998</v>
      </c>
      <c r="J25" s="15"/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/>
      <c r="U25" s="13">
        <f>TRANSICAO!$U$25*CUSTOS!$R$3</f>
        <v>0</v>
      </c>
      <c r="V25" s="13">
        <f>TRANSICAO!$V$25*CUSTOS!$R$3</f>
        <v>0</v>
      </c>
      <c r="W25" s="13">
        <f>TRANSICAO!$W$25*CUSTOS!$R$3</f>
        <v>0</v>
      </c>
      <c r="X25" s="13">
        <f>TRANSICAO!$X$25*CUSTOS!$R$3</f>
        <v>0</v>
      </c>
      <c r="Y25" s="13">
        <f>TRANSICAO!$Y$25*CUSTOS!$R$3</f>
        <v>0</v>
      </c>
      <c r="Z25" s="13">
        <f>TRANSICAO!$Z$25*CUSTOS!$R$3</f>
        <v>0</v>
      </c>
      <c r="AA25" s="13">
        <f>TRANSICAO!$AA$25*CUSTOS!$R$3</f>
        <v>0</v>
      </c>
      <c r="AB25" s="13">
        <f>TRANSICAO!$AB$25*CUSTOS!$R$3</f>
        <v>0</v>
      </c>
      <c r="AC25" s="13">
        <f>TRANSICAO!$AC$25*CUSTOS!$R$3</f>
        <v>0</v>
      </c>
      <c r="AD25" s="13">
        <f>TRANSICAO!$AD$25*CUSTOS!$R$3</f>
        <v>0</v>
      </c>
      <c r="AE25" s="13">
        <v>0</v>
      </c>
      <c r="AF25" s="13">
        <v>0</v>
      </c>
      <c r="AG25" s="13"/>
      <c r="AH25" s="13">
        <v>10.8362</v>
      </c>
      <c r="AI25" s="13">
        <v>10.8362</v>
      </c>
      <c r="AJ25" s="13">
        <v>0</v>
      </c>
      <c r="AK25" s="13">
        <f t="shared" si="0"/>
        <v>0</v>
      </c>
      <c r="AL25" s="13"/>
      <c r="AM25" s="13"/>
      <c r="AP25" s="13">
        <v>1</v>
      </c>
    </row>
    <row r="26" spans="1:42" ht="11.25" customHeight="1" x14ac:dyDescent="0.25">
      <c r="A26" s="107"/>
      <c r="B26" s="17" t="s">
        <v>91</v>
      </c>
      <c r="C26" s="17" t="s">
        <v>25</v>
      </c>
      <c r="D26" s="17" t="s">
        <v>25</v>
      </c>
      <c r="E26" s="17" t="s">
        <v>25</v>
      </c>
      <c r="F26" s="17" t="s">
        <v>25</v>
      </c>
      <c r="G26" s="18" t="s">
        <v>9</v>
      </c>
      <c r="H26" s="18" t="s">
        <v>85</v>
      </c>
      <c r="I26" s="18">
        <f>'MERCADO TUSD'!$U$23</f>
        <v>0</v>
      </c>
      <c r="J26" s="15"/>
      <c r="L26" s="13">
        <v>0</v>
      </c>
      <c r="M26" s="13">
        <v>6.6600000000000006E-2</v>
      </c>
      <c r="N26" s="13">
        <f>0.1671</f>
        <v>0.1671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/>
      <c r="U26" s="13">
        <f>TRANSICAO!$U$26*CUSTOS!$R$4</f>
        <v>0</v>
      </c>
      <c r="V26" s="13">
        <f>TRANSICAO!$V$26*CUSTOS!$R$4</f>
        <v>0</v>
      </c>
      <c r="W26" s="13">
        <f>TRANSICAO!$W$26*CUSTOS!$R$4</f>
        <v>0</v>
      </c>
      <c r="X26" s="13">
        <f>TRANSICAO!$X$26*CUSTOS!$R$4</f>
        <v>0</v>
      </c>
      <c r="Y26" s="13">
        <f>TRANSICAO!$Y$26*CUSTOS!$R$4</f>
        <v>0</v>
      </c>
      <c r="Z26" s="13">
        <f>TRANSICAO!$Z$26*CUSTOS!$R$4</f>
        <v>0</v>
      </c>
      <c r="AA26" s="13">
        <f>TRANSICAO!$AA$26*CUSTOS!$R$4</f>
        <v>0</v>
      </c>
      <c r="AB26" s="13">
        <f>TRANSICAO!$AB$26*CUSTOS!$R$4</f>
        <v>0</v>
      </c>
      <c r="AC26" s="13">
        <f>TRANSICAO!$AC$26*CUSTOS!$R$4</f>
        <v>16.646100000000001</v>
      </c>
      <c r="AD26" s="13">
        <f>TRANSICAO!$AD$26*CUSTOS!$R$4</f>
        <v>0</v>
      </c>
      <c r="AE26" s="13">
        <v>0</v>
      </c>
      <c r="AF26" s="13">
        <v>0</v>
      </c>
      <c r="AG26" s="13"/>
      <c r="AH26" s="13">
        <v>0</v>
      </c>
      <c r="AI26" s="13">
        <v>0</v>
      </c>
      <c r="AJ26" s="13">
        <v>0</v>
      </c>
      <c r="AK26" s="13">
        <f t="shared" si="0"/>
        <v>0</v>
      </c>
      <c r="AL26" s="13"/>
      <c r="AM26" s="13"/>
      <c r="AP26" s="13"/>
    </row>
    <row r="27" spans="1:42" ht="11.25" customHeight="1" x14ac:dyDescent="0.25">
      <c r="A27" s="107"/>
      <c r="B27" s="107" t="s">
        <v>44</v>
      </c>
      <c r="C27" s="107" t="s">
        <v>25</v>
      </c>
      <c r="D27" s="107" t="s">
        <v>25</v>
      </c>
      <c r="E27" s="107" t="s">
        <v>25</v>
      </c>
      <c r="F27" s="107" t="s">
        <v>25</v>
      </c>
      <c r="G27" s="18" t="s">
        <v>9</v>
      </c>
      <c r="H27" s="18" t="s">
        <v>85</v>
      </c>
      <c r="I27" s="18">
        <f>'MERCADO TUSD'!$U$24</f>
        <v>1145356</v>
      </c>
      <c r="J27" s="15"/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/>
      <c r="U27" s="13">
        <f>TRANSICAO!$U$27*CUSTOS!$R$3</f>
        <v>2.0343200000000001</v>
      </c>
      <c r="V27" s="13">
        <f>TRANSICAO!$V$27*CUSTOS!$R$3</f>
        <v>1.6426400000000001</v>
      </c>
      <c r="W27" s="13">
        <f>TRANSICAO!$W$27*CUSTOS!$R$3</f>
        <v>0.17912</v>
      </c>
      <c r="X27" s="13">
        <f>TRANSICAO!$X$27*CUSTOS!$R$3</f>
        <v>0</v>
      </c>
      <c r="Y27" s="13">
        <f>TRANSICAO!$Y$27*CUSTOS!$R$3</f>
        <v>0</v>
      </c>
      <c r="Z27" s="13">
        <f>TRANSICAO!$Z$27*CUSTOS!$R$3</f>
        <v>0</v>
      </c>
      <c r="AA27" s="13">
        <f>TRANSICAO!$AA$27*CUSTOS!$R$3</f>
        <v>0</v>
      </c>
      <c r="AB27" s="13">
        <f>TRANSICAO!$AB$27*CUSTOS!$R$3</f>
        <v>0</v>
      </c>
      <c r="AC27" s="13">
        <f>TRANSICAO!$AC$27*CUSTOS!$R$3</f>
        <v>13.456000000000001</v>
      </c>
      <c r="AD27" s="13">
        <f>TRANSICAO!$AD$27*CUSTOS!$R$3</f>
        <v>0</v>
      </c>
      <c r="AE27" s="13">
        <v>0</v>
      </c>
      <c r="AF27" s="13">
        <v>0</v>
      </c>
      <c r="AG27" s="13"/>
      <c r="AH27" s="13">
        <v>0</v>
      </c>
      <c r="AI27" s="13">
        <v>0</v>
      </c>
      <c r="AJ27" s="13">
        <v>0</v>
      </c>
      <c r="AK27" s="13">
        <f t="shared" si="0"/>
        <v>0</v>
      </c>
      <c r="AL27" s="13"/>
      <c r="AM27" s="13"/>
      <c r="AP27" s="13">
        <v>1</v>
      </c>
    </row>
    <row r="28" spans="1:42" ht="11.25" customHeight="1" x14ac:dyDescent="0.25">
      <c r="A28" s="107"/>
      <c r="B28" s="107"/>
      <c r="C28" s="107"/>
      <c r="D28" s="107"/>
      <c r="E28" s="107"/>
      <c r="F28" s="107"/>
      <c r="G28" s="18" t="s">
        <v>83</v>
      </c>
      <c r="H28" s="18" t="s">
        <v>82</v>
      </c>
      <c r="I28" s="18">
        <f>'MERCADO TUSD'!$U$25</f>
        <v>16471.927</v>
      </c>
      <c r="J28" s="15"/>
      <c r="L28" s="13">
        <f>0.84</f>
        <v>0.84</v>
      </c>
      <c r="M28" s="13">
        <f>IF(AND((+$I$11+$I$12+$I$15+$I$16+$I$17+$I$18+$I$21+$I$22+$I$28+$I$29+$I$30+$I$31)&lt;&gt;0,SUMPRODUCT($I$5:$I$68,$AC$5:$AC$68,$AP$5:$AP$68)&lt;&gt;0),$M$73*SUMPRODUCT($I$9:$I$31,$AC$9:$AC$31,$AP$9:$AP$31)/SUMPRODUCT($I$5:$I$68,$AC$5:$AC$68,$AP$5:$AP$68)/(+$I$11+$I$12+$I$15+$I$16+$I$17+$I$18+$I$21+$I$22+$I$28+$I$29+$I$30+$I$31),0)</f>
        <v>0.65836419347030595</v>
      </c>
      <c r="N28" s="13">
        <f ca="1">(+M28+O28+R28+U28+V28+W28+X28+Y28+Z28+AA28+AC28+AH28+AI28+AJ28+AK28)*CUSTOS!$M$5</f>
        <v>12.54642096742376</v>
      </c>
      <c r="O28" s="13">
        <v>1</v>
      </c>
      <c r="P28" s="13">
        <v>1</v>
      </c>
      <c r="Q28" s="13">
        <f>0.84</f>
        <v>0.84</v>
      </c>
      <c r="R28" s="13">
        <v>1</v>
      </c>
      <c r="S28" s="13">
        <v>1</v>
      </c>
      <c r="T28" s="13"/>
      <c r="U28" s="13">
        <f>TRANSICAO!$U$28*CUSTOS!$R$3</f>
        <v>65.166560000000004</v>
      </c>
      <c r="V28" s="13">
        <f>TRANSICAO!$V$28*CUSTOS!$R$3</f>
        <v>47.757200000000005</v>
      </c>
      <c r="W28" s="13">
        <f>TRANSICAO!$W$28*CUSTOS!$R$3</f>
        <v>5.1561599999999999</v>
      </c>
      <c r="X28" s="13">
        <f>TRANSICAO!$X$28*CUSTOS!$R$3</f>
        <v>0</v>
      </c>
      <c r="Y28" s="13">
        <f>TRANSICAO!$Y$28*CUSTOS!$R$3</f>
        <v>0</v>
      </c>
      <c r="Z28" s="13">
        <f>TRANSICAO!$Z$28*CUSTOS!$R$3</f>
        <v>0</v>
      </c>
      <c r="AA28" s="13">
        <f>TRANSICAO!$AA$28*CUSTOS!$R$3</f>
        <v>0</v>
      </c>
      <c r="AB28" s="13">
        <f>TRANSICAO!$AB$28*CUSTOS!$R$3</f>
        <v>0</v>
      </c>
      <c r="AC28" s="13">
        <f>TRANSICAO!$AC$28*CUSTOS!$R$3</f>
        <v>1076.14832</v>
      </c>
      <c r="AD28" s="13">
        <f>TRANSICAO!$AD$28*CUSTOS!$R$3</f>
        <v>0</v>
      </c>
      <c r="AE28" s="13">
        <v>0</v>
      </c>
      <c r="AF28" s="13">
        <v>0</v>
      </c>
      <c r="AG28" s="13"/>
      <c r="AH28" s="13">
        <v>10.8362</v>
      </c>
      <c r="AI28" s="13">
        <v>10.8362</v>
      </c>
      <c r="AJ28" s="13">
        <f ca="1">$N$82</f>
        <v>18.041546274452898</v>
      </c>
      <c r="AK28" s="13">
        <f t="shared" ca="1" si="0"/>
        <v>18.041546274452898</v>
      </c>
      <c r="AL28" s="13"/>
      <c r="AM28" s="13"/>
      <c r="AP28" s="13">
        <v>1</v>
      </c>
    </row>
    <row r="29" spans="1:42" ht="11.25" customHeight="1" x14ac:dyDescent="0.25">
      <c r="A29" s="107"/>
      <c r="B29" s="107"/>
      <c r="C29" s="107"/>
      <c r="D29" s="107"/>
      <c r="E29" s="107"/>
      <c r="F29" s="107"/>
      <c r="G29" s="18" t="s">
        <v>84</v>
      </c>
      <c r="H29" s="18" t="s">
        <v>82</v>
      </c>
      <c r="I29" s="18">
        <f>'MERCADO TUSD'!$U$26</f>
        <v>200863.93899999998</v>
      </c>
      <c r="J29" s="15"/>
      <c r="L29" s="13">
        <f>0.84</f>
        <v>0.84</v>
      </c>
      <c r="M29" s="13">
        <f>IF(AND((+$I$11+$I$12+$I$15+$I$16+$I$17+$I$18+$I$21+$I$22+$I$28+$I$29+$I$30+$I$31)&lt;&gt;0,SUMPRODUCT($I$5:$I$68,$AC$5:$AC$68,$AP$5:$AP$68)&lt;&gt;0),$M$73*SUMPRODUCT($I$9:$I$31,$AC$9:$AC$31,$AP$9:$AP$31)/SUMPRODUCT($I$5:$I$68,$AC$5:$AC$68,$AP$5:$AP$68)/(+$I$11+$I$12+$I$15+$I$16+$I$17+$I$18+$I$21+$I$22+$I$28+$I$29+$I$30+$I$31),0)</f>
        <v>0.65836419347030595</v>
      </c>
      <c r="N29" s="13">
        <f ca="1">(+M29+O29+R29+U29+V29+W29+X29+Y29+Z29+AA29+AC29+AH29+AI29+AJ29+AK29)*CUSTOS!$M$5</f>
        <v>0.60413856742376104</v>
      </c>
      <c r="O29" s="13">
        <v>1</v>
      </c>
      <c r="P29" s="13">
        <v>1</v>
      </c>
      <c r="Q29" s="13">
        <f>0.84</f>
        <v>0.84</v>
      </c>
      <c r="R29" s="13">
        <v>1</v>
      </c>
      <c r="S29" s="13">
        <v>1</v>
      </c>
      <c r="T29" s="13"/>
      <c r="U29" s="13">
        <f>TRANSICAO!$U$29*CUSTOS!$R$3</f>
        <v>0</v>
      </c>
      <c r="V29" s="13">
        <f>TRANSICAO!$V$29*CUSTOS!$R$3</f>
        <v>0</v>
      </c>
      <c r="W29" s="13">
        <f>TRANSICAO!$W$29*CUSTOS!$R$3</f>
        <v>0</v>
      </c>
      <c r="X29" s="13">
        <f>TRANSICAO!$X$29*CUSTOS!$R$3</f>
        <v>0</v>
      </c>
      <c r="Y29" s="13">
        <f>TRANSICAO!$Y$29*CUSTOS!$R$3</f>
        <v>0</v>
      </c>
      <c r="Z29" s="13">
        <f>TRANSICAO!$Z$29*CUSTOS!$R$3</f>
        <v>0</v>
      </c>
      <c r="AA29" s="13">
        <f>TRANSICAO!$AA$29*CUSTOS!$R$3</f>
        <v>0</v>
      </c>
      <c r="AB29" s="13">
        <f>TRANSICAO!$AB$29*CUSTOS!$R$3</f>
        <v>0</v>
      </c>
      <c r="AC29" s="13">
        <f>TRANSICAO!$AC$29*CUSTOS!$R$3</f>
        <v>0</v>
      </c>
      <c r="AD29" s="13">
        <f>TRANSICAO!$AD$29*CUSTOS!$R$3</f>
        <v>0</v>
      </c>
      <c r="AE29" s="13">
        <v>0</v>
      </c>
      <c r="AF29" s="13">
        <v>0</v>
      </c>
      <c r="AG29" s="13"/>
      <c r="AH29" s="13">
        <v>10.8362</v>
      </c>
      <c r="AI29" s="13">
        <v>10.8362</v>
      </c>
      <c r="AJ29" s="13">
        <f ca="1">$N$82</f>
        <v>18.041546274452898</v>
      </c>
      <c r="AK29" s="13">
        <f t="shared" ca="1" si="0"/>
        <v>18.041546274452898</v>
      </c>
      <c r="AL29" s="13"/>
      <c r="AM29" s="13"/>
      <c r="AP29" s="13">
        <v>1</v>
      </c>
    </row>
    <row r="30" spans="1:42" ht="11.25" customHeight="1" x14ac:dyDescent="0.25">
      <c r="A30" s="107"/>
      <c r="B30" s="107"/>
      <c r="C30" s="107"/>
      <c r="D30" s="107"/>
      <c r="E30" s="107" t="s">
        <v>89</v>
      </c>
      <c r="F30" s="107" t="s">
        <v>25</v>
      </c>
      <c r="G30" s="18" t="s">
        <v>83</v>
      </c>
      <c r="H30" s="18" t="s">
        <v>82</v>
      </c>
      <c r="I30" s="18">
        <f>'MERCADO TUSD'!$U$27</f>
        <v>0</v>
      </c>
      <c r="J30" s="15"/>
      <c r="L30" s="13">
        <v>0</v>
      </c>
      <c r="M30" s="13">
        <f>IF(AND((+$I$11+$I$12+$I$15+$I$16+$I$17+$I$18+$I$21+$I$22+$I$28+$I$29+$I$30+$I$31)&lt;&gt;0,SUMPRODUCT($I$5:$I$68,$AC$5:$AC$68,$AP$5:$AP$68)&lt;&gt;0),$M$73*SUMPRODUCT($I$9:$I$31,$AC$9:$AC$31,$AP$9:$AP$31)/SUMPRODUCT($I$5:$I$68,$AC$5:$AC$68,$AP$5:$AP$68)/(+$I$11+$I$12+$I$15+$I$16+$I$17+$I$18+$I$21+$I$22+$I$28+$I$29+$I$30+$I$31),0)</f>
        <v>0.65836419347030595</v>
      </c>
      <c r="N30" s="13">
        <f ca="1">(+M30+O30+R30+U30+V30+W30+X30+Y30+Z30+AA30+AC30+AH30+AI30+AJ30+AK30)*CUSTOS!$M$5</f>
        <v>12.53642096742376</v>
      </c>
      <c r="O30" s="13">
        <v>1</v>
      </c>
      <c r="P30" s="13">
        <v>0</v>
      </c>
      <c r="Q30" s="13">
        <v>0</v>
      </c>
      <c r="R30" s="13">
        <v>0</v>
      </c>
      <c r="S30" s="13">
        <v>0</v>
      </c>
      <c r="T30" s="13"/>
      <c r="U30" s="13">
        <f>TRANSICAO!$U$30*CUSTOS!$R$3</f>
        <v>65.166560000000004</v>
      </c>
      <c r="V30" s="13">
        <f>TRANSICAO!$V$30*CUSTOS!$R$3</f>
        <v>47.757200000000005</v>
      </c>
      <c r="W30" s="13">
        <f>TRANSICAO!$W$30*CUSTOS!$R$3</f>
        <v>5.1561599999999999</v>
      </c>
      <c r="X30" s="13">
        <f>TRANSICAO!$X$30*CUSTOS!$R$3</f>
        <v>0</v>
      </c>
      <c r="Y30" s="13">
        <f>TRANSICAO!$Y$30*CUSTOS!$R$3</f>
        <v>0</v>
      </c>
      <c r="Z30" s="13">
        <f>TRANSICAO!$Z$30*CUSTOS!$R$3</f>
        <v>0</v>
      </c>
      <c r="AA30" s="13">
        <f>TRANSICAO!$AA$30*CUSTOS!$R$3</f>
        <v>0</v>
      </c>
      <c r="AB30" s="13">
        <f>TRANSICAO!$AB$30*CUSTOS!$R$3</f>
        <v>0</v>
      </c>
      <c r="AC30" s="13">
        <f>TRANSICAO!$AC$30*CUSTOS!$R$3</f>
        <v>1076.14832</v>
      </c>
      <c r="AD30" s="13">
        <f>TRANSICAO!$AD$30*CUSTOS!$R$3</f>
        <v>0</v>
      </c>
      <c r="AE30" s="13">
        <v>0</v>
      </c>
      <c r="AF30" s="13">
        <v>0</v>
      </c>
      <c r="AG30" s="13"/>
      <c r="AH30" s="13">
        <v>10.8362</v>
      </c>
      <c r="AI30" s="13">
        <v>10.8362</v>
      </c>
      <c r="AJ30" s="13">
        <f ca="1">$N$82</f>
        <v>18.041546274452898</v>
      </c>
      <c r="AK30" s="13">
        <f t="shared" ca="1" si="0"/>
        <v>18.041546274452898</v>
      </c>
      <c r="AL30" s="13"/>
      <c r="AM30" s="13"/>
      <c r="AP30" s="13">
        <v>1</v>
      </c>
    </row>
    <row r="31" spans="1:42" ht="11.25" customHeight="1" x14ac:dyDescent="0.25">
      <c r="A31" s="107"/>
      <c r="B31" s="107"/>
      <c r="C31" s="107"/>
      <c r="D31" s="107"/>
      <c r="E31" s="107"/>
      <c r="F31" s="107"/>
      <c r="G31" s="18" t="s">
        <v>84</v>
      </c>
      <c r="H31" s="18" t="s">
        <v>82</v>
      </c>
      <c r="I31" s="18">
        <f>'MERCADO TUSD'!$U$28</f>
        <v>0</v>
      </c>
      <c r="J31" s="15"/>
      <c r="L31" s="13">
        <v>0</v>
      </c>
      <c r="M31" s="13">
        <f>IF(AND((+$I$11+$I$12+$I$15+$I$16+$I$17+$I$18+$I$21+$I$22+$I$28+$I$29+$I$30+$I$31)&lt;&gt;0,SUMPRODUCT($I$5:$I$68,$AC$5:$AC$68,$AP$5:$AP$68)&lt;&gt;0),$M$73*SUMPRODUCT($I$9:$I$31,$AC$9:$AC$31,$AP$9:$AP$31)/SUMPRODUCT($I$5:$I$68,$AC$5:$AC$68,$AP$5:$AP$68)/(+$I$11+$I$12+$I$15+$I$16+$I$17+$I$18+$I$21+$I$22+$I$28+$I$29+$I$30+$I$31),0)</f>
        <v>0.65836419347030595</v>
      </c>
      <c r="N31" s="13">
        <f ca="1">(+M31+O31+R31+U31+V31+W31+X31+Y31+Z31+AA31+AC31+AH31+AI31+AJ31+AK31)*CUSTOS!$M$5</f>
        <v>0.59413856742376103</v>
      </c>
      <c r="O31" s="13">
        <v>1</v>
      </c>
      <c r="P31" s="13">
        <v>0</v>
      </c>
      <c r="Q31" s="13">
        <v>0</v>
      </c>
      <c r="R31" s="13">
        <v>0</v>
      </c>
      <c r="S31" s="13">
        <v>0</v>
      </c>
      <c r="T31" s="13"/>
      <c r="U31" s="13">
        <f>TRANSICAO!$U$31*CUSTOS!$R$3</f>
        <v>0</v>
      </c>
      <c r="V31" s="13">
        <f>TRANSICAO!$V$31*CUSTOS!$R$3</f>
        <v>0</v>
      </c>
      <c r="W31" s="13">
        <f>TRANSICAO!$W$31*CUSTOS!$R$3</f>
        <v>0</v>
      </c>
      <c r="X31" s="13">
        <f>TRANSICAO!$X$31*CUSTOS!$R$3</f>
        <v>0</v>
      </c>
      <c r="Y31" s="13">
        <f>TRANSICAO!$Y$31*CUSTOS!$R$3</f>
        <v>0</v>
      </c>
      <c r="Z31" s="13">
        <f>TRANSICAO!$Z$31*CUSTOS!$R$3</f>
        <v>0</v>
      </c>
      <c r="AA31" s="13">
        <f>TRANSICAO!$AA$31*CUSTOS!$R$3</f>
        <v>0</v>
      </c>
      <c r="AB31" s="13">
        <f>TRANSICAO!$AB$31*CUSTOS!$R$3</f>
        <v>0</v>
      </c>
      <c r="AC31" s="13">
        <f>TRANSICAO!$AC$31*CUSTOS!$R$3</f>
        <v>0</v>
      </c>
      <c r="AD31" s="13">
        <f>TRANSICAO!$AD$31*CUSTOS!$R$3</f>
        <v>0</v>
      </c>
      <c r="AE31" s="13">
        <v>0</v>
      </c>
      <c r="AF31" s="13">
        <v>0</v>
      </c>
      <c r="AG31" s="13"/>
      <c r="AH31" s="13">
        <v>10.8362</v>
      </c>
      <c r="AI31" s="13">
        <v>10.8362</v>
      </c>
      <c r="AJ31" s="13">
        <f ca="1">$N$82</f>
        <v>18.041546274452898</v>
      </c>
      <c r="AK31" s="13">
        <f t="shared" ca="1" si="0"/>
        <v>18.041546274452898</v>
      </c>
      <c r="AL31" s="13"/>
      <c r="AM31" s="13"/>
      <c r="AP31" s="13">
        <v>1</v>
      </c>
    </row>
    <row r="32" spans="1:42" ht="11.25" customHeight="1" x14ac:dyDescent="0.25">
      <c r="A32" s="107" t="s">
        <v>95</v>
      </c>
      <c r="B32" s="107" t="s">
        <v>91</v>
      </c>
      <c r="C32" s="107" t="s">
        <v>25</v>
      </c>
      <c r="D32" s="107" t="s">
        <v>25</v>
      </c>
      <c r="E32" s="17" t="s">
        <v>96</v>
      </c>
      <c r="F32" s="17" t="s">
        <v>25</v>
      </c>
      <c r="G32" s="18" t="s">
        <v>9</v>
      </c>
      <c r="H32" s="18" t="s">
        <v>85</v>
      </c>
      <c r="I32" s="18">
        <f>'MERCADO TUSD'!$U$29+0.00000001</f>
        <v>1E-8</v>
      </c>
      <c r="J32" s="15"/>
      <c r="L32" s="13">
        <v>0</v>
      </c>
      <c r="M32" s="13">
        <v>5.0900000000000001E-2</v>
      </c>
      <c r="N32" s="13">
        <f>0.1279</f>
        <v>0.12790000000000001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/>
      <c r="U32" s="13">
        <f>TRANSICAO!$U$32*CUSTOS!$T$4</f>
        <v>0</v>
      </c>
      <c r="V32" s="13">
        <f>TRANSICAO!$V$32*CUSTOS!$T$4</f>
        <v>0</v>
      </c>
      <c r="W32" s="13">
        <f>TRANSICAO!$W$32*CUSTOS!$T$4</f>
        <v>0</v>
      </c>
      <c r="X32" s="13">
        <f>TRANSICAO!$X$32*CUSTOS!$T$4</f>
        <v>0</v>
      </c>
      <c r="Y32" s="13">
        <f>TRANSICAO!$Y$32*CUSTOS!$T$4</f>
        <v>0</v>
      </c>
      <c r="Z32" s="13">
        <f>TRANSICAO!$Z$32*CUSTOS!$T$4</f>
        <v>0</v>
      </c>
      <c r="AA32" s="13">
        <f>TRANSICAO!$AA$32*CUSTOS!$T$4</f>
        <v>0</v>
      </c>
      <c r="AB32" s="13">
        <f>TRANSICAO!$AB$32*CUSTOS!$T$4</f>
        <v>0</v>
      </c>
      <c r="AC32" s="13">
        <f>TRANSICAO!$AC$32*CUSTOS!$T$4</f>
        <v>12.737</v>
      </c>
      <c r="AD32" s="13">
        <f>TRANSICAO!$AD$32*CUSTOS!$T$4</f>
        <v>0</v>
      </c>
      <c r="AE32" s="13">
        <v>0</v>
      </c>
      <c r="AF32" s="13">
        <v>0</v>
      </c>
      <c r="AG32" s="13"/>
      <c r="AH32" s="13">
        <v>0</v>
      </c>
      <c r="AI32" s="13">
        <v>0</v>
      </c>
      <c r="AJ32" s="13">
        <v>0</v>
      </c>
      <c r="AK32" s="13">
        <f t="shared" si="0"/>
        <v>0</v>
      </c>
      <c r="AL32" s="13"/>
      <c r="AM32" s="13"/>
      <c r="AP32" s="13"/>
    </row>
    <row r="33" spans="1:42" ht="11.25" customHeight="1" x14ac:dyDescent="0.25">
      <c r="A33" s="107"/>
      <c r="B33" s="107"/>
      <c r="C33" s="107"/>
      <c r="D33" s="107"/>
      <c r="E33" s="17" t="s">
        <v>97</v>
      </c>
      <c r="F33" s="17" t="s">
        <v>25</v>
      </c>
      <c r="G33" s="18" t="s">
        <v>9</v>
      </c>
      <c r="H33" s="18" t="s">
        <v>85</v>
      </c>
      <c r="I33" s="18">
        <f>'MERCADO TUSD'!$U$30+0.00000001</f>
        <v>1E-8</v>
      </c>
      <c r="J33" s="15"/>
      <c r="L33" s="13">
        <v>0</v>
      </c>
      <c r="M33" s="13">
        <v>5.0900000000000001E-2</v>
      </c>
      <c r="N33" s="13">
        <f>0.1279</f>
        <v>0.12790000000000001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/>
      <c r="U33" s="13">
        <f>TRANSICAO!$U$33*CUSTOS!$T$4</f>
        <v>0</v>
      </c>
      <c r="V33" s="13">
        <f>TRANSICAO!$V$33*CUSTOS!$T$4</f>
        <v>0</v>
      </c>
      <c r="W33" s="13">
        <f>TRANSICAO!$W$33*CUSTOS!$T$4</f>
        <v>0</v>
      </c>
      <c r="X33" s="13">
        <f>TRANSICAO!$X$33*CUSTOS!$T$4</f>
        <v>0</v>
      </c>
      <c r="Y33" s="13">
        <f>TRANSICAO!$Y$33*CUSTOS!$T$4</f>
        <v>0</v>
      </c>
      <c r="Z33" s="13">
        <f>TRANSICAO!$Z$33*CUSTOS!$T$4</f>
        <v>0</v>
      </c>
      <c r="AA33" s="13">
        <f>TRANSICAO!$AA$33*CUSTOS!$T$4</f>
        <v>0</v>
      </c>
      <c r="AB33" s="13">
        <f>TRANSICAO!$AB$33*CUSTOS!$T$4</f>
        <v>0</v>
      </c>
      <c r="AC33" s="13">
        <f>TRANSICAO!$AC$33*CUSTOS!$T$4</f>
        <v>28.517199999999999</v>
      </c>
      <c r="AD33" s="13">
        <f>TRANSICAO!$AD$33*CUSTOS!$T$4</f>
        <v>0</v>
      </c>
      <c r="AE33" s="13">
        <v>0</v>
      </c>
      <c r="AF33" s="13">
        <v>0</v>
      </c>
      <c r="AG33" s="13"/>
      <c r="AH33" s="13">
        <v>0</v>
      </c>
      <c r="AI33" s="13">
        <v>0</v>
      </c>
      <c r="AJ33" s="13">
        <v>0</v>
      </c>
      <c r="AK33" s="13">
        <f t="shared" si="0"/>
        <v>0</v>
      </c>
      <c r="AL33" s="13"/>
      <c r="AM33" s="13"/>
      <c r="AP33" s="13"/>
    </row>
    <row r="34" spans="1:42" ht="11.25" customHeight="1" x14ac:dyDescent="0.25">
      <c r="A34" s="107" t="s">
        <v>22</v>
      </c>
      <c r="B34" s="107" t="s">
        <v>35</v>
      </c>
      <c r="C34" s="107" t="s">
        <v>24</v>
      </c>
      <c r="D34" s="107" t="s">
        <v>24</v>
      </c>
      <c r="E34" s="107" t="s">
        <v>25</v>
      </c>
      <c r="F34" s="107" t="s">
        <v>25</v>
      </c>
      <c r="G34" s="18" t="s">
        <v>83</v>
      </c>
      <c r="H34" s="18" t="s">
        <v>82</v>
      </c>
      <c r="I34" s="18">
        <f>'MERCADO TUSD'!$U$31</f>
        <v>51.442999999999998</v>
      </c>
      <c r="J34" s="15"/>
      <c r="L34" s="13">
        <f>1</f>
        <v>1</v>
      </c>
      <c r="M34" s="13">
        <f>IF(AND((+$I$34+$I$35+$I$36+$I$37+$I$38+$I$39+$I$40+$I$41+$I$42+$I$43+$I$44+$I$45+$I$46+$I$47+$I$48+$I$49+$I$50+$I$51+$I$52+$I$53+$I$54+$I$55+$I$56+$I$57+$I$58+$I$59+$I$60+$I$61+$I$62+$I$63+$I$64+$I$65+$I$66+$I$67+$I$68)&lt;&gt;0,SUMPRODUCT($I$5:$I$68,$AC$5:$AC$68,$AP$5:$AP$68)&lt;&gt;0),$M$73*SUMPRODUCT($I$34:$I$68,$AC$34:$AC$68,$AP$34:$AP$68)/SUMPRODUCT($I$5:$I$68,$AC$5:$AC$68,$AP$5:$AP$68)/(+$I$34+$I$35+$I$36+$I$37+$I$38+$I$39+$I$40+$I$41+$I$42+$I$43+$I$44+$I$45+$I$46+$I$47+$I$48+$I$49+$I$50+$I$51+$I$52+$I$53+$I$54+$I$55+$I$56+$I$57+$I$58+$I$59+$I$60+$I$61+$I$62+$I$63+$I$64+$I$65+$I$66+$I$67+$I$68),0)</f>
        <v>1.2276670987946332</v>
      </c>
      <c r="N34" s="13">
        <f ca="1">(+M34+O34+R34+U34+V34+W34+X34+Y34+Z34+AA34+AC34+AH34+AI34+AJ34+AK34)*CUSTOS!$M$5</f>
        <v>10.701355742540498</v>
      </c>
      <c r="O34" s="13">
        <v>1</v>
      </c>
      <c r="P34" s="13">
        <v>1</v>
      </c>
      <c r="Q34" s="13">
        <f>1</f>
        <v>1</v>
      </c>
      <c r="R34" s="13">
        <v>1</v>
      </c>
      <c r="S34" s="13">
        <v>1</v>
      </c>
      <c r="T34" s="13"/>
      <c r="U34" s="13">
        <f>TRANSICAO!$U$34*CUSTOS!$T$3</f>
        <v>37.308500000000002</v>
      </c>
      <c r="V34" s="13">
        <f>TRANSICAO!$V$34*CUSTOS!$T$3</f>
        <v>28.4633</v>
      </c>
      <c r="W34" s="13">
        <f>TRANSICAO!$W$34*CUSTOS!$T$3</f>
        <v>3.0861999999999998</v>
      </c>
      <c r="X34" s="13">
        <f>TRANSICAO!$X$34*CUSTOS!$T$3</f>
        <v>0</v>
      </c>
      <c r="Y34" s="13">
        <f>TRANSICAO!$Y$34*CUSTOS!$T$3</f>
        <v>0</v>
      </c>
      <c r="Z34" s="13">
        <f>TRANSICAO!$Z$34*CUSTOS!$T$3</f>
        <v>0</v>
      </c>
      <c r="AA34" s="13">
        <f>TRANSICAO!$AA$34*CUSTOS!$T$3</f>
        <v>0</v>
      </c>
      <c r="AB34" s="13">
        <f>TRANSICAO!$AB$34*CUSTOS!$T$3</f>
        <v>0</v>
      </c>
      <c r="AC34" s="13">
        <f>TRANSICAO!$AC$34*CUSTOS!$T$3</f>
        <v>896.75840000000005</v>
      </c>
      <c r="AD34" s="13">
        <f>TRANSICAO!$AD$34*CUSTOS!$T$3</f>
        <v>0</v>
      </c>
      <c r="AE34" s="13">
        <v>0</v>
      </c>
      <c r="AF34" s="13">
        <v>0</v>
      </c>
      <c r="AG34" s="13"/>
      <c r="AH34" s="13">
        <v>23.2014</v>
      </c>
      <c r="AI34" s="13">
        <v>23.2014</v>
      </c>
      <c r="AJ34" s="13">
        <f ca="1">$N$83</f>
        <v>27.444353577627535</v>
      </c>
      <c r="AK34" s="13">
        <f t="shared" ca="1" si="0"/>
        <v>27.444353577627535</v>
      </c>
      <c r="AL34" s="13"/>
      <c r="AM34" s="13"/>
      <c r="AP34" s="13">
        <v>1</v>
      </c>
    </row>
    <row r="35" spans="1:42" ht="11.25" customHeight="1" x14ac:dyDescent="0.25">
      <c r="A35" s="107"/>
      <c r="B35" s="107"/>
      <c r="C35" s="107"/>
      <c r="D35" s="107"/>
      <c r="E35" s="107"/>
      <c r="F35" s="107"/>
      <c r="G35" s="18" t="s">
        <v>98</v>
      </c>
      <c r="H35" s="18" t="s">
        <v>82</v>
      </c>
      <c r="I35" s="18">
        <f>'MERCADO TUSD'!$U$32</f>
        <v>16.948999999999998</v>
      </c>
      <c r="J35" s="15"/>
      <c r="L35" s="13">
        <f>1</f>
        <v>1</v>
      </c>
      <c r="M35" s="13">
        <f>IF(AND((+$I$34+$I$35+$I$36+$I$37+$I$38+$I$39+$I$40+$I$41+$I$42+$I$43+$I$44+$I$45+$I$46+$I$47+$I$48+$I$49+$I$50+$I$51+$I$52+$I$53+$I$54+$I$55+$I$56+$I$57+$I$58+$I$59+$I$60+$I$61+$I$62+$I$63+$I$64+$I$65+$I$66+$I$67+$I$68)&lt;&gt;0,SUMPRODUCT($I$5:$I$68,$AC$5:$AC$68,$AP$5:$AP$68)&lt;&gt;0),$M$73*SUMPRODUCT($I$34:$I$68,$AC$34:$AC$68,$AP$34:$AP$68)/SUMPRODUCT($I$5:$I$68,$AC$5:$AC$68,$AP$5:$AP$68)/(+$I$34+$I$35+$I$36+$I$37+$I$38+$I$39+$I$40+$I$41+$I$42+$I$43+$I$44+$I$45+$I$46+$I$47+$I$48+$I$49+$I$50+$I$51+$I$52+$I$53+$I$54+$I$55+$I$56+$I$57+$I$58+$I$59+$I$60+$I$61+$I$62+$I$63+$I$64+$I$65+$I$66+$I$67+$I$68),0)</f>
        <v>1.2276670987946332</v>
      </c>
      <c r="N35" s="13">
        <f ca="1">(+M35+O35+R35+U35+V35+W35+X35+Y35+Z35+AA35+AC35+AH35+AI35+AJ35+AK35)*CUSTOS!$M$5</f>
        <v>6.8388907425404994</v>
      </c>
      <c r="O35" s="13">
        <v>1</v>
      </c>
      <c r="P35" s="13">
        <v>1</v>
      </c>
      <c r="Q35" s="13">
        <f>1</f>
        <v>1</v>
      </c>
      <c r="R35" s="13">
        <v>1</v>
      </c>
      <c r="S35" s="13">
        <v>1</v>
      </c>
      <c r="T35" s="13"/>
      <c r="U35" s="13">
        <f>TRANSICAO!$U$35*CUSTOS!$T$3</f>
        <v>22.385100000000001</v>
      </c>
      <c r="V35" s="13">
        <f>TRANSICAO!$V$35*CUSTOS!$T$3</f>
        <v>17.077999999999999</v>
      </c>
      <c r="W35" s="13">
        <f>TRANSICAO!$W$35*CUSTOS!$T$3</f>
        <v>1.8516999999999999</v>
      </c>
      <c r="X35" s="13">
        <f>TRANSICAO!$X$35*CUSTOS!$T$3</f>
        <v>0</v>
      </c>
      <c r="Y35" s="13">
        <f>TRANSICAO!$Y$35*CUSTOS!$T$3</f>
        <v>0</v>
      </c>
      <c r="Z35" s="13">
        <f>TRANSICAO!$Z$35*CUSTOS!$T$3</f>
        <v>0</v>
      </c>
      <c r="AA35" s="13">
        <f>TRANSICAO!$AA$35*CUSTOS!$T$3</f>
        <v>0</v>
      </c>
      <c r="AB35" s="13">
        <f>TRANSICAO!$AB$35*CUSTOS!$T$3</f>
        <v>0</v>
      </c>
      <c r="AC35" s="13">
        <f>TRANSICAO!$AC$35*CUSTOS!$T$3</f>
        <v>538.05510000000004</v>
      </c>
      <c r="AD35" s="13">
        <f>TRANSICAO!$AD$35*CUSTOS!$T$3</f>
        <v>0</v>
      </c>
      <c r="AE35" s="13">
        <v>0</v>
      </c>
      <c r="AF35" s="13">
        <v>0</v>
      </c>
      <c r="AG35" s="13"/>
      <c r="AH35" s="13">
        <v>23.2014</v>
      </c>
      <c r="AI35" s="13">
        <v>23.2014</v>
      </c>
      <c r="AJ35" s="13">
        <f ca="1">$N$83</f>
        <v>27.444353577627535</v>
      </c>
      <c r="AK35" s="13">
        <f t="shared" ca="1" si="0"/>
        <v>27.444353577627535</v>
      </c>
      <c r="AL35" s="13"/>
      <c r="AM35" s="13"/>
      <c r="AP35" s="13">
        <v>1</v>
      </c>
    </row>
    <row r="36" spans="1:42" ht="11.25" customHeight="1" x14ac:dyDescent="0.25">
      <c r="A36" s="107"/>
      <c r="B36" s="107"/>
      <c r="C36" s="107"/>
      <c r="D36" s="107"/>
      <c r="E36" s="107"/>
      <c r="F36" s="107"/>
      <c r="G36" s="18" t="s">
        <v>84</v>
      </c>
      <c r="H36" s="18" t="s">
        <v>82</v>
      </c>
      <c r="I36" s="18">
        <f>'MERCADO TUSD'!$U$33</f>
        <v>490.19600000000008</v>
      </c>
      <c r="J36" s="15"/>
      <c r="L36" s="13">
        <f>1</f>
        <v>1</v>
      </c>
      <c r="M36" s="13">
        <f>IF(AND((+$I$34+$I$35+$I$36+$I$37+$I$38+$I$39+$I$40+$I$41+$I$42+$I$43+$I$44+$I$45+$I$46+$I$47+$I$48+$I$49+$I$50+$I$51+$I$52+$I$53+$I$54+$I$55+$I$56+$I$57+$I$58+$I$59+$I$60+$I$61+$I$62+$I$63+$I$64+$I$65+$I$66+$I$67+$I$68)&lt;&gt;0,SUMPRODUCT($I$5:$I$68,$AC$5:$AC$68,$AP$5:$AP$68)&lt;&gt;0),$M$73*SUMPRODUCT($I$34:$I$68,$AC$34:$AC$68,$AP$34:$AP$68)/SUMPRODUCT($I$5:$I$68,$AC$5:$AC$68,$AP$5:$AP$68)/(+$I$34+$I$35+$I$36+$I$37+$I$38+$I$39+$I$40+$I$41+$I$42+$I$43+$I$44+$I$45+$I$46+$I$47+$I$48+$I$49+$I$50+$I$51+$I$52+$I$53+$I$54+$I$55+$I$56+$I$57+$I$58+$I$59+$I$60+$I$61+$I$62+$I$63+$I$64+$I$65+$I$66+$I$67+$I$68),0)</f>
        <v>1.2276670987946332</v>
      </c>
      <c r="N36" s="13">
        <f ca="1">(+M36+O36+R36+U36+V36+W36+X36+Y36+Z36+AA36+AC36+AH36+AI36+AJ36+AK36)*CUSTOS!$M$5</f>
        <v>2.9764247425404968</v>
      </c>
      <c r="O36" s="13">
        <v>1</v>
      </c>
      <c r="P36" s="13">
        <v>1</v>
      </c>
      <c r="Q36" s="13">
        <f>1</f>
        <v>1</v>
      </c>
      <c r="R36" s="13">
        <v>1</v>
      </c>
      <c r="S36" s="13">
        <v>1</v>
      </c>
      <c r="T36" s="13"/>
      <c r="U36" s="13">
        <f>TRANSICAO!$U$36*CUSTOS!$T$3</f>
        <v>7.4617000000000004</v>
      </c>
      <c r="V36" s="13">
        <f>TRANSICAO!$V$36*CUSTOS!$T$3</f>
        <v>5.6927000000000003</v>
      </c>
      <c r="W36" s="13">
        <f>TRANSICAO!$W$36*CUSTOS!$T$3</f>
        <v>0.61719999999999997</v>
      </c>
      <c r="X36" s="13">
        <f>TRANSICAO!$X$36*CUSTOS!$T$3</f>
        <v>0</v>
      </c>
      <c r="Y36" s="13">
        <f>TRANSICAO!$Y$36*CUSTOS!$T$3</f>
        <v>0</v>
      </c>
      <c r="Z36" s="13">
        <f>TRANSICAO!$Z$36*CUSTOS!$T$3</f>
        <v>0</v>
      </c>
      <c r="AA36" s="13">
        <f>TRANSICAO!$AA$36*CUSTOS!$T$3</f>
        <v>0</v>
      </c>
      <c r="AB36" s="13">
        <f>TRANSICAO!$AB$36*CUSTOS!$T$3</f>
        <v>0</v>
      </c>
      <c r="AC36" s="13">
        <f>TRANSICAO!$AC$36*CUSTOS!$T$3</f>
        <v>179.35169999999999</v>
      </c>
      <c r="AD36" s="13">
        <f>TRANSICAO!$AD$36*CUSTOS!$T$3</f>
        <v>0</v>
      </c>
      <c r="AE36" s="13">
        <v>0</v>
      </c>
      <c r="AF36" s="13">
        <v>0</v>
      </c>
      <c r="AG36" s="13"/>
      <c r="AH36" s="13">
        <v>23.2014</v>
      </c>
      <c r="AI36" s="13">
        <v>23.2014</v>
      </c>
      <c r="AJ36" s="13">
        <f ca="1">$N$83</f>
        <v>27.444353577627535</v>
      </c>
      <c r="AK36" s="13">
        <f t="shared" ca="1" si="0"/>
        <v>27.444353577627535</v>
      </c>
      <c r="AL36" s="13"/>
      <c r="AM36" s="13"/>
      <c r="AP36" s="13">
        <v>1</v>
      </c>
    </row>
    <row r="37" spans="1:42" ht="11.25" customHeight="1" x14ac:dyDescent="0.25">
      <c r="A37" s="107"/>
      <c r="B37" s="107" t="s">
        <v>23</v>
      </c>
      <c r="C37" s="107" t="s">
        <v>24</v>
      </c>
      <c r="D37" s="17" t="s">
        <v>24</v>
      </c>
      <c r="E37" s="17" t="s">
        <v>25</v>
      </c>
      <c r="F37" s="17" t="s">
        <v>25</v>
      </c>
      <c r="G37" s="18" t="s">
        <v>88</v>
      </c>
      <c r="H37" s="18" t="s">
        <v>82</v>
      </c>
      <c r="I37" s="18">
        <f>'MERCADO TUSD'!$U$34</f>
        <v>441318.25</v>
      </c>
      <c r="J37" s="15"/>
      <c r="L37" s="13">
        <f>1</f>
        <v>1</v>
      </c>
      <c r="M37" s="13">
        <f>IF(AND((+$I$34+$I$35+$I$36+$I$37+$I$38+$I$39+$I$40+$I$41+$I$42+$I$43+$I$44+$I$45+$I$46+$I$47+$I$48+$I$49+$I$50+$I$51+$I$52+$I$53+$I$54+$I$55+$I$56+$I$57+$I$58+$I$59+$I$60+$I$61+$I$62+$I$63+$I$64+$I$65+$I$66+$I$67+$I$68)&lt;&gt;0,SUMPRODUCT($I$5:$I$68,$AC$5:$AC$68,$AP$5:$AP$68)&lt;&gt;0),$M$73*SUMPRODUCT($I$34:$I$68,$AC$34:$AC$68,$AP$34:$AP$68)/SUMPRODUCT($I$5:$I$68,$AC$5:$AC$68,$AP$5:$AP$68)/(+$I$34+$I$35+$I$36+$I$37+$I$38+$I$39+$I$40+$I$41+$I$42+$I$43+$I$44+$I$45+$I$46+$I$47+$I$48+$I$49+$I$50+$I$51+$I$52+$I$53+$I$54+$I$55+$I$56+$I$57+$I$58+$I$59+$I$60+$I$61+$I$62+$I$63+$I$64+$I$65+$I$66+$I$67+$I$68),0)</f>
        <v>1.2276670987946332</v>
      </c>
      <c r="N37" s="13">
        <f ca="1">(+M37+O37+R37+U37+V37+W37+X37+Y37+Z37+AA37+AC37+AH37+AI37+AJ37+AK37)*CUSTOS!$M$5</f>
        <v>4.110641742540496</v>
      </c>
      <c r="O37" s="13">
        <v>1</v>
      </c>
      <c r="P37" s="13">
        <v>1</v>
      </c>
      <c r="Q37" s="13">
        <f>1</f>
        <v>1</v>
      </c>
      <c r="R37" s="13">
        <v>1</v>
      </c>
      <c r="S37" s="13">
        <v>1</v>
      </c>
      <c r="T37" s="13"/>
      <c r="U37" s="13">
        <f>TRANSICAO!$U$37*CUSTOS!$T$3</f>
        <v>11.843999999999999</v>
      </c>
      <c r="V37" s="13">
        <f>TRANSICAO!$V$37*CUSTOS!$T$3</f>
        <v>9.0359999999999996</v>
      </c>
      <c r="W37" s="13">
        <f>TRANSICAO!$W$37*CUSTOS!$T$3</f>
        <v>0.9798</v>
      </c>
      <c r="X37" s="13">
        <f>TRANSICAO!$X$37*CUSTOS!$T$3</f>
        <v>0</v>
      </c>
      <c r="Y37" s="13">
        <f>TRANSICAO!$Y$37*CUSTOS!$T$3</f>
        <v>0</v>
      </c>
      <c r="Z37" s="13">
        <f>TRANSICAO!$Z$37*CUSTOS!$T$3</f>
        <v>0</v>
      </c>
      <c r="AA37" s="13">
        <f>TRANSICAO!$AA$37*CUSTOS!$T$3</f>
        <v>0</v>
      </c>
      <c r="AB37" s="13">
        <f>TRANSICAO!$AB$37*CUSTOS!$T$3</f>
        <v>0</v>
      </c>
      <c r="AC37" s="13">
        <f>TRANSICAO!$AC$37*CUSTOS!$T$3</f>
        <v>284.68520000000001</v>
      </c>
      <c r="AD37" s="13">
        <f>TRANSICAO!$AD$37*CUSTOS!$T$3</f>
        <v>0</v>
      </c>
      <c r="AE37" s="13">
        <v>0</v>
      </c>
      <c r="AF37" s="13">
        <v>0</v>
      </c>
      <c r="AG37" s="13"/>
      <c r="AH37" s="13">
        <v>23.2014</v>
      </c>
      <c r="AI37" s="13">
        <v>23.2014</v>
      </c>
      <c r="AJ37" s="13">
        <f ca="1">$N$83</f>
        <v>27.444353577627535</v>
      </c>
      <c r="AK37" s="13">
        <f t="shared" ref="AK37:AK68" ca="1" si="1">AJ37</f>
        <v>27.444353577627535</v>
      </c>
      <c r="AL37" s="13"/>
      <c r="AM37" s="13"/>
      <c r="AP37" s="13">
        <v>1</v>
      </c>
    </row>
    <row r="38" spans="1:42" ht="11.25" customHeight="1" x14ac:dyDescent="0.25">
      <c r="A38" s="107"/>
      <c r="B38" s="107"/>
      <c r="C38" s="107"/>
      <c r="D38" s="17" t="s">
        <v>31</v>
      </c>
      <c r="E38" s="17" t="s">
        <v>25</v>
      </c>
      <c r="F38" s="17" t="s">
        <v>25</v>
      </c>
      <c r="G38" s="18" t="s">
        <v>88</v>
      </c>
      <c r="H38" s="18" t="s">
        <v>82</v>
      </c>
      <c r="I38" s="18">
        <f>'MERCADO TUSD'!$U$35</f>
        <v>23008.194</v>
      </c>
      <c r="J38" s="15"/>
      <c r="L38" s="13">
        <v>0</v>
      </c>
      <c r="M38" s="13">
        <f>IF(AND((+$I$34+$I$35+$I$36+$I$37+$I$38+$I$39+$I$40+$I$41+$I$42+$I$43+$I$44+$I$45+$I$46+$I$47+$I$48+$I$49+$I$50+$I$51+$I$52+$I$53+$I$54+$I$55+$I$56+$I$57+$I$58+$I$59+$I$60+$I$61+$I$62+$I$63+$I$64+$I$65+$I$66+$I$67+$I$68)&lt;&gt;0,SUMPRODUCT($I$5:$I$68,$AC$5:$AC$68,$AP$5:$AP$68)&lt;&gt;0),$M$73*SUMPRODUCT($I$34:$I$68,$AC$34:$AC$68,$AP$34:$AP$68)/SUMPRODUCT($I$5:$I$68,$AC$5:$AC$68,$AP$5:$AP$68)/(+$I$34+$I$35+$I$36+$I$37+$I$38+$I$39+$I$40+$I$41+$I$42+$I$43+$I$44+$I$45+$I$46+$I$47+$I$48+$I$49+$I$50+$I$51+$I$52+$I$53+$I$54+$I$55+$I$56+$I$57+$I$58+$I$59+$I$60+$I$61+$I$62+$I$63+$I$64+$I$65+$I$66+$I$67+$I$68),0)*(1 - CUSTOS!$M$24)</f>
        <v>1.2276670987946332</v>
      </c>
      <c r="N38" s="13">
        <f ca="1">(+M38+O38+R38+U38+V38+W38+X38+Y38+Z38+AA38+AC38+AH38+AI38+AJ38+AK38)*CUSTOS!$M$5</f>
        <v>4.1006417425404962</v>
      </c>
      <c r="O38" s="13">
        <f>1 - CUSTOS!$M$24</f>
        <v>1</v>
      </c>
      <c r="P38" s="13">
        <v>0</v>
      </c>
      <c r="Q38" s="13">
        <v>0</v>
      </c>
      <c r="R38" s="13">
        <v>0</v>
      </c>
      <c r="S38" s="13">
        <f>1 - CUSTOS!$M$24</f>
        <v>1</v>
      </c>
      <c r="T38" s="13"/>
      <c r="U38" s="13">
        <f>TRANSICAO!$U$38*CUSTOS!$T$3</f>
        <v>11.843999999999999</v>
      </c>
      <c r="V38" s="13">
        <f>TRANSICAO!$V$38*CUSTOS!$T$3</f>
        <v>9.0359999999999996</v>
      </c>
      <c r="W38" s="13">
        <f>TRANSICAO!$W$38*CUSTOS!$T$3</f>
        <v>0.9798</v>
      </c>
      <c r="X38" s="13">
        <f>TRANSICAO!$X$38*CUSTOS!$T$3</f>
        <v>0</v>
      </c>
      <c r="Y38" s="13">
        <f>TRANSICAO!$Y$38*CUSTOS!$T$3</f>
        <v>0</v>
      </c>
      <c r="Z38" s="13">
        <f>TRANSICAO!$Z$38*CUSTOS!$T$3</f>
        <v>0</v>
      </c>
      <c r="AA38" s="13">
        <f>TRANSICAO!$AA$38*CUSTOS!$T$3</f>
        <v>0</v>
      </c>
      <c r="AB38" s="13">
        <f>TRANSICAO!$AB$38*CUSTOS!$T$3</f>
        <v>0</v>
      </c>
      <c r="AC38" s="13">
        <f>TRANSICAO!$AC$38*CUSTOS!$T$3</f>
        <v>284.68520000000001</v>
      </c>
      <c r="AD38" s="13">
        <f>TRANSICAO!$AD$38*CUSTOS!$T$3</f>
        <v>0</v>
      </c>
      <c r="AE38" s="13">
        <v>0</v>
      </c>
      <c r="AF38" s="13">
        <v>0</v>
      </c>
      <c r="AG38" s="13"/>
      <c r="AH38" s="13">
        <f>(1 - CUSTOS!$M$24)*23.2014</f>
        <v>23.2014</v>
      </c>
      <c r="AI38" s="13">
        <f>(1 - CUSTOS!$M$24)*23.2014</f>
        <v>23.2014</v>
      </c>
      <c r="AJ38" s="13">
        <f ca="1">$N$83*(1-CUSTOS!$M$24)</f>
        <v>27.444353577627535</v>
      </c>
      <c r="AK38" s="13">
        <f t="shared" ca="1" si="1"/>
        <v>27.444353577627535</v>
      </c>
      <c r="AL38" s="13"/>
      <c r="AM38" s="13"/>
      <c r="AP38" s="13">
        <f>IF((1 - CUSTOS!$M$24)&lt;&gt;0,1/(1 - CUSTOS!$M$24),1)</f>
        <v>1</v>
      </c>
    </row>
    <row r="39" spans="1:42" ht="11.25" customHeight="1" x14ac:dyDescent="0.25">
      <c r="A39" s="107"/>
      <c r="B39" s="107"/>
      <c r="C39" s="107"/>
      <c r="D39" s="17" t="s">
        <v>32</v>
      </c>
      <c r="E39" s="17" t="s">
        <v>25</v>
      </c>
      <c r="F39" s="17" t="s">
        <v>25</v>
      </c>
      <c r="G39" s="18" t="s">
        <v>88</v>
      </c>
      <c r="H39" s="18" t="s">
        <v>82</v>
      </c>
      <c r="I39" s="18">
        <f>'MERCADO TUSD'!$U$36</f>
        <v>43669.588000000003</v>
      </c>
      <c r="J39" s="15"/>
      <c r="L39" s="13">
        <v>0</v>
      </c>
      <c r="M39" s="13">
        <f>IF(AND((+$I$34+$I$35+$I$36+$I$37+$I$38+$I$39+$I$40+$I$41+$I$42+$I$43+$I$44+$I$45+$I$46+$I$47+$I$48+$I$49+$I$50+$I$51+$I$52+$I$53+$I$54+$I$55+$I$56+$I$57+$I$58+$I$59+$I$60+$I$61+$I$62+$I$63+$I$64+$I$65+$I$66+$I$67+$I$68)&lt;&gt;0,SUMPRODUCT($I$5:$I$68,$AC$5:$AC$68,$AP$5:$AP$68)&lt;&gt;0),$M$73*SUMPRODUCT($I$34:$I$68,$AC$34:$AC$68,$AP$34:$AP$68)/SUMPRODUCT($I$5:$I$68,$AC$5:$AC$68,$AP$5:$AP$68)/(+$I$34+$I$35+$I$36+$I$37+$I$38+$I$39+$I$40+$I$41+$I$42+$I$43+$I$44+$I$45+$I$46+$I$47+$I$48+$I$49+$I$50+$I$51+$I$52+$I$53+$I$54+$I$55+$I$56+$I$57+$I$58+$I$59+$I$60+$I$61+$I$62+$I$63+$I$64+$I$65+$I$66+$I$67+$I$68),0)*(1 - CUSTOS!$M$25)</f>
        <v>1.2276670987946332</v>
      </c>
      <c r="N39" s="13">
        <f ca="1">(+M39+O39+R39+U39+V39+W39+X39+Y39+Z39+AA39+AC39+AH39+AI39+AJ39+AK39)*CUSTOS!$M$5</f>
        <v>4.1006417425404962</v>
      </c>
      <c r="O39" s="13">
        <f>1 - CUSTOS!$M$25</f>
        <v>1</v>
      </c>
      <c r="P39" s="13">
        <v>0</v>
      </c>
      <c r="Q39" s="13">
        <v>0</v>
      </c>
      <c r="R39" s="13">
        <v>0</v>
      </c>
      <c r="S39" s="13">
        <f>1 - CUSTOS!$M$25</f>
        <v>1</v>
      </c>
      <c r="T39" s="13"/>
      <c r="U39" s="13">
        <f>TRANSICAO!$U$39*CUSTOS!$T$3</f>
        <v>11.843999999999999</v>
      </c>
      <c r="V39" s="13">
        <f>TRANSICAO!$V$39*CUSTOS!$T$3</f>
        <v>9.0359999999999996</v>
      </c>
      <c r="W39" s="13">
        <f>TRANSICAO!$W$39*CUSTOS!$T$3</f>
        <v>0.9798</v>
      </c>
      <c r="X39" s="13">
        <f>TRANSICAO!$X$39*CUSTOS!$T$3</f>
        <v>0</v>
      </c>
      <c r="Y39" s="13">
        <f>TRANSICAO!$Y$39*CUSTOS!$T$3</f>
        <v>0</v>
      </c>
      <c r="Z39" s="13">
        <f>TRANSICAO!$Z$39*CUSTOS!$T$3</f>
        <v>0</v>
      </c>
      <c r="AA39" s="13">
        <f>TRANSICAO!$AA$39*CUSTOS!$T$3</f>
        <v>0</v>
      </c>
      <c r="AB39" s="13">
        <f>TRANSICAO!$AB$39*CUSTOS!$T$3</f>
        <v>0</v>
      </c>
      <c r="AC39" s="13">
        <f>TRANSICAO!$AC$39*CUSTOS!$T$3</f>
        <v>284.68520000000001</v>
      </c>
      <c r="AD39" s="13">
        <f>TRANSICAO!$AD$39*CUSTOS!$T$3</f>
        <v>0</v>
      </c>
      <c r="AE39" s="13">
        <v>0</v>
      </c>
      <c r="AF39" s="13">
        <v>0</v>
      </c>
      <c r="AG39" s="13"/>
      <c r="AH39" s="13">
        <f>(1 - CUSTOS!$M$25)*23.2014</f>
        <v>23.2014</v>
      </c>
      <c r="AI39" s="13">
        <f>(1 - CUSTOS!$M$25)*23.2014</f>
        <v>23.2014</v>
      </c>
      <c r="AJ39" s="13">
        <f ca="1">$N$83*(1-CUSTOS!$M$25)</f>
        <v>27.444353577627535</v>
      </c>
      <c r="AK39" s="13">
        <f t="shared" ca="1" si="1"/>
        <v>27.444353577627535</v>
      </c>
      <c r="AL39" s="13"/>
      <c r="AM39" s="13"/>
      <c r="AP39" s="13">
        <f>IF((1 - CUSTOS!$M$25)&lt;&gt;0,1/(1 - CUSTOS!$M$25),1)</f>
        <v>1</v>
      </c>
    </row>
    <row r="40" spans="1:42" ht="11.25" customHeight="1" x14ac:dyDescent="0.25">
      <c r="A40" s="107"/>
      <c r="B40" s="107"/>
      <c r="C40" s="107"/>
      <c r="D40" s="17" t="s">
        <v>33</v>
      </c>
      <c r="E40" s="17" t="s">
        <v>25</v>
      </c>
      <c r="F40" s="17" t="s">
        <v>25</v>
      </c>
      <c r="G40" s="18" t="s">
        <v>88</v>
      </c>
      <c r="H40" s="18" t="s">
        <v>82</v>
      </c>
      <c r="I40" s="18">
        <f>'MERCADO TUSD'!$U$37</f>
        <v>35563.447</v>
      </c>
      <c r="J40" s="15"/>
      <c r="L40" s="13">
        <v>0</v>
      </c>
      <c r="M40" s="13">
        <f>IF(AND((+$I$34+$I$35+$I$36+$I$37+$I$38+$I$39+$I$40+$I$41+$I$42+$I$43+$I$44+$I$45+$I$46+$I$47+$I$48+$I$49+$I$50+$I$51+$I$52+$I$53+$I$54+$I$55+$I$56+$I$57+$I$58+$I$59+$I$60+$I$61+$I$62+$I$63+$I$64+$I$65+$I$66+$I$67+$I$68)&lt;&gt;0,SUMPRODUCT($I$5:$I$68,$AC$5:$AC$68,$AP$5:$AP$68)&lt;&gt;0),$M$73*SUMPRODUCT($I$34:$I$68,$AC$34:$AC$68,$AP$34:$AP$68)/SUMPRODUCT($I$5:$I$68,$AC$5:$AC$68,$AP$5:$AP$68)/(+$I$34+$I$35+$I$36+$I$37+$I$38+$I$39+$I$40+$I$41+$I$42+$I$43+$I$44+$I$45+$I$46+$I$47+$I$48+$I$49+$I$50+$I$51+$I$52+$I$53+$I$54+$I$55+$I$56+$I$57+$I$58+$I$59+$I$60+$I$61+$I$62+$I$63+$I$64+$I$65+$I$66+$I$67+$I$68),0)*(1 - CUSTOS!$M$26)</f>
        <v>1.2276670987946332</v>
      </c>
      <c r="N40" s="13">
        <f ca="1">(+M40+O40+R40+U40+V40+W40+X40+Y40+Z40+AA40+AC40+AH40+AI40+AJ40+AK40)*CUSTOS!$M$5</f>
        <v>4.1006417425404962</v>
      </c>
      <c r="O40" s="13">
        <f>1 - CUSTOS!$M$26</f>
        <v>1</v>
      </c>
      <c r="P40" s="13">
        <v>0</v>
      </c>
      <c r="Q40" s="13">
        <v>0</v>
      </c>
      <c r="R40" s="13">
        <v>0</v>
      </c>
      <c r="S40" s="13">
        <f>1 - CUSTOS!$M$26</f>
        <v>1</v>
      </c>
      <c r="T40" s="13"/>
      <c r="U40" s="13">
        <f>TRANSICAO!$U$40*CUSTOS!$T$3</f>
        <v>11.843999999999999</v>
      </c>
      <c r="V40" s="13">
        <f>TRANSICAO!$V$40*CUSTOS!$T$3</f>
        <v>9.0359999999999996</v>
      </c>
      <c r="W40" s="13">
        <f>TRANSICAO!$W$40*CUSTOS!$T$3</f>
        <v>0.9798</v>
      </c>
      <c r="X40" s="13">
        <f>TRANSICAO!$X$40*CUSTOS!$T$3</f>
        <v>0</v>
      </c>
      <c r="Y40" s="13">
        <f>TRANSICAO!$Y$40*CUSTOS!$T$3</f>
        <v>0</v>
      </c>
      <c r="Z40" s="13">
        <f>TRANSICAO!$Z$40*CUSTOS!$T$3</f>
        <v>0</v>
      </c>
      <c r="AA40" s="13">
        <f>TRANSICAO!$AA$40*CUSTOS!$T$3</f>
        <v>0</v>
      </c>
      <c r="AB40" s="13">
        <f>TRANSICAO!$AB$40*CUSTOS!$T$3</f>
        <v>0</v>
      </c>
      <c r="AC40" s="13">
        <f>TRANSICAO!$AC$40*CUSTOS!$T$3</f>
        <v>284.68520000000001</v>
      </c>
      <c r="AD40" s="13">
        <f>TRANSICAO!$AD$40*CUSTOS!$T$3</f>
        <v>0</v>
      </c>
      <c r="AE40" s="13">
        <v>0</v>
      </c>
      <c r="AF40" s="13">
        <v>0</v>
      </c>
      <c r="AG40" s="13"/>
      <c r="AH40" s="13">
        <f>(1 - CUSTOS!$M$26)*23.2014</f>
        <v>23.2014</v>
      </c>
      <c r="AI40" s="13">
        <f>(1 - CUSTOS!$M$26)*23.2014</f>
        <v>23.2014</v>
      </c>
      <c r="AJ40" s="13">
        <f ca="1">$N$83*(1-CUSTOS!$M$26)</f>
        <v>27.444353577627535</v>
      </c>
      <c r="AK40" s="13">
        <f t="shared" ca="1" si="1"/>
        <v>27.444353577627535</v>
      </c>
      <c r="AL40" s="13"/>
      <c r="AM40" s="13"/>
      <c r="AP40" s="13">
        <f>IF((1 - CUSTOS!$M$26)&lt;&gt;0,1/(1 - CUSTOS!$M$26),1)</f>
        <v>1</v>
      </c>
    </row>
    <row r="41" spans="1:42" ht="11.25" customHeight="1" x14ac:dyDescent="0.25">
      <c r="A41" s="107"/>
      <c r="B41" s="107"/>
      <c r="C41" s="107"/>
      <c r="D41" s="17" t="s">
        <v>34</v>
      </c>
      <c r="E41" s="17" t="s">
        <v>25</v>
      </c>
      <c r="F41" s="17" t="s">
        <v>25</v>
      </c>
      <c r="G41" s="18" t="s">
        <v>88</v>
      </c>
      <c r="H41" s="18" t="s">
        <v>82</v>
      </c>
      <c r="I41" s="18">
        <f>'MERCADO TUSD'!$U$38</f>
        <v>18122.502</v>
      </c>
      <c r="J41" s="15"/>
      <c r="L41" s="13">
        <v>0</v>
      </c>
      <c r="M41" s="13">
        <f>IF(AND((+$I$34+$I$35+$I$36+$I$37+$I$38+$I$39+$I$40+$I$41+$I$42+$I$43+$I$44+$I$45+$I$46+$I$47+$I$48+$I$49+$I$50+$I$51+$I$52+$I$53+$I$54+$I$55+$I$56+$I$57+$I$58+$I$59+$I$60+$I$61+$I$62+$I$63+$I$64+$I$65+$I$66+$I$67+$I$68)&lt;&gt;0,SUMPRODUCT($I$5:$I$68,$AC$5:$AC$68,$AP$5:$AP$68)&lt;&gt;0),$M$73*SUMPRODUCT($I$34:$I$68,$AC$34:$AC$68,$AP$34:$AP$68)/SUMPRODUCT($I$5:$I$68,$AC$5:$AC$68,$AP$5:$AP$68)/(+$I$34+$I$35+$I$36+$I$37+$I$38+$I$39+$I$40+$I$41+$I$42+$I$43+$I$44+$I$45+$I$46+$I$47+$I$48+$I$49+$I$50+$I$51+$I$52+$I$53+$I$54+$I$55+$I$56+$I$57+$I$58+$I$59+$I$60+$I$61+$I$62+$I$63+$I$64+$I$65+$I$66+$I$67+$I$68),0)*(1 - CUSTOS!$M$27)</f>
        <v>1.2276670987946332</v>
      </c>
      <c r="N41" s="13">
        <f ca="1">(+M41+O41+R41+U41+V41+W41+X41+Y41+Z41+AA41+AC41+AH41+AI41+AJ41+AK41)*CUSTOS!$M$5</f>
        <v>4.1006417425404962</v>
      </c>
      <c r="O41" s="13">
        <f>1 - CUSTOS!$M$27</f>
        <v>1</v>
      </c>
      <c r="P41" s="13">
        <v>0</v>
      </c>
      <c r="Q41" s="13">
        <v>0</v>
      </c>
      <c r="R41" s="13">
        <v>0</v>
      </c>
      <c r="S41" s="13">
        <f>1 - CUSTOS!$M$27</f>
        <v>1</v>
      </c>
      <c r="T41" s="13"/>
      <c r="U41" s="13">
        <f>TRANSICAO!$U$41*CUSTOS!$T$3</f>
        <v>11.843999999999999</v>
      </c>
      <c r="V41" s="13">
        <f>TRANSICAO!$V$41*CUSTOS!$T$3</f>
        <v>9.0359999999999996</v>
      </c>
      <c r="W41" s="13">
        <f>TRANSICAO!$W$41*CUSTOS!$T$3</f>
        <v>0.9798</v>
      </c>
      <c r="X41" s="13">
        <f>TRANSICAO!$X$41*CUSTOS!$T$3</f>
        <v>0</v>
      </c>
      <c r="Y41" s="13">
        <f>TRANSICAO!$Y$41*CUSTOS!$T$3</f>
        <v>0</v>
      </c>
      <c r="Z41" s="13">
        <f>TRANSICAO!$Z$41*CUSTOS!$T$3</f>
        <v>0</v>
      </c>
      <c r="AA41" s="13">
        <f>TRANSICAO!$AA$41*CUSTOS!$T$3</f>
        <v>0</v>
      </c>
      <c r="AB41" s="13">
        <f>TRANSICAO!$AB$41*CUSTOS!$T$3</f>
        <v>0</v>
      </c>
      <c r="AC41" s="13">
        <f>TRANSICAO!$AC$41*CUSTOS!$T$3</f>
        <v>284.68520000000001</v>
      </c>
      <c r="AD41" s="13">
        <f>TRANSICAO!$AD$41*CUSTOS!$T$3</f>
        <v>0</v>
      </c>
      <c r="AE41" s="13">
        <v>0</v>
      </c>
      <c r="AF41" s="13">
        <v>0</v>
      </c>
      <c r="AG41" s="13"/>
      <c r="AH41" s="13">
        <f>(1 - CUSTOS!$M$27)*23.2014</f>
        <v>23.2014</v>
      </c>
      <c r="AI41" s="13">
        <f>(1 - CUSTOS!$M$27)*23.2014</f>
        <v>23.2014</v>
      </c>
      <c r="AJ41" s="13">
        <f ca="1">$N$83*(1-CUSTOS!$M$27)</f>
        <v>27.444353577627535</v>
      </c>
      <c r="AK41" s="13">
        <f t="shared" ca="1" si="1"/>
        <v>27.444353577627535</v>
      </c>
      <c r="AL41" s="13"/>
      <c r="AM41" s="13"/>
      <c r="AP41" s="13">
        <f>IF((1 - CUSTOS!$M$27)&lt;&gt;0,1/(1 - CUSTOS!$M$27),1)</f>
        <v>1</v>
      </c>
    </row>
    <row r="42" spans="1:42" ht="11.25" customHeight="1" x14ac:dyDescent="0.25">
      <c r="A42" s="107"/>
      <c r="B42" s="107" t="s">
        <v>100</v>
      </c>
      <c r="C42" s="107" t="s">
        <v>24</v>
      </c>
      <c r="D42" s="17" t="s">
        <v>24</v>
      </c>
      <c r="E42" s="17" t="s">
        <v>25</v>
      </c>
      <c r="F42" s="17" t="s">
        <v>25</v>
      </c>
      <c r="G42" s="18" t="s">
        <v>88</v>
      </c>
      <c r="H42" s="18" t="s">
        <v>82</v>
      </c>
      <c r="I42" s="18">
        <f>'MERCADO TUSD'!$U$39</f>
        <v>0</v>
      </c>
      <c r="J42" s="15"/>
      <c r="L42" s="13">
        <f>1</f>
        <v>1</v>
      </c>
      <c r="M42" s="13">
        <f>IF(AND((+$I$34+$I$35+$I$36+$I$37+$I$38+$I$39+$I$40+$I$41+$I$42+$I$43+$I$44+$I$45+$I$46+$I$47+$I$48+$I$49+$I$50+$I$51+$I$52+$I$53+$I$54+$I$55+$I$56+$I$57+$I$58+$I$59+$I$60+$I$61+$I$62+$I$63+$I$64+$I$65+$I$66+$I$67+$I$68)&lt;&gt;0,SUMPRODUCT($I$5:$I$68,$AC$5:$AC$68,$AP$5:$AP$68)&lt;&gt;0),$M$73*SUMPRODUCT($I$34:$I$68,$AC$34:$AC$68,$AP$34:$AP$68)/SUMPRODUCT($I$5:$I$68,$AC$5:$AC$68,$AP$5:$AP$68)/(+$I$34+$I$35+$I$36+$I$37+$I$38+$I$39+$I$40+$I$41+$I$42+$I$43+$I$44+$I$45+$I$46+$I$47+$I$48+$I$49+$I$50+$I$51+$I$52+$I$53+$I$54+$I$55+$I$56+$I$57+$I$58+$I$59+$I$60+$I$61+$I$62+$I$63+$I$64+$I$65+$I$66+$I$67+$I$68),0)</f>
        <v>1.2276670987946332</v>
      </c>
      <c r="N42" s="13">
        <f ca="1">(+M42+O42+R42+U42+V42+W42+X42+Y42+Z42+AA42+AC42+AH42+AI42+AJ42+AK42)*CUSTOS!$M$5</f>
        <v>4.110641742540496</v>
      </c>
      <c r="O42" s="13">
        <v>1</v>
      </c>
      <c r="P42" s="13">
        <v>1</v>
      </c>
      <c r="Q42" s="13">
        <f>1</f>
        <v>1</v>
      </c>
      <c r="R42" s="13">
        <v>1</v>
      </c>
      <c r="S42" s="13">
        <v>1</v>
      </c>
      <c r="T42" s="13"/>
      <c r="U42" s="13">
        <f>TRANSICAO!$U$42*CUSTOS!$T$3</f>
        <v>11.843999999999999</v>
      </c>
      <c r="V42" s="13">
        <f>TRANSICAO!$V$42*CUSTOS!$T$3</f>
        <v>9.0359999999999996</v>
      </c>
      <c r="W42" s="13">
        <f>TRANSICAO!$W$42*CUSTOS!$T$3</f>
        <v>0.9798</v>
      </c>
      <c r="X42" s="13">
        <f>TRANSICAO!$X$42*CUSTOS!$T$3</f>
        <v>0</v>
      </c>
      <c r="Y42" s="13">
        <f>TRANSICAO!$Y$42*CUSTOS!$T$3</f>
        <v>0</v>
      </c>
      <c r="Z42" s="13">
        <f>TRANSICAO!$Z$42*CUSTOS!$T$3</f>
        <v>0</v>
      </c>
      <c r="AA42" s="13">
        <f>TRANSICAO!$AA$42*CUSTOS!$T$3</f>
        <v>0</v>
      </c>
      <c r="AB42" s="13">
        <f>TRANSICAO!$AB$42*CUSTOS!$T$3</f>
        <v>0</v>
      </c>
      <c r="AC42" s="13">
        <f>TRANSICAO!$AC$42*CUSTOS!$T$3</f>
        <v>284.68520000000001</v>
      </c>
      <c r="AD42" s="13">
        <f>TRANSICAO!$AD$42*CUSTOS!$T$3</f>
        <v>0</v>
      </c>
      <c r="AE42" s="13">
        <v>0</v>
      </c>
      <c r="AF42" s="13">
        <v>0</v>
      </c>
      <c r="AG42" s="13"/>
      <c r="AH42" s="13">
        <v>23.2014</v>
      </c>
      <c r="AI42" s="13">
        <v>23.2014</v>
      </c>
      <c r="AJ42" s="13">
        <f ca="1">$N$83</f>
        <v>27.444353577627535</v>
      </c>
      <c r="AK42" s="13">
        <f t="shared" ca="1" si="1"/>
        <v>27.444353577627535</v>
      </c>
      <c r="AL42" s="13"/>
      <c r="AM42" s="13"/>
      <c r="AP42" s="13">
        <v>1</v>
      </c>
    </row>
    <row r="43" spans="1:42" ht="11.25" customHeight="1" x14ac:dyDescent="0.25">
      <c r="A43" s="107"/>
      <c r="B43" s="107"/>
      <c r="C43" s="107"/>
      <c r="D43" s="17" t="s">
        <v>31</v>
      </c>
      <c r="E43" s="17" t="s">
        <v>25</v>
      </c>
      <c r="F43" s="17" t="s">
        <v>25</v>
      </c>
      <c r="G43" s="18" t="s">
        <v>88</v>
      </c>
      <c r="H43" s="18" t="s">
        <v>82</v>
      </c>
      <c r="I43" s="18">
        <f>'MERCADO TUSD'!$U$40</f>
        <v>0</v>
      </c>
      <c r="J43" s="15"/>
      <c r="L43" s="13">
        <v>0</v>
      </c>
      <c r="M43" s="13">
        <f>IF(AND((+$I$34+$I$35+$I$36+$I$37+$I$38+$I$39+$I$40+$I$41+$I$42+$I$43+$I$44+$I$45+$I$46+$I$47+$I$48+$I$49+$I$50+$I$51+$I$52+$I$53+$I$54+$I$55+$I$56+$I$57+$I$58+$I$59+$I$60+$I$61+$I$62+$I$63+$I$64+$I$65+$I$66+$I$67+$I$68)&lt;&gt;0,SUMPRODUCT($I$5:$I$68,$AC$5:$AC$68,$AP$5:$AP$68)&lt;&gt;0),$M$73*SUMPRODUCT($I$34:$I$68,$AC$34:$AC$68,$AP$34:$AP$68)/SUMPRODUCT($I$5:$I$68,$AC$5:$AC$68,$AP$5:$AP$68)/(+$I$34+$I$35+$I$36+$I$37+$I$38+$I$39+$I$40+$I$41+$I$42+$I$43+$I$44+$I$45+$I$46+$I$47+$I$48+$I$49+$I$50+$I$51+$I$52+$I$53+$I$54+$I$55+$I$56+$I$57+$I$58+$I$59+$I$60+$I$61+$I$62+$I$63+$I$64+$I$65+$I$66+$I$67+$I$68),0)*(1 - CUSTOS!$M$24)</f>
        <v>1.2276670987946332</v>
      </c>
      <c r="N43" s="13">
        <f ca="1">(+M43+O43+R43+U43+V43+W43+X43+Y43+Z43+AA43+AC43+AH43+AI43+AJ43+AK43)*CUSTOS!$M$5</f>
        <v>4.1006417425404962</v>
      </c>
      <c r="O43" s="13">
        <f>1 - CUSTOS!$M$24</f>
        <v>1</v>
      </c>
      <c r="P43" s="13">
        <v>0</v>
      </c>
      <c r="Q43" s="13">
        <v>0</v>
      </c>
      <c r="R43" s="13">
        <v>0</v>
      </c>
      <c r="S43" s="13">
        <f>1 - CUSTOS!$M$24</f>
        <v>1</v>
      </c>
      <c r="T43" s="13"/>
      <c r="U43" s="13">
        <f>TRANSICAO!$U$43*CUSTOS!$T$3</f>
        <v>11.843999999999999</v>
      </c>
      <c r="V43" s="13">
        <f>TRANSICAO!$V$43*CUSTOS!$T$3</f>
        <v>9.0359999999999996</v>
      </c>
      <c r="W43" s="13">
        <f>TRANSICAO!$W$43*CUSTOS!$T$3</f>
        <v>0.9798</v>
      </c>
      <c r="X43" s="13">
        <f>TRANSICAO!$X$43*CUSTOS!$T$3</f>
        <v>0</v>
      </c>
      <c r="Y43" s="13">
        <f>TRANSICAO!$Y$43*CUSTOS!$T$3</f>
        <v>0</v>
      </c>
      <c r="Z43" s="13">
        <f>TRANSICAO!$Z$43*CUSTOS!$T$3</f>
        <v>0</v>
      </c>
      <c r="AA43" s="13">
        <f>TRANSICAO!$AA$43*CUSTOS!$T$3</f>
        <v>0</v>
      </c>
      <c r="AB43" s="13">
        <f>TRANSICAO!$AB$43*CUSTOS!$T$3</f>
        <v>0</v>
      </c>
      <c r="AC43" s="13">
        <f>TRANSICAO!$AC$43*CUSTOS!$T$3</f>
        <v>284.68520000000001</v>
      </c>
      <c r="AD43" s="13">
        <f>TRANSICAO!$AD$43*CUSTOS!$T$3</f>
        <v>0</v>
      </c>
      <c r="AE43" s="13">
        <v>0</v>
      </c>
      <c r="AF43" s="13">
        <v>0</v>
      </c>
      <c r="AG43" s="13"/>
      <c r="AH43" s="13">
        <f>(1 - CUSTOS!$M$24)*23.2014</f>
        <v>23.2014</v>
      </c>
      <c r="AI43" s="13">
        <f>(1 - CUSTOS!$M$24)*23.2014</f>
        <v>23.2014</v>
      </c>
      <c r="AJ43" s="13">
        <f ca="1">$N$83*(1-CUSTOS!$M$24)</f>
        <v>27.444353577627535</v>
      </c>
      <c r="AK43" s="13">
        <f t="shared" ca="1" si="1"/>
        <v>27.444353577627535</v>
      </c>
      <c r="AL43" s="13"/>
      <c r="AM43" s="13"/>
      <c r="AP43" s="13">
        <f>IF((1 - CUSTOS!$M$24)&lt;&gt;0,1/(1 - CUSTOS!$M$24),1)</f>
        <v>1</v>
      </c>
    </row>
    <row r="44" spans="1:42" ht="11.25" customHeight="1" x14ac:dyDescent="0.25">
      <c r="A44" s="107"/>
      <c r="B44" s="107"/>
      <c r="C44" s="107"/>
      <c r="D44" s="17" t="s">
        <v>32</v>
      </c>
      <c r="E44" s="17" t="s">
        <v>25</v>
      </c>
      <c r="F44" s="17" t="s">
        <v>25</v>
      </c>
      <c r="G44" s="18" t="s">
        <v>88</v>
      </c>
      <c r="H44" s="18" t="s">
        <v>82</v>
      </c>
      <c r="I44" s="18">
        <f>'MERCADO TUSD'!$U$41</f>
        <v>0</v>
      </c>
      <c r="J44" s="15"/>
      <c r="L44" s="13">
        <v>0</v>
      </c>
      <c r="M44" s="13">
        <f>IF(AND((+$I$34+$I$35+$I$36+$I$37+$I$38+$I$39+$I$40+$I$41+$I$42+$I$43+$I$44+$I$45+$I$46+$I$47+$I$48+$I$49+$I$50+$I$51+$I$52+$I$53+$I$54+$I$55+$I$56+$I$57+$I$58+$I$59+$I$60+$I$61+$I$62+$I$63+$I$64+$I$65+$I$66+$I$67+$I$68)&lt;&gt;0,SUMPRODUCT($I$5:$I$68,$AC$5:$AC$68,$AP$5:$AP$68)&lt;&gt;0),$M$73*SUMPRODUCT($I$34:$I$68,$AC$34:$AC$68,$AP$34:$AP$68)/SUMPRODUCT($I$5:$I$68,$AC$5:$AC$68,$AP$5:$AP$68)/(+$I$34+$I$35+$I$36+$I$37+$I$38+$I$39+$I$40+$I$41+$I$42+$I$43+$I$44+$I$45+$I$46+$I$47+$I$48+$I$49+$I$50+$I$51+$I$52+$I$53+$I$54+$I$55+$I$56+$I$57+$I$58+$I$59+$I$60+$I$61+$I$62+$I$63+$I$64+$I$65+$I$66+$I$67+$I$68),0)*(1 - CUSTOS!$M$25)</f>
        <v>1.2276670987946332</v>
      </c>
      <c r="N44" s="13">
        <f ca="1">(+M44+O44+R44+U44+V44+W44+X44+Y44+Z44+AA44+AC44+AH44+AI44+AJ44+AK44)*CUSTOS!$M$5</f>
        <v>4.1006417425404962</v>
      </c>
      <c r="O44" s="13">
        <f>1 - CUSTOS!$M$25</f>
        <v>1</v>
      </c>
      <c r="P44" s="13">
        <v>0</v>
      </c>
      <c r="Q44" s="13">
        <v>0</v>
      </c>
      <c r="R44" s="13">
        <v>0</v>
      </c>
      <c r="S44" s="13">
        <f>1 - CUSTOS!$M$25</f>
        <v>1</v>
      </c>
      <c r="T44" s="13"/>
      <c r="U44" s="13">
        <f>TRANSICAO!$U$44*CUSTOS!$T$3</f>
        <v>11.843999999999999</v>
      </c>
      <c r="V44" s="13">
        <f>TRANSICAO!$V$44*CUSTOS!$T$3</f>
        <v>9.0359999999999996</v>
      </c>
      <c r="W44" s="13">
        <f>TRANSICAO!$W$44*CUSTOS!$T$3</f>
        <v>0.9798</v>
      </c>
      <c r="X44" s="13">
        <f>TRANSICAO!$X$44*CUSTOS!$T$3</f>
        <v>0</v>
      </c>
      <c r="Y44" s="13">
        <f>TRANSICAO!$Y$44*CUSTOS!$T$3</f>
        <v>0</v>
      </c>
      <c r="Z44" s="13">
        <f>TRANSICAO!$Z$44*CUSTOS!$T$3</f>
        <v>0</v>
      </c>
      <c r="AA44" s="13">
        <f>TRANSICAO!$AA$44*CUSTOS!$T$3</f>
        <v>0</v>
      </c>
      <c r="AB44" s="13">
        <f>TRANSICAO!$AB$44*CUSTOS!$T$3</f>
        <v>0</v>
      </c>
      <c r="AC44" s="13">
        <f>TRANSICAO!$AC$44*CUSTOS!$T$3</f>
        <v>284.68520000000001</v>
      </c>
      <c r="AD44" s="13">
        <f>TRANSICAO!$AD$44*CUSTOS!$T$3</f>
        <v>0</v>
      </c>
      <c r="AE44" s="13">
        <v>0</v>
      </c>
      <c r="AF44" s="13">
        <v>0</v>
      </c>
      <c r="AG44" s="13"/>
      <c r="AH44" s="13">
        <f>(1 - CUSTOS!$M$25)*23.2014</f>
        <v>23.2014</v>
      </c>
      <c r="AI44" s="13">
        <f>(1 - CUSTOS!$M$25)*23.2014</f>
        <v>23.2014</v>
      </c>
      <c r="AJ44" s="13">
        <f ca="1">$N$83*(1-CUSTOS!$M$25)</f>
        <v>27.444353577627535</v>
      </c>
      <c r="AK44" s="13">
        <f t="shared" ca="1" si="1"/>
        <v>27.444353577627535</v>
      </c>
      <c r="AL44" s="13"/>
      <c r="AM44" s="13"/>
      <c r="AP44" s="13">
        <f>IF((1 - CUSTOS!$M$25)&lt;&gt;0,1/(1 - CUSTOS!$M$25),1)</f>
        <v>1</v>
      </c>
    </row>
    <row r="45" spans="1:42" ht="11.25" customHeight="1" x14ac:dyDescent="0.25">
      <c r="A45" s="107"/>
      <c r="B45" s="107"/>
      <c r="C45" s="107"/>
      <c r="D45" s="17" t="s">
        <v>33</v>
      </c>
      <c r="E45" s="17" t="s">
        <v>25</v>
      </c>
      <c r="F45" s="17" t="s">
        <v>25</v>
      </c>
      <c r="G45" s="18" t="s">
        <v>88</v>
      </c>
      <c r="H45" s="18" t="s">
        <v>82</v>
      </c>
      <c r="I45" s="18">
        <f>'MERCADO TUSD'!$U$42</f>
        <v>0</v>
      </c>
      <c r="J45" s="15"/>
      <c r="L45" s="13">
        <v>0</v>
      </c>
      <c r="M45" s="13">
        <f>IF(AND((+$I$34+$I$35+$I$36+$I$37+$I$38+$I$39+$I$40+$I$41+$I$42+$I$43+$I$44+$I$45+$I$46+$I$47+$I$48+$I$49+$I$50+$I$51+$I$52+$I$53+$I$54+$I$55+$I$56+$I$57+$I$58+$I$59+$I$60+$I$61+$I$62+$I$63+$I$64+$I$65+$I$66+$I$67+$I$68)&lt;&gt;0,SUMPRODUCT($I$5:$I$68,$AC$5:$AC$68,$AP$5:$AP$68)&lt;&gt;0),$M$73*SUMPRODUCT($I$34:$I$68,$AC$34:$AC$68,$AP$34:$AP$68)/SUMPRODUCT($I$5:$I$68,$AC$5:$AC$68,$AP$5:$AP$68)/(+$I$34+$I$35+$I$36+$I$37+$I$38+$I$39+$I$40+$I$41+$I$42+$I$43+$I$44+$I$45+$I$46+$I$47+$I$48+$I$49+$I$50+$I$51+$I$52+$I$53+$I$54+$I$55+$I$56+$I$57+$I$58+$I$59+$I$60+$I$61+$I$62+$I$63+$I$64+$I$65+$I$66+$I$67+$I$68),0)*(1 - CUSTOS!$M$26)</f>
        <v>1.2276670987946332</v>
      </c>
      <c r="N45" s="13">
        <f ca="1">(+M45+O45+R45+U45+V45+W45+X45+Y45+Z45+AA45+AC45+AH45+AI45+AJ45+AK45)*CUSTOS!$M$5</f>
        <v>4.1006417425404962</v>
      </c>
      <c r="O45" s="13">
        <f>1 - CUSTOS!$M$26</f>
        <v>1</v>
      </c>
      <c r="P45" s="13">
        <v>0</v>
      </c>
      <c r="Q45" s="13">
        <v>0</v>
      </c>
      <c r="R45" s="13">
        <v>0</v>
      </c>
      <c r="S45" s="13">
        <f>1 - CUSTOS!$M$26</f>
        <v>1</v>
      </c>
      <c r="T45" s="13"/>
      <c r="U45" s="13">
        <f>TRANSICAO!$U$45*CUSTOS!$T$3</f>
        <v>11.843999999999999</v>
      </c>
      <c r="V45" s="13">
        <f>TRANSICAO!$V$45*CUSTOS!$T$3</f>
        <v>9.0359999999999996</v>
      </c>
      <c r="W45" s="13">
        <f>TRANSICAO!$W$45*CUSTOS!$T$3</f>
        <v>0.9798</v>
      </c>
      <c r="X45" s="13">
        <f>TRANSICAO!$X$45*CUSTOS!$T$3</f>
        <v>0</v>
      </c>
      <c r="Y45" s="13">
        <f>TRANSICAO!$Y$45*CUSTOS!$T$3</f>
        <v>0</v>
      </c>
      <c r="Z45" s="13">
        <f>TRANSICAO!$Z$45*CUSTOS!$T$3</f>
        <v>0</v>
      </c>
      <c r="AA45" s="13">
        <f>TRANSICAO!$AA$45*CUSTOS!$T$3</f>
        <v>0</v>
      </c>
      <c r="AB45" s="13">
        <f>TRANSICAO!$AB$45*CUSTOS!$T$3</f>
        <v>0</v>
      </c>
      <c r="AC45" s="13">
        <f>TRANSICAO!$AC$45*CUSTOS!$T$3</f>
        <v>284.68520000000001</v>
      </c>
      <c r="AD45" s="13">
        <f>TRANSICAO!$AD$45*CUSTOS!$T$3</f>
        <v>0</v>
      </c>
      <c r="AE45" s="13">
        <v>0</v>
      </c>
      <c r="AF45" s="13">
        <v>0</v>
      </c>
      <c r="AG45" s="13"/>
      <c r="AH45" s="13">
        <f>(1 - CUSTOS!$M$26)*23.2014</f>
        <v>23.2014</v>
      </c>
      <c r="AI45" s="13">
        <f>(1 - CUSTOS!$M$26)*23.2014</f>
        <v>23.2014</v>
      </c>
      <c r="AJ45" s="13">
        <f ca="1">$N$83*(1-CUSTOS!$M$26)</f>
        <v>27.444353577627535</v>
      </c>
      <c r="AK45" s="13">
        <f t="shared" ca="1" si="1"/>
        <v>27.444353577627535</v>
      </c>
      <c r="AL45" s="13"/>
      <c r="AM45" s="13"/>
      <c r="AP45" s="13">
        <f>IF((1 - CUSTOS!$M$26)&lt;&gt;0,1/(1 - CUSTOS!$M$26),1)</f>
        <v>1</v>
      </c>
    </row>
    <row r="46" spans="1:42" ht="11.25" customHeight="1" x14ac:dyDescent="0.25">
      <c r="A46" s="107"/>
      <c r="B46" s="107"/>
      <c r="C46" s="107"/>
      <c r="D46" s="17" t="s">
        <v>34</v>
      </c>
      <c r="E46" s="17" t="s">
        <v>25</v>
      </c>
      <c r="F46" s="17" t="s">
        <v>25</v>
      </c>
      <c r="G46" s="18" t="s">
        <v>88</v>
      </c>
      <c r="H46" s="18" t="s">
        <v>82</v>
      </c>
      <c r="I46" s="18">
        <f>'MERCADO TUSD'!$U$43</f>
        <v>0</v>
      </c>
      <c r="J46" s="15"/>
      <c r="L46" s="13">
        <v>0</v>
      </c>
      <c r="M46" s="13">
        <f>IF(AND((+$I$34+$I$35+$I$36+$I$37+$I$38+$I$39+$I$40+$I$41+$I$42+$I$43+$I$44+$I$45+$I$46+$I$47+$I$48+$I$49+$I$50+$I$51+$I$52+$I$53+$I$54+$I$55+$I$56+$I$57+$I$58+$I$59+$I$60+$I$61+$I$62+$I$63+$I$64+$I$65+$I$66+$I$67+$I$68)&lt;&gt;0,SUMPRODUCT($I$5:$I$68,$AC$5:$AC$68,$AP$5:$AP$68)&lt;&gt;0),$M$73*SUMPRODUCT($I$34:$I$68,$AC$34:$AC$68,$AP$34:$AP$68)/SUMPRODUCT($I$5:$I$68,$AC$5:$AC$68,$AP$5:$AP$68)/(+$I$34+$I$35+$I$36+$I$37+$I$38+$I$39+$I$40+$I$41+$I$42+$I$43+$I$44+$I$45+$I$46+$I$47+$I$48+$I$49+$I$50+$I$51+$I$52+$I$53+$I$54+$I$55+$I$56+$I$57+$I$58+$I$59+$I$60+$I$61+$I$62+$I$63+$I$64+$I$65+$I$66+$I$67+$I$68),0)*(1 - CUSTOS!$M$27)</f>
        <v>1.2276670987946332</v>
      </c>
      <c r="N46" s="13">
        <f ca="1">(+M46+O46+R46+U46+V46+W46+X46+Y46+Z46+AA46+AC46+AH46+AI46+AJ46+AK46)*CUSTOS!$M$5</f>
        <v>4.1006417425404962</v>
      </c>
      <c r="O46" s="13">
        <f>1 - CUSTOS!$M$27</f>
        <v>1</v>
      </c>
      <c r="P46" s="13">
        <v>0</v>
      </c>
      <c r="Q46" s="13">
        <v>0</v>
      </c>
      <c r="R46" s="13">
        <v>0</v>
      </c>
      <c r="S46" s="13">
        <f>1 - CUSTOS!$M$27</f>
        <v>1</v>
      </c>
      <c r="T46" s="13"/>
      <c r="U46" s="13">
        <f>TRANSICAO!$U$46*CUSTOS!$T$3</f>
        <v>11.843999999999999</v>
      </c>
      <c r="V46" s="13">
        <f>TRANSICAO!$V$46*CUSTOS!$T$3</f>
        <v>9.0359999999999996</v>
      </c>
      <c r="W46" s="13">
        <f>TRANSICAO!$W$46*CUSTOS!$T$3</f>
        <v>0.9798</v>
      </c>
      <c r="X46" s="13">
        <f>TRANSICAO!$X$46*CUSTOS!$T$3</f>
        <v>0</v>
      </c>
      <c r="Y46" s="13">
        <f>TRANSICAO!$Y$46*CUSTOS!$T$3</f>
        <v>0</v>
      </c>
      <c r="Z46" s="13">
        <f>TRANSICAO!$Z$46*CUSTOS!$T$3</f>
        <v>0</v>
      </c>
      <c r="AA46" s="13">
        <f>TRANSICAO!$AA$46*CUSTOS!$T$3</f>
        <v>0</v>
      </c>
      <c r="AB46" s="13">
        <f>TRANSICAO!$AB$46*CUSTOS!$T$3</f>
        <v>0</v>
      </c>
      <c r="AC46" s="13">
        <f>TRANSICAO!$AC$46*CUSTOS!$T$3</f>
        <v>284.68520000000001</v>
      </c>
      <c r="AD46" s="13">
        <f>TRANSICAO!$AD$46*CUSTOS!$T$3</f>
        <v>0</v>
      </c>
      <c r="AE46" s="13">
        <v>0</v>
      </c>
      <c r="AF46" s="13">
        <v>0</v>
      </c>
      <c r="AG46" s="13"/>
      <c r="AH46" s="13">
        <f>(1 - CUSTOS!$M$27)*23.2014</f>
        <v>23.2014</v>
      </c>
      <c r="AI46" s="13">
        <f>(1 - CUSTOS!$M$27)*23.2014</f>
        <v>23.2014</v>
      </c>
      <c r="AJ46" s="13">
        <f ca="1">$N$83*(1-CUSTOS!$M$27)</f>
        <v>27.444353577627535</v>
      </c>
      <c r="AK46" s="13">
        <f t="shared" ca="1" si="1"/>
        <v>27.444353577627535</v>
      </c>
      <c r="AL46" s="13"/>
      <c r="AM46" s="13"/>
      <c r="AP46" s="13">
        <f>IF((1 - CUSTOS!$M$27)&lt;&gt;0,1/(1 - CUSTOS!$M$27),1)</f>
        <v>1</v>
      </c>
    </row>
    <row r="47" spans="1:42" ht="11.25" customHeight="1" x14ac:dyDescent="0.25">
      <c r="A47" s="107" t="s">
        <v>46</v>
      </c>
      <c r="B47" s="107" t="s">
        <v>35</v>
      </c>
      <c r="C47" s="107" t="s">
        <v>47</v>
      </c>
      <c r="D47" s="107" t="s">
        <v>25</v>
      </c>
      <c r="E47" s="107" t="s">
        <v>25</v>
      </c>
      <c r="F47" s="107" t="s">
        <v>25</v>
      </c>
      <c r="G47" s="18" t="s">
        <v>83</v>
      </c>
      <c r="H47" s="18" t="s">
        <v>82</v>
      </c>
      <c r="I47" s="18">
        <f>'MERCADO TUSD'!$U$44</f>
        <v>3.4330000000000007</v>
      </c>
      <c r="J47" s="15"/>
      <c r="L47" s="13">
        <f>1*(1 - CUSTOS!$M$28)</f>
        <v>1</v>
      </c>
      <c r="M47" s="13">
        <f>IF(AND((+$I$34+$I$35+$I$36+$I$37+$I$38+$I$39+$I$40+$I$41+$I$42+$I$43+$I$44+$I$45+$I$46+$I$47+$I$48+$I$49+$I$50+$I$51+$I$52+$I$53+$I$54+$I$55+$I$56+$I$57+$I$58+$I$59+$I$60+$I$61+$I$62+$I$63+$I$64+$I$65+$I$66+$I$67+$I$68)&lt;&gt;0,SUMPRODUCT($I$5:$I$68,$AC$5:$AC$68,$AP$5:$AP$68)&lt;&gt;0),$M$73*SUMPRODUCT($I$34:$I$68,$AC$34:$AC$68,$AP$34:$AP$68)/SUMPRODUCT($I$5:$I$68,$AC$5:$AC$68,$AP$5:$AP$68)/(+$I$34+$I$35+$I$36+$I$37+$I$38+$I$39+$I$40+$I$41+$I$42+$I$43+$I$44+$I$45+$I$46+$I$47+$I$48+$I$49+$I$50+$I$51+$I$52+$I$53+$I$54+$I$55+$I$56+$I$57+$I$58+$I$59+$I$60+$I$61+$I$62+$I$63+$I$64+$I$65+$I$66+$I$67+$I$68),0)*(1 - CUSTOS!$M$28)</f>
        <v>1.2276670987946332</v>
      </c>
      <c r="N47" s="13">
        <f ca="1">(+M47+O47+R47+U47+V47+W47+X47+Y47+Z47+AA47+AC47+AH47+AI47+AJ47+AK47)*CUSTOS!$M$5</f>
        <v>10.394810742540498</v>
      </c>
      <c r="O47" s="13">
        <f>1 - CUSTOS!$M$28</f>
        <v>1</v>
      </c>
      <c r="P47" s="13">
        <f>1 - CUSTOS!$M$28</f>
        <v>1</v>
      </c>
      <c r="Q47" s="13">
        <f>1*(1 - CUSTOS!$M$28)</f>
        <v>1</v>
      </c>
      <c r="R47" s="13">
        <f>1 - CUSTOS!$M$28</f>
        <v>1</v>
      </c>
      <c r="S47" s="13">
        <f>1 - CUSTOS!$M$28</f>
        <v>1</v>
      </c>
      <c r="T47" s="13"/>
      <c r="U47" s="13">
        <f>TRANSICAO!$U$47*CUSTOS!$T$3</f>
        <v>36.124099999999999</v>
      </c>
      <c r="V47" s="13">
        <f>TRANSICAO!$V$47*CUSTOS!$T$3</f>
        <v>27.559699999999999</v>
      </c>
      <c r="W47" s="13">
        <f>TRANSICAO!$W$47*CUSTOS!$T$3</f>
        <v>2.9882</v>
      </c>
      <c r="X47" s="13">
        <f>TRANSICAO!$X$47*CUSTOS!$T$3</f>
        <v>0</v>
      </c>
      <c r="Y47" s="13">
        <f>TRANSICAO!$Y$47*CUSTOS!$T$3</f>
        <v>0</v>
      </c>
      <c r="Z47" s="13">
        <f>TRANSICAO!$Z$47*CUSTOS!$T$3</f>
        <v>0</v>
      </c>
      <c r="AA47" s="13">
        <f>TRANSICAO!$AA$47*CUSTOS!$T$3</f>
        <v>0</v>
      </c>
      <c r="AB47" s="13">
        <f>TRANSICAO!$AB$47*CUSTOS!$T$3</f>
        <v>0</v>
      </c>
      <c r="AC47" s="13">
        <f>TRANSICAO!$AC$47*CUSTOS!$T$3</f>
        <v>868.28989999999999</v>
      </c>
      <c r="AD47" s="13">
        <f>TRANSICAO!$AD$47*CUSTOS!$T$3</f>
        <v>0</v>
      </c>
      <c r="AE47" s="13">
        <v>0</v>
      </c>
      <c r="AF47" s="13">
        <v>0</v>
      </c>
      <c r="AG47" s="13"/>
      <c r="AH47" s="13">
        <f>(1 - CUSTOS!$M$28)*23.2014</f>
        <v>23.2014</v>
      </c>
      <c r="AI47" s="13">
        <f>(1 - CUSTOS!$M$28)*23.2014</f>
        <v>23.2014</v>
      </c>
      <c r="AJ47" s="13">
        <f ca="1">$N$83*(1-CUSTOS!$M$28)</f>
        <v>27.444353577627535</v>
      </c>
      <c r="AK47" s="13">
        <f t="shared" ca="1" si="1"/>
        <v>27.444353577627535</v>
      </c>
      <c r="AL47" s="13"/>
      <c r="AM47" s="13"/>
      <c r="AP47" s="13">
        <f>IF((1 - CUSTOS!$M$28)&lt;&gt;0,1/(1 - CUSTOS!$M$28),1)</f>
        <v>1</v>
      </c>
    </row>
    <row r="48" spans="1:42" ht="11.25" customHeight="1" x14ac:dyDescent="0.25">
      <c r="A48" s="107"/>
      <c r="B48" s="107"/>
      <c r="C48" s="107"/>
      <c r="D48" s="107"/>
      <c r="E48" s="107"/>
      <c r="F48" s="107"/>
      <c r="G48" s="18" t="s">
        <v>98</v>
      </c>
      <c r="H48" s="18" t="s">
        <v>82</v>
      </c>
      <c r="I48" s="18">
        <f>'MERCADO TUSD'!$U$45</f>
        <v>0.54699999999999993</v>
      </c>
      <c r="J48" s="15"/>
      <c r="L48" s="13">
        <f>1*(1 - CUSTOS!$M$28)</f>
        <v>1</v>
      </c>
      <c r="M48" s="13">
        <f>IF(AND((+$I$34+$I$35+$I$36+$I$37+$I$38+$I$39+$I$40+$I$41+$I$42+$I$43+$I$44+$I$45+$I$46+$I$47+$I$48+$I$49+$I$50+$I$51+$I$52+$I$53+$I$54+$I$55+$I$56+$I$57+$I$58+$I$59+$I$60+$I$61+$I$62+$I$63+$I$64+$I$65+$I$66+$I$67+$I$68)&lt;&gt;0,SUMPRODUCT($I$5:$I$68,$AC$5:$AC$68,$AP$5:$AP$68)&lt;&gt;0),$M$73*SUMPRODUCT($I$34:$I$68,$AC$34:$AC$68,$AP$34:$AP$68)/SUMPRODUCT($I$5:$I$68,$AC$5:$AC$68,$AP$5:$AP$68)/(+$I$34+$I$35+$I$36+$I$37+$I$38+$I$39+$I$40+$I$41+$I$42+$I$43+$I$44+$I$45+$I$46+$I$47+$I$48+$I$49+$I$50+$I$51+$I$52+$I$53+$I$54+$I$55+$I$56+$I$57+$I$58+$I$59+$I$60+$I$61+$I$62+$I$63+$I$64+$I$65+$I$66+$I$67+$I$68),0)*(1 - CUSTOS!$M$28)</f>
        <v>1.2276670987946332</v>
      </c>
      <c r="N48" s="13">
        <f ca="1">(+M48+O48+R48+U48+V48+W48+X48+Y48+Z48+AA48+AC48+AH48+AI48+AJ48+AK48)*CUSTOS!$M$5</f>
        <v>6.6549627425404978</v>
      </c>
      <c r="O48" s="13">
        <f>1 - CUSTOS!$M$28</f>
        <v>1</v>
      </c>
      <c r="P48" s="13">
        <f>1 - CUSTOS!$M$28</f>
        <v>1</v>
      </c>
      <c r="Q48" s="13">
        <f>1*(1 - CUSTOS!$M$28)</f>
        <v>1</v>
      </c>
      <c r="R48" s="13">
        <f>1 - CUSTOS!$M$28</f>
        <v>1</v>
      </c>
      <c r="S48" s="13">
        <f>1 - CUSTOS!$M$28</f>
        <v>1</v>
      </c>
      <c r="T48" s="13"/>
      <c r="U48" s="13">
        <f>TRANSICAO!$U$48*CUSTOS!$T$3</f>
        <v>21.674499999999998</v>
      </c>
      <c r="V48" s="13">
        <f>TRANSICAO!$V$48*CUSTOS!$T$3</f>
        <v>16.535799999999998</v>
      </c>
      <c r="W48" s="13">
        <f>TRANSICAO!$W$48*CUSTOS!$T$3</f>
        <v>1.7928999999999999</v>
      </c>
      <c r="X48" s="13">
        <f>TRANSICAO!$X$48*CUSTOS!$T$3</f>
        <v>0</v>
      </c>
      <c r="Y48" s="13">
        <f>TRANSICAO!$Y$48*CUSTOS!$T$3</f>
        <v>0</v>
      </c>
      <c r="Z48" s="13">
        <f>TRANSICAO!$Z$48*CUSTOS!$T$3</f>
        <v>0</v>
      </c>
      <c r="AA48" s="13">
        <f>TRANSICAO!$AA$48*CUSTOS!$T$3</f>
        <v>0</v>
      </c>
      <c r="AB48" s="13">
        <f>TRANSICAO!$AB$48*CUSTOS!$T$3</f>
        <v>0</v>
      </c>
      <c r="AC48" s="13">
        <f>TRANSICAO!$AC$48*CUSTOS!$T$3</f>
        <v>520.97389999999996</v>
      </c>
      <c r="AD48" s="13">
        <f>TRANSICAO!$AD$48*CUSTOS!$T$3</f>
        <v>0</v>
      </c>
      <c r="AE48" s="13">
        <v>0</v>
      </c>
      <c r="AF48" s="13">
        <v>0</v>
      </c>
      <c r="AG48" s="13"/>
      <c r="AH48" s="13">
        <f>(1 - CUSTOS!$M$28)*23.2014</f>
        <v>23.2014</v>
      </c>
      <c r="AI48" s="13">
        <f>(1 - CUSTOS!$M$28)*23.2014</f>
        <v>23.2014</v>
      </c>
      <c r="AJ48" s="13">
        <f ca="1">$N$83*(1-CUSTOS!$M$28)</f>
        <v>27.444353577627535</v>
      </c>
      <c r="AK48" s="13">
        <f t="shared" ca="1" si="1"/>
        <v>27.444353577627535</v>
      </c>
      <c r="AL48" s="13"/>
      <c r="AM48" s="13"/>
      <c r="AP48" s="13">
        <f>IF((1 - CUSTOS!$M$28)&lt;&gt;0,1/(1 - CUSTOS!$M$28),1)</f>
        <v>1</v>
      </c>
    </row>
    <row r="49" spans="1:42" ht="11.25" customHeight="1" x14ac:dyDescent="0.25">
      <c r="A49" s="107"/>
      <c r="B49" s="107"/>
      <c r="C49" s="107"/>
      <c r="D49" s="107"/>
      <c r="E49" s="107"/>
      <c r="F49" s="107"/>
      <c r="G49" s="18" t="s">
        <v>84</v>
      </c>
      <c r="H49" s="18" t="s">
        <v>82</v>
      </c>
      <c r="I49" s="18">
        <f>'MERCADO TUSD'!$U$46</f>
        <v>73.387</v>
      </c>
      <c r="J49" s="15"/>
      <c r="L49" s="13">
        <f>1*(1 - CUSTOS!$M$28)</f>
        <v>1</v>
      </c>
      <c r="M49" s="13">
        <f>IF(AND((+$I$34+$I$35+$I$36+$I$37+$I$38+$I$39+$I$40+$I$41+$I$42+$I$43+$I$44+$I$45+$I$46+$I$47+$I$48+$I$49+$I$50+$I$51+$I$52+$I$53+$I$54+$I$55+$I$56+$I$57+$I$58+$I$59+$I$60+$I$61+$I$62+$I$63+$I$64+$I$65+$I$66+$I$67+$I$68)&lt;&gt;0,SUMPRODUCT($I$5:$I$68,$AC$5:$AC$68,$AP$5:$AP$68)&lt;&gt;0),$M$73*SUMPRODUCT($I$34:$I$68,$AC$34:$AC$68,$AP$34:$AP$68)/SUMPRODUCT($I$5:$I$68,$AC$5:$AC$68,$AP$5:$AP$68)/(+$I$34+$I$35+$I$36+$I$37+$I$38+$I$39+$I$40+$I$41+$I$42+$I$43+$I$44+$I$45+$I$46+$I$47+$I$48+$I$49+$I$50+$I$51+$I$52+$I$53+$I$54+$I$55+$I$56+$I$57+$I$58+$I$59+$I$60+$I$61+$I$62+$I$63+$I$64+$I$65+$I$66+$I$67+$I$68),0)*(1 - CUSTOS!$M$28)</f>
        <v>1.2276670987946332</v>
      </c>
      <c r="N49" s="13">
        <f ca="1">(+M49+O49+R49+U49+V49+W49+X49+Y49+Z49+AA49+AC49+AH49+AI49+AJ49+AK49)*CUSTOS!$M$5</f>
        <v>2.9151147425404971</v>
      </c>
      <c r="O49" s="13">
        <f>1 - CUSTOS!$M$28</f>
        <v>1</v>
      </c>
      <c r="P49" s="13">
        <f>1 - CUSTOS!$M$28</f>
        <v>1</v>
      </c>
      <c r="Q49" s="13">
        <f>1*(1 - CUSTOS!$M$28)</f>
        <v>1</v>
      </c>
      <c r="R49" s="13">
        <f>1 - CUSTOS!$M$28</f>
        <v>1</v>
      </c>
      <c r="S49" s="13">
        <f>1 - CUSTOS!$M$28</f>
        <v>1</v>
      </c>
      <c r="T49" s="13"/>
      <c r="U49" s="13">
        <f>TRANSICAO!$U$49*CUSTOS!$T$3</f>
        <v>7.2248000000000001</v>
      </c>
      <c r="V49" s="13">
        <f>TRANSICAO!$V$49*CUSTOS!$T$3</f>
        <v>5.5118999999999998</v>
      </c>
      <c r="W49" s="13">
        <f>TRANSICAO!$W$49*CUSTOS!$T$3</f>
        <v>0.59760000000000002</v>
      </c>
      <c r="X49" s="13">
        <f>TRANSICAO!$X$49*CUSTOS!$T$3</f>
        <v>0</v>
      </c>
      <c r="Y49" s="13">
        <f>TRANSICAO!$Y$49*CUSTOS!$T$3</f>
        <v>0</v>
      </c>
      <c r="Z49" s="13">
        <f>TRANSICAO!$Z$49*CUSTOS!$T$3</f>
        <v>0</v>
      </c>
      <c r="AA49" s="13">
        <f>TRANSICAO!$AA$49*CUSTOS!$T$3</f>
        <v>0</v>
      </c>
      <c r="AB49" s="13">
        <f>TRANSICAO!$AB$49*CUSTOS!$T$3</f>
        <v>0</v>
      </c>
      <c r="AC49" s="13">
        <f>TRANSICAO!$AC$49*CUSTOS!$T$3</f>
        <v>173.65799999999999</v>
      </c>
      <c r="AD49" s="13">
        <f>TRANSICAO!$AD$49*CUSTOS!$T$3</f>
        <v>0</v>
      </c>
      <c r="AE49" s="13">
        <v>0</v>
      </c>
      <c r="AF49" s="13">
        <v>0</v>
      </c>
      <c r="AG49" s="13"/>
      <c r="AH49" s="13">
        <f>(1 - CUSTOS!$M$28)*23.2014</f>
        <v>23.2014</v>
      </c>
      <c r="AI49" s="13">
        <f>(1 - CUSTOS!$M$28)*23.2014</f>
        <v>23.2014</v>
      </c>
      <c r="AJ49" s="13">
        <f ca="1">$N$83*(1-CUSTOS!$M$28)</f>
        <v>27.444353577627535</v>
      </c>
      <c r="AK49" s="13">
        <f t="shared" ca="1" si="1"/>
        <v>27.444353577627535</v>
      </c>
      <c r="AL49" s="13"/>
      <c r="AM49" s="13"/>
      <c r="AP49" s="13">
        <f>IF((1 - CUSTOS!$M$28)&lt;&gt;0,1/(1 - CUSTOS!$M$28),1)</f>
        <v>1</v>
      </c>
    </row>
    <row r="50" spans="1:42" ht="11.25" customHeight="1" x14ac:dyDescent="0.25">
      <c r="A50" s="107"/>
      <c r="B50" s="17" t="s">
        <v>23</v>
      </c>
      <c r="C50" s="17" t="s">
        <v>47</v>
      </c>
      <c r="D50" s="17" t="s">
        <v>25</v>
      </c>
      <c r="E50" s="17" t="s">
        <v>25</v>
      </c>
      <c r="F50" s="17" t="s">
        <v>25</v>
      </c>
      <c r="G50" s="18" t="s">
        <v>88</v>
      </c>
      <c r="H50" s="18" t="s">
        <v>82</v>
      </c>
      <c r="I50" s="18">
        <f>'MERCADO TUSD'!$U$47</f>
        <v>45841.400999999998</v>
      </c>
      <c r="J50" s="15"/>
      <c r="L50" s="13">
        <f>1*(1 - CUSTOS!$M$28)</f>
        <v>1</v>
      </c>
      <c r="M50" s="13">
        <f>IF(AND((+$I$34+$I$35+$I$36+$I$37+$I$38+$I$39+$I$40+$I$41+$I$42+$I$43+$I$44+$I$45+$I$46+$I$47+$I$48+$I$49+$I$50+$I$51+$I$52+$I$53+$I$54+$I$55+$I$56+$I$57+$I$58+$I$59+$I$60+$I$61+$I$62+$I$63+$I$64+$I$65+$I$66+$I$67+$I$68)&lt;&gt;0,SUMPRODUCT($I$5:$I$68,$AC$5:$AC$68,$AP$5:$AP$68)&lt;&gt;0),$M$73*SUMPRODUCT($I$34:$I$68,$AC$34:$AC$68,$AP$34:$AP$68)/SUMPRODUCT($I$5:$I$68,$AC$5:$AC$68,$AP$5:$AP$68)/(+$I$34+$I$35+$I$36+$I$37+$I$38+$I$39+$I$40+$I$41+$I$42+$I$43+$I$44+$I$45+$I$46+$I$47+$I$48+$I$49+$I$50+$I$51+$I$52+$I$53+$I$54+$I$55+$I$56+$I$57+$I$58+$I$59+$I$60+$I$61+$I$62+$I$63+$I$64+$I$65+$I$66+$I$67+$I$68),0)*(1 - CUSTOS!$M$28)</f>
        <v>1.2276670987946332</v>
      </c>
      <c r="N50" s="13">
        <f ca="1">(+M50+O50+R50+U50+V50+W50+X50+Y50+Z50+AA50+AC50+AH50+AI50+AJ50+AK50)*CUSTOS!$M$5</f>
        <v>4.110641742540496</v>
      </c>
      <c r="O50" s="13">
        <f>1 - CUSTOS!$M$28</f>
        <v>1</v>
      </c>
      <c r="P50" s="13">
        <f>1 - CUSTOS!$M$28</f>
        <v>1</v>
      </c>
      <c r="Q50" s="13">
        <f>1*(1 - CUSTOS!$M$28)</f>
        <v>1</v>
      </c>
      <c r="R50" s="13">
        <f>1 - CUSTOS!$M$28</f>
        <v>1</v>
      </c>
      <c r="S50" s="13">
        <f>1 - CUSTOS!$M$28</f>
        <v>1</v>
      </c>
      <c r="T50" s="13"/>
      <c r="U50" s="13">
        <f>TRANSICAO!$U$50*CUSTOS!$T$3</f>
        <v>11.843999999999999</v>
      </c>
      <c r="V50" s="13">
        <f>TRANSICAO!$V$50*CUSTOS!$T$3</f>
        <v>9.0359999999999996</v>
      </c>
      <c r="W50" s="13">
        <f>TRANSICAO!$W$50*CUSTOS!$T$3</f>
        <v>0.9798</v>
      </c>
      <c r="X50" s="13">
        <f>TRANSICAO!$X$50*CUSTOS!$T$3</f>
        <v>0</v>
      </c>
      <c r="Y50" s="13">
        <f>TRANSICAO!$Y$50*CUSTOS!$T$3</f>
        <v>0</v>
      </c>
      <c r="Z50" s="13">
        <f>TRANSICAO!$Z$50*CUSTOS!$T$3</f>
        <v>0</v>
      </c>
      <c r="AA50" s="13">
        <f>TRANSICAO!$AA$50*CUSTOS!$T$3</f>
        <v>0</v>
      </c>
      <c r="AB50" s="13">
        <f>TRANSICAO!$AB$50*CUSTOS!$T$3</f>
        <v>0</v>
      </c>
      <c r="AC50" s="13">
        <f>TRANSICAO!$AC$50*CUSTOS!$T$3</f>
        <v>284.68520000000001</v>
      </c>
      <c r="AD50" s="13">
        <f>TRANSICAO!$AD$50*CUSTOS!$T$3</f>
        <v>0</v>
      </c>
      <c r="AE50" s="13">
        <v>0</v>
      </c>
      <c r="AF50" s="13">
        <v>0</v>
      </c>
      <c r="AG50" s="13"/>
      <c r="AH50" s="13">
        <f>(1 - CUSTOS!$M$28)*23.2014</f>
        <v>23.2014</v>
      </c>
      <c r="AI50" s="13">
        <f>(1 - CUSTOS!$M$28)*23.2014</f>
        <v>23.2014</v>
      </c>
      <c r="AJ50" s="13">
        <f ca="1">$N$83*(1-CUSTOS!$M$28)</f>
        <v>27.444353577627535</v>
      </c>
      <c r="AK50" s="13">
        <f t="shared" ca="1" si="1"/>
        <v>27.444353577627535</v>
      </c>
      <c r="AL50" s="13"/>
      <c r="AM50" s="13"/>
      <c r="AP50" s="13">
        <f>IF((1 - CUSTOS!$M$28)&lt;&gt;0,1/(1 - CUSTOS!$M$28),1)</f>
        <v>1</v>
      </c>
    </row>
    <row r="51" spans="1:42" ht="11.25" customHeight="1" x14ac:dyDescent="0.25">
      <c r="A51" s="107"/>
      <c r="B51" s="107" t="s">
        <v>35</v>
      </c>
      <c r="C51" s="107" t="s">
        <v>47</v>
      </c>
      <c r="D51" s="107" t="s">
        <v>101</v>
      </c>
      <c r="E51" s="107" t="s">
        <v>25</v>
      </c>
      <c r="F51" s="107" t="s">
        <v>25</v>
      </c>
      <c r="G51" s="18" t="s">
        <v>83</v>
      </c>
      <c r="H51" s="18" t="s">
        <v>82</v>
      </c>
      <c r="I51" s="18">
        <f>'MERCADO TUSD'!$U$48</f>
        <v>0</v>
      </c>
      <c r="J51" s="15"/>
      <c r="L51" s="13">
        <f>1*(1 - CUSTOS!$M$29)</f>
        <v>1</v>
      </c>
      <c r="M51" s="13">
        <f>IF(AND((+$I$34+$I$35+$I$36+$I$37+$I$38+$I$39+$I$40+$I$41+$I$42+$I$43+$I$44+$I$45+$I$46+$I$47+$I$48+$I$49+$I$50+$I$51+$I$52+$I$53+$I$54+$I$55+$I$56+$I$57+$I$58+$I$59+$I$60+$I$61+$I$62+$I$63+$I$64+$I$65+$I$66+$I$67+$I$68)&lt;&gt;0,SUMPRODUCT($I$5:$I$68,$AC$5:$AC$68,$AP$5:$AP$68)&lt;&gt;0),$M$73*SUMPRODUCT($I$34:$I$68,$AC$34:$AC$68,$AP$34:$AP$68)/SUMPRODUCT($I$5:$I$68,$AC$5:$AC$68,$AP$5:$AP$68)/(+$I$34+$I$35+$I$36+$I$37+$I$38+$I$39+$I$40+$I$41+$I$42+$I$43+$I$44+$I$45+$I$46+$I$47+$I$48+$I$49+$I$50+$I$51+$I$52+$I$53+$I$54+$I$55+$I$56+$I$57+$I$58+$I$59+$I$60+$I$61+$I$62+$I$63+$I$64+$I$65+$I$66+$I$67+$I$68),0)*(1 - CUSTOS!$M$29)</f>
        <v>1.2276670987946332</v>
      </c>
      <c r="N51" s="13">
        <f ca="1">(+M51+O51+R51+U51+V51+W51+X51+Y51+Z51+AA51+AC51+AH51+AI51+AJ51+AK51)*CUSTOS!$M$5</f>
        <v>10.394810742540498</v>
      </c>
      <c r="O51" s="13">
        <f>1 - CUSTOS!$M$29</f>
        <v>1</v>
      </c>
      <c r="P51" s="13">
        <f>1 - CUSTOS!$M$29</f>
        <v>1</v>
      </c>
      <c r="Q51" s="13">
        <f>1*(1 - CUSTOS!$M$29)</f>
        <v>1</v>
      </c>
      <c r="R51" s="13">
        <f>1 - CUSTOS!$M$29</f>
        <v>1</v>
      </c>
      <c r="S51" s="13">
        <f>1 - CUSTOS!$M$29</f>
        <v>1</v>
      </c>
      <c r="T51" s="13"/>
      <c r="U51" s="13">
        <f>TRANSICAO!$U$51*CUSTOS!$T$3</f>
        <v>36.124099999999999</v>
      </c>
      <c r="V51" s="13">
        <f>TRANSICAO!$V$51*CUSTOS!$T$3</f>
        <v>27.559699999999999</v>
      </c>
      <c r="W51" s="13">
        <f>TRANSICAO!$W$51*CUSTOS!$T$3</f>
        <v>2.9882</v>
      </c>
      <c r="X51" s="13">
        <f>TRANSICAO!$X$51*CUSTOS!$T$3</f>
        <v>0</v>
      </c>
      <c r="Y51" s="13">
        <f>TRANSICAO!$Y$51*CUSTOS!$T$3</f>
        <v>0</v>
      </c>
      <c r="Z51" s="13">
        <f>TRANSICAO!$Z$51*CUSTOS!$T$3</f>
        <v>0</v>
      </c>
      <c r="AA51" s="13">
        <f>TRANSICAO!$AA$51*CUSTOS!$T$3</f>
        <v>0</v>
      </c>
      <c r="AB51" s="13">
        <f>TRANSICAO!$AB$51*CUSTOS!$T$3</f>
        <v>0</v>
      </c>
      <c r="AC51" s="13">
        <f>TRANSICAO!$AC$51*CUSTOS!$T$3</f>
        <v>868.28989999999999</v>
      </c>
      <c r="AD51" s="13">
        <f>TRANSICAO!$AD$51*CUSTOS!$T$3</f>
        <v>0</v>
      </c>
      <c r="AE51" s="13">
        <v>0</v>
      </c>
      <c r="AF51" s="13">
        <v>0</v>
      </c>
      <c r="AG51" s="13"/>
      <c r="AH51" s="13">
        <f>(1 - CUSTOS!$M$29)*23.2014</f>
        <v>23.2014</v>
      </c>
      <c r="AI51" s="13">
        <f>(1 - CUSTOS!$M$29)*23.2014</f>
        <v>23.2014</v>
      </c>
      <c r="AJ51" s="13">
        <f ca="1">$N$83*(1-CUSTOS!$M$29)</f>
        <v>27.444353577627535</v>
      </c>
      <c r="AK51" s="13">
        <f t="shared" ca="1" si="1"/>
        <v>27.444353577627535</v>
      </c>
      <c r="AL51" s="13"/>
      <c r="AM51" s="13"/>
      <c r="AP51" s="13">
        <f>IF((1 - CUSTOS!$M$29)&lt;&gt;0,1/(1 - CUSTOS!$M$29),1)</f>
        <v>1</v>
      </c>
    </row>
    <row r="52" spans="1:42" ht="11.25" customHeight="1" x14ac:dyDescent="0.25">
      <c r="A52" s="107"/>
      <c r="B52" s="107"/>
      <c r="C52" s="107"/>
      <c r="D52" s="107"/>
      <c r="E52" s="107"/>
      <c r="F52" s="107"/>
      <c r="G52" s="18" t="s">
        <v>98</v>
      </c>
      <c r="H52" s="18" t="s">
        <v>82</v>
      </c>
      <c r="I52" s="18">
        <f>'MERCADO TUSD'!$U$49</f>
        <v>0</v>
      </c>
      <c r="J52" s="15"/>
      <c r="L52" s="13">
        <f>1*(1 - CUSTOS!$M$29)</f>
        <v>1</v>
      </c>
      <c r="M52" s="13">
        <f>IF(AND((+$I$34+$I$35+$I$36+$I$37+$I$38+$I$39+$I$40+$I$41+$I$42+$I$43+$I$44+$I$45+$I$46+$I$47+$I$48+$I$49+$I$50+$I$51+$I$52+$I$53+$I$54+$I$55+$I$56+$I$57+$I$58+$I$59+$I$60+$I$61+$I$62+$I$63+$I$64+$I$65+$I$66+$I$67+$I$68)&lt;&gt;0,SUMPRODUCT($I$5:$I$68,$AC$5:$AC$68,$AP$5:$AP$68)&lt;&gt;0),$M$73*SUMPRODUCT($I$34:$I$68,$AC$34:$AC$68,$AP$34:$AP$68)/SUMPRODUCT($I$5:$I$68,$AC$5:$AC$68,$AP$5:$AP$68)/(+$I$34+$I$35+$I$36+$I$37+$I$38+$I$39+$I$40+$I$41+$I$42+$I$43+$I$44+$I$45+$I$46+$I$47+$I$48+$I$49+$I$50+$I$51+$I$52+$I$53+$I$54+$I$55+$I$56+$I$57+$I$58+$I$59+$I$60+$I$61+$I$62+$I$63+$I$64+$I$65+$I$66+$I$67+$I$68),0)*(1 - CUSTOS!$M$29)</f>
        <v>1.2276670987946332</v>
      </c>
      <c r="N52" s="13">
        <f ca="1">(+M52+O52+R52+U52+V52+W52+X52+Y52+Z52+AA52+AC52+AH52+AI52+AJ52+AK52)*CUSTOS!$M$5</f>
        <v>6.6549627425404978</v>
      </c>
      <c r="O52" s="13">
        <f>1 - CUSTOS!$M$29</f>
        <v>1</v>
      </c>
      <c r="P52" s="13">
        <f>1 - CUSTOS!$M$29</f>
        <v>1</v>
      </c>
      <c r="Q52" s="13">
        <f>1*(1 - CUSTOS!$M$29)</f>
        <v>1</v>
      </c>
      <c r="R52" s="13">
        <f>1 - CUSTOS!$M$29</f>
        <v>1</v>
      </c>
      <c r="S52" s="13">
        <f>1 - CUSTOS!$M$29</f>
        <v>1</v>
      </c>
      <c r="T52" s="13"/>
      <c r="U52" s="13">
        <f>TRANSICAO!$U$52*CUSTOS!$T$3</f>
        <v>21.674499999999998</v>
      </c>
      <c r="V52" s="13">
        <f>TRANSICAO!$V$52*CUSTOS!$T$3</f>
        <v>16.535799999999998</v>
      </c>
      <c r="W52" s="13">
        <f>TRANSICAO!$W$52*CUSTOS!$T$3</f>
        <v>1.7928999999999999</v>
      </c>
      <c r="X52" s="13">
        <f>TRANSICAO!$X$52*CUSTOS!$T$3</f>
        <v>0</v>
      </c>
      <c r="Y52" s="13">
        <f>TRANSICAO!$Y$52*CUSTOS!$T$3</f>
        <v>0</v>
      </c>
      <c r="Z52" s="13">
        <f>TRANSICAO!$Z$52*CUSTOS!$T$3</f>
        <v>0</v>
      </c>
      <c r="AA52" s="13">
        <f>TRANSICAO!$AA$52*CUSTOS!$T$3</f>
        <v>0</v>
      </c>
      <c r="AB52" s="13">
        <f>TRANSICAO!$AB$52*CUSTOS!$T$3</f>
        <v>0</v>
      </c>
      <c r="AC52" s="13">
        <f>TRANSICAO!$AC$52*CUSTOS!$T$3</f>
        <v>520.97389999999996</v>
      </c>
      <c r="AD52" s="13">
        <f>TRANSICAO!$AD$52*CUSTOS!$T$3</f>
        <v>0</v>
      </c>
      <c r="AE52" s="13">
        <v>0</v>
      </c>
      <c r="AF52" s="13">
        <v>0</v>
      </c>
      <c r="AG52" s="13"/>
      <c r="AH52" s="13">
        <f>(1 - CUSTOS!$M$29)*23.2014</f>
        <v>23.2014</v>
      </c>
      <c r="AI52" s="13">
        <f>(1 - CUSTOS!$M$29)*23.2014</f>
        <v>23.2014</v>
      </c>
      <c r="AJ52" s="13">
        <f ca="1">$N$83*(1-CUSTOS!$M$29)</f>
        <v>27.444353577627535</v>
      </c>
      <c r="AK52" s="13">
        <f t="shared" ca="1" si="1"/>
        <v>27.444353577627535</v>
      </c>
      <c r="AL52" s="13"/>
      <c r="AM52" s="13"/>
      <c r="AP52" s="13">
        <f>IF((1 - CUSTOS!$M$29)&lt;&gt;0,1/(1 - CUSTOS!$M$29),1)</f>
        <v>1</v>
      </c>
    </row>
    <row r="53" spans="1:42" ht="11.25" customHeight="1" x14ac:dyDescent="0.25">
      <c r="A53" s="107"/>
      <c r="B53" s="107"/>
      <c r="C53" s="107"/>
      <c r="D53" s="107"/>
      <c r="E53" s="107"/>
      <c r="F53" s="107"/>
      <c r="G53" s="18" t="s">
        <v>84</v>
      </c>
      <c r="H53" s="18" t="s">
        <v>82</v>
      </c>
      <c r="I53" s="18">
        <f>'MERCADO TUSD'!$U$50</f>
        <v>0</v>
      </c>
      <c r="J53" s="15"/>
      <c r="L53" s="13">
        <f>1*(1 - CUSTOS!$M$29)</f>
        <v>1</v>
      </c>
      <c r="M53" s="13">
        <f>IF(AND((+$I$34+$I$35+$I$36+$I$37+$I$38+$I$39+$I$40+$I$41+$I$42+$I$43+$I$44+$I$45+$I$46+$I$47+$I$48+$I$49+$I$50+$I$51+$I$52+$I$53+$I$54+$I$55+$I$56+$I$57+$I$58+$I$59+$I$60+$I$61+$I$62+$I$63+$I$64+$I$65+$I$66+$I$67+$I$68)&lt;&gt;0,SUMPRODUCT($I$5:$I$68,$AC$5:$AC$68,$AP$5:$AP$68)&lt;&gt;0),$M$73*SUMPRODUCT($I$34:$I$68,$AC$34:$AC$68,$AP$34:$AP$68)/SUMPRODUCT($I$5:$I$68,$AC$5:$AC$68,$AP$5:$AP$68)/(+$I$34+$I$35+$I$36+$I$37+$I$38+$I$39+$I$40+$I$41+$I$42+$I$43+$I$44+$I$45+$I$46+$I$47+$I$48+$I$49+$I$50+$I$51+$I$52+$I$53+$I$54+$I$55+$I$56+$I$57+$I$58+$I$59+$I$60+$I$61+$I$62+$I$63+$I$64+$I$65+$I$66+$I$67+$I$68),0)*(1 - CUSTOS!$M$29)</f>
        <v>1.2276670987946332</v>
      </c>
      <c r="N53" s="13">
        <f ca="1">(+M53+O53+R53+U53+V53+W53+X53+Y53+Z53+AA53+AC53+AH53+AI53+AJ53+AK53)*CUSTOS!$M$5</f>
        <v>2.9151147425404971</v>
      </c>
      <c r="O53" s="13">
        <f>1 - CUSTOS!$M$29</f>
        <v>1</v>
      </c>
      <c r="P53" s="13">
        <f>1 - CUSTOS!$M$29</f>
        <v>1</v>
      </c>
      <c r="Q53" s="13">
        <f>1*(1 - CUSTOS!$M$29)</f>
        <v>1</v>
      </c>
      <c r="R53" s="13">
        <f>1 - CUSTOS!$M$29</f>
        <v>1</v>
      </c>
      <c r="S53" s="13">
        <f>1 - CUSTOS!$M$29</f>
        <v>1</v>
      </c>
      <c r="T53" s="13"/>
      <c r="U53" s="13">
        <f>TRANSICAO!$U$53*CUSTOS!$T$3</f>
        <v>7.2248000000000001</v>
      </c>
      <c r="V53" s="13">
        <f>TRANSICAO!$V$53*CUSTOS!$T$3</f>
        <v>5.5118999999999998</v>
      </c>
      <c r="W53" s="13">
        <f>TRANSICAO!$W$53*CUSTOS!$T$3</f>
        <v>0.59760000000000002</v>
      </c>
      <c r="X53" s="13">
        <f>TRANSICAO!$X$53*CUSTOS!$T$3</f>
        <v>0</v>
      </c>
      <c r="Y53" s="13">
        <f>TRANSICAO!$Y$53*CUSTOS!$T$3</f>
        <v>0</v>
      </c>
      <c r="Z53" s="13">
        <f>TRANSICAO!$Z$53*CUSTOS!$T$3</f>
        <v>0</v>
      </c>
      <c r="AA53" s="13">
        <f>TRANSICAO!$AA$53*CUSTOS!$T$3</f>
        <v>0</v>
      </c>
      <c r="AB53" s="13">
        <f>TRANSICAO!$AB$53*CUSTOS!$T$3</f>
        <v>0</v>
      </c>
      <c r="AC53" s="13">
        <f>TRANSICAO!$AC$53*CUSTOS!$T$3</f>
        <v>173.65799999999999</v>
      </c>
      <c r="AD53" s="13">
        <f>TRANSICAO!$AD$53*CUSTOS!$T$3</f>
        <v>0</v>
      </c>
      <c r="AE53" s="13">
        <v>0</v>
      </c>
      <c r="AF53" s="13">
        <v>0</v>
      </c>
      <c r="AG53" s="13"/>
      <c r="AH53" s="13">
        <f>(1 - CUSTOS!$M$29)*23.2014</f>
        <v>23.2014</v>
      </c>
      <c r="AI53" s="13">
        <f>(1 - CUSTOS!$M$29)*23.2014</f>
        <v>23.2014</v>
      </c>
      <c r="AJ53" s="13">
        <f ca="1">$N$83*(1-CUSTOS!$M$29)</f>
        <v>27.444353577627535</v>
      </c>
      <c r="AK53" s="13">
        <f t="shared" ca="1" si="1"/>
        <v>27.444353577627535</v>
      </c>
      <c r="AL53" s="13"/>
      <c r="AM53" s="13"/>
      <c r="AP53" s="13">
        <f>IF((1 - CUSTOS!$M$29)&lt;&gt;0,1/(1 - CUSTOS!$M$29),1)</f>
        <v>1</v>
      </c>
    </row>
    <row r="54" spans="1:42" ht="11.25" customHeight="1" x14ac:dyDescent="0.25">
      <c r="A54" s="107"/>
      <c r="B54" s="17" t="s">
        <v>23</v>
      </c>
      <c r="C54" s="17" t="s">
        <v>47</v>
      </c>
      <c r="D54" s="17" t="s">
        <v>101</v>
      </c>
      <c r="E54" s="17" t="s">
        <v>25</v>
      </c>
      <c r="F54" s="17" t="s">
        <v>25</v>
      </c>
      <c r="G54" s="18" t="s">
        <v>88</v>
      </c>
      <c r="H54" s="18" t="s">
        <v>82</v>
      </c>
      <c r="I54" s="18">
        <f>'MERCADO TUSD'!$U$51</f>
        <v>0</v>
      </c>
      <c r="J54" s="15"/>
      <c r="L54" s="13">
        <f>1*(1 - CUSTOS!$M$29)</f>
        <v>1</v>
      </c>
      <c r="M54" s="13">
        <f>IF(AND((+$I$34+$I$35+$I$36+$I$37+$I$38+$I$39+$I$40+$I$41+$I$42+$I$43+$I$44+$I$45+$I$46+$I$47+$I$48+$I$49+$I$50+$I$51+$I$52+$I$53+$I$54+$I$55+$I$56+$I$57+$I$58+$I$59+$I$60+$I$61+$I$62+$I$63+$I$64+$I$65+$I$66+$I$67+$I$68)&lt;&gt;0,SUMPRODUCT($I$5:$I$68,$AC$5:$AC$68,$AP$5:$AP$68)&lt;&gt;0),$M$73*SUMPRODUCT($I$34:$I$68,$AC$34:$AC$68,$AP$34:$AP$68)/SUMPRODUCT($I$5:$I$68,$AC$5:$AC$68,$AP$5:$AP$68)/(+$I$34+$I$35+$I$36+$I$37+$I$38+$I$39+$I$40+$I$41+$I$42+$I$43+$I$44+$I$45+$I$46+$I$47+$I$48+$I$49+$I$50+$I$51+$I$52+$I$53+$I$54+$I$55+$I$56+$I$57+$I$58+$I$59+$I$60+$I$61+$I$62+$I$63+$I$64+$I$65+$I$66+$I$67+$I$68),0)*(1 - CUSTOS!$M$29)</f>
        <v>1.2276670987946332</v>
      </c>
      <c r="N54" s="13">
        <f ca="1">(+M54+O54+R54+U54+V54+W54+X54+Y54+Z54+AA54+AC54+AH54+AI54+AJ54+AK54)*CUSTOS!$M$5</f>
        <v>4.110641742540496</v>
      </c>
      <c r="O54" s="13">
        <f>1 - CUSTOS!$M$29</f>
        <v>1</v>
      </c>
      <c r="P54" s="13">
        <f>1 - CUSTOS!$M$29</f>
        <v>1</v>
      </c>
      <c r="Q54" s="13">
        <f>1*(1 - CUSTOS!$M$29)</f>
        <v>1</v>
      </c>
      <c r="R54" s="13">
        <f>1 - CUSTOS!$M$29</f>
        <v>1</v>
      </c>
      <c r="S54" s="13">
        <f>1 - CUSTOS!$M$29</f>
        <v>1</v>
      </c>
      <c r="T54" s="13"/>
      <c r="U54" s="13">
        <f>TRANSICAO!$U$54*CUSTOS!$T$3</f>
        <v>11.843999999999999</v>
      </c>
      <c r="V54" s="13">
        <f>TRANSICAO!$V$54*CUSTOS!$T$3</f>
        <v>9.0359999999999996</v>
      </c>
      <c r="W54" s="13">
        <f>TRANSICAO!$W$54*CUSTOS!$T$3</f>
        <v>0.9798</v>
      </c>
      <c r="X54" s="13">
        <f>TRANSICAO!$X$54*CUSTOS!$T$3</f>
        <v>0</v>
      </c>
      <c r="Y54" s="13">
        <f>TRANSICAO!$Y$54*CUSTOS!$T$3</f>
        <v>0</v>
      </c>
      <c r="Z54" s="13">
        <f>TRANSICAO!$Z$54*CUSTOS!$T$3</f>
        <v>0</v>
      </c>
      <c r="AA54" s="13">
        <f>TRANSICAO!$AA$54*CUSTOS!$T$3</f>
        <v>0</v>
      </c>
      <c r="AB54" s="13">
        <f>TRANSICAO!$AB$54*CUSTOS!$T$3</f>
        <v>0</v>
      </c>
      <c r="AC54" s="13">
        <f>TRANSICAO!$AC$54*CUSTOS!$T$3</f>
        <v>284.68520000000001</v>
      </c>
      <c r="AD54" s="13">
        <f>TRANSICAO!$AD$54*CUSTOS!$T$3</f>
        <v>0</v>
      </c>
      <c r="AE54" s="13">
        <v>0</v>
      </c>
      <c r="AF54" s="13">
        <v>0</v>
      </c>
      <c r="AG54" s="13"/>
      <c r="AH54" s="13">
        <f>(1 - CUSTOS!$M$29)*23.2014</f>
        <v>23.2014</v>
      </c>
      <c r="AI54" s="13">
        <f>(1 - CUSTOS!$M$29)*23.2014</f>
        <v>23.2014</v>
      </c>
      <c r="AJ54" s="13">
        <f ca="1">$N$83*(1-CUSTOS!$M$29)</f>
        <v>27.444353577627535</v>
      </c>
      <c r="AK54" s="13">
        <f t="shared" ca="1" si="1"/>
        <v>27.444353577627535</v>
      </c>
      <c r="AL54" s="13"/>
      <c r="AM54" s="13"/>
      <c r="AP54" s="13">
        <f>IF((1 - CUSTOS!$M$29)&lt;&gt;0,1/(1 - CUSTOS!$M$29),1)</f>
        <v>1</v>
      </c>
    </row>
    <row r="55" spans="1:42" ht="11.25" customHeight="1" x14ac:dyDescent="0.25">
      <c r="A55" s="107"/>
      <c r="B55" s="107" t="s">
        <v>35</v>
      </c>
      <c r="C55" s="107" t="s">
        <v>47</v>
      </c>
      <c r="D55" s="107" t="s">
        <v>102</v>
      </c>
      <c r="E55" s="107" t="s">
        <v>25</v>
      </c>
      <c r="F55" s="107" t="s">
        <v>25</v>
      </c>
      <c r="G55" s="18" t="s">
        <v>83</v>
      </c>
      <c r="H55" s="18" t="s">
        <v>82</v>
      </c>
      <c r="I55" s="18">
        <f>'MERCADO TUSD'!$U$52</f>
        <v>0</v>
      </c>
      <c r="J55" s="15"/>
      <c r="L55" s="13">
        <f>1*(1 - CUSTOS!$M$30)</f>
        <v>1</v>
      </c>
      <c r="M55" s="13">
        <f>IF(AND((+$I$34+$I$35+$I$36+$I$37+$I$38+$I$39+$I$40+$I$41+$I$42+$I$43+$I$44+$I$45+$I$46+$I$47+$I$48+$I$49+$I$50+$I$51+$I$52+$I$53+$I$54+$I$55+$I$56+$I$57+$I$58+$I$59+$I$60+$I$61+$I$62+$I$63+$I$64+$I$65+$I$66+$I$67+$I$68)&lt;&gt;0,SUMPRODUCT($I$5:$I$68,$AC$5:$AC$68,$AP$5:$AP$68)&lt;&gt;0),$M$73*SUMPRODUCT($I$34:$I$68,$AC$34:$AC$68,$AP$34:$AP$68)/SUMPRODUCT($I$5:$I$68,$AC$5:$AC$68,$AP$5:$AP$68)/(+$I$34+$I$35+$I$36+$I$37+$I$38+$I$39+$I$40+$I$41+$I$42+$I$43+$I$44+$I$45+$I$46+$I$47+$I$48+$I$49+$I$50+$I$51+$I$52+$I$53+$I$54+$I$55+$I$56+$I$57+$I$58+$I$59+$I$60+$I$61+$I$62+$I$63+$I$64+$I$65+$I$66+$I$67+$I$68),0)*(1 - CUSTOS!$M$30)</f>
        <v>1.2276670987946332</v>
      </c>
      <c r="N55" s="13">
        <f ca="1">(+M55+O55+R55+U55+V55+W55+X55+Y55+Z55+AA55+AC55+AH55+AI55+AJ55+AK55)*CUSTOS!$M$5</f>
        <v>10.394810742540498</v>
      </c>
      <c r="O55" s="13">
        <f>1 - CUSTOS!$M$30</f>
        <v>1</v>
      </c>
      <c r="P55" s="13">
        <f>1 - CUSTOS!$M$30</f>
        <v>1</v>
      </c>
      <c r="Q55" s="13">
        <f>1*(1 - CUSTOS!$M$30)</f>
        <v>1</v>
      </c>
      <c r="R55" s="13">
        <f>1 - CUSTOS!$M$30</f>
        <v>1</v>
      </c>
      <c r="S55" s="13">
        <f>1 - CUSTOS!$M$30</f>
        <v>1</v>
      </c>
      <c r="T55" s="13"/>
      <c r="U55" s="13">
        <f>TRANSICAO!$U$55*CUSTOS!$T$3</f>
        <v>36.124099999999999</v>
      </c>
      <c r="V55" s="13">
        <f>TRANSICAO!$V$55*CUSTOS!$T$3</f>
        <v>27.559699999999999</v>
      </c>
      <c r="W55" s="13">
        <f>TRANSICAO!$W$55*CUSTOS!$T$3</f>
        <v>2.9882</v>
      </c>
      <c r="X55" s="13">
        <f>TRANSICAO!$X$55*CUSTOS!$T$3</f>
        <v>0</v>
      </c>
      <c r="Y55" s="13">
        <f>TRANSICAO!$Y$55*CUSTOS!$T$3</f>
        <v>0</v>
      </c>
      <c r="Z55" s="13">
        <f>TRANSICAO!$Z$55*CUSTOS!$T$3</f>
        <v>0</v>
      </c>
      <c r="AA55" s="13">
        <f>TRANSICAO!$AA$55*CUSTOS!$T$3</f>
        <v>0</v>
      </c>
      <c r="AB55" s="13">
        <f>TRANSICAO!$AB$55*CUSTOS!$T$3</f>
        <v>0</v>
      </c>
      <c r="AC55" s="13">
        <f>TRANSICAO!$AC$55*CUSTOS!$T$3</f>
        <v>868.28989999999999</v>
      </c>
      <c r="AD55" s="13">
        <f>TRANSICAO!$AD$55*CUSTOS!$T$3</f>
        <v>0</v>
      </c>
      <c r="AE55" s="13">
        <v>0</v>
      </c>
      <c r="AF55" s="13">
        <v>0</v>
      </c>
      <c r="AG55" s="13"/>
      <c r="AH55" s="13">
        <f>(1 - CUSTOS!$M$30)*23.2014</f>
        <v>23.2014</v>
      </c>
      <c r="AI55" s="13">
        <f>(1 - CUSTOS!$M$30)*23.2014</f>
        <v>23.2014</v>
      </c>
      <c r="AJ55" s="13">
        <f ca="1">$N$83*(1-CUSTOS!$M$30)</f>
        <v>27.444353577627535</v>
      </c>
      <c r="AK55" s="13">
        <f t="shared" ca="1" si="1"/>
        <v>27.444353577627535</v>
      </c>
      <c r="AL55" s="13"/>
      <c r="AM55" s="13"/>
      <c r="AP55" s="13">
        <f>IF((1 - CUSTOS!$M$30)&lt;&gt;0,1/(1 - CUSTOS!$M$30),1)</f>
        <v>1</v>
      </c>
    </row>
    <row r="56" spans="1:42" ht="11.25" customHeight="1" x14ac:dyDescent="0.25">
      <c r="A56" s="107"/>
      <c r="B56" s="107"/>
      <c r="C56" s="107"/>
      <c r="D56" s="107"/>
      <c r="E56" s="107"/>
      <c r="F56" s="107"/>
      <c r="G56" s="18" t="s">
        <v>98</v>
      </c>
      <c r="H56" s="18" t="s">
        <v>82</v>
      </c>
      <c r="I56" s="18">
        <f>'MERCADO TUSD'!$U$53</f>
        <v>0</v>
      </c>
      <c r="J56" s="15"/>
      <c r="L56" s="13">
        <f>1*(1 - CUSTOS!$M$30)</f>
        <v>1</v>
      </c>
      <c r="M56" s="13">
        <f>IF(AND((+$I$34+$I$35+$I$36+$I$37+$I$38+$I$39+$I$40+$I$41+$I$42+$I$43+$I$44+$I$45+$I$46+$I$47+$I$48+$I$49+$I$50+$I$51+$I$52+$I$53+$I$54+$I$55+$I$56+$I$57+$I$58+$I$59+$I$60+$I$61+$I$62+$I$63+$I$64+$I$65+$I$66+$I$67+$I$68)&lt;&gt;0,SUMPRODUCT($I$5:$I$68,$AC$5:$AC$68,$AP$5:$AP$68)&lt;&gt;0),$M$73*SUMPRODUCT($I$34:$I$68,$AC$34:$AC$68,$AP$34:$AP$68)/SUMPRODUCT($I$5:$I$68,$AC$5:$AC$68,$AP$5:$AP$68)/(+$I$34+$I$35+$I$36+$I$37+$I$38+$I$39+$I$40+$I$41+$I$42+$I$43+$I$44+$I$45+$I$46+$I$47+$I$48+$I$49+$I$50+$I$51+$I$52+$I$53+$I$54+$I$55+$I$56+$I$57+$I$58+$I$59+$I$60+$I$61+$I$62+$I$63+$I$64+$I$65+$I$66+$I$67+$I$68),0)*(1 - CUSTOS!$M$30)</f>
        <v>1.2276670987946332</v>
      </c>
      <c r="N56" s="13">
        <f ca="1">(+M56+O56+R56+U56+V56+W56+X56+Y56+Z56+AA56+AC56+AH56+AI56+AJ56+AK56)*CUSTOS!$M$5</f>
        <v>6.6549627425404978</v>
      </c>
      <c r="O56" s="13">
        <f>1 - CUSTOS!$M$30</f>
        <v>1</v>
      </c>
      <c r="P56" s="13">
        <f>1 - CUSTOS!$M$30</f>
        <v>1</v>
      </c>
      <c r="Q56" s="13">
        <f>1*(1 - CUSTOS!$M$30)</f>
        <v>1</v>
      </c>
      <c r="R56" s="13">
        <f>1 - CUSTOS!$M$30</f>
        <v>1</v>
      </c>
      <c r="S56" s="13">
        <f>1 - CUSTOS!$M$30</f>
        <v>1</v>
      </c>
      <c r="T56" s="13"/>
      <c r="U56" s="13">
        <f>TRANSICAO!$U$56*CUSTOS!$T$3</f>
        <v>21.674499999999998</v>
      </c>
      <c r="V56" s="13">
        <f>TRANSICAO!$V$56*CUSTOS!$T$3</f>
        <v>16.535799999999998</v>
      </c>
      <c r="W56" s="13">
        <f>TRANSICAO!$W$56*CUSTOS!$T$3</f>
        <v>1.7928999999999999</v>
      </c>
      <c r="X56" s="13">
        <f>TRANSICAO!$X$56*CUSTOS!$T$3</f>
        <v>0</v>
      </c>
      <c r="Y56" s="13">
        <f>TRANSICAO!$Y$56*CUSTOS!$T$3</f>
        <v>0</v>
      </c>
      <c r="Z56" s="13">
        <f>TRANSICAO!$Z$56*CUSTOS!$T$3</f>
        <v>0</v>
      </c>
      <c r="AA56" s="13">
        <f>TRANSICAO!$AA$56*CUSTOS!$T$3</f>
        <v>0</v>
      </c>
      <c r="AB56" s="13">
        <f>TRANSICAO!$AB$56*CUSTOS!$T$3</f>
        <v>0</v>
      </c>
      <c r="AC56" s="13">
        <f>TRANSICAO!$AC$56*CUSTOS!$T$3</f>
        <v>520.97389999999996</v>
      </c>
      <c r="AD56" s="13">
        <f>TRANSICAO!$AD$56*CUSTOS!$T$3</f>
        <v>0</v>
      </c>
      <c r="AE56" s="13">
        <v>0</v>
      </c>
      <c r="AF56" s="13">
        <v>0</v>
      </c>
      <c r="AG56" s="13"/>
      <c r="AH56" s="13">
        <f>(1 - CUSTOS!$M$30)*23.2014</f>
        <v>23.2014</v>
      </c>
      <c r="AI56" s="13">
        <f>(1 - CUSTOS!$M$30)*23.2014</f>
        <v>23.2014</v>
      </c>
      <c r="AJ56" s="13">
        <f ca="1">$N$83*(1-CUSTOS!$M$30)</f>
        <v>27.444353577627535</v>
      </c>
      <c r="AK56" s="13">
        <f t="shared" ca="1" si="1"/>
        <v>27.444353577627535</v>
      </c>
      <c r="AL56" s="13"/>
      <c r="AM56" s="13"/>
      <c r="AP56" s="13">
        <f>IF((1 - CUSTOS!$M$30)&lt;&gt;0,1/(1 - CUSTOS!$M$30),1)</f>
        <v>1</v>
      </c>
    </row>
    <row r="57" spans="1:42" ht="11.25" customHeight="1" x14ac:dyDescent="0.25">
      <c r="A57" s="107"/>
      <c r="B57" s="107"/>
      <c r="C57" s="107"/>
      <c r="D57" s="107"/>
      <c r="E57" s="107"/>
      <c r="F57" s="107"/>
      <c r="G57" s="18" t="s">
        <v>84</v>
      </c>
      <c r="H57" s="18" t="s">
        <v>82</v>
      </c>
      <c r="I57" s="18">
        <f>'MERCADO TUSD'!$U$54</f>
        <v>0</v>
      </c>
      <c r="J57" s="15"/>
      <c r="L57" s="13">
        <f>1*(1 - CUSTOS!$M$30)</f>
        <v>1</v>
      </c>
      <c r="M57" s="13">
        <f>IF(AND((+$I$34+$I$35+$I$36+$I$37+$I$38+$I$39+$I$40+$I$41+$I$42+$I$43+$I$44+$I$45+$I$46+$I$47+$I$48+$I$49+$I$50+$I$51+$I$52+$I$53+$I$54+$I$55+$I$56+$I$57+$I$58+$I$59+$I$60+$I$61+$I$62+$I$63+$I$64+$I$65+$I$66+$I$67+$I$68)&lt;&gt;0,SUMPRODUCT($I$5:$I$68,$AC$5:$AC$68,$AP$5:$AP$68)&lt;&gt;0),$M$73*SUMPRODUCT($I$34:$I$68,$AC$34:$AC$68,$AP$34:$AP$68)/SUMPRODUCT($I$5:$I$68,$AC$5:$AC$68,$AP$5:$AP$68)/(+$I$34+$I$35+$I$36+$I$37+$I$38+$I$39+$I$40+$I$41+$I$42+$I$43+$I$44+$I$45+$I$46+$I$47+$I$48+$I$49+$I$50+$I$51+$I$52+$I$53+$I$54+$I$55+$I$56+$I$57+$I$58+$I$59+$I$60+$I$61+$I$62+$I$63+$I$64+$I$65+$I$66+$I$67+$I$68),0)*(1 - CUSTOS!$M$30)</f>
        <v>1.2276670987946332</v>
      </c>
      <c r="N57" s="13">
        <f ca="1">(+M57+O57+R57+U57+V57+W57+X57+Y57+Z57+AA57+AC57+AH57+AI57+AJ57+AK57)*CUSTOS!$M$5</f>
        <v>2.9151147425404971</v>
      </c>
      <c r="O57" s="13">
        <f>1 - CUSTOS!$M$30</f>
        <v>1</v>
      </c>
      <c r="P57" s="13">
        <f>1 - CUSTOS!$M$30</f>
        <v>1</v>
      </c>
      <c r="Q57" s="13">
        <f>1*(1 - CUSTOS!$M$30)</f>
        <v>1</v>
      </c>
      <c r="R57" s="13">
        <f>1 - CUSTOS!$M$30</f>
        <v>1</v>
      </c>
      <c r="S57" s="13">
        <f>1 - CUSTOS!$M$30</f>
        <v>1</v>
      </c>
      <c r="T57" s="13"/>
      <c r="U57" s="13">
        <f>TRANSICAO!$U$57*CUSTOS!$T$3</f>
        <v>7.2248000000000001</v>
      </c>
      <c r="V57" s="13">
        <f>TRANSICAO!$V$57*CUSTOS!$T$3</f>
        <v>5.5118999999999998</v>
      </c>
      <c r="W57" s="13">
        <f>TRANSICAO!$W$57*CUSTOS!$T$3</f>
        <v>0.59760000000000002</v>
      </c>
      <c r="X57" s="13">
        <f>TRANSICAO!$X$57*CUSTOS!$T$3</f>
        <v>0</v>
      </c>
      <c r="Y57" s="13">
        <f>TRANSICAO!$Y$57*CUSTOS!$T$3</f>
        <v>0</v>
      </c>
      <c r="Z57" s="13">
        <f>TRANSICAO!$Z$57*CUSTOS!$T$3</f>
        <v>0</v>
      </c>
      <c r="AA57" s="13">
        <f>TRANSICAO!$AA$57*CUSTOS!$T$3</f>
        <v>0</v>
      </c>
      <c r="AB57" s="13">
        <f>TRANSICAO!$AB$57*CUSTOS!$T$3</f>
        <v>0</v>
      </c>
      <c r="AC57" s="13">
        <f>TRANSICAO!$AC$57*CUSTOS!$T$3</f>
        <v>173.65799999999999</v>
      </c>
      <c r="AD57" s="13">
        <f>TRANSICAO!$AD$57*CUSTOS!$T$3</f>
        <v>0</v>
      </c>
      <c r="AE57" s="13">
        <v>0</v>
      </c>
      <c r="AF57" s="13">
        <v>0</v>
      </c>
      <c r="AG57" s="13"/>
      <c r="AH57" s="13">
        <f>(1 - CUSTOS!$M$30)*23.2014</f>
        <v>23.2014</v>
      </c>
      <c r="AI57" s="13">
        <f>(1 - CUSTOS!$M$30)*23.2014</f>
        <v>23.2014</v>
      </c>
      <c r="AJ57" s="13">
        <f ca="1">$N$83*(1-CUSTOS!$M$30)</f>
        <v>27.444353577627535</v>
      </c>
      <c r="AK57" s="13">
        <f t="shared" ca="1" si="1"/>
        <v>27.444353577627535</v>
      </c>
      <c r="AL57" s="13"/>
      <c r="AM57" s="13"/>
      <c r="AP57" s="13">
        <f>IF((1 - CUSTOS!$M$30)&lt;&gt;0,1/(1 - CUSTOS!$M$30),1)</f>
        <v>1</v>
      </c>
    </row>
    <row r="58" spans="1:42" ht="11.25" customHeight="1" x14ac:dyDescent="0.25">
      <c r="A58" s="107"/>
      <c r="B58" s="17" t="s">
        <v>23</v>
      </c>
      <c r="C58" s="17" t="s">
        <v>47</v>
      </c>
      <c r="D58" s="17" t="s">
        <v>102</v>
      </c>
      <c r="E58" s="17" t="s">
        <v>25</v>
      </c>
      <c r="F58" s="17" t="s">
        <v>25</v>
      </c>
      <c r="G58" s="18" t="s">
        <v>88</v>
      </c>
      <c r="H58" s="18" t="s">
        <v>82</v>
      </c>
      <c r="I58" s="18">
        <f>'MERCADO TUSD'!$U$55</f>
        <v>0</v>
      </c>
      <c r="J58" s="15"/>
      <c r="L58" s="13">
        <f>1*(1 - CUSTOS!$M$30)</f>
        <v>1</v>
      </c>
      <c r="M58" s="13">
        <f>IF(AND((+$I$34+$I$35+$I$36+$I$37+$I$38+$I$39+$I$40+$I$41+$I$42+$I$43+$I$44+$I$45+$I$46+$I$47+$I$48+$I$49+$I$50+$I$51+$I$52+$I$53+$I$54+$I$55+$I$56+$I$57+$I$58+$I$59+$I$60+$I$61+$I$62+$I$63+$I$64+$I$65+$I$66+$I$67+$I$68)&lt;&gt;0,SUMPRODUCT($I$5:$I$68,$AC$5:$AC$68,$AP$5:$AP$68)&lt;&gt;0),$M$73*SUMPRODUCT($I$34:$I$68,$AC$34:$AC$68,$AP$34:$AP$68)/SUMPRODUCT($I$5:$I$68,$AC$5:$AC$68,$AP$5:$AP$68)/(+$I$34+$I$35+$I$36+$I$37+$I$38+$I$39+$I$40+$I$41+$I$42+$I$43+$I$44+$I$45+$I$46+$I$47+$I$48+$I$49+$I$50+$I$51+$I$52+$I$53+$I$54+$I$55+$I$56+$I$57+$I$58+$I$59+$I$60+$I$61+$I$62+$I$63+$I$64+$I$65+$I$66+$I$67+$I$68),0)*(1 - CUSTOS!$M$30)</f>
        <v>1.2276670987946332</v>
      </c>
      <c r="N58" s="13">
        <f ca="1">(+M58+O58+R58+U58+V58+W58+X58+Y58+Z58+AA58+AC58+AH58+AI58+AJ58+AK58)*CUSTOS!$M$5</f>
        <v>4.110641742540496</v>
      </c>
      <c r="O58" s="13">
        <f>1 - CUSTOS!$M$30</f>
        <v>1</v>
      </c>
      <c r="P58" s="13">
        <f>1 - CUSTOS!$M$30</f>
        <v>1</v>
      </c>
      <c r="Q58" s="13">
        <f>1*(1 - CUSTOS!$M$30)</f>
        <v>1</v>
      </c>
      <c r="R58" s="13">
        <f>1 - CUSTOS!$M$30</f>
        <v>1</v>
      </c>
      <c r="S58" s="13">
        <f>1 - CUSTOS!$M$30</f>
        <v>1</v>
      </c>
      <c r="T58" s="13"/>
      <c r="U58" s="13">
        <f>TRANSICAO!$U$58*CUSTOS!$T$3</f>
        <v>11.843999999999999</v>
      </c>
      <c r="V58" s="13">
        <f>TRANSICAO!$V$58*CUSTOS!$T$3</f>
        <v>9.0359999999999996</v>
      </c>
      <c r="W58" s="13">
        <f>TRANSICAO!$W$58*CUSTOS!$T$3</f>
        <v>0.9798</v>
      </c>
      <c r="X58" s="13">
        <f>TRANSICAO!$X$58*CUSTOS!$T$3</f>
        <v>0</v>
      </c>
      <c r="Y58" s="13">
        <f>TRANSICAO!$Y$58*CUSTOS!$T$3</f>
        <v>0</v>
      </c>
      <c r="Z58" s="13">
        <f>TRANSICAO!$Z$58*CUSTOS!$T$3</f>
        <v>0</v>
      </c>
      <c r="AA58" s="13">
        <f>TRANSICAO!$AA$58*CUSTOS!$T$3</f>
        <v>0</v>
      </c>
      <c r="AB58" s="13">
        <f>TRANSICAO!$AB$58*CUSTOS!$T$3</f>
        <v>0</v>
      </c>
      <c r="AC58" s="13">
        <f>TRANSICAO!$AC$58*CUSTOS!$T$3</f>
        <v>284.68520000000001</v>
      </c>
      <c r="AD58" s="13">
        <f>TRANSICAO!$AD$58*CUSTOS!$T$3</f>
        <v>0</v>
      </c>
      <c r="AE58" s="13">
        <v>0</v>
      </c>
      <c r="AF58" s="13">
        <v>0</v>
      </c>
      <c r="AG58" s="13"/>
      <c r="AH58" s="13">
        <f>(1 - CUSTOS!$M$30)*23.2014</f>
        <v>23.2014</v>
      </c>
      <c r="AI58" s="13">
        <f>(1 - CUSTOS!$M$30)*23.2014</f>
        <v>23.2014</v>
      </c>
      <c r="AJ58" s="13">
        <f ca="1">$N$83*(1-CUSTOS!$M$30)</f>
        <v>27.444353577627535</v>
      </c>
      <c r="AK58" s="13">
        <f t="shared" ca="1" si="1"/>
        <v>27.444353577627535</v>
      </c>
      <c r="AL58" s="13"/>
      <c r="AM58" s="13"/>
      <c r="AP58" s="13">
        <f>IF((1 - CUSTOS!$M$30)&lt;&gt;0,1/(1 - CUSTOS!$M$30),1)</f>
        <v>1</v>
      </c>
    </row>
    <row r="59" spans="1:42" ht="11.25" customHeight="1" x14ac:dyDescent="0.25">
      <c r="A59" s="107"/>
      <c r="B59" s="107" t="s">
        <v>100</v>
      </c>
      <c r="C59" s="107" t="s">
        <v>47</v>
      </c>
      <c r="D59" s="17" t="s">
        <v>25</v>
      </c>
      <c r="E59" s="17" t="s">
        <v>25</v>
      </c>
      <c r="F59" s="17" t="s">
        <v>25</v>
      </c>
      <c r="G59" s="18" t="s">
        <v>88</v>
      </c>
      <c r="H59" s="18" t="s">
        <v>82</v>
      </c>
      <c r="I59" s="18">
        <f>'MERCADO TUSD'!$U$56</f>
        <v>0</v>
      </c>
      <c r="J59" s="15"/>
      <c r="L59" s="13">
        <f>1*(1 - CUSTOS!$M$28)</f>
        <v>1</v>
      </c>
      <c r="M59" s="13">
        <f>IF(AND((+$I$34+$I$35+$I$36+$I$37+$I$38+$I$39+$I$40+$I$41+$I$42+$I$43+$I$44+$I$45+$I$46+$I$47+$I$48+$I$49+$I$50+$I$51+$I$52+$I$53+$I$54+$I$55+$I$56+$I$57+$I$58+$I$59+$I$60+$I$61+$I$62+$I$63+$I$64+$I$65+$I$66+$I$67+$I$68)&lt;&gt;0,SUMPRODUCT($I$5:$I$68,$AC$5:$AC$68,$AP$5:$AP$68)&lt;&gt;0),$M$73*SUMPRODUCT($I$34:$I$68,$AC$34:$AC$68,$AP$34:$AP$68)/SUMPRODUCT($I$5:$I$68,$AC$5:$AC$68,$AP$5:$AP$68)/(+$I$34+$I$35+$I$36+$I$37+$I$38+$I$39+$I$40+$I$41+$I$42+$I$43+$I$44+$I$45+$I$46+$I$47+$I$48+$I$49+$I$50+$I$51+$I$52+$I$53+$I$54+$I$55+$I$56+$I$57+$I$58+$I$59+$I$60+$I$61+$I$62+$I$63+$I$64+$I$65+$I$66+$I$67+$I$68),0)*(1 - CUSTOS!$M$28)</f>
        <v>1.2276670987946332</v>
      </c>
      <c r="N59" s="13">
        <f ca="1">(+M59+O59+R59+U59+V59+W59+X59+Y59+Z59+AA59+AC59+AH59+AI59+AJ59+AK59)*CUSTOS!$M$5</f>
        <v>4.110641742540496</v>
      </c>
      <c r="O59" s="13">
        <f>1 - CUSTOS!$M$28</f>
        <v>1</v>
      </c>
      <c r="P59" s="13">
        <f>1 - CUSTOS!$M$28</f>
        <v>1</v>
      </c>
      <c r="Q59" s="13">
        <f>1*(1 - CUSTOS!$M$28)</f>
        <v>1</v>
      </c>
      <c r="R59" s="13">
        <f>1 - CUSTOS!$M$28</f>
        <v>1</v>
      </c>
      <c r="S59" s="13">
        <f>1 - CUSTOS!$M$28</f>
        <v>1</v>
      </c>
      <c r="T59" s="13"/>
      <c r="U59" s="13">
        <f>TRANSICAO!$U$59*CUSTOS!$T$3</f>
        <v>11.843999999999999</v>
      </c>
      <c r="V59" s="13">
        <f>TRANSICAO!$V$59*CUSTOS!$T$3</f>
        <v>9.0359999999999996</v>
      </c>
      <c r="W59" s="13">
        <f>TRANSICAO!$W$59*CUSTOS!$T$3</f>
        <v>0.9798</v>
      </c>
      <c r="X59" s="13">
        <f>TRANSICAO!$X$59*CUSTOS!$T$3</f>
        <v>0</v>
      </c>
      <c r="Y59" s="13">
        <f>TRANSICAO!$Y$59*CUSTOS!$T$3</f>
        <v>0</v>
      </c>
      <c r="Z59" s="13">
        <f>TRANSICAO!$Z$59*CUSTOS!$T$3</f>
        <v>0</v>
      </c>
      <c r="AA59" s="13">
        <f>TRANSICAO!$AA$59*CUSTOS!$T$3</f>
        <v>0</v>
      </c>
      <c r="AB59" s="13">
        <f>TRANSICAO!$AB$59*CUSTOS!$T$3</f>
        <v>0</v>
      </c>
      <c r="AC59" s="13">
        <f>TRANSICAO!$AC$59*CUSTOS!$T$3</f>
        <v>284.68520000000001</v>
      </c>
      <c r="AD59" s="13">
        <f>TRANSICAO!$AD$59*CUSTOS!$T$3</f>
        <v>0</v>
      </c>
      <c r="AE59" s="13">
        <v>0</v>
      </c>
      <c r="AF59" s="13">
        <v>0</v>
      </c>
      <c r="AG59" s="13"/>
      <c r="AH59" s="13">
        <f>(1 - CUSTOS!$M$28)*23.2014</f>
        <v>23.2014</v>
      </c>
      <c r="AI59" s="13">
        <f>(1 - CUSTOS!$M$28)*23.2014</f>
        <v>23.2014</v>
      </c>
      <c r="AJ59" s="13">
        <f ca="1">$N$83*(1-CUSTOS!$M$28)</f>
        <v>27.444353577627535</v>
      </c>
      <c r="AK59" s="13">
        <f t="shared" ca="1" si="1"/>
        <v>27.444353577627535</v>
      </c>
      <c r="AL59" s="13"/>
      <c r="AM59" s="13"/>
      <c r="AP59" s="13">
        <f>IF((1 - CUSTOS!$M$28)&lt;&gt;0,1/(1 - CUSTOS!$M$28),1)</f>
        <v>1</v>
      </c>
    </row>
    <row r="60" spans="1:42" ht="11.25" customHeight="1" x14ac:dyDescent="0.25">
      <c r="A60" s="107"/>
      <c r="B60" s="107"/>
      <c r="C60" s="107"/>
      <c r="D60" s="17" t="s">
        <v>101</v>
      </c>
      <c r="E60" s="17" t="s">
        <v>25</v>
      </c>
      <c r="F60" s="17" t="s">
        <v>25</v>
      </c>
      <c r="G60" s="18" t="s">
        <v>88</v>
      </c>
      <c r="H60" s="18" t="s">
        <v>82</v>
      </c>
      <c r="I60" s="18">
        <f>'MERCADO TUSD'!$U$57</f>
        <v>0</v>
      </c>
      <c r="J60" s="15"/>
      <c r="L60" s="13">
        <f>1*(1 - CUSTOS!$M$29)</f>
        <v>1</v>
      </c>
      <c r="M60" s="13">
        <f>IF(AND((+$I$34+$I$35+$I$36+$I$37+$I$38+$I$39+$I$40+$I$41+$I$42+$I$43+$I$44+$I$45+$I$46+$I$47+$I$48+$I$49+$I$50+$I$51+$I$52+$I$53+$I$54+$I$55+$I$56+$I$57+$I$58+$I$59+$I$60+$I$61+$I$62+$I$63+$I$64+$I$65+$I$66+$I$67+$I$68)&lt;&gt;0,SUMPRODUCT($I$5:$I$68,$AC$5:$AC$68,$AP$5:$AP$68)&lt;&gt;0),$M$73*SUMPRODUCT($I$34:$I$68,$AC$34:$AC$68,$AP$34:$AP$68)/SUMPRODUCT($I$5:$I$68,$AC$5:$AC$68,$AP$5:$AP$68)/(+$I$34+$I$35+$I$36+$I$37+$I$38+$I$39+$I$40+$I$41+$I$42+$I$43+$I$44+$I$45+$I$46+$I$47+$I$48+$I$49+$I$50+$I$51+$I$52+$I$53+$I$54+$I$55+$I$56+$I$57+$I$58+$I$59+$I$60+$I$61+$I$62+$I$63+$I$64+$I$65+$I$66+$I$67+$I$68),0)*(1 - CUSTOS!$M$29)</f>
        <v>1.2276670987946332</v>
      </c>
      <c r="N60" s="13">
        <f ca="1">(+M60+O60+R60+U60+V60+W60+X60+Y60+Z60+AA60+AC60+AH60+AI60+AJ60+AK60)*CUSTOS!$M$5</f>
        <v>4.110641742540496</v>
      </c>
      <c r="O60" s="13">
        <f>1 - CUSTOS!$M$29</f>
        <v>1</v>
      </c>
      <c r="P60" s="13">
        <f>1 - CUSTOS!$M$29</f>
        <v>1</v>
      </c>
      <c r="Q60" s="13">
        <f>1*(1 - CUSTOS!$M$29)</f>
        <v>1</v>
      </c>
      <c r="R60" s="13">
        <f>1 - CUSTOS!$M$29</f>
        <v>1</v>
      </c>
      <c r="S60" s="13">
        <f>1 - CUSTOS!$M$29</f>
        <v>1</v>
      </c>
      <c r="T60" s="13"/>
      <c r="U60" s="13">
        <f>TRANSICAO!$U$60*CUSTOS!$T$3</f>
        <v>11.843999999999999</v>
      </c>
      <c r="V60" s="13">
        <f>TRANSICAO!$V$60*CUSTOS!$T$3</f>
        <v>9.0359999999999996</v>
      </c>
      <c r="W60" s="13">
        <f>TRANSICAO!$W$60*CUSTOS!$T$3</f>
        <v>0.9798</v>
      </c>
      <c r="X60" s="13">
        <f>TRANSICAO!$X$60*CUSTOS!$T$3</f>
        <v>0</v>
      </c>
      <c r="Y60" s="13">
        <f>TRANSICAO!$Y$60*CUSTOS!$T$3</f>
        <v>0</v>
      </c>
      <c r="Z60" s="13">
        <f>TRANSICAO!$Z$60*CUSTOS!$T$3</f>
        <v>0</v>
      </c>
      <c r="AA60" s="13">
        <f>TRANSICAO!$AA$60*CUSTOS!$T$3</f>
        <v>0</v>
      </c>
      <c r="AB60" s="13">
        <f>TRANSICAO!$AB$60*CUSTOS!$T$3</f>
        <v>0</v>
      </c>
      <c r="AC60" s="13">
        <f>TRANSICAO!$AC$60*CUSTOS!$T$3</f>
        <v>284.68520000000001</v>
      </c>
      <c r="AD60" s="13">
        <f>TRANSICAO!$AD$60*CUSTOS!$T$3</f>
        <v>0</v>
      </c>
      <c r="AE60" s="13">
        <v>0</v>
      </c>
      <c r="AF60" s="13">
        <v>0</v>
      </c>
      <c r="AG60" s="13"/>
      <c r="AH60" s="13">
        <f>(1 - CUSTOS!$M$29)*23.2014</f>
        <v>23.2014</v>
      </c>
      <c r="AI60" s="13">
        <f>(1 - CUSTOS!$M$29)*23.2014</f>
        <v>23.2014</v>
      </c>
      <c r="AJ60" s="13">
        <f ca="1">$N$83*(1-CUSTOS!$M$29)</f>
        <v>27.444353577627535</v>
      </c>
      <c r="AK60" s="13">
        <f t="shared" ca="1" si="1"/>
        <v>27.444353577627535</v>
      </c>
      <c r="AL60" s="13"/>
      <c r="AM60" s="13"/>
      <c r="AP60" s="13">
        <f>IF((1 - CUSTOS!$M$29)&lt;&gt;0,1/(1 - CUSTOS!$M$29),1)</f>
        <v>1</v>
      </c>
    </row>
    <row r="61" spans="1:42" ht="11.25" customHeight="1" x14ac:dyDescent="0.25">
      <c r="A61" s="107"/>
      <c r="B61" s="107"/>
      <c r="C61" s="107"/>
      <c r="D61" s="17" t="s">
        <v>102</v>
      </c>
      <c r="E61" s="17" t="s">
        <v>25</v>
      </c>
      <c r="F61" s="17" t="s">
        <v>25</v>
      </c>
      <c r="G61" s="18" t="s">
        <v>88</v>
      </c>
      <c r="H61" s="18" t="s">
        <v>82</v>
      </c>
      <c r="I61" s="18">
        <f>'MERCADO TUSD'!$U$58</f>
        <v>0</v>
      </c>
      <c r="J61" s="15"/>
      <c r="L61" s="13">
        <f>1*(1 - CUSTOS!$M$30)</f>
        <v>1</v>
      </c>
      <c r="M61" s="13">
        <f>IF(AND((+$I$34+$I$35+$I$36+$I$37+$I$38+$I$39+$I$40+$I$41+$I$42+$I$43+$I$44+$I$45+$I$46+$I$47+$I$48+$I$49+$I$50+$I$51+$I$52+$I$53+$I$54+$I$55+$I$56+$I$57+$I$58+$I$59+$I$60+$I$61+$I$62+$I$63+$I$64+$I$65+$I$66+$I$67+$I$68)&lt;&gt;0,SUMPRODUCT($I$5:$I$68,$AC$5:$AC$68,$AP$5:$AP$68)&lt;&gt;0),$M$73*SUMPRODUCT($I$34:$I$68,$AC$34:$AC$68,$AP$34:$AP$68)/SUMPRODUCT($I$5:$I$68,$AC$5:$AC$68,$AP$5:$AP$68)/(+$I$34+$I$35+$I$36+$I$37+$I$38+$I$39+$I$40+$I$41+$I$42+$I$43+$I$44+$I$45+$I$46+$I$47+$I$48+$I$49+$I$50+$I$51+$I$52+$I$53+$I$54+$I$55+$I$56+$I$57+$I$58+$I$59+$I$60+$I$61+$I$62+$I$63+$I$64+$I$65+$I$66+$I$67+$I$68),0)*(1 - CUSTOS!$M$30)</f>
        <v>1.2276670987946332</v>
      </c>
      <c r="N61" s="13">
        <f ca="1">(+M61+O61+R61+U61+V61+W61+X61+Y61+Z61+AA61+AC61+AH61+AI61+AJ61+AK61)*CUSTOS!$M$5</f>
        <v>4.110641742540496</v>
      </c>
      <c r="O61" s="13">
        <f>1 - CUSTOS!$M$30</f>
        <v>1</v>
      </c>
      <c r="P61" s="13">
        <f>1 - CUSTOS!$M$30</f>
        <v>1</v>
      </c>
      <c r="Q61" s="13">
        <f>1*(1 - CUSTOS!$M$30)</f>
        <v>1</v>
      </c>
      <c r="R61" s="13">
        <f>1 - CUSTOS!$M$30</f>
        <v>1</v>
      </c>
      <c r="S61" s="13">
        <f>1 - CUSTOS!$M$30</f>
        <v>1</v>
      </c>
      <c r="T61" s="13"/>
      <c r="U61" s="13">
        <f>TRANSICAO!$U$61*CUSTOS!$T$3</f>
        <v>11.843999999999999</v>
      </c>
      <c r="V61" s="13">
        <f>TRANSICAO!$V$61*CUSTOS!$T$3</f>
        <v>9.0359999999999996</v>
      </c>
      <c r="W61" s="13">
        <f>TRANSICAO!$W$61*CUSTOS!$T$3</f>
        <v>0.9798</v>
      </c>
      <c r="X61" s="13">
        <f>TRANSICAO!$X$61*CUSTOS!$T$3</f>
        <v>0</v>
      </c>
      <c r="Y61" s="13">
        <f>TRANSICAO!$Y$61*CUSTOS!$T$3</f>
        <v>0</v>
      </c>
      <c r="Z61" s="13">
        <f>TRANSICAO!$Z$61*CUSTOS!$T$3</f>
        <v>0</v>
      </c>
      <c r="AA61" s="13">
        <f>TRANSICAO!$AA$61*CUSTOS!$T$3</f>
        <v>0</v>
      </c>
      <c r="AB61" s="13">
        <f>TRANSICAO!$AB$61*CUSTOS!$T$3</f>
        <v>0</v>
      </c>
      <c r="AC61" s="13">
        <f>TRANSICAO!$AC$61*CUSTOS!$T$3</f>
        <v>284.68520000000001</v>
      </c>
      <c r="AD61" s="13">
        <f>TRANSICAO!$AD$61*CUSTOS!$T$3</f>
        <v>0</v>
      </c>
      <c r="AE61" s="13">
        <v>0</v>
      </c>
      <c r="AF61" s="13">
        <v>0</v>
      </c>
      <c r="AG61" s="13"/>
      <c r="AH61" s="13">
        <f>(1 - CUSTOS!$M$30)*23.2014</f>
        <v>23.2014</v>
      </c>
      <c r="AI61" s="13">
        <f>(1 - CUSTOS!$M$30)*23.2014</f>
        <v>23.2014</v>
      </c>
      <c r="AJ61" s="13">
        <f ca="1">$N$83*(1-CUSTOS!$M$30)</f>
        <v>27.444353577627535</v>
      </c>
      <c r="AK61" s="13">
        <f t="shared" ca="1" si="1"/>
        <v>27.444353577627535</v>
      </c>
      <c r="AL61" s="13"/>
      <c r="AM61" s="13"/>
      <c r="AP61" s="13">
        <f>IF((1 - CUSTOS!$M$30)&lt;&gt;0,1/(1 - CUSTOS!$M$30),1)</f>
        <v>1</v>
      </c>
    </row>
    <row r="62" spans="1:42" ht="11.25" customHeight="1" x14ac:dyDescent="0.25">
      <c r="A62" s="107" t="s">
        <v>39</v>
      </c>
      <c r="B62" s="107" t="s">
        <v>35</v>
      </c>
      <c r="C62" s="107" t="s">
        <v>25</v>
      </c>
      <c r="D62" s="107" t="s">
        <v>25</v>
      </c>
      <c r="E62" s="107" t="s">
        <v>25</v>
      </c>
      <c r="F62" s="107" t="s">
        <v>25</v>
      </c>
      <c r="G62" s="18" t="s">
        <v>83</v>
      </c>
      <c r="H62" s="18" t="s">
        <v>82</v>
      </c>
      <c r="I62" s="18">
        <f>'MERCADO TUSD'!$U$59</f>
        <v>79.968999999999994</v>
      </c>
      <c r="J62" s="15"/>
      <c r="L62" s="13">
        <f>1*(1 - CUSTOS!$M$31)</f>
        <v>1</v>
      </c>
      <c r="M62" s="13">
        <f>IF(AND((+$I$34+$I$35+$I$36+$I$37+$I$38+$I$39+$I$40+$I$41+$I$42+$I$43+$I$44+$I$45+$I$46+$I$47+$I$48+$I$49+$I$50+$I$51+$I$52+$I$53+$I$54+$I$55+$I$56+$I$57+$I$58+$I$59+$I$60+$I$61+$I$62+$I$63+$I$64+$I$65+$I$66+$I$67+$I$68)&lt;&gt;0,SUMPRODUCT($I$5:$I$68,$AC$5:$AC$68,$AP$5:$AP$68)&lt;&gt;0),$M$73*SUMPRODUCT($I$34:$I$68,$AC$34:$AC$68,$AP$34:$AP$68)/SUMPRODUCT($I$5:$I$68,$AC$5:$AC$68,$AP$5:$AP$68)/(+$I$34+$I$35+$I$36+$I$37+$I$38+$I$39+$I$40+$I$41+$I$42+$I$43+$I$44+$I$45+$I$46+$I$47+$I$48+$I$49+$I$50+$I$51+$I$52+$I$53+$I$54+$I$55+$I$56+$I$57+$I$58+$I$59+$I$60+$I$61+$I$62+$I$63+$I$64+$I$65+$I$66+$I$67+$I$68),0)*(1 - CUSTOS!$M$31)</f>
        <v>1.2276670987946332</v>
      </c>
      <c r="N62" s="13">
        <f ca="1">(+M62+O62+R62+U62+V62+W62+X62+Y62+Z62+AA62+AC62+AH62+AI62+AJ62+AK62)*CUSTOS!$M$5</f>
        <v>11.467718742540495</v>
      </c>
      <c r="O62" s="13">
        <f>1 - CUSTOS!$M$31</f>
        <v>1</v>
      </c>
      <c r="P62" s="13">
        <f>1 - CUSTOS!$M$31</f>
        <v>1</v>
      </c>
      <c r="Q62" s="13">
        <f>1*(1 - CUSTOS!$M$31)</f>
        <v>1</v>
      </c>
      <c r="R62" s="13">
        <f>1 - CUSTOS!$M$31</f>
        <v>1</v>
      </c>
      <c r="S62" s="13">
        <f>1 - CUSTOS!$M$31</f>
        <v>1</v>
      </c>
      <c r="T62" s="13"/>
      <c r="U62" s="13">
        <f>TRANSICAO!$U$62*CUSTOS!$T$3</f>
        <v>40.269500000000001</v>
      </c>
      <c r="V62" s="13">
        <f>TRANSICAO!$V$62*CUSTOS!$T$3</f>
        <v>30.722300000000001</v>
      </c>
      <c r="W62" s="13">
        <f>TRANSICAO!$W$62*CUSTOS!$T$3</f>
        <v>3.3311999999999999</v>
      </c>
      <c r="X62" s="13">
        <f>TRANSICAO!$X$62*CUSTOS!$T$3</f>
        <v>0</v>
      </c>
      <c r="Y62" s="13">
        <f>TRANSICAO!$Y$62*CUSTOS!$T$3</f>
        <v>0</v>
      </c>
      <c r="Z62" s="13">
        <f>TRANSICAO!$Z$62*CUSTOS!$T$3</f>
        <v>0</v>
      </c>
      <c r="AA62" s="13">
        <f>TRANSICAO!$AA$62*CUSTOS!$T$3</f>
        <v>0</v>
      </c>
      <c r="AB62" s="13">
        <f>TRANSICAO!$AB$62*CUSTOS!$T$3</f>
        <v>0</v>
      </c>
      <c r="AC62" s="13">
        <f>TRANSICAO!$AC$62*CUSTOS!$T$3</f>
        <v>967.92970000000003</v>
      </c>
      <c r="AD62" s="13">
        <f>TRANSICAO!$AD$62*CUSTOS!$T$3</f>
        <v>0</v>
      </c>
      <c r="AE62" s="13">
        <v>0</v>
      </c>
      <c r="AF62" s="13">
        <v>0</v>
      </c>
      <c r="AG62" s="13"/>
      <c r="AH62" s="13">
        <f>(1 - CUSTOS!$M$31)*23.2014</f>
        <v>23.2014</v>
      </c>
      <c r="AI62" s="13">
        <f>(1 - CUSTOS!$M$31)*23.2014</f>
        <v>23.2014</v>
      </c>
      <c r="AJ62" s="13">
        <f ca="1">$N$83*(1-CUSTOS!$M$31)</f>
        <v>27.444353577627535</v>
      </c>
      <c r="AK62" s="13">
        <f t="shared" ca="1" si="1"/>
        <v>27.444353577627535</v>
      </c>
      <c r="AL62" s="13"/>
      <c r="AM62" s="13"/>
      <c r="AP62" s="13">
        <f>IF((1 - CUSTOS!$M$31)&lt;&gt;0,1/(1 - CUSTOS!$M$31),1)</f>
        <v>1</v>
      </c>
    </row>
    <row r="63" spans="1:42" ht="11.25" customHeight="1" x14ac:dyDescent="0.25">
      <c r="A63" s="107"/>
      <c r="B63" s="107"/>
      <c r="C63" s="107"/>
      <c r="D63" s="107"/>
      <c r="E63" s="107"/>
      <c r="F63" s="107"/>
      <c r="G63" s="18" t="s">
        <v>98</v>
      </c>
      <c r="H63" s="18" t="s">
        <v>82</v>
      </c>
      <c r="I63" s="18">
        <f>'MERCADO TUSD'!$U$60</f>
        <v>41.695999999999998</v>
      </c>
      <c r="J63" s="15"/>
      <c r="L63" s="13">
        <f>1*(1 - CUSTOS!$M$31)</f>
        <v>1</v>
      </c>
      <c r="M63" s="13">
        <f>IF(AND((+$I$34+$I$35+$I$36+$I$37+$I$38+$I$39+$I$40+$I$41+$I$42+$I$43+$I$44+$I$45+$I$46+$I$47+$I$48+$I$49+$I$50+$I$51+$I$52+$I$53+$I$54+$I$55+$I$56+$I$57+$I$58+$I$59+$I$60+$I$61+$I$62+$I$63+$I$64+$I$65+$I$66+$I$67+$I$68)&lt;&gt;0,SUMPRODUCT($I$5:$I$68,$AC$5:$AC$68,$AP$5:$AP$68)&lt;&gt;0),$M$73*SUMPRODUCT($I$34:$I$68,$AC$34:$AC$68,$AP$34:$AP$68)/SUMPRODUCT($I$5:$I$68,$AC$5:$AC$68,$AP$5:$AP$68)/(+$I$34+$I$35+$I$36+$I$37+$I$38+$I$39+$I$40+$I$41+$I$42+$I$43+$I$44+$I$45+$I$46+$I$47+$I$48+$I$49+$I$50+$I$51+$I$52+$I$53+$I$54+$I$55+$I$56+$I$57+$I$58+$I$59+$I$60+$I$61+$I$62+$I$63+$I$64+$I$65+$I$66+$I$67+$I$68),0)*(1 - CUSTOS!$M$31)</f>
        <v>1.2276670987946332</v>
      </c>
      <c r="N63" s="13">
        <f ca="1">(+M63+O63+R63+U63+V63+W63+X63+Y63+Z63+AA63+AC63+AH63+AI63+AJ63+AK63)*CUSTOS!$M$5</f>
        <v>7.2987077425404987</v>
      </c>
      <c r="O63" s="13">
        <f>1 - CUSTOS!$M$31</f>
        <v>1</v>
      </c>
      <c r="P63" s="13">
        <f>1 - CUSTOS!$M$31</f>
        <v>1</v>
      </c>
      <c r="Q63" s="13">
        <f>1*(1 - CUSTOS!$M$31)</f>
        <v>1</v>
      </c>
      <c r="R63" s="13">
        <f>1 - CUSTOS!$M$31</f>
        <v>1</v>
      </c>
      <c r="S63" s="13">
        <f>1 - CUSTOS!$M$31</f>
        <v>1</v>
      </c>
      <c r="T63" s="13"/>
      <c r="U63" s="13">
        <f>TRANSICAO!$U$63*CUSTOS!$T$3</f>
        <v>24.1617</v>
      </c>
      <c r="V63" s="13">
        <f>TRANSICAO!$V$63*CUSTOS!$T$3</f>
        <v>18.433399999999999</v>
      </c>
      <c r="W63" s="13">
        <f>TRANSICAO!$W$63*CUSTOS!$T$3</f>
        <v>1.9986999999999999</v>
      </c>
      <c r="X63" s="13">
        <f>TRANSICAO!$X$63*CUSTOS!$T$3</f>
        <v>0</v>
      </c>
      <c r="Y63" s="13">
        <f>TRANSICAO!$Y$63*CUSTOS!$T$3</f>
        <v>0</v>
      </c>
      <c r="Z63" s="13">
        <f>TRANSICAO!$Z$63*CUSTOS!$T$3</f>
        <v>0</v>
      </c>
      <c r="AA63" s="13">
        <f>TRANSICAO!$AA$63*CUSTOS!$T$3</f>
        <v>0</v>
      </c>
      <c r="AB63" s="13">
        <f>TRANSICAO!$AB$63*CUSTOS!$T$3</f>
        <v>0</v>
      </c>
      <c r="AC63" s="13">
        <f>TRANSICAO!$AC$63*CUSTOS!$T$3</f>
        <v>580.75779999999997</v>
      </c>
      <c r="AD63" s="13">
        <f>TRANSICAO!$AD$63*CUSTOS!$T$3</f>
        <v>0</v>
      </c>
      <c r="AE63" s="13">
        <v>0</v>
      </c>
      <c r="AF63" s="13">
        <v>0</v>
      </c>
      <c r="AG63" s="13"/>
      <c r="AH63" s="13">
        <f>(1 - CUSTOS!$M$31)*23.2014</f>
        <v>23.2014</v>
      </c>
      <c r="AI63" s="13">
        <f>(1 - CUSTOS!$M$31)*23.2014</f>
        <v>23.2014</v>
      </c>
      <c r="AJ63" s="13">
        <f ca="1">$N$83*(1-CUSTOS!$M$31)</f>
        <v>27.444353577627535</v>
      </c>
      <c r="AK63" s="13">
        <f t="shared" ca="1" si="1"/>
        <v>27.444353577627535</v>
      </c>
      <c r="AL63" s="13"/>
      <c r="AM63" s="13"/>
      <c r="AP63" s="13">
        <f>IF((1 - CUSTOS!$M$31)&lt;&gt;0,1/(1 - CUSTOS!$M$31),1)</f>
        <v>1</v>
      </c>
    </row>
    <row r="64" spans="1:42" ht="11.25" customHeight="1" x14ac:dyDescent="0.25">
      <c r="A64" s="107"/>
      <c r="B64" s="107"/>
      <c r="C64" s="107"/>
      <c r="D64" s="107"/>
      <c r="E64" s="107"/>
      <c r="F64" s="107"/>
      <c r="G64" s="18" t="s">
        <v>84</v>
      </c>
      <c r="H64" s="18" t="s">
        <v>82</v>
      </c>
      <c r="I64" s="18">
        <f>'MERCADO TUSD'!$U$61</f>
        <v>1338.2650000000001</v>
      </c>
      <c r="J64" s="15"/>
      <c r="L64" s="13">
        <f>1*(1 - CUSTOS!$M$31)</f>
        <v>1</v>
      </c>
      <c r="M64" s="13">
        <f>IF(AND((+$I$34+$I$35+$I$36+$I$37+$I$38+$I$39+$I$40+$I$41+$I$42+$I$43+$I$44+$I$45+$I$46+$I$47+$I$48+$I$49+$I$50+$I$51+$I$52+$I$53+$I$54+$I$55+$I$56+$I$57+$I$58+$I$59+$I$60+$I$61+$I$62+$I$63+$I$64+$I$65+$I$66+$I$67+$I$68)&lt;&gt;0,SUMPRODUCT($I$5:$I$68,$AC$5:$AC$68,$AP$5:$AP$68)&lt;&gt;0),$M$73*SUMPRODUCT($I$34:$I$68,$AC$34:$AC$68,$AP$34:$AP$68)/SUMPRODUCT($I$5:$I$68,$AC$5:$AC$68,$AP$5:$AP$68)/(+$I$34+$I$35+$I$36+$I$37+$I$38+$I$39+$I$40+$I$41+$I$42+$I$43+$I$44+$I$45+$I$46+$I$47+$I$48+$I$49+$I$50+$I$51+$I$52+$I$53+$I$54+$I$55+$I$56+$I$57+$I$58+$I$59+$I$60+$I$61+$I$62+$I$63+$I$64+$I$65+$I$66+$I$67+$I$68),0)*(1 - CUSTOS!$M$31)</f>
        <v>1.2276670987946332</v>
      </c>
      <c r="N64" s="13">
        <f ca="1">(+M64+O64+R64+U64+V64+W64+X64+Y64+Z64+AA64+AC64+AH64+AI64+AJ64+AK64)*CUSTOS!$M$5</f>
        <v>3.1296967425404967</v>
      </c>
      <c r="O64" s="13">
        <f>1 - CUSTOS!$M$31</f>
        <v>1</v>
      </c>
      <c r="P64" s="13">
        <f>1 - CUSTOS!$M$31</f>
        <v>1</v>
      </c>
      <c r="Q64" s="13">
        <f>1*(1 - CUSTOS!$M$31)</f>
        <v>1</v>
      </c>
      <c r="R64" s="13">
        <f>1 - CUSTOS!$M$31</f>
        <v>1</v>
      </c>
      <c r="S64" s="13">
        <f>1 - CUSTOS!$M$31</f>
        <v>1</v>
      </c>
      <c r="T64" s="13"/>
      <c r="U64" s="13">
        <f>TRANSICAO!$U$64*CUSTOS!$T$3</f>
        <v>8.0539000000000005</v>
      </c>
      <c r="V64" s="13">
        <f>TRANSICAO!$V$64*CUSTOS!$T$3</f>
        <v>6.1444999999999999</v>
      </c>
      <c r="W64" s="13">
        <f>TRANSICAO!$W$64*CUSTOS!$T$3</f>
        <v>0.66620000000000001</v>
      </c>
      <c r="X64" s="13">
        <f>TRANSICAO!$X$64*CUSTOS!$T$3</f>
        <v>0</v>
      </c>
      <c r="Y64" s="13">
        <f>TRANSICAO!$Y$64*CUSTOS!$T$3</f>
        <v>0</v>
      </c>
      <c r="Z64" s="13">
        <f>TRANSICAO!$Z$64*CUSTOS!$T$3</f>
        <v>0</v>
      </c>
      <c r="AA64" s="13">
        <f>TRANSICAO!$AA$64*CUSTOS!$T$3</f>
        <v>0</v>
      </c>
      <c r="AB64" s="13">
        <f>TRANSICAO!$AB$64*CUSTOS!$T$3</f>
        <v>0</v>
      </c>
      <c r="AC64" s="13">
        <f>TRANSICAO!$AC$64*CUSTOS!$T$3</f>
        <v>193.58590000000001</v>
      </c>
      <c r="AD64" s="13">
        <f>TRANSICAO!$AD$64*CUSTOS!$T$3</f>
        <v>0</v>
      </c>
      <c r="AE64" s="13">
        <v>0</v>
      </c>
      <c r="AF64" s="13">
        <v>0</v>
      </c>
      <c r="AG64" s="13"/>
      <c r="AH64" s="13">
        <f>(1 - CUSTOS!$M$31)*23.2014</f>
        <v>23.2014</v>
      </c>
      <c r="AI64" s="13">
        <f>(1 - CUSTOS!$M$31)*23.2014</f>
        <v>23.2014</v>
      </c>
      <c r="AJ64" s="13">
        <f ca="1">$N$83*(1-CUSTOS!$M$31)</f>
        <v>27.444353577627535</v>
      </c>
      <c r="AK64" s="13">
        <f t="shared" ca="1" si="1"/>
        <v>27.444353577627535</v>
      </c>
      <c r="AL64" s="13"/>
      <c r="AM64" s="13"/>
      <c r="AP64" s="13">
        <f>IF((1 - CUSTOS!$M$31)&lt;&gt;0,1/(1 - CUSTOS!$M$31),1)</f>
        <v>1</v>
      </c>
    </row>
    <row r="65" spans="1:42" ht="11.25" customHeight="1" x14ac:dyDescent="0.25">
      <c r="A65" s="107"/>
      <c r="B65" s="17" t="s">
        <v>23</v>
      </c>
      <c r="C65" s="17" t="s">
        <v>25</v>
      </c>
      <c r="D65" s="17" t="s">
        <v>25</v>
      </c>
      <c r="E65" s="17" t="s">
        <v>25</v>
      </c>
      <c r="F65" s="17" t="s">
        <v>25</v>
      </c>
      <c r="G65" s="18" t="s">
        <v>88</v>
      </c>
      <c r="H65" s="18" t="s">
        <v>82</v>
      </c>
      <c r="I65" s="18">
        <f>'MERCADO TUSD'!$U$62</f>
        <v>209665.67300000001</v>
      </c>
      <c r="J65" s="15"/>
      <c r="L65" s="13">
        <f>1*(1 - CUSTOS!$M$31)</f>
        <v>1</v>
      </c>
      <c r="M65" s="13">
        <f>IF(AND((+$I$34+$I$35+$I$36+$I$37+$I$38+$I$39+$I$40+$I$41+$I$42+$I$43+$I$44+$I$45+$I$46+$I$47+$I$48+$I$49+$I$50+$I$51+$I$52+$I$53+$I$54+$I$55+$I$56+$I$57+$I$58+$I$59+$I$60+$I$61+$I$62+$I$63+$I$64+$I$65+$I$66+$I$67+$I$68)&lt;&gt;0,SUMPRODUCT($I$5:$I$68,$AC$5:$AC$68,$AP$5:$AP$68)&lt;&gt;0),$M$73*SUMPRODUCT($I$34:$I$68,$AC$34:$AC$68,$AP$34:$AP$68)/SUMPRODUCT($I$5:$I$68,$AC$5:$AC$68,$AP$5:$AP$68)/(+$I$34+$I$35+$I$36+$I$37+$I$38+$I$39+$I$40+$I$41+$I$42+$I$43+$I$44+$I$45+$I$46+$I$47+$I$48+$I$49+$I$50+$I$51+$I$52+$I$53+$I$54+$I$55+$I$56+$I$57+$I$58+$I$59+$I$60+$I$61+$I$62+$I$63+$I$64+$I$65+$I$66+$I$67+$I$68),0)*(1 - CUSTOS!$M$31)</f>
        <v>1.2276670987946332</v>
      </c>
      <c r="N65" s="13">
        <f ca="1">(+M65+O65+R65+U65+V65+W65+X65+Y65+Z65+AA65+AC65+AH65+AI65+AJ65+AK65)*CUSTOS!$M$5</f>
        <v>4.110641742540496</v>
      </c>
      <c r="O65" s="13">
        <f>1 - CUSTOS!$M$31</f>
        <v>1</v>
      </c>
      <c r="P65" s="13">
        <f>1 - CUSTOS!$M$31</f>
        <v>1</v>
      </c>
      <c r="Q65" s="13">
        <f>1*(1 - CUSTOS!$M$31)</f>
        <v>1</v>
      </c>
      <c r="R65" s="13">
        <f>1 - CUSTOS!$M$31</f>
        <v>1</v>
      </c>
      <c r="S65" s="13">
        <f>1 - CUSTOS!$M$31</f>
        <v>1</v>
      </c>
      <c r="T65" s="13"/>
      <c r="U65" s="13">
        <f>TRANSICAO!$U$65*CUSTOS!$T$3</f>
        <v>11.843999999999999</v>
      </c>
      <c r="V65" s="13">
        <f>TRANSICAO!$V$65*CUSTOS!$T$3</f>
        <v>9.0359999999999996</v>
      </c>
      <c r="W65" s="13">
        <f>TRANSICAO!$W$65*CUSTOS!$T$3</f>
        <v>0.9798</v>
      </c>
      <c r="X65" s="13">
        <f>TRANSICAO!$X$65*CUSTOS!$T$3</f>
        <v>0</v>
      </c>
      <c r="Y65" s="13">
        <f>TRANSICAO!$Y$65*CUSTOS!$T$3</f>
        <v>0</v>
      </c>
      <c r="Z65" s="13">
        <f>TRANSICAO!$Z$65*CUSTOS!$T$3</f>
        <v>0</v>
      </c>
      <c r="AA65" s="13">
        <f>TRANSICAO!$AA$65*CUSTOS!$T$3</f>
        <v>0</v>
      </c>
      <c r="AB65" s="13">
        <f>TRANSICAO!$AB$65*CUSTOS!$T$3</f>
        <v>0</v>
      </c>
      <c r="AC65" s="13">
        <f>TRANSICAO!$AC$65*CUSTOS!$T$3</f>
        <v>284.68520000000001</v>
      </c>
      <c r="AD65" s="13">
        <f>TRANSICAO!$AD$65*CUSTOS!$T$3</f>
        <v>0</v>
      </c>
      <c r="AE65" s="13">
        <v>0</v>
      </c>
      <c r="AF65" s="13">
        <v>0</v>
      </c>
      <c r="AG65" s="13"/>
      <c r="AH65" s="13">
        <f>(1 - CUSTOS!$M$31)*23.2014</f>
        <v>23.2014</v>
      </c>
      <c r="AI65" s="13">
        <f>(1 - CUSTOS!$M$31)*23.2014</f>
        <v>23.2014</v>
      </c>
      <c r="AJ65" s="13">
        <f ca="1">$N$83*(1-CUSTOS!$M$31)</f>
        <v>27.444353577627535</v>
      </c>
      <c r="AK65" s="13">
        <f t="shared" ca="1" si="1"/>
        <v>27.444353577627535</v>
      </c>
      <c r="AL65" s="13"/>
      <c r="AM65" s="13"/>
      <c r="AP65" s="13">
        <f>IF((1 - CUSTOS!$M$31)&lt;&gt;0,1/(1 - CUSTOS!$M$31),1)</f>
        <v>1</v>
      </c>
    </row>
    <row r="66" spans="1:42" ht="11.25" customHeight="1" x14ac:dyDescent="0.25">
      <c r="A66" s="107"/>
      <c r="B66" s="17" t="s">
        <v>100</v>
      </c>
      <c r="C66" s="17" t="s">
        <v>25</v>
      </c>
      <c r="D66" s="17" t="s">
        <v>25</v>
      </c>
      <c r="E66" s="17" t="s">
        <v>25</v>
      </c>
      <c r="F66" s="17" t="s">
        <v>25</v>
      </c>
      <c r="G66" s="18" t="s">
        <v>88</v>
      </c>
      <c r="H66" s="18" t="s">
        <v>82</v>
      </c>
      <c r="I66" s="18">
        <f>'MERCADO TUSD'!$U$63</f>
        <v>0</v>
      </c>
      <c r="J66" s="15"/>
      <c r="L66" s="13">
        <f>1*(1 - CUSTOS!$M$31)</f>
        <v>1</v>
      </c>
      <c r="M66" s="13">
        <f>IF(AND((+$I$34+$I$35+$I$36+$I$37+$I$38+$I$39+$I$40+$I$41+$I$42+$I$43+$I$44+$I$45+$I$46+$I$47+$I$48+$I$49+$I$50+$I$51+$I$52+$I$53+$I$54+$I$55+$I$56+$I$57+$I$58+$I$59+$I$60+$I$61+$I$62+$I$63+$I$64+$I$65+$I$66+$I$67+$I$68)&lt;&gt;0,SUMPRODUCT($I$5:$I$68,$AC$5:$AC$68,$AP$5:$AP$68)&lt;&gt;0),$M$73*SUMPRODUCT($I$34:$I$68,$AC$34:$AC$68,$AP$34:$AP$68)/SUMPRODUCT($I$5:$I$68,$AC$5:$AC$68,$AP$5:$AP$68)/(+$I$34+$I$35+$I$36+$I$37+$I$38+$I$39+$I$40+$I$41+$I$42+$I$43+$I$44+$I$45+$I$46+$I$47+$I$48+$I$49+$I$50+$I$51+$I$52+$I$53+$I$54+$I$55+$I$56+$I$57+$I$58+$I$59+$I$60+$I$61+$I$62+$I$63+$I$64+$I$65+$I$66+$I$67+$I$68),0)*(1 - CUSTOS!$M$31)</f>
        <v>1.2276670987946332</v>
      </c>
      <c r="N66" s="13">
        <f ca="1">(+M66+O66+R66+U66+V66+W66+X66+Y66+Z66+AA66+AC66+AH66+AI66+AJ66+AK66)*CUSTOS!$M$5</f>
        <v>4.110641742540496</v>
      </c>
      <c r="O66" s="13">
        <f>1 - CUSTOS!$M$31</f>
        <v>1</v>
      </c>
      <c r="P66" s="13">
        <f>1 - CUSTOS!$M$31</f>
        <v>1</v>
      </c>
      <c r="Q66" s="13">
        <f>1*(1 - CUSTOS!$M$31)</f>
        <v>1</v>
      </c>
      <c r="R66" s="13">
        <f>1 - CUSTOS!$M$31</f>
        <v>1</v>
      </c>
      <c r="S66" s="13">
        <f>1 - CUSTOS!$M$31</f>
        <v>1</v>
      </c>
      <c r="T66" s="13"/>
      <c r="U66" s="13">
        <f>TRANSICAO!$U$66*CUSTOS!$T$3</f>
        <v>11.843999999999999</v>
      </c>
      <c r="V66" s="13">
        <f>TRANSICAO!$V$66*CUSTOS!$T$3</f>
        <v>9.0359999999999996</v>
      </c>
      <c r="W66" s="13">
        <f>TRANSICAO!$W$66*CUSTOS!$T$3</f>
        <v>0.9798</v>
      </c>
      <c r="X66" s="13">
        <f>TRANSICAO!$X$66*CUSTOS!$T$3</f>
        <v>0</v>
      </c>
      <c r="Y66" s="13">
        <f>TRANSICAO!$Y$66*CUSTOS!$T$3</f>
        <v>0</v>
      </c>
      <c r="Z66" s="13">
        <f>TRANSICAO!$Z$66*CUSTOS!$T$3</f>
        <v>0</v>
      </c>
      <c r="AA66" s="13">
        <f>TRANSICAO!$AA$66*CUSTOS!$T$3</f>
        <v>0</v>
      </c>
      <c r="AB66" s="13">
        <f>TRANSICAO!$AB$66*CUSTOS!$T$3</f>
        <v>0</v>
      </c>
      <c r="AC66" s="13">
        <f>TRANSICAO!$AC$66*CUSTOS!$T$3</f>
        <v>284.68520000000001</v>
      </c>
      <c r="AD66" s="13">
        <f>TRANSICAO!$AD$66*CUSTOS!$T$3</f>
        <v>0</v>
      </c>
      <c r="AE66" s="13">
        <v>0</v>
      </c>
      <c r="AF66" s="13">
        <v>0</v>
      </c>
      <c r="AG66" s="13"/>
      <c r="AH66" s="13">
        <f>(1 - CUSTOS!$M$31)*23.2014</f>
        <v>23.2014</v>
      </c>
      <c r="AI66" s="13">
        <f>(1 - CUSTOS!$M$31)*23.2014</f>
        <v>23.2014</v>
      </c>
      <c r="AJ66" s="13">
        <f ca="1">$N$83*(1-CUSTOS!$M$31)</f>
        <v>27.444353577627535</v>
      </c>
      <c r="AK66" s="13">
        <f t="shared" ca="1" si="1"/>
        <v>27.444353577627535</v>
      </c>
      <c r="AL66" s="13"/>
      <c r="AM66" s="13"/>
      <c r="AP66" s="13">
        <f>IF((1 - CUSTOS!$M$31)&lt;&gt;0,1/(1 - CUSTOS!$M$31),1)</f>
        <v>1</v>
      </c>
    </row>
    <row r="67" spans="1:42" ht="11.25" customHeight="1" x14ac:dyDescent="0.25">
      <c r="A67" s="107" t="s">
        <v>49</v>
      </c>
      <c r="B67" s="107" t="s">
        <v>23</v>
      </c>
      <c r="C67" s="107" t="s">
        <v>50</v>
      </c>
      <c r="D67" s="17" t="s">
        <v>51</v>
      </c>
      <c r="E67" s="17" t="s">
        <v>25</v>
      </c>
      <c r="F67" s="17" t="s">
        <v>25</v>
      </c>
      <c r="G67" s="18" t="s">
        <v>88</v>
      </c>
      <c r="H67" s="18" t="s">
        <v>82</v>
      </c>
      <c r="I67" s="18">
        <f>'MERCADO TUSD'!$U$64</f>
        <v>49365.182000000001</v>
      </c>
      <c r="J67" s="15"/>
      <c r="L67" s="13">
        <f>1*(1 - CUSTOS!$M$32)</f>
        <v>0.55000000000000004</v>
      </c>
      <c r="M67" s="13">
        <f>IF(AND((+$I$34+$I$35+$I$36+$I$37+$I$38+$I$39+$I$40+$I$41+$I$42+$I$43+$I$44+$I$45+$I$46+$I$47+$I$48+$I$49+$I$50+$I$51+$I$52+$I$53+$I$54+$I$55+$I$56+$I$57+$I$58+$I$59+$I$60+$I$61+$I$62+$I$63+$I$64+$I$65+$I$66+$I$67+$I$68)&lt;&gt;0,SUMPRODUCT($I$5:$I$68,$AC$5:$AC$68,$AP$5:$AP$68)&lt;&gt;0),$M$73*SUMPRODUCT($I$34:$I$68,$AC$34:$AC$68,$AP$34:$AP$68)/SUMPRODUCT($I$5:$I$68,$AC$5:$AC$68,$AP$5:$AP$68)/(+$I$34+$I$35+$I$36+$I$37+$I$38+$I$39+$I$40+$I$41+$I$42+$I$43+$I$44+$I$45+$I$46+$I$47+$I$48+$I$49+$I$50+$I$51+$I$52+$I$53+$I$54+$I$55+$I$56+$I$57+$I$58+$I$59+$I$60+$I$61+$I$62+$I$63+$I$64+$I$65+$I$66+$I$67+$I$68),0)*(1 - CUSTOS!$M$32)</f>
        <v>0.67521690433704828</v>
      </c>
      <c r="N67" s="13">
        <f ca="1">(+M67+O67+R67+U67+V67+W67+X67+Y67+Z67+AA67+AC67+AH67+AI67+AJ67+AK67)*CUSTOS!$M$5</f>
        <v>2.2608529583972738</v>
      </c>
      <c r="O67" s="13">
        <f>1 - CUSTOS!$M$32</f>
        <v>0.55000000000000004</v>
      </c>
      <c r="P67" s="13">
        <f>1 - CUSTOS!$M$32</f>
        <v>0.55000000000000004</v>
      </c>
      <c r="Q67" s="13">
        <f>1*(1 - CUSTOS!$M$32)</f>
        <v>0.55000000000000004</v>
      </c>
      <c r="R67" s="13">
        <f>1 - CUSTOS!$M$32</f>
        <v>0.55000000000000004</v>
      </c>
      <c r="S67" s="13">
        <f>1 - CUSTOS!$M$32</f>
        <v>0.55000000000000004</v>
      </c>
      <c r="T67" s="13"/>
      <c r="U67" s="13">
        <f>TRANSICAO!$U$67*CUSTOS!$T$3</f>
        <v>6.5141999999999998</v>
      </c>
      <c r="V67" s="13">
        <f>TRANSICAO!$V$67*CUSTOS!$T$3</f>
        <v>4.9698000000000002</v>
      </c>
      <c r="W67" s="13">
        <f>TRANSICAO!$W$67*CUSTOS!$T$3</f>
        <v>0.53889000000000009</v>
      </c>
      <c r="X67" s="13">
        <f>TRANSICAO!$X$67*CUSTOS!$T$3</f>
        <v>0</v>
      </c>
      <c r="Y67" s="13">
        <f>TRANSICAO!$Y$67*CUSTOS!$T$3</f>
        <v>0</v>
      </c>
      <c r="Z67" s="13">
        <f>TRANSICAO!$Z$67*CUSTOS!$T$3</f>
        <v>0</v>
      </c>
      <c r="AA67" s="13">
        <f>TRANSICAO!$AA$67*CUSTOS!$T$3</f>
        <v>0</v>
      </c>
      <c r="AB67" s="13">
        <f>TRANSICAO!$AB$67*CUSTOS!$T$3</f>
        <v>0</v>
      </c>
      <c r="AC67" s="13">
        <f>TRANSICAO!$AC$67*CUSTOS!$T$3</f>
        <v>156.57686000000001</v>
      </c>
      <c r="AD67" s="13">
        <f>TRANSICAO!$AD$67*CUSTOS!$T$3</f>
        <v>0</v>
      </c>
      <c r="AE67" s="13">
        <v>0</v>
      </c>
      <c r="AF67" s="13">
        <v>0</v>
      </c>
      <c r="AG67" s="13"/>
      <c r="AH67" s="13">
        <f>(1 - CUSTOS!$M$32)*23.2014</f>
        <v>12.760770000000001</v>
      </c>
      <c r="AI67" s="13">
        <f>(1 - CUSTOS!$M$32)*23.2014</f>
        <v>12.760770000000001</v>
      </c>
      <c r="AJ67" s="13">
        <f ca="1">$N$83*(1-CUSTOS!$M$32)</f>
        <v>15.094394467695146</v>
      </c>
      <c r="AK67" s="13">
        <f t="shared" ca="1" si="1"/>
        <v>15.094394467695146</v>
      </c>
      <c r="AL67" s="13"/>
      <c r="AM67" s="13"/>
      <c r="AP67" s="13">
        <f>IF((1 - CUSTOS!$M$32)&lt;&gt;0,1/(1 - CUSTOS!$M$32),1)</f>
        <v>1.8181818181818181</v>
      </c>
    </row>
    <row r="68" spans="1:42" ht="11.25" customHeight="1" x14ac:dyDescent="0.25">
      <c r="A68" s="107"/>
      <c r="B68" s="107"/>
      <c r="C68" s="107"/>
      <c r="D68" s="18" t="s">
        <v>103</v>
      </c>
      <c r="E68" s="18" t="s">
        <v>25</v>
      </c>
      <c r="F68" s="18" t="s">
        <v>25</v>
      </c>
      <c r="G68" s="18" t="s">
        <v>88</v>
      </c>
      <c r="H68" s="18" t="s">
        <v>82</v>
      </c>
      <c r="I68" s="18">
        <f>'MERCADO TUSD'!$U$65</f>
        <v>0</v>
      </c>
      <c r="J68" s="15"/>
      <c r="L68" s="13">
        <f>1*(1 - CUSTOS!$M$33)</f>
        <v>0.6</v>
      </c>
      <c r="M68" s="13">
        <f>IF(AND((+$I$34+$I$35+$I$36+$I$37+$I$38+$I$39+$I$40+$I$41+$I$42+$I$43+$I$44+$I$45+$I$46+$I$47+$I$48+$I$49+$I$50+$I$51+$I$52+$I$53+$I$54+$I$55+$I$56+$I$57+$I$58+$I$59+$I$60+$I$61+$I$62+$I$63+$I$64+$I$65+$I$66+$I$67+$I$68)&lt;&gt;0,SUMPRODUCT($I$5:$I$68,$AC$5:$AC$68,$AP$5:$AP$68)&lt;&gt;0),$M$73*SUMPRODUCT($I$34:$I$68,$AC$34:$AC$68,$AP$34:$AP$68)/SUMPRODUCT($I$5:$I$68,$AC$5:$AC$68,$AP$5:$AP$68)/(+$I$34+$I$35+$I$36+$I$37+$I$38+$I$39+$I$40+$I$41+$I$42+$I$43+$I$44+$I$45+$I$46+$I$47+$I$48+$I$49+$I$50+$I$51+$I$52+$I$53+$I$54+$I$55+$I$56+$I$57+$I$58+$I$59+$I$60+$I$61+$I$62+$I$63+$I$64+$I$65+$I$66+$I$67+$I$68),0)*(1 - CUSTOS!$M$33)</f>
        <v>0.73660025927677986</v>
      </c>
      <c r="N68" s="13">
        <f ca="1">(+M68+O68+R68+U68+V68+W68+X68+Y68+Z68+AA68+AC68+AH68+AI68+AJ68+AK68)*CUSTOS!$M$5</f>
        <v>2.4663850455242984</v>
      </c>
      <c r="O68" s="13">
        <f>1 - CUSTOS!$M$33</f>
        <v>0.6</v>
      </c>
      <c r="P68" s="13">
        <f>1 - CUSTOS!$M$33</f>
        <v>0.6</v>
      </c>
      <c r="Q68" s="13">
        <f>1*(1 - CUSTOS!$M$33)</f>
        <v>0.6</v>
      </c>
      <c r="R68" s="13">
        <f>1 - CUSTOS!$M$33</f>
        <v>0.6</v>
      </c>
      <c r="S68" s="13">
        <f>1 - CUSTOS!$M$33</f>
        <v>0.6</v>
      </c>
      <c r="T68" s="13"/>
      <c r="U68" s="13">
        <f>TRANSICAO!$U$68*CUSTOS!$T$3</f>
        <v>7.1063999999999998</v>
      </c>
      <c r="V68" s="13">
        <f>TRANSICAO!$V$68*CUSTOS!$T$3</f>
        <v>5.4215999999999998</v>
      </c>
      <c r="W68" s="13">
        <f>TRANSICAO!$W$68*CUSTOS!$T$3</f>
        <v>0.58787999999999996</v>
      </c>
      <c r="X68" s="13">
        <f>TRANSICAO!$X$68*CUSTOS!$T$3</f>
        <v>0</v>
      </c>
      <c r="Y68" s="13">
        <f>TRANSICAO!$Y$68*CUSTOS!$T$3</f>
        <v>0</v>
      </c>
      <c r="Z68" s="13">
        <f>TRANSICAO!$Z$68*CUSTOS!$T$3</f>
        <v>0</v>
      </c>
      <c r="AA68" s="13">
        <f>TRANSICAO!$AA$68*CUSTOS!$T$3</f>
        <v>0</v>
      </c>
      <c r="AB68" s="13">
        <f>TRANSICAO!$AB$68*CUSTOS!$T$3</f>
        <v>0</v>
      </c>
      <c r="AC68" s="13">
        <f>TRANSICAO!$AC$68*CUSTOS!$T$3</f>
        <v>170.81111999999999</v>
      </c>
      <c r="AD68" s="13">
        <f>TRANSICAO!$AD$68*CUSTOS!$T$3</f>
        <v>0</v>
      </c>
      <c r="AE68" s="13">
        <v>0</v>
      </c>
      <c r="AF68" s="13">
        <v>0</v>
      </c>
      <c r="AG68" s="13"/>
      <c r="AH68" s="13">
        <f>(1 - CUSTOS!$M$33)*23.2014</f>
        <v>13.92084</v>
      </c>
      <c r="AI68" s="13">
        <f>(1 - CUSTOS!$M$33)*23.2014</f>
        <v>13.92084</v>
      </c>
      <c r="AJ68" s="13">
        <f ca="1">$N$83*(1-CUSTOS!$M$33)</f>
        <v>16.466612146576519</v>
      </c>
      <c r="AK68" s="13">
        <f t="shared" ca="1" si="1"/>
        <v>16.466612146576519</v>
      </c>
      <c r="AL68" s="13"/>
      <c r="AM68" s="13"/>
      <c r="AP68" s="13">
        <f>IF((1 - CUSTOS!$M$33)&lt;&gt;0,1/(1 - CUSTOS!$M$33),1)</f>
        <v>1.6666666666666667</v>
      </c>
    </row>
    <row r="70" spans="1:42" ht="11.25" customHeight="1" x14ac:dyDescent="0.25">
      <c r="K70" s="16" t="s">
        <v>838</v>
      </c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</row>
    <row r="71" spans="1:42" ht="11.25" customHeight="1" x14ac:dyDescent="0.25">
      <c r="K71" s="16" t="s">
        <v>839</v>
      </c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</row>
    <row r="72" spans="1:42" ht="11.25" customHeight="1" x14ac:dyDescent="0.25">
      <c r="K72" s="16" t="s">
        <v>840</v>
      </c>
      <c r="L72" s="13">
        <f>IF(ISERROR(+SUMPRODUCT($L$5:$L$8,$I$5:$I$8)+SUMPRODUCT($L$9:$L$12,$I$9:$I$12)+SUMPRODUCT($L$13:$L$13,$I$13:$I$13)+SUMPRODUCT($L$14:$L$18,$I$14:$I$18)+SUMPRODUCT($L$19:$L$22,$I$19:$I$22)+SUMPRODUCT($L$23:$L$25,$I$23:$I$25)+SUMPRODUCT($L$26:$L$26,$I$26:$I$26)+SUMPRODUCT($L$27:$L$31,$I$27:$I$31)+SUMPRODUCT($L$32:$L$33,$I$32:$I$33)+SUMPRODUCT($L$34:$L$36,$I$34:$I$36)+SUMPRODUCT($L$37:$L$41,$I$37:$I$41)+SUMPRODUCT($L$42:$L$46,$I$42:$I$46)+SUMPRODUCT($L$47:$L$49,$I$47:$I$49)+SUMPRODUCT($L$50:$L$50,$I$50:$I$50)+SUMPRODUCT($L$51:$L$53,$I$51:$I$53)+SUMPRODUCT($L$54:$L$54,$I$54:$I$54)+SUMPRODUCT($L$55:$L$57,$I$55:$I$57)+SUMPRODUCT($L$58:$L$58,$I$58:$I$58)+SUMPRODUCT($L$59:$L$61,$I$59:$I$61)+SUMPRODUCT($L$62:$L$64,$I$62:$I$64)+SUMPRODUCT($L$65:$L$65,$I$65:$I$65)+SUMPRODUCT($L$66:$L$66,$I$66:$I$66)+SUMPRODUCT($L$67:$L$68,$I$67:$I$68)),0,+SUMPRODUCT($L$5:$L$8,$I$5:$I$8)+SUMPRODUCT($L$9:$L$12,$I$9:$I$12)+SUMPRODUCT($L$13:$L$13,$I$13:$I$13)+SUMPRODUCT($L$14:$L$18,$I$14:$I$18)+SUMPRODUCT($L$19:$L$22,$I$19:$I$22)+SUMPRODUCT($L$23:$L$25,$I$23:$I$25)+SUMPRODUCT($L$26:$L$26,$I$26:$I$26)+SUMPRODUCT($L$27:$L$31,$I$27:$I$31)+SUMPRODUCT($L$32:$L$33,$I$32:$I$33)+SUMPRODUCT($L$34:$L$36,$I$34:$I$36)+SUMPRODUCT($L$37:$L$41,$I$37:$I$41)+SUMPRODUCT($L$42:$L$46,$I$42:$I$46)+SUMPRODUCT($L$47:$L$49,$I$47:$I$49)+SUMPRODUCT($L$50:$L$50,$I$50:$I$50)+SUMPRODUCT($L$51:$L$53,$I$51:$I$53)+SUMPRODUCT($L$54:$L$54,$I$54:$I$54)+SUMPRODUCT($L$55:$L$57,$I$55:$I$57)+SUMPRODUCT($L$58:$L$58,$I$58:$I$58)+SUMPRODUCT($L$59:$L$61,$I$59:$I$61)+SUMPRODUCT($L$62:$L$64,$I$62:$I$64)+SUMPRODUCT($L$65:$L$65,$I$65:$I$65)+SUMPRODUCT($L$66:$L$66,$I$66:$I$66)+SUMPRODUCT($L$67:$L$68,$I$67:$I$68))</f>
        <v>953645.07078000612</v>
      </c>
      <c r="M72" s="13">
        <f>IF(ISERROR(+SUMPRODUCT($M$5:$M$8,$I$5:$I$8)+SUMPRODUCT($M$9:$M$12,$I$9:$I$12)+SUMPRODUCT($M$13:$M$13,$I$13:$I$13)+SUMPRODUCT($M$14:$M$18,$I$14:$I$18)+SUMPRODUCT($M$19:$M$22,$I$19:$I$22)+SUMPRODUCT($M$23:$M$25,$I$23:$I$25)+SUMPRODUCT($M$26:$M$26,$I$26:$I$26)+SUMPRODUCT($M$27:$M$31,$I$27:$I$31)+SUMPRODUCT($M$32:$M$33,$I$32:$I$33)+SUMPRODUCT($M$34:$M$36,$I$34:$I$36)+SUMPRODUCT($M$37:$M$41,$I$37:$I$41)+SUMPRODUCT($M$42:$M$46,$I$42:$I$46)+SUMPRODUCT($M$47:$M$49,$I$47:$I$49)+SUMPRODUCT($M$50:$M$50,$I$50:$I$50)+SUMPRODUCT($M$51:$M$53,$I$51:$I$53)+SUMPRODUCT($M$54:$M$54,$I$54:$I$54)+SUMPRODUCT($M$55:$M$57,$I$55:$I$57)+SUMPRODUCT($M$58:$M$58,$I$58:$I$58)+SUMPRODUCT($M$59:$M$61,$I$59:$I$61)+SUMPRODUCT($M$62:$M$64,$I$62:$I$64)+SUMPRODUCT($M$65:$M$65,$I$65:$I$65)+SUMPRODUCT($M$66:$M$66,$I$66:$I$66)+SUMPRODUCT($M$67:$M$68,$I$67:$I$68)),0,+SUMPRODUCT($M$5:$M$8,$I$5:$I$8)+SUMPRODUCT($M$9:$M$12,$I$9:$I$12)+SUMPRODUCT($M$13:$M$13,$I$13:$I$13)+SUMPRODUCT($M$14:$M$18,$I$14:$I$18)+SUMPRODUCT($M$19:$M$22,$I$19:$I$22)+SUMPRODUCT($M$23:$M$25,$I$23:$I$25)+SUMPRODUCT($M$26:$M$26,$I$26:$I$26)+SUMPRODUCT($M$27:$M$31,$I$27:$I$31)+SUMPRODUCT($M$32:$M$33,$I$32:$I$33)+SUMPRODUCT($M$34:$M$36,$I$34:$I$36)+SUMPRODUCT($M$37:$M$41,$I$37:$I$41)+SUMPRODUCT($M$42:$M$46,$I$42:$I$46)+SUMPRODUCT($M$47:$M$49,$I$47:$I$49)+SUMPRODUCT($M$50:$M$50,$I$50:$I$50)+SUMPRODUCT($M$51:$M$53,$I$51:$I$53)+SUMPRODUCT($M$54:$M$54,$I$54:$I$54)+SUMPRODUCT($M$55:$M$57,$I$55:$I$57)+SUMPRODUCT($M$58:$M$58,$I$58:$I$58)+SUMPRODUCT($M$59:$M$61,$I$59:$I$61)+SUMPRODUCT($M$62:$M$64,$I$62:$I$64)+SUMPRODUCT($M$65:$M$65,$I$65:$I$65)+SUMPRODUCT($M$66:$M$66,$I$66:$I$66)+SUMPRODUCT($M$67:$M$68,$I$67:$I$68))</f>
        <v>1217505.5639507659</v>
      </c>
      <c r="N72" s="13">
        <f ca="1">IF(ISERROR(+SUMPRODUCT($N$5:$N$8,$I$5:$I$8)+SUMPRODUCT($N$9:$N$12,$I$9:$I$12)+SUMPRODUCT($N$13:$N$13,$I$13:$I$13)+SUMPRODUCT($N$14:$N$18,$I$14:$I$18)+SUMPRODUCT($N$19:$N$22,$I$19:$I$22)+SUMPRODUCT($N$23:$N$25,$I$23:$I$25)+SUMPRODUCT($N$26:$N$26,$I$26:$I$26)+SUMPRODUCT($N$27:$N$31,$I$27:$I$31)+SUMPRODUCT($N$32:$N$33,$I$32:$I$33)+SUMPRODUCT($N$34:$N$36,$I$34:$I$36)+SUMPRODUCT($N$37:$N$41,$I$37:$I$41)+SUMPRODUCT($N$42:$N$46,$I$42:$I$46)+SUMPRODUCT($N$47:$N$49,$I$47:$I$49)+SUMPRODUCT($N$50:$N$50,$I$50:$I$50)+SUMPRODUCT($N$51:$N$53,$I$51:$I$53)+SUMPRODUCT($N$54:$N$54,$I$54:$I$54)+SUMPRODUCT($N$55:$N$57,$I$55:$I$57)+SUMPRODUCT($N$58:$N$58,$I$58:$I$58)+SUMPRODUCT($N$59:$N$61,$I$59:$I$61)+SUMPRODUCT($N$62:$N$64,$I$62:$I$64)+SUMPRODUCT($N$65:$N$65,$I$65:$I$65)+SUMPRODUCT($N$66:$N$66,$I$66:$I$66)+SUMPRODUCT($N$67:$N$68,$I$67:$I$68)),0,+SUMPRODUCT($N$5:$N$8,$I$5:$I$8)+SUMPRODUCT($N$9:$N$12,$I$9:$I$12)+SUMPRODUCT($N$13:$N$13,$I$13:$I$13)+SUMPRODUCT($N$14:$N$18,$I$14:$I$18)+SUMPRODUCT($N$19:$N$22,$I$19:$I$22)+SUMPRODUCT($N$23:$N$25,$I$23:$I$25)+SUMPRODUCT($N$26:$N$26,$I$26:$I$26)+SUMPRODUCT($N$27:$N$31,$I$27:$I$31)+SUMPRODUCT($N$32:$N$33,$I$32:$I$33)+SUMPRODUCT($N$34:$N$36,$I$34:$I$36)+SUMPRODUCT($N$37:$N$41,$I$37:$I$41)+SUMPRODUCT($N$42:$N$46,$I$42:$I$46)+SUMPRODUCT($N$47:$N$49,$I$47:$I$49)+SUMPRODUCT($N$50:$N$50,$I$50:$I$50)+SUMPRODUCT($N$51:$N$53,$I$51:$I$53)+SUMPRODUCT($N$54:$N$54,$I$54:$I$54)+SUMPRODUCT($N$55:$N$57,$I$55:$I$57)+SUMPRODUCT($N$58:$N$58,$I$58:$I$58)+SUMPRODUCT($N$59:$N$61,$I$59:$I$61)+SUMPRODUCT($N$62:$N$64,$I$62:$I$64)+SUMPRODUCT($N$65:$N$65,$I$65:$I$65)+SUMPRODUCT($N$66:$N$66,$I$66:$I$66)+SUMPRODUCT($N$67:$N$68,$I$67:$I$68))</f>
        <v>3839697.7495681732</v>
      </c>
      <c r="O72" s="13">
        <f>IF(ISERROR(+SUMPRODUCT($O$5:$O$8,$I$5:$I$8)+SUMPRODUCT($O$9:$O$12,$I$9:$I$12)+SUMPRODUCT($O$13:$O$13,$I$13:$I$13)+SUMPRODUCT($O$14:$O$18,$I$14:$I$18)+SUMPRODUCT($O$19:$O$22,$I$19:$I$22)+SUMPRODUCT($O$23:$O$25,$I$23:$I$25)+SUMPRODUCT($O$26:$O$26,$I$26:$I$26)+SUMPRODUCT($O$27:$O$31,$I$27:$I$31)+SUMPRODUCT($O$32:$O$33,$I$32:$I$33)+SUMPRODUCT($O$34:$O$36,$I$34:$I$36)+SUMPRODUCT($O$37:$O$41,$I$37:$I$41)+SUMPRODUCT($O$42:$O$46,$I$42:$I$46)+SUMPRODUCT($O$47:$O$49,$I$47:$I$49)+SUMPRODUCT($O$50:$O$50,$I$50:$I$50)+SUMPRODUCT($O$51:$O$53,$I$51:$I$53)+SUMPRODUCT($O$54:$O$54,$I$54:$I$54)+SUMPRODUCT($O$55:$O$57,$I$55:$I$57)+SUMPRODUCT($O$58:$O$58,$I$58:$I$58)+SUMPRODUCT($O$59:$O$61,$I$59:$I$61)+SUMPRODUCT($O$62:$O$64,$I$62:$I$64)+SUMPRODUCT($O$65:$O$65,$I$65:$I$65)+SUMPRODUCT($O$66:$O$66,$I$66:$I$66)+SUMPRODUCT($O$67:$O$68,$I$67:$I$68)),0,+SUMPRODUCT($O$5:$O$8,$I$5:$I$8)+SUMPRODUCT($O$9:$O$12,$I$9:$I$12)+SUMPRODUCT($O$13:$O$13,$I$13:$I$13)+SUMPRODUCT($O$14:$O$18,$I$14:$I$18)+SUMPRODUCT($O$19:$O$22,$I$19:$I$22)+SUMPRODUCT($O$23:$O$25,$I$23:$I$25)+SUMPRODUCT($O$26:$O$26,$I$26:$I$26)+SUMPRODUCT($O$27:$O$31,$I$27:$I$31)+SUMPRODUCT($O$32:$O$33,$I$32:$I$33)+SUMPRODUCT($O$34:$O$36,$I$34:$I$36)+SUMPRODUCT($O$37:$O$41,$I$37:$I$41)+SUMPRODUCT($O$42:$O$46,$I$42:$I$46)+SUMPRODUCT($O$47:$O$49,$I$47:$I$49)+SUMPRODUCT($O$50:$O$50,$I$50:$I$50)+SUMPRODUCT($O$51:$O$53,$I$51:$I$53)+SUMPRODUCT($O$54:$O$54,$I$54:$I$54)+SUMPRODUCT($O$55:$O$57,$I$55:$I$57)+SUMPRODUCT($O$58:$O$58,$I$58:$I$58)+SUMPRODUCT($O$59:$O$61,$I$59:$I$61)+SUMPRODUCT($O$62:$O$64,$I$62:$I$64)+SUMPRODUCT($O$65:$O$65,$I$65:$I$65)+SUMPRODUCT($O$66:$O$66,$I$66:$I$66)+SUMPRODUCT($O$67:$O$68,$I$67:$I$68))</f>
        <v>1117356.04210002</v>
      </c>
      <c r="P72" s="13">
        <f>IF(ISERROR(+SUMPRODUCT($P$5:$P$8,$I$5:$I$8)+SUMPRODUCT($P$9:$P$12,$I$9:$I$12)+SUMPRODUCT($P$13:$P$13,$I$13:$I$13)+SUMPRODUCT($P$14:$P$18,$I$14:$I$18)+SUMPRODUCT($P$19:$P$22,$I$19:$I$22)+SUMPRODUCT($P$23:$P$25,$I$23:$I$25)+SUMPRODUCT($P$26:$P$26,$I$26:$I$26)+SUMPRODUCT($P$27:$P$31,$I$27:$I$31)+SUMPRODUCT($P$32:$P$33,$I$32:$I$33)+SUMPRODUCT($P$34:$P$36,$I$34:$I$36)+SUMPRODUCT($P$37:$P$41,$I$37:$I$41)+SUMPRODUCT($P$42:$P$46,$I$42:$I$46)+SUMPRODUCT($P$47:$P$49,$I$47:$I$49)+SUMPRODUCT($P$50:$P$50,$I$50:$I$50)+SUMPRODUCT($P$51:$P$53,$I$51:$I$53)+SUMPRODUCT($P$54:$P$54,$I$54:$I$54)+SUMPRODUCT($P$55:$P$57,$I$55:$I$57)+SUMPRODUCT($P$58:$P$58,$I$58:$I$58)+SUMPRODUCT($P$59:$P$61,$I$59:$I$61)+SUMPRODUCT($P$62:$P$64,$I$62:$I$64)+SUMPRODUCT($P$65:$P$65,$I$65:$I$65)+SUMPRODUCT($P$66:$P$66,$I$66:$I$66)+SUMPRODUCT($P$67:$P$68,$I$67:$I$68)),0,+SUMPRODUCT($P$5:$P$8,$I$5:$I$8)+SUMPRODUCT($P$9:$P$12,$I$9:$I$12)+SUMPRODUCT($P$13:$P$13,$I$13:$I$13)+SUMPRODUCT($P$14:$P$18,$I$14:$I$18)+SUMPRODUCT($P$19:$P$22,$I$19:$I$22)+SUMPRODUCT($P$23:$P$25,$I$23:$I$25)+SUMPRODUCT($P$26:$P$26,$I$26:$I$26)+SUMPRODUCT($P$27:$P$31,$I$27:$I$31)+SUMPRODUCT($P$32:$P$33,$I$32:$I$33)+SUMPRODUCT($P$34:$P$36,$I$34:$I$36)+SUMPRODUCT($P$37:$P$41,$I$37:$I$41)+SUMPRODUCT($P$42:$P$46,$I$42:$I$46)+SUMPRODUCT($P$47:$P$49,$I$47:$I$49)+SUMPRODUCT($P$50:$P$50,$I$50:$I$50)+SUMPRODUCT($P$51:$P$53,$I$51:$I$53)+SUMPRODUCT($P$54:$P$54,$I$54:$I$54)+SUMPRODUCT($P$55:$P$57,$I$55:$I$57)+SUMPRODUCT($P$58:$P$58,$I$58:$I$58)+SUMPRODUCT($P$59:$P$61,$I$59:$I$61)+SUMPRODUCT($P$62:$P$64,$I$62:$I$64)+SUMPRODUCT($P$65:$P$65,$I$65:$I$65)+SUMPRODUCT($P$66:$P$66,$I$66:$I$66)+SUMPRODUCT($P$67:$P$68,$I$67:$I$68))</f>
        <v>996992.31110000995</v>
      </c>
      <c r="Q72" s="13">
        <f>IF(ISERROR(+SUMPRODUCT($Q$5:$Q$8,$I$5:$I$8)+SUMPRODUCT($Q$9:$Q$12,$I$9:$I$12)+SUMPRODUCT($Q$13:$Q$13,$I$13:$I$13)+SUMPRODUCT($Q$14:$Q$18,$I$14:$I$18)+SUMPRODUCT($Q$19:$Q$22,$I$19:$I$22)+SUMPRODUCT($Q$23:$Q$25,$I$23:$I$25)+SUMPRODUCT($Q$26:$Q$26,$I$26:$I$26)+SUMPRODUCT($Q$27:$Q$31,$I$27:$I$31)+SUMPRODUCT($Q$32:$Q$33,$I$32:$I$33)+SUMPRODUCT($Q$34:$Q$36,$I$34:$I$36)+SUMPRODUCT($Q$37:$Q$41,$I$37:$I$41)+SUMPRODUCT($Q$42:$Q$46,$I$42:$I$46)+SUMPRODUCT($Q$47:$Q$49,$I$47:$I$49)+SUMPRODUCT($Q$50:$Q$50,$I$50:$I$50)+SUMPRODUCT($Q$51:$Q$53,$I$51:$I$53)+SUMPRODUCT($Q$54:$Q$54,$I$54:$I$54)+SUMPRODUCT($Q$55:$Q$57,$I$55:$I$57)+SUMPRODUCT($Q$58:$Q$58,$I$58:$I$58)+SUMPRODUCT($Q$59:$Q$61,$I$59:$I$61)+SUMPRODUCT($Q$62:$Q$64,$I$62:$I$64)+SUMPRODUCT($Q$65:$Q$65,$I$65:$I$65)+SUMPRODUCT($Q$66:$Q$66,$I$66:$I$66)+SUMPRODUCT($Q$67:$Q$68,$I$67:$I$68)),0,+SUMPRODUCT($Q$5:$Q$8,$I$5:$I$8)+SUMPRODUCT($Q$9:$Q$12,$I$9:$I$12)+SUMPRODUCT($Q$13:$Q$13,$I$13:$I$13)+SUMPRODUCT($Q$14:$Q$18,$I$14:$I$18)+SUMPRODUCT($Q$19:$Q$22,$I$19:$I$22)+SUMPRODUCT($Q$23:$Q$25,$I$23:$I$25)+SUMPRODUCT($Q$26:$Q$26,$I$26:$I$26)+SUMPRODUCT($Q$27:$Q$31,$I$27:$I$31)+SUMPRODUCT($Q$32:$Q$33,$I$32:$I$33)+SUMPRODUCT($Q$34:$Q$36,$I$34:$I$36)+SUMPRODUCT($Q$37:$Q$41,$I$37:$I$41)+SUMPRODUCT($Q$42:$Q$46,$I$42:$I$46)+SUMPRODUCT($Q$47:$Q$49,$I$47:$I$49)+SUMPRODUCT($Q$50:$Q$50,$I$50:$I$50)+SUMPRODUCT($Q$51:$Q$53,$I$51:$I$53)+SUMPRODUCT($Q$54:$Q$54,$I$54:$I$54)+SUMPRODUCT($Q$55:$Q$57,$I$55:$I$57)+SUMPRODUCT($Q$58:$Q$58,$I$58:$I$58)+SUMPRODUCT($Q$59:$Q$61,$I$59:$I$61)+SUMPRODUCT($Q$62:$Q$64,$I$62:$I$64)+SUMPRODUCT($Q$65:$Q$65,$I$65:$I$65)+SUMPRODUCT($Q$66:$Q$66,$I$66:$I$66)+SUMPRODUCT($Q$67:$Q$68,$I$67:$I$68))</f>
        <v>953645.07078000612</v>
      </c>
      <c r="R72" s="13">
        <f>IF(ISERROR(+SUMPRODUCT($R$5:$R$8,$I$5:$I$8)+SUMPRODUCT($R$9:$R$12,$I$9:$I$12)+SUMPRODUCT($R$13:$R$13,$I$13:$I$13)+SUMPRODUCT($R$14:$R$18,$I$14:$I$18)+SUMPRODUCT($R$19:$R$22,$I$19:$I$22)+SUMPRODUCT($R$23:$R$25,$I$23:$I$25)+SUMPRODUCT($R$26:$R$26,$I$26:$I$26)+SUMPRODUCT($R$27:$R$31,$I$27:$I$31)+SUMPRODUCT($R$32:$R$33,$I$32:$I$33)+SUMPRODUCT($R$34:$R$36,$I$34:$I$36)+SUMPRODUCT($R$37:$R$41,$I$37:$I$41)+SUMPRODUCT($R$42:$R$46,$I$42:$I$46)+SUMPRODUCT($R$47:$R$49,$I$47:$I$49)+SUMPRODUCT($R$50:$R$50,$I$50:$I$50)+SUMPRODUCT($R$51:$R$53,$I$51:$I$53)+SUMPRODUCT($R$54:$R$54,$I$54:$I$54)+SUMPRODUCT($R$55:$R$57,$I$55:$I$57)+SUMPRODUCT($R$58:$R$58,$I$58:$I$58)+SUMPRODUCT($R$59:$R$61,$I$59:$I$61)+SUMPRODUCT($R$62:$R$64,$I$62:$I$64)+SUMPRODUCT($R$65:$R$65,$I$65:$I$65)+SUMPRODUCT($R$66:$R$66,$I$66:$I$66)+SUMPRODUCT($R$67:$R$68,$I$67:$I$68)),0,+SUMPRODUCT($R$5:$R$8,$I$5:$I$8)+SUMPRODUCT($R$9:$R$12,$I$9:$I$12)+SUMPRODUCT($R$13:$R$13,$I$13:$I$13)+SUMPRODUCT($R$14:$R$18,$I$14:$I$18)+SUMPRODUCT($R$19:$R$22,$I$19:$I$22)+SUMPRODUCT($R$23:$R$25,$I$23:$I$25)+SUMPRODUCT($R$26:$R$26,$I$26:$I$26)+SUMPRODUCT($R$27:$R$31,$I$27:$I$31)+SUMPRODUCT($R$32:$R$33,$I$32:$I$33)+SUMPRODUCT($R$34:$R$36,$I$34:$I$36)+SUMPRODUCT($R$37:$R$41,$I$37:$I$41)+SUMPRODUCT($R$42:$R$46,$I$42:$I$46)+SUMPRODUCT($R$47:$R$49,$I$47:$I$49)+SUMPRODUCT($R$50:$R$50,$I$50:$I$50)+SUMPRODUCT($R$51:$R$53,$I$51:$I$53)+SUMPRODUCT($R$54:$R$54,$I$54:$I$54)+SUMPRODUCT($R$55:$R$57,$I$55:$I$57)+SUMPRODUCT($R$58:$R$58,$I$58:$I$58)+SUMPRODUCT($R$59:$R$61,$I$59:$I$61)+SUMPRODUCT($R$62:$R$64,$I$62:$I$64)+SUMPRODUCT($R$65:$R$65,$I$65:$I$65)+SUMPRODUCT($R$66:$R$66,$I$66:$I$66)+SUMPRODUCT($R$67:$R$68,$I$67:$I$68))</f>
        <v>996992.31110000995</v>
      </c>
      <c r="S72" s="13">
        <f>IF(ISERROR(+SUMPRODUCT($S$5:$S$8,$I$5:$I$8)+SUMPRODUCT($S$9:$S$12,$I$9:$I$12)+SUMPRODUCT($S$13:$S$13,$I$13:$I$13)+SUMPRODUCT($S$14:$S$18,$I$14:$I$18)+SUMPRODUCT($S$19:$S$22,$I$19:$I$22)+SUMPRODUCT($S$23:$S$25,$I$23:$I$25)+SUMPRODUCT($S$26:$S$26,$I$26:$I$26)+SUMPRODUCT($S$27:$S$31,$I$27:$I$31)+SUMPRODUCT($S$32:$S$33,$I$32:$I$33)+SUMPRODUCT($S$34:$S$36,$I$34:$I$36)+SUMPRODUCT($S$37:$S$41,$I$37:$I$41)+SUMPRODUCT($S$42:$S$46,$I$42:$I$46)+SUMPRODUCT($S$47:$S$49,$I$47:$I$49)+SUMPRODUCT($S$50:$S$50,$I$50:$I$50)+SUMPRODUCT($S$51:$S$53,$I$51:$I$53)+SUMPRODUCT($S$54:$S$54,$I$54:$I$54)+SUMPRODUCT($S$55:$S$57,$I$55:$I$57)+SUMPRODUCT($S$58:$S$58,$I$58:$I$58)+SUMPRODUCT($S$59:$S$61,$I$59:$I$61)+SUMPRODUCT($S$62:$S$64,$I$62:$I$64)+SUMPRODUCT($S$65:$S$65,$I$65:$I$65)+SUMPRODUCT($S$66:$S$66,$I$66:$I$66)+SUMPRODUCT($S$67:$S$68,$I$67:$I$68)),0,+SUMPRODUCT($S$5:$S$8,$I$5:$I$8)+SUMPRODUCT($S$9:$S$12,$I$9:$I$12)+SUMPRODUCT($S$13:$S$13,$I$13:$I$13)+SUMPRODUCT($S$14:$S$18,$I$14:$I$18)+SUMPRODUCT($S$19:$S$22,$I$19:$I$22)+SUMPRODUCT($S$23:$S$25,$I$23:$I$25)+SUMPRODUCT($S$26:$S$26,$I$26:$I$26)+SUMPRODUCT($S$27:$S$31,$I$27:$I$31)+SUMPRODUCT($S$32:$S$33,$I$32:$I$33)+SUMPRODUCT($S$34:$S$36,$I$34:$I$36)+SUMPRODUCT($S$37:$S$41,$I$37:$I$41)+SUMPRODUCT($S$42:$S$46,$I$42:$I$46)+SUMPRODUCT($S$47:$S$49,$I$47:$I$49)+SUMPRODUCT($S$50:$S$50,$I$50:$I$50)+SUMPRODUCT($S$51:$S$53,$I$51:$I$53)+SUMPRODUCT($S$54:$S$54,$I$54:$I$54)+SUMPRODUCT($S$55:$S$57,$I$55:$I$57)+SUMPRODUCT($S$58:$S$58,$I$58:$I$58)+SUMPRODUCT($S$59:$S$61,$I$59:$I$61)+SUMPRODUCT($S$62:$S$64,$I$62:$I$64)+SUMPRODUCT($S$65:$S$65,$I$65:$I$65)+SUMPRODUCT($S$66:$S$66,$I$66:$I$66)+SUMPRODUCT($S$67:$S$68,$I$67:$I$68))</f>
        <v>1117356.04210001</v>
      </c>
      <c r="T72" s="13"/>
      <c r="U72" s="13">
        <f>IF(ISERROR(+SUMPRODUCT($U$5:$U$8,$I$5:$I$8)+SUMPRODUCT($U$9:$U$12,$I$9:$I$12)+SUMPRODUCT($U$13:$U$13,$I$13:$I$13)+SUMPRODUCT($U$14:$U$18,$I$14:$I$18)+SUMPRODUCT($U$19:$U$22,$I$19:$I$22)+SUMPRODUCT($U$23:$U$25,$I$23:$I$25)+SUMPRODUCT($U$26:$U$26,$I$26:$I$26)+SUMPRODUCT($U$27:$U$31,$I$27:$I$31)+SUMPRODUCT($U$32:$U$33,$I$32:$I$33)+SUMPRODUCT($U$34:$U$36,$I$34:$I$36)+SUMPRODUCT($U$37:$U$41,$I$37:$I$41)+SUMPRODUCT($U$42:$U$46,$I$42:$I$46)+SUMPRODUCT($U$47:$U$49,$I$47:$I$49)+SUMPRODUCT($U$50:$U$50,$I$50:$I$50)+SUMPRODUCT($U$51:$U$53,$I$51:$I$53)+SUMPRODUCT($U$54:$U$54,$I$54:$I$54)+SUMPRODUCT($U$55:$U$57,$I$55:$I$57)+SUMPRODUCT($U$58:$U$58,$I$58:$I$58)+SUMPRODUCT($U$59:$U$61,$I$59:$I$61)+SUMPRODUCT($U$62:$U$64,$I$62:$I$64)+SUMPRODUCT($U$65:$U$65,$I$65:$I$65)+SUMPRODUCT($U$66:$U$66,$I$66:$I$66)+SUMPRODUCT($U$67:$U$68,$I$67:$I$68)),0,+SUMPRODUCT($U$5:$U$8,$I$5:$I$8)+SUMPRODUCT($U$9:$U$12,$I$9:$I$12)+SUMPRODUCT($U$13:$U$13,$I$13:$I$13)+SUMPRODUCT($U$14:$U$18,$I$14:$I$18)+SUMPRODUCT($U$19:$U$22,$I$19:$I$22)+SUMPRODUCT($U$23:$U$25,$I$23:$I$25)+SUMPRODUCT($U$26:$U$26,$I$26:$I$26)+SUMPRODUCT($U$27:$U$31,$I$27:$I$31)+SUMPRODUCT($U$32:$U$33,$I$32:$I$33)+SUMPRODUCT($U$34:$U$36,$I$34:$I$36)+SUMPRODUCT($U$37:$U$41,$I$37:$I$41)+SUMPRODUCT($U$42:$U$46,$I$42:$I$46)+SUMPRODUCT($U$47:$U$49,$I$47:$I$49)+SUMPRODUCT($U$50:$U$50,$I$50:$I$50)+SUMPRODUCT($U$51:$U$53,$I$51:$I$53)+SUMPRODUCT($U$54:$U$54,$I$54:$I$54)+SUMPRODUCT($U$55:$U$57,$I$55:$I$57)+SUMPRODUCT($U$58:$U$58,$I$58:$I$58)+SUMPRODUCT($U$59:$U$61,$I$59:$I$61)+SUMPRODUCT($U$62:$U$64,$I$62:$I$64)+SUMPRODUCT($U$65:$U$65,$I$65:$I$65)+SUMPRODUCT($U$66:$U$66,$I$66:$I$66)+SUMPRODUCT($U$67:$U$68,$I$67:$I$68))</f>
        <v>14191343.553532284</v>
      </c>
      <c r="V72" s="13">
        <f>IF(ISERROR(+SUMPRODUCT($V$5:$V$8,$I$5:$I$8)+SUMPRODUCT($V$9:$V$12,$I$9:$I$12)+SUMPRODUCT($V$13:$V$13,$I$13:$I$13)+SUMPRODUCT($V$14:$V$18,$I$14:$I$18)+SUMPRODUCT($V$19:$V$22,$I$19:$I$22)+SUMPRODUCT($V$23:$V$25,$I$23:$I$25)+SUMPRODUCT($V$26:$V$26,$I$26:$I$26)+SUMPRODUCT($V$27:$V$31,$I$27:$I$31)+SUMPRODUCT($V$32:$V$33,$I$32:$I$33)+SUMPRODUCT($V$34:$V$36,$I$34:$I$36)+SUMPRODUCT($V$37:$V$41,$I$37:$I$41)+SUMPRODUCT($V$42:$V$46,$I$42:$I$46)+SUMPRODUCT($V$47:$V$49,$I$47:$I$49)+SUMPRODUCT($V$50:$V$50,$I$50:$I$50)+SUMPRODUCT($V$51:$V$53,$I$51:$I$53)+SUMPRODUCT($V$54:$V$54,$I$54:$I$54)+SUMPRODUCT($V$55:$V$57,$I$55:$I$57)+SUMPRODUCT($V$58:$V$58,$I$58:$I$58)+SUMPRODUCT($V$59:$V$61,$I$59:$I$61)+SUMPRODUCT($V$62:$V$64,$I$62:$I$64)+SUMPRODUCT($V$65:$V$65,$I$65:$I$65)+SUMPRODUCT($V$66:$V$66,$I$66:$I$66)+SUMPRODUCT($V$67:$V$68,$I$67:$I$68)),0,+SUMPRODUCT($V$5:$V$8,$I$5:$I$8)+SUMPRODUCT($V$9:$V$12,$I$9:$I$12)+SUMPRODUCT($V$13:$V$13,$I$13:$I$13)+SUMPRODUCT($V$14:$V$18,$I$14:$I$18)+SUMPRODUCT($V$19:$V$22,$I$19:$I$22)+SUMPRODUCT($V$23:$V$25,$I$23:$I$25)+SUMPRODUCT($V$26:$V$26,$I$26:$I$26)+SUMPRODUCT($V$27:$V$31,$I$27:$I$31)+SUMPRODUCT($V$32:$V$33,$I$32:$I$33)+SUMPRODUCT($V$34:$V$36,$I$34:$I$36)+SUMPRODUCT($V$37:$V$41,$I$37:$I$41)+SUMPRODUCT($V$42:$V$46,$I$42:$I$46)+SUMPRODUCT($V$47:$V$49,$I$47:$I$49)+SUMPRODUCT($V$50:$V$50,$I$50:$I$50)+SUMPRODUCT($V$51:$V$53,$I$51:$I$53)+SUMPRODUCT($V$54:$V$54,$I$54:$I$54)+SUMPRODUCT($V$55:$V$57,$I$55:$I$57)+SUMPRODUCT($V$58:$V$58,$I$58:$I$58)+SUMPRODUCT($V$59:$V$61,$I$59:$I$61)+SUMPRODUCT($V$62:$V$64,$I$62:$I$64)+SUMPRODUCT($V$65:$V$65,$I$65:$I$65)+SUMPRODUCT($V$66:$V$66,$I$66:$I$66)+SUMPRODUCT($V$67:$V$68,$I$67:$I$68))</f>
        <v>10902073.421469135</v>
      </c>
      <c r="W72" s="13">
        <f>IF(ISERROR(+SUMPRODUCT($W$5:$W$8,$I$5:$I$8)+SUMPRODUCT($W$9:$W$12,$I$9:$I$12)+SUMPRODUCT($W$13:$W$13,$I$13:$I$13)+SUMPRODUCT($W$14:$W$18,$I$14:$I$18)+SUMPRODUCT($W$19:$W$22,$I$19:$I$22)+SUMPRODUCT($W$23:$W$25,$I$23:$I$25)+SUMPRODUCT($W$26:$W$26,$I$26:$I$26)+SUMPRODUCT($W$27:$W$31,$I$27:$I$31)+SUMPRODUCT($W$32:$W$33,$I$32:$I$33)+SUMPRODUCT($W$34:$W$36,$I$34:$I$36)+SUMPRODUCT($W$37:$W$41,$I$37:$I$41)+SUMPRODUCT($W$42:$W$46,$I$42:$I$46)+SUMPRODUCT($W$47:$W$49,$I$47:$I$49)+SUMPRODUCT($W$50:$W$50,$I$50:$I$50)+SUMPRODUCT($W$51:$W$53,$I$51:$I$53)+SUMPRODUCT($W$54:$W$54,$I$54:$I$54)+SUMPRODUCT($W$55:$W$57,$I$55:$I$57)+SUMPRODUCT($W$58:$W$58,$I$58:$I$58)+SUMPRODUCT($W$59:$W$61,$I$59:$I$61)+SUMPRODUCT($W$62:$W$64,$I$62:$I$64)+SUMPRODUCT($W$65:$W$65,$I$65:$I$65)+SUMPRODUCT($W$66:$W$66,$I$66:$I$66)+SUMPRODUCT($W$67:$W$68,$I$67:$I$68)),0,+SUMPRODUCT($W$5:$W$8,$I$5:$I$8)+SUMPRODUCT($W$9:$W$12,$I$9:$I$12)+SUMPRODUCT($W$13:$W$13,$I$13:$I$13)+SUMPRODUCT($W$14:$W$18,$I$14:$I$18)+SUMPRODUCT($W$19:$W$22,$I$19:$I$22)+SUMPRODUCT($W$23:$W$25,$I$23:$I$25)+SUMPRODUCT($W$26:$W$26,$I$26:$I$26)+SUMPRODUCT($W$27:$W$31,$I$27:$I$31)+SUMPRODUCT($W$32:$W$33,$I$32:$I$33)+SUMPRODUCT($W$34:$W$36,$I$34:$I$36)+SUMPRODUCT($W$37:$W$41,$I$37:$I$41)+SUMPRODUCT($W$42:$W$46,$I$42:$I$46)+SUMPRODUCT($W$47:$W$49,$I$47:$I$49)+SUMPRODUCT($W$50:$W$50,$I$50:$I$50)+SUMPRODUCT($W$51:$W$53,$I$51:$I$53)+SUMPRODUCT($W$54:$W$54,$I$54:$I$54)+SUMPRODUCT($W$55:$W$57,$I$55:$I$57)+SUMPRODUCT($W$58:$W$58,$I$58:$I$58)+SUMPRODUCT($W$59:$W$61,$I$59:$I$61)+SUMPRODUCT($W$62:$W$64,$I$62:$I$64)+SUMPRODUCT($W$65:$W$65,$I$65:$I$65)+SUMPRODUCT($W$66:$W$66,$I$66:$I$66)+SUMPRODUCT($W$67:$W$68,$I$67:$I$68))</f>
        <v>1182964.3685222238</v>
      </c>
      <c r="X72" s="13">
        <f>IF(ISERROR(+SUMPRODUCT($X$5:$X$8,$I$5:$I$8)+SUMPRODUCT($X$9:$X$12,$I$9:$I$12)+SUMPRODUCT($X$13:$X$13,$I$13:$I$13)+SUMPRODUCT($X$14:$X$18,$I$14:$I$18)+SUMPRODUCT($X$19:$X$22,$I$19:$I$22)+SUMPRODUCT($X$23:$X$25,$I$23:$I$25)+SUMPRODUCT($X$26:$X$26,$I$26:$I$26)+SUMPRODUCT($X$27:$X$31,$I$27:$I$31)+SUMPRODUCT($X$32:$X$33,$I$32:$I$33)+SUMPRODUCT($X$34:$X$36,$I$34:$I$36)+SUMPRODUCT($X$37:$X$41,$I$37:$I$41)+SUMPRODUCT($X$42:$X$46,$I$42:$I$46)+SUMPRODUCT($X$47:$X$49,$I$47:$I$49)+SUMPRODUCT($X$50:$X$50,$I$50:$I$50)+SUMPRODUCT($X$51:$X$53,$I$51:$I$53)+SUMPRODUCT($X$54:$X$54,$I$54:$I$54)+SUMPRODUCT($X$55:$X$57,$I$55:$I$57)+SUMPRODUCT($X$58:$X$58,$I$58:$I$58)+SUMPRODUCT($X$59:$X$61,$I$59:$I$61)+SUMPRODUCT($X$62:$X$64,$I$62:$I$64)+SUMPRODUCT($X$65:$X$65,$I$65:$I$65)+SUMPRODUCT($X$66:$X$66,$I$66:$I$66)+SUMPRODUCT($X$67:$X$68,$I$67:$I$68)),0,+SUMPRODUCT($X$5:$X$8,$I$5:$I$8)+SUMPRODUCT($X$9:$X$12,$I$9:$I$12)+SUMPRODUCT($X$13:$X$13,$I$13:$I$13)+SUMPRODUCT($X$14:$X$18,$I$14:$I$18)+SUMPRODUCT($X$19:$X$22,$I$19:$I$22)+SUMPRODUCT($X$23:$X$25,$I$23:$I$25)+SUMPRODUCT($X$26:$X$26,$I$26:$I$26)+SUMPRODUCT($X$27:$X$31,$I$27:$I$31)+SUMPRODUCT($X$32:$X$33,$I$32:$I$33)+SUMPRODUCT($X$34:$X$36,$I$34:$I$36)+SUMPRODUCT($X$37:$X$41,$I$37:$I$41)+SUMPRODUCT($X$42:$X$46,$I$42:$I$46)+SUMPRODUCT($X$47:$X$49,$I$47:$I$49)+SUMPRODUCT($X$50:$X$50,$I$50:$I$50)+SUMPRODUCT($X$51:$X$53,$I$51:$I$53)+SUMPRODUCT($X$54:$X$54,$I$54:$I$54)+SUMPRODUCT($X$55:$X$57,$I$55:$I$57)+SUMPRODUCT($X$58:$X$58,$I$58:$I$58)+SUMPRODUCT($X$59:$X$61,$I$59:$I$61)+SUMPRODUCT($X$62:$X$64,$I$62:$I$64)+SUMPRODUCT($X$65:$X$65,$I$65:$I$65)+SUMPRODUCT($X$66:$X$66,$I$66:$I$66)+SUMPRODUCT($X$67:$X$68,$I$67:$I$68))</f>
        <v>0</v>
      </c>
      <c r="Y72" s="13">
        <f>IF(ISERROR(+SUMPRODUCT($Y$5:$Y$8,$I$5:$I$8)+SUMPRODUCT($Y$9:$Y$12,$I$9:$I$12)+SUMPRODUCT($Y$13:$Y$13,$I$13:$I$13)+SUMPRODUCT($Y$14:$Y$18,$I$14:$I$18)+SUMPRODUCT($Y$19:$Y$22,$I$19:$I$22)+SUMPRODUCT($Y$23:$Y$25,$I$23:$I$25)+SUMPRODUCT($Y$26:$Y$26,$I$26:$I$26)+SUMPRODUCT($Y$27:$Y$31,$I$27:$I$31)+SUMPRODUCT($Y$32:$Y$33,$I$32:$I$33)+SUMPRODUCT($Y$34:$Y$36,$I$34:$I$36)+SUMPRODUCT($Y$37:$Y$41,$I$37:$I$41)+SUMPRODUCT($Y$42:$Y$46,$I$42:$I$46)+SUMPRODUCT($Y$47:$Y$49,$I$47:$I$49)+SUMPRODUCT($Y$50:$Y$50,$I$50:$I$50)+SUMPRODUCT($Y$51:$Y$53,$I$51:$I$53)+SUMPRODUCT($Y$54:$Y$54,$I$54:$I$54)+SUMPRODUCT($Y$55:$Y$57,$I$55:$I$57)+SUMPRODUCT($Y$58:$Y$58,$I$58:$I$58)+SUMPRODUCT($Y$59:$Y$61,$I$59:$I$61)+SUMPRODUCT($Y$62:$Y$64,$I$62:$I$64)+SUMPRODUCT($Y$65:$Y$65,$I$65:$I$65)+SUMPRODUCT($Y$66:$Y$66,$I$66:$I$66)+SUMPRODUCT($Y$67:$Y$68,$I$67:$I$68)),0,+SUMPRODUCT($Y$5:$Y$8,$I$5:$I$8)+SUMPRODUCT($Y$9:$Y$12,$I$9:$I$12)+SUMPRODUCT($Y$13:$Y$13,$I$13:$I$13)+SUMPRODUCT($Y$14:$Y$18,$I$14:$I$18)+SUMPRODUCT($Y$19:$Y$22,$I$19:$I$22)+SUMPRODUCT($Y$23:$Y$25,$I$23:$I$25)+SUMPRODUCT($Y$26:$Y$26,$I$26:$I$26)+SUMPRODUCT($Y$27:$Y$31,$I$27:$I$31)+SUMPRODUCT($Y$32:$Y$33,$I$32:$I$33)+SUMPRODUCT($Y$34:$Y$36,$I$34:$I$36)+SUMPRODUCT($Y$37:$Y$41,$I$37:$I$41)+SUMPRODUCT($Y$42:$Y$46,$I$42:$I$46)+SUMPRODUCT($Y$47:$Y$49,$I$47:$I$49)+SUMPRODUCT($Y$50:$Y$50,$I$50:$I$50)+SUMPRODUCT($Y$51:$Y$53,$I$51:$I$53)+SUMPRODUCT($Y$54:$Y$54,$I$54:$I$54)+SUMPRODUCT($Y$55:$Y$57,$I$55:$I$57)+SUMPRODUCT($Y$58:$Y$58,$I$58:$I$58)+SUMPRODUCT($Y$59:$Y$61,$I$59:$I$61)+SUMPRODUCT($Y$62:$Y$64,$I$62:$I$64)+SUMPRODUCT($Y$65:$Y$65,$I$65:$I$65)+SUMPRODUCT($Y$66:$Y$66,$I$66:$I$66)+SUMPRODUCT($Y$67:$Y$68,$I$67:$I$68))</f>
        <v>0</v>
      </c>
      <c r="Z72" s="13">
        <f>IF(ISERROR(+SUMPRODUCT($Z$5:$Z$8,$I$5:$I$8)+SUMPRODUCT($Z$9:$Z$12,$I$9:$I$12)+SUMPRODUCT($Z$13:$Z$13,$I$13:$I$13)+SUMPRODUCT($Z$14:$Z$18,$I$14:$I$18)+SUMPRODUCT($Z$19:$Z$22,$I$19:$I$22)+SUMPRODUCT($Z$23:$Z$25,$I$23:$I$25)+SUMPRODUCT($Z$26:$Z$26,$I$26:$I$26)+SUMPRODUCT($Z$27:$Z$31,$I$27:$I$31)+SUMPRODUCT($Z$32:$Z$33,$I$32:$I$33)+SUMPRODUCT($Z$34:$Z$36,$I$34:$I$36)+SUMPRODUCT($Z$37:$Z$41,$I$37:$I$41)+SUMPRODUCT($Z$42:$Z$46,$I$42:$I$46)+SUMPRODUCT($Z$47:$Z$49,$I$47:$I$49)+SUMPRODUCT($Z$50:$Z$50,$I$50:$I$50)+SUMPRODUCT($Z$51:$Z$53,$I$51:$I$53)+SUMPRODUCT($Z$54:$Z$54,$I$54:$I$54)+SUMPRODUCT($Z$55:$Z$57,$I$55:$I$57)+SUMPRODUCT($Z$58:$Z$58,$I$58:$I$58)+SUMPRODUCT($Z$59:$Z$61,$I$59:$I$61)+SUMPRODUCT($Z$62:$Z$64,$I$62:$I$64)+SUMPRODUCT($Z$65:$Z$65,$I$65:$I$65)+SUMPRODUCT($Z$66:$Z$66,$I$66:$I$66)+SUMPRODUCT($Z$67:$Z$68,$I$67:$I$68)),0,+SUMPRODUCT($Z$5:$Z$8,$I$5:$I$8)+SUMPRODUCT($Z$9:$Z$12,$I$9:$I$12)+SUMPRODUCT($Z$13:$Z$13,$I$13:$I$13)+SUMPRODUCT($Z$14:$Z$18,$I$14:$I$18)+SUMPRODUCT($Z$19:$Z$22,$I$19:$I$22)+SUMPRODUCT($Z$23:$Z$25,$I$23:$I$25)+SUMPRODUCT($Z$26:$Z$26,$I$26:$I$26)+SUMPRODUCT($Z$27:$Z$31,$I$27:$I$31)+SUMPRODUCT($Z$32:$Z$33,$I$32:$I$33)+SUMPRODUCT($Z$34:$Z$36,$I$34:$I$36)+SUMPRODUCT($Z$37:$Z$41,$I$37:$I$41)+SUMPRODUCT($Z$42:$Z$46,$I$42:$I$46)+SUMPRODUCT($Z$47:$Z$49,$I$47:$I$49)+SUMPRODUCT($Z$50:$Z$50,$I$50:$I$50)+SUMPRODUCT($Z$51:$Z$53,$I$51:$I$53)+SUMPRODUCT($Z$54:$Z$54,$I$54:$I$54)+SUMPRODUCT($Z$55:$Z$57,$I$55:$I$57)+SUMPRODUCT($Z$58:$Z$58,$I$58:$I$58)+SUMPRODUCT($Z$59:$Z$61,$I$59:$I$61)+SUMPRODUCT($Z$62:$Z$64,$I$62:$I$64)+SUMPRODUCT($Z$65:$Z$65,$I$65:$I$65)+SUMPRODUCT($Z$66:$Z$66,$I$66:$I$66)+SUMPRODUCT($Z$67:$Z$68,$I$67:$I$68))</f>
        <v>0</v>
      </c>
      <c r="AA72" s="13">
        <f>IF(ISERROR(+SUMPRODUCT($AA$5:$AA$8,$I$5:$I$8)+SUMPRODUCT($AA$9:$AA$12,$I$9:$I$12)+SUMPRODUCT($AA$13:$AA$13,$I$13:$I$13)+SUMPRODUCT($AA$14:$AA$18,$I$14:$I$18)+SUMPRODUCT($AA$19:$AA$22,$I$19:$I$22)+SUMPRODUCT($AA$23:$AA$25,$I$23:$I$25)+SUMPRODUCT($AA$26:$AA$26,$I$26:$I$26)+SUMPRODUCT($AA$27:$AA$31,$I$27:$I$31)+SUMPRODUCT($AA$32:$AA$33,$I$32:$I$33)+SUMPRODUCT($AA$34:$AA$36,$I$34:$I$36)+SUMPRODUCT($AA$37:$AA$41,$I$37:$I$41)+SUMPRODUCT($AA$42:$AA$46,$I$42:$I$46)+SUMPRODUCT($AA$47:$AA$49,$I$47:$I$49)+SUMPRODUCT($AA$50:$AA$50,$I$50:$I$50)+SUMPRODUCT($AA$51:$AA$53,$I$51:$I$53)+SUMPRODUCT($AA$54:$AA$54,$I$54:$I$54)+SUMPRODUCT($AA$55:$AA$57,$I$55:$I$57)+SUMPRODUCT($AA$58:$AA$58,$I$58:$I$58)+SUMPRODUCT($AA$59:$AA$61,$I$59:$I$61)+SUMPRODUCT($AA$62:$AA$64,$I$62:$I$64)+SUMPRODUCT($AA$65:$AA$65,$I$65:$I$65)+SUMPRODUCT($AA$66:$AA$66,$I$66:$I$66)+SUMPRODUCT($AA$67:$AA$68,$I$67:$I$68)),0,+SUMPRODUCT($AA$5:$AA$8,$I$5:$I$8)+SUMPRODUCT($AA$9:$AA$12,$I$9:$I$12)+SUMPRODUCT($AA$13:$AA$13,$I$13:$I$13)+SUMPRODUCT($AA$14:$AA$18,$I$14:$I$18)+SUMPRODUCT($AA$19:$AA$22,$I$19:$I$22)+SUMPRODUCT($AA$23:$AA$25,$I$23:$I$25)+SUMPRODUCT($AA$26:$AA$26,$I$26:$I$26)+SUMPRODUCT($AA$27:$AA$31,$I$27:$I$31)+SUMPRODUCT($AA$32:$AA$33,$I$32:$I$33)+SUMPRODUCT($AA$34:$AA$36,$I$34:$I$36)+SUMPRODUCT($AA$37:$AA$41,$I$37:$I$41)+SUMPRODUCT($AA$42:$AA$46,$I$42:$I$46)+SUMPRODUCT($AA$47:$AA$49,$I$47:$I$49)+SUMPRODUCT($AA$50:$AA$50,$I$50:$I$50)+SUMPRODUCT($AA$51:$AA$53,$I$51:$I$53)+SUMPRODUCT($AA$54:$AA$54,$I$54:$I$54)+SUMPRODUCT($AA$55:$AA$57,$I$55:$I$57)+SUMPRODUCT($AA$58:$AA$58,$I$58:$I$58)+SUMPRODUCT($AA$59:$AA$61,$I$59:$I$61)+SUMPRODUCT($AA$62:$AA$64,$I$62:$I$64)+SUMPRODUCT($AA$65:$AA$65,$I$65:$I$65)+SUMPRODUCT($AA$66:$AA$66,$I$66:$I$66)+SUMPRODUCT($AA$67:$AA$68,$I$67:$I$68))</f>
        <v>0</v>
      </c>
      <c r="AB72" s="13"/>
      <c r="AC72" s="13">
        <f>IF(ISERROR(+SUMPRODUCT($AC$5:$AC$8,$I$5:$I$8)+SUMPRODUCT($AC$9:$AC$12,$I$9:$I$12)+SUMPRODUCT($AC$13:$AC$13,$I$13:$I$13)+SUMPRODUCT($AC$14:$AC$18,$I$14:$I$18)+SUMPRODUCT($AC$19:$AC$22,$I$19:$I$22)+SUMPRODUCT($AC$23:$AC$25,$I$23:$I$25)+SUMPRODUCT($AC$26:$AC$26,$I$26:$I$26)+SUMPRODUCT($AC$27:$AC$31,$I$27:$I$31)+SUMPRODUCT($AC$32:$AC$33,$I$32:$I$33)+SUMPRODUCT($AC$34:$AC$36,$I$34:$I$36)+SUMPRODUCT($AC$37:$AC$41,$I$37:$I$41)+SUMPRODUCT($AC$42:$AC$46,$I$42:$I$46)+SUMPRODUCT($AC$47:$AC$49,$I$47:$I$49)+SUMPRODUCT($AC$50:$AC$50,$I$50:$I$50)+SUMPRODUCT($AC$51:$AC$53,$I$51:$I$53)+SUMPRODUCT($AC$54:$AC$54,$I$54:$I$54)+SUMPRODUCT($AC$55:$AC$57,$I$55:$I$57)+SUMPRODUCT($AC$58:$AC$58,$I$58:$I$58)+SUMPRODUCT($AC$59:$AC$61,$I$59:$I$61)+SUMPRODUCT($AC$62:$AC$64,$I$62:$I$64)+SUMPRODUCT($AC$65:$AC$65,$I$65:$I$65)+SUMPRODUCT($AC$66:$AC$66,$I$66:$I$66)+SUMPRODUCT($AC$67:$AC$68,$I$67:$I$68)),0,+SUMPRODUCT($AC$5:$AC$8,$I$5:$I$8)+SUMPRODUCT($AC$9:$AC$12,$I$9:$I$12)+SUMPRODUCT($AC$13:$AC$13,$I$13:$I$13)+SUMPRODUCT($AC$14:$AC$18,$I$14:$I$18)+SUMPRODUCT($AC$19:$AC$22,$I$19:$I$22)+SUMPRODUCT($AC$23:$AC$25,$I$23:$I$25)+SUMPRODUCT($AC$26:$AC$26,$I$26:$I$26)+SUMPRODUCT($AC$27:$AC$31,$I$27:$I$31)+SUMPRODUCT($AC$32:$AC$33,$I$32:$I$33)+SUMPRODUCT($AC$34:$AC$36,$I$34:$I$36)+SUMPRODUCT($AC$37:$AC$41,$I$37:$I$41)+SUMPRODUCT($AC$42:$AC$46,$I$42:$I$46)+SUMPRODUCT($AC$47:$AC$49,$I$47:$I$49)+SUMPRODUCT($AC$50:$AC$50,$I$50:$I$50)+SUMPRODUCT($AC$51:$AC$53,$I$51:$I$53)+SUMPRODUCT($AC$54:$AC$54,$I$54:$I$54)+SUMPRODUCT($AC$55:$AC$57,$I$55:$I$57)+SUMPRODUCT($AC$58:$AC$58,$I$58:$I$58)+SUMPRODUCT($AC$59:$AC$61,$I$59:$I$61)+SUMPRODUCT($AC$62:$AC$64,$I$62:$I$64)+SUMPRODUCT($AC$65:$AC$65,$I$65:$I$65)+SUMPRODUCT($AC$66:$AC$66,$I$66:$I$66)+SUMPRODUCT($AC$67:$AC$68,$I$67:$I$68))</f>
        <v>282239184.67671144</v>
      </c>
      <c r="AD72" s="13"/>
      <c r="AE72" s="13">
        <f>IF(ISERROR(+SUMPRODUCT($AE$5:$AE$8,$I$5:$I$8)+SUMPRODUCT($AE$9:$AE$12,$I$9:$I$12)+SUMPRODUCT($AE$13:$AE$13,$I$13:$I$13)+SUMPRODUCT($AE$14:$AE$18,$I$14:$I$18)+SUMPRODUCT($AE$19:$AE$22,$I$19:$I$22)+SUMPRODUCT($AE$23:$AE$25,$I$23:$I$25)+SUMPRODUCT($AE$26:$AE$26,$I$26:$I$26)+SUMPRODUCT($AE$27:$AE$31,$I$27:$I$31)+SUMPRODUCT($AE$32:$AE$33,$I$32:$I$33)+SUMPRODUCT($AE$34:$AE$36,$I$34:$I$36)+SUMPRODUCT($AE$37:$AE$41,$I$37:$I$41)+SUMPRODUCT($AE$42:$AE$46,$I$42:$I$46)+SUMPRODUCT($AE$47:$AE$49,$I$47:$I$49)+SUMPRODUCT($AE$50:$AE$50,$I$50:$I$50)+SUMPRODUCT($AE$51:$AE$53,$I$51:$I$53)+SUMPRODUCT($AE$54:$AE$54,$I$54:$I$54)+SUMPRODUCT($AE$55:$AE$57,$I$55:$I$57)+SUMPRODUCT($AE$58:$AE$58,$I$58:$I$58)+SUMPRODUCT($AE$59:$AE$61,$I$59:$I$61)+SUMPRODUCT($AE$62:$AE$64,$I$62:$I$64)+SUMPRODUCT($AE$65:$AE$65,$I$65:$I$65)+SUMPRODUCT($AE$66:$AE$66,$I$66:$I$66)+SUMPRODUCT($AE$67:$AE$68,$I$67:$I$68)),0,+SUMPRODUCT($AE$5:$AE$8,$I$5:$I$8)+SUMPRODUCT($AE$9:$AE$12,$I$9:$I$12)+SUMPRODUCT($AE$13:$AE$13,$I$13:$I$13)+SUMPRODUCT($AE$14:$AE$18,$I$14:$I$18)+SUMPRODUCT($AE$19:$AE$22,$I$19:$I$22)+SUMPRODUCT($AE$23:$AE$25,$I$23:$I$25)+SUMPRODUCT($AE$26:$AE$26,$I$26:$I$26)+SUMPRODUCT($AE$27:$AE$31,$I$27:$I$31)+SUMPRODUCT($AE$32:$AE$33,$I$32:$I$33)+SUMPRODUCT($AE$34:$AE$36,$I$34:$I$36)+SUMPRODUCT($AE$37:$AE$41,$I$37:$I$41)+SUMPRODUCT($AE$42:$AE$46,$I$42:$I$46)+SUMPRODUCT($AE$47:$AE$49,$I$47:$I$49)+SUMPRODUCT($AE$50:$AE$50,$I$50:$I$50)+SUMPRODUCT($AE$51:$AE$53,$I$51:$I$53)+SUMPRODUCT($AE$54:$AE$54,$I$54:$I$54)+SUMPRODUCT($AE$55:$AE$57,$I$55:$I$57)+SUMPRODUCT($AE$58:$AE$58,$I$58:$I$58)+SUMPRODUCT($AE$59:$AE$61,$I$59:$I$61)+SUMPRODUCT($AE$62:$AE$64,$I$62:$I$64)+SUMPRODUCT($AE$65:$AE$65,$I$65:$I$65)+SUMPRODUCT($AE$66:$AE$66,$I$66:$I$66)+SUMPRODUCT($AE$67:$AE$68,$I$67:$I$68))</f>
        <v>0</v>
      </c>
      <c r="AF72" s="13">
        <f>IF(ISERROR(+SUMPRODUCT($AF$5:$AF$8,$I$5:$I$8)+SUMPRODUCT($AF$9:$AF$12,$I$9:$I$12)+SUMPRODUCT($AF$13:$AF$13,$I$13:$I$13)+SUMPRODUCT($AF$14:$AF$18,$I$14:$I$18)+SUMPRODUCT($AF$19:$AF$22,$I$19:$I$22)+SUMPRODUCT($AF$23:$AF$25,$I$23:$I$25)+SUMPRODUCT($AF$26:$AF$26,$I$26:$I$26)+SUMPRODUCT($AF$27:$AF$31,$I$27:$I$31)+SUMPRODUCT($AF$32:$AF$33,$I$32:$I$33)+SUMPRODUCT($AF$34:$AF$36,$I$34:$I$36)+SUMPRODUCT($AF$37:$AF$41,$I$37:$I$41)+SUMPRODUCT($AF$42:$AF$46,$I$42:$I$46)+SUMPRODUCT($AF$47:$AF$49,$I$47:$I$49)+SUMPRODUCT($AF$50:$AF$50,$I$50:$I$50)+SUMPRODUCT($AF$51:$AF$53,$I$51:$I$53)+SUMPRODUCT($AF$54:$AF$54,$I$54:$I$54)+SUMPRODUCT($AF$55:$AF$57,$I$55:$I$57)+SUMPRODUCT($AF$58:$AF$58,$I$58:$I$58)+SUMPRODUCT($AF$59:$AF$61,$I$59:$I$61)+SUMPRODUCT($AF$62:$AF$64,$I$62:$I$64)+SUMPRODUCT($AF$65:$AF$65,$I$65:$I$65)+SUMPRODUCT($AF$66:$AF$66,$I$66:$I$66)+SUMPRODUCT($AF$67:$AF$68,$I$67:$I$68)),0,+SUMPRODUCT($AF$5:$AF$8,$I$5:$I$8)+SUMPRODUCT($AF$9:$AF$12,$I$9:$I$12)+SUMPRODUCT($AF$13:$AF$13,$I$13:$I$13)+SUMPRODUCT($AF$14:$AF$18,$I$14:$I$18)+SUMPRODUCT($AF$19:$AF$22,$I$19:$I$22)+SUMPRODUCT($AF$23:$AF$25,$I$23:$I$25)+SUMPRODUCT($AF$26:$AF$26,$I$26:$I$26)+SUMPRODUCT($AF$27:$AF$31,$I$27:$I$31)+SUMPRODUCT($AF$32:$AF$33,$I$32:$I$33)+SUMPRODUCT($AF$34:$AF$36,$I$34:$I$36)+SUMPRODUCT($AF$37:$AF$41,$I$37:$I$41)+SUMPRODUCT($AF$42:$AF$46,$I$42:$I$46)+SUMPRODUCT($AF$47:$AF$49,$I$47:$I$49)+SUMPRODUCT($AF$50:$AF$50,$I$50:$I$50)+SUMPRODUCT($AF$51:$AF$53,$I$51:$I$53)+SUMPRODUCT($AF$54:$AF$54,$I$54:$I$54)+SUMPRODUCT($AF$55:$AF$57,$I$55:$I$57)+SUMPRODUCT($AF$58:$AF$58,$I$58:$I$58)+SUMPRODUCT($AF$59:$AF$61,$I$59:$I$61)+SUMPRODUCT($AF$62:$AF$64,$I$62:$I$64)+SUMPRODUCT($AF$65:$AF$65,$I$65:$I$65)+SUMPRODUCT($AF$66:$AF$66,$I$66:$I$66)+SUMPRODUCT($AF$67:$AF$68,$I$67:$I$68))</f>
        <v>0</v>
      </c>
      <c r="AG72" s="13"/>
      <c r="AH72" s="13">
        <f>IF(ISERROR(+SUMPRODUCT($AH$5:$AH$8,$I$5:$I$8)+SUMPRODUCT($AH$9:$AH$12,$I$9:$I$12)+SUMPRODUCT($AH$13:$AH$13,$I$13:$I$13)+SUMPRODUCT($AH$14:$AH$18,$I$14:$I$18)+SUMPRODUCT($AH$19:$AH$22,$I$19:$I$22)+SUMPRODUCT($AH$23:$AH$25,$I$23:$I$25)+SUMPRODUCT($AH$26:$AH$26,$I$26:$I$26)+SUMPRODUCT($AH$27:$AH$31,$I$27:$I$31)+SUMPRODUCT($AH$32:$AH$33,$I$32:$I$33)+SUMPRODUCT($AH$34:$AH$36,$I$34:$I$36)+SUMPRODUCT($AH$37:$AH$41,$I$37:$I$41)+SUMPRODUCT($AH$42:$AH$46,$I$42:$I$46)+SUMPRODUCT($AH$47:$AH$49,$I$47:$I$49)+SUMPRODUCT($AH$50:$AH$50,$I$50:$I$50)+SUMPRODUCT($AH$51:$AH$53,$I$51:$I$53)+SUMPRODUCT($AH$54:$AH$54,$I$54:$I$54)+SUMPRODUCT($AH$55:$AH$57,$I$55:$I$57)+SUMPRODUCT($AH$58:$AH$58,$I$58:$I$58)+SUMPRODUCT($AH$59:$AH$61,$I$59:$I$61)+SUMPRODUCT($AH$62:$AH$64,$I$62:$I$64)+SUMPRODUCT($AH$65:$AH$65,$I$65:$I$65)+SUMPRODUCT($AH$66:$AH$66,$I$66:$I$66)+SUMPRODUCT($AH$67:$AH$68,$I$67:$I$68)),0,+SUMPRODUCT($AH$5:$AH$8,$I$5:$I$8)+SUMPRODUCT($AH$9:$AH$12,$I$9:$I$12)+SUMPRODUCT($AH$13:$AH$13,$I$13:$I$13)+SUMPRODUCT($AH$14:$AH$18,$I$14:$I$18)+SUMPRODUCT($AH$19:$AH$22,$I$19:$I$22)+SUMPRODUCT($AH$23:$AH$25,$I$23:$I$25)+SUMPRODUCT($AH$26:$AH$26,$I$26:$I$26)+SUMPRODUCT($AH$27:$AH$31,$I$27:$I$31)+SUMPRODUCT($AH$32:$AH$33,$I$32:$I$33)+SUMPRODUCT($AH$34:$AH$36,$I$34:$I$36)+SUMPRODUCT($AH$37:$AH$41,$I$37:$I$41)+SUMPRODUCT($AH$42:$AH$46,$I$42:$I$46)+SUMPRODUCT($AH$47:$AH$49,$I$47:$I$49)+SUMPRODUCT($AH$50:$AH$50,$I$50:$I$50)+SUMPRODUCT($AH$51:$AH$53,$I$51:$I$53)+SUMPRODUCT($AH$54:$AH$54,$I$54:$I$54)+SUMPRODUCT($AH$55:$AH$57,$I$55:$I$57)+SUMPRODUCT($AH$58:$AH$58,$I$58:$I$58)+SUMPRODUCT($AH$59:$AH$61,$I$59:$I$61)+SUMPRODUCT($AH$62:$AH$64,$I$62:$I$64)+SUMPRODUCT($AH$65:$AH$65,$I$65:$I$65)+SUMPRODUCT($AH$66:$AH$66,$I$66:$I$66)+SUMPRODUCT($AH$67:$AH$68,$I$67:$I$68))</f>
        <v>22683141.229935702</v>
      </c>
      <c r="AI72" s="13">
        <f>IF(ISERROR(+SUMPRODUCT($AI$5:$AI$8,$I$5:$I$8)+SUMPRODUCT($AI$9:$AI$12,$I$9:$I$12)+SUMPRODUCT($AI$13:$AI$13,$I$13:$I$13)+SUMPRODUCT($AI$14:$AI$18,$I$14:$I$18)+SUMPRODUCT($AI$19:$AI$22,$I$19:$I$22)+SUMPRODUCT($AI$23:$AI$25,$I$23:$I$25)+SUMPRODUCT($AI$26:$AI$26,$I$26:$I$26)+SUMPRODUCT($AI$27:$AI$31,$I$27:$I$31)+SUMPRODUCT($AI$32:$AI$33,$I$32:$I$33)+SUMPRODUCT($AI$34:$AI$36,$I$34:$I$36)+SUMPRODUCT($AI$37:$AI$41,$I$37:$I$41)+SUMPRODUCT($AI$42:$AI$46,$I$42:$I$46)+SUMPRODUCT($AI$47:$AI$49,$I$47:$I$49)+SUMPRODUCT($AI$50:$AI$50,$I$50:$I$50)+SUMPRODUCT($AI$51:$AI$53,$I$51:$I$53)+SUMPRODUCT($AI$54:$AI$54,$I$54:$I$54)+SUMPRODUCT($AI$55:$AI$57,$I$55:$I$57)+SUMPRODUCT($AI$58:$AI$58,$I$58:$I$58)+SUMPRODUCT($AI$59:$AI$61,$I$59:$I$61)+SUMPRODUCT($AI$62:$AI$64,$I$62:$I$64)+SUMPRODUCT($AI$65:$AI$65,$I$65:$I$65)+SUMPRODUCT($AI$66:$AI$66,$I$66:$I$66)+SUMPRODUCT($AI$67:$AI$68,$I$67:$I$68)),0,+SUMPRODUCT($AI$5:$AI$8,$I$5:$I$8)+SUMPRODUCT($AI$9:$AI$12,$I$9:$I$12)+SUMPRODUCT($AI$13:$AI$13,$I$13:$I$13)+SUMPRODUCT($AI$14:$AI$18,$I$14:$I$18)+SUMPRODUCT($AI$19:$AI$22,$I$19:$I$22)+SUMPRODUCT($AI$23:$AI$25,$I$23:$I$25)+SUMPRODUCT($AI$26:$AI$26,$I$26:$I$26)+SUMPRODUCT($AI$27:$AI$31,$I$27:$I$31)+SUMPRODUCT($AI$32:$AI$33,$I$32:$I$33)+SUMPRODUCT($AI$34:$AI$36,$I$34:$I$36)+SUMPRODUCT($AI$37:$AI$41,$I$37:$I$41)+SUMPRODUCT($AI$42:$AI$46,$I$42:$I$46)+SUMPRODUCT($AI$47:$AI$49,$I$47:$I$49)+SUMPRODUCT($AI$50:$AI$50,$I$50:$I$50)+SUMPRODUCT($AI$51:$AI$53,$I$51:$I$53)+SUMPRODUCT($AI$54:$AI$54,$I$54:$I$54)+SUMPRODUCT($AI$55:$AI$57,$I$55:$I$57)+SUMPRODUCT($AI$58:$AI$58,$I$58:$I$58)+SUMPRODUCT($AI$59:$AI$61,$I$59:$I$61)+SUMPRODUCT($AI$62:$AI$64,$I$62:$I$64)+SUMPRODUCT($AI$65:$AI$65,$I$65:$I$65)+SUMPRODUCT($AI$66:$AI$66,$I$66:$I$66)+SUMPRODUCT($AI$67:$AI$68,$I$67:$I$68))</f>
        <v>22683141.229935702</v>
      </c>
      <c r="AJ72" s="13">
        <f ca="1">IF(ISERROR(+SUMPRODUCT($AJ$5:$AJ$8,$I$5:$I$8)+SUMPRODUCT($AJ$9:$AJ$12,$I$9:$I$12)+SUMPRODUCT($AJ$13:$AJ$13,$I$13:$I$13)+SUMPRODUCT($AJ$14:$AJ$18,$I$14:$I$18)+SUMPRODUCT($AJ$19:$AJ$22,$I$19:$I$22)+SUMPRODUCT($AJ$23:$AJ$25,$I$23:$I$25)+SUMPRODUCT($AJ$26:$AJ$26,$I$26:$I$26)+SUMPRODUCT($AJ$27:$AJ$31,$I$27:$I$31)+SUMPRODUCT($AJ$32:$AJ$33,$I$32:$I$33)+SUMPRODUCT($AJ$34:$AJ$36,$I$34:$I$36)+SUMPRODUCT($AJ$37:$AJ$41,$I$37:$I$41)+SUMPRODUCT($AJ$42:$AJ$46,$I$42:$I$46)+SUMPRODUCT($AJ$47:$AJ$49,$I$47:$I$49)+SUMPRODUCT($AJ$50:$AJ$50,$I$50:$I$50)+SUMPRODUCT($AJ$51:$AJ$53,$I$51:$I$53)+SUMPRODUCT($AJ$54:$AJ$54,$I$54:$I$54)+SUMPRODUCT($AJ$55:$AJ$57,$I$55:$I$57)+SUMPRODUCT($AJ$58:$AJ$58,$I$58:$I$58)+SUMPRODUCT($AJ$59:$AJ$61,$I$59:$I$61)+SUMPRODUCT($AJ$62:$AJ$64,$I$62:$I$64)+SUMPRODUCT($AJ$65:$AJ$65,$I$65:$I$65)+SUMPRODUCT($AJ$66:$AJ$66,$I$66:$I$66)+SUMPRODUCT($AJ$67:$AJ$68,$I$67:$I$68)),0,+SUMPRODUCT($AJ$5:$AJ$8,$I$5:$I$8)+SUMPRODUCT($AJ$9:$AJ$12,$I$9:$I$12)+SUMPRODUCT($AJ$13:$AJ$13,$I$13:$I$13)+SUMPRODUCT($AJ$14:$AJ$18,$I$14:$I$18)+SUMPRODUCT($AJ$19:$AJ$22,$I$19:$I$22)+SUMPRODUCT($AJ$23:$AJ$25,$I$23:$I$25)+SUMPRODUCT($AJ$26:$AJ$26,$I$26:$I$26)+SUMPRODUCT($AJ$27:$AJ$31,$I$27:$I$31)+SUMPRODUCT($AJ$32:$AJ$33,$I$32:$I$33)+SUMPRODUCT($AJ$34:$AJ$36,$I$34:$I$36)+SUMPRODUCT($AJ$37:$AJ$41,$I$37:$I$41)+SUMPRODUCT($AJ$42:$AJ$46,$I$42:$I$46)+SUMPRODUCT($AJ$47:$AJ$49,$I$47:$I$49)+SUMPRODUCT($AJ$50:$AJ$50,$I$50:$I$50)+SUMPRODUCT($AJ$51:$AJ$53,$I$51:$I$53)+SUMPRODUCT($AJ$54:$AJ$54,$I$54:$I$54)+SUMPRODUCT($AJ$55:$AJ$57,$I$55:$I$57)+SUMPRODUCT($AJ$58:$AJ$58,$I$58:$I$58)+SUMPRODUCT($AJ$59:$AJ$61,$I$59:$I$61)+SUMPRODUCT($AJ$62:$AJ$64,$I$62:$I$64)+SUMPRODUCT($AJ$65:$AJ$65,$I$65:$I$65)+SUMPRODUCT($AJ$66:$AJ$66,$I$66:$I$66)+SUMPRODUCT($AJ$67:$AJ$68,$I$67:$I$68))</f>
        <v>28117703.367407452</v>
      </c>
      <c r="AK72" s="13">
        <f ca="1">IF(ISERROR(+SUMPRODUCT($AK$5:$AK$8,$I$5:$I$8)+SUMPRODUCT($AK$9:$AK$12,$I$9:$I$12)+SUMPRODUCT($AK$13:$AK$13,$I$13:$I$13)+SUMPRODUCT($AK$14:$AK$18,$I$14:$I$18)+SUMPRODUCT($AK$19:$AK$22,$I$19:$I$22)+SUMPRODUCT($AK$23:$AK$25,$I$23:$I$25)+SUMPRODUCT($AK$26:$AK$26,$I$26:$I$26)+SUMPRODUCT($AK$27:$AK$31,$I$27:$I$31)+SUMPRODUCT($AK$32:$AK$33,$I$32:$I$33)+SUMPRODUCT($AK$34:$AK$36,$I$34:$I$36)+SUMPRODUCT($AK$37:$AK$41,$I$37:$I$41)+SUMPRODUCT($AK$42:$AK$46,$I$42:$I$46)+SUMPRODUCT($AK$47:$AK$49,$I$47:$I$49)+SUMPRODUCT($AK$50:$AK$50,$I$50:$I$50)+SUMPRODUCT($AK$51:$AK$53,$I$51:$I$53)+SUMPRODUCT($AK$54:$AK$54,$I$54:$I$54)+SUMPRODUCT($AK$55:$AK$57,$I$55:$I$57)+SUMPRODUCT($AK$58:$AK$58,$I$58:$I$58)+SUMPRODUCT($AK$59:$AK$61,$I$59:$I$61)+SUMPRODUCT($AK$62:$AK$64,$I$62:$I$64)+SUMPRODUCT($AK$65:$AK$65,$I$65:$I$65)+SUMPRODUCT($AK$66:$AK$66,$I$66:$I$66)+SUMPRODUCT($AK$67:$AK$68,$I$67:$I$68)),0,+SUMPRODUCT($AK$5:$AK$8,$I$5:$I$8)+SUMPRODUCT($AK$9:$AK$12,$I$9:$I$12)+SUMPRODUCT($AK$13:$AK$13,$I$13:$I$13)+SUMPRODUCT($AK$14:$AK$18,$I$14:$I$18)+SUMPRODUCT($AK$19:$AK$22,$I$19:$I$22)+SUMPRODUCT($AK$23:$AK$25,$I$23:$I$25)+SUMPRODUCT($AK$26:$AK$26,$I$26:$I$26)+SUMPRODUCT($AK$27:$AK$31,$I$27:$I$31)+SUMPRODUCT($AK$32:$AK$33,$I$32:$I$33)+SUMPRODUCT($AK$34:$AK$36,$I$34:$I$36)+SUMPRODUCT($AK$37:$AK$41,$I$37:$I$41)+SUMPRODUCT($AK$42:$AK$46,$I$42:$I$46)+SUMPRODUCT($AK$47:$AK$49,$I$47:$I$49)+SUMPRODUCT($AK$50:$AK$50,$I$50:$I$50)+SUMPRODUCT($AK$51:$AK$53,$I$51:$I$53)+SUMPRODUCT($AK$54:$AK$54,$I$54:$I$54)+SUMPRODUCT($AK$55:$AK$57,$I$55:$I$57)+SUMPRODUCT($AK$58:$AK$58,$I$58:$I$58)+SUMPRODUCT($AK$59:$AK$61,$I$59:$I$61)+SUMPRODUCT($AK$62:$AK$64,$I$62:$I$64)+SUMPRODUCT($AK$65:$AK$65,$I$65:$I$65)+SUMPRODUCT($AK$66:$AK$66,$I$66:$I$66)+SUMPRODUCT($AK$67:$AK$68,$I$67:$I$68))</f>
        <v>28117703.367407452</v>
      </c>
      <c r="AL72" s="13"/>
      <c r="AM72" s="13"/>
    </row>
    <row r="73" spans="1:42" ht="11.25" customHeight="1" x14ac:dyDescent="0.25">
      <c r="K73" s="16" t="s">
        <v>776</v>
      </c>
      <c r="L73" s="13">
        <f>CUSTOS!$D$2</f>
        <v>21196044.622047894</v>
      </c>
      <c r="M73" s="13">
        <f>CUSTOS!$D$3</f>
        <v>1244777.3683460983</v>
      </c>
      <c r="N73" s="13">
        <f>CUSTOS!$D$4</f>
        <v>4405576.6480421154</v>
      </c>
      <c r="O73" s="13">
        <f>CUSTOS!$D$5</f>
        <v>0</v>
      </c>
      <c r="P73" s="13">
        <f>CUSTOS!$D$6</f>
        <v>0</v>
      </c>
      <c r="Q73" s="13">
        <f>CUSTOS!$D$7</f>
        <v>35101782.2952765</v>
      </c>
      <c r="R73" s="13">
        <f>CUSTOS!$D$8</f>
        <v>13744465.34068593</v>
      </c>
      <c r="S73" s="13">
        <f>CUSTOS!$D$9</f>
        <v>0</v>
      </c>
      <c r="T73" s="13">
        <f>CUSTOS!$D$10</f>
        <v>75692646.274398535</v>
      </c>
      <c r="U73" s="13">
        <f>CUSTOS!$D$11</f>
        <v>16896485.780000001</v>
      </c>
      <c r="V73" s="13">
        <f>IF(SUM(V70:V72)&lt;&gt;0,CUSTOS!$D$12+CUSTOS!$D$16+CUSTOS!$D$17-'TR TUSD'!$Z$71-'TR TUSD'!$AA$71,0)</f>
        <v>18531916.760000002</v>
      </c>
      <c r="W73" s="13">
        <f>CUSTOS!$D$13</f>
        <v>1920298.81317661</v>
      </c>
      <c r="X73" s="13">
        <f>CUSTOS!$D$14</f>
        <v>0</v>
      </c>
      <c r="Y73" s="13">
        <f>IF(SUM(V70:V72)=0,CUSTOS!$D$15+CUSTOS!$D$16+CUSTOS!$D$17-'TR TUSD'!$Z$71-'TR TUSD'!$AA$71,CUSTOS!$D$15)</f>
        <v>0</v>
      </c>
      <c r="Z73" s="13">
        <f>Z71</f>
        <v>0</v>
      </c>
      <c r="AA73" s="13">
        <f>AA71</f>
        <v>0</v>
      </c>
      <c r="AB73" s="13">
        <f>CUSTOS!$D$18</f>
        <v>37348701.353176616</v>
      </c>
      <c r="AC73" s="13">
        <f>CUSTOS!$D$19</f>
        <v>338718926.74802554</v>
      </c>
      <c r="AD73" s="13">
        <f>CUSTOS!$D$20</f>
        <v>338718926.74802554</v>
      </c>
      <c r="AE73" s="13">
        <f>CUSTOS!$D$21</f>
        <v>0</v>
      </c>
      <c r="AF73" s="13">
        <f>CUSTOS!$D$22</f>
        <v>0</v>
      </c>
      <c r="AG73" s="13">
        <f>CUSTOS!$D$23</f>
        <v>0</v>
      </c>
      <c r="AH73" s="13">
        <f>CUSTOS!$D$24</f>
        <v>28376289.848444641</v>
      </c>
      <c r="AI73" s="13">
        <f>CUSTOS!$D$25</f>
        <v>1312093.1585851414</v>
      </c>
      <c r="AJ73" s="13">
        <f>CUSTOS!$D$26</f>
        <v>28727361.346561823</v>
      </c>
      <c r="AK73" s="13">
        <f>CUSTOS!$D$27</f>
        <v>12574203.058717519</v>
      </c>
      <c r="AL73" s="13">
        <f>CUSTOS!$D$28</f>
        <v>70989947.412309125</v>
      </c>
      <c r="AM73" s="13">
        <f>CUSTOS!$D$29</f>
        <v>522750221.78790981</v>
      </c>
    </row>
    <row r="74" spans="1:42" ht="11.25" customHeight="1" x14ac:dyDescent="0.25">
      <c r="K74" s="16" t="s">
        <v>777</v>
      </c>
      <c r="L74" s="13">
        <f>CUSTOS!$E$2</f>
        <v>-2838001.1924613039</v>
      </c>
      <c r="M74" s="13">
        <f>CUSTOS!$E$3</f>
        <v>-21816.091014040208</v>
      </c>
      <c r="N74" s="13">
        <f>CUSTOS!$E$4</f>
        <v>-1.0086501702871373</v>
      </c>
      <c r="O74" s="13">
        <f>CUSTOS!$E$5</f>
        <v>0</v>
      </c>
      <c r="P74" s="13">
        <f>CUSTOS!$E$6</f>
        <v>0</v>
      </c>
      <c r="Q74" s="13">
        <f>CUSTOS!$E$7</f>
        <v>-720751.51857831888</v>
      </c>
      <c r="R74" s="13">
        <f>CUSTOS!$E$8</f>
        <v>-334543.79990970809</v>
      </c>
      <c r="S74" s="13">
        <f>CUSTOS!$E$9</f>
        <v>0</v>
      </c>
      <c r="T74" s="13">
        <f>CUSTOS!$E$10</f>
        <v>-3915113.6106135412</v>
      </c>
      <c r="U74" s="13">
        <f>CUSTOS!$E$11</f>
        <v>175231.63823711593</v>
      </c>
      <c r="V74" s="13">
        <f>CUSTOS!$E$12</f>
        <v>256474.14858591114</v>
      </c>
      <c r="W74" s="13">
        <f>CUSTOS!$E$13</f>
        <v>-36441.037148729818</v>
      </c>
      <c r="X74" s="13">
        <f>CUSTOS!$E$14</f>
        <v>0</v>
      </c>
      <c r="Y74" s="13">
        <f>CUSTOS!$E$15</f>
        <v>0</v>
      </c>
      <c r="Z74" s="13">
        <f>CUSTOS!$E$16</f>
        <v>0</v>
      </c>
      <c r="AA74" s="13">
        <f>CUSTOS!$E$17</f>
        <v>0</v>
      </c>
      <c r="AB74" s="13">
        <f>CUSTOS!$E$18</f>
        <v>395264.74967429723</v>
      </c>
      <c r="AC74" s="13">
        <f>CUSTOS!$E$19</f>
        <v>-483987.81999999995</v>
      </c>
      <c r="AD74" s="13">
        <f>CUSTOS!$E$20</f>
        <v>-483987.81999999995</v>
      </c>
      <c r="AE74" s="13">
        <f>CUSTOS!$E$21</f>
        <v>-46797907.055516258</v>
      </c>
      <c r="AF74" s="13">
        <f>CUSTOS!$E$22</f>
        <v>0</v>
      </c>
      <c r="AG74" s="13">
        <f>CUSTOS!$E$23</f>
        <v>-46797907.055516258</v>
      </c>
      <c r="AH74" s="13">
        <f>CUSTOS!$E$24</f>
        <v>3835231.8297935533</v>
      </c>
      <c r="AI74" s="13">
        <f>CUSTOS!$E$25</f>
        <v>177337.5403316131</v>
      </c>
      <c r="AJ74" s="13">
        <f>CUSTOS!$E$26</f>
        <v>3882681.3234131755</v>
      </c>
      <c r="AK74" s="13">
        <f>CUSTOS!$E$27</f>
        <v>-780471.08261516178</v>
      </c>
      <c r="AL74" s="13">
        <f>CUSTOS!$E$28</f>
        <v>7114779.6109231804</v>
      </c>
      <c r="AM74" s="13">
        <f>CUSTOS!$E$29</f>
        <v>-43686964.125532322</v>
      </c>
    </row>
    <row r="75" spans="1:42" ht="11.25" customHeight="1" x14ac:dyDescent="0.25">
      <c r="K75" s="16" t="s">
        <v>778</v>
      </c>
      <c r="L75" s="13">
        <f>CUSTOS!$F$2</f>
        <v>812234.4769521897</v>
      </c>
      <c r="M75" s="13">
        <f>CUSTOS!$F$3</f>
        <v>0</v>
      </c>
      <c r="N75" s="13">
        <f>CUSTOS!$F$4</f>
        <v>0</v>
      </c>
      <c r="O75" s="13">
        <f>CUSTOS!$F$5</f>
        <v>0</v>
      </c>
      <c r="P75" s="13">
        <f>CUSTOS!$F$6</f>
        <v>0</v>
      </c>
      <c r="Q75" s="13">
        <f>CUSTOS!$F$7</f>
        <v>13268550.4859</v>
      </c>
      <c r="R75" s="13">
        <f>CUSTOS!$F$8</f>
        <v>5029050.7885999996</v>
      </c>
      <c r="S75" s="13">
        <f>CUSTOS!$F$9</f>
        <v>0</v>
      </c>
      <c r="T75" s="13">
        <f>CUSTOS!$F$10</f>
        <v>19109835.751452189</v>
      </c>
      <c r="U75" s="13">
        <f>CUSTOS!$F$11</f>
        <v>2809735.8723082175</v>
      </c>
      <c r="V75" s="13">
        <f>CUSTOS!$F$12</f>
        <v>3081693.5533917798</v>
      </c>
      <c r="W75" s="13">
        <f>CUSTOS!$F$13</f>
        <v>0</v>
      </c>
      <c r="X75" s="13">
        <f>CUSTOS!$F$14</f>
        <v>0</v>
      </c>
      <c r="Y75" s="13">
        <f>CUSTOS!$F$15</f>
        <v>0</v>
      </c>
      <c r="Z75" s="13">
        <f>CUSTOS!$F$16</f>
        <v>0</v>
      </c>
      <c r="AA75" s="13">
        <f>CUSTOS!$F$17</f>
        <v>0</v>
      </c>
      <c r="AB75" s="13">
        <f>CUSTOS!$F$18</f>
        <v>5891429.4256999977</v>
      </c>
      <c r="AC75" s="13">
        <f>CUSTOS!$F$19</f>
        <v>0</v>
      </c>
      <c r="AD75" s="13">
        <f>CUSTOS!$F$20</f>
        <v>0</v>
      </c>
      <c r="AE75" s="13">
        <f>CUSTOS!$F$21</f>
        <v>0</v>
      </c>
      <c r="AF75" s="13">
        <f>CUSTOS!$F$22</f>
        <v>0</v>
      </c>
      <c r="AG75" s="13">
        <f>CUSTOS!$F$23</f>
        <v>0</v>
      </c>
      <c r="AH75" s="13">
        <f>CUSTOS!$F$24</f>
        <v>-362295.18782185263</v>
      </c>
      <c r="AI75" s="13">
        <f>CUSTOS!$F$25</f>
        <v>-16752.191349477187</v>
      </c>
      <c r="AJ75" s="13">
        <f>CUSTOS!$F$26</f>
        <v>-366777.5043977187</v>
      </c>
      <c r="AK75" s="13">
        <f>CUSTOS!$F$27</f>
        <v>0</v>
      </c>
      <c r="AL75" s="13">
        <f>CUSTOS!$F$28</f>
        <v>-745824.88356904848</v>
      </c>
      <c r="AM75" s="13">
        <f>CUSTOS!$F$29</f>
        <v>24255440.29358314</v>
      </c>
    </row>
    <row r="76" spans="1:42" ht="11.25" customHeight="1" x14ac:dyDescent="0.25">
      <c r="K76" s="16" t="s">
        <v>841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/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/>
      <c r="AC76" s="13">
        <v>0</v>
      </c>
      <c r="AD76" s="13"/>
      <c r="AE76" s="13">
        <v>0</v>
      </c>
      <c r="AF76" s="13">
        <v>0</v>
      </c>
      <c r="AG76" s="13"/>
      <c r="AH76" s="13">
        <v>0</v>
      </c>
      <c r="AI76" s="13">
        <v>0</v>
      </c>
      <c r="AJ76" s="13">
        <v>0</v>
      </c>
      <c r="AK76" s="13">
        <v>0</v>
      </c>
      <c r="AL76" s="13"/>
      <c r="AM76" s="13"/>
    </row>
    <row r="77" spans="1:42" ht="11.25" customHeight="1" x14ac:dyDescent="0.25">
      <c r="K77" s="16" t="s">
        <v>842</v>
      </c>
      <c r="L77" s="13">
        <f t="shared" ref="L77:S77" si="2">IF((L72+L70)&lt;&gt;0,(L73-L71-L76)/(L72+L70),0)</f>
        <v>22.226345284531497</v>
      </c>
      <c r="M77" s="13">
        <f t="shared" si="2"/>
        <v>1.02239973697273</v>
      </c>
      <c r="N77" s="13">
        <f t="shared" ca="1" si="2"/>
        <v>1.1473758965891476</v>
      </c>
      <c r="O77" s="13">
        <f t="shared" si="2"/>
        <v>0</v>
      </c>
      <c r="P77" s="13">
        <f t="shared" si="2"/>
        <v>0</v>
      </c>
      <c r="Q77" s="13">
        <f t="shared" si="2"/>
        <v>36.808015236282849</v>
      </c>
      <c r="R77" s="13">
        <f t="shared" si="2"/>
        <v>13.785929126696344</v>
      </c>
      <c r="S77" s="13">
        <f t="shared" si="2"/>
        <v>0</v>
      </c>
      <c r="T77" s="13"/>
      <c r="U77" s="13">
        <f>IF(U72&lt;&gt;0,(U73-U71-U70-U76)/U72,0)</f>
        <v>1.1906191768428012</v>
      </c>
      <c r="V77" s="13">
        <f>IF(V72&lt;&gt;0,(V73-V71-V70-V76)/V72,0)</f>
        <v>1.6998524999387399</v>
      </c>
      <c r="W77" s="13">
        <f>IF(W72&lt;&gt;0,(W73-W71-W70-W76)/W72,0)</f>
        <v>1.6232938745023022</v>
      </c>
      <c r="X77" s="13">
        <f>IF(X72&lt;&gt;0,(X73-X71-X70-X76)/X72,0)</f>
        <v>0</v>
      </c>
      <c r="Y77" s="13">
        <f>IF(Y72&lt;&gt;0,(Y73-Y71-Y70-Y76)/Y72,0)</f>
        <v>0</v>
      </c>
      <c r="Z77" s="13"/>
      <c r="AA77" s="13"/>
      <c r="AB77" s="13"/>
      <c r="AC77" s="13">
        <f>IF(AC72&lt;&gt;0,(AC73-AC71-AC70-AC76)/AC72,0)</f>
        <v>1.2001130429001499</v>
      </c>
      <c r="AD77" s="13"/>
      <c r="AE77" s="13">
        <f>IF((AE72+AE70)&lt;&gt;0,(AE73-AE71-AE76)/(AE72+AE70),0)</f>
        <v>0</v>
      </c>
      <c r="AF77" s="13">
        <f>IF((AF72+AF70)&lt;&gt;0,(AF73-AF71-AF76)/(AF72+AF70),0)</f>
        <v>0</v>
      </c>
      <c r="AG77" s="13"/>
      <c r="AH77" s="13">
        <f>IF(AH72&lt;&gt;0,(AH73-AH71-AH70-AH76)/AH72,0)</f>
        <v>1.250985900091981</v>
      </c>
      <c r="AI77" s="13">
        <f>IF(AI72&lt;&gt;0,(AI73-AI71-AI70-AI76)/AI72,0)</f>
        <v>5.7844420456789648E-2</v>
      </c>
      <c r="AJ77" s="13">
        <f ca="1">IF((AJ72+AJ70)&lt;&gt;0,(AJ73-AJ71-AJ76)/(AJ72+AJ70),0)</f>
        <v>1.0216823533269455</v>
      </c>
      <c r="AK77" s="13">
        <f ca="1">IF((AK72+AK70)&lt;&gt;0,(AK73-AK71-AK76)/(AK72+AK70),0)</f>
        <v>0.44719879480956709</v>
      </c>
      <c r="AL77" s="13"/>
      <c r="AM77" s="13"/>
    </row>
    <row r="79" spans="1:42" ht="11.25" customHeight="1" x14ac:dyDescent="0.25">
      <c r="K79" s="19" t="s">
        <v>846</v>
      </c>
      <c r="L79" s="19" t="s">
        <v>847</v>
      </c>
      <c r="M79" s="19" t="s">
        <v>848</v>
      </c>
      <c r="N79" s="19" t="s">
        <v>849</v>
      </c>
      <c r="O79" s="19" t="s">
        <v>850</v>
      </c>
      <c r="P79" s="19" t="s">
        <v>851</v>
      </c>
    </row>
    <row r="80" spans="1:42" ht="11.25" customHeight="1" x14ac:dyDescent="0.25">
      <c r="K80" s="18" t="s">
        <v>80</v>
      </c>
      <c r="L80" s="18">
        <f ca="1">+(+'TUSD BE'!$L$5+'TUSD BE'!$M$5+'TUSD BE'!$N$5+'TUSD BE'!$O$5+'TUSD BE'!$P$5+'TUSD BE'!$Q$5+'TUSD BE'!$R$5+'TUSD BE'!$S$5+'TUSD BE'!$U$5+'TUSD BE'!$V$5+'TUSD BE'!$W$5+'TUSD BE'!$X$5+'TUSD BE'!$Y$5+'TUSD BE'!$Z$5+'TUSD BE'!$AA$5+'TUSD BE'!$AC$5+'TUSD BE'!$AH$5+'TUSD BE'!$AI$5)*'TUSD BE'!$I$5+(+'TUSD BE'!$L$6+'TUSD BE'!$M$6+'TUSD BE'!$N$6+'TUSD BE'!$O$6+'TUSD BE'!$P$6+'TUSD BE'!$Q$6+'TUSD BE'!$R$6+'TUSD BE'!$S$6+'TUSD BE'!$U$6+'TUSD BE'!$V$6+'TUSD BE'!$W$6+'TUSD BE'!$X$6+'TUSD BE'!$Y$6+'TUSD BE'!$Z$6+'TUSD BE'!$AA$6+'TUSD BE'!$AC$6+'TUSD BE'!$AH$6+'TUSD BE'!$AI$6)*'TUSD BE'!$I$6+(+'TUSD BE'!$L$7+'TUSD BE'!$M$7+'TUSD BE'!$N$7+'TUSD BE'!$O$7+'TUSD BE'!$P$7+'TUSD BE'!$Q$7+'TUSD BE'!$R$7+'TUSD BE'!$S$7+'TUSD BE'!$U$7+'TUSD BE'!$V$7+'TUSD BE'!$W$7+'TUSD BE'!$X$7+'TUSD BE'!$Y$7+'TUSD BE'!$Z$7+'TUSD BE'!$AA$7+'TUSD BE'!$AC$7+'TUSD BE'!$AH$7+'TUSD BE'!$AI$7)*'TUSD BE'!$I$7+(+'TUSD BE'!$L$8+'TUSD BE'!$M$8+'TUSD BE'!$N$8+'TUSD BE'!$O$8+'TUSD BE'!$P$8+'TUSD BE'!$Q$8+'TUSD BE'!$R$8+'TUSD BE'!$S$8+'TUSD BE'!$U$8+'TUSD BE'!$V$8+'TUSD BE'!$W$8+'TUSD BE'!$X$8+'TUSD BE'!$Y$8+'TUSD BE'!$Z$8+'TUSD BE'!$AA$8+'TUSD BE'!$AC$8+'TUSD BE'!$AH$8+'TUSD BE'!$AI$8)*'TUSD BE'!$I$8</f>
        <v>1.4967722268751439E-6</v>
      </c>
      <c r="M80" s="18">
        <f>+'TUSD BE'!$I$7+'TUSD BE'!$I$8</f>
        <v>2E-8</v>
      </c>
      <c r="N80" s="18">
        <f ca="1">IF(AND($L$89&lt;&gt;0,M80&lt;&gt;0),(L80/$L$89*$AJ$73)/M80,0)</f>
        <v>4.4714733843169396</v>
      </c>
      <c r="O80" s="18"/>
      <c r="P80" s="18"/>
    </row>
    <row r="81" spans="11:16" ht="11.25" customHeight="1" x14ac:dyDescent="0.25">
      <c r="K81" s="18" t="s">
        <v>43</v>
      </c>
      <c r="L81" s="18">
        <f ca="1">$O$82+$O$81</f>
        <v>81806968.207524478</v>
      </c>
      <c r="M81" s="18">
        <f>$P$82+$P$81</f>
        <v>270920.25199999998</v>
      </c>
      <c r="N81" s="18">
        <f ca="1">IF(AND($L$89&lt;&gt;0,M81&lt;&gt;0),(L81/$L$89*$AJ$73)/M81,0)</f>
        <v>18.041546274452898</v>
      </c>
      <c r="O81" s="18">
        <f ca="1">+(+'TUSD BE'!$L$9+'TUSD BE'!$M$9+'TUSD BE'!$N$9+'TUSD BE'!$O$9+'TUSD BE'!$P$9+'TUSD BE'!$Q$9+'TUSD BE'!$R$9+'TUSD BE'!$S$9+'TUSD BE'!$U$9+'TUSD BE'!$V$9+'TUSD BE'!$W$9+'TUSD BE'!$X$9+'TUSD BE'!$Y$9+'TUSD BE'!$Z$9+'TUSD BE'!$AA$9+'TUSD BE'!$AC$9+'TUSD BE'!$AH$9+'TUSD BE'!$AI$9)*'TUSD BE'!$I$9+(+'TUSD BE'!$L$10+'TUSD BE'!$M$10+'TUSD BE'!$N$10+'TUSD BE'!$O$10+'TUSD BE'!$P$10+'TUSD BE'!$Q$10+'TUSD BE'!$R$10+'TUSD BE'!$S$10+'TUSD BE'!$U$10+'TUSD BE'!$V$10+'TUSD BE'!$W$10+'TUSD BE'!$X$10+'TUSD BE'!$Y$10+'TUSD BE'!$Z$10+'TUSD BE'!$AA$10+'TUSD BE'!$AC$10+'TUSD BE'!$AH$10+'TUSD BE'!$AI$10)*'TUSD BE'!$I$10+(+'TUSD BE'!$L$11+'TUSD BE'!$M$11+'TUSD BE'!$N$11+'TUSD BE'!$O$11+'TUSD BE'!$P$11+'TUSD BE'!$Q$11+'TUSD BE'!$R$11+'TUSD BE'!$S$11+'TUSD BE'!$U$11+'TUSD BE'!$V$11+'TUSD BE'!$W$11+'TUSD BE'!$X$11+'TUSD BE'!$Y$11+'TUSD BE'!$Z$11+'TUSD BE'!$AA$11+'TUSD BE'!$AC$11+'TUSD BE'!$AH$11+'TUSD BE'!$AI$11)*'TUSD BE'!$I$11+(+'TUSD BE'!$L$12+'TUSD BE'!$M$12+'TUSD BE'!$N$12+'TUSD BE'!$O$12+'TUSD BE'!$P$12+'TUSD BE'!$Q$12+'TUSD BE'!$R$12+'TUSD BE'!$S$12+'TUSD BE'!$U$12+'TUSD BE'!$V$12+'TUSD BE'!$W$12+'TUSD BE'!$X$12+'TUSD BE'!$Y$12+'TUSD BE'!$Z$12+'TUSD BE'!$AA$12+'TUSD BE'!$AC$12+'TUSD BE'!$AH$12+'TUSD BE'!$AI$12)*'TUSD BE'!$I$12+(+'TUSD BE'!$L$14+'TUSD BE'!$M$14+'TUSD BE'!$N$14+'TUSD BE'!$O$14+'TUSD BE'!$P$14+'TUSD BE'!$Q$14+'TUSD BE'!$R$14+'TUSD BE'!$S$14+'TUSD BE'!$U$14+'TUSD BE'!$V$14+'TUSD BE'!$W$14+'TUSD BE'!$X$14+'TUSD BE'!$Y$14+'TUSD BE'!$Z$14+'TUSD BE'!$AA$14+'TUSD BE'!$AC$14+'TUSD BE'!$AH$14+'TUSD BE'!$AI$14)*'TUSD BE'!$I$14+(+'TUSD BE'!$L$15+'TUSD BE'!$M$15+'TUSD BE'!$N$15+'TUSD BE'!$O$15+'TUSD BE'!$P$15+'TUSD BE'!$Q$15+'TUSD BE'!$R$15+'TUSD BE'!$S$15+'TUSD BE'!$U$15+'TUSD BE'!$V$15+'TUSD BE'!$W$15+'TUSD BE'!$X$15+'TUSD BE'!$Y$15+'TUSD BE'!$Z$15+'TUSD BE'!$AA$15+'TUSD BE'!$AC$15+'TUSD BE'!$AH$15+'TUSD BE'!$AI$15)*'TUSD BE'!$I$15+(+'TUSD BE'!$L$16+'TUSD BE'!$M$16+'TUSD BE'!$N$16+'TUSD BE'!$O$16+'TUSD BE'!$P$16+'TUSD BE'!$Q$16+'TUSD BE'!$R$16+'TUSD BE'!$S$16+'TUSD BE'!$U$16+'TUSD BE'!$V$16+'TUSD BE'!$W$16+'TUSD BE'!$X$16+'TUSD BE'!$Y$16+'TUSD BE'!$Z$16+'TUSD BE'!$AA$16+'TUSD BE'!$AC$16+'TUSD BE'!$AH$16+'TUSD BE'!$AI$16)*'TUSD BE'!$I$16+(+'TUSD BE'!$L$17+'TUSD BE'!$M$17+'TUSD BE'!$N$17+'TUSD BE'!$O$17+'TUSD BE'!$P$17+'TUSD BE'!$Q$17+'TUSD BE'!$R$17+'TUSD BE'!$S$17+'TUSD BE'!$U$17+'TUSD BE'!$V$17+'TUSD BE'!$W$17+'TUSD BE'!$X$17+'TUSD BE'!$Y$17+'TUSD BE'!$Z$17+'TUSD BE'!$AA$17+'TUSD BE'!$AC$17+'TUSD BE'!$AH$17+'TUSD BE'!$AI$17)*'TUSD BE'!$I$17+(+'TUSD BE'!$L$18+'TUSD BE'!$M$18+'TUSD BE'!$N$18+'TUSD BE'!$O$18+'TUSD BE'!$P$18+'TUSD BE'!$Q$18+'TUSD BE'!$R$18+'TUSD BE'!$S$18+'TUSD BE'!$U$18+'TUSD BE'!$V$18+'TUSD BE'!$W$18+'TUSD BE'!$X$18+'TUSD BE'!$Y$18+'TUSD BE'!$Z$18+'TUSD BE'!$AA$18+'TUSD BE'!$AC$18+'TUSD BE'!$AH$18+'TUSD BE'!$AI$18)*'TUSD BE'!$I$18</f>
        <v>654398.38514135114</v>
      </c>
      <c r="P81" s="18">
        <f>+'TUSD BE'!$I$11+'TUSD BE'!$I$12+'TUSD BE'!$I$15+'TUSD BE'!$I$16+'TUSD BE'!$I$17+'TUSD BE'!$I$18</f>
        <v>1929.8790000000001</v>
      </c>
    </row>
    <row r="82" spans="11:16" ht="11.25" customHeight="1" x14ac:dyDescent="0.25">
      <c r="K82" s="18" t="s">
        <v>41</v>
      </c>
      <c r="L82" s="18">
        <f ca="1">$O$82+$O$81</f>
        <v>81806968.207524478</v>
      </c>
      <c r="M82" s="18">
        <f>$P$82+$P$81</f>
        <v>270920.25199999998</v>
      </c>
      <c r="N82" s="18">
        <f ca="1">IF(AND($L$89&lt;&gt;0,M82&lt;&gt;0),(L82/$L$89*$AJ$73)/M82,0)</f>
        <v>18.041546274452898</v>
      </c>
      <c r="O82" s="18">
        <f ca="1">+(+'TUSD BE'!$L$19+'TUSD BE'!$M$19+'TUSD BE'!$N$19+'TUSD BE'!$O$19+'TUSD BE'!$P$19+'TUSD BE'!$Q$19+'TUSD BE'!$R$19+'TUSD BE'!$S$19+'TUSD BE'!$U$19+'TUSD BE'!$V$19+'TUSD BE'!$W$19+'TUSD BE'!$X$19+'TUSD BE'!$Y$19+'TUSD BE'!$Z$19+'TUSD BE'!$AA$19+'TUSD BE'!$AC$19+'TUSD BE'!$AH$19+'TUSD BE'!$AI$19)*'TUSD BE'!$I$19+(+'TUSD BE'!$L$20+'TUSD BE'!$M$20+'TUSD BE'!$N$20+'TUSD BE'!$O$20+'TUSD BE'!$P$20+'TUSD BE'!$Q$20+'TUSD BE'!$R$20+'TUSD BE'!$S$20+'TUSD BE'!$U$20+'TUSD BE'!$V$20+'TUSD BE'!$W$20+'TUSD BE'!$X$20+'TUSD BE'!$Y$20+'TUSD BE'!$Z$20+'TUSD BE'!$AA$20+'TUSD BE'!$AC$20+'TUSD BE'!$AH$20+'TUSD BE'!$AI$20)*'TUSD BE'!$I$20+(+'TUSD BE'!$L$21+'TUSD BE'!$M$21+'TUSD BE'!$N$21+'TUSD BE'!$O$21+'TUSD BE'!$P$21+'TUSD BE'!$Q$21+'TUSD BE'!$R$21+'TUSD BE'!$S$21+'TUSD BE'!$U$21+'TUSD BE'!$V$21+'TUSD BE'!$W$21+'TUSD BE'!$X$21+'TUSD BE'!$Y$21+'TUSD BE'!$Z$21+'TUSD BE'!$AA$21+'TUSD BE'!$AC$21+'TUSD BE'!$AH$21+'TUSD BE'!$AI$21)*'TUSD BE'!$I$21+(+'TUSD BE'!$L$22+'TUSD BE'!$M$22+'TUSD BE'!$N$22+'TUSD BE'!$O$22+'TUSD BE'!$P$22+'TUSD BE'!$Q$22+'TUSD BE'!$R$22+'TUSD BE'!$S$22+'TUSD BE'!$U$22+'TUSD BE'!$V$22+'TUSD BE'!$W$22+'TUSD BE'!$X$22+'TUSD BE'!$Y$22+'TUSD BE'!$Z$22+'TUSD BE'!$AA$22+'TUSD BE'!$AC$22+'TUSD BE'!$AH$22+'TUSD BE'!$AI$22)*'TUSD BE'!$I$22+(+'TUSD BE'!$L$27+'TUSD BE'!$M$27+'TUSD BE'!$N$27+'TUSD BE'!$O$27+'TUSD BE'!$P$27+'TUSD BE'!$Q$27+'TUSD BE'!$R$27+'TUSD BE'!$S$27+'TUSD BE'!$U$27+'TUSD BE'!$V$27+'TUSD BE'!$W$27+'TUSD BE'!$X$27+'TUSD BE'!$Y$27+'TUSD BE'!$Z$27+'TUSD BE'!$AA$27+'TUSD BE'!$AC$27+'TUSD BE'!$AH$27+'TUSD BE'!$AI$27)*'TUSD BE'!$I$27+(+'TUSD BE'!$L$28+'TUSD BE'!$M$28+'TUSD BE'!$N$28+'TUSD BE'!$O$28+'TUSD BE'!$P$28+'TUSD BE'!$Q$28+'TUSD BE'!$R$28+'TUSD BE'!$S$28+'TUSD BE'!$U$28+'TUSD BE'!$V$28+'TUSD BE'!$W$28+'TUSD BE'!$X$28+'TUSD BE'!$Y$28+'TUSD BE'!$Z$28+'TUSD BE'!$AA$28+'TUSD BE'!$AC$28+'TUSD BE'!$AH$28+'TUSD BE'!$AI$28)*'TUSD BE'!$I$28+(+'TUSD BE'!$L$29+'TUSD BE'!$M$29+'TUSD BE'!$N$29+'TUSD BE'!$O$29+'TUSD BE'!$P$29+'TUSD BE'!$Q$29+'TUSD BE'!$R$29+'TUSD BE'!$S$29+'TUSD BE'!$U$29+'TUSD BE'!$V$29+'TUSD BE'!$W$29+'TUSD BE'!$X$29+'TUSD BE'!$Y$29+'TUSD BE'!$Z$29+'TUSD BE'!$AA$29+'TUSD BE'!$AC$29+'TUSD BE'!$AH$29+'TUSD BE'!$AI$29)*'TUSD BE'!$I$29+(+'TUSD BE'!$L$30+'TUSD BE'!$M$30+'TUSD BE'!$N$30+'TUSD BE'!$O$30+'TUSD BE'!$P$30+'TUSD BE'!$Q$30+'TUSD BE'!$R$30+'TUSD BE'!$S$30+'TUSD BE'!$U$30+'TUSD BE'!$V$30+'TUSD BE'!$W$30+'TUSD BE'!$X$30+'TUSD BE'!$Y$30+'TUSD BE'!$Z$30+'TUSD BE'!$AA$30+'TUSD BE'!$AC$30+'TUSD BE'!$AH$30+'TUSD BE'!$AI$30)*'TUSD BE'!$I$30+(+'TUSD BE'!$L$31+'TUSD BE'!$M$31+'TUSD BE'!$N$31+'TUSD BE'!$O$31+'TUSD BE'!$P$31+'TUSD BE'!$Q$31+'TUSD BE'!$R$31+'TUSD BE'!$S$31+'TUSD BE'!$U$31+'TUSD BE'!$V$31+'TUSD BE'!$W$31+'TUSD BE'!$X$31+'TUSD BE'!$Y$31+'TUSD BE'!$Z$31+'TUSD BE'!$AA$31+'TUSD BE'!$AC$31+'TUSD BE'!$AH$31+'TUSD BE'!$AI$31)*'TUSD BE'!$I$31</f>
        <v>81152569.822383121</v>
      </c>
      <c r="P82" s="18">
        <f>+'TUSD BE'!$I$21+'TUSD BE'!$I$22+'TUSD BE'!$I$28+'TUSD BE'!$I$29+'TUSD BE'!$I$30+'TUSD BE'!$I$31</f>
        <v>268990.37299999996</v>
      </c>
    </row>
    <row r="83" spans="11:16" ht="11.25" customHeight="1" x14ac:dyDescent="0.25">
      <c r="K83" s="18" t="s">
        <v>95</v>
      </c>
      <c r="L83" s="18">
        <f ca="1">+$L$84+$L$85+$L$86+$L$87+$L$88</f>
        <v>399000060.25149155</v>
      </c>
      <c r="M83" s="18">
        <f>+$M$84+$M$85+$M$86+$M$87+$M$88</f>
        <v>868650.12200000009</v>
      </c>
      <c r="N83" s="18">
        <f ca="1">IF(AND($L$89&lt;&gt;0,M83&lt;&gt;0),(L83/$L$89*$AJ$73)/M83,0)</f>
        <v>27.444353577627535</v>
      </c>
      <c r="O83" s="18"/>
      <c r="P83" s="18"/>
    </row>
    <row r="84" spans="11:16" ht="11.25" customHeight="1" x14ac:dyDescent="0.25">
      <c r="K84" s="18" t="s">
        <v>95</v>
      </c>
      <c r="L84" s="18"/>
      <c r="M84" s="18"/>
      <c r="N84" s="18">
        <f ca="1">IF(AND($L$89&lt;&gt;0,M84&lt;&gt;0),(L84/$L$89*$AJ$73)/M84,0)</f>
        <v>0</v>
      </c>
      <c r="O84" s="18"/>
      <c r="P84" s="18"/>
    </row>
    <row r="85" spans="11:16" ht="11.25" customHeight="1" x14ac:dyDescent="0.25">
      <c r="K85" s="18" t="s">
        <v>22</v>
      </c>
      <c r="L85" s="18">
        <f ca="1">+(+'TUSD BE'!$L$34+'TUSD BE'!$M$34+'TUSD BE'!$N$34+'TUSD BE'!$O$34+'TUSD BE'!$P$34+'TUSD BE'!$Q$34+'TUSD BE'!$R$34+'TUSD BE'!$S$34+'TUSD BE'!$U$34+'TUSD BE'!$V$34+'TUSD BE'!$W$34+'TUSD BE'!$X$34+'TUSD BE'!$Y$34+'TUSD BE'!$Z$34+'TUSD BE'!$AA$34+'TUSD BE'!$AC$34+'TUSD BE'!$AH$34+'TUSD BE'!$AI$34)*'TUSD BE'!$I$34+(+'TUSD BE'!$L$35+'TUSD BE'!$M$35+'TUSD BE'!$N$35+'TUSD BE'!$O$35+'TUSD BE'!$P$35+'TUSD BE'!$Q$35+'TUSD BE'!$R$35+'TUSD BE'!$S$35+'TUSD BE'!$U$35+'TUSD BE'!$V$35+'TUSD BE'!$W$35+'TUSD BE'!$X$35+'TUSD BE'!$Y$35+'TUSD BE'!$Z$35+'TUSD BE'!$AA$35+'TUSD BE'!$AC$35+'TUSD BE'!$AH$35+'TUSD BE'!$AI$35)*'TUSD BE'!$I$35+(+'TUSD BE'!$L$36+'TUSD BE'!$M$36+'TUSD BE'!$N$36+'TUSD BE'!$O$36+'TUSD BE'!$P$36+'TUSD BE'!$Q$36+'TUSD BE'!$R$36+'TUSD BE'!$S$36+'TUSD BE'!$U$36+'TUSD BE'!$V$36+'TUSD BE'!$W$36+'TUSD BE'!$X$36+'TUSD BE'!$Y$36+'TUSD BE'!$Z$36+'TUSD BE'!$AA$36+'TUSD BE'!$AC$36+'TUSD BE'!$AH$36+'TUSD BE'!$AI$36)*'TUSD BE'!$I$36+(+'TUSD BE'!$L$37+'TUSD BE'!$M$37+'TUSD BE'!$N$37+'TUSD BE'!$O$37+'TUSD BE'!$P$37+'TUSD BE'!$Q$37+'TUSD BE'!$R$37+'TUSD BE'!$S$37+'TUSD BE'!$U$37+'TUSD BE'!$V$37+'TUSD BE'!$W$37+'TUSD BE'!$X$37+'TUSD BE'!$Y$37+'TUSD BE'!$Z$37+'TUSD BE'!$AA$37+'TUSD BE'!$AC$37+'TUSD BE'!$AH$37+'TUSD BE'!$AI$37)*'TUSD BE'!$I$37+(+'TUSD BE'!$L$38+'TUSD BE'!$M$38+'TUSD BE'!$N$38+'TUSD BE'!$O$38+'TUSD BE'!$P$38+'TUSD BE'!$Q$38+'TUSD BE'!$R$38+'TUSD BE'!$S$38+'TUSD BE'!$U$38+'TUSD BE'!$V$38+'TUSD BE'!$W$38+'TUSD BE'!$X$38+'TUSD BE'!$Y$38+'TUSD BE'!$Z$38+'TUSD BE'!$AA$38+'TUSD BE'!$AC$38+'TUSD BE'!$AH$38+'TUSD BE'!$AI$38)*'TUSD BE'!$I$38+(+'TUSD BE'!$L$39+'TUSD BE'!$M$39+'TUSD BE'!$N$39+'TUSD BE'!$O$39+'TUSD BE'!$P$39+'TUSD BE'!$Q$39+'TUSD BE'!$R$39+'TUSD BE'!$S$39+'TUSD BE'!$U$39+'TUSD BE'!$V$39+'TUSD BE'!$W$39+'TUSD BE'!$X$39+'TUSD BE'!$Y$39+'TUSD BE'!$Z$39+'TUSD BE'!$AA$39+'TUSD BE'!$AC$39+'TUSD BE'!$AH$39+'TUSD BE'!$AI$39)*'TUSD BE'!$I$39+(+'TUSD BE'!$L$40+'TUSD BE'!$M$40+'TUSD BE'!$N$40+'TUSD BE'!$O$40+'TUSD BE'!$P$40+'TUSD BE'!$Q$40+'TUSD BE'!$R$40+'TUSD BE'!$S$40+'TUSD BE'!$U$40+'TUSD BE'!$V$40+'TUSD BE'!$W$40+'TUSD BE'!$X$40+'TUSD BE'!$Y$40+'TUSD BE'!$Z$40+'TUSD BE'!$AA$40+'TUSD BE'!$AC$40+'TUSD BE'!$AH$40+'TUSD BE'!$AI$40)*'TUSD BE'!$I$40+(+'TUSD BE'!$L$41+'TUSD BE'!$M$41+'TUSD BE'!$N$41+'TUSD BE'!$O$41+'TUSD BE'!$P$41+'TUSD BE'!$Q$41+'TUSD BE'!$R$41+'TUSD BE'!$S$41+'TUSD BE'!$U$41+'TUSD BE'!$V$41+'TUSD BE'!$W$41+'TUSD BE'!$X$41+'TUSD BE'!$Y$41+'TUSD BE'!$Z$41+'TUSD BE'!$AA$41+'TUSD BE'!$AC$41+'TUSD BE'!$AH$41+'TUSD BE'!$AI$41)*'TUSD BE'!$I$41+(+'TUSD BE'!$L$42+'TUSD BE'!$M$42+'TUSD BE'!$N$42+'TUSD BE'!$O$42+'TUSD BE'!$P$42+'TUSD BE'!$Q$42+'TUSD BE'!$R$42+'TUSD BE'!$S$42+'TUSD BE'!$U$42+'TUSD BE'!$V$42+'TUSD BE'!$W$42+'TUSD BE'!$X$42+'TUSD BE'!$Y$42+'TUSD BE'!$Z$42+'TUSD BE'!$AA$42+'TUSD BE'!$AC$42+'TUSD BE'!$AH$42+'TUSD BE'!$AI$42)*'TUSD BE'!$I$42+(+'TUSD BE'!$L$43+'TUSD BE'!$M$43+'TUSD BE'!$N$43+'TUSD BE'!$O$43+'TUSD BE'!$P$43+'TUSD BE'!$Q$43+'TUSD BE'!$R$43+'TUSD BE'!$S$43+'TUSD BE'!$U$43+'TUSD BE'!$V$43+'TUSD BE'!$W$43+'TUSD BE'!$X$43+'TUSD BE'!$Y$43+'TUSD BE'!$Z$43+'TUSD BE'!$AA$43+'TUSD BE'!$AC$43+'TUSD BE'!$AH$43+'TUSD BE'!$AI$43)*'TUSD BE'!$I$43+(+'TUSD BE'!$L$44+'TUSD BE'!$M$44+'TUSD BE'!$N$44+'TUSD BE'!$O$44+'TUSD BE'!$P$44+'TUSD BE'!$Q$44+'TUSD BE'!$R$44+'TUSD BE'!$S$44+'TUSD BE'!$U$44+'TUSD BE'!$V$44+'TUSD BE'!$W$44+'TUSD BE'!$X$44+'TUSD BE'!$Y$44+'TUSD BE'!$Z$44+'TUSD BE'!$AA$44+'TUSD BE'!$AC$44+'TUSD BE'!$AH$44+'TUSD BE'!$AI$44)*'TUSD BE'!$I$44+(+'TUSD BE'!$L$45+'TUSD BE'!$M$45+'TUSD BE'!$N$45+'TUSD BE'!$O$45+'TUSD BE'!$P$45+'TUSD BE'!$Q$45+'TUSD BE'!$R$45+'TUSD BE'!$S$45+'TUSD BE'!$U$45+'TUSD BE'!$V$45+'TUSD BE'!$W$45+'TUSD BE'!$X$45+'TUSD BE'!$Y$45+'TUSD BE'!$Z$45+'TUSD BE'!$AA$45+'TUSD BE'!$AC$45+'TUSD BE'!$AH$45+'TUSD BE'!$AI$45)*'TUSD BE'!$I$45+(+'TUSD BE'!$L$46+'TUSD BE'!$M$46+'TUSD BE'!$N$46+'TUSD BE'!$O$46+'TUSD BE'!$P$46+'TUSD BE'!$Q$46+'TUSD BE'!$R$46+'TUSD BE'!$S$46+'TUSD BE'!$U$46+'TUSD BE'!$V$46+'TUSD BE'!$W$46+'TUSD BE'!$X$46+'TUSD BE'!$Y$46+'TUSD BE'!$Z$46+'TUSD BE'!$AA$46+'TUSD BE'!$AC$46+'TUSD BE'!$AH$46+'TUSD BE'!$AI$46)*'TUSD BE'!$I$46</f>
        <v>262136848.73365045</v>
      </c>
      <c r="M85" s="18">
        <f>+'TUSD BE'!$I$34+'TUSD BE'!$I$35+'TUSD BE'!$I$36+'TUSD BE'!$I$37+'TUSD BE'!$I$38+'TUSD BE'!$I$39+'TUSD BE'!$I$40+'TUSD BE'!$I$41+'TUSD BE'!$I$42+'TUSD BE'!$I$43+'TUSD BE'!$I$44+'TUSD BE'!$I$45+'TUSD BE'!$I$46</f>
        <v>562240.56900000002</v>
      </c>
      <c r="N85" s="18"/>
      <c r="O85" s="18"/>
      <c r="P85" s="18"/>
    </row>
    <row r="86" spans="11:16" ht="11.25" customHeight="1" x14ac:dyDescent="0.25">
      <c r="K86" s="18" t="s">
        <v>46</v>
      </c>
      <c r="L86" s="18">
        <f ca="1">+(+'TUSD BE'!$L$47+'TUSD BE'!$M$47+'TUSD BE'!$N$47+'TUSD BE'!$O$47+'TUSD BE'!$P$47+'TUSD BE'!$Q$47+'TUSD BE'!$R$47+'TUSD BE'!$S$47+'TUSD BE'!$U$47+'TUSD BE'!$V$47+'TUSD BE'!$W$47+'TUSD BE'!$X$47+'TUSD BE'!$Y$47+'TUSD BE'!$Z$47+'TUSD BE'!$AA$47+'TUSD BE'!$AC$47+'TUSD BE'!$AH$47+'TUSD BE'!$AI$47)*'TUSD BE'!$I$47+(+'TUSD BE'!$L$48+'TUSD BE'!$M$48+'TUSD BE'!$N$48+'TUSD BE'!$O$48+'TUSD BE'!$P$48+'TUSD BE'!$Q$48+'TUSD BE'!$R$48+'TUSD BE'!$S$48+'TUSD BE'!$U$48+'TUSD BE'!$V$48+'TUSD BE'!$W$48+'TUSD BE'!$X$48+'TUSD BE'!$Y$48+'TUSD BE'!$Z$48+'TUSD BE'!$AA$48+'TUSD BE'!$AC$48+'TUSD BE'!$AH$48+'TUSD BE'!$AI$48)*'TUSD BE'!$I$48+(+'TUSD BE'!$L$49+'TUSD BE'!$M$49+'TUSD BE'!$N$49+'TUSD BE'!$O$49+'TUSD BE'!$P$49+'TUSD BE'!$Q$49+'TUSD BE'!$R$49+'TUSD BE'!$S$49+'TUSD BE'!$U$49+'TUSD BE'!$V$49+'TUSD BE'!$W$49+'TUSD BE'!$X$49+'TUSD BE'!$Y$49+'TUSD BE'!$Z$49+'TUSD BE'!$AA$49+'TUSD BE'!$AC$49+'TUSD BE'!$AH$49+'TUSD BE'!$AI$49)*'TUSD BE'!$I$49+(+'TUSD BE'!$L$50+'TUSD BE'!$M$50+'TUSD BE'!$N$50+'TUSD BE'!$O$50+'TUSD BE'!$P$50+'TUSD BE'!$Q$50+'TUSD BE'!$R$50+'TUSD BE'!$S$50+'TUSD BE'!$U$50+'TUSD BE'!$V$50+'TUSD BE'!$W$50+'TUSD BE'!$X$50+'TUSD BE'!$Y$50+'TUSD BE'!$Z$50+'TUSD BE'!$AA$50+'TUSD BE'!$AC$50+'TUSD BE'!$AH$50+'TUSD BE'!$AI$50)*'TUSD BE'!$I$50+(+'TUSD BE'!$L$51+'TUSD BE'!$M$51+'TUSD BE'!$N$51+'TUSD BE'!$O$51+'TUSD BE'!$P$51+'TUSD BE'!$Q$51+'TUSD BE'!$R$51+'TUSD BE'!$S$51+'TUSD BE'!$U$51+'TUSD BE'!$V$51+'TUSD BE'!$W$51+'TUSD BE'!$X$51+'TUSD BE'!$Y$51+'TUSD BE'!$Z$51+'TUSD BE'!$AA$51+'TUSD BE'!$AC$51+'TUSD BE'!$AH$51+'TUSD BE'!$AI$51)*'TUSD BE'!$I$51+(+'TUSD BE'!$L$52+'TUSD BE'!$M$52+'TUSD BE'!$N$52+'TUSD BE'!$O$52+'TUSD BE'!$P$52+'TUSD BE'!$Q$52+'TUSD BE'!$R$52+'TUSD BE'!$S$52+'TUSD BE'!$U$52+'TUSD BE'!$V$52+'TUSD BE'!$W$52+'TUSD BE'!$X$52+'TUSD BE'!$Y$52+'TUSD BE'!$Z$52+'TUSD BE'!$AA$52+'TUSD BE'!$AC$52+'TUSD BE'!$AH$52+'TUSD BE'!$AI$52)*'TUSD BE'!$I$52+(+'TUSD BE'!$L$53+'TUSD BE'!$M$53+'TUSD BE'!$N$53+'TUSD BE'!$O$53+'TUSD BE'!$P$53+'TUSD BE'!$Q$53+'TUSD BE'!$R$53+'TUSD BE'!$S$53+'TUSD BE'!$U$53+'TUSD BE'!$V$53+'TUSD BE'!$W$53+'TUSD BE'!$X$53+'TUSD BE'!$Y$53+'TUSD BE'!$Z$53+'TUSD BE'!$AA$53+'TUSD BE'!$AC$53+'TUSD BE'!$AH$53+'TUSD BE'!$AI$53)*'TUSD BE'!$I$53+(+'TUSD BE'!$L$54+'TUSD BE'!$M$54+'TUSD BE'!$N$54+'TUSD BE'!$O$54+'TUSD BE'!$P$54+'TUSD BE'!$Q$54+'TUSD BE'!$R$54+'TUSD BE'!$S$54+'TUSD BE'!$U$54+'TUSD BE'!$V$54+'TUSD BE'!$W$54+'TUSD BE'!$X$54+'TUSD BE'!$Y$54+'TUSD BE'!$Z$54+'TUSD BE'!$AA$54+'TUSD BE'!$AC$54+'TUSD BE'!$AH$54+'TUSD BE'!$AI$54)*'TUSD BE'!$I$54+(+'TUSD BE'!$L$55+'TUSD BE'!$M$55+'TUSD BE'!$N$55+'TUSD BE'!$O$55+'TUSD BE'!$P$55+'TUSD BE'!$Q$55+'TUSD BE'!$R$55+'TUSD BE'!$S$55+'TUSD BE'!$U$55+'TUSD BE'!$V$55+'TUSD BE'!$W$55+'TUSD BE'!$X$55+'TUSD BE'!$Y$55+'TUSD BE'!$Z$55+'TUSD BE'!$AA$55+'TUSD BE'!$AC$55+'TUSD BE'!$AH$55+'TUSD BE'!$AI$55)*'TUSD BE'!$I$55+(+'TUSD BE'!$L$56+'TUSD BE'!$M$56+'TUSD BE'!$N$56+'TUSD BE'!$O$56+'TUSD BE'!$P$56+'TUSD BE'!$Q$56+'TUSD BE'!$R$56+'TUSD BE'!$S$56+'TUSD BE'!$U$56+'TUSD BE'!$V$56+'TUSD BE'!$W$56+'TUSD BE'!$X$56+'TUSD BE'!$Y$56+'TUSD BE'!$Z$56+'TUSD BE'!$AA$56+'TUSD BE'!$AC$56+'TUSD BE'!$AH$56+'TUSD BE'!$AI$56)*'TUSD BE'!$I$56+(+'TUSD BE'!$L$57+'TUSD BE'!$M$57+'TUSD BE'!$N$57+'TUSD BE'!$O$57+'TUSD BE'!$P$57+'TUSD BE'!$Q$57+'TUSD BE'!$R$57+'TUSD BE'!$S$57+'TUSD BE'!$U$57+'TUSD BE'!$V$57+'TUSD BE'!$W$57+'TUSD BE'!$X$57+'TUSD BE'!$Y$57+'TUSD BE'!$Z$57+'TUSD BE'!$AA$57+'TUSD BE'!$AC$57+'TUSD BE'!$AH$57+'TUSD BE'!$AI$57)*'TUSD BE'!$I$57+(+'TUSD BE'!$L$58+'TUSD BE'!$M$58+'TUSD BE'!$N$58+'TUSD BE'!$O$58+'TUSD BE'!$P$58+'TUSD BE'!$Q$58+'TUSD BE'!$R$58+'TUSD BE'!$S$58+'TUSD BE'!$U$58+'TUSD BE'!$V$58+'TUSD BE'!$W$58+'TUSD BE'!$X$58+'TUSD BE'!$Y$58+'TUSD BE'!$Z$58+'TUSD BE'!$AA$58+'TUSD BE'!$AC$58+'TUSD BE'!$AH$58+'TUSD BE'!$AI$58)*'TUSD BE'!$I$58+(+'TUSD BE'!$L$59+'TUSD BE'!$M$59+'TUSD BE'!$N$59+'TUSD BE'!$O$59+'TUSD BE'!$P$59+'TUSD BE'!$Q$59+'TUSD BE'!$R$59+'TUSD BE'!$S$59+'TUSD BE'!$U$59+'TUSD BE'!$V$59+'TUSD BE'!$W$59+'TUSD BE'!$X$59+'TUSD BE'!$Y$59+'TUSD BE'!$Z$59+'TUSD BE'!$AA$59+'TUSD BE'!$AC$59+'TUSD BE'!$AH$59+'TUSD BE'!$AI$59)*'TUSD BE'!$I$59+(+'TUSD BE'!$L$60+'TUSD BE'!$M$60+'TUSD BE'!$N$60+'TUSD BE'!$O$60+'TUSD BE'!$P$60+'TUSD BE'!$Q$60+'TUSD BE'!$R$60+'TUSD BE'!$S$60+'TUSD BE'!$U$60+'TUSD BE'!$V$60+'TUSD BE'!$W$60+'TUSD BE'!$X$60+'TUSD BE'!$Y$60+'TUSD BE'!$Z$60+'TUSD BE'!$AA$60+'TUSD BE'!$AC$60+'TUSD BE'!$AH$60+'TUSD BE'!$AI$60)*'TUSD BE'!$I$60+(+'TUSD BE'!$L$61+'TUSD BE'!$M$61+'TUSD BE'!$N$61+'TUSD BE'!$O$61+'TUSD BE'!$P$61+'TUSD BE'!$Q$61+'TUSD BE'!$R$61+'TUSD BE'!$S$61+'TUSD BE'!$U$61+'TUSD BE'!$V$61+'TUSD BE'!$W$61+'TUSD BE'!$X$61+'TUSD BE'!$Y$61+'TUSD BE'!$Z$61+'TUSD BE'!$AA$61+'TUSD BE'!$AC$61+'TUSD BE'!$AH$61+'TUSD BE'!$AI$61)*'TUSD BE'!$I$61</f>
        <v>22118701.873004973</v>
      </c>
      <c r="M86" s="18">
        <f>+'TUSD BE'!$I$47+'TUSD BE'!$I$48+'TUSD BE'!$I$49+'TUSD BE'!$I$50+'TUSD BE'!$I$51+'TUSD BE'!$I$52+'TUSD BE'!$I$53+'TUSD BE'!$I$54+'TUSD BE'!$I$55+'TUSD BE'!$I$56+'TUSD BE'!$I$57+'TUSD BE'!$I$58+'TUSD BE'!$I$59+'TUSD BE'!$I$60+'TUSD BE'!$I$61</f>
        <v>45918.767999999996</v>
      </c>
      <c r="N86" s="18"/>
      <c r="O86" s="18"/>
      <c r="P86" s="18"/>
    </row>
    <row r="87" spans="11:16" ht="11.25" customHeight="1" x14ac:dyDescent="0.25">
      <c r="K87" s="18" t="s">
        <v>39</v>
      </c>
      <c r="L87" s="18">
        <f ca="1">+(+'TUSD BE'!$L$62+'TUSD BE'!$M$62+'TUSD BE'!$N$62+'TUSD BE'!$O$62+'TUSD BE'!$P$62+'TUSD BE'!$Q$62+'TUSD BE'!$R$62+'TUSD BE'!$S$62+'TUSD BE'!$U$62+'TUSD BE'!$V$62+'TUSD BE'!$W$62+'TUSD BE'!$X$62+'TUSD BE'!$Y$62+'TUSD BE'!$Z$62+'TUSD BE'!$AA$62+'TUSD BE'!$AC$62+'TUSD BE'!$AH$62+'TUSD BE'!$AI$62)*'TUSD BE'!$I$62+(+'TUSD BE'!$L$63+'TUSD BE'!$M$63+'TUSD BE'!$N$63+'TUSD BE'!$O$63+'TUSD BE'!$P$63+'TUSD BE'!$Q$63+'TUSD BE'!$R$63+'TUSD BE'!$S$63+'TUSD BE'!$U$63+'TUSD BE'!$V$63+'TUSD BE'!$W$63+'TUSD BE'!$X$63+'TUSD BE'!$Y$63+'TUSD BE'!$Z$63+'TUSD BE'!$AA$63+'TUSD BE'!$AC$63+'TUSD BE'!$AH$63+'TUSD BE'!$AI$63)*'TUSD BE'!$I$63+(+'TUSD BE'!$L$64+'TUSD BE'!$M$64+'TUSD BE'!$N$64+'TUSD BE'!$O$64+'TUSD BE'!$P$64+'TUSD BE'!$Q$64+'TUSD BE'!$R$64+'TUSD BE'!$S$64+'TUSD BE'!$U$64+'TUSD BE'!$V$64+'TUSD BE'!$W$64+'TUSD BE'!$X$64+'TUSD BE'!$Y$64+'TUSD BE'!$Z$64+'TUSD BE'!$AA$64+'TUSD BE'!$AC$64+'TUSD BE'!$AH$64+'TUSD BE'!$AI$64)*'TUSD BE'!$I$64+(+'TUSD BE'!$L$65+'TUSD BE'!$M$65+'TUSD BE'!$N$65+'TUSD BE'!$O$65+'TUSD BE'!$P$65+'TUSD BE'!$Q$65+'TUSD BE'!$R$65+'TUSD BE'!$S$65+'TUSD BE'!$U$65+'TUSD BE'!$V$65+'TUSD BE'!$W$65+'TUSD BE'!$X$65+'TUSD BE'!$Y$65+'TUSD BE'!$Z$65+'TUSD BE'!$AA$65+'TUSD BE'!$AC$65+'TUSD BE'!$AH$65+'TUSD BE'!$AI$65)*'TUSD BE'!$I$65+(+'TUSD BE'!$L$66+'TUSD BE'!$M$66+'TUSD BE'!$N$66+'TUSD BE'!$O$66+'TUSD BE'!$P$66+'TUSD BE'!$Q$66+'TUSD BE'!$R$66+'TUSD BE'!$S$66+'TUSD BE'!$U$66+'TUSD BE'!$V$66+'TUSD BE'!$W$66+'TUSD BE'!$X$66+'TUSD BE'!$Y$66+'TUSD BE'!$Z$66+'TUSD BE'!$AA$66+'TUSD BE'!$AC$66+'TUSD BE'!$AH$66+'TUSD BE'!$AI$66)*'TUSD BE'!$I$66</f>
        <v>101661462.84716393</v>
      </c>
      <c r="M87" s="18">
        <f>+'TUSD BE'!$I$62+'TUSD BE'!$I$63+'TUSD BE'!$I$64+'TUSD BE'!$I$65+'TUSD BE'!$I$66</f>
        <v>211125.603</v>
      </c>
      <c r="N87" s="18"/>
      <c r="O87" s="18"/>
      <c r="P87" s="18"/>
    </row>
    <row r="88" spans="11:16" ht="11.25" customHeight="1" x14ac:dyDescent="0.25">
      <c r="K88" s="18" t="s">
        <v>49</v>
      </c>
      <c r="L88" s="18">
        <f ca="1">+(+'TUSD BE'!$L$67+'TUSD BE'!$M$67+'TUSD BE'!$N$67+'TUSD BE'!$O$67+'TUSD BE'!$P$67+'TUSD BE'!$Q$67+'TUSD BE'!$R$67+'TUSD BE'!$S$67+'TUSD BE'!$U$67+'TUSD BE'!$V$67+'TUSD BE'!$W$67+'TUSD BE'!$X$67+'TUSD BE'!$Y$67+'TUSD BE'!$Z$67+'TUSD BE'!$AA$67+'TUSD BE'!$AC$67+'TUSD BE'!$AH$67+'TUSD BE'!$AI$67)*'TUSD BE'!$I$67+(+'TUSD BE'!$L$68+'TUSD BE'!$M$68+'TUSD BE'!$N$68+'TUSD BE'!$O$68+'TUSD BE'!$P$68+'TUSD BE'!$Q$68+'TUSD BE'!$R$68+'TUSD BE'!$S$68+'TUSD BE'!$U$68+'TUSD BE'!$V$68+'TUSD BE'!$W$68+'TUSD BE'!$X$68+'TUSD BE'!$Y$68+'TUSD BE'!$Z$68+'TUSD BE'!$AA$68+'TUSD BE'!$AC$68+'TUSD BE'!$AH$68+'TUSD BE'!$AI$68)*'TUSD BE'!$I$68</f>
        <v>13083046.797672188</v>
      </c>
      <c r="M88" s="18">
        <f>+'TUSD BE'!$I$67+'TUSD BE'!$I$68</f>
        <v>49365.182000000001</v>
      </c>
      <c r="N88" s="18"/>
      <c r="O88" s="18"/>
      <c r="P88" s="18"/>
    </row>
    <row r="89" spans="11:16" ht="11.25" customHeight="1" x14ac:dyDescent="0.25">
      <c r="K89" s="18"/>
      <c r="L89" s="18">
        <f ca="1">SUM($L$80:$L$88,-$L$83) - $O$82 - $O$81</f>
        <v>480807028.45901746</v>
      </c>
      <c r="M89" s="18">
        <f>SUM($M$80:$M$88,-$M$83) - $P$82 - $P$81</f>
        <v>1139570.3740000203</v>
      </c>
      <c r="N89" s="18"/>
      <c r="O89" s="18"/>
      <c r="P89" s="18"/>
    </row>
  </sheetData>
  <mergeCells count="97">
    <mergeCell ref="AH3:AL3"/>
    <mergeCell ref="AM3:AM4"/>
    <mergeCell ref="AP1:AP4"/>
    <mergeCell ref="G1:G4"/>
    <mergeCell ref="H1:H4"/>
    <mergeCell ref="I1:I4"/>
    <mergeCell ref="J1:J4"/>
    <mergeCell ref="L1:AM1"/>
    <mergeCell ref="L2:AM2"/>
    <mergeCell ref="L3:T3"/>
    <mergeCell ref="U3:AB3"/>
    <mergeCell ref="AC3:AD3"/>
    <mergeCell ref="AE3:AG3"/>
    <mergeCell ref="A67:A68"/>
    <mergeCell ref="B67:B68"/>
    <mergeCell ref="C67:C68"/>
    <mergeCell ref="A1:A4"/>
    <mergeCell ref="B1:B4"/>
    <mergeCell ref="C1:C4"/>
    <mergeCell ref="A47:A61"/>
    <mergeCell ref="A34:A46"/>
    <mergeCell ref="C23:C25"/>
    <mergeCell ref="B14:B18"/>
    <mergeCell ref="C14:C18"/>
    <mergeCell ref="D1:D4"/>
    <mergeCell ref="E1:E4"/>
    <mergeCell ref="F1:F4"/>
    <mergeCell ref="A62:A66"/>
    <mergeCell ref="B62:B64"/>
    <mergeCell ref="C62:C64"/>
    <mergeCell ref="D62:D64"/>
    <mergeCell ref="E62:E64"/>
    <mergeCell ref="F62:F64"/>
    <mergeCell ref="B55:B57"/>
    <mergeCell ref="C55:C57"/>
    <mergeCell ref="D55:D57"/>
    <mergeCell ref="E55:E57"/>
    <mergeCell ref="F55:F57"/>
    <mergeCell ref="B59:B61"/>
    <mergeCell ref="C59:C61"/>
    <mergeCell ref="F47:F49"/>
    <mergeCell ref="B51:B53"/>
    <mergeCell ref="C51:C53"/>
    <mergeCell ref="D51:D53"/>
    <mergeCell ref="E51:E53"/>
    <mergeCell ref="F51:F53"/>
    <mergeCell ref="B47:B49"/>
    <mergeCell ref="C47:C49"/>
    <mergeCell ref="D47:D49"/>
    <mergeCell ref="E47:E49"/>
    <mergeCell ref="F34:F36"/>
    <mergeCell ref="B37:B41"/>
    <mergeCell ref="C37:C41"/>
    <mergeCell ref="B42:B46"/>
    <mergeCell ref="C42:C46"/>
    <mergeCell ref="B34:B36"/>
    <mergeCell ref="C34:C36"/>
    <mergeCell ref="D34:D36"/>
    <mergeCell ref="E34:E36"/>
    <mergeCell ref="F27:F29"/>
    <mergeCell ref="E30:E31"/>
    <mergeCell ref="F30:F31"/>
    <mergeCell ref="A32:A33"/>
    <mergeCell ref="B32:B33"/>
    <mergeCell ref="C32:C33"/>
    <mergeCell ref="D32:D33"/>
    <mergeCell ref="B27:B31"/>
    <mergeCell ref="C27:C31"/>
    <mergeCell ref="D27:D31"/>
    <mergeCell ref="E27:E29"/>
    <mergeCell ref="F19:F21"/>
    <mergeCell ref="B23:B25"/>
    <mergeCell ref="A9:A18"/>
    <mergeCell ref="B9:B12"/>
    <mergeCell ref="C9:C12"/>
    <mergeCell ref="D9:D12"/>
    <mergeCell ref="E9:E11"/>
    <mergeCell ref="F9:F11"/>
    <mergeCell ref="D23:D25"/>
    <mergeCell ref="E23:E25"/>
    <mergeCell ref="F23:F25"/>
    <mergeCell ref="A19:A31"/>
    <mergeCell ref="B19:B22"/>
    <mergeCell ref="C19:C22"/>
    <mergeCell ref="D19:D22"/>
    <mergeCell ref="E19:E21"/>
    <mergeCell ref="F5:F7"/>
    <mergeCell ref="D14:D18"/>
    <mergeCell ref="E14:E16"/>
    <mergeCell ref="A5:A8"/>
    <mergeCell ref="B5:B8"/>
    <mergeCell ref="C5:C8"/>
    <mergeCell ref="D5:D8"/>
    <mergeCell ref="E5:E7"/>
    <mergeCell ref="F14:F16"/>
    <mergeCell ref="E17:E18"/>
    <mergeCell ref="F17:F18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E9AB0-C64B-4C69-AC8A-A20AC9F432CF}">
  <sheetPr codeName="Planilha9"/>
  <dimension ref="A1:AP75"/>
  <sheetViews>
    <sheetView showGridLines="0" topLeftCell="AF53" workbookViewId="0">
      <selection activeCell="AM70" sqref="AM70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5" width="10.28515625" style="9" bestFit="1" customWidth="1"/>
    <col min="6" max="6" width="14.140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10" style="9" bestFit="1" customWidth="1"/>
    <col min="15" max="15" width="4.140625" style="9" bestFit="1" customWidth="1"/>
    <col min="16" max="16" width="4.42578125" style="9" bestFit="1" customWidth="1"/>
    <col min="17" max="18" width="10.85546875" style="9" bestFit="1" customWidth="1"/>
    <col min="19" max="19" width="8.7109375" style="9" bestFit="1" customWidth="1"/>
    <col min="20" max="22" width="10.85546875" style="9" bestFit="1" customWidth="1"/>
    <col min="23" max="23" width="10" style="9" bestFit="1" customWidth="1"/>
    <col min="24" max="24" width="9.85546875" style="9" bestFit="1" customWidth="1"/>
    <col min="25" max="25" width="5.14062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30" width="11.7109375" style="9" bestFit="1" customWidth="1"/>
    <col min="31" max="31" width="11.42578125" style="9" bestFit="1" customWidth="1"/>
    <col min="32" max="32" width="7.28515625" style="9" bestFit="1" customWidth="1"/>
    <col min="33" max="33" width="11.42578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8" width="10.85546875" style="9" bestFit="1" customWidth="1"/>
    <col min="39" max="39" width="11.71093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09" t="s">
        <v>71</v>
      </c>
      <c r="B1" s="109" t="s">
        <v>72</v>
      </c>
      <c r="C1" s="109" t="s">
        <v>73</v>
      </c>
      <c r="D1" s="109" t="s">
        <v>74</v>
      </c>
      <c r="E1" s="109" t="s">
        <v>75</v>
      </c>
      <c r="F1" s="109" t="s">
        <v>15</v>
      </c>
      <c r="G1" s="109" t="s">
        <v>77</v>
      </c>
      <c r="H1" s="109" t="s">
        <v>78</v>
      </c>
      <c r="I1" s="109" t="s">
        <v>835</v>
      </c>
      <c r="J1" s="105"/>
      <c r="L1" s="108" t="s">
        <v>843</v>
      </c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P1" s="108" t="s">
        <v>837</v>
      </c>
    </row>
    <row r="2" spans="1:42" ht="11.25" customHeight="1" x14ac:dyDescent="0.25">
      <c r="A2" s="109"/>
      <c r="B2" s="109"/>
      <c r="C2" s="109"/>
      <c r="D2" s="109"/>
      <c r="E2" s="109"/>
      <c r="F2" s="109"/>
      <c r="G2" s="109"/>
      <c r="H2" s="109"/>
      <c r="I2" s="109"/>
      <c r="J2" s="105"/>
      <c r="L2" s="108" t="s">
        <v>734</v>
      </c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P2" s="110"/>
    </row>
    <row r="3" spans="1:42" ht="11.25" customHeight="1" x14ac:dyDescent="0.25">
      <c r="A3" s="109"/>
      <c r="B3" s="109"/>
      <c r="C3" s="109"/>
      <c r="D3" s="109"/>
      <c r="E3" s="109"/>
      <c r="F3" s="109"/>
      <c r="G3" s="109"/>
      <c r="H3" s="109"/>
      <c r="I3" s="109"/>
      <c r="J3" s="105"/>
      <c r="L3" s="108" t="s">
        <v>735</v>
      </c>
      <c r="M3" s="108"/>
      <c r="N3" s="108"/>
      <c r="O3" s="108"/>
      <c r="P3" s="108"/>
      <c r="Q3" s="108"/>
      <c r="R3" s="108"/>
      <c r="S3" s="108"/>
      <c r="T3" s="108"/>
      <c r="U3" s="108" t="s">
        <v>744</v>
      </c>
      <c r="V3" s="108"/>
      <c r="W3" s="108"/>
      <c r="X3" s="108"/>
      <c r="Y3" s="108"/>
      <c r="Z3" s="108"/>
      <c r="AA3" s="108"/>
      <c r="AB3" s="108"/>
      <c r="AC3" s="108" t="s">
        <v>752</v>
      </c>
      <c r="AD3" s="108"/>
      <c r="AE3" s="108" t="s">
        <v>754</v>
      </c>
      <c r="AF3" s="108"/>
      <c r="AG3" s="108"/>
      <c r="AH3" s="108" t="s">
        <v>757</v>
      </c>
      <c r="AI3" s="108"/>
      <c r="AJ3" s="108"/>
      <c r="AK3" s="108"/>
      <c r="AL3" s="108"/>
      <c r="AM3" s="108" t="s">
        <v>743</v>
      </c>
      <c r="AP3" s="110"/>
    </row>
    <row r="4" spans="1:42" ht="11.25" customHeight="1" x14ac:dyDescent="0.25">
      <c r="A4" s="109"/>
      <c r="B4" s="109"/>
      <c r="C4" s="109"/>
      <c r="D4" s="109"/>
      <c r="E4" s="109"/>
      <c r="F4" s="109"/>
      <c r="G4" s="109"/>
      <c r="H4" s="109"/>
      <c r="I4" s="109"/>
      <c r="J4" s="105"/>
      <c r="L4" s="10" t="s">
        <v>820</v>
      </c>
      <c r="M4" s="10" t="s">
        <v>736</v>
      </c>
      <c r="N4" s="10" t="s">
        <v>737</v>
      </c>
      <c r="O4" s="10" t="s">
        <v>738</v>
      </c>
      <c r="P4" s="10" t="s">
        <v>739</v>
      </c>
      <c r="Q4" s="10" t="s">
        <v>740</v>
      </c>
      <c r="R4" s="10" t="s">
        <v>741</v>
      </c>
      <c r="S4" s="10" t="s">
        <v>742</v>
      </c>
      <c r="T4" s="10" t="s">
        <v>743</v>
      </c>
      <c r="U4" s="10" t="s">
        <v>745</v>
      </c>
      <c r="V4" s="10" t="s">
        <v>746</v>
      </c>
      <c r="W4" s="10" t="s">
        <v>747</v>
      </c>
      <c r="X4" s="10" t="s">
        <v>748</v>
      </c>
      <c r="Y4" s="10" t="s">
        <v>749</v>
      </c>
      <c r="Z4" s="10" t="s">
        <v>750</v>
      </c>
      <c r="AA4" s="10" t="s">
        <v>751</v>
      </c>
      <c r="AB4" s="10" t="s">
        <v>743</v>
      </c>
      <c r="AC4" s="10" t="s">
        <v>753</v>
      </c>
      <c r="AD4" s="10" t="s">
        <v>743</v>
      </c>
      <c r="AE4" s="10" t="s">
        <v>755</v>
      </c>
      <c r="AF4" s="10" t="s">
        <v>756</v>
      </c>
      <c r="AG4" s="10" t="s">
        <v>743</v>
      </c>
      <c r="AH4" s="10" t="s">
        <v>758</v>
      </c>
      <c r="AI4" s="10" t="s">
        <v>759</v>
      </c>
      <c r="AJ4" s="10" t="s">
        <v>760</v>
      </c>
      <c r="AK4" s="10" t="s">
        <v>761</v>
      </c>
      <c r="AL4" s="10" t="s">
        <v>743</v>
      </c>
      <c r="AM4" s="111"/>
      <c r="AP4" s="110"/>
    </row>
    <row r="5" spans="1:42" ht="11.25" customHeight="1" x14ac:dyDescent="0.25">
      <c r="A5" s="107" t="s">
        <v>80</v>
      </c>
      <c r="B5" s="107" t="s">
        <v>42</v>
      </c>
      <c r="C5" s="107" t="s">
        <v>25</v>
      </c>
      <c r="D5" s="107" t="s">
        <v>25</v>
      </c>
      <c r="E5" s="107" t="s">
        <v>25</v>
      </c>
      <c r="F5" s="107" t="s">
        <v>25</v>
      </c>
      <c r="G5" s="18" t="s">
        <v>86</v>
      </c>
      <c r="H5" s="18" t="s">
        <v>85</v>
      </c>
      <c r="I5" s="18">
        <f>'MERCADO TUSD'!$U$2+0.00000001</f>
        <v>1E-8</v>
      </c>
      <c r="J5" s="15"/>
      <c r="L5" s="13">
        <f>'TR TUSD'!$L$5*'TR TUSD'!$L$77</f>
        <v>0</v>
      </c>
      <c r="M5" s="13">
        <f>'TR TUSD'!$M$5*'TR TUSD'!$M$77</f>
        <v>0</v>
      </c>
      <c r="N5" s="13">
        <f ca="1">'TR TUSD'!$N$5*'TR TUSD'!$N$77</f>
        <v>0</v>
      </c>
      <c r="O5" s="13">
        <f>'TR TUSD'!$O$5*'TR TUSD'!$O$77</f>
        <v>0</v>
      </c>
      <c r="P5" s="13">
        <f>'TR TUSD'!$P$5*'TR TUSD'!$P$77</f>
        <v>0</v>
      </c>
      <c r="Q5" s="13">
        <f>'TR TUSD'!$Q$5*'TR TUSD'!$Q$77</f>
        <v>0</v>
      </c>
      <c r="R5" s="13">
        <f>'TR TUSD'!$R$5*'TR TUSD'!$R$77</f>
        <v>0</v>
      </c>
      <c r="S5" s="13">
        <f>'TR TUSD'!$S$5*'TR TUSD'!$S$77</f>
        <v>0</v>
      </c>
      <c r="T5" s="13">
        <f ca="1">SUM($L$5:$S$5)</f>
        <v>0</v>
      </c>
      <c r="U5" s="13">
        <f>'TR TUSD'!$U$5*'TR TUSD'!$U$77</f>
        <v>3.0245298949337673</v>
      </c>
      <c r="V5" s="13">
        <f>'TR TUSD'!$V$5*'TR TUSD'!$V$77</f>
        <v>3.1644454138859581</v>
      </c>
      <c r="W5" s="13">
        <f>'TR TUSD'!$W$5*'TR TUSD'!$W$77</f>
        <v>0.32628206877496274</v>
      </c>
      <c r="X5" s="13">
        <f>'TR TUSD'!$X$5*'TR TUSD'!$X$77</f>
        <v>0</v>
      </c>
      <c r="Y5" s="13">
        <f>'TR TUSD'!$Y$5*'TR TUSD'!$Y$77</f>
        <v>0</v>
      </c>
      <c r="Z5" s="13">
        <f>'TR TUSD'!$Z$5</f>
        <v>0</v>
      </c>
      <c r="AA5" s="13">
        <f>'TR TUSD'!$AA$5</f>
        <v>0</v>
      </c>
      <c r="AB5" s="13">
        <f>SUM($U$5:$AA$5)</f>
        <v>6.515257377594688</v>
      </c>
      <c r="AC5" s="13">
        <f>'TR TUSD'!$AC$5*'TR TUSD'!$AC$77</f>
        <v>50.34426210444412</v>
      </c>
      <c r="AD5" s="13">
        <f>SUM($AC$5:$AC$5)</f>
        <v>50.34426210444412</v>
      </c>
      <c r="AE5" s="13">
        <v>0</v>
      </c>
      <c r="AF5" s="13">
        <v>0</v>
      </c>
      <c r="AG5" s="13">
        <f>SUM($AE$5:$AF$5)</f>
        <v>0</v>
      </c>
      <c r="AH5" s="13">
        <f>'TR TUSD'!$AH$5*'TR TUSD'!$AH$77</f>
        <v>0</v>
      </c>
      <c r="AI5" s="13">
        <f>'TR TUSD'!$AI$5*'TR TUSD'!$AI$77</f>
        <v>0</v>
      </c>
      <c r="AJ5" s="13">
        <f ca="1">'TR TUSD'!$AJ$5*'TR TUSD'!$AJ$77</f>
        <v>0</v>
      </c>
      <c r="AK5" s="13">
        <f ca="1">'TR TUSD'!$AK$5*'TR TUSD'!$AK$77</f>
        <v>0</v>
      </c>
      <c r="AL5" s="13">
        <f ca="1">SUM($AH$5:$AK$5)</f>
        <v>0</v>
      </c>
      <c r="AM5" s="13">
        <f ca="1">SUMIF($L$4:$AL$4,"SUBTOTAL",$L$5:$AL$5)</f>
        <v>56.859519482038806</v>
      </c>
      <c r="AP5" s="13">
        <v>1</v>
      </c>
    </row>
    <row r="6" spans="1:42" ht="11.25" customHeight="1" x14ac:dyDescent="0.25">
      <c r="A6" s="107"/>
      <c r="B6" s="107"/>
      <c r="C6" s="107"/>
      <c r="D6" s="107"/>
      <c r="E6" s="107"/>
      <c r="F6" s="107"/>
      <c r="G6" s="18" t="s">
        <v>87</v>
      </c>
      <c r="H6" s="18" t="s">
        <v>85</v>
      </c>
      <c r="I6" s="18">
        <f>'MERCADO TUSD'!$U$3+0.00000001</f>
        <v>1E-8</v>
      </c>
      <c r="J6" s="15"/>
      <c r="L6" s="13">
        <f>'TR TUSD'!$L$6*'TR TUSD'!$L$77</f>
        <v>0</v>
      </c>
      <c r="M6" s="13">
        <f>'TR TUSD'!$M$6*'TR TUSD'!$M$77</f>
        <v>0</v>
      </c>
      <c r="N6" s="13">
        <f ca="1">'TR TUSD'!$N$6*'TR TUSD'!$N$77</f>
        <v>0</v>
      </c>
      <c r="O6" s="13">
        <f>'TR TUSD'!$O$6*'TR TUSD'!$O$77</f>
        <v>0</v>
      </c>
      <c r="P6" s="13">
        <f>'TR TUSD'!$P$6*'TR TUSD'!$P$77</f>
        <v>0</v>
      </c>
      <c r="Q6" s="13">
        <f>'TR TUSD'!$Q$6*'TR TUSD'!$Q$77</f>
        <v>0</v>
      </c>
      <c r="R6" s="13">
        <f>'TR TUSD'!$R$6*'TR TUSD'!$R$77</f>
        <v>0</v>
      </c>
      <c r="S6" s="13">
        <f>'TR TUSD'!$S$6*'TR TUSD'!$S$77</f>
        <v>0</v>
      </c>
      <c r="T6" s="13">
        <f ca="1">SUM($L$6:$S$6)</f>
        <v>0</v>
      </c>
      <c r="U6" s="13">
        <f>'TR TUSD'!$U$6*'TR TUSD'!$U$77</f>
        <v>2.2707488940745906</v>
      </c>
      <c r="V6" s="13">
        <f>'TR TUSD'!$V$6*'TR TUSD'!$V$77</f>
        <v>2.6177728499056596</v>
      </c>
      <c r="W6" s="13">
        <f>'TR TUSD'!$W$6*'TR TUSD'!$W$77</f>
        <v>0.27255104152893656</v>
      </c>
      <c r="X6" s="13">
        <f>'TR TUSD'!$X$6*'TR TUSD'!$X$77</f>
        <v>0</v>
      </c>
      <c r="Y6" s="13">
        <f>'TR TUSD'!$Y$6*'TR TUSD'!$Y$77</f>
        <v>0</v>
      </c>
      <c r="Z6" s="13">
        <f>'TR TUSD'!$Z$6</f>
        <v>0</v>
      </c>
      <c r="AA6" s="13">
        <f>'TR TUSD'!$AA$6</f>
        <v>0</v>
      </c>
      <c r="AB6" s="13">
        <f>SUM($U$6:$AA$6)</f>
        <v>5.1610727855091874</v>
      </c>
      <c r="AC6" s="13">
        <f>'TR TUSD'!$AC$6*'TR TUSD'!$AC$77</f>
        <v>15.139426036185391</v>
      </c>
      <c r="AD6" s="13">
        <f>SUM($AC$6:$AC$6)</f>
        <v>15.139426036185391</v>
      </c>
      <c r="AE6" s="13">
        <v>0</v>
      </c>
      <c r="AF6" s="13">
        <v>0</v>
      </c>
      <c r="AG6" s="13">
        <f>SUM($AE$6:$AF$6)</f>
        <v>0</v>
      </c>
      <c r="AH6" s="13">
        <f>'TR TUSD'!$AH$6*'TR TUSD'!$AH$77</f>
        <v>0</v>
      </c>
      <c r="AI6" s="13">
        <f>'TR TUSD'!$AI$6*'TR TUSD'!$AI$77</f>
        <v>0</v>
      </c>
      <c r="AJ6" s="13">
        <f ca="1">'TR TUSD'!$AJ$6*'TR TUSD'!$AJ$77</f>
        <v>0</v>
      </c>
      <c r="AK6" s="13">
        <f ca="1">'TR TUSD'!$AK$6*'TR TUSD'!$AK$77</f>
        <v>0</v>
      </c>
      <c r="AL6" s="13">
        <f ca="1">SUM($AH$6:$AK$6)</f>
        <v>0</v>
      </c>
      <c r="AM6" s="13">
        <f ca="1">SUMIF($L$4:$AL$4,"SUBTOTAL",$L$6:$AL$6)</f>
        <v>20.300498821694578</v>
      </c>
      <c r="AP6" s="13">
        <v>1</v>
      </c>
    </row>
    <row r="7" spans="1:42" ht="11.25" customHeight="1" x14ac:dyDescent="0.25">
      <c r="A7" s="107"/>
      <c r="B7" s="107"/>
      <c r="C7" s="107"/>
      <c r="D7" s="107"/>
      <c r="E7" s="107"/>
      <c r="F7" s="107"/>
      <c r="G7" s="18" t="s">
        <v>88</v>
      </c>
      <c r="H7" s="18" t="s">
        <v>82</v>
      </c>
      <c r="I7" s="18">
        <f>'MERCADO TUSD'!$U$4+0.00000001</f>
        <v>1E-8</v>
      </c>
      <c r="J7" s="15"/>
      <c r="L7" s="13">
        <f>'TR TUSD'!$L$7*'TR TUSD'!$L$77</f>
        <v>13.780334076409527</v>
      </c>
      <c r="M7" s="13">
        <f>'TR TUSD'!$M$7*'TR TUSD'!$M$77</f>
        <v>0.120324019911782</v>
      </c>
      <c r="N7" s="13">
        <f ca="1">'TR TUSD'!$N$7*'TR TUSD'!$N$77</f>
        <v>0.31340382852913862</v>
      </c>
      <c r="O7" s="13">
        <f>'TR TUSD'!$O$7*'TR TUSD'!$O$77</f>
        <v>0</v>
      </c>
      <c r="P7" s="13">
        <f>'TR TUSD'!$P$7*'TR TUSD'!$P$77</f>
        <v>0</v>
      </c>
      <c r="Q7" s="13">
        <f>'TR TUSD'!$Q$7*'TR TUSD'!$Q$77</f>
        <v>22.820969446495365</v>
      </c>
      <c r="R7" s="13">
        <f>'TR TUSD'!$R$7*'TR TUSD'!$R$77</f>
        <v>13.785929126696344</v>
      </c>
      <c r="S7" s="13">
        <f>'TR TUSD'!$S$7*'TR TUSD'!$S$77</f>
        <v>0</v>
      </c>
      <c r="T7" s="13">
        <f ca="1">SUM($L$7:$S$7)</f>
        <v>50.820960498042155</v>
      </c>
      <c r="U7" s="13">
        <f>'TR TUSD'!$U$7*'TR TUSD'!$U$77</f>
        <v>0</v>
      </c>
      <c r="V7" s="13">
        <f>'TR TUSD'!$V$7*'TR TUSD'!$V$77</f>
        <v>0</v>
      </c>
      <c r="W7" s="13">
        <f>'TR TUSD'!$W$7*'TR TUSD'!$W$77</f>
        <v>0</v>
      </c>
      <c r="X7" s="13">
        <f>'TR TUSD'!$X$7*'TR TUSD'!$X$77</f>
        <v>0</v>
      </c>
      <c r="Y7" s="13">
        <f>'TR TUSD'!$Y$7*'TR TUSD'!$Y$77</f>
        <v>0</v>
      </c>
      <c r="Z7" s="13">
        <f>'TR TUSD'!$Z$7</f>
        <v>0</v>
      </c>
      <c r="AA7" s="13">
        <f>'TR TUSD'!$AA$7</f>
        <v>0</v>
      </c>
      <c r="AB7" s="13">
        <f>SUM($U$7:$AA$7)</f>
        <v>0</v>
      </c>
      <c r="AC7" s="13">
        <f>'TR TUSD'!$AC$7*'TR TUSD'!$AC$77</f>
        <v>0</v>
      </c>
      <c r="AD7" s="13">
        <f>SUM($AC$7:$AC$7)</f>
        <v>0</v>
      </c>
      <c r="AE7" s="13">
        <v>0</v>
      </c>
      <c r="AF7" s="13">
        <v>0</v>
      </c>
      <c r="AG7" s="13">
        <f>SUM($AE$7:$AF$7)</f>
        <v>0</v>
      </c>
      <c r="AH7" s="13">
        <f>'TR TUSD'!$AH$7*'TR TUSD'!$AH$77</f>
        <v>10.166887508637538</v>
      </c>
      <c r="AI7" s="13">
        <f>'TR TUSD'!$AI$7*'TR TUSD'!$AI$77</f>
        <v>0.47010738949437519</v>
      </c>
      <c r="AJ7" s="13">
        <f ca="1">'TR TUSD'!$AJ$7*'TR TUSD'!$AJ$77</f>
        <v>4.5684254501277319</v>
      </c>
      <c r="AK7" s="13">
        <f ca="1">'TR TUSD'!$AK$7*'TR TUSD'!$AK$77</f>
        <v>1.9996375084895917</v>
      </c>
      <c r="AL7" s="13">
        <f ca="1">SUM($AH$7:$AK$7)</f>
        <v>17.205057856749235</v>
      </c>
      <c r="AM7" s="13">
        <f ca="1">SUMIF($L$4:$AL$4,"SUBTOTAL",$L$7:$AL$7)</f>
        <v>68.02601835479139</v>
      </c>
      <c r="AP7" s="13">
        <v>1</v>
      </c>
    </row>
    <row r="8" spans="1:42" ht="11.25" customHeight="1" x14ac:dyDescent="0.25">
      <c r="A8" s="107"/>
      <c r="B8" s="107"/>
      <c r="C8" s="107"/>
      <c r="D8" s="107"/>
      <c r="E8" s="17" t="s">
        <v>89</v>
      </c>
      <c r="F8" s="17" t="s">
        <v>25</v>
      </c>
      <c r="G8" s="18" t="s">
        <v>88</v>
      </c>
      <c r="H8" s="18" t="s">
        <v>82</v>
      </c>
      <c r="I8" s="18">
        <f>'MERCADO TUSD'!$U$5+0.00000001</f>
        <v>1E-8</v>
      </c>
      <c r="J8" s="15"/>
      <c r="L8" s="13">
        <f>'TR TUSD'!$L$8*'TR TUSD'!$L$77</f>
        <v>0</v>
      </c>
      <c r="M8" s="13">
        <f>'TR TUSD'!$M$8*'TR TUSD'!$M$77</f>
        <v>0.120324019911782</v>
      </c>
      <c r="N8" s="13">
        <f ca="1">'TR TUSD'!$N$8*'TR TUSD'!$N$77</f>
        <v>0.30193006956324708</v>
      </c>
      <c r="O8" s="13">
        <f>'TR TUSD'!$O$8*'TR TUSD'!$O$77</f>
        <v>0</v>
      </c>
      <c r="P8" s="13">
        <f>'TR TUSD'!$P$8*'TR TUSD'!$P$77</f>
        <v>0</v>
      </c>
      <c r="Q8" s="13">
        <f>'TR TUSD'!$Q$8*'TR TUSD'!$Q$77</f>
        <v>0</v>
      </c>
      <c r="R8" s="13">
        <f>'TR TUSD'!$R$8*'TR TUSD'!$R$77</f>
        <v>0</v>
      </c>
      <c r="S8" s="13">
        <f>'TR TUSD'!$S$8*'TR TUSD'!$S$77</f>
        <v>0</v>
      </c>
      <c r="T8" s="13">
        <f ca="1">SUM($L$8:$S$8)</f>
        <v>0.42225408947502907</v>
      </c>
      <c r="U8" s="13">
        <f>'TR TUSD'!$U$8*'TR TUSD'!$U$77</f>
        <v>0</v>
      </c>
      <c r="V8" s="13">
        <f>'TR TUSD'!$V$8*'TR TUSD'!$V$77</f>
        <v>0</v>
      </c>
      <c r="W8" s="13">
        <f>'TR TUSD'!$W$8*'TR TUSD'!$W$77</f>
        <v>0</v>
      </c>
      <c r="X8" s="13">
        <f>'TR TUSD'!$X$8*'TR TUSD'!$X$77</f>
        <v>0</v>
      </c>
      <c r="Y8" s="13">
        <f>'TR TUSD'!$Y$8*'TR TUSD'!$Y$77</f>
        <v>0</v>
      </c>
      <c r="Z8" s="13">
        <f>'TR TUSD'!$Z$8</f>
        <v>0</v>
      </c>
      <c r="AA8" s="13">
        <f>'TR TUSD'!$AA$8</f>
        <v>0</v>
      </c>
      <c r="AB8" s="13">
        <f>SUM($U$8:$AA$8)</f>
        <v>0</v>
      </c>
      <c r="AC8" s="13">
        <f>'TR TUSD'!$AC$8*'TR TUSD'!$AC$77</f>
        <v>0</v>
      </c>
      <c r="AD8" s="13">
        <f>SUM($AC$8:$AC$8)</f>
        <v>0</v>
      </c>
      <c r="AE8" s="13">
        <v>0</v>
      </c>
      <c r="AF8" s="13">
        <v>0</v>
      </c>
      <c r="AG8" s="13">
        <f>SUM($AE$8:$AF$8)</f>
        <v>0</v>
      </c>
      <c r="AH8" s="13">
        <f>'TR TUSD'!$AH$8*'TR TUSD'!$AH$77</f>
        <v>10.166887508637538</v>
      </c>
      <c r="AI8" s="13">
        <f>'TR TUSD'!$AI$8*'TR TUSD'!$AI$77</f>
        <v>0.47010738949437519</v>
      </c>
      <c r="AJ8" s="13">
        <f ca="1">'TR TUSD'!$AJ$8*'TR TUSD'!$AJ$77</f>
        <v>4.5684254501277319</v>
      </c>
      <c r="AK8" s="13">
        <f ca="1">'TR TUSD'!$AK$8*'TR TUSD'!$AK$77</f>
        <v>1.9996375084895917</v>
      </c>
      <c r="AL8" s="13">
        <f ca="1">SUM($AH$8:$AK$8)</f>
        <v>17.205057856749235</v>
      </c>
      <c r="AM8" s="13">
        <f ca="1">SUMIF($L$4:$AL$4,"SUBTOTAL",$L$8:$AL$8)</f>
        <v>17.627311946224264</v>
      </c>
      <c r="AP8" s="13">
        <v>1</v>
      </c>
    </row>
    <row r="9" spans="1:42" ht="11.25" customHeight="1" x14ac:dyDescent="0.25">
      <c r="A9" s="107" t="s">
        <v>43</v>
      </c>
      <c r="B9" s="107" t="s">
        <v>42</v>
      </c>
      <c r="C9" s="107" t="s">
        <v>25</v>
      </c>
      <c r="D9" s="107" t="s">
        <v>25</v>
      </c>
      <c r="E9" s="107" t="s">
        <v>25</v>
      </c>
      <c r="F9" s="107" t="s">
        <v>25</v>
      </c>
      <c r="G9" s="18" t="s">
        <v>86</v>
      </c>
      <c r="H9" s="18" t="s">
        <v>85</v>
      </c>
      <c r="I9" s="18">
        <f>'MERCADO TUSD'!$U$6</f>
        <v>150</v>
      </c>
      <c r="J9" s="15"/>
      <c r="L9" s="13">
        <f>'TR TUSD'!$L$9*'TR TUSD'!$L$77</f>
        <v>0</v>
      </c>
      <c r="M9" s="13">
        <f>'TR TUSD'!$M$9*'TR TUSD'!$M$77</f>
        <v>0</v>
      </c>
      <c r="N9" s="13">
        <f ca="1">'TR TUSD'!$N$9*'TR TUSD'!$N$77</f>
        <v>0</v>
      </c>
      <c r="O9" s="13">
        <f>'TR TUSD'!$O$9*'TR TUSD'!$O$77</f>
        <v>0</v>
      </c>
      <c r="P9" s="13">
        <f>'TR TUSD'!$P$9*'TR TUSD'!$P$77</f>
        <v>0</v>
      </c>
      <c r="Q9" s="13">
        <f>'TR TUSD'!$Q$9*'TR TUSD'!$Q$77</f>
        <v>0</v>
      </c>
      <c r="R9" s="13">
        <f>'TR TUSD'!$R$9*'TR TUSD'!$R$77</f>
        <v>0</v>
      </c>
      <c r="S9" s="13">
        <f>'TR TUSD'!$S$9*'TR TUSD'!$S$77</f>
        <v>0</v>
      </c>
      <c r="T9" s="13">
        <f ca="1">SUM($L$9:$S$9)</f>
        <v>0</v>
      </c>
      <c r="U9" s="13">
        <f>'TR TUSD'!$U$9*'TR TUSD'!$U$77</f>
        <v>3.2261017215732539</v>
      </c>
      <c r="V9" s="13">
        <f>'TR TUSD'!$V$9*'TR TUSD'!$V$77</f>
        <v>3.3754991002783523</v>
      </c>
      <c r="W9" s="13">
        <f>'TR TUSD'!$W$9*'TR TUSD'!$W$77</f>
        <v>0.34803420669329366</v>
      </c>
      <c r="X9" s="13">
        <f>'TR TUSD'!$X$9*'TR TUSD'!$X$77</f>
        <v>0</v>
      </c>
      <c r="Y9" s="13">
        <f>'TR TUSD'!$Y$9*'TR TUSD'!$Y$77</f>
        <v>0</v>
      </c>
      <c r="Z9" s="13">
        <f>'TR TUSD'!$Z$9</f>
        <v>0</v>
      </c>
      <c r="AA9" s="13">
        <f>'TR TUSD'!$AA$9</f>
        <v>0</v>
      </c>
      <c r="AB9" s="13">
        <f>SUM($U$9:$AA$9)</f>
        <v>6.9496350285449005</v>
      </c>
      <c r="AC9" s="13">
        <f>'TR TUSD'!$AC$9*'TR TUSD'!$AC$77</f>
        <v>53.700546244740401</v>
      </c>
      <c r="AD9" s="13">
        <f>SUM($AC$9:$AC$9)</f>
        <v>53.700546244740401</v>
      </c>
      <c r="AE9" s="13">
        <v>0</v>
      </c>
      <c r="AF9" s="13">
        <v>0</v>
      </c>
      <c r="AG9" s="13">
        <f>SUM($AE$9:$AF$9)</f>
        <v>0</v>
      </c>
      <c r="AH9" s="13">
        <f>'TR TUSD'!$AH$9*'TR TUSD'!$AH$77</f>
        <v>0</v>
      </c>
      <c r="AI9" s="13">
        <f>'TR TUSD'!$AI$9*'TR TUSD'!$AI$77</f>
        <v>0</v>
      </c>
      <c r="AJ9" s="13">
        <f ca="1">'TR TUSD'!$AJ$9*'TR TUSD'!$AJ$77</f>
        <v>0</v>
      </c>
      <c r="AK9" s="13">
        <f ca="1">'TR TUSD'!$AK$9*'TR TUSD'!$AK$77</f>
        <v>0</v>
      </c>
      <c r="AL9" s="13">
        <f ca="1">SUM($AH$9:$AK$9)</f>
        <v>0</v>
      </c>
      <c r="AM9" s="13">
        <f ca="1">SUMIF($L$4:$AL$4,"SUBTOTAL",$L$9:$AL$9)</f>
        <v>60.650181273285298</v>
      </c>
      <c r="AP9" s="13">
        <v>1</v>
      </c>
    </row>
    <row r="10" spans="1:42" ht="11.25" customHeight="1" x14ac:dyDescent="0.25">
      <c r="A10" s="107"/>
      <c r="B10" s="107"/>
      <c r="C10" s="107"/>
      <c r="D10" s="107"/>
      <c r="E10" s="107"/>
      <c r="F10" s="107"/>
      <c r="G10" s="18" t="s">
        <v>87</v>
      </c>
      <c r="H10" s="18" t="s">
        <v>85</v>
      </c>
      <c r="I10" s="18">
        <f>'MERCADO TUSD'!$U$7</f>
        <v>1035</v>
      </c>
      <c r="J10" s="15"/>
      <c r="L10" s="13">
        <f>'TR TUSD'!$L$10*'TR TUSD'!$L$77</f>
        <v>0</v>
      </c>
      <c r="M10" s="13">
        <f>'TR TUSD'!$M$10*'TR TUSD'!$M$77</f>
        <v>0</v>
      </c>
      <c r="N10" s="13">
        <f ca="1">'TR TUSD'!$N$10*'TR TUSD'!$N$77</f>
        <v>0</v>
      </c>
      <c r="O10" s="13">
        <f>'TR TUSD'!$O$10*'TR TUSD'!$O$77</f>
        <v>0</v>
      </c>
      <c r="P10" s="13">
        <f>'TR TUSD'!$P$10*'TR TUSD'!$P$77</f>
        <v>0</v>
      </c>
      <c r="Q10" s="13">
        <f>'TR TUSD'!$Q$10*'TR TUSD'!$Q$77</f>
        <v>0</v>
      </c>
      <c r="R10" s="13">
        <f>'TR TUSD'!$R$10*'TR TUSD'!$R$77</f>
        <v>0</v>
      </c>
      <c r="S10" s="13">
        <f>'TR TUSD'!$S$10*'TR TUSD'!$S$77</f>
        <v>0</v>
      </c>
      <c r="T10" s="13">
        <f ca="1">SUM($L$10:$S$10)</f>
        <v>0</v>
      </c>
      <c r="U10" s="13">
        <f>'TR TUSD'!$U$10*'TR TUSD'!$U$77</f>
        <v>2.4221004038348473</v>
      </c>
      <c r="V10" s="13">
        <f>'TR TUSD'!$V$10*'TR TUSD'!$V$77</f>
        <v>2.7922457104993716</v>
      </c>
      <c r="W10" s="13">
        <f>'TR TUSD'!$W$10*'TR TUSD'!$W$77</f>
        <v>0.29076439880085236</v>
      </c>
      <c r="X10" s="13">
        <f>'TR TUSD'!$X$10*'TR TUSD'!$X$77</f>
        <v>0</v>
      </c>
      <c r="Y10" s="13">
        <f>'TR TUSD'!$Y$10*'TR TUSD'!$Y$77</f>
        <v>0</v>
      </c>
      <c r="Z10" s="13">
        <f>'TR TUSD'!$Z$10</f>
        <v>0</v>
      </c>
      <c r="AA10" s="13">
        <f>'TR TUSD'!$AA$10</f>
        <v>0</v>
      </c>
      <c r="AB10" s="13">
        <f>SUM($U$10:$AA$10)</f>
        <v>5.5051105131350715</v>
      </c>
      <c r="AC10" s="13">
        <f>'TR TUSD'!$AC$10*'TR TUSD'!$AC$77</f>
        <v>16.148721105264418</v>
      </c>
      <c r="AD10" s="13">
        <f>SUM($AC$10:$AC$10)</f>
        <v>16.148721105264418</v>
      </c>
      <c r="AE10" s="13">
        <v>0</v>
      </c>
      <c r="AF10" s="13">
        <v>0</v>
      </c>
      <c r="AG10" s="13">
        <f>SUM($AE$10:$AF$10)</f>
        <v>0</v>
      </c>
      <c r="AH10" s="13">
        <f>'TR TUSD'!$AH$10*'TR TUSD'!$AH$77</f>
        <v>0</v>
      </c>
      <c r="AI10" s="13">
        <f>'TR TUSD'!$AI$10*'TR TUSD'!$AI$77</f>
        <v>0</v>
      </c>
      <c r="AJ10" s="13">
        <f ca="1">'TR TUSD'!$AJ$10*'TR TUSD'!$AJ$77</f>
        <v>0</v>
      </c>
      <c r="AK10" s="13">
        <f ca="1">'TR TUSD'!$AK$10*'TR TUSD'!$AK$77</f>
        <v>0</v>
      </c>
      <c r="AL10" s="13">
        <f ca="1">SUM($AH$10:$AK$10)</f>
        <v>0</v>
      </c>
      <c r="AM10" s="13">
        <f ca="1">SUMIF($L$4:$AL$4,"SUBTOTAL",$L$10:$AL$10)</f>
        <v>21.65383161839949</v>
      </c>
      <c r="AP10" s="13">
        <v>1</v>
      </c>
    </row>
    <row r="11" spans="1:42" ht="11.25" customHeight="1" x14ac:dyDescent="0.25">
      <c r="A11" s="107"/>
      <c r="B11" s="107"/>
      <c r="C11" s="107"/>
      <c r="D11" s="107"/>
      <c r="E11" s="107"/>
      <c r="F11" s="107"/>
      <c r="G11" s="18" t="s">
        <v>88</v>
      </c>
      <c r="H11" s="18" t="s">
        <v>82</v>
      </c>
      <c r="I11" s="18">
        <f>'MERCADO TUSD'!$U$8</f>
        <v>0</v>
      </c>
      <c r="J11" s="15"/>
      <c r="L11" s="13">
        <f>'TR TUSD'!$L$11*'TR TUSD'!$L$77</f>
        <v>18.670130039006455</v>
      </c>
      <c r="M11" s="13">
        <f>'TR TUSD'!$M$11*'TR TUSD'!$M$77</f>
        <v>0.67311137823630429</v>
      </c>
      <c r="N11" s="13">
        <f ca="1">'TR TUSD'!$N$11*'TR TUSD'!$N$77</f>
        <v>0.69317403046192105</v>
      </c>
      <c r="O11" s="13">
        <f>'TR TUSD'!$O$11*'TR TUSD'!$O$77</f>
        <v>0</v>
      </c>
      <c r="P11" s="13">
        <f>'TR TUSD'!$P$11*'TR TUSD'!$P$77</f>
        <v>0</v>
      </c>
      <c r="Q11" s="13">
        <f>'TR TUSD'!$Q$11*'TR TUSD'!$Q$77</f>
        <v>30.918732798477592</v>
      </c>
      <c r="R11" s="13">
        <f>'TR TUSD'!$R$11*'TR TUSD'!$R$77</f>
        <v>13.785929126696344</v>
      </c>
      <c r="S11" s="13">
        <f>'TR TUSD'!$S$11*'TR TUSD'!$S$77</f>
        <v>0</v>
      </c>
      <c r="T11" s="13">
        <f ca="1">SUM($L$11:$S$11)</f>
        <v>64.741077372878621</v>
      </c>
      <c r="U11" s="13">
        <f>'TR TUSD'!$U$11*'TR TUSD'!$U$77</f>
        <v>0</v>
      </c>
      <c r="V11" s="13">
        <f>'TR TUSD'!$V$11*'TR TUSD'!$V$77</f>
        <v>0</v>
      </c>
      <c r="W11" s="13">
        <f>'TR TUSD'!$W$11*'TR TUSD'!$W$77</f>
        <v>0</v>
      </c>
      <c r="X11" s="13">
        <f>'TR TUSD'!$X$11*'TR TUSD'!$X$77</f>
        <v>0</v>
      </c>
      <c r="Y11" s="13">
        <f>'TR TUSD'!$Y$11*'TR TUSD'!$Y$77</f>
        <v>0</v>
      </c>
      <c r="Z11" s="13">
        <f>'TR TUSD'!$Z$11</f>
        <v>0</v>
      </c>
      <c r="AA11" s="13">
        <f>'TR TUSD'!$AA$11</f>
        <v>0</v>
      </c>
      <c r="AB11" s="13">
        <f>SUM($U$11:$AA$11)</f>
        <v>0</v>
      </c>
      <c r="AC11" s="13">
        <f>'TR TUSD'!$AC$11*'TR TUSD'!$AC$77</f>
        <v>0</v>
      </c>
      <c r="AD11" s="13">
        <f>SUM($AC$11:$AC$11)</f>
        <v>0</v>
      </c>
      <c r="AE11" s="13">
        <v>0</v>
      </c>
      <c r="AF11" s="13">
        <v>0</v>
      </c>
      <c r="AG11" s="13">
        <f>SUM($AE$11:$AF$11)</f>
        <v>0</v>
      </c>
      <c r="AH11" s="13">
        <f>'TR TUSD'!$AH$11*'TR TUSD'!$AH$77</f>
        <v>13.555933410576724</v>
      </c>
      <c r="AI11" s="13">
        <f>'TR TUSD'!$AI$11*'TR TUSD'!$AI$77</f>
        <v>0.62681370895386401</v>
      </c>
      <c r="AJ11" s="13">
        <f ca="1">'TR TUSD'!$AJ$11*'TR TUSD'!$AJ$77</f>
        <v>18.432729455340024</v>
      </c>
      <c r="AK11" s="13">
        <f ca="1">'TR TUSD'!$AK$11*'TR TUSD'!$AK$77</f>
        <v>8.068157750436372</v>
      </c>
      <c r="AL11" s="13">
        <f ca="1">SUM($AH$11:$AK$11)</f>
        <v>40.683634325306983</v>
      </c>
      <c r="AM11" s="13">
        <f ca="1">SUMIF($L$4:$AL$4,"SUBTOTAL",$L$11:$AL$11)</f>
        <v>105.4247116981856</v>
      </c>
      <c r="AP11" s="13">
        <v>1</v>
      </c>
    </row>
    <row r="12" spans="1:42" ht="11.25" customHeight="1" x14ac:dyDescent="0.25">
      <c r="A12" s="107"/>
      <c r="B12" s="107"/>
      <c r="C12" s="107"/>
      <c r="D12" s="107"/>
      <c r="E12" s="17" t="s">
        <v>89</v>
      </c>
      <c r="F12" s="17" t="s">
        <v>25</v>
      </c>
      <c r="G12" s="18" t="s">
        <v>88</v>
      </c>
      <c r="H12" s="18" t="s">
        <v>82</v>
      </c>
      <c r="I12" s="18">
        <f>'MERCADO TUSD'!$U$9</f>
        <v>0</v>
      </c>
      <c r="J12" s="15"/>
      <c r="L12" s="13">
        <f>'TR TUSD'!$L$12*'TR TUSD'!$L$77</f>
        <v>0</v>
      </c>
      <c r="M12" s="13">
        <f>'TR TUSD'!$M$12*'TR TUSD'!$M$77</f>
        <v>0.67311137823630429</v>
      </c>
      <c r="N12" s="13">
        <f ca="1">'TR TUSD'!$N$12*'TR TUSD'!$N$77</f>
        <v>0.68170027149602952</v>
      </c>
      <c r="O12" s="13">
        <f>'TR TUSD'!$O$12*'TR TUSD'!$O$77</f>
        <v>0</v>
      </c>
      <c r="P12" s="13">
        <f>'TR TUSD'!$P$12*'TR TUSD'!$P$77</f>
        <v>0</v>
      </c>
      <c r="Q12" s="13">
        <f>'TR TUSD'!$Q$12*'TR TUSD'!$Q$77</f>
        <v>0</v>
      </c>
      <c r="R12" s="13">
        <f>'TR TUSD'!$R$12*'TR TUSD'!$R$77</f>
        <v>0</v>
      </c>
      <c r="S12" s="13">
        <f>'TR TUSD'!$S$12*'TR TUSD'!$S$77</f>
        <v>0</v>
      </c>
      <c r="T12" s="13">
        <f ca="1">SUM($L$12:$S$12)</f>
        <v>1.3548116497323339</v>
      </c>
      <c r="U12" s="13">
        <f>'TR TUSD'!$U$12*'TR TUSD'!$U$77</f>
        <v>0</v>
      </c>
      <c r="V12" s="13">
        <f>'TR TUSD'!$V$12*'TR TUSD'!$V$77</f>
        <v>0</v>
      </c>
      <c r="W12" s="13">
        <f>'TR TUSD'!$W$12*'TR TUSD'!$W$77</f>
        <v>0</v>
      </c>
      <c r="X12" s="13">
        <f>'TR TUSD'!$X$12*'TR TUSD'!$X$77</f>
        <v>0</v>
      </c>
      <c r="Y12" s="13">
        <f>'TR TUSD'!$Y$12*'TR TUSD'!$Y$77</f>
        <v>0</v>
      </c>
      <c r="Z12" s="13">
        <f>'TR TUSD'!$Z$12</f>
        <v>0</v>
      </c>
      <c r="AA12" s="13">
        <f>'TR TUSD'!$AA$12</f>
        <v>0</v>
      </c>
      <c r="AB12" s="13">
        <f>SUM($U$12:$AA$12)</f>
        <v>0</v>
      </c>
      <c r="AC12" s="13">
        <f>'TR TUSD'!$AC$12*'TR TUSD'!$AC$77</f>
        <v>0</v>
      </c>
      <c r="AD12" s="13">
        <f>SUM($AC$12:$AC$12)</f>
        <v>0</v>
      </c>
      <c r="AE12" s="13">
        <v>0</v>
      </c>
      <c r="AF12" s="13">
        <v>0</v>
      </c>
      <c r="AG12" s="13">
        <f>SUM($AE$12:$AF$12)</f>
        <v>0</v>
      </c>
      <c r="AH12" s="13">
        <f>'TR TUSD'!$AH$12*'TR TUSD'!$AH$77</f>
        <v>13.555933410576724</v>
      </c>
      <c r="AI12" s="13">
        <f>'TR TUSD'!$AI$12*'TR TUSD'!$AI$77</f>
        <v>0.62681370895386401</v>
      </c>
      <c r="AJ12" s="13">
        <f ca="1">'TR TUSD'!$AJ$12*'TR TUSD'!$AJ$77</f>
        <v>18.432729455340024</v>
      </c>
      <c r="AK12" s="13">
        <f ca="1">'TR TUSD'!$AK$12*'TR TUSD'!$AK$77</f>
        <v>8.068157750436372</v>
      </c>
      <c r="AL12" s="13">
        <f ca="1">SUM($AH$12:$AK$12)</f>
        <v>40.683634325306983</v>
      </c>
      <c r="AM12" s="13">
        <f ca="1">SUMIF($L$4:$AL$4,"SUBTOTAL",$L$12:$AL$12)</f>
        <v>42.038445975039316</v>
      </c>
      <c r="AP12" s="13">
        <v>1</v>
      </c>
    </row>
    <row r="13" spans="1:42" ht="11.25" customHeight="1" x14ac:dyDescent="0.25">
      <c r="A13" s="107"/>
      <c r="B13" s="17" t="s">
        <v>91</v>
      </c>
      <c r="C13" s="17" t="s">
        <v>25</v>
      </c>
      <c r="D13" s="17" t="s">
        <v>25</v>
      </c>
      <c r="E13" s="17" t="s">
        <v>25</v>
      </c>
      <c r="F13" s="17" t="s">
        <v>25</v>
      </c>
      <c r="G13" s="18" t="s">
        <v>9</v>
      </c>
      <c r="H13" s="18" t="s">
        <v>85</v>
      </c>
      <c r="I13" s="18">
        <f>'MERCADO TUSD'!$U$10</f>
        <v>0</v>
      </c>
      <c r="J13" s="15"/>
      <c r="L13" s="13">
        <f>'TR TUSD'!$L$13*'TR TUSD'!$L$77</f>
        <v>0</v>
      </c>
      <c r="M13" s="13">
        <f>'TR TUSD'!$M$13*'TR TUSD'!$M$77</f>
        <v>6.8091822482383824E-2</v>
      </c>
      <c r="N13" s="13">
        <f ca="1">'TR TUSD'!$N$13*'TR TUSD'!$N$77</f>
        <v>0.19172651232004656</v>
      </c>
      <c r="O13" s="13">
        <f>'TR TUSD'!$O$13*'TR TUSD'!$O$77</f>
        <v>0</v>
      </c>
      <c r="P13" s="13">
        <f>'TR TUSD'!$P$13*'TR TUSD'!$P$77</f>
        <v>0</v>
      </c>
      <c r="Q13" s="13">
        <f>'TR TUSD'!$Q$13*'TR TUSD'!$Q$77</f>
        <v>0</v>
      </c>
      <c r="R13" s="13">
        <f>'TR TUSD'!$R$13*'TR TUSD'!$R$77</f>
        <v>0</v>
      </c>
      <c r="S13" s="13">
        <f>'TR TUSD'!$S$13*'TR TUSD'!$S$77</f>
        <v>0</v>
      </c>
      <c r="T13" s="13">
        <f ca="1">SUM($L$13:$S$13)</f>
        <v>0.25981833480243038</v>
      </c>
      <c r="U13" s="13">
        <f>'TR TUSD'!$U$13*'TR TUSD'!$U$77</f>
        <v>0</v>
      </c>
      <c r="V13" s="13">
        <f>'TR TUSD'!$V$13*'TR TUSD'!$V$77</f>
        <v>0</v>
      </c>
      <c r="W13" s="13">
        <f>'TR TUSD'!$W$13*'TR TUSD'!$W$77</f>
        <v>0</v>
      </c>
      <c r="X13" s="13">
        <f>'TR TUSD'!$X$13*'TR TUSD'!$X$77</f>
        <v>0</v>
      </c>
      <c r="Y13" s="13">
        <f>'TR TUSD'!$Y$13*'TR TUSD'!$Y$77</f>
        <v>0</v>
      </c>
      <c r="Z13" s="13">
        <f>'TR TUSD'!$Z$13*'TR TUSD'!$Z$77</f>
        <v>0</v>
      </c>
      <c r="AA13" s="13">
        <f>'TR TUSD'!$AA$13*'TR TUSD'!$AA$77</f>
        <v>0</v>
      </c>
      <c r="AB13" s="13">
        <f>SUM($U$13:$AA$13)</f>
        <v>0</v>
      </c>
      <c r="AC13" s="13">
        <f>'TR TUSD'!$AC$13*'TR TUSD'!$AC$77</f>
        <v>19.977201723420187</v>
      </c>
      <c r="AD13" s="13">
        <f>SUM($AC$13:$AC$13)</f>
        <v>19.977201723420187</v>
      </c>
      <c r="AE13" s="13">
        <v>0</v>
      </c>
      <c r="AF13" s="13">
        <v>0</v>
      </c>
      <c r="AG13" s="13">
        <f>SUM($AE$13:$AF$13)</f>
        <v>0</v>
      </c>
      <c r="AH13" s="13">
        <f>'TR TUSD'!$AH$13*'TR TUSD'!$AH$77</f>
        <v>0</v>
      </c>
      <c r="AI13" s="13">
        <f>'TR TUSD'!$AI$13*'TR TUSD'!$AI$77</f>
        <v>0</v>
      </c>
      <c r="AJ13" s="13">
        <f ca="1">'TR TUSD'!$AJ$13*'TR TUSD'!$AJ$77</f>
        <v>0</v>
      </c>
      <c r="AK13" s="13">
        <f ca="1">'TR TUSD'!$AK$13*'TR TUSD'!$AK$77</f>
        <v>0</v>
      </c>
      <c r="AL13" s="13">
        <f ca="1">SUM($AH$13:$AK$13)</f>
        <v>0</v>
      </c>
      <c r="AM13" s="13">
        <f ca="1">SUMIF($L$4:$AL$4,"SUBTOTAL",$L$13:$AL$13)</f>
        <v>20.237020058222619</v>
      </c>
      <c r="AP13" s="13"/>
    </row>
    <row r="14" spans="1:42" ht="11.25" customHeight="1" x14ac:dyDescent="0.25">
      <c r="A14" s="107"/>
      <c r="B14" s="107" t="s">
        <v>44</v>
      </c>
      <c r="C14" s="107" t="s">
        <v>25</v>
      </c>
      <c r="D14" s="107" t="s">
        <v>25</v>
      </c>
      <c r="E14" s="107" t="s">
        <v>25</v>
      </c>
      <c r="F14" s="107" t="s">
        <v>25</v>
      </c>
      <c r="G14" s="18" t="s">
        <v>9</v>
      </c>
      <c r="H14" s="18" t="s">
        <v>85</v>
      </c>
      <c r="I14" s="18">
        <f>'MERCADO TUSD'!$U$11</f>
        <v>10639</v>
      </c>
      <c r="J14" s="15"/>
      <c r="L14" s="13">
        <f>'TR TUSD'!$L$14*'TR TUSD'!$L$77</f>
        <v>0</v>
      </c>
      <c r="M14" s="13">
        <f>'TR TUSD'!$M$14*'TR TUSD'!$M$77</f>
        <v>0</v>
      </c>
      <c r="N14" s="13">
        <f ca="1">'TR TUSD'!$N$14*'TR TUSD'!$N$77</f>
        <v>0</v>
      </c>
      <c r="O14" s="13">
        <f>'TR TUSD'!$O$14*'TR TUSD'!$O$77</f>
        <v>0</v>
      </c>
      <c r="P14" s="13">
        <f>'TR TUSD'!$P$14*'TR TUSD'!$P$77</f>
        <v>0</v>
      </c>
      <c r="Q14" s="13">
        <f>'TR TUSD'!$Q$14*'TR TUSD'!$Q$77</f>
        <v>0</v>
      </c>
      <c r="R14" s="13">
        <f>'TR TUSD'!$R$14*'TR TUSD'!$R$77</f>
        <v>0</v>
      </c>
      <c r="S14" s="13">
        <f>'TR TUSD'!$S$14*'TR TUSD'!$S$77</f>
        <v>0</v>
      </c>
      <c r="T14" s="13">
        <f ca="1">SUM($L$14:$S$14)</f>
        <v>0</v>
      </c>
      <c r="U14" s="13">
        <f>'TR TUSD'!$U$14*'TR TUSD'!$U$77</f>
        <v>2.4221004038348473</v>
      </c>
      <c r="V14" s="13">
        <f>'TR TUSD'!$V$14*'TR TUSD'!$V$77</f>
        <v>2.7922457104993716</v>
      </c>
      <c r="W14" s="13">
        <f>'TR TUSD'!$W$14*'TR TUSD'!$W$77</f>
        <v>0.29076439880085236</v>
      </c>
      <c r="X14" s="13">
        <f>'TR TUSD'!$X$14*'TR TUSD'!$X$77</f>
        <v>0</v>
      </c>
      <c r="Y14" s="13">
        <f>'TR TUSD'!$Y$14*'TR TUSD'!$Y$77</f>
        <v>0</v>
      </c>
      <c r="Z14" s="13">
        <f>'TR TUSD'!$Z$14</f>
        <v>0</v>
      </c>
      <c r="AA14" s="13">
        <f>'TR TUSD'!$AA$14</f>
        <v>0</v>
      </c>
      <c r="AB14" s="13">
        <f>SUM($U$14:$AA$14)</f>
        <v>5.5051105131350715</v>
      </c>
      <c r="AC14" s="13">
        <f>'TR TUSD'!$AC$14*'TR TUSD'!$AC$77</f>
        <v>16.148721105264418</v>
      </c>
      <c r="AD14" s="13">
        <f>SUM($AC$14:$AC$14)</f>
        <v>16.148721105264418</v>
      </c>
      <c r="AE14" s="13">
        <v>0</v>
      </c>
      <c r="AF14" s="13">
        <v>0</v>
      </c>
      <c r="AG14" s="13">
        <f>SUM($AE$14:$AF$14)</f>
        <v>0</v>
      </c>
      <c r="AH14" s="13">
        <f>'TR TUSD'!$AH$14*'TR TUSD'!$AH$77</f>
        <v>0</v>
      </c>
      <c r="AI14" s="13">
        <f>'TR TUSD'!$AI$14*'TR TUSD'!$AI$77</f>
        <v>0</v>
      </c>
      <c r="AJ14" s="13">
        <f ca="1">'TR TUSD'!$AJ$14*'TR TUSD'!$AJ$77</f>
        <v>0</v>
      </c>
      <c r="AK14" s="13">
        <f ca="1">'TR TUSD'!$AK$14*'TR TUSD'!$AK$77</f>
        <v>0</v>
      </c>
      <c r="AL14" s="13">
        <f ca="1">SUM($AH$14:$AK$14)</f>
        <v>0</v>
      </c>
      <c r="AM14" s="13">
        <f ca="1">SUMIF($L$4:$AL$4,"SUBTOTAL",$L$14:$AL$14)</f>
        <v>21.65383161839949</v>
      </c>
      <c r="AP14" s="13">
        <v>1</v>
      </c>
    </row>
    <row r="15" spans="1:42" ht="11.25" customHeight="1" x14ac:dyDescent="0.25">
      <c r="A15" s="107"/>
      <c r="B15" s="107"/>
      <c r="C15" s="107"/>
      <c r="D15" s="107"/>
      <c r="E15" s="107"/>
      <c r="F15" s="107"/>
      <c r="G15" s="18" t="s">
        <v>83</v>
      </c>
      <c r="H15" s="18" t="s">
        <v>82</v>
      </c>
      <c r="I15" s="18">
        <f>'MERCADO TUSD'!$U$12</f>
        <v>163.142</v>
      </c>
      <c r="J15" s="15"/>
      <c r="L15" s="13">
        <f>'TR TUSD'!$L$15*'TR TUSD'!$L$77</f>
        <v>18.670130039006455</v>
      </c>
      <c r="M15" s="13">
        <f>'TR TUSD'!$M$15*'TR TUSD'!$M$77</f>
        <v>0.67311137823630429</v>
      </c>
      <c r="N15" s="13">
        <f ca="1">'TR TUSD'!$N$15*'TR TUSD'!$N$77</f>
        <v>14.395461006482718</v>
      </c>
      <c r="O15" s="13">
        <f>'TR TUSD'!$O$15*'TR TUSD'!$O$77</f>
        <v>0</v>
      </c>
      <c r="P15" s="13">
        <f>'TR TUSD'!$P$15*'TR TUSD'!$P$77</f>
        <v>0</v>
      </c>
      <c r="Q15" s="13">
        <f>'TR TUSD'!$Q$15*'TR TUSD'!$Q$77</f>
        <v>30.918732798477592</v>
      </c>
      <c r="R15" s="13">
        <f>'TR TUSD'!$R$15*'TR TUSD'!$R$77</f>
        <v>13.785929126696344</v>
      </c>
      <c r="S15" s="13">
        <f>'TR TUSD'!$S$15*'TR TUSD'!$S$77</f>
        <v>0</v>
      </c>
      <c r="T15" s="13">
        <f ca="1">SUM($L$15:$S$15)</f>
        <v>78.443364348899422</v>
      </c>
      <c r="U15" s="13">
        <f>'TR TUSD'!$U$15*'TR TUSD'!$U$77</f>
        <v>77.588556024877022</v>
      </c>
      <c r="V15" s="13">
        <f>'TR TUSD'!$V$15*'TR TUSD'!$V$77</f>
        <v>81.180195810074395</v>
      </c>
      <c r="W15" s="13">
        <f>'TR TUSD'!$W$15*'TR TUSD'!$W$77</f>
        <v>8.3699629439537908</v>
      </c>
      <c r="X15" s="13">
        <f>'TR TUSD'!$X$15*'TR TUSD'!$X$77</f>
        <v>0</v>
      </c>
      <c r="Y15" s="13">
        <f>'TR TUSD'!$Y$15*'TR TUSD'!$Y$77</f>
        <v>0</v>
      </c>
      <c r="Z15" s="13">
        <f>'TR TUSD'!$Z$15</f>
        <v>0</v>
      </c>
      <c r="AA15" s="13">
        <f>'TR TUSD'!$AA$15</f>
        <v>0</v>
      </c>
      <c r="AB15" s="13">
        <f>SUM($U$15:$AA$15)</f>
        <v>167.13871477890521</v>
      </c>
      <c r="AC15" s="13">
        <f>'TR TUSD'!$AC$15*'TR TUSD'!$AC$77</f>
        <v>1291.4996349270841</v>
      </c>
      <c r="AD15" s="13">
        <f>SUM($AC$15:$AC$15)</f>
        <v>1291.4996349270841</v>
      </c>
      <c r="AE15" s="13">
        <v>0</v>
      </c>
      <c r="AF15" s="13">
        <v>0</v>
      </c>
      <c r="AG15" s="13">
        <f>SUM($AE$15:$AF$15)</f>
        <v>0</v>
      </c>
      <c r="AH15" s="13">
        <f>'TR TUSD'!$AH$15*'TR TUSD'!$AH$77</f>
        <v>13.555933410576724</v>
      </c>
      <c r="AI15" s="13">
        <f>'TR TUSD'!$AI$15*'TR TUSD'!$AI$77</f>
        <v>0.62681370895386401</v>
      </c>
      <c r="AJ15" s="13">
        <f ca="1">'TR TUSD'!$AJ$15*'TR TUSD'!$AJ$77</f>
        <v>18.432729455340024</v>
      </c>
      <c r="AK15" s="13">
        <f ca="1">'TR TUSD'!$AK$15*'TR TUSD'!$AK$77</f>
        <v>8.068157750436372</v>
      </c>
      <c r="AL15" s="13">
        <f ca="1">SUM($AH$15:$AK$15)</f>
        <v>40.683634325306983</v>
      </c>
      <c r="AM15" s="13">
        <f ca="1">SUMIF($L$4:$AL$4,"SUBTOTAL",$L$15:$AL$15)</f>
        <v>1577.7653483801957</v>
      </c>
      <c r="AP15" s="13">
        <v>1</v>
      </c>
    </row>
    <row r="16" spans="1:42" ht="11.25" customHeight="1" x14ac:dyDescent="0.25">
      <c r="A16" s="107"/>
      <c r="B16" s="107"/>
      <c r="C16" s="107"/>
      <c r="D16" s="107"/>
      <c r="E16" s="107"/>
      <c r="F16" s="107"/>
      <c r="G16" s="18" t="s">
        <v>84</v>
      </c>
      <c r="H16" s="18" t="s">
        <v>82</v>
      </c>
      <c r="I16" s="18">
        <f>'MERCADO TUSD'!$U$13</f>
        <v>1766.7370000000001</v>
      </c>
      <c r="J16" s="15"/>
      <c r="L16" s="13">
        <f>'TR TUSD'!$L$16*'TR TUSD'!$L$77</f>
        <v>18.670130039006455</v>
      </c>
      <c r="M16" s="13">
        <f>'TR TUSD'!$M$16*'TR TUSD'!$M$77</f>
        <v>0.67311137823630429</v>
      </c>
      <c r="N16" s="13">
        <f ca="1">'TR TUSD'!$N$16*'TR TUSD'!$N$77</f>
        <v>0.69317403046192105</v>
      </c>
      <c r="O16" s="13">
        <f>'TR TUSD'!$O$16*'TR TUSD'!$O$77</f>
        <v>0</v>
      </c>
      <c r="P16" s="13">
        <f>'TR TUSD'!$P$16*'TR TUSD'!$P$77</f>
        <v>0</v>
      </c>
      <c r="Q16" s="13">
        <f>'TR TUSD'!$Q$16*'TR TUSD'!$Q$77</f>
        <v>30.918732798477592</v>
      </c>
      <c r="R16" s="13">
        <f>'TR TUSD'!$R$16*'TR TUSD'!$R$77</f>
        <v>13.785929126696344</v>
      </c>
      <c r="S16" s="13">
        <f>'TR TUSD'!$S$16*'TR TUSD'!$S$77</f>
        <v>0</v>
      </c>
      <c r="T16" s="13">
        <f ca="1">SUM($L$16:$S$16)</f>
        <v>64.741077372878621</v>
      </c>
      <c r="U16" s="13">
        <f>'TR TUSD'!$U$16*'TR TUSD'!$U$77</f>
        <v>0</v>
      </c>
      <c r="V16" s="13">
        <f>'TR TUSD'!$V$16*'TR TUSD'!$V$77</f>
        <v>0</v>
      </c>
      <c r="W16" s="13">
        <f>'TR TUSD'!$W$16*'TR TUSD'!$W$77</f>
        <v>0</v>
      </c>
      <c r="X16" s="13">
        <f>'TR TUSD'!$X$16*'TR TUSD'!$X$77</f>
        <v>0</v>
      </c>
      <c r="Y16" s="13">
        <f>'TR TUSD'!$Y$16*'TR TUSD'!$Y$77</f>
        <v>0</v>
      </c>
      <c r="Z16" s="13">
        <f>'TR TUSD'!$Z$16</f>
        <v>0</v>
      </c>
      <c r="AA16" s="13">
        <f>'TR TUSD'!$AA$16</f>
        <v>0</v>
      </c>
      <c r="AB16" s="13">
        <f>SUM($U$16:$AA$16)</f>
        <v>0</v>
      </c>
      <c r="AC16" s="13">
        <f>'TR TUSD'!$AC$16*'TR TUSD'!$AC$77</f>
        <v>0</v>
      </c>
      <c r="AD16" s="13">
        <f>SUM($AC$16:$AC$16)</f>
        <v>0</v>
      </c>
      <c r="AE16" s="13">
        <v>0</v>
      </c>
      <c r="AF16" s="13">
        <v>0</v>
      </c>
      <c r="AG16" s="13">
        <f>SUM($AE$16:$AF$16)</f>
        <v>0</v>
      </c>
      <c r="AH16" s="13">
        <f>'TR TUSD'!$AH$16*'TR TUSD'!$AH$77</f>
        <v>13.555933410576724</v>
      </c>
      <c r="AI16" s="13">
        <f>'TR TUSD'!$AI$16*'TR TUSD'!$AI$77</f>
        <v>0.62681370895386401</v>
      </c>
      <c r="AJ16" s="13">
        <f ca="1">'TR TUSD'!$AJ$16*'TR TUSD'!$AJ$77</f>
        <v>18.432729455340024</v>
      </c>
      <c r="AK16" s="13">
        <f ca="1">'TR TUSD'!$AK$16*'TR TUSD'!$AK$77</f>
        <v>8.068157750436372</v>
      </c>
      <c r="AL16" s="13">
        <f ca="1">SUM($AH$16:$AK$16)</f>
        <v>40.683634325306983</v>
      </c>
      <c r="AM16" s="13">
        <f ca="1">SUMIF($L$4:$AL$4,"SUBTOTAL",$L$16:$AL$16)</f>
        <v>105.4247116981856</v>
      </c>
      <c r="AP16" s="13">
        <v>1</v>
      </c>
    </row>
    <row r="17" spans="1:42" ht="11.25" customHeight="1" x14ac:dyDescent="0.25">
      <c r="A17" s="107"/>
      <c r="B17" s="107"/>
      <c r="C17" s="107"/>
      <c r="D17" s="107"/>
      <c r="E17" s="107" t="s">
        <v>89</v>
      </c>
      <c r="F17" s="107" t="s">
        <v>25</v>
      </c>
      <c r="G17" s="18" t="s">
        <v>83</v>
      </c>
      <c r="H17" s="18" t="s">
        <v>82</v>
      </c>
      <c r="I17" s="18">
        <f>'MERCADO TUSD'!$U$14</f>
        <v>0</v>
      </c>
      <c r="J17" s="15"/>
      <c r="L17" s="13">
        <f>'TR TUSD'!$L$17*'TR TUSD'!$L$77</f>
        <v>0</v>
      </c>
      <c r="M17" s="13">
        <f>'TR TUSD'!$M$17*'TR TUSD'!$M$77</f>
        <v>0.67311137823630429</v>
      </c>
      <c r="N17" s="13">
        <f ca="1">'TR TUSD'!$N$17*'TR TUSD'!$N$77</f>
        <v>14.383987247516826</v>
      </c>
      <c r="O17" s="13">
        <f>'TR TUSD'!$O$17*'TR TUSD'!$O$77</f>
        <v>0</v>
      </c>
      <c r="P17" s="13">
        <f>'TR TUSD'!$P$17*'TR TUSD'!$P$77</f>
        <v>0</v>
      </c>
      <c r="Q17" s="13">
        <f>'TR TUSD'!$Q$17*'TR TUSD'!$Q$77</f>
        <v>0</v>
      </c>
      <c r="R17" s="13">
        <f>'TR TUSD'!$R$17*'TR TUSD'!$R$77</f>
        <v>0</v>
      </c>
      <c r="S17" s="13">
        <f>'TR TUSD'!$S$17*'TR TUSD'!$S$77</f>
        <v>0</v>
      </c>
      <c r="T17" s="13">
        <f ca="1">SUM($L$17:$S$17)</f>
        <v>15.057098625753131</v>
      </c>
      <c r="U17" s="13">
        <f>'TR TUSD'!$U$17*'TR TUSD'!$U$77</f>
        <v>77.588556024877022</v>
      </c>
      <c r="V17" s="13">
        <f>'TR TUSD'!$V$17*'TR TUSD'!$V$77</f>
        <v>81.180195810074395</v>
      </c>
      <c r="W17" s="13">
        <f>'TR TUSD'!$W$17*'TR TUSD'!$W$77</f>
        <v>8.3699629439537908</v>
      </c>
      <c r="X17" s="13">
        <f>'TR TUSD'!$X$17*'TR TUSD'!$X$77</f>
        <v>0</v>
      </c>
      <c r="Y17" s="13">
        <f>'TR TUSD'!$Y$17*'TR TUSD'!$Y$77</f>
        <v>0</v>
      </c>
      <c r="Z17" s="13">
        <f>'TR TUSD'!$Z$17</f>
        <v>0</v>
      </c>
      <c r="AA17" s="13">
        <f>'TR TUSD'!$AA$17</f>
        <v>0</v>
      </c>
      <c r="AB17" s="13">
        <f>SUM($U$17:$AA$17)</f>
        <v>167.13871477890521</v>
      </c>
      <c r="AC17" s="13">
        <f>'TR TUSD'!$AC$17*'TR TUSD'!$AC$77</f>
        <v>1291.4996349270841</v>
      </c>
      <c r="AD17" s="13">
        <f>SUM($AC$17:$AC$17)</f>
        <v>1291.4996349270841</v>
      </c>
      <c r="AE17" s="13">
        <v>0</v>
      </c>
      <c r="AF17" s="13">
        <v>0</v>
      </c>
      <c r="AG17" s="13">
        <f>SUM($AE$17:$AF$17)</f>
        <v>0</v>
      </c>
      <c r="AH17" s="13">
        <f>'TR TUSD'!$AH$17*'TR TUSD'!$AH$77</f>
        <v>13.555933410576724</v>
      </c>
      <c r="AI17" s="13">
        <f>'TR TUSD'!$AI$17*'TR TUSD'!$AI$77</f>
        <v>0.62681370895386401</v>
      </c>
      <c r="AJ17" s="13">
        <f ca="1">'TR TUSD'!$AJ$17*'TR TUSD'!$AJ$77</f>
        <v>18.432729455340024</v>
      </c>
      <c r="AK17" s="13">
        <f ca="1">'TR TUSD'!$AK$17*'TR TUSD'!$AK$77</f>
        <v>8.068157750436372</v>
      </c>
      <c r="AL17" s="13">
        <f ca="1">SUM($AH$17:$AK$17)</f>
        <v>40.683634325306983</v>
      </c>
      <c r="AM17" s="13">
        <f ca="1">SUMIF($L$4:$AL$4,"SUBTOTAL",$L$17:$AL$17)</f>
        <v>1514.3790826570494</v>
      </c>
      <c r="AP17" s="13">
        <v>1</v>
      </c>
    </row>
    <row r="18" spans="1:42" ht="11.25" customHeight="1" x14ac:dyDescent="0.25">
      <c r="A18" s="107"/>
      <c r="B18" s="107"/>
      <c r="C18" s="107"/>
      <c r="D18" s="107"/>
      <c r="E18" s="107"/>
      <c r="F18" s="107"/>
      <c r="G18" s="18" t="s">
        <v>84</v>
      </c>
      <c r="H18" s="18" t="s">
        <v>82</v>
      </c>
      <c r="I18" s="18">
        <f>'MERCADO TUSD'!$U$15</f>
        <v>0</v>
      </c>
      <c r="J18" s="15"/>
      <c r="L18" s="13">
        <f>'TR TUSD'!$L$18*'TR TUSD'!$L$77</f>
        <v>0</v>
      </c>
      <c r="M18" s="13">
        <f>'TR TUSD'!$M$18*'TR TUSD'!$M$77</f>
        <v>0.67311137823630429</v>
      </c>
      <c r="N18" s="13">
        <f ca="1">'TR TUSD'!$N$18*'TR TUSD'!$N$77</f>
        <v>0.68170027149602952</v>
      </c>
      <c r="O18" s="13">
        <f>'TR TUSD'!$O$18*'TR TUSD'!$O$77</f>
        <v>0</v>
      </c>
      <c r="P18" s="13">
        <f>'TR TUSD'!$P$18*'TR TUSD'!$P$77</f>
        <v>0</v>
      </c>
      <c r="Q18" s="13">
        <f>'TR TUSD'!$Q$18*'TR TUSD'!$Q$77</f>
        <v>0</v>
      </c>
      <c r="R18" s="13">
        <f>'TR TUSD'!$R$18*'TR TUSD'!$R$77</f>
        <v>0</v>
      </c>
      <c r="S18" s="13">
        <f>'TR TUSD'!$S$18*'TR TUSD'!$S$77</f>
        <v>0</v>
      </c>
      <c r="T18" s="13">
        <f ca="1">SUM($L$18:$S$18)</f>
        <v>1.3548116497323339</v>
      </c>
      <c r="U18" s="13">
        <f>'TR TUSD'!$U$18*'TR TUSD'!$U$77</f>
        <v>0</v>
      </c>
      <c r="V18" s="13">
        <f>'TR TUSD'!$V$18*'TR TUSD'!$V$77</f>
        <v>0</v>
      </c>
      <c r="W18" s="13">
        <f>'TR TUSD'!$W$18*'TR TUSD'!$W$77</f>
        <v>0</v>
      </c>
      <c r="X18" s="13">
        <f>'TR TUSD'!$X$18*'TR TUSD'!$X$77</f>
        <v>0</v>
      </c>
      <c r="Y18" s="13">
        <f>'TR TUSD'!$Y$18*'TR TUSD'!$Y$77</f>
        <v>0</v>
      </c>
      <c r="Z18" s="13">
        <f>'TR TUSD'!$Z$18</f>
        <v>0</v>
      </c>
      <c r="AA18" s="13">
        <f>'TR TUSD'!$AA$18</f>
        <v>0</v>
      </c>
      <c r="AB18" s="13">
        <f>SUM($U$18:$AA$18)</f>
        <v>0</v>
      </c>
      <c r="AC18" s="13">
        <f>'TR TUSD'!$AC$18*'TR TUSD'!$AC$77</f>
        <v>0</v>
      </c>
      <c r="AD18" s="13">
        <f>SUM($AC$18:$AC$18)</f>
        <v>0</v>
      </c>
      <c r="AE18" s="13">
        <v>0</v>
      </c>
      <c r="AF18" s="13">
        <v>0</v>
      </c>
      <c r="AG18" s="13">
        <f>SUM($AE$18:$AF$18)</f>
        <v>0</v>
      </c>
      <c r="AH18" s="13">
        <f>'TR TUSD'!$AH$18*'TR TUSD'!$AH$77</f>
        <v>13.555933410576724</v>
      </c>
      <c r="AI18" s="13">
        <f>'TR TUSD'!$AI$18*'TR TUSD'!$AI$77</f>
        <v>0.62681370895386401</v>
      </c>
      <c r="AJ18" s="13">
        <f ca="1">'TR TUSD'!$AJ$18*'TR TUSD'!$AJ$77</f>
        <v>18.432729455340024</v>
      </c>
      <c r="AK18" s="13">
        <f ca="1">'TR TUSD'!$AK$18*'TR TUSD'!$AK$77</f>
        <v>8.068157750436372</v>
      </c>
      <c r="AL18" s="13">
        <f ca="1">SUM($AH$18:$AK$18)</f>
        <v>40.683634325306983</v>
      </c>
      <c r="AM18" s="13">
        <f ca="1">SUMIF($L$4:$AL$4,"SUBTOTAL",$L$18:$AL$18)</f>
        <v>42.038445975039316</v>
      </c>
      <c r="AP18" s="13">
        <v>1</v>
      </c>
    </row>
    <row r="19" spans="1:42" ht="11.25" customHeight="1" x14ac:dyDescent="0.25">
      <c r="A19" s="107" t="s">
        <v>41</v>
      </c>
      <c r="B19" s="107" t="s">
        <v>42</v>
      </c>
      <c r="C19" s="107" t="s">
        <v>25</v>
      </c>
      <c r="D19" s="107" t="s">
        <v>25</v>
      </c>
      <c r="E19" s="107" t="s">
        <v>25</v>
      </c>
      <c r="F19" s="107" t="s">
        <v>25</v>
      </c>
      <c r="G19" s="18" t="s">
        <v>86</v>
      </c>
      <c r="H19" s="18" t="s">
        <v>85</v>
      </c>
      <c r="I19" s="18">
        <f>'MERCADO TUSD'!$U$16</f>
        <v>127291</v>
      </c>
      <c r="J19" s="15"/>
      <c r="L19" s="13">
        <f>'TR TUSD'!$L$19*'TR TUSD'!$L$77</f>
        <v>0</v>
      </c>
      <c r="M19" s="13">
        <f>'TR TUSD'!$M$19*'TR TUSD'!$M$77</f>
        <v>0</v>
      </c>
      <c r="N19" s="13">
        <f ca="1">'TR TUSD'!$N$19*'TR TUSD'!$N$77</f>
        <v>0</v>
      </c>
      <c r="O19" s="13">
        <f>'TR TUSD'!$O$19*'TR TUSD'!$O$77</f>
        <v>0</v>
      </c>
      <c r="P19" s="13">
        <f>'TR TUSD'!$P$19*'TR TUSD'!$P$77</f>
        <v>0</v>
      </c>
      <c r="Q19" s="13">
        <f>'TR TUSD'!$Q$19*'TR TUSD'!$Q$77</f>
        <v>0</v>
      </c>
      <c r="R19" s="13">
        <f>'TR TUSD'!$R$19*'TR TUSD'!$R$77</f>
        <v>0</v>
      </c>
      <c r="S19" s="13">
        <f>'TR TUSD'!$S$19*'TR TUSD'!$S$77</f>
        <v>0</v>
      </c>
      <c r="T19" s="13">
        <f ca="1">SUM($L$19:$S$19)</f>
        <v>0</v>
      </c>
      <c r="U19" s="13">
        <f>'TR TUSD'!$U$19*'TR TUSD'!$U$77</f>
        <v>3.2261017215732539</v>
      </c>
      <c r="V19" s="13">
        <f>'TR TUSD'!$V$19*'TR TUSD'!$V$77</f>
        <v>3.3754991002783523</v>
      </c>
      <c r="W19" s="13">
        <f>'TR TUSD'!$W$19*'TR TUSD'!$W$77</f>
        <v>0.34803420669329366</v>
      </c>
      <c r="X19" s="13">
        <f>'TR TUSD'!$X$19*'TR TUSD'!$X$77</f>
        <v>0</v>
      </c>
      <c r="Y19" s="13">
        <f>'TR TUSD'!$Y$19*'TR TUSD'!$Y$77</f>
        <v>0</v>
      </c>
      <c r="Z19" s="13">
        <f>'TR TUSD'!$Z$19</f>
        <v>0</v>
      </c>
      <c r="AA19" s="13">
        <f>'TR TUSD'!$AA$19</f>
        <v>0</v>
      </c>
      <c r="AB19" s="13">
        <f>SUM($U$19:$AA$19)</f>
        <v>6.9496350285449005</v>
      </c>
      <c r="AC19" s="13">
        <f>'TR TUSD'!$AC$19*'TR TUSD'!$AC$77</f>
        <v>53.700546244740401</v>
      </c>
      <c r="AD19" s="13">
        <f>SUM($AC$19:$AC$19)</f>
        <v>53.700546244740401</v>
      </c>
      <c r="AE19" s="13">
        <v>0</v>
      </c>
      <c r="AF19" s="13">
        <v>0</v>
      </c>
      <c r="AG19" s="13">
        <f>SUM($AE$19:$AF$19)</f>
        <v>0</v>
      </c>
      <c r="AH19" s="13">
        <f>'TR TUSD'!$AH$19*'TR TUSD'!$AH$77</f>
        <v>0</v>
      </c>
      <c r="AI19" s="13">
        <f>'TR TUSD'!$AI$19*'TR TUSD'!$AI$77</f>
        <v>0</v>
      </c>
      <c r="AJ19" s="13">
        <f ca="1">'TR TUSD'!$AJ$19*'TR TUSD'!$AJ$77</f>
        <v>0</v>
      </c>
      <c r="AK19" s="13">
        <f ca="1">'TR TUSD'!$AK$19*'TR TUSD'!$AK$77</f>
        <v>0</v>
      </c>
      <c r="AL19" s="13">
        <f ca="1">SUM($AH$19:$AK$19)</f>
        <v>0</v>
      </c>
      <c r="AM19" s="13">
        <f ca="1">SUMIF($L$4:$AL$4,"SUBTOTAL",$L$19:$AL$19)</f>
        <v>60.650181273285298</v>
      </c>
      <c r="AP19" s="13">
        <v>1</v>
      </c>
    </row>
    <row r="20" spans="1:42" ht="11.25" customHeight="1" x14ac:dyDescent="0.25">
      <c r="A20" s="107"/>
      <c r="B20" s="107"/>
      <c r="C20" s="107"/>
      <c r="D20" s="107"/>
      <c r="E20" s="107"/>
      <c r="F20" s="107"/>
      <c r="G20" s="18" t="s">
        <v>87</v>
      </c>
      <c r="H20" s="18" t="s">
        <v>85</v>
      </c>
      <c r="I20" s="18">
        <f>'MERCADO TUSD'!$U$17</f>
        <v>145423</v>
      </c>
      <c r="J20" s="15"/>
      <c r="L20" s="13">
        <f>'TR TUSD'!$L$20*'TR TUSD'!$L$77</f>
        <v>0</v>
      </c>
      <c r="M20" s="13">
        <f>'TR TUSD'!$M$20*'TR TUSD'!$M$77</f>
        <v>0</v>
      </c>
      <c r="N20" s="13">
        <f ca="1">'TR TUSD'!$N$20*'TR TUSD'!$N$77</f>
        <v>0</v>
      </c>
      <c r="O20" s="13">
        <f>'TR TUSD'!$O$20*'TR TUSD'!$O$77</f>
        <v>0</v>
      </c>
      <c r="P20" s="13">
        <f>'TR TUSD'!$P$20*'TR TUSD'!$P$77</f>
        <v>0</v>
      </c>
      <c r="Q20" s="13">
        <f>'TR TUSD'!$Q$20*'TR TUSD'!$Q$77</f>
        <v>0</v>
      </c>
      <c r="R20" s="13">
        <f>'TR TUSD'!$R$20*'TR TUSD'!$R$77</f>
        <v>0</v>
      </c>
      <c r="S20" s="13">
        <f>'TR TUSD'!$S$20*'TR TUSD'!$S$77</f>
        <v>0</v>
      </c>
      <c r="T20" s="13">
        <f ca="1">SUM($L$20:$S$20)</f>
        <v>0</v>
      </c>
      <c r="U20" s="13">
        <f>'TR TUSD'!$U$20*'TR TUSD'!$U$77</f>
        <v>2.4221004038348473</v>
      </c>
      <c r="V20" s="13">
        <f>'TR TUSD'!$V$20*'TR TUSD'!$V$77</f>
        <v>2.7922457104993716</v>
      </c>
      <c r="W20" s="13">
        <f>'TR TUSD'!$W$20*'TR TUSD'!$W$77</f>
        <v>0.29076439880085236</v>
      </c>
      <c r="X20" s="13">
        <f>'TR TUSD'!$X$20*'TR TUSD'!$X$77</f>
        <v>0</v>
      </c>
      <c r="Y20" s="13">
        <f>'TR TUSD'!$Y$20*'TR TUSD'!$Y$77</f>
        <v>0</v>
      </c>
      <c r="Z20" s="13">
        <f>'TR TUSD'!$Z$20</f>
        <v>0</v>
      </c>
      <c r="AA20" s="13">
        <f>'TR TUSD'!$AA$20</f>
        <v>0</v>
      </c>
      <c r="AB20" s="13">
        <f>SUM($U$20:$AA$20)</f>
        <v>5.5051105131350715</v>
      </c>
      <c r="AC20" s="13">
        <f>'TR TUSD'!$AC$20*'TR TUSD'!$AC$77</f>
        <v>16.148721105264418</v>
      </c>
      <c r="AD20" s="13">
        <f>SUM($AC$20:$AC$20)</f>
        <v>16.148721105264418</v>
      </c>
      <c r="AE20" s="13">
        <v>0</v>
      </c>
      <c r="AF20" s="13">
        <v>0</v>
      </c>
      <c r="AG20" s="13">
        <f>SUM($AE$20:$AF$20)</f>
        <v>0</v>
      </c>
      <c r="AH20" s="13">
        <f>'TR TUSD'!$AH$20*'TR TUSD'!$AH$77</f>
        <v>0</v>
      </c>
      <c r="AI20" s="13">
        <f>'TR TUSD'!$AI$20*'TR TUSD'!$AI$77</f>
        <v>0</v>
      </c>
      <c r="AJ20" s="13">
        <f ca="1">'TR TUSD'!$AJ$20*'TR TUSD'!$AJ$77</f>
        <v>0</v>
      </c>
      <c r="AK20" s="13">
        <f ca="1">'TR TUSD'!$AK$20*'TR TUSD'!$AK$77</f>
        <v>0</v>
      </c>
      <c r="AL20" s="13">
        <f ca="1">SUM($AH$20:$AK$20)</f>
        <v>0</v>
      </c>
      <c r="AM20" s="13">
        <f ca="1">SUMIF($L$4:$AL$4,"SUBTOTAL",$L$20:$AL$20)</f>
        <v>21.65383161839949</v>
      </c>
      <c r="AP20" s="13">
        <v>1</v>
      </c>
    </row>
    <row r="21" spans="1:42" ht="11.25" customHeight="1" x14ac:dyDescent="0.25">
      <c r="A21" s="107"/>
      <c r="B21" s="107"/>
      <c r="C21" s="107"/>
      <c r="D21" s="107"/>
      <c r="E21" s="107"/>
      <c r="F21" s="107"/>
      <c r="G21" s="18" t="s">
        <v>88</v>
      </c>
      <c r="H21" s="18" t="s">
        <v>82</v>
      </c>
      <c r="I21" s="18">
        <f>'MERCADO TUSD'!$U$18</f>
        <v>51654.506999999991</v>
      </c>
      <c r="J21" s="15"/>
      <c r="L21" s="13">
        <f>'TR TUSD'!$L$21*'TR TUSD'!$L$77</f>
        <v>18.670130039006455</v>
      </c>
      <c r="M21" s="13">
        <f>'TR TUSD'!$M$21*'TR TUSD'!$M$77</f>
        <v>0.67311137823630429</v>
      </c>
      <c r="N21" s="13">
        <f ca="1">'TR TUSD'!$N$21*'TR TUSD'!$N$77</f>
        <v>0.69317403046192105</v>
      </c>
      <c r="O21" s="13">
        <f>'TR TUSD'!$O$21*'TR TUSD'!$O$77</f>
        <v>0</v>
      </c>
      <c r="P21" s="13">
        <f>'TR TUSD'!$P$21*'TR TUSD'!$P$77</f>
        <v>0</v>
      </c>
      <c r="Q21" s="13">
        <f>'TR TUSD'!$Q$21*'TR TUSD'!$Q$77</f>
        <v>30.918732798477592</v>
      </c>
      <c r="R21" s="13">
        <f>'TR TUSD'!$R$21*'TR TUSD'!$R$77</f>
        <v>13.785929126696344</v>
      </c>
      <c r="S21" s="13">
        <f>'TR TUSD'!$S$21*'TR TUSD'!$S$77</f>
        <v>0</v>
      </c>
      <c r="T21" s="13">
        <f ca="1">SUM($L$21:$S$21)</f>
        <v>64.741077372878621</v>
      </c>
      <c r="U21" s="13">
        <f>'TR TUSD'!$U$21*'TR TUSD'!$U$77</f>
        <v>0</v>
      </c>
      <c r="V21" s="13">
        <f>'TR TUSD'!$V$21*'TR TUSD'!$V$77</f>
        <v>0</v>
      </c>
      <c r="W21" s="13">
        <f>'TR TUSD'!$W$21*'TR TUSD'!$W$77</f>
        <v>0</v>
      </c>
      <c r="X21" s="13">
        <f>'TR TUSD'!$X$21*'TR TUSD'!$X$77</f>
        <v>0</v>
      </c>
      <c r="Y21" s="13">
        <f>'TR TUSD'!$Y$21*'TR TUSD'!$Y$77</f>
        <v>0</v>
      </c>
      <c r="Z21" s="13">
        <f>'TR TUSD'!$Z$21</f>
        <v>0</v>
      </c>
      <c r="AA21" s="13">
        <f>'TR TUSD'!$AA$21</f>
        <v>0</v>
      </c>
      <c r="AB21" s="13">
        <f>SUM($U$21:$AA$21)</f>
        <v>0</v>
      </c>
      <c r="AC21" s="13">
        <f>'TR TUSD'!$AC$21*'TR TUSD'!$AC$77</f>
        <v>0</v>
      </c>
      <c r="AD21" s="13">
        <f>SUM($AC$21:$AC$21)</f>
        <v>0</v>
      </c>
      <c r="AE21" s="13">
        <v>0</v>
      </c>
      <c r="AF21" s="13">
        <v>0</v>
      </c>
      <c r="AG21" s="13">
        <f>SUM($AE$21:$AF$21)</f>
        <v>0</v>
      </c>
      <c r="AH21" s="13">
        <f>'TR TUSD'!$AH$21*'TR TUSD'!$AH$77</f>
        <v>13.555933410576724</v>
      </c>
      <c r="AI21" s="13">
        <f>'TR TUSD'!$AI$21*'TR TUSD'!$AI$77</f>
        <v>0.62681370895386401</v>
      </c>
      <c r="AJ21" s="13">
        <f ca="1">'TR TUSD'!$AJ$21*'TR TUSD'!$AJ$77</f>
        <v>18.432729455340024</v>
      </c>
      <c r="AK21" s="13">
        <f ca="1">'TR TUSD'!$AK$21*'TR TUSD'!$AK$77</f>
        <v>8.068157750436372</v>
      </c>
      <c r="AL21" s="13">
        <f ca="1">SUM($AH$21:$AK$21)</f>
        <v>40.683634325306983</v>
      </c>
      <c r="AM21" s="13">
        <f ca="1">SUMIF($L$4:$AL$4,"SUBTOTAL",$L$21:$AL$21)</f>
        <v>105.4247116981856</v>
      </c>
      <c r="AP21" s="13">
        <v>1</v>
      </c>
    </row>
    <row r="22" spans="1:42" ht="11.25" customHeight="1" x14ac:dyDescent="0.25">
      <c r="A22" s="107"/>
      <c r="B22" s="107"/>
      <c r="C22" s="107"/>
      <c r="D22" s="107"/>
      <c r="E22" s="17" t="s">
        <v>89</v>
      </c>
      <c r="F22" s="17" t="s">
        <v>25</v>
      </c>
      <c r="G22" s="18" t="s">
        <v>88</v>
      </c>
      <c r="H22" s="18" t="s">
        <v>82</v>
      </c>
      <c r="I22" s="18">
        <f>'MERCADO TUSD'!$U$19</f>
        <v>0</v>
      </c>
      <c r="J22" s="15"/>
      <c r="L22" s="13">
        <f>'TR TUSD'!$L$22*'TR TUSD'!$L$77</f>
        <v>0</v>
      </c>
      <c r="M22" s="13">
        <f>'TR TUSD'!$M$22*'TR TUSD'!$M$77</f>
        <v>0.67311137823630429</v>
      </c>
      <c r="N22" s="13">
        <f ca="1">'TR TUSD'!$N$22*'TR TUSD'!$N$77</f>
        <v>0.68170027149602952</v>
      </c>
      <c r="O22" s="13">
        <f>'TR TUSD'!$O$22*'TR TUSD'!$O$77</f>
        <v>0</v>
      </c>
      <c r="P22" s="13">
        <f>'TR TUSD'!$P$22*'TR TUSD'!$P$77</f>
        <v>0</v>
      </c>
      <c r="Q22" s="13">
        <f>'TR TUSD'!$Q$22*'TR TUSD'!$Q$77</f>
        <v>0</v>
      </c>
      <c r="R22" s="13">
        <f>'TR TUSD'!$R$22*'TR TUSD'!$R$77</f>
        <v>0</v>
      </c>
      <c r="S22" s="13">
        <f>'TR TUSD'!$S$22*'TR TUSD'!$S$77</f>
        <v>0</v>
      </c>
      <c r="T22" s="13">
        <f ca="1">SUM($L$22:$S$22)</f>
        <v>1.3548116497323339</v>
      </c>
      <c r="U22" s="13">
        <f>'TR TUSD'!$U$22*'TR TUSD'!$U$77</f>
        <v>0</v>
      </c>
      <c r="V22" s="13">
        <f>'TR TUSD'!$V$22*'TR TUSD'!$V$77</f>
        <v>0</v>
      </c>
      <c r="W22" s="13">
        <f>'TR TUSD'!$W$22*'TR TUSD'!$W$77</f>
        <v>0</v>
      </c>
      <c r="X22" s="13">
        <f>'TR TUSD'!$X$22*'TR TUSD'!$X$77</f>
        <v>0</v>
      </c>
      <c r="Y22" s="13">
        <f>'TR TUSD'!$Y$22*'TR TUSD'!$Y$77</f>
        <v>0</v>
      </c>
      <c r="Z22" s="13">
        <f>'TR TUSD'!$Z$22</f>
        <v>0</v>
      </c>
      <c r="AA22" s="13">
        <f>'TR TUSD'!$AA$22</f>
        <v>0</v>
      </c>
      <c r="AB22" s="13">
        <f>SUM($U$22:$AA$22)</f>
        <v>0</v>
      </c>
      <c r="AC22" s="13">
        <f>'TR TUSD'!$AC$22*'TR TUSD'!$AC$77</f>
        <v>0</v>
      </c>
      <c r="AD22" s="13">
        <f>SUM($AC$22:$AC$22)</f>
        <v>0</v>
      </c>
      <c r="AE22" s="13">
        <v>0</v>
      </c>
      <c r="AF22" s="13">
        <v>0</v>
      </c>
      <c r="AG22" s="13">
        <f>SUM($AE$22:$AF$22)</f>
        <v>0</v>
      </c>
      <c r="AH22" s="13">
        <f>'TR TUSD'!$AH$22*'TR TUSD'!$AH$77</f>
        <v>13.555933410576724</v>
      </c>
      <c r="AI22" s="13">
        <f>'TR TUSD'!$AI$22*'TR TUSD'!$AI$77</f>
        <v>0.62681370895386401</v>
      </c>
      <c r="AJ22" s="13">
        <f ca="1">'TR TUSD'!$AJ$22*'TR TUSD'!$AJ$77</f>
        <v>18.432729455340024</v>
      </c>
      <c r="AK22" s="13">
        <f ca="1">'TR TUSD'!$AK$22*'TR TUSD'!$AK$77</f>
        <v>8.068157750436372</v>
      </c>
      <c r="AL22" s="13">
        <f ca="1">SUM($AH$22:$AK$22)</f>
        <v>40.683634325306983</v>
      </c>
      <c r="AM22" s="13">
        <f ca="1">SUMIF($L$4:$AL$4,"SUBTOTAL",$L$22:$AL$22)</f>
        <v>42.038445975039316</v>
      </c>
      <c r="AP22" s="13">
        <v>1</v>
      </c>
    </row>
    <row r="23" spans="1:42" ht="11.25" customHeight="1" x14ac:dyDescent="0.25">
      <c r="A23" s="107"/>
      <c r="B23" s="107" t="s">
        <v>62</v>
      </c>
      <c r="C23" s="107" t="s">
        <v>25</v>
      </c>
      <c r="D23" s="107" t="s">
        <v>25</v>
      </c>
      <c r="E23" s="107" t="s">
        <v>25</v>
      </c>
      <c r="F23" s="107" t="s">
        <v>63</v>
      </c>
      <c r="G23" s="18" t="s">
        <v>86</v>
      </c>
      <c r="H23" s="18" t="s">
        <v>85</v>
      </c>
      <c r="I23" s="18">
        <f>'MERCADO TUSD'!$U$20</f>
        <v>18979</v>
      </c>
      <c r="J23" s="15"/>
      <c r="L23" s="13">
        <f>'TR TUSD'!$L$23*'TR TUSD'!$L$77</f>
        <v>0</v>
      </c>
      <c r="M23" s="13">
        <f>'TR TUSD'!$M$23*'TR TUSD'!$M$77</f>
        <v>0</v>
      </c>
      <c r="N23" s="13">
        <f ca="1">'TR TUSD'!$N$23*'TR TUSD'!$N$77</f>
        <v>0</v>
      </c>
      <c r="O23" s="13">
        <f>'TR TUSD'!$O$23*'TR TUSD'!$O$77</f>
        <v>0</v>
      </c>
      <c r="P23" s="13">
        <f>'TR TUSD'!$P$23*'TR TUSD'!$P$77</f>
        <v>0</v>
      </c>
      <c r="Q23" s="13">
        <f>'TR TUSD'!$Q$23*'TR TUSD'!$Q$77</f>
        <v>0</v>
      </c>
      <c r="R23" s="13">
        <f>'TR TUSD'!$R$23*'TR TUSD'!$R$77</f>
        <v>0</v>
      </c>
      <c r="S23" s="13">
        <f>'TR TUSD'!$S$23*'TR TUSD'!$S$77</f>
        <v>0</v>
      </c>
      <c r="T23" s="13">
        <f ca="1">SUM($L$23:$S$23)</f>
        <v>0</v>
      </c>
      <c r="U23" s="13">
        <f>'TR TUSD'!$U$23*'TR TUSD'!$U$77</f>
        <v>3.2261017215732539</v>
      </c>
      <c r="V23" s="13">
        <f>'TR TUSD'!$V$23*'TR TUSD'!$V$77</f>
        <v>3.3754991002783523</v>
      </c>
      <c r="W23" s="13">
        <f>'TR TUSD'!$W$23*'TR TUSD'!$W$77</f>
        <v>0.34803420669329366</v>
      </c>
      <c r="X23" s="13">
        <f>'TR TUSD'!$X$23*'TR TUSD'!$X$77</f>
        <v>0</v>
      </c>
      <c r="Y23" s="13">
        <f>'TR TUSD'!$Y$23*'TR TUSD'!$Y$77</f>
        <v>0</v>
      </c>
      <c r="Z23" s="13">
        <f>'TR TUSD'!$Z$23</f>
        <v>0</v>
      </c>
      <c r="AA23" s="13">
        <f>'TR TUSD'!$AA$23</f>
        <v>0</v>
      </c>
      <c r="AB23" s="13">
        <f>SUM($U$23:$AA$23)</f>
        <v>6.9496350285449005</v>
      </c>
      <c r="AC23" s="13">
        <f>'TR TUSD'!$AC$23*'TR TUSD'!$AC$77</f>
        <v>10.582116767076363</v>
      </c>
      <c r="AD23" s="13">
        <f>SUM($AC$23:$AC$23)</f>
        <v>10.582116767076363</v>
      </c>
      <c r="AE23" s="13">
        <v>0</v>
      </c>
      <c r="AF23" s="13">
        <v>0</v>
      </c>
      <c r="AG23" s="13">
        <f>SUM($AE$23:$AF$23)</f>
        <v>0</v>
      </c>
      <c r="AH23" s="13">
        <f>'TR TUSD'!$AH$23*'TR TUSD'!$AH$77</f>
        <v>0</v>
      </c>
      <c r="AI23" s="13">
        <f>'TR TUSD'!$AI$23*'TR TUSD'!$AI$77</f>
        <v>0</v>
      </c>
      <c r="AJ23" s="13">
        <f ca="1">'TR TUSD'!$AJ$23*'TR TUSD'!$AJ$77</f>
        <v>0</v>
      </c>
      <c r="AK23" s="13">
        <f ca="1">'TR TUSD'!$AK$23*'TR TUSD'!$AK$77</f>
        <v>0</v>
      </c>
      <c r="AL23" s="13">
        <f ca="1">SUM($AH$23:$AK$23)</f>
        <v>0</v>
      </c>
      <c r="AM23" s="13">
        <f ca="1">SUMIF($L$4:$AL$4,"SUBTOTAL",$L$23:$AL$23)</f>
        <v>17.531751795621261</v>
      </c>
      <c r="AP23" s="13">
        <v>1</v>
      </c>
    </row>
    <row r="24" spans="1:42" ht="11.25" customHeight="1" x14ac:dyDescent="0.25">
      <c r="A24" s="107"/>
      <c r="B24" s="107"/>
      <c r="C24" s="107"/>
      <c r="D24" s="107"/>
      <c r="E24" s="107"/>
      <c r="F24" s="107"/>
      <c r="G24" s="18" t="s">
        <v>87</v>
      </c>
      <c r="H24" s="18" t="s">
        <v>85</v>
      </c>
      <c r="I24" s="18">
        <f>'MERCADO TUSD'!$U$21</f>
        <v>19150</v>
      </c>
      <c r="J24" s="15"/>
      <c r="L24" s="13">
        <f>'TR TUSD'!$L$24*'TR TUSD'!$L$77</f>
        <v>0</v>
      </c>
      <c r="M24" s="13">
        <f>'TR TUSD'!$M$24*'TR TUSD'!$M$77</f>
        <v>0</v>
      </c>
      <c r="N24" s="13">
        <f ca="1">'TR TUSD'!$N$24*'TR TUSD'!$N$77</f>
        <v>0</v>
      </c>
      <c r="O24" s="13">
        <f>'TR TUSD'!$O$24*'TR TUSD'!$O$77</f>
        <v>0</v>
      </c>
      <c r="P24" s="13">
        <f>'TR TUSD'!$P$24*'TR TUSD'!$P$77</f>
        <v>0</v>
      </c>
      <c r="Q24" s="13">
        <f>'TR TUSD'!$Q$24*'TR TUSD'!$Q$77</f>
        <v>0</v>
      </c>
      <c r="R24" s="13">
        <f>'TR TUSD'!$R$24*'TR TUSD'!$R$77</f>
        <v>0</v>
      </c>
      <c r="S24" s="13">
        <f>'TR TUSD'!$S$24*'TR TUSD'!$S$77</f>
        <v>0</v>
      </c>
      <c r="T24" s="13">
        <f ca="1">SUM($L$24:$S$24)</f>
        <v>0</v>
      </c>
      <c r="U24" s="13">
        <f>'TR TUSD'!$U$24*'TR TUSD'!$U$77</f>
        <v>2.4221004038348473</v>
      </c>
      <c r="V24" s="13">
        <f>'TR TUSD'!$V$24*'TR TUSD'!$V$77</f>
        <v>2.7922457104993716</v>
      </c>
      <c r="W24" s="13">
        <f>'TR TUSD'!$W$24*'TR TUSD'!$W$77</f>
        <v>0.29076439880085236</v>
      </c>
      <c r="X24" s="13">
        <f>'TR TUSD'!$X$24*'TR TUSD'!$X$77</f>
        <v>0</v>
      </c>
      <c r="Y24" s="13">
        <f>'TR TUSD'!$Y$24*'TR TUSD'!$Y$77</f>
        <v>0</v>
      </c>
      <c r="Z24" s="13">
        <f>'TR TUSD'!$Z$24</f>
        <v>0</v>
      </c>
      <c r="AA24" s="13">
        <f>'TR TUSD'!$AA$24</f>
        <v>0</v>
      </c>
      <c r="AB24" s="13">
        <f>SUM($U$24:$AA$24)</f>
        <v>5.5051105131350715</v>
      </c>
      <c r="AC24" s="13">
        <f>'TR TUSD'!$AC$24*'TR TUSD'!$AC$77</f>
        <v>3.1822197445540374</v>
      </c>
      <c r="AD24" s="13">
        <f>SUM($AC$24:$AC$24)</f>
        <v>3.1822197445540374</v>
      </c>
      <c r="AE24" s="13">
        <v>0</v>
      </c>
      <c r="AF24" s="13">
        <v>0</v>
      </c>
      <c r="AG24" s="13">
        <f>SUM($AE$24:$AF$24)</f>
        <v>0</v>
      </c>
      <c r="AH24" s="13">
        <f>'TR TUSD'!$AH$24*'TR TUSD'!$AH$77</f>
        <v>0</v>
      </c>
      <c r="AI24" s="13">
        <f>'TR TUSD'!$AI$24*'TR TUSD'!$AI$77</f>
        <v>0</v>
      </c>
      <c r="AJ24" s="13">
        <f ca="1">'TR TUSD'!$AJ$24*'TR TUSD'!$AJ$77</f>
        <v>0</v>
      </c>
      <c r="AK24" s="13">
        <f ca="1">'TR TUSD'!$AK$24*'TR TUSD'!$AK$77</f>
        <v>0</v>
      </c>
      <c r="AL24" s="13">
        <f ca="1">SUM($AH$24:$AK$24)</f>
        <v>0</v>
      </c>
      <c r="AM24" s="13">
        <f ca="1">SUMIF($L$4:$AL$4,"SUBTOTAL",$L$24:$AL$24)</f>
        <v>8.6873302576891085</v>
      </c>
      <c r="AP24" s="13">
        <v>1</v>
      </c>
    </row>
    <row r="25" spans="1:42" ht="11.25" customHeight="1" x14ac:dyDescent="0.25">
      <c r="A25" s="107"/>
      <c r="B25" s="107"/>
      <c r="C25" s="107"/>
      <c r="D25" s="107"/>
      <c r="E25" s="107"/>
      <c r="F25" s="107"/>
      <c r="G25" s="18" t="s">
        <v>88</v>
      </c>
      <c r="H25" s="18" t="s">
        <v>82</v>
      </c>
      <c r="I25" s="18">
        <f>'MERCADO TUSD'!$U$22</f>
        <v>10049.634999999998</v>
      </c>
      <c r="J25" s="15"/>
      <c r="L25" s="13">
        <f>'TR TUSD'!$L$25*'TR TUSD'!$L$77</f>
        <v>0</v>
      </c>
      <c r="M25" s="13">
        <f>'TR TUSD'!$M$25*'TR TUSD'!$M$77</f>
        <v>0</v>
      </c>
      <c r="N25" s="13">
        <f ca="1">'TR TUSD'!$N$25*'TR TUSD'!$N$77</f>
        <v>0</v>
      </c>
      <c r="O25" s="13">
        <f>'TR TUSD'!$O$25*'TR TUSD'!$O$77</f>
        <v>0</v>
      </c>
      <c r="P25" s="13">
        <f>'TR TUSD'!$P$25*'TR TUSD'!$P$77</f>
        <v>0</v>
      </c>
      <c r="Q25" s="13">
        <f>'TR TUSD'!$Q$25*'TR TUSD'!$Q$77</f>
        <v>0</v>
      </c>
      <c r="R25" s="13">
        <f>'TR TUSD'!$R$25*'TR TUSD'!$R$77</f>
        <v>0</v>
      </c>
      <c r="S25" s="13">
        <f>'TR TUSD'!$S$25*'TR TUSD'!$S$77</f>
        <v>0</v>
      </c>
      <c r="T25" s="13">
        <f ca="1">SUM($L$25:$S$25)</f>
        <v>0</v>
      </c>
      <c r="U25" s="13">
        <f>'TR TUSD'!$U$25*'TR TUSD'!$U$77</f>
        <v>0</v>
      </c>
      <c r="V25" s="13">
        <f>'TR TUSD'!$V$25*'TR TUSD'!$V$77</f>
        <v>0</v>
      </c>
      <c r="W25" s="13">
        <f>'TR TUSD'!$W$25*'TR TUSD'!$W$77</f>
        <v>0</v>
      </c>
      <c r="X25" s="13">
        <f>'TR TUSD'!$X$25*'TR TUSD'!$X$77</f>
        <v>0</v>
      </c>
      <c r="Y25" s="13">
        <f>'TR TUSD'!$Y$25*'TR TUSD'!$Y$77</f>
        <v>0</v>
      </c>
      <c r="Z25" s="13">
        <f>'TR TUSD'!$Z$25</f>
        <v>0</v>
      </c>
      <c r="AA25" s="13">
        <f>'TR TUSD'!$AA$25</f>
        <v>0</v>
      </c>
      <c r="AB25" s="13">
        <f>SUM($U$25:$AA$25)</f>
        <v>0</v>
      </c>
      <c r="AC25" s="13">
        <f>'TR TUSD'!$AC$25*'TR TUSD'!$AC$77</f>
        <v>0</v>
      </c>
      <c r="AD25" s="13">
        <f>SUM($AC$25:$AC$25)</f>
        <v>0</v>
      </c>
      <c r="AE25" s="13">
        <v>0</v>
      </c>
      <c r="AF25" s="13">
        <v>0</v>
      </c>
      <c r="AG25" s="13">
        <f>SUM($AE$25:$AF$25)</f>
        <v>0</v>
      </c>
      <c r="AH25" s="13">
        <f>'TR TUSD'!$AH$25*'TR TUSD'!$AH$77</f>
        <v>13.555933410576724</v>
      </c>
      <c r="AI25" s="13">
        <f>'TR TUSD'!$AI$25*'TR TUSD'!$AI$77</f>
        <v>0.62681370895386401</v>
      </c>
      <c r="AJ25" s="13">
        <f ca="1">'TR TUSD'!$AJ$25*'TR TUSD'!$AJ$77</f>
        <v>0</v>
      </c>
      <c r="AK25" s="13">
        <f ca="1">'TR TUSD'!$AK$25*'TR TUSD'!$AK$77</f>
        <v>0</v>
      </c>
      <c r="AL25" s="13">
        <f ca="1">SUM($AH$25:$AK$25)</f>
        <v>14.182747119530589</v>
      </c>
      <c r="AM25" s="13">
        <f ca="1">SUMIF($L$4:$AL$4,"SUBTOTAL",$L$25:$AL$25)</f>
        <v>14.182747119530589</v>
      </c>
      <c r="AP25" s="13">
        <v>1</v>
      </c>
    </row>
    <row r="26" spans="1:42" ht="11.25" customHeight="1" x14ac:dyDescent="0.25">
      <c r="A26" s="107"/>
      <c r="B26" s="17" t="s">
        <v>91</v>
      </c>
      <c r="C26" s="17" t="s">
        <v>25</v>
      </c>
      <c r="D26" s="17" t="s">
        <v>25</v>
      </c>
      <c r="E26" s="17" t="s">
        <v>25</v>
      </c>
      <c r="F26" s="17" t="s">
        <v>25</v>
      </c>
      <c r="G26" s="18" t="s">
        <v>9</v>
      </c>
      <c r="H26" s="18" t="s">
        <v>85</v>
      </c>
      <c r="I26" s="18">
        <f>'MERCADO TUSD'!$U$23</f>
        <v>0</v>
      </c>
      <c r="J26" s="15"/>
      <c r="L26" s="13">
        <f>'TR TUSD'!$L$26*'TR TUSD'!$L$77</f>
        <v>0</v>
      </c>
      <c r="M26" s="13">
        <f>'TR TUSD'!$M$26*'TR TUSD'!$M$77</f>
        <v>6.8091822482383824E-2</v>
      </c>
      <c r="N26" s="13">
        <f ca="1">'TR TUSD'!$N$26*'TR TUSD'!$N$77</f>
        <v>0.19172651232004656</v>
      </c>
      <c r="O26" s="13">
        <f>'TR TUSD'!$O$26*'TR TUSD'!$O$77</f>
        <v>0</v>
      </c>
      <c r="P26" s="13">
        <f>'TR TUSD'!$P$26*'TR TUSD'!$P$77</f>
        <v>0</v>
      </c>
      <c r="Q26" s="13">
        <f>'TR TUSD'!$Q$26*'TR TUSD'!$Q$77</f>
        <v>0</v>
      </c>
      <c r="R26" s="13">
        <f>'TR TUSD'!$R$26*'TR TUSD'!$R$77</f>
        <v>0</v>
      </c>
      <c r="S26" s="13">
        <f>'TR TUSD'!$S$26*'TR TUSD'!$S$77</f>
        <v>0</v>
      </c>
      <c r="T26" s="13">
        <f ca="1">SUM($L$26:$S$26)</f>
        <v>0.25981833480243038</v>
      </c>
      <c r="U26" s="13">
        <f>'TR TUSD'!$U$26*'TR TUSD'!$U$77</f>
        <v>0</v>
      </c>
      <c r="V26" s="13">
        <f>'TR TUSD'!$V$26*'TR TUSD'!$V$77</f>
        <v>0</v>
      </c>
      <c r="W26" s="13">
        <f>'TR TUSD'!$W$26*'TR TUSD'!$W$77</f>
        <v>0</v>
      </c>
      <c r="X26" s="13">
        <f>'TR TUSD'!$X$26*'TR TUSD'!$X$77</f>
        <v>0</v>
      </c>
      <c r="Y26" s="13">
        <f>'TR TUSD'!$Y$26*'TR TUSD'!$Y$77</f>
        <v>0</v>
      </c>
      <c r="Z26" s="13">
        <f>'TR TUSD'!$Z$26*'TR TUSD'!$Z$77</f>
        <v>0</v>
      </c>
      <c r="AA26" s="13">
        <f>'TR TUSD'!$AA$26*'TR TUSD'!$AA$77</f>
        <v>0</v>
      </c>
      <c r="AB26" s="13">
        <f>SUM($U$26:$AA$26)</f>
        <v>0</v>
      </c>
      <c r="AC26" s="13">
        <f>'TR TUSD'!$AC$26*'TR TUSD'!$AC$77</f>
        <v>19.977201723420187</v>
      </c>
      <c r="AD26" s="13">
        <f>SUM($AC$26:$AC$26)</f>
        <v>19.977201723420187</v>
      </c>
      <c r="AE26" s="13">
        <v>0</v>
      </c>
      <c r="AF26" s="13">
        <v>0</v>
      </c>
      <c r="AG26" s="13">
        <f>SUM($AE$26:$AF$26)</f>
        <v>0</v>
      </c>
      <c r="AH26" s="13">
        <f>'TR TUSD'!$AH$26*'TR TUSD'!$AH$77</f>
        <v>0</v>
      </c>
      <c r="AI26" s="13">
        <f>'TR TUSD'!$AI$26*'TR TUSD'!$AI$77</f>
        <v>0</v>
      </c>
      <c r="AJ26" s="13">
        <f ca="1">'TR TUSD'!$AJ$26*'TR TUSD'!$AJ$77</f>
        <v>0</v>
      </c>
      <c r="AK26" s="13">
        <f ca="1">'TR TUSD'!$AK$26*'TR TUSD'!$AK$77</f>
        <v>0</v>
      </c>
      <c r="AL26" s="13">
        <f ca="1">SUM($AH$26:$AK$26)</f>
        <v>0</v>
      </c>
      <c r="AM26" s="13">
        <f ca="1">SUMIF($L$4:$AL$4,"SUBTOTAL",$L$26:$AL$26)</f>
        <v>20.237020058222619</v>
      </c>
      <c r="AP26" s="13"/>
    </row>
    <row r="27" spans="1:42" ht="11.25" customHeight="1" x14ac:dyDescent="0.25">
      <c r="A27" s="107"/>
      <c r="B27" s="107" t="s">
        <v>44</v>
      </c>
      <c r="C27" s="107" t="s">
        <v>25</v>
      </c>
      <c r="D27" s="107" t="s">
        <v>25</v>
      </c>
      <c r="E27" s="107" t="s">
        <v>25</v>
      </c>
      <c r="F27" s="107" t="s">
        <v>25</v>
      </c>
      <c r="G27" s="18" t="s">
        <v>9</v>
      </c>
      <c r="H27" s="18" t="s">
        <v>85</v>
      </c>
      <c r="I27" s="18">
        <f>'MERCADO TUSD'!$U$24</f>
        <v>1145356</v>
      </c>
      <c r="J27" s="15"/>
      <c r="L27" s="13">
        <f>'TR TUSD'!$L$27*'TR TUSD'!$L$77</f>
        <v>0</v>
      </c>
      <c r="M27" s="13">
        <f>'TR TUSD'!$M$27*'TR TUSD'!$M$77</f>
        <v>0</v>
      </c>
      <c r="N27" s="13">
        <f ca="1">'TR TUSD'!$N$27*'TR TUSD'!$N$77</f>
        <v>0</v>
      </c>
      <c r="O27" s="13">
        <f>'TR TUSD'!$O$27*'TR TUSD'!$O$77</f>
        <v>0</v>
      </c>
      <c r="P27" s="13">
        <f>'TR TUSD'!$P$27*'TR TUSD'!$P$77</f>
        <v>0</v>
      </c>
      <c r="Q27" s="13">
        <f>'TR TUSD'!$Q$27*'TR TUSD'!$Q$77</f>
        <v>0</v>
      </c>
      <c r="R27" s="13">
        <f>'TR TUSD'!$R$27*'TR TUSD'!$R$77</f>
        <v>0</v>
      </c>
      <c r="S27" s="13">
        <f>'TR TUSD'!$S$27*'TR TUSD'!$S$77</f>
        <v>0</v>
      </c>
      <c r="T27" s="13">
        <f ca="1">SUM($L$27:$S$27)</f>
        <v>0</v>
      </c>
      <c r="U27" s="13">
        <f>'TR TUSD'!$U$27*'TR TUSD'!$U$77</f>
        <v>2.4221004038348473</v>
      </c>
      <c r="V27" s="13">
        <f>'TR TUSD'!$V$27*'TR TUSD'!$V$77</f>
        <v>2.7922457104993716</v>
      </c>
      <c r="W27" s="13">
        <f>'TR TUSD'!$W$27*'TR TUSD'!$W$77</f>
        <v>0.29076439880085236</v>
      </c>
      <c r="X27" s="13">
        <f>'TR TUSD'!$X$27*'TR TUSD'!$X$77</f>
        <v>0</v>
      </c>
      <c r="Y27" s="13">
        <f>'TR TUSD'!$Y$27*'TR TUSD'!$Y$77</f>
        <v>0</v>
      </c>
      <c r="Z27" s="13">
        <f>'TR TUSD'!$Z$27</f>
        <v>0</v>
      </c>
      <c r="AA27" s="13">
        <f>'TR TUSD'!$AA$27</f>
        <v>0</v>
      </c>
      <c r="AB27" s="13">
        <f>SUM($U$27:$AA$27)</f>
        <v>5.5051105131350715</v>
      </c>
      <c r="AC27" s="13">
        <f>'TR TUSD'!$AC$27*'TR TUSD'!$AC$77</f>
        <v>16.148721105264418</v>
      </c>
      <c r="AD27" s="13">
        <f>SUM($AC$27:$AC$27)</f>
        <v>16.148721105264418</v>
      </c>
      <c r="AE27" s="13">
        <v>0</v>
      </c>
      <c r="AF27" s="13">
        <v>0</v>
      </c>
      <c r="AG27" s="13">
        <f>SUM($AE$27:$AF$27)</f>
        <v>0</v>
      </c>
      <c r="AH27" s="13">
        <f>'TR TUSD'!$AH$27*'TR TUSD'!$AH$77</f>
        <v>0</v>
      </c>
      <c r="AI27" s="13">
        <f>'TR TUSD'!$AI$27*'TR TUSD'!$AI$77</f>
        <v>0</v>
      </c>
      <c r="AJ27" s="13">
        <f ca="1">'TR TUSD'!$AJ$27*'TR TUSD'!$AJ$77</f>
        <v>0</v>
      </c>
      <c r="AK27" s="13">
        <f ca="1">'TR TUSD'!$AK$27*'TR TUSD'!$AK$77</f>
        <v>0</v>
      </c>
      <c r="AL27" s="13">
        <f ca="1">SUM($AH$27:$AK$27)</f>
        <v>0</v>
      </c>
      <c r="AM27" s="13">
        <f ca="1">SUMIF($L$4:$AL$4,"SUBTOTAL",$L$27:$AL$27)</f>
        <v>21.65383161839949</v>
      </c>
      <c r="AP27" s="13">
        <v>1</v>
      </c>
    </row>
    <row r="28" spans="1:42" ht="11.25" customHeight="1" x14ac:dyDescent="0.25">
      <c r="A28" s="107"/>
      <c r="B28" s="107"/>
      <c r="C28" s="107"/>
      <c r="D28" s="107"/>
      <c r="E28" s="107"/>
      <c r="F28" s="107"/>
      <c r="G28" s="18" t="s">
        <v>83</v>
      </c>
      <c r="H28" s="18" t="s">
        <v>82</v>
      </c>
      <c r="I28" s="18">
        <f>'MERCADO TUSD'!$U$25</f>
        <v>16471.927</v>
      </c>
      <c r="J28" s="15"/>
      <c r="L28" s="13">
        <f>'TR TUSD'!$L$28*'TR TUSD'!$L$77</f>
        <v>18.670130039006455</v>
      </c>
      <c r="M28" s="13">
        <f>'TR TUSD'!$M$28*'TR TUSD'!$M$77</f>
        <v>0.67311137823630429</v>
      </c>
      <c r="N28" s="13">
        <f ca="1">'TR TUSD'!$N$28*'TR TUSD'!$N$77</f>
        <v>14.395461006482718</v>
      </c>
      <c r="O28" s="13">
        <f>'TR TUSD'!$O$28*'TR TUSD'!$O$77</f>
        <v>0</v>
      </c>
      <c r="P28" s="13">
        <f>'TR TUSD'!$P$28*'TR TUSD'!$P$77</f>
        <v>0</v>
      </c>
      <c r="Q28" s="13">
        <f>'TR TUSD'!$Q$28*'TR TUSD'!$Q$77</f>
        <v>30.918732798477592</v>
      </c>
      <c r="R28" s="13">
        <f>'TR TUSD'!$R$28*'TR TUSD'!$R$77</f>
        <v>13.785929126696344</v>
      </c>
      <c r="S28" s="13">
        <f>'TR TUSD'!$S$28*'TR TUSD'!$S$77</f>
        <v>0</v>
      </c>
      <c r="T28" s="13">
        <f ca="1">SUM($L$28:$S$28)</f>
        <v>78.443364348899422</v>
      </c>
      <c r="U28" s="13">
        <f>'TR TUSD'!$U$28*'TR TUSD'!$U$77</f>
        <v>77.588556024877022</v>
      </c>
      <c r="V28" s="13">
        <f>'TR TUSD'!$V$28*'TR TUSD'!$V$77</f>
        <v>81.180195810074395</v>
      </c>
      <c r="W28" s="13">
        <f>'TR TUSD'!$W$28*'TR TUSD'!$W$77</f>
        <v>8.3699629439537908</v>
      </c>
      <c r="X28" s="13">
        <f>'TR TUSD'!$X$28*'TR TUSD'!$X$77</f>
        <v>0</v>
      </c>
      <c r="Y28" s="13">
        <f>'TR TUSD'!$Y$28*'TR TUSD'!$Y$77</f>
        <v>0</v>
      </c>
      <c r="Z28" s="13">
        <f>'TR TUSD'!$Z$28</f>
        <v>0</v>
      </c>
      <c r="AA28" s="13">
        <f>'TR TUSD'!$AA$28</f>
        <v>0</v>
      </c>
      <c r="AB28" s="13">
        <f>SUM($U$28:$AA$28)</f>
        <v>167.13871477890521</v>
      </c>
      <c r="AC28" s="13">
        <f>'TR TUSD'!$AC$28*'TR TUSD'!$AC$77</f>
        <v>1291.4996349270841</v>
      </c>
      <c r="AD28" s="13">
        <f>SUM($AC$28:$AC$28)</f>
        <v>1291.4996349270841</v>
      </c>
      <c r="AE28" s="13">
        <v>0</v>
      </c>
      <c r="AF28" s="13">
        <v>0</v>
      </c>
      <c r="AG28" s="13">
        <f>SUM($AE$28:$AF$28)</f>
        <v>0</v>
      </c>
      <c r="AH28" s="13">
        <f>'TR TUSD'!$AH$28*'TR TUSD'!$AH$77</f>
        <v>13.555933410576724</v>
      </c>
      <c r="AI28" s="13">
        <f>'TR TUSD'!$AI$28*'TR TUSD'!$AI$77</f>
        <v>0.62681370895386401</v>
      </c>
      <c r="AJ28" s="13">
        <f ca="1">'TR TUSD'!$AJ$28*'TR TUSD'!$AJ$77</f>
        <v>18.432729455340024</v>
      </c>
      <c r="AK28" s="13">
        <f ca="1">'TR TUSD'!$AK$28*'TR TUSD'!$AK$77</f>
        <v>8.068157750436372</v>
      </c>
      <c r="AL28" s="13">
        <f ca="1">SUM($AH$28:$AK$28)</f>
        <v>40.683634325306983</v>
      </c>
      <c r="AM28" s="13">
        <f ca="1">SUMIF($L$4:$AL$4,"SUBTOTAL",$L$28:$AL$28)</f>
        <v>1577.7653483801957</v>
      </c>
      <c r="AP28" s="13">
        <v>1</v>
      </c>
    </row>
    <row r="29" spans="1:42" ht="11.25" customHeight="1" x14ac:dyDescent="0.25">
      <c r="A29" s="107"/>
      <c r="B29" s="107"/>
      <c r="C29" s="107"/>
      <c r="D29" s="107"/>
      <c r="E29" s="107"/>
      <c r="F29" s="107"/>
      <c r="G29" s="18" t="s">
        <v>84</v>
      </c>
      <c r="H29" s="18" t="s">
        <v>82</v>
      </c>
      <c r="I29" s="18">
        <f>'MERCADO TUSD'!$U$26</f>
        <v>200863.93899999998</v>
      </c>
      <c r="J29" s="15"/>
      <c r="L29" s="13">
        <f>'TR TUSD'!$L$29*'TR TUSD'!$L$77</f>
        <v>18.670130039006455</v>
      </c>
      <c r="M29" s="13">
        <f>'TR TUSD'!$M$29*'TR TUSD'!$M$77</f>
        <v>0.67311137823630429</v>
      </c>
      <c r="N29" s="13">
        <f ca="1">'TR TUSD'!$N$29*'TR TUSD'!$N$77</f>
        <v>0.69317403046192105</v>
      </c>
      <c r="O29" s="13">
        <f>'TR TUSD'!$O$29*'TR TUSD'!$O$77</f>
        <v>0</v>
      </c>
      <c r="P29" s="13">
        <f>'TR TUSD'!$P$29*'TR TUSD'!$P$77</f>
        <v>0</v>
      </c>
      <c r="Q29" s="13">
        <f>'TR TUSD'!$Q$29*'TR TUSD'!$Q$77</f>
        <v>30.918732798477592</v>
      </c>
      <c r="R29" s="13">
        <f>'TR TUSD'!$R$29*'TR TUSD'!$R$77</f>
        <v>13.785929126696344</v>
      </c>
      <c r="S29" s="13">
        <f>'TR TUSD'!$S$29*'TR TUSD'!$S$77</f>
        <v>0</v>
      </c>
      <c r="T29" s="13">
        <f ca="1">SUM($L$29:$S$29)</f>
        <v>64.741077372878621</v>
      </c>
      <c r="U29" s="13">
        <f>'TR TUSD'!$U$29*'TR TUSD'!$U$77</f>
        <v>0</v>
      </c>
      <c r="V29" s="13">
        <f>'TR TUSD'!$V$29*'TR TUSD'!$V$77</f>
        <v>0</v>
      </c>
      <c r="W29" s="13">
        <f>'TR TUSD'!$W$29*'TR TUSD'!$W$77</f>
        <v>0</v>
      </c>
      <c r="X29" s="13">
        <f>'TR TUSD'!$X$29*'TR TUSD'!$X$77</f>
        <v>0</v>
      </c>
      <c r="Y29" s="13">
        <f>'TR TUSD'!$Y$29*'TR TUSD'!$Y$77</f>
        <v>0</v>
      </c>
      <c r="Z29" s="13">
        <f>'TR TUSD'!$Z$29</f>
        <v>0</v>
      </c>
      <c r="AA29" s="13">
        <f>'TR TUSD'!$AA$29</f>
        <v>0</v>
      </c>
      <c r="AB29" s="13">
        <f>SUM($U$29:$AA$29)</f>
        <v>0</v>
      </c>
      <c r="AC29" s="13">
        <f>'TR TUSD'!$AC$29*'TR TUSD'!$AC$77</f>
        <v>0</v>
      </c>
      <c r="AD29" s="13">
        <f>SUM($AC$29:$AC$29)</f>
        <v>0</v>
      </c>
      <c r="AE29" s="13">
        <v>0</v>
      </c>
      <c r="AF29" s="13">
        <v>0</v>
      </c>
      <c r="AG29" s="13">
        <f>SUM($AE$29:$AF$29)</f>
        <v>0</v>
      </c>
      <c r="AH29" s="13">
        <f>'TR TUSD'!$AH$29*'TR TUSD'!$AH$77</f>
        <v>13.555933410576724</v>
      </c>
      <c r="AI29" s="13">
        <f>'TR TUSD'!$AI$29*'TR TUSD'!$AI$77</f>
        <v>0.62681370895386401</v>
      </c>
      <c r="AJ29" s="13">
        <f ca="1">'TR TUSD'!$AJ$29*'TR TUSD'!$AJ$77</f>
        <v>18.432729455340024</v>
      </c>
      <c r="AK29" s="13">
        <f ca="1">'TR TUSD'!$AK$29*'TR TUSD'!$AK$77</f>
        <v>8.068157750436372</v>
      </c>
      <c r="AL29" s="13">
        <f ca="1">SUM($AH$29:$AK$29)</f>
        <v>40.683634325306983</v>
      </c>
      <c r="AM29" s="13">
        <f ca="1">SUMIF($L$4:$AL$4,"SUBTOTAL",$L$29:$AL$29)</f>
        <v>105.4247116981856</v>
      </c>
      <c r="AP29" s="13">
        <v>1</v>
      </c>
    </row>
    <row r="30" spans="1:42" ht="11.25" customHeight="1" x14ac:dyDescent="0.25">
      <c r="A30" s="107"/>
      <c r="B30" s="107"/>
      <c r="C30" s="107"/>
      <c r="D30" s="107"/>
      <c r="E30" s="107" t="s">
        <v>89</v>
      </c>
      <c r="F30" s="107" t="s">
        <v>25</v>
      </c>
      <c r="G30" s="18" t="s">
        <v>83</v>
      </c>
      <c r="H30" s="18" t="s">
        <v>82</v>
      </c>
      <c r="I30" s="18">
        <f>'MERCADO TUSD'!$U$27</f>
        <v>0</v>
      </c>
      <c r="J30" s="15"/>
      <c r="L30" s="13">
        <f>'TR TUSD'!$L$30*'TR TUSD'!$L$77</f>
        <v>0</v>
      </c>
      <c r="M30" s="13">
        <f>'TR TUSD'!$M$30*'TR TUSD'!$M$77</f>
        <v>0.67311137823630429</v>
      </c>
      <c r="N30" s="13">
        <f ca="1">'TR TUSD'!$N$30*'TR TUSD'!$N$77</f>
        <v>14.383987247516826</v>
      </c>
      <c r="O30" s="13">
        <f>'TR TUSD'!$O$30*'TR TUSD'!$O$77</f>
        <v>0</v>
      </c>
      <c r="P30" s="13">
        <f>'TR TUSD'!$P$30*'TR TUSD'!$P$77</f>
        <v>0</v>
      </c>
      <c r="Q30" s="13">
        <f>'TR TUSD'!$Q$30*'TR TUSD'!$Q$77</f>
        <v>0</v>
      </c>
      <c r="R30" s="13">
        <f>'TR TUSD'!$R$30*'TR TUSD'!$R$77</f>
        <v>0</v>
      </c>
      <c r="S30" s="13">
        <f>'TR TUSD'!$S$30*'TR TUSD'!$S$77</f>
        <v>0</v>
      </c>
      <c r="T30" s="13">
        <f ca="1">SUM($L$30:$S$30)</f>
        <v>15.057098625753131</v>
      </c>
      <c r="U30" s="13">
        <f>'TR TUSD'!$U$30*'TR TUSD'!$U$77</f>
        <v>77.588556024877022</v>
      </c>
      <c r="V30" s="13">
        <f>'TR TUSD'!$V$30*'TR TUSD'!$V$77</f>
        <v>81.180195810074395</v>
      </c>
      <c r="W30" s="13">
        <f>'TR TUSD'!$W$30*'TR TUSD'!$W$77</f>
        <v>8.3699629439537908</v>
      </c>
      <c r="X30" s="13">
        <f>'TR TUSD'!$X$30*'TR TUSD'!$X$77</f>
        <v>0</v>
      </c>
      <c r="Y30" s="13">
        <f>'TR TUSD'!$Y$30*'TR TUSD'!$Y$77</f>
        <v>0</v>
      </c>
      <c r="Z30" s="13">
        <f>'TR TUSD'!$Z$30</f>
        <v>0</v>
      </c>
      <c r="AA30" s="13">
        <f>'TR TUSD'!$AA$30</f>
        <v>0</v>
      </c>
      <c r="AB30" s="13">
        <f>SUM($U$30:$AA$30)</f>
        <v>167.13871477890521</v>
      </c>
      <c r="AC30" s="13">
        <f>'TR TUSD'!$AC$30*'TR TUSD'!$AC$77</f>
        <v>1291.4996349270841</v>
      </c>
      <c r="AD30" s="13">
        <f>SUM($AC$30:$AC$30)</f>
        <v>1291.4996349270841</v>
      </c>
      <c r="AE30" s="13">
        <v>0</v>
      </c>
      <c r="AF30" s="13">
        <v>0</v>
      </c>
      <c r="AG30" s="13">
        <f>SUM($AE$30:$AF$30)</f>
        <v>0</v>
      </c>
      <c r="AH30" s="13">
        <f>'TR TUSD'!$AH$30*'TR TUSD'!$AH$77</f>
        <v>13.555933410576724</v>
      </c>
      <c r="AI30" s="13">
        <f>'TR TUSD'!$AI$30*'TR TUSD'!$AI$77</f>
        <v>0.62681370895386401</v>
      </c>
      <c r="AJ30" s="13">
        <f ca="1">'TR TUSD'!$AJ$30*'TR TUSD'!$AJ$77</f>
        <v>18.432729455340024</v>
      </c>
      <c r="AK30" s="13">
        <f ca="1">'TR TUSD'!$AK$30*'TR TUSD'!$AK$77</f>
        <v>8.068157750436372</v>
      </c>
      <c r="AL30" s="13">
        <f ca="1">SUM($AH$30:$AK$30)</f>
        <v>40.683634325306983</v>
      </c>
      <c r="AM30" s="13">
        <f ca="1">SUMIF($L$4:$AL$4,"SUBTOTAL",$L$30:$AL$30)</f>
        <v>1514.3790826570494</v>
      </c>
      <c r="AP30" s="13">
        <v>1</v>
      </c>
    </row>
    <row r="31" spans="1:42" ht="11.25" customHeight="1" x14ac:dyDescent="0.25">
      <c r="A31" s="107"/>
      <c r="B31" s="107"/>
      <c r="C31" s="107"/>
      <c r="D31" s="107"/>
      <c r="E31" s="107"/>
      <c r="F31" s="107"/>
      <c r="G31" s="18" t="s">
        <v>84</v>
      </c>
      <c r="H31" s="18" t="s">
        <v>82</v>
      </c>
      <c r="I31" s="18">
        <f>'MERCADO TUSD'!$U$28</f>
        <v>0</v>
      </c>
      <c r="J31" s="15"/>
      <c r="L31" s="13">
        <f>'TR TUSD'!$L$31*'TR TUSD'!$L$77</f>
        <v>0</v>
      </c>
      <c r="M31" s="13">
        <f>'TR TUSD'!$M$31*'TR TUSD'!$M$77</f>
        <v>0.67311137823630429</v>
      </c>
      <c r="N31" s="13">
        <f ca="1">'TR TUSD'!$N$31*'TR TUSD'!$N$77</f>
        <v>0.68170027149602952</v>
      </c>
      <c r="O31" s="13">
        <f>'TR TUSD'!$O$31*'TR TUSD'!$O$77</f>
        <v>0</v>
      </c>
      <c r="P31" s="13">
        <f>'TR TUSD'!$P$31*'TR TUSD'!$P$77</f>
        <v>0</v>
      </c>
      <c r="Q31" s="13">
        <f>'TR TUSD'!$Q$31*'TR TUSD'!$Q$77</f>
        <v>0</v>
      </c>
      <c r="R31" s="13">
        <f>'TR TUSD'!$R$31*'TR TUSD'!$R$77</f>
        <v>0</v>
      </c>
      <c r="S31" s="13">
        <f>'TR TUSD'!$S$31*'TR TUSD'!$S$77</f>
        <v>0</v>
      </c>
      <c r="T31" s="13">
        <f ca="1">SUM($L$31:$S$31)</f>
        <v>1.3548116497323339</v>
      </c>
      <c r="U31" s="13">
        <f>'TR TUSD'!$U$31*'TR TUSD'!$U$77</f>
        <v>0</v>
      </c>
      <c r="V31" s="13">
        <f>'TR TUSD'!$V$31*'TR TUSD'!$V$77</f>
        <v>0</v>
      </c>
      <c r="W31" s="13">
        <f>'TR TUSD'!$W$31*'TR TUSD'!$W$77</f>
        <v>0</v>
      </c>
      <c r="X31" s="13">
        <f>'TR TUSD'!$X$31*'TR TUSD'!$X$77</f>
        <v>0</v>
      </c>
      <c r="Y31" s="13">
        <f>'TR TUSD'!$Y$31*'TR TUSD'!$Y$77</f>
        <v>0</v>
      </c>
      <c r="Z31" s="13">
        <f>'TR TUSD'!$Z$31</f>
        <v>0</v>
      </c>
      <c r="AA31" s="13">
        <f>'TR TUSD'!$AA$31</f>
        <v>0</v>
      </c>
      <c r="AB31" s="13">
        <f>SUM($U$31:$AA$31)</f>
        <v>0</v>
      </c>
      <c r="AC31" s="13">
        <f>'TR TUSD'!$AC$31*'TR TUSD'!$AC$77</f>
        <v>0</v>
      </c>
      <c r="AD31" s="13">
        <f>SUM($AC$31:$AC$31)</f>
        <v>0</v>
      </c>
      <c r="AE31" s="13">
        <v>0</v>
      </c>
      <c r="AF31" s="13">
        <v>0</v>
      </c>
      <c r="AG31" s="13">
        <f>SUM($AE$31:$AF$31)</f>
        <v>0</v>
      </c>
      <c r="AH31" s="13">
        <f>'TR TUSD'!$AH$31*'TR TUSD'!$AH$77</f>
        <v>13.555933410576724</v>
      </c>
      <c r="AI31" s="13">
        <f>'TR TUSD'!$AI$31*'TR TUSD'!$AI$77</f>
        <v>0.62681370895386401</v>
      </c>
      <c r="AJ31" s="13">
        <f ca="1">'TR TUSD'!$AJ$31*'TR TUSD'!$AJ$77</f>
        <v>18.432729455340024</v>
      </c>
      <c r="AK31" s="13">
        <f ca="1">'TR TUSD'!$AK$31*'TR TUSD'!$AK$77</f>
        <v>8.068157750436372</v>
      </c>
      <c r="AL31" s="13">
        <f ca="1">SUM($AH$31:$AK$31)</f>
        <v>40.683634325306983</v>
      </c>
      <c r="AM31" s="13">
        <f ca="1">SUMIF($L$4:$AL$4,"SUBTOTAL",$L$31:$AL$31)</f>
        <v>42.038445975039316</v>
      </c>
      <c r="AP31" s="13">
        <v>1</v>
      </c>
    </row>
    <row r="32" spans="1:42" ht="11.25" customHeight="1" x14ac:dyDescent="0.25">
      <c r="A32" s="107" t="s">
        <v>95</v>
      </c>
      <c r="B32" s="107" t="s">
        <v>91</v>
      </c>
      <c r="C32" s="107" t="s">
        <v>25</v>
      </c>
      <c r="D32" s="107" t="s">
        <v>25</v>
      </c>
      <c r="E32" s="17" t="s">
        <v>96</v>
      </c>
      <c r="F32" s="17" t="s">
        <v>25</v>
      </c>
      <c r="G32" s="18" t="s">
        <v>9</v>
      </c>
      <c r="H32" s="18" t="s">
        <v>85</v>
      </c>
      <c r="I32" s="18">
        <f>'MERCADO TUSD'!$U$29+0.00000001</f>
        <v>1E-8</v>
      </c>
      <c r="J32" s="15"/>
      <c r="L32" s="13">
        <f>'TR TUSD'!$L$32*'TR TUSD'!$L$77</f>
        <v>0</v>
      </c>
      <c r="M32" s="13">
        <f>'TR TUSD'!$M$32*'TR TUSD'!$M$77</f>
        <v>5.2040146611911961E-2</v>
      </c>
      <c r="N32" s="13">
        <f ca="1">'TR TUSD'!$N$32*'TR TUSD'!$N$77</f>
        <v>0.146749377173752</v>
      </c>
      <c r="O32" s="13">
        <f>'TR TUSD'!$O$32*'TR TUSD'!$O$77</f>
        <v>0</v>
      </c>
      <c r="P32" s="13">
        <f>'TR TUSD'!$P$32*'TR TUSD'!$P$77</f>
        <v>0</v>
      </c>
      <c r="Q32" s="13">
        <f>'TR TUSD'!$Q$32*'TR TUSD'!$Q$77</f>
        <v>0</v>
      </c>
      <c r="R32" s="13">
        <f>'TR TUSD'!$R$32*'TR TUSD'!$R$77</f>
        <v>0</v>
      </c>
      <c r="S32" s="13">
        <f>'TR TUSD'!$S$32*'TR TUSD'!$S$77</f>
        <v>0</v>
      </c>
      <c r="T32" s="13">
        <f ca="1">SUM($L$32:$S$32)</f>
        <v>0.19878952378566395</v>
      </c>
      <c r="U32" s="13">
        <f>'TR TUSD'!$U$32*'TR TUSD'!$U$77</f>
        <v>0</v>
      </c>
      <c r="V32" s="13">
        <f>'TR TUSD'!$V$32*'TR TUSD'!$V$77</f>
        <v>0</v>
      </c>
      <c r="W32" s="13">
        <f>'TR TUSD'!$W$32*'TR TUSD'!$W$77</f>
        <v>0</v>
      </c>
      <c r="X32" s="13">
        <f>'TR TUSD'!$X$32*'TR TUSD'!$X$77</f>
        <v>0</v>
      </c>
      <c r="Y32" s="13">
        <f>'TR TUSD'!$Y$32*'TR TUSD'!$Y$77</f>
        <v>0</v>
      </c>
      <c r="Z32" s="13">
        <f>'TR TUSD'!$Z$32*'TR TUSD'!$Z$77</f>
        <v>0</v>
      </c>
      <c r="AA32" s="13">
        <f>'TR TUSD'!$AA$32*'TR TUSD'!$AA$77</f>
        <v>0</v>
      </c>
      <c r="AB32" s="13">
        <f>SUM($U$32:$AA$32)</f>
        <v>0</v>
      </c>
      <c r="AC32" s="13">
        <f>'TR TUSD'!$AC$32*'TR TUSD'!$AC$77</f>
        <v>15.28583982741921</v>
      </c>
      <c r="AD32" s="13">
        <f>SUM($AC$32:$AC$32)</f>
        <v>15.28583982741921</v>
      </c>
      <c r="AE32" s="13">
        <v>0</v>
      </c>
      <c r="AF32" s="13">
        <v>0</v>
      </c>
      <c r="AG32" s="13">
        <f>SUM($AE$32:$AF$32)</f>
        <v>0</v>
      </c>
      <c r="AH32" s="13">
        <f>'TR TUSD'!$AH$32*'TR TUSD'!$AH$77</f>
        <v>0</v>
      </c>
      <c r="AI32" s="13">
        <f>'TR TUSD'!$AI$32*'TR TUSD'!$AI$77</f>
        <v>0</v>
      </c>
      <c r="AJ32" s="13">
        <f ca="1">'TR TUSD'!$AJ$32*'TR TUSD'!$AJ$77</f>
        <v>0</v>
      </c>
      <c r="AK32" s="13">
        <f ca="1">'TR TUSD'!$AK$32*'TR TUSD'!$AK$77</f>
        <v>0</v>
      </c>
      <c r="AL32" s="13">
        <f ca="1">SUM($AH$32:$AK$32)</f>
        <v>0</v>
      </c>
      <c r="AM32" s="13">
        <f ca="1">SUMIF($L$4:$AL$4,"SUBTOTAL",$L$32:$AL$32)</f>
        <v>15.484629351204873</v>
      </c>
      <c r="AP32" s="13"/>
    </row>
    <row r="33" spans="1:42" ht="11.25" customHeight="1" x14ac:dyDescent="0.25">
      <c r="A33" s="107"/>
      <c r="B33" s="107"/>
      <c r="C33" s="107"/>
      <c r="D33" s="107"/>
      <c r="E33" s="17" t="s">
        <v>97</v>
      </c>
      <c r="F33" s="17" t="s">
        <v>25</v>
      </c>
      <c r="G33" s="18" t="s">
        <v>9</v>
      </c>
      <c r="H33" s="18" t="s">
        <v>85</v>
      </c>
      <c r="I33" s="18">
        <f>'MERCADO TUSD'!$U$30+0.00000001</f>
        <v>1E-8</v>
      </c>
      <c r="J33" s="15"/>
      <c r="L33" s="13">
        <f>'TR TUSD'!$L$33*'TR TUSD'!$L$77</f>
        <v>0</v>
      </c>
      <c r="M33" s="13">
        <f>'TR TUSD'!$M$33*'TR TUSD'!$M$77</f>
        <v>5.2040146611911961E-2</v>
      </c>
      <c r="N33" s="13">
        <f ca="1">'TR TUSD'!$N$33*'TR TUSD'!$N$77</f>
        <v>0.146749377173752</v>
      </c>
      <c r="O33" s="13">
        <f>'TR TUSD'!$O$33*'TR TUSD'!$O$77</f>
        <v>0</v>
      </c>
      <c r="P33" s="13">
        <f>'TR TUSD'!$P$33*'TR TUSD'!$P$77</f>
        <v>0</v>
      </c>
      <c r="Q33" s="13">
        <f>'TR TUSD'!$Q$33*'TR TUSD'!$Q$77</f>
        <v>0</v>
      </c>
      <c r="R33" s="13">
        <f>'TR TUSD'!$R$33*'TR TUSD'!$R$77</f>
        <v>0</v>
      </c>
      <c r="S33" s="13">
        <f>'TR TUSD'!$S$33*'TR TUSD'!$S$77</f>
        <v>0</v>
      </c>
      <c r="T33" s="13">
        <f ca="1">SUM($L$33:$S$33)</f>
        <v>0.19878952378566395</v>
      </c>
      <c r="U33" s="13">
        <f>'TR TUSD'!$U$33*'TR TUSD'!$U$77</f>
        <v>0</v>
      </c>
      <c r="V33" s="13">
        <f>'TR TUSD'!$V$33*'TR TUSD'!$V$77</f>
        <v>0</v>
      </c>
      <c r="W33" s="13">
        <f>'TR TUSD'!$W$33*'TR TUSD'!$W$77</f>
        <v>0</v>
      </c>
      <c r="X33" s="13">
        <f>'TR TUSD'!$X$33*'TR TUSD'!$X$77</f>
        <v>0</v>
      </c>
      <c r="Y33" s="13">
        <f>'TR TUSD'!$Y$33*'TR TUSD'!$Y$77</f>
        <v>0</v>
      </c>
      <c r="Z33" s="13">
        <f>'TR TUSD'!$Z$33*'TR TUSD'!$Z$77</f>
        <v>0</v>
      </c>
      <c r="AA33" s="13">
        <f>'TR TUSD'!$AA$33*'TR TUSD'!$AA$77</f>
        <v>0</v>
      </c>
      <c r="AB33" s="13">
        <f>SUM($U$33:$AA$33)</f>
        <v>0</v>
      </c>
      <c r="AC33" s="13">
        <f>'TR TUSD'!$AC$33*'TR TUSD'!$AC$77</f>
        <v>34.223863666992152</v>
      </c>
      <c r="AD33" s="13">
        <f>SUM($AC$33:$AC$33)</f>
        <v>34.223863666992152</v>
      </c>
      <c r="AE33" s="13">
        <v>0</v>
      </c>
      <c r="AF33" s="13">
        <v>0</v>
      </c>
      <c r="AG33" s="13">
        <f>SUM($AE$33:$AF$33)</f>
        <v>0</v>
      </c>
      <c r="AH33" s="13">
        <f>'TR TUSD'!$AH$33*'TR TUSD'!$AH$77</f>
        <v>0</v>
      </c>
      <c r="AI33" s="13">
        <f>'TR TUSD'!$AI$33*'TR TUSD'!$AI$77</f>
        <v>0</v>
      </c>
      <c r="AJ33" s="13">
        <f ca="1">'TR TUSD'!$AJ$33*'TR TUSD'!$AJ$77</f>
        <v>0</v>
      </c>
      <c r="AK33" s="13">
        <f ca="1">'TR TUSD'!$AK$33*'TR TUSD'!$AK$77</f>
        <v>0</v>
      </c>
      <c r="AL33" s="13">
        <f ca="1">SUM($AH$33:$AK$33)</f>
        <v>0</v>
      </c>
      <c r="AM33" s="13">
        <f ca="1">SUMIF($L$4:$AL$4,"SUBTOTAL",$L$33:$AL$33)</f>
        <v>34.422653190777815</v>
      </c>
      <c r="AP33" s="13"/>
    </row>
    <row r="34" spans="1:42" ht="11.25" customHeight="1" x14ac:dyDescent="0.25">
      <c r="A34" s="107" t="s">
        <v>22</v>
      </c>
      <c r="B34" s="107" t="s">
        <v>35</v>
      </c>
      <c r="C34" s="107" t="s">
        <v>24</v>
      </c>
      <c r="D34" s="107" t="s">
        <v>24</v>
      </c>
      <c r="E34" s="107" t="s">
        <v>25</v>
      </c>
      <c r="F34" s="107" t="s">
        <v>25</v>
      </c>
      <c r="G34" s="18" t="s">
        <v>83</v>
      </c>
      <c r="H34" s="18" t="s">
        <v>82</v>
      </c>
      <c r="I34" s="18">
        <f>'MERCADO TUSD'!$U$31</f>
        <v>51.442999999999998</v>
      </c>
      <c r="J34" s="15"/>
      <c r="L34" s="13">
        <f>'TR TUSD'!$L$34*'TR TUSD'!$L$77</f>
        <v>22.226345284531497</v>
      </c>
      <c r="M34" s="13">
        <f>'TR TUSD'!$M$34*'TR TUSD'!$M$77</f>
        <v>1.2551665188977075</v>
      </c>
      <c r="N34" s="13">
        <f ca="1">'TR TUSD'!$N$34*'TR TUSD'!$N$77</f>
        <v>12.278477639816828</v>
      </c>
      <c r="O34" s="13">
        <f>'TR TUSD'!$O$34*'TR TUSD'!$O$77</f>
        <v>0</v>
      </c>
      <c r="P34" s="13">
        <f>'TR TUSD'!$P$34*'TR TUSD'!$P$77</f>
        <v>0</v>
      </c>
      <c r="Q34" s="13">
        <f>'TR TUSD'!$Q$34*'TR TUSD'!$Q$77</f>
        <v>36.808015236282849</v>
      </c>
      <c r="R34" s="13">
        <f>'TR TUSD'!$R$34*'TR TUSD'!$R$77</f>
        <v>13.785929126696344</v>
      </c>
      <c r="S34" s="13">
        <f>'TR TUSD'!$S$34*'TR TUSD'!$S$77</f>
        <v>0</v>
      </c>
      <c r="T34" s="13">
        <f ca="1">SUM($L$34:$S$34)</f>
        <v>86.353933806225228</v>
      </c>
      <c r="U34" s="13">
        <f>'TR TUSD'!$U$34*'TR TUSD'!$U$77</f>
        <v>44.420215559239651</v>
      </c>
      <c r="V34" s="13">
        <f>'TR TUSD'!$V$34*'TR TUSD'!$V$77</f>
        <v>48.383411661506337</v>
      </c>
      <c r="W34" s="13">
        <f>'TR TUSD'!$W$34*'TR TUSD'!$W$77</f>
        <v>5.0098095554890048</v>
      </c>
      <c r="X34" s="13">
        <f>'TR TUSD'!$X$34*'TR TUSD'!$X$77</f>
        <v>0</v>
      </c>
      <c r="Y34" s="13">
        <f>'TR TUSD'!$Y$34*'TR TUSD'!$Y$77</f>
        <v>0</v>
      </c>
      <c r="Z34" s="13">
        <f>'TR TUSD'!$Z$34</f>
        <v>0</v>
      </c>
      <c r="AA34" s="13">
        <f>'TR TUSD'!$AA$34</f>
        <v>0</v>
      </c>
      <c r="AB34" s="13">
        <f>SUM($U$34:$AA$34)</f>
        <v>97.813436776234994</v>
      </c>
      <c r="AC34" s="13">
        <f>'TR TUSD'!$AC$34*'TR TUSD'!$AC$77</f>
        <v>1076.2114521702699</v>
      </c>
      <c r="AD34" s="13">
        <f>SUM($AC$34:$AC$34)</f>
        <v>1076.2114521702699</v>
      </c>
      <c r="AE34" s="13">
        <v>0</v>
      </c>
      <c r="AF34" s="13">
        <v>0</v>
      </c>
      <c r="AG34" s="13">
        <f>SUM($AE$34:$AF$34)</f>
        <v>0</v>
      </c>
      <c r="AH34" s="13">
        <f>'TR TUSD'!$AH$34*'TR TUSD'!$AH$77</f>
        <v>29.024624262394088</v>
      </c>
      <c r="AI34" s="13">
        <f>'TR TUSD'!$AI$34*'TR TUSD'!$AI$77</f>
        <v>1.3420715367861593</v>
      </c>
      <c r="AJ34" s="13">
        <f ca="1">'TR TUSD'!$AJ$34*'TR TUSD'!$AJ$77</f>
        <v>28.039411748727275</v>
      </c>
      <c r="AK34" s="13">
        <f ca="1">'TR TUSD'!$AK$34*'TR TUSD'!$AK$77</f>
        <v>12.273081844242665</v>
      </c>
      <c r="AL34" s="13">
        <f ca="1">SUM($AH$34:$AK$34)</f>
        <v>70.679189392150192</v>
      </c>
      <c r="AM34" s="13">
        <f ca="1">SUMIF($L$4:$AL$4,"SUBTOTAL",$L$34:$AL$34)</f>
        <v>1331.0580121448804</v>
      </c>
      <c r="AP34" s="13">
        <v>1</v>
      </c>
    </row>
    <row r="35" spans="1:42" ht="11.25" customHeight="1" x14ac:dyDescent="0.25">
      <c r="A35" s="107"/>
      <c r="B35" s="107"/>
      <c r="C35" s="107"/>
      <c r="D35" s="107"/>
      <c r="E35" s="107"/>
      <c r="F35" s="107"/>
      <c r="G35" s="18" t="s">
        <v>98</v>
      </c>
      <c r="H35" s="18" t="s">
        <v>82</v>
      </c>
      <c r="I35" s="18">
        <f>'MERCADO TUSD'!$U$32</f>
        <v>16.948999999999998</v>
      </c>
      <c r="J35" s="15"/>
      <c r="L35" s="13">
        <f>'TR TUSD'!$L$35*'TR TUSD'!$L$77</f>
        <v>22.226345284531497</v>
      </c>
      <c r="M35" s="13">
        <f>'TR TUSD'!$M$35*'TR TUSD'!$M$77</f>
        <v>1.2551665188977075</v>
      </c>
      <c r="N35" s="13">
        <f ca="1">'TR TUSD'!$N$35*'TR TUSD'!$N$77</f>
        <v>7.8467783973976273</v>
      </c>
      <c r="O35" s="13">
        <f>'TR TUSD'!$O$35*'TR TUSD'!$O$77</f>
        <v>0</v>
      </c>
      <c r="P35" s="13">
        <f>'TR TUSD'!$P$35*'TR TUSD'!$P$77</f>
        <v>0</v>
      </c>
      <c r="Q35" s="13">
        <f>'TR TUSD'!$Q$35*'TR TUSD'!$Q$77</f>
        <v>36.808015236282849</v>
      </c>
      <c r="R35" s="13">
        <f>'TR TUSD'!$R$35*'TR TUSD'!$R$77</f>
        <v>13.785929126696344</v>
      </c>
      <c r="S35" s="13">
        <f>'TR TUSD'!$S$35*'TR TUSD'!$S$77</f>
        <v>0</v>
      </c>
      <c r="T35" s="13">
        <f ca="1">SUM($L$35:$S$35)</f>
        <v>81.922234563806029</v>
      </c>
      <c r="U35" s="13">
        <f>'TR TUSD'!$U$35*'TR TUSD'!$U$77</f>
        <v>26.65212933554379</v>
      </c>
      <c r="V35" s="13">
        <f>'TR TUSD'!$V$35*'TR TUSD'!$V$77</f>
        <v>29.030080993953799</v>
      </c>
      <c r="W35" s="13">
        <f>'TR TUSD'!$W$35*'TR TUSD'!$W$77</f>
        <v>3.0058532674159131</v>
      </c>
      <c r="X35" s="13">
        <f>'TR TUSD'!$X$35*'TR TUSD'!$X$77</f>
        <v>0</v>
      </c>
      <c r="Y35" s="13">
        <f>'TR TUSD'!$Y$35*'TR TUSD'!$Y$77</f>
        <v>0</v>
      </c>
      <c r="Z35" s="13">
        <f>'TR TUSD'!$Z$35</f>
        <v>0</v>
      </c>
      <c r="AA35" s="13">
        <f>'TR TUSD'!$AA$35</f>
        <v>0</v>
      </c>
      <c r="AB35" s="13">
        <f>SUM($U$35:$AA$35)</f>
        <v>58.688063596913508</v>
      </c>
      <c r="AC35" s="13">
        <f>'TR TUSD'!$AC$35*'TR TUSD'!$AC$77</f>
        <v>645.72694330894444</v>
      </c>
      <c r="AD35" s="13">
        <f>SUM($AC$35:$AC$35)</f>
        <v>645.72694330894444</v>
      </c>
      <c r="AE35" s="13">
        <v>0</v>
      </c>
      <c r="AF35" s="13">
        <v>0</v>
      </c>
      <c r="AG35" s="13">
        <f>SUM($AE$35:$AF$35)</f>
        <v>0</v>
      </c>
      <c r="AH35" s="13">
        <f>'TR TUSD'!$AH$35*'TR TUSD'!$AH$77</f>
        <v>29.024624262394088</v>
      </c>
      <c r="AI35" s="13">
        <f>'TR TUSD'!$AI$35*'TR TUSD'!$AI$77</f>
        <v>1.3420715367861593</v>
      </c>
      <c r="AJ35" s="13">
        <f ca="1">'TR TUSD'!$AJ$35*'TR TUSD'!$AJ$77</f>
        <v>28.039411748727275</v>
      </c>
      <c r="AK35" s="13">
        <f ca="1">'TR TUSD'!$AK$35*'TR TUSD'!$AK$77</f>
        <v>12.273081844242665</v>
      </c>
      <c r="AL35" s="13">
        <f ca="1">SUM($AH$35:$AK$35)</f>
        <v>70.679189392150192</v>
      </c>
      <c r="AM35" s="13">
        <f ca="1">SUMIF($L$4:$AL$4,"SUBTOTAL",$L$35:$AL$35)</f>
        <v>857.01643086181411</v>
      </c>
      <c r="AP35" s="13">
        <v>1</v>
      </c>
    </row>
    <row r="36" spans="1:42" ht="11.25" customHeight="1" x14ac:dyDescent="0.25">
      <c r="A36" s="107"/>
      <c r="B36" s="107"/>
      <c r="C36" s="107"/>
      <c r="D36" s="107"/>
      <c r="E36" s="107"/>
      <c r="F36" s="107"/>
      <c r="G36" s="18" t="s">
        <v>84</v>
      </c>
      <c r="H36" s="18" t="s">
        <v>82</v>
      </c>
      <c r="I36" s="18">
        <f>'MERCADO TUSD'!$U$33</f>
        <v>490.19600000000008</v>
      </c>
      <c r="J36" s="15"/>
      <c r="L36" s="13">
        <f>'TR TUSD'!$L$36*'TR TUSD'!$L$77</f>
        <v>22.226345284531497</v>
      </c>
      <c r="M36" s="13">
        <f>'TR TUSD'!$M$36*'TR TUSD'!$M$77</f>
        <v>1.2551665188977075</v>
      </c>
      <c r="N36" s="13">
        <f ca="1">'TR TUSD'!$N$36*'TR TUSD'!$N$77</f>
        <v>3.4150780076025256</v>
      </c>
      <c r="O36" s="13">
        <f>'TR TUSD'!$O$36*'TR TUSD'!$O$77</f>
        <v>0</v>
      </c>
      <c r="P36" s="13">
        <f>'TR TUSD'!$P$36*'TR TUSD'!$P$77</f>
        <v>0</v>
      </c>
      <c r="Q36" s="13">
        <f>'TR TUSD'!$Q$36*'TR TUSD'!$Q$77</f>
        <v>36.808015236282849</v>
      </c>
      <c r="R36" s="13">
        <f>'TR TUSD'!$R$36*'TR TUSD'!$R$77</f>
        <v>13.785929126696344</v>
      </c>
      <c r="S36" s="13">
        <f>'TR TUSD'!$S$36*'TR TUSD'!$S$77</f>
        <v>0</v>
      </c>
      <c r="T36" s="13">
        <f ca="1">SUM($L$36:$S$36)</f>
        <v>77.490534174010918</v>
      </c>
      <c r="U36" s="13">
        <f>'TR TUSD'!$U$36*'TR TUSD'!$U$77</f>
        <v>8.8840431118479302</v>
      </c>
      <c r="V36" s="13">
        <f>'TR TUSD'!$V$36*'TR TUSD'!$V$77</f>
        <v>9.6767503264012653</v>
      </c>
      <c r="W36" s="13">
        <f>'TR TUSD'!$W$36*'TR TUSD'!$W$77</f>
        <v>1.001896979342821</v>
      </c>
      <c r="X36" s="13">
        <f>'TR TUSD'!$X$36*'TR TUSD'!$X$77</f>
        <v>0</v>
      </c>
      <c r="Y36" s="13">
        <f>'TR TUSD'!$Y$36*'TR TUSD'!$Y$77</f>
        <v>0</v>
      </c>
      <c r="Z36" s="13">
        <f>'TR TUSD'!$Z$36</f>
        <v>0</v>
      </c>
      <c r="AA36" s="13">
        <f>'TR TUSD'!$AA$36</f>
        <v>0</v>
      </c>
      <c r="AB36" s="13">
        <f>SUM($U$36:$AA$36)</f>
        <v>19.562690417592016</v>
      </c>
      <c r="AC36" s="13">
        <f>'TR TUSD'!$AC$36*'TR TUSD'!$AC$77</f>
        <v>215.24231443631481</v>
      </c>
      <c r="AD36" s="13">
        <f>SUM($AC$36:$AC$36)</f>
        <v>215.24231443631481</v>
      </c>
      <c r="AE36" s="13">
        <v>0</v>
      </c>
      <c r="AF36" s="13">
        <v>0</v>
      </c>
      <c r="AG36" s="13">
        <f>SUM($AE$36:$AF$36)</f>
        <v>0</v>
      </c>
      <c r="AH36" s="13">
        <f>'TR TUSD'!$AH$36*'TR TUSD'!$AH$77</f>
        <v>29.024624262394088</v>
      </c>
      <c r="AI36" s="13">
        <f>'TR TUSD'!$AI$36*'TR TUSD'!$AI$77</f>
        <v>1.3420715367861593</v>
      </c>
      <c r="AJ36" s="13">
        <f ca="1">'TR TUSD'!$AJ$36*'TR TUSD'!$AJ$77</f>
        <v>28.039411748727275</v>
      </c>
      <c r="AK36" s="13">
        <f ca="1">'TR TUSD'!$AK$36*'TR TUSD'!$AK$77</f>
        <v>12.273081844242665</v>
      </c>
      <c r="AL36" s="13">
        <f ca="1">SUM($AH$36:$AK$36)</f>
        <v>70.679189392150192</v>
      </c>
      <c r="AM36" s="13">
        <f ca="1">SUMIF($L$4:$AL$4,"SUBTOTAL",$L$36:$AL$36)</f>
        <v>382.97472842006795</v>
      </c>
      <c r="AP36" s="13">
        <v>1</v>
      </c>
    </row>
    <row r="37" spans="1:42" ht="11.25" customHeight="1" x14ac:dyDescent="0.25">
      <c r="A37" s="107"/>
      <c r="B37" s="107" t="s">
        <v>23</v>
      </c>
      <c r="C37" s="107" t="s">
        <v>24</v>
      </c>
      <c r="D37" s="17" t="s">
        <v>24</v>
      </c>
      <c r="E37" s="17" t="s">
        <v>25</v>
      </c>
      <c r="F37" s="17" t="s">
        <v>25</v>
      </c>
      <c r="G37" s="18" t="s">
        <v>88</v>
      </c>
      <c r="H37" s="18" t="s">
        <v>82</v>
      </c>
      <c r="I37" s="18">
        <f>'MERCADO TUSD'!$U$34</f>
        <v>441318.25</v>
      </c>
      <c r="J37" s="15"/>
      <c r="L37" s="13">
        <f>'TR TUSD'!$L$37*'TR TUSD'!$L$77</f>
        <v>22.226345284531497</v>
      </c>
      <c r="M37" s="13">
        <f>'TR TUSD'!$M$37*'TR TUSD'!$M$77</f>
        <v>1.2551665188977075</v>
      </c>
      <c r="N37" s="13">
        <f ca="1">'TR TUSD'!$N$37*'TR TUSD'!$N$77</f>
        <v>4.7164512549041779</v>
      </c>
      <c r="O37" s="13">
        <f>'TR TUSD'!$O$37*'TR TUSD'!$O$77</f>
        <v>0</v>
      </c>
      <c r="P37" s="13">
        <f>'TR TUSD'!$P$37*'TR TUSD'!$P$77</f>
        <v>0</v>
      </c>
      <c r="Q37" s="13">
        <f>'TR TUSD'!$Q$37*'TR TUSD'!$Q$77</f>
        <v>36.808015236282849</v>
      </c>
      <c r="R37" s="13">
        <f>'TR TUSD'!$R$37*'TR TUSD'!$R$77</f>
        <v>13.785929126696344</v>
      </c>
      <c r="S37" s="13">
        <f>'TR TUSD'!$S$37*'TR TUSD'!$S$77</f>
        <v>0</v>
      </c>
      <c r="T37" s="13">
        <f ca="1">SUM($L$37:$S$37)</f>
        <v>78.791907421312573</v>
      </c>
      <c r="U37" s="13">
        <f>'TR TUSD'!$U$37*'TR TUSD'!$U$77</f>
        <v>14.101693530526136</v>
      </c>
      <c r="V37" s="13">
        <f>'TR TUSD'!$V$37*'TR TUSD'!$V$77</f>
        <v>15.359867189446453</v>
      </c>
      <c r="W37" s="13">
        <f>'TR TUSD'!$W$37*'TR TUSD'!$W$77</f>
        <v>1.5905033382373557</v>
      </c>
      <c r="X37" s="13">
        <f>'TR TUSD'!$X$37*'TR TUSD'!$X$77</f>
        <v>0</v>
      </c>
      <c r="Y37" s="13">
        <f>'TR TUSD'!$Y$37*'TR TUSD'!$Y$77</f>
        <v>0</v>
      </c>
      <c r="Z37" s="13">
        <f>'TR TUSD'!$Z$37</f>
        <v>0</v>
      </c>
      <c r="AA37" s="13">
        <f>'TR TUSD'!$AA$37</f>
        <v>0</v>
      </c>
      <c r="AB37" s="13">
        <f>SUM($U$37:$AA$37)</f>
        <v>31.052064058209943</v>
      </c>
      <c r="AC37" s="13">
        <f>'TR TUSD'!$AC$37*'TR TUSD'!$AC$77</f>
        <v>341.65442164063774</v>
      </c>
      <c r="AD37" s="13">
        <f>SUM($AC$37:$AC$37)</f>
        <v>341.65442164063774</v>
      </c>
      <c r="AE37" s="13">
        <v>0</v>
      </c>
      <c r="AF37" s="13">
        <v>0</v>
      </c>
      <c r="AG37" s="13">
        <f>SUM($AE$37:$AF$37)</f>
        <v>0</v>
      </c>
      <c r="AH37" s="13">
        <f>'TR TUSD'!$AH$37*'TR TUSD'!$AH$77</f>
        <v>29.024624262394088</v>
      </c>
      <c r="AI37" s="13">
        <f>'TR TUSD'!$AI$37*'TR TUSD'!$AI$77</f>
        <v>1.3420715367861593</v>
      </c>
      <c r="AJ37" s="13">
        <f ca="1">'TR TUSD'!$AJ$37*'TR TUSD'!$AJ$77</f>
        <v>28.039411748727275</v>
      </c>
      <c r="AK37" s="13">
        <f ca="1">'TR TUSD'!$AK$37*'TR TUSD'!$AK$77</f>
        <v>12.273081844242665</v>
      </c>
      <c r="AL37" s="13">
        <f ca="1">SUM($AH$37:$AK$37)</f>
        <v>70.679189392150192</v>
      </c>
      <c r="AM37" s="13">
        <f ca="1">SUMIF($L$4:$AL$4,"SUBTOTAL",$L$37:$AL$37)</f>
        <v>522.17758251231044</v>
      </c>
      <c r="AP37" s="13">
        <v>1</v>
      </c>
    </row>
    <row r="38" spans="1:42" ht="11.25" customHeight="1" x14ac:dyDescent="0.25">
      <c r="A38" s="107"/>
      <c r="B38" s="107"/>
      <c r="C38" s="107"/>
      <c r="D38" s="17" t="s">
        <v>31</v>
      </c>
      <c r="E38" s="17" t="s">
        <v>25</v>
      </c>
      <c r="F38" s="17" t="s">
        <v>25</v>
      </c>
      <c r="G38" s="18" t="s">
        <v>88</v>
      </c>
      <c r="H38" s="18" t="s">
        <v>82</v>
      </c>
      <c r="I38" s="18">
        <f>'MERCADO TUSD'!$U$35</f>
        <v>23008.194</v>
      </c>
      <c r="J38" s="15"/>
      <c r="L38" s="13">
        <f>'TR TUSD'!$L$38*'TR TUSD'!$L$77</f>
        <v>0</v>
      </c>
      <c r="M38" s="13">
        <f>'TR TUSD'!$M$38*'TR TUSD'!$M$77</f>
        <v>1.2551665188977075</v>
      </c>
      <c r="N38" s="13">
        <f ca="1">'TR TUSD'!$N$38*'TR TUSD'!$N$77</f>
        <v>4.7049774959382864</v>
      </c>
      <c r="O38" s="13">
        <f>'TR TUSD'!$O$38*'TR TUSD'!$O$77</f>
        <v>0</v>
      </c>
      <c r="P38" s="13">
        <f>'TR TUSD'!$P$38*'TR TUSD'!$P$77</f>
        <v>0</v>
      </c>
      <c r="Q38" s="13">
        <f>'TR TUSD'!$Q$38*'TR TUSD'!$Q$77</f>
        <v>0</v>
      </c>
      <c r="R38" s="13">
        <f>'TR TUSD'!$R$38*'TR TUSD'!$R$77</f>
        <v>0</v>
      </c>
      <c r="S38" s="13">
        <f>'TR TUSD'!$S$38*'TR TUSD'!$S$77</f>
        <v>0</v>
      </c>
      <c r="T38" s="13">
        <f ca="1">SUM($L$38:$S$38)</f>
        <v>5.9601440148359934</v>
      </c>
      <c r="U38" s="13">
        <f>'TR TUSD'!$U$38*'TR TUSD'!$U$77</f>
        <v>14.101693530526136</v>
      </c>
      <c r="V38" s="13">
        <f>'TR TUSD'!$V$38*'TR TUSD'!$V$77</f>
        <v>15.359867189446453</v>
      </c>
      <c r="W38" s="13">
        <f>'TR TUSD'!$W$38*'TR TUSD'!$W$77</f>
        <v>1.5905033382373557</v>
      </c>
      <c r="X38" s="13">
        <f>'TR TUSD'!$X$38*'TR TUSD'!$X$77</f>
        <v>0</v>
      </c>
      <c r="Y38" s="13">
        <f>'TR TUSD'!$Y$38*'TR TUSD'!$Y$77</f>
        <v>0</v>
      </c>
      <c r="Z38" s="13">
        <f>'TR TUSD'!$Z$38</f>
        <v>0</v>
      </c>
      <c r="AA38" s="13">
        <f>'TR TUSD'!$AA$38</f>
        <v>0</v>
      </c>
      <c r="AB38" s="13">
        <f>SUM($U$38:$AA$38)</f>
        <v>31.052064058209943</v>
      </c>
      <c r="AC38" s="13">
        <f>'TR TUSD'!$AC$38*'TR TUSD'!$AC$77</f>
        <v>341.65442164063774</v>
      </c>
      <c r="AD38" s="13">
        <f>SUM($AC$38:$AC$38)</f>
        <v>341.65442164063774</v>
      </c>
      <c r="AE38" s="13">
        <v>0</v>
      </c>
      <c r="AF38" s="13">
        <v>0</v>
      </c>
      <c r="AG38" s="13">
        <f>SUM($AE$38:$AF$38)</f>
        <v>0</v>
      </c>
      <c r="AH38" s="13">
        <f>'TR TUSD'!$AH$38*'TR TUSD'!$AH$77</f>
        <v>29.024624262394088</v>
      </c>
      <c r="AI38" s="13">
        <f>'TR TUSD'!$AI$38*'TR TUSD'!$AI$77</f>
        <v>1.3420715367861593</v>
      </c>
      <c r="AJ38" s="13">
        <f ca="1">'TR TUSD'!$AJ$38*'TR TUSD'!$AJ$77</f>
        <v>28.039411748727275</v>
      </c>
      <c r="AK38" s="13">
        <f ca="1">'TR TUSD'!$AK$38*'TR TUSD'!$AK$77</f>
        <v>12.273081844242665</v>
      </c>
      <c r="AL38" s="13">
        <f ca="1">SUM($AH$38:$AK$38)</f>
        <v>70.679189392150192</v>
      </c>
      <c r="AM38" s="13">
        <f ca="1">SUMIF($L$4:$AL$4,"SUBTOTAL",$L$38:$AL$38)</f>
        <v>449.34581910583387</v>
      </c>
      <c r="AP38" s="13">
        <f>IF((1 - CUSTOS!$M$24)&lt;&gt;0,1/(1 - CUSTOS!$M$24),1)</f>
        <v>1</v>
      </c>
    </row>
    <row r="39" spans="1:42" ht="11.25" customHeight="1" x14ac:dyDescent="0.25">
      <c r="A39" s="107"/>
      <c r="B39" s="107"/>
      <c r="C39" s="107"/>
      <c r="D39" s="17" t="s">
        <v>32</v>
      </c>
      <c r="E39" s="17" t="s">
        <v>25</v>
      </c>
      <c r="F39" s="17" t="s">
        <v>25</v>
      </c>
      <c r="G39" s="18" t="s">
        <v>88</v>
      </c>
      <c r="H39" s="18" t="s">
        <v>82</v>
      </c>
      <c r="I39" s="18">
        <f>'MERCADO TUSD'!$U$36</f>
        <v>43669.588000000003</v>
      </c>
      <c r="J39" s="15"/>
      <c r="L39" s="13">
        <f>'TR TUSD'!$L$39*'TR TUSD'!$L$77</f>
        <v>0</v>
      </c>
      <c r="M39" s="13">
        <f>'TR TUSD'!$M$39*'TR TUSD'!$M$77</f>
        <v>1.2551665188977075</v>
      </c>
      <c r="N39" s="13">
        <f ca="1">'TR TUSD'!$N$39*'TR TUSD'!$N$77</f>
        <v>4.7049774959382864</v>
      </c>
      <c r="O39" s="13">
        <f>'TR TUSD'!$O$39*'TR TUSD'!$O$77</f>
        <v>0</v>
      </c>
      <c r="P39" s="13">
        <f>'TR TUSD'!$P$39*'TR TUSD'!$P$77</f>
        <v>0</v>
      </c>
      <c r="Q39" s="13">
        <f>'TR TUSD'!$Q$39*'TR TUSD'!$Q$77</f>
        <v>0</v>
      </c>
      <c r="R39" s="13">
        <f>'TR TUSD'!$R$39*'TR TUSD'!$R$77</f>
        <v>0</v>
      </c>
      <c r="S39" s="13">
        <f>'TR TUSD'!$S$39*'TR TUSD'!$S$77</f>
        <v>0</v>
      </c>
      <c r="T39" s="13">
        <f ca="1">SUM($L$39:$S$39)</f>
        <v>5.9601440148359934</v>
      </c>
      <c r="U39" s="13">
        <f>'TR TUSD'!$U$39*'TR TUSD'!$U$77</f>
        <v>14.101693530526136</v>
      </c>
      <c r="V39" s="13">
        <f>'TR TUSD'!$V$39*'TR TUSD'!$V$77</f>
        <v>15.359867189446453</v>
      </c>
      <c r="W39" s="13">
        <f>'TR TUSD'!$W$39*'TR TUSD'!$W$77</f>
        <v>1.5905033382373557</v>
      </c>
      <c r="X39" s="13">
        <f>'TR TUSD'!$X$39*'TR TUSD'!$X$77</f>
        <v>0</v>
      </c>
      <c r="Y39" s="13">
        <f>'TR TUSD'!$Y$39*'TR TUSD'!$Y$77</f>
        <v>0</v>
      </c>
      <c r="Z39" s="13">
        <f>'TR TUSD'!$Z$39</f>
        <v>0</v>
      </c>
      <c r="AA39" s="13">
        <f>'TR TUSD'!$AA$39</f>
        <v>0</v>
      </c>
      <c r="AB39" s="13">
        <f>SUM($U$39:$AA$39)</f>
        <v>31.052064058209943</v>
      </c>
      <c r="AC39" s="13">
        <f>'TR TUSD'!$AC$39*'TR TUSD'!$AC$77</f>
        <v>341.65442164063774</v>
      </c>
      <c r="AD39" s="13">
        <f>SUM($AC$39:$AC$39)</f>
        <v>341.65442164063774</v>
      </c>
      <c r="AE39" s="13">
        <v>0</v>
      </c>
      <c r="AF39" s="13">
        <v>0</v>
      </c>
      <c r="AG39" s="13">
        <f>SUM($AE$39:$AF$39)</f>
        <v>0</v>
      </c>
      <c r="AH39" s="13">
        <f>'TR TUSD'!$AH$39*'TR TUSD'!$AH$77</f>
        <v>29.024624262394088</v>
      </c>
      <c r="AI39" s="13">
        <f>'TR TUSD'!$AI$39*'TR TUSD'!$AI$77</f>
        <v>1.3420715367861593</v>
      </c>
      <c r="AJ39" s="13">
        <f ca="1">'TR TUSD'!$AJ$39*'TR TUSD'!$AJ$77</f>
        <v>28.039411748727275</v>
      </c>
      <c r="AK39" s="13">
        <f ca="1">'TR TUSD'!$AK$39*'TR TUSD'!$AK$77</f>
        <v>12.273081844242665</v>
      </c>
      <c r="AL39" s="13">
        <f ca="1">SUM($AH$39:$AK$39)</f>
        <v>70.679189392150192</v>
      </c>
      <c r="AM39" s="13">
        <f ca="1">SUMIF($L$4:$AL$4,"SUBTOTAL",$L$39:$AL$39)</f>
        <v>449.34581910583387</v>
      </c>
      <c r="AP39" s="13">
        <f>IF((1 - CUSTOS!$M$25)&lt;&gt;0,1/(1 - CUSTOS!$M$25),1)</f>
        <v>1</v>
      </c>
    </row>
    <row r="40" spans="1:42" ht="11.25" customHeight="1" x14ac:dyDescent="0.25">
      <c r="A40" s="107"/>
      <c r="B40" s="107"/>
      <c r="C40" s="107"/>
      <c r="D40" s="17" t="s">
        <v>33</v>
      </c>
      <c r="E40" s="17" t="s">
        <v>25</v>
      </c>
      <c r="F40" s="17" t="s">
        <v>25</v>
      </c>
      <c r="G40" s="18" t="s">
        <v>88</v>
      </c>
      <c r="H40" s="18" t="s">
        <v>82</v>
      </c>
      <c r="I40" s="18">
        <f>'MERCADO TUSD'!$U$37</f>
        <v>35563.447</v>
      </c>
      <c r="J40" s="15"/>
      <c r="L40" s="13">
        <f>'TR TUSD'!$L$40*'TR TUSD'!$L$77</f>
        <v>0</v>
      </c>
      <c r="M40" s="13">
        <f>'TR TUSD'!$M$40*'TR TUSD'!$M$77</f>
        <v>1.2551665188977075</v>
      </c>
      <c r="N40" s="13">
        <f ca="1">'TR TUSD'!$N$40*'TR TUSD'!$N$77</f>
        <v>4.7049774959382864</v>
      </c>
      <c r="O40" s="13">
        <f>'TR TUSD'!$O$40*'TR TUSD'!$O$77</f>
        <v>0</v>
      </c>
      <c r="P40" s="13">
        <f>'TR TUSD'!$P$40*'TR TUSD'!$P$77</f>
        <v>0</v>
      </c>
      <c r="Q40" s="13">
        <f>'TR TUSD'!$Q$40*'TR TUSD'!$Q$77</f>
        <v>0</v>
      </c>
      <c r="R40" s="13">
        <f>'TR TUSD'!$R$40*'TR TUSD'!$R$77</f>
        <v>0</v>
      </c>
      <c r="S40" s="13">
        <f>'TR TUSD'!$S$40*'TR TUSD'!$S$77</f>
        <v>0</v>
      </c>
      <c r="T40" s="13">
        <f ca="1">SUM($L$40:$S$40)</f>
        <v>5.9601440148359934</v>
      </c>
      <c r="U40" s="13">
        <f>'TR TUSD'!$U$40*'TR TUSD'!$U$77</f>
        <v>14.101693530526136</v>
      </c>
      <c r="V40" s="13">
        <f>'TR TUSD'!$V$40*'TR TUSD'!$V$77</f>
        <v>15.359867189446453</v>
      </c>
      <c r="W40" s="13">
        <f>'TR TUSD'!$W$40*'TR TUSD'!$W$77</f>
        <v>1.5905033382373557</v>
      </c>
      <c r="X40" s="13">
        <f>'TR TUSD'!$X$40*'TR TUSD'!$X$77</f>
        <v>0</v>
      </c>
      <c r="Y40" s="13">
        <f>'TR TUSD'!$Y$40*'TR TUSD'!$Y$77</f>
        <v>0</v>
      </c>
      <c r="Z40" s="13">
        <f>'TR TUSD'!$Z$40</f>
        <v>0</v>
      </c>
      <c r="AA40" s="13">
        <f>'TR TUSD'!$AA$40</f>
        <v>0</v>
      </c>
      <c r="AB40" s="13">
        <f>SUM($U$40:$AA$40)</f>
        <v>31.052064058209943</v>
      </c>
      <c r="AC40" s="13">
        <f>'TR TUSD'!$AC$40*'TR TUSD'!$AC$77</f>
        <v>341.65442164063774</v>
      </c>
      <c r="AD40" s="13">
        <f>SUM($AC$40:$AC$40)</f>
        <v>341.65442164063774</v>
      </c>
      <c r="AE40" s="13">
        <v>0</v>
      </c>
      <c r="AF40" s="13">
        <v>0</v>
      </c>
      <c r="AG40" s="13">
        <f>SUM($AE$40:$AF$40)</f>
        <v>0</v>
      </c>
      <c r="AH40" s="13">
        <f>'TR TUSD'!$AH$40*'TR TUSD'!$AH$77</f>
        <v>29.024624262394088</v>
      </c>
      <c r="AI40" s="13">
        <f>'TR TUSD'!$AI$40*'TR TUSD'!$AI$77</f>
        <v>1.3420715367861593</v>
      </c>
      <c r="AJ40" s="13">
        <f ca="1">'TR TUSD'!$AJ$40*'TR TUSD'!$AJ$77</f>
        <v>28.039411748727275</v>
      </c>
      <c r="AK40" s="13">
        <f ca="1">'TR TUSD'!$AK$40*'TR TUSD'!$AK$77</f>
        <v>12.273081844242665</v>
      </c>
      <c r="AL40" s="13">
        <f ca="1">SUM($AH$40:$AK$40)</f>
        <v>70.679189392150192</v>
      </c>
      <c r="AM40" s="13">
        <f ca="1">SUMIF($L$4:$AL$4,"SUBTOTAL",$L$40:$AL$40)</f>
        <v>449.34581910583387</v>
      </c>
      <c r="AP40" s="13">
        <f>IF((1 - CUSTOS!$M$26)&lt;&gt;0,1/(1 - CUSTOS!$M$26),1)</f>
        <v>1</v>
      </c>
    </row>
    <row r="41" spans="1:42" ht="11.25" customHeight="1" x14ac:dyDescent="0.25">
      <c r="A41" s="107"/>
      <c r="B41" s="107"/>
      <c r="C41" s="107"/>
      <c r="D41" s="17" t="s">
        <v>34</v>
      </c>
      <c r="E41" s="17" t="s">
        <v>25</v>
      </c>
      <c r="F41" s="17" t="s">
        <v>25</v>
      </c>
      <c r="G41" s="18" t="s">
        <v>88</v>
      </c>
      <c r="H41" s="18" t="s">
        <v>82</v>
      </c>
      <c r="I41" s="18">
        <f>'MERCADO TUSD'!$U$38</f>
        <v>18122.502</v>
      </c>
      <c r="J41" s="15"/>
      <c r="L41" s="13">
        <f>'TR TUSD'!$L$41*'TR TUSD'!$L$77</f>
        <v>0</v>
      </c>
      <c r="M41" s="13">
        <f>'TR TUSD'!$M$41*'TR TUSD'!$M$77</f>
        <v>1.2551665188977075</v>
      </c>
      <c r="N41" s="13">
        <f ca="1">'TR TUSD'!$N$41*'TR TUSD'!$N$77</f>
        <v>4.7049774959382864</v>
      </c>
      <c r="O41" s="13">
        <f>'TR TUSD'!$O$41*'TR TUSD'!$O$77</f>
        <v>0</v>
      </c>
      <c r="P41" s="13">
        <f>'TR TUSD'!$P$41*'TR TUSD'!$P$77</f>
        <v>0</v>
      </c>
      <c r="Q41" s="13">
        <f>'TR TUSD'!$Q$41*'TR TUSD'!$Q$77</f>
        <v>0</v>
      </c>
      <c r="R41" s="13">
        <f>'TR TUSD'!$R$41*'TR TUSD'!$R$77</f>
        <v>0</v>
      </c>
      <c r="S41" s="13">
        <f>'TR TUSD'!$S$41*'TR TUSD'!$S$77</f>
        <v>0</v>
      </c>
      <c r="T41" s="13">
        <f ca="1">SUM($L$41:$S$41)</f>
        <v>5.9601440148359934</v>
      </c>
      <c r="U41" s="13">
        <f>'TR TUSD'!$U$41*'TR TUSD'!$U$77</f>
        <v>14.101693530526136</v>
      </c>
      <c r="V41" s="13">
        <f>'TR TUSD'!$V$41*'TR TUSD'!$V$77</f>
        <v>15.359867189446453</v>
      </c>
      <c r="W41" s="13">
        <f>'TR TUSD'!$W$41*'TR TUSD'!$W$77</f>
        <v>1.5905033382373557</v>
      </c>
      <c r="X41" s="13">
        <f>'TR TUSD'!$X$41*'TR TUSD'!$X$77</f>
        <v>0</v>
      </c>
      <c r="Y41" s="13">
        <f>'TR TUSD'!$Y$41*'TR TUSD'!$Y$77</f>
        <v>0</v>
      </c>
      <c r="Z41" s="13">
        <f>'TR TUSD'!$Z$41</f>
        <v>0</v>
      </c>
      <c r="AA41" s="13">
        <f>'TR TUSD'!$AA$41</f>
        <v>0</v>
      </c>
      <c r="AB41" s="13">
        <f>SUM($U$41:$AA$41)</f>
        <v>31.052064058209943</v>
      </c>
      <c r="AC41" s="13">
        <f>'TR TUSD'!$AC$41*'TR TUSD'!$AC$77</f>
        <v>341.65442164063774</v>
      </c>
      <c r="AD41" s="13">
        <f>SUM($AC$41:$AC$41)</f>
        <v>341.65442164063774</v>
      </c>
      <c r="AE41" s="13">
        <v>0</v>
      </c>
      <c r="AF41" s="13">
        <v>0</v>
      </c>
      <c r="AG41" s="13">
        <f>SUM($AE$41:$AF$41)</f>
        <v>0</v>
      </c>
      <c r="AH41" s="13">
        <f>'TR TUSD'!$AH$41*'TR TUSD'!$AH$77</f>
        <v>29.024624262394088</v>
      </c>
      <c r="AI41" s="13">
        <f>'TR TUSD'!$AI$41*'TR TUSD'!$AI$77</f>
        <v>1.3420715367861593</v>
      </c>
      <c r="AJ41" s="13">
        <f ca="1">'TR TUSD'!$AJ$41*'TR TUSD'!$AJ$77</f>
        <v>28.039411748727275</v>
      </c>
      <c r="AK41" s="13">
        <f ca="1">'TR TUSD'!$AK$41*'TR TUSD'!$AK$77</f>
        <v>12.273081844242665</v>
      </c>
      <c r="AL41" s="13">
        <f ca="1">SUM($AH$41:$AK$41)</f>
        <v>70.679189392150192</v>
      </c>
      <c r="AM41" s="13">
        <f ca="1">SUMIF($L$4:$AL$4,"SUBTOTAL",$L$41:$AL$41)</f>
        <v>449.34581910583387</v>
      </c>
      <c r="AP41" s="13">
        <f>IF((1 - CUSTOS!$M$27)&lt;&gt;0,1/(1 - CUSTOS!$M$27),1)</f>
        <v>1</v>
      </c>
    </row>
    <row r="42" spans="1:42" ht="11.25" customHeight="1" x14ac:dyDescent="0.25">
      <c r="A42" s="107"/>
      <c r="B42" s="107" t="s">
        <v>100</v>
      </c>
      <c r="C42" s="107" t="s">
        <v>24</v>
      </c>
      <c r="D42" s="17" t="s">
        <v>24</v>
      </c>
      <c r="E42" s="17" t="s">
        <v>25</v>
      </c>
      <c r="F42" s="17" t="s">
        <v>25</v>
      </c>
      <c r="G42" s="18" t="s">
        <v>88</v>
      </c>
      <c r="H42" s="18" t="s">
        <v>82</v>
      </c>
      <c r="I42" s="18">
        <f>'MERCADO TUSD'!$U$39</f>
        <v>0</v>
      </c>
      <c r="J42" s="15"/>
      <c r="L42" s="13">
        <f>'TR TUSD'!$L$42*'TR TUSD'!$L$77</f>
        <v>22.226345284531497</v>
      </c>
      <c r="M42" s="13">
        <f>'TR TUSD'!$M$42*'TR TUSD'!$M$77</f>
        <v>1.2551665188977075</v>
      </c>
      <c r="N42" s="13">
        <f ca="1">'TR TUSD'!$N$42*'TR TUSD'!$N$77</f>
        <v>4.7164512549041779</v>
      </c>
      <c r="O42" s="13">
        <f>'TR TUSD'!$O$42*'TR TUSD'!$O$77</f>
        <v>0</v>
      </c>
      <c r="P42" s="13">
        <f>'TR TUSD'!$P$42*'TR TUSD'!$P$77</f>
        <v>0</v>
      </c>
      <c r="Q42" s="13">
        <f>'TR TUSD'!$Q$42*'TR TUSD'!$Q$77</f>
        <v>36.808015236282849</v>
      </c>
      <c r="R42" s="13">
        <f>'TR TUSD'!$R$42*'TR TUSD'!$R$77</f>
        <v>13.785929126696344</v>
      </c>
      <c r="S42" s="13">
        <f>'TR TUSD'!$S$42*'TR TUSD'!$S$77</f>
        <v>0</v>
      </c>
      <c r="T42" s="13">
        <f ca="1">SUM($L$42:$S$42)</f>
        <v>78.791907421312573</v>
      </c>
      <c r="U42" s="13">
        <f>'TR TUSD'!$U$42*'TR TUSD'!$U$77</f>
        <v>14.101693530526136</v>
      </c>
      <c r="V42" s="13">
        <f>'TR TUSD'!$V$42*'TR TUSD'!$V$77</f>
        <v>15.359867189446453</v>
      </c>
      <c r="W42" s="13">
        <f>'TR TUSD'!$W$42*'TR TUSD'!$W$77</f>
        <v>1.5905033382373557</v>
      </c>
      <c r="X42" s="13">
        <f>'TR TUSD'!$X$42*'TR TUSD'!$X$77</f>
        <v>0</v>
      </c>
      <c r="Y42" s="13">
        <f>'TR TUSD'!$Y$42*'TR TUSD'!$Y$77</f>
        <v>0</v>
      </c>
      <c r="Z42" s="13">
        <f>'TR TUSD'!$Z$42</f>
        <v>0</v>
      </c>
      <c r="AA42" s="13">
        <f>'TR TUSD'!$AA$42</f>
        <v>0</v>
      </c>
      <c r="AB42" s="13">
        <f>SUM($U$42:$AA$42)</f>
        <v>31.052064058209943</v>
      </c>
      <c r="AC42" s="13">
        <f>'TR TUSD'!$AC$42*'TR TUSD'!$AC$77</f>
        <v>341.65442164063774</v>
      </c>
      <c r="AD42" s="13">
        <f>SUM($AC$42:$AC$42)</f>
        <v>341.65442164063774</v>
      </c>
      <c r="AE42" s="13">
        <v>0</v>
      </c>
      <c r="AF42" s="13">
        <v>0</v>
      </c>
      <c r="AG42" s="13">
        <f>SUM($AE$42:$AF$42)</f>
        <v>0</v>
      </c>
      <c r="AH42" s="13">
        <f>'TR TUSD'!$AH$42*'TR TUSD'!$AH$77</f>
        <v>29.024624262394088</v>
      </c>
      <c r="AI42" s="13">
        <f>'TR TUSD'!$AI$42*'TR TUSD'!$AI$77</f>
        <v>1.3420715367861593</v>
      </c>
      <c r="AJ42" s="13">
        <f ca="1">'TR TUSD'!$AJ$42*'TR TUSD'!$AJ$77</f>
        <v>28.039411748727275</v>
      </c>
      <c r="AK42" s="13">
        <f ca="1">'TR TUSD'!$AK$42*'TR TUSD'!$AK$77</f>
        <v>12.273081844242665</v>
      </c>
      <c r="AL42" s="13">
        <f ca="1">SUM($AH$42:$AK$42)</f>
        <v>70.679189392150192</v>
      </c>
      <c r="AM42" s="13">
        <f ca="1">SUMIF($L$4:$AL$4,"SUBTOTAL",$L$42:$AL$42)</f>
        <v>522.17758251231044</v>
      </c>
      <c r="AP42" s="13">
        <v>1</v>
      </c>
    </row>
    <row r="43" spans="1:42" ht="11.25" customHeight="1" x14ac:dyDescent="0.25">
      <c r="A43" s="107"/>
      <c r="B43" s="107"/>
      <c r="C43" s="107"/>
      <c r="D43" s="17" t="s">
        <v>31</v>
      </c>
      <c r="E43" s="17" t="s">
        <v>25</v>
      </c>
      <c r="F43" s="17" t="s">
        <v>25</v>
      </c>
      <c r="G43" s="18" t="s">
        <v>88</v>
      </c>
      <c r="H43" s="18" t="s">
        <v>82</v>
      </c>
      <c r="I43" s="18">
        <f>'MERCADO TUSD'!$U$40</f>
        <v>0</v>
      </c>
      <c r="J43" s="15"/>
      <c r="L43" s="13">
        <f>'TR TUSD'!$L$43*'TR TUSD'!$L$77</f>
        <v>0</v>
      </c>
      <c r="M43" s="13">
        <f>'TR TUSD'!$M$43*'TR TUSD'!$M$77</f>
        <v>1.2551665188977075</v>
      </c>
      <c r="N43" s="13">
        <f ca="1">'TR TUSD'!$N$43*'TR TUSD'!$N$77</f>
        <v>4.7049774959382864</v>
      </c>
      <c r="O43" s="13">
        <f>'TR TUSD'!$O$43*'TR TUSD'!$O$77</f>
        <v>0</v>
      </c>
      <c r="P43" s="13">
        <f>'TR TUSD'!$P$43*'TR TUSD'!$P$77</f>
        <v>0</v>
      </c>
      <c r="Q43" s="13">
        <f>'TR TUSD'!$Q$43*'TR TUSD'!$Q$77</f>
        <v>0</v>
      </c>
      <c r="R43" s="13">
        <f>'TR TUSD'!$R$43*'TR TUSD'!$R$77</f>
        <v>0</v>
      </c>
      <c r="S43" s="13">
        <f>'TR TUSD'!$S$43*'TR TUSD'!$S$77</f>
        <v>0</v>
      </c>
      <c r="T43" s="13">
        <f ca="1">SUM($L$43:$S$43)</f>
        <v>5.9601440148359934</v>
      </c>
      <c r="U43" s="13">
        <f>'TR TUSD'!$U$43*'TR TUSD'!$U$77</f>
        <v>14.101693530526136</v>
      </c>
      <c r="V43" s="13">
        <f>'TR TUSD'!$V$43*'TR TUSD'!$V$77</f>
        <v>15.359867189446453</v>
      </c>
      <c r="W43" s="13">
        <f>'TR TUSD'!$W$43*'TR TUSD'!$W$77</f>
        <v>1.5905033382373557</v>
      </c>
      <c r="X43" s="13">
        <f>'TR TUSD'!$X$43*'TR TUSD'!$X$77</f>
        <v>0</v>
      </c>
      <c r="Y43" s="13">
        <f>'TR TUSD'!$Y$43*'TR TUSD'!$Y$77</f>
        <v>0</v>
      </c>
      <c r="Z43" s="13">
        <f>'TR TUSD'!$Z$43</f>
        <v>0</v>
      </c>
      <c r="AA43" s="13">
        <f>'TR TUSD'!$AA$43</f>
        <v>0</v>
      </c>
      <c r="AB43" s="13">
        <f>SUM($U$43:$AA$43)</f>
        <v>31.052064058209943</v>
      </c>
      <c r="AC43" s="13">
        <f>'TR TUSD'!$AC$43*'TR TUSD'!$AC$77</f>
        <v>341.65442164063774</v>
      </c>
      <c r="AD43" s="13">
        <f>SUM($AC$43:$AC$43)</f>
        <v>341.65442164063774</v>
      </c>
      <c r="AE43" s="13">
        <v>0</v>
      </c>
      <c r="AF43" s="13">
        <v>0</v>
      </c>
      <c r="AG43" s="13">
        <f>SUM($AE$43:$AF$43)</f>
        <v>0</v>
      </c>
      <c r="AH43" s="13">
        <f>'TR TUSD'!$AH$43*'TR TUSD'!$AH$77</f>
        <v>29.024624262394088</v>
      </c>
      <c r="AI43" s="13">
        <f>'TR TUSD'!$AI$43*'TR TUSD'!$AI$77</f>
        <v>1.3420715367861593</v>
      </c>
      <c r="AJ43" s="13">
        <f ca="1">'TR TUSD'!$AJ$43*'TR TUSD'!$AJ$77</f>
        <v>28.039411748727275</v>
      </c>
      <c r="AK43" s="13">
        <f ca="1">'TR TUSD'!$AK$43*'TR TUSD'!$AK$77</f>
        <v>12.273081844242665</v>
      </c>
      <c r="AL43" s="13">
        <f ca="1">SUM($AH$43:$AK$43)</f>
        <v>70.679189392150192</v>
      </c>
      <c r="AM43" s="13">
        <f ca="1">SUMIF($L$4:$AL$4,"SUBTOTAL",$L$43:$AL$43)</f>
        <v>449.34581910583387</v>
      </c>
      <c r="AP43" s="13">
        <f>IF((1 - CUSTOS!$M$24)&lt;&gt;0,1/(1 - CUSTOS!$M$24),1)</f>
        <v>1</v>
      </c>
    </row>
    <row r="44" spans="1:42" ht="11.25" customHeight="1" x14ac:dyDescent="0.25">
      <c r="A44" s="107"/>
      <c r="B44" s="107"/>
      <c r="C44" s="107"/>
      <c r="D44" s="17" t="s">
        <v>32</v>
      </c>
      <c r="E44" s="17" t="s">
        <v>25</v>
      </c>
      <c r="F44" s="17" t="s">
        <v>25</v>
      </c>
      <c r="G44" s="18" t="s">
        <v>88</v>
      </c>
      <c r="H44" s="18" t="s">
        <v>82</v>
      </c>
      <c r="I44" s="18">
        <f>'MERCADO TUSD'!$U$41</f>
        <v>0</v>
      </c>
      <c r="J44" s="15"/>
      <c r="L44" s="13">
        <f>'TR TUSD'!$L$44*'TR TUSD'!$L$77</f>
        <v>0</v>
      </c>
      <c r="M44" s="13">
        <f>'TR TUSD'!$M$44*'TR TUSD'!$M$77</f>
        <v>1.2551665188977075</v>
      </c>
      <c r="N44" s="13">
        <f ca="1">'TR TUSD'!$N$44*'TR TUSD'!$N$77</f>
        <v>4.7049774959382864</v>
      </c>
      <c r="O44" s="13">
        <f>'TR TUSD'!$O$44*'TR TUSD'!$O$77</f>
        <v>0</v>
      </c>
      <c r="P44" s="13">
        <f>'TR TUSD'!$P$44*'TR TUSD'!$P$77</f>
        <v>0</v>
      </c>
      <c r="Q44" s="13">
        <f>'TR TUSD'!$Q$44*'TR TUSD'!$Q$77</f>
        <v>0</v>
      </c>
      <c r="R44" s="13">
        <f>'TR TUSD'!$R$44*'TR TUSD'!$R$77</f>
        <v>0</v>
      </c>
      <c r="S44" s="13">
        <f>'TR TUSD'!$S$44*'TR TUSD'!$S$77</f>
        <v>0</v>
      </c>
      <c r="T44" s="13">
        <f ca="1">SUM($L$44:$S$44)</f>
        <v>5.9601440148359934</v>
      </c>
      <c r="U44" s="13">
        <f>'TR TUSD'!$U$44*'TR TUSD'!$U$77</f>
        <v>14.101693530526136</v>
      </c>
      <c r="V44" s="13">
        <f>'TR TUSD'!$V$44*'TR TUSD'!$V$77</f>
        <v>15.359867189446453</v>
      </c>
      <c r="W44" s="13">
        <f>'TR TUSD'!$W$44*'TR TUSD'!$W$77</f>
        <v>1.5905033382373557</v>
      </c>
      <c r="X44" s="13">
        <f>'TR TUSD'!$X$44*'TR TUSD'!$X$77</f>
        <v>0</v>
      </c>
      <c r="Y44" s="13">
        <f>'TR TUSD'!$Y$44*'TR TUSD'!$Y$77</f>
        <v>0</v>
      </c>
      <c r="Z44" s="13">
        <f>'TR TUSD'!$Z$44</f>
        <v>0</v>
      </c>
      <c r="AA44" s="13">
        <f>'TR TUSD'!$AA$44</f>
        <v>0</v>
      </c>
      <c r="AB44" s="13">
        <f>SUM($U$44:$AA$44)</f>
        <v>31.052064058209943</v>
      </c>
      <c r="AC44" s="13">
        <f>'TR TUSD'!$AC$44*'TR TUSD'!$AC$77</f>
        <v>341.65442164063774</v>
      </c>
      <c r="AD44" s="13">
        <f>SUM($AC$44:$AC$44)</f>
        <v>341.65442164063774</v>
      </c>
      <c r="AE44" s="13">
        <v>0</v>
      </c>
      <c r="AF44" s="13">
        <v>0</v>
      </c>
      <c r="AG44" s="13">
        <f>SUM($AE$44:$AF$44)</f>
        <v>0</v>
      </c>
      <c r="AH44" s="13">
        <f>'TR TUSD'!$AH$44*'TR TUSD'!$AH$77</f>
        <v>29.024624262394088</v>
      </c>
      <c r="AI44" s="13">
        <f>'TR TUSD'!$AI$44*'TR TUSD'!$AI$77</f>
        <v>1.3420715367861593</v>
      </c>
      <c r="AJ44" s="13">
        <f ca="1">'TR TUSD'!$AJ$44*'TR TUSD'!$AJ$77</f>
        <v>28.039411748727275</v>
      </c>
      <c r="AK44" s="13">
        <f ca="1">'TR TUSD'!$AK$44*'TR TUSD'!$AK$77</f>
        <v>12.273081844242665</v>
      </c>
      <c r="AL44" s="13">
        <f ca="1">SUM($AH$44:$AK$44)</f>
        <v>70.679189392150192</v>
      </c>
      <c r="AM44" s="13">
        <f ca="1">SUMIF($L$4:$AL$4,"SUBTOTAL",$L$44:$AL$44)</f>
        <v>449.34581910583387</v>
      </c>
      <c r="AP44" s="13">
        <f>IF((1 - CUSTOS!$M$25)&lt;&gt;0,1/(1 - CUSTOS!$M$25),1)</f>
        <v>1</v>
      </c>
    </row>
    <row r="45" spans="1:42" ht="11.25" customHeight="1" x14ac:dyDescent="0.25">
      <c r="A45" s="107"/>
      <c r="B45" s="107"/>
      <c r="C45" s="107"/>
      <c r="D45" s="17" t="s">
        <v>33</v>
      </c>
      <c r="E45" s="17" t="s">
        <v>25</v>
      </c>
      <c r="F45" s="17" t="s">
        <v>25</v>
      </c>
      <c r="G45" s="18" t="s">
        <v>88</v>
      </c>
      <c r="H45" s="18" t="s">
        <v>82</v>
      </c>
      <c r="I45" s="18">
        <f>'MERCADO TUSD'!$U$42</f>
        <v>0</v>
      </c>
      <c r="J45" s="15"/>
      <c r="L45" s="13">
        <f>'TR TUSD'!$L$45*'TR TUSD'!$L$77</f>
        <v>0</v>
      </c>
      <c r="M45" s="13">
        <f>'TR TUSD'!$M$45*'TR TUSD'!$M$77</f>
        <v>1.2551665188977075</v>
      </c>
      <c r="N45" s="13">
        <f ca="1">'TR TUSD'!$N$45*'TR TUSD'!$N$77</f>
        <v>4.7049774959382864</v>
      </c>
      <c r="O45" s="13">
        <f>'TR TUSD'!$O$45*'TR TUSD'!$O$77</f>
        <v>0</v>
      </c>
      <c r="P45" s="13">
        <f>'TR TUSD'!$P$45*'TR TUSD'!$P$77</f>
        <v>0</v>
      </c>
      <c r="Q45" s="13">
        <f>'TR TUSD'!$Q$45*'TR TUSD'!$Q$77</f>
        <v>0</v>
      </c>
      <c r="R45" s="13">
        <f>'TR TUSD'!$R$45*'TR TUSD'!$R$77</f>
        <v>0</v>
      </c>
      <c r="S45" s="13">
        <f>'TR TUSD'!$S$45*'TR TUSD'!$S$77</f>
        <v>0</v>
      </c>
      <c r="T45" s="13">
        <f ca="1">SUM($L$45:$S$45)</f>
        <v>5.9601440148359934</v>
      </c>
      <c r="U45" s="13">
        <f>'TR TUSD'!$U$45*'TR TUSD'!$U$77</f>
        <v>14.101693530526136</v>
      </c>
      <c r="V45" s="13">
        <f>'TR TUSD'!$V$45*'TR TUSD'!$V$77</f>
        <v>15.359867189446453</v>
      </c>
      <c r="W45" s="13">
        <f>'TR TUSD'!$W$45*'TR TUSD'!$W$77</f>
        <v>1.5905033382373557</v>
      </c>
      <c r="X45" s="13">
        <f>'TR TUSD'!$X$45*'TR TUSD'!$X$77</f>
        <v>0</v>
      </c>
      <c r="Y45" s="13">
        <f>'TR TUSD'!$Y$45*'TR TUSD'!$Y$77</f>
        <v>0</v>
      </c>
      <c r="Z45" s="13">
        <f>'TR TUSD'!$Z$45</f>
        <v>0</v>
      </c>
      <c r="AA45" s="13">
        <f>'TR TUSD'!$AA$45</f>
        <v>0</v>
      </c>
      <c r="AB45" s="13">
        <f>SUM($U$45:$AA$45)</f>
        <v>31.052064058209943</v>
      </c>
      <c r="AC45" s="13">
        <f>'TR TUSD'!$AC$45*'TR TUSD'!$AC$77</f>
        <v>341.65442164063774</v>
      </c>
      <c r="AD45" s="13">
        <f>SUM($AC$45:$AC$45)</f>
        <v>341.65442164063774</v>
      </c>
      <c r="AE45" s="13">
        <v>0</v>
      </c>
      <c r="AF45" s="13">
        <v>0</v>
      </c>
      <c r="AG45" s="13">
        <f>SUM($AE$45:$AF$45)</f>
        <v>0</v>
      </c>
      <c r="AH45" s="13">
        <f>'TR TUSD'!$AH$45*'TR TUSD'!$AH$77</f>
        <v>29.024624262394088</v>
      </c>
      <c r="AI45" s="13">
        <f>'TR TUSD'!$AI$45*'TR TUSD'!$AI$77</f>
        <v>1.3420715367861593</v>
      </c>
      <c r="AJ45" s="13">
        <f ca="1">'TR TUSD'!$AJ$45*'TR TUSD'!$AJ$77</f>
        <v>28.039411748727275</v>
      </c>
      <c r="AK45" s="13">
        <f ca="1">'TR TUSD'!$AK$45*'TR TUSD'!$AK$77</f>
        <v>12.273081844242665</v>
      </c>
      <c r="AL45" s="13">
        <f ca="1">SUM($AH$45:$AK$45)</f>
        <v>70.679189392150192</v>
      </c>
      <c r="AM45" s="13">
        <f ca="1">SUMIF($L$4:$AL$4,"SUBTOTAL",$L$45:$AL$45)</f>
        <v>449.34581910583387</v>
      </c>
      <c r="AP45" s="13">
        <f>IF((1 - CUSTOS!$M$26)&lt;&gt;0,1/(1 - CUSTOS!$M$26),1)</f>
        <v>1</v>
      </c>
    </row>
    <row r="46" spans="1:42" ht="11.25" customHeight="1" x14ac:dyDescent="0.25">
      <c r="A46" s="107"/>
      <c r="B46" s="107"/>
      <c r="C46" s="107"/>
      <c r="D46" s="17" t="s">
        <v>34</v>
      </c>
      <c r="E46" s="17" t="s">
        <v>25</v>
      </c>
      <c r="F46" s="17" t="s">
        <v>25</v>
      </c>
      <c r="G46" s="18" t="s">
        <v>88</v>
      </c>
      <c r="H46" s="18" t="s">
        <v>82</v>
      </c>
      <c r="I46" s="18">
        <f>'MERCADO TUSD'!$U$43</f>
        <v>0</v>
      </c>
      <c r="J46" s="15"/>
      <c r="L46" s="13">
        <f>'TR TUSD'!$L$46*'TR TUSD'!$L$77</f>
        <v>0</v>
      </c>
      <c r="M46" s="13">
        <f>'TR TUSD'!$M$46*'TR TUSD'!$M$77</f>
        <v>1.2551665188977075</v>
      </c>
      <c r="N46" s="13">
        <f ca="1">'TR TUSD'!$N$46*'TR TUSD'!$N$77</f>
        <v>4.7049774959382864</v>
      </c>
      <c r="O46" s="13">
        <f>'TR TUSD'!$O$46*'TR TUSD'!$O$77</f>
        <v>0</v>
      </c>
      <c r="P46" s="13">
        <f>'TR TUSD'!$P$46*'TR TUSD'!$P$77</f>
        <v>0</v>
      </c>
      <c r="Q46" s="13">
        <f>'TR TUSD'!$Q$46*'TR TUSD'!$Q$77</f>
        <v>0</v>
      </c>
      <c r="R46" s="13">
        <f>'TR TUSD'!$R$46*'TR TUSD'!$R$77</f>
        <v>0</v>
      </c>
      <c r="S46" s="13">
        <f>'TR TUSD'!$S$46*'TR TUSD'!$S$77</f>
        <v>0</v>
      </c>
      <c r="T46" s="13">
        <f ca="1">SUM($L$46:$S$46)</f>
        <v>5.9601440148359934</v>
      </c>
      <c r="U46" s="13">
        <f>'TR TUSD'!$U$46*'TR TUSD'!$U$77</f>
        <v>14.101693530526136</v>
      </c>
      <c r="V46" s="13">
        <f>'TR TUSD'!$V$46*'TR TUSD'!$V$77</f>
        <v>15.359867189446453</v>
      </c>
      <c r="W46" s="13">
        <f>'TR TUSD'!$W$46*'TR TUSD'!$W$77</f>
        <v>1.5905033382373557</v>
      </c>
      <c r="X46" s="13">
        <f>'TR TUSD'!$X$46*'TR TUSD'!$X$77</f>
        <v>0</v>
      </c>
      <c r="Y46" s="13">
        <f>'TR TUSD'!$Y$46*'TR TUSD'!$Y$77</f>
        <v>0</v>
      </c>
      <c r="Z46" s="13">
        <f>'TR TUSD'!$Z$46</f>
        <v>0</v>
      </c>
      <c r="AA46" s="13">
        <f>'TR TUSD'!$AA$46</f>
        <v>0</v>
      </c>
      <c r="AB46" s="13">
        <f>SUM($U$46:$AA$46)</f>
        <v>31.052064058209943</v>
      </c>
      <c r="AC46" s="13">
        <f>'TR TUSD'!$AC$46*'TR TUSD'!$AC$77</f>
        <v>341.65442164063774</v>
      </c>
      <c r="AD46" s="13">
        <f>SUM($AC$46:$AC$46)</f>
        <v>341.65442164063774</v>
      </c>
      <c r="AE46" s="13">
        <v>0</v>
      </c>
      <c r="AF46" s="13">
        <v>0</v>
      </c>
      <c r="AG46" s="13">
        <f>SUM($AE$46:$AF$46)</f>
        <v>0</v>
      </c>
      <c r="AH46" s="13">
        <f>'TR TUSD'!$AH$46*'TR TUSD'!$AH$77</f>
        <v>29.024624262394088</v>
      </c>
      <c r="AI46" s="13">
        <f>'TR TUSD'!$AI$46*'TR TUSD'!$AI$77</f>
        <v>1.3420715367861593</v>
      </c>
      <c r="AJ46" s="13">
        <f ca="1">'TR TUSD'!$AJ$46*'TR TUSD'!$AJ$77</f>
        <v>28.039411748727275</v>
      </c>
      <c r="AK46" s="13">
        <f ca="1">'TR TUSD'!$AK$46*'TR TUSD'!$AK$77</f>
        <v>12.273081844242665</v>
      </c>
      <c r="AL46" s="13">
        <f ca="1">SUM($AH$46:$AK$46)</f>
        <v>70.679189392150192</v>
      </c>
      <c r="AM46" s="13">
        <f ca="1">SUMIF($L$4:$AL$4,"SUBTOTAL",$L$46:$AL$46)</f>
        <v>449.34581910583387</v>
      </c>
      <c r="AP46" s="13">
        <f>IF((1 - CUSTOS!$M$27)&lt;&gt;0,1/(1 - CUSTOS!$M$27),1)</f>
        <v>1</v>
      </c>
    </row>
    <row r="47" spans="1:42" ht="11.25" customHeight="1" x14ac:dyDescent="0.25">
      <c r="A47" s="107" t="s">
        <v>46</v>
      </c>
      <c r="B47" s="107" t="s">
        <v>35</v>
      </c>
      <c r="C47" s="107" t="s">
        <v>47</v>
      </c>
      <c r="D47" s="107" t="s">
        <v>25</v>
      </c>
      <c r="E47" s="107" t="s">
        <v>25</v>
      </c>
      <c r="F47" s="107" t="s">
        <v>25</v>
      </c>
      <c r="G47" s="18" t="s">
        <v>83</v>
      </c>
      <c r="H47" s="18" t="s">
        <v>82</v>
      </c>
      <c r="I47" s="18">
        <f>'MERCADO TUSD'!$U$44</f>
        <v>3.4330000000000007</v>
      </c>
      <c r="J47" s="15"/>
      <c r="L47" s="13">
        <f>'TR TUSD'!$L$47*'TR TUSD'!$L$77</f>
        <v>22.226345284531497</v>
      </c>
      <c r="M47" s="13">
        <f>'TR TUSD'!$M$47*'TR TUSD'!$M$77</f>
        <v>1.2551665188977075</v>
      </c>
      <c r="N47" s="13">
        <f ca="1">'TR TUSD'!$N$47*'TR TUSD'!$N$77</f>
        <v>11.926755295596907</v>
      </c>
      <c r="O47" s="13">
        <f>'TR TUSD'!$O$47*'TR TUSD'!$O$77</f>
        <v>0</v>
      </c>
      <c r="P47" s="13">
        <f>'TR TUSD'!$P$47*'TR TUSD'!$P$77</f>
        <v>0</v>
      </c>
      <c r="Q47" s="13">
        <f>'TR TUSD'!$Q$47*'TR TUSD'!$Q$77</f>
        <v>36.808015236282849</v>
      </c>
      <c r="R47" s="13">
        <f>'TR TUSD'!$R$47*'TR TUSD'!$R$77</f>
        <v>13.785929126696344</v>
      </c>
      <c r="S47" s="13">
        <f>'TR TUSD'!$S$47*'TR TUSD'!$S$77</f>
        <v>0</v>
      </c>
      <c r="T47" s="13">
        <f ca="1">SUM($L$47:$S$47)</f>
        <v>86.002211462005306</v>
      </c>
      <c r="U47" s="13">
        <f>'TR TUSD'!$U$47*'TR TUSD'!$U$77</f>
        <v>43.010046206187035</v>
      </c>
      <c r="V47" s="13">
        <f>'TR TUSD'!$V$47*'TR TUSD'!$V$77</f>
        <v>46.847424942561688</v>
      </c>
      <c r="W47" s="13">
        <f>'TR TUSD'!$W$47*'TR TUSD'!$W$77</f>
        <v>4.8507267557877798</v>
      </c>
      <c r="X47" s="13">
        <f>'TR TUSD'!$X$47*'TR TUSD'!$X$77</f>
        <v>0</v>
      </c>
      <c r="Y47" s="13">
        <f>'TR TUSD'!$Y$47*'TR TUSD'!$Y$77</f>
        <v>0</v>
      </c>
      <c r="Z47" s="13">
        <f>'TR TUSD'!$Z$47</f>
        <v>0</v>
      </c>
      <c r="AA47" s="13">
        <f>'TR TUSD'!$AA$47</f>
        <v>0</v>
      </c>
      <c r="AB47" s="13">
        <f>SUM($U$47:$AA$47)</f>
        <v>94.70819790453649</v>
      </c>
      <c r="AC47" s="13">
        <f>'TR TUSD'!$AC$47*'TR TUSD'!$AC$77</f>
        <v>1042.0460340084669</v>
      </c>
      <c r="AD47" s="13">
        <f>SUM($AC$47:$AC$47)</f>
        <v>1042.0460340084669</v>
      </c>
      <c r="AE47" s="13">
        <v>0</v>
      </c>
      <c r="AF47" s="13">
        <v>0</v>
      </c>
      <c r="AG47" s="13">
        <f>SUM($AE$47:$AF$47)</f>
        <v>0</v>
      </c>
      <c r="AH47" s="13">
        <f>'TR TUSD'!$AH$47*'TR TUSD'!$AH$77</f>
        <v>29.024624262394088</v>
      </c>
      <c r="AI47" s="13">
        <f>'TR TUSD'!$AI$47*'TR TUSD'!$AI$77</f>
        <v>1.3420715367861593</v>
      </c>
      <c r="AJ47" s="13">
        <f ca="1">'TR TUSD'!$AJ$47*'TR TUSD'!$AJ$77</f>
        <v>28.039411748727275</v>
      </c>
      <c r="AK47" s="13">
        <f ca="1">'TR TUSD'!$AK$47*'TR TUSD'!$AK$77</f>
        <v>12.273081844242665</v>
      </c>
      <c r="AL47" s="13">
        <f ca="1">SUM($AH$47:$AK$47)</f>
        <v>70.679189392150192</v>
      </c>
      <c r="AM47" s="13">
        <f ca="1">SUMIF($L$4:$AL$4,"SUBTOTAL",$L$47:$AL$47)</f>
        <v>1293.4356327671589</v>
      </c>
      <c r="AP47" s="13">
        <f>IF((1 - CUSTOS!$M$28)&lt;&gt;0,1/(1 - CUSTOS!$M$28),1)</f>
        <v>1</v>
      </c>
    </row>
    <row r="48" spans="1:42" ht="11.25" customHeight="1" x14ac:dyDescent="0.25">
      <c r="A48" s="107"/>
      <c r="B48" s="107"/>
      <c r="C48" s="107"/>
      <c r="D48" s="107"/>
      <c r="E48" s="107"/>
      <c r="F48" s="107"/>
      <c r="G48" s="18" t="s">
        <v>98</v>
      </c>
      <c r="H48" s="18" t="s">
        <v>82</v>
      </c>
      <c r="I48" s="18">
        <f>'MERCADO TUSD'!$U$45</f>
        <v>0.54699999999999993</v>
      </c>
      <c r="J48" s="15"/>
      <c r="L48" s="13">
        <f>'TR TUSD'!$L$48*'TR TUSD'!$L$77</f>
        <v>22.226345284531497</v>
      </c>
      <c r="M48" s="13">
        <f>'TR TUSD'!$M$48*'TR TUSD'!$M$77</f>
        <v>1.2551665188977075</v>
      </c>
      <c r="N48" s="13">
        <f ca="1">'TR TUSD'!$N$48*'TR TUSD'!$N$77</f>
        <v>7.6357438434897764</v>
      </c>
      <c r="O48" s="13">
        <f>'TR TUSD'!$O$48*'TR TUSD'!$O$77</f>
        <v>0</v>
      </c>
      <c r="P48" s="13">
        <f>'TR TUSD'!$P$48*'TR TUSD'!$P$77</f>
        <v>0</v>
      </c>
      <c r="Q48" s="13">
        <f>'TR TUSD'!$Q$48*'TR TUSD'!$Q$77</f>
        <v>36.808015236282849</v>
      </c>
      <c r="R48" s="13">
        <f>'TR TUSD'!$R$48*'TR TUSD'!$R$77</f>
        <v>13.785929126696344</v>
      </c>
      <c r="S48" s="13">
        <f>'TR TUSD'!$S$48*'TR TUSD'!$S$77</f>
        <v>0</v>
      </c>
      <c r="T48" s="13">
        <f ca="1">SUM($L$48:$S$48)</f>
        <v>81.711200009898178</v>
      </c>
      <c r="U48" s="13">
        <f>'TR TUSD'!$U$48*'TR TUSD'!$U$77</f>
        <v>25.806075348479293</v>
      </c>
      <c r="V48" s="13">
        <f>'TR TUSD'!$V$48*'TR TUSD'!$V$77</f>
        <v>28.10842096848701</v>
      </c>
      <c r="W48" s="13">
        <f>'TR TUSD'!$W$48*'TR TUSD'!$W$77</f>
        <v>2.9104035875951775</v>
      </c>
      <c r="X48" s="13">
        <f>'TR TUSD'!$X$48*'TR TUSD'!$X$77</f>
        <v>0</v>
      </c>
      <c r="Y48" s="13">
        <f>'TR TUSD'!$Y$48*'TR TUSD'!$Y$77</f>
        <v>0</v>
      </c>
      <c r="Z48" s="13">
        <f>'TR TUSD'!$Z$48</f>
        <v>0</v>
      </c>
      <c r="AA48" s="13">
        <f>'TR TUSD'!$AA$48</f>
        <v>0</v>
      </c>
      <c r="AB48" s="13">
        <f>SUM($U$48:$AA$48)</f>
        <v>56.824899904561484</v>
      </c>
      <c r="AC48" s="13">
        <f>'TR TUSD'!$AC$48*'TR TUSD'!$AC$77</f>
        <v>625.2275724005583</v>
      </c>
      <c r="AD48" s="13">
        <f>SUM($AC$48:$AC$48)</f>
        <v>625.2275724005583</v>
      </c>
      <c r="AE48" s="13">
        <v>0</v>
      </c>
      <c r="AF48" s="13">
        <v>0</v>
      </c>
      <c r="AG48" s="13">
        <f>SUM($AE$48:$AF$48)</f>
        <v>0</v>
      </c>
      <c r="AH48" s="13">
        <f>'TR TUSD'!$AH$48*'TR TUSD'!$AH$77</f>
        <v>29.024624262394088</v>
      </c>
      <c r="AI48" s="13">
        <f>'TR TUSD'!$AI$48*'TR TUSD'!$AI$77</f>
        <v>1.3420715367861593</v>
      </c>
      <c r="AJ48" s="13">
        <f ca="1">'TR TUSD'!$AJ$48*'TR TUSD'!$AJ$77</f>
        <v>28.039411748727275</v>
      </c>
      <c r="AK48" s="13">
        <f ca="1">'TR TUSD'!$AK$48*'TR TUSD'!$AK$77</f>
        <v>12.273081844242665</v>
      </c>
      <c r="AL48" s="13">
        <f ca="1">SUM($AH$48:$AK$48)</f>
        <v>70.679189392150192</v>
      </c>
      <c r="AM48" s="13">
        <f ca="1">SUMIF($L$4:$AL$4,"SUBTOTAL",$L$48:$AL$48)</f>
        <v>834.44286170716816</v>
      </c>
      <c r="AP48" s="13">
        <f>IF((1 - CUSTOS!$M$28)&lt;&gt;0,1/(1 - CUSTOS!$M$28),1)</f>
        <v>1</v>
      </c>
    </row>
    <row r="49" spans="1:42" ht="11.25" customHeight="1" x14ac:dyDescent="0.25">
      <c r="A49" s="107"/>
      <c r="B49" s="107"/>
      <c r="C49" s="107"/>
      <c r="D49" s="107"/>
      <c r="E49" s="107"/>
      <c r="F49" s="107"/>
      <c r="G49" s="18" t="s">
        <v>84</v>
      </c>
      <c r="H49" s="18" t="s">
        <v>82</v>
      </c>
      <c r="I49" s="18">
        <f>'MERCADO TUSD'!$U$46</f>
        <v>73.387</v>
      </c>
      <c r="J49" s="15"/>
      <c r="L49" s="13">
        <f>'TR TUSD'!$L$49*'TR TUSD'!$L$77</f>
        <v>22.226345284531497</v>
      </c>
      <c r="M49" s="13">
        <f>'TR TUSD'!$M$49*'TR TUSD'!$M$77</f>
        <v>1.2551665188977075</v>
      </c>
      <c r="N49" s="13">
        <f ca="1">'TR TUSD'!$N$49*'TR TUSD'!$N$77</f>
        <v>3.344732391382645</v>
      </c>
      <c r="O49" s="13">
        <f>'TR TUSD'!$O$49*'TR TUSD'!$O$77</f>
        <v>0</v>
      </c>
      <c r="P49" s="13">
        <f>'TR TUSD'!$P$49*'TR TUSD'!$P$77</f>
        <v>0</v>
      </c>
      <c r="Q49" s="13">
        <f>'TR TUSD'!$Q$49*'TR TUSD'!$Q$77</f>
        <v>36.808015236282849</v>
      </c>
      <c r="R49" s="13">
        <f>'TR TUSD'!$R$49*'TR TUSD'!$R$77</f>
        <v>13.785929126696344</v>
      </c>
      <c r="S49" s="13">
        <f>'TR TUSD'!$S$49*'TR TUSD'!$S$77</f>
        <v>0</v>
      </c>
      <c r="T49" s="13">
        <f ca="1">SUM($L$49:$S$49)</f>
        <v>77.420188557791036</v>
      </c>
      <c r="U49" s="13">
        <f>'TR TUSD'!$U$49*'TR TUSD'!$U$77</f>
        <v>8.6019854288538706</v>
      </c>
      <c r="V49" s="13">
        <f>'TR TUSD'!$V$49*'TR TUSD'!$V$77</f>
        <v>9.3694169944123402</v>
      </c>
      <c r="W49" s="13">
        <f>'TR TUSD'!$W$49*'TR TUSD'!$W$77</f>
        <v>0.97008041940257583</v>
      </c>
      <c r="X49" s="13">
        <f>'TR TUSD'!$X$49*'TR TUSD'!$X$77</f>
        <v>0</v>
      </c>
      <c r="Y49" s="13">
        <f>'TR TUSD'!$Y$49*'TR TUSD'!$Y$77</f>
        <v>0</v>
      </c>
      <c r="Z49" s="13">
        <f>'TR TUSD'!$Z$49</f>
        <v>0</v>
      </c>
      <c r="AA49" s="13">
        <f>'TR TUSD'!$AA$49</f>
        <v>0</v>
      </c>
      <c r="AB49" s="13">
        <f>SUM($U$49:$AA$49)</f>
        <v>18.941482842668787</v>
      </c>
      <c r="AC49" s="13">
        <f>'TR TUSD'!$AC$49*'TR TUSD'!$AC$77</f>
        <v>208.40923080395422</v>
      </c>
      <c r="AD49" s="13">
        <f>SUM($AC$49:$AC$49)</f>
        <v>208.40923080395422</v>
      </c>
      <c r="AE49" s="13">
        <v>0</v>
      </c>
      <c r="AF49" s="13">
        <v>0</v>
      </c>
      <c r="AG49" s="13">
        <f>SUM($AE$49:$AF$49)</f>
        <v>0</v>
      </c>
      <c r="AH49" s="13">
        <f>'TR TUSD'!$AH$49*'TR TUSD'!$AH$77</f>
        <v>29.024624262394088</v>
      </c>
      <c r="AI49" s="13">
        <f>'TR TUSD'!$AI$49*'TR TUSD'!$AI$77</f>
        <v>1.3420715367861593</v>
      </c>
      <c r="AJ49" s="13">
        <f ca="1">'TR TUSD'!$AJ$49*'TR TUSD'!$AJ$77</f>
        <v>28.039411748727275</v>
      </c>
      <c r="AK49" s="13">
        <f ca="1">'TR TUSD'!$AK$49*'TR TUSD'!$AK$77</f>
        <v>12.273081844242665</v>
      </c>
      <c r="AL49" s="13">
        <f ca="1">SUM($AH$49:$AK$49)</f>
        <v>70.679189392150192</v>
      </c>
      <c r="AM49" s="13">
        <f ca="1">SUMIF($L$4:$AL$4,"SUBTOTAL",$L$49:$AL$49)</f>
        <v>375.45009159656422</v>
      </c>
      <c r="AP49" s="13">
        <f>IF((1 - CUSTOS!$M$28)&lt;&gt;0,1/(1 - CUSTOS!$M$28),1)</f>
        <v>1</v>
      </c>
    </row>
    <row r="50" spans="1:42" ht="11.25" customHeight="1" x14ac:dyDescent="0.25">
      <c r="A50" s="107"/>
      <c r="B50" s="17" t="s">
        <v>23</v>
      </c>
      <c r="C50" s="17" t="s">
        <v>47</v>
      </c>
      <c r="D50" s="17" t="s">
        <v>25</v>
      </c>
      <c r="E50" s="17" t="s">
        <v>25</v>
      </c>
      <c r="F50" s="17" t="s">
        <v>25</v>
      </c>
      <c r="G50" s="18" t="s">
        <v>88</v>
      </c>
      <c r="H50" s="18" t="s">
        <v>82</v>
      </c>
      <c r="I50" s="18">
        <f>'MERCADO TUSD'!$U$47</f>
        <v>45841.400999999998</v>
      </c>
      <c r="J50" s="15"/>
      <c r="L50" s="13">
        <f>'TR TUSD'!$L$50*'TR TUSD'!$L$77</f>
        <v>22.226345284531497</v>
      </c>
      <c r="M50" s="13">
        <f>'TR TUSD'!$M$50*'TR TUSD'!$M$77</f>
        <v>1.2551665188977075</v>
      </c>
      <c r="N50" s="13">
        <f ca="1">'TR TUSD'!$N$50*'TR TUSD'!$N$77</f>
        <v>4.7164512549041779</v>
      </c>
      <c r="O50" s="13">
        <f>'TR TUSD'!$O$50*'TR TUSD'!$O$77</f>
        <v>0</v>
      </c>
      <c r="P50" s="13">
        <f>'TR TUSD'!$P$50*'TR TUSD'!$P$77</f>
        <v>0</v>
      </c>
      <c r="Q50" s="13">
        <f>'TR TUSD'!$Q$50*'TR TUSD'!$Q$77</f>
        <v>36.808015236282849</v>
      </c>
      <c r="R50" s="13">
        <f>'TR TUSD'!$R$50*'TR TUSD'!$R$77</f>
        <v>13.785929126696344</v>
      </c>
      <c r="S50" s="13">
        <f>'TR TUSD'!$S$50*'TR TUSD'!$S$77</f>
        <v>0</v>
      </c>
      <c r="T50" s="13">
        <f ca="1">SUM($L$50:$S$50)</f>
        <v>78.791907421312573</v>
      </c>
      <c r="U50" s="13">
        <f>'TR TUSD'!$U$50*'TR TUSD'!$U$77</f>
        <v>14.101693530526136</v>
      </c>
      <c r="V50" s="13">
        <f>'TR TUSD'!$V$50*'TR TUSD'!$V$77</f>
        <v>15.359867189446453</v>
      </c>
      <c r="W50" s="13">
        <f>'TR TUSD'!$W$50*'TR TUSD'!$W$77</f>
        <v>1.5905033382373557</v>
      </c>
      <c r="X50" s="13">
        <f>'TR TUSD'!$X$50*'TR TUSD'!$X$77</f>
        <v>0</v>
      </c>
      <c r="Y50" s="13">
        <f>'TR TUSD'!$Y$50*'TR TUSD'!$Y$77</f>
        <v>0</v>
      </c>
      <c r="Z50" s="13">
        <f>'TR TUSD'!$Z$50</f>
        <v>0</v>
      </c>
      <c r="AA50" s="13">
        <f>'TR TUSD'!$AA$50</f>
        <v>0</v>
      </c>
      <c r="AB50" s="13">
        <f>SUM($U$50:$AA$50)</f>
        <v>31.052064058209943</v>
      </c>
      <c r="AC50" s="13">
        <f>'TR TUSD'!$AC$50*'TR TUSD'!$AC$77</f>
        <v>341.65442164063774</v>
      </c>
      <c r="AD50" s="13">
        <f>SUM($AC$50:$AC$50)</f>
        <v>341.65442164063774</v>
      </c>
      <c r="AE50" s="13">
        <v>0</v>
      </c>
      <c r="AF50" s="13">
        <v>0</v>
      </c>
      <c r="AG50" s="13">
        <f>SUM($AE$50:$AF$50)</f>
        <v>0</v>
      </c>
      <c r="AH50" s="13">
        <f>'TR TUSD'!$AH$50*'TR TUSD'!$AH$77</f>
        <v>29.024624262394088</v>
      </c>
      <c r="AI50" s="13">
        <f>'TR TUSD'!$AI$50*'TR TUSD'!$AI$77</f>
        <v>1.3420715367861593</v>
      </c>
      <c r="AJ50" s="13">
        <f ca="1">'TR TUSD'!$AJ$50*'TR TUSD'!$AJ$77</f>
        <v>28.039411748727275</v>
      </c>
      <c r="AK50" s="13">
        <f ca="1">'TR TUSD'!$AK$50*'TR TUSD'!$AK$77</f>
        <v>12.273081844242665</v>
      </c>
      <c r="AL50" s="13">
        <f ca="1">SUM($AH$50:$AK$50)</f>
        <v>70.679189392150192</v>
      </c>
      <c r="AM50" s="13">
        <f ca="1">SUMIF($L$4:$AL$4,"SUBTOTAL",$L$50:$AL$50)</f>
        <v>522.17758251231044</v>
      </c>
      <c r="AP50" s="13">
        <f>IF((1 - CUSTOS!$M$28)&lt;&gt;0,1/(1 - CUSTOS!$M$28),1)</f>
        <v>1</v>
      </c>
    </row>
    <row r="51" spans="1:42" ht="11.25" customHeight="1" x14ac:dyDescent="0.25">
      <c r="A51" s="107"/>
      <c r="B51" s="107" t="s">
        <v>35</v>
      </c>
      <c r="C51" s="107" t="s">
        <v>47</v>
      </c>
      <c r="D51" s="107" t="s">
        <v>101</v>
      </c>
      <c r="E51" s="107" t="s">
        <v>25</v>
      </c>
      <c r="F51" s="107" t="s">
        <v>25</v>
      </c>
      <c r="G51" s="18" t="s">
        <v>83</v>
      </c>
      <c r="H51" s="18" t="s">
        <v>82</v>
      </c>
      <c r="I51" s="18">
        <f>'MERCADO TUSD'!$U$48</f>
        <v>0</v>
      </c>
      <c r="J51" s="15"/>
      <c r="L51" s="13">
        <f>'TR TUSD'!$L$51*'TR TUSD'!$L$77</f>
        <v>22.226345284531497</v>
      </c>
      <c r="M51" s="13">
        <f>'TR TUSD'!$M$51*'TR TUSD'!$M$77</f>
        <v>1.2551665188977075</v>
      </c>
      <c r="N51" s="13">
        <f ca="1">'TR TUSD'!$N$51*'TR TUSD'!$N$77</f>
        <v>11.926755295596907</v>
      </c>
      <c r="O51" s="13">
        <f>'TR TUSD'!$O$51*'TR TUSD'!$O$77</f>
        <v>0</v>
      </c>
      <c r="P51" s="13">
        <f>'TR TUSD'!$P$51*'TR TUSD'!$P$77</f>
        <v>0</v>
      </c>
      <c r="Q51" s="13">
        <f>'TR TUSD'!$Q$51*'TR TUSD'!$Q$77</f>
        <v>36.808015236282849</v>
      </c>
      <c r="R51" s="13">
        <f>'TR TUSD'!$R$51*'TR TUSD'!$R$77</f>
        <v>13.785929126696344</v>
      </c>
      <c r="S51" s="13">
        <f>'TR TUSD'!$S$51*'TR TUSD'!$S$77</f>
        <v>0</v>
      </c>
      <c r="T51" s="13">
        <f ca="1">SUM($L$51:$S$51)</f>
        <v>86.002211462005306</v>
      </c>
      <c r="U51" s="13">
        <f>'TR TUSD'!$U$51*'TR TUSD'!$U$77</f>
        <v>43.010046206187035</v>
      </c>
      <c r="V51" s="13">
        <f>'TR TUSD'!$V$51*'TR TUSD'!$V$77</f>
        <v>46.847424942561688</v>
      </c>
      <c r="W51" s="13">
        <f>'TR TUSD'!$W$51*'TR TUSD'!$W$77</f>
        <v>4.8507267557877798</v>
      </c>
      <c r="X51" s="13">
        <f>'TR TUSD'!$X$51*'TR TUSD'!$X$77</f>
        <v>0</v>
      </c>
      <c r="Y51" s="13">
        <f>'TR TUSD'!$Y$51*'TR TUSD'!$Y$77</f>
        <v>0</v>
      </c>
      <c r="Z51" s="13">
        <f>'TR TUSD'!$Z$51</f>
        <v>0</v>
      </c>
      <c r="AA51" s="13">
        <f>'TR TUSD'!$AA$51</f>
        <v>0</v>
      </c>
      <c r="AB51" s="13">
        <f>SUM($U$51:$AA$51)</f>
        <v>94.70819790453649</v>
      </c>
      <c r="AC51" s="13">
        <f>'TR TUSD'!$AC$51*'TR TUSD'!$AC$77</f>
        <v>1042.0460340084669</v>
      </c>
      <c r="AD51" s="13">
        <f>SUM($AC$51:$AC$51)</f>
        <v>1042.0460340084669</v>
      </c>
      <c r="AE51" s="13">
        <v>0</v>
      </c>
      <c r="AF51" s="13">
        <v>0</v>
      </c>
      <c r="AG51" s="13">
        <f>SUM($AE$51:$AF$51)</f>
        <v>0</v>
      </c>
      <c r="AH51" s="13">
        <f>'TR TUSD'!$AH$51*'TR TUSD'!$AH$77</f>
        <v>29.024624262394088</v>
      </c>
      <c r="AI51" s="13">
        <f>'TR TUSD'!$AI$51*'TR TUSD'!$AI$77</f>
        <v>1.3420715367861593</v>
      </c>
      <c r="AJ51" s="13">
        <f ca="1">'TR TUSD'!$AJ$51*'TR TUSD'!$AJ$77</f>
        <v>28.039411748727275</v>
      </c>
      <c r="AK51" s="13">
        <f ca="1">'TR TUSD'!$AK$51*'TR TUSD'!$AK$77</f>
        <v>12.273081844242665</v>
      </c>
      <c r="AL51" s="13">
        <f ca="1">SUM($AH$51:$AK$51)</f>
        <v>70.679189392150192</v>
      </c>
      <c r="AM51" s="13">
        <f ca="1">SUMIF($L$4:$AL$4,"SUBTOTAL",$L$51:$AL$51)</f>
        <v>1293.4356327671589</v>
      </c>
      <c r="AP51" s="13">
        <f>IF((1 - CUSTOS!$M$29)&lt;&gt;0,1/(1 - CUSTOS!$M$29),1)</f>
        <v>1</v>
      </c>
    </row>
    <row r="52" spans="1:42" ht="11.25" customHeight="1" x14ac:dyDescent="0.25">
      <c r="A52" s="107"/>
      <c r="B52" s="107"/>
      <c r="C52" s="107"/>
      <c r="D52" s="107"/>
      <c r="E52" s="107"/>
      <c r="F52" s="107"/>
      <c r="G52" s="18" t="s">
        <v>98</v>
      </c>
      <c r="H52" s="18" t="s">
        <v>82</v>
      </c>
      <c r="I52" s="18">
        <f>'MERCADO TUSD'!$U$49</f>
        <v>0</v>
      </c>
      <c r="J52" s="15"/>
      <c r="L52" s="13">
        <f>'TR TUSD'!$L$52*'TR TUSD'!$L$77</f>
        <v>22.226345284531497</v>
      </c>
      <c r="M52" s="13">
        <f>'TR TUSD'!$M$52*'TR TUSD'!$M$77</f>
        <v>1.2551665188977075</v>
      </c>
      <c r="N52" s="13">
        <f ca="1">'TR TUSD'!$N$52*'TR TUSD'!$N$77</f>
        <v>7.6357438434897764</v>
      </c>
      <c r="O52" s="13">
        <f>'TR TUSD'!$O$52*'TR TUSD'!$O$77</f>
        <v>0</v>
      </c>
      <c r="P52" s="13">
        <f>'TR TUSD'!$P$52*'TR TUSD'!$P$77</f>
        <v>0</v>
      </c>
      <c r="Q52" s="13">
        <f>'TR TUSD'!$Q$52*'TR TUSD'!$Q$77</f>
        <v>36.808015236282849</v>
      </c>
      <c r="R52" s="13">
        <f>'TR TUSD'!$R$52*'TR TUSD'!$R$77</f>
        <v>13.785929126696344</v>
      </c>
      <c r="S52" s="13">
        <f>'TR TUSD'!$S$52*'TR TUSD'!$S$77</f>
        <v>0</v>
      </c>
      <c r="T52" s="13">
        <f ca="1">SUM($L$52:$S$52)</f>
        <v>81.711200009898178</v>
      </c>
      <c r="U52" s="13">
        <f>'TR TUSD'!$U$52*'TR TUSD'!$U$77</f>
        <v>25.806075348479293</v>
      </c>
      <c r="V52" s="13">
        <f>'TR TUSD'!$V$52*'TR TUSD'!$V$77</f>
        <v>28.10842096848701</v>
      </c>
      <c r="W52" s="13">
        <f>'TR TUSD'!$W$52*'TR TUSD'!$W$77</f>
        <v>2.9104035875951775</v>
      </c>
      <c r="X52" s="13">
        <f>'TR TUSD'!$X$52*'TR TUSD'!$X$77</f>
        <v>0</v>
      </c>
      <c r="Y52" s="13">
        <f>'TR TUSD'!$Y$52*'TR TUSD'!$Y$77</f>
        <v>0</v>
      </c>
      <c r="Z52" s="13">
        <f>'TR TUSD'!$Z$52</f>
        <v>0</v>
      </c>
      <c r="AA52" s="13">
        <f>'TR TUSD'!$AA$52</f>
        <v>0</v>
      </c>
      <c r="AB52" s="13">
        <f>SUM($U$52:$AA$52)</f>
        <v>56.824899904561484</v>
      </c>
      <c r="AC52" s="13">
        <f>'TR TUSD'!$AC$52*'TR TUSD'!$AC$77</f>
        <v>625.2275724005583</v>
      </c>
      <c r="AD52" s="13">
        <f>SUM($AC$52:$AC$52)</f>
        <v>625.2275724005583</v>
      </c>
      <c r="AE52" s="13">
        <v>0</v>
      </c>
      <c r="AF52" s="13">
        <v>0</v>
      </c>
      <c r="AG52" s="13">
        <f>SUM($AE$52:$AF$52)</f>
        <v>0</v>
      </c>
      <c r="AH52" s="13">
        <f>'TR TUSD'!$AH$52*'TR TUSD'!$AH$77</f>
        <v>29.024624262394088</v>
      </c>
      <c r="AI52" s="13">
        <f>'TR TUSD'!$AI$52*'TR TUSD'!$AI$77</f>
        <v>1.3420715367861593</v>
      </c>
      <c r="AJ52" s="13">
        <f ca="1">'TR TUSD'!$AJ$52*'TR TUSD'!$AJ$77</f>
        <v>28.039411748727275</v>
      </c>
      <c r="AK52" s="13">
        <f ca="1">'TR TUSD'!$AK$52*'TR TUSD'!$AK$77</f>
        <v>12.273081844242665</v>
      </c>
      <c r="AL52" s="13">
        <f ca="1">SUM($AH$52:$AK$52)</f>
        <v>70.679189392150192</v>
      </c>
      <c r="AM52" s="13">
        <f ca="1">SUMIF($L$4:$AL$4,"SUBTOTAL",$L$52:$AL$52)</f>
        <v>834.44286170716816</v>
      </c>
      <c r="AP52" s="13">
        <f>IF((1 - CUSTOS!$M$29)&lt;&gt;0,1/(1 - CUSTOS!$M$29),1)</f>
        <v>1</v>
      </c>
    </row>
    <row r="53" spans="1:42" ht="11.25" customHeight="1" x14ac:dyDescent="0.25">
      <c r="A53" s="107"/>
      <c r="B53" s="107"/>
      <c r="C53" s="107"/>
      <c r="D53" s="107"/>
      <c r="E53" s="107"/>
      <c r="F53" s="107"/>
      <c r="G53" s="18" t="s">
        <v>84</v>
      </c>
      <c r="H53" s="18" t="s">
        <v>82</v>
      </c>
      <c r="I53" s="18">
        <f>'MERCADO TUSD'!$U$50</f>
        <v>0</v>
      </c>
      <c r="J53" s="15"/>
      <c r="L53" s="13">
        <f>'TR TUSD'!$L$53*'TR TUSD'!$L$77</f>
        <v>22.226345284531497</v>
      </c>
      <c r="M53" s="13">
        <f>'TR TUSD'!$M$53*'TR TUSD'!$M$77</f>
        <v>1.2551665188977075</v>
      </c>
      <c r="N53" s="13">
        <f ca="1">'TR TUSD'!$N$53*'TR TUSD'!$N$77</f>
        <v>3.344732391382645</v>
      </c>
      <c r="O53" s="13">
        <f>'TR TUSD'!$O$53*'TR TUSD'!$O$77</f>
        <v>0</v>
      </c>
      <c r="P53" s="13">
        <f>'TR TUSD'!$P$53*'TR TUSD'!$P$77</f>
        <v>0</v>
      </c>
      <c r="Q53" s="13">
        <f>'TR TUSD'!$Q$53*'TR TUSD'!$Q$77</f>
        <v>36.808015236282849</v>
      </c>
      <c r="R53" s="13">
        <f>'TR TUSD'!$R$53*'TR TUSD'!$R$77</f>
        <v>13.785929126696344</v>
      </c>
      <c r="S53" s="13">
        <f>'TR TUSD'!$S$53*'TR TUSD'!$S$77</f>
        <v>0</v>
      </c>
      <c r="T53" s="13">
        <f ca="1">SUM($L$53:$S$53)</f>
        <v>77.420188557791036</v>
      </c>
      <c r="U53" s="13">
        <f>'TR TUSD'!$U$53*'TR TUSD'!$U$77</f>
        <v>8.6019854288538706</v>
      </c>
      <c r="V53" s="13">
        <f>'TR TUSD'!$V$53*'TR TUSD'!$V$77</f>
        <v>9.3694169944123402</v>
      </c>
      <c r="W53" s="13">
        <f>'TR TUSD'!$W$53*'TR TUSD'!$W$77</f>
        <v>0.97008041940257583</v>
      </c>
      <c r="X53" s="13">
        <f>'TR TUSD'!$X$53*'TR TUSD'!$X$77</f>
        <v>0</v>
      </c>
      <c r="Y53" s="13">
        <f>'TR TUSD'!$Y$53*'TR TUSD'!$Y$77</f>
        <v>0</v>
      </c>
      <c r="Z53" s="13">
        <f>'TR TUSD'!$Z$53</f>
        <v>0</v>
      </c>
      <c r="AA53" s="13">
        <f>'TR TUSD'!$AA$53</f>
        <v>0</v>
      </c>
      <c r="AB53" s="13">
        <f>SUM($U$53:$AA$53)</f>
        <v>18.941482842668787</v>
      </c>
      <c r="AC53" s="13">
        <f>'TR TUSD'!$AC$53*'TR TUSD'!$AC$77</f>
        <v>208.40923080395422</v>
      </c>
      <c r="AD53" s="13">
        <f>SUM($AC$53:$AC$53)</f>
        <v>208.40923080395422</v>
      </c>
      <c r="AE53" s="13">
        <v>0</v>
      </c>
      <c r="AF53" s="13">
        <v>0</v>
      </c>
      <c r="AG53" s="13">
        <f>SUM($AE$53:$AF$53)</f>
        <v>0</v>
      </c>
      <c r="AH53" s="13">
        <f>'TR TUSD'!$AH$53*'TR TUSD'!$AH$77</f>
        <v>29.024624262394088</v>
      </c>
      <c r="AI53" s="13">
        <f>'TR TUSD'!$AI$53*'TR TUSD'!$AI$77</f>
        <v>1.3420715367861593</v>
      </c>
      <c r="AJ53" s="13">
        <f ca="1">'TR TUSD'!$AJ$53*'TR TUSD'!$AJ$77</f>
        <v>28.039411748727275</v>
      </c>
      <c r="AK53" s="13">
        <f ca="1">'TR TUSD'!$AK$53*'TR TUSD'!$AK$77</f>
        <v>12.273081844242665</v>
      </c>
      <c r="AL53" s="13">
        <f ca="1">SUM($AH$53:$AK$53)</f>
        <v>70.679189392150192</v>
      </c>
      <c r="AM53" s="13">
        <f ca="1">SUMIF($L$4:$AL$4,"SUBTOTAL",$L$53:$AL$53)</f>
        <v>375.45009159656422</v>
      </c>
      <c r="AP53" s="13">
        <f>IF((1 - CUSTOS!$M$29)&lt;&gt;0,1/(1 - CUSTOS!$M$29),1)</f>
        <v>1</v>
      </c>
    </row>
    <row r="54" spans="1:42" ht="11.25" customHeight="1" x14ac:dyDescent="0.25">
      <c r="A54" s="107"/>
      <c r="B54" s="17" t="s">
        <v>23</v>
      </c>
      <c r="C54" s="17" t="s">
        <v>47</v>
      </c>
      <c r="D54" s="17" t="s">
        <v>101</v>
      </c>
      <c r="E54" s="17" t="s">
        <v>25</v>
      </c>
      <c r="F54" s="17" t="s">
        <v>25</v>
      </c>
      <c r="G54" s="18" t="s">
        <v>88</v>
      </c>
      <c r="H54" s="18" t="s">
        <v>82</v>
      </c>
      <c r="I54" s="18">
        <f>'MERCADO TUSD'!$U$51</f>
        <v>0</v>
      </c>
      <c r="J54" s="15"/>
      <c r="L54" s="13">
        <f>'TR TUSD'!$L$54*'TR TUSD'!$L$77</f>
        <v>22.226345284531497</v>
      </c>
      <c r="M54" s="13">
        <f>'TR TUSD'!$M$54*'TR TUSD'!$M$77</f>
        <v>1.2551665188977075</v>
      </c>
      <c r="N54" s="13">
        <f ca="1">'TR TUSD'!$N$54*'TR TUSD'!$N$77</f>
        <v>4.7164512549041779</v>
      </c>
      <c r="O54" s="13">
        <f>'TR TUSD'!$O$54*'TR TUSD'!$O$77</f>
        <v>0</v>
      </c>
      <c r="P54" s="13">
        <f>'TR TUSD'!$P$54*'TR TUSD'!$P$77</f>
        <v>0</v>
      </c>
      <c r="Q54" s="13">
        <f>'TR TUSD'!$Q$54*'TR TUSD'!$Q$77</f>
        <v>36.808015236282849</v>
      </c>
      <c r="R54" s="13">
        <f>'TR TUSD'!$R$54*'TR TUSD'!$R$77</f>
        <v>13.785929126696344</v>
      </c>
      <c r="S54" s="13">
        <f>'TR TUSD'!$S$54*'TR TUSD'!$S$77</f>
        <v>0</v>
      </c>
      <c r="T54" s="13">
        <f ca="1">SUM($L$54:$S$54)</f>
        <v>78.791907421312573</v>
      </c>
      <c r="U54" s="13">
        <f>'TR TUSD'!$U$54*'TR TUSD'!$U$77</f>
        <v>14.101693530526136</v>
      </c>
      <c r="V54" s="13">
        <f>'TR TUSD'!$V$54*'TR TUSD'!$V$77</f>
        <v>15.359867189446453</v>
      </c>
      <c r="W54" s="13">
        <f>'TR TUSD'!$W$54*'TR TUSD'!$W$77</f>
        <v>1.5905033382373557</v>
      </c>
      <c r="X54" s="13">
        <f>'TR TUSD'!$X$54*'TR TUSD'!$X$77</f>
        <v>0</v>
      </c>
      <c r="Y54" s="13">
        <f>'TR TUSD'!$Y$54*'TR TUSD'!$Y$77</f>
        <v>0</v>
      </c>
      <c r="Z54" s="13">
        <f>'TR TUSD'!$Z$54</f>
        <v>0</v>
      </c>
      <c r="AA54" s="13">
        <f>'TR TUSD'!$AA$54</f>
        <v>0</v>
      </c>
      <c r="AB54" s="13">
        <f>SUM($U$54:$AA$54)</f>
        <v>31.052064058209943</v>
      </c>
      <c r="AC54" s="13">
        <f>'TR TUSD'!$AC$54*'TR TUSD'!$AC$77</f>
        <v>341.65442164063774</v>
      </c>
      <c r="AD54" s="13">
        <f>SUM($AC$54:$AC$54)</f>
        <v>341.65442164063774</v>
      </c>
      <c r="AE54" s="13">
        <v>0</v>
      </c>
      <c r="AF54" s="13">
        <v>0</v>
      </c>
      <c r="AG54" s="13">
        <f>SUM($AE$54:$AF$54)</f>
        <v>0</v>
      </c>
      <c r="AH54" s="13">
        <f>'TR TUSD'!$AH$54*'TR TUSD'!$AH$77</f>
        <v>29.024624262394088</v>
      </c>
      <c r="AI54" s="13">
        <f>'TR TUSD'!$AI$54*'TR TUSD'!$AI$77</f>
        <v>1.3420715367861593</v>
      </c>
      <c r="AJ54" s="13">
        <f ca="1">'TR TUSD'!$AJ$54*'TR TUSD'!$AJ$77</f>
        <v>28.039411748727275</v>
      </c>
      <c r="AK54" s="13">
        <f ca="1">'TR TUSD'!$AK$54*'TR TUSD'!$AK$77</f>
        <v>12.273081844242665</v>
      </c>
      <c r="AL54" s="13">
        <f ca="1">SUM($AH$54:$AK$54)</f>
        <v>70.679189392150192</v>
      </c>
      <c r="AM54" s="13">
        <f ca="1">SUMIF($L$4:$AL$4,"SUBTOTAL",$L$54:$AL$54)</f>
        <v>522.17758251231044</v>
      </c>
      <c r="AP54" s="13">
        <f>IF((1 - CUSTOS!$M$29)&lt;&gt;0,1/(1 - CUSTOS!$M$29),1)</f>
        <v>1</v>
      </c>
    </row>
    <row r="55" spans="1:42" ht="11.25" customHeight="1" x14ac:dyDescent="0.25">
      <c r="A55" s="107"/>
      <c r="B55" s="107" t="s">
        <v>35</v>
      </c>
      <c r="C55" s="107" t="s">
        <v>47</v>
      </c>
      <c r="D55" s="107" t="s">
        <v>102</v>
      </c>
      <c r="E55" s="107" t="s">
        <v>25</v>
      </c>
      <c r="F55" s="107" t="s">
        <v>25</v>
      </c>
      <c r="G55" s="18" t="s">
        <v>83</v>
      </c>
      <c r="H55" s="18" t="s">
        <v>82</v>
      </c>
      <c r="I55" s="18">
        <f>'MERCADO TUSD'!$U$52</f>
        <v>0</v>
      </c>
      <c r="J55" s="15"/>
      <c r="L55" s="13">
        <f>'TR TUSD'!$L$55*'TR TUSD'!$L$77</f>
        <v>22.226345284531497</v>
      </c>
      <c r="M55" s="13">
        <f>'TR TUSD'!$M$55*'TR TUSD'!$M$77</f>
        <v>1.2551665188977075</v>
      </c>
      <c r="N55" s="13">
        <f ca="1">'TR TUSD'!$N$55*'TR TUSD'!$N$77</f>
        <v>11.926755295596907</v>
      </c>
      <c r="O55" s="13">
        <f>'TR TUSD'!$O$55*'TR TUSD'!$O$77</f>
        <v>0</v>
      </c>
      <c r="P55" s="13">
        <f>'TR TUSD'!$P$55*'TR TUSD'!$P$77</f>
        <v>0</v>
      </c>
      <c r="Q55" s="13">
        <f>'TR TUSD'!$Q$55*'TR TUSD'!$Q$77</f>
        <v>36.808015236282849</v>
      </c>
      <c r="R55" s="13">
        <f>'TR TUSD'!$R$55*'TR TUSD'!$R$77</f>
        <v>13.785929126696344</v>
      </c>
      <c r="S55" s="13">
        <f>'TR TUSD'!$S$55*'TR TUSD'!$S$77</f>
        <v>0</v>
      </c>
      <c r="T55" s="13">
        <f ca="1">SUM($L$55:$S$55)</f>
        <v>86.002211462005306</v>
      </c>
      <c r="U55" s="13">
        <f>'TR TUSD'!$U$55*'TR TUSD'!$U$77</f>
        <v>43.010046206187035</v>
      </c>
      <c r="V55" s="13">
        <f>'TR TUSD'!$V$55*'TR TUSD'!$V$77</f>
        <v>46.847424942561688</v>
      </c>
      <c r="W55" s="13">
        <f>'TR TUSD'!$W$55*'TR TUSD'!$W$77</f>
        <v>4.8507267557877798</v>
      </c>
      <c r="X55" s="13">
        <f>'TR TUSD'!$X$55*'TR TUSD'!$X$77</f>
        <v>0</v>
      </c>
      <c r="Y55" s="13">
        <f>'TR TUSD'!$Y$55*'TR TUSD'!$Y$77</f>
        <v>0</v>
      </c>
      <c r="Z55" s="13">
        <f>'TR TUSD'!$Z$55</f>
        <v>0</v>
      </c>
      <c r="AA55" s="13">
        <f>'TR TUSD'!$AA$55</f>
        <v>0</v>
      </c>
      <c r="AB55" s="13">
        <f>SUM($U$55:$AA$55)</f>
        <v>94.70819790453649</v>
      </c>
      <c r="AC55" s="13">
        <f>'TR TUSD'!$AC$55*'TR TUSD'!$AC$77</f>
        <v>1042.0460340084669</v>
      </c>
      <c r="AD55" s="13">
        <f>SUM($AC$55:$AC$55)</f>
        <v>1042.0460340084669</v>
      </c>
      <c r="AE55" s="13">
        <v>0</v>
      </c>
      <c r="AF55" s="13">
        <v>0</v>
      </c>
      <c r="AG55" s="13">
        <f>SUM($AE$55:$AF$55)</f>
        <v>0</v>
      </c>
      <c r="AH55" s="13">
        <f>'TR TUSD'!$AH$55*'TR TUSD'!$AH$77</f>
        <v>29.024624262394088</v>
      </c>
      <c r="AI55" s="13">
        <f>'TR TUSD'!$AI$55*'TR TUSD'!$AI$77</f>
        <v>1.3420715367861593</v>
      </c>
      <c r="AJ55" s="13">
        <f ca="1">'TR TUSD'!$AJ$55*'TR TUSD'!$AJ$77</f>
        <v>28.039411748727275</v>
      </c>
      <c r="AK55" s="13">
        <f ca="1">'TR TUSD'!$AK$55*'TR TUSD'!$AK$77</f>
        <v>12.273081844242665</v>
      </c>
      <c r="AL55" s="13">
        <f ca="1">SUM($AH$55:$AK$55)</f>
        <v>70.679189392150192</v>
      </c>
      <c r="AM55" s="13">
        <f ca="1">SUMIF($L$4:$AL$4,"SUBTOTAL",$L$55:$AL$55)</f>
        <v>1293.4356327671589</v>
      </c>
      <c r="AP55" s="13">
        <f>IF((1 - CUSTOS!$M$30)&lt;&gt;0,1/(1 - CUSTOS!$M$30),1)</f>
        <v>1</v>
      </c>
    </row>
    <row r="56" spans="1:42" ht="11.25" customHeight="1" x14ac:dyDescent="0.25">
      <c r="A56" s="107"/>
      <c r="B56" s="107"/>
      <c r="C56" s="107"/>
      <c r="D56" s="107"/>
      <c r="E56" s="107"/>
      <c r="F56" s="107"/>
      <c r="G56" s="18" t="s">
        <v>98</v>
      </c>
      <c r="H56" s="18" t="s">
        <v>82</v>
      </c>
      <c r="I56" s="18">
        <f>'MERCADO TUSD'!$U$53</f>
        <v>0</v>
      </c>
      <c r="J56" s="15"/>
      <c r="L56" s="13">
        <f>'TR TUSD'!$L$56*'TR TUSD'!$L$77</f>
        <v>22.226345284531497</v>
      </c>
      <c r="M56" s="13">
        <f>'TR TUSD'!$M$56*'TR TUSD'!$M$77</f>
        <v>1.2551665188977075</v>
      </c>
      <c r="N56" s="13">
        <f ca="1">'TR TUSD'!$N$56*'TR TUSD'!$N$77</f>
        <v>7.6357438434897764</v>
      </c>
      <c r="O56" s="13">
        <f>'TR TUSD'!$O$56*'TR TUSD'!$O$77</f>
        <v>0</v>
      </c>
      <c r="P56" s="13">
        <f>'TR TUSD'!$P$56*'TR TUSD'!$P$77</f>
        <v>0</v>
      </c>
      <c r="Q56" s="13">
        <f>'TR TUSD'!$Q$56*'TR TUSD'!$Q$77</f>
        <v>36.808015236282849</v>
      </c>
      <c r="R56" s="13">
        <f>'TR TUSD'!$R$56*'TR TUSD'!$R$77</f>
        <v>13.785929126696344</v>
      </c>
      <c r="S56" s="13">
        <f>'TR TUSD'!$S$56*'TR TUSD'!$S$77</f>
        <v>0</v>
      </c>
      <c r="T56" s="13">
        <f ca="1">SUM($L$56:$S$56)</f>
        <v>81.711200009898178</v>
      </c>
      <c r="U56" s="13">
        <f>'TR TUSD'!$U$56*'TR TUSD'!$U$77</f>
        <v>25.806075348479293</v>
      </c>
      <c r="V56" s="13">
        <f>'TR TUSD'!$V$56*'TR TUSD'!$V$77</f>
        <v>28.10842096848701</v>
      </c>
      <c r="W56" s="13">
        <f>'TR TUSD'!$W$56*'TR TUSD'!$W$77</f>
        <v>2.9104035875951775</v>
      </c>
      <c r="X56" s="13">
        <f>'TR TUSD'!$X$56*'TR TUSD'!$X$77</f>
        <v>0</v>
      </c>
      <c r="Y56" s="13">
        <f>'TR TUSD'!$Y$56*'TR TUSD'!$Y$77</f>
        <v>0</v>
      </c>
      <c r="Z56" s="13">
        <f>'TR TUSD'!$Z$56</f>
        <v>0</v>
      </c>
      <c r="AA56" s="13">
        <f>'TR TUSD'!$AA$56</f>
        <v>0</v>
      </c>
      <c r="AB56" s="13">
        <f>SUM($U$56:$AA$56)</f>
        <v>56.824899904561484</v>
      </c>
      <c r="AC56" s="13">
        <f>'TR TUSD'!$AC$56*'TR TUSD'!$AC$77</f>
        <v>625.2275724005583</v>
      </c>
      <c r="AD56" s="13">
        <f>SUM($AC$56:$AC$56)</f>
        <v>625.2275724005583</v>
      </c>
      <c r="AE56" s="13">
        <v>0</v>
      </c>
      <c r="AF56" s="13">
        <v>0</v>
      </c>
      <c r="AG56" s="13">
        <f>SUM($AE$56:$AF$56)</f>
        <v>0</v>
      </c>
      <c r="AH56" s="13">
        <f>'TR TUSD'!$AH$56*'TR TUSD'!$AH$77</f>
        <v>29.024624262394088</v>
      </c>
      <c r="AI56" s="13">
        <f>'TR TUSD'!$AI$56*'TR TUSD'!$AI$77</f>
        <v>1.3420715367861593</v>
      </c>
      <c r="AJ56" s="13">
        <f ca="1">'TR TUSD'!$AJ$56*'TR TUSD'!$AJ$77</f>
        <v>28.039411748727275</v>
      </c>
      <c r="AK56" s="13">
        <f ca="1">'TR TUSD'!$AK$56*'TR TUSD'!$AK$77</f>
        <v>12.273081844242665</v>
      </c>
      <c r="AL56" s="13">
        <f ca="1">SUM($AH$56:$AK$56)</f>
        <v>70.679189392150192</v>
      </c>
      <c r="AM56" s="13">
        <f ca="1">SUMIF($L$4:$AL$4,"SUBTOTAL",$L$56:$AL$56)</f>
        <v>834.44286170716816</v>
      </c>
      <c r="AP56" s="13">
        <f>IF((1 - CUSTOS!$M$30)&lt;&gt;0,1/(1 - CUSTOS!$M$30),1)</f>
        <v>1</v>
      </c>
    </row>
    <row r="57" spans="1:42" ht="11.25" customHeight="1" x14ac:dyDescent="0.25">
      <c r="A57" s="107"/>
      <c r="B57" s="107"/>
      <c r="C57" s="107"/>
      <c r="D57" s="107"/>
      <c r="E57" s="107"/>
      <c r="F57" s="107"/>
      <c r="G57" s="18" t="s">
        <v>84</v>
      </c>
      <c r="H57" s="18" t="s">
        <v>82</v>
      </c>
      <c r="I57" s="18">
        <f>'MERCADO TUSD'!$U$54</f>
        <v>0</v>
      </c>
      <c r="J57" s="15"/>
      <c r="L57" s="13">
        <f>'TR TUSD'!$L$57*'TR TUSD'!$L$77</f>
        <v>22.226345284531497</v>
      </c>
      <c r="M57" s="13">
        <f>'TR TUSD'!$M$57*'TR TUSD'!$M$77</f>
        <v>1.2551665188977075</v>
      </c>
      <c r="N57" s="13">
        <f ca="1">'TR TUSD'!$N$57*'TR TUSD'!$N$77</f>
        <v>3.344732391382645</v>
      </c>
      <c r="O57" s="13">
        <f>'TR TUSD'!$O$57*'TR TUSD'!$O$77</f>
        <v>0</v>
      </c>
      <c r="P57" s="13">
        <f>'TR TUSD'!$P$57*'TR TUSD'!$P$77</f>
        <v>0</v>
      </c>
      <c r="Q57" s="13">
        <f>'TR TUSD'!$Q$57*'TR TUSD'!$Q$77</f>
        <v>36.808015236282849</v>
      </c>
      <c r="R57" s="13">
        <f>'TR TUSD'!$R$57*'TR TUSD'!$R$77</f>
        <v>13.785929126696344</v>
      </c>
      <c r="S57" s="13">
        <f>'TR TUSD'!$S$57*'TR TUSD'!$S$77</f>
        <v>0</v>
      </c>
      <c r="T57" s="13">
        <f ca="1">SUM($L$57:$S$57)</f>
        <v>77.420188557791036</v>
      </c>
      <c r="U57" s="13">
        <f>'TR TUSD'!$U$57*'TR TUSD'!$U$77</f>
        <v>8.6019854288538706</v>
      </c>
      <c r="V57" s="13">
        <f>'TR TUSD'!$V$57*'TR TUSD'!$V$77</f>
        <v>9.3694169944123402</v>
      </c>
      <c r="W57" s="13">
        <f>'TR TUSD'!$W$57*'TR TUSD'!$W$77</f>
        <v>0.97008041940257583</v>
      </c>
      <c r="X57" s="13">
        <f>'TR TUSD'!$X$57*'TR TUSD'!$X$77</f>
        <v>0</v>
      </c>
      <c r="Y57" s="13">
        <f>'TR TUSD'!$Y$57*'TR TUSD'!$Y$77</f>
        <v>0</v>
      </c>
      <c r="Z57" s="13">
        <f>'TR TUSD'!$Z$57</f>
        <v>0</v>
      </c>
      <c r="AA57" s="13">
        <f>'TR TUSD'!$AA$57</f>
        <v>0</v>
      </c>
      <c r="AB57" s="13">
        <f>SUM($U$57:$AA$57)</f>
        <v>18.941482842668787</v>
      </c>
      <c r="AC57" s="13">
        <f>'TR TUSD'!$AC$57*'TR TUSD'!$AC$77</f>
        <v>208.40923080395422</v>
      </c>
      <c r="AD57" s="13">
        <f>SUM($AC$57:$AC$57)</f>
        <v>208.40923080395422</v>
      </c>
      <c r="AE57" s="13">
        <v>0</v>
      </c>
      <c r="AF57" s="13">
        <v>0</v>
      </c>
      <c r="AG57" s="13">
        <f>SUM($AE$57:$AF$57)</f>
        <v>0</v>
      </c>
      <c r="AH57" s="13">
        <f>'TR TUSD'!$AH$57*'TR TUSD'!$AH$77</f>
        <v>29.024624262394088</v>
      </c>
      <c r="AI57" s="13">
        <f>'TR TUSD'!$AI$57*'TR TUSD'!$AI$77</f>
        <v>1.3420715367861593</v>
      </c>
      <c r="AJ57" s="13">
        <f ca="1">'TR TUSD'!$AJ$57*'TR TUSD'!$AJ$77</f>
        <v>28.039411748727275</v>
      </c>
      <c r="AK57" s="13">
        <f ca="1">'TR TUSD'!$AK$57*'TR TUSD'!$AK$77</f>
        <v>12.273081844242665</v>
      </c>
      <c r="AL57" s="13">
        <f ca="1">SUM($AH$57:$AK$57)</f>
        <v>70.679189392150192</v>
      </c>
      <c r="AM57" s="13">
        <f ca="1">SUMIF($L$4:$AL$4,"SUBTOTAL",$L$57:$AL$57)</f>
        <v>375.45009159656422</v>
      </c>
      <c r="AP57" s="13">
        <f>IF((1 - CUSTOS!$M$30)&lt;&gt;0,1/(1 - CUSTOS!$M$30),1)</f>
        <v>1</v>
      </c>
    </row>
    <row r="58" spans="1:42" ht="11.25" customHeight="1" x14ac:dyDescent="0.25">
      <c r="A58" s="107"/>
      <c r="B58" s="17" t="s">
        <v>23</v>
      </c>
      <c r="C58" s="17" t="s">
        <v>47</v>
      </c>
      <c r="D58" s="17" t="s">
        <v>102</v>
      </c>
      <c r="E58" s="17" t="s">
        <v>25</v>
      </c>
      <c r="F58" s="17" t="s">
        <v>25</v>
      </c>
      <c r="G58" s="18" t="s">
        <v>88</v>
      </c>
      <c r="H58" s="18" t="s">
        <v>82</v>
      </c>
      <c r="I58" s="18">
        <f>'MERCADO TUSD'!$U$55</f>
        <v>0</v>
      </c>
      <c r="J58" s="15"/>
      <c r="L58" s="13">
        <f>'TR TUSD'!$L$58*'TR TUSD'!$L$77</f>
        <v>22.226345284531497</v>
      </c>
      <c r="M58" s="13">
        <f>'TR TUSD'!$M$58*'TR TUSD'!$M$77</f>
        <v>1.2551665188977075</v>
      </c>
      <c r="N58" s="13">
        <f ca="1">'TR TUSD'!$N$58*'TR TUSD'!$N$77</f>
        <v>4.7164512549041779</v>
      </c>
      <c r="O58" s="13">
        <f>'TR TUSD'!$O$58*'TR TUSD'!$O$77</f>
        <v>0</v>
      </c>
      <c r="P58" s="13">
        <f>'TR TUSD'!$P$58*'TR TUSD'!$P$77</f>
        <v>0</v>
      </c>
      <c r="Q58" s="13">
        <f>'TR TUSD'!$Q$58*'TR TUSD'!$Q$77</f>
        <v>36.808015236282849</v>
      </c>
      <c r="R58" s="13">
        <f>'TR TUSD'!$R$58*'TR TUSD'!$R$77</f>
        <v>13.785929126696344</v>
      </c>
      <c r="S58" s="13">
        <f>'TR TUSD'!$S$58*'TR TUSD'!$S$77</f>
        <v>0</v>
      </c>
      <c r="T58" s="13">
        <f ca="1">SUM($L$58:$S$58)</f>
        <v>78.791907421312573</v>
      </c>
      <c r="U58" s="13">
        <f>'TR TUSD'!$U$58*'TR TUSD'!$U$77</f>
        <v>14.101693530526136</v>
      </c>
      <c r="V58" s="13">
        <f>'TR TUSD'!$V$58*'TR TUSD'!$V$77</f>
        <v>15.359867189446453</v>
      </c>
      <c r="W58" s="13">
        <f>'TR TUSD'!$W$58*'TR TUSD'!$W$77</f>
        <v>1.5905033382373557</v>
      </c>
      <c r="X58" s="13">
        <f>'TR TUSD'!$X$58*'TR TUSD'!$X$77</f>
        <v>0</v>
      </c>
      <c r="Y58" s="13">
        <f>'TR TUSD'!$Y$58*'TR TUSD'!$Y$77</f>
        <v>0</v>
      </c>
      <c r="Z58" s="13">
        <f>'TR TUSD'!$Z$58</f>
        <v>0</v>
      </c>
      <c r="AA58" s="13">
        <f>'TR TUSD'!$AA$58</f>
        <v>0</v>
      </c>
      <c r="AB58" s="13">
        <f>SUM($U$58:$AA$58)</f>
        <v>31.052064058209943</v>
      </c>
      <c r="AC58" s="13">
        <f>'TR TUSD'!$AC$58*'TR TUSD'!$AC$77</f>
        <v>341.65442164063774</v>
      </c>
      <c r="AD58" s="13">
        <f>SUM($AC$58:$AC$58)</f>
        <v>341.65442164063774</v>
      </c>
      <c r="AE58" s="13">
        <v>0</v>
      </c>
      <c r="AF58" s="13">
        <v>0</v>
      </c>
      <c r="AG58" s="13">
        <f>SUM($AE$58:$AF$58)</f>
        <v>0</v>
      </c>
      <c r="AH58" s="13">
        <f>'TR TUSD'!$AH$58*'TR TUSD'!$AH$77</f>
        <v>29.024624262394088</v>
      </c>
      <c r="AI58" s="13">
        <f>'TR TUSD'!$AI$58*'TR TUSD'!$AI$77</f>
        <v>1.3420715367861593</v>
      </c>
      <c r="AJ58" s="13">
        <f ca="1">'TR TUSD'!$AJ$58*'TR TUSD'!$AJ$77</f>
        <v>28.039411748727275</v>
      </c>
      <c r="AK58" s="13">
        <f ca="1">'TR TUSD'!$AK$58*'TR TUSD'!$AK$77</f>
        <v>12.273081844242665</v>
      </c>
      <c r="AL58" s="13">
        <f ca="1">SUM($AH$58:$AK$58)</f>
        <v>70.679189392150192</v>
      </c>
      <c r="AM58" s="13">
        <f ca="1">SUMIF($L$4:$AL$4,"SUBTOTAL",$L$58:$AL$58)</f>
        <v>522.17758251231044</v>
      </c>
      <c r="AP58" s="13">
        <f>IF((1 - CUSTOS!$M$30)&lt;&gt;0,1/(1 - CUSTOS!$M$30),1)</f>
        <v>1</v>
      </c>
    </row>
    <row r="59" spans="1:42" ht="11.25" customHeight="1" x14ac:dyDescent="0.25">
      <c r="A59" s="107"/>
      <c r="B59" s="107" t="s">
        <v>100</v>
      </c>
      <c r="C59" s="107" t="s">
        <v>47</v>
      </c>
      <c r="D59" s="17" t="s">
        <v>25</v>
      </c>
      <c r="E59" s="17" t="s">
        <v>25</v>
      </c>
      <c r="F59" s="17" t="s">
        <v>25</v>
      </c>
      <c r="G59" s="18" t="s">
        <v>88</v>
      </c>
      <c r="H59" s="18" t="s">
        <v>82</v>
      </c>
      <c r="I59" s="18">
        <f>'MERCADO TUSD'!$U$56</f>
        <v>0</v>
      </c>
      <c r="J59" s="15"/>
      <c r="L59" s="13">
        <f>'TR TUSD'!$L$59*'TR TUSD'!$L$77</f>
        <v>22.226345284531497</v>
      </c>
      <c r="M59" s="13">
        <f>'TR TUSD'!$M$59*'TR TUSD'!$M$77</f>
        <v>1.2551665188977075</v>
      </c>
      <c r="N59" s="13">
        <f ca="1">'TR TUSD'!$N$59*'TR TUSD'!$N$77</f>
        <v>4.7164512549041779</v>
      </c>
      <c r="O59" s="13">
        <f>'TR TUSD'!$O$59*'TR TUSD'!$O$77</f>
        <v>0</v>
      </c>
      <c r="P59" s="13">
        <f>'TR TUSD'!$P$59*'TR TUSD'!$P$77</f>
        <v>0</v>
      </c>
      <c r="Q59" s="13">
        <f>'TR TUSD'!$Q$59*'TR TUSD'!$Q$77</f>
        <v>36.808015236282849</v>
      </c>
      <c r="R59" s="13">
        <f>'TR TUSD'!$R$59*'TR TUSD'!$R$77</f>
        <v>13.785929126696344</v>
      </c>
      <c r="S59" s="13">
        <f>'TR TUSD'!$S$59*'TR TUSD'!$S$77</f>
        <v>0</v>
      </c>
      <c r="T59" s="13">
        <f ca="1">SUM($L$59:$S$59)</f>
        <v>78.791907421312573</v>
      </c>
      <c r="U59" s="13">
        <f>'TR TUSD'!$U$59*'TR TUSD'!$U$77</f>
        <v>14.101693530526136</v>
      </c>
      <c r="V59" s="13">
        <f>'TR TUSD'!$V$59*'TR TUSD'!$V$77</f>
        <v>15.359867189446453</v>
      </c>
      <c r="W59" s="13">
        <f>'TR TUSD'!$W$59*'TR TUSD'!$W$77</f>
        <v>1.5905033382373557</v>
      </c>
      <c r="X59" s="13">
        <f>'TR TUSD'!$X$59*'TR TUSD'!$X$77</f>
        <v>0</v>
      </c>
      <c r="Y59" s="13">
        <f>'TR TUSD'!$Y$59*'TR TUSD'!$Y$77</f>
        <v>0</v>
      </c>
      <c r="Z59" s="13">
        <f>'TR TUSD'!$Z$59</f>
        <v>0</v>
      </c>
      <c r="AA59" s="13">
        <f>'TR TUSD'!$AA$59</f>
        <v>0</v>
      </c>
      <c r="AB59" s="13">
        <f>SUM($U$59:$AA$59)</f>
        <v>31.052064058209943</v>
      </c>
      <c r="AC59" s="13">
        <f>'TR TUSD'!$AC$59*'TR TUSD'!$AC$77</f>
        <v>341.65442164063774</v>
      </c>
      <c r="AD59" s="13">
        <f>SUM($AC$59:$AC$59)</f>
        <v>341.65442164063774</v>
      </c>
      <c r="AE59" s="13">
        <v>0</v>
      </c>
      <c r="AF59" s="13">
        <v>0</v>
      </c>
      <c r="AG59" s="13">
        <f>SUM($AE$59:$AF$59)</f>
        <v>0</v>
      </c>
      <c r="AH59" s="13">
        <f>'TR TUSD'!$AH$59*'TR TUSD'!$AH$77</f>
        <v>29.024624262394088</v>
      </c>
      <c r="AI59" s="13">
        <f>'TR TUSD'!$AI$59*'TR TUSD'!$AI$77</f>
        <v>1.3420715367861593</v>
      </c>
      <c r="AJ59" s="13">
        <f ca="1">'TR TUSD'!$AJ$59*'TR TUSD'!$AJ$77</f>
        <v>28.039411748727275</v>
      </c>
      <c r="AK59" s="13">
        <f ca="1">'TR TUSD'!$AK$59*'TR TUSD'!$AK$77</f>
        <v>12.273081844242665</v>
      </c>
      <c r="AL59" s="13">
        <f ca="1">SUM($AH$59:$AK$59)</f>
        <v>70.679189392150192</v>
      </c>
      <c r="AM59" s="13">
        <f ca="1">SUMIF($L$4:$AL$4,"SUBTOTAL",$L$59:$AL$59)</f>
        <v>522.17758251231044</v>
      </c>
      <c r="AP59" s="13">
        <f>IF((1 - CUSTOS!$M$28)&lt;&gt;0,1/(1 - CUSTOS!$M$28),1)</f>
        <v>1</v>
      </c>
    </row>
    <row r="60" spans="1:42" ht="11.25" customHeight="1" x14ac:dyDescent="0.25">
      <c r="A60" s="107"/>
      <c r="B60" s="107"/>
      <c r="C60" s="107"/>
      <c r="D60" s="17" t="s">
        <v>101</v>
      </c>
      <c r="E60" s="17" t="s">
        <v>25</v>
      </c>
      <c r="F60" s="17" t="s">
        <v>25</v>
      </c>
      <c r="G60" s="18" t="s">
        <v>88</v>
      </c>
      <c r="H60" s="18" t="s">
        <v>82</v>
      </c>
      <c r="I60" s="18">
        <f>'MERCADO TUSD'!$U$57</f>
        <v>0</v>
      </c>
      <c r="J60" s="15"/>
      <c r="L60" s="13">
        <f>'TR TUSD'!$L$60*'TR TUSD'!$L$77</f>
        <v>22.226345284531497</v>
      </c>
      <c r="M60" s="13">
        <f>'TR TUSD'!$M$60*'TR TUSD'!$M$77</f>
        <v>1.2551665188977075</v>
      </c>
      <c r="N60" s="13">
        <f ca="1">'TR TUSD'!$N$60*'TR TUSD'!$N$77</f>
        <v>4.7164512549041779</v>
      </c>
      <c r="O60" s="13">
        <f>'TR TUSD'!$O$60*'TR TUSD'!$O$77</f>
        <v>0</v>
      </c>
      <c r="P60" s="13">
        <f>'TR TUSD'!$P$60*'TR TUSD'!$P$77</f>
        <v>0</v>
      </c>
      <c r="Q60" s="13">
        <f>'TR TUSD'!$Q$60*'TR TUSD'!$Q$77</f>
        <v>36.808015236282849</v>
      </c>
      <c r="R60" s="13">
        <f>'TR TUSD'!$R$60*'TR TUSD'!$R$77</f>
        <v>13.785929126696344</v>
      </c>
      <c r="S60" s="13">
        <f>'TR TUSD'!$S$60*'TR TUSD'!$S$77</f>
        <v>0</v>
      </c>
      <c r="T60" s="13">
        <f ca="1">SUM($L$60:$S$60)</f>
        <v>78.791907421312573</v>
      </c>
      <c r="U60" s="13">
        <f>'TR TUSD'!$U$60*'TR TUSD'!$U$77</f>
        <v>14.101693530526136</v>
      </c>
      <c r="V60" s="13">
        <f>'TR TUSD'!$V$60*'TR TUSD'!$V$77</f>
        <v>15.359867189446453</v>
      </c>
      <c r="W60" s="13">
        <f>'TR TUSD'!$W$60*'TR TUSD'!$W$77</f>
        <v>1.5905033382373557</v>
      </c>
      <c r="X60" s="13">
        <f>'TR TUSD'!$X$60*'TR TUSD'!$X$77</f>
        <v>0</v>
      </c>
      <c r="Y60" s="13">
        <f>'TR TUSD'!$Y$60*'TR TUSD'!$Y$77</f>
        <v>0</v>
      </c>
      <c r="Z60" s="13">
        <f>'TR TUSD'!$Z$60</f>
        <v>0</v>
      </c>
      <c r="AA60" s="13">
        <f>'TR TUSD'!$AA$60</f>
        <v>0</v>
      </c>
      <c r="AB60" s="13">
        <f>SUM($U$60:$AA$60)</f>
        <v>31.052064058209943</v>
      </c>
      <c r="AC60" s="13">
        <f>'TR TUSD'!$AC$60*'TR TUSD'!$AC$77</f>
        <v>341.65442164063774</v>
      </c>
      <c r="AD60" s="13">
        <f>SUM($AC$60:$AC$60)</f>
        <v>341.65442164063774</v>
      </c>
      <c r="AE60" s="13">
        <v>0</v>
      </c>
      <c r="AF60" s="13">
        <v>0</v>
      </c>
      <c r="AG60" s="13">
        <f>SUM($AE$60:$AF$60)</f>
        <v>0</v>
      </c>
      <c r="AH60" s="13">
        <f>'TR TUSD'!$AH$60*'TR TUSD'!$AH$77</f>
        <v>29.024624262394088</v>
      </c>
      <c r="AI60" s="13">
        <f>'TR TUSD'!$AI$60*'TR TUSD'!$AI$77</f>
        <v>1.3420715367861593</v>
      </c>
      <c r="AJ60" s="13">
        <f ca="1">'TR TUSD'!$AJ$60*'TR TUSD'!$AJ$77</f>
        <v>28.039411748727275</v>
      </c>
      <c r="AK60" s="13">
        <f ca="1">'TR TUSD'!$AK$60*'TR TUSD'!$AK$77</f>
        <v>12.273081844242665</v>
      </c>
      <c r="AL60" s="13">
        <f ca="1">SUM($AH$60:$AK$60)</f>
        <v>70.679189392150192</v>
      </c>
      <c r="AM60" s="13">
        <f ca="1">SUMIF($L$4:$AL$4,"SUBTOTAL",$L$60:$AL$60)</f>
        <v>522.17758251231044</v>
      </c>
      <c r="AP60" s="13">
        <f>IF((1 - CUSTOS!$M$29)&lt;&gt;0,1/(1 - CUSTOS!$M$29),1)</f>
        <v>1</v>
      </c>
    </row>
    <row r="61" spans="1:42" ht="11.25" customHeight="1" x14ac:dyDescent="0.25">
      <c r="A61" s="107"/>
      <c r="B61" s="107"/>
      <c r="C61" s="107"/>
      <c r="D61" s="17" t="s">
        <v>102</v>
      </c>
      <c r="E61" s="17" t="s">
        <v>25</v>
      </c>
      <c r="F61" s="17" t="s">
        <v>25</v>
      </c>
      <c r="G61" s="18" t="s">
        <v>88</v>
      </c>
      <c r="H61" s="18" t="s">
        <v>82</v>
      </c>
      <c r="I61" s="18">
        <f>'MERCADO TUSD'!$U$58</f>
        <v>0</v>
      </c>
      <c r="J61" s="15"/>
      <c r="L61" s="13">
        <f>'TR TUSD'!$L$61*'TR TUSD'!$L$77</f>
        <v>22.226345284531497</v>
      </c>
      <c r="M61" s="13">
        <f>'TR TUSD'!$M$61*'TR TUSD'!$M$77</f>
        <v>1.2551665188977075</v>
      </c>
      <c r="N61" s="13">
        <f ca="1">'TR TUSD'!$N$61*'TR TUSD'!$N$77</f>
        <v>4.7164512549041779</v>
      </c>
      <c r="O61" s="13">
        <f>'TR TUSD'!$O$61*'TR TUSD'!$O$77</f>
        <v>0</v>
      </c>
      <c r="P61" s="13">
        <f>'TR TUSD'!$P$61*'TR TUSD'!$P$77</f>
        <v>0</v>
      </c>
      <c r="Q61" s="13">
        <f>'TR TUSD'!$Q$61*'TR TUSD'!$Q$77</f>
        <v>36.808015236282849</v>
      </c>
      <c r="R61" s="13">
        <f>'TR TUSD'!$R$61*'TR TUSD'!$R$77</f>
        <v>13.785929126696344</v>
      </c>
      <c r="S61" s="13">
        <f>'TR TUSD'!$S$61*'TR TUSD'!$S$77</f>
        <v>0</v>
      </c>
      <c r="T61" s="13">
        <f ca="1">SUM($L$61:$S$61)</f>
        <v>78.791907421312573</v>
      </c>
      <c r="U61" s="13">
        <f>'TR TUSD'!$U$61*'TR TUSD'!$U$77</f>
        <v>14.101693530526136</v>
      </c>
      <c r="V61" s="13">
        <f>'TR TUSD'!$V$61*'TR TUSD'!$V$77</f>
        <v>15.359867189446453</v>
      </c>
      <c r="W61" s="13">
        <f>'TR TUSD'!$W$61*'TR TUSD'!$W$77</f>
        <v>1.5905033382373557</v>
      </c>
      <c r="X61" s="13">
        <f>'TR TUSD'!$X$61*'TR TUSD'!$X$77</f>
        <v>0</v>
      </c>
      <c r="Y61" s="13">
        <f>'TR TUSD'!$Y$61*'TR TUSD'!$Y$77</f>
        <v>0</v>
      </c>
      <c r="Z61" s="13">
        <f>'TR TUSD'!$Z$61</f>
        <v>0</v>
      </c>
      <c r="AA61" s="13">
        <f>'TR TUSD'!$AA$61</f>
        <v>0</v>
      </c>
      <c r="AB61" s="13">
        <f>SUM($U$61:$AA$61)</f>
        <v>31.052064058209943</v>
      </c>
      <c r="AC61" s="13">
        <f>'TR TUSD'!$AC$61*'TR TUSD'!$AC$77</f>
        <v>341.65442164063774</v>
      </c>
      <c r="AD61" s="13">
        <f>SUM($AC$61:$AC$61)</f>
        <v>341.65442164063774</v>
      </c>
      <c r="AE61" s="13">
        <v>0</v>
      </c>
      <c r="AF61" s="13">
        <v>0</v>
      </c>
      <c r="AG61" s="13">
        <f>SUM($AE$61:$AF$61)</f>
        <v>0</v>
      </c>
      <c r="AH61" s="13">
        <f>'TR TUSD'!$AH$61*'TR TUSD'!$AH$77</f>
        <v>29.024624262394088</v>
      </c>
      <c r="AI61" s="13">
        <f>'TR TUSD'!$AI$61*'TR TUSD'!$AI$77</f>
        <v>1.3420715367861593</v>
      </c>
      <c r="AJ61" s="13">
        <f ca="1">'TR TUSD'!$AJ$61*'TR TUSD'!$AJ$77</f>
        <v>28.039411748727275</v>
      </c>
      <c r="AK61" s="13">
        <f ca="1">'TR TUSD'!$AK$61*'TR TUSD'!$AK$77</f>
        <v>12.273081844242665</v>
      </c>
      <c r="AL61" s="13">
        <f ca="1">SUM($AH$61:$AK$61)</f>
        <v>70.679189392150192</v>
      </c>
      <c r="AM61" s="13">
        <f ca="1">SUMIF($L$4:$AL$4,"SUBTOTAL",$L$61:$AL$61)</f>
        <v>522.17758251231044</v>
      </c>
      <c r="AP61" s="13">
        <f>IF((1 - CUSTOS!$M$30)&lt;&gt;0,1/(1 - CUSTOS!$M$30),1)</f>
        <v>1</v>
      </c>
    </row>
    <row r="62" spans="1:42" ht="11.25" customHeight="1" x14ac:dyDescent="0.25">
      <c r="A62" s="107" t="s">
        <v>39</v>
      </c>
      <c r="B62" s="107" t="s">
        <v>35</v>
      </c>
      <c r="C62" s="107" t="s">
        <v>25</v>
      </c>
      <c r="D62" s="107" t="s">
        <v>25</v>
      </c>
      <c r="E62" s="107" t="s">
        <v>25</v>
      </c>
      <c r="F62" s="107" t="s">
        <v>25</v>
      </c>
      <c r="G62" s="18" t="s">
        <v>83</v>
      </c>
      <c r="H62" s="18" t="s">
        <v>82</v>
      </c>
      <c r="I62" s="18">
        <f>'MERCADO TUSD'!$U$59</f>
        <v>79.968999999999994</v>
      </c>
      <c r="J62" s="15"/>
      <c r="L62" s="13">
        <f>'TR TUSD'!$L$62*'TR TUSD'!$L$77</f>
        <v>22.226345284531497</v>
      </c>
      <c r="M62" s="13">
        <f>'TR TUSD'!$M$62*'TR TUSD'!$M$77</f>
        <v>1.2551665188977075</v>
      </c>
      <c r="N62" s="13">
        <f ca="1">'TR TUSD'!$N$62*'TR TUSD'!$N$77</f>
        <v>13.157784074054572</v>
      </c>
      <c r="O62" s="13">
        <f>'TR TUSD'!$O$62*'TR TUSD'!$O$77</f>
        <v>0</v>
      </c>
      <c r="P62" s="13">
        <f>'TR TUSD'!$P$62*'TR TUSD'!$P$77</f>
        <v>0</v>
      </c>
      <c r="Q62" s="13">
        <f>'TR TUSD'!$Q$62*'TR TUSD'!$Q$77</f>
        <v>36.808015236282849</v>
      </c>
      <c r="R62" s="13">
        <f>'TR TUSD'!$R$62*'TR TUSD'!$R$77</f>
        <v>13.785929126696344</v>
      </c>
      <c r="S62" s="13">
        <f>'TR TUSD'!$S$62*'TR TUSD'!$S$77</f>
        <v>0</v>
      </c>
      <c r="T62" s="13">
        <f ca="1">SUM($L$62:$S$62)</f>
        <v>87.233240240462976</v>
      </c>
      <c r="U62" s="13">
        <f>'TR TUSD'!$U$62*'TR TUSD'!$U$77</f>
        <v>47.945638941871181</v>
      </c>
      <c r="V62" s="13">
        <f>'TR TUSD'!$V$62*'TR TUSD'!$V$77</f>
        <v>52.223378458867948</v>
      </c>
      <c r="W62" s="13">
        <f>'TR TUSD'!$W$62*'TR TUSD'!$W$77</f>
        <v>5.4075165547420694</v>
      </c>
      <c r="X62" s="13">
        <f>'TR TUSD'!$X$62*'TR TUSD'!$X$77</f>
        <v>0</v>
      </c>
      <c r="Y62" s="13">
        <f>'TR TUSD'!$Y$62*'TR TUSD'!$Y$77</f>
        <v>0</v>
      </c>
      <c r="Z62" s="13">
        <f>'TR TUSD'!$Z$62</f>
        <v>0</v>
      </c>
      <c r="AA62" s="13">
        <f>'TR TUSD'!$AA$62</f>
        <v>0</v>
      </c>
      <c r="AB62" s="13">
        <f>SUM($U$62:$AA$62)</f>
        <v>105.57653395548121</v>
      </c>
      <c r="AC62" s="13">
        <f>'TR TUSD'!$AC$62*'TR TUSD'!$AC$77</f>
        <v>1161.6250575804293</v>
      </c>
      <c r="AD62" s="13">
        <f>SUM($AC$62:$AC$62)</f>
        <v>1161.6250575804293</v>
      </c>
      <c r="AE62" s="13">
        <v>0</v>
      </c>
      <c r="AF62" s="13">
        <v>0</v>
      </c>
      <c r="AG62" s="13">
        <f>SUM($AE$62:$AF$62)</f>
        <v>0</v>
      </c>
      <c r="AH62" s="13">
        <f>'TR TUSD'!$AH$62*'TR TUSD'!$AH$77</f>
        <v>29.024624262394088</v>
      </c>
      <c r="AI62" s="13">
        <f>'TR TUSD'!$AI$62*'TR TUSD'!$AI$77</f>
        <v>1.3420715367861593</v>
      </c>
      <c r="AJ62" s="13">
        <f ca="1">'TR TUSD'!$AJ$62*'TR TUSD'!$AJ$77</f>
        <v>28.039411748727275</v>
      </c>
      <c r="AK62" s="13">
        <f ca="1">'TR TUSD'!$AK$62*'TR TUSD'!$AK$77</f>
        <v>12.273081844242665</v>
      </c>
      <c r="AL62" s="13">
        <f ca="1">SUM($AH$62:$AK$62)</f>
        <v>70.679189392150192</v>
      </c>
      <c r="AM62" s="13">
        <f ca="1">SUMIF($L$4:$AL$4,"SUBTOTAL",$L$62:$AL$62)</f>
        <v>1425.1140211685235</v>
      </c>
      <c r="AP62" s="13">
        <f>IF((1 - CUSTOS!$M$31)&lt;&gt;0,1/(1 - CUSTOS!$M$31),1)</f>
        <v>1</v>
      </c>
    </row>
    <row r="63" spans="1:42" ht="11.25" customHeight="1" x14ac:dyDescent="0.25">
      <c r="A63" s="107"/>
      <c r="B63" s="107"/>
      <c r="C63" s="107"/>
      <c r="D63" s="107"/>
      <c r="E63" s="107"/>
      <c r="F63" s="107"/>
      <c r="G63" s="18" t="s">
        <v>98</v>
      </c>
      <c r="H63" s="18" t="s">
        <v>82</v>
      </c>
      <c r="I63" s="18">
        <f>'MERCADO TUSD'!$U$60</f>
        <v>41.695999999999998</v>
      </c>
      <c r="J63" s="15"/>
      <c r="L63" s="13">
        <f>'TR TUSD'!$L$63*'TR TUSD'!$L$77</f>
        <v>22.226345284531497</v>
      </c>
      <c r="M63" s="13">
        <f>'TR TUSD'!$M$63*'TR TUSD'!$M$77</f>
        <v>1.2551665188977075</v>
      </c>
      <c r="N63" s="13">
        <f ca="1">'TR TUSD'!$N$63*'TR TUSD'!$N$77</f>
        <v>8.3743613400395578</v>
      </c>
      <c r="O63" s="13">
        <f>'TR TUSD'!$O$63*'TR TUSD'!$O$77</f>
        <v>0</v>
      </c>
      <c r="P63" s="13">
        <f>'TR TUSD'!$P$63*'TR TUSD'!$P$77</f>
        <v>0</v>
      </c>
      <c r="Q63" s="13">
        <f>'TR TUSD'!$Q$63*'TR TUSD'!$Q$77</f>
        <v>36.808015236282849</v>
      </c>
      <c r="R63" s="13">
        <f>'TR TUSD'!$R$63*'TR TUSD'!$R$77</f>
        <v>13.785929126696344</v>
      </c>
      <c r="S63" s="13">
        <f>'TR TUSD'!$S$63*'TR TUSD'!$S$77</f>
        <v>0</v>
      </c>
      <c r="T63" s="13">
        <f ca="1">SUM($L$63:$S$63)</f>
        <v>82.449817506447957</v>
      </c>
      <c r="U63" s="13">
        <f>'TR TUSD'!$U$63*'TR TUSD'!$U$77</f>
        <v>28.767383365122708</v>
      </c>
      <c r="V63" s="13">
        <f>'TR TUSD'!$V$63*'TR TUSD'!$V$77</f>
        <v>31.334061072370766</v>
      </c>
      <c r="W63" s="13">
        <f>'TR TUSD'!$W$63*'TR TUSD'!$W$77</f>
        <v>3.2444774669677514</v>
      </c>
      <c r="X63" s="13">
        <f>'TR TUSD'!$X$63*'TR TUSD'!$X$77</f>
        <v>0</v>
      </c>
      <c r="Y63" s="13">
        <f>'TR TUSD'!$Y$63*'TR TUSD'!$Y$77</f>
        <v>0</v>
      </c>
      <c r="Z63" s="13">
        <f>'TR TUSD'!$Z$63</f>
        <v>0</v>
      </c>
      <c r="AA63" s="13">
        <f>'TR TUSD'!$AA$63</f>
        <v>0</v>
      </c>
      <c r="AB63" s="13">
        <f>SUM($U$63:$AA$63)</f>
        <v>63.345921904461221</v>
      </c>
      <c r="AC63" s="13">
        <f>'TR TUSD'!$AC$63*'TR TUSD'!$AC$77</f>
        <v>696.97501054599661</v>
      </c>
      <c r="AD63" s="13">
        <f>SUM($AC$63:$AC$63)</f>
        <v>696.97501054599661</v>
      </c>
      <c r="AE63" s="13">
        <v>0</v>
      </c>
      <c r="AF63" s="13">
        <v>0</v>
      </c>
      <c r="AG63" s="13">
        <f>SUM($AE$63:$AF$63)</f>
        <v>0</v>
      </c>
      <c r="AH63" s="13">
        <f>'TR TUSD'!$AH$63*'TR TUSD'!$AH$77</f>
        <v>29.024624262394088</v>
      </c>
      <c r="AI63" s="13">
        <f>'TR TUSD'!$AI$63*'TR TUSD'!$AI$77</f>
        <v>1.3420715367861593</v>
      </c>
      <c r="AJ63" s="13">
        <f ca="1">'TR TUSD'!$AJ$63*'TR TUSD'!$AJ$77</f>
        <v>28.039411748727275</v>
      </c>
      <c r="AK63" s="13">
        <f ca="1">'TR TUSD'!$AK$63*'TR TUSD'!$AK$77</f>
        <v>12.273081844242665</v>
      </c>
      <c r="AL63" s="13">
        <f ca="1">SUM($AH$63:$AK$63)</f>
        <v>70.679189392150192</v>
      </c>
      <c r="AM63" s="13">
        <f ca="1">SUMIF($L$4:$AL$4,"SUBTOTAL",$L$63:$AL$63)</f>
        <v>913.44993934905597</v>
      </c>
      <c r="AP63" s="13">
        <f>IF((1 - CUSTOS!$M$31)&lt;&gt;0,1/(1 - CUSTOS!$M$31),1)</f>
        <v>1</v>
      </c>
    </row>
    <row r="64" spans="1:42" ht="11.25" customHeight="1" x14ac:dyDescent="0.25">
      <c r="A64" s="107"/>
      <c r="B64" s="107"/>
      <c r="C64" s="107"/>
      <c r="D64" s="107"/>
      <c r="E64" s="107"/>
      <c r="F64" s="107"/>
      <c r="G64" s="18" t="s">
        <v>84</v>
      </c>
      <c r="H64" s="18" t="s">
        <v>82</v>
      </c>
      <c r="I64" s="18">
        <f>'MERCADO TUSD'!$U$61</f>
        <v>1338.2650000000001</v>
      </c>
      <c r="J64" s="15"/>
      <c r="L64" s="13">
        <f>'TR TUSD'!$L$64*'TR TUSD'!$L$77</f>
        <v>22.226345284531497</v>
      </c>
      <c r="M64" s="13">
        <f>'TR TUSD'!$M$64*'TR TUSD'!$M$77</f>
        <v>1.2551665188977075</v>
      </c>
      <c r="N64" s="13">
        <f ca="1">'TR TUSD'!$N$64*'TR TUSD'!$N$77</f>
        <v>3.5909386060245372</v>
      </c>
      <c r="O64" s="13">
        <f>'TR TUSD'!$O$64*'TR TUSD'!$O$77</f>
        <v>0</v>
      </c>
      <c r="P64" s="13">
        <f>'TR TUSD'!$P$64*'TR TUSD'!$P$77</f>
        <v>0</v>
      </c>
      <c r="Q64" s="13">
        <f>'TR TUSD'!$Q$64*'TR TUSD'!$Q$77</f>
        <v>36.808015236282849</v>
      </c>
      <c r="R64" s="13">
        <f>'TR TUSD'!$R$64*'TR TUSD'!$R$77</f>
        <v>13.785929126696344</v>
      </c>
      <c r="S64" s="13">
        <f>'TR TUSD'!$S$64*'TR TUSD'!$S$77</f>
        <v>0</v>
      </c>
      <c r="T64" s="13">
        <f ca="1">SUM($L$64:$S$64)</f>
        <v>77.666394772432938</v>
      </c>
      <c r="U64" s="13">
        <f>'TR TUSD'!$U$64*'TR TUSD'!$U$77</f>
        <v>9.5891277883742365</v>
      </c>
      <c r="V64" s="13">
        <f>'TR TUSD'!$V$64*'TR TUSD'!$V$77</f>
        <v>10.444743685873586</v>
      </c>
      <c r="W64" s="13">
        <f>'TR TUSD'!$W$64*'TR TUSD'!$W$77</f>
        <v>1.0814383791934337</v>
      </c>
      <c r="X64" s="13">
        <f>'TR TUSD'!$X$64*'TR TUSD'!$X$77</f>
        <v>0</v>
      </c>
      <c r="Y64" s="13">
        <f>'TR TUSD'!$Y$64*'TR TUSD'!$Y$77</f>
        <v>0</v>
      </c>
      <c r="Z64" s="13">
        <f>'TR TUSD'!$Z$64</f>
        <v>0</v>
      </c>
      <c r="AA64" s="13">
        <f>'TR TUSD'!$AA$64</f>
        <v>0</v>
      </c>
      <c r="AB64" s="13">
        <f>SUM($U$64:$AA$64)</f>
        <v>21.115309853441257</v>
      </c>
      <c r="AC64" s="13">
        <f>'TR TUSD'!$AC$64*'TR TUSD'!$AC$77</f>
        <v>232.32496351156414</v>
      </c>
      <c r="AD64" s="13">
        <f>SUM($AC$64:$AC$64)</f>
        <v>232.32496351156414</v>
      </c>
      <c r="AE64" s="13">
        <v>0</v>
      </c>
      <c r="AF64" s="13">
        <v>0</v>
      </c>
      <c r="AG64" s="13">
        <f>SUM($AE$64:$AF$64)</f>
        <v>0</v>
      </c>
      <c r="AH64" s="13">
        <f>'TR TUSD'!$AH$64*'TR TUSD'!$AH$77</f>
        <v>29.024624262394088</v>
      </c>
      <c r="AI64" s="13">
        <f>'TR TUSD'!$AI$64*'TR TUSD'!$AI$77</f>
        <v>1.3420715367861593</v>
      </c>
      <c r="AJ64" s="13">
        <f ca="1">'TR TUSD'!$AJ$64*'TR TUSD'!$AJ$77</f>
        <v>28.039411748727275</v>
      </c>
      <c r="AK64" s="13">
        <f ca="1">'TR TUSD'!$AK$64*'TR TUSD'!$AK$77</f>
        <v>12.273081844242665</v>
      </c>
      <c r="AL64" s="13">
        <f ca="1">SUM($AH$64:$AK$64)</f>
        <v>70.679189392150192</v>
      </c>
      <c r="AM64" s="13">
        <f ca="1">SUMIF($L$4:$AL$4,"SUBTOTAL",$L$64:$AL$64)</f>
        <v>401.7858575295885</v>
      </c>
      <c r="AP64" s="13">
        <f>IF((1 - CUSTOS!$M$31)&lt;&gt;0,1/(1 - CUSTOS!$M$31),1)</f>
        <v>1</v>
      </c>
    </row>
    <row r="65" spans="1:42" ht="11.25" customHeight="1" x14ac:dyDescent="0.25">
      <c r="A65" s="107"/>
      <c r="B65" s="17" t="s">
        <v>23</v>
      </c>
      <c r="C65" s="17" t="s">
        <v>25</v>
      </c>
      <c r="D65" s="17" t="s">
        <v>25</v>
      </c>
      <c r="E65" s="17" t="s">
        <v>25</v>
      </c>
      <c r="F65" s="17" t="s">
        <v>25</v>
      </c>
      <c r="G65" s="18" t="s">
        <v>88</v>
      </c>
      <c r="H65" s="18" t="s">
        <v>82</v>
      </c>
      <c r="I65" s="18">
        <f>'MERCADO TUSD'!$U$62</f>
        <v>209665.67300000001</v>
      </c>
      <c r="J65" s="15"/>
      <c r="L65" s="13">
        <f>'TR TUSD'!$L$65*'TR TUSD'!$L$77</f>
        <v>22.226345284531497</v>
      </c>
      <c r="M65" s="13">
        <f>'TR TUSD'!$M$65*'TR TUSD'!$M$77</f>
        <v>1.2551665188977075</v>
      </c>
      <c r="N65" s="13">
        <f ca="1">'TR TUSD'!$N$65*'TR TUSD'!$N$77</f>
        <v>4.7164512549041779</v>
      </c>
      <c r="O65" s="13">
        <f>'TR TUSD'!$O$65*'TR TUSD'!$O$77</f>
        <v>0</v>
      </c>
      <c r="P65" s="13">
        <f>'TR TUSD'!$P$65*'TR TUSD'!$P$77</f>
        <v>0</v>
      </c>
      <c r="Q65" s="13">
        <f>'TR TUSD'!$Q$65*'TR TUSD'!$Q$77</f>
        <v>36.808015236282849</v>
      </c>
      <c r="R65" s="13">
        <f>'TR TUSD'!$R$65*'TR TUSD'!$R$77</f>
        <v>13.785929126696344</v>
      </c>
      <c r="S65" s="13">
        <f>'TR TUSD'!$S$65*'TR TUSD'!$S$77</f>
        <v>0</v>
      </c>
      <c r="T65" s="13">
        <f ca="1">SUM($L$65:$S$65)</f>
        <v>78.791907421312573</v>
      </c>
      <c r="U65" s="13">
        <f>'TR TUSD'!$U$65*'TR TUSD'!$U$77</f>
        <v>14.101693530526136</v>
      </c>
      <c r="V65" s="13">
        <f>'TR TUSD'!$V$65*'TR TUSD'!$V$77</f>
        <v>15.359867189446453</v>
      </c>
      <c r="W65" s="13">
        <f>'TR TUSD'!$W$65*'TR TUSD'!$W$77</f>
        <v>1.5905033382373557</v>
      </c>
      <c r="X65" s="13">
        <f>'TR TUSD'!$X$65*'TR TUSD'!$X$77</f>
        <v>0</v>
      </c>
      <c r="Y65" s="13">
        <f>'TR TUSD'!$Y$65*'TR TUSD'!$Y$77</f>
        <v>0</v>
      </c>
      <c r="Z65" s="13">
        <f>'TR TUSD'!$Z$65</f>
        <v>0</v>
      </c>
      <c r="AA65" s="13">
        <f>'TR TUSD'!$AA$65</f>
        <v>0</v>
      </c>
      <c r="AB65" s="13">
        <f>SUM($U$65:$AA$65)</f>
        <v>31.052064058209943</v>
      </c>
      <c r="AC65" s="13">
        <f>'TR TUSD'!$AC$65*'TR TUSD'!$AC$77</f>
        <v>341.65442164063774</v>
      </c>
      <c r="AD65" s="13">
        <f>SUM($AC$65:$AC$65)</f>
        <v>341.65442164063774</v>
      </c>
      <c r="AE65" s="13">
        <v>0</v>
      </c>
      <c r="AF65" s="13">
        <v>0</v>
      </c>
      <c r="AG65" s="13">
        <f>SUM($AE$65:$AF$65)</f>
        <v>0</v>
      </c>
      <c r="AH65" s="13">
        <f>'TR TUSD'!$AH$65*'TR TUSD'!$AH$77</f>
        <v>29.024624262394088</v>
      </c>
      <c r="AI65" s="13">
        <f>'TR TUSD'!$AI$65*'TR TUSD'!$AI$77</f>
        <v>1.3420715367861593</v>
      </c>
      <c r="AJ65" s="13">
        <f ca="1">'TR TUSD'!$AJ$65*'TR TUSD'!$AJ$77</f>
        <v>28.039411748727275</v>
      </c>
      <c r="AK65" s="13">
        <f ca="1">'TR TUSD'!$AK$65*'TR TUSD'!$AK$77</f>
        <v>12.273081844242665</v>
      </c>
      <c r="AL65" s="13">
        <f ca="1">SUM($AH$65:$AK$65)</f>
        <v>70.679189392150192</v>
      </c>
      <c r="AM65" s="13">
        <f ca="1">SUMIF($L$4:$AL$4,"SUBTOTAL",$L$65:$AL$65)</f>
        <v>522.17758251231044</v>
      </c>
      <c r="AP65" s="13">
        <f>IF((1 - CUSTOS!$M$31)&lt;&gt;0,1/(1 - CUSTOS!$M$31),1)</f>
        <v>1</v>
      </c>
    </row>
    <row r="66" spans="1:42" ht="11.25" customHeight="1" x14ac:dyDescent="0.25">
      <c r="A66" s="107"/>
      <c r="B66" s="17" t="s">
        <v>100</v>
      </c>
      <c r="C66" s="17" t="s">
        <v>25</v>
      </c>
      <c r="D66" s="17" t="s">
        <v>25</v>
      </c>
      <c r="E66" s="17" t="s">
        <v>25</v>
      </c>
      <c r="F66" s="17" t="s">
        <v>25</v>
      </c>
      <c r="G66" s="18" t="s">
        <v>88</v>
      </c>
      <c r="H66" s="18" t="s">
        <v>82</v>
      </c>
      <c r="I66" s="18">
        <f>'MERCADO TUSD'!$U$63</f>
        <v>0</v>
      </c>
      <c r="J66" s="15"/>
      <c r="L66" s="13">
        <f>'TR TUSD'!$L$66*'TR TUSD'!$L$77</f>
        <v>22.226345284531497</v>
      </c>
      <c r="M66" s="13">
        <f>'TR TUSD'!$M$66*'TR TUSD'!$M$77</f>
        <v>1.2551665188977075</v>
      </c>
      <c r="N66" s="13">
        <f ca="1">'TR TUSD'!$N$66*'TR TUSD'!$N$77</f>
        <v>4.7164512549041779</v>
      </c>
      <c r="O66" s="13">
        <f>'TR TUSD'!$O$66*'TR TUSD'!$O$77</f>
        <v>0</v>
      </c>
      <c r="P66" s="13">
        <f>'TR TUSD'!$P$66*'TR TUSD'!$P$77</f>
        <v>0</v>
      </c>
      <c r="Q66" s="13">
        <f>'TR TUSD'!$Q$66*'TR TUSD'!$Q$77</f>
        <v>36.808015236282849</v>
      </c>
      <c r="R66" s="13">
        <f>'TR TUSD'!$R$66*'TR TUSD'!$R$77</f>
        <v>13.785929126696344</v>
      </c>
      <c r="S66" s="13">
        <f>'TR TUSD'!$S$66*'TR TUSD'!$S$77</f>
        <v>0</v>
      </c>
      <c r="T66" s="13">
        <f ca="1">SUM($L$66:$S$66)</f>
        <v>78.791907421312573</v>
      </c>
      <c r="U66" s="13">
        <f>'TR TUSD'!$U$66*'TR TUSD'!$U$77</f>
        <v>14.101693530526136</v>
      </c>
      <c r="V66" s="13">
        <f>'TR TUSD'!$V$66*'TR TUSD'!$V$77</f>
        <v>15.359867189446453</v>
      </c>
      <c r="W66" s="13">
        <f>'TR TUSD'!$W$66*'TR TUSD'!$W$77</f>
        <v>1.5905033382373557</v>
      </c>
      <c r="X66" s="13">
        <f>'TR TUSD'!$X$66*'TR TUSD'!$X$77</f>
        <v>0</v>
      </c>
      <c r="Y66" s="13">
        <f>'TR TUSD'!$Y$66*'TR TUSD'!$Y$77</f>
        <v>0</v>
      </c>
      <c r="Z66" s="13">
        <f>'TR TUSD'!$Z$66</f>
        <v>0</v>
      </c>
      <c r="AA66" s="13">
        <f>'TR TUSD'!$AA$66</f>
        <v>0</v>
      </c>
      <c r="AB66" s="13">
        <f>SUM($U$66:$AA$66)</f>
        <v>31.052064058209943</v>
      </c>
      <c r="AC66" s="13">
        <f>'TR TUSD'!$AC$66*'TR TUSD'!$AC$77</f>
        <v>341.65442164063774</v>
      </c>
      <c r="AD66" s="13">
        <f>SUM($AC$66:$AC$66)</f>
        <v>341.65442164063774</v>
      </c>
      <c r="AE66" s="13">
        <v>0</v>
      </c>
      <c r="AF66" s="13">
        <v>0</v>
      </c>
      <c r="AG66" s="13">
        <f>SUM($AE$66:$AF$66)</f>
        <v>0</v>
      </c>
      <c r="AH66" s="13">
        <f>'TR TUSD'!$AH$66*'TR TUSD'!$AH$77</f>
        <v>29.024624262394088</v>
      </c>
      <c r="AI66" s="13">
        <f>'TR TUSD'!$AI$66*'TR TUSD'!$AI$77</f>
        <v>1.3420715367861593</v>
      </c>
      <c r="AJ66" s="13">
        <f ca="1">'TR TUSD'!$AJ$66*'TR TUSD'!$AJ$77</f>
        <v>28.039411748727275</v>
      </c>
      <c r="AK66" s="13">
        <f ca="1">'TR TUSD'!$AK$66*'TR TUSD'!$AK$77</f>
        <v>12.273081844242665</v>
      </c>
      <c r="AL66" s="13">
        <f ca="1">SUM($AH$66:$AK$66)</f>
        <v>70.679189392150192</v>
      </c>
      <c r="AM66" s="13">
        <f ca="1">SUMIF($L$4:$AL$4,"SUBTOTAL",$L$66:$AL$66)</f>
        <v>522.17758251231044</v>
      </c>
      <c r="AP66" s="13">
        <f>IF((1 - CUSTOS!$M$31)&lt;&gt;0,1/(1 - CUSTOS!$M$31),1)</f>
        <v>1</v>
      </c>
    </row>
    <row r="67" spans="1:42" ht="11.25" customHeight="1" x14ac:dyDescent="0.25">
      <c r="A67" s="107" t="s">
        <v>49</v>
      </c>
      <c r="B67" s="107" t="s">
        <v>23</v>
      </c>
      <c r="C67" s="107" t="s">
        <v>50</v>
      </c>
      <c r="D67" s="17" t="s">
        <v>51</v>
      </c>
      <c r="E67" s="17" t="s">
        <v>25</v>
      </c>
      <c r="F67" s="17" t="s">
        <v>25</v>
      </c>
      <c r="G67" s="18" t="s">
        <v>88</v>
      </c>
      <c r="H67" s="18" t="s">
        <v>82</v>
      </c>
      <c r="I67" s="18">
        <f>'MERCADO TUSD'!$U$64</f>
        <v>49365.182000000001</v>
      </c>
      <c r="J67" s="15"/>
      <c r="L67" s="13">
        <f>'TR TUSD'!$L$67*'TR TUSD'!$L$77</f>
        <v>12.224489906492325</v>
      </c>
      <c r="M67" s="13">
        <f>'TR TUSD'!$M$67*'TR TUSD'!$M$77</f>
        <v>0.69034158539373913</v>
      </c>
      <c r="N67" s="13">
        <f ca="1">'TR TUSD'!$N$67*'TR TUSD'!$N$77</f>
        <v>2.5940481901972992</v>
      </c>
      <c r="O67" s="13">
        <f>'TR TUSD'!$O$67*'TR TUSD'!$O$77</f>
        <v>0</v>
      </c>
      <c r="P67" s="13">
        <f>'TR TUSD'!$P$67*'TR TUSD'!$P$77</f>
        <v>0</v>
      </c>
      <c r="Q67" s="13">
        <f>'TR TUSD'!$Q$67*'TR TUSD'!$Q$77</f>
        <v>20.244408379955569</v>
      </c>
      <c r="R67" s="13">
        <f>'TR TUSD'!$R$67*'TR TUSD'!$R$77</f>
        <v>7.5822610196829894</v>
      </c>
      <c r="S67" s="13">
        <f>'TR TUSD'!$S$67*'TR TUSD'!$S$77</f>
        <v>0</v>
      </c>
      <c r="T67" s="13">
        <f ca="1">SUM($L$67:$S$67)</f>
        <v>43.335549081721922</v>
      </c>
      <c r="U67" s="13">
        <f>'TR TUSD'!$U$67*'TR TUSD'!$U$77</f>
        <v>7.7559314417893752</v>
      </c>
      <c r="V67" s="13">
        <f>'TR TUSD'!$V$67*'TR TUSD'!$V$77</f>
        <v>8.44792695419555</v>
      </c>
      <c r="W67" s="13">
        <f>'TR TUSD'!$W$67*'TR TUSD'!$W$77</f>
        <v>0.87477683603054579</v>
      </c>
      <c r="X67" s="13">
        <f>'TR TUSD'!$X$67*'TR TUSD'!$X$77</f>
        <v>0</v>
      </c>
      <c r="Y67" s="13">
        <f>'TR TUSD'!$Y$67*'TR TUSD'!$Y$77</f>
        <v>0</v>
      </c>
      <c r="Z67" s="13">
        <f>'TR TUSD'!$Z$67</f>
        <v>0</v>
      </c>
      <c r="AA67" s="13">
        <f>'TR TUSD'!$AA$67</f>
        <v>0</v>
      </c>
      <c r="AB67" s="13">
        <f>SUM($U$67:$AA$67)</f>
        <v>17.078635232015468</v>
      </c>
      <c r="AC67" s="13">
        <f>'TR TUSD'!$AC$67*'TR TUSD'!$AC$77</f>
        <v>187.90993190235076</v>
      </c>
      <c r="AD67" s="13">
        <f>SUM($AC$67:$AC$67)</f>
        <v>187.90993190235076</v>
      </c>
      <c r="AE67" s="13">
        <v>0</v>
      </c>
      <c r="AF67" s="13">
        <v>0</v>
      </c>
      <c r="AG67" s="13">
        <f>SUM($AE$67:$AF$67)</f>
        <v>0</v>
      </c>
      <c r="AH67" s="13">
        <f>'TR TUSD'!$AH$67*'TR TUSD'!$AH$77</f>
        <v>15.963543344316749</v>
      </c>
      <c r="AI67" s="13">
        <f>'TR TUSD'!$AI$67*'TR TUSD'!$AI$77</f>
        <v>0.73813934523238767</v>
      </c>
      <c r="AJ67" s="13">
        <f ca="1">'TR TUSD'!$AJ$67*'TR TUSD'!$AJ$77</f>
        <v>15.421676461800002</v>
      </c>
      <c r="AK67" s="13">
        <f ca="1">'TR TUSD'!$AK$67*'TR TUSD'!$AK$77</f>
        <v>6.7501950143334666</v>
      </c>
      <c r="AL67" s="13">
        <f ca="1">SUM($AH$67:$AK$67)</f>
        <v>38.873554165682606</v>
      </c>
      <c r="AM67" s="13">
        <f ca="1">SUMIF($L$4:$AL$4,"SUBTOTAL",$L$67:$AL$67)</f>
        <v>287.19767038177076</v>
      </c>
      <c r="AP67" s="13">
        <f>IF((1 - CUSTOS!$M$32)&lt;&gt;0,1/(1 - CUSTOS!$M$32),1)</f>
        <v>1.8181818181818181</v>
      </c>
    </row>
    <row r="68" spans="1:42" ht="11.25" customHeight="1" x14ac:dyDescent="0.25">
      <c r="A68" s="107"/>
      <c r="B68" s="107"/>
      <c r="C68" s="107"/>
      <c r="D68" s="18" t="s">
        <v>103</v>
      </c>
      <c r="E68" s="18" t="s">
        <v>25</v>
      </c>
      <c r="F68" s="18" t="s">
        <v>25</v>
      </c>
      <c r="G68" s="18" t="s">
        <v>88</v>
      </c>
      <c r="H68" s="18" t="s">
        <v>82</v>
      </c>
      <c r="I68" s="18">
        <f>'MERCADO TUSD'!$U$65</f>
        <v>0</v>
      </c>
      <c r="J68" s="15"/>
      <c r="L68" s="13">
        <f>'TR TUSD'!$L$68*'TR TUSD'!$L$77</f>
        <v>13.335807170718898</v>
      </c>
      <c r="M68" s="13">
        <f>'TR TUSD'!$M$68*'TR TUSD'!$M$77</f>
        <v>0.75309991133862442</v>
      </c>
      <c r="N68" s="13">
        <f ca="1">'TR TUSD'!$N$68*'TR TUSD'!$N$77</f>
        <v>2.8298707529425076</v>
      </c>
      <c r="O68" s="13">
        <f>'TR TUSD'!$O$68*'TR TUSD'!$O$77</f>
        <v>0</v>
      </c>
      <c r="P68" s="13">
        <f>'TR TUSD'!$P$68*'TR TUSD'!$P$77</f>
        <v>0</v>
      </c>
      <c r="Q68" s="13">
        <f>'TR TUSD'!$Q$68*'TR TUSD'!$Q$77</f>
        <v>22.084809141769707</v>
      </c>
      <c r="R68" s="13">
        <f>'TR TUSD'!$R$68*'TR TUSD'!$R$77</f>
        <v>8.2715574760178061</v>
      </c>
      <c r="S68" s="13">
        <f>'TR TUSD'!$S$68*'TR TUSD'!$S$77</f>
        <v>0</v>
      </c>
      <c r="T68" s="13">
        <f ca="1">SUM($L$68:$S$68)</f>
        <v>47.275144452787544</v>
      </c>
      <c r="U68" s="13">
        <f>'TR TUSD'!$U$68*'TR TUSD'!$U$77</f>
        <v>8.4610161183156816</v>
      </c>
      <c r="V68" s="13">
        <f>'TR TUSD'!$V$68*'TR TUSD'!$V$77</f>
        <v>9.2159203136678709</v>
      </c>
      <c r="W68" s="13">
        <f>'TR TUSD'!$W$68*'TR TUSD'!$W$77</f>
        <v>0.95430200294241341</v>
      </c>
      <c r="X68" s="13">
        <f>'TR TUSD'!$X$68*'TR TUSD'!$X$77</f>
        <v>0</v>
      </c>
      <c r="Y68" s="13">
        <f>'TR TUSD'!$Y$68*'TR TUSD'!$Y$77</f>
        <v>0</v>
      </c>
      <c r="Z68" s="13">
        <f>'TR TUSD'!$Z$68</f>
        <v>0</v>
      </c>
      <c r="AA68" s="13">
        <f>'TR TUSD'!$AA$68</f>
        <v>0</v>
      </c>
      <c r="AB68" s="13">
        <f>SUM($U$68:$AA$68)</f>
        <v>18.631238434925965</v>
      </c>
      <c r="AC68" s="13">
        <f>'TR TUSD'!$AC$68*'TR TUSD'!$AC$77</f>
        <v>204.99265298438263</v>
      </c>
      <c r="AD68" s="13">
        <f>SUM($AC$68:$AC$68)</f>
        <v>204.99265298438263</v>
      </c>
      <c r="AE68" s="13">
        <v>0</v>
      </c>
      <c r="AF68" s="13">
        <v>0</v>
      </c>
      <c r="AG68" s="13">
        <f>SUM($AE$68:$AF$68)</f>
        <v>0</v>
      </c>
      <c r="AH68" s="13">
        <f>'TR TUSD'!$AH$68*'TR TUSD'!$AH$77</f>
        <v>17.414774557436452</v>
      </c>
      <c r="AI68" s="13">
        <f>'TR TUSD'!$AI$68*'TR TUSD'!$AI$77</f>
        <v>0.80524292207169557</v>
      </c>
      <c r="AJ68" s="13">
        <f ca="1">'TR TUSD'!$AJ$68*'TR TUSD'!$AJ$77</f>
        <v>16.823647049236364</v>
      </c>
      <c r="AK68" s="13">
        <f ca="1">'TR TUSD'!$AK$68*'TR TUSD'!$AK$77</f>
        <v>7.3638491065455982</v>
      </c>
      <c r="AL68" s="13">
        <f ca="1">SUM($AH$68:$AK$68)</f>
        <v>42.407513635290115</v>
      </c>
      <c r="AM68" s="13">
        <f ca="1">SUMIF($L$4:$AL$4,"SUBTOTAL",$L$68:$AL$68)</f>
        <v>313.30654950738625</v>
      </c>
      <c r="AP68" s="13">
        <f>IF((1 - CUSTOS!$M$33)&lt;&gt;0,1/(1 - CUSTOS!$M$33),1)</f>
        <v>1.6666666666666667</v>
      </c>
    </row>
    <row r="70" spans="1:42" ht="11.25" customHeight="1" x14ac:dyDescent="0.25">
      <c r="K70" s="16" t="s">
        <v>844</v>
      </c>
      <c r="L70" s="13">
        <f>SUMPRODUCT($I$5:$I68,$L$5:$L68)</f>
        <v>21196044.622047897</v>
      </c>
      <c r="M70" s="13">
        <f>SUMPRODUCT($I$5:$I68,$M$5:$M68)</f>
        <v>1244777.3683460981</v>
      </c>
      <c r="N70" s="13">
        <f ca="1">SUMPRODUCT($I$5:$I68,$N$5:$N68)</f>
        <v>4405576.6480421154</v>
      </c>
      <c r="O70" s="13">
        <f>SUMPRODUCT($I$5:$I68,$O$5:$O68)</f>
        <v>0</v>
      </c>
      <c r="P70" s="13">
        <f>SUMPRODUCT($I$5:$I68,$P$5:$P68)</f>
        <v>0</v>
      </c>
      <c r="Q70" s="13">
        <f>SUMPRODUCT($I$5:$I68,$Q$5:$Q68)</f>
        <v>35101782.295276508</v>
      </c>
      <c r="R70" s="13">
        <f>SUMPRODUCT($I$5:$I68,$R$5:$R68)</f>
        <v>13744465.340685932</v>
      </c>
      <c r="S70" s="13">
        <f>SUMPRODUCT($I$5:$I68,$S$5:$S68)</f>
        <v>0</v>
      </c>
      <c r="T70" s="13">
        <f ca="1">SUMPRODUCT($I$5:$I68,$T$5:$T68)</f>
        <v>75692646.274398535</v>
      </c>
      <c r="U70" s="13">
        <f>SUMPRODUCT($I$5:$I68,$U$5:$U68)</f>
        <v>16896485.780000001</v>
      </c>
      <c r="V70" s="13">
        <f>SUMPRODUCT($I$5:$I68,$V$5:$V68)</f>
        <v>18531916.760000002</v>
      </c>
      <c r="W70" s="13">
        <f>SUMPRODUCT($I$5:$I68,$W$5:$W68)</f>
        <v>1920298.8131766096</v>
      </c>
      <c r="X70" s="13">
        <f>SUMPRODUCT($I$5:$I68,$X$5:$X68)</f>
        <v>0</v>
      </c>
      <c r="Y70" s="13">
        <f>SUMPRODUCT($I$5:$I68,$Y$5:$Y68)</f>
        <v>0</v>
      </c>
      <c r="Z70" s="13">
        <f>SUMPRODUCT($I$5:$I68,$Z$5:$Z68)</f>
        <v>0</v>
      </c>
      <c r="AA70" s="13">
        <f>SUMPRODUCT($I$5:$I68,$AA$5:$AA68)</f>
        <v>0</v>
      </c>
      <c r="AB70" s="13">
        <f>SUMPRODUCT($I$5:$I68,$AB$5:$AB68)</f>
        <v>37348701.353176609</v>
      </c>
      <c r="AC70" s="13">
        <f>SUMPRODUCT($I$5:$I68,$AC$5:$AC68)</f>
        <v>338718926.74802548</v>
      </c>
      <c r="AD70" s="13">
        <f>SUMPRODUCT($I$5:$I68,$AD$5:$AD68)</f>
        <v>338718926.74802548</v>
      </c>
      <c r="AE70" s="13">
        <f>SUMPRODUCT($I$5:$I68,$AE$5:$AE68)</f>
        <v>0</v>
      </c>
      <c r="AF70" s="13">
        <f>SUMPRODUCT($I$5:$I68,$AF$5:$AF68)</f>
        <v>0</v>
      </c>
      <c r="AG70" s="13">
        <f>SUMPRODUCT($I$5:$I68,$AG$5:$AG68)</f>
        <v>0</v>
      </c>
      <c r="AH70" s="13">
        <f>SUMPRODUCT($I$5:$I68,$AH$5:$AH68)</f>
        <v>28376289.848444641</v>
      </c>
      <c r="AI70" s="13">
        <f>SUMPRODUCT($I$5:$I68,$AI$5:$AI68)</f>
        <v>1312093.1585851414</v>
      </c>
      <c r="AJ70" s="13">
        <f ca="1">SUMPRODUCT($I$5:$I68,$AJ$5:$AJ68)</f>
        <v>28727361.346561827</v>
      </c>
      <c r="AK70" s="13">
        <f ca="1">SUMPRODUCT($I$5:$I68,$AK$5:$AK68)</f>
        <v>12574203.058717523</v>
      </c>
      <c r="AL70" s="13">
        <f ca="1">SUMPRODUCT($I$5:$I68,$AL$5:$AL68)</f>
        <v>70989947.412309125</v>
      </c>
      <c r="AM70" s="13">
        <f ca="1">SUMPRODUCT($I$5:$I68,$AM$5:$AM68)</f>
        <v>522750221.78790981</v>
      </c>
    </row>
    <row r="71" spans="1:42" ht="11.25" customHeight="1" x14ac:dyDescent="0.25">
      <c r="K71" s="16" t="s">
        <v>776</v>
      </c>
      <c r="L71" s="13">
        <f>'TR TUSD'!$L$73</f>
        <v>21196044.622047894</v>
      </c>
      <c r="M71" s="13">
        <f>'TR TUSD'!$M$73</f>
        <v>1244777.3683460983</v>
      </c>
      <c r="N71" s="13">
        <f>'TR TUSD'!$N$73</f>
        <v>4405576.6480421154</v>
      </c>
      <c r="O71" s="13">
        <f>'TR TUSD'!$O$73</f>
        <v>0</v>
      </c>
      <c r="P71" s="13">
        <f>'TR TUSD'!$P$73</f>
        <v>0</v>
      </c>
      <c r="Q71" s="13">
        <f>'TR TUSD'!$Q$73</f>
        <v>35101782.2952765</v>
      </c>
      <c r="R71" s="13">
        <f>'TR TUSD'!$R$73</f>
        <v>13744465.34068593</v>
      </c>
      <c r="S71" s="13">
        <f>'TR TUSD'!$S$73</f>
        <v>0</v>
      </c>
      <c r="T71" s="13">
        <f>'TR TUSD'!$T$73</f>
        <v>75692646.274398535</v>
      </c>
      <c r="U71" s="13">
        <f>'TR TUSD'!$U$73</f>
        <v>16896485.780000001</v>
      </c>
      <c r="V71" s="13">
        <f>'TR TUSD'!$V$73</f>
        <v>18531916.760000002</v>
      </c>
      <c r="W71" s="13">
        <f>'TR TUSD'!$W$73</f>
        <v>1920298.81317661</v>
      </c>
      <c r="X71" s="13">
        <f>'TR TUSD'!$X$73</f>
        <v>0</v>
      </c>
      <c r="Y71" s="13">
        <f>'TR TUSD'!$Y$73</f>
        <v>0</v>
      </c>
      <c r="Z71" s="13">
        <f>'TR TUSD'!$Z$73</f>
        <v>0</v>
      </c>
      <c r="AA71" s="13">
        <f>'TR TUSD'!$AA$73</f>
        <v>0</v>
      </c>
      <c r="AB71" s="13">
        <f>'TR TUSD'!$AB$73</f>
        <v>37348701.353176616</v>
      </c>
      <c r="AC71" s="13">
        <f>'TR TUSD'!$AC$73</f>
        <v>338718926.74802554</v>
      </c>
      <c r="AD71" s="13">
        <f>'TR TUSD'!$AD$73</f>
        <v>338718926.74802554</v>
      </c>
      <c r="AE71" s="13">
        <f>'TR TUSD'!$AE$73</f>
        <v>0</v>
      </c>
      <c r="AF71" s="13">
        <f>'TR TUSD'!$AF$73</f>
        <v>0</v>
      </c>
      <c r="AG71" s="13">
        <f>'TR TUSD'!$AG$73</f>
        <v>0</v>
      </c>
      <c r="AH71" s="13">
        <f>'TR TUSD'!$AH$73</f>
        <v>28376289.848444641</v>
      </c>
      <c r="AI71" s="13">
        <f>'TR TUSD'!$AI$73</f>
        <v>1312093.1585851414</v>
      </c>
      <c r="AJ71" s="13">
        <f>'TR TUSD'!$AJ$73</f>
        <v>28727361.346561823</v>
      </c>
      <c r="AK71" s="13">
        <f>'TR TUSD'!$AK$73</f>
        <v>12574203.058717519</v>
      </c>
      <c r="AL71" s="13">
        <f>'TR TUSD'!$AL$73</f>
        <v>70989947.412309125</v>
      </c>
      <c r="AM71" s="13">
        <f>CUSTOS!$D$29</f>
        <v>522750221.78790981</v>
      </c>
    </row>
    <row r="72" spans="1:42" ht="11.25" customHeight="1" x14ac:dyDescent="0.25">
      <c r="K72" s="16" t="s">
        <v>777</v>
      </c>
      <c r="L72" s="13">
        <f>CUSTOS!$E$2</f>
        <v>-2838001.1924613039</v>
      </c>
      <c r="M72" s="13">
        <f>CUSTOS!$E$3</f>
        <v>-21816.091014040208</v>
      </c>
      <c r="N72" s="13">
        <f>CUSTOS!$E$4</f>
        <v>-1.0086501702871373</v>
      </c>
      <c r="O72" s="13">
        <f>CUSTOS!$E$5</f>
        <v>0</v>
      </c>
      <c r="P72" s="13">
        <f>CUSTOS!$E$6</f>
        <v>0</v>
      </c>
      <c r="Q72" s="13">
        <f>CUSTOS!$E$7</f>
        <v>-720751.51857831888</v>
      </c>
      <c r="R72" s="13">
        <f>CUSTOS!$E$8</f>
        <v>-334543.79990970809</v>
      </c>
      <c r="S72" s="13">
        <f>CUSTOS!$E$9</f>
        <v>0</v>
      </c>
      <c r="T72" s="13">
        <f>CUSTOS!$E$10</f>
        <v>-3915113.6106135412</v>
      </c>
      <c r="U72" s="13">
        <f>CUSTOS!$E$11</f>
        <v>175231.63823711593</v>
      </c>
      <c r="V72" s="13">
        <f>CUSTOS!$E$12</f>
        <v>256474.14858591114</v>
      </c>
      <c r="W72" s="13">
        <f>CUSTOS!$E$13</f>
        <v>-36441.037148729818</v>
      </c>
      <c r="X72" s="13">
        <f>CUSTOS!$E$14</f>
        <v>0</v>
      </c>
      <c r="Y72" s="13">
        <f>CUSTOS!$E$15</f>
        <v>0</v>
      </c>
      <c r="Z72" s="13">
        <f>CUSTOS!$E$16</f>
        <v>0</v>
      </c>
      <c r="AA72" s="13">
        <f>CUSTOS!$E$17</f>
        <v>0</v>
      </c>
      <c r="AB72" s="13">
        <f>CUSTOS!$E$18</f>
        <v>395264.74967429723</v>
      </c>
      <c r="AC72" s="13">
        <f>CUSTOS!$E$19</f>
        <v>-483987.81999999995</v>
      </c>
      <c r="AD72" s="13">
        <f>CUSTOS!$E$20</f>
        <v>-483987.81999999995</v>
      </c>
      <c r="AE72" s="13">
        <f>CUSTOS!$E$21</f>
        <v>-46797907.055516258</v>
      </c>
      <c r="AF72" s="13">
        <f>CUSTOS!$E$22</f>
        <v>0</v>
      </c>
      <c r="AG72" s="13">
        <f>CUSTOS!$E$23</f>
        <v>-46797907.055516258</v>
      </c>
      <c r="AH72" s="13">
        <f>CUSTOS!$E$24</f>
        <v>3835231.8297935533</v>
      </c>
      <c r="AI72" s="13">
        <f>CUSTOS!$E$25</f>
        <v>177337.5403316131</v>
      </c>
      <c r="AJ72" s="13">
        <f>CUSTOS!$E$26</f>
        <v>3882681.3234131755</v>
      </c>
      <c r="AK72" s="13">
        <f>CUSTOS!$E$27</f>
        <v>-780471.08261516178</v>
      </c>
      <c r="AL72" s="13">
        <f>CUSTOS!$E$28</f>
        <v>7114779.6109231804</v>
      </c>
      <c r="AM72" s="13">
        <f>CUSTOS!$E$29</f>
        <v>-43686964.125532322</v>
      </c>
    </row>
    <row r="73" spans="1:42" ht="11.25" customHeight="1" x14ac:dyDescent="0.25">
      <c r="K73" s="16" t="s">
        <v>778</v>
      </c>
      <c r="L73" s="13">
        <f>CUSTOS!$F$2</f>
        <v>812234.4769521897</v>
      </c>
      <c r="M73" s="13">
        <f>CUSTOS!$F$3</f>
        <v>0</v>
      </c>
      <c r="N73" s="13">
        <f>CUSTOS!$F$4</f>
        <v>0</v>
      </c>
      <c r="O73" s="13">
        <f>CUSTOS!$F$5</f>
        <v>0</v>
      </c>
      <c r="P73" s="13">
        <f>CUSTOS!$F$6</f>
        <v>0</v>
      </c>
      <c r="Q73" s="13">
        <f>CUSTOS!$F$7</f>
        <v>13268550.4859</v>
      </c>
      <c r="R73" s="13">
        <f>CUSTOS!$F$8</f>
        <v>5029050.7885999996</v>
      </c>
      <c r="S73" s="13">
        <f>CUSTOS!$F$9</f>
        <v>0</v>
      </c>
      <c r="T73" s="13">
        <f>CUSTOS!$F$10</f>
        <v>19109835.751452189</v>
      </c>
      <c r="U73" s="13">
        <f>CUSTOS!$F$11</f>
        <v>2809735.8723082175</v>
      </c>
      <c r="V73" s="13">
        <f>CUSTOS!$F$12</f>
        <v>3081693.5533917798</v>
      </c>
      <c r="W73" s="13">
        <f>CUSTOS!$F$13</f>
        <v>0</v>
      </c>
      <c r="X73" s="13">
        <f>CUSTOS!$F$14</f>
        <v>0</v>
      </c>
      <c r="Y73" s="13">
        <f>CUSTOS!$F$15</f>
        <v>0</v>
      </c>
      <c r="Z73" s="13">
        <f>CUSTOS!$F$16</f>
        <v>0</v>
      </c>
      <c r="AA73" s="13">
        <f>CUSTOS!$F$17</f>
        <v>0</v>
      </c>
      <c r="AB73" s="13">
        <f>CUSTOS!$F$18</f>
        <v>5891429.4256999977</v>
      </c>
      <c r="AC73" s="13">
        <f>CUSTOS!$F$19</f>
        <v>0</v>
      </c>
      <c r="AD73" s="13">
        <f>CUSTOS!$F$20</f>
        <v>0</v>
      </c>
      <c r="AE73" s="13">
        <f>CUSTOS!$F$21</f>
        <v>0</v>
      </c>
      <c r="AF73" s="13">
        <f>CUSTOS!$F$22</f>
        <v>0</v>
      </c>
      <c r="AG73" s="13">
        <f>CUSTOS!$F$23</f>
        <v>0</v>
      </c>
      <c r="AH73" s="13">
        <f>CUSTOS!$F$24</f>
        <v>-362295.18782185263</v>
      </c>
      <c r="AI73" s="13">
        <f>CUSTOS!$F$25</f>
        <v>-16752.191349477187</v>
      </c>
      <c r="AJ73" s="13">
        <f>CUSTOS!$F$26</f>
        <v>-366777.5043977187</v>
      </c>
      <c r="AK73" s="13">
        <f>CUSTOS!$F$27</f>
        <v>0</v>
      </c>
      <c r="AL73" s="13">
        <f>CUSTOS!$F$28</f>
        <v>-745824.88356904848</v>
      </c>
      <c r="AM73" s="13">
        <f>CUSTOS!$F$29</f>
        <v>24255440.29358314</v>
      </c>
    </row>
    <row r="74" spans="1:42" ht="11.25" customHeight="1" x14ac:dyDescent="0.25">
      <c r="K74" s="16" t="s">
        <v>841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0</v>
      </c>
      <c r="T74" s="13">
        <f>SUM($L$74:$S$74)</f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f>SUM($U$74:$AA$74)</f>
        <v>0</v>
      </c>
      <c r="AC74" s="13">
        <v>0</v>
      </c>
      <c r="AD74" s="13">
        <f>SUM($AC$74:$AC$74)</f>
        <v>0</v>
      </c>
      <c r="AE74" s="13">
        <v>0</v>
      </c>
      <c r="AF74" s="13">
        <v>0</v>
      </c>
      <c r="AG74" s="13">
        <f>SUM($AE$74:$AF$74)</f>
        <v>0</v>
      </c>
      <c r="AH74" s="13">
        <v>0</v>
      </c>
      <c r="AI74" s="13">
        <v>0</v>
      </c>
      <c r="AJ74" s="13">
        <v>0</v>
      </c>
      <c r="AK74" s="13">
        <v>0</v>
      </c>
      <c r="AL74" s="13">
        <f>SUM($AH$74:$AK$74)</f>
        <v>0</v>
      </c>
      <c r="AM74" s="13">
        <f>SUMIF($L$4:$AL$4,"SUBTOTAL",$L$74:$AL$74)</f>
        <v>0</v>
      </c>
    </row>
    <row r="75" spans="1:42" ht="11.25" customHeight="1" x14ac:dyDescent="0.25">
      <c r="K75" s="16" t="s">
        <v>845</v>
      </c>
      <c r="L75" s="13">
        <f t="shared" ref="L75:R75" si="0">IF((L70-(0))&lt;&gt;0,(L72)/(L70-(0)),0)</f>
        <v>-0.13389296177972967</v>
      </c>
      <c r="M75" s="13">
        <f t="shared" si="0"/>
        <v>-1.7526098697493719E-2</v>
      </c>
      <c r="N75" s="13">
        <f t="shared" ca="1" si="0"/>
        <v>-2.289485011537348E-7</v>
      </c>
      <c r="O75" s="13">
        <f t="shared" si="0"/>
        <v>0</v>
      </c>
      <c r="P75" s="13">
        <f t="shared" si="0"/>
        <v>0</v>
      </c>
      <c r="Q75" s="13">
        <f t="shared" si="0"/>
        <v>-2.0533188671599367E-2</v>
      </c>
      <c r="R75" s="13">
        <f t="shared" si="0"/>
        <v>-2.434025563143603E-2</v>
      </c>
      <c r="S75" s="13">
        <f>IF((R70-(0)&lt;&gt;0),(S72)/(R70-(0)),0)</f>
        <v>0</v>
      </c>
      <c r="T75" s="13"/>
      <c r="U75" s="13">
        <f t="shared" ref="U75:AA75" si="1">IF((U70-(0))&lt;&gt;0,(U72)/(U70-(0)),0)</f>
        <v>1.0370892534620054E-2</v>
      </c>
      <c r="V75" s="13">
        <f t="shared" si="1"/>
        <v>1.3839591009792077E-2</v>
      </c>
      <c r="W75" s="13">
        <f t="shared" si="1"/>
        <v>-1.8976753460805448E-2</v>
      </c>
      <c r="X75" s="13">
        <f t="shared" si="1"/>
        <v>0</v>
      </c>
      <c r="Y75" s="13">
        <f t="shared" si="1"/>
        <v>0</v>
      </c>
      <c r="Z75" s="13">
        <f t="shared" si="1"/>
        <v>0</v>
      </c>
      <c r="AA75" s="13">
        <f t="shared" si="1"/>
        <v>0</v>
      </c>
      <c r="AB75" s="13"/>
      <c r="AC75" s="13">
        <f>IF((AC70-(0))&lt;&gt;0,(AC72)/(AC70-(0)),0)</f>
        <v>-1.4288774018230185E-3</v>
      </c>
      <c r="AD75" s="13"/>
      <c r="AE75" s="13">
        <f ca="1">IF(($AM70-(0))&lt;&gt;0,(AE72)/($AM70-(0)),0)</f>
        <v>-8.9522500622683812E-2</v>
      </c>
      <c r="AF75" s="13">
        <f ca="1">IF(($AM70-(0))&lt;&gt;0,(AF72)/($AM70-(0)),0)</f>
        <v>0</v>
      </c>
      <c r="AG75" s="13"/>
      <c r="AH75" s="13">
        <f>IF((AH70-(0))&lt;&gt;0,(AH72)/(AH70-(0)),0)</f>
        <v>0.13515621141020201</v>
      </c>
      <c r="AI75" s="13">
        <f>IF((AI70-(0))&lt;&gt;0,(AI72)/(AI70-(0)),0)</f>
        <v>0.13515621141020201</v>
      </c>
      <c r="AJ75" s="13">
        <f ca="1">IF((AJ70-(0))&lt;&gt;0,(AJ72)/(AJ70-(0)),0)</f>
        <v>0.13515621141020201</v>
      </c>
      <c r="AK75" s="13">
        <f ca="1">IF((AK70-(0))&lt;&gt;0,(AK72)/(AK70-(0)),0)</f>
        <v>-6.2069228480772135E-2</v>
      </c>
      <c r="AL75" s="13"/>
      <c r="AM75" s="13"/>
    </row>
  </sheetData>
  <mergeCells count="97">
    <mergeCell ref="AP1:AP4"/>
    <mergeCell ref="L2:AM2"/>
    <mergeCell ref="L3:T3"/>
    <mergeCell ref="U3:AB3"/>
    <mergeCell ref="AC3:AD3"/>
    <mergeCell ref="AH3:AL3"/>
    <mergeCell ref="AM3:AM4"/>
    <mergeCell ref="L1:AM1"/>
    <mergeCell ref="A1:A4"/>
    <mergeCell ref="B1:B4"/>
    <mergeCell ref="C1:C4"/>
    <mergeCell ref="B14:B18"/>
    <mergeCell ref="C14:C18"/>
    <mergeCell ref="A5:A8"/>
    <mergeCell ref="B5:B8"/>
    <mergeCell ref="C5:C8"/>
    <mergeCell ref="D14:D18"/>
    <mergeCell ref="E14:E16"/>
    <mergeCell ref="AE3:AG3"/>
    <mergeCell ref="D1:D4"/>
    <mergeCell ref="E1:E4"/>
    <mergeCell ref="F1:F4"/>
    <mergeCell ref="F14:F16"/>
    <mergeCell ref="E17:E18"/>
    <mergeCell ref="F17:F18"/>
    <mergeCell ref="F5:F7"/>
    <mergeCell ref="G1:G4"/>
    <mergeCell ref="H1:H4"/>
    <mergeCell ref="I1:I4"/>
    <mergeCell ref="J1:J4"/>
    <mergeCell ref="D5:D8"/>
    <mergeCell ref="E5:E7"/>
    <mergeCell ref="E19:E21"/>
    <mergeCell ref="B27:B31"/>
    <mergeCell ref="C27:C31"/>
    <mergeCell ref="D27:D31"/>
    <mergeCell ref="E27:E29"/>
    <mergeCell ref="F19:F21"/>
    <mergeCell ref="B23:B25"/>
    <mergeCell ref="A9:A18"/>
    <mergeCell ref="B9:B12"/>
    <mergeCell ref="C9:C12"/>
    <mergeCell ref="D9:D12"/>
    <mergeCell ref="E9:E11"/>
    <mergeCell ref="F9:F11"/>
    <mergeCell ref="C23:C25"/>
    <mergeCell ref="D23:D25"/>
    <mergeCell ref="E23:E25"/>
    <mergeCell ref="F23:F25"/>
    <mergeCell ref="A19:A31"/>
    <mergeCell ref="B19:B22"/>
    <mergeCell ref="C19:C22"/>
    <mergeCell ref="D19:D22"/>
    <mergeCell ref="F27:F29"/>
    <mergeCell ref="E30:E31"/>
    <mergeCell ref="A34:A46"/>
    <mergeCell ref="B34:B36"/>
    <mergeCell ref="C34:C36"/>
    <mergeCell ref="D34:D36"/>
    <mergeCell ref="E34:E36"/>
    <mergeCell ref="F30:F31"/>
    <mergeCell ref="A32:A33"/>
    <mergeCell ref="B32:B33"/>
    <mergeCell ref="C32:C33"/>
    <mergeCell ref="D32:D33"/>
    <mergeCell ref="F34:F36"/>
    <mergeCell ref="B37:B41"/>
    <mergeCell ref="C37:C41"/>
    <mergeCell ref="B42:B46"/>
    <mergeCell ref="A47:A61"/>
    <mergeCell ref="B47:B49"/>
    <mergeCell ref="C47:C49"/>
    <mergeCell ref="D47:D49"/>
    <mergeCell ref="E47:E49"/>
    <mergeCell ref="C42:C46"/>
    <mergeCell ref="F47:F49"/>
    <mergeCell ref="B51:B53"/>
    <mergeCell ref="C51:C53"/>
    <mergeCell ref="D51:D53"/>
    <mergeCell ref="E51:E53"/>
    <mergeCell ref="F51:F53"/>
    <mergeCell ref="D62:D64"/>
    <mergeCell ref="E62:E64"/>
    <mergeCell ref="F62:F64"/>
    <mergeCell ref="B55:B57"/>
    <mergeCell ref="C55:C57"/>
    <mergeCell ref="D55:D57"/>
    <mergeCell ref="E55:E57"/>
    <mergeCell ref="F55:F57"/>
    <mergeCell ref="B59:B61"/>
    <mergeCell ref="C59:C61"/>
    <mergeCell ref="A67:A68"/>
    <mergeCell ref="B67:B68"/>
    <mergeCell ref="C67:C68"/>
    <mergeCell ref="A62:A66"/>
    <mergeCell ref="B62:B64"/>
    <mergeCell ref="C62:C64"/>
  </mergeCells>
  <conditionalFormatting sqref="L70">
    <cfRule type="cellIs" dxfId="1350" priority="55" operator="notEqual">
      <formula>$L$71-$L$74</formula>
    </cfRule>
    <cfRule type="cellIs" dxfId="1349" priority="56" operator="equal">
      <formula>$L$71-$L$74</formula>
    </cfRule>
  </conditionalFormatting>
  <conditionalFormatting sqref="M70">
    <cfRule type="cellIs" dxfId="1348" priority="53" operator="notEqual">
      <formula>$M$71-$M$74</formula>
    </cfRule>
    <cfRule type="cellIs" dxfId="1347" priority="54" operator="equal">
      <formula>$M$71-$M$74</formula>
    </cfRule>
  </conditionalFormatting>
  <conditionalFormatting sqref="N70">
    <cfRule type="cellIs" dxfId="1346" priority="51" operator="notEqual">
      <formula>$N$71-$N$74</formula>
    </cfRule>
    <cfRule type="cellIs" dxfId="1345" priority="52" operator="equal">
      <formula>$N$71-$N$74</formula>
    </cfRule>
  </conditionalFormatting>
  <conditionalFormatting sqref="O70">
    <cfRule type="cellIs" dxfId="1344" priority="49" operator="notEqual">
      <formula>$O$71-$O$74</formula>
    </cfRule>
    <cfRule type="cellIs" dxfId="1343" priority="50" operator="equal">
      <formula>$O$71-$O$74</formula>
    </cfRule>
  </conditionalFormatting>
  <conditionalFormatting sqref="P70">
    <cfRule type="cellIs" dxfId="1342" priority="47" operator="notEqual">
      <formula>$P$71-$P$74</formula>
    </cfRule>
    <cfRule type="cellIs" dxfId="1341" priority="48" operator="equal">
      <formula>$P$71-$P$74</formula>
    </cfRule>
  </conditionalFormatting>
  <conditionalFormatting sqref="Q70">
    <cfRule type="cellIs" dxfId="1340" priority="45" operator="notEqual">
      <formula>$Q$71-$Q$74</formula>
    </cfRule>
    <cfRule type="cellIs" dxfId="1339" priority="46" operator="equal">
      <formula>$Q$71-$Q$74</formula>
    </cfRule>
  </conditionalFormatting>
  <conditionalFormatting sqref="R70">
    <cfRule type="cellIs" dxfId="1338" priority="43" operator="notEqual">
      <formula>$R$71-$R$74</formula>
    </cfRule>
    <cfRule type="cellIs" dxfId="1337" priority="44" operator="equal">
      <formula>$R$71-$R$74</formula>
    </cfRule>
  </conditionalFormatting>
  <conditionalFormatting sqref="S70">
    <cfRule type="cellIs" dxfId="1336" priority="41" operator="notEqual">
      <formula>$S$71-$S$74</formula>
    </cfRule>
    <cfRule type="cellIs" dxfId="1335" priority="42" operator="equal">
      <formula>$S$71-$S$74</formula>
    </cfRule>
  </conditionalFormatting>
  <conditionalFormatting sqref="T70">
    <cfRule type="cellIs" dxfId="1334" priority="39" operator="notEqual">
      <formula>$T$71-$T$74</formula>
    </cfRule>
    <cfRule type="cellIs" dxfId="1333" priority="40" operator="equal">
      <formula>$T$71-$T$74</formula>
    </cfRule>
  </conditionalFormatting>
  <conditionalFormatting sqref="U70">
    <cfRule type="cellIs" dxfId="1332" priority="37" operator="notEqual">
      <formula>$U$71-$U$74</formula>
    </cfRule>
    <cfRule type="cellIs" dxfId="1331" priority="38" operator="equal">
      <formula>$U$71-$U$74</formula>
    </cfRule>
  </conditionalFormatting>
  <conditionalFormatting sqref="V70">
    <cfRule type="cellIs" dxfId="1330" priority="35" operator="notEqual">
      <formula>$V$71-$V$74</formula>
    </cfRule>
    <cfRule type="cellIs" dxfId="1329" priority="36" operator="equal">
      <formula>$V$71-$V$74</formula>
    </cfRule>
  </conditionalFormatting>
  <conditionalFormatting sqref="W70">
    <cfRule type="cellIs" dxfId="1328" priority="33" operator="notEqual">
      <formula>$W$71-$W$74</formula>
    </cfRule>
    <cfRule type="cellIs" dxfId="1327" priority="34" operator="equal">
      <formula>$W$71-$W$74</formula>
    </cfRule>
  </conditionalFormatting>
  <conditionalFormatting sqref="X70">
    <cfRule type="cellIs" dxfId="1326" priority="31" operator="notEqual">
      <formula>$X$71-$X$74</formula>
    </cfRule>
    <cfRule type="cellIs" dxfId="1325" priority="32" operator="equal">
      <formula>$X$71-$X$74</formula>
    </cfRule>
  </conditionalFormatting>
  <conditionalFormatting sqref="Y70">
    <cfRule type="cellIs" dxfId="1324" priority="29" operator="notEqual">
      <formula>$Y$71-$Y$74</formula>
    </cfRule>
    <cfRule type="cellIs" dxfId="1323" priority="30" operator="equal">
      <formula>$Y$71-$Y$74</formula>
    </cfRule>
  </conditionalFormatting>
  <conditionalFormatting sqref="Z70">
    <cfRule type="cellIs" dxfId="1322" priority="27" operator="notEqual">
      <formula>$Z$71-$Z$74</formula>
    </cfRule>
    <cfRule type="cellIs" dxfId="1321" priority="28" operator="equal">
      <formula>$Z$71-$Z$74</formula>
    </cfRule>
  </conditionalFormatting>
  <conditionalFormatting sqref="AA70">
    <cfRule type="cellIs" dxfId="1320" priority="25" operator="notEqual">
      <formula>$AA$71-$AA$74</formula>
    </cfRule>
    <cfRule type="cellIs" dxfId="1319" priority="26" operator="equal">
      <formula>$AA$71-$AA$74</formula>
    </cfRule>
  </conditionalFormatting>
  <conditionalFormatting sqref="AB70">
    <cfRule type="cellIs" dxfId="1318" priority="23" operator="notEqual">
      <formula>$AB$71-$AB$74</formula>
    </cfRule>
    <cfRule type="cellIs" dxfId="1317" priority="24" operator="equal">
      <formula>$AB$71-$AB$74</formula>
    </cfRule>
  </conditionalFormatting>
  <conditionalFormatting sqref="AC70">
    <cfRule type="cellIs" dxfId="1316" priority="21" operator="notEqual">
      <formula>$AC$71-$AC$74</formula>
    </cfRule>
    <cfRule type="cellIs" dxfId="1315" priority="22" operator="equal">
      <formula>$AC$71-$AC$74</formula>
    </cfRule>
  </conditionalFormatting>
  <conditionalFormatting sqref="AD70">
    <cfRule type="cellIs" dxfId="1314" priority="19" operator="notEqual">
      <formula>$AD$71-$AD$74</formula>
    </cfRule>
    <cfRule type="cellIs" dxfId="1313" priority="20" operator="equal">
      <formula>$AD$71-$AD$74</formula>
    </cfRule>
  </conditionalFormatting>
  <conditionalFormatting sqref="AE70">
    <cfRule type="cellIs" dxfId="1312" priority="17" operator="notEqual">
      <formula>$AE$71-$AE$74</formula>
    </cfRule>
    <cfRule type="cellIs" dxfId="1311" priority="18" operator="equal">
      <formula>$AE$71-$AE$74</formula>
    </cfRule>
  </conditionalFormatting>
  <conditionalFormatting sqref="AF70">
    <cfRule type="cellIs" dxfId="1310" priority="16" operator="equal">
      <formula>$AF$71-$AF$74</formula>
    </cfRule>
  </conditionalFormatting>
  <conditionalFormatting sqref="AF70">
    <cfRule type="cellIs" dxfId="1309" priority="15" operator="notEqual">
      <formula>$AF$71-$AF$74</formula>
    </cfRule>
  </conditionalFormatting>
  <conditionalFormatting sqref="AG70">
    <cfRule type="cellIs" dxfId="1308" priority="14" operator="equal">
      <formula>$AG$71-$AG$74</formula>
    </cfRule>
  </conditionalFormatting>
  <conditionalFormatting sqref="AG70">
    <cfRule type="cellIs" dxfId="1307" priority="13" operator="notEqual">
      <formula>$AG$71-$AG$74</formula>
    </cfRule>
  </conditionalFormatting>
  <conditionalFormatting sqref="AH70">
    <cfRule type="cellIs" dxfId="1306" priority="12" operator="equal">
      <formula>$AH$71-$AH$74</formula>
    </cfRule>
  </conditionalFormatting>
  <conditionalFormatting sqref="AH70">
    <cfRule type="cellIs" dxfId="1305" priority="11" operator="notEqual">
      <formula>$AH$71-$AH$74</formula>
    </cfRule>
  </conditionalFormatting>
  <conditionalFormatting sqref="AI70">
    <cfRule type="cellIs" dxfId="1304" priority="10" operator="equal">
      <formula>$AI$71-$AI$74</formula>
    </cfRule>
  </conditionalFormatting>
  <conditionalFormatting sqref="AI70">
    <cfRule type="cellIs" dxfId="1303" priority="9" operator="notEqual">
      <formula>$AI$71-$AI$74</formula>
    </cfRule>
  </conditionalFormatting>
  <conditionalFormatting sqref="AJ70">
    <cfRule type="cellIs" dxfId="1302" priority="8" operator="equal">
      <formula>$AJ$71-$AJ$74</formula>
    </cfRule>
  </conditionalFormatting>
  <conditionalFormatting sqref="AJ70">
    <cfRule type="cellIs" dxfId="1301" priority="7" operator="notEqual">
      <formula>$AJ$71-$AJ$74</formula>
    </cfRule>
  </conditionalFormatting>
  <conditionalFormatting sqref="AK70">
    <cfRule type="cellIs" dxfId="1300" priority="6" operator="equal">
      <formula>$AK$71-$AK$74</formula>
    </cfRule>
  </conditionalFormatting>
  <conditionalFormatting sqref="AK70">
    <cfRule type="cellIs" dxfId="1299" priority="5" operator="notEqual">
      <formula>$AK$71-$AK$74</formula>
    </cfRule>
  </conditionalFormatting>
  <conditionalFormatting sqref="AL70">
    <cfRule type="cellIs" dxfId="1298" priority="4" operator="equal">
      <formula>$AL$71-$AL$74</formula>
    </cfRule>
  </conditionalFormatting>
  <conditionalFormatting sqref="AL70">
    <cfRule type="cellIs" dxfId="1297" priority="3" operator="notEqual">
      <formula>$AL$71-$AL$74</formula>
    </cfRule>
  </conditionalFormatting>
  <conditionalFormatting sqref="AM70">
    <cfRule type="cellIs" dxfId="1296" priority="2" operator="equal">
      <formula>$AM$71-$AM$74</formula>
    </cfRule>
  </conditionalFormatting>
  <conditionalFormatting sqref="AM70">
    <cfRule type="cellIs" dxfId="1295" priority="1" operator="notEqual">
      <formula>$AM$71-$AM$74</formula>
    </cfRule>
  </conditionalFormatting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A93E3-5804-45AF-B0DB-14CDDA1348C9}">
  <sheetPr codeName="Planilha10"/>
  <dimension ref="A1:AP75"/>
  <sheetViews>
    <sheetView showGridLines="0" topLeftCell="AF53" workbookViewId="0">
      <selection activeCell="AO70" sqref="AO70:AP72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5" width="10.28515625" style="9" bestFit="1" customWidth="1"/>
    <col min="6" max="6" width="14.140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10" style="9" bestFit="1" customWidth="1"/>
    <col min="15" max="15" width="4.140625" style="9" bestFit="1" customWidth="1"/>
    <col min="16" max="16" width="4.42578125" style="9" bestFit="1" customWidth="1"/>
    <col min="17" max="18" width="10.85546875" style="9" bestFit="1" customWidth="1"/>
    <col min="19" max="19" width="8.7109375" style="9" bestFit="1" customWidth="1"/>
    <col min="20" max="22" width="10.85546875" style="9" bestFit="1" customWidth="1"/>
    <col min="23" max="23" width="10" style="9" bestFit="1" customWidth="1"/>
    <col min="24" max="24" width="9.85546875" style="9" bestFit="1" customWidth="1"/>
    <col min="25" max="25" width="5.14062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30" width="11.7109375" style="9" bestFit="1" customWidth="1"/>
    <col min="31" max="31" width="11.42578125" style="9" bestFit="1" customWidth="1"/>
    <col min="32" max="32" width="7.28515625" style="9" bestFit="1" customWidth="1"/>
    <col min="33" max="33" width="11.42578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8" width="10.85546875" style="9" bestFit="1" customWidth="1"/>
    <col min="39" max="39" width="11.7109375" style="9" bestFit="1" customWidth="1"/>
    <col min="40" max="40" width="9.140625" style="9"/>
    <col min="41" max="42" width="11.7109375" style="9" bestFit="1" customWidth="1"/>
    <col min="43" max="16384" width="9.140625" style="9"/>
  </cols>
  <sheetData>
    <row r="1" spans="1:42" ht="11.25" customHeight="1" x14ac:dyDescent="0.25">
      <c r="A1" s="109" t="s">
        <v>71</v>
      </c>
      <c r="B1" s="109" t="s">
        <v>72</v>
      </c>
      <c r="C1" s="109" t="s">
        <v>73</v>
      </c>
      <c r="D1" s="109" t="s">
        <v>74</v>
      </c>
      <c r="E1" s="109" t="s">
        <v>75</v>
      </c>
      <c r="F1" s="109" t="s">
        <v>15</v>
      </c>
      <c r="G1" s="109" t="s">
        <v>77</v>
      </c>
      <c r="H1" s="109" t="s">
        <v>78</v>
      </c>
      <c r="I1" s="109" t="s">
        <v>835</v>
      </c>
      <c r="J1" s="105"/>
      <c r="L1" s="108" t="s">
        <v>852</v>
      </c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O1" s="20"/>
      <c r="AP1" s="112" t="s">
        <v>837</v>
      </c>
    </row>
    <row r="2" spans="1:42" ht="11.25" customHeight="1" x14ac:dyDescent="0.25">
      <c r="A2" s="109"/>
      <c r="B2" s="109"/>
      <c r="C2" s="109"/>
      <c r="D2" s="109"/>
      <c r="E2" s="109"/>
      <c r="F2" s="109"/>
      <c r="G2" s="109"/>
      <c r="H2" s="109"/>
      <c r="I2" s="109"/>
      <c r="J2" s="105"/>
      <c r="L2" s="108" t="s">
        <v>734</v>
      </c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O2" s="20"/>
      <c r="AP2" s="113"/>
    </row>
    <row r="3" spans="1:42" ht="11.25" customHeight="1" x14ac:dyDescent="0.25">
      <c r="A3" s="109"/>
      <c r="B3" s="109"/>
      <c r="C3" s="109"/>
      <c r="D3" s="109"/>
      <c r="E3" s="109"/>
      <c r="F3" s="109"/>
      <c r="G3" s="109"/>
      <c r="H3" s="109"/>
      <c r="I3" s="109"/>
      <c r="J3" s="105"/>
      <c r="L3" s="108" t="s">
        <v>735</v>
      </c>
      <c r="M3" s="108"/>
      <c r="N3" s="108"/>
      <c r="O3" s="108"/>
      <c r="P3" s="108"/>
      <c r="Q3" s="108"/>
      <c r="R3" s="108"/>
      <c r="S3" s="108"/>
      <c r="T3" s="108"/>
      <c r="U3" s="108" t="s">
        <v>744</v>
      </c>
      <c r="V3" s="108"/>
      <c r="W3" s="108"/>
      <c r="X3" s="108"/>
      <c r="Y3" s="108"/>
      <c r="Z3" s="108"/>
      <c r="AA3" s="108"/>
      <c r="AB3" s="108"/>
      <c r="AC3" s="108" t="s">
        <v>752</v>
      </c>
      <c r="AD3" s="108"/>
      <c r="AE3" s="108" t="s">
        <v>754</v>
      </c>
      <c r="AF3" s="108"/>
      <c r="AG3" s="108"/>
      <c r="AH3" s="108" t="s">
        <v>757</v>
      </c>
      <c r="AI3" s="108"/>
      <c r="AJ3" s="108"/>
      <c r="AK3" s="108"/>
      <c r="AL3" s="108"/>
      <c r="AM3" s="108" t="s">
        <v>743</v>
      </c>
      <c r="AO3" s="20"/>
      <c r="AP3" s="113"/>
    </row>
    <row r="4" spans="1:42" ht="11.25" customHeight="1" x14ac:dyDescent="0.25">
      <c r="A4" s="109"/>
      <c r="B4" s="109"/>
      <c r="C4" s="109"/>
      <c r="D4" s="109"/>
      <c r="E4" s="109"/>
      <c r="F4" s="109"/>
      <c r="G4" s="109"/>
      <c r="H4" s="109"/>
      <c r="I4" s="109"/>
      <c r="J4" s="105"/>
      <c r="L4" s="10" t="s">
        <v>820</v>
      </c>
      <c r="M4" s="10" t="s">
        <v>736</v>
      </c>
      <c r="N4" s="10" t="s">
        <v>737</v>
      </c>
      <c r="O4" s="10" t="s">
        <v>738</v>
      </c>
      <c r="P4" s="10" t="s">
        <v>739</v>
      </c>
      <c r="Q4" s="10" t="s">
        <v>740</v>
      </c>
      <c r="R4" s="10" t="s">
        <v>741</v>
      </c>
      <c r="S4" s="10" t="s">
        <v>742</v>
      </c>
      <c r="T4" s="10" t="s">
        <v>743</v>
      </c>
      <c r="U4" s="10" t="s">
        <v>745</v>
      </c>
      <c r="V4" s="10" t="s">
        <v>746</v>
      </c>
      <c r="W4" s="10" t="s">
        <v>747</v>
      </c>
      <c r="X4" s="10" t="s">
        <v>748</v>
      </c>
      <c r="Y4" s="10" t="s">
        <v>749</v>
      </c>
      <c r="Z4" s="10" t="s">
        <v>750</v>
      </c>
      <c r="AA4" s="10" t="s">
        <v>751</v>
      </c>
      <c r="AB4" s="10" t="s">
        <v>743</v>
      </c>
      <c r="AC4" s="10" t="s">
        <v>753</v>
      </c>
      <c r="AD4" s="10" t="s">
        <v>743</v>
      </c>
      <c r="AE4" s="10" t="s">
        <v>755</v>
      </c>
      <c r="AF4" s="10" t="s">
        <v>756</v>
      </c>
      <c r="AG4" s="10" t="s">
        <v>743</v>
      </c>
      <c r="AH4" s="10" t="s">
        <v>758</v>
      </c>
      <c r="AI4" s="10" t="s">
        <v>759</v>
      </c>
      <c r="AJ4" s="10" t="s">
        <v>760</v>
      </c>
      <c r="AK4" s="10" t="s">
        <v>761</v>
      </c>
      <c r="AL4" s="10" t="s">
        <v>743</v>
      </c>
      <c r="AM4" s="111"/>
      <c r="AO4" s="21" t="s">
        <v>854</v>
      </c>
      <c r="AP4" s="114"/>
    </row>
    <row r="5" spans="1:42" ht="11.25" customHeight="1" x14ac:dyDescent="0.25">
      <c r="A5" s="107" t="s">
        <v>80</v>
      </c>
      <c r="B5" s="107" t="s">
        <v>42</v>
      </c>
      <c r="C5" s="107" t="s">
        <v>25</v>
      </c>
      <c r="D5" s="107" t="s">
        <v>25</v>
      </c>
      <c r="E5" s="107" t="s">
        <v>25</v>
      </c>
      <c r="F5" s="107" t="s">
        <v>25</v>
      </c>
      <c r="G5" s="18" t="s">
        <v>86</v>
      </c>
      <c r="H5" s="18" t="s">
        <v>85</v>
      </c>
      <c r="I5" s="18">
        <f>'MERCADO TUSD'!$U$2+0.00000001</f>
        <v>1E-8</v>
      </c>
      <c r="J5" s="15"/>
      <c r="L5" s="13">
        <f>'TUSD BE'!$L$5*'TUSD BE'!$L$75</f>
        <v>0</v>
      </c>
      <c r="M5" s="13">
        <f>'TUSD BE'!$M$5*'TUSD BE'!$M$75</f>
        <v>0</v>
      </c>
      <c r="N5" s="13">
        <f ca="1">'TUSD BE'!$N$5*'TUSD BE'!$N$75</f>
        <v>0</v>
      </c>
      <c r="O5" s="13">
        <f>'TUSD BE'!$O$5*'TUSD BE'!$O$75</f>
        <v>0</v>
      </c>
      <c r="P5" s="13">
        <f>'TUSD BE'!$P$5*'TUSD BE'!$P$75</f>
        <v>0</v>
      </c>
      <c r="Q5" s="13">
        <f>'TUSD BE'!$Q$5*'TUSD BE'!$Q$75</f>
        <v>0</v>
      </c>
      <c r="R5" s="13">
        <f>'TUSD BE'!$R$5*'TUSD BE'!$R$75</f>
        <v>0</v>
      </c>
      <c r="S5" s="13">
        <f>'TUSD BE'!$R$5*'TUSD BE'!$S$75</f>
        <v>0</v>
      </c>
      <c r="T5" s="13">
        <f ca="1">SUM($L$5:$S$5)</f>
        <v>0</v>
      </c>
      <c r="U5" s="13">
        <f>'TUSD BE'!$U$5*'TUSD BE'!$U$75</f>
        <v>3.1367074508103783E-2</v>
      </c>
      <c r="V5" s="13">
        <f>'TUSD BE'!$V$5*'TUSD BE'!$V$75</f>
        <v>4.3794630300993877E-2</v>
      </c>
      <c r="W5" s="13">
        <f>'TUSD BE'!$W$5*'TUSD BE'!$W$75</f>
        <v>-6.1917743778240357E-3</v>
      </c>
      <c r="X5" s="13">
        <f>'TUSD BE'!$X$5*'TUSD BE'!$X$75</f>
        <v>0</v>
      </c>
      <c r="Y5" s="13">
        <f>'TUSD BE'!$Y$5*'TUSD BE'!$Y$75</f>
        <v>0</v>
      </c>
      <c r="Z5" s="13">
        <f>'TUSD BE'!$Z$5*'TUSD BE'!$Z$75</f>
        <v>0</v>
      </c>
      <c r="AA5" s="13">
        <f>'TUSD BE'!$AA$5*'TUSD BE'!$AA$75</f>
        <v>0</v>
      </c>
      <c r="AB5" s="13">
        <f>SUM($U$5:$AA$5)</f>
        <v>6.8969930431273627E-2</v>
      </c>
      <c r="AC5" s="13">
        <f>'TUSD BE'!$AC$5*'TUSD BE'!$AC$75</f>
        <v>-7.1935778432495157E-2</v>
      </c>
      <c r="AD5" s="13">
        <f>SUM($AC$5:$AC$5)</f>
        <v>-7.1935778432495157E-2</v>
      </c>
      <c r="AE5" s="13">
        <f ca="1">$AO$5*$AO$72</f>
        <v>-5.0964618171556717</v>
      </c>
      <c r="AF5" s="13">
        <f ca="1">$AP$5*$AP$72</f>
        <v>0</v>
      </c>
      <c r="AG5" s="13">
        <f ca="1">SUM($AE$5:$AF$5)</f>
        <v>-5.0964618171556717</v>
      </c>
      <c r="AH5" s="13">
        <f>'TUSD BE'!$AH$5*'TUSD BE'!$AH$75</f>
        <v>0</v>
      </c>
      <c r="AI5" s="13">
        <f>'TUSD BE'!$AI$5*'TUSD BE'!$AI$75</f>
        <v>0</v>
      </c>
      <c r="AJ5" s="13">
        <f ca="1">'TUSD BE'!$AJ$5*'TUSD BE'!$AJ$75</f>
        <v>0</v>
      </c>
      <c r="AK5" s="13">
        <f ca="1">'TUSD BE'!$AK$5*'TUSD BE'!$AK$75</f>
        <v>0</v>
      </c>
      <c r="AL5" s="13">
        <f ca="1">SUM($AH$5:$AK$5)</f>
        <v>0</v>
      </c>
      <c r="AM5" s="13">
        <f ca="1">SUMIF($L$4:$AL$4,"SUBTOTAL",$L$5:$AL$5)</f>
        <v>-5.0994276651568935</v>
      </c>
      <c r="AO5" s="20">
        <f ca="1">+'TUSD BE'!$T$5+'TUSD BE'!$AB$5+'TUSD BE'!$AD$5+'TUSD BE'!$AL$5</f>
        <v>56.859519482038806</v>
      </c>
      <c r="AP5" s="20">
        <f ca="1">+'TUSD BE'!$T$5+'TUSD BE'!$AB$5+'TUSD BE'!$AD$5+'TUSD BE'!$AL$5</f>
        <v>56.859519482038806</v>
      </c>
    </row>
    <row r="6" spans="1:42" ht="11.25" customHeight="1" x14ac:dyDescent="0.25">
      <c r="A6" s="107"/>
      <c r="B6" s="107"/>
      <c r="C6" s="107"/>
      <c r="D6" s="107"/>
      <c r="E6" s="107"/>
      <c r="F6" s="107"/>
      <c r="G6" s="18" t="s">
        <v>87</v>
      </c>
      <c r="H6" s="18" t="s">
        <v>85</v>
      </c>
      <c r="I6" s="18">
        <f>'MERCADO TUSD'!$U$3+0.00000001</f>
        <v>1E-8</v>
      </c>
      <c r="J6" s="15"/>
      <c r="L6" s="13">
        <f>'TUSD BE'!$L$6*'TUSD BE'!$L$75</f>
        <v>0</v>
      </c>
      <c r="M6" s="13">
        <f>'TUSD BE'!$M$6*'TUSD BE'!$M$75</f>
        <v>0</v>
      </c>
      <c r="N6" s="13">
        <f ca="1">'TUSD BE'!$N$6*'TUSD BE'!$N$75</f>
        <v>0</v>
      </c>
      <c r="O6" s="13">
        <f>'TUSD BE'!$O$6*'TUSD BE'!$O$75</f>
        <v>0</v>
      </c>
      <c r="P6" s="13">
        <f>'TUSD BE'!$P$6*'TUSD BE'!$P$75</f>
        <v>0</v>
      </c>
      <c r="Q6" s="13">
        <f>'TUSD BE'!$Q$6*'TUSD BE'!$Q$75</f>
        <v>0</v>
      </c>
      <c r="R6" s="13">
        <f>'TUSD BE'!$R$6*'TUSD BE'!$R$75</f>
        <v>0</v>
      </c>
      <c r="S6" s="13">
        <f>'TUSD BE'!$R$6*'TUSD BE'!$S$75</f>
        <v>0</v>
      </c>
      <c r="T6" s="13">
        <f ca="1">SUM($L$6:$S$6)</f>
        <v>0</v>
      </c>
      <c r="U6" s="13">
        <f>'TUSD BE'!$U$6*'TUSD BE'!$U$75</f>
        <v>2.3549692753554917E-2</v>
      </c>
      <c r="V6" s="13">
        <f>'TUSD BE'!$V$6*'TUSD BE'!$V$75</f>
        <v>3.6228905599232149E-2</v>
      </c>
      <c r="W6" s="13">
        <f>'TUSD BE'!$W$6*'TUSD BE'!$W$75</f>
        <v>-5.1721339205803765E-3</v>
      </c>
      <c r="X6" s="13">
        <f>'TUSD BE'!$X$6*'TUSD BE'!$X$75</f>
        <v>0</v>
      </c>
      <c r="Y6" s="13">
        <f>'TUSD BE'!$Y$6*'TUSD BE'!$Y$75</f>
        <v>0</v>
      </c>
      <c r="Z6" s="13">
        <f>'TUSD BE'!$Z$6*'TUSD BE'!$Z$75</f>
        <v>0</v>
      </c>
      <c r="AA6" s="13">
        <f>'TUSD BE'!$AA$6*'TUSD BE'!$AA$75</f>
        <v>0</v>
      </c>
      <c r="AB6" s="13">
        <f>SUM($U$6:$AA$6)</f>
        <v>5.4606464432206687E-2</v>
      </c>
      <c r="AC6" s="13">
        <f>'TUSD BE'!$AC$6*'TUSD BE'!$AC$75</f>
        <v>-2.1632383739676343E-2</v>
      </c>
      <c r="AD6" s="13">
        <f>SUM($AC$6:$AC$6)</f>
        <v>-2.1632383739676343E-2</v>
      </c>
      <c r="AE6" s="13">
        <f ca="1">$AO$6*$AO$72</f>
        <v>-1.8195847952366542</v>
      </c>
      <c r="AF6" s="13">
        <f ca="1">$AP$6*$AP$72</f>
        <v>0</v>
      </c>
      <c r="AG6" s="13">
        <f ca="1">SUM($AE$6:$AF$6)</f>
        <v>-1.8195847952366542</v>
      </c>
      <c r="AH6" s="13">
        <f>'TUSD BE'!$AH$6*'TUSD BE'!$AH$75</f>
        <v>0</v>
      </c>
      <c r="AI6" s="13">
        <f>'TUSD BE'!$AI$6*'TUSD BE'!$AI$75</f>
        <v>0</v>
      </c>
      <c r="AJ6" s="13">
        <f ca="1">'TUSD BE'!$AJ$6*'TUSD BE'!$AJ$75</f>
        <v>0</v>
      </c>
      <c r="AK6" s="13">
        <f ca="1">'TUSD BE'!$AK$6*'TUSD BE'!$AK$75</f>
        <v>0</v>
      </c>
      <c r="AL6" s="13">
        <f ca="1">SUM($AH$6:$AK$6)</f>
        <v>0</v>
      </c>
      <c r="AM6" s="13">
        <f ca="1">SUMIF($L$4:$AL$4,"SUBTOTAL",$L$6:$AL$6)</f>
        <v>-1.7866107145441239</v>
      </c>
      <c r="AO6" s="20">
        <f ca="1">+'TUSD BE'!$T$6+'TUSD BE'!$AB$6+'TUSD BE'!$AD$6+'TUSD BE'!$AL$6</f>
        <v>20.300498821694578</v>
      </c>
      <c r="AP6" s="20">
        <f ca="1">+'TUSD BE'!$T$6+'TUSD BE'!$AB$6+'TUSD BE'!$AD$6+'TUSD BE'!$AL$6</f>
        <v>20.300498821694578</v>
      </c>
    </row>
    <row r="7" spans="1:42" ht="11.25" customHeight="1" x14ac:dyDescent="0.25">
      <c r="A7" s="107"/>
      <c r="B7" s="107"/>
      <c r="C7" s="107"/>
      <c r="D7" s="107"/>
      <c r="E7" s="107"/>
      <c r="F7" s="107"/>
      <c r="G7" s="18" t="s">
        <v>88</v>
      </c>
      <c r="H7" s="18" t="s">
        <v>82</v>
      </c>
      <c r="I7" s="18">
        <f>'MERCADO TUSD'!$U$4+0.00000001</f>
        <v>1E-8</v>
      </c>
      <c r="J7" s="15"/>
      <c r="L7" s="13">
        <f>'TUSD BE'!$L$7*'TUSD BE'!$L$75</f>
        <v>-1.8450897438046072</v>
      </c>
      <c r="M7" s="13">
        <f>'TUSD BE'!$M$7*'TUSD BE'!$M$75</f>
        <v>-2.1088106486530909E-3</v>
      </c>
      <c r="N7" s="13">
        <f ca="1">'TUSD BE'!$N$7*'TUSD BE'!$N$75</f>
        <v>-7.17533367975884E-8</v>
      </c>
      <c r="O7" s="13">
        <f>'TUSD BE'!$O$7*'TUSD BE'!$O$75</f>
        <v>0</v>
      </c>
      <c r="P7" s="13">
        <f>'TUSD BE'!$P$7*'TUSD BE'!$P$75</f>
        <v>0</v>
      </c>
      <c r="Q7" s="13">
        <f>'TUSD BE'!$Q$7*'TUSD BE'!$Q$75</f>
        <v>-0.46858727131369393</v>
      </c>
      <c r="R7" s="13">
        <f>'TUSD BE'!$R$7*'TUSD BE'!$R$75</f>
        <v>-0.33555303906064865</v>
      </c>
      <c r="S7" s="13">
        <f>'TUSD BE'!$R$7*'TUSD BE'!$S$75</f>
        <v>0</v>
      </c>
      <c r="T7" s="13">
        <f ca="1">SUM($L$7:$S$7)</f>
        <v>-2.6513389365809394</v>
      </c>
      <c r="U7" s="13">
        <f>'TUSD BE'!$U$7*'TUSD BE'!$U$75</f>
        <v>0</v>
      </c>
      <c r="V7" s="13">
        <f>'TUSD BE'!$V$7*'TUSD BE'!$V$75</f>
        <v>0</v>
      </c>
      <c r="W7" s="13">
        <f>'TUSD BE'!$W$7*'TUSD BE'!$W$75</f>
        <v>0</v>
      </c>
      <c r="X7" s="13">
        <f>'TUSD BE'!$X$7*'TUSD BE'!$X$75</f>
        <v>0</v>
      </c>
      <c r="Y7" s="13">
        <f>'TUSD BE'!$Y$7*'TUSD BE'!$Y$75</f>
        <v>0</v>
      </c>
      <c r="Z7" s="13">
        <f>'TUSD BE'!$Z$7*'TUSD BE'!$Z$75</f>
        <v>0</v>
      </c>
      <c r="AA7" s="13">
        <f>'TUSD BE'!$AA$7*'TUSD BE'!$AA$75</f>
        <v>0</v>
      </c>
      <c r="AB7" s="13">
        <f>SUM($U$7:$AA$7)</f>
        <v>0</v>
      </c>
      <c r="AC7" s="13">
        <f>'TUSD BE'!$AC$7*'TUSD BE'!$AC$75</f>
        <v>0</v>
      </c>
      <c r="AD7" s="13">
        <f>SUM($AC$7:$AC$7)</f>
        <v>0</v>
      </c>
      <c r="AE7" s="13">
        <f ca="1">$AO$7*$AO$72</f>
        <v>-6.0973432114184645</v>
      </c>
      <c r="AF7" s="13">
        <f ca="1">$AP$7*$AP$72</f>
        <v>0</v>
      </c>
      <c r="AG7" s="13">
        <f ca="1">SUM($AE$7:$AF$7)</f>
        <v>-6.0973432114184645</v>
      </c>
      <c r="AH7" s="13">
        <f>'TUSD BE'!$AH$7*'TUSD BE'!$AH$75</f>
        <v>1.374117997501157</v>
      </c>
      <c r="AI7" s="13">
        <f>'TUSD BE'!$AI$7*'TUSD BE'!$AI$75</f>
        <v>6.3537933719999953E-2</v>
      </c>
      <c r="AJ7" s="13">
        <f ca="1">'TUSD BE'!$AJ$7*'TUSD BE'!$AJ$75</f>
        <v>0.617451075949211</v>
      </c>
      <c r="AK7" s="13">
        <f ca="1">'TUSD BE'!$AK$7*'TUSD BE'!$AK$75</f>
        <v>-0.12411595739316239</v>
      </c>
      <c r="AL7" s="13">
        <f ca="1">SUM($AH$7:$AK$7)</f>
        <v>1.9309910497772056</v>
      </c>
      <c r="AM7" s="13">
        <f ca="1">SUMIF($L$4:$AL$4,"SUBTOTAL",$L$7:$AL$7)</f>
        <v>-6.8176910982221983</v>
      </c>
      <c r="AO7" s="20">
        <f ca="1">+'TUSD BE'!$T$7+'TUSD BE'!$AB$7+'TUSD BE'!$AD$7+'TUSD BE'!$AL$7</f>
        <v>68.02601835479139</v>
      </c>
      <c r="AP7" s="20">
        <f ca="1">+'TUSD BE'!$T$7+'TUSD BE'!$AB$7+'TUSD BE'!$AD$7+'TUSD BE'!$AL$7</f>
        <v>68.02601835479139</v>
      </c>
    </row>
    <row r="8" spans="1:42" ht="11.25" customHeight="1" x14ac:dyDescent="0.25">
      <c r="A8" s="107"/>
      <c r="B8" s="107"/>
      <c r="C8" s="107"/>
      <c r="D8" s="107"/>
      <c r="E8" s="17" t="s">
        <v>89</v>
      </c>
      <c r="F8" s="17" t="s">
        <v>25</v>
      </c>
      <c r="G8" s="18" t="s">
        <v>88</v>
      </c>
      <c r="H8" s="18" t="s">
        <v>82</v>
      </c>
      <c r="I8" s="18">
        <f>'MERCADO TUSD'!$U$5+0.00000001</f>
        <v>1E-8</v>
      </c>
      <c r="J8" s="15"/>
      <c r="L8" s="13">
        <f>'TUSD BE'!$L$8*'TUSD BE'!$L$75</f>
        <v>0</v>
      </c>
      <c r="M8" s="13">
        <f>'TUSD BE'!$M$8*'TUSD BE'!$M$75</f>
        <v>-2.1088106486530909E-3</v>
      </c>
      <c r="N8" s="13">
        <f ca="1">'TUSD BE'!$N$8*'TUSD BE'!$N$75</f>
        <v>-6.9126436879748298E-8</v>
      </c>
      <c r="O8" s="13">
        <f>'TUSD BE'!$O$8*'TUSD BE'!$O$75</f>
        <v>0</v>
      </c>
      <c r="P8" s="13">
        <f>'TUSD BE'!$P$8*'TUSD BE'!$P$75</f>
        <v>0</v>
      </c>
      <c r="Q8" s="13">
        <f>'TUSD BE'!$Q$8*'TUSD BE'!$Q$75</f>
        <v>0</v>
      </c>
      <c r="R8" s="13">
        <f>'TUSD BE'!$R$8*'TUSD BE'!$R$75</f>
        <v>0</v>
      </c>
      <c r="S8" s="13">
        <f>'TUSD BE'!$R$8*'TUSD BE'!$S$75</f>
        <v>0</v>
      </c>
      <c r="T8" s="13">
        <f ca="1">SUM($L$8:$S$8)</f>
        <v>-2.1088797750899706E-3</v>
      </c>
      <c r="U8" s="13">
        <f>'TUSD BE'!$U$8*'TUSD BE'!$U$75</f>
        <v>0</v>
      </c>
      <c r="V8" s="13">
        <f>'TUSD BE'!$V$8*'TUSD BE'!$V$75</f>
        <v>0</v>
      </c>
      <c r="W8" s="13">
        <f>'TUSD BE'!$W$8*'TUSD BE'!$W$75</f>
        <v>0</v>
      </c>
      <c r="X8" s="13">
        <f>'TUSD BE'!$X$8*'TUSD BE'!$X$75</f>
        <v>0</v>
      </c>
      <c r="Y8" s="13">
        <f>'TUSD BE'!$Y$8*'TUSD BE'!$Y$75</f>
        <v>0</v>
      </c>
      <c r="Z8" s="13">
        <f>'TUSD BE'!$Z$8*'TUSD BE'!$Z$75</f>
        <v>0</v>
      </c>
      <c r="AA8" s="13">
        <f>'TUSD BE'!$AA$8*'TUSD BE'!$AA$75</f>
        <v>0</v>
      </c>
      <c r="AB8" s="13">
        <f>SUM($U$8:$AA$8)</f>
        <v>0</v>
      </c>
      <c r="AC8" s="13">
        <f>'TUSD BE'!$AC$8*'TUSD BE'!$AC$75</f>
        <v>0</v>
      </c>
      <c r="AD8" s="13">
        <f>SUM($AC$8:$AC$8)</f>
        <v>0</v>
      </c>
      <c r="AE8" s="13">
        <f ca="1">$AO$8*$AO$72</f>
        <v>-1.579980328560503</v>
      </c>
      <c r="AF8" s="13">
        <f ca="1">$AP$8*$AP$72</f>
        <v>0</v>
      </c>
      <c r="AG8" s="13">
        <f ca="1">SUM($AE$8:$AF$8)</f>
        <v>-1.579980328560503</v>
      </c>
      <c r="AH8" s="13">
        <f>'TUSD BE'!$AH$8*'TUSD BE'!$AH$75</f>
        <v>1.374117997501157</v>
      </c>
      <c r="AI8" s="13">
        <f>'TUSD BE'!$AI$8*'TUSD BE'!$AI$75</f>
        <v>6.3537933719999953E-2</v>
      </c>
      <c r="AJ8" s="13">
        <f ca="1">'TUSD BE'!$AJ$8*'TUSD BE'!$AJ$75</f>
        <v>0.617451075949211</v>
      </c>
      <c r="AK8" s="13">
        <f ca="1">'TUSD BE'!$AK$8*'TUSD BE'!$AK$75</f>
        <v>-0.12411595739316239</v>
      </c>
      <c r="AL8" s="13">
        <f ca="1">SUM($AH$8:$AK$8)</f>
        <v>1.9309910497772056</v>
      </c>
      <c r="AM8" s="13">
        <f ca="1">SUMIF($L$4:$AL$4,"SUBTOTAL",$L$8:$AL$8)</f>
        <v>0.34890184144161274</v>
      </c>
      <c r="AO8" s="20">
        <f ca="1">+'TUSD BE'!$T$8+'TUSD BE'!$AB$8+'TUSD BE'!$AD$8+'TUSD BE'!$AL$8</f>
        <v>17.627311946224264</v>
      </c>
      <c r="AP8" s="20">
        <f ca="1">+'TUSD BE'!$T$8+'TUSD BE'!$AB$8+'TUSD BE'!$AD$8+'TUSD BE'!$AL$8</f>
        <v>17.627311946224264</v>
      </c>
    </row>
    <row r="9" spans="1:42" ht="11.25" customHeight="1" x14ac:dyDescent="0.25">
      <c r="A9" s="107" t="s">
        <v>43</v>
      </c>
      <c r="B9" s="107" t="s">
        <v>42</v>
      </c>
      <c r="C9" s="107" t="s">
        <v>25</v>
      </c>
      <c r="D9" s="107" t="s">
        <v>25</v>
      </c>
      <c r="E9" s="107" t="s">
        <v>25</v>
      </c>
      <c r="F9" s="107" t="s">
        <v>25</v>
      </c>
      <c r="G9" s="18" t="s">
        <v>86</v>
      </c>
      <c r="H9" s="18" t="s">
        <v>85</v>
      </c>
      <c r="I9" s="18">
        <f>'MERCADO TUSD'!$U$6</f>
        <v>150</v>
      </c>
      <c r="J9" s="15"/>
      <c r="L9" s="13">
        <f>'TUSD BE'!$L$9*'TUSD BE'!$L$75</f>
        <v>0</v>
      </c>
      <c r="M9" s="13">
        <f>'TUSD BE'!$M$9*'TUSD BE'!$M$75</f>
        <v>0</v>
      </c>
      <c r="N9" s="13">
        <f ca="1">'TUSD BE'!$N$9*'TUSD BE'!$N$75</f>
        <v>0</v>
      </c>
      <c r="O9" s="13">
        <f>'TUSD BE'!$O$9*'TUSD BE'!$O$75</f>
        <v>0</v>
      </c>
      <c r="P9" s="13">
        <f>'TUSD BE'!$P$9*'TUSD BE'!$P$75</f>
        <v>0</v>
      </c>
      <c r="Q9" s="13">
        <f>'TUSD BE'!$Q$9*'TUSD BE'!$Q$75</f>
        <v>0</v>
      </c>
      <c r="R9" s="13">
        <f>'TUSD BE'!$R$9*'TUSD BE'!$R$75</f>
        <v>0</v>
      </c>
      <c r="S9" s="13">
        <f>'TUSD BE'!$R$9*'TUSD BE'!$S$75</f>
        <v>0</v>
      </c>
      <c r="T9" s="13">
        <f ca="1">SUM($L$9:$S$9)</f>
        <v>0</v>
      </c>
      <c r="U9" s="13">
        <f>'TUSD BE'!$U$9*'TUSD BE'!$U$75</f>
        <v>3.3457554260188961E-2</v>
      </c>
      <c r="V9" s="13">
        <f>'TUSD BE'!$V$9*'TUSD BE'!$V$75</f>
        <v>4.6715527001773532E-2</v>
      </c>
      <c r="W9" s="13">
        <f>'TUSD BE'!$W$9*'TUSD BE'!$W$75</f>
        <v>-6.6045593363456391E-3</v>
      </c>
      <c r="X9" s="13">
        <f>'TUSD BE'!$X$9*'TUSD BE'!$X$75</f>
        <v>0</v>
      </c>
      <c r="Y9" s="13">
        <f>'TUSD BE'!$Y$9*'TUSD BE'!$Y$75</f>
        <v>0</v>
      </c>
      <c r="Z9" s="13">
        <f>'TUSD BE'!$Z$9*'TUSD BE'!$Z$75</f>
        <v>0</v>
      </c>
      <c r="AA9" s="13">
        <f>'TUSD BE'!$AA$9*'TUSD BE'!$AA$75</f>
        <v>0</v>
      </c>
      <c r="AB9" s="13">
        <f>SUM($U$9:$AA$9)</f>
        <v>7.3568521925616845E-2</v>
      </c>
      <c r="AC9" s="13">
        <f>'TUSD BE'!$AC$9*'TUSD BE'!$AC$75</f>
        <v>-7.6731496994661516E-2</v>
      </c>
      <c r="AD9" s="13">
        <f>SUM($AC$9:$AC$9)</f>
        <v>-7.6731496994661516E-2</v>
      </c>
      <c r="AE9" s="13">
        <f ca="1">$AO$9*$AO$72</f>
        <v>-5.4362283726388094</v>
      </c>
      <c r="AF9" s="13">
        <f ca="1">$AP$9*$AP$72</f>
        <v>0</v>
      </c>
      <c r="AG9" s="13">
        <f ca="1">SUM($AE$9:$AF$9)</f>
        <v>-5.4362283726388094</v>
      </c>
      <c r="AH9" s="13">
        <f>'TUSD BE'!$AH$9*'TUSD BE'!$AH$75</f>
        <v>0</v>
      </c>
      <c r="AI9" s="13">
        <f>'TUSD BE'!$AI$9*'TUSD BE'!$AI$75</f>
        <v>0</v>
      </c>
      <c r="AJ9" s="13">
        <f ca="1">'TUSD BE'!$AJ$9*'TUSD BE'!$AJ$75</f>
        <v>0</v>
      </c>
      <c r="AK9" s="13">
        <f ca="1">'TUSD BE'!$AK$9*'TUSD BE'!$AK$75</f>
        <v>0</v>
      </c>
      <c r="AL9" s="13">
        <f ca="1">SUM($AH$9:$AK$9)</f>
        <v>0</v>
      </c>
      <c r="AM9" s="13">
        <f ca="1">SUMIF($L$4:$AL$4,"SUBTOTAL",$L$9:$AL$9)</f>
        <v>-5.4393913477078542</v>
      </c>
      <c r="AO9" s="20">
        <f ca="1">+'TUSD BE'!$T$9+'TUSD BE'!$AB$9+'TUSD BE'!$AD$9+'TUSD BE'!$AL$9</f>
        <v>60.650181273285298</v>
      </c>
      <c r="AP9" s="20">
        <f ca="1">+'TUSD BE'!$T$9+'TUSD BE'!$AB$9+'TUSD BE'!$AD$9+'TUSD BE'!$AL$9</f>
        <v>60.650181273285298</v>
      </c>
    </row>
    <row r="10" spans="1:42" ht="11.25" customHeight="1" x14ac:dyDescent="0.25">
      <c r="A10" s="107"/>
      <c r="B10" s="107"/>
      <c r="C10" s="107"/>
      <c r="D10" s="107"/>
      <c r="E10" s="107"/>
      <c r="F10" s="107"/>
      <c r="G10" s="18" t="s">
        <v>87</v>
      </c>
      <c r="H10" s="18" t="s">
        <v>85</v>
      </c>
      <c r="I10" s="18">
        <f>'MERCADO TUSD'!$U$7</f>
        <v>1035</v>
      </c>
      <c r="J10" s="15"/>
      <c r="L10" s="13">
        <f>'TUSD BE'!$L$10*'TUSD BE'!$L$75</f>
        <v>0</v>
      </c>
      <c r="M10" s="13">
        <f>'TUSD BE'!$M$10*'TUSD BE'!$M$75</f>
        <v>0</v>
      </c>
      <c r="N10" s="13">
        <f ca="1">'TUSD BE'!$N$10*'TUSD BE'!$N$75</f>
        <v>0</v>
      </c>
      <c r="O10" s="13">
        <f>'TUSD BE'!$O$10*'TUSD BE'!$O$75</f>
        <v>0</v>
      </c>
      <c r="P10" s="13">
        <f>'TUSD BE'!$P$10*'TUSD BE'!$P$75</f>
        <v>0</v>
      </c>
      <c r="Q10" s="13">
        <f>'TUSD BE'!$Q$10*'TUSD BE'!$Q$75</f>
        <v>0</v>
      </c>
      <c r="R10" s="13">
        <f>'TUSD BE'!$R$10*'TUSD BE'!$R$75</f>
        <v>0</v>
      </c>
      <c r="S10" s="13">
        <f>'TUSD BE'!$R$10*'TUSD BE'!$S$75</f>
        <v>0</v>
      </c>
      <c r="T10" s="13">
        <f ca="1">SUM($L$10:$S$10)</f>
        <v>0</v>
      </c>
      <c r="U10" s="13">
        <f>'TUSD BE'!$U$10*'TUSD BE'!$U$75</f>
        <v>2.5119342996231038E-2</v>
      </c>
      <c r="V10" s="13">
        <f>'TUSD BE'!$V$10*'TUSD BE'!$V$75</f>
        <v>3.8643538632157595E-2</v>
      </c>
      <c r="W10" s="13">
        <f>'TUSD BE'!$W$10*'TUSD BE'!$W$75</f>
        <v>-5.5177643112230904E-3</v>
      </c>
      <c r="X10" s="13">
        <f>'TUSD BE'!$X$10*'TUSD BE'!$X$75</f>
        <v>0</v>
      </c>
      <c r="Y10" s="13">
        <f>'TUSD BE'!$Y$10*'TUSD BE'!$Y$75</f>
        <v>0</v>
      </c>
      <c r="Z10" s="13">
        <f>'TUSD BE'!$Z$10*'TUSD BE'!$Z$75</f>
        <v>0</v>
      </c>
      <c r="AA10" s="13">
        <f>'TUSD BE'!$AA$10*'TUSD BE'!$AA$75</f>
        <v>0</v>
      </c>
      <c r="AB10" s="13">
        <f>SUM($U$10:$AA$10)</f>
        <v>5.824511731716555E-2</v>
      </c>
      <c r="AC10" s="13">
        <f>'TUSD BE'!$AC$10*'TUSD BE'!$AC$75</f>
        <v>-2.3074542655654763E-2</v>
      </c>
      <c r="AD10" s="13">
        <f>SUM($AC$10:$AC$10)</f>
        <v>-2.3074542655654763E-2</v>
      </c>
      <c r="AE10" s="13">
        <f ca="1">$AO$10*$AO$72</f>
        <v>-1.9408874194434911</v>
      </c>
      <c r="AF10" s="13">
        <f ca="1">$AP$10*$AP$72</f>
        <v>0</v>
      </c>
      <c r="AG10" s="13">
        <f ca="1">SUM($AE$10:$AF$10)</f>
        <v>-1.9408874194434911</v>
      </c>
      <c r="AH10" s="13">
        <f>'TUSD BE'!$AH$10*'TUSD BE'!$AH$75</f>
        <v>0</v>
      </c>
      <c r="AI10" s="13">
        <f>'TUSD BE'!$AI$10*'TUSD BE'!$AI$75</f>
        <v>0</v>
      </c>
      <c r="AJ10" s="13">
        <f ca="1">'TUSD BE'!$AJ$10*'TUSD BE'!$AJ$75</f>
        <v>0</v>
      </c>
      <c r="AK10" s="13">
        <f ca="1">'TUSD BE'!$AK$10*'TUSD BE'!$AK$75</f>
        <v>0</v>
      </c>
      <c r="AL10" s="13">
        <f ca="1">SUM($AH$10:$AK$10)</f>
        <v>0</v>
      </c>
      <c r="AM10" s="13">
        <f ca="1">SUMIF($L$4:$AL$4,"SUBTOTAL",$L$10:$AL$10)</f>
        <v>-1.9057168447819803</v>
      </c>
      <c r="AO10" s="20">
        <f ca="1">+'TUSD BE'!$T$10+'TUSD BE'!$AB$10+'TUSD BE'!$AD$10+'TUSD BE'!$AL$10</f>
        <v>21.65383161839949</v>
      </c>
      <c r="AP10" s="20">
        <f ca="1">+'TUSD BE'!$T$10+'TUSD BE'!$AB$10+'TUSD BE'!$AD$10+'TUSD BE'!$AL$10</f>
        <v>21.65383161839949</v>
      </c>
    </row>
    <row r="11" spans="1:42" ht="11.25" customHeight="1" x14ac:dyDescent="0.25">
      <c r="A11" s="107"/>
      <c r="B11" s="107"/>
      <c r="C11" s="107"/>
      <c r="D11" s="107"/>
      <c r="E11" s="107"/>
      <c r="F11" s="107"/>
      <c r="G11" s="18" t="s">
        <v>88</v>
      </c>
      <c r="H11" s="18" t="s">
        <v>82</v>
      </c>
      <c r="I11" s="18">
        <f>'MERCADO TUSD'!$U$8</f>
        <v>0</v>
      </c>
      <c r="J11" s="15"/>
      <c r="L11" s="13">
        <f>'TUSD BE'!$L$11*'TUSD BE'!$L$75</f>
        <v>-2.4997990077352741</v>
      </c>
      <c r="M11" s="13">
        <f>'TUSD BE'!$M$11*'TUSD BE'!$M$75</f>
        <v>-1.1797016449375496E-2</v>
      </c>
      <c r="N11" s="13">
        <f ca="1">'TUSD BE'!$N$11*'TUSD BE'!$N$75</f>
        <v>-1.5870115531295013E-7</v>
      </c>
      <c r="O11" s="13">
        <f>'TUSD BE'!$O$11*'TUSD BE'!$O$75</f>
        <v>0</v>
      </c>
      <c r="P11" s="13">
        <f>'TUSD BE'!$P$11*'TUSD BE'!$P$75</f>
        <v>0</v>
      </c>
      <c r="Q11" s="13">
        <f>'TUSD BE'!$Q$11*'TUSD BE'!$Q$75</f>
        <v>-0.63486017403790784</v>
      </c>
      <c r="R11" s="13">
        <f>'TUSD BE'!$R$11*'TUSD BE'!$R$75</f>
        <v>-0.33555303906064865</v>
      </c>
      <c r="S11" s="13">
        <f>'TUSD BE'!$R$11*'TUSD BE'!$S$75</f>
        <v>0</v>
      </c>
      <c r="T11" s="13">
        <f ca="1">SUM($L$11:$S$11)</f>
        <v>-3.4820093959843614</v>
      </c>
      <c r="U11" s="13">
        <f>'TUSD BE'!$U$11*'TUSD BE'!$U$75</f>
        <v>0</v>
      </c>
      <c r="V11" s="13">
        <f>'TUSD BE'!$V$11*'TUSD BE'!$V$75</f>
        <v>0</v>
      </c>
      <c r="W11" s="13">
        <f>'TUSD BE'!$W$11*'TUSD BE'!$W$75</f>
        <v>0</v>
      </c>
      <c r="X11" s="13">
        <f>'TUSD BE'!$X$11*'TUSD BE'!$X$75</f>
        <v>0</v>
      </c>
      <c r="Y11" s="13">
        <f>'TUSD BE'!$Y$11*'TUSD BE'!$Y$75</f>
        <v>0</v>
      </c>
      <c r="Z11" s="13">
        <f>'TUSD BE'!$Z$11*'TUSD BE'!$Z$75</f>
        <v>0</v>
      </c>
      <c r="AA11" s="13">
        <f>'TUSD BE'!$AA$11*'TUSD BE'!$AA$75</f>
        <v>0</v>
      </c>
      <c r="AB11" s="13">
        <f>SUM($U$11:$AA$11)</f>
        <v>0</v>
      </c>
      <c r="AC11" s="13">
        <f>'TUSD BE'!$AC$11*'TUSD BE'!$AC$75</f>
        <v>0</v>
      </c>
      <c r="AD11" s="13">
        <f>SUM($AC$11:$AC$11)</f>
        <v>0</v>
      </c>
      <c r="AE11" s="13">
        <f ca="1">$AO$11*$AO$72</f>
        <v>-9.4494822089407879</v>
      </c>
      <c r="AF11" s="13">
        <f ca="1">$AP$11*$AP$72</f>
        <v>0</v>
      </c>
      <c r="AG11" s="13">
        <f ca="1">SUM($AE$11:$AF$11)</f>
        <v>-9.4494822089407879</v>
      </c>
      <c r="AH11" s="13">
        <f>'TUSD BE'!$AH$11*'TUSD BE'!$AH$75</f>
        <v>1.8321686019025285</v>
      </c>
      <c r="AI11" s="13">
        <f>'TUSD BE'!$AI$11*'TUSD BE'!$AI$75</f>
        <v>8.4717766162181282E-2</v>
      </c>
      <c r="AJ11" s="13">
        <f ca="1">'TUSD BE'!$AJ$11*'TUSD BE'!$AJ$75</f>
        <v>2.4912978791329938</v>
      </c>
      <c r="AK11" s="13">
        <f ca="1">'TUSD BE'!$AK$11*'TUSD BE'!$AK$75</f>
        <v>-0.50078432683074769</v>
      </c>
      <c r="AL11" s="13">
        <f ca="1">SUM($AH$11:$AK$11)</f>
        <v>3.9073999203669558</v>
      </c>
      <c r="AM11" s="13">
        <f ca="1">SUMIF($L$4:$AL$4,"SUBTOTAL",$L$11:$AL$11)</f>
        <v>-9.0240916845581935</v>
      </c>
      <c r="AO11" s="20">
        <f ca="1">+'TUSD BE'!$T$11+'TUSD BE'!$AB$11+'TUSD BE'!$AD$11+'TUSD BE'!$AL$11</f>
        <v>105.4247116981856</v>
      </c>
      <c r="AP11" s="20">
        <f ca="1">+'TUSD BE'!$T$11+'TUSD BE'!$AB$11+'TUSD BE'!$AD$11+'TUSD BE'!$AL$11</f>
        <v>105.4247116981856</v>
      </c>
    </row>
    <row r="12" spans="1:42" ht="11.25" customHeight="1" x14ac:dyDescent="0.25">
      <c r="A12" s="107"/>
      <c r="B12" s="107"/>
      <c r="C12" s="107"/>
      <c r="D12" s="107"/>
      <c r="E12" s="17" t="s">
        <v>89</v>
      </c>
      <c r="F12" s="17" t="s">
        <v>25</v>
      </c>
      <c r="G12" s="18" t="s">
        <v>88</v>
      </c>
      <c r="H12" s="18" t="s">
        <v>82</v>
      </c>
      <c r="I12" s="18">
        <f>'MERCADO TUSD'!$U$9</f>
        <v>0</v>
      </c>
      <c r="J12" s="15"/>
      <c r="L12" s="13">
        <f>'TUSD BE'!$L$12*'TUSD BE'!$L$75</f>
        <v>0</v>
      </c>
      <c r="M12" s="13">
        <f>'TUSD BE'!$M$12*'TUSD BE'!$M$75</f>
        <v>-1.1797016449375496E-2</v>
      </c>
      <c r="N12" s="13">
        <f ca="1">'TUSD BE'!$N$12*'TUSD BE'!$N$75</f>
        <v>-1.5607425539511003E-7</v>
      </c>
      <c r="O12" s="13">
        <f>'TUSD BE'!$O$12*'TUSD BE'!$O$75</f>
        <v>0</v>
      </c>
      <c r="P12" s="13">
        <f>'TUSD BE'!$P$12*'TUSD BE'!$P$75</f>
        <v>0</v>
      </c>
      <c r="Q12" s="13">
        <f>'TUSD BE'!$Q$12*'TUSD BE'!$Q$75</f>
        <v>0</v>
      </c>
      <c r="R12" s="13">
        <f>'TUSD BE'!$R$12*'TUSD BE'!$R$75</f>
        <v>0</v>
      </c>
      <c r="S12" s="13">
        <f>'TUSD BE'!$R$12*'TUSD BE'!$S$75</f>
        <v>0</v>
      </c>
      <c r="T12" s="13">
        <f ca="1">SUM($L$12:$S$12)</f>
        <v>-1.179717252363089E-2</v>
      </c>
      <c r="U12" s="13">
        <f>'TUSD BE'!$U$12*'TUSD BE'!$U$75</f>
        <v>0</v>
      </c>
      <c r="V12" s="13">
        <f>'TUSD BE'!$V$12*'TUSD BE'!$V$75</f>
        <v>0</v>
      </c>
      <c r="W12" s="13">
        <f>'TUSD BE'!$W$12*'TUSD BE'!$W$75</f>
        <v>0</v>
      </c>
      <c r="X12" s="13">
        <f>'TUSD BE'!$X$12*'TUSD BE'!$X$75</f>
        <v>0</v>
      </c>
      <c r="Y12" s="13">
        <f>'TUSD BE'!$Y$12*'TUSD BE'!$Y$75</f>
        <v>0</v>
      </c>
      <c r="Z12" s="13">
        <f>'TUSD BE'!$Z$12*'TUSD BE'!$Z$75</f>
        <v>0</v>
      </c>
      <c r="AA12" s="13">
        <f>'TUSD BE'!$AA$12*'TUSD BE'!$AA$75</f>
        <v>0</v>
      </c>
      <c r="AB12" s="13">
        <f>SUM($U$12:$AA$12)</f>
        <v>0</v>
      </c>
      <c r="AC12" s="13">
        <f>'TUSD BE'!$AC$12*'TUSD BE'!$AC$75</f>
        <v>0</v>
      </c>
      <c r="AD12" s="13">
        <f>SUM($AC$12:$AC$12)</f>
        <v>0</v>
      </c>
      <c r="AE12" s="13">
        <f ca="1">$AO$12*$AO$72</f>
        <v>-3.7680117017525516</v>
      </c>
      <c r="AF12" s="13">
        <f ca="1">$AP$12*$AP$72</f>
        <v>0</v>
      </c>
      <c r="AG12" s="13">
        <f ca="1">SUM($AE$12:$AF$12)</f>
        <v>-3.7680117017525516</v>
      </c>
      <c r="AH12" s="13">
        <f>'TUSD BE'!$AH$12*'TUSD BE'!$AH$75</f>
        <v>1.8321686019025285</v>
      </c>
      <c r="AI12" s="13">
        <f>'TUSD BE'!$AI$12*'TUSD BE'!$AI$75</f>
        <v>8.4717766162181282E-2</v>
      </c>
      <c r="AJ12" s="13">
        <f ca="1">'TUSD BE'!$AJ$12*'TUSD BE'!$AJ$75</f>
        <v>2.4912978791329938</v>
      </c>
      <c r="AK12" s="13">
        <f ca="1">'TUSD BE'!$AK$12*'TUSD BE'!$AK$75</f>
        <v>-0.50078432683074769</v>
      </c>
      <c r="AL12" s="13">
        <f ca="1">SUM($AH$12:$AK$12)</f>
        <v>3.9073999203669558</v>
      </c>
      <c r="AM12" s="13">
        <f ca="1">SUMIF($L$4:$AL$4,"SUBTOTAL",$L$12:$AL$12)</f>
        <v>0.12759104609077321</v>
      </c>
      <c r="AO12" s="20">
        <f ca="1">+'TUSD BE'!$T$12+'TUSD BE'!$AB$12+'TUSD BE'!$AD$12+'TUSD BE'!$AL$12</f>
        <v>42.038445975039316</v>
      </c>
      <c r="AP12" s="20">
        <f ca="1">+'TUSD BE'!$T$12+'TUSD BE'!$AB$12+'TUSD BE'!$AD$12+'TUSD BE'!$AL$12</f>
        <v>42.038445975039316</v>
      </c>
    </row>
    <row r="13" spans="1:42" ht="11.25" customHeight="1" x14ac:dyDescent="0.25">
      <c r="A13" s="107"/>
      <c r="B13" s="17" t="s">
        <v>91</v>
      </c>
      <c r="C13" s="17" t="s">
        <v>25</v>
      </c>
      <c r="D13" s="17" t="s">
        <v>25</v>
      </c>
      <c r="E13" s="17" t="s">
        <v>25</v>
      </c>
      <c r="F13" s="17" t="s">
        <v>25</v>
      </c>
      <c r="G13" s="18" t="s">
        <v>9</v>
      </c>
      <c r="H13" s="18" t="s">
        <v>85</v>
      </c>
      <c r="I13" s="18">
        <f>'MERCADO TUSD'!$U$10</f>
        <v>0</v>
      </c>
      <c r="J13" s="15"/>
      <c r="L13" s="13">
        <f>'TUSD BE'!$L$13*'TUSD BE'!$L$75</f>
        <v>0</v>
      </c>
      <c r="M13" s="13">
        <f>'TUSD BE'!$M$13*'TUSD BE'!$M$75</f>
        <v>-1.1933840013184807E-3</v>
      </c>
      <c r="N13" s="13">
        <f ca="1">'TUSD BE'!$N$13*'TUSD BE'!$N$75</f>
        <v>-4.3895497627107731E-8</v>
      </c>
      <c r="O13" s="13">
        <f>'TUSD BE'!$O$13*'TUSD BE'!$O$75</f>
        <v>0</v>
      </c>
      <c r="P13" s="13">
        <f>'TUSD BE'!$P$13*'TUSD BE'!$P$75</f>
        <v>0</v>
      </c>
      <c r="Q13" s="13">
        <f>'TUSD BE'!$Q$13*'TUSD BE'!$Q$75</f>
        <v>0</v>
      </c>
      <c r="R13" s="13">
        <f>'TUSD BE'!$R$13*'TUSD BE'!$R$75</f>
        <v>0</v>
      </c>
      <c r="S13" s="13">
        <f>'TUSD BE'!$R$13*'TUSD BE'!$S$75</f>
        <v>0</v>
      </c>
      <c r="T13" s="13">
        <f ca="1">SUM($L$13:$S$13)</f>
        <v>-1.1934278968161079E-3</v>
      </c>
      <c r="U13" s="13">
        <f>'TUSD BE'!$U$13*'TUSD BE'!$U$75</f>
        <v>0</v>
      </c>
      <c r="V13" s="13">
        <f>'TUSD BE'!$V$13*'TUSD BE'!$V$75</f>
        <v>0</v>
      </c>
      <c r="W13" s="13">
        <f>'TUSD BE'!$W$13*'TUSD BE'!$W$75</f>
        <v>0</v>
      </c>
      <c r="X13" s="13">
        <f>'TUSD BE'!$X$13*'TUSD BE'!$X$75</f>
        <v>0</v>
      </c>
      <c r="Y13" s="13">
        <f>'TUSD BE'!$Y$13*'TUSD BE'!$Y$75</f>
        <v>0</v>
      </c>
      <c r="Z13" s="13">
        <f>'TUSD BE'!$Z$13*'TUSD BE'!$Z$75</f>
        <v>0</v>
      </c>
      <c r="AA13" s="13">
        <f>'TUSD BE'!$AA$13*'TUSD BE'!$AA$75</f>
        <v>0</v>
      </c>
      <c r="AB13" s="13">
        <f>SUM($U$13:$AA$13)</f>
        <v>0</v>
      </c>
      <c r="AC13" s="13">
        <f>'TUSD BE'!$AC$13*'TUSD BE'!$AC$75</f>
        <v>-2.8544972094254963E-2</v>
      </c>
      <c r="AD13" s="13">
        <f>SUM($AC$13:$AC$13)</f>
        <v>-2.8544972094254963E-2</v>
      </c>
      <c r="AE13" s="13">
        <f ca="1">$AO$13*$AO$72</f>
        <v>-1.8138950339234707</v>
      </c>
      <c r="AF13" s="13">
        <f ca="1">$AP$13*$AP$72</f>
        <v>0</v>
      </c>
      <c r="AG13" s="13">
        <f ca="1">SUM($AE$13:$AF$13)</f>
        <v>-1.8138950339234707</v>
      </c>
      <c r="AH13" s="13">
        <f>'TUSD BE'!$AH$13*'TUSD BE'!$AH$75</f>
        <v>0</v>
      </c>
      <c r="AI13" s="13">
        <f>'TUSD BE'!$AI$13*'TUSD BE'!$AI$75</f>
        <v>0</v>
      </c>
      <c r="AJ13" s="13">
        <f ca="1">'TUSD BE'!$AJ$13*'TUSD BE'!$AJ$75</f>
        <v>0</v>
      </c>
      <c r="AK13" s="13">
        <f ca="1">'TUSD BE'!$AK$13*'TUSD BE'!$AK$75</f>
        <v>0</v>
      </c>
      <c r="AL13" s="13">
        <f ca="1">SUM($AH$13:$AK$13)</f>
        <v>0</v>
      </c>
      <c r="AM13" s="13">
        <f ca="1">SUMIF($L$4:$AL$4,"SUBTOTAL",$L$13:$AL$13)</f>
        <v>-1.8436334339145417</v>
      </c>
      <c r="AO13" s="20">
        <f ca="1">+'TUSD BE'!$T$13+'TUSD BE'!$AB$13+'TUSD BE'!$AD$13+'TUSD BE'!$AL$13</f>
        <v>20.237020058222619</v>
      </c>
      <c r="AP13" s="20">
        <f ca="1">+'TUSD BE'!$T$13+'TUSD BE'!$AB$13+'TUSD BE'!$AD$13+'TUSD BE'!$AL$13</f>
        <v>20.237020058222619</v>
      </c>
    </row>
    <row r="14" spans="1:42" ht="11.25" customHeight="1" x14ac:dyDescent="0.25">
      <c r="A14" s="107"/>
      <c r="B14" s="107" t="s">
        <v>44</v>
      </c>
      <c r="C14" s="107" t="s">
        <v>25</v>
      </c>
      <c r="D14" s="107" t="s">
        <v>25</v>
      </c>
      <c r="E14" s="107" t="s">
        <v>25</v>
      </c>
      <c r="F14" s="107" t="s">
        <v>25</v>
      </c>
      <c r="G14" s="18" t="s">
        <v>9</v>
      </c>
      <c r="H14" s="18" t="s">
        <v>85</v>
      </c>
      <c r="I14" s="18">
        <f>'MERCADO TUSD'!$U$11</f>
        <v>10639</v>
      </c>
      <c r="J14" s="15"/>
      <c r="L14" s="13">
        <f>'TUSD BE'!$L$14*'TUSD BE'!$L$75</f>
        <v>0</v>
      </c>
      <c r="M14" s="13">
        <f>'TUSD BE'!$M$14*'TUSD BE'!$M$75</f>
        <v>0</v>
      </c>
      <c r="N14" s="13">
        <f ca="1">'TUSD BE'!$N$14*'TUSD BE'!$N$75</f>
        <v>0</v>
      </c>
      <c r="O14" s="13">
        <f>'TUSD BE'!$O$14*'TUSD BE'!$O$75</f>
        <v>0</v>
      </c>
      <c r="P14" s="13">
        <f>'TUSD BE'!$P$14*'TUSD BE'!$P$75</f>
        <v>0</v>
      </c>
      <c r="Q14" s="13">
        <f>'TUSD BE'!$Q$14*'TUSD BE'!$Q$75</f>
        <v>0</v>
      </c>
      <c r="R14" s="13">
        <f>'TUSD BE'!$R$14*'TUSD BE'!$R$75</f>
        <v>0</v>
      </c>
      <c r="S14" s="13">
        <f>'TUSD BE'!$R$14*'TUSD BE'!$S$75</f>
        <v>0</v>
      </c>
      <c r="T14" s="13">
        <f ca="1">SUM($L$14:$S$14)</f>
        <v>0</v>
      </c>
      <c r="U14" s="13">
        <f>'TUSD BE'!$U$14*'TUSD BE'!$U$75</f>
        <v>2.5119342996231038E-2</v>
      </c>
      <c r="V14" s="13">
        <f>'TUSD BE'!$V$14*'TUSD BE'!$V$75</f>
        <v>3.8643538632157595E-2</v>
      </c>
      <c r="W14" s="13">
        <f>'TUSD BE'!$W$14*'TUSD BE'!$W$75</f>
        <v>-5.5177643112230904E-3</v>
      </c>
      <c r="X14" s="13">
        <f>'TUSD BE'!$X$14*'TUSD BE'!$X$75</f>
        <v>0</v>
      </c>
      <c r="Y14" s="13">
        <f>'TUSD BE'!$Y$14*'TUSD BE'!$Y$75</f>
        <v>0</v>
      </c>
      <c r="Z14" s="13">
        <f>'TUSD BE'!$Z$14*'TUSD BE'!$Z$75</f>
        <v>0</v>
      </c>
      <c r="AA14" s="13">
        <f>'TUSD BE'!$AA$14*'TUSD BE'!$AA$75</f>
        <v>0</v>
      </c>
      <c r="AB14" s="13">
        <f>SUM($U$14:$AA$14)</f>
        <v>5.824511731716555E-2</v>
      </c>
      <c r="AC14" s="13">
        <f>'TUSD BE'!$AC$14*'TUSD BE'!$AC$75</f>
        <v>-2.3074542655654763E-2</v>
      </c>
      <c r="AD14" s="13">
        <f>SUM($AC$14:$AC$14)</f>
        <v>-2.3074542655654763E-2</v>
      </c>
      <c r="AE14" s="13">
        <f ca="1">$AO$14*$AO$72</f>
        <v>-1.9408874194434911</v>
      </c>
      <c r="AF14" s="13">
        <f ca="1">$AP$14*$AP$72</f>
        <v>0</v>
      </c>
      <c r="AG14" s="13">
        <f ca="1">SUM($AE$14:$AF$14)</f>
        <v>-1.9408874194434911</v>
      </c>
      <c r="AH14" s="13">
        <f>'TUSD BE'!$AH$14*'TUSD BE'!$AH$75</f>
        <v>0</v>
      </c>
      <c r="AI14" s="13">
        <f>'TUSD BE'!$AI$14*'TUSD BE'!$AI$75</f>
        <v>0</v>
      </c>
      <c r="AJ14" s="13">
        <f ca="1">'TUSD BE'!$AJ$14*'TUSD BE'!$AJ$75</f>
        <v>0</v>
      </c>
      <c r="AK14" s="13">
        <f ca="1">'TUSD BE'!$AK$14*'TUSD BE'!$AK$75</f>
        <v>0</v>
      </c>
      <c r="AL14" s="13">
        <f ca="1">SUM($AH$14:$AK$14)</f>
        <v>0</v>
      </c>
      <c r="AM14" s="13">
        <f ca="1">SUMIF($L$4:$AL$4,"SUBTOTAL",$L$14:$AL$14)</f>
        <v>-1.9057168447819803</v>
      </c>
      <c r="AO14" s="20">
        <f ca="1">+'TUSD BE'!$T$14+'TUSD BE'!$AB$14+'TUSD BE'!$AD$14+'TUSD BE'!$AL$14</f>
        <v>21.65383161839949</v>
      </c>
      <c r="AP14" s="20">
        <f ca="1">+'TUSD BE'!$T$14+'TUSD BE'!$AB$14+'TUSD BE'!$AD$14+'TUSD BE'!$AL$14</f>
        <v>21.65383161839949</v>
      </c>
    </row>
    <row r="15" spans="1:42" ht="11.25" customHeight="1" x14ac:dyDescent="0.25">
      <c r="A15" s="107"/>
      <c r="B15" s="107"/>
      <c r="C15" s="107"/>
      <c r="D15" s="107"/>
      <c r="E15" s="107"/>
      <c r="F15" s="107"/>
      <c r="G15" s="18" t="s">
        <v>83</v>
      </c>
      <c r="H15" s="18" t="s">
        <v>82</v>
      </c>
      <c r="I15" s="18">
        <f>'MERCADO TUSD'!$U$12</f>
        <v>163.142</v>
      </c>
      <c r="J15" s="15"/>
      <c r="L15" s="13">
        <f>'TUSD BE'!$L$15*'TUSD BE'!$L$75</f>
        <v>-2.4997990077352741</v>
      </c>
      <c r="M15" s="13">
        <f>'TUSD BE'!$M$15*'TUSD BE'!$M$75</f>
        <v>-1.1797016449375496E-2</v>
      </c>
      <c r="N15" s="13">
        <f ca="1">'TUSD BE'!$N$15*'TUSD BE'!$N$75</f>
        <v>-3.2958192208512526E-6</v>
      </c>
      <c r="O15" s="13">
        <f>'TUSD BE'!$O$15*'TUSD BE'!$O$75</f>
        <v>0</v>
      </c>
      <c r="P15" s="13">
        <f>'TUSD BE'!$P$15*'TUSD BE'!$P$75</f>
        <v>0</v>
      </c>
      <c r="Q15" s="13">
        <f>'TUSD BE'!$Q$15*'TUSD BE'!$Q$75</f>
        <v>-0.63486017403790784</v>
      </c>
      <c r="R15" s="13">
        <f>'TUSD BE'!$R$15*'TUSD BE'!$R$75</f>
        <v>-0.33555303906064865</v>
      </c>
      <c r="S15" s="13">
        <f>'TUSD BE'!$R$15*'TUSD BE'!$S$75</f>
        <v>0</v>
      </c>
      <c r="T15" s="13">
        <f ca="1">SUM($L$15:$S$15)</f>
        <v>-3.4820125331024268</v>
      </c>
      <c r="U15" s="13">
        <f>'TUSD BE'!$U$15*'TUSD BE'!$U$75</f>
        <v>0.804662576450347</v>
      </c>
      <c r="V15" s="13">
        <f>'TUSD BE'!$V$15*'TUSD BE'!$V$75</f>
        <v>1.123500708106266</v>
      </c>
      <c r="W15" s="13">
        <f>'TUSD BE'!$W$15*'TUSD BE'!$W$75</f>
        <v>-0.15883472326348846</v>
      </c>
      <c r="X15" s="13">
        <f>'TUSD BE'!$X$15*'TUSD BE'!$X$75</f>
        <v>0</v>
      </c>
      <c r="Y15" s="13">
        <f>'TUSD BE'!$Y$15*'TUSD BE'!$Y$75</f>
        <v>0</v>
      </c>
      <c r="Z15" s="13">
        <f>'TUSD BE'!$Z$15*'TUSD BE'!$Z$75</f>
        <v>0</v>
      </c>
      <c r="AA15" s="13">
        <f>'TUSD BE'!$AA$15*'TUSD BE'!$AA$75</f>
        <v>0</v>
      </c>
      <c r="AB15" s="13">
        <f>SUM($U$15:$AA$15)</f>
        <v>1.7693285612931247</v>
      </c>
      <c r="AC15" s="13">
        <f>'TUSD BE'!$AC$15*'TUSD BE'!$AC$75</f>
        <v>-1.8453946428099888</v>
      </c>
      <c r="AD15" s="13">
        <f>SUM($AC$15:$AC$15)</f>
        <v>-1.8453946428099888</v>
      </c>
      <c r="AE15" s="13">
        <f ca="1">$AO$15*$AO$72</f>
        <v>-141.41907859406092</v>
      </c>
      <c r="AF15" s="13">
        <f ca="1">$AP$15*$AP$72</f>
        <v>0</v>
      </c>
      <c r="AG15" s="13">
        <f ca="1">SUM($AE$15:$AF$15)</f>
        <v>-141.41907859406092</v>
      </c>
      <c r="AH15" s="13">
        <f>'TUSD BE'!$AH$15*'TUSD BE'!$AH$75</f>
        <v>1.8321686019025285</v>
      </c>
      <c r="AI15" s="13">
        <f>'TUSD BE'!$AI$15*'TUSD BE'!$AI$75</f>
        <v>8.4717766162181282E-2</v>
      </c>
      <c r="AJ15" s="13">
        <f ca="1">'TUSD BE'!$AJ$15*'TUSD BE'!$AJ$75</f>
        <v>2.4912978791329938</v>
      </c>
      <c r="AK15" s="13">
        <f ca="1">'TUSD BE'!$AK$15*'TUSD BE'!$AK$75</f>
        <v>-0.50078432683074769</v>
      </c>
      <c r="AL15" s="13">
        <f ca="1">SUM($AH$15:$AK$15)</f>
        <v>3.9073999203669558</v>
      </c>
      <c r="AM15" s="13">
        <f ca="1">SUMIF($L$4:$AL$4,"SUBTOTAL",$L$15:$AL$15)</f>
        <v>-141.06975728831327</v>
      </c>
      <c r="AO15" s="20">
        <f ca="1">+'TUSD BE'!$T$15+'TUSD BE'!$AB$15+'TUSD BE'!$AD$15+'TUSD BE'!$AL$15</f>
        <v>1577.7653483801957</v>
      </c>
      <c r="AP15" s="20">
        <f ca="1">+'TUSD BE'!$T$15+'TUSD BE'!$AB$15+'TUSD BE'!$AD$15+'TUSD BE'!$AL$15</f>
        <v>1577.7653483801957</v>
      </c>
    </row>
    <row r="16" spans="1:42" ht="11.25" customHeight="1" x14ac:dyDescent="0.25">
      <c r="A16" s="107"/>
      <c r="B16" s="107"/>
      <c r="C16" s="107"/>
      <c r="D16" s="107"/>
      <c r="E16" s="107"/>
      <c r="F16" s="107"/>
      <c r="G16" s="18" t="s">
        <v>84</v>
      </c>
      <c r="H16" s="18" t="s">
        <v>82</v>
      </c>
      <c r="I16" s="18">
        <f>'MERCADO TUSD'!$U$13</f>
        <v>1766.7370000000001</v>
      </c>
      <c r="J16" s="15"/>
      <c r="L16" s="13">
        <f>'TUSD BE'!$L$16*'TUSD BE'!$L$75</f>
        <v>-2.4997990077352741</v>
      </c>
      <c r="M16" s="13">
        <f>'TUSD BE'!$M$16*'TUSD BE'!$M$75</f>
        <v>-1.1797016449375496E-2</v>
      </c>
      <c r="N16" s="13">
        <f ca="1">'TUSD BE'!$N$16*'TUSD BE'!$N$75</f>
        <v>-1.5870115531295013E-7</v>
      </c>
      <c r="O16" s="13">
        <f>'TUSD BE'!$O$16*'TUSD BE'!$O$75</f>
        <v>0</v>
      </c>
      <c r="P16" s="13">
        <f>'TUSD BE'!$P$16*'TUSD BE'!$P$75</f>
        <v>0</v>
      </c>
      <c r="Q16" s="13">
        <f>'TUSD BE'!$Q$16*'TUSD BE'!$Q$75</f>
        <v>-0.63486017403790784</v>
      </c>
      <c r="R16" s="13">
        <f>'TUSD BE'!$R$16*'TUSD BE'!$R$75</f>
        <v>-0.33555303906064865</v>
      </c>
      <c r="S16" s="13">
        <f>'TUSD BE'!$R$16*'TUSD BE'!$S$75</f>
        <v>0</v>
      </c>
      <c r="T16" s="13">
        <f ca="1">SUM($L$16:$S$16)</f>
        <v>-3.4820093959843614</v>
      </c>
      <c r="U16" s="13">
        <f>'TUSD BE'!$U$16*'TUSD BE'!$U$75</f>
        <v>0</v>
      </c>
      <c r="V16" s="13">
        <f>'TUSD BE'!$V$16*'TUSD BE'!$V$75</f>
        <v>0</v>
      </c>
      <c r="W16" s="13">
        <f>'TUSD BE'!$W$16*'TUSD BE'!$W$75</f>
        <v>0</v>
      </c>
      <c r="X16" s="13">
        <f>'TUSD BE'!$X$16*'TUSD BE'!$X$75</f>
        <v>0</v>
      </c>
      <c r="Y16" s="13">
        <f>'TUSD BE'!$Y$16*'TUSD BE'!$Y$75</f>
        <v>0</v>
      </c>
      <c r="Z16" s="13">
        <f>'TUSD BE'!$Z$16*'TUSD BE'!$Z$75</f>
        <v>0</v>
      </c>
      <c r="AA16" s="13">
        <f>'TUSD BE'!$AA$16*'TUSD BE'!$AA$75</f>
        <v>0</v>
      </c>
      <c r="AB16" s="13">
        <f>SUM($U$16:$AA$16)</f>
        <v>0</v>
      </c>
      <c r="AC16" s="13">
        <f>'TUSD BE'!$AC$16*'TUSD BE'!$AC$75</f>
        <v>0</v>
      </c>
      <c r="AD16" s="13">
        <f>SUM($AC$16:$AC$16)</f>
        <v>0</v>
      </c>
      <c r="AE16" s="13">
        <f ca="1">$AO$16*$AO$72</f>
        <v>-9.4494822089407879</v>
      </c>
      <c r="AF16" s="13">
        <f ca="1">$AP$16*$AP$72</f>
        <v>0</v>
      </c>
      <c r="AG16" s="13">
        <f ca="1">SUM($AE$16:$AF$16)</f>
        <v>-9.4494822089407879</v>
      </c>
      <c r="AH16" s="13">
        <f>'TUSD BE'!$AH$16*'TUSD BE'!$AH$75</f>
        <v>1.8321686019025285</v>
      </c>
      <c r="AI16" s="13">
        <f>'TUSD BE'!$AI$16*'TUSD BE'!$AI$75</f>
        <v>8.4717766162181282E-2</v>
      </c>
      <c r="AJ16" s="13">
        <f ca="1">'TUSD BE'!$AJ$16*'TUSD BE'!$AJ$75</f>
        <v>2.4912978791329938</v>
      </c>
      <c r="AK16" s="13">
        <f ca="1">'TUSD BE'!$AK$16*'TUSD BE'!$AK$75</f>
        <v>-0.50078432683074769</v>
      </c>
      <c r="AL16" s="13">
        <f ca="1">SUM($AH$16:$AK$16)</f>
        <v>3.9073999203669558</v>
      </c>
      <c r="AM16" s="13">
        <f ca="1">SUMIF($L$4:$AL$4,"SUBTOTAL",$L$16:$AL$16)</f>
        <v>-9.0240916845581935</v>
      </c>
      <c r="AO16" s="20">
        <f ca="1">+'TUSD BE'!$T$16+'TUSD BE'!$AB$16+'TUSD BE'!$AD$16+'TUSD BE'!$AL$16</f>
        <v>105.4247116981856</v>
      </c>
      <c r="AP16" s="20">
        <f ca="1">+'TUSD BE'!$T$16+'TUSD BE'!$AB$16+'TUSD BE'!$AD$16+'TUSD BE'!$AL$16</f>
        <v>105.4247116981856</v>
      </c>
    </row>
    <row r="17" spans="1:42" ht="11.25" customHeight="1" x14ac:dyDescent="0.25">
      <c r="A17" s="107"/>
      <c r="B17" s="107"/>
      <c r="C17" s="107"/>
      <c r="D17" s="107"/>
      <c r="E17" s="107" t="s">
        <v>89</v>
      </c>
      <c r="F17" s="107" t="s">
        <v>25</v>
      </c>
      <c r="G17" s="18" t="s">
        <v>83</v>
      </c>
      <c r="H17" s="18" t="s">
        <v>82</v>
      </c>
      <c r="I17" s="18">
        <f>'MERCADO TUSD'!$U$14</f>
        <v>0</v>
      </c>
      <c r="J17" s="15"/>
      <c r="L17" s="13">
        <f>'TUSD BE'!$L$17*'TUSD BE'!$L$75</f>
        <v>0</v>
      </c>
      <c r="M17" s="13">
        <f>'TUSD BE'!$M$17*'TUSD BE'!$M$75</f>
        <v>-1.1797016449375496E-2</v>
      </c>
      <c r="N17" s="13">
        <f ca="1">'TUSD BE'!$N$17*'TUSD BE'!$N$75</f>
        <v>-3.2931923209334127E-6</v>
      </c>
      <c r="O17" s="13">
        <f>'TUSD BE'!$O$17*'TUSD BE'!$O$75</f>
        <v>0</v>
      </c>
      <c r="P17" s="13">
        <f>'TUSD BE'!$P$17*'TUSD BE'!$P$75</f>
        <v>0</v>
      </c>
      <c r="Q17" s="13">
        <f>'TUSD BE'!$Q$17*'TUSD BE'!$Q$75</f>
        <v>0</v>
      </c>
      <c r="R17" s="13">
        <f>'TUSD BE'!$R$17*'TUSD BE'!$R$75</f>
        <v>0</v>
      </c>
      <c r="S17" s="13">
        <f>'TUSD BE'!$R$17*'TUSD BE'!$S$75</f>
        <v>0</v>
      </c>
      <c r="T17" s="13">
        <f ca="1">SUM($L$17:$S$17)</f>
        <v>-1.1800309641696429E-2</v>
      </c>
      <c r="U17" s="13">
        <f>'TUSD BE'!$U$17*'TUSD BE'!$U$75</f>
        <v>0.804662576450347</v>
      </c>
      <c r="V17" s="13">
        <f>'TUSD BE'!$V$17*'TUSD BE'!$V$75</f>
        <v>1.123500708106266</v>
      </c>
      <c r="W17" s="13">
        <f>'TUSD BE'!$W$17*'TUSD BE'!$W$75</f>
        <v>-0.15883472326348846</v>
      </c>
      <c r="X17" s="13">
        <f>'TUSD BE'!$X$17*'TUSD BE'!$X$75</f>
        <v>0</v>
      </c>
      <c r="Y17" s="13">
        <f>'TUSD BE'!$Y$17*'TUSD BE'!$Y$75</f>
        <v>0</v>
      </c>
      <c r="Z17" s="13">
        <f>'TUSD BE'!$Z$17*'TUSD BE'!$Z$75</f>
        <v>0</v>
      </c>
      <c r="AA17" s="13">
        <f>'TUSD BE'!$AA$17*'TUSD BE'!$AA$75</f>
        <v>0</v>
      </c>
      <c r="AB17" s="13">
        <f>SUM($U$17:$AA$17)</f>
        <v>1.7693285612931247</v>
      </c>
      <c r="AC17" s="13">
        <f>'TUSD BE'!$AC$17*'TUSD BE'!$AC$75</f>
        <v>-1.8453946428099888</v>
      </c>
      <c r="AD17" s="13">
        <f>SUM($AC$17:$AC$17)</f>
        <v>-1.8453946428099888</v>
      </c>
      <c r="AE17" s="13">
        <f ca="1">$AO$17*$AO$72</f>
        <v>-135.73760808687268</v>
      </c>
      <c r="AF17" s="13">
        <f ca="1">$AP$17*$AP$72</f>
        <v>0</v>
      </c>
      <c r="AG17" s="13">
        <f ca="1">SUM($AE$17:$AF$17)</f>
        <v>-135.73760808687268</v>
      </c>
      <c r="AH17" s="13">
        <f>'TUSD BE'!$AH$17*'TUSD BE'!$AH$75</f>
        <v>1.8321686019025285</v>
      </c>
      <c r="AI17" s="13">
        <f>'TUSD BE'!$AI$17*'TUSD BE'!$AI$75</f>
        <v>8.4717766162181282E-2</v>
      </c>
      <c r="AJ17" s="13">
        <f ca="1">'TUSD BE'!$AJ$17*'TUSD BE'!$AJ$75</f>
        <v>2.4912978791329938</v>
      </c>
      <c r="AK17" s="13">
        <f ca="1">'TUSD BE'!$AK$17*'TUSD BE'!$AK$75</f>
        <v>-0.50078432683074769</v>
      </c>
      <c r="AL17" s="13">
        <f ca="1">SUM($AH$17:$AK$17)</f>
        <v>3.9073999203669558</v>
      </c>
      <c r="AM17" s="13">
        <f ca="1">SUMIF($L$4:$AL$4,"SUBTOTAL",$L$17:$AL$17)</f>
        <v>-131.91807455766428</v>
      </c>
      <c r="AO17" s="20">
        <f ca="1">+'TUSD BE'!$T$17+'TUSD BE'!$AB$17+'TUSD BE'!$AD$17+'TUSD BE'!$AL$17</f>
        <v>1514.3790826570494</v>
      </c>
      <c r="AP17" s="20">
        <f ca="1">+'TUSD BE'!$T$17+'TUSD BE'!$AB$17+'TUSD BE'!$AD$17+'TUSD BE'!$AL$17</f>
        <v>1514.3790826570494</v>
      </c>
    </row>
    <row r="18" spans="1:42" ht="11.25" customHeight="1" x14ac:dyDescent="0.25">
      <c r="A18" s="107"/>
      <c r="B18" s="107"/>
      <c r="C18" s="107"/>
      <c r="D18" s="107"/>
      <c r="E18" s="107"/>
      <c r="F18" s="107"/>
      <c r="G18" s="18" t="s">
        <v>84</v>
      </c>
      <c r="H18" s="18" t="s">
        <v>82</v>
      </c>
      <c r="I18" s="18">
        <f>'MERCADO TUSD'!$U$15</f>
        <v>0</v>
      </c>
      <c r="J18" s="15"/>
      <c r="L18" s="13">
        <f>'TUSD BE'!$L$18*'TUSD BE'!$L$75</f>
        <v>0</v>
      </c>
      <c r="M18" s="13">
        <f>'TUSD BE'!$M$18*'TUSD BE'!$M$75</f>
        <v>-1.1797016449375496E-2</v>
      </c>
      <c r="N18" s="13">
        <f ca="1">'TUSD BE'!$N$18*'TUSD BE'!$N$75</f>
        <v>-1.5607425539511003E-7</v>
      </c>
      <c r="O18" s="13">
        <f>'TUSD BE'!$O$18*'TUSD BE'!$O$75</f>
        <v>0</v>
      </c>
      <c r="P18" s="13">
        <f>'TUSD BE'!$P$18*'TUSD BE'!$P$75</f>
        <v>0</v>
      </c>
      <c r="Q18" s="13">
        <f>'TUSD BE'!$Q$18*'TUSD BE'!$Q$75</f>
        <v>0</v>
      </c>
      <c r="R18" s="13">
        <f>'TUSD BE'!$R$18*'TUSD BE'!$R$75</f>
        <v>0</v>
      </c>
      <c r="S18" s="13">
        <f>'TUSD BE'!$R$18*'TUSD BE'!$S$75</f>
        <v>0</v>
      </c>
      <c r="T18" s="13">
        <f ca="1">SUM($L$18:$S$18)</f>
        <v>-1.179717252363089E-2</v>
      </c>
      <c r="U18" s="13">
        <f>'TUSD BE'!$U$18*'TUSD BE'!$U$75</f>
        <v>0</v>
      </c>
      <c r="V18" s="13">
        <f>'TUSD BE'!$V$18*'TUSD BE'!$V$75</f>
        <v>0</v>
      </c>
      <c r="W18" s="13">
        <f>'TUSD BE'!$W$18*'TUSD BE'!$W$75</f>
        <v>0</v>
      </c>
      <c r="X18" s="13">
        <f>'TUSD BE'!$X$18*'TUSD BE'!$X$75</f>
        <v>0</v>
      </c>
      <c r="Y18" s="13">
        <f>'TUSD BE'!$Y$18*'TUSD BE'!$Y$75</f>
        <v>0</v>
      </c>
      <c r="Z18" s="13">
        <f>'TUSD BE'!$Z$18*'TUSD BE'!$Z$75</f>
        <v>0</v>
      </c>
      <c r="AA18" s="13">
        <f>'TUSD BE'!$AA$18*'TUSD BE'!$AA$75</f>
        <v>0</v>
      </c>
      <c r="AB18" s="13">
        <f>SUM($U$18:$AA$18)</f>
        <v>0</v>
      </c>
      <c r="AC18" s="13">
        <f>'TUSD BE'!$AC$18*'TUSD BE'!$AC$75</f>
        <v>0</v>
      </c>
      <c r="AD18" s="13">
        <f>SUM($AC$18:$AC$18)</f>
        <v>0</v>
      </c>
      <c r="AE18" s="13">
        <f ca="1">$AO$18*$AO$72</f>
        <v>-3.7680117017525516</v>
      </c>
      <c r="AF18" s="13">
        <f ca="1">$AP$18*$AP$72</f>
        <v>0</v>
      </c>
      <c r="AG18" s="13">
        <f ca="1">SUM($AE$18:$AF$18)</f>
        <v>-3.7680117017525516</v>
      </c>
      <c r="AH18" s="13">
        <f>'TUSD BE'!$AH$18*'TUSD BE'!$AH$75</f>
        <v>1.8321686019025285</v>
      </c>
      <c r="AI18" s="13">
        <f>'TUSD BE'!$AI$18*'TUSD BE'!$AI$75</f>
        <v>8.4717766162181282E-2</v>
      </c>
      <c r="AJ18" s="13">
        <f ca="1">'TUSD BE'!$AJ$18*'TUSD BE'!$AJ$75</f>
        <v>2.4912978791329938</v>
      </c>
      <c r="AK18" s="13">
        <f ca="1">'TUSD BE'!$AK$18*'TUSD BE'!$AK$75</f>
        <v>-0.50078432683074769</v>
      </c>
      <c r="AL18" s="13">
        <f ca="1">SUM($AH$18:$AK$18)</f>
        <v>3.9073999203669558</v>
      </c>
      <c r="AM18" s="13">
        <f ca="1">SUMIF($L$4:$AL$4,"SUBTOTAL",$L$18:$AL$18)</f>
        <v>0.12759104609077321</v>
      </c>
      <c r="AO18" s="20">
        <f ca="1">+'TUSD BE'!$T$18+'TUSD BE'!$AB$18+'TUSD BE'!$AD$18+'TUSD BE'!$AL$18</f>
        <v>42.038445975039316</v>
      </c>
      <c r="AP18" s="20">
        <f ca="1">+'TUSD BE'!$T$18+'TUSD BE'!$AB$18+'TUSD BE'!$AD$18+'TUSD BE'!$AL$18</f>
        <v>42.038445975039316</v>
      </c>
    </row>
    <row r="19" spans="1:42" ht="11.25" customHeight="1" x14ac:dyDescent="0.25">
      <c r="A19" s="107" t="s">
        <v>41</v>
      </c>
      <c r="B19" s="107" t="s">
        <v>42</v>
      </c>
      <c r="C19" s="107" t="s">
        <v>25</v>
      </c>
      <c r="D19" s="107" t="s">
        <v>25</v>
      </c>
      <c r="E19" s="107" t="s">
        <v>25</v>
      </c>
      <c r="F19" s="107" t="s">
        <v>25</v>
      </c>
      <c r="G19" s="18" t="s">
        <v>86</v>
      </c>
      <c r="H19" s="18" t="s">
        <v>85</v>
      </c>
      <c r="I19" s="18">
        <f>'MERCADO TUSD'!$U$16</f>
        <v>127291</v>
      </c>
      <c r="J19" s="15"/>
      <c r="L19" s="13">
        <f>'TUSD BE'!$L$19*'TUSD BE'!$L$75</f>
        <v>0</v>
      </c>
      <c r="M19" s="13">
        <f>'TUSD BE'!$M$19*'TUSD BE'!$M$75</f>
        <v>0</v>
      </c>
      <c r="N19" s="13">
        <f ca="1">'TUSD BE'!$N$19*'TUSD BE'!$N$75</f>
        <v>0</v>
      </c>
      <c r="O19" s="13">
        <f>'TUSD BE'!$O$19*'TUSD BE'!$O$75</f>
        <v>0</v>
      </c>
      <c r="P19" s="13">
        <f>'TUSD BE'!$P$19*'TUSD BE'!$P$75</f>
        <v>0</v>
      </c>
      <c r="Q19" s="13">
        <f>'TUSD BE'!$Q$19*'TUSD BE'!$Q$75</f>
        <v>0</v>
      </c>
      <c r="R19" s="13">
        <f>'TUSD BE'!$R$19*'TUSD BE'!$R$75</f>
        <v>0</v>
      </c>
      <c r="S19" s="13">
        <f>'TUSD BE'!$R$19*'TUSD BE'!$S$75</f>
        <v>0</v>
      </c>
      <c r="T19" s="13">
        <f ca="1">SUM($L$19:$S$19)</f>
        <v>0</v>
      </c>
      <c r="U19" s="13">
        <f>'TUSD BE'!$U$19*'TUSD BE'!$U$75</f>
        <v>3.3457554260188961E-2</v>
      </c>
      <c r="V19" s="13">
        <f>'TUSD BE'!$V$19*'TUSD BE'!$V$75</f>
        <v>4.6715527001773532E-2</v>
      </c>
      <c r="W19" s="13">
        <f>'TUSD BE'!$W$19*'TUSD BE'!$W$75</f>
        <v>-6.6045593363456391E-3</v>
      </c>
      <c r="X19" s="13">
        <f>'TUSD BE'!$X$19*'TUSD BE'!$X$75</f>
        <v>0</v>
      </c>
      <c r="Y19" s="13">
        <f>'TUSD BE'!$Y$19*'TUSD BE'!$Y$75</f>
        <v>0</v>
      </c>
      <c r="Z19" s="13">
        <f>'TUSD BE'!$Z$19*'TUSD BE'!$Z$75</f>
        <v>0</v>
      </c>
      <c r="AA19" s="13">
        <f>'TUSD BE'!$AA$19*'TUSD BE'!$AA$75</f>
        <v>0</v>
      </c>
      <c r="AB19" s="13">
        <f>SUM($U$19:$AA$19)</f>
        <v>7.3568521925616845E-2</v>
      </c>
      <c r="AC19" s="13">
        <f>'TUSD BE'!$AC$19*'TUSD BE'!$AC$75</f>
        <v>-7.6731496994661516E-2</v>
      </c>
      <c r="AD19" s="13">
        <f>SUM($AC$19:$AC$19)</f>
        <v>-7.6731496994661516E-2</v>
      </c>
      <c r="AE19" s="13">
        <f ca="1">$AO$19*$AO$72</f>
        <v>-5.4362283726388094</v>
      </c>
      <c r="AF19" s="13">
        <f ca="1">$AP$19*$AP$72</f>
        <v>0</v>
      </c>
      <c r="AG19" s="13">
        <f ca="1">SUM($AE$19:$AF$19)</f>
        <v>-5.4362283726388094</v>
      </c>
      <c r="AH19" s="13">
        <f>'TUSD BE'!$AH$19*'TUSD BE'!$AH$75</f>
        <v>0</v>
      </c>
      <c r="AI19" s="13">
        <f>'TUSD BE'!$AI$19*'TUSD BE'!$AI$75</f>
        <v>0</v>
      </c>
      <c r="AJ19" s="13">
        <f ca="1">'TUSD BE'!$AJ$19*'TUSD BE'!$AJ$75</f>
        <v>0</v>
      </c>
      <c r="AK19" s="13">
        <f ca="1">'TUSD BE'!$AK$19*'TUSD BE'!$AK$75</f>
        <v>0</v>
      </c>
      <c r="AL19" s="13">
        <f ca="1">SUM($AH$19:$AK$19)</f>
        <v>0</v>
      </c>
      <c r="AM19" s="13">
        <f ca="1">SUMIF($L$4:$AL$4,"SUBTOTAL",$L$19:$AL$19)</f>
        <v>-5.4393913477078542</v>
      </c>
      <c r="AO19" s="20">
        <f ca="1">+'TUSD BE'!$T$19+'TUSD BE'!$AB$19+'TUSD BE'!$AD$19+'TUSD BE'!$AL$19</f>
        <v>60.650181273285298</v>
      </c>
      <c r="AP19" s="20">
        <f ca="1">+'TUSD BE'!$T$19+'TUSD BE'!$AB$19+'TUSD BE'!$AD$19+'TUSD BE'!$AL$19</f>
        <v>60.650181273285298</v>
      </c>
    </row>
    <row r="20" spans="1:42" ht="11.25" customHeight="1" x14ac:dyDescent="0.25">
      <c r="A20" s="107"/>
      <c r="B20" s="107"/>
      <c r="C20" s="107"/>
      <c r="D20" s="107"/>
      <c r="E20" s="107"/>
      <c r="F20" s="107"/>
      <c r="G20" s="18" t="s">
        <v>87</v>
      </c>
      <c r="H20" s="18" t="s">
        <v>85</v>
      </c>
      <c r="I20" s="18">
        <f>'MERCADO TUSD'!$U$17</f>
        <v>145423</v>
      </c>
      <c r="J20" s="15"/>
      <c r="L20" s="13">
        <f>'TUSD BE'!$L$20*'TUSD BE'!$L$75</f>
        <v>0</v>
      </c>
      <c r="M20" s="13">
        <f>'TUSD BE'!$M$20*'TUSD BE'!$M$75</f>
        <v>0</v>
      </c>
      <c r="N20" s="13">
        <f ca="1">'TUSD BE'!$N$20*'TUSD BE'!$N$75</f>
        <v>0</v>
      </c>
      <c r="O20" s="13">
        <f>'TUSD BE'!$O$20*'TUSD BE'!$O$75</f>
        <v>0</v>
      </c>
      <c r="P20" s="13">
        <f>'TUSD BE'!$P$20*'TUSD BE'!$P$75</f>
        <v>0</v>
      </c>
      <c r="Q20" s="13">
        <f>'TUSD BE'!$Q$20*'TUSD BE'!$Q$75</f>
        <v>0</v>
      </c>
      <c r="R20" s="13">
        <f>'TUSD BE'!$R$20*'TUSD BE'!$R$75</f>
        <v>0</v>
      </c>
      <c r="S20" s="13">
        <f>'TUSD BE'!$R$20*'TUSD BE'!$S$75</f>
        <v>0</v>
      </c>
      <c r="T20" s="13">
        <f ca="1">SUM($L$20:$S$20)</f>
        <v>0</v>
      </c>
      <c r="U20" s="13">
        <f>'TUSD BE'!$U$20*'TUSD BE'!$U$75</f>
        <v>2.5119342996231038E-2</v>
      </c>
      <c r="V20" s="13">
        <f>'TUSD BE'!$V$20*'TUSD BE'!$V$75</f>
        <v>3.8643538632157595E-2</v>
      </c>
      <c r="W20" s="13">
        <f>'TUSD BE'!$W$20*'TUSD BE'!$W$75</f>
        <v>-5.5177643112230904E-3</v>
      </c>
      <c r="X20" s="13">
        <f>'TUSD BE'!$X$20*'TUSD BE'!$X$75</f>
        <v>0</v>
      </c>
      <c r="Y20" s="13">
        <f>'TUSD BE'!$Y$20*'TUSD BE'!$Y$75</f>
        <v>0</v>
      </c>
      <c r="Z20" s="13">
        <f>'TUSD BE'!$Z$20*'TUSD BE'!$Z$75</f>
        <v>0</v>
      </c>
      <c r="AA20" s="13">
        <f>'TUSD BE'!$AA$20*'TUSD BE'!$AA$75</f>
        <v>0</v>
      </c>
      <c r="AB20" s="13">
        <f>SUM($U$20:$AA$20)</f>
        <v>5.824511731716555E-2</v>
      </c>
      <c r="AC20" s="13">
        <f>'TUSD BE'!$AC$20*'TUSD BE'!$AC$75</f>
        <v>-2.3074542655654763E-2</v>
      </c>
      <c r="AD20" s="13">
        <f>SUM($AC$20:$AC$20)</f>
        <v>-2.3074542655654763E-2</v>
      </c>
      <c r="AE20" s="13">
        <f ca="1">$AO$20*$AO$72</f>
        <v>-1.9408874194434911</v>
      </c>
      <c r="AF20" s="13">
        <f ca="1">$AP$20*$AP$72</f>
        <v>0</v>
      </c>
      <c r="AG20" s="13">
        <f ca="1">SUM($AE$20:$AF$20)</f>
        <v>-1.9408874194434911</v>
      </c>
      <c r="AH20" s="13">
        <f>'TUSD BE'!$AH$20*'TUSD BE'!$AH$75</f>
        <v>0</v>
      </c>
      <c r="AI20" s="13">
        <f>'TUSD BE'!$AI$20*'TUSD BE'!$AI$75</f>
        <v>0</v>
      </c>
      <c r="AJ20" s="13">
        <f ca="1">'TUSD BE'!$AJ$20*'TUSD BE'!$AJ$75</f>
        <v>0</v>
      </c>
      <c r="AK20" s="13">
        <f ca="1">'TUSD BE'!$AK$20*'TUSD BE'!$AK$75</f>
        <v>0</v>
      </c>
      <c r="AL20" s="13">
        <f ca="1">SUM($AH$20:$AK$20)</f>
        <v>0</v>
      </c>
      <c r="AM20" s="13">
        <f ca="1">SUMIF($L$4:$AL$4,"SUBTOTAL",$L$20:$AL$20)</f>
        <v>-1.9057168447819803</v>
      </c>
      <c r="AO20" s="20">
        <f ca="1">+'TUSD BE'!$T$20+'TUSD BE'!$AB$20+'TUSD BE'!$AD$20+'TUSD BE'!$AL$20</f>
        <v>21.65383161839949</v>
      </c>
      <c r="AP20" s="20">
        <f ca="1">+'TUSD BE'!$T$20+'TUSD BE'!$AB$20+'TUSD BE'!$AD$20+'TUSD BE'!$AL$20</f>
        <v>21.65383161839949</v>
      </c>
    </row>
    <row r="21" spans="1:42" ht="11.25" customHeight="1" x14ac:dyDescent="0.25">
      <c r="A21" s="107"/>
      <c r="B21" s="107"/>
      <c r="C21" s="107"/>
      <c r="D21" s="107"/>
      <c r="E21" s="107"/>
      <c r="F21" s="107"/>
      <c r="G21" s="18" t="s">
        <v>88</v>
      </c>
      <c r="H21" s="18" t="s">
        <v>82</v>
      </c>
      <c r="I21" s="18">
        <f>'MERCADO TUSD'!$U$18</f>
        <v>51654.506999999991</v>
      </c>
      <c r="J21" s="15"/>
      <c r="L21" s="13">
        <f>'TUSD BE'!$L$21*'TUSD BE'!$L$75</f>
        <v>-2.4997990077352741</v>
      </c>
      <c r="M21" s="13">
        <f>'TUSD BE'!$M$21*'TUSD BE'!$M$75</f>
        <v>-1.1797016449375496E-2</v>
      </c>
      <c r="N21" s="13">
        <f ca="1">'TUSD BE'!$N$21*'TUSD BE'!$N$75</f>
        <v>-1.5870115531295013E-7</v>
      </c>
      <c r="O21" s="13">
        <f>'TUSD BE'!$O$21*'TUSD BE'!$O$75</f>
        <v>0</v>
      </c>
      <c r="P21" s="13">
        <f>'TUSD BE'!$P$21*'TUSD BE'!$P$75</f>
        <v>0</v>
      </c>
      <c r="Q21" s="13">
        <f>'TUSD BE'!$Q$21*'TUSD BE'!$Q$75</f>
        <v>-0.63486017403790784</v>
      </c>
      <c r="R21" s="13">
        <f>'TUSD BE'!$R$21*'TUSD BE'!$R$75</f>
        <v>-0.33555303906064865</v>
      </c>
      <c r="S21" s="13">
        <f>'TUSD BE'!$R$21*'TUSD BE'!$S$75</f>
        <v>0</v>
      </c>
      <c r="T21" s="13">
        <f ca="1">SUM($L$21:$S$21)</f>
        <v>-3.4820093959843614</v>
      </c>
      <c r="U21" s="13">
        <f>'TUSD BE'!$U$21*'TUSD BE'!$U$75</f>
        <v>0</v>
      </c>
      <c r="V21" s="13">
        <f>'TUSD BE'!$V$21*'TUSD BE'!$V$75</f>
        <v>0</v>
      </c>
      <c r="W21" s="13">
        <f>'TUSD BE'!$W$21*'TUSD BE'!$W$75</f>
        <v>0</v>
      </c>
      <c r="X21" s="13">
        <f>'TUSD BE'!$X$21*'TUSD BE'!$X$75</f>
        <v>0</v>
      </c>
      <c r="Y21" s="13">
        <f>'TUSD BE'!$Y$21*'TUSD BE'!$Y$75</f>
        <v>0</v>
      </c>
      <c r="Z21" s="13">
        <f>'TUSD BE'!$Z$21*'TUSD BE'!$Z$75</f>
        <v>0</v>
      </c>
      <c r="AA21" s="13">
        <f>'TUSD BE'!$AA$21*'TUSD BE'!$AA$75</f>
        <v>0</v>
      </c>
      <c r="AB21" s="13">
        <f>SUM($U$21:$AA$21)</f>
        <v>0</v>
      </c>
      <c r="AC21" s="13">
        <f>'TUSD BE'!$AC$21*'TUSD BE'!$AC$75</f>
        <v>0</v>
      </c>
      <c r="AD21" s="13">
        <f>SUM($AC$21:$AC$21)</f>
        <v>0</v>
      </c>
      <c r="AE21" s="13">
        <f ca="1">$AO$21*$AO$72</f>
        <v>-9.4494822089407879</v>
      </c>
      <c r="AF21" s="13">
        <f ca="1">$AP$21*$AP$72</f>
        <v>0</v>
      </c>
      <c r="AG21" s="13">
        <f ca="1">SUM($AE$21:$AF$21)</f>
        <v>-9.4494822089407879</v>
      </c>
      <c r="AH21" s="13">
        <f>'TUSD BE'!$AH$21*'TUSD BE'!$AH$75</f>
        <v>1.8321686019025285</v>
      </c>
      <c r="AI21" s="13">
        <f>'TUSD BE'!$AI$21*'TUSD BE'!$AI$75</f>
        <v>8.4717766162181282E-2</v>
      </c>
      <c r="AJ21" s="13">
        <f ca="1">'TUSD BE'!$AJ$21*'TUSD BE'!$AJ$75</f>
        <v>2.4912978791329938</v>
      </c>
      <c r="AK21" s="13">
        <f ca="1">'TUSD BE'!$AK$21*'TUSD BE'!$AK$75</f>
        <v>-0.50078432683074769</v>
      </c>
      <c r="AL21" s="13">
        <f ca="1">SUM($AH$21:$AK$21)</f>
        <v>3.9073999203669558</v>
      </c>
      <c r="AM21" s="13">
        <f ca="1">SUMIF($L$4:$AL$4,"SUBTOTAL",$L$21:$AL$21)</f>
        <v>-9.0240916845581935</v>
      </c>
      <c r="AO21" s="20">
        <f ca="1">+'TUSD BE'!$T$21+'TUSD BE'!$AB$21+'TUSD BE'!$AD$21+'TUSD BE'!$AL$21</f>
        <v>105.4247116981856</v>
      </c>
      <c r="AP21" s="20">
        <f ca="1">+'TUSD BE'!$T$21+'TUSD BE'!$AB$21+'TUSD BE'!$AD$21+'TUSD BE'!$AL$21</f>
        <v>105.4247116981856</v>
      </c>
    </row>
    <row r="22" spans="1:42" ht="11.25" customHeight="1" x14ac:dyDescent="0.25">
      <c r="A22" s="107"/>
      <c r="B22" s="107"/>
      <c r="C22" s="107"/>
      <c r="D22" s="107"/>
      <c r="E22" s="17" t="s">
        <v>89</v>
      </c>
      <c r="F22" s="17" t="s">
        <v>25</v>
      </c>
      <c r="G22" s="18" t="s">
        <v>88</v>
      </c>
      <c r="H22" s="18" t="s">
        <v>82</v>
      </c>
      <c r="I22" s="18">
        <f>'MERCADO TUSD'!$U$19</f>
        <v>0</v>
      </c>
      <c r="J22" s="15"/>
      <c r="L22" s="13">
        <f>'TUSD BE'!$L$22*'TUSD BE'!$L$75</f>
        <v>0</v>
      </c>
      <c r="M22" s="13">
        <f>'TUSD BE'!$M$22*'TUSD BE'!$M$75</f>
        <v>-1.1797016449375496E-2</v>
      </c>
      <c r="N22" s="13">
        <f ca="1">'TUSD BE'!$N$22*'TUSD BE'!$N$75</f>
        <v>-1.5607425539511003E-7</v>
      </c>
      <c r="O22" s="13">
        <f>'TUSD BE'!$O$22*'TUSD BE'!$O$75</f>
        <v>0</v>
      </c>
      <c r="P22" s="13">
        <f>'TUSD BE'!$P$22*'TUSD BE'!$P$75</f>
        <v>0</v>
      </c>
      <c r="Q22" s="13">
        <f>'TUSD BE'!$Q$22*'TUSD BE'!$Q$75</f>
        <v>0</v>
      </c>
      <c r="R22" s="13">
        <f>'TUSD BE'!$R$22*'TUSD BE'!$R$75</f>
        <v>0</v>
      </c>
      <c r="S22" s="13">
        <f>'TUSD BE'!$R$22*'TUSD BE'!$S$75</f>
        <v>0</v>
      </c>
      <c r="T22" s="13">
        <f ca="1">SUM($L$22:$S$22)</f>
        <v>-1.179717252363089E-2</v>
      </c>
      <c r="U22" s="13">
        <f>'TUSD BE'!$U$22*'TUSD BE'!$U$75</f>
        <v>0</v>
      </c>
      <c r="V22" s="13">
        <f>'TUSD BE'!$V$22*'TUSD BE'!$V$75</f>
        <v>0</v>
      </c>
      <c r="W22" s="13">
        <f>'TUSD BE'!$W$22*'TUSD BE'!$W$75</f>
        <v>0</v>
      </c>
      <c r="X22" s="13">
        <f>'TUSD BE'!$X$22*'TUSD BE'!$X$75</f>
        <v>0</v>
      </c>
      <c r="Y22" s="13">
        <f>'TUSD BE'!$Y$22*'TUSD BE'!$Y$75</f>
        <v>0</v>
      </c>
      <c r="Z22" s="13">
        <f>'TUSD BE'!$Z$22*'TUSD BE'!$Z$75</f>
        <v>0</v>
      </c>
      <c r="AA22" s="13">
        <f>'TUSD BE'!$AA$22*'TUSD BE'!$AA$75</f>
        <v>0</v>
      </c>
      <c r="AB22" s="13">
        <f>SUM($U$22:$AA$22)</f>
        <v>0</v>
      </c>
      <c r="AC22" s="13">
        <f>'TUSD BE'!$AC$22*'TUSD BE'!$AC$75</f>
        <v>0</v>
      </c>
      <c r="AD22" s="13">
        <f>SUM($AC$22:$AC$22)</f>
        <v>0</v>
      </c>
      <c r="AE22" s="13">
        <f ca="1">$AO$22*$AO$72</f>
        <v>-3.7680117017525516</v>
      </c>
      <c r="AF22" s="13">
        <f ca="1">$AP$22*$AP$72</f>
        <v>0</v>
      </c>
      <c r="AG22" s="13">
        <f ca="1">SUM($AE$22:$AF$22)</f>
        <v>-3.7680117017525516</v>
      </c>
      <c r="AH22" s="13">
        <f>'TUSD BE'!$AH$22*'TUSD BE'!$AH$75</f>
        <v>1.8321686019025285</v>
      </c>
      <c r="AI22" s="13">
        <f>'TUSD BE'!$AI$22*'TUSD BE'!$AI$75</f>
        <v>8.4717766162181282E-2</v>
      </c>
      <c r="AJ22" s="13">
        <f ca="1">'TUSD BE'!$AJ$22*'TUSD BE'!$AJ$75</f>
        <v>2.4912978791329938</v>
      </c>
      <c r="AK22" s="13">
        <f ca="1">'TUSD BE'!$AK$22*'TUSD BE'!$AK$75</f>
        <v>-0.50078432683074769</v>
      </c>
      <c r="AL22" s="13">
        <f ca="1">SUM($AH$22:$AK$22)</f>
        <v>3.9073999203669558</v>
      </c>
      <c r="AM22" s="13">
        <f ca="1">SUMIF($L$4:$AL$4,"SUBTOTAL",$L$22:$AL$22)</f>
        <v>0.12759104609077321</v>
      </c>
      <c r="AO22" s="20">
        <f ca="1">+'TUSD BE'!$T$22+'TUSD BE'!$AB$22+'TUSD BE'!$AD$22+'TUSD BE'!$AL$22</f>
        <v>42.038445975039316</v>
      </c>
      <c r="AP22" s="20">
        <f ca="1">+'TUSD BE'!$T$22+'TUSD BE'!$AB$22+'TUSD BE'!$AD$22+'TUSD BE'!$AL$22</f>
        <v>42.038445975039316</v>
      </c>
    </row>
    <row r="23" spans="1:42" ht="11.25" customHeight="1" x14ac:dyDescent="0.25">
      <c r="A23" s="107"/>
      <c r="B23" s="107" t="s">
        <v>62</v>
      </c>
      <c r="C23" s="107" t="s">
        <v>25</v>
      </c>
      <c r="D23" s="107" t="s">
        <v>25</v>
      </c>
      <c r="E23" s="107" t="s">
        <v>25</v>
      </c>
      <c r="F23" s="107" t="s">
        <v>63</v>
      </c>
      <c r="G23" s="18" t="s">
        <v>86</v>
      </c>
      <c r="H23" s="18" t="s">
        <v>85</v>
      </c>
      <c r="I23" s="18">
        <f>'MERCADO TUSD'!$U$20</f>
        <v>18979</v>
      </c>
      <c r="J23" s="15"/>
      <c r="L23" s="13">
        <f>'TUSD BE'!$L$23*'TUSD BE'!$L$75</f>
        <v>0</v>
      </c>
      <c r="M23" s="13">
        <f>'TUSD BE'!$M$23*'TUSD BE'!$M$75</f>
        <v>0</v>
      </c>
      <c r="N23" s="13">
        <f ca="1">'TUSD BE'!$N$23*'TUSD BE'!$N$75</f>
        <v>0</v>
      </c>
      <c r="O23" s="13">
        <f>'TUSD BE'!$O$23*'TUSD BE'!$O$75</f>
        <v>0</v>
      </c>
      <c r="P23" s="13">
        <f>'TUSD BE'!$P$23*'TUSD BE'!$P$75</f>
        <v>0</v>
      </c>
      <c r="Q23" s="13">
        <f>'TUSD BE'!$Q$23*'TUSD BE'!$Q$75</f>
        <v>0</v>
      </c>
      <c r="R23" s="13">
        <f>'TUSD BE'!$R$23*'TUSD BE'!$R$75</f>
        <v>0</v>
      </c>
      <c r="S23" s="13">
        <f>'TUSD BE'!$R$23*'TUSD BE'!$S$75</f>
        <v>0</v>
      </c>
      <c r="T23" s="13">
        <f ca="1">SUM($L$23:$S$23)</f>
        <v>0</v>
      </c>
      <c r="U23" s="13">
        <f>'TUSD BE'!$U$23*'TUSD BE'!$U$75</f>
        <v>3.3457554260188961E-2</v>
      </c>
      <c r="V23" s="13">
        <f>'TUSD BE'!$V$23*'TUSD BE'!$V$75</f>
        <v>4.6715527001773532E-2</v>
      </c>
      <c r="W23" s="13">
        <f>'TUSD BE'!$W$23*'TUSD BE'!$W$75</f>
        <v>-6.6045593363456391E-3</v>
      </c>
      <c r="X23" s="13">
        <f>'TUSD BE'!$X$23*'TUSD BE'!$X$75</f>
        <v>0</v>
      </c>
      <c r="Y23" s="13">
        <f>'TUSD BE'!$Y$23*'TUSD BE'!$Y$75</f>
        <v>0</v>
      </c>
      <c r="Z23" s="13">
        <f>'TUSD BE'!$Z$23*'TUSD BE'!$Z$75</f>
        <v>0</v>
      </c>
      <c r="AA23" s="13">
        <f>'TUSD BE'!$AA$23*'TUSD BE'!$AA$75</f>
        <v>0</v>
      </c>
      <c r="AB23" s="13">
        <f>SUM($U$23:$AA$23)</f>
        <v>7.3568521925616845E-2</v>
      </c>
      <c r="AC23" s="13">
        <f>'TUSD BE'!$AC$23*'TUSD BE'!$AC$75</f>
        <v>-1.5120547511927873E-2</v>
      </c>
      <c r="AD23" s="13">
        <f>SUM($AC$23:$AC$23)</f>
        <v>-1.5120547511927873E-2</v>
      </c>
      <c r="AE23" s="13">
        <v>0</v>
      </c>
      <c r="AF23" s="13">
        <f ca="1">$AP$23*$AP$72</f>
        <v>0</v>
      </c>
      <c r="AG23" s="13">
        <f ca="1">SUM($AE$23:$AF$23)</f>
        <v>0</v>
      </c>
      <c r="AH23" s="13">
        <f>'TUSD BE'!$AH$23*'TUSD BE'!$AH$75</f>
        <v>0</v>
      </c>
      <c r="AI23" s="13">
        <f>'TUSD BE'!$AI$23*'TUSD BE'!$AI$75</f>
        <v>0</v>
      </c>
      <c r="AJ23" s="13">
        <f ca="1">'TUSD BE'!$AJ$23*'TUSD BE'!$AJ$75</f>
        <v>0</v>
      </c>
      <c r="AK23" s="13">
        <f ca="1">'TUSD BE'!$AK$23*'TUSD BE'!$AK$75</f>
        <v>0</v>
      </c>
      <c r="AL23" s="13">
        <f ca="1">SUM($AH$23:$AK$23)</f>
        <v>0</v>
      </c>
      <c r="AM23" s="13">
        <f ca="1">SUMIF($L$4:$AL$4,"SUBTOTAL",$L$23:$AL$23)</f>
        <v>5.8447974413688972E-2</v>
      </c>
      <c r="AO23" s="20"/>
      <c r="AP23" s="20">
        <f ca="1">+'TUSD BE'!$T$23+'TUSD BE'!$AB$23+'TUSD BE'!$AD$23+'TUSD BE'!$AL$23</f>
        <v>17.531751795621261</v>
      </c>
    </row>
    <row r="24" spans="1:42" ht="11.25" customHeight="1" x14ac:dyDescent="0.25">
      <c r="A24" s="107"/>
      <c r="B24" s="107"/>
      <c r="C24" s="107"/>
      <c r="D24" s="107"/>
      <c r="E24" s="107"/>
      <c r="F24" s="107"/>
      <c r="G24" s="18" t="s">
        <v>87</v>
      </c>
      <c r="H24" s="18" t="s">
        <v>85</v>
      </c>
      <c r="I24" s="18">
        <f>'MERCADO TUSD'!$U$21</f>
        <v>19150</v>
      </c>
      <c r="J24" s="15"/>
      <c r="L24" s="13">
        <f>'TUSD BE'!$L$24*'TUSD BE'!$L$75</f>
        <v>0</v>
      </c>
      <c r="M24" s="13">
        <f>'TUSD BE'!$M$24*'TUSD BE'!$M$75</f>
        <v>0</v>
      </c>
      <c r="N24" s="13">
        <f ca="1">'TUSD BE'!$N$24*'TUSD BE'!$N$75</f>
        <v>0</v>
      </c>
      <c r="O24" s="13">
        <f>'TUSD BE'!$O$24*'TUSD BE'!$O$75</f>
        <v>0</v>
      </c>
      <c r="P24" s="13">
        <f>'TUSD BE'!$P$24*'TUSD BE'!$P$75</f>
        <v>0</v>
      </c>
      <c r="Q24" s="13">
        <f>'TUSD BE'!$Q$24*'TUSD BE'!$Q$75</f>
        <v>0</v>
      </c>
      <c r="R24" s="13">
        <f>'TUSD BE'!$R$24*'TUSD BE'!$R$75</f>
        <v>0</v>
      </c>
      <c r="S24" s="13">
        <f>'TUSD BE'!$R$24*'TUSD BE'!$S$75</f>
        <v>0</v>
      </c>
      <c r="T24" s="13">
        <f ca="1">SUM($L$24:$S$24)</f>
        <v>0</v>
      </c>
      <c r="U24" s="13">
        <f>'TUSD BE'!$U$24*'TUSD BE'!$U$75</f>
        <v>2.5119342996231038E-2</v>
      </c>
      <c r="V24" s="13">
        <f>'TUSD BE'!$V$24*'TUSD BE'!$V$75</f>
        <v>3.8643538632157595E-2</v>
      </c>
      <c r="W24" s="13">
        <f>'TUSD BE'!$W$24*'TUSD BE'!$W$75</f>
        <v>-5.5177643112230904E-3</v>
      </c>
      <c r="X24" s="13">
        <f>'TUSD BE'!$X$24*'TUSD BE'!$X$75</f>
        <v>0</v>
      </c>
      <c r="Y24" s="13">
        <f>'TUSD BE'!$Y$24*'TUSD BE'!$Y$75</f>
        <v>0</v>
      </c>
      <c r="Z24" s="13">
        <f>'TUSD BE'!$Z$24*'TUSD BE'!$Z$75</f>
        <v>0</v>
      </c>
      <c r="AA24" s="13">
        <f>'TUSD BE'!$AA$24*'TUSD BE'!$AA$75</f>
        <v>0</v>
      </c>
      <c r="AB24" s="13">
        <f>SUM($U$24:$AA$24)</f>
        <v>5.824511731716555E-2</v>
      </c>
      <c r="AC24" s="13">
        <f>'TUSD BE'!$AC$24*'TUSD BE'!$AC$75</f>
        <v>-4.5470018806282823E-3</v>
      </c>
      <c r="AD24" s="13">
        <f>SUM($AC$24:$AC$24)</f>
        <v>-4.5470018806282823E-3</v>
      </c>
      <c r="AE24" s="13">
        <v>0</v>
      </c>
      <c r="AF24" s="13">
        <f ca="1">$AP$24*$AP$72</f>
        <v>0</v>
      </c>
      <c r="AG24" s="13">
        <f ca="1">SUM($AE$24:$AF$24)</f>
        <v>0</v>
      </c>
      <c r="AH24" s="13">
        <f>'TUSD BE'!$AH$24*'TUSD BE'!$AH$75</f>
        <v>0</v>
      </c>
      <c r="AI24" s="13">
        <f>'TUSD BE'!$AI$24*'TUSD BE'!$AI$75</f>
        <v>0</v>
      </c>
      <c r="AJ24" s="13">
        <f ca="1">'TUSD BE'!$AJ$24*'TUSD BE'!$AJ$75</f>
        <v>0</v>
      </c>
      <c r="AK24" s="13">
        <f ca="1">'TUSD BE'!$AK$24*'TUSD BE'!$AK$75</f>
        <v>0</v>
      </c>
      <c r="AL24" s="13">
        <f ca="1">SUM($AH$24:$AK$24)</f>
        <v>0</v>
      </c>
      <c r="AM24" s="13">
        <f ca="1">SUMIF($L$4:$AL$4,"SUBTOTAL",$L$24:$AL$24)</f>
        <v>5.3698115436537269E-2</v>
      </c>
      <c r="AO24" s="20"/>
      <c r="AP24" s="20">
        <f ca="1">+'TUSD BE'!$T$24+'TUSD BE'!$AB$24+'TUSD BE'!$AD$24+'TUSD BE'!$AL$24</f>
        <v>8.6873302576891085</v>
      </c>
    </row>
    <row r="25" spans="1:42" ht="11.25" customHeight="1" x14ac:dyDescent="0.25">
      <c r="A25" s="107"/>
      <c r="B25" s="107"/>
      <c r="C25" s="107"/>
      <c r="D25" s="107"/>
      <c r="E25" s="107"/>
      <c r="F25" s="107"/>
      <c r="G25" s="18" t="s">
        <v>88</v>
      </c>
      <c r="H25" s="18" t="s">
        <v>82</v>
      </c>
      <c r="I25" s="18">
        <f>'MERCADO TUSD'!$U$22</f>
        <v>10049.634999999998</v>
      </c>
      <c r="J25" s="15"/>
      <c r="L25" s="13">
        <f>'TUSD BE'!$L$25*'TUSD BE'!$L$75</f>
        <v>0</v>
      </c>
      <c r="M25" s="13">
        <f>'TUSD BE'!$M$25*'TUSD BE'!$M$75</f>
        <v>0</v>
      </c>
      <c r="N25" s="13">
        <f ca="1">'TUSD BE'!$N$25*'TUSD BE'!$N$75</f>
        <v>0</v>
      </c>
      <c r="O25" s="13">
        <f>'TUSD BE'!$O$25*'TUSD BE'!$O$75</f>
        <v>0</v>
      </c>
      <c r="P25" s="13">
        <f>'TUSD BE'!$P$25*'TUSD BE'!$P$75</f>
        <v>0</v>
      </c>
      <c r="Q25" s="13">
        <f>'TUSD BE'!$Q$25*'TUSD BE'!$Q$75</f>
        <v>0</v>
      </c>
      <c r="R25" s="13">
        <f>'TUSD BE'!$R$25*'TUSD BE'!$R$75</f>
        <v>0</v>
      </c>
      <c r="S25" s="13">
        <f>'TUSD BE'!$R$25*'TUSD BE'!$S$75</f>
        <v>0</v>
      </c>
      <c r="T25" s="13">
        <f ca="1">SUM($L$25:$S$25)</f>
        <v>0</v>
      </c>
      <c r="U25" s="13">
        <f>'TUSD BE'!$U$25*'TUSD BE'!$U$75</f>
        <v>0</v>
      </c>
      <c r="V25" s="13">
        <f>'TUSD BE'!$V$25*'TUSD BE'!$V$75</f>
        <v>0</v>
      </c>
      <c r="W25" s="13">
        <f>'TUSD BE'!$W$25*'TUSD BE'!$W$75</f>
        <v>0</v>
      </c>
      <c r="X25" s="13">
        <f>'TUSD BE'!$X$25*'TUSD BE'!$X$75</f>
        <v>0</v>
      </c>
      <c r="Y25" s="13">
        <f>'TUSD BE'!$Y$25*'TUSD BE'!$Y$75</f>
        <v>0</v>
      </c>
      <c r="Z25" s="13">
        <f>'TUSD BE'!$Z$25*'TUSD BE'!$Z$75</f>
        <v>0</v>
      </c>
      <c r="AA25" s="13">
        <f>'TUSD BE'!$AA$25*'TUSD BE'!$AA$75</f>
        <v>0</v>
      </c>
      <c r="AB25" s="13">
        <f>SUM($U$25:$AA$25)</f>
        <v>0</v>
      </c>
      <c r="AC25" s="13">
        <f>'TUSD BE'!$AC$25*'TUSD BE'!$AC$75</f>
        <v>0</v>
      </c>
      <c r="AD25" s="13">
        <f>SUM($AC$25:$AC$25)</f>
        <v>0</v>
      </c>
      <c r="AE25" s="13">
        <v>0</v>
      </c>
      <c r="AF25" s="13">
        <f ca="1">$AP$25*$AP$72</f>
        <v>0</v>
      </c>
      <c r="AG25" s="13">
        <f ca="1">SUM($AE$25:$AF$25)</f>
        <v>0</v>
      </c>
      <c r="AH25" s="13">
        <f>'TUSD BE'!$AH$25*'TUSD BE'!$AH$75</f>
        <v>1.8321686019025285</v>
      </c>
      <c r="AI25" s="13">
        <f>'TUSD BE'!$AI$25*'TUSD BE'!$AI$75</f>
        <v>8.4717766162181282E-2</v>
      </c>
      <c r="AJ25" s="13">
        <f ca="1">'TUSD BE'!$AJ$25*'TUSD BE'!$AJ$75</f>
        <v>0</v>
      </c>
      <c r="AK25" s="13">
        <f ca="1">'TUSD BE'!$AK$25*'TUSD BE'!$AK$75</f>
        <v>0</v>
      </c>
      <c r="AL25" s="13">
        <f ca="1">SUM($AH$25:$AK$25)</f>
        <v>1.9168863680647097</v>
      </c>
      <c r="AM25" s="13">
        <f ca="1">SUMIF($L$4:$AL$4,"SUBTOTAL",$L$25:$AL$25)</f>
        <v>1.9168863680647097</v>
      </c>
      <c r="AO25" s="20"/>
      <c r="AP25" s="20">
        <f ca="1">+'TUSD BE'!$T$25+'TUSD BE'!$AB$25+'TUSD BE'!$AD$25+'TUSD BE'!$AL$25</f>
        <v>14.182747119530589</v>
      </c>
    </row>
    <row r="26" spans="1:42" ht="11.25" customHeight="1" x14ac:dyDescent="0.25">
      <c r="A26" s="107"/>
      <c r="B26" s="17" t="s">
        <v>91</v>
      </c>
      <c r="C26" s="17" t="s">
        <v>25</v>
      </c>
      <c r="D26" s="17" t="s">
        <v>25</v>
      </c>
      <c r="E26" s="17" t="s">
        <v>25</v>
      </c>
      <c r="F26" s="17" t="s">
        <v>25</v>
      </c>
      <c r="G26" s="18" t="s">
        <v>9</v>
      </c>
      <c r="H26" s="18" t="s">
        <v>85</v>
      </c>
      <c r="I26" s="18">
        <f>'MERCADO TUSD'!$U$23</f>
        <v>0</v>
      </c>
      <c r="J26" s="15"/>
      <c r="L26" s="13">
        <f>'TUSD BE'!$L$26*'TUSD BE'!$L$75</f>
        <v>0</v>
      </c>
      <c r="M26" s="13">
        <f>'TUSD BE'!$M$26*'TUSD BE'!$M$75</f>
        <v>-1.1933840013184807E-3</v>
      </c>
      <c r="N26" s="13">
        <f ca="1">'TUSD BE'!$N$26*'TUSD BE'!$N$75</f>
        <v>-4.3895497627107731E-8</v>
      </c>
      <c r="O26" s="13">
        <f>'TUSD BE'!$O$26*'TUSD BE'!$O$75</f>
        <v>0</v>
      </c>
      <c r="P26" s="13">
        <f>'TUSD BE'!$P$26*'TUSD BE'!$P$75</f>
        <v>0</v>
      </c>
      <c r="Q26" s="13">
        <f>'TUSD BE'!$Q$26*'TUSD BE'!$Q$75</f>
        <v>0</v>
      </c>
      <c r="R26" s="13">
        <f>'TUSD BE'!$R$26*'TUSD BE'!$R$75</f>
        <v>0</v>
      </c>
      <c r="S26" s="13">
        <f>'TUSD BE'!$R$26*'TUSD BE'!$S$75</f>
        <v>0</v>
      </c>
      <c r="T26" s="13">
        <f ca="1">SUM($L$26:$S$26)</f>
        <v>-1.1934278968161079E-3</v>
      </c>
      <c r="U26" s="13">
        <f>'TUSD BE'!$U$26*'TUSD BE'!$U$75</f>
        <v>0</v>
      </c>
      <c r="V26" s="13">
        <f>'TUSD BE'!$V$26*'TUSD BE'!$V$75</f>
        <v>0</v>
      </c>
      <c r="W26" s="13">
        <f>'TUSD BE'!$W$26*'TUSD BE'!$W$75</f>
        <v>0</v>
      </c>
      <c r="X26" s="13">
        <f>'TUSD BE'!$X$26*'TUSD BE'!$X$75</f>
        <v>0</v>
      </c>
      <c r="Y26" s="13">
        <f>'TUSD BE'!$Y$26*'TUSD BE'!$Y$75</f>
        <v>0</v>
      </c>
      <c r="Z26" s="13">
        <f>'TUSD BE'!$Z$26*'TUSD BE'!$Z$75</f>
        <v>0</v>
      </c>
      <c r="AA26" s="13">
        <f>'TUSD BE'!$AA$26*'TUSD BE'!$AA$75</f>
        <v>0</v>
      </c>
      <c r="AB26" s="13">
        <f>SUM($U$26:$AA$26)</f>
        <v>0</v>
      </c>
      <c r="AC26" s="13">
        <f>'TUSD BE'!$AC$26*'TUSD BE'!$AC$75</f>
        <v>-2.8544972094254963E-2</v>
      </c>
      <c r="AD26" s="13">
        <f>SUM($AC$26:$AC$26)</f>
        <v>-2.8544972094254963E-2</v>
      </c>
      <c r="AE26" s="13">
        <f ca="1">$AO$26*$AO$72</f>
        <v>-1.8138950339234707</v>
      </c>
      <c r="AF26" s="13">
        <f ca="1">$AP$26*$AP$72</f>
        <v>0</v>
      </c>
      <c r="AG26" s="13">
        <f ca="1">SUM($AE$26:$AF$26)</f>
        <v>-1.8138950339234707</v>
      </c>
      <c r="AH26" s="13">
        <f>'TUSD BE'!$AH$26*'TUSD BE'!$AH$75</f>
        <v>0</v>
      </c>
      <c r="AI26" s="13">
        <f>'TUSD BE'!$AI$26*'TUSD BE'!$AI$75</f>
        <v>0</v>
      </c>
      <c r="AJ26" s="13">
        <f ca="1">'TUSD BE'!$AJ$26*'TUSD BE'!$AJ$75</f>
        <v>0</v>
      </c>
      <c r="AK26" s="13">
        <f ca="1">'TUSD BE'!$AK$26*'TUSD BE'!$AK$75</f>
        <v>0</v>
      </c>
      <c r="AL26" s="13">
        <f ca="1">SUM($AH$26:$AK$26)</f>
        <v>0</v>
      </c>
      <c r="AM26" s="13">
        <f ca="1">SUMIF($L$4:$AL$4,"SUBTOTAL",$L$26:$AL$26)</f>
        <v>-1.8436334339145417</v>
      </c>
      <c r="AO26" s="20">
        <f ca="1">+'TUSD BE'!$T$26+'TUSD BE'!$AB$26+'TUSD BE'!$AD$26+'TUSD BE'!$AL$26</f>
        <v>20.237020058222619</v>
      </c>
      <c r="AP26" s="20">
        <f ca="1">+'TUSD BE'!$T$26+'TUSD BE'!$AB$26+'TUSD BE'!$AD$26+'TUSD BE'!$AL$26</f>
        <v>20.237020058222619</v>
      </c>
    </row>
    <row r="27" spans="1:42" ht="11.25" customHeight="1" x14ac:dyDescent="0.25">
      <c r="A27" s="107"/>
      <c r="B27" s="107" t="s">
        <v>44</v>
      </c>
      <c r="C27" s="107" t="s">
        <v>25</v>
      </c>
      <c r="D27" s="107" t="s">
        <v>25</v>
      </c>
      <c r="E27" s="107" t="s">
        <v>25</v>
      </c>
      <c r="F27" s="107" t="s">
        <v>25</v>
      </c>
      <c r="G27" s="18" t="s">
        <v>9</v>
      </c>
      <c r="H27" s="18" t="s">
        <v>85</v>
      </c>
      <c r="I27" s="18">
        <f>'MERCADO TUSD'!$U$24</f>
        <v>1145356</v>
      </c>
      <c r="J27" s="15"/>
      <c r="L27" s="13">
        <f>'TUSD BE'!$L$27*'TUSD BE'!$L$75</f>
        <v>0</v>
      </c>
      <c r="M27" s="13">
        <f>'TUSD BE'!$M$27*'TUSD BE'!$M$75</f>
        <v>0</v>
      </c>
      <c r="N27" s="13">
        <f ca="1">'TUSD BE'!$N$27*'TUSD BE'!$N$75</f>
        <v>0</v>
      </c>
      <c r="O27" s="13">
        <f>'TUSD BE'!$O$27*'TUSD BE'!$O$75</f>
        <v>0</v>
      </c>
      <c r="P27" s="13">
        <f>'TUSD BE'!$P$27*'TUSD BE'!$P$75</f>
        <v>0</v>
      </c>
      <c r="Q27" s="13">
        <f>'TUSD BE'!$Q$27*'TUSD BE'!$Q$75</f>
        <v>0</v>
      </c>
      <c r="R27" s="13">
        <f>'TUSD BE'!$R$27*'TUSD BE'!$R$75</f>
        <v>0</v>
      </c>
      <c r="S27" s="13">
        <f>'TUSD BE'!$R$27*'TUSD BE'!$S$75</f>
        <v>0</v>
      </c>
      <c r="T27" s="13">
        <f ca="1">SUM($L$27:$S$27)</f>
        <v>0</v>
      </c>
      <c r="U27" s="13">
        <f>'TUSD BE'!$U$27*'TUSD BE'!$U$75</f>
        <v>2.5119342996231038E-2</v>
      </c>
      <c r="V27" s="13">
        <f>'TUSD BE'!$V$27*'TUSD BE'!$V$75</f>
        <v>3.8643538632157595E-2</v>
      </c>
      <c r="W27" s="13">
        <f>'TUSD BE'!$W$27*'TUSD BE'!$W$75</f>
        <v>-5.5177643112230904E-3</v>
      </c>
      <c r="X27" s="13">
        <f>'TUSD BE'!$X$27*'TUSD BE'!$X$75</f>
        <v>0</v>
      </c>
      <c r="Y27" s="13">
        <f>'TUSD BE'!$Y$27*'TUSD BE'!$Y$75</f>
        <v>0</v>
      </c>
      <c r="Z27" s="13">
        <f>'TUSD BE'!$Z$27*'TUSD BE'!$Z$75</f>
        <v>0</v>
      </c>
      <c r="AA27" s="13">
        <f>'TUSD BE'!$AA$27*'TUSD BE'!$AA$75</f>
        <v>0</v>
      </c>
      <c r="AB27" s="13">
        <f>SUM($U$27:$AA$27)</f>
        <v>5.824511731716555E-2</v>
      </c>
      <c r="AC27" s="13">
        <f>'TUSD BE'!$AC$27*'TUSD BE'!$AC$75</f>
        <v>-2.3074542655654763E-2</v>
      </c>
      <c r="AD27" s="13">
        <f>SUM($AC$27:$AC$27)</f>
        <v>-2.3074542655654763E-2</v>
      </c>
      <c r="AE27" s="13">
        <f ca="1">$AO$27*$AO$72</f>
        <v>-1.9408874194434911</v>
      </c>
      <c r="AF27" s="13">
        <f ca="1">$AP$27*$AP$72</f>
        <v>0</v>
      </c>
      <c r="AG27" s="13">
        <f ca="1">SUM($AE$27:$AF$27)</f>
        <v>-1.9408874194434911</v>
      </c>
      <c r="AH27" s="13">
        <f>'TUSD BE'!$AH$27*'TUSD BE'!$AH$75</f>
        <v>0</v>
      </c>
      <c r="AI27" s="13">
        <f>'TUSD BE'!$AI$27*'TUSD BE'!$AI$75</f>
        <v>0</v>
      </c>
      <c r="AJ27" s="13">
        <f ca="1">'TUSD BE'!$AJ$27*'TUSD BE'!$AJ$75</f>
        <v>0</v>
      </c>
      <c r="AK27" s="13">
        <f ca="1">'TUSD BE'!$AK$27*'TUSD BE'!$AK$75</f>
        <v>0</v>
      </c>
      <c r="AL27" s="13">
        <f ca="1">SUM($AH$27:$AK$27)</f>
        <v>0</v>
      </c>
      <c r="AM27" s="13">
        <f ca="1">SUMIF($L$4:$AL$4,"SUBTOTAL",$L$27:$AL$27)</f>
        <v>-1.9057168447819803</v>
      </c>
      <c r="AO27" s="20">
        <f ca="1">+'TUSD BE'!$T$27+'TUSD BE'!$AB$27+'TUSD BE'!$AD$27+'TUSD BE'!$AL$27</f>
        <v>21.65383161839949</v>
      </c>
      <c r="AP27" s="20">
        <f ca="1">+'TUSD BE'!$T$27+'TUSD BE'!$AB$27+'TUSD BE'!$AD$27+'TUSD BE'!$AL$27</f>
        <v>21.65383161839949</v>
      </c>
    </row>
    <row r="28" spans="1:42" ht="11.25" customHeight="1" x14ac:dyDescent="0.25">
      <c r="A28" s="107"/>
      <c r="B28" s="107"/>
      <c r="C28" s="107"/>
      <c r="D28" s="107"/>
      <c r="E28" s="107"/>
      <c r="F28" s="107"/>
      <c r="G28" s="18" t="s">
        <v>83</v>
      </c>
      <c r="H28" s="18" t="s">
        <v>82</v>
      </c>
      <c r="I28" s="18">
        <f>'MERCADO TUSD'!$U$25</f>
        <v>16471.927</v>
      </c>
      <c r="J28" s="15"/>
      <c r="L28" s="13">
        <f>'TUSD BE'!$L$28*'TUSD BE'!$L$75</f>
        <v>-2.4997990077352741</v>
      </c>
      <c r="M28" s="13">
        <f>'TUSD BE'!$M$28*'TUSD BE'!$M$75</f>
        <v>-1.1797016449375496E-2</v>
      </c>
      <c r="N28" s="13">
        <f ca="1">'TUSD BE'!$N$28*'TUSD BE'!$N$75</f>
        <v>-3.2958192208512526E-6</v>
      </c>
      <c r="O28" s="13">
        <f>'TUSD BE'!$O$28*'TUSD BE'!$O$75</f>
        <v>0</v>
      </c>
      <c r="P28" s="13">
        <f>'TUSD BE'!$P$28*'TUSD BE'!$P$75</f>
        <v>0</v>
      </c>
      <c r="Q28" s="13">
        <f>'TUSD BE'!$Q$28*'TUSD BE'!$Q$75</f>
        <v>-0.63486017403790784</v>
      </c>
      <c r="R28" s="13">
        <f>'TUSD BE'!$R$28*'TUSD BE'!$R$75</f>
        <v>-0.33555303906064865</v>
      </c>
      <c r="S28" s="13">
        <f>'TUSD BE'!$R$28*'TUSD BE'!$S$75</f>
        <v>0</v>
      </c>
      <c r="T28" s="13">
        <f ca="1">SUM($L$28:$S$28)</f>
        <v>-3.4820125331024268</v>
      </c>
      <c r="U28" s="13">
        <f>'TUSD BE'!$U$28*'TUSD BE'!$U$75</f>
        <v>0.804662576450347</v>
      </c>
      <c r="V28" s="13">
        <f>'TUSD BE'!$V$28*'TUSD BE'!$V$75</f>
        <v>1.123500708106266</v>
      </c>
      <c r="W28" s="13">
        <f>'TUSD BE'!$W$28*'TUSD BE'!$W$75</f>
        <v>-0.15883472326348846</v>
      </c>
      <c r="X28" s="13">
        <f>'TUSD BE'!$X$28*'TUSD BE'!$X$75</f>
        <v>0</v>
      </c>
      <c r="Y28" s="13">
        <f>'TUSD BE'!$Y$28*'TUSD BE'!$Y$75</f>
        <v>0</v>
      </c>
      <c r="Z28" s="13">
        <f>'TUSD BE'!$Z$28*'TUSD BE'!$Z$75</f>
        <v>0</v>
      </c>
      <c r="AA28" s="13">
        <f>'TUSD BE'!$AA$28*'TUSD BE'!$AA$75</f>
        <v>0</v>
      </c>
      <c r="AB28" s="13">
        <f>SUM($U$28:$AA$28)</f>
        <v>1.7693285612931247</v>
      </c>
      <c r="AC28" s="13">
        <f>'TUSD BE'!$AC$28*'TUSD BE'!$AC$75</f>
        <v>-1.8453946428099888</v>
      </c>
      <c r="AD28" s="13">
        <f>SUM($AC$28:$AC$28)</f>
        <v>-1.8453946428099888</v>
      </c>
      <c r="AE28" s="13">
        <f ca="1">$AO$28*$AO$72</f>
        <v>-141.41907859406092</v>
      </c>
      <c r="AF28" s="13">
        <f ca="1">$AP$28*$AP$72</f>
        <v>0</v>
      </c>
      <c r="AG28" s="13">
        <f ca="1">SUM($AE$28:$AF$28)</f>
        <v>-141.41907859406092</v>
      </c>
      <c r="AH28" s="13">
        <f>'TUSD BE'!$AH$28*'TUSD BE'!$AH$75</f>
        <v>1.8321686019025285</v>
      </c>
      <c r="AI28" s="13">
        <f>'TUSD BE'!$AI$28*'TUSD BE'!$AI$75</f>
        <v>8.4717766162181282E-2</v>
      </c>
      <c r="AJ28" s="13">
        <f ca="1">'TUSD BE'!$AJ$28*'TUSD BE'!$AJ$75</f>
        <v>2.4912978791329938</v>
      </c>
      <c r="AK28" s="13">
        <f ca="1">'TUSD BE'!$AK$28*'TUSD BE'!$AK$75</f>
        <v>-0.50078432683074769</v>
      </c>
      <c r="AL28" s="13">
        <f ca="1">SUM($AH$28:$AK$28)</f>
        <v>3.9073999203669558</v>
      </c>
      <c r="AM28" s="13">
        <f ca="1">SUMIF($L$4:$AL$4,"SUBTOTAL",$L$28:$AL$28)</f>
        <v>-141.06975728831327</v>
      </c>
      <c r="AO28" s="20">
        <f ca="1">+'TUSD BE'!$T$28+'TUSD BE'!$AB$28+'TUSD BE'!$AD$28+'TUSD BE'!$AL$28</f>
        <v>1577.7653483801957</v>
      </c>
      <c r="AP28" s="20">
        <f ca="1">+'TUSD BE'!$T$28+'TUSD BE'!$AB$28+'TUSD BE'!$AD$28+'TUSD BE'!$AL$28</f>
        <v>1577.7653483801957</v>
      </c>
    </row>
    <row r="29" spans="1:42" ht="11.25" customHeight="1" x14ac:dyDescent="0.25">
      <c r="A29" s="107"/>
      <c r="B29" s="107"/>
      <c r="C29" s="107"/>
      <c r="D29" s="107"/>
      <c r="E29" s="107"/>
      <c r="F29" s="107"/>
      <c r="G29" s="18" t="s">
        <v>84</v>
      </c>
      <c r="H29" s="18" t="s">
        <v>82</v>
      </c>
      <c r="I29" s="18">
        <f>'MERCADO TUSD'!$U$26</f>
        <v>200863.93899999998</v>
      </c>
      <c r="J29" s="15"/>
      <c r="L29" s="13">
        <f>'TUSD BE'!$L$29*'TUSD BE'!$L$75</f>
        <v>-2.4997990077352741</v>
      </c>
      <c r="M29" s="13">
        <f>'TUSD BE'!$M$29*'TUSD BE'!$M$75</f>
        <v>-1.1797016449375496E-2</v>
      </c>
      <c r="N29" s="13">
        <f ca="1">'TUSD BE'!$N$29*'TUSD BE'!$N$75</f>
        <v>-1.5870115531295013E-7</v>
      </c>
      <c r="O29" s="13">
        <f>'TUSD BE'!$O$29*'TUSD BE'!$O$75</f>
        <v>0</v>
      </c>
      <c r="P29" s="13">
        <f>'TUSD BE'!$P$29*'TUSD BE'!$P$75</f>
        <v>0</v>
      </c>
      <c r="Q29" s="13">
        <f>'TUSD BE'!$Q$29*'TUSD BE'!$Q$75</f>
        <v>-0.63486017403790784</v>
      </c>
      <c r="R29" s="13">
        <f>'TUSD BE'!$R$29*'TUSD BE'!$R$75</f>
        <v>-0.33555303906064865</v>
      </c>
      <c r="S29" s="13">
        <f>'TUSD BE'!$R$29*'TUSD BE'!$S$75</f>
        <v>0</v>
      </c>
      <c r="T29" s="13">
        <f ca="1">SUM($L$29:$S$29)</f>
        <v>-3.4820093959843614</v>
      </c>
      <c r="U29" s="13">
        <f>'TUSD BE'!$U$29*'TUSD BE'!$U$75</f>
        <v>0</v>
      </c>
      <c r="V29" s="13">
        <f>'TUSD BE'!$V$29*'TUSD BE'!$V$75</f>
        <v>0</v>
      </c>
      <c r="W29" s="13">
        <f>'TUSD BE'!$W$29*'TUSD BE'!$W$75</f>
        <v>0</v>
      </c>
      <c r="X29" s="13">
        <f>'TUSD BE'!$X$29*'TUSD BE'!$X$75</f>
        <v>0</v>
      </c>
      <c r="Y29" s="13">
        <f>'TUSD BE'!$Y$29*'TUSD BE'!$Y$75</f>
        <v>0</v>
      </c>
      <c r="Z29" s="13">
        <f>'TUSD BE'!$Z$29*'TUSD BE'!$Z$75</f>
        <v>0</v>
      </c>
      <c r="AA29" s="13">
        <f>'TUSD BE'!$AA$29*'TUSD BE'!$AA$75</f>
        <v>0</v>
      </c>
      <c r="AB29" s="13">
        <f>SUM($U$29:$AA$29)</f>
        <v>0</v>
      </c>
      <c r="AC29" s="13">
        <f>'TUSD BE'!$AC$29*'TUSD BE'!$AC$75</f>
        <v>0</v>
      </c>
      <c r="AD29" s="13">
        <f>SUM($AC$29:$AC$29)</f>
        <v>0</v>
      </c>
      <c r="AE29" s="13">
        <f ca="1">$AO$29*$AO$72</f>
        <v>-9.4494822089407879</v>
      </c>
      <c r="AF29" s="13">
        <f ca="1">$AP$29*$AP$72</f>
        <v>0</v>
      </c>
      <c r="AG29" s="13">
        <f ca="1">SUM($AE$29:$AF$29)</f>
        <v>-9.4494822089407879</v>
      </c>
      <c r="AH29" s="13">
        <f>'TUSD BE'!$AH$29*'TUSD BE'!$AH$75</f>
        <v>1.8321686019025285</v>
      </c>
      <c r="AI29" s="13">
        <f>'TUSD BE'!$AI$29*'TUSD BE'!$AI$75</f>
        <v>8.4717766162181282E-2</v>
      </c>
      <c r="AJ29" s="13">
        <f ca="1">'TUSD BE'!$AJ$29*'TUSD BE'!$AJ$75</f>
        <v>2.4912978791329938</v>
      </c>
      <c r="AK29" s="13">
        <f ca="1">'TUSD BE'!$AK$29*'TUSD BE'!$AK$75</f>
        <v>-0.50078432683074769</v>
      </c>
      <c r="AL29" s="13">
        <f ca="1">SUM($AH$29:$AK$29)</f>
        <v>3.9073999203669558</v>
      </c>
      <c r="AM29" s="13">
        <f ca="1">SUMIF($L$4:$AL$4,"SUBTOTAL",$L$29:$AL$29)</f>
        <v>-9.0240916845581935</v>
      </c>
      <c r="AO29" s="20">
        <f ca="1">+'TUSD BE'!$T$29+'TUSD BE'!$AB$29+'TUSD BE'!$AD$29+'TUSD BE'!$AL$29</f>
        <v>105.4247116981856</v>
      </c>
      <c r="AP29" s="20">
        <f ca="1">+'TUSD BE'!$T$29+'TUSD BE'!$AB$29+'TUSD BE'!$AD$29+'TUSD BE'!$AL$29</f>
        <v>105.4247116981856</v>
      </c>
    </row>
    <row r="30" spans="1:42" ht="11.25" customHeight="1" x14ac:dyDescent="0.25">
      <c r="A30" s="107"/>
      <c r="B30" s="107"/>
      <c r="C30" s="107"/>
      <c r="D30" s="107"/>
      <c r="E30" s="107" t="s">
        <v>89</v>
      </c>
      <c r="F30" s="107" t="s">
        <v>25</v>
      </c>
      <c r="G30" s="18" t="s">
        <v>83</v>
      </c>
      <c r="H30" s="18" t="s">
        <v>82</v>
      </c>
      <c r="I30" s="18">
        <f>'MERCADO TUSD'!$U$27</f>
        <v>0</v>
      </c>
      <c r="J30" s="15"/>
      <c r="L30" s="13">
        <f>'TUSD BE'!$L$30*'TUSD BE'!$L$75</f>
        <v>0</v>
      </c>
      <c r="M30" s="13">
        <f>'TUSD BE'!$M$30*'TUSD BE'!$M$75</f>
        <v>-1.1797016449375496E-2</v>
      </c>
      <c r="N30" s="13">
        <f ca="1">'TUSD BE'!$N$30*'TUSD BE'!$N$75</f>
        <v>-3.2931923209334127E-6</v>
      </c>
      <c r="O30" s="13">
        <f>'TUSD BE'!$O$30*'TUSD BE'!$O$75</f>
        <v>0</v>
      </c>
      <c r="P30" s="13">
        <f>'TUSD BE'!$P$30*'TUSD BE'!$P$75</f>
        <v>0</v>
      </c>
      <c r="Q30" s="13">
        <f>'TUSD BE'!$Q$30*'TUSD BE'!$Q$75</f>
        <v>0</v>
      </c>
      <c r="R30" s="13">
        <f>'TUSD BE'!$R$30*'TUSD BE'!$R$75</f>
        <v>0</v>
      </c>
      <c r="S30" s="13">
        <f>'TUSD BE'!$R$30*'TUSD BE'!$S$75</f>
        <v>0</v>
      </c>
      <c r="T30" s="13">
        <f ca="1">SUM($L$30:$S$30)</f>
        <v>-1.1800309641696429E-2</v>
      </c>
      <c r="U30" s="13">
        <f>'TUSD BE'!$U$30*'TUSD BE'!$U$75</f>
        <v>0.804662576450347</v>
      </c>
      <c r="V30" s="13">
        <f>'TUSD BE'!$V$30*'TUSD BE'!$V$75</f>
        <v>1.123500708106266</v>
      </c>
      <c r="W30" s="13">
        <f>'TUSD BE'!$W$30*'TUSD BE'!$W$75</f>
        <v>-0.15883472326348846</v>
      </c>
      <c r="X30" s="13">
        <f>'TUSD BE'!$X$30*'TUSD BE'!$X$75</f>
        <v>0</v>
      </c>
      <c r="Y30" s="13">
        <f>'TUSD BE'!$Y$30*'TUSD BE'!$Y$75</f>
        <v>0</v>
      </c>
      <c r="Z30" s="13">
        <f>'TUSD BE'!$Z$30*'TUSD BE'!$Z$75</f>
        <v>0</v>
      </c>
      <c r="AA30" s="13">
        <f>'TUSD BE'!$AA$30*'TUSD BE'!$AA$75</f>
        <v>0</v>
      </c>
      <c r="AB30" s="13">
        <f>SUM($U$30:$AA$30)</f>
        <v>1.7693285612931247</v>
      </c>
      <c r="AC30" s="13">
        <f>'TUSD BE'!$AC$30*'TUSD BE'!$AC$75</f>
        <v>-1.8453946428099888</v>
      </c>
      <c r="AD30" s="13">
        <f>SUM($AC$30:$AC$30)</f>
        <v>-1.8453946428099888</v>
      </c>
      <c r="AE30" s="13">
        <f ca="1">$AO$30*$AO$72</f>
        <v>-135.73760808687268</v>
      </c>
      <c r="AF30" s="13">
        <f ca="1">$AP$30*$AP$72</f>
        <v>0</v>
      </c>
      <c r="AG30" s="13">
        <f ca="1">SUM($AE$30:$AF$30)</f>
        <v>-135.73760808687268</v>
      </c>
      <c r="AH30" s="13">
        <f>'TUSD BE'!$AH$30*'TUSD BE'!$AH$75</f>
        <v>1.8321686019025285</v>
      </c>
      <c r="AI30" s="13">
        <f>'TUSD BE'!$AI$30*'TUSD BE'!$AI$75</f>
        <v>8.4717766162181282E-2</v>
      </c>
      <c r="AJ30" s="13">
        <f ca="1">'TUSD BE'!$AJ$30*'TUSD BE'!$AJ$75</f>
        <v>2.4912978791329938</v>
      </c>
      <c r="AK30" s="13">
        <f ca="1">'TUSD BE'!$AK$30*'TUSD BE'!$AK$75</f>
        <v>-0.50078432683074769</v>
      </c>
      <c r="AL30" s="13">
        <f ca="1">SUM($AH$30:$AK$30)</f>
        <v>3.9073999203669558</v>
      </c>
      <c r="AM30" s="13">
        <f ca="1">SUMIF($L$4:$AL$4,"SUBTOTAL",$L$30:$AL$30)</f>
        <v>-131.91807455766428</v>
      </c>
      <c r="AO30" s="20">
        <f ca="1">+'TUSD BE'!$T$30+'TUSD BE'!$AB$30+'TUSD BE'!$AD$30+'TUSD BE'!$AL$30</f>
        <v>1514.3790826570494</v>
      </c>
      <c r="AP30" s="20">
        <f ca="1">+'TUSD BE'!$T$30+'TUSD BE'!$AB$30+'TUSD BE'!$AD$30+'TUSD BE'!$AL$30</f>
        <v>1514.3790826570494</v>
      </c>
    </row>
    <row r="31" spans="1:42" ht="11.25" customHeight="1" x14ac:dyDescent="0.25">
      <c r="A31" s="107"/>
      <c r="B31" s="107"/>
      <c r="C31" s="107"/>
      <c r="D31" s="107"/>
      <c r="E31" s="107"/>
      <c r="F31" s="107"/>
      <c r="G31" s="18" t="s">
        <v>84</v>
      </c>
      <c r="H31" s="18" t="s">
        <v>82</v>
      </c>
      <c r="I31" s="18">
        <f>'MERCADO TUSD'!$U$28</f>
        <v>0</v>
      </c>
      <c r="J31" s="15"/>
      <c r="L31" s="13">
        <f>'TUSD BE'!$L$31*'TUSD BE'!$L$75</f>
        <v>0</v>
      </c>
      <c r="M31" s="13">
        <f>'TUSD BE'!$M$31*'TUSD BE'!$M$75</f>
        <v>-1.1797016449375496E-2</v>
      </c>
      <c r="N31" s="13">
        <f ca="1">'TUSD BE'!$N$31*'TUSD BE'!$N$75</f>
        <v>-1.5607425539511003E-7</v>
      </c>
      <c r="O31" s="13">
        <f>'TUSD BE'!$O$31*'TUSD BE'!$O$75</f>
        <v>0</v>
      </c>
      <c r="P31" s="13">
        <f>'TUSD BE'!$P$31*'TUSD BE'!$P$75</f>
        <v>0</v>
      </c>
      <c r="Q31" s="13">
        <f>'TUSD BE'!$Q$31*'TUSD BE'!$Q$75</f>
        <v>0</v>
      </c>
      <c r="R31" s="13">
        <f>'TUSD BE'!$R$31*'TUSD BE'!$R$75</f>
        <v>0</v>
      </c>
      <c r="S31" s="13">
        <f>'TUSD BE'!$R$31*'TUSD BE'!$S$75</f>
        <v>0</v>
      </c>
      <c r="T31" s="13">
        <f ca="1">SUM($L$31:$S$31)</f>
        <v>-1.179717252363089E-2</v>
      </c>
      <c r="U31" s="13">
        <f>'TUSD BE'!$U$31*'TUSD BE'!$U$75</f>
        <v>0</v>
      </c>
      <c r="V31" s="13">
        <f>'TUSD BE'!$V$31*'TUSD BE'!$V$75</f>
        <v>0</v>
      </c>
      <c r="W31" s="13">
        <f>'TUSD BE'!$W$31*'TUSD BE'!$W$75</f>
        <v>0</v>
      </c>
      <c r="X31" s="13">
        <f>'TUSD BE'!$X$31*'TUSD BE'!$X$75</f>
        <v>0</v>
      </c>
      <c r="Y31" s="13">
        <f>'TUSD BE'!$Y$31*'TUSD BE'!$Y$75</f>
        <v>0</v>
      </c>
      <c r="Z31" s="13">
        <f>'TUSD BE'!$Z$31*'TUSD BE'!$Z$75</f>
        <v>0</v>
      </c>
      <c r="AA31" s="13">
        <f>'TUSD BE'!$AA$31*'TUSD BE'!$AA$75</f>
        <v>0</v>
      </c>
      <c r="AB31" s="13">
        <f>SUM($U$31:$AA$31)</f>
        <v>0</v>
      </c>
      <c r="AC31" s="13">
        <f>'TUSD BE'!$AC$31*'TUSD BE'!$AC$75</f>
        <v>0</v>
      </c>
      <c r="AD31" s="13">
        <f>SUM($AC$31:$AC$31)</f>
        <v>0</v>
      </c>
      <c r="AE31" s="13">
        <f ca="1">$AO$31*$AO$72</f>
        <v>-3.7680117017525516</v>
      </c>
      <c r="AF31" s="13">
        <f ca="1">$AP$31*$AP$72</f>
        <v>0</v>
      </c>
      <c r="AG31" s="13">
        <f ca="1">SUM($AE$31:$AF$31)</f>
        <v>-3.7680117017525516</v>
      </c>
      <c r="AH31" s="13">
        <f>'TUSD BE'!$AH$31*'TUSD BE'!$AH$75</f>
        <v>1.8321686019025285</v>
      </c>
      <c r="AI31" s="13">
        <f>'TUSD BE'!$AI$31*'TUSD BE'!$AI$75</f>
        <v>8.4717766162181282E-2</v>
      </c>
      <c r="AJ31" s="13">
        <f ca="1">'TUSD BE'!$AJ$31*'TUSD BE'!$AJ$75</f>
        <v>2.4912978791329938</v>
      </c>
      <c r="AK31" s="13">
        <f ca="1">'TUSD BE'!$AK$31*'TUSD BE'!$AK$75</f>
        <v>-0.50078432683074769</v>
      </c>
      <c r="AL31" s="13">
        <f ca="1">SUM($AH$31:$AK$31)</f>
        <v>3.9073999203669558</v>
      </c>
      <c r="AM31" s="13">
        <f ca="1">SUMIF($L$4:$AL$4,"SUBTOTAL",$L$31:$AL$31)</f>
        <v>0.12759104609077321</v>
      </c>
      <c r="AO31" s="20">
        <f ca="1">+'TUSD BE'!$T$31+'TUSD BE'!$AB$31+'TUSD BE'!$AD$31+'TUSD BE'!$AL$31</f>
        <v>42.038445975039316</v>
      </c>
      <c r="AP31" s="20">
        <f ca="1">+'TUSD BE'!$T$31+'TUSD BE'!$AB$31+'TUSD BE'!$AD$31+'TUSD BE'!$AL$31</f>
        <v>42.038445975039316</v>
      </c>
    </row>
    <row r="32" spans="1:42" ht="11.25" customHeight="1" x14ac:dyDescent="0.25">
      <c r="A32" s="107" t="s">
        <v>95</v>
      </c>
      <c r="B32" s="107" t="s">
        <v>91</v>
      </c>
      <c r="C32" s="107" t="s">
        <v>25</v>
      </c>
      <c r="D32" s="107" t="s">
        <v>25</v>
      </c>
      <c r="E32" s="17" t="s">
        <v>96</v>
      </c>
      <c r="F32" s="17" t="s">
        <v>25</v>
      </c>
      <c r="G32" s="18" t="s">
        <v>9</v>
      </c>
      <c r="H32" s="18" t="s">
        <v>85</v>
      </c>
      <c r="I32" s="18">
        <f>'MERCADO TUSD'!$U$29+0.00000001</f>
        <v>1E-8</v>
      </c>
      <c r="J32" s="15"/>
      <c r="L32" s="13">
        <f>'TUSD BE'!$L$32*'TUSD BE'!$L$75</f>
        <v>0</v>
      </c>
      <c r="M32" s="13">
        <f>'TUSD BE'!$M$32*'TUSD BE'!$M$75</f>
        <v>-9.1206074575241242E-4</v>
      </c>
      <c r="N32" s="13">
        <f ca="1">'TUSD BE'!$N$32*'TUSD BE'!$N$75</f>
        <v>-3.3598049949174625E-8</v>
      </c>
      <c r="O32" s="13">
        <f>'TUSD BE'!$O$32*'TUSD BE'!$O$75</f>
        <v>0</v>
      </c>
      <c r="P32" s="13">
        <f>'TUSD BE'!$P$32*'TUSD BE'!$P$75</f>
        <v>0</v>
      </c>
      <c r="Q32" s="13">
        <f>'TUSD BE'!$Q$32*'TUSD BE'!$Q$75</f>
        <v>0</v>
      </c>
      <c r="R32" s="13">
        <f>'TUSD BE'!$R$32*'TUSD BE'!$R$75</f>
        <v>0</v>
      </c>
      <c r="S32" s="13">
        <f>'TUSD BE'!$R$32*'TUSD BE'!$S$75</f>
        <v>0</v>
      </c>
      <c r="T32" s="13">
        <f ca="1">SUM($L$32:$S$32)</f>
        <v>-9.1209434380236159E-4</v>
      </c>
      <c r="U32" s="13">
        <f>'TUSD BE'!$U$32*'TUSD BE'!$U$75</f>
        <v>0</v>
      </c>
      <c r="V32" s="13">
        <f>'TUSD BE'!$V$32*'TUSD BE'!$V$75</f>
        <v>0</v>
      </c>
      <c r="W32" s="13">
        <f>'TUSD BE'!$W$32*'TUSD BE'!$W$75</f>
        <v>0</v>
      </c>
      <c r="X32" s="13">
        <f>'TUSD BE'!$X$32*'TUSD BE'!$X$75</f>
        <v>0</v>
      </c>
      <c r="Y32" s="13">
        <f>'TUSD BE'!$Y$32*'TUSD BE'!$Y$75</f>
        <v>0</v>
      </c>
      <c r="Z32" s="13">
        <f>'TUSD BE'!$Z$32*'TUSD BE'!$Z$75</f>
        <v>0</v>
      </c>
      <c r="AA32" s="13">
        <f>'TUSD BE'!$AA$32*'TUSD BE'!$AA$75</f>
        <v>0</v>
      </c>
      <c r="AB32" s="13">
        <f>SUM($U$32:$AA$32)</f>
        <v>0</v>
      </c>
      <c r="AC32" s="13">
        <f>'TUSD BE'!$AC$32*'TUSD BE'!$AC$75</f>
        <v>-2.1841591097285579E-2</v>
      </c>
      <c r="AD32" s="13">
        <f>SUM($AC$32:$AC$32)</f>
        <v>-2.1841591097285579E-2</v>
      </c>
      <c r="AE32" s="13">
        <f ca="1">$AO$32*$AO$72</f>
        <v>-1.3879262955458576</v>
      </c>
      <c r="AF32" s="13">
        <f ca="1">$AP$32*$AP$72</f>
        <v>0</v>
      </c>
      <c r="AG32" s="13">
        <f ca="1">SUM($AE$32:$AF$32)</f>
        <v>-1.3879262955458576</v>
      </c>
      <c r="AH32" s="13">
        <f>'TUSD BE'!$AH$32*'TUSD BE'!$AH$75</f>
        <v>0</v>
      </c>
      <c r="AI32" s="13">
        <f>'TUSD BE'!$AI$32*'TUSD BE'!$AI$75</f>
        <v>0</v>
      </c>
      <c r="AJ32" s="13">
        <f ca="1">'TUSD BE'!$AJ$32*'TUSD BE'!$AJ$75</f>
        <v>0</v>
      </c>
      <c r="AK32" s="13">
        <f ca="1">'TUSD BE'!$AK$32*'TUSD BE'!$AK$75</f>
        <v>0</v>
      </c>
      <c r="AL32" s="13">
        <f ca="1">SUM($AH$32:$AK$32)</f>
        <v>0</v>
      </c>
      <c r="AM32" s="13">
        <f ca="1">SUMIF($L$4:$AL$4,"SUBTOTAL",$L$32:$AL$32)</f>
        <v>-1.4106799809869455</v>
      </c>
      <c r="AO32" s="20">
        <f ca="1">+'TUSD BE'!$T$32+'TUSD BE'!$AB$32+'TUSD BE'!$AD$32+'TUSD BE'!$AL$32</f>
        <v>15.484629351204873</v>
      </c>
      <c r="AP32" s="20">
        <f ca="1">+'TUSD BE'!$T$32+'TUSD BE'!$AB$32+'TUSD BE'!$AD$32+'TUSD BE'!$AL$32</f>
        <v>15.484629351204873</v>
      </c>
    </row>
    <row r="33" spans="1:42" ht="11.25" customHeight="1" x14ac:dyDescent="0.25">
      <c r="A33" s="107"/>
      <c r="B33" s="107"/>
      <c r="C33" s="107"/>
      <c r="D33" s="107"/>
      <c r="E33" s="17" t="s">
        <v>97</v>
      </c>
      <c r="F33" s="17" t="s">
        <v>25</v>
      </c>
      <c r="G33" s="18" t="s">
        <v>9</v>
      </c>
      <c r="H33" s="18" t="s">
        <v>85</v>
      </c>
      <c r="I33" s="18">
        <f>'MERCADO TUSD'!$U$30+0.00000001</f>
        <v>1E-8</v>
      </c>
      <c r="J33" s="15"/>
      <c r="L33" s="13">
        <f>'TUSD BE'!$L$33*'TUSD BE'!$L$75</f>
        <v>0</v>
      </c>
      <c r="M33" s="13">
        <f>'TUSD BE'!$M$33*'TUSD BE'!$M$75</f>
        <v>-9.1206074575241242E-4</v>
      </c>
      <c r="N33" s="13">
        <f ca="1">'TUSD BE'!$N$33*'TUSD BE'!$N$75</f>
        <v>-3.3598049949174625E-8</v>
      </c>
      <c r="O33" s="13">
        <f>'TUSD BE'!$O$33*'TUSD BE'!$O$75</f>
        <v>0</v>
      </c>
      <c r="P33" s="13">
        <f>'TUSD BE'!$P$33*'TUSD BE'!$P$75</f>
        <v>0</v>
      </c>
      <c r="Q33" s="13">
        <f>'TUSD BE'!$Q$33*'TUSD BE'!$Q$75</f>
        <v>0</v>
      </c>
      <c r="R33" s="13">
        <f>'TUSD BE'!$R$33*'TUSD BE'!$R$75</f>
        <v>0</v>
      </c>
      <c r="S33" s="13">
        <f>'TUSD BE'!$R$33*'TUSD BE'!$S$75</f>
        <v>0</v>
      </c>
      <c r="T33" s="13">
        <f ca="1">SUM($L$33:$S$33)</f>
        <v>-9.1209434380236159E-4</v>
      </c>
      <c r="U33" s="13">
        <f>'TUSD BE'!$U$33*'TUSD BE'!$U$75</f>
        <v>0</v>
      </c>
      <c r="V33" s="13">
        <f>'TUSD BE'!$V$33*'TUSD BE'!$V$75</f>
        <v>0</v>
      </c>
      <c r="W33" s="13">
        <f>'TUSD BE'!$W$33*'TUSD BE'!$W$75</f>
        <v>0</v>
      </c>
      <c r="X33" s="13">
        <f>'TUSD BE'!$X$33*'TUSD BE'!$X$75</f>
        <v>0</v>
      </c>
      <c r="Y33" s="13">
        <f>'TUSD BE'!$Y$33*'TUSD BE'!$Y$75</f>
        <v>0</v>
      </c>
      <c r="Z33" s="13">
        <f>'TUSD BE'!$Z$33*'TUSD BE'!$Z$75</f>
        <v>0</v>
      </c>
      <c r="AA33" s="13">
        <f>'TUSD BE'!$AA$33*'TUSD BE'!$AA$75</f>
        <v>0</v>
      </c>
      <c r="AB33" s="13">
        <f>SUM($U$33:$AA$33)</f>
        <v>0</v>
      </c>
      <c r="AC33" s="13">
        <f>'TUSD BE'!$AC$33*'TUSD BE'!$AC$75</f>
        <v>-4.8901705396836949E-2</v>
      </c>
      <c r="AD33" s="13">
        <f>SUM($AC$33:$AC$33)</f>
        <v>-4.8901705396836949E-2</v>
      </c>
      <c r="AE33" s="13">
        <f ca="1">$AO$33*$AO$72</f>
        <v>-3.0853890294906248</v>
      </c>
      <c r="AF33" s="13">
        <f ca="1">$AP$33*$AP$72</f>
        <v>0</v>
      </c>
      <c r="AG33" s="13">
        <f ca="1">SUM($AE$33:$AF$33)</f>
        <v>-3.0853890294906248</v>
      </c>
      <c r="AH33" s="13">
        <f>'TUSD BE'!$AH$33*'TUSD BE'!$AH$75</f>
        <v>0</v>
      </c>
      <c r="AI33" s="13">
        <f>'TUSD BE'!$AI$33*'TUSD BE'!$AI$75</f>
        <v>0</v>
      </c>
      <c r="AJ33" s="13">
        <f ca="1">'TUSD BE'!$AJ$33*'TUSD BE'!$AJ$75</f>
        <v>0</v>
      </c>
      <c r="AK33" s="13">
        <f ca="1">'TUSD BE'!$AK$33*'TUSD BE'!$AK$75</f>
        <v>0</v>
      </c>
      <c r="AL33" s="13">
        <f ca="1">SUM($AH$33:$AK$33)</f>
        <v>0</v>
      </c>
      <c r="AM33" s="13">
        <f ca="1">SUMIF($L$4:$AL$4,"SUBTOTAL",$L$33:$AL$33)</f>
        <v>-3.1352028292312641</v>
      </c>
      <c r="AO33" s="20">
        <f ca="1">+'TUSD BE'!$T$33+'TUSD BE'!$AB$33+'TUSD BE'!$AD$33+'TUSD BE'!$AL$33</f>
        <v>34.422653190777815</v>
      </c>
      <c r="AP33" s="20">
        <f ca="1">+'TUSD BE'!$T$33+'TUSD BE'!$AB$33+'TUSD BE'!$AD$33+'TUSD BE'!$AL$33</f>
        <v>34.422653190777815</v>
      </c>
    </row>
    <row r="34" spans="1:42" ht="11.25" customHeight="1" x14ac:dyDescent="0.25">
      <c r="A34" s="107" t="s">
        <v>22</v>
      </c>
      <c r="B34" s="107" t="s">
        <v>35</v>
      </c>
      <c r="C34" s="107" t="s">
        <v>24</v>
      </c>
      <c r="D34" s="107" t="s">
        <v>24</v>
      </c>
      <c r="E34" s="107" t="s">
        <v>25</v>
      </c>
      <c r="F34" s="107" t="s">
        <v>25</v>
      </c>
      <c r="G34" s="18" t="s">
        <v>83</v>
      </c>
      <c r="H34" s="18" t="s">
        <v>82</v>
      </c>
      <c r="I34" s="18">
        <f>'MERCADO TUSD'!$U$31</f>
        <v>51.442999999999998</v>
      </c>
      <c r="J34" s="15"/>
      <c r="L34" s="13">
        <f>'TUSD BE'!$L$34*'TUSD BE'!$L$75</f>
        <v>-2.9759511996848507</v>
      </c>
      <c r="M34" s="13">
        <f>'TUSD BE'!$M$34*'TUSD BE'!$M$75</f>
        <v>-2.1998172291990838E-2</v>
      </c>
      <c r="N34" s="13">
        <f ca="1">'TUSD BE'!$N$34*'TUSD BE'!$N$75</f>
        <v>-2.8111390520857098E-6</v>
      </c>
      <c r="O34" s="13">
        <f>'TUSD BE'!$O$34*'TUSD BE'!$O$75</f>
        <v>0</v>
      </c>
      <c r="P34" s="13">
        <f>'TUSD BE'!$P$34*'TUSD BE'!$P$75</f>
        <v>0</v>
      </c>
      <c r="Q34" s="13">
        <f>'TUSD BE'!$Q$34*'TUSD BE'!$Q$75</f>
        <v>-0.75578592147369994</v>
      </c>
      <c r="R34" s="13">
        <f>'TUSD BE'!$R$34*'TUSD BE'!$R$75</f>
        <v>-0.33555303906064865</v>
      </c>
      <c r="S34" s="13">
        <f>'TUSD BE'!$R$34*'TUSD BE'!$S$75</f>
        <v>0</v>
      </c>
      <c r="T34" s="13">
        <f ca="1">SUM($L$34:$S$34)</f>
        <v>-4.0892911436502422</v>
      </c>
      <c r="U34" s="13">
        <f>'TUSD BE'!$U$34*'TUSD BE'!$U$75</f>
        <v>0.46067728192953206</v>
      </c>
      <c r="V34" s="13">
        <f>'TUSD BE'!$V$34*'TUSD BE'!$V$75</f>
        <v>0.6696066290536522</v>
      </c>
      <c r="W34" s="13">
        <f>'TUSD BE'!$W$34*'TUSD BE'!$W$75</f>
        <v>-9.5069920820102169E-2</v>
      </c>
      <c r="X34" s="13">
        <f>'TUSD BE'!$X$34*'TUSD BE'!$X$75</f>
        <v>0</v>
      </c>
      <c r="Y34" s="13">
        <f>'TUSD BE'!$Y$34*'TUSD BE'!$Y$75</f>
        <v>0</v>
      </c>
      <c r="Z34" s="13">
        <f>'TUSD BE'!$Z$34*'TUSD BE'!$Z$75</f>
        <v>0</v>
      </c>
      <c r="AA34" s="13">
        <f>'TUSD BE'!$AA$34*'TUSD BE'!$AA$75</f>
        <v>0</v>
      </c>
      <c r="AB34" s="13">
        <f>SUM($U$34:$AA$34)</f>
        <v>1.0352139901630821</v>
      </c>
      <c r="AC34" s="13">
        <f>'TUSD BE'!$AC$34*'TUSD BE'!$AC$75</f>
        <v>-1.5377742235892331</v>
      </c>
      <c r="AD34" s="13">
        <f>SUM($AC$34:$AC$34)</f>
        <v>-1.5377742235892331</v>
      </c>
      <c r="AE34" s="13">
        <f ca="1">$AO$34*$AO$72</f>
        <v>-119.30607921261792</v>
      </c>
      <c r="AF34" s="13">
        <f ca="1">$AP$34*$AP$72</f>
        <v>0</v>
      </c>
      <c r="AG34" s="13">
        <f ca="1">SUM($AE$34:$AF$34)</f>
        <v>-119.30607921261792</v>
      </c>
      <c r="AH34" s="13">
        <f>'TUSD BE'!$AH$34*'TUSD BE'!$AH$75</f>
        <v>3.9228582529098137</v>
      </c>
      <c r="AI34" s="13">
        <f>'TUSD BE'!$AI$34*'TUSD BE'!$AI$75</f>
        <v>0.18138930435348485</v>
      </c>
      <c r="AJ34" s="13">
        <f ca="1">'TUSD BE'!$AJ$34*'TUSD BE'!$AJ$75</f>
        <v>3.7897006621286855</v>
      </c>
      <c r="AK34" s="13">
        <f ca="1">'TUSD BE'!$AK$34*'TUSD BE'!$AK$75</f>
        <v>-0.76178072115351414</v>
      </c>
      <c r="AL34" s="13">
        <f ca="1">SUM($AH$34:$AK$34)</f>
        <v>7.13216749823847</v>
      </c>
      <c r="AM34" s="13">
        <f ca="1">SUMIF($L$4:$AL$4,"SUBTOTAL",$L$34:$AL$34)</f>
        <v>-116.76576309145584</v>
      </c>
      <c r="AO34" s="20">
        <f ca="1">+'TUSD BE'!$T$34+'TUSD BE'!$AB$34+'TUSD BE'!$AD$34+'TUSD BE'!$AL$34</f>
        <v>1331.0580121448804</v>
      </c>
      <c r="AP34" s="20">
        <f ca="1">+'TUSD BE'!$T$34+'TUSD BE'!$AB$34+'TUSD BE'!$AD$34+'TUSD BE'!$AL$34</f>
        <v>1331.0580121448804</v>
      </c>
    </row>
    <row r="35" spans="1:42" ht="11.25" customHeight="1" x14ac:dyDescent="0.25">
      <c r="A35" s="107"/>
      <c r="B35" s="107"/>
      <c r="C35" s="107"/>
      <c r="D35" s="107"/>
      <c r="E35" s="107"/>
      <c r="F35" s="107"/>
      <c r="G35" s="18" t="s">
        <v>98</v>
      </c>
      <c r="H35" s="18" t="s">
        <v>82</v>
      </c>
      <c r="I35" s="18">
        <f>'MERCADO TUSD'!$U$32</f>
        <v>16.948999999999998</v>
      </c>
      <c r="J35" s="15"/>
      <c r="L35" s="13">
        <f>'TUSD BE'!$L$35*'TUSD BE'!$L$75</f>
        <v>-2.9759511996848507</v>
      </c>
      <c r="M35" s="13">
        <f>'TUSD BE'!$M$35*'TUSD BE'!$M$75</f>
        <v>-2.1998172291990838E-2</v>
      </c>
      <c r="N35" s="13">
        <f ca="1">'TUSD BE'!$N$35*'TUSD BE'!$N$75</f>
        <v>-1.796508152969692E-6</v>
      </c>
      <c r="O35" s="13">
        <f>'TUSD BE'!$O$35*'TUSD BE'!$O$75</f>
        <v>0</v>
      </c>
      <c r="P35" s="13">
        <f>'TUSD BE'!$P$35*'TUSD BE'!$P$75</f>
        <v>0</v>
      </c>
      <c r="Q35" s="13">
        <f>'TUSD BE'!$Q$35*'TUSD BE'!$Q$75</f>
        <v>-0.75578592147369994</v>
      </c>
      <c r="R35" s="13">
        <f>'TUSD BE'!$R$35*'TUSD BE'!$R$75</f>
        <v>-0.33555303906064865</v>
      </c>
      <c r="S35" s="13">
        <f>'TUSD BE'!$R$35*'TUSD BE'!$S$75</f>
        <v>0</v>
      </c>
      <c r="T35" s="13">
        <f ca="1">SUM($L$35:$S$35)</f>
        <v>-4.0892901290193429</v>
      </c>
      <c r="U35" s="13">
        <f>'TUSD BE'!$U$35*'TUSD BE'!$U$75</f>
        <v>0.27640636915771927</v>
      </c>
      <c r="V35" s="13">
        <f>'TUSD BE'!$V$35*'TUSD BE'!$V$75</f>
        <v>0.40176444793745886</v>
      </c>
      <c r="W35" s="13">
        <f>'TUSD BE'!$W$35*'TUSD BE'!$W$75</f>
        <v>-5.7041336395108291E-2</v>
      </c>
      <c r="X35" s="13">
        <f>'TUSD BE'!$X$35*'TUSD BE'!$X$75</f>
        <v>0</v>
      </c>
      <c r="Y35" s="13">
        <f>'TUSD BE'!$Y$35*'TUSD BE'!$Y$75</f>
        <v>0</v>
      </c>
      <c r="Z35" s="13">
        <f>'TUSD BE'!$Z$35*'TUSD BE'!$Z$75</f>
        <v>0</v>
      </c>
      <c r="AA35" s="13">
        <f>'TUSD BE'!$AA$35*'TUSD BE'!$AA$75</f>
        <v>0</v>
      </c>
      <c r="AB35" s="13">
        <f>SUM($U$35:$AA$35)</f>
        <v>0.62112948070006979</v>
      </c>
      <c r="AC35" s="13">
        <f>'TUSD BE'!$AC$35*'TUSD BE'!$AC$75</f>
        <v>-0.92266463704240409</v>
      </c>
      <c r="AD35" s="13">
        <f>SUM($AC$35:$AC$35)</f>
        <v>-0.92266463704240409</v>
      </c>
      <c r="AE35" s="13">
        <f ca="1">$AO$35*$AO$72</f>
        <v>-76.81653936491648</v>
      </c>
      <c r="AF35" s="13">
        <f ca="1">$AP$35*$AP$72</f>
        <v>0</v>
      </c>
      <c r="AG35" s="13">
        <f ca="1">SUM($AE$35:$AF$35)</f>
        <v>-76.81653936491648</v>
      </c>
      <c r="AH35" s="13">
        <f>'TUSD BE'!$AH$35*'TUSD BE'!$AH$75</f>
        <v>3.9228582529098137</v>
      </c>
      <c r="AI35" s="13">
        <f>'TUSD BE'!$AI$35*'TUSD BE'!$AI$75</f>
        <v>0.18138930435348485</v>
      </c>
      <c r="AJ35" s="13">
        <f ca="1">'TUSD BE'!$AJ$35*'TUSD BE'!$AJ$75</f>
        <v>3.7897006621286855</v>
      </c>
      <c r="AK35" s="13">
        <f ca="1">'TUSD BE'!$AK$35*'TUSD BE'!$AK$75</f>
        <v>-0.76178072115351414</v>
      </c>
      <c r="AL35" s="13">
        <f ca="1">SUM($AH$35:$AK$35)</f>
        <v>7.13216749823847</v>
      </c>
      <c r="AM35" s="13">
        <f ca="1">SUMIF($L$4:$AL$4,"SUBTOTAL",$L$35:$AL$35)</f>
        <v>-74.075197152039678</v>
      </c>
      <c r="AO35" s="20">
        <f ca="1">+'TUSD BE'!$T$35+'TUSD BE'!$AB$35+'TUSD BE'!$AD$35+'TUSD BE'!$AL$35</f>
        <v>857.01643086181411</v>
      </c>
      <c r="AP35" s="20">
        <f ca="1">+'TUSD BE'!$T$35+'TUSD BE'!$AB$35+'TUSD BE'!$AD$35+'TUSD BE'!$AL$35</f>
        <v>857.01643086181411</v>
      </c>
    </row>
    <row r="36" spans="1:42" ht="11.25" customHeight="1" x14ac:dyDescent="0.25">
      <c r="A36" s="107"/>
      <c r="B36" s="107"/>
      <c r="C36" s="107"/>
      <c r="D36" s="107"/>
      <c r="E36" s="107"/>
      <c r="F36" s="107"/>
      <c r="G36" s="18" t="s">
        <v>84</v>
      </c>
      <c r="H36" s="18" t="s">
        <v>82</v>
      </c>
      <c r="I36" s="18">
        <f>'MERCADO TUSD'!$U$33</f>
        <v>490.19600000000008</v>
      </c>
      <c r="J36" s="15"/>
      <c r="L36" s="13">
        <f>'TUSD BE'!$L$36*'TUSD BE'!$L$75</f>
        <v>-2.9759511996848507</v>
      </c>
      <c r="M36" s="13">
        <f>'TUSD BE'!$M$36*'TUSD BE'!$M$75</f>
        <v>-2.1998172291990838E-2</v>
      </c>
      <c r="N36" s="13">
        <f ca="1">'TUSD BE'!$N$36*'TUSD BE'!$N$75</f>
        <v>-7.8187699116368112E-7</v>
      </c>
      <c r="O36" s="13">
        <f>'TUSD BE'!$O$36*'TUSD BE'!$O$75</f>
        <v>0</v>
      </c>
      <c r="P36" s="13">
        <f>'TUSD BE'!$P$36*'TUSD BE'!$P$75</f>
        <v>0</v>
      </c>
      <c r="Q36" s="13">
        <f>'TUSD BE'!$Q$36*'TUSD BE'!$Q$75</f>
        <v>-0.75578592147369994</v>
      </c>
      <c r="R36" s="13">
        <f>'TUSD BE'!$R$36*'TUSD BE'!$R$75</f>
        <v>-0.33555303906064865</v>
      </c>
      <c r="S36" s="13">
        <f>'TUSD BE'!$R$36*'TUSD BE'!$S$75</f>
        <v>0</v>
      </c>
      <c r="T36" s="13">
        <f ca="1">SUM($L$36:$S$36)</f>
        <v>-4.0892891143881815</v>
      </c>
      <c r="U36" s="13">
        <f>'TUSD BE'!$U$36*'TUSD BE'!$U$75</f>
        <v>9.2135456385906422E-2</v>
      </c>
      <c r="V36" s="13">
        <f>'TUSD BE'!$V$36*'TUSD BE'!$V$75</f>
        <v>0.13392226682126548</v>
      </c>
      <c r="W36" s="13">
        <f>'TUSD BE'!$W$36*'TUSD BE'!$W$75</f>
        <v>-1.9012751970114403E-2</v>
      </c>
      <c r="X36" s="13">
        <f>'TUSD BE'!$X$36*'TUSD BE'!$X$75</f>
        <v>0</v>
      </c>
      <c r="Y36" s="13">
        <f>'TUSD BE'!$Y$36*'TUSD BE'!$Y$75</f>
        <v>0</v>
      </c>
      <c r="Z36" s="13">
        <f>'TUSD BE'!$Z$36*'TUSD BE'!$Z$75</f>
        <v>0</v>
      </c>
      <c r="AA36" s="13">
        <f>'TUSD BE'!$AA$36*'TUSD BE'!$AA$75</f>
        <v>0</v>
      </c>
      <c r="AB36" s="13">
        <f>SUM($U$36:$AA$36)</f>
        <v>0.20704497123705751</v>
      </c>
      <c r="AC36" s="13">
        <f>'TUSD BE'!$AC$36*'TUSD BE'!$AC$75</f>
        <v>-0.3075548790141347</v>
      </c>
      <c r="AD36" s="13">
        <f>SUM($AC$36:$AC$36)</f>
        <v>-0.3075548790141347</v>
      </c>
      <c r="AE36" s="13">
        <f ca="1">$AO$36*$AO$72</f>
        <v>-34.326988657457669</v>
      </c>
      <c r="AF36" s="13">
        <f ca="1">$AP$36*$AP$72</f>
        <v>0</v>
      </c>
      <c r="AG36" s="13">
        <f ca="1">SUM($AE$36:$AF$36)</f>
        <v>-34.326988657457669</v>
      </c>
      <c r="AH36" s="13">
        <f>'TUSD BE'!$AH$36*'TUSD BE'!$AH$75</f>
        <v>3.9228582529098137</v>
      </c>
      <c r="AI36" s="13">
        <f>'TUSD BE'!$AI$36*'TUSD BE'!$AI$75</f>
        <v>0.18138930435348485</v>
      </c>
      <c r="AJ36" s="13">
        <f ca="1">'TUSD BE'!$AJ$36*'TUSD BE'!$AJ$75</f>
        <v>3.7897006621286855</v>
      </c>
      <c r="AK36" s="13">
        <f ca="1">'TUSD BE'!$AK$36*'TUSD BE'!$AK$75</f>
        <v>-0.76178072115351414</v>
      </c>
      <c r="AL36" s="13">
        <f ca="1">SUM($AH$36:$AK$36)</f>
        <v>7.13216749823847</v>
      </c>
      <c r="AM36" s="13">
        <f ca="1">SUMIF($L$4:$AL$4,"SUBTOTAL",$L$36:$AL$36)</f>
        <v>-31.384620181384459</v>
      </c>
      <c r="AO36" s="20">
        <f ca="1">+'TUSD BE'!$T$36+'TUSD BE'!$AB$36+'TUSD BE'!$AD$36+'TUSD BE'!$AL$36</f>
        <v>382.97472842006795</v>
      </c>
      <c r="AP36" s="20">
        <f ca="1">+'TUSD BE'!$T$36+'TUSD BE'!$AB$36+'TUSD BE'!$AD$36+'TUSD BE'!$AL$36</f>
        <v>382.97472842006795</v>
      </c>
    </row>
    <row r="37" spans="1:42" ht="11.25" customHeight="1" x14ac:dyDescent="0.25">
      <c r="A37" s="107"/>
      <c r="B37" s="107" t="s">
        <v>23</v>
      </c>
      <c r="C37" s="107" t="s">
        <v>24</v>
      </c>
      <c r="D37" s="17" t="s">
        <v>24</v>
      </c>
      <c r="E37" s="17" t="s">
        <v>25</v>
      </c>
      <c r="F37" s="17" t="s">
        <v>25</v>
      </c>
      <c r="G37" s="18" t="s">
        <v>88</v>
      </c>
      <c r="H37" s="18" t="s">
        <v>82</v>
      </c>
      <c r="I37" s="18">
        <f>'MERCADO TUSD'!$U$34</f>
        <v>441318.25</v>
      </c>
      <c r="J37" s="15"/>
      <c r="L37" s="13">
        <f>'TUSD BE'!$L$37*'TUSD BE'!$L$75</f>
        <v>-2.9759511996848507</v>
      </c>
      <c r="M37" s="13">
        <f>'TUSD BE'!$M$37*'TUSD BE'!$M$75</f>
        <v>-2.1998172291990838E-2</v>
      </c>
      <c r="N37" s="13">
        <f ca="1">'TUSD BE'!$N$37*'TUSD BE'!$N$75</f>
        <v>-1.0798244455749631E-6</v>
      </c>
      <c r="O37" s="13">
        <f>'TUSD BE'!$O$37*'TUSD BE'!$O$75</f>
        <v>0</v>
      </c>
      <c r="P37" s="13">
        <f>'TUSD BE'!$P$37*'TUSD BE'!$P$75</f>
        <v>0</v>
      </c>
      <c r="Q37" s="13">
        <f>'TUSD BE'!$Q$37*'TUSD BE'!$Q$75</f>
        <v>-0.75578592147369994</v>
      </c>
      <c r="R37" s="13">
        <f>'TUSD BE'!$R$37*'TUSD BE'!$R$75</f>
        <v>-0.33555303906064865</v>
      </c>
      <c r="S37" s="13">
        <f>'TUSD BE'!$R$37*'TUSD BE'!$S$75</f>
        <v>0</v>
      </c>
      <c r="T37" s="13">
        <f ca="1">SUM($L$37:$S$37)</f>
        <v>-4.0892894123356358</v>
      </c>
      <c r="U37" s="13">
        <f>'TUSD BE'!$U$37*'TUSD BE'!$U$75</f>
        <v>0.14624714816123341</v>
      </c>
      <c r="V37" s="13">
        <f>'TUSD BE'!$V$37*'TUSD BE'!$V$75</f>
        <v>0.21257427986666341</v>
      </c>
      <c r="W37" s="13">
        <f>'TUSD BE'!$W$37*'TUSD BE'!$W$75</f>
        <v>-3.0182589728318356E-2</v>
      </c>
      <c r="X37" s="13">
        <f>'TUSD BE'!$X$37*'TUSD BE'!$X$75</f>
        <v>0</v>
      </c>
      <c r="Y37" s="13">
        <f>'TUSD BE'!$Y$37*'TUSD BE'!$Y$75</f>
        <v>0</v>
      </c>
      <c r="Z37" s="13">
        <f>'TUSD BE'!$Z$37*'TUSD BE'!$Z$75</f>
        <v>0</v>
      </c>
      <c r="AA37" s="13">
        <f>'TUSD BE'!$AA$37*'TUSD BE'!$AA$75</f>
        <v>0</v>
      </c>
      <c r="AB37" s="13">
        <f>SUM($U$37:$AA$37)</f>
        <v>0.32863883829957852</v>
      </c>
      <c r="AC37" s="13">
        <f>'TUSD BE'!$AC$37*'TUSD BE'!$AC$75</f>
        <v>-0.48818228231522048</v>
      </c>
      <c r="AD37" s="13">
        <f>SUM($AC$37:$AC$37)</f>
        <v>-0.48818228231522048</v>
      </c>
      <c r="AE37" s="13">
        <f ca="1">$AO$37*$AO$72</f>
        <v>-46.804090771278901</v>
      </c>
      <c r="AF37" s="13">
        <f ca="1">$AP$37*$AP$72</f>
        <v>0</v>
      </c>
      <c r="AG37" s="13">
        <f ca="1">SUM($AE$37:$AF$37)</f>
        <v>-46.804090771278901</v>
      </c>
      <c r="AH37" s="13">
        <f>'TUSD BE'!$AH$37*'TUSD BE'!$AH$75</f>
        <v>3.9228582529098137</v>
      </c>
      <c r="AI37" s="13">
        <f>'TUSD BE'!$AI$37*'TUSD BE'!$AI$75</f>
        <v>0.18138930435348485</v>
      </c>
      <c r="AJ37" s="13">
        <f ca="1">'TUSD BE'!$AJ$37*'TUSD BE'!$AJ$75</f>
        <v>3.7897006621286855</v>
      </c>
      <c r="AK37" s="13">
        <f ca="1">'TUSD BE'!$AK$37*'TUSD BE'!$AK$75</f>
        <v>-0.76178072115351414</v>
      </c>
      <c r="AL37" s="13">
        <f ca="1">SUM($AH$37:$AK$37)</f>
        <v>7.13216749823847</v>
      </c>
      <c r="AM37" s="13">
        <f ca="1">SUMIF($L$4:$AL$4,"SUBTOTAL",$L$37:$AL$37)</f>
        <v>-43.920756129391705</v>
      </c>
      <c r="AO37" s="20">
        <f ca="1">+'TUSD BE'!$T$37+'TUSD BE'!$AB$37+'TUSD BE'!$AD$37+'TUSD BE'!$AL$37</f>
        <v>522.17758251231044</v>
      </c>
      <c r="AP37" s="20">
        <f ca="1">+'TUSD BE'!$T$37+'TUSD BE'!$AB$37+'TUSD BE'!$AD$37+'TUSD BE'!$AL$37</f>
        <v>522.17758251231044</v>
      </c>
    </row>
    <row r="38" spans="1:42" ht="11.25" customHeight="1" x14ac:dyDescent="0.25">
      <c r="A38" s="107"/>
      <c r="B38" s="107"/>
      <c r="C38" s="107"/>
      <c r="D38" s="17" t="s">
        <v>31</v>
      </c>
      <c r="E38" s="17" t="s">
        <v>25</v>
      </c>
      <c r="F38" s="17" t="s">
        <v>25</v>
      </c>
      <c r="G38" s="18" t="s">
        <v>88</v>
      </c>
      <c r="H38" s="18" t="s">
        <v>82</v>
      </c>
      <c r="I38" s="18">
        <f>'MERCADO TUSD'!$U$35</f>
        <v>23008.194</v>
      </c>
      <c r="J38" s="15"/>
      <c r="L38" s="13">
        <f>'TUSD BE'!$L$38*'TUSD BE'!$L$75</f>
        <v>0</v>
      </c>
      <c r="M38" s="13">
        <f>'TUSD BE'!$M$38*'TUSD BE'!$M$75</f>
        <v>-2.1998172291990838E-2</v>
      </c>
      <c r="N38" s="13">
        <f ca="1">'TUSD BE'!$N$38*'TUSD BE'!$N$75</f>
        <v>-1.077197545657123E-6</v>
      </c>
      <c r="O38" s="13">
        <f>'TUSD BE'!$O$38*'TUSD BE'!$O$75</f>
        <v>0</v>
      </c>
      <c r="P38" s="13">
        <f>'TUSD BE'!$P$38*'TUSD BE'!$P$75</f>
        <v>0</v>
      </c>
      <c r="Q38" s="13">
        <f>'TUSD BE'!$Q$38*'TUSD BE'!$Q$75</f>
        <v>0</v>
      </c>
      <c r="R38" s="13">
        <f>'TUSD BE'!$R$38*'TUSD BE'!$R$75</f>
        <v>0</v>
      </c>
      <c r="S38" s="13">
        <f>'TUSD BE'!$R$38*'TUSD BE'!$S$75</f>
        <v>0</v>
      </c>
      <c r="T38" s="13">
        <f ca="1">SUM($L$38:$S$38)</f>
        <v>-2.1999249489536493E-2</v>
      </c>
      <c r="U38" s="13">
        <f>'TUSD BE'!$U$38*'TUSD BE'!$U$75</f>
        <v>0.14624714816123341</v>
      </c>
      <c r="V38" s="13">
        <f>'TUSD BE'!$V$38*'TUSD BE'!$V$75</f>
        <v>0.21257427986666341</v>
      </c>
      <c r="W38" s="13">
        <f>'TUSD BE'!$W$38*'TUSD BE'!$W$75</f>
        <v>-3.0182589728318356E-2</v>
      </c>
      <c r="X38" s="13">
        <f>'TUSD BE'!$X$38*'TUSD BE'!$X$75</f>
        <v>0</v>
      </c>
      <c r="Y38" s="13">
        <f>'TUSD BE'!$Y$38*'TUSD BE'!$Y$75</f>
        <v>0</v>
      </c>
      <c r="Z38" s="13">
        <f>'TUSD BE'!$Z$38*'TUSD BE'!$Z$75</f>
        <v>0</v>
      </c>
      <c r="AA38" s="13">
        <f>'TUSD BE'!$AA$38*'TUSD BE'!$AA$75</f>
        <v>0</v>
      </c>
      <c r="AB38" s="13">
        <f>SUM($U$38:$AA$38)</f>
        <v>0.32863883829957852</v>
      </c>
      <c r="AC38" s="13">
        <f>'TUSD BE'!$AC$38*'TUSD BE'!$AC$75</f>
        <v>-0.48818228231522048</v>
      </c>
      <c r="AD38" s="13">
        <f>SUM($AC$38:$AC$38)</f>
        <v>-0.48818228231522048</v>
      </c>
      <c r="AE38" s="13">
        <f ca="1">$AO$38*$AO$72</f>
        <v>-40.275996537305012</v>
      </c>
      <c r="AF38" s="13">
        <f ca="1">$AP$38*$AP$72</f>
        <v>0</v>
      </c>
      <c r="AG38" s="13">
        <f ca="1">SUM($AE$38:$AF$38)</f>
        <v>-40.275996537305012</v>
      </c>
      <c r="AH38" s="13">
        <f>'TUSD BE'!$AH$38*'TUSD BE'!$AH$75</f>
        <v>3.9228582529098137</v>
      </c>
      <c r="AI38" s="13">
        <f>'TUSD BE'!$AI$38*'TUSD BE'!$AI$75</f>
        <v>0.18138930435348485</v>
      </c>
      <c r="AJ38" s="13">
        <f ca="1">'TUSD BE'!$AJ$38*'TUSD BE'!$AJ$75</f>
        <v>3.7897006621286855</v>
      </c>
      <c r="AK38" s="13">
        <f ca="1">'TUSD BE'!$AK$38*'TUSD BE'!$AK$75</f>
        <v>-0.76178072115351414</v>
      </c>
      <c r="AL38" s="13">
        <f ca="1">SUM($AH$38:$AK$38)</f>
        <v>7.13216749823847</v>
      </c>
      <c r="AM38" s="13">
        <f ca="1">SUMIF($L$4:$AL$4,"SUBTOTAL",$L$38:$AL$38)</f>
        <v>-33.325371732571725</v>
      </c>
      <c r="AO38" s="20">
        <f ca="1">+'TUSD BE'!$T$38+'TUSD BE'!$AB$38+'TUSD BE'!$AD$38+'TUSD BE'!$AL$38</f>
        <v>449.34581910583387</v>
      </c>
      <c r="AP38" s="20">
        <f ca="1">+'TUSD BE'!$T$38+'TUSD BE'!$AB$38+'TUSD BE'!$AD$38+'TUSD BE'!$AL$38</f>
        <v>449.34581910583387</v>
      </c>
    </row>
    <row r="39" spans="1:42" ht="11.25" customHeight="1" x14ac:dyDescent="0.25">
      <c r="A39" s="107"/>
      <c r="B39" s="107"/>
      <c r="C39" s="107"/>
      <c r="D39" s="17" t="s">
        <v>32</v>
      </c>
      <c r="E39" s="17" t="s">
        <v>25</v>
      </c>
      <c r="F39" s="17" t="s">
        <v>25</v>
      </c>
      <c r="G39" s="18" t="s">
        <v>88</v>
      </c>
      <c r="H39" s="18" t="s">
        <v>82</v>
      </c>
      <c r="I39" s="18">
        <f>'MERCADO TUSD'!$U$36</f>
        <v>43669.588000000003</v>
      </c>
      <c r="J39" s="15"/>
      <c r="L39" s="13">
        <f>'TUSD BE'!$L$39*'TUSD BE'!$L$75</f>
        <v>0</v>
      </c>
      <c r="M39" s="13">
        <f>'TUSD BE'!$M$39*'TUSD BE'!$M$75</f>
        <v>-2.1998172291990838E-2</v>
      </c>
      <c r="N39" s="13">
        <f ca="1">'TUSD BE'!$N$39*'TUSD BE'!$N$75</f>
        <v>-1.077197545657123E-6</v>
      </c>
      <c r="O39" s="13">
        <f>'TUSD BE'!$O$39*'TUSD BE'!$O$75</f>
        <v>0</v>
      </c>
      <c r="P39" s="13">
        <f>'TUSD BE'!$P$39*'TUSD BE'!$P$75</f>
        <v>0</v>
      </c>
      <c r="Q39" s="13">
        <f>'TUSD BE'!$Q$39*'TUSD BE'!$Q$75</f>
        <v>0</v>
      </c>
      <c r="R39" s="13">
        <f>'TUSD BE'!$R$39*'TUSD BE'!$R$75</f>
        <v>0</v>
      </c>
      <c r="S39" s="13">
        <f>'TUSD BE'!$R$39*'TUSD BE'!$S$75</f>
        <v>0</v>
      </c>
      <c r="T39" s="13">
        <f ca="1">SUM($L$39:$S$39)</f>
        <v>-2.1999249489536493E-2</v>
      </c>
      <c r="U39" s="13">
        <f>'TUSD BE'!$U$39*'TUSD BE'!$U$75</f>
        <v>0.14624714816123341</v>
      </c>
      <c r="V39" s="13">
        <f>'TUSD BE'!$V$39*'TUSD BE'!$V$75</f>
        <v>0.21257427986666341</v>
      </c>
      <c r="W39" s="13">
        <f>'TUSD BE'!$W$39*'TUSD BE'!$W$75</f>
        <v>-3.0182589728318356E-2</v>
      </c>
      <c r="X39" s="13">
        <f>'TUSD BE'!$X$39*'TUSD BE'!$X$75</f>
        <v>0</v>
      </c>
      <c r="Y39" s="13">
        <f>'TUSD BE'!$Y$39*'TUSD BE'!$Y$75</f>
        <v>0</v>
      </c>
      <c r="Z39" s="13">
        <f>'TUSD BE'!$Z$39*'TUSD BE'!$Z$75</f>
        <v>0</v>
      </c>
      <c r="AA39" s="13">
        <f>'TUSD BE'!$AA$39*'TUSD BE'!$AA$75</f>
        <v>0</v>
      </c>
      <c r="AB39" s="13">
        <f>SUM($U$39:$AA$39)</f>
        <v>0.32863883829957852</v>
      </c>
      <c r="AC39" s="13">
        <f>'TUSD BE'!$AC$39*'TUSD BE'!$AC$75</f>
        <v>-0.48818228231522048</v>
      </c>
      <c r="AD39" s="13">
        <f>SUM($AC$39:$AC$39)</f>
        <v>-0.48818228231522048</v>
      </c>
      <c r="AE39" s="13">
        <f ca="1">$AO$39*$AO$72</f>
        <v>-40.275996537305012</v>
      </c>
      <c r="AF39" s="13">
        <f ca="1">$AP$39*$AP$72</f>
        <v>0</v>
      </c>
      <c r="AG39" s="13">
        <f ca="1">SUM($AE$39:$AF$39)</f>
        <v>-40.275996537305012</v>
      </c>
      <c r="AH39" s="13">
        <f>'TUSD BE'!$AH$39*'TUSD BE'!$AH$75</f>
        <v>3.9228582529098137</v>
      </c>
      <c r="AI39" s="13">
        <f>'TUSD BE'!$AI$39*'TUSD BE'!$AI$75</f>
        <v>0.18138930435348485</v>
      </c>
      <c r="AJ39" s="13">
        <f ca="1">'TUSD BE'!$AJ$39*'TUSD BE'!$AJ$75</f>
        <v>3.7897006621286855</v>
      </c>
      <c r="AK39" s="13">
        <f ca="1">'TUSD BE'!$AK$39*'TUSD BE'!$AK$75</f>
        <v>-0.76178072115351414</v>
      </c>
      <c r="AL39" s="13">
        <f ca="1">SUM($AH$39:$AK$39)</f>
        <v>7.13216749823847</v>
      </c>
      <c r="AM39" s="13">
        <f ca="1">SUMIF($L$4:$AL$4,"SUBTOTAL",$L$39:$AL$39)</f>
        <v>-33.325371732571725</v>
      </c>
      <c r="AO39" s="20">
        <f ca="1">+'TUSD BE'!$T$39+'TUSD BE'!$AB$39+'TUSD BE'!$AD$39+'TUSD BE'!$AL$39</f>
        <v>449.34581910583387</v>
      </c>
      <c r="AP39" s="20">
        <f ca="1">+'TUSD BE'!$T$39+'TUSD BE'!$AB$39+'TUSD BE'!$AD$39+'TUSD BE'!$AL$39</f>
        <v>449.34581910583387</v>
      </c>
    </row>
    <row r="40" spans="1:42" ht="11.25" customHeight="1" x14ac:dyDescent="0.25">
      <c r="A40" s="107"/>
      <c r="B40" s="107"/>
      <c r="C40" s="107"/>
      <c r="D40" s="17" t="s">
        <v>33</v>
      </c>
      <c r="E40" s="17" t="s">
        <v>25</v>
      </c>
      <c r="F40" s="17" t="s">
        <v>25</v>
      </c>
      <c r="G40" s="18" t="s">
        <v>88</v>
      </c>
      <c r="H40" s="18" t="s">
        <v>82</v>
      </c>
      <c r="I40" s="18">
        <f>'MERCADO TUSD'!$U$37</f>
        <v>35563.447</v>
      </c>
      <c r="J40" s="15"/>
      <c r="L40" s="13">
        <f>'TUSD BE'!$L$40*'TUSD BE'!$L$75</f>
        <v>0</v>
      </c>
      <c r="M40" s="13">
        <f>'TUSD BE'!$M$40*'TUSD BE'!$M$75</f>
        <v>-2.1998172291990838E-2</v>
      </c>
      <c r="N40" s="13">
        <f ca="1">'TUSD BE'!$N$40*'TUSD BE'!$N$75</f>
        <v>-1.077197545657123E-6</v>
      </c>
      <c r="O40" s="13">
        <f>'TUSD BE'!$O$40*'TUSD BE'!$O$75</f>
        <v>0</v>
      </c>
      <c r="P40" s="13">
        <f>'TUSD BE'!$P$40*'TUSD BE'!$P$75</f>
        <v>0</v>
      </c>
      <c r="Q40" s="13">
        <f>'TUSD BE'!$Q$40*'TUSD BE'!$Q$75</f>
        <v>0</v>
      </c>
      <c r="R40" s="13">
        <f>'TUSD BE'!$R$40*'TUSD BE'!$R$75</f>
        <v>0</v>
      </c>
      <c r="S40" s="13">
        <f>'TUSD BE'!$R$40*'TUSD BE'!$S$75</f>
        <v>0</v>
      </c>
      <c r="T40" s="13">
        <f ca="1">SUM($L$40:$S$40)</f>
        <v>-2.1999249489536493E-2</v>
      </c>
      <c r="U40" s="13">
        <f>'TUSD BE'!$U$40*'TUSD BE'!$U$75</f>
        <v>0.14624714816123341</v>
      </c>
      <c r="V40" s="13">
        <f>'TUSD BE'!$V$40*'TUSD BE'!$V$75</f>
        <v>0.21257427986666341</v>
      </c>
      <c r="W40" s="13">
        <f>'TUSD BE'!$W$40*'TUSD BE'!$W$75</f>
        <v>-3.0182589728318356E-2</v>
      </c>
      <c r="X40" s="13">
        <f>'TUSD BE'!$X$40*'TUSD BE'!$X$75</f>
        <v>0</v>
      </c>
      <c r="Y40" s="13">
        <f>'TUSD BE'!$Y$40*'TUSD BE'!$Y$75</f>
        <v>0</v>
      </c>
      <c r="Z40" s="13">
        <f>'TUSD BE'!$Z$40*'TUSD BE'!$Z$75</f>
        <v>0</v>
      </c>
      <c r="AA40" s="13">
        <f>'TUSD BE'!$AA$40*'TUSD BE'!$AA$75</f>
        <v>0</v>
      </c>
      <c r="AB40" s="13">
        <f>SUM($U$40:$AA$40)</f>
        <v>0.32863883829957852</v>
      </c>
      <c r="AC40" s="13">
        <f>'TUSD BE'!$AC$40*'TUSD BE'!$AC$75</f>
        <v>-0.48818228231522048</v>
      </c>
      <c r="AD40" s="13">
        <f>SUM($AC$40:$AC$40)</f>
        <v>-0.48818228231522048</v>
      </c>
      <c r="AE40" s="13">
        <f ca="1">$AO$40*$AO$72</f>
        <v>-40.275996537305012</v>
      </c>
      <c r="AF40" s="13">
        <f ca="1">$AP$40*$AP$72</f>
        <v>0</v>
      </c>
      <c r="AG40" s="13">
        <f ca="1">SUM($AE$40:$AF$40)</f>
        <v>-40.275996537305012</v>
      </c>
      <c r="AH40" s="13">
        <f>'TUSD BE'!$AH$40*'TUSD BE'!$AH$75</f>
        <v>3.9228582529098137</v>
      </c>
      <c r="AI40" s="13">
        <f>'TUSD BE'!$AI$40*'TUSD BE'!$AI$75</f>
        <v>0.18138930435348485</v>
      </c>
      <c r="AJ40" s="13">
        <f ca="1">'TUSD BE'!$AJ$40*'TUSD BE'!$AJ$75</f>
        <v>3.7897006621286855</v>
      </c>
      <c r="AK40" s="13">
        <f ca="1">'TUSD BE'!$AK$40*'TUSD BE'!$AK$75</f>
        <v>-0.76178072115351414</v>
      </c>
      <c r="AL40" s="13">
        <f ca="1">SUM($AH$40:$AK$40)</f>
        <v>7.13216749823847</v>
      </c>
      <c r="AM40" s="13">
        <f ca="1">SUMIF($L$4:$AL$4,"SUBTOTAL",$L$40:$AL$40)</f>
        <v>-33.325371732571725</v>
      </c>
      <c r="AO40" s="20">
        <f ca="1">+'TUSD BE'!$T$40+'TUSD BE'!$AB$40+'TUSD BE'!$AD$40+'TUSD BE'!$AL$40</f>
        <v>449.34581910583387</v>
      </c>
      <c r="AP40" s="20">
        <f ca="1">+'TUSD BE'!$T$40+'TUSD BE'!$AB$40+'TUSD BE'!$AD$40+'TUSD BE'!$AL$40</f>
        <v>449.34581910583387</v>
      </c>
    </row>
    <row r="41" spans="1:42" ht="11.25" customHeight="1" x14ac:dyDescent="0.25">
      <c r="A41" s="107"/>
      <c r="B41" s="107"/>
      <c r="C41" s="107"/>
      <c r="D41" s="17" t="s">
        <v>34</v>
      </c>
      <c r="E41" s="17" t="s">
        <v>25</v>
      </c>
      <c r="F41" s="17" t="s">
        <v>25</v>
      </c>
      <c r="G41" s="18" t="s">
        <v>88</v>
      </c>
      <c r="H41" s="18" t="s">
        <v>82</v>
      </c>
      <c r="I41" s="18">
        <f>'MERCADO TUSD'!$U$38</f>
        <v>18122.502</v>
      </c>
      <c r="J41" s="15"/>
      <c r="L41" s="13">
        <f>'TUSD BE'!$L$41*'TUSD BE'!$L$75</f>
        <v>0</v>
      </c>
      <c r="M41" s="13">
        <f>'TUSD BE'!$M$41*'TUSD BE'!$M$75</f>
        <v>-2.1998172291990838E-2</v>
      </c>
      <c r="N41" s="13">
        <f ca="1">'TUSD BE'!$N$41*'TUSD BE'!$N$75</f>
        <v>-1.077197545657123E-6</v>
      </c>
      <c r="O41" s="13">
        <f>'TUSD BE'!$O$41*'TUSD BE'!$O$75</f>
        <v>0</v>
      </c>
      <c r="P41" s="13">
        <f>'TUSD BE'!$P$41*'TUSD BE'!$P$75</f>
        <v>0</v>
      </c>
      <c r="Q41" s="13">
        <f>'TUSD BE'!$Q$41*'TUSD BE'!$Q$75</f>
        <v>0</v>
      </c>
      <c r="R41" s="13">
        <f>'TUSD BE'!$R$41*'TUSD BE'!$R$75</f>
        <v>0</v>
      </c>
      <c r="S41" s="13">
        <f>'TUSD BE'!$R$41*'TUSD BE'!$S$75</f>
        <v>0</v>
      </c>
      <c r="T41" s="13">
        <f ca="1">SUM($L$41:$S$41)</f>
        <v>-2.1999249489536493E-2</v>
      </c>
      <c r="U41" s="13">
        <f>'TUSD BE'!$U$41*'TUSD BE'!$U$75</f>
        <v>0.14624714816123341</v>
      </c>
      <c r="V41" s="13">
        <f>'TUSD BE'!$V$41*'TUSD BE'!$V$75</f>
        <v>0.21257427986666341</v>
      </c>
      <c r="W41" s="13">
        <f>'TUSD BE'!$W$41*'TUSD BE'!$W$75</f>
        <v>-3.0182589728318356E-2</v>
      </c>
      <c r="X41" s="13">
        <f>'TUSD BE'!$X$41*'TUSD BE'!$X$75</f>
        <v>0</v>
      </c>
      <c r="Y41" s="13">
        <f>'TUSD BE'!$Y$41*'TUSD BE'!$Y$75</f>
        <v>0</v>
      </c>
      <c r="Z41" s="13">
        <f>'TUSD BE'!$Z$41*'TUSD BE'!$Z$75</f>
        <v>0</v>
      </c>
      <c r="AA41" s="13">
        <f>'TUSD BE'!$AA$41*'TUSD BE'!$AA$75</f>
        <v>0</v>
      </c>
      <c r="AB41" s="13">
        <f>SUM($U$41:$AA$41)</f>
        <v>0.32863883829957852</v>
      </c>
      <c r="AC41" s="13">
        <f>'TUSD BE'!$AC$41*'TUSD BE'!$AC$75</f>
        <v>-0.48818228231522048</v>
      </c>
      <c r="AD41" s="13">
        <f>SUM($AC$41:$AC$41)</f>
        <v>-0.48818228231522048</v>
      </c>
      <c r="AE41" s="13">
        <f ca="1">$AO$41*$AO$72</f>
        <v>-40.275996537305012</v>
      </c>
      <c r="AF41" s="13">
        <f ca="1">$AP$41*$AP$72</f>
        <v>0</v>
      </c>
      <c r="AG41" s="13">
        <f ca="1">SUM($AE$41:$AF$41)</f>
        <v>-40.275996537305012</v>
      </c>
      <c r="AH41" s="13">
        <f>'TUSD BE'!$AH$41*'TUSD BE'!$AH$75</f>
        <v>3.9228582529098137</v>
      </c>
      <c r="AI41" s="13">
        <f>'TUSD BE'!$AI$41*'TUSD BE'!$AI$75</f>
        <v>0.18138930435348485</v>
      </c>
      <c r="AJ41" s="13">
        <f ca="1">'TUSD BE'!$AJ$41*'TUSD BE'!$AJ$75</f>
        <v>3.7897006621286855</v>
      </c>
      <c r="AK41" s="13">
        <f ca="1">'TUSD BE'!$AK$41*'TUSD BE'!$AK$75</f>
        <v>-0.76178072115351414</v>
      </c>
      <c r="AL41" s="13">
        <f ca="1">SUM($AH$41:$AK$41)</f>
        <v>7.13216749823847</v>
      </c>
      <c r="AM41" s="13">
        <f ca="1">SUMIF($L$4:$AL$4,"SUBTOTAL",$L$41:$AL$41)</f>
        <v>-33.325371732571725</v>
      </c>
      <c r="AO41" s="20">
        <f ca="1">+'TUSD BE'!$T$41+'TUSD BE'!$AB$41+'TUSD BE'!$AD$41+'TUSD BE'!$AL$41</f>
        <v>449.34581910583387</v>
      </c>
      <c r="AP41" s="20">
        <f ca="1">+'TUSD BE'!$T$41+'TUSD BE'!$AB$41+'TUSD BE'!$AD$41+'TUSD BE'!$AL$41</f>
        <v>449.34581910583387</v>
      </c>
    </row>
    <row r="42" spans="1:42" ht="11.25" customHeight="1" x14ac:dyDescent="0.25">
      <c r="A42" s="107"/>
      <c r="B42" s="107" t="s">
        <v>100</v>
      </c>
      <c r="C42" s="107" t="s">
        <v>24</v>
      </c>
      <c r="D42" s="17" t="s">
        <v>24</v>
      </c>
      <c r="E42" s="17" t="s">
        <v>25</v>
      </c>
      <c r="F42" s="17" t="s">
        <v>25</v>
      </c>
      <c r="G42" s="18" t="s">
        <v>88</v>
      </c>
      <c r="H42" s="18" t="s">
        <v>82</v>
      </c>
      <c r="I42" s="18">
        <f>'MERCADO TUSD'!$U$39</f>
        <v>0</v>
      </c>
      <c r="J42" s="15"/>
      <c r="L42" s="13">
        <f>'TUSD BE'!$L$42*'TUSD BE'!$L$75</f>
        <v>-2.9759511996848507</v>
      </c>
      <c r="M42" s="13">
        <f>'TUSD BE'!$M$42*'TUSD BE'!$M$75</f>
        <v>-2.1998172291990838E-2</v>
      </c>
      <c r="N42" s="13">
        <f ca="1">'TUSD BE'!$N$42*'TUSD BE'!$N$75</f>
        <v>-1.0798244455749631E-6</v>
      </c>
      <c r="O42" s="13">
        <f>'TUSD BE'!$O$42*'TUSD BE'!$O$75</f>
        <v>0</v>
      </c>
      <c r="P42" s="13">
        <f>'TUSD BE'!$P$42*'TUSD BE'!$P$75</f>
        <v>0</v>
      </c>
      <c r="Q42" s="13">
        <f>'TUSD BE'!$Q$42*'TUSD BE'!$Q$75</f>
        <v>-0.75578592147369994</v>
      </c>
      <c r="R42" s="13">
        <f>'TUSD BE'!$R$42*'TUSD BE'!$R$75</f>
        <v>-0.33555303906064865</v>
      </c>
      <c r="S42" s="13">
        <f>'TUSD BE'!$R$42*'TUSD BE'!$S$75</f>
        <v>0</v>
      </c>
      <c r="T42" s="13">
        <f ca="1">SUM($L$42:$S$42)</f>
        <v>-4.0892894123356358</v>
      </c>
      <c r="U42" s="13">
        <f>'TUSD BE'!$U$42*'TUSD BE'!$U$75</f>
        <v>0.14624714816123341</v>
      </c>
      <c r="V42" s="13">
        <f>'TUSD BE'!$V$42*'TUSD BE'!$V$75</f>
        <v>0.21257427986666341</v>
      </c>
      <c r="W42" s="13">
        <f>'TUSD BE'!$W$42*'TUSD BE'!$W$75</f>
        <v>-3.0182589728318356E-2</v>
      </c>
      <c r="X42" s="13">
        <f>'TUSD BE'!$X$42*'TUSD BE'!$X$75</f>
        <v>0</v>
      </c>
      <c r="Y42" s="13">
        <f>'TUSD BE'!$Y$42*'TUSD BE'!$Y$75</f>
        <v>0</v>
      </c>
      <c r="Z42" s="13">
        <f>'TUSD BE'!$Z$42*'TUSD BE'!$Z$75</f>
        <v>0</v>
      </c>
      <c r="AA42" s="13">
        <f>'TUSD BE'!$AA$42*'TUSD BE'!$AA$75</f>
        <v>0</v>
      </c>
      <c r="AB42" s="13">
        <f>SUM($U$42:$AA$42)</f>
        <v>0.32863883829957852</v>
      </c>
      <c r="AC42" s="13">
        <f>'TUSD BE'!$AC$42*'TUSD BE'!$AC$75</f>
        <v>-0.48818228231522048</v>
      </c>
      <c r="AD42" s="13">
        <f>SUM($AC$42:$AC$42)</f>
        <v>-0.48818228231522048</v>
      </c>
      <c r="AE42" s="13">
        <f ca="1">$AO$42*$AO$72</f>
        <v>-46.804090771278901</v>
      </c>
      <c r="AF42" s="13">
        <f ca="1">$AP$42*$AP$72</f>
        <v>0</v>
      </c>
      <c r="AG42" s="13">
        <f ca="1">SUM($AE$42:$AF$42)</f>
        <v>-46.804090771278901</v>
      </c>
      <c r="AH42" s="13">
        <f>'TUSD BE'!$AH$42*'TUSD BE'!$AH$75</f>
        <v>3.9228582529098137</v>
      </c>
      <c r="AI42" s="13">
        <f>'TUSD BE'!$AI$42*'TUSD BE'!$AI$75</f>
        <v>0.18138930435348485</v>
      </c>
      <c r="AJ42" s="13">
        <f ca="1">'TUSD BE'!$AJ$42*'TUSD BE'!$AJ$75</f>
        <v>3.7897006621286855</v>
      </c>
      <c r="AK42" s="13">
        <f ca="1">'TUSD BE'!$AK$42*'TUSD BE'!$AK$75</f>
        <v>-0.76178072115351414</v>
      </c>
      <c r="AL42" s="13">
        <f ca="1">SUM($AH$42:$AK$42)</f>
        <v>7.13216749823847</v>
      </c>
      <c r="AM42" s="13">
        <f ca="1">SUMIF($L$4:$AL$4,"SUBTOTAL",$L$42:$AL$42)</f>
        <v>-43.920756129391705</v>
      </c>
      <c r="AO42" s="20">
        <f ca="1">+'TUSD BE'!$T$42+'TUSD BE'!$AB$42+'TUSD BE'!$AD$42+'TUSD BE'!$AL$42</f>
        <v>522.17758251231044</v>
      </c>
      <c r="AP42" s="20">
        <f ca="1">+'TUSD BE'!$T$42+'TUSD BE'!$AB$42+'TUSD BE'!$AD$42+'TUSD BE'!$AL$42</f>
        <v>522.17758251231044</v>
      </c>
    </row>
    <row r="43" spans="1:42" ht="11.25" customHeight="1" x14ac:dyDescent="0.25">
      <c r="A43" s="107"/>
      <c r="B43" s="107"/>
      <c r="C43" s="107"/>
      <c r="D43" s="17" t="s">
        <v>31</v>
      </c>
      <c r="E43" s="17" t="s">
        <v>25</v>
      </c>
      <c r="F43" s="17" t="s">
        <v>25</v>
      </c>
      <c r="G43" s="18" t="s">
        <v>88</v>
      </c>
      <c r="H43" s="18" t="s">
        <v>82</v>
      </c>
      <c r="I43" s="18">
        <f>'MERCADO TUSD'!$U$40</f>
        <v>0</v>
      </c>
      <c r="J43" s="15"/>
      <c r="L43" s="13">
        <f>'TUSD BE'!$L$43*'TUSD BE'!$L$75</f>
        <v>0</v>
      </c>
      <c r="M43" s="13">
        <f>'TUSD BE'!$M$43*'TUSD BE'!$M$75</f>
        <v>-2.1998172291990838E-2</v>
      </c>
      <c r="N43" s="13">
        <f ca="1">'TUSD BE'!$N$43*'TUSD BE'!$N$75</f>
        <v>-1.077197545657123E-6</v>
      </c>
      <c r="O43" s="13">
        <f>'TUSD BE'!$O$43*'TUSD BE'!$O$75</f>
        <v>0</v>
      </c>
      <c r="P43" s="13">
        <f>'TUSD BE'!$P$43*'TUSD BE'!$P$75</f>
        <v>0</v>
      </c>
      <c r="Q43" s="13">
        <f>'TUSD BE'!$Q$43*'TUSD BE'!$Q$75</f>
        <v>0</v>
      </c>
      <c r="R43" s="13">
        <f>'TUSD BE'!$R$43*'TUSD BE'!$R$75</f>
        <v>0</v>
      </c>
      <c r="S43" s="13">
        <f>'TUSD BE'!$R$43*'TUSD BE'!$S$75</f>
        <v>0</v>
      </c>
      <c r="T43" s="13">
        <f ca="1">SUM($L$43:$S$43)</f>
        <v>-2.1999249489536493E-2</v>
      </c>
      <c r="U43" s="13">
        <f>'TUSD BE'!$U$43*'TUSD BE'!$U$75</f>
        <v>0.14624714816123341</v>
      </c>
      <c r="V43" s="13">
        <f>'TUSD BE'!$V$43*'TUSD BE'!$V$75</f>
        <v>0.21257427986666341</v>
      </c>
      <c r="W43" s="13">
        <f>'TUSD BE'!$W$43*'TUSD BE'!$W$75</f>
        <v>-3.0182589728318356E-2</v>
      </c>
      <c r="X43" s="13">
        <f>'TUSD BE'!$X$43*'TUSD BE'!$X$75</f>
        <v>0</v>
      </c>
      <c r="Y43" s="13">
        <f>'TUSD BE'!$Y$43*'TUSD BE'!$Y$75</f>
        <v>0</v>
      </c>
      <c r="Z43" s="13">
        <f>'TUSD BE'!$Z$43*'TUSD BE'!$Z$75</f>
        <v>0</v>
      </c>
      <c r="AA43" s="13">
        <f>'TUSD BE'!$AA$43*'TUSD BE'!$AA$75</f>
        <v>0</v>
      </c>
      <c r="AB43" s="13">
        <f>SUM($U$43:$AA$43)</f>
        <v>0.32863883829957852</v>
      </c>
      <c r="AC43" s="13">
        <f>'TUSD BE'!$AC$43*'TUSD BE'!$AC$75</f>
        <v>-0.48818228231522048</v>
      </c>
      <c r="AD43" s="13">
        <f>SUM($AC$43:$AC$43)</f>
        <v>-0.48818228231522048</v>
      </c>
      <c r="AE43" s="13">
        <f ca="1">$AO$43*$AO$72</f>
        <v>-40.275996537305012</v>
      </c>
      <c r="AF43" s="13">
        <f ca="1">$AP$43*$AP$72</f>
        <v>0</v>
      </c>
      <c r="AG43" s="13">
        <f ca="1">SUM($AE$43:$AF$43)</f>
        <v>-40.275996537305012</v>
      </c>
      <c r="AH43" s="13">
        <f>'TUSD BE'!$AH$43*'TUSD BE'!$AH$75</f>
        <v>3.9228582529098137</v>
      </c>
      <c r="AI43" s="13">
        <f>'TUSD BE'!$AI$43*'TUSD BE'!$AI$75</f>
        <v>0.18138930435348485</v>
      </c>
      <c r="AJ43" s="13">
        <f ca="1">'TUSD BE'!$AJ$43*'TUSD BE'!$AJ$75</f>
        <v>3.7897006621286855</v>
      </c>
      <c r="AK43" s="13">
        <f ca="1">'TUSD BE'!$AK$43*'TUSD BE'!$AK$75</f>
        <v>-0.76178072115351414</v>
      </c>
      <c r="AL43" s="13">
        <f ca="1">SUM($AH$43:$AK$43)</f>
        <v>7.13216749823847</v>
      </c>
      <c r="AM43" s="13">
        <f ca="1">SUMIF($L$4:$AL$4,"SUBTOTAL",$L$43:$AL$43)</f>
        <v>-33.325371732571725</v>
      </c>
      <c r="AO43" s="20">
        <f ca="1">+'TUSD BE'!$T$43+'TUSD BE'!$AB$43+'TUSD BE'!$AD$43+'TUSD BE'!$AL$43</f>
        <v>449.34581910583387</v>
      </c>
      <c r="AP43" s="20">
        <f ca="1">+'TUSD BE'!$T$43+'TUSD BE'!$AB$43+'TUSD BE'!$AD$43+'TUSD BE'!$AL$43</f>
        <v>449.34581910583387</v>
      </c>
    </row>
    <row r="44" spans="1:42" ht="11.25" customHeight="1" x14ac:dyDescent="0.25">
      <c r="A44" s="107"/>
      <c r="B44" s="107"/>
      <c r="C44" s="107"/>
      <c r="D44" s="17" t="s">
        <v>32</v>
      </c>
      <c r="E44" s="17" t="s">
        <v>25</v>
      </c>
      <c r="F44" s="17" t="s">
        <v>25</v>
      </c>
      <c r="G44" s="18" t="s">
        <v>88</v>
      </c>
      <c r="H44" s="18" t="s">
        <v>82</v>
      </c>
      <c r="I44" s="18">
        <f>'MERCADO TUSD'!$U$41</f>
        <v>0</v>
      </c>
      <c r="J44" s="15"/>
      <c r="L44" s="13">
        <f>'TUSD BE'!$L$44*'TUSD BE'!$L$75</f>
        <v>0</v>
      </c>
      <c r="M44" s="13">
        <f>'TUSD BE'!$M$44*'TUSD BE'!$M$75</f>
        <v>-2.1998172291990838E-2</v>
      </c>
      <c r="N44" s="13">
        <f ca="1">'TUSD BE'!$N$44*'TUSD BE'!$N$75</f>
        <v>-1.077197545657123E-6</v>
      </c>
      <c r="O44" s="13">
        <f>'TUSD BE'!$O$44*'TUSD BE'!$O$75</f>
        <v>0</v>
      </c>
      <c r="P44" s="13">
        <f>'TUSD BE'!$P$44*'TUSD BE'!$P$75</f>
        <v>0</v>
      </c>
      <c r="Q44" s="13">
        <f>'TUSD BE'!$Q$44*'TUSD BE'!$Q$75</f>
        <v>0</v>
      </c>
      <c r="R44" s="13">
        <f>'TUSD BE'!$R$44*'TUSD BE'!$R$75</f>
        <v>0</v>
      </c>
      <c r="S44" s="13">
        <f>'TUSD BE'!$R$44*'TUSD BE'!$S$75</f>
        <v>0</v>
      </c>
      <c r="T44" s="13">
        <f ca="1">SUM($L$44:$S$44)</f>
        <v>-2.1999249489536493E-2</v>
      </c>
      <c r="U44" s="13">
        <f>'TUSD BE'!$U$44*'TUSD BE'!$U$75</f>
        <v>0.14624714816123341</v>
      </c>
      <c r="V44" s="13">
        <f>'TUSD BE'!$V$44*'TUSD BE'!$V$75</f>
        <v>0.21257427986666341</v>
      </c>
      <c r="W44" s="13">
        <f>'TUSD BE'!$W$44*'TUSD BE'!$W$75</f>
        <v>-3.0182589728318356E-2</v>
      </c>
      <c r="X44" s="13">
        <f>'TUSD BE'!$X$44*'TUSD BE'!$X$75</f>
        <v>0</v>
      </c>
      <c r="Y44" s="13">
        <f>'TUSD BE'!$Y$44*'TUSD BE'!$Y$75</f>
        <v>0</v>
      </c>
      <c r="Z44" s="13">
        <f>'TUSD BE'!$Z$44*'TUSD BE'!$Z$75</f>
        <v>0</v>
      </c>
      <c r="AA44" s="13">
        <f>'TUSD BE'!$AA$44*'TUSD BE'!$AA$75</f>
        <v>0</v>
      </c>
      <c r="AB44" s="13">
        <f>SUM($U$44:$AA$44)</f>
        <v>0.32863883829957852</v>
      </c>
      <c r="AC44" s="13">
        <f>'TUSD BE'!$AC$44*'TUSD BE'!$AC$75</f>
        <v>-0.48818228231522048</v>
      </c>
      <c r="AD44" s="13">
        <f>SUM($AC$44:$AC$44)</f>
        <v>-0.48818228231522048</v>
      </c>
      <c r="AE44" s="13">
        <f ca="1">$AO$44*$AO$72</f>
        <v>-40.275996537305012</v>
      </c>
      <c r="AF44" s="13">
        <f ca="1">$AP$44*$AP$72</f>
        <v>0</v>
      </c>
      <c r="AG44" s="13">
        <f ca="1">SUM($AE$44:$AF$44)</f>
        <v>-40.275996537305012</v>
      </c>
      <c r="AH44" s="13">
        <f>'TUSD BE'!$AH$44*'TUSD BE'!$AH$75</f>
        <v>3.9228582529098137</v>
      </c>
      <c r="AI44" s="13">
        <f>'TUSD BE'!$AI$44*'TUSD BE'!$AI$75</f>
        <v>0.18138930435348485</v>
      </c>
      <c r="AJ44" s="13">
        <f ca="1">'TUSD BE'!$AJ$44*'TUSD BE'!$AJ$75</f>
        <v>3.7897006621286855</v>
      </c>
      <c r="AK44" s="13">
        <f ca="1">'TUSD BE'!$AK$44*'TUSD BE'!$AK$75</f>
        <v>-0.76178072115351414</v>
      </c>
      <c r="AL44" s="13">
        <f ca="1">SUM($AH$44:$AK$44)</f>
        <v>7.13216749823847</v>
      </c>
      <c r="AM44" s="13">
        <f ca="1">SUMIF($L$4:$AL$4,"SUBTOTAL",$L$44:$AL$44)</f>
        <v>-33.325371732571725</v>
      </c>
      <c r="AO44" s="20">
        <f ca="1">+'TUSD BE'!$T$44+'TUSD BE'!$AB$44+'TUSD BE'!$AD$44+'TUSD BE'!$AL$44</f>
        <v>449.34581910583387</v>
      </c>
      <c r="AP44" s="20">
        <f ca="1">+'TUSD BE'!$T$44+'TUSD BE'!$AB$44+'TUSD BE'!$AD$44+'TUSD BE'!$AL$44</f>
        <v>449.34581910583387</v>
      </c>
    </row>
    <row r="45" spans="1:42" ht="11.25" customHeight="1" x14ac:dyDescent="0.25">
      <c r="A45" s="107"/>
      <c r="B45" s="107"/>
      <c r="C45" s="107"/>
      <c r="D45" s="17" t="s">
        <v>33</v>
      </c>
      <c r="E45" s="17" t="s">
        <v>25</v>
      </c>
      <c r="F45" s="17" t="s">
        <v>25</v>
      </c>
      <c r="G45" s="18" t="s">
        <v>88</v>
      </c>
      <c r="H45" s="18" t="s">
        <v>82</v>
      </c>
      <c r="I45" s="18">
        <f>'MERCADO TUSD'!$U$42</f>
        <v>0</v>
      </c>
      <c r="J45" s="15"/>
      <c r="L45" s="13">
        <f>'TUSD BE'!$L$45*'TUSD BE'!$L$75</f>
        <v>0</v>
      </c>
      <c r="M45" s="13">
        <f>'TUSD BE'!$M$45*'TUSD BE'!$M$75</f>
        <v>-2.1998172291990838E-2</v>
      </c>
      <c r="N45" s="13">
        <f ca="1">'TUSD BE'!$N$45*'TUSD BE'!$N$75</f>
        <v>-1.077197545657123E-6</v>
      </c>
      <c r="O45" s="13">
        <f>'TUSD BE'!$O$45*'TUSD BE'!$O$75</f>
        <v>0</v>
      </c>
      <c r="P45" s="13">
        <f>'TUSD BE'!$P$45*'TUSD BE'!$P$75</f>
        <v>0</v>
      </c>
      <c r="Q45" s="13">
        <f>'TUSD BE'!$Q$45*'TUSD BE'!$Q$75</f>
        <v>0</v>
      </c>
      <c r="R45" s="13">
        <f>'TUSD BE'!$R$45*'TUSD BE'!$R$75</f>
        <v>0</v>
      </c>
      <c r="S45" s="13">
        <f>'TUSD BE'!$R$45*'TUSD BE'!$S$75</f>
        <v>0</v>
      </c>
      <c r="T45" s="13">
        <f ca="1">SUM($L$45:$S$45)</f>
        <v>-2.1999249489536493E-2</v>
      </c>
      <c r="U45" s="13">
        <f>'TUSD BE'!$U$45*'TUSD BE'!$U$75</f>
        <v>0.14624714816123341</v>
      </c>
      <c r="V45" s="13">
        <f>'TUSD BE'!$V$45*'TUSD BE'!$V$75</f>
        <v>0.21257427986666341</v>
      </c>
      <c r="W45" s="13">
        <f>'TUSD BE'!$W$45*'TUSD BE'!$W$75</f>
        <v>-3.0182589728318356E-2</v>
      </c>
      <c r="X45" s="13">
        <f>'TUSD BE'!$X$45*'TUSD BE'!$X$75</f>
        <v>0</v>
      </c>
      <c r="Y45" s="13">
        <f>'TUSD BE'!$Y$45*'TUSD BE'!$Y$75</f>
        <v>0</v>
      </c>
      <c r="Z45" s="13">
        <f>'TUSD BE'!$Z$45*'TUSD BE'!$Z$75</f>
        <v>0</v>
      </c>
      <c r="AA45" s="13">
        <f>'TUSD BE'!$AA$45*'TUSD BE'!$AA$75</f>
        <v>0</v>
      </c>
      <c r="AB45" s="13">
        <f>SUM($U$45:$AA$45)</f>
        <v>0.32863883829957852</v>
      </c>
      <c r="AC45" s="13">
        <f>'TUSD BE'!$AC$45*'TUSD BE'!$AC$75</f>
        <v>-0.48818228231522048</v>
      </c>
      <c r="AD45" s="13">
        <f>SUM($AC$45:$AC$45)</f>
        <v>-0.48818228231522048</v>
      </c>
      <c r="AE45" s="13">
        <f ca="1">$AO$45*$AO$72</f>
        <v>-40.275996537305012</v>
      </c>
      <c r="AF45" s="13">
        <f ca="1">$AP$45*$AP$72</f>
        <v>0</v>
      </c>
      <c r="AG45" s="13">
        <f ca="1">SUM($AE$45:$AF$45)</f>
        <v>-40.275996537305012</v>
      </c>
      <c r="AH45" s="13">
        <f>'TUSD BE'!$AH$45*'TUSD BE'!$AH$75</f>
        <v>3.9228582529098137</v>
      </c>
      <c r="AI45" s="13">
        <f>'TUSD BE'!$AI$45*'TUSD BE'!$AI$75</f>
        <v>0.18138930435348485</v>
      </c>
      <c r="AJ45" s="13">
        <f ca="1">'TUSD BE'!$AJ$45*'TUSD BE'!$AJ$75</f>
        <v>3.7897006621286855</v>
      </c>
      <c r="AK45" s="13">
        <f ca="1">'TUSD BE'!$AK$45*'TUSD BE'!$AK$75</f>
        <v>-0.76178072115351414</v>
      </c>
      <c r="AL45" s="13">
        <f ca="1">SUM($AH$45:$AK$45)</f>
        <v>7.13216749823847</v>
      </c>
      <c r="AM45" s="13">
        <f ca="1">SUMIF($L$4:$AL$4,"SUBTOTAL",$L$45:$AL$45)</f>
        <v>-33.325371732571725</v>
      </c>
      <c r="AO45" s="20">
        <f ca="1">+'TUSD BE'!$T$45+'TUSD BE'!$AB$45+'TUSD BE'!$AD$45+'TUSD BE'!$AL$45</f>
        <v>449.34581910583387</v>
      </c>
      <c r="AP45" s="20">
        <f ca="1">+'TUSD BE'!$T$45+'TUSD BE'!$AB$45+'TUSD BE'!$AD$45+'TUSD BE'!$AL$45</f>
        <v>449.34581910583387</v>
      </c>
    </row>
    <row r="46" spans="1:42" ht="11.25" customHeight="1" x14ac:dyDescent="0.25">
      <c r="A46" s="107"/>
      <c r="B46" s="107"/>
      <c r="C46" s="107"/>
      <c r="D46" s="17" t="s">
        <v>34</v>
      </c>
      <c r="E46" s="17" t="s">
        <v>25</v>
      </c>
      <c r="F46" s="17" t="s">
        <v>25</v>
      </c>
      <c r="G46" s="18" t="s">
        <v>88</v>
      </c>
      <c r="H46" s="18" t="s">
        <v>82</v>
      </c>
      <c r="I46" s="18">
        <f>'MERCADO TUSD'!$U$43</f>
        <v>0</v>
      </c>
      <c r="J46" s="15"/>
      <c r="L46" s="13">
        <f>'TUSD BE'!$L$46*'TUSD BE'!$L$75</f>
        <v>0</v>
      </c>
      <c r="M46" s="13">
        <f>'TUSD BE'!$M$46*'TUSD BE'!$M$75</f>
        <v>-2.1998172291990838E-2</v>
      </c>
      <c r="N46" s="13">
        <f ca="1">'TUSD BE'!$N$46*'TUSD BE'!$N$75</f>
        <v>-1.077197545657123E-6</v>
      </c>
      <c r="O46" s="13">
        <f>'TUSD BE'!$O$46*'TUSD BE'!$O$75</f>
        <v>0</v>
      </c>
      <c r="P46" s="13">
        <f>'TUSD BE'!$P$46*'TUSD BE'!$P$75</f>
        <v>0</v>
      </c>
      <c r="Q46" s="13">
        <f>'TUSD BE'!$Q$46*'TUSD BE'!$Q$75</f>
        <v>0</v>
      </c>
      <c r="R46" s="13">
        <f>'TUSD BE'!$R$46*'TUSD BE'!$R$75</f>
        <v>0</v>
      </c>
      <c r="S46" s="13">
        <f>'TUSD BE'!$R$46*'TUSD BE'!$S$75</f>
        <v>0</v>
      </c>
      <c r="T46" s="13">
        <f ca="1">SUM($L$46:$S$46)</f>
        <v>-2.1999249489536493E-2</v>
      </c>
      <c r="U46" s="13">
        <f>'TUSD BE'!$U$46*'TUSD BE'!$U$75</f>
        <v>0.14624714816123341</v>
      </c>
      <c r="V46" s="13">
        <f>'TUSD BE'!$V$46*'TUSD BE'!$V$75</f>
        <v>0.21257427986666341</v>
      </c>
      <c r="W46" s="13">
        <f>'TUSD BE'!$W$46*'TUSD BE'!$W$75</f>
        <v>-3.0182589728318356E-2</v>
      </c>
      <c r="X46" s="13">
        <f>'TUSD BE'!$X$46*'TUSD BE'!$X$75</f>
        <v>0</v>
      </c>
      <c r="Y46" s="13">
        <f>'TUSD BE'!$Y$46*'TUSD BE'!$Y$75</f>
        <v>0</v>
      </c>
      <c r="Z46" s="13">
        <f>'TUSD BE'!$Z$46*'TUSD BE'!$Z$75</f>
        <v>0</v>
      </c>
      <c r="AA46" s="13">
        <f>'TUSD BE'!$AA$46*'TUSD BE'!$AA$75</f>
        <v>0</v>
      </c>
      <c r="AB46" s="13">
        <f>SUM($U$46:$AA$46)</f>
        <v>0.32863883829957852</v>
      </c>
      <c r="AC46" s="13">
        <f>'TUSD BE'!$AC$46*'TUSD BE'!$AC$75</f>
        <v>-0.48818228231522048</v>
      </c>
      <c r="AD46" s="13">
        <f>SUM($AC$46:$AC$46)</f>
        <v>-0.48818228231522048</v>
      </c>
      <c r="AE46" s="13">
        <f ca="1">$AO$46*$AO$72</f>
        <v>-40.275996537305012</v>
      </c>
      <c r="AF46" s="13">
        <f ca="1">$AP$46*$AP$72</f>
        <v>0</v>
      </c>
      <c r="AG46" s="13">
        <f ca="1">SUM($AE$46:$AF$46)</f>
        <v>-40.275996537305012</v>
      </c>
      <c r="AH46" s="13">
        <f>'TUSD BE'!$AH$46*'TUSD BE'!$AH$75</f>
        <v>3.9228582529098137</v>
      </c>
      <c r="AI46" s="13">
        <f>'TUSD BE'!$AI$46*'TUSD BE'!$AI$75</f>
        <v>0.18138930435348485</v>
      </c>
      <c r="AJ46" s="13">
        <f ca="1">'TUSD BE'!$AJ$46*'TUSD BE'!$AJ$75</f>
        <v>3.7897006621286855</v>
      </c>
      <c r="AK46" s="13">
        <f ca="1">'TUSD BE'!$AK$46*'TUSD BE'!$AK$75</f>
        <v>-0.76178072115351414</v>
      </c>
      <c r="AL46" s="13">
        <f ca="1">SUM($AH$46:$AK$46)</f>
        <v>7.13216749823847</v>
      </c>
      <c r="AM46" s="13">
        <f ca="1">SUMIF($L$4:$AL$4,"SUBTOTAL",$L$46:$AL$46)</f>
        <v>-33.325371732571725</v>
      </c>
      <c r="AO46" s="20">
        <f ca="1">+'TUSD BE'!$T$46+'TUSD BE'!$AB$46+'TUSD BE'!$AD$46+'TUSD BE'!$AL$46</f>
        <v>449.34581910583387</v>
      </c>
      <c r="AP46" s="20">
        <f ca="1">+'TUSD BE'!$T$46+'TUSD BE'!$AB$46+'TUSD BE'!$AD$46+'TUSD BE'!$AL$46</f>
        <v>449.34581910583387</v>
      </c>
    </row>
    <row r="47" spans="1:42" ht="11.25" customHeight="1" x14ac:dyDescent="0.25">
      <c r="A47" s="107" t="s">
        <v>46</v>
      </c>
      <c r="B47" s="107" t="s">
        <v>35</v>
      </c>
      <c r="C47" s="107" t="s">
        <v>47</v>
      </c>
      <c r="D47" s="107" t="s">
        <v>25</v>
      </c>
      <c r="E47" s="107" t="s">
        <v>25</v>
      </c>
      <c r="F47" s="107" t="s">
        <v>25</v>
      </c>
      <c r="G47" s="18" t="s">
        <v>83</v>
      </c>
      <c r="H47" s="18" t="s">
        <v>82</v>
      </c>
      <c r="I47" s="18">
        <f>'MERCADO TUSD'!$U$44</f>
        <v>3.4330000000000007</v>
      </c>
      <c r="J47" s="15"/>
      <c r="L47" s="13">
        <f>'TUSD BE'!$L$47*'TUSD BE'!$L$75</f>
        <v>-2.9759511996848507</v>
      </c>
      <c r="M47" s="13">
        <f>'TUSD BE'!$M$47*'TUSD BE'!$M$75</f>
        <v>-2.1998172291990838E-2</v>
      </c>
      <c r="N47" s="13">
        <f ca="1">'TUSD BE'!$N$47*'TUSD BE'!$N$75</f>
        <v>-2.7306127485542812E-6</v>
      </c>
      <c r="O47" s="13">
        <f>'TUSD BE'!$O$47*'TUSD BE'!$O$75</f>
        <v>0</v>
      </c>
      <c r="P47" s="13">
        <f>'TUSD BE'!$P$47*'TUSD BE'!$P$75</f>
        <v>0</v>
      </c>
      <c r="Q47" s="13">
        <f>'TUSD BE'!$Q$47*'TUSD BE'!$Q$75</f>
        <v>-0.75578592147369994</v>
      </c>
      <c r="R47" s="13">
        <f>'TUSD BE'!$R$47*'TUSD BE'!$R$75</f>
        <v>-0.33555303906064865</v>
      </c>
      <c r="S47" s="13">
        <f>'TUSD BE'!$R$47*'TUSD BE'!$S$75</f>
        <v>0</v>
      </c>
      <c r="T47" s="13">
        <f ca="1">SUM($L$47:$S$47)</f>
        <v>-4.0892910631239383</v>
      </c>
      <c r="U47" s="13">
        <f>'TUSD BE'!$U$47*'TUSD BE'!$U$75</f>
        <v>0.44605256711340874</v>
      </c>
      <c r="V47" s="13">
        <f>'TUSD BE'!$V$47*'TUSD BE'!$V$75</f>
        <v>0.64834920106698579</v>
      </c>
      <c r="W47" s="13">
        <f>'TUSD BE'!$W$47*'TUSD BE'!$W$75</f>
        <v>-9.2051045750317334E-2</v>
      </c>
      <c r="X47" s="13">
        <f>'TUSD BE'!$X$47*'TUSD BE'!$X$75</f>
        <v>0</v>
      </c>
      <c r="Y47" s="13">
        <f>'TUSD BE'!$Y$47*'TUSD BE'!$Y$75</f>
        <v>0</v>
      </c>
      <c r="Z47" s="13">
        <f>'TUSD BE'!$Z$47*'TUSD BE'!$Z$75</f>
        <v>0</v>
      </c>
      <c r="AA47" s="13">
        <f>'TUSD BE'!$AA$47*'TUSD BE'!$AA$75</f>
        <v>0</v>
      </c>
      <c r="AB47" s="13">
        <f>SUM($U$47:$AA$47)</f>
        <v>1.0023507224300772</v>
      </c>
      <c r="AC47" s="13">
        <f>'TUSD BE'!$AC$47*'TUSD BE'!$AC$75</f>
        <v>-1.488956029653999</v>
      </c>
      <c r="AD47" s="13">
        <f>SUM($AC$47:$AC$47)</f>
        <v>-1.488956029653999</v>
      </c>
      <c r="AE47" s="13">
        <f ca="1">$AO$47*$AO$72</f>
        <v>-115.93389067293687</v>
      </c>
      <c r="AF47" s="13">
        <f ca="1">$AP$47*$AP$72</f>
        <v>0</v>
      </c>
      <c r="AG47" s="13">
        <f ca="1">SUM($AE$47:$AF$47)</f>
        <v>-115.93389067293687</v>
      </c>
      <c r="AH47" s="13">
        <f>'TUSD BE'!$AH$47*'TUSD BE'!$AH$75</f>
        <v>3.9228582529098137</v>
      </c>
      <c r="AI47" s="13">
        <f>'TUSD BE'!$AI$47*'TUSD BE'!$AI$75</f>
        <v>0.18138930435348485</v>
      </c>
      <c r="AJ47" s="13">
        <f ca="1">'TUSD BE'!$AJ$47*'TUSD BE'!$AJ$75</f>
        <v>3.7897006621286855</v>
      </c>
      <c r="AK47" s="13">
        <f ca="1">'TUSD BE'!$AK$47*'TUSD BE'!$AK$75</f>
        <v>-0.76178072115351414</v>
      </c>
      <c r="AL47" s="13">
        <f ca="1">SUM($AH$47:$AK$47)</f>
        <v>7.13216749823847</v>
      </c>
      <c r="AM47" s="13">
        <f ca="1">SUMIF($L$4:$AL$4,"SUBTOTAL",$L$47:$AL$47)</f>
        <v>-113.37761954504626</v>
      </c>
      <c r="AO47" s="20">
        <f ca="1">+'TUSD BE'!$T$47+'TUSD BE'!$AB$47+'TUSD BE'!$AD$47+'TUSD BE'!$AL$47</f>
        <v>1293.4356327671589</v>
      </c>
      <c r="AP47" s="20">
        <f ca="1">+'TUSD BE'!$T$47+'TUSD BE'!$AB$47+'TUSD BE'!$AD$47+'TUSD BE'!$AL$47</f>
        <v>1293.4356327671589</v>
      </c>
    </row>
    <row r="48" spans="1:42" ht="11.25" customHeight="1" x14ac:dyDescent="0.25">
      <c r="A48" s="107"/>
      <c r="B48" s="107"/>
      <c r="C48" s="107"/>
      <c r="D48" s="107"/>
      <c r="E48" s="107"/>
      <c r="F48" s="107"/>
      <c r="G48" s="18" t="s">
        <v>98</v>
      </c>
      <c r="H48" s="18" t="s">
        <v>82</v>
      </c>
      <c r="I48" s="18">
        <f>'MERCADO TUSD'!$U$45</f>
        <v>0.54699999999999993</v>
      </c>
      <c r="J48" s="15"/>
      <c r="L48" s="13">
        <f>'TUSD BE'!$L$48*'TUSD BE'!$L$75</f>
        <v>-2.9759511996848507</v>
      </c>
      <c r="M48" s="13">
        <f>'TUSD BE'!$M$48*'TUSD BE'!$M$75</f>
        <v>-2.1998172291990838E-2</v>
      </c>
      <c r="N48" s="13">
        <f ca="1">'TUSD BE'!$N$48*'TUSD BE'!$N$75</f>
        <v>-1.7481921081608425E-6</v>
      </c>
      <c r="O48" s="13">
        <f>'TUSD BE'!$O$48*'TUSD BE'!$O$75</f>
        <v>0</v>
      </c>
      <c r="P48" s="13">
        <f>'TUSD BE'!$P$48*'TUSD BE'!$P$75</f>
        <v>0</v>
      </c>
      <c r="Q48" s="13">
        <f>'TUSD BE'!$Q$48*'TUSD BE'!$Q$75</f>
        <v>-0.75578592147369994</v>
      </c>
      <c r="R48" s="13">
        <f>'TUSD BE'!$R$48*'TUSD BE'!$R$75</f>
        <v>-0.33555303906064865</v>
      </c>
      <c r="S48" s="13">
        <f>'TUSD BE'!$R$48*'TUSD BE'!$S$75</f>
        <v>0</v>
      </c>
      <c r="T48" s="13">
        <f ca="1">SUM($L$48:$S$48)</f>
        <v>-4.0892900807032984</v>
      </c>
      <c r="U48" s="13">
        <f>'TUSD BE'!$U$48*'TUSD BE'!$U$75</f>
        <v>0.26763203417938652</v>
      </c>
      <c r="V48" s="13">
        <f>'TUSD BE'!$V$48*'TUSD BE'!$V$75</f>
        <v>0.38900905013492393</v>
      </c>
      <c r="W48" s="13">
        <f>'TUSD BE'!$W$48*'TUSD BE'!$W$75</f>
        <v>-5.5230011353237379E-2</v>
      </c>
      <c r="X48" s="13">
        <f>'TUSD BE'!$X$48*'TUSD BE'!$X$75</f>
        <v>0</v>
      </c>
      <c r="Y48" s="13">
        <f>'TUSD BE'!$Y$48*'TUSD BE'!$Y$75</f>
        <v>0</v>
      </c>
      <c r="Z48" s="13">
        <f>'TUSD BE'!$Z$48*'TUSD BE'!$Z$75</f>
        <v>0</v>
      </c>
      <c r="AA48" s="13">
        <f>'TUSD BE'!$AA$48*'TUSD BE'!$AA$75</f>
        <v>0</v>
      </c>
      <c r="AB48" s="13">
        <f>SUM($U$48:$AA$48)</f>
        <v>0.6014110729610731</v>
      </c>
      <c r="AC48" s="13">
        <f>'TUSD BE'!$AC$48*'TUSD BE'!$AC$75</f>
        <v>-0.89337354919982293</v>
      </c>
      <c r="AD48" s="13">
        <f>SUM($AC$48:$AC$48)</f>
        <v>-0.89337354919982293</v>
      </c>
      <c r="AE48" s="13">
        <f ca="1">$AO$48*$AO$72</f>
        <v>-74.793213555595884</v>
      </c>
      <c r="AF48" s="13">
        <f ca="1">$AP$48*$AP$72</f>
        <v>0</v>
      </c>
      <c r="AG48" s="13">
        <f ca="1">SUM($AE$48:$AF$48)</f>
        <v>-74.793213555595884</v>
      </c>
      <c r="AH48" s="13">
        <f>'TUSD BE'!$AH$48*'TUSD BE'!$AH$75</f>
        <v>3.9228582529098137</v>
      </c>
      <c r="AI48" s="13">
        <f>'TUSD BE'!$AI$48*'TUSD BE'!$AI$75</f>
        <v>0.18138930435348485</v>
      </c>
      <c r="AJ48" s="13">
        <f ca="1">'TUSD BE'!$AJ$48*'TUSD BE'!$AJ$75</f>
        <v>3.7897006621286855</v>
      </c>
      <c r="AK48" s="13">
        <f ca="1">'TUSD BE'!$AK$48*'TUSD BE'!$AK$75</f>
        <v>-0.76178072115351414</v>
      </c>
      <c r="AL48" s="13">
        <f ca="1">SUM($AH$48:$AK$48)</f>
        <v>7.13216749823847</v>
      </c>
      <c r="AM48" s="13">
        <f ca="1">SUMIF($L$4:$AL$4,"SUBTOTAL",$L$48:$AL$48)</f>
        <v>-72.042298614299455</v>
      </c>
      <c r="AO48" s="20">
        <f ca="1">+'TUSD BE'!$T$48+'TUSD BE'!$AB$48+'TUSD BE'!$AD$48+'TUSD BE'!$AL$48</f>
        <v>834.44286170716816</v>
      </c>
      <c r="AP48" s="20">
        <f ca="1">+'TUSD BE'!$T$48+'TUSD BE'!$AB$48+'TUSD BE'!$AD$48+'TUSD BE'!$AL$48</f>
        <v>834.44286170716816</v>
      </c>
    </row>
    <row r="49" spans="1:42" ht="11.25" customHeight="1" x14ac:dyDescent="0.25">
      <c r="A49" s="107"/>
      <c r="B49" s="107"/>
      <c r="C49" s="107"/>
      <c r="D49" s="107"/>
      <c r="E49" s="107"/>
      <c r="F49" s="107"/>
      <c r="G49" s="18" t="s">
        <v>84</v>
      </c>
      <c r="H49" s="18" t="s">
        <v>82</v>
      </c>
      <c r="I49" s="18">
        <f>'MERCADO TUSD'!$U$46</f>
        <v>73.387</v>
      </c>
      <c r="J49" s="15"/>
      <c r="L49" s="13">
        <f>'TUSD BE'!$L$49*'TUSD BE'!$L$75</f>
        <v>-2.9759511996848507</v>
      </c>
      <c r="M49" s="13">
        <f>'TUSD BE'!$M$49*'TUSD BE'!$M$75</f>
        <v>-2.1998172291990838E-2</v>
      </c>
      <c r="N49" s="13">
        <f ca="1">'TUSD BE'!$N$49*'TUSD BE'!$N$75</f>
        <v>-7.6577146776740368E-7</v>
      </c>
      <c r="O49" s="13">
        <f>'TUSD BE'!$O$49*'TUSD BE'!$O$75</f>
        <v>0</v>
      </c>
      <c r="P49" s="13">
        <f>'TUSD BE'!$P$49*'TUSD BE'!$P$75</f>
        <v>0</v>
      </c>
      <c r="Q49" s="13">
        <f>'TUSD BE'!$Q$49*'TUSD BE'!$Q$75</f>
        <v>-0.75578592147369994</v>
      </c>
      <c r="R49" s="13">
        <f>'TUSD BE'!$R$49*'TUSD BE'!$R$75</f>
        <v>-0.33555303906064865</v>
      </c>
      <c r="S49" s="13">
        <f>'TUSD BE'!$R$49*'TUSD BE'!$S$75</f>
        <v>0</v>
      </c>
      <c r="T49" s="13">
        <f ca="1">SUM($L$49:$S$49)</f>
        <v>-4.0892890982826575</v>
      </c>
      <c r="U49" s="13">
        <f>'TUSD BE'!$U$49*'TUSD BE'!$U$75</f>
        <v>8.9210266467011093E-2</v>
      </c>
      <c r="V49" s="13">
        <f>'TUSD BE'!$V$49*'TUSD BE'!$V$75</f>
        <v>0.12966889920286212</v>
      </c>
      <c r="W49" s="13">
        <f>'TUSD BE'!$W$49*'TUSD BE'!$W$75</f>
        <v>-1.8408976956157432E-2</v>
      </c>
      <c r="X49" s="13">
        <f>'TUSD BE'!$X$49*'TUSD BE'!$X$75</f>
        <v>0</v>
      </c>
      <c r="Y49" s="13">
        <f>'TUSD BE'!$Y$49*'TUSD BE'!$Y$75</f>
        <v>0</v>
      </c>
      <c r="Z49" s="13">
        <f>'TUSD BE'!$Z$49*'TUSD BE'!$Z$75</f>
        <v>0</v>
      </c>
      <c r="AA49" s="13">
        <f>'TUSD BE'!$AA$49*'TUSD BE'!$AA$75</f>
        <v>0</v>
      </c>
      <c r="AB49" s="13">
        <f>SUM($U$49:$AA$49)</f>
        <v>0.20047018871371577</v>
      </c>
      <c r="AC49" s="13">
        <f>'TUSD BE'!$AC$49*'TUSD BE'!$AC$75</f>
        <v>-0.29779124022708792</v>
      </c>
      <c r="AD49" s="13">
        <f>SUM($AC$49:$AC$49)</f>
        <v>-0.29779124022708792</v>
      </c>
      <c r="AE49" s="13">
        <f ca="1">$AO$49*$AO$72</f>
        <v>-33.652536523350832</v>
      </c>
      <c r="AF49" s="13">
        <f ca="1">$AP$49*$AP$72</f>
        <v>0</v>
      </c>
      <c r="AG49" s="13">
        <f ca="1">SUM($AE$49:$AF$49)</f>
        <v>-33.652536523350832</v>
      </c>
      <c r="AH49" s="13">
        <f>'TUSD BE'!$AH$49*'TUSD BE'!$AH$75</f>
        <v>3.9228582529098137</v>
      </c>
      <c r="AI49" s="13">
        <f>'TUSD BE'!$AI$49*'TUSD BE'!$AI$75</f>
        <v>0.18138930435348485</v>
      </c>
      <c r="AJ49" s="13">
        <f ca="1">'TUSD BE'!$AJ$49*'TUSD BE'!$AJ$75</f>
        <v>3.7897006621286855</v>
      </c>
      <c r="AK49" s="13">
        <f ca="1">'TUSD BE'!$AK$49*'TUSD BE'!$AK$75</f>
        <v>-0.76178072115351414</v>
      </c>
      <c r="AL49" s="13">
        <f ca="1">SUM($AH$49:$AK$49)</f>
        <v>7.13216749823847</v>
      </c>
      <c r="AM49" s="13">
        <f ca="1">SUMIF($L$4:$AL$4,"SUBTOTAL",$L$49:$AL$49)</f>
        <v>-30.706979174908394</v>
      </c>
      <c r="AO49" s="20">
        <f ca="1">+'TUSD BE'!$T$49+'TUSD BE'!$AB$49+'TUSD BE'!$AD$49+'TUSD BE'!$AL$49</f>
        <v>375.45009159656422</v>
      </c>
      <c r="AP49" s="20">
        <f ca="1">+'TUSD BE'!$T$49+'TUSD BE'!$AB$49+'TUSD BE'!$AD$49+'TUSD BE'!$AL$49</f>
        <v>375.45009159656422</v>
      </c>
    </row>
    <row r="50" spans="1:42" ht="11.25" customHeight="1" x14ac:dyDescent="0.25">
      <c r="A50" s="107"/>
      <c r="B50" s="17" t="s">
        <v>23</v>
      </c>
      <c r="C50" s="17" t="s">
        <v>47</v>
      </c>
      <c r="D50" s="17" t="s">
        <v>25</v>
      </c>
      <c r="E50" s="17" t="s">
        <v>25</v>
      </c>
      <c r="F50" s="17" t="s">
        <v>25</v>
      </c>
      <c r="G50" s="18" t="s">
        <v>88</v>
      </c>
      <c r="H50" s="18" t="s">
        <v>82</v>
      </c>
      <c r="I50" s="18">
        <f>'MERCADO TUSD'!$U$47</f>
        <v>45841.400999999998</v>
      </c>
      <c r="J50" s="15"/>
      <c r="L50" s="13">
        <f>'TUSD BE'!$L$50*'TUSD BE'!$L$75</f>
        <v>-2.9759511996848507</v>
      </c>
      <c r="M50" s="13">
        <f>'TUSD BE'!$M$50*'TUSD BE'!$M$75</f>
        <v>-2.1998172291990838E-2</v>
      </c>
      <c r="N50" s="13">
        <f ca="1">'TUSD BE'!$N$50*'TUSD BE'!$N$75</f>
        <v>-1.0798244455749631E-6</v>
      </c>
      <c r="O50" s="13">
        <f>'TUSD BE'!$O$50*'TUSD BE'!$O$75</f>
        <v>0</v>
      </c>
      <c r="P50" s="13">
        <f>'TUSD BE'!$P$50*'TUSD BE'!$P$75</f>
        <v>0</v>
      </c>
      <c r="Q50" s="13">
        <f>'TUSD BE'!$Q$50*'TUSD BE'!$Q$75</f>
        <v>-0.75578592147369994</v>
      </c>
      <c r="R50" s="13">
        <f>'TUSD BE'!$R$50*'TUSD BE'!$R$75</f>
        <v>-0.33555303906064865</v>
      </c>
      <c r="S50" s="13">
        <f>'TUSD BE'!$R$50*'TUSD BE'!$S$75</f>
        <v>0</v>
      </c>
      <c r="T50" s="13">
        <f ca="1">SUM($L$50:$S$50)</f>
        <v>-4.0892894123356358</v>
      </c>
      <c r="U50" s="13">
        <f>'TUSD BE'!$U$50*'TUSD BE'!$U$75</f>
        <v>0.14624714816123341</v>
      </c>
      <c r="V50" s="13">
        <f>'TUSD BE'!$V$50*'TUSD BE'!$V$75</f>
        <v>0.21257427986666341</v>
      </c>
      <c r="W50" s="13">
        <f>'TUSD BE'!$W$50*'TUSD BE'!$W$75</f>
        <v>-3.0182589728318356E-2</v>
      </c>
      <c r="X50" s="13">
        <f>'TUSD BE'!$X$50*'TUSD BE'!$X$75</f>
        <v>0</v>
      </c>
      <c r="Y50" s="13">
        <f>'TUSD BE'!$Y$50*'TUSD BE'!$Y$75</f>
        <v>0</v>
      </c>
      <c r="Z50" s="13">
        <f>'TUSD BE'!$Z$50*'TUSD BE'!$Z$75</f>
        <v>0</v>
      </c>
      <c r="AA50" s="13">
        <f>'TUSD BE'!$AA$50*'TUSD BE'!$AA$75</f>
        <v>0</v>
      </c>
      <c r="AB50" s="13">
        <f>SUM($U$50:$AA$50)</f>
        <v>0.32863883829957852</v>
      </c>
      <c r="AC50" s="13">
        <f>'TUSD BE'!$AC$50*'TUSD BE'!$AC$75</f>
        <v>-0.48818228231522048</v>
      </c>
      <c r="AD50" s="13">
        <f>SUM($AC$50:$AC$50)</f>
        <v>-0.48818228231522048</v>
      </c>
      <c r="AE50" s="13">
        <f ca="1">$AO$50*$AO$72</f>
        <v>-46.804090771278901</v>
      </c>
      <c r="AF50" s="13">
        <f ca="1">$AP$50*$AP$72</f>
        <v>0</v>
      </c>
      <c r="AG50" s="13">
        <f ca="1">SUM($AE$50:$AF$50)</f>
        <v>-46.804090771278901</v>
      </c>
      <c r="AH50" s="13">
        <f>'TUSD BE'!$AH$50*'TUSD BE'!$AH$75</f>
        <v>3.9228582529098137</v>
      </c>
      <c r="AI50" s="13">
        <f>'TUSD BE'!$AI$50*'TUSD BE'!$AI$75</f>
        <v>0.18138930435348485</v>
      </c>
      <c r="AJ50" s="13">
        <f ca="1">'TUSD BE'!$AJ$50*'TUSD BE'!$AJ$75</f>
        <v>3.7897006621286855</v>
      </c>
      <c r="AK50" s="13">
        <f ca="1">'TUSD BE'!$AK$50*'TUSD BE'!$AK$75</f>
        <v>-0.76178072115351414</v>
      </c>
      <c r="AL50" s="13">
        <f ca="1">SUM($AH$50:$AK$50)</f>
        <v>7.13216749823847</v>
      </c>
      <c r="AM50" s="13">
        <f ca="1">SUMIF($L$4:$AL$4,"SUBTOTAL",$L$50:$AL$50)</f>
        <v>-43.920756129391705</v>
      </c>
      <c r="AO50" s="20">
        <f ca="1">+'TUSD BE'!$T$50+'TUSD BE'!$AB$50+'TUSD BE'!$AD$50+'TUSD BE'!$AL$50</f>
        <v>522.17758251231044</v>
      </c>
      <c r="AP50" s="20">
        <f ca="1">+'TUSD BE'!$T$50+'TUSD BE'!$AB$50+'TUSD BE'!$AD$50+'TUSD BE'!$AL$50</f>
        <v>522.17758251231044</v>
      </c>
    </row>
    <row r="51" spans="1:42" ht="11.25" customHeight="1" x14ac:dyDescent="0.25">
      <c r="A51" s="107"/>
      <c r="B51" s="107" t="s">
        <v>35</v>
      </c>
      <c r="C51" s="107" t="s">
        <v>47</v>
      </c>
      <c r="D51" s="107" t="s">
        <v>101</v>
      </c>
      <c r="E51" s="107" t="s">
        <v>25</v>
      </c>
      <c r="F51" s="107" t="s">
        <v>25</v>
      </c>
      <c r="G51" s="18" t="s">
        <v>83</v>
      </c>
      <c r="H51" s="18" t="s">
        <v>82</v>
      </c>
      <c r="I51" s="18">
        <f>'MERCADO TUSD'!$U$48</f>
        <v>0</v>
      </c>
      <c r="J51" s="15"/>
      <c r="L51" s="13">
        <f>'TUSD BE'!$L$51*'TUSD BE'!$L$75</f>
        <v>-2.9759511996848507</v>
      </c>
      <c r="M51" s="13">
        <f>'TUSD BE'!$M$51*'TUSD BE'!$M$75</f>
        <v>-2.1998172291990838E-2</v>
      </c>
      <c r="N51" s="13">
        <f ca="1">'TUSD BE'!$N$51*'TUSD BE'!$N$75</f>
        <v>-2.7306127485542812E-6</v>
      </c>
      <c r="O51" s="13">
        <f>'TUSD BE'!$O$51*'TUSD BE'!$O$75</f>
        <v>0</v>
      </c>
      <c r="P51" s="13">
        <f>'TUSD BE'!$P$51*'TUSD BE'!$P$75</f>
        <v>0</v>
      </c>
      <c r="Q51" s="13">
        <f>'TUSD BE'!$Q$51*'TUSD BE'!$Q$75</f>
        <v>-0.75578592147369994</v>
      </c>
      <c r="R51" s="13">
        <f>'TUSD BE'!$R$51*'TUSD BE'!$R$75</f>
        <v>-0.33555303906064865</v>
      </c>
      <c r="S51" s="13">
        <f>'TUSD BE'!$R$51*'TUSD BE'!$S$75</f>
        <v>0</v>
      </c>
      <c r="T51" s="13">
        <f ca="1">SUM($L$51:$S$51)</f>
        <v>-4.0892910631239383</v>
      </c>
      <c r="U51" s="13">
        <f>'TUSD BE'!$U$51*'TUSD BE'!$U$75</f>
        <v>0.44605256711340874</v>
      </c>
      <c r="V51" s="13">
        <f>'TUSD BE'!$V$51*'TUSD BE'!$V$75</f>
        <v>0.64834920106698579</v>
      </c>
      <c r="W51" s="13">
        <f>'TUSD BE'!$W$51*'TUSD BE'!$W$75</f>
        <v>-9.2051045750317334E-2</v>
      </c>
      <c r="X51" s="13">
        <f>'TUSD BE'!$X$51*'TUSD BE'!$X$75</f>
        <v>0</v>
      </c>
      <c r="Y51" s="13">
        <f>'TUSD BE'!$Y$51*'TUSD BE'!$Y$75</f>
        <v>0</v>
      </c>
      <c r="Z51" s="13">
        <f>'TUSD BE'!$Z$51*'TUSD BE'!$Z$75</f>
        <v>0</v>
      </c>
      <c r="AA51" s="13">
        <f>'TUSD BE'!$AA$51*'TUSD BE'!$AA$75</f>
        <v>0</v>
      </c>
      <c r="AB51" s="13">
        <f>SUM($U$51:$AA$51)</f>
        <v>1.0023507224300772</v>
      </c>
      <c r="AC51" s="13">
        <f>'TUSD BE'!$AC$51*'TUSD BE'!$AC$75</f>
        <v>-1.488956029653999</v>
      </c>
      <c r="AD51" s="13">
        <f>SUM($AC$51:$AC$51)</f>
        <v>-1.488956029653999</v>
      </c>
      <c r="AE51" s="13">
        <f ca="1">$AO$51*$AO$72</f>
        <v>-115.93389067293687</v>
      </c>
      <c r="AF51" s="13">
        <f ca="1">$AP$51*$AP$72</f>
        <v>0</v>
      </c>
      <c r="AG51" s="13">
        <f ca="1">SUM($AE$51:$AF$51)</f>
        <v>-115.93389067293687</v>
      </c>
      <c r="AH51" s="13">
        <f>'TUSD BE'!$AH$51*'TUSD BE'!$AH$75</f>
        <v>3.9228582529098137</v>
      </c>
      <c r="AI51" s="13">
        <f>'TUSD BE'!$AI$51*'TUSD BE'!$AI$75</f>
        <v>0.18138930435348485</v>
      </c>
      <c r="AJ51" s="13">
        <f ca="1">'TUSD BE'!$AJ$51*'TUSD BE'!$AJ$75</f>
        <v>3.7897006621286855</v>
      </c>
      <c r="AK51" s="13">
        <f ca="1">'TUSD BE'!$AK$51*'TUSD BE'!$AK$75</f>
        <v>-0.76178072115351414</v>
      </c>
      <c r="AL51" s="13">
        <f ca="1">SUM($AH$51:$AK$51)</f>
        <v>7.13216749823847</v>
      </c>
      <c r="AM51" s="13">
        <f ca="1">SUMIF($L$4:$AL$4,"SUBTOTAL",$L$51:$AL$51)</f>
        <v>-113.37761954504626</v>
      </c>
      <c r="AO51" s="20">
        <f ca="1">+'TUSD BE'!$T$51+'TUSD BE'!$AB$51+'TUSD BE'!$AD$51+'TUSD BE'!$AL$51</f>
        <v>1293.4356327671589</v>
      </c>
      <c r="AP51" s="20">
        <f ca="1">+'TUSD BE'!$T$51+'TUSD BE'!$AB$51+'TUSD BE'!$AD$51+'TUSD BE'!$AL$51</f>
        <v>1293.4356327671589</v>
      </c>
    </row>
    <row r="52" spans="1:42" ht="11.25" customHeight="1" x14ac:dyDescent="0.25">
      <c r="A52" s="107"/>
      <c r="B52" s="107"/>
      <c r="C52" s="107"/>
      <c r="D52" s="107"/>
      <c r="E52" s="107"/>
      <c r="F52" s="107"/>
      <c r="G52" s="18" t="s">
        <v>98</v>
      </c>
      <c r="H52" s="18" t="s">
        <v>82</v>
      </c>
      <c r="I52" s="18">
        <f>'MERCADO TUSD'!$U$49</f>
        <v>0</v>
      </c>
      <c r="J52" s="15"/>
      <c r="L52" s="13">
        <f>'TUSD BE'!$L$52*'TUSD BE'!$L$75</f>
        <v>-2.9759511996848507</v>
      </c>
      <c r="M52" s="13">
        <f>'TUSD BE'!$M$52*'TUSD BE'!$M$75</f>
        <v>-2.1998172291990838E-2</v>
      </c>
      <c r="N52" s="13">
        <f ca="1">'TUSD BE'!$N$52*'TUSD BE'!$N$75</f>
        <v>-1.7481921081608425E-6</v>
      </c>
      <c r="O52" s="13">
        <f>'TUSD BE'!$O$52*'TUSD BE'!$O$75</f>
        <v>0</v>
      </c>
      <c r="P52" s="13">
        <f>'TUSD BE'!$P$52*'TUSD BE'!$P$75</f>
        <v>0</v>
      </c>
      <c r="Q52" s="13">
        <f>'TUSD BE'!$Q$52*'TUSD BE'!$Q$75</f>
        <v>-0.75578592147369994</v>
      </c>
      <c r="R52" s="13">
        <f>'TUSD BE'!$R$52*'TUSD BE'!$R$75</f>
        <v>-0.33555303906064865</v>
      </c>
      <c r="S52" s="13">
        <f>'TUSD BE'!$R$52*'TUSD BE'!$S$75</f>
        <v>0</v>
      </c>
      <c r="T52" s="13">
        <f ca="1">SUM($L$52:$S$52)</f>
        <v>-4.0892900807032984</v>
      </c>
      <c r="U52" s="13">
        <f>'TUSD BE'!$U$52*'TUSD BE'!$U$75</f>
        <v>0.26763203417938652</v>
      </c>
      <c r="V52" s="13">
        <f>'TUSD BE'!$V$52*'TUSD BE'!$V$75</f>
        <v>0.38900905013492393</v>
      </c>
      <c r="W52" s="13">
        <f>'TUSD BE'!$W$52*'TUSD BE'!$W$75</f>
        <v>-5.5230011353237379E-2</v>
      </c>
      <c r="X52" s="13">
        <f>'TUSD BE'!$X$52*'TUSD BE'!$X$75</f>
        <v>0</v>
      </c>
      <c r="Y52" s="13">
        <f>'TUSD BE'!$Y$52*'TUSD BE'!$Y$75</f>
        <v>0</v>
      </c>
      <c r="Z52" s="13">
        <f>'TUSD BE'!$Z$52*'TUSD BE'!$Z$75</f>
        <v>0</v>
      </c>
      <c r="AA52" s="13">
        <f>'TUSD BE'!$AA$52*'TUSD BE'!$AA$75</f>
        <v>0</v>
      </c>
      <c r="AB52" s="13">
        <f>SUM($U$52:$AA$52)</f>
        <v>0.6014110729610731</v>
      </c>
      <c r="AC52" s="13">
        <f>'TUSD BE'!$AC$52*'TUSD BE'!$AC$75</f>
        <v>-0.89337354919982293</v>
      </c>
      <c r="AD52" s="13">
        <f>SUM($AC$52:$AC$52)</f>
        <v>-0.89337354919982293</v>
      </c>
      <c r="AE52" s="13">
        <f ca="1">$AO$52*$AO$72</f>
        <v>-74.793213555595884</v>
      </c>
      <c r="AF52" s="13">
        <f ca="1">$AP$52*$AP$72</f>
        <v>0</v>
      </c>
      <c r="AG52" s="13">
        <f ca="1">SUM($AE$52:$AF$52)</f>
        <v>-74.793213555595884</v>
      </c>
      <c r="AH52" s="13">
        <f>'TUSD BE'!$AH$52*'TUSD BE'!$AH$75</f>
        <v>3.9228582529098137</v>
      </c>
      <c r="AI52" s="13">
        <f>'TUSD BE'!$AI$52*'TUSD BE'!$AI$75</f>
        <v>0.18138930435348485</v>
      </c>
      <c r="AJ52" s="13">
        <f ca="1">'TUSD BE'!$AJ$52*'TUSD BE'!$AJ$75</f>
        <v>3.7897006621286855</v>
      </c>
      <c r="AK52" s="13">
        <f ca="1">'TUSD BE'!$AK$52*'TUSD BE'!$AK$75</f>
        <v>-0.76178072115351414</v>
      </c>
      <c r="AL52" s="13">
        <f ca="1">SUM($AH$52:$AK$52)</f>
        <v>7.13216749823847</v>
      </c>
      <c r="AM52" s="13">
        <f ca="1">SUMIF($L$4:$AL$4,"SUBTOTAL",$L$52:$AL$52)</f>
        <v>-72.042298614299455</v>
      </c>
      <c r="AO52" s="20">
        <f ca="1">+'TUSD BE'!$T$52+'TUSD BE'!$AB$52+'TUSD BE'!$AD$52+'TUSD BE'!$AL$52</f>
        <v>834.44286170716816</v>
      </c>
      <c r="AP52" s="20">
        <f ca="1">+'TUSD BE'!$T$52+'TUSD BE'!$AB$52+'TUSD BE'!$AD$52+'TUSD BE'!$AL$52</f>
        <v>834.44286170716816</v>
      </c>
    </row>
    <row r="53" spans="1:42" ht="11.25" customHeight="1" x14ac:dyDescent="0.25">
      <c r="A53" s="107"/>
      <c r="B53" s="107"/>
      <c r="C53" s="107"/>
      <c r="D53" s="107"/>
      <c r="E53" s="107"/>
      <c r="F53" s="107"/>
      <c r="G53" s="18" t="s">
        <v>84</v>
      </c>
      <c r="H53" s="18" t="s">
        <v>82</v>
      </c>
      <c r="I53" s="18">
        <f>'MERCADO TUSD'!$U$50</f>
        <v>0</v>
      </c>
      <c r="J53" s="15"/>
      <c r="L53" s="13">
        <f>'TUSD BE'!$L$53*'TUSD BE'!$L$75</f>
        <v>-2.9759511996848507</v>
      </c>
      <c r="M53" s="13">
        <f>'TUSD BE'!$M$53*'TUSD BE'!$M$75</f>
        <v>-2.1998172291990838E-2</v>
      </c>
      <c r="N53" s="13">
        <f ca="1">'TUSD BE'!$N$53*'TUSD BE'!$N$75</f>
        <v>-7.6577146776740368E-7</v>
      </c>
      <c r="O53" s="13">
        <f>'TUSD BE'!$O$53*'TUSD BE'!$O$75</f>
        <v>0</v>
      </c>
      <c r="P53" s="13">
        <f>'TUSD BE'!$P$53*'TUSD BE'!$P$75</f>
        <v>0</v>
      </c>
      <c r="Q53" s="13">
        <f>'TUSD BE'!$Q$53*'TUSD BE'!$Q$75</f>
        <v>-0.75578592147369994</v>
      </c>
      <c r="R53" s="13">
        <f>'TUSD BE'!$R$53*'TUSD BE'!$R$75</f>
        <v>-0.33555303906064865</v>
      </c>
      <c r="S53" s="13">
        <f>'TUSD BE'!$R$53*'TUSD BE'!$S$75</f>
        <v>0</v>
      </c>
      <c r="T53" s="13">
        <f ca="1">SUM($L$53:$S$53)</f>
        <v>-4.0892890982826575</v>
      </c>
      <c r="U53" s="13">
        <f>'TUSD BE'!$U$53*'TUSD BE'!$U$75</f>
        <v>8.9210266467011093E-2</v>
      </c>
      <c r="V53" s="13">
        <f>'TUSD BE'!$V$53*'TUSD BE'!$V$75</f>
        <v>0.12966889920286212</v>
      </c>
      <c r="W53" s="13">
        <f>'TUSD BE'!$W$53*'TUSD BE'!$W$75</f>
        <v>-1.8408976956157432E-2</v>
      </c>
      <c r="X53" s="13">
        <f>'TUSD BE'!$X$53*'TUSD BE'!$X$75</f>
        <v>0</v>
      </c>
      <c r="Y53" s="13">
        <f>'TUSD BE'!$Y$53*'TUSD BE'!$Y$75</f>
        <v>0</v>
      </c>
      <c r="Z53" s="13">
        <f>'TUSD BE'!$Z$53*'TUSD BE'!$Z$75</f>
        <v>0</v>
      </c>
      <c r="AA53" s="13">
        <f>'TUSD BE'!$AA$53*'TUSD BE'!$AA$75</f>
        <v>0</v>
      </c>
      <c r="AB53" s="13">
        <f>SUM($U$53:$AA$53)</f>
        <v>0.20047018871371577</v>
      </c>
      <c r="AC53" s="13">
        <f>'TUSD BE'!$AC$53*'TUSD BE'!$AC$75</f>
        <v>-0.29779124022708792</v>
      </c>
      <c r="AD53" s="13">
        <f>SUM($AC$53:$AC$53)</f>
        <v>-0.29779124022708792</v>
      </c>
      <c r="AE53" s="13">
        <f ca="1">$AO$53*$AO$72</f>
        <v>-33.652536523350832</v>
      </c>
      <c r="AF53" s="13">
        <f ca="1">$AP$53*$AP$72</f>
        <v>0</v>
      </c>
      <c r="AG53" s="13">
        <f ca="1">SUM($AE$53:$AF$53)</f>
        <v>-33.652536523350832</v>
      </c>
      <c r="AH53" s="13">
        <f>'TUSD BE'!$AH$53*'TUSD BE'!$AH$75</f>
        <v>3.9228582529098137</v>
      </c>
      <c r="AI53" s="13">
        <f>'TUSD BE'!$AI$53*'TUSD BE'!$AI$75</f>
        <v>0.18138930435348485</v>
      </c>
      <c r="AJ53" s="13">
        <f ca="1">'TUSD BE'!$AJ$53*'TUSD BE'!$AJ$75</f>
        <v>3.7897006621286855</v>
      </c>
      <c r="AK53" s="13">
        <f ca="1">'TUSD BE'!$AK$53*'TUSD BE'!$AK$75</f>
        <v>-0.76178072115351414</v>
      </c>
      <c r="AL53" s="13">
        <f ca="1">SUM($AH$53:$AK$53)</f>
        <v>7.13216749823847</v>
      </c>
      <c r="AM53" s="13">
        <f ca="1">SUMIF($L$4:$AL$4,"SUBTOTAL",$L$53:$AL$53)</f>
        <v>-30.706979174908394</v>
      </c>
      <c r="AO53" s="20">
        <f ca="1">+'TUSD BE'!$T$53+'TUSD BE'!$AB$53+'TUSD BE'!$AD$53+'TUSD BE'!$AL$53</f>
        <v>375.45009159656422</v>
      </c>
      <c r="AP53" s="20">
        <f ca="1">+'TUSD BE'!$T$53+'TUSD BE'!$AB$53+'TUSD BE'!$AD$53+'TUSD BE'!$AL$53</f>
        <v>375.45009159656422</v>
      </c>
    </row>
    <row r="54" spans="1:42" ht="11.25" customHeight="1" x14ac:dyDescent="0.25">
      <c r="A54" s="107"/>
      <c r="B54" s="17" t="s">
        <v>23</v>
      </c>
      <c r="C54" s="17" t="s">
        <v>47</v>
      </c>
      <c r="D54" s="17" t="s">
        <v>101</v>
      </c>
      <c r="E54" s="17" t="s">
        <v>25</v>
      </c>
      <c r="F54" s="17" t="s">
        <v>25</v>
      </c>
      <c r="G54" s="18" t="s">
        <v>88</v>
      </c>
      <c r="H54" s="18" t="s">
        <v>82</v>
      </c>
      <c r="I54" s="18">
        <f>'MERCADO TUSD'!$U$51</f>
        <v>0</v>
      </c>
      <c r="J54" s="15"/>
      <c r="L54" s="13">
        <f>'TUSD BE'!$L$54*'TUSD BE'!$L$75</f>
        <v>-2.9759511996848507</v>
      </c>
      <c r="M54" s="13">
        <f>'TUSD BE'!$M$54*'TUSD BE'!$M$75</f>
        <v>-2.1998172291990838E-2</v>
      </c>
      <c r="N54" s="13">
        <f ca="1">'TUSD BE'!$N$54*'TUSD BE'!$N$75</f>
        <v>-1.0798244455749631E-6</v>
      </c>
      <c r="O54" s="13">
        <f>'TUSD BE'!$O$54*'TUSD BE'!$O$75</f>
        <v>0</v>
      </c>
      <c r="P54" s="13">
        <f>'TUSD BE'!$P$54*'TUSD BE'!$P$75</f>
        <v>0</v>
      </c>
      <c r="Q54" s="13">
        <f>'TUSD BE'!$Q$54*'TUSD BE'!$Q$75</f>
        <v>-0.75578592147369994</v>
      </c>
      <c r="R54" s="13">
        <f>'TUSD BE'!$R$54*'TUSD BE'!$R$75</f>
        <v>-0.33555303906064865</v>
      </c>
      <c r="S54" s="13">
        <f>'TUSD BE'!$R$54*'TUSD BE'!$S$75</f>
        <v>0</v>
      </c>
      <c r="T54" s="13">
        <f ca="1">SUM($L$54:$S$54)</f>
        <v>-4.0892894123356358</v>
      </c>
      <c r="U54" s="13">
        <f>'TUSD BE'!$U$54*'TUSD BE'!$U$75</f>
        <v>0.14624714816123341</v>
      </c>
      <c r="V54" s="13">
        <f>'TUSD BE'!$V$54*'TUSD BE'!$V$75</f>
        <v>0.21257427986666341</v>
      </c>
      <c r="W54" s="13">
        <f>'TUSD BE'!$W$54*'TUSD BE'!$W$75</f>
        <v>-3.0182589728318356E-2</v>
      </c>
      <c r="X54" s="13">
        <f>'TUSD BE'!$X$54*'TUSD BE'!$X$75</f>
        <v>0</v>
      </c>
      <c r="Y54" s="13">
        <f>'TUSD BE'!$Y$54*'TUSD BE'!$Y$75</f>
        <v>0</v>
      </c>
      <c r="Z54" s="13">
        <f>'TUSD BE'!$Z$54*'TUSD BE'!$Z$75</f>
        <v>0</v>
      </c>
      <c r="AA54" s="13">
        <f>'TUSD BE'!$AA$54*'TUSD BE'!$AA$75</f>
        <v>0</v>
      </c>
      <c r="AB54" s="13">
        <f>SUM($U$54:$AA$54)</f>
        <v>0.32863883829957852</v>
      </c>
      <c r="AC54" s="13">
        <f>'TUSD BE'!$AC$54*'TUSD BE'!$AC$75</f>
        <v>-0.48818228231522048</v>
      </c>
      <c r="AD54" s="13">
        <f>SUM($AC$54:$AC$54)</f>
        <v>-0.48818228231522048</v>
      </c>
      <c r="AE54" s="13">
        <f ca="1">$AO$54*$AO$72</f>
        <v>-46.804090771278901</v>
      </c>
      <c r="AF54" s="13">
        <f ca="1">$AP$54*$AP$72</f>
        <v>0</v>
      </c>
      <c r="AG54" s="13">
        <f ca="1">SUM($AE$54:$AF$54)</f>
        <v>-46.804090771278901</v>
      </c>
      <c r="AH54" s="13">
        <f>'TUSD BE'!$AH$54*'TUSD BE'!$AH$75</f>
        <v>3.9228582529098137</v>
      </c>
      <c r="AI54" s="13">
        <f>'TUSD BE'!$AI$54*'TUSD BE'!$AI$75</f>
        <v>0.18138930435348485</v>
      </c>
      <c r="AJ54" s="13">
        <f ca="1">'TUSD BE'!$AJ$54*'TUSD BE'!$AJ$75</f>
        <v>3.7897006621286855</v>
      </c>
      <c r="AK54" s="13">
        <f ca="1">'TUSD BE'!$AK$54*'TUSD BE'!$AK$75</f>
        <v>-0.76178072115351414</v>
      </c>
      <c r="AL54" s="13">
        <f ca="1">SUM($AH$54:$AK$54)</f>
        <v>7.13216749823847</v>
      </c>
      <c r="AM54" s="13">
        <f ca="1">SUMIF($L$4:$AL$4,"SUBTOTAL",$L$54:$AL$54)</f>
        <v>-43.920756129391705</v>
      </c>
      <c r="AO54" s="20">
        <f ca="1">+'TUSD BE'!$T$54+'TUSD BE'!$AB$54+'TUSD BE'!$AD$54+'TUSD BE'!$AL$54</f>
        <v>522.17758251231044</v>
      </c>
      <c r="AP54" s="20">
        <f ca="1">+'TUSD BE'!$T$54+'TUSD BE'!$AB$54+'TUSD BE'!$AD$54+'TUSD BE'!$AL$54</f>
        <v>522.17758251231044</v>
      </c>
    </row>
    <row r="55" spans="1:42" ht="11.25" customHeight="1" x14ac:dyDescent="0.25">
      <c r="A55" s="107"/>
      <c r="B55" s="107" t="s">
        <v>35</v>
      </c>
      <c r="C55" s="107" t="s">
        <v>47</v>
      </c>
      <c r="D55" s="107" t="s">
        <v>102</v>
      </c>
      <c r="E55" s="107" t="s">
        <v>25</v>
      </c>
      <c r="F55" s="107" t="s">
        <v>25</v>
      </c>
      <c r="G55" s="18" t="s">
        <v>83</v>
      </c>
      <c r="H55" s="18" t="s">
        <v>82</v>
      </c>
      <c r="I55" s="18">
        <f>'MERCADO TUSD'!$U$52</f>
        <v>0</v>
      </c>
      <c r="J55" s="15"/>
      <c r="L55" s="13">
        <f>'TUSD BE'!$L$55*'TUSD BE'!$L$75</f>
        <v>-2.9759511996848507</v>
      </c>
      <c r="M55" s="13">
        <f>'TUSD BE'!$M$55*'TUSD BE'!$M$75</f>
        <v>-2.1998172291990838E-2</v>
      </c>
      <c r="N55" s="13">
        <f ca="1">'TUSD BE'!$N$55*'TUSD BE'!$N$75</f>
        <v>-2.7306127485542812E-6</v>
      </c>
      <c r="O55" s="13">
        <f>'TUSD BE'!$O$55*'TUSD BE'!$O$75</f>
        <v>0</v>
      </c>
      <c r="P55" s="13">
        <f>'TUSD BE'!$P$55*'TUSD BE'!$P$75</f>
        <v>0</v>
      </c>
      <c r="Q55" s="13">
        <f>'TUSD BE'!$Q$55*'TUSD BE'!$Q$75</f>
        <v>-0.75578592147369994</v>
      </c>
      <c r="R55" s="13">
        <f>'TUSD BE'!$R$55*'TUSD BE'!$R$75</f>
        <v>-0.33555303906064865</v>
      </c>
      <c r="S55" s="13">
        <f>'TUSD BE'!$R$55*'TUSD BE'!$S$75</f>
        <v>0</v>
      </c>
      <c r="T55" s="13">
        <f ca="1">SUM($L$55:$S$55)</f>
        <v>-4.0892910631239383</v>
      </c>
      <c r="U55" s="13">
        <f>'TUSD BE'!$U$55*'TUSD BE'!$U$75</f>
        <v>0.44605256711340874</v>
      </c>
      <c r="V55" s="13">
        <f>'TUSD BE'!$V$55*'TUSD BE'!$V$75</f>
        <v>0.64834920106698579</v>
      </c>
      <c r="W55" s="13">
        <f>'TUSD BE'!$W$55*'TUSD BE'!$W$75</f>
        <v>-9.2051045750317334E-2</v>
      </c>
      <c r="X55" s="13">
        <f>'TUSD BE'!$X$55*'TUSD BE'!$X$75</f>
        <v>0</v>
      </c>
      <c r="Y55" s="13">
        <f>'TUSD BE'!$Y$55*'TUSD BE'!$Y$75</f>
        <v>0</v>
      </c>
      <c r="Z55" s="13">
        <f>'TUSD BE'!$Z$55*'TUSD BE'!$Z$75</f>
        <v>0</v>
      </c>
      <c r="AA55" s="13">
        <f>'TUSD BE'!$AA$55*'TUSD BE'!$AA$75</f>
        <v>0</v>
      </c>
      <c r="AB55" s="13">
        <f>SUM($U$55:$AA$55)</f>
        <v>1.0023507224300772</v>
      </c>
      <c r="AC55" s="13">
        <f>'TUSD BE'!$AC$55*'TUSD BE'!$AC$75</f>
        <v>-1.488956029653999</v>
      </c>
      <c r="AD55" s="13">
        <f>SUM($AC$55:$AC$55)</f>
        <v>-1.488956029653999</v>
      </c>
      <c r="AE55" s="13">
        <f ca="1">$AO$55*$AO$72</f>
        <v>-115.93389067293687</v>
      </c>
      <c r="AF55" s="13">
        <f ca="1">$AP$55*$AP$72</f>
        <v>0</v>
      </c>
      <c r="AG55" s="13">
        <f ca="1">SUM($AE$55:$AF$55)</f>
        <v>-115.93389067293687</v>
      </c>
      <c r="AH55" s="13">
        <f>'TUSD BE'!$AH$55*'TUSD BE'!$AH$75</f>
        <v>3.9228582529098137</v>
      </c>
      <c r="AI55" s="13">
        <f>'TUSD BE'!$AI$55*'TUSD BE'!$AI$75</f>
        <v>0.18138930435348485</v>
      </c>
      <c r="AJ55" s="13">
        <f ca="1">'TUSD BE'!$AJ$55*'TUSD BE'!$AJ$75</f>
        <v>3.7897006621286855</v>
      </c>
      <c r="AK55" s="13">
        <f ca="1">'TUSD BE'!$AK$55*'TUSD BE'!$AK$75</f>
        <v>-0.76178072115351414</v>
      </c>
      <c r="AL55" s="13">
        <f ca="1">SUM($AH$55:$AK$55)</f>
        <v>7.13216749823847</v>
      </c>
      <c r="AM55" s="13">
        <f ca="1">SUMIF($L$4:$AL$4,"SUBTOTAL",$L$55:$AL$55)</f>
        <v>-113.37761954504626</v>
      </c>
      <c r="AO55" s="20">
        <f ca="1">+'TUSD BE'!$T$55+'TUSD BE'!$AB$55+'TUSD BE'!$AD$55+'TUSD BE'!$AL$55</f>
        <v>1293.4356327671589</v>
      </c>
      <c r="AP55" s="20">
        <f ca="1">+'TUSD BE'!$T$55+'TUSD BE'!$AB$55+'TUSD BE'!$AD$55+'TUSD BE'!$AL$55</f>
        <v>1293.4356327671589</v>
      </c>
    </row>
    <row r="56" spans="1:42" ht="11.25" customHeight="1" x14ac:dyDescent="0.25">
      <c r="A56" s="107"/>
      <c r="B56" s="107"/>
      <c r="C56" s="107"/>
      <c r="D56" s="107"/>
      <c r="E56" s="107"/>
      <c r="F56" s="107"/>
      <c r="G56" s="18" t="s">
        <v>98</v>
      </c>
      <c r="H56" s="18" t="s">
        <v>82</v>
      </c>
      <c r="I56" s="18">
        <f>'MERCADO TUSD'!$U$53</f>
        <v>0</v>
      </c>
      <c r="J56" s="15"/>
      <c r="L56" s="13">
        <f>'TUSD BE'!$L$56*'TUSD BE'!$L$75</f>
        <v>-2.9759511996848507</v>
      </c>
      <c r="M56" s="13">
        <f>'TUSD BE'!$M$56*'TUSD BE'!$M$75</f>
        <v>-2.1998172291990838E-2</v>
      </c>
      <c r="N56" s="13">
        <f ca="1">'TUSD BE'!$N$56*'TUSD BE'!$N$75</f>
        <v>-1.7481921081608425E-6</v>
      </c>
      <c r="O56" s="13">
        <f>'TUSD BE'!$O$56*'TUSD BE'!$O$75</f>
        <v>0</v>
      </c>
      <c r="P56" s="13">
        <f>'TUSD BE'!$P$56*'TUSD BE'!$P$75</f>
        <v>0</v>
      </c>
      <c r="Q56" s="13">
        <f>'TUSD BE'!$Q$56*'TUSD BE'!$Q$75</f>
        <v>-0.75578592147369994</v>
      </c>
      <c r="R56" s="13">
        <f>'TUSD BE'!$R$56*'TUSD BE'!$R$75</f>
        <v>-0.33555303906064865</v>
      </c>
      <c r="S56" s="13">
        <f>'TUSD BE'!$R$56*'TUSD BE'!$S$75</f>
        <v>0</v>
      </c>
      <c r="T56" s="13">
        <f ca="1">SUM($L$56:$S$56)</f>
        <v>-4.0892900807032984</v>
      </c>
      <c r="U56" s="13">
        <f>'TUSD BE'!$U$56*'TUSD BE'!$U$75</f>
        <v>0.26763203417938652</v>
      </c>
      <c r="V56" s="13">
        <f>'TUSD BE'!$V$56*'TUSD BE'!$V$75</f>
        <v>0.38900905013492393</v>
      </c>
      <c r="W56" s="13">
        <f>'TUSD BE'!$W$56*'TUSD BE'!$W$75</f>
        <v>-5.5230011353237379E-2</v>
      </c>
      <c r="X56" s="13">
        <f>'TUSD BE'!$X$56*'TUSD BE'!$X$75</f>
        <v>0</v>
      </c>
      <c r="Y56" s="13">
        <f>'TUSD BE'!$Y$56*'TUSD BE'!$Y$75</f>
        <v>0</v>
      </c>
      <c r="Z56" s="13">
        <f>'TUSD BE'!$Z$56*'TUSD BE'!$Z$75</f>
        <v>0</v>
      </c>
      <c r="AA56" s="13">
        <f>'TUSD BE'!$AA$56*'TUSD BE'!$AA$75</f>
        <v>0</v>
      </c>
      <c r="AB56" s="13">
        <f>SUM($U$56:$AA$56)</f>
        <v>0.6014110729610731</v>
      </c>
      <c r="AC56" s="13">
        <f>'TUSD BE'!$AC$56*'TUSD BE'!$AC$75</f>
        <v>-0.89337354919982293</v>
      </c>
      <c r="AD56" s="13">
        <f>SUM($AC$56:$AC$56)</f>
        <v>-0.89337354919982293</v>
      </c>
      <c r="AE56" s="13">
        <f ca="1">$AO$56*$AO$72</f>
        <v>-74.793213555595884</v>
      </c>
      <c r="AF56" s="13">
        <f ca="1">$AP$56*$AP$72</f>
        <v>0</v>
      </c>
      <c r="AG56" s="13">
        <f ca="1">SUM($AE$56:$AF$56)</f>
        <v>-74.793213555595884</v>
      </c>
      <c r="AH56" s="13">
        <f>'TUSD BE'!$AH$56*'TUSD BE'!$AH$75</f>
        <v>3.9228582529098137</v>
      </c>
      <c r="AI56" s="13">
        <f>'TUSD BE'!$AI$56*'TUSD BE'!$AI$75</f>
        <v>0.18138930435348485</v>
      </c>
      <c r="AJ56" s="13">
        <f ca="1">'TUSD BE'!$AJ$56*'TUSD BE'!$AJ$75</f>
        <v>3.7897006621286855</v>
      </c>
      <c r="AK56" s="13">
        <f ca="1">'TUSD BE'!$AK$56*'TUSD BE'!$AK$75</f>
        <v>-0.76178072115351414</v>
      </c>
      <c r="AL56" s="13">
        <f ca="1">SUM($AH$56:$AK$56)</f>
        <v>7.13216749823847</v>
      </c>
      <c r="AM56" s="13">
        <f ca="1">SUMIF($L$4:$AL$4,"SUBTOTAL",$L$56:$AL$56)</f>
        <v>-72.042298614299455</v>
      </c>
      <c r="AO56" s="20">
        <f ca="1">+'TUSD BE'!$T$56+'TUSD BE'!$AB$56+'TUSD BE'!$AD$56+'TUSD BE'!$AL$56</f>
        <v>834.44286170716816</v>
      </c>
      <c r="AP56" s="20">
        <f ca="1">+'TUSD BE'!$T$56+'TUSD BE'!$AB$56+'TUSD BE'!$AD$56+'TUSD BE'!$AL$56</f>
        <v>834.44286170716816</v>
      </c>
    </row>
    <row r="57" spans="1:42" ht="11.25" customHeight="1" x14ac:dyDescent="0.25">
      <c r="A57" s="107"/>
      <c r="B57" s="107"/>
      <c r="C57" s="107"/>
      <c r="D57" s="107"/>
      <c r="E57" s="107"/>
      <c r="F57" s="107"/>
      <c r="G57" s="18" t="s">
        <v>84</v>
      </c>
      <c r="H57" s="18" t="s">
        <v>82</v>
      </c>
      <c r="I57" s="18">
        <f>'MERCADO TUSD'!$U$54</f>
        <v>0</v>
      </c>
      <c r="J57" s="15"/>
      <c r="L57" s="13">
        <f>'TUSD BE'!$L$57*'TUSD BE'!$L$75</f>
        <v>-2.9759511996848507</v>
      </c>
      <c r="M57" s="13">
        <f>'TUSD BE'!$M$57*'TUSD BE'!$M$75</f>
        <v>-2.1998172291990838E-2</v>
      </c>
      <c r="N57" s="13">
        <f ca="1">'TUSD BE'!$N$57*'TUSD BE'!$N$75</f>
        <v>-7.6577146776740368E-7</v>
      </c>
      <c r="O57" s="13">
        <f>'TUSD BE'!$O$57*'TUSD BE'!$O$75</f>
        <v>0</v>
      </c>
      <c r="P57" s="13">
        <f>'TUSD BE'!$P$57*'TUSD BE'!$P$75</f>
        <v>0</v>
      </c>
      <c r="Q57" s="13">
        <f>'TUSD BE'!$Q$57*'TUSD BE'!$Q$75</f>
        <v>-0.75578592147369994</v>
      </c>
      <c r="R57" s="13">
        <f>'TUSD BE'!$R$57*'TUSD BE'!$R$75</f>
        <v>-0.33555303906064865</v>
      </c>
      <c r="S57" s="13">
        <f>'TUSD BE'!$R$57*'TUSD BE'!$S$75</f>
        <v>0</v>
      </c>
      <c r="T57" s="13">
        <f ca="1">SUM($L$57:$S$57)</f>
        <v>-4.0892890982826575</v>
      </c>
      <c r="U57" s="13">
        <f>'TUSD BE'!$U$57*'TUSD BE'!$U$75</f>
        <v>8.9210266467011093E-2</v>
      </c>
      <c r="V57" s="13">
        <f>'TUSD BE'!$V$57*'TUSD BE'!$V$75</f>
        <v>0.12966889920286212</v>
      </c>
      <c r="W57" s="13">
        <f>'TUSD BE'!$W$57*'TUSD BE'!$W$75</f>
        <v>-1.8408976956157432E-2</v>
      </c>
      <c r="X57" s="13">
        <f>'TUSD BE'!$X$57*'TUSD BE'!$X$75</f>
        <v>0</v>
      </c>
      <c r="Y57" s="13">
        <f>'TUSD BE'!$Y$57*'TUSD BE'!$Y$75</f>
        <v>0</v>
      </c>
      <c r="Z57" s="13">
        <f>'TUSD BE'!$Z$57*'TUSD BE'!$Z$75</f>
        <v>0</v>
      </c>
      <c r="AA57" s="13">
        <f>'TUSD BE'!$AA$57*'TUSD BE'!$AA$75</f>
        <v>0</v>
      </c>
      <c r="AB57" s="13">
        <f>SUM($U$57:$AA$57)</f>
        <v>0.20047018871371577</v>
      </c>
      <c r="AC57" s="13">
        <f>'TUSD BE'!$AC$57*'TUSD BE'!$AC$75</f>
        <v>-0.29779124022708792</v>
      </c>
      <c r="AD57" s="13">
        <f>SUM($AC$57:$AC$57)</f>
        <v>-0.29779124022708792</v>
      </c>
      <c r="AE57" s="13">
        <f ca="1">$AO$57*$AO$72</f>
        <v>-33.652536523350832</v>
      </c>
      <c r="AF57" s="13">
        <f ca="1">$AP$57*$AP$72</f>
        <v>0</v>
      </c>
      <c r="AG57" s="13">
        <f ca="1">SUM($AE$57:$AF$57)</f>
        <v>-33.652536523350832</v>
      </c>
      <c r="AH57" s="13">
        <f>'TUSD BE'!$AH$57*'TUSD BE'!$AH$75</f>
        <v>3.9228582529098137</v>
      </c>
      <c r="AI57" s="13">
        <f>'TUSD BE'!$AI$57*'TUSD BE'!$AI$75</f>
        <v>0.18138930435348485</v>
      </c>
      <c r="AJ57" s="13">
        <f ca="1">'TUSD BE'!$AJ$57*'TUSD BE'!$AJ$75</f>
        <v>3.7897006621286855</v>
      </c>
      <c r="AK57" s="13">
        <f ca="1">'TUSD BE'!$AK$57*'TUSD BE'!$AK$75</f>
        <v>-0.76178072115351414</v>
      </c>
      <c r="AL57" s="13">
        <f ca="1">SUM($AH$57:$AK$57)</f>
        <v>7.13216749823847</v>
      </c>
      <c r="AM57" s="13">
        <f ca="1">SUMIF($L$4:$AL$4,"SUBTOTAL",$L$57:$AL$57)</f>
        <v>-30.706979174908394</v>
      </c>
      <c r="AO57" s="20">
        <f ca="1">+'TUSD BE'!$T$57+'TUSD BE'!$AB$57+'TUSD BE'!$AD$57+'TUSD BE'!$AL$57</f>
        <v>375.45009159656422</v>
      </c>
      <c r="AP57" s="20">
        <f ca="1">+'TUSD BE'!$T$57+'TUSD BE'!$AB$57+'TUSD BE'!$AD$57+'TUSD BE'!$AL$57</f>
        <v>375.45009159656422</v>
      </c>
    </row>
    <row r="58" spans="1:42" ht="11.25" customHeight="1" x14ac:dyDescent="0.25">
      <c r="A58" s="107"/>
      <c r="B58" s="17" t="s">
        <v>23</v>
      </c>
      <c r="C58" s="17" t="s">
        <v>47</v>
      </c>
      <c r="D58" s="17" t="s">
        <v>102</v>
      </c>
      <c r="E58" s="17" t="s">
        <v>25</v>
      </c>
      <c r="F58" s="17" t="s">
        <v>25</v>
      </c>
      <c r="G58" s="18" t="s">
        <v>88</v>
      </c>
      <c r="H58" s="18" t="s">
        <v>82</v>
      </c>
      <c r="I58" s="18">
        <f>'MERCADO TUSD'!$U$55</f>
        <v>0</v>
      </c>
      <c r="J58" s="15"/>
      <c r="L58" s="13">
        <f>'TUSD BE'!$L$58*'TUSD BE'!$L$75</f>
        <v>-2.9759511996848507</v>
      </c>
      <c r="M58" s="13">
        <f>'TUSD BE'!$M$58*'TUSD BE'!$M$75</f>
        <v>-2.1998172291990838E-2</v>
      </c>
      <c r="N58" s="13">
        <f ca="1">'TUSD BE'!$N$58*'TUSD BE'!$N$75</f>
        <v>-1.0798244455749631E-6</v>
      </c>
      <c r="O58" s="13">
        <f>'TUSD BE'!$O$58*'TUSD BE'!$O$75</f>
        <v>0</v>
      </c>
      <c r="P58" s="13">
        <f>'TUSD BE'!$P$58*'TUSD BE'!$P$75</f>
        <v>0</v>
      </c>
      <c r="Q58" s="13">
        <f>'TUSD BE'!$Q$58*'TUSD BE'!$Q$75</f>
        <v>-0.75578592147369994</v>
      </c>
      <c r="R58" s="13">
        <f>'TUSD BE'!$R$58*'TUSD BE'!$R$75</f>
        <v>-0.33555303906064865</v>
      </c>
      <c r="S58" s="13">
        <f>'TUSD BE'!$R$58*'TUSD BE'!$S$75</f>
        <v>0</v>
      </c>
      <c r="T58" s="13">
        <f ca="1">SUM($L$58:$S$58)</f>
        <v>-4.0892894123356358</v>
      </c>
      <c r="U58" s="13">
        <f>'TUSD BE'!$U$58*'TUSD BE'!$U$75</f>
        <v>0.14624714816123341</v>
      </c>
      <c r="V58" s="13">
        <f>'TUSD BE'!$V$58*'TUSD BE'!$V$75</f>
        <v>0.21257427986666341</v>
      </c>
      <c r="W58" s="13">
        <f>'TUSD BE'!$W$58*'TUSD BE'!$W$75</f>
        <v>-3.0182589728318356E-2</v>
      </c>
      <c r="X58" s="13">
        <f>'TUSD BE'!$X$58*'TUSD BE'!$X$75</f>
        <v>0</v>
      </c>
      <c r="Y58" s="13">
        <f>'TUSD BE'!$Y$58*'TUSD BE'!$Y$75</f>
        <v>0</v>
      </c>
      <c r="Z58" s="13">
        <f>'TUSD BE'!$Z$58*'TUSD BE'!$Z$75</f>
        <v>0</v>
      </c>
      <c r="AA58" s="13">
        <f>'TUSD BE'!$AA$58*'TUSD BE'!$AA$75</f>
        <v>0</v>
      </c>
      <c r="AB58" s="13">
        <f>SUM($U$58:$AA$58)</f>
        <v>0.32863883829957852</v>
      </c>
      <c r="AC58" s="13">
        <f>'TUSD BE'!$AC$58*'TUSD BE'!$AC$75</f>
        <v>-0.48818228231522048</v>
      </c>
      <c r="AD58" s="13">
        <f>SUM($AC$58:$AC$58)</f>
        <v>-0.48818228231522048</v>
      </c>
      <c r="AE58" s="13">
        <f ca="1">$AO$58*$AO$72</f>
        <v>-46.804090771278901</v>
      </c>
      <c r="AF58" s="13">
        <f ca="1">$AP$58*$AP$72</f>
        <v>0</v>
      </c>
      <c r="AG58" s="13">
        <f ca="1">SUM($AE$58:$AF$58)</f>
        <v>-46.804090771278901</v>
      </c>
      <c r="AH58" s="13">
        <f>'TUSD BE'!$AH$58*'TUSD BE'!$AH$75</f>
        <v>3.9228582529098137</v>
      </c>
      <c r="AI58" s="13">
        <f>'TUSD BE'!$AI$58*'TUSD BE'!$AI$75</f>
        <v>0.18138930435348485</v>
      </c>
      <c r="AJ58" s="13">
        <f ca="1">'TUSD BE'!$AJ$58*'TUSD BE'!$AJ$75</f>
        <v>3.7897006621286855</v>
      </c>
      <c r="AK58" s="13">
        <f ca="1">'TUSD BE'!$AK$58*'TUSD BE'!$AK$75</f>
        <v>-0.76178072115351414</v>
      </c>
      <c r="AL58" s="13">
        <f ca="1">SUM($AH$58:$AK$58)</f>
        <v>7.13216749823847</v>
      </c>
      <c r="AM58" s="13">
        <f ca="1">SUMIF($L$4:$AL$4,"SUBTOTAL",$L$58:$AL$58)</f>
        <v>-43.920756129391705</v>
      </c>
      <c r="AO58" s="20">
        <f ca="1">+'TUSD BE'!$T$58+'TUSD BE'!$AB$58+'TUSD BE'!$AD$58+'TUSD BE'!$AL$58</f>
        <v>522.17758251231044</v>
      </c>
      <c r="AP58" s="20">
        <f ca="1">+'TUSD BE'!$T$58+'TUSD BE'!$AB$58+'TUSD BE'!$AD$58+'TUSD BE'!$AL$58</f>
        <v>522.17758251231044</v>
      </c>
    </row>
    <row r="59" spans="1:42" ht="11.25" customHeight="1" x14ac:dyDescent="0.25">
      <c r="A59" s="107"/>
      <c r="B59" s="107" t="s">
        <v>100</v>
      </c>
      <c r="C59" s="107" t="s">
        <v>47</v>
      </c>
      <c r="D59" s="17" t="s">
        <v>25</v>
      </c>
      <c r="E59" s="17" t="s">
        <v>25</v>
      </c>
      <c r="F59" s="17" t="s">
        <v>25</v>
      </c>
      <c r="G59" s="18" t="s">
        <v>88</v>
      </c>
      <c r="H59" s="18" t="s">
        <v>82</v>
      </c>
      <c r="I59" s="18">
        <f>'MERCADO TUSD'!$U$56</f>
        <v>0</v>
      </c>
      <c r="J59" s="15"/>
      <c r="L59" s="13">
        <f>'TUSD BE'!$L$59*'TUSD BE'!$L$75</f>
        <v>-2.9759511996848507</v>
      </c>
      <c r="M59" s="13">
        <f>'TUSD BE'!$M$59*'TUSD BE'!$M$75</f>
        <v>-2.1998172291990838E-2</v>
      </c>
      <c r="N59" s="13">
        <f ca="1">'TUSD BE'!$N$59*'TUSD BE'!$N$75</f>
        <v>-1.0798244455749631E-6</v>
      </c>
      <c r="O59" s="13">
        <f>'TUSD BE'!$O$59*'TUSD BE'!$O$75</f>
        <v>0</v>
      </c>
      <c r="P59" s="13">
        <f>'TUSD BE'!$P$59*'TUSD BE'!$P$75</f>
        <v>0</v>
      </c>
      <c r="Q59" s="13">
        <f>'TUSD BE'!$Q$59*'TUSD BE'!$Q$75</f>
        <v>-0.75578592147369994</v>
      </c>
      <c r="R59" s="13">
        <f>'TUSD BE'!$R$59*'TUSD BE'!$R$75</f>
        <v>-0.33555303906064865</v>
      </c>
      <c r="S59" s="13">
        <f>'TUSD BE'!$R$59*'TUSD BE'!$S$75</f>
        <v>0</v>
      </c>
      <c r="T59" s="13">
        <f ca="1">SUM($L$59:$S$59)</f>
        <v>-4.0892894123356358</v>
      </c>
      <c r="U59" s="13">
        <f>'TUSD BE'!$U$59*'TUSD BE'!$U$75</f>
        <v>0.14624714816123341</v>
      </c>
      <c r="V59" s="13">
        <f>'TUSD BE'!$V$59*'TUSD BE'!$V$75</f>
        <v>0.21257427986666341</v>
      </c>
      <c r="W59" s="13">
        <f>'TUSD BE'!$W$59*'TUSD BE'!$W$75</f>
        <v>-3.0182589728318356E-2</v>
      </c>
      <c r="X59" s="13">
        <f>'TUSD BE'!$X$59*'TUSD BE'!$X$75</f>
        <v>0</v>
      </c>
      <c r="Y59" s="13">
        <f>'TUSD BE'!$Y$59*'TUSD BE'!$Y$75</f>
        <v>0</v>
      </c>
      <c r="Z59" s="13">
        <f>'TUSD BE'!$Z$59*'TUSD BE'!$Z$75</f>
        <v>0</v>
      </c>
      <c r="AA59" s="13">
        <f>'TUSD BE'!$AA$59*'TUSD BE'!$AA$75</f>
        <v>0</v>
      </c>
      <c r="AB59" s="13">
        <f>SUM($U$59:$AA$59)</f>
        <v>0.32863883829957852</v>
      </c>
      <c r="AC59" s="13">
        <f>'TUSD BE'!$AC$59*'TUSD BE'!$AC$75</f>
        <v>-0.48818228231522048</v>
      </c>
      <c r="AD59" s="13">
        <f>SUM($AC$59:$AC$59)</f>
        <v>-0.48818228231522048</v>
      </c>
      <c r="AE59" s="13">
        <f ca="1">$AO$59*$AO$72</f>
        <v>-46.804090771278901</v>
      </c>
      <c r="AF59" s="13">
        <f ca="1">$AP$59*$AP$72</f>
        <v>0</v>
      </c>
      <c r="AG59" s="13">
        <f ca="1">SUM($AE$59:$AF$59)</f>
        <v>-46.804090771278901</v>
      </c>
      <c r="AH59" s="13">
        <f>'TUSD BE'!$AH$59*'TUSD BE'!$AH$75</f>
        <v>3.9228582529098137</v>
      </c>
      <c r="AI59" s="13">
        <f>'TUSD BE'!$AI$59*'TUSD BE'!$AI$75</f>
        <v>0.18138930435348485</v>
      </c>
      <c r="AJ59" s="13">
        <f ca="1">'TUSD BE'!$AJ$59*'TUSD BE'!$AJ$75</f>
        <v>3.7897006621286855</v>
      </c>
      <c r="AK59" s="13">
        <f ca="1">'TUSD BE'!$AK$59*'TUSD BE'!$AK$75</f>
        <v>-0.76178072115351414</v>
      </c>
      <c r="AL59" s="13">
        <f ca="1">SUM($AH$59:$AK$59)</f>
        <v>7.13216749823847</v>
      </c>
      <c r="AM59" s="13">
        <f ca="1">SUMIF($L$4:$AL$4,"SUBTOTAL",$L$59:$AL$59)</f>
        <v>-43.920756129391705</v>
      </c>
      <c r="AO59" s="20">
        <f ca="1">+'TUSD BE'!$T$59+'TUSD BE'!$AB$59+'TUSD BE'!$AD$59+'TUSD BE'!$AL$59</f>
        <v>522.17758251231044</v>
      </c>
      <c r="AP59" s="20">
        <f ca="1">+'TUSD BE'!$T$59+'TUSD BE'!$AB$59+'TUSD BE'!$AD$59+'TUSD BE'!$AL$59</f>
        <v>522.17758251231044</v>
      </c>
    </row>
    <row r="60" spans="1:42" ht="11.25" customHeight="1" x14ac:dyDescent="0.25">
      <c r="A60" s="107"/>
      <c r="B60" s="107"/>
      <c r="C60" s="107"/>
      <c r="D60" s="17" t="s">
        <v>101</v>
      </c>
      <c r="E60" s="17" t="s">
        <v>25</v>
      </c>
      <c r="F60" s="17" t="s">
        <v>25</v>
      </c>
      <c r="G60" s="18" t="s">
        <v>88</v>
      </c>
      <c r="H60" s="18" t="s">
        <v>82</v>
      </c>
      <c r="I60" s="18">
        <f>'MERCADO TUSD'!$U$57</f>
        <v>0</v>
      </c>
      <c r="J60" s="15"/>
      <c r="L60" s="13">
        <f>'TUSD BE'!$L$60*'TUSD BE'!$L$75</f>
        <v>-2.9759511996848507</v>
      </c>
      <c r="M60" s="13">
        <f>'TUSD BE'!$M$60*'TUSD BE'!$M$75</f>
        <v>-2.1998172291990838E-2</v>
      </c>
      <c r="N60" s="13">
        <f ca="1">'TUSD BE'!$N$60*'TUSD BE'!$N$75</f>
        <v>-1.0798244455749631E-6</v>
      </c>
      <c r="O60" s="13">
        <f>'TUSD BE'!$O$60*'TUSD BE'!$O$75</f>
        <v>0</v>
      </c>
      <c r="P60" s="13">
        <f>'TUSD BE'!$P$60*'TUSD BE'!$P$75</f>
        <v>0</v>
      </c>
      <c r="Q60" s="13">
        <f>'TUSD BE'!$Q$60*'TUSD BE'!$Q$75</f>
        <v>-0.75578592147369994</v>
      </c>
      <c r="R60" s="13">
        <f>'TUSD BE'!$R$60*'TUSD BE'!$R$75</f>
        <v>-0.33555303906064865</v>
      </c>
      <c r="S60" s="13">
        <f>'TUSD BE'!$R$60*'TUSD BE'!$S$75</f>
        <v>0</v>
      </c>
      <c r="T60" s="13">
        <f ca="1">SUM($L$60:$S$60)</f>
        <v>-4.0892894123356358</v>
      </c>
      <c r="U60" s="13">
        <f>'TUSD BE'!$U$60*'TUSD BE'!$U$75</f>
        <v>0.14624714816123341</v>
      </c>
      <c r="V60" s="13">
        <f>'TUSD BE'!$V$60*'TUSD BE'!$V$75</f>
        <v>0.21257427986666341</v>
      </c>
      <c r="W60" s="13">
        <f>'TUSD BE'!$W$60*'TUSD BE'!$W$75</f>
        <v>-3.0182589728318356E-2</v>
      </c>
      <c r="X60" s="13">
        <f>'TUSD BE'!$X$60*'TUSD BE'!$X$75</f>
        <v>0</v>
      </c>
      <c r="Y60" s="13">
        <f>'TUSD BE'!$Y$60*'TUSD BE'!$Y$75</f>
        <v>0</v>
      </c>
      <c r="Z60" s="13">
        <f>'TUSD BE'!$Z$60*'TUSD BE'!$Z$75</f>
        <v>0</v>
      </c>
      <c r="AA60" s="13">
        <f>'TUSD BE'!$AA$60*'TUSD BE'!$AA$75</f>
        <v>0</v>
      </c>
      <c r="AB60" s="13">
        <f>SUM($U$60:$AA$60)</f>
        <v>0.32863883829957852</v>
      </c>
      <c r="AC60" s="13">
        <f>'TUSD BE'!$AC$60*'TUSD BE'!$AC$75</f>
        <v>-0.48818228231522048</v>
      </c>
      <c r="AD60" s="13">
        <f>SUM($AC$60:$AC$60)</f>
        <v>-0.48818228231522048</v>
      </c>
      <c r="AE60" s="13">
        <f ca="1">$AO$60*$AO$72</f>
        <v>-46.804090771278901</v>
      </c>
      <c r="AF60" s="13">
        <f ca="1">$AP$60*$AP$72</f>
        <v>0</v>
      </c>
      <c r="AG60" s="13">
        <f ca="1">SUM($AE$60:$AF$60)</f>
        <v>-46.804090771278901</v>
      </c>
      <c r="AH60" s="13">
        <f>'TUSD BE'!$AH$60*'TUSD BE'!$AH$75</f>
        <v>3.9228582529098137</v>
      </c>
      <c r="AI60" s="13">
        <f>'TUSD BE'!$AI$60*'TUSD BE'!$AI$75</f>
        <v>0.18138930435348485</v>
      </c>
      <c r="AJ60" s="13">
        <f ca="1">'TUSD BE'!$AJ$60*'TUSD BE'!$AJ$75</f>
        <v>3.7897006621286855</v>
      </c>
      <c r="AK60" s="13">
        <f ca="1">'TUSD BE'!$AK$60*'TUSD BE'!$AK$75</f>
        <v>-0.76178072115351414</v>
      </c>
      <c r="AL60" s="13">
        <f ca="1">SUM($AH$60:$AK$60)</f>
        <v>7.13216749823847</v>
      </c>
      <c r="AM60" s="13">
        <f ca="1">SUMIF($L$4:$AL$4,"SUBTOTAL",$L$60:$AL$60)</f>
        <v>-43.920756129391705</v>
      </c>
      <c r="AO60" s="20">
        <f ca="1">+'TUSD BE'!$T$60+'TUSD BE'!$AB$60+'TUSD BE'!$AD$60+'TUSD BE'!$AL$60</f>
        <v>522.17758251231044</v>
      </c>
      <c r="AP60" s="20">
        <f ca="1">+'TUSD BE'!$T$60+'TUSD BE'!$AB$60+'TUSD BE'!$AD$60+'TUSD BE'!$AL$60</f>
        <v>522.17758251231044</v>
      </c>
    </row>
    <row r="61" spans="1:42" ht="11.25" customHeight="1" x14ac:dyDescent="0.25">
      <c r="A61" s="107"/>
      <c r="B61" s="107"/>
      <c r="C61" s="107"/>
      <c r="D61" s="17" t="s">
        <v>102</v>
      </c>
      <c r="E61" s="17" t="s">
        <v>25</v>
      </c>
      <c r="F61" s="17" t="s">
        <v>25</v>
      </c>
      <c r="G61" s="18" t="s">
        <v>88</v>
      </c>
      <c r="H61" s="18" t="s">
        <v>82</v>
      </c>
      <c r="I61" s="18">
        <f>'MERCADO TUSD'!$U$58</f>
        <v>0</v>
      </c>
      <c r="J61" s="15"/>
      <c r="L61" s="13">
        <f>'TUSD BE'!$L$61*'TUSD BE'!$L$75</f>
        <v>-2.9759511996848507</v>
      </c>
      <c r="M61" s="13">
        <f>'TUSD BE'!$M$61*'TUSD BE'!$M$75</f>
        <v>-2.1998172291990838E-2</v>
      </c>
      <c r="N61" s="13">
        <f ca="1">'TUSD BE'!$N$61*'TUSD BE'!$N$75</f>
        <v>-1.0798244455749631E-6</v>
      </c>
      <c r="O61" s="13">
        <f>'TUSD BE'!$O$61*'TUSD BE'!$O$75</f>
        <v>0</v>
      </c>
      <c r="P61" s="13">
        <f>'TUSD BE'!$P$61*'TUSD BE'!$P$75</f>
        <v>0</v>
      </c>
      <c r="Q61" s="13">
        <f>'TUSD BE'!$Q$61*'TUSD BE'!$Q$75</f>
        <v>-0.75578592147369994</v>
      </c>
      <c r="R61" s="13">
        <f>'TUSD BE'!$R$61*'TUSD BE'!$R$75</f>
        <v>-0.33555303906064865</v>
      </c>
      <c r="S61" s="13">
        <f>'TUSD BE'!$R$61*'TUSD BE'!$S$75</f>
        <v>0</v>
      </c>
      <c r="T61" s="13">
        <f ca="1">SUM($L$61:$S$61)</f>
        <v>-4.0892894123356358</v>
      </c>
      <c r="U61" s="13">
        <f>'TUSD BE'!$U$61*'TUSD BE'!$U$75</f>
        <v>0.14624714816123341</v>
      </c>
      <c r="V61" s="13">
        <f>'TUSD BE'!$V$61*'TUSD BE'!$V$75</f>
        <v>0.21257427986666341</v>
      </c>
      <c r="W61" s="13">
        <f>'TUSD BE'!$W$61*'TUSD BE'!$W$75</f>
        <v>-3.0182589728318356E-2</v>
      </c>
      <c r="X61" s="13">
        <f>'TUSD BE'!$X$61*'TUSD BE'!$X$75</f>
        <v>0</v>
      </c>
      <c r="Y61" s="13">
        <f>'TUSD BE'!$Y$61*'TUSD BE'!$Y$75</f>
        <v>0</v>
      </c>
      <c r="Z61" s="13">
        <f>'TUSD BE'!$Z$61*'TUSD BE'!$Z$75</f>
        <v>0</v>
      </c>
      <c r="AA61" s="13">
        <f>'TUSD BE'!$AA$61*'TUSD BE'!$AA$75</f>
        <v>0</v>
      </c>
      <c r="AB61" s="13">
        <f>SUM($U$61:$AA$61)</f>
        <v>0.32863883829957852</v>
      </c>
      <c r="AC61" s="13">
        <f>'TUSD BE'!$AC$61*'TUSD BE'!$AC$75</f>
        <v>-0.48818228231522048</v>
      </c>
      <c r="AD61" s="13">
        <f>SUM($AC$61:$AC$61)</f>
        <v>-0.48818228231522048</v>
      </c>
      <c r="AE61" s="13">
        <f ca="1">$AO$61*$AO$72</f>
        <v>-46.804090771278901</v>
      </c>
      <c r="AF61" s="13">
        <f ca="1">$AP$61*$AP$72</f>
        <v>0</v>
      </c>
      <c r="AG61" s="13">
        <f ca="1">SUM($AE$61:$AF$61)</f>
        <v>-46.804090771278901</v>
      </c>
      <c r="AH61" s="13">
        <f>'TUSD BE'!$AH$61*'TUSD BE'!$AH$75</f>
        <v>3.9228582529098137</v>
      </c>
      <c r="AI61" s="13">
        <f>'TUSD BE'!$AI$61*'TUSD BE'!$AI$75</f>
        <v>0.18138930435348485</v>
      </c>
      <c r="AJ61" s="13">
        <f ca="1">'TUSD BE'!$AJ$61*'TUSD BE'!$AJ$75</f>
        <v>3.7897006621286855</v>
      </c>
      <c r="AK61" s="13">
        <f ca="1">'TUSD BE'!$AK$61*'TUSD BE'!$AK$75</f>
        <v>-0.76178072115351414</v>
      </c>
      <c r="AL61" s="13">
        <f ca="1">SUM($AH$61:$AK$61)</f>
        <v>7.13216749823847</v>
      </c>
      <c r="AM61" s="13">
        <f ca="1">SUMIF($L$4:$AL$4,"SUBTOTAL",$L$61:$AL$61)</f>
        <v>-43.920756129391705</v>
      </c>
      <c r="AO61" s="20">
        <f ca="1">+'TUSD BE'!$T$61+'TUSD BE'!$AB$61+'TUSD BE'!$AD$61+'TUSD BE'!$AL$61</f>
        <v>522.17758251231044</v>
      </c>
      <c r="AP61" s="20">
        <f ca="1">+'TUSD BE'!$T$61+'TUSD BE'!$AB$61+'TUSD BE'!$AD$61+'TUSD BE'!$AL$61</f>
        <v>522.17758251231044</v>
      </c>
    </row>
    <row r="62" spans="1:42" ht="11.25" customHeight="1" x14ac:dyDescent="0.25">
      <c r="A62" s="107" t="s">
        <v>39</v>
      </c>
      <c r="B62" s="107" t="s">
        <v>35</v>
      </c>
      <c r="C62" s="107" t="s">
        <v>25</v>
      </c>
      <c r="D62" s="107" t="s">
        <v>25</v>
      </c>
      <c r="E62" s="107" t="s">
        <v>25</v>
      </c>
      <c r="F62" s="107" t="s">
        <v>25</v>
      </c>
      <c r="G62" s="18" t="s">
        <v>83</v>
      </c>
      <c r="H62" s="18" t="s">
        <v>82</v>
      </c>
      <c r="I62" s="18">
        <f>'MERCADO TUSD'!$U$59</f>
        <v>79.968999999999994</v>
      </c>
      <c r="J62" s="15"/>
      <c r="L62" s="13">
        <f>'TUSD BE'!$L$62*'TUSD BE'!$L$75</f>
        <v>-2.9759511996848507</v>
      </c>
      <c r="M62" s="13">
        <f>'TUSD BE'!$M$62*'TUSD BE'!$M$75</f>
        <v>-2.1998172291990838E-2</v>
      </c>
      <c r="N62" s="13">
        <f ca="1">'TUSD BE'!$N$62*'TUSD BE'!$N$75</f>
        <v>-3.0124549422592766E-6</v>
      </c>
      <c r="O62" s="13">
        <f>'TUSD BE'!$O$62*'TUSD BE'!$O$75</f>
        <v>0</v>
      </c>
      <c r="P62" s="13">
        <f>'TUSD BE'!$P$62*'TUSD BE'!$P$75</f>
        <v>0</v>
      </c>
      <c r="Q62" s="13">
        <f>'TUSD BE'!$Q$62*'TUSD BE'!$Q$75</f>
        <v>-0.75578592147369994</v>
      </c>
      <c r="R62" s="13">
        <f>'TUSD BE'!$R$62*'TUSD BE'!$R$75</f>
        <v>-0.33555303906064865</v>
      </c>
      <c r="S62" s="13">
        <f>'TUSD BE'!$R$62*'TUSD BE'!$S$75</f>
        <v>0</v>
      </c>
      <c r="T62" s="13">
        <f ca="1">SUM($L$62:$S$62)</f>
        <v>-4.0892913449661323</v>
      </c>
      <c r="U62" s="13">
        <f>'TUSD BE'!$U$62*'TUSD BE'!$U$75</f>
        <v>0.49723906896984038</v>
      </c>
      <c r="V62" s="13">
        <f>'TUSD BE'!$V$62*'TUSD BE'!$V$75</f>
        <v>0.72275019902031812</v>
      </c>
      <c r="W62" s="13">
        <f>'TUSD BE'!$W$62*'TUSD BE'!$W$75</f>
        <v>-0.10261710849456432</v>
      </c>
      <c r="X62" s="13">
        <f>'TUSD BE'!$X$62*'TUSD BE'!$X$75</f>
        <v>0</v>
      </c>
      <c r="Y62" s="13">
        <f>'TUSD BE'!$Y$62*'TUSD BE'!$Y$75</f>
        <v>0</v>
      </c>
      <c r="Z62" s="13">
        <f>'TUSD BE'!$Z$62*'TUSD BE'!$Z$75</f>
        <v>0</v>
      </c>
      <c r="AA62" s="13">
        <f>'TUSD BE'!$AA$62*'TUSD BE'!$AA$75</f>
        <v>0</v>
      </c>
      <c r="AB62" s="13">
        <f>SUM($U$62:$AA$62)</f>
        <v>1.1173721594955941</v>
      </c>
      <c r="AC62" s="13">
        <f>'TUSD BE'!$AC$62*'TUSD BE'!$AC$75</f>
        <v>-1.6598197941680379</v>
      </c>
      <c r="AD62" s="13">
        <f>SUM($AC$62:$AC$62)</f>
        <v>-1.6598197941680379</v>
      </c>
      <c r="AE62" s="13">
        <f ca="1">$AO$62*$AO$72</f>
        <v>-127.73655599169918</v>
      </c>
      <c r="AF62" s="13">
        <f ca="1">$AP$62*$AP$72</f>
        <v>0</v>
      </c>
      <c r="AG62" s="13">
        <f ca="1">SUM($AE$62:$AF$62)</f>
        <v>-127.73655599169918</v>
      </c>
      <c r="AH62" s="13">
        <f>'TUSD BE'!$AH$62*'TUSD BE'!$AH$75</f>
        <v>3.9228582529098137</v>
      </c>
      <c r="AI62" s="13">
        <f>'TUSD BE'!$AI$62*'TUSD BE'!$AI$75</f>
        <v>0.18138930435348485</v>
      </c>
      <c r="AJ62" s="13">
        <f ca="1">'TUSD BE'!$AJ$62*'TUSD BE'!$AJ$75</f>
        <v>3.7897006621286855</v>
      </c>
      <c r="AK62" s="13">
        <f ca="1">'TUSD BE'!$AK$62*'TUSD BE'!$AK$75</f>
        <v>-0.76178072115351414</v>
      </c>
      <c r="AL62" s="13">
        <f ca="1">SUM($AH$62:$AK$62)</f>
        <v>7.13216749823847</v>
      </c>
      <c r="AM62" s="13">
        <f ca="1">SUMIF($L$4:$AL$4,"SUBTOTAL",$L$62:$AL$62)</f>
        <v>-125.23612747309927</v>
      </c>
      <c r="AO62" s="20">
        <f ca="1">+'TUSD BE'!$T$62+'TUSD BE'!$AB$62+'TUSD BE'!$AD$62+'TUSD BE'!$AL$62</f>
        <v>1425.1140211685235</v>
      </c>
      <c r="AP62" s="20">
        <f ca="1">+'TUSD BE'!$T$62+'TUSD BE'!$AB$62+'TUSD BE'!$AD$62+'TUSD BE'!$AL$62</f>
        <v>1425.1140211685235</v>
      </c>
    </row>
    <row r="63" spans="1:42" ht="11.25" customHeight="1" x14ac:dyDescent="0.25">
      <c r="A63" s="107"/>
      <c r="B63" s="107"/>
      <c r="C63" s="107"/>
      <c r="D63" s="107"/>
      <c r="E63" s="107"/>
      <c r="F63" s="107"/>
      <c r="G63" s="18" t="s">
        <v>98</v>
      </c>
      <c r="H63" s="18" t="s">
        <v>82</v>
      </c>
      <c r="I63" s="18">
        <f>'MERCADO TUSD'!$U$60</f>
        <v>41.695999999999998</v>
      </c>
      <c r="J63" s="15"/>
      <c r="L63" s="13">
        <f>'TUSD BE'!$L$63*'TUSD BE'!$L$75</f>
        <v>-2.9759511996848507</v>
      </c>
      <c r="M63" s="13">
        <f>'TUSD BE'!$M$63*'TUSD BE'!$M$75</f>
        <v>-2.1998172291990838E-2</v>
      </c>
      <c r="N63" s="13">
        <f ca="1">'TUSD BE'!$N$63*'TUSD BE'!$N$75</f>
        <v>-1.9172974769218387E-6</v>
      </c>
      <c r="O63" s="13">
        <f>'TUSD BE'!$O$63*'TUSD BE'!$O$75</f>
        <v>0</v>
      </c>
      <c r="P63" s="13">
        <f>'TUSD BE'!$P$63*'TUSD BE'!$P$75</f>
        <v>0</v>
      </c>
      <c r="Q63" s="13">
        <f>'TUSD BE'!$Q$63*'TUSD BE'!$Q$75</f>
        <v>-0.75578592147369994</v>
      </c>
      <c r="R63" s="13">
        <f>'TUSD BE'!$R$63*'TUSD BE'!$R$75</f>
        <v>-0.33555303906064865</v>
      </c>
      <c r="S63" s="13">
        <f>'TUSD BE'!$R$63*'TUSD BE'!$S$75</f>
        <v>0</v>
      </c>
      <c r="T63" s="13">
        <f ca="1">SUM($L$63:$S$63)</f>
        <v>-4.0892902498086672</v>
      </c>
      <c r="U63" s="13">
        <f>'TUSD BE'!$U$63*'TUSD BE'!$U$75</f>
        <v>0.29834344138190422</v>
      </c>
      <c r="V63" s="13">
        <f>'TUSD BE'!$V$63*'TUSD BE'!$V$75</f>
        <v>0.43365058991745831</v>
      </c>
      <c r="W63" s="13">
        <f>'TUSD BE'!$W$63*'TUSD BE'!$W$75</f>
        <v>-6.1569648999785571E-2</v>
      </c>
      <c r="X63" s="13">
        <f>'TUSD BE'!$X$63*'TUSD BE'!$X$75</f>
        <v>0</v>
      </c>
      <c r="Y63" s="13">
        <f>'TUSD BE'!$Y$63*'TUSD BE'!$Y$75</f>
        <v>0</v>
      </c>
      <c r="Z63" s="13">
        <f>'TUSD BE'!$Z$63*'TUSD BE'!$Z$75</f>
        <v>0</v>
      </c>
      <c r="AA63" s="13">
        <f>'TUSD BE'!$AA$63*'TUSD BE'!$AA$75</f>
        <v>0</v>
      </c>
      <c r="AB63" s="13">
        <f>SUM($U$63:$AA$63)</f>
        <v>0.6704243822995769</v>
      </c>
      <c r="AC63" s="13">
        <f>'TUSD BE'!$AC$63*'TUSD BE'!$AC$75</f>
        <v>-0.99589184220453453</v>
      </c>
      <c r="AD63" s="13">
        <f>SUM($AC$63:$AC$63)</f>
        <v>-0.99589184220453453</v>
      </c>
      <c r="AE63" s="13">
        <f ca="1">$AO$63*$AO$72</f>
        <v>-81.874816744559325</v>
      </c>
      <c r="AF63" s="13">
        <f ca="1">$AP$63*$AP$72</f>
        <v>0</v>
      </c>
      <c r="AG63" s="13">
        <f ca="1">SUM($AE$63:$AF$63)</f>
        <v>-81.874816744559325</v>
      </c>
      <c r="AH63" s="13">
        <f>'TUSD BE'!$AH$63*'TUSD BE'!$AH$75</f>
        <v>3.9228582529098137</v>
      </c>
      <c r="AI63" s="13">
        <f>'TUSD BE'!$AI$63*'TUSD BE'!$AI$75</f>
        <v>0.18138930435348485</v>
      </c>
      <c r="AJ63" s="13">
        <f ca="1">'TUSD BE'!$AJ$63*'TUSD BE'!$AJ$75</f>
        <v>3.7897006621286855</v>
      </c>
      <c r="AK63" s="13">
        <f ca="1">'TUSD BE'!$AK$63*'TUSD BE'!$AK$75</f>
        <v>-0.76178072115351414</v>
      </c>
      <c r="AL63" s="13">
        <f ca="1">SUM($AH$63:$AK$63)</f>
        <v>7.13216749823847</v>
      </c>
      <c r="AM63" s="13">
        <f ca="1">SUMIF($L$4:$AL$4,"SUBTOTAL",$L$63:$AL$63)</f>
        <v>-79.157406956034478</v>
      </c>
      <c r="AO63" s="20">
        <f ca="1">+'TUSD BE'!$T$63+'TUSD BE'!$AB$63+'TUSD BE'!$AD$63+'TUSD BE'!$AL$63</f>
        <v>913.44993934905597</v>
      </c>
      <c r="AP63" s="20">
        <f ca="1">+'TUSD BE'!$T$63+'TUSD BE'!$AB$63+'TUSD BE'!$AD$63+'TUSD BE'!$AL$63</f>
        <v>913.44993934905597</v>
      </c>
    </row>
    <row r="64" spans="1:42" ht="11.25" customHeight="1" x14ac:dyDescent="0.25">
      <c r="A64" s="107"/>
      <c r="B64" s="107"/>
      <c r="C64" s="107"/>
      <c r="D64" s="107"/>
      <c r="E64" s="107"/>
      <c r="F64" s="107"/>
      <c r="G64" s="18" t="s">
        <v>84</v>
      </c>
      <c r="H64" s="18" t="s">
        <v>82</v>
      </c>
      <c r="I64" s="18">
        <f>'MERCADO TUSD'!$U$61</f>
        <v>1338.2650000000001</v>
      </c>
      <c r="J64" s="15"/>
      <c r="L64" s="13">
        <f>'TUSD BE'!$L$64*'TUSD BE'!$L$75</f>
        <v>-2.9759511996848507</v>
      </c>
      <c r="M64" s="13">
        <f>'TUSD BE'!$M$64*'TUSD BE'!$M$75</f>
        <v>-2.1998172291990838E-2</v>
      </c>
      <c r="N64" s="13">
        <f ca="1">'TUSD BE'!$N$64*'TUSD BE'!$N$75</f>
        <v>-8.221400115843996E-7</v>
      </c>
      <c r="O64" s="13">
        <f>'TUSD BE'!$O$64*'TUSD BE'!$O$75</f>
        <v>0</v>
      </c>
      <c r="P64" s="13">
        <f>'TUSD BE'!$P$64*'TUSD BE'!$P$75</f>
        <v>0</v>
      </c>
      <c r="Q64" s="13">
        <f>'TUSD BE'!$Q$64*'TUSD BE'!$Q$75</f>
        <v>-0.75578592147369994</v>
      </c>
      <c r="R64" s="13">
        <f>'TUSD BE'!$R$64*'TUSD BE'!$R$75</f>
        <v>-0.33555303906064865</v>
      </c>
      <c r="S64" s="13">
        <f>'TUSD BE'!$R$64*'TUSD BE'!$S$75</f>
        <v>0</v>
      </c>
      <c r="T64" s="13">
        <f ca="1">SUM($L$64:$S$64)</f>
        <v>-4.089289154651202</v>
      </c>
      <c r="U64" s="13">
        <f>'TUSD BE'!$U$64*'TUSD BE'!$U$75</f>
        <v>9.9447813793968082E-2</v>
      </c>
      <c r="V64" s="13">
        <f>'TUSD BE'!$V$64*'TUSD BE'!$V$75</f>
        <v>0.14455098081459863</v>
      </c>
      <c r="W64" s="13">
        <f>'TUSD BE'!$W$64*'TUSD BE'!$W$75</f>
        <v>-2.0522189505006828E-2</v>
      </c>
      <c r="X64" s="13">
        <f>'TUSD BE'!$X$64*'TUSD BE'!$X$75</f>
        <v>0</v>
      </c>
      <c r="Y64" s="13">
        <f>'TUSD BE'!$Y$64*'TUSD BE'!$Y$75</f>
        <v>0</v>
      </c>
      <c r="Z64" s="13">
        <f>'TUSD BE'!$Z$64*'TUSD BE'!$Z$75</f>
        <v>0</v>
      </c>
      <c r="AA64" s="13">
        <f>'TUSD BE'!$AA$64*'TUSD BE'!$AA$75</f>
        <v>0</v>
      </c>
      <c r="AB64" s="13">
        <f>SUM($U$64:$AA$64)</f>
        <v>0.22347660510355988</v>
      </c>
      <c r="AC64" s="13">
        <f>'TUSD BE'!$AC$64*'TUSD BE'!$AC$75</f>
        <v>-0.33196389024103135</v>
      </c>
      <c r="AD64" s="13">
        <f>SUM($AC$64:$AC$64)</f>
        <v>-0.33196389024103135</v>
      </c>
      <c r="AE64" s="13">
        <f ca="1">$AO$64*$AO$72</f>
        <v>-36.013077497419488</v>
      </c>
      <c r="AF64" s="13">
        <f ca="1">$AP$64*$AP$72</f>
        <v>0</v>
      </c>
      <c r="AG64" s="13">
        <f ca="1">SUM($AE$64:$AF$64)</f>
        <v>-36.013077497419488</v>
      </c>
      <c r="AH64" s="13">
        <f>'TUSD BE'!$AH$64*'TUSD BE'!$AH$75</f>
        <v>3.9228582529098137</v>
      </c>
      <c r="AI64" s="13">
        <f>'TUSD BE'!$AI$64*'TUSD BE'!$AI$75</f>
        <v>0.18138930435348485</v>
      </c>
      <c r="AJ64" s="13">
        <f ca="1">'TUSD BE'!$AJ$64*'TUSD BE'!$AJ$75</f>
        <v>3.7897006621286855</v>
      </c>
      <c r="AK64" s="13">
        <f ca="1">'TUSD BE'!$AK$64*'TUSD BE'!$AK$75</f>
        <v>-0.76178072115351414</v>
      </c>
      <c r="AL64" s="13">
        <f ca="1">SUM($AH$64:$AK$64)</f>
        <v>7.13216749823847</v>
      </c>
      <c r="AM64" s="13">
        <f ca="1">SUMIF($L$4:$AL$4,"SUBTOTAL",$L$64:$AL$64)</f>
        <v>-33.078686438969697</v>
      </c>
      <c r="AO64" s="20">
        <f ca="1">+'TUSD BE'!$T$64+'TUSD BE'!$AB$64+'TUSD BE'!$AD$64+'TUSD BE'!$AL$64</f>
        <v>401.7858575295885</v>
      </c>
      <c r="AP64" s="20">
        <f ca="1">+'TUSD BE'!$T$64+'TUSD BE'!$AB$64+'TUSD BE'!$AD$64+'TUSD BE'!$AL$64</f>
        <v>401.7858575295885</v>
      </c>
    </row>
    <row r="65" spans="1:42" ht="11.25" customHeight="1" x14ac:dyDescent="0.25">
      <c r="A65" s="107"/>
      <c r="B65" s="17" t="s">
        <v>23</v>
      </c>
      <c r="C65" s="17" t="s">
        <v>25</v>
      </c>
      <c r="D65" s="17" t="s">
        <v>25</v>
      </c>
      <c r="E65" s="17" t="s">
        <v>25</v>
      </c>
      <c r="F65" s="17" t="s">
        <v>25</v>
      </c>
      <c r="G65" s="18" t="s">
        <v>88</v>
      </c>
      <c r="H65" s="18" t="s">
        <v>82</v>
      </c>
      <c r="I65" s="18">
        <f>'MERCADO TUSD'!$U$62</f>
        <v>209665.67300000001</v>
      </c>
      <c r="J65" s="15"/>
      <c r="L65" s="13">
        <f>'TUSD BE'!$L$65*'TUSD BE'!$L$75</f>
        <v>-2.9759511996848507</v>
      </c>
      <c r="M65" s="13">
        <f>'TUSD BE'!$M$65*'TUSD BE'!$M$75</f>
        <v>-2.1998172291990838E-2</v>
      </c>
      <c r="N65" s="13">
        <f ca="1">'TUSD BE'!$N$65*'TUSD BE'!$N$75</f>
        <v>-1.0798244455749631E-6</v>
      </c>
      <c r="O65" s="13">
        <f>'TUSD BE'!$O$65*'TUSD BE'!$O$75</f>
        <v>0</v>
      </c>
      <c r="P65" s="13">
        <f>'TUSD BE'!$P$65*'TUSD BE'!$P$75</f>
        <v>0</v>
      </c>
      <c r="Q65" s="13">
        <f>'TUSD BE'!$Q$65*'TUSD BE'!$Q$75</f>
        <v>-0.75578592147369994</v>
      </c>
      <c r="R65" s="13">
        <f>'TUSD BE'!$R$65*'TUSD BE'!$R$75</f>
        <v>-0.33555303906064865</v>
      </c>
      <c r="S65" s="13">
        <f>'TUSD BE'!$R$65*'TUSD BE'!$S$75</f>
        <v>0</v>
      </c>
      <c r="T65" s="13">
        <f ca="1">SUM($L$65:$S$65)</f>
        <v>-4.0892894123356358</v>
      </c>
      <c r="U65" s="13">
        <f>'TUSD BE'!$U$65*'TUSD BE'!$U$75</f>
        <v>0.14624714816123341</v>
      </c>
      <c r="V65" s="13">
        <f>'TUSD BE'!$V$65*'TUSD BE'!$V$75</f>
        <v>0.21257427986666341</v>
      </c>
      <c r="W65" s="13">
        <f>'TUSD BE'!$W$65*'TUSD BE'!$W$75</f>
        <v>-3.0182589728318356E-2</v>
      </c>
      <c r="X65" s="13">
        <f>'TUSD BE'!$X$65*'TUSD BE'!$X$75</f>
        <v>0</v>
      </c>
      <c r="Y65" s="13">
        <f>'TUSD BE'!$Y$65*'TUSD BE'!$Y$75</f>
        <v>0</v>
      </c>
      <c r="Z65" s="13">
        <f>'TUSD BE'!$Z$65*'TUSD BE'!$Z$75</f>
        <v>0</v>
      </c>
      <c r="AA65" s="13">
        <f>'TUSD BE'!$AA$65*'TUSD BE'!$AA$75</f>
        <v>0</v>
      </c>
      <c r="AB65" s="13">
        <f>SUM($U$65:$AA$65)</f>
        <v>0.32863883829957852</v>
      </c>
      <c r="AC65" s="13">
        <f>'TUSD BE'!$AC$65*'TUSD BE'!$AC$75</f>
        <v>-0.48818228231522048</v>
      </c>
      <c r="AD65" s="13">
        <f>SUM($AC$65:$AC$65)</f>
        <v>-0.48818228231522048</v>
      </c>
      <c r="AE65" s="13">
        <f ca="1">$AO$65*$AO$72</f>
        <v>-46.804090771278901</v>
      </c>
      <c r="AF65" s="13">
        <f ca="1">$AP$65*$AP$72</f>
        <v>0</v>
      </c>
      <c r="AG65" s="13">
        <f ca="1">SUM($AE$65:$AF$65)</f>
        <v>-46.804090771278901</v>
      </c>
      <c r="AH65" s="13">
        <f>'TUSD BE'!$AH$65*'TUSD BE'!$AH$75</f>
        <v>3.9228582529098137</v>
      </c>
      <c r="AI65" s="13">
        <f>'TUSD BE'!$AI$65*'TUSD BE'!$AI$75</f>
        <v>0.18138930435348485</v>
      </c>
      <c r="AJ65" s="13">
        <f ca="1">'TUSD BE'!$AJ$65*'TUSD BE'!$AJ$75</f>
        <v>3.7897006621286855</v>
      </c>
      <c r="AK65" s="13">
        <f ca="1">'TUSD BE'!$AK$65*'TUSD BE'!$AK$75</f>
        <v>-0.76178072115351414</v>
      </c>
      <c r="AL65" s="13">
        <f ca="1">SUM($AH$65:$AK$65)</f>
        <v>7.13216749823847</v>
      </c>
      <c r="AM65" s="13">
        <f ca="1">SUMIF($L$4:$AL$4,"SUBTOTAL",$L$65:$AL$65)</f>
        <v>-43.920756129391705</v>
      </c>
      <c r="AO65" s="20">
        <f ca="1">+'TUSD BE'!$T$65+'TUSD BE'!$AB$65+'TUSD BE'!$AD$65+'TUSD BE'!$AL$65</f>
        <v>522.17758251231044</v>
      </c>
      <c r="AP65" s="20">
        <f ca="1">+'TUSD BE'!$T$65+'TUSD BE'!$AB$65+'TUSD BE'!$AD$65+'TUSD BE'!$AL$65</f>
        <v>522.17758251231044</v>
      </c>
    </row>
    <row r="66" spans="1:42" ht="11.25" customHeight="1" x14ac:dyDescent="0.25">
      <c r="A66" s="107"/>
      <c r="B66" s="17" t="s">
        <v>100</v>
      </c>
      <c r="C66" s="17" t="s">
        <v>25</v>
      </c>
      <c r="D66" s="17" t="s">
        <v>25</v>
      </c>
      <c r="E66" s="17" t="s">
        <v>25</v>
      </c>
      <c r="F66" s="17" t="s">
        <v>25</v>
      </c>
      <c r="G66" s="18" t="s">
        <v>88</v>
      </c>
      <c r="H66" s="18" t="s">
        <v>82</v>
      </c>
      <c r="I66" s="18">
        <f>'MERCADO TUSD'!$U$63</f>
        <v>0</v>
      </c>
      <c r="J66" s="15"/>
      <c r="L66" s="13">
        <f>'TUSD BE'!$L$66*'TUSD BE'!$L$75</f>
        <v>-2.9759511996848507</v>
      </c>
      <c r="M66" s="13">
        <f>'TUSD BE'!$M$66*'TUSD BE'!$M$75</f>
        <v>-2.1998172291990838E-2</v>
      </c>
      <c r="N66" s="13">
        <f ca="1">'TUSD BE'!$N$66*'TUSD BE'!$N$75</f>
        <v>-1.0798244455749631E-6</v>
      </c>
      <c r="O66" s="13">
        <f>'TUSD BE'!$O$66*'TUSD BE'!$O$75</f>
        <v>0</v>
      </c>
      <c r="P66" s="13">
        <f>'TUSD BE'!$P$66*'TUSD BE'!$P$75</f>
        <v>0</v>
      </c>
      <c r="Q66" s="13">
        <f>'TUSD BE'!$Q$66*'TUSD BE'!$Q$75</f>
        <v>-0.75578592147369994</v>
      </c>
      <c r="R66" s="13">
        <f>'TUSD BE'!$R$66*'TUSD BE'!$R$75</f>
        <v>-0.33555303906064865</v>
      </c>
      <c r="S66" s="13">
        <f>'TUSD BE'!$R$66*'TUSD BE'!$S$75</f>
        <v>0</v>
      </c>
      <c r="T66" s="13">
        <f ca="1">SUM($L$66:$S$66)</f>
        <v>-4.0892894123356358</v>
      </c>
      <c r="U66" s="13">
        <f>'TUSD BE'!$U$66*'TUSD BE'!$U$75</f>
        <v>0.14624714816123341</v>
      </c>
      <c r="V66" s="13">
        <f>'TUSD BE'!$V$66*'TUSD BE'!$V$75</f>
        <v>0.21257427986666341</v>
      </c>
      <c r="W66" s="13">
        <f>'TUSD BE'!$W$66*'TUSD BE'!$W$75</f>
        <v>-3.0182589728318356E-2</v>
      </c>
      <c r="X66" s="13">
        <f>'TUSD BE'!$X$66*'TUSD BE'!$X$75</f>
        <v>0</v>
      </c>
      <c r="Y66" s="13">
        <f>'TUSD BE'!$Y$66*'TUSD BE'!$Y$75</f>
        <v>0</v>
      </c>
      <c r="Z66" s="13">
        <f>'TUSD BE'!$Z$66*'TUSD BE'!$Z$75</f>
        <v>0</v>
      </c>
      <c r="AA66" s="13">
        <f>'TUSD BE'!$AA$66*'TUSD BE'!$AA$75</f>
        <v>0</v>
      </c>
      <c r="AB66" s="13">
        <f>SUM($U$66:$AA$66)</f>
        <v>0.32863883829957852</v>
      </c>
      <c r="AC66" s="13">
        <f>'TUSD BE'!$AC$66*'TUSD BE'!$AC$75</f>
        <v>-0.48818228231522048</v>
      </c>
      <c r="AD66" s="13">
        <f>SUM($AC$66:$AC$66)</f>
        <v>-0.48818228231522048</v>
      </c>
      <c r="AE66" s="13">
        <f ca="1">$AO$66*$AO$72</f>
        <v>-46.804090771278901</v>
      </c>
      <c r="AF66" s="13">
        <f ca="1">$AP$66*$AP$72</f>
        <v>0</v>
      </c>
      <c r="AG66" s="13">
        <f ca="1">SUM($AE$66:$AF$66)</f>
        <v>-46.804090771278901</v>
      </c>
      <c r="AH66" s="13">
        <f>'TUSD BE'!$AH$66*'TUSD BE'!$AH$75</f>
        <v>3.9228582529098137</v>
      </c>
      <c r="AI66" s="13">
        <f>'TUSD BE'!$AI$66*'TUSD BE'!$AI$75</f>
        <v>0.18138930435348485</v>
      </c>
      <c r="AJ66" s="13">
        <f ca="1">'TUSD BE'!$AJ$66*'TUSD BE'!$AJ$75</f>
        <v>3.7897006621286855</v>
      </c>
      <c r="AK66" s="13">
        <f ca="1">'TUSD BE'!$AK$66*'TUSD BE'!$AK$75</f>
        <v>-0.76178072115351414</v>
      </c>
      <c r="AL66" s="13">
        <f ca="1">SUM($AH$66:$AK$66)</f>
        <v>7.13216749823847</v>
      </c>
      <c r="AM66" s="13">
        <f ca="1">SUMIF($L$4:$AL$4,"SUBTOTAL",$L$66:$AL$66)</f>
        <v>-43.920756129391705</v>
      </c>
      <c r="AO66" s="20">
        <f ca="1">+'TUSD BE'!$T$66+'TUSD BE'!$AB$66+'TUSD BE'!$AD$66+'TUSD BE'!$AL$66</f>
        <v>522.17758251231044</v>
      </c>
      <c r="AP66" s="20">
        <f ca="1">+'TUSD BE'!$T$66+'TUSD BE'!$AB$66+'TUSD BE'!$AD$66+'TUSD BE'!$AL$66</f>
        <v>522.17758251231044</v>
      </c>
    </row>
    <row r="67" spans="1:42" ht="11.25" customHeight="1" x14ac:dyDescent="0.25">
      <c r="A67" s="107" t="s">
        <v>49</v>
      </c>
      <c r="B67" s="107" t="s">
        <v>23</v>
      </c>
      <c r="C67" s="107" t="s">
        <v>50</v>
      </c>
      <c r="D67" s="17" t="s">
        <v>51</v>
      </c>
      <c r="E67" s="17" t="s">
        <v>25</v>
      </c>
      <c r="F67" s="17" t="s">
        <v>25</v>
      </c>
      <c r="G67" s="18" t="s">
        <v>88</v>
      </c>
      <c r="H67" s="18" t="s">
        <v>82</v>
      </c>
      <c r="I67" s="18">
        <f>'MERCADO TUSD'!$U$64</f>
        <v>49365.182000000001</v>
      </c>
      <c r="J67" s="15"/>
      <c r="L67" s="13">
        <f>'TUSD BE'!$L$67*'TUSD BE'!$L$75</f>
        <v>-1.6367731598266679</v>
      </c>
      <c r="M67" s="13">
        <f>'TUSD BE'!$M$67*'TUSD BE'!$M$75</f>
        <v>-1.209899476059496E-2</v>
      </c>
      <c r="N67" s="13">
        <f ca="1">'TUSD BE'!$N$67*'TUSD BE'!$N$75</f>
        <v>-5.9390344506622998E-7</v>
      </c>
      <c r="O67" s="13">
        <f>'TUSD BE'!$O$67*'TUSD BE'!$O$75</f>
        <v>0</v>
      </c>
      <c r="P67" s="13">
        <f>'TUSD BE'!$P$67*'TUSD BE'!$P$75</f>
        <v>0</v>
      </c>
      <c r="Q67" s="13">
        <f>'TUSD BE'!$Q$67*'TUSD BE'!$Q$75</f>
        <v>-0.415682256810535</v>
      </c>
      <c r="R67" s="13">
        <f>'TUSD BE'!$R$67*'TUSD BE'!$R$75</f>
        <v>-0.18455417148335679</v>
      </c>
      <c r="S67" s="13">
        <f>'TUSD BE'!$R$67*'TUSD BE'!$S$75</f>
        <v>0</v>
      </c>
      <c r="T67" s="13">
        <f ca="1">SUM($L$67:$S$67)</f>
        <v>-2.2491091767845997</v>
      </c>
      <c r="U67" s="13">
        <f>'TUSD BE'!$U$67*'TUSD BE'!$U$75</f>
        <v>8.0435931488678392E-2</v>
      </c>
      <c r="V67" s="13">
        <f>'TUSD BE'!$V$67*'TUSD BE'!$V$75</f>
        <v>0.1169158539266649</v>
      </c>
      <c r="W67" s="13">
        <f>'TUSD BE'!$W$67*'TUSD BE'!$W$75</f>
        <v>-1.6600424350575099E-2</v>
      </c>
      <c r="X67" s="13">
        <f>'TUSD BE'!$X$67*'TUSD BE'!$X$75</f>
        <v>0</v>
      </c>
      <c r="Y67" s="13">
        <f>'TUSD BE'!$Y$67*'TUSD BE'!$Y$75</f>
        <v>0</v>
      </c>
      <c r="Z67" s="13">
        <f>'TUSD BE'!$Z$67*'TUSD BE'!$Z$75</f>
        <v>0</v>
      </c>
      <c r="AA67" s="13">
        <f>'TUSD BE'!$AA$67*'TUSD BE'!$AA$75</f>
        <v>0</v>
      </c>
      <c r="AB67" s="13">
        <f>SUM($U$67:$AA$67)</f>
        <v>0.18075136106476819</v>
      </c>
      <c r="AC67" s="13">
        <f>'TUSD BE'!$AC$67*'TUSD BE'!$AC$75</f>
        <v>-0.26850025527337129</v>
      </c>
      <c r="AD67" s="13">
        <f>SUM($AC$67:$AC$67)</f>
        <v>-0.26850025527337129</v>
      </c>
      <c r="AE67" s="13">
        <f ca="1">$AO$67*$AO$72</f>
        <v>-25.742249924203399</v>
      </c>
      <c r="AF67" s="13">
        <f ca="1">$AP$67*$AP$72</f>
        <v>0</v>
      </c>
      <c r="AG67" s="13">
        <f ca="1">SUM($AE$67:$AF$67)</f>
        <v>-25.742249924203399</v>
      </c>
      <c r="AH67" s="13">
        <f>'TUSD BE'!$AH$67*'TUSD BE'!$AH$75</f>
        <v>2.1575720391003976</v>
      </c>
      <c r="AI67" s="13">
        <f>'TUSD BE'!$AI$67*'TUSD BE'!$AI$75</f>
        <v>9.9764117394416679E-2</v>
      </c>
      <c r="AJ67" s="13">
        <f ca="1">'TUSD BE'!$AJ$67*'TUSD BE'!$AJ$75</f>
        <v>2.0843353641707774</v>
      </c>
      <c r="AK67" s="13">
        <f ca="1">'TUSD BE'!$AK$67*'TUSD BE'!$AK$75</f>
        <v>-0.41897939663443284</v>
      </c>
      <c r="AL67" s="13">
        <f ca="1">SUM($AH$67:$AK$67)</f>
        <v>3.9226921240311592</v>
      </c>
      <c r="AM67" s="13">
        <f ca="1">SUMIF($L$4:$AL$4,"SUBTOTAL",$L$67:$AL$67)</f>
        <v>-24.156415871165443</v>
      </c>
      <c r="AO67" s="20">
        <f ca="1">+'TUSD BE'!$T$67+'TUSD BE'!$AB$67+'TUSD BE'!$AD$67+'TUSD BE'!$AL$67</f>
        <v>287.19767038177076</v>
      </c>
      <c r="AP67" s="20">
        <f ca="1">+'TUSD BE'!$T$67+'TUSD BE'!$AB$67+'TUSD BE'!$AD$67+'TUSD BE'!$AL$67</f>
        <v>287.19767038177076</v>
      </c>
    </row>
    <row r="68" spans="1:42" ht="11.25" customHeight="1" x14ac:dyDescent="0.25">
      <c r="A68" s="107"/>
      <c r="B68" s="107"/>
      <c r="C68" s="107"/>
      <c r="D68" s="18" t="s">
        <v>103</v>
      </c>
      <c r="E68" s="18" t="s">
        <v>25</v>
      </c>
      <c r="F68" s="18" t="s">
        <v>25</v>
      </c>
      <c r="G68" s="18" t="s">
        <v>88</v>
      </c>
      <c r="H68" s="18" t="s">
        <v>82</v>
      </c>
      <c r="I68" s="18">
        <f>'MERCADO TUSD'!$U$65</f>
        <v>0</v>
      </c>
      <c r="J68" s="15"/>
      <c r="L68" s="13">
        <f>'TUSD BE'!$L$68*'TUSD BE'!$L$75</f>
        <v>-1.7855707198109103</v>
      </c>
      <c r="M68" s="13">
        <f>'TUSD BE'!$M$68*'TUSD BE'!$M$75</f>
        <v>-1.31989033751945E-2</v>
      </c>
      <c r="N68" s="13">
        <f ca="1">'TUSD BE'!$N$68*'TUSD BE'!$N$75</f>
        <v>-6.478946673449781E-7</v>
      </c>
      <c r="O68" s="13">
        <f>'TUSD BE'!$O$68*'TUSD BE'!$O$75</f>
        <v>0</v>
      </c>
      <c r="P68" s="13">
        <f>'TUSD BE'!$P$68*'TUSD BE'!$P$75</f>
        <v>0</v>
      </c>
      <c r="Q68" s="13">
        <f>'TUSD BE'!$Q$68*'TUSD BE'!$Q$75</f>
        <v>-0.45347155288421986</v>
      </c>
      <c r="R68" s="13">
        <f>'TUSD BE'!$R$68*'TUSD BE'!$R$75</f>
        <v>-0.2013318234363892</v>
      </c>
      <c r="S68" s="13">
        <f>'TUSD BE'!$R$68*'TUSD BE'!$S$75</f>
        <v>0</v>
      </c>
      <c r="T68" s="13">
        <f ca="1">SUM($L$68:$S$68)</f>
        <v>-2.453573647401381</v>
      </c>
      <c r="U68" s="13">
        <f>'TUSD BE'!$U$68*'TUSD BE'!$U$75</f>
        <v>8.7748288896740051E-2</v>
      </c>
      <c r="V68" s="13">
        <f>'TUSD BE'!$V$68*'TUSD BE'!$V$75</f>
        <v>0.12754456791999805</v>
      </c>
      <c r="W68" s="13">
        <f>'TUSD BE'!$W$68*'TUSD BE'!$W$75</f>
        <v>-1.8109553836991015E-2</v>
      </c>
      <c r="X68" s="13">
        <f>'TUSD BE'!$X$68*'TUSD BE'!$X$75</f>
        <v>0</v>
      </c>
      <c r="Y68" s="13">
        <f>'TUSD BE'!$Y$68*'TUSD BE'!$Y$75</f>
        <v>0</v>
      </c>
      <c r="Z68" s="13">
        <f>'TUSD BE'!$Z$68*'TUSD BE'!$Z$75</f>
        <v>0</v>
      </c>
      <c r="AA68" s="13">
        <f>'TUSD BE'!$AA$68*'TUSD BE'!$AA$75</f>
        <v>0</v>
      </c>
      <c r="AB68" s="13">
        <f>SUM($U$68:$AA$68)</f>
        <v>0.19718330297974709</v>
      </c>
      <c r="AC68" s="13">
        <f>'TUSD BE'!$AC$68*'TUSD BE'!$AC$75</f>
        <v>-0.29290936938913231</v>
      </c>
      <c r="AD68" s="13">
        <f>SUM($AC$68:$AC$68)</f>
        <v>-0.29290936938913231</v>
      </c>
      <c r="AE68" s="13">
        <f ca="1">$AO$68*$AO$72</f>
        <v>-28.082454462767341</v>
      </c>
      <c r="AF68" s="13">
        <f ca="1">$AP$68*$AP$72</f>
        <v>0</v>
      </c>
      <c r="AG68" s="13">
        <f ca="1">SUM($AE$68:$AF$68)</f>
        <v>-28.082454462767341</v>
      </c>
      <c r="AH68" s="13">
        <f>'TUSD BE'!$AH$68*'TUSD BE'!$AH$75</f>
        <v>2.3537149517458884</v>
      </c>
      <c r="AI68" s="13">
        <f>'TUSD BE'!$AI$68*'TUSD BE'!$AI$75</f>
        <v>0.1088335826120909</v>
      </c>
      <c r="AJ68" s="13">
        <f ca="1">'TUSD BE'!$AJ$68*'TUSD BE'!$AJ$75</f>
        <v>2.2738203972772113</v>
      </c>
      <c r="AK68" s="13">
        <f ca="1">'TUSD BE'!$AK$68*'TUSD BE'!$AK$75</f>
        <v>-0.45706843269210851</v>
      </c>
      <c r="AL68" s="13">
        <f ca="1">SUM($AH$68:$AK$68)</f>
        <v>4.2793004989430825</v>
      </c>
      <c r="AM68" s="13">
        <f ca="1">SUMIF($L$4:$AL$4,"SUBTOTAL",$L$68:$AL$68)</f>
        <v>-26.352453677635022</v>
      </c>
      <c r="AO68" s="20">
        <f ca="1">+'TUSD BE'!$T$68+'TUSD BE'!$AB$68+'TUSD BE'!$AD$68+'TUSD BE'!$AL$68</f>
        <v>313.30654950738625</v>
      </c>
      <c r="AP68" s="20">
        <f ca="1">+'TUSD BE'!$T$68+'TUSD BE'!$AB$68+'TUSD BE'!$AD$68+'TUSD BE'!$AL$68</f>
        <v>313.30654950738625</v>
      </c>
    </row>
    <row r="70" spans="1:42" ht="11.25" customHeight="1" x14ac:dyDescent="0.25">
      <c r="K70" s="16" t="s">
        <v>844</v>
      </c>
      <c r="L70" s="13">
        <f>SUMPRODUCT($I$5:$I68,$L$5:$L68)</f>
        <v>-2838001.1924613034</v>
      </c>
      <c r="M70" s="13">
        <f>SUMPRODUCT($I$5:$I68,$M$5:$M68)</f>
        <v>-21816.091014040208</v>
      </c>
      <c r="N70" s="13">
        <f ca="1">SUMPRODUCT($I$5:$I68,$N$5:$N68)</f>
        <v>-1.0086501702871373</v>
      </c>
      <c r="O70" s="13">
        <f>SUMPRODUCT($I$5:$I68,$O$5:$O68)</f>
        <v>0</v>
      </c>
      <c r="P70" s="13">
        <f>SUMPRODUCT($I$5:$I68,$P$5:$P68)</f>
        <v>0</v>
      </c>
      <c r="Q70" s="13">
        <f>SUMPRODUCT($I$5:$I68,$Q$5:$Q68)</f>
        <v>-720751.51857831888</v>
      </c>
      <c r="R70" s="13">
        <f>SUMPRODUCT($I$5:$I68,$R$5:$R68)</f>
        <v>-334543.79990970803</v>
      </c>
      <c r="S70" s="13">
        <f>SUMPRODUCT($I$5:$I68,$S$5:$S68)</f>
        <v>0</v>
      </c>
      <c r="T70" s="13">
        <f ca="1">SUMPRODUCT($I$5:$I68,$T$5:$T68)</f>
        <v>-3915113.6106135412</v>
      </c>
      <c r="U70" s="13">
        <f>SUMPRODUCT($I$5:$I68,$U$5:$U68)</f>
        <v>175231.6382371159</v>
      </c>
      <c r="V70" s="13">
        <f>SUMPRODUCT($I$5:$I68,$V$5:$V68)</f>
        <v>256474.14858591105</v>
      </c>
      <c r="W70" s="13">
        <f>SUMPRODUCT($I$5:$I68,$W$5:$W68)</f>
        <v>-36441.037148729825</v>
      </c>
      <c r="X70" s="13">
        <f>SUMPRODUCT($I$5:$I68,$X$5:$X68)</f>
        <v>0</v>
      </c>
      <c r="Y70" s="13">
        <f>SUMPRODUCT($I$5:$I68,$Y$5:$Y68)</f>
        <v>0</v>
      </c>
      <c r="Z70" s="13">
        <f>SUMPRODUCT($I$5:$I68,$Z$5:$Z68)</f>
        <v>0</v>
      </c>
      <c r="AA70" s="13">
        <f>SUMPRODUCT($I$5:$I68,$AA$5:$AA68)</f>
        <v>0</v>
      </c>
      <c r="AB70" s="13">
        <f>SUMPRODUCT($I$5:$I68,$AB$5:$AB68)</f>
        <v>395264.74967429729</v>
      </c>
      <c r="AC70" s="13">
        <f>SUMPRODUCT($I$5:$I68,$AC$5:$AC68)</f>
        <v>-483987.81999999995</v>
      </c>
      <c r="AD70" s="13">
        <f>SUMPRODUCT($I$5:$I68,$AD$5:$AD68)</f>
        <v>-483987.81999999995</v>
      </c>
      <c r="AE70" s="13">
        <f ca="1">SUMPRODUCT($I$5:$I68,$AE$5:$AE68)</f>
        <v>-46797907.05551625</v>
      </c>
      <c r="AF70" s="13">
        <f ca="1">SUMPRODUCT($I$5:$I68,$AF$5:$AF68)</f>
        <v>0</v>
      </c>
      <c r="AG70" s="13">
        <f ca="1">SUMPRODUCT($I$5:$I68,$AG$5:$AG68)</f>
        <v>-46797907.05551625</v>
      </c>
      <c r="AH70" s="13">
        <f>SUMPRODUCT($I$5:$I68,$AH$5:$AH68)</f>
        <v>3835231.8297935524</v>
      </c>
      <c r="AI70" s="13">
        <f>SUMPRODUCT($I$5:$I68,$AI$5:$AI68)</f>
        <v>177337.54033161313</v>
      </c>
      <c r="AJ70" s="13">
        <f ca="1">SUMPRODUCT($I$5:$I68,$AJ$5:$AJ68)</f>
        <v>3882681.3234131755</v>
      </c>
      <c r="AK70" s="13">
        <f ca="1">SUMPRODUCT($I$5:$I68,$AK$5:$AK68)</f>
        <v>-780471.08261516155</v>
      </c>
      <c r="AL70" s="13">
        <f ca="1">SUMPRODUCT($I$5:$I68,$AL$5:$AL68)</f>
        <v>7114779.6109231813</v>
      </c>
      <c r="AM70" s="13">
        <f ca="1">SUMPRODUCT($I$5:$I68,$AM$5:$AM68)</f>
        <v>-43686964.125532329</v>
      </c>
      <c r="AO70" s="18">
        <f ca="1">SUMPRODUCT($I$5:$I68,$AO$5:$AO68)</f>
        <v>522108592.86429739</v>
      </c>
      <c r="AP70" s="18">
        <f ca="1">SUMPRODUCT($I$5:$I68,$AP$5:$AP68)</f>
        <v>522750221.78790981</v>
      </c>
    </row>
    <row r="71" spans="1:42" ht="11.25" customHeight="1" x14ac:dyDescent="0.25">
      <c r="K71" s="16" t="s">
        <v>776</v>
      </c>
      <c r="L71" s="13">
        <f>'TR TUSD'!$L$73</f>
        <v>21196044.622047894</v>
      </c>
      <c r="M71" s="13">
        <f>'TR TUSD'!$M$73</f>
        <v>1244777.3683460983</v>
      </c>
      <c r="N71" s="13">
        <f>'TR TUSD'!$N$73</f>
        <v>4405576.6480421154</v>
      </c>
      <c r="O71" s="13">
        <f>'TR TUSD'!$O$73</f>
        <v>0</v>
      </c>
      <c r="P71" s="13">
        <f>'TR TUSD'!$P$73</f>
        <v>0</v>
      </c>
      <c r="Q71" s="13">
        <f>'TR TUSD'!$Q$73</f>
        <v>35101782.2952765</v>
      </c>
      <c r="R71" s="13">
        <f>'TR TUSD'!$R$73</f>
        <v>13744465.34068593</v>
      </c>
      <c r="S71" s="13">
        <f>'TR TUSD'!$S$73</f>
        <v>0</v>
      </c>
      <c r="T71" s="13">
        <f>'TR TUSD'!$T$73</f>
        <v>75692646.274398535</v>
      </c>
      <c r="U71" s="13">
        <f>'TR TUSD'!$U$73</f>
        <v>16896485.780000001</v>
      </c>
      <c r="V71" s="13">
        <f>'TR TUSD'!$V$73</f>
        <v>18531916.760000002</v>
      </c>
      <c r="W71" s="13">
        <f>'TR TUSD'!$W$73</f>
        <v>1920298.81317661</v>
      </c>
      <c r="X71" s="13">
        <f>'TR TUSD'!$X$73</f>
        <v>0</v>
      </c>
      <c r="Y71" s="13">
        <f>'TR TUSD'!$Y$73</f>
        <v>0</v>
      </c>
      <c r="Z71" s="13">
        <f>'TR TUSD'!$Z$73</f>
        <v>0</v>
      </c>
      <c r="AA71" s="13">
        <f>'TR TUSD'!$AA$73</f>
        <v>0</v>
      </c>
      <c r="AB71" s="13">
        <f>'TR TUSD'!$AB$73</f>
        <v>37348701.353176616</v>
      </c>
      <c r="AC71" s="13">
        <f>'TR TUSD'!$AC$73</f>
        <v>338718926.74802554</v>
      </c>
      <c r="AD71" s="13">
        <f>'TR TUSD'!$AD$73</f>
        <v>338718926.74802554</v>
      </c>
      <c r="AE71" s="13">
        <f>'TR TUSD'!$AE$73</f>
        <v>0</v>
      </c>
      <c r="AF71" s="13">
        <f>'TR TUSD'!$AF$73</f>
        <v>0</v>
      </c>
      <c r="AG71" s="13">
        <f>'TR TUSD'!$AG$73</f>
        <v>0</v>
      </c>
      <c r="AH71" s="13">
        <f>'TR TUSD'!$AH$73</f>
        <v>28376289.848444641</v>
      </c>
      <c r="AI71" s="13">
        <f>'TR TUSD'!$AI$73</f>
        <v>1312093.1585851414</v>
      </c>
      <c r="AJ71" s="13">
        <f>'TR TUSD'!$AJ$73</f>
        <v>28727361.346561823</v>
      </c>
      <c r="AK71" s="13">
        <f>'TR TUSD'!$AK$73</f>
        <v>12574203.058717519</v>
      </c>
      <c r="AL71" s="13">
        <f>'TR TUSD'!$AL$73</f>
        <v>70989947.412309125</v>
      </c>
      <c r="AM71" s="13">
        <f>'TUSD BE'!$AM$71</f>
        <v>522750221.78790981</v>
      </c>
      <c r="AO71" s="18">
        <f>$AE$72</f>
        <v>-46797907.055516258</v>
      </c>
      <c r="AP71" s="18">
        <f>$AF$72</f>
        <v>0</v>
      </c>
    </row>
    <row r="72" spans="1:42" ht="11.25" customHeight="1" x14ac:dyDescent="0.25">
      <c r="K72" s="16" t="s">
        <v>777</v>
      </c>
      <c r="L72" s="13">
        <f>CUSTOS!$E$2</f>
        <v>-2838001.1924613039</v>
      </c>
      <c r="M72" s="13">
        <f>CUSTOS!$E$3</f>
        <v>-21816.091014040208</v>
      </c>
      <c r="N72" s="13">
        <f>CUSTOS!$E$4</f>
        <v>-1.0086501702871373</v>
      </c>
      <c r="O72" s="13">
        <f>CUSTOS!$E$5</f>
        <v>0</v>
      </c>
      <c r="P72" s="13">
        <f>CUSTOS!$E$6</f>
        <v>0</v>
      </c>
      <c r="Q72" s="13">
        <f>CUSTOS!$E$7</f>
        <v>-720751.51857831888</v>
      </c>
      <c r="R72" s="13">
        <f>CUSTOS!$E$8</f>
        <v>-334543.79990970809</v>
      </c>
      <c r="S72" s="13">
        <f>CUSTOS!$E$9</f>
        <v>0</v>
      </c>
      <c r="T72" s="13">
        <f>CUSTOS!$E$10</f>
        <v>-3915113.6106135412</v>
      </c>
      <c r="U72" s="13">
        <f>CUSTOS!$E$11</f>
        <v>175231.63823711593</v>
      </c>
      <c r="V72" s="13">
        <f>CUSTOS!$E$12</f>
        <v>256474.14858591114</v>
      </c>
      <c r="W72" s="13">
        <f>CUSTOS!$E$13</f>
        <v>-36441.037148729818</v>
      </c>
      <c r="X72" s="13">
        <f>CUSTOS!$E$14</f>
        <v>0</v>
      </c>
      <c r="Y72" s="13">
        <f>CUSTOS!$E$15</f>
        <v>0</v>
      </c>
      <c r="Z72" s="13">
        <f>CUSTOS!$E$16</f>
        <v>0</v>
      </c>
      <c r="AA72" s="13">
        <f>CUSTOS!$E$17</f>
        <v>0</v>
      </c>
      <c r="AB72" s="13">
        <f>CUSTOS!$E$18</f>
        <v>395264.74967429723</v>
      </c>
      <c r="AC72" s="13">
        <f>CUSTOS!$E$19</f>
        <v>-483987.81999999995</v>
      </c>
      <c r="AD72" s="13">
        <f>CUSTOS!$E$20</f>
        <v>-483987.81999999995</v>
      </c>
      <c r="AE72" s="13">
        <f>CUSTOS!$E$21</f>
        <v>-46797907.055516258</v>
      </c>
      <c r="AF72" s="13">
        <f>CUSTOS!$E$22</f>
        <v>0</v>
      </c>
      <c r="AG72" s="13">
        <f>CUSTOS!$E$23</f>
        <v>-46797907.055516258</v>
      </c>
      <c r="AH72" s="13">
        <f>CUSTOS!$E$24</f>
        <v>3835231.8297935533</v>
      </c>
      <c r="AI72" s="13">
        <f>CUSTOS!$E$25</f>
        <v>177337.5403316131</v>
      </c>
      <c r="AJ72" s="13">
        <f>CUSTOS!$E$26</f>
        <v>3882681.3234131755</v>
      </c>
      <c r="AK72" s="13">
        <f>CUSTOS!$E$27</f>
        <v>-780471.08261516178</v>
      </c>
      <c r="AL72" s="13">
        <f>CUSTOS!$E$28</f>
        <v>7114779.6109231804</v>
      </c>
      <c r="AM72" s="13">
        <f>CUSTOS!$E$29</f>
        <v>-43686964.125532322</v>
      </c>
      <c r="AO72" s="18">
        <f ca="1">IF(AO70&lt;&gt;0,AO71/AO70,0)</f>
        <v>-8.9632516482408525E-2</v>
      </c>
      <c r="AP72" s="18">
        <f ca="1">IF(AP70&lt;&gt;0,AP71/AP70,0)</f>
        <v>0</v>
      </c>
    </row>
    <row r="73" spans="1:42" ht="11.25" customHeight="1" x14ac:dyDescent="0.25">
      <c r="K73" s="16" t="s">
        <v>778</v>
      </c>
      <c r="L73" s="13">
        <f>CUSTOS!$F$2</f>
        <v>812234.4769521897</v>
      </c>
      <c r="M73" s="13">
        <f>CUSTOS!$F$3</f>
        <v>0</v>
      </c>
      <c r="N73" s="13">
        <f>CUSTOS!$F$4</f>
        <v>0</v>
      </c>
      <c r="O73" s="13">
        <f>CUSTOS!$F$5</f>
        <v>0</v>
      </c>
      <c r="P73" s="13">
        <f>CUSTOS!$F$6</f>
        <v>0</v>
      </c>
      <c r="Q73" s="13">
        <f>CUSTOS!$F$7</f>
        <v>13268550.4859</v>
      </c>
      <c r="R73" s="13">
        <f>CUSTOS!$F$8</f>
        <v>5029050.7885999996</v>
      </c>
      <c r="S73" s="13">
        <f>CUSTOS!$F$9</f>
        <v>0</v>
      </c>
      <c r="T73" s="13">
        <f>CUSTOS!$F$10</f>
        <v>19109835.751452189</v>
      </c>
      <c r="U73" s="13">
        <f>CUSTOS!$F$11</f>
        <v>2809735.8723082175</v>
      </c>
      <c r="V73" s="13">
        <f>CUSTOS!$F$12</f>
        <v>3081693.5533917798</v>
      </c>
      <c r="W73" s="13">
        <f>CUSTOS!$F$13</f>
        <v>0</v>
      </c>
      <c r="X73" s="13">
        <f>CUSTOS!$F$14</f>
        <v>0</v>
      </c>
      <c r="Y73" s="13">
        <f>CUSTOS!$F$15</f>
        <v>0</v>
      </c>
      <c r="Z73" s="13">
        <f>CUSTOS!$F$16</f>
        <v>0</v>
      </c>
      <c r="AA73" s="13">
        <f>CUSTOS!$F$17</f>
        <v>0</v>
      </c>
      <c r="AB73" s="13">
        <f>CUSTOS!$F$18</f>
        <v>5891429.4256999977</v>
      </c>
      <c r="AC73" s="13">
        <f>CUSTOS!$F$19</f>
        <v>0</v>
      </c>
      <c r="AD73" s="13">
        <f>CUSTOS!$F$20</f>
        <v>0</v>
      </c>
      <c r="AE73" s="13">
        <f>CUSTOS!$F$21</f>
        <v>0</v>
      </c>
      <c r="AF73" s="13">
        <f>CUSTOS!$F$22</f>
        <v>0</v>
      </c>
      <c r="AG73" s="13">
        <f>CUSTOS!$F$23</f>
        <v>0</v>
      </c>
      <c r="AH73" s="13">
        <f>CUSTOS!$F$24</f>
        <v>-362295.18782185263</v>
      </c>
      <c r="AI73" s="13">
        <f>CUSTOS!$F$25</f>
        <v>-16752.191349477187</v>
      </c>
      <c r="AJ73" s="13">
        <f>CUSTOS!$F$26</f>
        <v>-366777.5043977187</v>
      </c>
      <c r="AK73" s="13">
        <f>CUSTOS!$F$27</f>
        <v>0</v>
      </c>
      <c r="AL73" s="13">
        <f>CUSTOS!$F$28</f>
        <v>-745824.88356904848</v>
      </c>
      <c r="AM73" s="13">
        <f>CUSTOS!$F$29</f>
        <v>24255440.29358314</v>
      </c>
    </row>
    <row r="74" spans="1:42" ht="11.25" customHeight="1" x14ac:dyDescent="0.25">
      <c r="K74" s="16" t="s">
        <v>841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0</v>
      </c>
      <c r="T74" s="13">
        <f>SUM($L$74:$S$74)</f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f>SUM($U$74:$AA$74)</f>
        <v>0</v>
      </c>
      <c r="AC74" s="13">
        <v>0</v>
      </c>
      <c r="AD74" s="13">
        <f>SUM($AC$74:$AC$74)</f>
        <v>0</v>
      </c>
      <c r="AE74" s="13">
        <v>0</v>
      </c>
      <c r="AF74" s="13">
        <v>0</v>
      </c>
      <c r="AG74" s="13">
        <f>SUM($AE$74:$AF$74)</f>
        <v>0</v>
      </c>
      <c r="AH74" s="13">
        <v>0</v>
      </c>
      <c r="AI74" s="13">
        <v>0</v>
      </c>
      <c r="AJ74" s="13">
        <v>0</v>
      </c>
      <c r="AK74" s="13">
        <v>0</v>
      </c>
      <c r="AL74" s="13">
        <f>SUM($AH$74:$AK$74)</f>
        <v>0</v>
      </c>
      <c r="AM74" s="13"/>
    </row>
    <row r="75" spans="1:42" ht="11.25" customHeight="1" x14ac:dyDescent="0.25">
      <c r="K75" s="16" t="s">
        <v>853</v>
      </c>
      <c r="L75" s="13">
        <f t="shared" ref="L75:R75" si="0">IF((L71-(0))&lt;&gt;0,(L73)/(L71-(0)),0)</f>
        <v>3.8320096576288216E-2</v>
      </c>
      <c r="M75" s="13">
        <f t="shared" si="0"/>
        <v>0</v>
      </c>
      <c r="N75" s="13">
        <f t="shared" si="0"/>
        <v>0</v>
      </c>
      <c r="O75" s="13">
        <f t="shared" si="0"/>
        <v>0</v>
      </c>
      <c r="P75" s="13">
        <f t="shared" si="0"/>
        <v>0</v>
      </c>
      <c r="Q75" s="13">
        <f t="shared" si="0"/>
        <v>0.37800218730447466</v>
      </c>
      <c r="R75" s="13">
        <f t="shared" si="0"/>
        <v>0.36589642914032916</v>
      </c>
      <c r="S75" s="13">
        <f>IF((R70-(0)&lt;&gt;0),(S72)/(R70-(0)),0)</f>
        <v>0</v>
      </c>
      <c r="T75" s="13"/>
      <c r="U75" s="13">
        <f t="shared" ref="U75:AA75" si="1">IF((U71-(0))&lt;&gt;0,(U73)/(U71-(0)),0)</f>
        <v>0.16629113940568874</v>
      </c>
      <c r="V75" s="13">
        <f t="shared" si="1"/>
        <v>0.16629113940568874</v>
      </c>
      <c r="W75" s="13">
        <f t="shared" si="1"/>
        <v>0</v>
      </c>
      <c r="X75" s="13">
        <f t="shared" si="1"/>
        <v>0</v>
      </c>
      <c r="Y75" s="13">
        <f t="shared" si="1"/>
        <v>0</v>
      </c>
      <c r="Z75" s="13">
        <f t="shared" si="1"/>
        <v>0</v>
      </c>
      <c r="AA75" s="13">
        <f t="shared" si="1"/>
        <v>0</v>
      </c>
      <c r="AB75" s="13"/>
      <c r="AC75" s="13">
        <f>IF((AC71-(0))&lt;&gt;0,(AC73)/(AC71-(0)),0)</f>
        <v>0</v>
      </c>
      <c r="AD75" s="13"/>
      <c r="AE75" s="13">
        <f ca="1">IF(($AM70-(0))&lt;&gt;0,(AE72)/($AM70-(0)),0)</f>
        <v>1.0712098675715893</v>
      </c>
      <c r="AF75" s="13">
        <f ca="1">IF(($AM70-(0))&lt;&gt;0,(AF72)/($AM70-(0)),0)</f>
        <v>0</v>
      </c>
      <c r="AG75" s="13"/>
      <c r="AH75" s="13">
        <f>IF((AH71-(0))&lt;&gt;0,(AH73)/(AH71-(0)),0)</f>
        <v>-1.276753196971276E-2</v>
      </c>
      <c r="AI75" s="13">
        <f>IF((AI71-(0))&lt;&gt;0,(AI73)/(AI71-(0)),0)</f>
        <v>-1.276753196971276E-2</v>
      </c>
      <c r="AJ75" s="13">
        <f>IF((AJ71-(0))&lt;&gt;0,(AJ73)/(AJ71-(0)),0)</f>
        <v>-1.276753196971276E-2</v>
      </c>
      <c r="AK75" s="13">
        <f>IF((AK71-(0))&lt;&gt;0,(AK73)/(AK71-(0)),0)</f>
        <v>0</v>
      </c>
      <c r="AL75" s="13"/>
      <c r="AM75" s="13"/>
    </row>
  </sheetData>
  <mergeCells count="97">
    <mergeCell ref="A67:A68"/>
    <mergeCell ref="B67:B68"/>
    <mergeCell ref="C67:C68"/>
    <mergeCell ref="A62:A66"/>
    <mergeCell ref="B62:B64"/>
    <mergeCell ref="C62:C64"/>
    <mergeCell ref="D62:D64"/>
    <mergeCell ref="E62:E64"/>
    <mergeCell ref="F62:F64"/>
    <mergeCell ref="B55:B57"/>
    <mergeCell ref="C55:C57"/>
    <mergeCell ref="D55:D57"/>
    <mergeCell ref="E55:E57"/>
    <mergeCell ref="F55:F57"/>
    <mergeCell ref="B59:B61"/>
    <mergeCell ref="C59:C61"/>
    <mergeCell ref="C42:C46"/>
    <mergeCell ref="F47:F49"/>
    <mergeCell ref="B51:B53"/>
    <mergeCell ref="C51:C53"/>
    <mergeCell ref="D51:D53"/>
    <mergeCell ref="E51:E53"/>
    <mergeCell ref="F51:F53"/>
    <mergeCell ref="A47:A61"/>
    <mergeCell ref="B47:B49"/>
    <mergeCell ref="C47:C49"/>
    <mergeCell ref="D47:D49"/>
    <mergeCell ref="E47:E49"/>
    <mergeCell ref="F27:F29"/>
    <mergeCell ref="E30:E31"/>
    <mergeCell ref="A34:A46"/>
    <mergeCell ref="B34:B36"/>
    <mergeCell ref="C34:C36"/>
    <mergeCell ref="D34:D36"/>
    <mergeCell ref="E34:E36"/>
    <mergeCell ref="F30:F31"/>
    <mergeCell ref="A32:A33"/>
    <mergeCell ref="B32:B33"/>
    <mergeCell ref="C32:C33"/>
    <mergeCell ref="D32:D33"/>
    <mergeCell ref="F34:F36"/>
    <mergeCell ref="B37:B41"/>
    <mergeCell ref="C37:C41"/>
    <mergeCell ref="B42:B46"/>
    <mergeCell ref="F19:F21"/>
    <mergeCell ref="B23:B25"/>
    <mergeCell ref="A9:A18"/>
    <mergeCell ref="B9:B12"/>
    <mergeCell ref="C9:C12"/>
    <mergeCell ref="D9:D12"/>
    <mergeCell ref="E9:E11"/>
    <mergeCell ref="F9:F11"/>
    <mergeCell ref="C23:C25"/>
    <mergeCell ref="D23:D25"/>
    <mergeCell ref="E23:E25"/>
    <mergeCell ref="F23:F25"/>
    <mergeCell ref="A19:A31"/>
    <mergeCell ref="B19:B22"/>
    <mergeCell ref="C19:C22"/>
    <mergeCell ref="D19:D22"/>
    <mergeCell ref="E19:E21"/>
    <mergeCell ref="B27:B31"/>
    <mergeCell ref="C27:C31"/>
    <mergeCell ref="D27:D31"/>
    <mergeCell ref="E27:E29"/>
    <mergeCell ref="D14:D18"/>
    <mergeCell ref="E14:E16"/>
    <mergeCell ref="AE3:AG3"/>
    <mergeCell ref="D1:D4"/>
    <mergeCell ref="E1:E4"/>
    <mergeCell ref="F1:F4"/>
    <mergeCell ref="F14:F16"/>
    <mergeCell ref="E17:E18"/>
    <mergeCell ref="F17:F18"/>
    <mergeCell ref="F5:F7"/>
    <mergeCell ref="G1:G4"/>
    <mergeCell ref="H1:H4"/>
    <mergeCell ref="I1:I4"/>
    <mergeCell ref="J1:J4"/>
    <mergeCell ref="D5:D8"/>
    <mergeCell ref="E5:E7"/>
    <mergeCell ref="A1:A4"/>
    <mergeCell ref="B1:B4"/>
    <mergeCell ref="C1:C4"/>
    <mergeCell ref="B14:B18"/>
    <mergeCell ref="C14:C18"/>
    <mergeCell ref="A5:A8"/>
    <mergeCell ref="B5:B8"/>
    <mergeCell ref="C5:C8"/>
    <mergeCell ref="AP1:AP4"/>
    <mergeCell ref="L2:AM2"/>
    <mergeCell ref="L3:T3"/>
    <mergeCell ref="U3:AB3"/>
    <mergeCell ref="AC3:AD3"/>
    <mergeCell ref="AH3:AL3"/>
    <mergeCell ref="AM3:AM4"/>
    <mergeCell ref="L1:AM1"/>
  </mergeCells>
  <conditionalFormatting sqref="L70">
    <cfRule type="cellIs" dxfId="1294" priority="55" operator="notEqual">
      <formula>$L$72</formula>
    </cfRule>
    <cfRule type="cellIs" dxfId="1293" priority="56" operator="equal">
      <formula>$L$72</formula>
    </cfRule>
  </conditionalFormatting>
  <conditionalFormatting sqref="M70">
    <cfRule type="cellIs" dxfId="1292" priority="53" operator="notEqual">
      <formula>$M$72</formula>
    </cfRule>
    <cfRule type="cellIs" dxfId="1291" priority="54" operator="equal">
      <formula>$M$72</formula>
    </cfRule>
  </conditionalFormatting>
  <conditionalFormatting sqref="N70">
    <cfRule type="cellIs" dxfId="1290" priority="51" operator="notEqual">
      <formula>$N$72</formula>
    </cfRule>
    <cfRule type="cellIs" dxfId="1289" priority="52" operator="equal">
      <formula>$N$72</formula>
    </cfRule>
  </conditionalFormatting>
  <conditionalFormatting sqref="O70">
    <cfRule type="cellIs" dxfId="1288" priority="49" operator="notEqual">
      <formula>$O$72</formula>
    </cfRule>
    <cfRule type="cellIs" dxfId="1287" priority="50" operator="equal">
      <formula>$O$72</formula>
    </cfRule>
  </conditionalFormatting>
  <conditionalFormatting sqref="P70">
    <cfRule type="cellIs" dxfId="1286" priority="47" operator="notEqual">
      <formula>$P$72</formula>
    </cfRule>
    <cfRule type="cellIs" dxfId="1285" priority="48" operator="equal">
      <formula>$P$72</formula>
    </cfRule>
  </conditionalFormatting>
  <conditionalFormatting sqref="Q70">
    <cfRule type="cellIs" dxfId="1284" priority="45" operator="notEqual">
      <formula>$Q$72</formula>
    </cfRule>
    <cfRule type="cellIs" dxfId="1283" priority="46" operator="equal">
      <formula>$Q$72</formula>
    </cfRule>
  </conditionalFormatting>
  <conditionalFormatting sqref="R70">
    <cfRule type="cellIs" dxfId="1282" priority="43" operator="notEqual">
      <formula>$R$72</formula>
    </cfRule>
    <cfRule type="cellIs" dxfId="1281" priority="44" operator="equal">
      <formula>$R$72</formula>
    </cfRule>
  </conditionalFormatting>
  <conditionalFormatting sqref="S70">
    <cfRule type="cellIs" dxfId="1280" priority="41" operator="notEqual">
      <formula>$S$72</formula>
    </cfRule>
    <cfRule type="cellIs" dxfId="1279" priority="42" operator="equal">
      <formula>$S$72</formula>
    </cfRule>
  </conditionalFormatting>
  <conditionalFormatting sqref="T70">
    <cfRule type="cellIs" dxfId="1278" priority="39" operator="notEqual">
      <formula>$T$72</formula>
    </cfRule>
    <cfRule type="cellIs" dxfId="1277" priority="40" operator="equal">
      <formula>$T$72</formula>
    </cfRule>
  </conditionalFormatting>
  <conditionalFormatting sqref="U70">
    <cfRule type="cellIs" dxfId="1276" priority="37" operator="notEqual">
      <formula>$U$72</formula>
    </cfRule>
    <cfRule type="cellIs" dxfId="1275" priority="38" operator="equal">
      <formula>$U$72</formula>
    </cfRule>
  </conditionalFormatting>
  <conditionalFormatting sqref="V70">
    <cfRule type="cellIs" dxfId="1274" priority="35" operator="notEqual">
      <formula>$V$72</formula>
    </cfRule>
    <cfRule type="cellIs" dxfId="1273" priority="36" operator="equal">
      <formula>$V$72</formula>
    </cfRule>
  </conditionalFormatting>
  <conditionalFormatting sqref="W70">
    <cfRule type="cellIs" dxfId="1272" priority="33" operator="notEqual">
      <formula>$W$72</formula>
    </cfRule>
    <cfRule type="cellIs" dxfId="1271" priority="34" operator="equal">
      <formula>$W$72</formula>
    </cfRule>
  </conditionalFormatting>
  <conditionalFormatting sqref="X70">
    <cfRule type="cellIs" dxfId="1270" priority="31" operator="notEqual">
      <formula>$X$72</formula>
    </cfRule>
    <cfRule type="cellIs" dxfId="1269" priority="32" operator="equal">
      <formula>$X$72</formula>
    </cfRule>
  </conditionalFormatting>
  <conditionalFormatting sqref="Y70">
    <cfRule type="cellIs" dxfId="1268" priority="29" operator="notEqual">
      <formula>$Y$72</formula>
    </cfRule>
    <cfRule type="cellIs" dxfId="1267" priority="30" operator="equal">
      <formula>$Y$72</formula>
    </cfRule>
  </conditionalFormatting>
  <conditionalFormatting sqref="Z70">
    <cfRule type="cellIs" dxfId="1266" priority="27" operator="notEqual">
      <formula>$Z$72</formula>
    </cfRule>
    <cfRule type="cellIs" dxfId="1265" priority="28" operator="equal">
      <formula>$Z$72</formula>
    </cfRule>
  </conditionalFormatting>
  <conditionalFormatting sqref="AA70">
    <cfRule type="cellIs" dxfId="1264" priority="25" operator="notEqual">
      <formula>$AA$72</formula>
    </cfRule>
    <cfRule type="cellIs" dxfId="1263" priority="26" operator="equal">
      <formula>$AA$72</formula>
    </cfRule>
  </conditionalFormatting>
  <conditionalFormatting sqref="AB70">
    <cfRule type="cellIs" dxfId="1262" priority="23" operator="notEqual">
      <formula>$AB$72</formula>
    </cfRule>
    <cfRule type="cellIs" dxfId="1261" priority="24" operator="equal">
      <formula>$AB$72</formula>
    </cfRule>
  </conditionalFormatting>
  <conditionalFormatting sqref="AC70">
    <cfRule type="cellIs" dxfId="1260" priority="21" operator="notEqual">
      <formula>$AC$72</formula>
    </cfRule>
    <cfRule type="cellIs" dxfId="1259" priority="22" operator="equal">
      <formula>$AC$72</formula>
    </cfRule>
  </conditionalFormatting>
  <conditionalFormatting sqref="AD70">
    <cfRule type="cellIs" dxfId="1258" priority="19" operator="notEqual">
      <formula>$AD$72</formula>
    </cfRule>
    <cfRule type="cellIs" dxfId="1257" priority="20" operator="equal">
      <formula>$AD$72</formula>
    </cfRule>
  </conditionalFormatting>
  <conditionalFormatting sqref="AE70">
    <cfRule type="cellIs" dxfId="1256" priority="17" operator="notEqual">
      <formula>$AE$72</formula>
    </cfRule>
    <cfRule type="cellIs" dxfId="1255" priority="18" operator="equal">
      <formula>$AE$72</formula>
    </cfRule>
  </conditionalFormatting>
  <conditionalFormatting sqref="AF70">
    <cfRule type="cellIs" dxfId="1254" priority="16" operator="equal">
      <formula>$AF$72</formula>
    </cfRule>
  </conditionalFormatting>
  <conditionalFormatting sqref="AF70">
    <cfRule type="cellIs" dxfId="1253" priority="15" operator="notEqual">
      <formula>$AF$72</formula>
    </cfRule>
  </conditionalFormatting>
  <conditionalFormatting sqref="AG70">
    <cfRule type="cellIs" dxfId="1252" priority="14" operator="equal">
      <formula>$AG$72</formula>
    </cfRule>
  </conditionalFormatting>
  <conditionalFormatting sqref="AG70">
    <cfRule type="cellIs" dxfId="1251" priority="13" operator="notEqual">
      <formula>$AG$72</formula>
    </cfRule>
  </conditionalFormatting>
  <conditionalFormatting sqref="AH70">
    <cfRule type="cellIs" dxfId="1250" priority="12" operator="equal">
      <formula>$AH$72</formula>
    </cfRule>
  </conditionalFormatting>
  <conditionalFormatting sqref="AH70">
    <cfRule type="cellIs" dxfId="1249" priority="11" operator="notEqual">
      <formula>$AH$72</formula>
    </cfRule>
  </conditionalFormatting>
  <conditionalFormatting sqref="AI70">
    <cfRule type="cellIs" dxfId="1248" priority="10" operator="equal">
      <formula>$AI$72</formula>
    </cfRule>
  </conditionalFormatting>
  <conditionalFormatting sqref="AI70">
    <cfRule type="cellIs" dxfId="1247" priority="9" operator="notEqual">
      <formula>$AI$72</formula>
    </cfRule>
  </conditionalFormatting>
  <conditionalFormatting sqref="AJ70">
    <cfRule type="cellIs" dxfId="1246" priority="8" operator="equal">
      <formula>$AJ$72</formula>
    </cfRule>
  </conditionalFormatting>
  <conditionalFormatting sqref="AJ70">
    <cfRule type="cellIs" dxfId="1245" priority="7" operator="notEqual">
      <formula>$AJ$72</formula>
    </cfRule>
  </conditionalFormatting>
  <conditionalFormatting sqref="AK70">
    <cfRule type="cellIs" dxfId="1244" priority="6" operator="equal">
      <formula>$AK$72</formula>
    </cfRule>
  </conditionalFormatting>
  <conditionalFormatting sqref="AK70">
    <cfRule type="cellIs" dxfId="1243" priority="5" operator="notEqual">
      <formula>$AK$72</formula>
    </cfRule>
  </conditionalFormatting>
  <conditionalFormatting sqref="AL70">
    <cfRule type="cellIs" dxfId="1242" priority="4" operator="equal">
      <formula>$AL$72</formula>
    </cfRule>
  </conditionalFormatting>
  <conditionalFormatting sqref="AL70">
    <cfRule type="cellIs" dxfId="1241" priority="3" operator="notEqual">
      <formula>$AL$72</formula>
    </cfRule>
  </conditionalFormatting>
  <conditionalFormatting sqref="AM70">
    <cfRule type="cellIs" dxfId="1240" priority="2" operator="equal">
      <formula>$AM$72</formula>
    </cfRule>
  </conditionalFormatting>
  <conditionalFormatting sqref="AM70">
    <cfRule type="cellIs" dxfId="1239" priority="1" operator="notEqual">
      <formula>$AM$72</formula>
    </cfRule>
  </conditionalFormatting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85570-D1D3-4FF7-9F95-5B1AA81ADE92}">
  <sheetPr codeName="Planilha11"/>
  <dimension ref="A1:AP74"/>
  <sheetViews>
    <sheetView showGridLines="0" topLeftCell="AF53" workbookViewId="0">
      <selection activeCell="AO70" sqref="AO70:AP72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5" width="10.28515625" style="9" bestFit="1" customWidth="1"/>
    <col min="6" max="6" width="14.140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10" style="9" bestFit="1" customWidth="1"/>
    <col min="15" max="16" width="4.85546875" style="9" bestFit="1" customWidth="1"/>
    <col min="17" max="18" width="10.85546875" style="9" bestFit="1" customWidth="1"/>
    <col min="19" max="19" width="8.7109375" style="9" bestFit="1" customWidth="1"/>
    <col min="20" max="21" width="10.85546875" style="9" bestFit="1" customWidth="1"/>
    <col min="22" max="23" width="10" style="9" bestFit="1" customWidth="1"/>
    <col min="24" max="24" width="9.85546875" style="9" bestFit="1" customWidth="1"/>
    <col min="25" max="25" width="5.14062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30" width="11.7109375" style="9" bestFit="1" customWidth="1"/>
    <col min="31" max="31" width="11.42578125" style="9" bestFit="1" customWidth="1"/>
    <col min="32" max="32" width="7.28515625" style="9" bestFit="1" customWidth="1"/>
    <col min="33" max="33" width="11.42578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8" width="10.85546875" style="9" bestFit="1" customWidth="1"/>
    <col min="39" max="39" width="11.7109375" style="9" bestFit="1" customWidth="1"/>
    <col min="40" max="40" width="9.140625" style="9"/>
    <col min="41" max="42" width="11.7109375" style="9" bestFit="1" customWidth="1"/>
    <col min="43" max="16384" width="9.140625" style="9"/>
  </cols>
  <sheetData>
    <row r="1" spans="1:42" ht="11.25" customHeight="1" x14ac:dyDescent="0.25">
      <c r="A1" s="109" t="s">
        <v>71</v>
      </c>
      <c r="B1" s="109" t="s">
        <v>72</v>
      </c>
      <c r="C1" s="109" t="s">
        <v>73</v>
      </c>
      <c r="D1" s="109" t="s">
        <v>74</v>
      </c>
      <c r="E1" s="109" t="s">
        <v>75</v>
      </c>
      <c r="F1" s="109" t="s">
        <v>15</v>
      </c>
      <c r="G1" s="109" t="s">
        <v>77</v>
      </c>
      <c r="H1" s="109" t="s">
        <v>78</v>
      </c>
      <c r="I1" s="109" t="s">
        <v>835</v>
      </c>
      <c r="J1" s="105"/>
      <c r="L1" s="108" t="s">
        <v>855</v>
      </c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O1" s="20"/>
      <c r="AP1" s="112" t="s">
        <v>837</v>
      </c>
    </row>
    <row r="2" spans="1:42" ht="11.25" customHeight="1" x14ac:dyDescent="0.25">
      <c r="A2" s="109"/>
      <c r="B2" s="109"/>
      <c r="C2" s="109"/>
      <c r="D2" s="109"/>
      <c r="E2" s="109"/>
      <c r="F2" s="109"/>
      <c r="G2" s="109"/>
      <c r="H2" s="109"/>
      <c r="I2" s="109"/>
      <c r="J2" s="105"/>
      <c r="L2" s="108" t="s">
        <v>734</v>
      </c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O2" s="20"/>
      <c r="AP2" s="113"/>
    </row>
    <row r="3" spans="1:42" ht="11.25" customHeight="1" x14ac:dyDescent="0.25">
      <c r="A3" s="109"/>
      <c r="B3" s="109"/>
      <c r="C3" s="109"/>
      <c r="D3" s="109"/>
      <c r="E3" s="109"/>
      <c r="F3" s="109"/>
      <c r="G3" s="109"/>
      <c r="H3" s="109"/>
      <c r="I3" s="109"/>
      <c r="J3" s="105"/>
      <c r="L3" s="108" t="s">
        <v>735</v>
      </c>
      <c r="M3" s="108"/>
      <c r="N3" s="108"/>
      <c r="O3" s="108"/>
      <c r="P3" s="108"/>
      <c r="Q3" s="108"/>
      <c r="R3" s="108"/>
      <c r="S3" s="108"/>
      <c r="T3" s="108"/>
      <c r="U3" s="108" t="s">
        <v>744</v>
      </c>
      <c r="V3" s="108"/>
      <c r="W3" s="108"/>
      <c r="X3" s="108"/>
      <c r="Y3" s="108"/>
      <c r="Z3" s="108"/>
      <c r="AA3" s="108"/>
      <c r="AB3" s="108"/>
      <c r="AC3" s="108" t="s">
        <v>752</v>
      </c>
      <c r="AD3" s="108"/>
      <c r="AE3" s="108" t="s">
        <v>754</v>
      </c>
      <c r="AF3" s="108"/>
      <c r="AG3" s="108"/>
      <c r="AH3" s="108" t="s">
        <v>757</v>
      </c>
      <c r="AI3" s="108"/>
      <c r="AJ3" s="108"/>
      <c r="AK3" s="108"/>
      <c r="AL3" s="108"/>
      <c r="AM3" s="108" t="s">
        <v>743</v>
      </c>
      <c r="AO3" s="20"/>
      <c r="AP3" s="113"/>
    </row>
    <row r="4" spans="1:42" ht="11.25" customHeight="1" x14ac:dyDescent="0.25">
      <c r="A4" s="109"/>
      <c r="B4" s="109"/>
      <c r="C4" s="109"/>
      <c r="D4" s="109"/>
      <c r="E4" s="109"/>
      <c r="F4" s="109"/>
      <c r="G4" s="109"/>
      <c r="H4" s="109"/>
      <c r="I4" s="109"/>
      <c r="J4" s="105"/>
      <c r="L4" s="10" t="s">
        <v>820</v>
      </c>
      <c r="M4" s="10" t="s">
        <v>736</v>
      </c>
      <c r="N4" s="10" t="s">
        <v>737</v>
      </c>
      <c r="O4" s="10" t="s">
        <v>738</v>
      </c>
      <c r="P4" s="10" t="s">
        <v>739</v>
      </c>
      <c r="Q4" s="10" t="s">
        <v>740</v>
      </c>
      <c r="R4" s="10" t="s">
        <v>741</v>
      </c>
      <c r="S4" s="10" t="s">
        <v>742</v>
      </c>
      <c r="T4" s="10" t="s">
        <v>743</v>
      </c>
      <c r="U4" s="10" t="s">
        <v>745</v>
      </c>
      <c r="V4" s="10" t="s">
        <v>746</v>
      </c>
      <c r="W4" s="10" t="s">
        <v>747</v>
      </c>
      <c r="X4" s="10" t="s">
        <v>748</v>
      </c>
      <c r="Y4" s="10" t="s">
        <v>749</v>
      </c>
      <c r="Z4" s="10" t="s">
        <v>750</v>
      </c>
      <c r="AA4" s="10" t="s">
        <v>751</v>
      </c>
      <c r="AB4" s="10" t="s">
        <v>743</v>
      </c>
      <c r="AC4" s="10" t="s">
        <v>753</v>
      </c>
      <c r="AD4" s="10" t="s">
        <v>743</v>
      </c>
      <c r="AE4" s="10" t="s">
        <v>755</v>
      </c>
      <c r="AF4" s="10" t="s">
        <v>756</v>
      </c>
      <c r="AG4" s="10" t="s">
        <v>743</v>
      </c>
      <c r="AH4" s="10" t="s">
        <v>758</v>
      </c>
      <c r="AI4" s="10" t="s">
        <v>759</v>
      </c>
      <c r="AJ4" s="10" t="s">
        <v>760</v>
      </c>
      <c r="AK4" s="10" t="s">
        <v>761</v>
      </c>
      <c r="AL4" s="10" t="s">
        <v>743</v>
      </c>
      <c r="AM4" s="111"/>
      <c r="AO4" s="21" t="s">
        <v>854</v>
      </c>
      <c r="AP4" s="114"/>
    </row>
    <row r="5" spans="1:42" ht="11.25" customHeight="1" x14ac:dyDescent="0.25">
      <c r="A5" s="107" t="s">
        <v>80</v>
      </c>
      <c r="B5" s="107" t="s">
        <v>42</v>
      </c>
      <c r="C5" s="107" t="s">
        <v>25</v>
      </c>
      <c r="D5" s="107" t="s">
        <v>25</v>
      </c>
      <c r="E5" s="107" t="s">
        <v>25</v>
      </c>
      <c r="F5" s="107" t="s">
        <v>25</v>
      </c>
      <c r="G5" s="18" t="s">
        <v>86</v>
      </c>
      <c r="H5" s="18" t="s">
        <v>85</v>
      </c>
      <c r="I5" s="18">
        <f>'MERCADO TUSD'!$U$2+0.00000001</f>
        <v>1E-8</v>
      </c>
      <c r="J5" s="15"/>
      <c r="L5" s="13">
        <f>'TUSD BE'!$L$5*'TUSD BF'!$L$75</f>
        <v>0</v>
      </c>
      <c r="M5" s="13">
        <f>'TUSD BE'!$M$5*'TUSD BF'!$M$75</f>
        <v>0</v>
      </c>
      <c r="N5" s="13">
        <f ca="1">'TUSD BE'!$N$5*'TUSD BF'!$N$75</f>
        <v>0</v>
      </c>
      <c r="O5" s="13">
        <f>'TUSD BE'!$O$5*'TUSD BF'!$O$75</f>
        <v>0</v>
      </c>
      <c r="P5" s="13">
        <f>'TUSD BE'!$P$5*'TUSD BF'!$P$75</f>
        <v>0</v>
      </c>
      <c r="Q5" s="13">
        <f>'TUSD BE'!$Q$5*'TUSD BF'!$Q$75</f>
        <v>0</v>
      </c>
      <c r="R5" s="13">
        <f>'TUSD BE'!$R$5*'TUSD BF'!$R$75</f>
        <v>0</v>
      </c>
      <c r="S5" s="13">
        <f>'TUSD BE'!$R$5*'TUSD BF'!$S$75</f>
        <v>0</v>
      </c>
      <c r="T5" s="13">
        <f ca="1">SUM($L$5:$S$5)</f>
        <v>0</v>
      </c>
      <c r="U5" s="13">
        <f>'TUSD BE'!$U$5*'TUSD BF'!$U$75</f>
        <v>0.50295252239510424</v>
      </c>
      <c r="V5" s="13">
        <f>'TUSD BE'!$V$5*'TUSD BF'!$V$75</f>
        <v>0.52621923346220223</v>
      </c>
      <c r="W5" s="13">
        <f>'TUSD BE'!$W$5*'TUSD BF'!$W$75</f>
        <v>0</v>
      </c>
      <c r="X5" s="13">
        <f>'TUSD BE'!$X$5*'TUSD BF'!$X$75</f>
        <v>0</v>
      </c>
      <c r="Y5" s="13">
        <f>'TUSD BE'!$Y$5*'TUSD BF'!$Y$75</f>
        <v>0</v>
      </c>
      <c r="Z5" s="13">
        <f>'TUSD BE'!$Z$5*'TUSD BF'!$Z$75</f>
        <v>0</v>
      </c>
      <c r="AA5" s="13">
        <f>'TUSD BE'!$AA$5*'TUSD BF'!$AA$75</f>
        <v>0</v>
      </c>
      <c r="AB5" s="13">
        <f>SUM($U$5:$AA$5)</f>
        <v>1.0291717558573064</v>
      </c>
      <c r="AC5" s="13">
        <f>'TUSD BE'!$AC$5*'TUSD BF'!$AC$75</f>
        <v>0</v>
      </c>
      <c r="AD5" s="13">
        <f>SUM($AC$5:$AC$5)</f>
        <v>0</v>
      </c>
      <c r="AE5" s="13">
        <f ca="1">$AO$5*$AO$72</f>
        <v>0</v>
      </c>
      <c r="AF5" s="13">
        <f ca="1">$AP$5*$AP$72</f>
        <v>0</v>
      </c>
      <c r="AG5" s="13">
        <f ca="1">SUM($AE$5:$AF$5)</f>
        <v>0</v>
      </c>
      <c r="AH5" s="13">
        <f>'TUSD BE'!$AH$5*'TUSD BF'!$AH$75</f>
        <v>0</v>
      </c>
      <c r="AI5" s="13">
        <f>'TUSD BE'!$AI$5*'TUSD BF'!$AI$75</f>
        <v>0</v>
      </c>
      <c r="AJ5" s="13">
        <f ca="1">'TUSD BE'!$AJ$5*'TUSD BF'!$AJ$75</f>
        <v>0</v>
      </c>
      <c r="AK5" s="13">
        <f ca="1">'TUSD BE'!$AK$5*'TUSD BF'!$AK$75</f>
        <v>0</v>
      </c>
      <c r="AL5" s="13">
        <f ca="1">SUM($AH$5:$AK$5)</f>
        <v>0</v>
      </c>
      <c r="AM5" s="13">
        <f ca="1">SUMIF($L$4:$AL$4,"SUBTOTAL",$L$5:$AL$5)</f>
        <v>1.0291717558573064</v>
      </c>
      <c r="AO5" s="20">
        <f ca="1">+'TUSD BE'!$T$5+'TUSD BE'!$AB$5+'TUSD BE'!$AD$5+'TUSD BE'!$AL$5</f>
        <v>56.859519482038806</v>
      </c>
      <c r="AP5" s="20">
        <f ca="1">+'TUSD BE'!$T$5+'TUSD BE'!$AB$5+'TUSD BE'!$AD$5+'TUSD BE'!$AL$5</f>
        <v>56.859519482038806</v>
      </c>
    </row>
    <row r="6" spans="1:42" ht="11.25" customHeight="1" x14ac:dyDescent="0.25">
      <c r="A6" s="107"/>
      <c r="B6" s="107"/>
      <c r="C6" s="107"/>
      <c r="D6" s="107"/>
      <c r="E6" s="107"/>
      <c r="F6" s="107"/>
      <c r="G6" s="18" t="s">
        <v>87</v>
      </c>
      <c r="H6" s="18" t="s">
        <v>85</v>
      </c>
      <c r="I6" s="18">
        <f>'MERCADO TUSD'!$U$3+0.00000001</f>
        <v>1E-8</v>
      </c>
      <c r="J6" s="15"/>
      <c r="L6" s="13">
        <f>'TUSD BE'!$L$6*'TUSD BF'!$L$75</f>
        <v>0</v>
      </c>
      <c r="M6" s="13">
        <f>'TUSD BE'!$M$6*'TUSD BF'!$M$75</f>
        <v>0</v>
      </c>
      <c r="N6" s="13">
        <f ca="1">'TUSD BE'!$N$6*'TUSD BF'!$N$75</f>
        <v>0</v>
      </c>
      <c r="O6" s="13">
        <f>'TUSD BE'!$O$6*'TUSD BF'!$O$75</f>
        <v>0</v>
      </c>
      <c r="P6" s="13">
        <f>'TUSD BE'!$P$6*'TUSD BF'!$P$75</f>
        <v>0</v>
      </c>
      <c r="Q6" s="13">
        <f>'TUSD BE'!$Q$6*'TUSD BF'!$Q$75</f>
        <v>0</v>
      </c>
      <c r="R6" s="13">
        <f>'TUSD BE'!$R$6*'TUSD BF'!$R$75</f>
        <v>0</v>
      </c>
      <c r="S6" s="13">
        <f>'TUSD BE'!$R$6*'TUSD BF'!$S$75</f>
        <v>0</v>
      </c>
      <c r="T6" s="13">
        <f ca="1">SUM($L$6:$S$6)</f>
        <v>0</v>
      </c>
      <c r="U6" s="13">
        <f>'TUSD BE'!$U$6*'TUSD BF'!$U$75</f>
        <v>0.37760542089987126</v>
      </c>
      <c r="V6" s="13">
        <f>'TUSD BE'!$V$6*'TUSD BF'!$V$75</f>
        <v>0.43531242991608915</v>
      </c>
      <c r="W6" s="13">
        <f>'TUSD BE'!$W$6*'TUSD BF'!$W$75</f>
        <v>0</v>
      </c>
      <c r="X6" s="13">
        <f>'TUSD BE'!$X$6*'TUSD BF'!$X$75</f>
        <v>0</v>
      </c>
      <c r="Y6" s="13">
        <f>'TUSD BE'!$Y$6*'TUSD BF'!$Y$75</f>
        <v>0</v>
      </c>
      <c r="Z6" s="13">
        <f>'TUSD BE'!$Z$6*'TUSD BF'!$Z$75</f>
        <v>0</v>
      </c>
      <c r="AA6" s="13">
        <f>'TUSD BE'!$AA$6*'TUSD BF'!$AA$75</f>
        <v>0</v>
      </c>
      <c r="AB6" s="13">
        <f>SUM($U$6:$AA$6)</f>
        <v>0.81291785081596046</v>
      </c>
      <c r="AC6" s="13">
        <f>'TUSD BE'!$AC$6*'TUSD BF'!$AC$75</f>
        <v>0</v>
      </c>
      <c r="AD6" s="13">
        <f>SUM($AC$6:$AC$6)</f>
        <v>0</v>
      </c>
      <c r="AE6" s="13">
        <f ca="1">$AO$6*$AO$72</f>
        <v>0</v>
      </c>
      <c r="AF6" s="13">
        <f ca="1">$AP$6*$AP$72</f>
        <v>0</v>
      </c>
      <c r="AG6" s="13">
        <f ca="1">SUM($AE$6:$AF$6)</f>
        <v>0</v>
      </c>
      <c r="AH6" s="13">
        <f>'TUSD BE'!$AH$6*'TUSD BF'!$AH$75</f>
        <v>0</v>
      </c>
      <c r="AI6" s="13">
        <f>'TUSD BE'!$AI$6*'TUSD BF'!$AI$75</f>
        <v>0</v>
      </c>
      <c r="AJ6" s="13">
        <f ca="1">'TUSD BE'!$AJ$6*'TUSD BF'!$AJ$75</f>
        <v>0</v>
      </c>
      <c r="AK6" s="13">
        <f ca="1">'TUSD BE'!$AK$6*'TUSD BF'!$AK$75</f>
        <v>0</v>
      </c>
      <c r="AL6" s="13">
        <f ca="1">SUM($AH$6:$AK$6)</f>
        <v>0</v>
      </c>
      <c r="AM6" s="13">
        <f ca="1">SUMIF($L$4:$AL$4,"SUBTOTAL",$L$6:$AL$6)</f>
        <v>0.81291785081596046</v>
      </c>
      <c r="AO6" s="20">
        <f ca="1">+'TUSD BE'!$T$6+'TUSD BE'!$AB$6+'TUSD BE'!$AD$6+'TUSD BE'!$AL$6</f>
        <v>20.300498821694578</v>
      </c>
      <c r="AP6" s="20">
        <f ca="1">+'TUSD BE'!$T$6+'TUSD BE'!$AB$6+'TUSD BE'!$AD$6+'TUSD BE'!$AL$6</f>
        <v>20.300498821694578</v>
      </c>
    </row>
    <row r="7" spans="1:42" ht="11.25" customHeight="1" x14ac:dyDescent="0.25">
      <c r="A7" s="107"/>
      <c r="B7" s="107"/>
      <c r="C7" s="107"/>
      <c r="D7" s="107"/>
      <c r="E7" s="107"/>
      <c r="F7" s="107"/>
      <c r="G7" s="18" t="s">
        <v>88</v>
      </c>
      <c r="H7" s="18" t="s">
        <v>82</v>
      </c>
      <c r="I7" s="18">
        <f>'MERCADO TUSD'!$U$4+0.00000001</f>
        <v>1E-8</v>
      </c>
      <c r="J7" s="15"/>
      <c r="L7" s="13">
        <f>'TUSD BE'!$L$7*'TUSD BF'!$L$75</f>
        <v>0.52806373266152862</v>
      </c>
      <c r="M7" s="13">
        <f>'TUSD BE'!$M$7*'TUSD BF'!$M$75</f>
        <v>0</v>
      </c>
      <c r="N7" s="13">
        <f ca="1">'TUSD BE'!$N$7*'TUSD BF'!$N$75</f>
        <v>0</v>
      </c>
      <c r="O7" s="13">
        <f>'TUSD BE'!$O$7*'TUSD BF'!$O$75</f>
        <v>0</v>
      </c>
      <c r="P7" s="13">
        <f>'TUSD BE'!$P$7*'TUSD BF'!$P$75</f>
        <v>0</v>
      </c>
      <c r="Q7" s="13">
        <f>'TUSD BE'!$Q$7*'TUSD BF'!$Q$75</f>
        <v>8.626376367183834</v>
      </c>
      <c r="R7" s="13">
        <f>'TUSD BE'!$R$7*'TUSD BF'!$R$75</f>
        <v>5.0442222398398489</v>
      </c>
      <c r="S7" s="13">
        <f>'TUSD BE'!$R$7*'TUSD BF'!$S$75</f>
        <v>0</v>
      </c>
      <c r="T7" s="13">
        <f ca="1">SUM($L$7:$S$7)</f>
        <v>14.198662339685212</v>
      </c>
      <c r="U7" s="13">
        <f>'TUSD BE'!$U$7*'TUSD BF'!$U$75</f>
        <v>0</v>
      </c>
      <c r="V7" s="13">
        <f>'TUSD BE'!$V$7*'TUSD BF'!$V$75</f>
        <v>0</v>
      </c>
      <c r="W7" s="13">
        <f>'TUSD BE'!$W$7*'TUSD BF'!$W$75</f>
        <v>0</v>
      </c>
      <c r="X7" s="13">
        <f>'TUSD BE'!$X$7*'TUSD BF'!$X$75</f>
        <v>0</v>
      </c>
      <c r="Y7" s="13">
        <f>'TUSD BE'!$Y$7*'TUSD BF'!$Y$75</f>
        <v>0</v>
      </c>
      <c r="Z7" s="13">
        <f>'TUSD BE'!$Z$7*'TUSD BF'!$Z$75</f>
        <v>0</v>
      </c>
      <c r="AA7" s="13">
        <f>'TUSD BE'!$AA$7*'TUSD BF'!$AA$75</f>
        <v>0</v>
      </c>
      <c r="AB7" s="13">
        <f>SUM($U$7:$AA$7)</f>
        <v>0</v>
      </c>
      <c r="AC7" s="13">
        <f>'TUSD BE'!$AC$7*'TUSD BF'!$AC$75</f>
        <v>0</v>
      </c>
      <c r="AD7" s="13">
        <f>SUM($AC$7:$AC$7)</f>
        <v>0</v>
      </c>
      <c r="AE7" s="13">
        <f ca="1">$AO$7*$AO$72</f>
        <v>0</v>
      </c>
      <c r="AF7" s="13">
        <f ca="1">$AP$7*$AP$72</f>
        <v>0</v>
      </c>
      <c r="AG7" s="13">
        <f ca="1">SUM($AE$7:$AF$7)</f>
        <v>0</v>
      </c>
      <c r="AH7" s="13">
        <f>'TUSD BE'!$AH$7*'TUSD BF'!$AH$75</f>
        <v>-0.12980606129900307</v>
      </c>
      <c r="AI7" s="13">
        <f>'TUSD BE'!$AI$7*'TUSD BF'!$AI$75</f>
        <v>-6.0021111245676436E-3</v>
      </c>
      <c r="AJ7" s="13">
        <f ca="1">'TUSD BE'!$AJ$7*'TUSD BF'!$AJ$75</f>
        <v>-5.8327517985755223E-2</v>
      </c>
      <c r="AK7" s="13">
        <f ca="1">'TUSD BE'!$AK$7*'TUSD BF'!$AK$75</f>
        <v>0</v>
      </c>
      <c r="AL7" s="13">
        <f ca="1">SUM($AH$7:$AK$7)</f>
        <v>-0.19413569040932593</v>
      </c>
      <c r="AM7" s="13">
        <f ca="1">SUMIF($L$4:$AL$4,"SUBTOTAL",$L$7:$AL$7)</f>
        <v>14.004526649275887</v>
      </c>
      <c r="AO7" s="20">
        <f ca="1">+'TUSD BE'!$T$7+'TUSD BE'!$AB$7+'TUSD BE'!$AD$7+'TUSD BE'!$AL$7</f>
        <v>68.02601835479139</v>
      </c>
      <c r="AP7" s="20">
        <f ca="1">+'TUSD BE'!$T$7+'TUSD BE'!$AB$7+'TUSD BE'!$AD$7+'TUSD BE'!$AL$7</f>
        <v>68.02601835479139</v>
      </c>
    </row>
    <row r="8" spans="1:42" ht="11.25" customHeight="1" x14ac:dyDescent="0.25">
      <c r="A8" s="107"/>
      <c r="B8" s="107"/>
      <c r="C8" s="107"/>
      <c r="D8" s="107"/>
      <c r="E8" s="17" t="s">
        <v>89</v>
      </c>
      <c r="F8" s="17" t="s">
        <v>25</v>
      </c>
      <c r="G8" s="18" t="s">
        <v>88</v>
      </c>
      <c r="H8" s="18" t="s">
        <v>82</v>
      </c>
      <c r="I8" s="18">
        <f>'MERCADO TUSD'!$U$5+0.00000001</f>
        <v>1E-8</v>
      </c>
      <c r="J8" s="15"/>
      <c r="L8" s="13">
        <f>'TUSD BE'!$L$8*'TUSD BF'!$L$75</f>
        <v>0</v>
      </c>
      <c r="M8" s="13">
        <f>'TUSD BE'!$M$8*'TUSD BF'!$M$75</f>
        <v>0</v>
      </c>
      <c r="N8" s="13">
        <f ca="1">'TUSD BE'!$N$8*'TUSD BF'!$N$75</f>
        <v>0</v>
      </c>
      <c r="O8" s="13">
        <f>'TUSD BE'!$O$8*'TUSD BF'!$O$75</f>
        <v>0</v>
      </c>
      <c r="P8" s="13">
        <f>'TUSD BE'!$P$8*'TUSD BF'!$P$75</f>
        <v>0</v>
      </c>
      <c r="Q8" s="13">
        <f>'TUSD BE'!$Q$8*'TUSD BF'!$Q$75</f>
        <v>0</v>
      </c>
      <c r="R8" s="13">
        <f>'TUSD BE'!$R$8*'TUSD BF'!$R$75</f>
        <v>0</v>
      </c>
      <c r="S8" s="13">
        <f>'TUSD BE'!$R$8*'TUSD BF'!$S$75</f>
        <v>0</v>
      </c>
      <c r="T8" s="13">
        <f ca="1">SUM($L$8:$S$8)</f>
        <v>0</v>
      </c>
      <c r="U8" s="13">
        <f>'TUSD BE'!$U$8*'TUSD BF'!$U$75</f>
        <v>0</v>
      </c>
      <c r="V8" s="13">
        <f>'TUSD BE'!$V$8*'TUSD BF'!$V$75</f>
        <v>0</v>
      </c>
      <c r="W8" s="13">
        <f>'TUSD BE'!$W$8*'TUSD BF'!$W$75</f>
        <v>0</v>
      </c>
      <c r="X8" s="13">
        <f>'TUSD BE'!$X$8*'TUSD BF'!$X$75</f>
        <v>0</v>
      </c>
      <c r="Y8" s="13">
        <f>'TUSD BE'!$Y$8*'TUSD BF'!$Y$75</f>
        <v>0</v>
      </c>
      <c r="Z8" s="13">
        <f>'TUSD BE'!$Z$8*'TUSD BF'!$Z$75</f>
        <v>0</v>
      </c>
      <c r="AA8" s="13">
        <f>'TUSD BE'!$AA$8*'TUSD BF'!$AA$75</f>
        <v>0</v>
      </c>
      <c r="AB8" s="13">
        <f>SUM($U$8:$AA$8)</f>
        <v>0</v>
      </c>
      <c r="AC8" s="13">
        <f>'TUSD BE'!$AC$8*'TUSD BF'!$AC$75</f>
        <v>0</v>
      </c>
      <c r="AD8" s="13">
        <f>SUM($AC$8:$AC$8)</f>
        <v>0</v>
      </c>
      <c r="AE8" s="13">
        <f ca="1">$AO$8*$AO$72</f>
        <v>0</v>
      </c>
      <c r="AF8" s="13">
        <f ca="1">$AP$8*$AP$72</f>
        <v>0</v>
      </c>
      <c r="AG8" s="13">
        <f ca="1">SUM($AE$8:$AF$8)</f>
        <v>0</v>
      </c>
      <c r="AH8" s="13">
        <f>'TUSD BE'!$AH$8*'TUSD BF'!$AH$75</f>
        <v>-0.12980606129900307</v>
      </c>
      <c r="AI8" s="13">
        <f>'TUSD BE'!$AI$8*'TUSD BF'!$AI$75</f>
        <v>-6.0021111245676436E-3</v>
      </c>
      <c r="AJ8" s="13">
        <f ca="1">'TUSD BE'!$AJ$8*'TUSD BF'!$AJ$75</f>
        <v>-5.8327517985755223E-2</v>
      </c>
      <c r="AK8" s="13">
        <f ca="1">'TUSD BE'!$AK$8*'TUSD BF'!$AK$75</f>
        <v>0</v>
      </c>
      <c r="AL8" s="13">
        <f ca="1">SUM($AH$8:$AK$8)</f>
        <v>-0.19413569040932593</v>
      </c>
      <c r="AM8" s="13">
        <f ca="1">SUMIF($L$4:$AL$4,"SUBTOTAL",$L$8:$AL$8)</f>
        <v>-0.19413569040932593</v>
      </c>
      <c r="AO8" s="20">
        <f ca="1">+'TUSD BE'!$T$8+'TUSD BE'!$AB$8+'TUSD BE'!$AD$8+'TUSD BE'!$AL$8</f>
        <v>17.627311946224264</v>
      </c>
      <c r="AP8" s="20">
        <f ca="1">+'TUSD BE'!$T$8+'TUSD BE'!$AB$8+'TUSD BE'!$AD$8+'TUSD BE'!$AL$8</f>
        <v>17.627311946224264</v>
      </c>
    </row>
    <row r="9" spans="1:42" ht="11.25" customHeight="1" x14ac:dyDescent="0.25">
      <c r="A9" s="107" t="s">
        <v>43</v>
      </c>
      <c r="B9" s="107" t="s">
        <v>42</v>
      </c>
      <c r="C9" s="107" t="s">
        <v>25</v>
      </c>
      <c r="D9" s="107" t="s">
        <v>25</v>
      </c>
      <c r="E9" s="107" t="s">
        <v>25</v>
      </c>
      <c r="F9" s="107" t="s">
        <v>25</v>
      </c>
      <c r="G9" s="18" t="s">
        <v>86</v>
      </c>
      <c r="H9" s="18" t="s">
        <v>85</v>
      </c>
      <c r="I9" s="18">
        <f>'MERCADO TUSD'!$U$6</f>
        <v>150</v>
      </c>
      <c r="J9" s="15"/>
      <c r="L9" s="13">
        <f>'TUSD BE'!$L$9*'TUSD BF'!$L$75</f>
        <v>0</v>
      </c>
      <c r="M9" s="13">
        <f>'TUSD BE'!$M$9*'TUSD BF'!$M$75</f>
        <v>0</v>
      </c>
      <c r="N9" s="13">
        <f ca="1">'TUSD BE'!$N$9*'TUSD BF'!$N$75</f>
        <v>0</v>
      </c>
      <c r="O9" s="13">
        <f>'TUSD BE'!$O$9*'TUSD BF'!$O$75</f>
        <v>0</v>
      </c>
      <c r="P9" s="13">
        <f>'TUSD BE'!$P$9*'TUSD BF'!$P$75</f>
        <v>0</v>
      </c>
      <c r="Q9" s="13">
        <f>'TUSD BE'!$Q$9*'TUSD BF'!$Q$75</f>
        <v>0</v>
      </c>
      <c r="R9" s="13">
        <f>'TUSD BE'!$R$9*'TUSD BF'!$R$75</f>
        <v>0</v>
      </c>
      <c r="S9" s="13">
        <f>'TUSD BE'!$R$9*'TUSD BF'!$S$75</f>
        <v>0</v>
      </c>
      <c r="T9" s="13">
        <f ca="1">SUM($L$9:$S$9)</f>
        <v>0</v>
      </c>
      <c r="U9" s="13">
        <f>'TUSD BE'!$U$9*'TUSD BF'!$U$75</f>
        <v>0.53647213111907044</v>
      </c>
      <c r="V9" s="13">
        <f>'TUSD BE'!$V$9*'TUSD BF'!$V$75</f>
        <v>0.56131559144816434</v>
      </c>
      <c r="W9" s="13">
        <f>'TUSD BE'!$W$9*'TUSD BF'!$W$75</f>
        <v>0</v>
      </c>
      <c r="X9" s="13">
        <f>'TUSD BE'!$X$9*'TUSD BF'!$X$75</f>
        <v>0</v>
      </c>
      <c r="Y9" s="13">
        <f>'TUSD BE'!$Y$9*'TUSD BF'!$Y$75</f>
        <v>0</v>
      </c>
      <c r="Z9" s="13">
        <f>'TUSD BE'!$Z$9*'TUSD BF'!$Z$75</f>
        <v>0</v>
      </c>
      <c r="AA9" s="13">
        <f>'TUSD BE'!$AA$9*'TUSD BF'!$AA$75</f>
        <v>0</v>
      </c>
      <c r="AB9" s="13">
        <f>SUM($U$9:$AA$9)</f>
        <v>1.0977877225672348</v>
      </c>
      <c r="AC9" s="13">
        <f>'TUSD BE'!$AC$9*'TUSD BF'!$AC$75</f>
        <v>0</v>
      </c>
      <c r="AD9" s="13">
        <f>SUM($AC$9:$AC$9)</f>
        <v>0</v>
      </c>
      <c r="AE9" s="13">
        <f ca="1">$AO$9*$AO$72</f>
        <v>0</v>
      </c>
      <c r="AF9" s="13">
        <f ca="1">$AP$9*$AP$72</f>
        <v>0</v>
      </c>
      <c r="AG9" s="13">
        <f ca="1">SUM($AE$9:$AF$9)</f>
        <v>0</v>
      </c>
      <c r="AH9" s="13">
        <f>'TUSD BE'!$AH$9*'TUSD BF'!$AH$75</f>
        <v>0</v>
      </c>
      <c r="AI9" s="13">
        <f>'TUSD BE'!$AI$9*'TUSD BF'!$AI$75</f>
        <v>0</v>
      </c>
      <c r="AJ9" s="13">
        <f ca="1">'TUSD BE'!$AJ$9*'TUSD BF'!$AJ$75</f>
        <v>0</v>
      </c>
      <c r="AK9" s="13">
        <f ca="1">'TUSD BE'!$AK$9*'TUSD BF'!$AK$75</f>
        <v>0</v>
      </c>
      <c r="AL9" s="13">
        <f ca="1">SUM($AH$9:$AK$9)</f>
        <v>0</v>
      </c>
      <c r="AM9" s="13">
        <f ca="1">SUMIF($L$4:$AL$4,"SUBTOTAL",$L$9:$AL$9)</f>
        <v>1.0977877225672348</v>
      </c>
      <c r="AO9" s="20">
        <f ca="1">+'TUSD BE'!$T$9+'TUSD BE'!$AB$9+'TUSD BE'!$AD$9+'TUSD BE'!$AL$9</f>
        <v>60.650181273285298</v>
      </c>
      <c r="AP9" s="20">
        <f ca="1">+'TUSD BE'!$T$9+'TUSD BE'!$AB$9+'TUSD BE'!$AD$9+'TUSD BE'!$AL$9</f>
        <v>60.650181273285298</v>
      </c>
    </row>
    <row r="10" spans="1:42" ht="11.25" customHeight="1" x14ac:dyDescent="0.25">
      <c r="A10" s="107"/>
      <c r="B10" s="107"/>
      <c r="C10" s="107"/>
      <c r="D10" s="107"/>
      <c r="E10" s="107"/>
      <c r="F10" s="107"/>
      <c r="G10" s="18" t="s">
        <v>87</v>
      </c>
      <c r="H10" s="18" t="s">
        <v>85</v>
      </c>
      <c r="I10" s="18">
        <f>'MERCADO TUSD'!$U$7</f>
        <v>1035</v>
      </c>
      <c r="J10" s="15"/>
      <c r="L10" s="13">
        <f>'TUSD BE'!$L$10*'TUSD BF'!$L$75</f>
        <v>0</v>
      </c>
      <c r="M10" s="13">
        <f>'TUSD BE'!$M$10*'TUSD BF'!$M$75</f>
        <v>0</v>
      </c>
      <c r="N10" s="13">
        <f ca="1">'TUSD BE'!$N$10*'TUSD BF'!$N$75</f>
        <v>0</v>
      </c>
      <c r="O10" s="13">
        <f>'TUSD BE'!$O$10*'TUSD BF'!$O$75</f>
        <v>0</v>
      </c>
      <c r="P10" s="13">
        <f>'TUSD BE'!$P$10*'TUSD BF'!$P$75</f>
        <v>0</v>
      </c>
      <c r="Q10" s="13">
        <f>'TUSD BE'!$Q$10*'TUSD BF'!$Q$75</f>
        <v>0</v>
      </c>
      <c r="R10" s="13">
        <f>'TUSD BE'!$R$10*'TUSD BF'!$R$75</f>
        <v>0</v>
      </c>
      <c r="S10" s="13">
        <f>'TUSD BE'!$R$10*'TUSD BF'!$S$75</f>
        <v>0</v>
      </c>
      <c r="T10" s="13">
        <f ca="1">SUM($L$10:$S$10)</f>
        <v>0</v>
      </c>
      <c r="U10" s="13">
        <f>'TUSD BE'!$U$10*'TUSD BF'!$U$75</f>
        <v>0.40277383590867555</v>
      </c>
      <c r="V10" s="13">
        <f>'TUSD BE'!$V$10*'TUSD BF'!$V$75</f>
        <v>0.46432572069958739</v>
      </c>
      <c r="W10" s="13">
        <f>'TUSD BE'!$W$10*'TUSD BF'!$W$75</f>
        <v>0</v>
      </c>
      <c r="X10" s="13">
        <f>'TUSD BE'!$X$10*'TUSD BF'!$X$75</f>
        <v>0</v>
      </c>
      <c r="Y10" s="13">
        <f>'TUSD BE'!$Y$10*'TUSD BF'!$Y$75</f>
        <v>0</v>
      </c>
      <c r="Z10" s="13">
        <f>'TUSD BE'!$Z$10*'TUSD BF'!$Z$75</f>
        <v>0</v>
      </c>
      <c r="AA10" s="13">
        <f>'TUSD BE'!$AA$10*'TUSD BF'!$AA$75</f>
        <v>0</v>
      </c>
      <c r="AB10" s="13">
        <f>SUM($U$10:$AA$10)</f>
        <v>0.86709955660826288</v>
      </c>
      <c r="AC10" s="13">
        <f>'TUSD BE'!$AC$10*'TUSD BF'!$AC$75</f>
        <v>0</v>
      </c>
      <c r="AD10" s="13">
        <f>SUM($AC$10:$AC$10)</f>
        <v>0</v>
      </c>
      <c r="AE10" s="13">
        <f ca="1">$AO$10*$AO$72</f>
        <v>0</v>
      </c>
      <c r="AF10" s="13">
        <f ca="1">$AP$10*$AP$72</f>
        <v>0</v>
      </c>
      <c r="AG10" s="13">
        <f ca="1">SUM($AE$10:$AF$10)</f>
        <v>0</v>
      </c>
      <c r="AH10" s="13">
        <f>'TUSD BE'!$AH$10*'TUSD BF'!$AH$75</f>
        <v>0</v>
      </c>
      <c r="AI10" s="13">
        <f>'TUSD BE'!$AI$10*'TUSD BF'!$AI$75</f>
        <v>0</v>
      </c>
      <c r="AJ10" s="13">
        <f ca="1">'TUSD BE'!$AJ$10*'TUSD BF'!$AJ$75</f>
        <v>0</v>
      </c>
      <c r="AK10" s="13">
        <f ca="1">'TUSD BE'!$AK$10*'TUSD BF'!$AK$75</f>
        <v>0</v>
      </c>
      <c r="AL10" s="13">
        <f ca="1">SUM($AH$10:$AK$10)</f>
        <v>0</v>
      </c>
      <c r="AM10" s="13">
        <f ca="1">SUMIF($L$4:$AL$4,"SUBTOTAL",$L$10:$AL$10)</f>
        <v>0.86709955660826288</v>
      </c>
      <c r="AO10" s="20">
        <f ca="1">+'TUSD BE'!$T$10+'TUSD BE'!$AB$10+'TUSD BE'!$AD$10+'TUSD BE'!$AL$10</f>
        <v>21.65383161839949</v>
      </c>
      <c r="AP10" s="20">
        <f ca="1">+'TUSD BE'!$T$10+'TUSD BE'!$AB$10+'TUSD BE'!$AD$10+'TUSD BE'!$AL$10</f>
        <v>21.65383161839949</v>
      </c>
    </row>
    <row r="11" spans="1:42" ht="11.25" customHeight="1" x14ac:dyDescent="0.25">
      <c r="A11" s="107"/>
      <c r="B11" s="107"/>
      <c r="C11" s="107"/>
      <c r="D11" s="107"/>
      <c r="E11" s="107"/>
      <c r="F11" s="107"/>
      <c r="G11" s="18" t="s">
        <v>88</v>
      </c>
      <c r="H11" s="18" t="s">
        <v>82</v>
      </c>
      <c r="I11" s="18">
        <f>'MERCADO TUSD'!$U$8</f>
        <v>0</v>
      </c>
      <c r="J11" s="15"/>
      <c r="L11" s="13">
        <f>'TUSD BE'!$L$11*'TUSD BF'!$L$75</f>
        <v>0.71544118618658703</v>
      </c>
      <c r="M11" s="13">
        <f>'TUSD BE'!$M$11*'TUSD BF'!$M$75</f>
        <v>0</v>
      </c>
      <c r="N11" s="13">
        <f ca="1">'TUSD BE'!$N$11*'TUSD BF'!$N$75</f>
        <v>0</v>
      </c>
      <c r="O11" s="13">
        <f>'TUSD BE'!$O$11*'TUSD BF'!$O$75</f>
        <v>0</v>
      </c>
      <c r="P11" s="13">
        <f>'TUSD BE'!$P$11*'TUSD BF'!$P$75</f>
        <v>0</v>
      </c>
      <c r="Q11" s="13">
        <f>'TUSD BE'!$Q$11*'TUSD BF'!$Q$75</f>
        <v>11.687348626507131</v>
      </c>
      <c r="R11" s="13">
        <f>'TUSD BE'!$R$11*'TUSD BF'!$R$75</f>
        <v>5.0442222398398489</v>
      </c>
      <c r="S11" s="13">
        <f>'TUSD BE'!$R$11*'TUSD BF'!$S$75</f>
        <v>0</v>
      </c>
      <c r="T11" s="13">
        <f ca="1">SUM($L$11:$S$11)</f>
        <v>17.447012052533566</v>
      </c>
      <c r="U11" s="13">
        <f>'TUSD BE'!$U$11*'TUSD BF'!$U$75</f>
        <v>0</v>
      </c>
      <c r="V11" s="13">
        <f>'TUSD BE'!$V$11*'TUSD BF'!$V$75</f>
        <v>0</v>
      </c>
      <c r="W11" s="13">
        <f>'TUSD BE'!$W$11*'TUSD BF'!$W$75</f>
        <v>0</v>
      </c>
      <c r="X11" s="13">
        <f>'TUSD BE'!$X$11*'TUSD BF'!$X$75</f>
        <v>0</v>
      </c>
      <c r="Y11" s="13">
        <f>'TUSD BE'!$Y$11*'TUSD BF'!$Y$75</f>
        <v>0</v>
      </c>
      <c r="Z11" s="13">
        <f>'TUSD BE'!$Z$11*'TUSD BF'!$Z$75</f>
        <v>0</v>
      </c>
      <c r="AA11" s="13">
        <f>'TUSD BE'!$AA$11*'TUSD BF'!$AA$75</f>
        <v>0</v>
      </c>
      <c r="AB11" s="13">
        <f>SUM($U$11:$AA$11)</f>
        <v>0</v>
      </c>
      <c r="AC11" s="13">
        <f>'TUSD BE'!$AC$11*'TUSD BF'!$AC$75</f>
        <v>0</v>
      </c>
      <c r="AD11" s="13">
        <f>SUM($AC$11:$AC$11)</f>
        <v>0</v>
      </c>
      <c r="AE11" s="13">
        <f ca="1">$AO$11*$AO$72</f>
        <v>0</v>
      </c>
      <c r="AF11" s="13">
        <f ca="1">$AP$11*$AP$72</f>
        <v>0</v>
      </c>
      <c r="AG11" s="13">
        <f ca="1">SUM($AE$11:$AF$11)</f>
        <v>0</v>
      </c>
      <c r="AH11" s="13">
        <f>'TUSD BE'!$AH$11*'TUSD BF'!$AH$75</f>
        <v>-0.17307581319883567</v>
      </c>
      <c r="AI11" s="13">
        <f>'TUSD BE'!$AI$11*'TUSD BF'!$AI$75</f>
        <v>-8.0028640681226882E-3</v>
      </c>
      <c r="AJ11" s="13">
        <f ca="1">'TUSD BE'!$AJ$11*'TUSD BF'!$AJ$75</f>
        <v>-0.23534046261011982</v>
      </c>
      <c r="AK11" s="13">
        <f ca="1">'TUSD BE'!$AK$11*'TUSD BF'!$AK$75</f>
        <v>0</v>
      </c>
      <c r="AL11" s="13">
        <f ca="1">SUM($AH$11:$AK$11)</f>
        <v>-0.41641913987707818</v>
      </c>
      <c r="AM11" s="13">
        <f ca="1">SUMIF($L$4:$AL$4,"SUBTOTAL",$L$11:$AL$11)</f>
        <v>17.030592912656488</v>
      </c>
      <c r="AO11" s="20">
        <f ca="1">+'TUSD BE'!$T$11+'TUSD BE'!$AB$11+'TUSD BE'!$AD$11+'TUSD BE'!$AL$11</f>
        <v>105.4247116981856</v>
      </c>
      <c r="AP11" s="20">
        <f ca="1">+'TUSD BE'!$T$11+'TUSD BE'!$AB$11+'TUSD BE'!$AD$11+'TUSD BE'!$AL$11</f>
        <v>105.4247116981856</v>
      </c>
    </row>
    <row r="12" spans="1:42" ht="11.25" customHeight="1" x14ac:dyDescent="0.25">
      <c r="A12" s="107"/>
      <c r="B12" s="107"/>
      <c r="C12" s="107"/>
      <c r="D12" s="107"/>
      <c r="E12" s="17" t="s">
        <v>89</v>
      </c>
      <c r="F12" s="17" t="s">
        <v>25</v>
      </c>
      <c r="G12" s="18" t="s">
        <v>88</v>
      </c>
      <c r="H12" s="18" t="s">
        <v>82</v>
      </c>
      <c r="I12" s="18">
        <f>'MERCADO TUSD'!$U$9</f>
        <v>0</v>
      </c>
      <c r="J12" s="15"/>
      <c r="L12" s="13">
        <f>'TUSD BE'!$L$12*'TUSD BF'!$L$75</f>
        <v>0</v>
      </c>
      <c r="M12" s="13">
        <f>'TUSD BE'!$M$12*'TUSD BF'!$M$75</f>
        <v>0</v>
      </c>
      <c r="N12" s="13">
        <f ca="1">'TUSD BE'!$N$12*'TUSD BF'!$N$75</f>
        <v>0</v>
      </c>
      <c r="O12" s="13">
        <f>'TUSD BE'!$O$12*'TUSD BF'!$O$75</f>
        <v>0</v>
      </c>
      <c r="P12" s="13">
        <f>'TUSD BE'!$P$12*'TUSD BF'!$P$75</f>
        <v>0</v>
      </c>
      <c r="Q12" s="13">
        <f>'TUSD BE'!$Q$12*'TUSD BF'!$Q$75</f>
        <v>0</v>
      </c>
      <c r="R12" s="13">
        <f>'TUSD BE'!$R$12*'TUSD BF'!$R$75</f>
        <v>0</v>
      </c>
      <c r="S12" s="13">
        <f>'TUSD BE'!$R$12*'TUSD BF'!$S$75</f>
        <v>0</v>
      </c>
      <c r="T12" s="13">
        <f ca="1">SUM($L$12:$S$12)</f>
        <v>0</v>
      </c>
      <c r="U12" s="13">
        <f>'TUSD BE'!$U$12*'TUSD BF'!$U$75</f>
        <v>0</v>
      </c>
      <c r="V12" s="13">
        <f>'TUSD BE'!$V$12*'TUSD BF'!$V$75</f>
        <v>0</v>
      </c>
      <c r="W12" s="13">
        <f>'TUSD BE'!$W$12*'TUSD BF'!$W$75</f>
        <v>0</v>
      </c>
      <c r="X12" s="13">
        <f>'TUSD BE'!$X$12*'TUSD BF'!$X$75</f>
        <v>0</v>
      </c>
      <c r="Y12" s="13">
        <f>'TUSD BE'!$Y$12*'TUSD BF'!$Y$75</f>
        <v>0</v>
      </c>
      <c r="Z12" s="13">
        <f>'TUSD BE'!$Z$12*'TUSD BF'!$Z$75</f>
        <v>0</v>
      </c>
      <c r="AA12" s="13">
        <f>'TUSD BE'!$AA$12*'TUSD BF'!$AA$75</f>
        <v>0</v>
      </c>
      <c r="AB12" s="13">
        <f>SUM($U$12:$AA$12)</f>
        <v>0</v>
      </c>
      <c r="AC12" s="13">
        <f>'TUSD BE'!$AC$12*'TUSD BF'!$AC$75</f>
        <v>0</v>
      </c>
      <c r="AD12" s="13">
        <f>SUM($AC$12:$AC$12)</f>
        <v>0</v>
      </c>
      <c r="AE12" s="13">
        <f ca="1">$AO$12*$AO$72</f>
        <v>0</v>
      </c>
      <c r="AF12" s="13">
        <f ca="1">$AP$12*$AP$72</f>
        <v>0</v>
      </c>
      <c r="AG12" s="13">
        <f ca="1">SUM($AE$12:$AF$12)</f>
        <v>0</v>
      </c>
      <c r="AH12" s="13">
        <f>'TUSD BE'!$AH$12*'TUSD BF'!$AH$75</f>
        <v>-0.17307581319883567</v>
      </c>
      <c r="AI12" s="13">
        <f>'TUSD BE'!$AI$12*'TUSD BF'!$AI$75</f>
        <v>-8.0028640681226882E-3</v>
      </c>
      <c r="AJ12" s="13">
        <f ca="1">'TUSD BE'!$AJ$12*'TUSD BF'!$AJ$75</f>
        <v>-0.23534046261011982</v>
      </c>
      <c r="AK12" s="13">
        <f ca="1">'TUSD BE'!$AK$12*'TUSD BF'!$AK$75</f>
        <v>0</v>
      </c>
      <c r="AL12" s="13">
        <f ca="1">SUM($AH$12:$AK$12)</f>
        <v>-0.41641913987707818</v>
      </c>
      <c r="AM12" s="13">
        <f ca="1">SUMIF($L$4:$AL$4,"SUBTOTAL",$L$12:$AL$12)</f>
        <v>-0.41641913987707818</v>
      </c>
      <c r="AO12" s="20">
        <f ca="1">+'TUSD BE'!$T$12+'TUSD BE'!$AB$12+'TUSD BE'!$AD$12+'TUSD BE'!$AL$12</f>
        <v>42.038445975039316</v>
      </c>
      <c r="AP12" s="20">
        <f ca="1">+'TUSD BE'!$T$12+'TUSD BE'!$AB$12+'TUSD BE'!$AD$12+'TUSD BE'!$AL$12</f>
        <v>42.038445975039316</v>
      </c>
    </row>
    <row r="13" spans="1:42" ht="11.25" customHeight="1" x14ac:dyDescent="0.25">
      <c r="A13" s="107"/>
      <c r="B13" s="17" t="s">
        <v>91</v>
      </c>
      <c r="C13" s="17" t="s">
        <v>25</v>
      </c>
      <c r="D13" s="17" t="s">
        <v>25</v>
      </c>
      <c r="E13" s="17" t="s">
        <v>25</v>
      </c>
      <c r="F13" s="17" t="s">
        <v>25</v>
      </c>
      <c r="G13" s="18" t="s">
        <v>9</v>
      </c>
      <c r="H13" s="18" t="s">
        <v>85</v>
      </c>
      <c r="I13" s="18">
        <f>'MERCADO TUSD'!$U$10</f>
        <v>0</v>
      </c>
      <c r="J13" s="15"/>
      <c r="L13" s="13">
        <f>'TUSD BE'!$L$13*'TUSD BF'!$L$75</f>
        <v>0</v>
      </c>
      <c r="M13" s="13">
        <f>'TUSD BE'!$M$13*'TUSD BF'!$M$75</f>
        <v>0</v>
      </c>
      <c r="N13" s="13">
        <f ca="1">'TUSD BE'!$N$13*'TUSD BF'!$N$75</f>
        <v>0</v>
      </c>
      <c r="O13" s="13">
        <f>'TUSD BE'!$O$13*'TUSD BF'!$O$75</f>
        <v>0</v>
      </c>
      <c r="P13" s="13">
        <f>'TUSD BE'!$P$13*'TUSD BF'!$P$75</f>
        <v>0</v>
      </c>
      <c r="Q13" s="13">
        <f>'TUSD BE'!$Q$13*'TUSD BF'!$Q$75</f>
        <v>0</v>
      </c>
      <c r="R13" s="13">
        <f>'TUSD BE'!$R$13*'TUSD BF'!$R$75</f>
        <v>0</v>
      </c>
      <c r="S13" s="13">
        <f>'TUSD BE'!$R$13*'TUSD BF'!$S$75</f>
        <v>0</v>
      </c>
      <c r="T13" s="13">
        <f ca="1">SUM($L$13:$S$13)</f>
        <v>0</v>
      </c>
      <c r="U13" s="13">
        <f>'TUSD BE'!$U$13*'TUSD BF'!$U$75</f>
        <v>0</v>
      </c>
      <c r="V13" s="13">
        <f>'TUSD BE'!$V$13*'TUSD BF'!$V$75</f>
        <v>0</v>
      </c>
      <c r="W13" s="13">
        <f>'TUSD BE'!$W$13*'TUSD BF'!$W$75</f>
        <v>0</v>
      </c>
      <c r="X13" s="13">
        <f>'TUSD BE'!$X$13*'TUSD BF'!$X$75</f>
        <v>0</v>
      </c>
      <c r="Y13" s="13">
        <f>'TUSD BE'!$Y$13*'TUSD BF'!$Y$75</f>
        <v>0</v>
      </c>
      <c r="Z13" s="13">
        <f>'TUSD BE'!$Z$13*'TUSD BF'!$Z$75</f>
        <v>0</v>
      </c>
      <c r="AA13" s="13">
        <f>'TUSD BE'!$AA$13*'TUSD BF'!$AA$75</f>
        <v>0</v>
      </c>
      <c r="AB13" s="13">
        <f>SUM($U$13:$AA$13)</f>
        <v>0</v>
      </c>
      <c r="AC13" s="13">
        <f>'TUSD BE'!$AC$13*'TUSD BF'!$AC$75</f>
        <v>0</v>
      </c>
      <c r="AD13" s="13">
        <f>SUM($AC$13:$AC$13)</f>
        <v>0</v>
      </c>
      <c r="AE13" s="13">
        <f ca="1">$AO$13*$AO$72</f>
        <v>0</v>
      </c>
      <c r="AF13" s="13">
        <f ca="1">$AP$13*$AP$72</f>
        <v>0</v>
      </c>
      <c r="AG13" s="13">
        <f ca="1">SUM($AE$13:$AF$13)</f>
        <v>0</v>
      </c>
      <c r="AH13" s="13">
        <f>'TUSD BE'!$AH$13*'TUSD BF'!$AH$75</f>
        <v>0</v>
      </c>
      <c r="AI13" s="13">
        <f>'TUSD BE'!$AI$13*'TUSD BF'!$AI$75</f>
        <v>0</v>
      </c>
      <c r="AJ13" s="13">
        <f ca="1">'TUSD BE'!$AJ$13*'TUSD BF'!$AJ$75</f>
        <v>0</v>
      </c>
      <c r="AK13" s="13">
        <f ca="1">'TUSD BE'!$AK$13*'TUSD BF'!$AK$75</f>
        <v>0</v>
      </c>
      <c r="AL13" s="13">
        <f ca="1">SUM($AH$13:$AK$13)</f>
        <v>0</v>
      </c>
      <c r="AM13" s="13">
        <f ca="1">SUMIF($L$4:$AL$4,"SUBTOTAL",$L$13:$AL$13)</f>
        <v>0</v>
      </c>
      <c r="AO13" s="20">
        <f ca="1">+'TUSD BE'!$T$13+'TUSD BE'!$AB$13+'TUSD BE'!$AD$13+'TUSD BE'!$AL$13</f>
        <v>20.237020058222619</v>
      </c>
      <c r="AP13" s="20">
        <f ca="1">+'TUSD BE'!$T$13+'TUSD BE'!$AB$13+'TUSD BE'!$AD$13+'TUSD BE'!$AL$13</f>
        <v>20.237020058222619</v>
      </c>
    </row>
    <row r="14" spans="1:42" ht="11.25" customHeight="1" x14ac:dyDescent="0.25">
      <c r="A14" s="107"/>
      <c r="B14" s="107" t="s">
        <v>44</v>
      </c>
      <c r="C14" s="107" t="s">
        <v>25</v>
      </c>
      <c r="D14" s="107" t="s">
        <v>25</v>
      </c>
      <c r="E14" s="107" t="s">
        <v>25</v>
      </c>
      <c r="F14" s="107" t="s">
        <v>25</v>
      </c>
      <c r="G14" s="18" t="s">
        <v>9</v>
      </c>
      <c r="H14" s="18" t="s">
        <v>85</v>
      </c>
      <c r="I14" s="18">
        <f>'MERCADO TUSD'!$U$11</f>
        <v>10639</v>
      </c>
      <c r="J14" s="15"/>
      <c r="L14" s="13">
        <f>'TUSD BE'!$L$14*'TUSD BF'!$L$75</f>
        <v>0</v>
      </c>
      <c r="M14" s="13">
        <f>'TUSD BE'!$M$14*'TUSD BF'!$M$75</f>
        <v>0</v>
      </c>
      <c r="N14" s="13">
        <f ca="1">'TUSD BE'!$N$14*'TUSD BF'!$N$75</f>
        <v>0</v>
      </c>
      <c r="O14" s="13">
        <f>'TUSD BE'!$O$14*'TUSD BF'!$O$75</f>
        <v>0</v>
      </c>
      <c r="P14" s="13">
        <f>'TUSD BE'!$P$14*'TUSD BF'!$P$75</f>
        <v>0</v>
      </c>
      <c r="Q14" s="13">
        <f>'TUSD BE'!$Q$14*'TUSD BF'!$Q$75</f>
        <v>0</v>
      </c>
      <c r="R14" s="13">
        <f>'TUSD BE'!$R$14*'TUSD BF'!$R$75</f>
        <v>0</v>
      </c>
      <c r="S14" s="13">
        <f>'TUSD BE'!$R$14*'TUSD BF'!$S$75</f>
        <v>0</v>
      </c>
      <c r="T14" s="13">
        <f ca="1">SUM($L$14:$S$14)</f>
        <v>0</v>
      </c>
      <c r="U14" s="13">
        <f>'TUSD BE'!$U$14*'TUSD BF'!$U$75</f>
        <v>0.40277383590867555</v>
      </c>
      <c r="V14" s="13">
        <f>'TUSD BE'!$V$14*'TUSD BF'!$V$75</f>
        <v>0.46432572069958739</v>
      </c>
      <c r="W14" s="13">
        <f>'TUSD BE'!$W$14*'TUSD BF'!$W$75</f>
        <v>0</v>
      </c>
      <c r="X14" s="13">
        <f>'TUSD BE'!$X$14*'TUSD BF'!$X$75</f>
        <v>0</v>
      </c>
      <c r="Y14" s="13">
        <f>'TUSD BE'!$Y$14*'TUSD BF'!$Y$75</f>
        <v>0</v>
      </c>
      <c r="Z14" s="13">
        <f>'TUSD BE'!$Z$14*'TUSD BF'!$Z$75</f>
        <v>0</v>
      </c>
      <c r="AA14" s="13">
        <f>'TUSD BE'!$AA$14*'TUSD BF'!$AA$75</f>
        <v>0</v>
      </c>
      <c r="AB14" s="13">
        <f>SUM($U$14:$AA$14)</f>
        <v>0.86709955660826288</v>
      </c>
      <c r="AC14" s="13">
        <f>'TUSD BE'!$AC$14*'TUSD BF'!$AC$75</f>
        <v>0</v>
      </c>
      <c r="AD14" s="13">
        <f>SUM($AC$14:$AC$14)</f>
        <v>0</v>
      </c>
      <c r="AE14" s="13">
        <f ca="1">$AO$14*$AO$72</f>
        <v>0</v>
      </c>
      <c r="AF14" s="13">
        <f ca="1">$AP$14*$AP$72</f>
        <v>0</v>
      </c>
      <c r="AG14" s="13">
        <f ca="1">SUM($AE$14:$AF$14)</f>
        <v>0</v>
      </c>
      <c r="AH14" s="13">
        <f>'TUSD BE'!$AH$14*'TUSD BF'!$AH$75</f>
        <v>0</v>
      </c>
      <c r="AI14" s="13">
        <f>'TUSD BE'!$AI$14*'TUSD BF'!$AI$75</f>
        <v>0</v>
      </c>
      <c r="AJ14" s="13">
        <f ca="1">'TUSD BE'!$AJ$14*'TUSD BF'!$AJ$75</f>
        <v>0</v>
      </c>
      <c r="AK14" s="13">
        <f ca="1">'TUSD BE'!$AK$14*'TUSD BF'!$AK$75</f>
        <v>0</v>
      </c>
      <c r="AL14" s="13">
        <f ca="1">SUM($AH$14:$AK$14)</f>
        <v>0</v>
      </c>
      <c r="AM14" s="13">
        <f ca="1">SUMIF($L$4:$AL$4,"SUBTOTAL",$L$14:$AL$14)</f>
        <v>0.86709955660826288</v>
      </c>
      <c r="AO14" s="20">
        <f ca="1">+'TUSD BE'!$T$14+'TUSD BE'!$AB$14+'TUSD BE'!$AD$14+'TUSD BE'!$AL$14</f>
        <v>21.65383161839949</v>
      </c>
      <c r="AP14" s="20">
        <f ca="1">+'TUSD BE'!$T$14+'TUSD BE'!$AB$14+'TUSD BE'!$AD$14+'TUSD BE'!$AL$14</f>
        <v>21.65383161839949</v>
      </c>
    </row>
    <row r="15" spans="1:42" ht="11.25" customHeight="1" x14ac:dyDescent="0.25">
      <c r="A15" s="107"/>
      <c r="B15" s="107"/>
      <c r="C15" s="107"/>
      <c r="D15" s="107"/>
      <c r="E15" s="107"/>
      <c r="F15" s="107"/>
      <c r="G15" s="18" t="s">
        <v>83</v>
      </c>
      <c r="H15" s="18" t="s">
        <v>82</v>
      </c>
      <c r="I15" s="18">
        <f>'MERCADO TUSD'!$U$12</f>
        <v>163.142</v>
      </c>
      <c r="J15" s="15"/>
      <c r="L15" s="13">
        <f>'TUSD BE'!$L$15*'TUSD BF'!$L$75</f>
        <v>0.71544118618658703</v>
      </c>
      <c r="M15" s="13">
        <f>'TUSD BE'!$M$15*'TUSD BF'!$M$75</f>
        <v>0</v>
      </c>
      <c r="N15" s="13">
        <f ca="1">'TUSD BE'!$N$15*'TUSD BF'!$N$75</f>
        <v>0</v>
      </c>
      <c r="O15" s="13">
        <f>'TUSD BE'!$O$15*'TUSD BF'!$O$75</f>
        <v>0</v>
      </c>
      <c r="P15" s="13">
        <f>'TUSD BE'!$P$15*'TUSD BF'!$P$75</f>
        <v>0</v>
      </c>
      <c r="Q15" s="13">
        <f>'TUSD BE'!$Q$15*'TUSD BF'!$Q$75</f>
        <v>11.687348626507131</v>
      </c>
      <c r="R15" s="13">
        <f>'TUSD BE'!$R$15*'TUSD BF'!$R$75</f>
        <v>5.0442222398398489</v>
      </c>
      <c r="S15" s="13">
        <f>'TUSD BE'!$R$15*'TUSD BF'!$S$75</f>
        <v>0</v>
      </c>
      <c r="T15" s="13">
        <f ca="1">SUM($L$15:$S$15)</f>
        <v>17.447012052533566</v>
      </c>
      <c r="U15" s="13">
        <f>'TUSD BE'!$U$15*'TUSD BF'!$U$75</f>
        <v>12.902289386218916</v>
      </c>
      <c r="V15" s="13">
        <f>'TUSD BE'!$V$15*'TUSD BF'!$V$75</f>
        <v>13.499547258434189</v>
      </c>
      <c r="W15" s="13">
        <f>'TUSD BE'!$W$15*'TUSD BF'!$W$75</f>
        <v>0</v>
      </c>
      <c r="X15" s="13">
        <f>'TUSD BE'!$X$15*'TUSD BF'!$X$75</f>
        <v>0</v>
      </c>
      <c r="Y15" s="13">
        <f>'TUSD BE'!$Y$15*'TUSD BF'!$Y$75</f>
        <v>0</v>
      </c>
      <c r="Z15" s="13">
        <f>'TUSD BE'!$Z$15*'TUSD BF'!$Z$75</f>
        <v>0</v>
      </c>
      <c r="AA15" s="13">
        <f>'TUSD BE'!$AA$15*'TUSD BF'!$AA$75</f>
        <v>0</v>
      </c>
      <c r="AB15" s="13">
        <f>SUM($U$15:$AA$15)</f>
        <v>26.401836644653105</v>
      </c>
      <c r="AC15" s="13">
        <f>'TUSD BE'!$AC$15*'TUSD BF'!$AC$75</f>
        <v>0</v>
      </c>
      <c r="AD15" s="13">
        <f>SUM($AC$15:$AC$15)</f>
        <v>0</v>
      </c>
      <c r="AE15" s="13">
        <f ca="1">$AO$15*$AO$72</f>
        <v>0</v>
      </c>
      <c r="AF15" s="13">
        <f ca="1">$AP$15*$AP$72</f>
        <v>0</v>
      </c>
      <c r="AG15" s="13">
        <f ca="1">SUM($AE$15:$AF$15)</f>
        <v>0</v>
      </c>
      <c r="AH15" s="13">
        <f>'TUSD BE'!$AH$15*'TUSD BF'!$AH$75</f>
        <v>-0.17307581319883567</v>
      </c>
      <c r="AI15" s="13">
        <f>'TUSD BE'!$AI$15*'TUSD BF'!$AI$75</f>
        <v>-8.0028640681226882E-3</v>
      </c>
      <c r="AJ15" s="13">
        <f ca="1">'TUSD BE'!$AJ$15*'TUSD BF'!$AJ$75</f>
        <v>-0.23534046261011982</v>
      </c>
      <c r="AK15" s="13">
        <f ca="1">'TUSD BE'!$AK$15*'TUSD BF'!$AK$75</f>
        <v>0</v>
      </c>
      <c r="AL15" s="13">
        <f ca="1">SUM($AH$15:$AK$15)</f>
        <v>-0.41641913987707818</v>
      </c>
      <c r="AM15" s="13">
        <f ca="1">SUMIF($L$4:$AL$4,"SUBTOTAL",$L$15:$AL$15)</f>
        <v>43.43242955730959</v>
      </c>
      <c r="AO15" s="20">
        <f ca="1">+'TUSD BE'!$T$15+'TUSD BE'!$AB$15+'TUSD BE'!$AD$15+'TUSD BE'!$AL$15</f>
        <v>1577.7653483801957</v>
      </c>
      <c r="AP15" s="20">
        <f ca="1">+'TUSD BE'!$T$15+'TUSD BE'!$AB$15+'TUSD BE'!$AD$15+'TUSD BE'!$AL$15</f>
        <v>1577.7653483801957</v>
      </c>
    </row>
    <row r="16" spans="1:42" ht="11.25" customHeight="1" x14ac:dyDescent="0.25">
      <c r="A16" s="107"/>
      <c r="B16" s="107"/>
      <c r="C16" s="107"/>
      <c r="D16" s="107"/>
      <c r="E16" s="107"/>
      <c r="F16" s="107"/>
      <c r="G16" s="18" t="s">
        <v>84</v>
      </c>
      <c r="H16" s="18" t="s">
        <v>82</v>
      </c>
      <c r="I16" s="18">
        <f>'MERCADO TUSD'!$U$13</f>
        <v>1766.7370000000001</v>
      </c>
      <c r="J16" s="15"/>
      <c r="L16" s="13">
        <f>'TUSD BE'!$L$16*'TUSD BF'!$L$75</f>
        <v>0.71544118618658703</v>
      </c>
      <c r="M16" s="13">
        <f>'TUSD BE'!$M$16*'TUSD BF'!$M$75</f>
        <v>0</v>
      </c>
      <c r="N16" s="13">
        <f ca="1">'TUSD BE'!$N$16*'TUSD BF'!$N$75</f>
        <v>0</v>
      </c>
      <c r="O16" s="13">
        <f>'TUSD BE'!$O$16*'TUSD BF'!$O$75</f>
        <v>0</v>
      </c>
      <c r="P16" s="13">
        <f>'TUSD BE'!$P$16*'TUSD BF'!$P$75</f>
        <v>0</v>
      </c>
      <c r="Q16" s="13">
        <f>'TUSD BE'!$Q$16*'TUSD BF'!$Q$75</f>
        <v>11.687348626507131</v>
      </c>
      <c r="R16" s="13">
        <f>'TUSD BE'!$R$16*'TUSD BF'!$R$75</f>
        <v>5.0442222398398489</v>
      </c>
      <c r="S16" s="13">
        <f>'TUSD BE'!$R$16*'TUSD BF'!$S$75</f>
        <v>0</v>
      </c>
      <c r="T16" s="13">
        <f ca="1">SUM($L$16:$S$16)</f>
        <v>17.447012052533566</v>
      </c>
      <c r="U16" s="13">
        <f>'TUSD BE'!$U$16*'TUSD BF'!$U$75</f>
        <v>0</v>
      </c>
      <c r="V16" s="13">
        <f>'TUSD BE'!$V$16*'TUSD BF'!$V$75</f>
        <v>0</v>
      </c>
      <c r="W16" s="13">
        <f>'TUSD BE'!$W$16*'TUSD BF'!$W$75</f>
        <v>0</v>
      </c>
      <c r="X16" s="13">
        <f>'TUSD BE'!$X$16*'TUSD BF'!$X$75</f>
        <v>0</v>
      </c>
      <c r="Y16" s="13">
        <f>'TUSD BE'!$Y$16*'TUSD BF'!$Y$75</f>
        <v>0</v>
      </c>
      <c r="Z16" s="13">
        <f>'TUSD BE'!$Z$16*'TUSD BF'!$Z$75</f>
        <v>0</v>
      </c>
      <c r="AA16" s="13">
        <f>'TUSD BE'!$AA$16*'TUSD BF'!$AA$75</f>
        <v>0</v>
      </c>
      <c r="AB16" s="13">
        <f>SUM($U$16:$AA$16)</f>
        <v>0</v>
      </c>
      <c r="AC16" s="13">
        <f>'TUSD BE'!$AC$16*'TUSD BF'!$AC$75</f>
        <v>0</v>
      </c>
      <c r="AD16" s="13">
        <f>SUM($AC$16:$AC$16)</f>
        <v>0</v>
      </c>
      <c r="AE16" s="13">
        <f ca="1">$AO$16*$AO$72</f>
        <v>0</v>
      </c>
      <c r="AF16" s="13">
        <f ca="1">$AP$16*$AP$72</f>
        <v>0</v>
      </c>
      <c r="AG16" s="13">
        <f ca="1">SUM($AE$16:$AF$16)</f>
        <v>0</v>
      </c>
      <c r="AH16" s="13">
        <f>'TUSD BE'!$AH$16*'TUSD BF'!$AH$75</f>
        <v>-0.17307581319883567</v>
      </c>
      <c r="AI16" s="13">
        <f>'TUSD BE'!$AI$16*'TUSD BF'!$AI$75</f>
        <v>-8.0028640681226882E-3</v>
      </c>
      <c r="AJ16" s="13">
        <f ca="1">'TUSD BE'!$AJ$16*'TUSD BF'!$AJ$75</f>
        <v>-0.23534046261011982</v>
      </c>
      <c r="AK16" s="13">
        <f ca="1">'TUSD BE'!$AK$16*'TUSD BF'!$AK$75</f>
        <v>0</v>
      </c>
      <c r="AL16" s="13">
        <f ca="1">SUM($AH$16:$AK$16)</f>
        <v>-0.41641913987707818</v>
      </c>
      <c r="AM16" s="13">
        <f ca="1">SUMIF($L$4:$AL$4,"SUBTOTAL",$L$16:$AL$16)</f>
        <v>17.030592912656488</v>
      </c>
      <c r="AO16" s="20">
        <f ca="1">+'TUSD BE'!$T$16+'TUSD BE'!$AB$16+'TUSD BE'!$AD$16+'TUSD BE'!$AL$16</f>
        <v>105.4247116981856</v>
      </c>
      <c r="AP16" s="20">
        <f ca="1">+'TUSD BE'!$T$16+'TUSD BE'!$AB$16+'TUSD BE'!$AD$16+'TUSD BE'!$AL$16</f>
        <v>105.4247116981856</v>
      </c>
    </row>
    <row r="17" spans="1:42" ht="11.25" customHeight="1" x14ac:dyDescent="0.25">
      <c r="A17" s="107"/>
      <c r="B17" s="107"/>
      <c r="C17" s="107"/>
      <c r="D17" s="107"/>
      <c r="E17" s="107" t="s">
        <v>89</v>
      </c>
      <c r="F17" s="107" t="s">
        <v>25</v>
      </c>
      <c r="G17" s="18" t="s">
        <v>83</v>
      </c>
      <c r="H17" s="18" t="s">
        <v>82</v>
      </c>
      <c r="I17" s="18">
        <f>'MERCADO TUSD'!$U$14</f>
        <v>0</v>
      </c>
      <c r="J17" s="15"/>
      <c r="L17" s="13">
        <f>'TUSD BE'!$L$17*'TUSD BF'!$L$75</f>
        <v>0</v>
      </c>
      <c r="M17" s="13">
        <f>'TUSD BE'!$M$17*'TUSD BF'!$M$75</f>
        <v>0</v>
      </c>
      <c r="N17" s="13">
        <f ca="1">'TUSD BE'!$N$17*'TUSD BF'!$N$75</f>
        <v>0</v>
      </c>
      <c r="O17" s="13">
        <f>'TUSD BE'!$O$17*'TUSD BF'!$O$75</f>
        <v>0</v>
      </c>
      <c r="P17" s="13">
        <f>'TUSD BE'!$P$17*'TUSD BF'!$P$75</f>
        <v>0</v>
      </c>
      <c r="Q17" s="13">
        <f>'TUSD BE'!$Q$17*'TUSD BF'!$Q$75</f>
        <v>0</v>
      </c>
      <c r="R17" s="13">
        <f>'TUSD BE'!$R$17*'TUSD BF'!$R$75</f>
        <v>0</v>
      </c>
      <c r="S17" s="13">
        <f>'TUSD BE'!$R$17*'TUSD BF'!$S$75</f>
        <v>0</v>
      </c>
      <c r="T17" s="13">
        <f ca="1">SUM($L$17:$S$17)</f>
        <v>0</v>
      </c>
      <c r="U17" s="13">
        <f>'TUSD BE'!$U$17*'TUSD BF'!$U$75</f>
        <v>12.902289386218916</v>
      </c>
      <c r="V17" s="13">
        <f>'TUSD BE'!$V$17*'TUSD BF'!$V$75</f>
        <v>13.499547258434189</v>
      </c>
      <c r="W17" s="13">
        <f>'TUSD BE'!$W$17*'TUSD BF'!$W$75</f>
        <v>0</v>
      </c>
      <c r="X17" s="13">
        <f>'TUSD BE'!$X$17*'TUSD BF'!$X$75</f>
        <v>0</v>
      </c>
      <c r="Y17" s="13">
        <f>'TUSD BE'!$Y$17*'TUSD BF'!$Y$75</f>
        <v>0</v>
      </c>
      <c r="Z17" s="13">
        <f>'TUSD BE'!$Z$17*'TUSD BF'!$Z$75</f>
        <v>0</v>
      </c>
      <c r="AA17" s="13">
        <f>'TUSD BE'!$AA$17*'TUSD BF'!$AA$75</f>
        <v>0</v>
      </c>
      <c r="AB17" s="13">
        <f>SUM($U$17:$AA$17)</f>
        <v>26.401836644653105</v>
      </c>
      <c r="AC17" s="13">
        <f>'TUSD BE'!$AC$17*'TUSD BF'!$AC$75</f>
        <v>0</v>
      </c>
      <c r="AD17" s="13">
        <f>SUM($AC$17:$AC$17)</f>
        <v>0</v>
      </c>
      <c r="AE17" s="13">
        <f ca="1">$AO$17*$AO$72</f>
        <v>0</v>
      </c>
      <c r="AF17" s="13">
        <f ca="1">$AP$17*$AP$72</f>
        <v>0</v>
      </c>
      <c r="AG17" s="13">
        <f ca="1">SUM($AE$17:$AF$17)</f>
        <v>0</v>
      </c>
      <c r="AH17" s="13">
        <f>'TUSD BE'!$AH$17*'TUSD BF'!$AH$75</f>
        <v>-0.17307581319883567</v>
      </c>
      <c r="AI17" s="13">
        <f>'TUSD BE'!$AI$17*'TUSD BF'!$AI$75</f>
        <v>-8.0028640681226882E-3</v>
      </c>
      <c r="AJ17" s="13">
        <f ca="1">'TUSD BE'!$AJ$17*'TUSD BF'!$AJ$75</f>
        <v>-0.23534046261011982</v>
      </c>
      <c r="AK17" s="13">
        <f ca="1">'TUSD BE'!$AK$17*'TUSD BF'!$AK$75</f>
        <v>0</v>
      </c>
      <c r="AL17" s="13">
        <f ca="1">SUM($AH$17:$AK$17)</f>
        <v>-0.41641913987707818</v>
      </c>
      <c r="AM17" s="13">
        <f ca="1">SUMIF($L$4:$AL$4,"SUBTOTAL",$L$17:$AL$17)</f>
        <v>25.985417504776027</v>
      </c>
      <c r="AO17" s="20">
        <f ca="1">+'TUSD BE'!$T$17+'TUSD BE'!$AB$17+'TUSD BE'!$AD$17+'TUSD BE'!$AL$17</f>
        <v>1514.3790826570494</v>
      </c>
      <c r="AP17" s="20">
        <f ca="1">+'TUSD BE'!$T$17+'TUSD BE'!$AB$17+'TUSD BE'!$AD$17+'TUSD BE'!$AL$17</f>
        <v>1514.3790826570494</v>
      </c>
    </row>
    <row r="18" spans="1:42" ht="11.25" customHeight="1" x14ac:dyDescent="0.25">
      <c r="A18" s="107"/>
      <c r="B18" s="107"/>
      <c r="C18" s="107"/>
      <c r="D18" s="107"/>
      <c r="E18" s="107"/>
      <c r="F18" s="107"/>
      <c r="G18" s="18" t="s">
        <v>84</v>
      </c>
      <c r="H18" s="18" t="s">
        <v>82</v>
      </c>
      <c r="I18" s="18">
        <f>'MERCADO TUSD'!$U$15</f>
        <v>0</v>
      </c>
      <c r="J18" s="15"/>
      <c r="L18" s="13">
        <f>'TUSD BE'!$L$18*'TUSD BF'!$L$75</f>
        <v>0</v>
      </c>
      <c r="M18" s="13">
        <f>'TUSD BE'!$M$18*'TUSD BF'!$M$75</f>
        <v>0</v>
      </c>
      <c r="N18" s="13">
        <f ca="1">'TUSD BE'!$N$18*'TUSD BF'!$N$75</f>
        <v>0</v>
      </c>
      <c r="O18" s="13">
        <f>'TUSD BE'!$O$18*'TUSD BF'!$O$75</f>
        <v>0</v>
      </c>
      <c r="P18" s="13">
        <f>'TUSD BE'!$P$18*'TUSD BF'!$P$75</f>
        <v>0</v>
      </c>
      <c r="Q18" s="13">
        <f>'TUSD BE'!$Q$18*'TUSD BF'!$Q$75</f>
        <v>0</v>
      </c>
      <c r="R18" s="13">
        <f>'TUSD BE'!$R$18*'TUSD BF'!$R$75</f>
        <v>0</v>
      </c>
      <c r="S18" s="13">
        <f>'TUSD BE'!$R$18*'TUSD BF'!$S$75</f>
        <v>0</v>
      </c>
      <c r="T18" s="13">
        <f ca="1">SUM($L$18:$S$18)</f>
        <v>0</v>
      </c>
      <c r="U18" s="13">
        <f>'TUSD BE'!$U$18*'TUSD BF'!$U$75</f>
        <v>0</v>
      </c>
      <c r="V18" s="13">
        <f>'TUSD BE'!$V$18*'TUSD BF'!$V$75</f>
        <v>0</v>
      </c>
      <c r="W18" s="13">
        <f>'TUSD BE'!$W$18*'TUSD BF'!$W$75</f>
        <v>0</v>
      </c>
      <c r="X18" s="13">
        <f>'TUSD BE'!$X$18*'TUSD BF'!$X$75</f>
        <v>0</v>
      </c>
      <c r="Y18" s="13">
        <f>'TUSD BE'!$Y$18*'TUSD BF'!$Y$75</f>
        <v>0</v>
      </c>
      <c r="Z18" s="13">
        <f>'TUSD BE'!$Z$18*'TUSD BF'!$Z$75</f>
        <v>0</v>
      </c>
      <c r="AA18" s="13">
        <f>'TUSD BE'!$AA$18*'TUSD BF'!$AA$75</f>
        <v>0</v>
      </c>
      <c r="AB18" s="13">
        <f>SUM($U$18:$AA$18)</f>
        <v>0</v>
      </c>
      <c r="AC18" s="13">
        <f>'TUSD BE'!$AC$18*'TUSD BF'!$AC$75</f>
        <v>0</v>
      </c>
      <c r="AD18" s="13">
        <f>SUM($AC$18:$AC$18)</f>
        <v>0</v>
      </c>
      <c r="AE18" s="13">
        <f ca="1">$AO$18*$AO$72</f>
        <v>0</v>
      </c>
      <c r="AF18" s="13">
        <f ca="1">$AP$18*$AP$72</f>
        <v>0</v>
      </c>
      <c r="AG18" s="13">
        <f ca="1">SUM($AE$18:$AF$18)</f>
        <v>0</v>
      </c>
      <c r="AH18" s="13">
        <f>'TUSD BE'!$AH$18*'TUSD BF'!$AH$75</f>
        <v>-0.17307581319883567</v>
      </c>
      <c r="AI18" s="13">
        <f>'TUSD BE'!$AI$18*'TUSD BF'!$AI$75</f>
        <v>-8.0028640681226882E-3</v>
      </c>
      <c r="AJ18" s="13">
        <f ca="1">'TUSD BE'!$AJ$18*'TUSD BF'!$AJ$75</f>
        <v>-0.23534046261011982</v>
      </c>
      <c r="AK18" s="13">
        <f ca="1">'TUSD BE'!$AK$18*'TUSD BF'!$AK$75</f>
        <v>0</v>
      </c>
      <c r="AL18" s="13">
        <f ca="1">SUM($AH$18:$AK$18)</f>
        <v>-0.41641913987707818</v>
      </c>
      <c r="AM18" s="13">
        <f ca="1">SUMIF($L$4:$AL$4,"SUBTOTAL",$L$18:$AL$18)</f>
        <v>-0.41641913987707818</v>
      </c>
      <c r="AO18" s="20">
        <f ca="1">+'TUSD BE'!$T$18+'TUSD BE'!$AB$18+'TUSD BE'!$AD$18+'TUSD BE'!$AL$18</f>
        <v>42.038445975039316</v>
      </c>
      <c r="AP18" s="20">
        <f ca="1">+'TUSD BE'!$T$18+'TUSD BE'!$AB$18+'TUSD BE'!$AD$18+'TUSD BE'!$AL$18</f>
        <v>42.038445975039316</v>
      </c>
    </row>
    <row r="19" spans="1:42" ht="11.25" customHeight="1" x14ac:dyDescent="0.25">
      <c r="A19" s="107" t="s">
        <v>41</v>
      </c>
      <c r="B19" s="107" t="s">
        <v>42</v>
      </c>
      <c r="C19" s="107" t="s">
        <v>25</v>
      </c>
      <c r="D19" s="107" t="s">
        <v>25</v>
      </c>
      <c r="E19" s="107" t="s">
        <v>25</v>
      </c>
      <c r="F19" s="107" t="s">
        <v>25</v>
      </c>
      <c r="G19" s="18" t="s">
        <v>86</v>
      </c>
      <c r="H19" s="18" t="s">
        <v>85</v>
      </c>
      <c r="I19" s="18">
        <f>'MERCADO TUSD'!$U$16</f>
        <v>127291</v>
      </c>
      <c r="J19" s="15"/>
      <c r="L19" s="13">
        <f>'TUSD BE'!$L$19*'TUSD BF'!$L$75</f>
        <v>0</v>
      </c>
      <c r="M19" s="13">
        <f>'TUSD BE'!$M$19*'TUSD BF'!$M$75</f>
        <v>0</v>
      </c>
      <c r="N19" s="13">
        <f ca="1">'TUSD BE'!$N$19*'TUSD BF'!$N$75</f>
        <v>0</v>
      </c>
      <c r="O19" s="13">
        <f>'TUSD BE'!$O$19*'TUSD BF'!$O$75</f>
        <v>0</v>
      </c>
      <c r="P19" s="13">
        <f>'TUSD BE'!$P$19*'TUSD BF'!$P$75</f>
        <v>0</v>
      </c>
      <c r="Q19" s="13">
        <f>'TUSD BE'!$Q$19*'TUSD BF'!$Q$75</f>
        <v>0</v>
      </c>
      <c r="R19" s="13">
        <f>'TUSD BE'!$R$19*'TUSD BF'!$R$75</f>
        <v>0</v>
      </c>
      <c r="S19" s="13">
        <f>'TUSD BE'!$R$19*'TUSD BF'!$S$75</f>
        <v>0</v>
      </c>
      <c r="T19" s="13">
        <f ca="1">SUM($L$19:$S$19)</f>
        <v>0</v>
      </c>
      <c r="U19" s="13">
        <f>'TUSD BE'!$U$19*'TUSD BF'!$U$75</f>
        <v>0.53647213111907044</v>
      </c>
      <c r="V19" s="13">
        <f>'TUSD BE'!$V$19*'TUSD BF'!$V$75</f>
        <v>0.56131559144816434</v>
      </c>
      <c r="W19" s="13">
        <f>'TUSD BE'!$W$19*'TUSD BF'!$W$75</f>
        <v>0</v>
      </c>
      <c r="X19" s="13">
        <f>'TUSD BE'!$X$19*'TUSD BF'!$X$75</f>
        <v>0</v>
      </c>
      <c r="Y19" s="13">
        <f>'TUSD BE'!$Y$19*'TUSD BF'!$Y$75</f>
        <v>0</v>
      </c>
      <c r="Z19" s="13">
        <f>'TUSD BE'!$Z$19*'TUSD BF'!$Z$75</f>
        <v>0</v>
      </c>
      <c r="AA19" s="13">
        <f>'TUSD BE'!$AA$19*'TUSD BF'!$AA$75</f>
        <v>0</v>
      </c>
      <c r="AB19" s="13">
        <f>SUM($U$19:$AA$19)</f>
        <v>1.0977877225672348</v>
      </c>
      <c r="AC19" s="13">
        <f>'TUSD BE'!$AC$19*'TUSD BF'!$AC$75</f>
        <v>0</v>
      </c>
      <c r="AD19" s="13">
        <f>SUM($AC$19:$AC$19)</f>
        <v>0</v>
      </c>
      <c r="AE19" s="13">
        <f ca="1">$AO$19*$AO$72</f>
        <v>0</v>
      </c>
      <c r="AF19" s="13">
        <f ca="1">$AP$19*$AP$72</f>
        <v>0</v>
      </c>
      <c r="AG19" s="13">
        <f ca="1">SUM($AE$19:$AF$19)</f>
        <v>0</v>
      </c>
      <c r="AH19" s="13">
        <f>'TUSD BE'!$AH$19*'TUSD BF'!$AH$75</f>
        <v>0</v>
      </c>
      <c r="AI19" s="13">
        <f>'TUSD BE'!$AI$19*'TUSD BF'!$AI$75</f>
        <v>0</v>
      </c>
      <c r="AJ19" s="13">
        <f ca="1">'TUSD BE'!$AJ$19*'TUSD BF'!$AJ$75</f>
        <v>0</v>
      </c>
      <c r="AK19" s="13">
        <f ca="1">'TUSD BE'!$AK$19*'TUSD BF'!$AK$75</f>
        <v>0</v>
      </c>
      <c r="AL19" s="13">
        <f ca="1">SUM($AH$19:$AK$19)</f>
        <v>0</v>
      </c>
      <c r="AM19" s="13">
        <f ca="1">SUMIF($L$4:$AL$4,"SUBTOTAL",$L$19:$AL$19)</f>
        <v>1.0977877225672348</v>
      </c>
      <c r="AO19" s="20">
        <f ca="1">+'TUSD BE'!$T$19+'TUSD BE'!$AB$19+'TUSD BE'!$AD$19+'TUSD BE'!$AL$19</f>
        <v>60.650181273285298</v>
      </c>
      <c r="AP19" s="20">
        <f ca="1">+'TUSD BE'!$T$19+'TUSD BE'!$AB$19+'TUSD BE'!$AD$19+'TUSD BE'!$AL$19</f>
        <v>60.650181273285298</v>
      </c>
    </row>
    <row r="20" spans="1:42" ht="11.25" customHeight="1" x14ac:dyDescent="0.25">
      <c r="A20" s="107"/>
      <c r="B20" s="107"/>
      <c r="C20" s="107"/>
      <c r="D20" s="107"/>
      <c r="E20" s="107"/>
      <c r="F20" s="107"/>
      <c r="G20" s="18" t="s">
        <v>87</v>
      </c>
      <c r="H20" s="18" t="s">
        <v>85</v>
      </c>
      <c r="I20" s="18">
        <f>'MERCADO TUSD'!$U$17</f>
        <v>145423</v>
      </c>
      <c r="J20" s="15"/>
      <c r="L20" s="13">
        <f>'TUSD BE'!$L$20*'TUSD BF'!$L$75</f>
        <v>0</v>
      </c>
      <c r="M20" s="13">
        <f>'TUSD BE'!$M$20*'TUSD BF'!$M$75</f>
        <v>0</v>
      </c>
      <c r="N20" s="13">
        <f ca="1">'TUSD BE'!$N$20*'TUSD BF'!$N$75</f>
        <v>0</v>
      </c>
      <c r="O20" s="13">
        <f>'TUSD BE'!$O$20*'TUSD BF'!$O$75</f>
        <v>0</v>
      </c>
      <c r="P20" s="13">
        <f>'TUSD BE'!$P$20*'TUSD BF'!$P$75</f>
        <v>0</v>
      </c>
      <c r="Q20" s="13">
        <f>'TUSD BE'!$Q$20*'TUSD BF'!$Q$75</f>
        <v>0</v>
      </c>
      <c r="R20" s="13">
        <f>'TUSD BE'!$R$20*'TUSD BF'!$R$75</f>
        <v>0</v>
      </c>
      <c r="S20" s="13">
        <f>'TUSD BE'!$R$20*'TUSD BF'!$S$75</f>
        <v>0</v>
      </c>
      <c r="T20" s="13">
        <f ca="1">SUM($L$20:$S$20)</f>
        <v>0</v>
      </c>
      <c r="U20" s="13">
        <f>'TUSD BE'!$U$20*'TUSD BF'!$U$75</f>
        <v>0.40277383590867555</v>
      </c>
      <c r="V20" s="13">
        <f>'TUSD BE'!$V$20*'TUSD BF'!$V$75</f>
        <v>0.46432572069958739</v>
      </c>
      <c r="W20" s="13">
        <f>'TUSD BE'!$W$20*'TUSD BF'!$W$75</f>
        <v>0</v>
      </c>
      <c r="X20" s="13">
        <f>'TUSD BE'!$X$20*'TUSD BF'!$X$75</f>
        <v>0</v>
      </c>
      <c r="Y20" s="13">
        <f>'TUSD BE'!$Y$20*'TUSD BF'!$Y$75</f>
        <v>0</v>
      </c>
      <c r="Z20" s="13">
        <f>'TUSD BE'!$Z$20*'TUSD BF'!$Z$75</f>
        <v>0</v>
      </c>
      <c r="AA20" s="13">
        <f>'TUSD BE'!$AA$20*'TUSD BF'!$AA$75</f>
        <v>0</v>
      </c>
      <c r="AB20" s="13">
        <f>SUM($U$20:$AA$20)</f>
        <v>0.86709955660826288</v>
      </c>
      <c r="AC20" s="13">
        <f>'TUSD BE'!$AC$20*'TUSD BF'!$AC$75</f>
        <v>0</v>
      </c>
      <c r="AD20" s="13">
        <f>SUM($AC$20:$AC$20)</f>
        <v>0</v>
      </c>
      <c r="AE20" s="13">
        <f ca="1">$AO$20*$AO$72</f>
        <v>0</v>
      </c>
      <c r="AF20" s="13">
        <f ca="1">$AP$20*$AP$72</f>
        <v>0</v>
      </c>
      <c r="AG20" s="13">
        <f ca="1">SUM($AE$20:$AF$20)</f>
        <v>0</v>
      </c>
      <c r="AH20" s="13">
        <f>'TUSD BE'!$AH$20*'TUSD BF'!$AH$75</f>
        <v>0</v>
      </c>
      <c r="AI20" s="13">
        <f>'TUSD BE'!$AI$20*'TUSD BF'!$AI$75</f>
        <v>0</v>
      </c>
      <c r="AJ20" s="13">
        <f ca="1">'TUSD BE'!$AJ$20*'TUSD BF'!$AJ$75</f>
        <v>0</v>
      </c>
      <c r="AK20" s="13">
        <f ca="1">'TUSD BE'!$AK$20*'TUSD BF'!$AK$75</f>
        <v>0</v>
      </c>
      <c r="AL20" s="13">
        <f ca="1">SUM($AH$20:$AK$20)</f>
        <v>0</v>
      </c>
      <c r="AM20" s="13">
        <f ca="1">SUMIF($L$4:$AL$4,"SUBTOTAL",$L$20:$AL$20)</f>
        <v>0.86709955660826288</v>
      </c>
      <c r="AO20" s="20">
        <f ca="1">+'TUSD BE'!$T$20+'TUSD BE'!$AB$20+'TUSD BE'!$AD$20+'TUSD BE'!$AL$20</f>
        <v>21.65383161839949</v>
      </c>
      <c r="AP20" s="20">
        <f ca="1">+'TUSD BE'!$T$20+'TUSD BE'!$AB$20+'TUSD BE'!$AD$20+'TUSD BE'!$AL$20</f>
        <v>21.65383161839949</v>
      </c>
    </row>
    <row r="21" spans="1:42" ht="11.25" customHeight="1" x14ac:dyDescent="0.25">
      <c r="A21" s="107"/>
      <c r="B21" s="107"/>
      <c r="C21" s="107"/>
      <c r="D21" s="107"/>
      <c r="E21" s="107"/>
      <c r="F21" s="107"/>
      <c r="G21" s="18" t="s">
        <v>88</v>
      </c>
      <c r="H21" s="18" t="s">
        <v>82</v>
      </c>
      <c r="I21" s="18">
        <f>'MERCADO TUSD'!$U$18</f>
        <v>51654.506999999991</v>
      </c>
      <c r="J21" s="15"/>
      <c r="L21" s="13">
        <f>'TUSD BE'!$L$21*'TUSD BF'!$L$75</f>
        <v>0.71544118618658703</v>
      </c>
      <c r="M21" s="13">
        <f>'TUSD BE'!$M$21*'TUSD BF'!$M$75</f>
        <v>0</v>
      </c>
      <c r="N21" s="13">
        <f ca="1">'TUSD BE'!$N$21*'TUSD BF'!$N$75</f>
        <v>0</v>
      </c>
      <c r="O21" s="13">
        <f>'TUSD BE'!$O$21*'TUSD BF'!$O$75</f>
        <v>0</v>
      </c>
      <c r="P21" s="13">
        <f>'TUSD BE'!$P$21*'TUSD BF'!$P$75</f>
        <v>0</v>
      </c>
      <c r="Q21" s="13">
        <f>'TUSD BE'!$Q$21*'TUSD BF'!$Q$75</f>
        <v>11.687348626507131</v>
      </c>
      <c r="R21" s="13">
        <f>'TUSD BE'!$R$21*'TUSD BF'!$R$75</f>
        <v>5.0442222398398489</v>
      </c>
      <c r="S21" s="13">
        <f>'TUSD BE'!$R$21*'TUSD BF'!$S$75</f>
        <v>0</v>
      </c>
      <c r="T21" s="13">
        <f ca="1">SUM($L$21:$S$21)</f>
        <v>17.447012052533566</v>
      </c>
      <c r="U21" s="13">
        <f>'TUSD BE'!$U$21*'TUSD BF'!$U$75</f>
        <v>0</v>
      </c>
      <c r="V21" s="13">
        <f>'TUSD BE'!$V$21*'TUSD BF'!$V$75</f>
        <v>0</v>
      </c>
      <c r="W21" s="13">
        <f>'TUSD BE'!$W$21*'TUSD BF'!$W$75</f>
        <v>0</v>
      </c>
      <c r="X21" s="13">
        <f>'TUSD BE'!$X$21*'TUSD BF'!$X$75</f>
        <v>0</v>
      </c>
      <c r="Y21" s="13">
        <f>'TUSD BE'!$Y$21*'TUSD BF'!$Y$75</f>
        <v>0</v>
      </c>
      <c r="Z21" s="13">
        <f>'TUSD BE'!$Z$21*'TUSD BF'!$Z$75</f>
        <v>0</v>
      </c>
      <c r="AA21" s="13">
        <f>'TUSD BE'!$AA$21*'TUSD BF'!$AA$75</f>
        <v>0</v>
      </c>
      <c r="AB21" s="13">
        <f>SUM($U$21:$AA$21)</f>
        <v>0</v>
      </c>
      <c r="AC21" s="13">
        <f>'TUSD BE'!$AC$21*'TUSD BF'!$AC$75</f>
        <v>0</v>
      </c>
      <c r="AD21" s="13">
        <f>SUM($AC$21:$AC$21)</f>
        <v>0</v>
      </c>
      <c r="AE21" s="13">
        <f ca="1">$AO$21*$AO$72</f>
        <v>0</v>
      </c>
      <c r="AF21" s="13">
        <f ca="1">$AP$21*$AP$72</f>
        <v>0</v>
      </c>
      <c r="AG21" s="13">
        <f ca="1">SUM($AE$21:$AF$21)</f>
        <v>0</v>
      </c>
      <c r="AH21" s="13">
        <f>'TUSD BE'!$AH$21*'TUSD BF'!$AH$75</f>
        <v>-0.17307581319883567</v>
      </c>
      <c r="AI21" s="13">
        <f>'TUSD BE'!$AI$21*'TUSD BF'!$AI$75</f>
        <v>-8.0028640681226882E-3</v>
      </c>
      <c r="AJ21" s="13">
        <f ca="1">'TUSD BE'!$AJ$21*'TUSD BF'!$AJ$75</f>
        <v>-0.23534046261011982</v>
      </c>
      <c r="AK21" s="13">
        <f ca="1">'TUSD BE'!$AK$21*'TUSD BF'!$AK$75</f>
        <v>0</v>
      </c>
      <c r="AL21" s="13">
        <f ca="1">SUM($AH$21:$AK$21)</f>
        <v>-0.41641913987707818</v>
      </c>
      <c r="AM21" s="13">
        <f ca="1">SUMIF($L$4:$AL$4,"SUBTOTAL",$L$21:$AL$21)</f>
        <v>17.030592912656488</v>
      </c>
      <c r="AO21" s="20">
        <f ca="1">+'TUSD BE'!$T$21+'TUSD BE'!$AB$21+'TUSD BE'!$AD$21+'TUSD BE'!$AL$21</f>
        <v>105.4247116981856</v>
      </c>
      <c r="AP21" s="20">
        <f ca="1">+'TUSD BE'!$T$21+'TUSD BE'!$AB$21+'TUSD BE'!$AD$21+'TUSD BE'!$AL$21</f>
        <v>105.4247116981856</v>
      </c>
    </row>
    <row r="22" spans="1:42" ht="11.25" customHeight="1" x14ac:dyDescent="0.25">
      <c r="A22" s="107"/>
      <c r="B22" s="107"/>
      <c r="C22" s="107"/>
      <c r="D22" s="107"/>
      <c r="E22" s="17" t="s">
        <v>89</v>
      </c>
      <c r="F22" s="17" t="s">
        <v>25</v>
      </c>
      <c r="G22" s="18" t="s">
        <v>88</v>
      </c>
      <c r="H22" s="18" t="s">
        <v>82</v>
      </c>
      <c r="I22" s="18">
        <f>'MERCADO TUSD'!$U$19</f>
        <v>0</v>
      </c>
      <c r="J22" s="15"/>
      <c r="L22" s="13">
        <f>'TUSD BE'!$L$22*'TUSD BF'!$L$75</f>
        <v>0</v>
      </c>
      <c r="M22" s="13">
        <f>'TUSD BE'!$M$22*'TUSD BF'!$M$75</f>
        <v>0</v>
      </c>
      <c r="N22" s="13">
        <f ca="1">'TUSD BE'!$N$22*'TUSD BF'!$N$75</f>
        <v>0</v>
      </c>
      <c r="O22" s="13">
        <f>'TUSD BE'!$O$22*'TUSD BF'!$O$75</f>
        <v>0</v>
      </c>
      <c r="P22" s="13">
        <f>'TUSD BE'!$P$22*'TUSD BF'!$P$75</f>
        <v>0</v>
      </c>
      <c r="Q22" s="13">
        <f>'TUSD BE'!$Q$22*'TUSD BF'!$Q$75</f>
        <v>0</v>
      </c>
      <c r="R22" s="13">
        <f>'TUSD BE'!$R$22*'TUSD BF'!$R$75</f>
        <v>0</v>
      </c>
      <c r="S22" s="13">
        <f>'TUSD BE'!$R$22*'TUSD BF'!$S$75</f>
        <v>0</v>
      </c>
      <c r="T22" s="13">
        <f ca="1">SUM($L$22:$S$22)</f>
        <v>0</v>
      </c>
      <c r="U22" s="13">
        <f>'TUSD BE'!$U$22*'TUSD BF'!$U$75</f>
        <v>0</v>
      </c>
      <c r="V22" s="13">
        <f>'TUSD BE'!$V$22*'TUSD BF'!$V$75</f>
        <v>0</v>
      </c>
      <c r="W22" s="13">
        <f>'TUSD BE'!$W$22*'TUSD BF'!$W$75</f>
        <v>0</v>
      </c>
      <c r="X22" s="13">
        <f>'TUSD BE'!$X$22*'TUSD BF'!$X$75</f>
        <v>0</v>
      </c>
      <c r="Y22" s="13">
        <f>'TUSD BE'!$Y$22*'TUSD BF'!$Y$75</f>
        <v>0</v>
      </c>
      <c r="Z22" s="13">
        <f>'TUSD BE'!$Z$22*'TUSD BF'!$Z$75</f>
        <v>0</v>
      </c>
      <c r="AA22" s="13">
        <f>'TUSD BE'!$AA$22*'TUSD BF'!$AA$75</f>
        <v>0</v>
      </c>
      <c r="AB22" s="13">
        <f>SUM($U$22:$AA$22)</f>
        <v>0</v>
      </c>
      <c r="AC22" s="13">
        <f>'TUSD BE'!$AC$22*'TUSD BF'!$AC$75</f>
        <v>0</v>
      </c>
      <c r="AD22" s="13">
        <f>SUM($AC$22:$AC$22)</f>
        <v>0</v>
      </c>
      <c r="AE22" s="13">
        <f ca="1">$AO$22*$AO$72</f>
        <v>0</v>
      </c>
      <c r="AF22" s="13">
        <f ca="1">$AP$22*$AP$72</f>
        <v>0</v>
      </c>
      <c r="AG22" s="13">
        <f ca="1">SUM($AE$22:$AF$22)</f>
        <v>0</v>
      </c>
      <c r="AH22" s="13">
        <f>'TUSD BE'!$AH$22*'TUSD BF'!$AH$75</f>
        <v>-0.17307581319883567</v>
      </c>
      <c r="AI22" s="13">
        <f>'TUSD BE'!$AI$22*'TUSD BF'!$AI$75</f>
        <v>-8.0028640681226882E-3</v>
      </c>
      <c r="AJ22" s="13">
        <f ca="1">'TUSD BE'!$AJ$22*'TUSD BF'!$AJ$75</f>
        <v>-0.23534046261011982</v>
      </c>
      <c r="AK22" s="13">
        <f ca="1">'TUSD BE'!$AK$22*'TUSD BF'!$AK$75</f>
        <v>0</v>
      </c>
      <c r="AL22" s="13">
        <f ca="1">SUM($AH$22:$AK$22)</f>
        <v>-0.41641913987707818</v>
      </c>
      <c r="AM22" s="13">
        <f ca="1">SUMIF($L$4:$AL$4,"SUBTOTAL",$L$22:$AL$22)</f>
        <v>-0.41641913987707818</v>
      </c>
      <c r="AO22" s="20">
        <f ca="1">+'TUSD BE'!$T$22+'TUSD BE'!$AB$22+'TUSD BE'!$AD$22+'TUSD BE'!$AL$22</f>
        <v>42.038445975039316</v>
      </c>
      <c r="AP22" s="20">
        <f ca="1">+'TUSD BE'!$T$22+'TUSD BE'!$AB$22+'TUSD BE'!$AD$22+'TUSD BE'!$AL$22</f>
        <v>42.038445975039316</v>
      </c>
    </row>
    <row r="23" spans="1:42" ht="11.25" customHeight="1" x14ac:dyDescent="0.25">
      <c r="A23" s="107"/>
      <c r="B23" s="107" t="s">
        <v>62</v>
      </c>
      <c r="C23" s="107" t="s">
        <v>25</v>
      </c>
      <c r="D23" s="107" t="s">
        <v>25</v>
      </c>
      <c r="E23" s="107" t="s">
        <v>25</v>
      </c>
      <c r="F23" s="107" t="s">
        <v>63</v>
      </c>
      <c r="G23" s="18" t="s">
        <v>86</v>
      </c>
      <c r="H23" s="18" t="s">
        <v>85</v>
      </c>
      <c r="I23" s="18">
        <f>'MERCADO TUSD'!$U$20</f>
        <v>18979</v>
      </c>
      <c r="J23" s="15"/>
      <c r="L23" s="13">
        <f>'TUSD BE'!$L$23*'TUSD BF'!$L$75</f>
        <v>0</v>
      </c>
      <c r="M23" s="13">
        <f>'TUSD BE'!$M$23*'TUSD BF'!$M$75</f>
        <v>0</v>
      </c>
      <c r="N23" s="13">
        <f ca="1">'TUSD BE'!$N$23*'TUSD BF'!$N$75</f>
        <v>0</v>
      </c>
      <c r="O23" s="13">
        <f>'TUSD BE'!$O$23*'TUSD BF'!$O$75</f>
        <v>0</v>
      </c>
      <c r="P23" s="13">
        <f>'TUSD BE'!$P$23*'TUSD BF'!$P$75</f>
        <v>0</v>
      </c>
      <c r="Q23" s="13">
        <f>'TUSD BE'!$Q$23*'TUSD BF'!$Q$75</f>
        <v>0</v>
      </c>
      <c r="R23" s="13">
        <f>'TUSD BE'!$R$23*'TUSD BF'!$R$75</f>
        <v>0</v>
      </c>
      <c r="S23" s="13">
        <f>'TUSD BE'!$R$23*'TUSD BF'!$S$75</f>
        <v>0</v>
      </c>
      <c r="T23" s="13">
        <f ca="1">SUM($L$23:$S$23)</f>
        <v>0</v>
      </c>
      <c r="U23" s="13">
        <f>'TUSD BE'!$U$23*'TUSD BF'!$U$75</f>
        <v>0.53647213111907044</v>
      </c>
      <c r="V23" s="13">
        <f>'TUSD BE'!$V$23*'TUSD BF'!$V$75</f>
        <v>0.56131559144816434</v>
      </c>
      <c r="W23" s="13">
        <f>'TUSD BE'!$W$23*'TUSD BF'!$W$75</f>
        <v>0</v>
      </c>
      <c r="X23" s="13">
        <f>'TUSD BE'!$X$23*'TUSD BF'!$X$75</f>
        <v>0</v>
      </c>
      <c r="Y23" s="13">
        <f>'TUSD BE'!$Y$23*'TUSD BF'!$Y$75</f>
        <v>0</v>
      </c>
      <c r="Z23" s="13">
        <f>'TUSD BE'!$Z$23*'TUSD BF'!$Z$75</f>
        <v>0</v>
      </c>
      <c r="AA23" s="13">
        <f>'TUSD BE'!$AA$23*'TUSD BF'!$AA$75</f>
        <v>0</v>
      </c>
      <c r="AB23" s="13">
        <f>SUM($U$23:$AA$23)</f>
        <v>1.0977877225672348</v>
      </c>
      <c r="AC23" s="13">
        <f>'TUSD BE'!$AC$23*'TUSD BF'!$AC$75</f>
        <v>0</v>
      </c>
      <c r="AD23" s="13">
        <f>SUM($AC$23:$AC$23)</f>
        <v>0</v>
      </c>
      <c r="AE23" s="13">
        <v>0</v>
      </c>
      <c r="AF23" s="13">
        <f ca="1">$AP$23*$AP$72</f>
        <v>0</v>
      </c>
      <c r="AG23" s="13">
        <f ca="1">SUM($AE$23:$AF$23)</f>
        <v>0</v>
      </c>
      <c r="AH23" s="13">
        <f>'TUSD BE'!$AH$23*'TUSD BF'!$AH$75</f>
        <v>0</v>
      </c>
      <c r="AI23" s="13">
        <f>'TUSD BE'!$AI$23*'TUSD BF'!$AI$75</f>
        <v>0</v>
      </c>
      <c r="AJ23" s="13">
        <f ca="1">'TUSD BE'!$AJ$23*'TUSD BF'!$AJ$75</f>
        <v>0</v>
      </c>
      <c r="AK23" s="13">
        <f ca="1">'TUSD BE'!$AK$23*'TUSD BF'!$AK$75</f>
        <v>0</v>
      </c>
      <c r="AL23" s="13">
        <f ca="1">SUM($AH$23:$AK$23)</f>
        <v>0</v>
      </c>
      <c r="AM23" s="13">
        <f ca="1">SUMIF($L$4:$AL$4,"SUBTOTAL",$L$23:$AL$23)</f>
        <v>1.0977877225672348</v>
      </c>
      <c r="AO23" s="20"/>
      <c r="AP23" s="20">
        <f ca="1">+'TUSD BE'!$T$23+'TUSD BE'!$AB$23+'TUSD BE'!$AD$23+'TUSD BE'!$AL$23</f>
        <v>17.531751795621261</v>
      </c>
    </row>
    <row r="24" spans="1:42" ht="11.25" customHeight="1" x14ac:dyDescent="0.25">
      <c r="A24" s="107"/>
      <c r="B24" s="107"/>
      <c r="C24" s="107"/>
      <c r="D24" s="107"/>
      <c r="E24" s="107"/>
      <c r="F24" s="107"/>
      <c r="G24" s="18" t="s">
        <v>87</v>
      </c>
      <c r="H24" s="18" t="s">
        <v>85</v>
      </c>
      <c r="I24" s="18">
        <f>'MERCADO TUSD'!$U$21</f>
        <v>19150</v>
      </c>
      <c r="J24" s="15"/>
      <c r="L24" s="13">
        <f>'TUSD BE'!$L$24*'TUSD BF'!$L$75</f>
        <v>0</v>
      </c>
      <c r="M24" s="13">
        <f>'TUSD BE'!$M$24*'TUSD BF'!$M$75</f>
        <v>0</v>
      </c>
      <c r="N24" s="13">
        <f ca="1">'TUSD BE'!$N$24*'TUSD BF'!$N$75</f>
        <v>0</v>
      </c>
      <c r="O24" s="13">
        <f>'TUSD BE'!$O$24*'TUSD BF'!$O$75</f>
        <v>0</v>
      </c>
      <c r="P24" s="13">
        <f>'TUSD BE'!$P$24*'TUSD BF'!$P$75</f>
        <v>0</v>
      </c>
      <c r="Q24" s="13">
        <f>'TUSD BE'!$Q$24*'TUSD BF'!$Q$75</f>
        <v>0</v>
      </c>
      <c r="R24" s="13">
        <f>'TUSD BE'!$R$24*'TUSD BF'!$R$75</f>
        <v>0</v>
      </c>
      <c r="S24" s="13">
        <f>'TUSD BE'!$R$24*'TUSD BF'!$S$75</f>
        <v>0</v>
      </c>
      <c r="T24" s="13">
        <f ca="1">SUM($L$24:$S$24)</f>
        <v>0</v>
      </c>
      <c r="U24" s="13">
        <f>'TUSD BE'!$U$24*'TUSD BF'!$U$75</f>
        <v>0.40277383590867555</v>
      </c>
      <c r="V24" s="13">
        <f>'TUSD BE'!$V$24*'TUSD BF'!$V$75</f>
        <v>0.46432572069958739</v>
      </c>
      <c r="W24" s="13">
        <f>'TUSD BE'!$W$24*'TUSD BF'!$W$75</f>
        <v>0</v>
      </c>
      <c r="X24" s="13">
        <f>'TUSD BE'!$X$24*'TUSD BF'!$X$75</f>
        <v>0</v>
      </c>
      <c r="Y24" s="13">
        <f>'TUSD BE'!$Y$24*'TUSD BF'!$Y$75</f>
        <v>0</v>
      </c>
      <c r="Z24" s="13">
        <f>'TUSD BE'!$Z$24*'TUSD BF'!$Z$75</f>
        <v>0</v>
      </c>
      <c r="AA24" s="13">
        <f>'TUSD BE'!$AA$24*'TUSD BF'!$AA$75</f>
        <v>0</v>
      </c>
      <c r="AB24" s="13">
        <f>SUM($U$24:$AA$24)</f>
        <v>0.86709955660826288</v>
      </c>
      <c r="AC24" s="13">
        <f>'TUSD BE'!$AC$24*'TUSD BF'!$AC$75</f>
        <v>0</v>
      </c>
      <c r="AD24" s="13">
        <f>SUM($AC$24:$AC$24)</f>
        <v>0</v>
      </c>
      <c r="AE24" s="13">
        <v>0</v>
      </c>
      <c r="AF24" s="13">
        <f ca="1">$AP$24*$AP$72</f>
        <v>0</v>
      </c>
      <c r="AG24" s="13">
        <f ca="1">SUM($AE$24:$AF$24)</f>
        <v>0</v>
      </c>
      <c r="AH24" s="13">
        <f>'TUSD BE'!$AH$24*'TUSD BF'!$AH$75</f>
        <v>0</v>
      </c>
      <c r="AI24" s="13">
        <f>'TUSD BE'!$AI$24*'TUSD BF'!$AI$75</f>
        <v>0</v>
      </c>
      <c r="AJ24" s="13">
        <f ca="1">'TUSD BE'!$AJ$24*'TUSD BF'!$AJ$75</f>
        <v>0</v>
      </c>
      <c r="AK24" s="13">
        <f ca="1">'TUSD BE'!$AK$24*'TUSD BF'!$AK$75</f>
        <v>0</v>
      </c>
      <c r="AL24" s="13">
        <f ca="1">SUM($AH$24:$AK$24)</f>
        <v>0</v>
      </c>
      <c r="AM24" s="13">
        <f ca="1">SUMIF($L$4:$AL$4,"SUBTOTAL",$L$24:$AL$24)</f>
        <v>0.86709955660826288</v>
      </c>
      <c r="AO24" s="20"/>
      <c r="AP24" s="20">
        <f ca="1">+'TUSD BE'!$T$24+'TUSD BE'!$AB$24+'TUSD BE'!$AD$24+'TUSD BE'!$AL$24</f>
        <v>8.6873302576891085</v>
      </c>
    </row>
    <row r="25" spans="1:42" ht="11.25" customHeight="1" x14ac:dyDescent="0.25">
      <c r="A25" s="107"/>
      <c r="B25" s="107"/>
      <c r="C25" s="107"/>
      <c r="D25" s="107"/>
      <c r="E25" s="107"/>
      <c r="F25" s="107"/>
      <c r="G25" s="18" t="s">
        <v>88</v>
      </c>
      <c r="H25" s="18" t="s">
        <v>82</v>
      </c>
      <c r="I25" s="18">
        <f>'MERCADO TUSD'!$U$22</f>
        <v>10049.634999999998</v>
      </c>
      <c r="J25" s="15"/>
      <c r="L25" s="13">
        <f>'TUSD BE'!$L$25*'TUSD BF'!$L$75</f>
        <v>0</v>
      </c>
      <c r="M25" s="13">
        <f>'TUSD BE'!$M$25*'TUSD BF'!$M$75</f>
        <v>0</v>
      </c>
      <c r="N25" s="13">
        <f ca="1">'TUSD BE'!$N$25*'TUSD BF'!$N$75</f>
        <v>0</v>
      </c>
      <c r="O25" s="13">
        <f>'TUSD BE'!$O$25*'TUSD BF'!$O$75</f>
        <v>0</v>
      </c>
      <c r="P25" s="13">
        <f>'TUSD BE'!$P$25*'TUSD BF'!$P$75</f>
        <v>0</v>
      </c>
      <c r="Q25" s="13">
        <f>'TUSD BE'!$Q$25*'TUSD BF'!$Q$75</f>
        <v>0</v>
      </c>
      <c r="R25" s="13">
        <f>'TUSD BE'!$R$25*'TUSD BF'!$R$75</f>
        <v>0</v>
      </c>
      <c r="S25" s="13">
        <f>'TUSD BE'!$R$25*'TUSD BF'!$S$75</f>
        <v>0</v>
      </c>
      <c r="T25" s="13">
        <f ca="1">SUM($L$25:$S$25)</f>
        <v>0</v>
      </c>
      <c r="U25" s="13">
        <f>'TUSD BE'!$U$25*'TUSD BF'!$U$75</f>
        <v>0</v>
      </c>
      <c r="V25" s="13">
        <f>'TUSD BE'!$V$25*'TUSD BF'!$V$75</f>
        <v>0</v>
      </c>
      <c r="W25" s="13">
        <f>'TUSD BE'!$W$25*'TUSD BF'!$W$75</f>
        <v>0</v>
      </c>
      <c r="X25" s="13">
        <f>'TUSD BE'!$X$25*'TUSD BF'!$X$75</f>
        <v>0</v>
      </c>
      <c r="Y25" s="13">
        <f>'TUSD BE'!$Y$25*'TUSD BF'!$Y$75</f>
        <v>0</v>
      </c>
      <c r="Z25" s="13">
        <f>'TUSD BE'!$Z$25*'TUSD BF'!$Z$75</f>
        <v>0</v>
      </c>
      <c r="AA25" s="13">
        <f>'TUSD BE'!$AA$25*'TUSD BF'!$AA$75</f>
        <v>0</v>
      </c>
      <c r="AB25" s="13">
        <f>SUM($U$25:$AA$25)</f>
        <v>0</v>
      </c>
      <c r="AC25" s="13">
        <f>'TUSD BE'!$AC$25*'TUSD BF'!$AC$75</f>
        <v>0</v>
      </c>
      <c r="AD25" s="13">
        <f>SUM($AC$25:$AC$25)</f>
        <v>0</v>
      </c>
      <c r="AE25" s="13">
        <v>0</v>
      </c>
      <c r="AF25" s="13">
        <f ca="1">$AP$25*$AP$72</f>
        <v>0</v>
      </c>
      <c r="AG25" s="13">
        <f ca="1">SUM($AE$25:$AF$25)</f>
        <v>0</v>
      </c>
      <c r="AH25" s="13">
        <f>'TUSD BE'!$AH$25*'TUSD BF'!$AH$75</f>
        <v>-0.17307581319883567</v>
      </c>
      <c r="AI25" s="13">
        <f>'TUSD BE'!$AI$25*'TUSD BF'!$AI$75</f>
        <v>-8.0028640681226882E-3</v>
      </c>
      <c r="AJ25" s="13">
        <f ca="1">'TUSD BE'!$AJ$25*'TUSD BF'!$AJ$75</f>
        <v>0</v>
      </c>
      <c r="AK25" s="13">
        <f ca="1">'TUSD BE'!$AK$25*'TUSD BF'!$AK$75</f>
        <v>0</v>
      </c>
      <c r="AL25" s="13">
        <f ca="1">SUM($AH$25:$AK$25)</f>
        <v>-0.18107867726695837</v>
      </c>
      <c r="AM25" s="13">
        <f ca="1">SUMIF($L$4:$AL$4,"SUBTOTAL",$L$25:$AL$25)</f>
        <v>-0.18107867726695837</v>
      </c>
      <c r="AO25" s="20"/>
      <c r="AP25" s="20">
        <f ca="1">+'TUSD BE'!$T$25+'TUSD BE'!$AB$25+'TUSD BE'!$AD$25+'TUSD BE'!$AL$25</f>
        <v>14.182747119530589</v>
      </c>
    </row>
    <row r="26" spans="1:42" ht="11.25" customHeight="1" x14ac:dyDescent="0.25">
      <c r="A26" s="107"/>
      <c r="B26" s="17" t="s">
        <v>91</v>
      </c>
      <c r="C26" s="17" t="s">
        <v>25</v>
      </c>
      <c r="D26" s="17" t="s">
        <v>25</v>
      </c>
      <c r="E26" s="17" t="s">
        <v>25</v>
      </c>
      <c r="F26" s="17" t="s">
        <v>25</v>
      </c>
      <c r="G26" s="18" t="s">
        <v>9</v>
      </c>
      <c r="H26" s="18" t="s">
        <v>85</v>
      </c>
      <c r="I26" s="18">
        <f>'MERCADO TUSD'!$U$23</f>
        <v>0</v>
      </c>
      <c r="J26" s="15"/>
      <c r="L26" s="13">
        <f>'TUSD BE'!$L$26*'TUSD BF'!$L$75</f>
        <v>0</v>
      </c>
      <c r="M26" s="13">
        <f>'TUSD BE'!$M$26*'TUSD BF'!$M$75</f>
        <v>0</v>
      </c>
      <c r="N26" s="13">
        <f ca="1">'TUSD BE'!$N$26*'TUSD BF'!$N$75</f>
        <v>0</v>
      </c>
      <c r="O26" s="13">
        <f>'TUSD BE'!$O$26*'TUSD BF'!$O$75</f>
        <v>0</v>
      </c>
      <c r="P26" s="13">
        <f>'TUSD BE'!$P$26*'TUSD BF'!$P$75</f>
        <v>0</v>
      </c>
      <c r="Q26" s="13">
        <f>'TUSD BE'!$Q$26*'TUSD BF'!$Q$75</f>
        <v>0</v>
      </c>
      <c r="R26" s="13">
        <f>'TUSD BE'!$R$26*'TUSD BF'!$R$75</f>
        <v>0</v>
      </c>
      <c r="S26" s="13">
        <f>'TUSD BE'!$R$26*'TUSD BF'!$S$75</f>
        <v>0</v>
      </c>
      <c r="T26" s="13">
        <f ca="1">SUM($L$26:$S$26)</f>
        <v>0</v>
      </c>
      <c r="U26" s="13">
        <f>'TUSD BE'!$U$26*'TUSD BF'!$U$75</f>
        <v>0</v>
      </c>
      <c r="V26" s="13">
        <f>'TUSD BE'!$V$26*'TUSD BF'!$V$75</f>
        <v>0</v>
      </c>
      <c r="W26" s="13">
        <f>'TUSD BE'!$W$26*'TUSD BF'!$W$75</f>
        <v>0</v>
      </c>
      <c r="X26" s="13">
        <f>'TUSD BE'!$X$26*'TUSD BF'!$X$75</f>
        <v>0</v>
      </c>
      <c r="Y26" s="13">
        <f>'TUSD BE'!$Y$26*'TUSD BF'!$Y$75</f>
        <v>0</v>
      </c>
      <c r="Z26" s="13">
        <f>'TUSD BE'!$Z$26*'TUSD BF'!$Z$75</f>
        <v>0</v>
      </c>
      <c r="AA26" s="13">
        <f>'TUSD BE'!$AA$26*'TUSD BF'!$AA$75</f>
        <v>0</v>
      </c>
      <c r="AB26" s="13">
        <f>SUM($U$26:$AA$26)</f>
        <v>0</v>
      </c>
      <c r="AC26" s="13">
        <f>'TUSD BE'!$AC$26*'TUSD BF'!$AC$75</f>
        <v>0</v>
      </c>
      <c r="AD26" s="13">
        <f>SUM($AC$26:$AC$26)</f>
        <v>0</v>
      </c>
      <c r="AE26" s="13">
        <f ca="1">$AO$26*$AO$72</f>
        <v>0</v>
      </c>
      <c r="AF26" s="13">
        <f ca="1">$AP$26*$AP$72</f>
        <v>0</v>
      </c>
      <c r="AG26" s="13">
        <f ca="1">SUM($AE$26:$AF$26)</f>
        <v>0</v>
      </c>
      <c r="AH26" s="13">
        <f>'TUSD BE'!$AH$26*'TUSD BF'!$AH$75</f>
        <v>0</v>
      </c>
      <c r="AI26" s="13">
        <f>'TUSD BE'!$AI$26*'TUSD BF'!$AI$75</f>
        <v>0</v>
      </c>
      <c r="AJ26" s="13">
        <f ca="1">'TUSD BE'!$AJ$26*'TUSD BF'!$AJ$75</f>
        <v>0</v>
      </c>
      <c r="AK26" s="13">
        <f ca="1">'TUSD BE'!$AK$26*'TUSD BF'!$AK$75</f>
        <v>0</v>
      </c>
      <c r="AL26" s="13">
        <f ca="1">SUM($AH$26:$AK$26)</f>
        <v>0</v>
      </c>
      <c r="AM26" s="13">
        <f ca="1">SUMIF($L$4:$AL$4,"SUBTOTAL",$L$26:$AL$26)</f>
        <v>0</v>
      </c>
      <c r="AO26" s="20">
        <f ca="1">+'TUSD BE'!$T$26+'TUSD BE'!$AB$26+'TUSD BE'!$AD$26+'TUSD BE'!$AL$26</f>
        <v>20.237020058222619</v>
      </c>
      <c r="AP26" s="20">
        <f ca="1">+'TUSD BE'!$T$26+'TUSD BE'!$AB$26+'TUSD BE'!$AD$26+'TUSD BE'!$AL$26</f>
        <v>20.237020058222619</v>
      </c>
    </row>
    <row r="27" spans="1:42" ht="11.25" customHeight="1" x14ac:dyDescent="0.25">
      <c r="A27" s="107"/>
      <c r="B27" s="107" t="s">
        <v>44</v>
      </c>
      <c r="C27" s="107" t="s">
        <v>25</v>
      </c>
      <c r="D27" s="107" t="s">
        <v>25</v>
      </c>
      <c r="E27" s="107" t="s">
        <v>25</v>
      </c>
      <c r="F27" s="107" t="s">
        <v>25</v>
      </c>
      <c r="G27" s="18" t="s">
        <v>9</v>
      </c>
      <c r="H27" s="18" t="s">
        <v>85</v>
      </c>
      <c r="I27" s="18">
        <f>'MERCADO TUSD'!$U$24</f>
        <v>1145356</v>
      </c>
      <c r="J27" s="15"/>
      <c r="L27" s="13">
        <f>'TUSD BE'!$L$27*'TUSD BF'!$L$75</f>
        <v>0</v>
      </c>
      <c r="M27" s="13">
        <f>'TUSD BE'!$M$27*'TUSD BF'!$M$75</f>
        <v>0</v>
      </c>
      <c r="N27" s="13">
        <f ca="1">'TUSD BE'!$N$27*'TUSD BF'!$N$75</f>
        <v>0</v>
      </c>
      <c r="O27" s="13">
        <f>'TUSD BE'!$O$27*'TUSD BF'!$O$75</f>
        <v>0</v>
      </c>
      <c r="P27" s="13">
        <f>'TUSD BE'!$P$27*'TUSD BF'!$P$75</f>
        <v>0</v>
      </c>
      <c r="Q27" s="13">
        <f>'TUSD BE'!$Q$27*'TUSD BF'!$Q$75</f>
        <v>0</v>
      </c>
      <c r="R27" s="13">
        <f>'TUSD BE'!$R$27*'TUSD BF'!$R$75</f>
        <v>0</v>
      </c>
      <c r="S27" s="13">
        <f>'TUSD BE'!$R$27*'TUSD BF'!$S$75</f>
        <v>0</v>
      </c>
      <c r="T27" s="13">
        <f ca="1">SUM($L$27:$S$27)</f>
        <v>0</v>
      </c>
      <c r="U27" s="13">
        <f>'TUSD BE'!$U$27*'TUSD BF'!$U$75</f>
        <v>0.40277383590867555</v>
      </c>
      <c r="V27" s="13">
        <f>'TUSD BE'!$V$27*'TUSD BF'!$V$75</f>
        <v>0.46432572069958739</v>
      </c>
      <c r="W27" s="13">
        <f>'TUSD BE'!$W$27*'TUSD BF'!$W$75</f>
        <v>0</v>
      </c>
      <c r="X27" s="13">
        <f>'TUSD BE'!$X$27*'TUSD BF'!$X$75</f>
        <v>0</v>
      </c>
      <c r="Y27" s="13">
        <f>'TUSD BE'!$Y$27*'TUSD BF'!$Y$75</f>
        <v>0</v>
      </c>
      <c r="Z27" s="13">
        <f>'TUSD BE'!$Z$27*'TUSD BF'!$Z$75</f>
        <v>0</v>
      </c>
      <c r="AA27" s="13">
        <f>'TUSD BE'!$AA$27*'TUSD BF'!$AA$75</f>
        <v>0</v>
      </c>
      <c r="AB27" s="13">
        <f>SUM($U$27:$AA$27)</f>
        <v>0.86709955660826288</v>
      </c>
      <c r="AC27" s="13">
        <f>'TUSD BE'!$AC$27*'TUSD BF'!$AC$75</f>
        <v>0</v>
      </c>
      <c r="AD27" s="13">
        <f>SUM($AC$27:$AC$27)</f>
        <v>0</v>
      </c>
      <c r="AE27" s="13">
        <f ca="1">$AO$27*$AO$72</f>
        <v>0</v>
      </c>
      <c r="AF27" s="13">
        <f ca="1">$AP$27*$AP$72</f>
        <v>0</v>
      </c>
      <c r="AG27" s="13">
        <f ca="1">SUM($AE$27:$AF$27)</f>
        <v>0</v>
      </c>
      <c r="AH27" s="13">
        <f>'TUSD BE'!$AH$27*'TUSD BF'!$AH$75</f>
        <v>0</v>
      </c>
      <c r="AI27" s="13">
        <f>'TUSD BE'!$AI$27*'TUSD BF'!$AI$75</f>
        <v>0</v>
      </c>
      <c r="AJ27" s="13">
        <f ca="1">'TUSD BE'!$AJ$27*'TUSD BF'!$AJ$75</f>
        <v>0</v>
      </c>
      <c r="AK27" s="13">
        <f ca="1">'TUSD BE'!$AK$27*'TUSD BF'!$AK$75</f>
        <v>0</v>
      </c>
      <c r="AL27" s="13">
        <f ca="1">SUM($AH$27:$AK$27)</f>
        <v>0</v>
      </c>
      <c r="AM27" s="13">
        <f ca="1">SUMIF($L$4:$AL$4,"SUBTOTAL",$L$27:$AL$27)</f>
        <v>0.86709955660826288</v>
      </c>
      <c r="AO27" s="20">
        <f ca="1">+'TUSD BE'!$T$27+'TUSD BE'!$AB$27+'TUSD BE'!$AD$27+'TUSD BE'!$AL$27</f>
        <v>21.65383161839949</v>
      </c>
      <c r="AP27" s="20">
        <f ca="1">+'TUSD BE'!$T$27+'TUSD BE'!$AB$27+'TUSD BE'!$AD$27+'TUSD BE'!$AL$27</f>
        <v>21.65383161839949</v>
      </c>
    </row>
    <row r="28" spans="1:42" ht="11.25" customHeight="1" x14ac:dyDescent="0.25">
      <c r="A28" s="107"/>
      <c r="B28" s="107"/>
      <c r="C28" s="107"/>
      <c r="D28" s="107"/>
      <c r="E28" s="107"/>
      <c r="F28" s="107"/>
      <c r="G28" s="18" t="s">
        <v>83</v>
      </c>
      <c r="H28" s="18" t="s">
        <v>82</v>
      </c>
      <c r="I28" s="18">
        <f>'MERCADO TUSD'!$U$25</f>
        <v>16471.927</v>
      </c>
      <c r="J28" s="15"/>
      <c r="L28" s="13">
        <f>'TUSD BE'!$L$28*'TUSD BF'!$L$75</f>
        <v>0.71544118618658703</v>
      </c>
      <c r="M28" s="13">
        <f>'TUSD BE'!$M$28*'TUSD BF'!$M$75</f>
        <v>0</v>
      </c>
      <c r="N28" s="13">
        <f ca="1">'TUSD BE'!$N$28*'TUSD BF'!$N$75</f>
        <v>0</v>
      </c>
      <c r="O28" s="13">
        <f>'TUSD BE'!$O$28*'TUSD BF'!$O$75</f>
        <v>0</v>
      </c>
      <c r="P28" s="13">
        <f>'TUSD BE'!$P$28*'TUSD BF'!$P$75</f>
        <v>0</v>
      </c>
      <c r="Q28" s="13">
        <f>'TUSD BE'!$Q$28*'TUSD BF'!$Q$75</f>
        <v>11.687348626507131</v>
      </c>
      <c r="R28" s="13">
        <f>'TUSD BE'!$R$28*'TUSD BF'!$R$75</f>
        <v>5.0442222398398489</v>
      </c>
      <c r="S28" s="13">
        <f>'TUSD BE'!$R$28*'TUSD BF'!$S$75</f>
        <v>0</v>
      </c>
      <c r="T28" s="13">
        <f ca="1">SUM($L$28:$S$28)</f>
        <v>17.447012052533566</v>
      </c>
      <c r="U28" s="13">
        <f>'TUSD BE'!$U$28*'TUSD BF'!$U$75</f>
        <v>12.902289386218916</v>
      </c>
      <c r="V28" s="13">
        <f>'TUSD BE'!$V$28*'TUSD BF'!$V$75</f>
        <v>13.499547258434189</v>
      </c>
      <c r="W28" s="13">
        <f>'TUSD BE'!$W$28*'TUSD BF'!$W$75</f>
        <v>0</v>
      </c>
      <c r="X28" s="13">
        <f>'TUSD BE'!$X$28*'TUSD BF'!$X$75</f>
        <v>0</v>
      </c>
      <c r="Y28" s="13">
        <f>'TUSD BE'!$Y$28*'TUSD BF'!$Y$75</f>
        <v>0</v>
      </c>
      <c r="Z28" s="13">
        <f>'TUSD BE'!$Z$28*'TUSD BF'!$Z$75</f>
        <v>0</v>
      </c>
      <c r="AA28" s="13">
        <f>'TUSD BE'!$AA$28*'TUSD BF'!$AA$75</f>
        <v>0</v>
      </c>
      <c r="AB28" s="13">
        <f>SUM($U$28:$AA$28)</f>
        <v>26.401836644653105</v>
      </c>
      <c r="AC28" s="13">
        <f>'TUSD BE'!$AC$28*'TUSD BF'!$AC$75</f>
        <v>0</v>
      </c>
      <c r="AD28" s="13">
        <f>SUM($AC$28:$AC$28)</f>
        <v>0</v>
      </c>
      <c r="AE28" s="13">
        <f ca="1">$AO$28*$AO$72</f>
        <v>0</v>
      </c>
      <c r="AF28" s="13">
        <f ca="1">$AP$28*$AP$72</f>
        <v>0</v>
      </c>
      <c r="AG28" s="13">
        <f ca="1">SUM($AE$28:$AF$28)</f>
        <v>0</v>
      </c>
      <c r="AH28" s="13">
        <f>'TUSD BE'!$AH$28*'TUSD BF'!$AH$75</f>
        <v>-0.17307581319883567</v>
      </c>
      <c r="AI28" s="13">
        <f>'TUSD BE'!$AI$28*'TUSD BF'!$AI$75</f>
        <v>-8.0028640681226882E-3</v>
      </c>
      <c r="AJ28" s="13">
        <f ca="1">'TUSD BE'!$AJ$28*'TUSD BF'!$AJ$75</f>
        <v>-0.23534046261011982</v>
      </c>
      <c r="AK28" s="13">
        <f ca="1">'TUSD BE'!$AK$28*'TUSD BF'!$AK$75</f>
        <v>0</v>
      </c>
      <c r="AL28" s="13">
        <f ca="1">SUM($AH$28:$AK$28)</f>
        <v>-0.41641913987707818</v>
      </c>
      <c r="AM28" s="13">
        <f ca="1">SUMIF($L$4:$AL$4,"SUBTOTAL",$L$28:$AL$28)</f>
        <v>43.43242955730959</v>
      </c>
      <c r="AO28" s="20">
        <f ca="1">+'TUSD BE'!$T$28+'TUSD BE'!$AB$28+'TUSD BE'!$AD$28+'TUSD BE'!$AL$28</f>
        <v>1577.7653483801957</v>
      </c>
      <c r="AP28" s="20">
        <f ca="1">+'TUSD BE'!$T$28+'TUSD BE'!$AB$28+'TUSD BE'!$AD$28+'TUSD BE'!$AL$28</f>
        <v>1577.7653483801957</v>
      </c>
    </row>
    <row r="29" spans="1:42" ht="11.25" customHeight="1" x14ac:dyDescent="0.25">
      <c r="A29" s="107"/>
      <c r="B29" s="107"/>
      <c r="C29" s="107"/>
      <c r="D29" s="107"/>
      <c r="E29" s="107"/>
      <c r="F29" s="107"/>
      <c r="G29" s="18" t="s">
        <v>84</v>
      </c>
      <c r="H29" s="18" t="s">
        <v>82</v>
      </c>
      <c r="I29" s="18">
        <f>'MERCADO TUSD'!$U$26</f>
        <v>200863.93899999998</v>
      </c>
      <c r="J29" s="15"/>
      <c r="L29" s="13">
        <f>'TUSD BE'!$L$29*'TUSD BF'!$L$75</f>
        <v>0.71544118618658703</v>
      </c>
      <c r="M29" s="13">
        <f>'TUSD BE'!$M$29*'TUSD BF'!$M$75</f>
        <v>0</v>
      </c>
      <c r="N29" s="13">
        <f ca="1">'TUSD BE'!$N$29*'TUSD BF'!$N$75</f>
        <v>0</v>
      </c>
      <c r="O29" s="13">
        <f>'TUSD BE'!$O$29*'TUSD BF'!$O$75</f>
        <v>0</v>
      </c>
      <c r="P29" s="13">
        <f>'TUSD BE'!$P$29*'TUSD BF'!$P$75</f>
        <v>0</v>
      </c>
      <c r="Q29" s="13">
        <f>'TUSD BE'!$Q$29*'TUSD BF'!$Q$75</f>
        <v>11.687348626507131</v>
      </c>
      <c r="R29" s="13">
        <f>'TUSD BE'!$R$29*'TUSD BF'!$R$75</f>
        <v>5.0442222398398489</v>
      </c>
      <c r="S29" s="13">
        <f>'TUSD BE'!$R$29*'TUSD BF'!$S$75</f>
        <v>0</v>
      </c>
      <c r="T29" s="13">
        <f ca="1">SUM($L$29:$S$29)</f>
        <v>17.447012052533566</v>
      </c>
      <c r="U29" s="13">
        <f>'TUSD BE'!$U$29*'TUSD BF'!$U$75</f>
        <v>0</v>
      </c>
      <c r="V29" s="13">
        <f>'TUSD BE'!$V$29*'TUSD BF'!$V$75</f>
        <v>0</v>
      </c>
      <c r="W29" s="13">
        <f>'TUSD BE'!$W$29*'TUSD BF'!$W$75</f>
        <v>0</v>
      </c>
      <c r="X29" s="13">
        <f>'TUSD BE'!$X$29*'TUSD BF'!$X$75</f>
        <v>0</v>
      </c>
      <c r="Y29" s="13">
        <f>'TUSD BE'!$Y$29*'TUSD BF'!$Y$75</f>
        <v>0</v>
      </c>
      <c r="Z29" s="13">
        <f>'TUSD BE'!$Z$29*'TUSD BF'!$Z$75</f>
        <v>0</v>
      </c>
      <c r="AA29" s="13">
        <f>'TUSD BE'!$AA$29*'TUSD BF'!$AA$75</f>
        <v>0</v>
      </c>
      <c r="AB29" s="13">
        <f>SUM($U$29:$AA$29)</f>
        <v>0</v>
      </c>
      <c r="AC29" s="13">
        <f>'TUSD BE'!$AC$29*'TUSD BF'!$AC$75</f>
        <v>0</v>
      </c>
      <c r="AD29" s="13">
        <f>SUM($AC$29:$AC$29)</f>
        <v>0</v>
      </c>
      <c r="AE29" s="13">
        <f ca="1">$AO$29*$AO$72</f>
        <v>0</v>
      </c>
      <c r="AF29" s="13">
        <f ca="1">$AP$29*$AP$72</f>
        <v>0</v>
      </c>
      <c r="AG29" s="13">
        <f ca="1">SUM($AE$29:$AF$29)</f>
        <v>0</v>
      </c>
      <c r="AH29" s="13">
        <f>'TUSD BE'!$AH$29*'TUSD BF'!$AH$75</f>
        <v>-0.17307581319883567</v>
      </c>
      <c r="AI29" s="13">
        <f>'TUSD BE'!$AI$29*'TUSD BF'!$AI$75</f>
        <v>-8.0028640681226882E-3</v>
      </c>
      <c r="AJ29" s="13">
        <f ca="1">'TUSD BE'!$AJ$29*'TUSD BF'!$AJ$75</f>
        <v>-0.23534046261011982</v>
      </c>
      <c r="AK29" s="13">
        <f ca="1">'TUSD BE'!$AK$29*'TUSD BF'!$AK$75</f>
        <v>0</v>
      </c>
      <c r="AL29" s="13">
        <f ca="1">SUM($AH$29:$AK$29)</f>
        <v>-0.41641913987707818</v>
      </c>
      <c r="AM29" s="13">
        <f ca="1">SUMIF($L$4:$AL$4,"SUBTOTAL",$L$29:$AL$29)</f>
        <v>17.030592912656488</v>
      </c>
      <c r="AO29" s="20">
        <f ca="1">+'TUSD BE'!$T$29+'TUSD BE'!$AB$29+'TUSD BE'!$AD$29+'TUSD BE'!$AL$29</f>
        <v>105.4247116981856</v>
      </c>
      <c r="AP29" s="20">
        <f ca="1">+'TUSD BE'!$T$29+'TUSD BE'!$AB$29+'TUSD BE'!$AD$29+'TUSD BE'!$AL$29</f>
        <v>105.4247116981856</v>
      </c>
    </row>
    <row r="30" spans="1:42" ht="11.25" customHeight="1" x14ac:dyDescent="0.25">
      <c r="A30" s="107"/>
      <c r="B30" s="107"/>
      <c r="C30" s="107"/>
      <c r="D30" s="107"/>
      <c r="E30" s="107" t="s">
        <v>89</v>
      </c>
      <c r="F30" s="107" t="s">
        <v>25</v>
      </c>
      <c r="G30" s="18" t="s">
        <v>83</v>
      </c>
      <c r="H30" s="18" t="s">
        <v>82</v>
      </c>
      <c r="I30" s="18">
        <f>'MERCADO TUSD'!$U$27</f>
        <v>0</v>
      </c>
      <c r="J30" s="15"/>
      <c r="L30" s="13">
        <f>'TUSD BE'!$L$30*'TUSD BF'!$L$75</f>
        <v>0</v>
      </c>
      <c r="M30" s="13">
        <f>'TUSD BE'!$M$30*'TUSD BF'!$M$75</f>
        <v>0</v>
      </c>
      <c r="N30" s="13">
        <f ca="1">'TUSD BE'!$N$30*'TUSD BF'!$N$75</f>
        <v>0</v>
      </c>
      <c r="O30" s="13">
        <f>'TUSD BE'!$O$30*'TUSD BF'!$O$75</f>
        <v>0</v>
      </c>
      <c r="P30" s="13">
        <f>'TUSD BE'!$P$30*'TUSD BF'!$P$75</f>
        <v>0</v>
      </c>
      <c r="Q30" s="13">
        <f>'TUSD BE'!$Q$30*'TUSD BF'!$Q$75</f>
        <v>0</v>
      </c>
      <c r="R30" s="13">
        <f>'TUSD BE'!$R$30*'TUSD BF'!$R$75</f>
        <v>0</v>
      </c>
      <c r="S30" s="13">
        <f>'TUSD BE'!$R$30*'TUSD BF'!$S$75</f>
        <v>0</v>
      </c>
      <c r="T30" s="13">
        <f ca="1">SUM($L$30:$S$30)</f>
        <v>0</v>
      </c>
      <c r="U30" s="13">
        <f>'TUSD BE'!$U$30*'TUSD BF'!$U$75</f>
        <v>12.902289386218916</v>
      </c>
      <c r="V30" s="13">
        <f>'TUSD BE'!$V$30*'TUSD BF'!$V$75</f>
        <v>13.499547258434189</v>
      </c>
      <c r="W30" s="13">
        <f>'TUSD BE'!$W$30*'TUSD BF'!$W$75</f>
        <v>0</v>
      </c>
      <c r="X30" s="13">
        <f>'TUSD BE'!$X$30*'TUSD BF'!$X$75</f>
        <v>0</v>
      </c>
      <c r="Y30" s="13">
        <f>'TUSD BE'!$Y$30*'TUSD BF'!$Y$75</f>
        <v>0</v>
      </c>
      <c r="Z30" s="13">
        <f>'TUSD BE'!$Z$30*'TUSD BF'!$Z$75</f>
        <v>0</v>
      </c>
      <c r="AA30" s="13">
        <f>'TUSD BE'!$AA$30*'TUSD BF'!$AA$75</f>
        <v>0</v>
      </c>
      <c r="AB30" s="13">
        <f>SUM($U$30:$AA$30)</f>
        <v>26.401836644653105</v>
      </c>
      <c r="AC30" s="13">
        <f>'TUSD BE'!$AC$30*'TUSD BF'!$AC$75</f>
        <v>0</v>
      </c>
      <c r="AD30" s="13">
        <f>SUM($AC$30:$AC$30)</f>
        <v>0</v>
      </c>
      <c r="AE30" s="13">
        <f ca="1">$AO$30*$AO$72</f>
        <v>0</v>
      </c>
      <c r="AF30" s="13">
        <f ca="1">$AP$30*$AP$72</f>
        <v>0</v>
      </c>
      <c r="AG30" s="13">
        <f ca="1">SUM($AE$30:$AF$30)</f>
        <v>0</v>
      </c>
      <c r="AH30" s="13">
        <f>'TUSD BE'!$AH$30*'TUSD BF'!$AH$75</f>
        <v>-0.17307581319883567</v>
      </c>
      <c r="AI30" s="13">
        <f>'TUSD BE'!$AI$30*'TUSD BF'!$AI$75</f>
        <v>-8.0028640681226882E-3</v>
      </c>
      <c r="AJ30" s="13">
        <f ca="1">'TUSD BE'!$AJ$30*'TUSD BF'!$AJ$75</f>
        <v>-0.23534046261011982</v>
      </c>
      <c r="AK30" s="13">
        <f ca="1">'TUSD BE'!$AK$30*'TUSD BF'!$AK$75</f>
        <v>0</v>
      </c>
      <c r="AL30" s="13">
        <f ca="1">SUM($AH$30:$AK$30)</f>
        <v>-0.41641913987707818</v>
      </c>
      <c r="AM30" s="13">
        <f ca="1">SUMIF($L$4:$AL$4,"SUBTOTAL",$L$30:$AL$30)</f>
        <v>25.985417504776027</v>
      </c>
      <c r="AO30" s="20">
        <f ca="1">+'TUSD BE'!$T$30+'TUSD BE'!$AB$30+'TUSD BE'!$AD$30+'TUSD BE'!$AL$30</f>
        <v>1514.3790826570494</v>
      </c>
      <c r="AP30" s="20">
        <f ca="1">+'TUSD BE'!$T$30+'TUSD BE'!$AB$30+'TUSD BE'!$AD$30+'TUSD BE'!$AL$30</f>
        <v>1514.3790826570494</v>
      </c>
    </row>
    <row r="31" spans="1:42" ht="11.25" customHeight="1" x14ac:dyDescent="0.25">
      <c r="A31" s="107"/>
      <c r="B31" s="107"/>
      <c r="C31" s="107"/>
      <c r="D31" s="107"/>
      <c r="E31" s="107"/>
      <c r="F31" s="107"/>
      <c r="G31" s="18" t="s">
        <v>84</v>
      </c>
      <c r="H31" s="18" t="s">
        <v>82</v>
      </c>
      <c r="I31" s="18">
        <f>'MERCADO TUSD'!$U$28</f>
        <v>0</v>
      </c>
      <c r="J31" s="15"/>
      <c r="L31" s="13">
        <f>'TUSD BE'!$L$31*'TUSD BF'!$L$75</f>
        <v>0</v>
      </c>
      <c r="M31" s="13">
        <f>'TUSD BE'!$M$31*'TUSD BF'!$M$75</f>
        <v>0</v>
      </c>
      <c r="N31" s="13">
        <f ca="1">'TUSD BE'!$N$31*'TUSD BF'!$N$75</f>
        <v>0</v>
      </c>
      <c r="O31" s="13">
        <f>'TUSD BE'!$O$31*'TUSD BF'!$O$75</f>
        <v>0</v>
      </c>
      <c r="P31" s="13">
        <f>'TUSD BE'!$P$31*'TUSD BF'!$P$75</f>
        <v>0</v>
      </c>
      <c r="Q31" s="13">
        <f>'TUSD BE'!$Q$31*'TUSD BF'!$Q$75</f>
        <v>0</v>
      </c>
      <c r="R31" s="13">
        <f>'TUSD BE'!$R$31*'TUSD BF'!$R$75</f>
        <v>0</v>
      </c>
      <c r="S31" s="13">
        <f>'TUSD BE'!$R$31*'TUSD BF'!$S$75</f>
        <v>0</v>
      </c>
      <c r="T31" s="13">
        <f ca="1">SUM($L$31:$S$31)</f>
        <v>0</v>
      </c>
      <c r="U31" s="13">
        <f>'TUSD BE'!$U$31*'TUSD BF'!$U$75</f>
        <v>0</v>
      </c>
      <c r="V31" s="13">
        <f>'TUSD BE'!$V$31*'TUSD BF'!$V$75</f>
        <v>0</v>
      </c>
      <c r="W31" s="13">
        <f>'TUSD BE'!$W$31*'TUSD BF'!$W$75</f>
        <v>0</v>
      </c>
      <c r="X31" s="13">
        <f>'TUSD BE'!$X$31*'TUSD BF'!$X$75</f>
        <v>0</v>
      </c>
      <c r="Y31" s="13">
        <f>'TUSD BE'!$Y$31*'TUSD BF'!$Y$75</f>
        <v>0</v>
      </c>
      <c r="Z31" s="13">
        <f>'TUSD BE'!$Z$31*'TUSD BF'!$Z$75</f>
        <v>0</v>
      </c>
      <c r="AA31" s="13">
        <f>'TUSD BE'!$AA$31*'TUSD BF'!$AA$75</f>
        <v>0</v>
      </c>
      <c r="AB31" s="13">
        <f>SUM($U$31:$AA$31)</f>
        <v>0</v>
      </c>
      <c r="AC31" s="13">
        <f>'TUSD BE'!$AC$31*'TUSD BF'!$AC$75</f>
        <v>0</v>
      </c>
      <c r="AD31" s="13">
        <f>SUM($AC$31:$AC$31)</f>
        <v>0</v>
      </c>
      <c r="AE31" s="13">
        <f ca="1">$AO$31*$AO$72</f>
        <v>0</v>
      </c>
      <c r="AF31" s="13">
        <f ca="1">$AP$31*$AP$72</f>
        <v>0</v>
      </c>
      <c r="AG31" s="13">
        <f ca="1">SUM($AE$31:$AF$31)</f>
        <v>0</v>
      </c>
      <c r="AH31" s="13">
        <f>'TUSD BE'!$AH$31*'TUSD BF'!$AH$75</f>
        <v>-0.17307581319883567</v>
      </c>
      <c r="AI31" s="13">
        <f>'TUSD BE'!$AI$31*'TUSD BF'!$AI$75</f>
        <v>-8.0028640681226882E-3</v>
      </c>
      <c r="AJ31" s="13">
        <f ca="1">'TUSD BE'!$AJ$31*'TUSD BF'!$AJ$75</f>
        <v>-0.23534046261011982</v>
      </c>
      <c r="AK31" s="13">
        <f ca="1">'TUSD BE'!$AK$31*'TUSD BF'!$AK$75</f>
        <v>0</v>
      </c>
      <c r="AL31" s="13">
        <f ca="1">SUM($AH$31:$AK$31)</f>
        <v>-0.41641913987707818</v>
      </c>
      <c r="AM31" s="13">
        <f ca="1">SUMIF($L$4:$AL$4,"SUBTOTAL",$L$31:$AL$31)</f>
        <v>-0.41641913987707818</v>
      </c>
      <c r="AO31" s="20">
        <f ca="1">+'TUSD BE'!$T$31+'TUSD BE'!$AB$31+'TUSD BE'!$AD$31+'TUSD BE'!$AL$31</f>
        <v>42.038445975039316</v>
      </c>
      <c r="AP31" s="20">
        <f ca="1">+'TUSD BE'!$T$31+'TUSD BE'!$AB$31+'TUSD BE'!$AD$31+'TUSD BE'!$AL$31</f>
        <v>42.038445975039316</v>
      </c>
    </row>
    <row r="32" spans="1:42" ht="11.25" customHeight="1" x14ac:dyDescent="0.25">
      <c r="A32" s="107" t="s">
        <v>95</v>
      </c>
      <c r="B32" s="107" t="s">
        <v>91</v>
      </c>
      <c r="C32" s="107" t="s">
        <v>25</v>
      </c>
      <c r="D32" s="107" t="s">
        <v>25</v>
      </c>
      <c r="E32" s="17" t="s">
        <v>96</v>
      </c>
      <c r="F32" s="17" t="s">
        <v>25</v>
      </c>
      <c r="G32" s="18" t="s">
        <v>9</v>
      </c>
      <c r="H32" s="18" t="s">
        <v>85</v>
      </c>
      <c r="I32" s="18">
        <f>'MERCADO TUSD'!$U$29+0.00000001</f>
        <v>1E-8</v>
      </c>
      <c r="J32" s="15"/>
      <c r="L32" s="13">
        <f>'TUSD BE'!$L$32*'TUSD BF'!$L$75</f>
        <v>0</v>
      </c>
      <c r="M32" s="13">
        <f>'TUSD BE'!$M$32*'TUSD BF'!$M$75</f>
        <v>0</v>
      </c>
      <c r="N32" s="13">
        <f ca="1">'TUSD BE'!$N$32*'TUSD BF'!$N$75</f>
        <v>0</v>
      </c>
      <c r="O32" s="13">
        <f>'TUSD BE'!$O$32*'TUSD BF'!$O$75</f>
        <v>0</v>
      </c>
      <c r="P32" s="13">
        <f>'TUSD BE'!$P$32*'TUSD BF'!$P$75</f>
        <v>0</v>
      </c>
      <c r="Q32" s="13">
        <f>'TUSD BE'!$Q$32*'TUSD BF'!$Q$75</f>
        <v>0</v>
      </c>
      <c r="R32" s="13">
        <f>'TUSD BE'!$R$32*'TUSD BF'!$R$75</f>
        <v>0</v>
      </c>
      <c r="S32" s="13">
        <f>'TUSD BE'!$R$32*'TUSD BF'!$S$75</f>
        <v>0</v>
      </c>
      <c r="T32" s="13">
        <f ca="1">SUM($L$32:$S$32)</f>
        <v>0</v>
      </c>
      <c r="U32" s="13">
        <f>'TUSD BE'!$U$32*'TUSD BF'!$U$75</f>
        <v>0</v>
      </c>
      <c r="V32" s="13">
        <f>'TUSD BE'!$V$32*'TUSD BF'!$V$75</f>
        <v>0</v>
      </c>
      <c r="W32" s="13">
        <f>'TUSD BE'!$W$32*'TUSD BF'!$W$75</f>
        <v>0</v>
      </c>
      <c r="X32" s="13">
        <f>'TUSD BE'!$X$32*'TUSD BF'!$X$75</f>
        <v>0</v>
      </c>
      <c r="Y32" s="13">
        <f>'TUSD BE'!$Y$32*'TUSD BF'!$Y$75</f>
        <v>0</v>
      </c>
      <c r="Z32" s="13">
        <f>'TUSD BE'!$Z$32*'TUSD BF'!$Z$75</f>
        <v>0</v>
      </c>
      <c r="AA32" s="13">
        <f>'TUSD BE'!$AA$32*'TUSD BF'!$AA$75</f>
        <v>0</v>
      </c>
      <c r="AB32" s="13">
        <f>SUM($U$32:$AA$32)</f>
        <v>0</v>
      </c>
      <c r="AC32" s="13">
        <f>'TUSD BE'!$AC$32*'TUSD BF'!$AC$75</f>
        <v>0</v>
      </c>
      <c r="AD32" s="13">
        <f>SUM($AC$32:$AC$32)</f>
        <v>0</v>
      </c>
      <c r="AE32" s="13">
        <f ca="1">$AO$32*$AO$72</f>
        <v>0</v>
      </c>
      <c r="AF32" s="13">
        <f ca="1">$AP$32*$AP$72</f>
        <v>0</v>
      </c>
      <c r="AG32" s="13">
        <f ca="1">SUM($AE$32:$AF$32)</f>
        <v>0</v>
      </c>
      <c r="AH32" s="13">
        <f>'TUSD BE'!$AH$32*'TUSD BF'!$AH$75</f>
        <v>0</v>
      </c>
      <c r="AI32" s="13">
        <f>'TUSD BE'!$AI$32*'TUSD BF'!$AI$75</f>
        <v>0</v>
      </c>
      <c r="AJ32" s="13">
        <f ca="1">'TUSD BE'!$AJ$32*'TUSD BF'!$AJ$75</f>
        <v>0</v>
      </c>
      <c r="AK32" s="13">
        <f ca="1">'TUSD BE'!$AK$32*'TUSD BF'!$AK$75</f>
        <v>0</v>
      </c>
      <c r="AL32" s="13">
        <f ca="1">SUM($AH$32:$AK$32)</f>
        <v>0</v>
      </c>
      <c r="AM32" s="13">
        <f ca="1">SUMIF($L$4:$AL$4,"SUBTOTAL",$L$32:$AL$32)</f>
        <v>0</v>
      </c>
      <c r="AO32" s="20">
        <f ca="1">+'TUSD BE'!$T$32+'TUSD BE'!$AB$32+'TUSD BE'!$AD$32+'TUSD BE'!$AL$32</f>
        <v>15.484629351204873</v>
      </c>
      <c r="AP32" s="20">
        <f ca="1">+'TUSD BE'!$T$32+'TUSD BE'!$AB$32+'TUSD BE'!$AD$32+'TUSD BE'!$AL$32</f>
        <v>15.484629351204873</v>
      </c>
    </row>
    <row r="33" spans="1:42" ht="11.25" customHeight="1" x14ac:dyDescent="0.25">
      <c r="A33" s="107"/>
      <c r="B33" s="107"/>
      <c r="C33" s="107"/>
      <c r="D33" s="107"/>
      <c r="E33" s="17" t="s">
        <v>97</v>
      </c>
      <c r="F33" s="17" t="s">
        <v>25</v>
      </c>
      <c r="G33" s="18" t="s">
        <v>9</v>
      </c>
      <c r="H33" s="18" t="s">
        <v>85</v>
      </c>
      <c r="I33" s="18">
        <f>'MERCADO TUSD'!$U$30+0.00000001</f>
        <v>1E-8</v>
      </c>
      <c r="J33" s="15"/>
      <c r="L33" s="13">
        <f>'TUSD BE'!$L$33*'TUSD BF'!$L$75</f>
        <v>0</v>
      </c>
      <c r="M33" s="13">
        <f>'TUSD BE'!$M$33*'TUSD BF'!$M$75</f>
        <v>0</v>
      </c>
      <c r="N33" s="13">
        <f ca="1">'TUSD BE'!$N$33*'TUSD BF'!$N$75</f>
        <v>0</v>
      </c>
      <c r="O33" s="13">
        <f>'TUSD BE'!$O$33*'TUSD BF'!$O$75</f>
        <v>0</v>
      </c>
      <c r="P33" s="13">
        <f>'TUSD BE'!$P$33*'TUSD BF'!$P$75</f>
        <v>0</v>
      </c>
      <c r="Q33" s="13">
        <f>'TUSD BE'!$Q$33*'TUSD BF'!$Q$75</f>
        <v>0</v>
      </c>
      <c r="R33" s="13">
        <f>'TUSD BE'!$R$33*'TUSD BF'!$R$75</f>
        <v>0</v>
      </c>
      <c r="S33" s="13">
        <f>'TUSD BE'!$R$33*'TUSD BF'!$S$75</f>
        <v>0</v>
      </c>
      <c r="T33" s="13">
        <f ca="1">SUM($L$33:$S$33)</f>
        <v>0</v>
      </c>
      <c r="U33" s="13">
        <f>'TUSD BE'!$U$33*'TUSD BF'!$U$75</f>
        <v>0</v>
      </c>
      <c r="V33" s="13">
        <f>'TUSD BE'!$V$33*'TUSD BF'!$V$75</f>
        <v>0</v>
      </c>
      <c r="W33" s="13">
        <f>'TUSD BE'!$W$33*'TUSD BF'!$W$75</f>
        <v>0</v>
      </c>
      <c r="X33" s="13">
        <f>'TUSD BE'!$X$33*'TUSD BF'!$X$75</f>
        <v>0</v>
      </c>
      <c r="Y33" s="13">
        <f>'TUSD BE'!$Y$33*'TUSD BF'!$Y$75</f>
        <v>0</v>
      </c>
      <c r="Z33" s="13">
        <f>'TUSD BE'!$Z$33*'TUSD BF'!$Z$75</f>
        <v>0</v>
      </c>
      <c r="AA33" s="13">
        <f>'TUSD BE'!$AA$33*'TUSD BF'!$AA$75</f>
        <v>0</v>
      </c>
      <c r="AB33" s="13">
        <f>SUM($U$33:$AA$33)</f>
        <v>0</v>
      </c>
      <c r="AC33" s="13">
        <f>'TUSD BE'!$AC$33*'TUSD BF'!$AC$75</f>
        <v>0</v>
      </c>
      <c r="AD33" s="13">
        <f>SUM($AC$33:$AC$33)</f>
        <v>0</v>
      </c>
      <c r="AE33" s="13">
        <f ca="1">$AO$33*$AO$72</f>
        <v>0</v>
      </c>
      <c r="AF33" s="13">
        <f ca="1">$AP$33*$AP$72</f>
        <v>0</v>
      </c>
      <c r="AG33" s="13">
        <f ca="1">SUM($AE$33:$AF$33)</f>
        <v>0</v>
      </c>
      <c r="AH33" s="13">
        <f>'TUSD BE'!$AH$33*'TUSD BF'!$AH$75</f>
        <v>0</v>
      </c>
      <c r="AI33" s="13">
        <f>'TUSD BE'!$AI$33*'TUSD BF'!$AI$75</f>
        <v>0</v>
      </c>
      <c r="AJ33" s="13">
        <f ca="1">'TUSD BE'!$AJ$33*'TUSD BF'!$AJ$75</f>
        <v>0</v>
      </c>
      <c r="AK33" s="13">
        <f ca="1">'TUSD BE'!$AK$33*'TUSD BF'!$AK$75</f>
        <v>0</v>
      </c>
      <c r="AL33" s="13">
        <f ca="1">SUM($AH$33:$AK$33)</f>
        <v>0</v>
      </c>
      <c r="AM33" s="13">
        <f ca="1">SUMIF($L$4:$AL$4,"SUBTOTAL",$L$33:$AL$33)</f>
        <v>0</v>
      </c>
      <c r="AO33" s="20">
        <f ca="1">+'TUSD BE'!$T$33+'TUSD BE'!$AB$33+'TUSD BE'!$AD$33+'TUSD BE'!$AL$33</f>
        <v>34.422653190777815</v>
      </c>
      <c r="AP33" s="20">
        <f ca="1">+'TUSD BE'!$T$33+'TUSD BE'!$AB$33+'TUSD BE'!$AD$33+'TUSD BE'!$AL$33</f>
        <v>34.422653190777815</v>
      </c>
    </row>
    <row r="34" spans="1:42" ht="11.25" customHeight="1" x14ac:dyDescent="0.25">
      <c r="A34" s="107" t="s">
        <v>22</v>
      </c>
      <c r="B34" s="107" t="s">
        <v>35</v>
      </c>
      <c r="C34" s="107" t="s">
        <v>24</v>
      </c>
      <c r="D34" s="107" t="s">
        <v>24</v>
      </c>
      <c r="E34" s="107" t="s">
        <v>25</v>
      </c>
      <c r="F34" s="107" t="s">
        <v>25</v>
      </c>
      <c r="G34" s="18" t="s">
        <v>83</v>
      </c>
      <c r="H34" s="18" t="s">
        <v>82</v>
      </c>
      <c r="I34" s="18">
        <f>'MERCADO TUSD'!$U$31</f>
        <v>51.442999999999998</v>
      </c>
      <c r="J34" s="15"/>
      <c r="L34" s="13">
        <f>'TUSD BE'!$L$34*'TUSD BF'!$L$75</f>
        <v>0.85171569784117518</v>
      </c>
      <c r="M34" s="13">
        <f>'TUSD BE'!$M$34*'TUSD BF'!$M$75</f>
        <v>0</v>
      </c>
      <c r="N34" s="13">
        <f ca="1">'TUSD BE'!$N$34*'TUSD BF'!$N$75</f>
        <v>0</v>
      </c>
      <c r="O34" s="13">
        <f>'TUSD BE'!$O$34*'TUSD BF'!$O$75</f>
        <v>0</v>
      </c>
      <c r="P34" s="13">
        <f>'TUSD BE'!$P$34*'TUSD BF'!$P$75</f>
        <v>0</v>
      </c>
      <c r="Q34" s="13">
        <f>'TUSD BE'!$Q$34*'TUSD BF'!$Q$75</f>
        <v>13.913510269651347</v>
      </c>
      <c r="R34" s="13">
        <f>'TUSD BE'!$R$34*'TUSD BF'!$R$75</f>
        <v>5.0442222398398489</v>
      </c>
      <c r="S34" s="13">
        <f>'TUSD BE'!$R$34*'TUSD BF'!$S$75</f>
        <v>0</v>
      </c>
      <c r="T34" s="13">
        <f ca="1">SUM($L$34:$S$34)</f>
        <v>19.809448207332373</v>
      </c>
      <c r="U34" s="13">
        <f>'TUSD BE'!$U$34*'TUSD BF'!$U$75</f>
        <v>7.3866882579922644</v>
      </c>
      <c r="V34" s="13">
        <f>'TUSD BE'!$V$34*'TUSD BF'!$V$75</f>
        <v>8.0457326535263771</v>
      </c>
      <c r="W34" s="13">
        <f>'TUSD BE'!$W$34*'TUSD BF'!$W$75</f>
        <v>0</v>
      </c>
      <c r="X34" s="13">
        <f>'TUSD BE'!$X$34*'TUSD BF'!$X$75</f>
        <v>0</v>
      </c>
      <c r="Y34" s="13">
        <f>'TUSD BE'!$Y$34*'TUSD BF'!$Y$75</f>
        <v>0</v>
      </c>
      <c r="Z34" s="13">
        <f>'TUSD BE'!$Z$34*'TUSD BF'!$Z$75</f>
        <v>0</v>
      </c>
      <c r="AA34" s="13">
        <f>'TUSD BE'!$AA$34*'TUSD BF'!$AA$75</f>
        <v>0</v>
      </c>
      <c r="AB34" s="13">
        <f>SUM($U$34:$AA$34)</f>
        <v>15.432420911518641</v>
      </c>
      <c r="AC34" s="13">
        <f>'TUSD BE'!$AC$34*'TUSD BF'!$AC$75</f>
        <v>0</v>
      </c>
      <c r="AD34" s="13">
        <f>SUM($AC$34:$AC$34)</f>
        <v>0</v>
      </c>
      <c r="AE34" s="13">
        <f ca="1">$AO$34*$AO$72</f>
        <v>0</v>
      </c>
      <c r="AF34" s="13">
        <f ca="1">$AP$34*$AP$72</f>
        <v>0</v>
      </c>
      <c r="AG34" s="13">
        <f ca="1">SUM($AE$34:$AF$34)</f>
        <v>0</v>
      </c>
      <c r="AH34" s="13">
        <f>'TUSD BE'!$AH$34*'TUSD BF'!$AH$75</f>
        <v>-0.37057281817901716</v>
      </c>
      <c r="AI34" s="13">
        <f>'TUSD BE'!$AI$34*'TUSD BF'!$AI$75</f>
        <v>-1.7134941251558823E-2</v>
      </c>
      <c r="AJ34" s="13">
        <f ca="1">'TUSD BE'!$AJ$34*'TUSD BF'!$AJ$75</f>
        <v>-0.35799408591381504</v>
      </c>
      <c r="AK34" s="13">
        <f ca="1">'TUSD BE'!$AK$34*'TUSD BF'!$AK$75</f>
        <v>0</v>
      </c>
      <c r="AL34" s="13">
        <f ca="1">SUM($AH$34:$AK$34)</f>
        <v>-0.7457018453443911</v>
      </c>
      <c r="AM34" s="13">
        <f ca="1">SUMIF($L$4:$AL$4,"SUBTOTAL",$L$34:$AL$34)</f>
        <v>34.496167273506622</v>
      </c>
      <c r="AO34" s="20">
        <f ca="1">+'TUSD BE'!$T$34+'TUSD BE'!$AB$34+'TUSD BE'!$AD$34+'TUSD BE'!$AL$34</f>
        <v>1331.0580121448804</v>
      </c>
      <c r="AP34" s="20">
        <f ca="1">+'TUSD BE'!$T$34+'TUSD BE'!$AB$34+'TUSD BE'!$AD$34+'TUSD BE'!$AL$34</f>
        <v>1331.0580121448804</v>
      </c>
    </row>
    <row r="35" spans="1:42" ht="11.25" customHeight="1" x14ac:dyDescent="0.25">
      <c r="A35" s="107"/>
      <c r="B35" s="107"/>
      <c r="C35" s="107"/>
      <c r="D35" s="107"/>
      <c r="E35" s="107"/>
      <c r="F35" s="107"/>
      <c r="G35" s="18" t="s">
        <v>98</v>
      </c>
      <c r="H35" s="18" t="s">
        <v>82</v>
      </c>
      <c r="I35" s="18">
        <f>'MERCADO TUSD'!$U$32</f>
        <v>16.948999999999998</v>
      </c>
      <c r="J35" s="15"/>
      <c r="L35" s="13">
        <f>'TUSD BE'!$L$35*'TUSD BF'!$L$75</f>
        <v>0.85171569784117518</v>
      </c>
      <c r="M35" s="13">
        <f>'TUSD BE'!$M$35*'TUSD BF'!$M$75</f>
        <v>0</v>
      </c>
      <c r="N35" s="13">
        <f ca="1">'TUSD BE'!$N$35*'TUSD BF'!$N$75</f>
        <v>0</v>
      </c>
      <c r="O35" s="13">
        <f>'TUSD BE'!$O$35*'TUSD BF'!$O$75</f>
        <v>0</v>
      </c>
      <c r="P35" s="13">
        <f>'TUSD BE'!$P$35*'TUSD BF'!$P$75</f>
        <v>0</v>
      </c>
      <c r="Q35" s="13">
        <f>'TUSD BE'!$Q$35*'TUSD BF'!$Q$75</f>
        <v>13.913510269651347</v>
      </c>
      <c r="R35" s="13">
        <f>'TUSD BE'!$R$35*'TUSD BF'!$R$75</f>
        <v>5.0442222398398489</v>
      </c>
      <c r="S35" s="13">
        <f>'TUSD BE'!$R$35*'TUSD BF'!$S$75</f>
        <v>0</v>
      </c>
      <c r="T35" s="13">
        <f ca="1">SUM($L$35:$S$35)</f>
        <v>19.809448207332373</v>
      </c>
      <c r="U35" s="13">
        <f>'TUSD BE'!$U$35*'TUSD BF'!$U$75</f>
        <v>4.4320129547953586</v>
      </c>
      <c r="V35" s="13">
        <f>'TUSD BE'!$V$35*'TUSD BF'!$V$75</f>
        <v>4.8274452455240064</v>
      </c>
      <c r="W35" s="13">
        <f>'TUSD BE'!$W$35*'TUSD BF'!$W$75</f>
        <v>0</v>
      </c>
      <c r="X35" s="13">
        <f>'TUSD BE'!$X$35*'TUSD BF'!$X$75</f>
        <v>0</v>
      </c>
      <c r="Y35" s="13">
        <f>'TUSD BE'!$Y$35*'TUSD BF'!$Y$75</f>
        <v>0</v>
      </c>
      <c r="Z35" s="13">
        <f>'TUSD BE'!$Z$35*'TUSD BF'!$Z$75</f>
        <v>0</v>
      </c>
      <c r="AA35" s="13">
        <f>'TUSD BE'!$AA$35*'TUSD BF'!$AA$75</f>
        <v>0</v>
      </c>
      <c r="AB35" s="13">
        <f>SUM($U$35:$AA$35)</f>
        <v>9.2594582003193651</v>
      </c>
      <c r="AC35" s="13">
        <f>'TUSD BE'!$AC$35*'TUSD BF'!$AC$75</f>
        <v>0</v>
      </c>
      <c r="AD35" s="13">
        <f>SUM($AC$35:$AC$35)</f>
        <v>0</v>
      </c>
      <c r="AE35" s="13">
        <f ca="1">$AO$35*$AO$72</f>
        <v>0</v>
      </c>
      <c r="AF35" s="13">
        <f ca="1">$AP$35*$AP$72</f>
        <v>0</v>
      </c>
      <c r="AG35" s="13">
        <f ca="1">SUM($AE$35:$AF$35)</f>
        <v>0</v>
      </c>
      <c r="AH35" s="13">
        <f>'TUSD BE'!$AH$35*'TUSD BF'!$AH$75</f>
        <v>-0.37057281817901716</v>
      </c>
      <c r="AI35" s="13">
        <f>'TUSD BE'!$AI$35*'TUSD BF'!$AI$75</f>
        <v>-1.7134941251558823E-2</v>
      </c>
      <c r="AJ35" s="13">
        <f ca="1">'TUSD BE'!$AJ$35*'TUSD BF'!$AJ$75</f>
        <v>-0.35799408591381504</v>
      </c>
      <c r="AK35" s="13">
        <f ca="1">'TUSD BE'!$AK$35*'TUSD BF'!$AK$75</f>
        <v>0</v>
      </c>
      <c r="AL35" s="13">
        <f ca="1">SUM($AH$35:$AK$35)</f>
        <v>-0.7457018453443911</v>
      </c>
      <c r="AM35" s="13">
        <f ca="1">SUMIF($L$4:$AL$4,"SUBTOTAL",$L$35:$AL$35)</f>
        <v>28.323204562307346</v>
      </c>
      <c r="AO35" s="20">
        <f ca="1">+'TUSD BE'!$T$35+'TUSD BE'!$AB$35+'TUSD BE'!$AD$35+'TUSD BE'!$AL$35</f>
        <v>857.01643086181411</v>
      </c>
      <c r="AP35" s="20">
        <f ca="1">+'TUSD BE'!$T$35+'TUSD BE'!$AB$35+'TUSD BE'!$AD$35+'TUSD BE'!$AL$35</f>
        <v>857.01643086181411</v>
      </c>
    </row>
    <row r="36" spans="1:42" ht="11.25" customHeight="1" x14ac:dyDescent="0.25">
      <c r="A36" s="107"/>
      <c r="B36" s="107"/>
      <c r="C36" s="107"/>
      <c r="D36" s="107"/>
      <c r="E36" s="107"/>
      <c r="F36" s="107"/>
      <c r="G36" s="18" t="s">
        <v>84</v>
      </c>
      <c r="H36" s="18" t="s">
        <v>82</v>
      </c>
      <c r="I36" s="18">
        <f>'MERCADO TUSD'!$U$33</f>
        <v>490.19600000000008</v>
      </c>
      <c r="J36" s="15"/>
      <c r="L36" s="13">
        <f>'TUSD BE'!$L$36*'TUSD BF'!$L$75</f>
        <v>0.85171569784117518</v>
      </c>
      <c r="M36" s="13">
        <f>'TUSD BE'!$M$36*'TUSD BF'!$M$75</f>
        <v>0</v>
      </c>
      <c r="N36" s="13">
        <f ca="1">'TUSD BE'!$N$36*'TUSD BF'!$N$75</f>
        <v>0</v>
      </c>
      <c r="O36" s="13">
        <f>'TUSD BE'!$O$36*'TUSD BF'!$O$75</f>
        <v>0</v>
      </c>
      <c r="P36" s="13">
        <f>'TUSD BE'!$P$36*'TUSD BF'!$P$75</f>
        <v>0</v>
      </c>
      <c r="Q36" s="13">
        <f>'TUSD BE'!$Q$36*'TUSD BF'!$Q$75</f>
        <v>13.913510269651347</v>
      </c>
      <c r="R36" s="13">
        <f>'TUSD BE'!$R$36*'TUSD BF'!$R$75</f>
        <v>5.0442222398398489</v>
      </c>
      <c r="S36" s="13">
        <f>'TUSD BE'!$R$36*'TUSD BF'!$S$75</f>
        <v>0</v>
      </c>
      <c r="T36" s="13">
        <f ca="1">SUM($L$36:$S$36)</f>
        <v>19.809448207332373</v>
      </c>
      <c r="U36" s="13">
        <f>'TUSD BE'!$U$36*'TUSD BF'!$U$75</f>
        <v>1.4773376515984529</v>
      </c>
      <c r="V36" s="13">
        <f>'TUSD BE'!$V$36*'TUSD BF'!$V$75</f>
        <v>1.6091578375216369</v>
      </c>
      <c r="W36" s="13">
        <f>'TUSD BE'!$W$36*'TUSD BF'!$W$75</f>
        <v>0</v>
      </c>
      <c r="X36" s="13">
        <f>'TUSD BE'!$X$36*'TUSD BF'!$X$75</f>
        <v>0</v>
      </c>
      <c r="Y36" s="13">
        <f>'TUSD BE'!$Y$36*'TUSD BF'!$Y$75</f>
        <v>0</v>
      </c>
      <c r="Z36" s="13">
        <f>'TUSD BE'!$Z$36*'TUSD BF'!$Z$75</f>
        <v>0</v>
      </c>
      <c r="AA36" s="13">
        <f>'TUSD BE'!$AA$36*'TUSD BF'!$AA$75</f>
        <v>0</v>
      </c>
      <c r="AB36" s="13">
        <f>SUM($U$36:$AA$36)</f>
        <v>3.0864954891200895</v>
      </c>
      <c r="AC36" s="13">
        <f>'TUSD BE'!$AC$36*'TUSD BF'!$AC$75</f>
        <v>0</v>
      </c>
      <c r="AD36" s="13">
        <f>SUM($AC$36:$AC$36)</f>
        <v>0</v>
      </c>
      <c r="AE36" s="13">
        <f ca="1">$AO$36*$AO$72</f>
        <v>0</v>
      </c>
      <c r="AF36" s="13">
        <f ca="1">$AP$36*$AP$72</f>
        <v>0</v>
      </c>
      <c r="AG36" s="13">
        <f ca="1">SUM($AE$36:$AF$36)</f>
        <v>0</v>
      </c>
      <c r="AH36" s="13">
        <f>'TUSD BE'!$AH$36*'TUSD BF'!$AH$75</f>
        <v>-0.37057281817901716</v>
      </c>
      <c r="AI36" s="13">
        <f>'TUSD BE'!$AI$36*'TUSD BF'!$AI$75</f>
        <v>-1.7134941251558823E-2</v>
      </c>
      <c r="AJ36" s="13">
        <f ca="1">'TUSD BE'!$AJ$36*'TUSD BF'!$AJ$75</f>
        <v>-0.35799408591381504</v>
      </c>
      <c r="AK36" s="13">
        <f ca="1">'TUSD BE'!$AK$36*'TUSD BF'!$AK$75</f>
        <v>0</v>
      </c>
      <c r="AL36" s="13">
        <f ca="1">SUM($AH$36:$AK$36)</f>
        <v>-0.7457018453443911</v>
      </c>
      <c r="AM36" s="13">
        <f ca="1">SUMIF($L$4:$AL$4,"SUBTOTAL",$L$36:$AL$36)</f>
        <v>22.150241851108071</v>
      </c>
      <c r="AO36" s="20">
        <f ca="1">+'TUSD BE'!$T$36+'TUSD BE'!$AB$36+'TUSD BE'!$AD$36+'TUSD BE'!$AL$36</f>
        <v>382.97472842006795</v>
      </c>
      <c r="AP36" s="20">
        <f ca="1">+'TUSD BE'!$T$36+'TUSD BE'!$AB$36+'TUSD BE'!$AD$36+'TUSD BE'!$AL$36</f>
        <v>382.97472842006795</v>
      </c>
    </row>
    <row r="37" spans="1:42" ht="11.25" customHeight="1" x14ac:dyDescent="0.25">
      <c r="A37" s="107"/>
      <c r="B37" s="107" t="s">
        <v>23</v>
      </c>
      <c r="C37" s="107" t="s">
        <v>24</v>
      </c>
      <c r="D37" s="17" t="s">
        <v>24</v>
      </c>
      <c r="E37" s="17" t="s">
        <v>25</v>
      </c>
      <c r="F37" s="17" t="s">
        <v>25</v>
      </c>
      <c r="G37" s="18" t="s">
        <v>88</v>
      </c>
      <c r="H37" s="18" t="s">
        <v>82</v>
      </c>
      <c r="I37" s="18">
        <f>'MERCADO TUSD'!$U$34</f>
        <v>441318.25</v>
      </c>
      <c r="J37" s="15"/>
      <c r="L37" s="13">
        <f>'TUSD BE'!$L$37*'TUSD BF'!$L$75</f>
        <v>0.85171569784117518</v>
      </c>
      <c r="M37" s="13">
        <f>'TUSD BE'!$M$37*'TUSD BF'!$M$75</f>
        <v>0</v>
      </c>
      <c r="N37" s="13">
        <f ca="1">'TUSD BE'!$N$37*'TUSD BF'!$N$75</f>
        <v>0</v>
      </c>
      <c r="O37" s="13">
        <f>'TUSD BE'!$O$37*'TUSD BF'!$O$75</f>
        <v>0</v>
      </c>
      <c r="P37" s="13">
        <f>'TUSD BE'!$P$37*'TUSD BF'!$P$75</f>
        <v>0</v>
      </c>
      <c r="Q37" s="13">
        <f>'TUSD BE'!$Q$37*'TUSD BF'!$Q$75</f>
        <v>13.913510269651347</v>
      </c>
      <c r="R37" s="13">
        <f>'TUSD BE'!$R$37*'TUSD BF'!$R$75</f>
        <v>5.0442222398398489</v>
      </c>
      <c r="S37" s="13">
        <f>'TUSD BE'!$R$37*'TUSD BF'!$S$75</f>
        <v>0</v>
      </c>
      <c r="T37" s="13">
        <f ca="1">SUM($L$37:$S$37)</f>
        <v>19.809448207332373</v>
      </c>
      <c r="U37" s="13">
        <f>'TUSD BE'!$U$37*'TUSD BF'!$U$75</f>
        <v>2.3449866847410208</v>
      </c>
      <c r="V37" s="13">
        <f>'TUSD BE'!$V$37*'TUSD BF'!$V$75</f>
        <v>2.5542098160531044</v>
      </c>
      <c r="W37" s="13">
        <f>'TUSD BE'!$W$37*'TUSD BF'!$W$75</f>
        <v>0</v>
      </c>
      <c r="X37" s="13">
        <f>'TUSD BE'!$X$37*'TUSD BF'!$X$75</f>
        <v>0</v>
      </c>
      <c r="Y37" s="13">
        <f>'TUSD BE'!$Y$37*'TUSD BF'!$Y$75</f>
        <v>0</v>
      </c>
      <c r="Z37" s="13">
        <f>'TUSD BE'!$Z$37*'TUSD BF'!$Z$75</f>
        <v>0</v>
      </c>
      <c r="AA37" s="13">
        <f>'TUSD BE'!$AA$37*'TUSD BF'!$AA$75</f>
        <v>0</v>
      </c>
      <c r="AB37" s="13">
        <f>SUM($U$37:$AA$37)</f>
        <v>4.8991965007941252</v>
      </c>
      <c r="AC37" s="13">
        <f>'TUSD BE'!$AC$37*'TUSD BF'!$AC$75</f>
        <v>0</v>
      </c>
      <c r="AD37" s="13">
        <f>SUM($AC$37:$AC$37)</f>
        <v>0</v>
      </c>
      <c r="AE37" s="13">
        <f ca="1">$AO$37*$AO$72</f>
        <v>0</v>
      </c>
      <c r="AF37" s="13">
        <f ca="1">$AP$37*$AP$72</f>
        <v>0</v>
      </c>
      <c r="AG37" s="13">
        <f ca="1">SUM($AE$37:$AF$37)</f>
        <v>0</v>
      </c>
      <c r="AH37" s="13">
        <f>'TUSD BE'!$AH$37*'TUSD BF'!$AH$75</f>
        <v>-0.37057281817901716</v>
      </c>
      <c r="AI37" s="13">
        <f>'TUSD BE'!$AI$37*'TUSD BF'!$AI$75</f>
        <v>-1.7134941251558823E-2</v>
      </c>
      <c r="AJ37" s="13">
        <f ca="1">'TUSD BE'!$AJ$37*'TUSD BF'!$AJ$75</f>
        <v>-0.35799408591381504</v>
      </c>
      <c r="AK37" s="13">
        <f ca="1">'TUSD BE'!$AK$37*'TUSD BF'!$AK$75</f>
        <v>0</v>
      </c>
      <c r="AL37" s="13">
        <f ca="1">SUM($AH$37:$AK$37)</f>
        <v>-0.7457018453443911</v>
      </c>
      <c r="AM37" s="13">
        <f ca="1">SUMIF($L$4:$AL$4,"SUBTOTAL",$L$37:$AL$37)</f>
        <v>23.962942862782107</v>
      </c>
      <c r="AO37" s="20">
        <f ca="1">+'TUSD BE'!$T$37+'TUSD BE'!$AB$37+'TUSD BE'!$AD$37+'TUSD BE'!$AL$37</f>
        <v>522.17758251231044</v>
      </c>
      <c r="AP37" s="20">
        <f ca="1">+'TUSD BE'!$T$37+'TUSD BE'!$AB$37+'TUSD BE'!$AD$37+'TUSD BE'!$AL$37</f>
        <v>522.17758251231044</v>
      </c>
    </row>
    <row r="38" spans="1:42" ht="11.25" customHeight="1" x14ac:dyDescent="0.25">
      <c r="A38" s="107"/>
      <c r="B38" s="107"/>
      <c r="C38" s="107"/>
      <c r="D38" s="17" t="s">
        <v>31</v>
      </c>
      <c r="E38" s="17" t="s">
        <v>25</v>
      </c>
      <c r="F38" s="17" t="s">
        <v>25</v>
      </c>
      <c r="G38" s="18" t="s">
        <v>88</v>
      </c>
      <c r="H38" s="18" t="s">
        <v>82</v>
      </c>
      <c r="I38" s="18">
        <f>'MERCADO TUSD'!$U$35</f>
        <v>23008.194</v>
      </c>
      <c r="J38" s="15"/>
      <c r="L38" s="13">
        <f>'TUSD BE'!$L$38*'TUSD BF'!$L$75</f>
        <v>0</v>
      </c>
      <c r="M38" s="13">
        <f>'TUSD BE'!$M$38*'TUSD BF'!$M$75</f>
        <v>0</v>
      </c>
      <c r="N38" s="13">
        <f ca="1">'TUSD BE'!$N$38*'TUSD BF'!$N$75</f>
        <v>0</v>
      </c>
      <c r="O38" s="13">
        <f>'TUSD BE'!$O$38*'TUSD BF'!$O$75</f>
        <v>0</v>
      </c>
      <c r="P38" s="13">
        <f>'TUSD BE'!$P$38*'TUSD BF'!$P$75</f>
        <v>0</v>
      </c>
      <c r="Q38" s="13">
        <f>'TUSD BE'!$Q$38*'TUSD BF'!$Q$75</f>
        <v>0</v>
      </c>
      <c r="R38" s="13">
        <f>'TUSD BE'!$R$38*'TUSD BF'!$R$75</f>
        <v>0</v>
      </c>
      <c r="S38" s="13">
        <f>'TUSD BE'!$R$38*'TUSD BF'!$S$75</f>
        <v>0</v>
      </c>
      <c r="T38" s="13">
        <f ca="1">SUM($L$38:$S$38)</f>
        <v>0</v>
      </c>
      <c r="U38" s="13">
        <f>'TUSD BE'!$U$38*'TUSD BF'!$U$75</f>
        <v>2.3449866847410208</v>
      </c>
      <c r="V38" s="13">
        <f>'TUSD BE'!$V$38*'TUSD BF'!$V$75</f>
        <v>2.5542098160531044</v>
      </c>
      <c r="W38" s="13">
        <f>'TUSD BE'!$W$38*'TUSD BF'!$W$75</f>
        <v>0</v>
      </c>
      <c r="X38" s="13">
        <f>'TUSD BE'!$X$38*'TUSD BF'!$X$75</f>
        <v>0</v>
      </c>
      <c r="Y38" s="13">
        <f>'TUSD BE'!$Y$38*'TUSD BF'!$Y$75</f>
        <v>0</v>
      </c>
      <c r="Z38" s="13">
        <f>'TUSD BE'!$Z$38*'TUSD BF'!$Z$75</f>
        <v>0</v>
      </c>
      <c r="AA38" s="13">
        <f>'TUSD BE'!$AA$38*'TUSD BF'!$AA$75</f>
        <v>0</v>
      </c>
      <c r="AB38" s="13">
        <f>SUM($U$38:$AA$38)</f>
        <v>4.8991965007941252</v>
      </c>
      <c r="AC38" s="13">
        <f>'TUSD BE'!$AC$38*'TUSD BF'!$AC$75</f>
        <v>0</v>
      </c>
      <c r="AD38" s="13">
        <f>SUM($AC$38:$AC$38)</f>
        <v>0</v>
      </c>
      <c r="AE38" s="13">
        <f ca="1">$AO$38*$AO$72</f>
        <v>0</v>
      </c>
      <c r="AF38" s="13">
        <f ca="1">$AP$38*$AP$72</f>
        <v>0</v>
      </c>
      <c r="AG38" s="13">
        <f ca="1">SUM($AE$38:$AF$38)</f>
        <v>0</v>
      </c>
      <c r="AH38" s="13">
        <f>'TUSD BE'!$AH$38*'TUSD BF'!$AH$75</f>
        <v>-0.37057281817901716</v>
      </c>
      <c r="AI38" s="13">
        <f>'TUSD BE'!$AI$38*'TUSD BF'!$AI$75</f>
        <v>-1.7134941251558823E-2</v>
      </c>
      <c r="AJ38" s="13">
        <f ca="1">'TUSD BE'!$AJ$38*'TUSD BF'!$AJ$75</f>
        <v>-0.35799408591381504</v>
      </c>
      <c r="AK38" s="13">
        <f ca="1">'TUSD BE'!$AK$38*'TUSD BF'!$AK$75</f>
        <v>0</v>
      </c>
      <c r="AL38" s="13">
        <f ca="1">SUM($AH$38:$AK$38)</f>
        <v>-0.7457018453443911</v>
      </c>
      <c r="AM38" s="13">
        <f ca="1">SUMIF($L$4:$AL$4,"SUBTOTAL",$L$38:$AL$38)</f>
        <v>4.1534946554497338</v>
      </c>
      <c r="AO38" s="20">
        <f ca="1">+'TUSD BE'!$T$38+'TUSD BE'!$AB$38+'TUSD BE'!$AD$38+'TUSD BE'!$AL$38</f>
        <v>449.34581910583387</v>
      </c>
      <c r="AP38" s="20">
        <f ca="1">+'TUSD BE'!$T$38+'TUSD BE'!$AB$38+'TUSD BE'!$AD$38+'TUSD BE'!$AL$38</f>
        <v>449.34581910583387</v>
      </c>
    </row>
    <row r="39" spans="1:42" ht="11.25" customHeight="1" x14ac:dyDescent="0.25">
      <c r="A39" s="107"/>
      <c r="B39" s="107"/>
      <c r="C39" s="107"/>
      <c r="D39" s="17" t="s">
        <v>32</v>
      </c>
      <c r="E39" s="17" t="s">
        <v>25</v>
      </c>
      <c r="F39" s="17" t="s">
        <v>25</v>
      </c>
      <c r="G39" s="18" t="s">
        <v>88</v>
      </c>
      <c r="H39" s="18" t="s">
        <v>82</v>
      </c>
      <c r="I39" s="18">
        <f>'MERCADO TUSD'!$U$36</f>
        <v>43669.588000000003</v>
      </c>
      <c r="J39" s="15"/>
      <c r="L39" s="13">
        <f>'TUSD BE'!$L$39*'TUSD BF'!$L$75</f>
        <v>0</v>
      </c>
      <c r="M39" s="13">
        <f>'TUSD BE'!$M$39*'TUSD BF'!$M$75</f>
        <v>0</v>
      </c>
      <c r="N39" s="13">
        <f ca="1">'TUSD BE'!$N$39*'TUSD BF'!$N$75</f>
        <v>0</v>
      </c>
      <c r="O39" s="13">
        <f>'TUSD BE'!$O$39*'TUSD BF'!$O$75</f>
        <v>0</v>
      </c>
      <c r="P39" s="13">
        <f>'TUSD BE'!$P$39*'TUSD BF'!$P$75</f>
        <v>0</v>
      </c>
      <c r="Q39" s="13">
        <f>'TUSD BE'!$Q$39*'TUSD BF'!$Q$75</f>
        <v>0</v>
      </c>
      <c r="R39" s="13">
        <f>'TUSD BE'!$R$39*'TUSD BF'!$R$75</f>
        <v>0</v>
      </c>
      <c r="S39" s="13">
        <f>'TUSD BE'!$R$39*'TUSD BF'!$S$75</f>
        <v>0</v>
      </c>
      <c r="T39" s="13">
        <f ca="1">SUM($L$39:$S$39)</f>
        <v>0</v>
      </c>
      <c r="U39" s="13">
        <f>'TUSD BE'!$U$39*'TUSD BF'!$U$75</f>
        <v>2.3449866847410208</v>
      </c>
      <c r="V39" s="13">
        <f>'TUSD BE'!$V$39*'TUSD BF'!$V$75</f>
        <v>2.5542098160531044</v>
      </c>
      <c r="W39" s="13">
        <f>'TUSD BE'!$W$39*'TUSD BF'!$W$75</f>
        <v>0</v>
      </c>
      <c r="X39" s="13">
        <f>'TUSD BE'!$X$39*'TUSD BF'!$X$75</f>
        <v>0</v>
      </c>
      <c r="Y39" s="13">
        <f>'TUSD BE'!$Y$39*'TUSD BF'!$Y$75</f>
        <v>0</v>
      </c>
      <c r="Z39" s="13">
        <f>'TUSD BE'!$Z$39*'TUSD BF'!$Z$75</f>
        <v>0</v>
      </c>
      <c r="AA39" s="13">
        <f>'TUSD BE'!$AA$39*'TUSD BF'!$AA$75</f>
        <v>0</v>
      </c>
      <c r="AB39" s="13">
        <f>SUM($U$39:$AA$39)</f>
        <v>4.8991965007941252</v>
      </c>
      <c r="AC39" s="13">
        <f>'TUSD BE'!$AC$39*'TUSD BF'!$AC$75</f>
        <v>0</v>
      </c>
      <c r="AD39" s="13">
        <f>SUM($AC$39:$AC$39)</f>
        <v>0</v>
      </c>
      <c r="AE39" s="13">
        <f ca="1">$AO$39*$AO$72</f>
        <v>0</v>
      </c>
      <c r="AF39" s="13">
        <f ca="1">$AP$39*$AP$72</f>
        <v>0</v>
      </c>
      <c r="AG39" s="13">
        <f ca="1">SUM($AE$39:$AF$39)</f>
        <v>0</v>
      </c>
      <c r="AH39" s="13">
        <f>'TUSD BE'!$AH$39*'TUSD BF'!$AH$75</f>
        <v>-0.37057281817901716</v>
      </c>
      <c r="AI39" s="13">
        <f>'TUSD BE'!$AI$39*'TUSD BF'!$AI$75</f>
        <v>-1.7134941251558823E-2</v>
      </c>
      <c r="AJ39" s="13">
        <f ca="1">'TUSD BE'!$AJ$39*'TUSD BF'!$AJ$75</f>
        <v>-0.35799408591381504</v>
      </c>
      <c r="AK39" s="13">
        <f ca="1">'TUSD BE'!$AK$39*'TUSD BF'!$AK$75</f>
        <v>0</v>
      </c>
      <c r="AL39" s="13">
        <f ca="1">SUM($AH$39:$AK$39)</f>
        <v>-0.7457018453443911</v>
      </c>
      <c r="AM39" s="13">
        <f ca="1">SUMIF($L$4:$AL$4,"SUBTOTAL",$L$39:$AL$39)</f>
        <v>4.1534946554497338</v>
      </c>
      <c r="AO39" s="20">
        <f ca="1">+'TUSD BE'!$T$39+'TUSD BE'!$AB$39+'TUSD BE'!$AD$39+'TUSD BE'!$AL$39</f>
        <v>449.34581910583387</v>
      </c>
      <c r="AP39" s="20">
        <f ca="1">+'TUSD BE'!$T$39+'TUSD BE'!$AB$39+'TUSD BE'!$AD$39+'TUSD BE'!$AL$39</f>
        <v>449.34581910583387</v>
      </c>
    </row>
    <row r="40" spans="1:42" ht="11.25" customHeight="1" x14ac:dyDescent="0.25">
      <c r="A40" s="107"/>
      <c r="B40" s="107"/>
      <c r="C40" s="107"/>
      <c r="D40" s="17" t="s">
        <v>33</v>
      </c>
      <c r="E40" s="17" t="s">
        <v>25</v>
      </c>
      <c r="F40" s="17" t="s">
        <v>25</v>
      </c>
      <c r="G40" s="18" t="s">
        <v>88</v>
      </c>
      <c r="H40" s="18" t="s">
        <v>82</v>
      </c>
      <c r="I40" s="18">
        <f>'MERCADO TUSD'!$U$37</f>
        <v>35563.447</v>
      </c>
      <c r="J40" s="15"/>
      <c r="L40" s="13">
        <f>'TUSD BE'!$L$40*'TUSD BF'!$L$75</f>
        <v>0</v>
      </c>
      <c r="M40" s="13">
        <f>'TUSD BE'!$M$40*'TUSD BF'!$M$75</f>
        <v>0</v>
      </c>
      <c r="N40" s="13">
        <f ca="1">'TUSD BE'!$N$40*'TUSD BF'!$N$75</f>
        <v>0</v>
      </c>
      <c r="O40" s="13">
        <f>'TUSD BE'!$O$40*'TUSD BF'!$O$75</f>
        <v>0</v>
      </c>
      <c r="P40" s="13">
        <f>'TUSD BE'!$P$40*'TUSD BF'!$P$75</f>
        <v>0</v>
      </c>
      <c r="Q40" s="13">
        <f>'TUSD BE'!$Q$40*'TUSD BF'!$Q$75</f>
        <v>0</v>
      </c>
      <c r="R40" s="13">
        <f>'TUSD BE'!$R$40*'TUSD BF'!$R$75</f>
        <v>0</v>
      </c>
      <c r="S40" s="13">
        <f>'TUSD BE'!$R$40*'TUSD BF'!$S$75</f>
        <v>0</v>
      </c>
      <c r="T40" s="13">
        <f ca="1">SUM($L$40:$S$40)</f>
        <v>0</v>
      </c>
      <c r="U40" s="13">
        <f>'TUSD BE'!$U$40*'TUSD BF'!$U$75</f>
        <v>2.3449866847410208</v>
      </c>
      <c r="V40" s="13">
        <f>'TUSD BE'!$V$40*'TUSD BF'!$V$75</f>
        <v>2.5542098160531044</v>
      </c>
      <c r="W40" s="13">
        <f>'TUSD BE'!$W$40*'TUSD BF'!$W$75</f>
        <v>0</v>
      </c>
      <c r="X40" s="13">
        <f>'TUSD BE'!$X$40*'TUSD BF'!$X$75</f>
        <v>0</v>
      </c>
      <c r="Y40" s="13">
        <f>'TUSD BE'!$Y$40*'TUSD BF'!$Y$75</f>
        <v>0</v>
      </c>
      <c r="Z40" s="13">
        <f>'TUSD BE'!$Z$40*'TUSD BF'!$Z$75</f>
        <v>0</v>
      </c>
      <c r="AA40" s="13">
        <f>'TUSD BE'!$AA$40*'TUSD BF'!$AA$75</f>
        <v>0</v>
      </c>
      <c r="AB40" s="13">
        <f>SUM($U$40:$AA$40)</f>
        <v>4.8991965007941252</v>
      </c>
      <c r="AC40" s="13">
        <f>'TUSD BE'!$AC$40*'TUSD BF'!$AC$75</f>
        <v>0</v>
      </c>
      <c r="AD40" s="13">
        <f>SUM($AC$40:$AC$40)</f>
        <v>0</v>
      </c>
      <c r="AE40" s="13">
        <f ca="1">$AO$40*$AO$72</f>
        <v>0</v>
      </c>
      <c r="AF40" s="13">
        <f ca="1">$AP$40*$AP$72</f>
        <v>0</v>
      </c>
      <c r="AG40" s="13">
        <f ca="1">SUM($AE$40:$AF$40)</f>
        <v>0</v>
      </c>
      <c r="AH40" s="13">
        <f>'TUSD BE'!$AH$40*'TUSD BF'!$AH$75</f>
        <v>-0.37057281817901716</v>
      </c>
      <c r="AI40" s="13">
        <f>'TUSD BE'!$AI$40*'TUSD BF'!$AI$75</f>
        <v>-1.7134941251558823E-2</v>
      </c>
      <c r="AJ40" s="13">
        <f ca="1">'TUSD BE'!$AJ$40*'TUSD BF'!$AJ$75</f>
        <v>-0.35799408591381504</v>
      </c>
      <c r="AK40" s="13">
        <f ca="1">'TUSD BE'!$AK$40*'TUSD BF'!$AK$75</f>
        <v>0</v>
      </c>
      <c r="AL40" s="13">
        <f ca="1">SUM($AH$40:$AK$40)</f>
        <v>-0.7457018453443911</v>
      </c>
      <c r="AM40" s="13">
        <f ca="1">SUMIF($L$4:$AL$4,"SUBTOTAL",$L$40:$AL$40)</f>
        <v>4.1534946554497338</v>
      </c>
      <c r="AO40" s="20">
        <f ca="1">+'TUSD BE'!$T$40+'TUSD BE'!$AB$40+'TUSD BE'!$AD$40+'TUSD BE'!$AL$40</f>
        <v>449.34581910583387</v>
      </c>
      <c r="AP40" s="20">
        <f ca="1">+'TUSD BE'!$T$40+'TUSD BE'!$AB$40+'TUSD BE'!$AD$40+'TUSD BE'!$AL$40</f>
        <v>449.34581910583387</v>
      </c>
    </row>
    <row r="41" spans="1:42" ht="11.25" customHeight="1" x14ac:dyDescent="0.25">
      <c r="A41" s="107"/>
      <c r="B41" s="107"/>
      <c r="C41" s="107"/>
      <c r="D41" s="17" t="s">
        <v>34</v>
      </c>
      <c r="E41" s="17" t="s">
        <v>25</v>
      </c>
      <c r="F41" s="17" t="s">
        <v>25</v>
      </c>
      <c r="G41" s="18" t="s">
        <v>88</v>
      </c>
      <c r="H41" s="18" t="s">
        <v>82</v>
      </c>
      <c r="I41" s="18">
        <f>'MERCADO TUSD'!$U$38</f>
        <v>18122.502</v>
      </c>
      <c r="J41" s="15"/>
      <c r="L41" s="13">
        <f>'TUSD BE'!$L$41*'TUSD BF'!$L$75</f>
        <v>0</v>
      </c>
      <c r="M41" s="13">
        <f>'TUSD BE'!$M$41*'TUSD BF'!$M$75</f>
        <v>0</v>
      </c>
      <c r="N41" s="13">
        <f ca="1">'TUSD BE'!$N$41*'TUSD BF'!$N$75</f>
        <v>0</v>
      </c>
      <c r="O41" s="13">
        <f>'TUSD BE'!$O$41*'TUSD BF'!$O$75</f>
        <v>0</v>
      </c>
      <c r="P41" s="13">
        <f>'TUSD BE'!$P$41*'TUSD BF'!$P$75</f>
        <v>0</v>
      </c>
      <c r="Q41" s="13">
        <f>'TUSD BE'!$Q$41*'TUSD BF'!$Q$75</f>
        <v>0</v>
      </c>
      <c r="R41" s="13">
        <f>'TUSD BE'!$R$41*'TUSD BF'!$R$75</f>
        <v>0</v>
      </c>
      <c r="S41" s="13">
        <f>'TUSD BE'!$R$41*'TUSD BF'!$S$75</f>
        <v>0</v>
      </c>
      <c r="T41" s="13">
        <f ca="1">SUM($L$41:$S$41)</f>
        <v>0</v>
      </c>
      <c r="U41" s="13">
        <f>'TUSD BE'!$U$41*'TUSD BF'!$U$75</f>
        <v>2.3449866847410208</v>
      </c>
      <c r="V41" s="13">
        <f>'TUSD BE'!$V$41*'TUSD BF'!$V$75</f>
        <v>2.5542098160531044</v>
      </c>
      <c r="W41" s="13">
        <f>'TUSD BE'!$W$41*'TUSD BF'!$W$75</f>
        <v>0</v>
      </c>
      <c r="X41" s="13">
        <f>'TUSD BE'!$X$41*'TUSD BF'!$X$75</f>
        <v>0</v>
      </c>
      <c r="Y41" s="13">
        <f>'TUSD BE'!$Y$41*'TUSD BF'!$Y$75</f>
        <v>0</v>
      </c>
      <c r="Z41" s="13">
        <f>'TUSD BE'!$Z$41*'TUSD BF'!$Z$75</f>
        <v>0</v>
      </c>
      <c r="AA41" s="13">
        <f>'TUSD BE'!$AA$41*'TUSD BF'!$AA$75</f>
        <v>0</v>
      </c>
      <c r="AB41" s="13">
        <f>SUM($U$41:$AA$41)</f>
        <v>4.8991965007941252</v>
      </c>
      <c r="AC41" s="13">
        <f>'TUSD BE'!$AC$41*'TUSD BF'!$AC$75</f>
        <v>0</v>
      </c>
      <c r="AD41" s="13">
        <f>SUM($AC$41:$AC$41)</f>
        <v>0</v>
      </c>
      <c r="AE41" s="13">
        <f ca="1">$AO$41*$AO$72</f>
        <v>0</v>
      </c>
      <c r="AF41" s="13">
        <f ca="1">$AP$41*$AP$72</f>
        <v>0</v>
      </c>
      <c r="AG41" s="13">
        <f ca="1">SUM($AE$41:$AF$41)</f>
        <v>0</v>
      </c>
      <c r="AH41" s="13">
        <f>'TUSD BE'!$AH$41*'TUSD BF'!$AH$75</f>
        <v>-0.37057281817901716</v>
      </c>
      <c r="AI41" s="13">
        <f>'TUSD BE'!$AI$41*'TUSD BF'!$AI$75</f>
        <v>-1.7134941251558823E-2</v>
      </c>
      <c r="AJ41" s="13">
        <f ca="1">'TUSD BE'!$AJ$41*'TUSD BF'!$AJ$75</f>
        <v>-0.35799408591381504</v>
      </c>
      <c r="AK41" s="13">
        <f ca="1">'TUSD BE'!$AK$41*'TUSD BF'!$AK$75</f>
        <v>0</v>
      </c>
      <c r="AL41" s="13">
        <f ca="1">SUM($AH$41:$AK$41)</f>
        <v>-0.7457018453443911</v>
      </c>
      <c r="AM41" s="13">
        <f ca="1">SUMIF($L$4:$AL$4,"SUBTOTAL",$L$41:$AL$41)</f>
        <v>4.1534946554497338</v>
      </c>
      <c r="AO41" s="20">
        <f ca="1">+'TUSD BE'!$T$41+'TUSD BE'!$AB$41+'TUSD BE'!$AD$41+'TUSD BE'!$AL$41</f>
        <v>449.34581910583387</v>
      </c>
      <c r="AP41" s="20">
        <f ca="1">+'TUSD BE'!$T$41+'TUSD BE'!$AB$41+'TUSD BE'!$AD$41+'TUSD BE'!$AL$41</f>
        <v>449.34581910583387</v>
      </c>
    </row>
    <row r="42" spans="1:42" ht="11.25" customHeight="1" x14ac:dyDescent="0.25">
      <c r="A42" s="107"/>
      <c r="B42" s="107" t="s">
        <v>100</v>
      </c>
      <c r="C42" s="107" t="s">
        <v>24</v>
      </c>
      <c r="D42" s="17" t="s">
        <v>24</v>
      </c>
      <c r="E42" s="17" t="s">
        <v>25</v>
      </c>
      <c r="F42" s="17" t="s">
        <v>25</v>
      </c>
      <c r="G42" s="18" t="s">
        <v>88</v>
      </c>
      <c r="H42" s="18" t="s">
        <v>82</v>
      </c>
      <c r="I42" s="18">
        <f>'MERCADO TUSD'!$U$39</f>
        <v>0</v>
      </c>
      <c r="J42" s="15"/>
      <c r="L42" s="13">
        <f>'TUSD BE'!$L$42*'TUSD BF'!$L$75</f>
        <v>0.85171569784117518</v>
      </c>
      <c r="M42" s="13">
        <f>'TUSD BE'!$M$42*'TUSD BF'!$M$75</f>
        <v>0</v>
      </c>
      <c r="N42" s="13">
        <f ca="1">'TUSD BE'!$N$42*'TUSD BF'!$N$75</f>
        <v>0</v>
      </c>
      <c r="O42" s="13">
        <f>'TUSD BE'!$O$42*'TUSD BF'!$O$75</f>
        <v>0</v>
      </c>
      <c r="P42" s="13">
        <f>'TUSD BE'!$P$42*'TUSD BF'!$P$75</f>
        <v>0</v>
      </c>
      <c r="Q42" s="13">
        <f>'TUSD BE'!$Q$42*'TUSD BF'!$Q$75</f>
        <v>13.913510269651347</v>
      </c>
      <c r="R42" s="13">
        <f>'TUSD BE'!$R$42*'TUSD BF'!$R$75</f>
        <v>5.0442222398398489</v>
      </c>
      <c r="S42" s="13">
        <f>'TUSD BE'!$R$42*'TUSD BF'!$S$75</f>
        <v>0</v>
      </c>
      <c r="T42" s="13">
        <f ca="1">SUM($L$42:$S$42)</f>
        <v>19.809448207332373</v>
      </c>
      <c r="U42" s="13">
        <f>'TUSD BE'!$U$42*'TUSD BF'!$U$75</f>
        <v>2.3449866847410208</v>
      </c>
      <c r="V42" s="13">
        <f>'TUSD BE'!$V$42*'TUSD BF'!$V$75</f>
        <v>2.5542098160531044</v>
      </c>
      <c r="W42" s="13">
        <f>'TUSD BE'!$W$42*'TUSD BF'!$W$75</f>
        <v>0</v>
      </c>
      <c r="X42" s="13">
        <f>'TUSD BE'!$X$42*'TUSD BF'!$X$75</f>
        <v>0</v>
      </c>
      <c r="Y42" s="13">
        <f>'TUSD BE'!$Y$42*'TUSD BF'!$Y$75</f>
        <v>0</v>
      </c>
      <c r="Z42" s="13">
        <f>'TUSD BE'!$Z$42*'TUSD BF'!$Z$75</f>
        <v>0</v>
      </c>
      <c r="AA42" s="13">
        <f>'TUSD BE'!$AA$42*'TUSD BF'!$AA$75</f>
        <v>0</v>
      </c>
      <c r="AB42" s="13">
        <f>SUM($U$42:$AA$42)</f>
        <v>4.8991965007941252</v>
      </c>
      <c r="AC42" s="13">
        <f>'TUSD BE'!$AC$42*'TUSD BF'!$AC$75</f>
        <v>0</v>
      </c>
      <c r="AD42" s="13">
        <f>SUM($AC$42:$AC$42)</f>
        <v>0</v>
      </c>
      <c r="AE42" s="13">
        <f ca="1">$AO$42*$AO$72</f>
        <v>0</v>
      </c>
      <c r="AF42" s="13">
        <f ca="1">$AP$42*$AP$72</f>
        <v>0</v>
      </c>
      <c r="AG42" s="13">
        <f ca="1">SUM($AE$42:$AF$42)</f>
        <v>0</v>
      </c>
      <c r="AH42" s="13">
        <f>'TUSD BE'!$AH$42*'TUSD BF'!$AH$75</f>
        <v>-0.37057281817901716</v>
      </c>
      <c r="AI42" s="13">
        <f>'TUSD BE'!$AI$42*'TUSD BF'!$AI$75</f>
        <v>-1.7134941251558823E-2</v>
      </c>
      <c r="AJ42" s="13">
        <f ca="1">'TUSD BE'!$AJ$42*'TUSD BF'!$AJ$75</f>
        <v>-0.35799408591381504</v>
      </c>
      <c r="AK42" s="13">
        <f ca="1">'TUSD BE'!$AK$42*'TUSD BF'!$AK$75</f>
        <v>0</v>
      </c>
      <c r="AL42" s="13">
        <f ca="1">SUM($AH$42:$AK$42)</f>
        <v>-0.7457018453443911</v>
      </c>
      <c r="AM42" s="13">
        <f ca="1">SUMIF($L$4:$AL$4,"SUBTOTAL",$L$42:$AL$42)</f>
        <v>23.962942862782107</v>
      </c>
      <c r="AO42" s="20">
        <f ca="1">+'TUSD BE'!$T$42+'TUSD BE'!$AB$42+'TUSD BE'!$AD$42+'TUSD BE'!$AL$42</f>
        <v>522.17758251231044</v>
      </c>
      <c r="AP42" s="20">
        <f ca="1">+'TUSD BE'!$T$42+'TUSD BE'!$AB$42+'TUSD BE'!$AD$42+'TUSD BE'!$AL$42</f>
        <v>522.17758251231044</v>
      </c>
    </row>
    <row r="43" spans="1:42" ht="11.25" customHeight="1" x14ac:dyDescent="0.25">
      <c r="A43" s="107"/>
      <c r="B43" s="107"/>
      <c r="C43" s="107"/>
      <c r="D43" s="17" t="s">
        <v>31</v>
      </c>
      <c r="E43" s="17" t="s">
        <v>25</v>
      </c>
      <c r="F43" s="17" t="s">
        <v>25</v>
      </c>
      <c r="G43" s="18" t="s">
        <v>88</v>
      </c>
      <c r="H43" s="18" t="s">
        <v>82</v>
      </c>
      <c r="I43" s="18">
        <f>'MERCADO TUSD'!$U$40</f>
        <v>0</v>
      </c>
      <c r="J43" s="15"/>
      <c r="L43" s="13">
        <f>'TUSD BE'!$L$43*'TUSD BF'!$L$75</f>
        <v>0</v>
      </c>
      <c r="M43" s="13">
        <f>'TUSD BE'!$M$43*'TUSD BF'!$M$75</f>
        <v>0</v>
      </c>
      <c r="N43" s="13">
        <f ca="1">'TUSD BE'!$N$43*'TUSD BF'!$N$75</f>
        <v>0</v>
      </c>
      <c r="O43" s="13">
        <f>'TUSD BE'!$O$43*'TUSD BF'!$O$75</f>
        <v>0</v>
      </c>
      <c r="P43" s="13">
        <f>'TUSD BE'!$P$43*'TUSD BF'!$P$75</f>
        <v>0</v>
      </c>
      <c r="Q43" s="13">
        <f>'TUSD BE'!$Q$43*'TUSD BF'!$Q$75</f>
        <v>0</v>
      </c>
      <c r="R43" s="13">
        <f>'TUSD BE'!$R$43*'TUSD BF'!$R$75</f>
        <v>0</v>
      </c>
      <c r="S43" s="13">
        <f>'TUSD BE'!$R$43*'TUSD BF'!$S$75</f>
        <v>0</v>
      </c>
      <c r="T43" s="13">
        <f ca="1">SUM($L$43:$S$43)</f>
        <v>0</v>
      </c>
      <c r="U43" s="13">
        <f>'TUSD BE'!$U$43*'TUSD BF'!$U$75</f>
        <v>2.3449866847410208</v>
      </c>
      <c r="V43" s="13">
        <f>'TUSD BE'!$V$43*'TUSD BF'!$V$75</f>
        <v>2.5542098160531044</v>
      </c>
      <c r="W43" s="13">
        <f>'TUSD BE'!$W$43*'TUSD BF'!$W$75</f>
        <v>0</v>
      </c>
      <c r="X43" s="13">
        <f>'TUSD BE'!$X$43*'TUSD BF'!$X$75</f>
        <v>0</v>
      </c>
      <c r="Y43" s="13">
        <f>'TUSD BE'!$Y$43*'TUSD BF'!$Y$75</f>
        <v>0</v>
      </c>
      <c r="Z43" s="13">
        <f>'TUSD BE'!$Z$43*'TUSD BF'!$Z$75</f>
        <v>0</v>
      </c>
      <c r="AA43" s="13">
        <f>'TUSD BE'!$AA$43*'TUSD BF'!$AA$75</f>
        <v>0</v>
      </c>
      <c r="AB43" s="13">
        <f>SUM($U$43:$AA$43)</f>
        <v>4.8991965007941252</v>
      </c>
      <c r="AC43" s="13">
        <f>'TUSD BE'!$AC$43*'TUSD BF'!$AC$75</f>
        <v>0</v>
      </c>
      <c r="AD43" s="13">
        <f>SUM($AC$43:$AC$43)</f>
        <v>0</v>
      </c>
      <c r="AE43" s="13">
        <f ca="1">$AO$43*$AO$72</f>
        <v>0</v>
      </c>
      <c r="AF43" s="13">
        <f ca="1">$AP$43*$AP$72</f>
        <v>0</v>
      </c>
      <c r="AG43" s="13">
        <f ca="1">SUM($AE$43:$AF$43)</f>
        <v>0</v>
      </c>
      <c r="AH43" s="13">
        <f>'TUSD BE'!$AH$43*'TUSD BF'!$AH$75</f>
        <v>-0.37057281817901716</v>
      </c>
      <c r="AI43" s="13">
        <f>'TUSD BE'!$AI$43*'TUSD BF'!$AI$75</f>
        <v>-1.7134941251558823E-2</v>
      </c>
      <c r="AJ43" s="13">
        <f ca="1">'TUSD BE'!$AJ$43*'TUSD BF'!$AJ$75</f>
        <v>-0.35799408591381504</v>
      </c>
      <c r="AK43" s="13">
        <f ca="1">'TUSD BE'!$AK$43*'TUSD BF'!$AK$75</f>
        <v>0</v>
      </c>
      <c r="AL43" s="13">
        <f ca="1">SUM($AH$43:$AK$43)</f>
        <v>-0.7457018453443911</v>
      </c>
      <c r="AM43" s="13">
        <f ca="1">SUMIF($L$4:$AL$4,"SUBTOTAL",$L$43:$AL$43)</f>
        <v>4.1534946554497338</v>
      </c>
      <c r="AO43" s="20">
        <f ca="1">+'TUSD BE'!$T$43+'TUSD BE'!$AB$43+'TUSD BE'!$AD$43+'TUSD BE'!$AL$43</f>
        <v>449.34581910583387</v>
      </c>
      <c r="AP43" s="20">
        <f ca="1">+'TUSD BE'!$T$43+'TUSD BE'!$AB$43+'TUSD BE'!$AD$43+'TUSD BE'!$AL$43</f>
        <v>449.34581910583387</v>
      </c>
    </row>
    <row r="44" spans="1:42" ht="11.25" customHeight="1" x14ac:dyDescent="0.25">
      <c r="A44" s="107"/>
      <c r="B44" s="107"/>
      <c r="C44" s="107"/>
      <c r="D44" s="17" t="s">
        <v>32</v>
      </c>
      <c r="E44" s="17" t="s">
        <v>25</v>
      </c>
      <c r="F44" s="17" t="s">
        <v>25</v>
      </c>
      <c r="G44" s="18" t="s">
        <v>88</v>
      </c>
      <c r="H44" s="18" t="s">
        <v>82</v>
      </c>
      <c r="I44" s="18">
        <f>'MERCADO TUSD'!$U$41</f>
        <v>0</v>
      </c>
      <c r="J44" s="15"/>
      <c r="L44" s="13">
        <f>'TUSD BE'!$L$44*'TUSD BF'!$L$75</f>
        <v>0</v>
      </c>
      <c r="M44" s="13">
        <f>'TUSD BE'!$M$44*'TUSD BF'!$M$75</f>
        <v>0</v>
      </c>
      <c r="N44" s="13">
        <f ca="1">'TUSD BE'!$N$44*'TUSD BF'!$N$75</f>
        <v>0</v>
      </c>
      <c r="O44" s="13">
        <f>'TUSD BE'!$O$44*'TUSD BF'!$O$75</f>
        <v>0</v>
      </c>
      <c r="P44" s="13">
        <f>'TUSD BE'!$P$44*'TUSD BF'!$P$75</f>
        <v>0</v>
      </c>
      <c r="Q44" s="13">
        <f>'TUSD BE'!$Q$44*'TUSD BF'!$Q$75</f>
        <v>0</v>
      </c>
      <c r="R44" s="13">
        <f>'TUSD BE'!$R$44*'TUSD BF'!$R$75</f>
        <v>0</v>
      </c>
      <c r="S44" s="13">
        <f>'TUSD BE'!$R$44*'TUSD BF'!$S$75</f>
        <v>0</v>
      </c>
      <c r="T44" s="13">
        <f ca="1">SUM($L$44:$S$44)</f>
        <v>0</v>
      </c>
      <c r="U44" s="13">
        <f>'TUSD BE'!$U$44*'TUSD BF'!$U$75</f>
        <v>2.3449866847410208</v>
      </c>
      <c r="V44" s="13">
        <f>'TUSD BE'!$V$44*'TUSD BF'!$V$75</f>
        <v>2.5542098160531044</v>
      </c>
      <c r="W44" s="13">
        <f>'TUSD BE'!$W$44*'TUSD BF'!$W$75</f>
        <v>0</v>
      </c>
      <c r="X44" s="13">
        <f>'TUSD BE'!$X$44*'TUSD BF'!$X$75</f>
        <v>0</v>
      </c>
      <c r="Y44" s="13">
        <f>'TUSD BE'!$Y$44*'TUSD BF'!$Y$75</f>
        <v>0</v>
      </c>
      <c r="Z44" s="13">
        <f>'TUSD BE'!$Z$44*'TUSD BF'!$Z$75</f>
        <v>0</v>
      </c>
      <c r="AA44" s="13">
        <f>'TUSD BE'!$AA$44*'TUSD BF'!$AA$75</f>
        <v>0</v>
      </c>
      <c r="AB44" s="13">
        <f>SUM($U$44:$AA$44)</f>
        <v>4.8991965007941252</v>
      </c>
      <c r="AC44" s="13">
        <f>'TUSD BE'!$AC$44*'TUSD BF'!$AC$75</f>
        <v>0</v>
      </c>
      <c r="AD44" s="13">
        <f>SUM($AC$44:$AC$44)</f>
        <v>0</v>
      </c>
      <c r="AE44" s="13">
        <f ca="1">$AO$44*$AO$72</f>
        <v>0</v>
      </c>
      <c r="AF44" s="13">
        <f ca="1">$AP$44*$AP$72</f>
        <v>0</v>
      </c>
      <c r="AG44" s="13">
        <f ca="1">SUM($AE$44:$AF$44)</f>
        <v>0</v>
      </c>
      <c r="AH44" s="13">
        <f>'TUSD BE'!$AH$44*'TUSD BF'!$AH$75</f>
        <v>-0.37057281817901716</v>
      </c>
      <c r="AI44" s="13">
        <f>'TUSD BE'!$AI$44*'TUSD BF'!$AI$75</f>
        <v>-1.7134941251558823E-2</v>
      </c>
      <c r="AJ44" s="13">
        <f ca="1">'TUSD BE'!$AJ$44*'TUSD BF'!$AJ$75</f>
        <v>-0.35799408591381504</v>
      </c>
      <c r="AK44" s="13">
        <f ca="1">'TUSD BE'!$AK$44*'TUSD BF'!$AK$75</f>
        <v>0</v>
      </c>
      <c r="AL44" s="13">
        <f ca="1">SUM($AH$44:$AK$44)</f>
        <v>-0.7457018453443911</v>
      </c>
      <c r="AM44" s="13">
        <f ca="1">SUMIF($L$4:$AL$4,"SUBTOTAL",$L$44:$AL$44)</f>
        <v>4.1534946554497338</v>
      </c>
      <c r="AO44" s="20">
        <f ca="1">+'TUSD BE'!$T$44+'TUSD BE'!$AB$44+'TUSD BE'!$AD$44+'TUSD BE'!$AL$44</f>
        <v>449.34581910583387</v>
      </c>
      <c r="AP44" s="20">
        <f ca="1">+'TUSD BE'!$T$44+'TUSD BE'!$AB$44+'TUSD BE'!$AD$44+'TUSD BE'!$AL$44</f>
        <v>449.34581910583387</v>
      </c>
    </row>
    <row r="45" spans="1:42" ht="11.25" customHeight="1" x14ac:dyDescent="0.25">
      <c r="A45" s="107"/>
      <c r="B45" s="107"/>
      <c r="C45" s="107"/>
      <c r="D45" s="17" t="s">
        <v>33</v>
      </c>
      <c r="E45" s="17" t="s">
        <v>25</v>
      </c>
      <c r="F45" s="17" t="s">
        <v>25</v>
      </c>
      <c r="G45" s="18" t="s">
        <v>88</v>
      </c>
      <c r="H45" s="18" t="s">
        <v>82</v>
      </c>
      <c r="I45" s="18">
        <f>'MERCADO TUSD'!$U$42</f>
        <v>0</v>
      </c>
      <c r="J45" s="15"/>
      <c r="L45" s="13">
        <f>'TUSD BE'!$L$45*'TUSD BF'!$L$75</f>
        <v>0</v>
      </c>
      <c r="M45" s="13">
        <f>'TUSD BE'!$M$45*'TUSD BF'!$M$75</f>
        <v>0</v>
      </c>
      <c r="N45" s="13">
        <f ca="1">'TUSD BE'!$N$45*'TUSD BF'!$N$75</f>
        <v>0</v>
      </c>
      <c r="O45" s="13">
        <f>'TUSD BE'!$O$45*'TUSD BF'!$O$75</f>
        <v>0</v>
      </c>
      <c r="P45" s="13">
        <f>'TUSD BE'!$P$45*'TUSD BF'!$P$75</f>
        <v>0</v>
      </c>
      <c r="Q45" s="13">
        <f>'TUSD BE'!$Q$45*'TUSD BF'!$Q$75</f>
        <v>0</v>
      </c>
      <c r="R45" s="13">
        <f>'TUSD BE'!$R$45*'TUSD BF'!$R$75</f>
        <v>0</v>
      </c>
      <c r="S45" s="13">
        <f>'TUSD BE'!$R$45*'TUSD BF'!$S$75</f>
        <v>0</v>
      </c>
      <c r="T45" s="13">
        <f ca="1">SUM($L$45:$S$45)</f>
        <v>0</v>
      </c>
      <c r="U45" s="13">
        <f>'TUSD BE'!$U$45*'TUSD BF'!$U$75</f>
        <v>2.3449866847410208</v>
      </c>
      <c r="V45" s="13">
        <f>'TUSD BE'!$V$45*'TUSD BF'!$V$75</f>
        <v>2.5542098160531044</v>
      </c>
      <c r="W45" s="13">
        <f>'TUSD BE'!$W$45*'TUSD BF'!$W$75</f>
        <v>0</v>
      </c>
      <c r="X45" s="13">
        <f>'TUSD BE'!$X$45*'TUSD BF'!$X$75</f>
        <v>0</v>
      </c>
      <c r="Y45" s="13">
        <f>'TUSD BE'!$Y$45*'TUSD BF'!$Y$75</f>
        <v>0</v>
      </c>
      <c r="Z45" s="13">
        <f>'TUSD BE'!$Z$45*'TUSD BF'!$Z$75</f>
        <v>0</v>
      </c>
      <c r="AA45" s="13">
        <f>'TUSD BE'!$AA$45*'TUSD BF'!$AA$75</f>
        <v>0</v>
      </c>
      <c r="AB45" s="13">
        <f>SUM($U$45:$AA$45)</f>
        <v>4.8991965007941252</v>
      </c>
      <c r="AC45" s="13">
        <f>'TUSD BE'!$AC$45*'TUSD BF'!$AC$75</f>
        <v>0</v>
      </c>
      <c r="AD45" s="13">
        <f>SUM($AC$45:$AC$45)</f>
        <v>0</v>
      </c>
      <c r="AE45" s="13">
        <f ca="1">$AO$45*$AO$72</f>
        <v>0</v>
      </c>
      <c r="AF45" s="13">
        <f ca="1">$AP$45*$AP$72</f>
        <v>0</v>
      </c>
      <c r="AG45" s="13">
        <f ca="1">SUM($AE$45:$AF$45)</f>
        <v>0</v>
      </c>
      <c r="AH45" s="13">
        <f>'TUSD BE'!$AH$45*'TUSD BF'!$AH$75</f>
        <v>-0.37057281817901716</v>
      </c>
      <c r="AI45" s="13">
        <f>'TUSD BE'!$AI$45*'TUSD BF'!$AI$75</f>
        <v>-1.7134941251558823E-2</v>
      </c>
      <c r="AJ45" s="13">
        <f ca="1">'TUSD BE'!$AJ$45*'TUSD BF'!$AJ$75</f>
        <v>-0.35799408591381504</v>
      </c>
      <c r="AK45" s="13">
        <f ca="1">'TUSD BE'!$AK$45*'TUSD BF'!$AK$75</f>
        <v>0</v>
      </c>
      <c r="AL45" s="13">
        <f ca="1">SUM($AH$45:$AK$45)</f>
        <v>-0.7457018453443911</v>
      </c>
      <c r="AM45" s="13">
        <f ca="1">SUMIF($L$4:$AL$4,"SUBTOTAL",$L$45:$AL$45)</f>
        <v>4.1534946554497338</v>
      </c>
      <c r="AO45" s="20">
        <f ca="1">+'TUSD BE'!$T$45+'TUSD BE'!$AB$45+'TUSD BE'!$AD$45+'TUSD BE'!$AL$45</f>
        <v>449.34581910583387</v>
      </c>
      <c r="AP45" s="20">
        <f ca="1">+'TUSD BE'!$T$45+'TUSD BE'!$AB$45+'TUSD BE'!$AD$45+'TUSD BE'!$AL$45</f>
        <v>449.34581910583387</v>
      </c>
    </row>
    <row r="46" spans="1:42" ht="11.25" customHeight="1" x14ac:dyDescent="0.25">
      <c r="A46" s="107"/>
      <c r="B46" s="107"/>
      <c r="C46" s="107"/>
      <c r="D46" s="17" t="s">
        <v>34</v>
      </c>
      <c r="E46" s="17" t="s">
        <v>25</v>
      </c>
      <c r="F46" s="17" t="s">
        <v>25</v>
      </c>
      <c r="G46" s="18" t="s">
        <v>88</v>
      </c>
      <c r="H46" s="18" t="s">
        <v>82</v>
      </c>
      <c r="I46" s="18">
        <f>'MERCADO TUSD'!$U$43</f>
        <v>0</v>
      </c>
      <c r="J46" s="15"/>
      <c r="L46" s="13">
        <f>'TUSD BE'!$L$46*'TUSD BF'!$L$75</f>
        <v>0</v>
      </c>
      <c r="M46" s="13">
        <f>'TUSD BE'!$M$46*'TUSD BF'!$M$75</f>
        <v>0</v>
      </c>
      <c r="N46" s="13">
        <f ca="1">'TUSD BE'!$N$46*'TUSD BF'!$N$75</f>
        <v>0</v>
      </c>
      <c r="O46" s="13">
        <f>'TUSD BE'!$O$46*'TUSD BF'!$O$75</f>
        <v>0</v>
      </c>
      <c r="P46" s="13">
        <f>'TUSD BE'!$P$46*'TUSD BF'!$P$75</f>
        <v>0</v>
      </c>
      <c r="Q46" s="13">
        <f>'TUSD BE'!$Q$46*'TUSD BF'!$Q$75</f>
        <v>0</v>
      </c>
      <c r="R46" s="13">
        <f>'TUSD BE'!$R$46*'TUSD BF'!$R$75</f>
        <v>0</v>
      </c>
      <c r="S46" s="13">
        <f>'TUSD BE'!$R$46*'TUSD BF'!$S$75</f>
        <v>0</v>
      </c>
      <c r="T46" s="13">
        <f ca="1">SUM($L$46:$S$46)</f>
        <v>0</v>
      </c>
      <c r="U46" s="13">
        <f>'TUSD BE'!$U$46*'TUSD BF'!$U$75</f>
        <v>2.3449866847410208</v>
      </c>
      <c r="V46" s="13">
        <f>'TUSD BE'!$V$46*'TUSD BF'!$V$75</f>
        <v>2.5542098160531044</v>
      </c>
      <c r="W46" s="13">
        <f>'TUSD BE'!$W$46*'TUSD BF'!$W$75</f>
        <v>0</v>
      </c>
      <c r="X46" s="13">
        <f>'TUSD BE'!$X$46*'TUSD BF'!$X$75</f>
        <v>0</v>
      </c>
      <c r="Y46" s="13">
        <f>'TUSD BE'!$Y$46*'TUSD BF'!$Y$75</f>
        <v>0</v>
      </c>
      <c r="Z46" s="13">
        <f>'TUSD BE'!$Z$46*'TUSD BF'!$Z$75</f>
        <v>0</v>
      </c>
      <c r="AA46" s="13">
        <f>'TUSD BE'!$AA$46*'TUSD BF'!$AA$75</f>
        <v>0</v>
      </c>
      <c r="AB46" s="13">
        <f>SUM($U$46:$AA$46)</f>
        <v>4.8991965007941252</v>
      </c>
      <c r="AC46" s="13">
        <f>'TUSD BE'!$AC$46*'TUSD BF'!$AC$75</f>
        <v>0</v>
      </c>
      <c r="AD46" s="13">
        <f>SUM($AC$46:$AC$46)</f>
        <v>0</v>
      </c>
      <c r="AE46" s="13">
        <f ca="1">$AO$46*$AO$72</f>
        <v>0</v>
      </c>
      <c r="AF46" s="13">
        <f ca="1">$AP$46*$AP$72</f>
        <v>0</v>
      </c>
      <c r="AG46" s="13">
        <f ca="1">SUM($AE$46:$AF$46)</f>
        <v>0</v>
      </c>
      <c r="AH46" s="13">
        <f>'TUSD BE'!$AH$46*'TUSD BF'!$AH$75</f>
        <v>-0.37057281817901716</v>
      </c>
      <c r="AI46" s="13">
        <f>'TUSD BE'!$AI$46*'TUSD BF'!$AI$75</f>
        <v>-1.7134941251558823E-2</v>
      </c>
      <c r="AJ46" s="13">
        <f ca="1">'TUSD BE'!$AJ$46*'TUSD BF'!$AJ$75</f>
        <v>-0.35799408591381504</v>
      </c>
      <c r="AK46" s="13">
        <f ca="1">'TUSD BE'!$AK$46*'TUSD BF'!$AK$75</f>
        <v>0</v>
      </c>
      <c r="AL46" s="13">
        <f ca="1">SUM($AH$46:$AK$46)</f>
        <v>-0.7457018453443911</v>
      </c>
      <c r="AM46" s="13">
        <f ca="1">SUMIF($L$4:$AL$4,"SUBTOTAL",$L$46:$AL$46)</f>
        <v>4.1534946554497338</v>
      </c>
      <c r="AO46" s="20">
        <f ca="1">+'TUSD BE'!$T$46+'TUSD BE'!$AB$46+'TUSD BE'!$AD$46+'TUSD BE'!$AL$46</f>
        <v>449.34581910583387</v>
      </c>
      <c r="AP46" s="20">
        <f ca="1">+'TUSD BE'!$T$46+'TUSD BE'!$AB$46+'TUSD BE'!$AD$46+'TUSD BE'!$AL$46</f>
        <v>449.34581910583387</v>
      </c>
    </row>
    <row r="47" spans="1:42" ht="11.25" customHeight="1" x14ac:dyDescent="0.25">
      <c r="A47" s="107" t="s">
        <v>46</v>
      </c>
      <c r="B47" s="107" t="s">
        <v>35</v>
      </c>
      <c r="C47" s="107" t="s">
        <v>47</v>
      </c>
      <c r="D47" s="107" t="s">
        <v>25</v>
      </c>
      <c r="E47" s="107" t="s">
        <v>25</v>
      </c>
      <c r="F47" s="107" t="s">
        <v>25</v>
      </c>
      <c r="G47" s="18" t="s">
        <v>83</v>
      </c>
      <c r="H47" s="18" t="s">
        <v>82</v>
      </c>
      <c r="I47" s="18">
        <f>'MERCADO TUSD'!$U$44</f>
        <v>3.4330000000000007</v>
      </c>
      <c r="J47" s="15"/>
      <c r="L47" s="13">
        <f>'TUSD BE'!$L$47*'TUSD BF'!$L$75</f>
        <v>0.85171569784117518</v>
      </c>
      <c r="M47" s="13">
        <f>'TUSD BE'!$M$47*'TUSD BF'!$M$75</f>
        <v>0</v>
      </c>
      <c r="N47" s="13">
        <f ca="1">'TUSD BE'!$N$47*'TUSD BF'!$N$75</f>
        <v>0</v>
      </c>
      <c r="O47" s="13">
        <f>'TUSD BE'!$O$47*'TUSD BF'!$O$75</f>
        <v>0</v>
      </c>
      <c r="P47" s="13">
        <f>'TUSD BE'!$P$47*'TUSD BF'!$P$75</f>
        <v>0</v>
      </c>
      <c r="Q47" s="13">
        <f>'TUSD BE'!$Q$47*'TUSD BF'!$Q$75</f>
        <v>13.913510269651347</v>
      </c>
      <c r="R47" s="13">
        <f>'TUSD BE'!$R$47*'TUSD BF'!$R$75</f>
        <v>5.0442222398398489</v>
      </c>
      <c r="S47" s="13">
        <f>'TUSD BE'!$R$47*'TUSD BF'!$S$75</f>
        <v>0</v>
      </c>
      <c r="T47" s="13">
        <f ca="1">SUM($L$47:$S$47)</f>
        <v>19.809448207332373</v>
      </c>
      <c r="U47" s="13">
        <f>'TUSD BE'!$U$47*'TUSD BF'!$U$75</f>
        <v>7.1521895895181622</v>
      </c>
      <c r="V47" s="13">
        <f>'TUSD BE'!$V$47*'TUSD BF'!$V$75</f>
        <v>7.7903116719210654</v>
      </c>
      <c r="W47" s="13">
        <f>'TUSD BE'!$W$47*'TUSD BF'!$W$75</f>
        <v>0</v>
      </c>
      <c r="X47" s="13">
        <f>'TUSD BE'!$X$47*'TUSD BF'!$X$75</f>
        <v>0</v>
      </c>
      <c r="Y47" s="13">
        <f>'TUSD BE'!$Y$47*'TUSD BF'!$Y$75</f>
        <v>0</v>
      </c>
      <c r="Z47" s="13">
        <f>'TUSD BE'!$Z$47*'TUSD BF'!$Z$75</f>
        <v>0</v>
      </c>
      <c r="AA47" s="13">
        <f>'TUSD BE'!$AA$47*'TUSD BF'!$AA$75</f>
        <v>0</v>
      </c>
      <c r="AB47" s="13">
        <f>SUM($U$47:$AA$47)</f>
        <v>14.942501261439228</v>
      </c>
      <c r="AC47" s="13">
        <f>'TUSD BE'!$AC$47*'TUSD BF'!$AC$75</f>
        <v>0</v>
      </c>
      <c r="AD47" s="13">
        <f>SUM($AC$47:$AC$47)</f>
        <v>0</v>
      </c>
      <c r="AE47" s="13">
        <f ca="1">$AO$47*$AO$72</f>
        <v>0</v>
      </c>
      <c r="AF47" s="13">
        <f ca="1">$AP$47*$AP$72</f>
        <v>0</v>
      </c>
      <c r="AG47" s="13">
        <f ca="1">SUM($AE$47:$AF$47)</f>
        <v>0</v>
      </c>
      <c r="AH47" s="13">
        <f>'TUSD BE'!$AH$47*'TUSD BF'!$AH$75</f>
        <v>-0.37057281817901716</v>
      </c>
      <c r="AI47" s="13">
        <f>'TUSD BE'!$AI$47*'TUSD BF'!$AI$75</f>
        <v>-1.7134941251558823E-2</v>
      </c>
      <c r="AJ47" s="13">
        <f ca="1">'TUSD BE'!$AJ$47*'TUSD BF'!$AJ$75</f>
        <v>-0.35799408591381504</v>
      </c>
      <c r="AK47" s="13">
        <f ca="1">'TUSD BE'!$AK$47*'TUSD BF'!$AK$75</f>
        <v>0</v>
      </c>
      <c r="AL47" s="13">
        <f ca="1">SUM($AH$47:$AK$47)</f>
        <v>-0.7457018453443911</v>
      </c>
      <c r="AM47" s="13">
        <f ca="1">SUMIF($L$4:$AL$4,"SUBTOTAL",$L$47:$AL$47)</f>
        <v>34.006247623427207</v>
      </c>
      <c r="AO47" s="20">
        <f ca="1">+'TUSD BE'!$T$47+'TUSD BE'!$AB$47+'TUSD BE'!$AD$47+'TUSD BE'!$AL$47</f>
        <v>1293.4356327671589</v>
      </c>
      <c r="AP47" s="20">
        <f ca="1">+'TUSD BE'!$T$47+'TUSD BE'!$AB$47+'TUSD BE'!$AD$47+'TUSD BE'!$AL$47</f>
        <v>1293.4356327671589</v>
      </c>
    </row>
    <row r="48" spans="1:42" ht="11.25" customHeight="1" x14ac:dyDescent="0.25">
      <c r="A48" s="107"/>
      <c r="B48" s="107"/>
      <c r="C48" s="107"/>
      <c r="D48" s="107"/>
      <c r="E48" s="107"/>
      <c r="F48" s="107"/>
      <c r="G48" s="18" t="s">
        <v>98</v>
      </c>
      <c r="H48" s="18" t="s">
        <v>82</v>
      </c>
      <c r="I48" s="18">
        <f>'MERCADO TUSD'!$U$45</f>
        <v>0.54699999999999993</v>
      </c>
      <c r="J48" s="15"/>
      <c r="L48" s="13">
        <f>'TUSD BE'!$L$48*'TUSD BF'!$L$75</f>
        <v>0.85171569784117518</v>
      </c>
      <c r="M48" s="13">
        <f>'TUSD BE'!$M$48*'TUSD BF'!$M$75</f>
        <v>0</v>
      </c>
      <c r="N48" s="13">
        <f ca="1">'TUSD BE'!$N$48*'TUSD BF'!$N$75</f>
        <v>0</v>
      </c>
      <c r="O48" s="13">
        <f>'TUSD BE'!$O$48*'TUSD BF'!$O$75</f>
        <v>0</v>
      </c>
      <c r="P48" s="13">
        <f>'TUSD BE'!$P$48*'TUSD BF'!$P$75</f>
        <v>0</v>
      </c>
      <c r="Q48" s="13">
        <f>'TUSD BE'!$Q$48*'TUSD BF'!$Q$75</f>
        <v>13.913510269651347</v>
      </c>
      <c r="R48" s="13">
        <f>'TUSD BE'!$R$48*'TUSD BF'!$R$75</f>
        <v>5.0442222398398489</v>
      </c>
      <c r="S48" s="13">
        <f>'TUSD BE'!$R$48*'TUSD BF'!$S$75</f>
        <v>0</v>
      </c>
      <c r="T48" s="13">
        <f ca="1">SUM($L$48:$S$48)</f>
        <v>19.809448207332373</v>
      </c>
      <c r="U48" s="13">
        <f>'TUSD BE'!$U$48*'TUSD BF'!$U$75</f>
        <v>4.291321673287678</v>
      </c>
      <c r="V48" s="13">
        <f>'TUSD BE'!$V$48*'TUSD BF'!$V$75</f>
        <v>4.6741813497444582</v>
      </c>
      <c r="W48" s="13">
        <f>'TUSD BE'!$W$48*'TUSD BF'!$W$75</f>
        <v>0</v>
      </c>
      <c r="X48" s="13">
        <f>'TUSD BE'!$X$48*'TUSD BF'!$X$75</f>
        <v>0</v>
      </c>
      <c r="Y48" s="13">
        <f>'TUSD BE'!$Y$48*'TUSD BF'!$Y$75</f>
        <v>0</v>
      </c>
      <c r="Z48" s="13">
        <f>'TUSD BE'!$Z$48*'TUSD BF'!$Z$75</f>
        <v>0</v>
      </c>
      <c r="AA48" s="13">
        <f>'TUSD BE'!$AA$48*'TUSD BF'!$AA$75</f>
        <v>0</v>
      </c>
      <c r="AB48" s="13">
        <f>SUM($U$48:$AA$48)</f>
        <v>8.9655030230321362</v>
      </c>
      <c r="AC48" s="13">
        <f>'TUSD BE'!$AC$48*'TUSD BF'!$AC$75</f>
        <v>0</v>
      </c>
      <c r="AD48" s="13">
        <f>SUM($AC$48:$AC$48)</f>
        <v>0</v>
      </c>
      <c r="AE48" s="13">
        <f ca="1">$AO$48*$AO$72</f>
        <v>0</v>
      </c>
      <c r="AF48" s="13">
        <f ca="1">$AP$48*$AP$72</f>
        <v>0</v>
      </c>
      <c r="AG48" s="13">
        <f ca="1">SUM($AE$48:$AF$48)</f>
        <v>0</v>
      </c>
      <c r="AH48" s="13">
        <f>'TUSD BE'!$AH$48*'TUSD BF'!$AH$75</f>
        <v>-0.37057281817901716</v>
      </c>
      <c r="AI48" s="13">
        <f>'TUSD BE'!$AI$48*'TUSD BF'!$AI$75</f>
        <v>-1.7134941251558823E-2</v>
      </c>
      <c r="AJ48" s="13">
        <f ca="1">'TUSD BE'!$AJ$48*'TUSD BF'!$AJ$75</f>
        <v>-0.35799408591381504</v>
      </c>
      <c r="AK48" s="13">
        <f ca="1">'TUSD BE'!$AK$48*'TUSD BF'!$AK$75</f>
        <v>0</v>
      </c>
      <c r="AL48" s="13">
        <f ca="1">SUM($AH$48:$AK$48)</f>
        <v>-0.7457018453443911</v>
      </c>
      <c r="AM48" s="13">
        <f ca="1">SUMIF($L$4:$AL$4,"SUBTOTAL",$L$48:$AL$48)</f>
        <v>28.029249385020115</v>
      </c>
      <c r="AO48" s="20">
        <f ca="1">+'TUSD BE'!$T$48+'TUSD BE'!$AB$48+'TUSD BE'!$AD$48+'TUSD BE'!$AL$48</f>
        <v>834.44286170716816</v>
      </c>
      <c r="AP48" s="20">
        <f ca="1">+'TUSD BE'!$T$48+'TUSD BE'!$AB$48+'TUSD BE'!$AD$48+'TUSD BE'!$AL$48</f>
        <v>834.44286170716816</v>
      </c>
    </row>
    <row r="49" spans="1:42" ht="11.25" customHeight="1" x14ac:dyDescent="0.25">
      <c r="A49" s="107"/>
      <c r="B49" s="107"/>
      <c r="C49" s="107"/>
      <c r="D49" s="107"/>
      <c r="E49" s="107"/>
      <c r="F49" s="107"/>
      <c r="G49" s="18" t="s">
        <v>84</v>
      </c>
      <c r="H49" s="18" t="s">
        <v>82</v>
      </c>
      <c r="I49" s="18">
        <f>'MERCADO TUSD'!$U$46</f>
        <v>73.387</v>
      </c>
      <c r="J49" s="15"/>
      <c r="L49" s="13">
        <f>'TUSD BE'!$L$49*'TUSD BF'!$L$75</f>
        <v>0.85171569784117518</v>
      </c>
      <c r="M49" s="13">
        <f>'TUSD BE'!$M$49*'TUSD BF'!$M$75</f>
        <v>0</v>
      </c>
      <c r="N49" s="13">
        <f ca="1">'TUSD BE'!$N$49*'TUSD BF'!$N$75</f>
        <v>0</v>
      </c>
      <c r="O49" s="13">
        <f>'TUSD BE'!$O$49*'TUSD BF'!$O$75</f>
        <v>0</v>
      </c>
      <c r="P49" s="13">
        <f>'TUSD BE'!$P$49*'TUSD BF'!$P$75</f>
        <v>0</v>
      </c>
      <c r="Q49" s="13">
        <f>'TUSD BE'!$Q$49*'TUSD BF'!$Q$75</f>
        <v>13.913510269651347</v>
      </c>
      <c r="R49" s="13">
        <f>'TUSD BE'!$R$49*'TUSD BF'!$R$75</f>
        <v>5.0442222398398489</v>
      </c>
      <c r="S49" s="13">
        <f>'TUSD BE'!$R$49*'TUSD BF'!$S$75</f>
        <v>0</v>
      </c>
      <c r="T49" s="13">
        <f ca="1">SUM($L$49:$S$49)</f>
        <v>19.809448207332373</v>
      </c>
      <c r="U49" s="13">
        <f>'TUSD BE'!$U$49*'TUSD BF'!$U$75</f>
        <v>1.4304339581152423</v>
      </c>
      <c r="V49" s="13">
        <f>'TUSD BE'!$V$49*'TUSD BF'!$V$75</f>
        <v>1.5580510275678516</v>
      </c>
      <c r="W49" s="13">
        <f>'TUSD BE'!$W$49*'TUSD BF'!$W$75</f>
        <v>0</v>
      </c>
      <c r="X49" s="13">
        <f>'TUSD BE'!$X$49*'TUSD BF'!$X$75</f>
        <v>0</v>
      </c>
      <c r="Y49" s="13">
        <f>'TUSD BE'!$Y$49*'TUSD BF'!$Y$75</f>
        <v>0</v>
      </c>
      <c r="Z49" s="13">
        <f>'TUSD BE'!$Z$49*'TUSD BF'!$Z$75</f>
        <v>0</v>
      </c>
      <c r="AA49" s="13">
        <f>'TUSD BE'!$AA$49*'TUSD BF'!$AA$75</f>
        <v>0</v>
      </c>
      <c r="AB49" s="13">
        <f>SUM($U$49:$AA$49)</f>
        <v>2.988484985683094</v>
      </c>
      <c r="AC49" s="13">
        <f>'TUSD BE'!$AC$49*'TUSD BF'!$AC$75</f>
        <v>0</v>
      </c>
      <c r="AD49" s="13">
        <f>SUM($AC$49:$AC$49)</f>
        <v>0</v>
      </c>
      <c r="AE49" s="13">
        <f ca="1">$AO$49*$AO$72</f>
        <v>0</v>
      </c>
      <c r="AF49" s="13">
        <f ca="1">$AP$49*$AP$72</f>
        <v>0</v>
      </c>
      <c r="AG49" s="13">
        <f ca="1">SUM($AE$49:$AF$49)</f>
        <v>0</v>
      </c>
      <c r="AH49" s="13">
        <f>'TUSD BE'!$AH$49*'TUSD BF'!$AH$75</f>
        <v>-0.37057281817901716</v>
      </c>
      <c r="AI49" s="13">
        <f>'TUSD BE'!$AI$49*'TUSD BF'!$AI$75</f>
        <v>-1.7134941251558823E-2</v>
      </c>
      <c r="AJ49" s="13">
        <f ca="1">'TUSD BE'!$AJ$49*'TUSD BF'!$AJ$75</f>
        <v>-0.35799408591381504</v>
      </c>
      <c r="AK49" s="13">
        <f ca="1">'TUSD BE'!$AK$49*'TUSD BF'!$AK$75</f>
        <v>0</v>
      </c>
      <c r="AL49" s="13">
        <f ca="1">SUM($AH$49:$AK$49)</f>
        <v>-0.7457018453443911</v>
      </c>
      <c r="AM49" s="13">
        <f ca="1">SUMIF($L$4:$AL$4,"SUBTOTAL",$L$49:$AL$49)</f>
        <v>22.052231347671075</v>
      </c>
      <c r="AO49" s="20">
        <f ca="1">+'TUSD BE'!$T$49+'TUSD BE'!$AB$49+'TUSD BE'!$AD$49+'TUSD BE'!$AL$49</f>
        <v>375.45009159656422</v>
      </c>
      <c r="AP49" s="20">
        <f ca="1">+'TUSD BE'!$T$49+'TUSD BE'!$AB$49+'TUSD BE'!$AD$49+'TUSD BE'!$AL$49</f>
        <v>375.45009159656422</v>
      </c>
    </row>
    <row r="50" spans="1:42" ht="11.25" customHeight="1" x14ac:dyDescent="0.25">
      <c r="A50" s="107"/>
      <c r="B50" s="17" t="s">
        <v>23</v>
      </c>
      <c r="C50" s="17" t="s">
        <v>47</v>
      </c>
      <c r="D50" s="17" t="s">
        <v>25</v>
      </c>
      <c r="E50" s="17" t="s">
        <v>25</v>
      </c>
      <c r="F50" s="17" t="s">
        <v>25</v>
      </c>
      <c r="G50" s="18" t="s">
        <v>88</v>
      </c>
      <c r="H50" s="18" t="s">
        <v>82</v>
      </c>
      <c r="I50" s="18">
        <f>'MERCADO TUSD'!$U$47</f>
        <v>45841.400999999998</v>
      </c>
      <c r="J50" s="15"/>
      <c r="L50" s="13">
        <f>'TUSD BE'!$L$50*'TUSD BF'!$L$75</f>
        <v>0.85171569784117518</v>
      </c>
      <c r="M50" s="13">
        <f>'TUSD BE'!$M$50*'TUSD BF'!$M$75</f>
        <v>0</v>
      </c>
      <c r="N50" s="13">
        <f ca="1">'TUSD BE'!$N$50*'TUSD BF'!$N$75</f>
        <v>0</v>
      </c>
      <c r="O50" s="13">
        <f>'TUSD BE'!$O$50*'TUSD BF'!$O$75</f>
        <v>0</v>
      </c>
      <c r="P50" s="13">
        <f>'TUSD BE'!$P$50*'TUSD BF'!$P$75</f>
        <v>0</v>
      </c>
      <c r="Q50" s="13">
        <f>'TUSD BE'!$Q$50*'TUSD BF'!$Q$75</f>
        <v>13.913510269651347</v>
      </c>
      <c r="R50" s="13">
        <f>'TUSD BE'!$R$50*'TUSD BF'!$R$75</f>
        <v>5.0442222398398489</v>
      </c>
      <c r="S50" s="13">
        <f>'TUSD BE'!$R$50*'TUSD BF'!$S$75</f>
        <v>0</v>
      </c>
      <c r="T50" s="13">
        <f ca="1">SUM($L$50:$S$50)</f>
        <v>19.809448207332373</v>
      </c>
      <c r="U50" s="13">
        <f>'TUSD BE'!$U$50*'TUSD BF'!$U$75</f>
        <v>2.3449866847410208</v>
      </c>
      <c r="V50" s="13">
        <f>'TUSD BE'!$V$50*'TUSD BF'!$V$75</f>
        <v>2.5542098160531044</v>
      </c>
      <c r="W50" s="13">
        <f>'TUSD BE'!$W$50*'TUSD BF'!$W$75</f>
        <v>0</v>
      </c>
      <c r="X50" s="13">
        <f>'TUSD BE'!$X$50*'TUSD BF'!$X$75</f>
        <v>0</v>
      </c>
      <c r="Y50" s="13">
        <f>'TUSD BE'!$Y$50*'TUSD BF'!$Y$75</f>
        <v>0</v>
      </c>
      <c r="Z50" s="13">
        <f>'TUSD BE'!$Z$50*'TUSD BF'!$Z$75</f>
        <v>0</v>
      </c>
      <c r="AA50" s="13">
        <f>'TUSD BE'!$AA$50*'TUSD BF'!$AA$75</f>
        <v>0</v>
      </c>
      <c r="AB50" s="13">
        <f>SUM($U$50:$AA$50)</f>
        <v>4.8991965007941252</v>
      </c>
      <c r="AC50" s="13">
        <f>'TUSD BE'!$AC$50*'TUSD BF'!$AC$75</f>
        <v>0</v>
      </c>
      <c r="AD50" s="13">
        <f>SUM($AC$50:$AC$50)</f>
        <v>0</v>
      </c>
      <c r="AE50" s="13">
        <f ca="1">$AO$50*$AO$72</f>
        <v>0</v>
      </c>
      <c r="AF50" s="13">
        <f ca="1">$AP$50*$AP$72</f>
        <v>0</v>
      </c>
      <c r="AG50" s="13">
        <f ca="1">SUM($AE$50:$AF$50)</f>
        <v>0</v>
      </c>
      <c r="AH50" s="13">
        <f>'TUSD BE'!$AH$50*'TUSD BF'!$AH$75</f>
        <v>-0.37057281817901716</v>
      </c>
      <c r="AI50" s="13">
        <f>'TUSD BE'!$AI$50*'TUSD BF'!$AI$75</f>
        <v>-1.7134941251558823E-2</v>
      </c>
      <c r="AJ50" s="13">
        <f ca="1">'TUSD BE'!$AJ$50*'TUSD BF'!$AJ$75</f>
        <v>-0.35799408591381504</v>
      </c>
      <c r="AK50" s="13">
        <f ca="1">'TUSD BE'!$AK$50*'TUSD BF'!$AK$75</f>
        <v>0</v>
      </c>
      <c r="AL50" s="13">
        <f ca="1">SUM($AH$50:$AK$50)</f>
        <v>-0.7457018453443911</v>
      </c>
      <c r="AM50" s="13">
        <f ca="1">SUMIF($L$4:$AL$4,"SUBTOTAL",$L$50:$AL$50)</f>
        <v>23.962942862782107</v>
      </c>
      <c r="AO50" s="20">
        <f ca="1">+'TUSD BE'!$T$50+'TUSD BE'!$AB$50+'TUSD BE'!$AD$50+'TUSD BE'!$AL$50</f>
        <v>522.17758251231044</v>
      </c>
      <c r="AP50" s="20">
        <f ca="1">+'TUSD BE'!$T$50+'TUSD BE'!$AB$50+'TUSD BE'!$AD$50+'TUSD BE'!$AL$50</f>
        <v>522.17758251231044</v>
      </c>
    </row>
    <row r="51" spans="1:42" ht="11.25" customHeight="1" x14ac:dyDescent="0.25">
      <c r="A51" s="107"/>
      <c r="B51" s="107" t="s">
        <v>35</v>
      </c>
      <c r="C51" s="107" t="s">
        <v>47</v>
      </c>
      <c r="D51" s="107" t="s">
        <v>101</v>
      </c>
      <c r="E51" s="107" t="s">
        <v>25</v>
      </c>
      <c r="F51" s="107" t="s">
        <v>25</v>
      </c>
      <c r="G51" s="18" t="s">
        <v>83</v>
      </c>
      <c r="H51" s="18" t="s">
        <v>82</v>
      </c>
      <c r="I51" s="18">
        <f>'MERCADO TUSD'!$U$48</f>
        <v>0</v>
      </c>
      <c r="J51" s="15"/>
      <c r="L51" s="13">
        <f>'TUSD BE'!$L$51*'TUSD BF'!$L$75</f>
        <v>0.85171569784117518</v>
      </c>
      <c r="M51" s="13">
        <f>'TUSD BE'!$M$51*'TUSD BF'!$M$75</f>
        <v>0</v>
      </c>
      <c r="N51" s="13">
        <f ca="1">'TUSD BE'!$N$51*'TUSD BF'!$N$75</f>
        <v>0</v>
      </c>
      <c r="O51" s="13">
        <f>'TUSD BE'!$O$51*'TUSD BF'!$O$75</f>
        <v>0</v>
      </c>
      <c r="P51" s="13">
        <f>'TUSD BE'!$P$51*'TUSD BF'!$P$75</f>
        <v>0</v>
      </c>
      <c r="Q51" s="13">
        <f>'TUSD BE'!$Q$51*'TUSD BF'!$Q$75</f>
        <v>13.913510269651347</v>
      </c>
      <c r="R51" s="13">
        <f>'TUSD BE'!$R$51*'TUSD BF'!$R$75</f>
        <v>5.0442222398398489</v>
      </c>
      <c r="S51" s="13">
        <f>'TUSD BE'!$R$51*'TUSD BF'!$S$75</f>
        <v>0</v>
      </c>
      <c r="T51" s="13">
        <f ca="1">SUM($L$51:$S$51)</f>
        <v>19.809448207332373</v>
      </c>
      <c r="U51" s="13">
        <f>'TUSD BE'!$U$51*'TUSD BF'!$U$75</f>
        <v>7.1521895895181622</v>
      </c>
      <c r="V51" s="13">
        <f>'TUSD BE'!$V$51*'TUSD BF'!$V$75</f>
        <v>7.7903116719210654</v>
      </c>
      <c r="W51" s="13">
        <f>'TUSD BE'!$W$51*'TUSD BF'!$W$75</f>
        <v>0</v>
      </c>
      <c r="X51" s="13">
        <f>'TUSD BE'!$X$51*'TUSD BF'!$X$75</f>
        <v>0</v>
      </c>
      <c r="Y51" s="13">
        <f>'TUSD BE'!$Y$51*'TUSD BF'!$Y$75</f>
        <v>0</v>
      </c>
      <c r="Z51" s="13">
        <f>'TUSD BE'!$Z$51*'TUSD BF'!$Z$75</f>
        <v>0</v>
      </c>
      <c r="AA51" s="13">
        <f>'TUSD BE'!$AA$51*'TUSD BF'!$AA$75</f>
        <v>0</v>
      </c>
      <c r="AB51" s="13">
        <f>SUM($U$51:$AA$51)</f>
        <v>14.942501261439228</v>
      </c>
      <c r="AC51" s="13">
        <f>'TUSD BE'!$AC$51*'TUSD BF'!$AC$75</f>
        <v>0</v>
      </c>
      <c r="AD51" s="13">
        <f>SUM($AC$51:$AC$51)</f>
        <v>0</v>
      </c>
      <c r="AE51" s="13">
        <f ca="1">$AO$51*$AO$72</f>
        <v>0</v>
      </c>
      <c r="AF51" s="13">
        <f ca="1">$AP$51*$AP$72</f>
        <v>0</v>
      </c>
      <c r="AG51" s="13">
        <f ca="1">SUM($AE$51:$AF$51)</f>
        <v>0</v>
      </c>
      <c r="AH51" s="13">
        <f>'TUSD BE'!$AH$51*'TUSD BF'!$AH$75</f>
        <v>-0.37057281817901716</v>
      </c>
      <c r="AI51" s="13">
        <f>'TUSD BE'!$AI$51*'TUSD BF'!$AI$75</f>
        <v>-1.7134941251558823E-2</v>
      </c>
      <c r="AJ51" s="13">
        <f ca="1">'TUSD BE'!$AJ$51*'TUSD BF'!$AJ$75</f>
        <v>-0.35799408591381504</v>
      </c>
      <c r="AK51" s="13">
        <f ca="1">'TUSD BE'!$AK$51*'TUSD BF'!$AK$75</f>
        <v>0</v>
      </c>
      <c r="AL51" s="13">
        <f ca="1">SUM($AH$51:$AK$51)</f>
        <v>-0.7457018453443911</v>
      </c>
      <c r="AM51" s="13">
        <f ca="1">SUMIF($L$4:$AL$4,"SUBTOTAL",$L$51:$AL$51)</f>
        <v>34.006247623427207</v>
      </c>
      <c r="AO51" s="20">
        <f ca="1">+'TUSD BE'!$T$51+'TUSD BE'!$AB$51+'TUSD BE'!$AD$51+'TUSD BE'!$AL$51</f>
        <v>1293.4356327671589</v>
      </c>
      <c r="AP51" s="20">
        <f ca="1">+'TUSD BE'!$T$51+'TUSD BE'!$AB$51+'TUSD BE'!$AD$51+'TUSD BE'!$AL$51</f>
        <v>1293.4356327671589</v>
      </c>
    </row>
    <row r="52" spans="1:42" ht="11.25" customHeight="1" x14ac:dyDescent="0.25">
      <c r="A52" s="107"/>
      <c r="B52" s="107"/>
      <c r="C52" s="107"/>
      <c r="D52" s="107"/>
      <c r="E52" s="107"/>
      <c r="F52" s="107"/>
      <c r="G52" s="18" t="s">
        <v>98</v>
      </c>
      <c r="H52" s="18" t="s">
        <v>82</v>
      </c>
      <c r="I52" s="18">
        <f>'MERCADO TUSD'!$U$49</f>
        <v>0</v>
      </c>
      <c r="J52" s="15"/>
      <c r="L52" s="13">
        <f>'TUSD BE'!$L$52*'TUSD BF'!$L$75</f>
        <v>0.85171569784117518</v>
      </c>
      <c r="M52" s="13">
        <f>'TUSD BE'!$M$52*'TUSD BF'!$M$75</f>
        <v>0</v>
      </c>
      <c r="N52" s="13">
        <f ca="1">'TUSD BE'!$N$52*'TUSD BF'!$N$75</f>
        <v>0</v>
      </c>
      <c r="O52" s="13">
        <f>'TUSD BE'!$O$52*'TUSD BF'!$O$75</f>
        <v>0</v>
      </c>
      <c r="P52" s="13">
        <f>'TUSD BE'!$P$52*'TUSD BF'!$P$75</f>
        <v>0</v>
      </c>
      <c r="Q52" s="13">
        <f>'TUSD BE'!$Q$52*'TUSD BF'!$Q$75</f>
        <v>13.913510269651347</v>
      </c>
      <c r="R52" s="13">
        <f>'TUSD BE'!$R$52*'TUSD BF'!$R$75</f>
        <v>5.0442222398398489</v>
      </c>
      <c r="S52" s="13">
        <f>'TUSD BE'!$R$52*'TUSD BF'!$S$75</f>
        <v>0</v>
      </c>
      <c r="T52" s="13">
        <f ca="1">SUM($L$52:$S$52)</f>
        <v>19.809448207332373</v>
      </c>
      <c r="U52" s="13">
        <f>'TUSD BE'!$U$52*'TUSD BF'!$U$75</f>
        <v>4.291321673287678</v>
      </c>
      <c r="V52" s="13">
        <f>'TUSD BE'!$V$52*'TUSD BF'!$V$75</f>
        <v>4.6741813497444582</v>
      </c>
      <c r="W52" s="13">
        <f>'TUSD BE'!$W$52*'TUSD BF'!$W$75</f>
        <v>0</v>
      </c>
      <c r="X52" s="13">
        <f>'TUSD BE'!$X$52*'TUSD BF'!$X$75</f>
        <v>0</v>
      </c>
      <c r="Y52" s="13">
        <f>'TUSD BE'!$Y$52*'TUSD BF'!$Y$75</f>
        <v>0</v>
      </c>
      <c r="Z52" s="13">
        <f>'TUSD BE'!$Z$52*'TUSD BF'!$Z$75</f>
        <v>0</v>
      </c>
      <c r="AA52" s="13">
        <f>'TUSD BE'!$AA$52*'TUSD BF'!$AA$75</f>
        <v>0</v>
      </c>
      <c r="AB52" s="13">
        <f>SUM($U$52:$AA$52)</f>
        <v>8.9655030230321362</v>
      </c>
      <c r="AC52" s="13">
        <f>'TUSD BE'!$AC$52*'TUSD BF'!$AC$75</f>
        <v>0</v>
      </c>
      <c r="AD52" s="13">
        <f>SUM($AC$52:$AC$52)</f>
        <v>0</v>
      </c>
      <c r="AE52" s="13">
        <f ca="1">$AO$52*$AO$72</f>
        <v>0</v>
      </c>
      <c r="AF52" s="13">
        <f ca="1">$AP$52*$AP$72</f>
        <v>0</v>
      </c>
      <c r="AG52" s="13">
        <f ca="1">SUM($AE$52:$AF$52)</f>
        <v>0</v>
      </c>
      <c r="AH52" s="13">
        <f>'TUSD BE'!$AH$52*'TUSD BF'!$AH$75</f>
        <v>-0.37057281817901716</v>
      </c>
      <c r="AI52" s="13">
        <f>'TUSD BE'!$AI$52*'TUSD BF'!$AI$75</f>
        <v>-1.7134941251558823E-2</v>
      </c>
      <c r="AJ52" s="13">
        <f ca="1">'TUSD BE'!$AJ$52*'TUSD BF'!$AJ$75</f>
        <v>-0.35799408591381504</v>
      </c>
      <c r="AK52" s="13">
        <f ca="1">'TUSD BE'!$AK$52*'TUSD BF'!$AK$75</f>
        <v>0</v>
      </c>
      <c r="AL52" s="13">
        <f ca="1">SUM($AH$52:$AK$52)</f>
        <v>-0.7457018453443911</v>
      </c>
      <c r="AM52" s="13">
        <f ca="1">SUMIF($L$4:$AL$4,"SUBTOTAL",$L$52:$AL$52)</f>
        <v>28.029249385020115</v>
      </c>
      <c r="AO52" s="20">
        <f ca="1">+'TUSD BE'!$T$52+'TUSD BE'!$AB$52+'TUSD BE'!$AD$52+'TUSD BE'!$AL$52</f>
        <v>834.44286170716816</v>
      </c>
      <c r="AP52" s="20">
        <f ca="1">+'TUSD BE'!$T$52+'TUSD BE'!$AB$52+'TUSD BE'!$AD$52+'TUSD BE'!$AL$52</f>
        <v>834.44286170716816</v>
      </c>
    </row>
    <row r="53" spans="1:42" ht="11.25" customHeight="1" x14ac:dyDescent="0.25">
      <c r="A53" s="107"/>
      <c r="B53" s="107"/>
      <c r="C53" s="107"/>
      <c r="D53" s="107"/>
      <c r="E53" s="107"/>
      <c r="F53" s="107"/>
      <c r="G53" s="18" t="s">
        <v>84</v>
      </c>
      <c r="H53" s="18" t="s">
        <v>82</v>
      </c>
      <c r="I53" s="18">
        <f>'MERCADO TUSD'!$U$50</f>
        <v>0</v>
      </c>
      <c r="J53" s="15"/>
      <c r="L53" s="13">
        <f>'TUSD BE'!$L$53*'TUSD BF'!$L$75</f>
        <v>0.85171569784117518</v>
      </c>
      <c r="M53" s="13">
        <f>'TUSD BE'!$M$53*'TUSD BF'!$M$75</f>
        <v>0</v>
      </c>
      <c r="N53" s="13">
        <f ca="1">'TUSD BE'!$N$53*'TUSD BF'!$N$75</f>
        <v>0</v>
      </c>
      <c r="O53" s="13">
        <f>'TUSD BE'!$O$53*'TUSD BF'!$O$75</f>
        <v>0</v>
      </c>
      <c r="P53" s="13">
        <f>'TUSD BE'!$P$53*'TUSD BF'!$P$75</f>
        <v>0</v>
      </c>
      <c r="Q53" s="13">
        <f>'TUSD BE'!$Q$53*'TUSD BF'!$Q$75</f>
        <v>13.913510269651347</v>
      </c>
      <c r="R53" s="13">
        <f>'TUSD BE'!$R$53*'TUSD BF'!$R$75</f>
        <v>5.0442222398398489</v>
      </c>
      <c r="S53" s="13">
        <f>'TUSD BE'!$R$53*'TUSD BF'!$S$75</f>
        <v>0</v>
      </c>
      <c r="T53" s="13">
        <f ca="1">SUM($L$53:$S$53)</f>
        <v>19.809448207332373</v>
      </c>
      <c r="U53" s="13">
        <f>'TUSD BE'!$U$53*'TUSD BF'!$U$75</f>
        <v>1.4304339581152423</v>
      </c>
      <c r="V53" s="13">
        <f>'TUSD BE'!$V$53*'TUSD BF'!$V$75</f>
        <v>1.5580510275678516</v>
      </c>
      <c r="W53" s="13">
        <f>'TUSD BE'!$W$53*'TUSD BF'!$W$75</f>
        <v>0</v>
      </c>
      <c r="X53" s="13">
        <f>'TUSD BE'!$X$53*'TUSD BF'!$X$75</f>
        <v>0</v>
      </c>
      <c r="Y53" s="13">
        <f>'TUSD BE'!$Y$53*'TUSD BF'!$Y$75</f>
        <v>0</v>
      </c>
      <c r="Z53" s="13">
        <f>'TUSD BE'!$Z$53*'TUSD BF'!$Z$75</f>
        <v>0</v>
      </c>
      <c r="AA53" s="13">
        <f>'TUSD BE'!$AA$53*'TUSD BF'!$AA$75</f>
        <v>0</v>
      </c>
      <c r="AB53" s="13">
        <f>SUM($U$53:$AA$53)</f>
        <v>2.988484985683094</v>
      </c>
      <c r="AC53" s="13">
        <f>'TUSD BE'!$AC$53*'TUSD BF'!$AC$75</f>
        <v>0</v>
      </c>
      <c r="AD53" s="13">
        <f>SUM($AC$53:$AC$53)</f>
        <v>0</v>
      </c>
      <c r="AE53" s="13">
        <f ca="1">$AO$53*$AO$72</f>
        <v>0</v>
      </c>
      <c r="AF53" s="13">
        <f ca="1">$AP$53*$AP$72</f>
        <v>0</v>
      </c>
      <c r="AG53" s="13">
        <f ca="1">SUM($AE$53:$AF$53)</f>
        <v>0</v>
      </c>
      <c r="AH53" s="13">
        <f>'TUSD BE'!$AH$53*'TUSD BF'!$AH$75</f>
        <v>-0.37057281817901716</v>
      </c>
      <c r="AI53" s="13">
        <f>'TUSD BE'!$AI$53*'TUSD BF'!$AI$75</f>
        <v>-1.7134941251558823E-2</v>
      </c>
      <c r="AJ53" s="13">
        <f ca="1">'TUSD BE'!$AJ$53*'TUSD BF'!$AJ$75</f>
        <v>-0.35799408591381504</v>
      </c>
      <c r="AK53" s="13">
        <f ca="1">'TUSD BE'!$AK$53*'TUSD BF'!$AK$75</f>
        <v>0</v>
      </c>
      <c r="AL53" s="13">
        <f ca="1">SUM($AH$53:$AK$53)</f>
        <v>-0.7457018453443911</v>
      </c>
      <c r="AM53" s="13">
        <f ca="1">SUMIF($L$4:$AL$4,"SUBTOTAL",$L$53:$AL$53)</f>
        <v>22.052231347671075</v>
      </c>
      <c r="AO53" s="20">
        <f ca="1">+'TUSD BE'!$T$53+'TUSD BE'!$AB$53+'TUSD BE'!$AD$53+'TUSD BE'!$AL$53</f>
        <v>375.45009159656422</v>
      </c>
      <c r="AP53" s="20">
        <f ca="1">+'TUSD BE'!$T$53+'TUSD BE'!$AB$53+'TUSD BE'!$AD$53+'TUSD BE'!$AL$53</f>
        <v>375.45009159656422</v>
      </c>
    </row>
    <row r="54" spans="1:42" ht="11.25" customHeight="1" x14ac:dyDescent="0.25">
      <c r="A54" s="107"/>
      <c r="B54" s="17" t="s">
        <v>23</v>
      </c>
      <c r="C54" s="17" t="s">
        <v>47</v>
      </c>
      <c r="D54" s="17" t="s">
        <v>101</v>
      </c>
      <c r="E54" s="17" t="s">
        <v>25</v>
      </c>
      <c r="F54" s="17" t="s">
        <v>25</v>
      </c>
      <c r="G54" s="18" t="s">
        <v>88</v>
      </c>
      <c r="H54" s="18" t="s">
        <v>82</v>
      </c>
      <c r="I54" s="18">
        <f>'MERCADO TUSD'!$U$51</f>
        <v>0</v>
      </c>
      <c r="J54" s="15"/>
      <c r="L54" s="13">
        <f>'TUSD BE'!$L$54*'TUSD BF'!$L$75</f>
        <v>0.85171569784117518</v>
      </c>
      <c r="M54" s="13">
        <f>'TUSD BE'!$M$54*'TUSD BF'!$M$75</f>
        <v>0</v>
      </c>
      <c r="N54" s="13">
        <f ca="1">'TUSD BE'!$N$54*'TUSD BF'!$N$75</f>
        <v>0</v>
      </c>
      <c r="O54" s="13">
        <f>'TUSD BE'!$O$54*'TUSD BF'!$O$75</f>
        <v>0</v>
      </c>
      <c r="P54" s="13">
        <f>'TUSD BE'!$P$54*'TUSD BF'!$P$75</f>
        <v>0</v>
      </c>
      <c r="Q54" s="13">
        <f>'TUSD BE'!$Q$54*'TUSD BF'!$Q$75</f>
        <v>13.913510269651347</v>
      </c>
      <c r="R54" s="13">
        <f>'TUSD BE'!$R$54*'TUSD BF'!$R$75</f>
        <v>5.0442222398398489</v>
      </c>
      <c r="S54" s="13">
        <f>'TUSD BE'!$R$54*'TUSD BF'!$S$75</f>
        <v>0</v>
      </c>
      <c r="T54" s="13">
        <f ca="1">SUM($L$54:$S$54)</f>
        <v>19.809448207332373</v>
      </c>
      <c r="U54" s="13">
        <f>'TUSD BE'!$U$54*'TUSD BF'!$U$75</f>
        <v>2.3449866847410208</v>
      </c>
      <c r="V54" s="13">
        <f>'TUSD BE'!$V$54*'TUSD BF'!$V$75</f>
        <v>2.5542098160531044</v>
      </c>
      <c r="W54" s="13">
        <f>'TUSD BE'!$W$54*'TUSD BF'!$W$75</f>
        <v>0</v>
      </c>
      <c r="X54" s="13">
        <f>'TUSD BE'!$X$54*'TUSD BF'!$X$75</f>
        <v>0</v>
      </c>
      <c r="Y54" s="13">
        <f>'TUSD BE'!$Y$54*'TUSD BF'!$Y$75</f>
        <v>0</v>
      </c>
      <c r="Z54" s="13">
        <f>'TUSD BE'!$Z$54*'TUSD BF'!$Z$75</f>
        <v>0</v>
      </c>
      <c r="AA54" s="13">
        <f>'TUSD BE'!$AA$54*'TUSD BF'!$AA$75</f>
        <v>0</v>
      </c>
      <c r="AB54" s="13">
        <f>SUM($U$54:$AA$54)</f>
        <v>4.8991965007941252</v>
      </c>
      <c r="AC54" s="13">
        <f>'TUSD BE'!$AC$54*'TUSD BF'!$AC$75</f>
        <v>0</v>
      </c>
      <c r="AD54" s="13">
        <f>SUM($AC$54:$AC$54)</f>
        <v>0</v>
      </c>
      <c r="AE54" s="13">
        <f ca="1">$AO$54*$AO$72</f>
        <v>0</v>
      </c>
      <c r="AF54" s="13">
        <f ca="1">$AP$54*$AP$72</f>
        <v>0</v>
      </c>
      <c r="AG54" s="13">
        <f ca="1">SUM($AE$54:$AF$54)</f>
        <v>0</v>
      </c>
      <c r="AH54" s="13">
        <f>'TUSD BE'!$AH$54*'TUSD BF'!$AH$75</f>
        <v>-0.37057281817901716</v>
      </c>
      <c r="AI54" s="13">
        <f>'TUSD BE'!$AI$54*'TUSD BF'!$AI$75</f>
        <v>-1.7134941251558823E-2</v>
      </c>
      <c r="AJ54" s="13">
        <f ca="1">'TUSD BE'!$AJ$54*'TUSD BF'!$AJ$75</f>
        <v>-0.35799408591381504</v>
      </c>
      <c r="AK54" s="13">
        <f ca="1">'TUSD BE'!$AK$54*'TUSD BF'!$AK$75</f>
        <v>0</v>
      </c>
      <c r="AL54" s="13">
        <f ca="1">SUM($AH$54:$AK$54)</f>
        <v>-0.7457018453443911</v>
      </c>
      <c r="AM54" s="13">
        <f ca="1">SUMIF($L$4:$AL$4,"SUBTOTAL",$L$54:$AL$54)</f>
        <v>23.962942862782107</v>
      </c>
      <c r="AO54" s="20">
        <f ca="1">+'TUSD BE'!$T$54+'TUSD BE'!$AB$54+'TUSD BE'!$AD$54+'TUSD BE'!$AL$54</f>
        <v>522.17758251231044</v>
      </c>
      <c r="AP54" s="20">
        <f ca="1">+'TUSD BE'!$T$54+'TUSD BE'!$AB$54+'TUSD BE'!$AD$54+'TUSD BE'!$AL$54</f>
        <v>522.17758251231044</v>
      </c>
    </row>
    <row r="55" spans="1:42" ht="11.25" customHeight="1" x14ac:dyDescent="0.25">
      <c r="A55" s="107"/>
      <c r="B55" s="107" t="s">
        <v>35</v>
      </c>
      <c r="C55" s="107" t="s">
        <v>47</v>
      </c>
      <c r="D55" s="107" t="s">
        <v>102</v>
      </c>
      <c r="E55" s="107" t="s">
        <v>25</v>
      </c>
      <c r="F55" s="107" t="s">
        <v>25</v>
      </c>
      <c r="G55" s="18" t="s">
        <v>83</v>
      </c>
      <c r="H55" s="18" t="s">
        <v>82</v>
      </c>
      <c r="I55" s="18">
        <f>'MERCADO TUSD'!$U$52</f>
        <v>0</v>
      </c>
      <c r="J55" s="15"/>
      <c r="L55" s="13">
        <f>'TUSD BE'!$L$55*'TUSD BF'!$L$75</f>
        <v>0.85171569784117518</v>
      </c>
      <c r="M55" s="13">
        <f>'TUSD BE'!$M$55*'TUSD BF'!$M$75</f>
        <v>0</v>
      </c>
      <c r="N55" s="13">
        <f ca="1">'TUSD BE'!$N$55*'TUSD BF'!$N$75</f>
        <v>0</v>
      </c>
      <c r="O55" s="13">
        <f>'TUSD BE'!$O$55*'TUSD BF'!$O$75</f>
        <v>0</v>
      </c>
      <c r="P55" s="13">
        <f>'TUSD BE'!$P$55*'TUSD BF'!$P$75</f>
        <v>0</v>
      </c>
      <c r="Q55" s="13">
        <f>'TUSD BE'!$Q$55*'TUSD BF'!$Q$75</f>
        <v>13.913510269651347</v>
      </c>
      <c r="R55" s="13">
        <f>'TUSD BE'!$R$55*'TUSD BF'!$R$75</f>
        <v>5.0442222398398489</v>
      </c>
      <c r="S55" s="13">
        <f>'TUSD BE'!$R$55*'TUSD BF'!$S$75</f>
        <v>0</v>
      </c>
      <c r="T55" s="13">
        <f ca="1">SUM($L$55:$S$55)</f>
        <v>19.809448207332373</v>
      </c>
      <c r="U55" s="13">
        <f>'TUSD BE'!$U$55*'TUSD BF'!$U$75</f>
        <v>7.1521895895181622</v>
      </c>
      <c r="V55" s="13">
        <f>'TUSD BE'!$V$55*'TUSD BF'!$V$75</f>
        <v>7.7903116719210654</v>
      </c>
      <c r="W55" s="13">
        <f>'TUSD BE'!$W$55*'TUSD BF'!$W$75</f>
        <v>0</v>
      </c>
      <c r="X55" s="13">
        <f>'TUSD BE'!$X$55*'TUSD BF'!$X$75</f>
        <v>0</v>
      </c>
      <c r="Y55" s="13">
        <f>'TUSD BE'!$Y$55*'TUSD BF'!$Y$75</f>
        <v>0</v>
      </c>
      <c r="Z55" s="13">
        <f>'TUSD BE'!$Z$55*'TUSD BF'!$Z$75</f>
        <v>0</v>
      </c>
      <c r="AA55" s="13">
        <f>'TUSD BE'!$AA$55*'TUSD BF'!$AA$75</f>
        <v>0</v>
      </c>
      <c r="AB55" s="13">
        <f>SUM($U$55:$AA$55)</f>
        <v>14.942501261439228</v>
      </c>
      <c r="AC55" s="13">
        <f>'TUSD BE'!$AC$55*'TUSD BF'!$AC$75</f>
        <v>0</v>
      </c>
      <c r="AD55" s="13">
        <f>SUM($AC$55:$AC$55)</f>
        <v>0</v>
      </c>
      <c r="AE55" s="13">
        <f ca="1">$AO$55*$AO$72</f>
        <v>0</v>
      </c>
      <c r="AF55" s="13">
        <f ca="1">$AP$55*$AP$72</f>
        <v>0</v>
      </c>
      <c r="AG55" s="13">
        <f ca="1">SUM($AE$55:$AF$55)</f>
        <v>0</v>
      </c>
      <c r="AH55" s="13">
        <f>'TUSD BE'!$AH$55*'TUSD BF'!$AH$75</f>
        <v>-0.37057281817901716</v>
      </c>
      <c r="AI55" s="13">
        <f>'TUSD BE'!$AI$55*'TUSD BF'!$AI$75</f>
        <v>-1.7134941251558823E-2</v>
      </c>
      <c r="AJ55" s="13">
        <f ca="1">'TUSD BE'!$AJ$55*'TUSD BF'!$AJ$75</f>
        <v>-0.35799408591381504</v>
      </c>
      <c r="AK55" s="13">
        <f ca="1">'TUSD BE'!$AK$55*'TUSD BF'!$AK$75</f>
        <v>0</v>
      </c>
      <c r="AL55" s="13">
        <f ca="1">SUM($AH$55:$AK$55)</f>
        <v>-0.7457018453443911</v>
      </c>
      <c r="AM55" s="13">
        <f ca="1">SUMIF($L$4:$AL$4,"SUBTOTAL",$L$55:$AL$55)</f>
        <v>34.006247623427207</v>
      </c>
      <c r="AO55" s="20">
        <f ca="1">+'TUSD BE'!$T$55+'TUSD BE'!$AB$55+'TUSD BE'!$AD$55+'TUSD BE'!$AL$55</f>
        <v>1293.4356327671589</v>
      </c>
      <c r="AP55" s="20">
        <f ca="1">+'TUSD BE'!$T$55+'TUSD BE'!$AB$55+'TUSD BE'!$AD$55+'TUSD BE'!$AL$55</f>
        <v>1293.4356327671589</v>
      </c>
    </row>
    <row r="56" spans="1:42" ht="11.25" customHeight="1" x14ac:dyDescent="0.25">
      <c r="A56" s="107"/>
      <c r="B56" s="107"/>
      <c r="C56" s="107"/>
      <c r="D56" s="107"/>
      <c r="E56" s="107"/>
      <c r="F56" s="107"/>
      <c r="G56" s="18" t="s">
        <v>98</v>
      </c>
      <c r="H56" s="18" t="s">
        <v>82</v>
      </c>
      <c r="I56" s="18">
        <f>'MERCADO TUSD'!$U$53</f>
        <v>0</v>
      </c>
      <c r="J56" s="15"/>
      <c r="L56" s="13">
        <f>'TUSD BE'!$L$56*'TUSD BF'!$L$75</f>
        <v>0.85171569784117518</v>
      </c>
      <c r="M56" s="13">
        <f>'TUSD BE'!$M$56*'TUSD BF'!$M$75</f>
        <v>0</v>
      </c>
      <c r="N56" s="13">
        <f ca="1">'TUSD BE'!$N$56*'TUSD BF'!$N$75</f>
        <v>0</v>
      </c>
      <c r="O56" s="13">
        <f>'TUSD BE'!$O$56*'TUSD BF'!$O$75</f>
        <v>0</v>
      </c>
      <c r="P56" s="13">
        <f>'TUSD BE'!$P$56*'TUSD BF'!$P$75</f>
        <v>0</v>
      </c>
      <c r="Q56" s="13">
        <f>'TUSD BE'!$Q$56*'TUSD BF'!$Q$75</f>
        <v>13.913510269651347</v>
      </c>
      <c r="R56" s="13">
        <f>'TUSD BE'!$R$56*'TUSD BF'!$R$75</f>
        <v>5.0442222398398489</v>
      </c>
      <c r="S56" s="13">
        <f>'TUSD BE'!$R$56*'TUSD BF'!$S$75</f>
        <v>0</v>
      </c>
      <c r="T56" s="13">
        <f ca="1">SUM($L$56:$S$56)</f>
        <v>19.809448207332373</v>
      </c>
      <c r="U56" s="13">
        <f>'TUSD BE'!$U$56*'TUSD BF'!$U$75</f>
        <v>4.291321673287678</v>
      </c>
      <c r="V56" s="13">
        <f>'TUSD BE'!$V$56*'TUSD BF'!$V$75</f>
        <v>4.6741813497444582</v>
      </c>
      <c r="W56" s="13">
        <f>'TUSD BE'!$W$56*'TUSD BF'!$W$75</f>
        <v>0</v>
      </c>
      <c r="X56" s="13">
        <f>'TUSD BE'!$X$56*'TUSD BF'!$X$75</f>
        <v>0</v>
      </c>
      <c r="Y56" s="13">
        <f>'TUSD BE'!$Y$56*'TUSD BF'!$Y$75</f>
        <v>0</v>
      </c>
      <c r="Z56" s="13">
        <f>'TUSD BE'!$Z$56*'TUSD BF'!$Z$75</f>
        <v>0</v>
      </c>
      <c r="AA56" s="13">
        <f>'TUSD BE'!$AA$56*'TUSD BF'!$AA$75</f>
        <v>0</v>
      </c>
      <c r="AB56" s="13">
        <f>SUM($U$56:$AA$56)</f>
        <v>8.9655030230321362</v>
      </c>
      <c r="AC56" s="13">
        <f>'TUSD BE'!$AC$56*'TUSD BF'!$AC$75</f>
        <v>0</v>
      </c>
      <c r="AD56" s="13">
        <f>SUM($AC$56:$AC$56)</f>
        <v>0</v>
      </c>
      <c r="AE56" s="13">
        <f ca="1">$AO$56*$AO$72</f>
        <v>0</v>
      </c>
      <c r="AF56" s="13">
        <f ca="1">$AP$56*$AP$72</f>
        <v>0</v>
      </c>
      <c r="AG56" s="13">
        <f ca="1">SUM($AE$56:$AF$56)</f>
        <v>0</v>
      </c>
      <c r="AH56" s="13">
        <f>'TUSD BE'!$AH$56*'TUSD BF'!$AH$75</f>
        <v>-0.37057281817901716</v>
      </c>
      <c r="AI56" s="13">
        <f>'TUSD BE'!$AI$56*'TUSD BF'!$AI$75</f>
        <v>-1.7134941251558823E-2</v>
      </c>
      <c r="AJ56" s="13">
        <f ca="1">'TUSD BE'!$AJ$56*'TUSD BF'!$AJ$75</f>
        <v>-0.35799408591381504</v>
      </c>
      <c r="AK56" s="13">
        <f ca="1">'TUSD BE'!$AK$56*'TUSD BF'!$AK$75</f>
        <v>0</v>
      </c>
      <c r="AL56" s="13">
        <f ca="1">SUM($AH$56:$AK$56)</f>
        <v>-0.7457018453443911</v>
      </c>
      <c r="AM56" s="13">
        <f ca="1">SUMIF($L$4:$AL$4,"SUBTOTAL",$L$56:$AL$56)</f>
        <v>28.029249385020115</v>
      </c>
      <c r="AO56" s="20">
        <f ca="1">+'TUSD BE'!$T$56+'TUSD BE'!$AB$56+'TUSD BE'!$AD$56+'TUSD BE'!$AL$56</f>
        <v>834.44286170716816</v>
      </c>
      <c r="AP56" s="20">
        <f ca="1">+'TUSD BE'!$T$56+'TUSD BE'!$AB$56+'TUSD BE'!$AD$56+'TUSD BE'!$AL$56</f>
        <v>834.44286170716816</v>
      </c>
    </row>
    <row r="57" spans="1:42" ht="11.25" customHeight="1" x14ac:dyDescent="0.25">
      <c r="A57" s="107"/>
      <c r="B57" s="107"/>
      <c r="C57" s="107"/>
      <c r="D57" s="107"/>
      <c r="E57" s="107"/>
      <c r="F57" s="107"/>
      <c r="G57" s="18" t="s">
        <v>84</v>
      </c>
      <c r="H57" s="18" t="s">
        <v>82</v>
      </c>
      <c r="I57" s="18">
        <f>'MERCADO TUSD'!$U$54</f>
        <v>0</v>
      </c>
      <c r="J57" s="15"/>
      <c r="L57" s="13">
        <f>'TUSD BE'!$L$57*'TUSD BF'!$L$75</f>
        <v>0.85171569784117518</v>
      </c>
      <c r="M57" s="13">
        <f>'TUSD BE'!$M$57*'TUSD BF'!$M$75</f>
        <v>0</v>
      </c>
      <c r="N57" s="13">
        <f ca="1">'TUSD BE'!$N$57*'TUSD BF'!$N$75</f>
        <v>0</v>
      </c>
      <c r="O57" s="13">
        <f>'TUSD BE'!$O$57*'TUSD BF'!$O$75</f>
        <v>0</v>
      </c>
      <c r="P57" s="13">
        <f>'TUSD BE'!$P$57*'TUSD BF'!$P$75</f>
        <v>0</v>
      </c>
      <c r="Q57" s="13">
        <f>'TUSD BE'!$Q$57*'TUSD BF'!$Q$75</f>
        <v>13.913510269651347</v>
      </c>
      <c r="R57" s="13">
        <f>'TUSD BE'!$R$57*'TUSD BF'!$R$75</f>
        <v>5.0442222398398489</v>
      </c>
      <c r="S57" s="13">
        <f>'TUSD BE'!$R$57*'TUSD BF'!$S$75</f>
        <v>0</v>
      </c>
      <c r="T57" s="13">
        <f ca="1">SUM($L$57:$S$57)</f>
        <v>19.809448207332373</v>
      </c>
      <c r="U57" s="13">
        <f>'TUSD BE'!$U$57*'TUSD BF'!$U$75</f>
        <v>1.4304339581152423</v>
      </c>
      <c r="V57" s="13">
        <f>'TUSD BE'!$V$57*'TUSD BF'!$V$75</f>
        <v>1.5580510275678516</v>
      </c>
      <c r="W57" s="13">
        <f>'TUSD BE'!$W$57*'TUSD BF'!$W$75</f>
        <v>0</v>
      </c>
      <c r="X57" s="13">
        <f>'TUSD BE'!$X$57*'TUSD BF'!$X$75</f>
        <v>0</v>
      </c>
      <c r="Y57" s="13">
        <f>'TUSD BE'!$Y$57*'TUSD BF'!$Y$75</f>
        <v>0</v>
      </c>
      <c r="Z57" s="13">
        <f>'TUSD BE'!$Z$57*'TUSD BF'!$Z$75</f>
        <v>0</v>
      </c>
      <c r="AA57" s="13">
        <f>'TUSD BE'!$AA$57*'TUSD BF'!$AA$75</f>
        <v>0</v>
      </c>
      <c r="AB57" s="13">
        <f>SUM($U$57:$AA$57)</f>
        <v>2.988484985683094</v>
      </c>
      <c r="AC57" s="13">
        <f>'TUSD BE'!$AC$57*'TUSD BF'!$AC$75</f>
        <v>0</v>
      </c>
      <c r="AD57" s="13">
        <f>SUM($AC$57:$AC$57)</f>
        <v>0</v>
      </c>
      <c r="AE57" s="13">
        <f ca="1">$AO$57*$AO$72</f>
        <v>0</v>
      </c>
      <c r="AF57" s="13">
        <f ca="1">$AP$57*$AP$72</f>
        <v>0</v>
      </c>
      <c r="AG57" s="13">
        <f ca="1">SUM($AE$57:$AF$57)</f>
        <v>0</v>
      </c>
      <c r="AH57" s="13">
        <f>'TUSD BE'!$AH$57*'TUSD BF'!$AH$75</f>
        <v>-0.37057281817901716</v>
      </c>
      <c r="AI57" s="13">
        <f>'TUSD BE'!$AI$57*'TUSD BF'!$AI$75</f>
        <v>-1.7134941251558823E-2</v>
      </c>
      <c r="AJ57" s="13">
        <f ca="1">'TUSD BE'!$AJ$57*'TUSD BF'!$AJ$75</f>
        <v>-0.35799408591381504</v>
      </c>
      <c r="AK57" s="13">
        <f ca="1">'TUSD BE'!$AK$57*'TUSD BF'!$AK$75</f>
        <v>0</v>
      </c>
      <c r="AL57" s="13">
        <f ca="1">SUM($AH$57:$AK$57)</f>
        <v>-0.7457018453443911</v>
      </c>
      <c r="AM57" s="13">
        <f ca="1">SUMIF($L$4:$AL$4,"SUBTOTAL",$L$57:$AL$57)</f>
        <v>22.052231347671075</v>
      </c>
      <c r="AO57" s="20">
        <f ca="1">+'TUSD BE'!$T$57+'TUSD BE'!$AB$57+'TUSD BE'!$AD$57+'TUSD BE'!$AL$57</f>
        <v>375.45009159656422</v>
      </c>
      <c r="AP57" s="20">
        <f ca="1">+'TUSD BE'!$T$57+'TUSD BE'!$AB$57+'TUSD BE'!$AD$57+'TUSD BE'!$AL$57</f>
        <v>375.45009159656422</v>
      </c>
    </row>
    <row r="58" spans="1:42" ht="11.25" customHeight="1" x14ac:dyDescent="0.25">
      <c r="A58" s="107"/>
      <c r="B58" s="17" t="s">
        <v>23</v>
      </c>
      <c r="C58" s="17" t="s">
        <v>47</v>
      </c>
      <c r="D58" s="17" t="s">
        <v>102</v>
      </c>
      <c r="E58" s="17" t="s">
        <v>25</v>
      </c>
      <c r="F58" s="17" t="s">
        <v>25</v>
      </c>
      <c r="G58" s="18" t="s">
        <v>88</v>
      </c>
      <c r="H58" s="18" t="s">
        <v>82</v>
      </c>
      <c r="I58" s="18">
        <f>'MERCADO TUSD'!$U$55</f>
        <v>0</v>
      </c>
      <c r="J58" s="15"/>
      <c r="L58" s="13">
        <f>'TUSD BE'!$L$58*'TUSD BF'!$L$75</f>
        <v>0.85171569784117518</v>
      </c>
      <c r="M58" s="13">
        <f>'TUSD BE'!$M$58*'TUSD BF'!$M$75</f>
        <v>0</v>
      </c>
      <c r="N58" s="13">
        <f ca="1">'TUSD BE'!$N$58*'TUSD BF'!$N$75</f>
        <v>0</v>
      </c>
      <c r="O58" s="13">
        <f>'TUSD BE'!$O$58*'TUSD BF'!$O$75</f>
        <v>0</v>
      </c>
      <c r="P58" s="13">
        <f>'TUSD BE'!$P$58*'TUSD BF'!$P$75</f>
        <v>0</v>
      </c>
      <c r="Q58" s="13">
        <f>'TUSD BE'!$Q$58*'TUSD BF'!$Q$75</f>
        <v>13.913510269651347</v>
      </c>
      <c r="R58" s="13">
        <f>'TUSD BE'!$R$58*'TUSD BF'!$R$75</f>
        <v>5.0442222398398489</v>
      </c>
      <c r="S58" s="13">
        <f>'TUSD BE'!$R$58*'TUSD BF'!$S$75</f>
        <v>0</v>
      </c>
      <c r="T58" s="13">
        <f ca="1">SUM($L$58:$S$58)</f>
        <v>19.809448207332373</v>
      </c>
      <c r="U58" s="13">
        <f>'TUSD BE'!$U$58*'TUSD BF'!$U$75</f>
        <v>2.3449866847410208</v>
      </c>
      <c r="V58" s="13">
        <f>'TUSD BE'!$V$58*'TUSD BF'!$V$75</f>
        <v>2.5542098160531044</v>
      </c>
      <c r="W58" s="13">
        <f>'TUSD BE'!$W$58*'TUSD BF'!$W$75</f>
        <v>0</v>
      </c>
      <c r="X58" s="13">
        <f>'TUSD BE'!$X$58*'TUSD BF'!$X$75</f>
        <v>0</v>
      </c>
      <c r="Y58" s="13">
        <f>'TUSD BE'!$Y$58*'TUSD BF'!$Y$75</f>
        <v>0</v>
      </c>
      <c r="Z58" s="13">
        <f>'TUSD BE'!$Z$58*'TUSD BF'!$Z$75</f>
        <v>0</v>
      </c>
      <c r="AA58" s="13">
        <f>'TUSD BE'!$AA$58*'TUSD BF'!$AA$75</f>
        <v>0</v>
      </c>
      <c r="AB58" s="13">
        <f>SUM($U$58:$AA$58)</f>
        <v>4.8991965007941252</v>
      </c>
      <c r="AC58" s="13">
        <f>'TUSD BE'!$AC$58*'TUSD BF'!$AC$75</f>
        <v>0</v>
      </c>
      <c r="AD58" s="13">
        <f>SUM($AC$58:$AC$58)</f>
        <v>0</v>
      </c>
      <c r="AE58" s="13">
        <f ca="1">$AO$58*$AO$72</f>
        <v>0</v>
      </c>
      <c r="AF58" s="13">
        <f ca="1">$AP$58*$AP$72</f>
        <v>0</v>
      </c>
      <c r="AG58" s="13">
        <f ca="1">SUM($AE$58:$AF$58)</f>
        <v>0</v>
      </c>
      <c r="AH58" s="13">
        <f>'TUSD BE'!$AH$58*'TUSD BF'!$AH$75</f>
        <v>-0.37057281817901716</v>
      </c>
      <c r="AI58" s="13">
        <f>'TUSD BE'!$AI$58*'TUSD BF'!$AI$75</f>
        <v>-1.7134941251558823E-2</v>
      </c>
      <c r="AJ58" s="13">
        <f ca="1">'TUSD BE'!$AJ$58*'TUSD BF'!$AJ$75</f>
        <v>-0.35799408591381504</v>
      </c>
      <c r="AK58" s="13">
        <f ca="1">'TUSD BE'!$AK$58*'TUSD BF'!$AK$75</f>
        <v>0</v>
      </c>
      <c r="AL58" s="13">
        <f ca="1">SUM($AH$58:$AK$58)</f>
        <v>-0.7457018453443911</v>
      </c>
      <c r="AM58" s="13">
        <f ca="1">SUMIF($L$4:$AL$4,"SUBTOTAL",$L$58:$AL$58)</f>
        <v>23.962942862782107</v>
      </c>
      <c r="AO58" s="20">
        <f ca="1">+'TUSD BE'!$T$58+'TUSD BE'!$AB$58+'TUSD BE'!$AD$58+'TUSD BE'!$AL$58</f>
        <v>522.17758251231044</v>
      </c>
      <c r="AP58" s="20">
        <f ca="1">+'TUSD BE'!$T$58+'TUSD BE'!$AB$58+'TUSD BE'!$AD$58+'TUSD BE'!$AL$58</f>
        <v>522.17758251231044</v>
      </c>
    </row>
    <row r="59" spans="1:42" ht="11.25" customHeight="1" x14ac:dyDescent="0.25">
      <c r="A59" s="107"/>
      <c r="B59" s="107" t="s">
        <v>100</v>
      </c>
      <c r="C59" s="107" t="s">
        <v>47</v>
      </c>
      <c r="D59" s="17" t="s">
        <v>25</v>
      </c>
      <c r="E59" s="17" t="s">
        <v>25</v>
      </c>
      <c r="F59" s="17" t="s">
        <v>25</v>
      </c>
      <c r="G59" s="18" t="s">
        <v>88</v>
      </c>
      <c r="H59" s="18" t="s">
        <v>82</v>
      </c>
      <c r="I59" s="18">
        <f>'MERCADO TUSD'!$U$56</f>
        <v>0</v>
      </c>
      <c r="J59" s="15"/>
      <c r="L59" s="13">
        <f>'TUSD BE'!$L$59*'TUSD BF'!$L$75</f>
        <v>0.85171569784117518</v>
      </c>
      <c r="M59" s="13">
        <f>'TUSD BE'!$M$59*'TUSD BF'!$M$75</f>
        <v>0</v>
      </c>
      <c r="N59" s="13">
        <f ca="1">'TUSD BE'!$N$59*'TUSD BF'!$N$75</f>
        <v>0</v>
      </c>
      <c r="O59" s="13">
        <f>'TUSD BE'!$O$59*'TUSD BF'!$O$75</f>
        <v>0</v>
      </c>
      <c r="P59" s="13">
        <f>'TUSD BE'!$P$59*'TUSD BF'!$P$75</f>
        <v>0</v>
      </c>
      <c r="Q59" s="13">
        <f>'TUSD BE'!$Q$59*'TUSD BF'!$Q$75</f>
        <v>13.913510269651347</v>
      </c>
      <c r="R59" s="13">
        <f>'TUSD BE'!$R$59*'TUSD BF'!$R$75</f>
        <v>5.0442222398398489</v>
      </c>
      <c r="S59" s="13">
        <f>'TUSD BE'!$R$59*'TUSD BF'!$S$75</f>
        <v>0</v>
      </c>
      <c r="T59" s="13">
        <f ca="1">SUM($L$59:$S$59)</f>
        <v>19.809448207332373</v>
      </c>
      <c r="U59" s="13">
        <f>'TUSD BE'!$U$59*'TUSD BF'!$U$75</f>
        <v>2.3449866847410208</v>
      </c>
      <c r="V59" s="13">
        <f>'TUSD BE'!$V$59*'TUSD BF'!$V$75</f>
        <v>2.5542098160531044</v>
      </c>
      <c r="W59" s="13">
        <f>'TUSD BE'!$W$59*'TUSD BF'!$W$75</f>
        <v>0</v>
      </c>
      <c r="X59" s="13">
        <f>'TUSD BE'!$X$59*'TUSD BF'!$X$75</f>
        <v>0</v>
      </c>
      <c r="Y59" s="13">
        <f>'TUSD BE'!$Y$59*'TUSD BF'!$Y$75</f>
        <v>0</v>
      </c>
      <c r="Z59" s="13">
        <f>'TUSD BE'!$Z$59*'TUSD BF'!$Z$75</f>
        <v>0</v>
      </c>
      <c r="AA59" s="13">
        <f>'TUSD BE'!$AA$59*'TUSD BF'!$AA$75</f>
        <v>0</v>
      </c>
      <c r="AB59" s="13">
        <f>SUM($U$59:$AA$59)</f>
        <v>4.8991965007941252</v>
      </c>
      <c r="AC59" s="13">
        <f>'TUSD BE'!$AC$59*'TUSD BF'!$AC$75</f>
        <v>0</v>
      </c>
      <c r="AD59" s="13">
        <f>SUM($AC$59:$AC$59)</f>
        <v>0</v>
      </c>
      <c r="AE59" s="13">
        <f ca="1">$AO$59*$AO$72</f>
        <v>0</v>
      </c>
      <c r="AF59" s="13">
        <f ca="1">$AP$59*$AP$72</f>
        <v>0</v>
      </c>
      <c r="AG59" s="13">
        <f ca="1">SUM($AE$59:$AF$59)</f>
        <v>0</v>
      </c>
      <c r="AH59" s="13">
        <f>'TUSD BE'!$AH$59*'TUSD BF'!$AH$75</f>
        <v>-0.37057281817901716</v>
      </c>
      <c r="AI59" s="13">
        <f>'TUSD BE'!$AI$59*'TUSD BF'!$AI$75</f>
        <v>-1.7134941251558823E-2</v>
      </c>
      <c r="AJ59" s="13">
        <f ca="1">'TUSD BE'!$AJ$59*'TUSD BF'!$AJ$75</f>
        <v>-0.35799408591381504</v>
      </c>
      <c r="AK59" s="13">
        <f ca="1">'TUSD BE'!$AK$59*'TUSD BF'!$AK$75</f>
        <v>0</v>
      </c>
      <c r="AL59" s="13">
        <f ca="1">SUM($AH$59:$AK$59)</f>
        <v>-0.7457018453443911</v>
      </c>
      <c r="AM59" s="13">
        <f ca="1">SUMIF($L$4:$AL$4,"SUBTOTAL",$L$59:$AL$59)</f>
        <v>23.962942862782107</v>
      </c>
      <c r="AO59" s="20">
        <f ca="1">+'TUSD BE'!$T$59+'TUSD BE'!$AB$59+'TUSD BE'!$AD$59+'TUSD BE'!$AL$59</f>
        <v>522.17758251231044</v>
      </c>
      <c r="AP59" s="20">
        <f ca="1">+'TUSD BE'!$T$59+'TUSD BE'!$AB$59+'TUSD BE'!$AD$59+'TUSD BE'!$AL$59</f>
        <v>522.17758251231044</v>
      </c>
    </row>
    <row r="60" spans="1:42" ht="11.25" customHeight="1" x14ac:dyDescent="0.25">
      <c r="A60" s="107"/>
      <c r="B60" s="107"/>
      <c r="C60" s="107"/>
      <c r="D60" s="17" t="s">
        <v>101</v>
      </c>
      <c r="E60" s="17" t="s">
        <v>25</v>
      </c>
      <c r="F60" s="17" t="s">
        <v>25</v>
      </c>
      <c r="G60" s="18" t="s">
        <v>88</v>
      </c>
      <c r="H60" s="18" t="s">
        <v>82</v>
      </c>
      <c r="I60" s="18">
        <f>'MERCADO TUSD'!$U$57</f>
        <v>0</v>
      </c>
      <c r="J60" s="15"/>
      <c r="L60" s="13">
        <f>'TUSD BE'!$L$60*'TUSD BF'!$L$75</f>
        <v>0.85171569784117518</v>
      </c>
      <c r="M60" s="13">
        <f>'TUSD BE'!$M$60*'TUSD BF'!$M$75</f>
        <v>0</v>
      </c>
      <c r="N60" s="13">
        <f ca="1">'TUSD BE'!$N$60*'TUSD BF'!$N$75</f>
        <v>0</v>
      </c>
      <c r="O60" s="13">
        <f>'TUSD BE'!$O$60*'TUSD BF'!$O$75</f>
        <v>0</v>
      </c>
      <c r="P60" s="13">
        <f>'TUSD BE'!$P$60*'TUSD BF'!$P$75</f>
        <v>0</v>
      </c>
      <c r="Q60" s="13">
        <f>'TUSD BE'!$Q$60*'TUSD BF'!$Q$75</f>
        <v>13.913510269651347</v>
      </c>
      <c r="R60" s="13">
        <f>'TUSD BE'!$R$60*'TUSD BF'!$R$75</f>
        <v>5.0442222398398489</v>
      </c>
      <c r="S60" s="13">
        <f>'TUSD BE'!$R$60*'TUSD BF'!$S$75</f>
        <v>0</v>
      </c>
      <c r="T60" s="13">
        <f ca="1">SUM($L$60:$S$60)</f>
        <v>19.809448207332373</v>
      </c>
      <c r="U60" s="13">
        <f>'TUSD BE'!$U$60*'TUSD BF'!$U$75</f>
        <v>2.3449866847410208</v>
      </c>
      <c r="V60" s="13">
        <f>'TUSD BE'!$V$60*'TUSD BF'!$V$75</f>
        <v>2.5542098160531044</v>
      </c>
      <c r="W60" s="13">
        <f>'TUSD BE'!$W$60*'TUSD BF'!$W$75</f>
        <v>0</v>
      </c>
      <c r="X60" s="13">
        <f>'TUSD BE'!$X$60*'TUSD BF'!$X$75</f>
        <v>0</v>
      </c>
      <c r="Y60" s="13">
        <f>'TUSD BE'!$Y$60*'TUSD BF'!$Y$75</f>
        <v>0</v>
      </c>
      <c r="Z60" s="13">
        <f>'TUSD BE'!$Z$60*'TUSD BF'!$Z$75</f>
        <v>0</v>
      </c>
      <c r="AA60" s="13">
        <f>'TUSD BE'!$AA$60*'TUSD BF'!$AA$75</f>
        <v>0</v>
      </c>
      <c r="AB60" s="13">
        <f>SUM($U$60:$AA$60)</f>
        <v>4.8991965007941252</v>
      </c>
      <c r="AC60" s="13">
        <f>'TUSD BE'!$AC$60*'TUSD BF'!$AC$75</f>
        <v>0</v>
      </c>
      <c r="AD60" s="13">
        <f>SUM($AC$60:$AC$60)</f>
        <v>0</v>
      </c>
      <c r="AE60" s="13">
        <f ca="1">$AO$60*$AO$72</f>
        <v>0</v>
      </c>
      <c r="AF60" s="13">
        <f ca="1">$AP$60*$AP$72</f>
        <v>0</v>
      </c>
      <c r="AG60" s="13">
        <f ca="1">SUM($AE$60:$AF$60)</f>
        <v>0</v>
      </c>
      <c r="AH60" s="13">
        <f>'TUSD BE'!$AH$60*'TUSD BF'!$AH$75</f>
        <v>-0.37057281817901716</v>
      </c>
      <c r="AI60" s="13">
        <f>'TUSD BE'!$AI$60*'TUSD BF'!$AI$75</f>
        <v>-1.7134941251558823E-2</v>
      </c>
      <c r="AJ60" s="13">
        <f ca="1">'TUSD BE'!$AJ$60*'TUSD BF'!$AJ$75</f>
        <v>-0.35799408591381504</v>
      </c>
      <c r="AK60" s="13">
        <f ca="1">'TUSD BE'!$AK$60*'TUSD BF'!$AK$75</f>
        <v>0</v>
      </c>
      <c r="AL60" s="13">
        <f ca="1">SUM($AH$60:$AK$60)</f>
        <v>-0.7457018453443911</v>
      </c>
      <c r="AM60" s="13">
        <f ca="1">SUMIF($L$4:$AL$4,"SUBTOTAL",$L$60:$AL$60)</f>
        <v>23.962942862782107</v>
      </c>
      <c r="AO60" s="20">
        <f ca="1">+'TUSD BE'!$T$60+'TUSD BE'!$AB$60+'TUSD BE'!$AD$60+'TUSD BE'!$AL$60</f>
        <v>522.17758251231044</v>
      </c>
      <c r="AP60" s="20">
        <f ca="1">+'TUSD BE'!$T$60+'TUSD BE'!$AB$60+'TUSD BE'!$AD$60+'TUSD BE'!$AL$60</f>
        <v>522.17758251231044</v>
      </c>
    </row>
    <row r="61" spans="1:42" ht="11.25" customHeight="1" x14ac:dyDescent="0.25">
      <c r="A61" s="107"/>
      <c r="B61" s="107"/>
      <c r="C61" s="107"/>
      <c r="D61" s="17" t="s">
        <v>102</v>
      </c>
      <c r="E61" s="17" t="s">
        <v>25</v>
      </c>
      <c r="F61" s="17" t="s">
        <v>25</v>
      </c>
      <c r="G61" s="18" t="s">
        <v>88</v>
      </c>
      <c r="H61" s="18" t="s">
        <v>82</v>
      </c>
      <c r="I61" s="18">
        <f>'MERCADO TUSD'!$U$58</f>
        <v>0</v>
      </c>
      <c r="J61" s="15"/>
      <c r="L61" s="13">
        <f>'TUSD BE'!$L$61*'TUSD BF'!$L$75</f>
        <v>0.85171569784117518</v>
      </c>
      <c r="M61" s="13">
        <f>'TUSD BE'!$M$61*'TUSD BF'!$M$75</f>
        <v>0</v>
      </c>
      <c r="N61" s="13">
        <f ca="1">'TUSD BE'!$N$61*'TUSD BF'!$N$75</f>
        <v>0</v>
      </c>
      <c r="O61" s="13">
        <f>'TUSD BE'!$O$61*'TUSD BF'!$O$75</f>
        <v>0</v>
      </c>
      <c r="P61" s="13">
        <f>'TUSD BE'!$P$61*'TUSD BF'!$P$75</f>
        <v>0</v>
      </c>
      <c r="Q61" s="13">
        <f>'TUSD BE'!$Q$61*'TUSD BF'!$Q$75</f>
        <v>13.913510269651347</v>
      </c>
      <c r="R61" s="13">
        <f>'TUSD BE'!$R$61*'TUSD BF'!$R$75</f>
        <v>5.0442222398398489</v>
      </c>
      <c r="S61" s="13">
        <f>'TUSD BE'!$R$61*'TUSD BF'!$S$75</f>
        <v>0</v>
      </c>
      <c r="T61" s="13">
        <f ca="1">SUM($L$61:$S$61)</f>
        <v>19.809448207332373</v>
      </c>
      <c r="U61" s="13">
        <f>'TUSD BE'!$U$61*'TUSD BF'!$U$75</f>
        <v>2.3449866847410208</v>
      </c>
      <c r="V61" s="13">
        <f>'TUSD BE'!$V$61*'TUSD BF'!$V$75</f>
        <v>2.5542098160531044</v>
      </c>
      <c r="W61" s="13">
        <f>'TUSD BE'!$W$61*'TUSD BF'!$W$75</f>
        <v>0</v>
      </c>
      <c r="X61" s="13">
        <f>'TUSD BE'!$X$61*'TUSD BF'!$X$75</f>
        <v>0</v>
      </c>
      <c r="Y61" s="13">
        <f>'TUSD BE'!$Y$61*'TUSD BF'!$Y$75</f>
        <v>0</v>
      </c>
      <c r="Z61" s="13">
        <f>'TUSD BE'!$Z$61*'TUSD BF'!$Z$75</f>
        <v>0</v>
      </c>
      <c r="AA61" s="13">
        <f>'TUSD BE'!$AA$61*'TUSD BF'!$AA$75</f>
        <v>0</v>
      </c>
      <c r="AB61" s="13">
        <f>SUM($U$61:$AA$61)</f>
        <v>4.8991965007941252</v>
      </c>
      <c r="AC61" s="13">
        <f>'TUSD BE'!$AC$61*'TUSD BF'!$AC$75</f>
        <v>0</v>
      </c>
      <c r="AD61" s="13">
        <f>SUM($AC$61:$AC$61)</f>
        <v>0</v>
      </c>
      <c r="AE61" s="13">
        <f ca="1">$AO$61*$AO$72</f>
        <v>0</v>
      </c>
      <c r="AF61" s="13">
        <f ca="1">$AP$61*$AP$72</f>
        <v>0</v>
      </c>
      <c r="AG61" s="13">
        <f ca="1">SUM($AE$61:$AF$61)</f>
        <v>0</v>
      </c>
      <c r="AH61" s="13">
        <f>'TUSD BE'!$AH$61*'TUSD BF'!$AH$75</f>
        <v>-0.37057281817901716</v>
      </c>
      <c r="AI61" s="13">
        <f>'TUSD BE'!$AI$61*'TUSD BF'!$AI$75</f>
        <v>-1.7134941251558823E-2</v>
      </c>
      <c r="AJ61" s="13">
        <f ca="1">'TUSD BE'!$AJ$61*'TUSD BF'!$AJ$75</f>
        <v>-0.35799408591381504</v>
      </c>
      <c r="AK61" s="13">
        <f ca="1">'TUSD BE'!$AK$61*'TUSD BF'!$AK$75</f>
        <v>0</v>
      </c>
      <c r="AL61" s="13">
        <f ca="1">SUM($AH$61:$AK$61)</f>
        <v>-0.7457018453443911</v>
      </c>
      <c r="AM61" s="13">
        <f ca="1">SUMIF($L$4:$AL$4,"SUBTOTAL",$L$61:$AL$61)</f>
        <v>23.962942862782107</v>
      </c>
      <c r="AO61" s="20">
        <f ca="1">+'TUSD BE'!$T$61+'TUSD BE'!$AB$61+'TUSD BE'!$AD$61+'TUSD BE'!$AL$61</f>
        <v>522.17758251231044</v>
      </c>
      <c r="AP61" s="20">
        <f ca="1">+'TUSD BE'!$T$61+'TUSD BE'!$AB$61+'TUSD BE'!$AD$61+'TUSD BE'!$AL$61</f>
        <v>522.17758251231044</v>
      </c>
    </row>
    <row r="62" spans="1:42" ht="11.25" customHeight="1" x14ac:dyDescent="0.25">
      <c r="A62" s="107" t="s">
        <v>39</v>
      </c>
      <c r="B62" s="107" t="s">
        <v>35</v>
      </c>
      <c r="C62" s="107" t="s">
        <v>25</v>
      </c>
      <c r="D62" s="107" t="s">
        <v>25</v>
      </c>
      <c r="E62" s="107" t="s">
        <v>25</v>
      </c>
      <c r="F62" s="107" t="s">
        <v>25</v>
      </c>
      <c r="G62" s="18" t="s">
        <v>83</v>
      </c>
      <c r="H62" s="18" t="s">
        <v>82</v>
      </c>
      <c r="I62" s="18">
        <f>'MERCADO TUSD'!$U$59</f>
        <v>79.968999999999994</v>
      </c>
      <c r="J62" s="15"/>
      <c r="L62" s="13">
        <f>'TUSD BE'!$L$62*'TUSD BF'!$L$75</f>
        <v>0.85171569784117518</v>
      </c>
      <c r="M62" s="13">
        <f>'TUSD BE'!$M$62*'TUSD BF'!$M$75</f>
        <v>0</v>
      </c>
      <c r="N62" s="13">
        <f ca="1">'TUSD BE'!$N$62*'TUSD BF'!$N$75</f>
        <v>0</v>
      </c>
      <c r="O62" s="13">
        <f>'TUSD BE'!$O$62*'TUSD BF'!$O$75</f>
        <v>0</v>
      </c>
      <c r="P62" s="13">
        <f>'TUSD BE'!$P$62*'TUSD BF'!$P$75</f>
        <v>0</v>
      </c>
      <c r="Q62" s="13">
        <f>'TUSD BE'!$Q$62*'TUSD BF'!$Q$75</f>
        <v>13.913510269651347</v>
      </c>
      <c r="R62" s="13">
        <f>'TUSD BE'!$R$62*'TUSD BF'!$R$75</f>
        <v>5.0442222398398489</v>
      </c>
      <c r="S62" s="13">
        <f>'TUSD BE'!$R$62*'TUSD BF'!$S$75</f>
        <v>0</v>
      </c>
      <c r="T62" s="13">
        <f ca="1">SUM($L$62:$S$62)</f>
        <v>19.809448207332373</v>
      </c>
      <c r="U62" s="13">
        <f>'TUSD BE'!$U$62*'TUSD BF'!$U$75</f>
        <v>7.9729349291775193</v>
      </c>
      <c r="V62" s="13">
        <f>'TUSD BE'!$V$62*'TUSD BF'!$V$75</f>
        <v>8.6842851075396528</v>
      </c>
      <c r="W62" s="13">
        <f>'TUSD BE'!$W$62*'TUSD BF'!$W$75</f>
        <v>0</v>
      </c>
      <c r="X62" s="13">
        <f>'TUSD BE'!$X$62*'TUSD BF'!$X$75</f>
        <v>0</v>
      </c>
      <c r="Y62" s="13">
        <f>'TUSD BE'!$Y$62*'TUSD BF'!$Y$75</f>
        <v>0</v>
      </c>
      <c r="Z62" s="13">
        <f>'TUSD BE'!$Z$62*'TUSD BF'!$Z$75</f>
        <v>0</v>
      </c>
      <c r="AA62" s="13">
        <f>'TUSD BE'!$AA$62*'TUSD BF'!$AA$75</f>
        <v>0</v>
      </c>
      <c r="AB62" s="13">
        <f>SUM($U$62:$AA$62)</f>
        <v>16.65722003671717</v>
      </c>
      <c r="AC62" s="13">
        <f>'TUSD BE'!$AC$62*'TUSD BF'!$AC$75</f>
        <v>0</v>
      </c>
      <c r="AD62" s="13">
        <f>SUM($AC$62:$AC$62)</f>
        <v>0</v>
      </c>
      <c r="AE62" s="13">
        <f ca="1">$AO$62*$AO$72</f>
        <v>0</v>
      </c>
      <c r="AF62" s="13">
        <f ca="1">$AP$62*$AP$72</f>
        <v>0</v>
      </c>
      <c r="AG62" s="13">
        <f ca="1">SUM($AE$62:$AF$62)</f>
        <v>0</v>
      </c>
      <c r="AH62" s="13">
        <f>'TUSD BE'!$AH$62*'TUSD BF'!$AH$75</f>
        <v>-0.37057281817901716</v>
      </c>
      <c r="AI62" s="13">
        <f>'TUSD BE'!$AI$62*'TUSD BF'!$AI$75</f>
        <v>-1.7134941251558823E-2</v>
      </c>
      <c r="AJ62" s="13">
        <f ca="1">'TUSD BE'!$AJ$62*'TUSD BF'!$AJ$75</f>
        <v>-0.35799408591381504</v>
      </c>
      <c r="AK62" s="13">
        <f ca="1">'TUSD BE'!$AK$62*'TUSD BF'!$AK$75</f>
        <v>0</v>
      </c>
      <c r="AL62" s="13">
        <f ca="1">SUM($AH$62:$AK$62)</f>
        <v>-0.7457018453443911</v>
      </c>
      <c r="AM62" s="13">
        <f ca="1">SUMIF($L$4:$AL$4,"SUBTOTAL",$L$62:$AL$62)</f>
        <v>35.720966398705151</v>
      </c>
      <c r="AO62" s="20">
        <f ca="1">+'TUSD BE'!$T$62+'TUSD BE'!$AB$62+'TUSD BE'!$AD$62+'TUSD BE'!$AL$62</f>
        <v>1425.1140211685235</v>
      </c>
      <c r="AP62" s="20">
        <f ca="1">+'TUSD BE'!$T$62+'TUSD BE'!$AB$62+'TUSD BE'!$AD$62+'TUSD BE'!$AL$62</f>
        <v>1425.1140211685235</v>
      </c>
    </row>
    <row r="63" spans="1:42" ht="11.25" customHeight="1" x14ac:dyDescent="0.25">
      <c r="A63" s="107"/>
      <c r="B63" s="107"/>
      <c r="C63" s="107"/>
      <c r="D63" s="107"/>
      <c r="E63" s="107"/>
      <c r="F63" s="107"/>
      <c r="G63" s="18" t="s">
        <v>98</v>
      </c>
      <c r="H63" s="18" t="s">
        <v>82</v>
      </c>
      <c r="I63" s="18">
        <f>'MERCADO TUSD'!$U$60</f>
        <v>41.695999999999998</v>
      </c>
      <c r="J63" s="15"/>
      <c r="L63" s="13">
        <f>'TUSD BE'!$L$63*'TUSD BF'!$L$75</f>
        <v>0.85171569784117518</v>
      </c>
      <c r="M63" s="13">
        <f>'TUSD BE'!$M$63*'TUSD BF'!$M$75</f>
        <v>0</v>
      </c>
      <c r="N63" s="13">
        <f ca="1">'TUSD BE'!$N$63*'TUSD BF'!$N$75</f>
        <v>0</v>
      </c>
      <c r="O63" s="13">
        <f>'TUSD BE'!$O$63*'TUSD BF'!$O$75</f>
        <v>0</v>
      </c>
      <c r="P63" s="13">
        <f>'TUSD BE'!$P$63*'TUSD BF'!$P$75</f>
        <v>0</v>
      </c>
      <c r="Q63" s="13">
        <f>'TUSD BE'!$Q$63*'TUSD BF'!$Q$75</f>
        <v>13.913510269651347</v>
      </c>
      <c r="R63" s="13">
        <f>'TUSD BE'!$R$63*'TUSD BF'!$R$75</f>
        <v>5.0442222398398489</v>
      </c>
      <c r="S63" s="13">
        <f>'TUSD BE'!$R$63*'TUSD BF'!$S$75</f>
        <v>0</v>
      </c>
      <c r="T63" s="13">
        <f ca="1">SUM($L$63:$S$63)</f>
        <v>19.809448207332373</v>
      </c>
      <c r="U63" s="13">
        <f>'TUSD BE'!$U$63*'TUSD BF'!$U$75</f>
        <v>4.7837609575065114</v>
      </c>
      <c r="V63" s="13">
        <f>'TUSD BE'!$V$63*'TUSD BF'!$V$75</f>
        <v>5.2105767179319713</v>
      </c>
      <c r="W63" s="13">
        <f>'TUSD BE'!$W$63*'TUSD BF'!$W$75</f>
        <v>0</v>
      </c>
      <c r="X63" s="13">
        <f>'TUSD BE'!$X$63*'TUSD BF'!$X$75</f>
        <v>0</v>
      </c>
      <c r="Y63" s="13">
        <f>'TUSD BE'!$Y$63*'TUSD BF'!$Y$75</f>
        <v>0</v>
      </c>
      <c r="Z63" s="13">
        <f>'TUSD BE'!$Z$63*'TUSD BF'!$Z$75</f>
        <v>0</v>
      </c>
      <c r="AA63" s="13">
        <f>'TUSD BE'!$AA$63*'TUSD BF'!$AA$75</f>
        <v>0</v>
      </c>
      <c r="AB63" s="13">
        <f>SUM($U$63:$AA$63)</f>
        <v>9.9943376754384836</v>
      </c>
      <c r="AC63" s="13">
        <f>'TUSD BE'!$AC$63*'TUSD BF'!$AC$75</f>
        <v>0</v>
      </c>
      <c r="AD63" s="13">
        <f>SUM($AC$63:$AC$63)</f>
        <v>0</v>
      </c>
      <c r="AE63" s="13">
        <f ca="1">$AO$63*$AO$72</f>
        <v>0</v>
      </c>
      <c r="AF63" s="13">
        <f ca="1">$AP$63*$AP$72</f>
        <v>0</v>
      </c>
      <c r="AG63" s="13">
        <f ca="1">SUM($AE$63:$AF$63)</f>
        <v>0</v>
      </c>
      <c r="AH63" s="13">
        <f>'TUSD BE'!$AH$63*'TUSD BF'!$AH$75</f>
        <v>-0.37057281817901716</v>
      </c>
      <c r="AI63" s="13">
        <f>'TUSD BE'!$AI$63*'TUSD BF'!$AI$75</f>
        <v>-1.7134941251558823E-2</v>
      </c>
      <c r="AJ63" s="13">
        <f ca="1">'TUSD BE'!$AJ$63*'TUSD BF'!$AJ$75</f>
        <v>-0.35799408591381504</v>
      </c>
      <c r="AK63" s="13">
        <f ca="1">'TUSD BE'!$AK$63*'TUSD BF'!$AK$75</f>
        <v>0</v>
      </c>
      <c r="AL63" s="13">
        <f ca="1">SUM($AH$63:$AK$63)</f>
        <v>-0.7457018453443911</v>
      </c>
      <c r="AM63" s="13">
        <f ca="1">SUMIF($L$4:$AL$4,"SUBTOTAL",$L$63:$AL$63)</f>
        <v>29.058084037426465</v>
      </c>
      <c r="AO63" s="20">
        <f ca="1">+'TUSD BE'!$T$63+'TUSD BE'!$AB$63+'TUSD BE'!$AD$63+'TUSD BE'!$AL$63</f>
        <v>913.44993934905597</v>
      </c>
      <c r="AP63" s="20">
        <f ca="1">+'TUSD BE'!$T$63+'TUSD BE'!$AB$63+'TUSD BE'!$AD$63+'TUSD BE'!$AL$63</f>
        <v>913.44993934905597</v>
      </c>
    </row>
    <row r="64" spans="1:42" ht="11.25" customHeight="1" x14ac:dyDescent="0.25">
      <c r="A64" s="107"/>
      <c r="B64" s="107"/>
      <c r="C64" s="107"/>
      <c r="D64" s="107"/>
      <c r="E64" s="107"/>
      <c r="F64" s="107"/>
      <c r="G64" s="18" t="s">
        <v>84</v>
      </c>
      <c r="H64" s="18" t="s">
        <v>82</v>
      </c>
      <c r="I64" s="18">
        <f>'MERCADO TUSD'!$U$61</f>
        <v>1338.2650000000001</v>
      </c>
      <c r="J64" s="15"/>
      <c r="L64" s="13">
        <f>'TUSD BE'!$L$64*'TUSD BF'!$L$75</f>
        <v>0.85171569784117518</v>
      </c>
      <c r="M64" s="13">
        <f>'TUSD BE'!$M$64*'TUSD BF'!$M$75</f>
        <v>0</v>
      </c>
      <c r="N64" s="13">
        <f ca="1">'TUSD BE'!$N$64*'TUSD BF'!$N$75</f>
        <v>0</v>
      </c>
      <c r="O64" s="13">
        <f>'TUSD BE'!$O$64*'TUSD BF'!$O$75</f>
        <v>0</v>
      </c>
      <c r="P64" s="13">
        <f>'TUSD BE'!$P$64*'TUSD BF'!$P$75</f>
        <v>0</v>
      </c>
      <c r="Q64" s="13">
        <f>'TUSD BE'!$Q$64*'TUSD BF'!$Q$75</f>
        <v>13.913510269651347</v>
      </c>
      <c r="R64" s="13">
        <f>'TUSD BE'!$R$64*'TUSD BF'!$R$75</f>
        <v>5.0442222398398489</v>
      </c>
      <c r="S64" s="13">
        <f>'TUSD BE'!$R$64*'TUSD BF'!$S$75</f>
        <v>0</v>
      </c>
      <c r="T64" s="13">
        <f ca="1">SUM($L$64:$S$64)</f>
        <v>19.809448207332373</v>
      </c>
      <c r="U64" s="13">
        <f>'TUSD BE'!$U$64*'TUSD BF'!$U$75</f>
        <v>1.594586985835504</v>
      </c>
      <c r="V64" s="13">
        <f>'TUSD BE'!$V$64*'TUSD BF'!$V$75</f>
        <v>1.7368683283242918</v>
      </c>
      <c r="W64" s="13">
        <f>'TUSD BE'!$W$64*'TUSD BF'!$W$75</f>
        <v>0</v>
      </c>
      <c r="X64" s="13">
        <f>'TUSD BE'!$X$64*'TUSD BF'!$X$75</f>
        <v>0</v>
      </c>
      <c r="Y64" s="13">
        <f>'TUSD BE'!$Y$64*'TUSD BF'!$Y$75</f>
        <v>0</v>
      </c>
      <c r="Z64" s="13">
        <f>'TUSD BE'!$Z$64*'TUSD BF'!$Z$75</f>
        <v>0</v>
      </c>
      <c r="AA64" s="13">
        <f>'TUSD BE'!$AA$64*'TUSD BF'!$AA$75</f>
        <v>0</v>
      </c>
      <c r="AB64" s="13">
        <f>SUM($U$64:$AA$64)</f>
        <v>3.331455314159796</v>
      </c>
      <c r="AC64" s="13">
        <f>'TUSD BE'!$AC$64*'TUSD BF'!$AC$75</f>
        <v>0</v>
      </c>
      <c r="AD64" s="13">
        <f>SUM($AC$64:$AC$64)</f>
        <v>0</v>
      </c>
      <c r="AE64" s="13">
        <f ca="1">$AO$64*$AO$72</f>
        <v>0</v>
      </c>
      <c r="AF64" s="13">
        <f ca="1">$AP$64*$AP$72</f>
        <v>0</v>
      </c>
      <c r="AG64" s="13">
        <f ca="1">SUM($AE$64:$AF$64)</f>
        <v>0</v>
      </c>
      <c r="AH64" s="13">
        <f>'TUSD BE'!$AH$64*'TUSD BF'!$AH$75</f>
        <v>-0.37057281817901716</v>
      </c>
      <c r="AI64" s="13">
        <f>'TUSD BE'!$AI$64*'TUSD BF'!$AI$75</f>
        <v>-1.7134941251558823E-2</v>
      </c>
      <c r="AJ64" s="13">
        <f ca="1">'TUSD BE'!$AJ$64*'TUSD BF'!$AJ$75</f>
        <v>-0.35799408591381504</v>
      </c>
      <c r="AK64" s="13">
        <f ca="1">'TUSD BE'!$AK$64*'TUSD BF'!$AK$75</f>
        <v>0</v>
      </c>
      <c r="AL64" s="13">
        <f ca="1">SUM($AH$64:$AK$64)</f>
        <v>-0.7457018453443911</v>
      </c>
      <c r="AM64" s="13">
        <f ca="1">SUMIF($L$4:$AL$4,"SUBTOTAL",$L$64:$AL$64)</f>
        <v>22.395201676147778</v>
      </c>
      <c r="AO64" s="20">
        <f ca="1">+'TUSD BE'!$T$64+'TUSD BE'!$AB$64+'TUSD BE'!$AD$64+'TUSD BE'!$AL$64</f>
        <v>401.7858575295885</v>
      </c>
      <c r="AP64" s="20">
        <f ca="1">+'TUSD BE'!$T$64+'TUSD BE'!$AB$64+'TUSD BE'!$AD$64+'TUSD BE'!$AL$64</f>
        <v>401.7858575295885</v>
      </c>
    </row>
    <row r="65" spans="1:42" ht="11.25" customHeight="1" x14ac:dyDescent="0.25">
      <c r="A65" s="107"/>
      <c r="B65" s="17" t="s">
        <v>23</v>
      </c>
      <c r="C65" s="17" t="s">
        <v>25</v>
      </c>
      <c r="D65" s="17" t="s">
        <v>25</v>
      </c>
      <c r="E65" s="17" t="s">
        <v>25</v>
      </c>
      <c r="F65" s="17" t="s">
        <v>25</v>
      </c>
      <c r="G65" s="18" t="s">
        <v>88</v>
      </c>
      <c r="H65" s="18" t="s">
        <v>82</v>
      </c>
      <c r="I65" s="18">
        <f>'MERCADO TUSD'!$U$62</f>
        <v>209665.67300000001</v>
      </c>
      <c r="J65" s="15"/>
      <c r="L65" s="13">
        <f>'TUSD BE'!$L$65*'TUSD BF'!$L$75</f>
        <v>0.85171569784117518</v>
      </c>
      <c r="M65" s="13">
        <f>'TUSD BE'!$M$65*'TUSD BF'!$M$75</f>
        <v>0</v>
      </c>
      <c r="N65" s="13">
        <f ca="1">'TUSD BE'!$N$65*'TUSD BF'!$N$75</f>
        <v>0</v>
      </c>
      <c r="O65" s="13">
        <f>'TUSD BE'!$O$65*'TUSD BF'!$O$75</f>
        <v>0</v>
      </c>
      <c r="P65" s="13">
        <f>'TUSD BE'!$P$65*'TUSD BF'!$P$75</f>
        <v>0</v>
      </c>
      <c r="Q65" s="13">
        <f>'TUSD BE'!$Q$65*'TUSD BF'!$Q$75</f>
        <v>13.913510269651347</v>
      </c>
      <c r="R65" s="13">
        <f>'TUSD BE'!$R$65*'TUSD BF'!$R$75</f>
        <v>5.0442222398398489</v>
      </c>
      <c r="S65" s="13">
        <f>'TUSD BE'!$R$65*'TUSD BF'!$S$75</f>
        <v>0</v>
      </c>
      <c r="T65" s="13">
        <f ca="1">SUM($L$65:$S$65)</f>
        <v>19.809448207332373</v>
      </c>
      <c r="U65" s="13">
        <f>'TUSD BE'!$U$65*'TUSD BF'!$U$75</f>
        <v>2.3449866847410208</v>
      </c>
      <c r="V65" s="13">
        <f>'TUSD BE'!$V$65*'TUSD BF'!$V$75</f>
        <v>2.5542098160531044</v>
      </c>
      <c r="W65" s="13">
        <f>'TUSD BE'!$W$65*'TUSD BF'!$W$75</f>
        <v>0</v>
      </c>
      <c r="X65" s="13">
        <f>'TUSD BE'!$X$65*'TUSD BF'!$X$75</f>
        <v>0</v>
      </c>
      <c r="Y65" s="13">
        <f>'TUSD BE'!$Y$65*'TUSD BF'!$Y$75</f>
        <v>0</v>
      </c>
      <c r="Z65" s="13">
        <f>'TUSD BE'!$Z$65*'TUSD BF'!$Z$75</f>
        <v>0</v>
      </c>
      <c r="AA65" s="13">
        <f>'TUSD BE'!$AA$65*'TUSD BF'!$AA$75</f>
        <v>0</v>
      </c>
      <c r="AB65" s="13">
        <f>SUM($U$65:$AA$65)</f>
        <v>4.8991965007941252</v>
      </c>
      <c r="AC65" s="13">
        <f>'TUSD BE'!$AC$65*'TUSD BF'!$AC$75</f>
        <v>0</v>
      </c>
      <c r="AD65" s="13">
        <f>SUM($AC$65:$AC$65)</f>
        <v>0</v>
      </c>
      <c r="AE65" s="13">
        <f ca="1">$AO$65*$AO$72</f>
        <v>0</v>
      </c>
      <c r="AF65" s="13">
        <f ca="1">$AP$65*$AP$72</f>
        <v>0</v>
      </c>
      <c r="AG65" s="13">
        <f ca="1">SUM($AE$65:$AF$65)</f>
        <v>0</v>
      </c>
      <c r="AH65" s="13">
        <f>'TUSD BE'!$AH$65*'TUSD BF'!$AH$75</f>
        <v>-0.37057281817901716</v>
      </c>
      <c r="AI65" s="13">
        <f>'TUSD BE'!$AI$65*'TUSD BF'!$AI$75</f>
        <v>-1.7134941251558823E-2</v>
      </c>
      <c r="AJ65" s="13">
        <f ca="1">'TUSD BE'!$AJ$65*'TUSD BF'!$AJ$75</f>
        <v>-0.35799408591381504</v>
      </c>
      <c r="AK65" s="13">
        <f ca="1">'TUSD BE'!$AK$65*'TUSD BF'!$AK$75</f>
        <v>0</v>
      </c>
      <c r="AL65" s="13">
        <f ca="1">SUM($AH$65:$AK$65)</f>
        <v>-0.7457018453443911</v>
      </c>
      <c r="AM65" s="13">
        <f ca="1">SUMIF($L$4:$AL$4,"SUBTOTAL",$L$65:$AL$65)</f>
        <v>23.962942862782107</v>
      </c>
      <c r="AO65" s="20">
        <f ca="1">+'TUSD BE'!$T$65+'TUSD BE'!$AB$65+'TUSD BE'!$AD$65+'TUSD BE'!$AL$65</f>
        <v>522.17758251231044</v>
      </c>
      <c r="AP65" s="20">
        <f ca="1">+'TUSD BE'!$T$65+'TUSD BE'!$AB$65+'TUSD BE'!$AD$65+'TUSD BE'!$AL$65</f>
        <v>522.17758251231044</v>
      </c>
    </row>
    <row r="66" spans="1:42" ht="11.25" customHeight="1" x14ac:dyDescent="0.25">
      <c r="A66" s="107"/>
      <c r="B66" s="17" t="s">
        <v>100</v>
      </c>
      <c r="C66" s="17" t="s">
        <v>25</v>
      </c>
      <c r="D66" s="17" t="s">
        <v>25</v>
      </c>
      <c r="E66" s="17" t="s">
        <v>25</v>
      </c>
      <c r="F66" s="17" t="s">
        <v>25</v>
      </c>
      <c r="G66" s="18" t="s">
        <v>88</v>
      </c>
      <c r="H66" s="18" t="s">
        <v>82</v>
      </c>
      <c r="I66" s="18">
        <f>'MERCADO TUSD'!$U$63</f>
        <v>0</v>
      </c>
      <c r="J66" s="15"/>
      <c r="L66" s="13">
        <f>'TUSD BE'!$L$66*'TUSD BF'!$L$75</f>
        <v>0.85171569784117518</v>
      </c>
      <c r="M66" s="13">
        <f>'TUSD BE'!$M$66*'TUSD BF'!$M$75</f>
        <v>0</v>
      </c>
      <c r="N66" s="13">
        <f ca="1">'TUSD BE'!$N$66*'TUSD BF'!$N$75</f>
        <v>0</v>
      </c>
      <c r="O66" s="13">
        <f>'TUSD BE'!$O$66*'TUSD BF'!$O$75</f>
        <v>0</v>
      </c>
      <c r="P66" s="13">
        <f>'TUSD BE'!$P$66*'TUSD BF'!$P$75</f>
        <v>0</v>
      </c>
      <c r="Q66" s="13">
        <f>'TUSD BE'!$Q$66*'TUSD BF'!$Q$75</f>
        <v>13.913510269651347</v>
      </c>
      <c r="R66" s="13">
        <f>'TUSD BE'!$R$66*'TUSD BF'!$R$75</f>
        <v>5.0442222398398489</v>
      </c>
      <c r="S66" s="13">
        <f>'TUSD BE'!$R$66*'TUSD BF'!$S$75</f>
        <v>0</v>
      </c>
      <c r="T66" s="13">
        <f ca="1">SUM($L$66:$S$66)</f>
        <v>19.809448207332373</v>
      </c>
      <c r="U66" s="13">
        <f>'TUSD BE'!$U$66*'TUSD BF'!$U$75</f>
        <v>2.3449866847410208</v>
      </c>
      <c r="V66" s="13">
        <f>'TUSD BE'!$V$66*'TUSD BF'!$V$75</f>
        <v>2.5542098160531044</v>
      </c>
      <c r="W66" s="13">
        <f>'TUSD BE'!$W$66*'TUSD BF'!$W$75</f>
        <v>0</v>
      </c>
      <c r="X66" s="13">
        <f>'TUSD BE'!$X$66*'TUSD BF'!$X$75</f>
        <v>0</v>
      </c>
      <c r="Y66" s="13">
        <f>'TUSD BE'!$Y$66*'TUSD BF'!$Y$75</f>
        <v>0</v>
      </c>
      <c r="Z66" s="13">
        <f>'TUSD BE'!$Z$66*'TUSD BF'!$Z$75</f>
        <v>0</v>
      </c>
      <c r="AA66" s="13">
        <f>'TUSD BE'!$AA$66*'TUSD BF'!$AA$75</f>
        <v>0</v>
      </c>
      <c r="AB66" s="13">
        <f>SUM($U$66:$AA$66)</f>
        <v>4.8991965007941252</v>
      </c>
      <c r="AC66" s="13">
        <f>'TUSD BE'!$AC$66*'TUSD BF'!$AC$75</f>
        <v>0</v>
      </c>
      <c r="AD66" s="13">
        <f>SUM($AC$66:$AC$66)</f>
        <v>0</v>
      </c>
      <c r="AE66" s="13">
        <f ca="1">$AO$66*$AO$72</f>
        <v>0</v>
      </c>
      <c r="AF66" s="13">
        <f ca="1">$AP$66*$AP$72</f>
        <v>0</v>
      </c>
      <c r="AG66" s="13">
        <f ca="1">SUM($AE$66:$AF$66)</f>
        <v>0</v>
      </c>
      <c r="AH66" s="13">
        <f>'TUSD BE'!$AH$66*'TUSD BF'!$AH$75</f>
        <v>-0.37057281817901716</v>
      </c>
      <c r="AI66" s="13">
        <f>'TUSD BE'!$AI$66*'TUSD BF'!$AI$75</f>
        <v>-1.7134941251558823E-2</v>
      </c>
      <c r="AJ66" s="13">
        <f ca="1">'TUSD BE'!$AJ$66*'TUSD BF'!$AJ$75</f>
        <v>-0.35799408591381504</v>
      </c>
      <c r="AK66" s="13">
        <f ca="1">'TUSD BE'!$AK$66*'TUSD BF'!$AK$75</f>
        <v>0</v>
      </c>
      <c r="AL66" s="13">
        <f ca="1">SUM($AH$66:$AK$66)</f>
        <v>-0.7457018453443911</v>
      </c>
      <c r="AM66" s="13">
        <f ca="1">SUMIF($L$4:$AL$4,"SUBTOTAL",$L$66:$AL$66)</f>
        <v>23.962942862782107</v>
      </c>
      <c r="AO66" s="20">
        <f ca="1">+'TUSD BE'!$T$66+'TUSD BE'!$AB$66+'TUSD BE'!$AD$66+'TUSD BE'!$AL$66</f>
        <v>522.17758251231044</v>
      </c>
      <c r="AP66" s="20">
        <f ca="1">+'TUSD BE'!$T$66+'TUSD BE'!$AB$66+'TUSD BE'!$AD$66+'TUSD BE'!$AL$66</f>
        <v>522.17758251231044</v>
      </c>
    </row>
    <row r="67" spans="1:42" ht="11.25" customHeight="1" x14ac:dyDescent="0.25">
      <c r="A67" s="107" t="s">
        <v>49</v>
      </c>
      <c r="B67" s="107" t="s">
        <v>23</v>
      </c>
      <c r="C67" s="107" t="s">
        <v>50</v>
      </c>
      <c r="D67" s="17" t="s">
        <v>51</v>
      </c>
      <c r="E67" s="17" t="s">
        <v>25</v>
      </c>
      <c r="F67" s="17" t="s">
        <v>25</v>
      </c>
      <c r="G67" s="18" t="s">
        <v>88</v>
      </c>
      <c r="H67" s="18" t="s">
        <v>82</v>
      </c>
      <c r="I67" s="18">
        <f>'MERCADO TUSD'!$U$64</f>
        <v>49365.182000000001</v>
      </c>
      <c r="J67" s="15"/>
      <c r="L67" s="13">
        <f>'TUSD BE'!$L$67*'TUSD BF'!$L$75</f>
        <v>0.46844363381264642</v>
      </c>
      <c r="M67" s="13">
        <f>'TUSD BE'!$M$67*'TUSD BF'!$M$75</f>
        <v>0</v>
      </c>
      <c r="N67" s="13">
        <f ca="1">'TUSD BE'!$N$67*'TUSD BF'!$N$75</f>
        <v>0</v>
      </c>
      <c r="O67" s="13">
        <f>'TUSD BE'!$O$67*'TUSD BF'!$O$75</f>
        <v>0</v>
      </c>
      <c r="P67" s="13">
        <f>'TUSD BE'!$P$67*'TUSD BF'!$P$75</f>
        <v>0</v>
      </c>
      <c r="Q67" s="13">
        <f>'TUSD BE'!$Q$67*'TUSD BF'!$Q$75</f>
        <v>7.6524306483082416</v>
      </c>
      <c r="R67" s="13">
        <f>'TUSD BE'!$R$67*'TUSD BF'!$R$75</f>
        <v>2.774322231911917</v>
      </c>
      <c r="S67" s="13">
        <f>'TUSD BE'!$R$67*'TUSD BF'!$S$75</f>
        <v>0</v>
      </c>
      <c r="T67" s="13">
        <f ca="1">SUM($L$67:$S$67)</f>
        <v>10.895196514032804</v>
      </c>
      <c r="U67" s="13">
        <f>'TUSD BE'!$U$67*'TUSD BF'!$U$75</f>
        <v>1.2897426766075615</v>
      </c>
      <c r="V67" s="13">
        <f>'TUSD BE'!$V$67*'TUSD BF'!$V$75</f>
        <v>1.4048153988292076</v>
      </c>
      <c r="W67" s="13">
        <f>'TUSD BE'!$W$67*'TUSD BF'!$W$75</f>
        <v>0</v>
      </c>
      <c r="X67" s="13">
        <f>'TUSD BE'!$X$67*'TUSD BF'!$X$75</f>
        <v>0</v>
      </c>
      <c r="Y67" s="13">
        <f>'TUSD BE'!$Y$67*'TUSD BF'!$Y$75</f>
        <v>0</v>
      </c>
      <c r="Z67" s="13">
        <f>'TUSD BE'!$Z$67*'TUSD BF'!$Z$75</f>
        <v>0</v>
      </c>
      <c r="AA67" s="13">
        <f>'TUSD BE'!$AA$67*'TUSD BF'!$AA$75</f>
        <v>0</v>
      </c>
      <c r="AB67" s="13">
        <f>SUM($U$67:$AA$67)</f>
        <v>2.6945580754367691</v>
      </c>
      <c r="AC67" s="13">
        <f>'TUSD BE'!$AC$67*'TUSD BF'!$AC$75</f>
        <v>0</v>
      </c>
      <c r="AD67" s="13">
        <f>SUM($AC$67:$AC$67)</f>
        <v>0</v>
      </c>
      <c r="AE67" s="13">
        <f ca="1">$AO$67*$AO$72</f>
        <v>0</v>
      </c>
      <c r="AF67" s="13">
        <f ca="1">$AP$67*$AP$72</f>
        <v>0</v>
      </c>
      <c r="AG67" s="13">
        <f ca="1">SUM($AE$67:$AF$67)</f>
        <v>0</v>
      </c>
      <c r="AH67" s="13">
        <f>'TUSD BE'!$AH$67*'TUSD BF'!$AH$75</f>
        <v>-0.20381504999845945</v>
      </c>
      <c r="AI67" s="13">
        <f>'TUSD BE'!$AI$67*'TUSD BF'!$AI$75</f>
        <v>-9.4242176883573541E-3</v>
      </c>
      <c r="AJ67" s="13">
        <f ca="1">'TUSD BE'!$AJ$67*'TUSD BF'!$AJ$75</f>
        <v>-0.19689674725259829</v>
      </c>
      <c r="AK67" s="13">
        <f ca="1">'TUSD BE'!$AK$67*'TUSD BF'!$AK$75</f>
        <v>0</v>
      </c>
      <c r="AL67" s="13">
        <f ca="1">SUM($AH$67:$AK$67)</f>
        <v>-0.41013601493941509</v>
      </c>
      <c r="AM67" s="13">
        <f ca="1">SUMIF($L$4:$AL$4,"SUBTOTAL",$L$67:$AL$67)</f>
        <v>13.179618574530158</v>
      </c>
      <c r="AO67" s="20">
        <f ca="1">+'TUSD BE'!$T$67+'TUSD BE'!$AB$67+'TUSD BE'!$AD$67+'TUSD BE'!$AL$67</f>
        <v>287.19767038177076</v>
      </c>
      <c r="AP67" s="20">
        <f ca="1">+'TUSD BE'!$T$67+'TUSD BE'!$AB$67+'TUSD BE'!$AD$67+'TUSD BE'!$AL$67</f>
        <v>287.19767038177076</v>
      </c>
    </row>
    <row r="68" spans="1:42" ht="11.25" customHeight="1" x14ac:dyDescent="0.25">
      <c r="A68" s="107"/>
      <c r="B68" s="107"/>
      <c r="C68" s="107"/>
      <c r="D68" s="18" t="s">
        <v>103</v>
      </c>
      <c r="E68" s="18" t="s">
        <v>25</v>
      </c>
      <c r="F68" s="18" t="s">
        <v>25</v>
      </c>
      <c r="G68" s="18" t="s">
        <v>88</v>
      </c>
      <c r="H68" s="18" t="s">
        <v>82</v>
      </c>
      <c r="I68" s="18">
        <f>'MERCADO TUSD'!$U$65</f>
        <v>0</v>
      </c>
      <c r="J68" s="15"/>
      <c r="L68" s="13">
        <f>'TUSD BE'!$L$68*'TUSD BF'!$L$75</f>
        <v>0.51102941870470509</v>
      </c>
      <c r="M68" s="13">
        <f>'TUSD BE'!$M$68*'TUSD BF'!$M$75</f>
        <v>0</v>
      </c>
      <c r="N68" s="13">
        <f ca="1">'TUSD BE'!$N$68*'TUSD BF'!$N$75</f>
        <v>0</v>
      </c>
      <c r="O68" s="13">
        <f>'TUSD BE'!$O$68*'TUSD BF'!$O$75</f>
        <v>0</v>
      </c>
      <c r="P68" s="13">
        <f>'TUSD BE'!$P$68*'TUSD BF'!$P$75</f>
        <v>0</v>
      </c>
      <c r="Q68" s="13">
        <f>'TUSD BE'!$Q$68*'TUSD BF'!$Q$75</f>
        <v>8.3481061617908061</v>
      </c>
      <c r="R68" s="13">
        <f>'TUSD BE'!$R$68*'TUSD BF'!$R$75</f>
        <v>3.026533343903909</v>
      </c>
      <c r="S68" s="13">
        <f>'TUSD BE'!$R$68*'TUSD BF'!$S$75</f>
        <v>0</v>
      </c>
      <c r="T68" s="13">
        <f ca="1">SUM($L$68:$S$68)</f>
        <v>11.88566892439942</v>
      </c>
      <c r="U68" s="13">
        <f>'TUSD BE'!$U$68*'TUSD BF'!$U$75</f>
        <v>1.4069920108446123</v>
      </c>
      <c r="V68" s="13">
        <f>'TUSD BE'!$V$68*'TUSD BF'!$V$75</f>
        <v>1.5325258896318625</v>
      </c>
      <c r="W68" s="13">
        <f>'TUSD BE'!$W$68*'TUSD BF'!$W$75</f>
        <v>0</v>
      </c>
      <c r="X68" s="13">
        <f>'TUSD BE'!$X$68*'TUSD BF'!$X$75</f>
        <v>0</v>
      </c>
      <c r="Y68" s="13">
        <f>'TUSD BE'!$Y$68*'TUSD BF'!$Y$75</f>
        <v>0</v>
      </c>
      <c r="Z68" s="13">
        <f>'TUSD BE'!$Z$68*'TUSD BF'!$Z$75</f>
        <v>0</v>
      </c>
      <c r="AA68" s="13">
        <f>'TUSD BE'!$AA$68*'TUSD BF'!$AA$75</f>
        <v>0</v>
      </c>
      <c r="AB68" s="13">
        <f>SUM($U$68:$AA$68)</f>
        <v>2.9395179004764751</v>
      </c>
      <c r="AC68" s="13">
        <f>'TUSD BE'!$AC$68*'TUSD BF'!$AC$75</f>
        <v>0</v>
      </c>
      <c r="AD68" s="13">
        <f>SUM($AC$68:$AC$68)</f>
        <v>0</v>
      </c>
      <c r="AE68" s="13">
        <f ca="1">$AO$68*$AO$72</f>
        <v>0</v>
      </c>
      <c r="AF68" s="13">
        <f ca="1">$AP$68*$AP$72</f>
        <v>0</v>
      </c>
      <c r="AG68" s="13">
        <f ca="1">SUM($AE$68:$AF$68)</f>
        <v>0</v>
      </c>
      <c r="AH68" s="13">
        <f>'TUSD BE'!$AH$68*'TUSD BF'!$AH$75</f>
        <v>-0.2223436909074103</v>
      </c>
      <c r="AI68" s="13">
        <f>'TUSD BE'!$AI$68*'TUSD BF'!$AI$75</f>
        <v>-1.0280964750935293E-2</v>
      </c>
      <c r="AJ68" s="13">
        <f ca="1">'TUSD BE'!$AJ$68*'TUSD BF'!$AJ$75</f>
        <v>-0.21479645154828902</v>
      </c>
      <c r="AK68" s="13">
        <f ca="1">'TUSD BE'!$AK$68*'TUSD BF'!$AK$75</f>
        <v>0</v>
      </c>
      <c r="AL68" s="13">
        <f ca="1">SUM($AH$68:$AK$68)</f>
        <v>-0.44742110720663464</v>
      </c>
      <c r="AM68" s="13">
        <f ca="1">SUMIF($L$4:$AL$4,"SUBTOTAL",$L$68:$AL$68)</f>
        <v>14.377765717669261</v>
      </c>
      <c r="AO68" s="20">
        <f ca="1">+'TUSD BE'!$T$68+'TUSD BE'!$AB$68+'TUSD BE'!$AD$68+'TUSD BE'!$AL$68</f>
        <v>313.30654950738625</v>
      </c>
      <c r="AP68" s="20">
        <f ca="1">+'TUSD BE'!$T$68+'TUSD BE'!$AB$68+'TUSD BE'!$AD$68+'TUSD BE'!$AL$68</f>
        <v>313.30654950738625</v>
      </c>
    </row>
    <row r="70" spans="1:42" ht="11.25" customHeight="1" x14ac:dyDescent="0.25">
      <c r="K70" s="16" t="s">
        <v>844</v>
      </c>
      <c r="L70" s="13">
        <f>SUMPRODUCT($I$5:$I68,$L$5:$L68)</f>
        <v>812234.47695218981</v>
      </c>
      <c r="M70" s="13">
        <f>SUMPRODUCT($I$5:$I68,$M$5:$M68)</f>
        <v>0</v>
      </c>
      <c r="N70" s="13">
        <f ca="1">SUMPRODUCT($I$5:$I68,$N$5:$N68)</f>
        <v>0</v>
      </c>
      <c r="O70" s="13">
        <f>SUMPRODUCT($I$5:$I68,$O$5:$O68)</f>
        <v>0</v>
      </c>
      <c r="P70" s="13">
        <f>SUMPRODUCT($I$5:$I68,$P$5:$P68)</f>
        <v>0</v>
      </c>
      <c r="Q70" s="13">
        <f>SUMPRODUCT($I$5:$I68,$Q$5:$Q68)</f>
        <v>13268550.485900002</v>
      </c>
      <c r="R70" s="13">
        <f>SUMPRODUCT($I$5:$I68,$R$5:$R68)</f>
        <v>5029050.7886000006</v>
      </c>
      <c r="S70" s="13">
        <f>SUMPRODUCT($I$5:$I68,$S$5:$S68)</f>
        <v>0</v>
      </c>
      <c r="T70" s="13">
        <f ca="1">SUMPRODUCT($I$5:$I68,$T$5:$T68)</f>
        <v>19109835.751452189</v>
      </c>
      <c r="U70" s="13">
        <f>SUMPRODUCT($I$5:$I68,$U$5:$U68)</f>
        <v>2809735.872308217</v>
      </c>
      <c r="V70" s="13">
        <f>SUMPRODUCT($I$5:$I68,$V$5:$V68)</f>
        <v>3081693.5533917793</v>
      </c>
      <c r="W70" s="13">
        <f>SUMPRODUCT($I$5:$I68,$W$5:$W68)</f>
        <v>0</v>
      </c>
      <c r="X70" s="13">
        <f>SUMPRODUCT($I$5:$I68,$X$5:$X68)</f>
        <v>0</v>
      </c>
      <c r="Y70" s="13">
        <f>SUMPRODUCT($I$5:$I68,$Y$5:$Y68)</f>
        <v>0</v>
      </c>
      <c r="Z70" s="13">
        <f>SUMPRODUCT($I$5:$I68,$Z$5:$Z68)</f>
        <v>0</v>
      </c>
      <c r="AA70" s="13">
        <f>SUMPRODUCT($I$5:$I68,$AA$5:$AA68)</f>
        <v>0</v>
      </c>
      <c r="AB70" s="13">
        <f>SUMPRODUCT($I$5:$I68,$AB$5:$AB68)</f>
        <v>5891429.4256999949</v>
      </c>
      <c r="AC70" s="13">
        <f>SUMPRODUCT($I$5:$I68,$AC$5:$AC68)</f>
        <v>0</v>
      </c>
      <c r="AD70" s="13">
        <f>SUMPRODUCT($I$5:$I68,$AD$5:$AD68)</f>
        <v>0</v>
      </c>
      <c r="AE70" s="13">
        <f ca="1">SUMPRODUCT($I$5:$I68,$AE$5:$AE68)</f>
        <v>0</v>
      </c>
      <c r="AF70" s="13">
        <f ca="1">SUMPRODUCT($I$5:$I68,$AF$5:$AF68)</f>
        <v>0</v>
      </c>
      <c r="AG70" s="13">
        <f ca="1">SUMPRODUCT($I$5:$I68,$AG$5:$AG68)</f>
        <v>0</v>
      </c>
      <c r="AH70" s="13">
        <f>SUMPRODUCT($I$5:$I68,$AH$5:$AH68)</f>
        <v>-362295.18782185257</v>
      </c>
      <c r="AI70" s="13">
        <f>SUMPRODUCT($I$5:$I68,$AI$5:$AI68)</f>
        <v>-16752.191349477187</v>
      </c>
      <c r="AJ70" s="13">
        <f ca="1">SUMPRODUCT($I$5:$I68,$AJ$5:$AJ68)</f>
        <v>-366777.50439771876</v>
      </c>
      <c r="AK70" s="13">
        <f ca="1">SUMPRODUCT($I$5:$I68,$AK$5:$AK68)</f>
        <v>0</v>
      </c>
      <c r="AL70" s="13">
        <f ca="1">SUMPRODUCT($I$5:$I68,$AL$5:$AL68)</f>
        <v>-745824.8835690486</v>
      </c>
      <c r="AM70" s="13">
        <f ca="1">SUMPRODUCT($I$5:$I68,$AM$5:$AM68)</f>
        <v>24255440.29358314</v>
      </c>
      <c r="AO70" s="18">
        <f ca="1">SUMPRODUCT($I$5:$I68,$AO$5:$AO68)</f>
        <v>522108592.86429739</v>
      </c>
      <c r="AP70" s="18">
        <f ca="1">SUMPRODUCT($I$5:$I68,$AP$5:$AP68)</f>
        <v>522750221.78790981</v>
      </c>
    </row>
    <row r="71" spans="1:42" ht="11.25" customHeight="1" x14ac:dyDescent="0.25">
      <c r="K71" s="16" t="s">
        <v>776</v>
      </c>
      <c r="L71" s="13">
        <f>'TR TUSD'!$L$73</f>
        <v>21196044.622047894</v>
      </c>
      <c r="M71" s="13">
        <f>'TR TUSD'!$M$73</f>
        <v>1244777.3683460983</v>
      </c>
      <c r="N71" s="13">
        <f>'TR TUSD'!$N$73</f>
        <v>4405576.6480421154</v>
      </c>
      <c r="O71" s="13">
        <f>'TR TUSD'!$O$73</f>
        <v>0</v>
      </c>
      <c r="P71" s="13">
        <f>'TR TUSD'!$P$73</f>
        <v>0</v>
      </c>
      <c r="Q71" s="13">
        <f>'TR TUSD'!$Q$73</f>
        <v>35101782.2952765</v>
      </c>
      <c r="R71" s="13">
        <f>'TR TUSD'!$R$73</f>
        <v>13744465.34068593</v>
      </c>
      <c r="S71" s="13">
        <f>'TR TUSD'!$S$73</f>
        <v>0</v>
      </c>
      <c r="T71" s="13">
        <f>'TR TUSD'!$T$73</f>
        <v>75692646.274398535</v>
      </c>
      <c r="U71" s="13">
        <f>'TR TUSD'!$U$73</f>
        <v>16896485.780000001</v>
      </c>
      <c r="V71" s="13">
        <f>'TR TUSD'!$V$73</f>
        <v>18531916.760000002</v>
      </c>
      <c r="W71" s="13">
        <f>'TR TUSD'!$W$73</f>
        <v>1920298.81317661</v>
      </c>
      <c r="X71" s="13">
        <f>'TR TUSD'!$X$73</f>
        <v>0</v>
      </c>
      <c r="Y71" s="13">
        <f>'TR TUSD'!$Y$73</f>
        <v>0</v>
      </c>
      <c r="Z71" s="13">
        <f>'TR TUSD'!$Z$73</f>
        <v>0</v>
      </c>
      <c r="AA71" s="13">
        <f>'TR TUSD'!$AA$73</f>
        <v>0</v>
      </c>
      <c r="AB71" s="13">
        <f>'TR TUSD'!$AB$73</f>
        <v>37348701.353176616</v>
      </c>
      <c r="AC71" s="13">
        <f>'TR TUSD'!$AC$73</f>
        <v>338718926.74802554</v>
      </c>
      <c r="AD71" s="13">
        <f>'TR TUSD'!$AD$73</f>
        <v>338718926.74802554</v>
      </c>
      <c r="AE71" s="13">
        <f>'TR TUSD'!$AE$73</f>
        <v>0</v>
      </c>
      <c r="AF71" s="13">
        <f>'TR TUSD'!$AF$73</f>
        <v>0</v>
      </c>
      <c r="AG71" s="13">
        <f>'TR TUSD'!$AG$73</f>
        <v>0</v>
      </c>
      <c r="AH71" s="13">
        <f>'TR TUSD'!$AH$73</f>
        <v>28376289.848444641</v>
      </c>
      <c r="AI71" s="13">
        <f>'TR TUSD'!$AI$73</f>
        <v>1312093.1585851414</v>
      </c>
      <c r="AJ71" s="13">
        <f>'TR TUSD'!$AJ$73</f>
        <v>28727361.346561823</v>
      </c>
      <c r="AK71" s="13">
        <f>'TR TUSD'!$AK$73</f>
        <v>12574203.058717519</v>
      </c>
      <c r="AL71" s="13">
        <f>'TR TUSD'!$AL$73</f>
        <v>70989947.412309125</v>
      </c>
      <c r="AM71" s="13">
        <f>CUSTOS!$D$29</f>
        <v>522750221.78790981</v>
      </c>
      <c r="AO71" s="18">
        <f>$AE$73</f>
        <v>0</v>
      </c>
      <c r="AP71" s="18">
        <f>$AF$73</f>
        <v>0</v>
      </c>
    </row>
    <row r="72" spans="1:42" ht="11.25" customHeight="1" x14ac:dyDescent="0.25">
      <c r="K72" s="16" t="s">
        <v>777</v>
      </c>
      <c r="L72" s="13">
        <f>CUSTOS!$E$2</f>
        <v>-2838001.1924613039</v>
      </c>
      <c r="M72" s="13">
        <f>CUSTOS!$E$3</f>
        <v>-21816.091014040208</v>
      </c>
      <c r="N72" s="13">
        <f>CUSTOS!$E$4</f>
        <v>-1.0086501702871373</v>
      </c>
      <c r="O72" s="13">
        <f>CUSTOS!$E$5</f>
        <v>0</v>
      </c>
      <c r="P72" s="13">
        <f>CUSTOS!$E$6</f>
        <v>0</v>
      </c>
      <c r="Q72" s="13">
        <f>CUSTOS!$E$7</f>
        <v>-720751.51857831888</v>
      </c>
      <c r="R72" s="13">
        <f>CUSTOS!$E$8</f>
        <v>-334543.79990970809</v>
      </c>
      <c r="S72" s="13">
        <f>CUSTOS!$E$9</f>
        <v>0</v>
      </c>
      <c r="T72" s="13">
        <f>CUSTOS!$E$10</f>
        <v>-3915113.6106135412</v>
      </c>
      <c r="U72" s="13">
        <f>CUSTOS!$E$11</f>
        <v>175231.63823711593</v>
      </c>
      <c r="V72" s="13">
        <f>CUSTOS!$E$12</f>
        <v>256474.14858591114</v>
      </c>
      <c r="W72" s="13">
        <f>CUSTOS!$E$13</f>
        <v>-36441.037148729818</v>
      </c>
      <c r="X72" s="13">
        <f>CUSTOS!$E$14</f>
        <v>0</v>
      </c>
      <c r="Y72" s="13">
        <f>CUSTOS!$E$15</f>
        <v>0</v>
      </c>
      <c r="Z72" s="13">
        <f>CUSTOS!$E$16</f>
        <v>0</v>
      </c>
      <c r="AA72" s="13">
        <f>CUSTOS!$E$17</f>
        <v>0</v>
      </c>
      <c r="AB72" s="13">
        <f>CUSTOS!$E$18</f>
        <v>395264.74967429723</v>
      </c>
      <c r="AC72" s="13">
        <f>CUSTOS!$E$19</f>
        <v>-483987.81999999995</v>
      </c>
      <c r="AD72" s="13">
        <f>CUSTOS!$E$20</f>
        <v>-483987.81999999995</v>
      </c>
      <c r="AE72" s="13">
        <f>CUSTOS!$E$21</f>
        <v>-46797907.055516258</v>
      </c>
      <c r="AF72" s="13">
        <f>CUSTOS!$E$22</f>
        <v>0</v>
      </c>
      <c r="AG72" s="13">
        <f>CUSTOS!$E$23</f>
        <v>-46797907.055516258</v>
      </c>
      <c r="AH72" s="13">
        <f>CUSTOS!$E$24</f>
        <v>3835231.8297935533</v>
      </c>
      <c r="AI72" s="13">
        <f>CUSTOS!$E$25</f>
        <v>177337.5403316131</v>
      </c>
      <c r="AJ72" s="13">
        <f>CUSTOS!$E$26</f>
        <v>3882681.3234131755</v>
      </c>
      <c r="AK72" s="13">
        <f>CUSTOS!$E$27</f>
        <v>-780471.08261516178</v>
      </c>
      <c r="AL72" s="13">
        <f>CUSTOS!$E$28</f>
        <v>7114779.6109231804</v>
      </c>
      <c r="AM72" s="13">
        <f>CUSTOS!$E$29</f>
        <v>-43686964.125532322</v>
      </c>
      <c r="AO72" s="18">
        <f ca="1">IF(AO70&lt;&gt;0,AO71/AO70,0)</f>
        <v>0</v>
      </c>
      <c r="AP72" s="18">
        <f ca="1">IF(AP70&lt;&gt;0,AP71/AP70,0)</f>
        <v>0</v>
      </c>
    </row>
    <row r="73" spans="1:42" ht="11.25" customHeight="1" x14ac:dyDescent="0.25">
      <c r="K73" s="16" t="s">
        <v>778</v>
      </c>
      <c r="L73" s="13">
        <f>CUSTOS!$F$2</f>
        <v>812234.4769521897</v>
      </c>
      <c r="M73" s="13">
        <f>CUSTOS!$F$3</f>
        <v>0</v>
      </c>
      <c r="N73" s="13">
        <f>CUSTOS!$F$4</f>
        <v>0</v>
      </c>
      <c r="O73" s="13">
        <f>CUSTOS!$F$5</f>
        <v>0</v>
      </c>
      <c r="P73" s="13">
        <f>CUSTOS!$F$6</f>
        <v>0</v>
      </c>
      <c r="Q73" s="13">
        <f>CUSTOS!$F$7</f>
        <v>13268550.4859</v>
      </c>
      <c r="R73" s="13">
        <f>CUSTOS!$F$8</f>
        <v>5029050.7885999996</v>
      </c>
      <c r="S73" s="13">
        <f>CUSTOS!$F$9</f>
        <v>0</v>
      </c>
      <c r="T73" s="13">
        <f>CUSTOS!$F$10</f>
        <v>19109835.751452189</v>
      </c>
      <c r="U73" s="13">
        <f>CUSTOS!$F$11</f>
        <v>2809735.8723082175</v>
      </c>
      <c r="V73" s="13">
        <f>CUSTOS!$F$12</f>
        <v>3081693.5533917798</v>
      </c>
      <c r="W73" s="13">
        <f>CUSTOS!$F$13</f>
        <v>0</v>
      </c>
      <c r="X73" s="13">
        <f>CUSTOS!$F$14</f>
        <v>0</v>
      </c>
      <c r="Y73" s="13">
        <f>CUSTOS!$F$15</f>
        <v>0</v>
      </c>
      <c r="Z73" s="13">
        <f>CUSTOS!$F$16</f>
        <v>0</v>
      </c>
      <c r="AA73" s="13">
        <f>CUSTOS!$F$17</f>
        <v>0</v>
      </c>
      <c r="AB73" s="13">
        <f>CUSTOS!$F$18</f>
        <v>5891429.4256999977</v>
      </c>
      <c r="AC73" s="13">
        <f>CUSTOS!$F$19</f>
        <v>0</v>
      </c>
      <c r="AD73" s="13">
        <f>CUSTOS!$F$20</f>
        <v>0</v>
      </c>
      <c r="AE73" s="13">
        <f>CUSTOS!$F$21</f>
        <v>0</v>
      </c>
      <c r="AF73" s="13">
        <f>CUSTOS!$F$22</f>
        <v>0</v>
      </c>
      <c r="AG73" s="13">
        <f>CUSTOS!$F$23</f>
        <v>0</v>
      </c>
      <c r="AH73" s="13">
        <f>CUSTOS!$F$24</f>
        <v>-362295.18782185263</v>
      </c>
      <c r="AI73" s="13">
        <f>CUSTOS!$F$25</f>
        <v>-16752.191349477187</v>
      </c>
      <c r="AJ73" s="13">
        <f>CUSTOS!$F$26</f>
        <v>-366777.5043977187</v>
      </c>
      <c r="AK73" s="13">
        <f>CUSTOS!$F$27</f>
        <v>0</v>
      </c>
      <c r="AL73" s="13">
        <f>CUSTOS!$F$28</f>
        <v>-745824.88356904848</v>
      </c>
      <c r="AM73" s="13">
        <f>CUSTOS!$F$29</f>
        <v>24255440.29358314</v>
      </c>
    </row>
    <row r="74" spans="1:42" ht="11.25" customHeight="1" x14ac:dyDescent="0.25">
      <c r="K74" s="16" t="s">
        <v>841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0</v>
      </c>
      <c r="T74" s="13"/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/>
      <c r="AC74" s="13">
        <v>0</v>
      </c>
      <c r="AD74" s="13"/>
      <c r="AE74" s="13">
        <v>0</v>
      </c>
      <c r="AF74" s="13">
        <v>0</v>
      </c>
      <c r="AG74" s="13"/>
      <c r="AH74" s="13">
        <v>0</v>
      </c>
      <c r="AI74" s="13">
        <v>0</v>
      </c>
      <c r="AJ74" s="13">
        <v>0</v>
      </c>
      <c r="AK74" s="13">
        <v>0</v>
      </c>
      <c r="AL74" s="13"/>
      <c r="AM74" s="13"/>
    </row>
  </sheetData>
  <mergeCells count="97">
    <mergeCell ref="A67:A68"/>
    <mergeCell ref="B67:B68"/>
    <mergeCell ref="C67:C68"/>
    <mergeCell ref="A62:A66"/>
    <mergeCell ref="B62:B64"/>
    <mergeCell ref="C62:C64"/>
    <mergeCell ref="D62:D64"/>
    <mergeCell ref="E62:E64"/>
    <mergeCell ref="F62:F64"/>
    <mergeCell ref="B55:B57"/>
    <mergeCell ref="C55:C57"/>
    <mergeCell ref="D55:D57"/>
    <mergeCell ref="E55:E57"/>
    <mergeCell ref="F55:F57"/>
    <mergeCell ref="B59:B61"/>
    <mergeCell ref="C59:C61"/>
    <mergeCell ref="C42:C46"/>
    <mergeCell ref="F47:F49"/>
    <mergeCell ref="B51:B53"/>
    <mergeCell ref="C51:C53"/>
    <mergeCell ref="D51:D53"/>
    <mergeCell ref="E51:E53"/>
    <mergeCell ref="F51:F53"/>
    <mergeCell ref="A47:A61"/>
    <mergeCell ref="B47:B49"/>
    <mergeCell ref="C47:C49"/>
    <mergeCell ref="D47:D49"/>
    <mergeCell ref="E47:E49"/>
    <mergeCell ref="F27:F29"/>
    <mergeCell ref="E30:E31"/>
    <mergeCell ref="A34:A46"/>
    <mergeCell ref="B34:B36"/>
    <mergeCell ref="C34:C36"/>
    <mergeCell ref="D34:D36"/>
    <mergeCell ref="E34:E36"/>
    <mergeCell ref="F30:F31"/>
    <mergeCell ref="A32:A33"/>
    <mergeCell ref="B32:B33"/>
    <mergeCell ref="C32:C33"/>
    <mergeCell ref="D32:D33"/>
    <mergeCell ref="F34:F36"/>
    <mergeCell ref="B37:B41"/>
    <mergeCell ref="C37:C41"/>
    <mergeCell ref="B42:B46"/>
    <mergeCell ref="F19:F21"/>
    <mergeCell ref="B23:B25"/>
    <mergeCell ref="A9:A18"/>
    <mergeCell ref="B9:B12"/>
    <mergeCell ref="C9:C12"/>
    <mergeCell ref="D9:D12"/>
    <mergeCell ref="E9:E11"/>
    <mergeCell ref="F9:F11"/>
    <mergeCell ref="C23:C25"/>
    <mergeCell ref="D23:D25"/>
    <mergeCell ref="E23:E25"/>
    <mergeCell ref="F23:F25"/>
    <mergeCell ref="A19:A31"/>
    <mergeCell ref="B19:B22"/>
    <mergeCell ref="C19:C22"/>
    <mergeCell ref="D19:D22"/>
    <mergeCell ref="E19:E21"/>
    <mergeCell ref="B27:B31"/>
    <mergeCell ref="C27:C31"/>
    <mergeCell ref="D27:D31"/>
    <mergeCell ref="E27:E29"/>
    <mergeCell ref="D14:D18"/>
    <mergeCell ref="E14:E16"/>
    <mergeCell ref="AE3:AG3"/>
    <mergeCell ref="D1:D4"/>
    <mergeCell ref="E1:E4"/>
    <mergeCell ref="F1:F4"/>
    <mergeCell ref="F14:F16"/>
    <mergeCell ref="E17:E18"/>
    <mergeCell ref="F17:F18"/>
    <mergeCell ref="F5:F7"/>
    <mergeCell ref="G1:G4"/>
    <mergeCell ref="H1:H4"/>
    <mergeCell ref="I1:I4"/>
    <mergeCell ref="J1:J4"/>
    <mergeCell ref="D5:D8"/>
    <mergeCell ref="E5:E7"/>
    <mergeCell ref="A1:A4"/>
    <mergeCell ref="B1:B4"/>
    <mergeCell ref="C1:C4"/>
    <mergeCell ref="B14:B18"/>
    <mergeCell ref="C14:C18"/>
    <mergeCell ref="A5:A8"/>
    <mergeCell ref="B5:B8"/>
    <mergeCell ref="C5:C8"/>
    <mergeCell ref="AP1:AP4"/>
    <mergeCell ref="L2:AM2"/>
    <mergeCell ref="L3:T3"/>
    <mergeCell ref="U3:AB3"/>
    <mergeCell ref="AC3:AD3"/>
    <mergeCell ref="AH3:AL3"/>
    <mergeCell ref="AM3:AM4"/>
    <mergeCell ref="L1:AM1"/>
  </mergeCells>
  <conditionalFormatting sqref="L70">
    <cfRule type="cellIs" dxfId="1238" priority="55" operator="notEqual">
      <formula>$L$73</formula>
    </cfRule>
    <cfRule type="cellIs" dxfId="1237" priority="56" operator="equal">
      <formula>$L$73</formula>
    </cfRule>
  </conditionalFormatting>
  <conditionalFormatting sqref="M70">
    <cfRule type="cellIs" dxfId="1236" priority="53" operator="notEqual">
      <formula>$M$73</formula>
    </cfRule>
    <cfRule type="cellIs" dxfId="1235" priority="54" operator="equal">
      <formula>$M$73</formula>
    </cfRule>
  </conditionalFormatting>
  <conditionalFormatting sqref="N70">
    <cfRule type="cellIs" dxfId="1234" priority="51" operator="notEqual">
      <formula>$N$73</formula>
    </cfRule>
    <cfRule type="cellIs" dxfId="1233" priority="52" operator="equal">
      <formula>$N$73</formula>
    </cfRule>
  </conditionalFormatting>
  <conditionalFormatting sqref="O70">
    <cfRule type="cellIs" dxfId="1232" priority="49" operator="notEqual">
      <formula>$O$73</formula>
    </cfRule>
    <cfRule type="cellIs" dxfId="1231" priority="50" operator="equal">
      <formula>$O$73</formula>
    </cfRule>
  </conditionalFormatting>
  <conditionalFormatting sqref="P70">
    <cfRule type="cellIs" dxfId="1230" priority="47" operator="notEqual">
      <formula>$P$73</formula>
    </cfRule>
    <cfRule type="cellIs" dxfId="1229" priority="48" operator="equal">
      <formula>$P$73</formula>
    </cfRule>
  </conditionalFormatting>
  <conditionalFormatting sqref="Q70">
    <cfRule type="cellIs" dxfId="1228" priority="45" operator="notEqual">
      <formula>$Q$73</formula>
    </cfRule>
    <cfRule type="cellIs" dxfId="1227" priority="46" operator="equal">
      <formula>$Q$73</formula>
    </cfRule>
  </conditionalFormatting>
  <conditionalFormatting sqref="R70">
    <cfRule type="cellIs" dxfId="1226" priority="43" operator="notEqual">
      <formula>$R$73</formula>
    </cfRule>
    <cfRule type="cellIs" dxfId="1225" priority="44" operator="equal">
      <formula>$R$73</formula>
    </cfRule>
  </conditionalFormatting>
  <conditionalFormatting sqref="S70">
    <cfRule type="cellIs" dxfId="1224" priority="41" operator="notEqual">
      <formula>$S$73</formula>
    </cfRule>
    <cfRule type="cellIs" dxfId="1223" priority="42" operator="equal">
      <formula>$S$73</formula>
    </cfRule>
  </conditionalFormatting>
  <conditionalFormatting sqref="T70">
    <cfRule type="cellIs" dxfId="1222" priority="39" operator="notEqual">
      <formula>$T$73</formula>
    </cfRule>
    <cfRule type="cellIs" dxfId="1221" priority="40" operator="equal">
      <formula>$T$73</formula>
    </cfRule>
  </conditionalFormatting>
  <conditionalFormatting sqref="U70">
    <cfRule type="cellIs" dxfId="1220" priority="37" operator="notEqual">
      <formula>$U$73</formula>
    </cfRule>
    <cfRule type="cellIs" dxfId="1219" priority="38" operator="equal">
      <formula>$U$73</formula>
    </cfRule>
  </conditionalFormatting>
  <conditionalFormatting sqref="V70">
    <cfRule type="cellIs" dxfId="1218" priority="35" operator="notEqual">
      <formula>$V$73</formula>
    </cfRule>
    <cfRule type="cellIs" dxfId="1217" priority="36" operator="equal">
      <formula>$V$73</formula>
    </cfRule>
  </conditionalFormatting>
  <conditionalFormatting sqref="W70">
    <cfRule type="cellIs" dxfId="1216" priority="33" operator="notEqual">
      <formula>$W$73</formula>
    </cfRule>
    <cfRule type="cellIs" dxfId="1215" priority="34" operator="equal">
      <formula>$W$73</formula>
    </cfRule>
  </conditionalFormatting>
  <conditionalFormatting sqref="X70">
    <cfRule type="cellIs" dxfId="1214" priority="31" operator="notEqual">
      <formula>$X$73</formula>
    </cfRule>
    <cfRule type="cellIs" dxfId="1213" priority="32" operator="equal">
      <formula>$X$73</formula>
    </cfRule>
  </conditionalFormatting>
  <conditionalFormatting sqref="Y70">
    <cfRule type="cellIs" dxfId="1212" priority="29" operator="notEqual">
      <formula>$Y$73</formula>
    </cfRule>
    <cfRule type="cellIs" dxfId="1211" priority="30" operator="equal">
      <formula>$Y$73</formula>
    </cfRule>
  </conditionalFormatting>
  <conditionalFormatting sqref="Z70">
    <cfRule type="cellIs" dxfId="1210" priority="27" operator="notEqual">
      <formula>$Z$73</formula>
    </cfRule>
    <cfRule type="cellIs" dxfId="1209" priority="28" operator="equal">
      <formula>$Z$73</formula>
    </cfRule>
  </conditionalFormatting>
  <conditionalFormatting sqref="AA70">
    <cfRule type="cellIs" dxfId="1208" priority="25" operator="notEqual">
      <formula>$AA$73</formula>
    </cfRule>
    <cfRule type="cellIs" dxfId="1207" priority="26" operator="equal">
      <formula>$AA$73</formula>
    </cfRule>
  </conditionalFormatting>
  <conditionalFormatting sqref="AB70">
    <cfRule type="cellIs" dxfId="1206" priority="23" operator="notEqual">
      <formula>$AB$73</formula>
    </cfRule>
    <cfRule type="cellIs" dxfId="1205" priority="24" operator="equal">
      <formula>$AB$73</formula>
    </cfRule>
  </conditionalFormatting>
  <conditionalFormatting sqref="AC70">
    <cfRule type="cellIs" dxfId="1204" priority="21" operator="notEqual">
      <formula>$AC$73</formula>
    </cfRule>
    <cfRule type="cellIs" dxfId="1203" priority="22" operator="equal">
      <formula>$AC$73</formula>
    </cfRule>
  </conditionalFormatting>
  <conditionalFormatting sqref="AD70">
    <cfRule type="cellIs" dxfId="1202" priority="19" operator="notEqual">
      <formula>$AD$73</formula>
    </cfRule>
    <cfRule type="cellIs" dxfId="1201" priority="20" operator="equal">
      <formula>$AD$73</formula>
    </cfRule>
  </conditionalFormatting>
  <conditionalFormatting sqref="AE70">
    <cfRule type="cellIs" dxfId="1200" priority="17" operator="notEqual">
      <formula>$AE$73</formula>
    </cfRule>
    <cfRule type="cellIs" dxfId="1199" priority="18" operator="equal">
      <formula>$AE$73</formula>
    </cfRule>
  </conditionalFormatting>
  <conditionalFormatting sqref="AF70">
    <cfRule type="cellIs" dxfId="1198" priority="16" operator="equal">
      <formula>$AF$73</formula>
    </cfRule>
  </conditionalFormatting>
  <conditionalFormatting sqref="AF70">
    <cfRule type="cellIs" dxfId="1197" priority="15" operator="notEqual">
      <formula>$AF$73</formula>
    </cfRule>
  </conditionalFormatting>
  <conditionalFormatting sqref="AG70">
    <cfRule type="cellIs" dxfId="1196" priority="14" operator="equal">
      <formula>$AG$73</formula>
    </cfRule>
  </conditionalFormatting>
  <conditionalFormatting sqref="AG70">
    <cfRule type="cellIs" dxfId="1195" priority="13" operator="notEqual">
      <formula>$AG$73</formula>
    </cfRule>
  </conditionalFormatting>
  <conditionalFormatting sqref="AH70">
    <cfRule type="cellIs" dxfId="1194" priority="12" operator="equal">
      <formula>$AH$73</formula>
    </cfRule>
  </conditionalFormatting>
  <conditionalFormatting sqref="AH70">
    <cfRule type="cellIs" dxfId="1193" priority="11" operator="notEqual">
      <formula>$AH$73</formula>
    </cfRule>
  </conditionalFormatting>
  <conditionalFormatting sqref="AI70">
    <cfRule type="cellIs" dxfId="1192" priority="10" operator="equal">
      <formula>$AI$73</formula>
    </cfRule>
  </conditionalFormatting>
  <conditionalFormatting sqref="AI70">
    <cfRule type="cellIs" dxfId="1191" priority="9" operator="notEqual">
      <formula>$AI$73</formula>
    </cfRule>
  </conditionalFormatting>
  <conditionalFormatting sqref="AJ70">
    <cfRule type="cellIs" dxfId="1190" priority="8" operator="equal">
      <formula>$AJ$73</formula>
    </cfRule>
  </conditionalFormatting>
  <conditionalFormatting sqref="AJ70">
    <cfRule type="cellIs" dxfId="1189" priority="7" operator="notEqual">
      <formula>$AJ$73</formula>
    </cfRule>
  </conditionalFormatting>
  <conditionalFormatting sqref="AK70">
    <cfRule type="cellIs" dxfId="1188" priority="6" operator="equal">
      <formula>$AK$73</formula>
    </cfRule>
  </conditionalFormatting>
  <conditionalFormatting sqref="AK70">
    <cfRule type="cellIs" dxfId="1187" priority="5" operator="notEqual">
      <formula>$AK$73</formula>
    </cfRule>
  </conditionalFormatting>
  <conditionalFormatting sqref="AL70">
    <cfRule type="cellIs" dxfId="1186" priority="4" operator="equal">
      <formula>$AL$73</formula>
    </cfRule>
  </conditionalFormatting>
  <conditionalFormatting sqref="AL70">
    <cfRule type="cellIs" dxfId="1185" priority="3" operator="notEqual">
      <formula>$AL$73</formula>
    </cfRule>
  </conditionalFormatting>
  <conditionalFormatting sqref="AM70">
    <cfRule type="cellIs" dxfId="1184" priority="2" operator="equal">
      <formula>$AM$73</formula>
    </cfRule>
  </conditionalFormatting>
  <conditionalFormatting sqref="AM70">
    <cfRule type="cellIs" dxfId="1183" priority="1" operator="notEqual">
      <formula>$AM$73</formula>
    </cfRule>
  </conditionalFormatting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F4538-14D2-4DD8-89EC-6B04E056CCC8}">
  <sheetPr codeName="Planilha12"/>
  <dimension ref="A1:AB59"/>
  <sheetViews>
    <sheetView showGridLines="0" topLeftCell="A36" workbookViewId="0">
      <selection activeCell="K53" sqref="K53:AB59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2" width="10" style="9" bestFit="1" customWidth="1"/>
    <col min="13" max="13" width="10.85546875" style="9" bestFit="1" customWidth="1"/>
    <col min="14" max="14" width="10" style="9" bestFit="1" customWidth="1"/>
    <col min="15" max="15" width="11.140625" style="9" bestFit="1" customWidth="1"/>
    <col min="16" max="16" width="11.42578125" style="9" bestFit="1" customWidth="1"/>
    <col min="17" max="17" width="10" style="9" bestFit="1" customWidth="1"/>
    <col min="18" max="18" width="15" style="9" bestFit="1" customWidth="1"/>
    <col min="19" max="19" width="11.7109375" style="9" bestFit="1" customWidth="1"/>
    <col min="20" max="20" width="10" style="9" bestFit="1" customWidth="1"/>
    <col min="21" max="21" width="10.42578125" style="9" bestFit="1" customWidth="1"/>
    <col min="22" max="22" width="10" style="9" bestFit="1" customWidth="1"/>
    <col min="23" max="23" width="9.28515625" style="9" bestFit="1" customWidth="1"/>
    <col min="24" max="25" width="11.42578125" style="9" bestFit="1" customWidth="1"/>
    <col min="26" max="26" width="11" style="9" bestFit="1" customWidth="1"/>
    <col min="27" max="27" width="10" style="9" bestFit="1" customWidth="1"/>
    <col min="28" max="28" width="11.7109375" style="9" bestFit="1" customWidth="1"/>
    <col min="29" max="16384" width="9.140625" style="9"/>
  </cols>
  <sheetData>
    <row r="1" spans="1:28" ht="11.25" customHeight="1" x14ac:dyDescent="0.25">
      <c r="A1" s="117" t="s">
        <v>71</v>
      </c>
      <c r="B1" s="117" t="s">
        <v>72</v>
      </c>
      <c r="C1" s="117" t="s">
        <v>73</v>
      </c>
      <c r="D1" s="117" t="s">
        <v>74</v>
      </c>
      <c r="E1" s="117" t="s">
        <v>75</v>
      </c>
      <c r="F1" s="117" t="s">
        <v>15</v>
      </c>
      <c r="G1" s="117" t="s">
        <v>77</v>
      </c>
      <c r="H1" s="117" t="s">
        <v>78</v>
      </c>
      <c r="I1" s="117" t="s">
        <v>835</v>
      </c>
      <c r="J1" s="105"/>
      <c r="L1" s="115" t="s">
        <v>856</v>
      </c>
      <c r="M1" s="115"/>
      <c r="N1" s="115"/>
      <c r="O1" s="115"/>
      <c r="P1" s="115"/>
      <c r="Q1" s="115"/>
      <c r="R1" s="115"/>
      <c r="S1" s="115"/>
      <c r="T1" s="115"/>
      <c r="U1" s="115"/>
      <c r="V1" s="115"/>
      <c r="W1" s="115"/>
      <c r="X1" s="115"/>
      <c r="Y1" s="115"/>
      <c r="Z1" s="115"/>
      <c r="AA1" s="115"/>
      <c r="AB1" s="115"/>
    </row>
    <row r="2" spans="1:28" ht="11.25" customHeight="1" x14ac:dyDescent="0.25">
      <c r="A2" s="117"/>
      <c r="B2" s="117"/>
      <c r="C2" s="117"/>
      <c r="D2" s="117"/>
      <c r="E2" s="117"/>
      <c r="F2" s="117"/>
      <c r="G2" s="117"/>
      <c r="H2" s="117"/>
      <c r="I2" s="117"/>
      <c r="J2" s="105"/>
      <c r="L2" s="115" t="s">
        <v>762</v>
      </c>
      <c r="M2" s="115"/>
      <c r="N2" s="115"/>
      <c r="O2" s="115"/>
      <c r="P2" s="115"/>
      <c r="Q2" s="115"/>
      <c r="R2" s="115"/>
      <c r="S2" s="115"/>
      <c r="T2" s="115"/>
      <c r="U2" s="115"/>
      <c r="V2" s="115"/>
      <c r="W2" s="115"/>
      <c r="X2" s="115"/>
      <c r="Y2" s="115"/>
      <c r="Z2" s="115"/>
      <c r="AA2" s="115"/>
      <c r="AB2" s="115"/>
    </row>
    <row r="3" spans="1:28" ht="11.25" customHeight="1" x14ac:dyDescent="0.25">
      <c r="A3" s="117"/>
      <c r="B3" s="117"/>
      <c r="C3" s="117"/>
      <c r="D3" s="117"/>
      <c r="E3" s="117"/>
      <c r="F3" s="117"/>
      <c r="G3" s="117"/>
      <c r="H3" s="117"/>
      <c r="I3" s="117"/>
      <c r="J3" s="105"/>
      <c r="L3" s="115" t="s">
        <v>735</v>
      </c>
      <c r="M3" s="115"/>
      <c r="N3" s="115"/>
      <c r="O3" s="115"/>
      <c r="P3" s="115"/>
      <c r="Q3" s="115"/>
      <c r="R3" s="115" t="s">
        <v>766</v>
      </c>
      <c r="S3" s="115"/>
      <c r="T3" s="115" t="s">
        <v>744</v>
      </c>
      <c r="U3" s="115"/>
      <c r="V3" s="115"/>
      <c r="W3" s="115"/>
      <c r="X3" s="115" t="s">
        <v>754</v>
      </c>
      <c r="Y3" s="115"/>
      <c r="Z3" s="115" t="s">
        <v>757</v>
      </c>
      <c r="AA3" s="115"/>
      <c r="AB3" s="115" t="s">
        <v>743</v>
      </c>
    </row>
    <row r="4" spans="1:28" ht="11.25" customHeight="1" x14ac:dyDescent="0.25">
      <c r="A4" s="117"/>
      <c r="B4" s="117"/>
      <c r="C4" s="117"/>
      <c r="D4" s="117"/>
      <c r="E4" s="117"/>
      <c r="F4" s="117"/>
      <c r="G4" s="117"/>
      <c r="H4" s="117"/>
      <c r="I4" s="117"/>
      <c r="J4" s="105"/>
      <c r="L4" s="24" t="s">
        <v>737</v>
      </c>
      <c r="M4" s="24" t="s">
        <v>763</v>
      </c>
      <c r="N4" s="24" t="s">
        <v>764</v>
      </c>
      <c r="O4" s="24" t="s">
        <v>823</v>
      </c>
      <c r="P4" s="24" t="s">
        <v>765</v>
      </c>
      <c r="Q4" s="24" t="s">
        <v>743</v>
      </c>
      <c r="R4" s="24" t="s">
        <v>767</v>
      </c>
      <c r="S4" s="24" t="s">
        <v>743</v>
      </c>
      <c r="T4" s="24" t="s">
        <v>768</v>
      </c>
      <c r="U4" s="24" t="s">
        <v>769</v>
      </c>
      <c r="V4" s="24" t="s">
        <v>770</v>
      </c>
      <c r="W4" s="24" t="s">
        <v>743</v>
      </c>
      <c r="X4" s="24" t="s">
        <v>755</v>
      </c>
      <c r="Y4" s="24" t="s">
        <v>743</v>
      </c>
      <c r="Z4" s="24" t="s">
        <v>771</v>
      </c>
      <c r="AA4" s="24" t="s">
        <v>743</v>
      </c>
      <c r="AB4" s="116"/>
    </row>
    <row r="5" spans="1:28" ht="11.25" customHeight="1" x14ac:dyDescent="0.25">
      <c r="A5" s="118" t="s">
        <v>80</v>
      </c>
      <c r="B5" s="118" t="s">
        <v>81</v>
      </c>
      <c r="C5" s="118" t="s">
        <v>25</v>
      </c>
      <c r="D5" s="118" t="s">
        <v>25</v>
      </c>
      <c r="E5" s="118" t="s">
        <v>25</v>
      </c>
      <c r="F5" s="118" t="s">
        <v>25</v>
      </c>
      <c r="G5" s="23" t="s">
        <v>83</v>
      </c>
      <c r="H5" s="23" t="s">
        <v>82</v>
      </c>
      <c r="I5" s="23">
        <f>'MERCADO TE'!$U$2</f>
        <v>0</v>
      </c>
      <c r="J5" s="15"/>
      <c r="L5" s="20">
        <v>1</v>
      </c>
      <c r="M5" s="20">
        <v>1</v>
      </c>
      <c r="N5" s="20">
        <v>1</v>
      </c>
      <c r="O5" s="20">
        <v>1</v>
      </c>
      <c r="P5" s="20">
        <v>1</v>
      </c>
      <c r="Q5" s="20"/>
      <c r="R5" s="20">
        <v>1.72</v>
      </c>
      <c r="S5" s="20"/>
      <c r="T5" s="20">
        <v>1</v>
      </c>
      <c r="U5" s="20">
        <v>1</v>
      </c>
      <c r="V5" s="20">
        <v>1</v>
      </c>
      <c r="W5" s="20"/>
      <c r="X5" s="20"/>
      <c r="Y5" s="20"/>
      <c r="Z5" s="20">
        <v>1</v>
      </c>
      <c r="AA5" s="20"/>
      <c r="AB5" s="20"/>
    </row>
    <row r="6" spans="1:28" ht="11.25" customHeight="1" x14ac:dyDescent="0.25">
      <c r="A6" s="118"/>
      <c r="B6" s="118"/>
      <c r="C6" s="118"/>
      <c r="D6" s="118"/>
      <c r="E6" s="118"/>
      <c r="F6" s="118"/>
      <c r="G6" s="23" t="s">
        <v>84</v>
      </c>
      <c r="H6" s="23" t="s">
        <v>82</v>
      </c>
      <c r="I6" s="23">
        <f>'MERCADO TE'!$U$3</f>
        <v>0</v>
      </c>
      <c r="J6" s="15"/>
      <c r="L6" s="20">
        <v>1</v>
      </c>
      <c r="M6" s="20">
        <v>1</v>
      </c>
      <c r="N6" s="20">
        <v>1</v>
      </c>
      <c r="O6" s="20">
        <v>1</v>
      </c>
      <c r="P6" s="20">
        <v>1</v>
      </c>
      <c r="Q6" s="20"/>
      <c r="R6" s="20">
        <v>1</v>
      </c>
      <c r="S6" s="20"/>
      <c r="T6" s="20">
        <v>1</v>
      </c>
      <c r="U6" s="20">
        <v>1</v>
      </c>
      <c r="V6" s="20">
        <v>1</v>
      </c>
      <c r="W6" s="20"/>
      <c r="X6" s="20"/>
      <c r="Y6" s="20"/>
      <c r="Z6" s="20">
        <v>1</v>
      </c>
      <c r="AA6" s="20"/>
      <c r="AB6" s="20"/>
    </row>
    <row r="7" spans="1:28" ht="11.25" customHeight="1" x14ac:dyDescent="0.25">
      <c r="A7" s="118"/>
      <c r="B7" s="22" t="s">
        <v>90</v>
      </c>
      <c r="C7" s="22" t="s">
        <v>25</v>
      </c>
      <c r="D7" s="22" t="s">
        <v>25</v>
      </c>
      <c r="E7" s="22" t="s">
        <v>25</v>
      </c>
      <c r="F7" s="22" t="s">
        <v>25</v>
      </c>
      <c r="G7" s="23" t="s">
        <v>88</v>
      </c>
      <c r="H7" s="23" t="s">
        <v>82</v>
      </c>
      <c r="I7" s="23">
        <f>'MERCADO TE'!$U$4</f>
        <v>0</v>
      </c>
      <c r="J7" s="15"/>
      <c r="L7" s="20">
        <v>1</v>
      </c>
      <c r="M7" s="20">
        <v>1</v>
      </c>
      <c r="N7" s="20">
        <v>1</v>
      </c>
      <c r="O7" s="20">
        <v>1</v>
      </c>
      <c r="P7" s="20">
        <v>1</v>
      </c>
      <c r="Q7" s="20"/>
      <c r="R7" s="20">
        <v>1.06</v>
      </c>
      <c r="S7" s="20"/>
      <c r="T7" s="20">
        <v>1</v>
      </c>
      <c r="U7" s="20">
        <v>1</v>
      </c>
      <c r="V7" s="20">
        <v>1</v>
      </c>
      <c r="W7" s="20"/>
      <c r="X7" s="20"/>
      <c r="Y7" s="20"/>
      <c r="Z7" s="20">
        <v>1</v>
      </c>
      <c r="AA7" s="20"/>
      <c r="AB7" s="20"/>
    </row>
    <row r="8" spans="1:28" ht="11.25" customHeight="1" x14ac:dyDescent="0.25">
      <c r="A8" s="118" t="s">
        <v>43</v>
      </c>
      <c r="B8" s="118" t="s">
        <v>81</v>
      </c>
      <c r="C8" s="118" t="s">
        <v>25</v>
      </c>
      <c r="D8" s="118" t="s">
        <v>25</v>
      </c>
      <c r="E8" s="118" t="s">
        <v>25</v>
      </c>
      <c r="F8" s="118" t="s">
        <v>25</v>
      </c>
      <c r="G8" s="23" t="s">
        <v>83</v>
      </c>
      <c r="H8" s="23" t="s">
        <v>82</v>
      </c>
      <c r="I8" s="23">
        <f>'MERCADO TE'!$U$5</f>
        <v>163.142</v>
      </c>
      <c r="J8" s="15"/>
      <c r="L8" s="20">
        <v>1</v>
      </c>
      <c r="M8" s="20">
        <v>1</v>
      </c>
      <c r="N8" s="20">
        <v>1</v>
      </c>
      <c r="O8" s="20">
        <v>1</v>
      </c>
      <c r="P8" s="20">
        <v>1</v>
      </c>
      <c r="Q8" s="20"/>
      <c r="R8" s="20">
        <v>1.72</v>
      </c>
      <c r="S8" s="20"/>
      <c r="T8" s="20">
        <v>1</v>
      </c>
      <c r="U8" s="20">
        <v>1</v>
      </c>
      <c r="V8" s="20">
        <v>1</v>
      </c>
      <c r="W8" s="20"/>
      <c r="X8" s="20"/>
      <c r="Y8" s="20"/>
      <c r="Z8" s="20">
        <v>1</v>
      </c>
      <c r="AA8" s="20"/>
      <c r="AB8" s="20"/>
    </row>
    <row r="9" spans="1:28" ht="11.25" customHeight="1" x14ac:dyDescent="0.25">
      <c r="A9" s="118"/>
      <c r="B9" s="118"/>
      <c r="C9" s="118"/>
      <c r="D9" s="118"/>
      <c r="E9" s="118"/>
      <c r="F9" s="118"/>
      <c r="G9" s="23" t="s">
        <v>84</v>
      </c>
      <c r="H9" s="23" t="s">
        <v>82</v>
      </c>
      <c r="I9" s="23">
        <f>'MERCADO TE'!$U$6</f>
        <v>1766.7370000000001</v>
      </c>
      <c r="J9" s="15"/>
      <c r="L9" s="20">
        <v>1</v>
      </c>
      <c r="M9" s="20">
        <v>1</v>
      </c>
      <c r="N9" s="20">
        <v>1</v>
      </c>
      <c r="O9" s="20">
        <v>1</v>
      </c>
      <c r="P9" s="20">
        <v>1</v>
      </c>
      <c r="Q9" s="20"/>
      <c r="R9" s="20">
        <v>1</v>
      </c>
      <c r="S9" s="20"/>
      <c r="T9" s="20">
        <v>1</v>
      </c>
      <c r="U9" s="20">
        <v>1</v>
      </c>
      <c r="V9" s="20">
        <v>1</v>
      </c>
      <c r="W9" s="20"/>
      <c r="X9" s="20"/>
      <c r="Y9" s="20"/>
      <c r="Z9" s="20">
        <v>1</v>
      </c>
      <c r="AA9" s="20"/>
      <c r="AB9" s="20"/>
    </row>
    <row r="10" spans="1:28" ht="11.25" customHeight="1" x14ac:dyDescent="0.25">
      <c r="A10" s="118"/>
      <c r="B10" s="22" t="s">
        <v>90</v>
      </c>
      <c r="C10" s="22" t="s">
        <v>25</v>
      </c>
      <c r="D10" s="22" t="s">
        <v>25</v>
      </c>
      <c r="E10" s="22" t="s">
        <v>25</v>
      </c>
      <c r="F10" s="22" t="s">
        <v>25</v>
      </c>
      <c r="G10" s="23" t="s">
        <v>88</v>
      </c>
      <c r="H10" s="23" t="s">
        <v>82</v>
      </c>
      <c r="I10" s="23">
        <f>'MERCADO TE'!$U$7</f>
        <v>0</v>
      </c>
      <c r="J10" s="15"/>
      <c r="L10" s="20">
        <v>1</v>
      </c>
      <c r="M10" s="20">
        <v>1</v>
      </c>
      <c r="N10" s="20">
        <v>1</v>
      </c>
      <c r="O10" s="20">
        <v>1</v>
      </c>
      <c r="P10" s="20">
        <v>1</v>
      </c>
      <c r="Q10" s="20"/>
      <c r="R10" s="20">
        <v>1.06</v>
      </c>
      <c r="S10" s="20"/>
      <c r="T10" s="20">
        <v>1</v>
      </c>
      <c r="U10" s="20">
        <v>1</v>
      </c>
      <c r="V10" s="20">
        <v>1</v>
      </c>
      <c r="W10" s="20"/>
      <c r="X10" s="20"/>
      <c r="Y10" s="20"/>
      <c r="Z10" s="20">
        <v>1</v>
      </c>
      <c r="AA10" s="20"/>
      <c r="AB10" s="20"/>
    </row>
    <row r="11" spans="1:28" ht="11.25" customHeight="1" x14ac:dyDescent="0.25">
      <c r="A11" s="118" t="s">
        <v>41</v>
      </c>
      <c r="B11" s="118" t="s">
        <v>81</v>
      </c>
      <c r="C11" s="118" t="s">
        <v>25</v>
      </c>
      <c r="D11" s="118" t="s">
        <v>25</v>
      </c>
      <c r="E11" s="118" t="s">
        <v>25</v>
      </c>
      <c r="F11" s="118" t="s">
        <v>25</v>
      </c>
      <c r="G11" s="23" t="s">
        <v>83</v>
      </c>
      <c r="H11" s="23" t="s">
        <v>82</v>
      </c>
      <c r="I11" s="23">
        <f>'MERCADO TE'!$U$8</f>
        <v>15731.081</v>
      </c>
      <c r="J11" s="15"/>
      <c r="L11" s="20">
        <v>1</v>
      </c>
      <c r="M11" s="20">
        <v>1</v>
      </c>
      <c r="N11" s="20">
        <v>1</v>
      </c>
      <c r="O11" s="20">
        <v>1</v>
      </c>
      <c r="P11" s="20">
        <v>1</v>
      </c>
      <c r="Q11" s="20"/>
      <c r="R11" s="20">
        <v>1.72</v>
      </c>
      <c r="S11" s="20"/>
      <c r="T11" s="20">
        <v>1</v>
      </c>
      <c r="U11" s="20">
        <v>1</v>
      </c>
      <c r="V11" s="20">
        <v>1</v>
      </c>
      <c r="W11" s="20"/>
      <c r="X11" s="20"/>
      <c r="Y11" s="20"/>
      <c r="Z11" s="20">
        <v>1</v>
      </c>
      <c r="AA11" s="20"/>
      <c r="AB11" s="20"/>
    </row>
    <row r="12" spans="1:28" ht="11.25" customHeight="1" x14ac:dyDescent="0.25">
      <c r="A12" s="118"/>
      <c r="B12" s="118"/>
      <c r="C12" s="118"/>
      <c r="D12" s="118"/>
      <c r="E12" s="118"/>
      <c r="F12" s="118"/>
      <c r="G12" s="23" t="s">
        <v>84</v>
      </c>
      <c r="H12" s="23" t="s">
        <v>82</v>
      </c>
      <c r="I12" s="23">
        <f>'MERCADO TE'!$U$9</f>
        <v>195150.861</v>
      </c>
      <c r="J12" s="15"/>
      <c r="L12" s="20">
        <v>1</v>
      </c>
      <c r="M12" s="20">
        <v>1</v>
      </c>
      <c r="N12" s="20">
        <v>1</v>
      </c>
      <c r="O12" s="20">
        <v>1</v>
      </c>
      <c r="P12" s="20">
        <v>1</v>
      </c>
      <c r="Q12" s="20"/>
      <c r="R12" s="20">
        <v>1</v>
      </c>
      <c r="S12" s="20"/>
      <c r="T12" s="20">
        <v>1</v>
      </c>
      <c r="U12" s="20">
        <v>1</v>
      </c>
      <c r="V12" s="20">
        <v>1</v>
      </c>
      <c r="W12" s="20"/>
      <c r="X12" s="20"/>
      <c r="Y12" s="20"/>
      <c r="Z12" s="20">
        <v>1</v>
      </c>
      <c r="AA12" s="20"/>
      <c r="AB12" s="20"/>
    </row>
    <row r="13" spans="1:28" ht="11.25" customHeight="1" x14ac:dyDescent="0.25">
      <c r="A13" s="118"/>
      <c r="B13" s="22" t="s">
        <v>92</v>
      </c>
      <c r="C13" s="22" t="s">
        <v>25</v>
      </c>
      <c r="D13" s="22" t="s">
        <v>25</v>
      </c>
      <c r="E13" s="22" t="s">
        <v>93</v>
      </c>
      <c r="F13" s="22" t="s">
        <v>25</v>
      </c>
      <c r="G13" s="23" t="s">
        <v>88</v>
      </c>
      <c r="H13" s="23" t="s">
        <v>82</v>
      </c>
      <c r="I13" s="23">
        <f>'MERCADO TE'!$U$10</f>
        <v>0</v>
      </c>
      <c r="J13" s="15"/>
      <c r="L13" s="20">
        <v>1</v>
      </c>
      <c r="M13" s="20">
        <v>1</v>
      </c>
      <c r="N13" s="20">
        <v>1</v>
      </c>
      <c r="O13" s="20">
        <v>1</v>
      </c>
      <c r="P13" s="20">
        <v>1</v>
      </c>
      <c r="Q13" s="20"/>
      <c r="R13" s="20">
        <v>1.06</v>
      </c>
      <c r="S13" s="20"/>
      <c r="T13" s="20">
        <v>1</v>
      </c>
      <c r="U13" s="20">
        <v>1</v>
      </c>
      <c r="V13" s="20">
        <v>1</v>
      </c>
      <c r="W13" s="20"/>
      <c r="X13" s="20"/>
      <c r="Y13" s="20"/>
      <c r="Z13" s="20">
        <v>1</v>
      </c>
      <c r="AA13" s="20"/>
      <c r="AB13" s="20"/>
    </row>
    <row r="14" spans="1:28" ht="11.25" customHeight="1" x14ac:dyDescent="0.25">
      <c r="A14" s="118"/>
      <c r="B14" s="22" t="s">
        <v>90</v>
      </c>
      <c r="C14" s="22" t="s">
        <v>25</v>
      </c>
      <c r="D14" s="22" t="s">
        <v>25</v>
      </c>
      <c r="E14" s="22" t="s">
        <v>25</v>
      </c>
      <c r="F14" s="22" t="s">
        <v>25</v>
      </c>
      <c r="G14" s="23" t="s">
        <v>88</v>
      </c>
      <c r="H14" s="23" t="s">
        <v>82</v>
      </c>
      <c r="I14" s="23">
        <f>'MERCADO TE'!$U$11</f>
        <v>0</v>
      </c>
      <c r="J14" s="15"/>
      <c r="L14" s="20">
        <v>1</v>
      </c>
      <c r="M14" s="20">
        <v>1</v>
      </c>
      <c r="N14" s="20">
        <v>1</v>
      </c>
      <c r="O14" s="20">
        <v>1</v>
      </c>
      <c r="P14" s="20">
        <v>1</v>
      </c>
      <c r="Q14" s="20"/>
      <c r="R14" s="20">
        <v>1.06</v>
      </c>
      <c r="S14" s="20"/>
      <c r="T14" s="20">
        <v>1</v>
      </c>
      <c r="U14" s="20">
        <v>1</v>
      </c>
      <c r="V14" s="20">
        <v>1</v>
      </c>
      <c r="W14" s="20"/>
      <c r="X14" s="20"/>
      <c r="Y14" s="20"/>
      <c r="Z14" s="20">
        <v>1</v>
      </c>
      <c r="AA14" s="20"/>
      <c r="AB14" s="20"/>
    </row>
    <row r="15" spans="1:28" ht="11.25" customHeight="1" x14ac:dyDescent="0.25">
      <c r="A15" s="118"/>
      <c r="B15" s="22" t="s">
        <v>94</v>
      </c>
      <c r="C15" s="22" t="s">
        <v>25</v>
      </c>
      <c r="D15" s="22" t="s">
        <v>25</v>
      </c>
      <c r="E15" s="22" t="s">
        <v>93</v>
      </c>
      <c r="F15" s="22" t="s">
        <v>25</v>
      </c>
      <c r="G15" s="23" t="s">
        <v>88</v>
      </c>
      <c r="H15" s="23" t="s">
        <v>82</v>
      </c>
      <c r="I15" s="23">
        <f>'MERCADO TE'!$U$12</f>
        <v>0</v>
      </c>
      <c r="J15" s="15"/>
      <c r="L15" s="20">
        <v>1</v>
      </c>
      <c r="M15" s="20">
        <v>1</v>
      </c>
      <c r="N15" s="20">
        <v>1</v>
      </c>
      <c r="O15" s="20">
        <v>1</v>
      </c>
      <c r="P15" s="20">
        <v>1</v>
      </c>
      <c r="Q15" s="20"/>
      <c r="R15" s="20">
        <v>1.06</v>
      </c>
      <c r="S15" s="20"/>
      <c r="T15" s="20">
        <v>1</v>
      </c>
      <c r="U15" s="20">
        <v>1</v>
      </c>
      <c r="V15" s="20">
        <v>1</v>
      </c>
      <c r="W15" s="20"/>
      <c r="X15" s="20"/>
      <c r="Y15" s="20"/>
      <c r="Z15" s="20">
        <v>1</v>
      </c>
      <c r="AA15" s="20"/>
      <c r="AB15" s="20"/>
    </row>
    <row r="16" spans="1:28" ht="11.25" customHeight="1" x14ac:dyDescent="0.25">
      <c r="A16" s="118"/>
      <c r="B16" s="22" t="s">
        <v>92</v>
      </c>
      <c r="C16" s="22" t="s">
        <v>25</v>
      </c>
      <c r="D16" s="22" t="s">
        <v>25</v>
      </c>
      <c r="E16" s="22" t="s">
        <v>25</v>
      </c>
      <c r="F16" s="22" t="s">
        <v>25</v>
      </c>
      <c r="G16" s="23" t="s">
        <v>88</v>
      </c>
      <c r="H16" s="23" t="s">
        <v>82</v>
      </c>
      <c r="I16" s="23">
        <f>'MERCADO TE'!$U$13</f>
        <v>10049.64</v>
      </c>
      <c r="J16" s="15"/>
      <c r="L16" s="20">
        <v>1</v>
      </c>
      <c r="M16" s="20"/>
      <c r="N16" s="20">
        <v>1</v>
      </c>
      <c r="O16" s="20">
        <v>1</v>
      </c>
      <c r="P16" s="20">
        <v>1</v>
      </c>
      <c r="Q16" s="20"/>
      <c r="R16" s="20">
        <v>1.06</v>
      </c>
      <c r="S16" s="20"/>
      <c r="T16" s="20">
        <v>1</v>
      </c>
      <c r="U16" s="20">
        <v>1</v>
      </c>
      <c r="V16" s="20">
        <v>1</v>
      </c>
      <c r="W16" s="20"/>
      <c r="X16" s="20"/>
      <c r="Y16" s="20"/>
      <c r="Z16" s="20"/>
      <c r="AA16" s="20"/>
      <c r="AB16" s="20"/>
    </row>
    <row r="17" spans="1:28" ht="11.25" customHeight="1" x14ac:dyDescent="0.25">
      <c r="A17" s="118" t="s">
        <v>22</v>
      </c>
      <c r="B17" s="118" t="s">
        <v>81</v>
      </c>
      <c r="C17" s="118" t="s">
        <v>24</v>
      </c>
      <c r="D17" s="118" t="s">
        <v>24</v>
      </c>
      <c r="E17" s="118" t="s">
        <v>25</v>
      </c>
      <c r="F17" s="118" t="s">
        <v>25</v>
      </c>
      <c r="G17" s="23" t="s">
        <v>83</v>
      </c>
      <c r="H17" s="23" t="s">
        <v>82</v>
      </c>
      <c r="I17" s="23">
        <f>'MERCADO TE'!$U$14</f>
        <v>51.442999999999998</v>
      </c>
      <c r="J17" s="15"/>
      <c r="L17" s="20">
        <v>1</v>
      </c>
      <c r="M17" s="20">
        <v>1</v>
      </c>
      <c r="N17" s="20">
        <v>1</v>
      </c>
      <c r="O17" s="20">
        <v>1</v>
      </c>
      <c r="P17" s="20">
        <v>1</v>
      </c>
      <c r="Q17" s="20"/>
      <c r="R17" s="20">
        <v>1.72</v>
      </c>
      <c r="S17" s="20"/>
      <c r="T17" s="20">
        <v>1</v>
      </c>
      <c r="U17" s="20">
        <v>1</v>
      </c>
      <c r="V17" s="20">
        <v>1</v>
      </c>
      <c r="W17" s="20"/>
      <c r="X17" s="20"/>
      <c r="Y17" s="20"/>
      <c r="Z17" s="20">
        <v>1</v>
      </c>
      <c r="AA17" s="20"/>
      <c r="AB17" s="20"/>
    </row>
    <row r="18" spans="1:28" ht="11.25" customHeight="1" x14ac:dyDescent="0.25">
      <c r="A18" s="118"/>
      <c r="B18" s="118"/>
      <c r="C18" s="118"/>
      <c r="D18" s="118"/>
      <c r="E18" s="118"/>
      <c r="F18" s="118"/>
      <c r="G18" s="23" t="s">
        <v>98</v>
      </c>
      <c r="H18" s="23" t="s">
        <v>82</v>
      </c>
      <c r="I18" s="23">
        <f>'MERCADO TE'!$U$15</f>
        <v>16.948999999999998</v>
      </c>
      <c r="J18" s="15"/>
      <c r="L18" s="20">
        <v>1</v>
      </c>
      <c r="M18" s="20">
        <v>1</v>
      </c>
      <c r="N18" s="20">
        <v>1</v>
      </c>
      <c r="O18" s="20">
        <v>1</v>
      </c>
      <c r="P18" s="20">
        <v>1</v>
      </c>
      <c r="Q18" s="20"/>
      <c r="R18" s="20">
        <v>1</v>
      </c>
      <c r="S18" s="20"/>
      <c r="T18" s="20">
        <v>1</v>
      </c>
      <c r="U18" s="20">
        <v>1</v>
      </c>
      <c r="V18" s="20">
        <v>1</v>
      </c>
      <c r="W18" s="20"/>
      <c r="X18" s="20"/>
      <c r="Y18" s="20"/>
      <c r="Z18" s="20">
        <v>1</v>
      </c>
      <c r="AA18" s="20"/>
      <c r="AB18" s="20"/>
    </row>
    <row r="19" spans="1:28" ht="11.25" customHeight="1" x14ac:dyDescent="0.25">
      <c r="A19" s="118"/>
      <c r="B19" s="118"/>
      <c r="C19" s="118"/>
      <c r="D19" s="118"/>
      <c r="E19" s="118"/>
      <c r="F19" s="118"/>
      <c r="G19" s="23" t="s">
        <v>84</v>
      </c>
      <c r="H19" s="23" t="s">
        <v>82</v>
      </c>
      <c r="I19" s="23">
        <f>'MERCADO TE'!$U$16</f>
        <v>490.19600000000008</v>
      </c>
      <c r="J19" s="15"/>
      <c r="L19" s="20">
        <v>1</v>
      </c>
      <c r="M19" s="20">
        <v>1</v>
      </c>
      <c r="N19" s="20">
        <v>1</v>
      </c>
      <c r="O19" s="20">
        <v>1</v>
      </c>
      <c r="P19" s="20">
        <v>1</v>
      </c>
      <c r="Q19" s="20"/>
      <c r="R19" s="20">
        <v>1</v>
      </c>
      <c r="S19" s="20"/>
      <c r="T19" s="20">
        <v>1</v>
      </c>
      <c r="U19" s="20">
        <v>1</v>
      </c>
      <c r="V19" s="20">
        <v>1</v>
      </c>
      <c r="W19" s="20"/>
      <c r="X19" s="20"/>
      <c r="Y19" s="20"/>
      <c r="Z19" s="20">
        <v>1</v>
      </c>
      <c r="AA19" s="20"/>
      <c r="AB19" s="20"/>
    </row>
    <row r="20" spans="1:28" ht="11.25" customHeight="1" x14ac:dyDescent="0.25">
      <c r="A20" s="118"/>
      <c r="B20" s="118" t="s">
        <v>90</v>
      </c>
      <c r="C20" s="118" t="s">
        <v>24</v>
      </c>
      <c r="D20" s="22" t="s">
        <v>24</v>
      </c>
      <c r="E20" s="22" t="s">
        <v>25</v>
      </c>
      <c r="F20" s="22" t="s">
        <v>25</v>
      </c>
      <c r="G20" s="23" t="s">
        <v>88</v>
      </c>
      <c r="H20" s="23" t="s">
        <v>82</v>
      </c>
      <c r="I20" s="23">
        <f>'MERCADO TE'!$U$17</f>
        <v>441318.25</v>
      </c>
      <c r="J20" s="15"/>
      <c r="L20" s="20">
        <v>1</v>
      </c>
      <c r="M20" s="20">
        <v>1</v>
      </c>
      <c r="N20" s="20">
        <v>1</v>
      </c>
      <c r="O20" s="20">
        <v>1</v>
      </c>
      <c r="P20" s="20">
        <v>1</v>
      </c>
      <c r="Q20" s="20"/>
      <c r="R20" s="20">
        <v>1.06</v>
      </c>
      <c r="S20" s="20"/>
      <c r="T20" s="20">
        <v>1</v>
      </c>
      <c r="U20" s="20">
        <v>1</v>
      </c>
      <c r="V20" s="20">
        <v>1</v>
      </c>
      <c r="W20" s="20"/>
      <c r="X20" s="20"/>
      <c r="Y20" s="20"/>
      <c r="Z20" s="20">
        <v>1</v>
      </c>
      <c r="AA20" s="20"/>
      <c r="AB20" s="20"/>
    </row>
    <row r="21" spans="1:28" ht="11.25" customHeight="1" x14ac:dyDescent="0.25">
      <c r="A21" s="118"/>
      <c r="B21" s="118"/>
      <c r="C21" s="118"/>
      <c r="D21" s="22" t="s">
        <v>31</v>
      </c>
      <c r="E21" s="22" t="s">
        <v>25</v>
      </c>
      <c r="F21" s="22" t="s">
        <v>25</v>
      </c>
      <c r="G21" s="23" t="s">
        <v>88</v>
      </c>
      <c r="H21" s="23" t="s">
        <v>82</v>
      </c>
      <c r="I21" s="23">
        <f>'MERCADO TE'!$U$18</f>
        <v>23008.194</v>
      </c>
      <c r="J21" s="15"/>
      <c r="L21" s="20">
        <f>1 - CUSTOS!$M$24</f>
        <v>1</v>
      </c>
      <c r="M21" s="20">
        <f>1 - CUSTOS!$M$24</f>
        <v>1</v>
      </c>
      <c r="N21" s="20">
        <f>1 - CUSTOS!$M$24</f>
        <v>1</v>
      </c>
      <c r="O21" s="20">
        <f>1 - CUSTOS!$M$24</f>
        <v>1</v>
      </c>
      <c r="P21" s="20">
        <f>1 - CUSTOS!$M$24</f>
        <v>1</v>
      </c>
      <c r="Q21" s="20"/>
      <c r="R21" s="20">
        <f>(1 - CUSTOS!$M$24)*1.06</f>
        <v>1.06</v>
      </c>
      <c r="S21" s="20"/>
      <c r="T21" s="20">
        <f>1 - CUSTOS!$M$24</f>
        <v>1</v>
      </c>
      <c r="U21" s="20">
        <f>1 - CUSTOS!$M$24</f>
        <v>1</v>
      </c>
      <c r="V21" s="20">
        <f>1 - CUSTOS!$M$24</f>
        <v>1</v>
      </c>
      <c r="W21" s="20"/>
      <c r="X21" s="20"/>
      <c r="Y21" s="20"/>
      <c r="Z21" s="20">
        <f>1 - CUSTOS!$M$24</f>
        <v>1</v>
      </c>
      <c r="AA21" s="20"/>
      <c r="AB21" s="20"/>
    </row>
    <row r="22" spans="1:28" ht="11.25" customHeight="1" x14ac:dyDescent="0.25">
      <c r="A22" s="118"/>
      <c r="B22" s="118"/>
      <c r="C22" s="118"/>
      <c r="D22" s="22" t="s">
        <v>32</v>
      </c>
      <c r="E22" s="22" t="s">
        <v>25</v>
      </c>
      <c r="F22" s="22" t="s">
        <v>25</v>
      </c>
      <c r="G22" s="23" t="s">
        <v>88</v>
      </c>
      <c r="H22" s="23" t="s">
        <v>82</v>
      </c>
      <c r="I22" s="23">
        <f>'MERCADO TE'!$U$19</f>
        <v>43669.588000000003</v>
      </c>
      <c r="J22" s="15"/>
      <c r="L22" s="20">
        <f>1 - CUSTOS!$M$25</f>
        <v>1</v>
      </c>
      <c r="M22" s="20">
        <f>1 - CUSTOS!$M$25</f>
        <v>1</v>
      </c>
      <c r="N22" s="20">
        <f>1 - CUSTOS!$M$25</f>
        <v>1</v>
      </c>
      <c r="O22" s="20">
        <f>1 - CUSTOS!$M$25</f>
        <v>1</v>
      </c>
      <c r="P22" s="20">
        <f>1 - CUSTOS!$M$25</f>
        <v>1</v>
      </c>
      <c r="Q22" s="20"/>
      <c r="R22" s="20">
        <f>(1 - CUSTOS!$M$25)*1.06</f>
        <v>1.06</v>
      </c>
      <c r="S22" s="20"/>
      <c r="T22" s="20">
        <f>1 - CUSTOS!$M$25</f>
        <v>1</v>
      </c>
      <c r="U22" s="20">
        <f>1 - CUSTOS!$M$25</f>
        <v>1</v>
      </c>
      <c r="V22" s="20">
        <f>1 - CUSTOS!$M$25</f>
        <v>1</v>
      </c>
      <c r="W22" s="20"/>
      <c r="X22" s="20"/>
      <c r="Y22" s="20"/>
      <c r="Z22" s="20">
        <f>1 - CUSTOS!$M$25</f>
        <v>1</v>
      </c>
      <c r="AA22" s="20"/>
      <c r="AB22" s="20"/>
    </row>
    <row r="23" spans="1:28" ht="11.25" customHeight="1" x14ac:dyDescent="0.25">
      <c r="A23" s="118"/>
      <c r="B23" s="118"/>
      <c r="C23" s="118"/>
      <c r="D23" s="22" t="s">
        <v>33</v>
      </c>
      <c r="E23" s="22" t="s">
        <v>25</v>
      </c>
      <c r="F23" s="22" t="s">
        <v>25</v>
      </c>
      <c r="G23" s="23" t="s">
        <v>88</v>
      </c>
      <c r="H23" s="23" t="s">
        <v>82</v>
      </c>
      <c r="I23" s="23">
        <f>'MERCADO TE'!$U$20</f>
        <v>35563.447</v>
      </c>
      <c r="J23" s="15"/>
      <c r="L23" s="20">
        <f>1 - CUSTOS!$M$26</f>
        <v>1</v>
      </c>
      <c r="M23" s="20">
        <f>1 - CUSTOS!$M$26</f>
        <v>1</v>
      </c>
      <c r="N23" s="20">
        <f>1 - CUSTOS!$M$26</f>
        <v>1</v>
      </c>
      <c r="O23" s="20">
        <f>1 - CUSTOS!$M$26</f>
        <v>1</v>
      </c>
      <c r="P23" s="20">
        <f>1 - CUSTOS!$M$26</f>
        <v>1</v>
      </c>
      <c r="Q23" s="20"/>
      <c r="R23" s="20">
        <f>(1 - CUSTOS!$M$26)*1.06</f>
        <v>1.06</v>
      </c>
      <c r="S23" s="20"/>
      <c r="T23" s="20">
        <f>1 - CUSTOS!$M$26</f>
        <v>1</v>
      </c>
      <c r="U23" s="20">
        <f>1 - CUSTOS!$M$26</f>
        <v>1</v>
      </c>
      <c r="V23" s="20">
        <f>1 - CUSTOS!$M$26</f>
        <v>1</v>
      </c>
      <c r="W23" s="20"/>
      <c r="X23" s="20"/>
      <c r="Y23" s="20"/>
      <c r="Z23" s="20">
        <f>1 - CUSTOS!$M$26</f>
        <v>1</v>
      </c>
      <c r="AA23" s="20"/>
      <c r="AB23" s="20"/>
    </row>
    <row r="24" spans="1:28" ht="11.25" customHeight="1" x14ac:dyDescent="0.25">
      <c r="A24" s="118"/>
      <c r="B24" s="118"/>
      <c r="C24" s="118"/>
      <c r="D24" s="22" t="s">
        <v>34</v>
      </c>
      <c r="E24" s="22" t="s">
        <v>25</v>
      </c>
      <c r="F24" s="22" t="s">
        <v>25</v>
      </c>
      <c r="G24" s="23" t="s">
        <v>88</v>
      </c>
      <c r="H24" s="23" t="s">
        <v>82</v>
      </c>
      <c r="I24" s="23">
        <f>'MERCADO TE'!$U$21</f>
        <v>18122.502</v>
      </c>
      <c r="J24" s="15"/>
      <c r="L24" s="20">
        <f>1 - CUSTOS!$M$27</f>
        <v>1</v>
      </c>
      <c r="M24" s="20">
        <f>1 - CUSTOS!$M$27</f>
        <v>1</v>
      </c>
      <c r="N24" s="20">
        <f>1 - CUSTOS!$M$27</f>
        <v>1</v>
      </c>
      <c r="O24" s="20">
        <f>1 - CUSTOS!$M$27</f>
        <v>1</v>
      </c>
      <c r="P24" s="20">
        <f>1 - CUSTOS!$M$27</f>
        <v>1</v>
      </c>
      <c r="Q24" s="20"/>
      <c r="R24" s="20">
        <f>(1 - CUSTOS!$M$27)*1.06</f>
        <v>1.06</v>
      </c>
      <c r="S24" s="20"/>
      <c r="T24" s="20">
        <f>1 - CUSTOS!$M$27</f>
        <v>1</v>
      </c>
      <c r="U24" s="20">
        <f>1 - CUSTOS!$M$27</f>
        <v>1</v>
      </c>
      <c r="V24" s="20">
        <f>1 - CUSTOS!$M$27</f>
        <v>1</v>
      </c>
      <c r="W24" s="20"/>
      <c r="X24" s="20"/>
      <c r="Y24" s="20"/>
      <c r="Z24" s="20">
        <f>1 - CUSTOS!$M$27</f>
        <v>1</v>
      </c>
      <c r="AA24" s="20"/>
      <c r="AB24" s="20"/>
    </row>
    <row r="25" spans="1:28" ht="11.25" customHeight="1" x14ac:dyDescent="0.25">
      <c r="A25" s="118"/>
      <c r="B25" s="118" t="s">
        <v>99</v>
      </c>
      <c r="C25" s="118" t="s">
        <v>24</v>
      </c>
      <c r="D25" s="22" t="s">
        <v>24</v>
      </c>
      <c r="E25" s="22" t="s">
        <v>25</v>
      </c>
      <c r="F25" s="22" t="s">
        <v>25</v>
      </c>
      <c r="G25" s="23" t="s">
        <v>88</v>
      </c>
      <c r="H25" s="23" t="s">
        <v>82</v>
      </c>
      <c r="I25" s="23">
        <f>'MERCADO TE'!$U$22</f>
        <v>0</v>
      </c>
      <c r="J25" s="15"/>
      <c r="L25" s="20">
        <v>1</v>
      </c>
      <c r="M25" s="20">
        <v>1</v>
      </c>
      <c r="N25" s="20">
        <v>1</v>
      </c>
      <c r="O25" s="20">
        <v>1</v>
      </c>
      <c r="P25" s="20">
        <v>1</v>
      </c>
      <c r="Q25" s="20"/>
      <c r="R25" s="20">
        <v>1.06</v>
      </c>
      <c r="S25" s="20"/>
      <c r="T25" s="20">
        <v>1</v>
      </c>
      <c r="U25" s="20">
        <v>1</v>
      </c>
      <c r="V25" s="20">
        <v>1</v>
      </c>
      <c r="W25" s="20"/>
      <c r="X25" s="20"/>
      <c r="Y25" s="20"/>
      <c r="Z25" s="20">
        <v>1</v>
      </c>
      <c r="AA25" s="20"/>
      <c r="AB25" s="20"/>
    </row>
    <row r="26" spans="1:28" ht="11.25" customHeight="1" x14ac:dyDescent="0.25">
      <c r="A26" s="118"/>
      <c r="B26" s="118"/>
      <c r="C26" s="118"/>
      <c r="D26" s="22" t="s">
        <v>31</v>
      </c>
      <c r="E26" s="22" t="s">
        <v>25</v>
      </c>
      <c r="F26" s="22" t="s">
        <v>25</v>
      </c>
      <c r="G26" s="23" t="s">
        <v>88</v>
      </c>
      <c r="H26" s="23" t="s">
        <v>82</v>
      </c>
      <c r="I26" s="23">
        <f>'MERCADO TE'!$U$23</f>
        <v>0</v>
      </c>
      <c r="J26" s="15"/>
      <c r="L26" s="20">
        <f>1 - CUSTOS!$M$24</f>
        <v>1</v>
      </c>
      <c r="M26" s="20">
        <f>1 - CUSTOS!$M$24</f>
        <v>1</v>
      </c>
      <c r="N26" s="20">
        <f>1 - CUSTOS!$M$24</f>
        <v>1</v>
      </c>
      <c r="O26" s="20">
        <f>1 - CUSTOS!$M$24</f>
        <v>1</v>
      </c>
      <c r="P26" s="20">
        <f>1 - CUSTOS!$M$24</f>
        <v>1</v>
      </c>
      <c r="Q26" s="20"/>
      <c r="R26" s="20">
        <f>(1 - CUSTOS!$M$24)*1.06</f>
        <v>1.06</v>
      </c>
      <c r="S26" s="20"/>
      <c r="T26" s="20">
        <f>1 - CUSTOS!$M$24</f>
        <v>1</v>
      </c>
      <c r="U26" s="20">
        <f>1 - CUSTOS!$M$24</f>
        <v>1</v>
      </c>
      <c r="V26" s="20">
        <f>1 - CUSTOS!$M$24</f>
        <v>1</v>
      </c>
      <c r="W26" s="20"/>
      <c r="X26" s="20"/>
      <c r="Y26" s="20"/>
      <c r="Z26" s="20">
        <f>1 - CUSTOS!$M$24</f>
        <v>1</v>
      </c>
      <c r="AA26" s="20"/>
      <c r="AB26" s="20"/>
    </row>
    <row r="27" spans="1:28" ht="11.25" customHeight="1" x14ac:dyDescent="0.25">
      <c r="A27" s="118"/>
      <c r="B27" s="118"/>
      <c r="C27" s="118"/>
      <c r="D27" s="22" t="s">
        <v>32</v>
      </c>
      <c r="E27" s="22" t="s">
        <v>25</v>
      </c>
      <c r="F27" s="22" t="s">
        <v>25</v>
      </c>
      <c r="G27" s="23" t="s">
        <v>88</v>
      </c>
      <c r="H27" s="23" t="s">
        <v>82</v>
      </c>
      <c r="I27" s="23">
        <f>'MERCADO TE'!$U$24</f>
        <v>0</v>
      </c>
      <c r="J27" s="15"/>
      <c r="L27" s="20">
        <f>1 - CUSTOS!$M$25</f>
        <v>1</v>
      </c>
      <c r="M27" s="20">
        <f>1 - CUSTOS!$M$25</f>
        <v>1</v>
      </c>
      <c r="N27" s="20">
        <f>1 - CUSTOS!$M$25</f>
        <v>1</v>
      </c>
      <c r="O27" s="20">
        <f>1 - CUSTOS!$M$25</f>
        <v>1</v>
      </c>
      <c r="P27" s="20">
        <f>1 - CUSTOS!$M$25</f>
        <v>1</v>
      </c>
      <c r="Q27" s="20"/>
      <c r="R27" s="20">
        <f>(1 - CUSTOS!$M$25)*1.06</f>
        <v>1.06</v>
      </c>
      <c r="S27" s="20"/>
      <c r="T27" s="20">
        <f>1 - CUSTOS!$M$25</f>
        <v>1</v>
      </c>
      <c r="U27" s="20">
        <f>1 - CUSTOS!$M$25</f>
        <v>1</v>
      </c>
      <c r="V27" s="20">
        <f>1 - CUSTOS!$M$25</f>
        <v>1</v>
      </c>
      <c r="W27" s="20"/>
      <c r="X27" s="20"/>
      <c r="Y27" s="20"/>
      <c r="Z27" s="20">
        <f>1 - CUSTOS!$M$25</f>
        <v>1</v>
      </c>
      <c r="AA27" s="20"/>
      <c r="AB27" s="20"/>
    </row>
    <row r="28" spans="1:28" ht="11.25" customHeight="1" x14ac:dyDescent="0.25">
      <c r="A28" s="118"/>
      <c r="B28" s="118"/>
      <c r="C28" s="118"/>
      <c r="D28" s="22" t="s">
        <v>33</v>
      </c>
      <c r="E28" s="22" t="s">
        <v>25</v>
      </c>
      <c r="F28" s="22" t="s">
        <v>25</v>
      </c>
      <c r="G28" s="23" t="s">
        <v>88</v>
      </c>
      <c r="H28" s="23" t="s">
        <v>82</v>
      </c>
      <c r="I28" s="23">
        <f>'MERCADO TE'!$U$25</f>
        <v>0</v>
      </c>
      <c r="J28" s="15"/>
      <c r="L28" s="20">
        <f>1 - CUSTOS!$M$26</f>
        <v>1</v>
      </c>
      <c r="M28" s="20">
        <f>1 - CUSTOS!$M$26</f>
        <v>1</v>
      </c>
      <c r="N28" s="20">
        <f>1 - CUSTOS!$M$26</f>
        <v>1</v>
      </c>
      <c r="O28" s="20">
        <f>1 - CUSTOS!$M$26</f>
        <v>1</v>
      </c>
      <c r="P28" s="20">
        <f>1 - CUSTOS!$M$26</f>
        <v>1</v>
      </c>
      <c r="Q28" s="20"/>
      <c r="R28" s="20">
        <f>(1 - CUSTOS!$M$26)*1.06</f>
        <v>1.06</v>
      </c>
      <c r="S28" s="20"/>
      <c r="T28" s="20">
        <f>1 - CUSTOS!$M$26</f>
        <v>1</v>
      </c>
      <c r="U28" s="20">
        <f>1 - CUSTOS!$M$26</f>
        <v>1</v>
      </c>
      <c r="V28" s="20">
        <f>1 - CUSTOS!$M$26</f>
        <v>1</v>
      </c>
      <c r="W28" s="20"/>
      <c r="X28" s="20"/>
      <c r="Y28" s="20"/>
      <c r="Z28" s="20">
        <f>1 - CUSTOS!$M$26</f>
        <v>1</v>
      </c>
      <c r="AA28" s="20"/>
      <c r="AB28" s="20"/>
    </row>
    <row r="29" spans="1:28" ht="11.25" customHeight="1" x14ac:dyDescent="0.25">
      <c r="A29" s="118"/>
      <c r="B29" s="118"/>
      <c r="C29" s="118"/>
      <c r="D29" s="22" t="s">
        <v>34</v>
      </c>
      <c r="E29" s="22" t="s">
        <v>25</v>
      </c>
      <c r="F29" s="22" t="s">
        <v>25</v>
      </c>
      <c r="G29" s="23" t="s">
        <v>88</v>
      </c>
      <c r="H29" s="23" t="s">
        <v>82</v>
      </c>
      <c r="I29" s="23">
        <f>'MERCADO TE'!$U$26</f>
        <v>0</v>
      </c>
      <c r="J29" s="15"/>
      <c r="L29" s="20">
        <f>1 - CUSTOS!$M$27</f>
        <v>1</v>
      </c>
      <c r="M29" s="20">
        <f>1 - CUSTOS!$M$27</f>
        <v>1</v>
      </c>
      <c r="N29" s="20">
        <f>1 - CUSTOS!$M$27</f>
        <v>1</v>
      </c>
      <c r="O29" s="20">
        <f>1 - CUSTOS!$M$27</f>
        <v>1</v>
      </c>
      <c r="P29" s="20">
        <f>1 - CUSTOS!$M$27</f>
        <v>1</v>
      </c>
      <c r="Q29" s="20"/>
      <c r="R29" s="20">
        <f>(1 - CUSTOS!$M$27)*1.06</f>
        <v>1.06</v>
      </c>
      <c r="S29" s="20"/>
      <c r="T29" s="20">
        <f>1 - CUSTOS!$M$27</f>
        <v>1</v>
      </c>
      <c r="U29" s="20">
        <f>1 - CUSTOS!$M$27</f>
        <v>1</v>
      </c>
      <c r="V29" s="20">
        <f>1 - CUSTOS!$M$27</f>
        <v>1</v>
      </c>
      <c r="W29" s="20"/>
      <c r="X29" s="20"/>
      <c r="Y29" s="20"/>
      <c r="Z29" s="20">
        <f>1 - CUSTOS!$M$27</f>
        <v>1</v>
      </c>
      <c r="AA29" s="20"/>
      <c r="AB29" s="20"/>
    </row>
    <row r="30" spans="1:28" ht="11.25" customHeight="1" x14ac:dyDescent="0.25">
      <c r="A30" s="118" t="s">
        <v>46</v>
      </c>
      <c r="B30" s="118" t="s">
        <v>81</v>
      </c>
      <c r="C30" s="118" t="s">
        <v>47</v>
      </c>
      <c r="D30" s="118" t="s">
        <v>25</v>
      </c>
      <c r="E30" s="118" t="s">
        <v>25</v>
      </c>
      <c r="F30" s="118" t="s">
        <v>25</v>
      </c>
      <c r="G30" s="23" t="s">
        <v>83</v>
      </c>
      <c r="H30" s="23" t="s">
        <v>82</v>
      </c>
      <c r="I30" s="23">
        <f>'MERCADO TE'!$U$27</f>
        <v>3.4330000000000007</v>
      </c>
      <c r="J30" s="15"/>
      <c r="L30" s="20">
        <f>1 - CUSTOS!$M$28</f>
        <v>1</v>
      </c>
      <c r="M30" s="20">
        <f>1 - CUSTOS!$M$28</f>
        <v>1</v>
      </c>
      <c r="N30" s="20">
        <f>1 - CUSTOS!$M$28</f>
        <v>1</v>
      </c>
      <c r="O30" s="20">
        <f>1 - CUSTOS!$M$28</f>
        <v>1</v>
      </c>
      <c r="P30" s="20">
        <f>1 - CUSTOS!$M$28</f>
        <v>1</v>
      </c>
      <c r="Q30" s="20"/>
      <c r="R30" s="20">
        <f>(1 - CUSTOS!$M$28)*1.72</f>
        <v>1.72</v>
      </c>
      <c r="S30" s="20"/>
      <c r="T30" s="20">
        <f>1 - CUSTOS!$M$28</f>
        <v>1</v>
      </c>
      <c r="U30" s="20">
        <f>1 - CUSTOS!$M$28</f>
        <v>1</v>
      </c>
      <c r="V30" s="20">
        <f>1 - CUSTOS!$M$28</f>
        <v>1</v>
      </c>
      <c r="W30" s="20"/>
      <c r="X30" s="20"/>
      <c r="Y30" s="20"/>
      <c r="Z30" s="20">
        <f>1 - CUSTOS!$M$28</f>
        <v>1</v>
      </c>
      <c r="AA30" s="20"/>
      <c r="AB30" s="20"/>
    </row>
    <row r="31" spans="1:28" ht="11.25" customHeight="1" x14ac:dyDescent="0.25">
      <c r="A31" s="118"/>
      <c r="B31" s="118"/>
      <c r="C31" s="118"/>
      <c r="D31" s="118"/>
      <c r="E31" s="118"/>
      <c r="F31" s="118"/>
      <c r="G31" s="23" t="s">
        <v>98</v>
      </c>
      <c r="H31" s="23" t="s">
        <v>82</v>
      </c>
      <c r="I31" s="23">
        <f>'MERCADO TE'!$U$28</f>
        <v>0.54699999999999993</v>
      </c>
      <c r="J31" s="15"/>
      <c r="L31" s="20">
        <f>1 - CUSTOS!$M$28</f>
        <v>1</v>
      </c>
      <c r="M31" s="20">
        <f>1 - CUSTOS!$M$28</f>
        <v>1</v>
      </c>
      <c r="N31" s="20">
        <f>1 - CUSTOS!$M$28</f>
        <v>1</v>
      </c>
      <c r="O31" s="20">
        <f>1 - CUSTOS!$M$28</f>
        <v>1</v>
      </c>
      <c r="P31" s="20">
        <f>1 - CUSTOS!$M$28</f>
        <v>1</v>
      </c>
      <c r="Q31" s="20"/>
      <c r="R31" s="20">
        <f>(1 - CUSTOS!$M$28)*1</f>
        <v>1</v>
      </c>
      <c r="S31" s="20"/>
      <c r="T31" s="20">
        <f>1 - CUSTOS!$M$28</f>
        <v>1</v>
      </c>
      <c r="U31" s="20">
        <f>1 - CUSTOS!$M$28</f>
        <v>1</v>
      </c>
      <c r="V31" s="20">
        <f>1 - CUSTOS!$M$28</f>
        <v>1</v>
      </c>
      <c r="W31" s="20"/>
      <c r="X31" s="20"/>
      <c r="Y31" s="20"/>
      <c r="Z31" s="20">
        <f>1 - CUSTOS!$M$28</f>
        <v>1</v>
      </c>
      <c r="AA31" s="20"/>
      <c r="AB31" s="20"/>
    </row>
    <row r="32" spans="1:28" ht="11.25" customHeight="1" x14ac:dyDescent="0.25">
      <c r="A32" s="118"/>
      <c r="B32" s="118"/>
      <c r="C32" s="118"/>
      <c r="D32" s="118"/>
      <c r="E32" s="118"/>
      <c r="F32" s="118"/>
      <c r="G32" s="23" t="s">
        <v>84</v>
      </c>
      <c r="H32" s="23" t="s">
        <v>82</v>
      </c>
      <c r="I32" s="23">
        <f>'MERCADO TE'!$U$29</f>
        <v>73.387</v>
      </c>
      <c r="J32" s="15"/>
      <c r="L32" s="20">
        <f>1 - CUSTOS!$M$28</f>
        <v>1</v>
      </c>
      <c r="M32" s="20">
        <f>1 - CUSTOS!$M$28</f>
        <v>1</v>
      </c>
      <c r="N32" s="20">
        <f>1 - CUSTOS!$M$28</f>
        <v>1</v>
      </c>
      <c r="O32" s="20">
        <f>1 - CUSTOS!$M$28</f>
        <v>1</v>
      </c>
      <c r="P32" s="20">
        <f>1 - CUSTOS!$M$28</f>
        <v>1</v>
      </c>
      <c r="Q32" s="20"/>
      <c r="R32" s="20">
        <f>(1 - CUSTOS!$M$28)*1</f>
        <v>1</v>
      </c>
      <c r="S32" s="20"/>
      <c r="T32" s="20">
        <f>1 - CUSTOS!$M$28</f>
        <v>1</v>
      </c>
      <c r="U32" s="20">
        <f>1 - CUSTOS!$M$28</f>
        <v>1</v>
      </c>
      <c r="V32" s="20">
        <f>1 - CUSTOS!$M$28</f>
        <v>1</v>
      </c>
      <c r="W32" s="20"/>
      <c r="X32" s="20"/>
      <c r="Y32" s="20"/>
      <c r="Z32" s="20">
        <f>1 - CUSTOS!$M$28</f>
        <v>1</v>
      </c>
      <c r="AA32" s="20"/>
      <c r="AB32" s="20"/>
    </row>
    <row r="33" spans="1:28" ht="11.25" customHeight="1" x14ac:dyDescent="0.25">
      <c r="A33" s="118"/>
      <c r="B33" s="22" t="s">
        <v>90</v>
      </c>
      <c r="C33" s="22" t="s">
        <v>47</v>
      </c>
      <c r="D33" s="22" t="s">
        <v>25</v>
      </c>
      <c r="E33" s="22" t="s">
        <v>25</v>
      </c>
      <c r="F33" s="22" t="s">
        <v>25</v>
      </c>
      <c r="G33" s="23" t="s">
        <v>88</v>
      </c>
      <c r="H33" s="23" t="s">
        <v>82</v>
      </c>
      <c r="I33" s="23">
        <f>'MERCADO TE'!$U$30</f>
        <v>45841.400999999998</v>
      </c>
      <c r="J33" s="15"/>
      <c r="L33" s="20">
        <f>1 - CUSTOS!$M$28</f>
        <v>1</v>
      </c>
      <c r="M33" s="20">
        <f>1 - CUSTOS!$M$28</f>
        <v>1</v>
      </c>
      <c r="N33" s="20">
        <f>1 - CUSTOS!$M$28</f>
        <v>1</v>
      </c>
      <c r="O33" s="20">
        <f>1 - CUSTOS!$M$28</f>
        <v>1</v>
      </c>
      <c r="P33" s="20">
        <f>1 - CUSTOS!$M$28</f>
        <v>1</v>
      </c>
      <c r="Q33" s="20"/>
      <c r="R33" s="20">
        <f>(1 - CUSTOS!$M$28)*1.06</f>
        <v>1.06</v>
      </c>
      <c r="S33" s="20"/>
      <c r="T33" s="20">
        <f>1 - CUSTOS!$M$28</f>
        <v>1</v>
      </c>
      <c r="U33" s="20">
        <f>1 - CUSTOS!$M$28</f>
        <v>1</v>
      </c>
      <c r="V33" s="20">
        <f>1 - CUSTOS!$M$28</f>
        <v>1</v>
      </c>
      <c r="W33" s="20"/>
      <c r="X33" s="20"/>
      <c r="Y33" s="20"/>
      <c r="Z33" s="20">
        <f>1 - CUSTOS!$M$28</f>
        <v>1</v>
      </c>
      <c r="AA33" s="20"/>
      <c r="AB33" s="20"/>
    </row>
    <row r="34" spans="1:28" ht="11.25" customHeight="1" x14ac:dyDescent="0.25">
      <c r="A34" s="118"/>
      <c r="B34" s="118" t="s">
        <v>81</v>
      </c>
      <c r="C34" s="118" t="s">
        <v>47</v>
      </c>
      <c r="D34" s="118" t="s">
        <v>101</v>
      </c>
      <c r="E34" s="118" t="s">
        <v>25</v>
      </c>
      <c r="F34" s="118" t="s">
        <v>25</v>
      </c>
      <c r="G34" s="23" t="s">
        <v>83</v>
      </c>
      <c r="H34" s="23" t="s">
        <v>82</v>
      </c>
      <c r="I34" s="23">
        <f>'MERCADO TE'!$U$31</f>
        <v>0</v>
      </c>
      <c r="J34" s="15"/>
      <c r="L34" s="20">
        <f>1 - CUSTOS!$M$29</f>
        <v>1</v>
      </c>
      <c r="M34" s="20">
        <f>1 - CUSTOS!$M$29</f>
        <v>1</v>
      </c>
      <c r="N34" s="20">
        <f>1 - CUSTOS!$M$29</f>
        <v>1</v>
      </c>
      <c r="O34" s="20">
        <f>1 - CUSTOS!$M$29</f>
        <v>1</v>
      </c>
      <c r="P34" s="20">
        <f>1 - CUSTOS!$M$29</f>
        <v>1</v>
      </c>
      <c r="Q34" s="20"/>
      <c r="R34" s="20">
        <f>(1 - CUSTOS!$M$29)*1.72</f>
        <v>1.72</v>
      </c>
      <c r="S34" s="20"/>
      <c r="T34" s="20">
        <f>1 - CUSTOS!$M$29</f>
        <v>1</v>
      </c>
      <c r="U34" s="20">
        <f>1 - CUSTOS!$M$29</f>
        <v>1</v>
      </c>
      <c r="V34" s="20">
        <f>1 - CUSTOS!$M$29</f>
        <v>1</v>
      </c>
      <c r="W34" s="20"/>
      <c r="X34" s="20"/>
      <c r="Y34" s="20"/>
      <c r="Z34" s="20">
        <f>1 - CUSTOS!$M$29</f>
        <v>1</v>
      </c>
      <c r="AA34" s="20"/>
      <c r="AB34" s="20"/>
    </row>
    <row r="35" spans="1:28" ht="11.25" customHeight="1" x14ac:dyDescent="0.25">
      <c r="A35" s="118"/>
      <c r="B35" s="118"/>
      <c r="C35" s="118"/>
      <c r="D35" s="118"/>
      <c r="E35" s="118"/>
      <c r="F35" s="118"/>
      <c r="G35" s="23" t="s">
        <v>98</v>
      </c>
      <c r="H35" s="23" t="s">
        <v>82</v>
      </c>
      <c r="I35" s="23">
        <f>'MERCADO TE'!$U$32</f>
        <v>0</v>
      </c>
      <c r="J35" s="15"/>
      <c r="L35" s="20">
        <f>1 - CUSTOS!$M$29</f>
        <v>1</v>
      </c>
      <c r="M35" s="20">
        <f>1 - CUSTOS!$M$29</f>
        <v>1</v>
      </c>
      <c r="N35" s="20">
        <f>1 - CUSTOS!$M$29</f>
        <v>1</v>
      </c>
      <c r="O35" s="20">
        <f>1 - CUSTOS!$M$29</f>
        <v>1</v>
      </c>
      <c r="P35" s="20">
        <f>1 - CUSTOS!$M$29</f>
        <v>1</v>
      </c>
      <c r="Q35" s="20"/>
      <c r="R35" s="20">
        <f>(1 - CUSTOS!$M$29)*1</f>
        <v>1</v>
      </c>
      <c r="S35" s="20"/>
      <c r="T35" s="20">
        <f>1 - CUSTOS!$M$29</f>
        <v>1</v>
      </c>
      <c r="U35" s="20">
        <f>1 - CUSTOS!$M$29</f>
        <v>1</v>
      </c>
      <c r="V35" s="20">
        <f>1 - CUSTOS!$M$29</f>
        <v>1</v>
      </c>
      <c r="W35" s="20"/>
      <c r="X35" s="20"/>
      <c r="Y35" s="20"/>
      <c r="Z35" s="20">
        <f>1 - CUSTOS!$M$29</f>
        <v>1</v>
      </c>
      <c r="AA35" s="20"/>
      <c r="AB35" s="20"/>
    </row>
    <row r="36" spans="1:28" ht="11.25" customHeight="1" x14ac:dyDescent="0.25">
      <c r="A36" s="118"/>
      <c r="B36" s="118"/>
      <c r="C36" s="118"/>
      <c r="D36" s="118"/>
      <c r="E36" s="118"/>
      <c r="F36" s="118"/>
      <c r="G36" s="23" t="s">
        <v>84</v>
      </c>
      <c r="H36" s="23" t="s">
        <v>82</v>
      </c>
      <c r="I36" s="23">
        <f>'MERCADO TE'!$U$33</f>
        <v>0</v>
      </c>
      <c r="J36" s="15"/>
      <c r="L36" s="20">
        <f>1 - CUSTOS!$M$29</f>
        <v>1</v>
      </c>
      <c r="M36" s="20">
        <f>1 - CUSTOS!$M$29</f>
        <v>1</v>
      </c>
      <c r="N36" s="20">
        <f>1 - CUSTOS!$M$29</f>
        <v>1</v>
      </c>
      <c r="O36" s="20">
        <f>1 - CUSTOS!$M$29</f>
        <v>1</v>
      </c>
      <c r="P36" s="20">
        <f>1 - CUSTOS!$M$29</f>
        <v>1</v>
      </c>
      <c r="Q36" s="20"/>
      <c r="R36" s="20">
        <f>(1 - CUSTOS!$M$29)*1</f>
        <v>1</v>
      </c>
      <c r="S36" s="20"/>
      <c r="T36" s="20">
        <f>1 - CUSTOS!$M$29</f>
        <v>1</v>
      </c>
      <c r="U36" s="20">
        <f>1 - CUSTOS!$M$29</f>
        <v>1</v>
      </c>
      <c r="V36" s="20">
        <f>1 - CUSTOS!$M$29</f>
        <v>1</v>
      </c>
      <c r="W36" s="20"/>
      <c r="X36" s="20"/>
      <c r="Y36" s="20"/>
      <c r="Z36" s="20">
        <f>1 - CUSTOS!$M$29</f>
        <v>1</v>
      </c>
      <c r="AA36" s="20"/>
      <c r="AB36" s="20"/>
    </row>
    <row r="37" spans="1:28" ht="11.25" customHeight="1" x14ac:dyDescent="0.25">
      <c r="A37" s="118"/>
      <c r="B37" s="22" t="s">
        <v>90</v>
      </c>
      <c r="C37" s="22" t="s">
        <v>47</v>
      </c>
      <c r="D37" s="22" t="s">
        <v>101</v>
      </c>
      <c r="E37" s="22" t="s">
        <v>25</v>
      </c>
      <c r="F37" s="22" t="s">
        <v>25</v>
      </c>
      <c r="G37" s="23" t="s">
        <v>88</v>
      </c>
      <c r="H37" s="23" t="s">
        <v>82</v>
      </c>
      <c r="I37" s="23">
        <f>'MERCADO TE'!$U$34</f>
        <v>0</v>
      </c>
      <c r="J37" s="15"/>
      <c r="L37" s="20">
        <f>1 - CUSTOS!$M$29</f>
        <v>1</v>
      </c>
      <c r="M37" s="20">
        <f>1 - CUSTOS!$M$29</f>
        <v>1</v>
      </c>
      <c r="N37" s="20">
        <f>1 - CUSTOS!$M$29</f>
        <v>1</v>
      </c>
      <c r="O37" s="20">
        <f>1 - CUSTOS!$M$29</f>
        <v>1</v>
      </c>
      <c r="P37" s="20">
        <f>1 - CUSTOS!$M$29</f>
        <v>1</v>
      </c>
      <c r="Q37" s="20"/>
      <c r="R37" s="20">
        <f>(1 - CUSTOS!$M$29)*1.06</f>
        <v>1.06</v>
      </c>
      <c r="S37" s="20"/>
      <c r="T37" s="20">
        <f>1 - CUSTOS!$M$29</f>
        <v>1</v>
      </c>
      <c r="U37" s="20">
        <f>1 - CUSTOS!$M$29</f>
        <v>1</v>
      </c>
      <c r="V37" s="20">
        <f>1 - CUSTOS!$M$29</f>
        <v>1</v>
      </c>
      <c r="W37" s="20"/>
      <c r="X37" s="20"/>
      <c r="Y37" s="20"/>
      <c r="Z37" s="20">
        <f>1 - CUSTOS!$M$29</f>
        <v>1</v>
      </c>
      <c r="AA37" s="20"/>
      <c r="AB37" s="20"/>
    </row>
    <row r="38" spans="1:28" ht="11.25" customHeight="1" x14ac:dyDescent="0.25">
      <c r="A38" s="118"/>
      <c r="B38" s="118" t="s">
        <v>81</v>
      </c>
      <c r="C38" s="118" t="s">
        <v>47</v>
      </c>
      <c r="D38" s="118" t="s">
        <v>102</v>
      </c>
      <c r="E38" s="118" t="s">
        <v>25</v>
      </c>
      <c r="F38" s="118" t="s">
        <v>25</v>
      </c>
      <c r="G38" s="23" t="s">
        <v>83</v>
      </c>
      <c r="H38" s="23" t="s">
        <v>82</v>
      </c>
      <c r="I38" s="23">
        <f>'MERCADO TE'!$U$35</f>
        <v>0</v>
      </c>
      <c r="J38" s="15"/>
      <c r="L38" s="20">
        <f>1 - CUSTOS!$M$30</f>
        <v>1</v>
      </c>
      <c r="M38" s="20">
        <f>1 - CUSTOS!$M$30</f>
        <v>1</v>
      </c>
      <c r="N38" s="20">
        <f>1 - CUSTOS!$M$30</f>
        <v>1</v>
      </c>
      <c r="O38" s="20">
        <f>1 - CUSTOS!$M$30</f>
        <v>1</v>
      </c>
      <c r="P38" s="20">
        <f>1 - CUSTOS!$M$30</f>
        <v>1</v>
      </c>
      <c r="Q38" s="20"/>
      <c r="R38" s="20">
        <f>(1 - CUSTOS!$M$30)*1.72</f>
        <v>1.72</v>
      </c>
      <c r="S38" s="20"/>
      <c r="T38" s="20">
        <f>1 - CUSTOS!$M$30</f>
        <v>1</v>
      </c>
      <c r="U38" s="20">
        <f>1 - CUSTOS!$M$30</f>
        <v>1</v>
      </c>
      <c r="V38" s="20">
        <f>1 - CUSTOS!$M$30</f>
        <v>1</v>
      </c>
      <c r="W38" s="20"/>
      <c r="X38" s="20"/>
      <c r="Y38" s="20"/>
      <c r="Z38" s="20">
        <f>1 - CUSTOS!$M$30</f>
        <v>1</v>
      </c>
      <c r="AA38" s="20"/>
      <c r="AB38" s="20"/>
    </row>
    <row r="39" spans="1:28" ht="11.25" customHeight="1" x14ac:dyDescent="0.25">
      <c r="A39" s="118"/>
      <c r="B39" s="118"/>
      <c r="C39" s="118"/>
      <c r="D39" s="118"/>
      <c r="E39" s="118"/>
      <c r="F39" s="118"/>
      <c r="G39" s="23" t="s">
        <v>98</v>
      </c>
      <c r="H39" s="23" t="s">
        <v>82</v>
      </c>
      <c r="I39" s="23">
        <f>'MERCADO TE'!$U$36</f>
        <v>0</v>
      </c>
      <c r="J39" s="15"/>
      <c r="L39" s="20">
        <f>1 - CUSTOS!$M$30</f>
        <v>1</v>
      </c>
      <c r="M39" s="20">
        <f>1 - CUSTOS!$M$30</f>
        <v>1</v>
      </c>
      <c r="N39" s="20">
        <f>1 - CUSTOS!$M$30</f>
        <v>1</v>
      </c>
      <c r="O39" s="20">
        <f>1 - CUSTOS!$M$30</f>
        <v>1</v>
      </c>
      <c r="P39" s="20">
        <f>1 - CUSTOS!$M$30</f>
        <v>1</v>
      </c>
      <c r="Q39" s="20"/>
      <c r="R39" s="20">
        <f>(1 - CUSTOS!$M$30)*1</f>
        <v>1</v>
      </c>
      <c r="S39" s="20"/>
      <c r="T39" s="20">
        <f>1 - CUSTOS!$M$30</f>
        <v>1</v>
      </c>
      <c r="U39" s="20">
        <f>1 - CUSTOS!$M$30</f>
        <v>1</v>
      </c>
      <c r="V39" s="20">
        <f>1 - CUSTOS!$M$30</f>
        <v>1</v>
      </c>
      <c r="W39" s="20"/>
      <c r="X39" s="20"/>
      <c r="Y39" s="20"/>
      <c r="Z39" s="20">
        <f>1 - CUSTOS!$M$30</f>
        <v>1</v>
      </c>
      <c r="AA39" s="20"/>
      <c r="AB39" s="20"/>
    </row>
    <row r="40" spans="1:28" ht="11.25" customHeight="1" x14ac:dyDescent="0.25">
      <c r="A40" s="118"/>
      <c r="B40" s="118"/>
      <c r="C40" s="118"/>
      <c r="D40" s="118"/>
      <c r="E40" s="118"/>
      <c r="F40" s="118"/>
      <c r="G40" s="23" t="s">
        <v>84</v>
      </c>
      <c r="H40" s="23" t="s">
        <v>82</v>
      </c>
      <c r="I40" s="23">
        <f>'MERCADO TE'!$U$37</f>
        <v>0</v>
      </c>
      <c r="J40" s="15"/>
      <c r="L40" s="20">
        <f>1 - CUSTOS!$M$30</f>
        <v>1</v>
      </c>
      <c r="M40" s="20">
        <f>1 - CUSTOS!$M$30</f>
        <v>1</v>
      </c>
      <c r="N40" s="20">
        <f>1 - CUSTOS!$M$30</f>
        <v>1</v>
      </c>
      <c r="O40" s="20">
        <f>1 - CUSTOS!$M$30</f>
        <v>1</v>
      </c>
      <c r="P40" s="20">
        <f>1 - CUSTOS!$M$30</f>
        <v>1</v>
      </c>
      <c r="Q40" s="20"/>
      <c r="R40" s="20">
        <f>(1 - CUSTOS!$M$30)*1</f>
        <v>1</v>
      </c>
      <c r="S40" s="20"/>
      <c r="T40" s="20">
        <f>1 - CUSTOS!$M$30</f>
        <v>1</v>
      </c>
      <c r="U40" s="20">
        <f>1 - CUSTOS!$M$30</f>
        <v>1</v>
      </c>
      <c r="V40" s="20">
        <f>1 - CUSTOS!$M$30</f>
        <v>1</v>
      </c>
      <c r="W40" s="20"/>
      <c r="X40" s="20"/>
      <c r="Y40" s="20"/>
      <c r="Z40" s="20">
        <f>1 - CUSTOS!$M$30</f>
        <v>1</v>
      </c>
      <c r="AA40" s="20"/>
      <c r="AB40" s="20"/>
    </row>
    <row r="41" spans="1:28" ht="11.25" customHeight="1" x14ac:dyDescent="0.25">
      <c r="A41" s="118"/>
      <c r="B41" s="22" t="s">
        <v>90</v>
      </c>
      <c r="C41" s="22" t="s">
        <v>47</v>
      </c>
      <c r="D41" s="22" t="s">
        <v>102</v>
      </c>
      <c r="E41" s="22" t="s">
        <v>25</v>
      </c>
      <c r="F41" s="22" t="s">
        <v>25</v>
      </c>
      <c r="G41" s="23" t="s">
        <v>88</v>
      </c>
      <c r="H41" s="23" t="s">
        <v>82</v>
      </c>
      <c r="I41" s="23">
        <f>'MERCADO TE'!$U$38</f>
        <v>0</v>
      </c>
      <c r="J41" s="15"/>
      <c r="L41" s="20">
        <f>1 - CUSTOS!$M$30</f>
        <v>1</v>
      </c>
      <c r="M41" s="20">
        <f>1 - CUSTOS!$M$30</f>
        <v>1</v>
      </c>
      <c r="N41" s="20">
        <f>1 - CUSTOS!$M$30</f>
        <v>1</v>
      </c>
      <c r="O41" s="20">
        <f>1 - CUSTOS!$M$30</f>
        <v>1</v>
      </c>
      <c r="P41" s="20">
        <f>1 - CUSTOS!$M$30</f>
        <v>1</v>
      </c>
      <c r="Q41" s="20"/>
      <c r="R41" s="20">
        <f>(1 - CUSTOS!$M$30)*1.06</f>
        <v>1.06</v>
      </c>
      <c r="S41" s="20"/>
      <c r="T41" s="20">
        <f>1 - CUSTOS!$M$30</f>
        <v>1</v>
      </c>
      <c r="U41" s="20">
        <f>1 - CUSTOS!$M$30</f>
        <v>1</v>
      </c>
      <c r="V41" s="20">
        <f>1 - CUSTOS!$M$30</f>
        <v>1</v>
      </c>
      <c r="W41" s="20"/>
      <c r="X41" s="20"/>
      <c r="Y41" s="20"/>
      <c r="Z41" s="20">
        <f>1 - CUSTOS!$M$30</f>
        <v>1</v>
      </c>
      <c r="AA41" s="20"/>
      <c r="AB41" s="20"/>
    </row>
    <row r="42" spans="1:28" ht="11.25" customHeight="1" x14ac:dyDescent="0.25">
      <c r="A42" s="118"/>
      <c r="B42" s="118" t="s">
        <v>99</v>
      </c>
      <c r="C42" s="118" t="s">
        <v>47</v>
      </c>
      <c r="D42" s="22" t="s">
        <v>25</v>
      </c>
      <c r="E42" s="22" t="s">
        <v>25</v>
      </c>
      <c r="F42" s="22" t="s">
        <v>25</v>
      </c>
      <c r="G42" s="23" t="s">
        <v>88</v>
      </c>
      <c r="H42" s="23" t="s">
        <v>82</v>
      </c>
      <c r="I42" s="23">
        <f>'MERCADO TE'!$U$39</f>
        <v>0</v>
      </c>
      <c r="J42" s="15"/>
      <c r="L42" s="20">
        <f>1 - CUSTOS!$M$28</f>
        <v>1</v>
      </c>
      <c r="M42" s="20">
        <f>1 - CUSTOS!$M$28</f>
        <v>1</v>
      </c>
      <c r="N42" s="20">
        <f>1 - CUSTOS!$M$28</f>
        <v>1</v>
      </c>
      <c r="O42" s="20">
        <f>1 - CUSTOS!$M$28</f>
        <v>1</v>
      </c>
      <c r="P42" s="20">
        <f>1 - CUSTOS!$M$28</f>
        <v>1</v>
      </c>
      <c r="Q42" s="20"/>
      <c r="R42" s="20">
        <f>(1 - CUSTOS!$M$28)*1.06</f>
        <v>1.06</v>
      </c>
      <c r="S42" s="20"/>
      <c r="T42" s="20">
        <f>1 - CUSTOS!$M$28</f>
        <v>1</v>
      </c>
      <c r="U42" s="20">
        <f>1 - CUSTOS!$M$28</f>
        <v>1</v>
      </c>
      <c r="V42" s="20">
        <f>1 - CUSTOS!$M$28</f>
        <v>1</v>
      </c>
      <c r="W42" s="20"/>
      <c r="X42" s="20"/>
      <c r="Y42" s="20"/>
      <c r="Z42" s="20">
        <f>1 - CUSTOS!$M$28</f>
        <v>1</v>
      </c>
      <c r="AA42" s="20"/>
      <c r="AB42" s="20"/>
    </row>
    <row r="43" spans="1:28" ht="11.25" customHeight="1" x14ac:dyDescent="0.25">
      <c r="A43" s="118"/>
      <c r="B43" s="118"/>
      <c r="C43" s="118"/>
      <c r="D43" s="22" t="s">
        <v>101</v>
      </c>
      <c r="E43" s="22" t="s">
        <v>25</v>
      </c>
      <c r="F43" s="22" t="s">
        <v>25</v>
      </c>
      <c r="G43" s="23" t="s">
        <v>88</v>
      </c>
      <c r="H43" s="23" t="s">
        <v>82</v>
      </c>
      <c r="I43" s="23">
        <f>'MERCADO TE'!$U$40</f>
        <v>0</v>
      </c>
      <c r="J43" s="15"/>
      <c r="L43" s="20">
        <f>1 - CUSTOS!$M$29</f>
        <v>1</v>
      </c>
      <c r="M43" s="20">
        <f>1 - CUSTOS!$M$29</f>
        <v>1</v>
      </c>
      <c r="N43" s="20">
        <f>1 - CUSTOS!$M$29</f>
        <v>1</v>
      </c>
      <c r="O43" s="20">
        <f>1 - CUSTOS!$M$29</f>
        <v>1</v>
      </c>
      <c r="P43" s="20">
        <f>1 - CUSTOS!$M$29</f>
        <v>1</v>
      </c>
      <c r="Q43" s="20"/>
      <c r="R43" s="20">
        <f>(1 - CUSTOS!$M$29)*1.06</f>
        <v>1.06</v>
      </c>
      <c r="S43" s="20"/>
      <c r="T43" s="20">
        <f>1 - CUSTOS!$M$29</f>
        <v>1</v>
      </c>
      <c r="U43" s="20">
        <f>1 - CUSTOS!$M$29</f>
        <v>1</v>
      </c>
      <c r="V43" s="20">
        <f>1 - CUSTOS!$M$29</f>
        <v>1</v>
      </c>
      <c r="W43" s="20"/>
      <c r="X43" s="20"/>
      <c r="Y43" s="20"/>
      <c r="Z43" s="20">
        <f>1 - CUSTOS!$M$29</f>
        <v>1</v>
      </c>
      <c r="AA43" s="20"/>
      <c r="AB43" s="20"/>
    </row>
    <row r="44" spans="1:28" ht="11.25" customHeight="1" x14ac:dyDescent="0.25">
      <c r="A44" s="118"/>
      <c r="B44" s="118"/>
      <c r="C44" s="118"/>
      <c r="D44" s="22" t="s">
        <v>102</v>
      </c>
      <c r="E44" s="22" t="s">
        <v>25</v>
      </c>
      <c r="F44" s="22" t="s">
        <v>25</v>
      </c>
      <c r="G44" s="23" t="s">
        <v>88</v>
      </c>
      <c r="H44" s="23" t="s">
        <v>82</v>
      </c>
      <c r="I44" s="23">
        <f>'MERCADO TE'!$U$41</f>
        <v>0</v>
      </c>
      <c r="J44" s="15"/>
      <c r="L44" s="20">
        <f>1 - CUSTOS!$M$30</f>
        <v>1</v>
      </c>
      <c r="M44" s="20">
        <f>1 - CUSTOS!$M$30</f>
        <v>1</v>
      </c>
      <c r="N44" s="20">
        <f>1 - CUSTOS!$M$30</f>
        <v>1</v>
      </c>
      <c r="O44" s="20">
        <f>1 - CUSTOS!$M$30</f>
        <v>1</v>
      </c>
      <c r="P44" s="20">
        <f>1 - CUSTOS!$M$30</f>
        <v>1</v>
      </c>
      <c r="Q44" s="20"/>
      <c r="R44" s="20">
        <f>(1 - CUSTOS!$M$30)*1.06</f>
        <v>1.06</v>
      </c>
      <c r="S44" s="20"/>
      <c r="T44" s="20">
        <f>1 - CUSTOS!$M$30</f>
        <v>1</v>
      </c>
      <c r="U44" s="20">
        <f>1 - CUSTOS!$M$30</f>
        <v>1</v>
      </c>
      <c r="V44" s="20">
        <f>1 - CUSTOS!$M$30</f>
        <v>1</v>
      </c>
      <c r="W44" s="20"/>
      <c r="X44" s="20"/>
      <c r="Y44" s="20"/>
      <c r="Z44" s="20">
        <f>1 - CUSTOS!$M$30</f>
        <v>1</v>
      </c>
      <c r="AA44" s="20"/>
      <c r="AB44" s="20"/>
    </row>
    <row r="45" spans="1:28" ht="11.25" customHeight="1" x14ac:dyDescent="0.25">
      <c r="A45" s="118" t="s">
        <v>39</v>
      </c>
      <c r="B45" s="118" t="s">
        <v>81</v>
      </c>
      <c r="C45" s="118" t="s">
        <v>25</v>
      </c>
      <c r="D45" s="118" t="s">
        <v>25</v>
      </c>
      <c r="E45" s="118" t="s">
        <v>25</v>
      </c>
      <c r="F45" s="118" t="s">
        <v>25</v>
      </c>
      <c r="G45" s="23" t="s">
        <v>83</v>
      </c>
      <c r="H45" s="23" t="s">
        <v>82</v>
      </c>
      <c r="I45" s="23">
        <f>'MERCADO TE'!$U$42</f>
        <v>79.968999999999994</v>
      </c>
      <c r="J45" s="15"/>
      <c r="L45" s="20">
        <f>1 - CUSTOS!$M$31</f>
        <v>1</v>
      </c>
      <c r="M45" s="20">
        <f>1 - CUSTOS!$M$31</f>
        <v>1</v>
      </c>
      <c r="N45" s="20">
        <f>1 - CUSTOS!$M$31</f>
        <v>1</v>
      </c>
      <c r="O45" s="20">
        <f>1 - CUSTOS!$M$31</f>
        <v>1</v>
      </c>
      <c r="P45" s="20">
        <f>1 - CUSTOS!$M$31</f>
        <v>1</v>
      </c>
      <c r="Q45" s="20"/>
      <c r="R45" s="20">
        <f>(1 - CUSTOS!$M$31)*1.72</f>
        <v>1.72</v>
      </c>
      <c r="S45" s="20"/>
      <c r="T45" s="20">
        <f>1 - CUSTOS!$M$31</f>
        <v>1</v>
      </c>
      <c r="U45" s="20">
        <f>1 - CUSTOS!$M$31</f>
        <v>1</v>
      </c>
      <c r="V45" s="20">
        <f>1 - CUSTOS!$M$31</f>
        <v>1</v>
      </c>
      <c r="W45" s="20"/>
      <c r="X45" s="20"/>
      <c r="Y45" s="20"/>
      <c r="Z45" s="20">
        <f>1 - CUSTOS!$M$31</f>
        <v>1</v>
      </c>
      <c r="AA45" s="20"/>
      <c r="AB45" s="20"/>
    </row>
    <row r="46" spans="1:28" ht="11.25" customHeight="1" x14ac:dyDescent="0.25">
      <c r="A46" s="118"/>
      <c r="B46" s="118"/>
      <c r="C46" s="118"/>
      <c r="D46" s="118"/>
      <c r="E46" s="118"/>
      <c r="F46" s="118"/>
      <c r="G46" s="23" t="s">
        <v>98</v>
      </c>
      <c r="H46" s="23" t="s">
        <v>82</v>
      </c>
      <c r="I46" s="23">
        <f>'MERCADO TE'!$U$43</f>
        <v>41.695999999999998</v>
      </c>
      <c r="J46" s="15"/>
      <c r="L46" s="20">
        <f>1 - CUSTOS!$M$31</f>
        <v>1</v>
      </c>
      <c r="M46" s="20">
        <f>1 - CUSTOS!$M$31</f>
        <v>1</v>
      </c>
      <c r="N46" s="20">
        <f>1 - CUSTOS!$M$31</f>
        <v>1</v>
      </c>
      <c r="O46" s="20">
        <f>1 - CUSTOS!$M$31</f>
        <v>1</v>
      </c>
      <c r="P46" s="20">
        <f>1 - CUSTOS!$M$31</f>
        <v>1</v>
      </c>
      <c r="Q46" s="20"/>
      <c r="R46" s="20">
        <f>(1 - CUSTOS!$M$31)*1</f>
        <v>1</v>
      </c>
      <c r="S46" s="20"/>
      <c r="T46" s="20">
        <f>1 - CUSTOS!$M$31</f>
        <v>1</v>
      </c>
      <c r="U46" s="20">
        <f>1 - CUSTOS!$M$31</f>
        <v>1</v>
      </c>
      <c r="V46" s="20">
        <f>1 - CUSTOS!$M$31</f>
        <v>1</v>
      </c>
      <c r="W46" s="20"/>
      <c r="X46" s="20"/>
      <c r="Y46" s="20"/>
      <c r="Z46" s="20">
        <f>1 - CUSTOS!$M$31</f>
        <v>1</v>
      </c>
      <c r="AA46" s="20"/>
      <c r="AB46" s="20"/>
    </row>
    <row r="47" spans="1:28" ht="11.25" customHeight="1" x14ac:dyDescent="0.25">
      <c r="A47" s="118"/>
      <c r="B47" s="118"/>
      <c r="C47" s="118"/>
      <c r="D47" s="118"/>
      <c r="E47" s="118"/>
      <c r="F47" s="118"/>
      <c r="G47" s="23" t="s">
        <v>84</v>
      </c>
      <c r="H47" s="23" t="s">
        <v>82</v>
      </c>
      <c r="I47" s="23">
        <f>'MERCADO TE'!$U$44</f>
        <v>1338.2650000000001</v>
      </c>
      <c r="J47" s="15"/>
      <c r="L47" s="20">
        <f>1 - CUSTOS!$M$31</f>
        <v>1</v>
      </c>
      <c r="M47" s="20">
        <f>1 - CUSTOS!$M$31</f>
        <v>1</v>
      </c>
      <c r="N47" s="20">
        <f>1 - CUSTOS!$M$31</f>
        <v>1</v>
      </c>
      <c r="O47" s="20">
        <f>1 - CUSTOS!$M$31</f>
        <v>1</v>
      </c>
      <c r="P47" s="20">
        <f>1 - CUSTOS!$M$31</f>
        <v>1</v>
      </c>
      <c r="Q47" s="20"/>
      <c r="R47" s="20">
        <f>(1 - CUSTOS!$M$31)*1</f>
        <v>1</v>
      </c>
      <c r="S47" s="20"/>
      <c r="T47" s="20">
        <f>1 - CUSTOS!$M$31</f>
        <v>1</v>
      </c>
      <c r="U47" s="20">
        <f>1 - CUSTOS!$M$31</f>
        <v>1</v>
      </c>
      <c r="V47" s="20">
        <f>1 - CUSTOS!$M$31</f>
        <v>1</v>
      </c>
      <c r="W47" s="20"/>
      <c r="X47" s="20"/>
      <c r="Y47" s="20"/>
      <c r="Z47" s="20">
        <f>1 - CUSTOS!$M$31</f>
        <v>1</v>
      </c>
      <c r="AA47" s="20"/>
      <c r="AB47" s="20"/>
    </row>
    <row r="48" spans="1:28" ht="11.25" customHeight="1" x14ac:dyDescent="0.25">
      <c r="A48" s="118"/>
      <c r="B48" s="22" t="s">
        <v>90</v>
      </c>
      <c r="C48" s="22" t="s">
        <v>25</v>
      </c>
      <c r="D48" s="22" t="s">
        <v>25</v>
      </c>
      <c r="E48" s="22" t="s">
        <v>25</v>
      </c>
      <c r="F48" s="22" t="s">
        <v>25</v>
      </c>
      <c r="G48" s="23" t="s">
        <v>88</v>
      </c>
      <c r="H48" s="23" t="s">
        <v>82</v>
      </c>
      <c r="I48" s="23">
        <f>'MERCADO TE'!$U$45</f>
        <v>209665.67300000001</v>
      </c>
      <c r="J48" s="15"/>
      <c r="L48" s="20">
        <f>1 - CUSTOS!$M$31</f>
        <v>1</v>
      </c>
      <c r="M48" s="20">
        <f>1 - CUSTOS!$M$31</f>
        <v>1</v>
      </c>
      <c r="N48" s="20">
        <f>1 - CUSTOS!$M$31</f>
        <v>1</v>
      </c>
      <c r="O48" s="20">
        <f>1 - CUSTOS!$M$31</f>
        <v>1</v>
      </c>
      <c r="P48" s="20">
        <f>1 - CUSTOS!$M$31</f>
        <v>1</v>
      </c>
      <c r="Q48" s="20"/>
      <c r="R48" s="20">
        <f>(1 - CUSTOS!$M$31)*1.06</f>
        <v>1.06</v>
      </c>
      <c r="S48" s="20"/>
      <c r="T48" s="20">
        <f>1 - CUSTOS!$M$31</f>
        <v>1</v>
      </c>
      <c r="U48" s="20">
        <f>1 - CUSTOS!$M$31</f>
        <v>1</v>
      </c>
      <c r="V48" s="20">
        <f>1 - CUSTOS!$M$31</f>
        <v>1</v>
      </c>
      <c r="W48" s="20"/>
      <c r="X48" s="20"/>
      <c r="Y48" s="20"/>
      <c r="Z48" s="20">
        <f>1 - CUSTOS!$M$31</f>
        <v>1</v>
      </c>
      <c r="AA48" s="20"/>
      <c r="AB48" s="20"/>
    </row>
    <row r="49" spans="1:28" ht="11.25" customHeight="1" x14ac:dyDescent="0.25">
      <c r="A49" s="118"/>
      <c r="B49" s="22" t="s">
        <v>99</v>
      </c>
      <c r="C49" s="22" t="s">
        <v>25</v>
      </c>
      <c r="D49" s="22" t="s">
        <v>25</v>
      </c>
      <c r="E49" s="22" t="s">
        <v>25</v>
      </c>
      <c r="F49" s="22" t="s">
        <v>25</v>
      </c>
      <c r="G49" s="23" t="s">
        <v>88</v>
      </c>
      <c r="H49" s="23" t="s">
        <v>82</v>
      </c>
      <c r="I49" s="23">
        <f>'MERCADO TE'!$U$46</f>
        <v>0</v>
      </c>
      <c r="J49" s="15"/>
      <c r="L49" s="20">
        <f>1 - CUSTOS!$M$31</f>
        <v>1</v>
      </c>
      <c r="M49" s="20">
        <f>1 - CUSTOS!$M$31</f>
        <v>1</v>
      </c>
      <c r="N49" s="20">
        <f>1 - CUSTOS!$M$31</f>
        <v>1</v>
      </c>
      <c r="O49" s="20">
        <f>1 - CUSTOS!$M$31</f>
        <v>1</v>
      </c>
      <c r="P49" s="20">
        <f>1 - CUSTOS!$M$31</f>
        <v>1</v>
      </c>
      <c r="Q49" s="20"/>
      <c r="R49" s="20">
        <f>(1 - CUSTOS!$M$31)*1.06</f>
        <v>1.06</v>
      </c>
      <c r="S49" s="20"/>
      <c r="T49" s="20">
        <f>1 - CUSTOS!$M$31</f>
        <v>1</v>
      </c>
      <c r="U49" s="20">
        <f>1 - CUSTOS!$M$31</f>
        <v>1</v>
      </c>
      <c r="V49" s="20">
        <f>1 - CUSTOS!$M$31</f>
        <v>1</v>
      </c>
      <c r="W49" s="20"/>
      <c r="X49" s="20"/>
      <c r="Y49" s="20"/>
      <c r="Z49" s="20">
        <f>1 - CUSTOS!$M$31</f>
        <v>1</v>
      </c>
      <c r="AA49" s="20"/>
      <c r="AB49" s="20"/>
    </row>
    <row r="50" spans="1:28" ht="11.25" customHeight="1" x14ac:dyDescent="0.25">
      <c r="A50" s="118" t="s">
        <v>49</v>
      </c>
      <c r="B50" s="118" t="s">
        <v>90</v>
      </c>
      <c r="C50" s="118" t="s">
        <v>50</v>
      </c>
      <c r="D50" s="22" t="s">
        <v>51</v>
      </c>
      <c r="E50" s="22" t="s">
        <v>25</v>
      </c>
      <c r="F50" s="22" t="s">
        <v>25</v>
      </c>
      <c r="G50" s="23" t="s">
        <v>88</v>
      </c>
      <c r="H50" s="23" t="s">
        <v>82</v>
      </c>
      <c r="I50" s="23">
        <f>'MERCADO TE'!$U$47</f>
        <v>49365.182000000001</v>
      </c>
      <c r="J50" s="15"/>
      <c r="L50" s="20">
        <f>1 - CUSTOS!$M$32</f>
        <v>0.55000000000000004</v>
      </c>
      <c r="M50" s="20">
        <f>1 - CUSTOS!$M$32</f>
        <v>0.55000000000000004</v>
      </c>
      <c r="N50" s="20">
        <f>1 - CUSTOS!$M$32</f>
        <v>0.55000000000000004</v>
      </c>
      <c r="O50" s="20">
        <f>1 - CUSTOS!$M$32</f>
        <v>0.55000000000000004</v>
      </c>
      <c r="P50" s="20">
        <f>1 - CUSTOS!$M$32</f>
        <v>0.55000000000000004</v>
      </c>
      <c r="Q50" s="20"/>
      <c r="R50" s="20">
        <f>(1 - CUSTOS!$M$32)*1.06</f>
        <v>0.58300000000000007</v>
      </c>
      <c r="S50" s="20"/>
      <c r="T50" s="20">
        <f>1 - CUSTOS!$M$32</f>
        <v>0.55000000000000004</v>
      </c>
      <c r="U50" s="20">
        <f>1 - CUSTOS!$M$32</f>
        <v>0.55000000000000004</v>
      </c>
      <c r="V50" s="20">
        <f>1 - CUSTOS!$M$32</f>
        <v>0.55000000000000004</v>
      </c>
      <c r="W50" s="20"/>
      <c r="X50" s="20"/>
      <c r="Y50" s="20"/>
      <c r="Z50" s="20">
        <f>1 - CUSTOS!$M$32</f>
        <v>0.55000000000000004</v>
      </c>
      <c r="AA50" s="20"/>
      <c r="AB50" s="20"/>
    </row>
    <row r="51" spans="1:28" ht="11.25" customHeight="1" x14ac:dyDescent="0.25">
      <c r="A51" s="118"/>
      <c r="B51" s="118"/>
      <c r="C51" s="118"/>
      <c r="D51" s="23" t="s">
        <v>103</v>
      </c>
      <c r="E51" s="23" t="s">
        <v>25</v>
      </c>
      <c r="F51" s="23" t="s">
        <v>25</v>
      </c>
      <c r="G51" s="23" t="s">
        <v>88</v>
      </c>
      <c r="H51" s="23" t="s">
        <v>82</v>
      </c>
      <c r="I51" s="23">
        <f>'MERCADO TE'!$U$48</f>
        <v>0</v>
      </c>
      <c r="J51" s="15"/>
      <c r="L51" s="20">
        <f>1 - CUSTOS!$M$33</f>
        <v>0.6</v>
      </c>
      <c r="M51" s="20">
        <f>1 - CUSTOS!$M$33</f>
        <v>0.6</v>
      </c>
      <c r="N51" s="20">
        <f>1 - CUSTOS!$M$33</f>
        <v>0.6</v>
      </c>
      <c r="O51" s="20">
        <f>1 - CUSTOS!$M$33</f>
        <v>0.6</v>
      </c>
      <c r="P51" s="20">
        <f>1 - CUSTOS!$M$33</f>
        <v>0.6</v>
      </c>
      <c r="Q51" s="20"/>
      <c r="R51" s="20">
        <f>(1 - CUSTOS!$M$33)*1.06</f>
        <v>0.63600000000000001</v>
      </c>
      <c r="S51" s="20"/>
      <c r="T51" s="20">
        <f>1 - CUSTOS!$M$33</f>
        <v>0.6</v>
      </c>
      <c r="U51" s="20">
        <f>1 - CUSTOS!$M$33</f>
        <v>0.6</v>
      </c>
      <c r="V51" s="20">
        <f>1 - CUSTOS!$M$33</f>
        <v>0.6</v>
      </c>
      <c r="W51" s="20"/>
      <c r="X51" s="20"/>
      <c r="Y51" s="20"/>
      <c r="Z51" s="20">
        <f>1 - CUSTOS!$M$33</f>
        <v>0.6</v>
      </c>
      <c r="AA51" s="20"/>
      <c r="AB51" s="20"/>
    </row>
    <row r="53" spans="1:28" ht="11.25" customHeight="1" x14ac:dyDescent="0.25">
      <c r="K53" s="25" t="s">
        <v>857</v>
      </c>
      <c r="L53" s="20">
        <f t="shared" ref="L53:AB53" si="0">SUMPRODUCT($I$5:$I$51,L$5:L$51)</f>
        <v>1069297.2511</v>
      </c>
      <c r="M53" s="20">
        <f t="shared" si="0"/>
        <v>1059247.6110999999</v>
      </c>
      <c r="N53" s="20">
        <f t="shared" si="0"/>
        <v>1069297.2511</v>
      </c>
      <c r="O53" s="20">
        <f t="shared" si="0"/>
        <v>1069297.2511</v>
      </c>
      <c r="P53" s="20">
        <f t="shared" si="0"/>
        <v>1069297.2511</v>
      </c>
      <c r="Q53" s="20">
        <f t="shared" si="0"/>
        <v>0</v>
      </c>
      <c r="R53" s="20">
        <f t="shared" si="0"/>
        <v>1132101.5527660002</v>
      </c>
      <c r="S53" s="20">
        <f t="shared" si="0"/>
        <v>0</v>
      </c>
      <c r="T53" s="20">
        <f t="shared" si="0"/>
        <v>1069297.2511</v>
      </c>
      <c r="U53" s="20">
        <f t="shared" si="0"/>
        <v>1069297.2511</v>
      </c>
      <c r="V53" s="20">
        <f t="shared" si="0"/>
        <v>1069297.2511</v>
      </c>
      <c r="W53" s="20">
        <f t="shared" si="0"/>
        <v>0</v>
      </c>
      <c r="X53" s="20">
        <f t="shared" si="0"/>
        <v>0</v>
      </c>
      <c r="Y53" s="20">
        <f t="shared" si="0"/>
        <v>0</v>
      </c>
      <c r="Z53" s="20">
        <f t="shared" si="0"/>
        <v>1059247.6110999999</v>
      </c>
      <c r="AA53" s="20">
        <f t="shared" si="0"/>
        <v>0</v>
      </c>
      <c r="AB53" s="20">
        <f t="shared" si="0"/>
        <v>0</v>
      </c>
    </row>
    <row r="54" spans="1:28" ht="11.25" customHeight="1" x14ac:dyDescent="0.25">
      <c r="K54" s="25" t="s">
        <v>776</v>
      </c>
      <c r="L54" s="20">
        <f>CUSTOS!$D$30</f>
        <v>2476185.1305569597</v>
      </c>
      <c r="M54" s="20">
        <f>CUSTOS!$D$31</f>
        <v>18851171.780000001</v>
      </c>
      <c r="N54" s="20">
        <f>CUSTOS!$D$32</f>
        <v>0</v>
      </c>
      <c r="O54" s="20">
        <f>CUSTOS!$D$33</f>
        <v>5377709.5404118784</v>
      </c>
      <c r="P54" s="20">
        <f>CUSTOS!$D$34</f>
        <v>-17146882.59</v>
      </c>
      <c r="Q54" s="20">
        <f>CUSTOS!$D$35</f>
        <v>9558183.8609688394</v>
      </c>
      <c r="R54" s="20">
        <f>CUSTOS!$D$36</f>
        <v>219305422.49979985</v>
      </c>
      <c r="S54" s="20">
        <f>CUSTOS!$D$37</f>
        <v>219305422.49979985</v>
      </c>
      <c r="T54" s="20">
        <f>CUSTOS!$D$38</f>
        <v>0</v>
      </c>
      <c r="U54" s="20">
        <f>CUSTOS!$D$39</f>
        <v>0</v>
      </c>
      <c r="V54" s="20">
        <f>CUSTOS!$D$40</f>
        <v>0</v>
      </c>
      <c r="W54" s="20">
        <f>CUSTOS!$D$41</f>
        <v>0</v>
      </c>
      <c r="X54" s="20">
        <f>CUSTOS!$D$42</f>
        <v>0</v>
      </c>
      <c r="Y54" s="20">
        <f>CUSTOS!$D$43</f>
        <v>0</v>
      </c>
      <c r="Z54" s="20">
        <f>CUSTOS!$D$44</f>
        <v>5039067.3535035541</v>
      </c>
      <c r="AA54" s="20">
        <f>CUSTOS!$D$45</f>
        <v>5039067.3535035541</v>
      </c>
      <c r="AB54" s="20">
        <f>CUSTOS!$D$46</f>
        <v>233902673.71427223</v>
      </c>
    </row>
    <row r="55" spans="1:28" ht="11.25" customHeight="1" x14ac:dyDescent="0.25">
      <c r="K55" s="25" t="s">
        <v>777</v>
      </c>
      <c r="L55" s="20">
        <f>CUSTOS!$E$30</f>
        <v>-0.56691887422018106</v>
      </c>
      <c r="M55" s="20">
        <f>CUSTOS!$E$31</f>
        <v>5562714.3320097802</v>
      </c>
      <c r="N55" s="20">
        <f>CUSTOS!$E$32</f>
        <v>0</v>
      </c>
      <c r="O55" s="20">
        <f>CUSTOS!$E$33</f>
        <v>-702415.19341195375</v>
      </c>
      <c r="P55" s="20">
        <f>CUSTOS!$E$34</f>
        <v>0</v>
      </c>
      <c r="Q55" s="20">
        <f>CUSTOS!$E$35</f>
        <v>4860298.5716789523</v>
      </c>
      <c r="R55" s="20">
        <f>CUSTOS!$E$36</f>
        <v>29640490.046786625</v>
      </c>
      <c r="S55" s="20">
        <f>CUSTOS!$E$37</f>
        <v>29640490.046786625</v>
      </c>
      <c r="T55" s="20">
        <f>CUSTOS!$E$38</f>
        <v>0</v>
      </c>
      <c r="U55" s="20">
        <f>CUSTOS!$E$39</f>
        <v>0</v>
      </c>
      <c r="V55" s="20">
        <f>CUSTOS!$E$40</f>
        <v>0</v>
      </c>
      <c r="W55" s="20">
        <f>CUSTOS!$E$41</f>
        <v>0</v>
      </c>
      <c r="X55" s="20">
        <f>CUSTOS!$E$42</f>
        <v>-20939552.25323334</v>
      </c>
      <c r="Y55" s="20">
        <f>CUSTOS!$E$43</f>
        <v>-20939552.25323334</v>
      </c>
      <c r="Z55" s="20">
        <f>CUSTOS!$E$44</f>
        <v>681061.25254037359</v>
      </c>
      <c r="AA55" s="20">
        <f>CUSTOS!$E$45</f>
        <v>681061.25254037359</v>
      </c>
      <c r="AB55" s="20">
        <f>CUSTOS!$E$46</f>
        <v>14242297.617772615</v>
      </c>
    </row>
    <row r="56" spans="1:28" ht="11.25" customHeight="1" x14ac:dyDescent="0.25">
      <c r="K56" s="25" t="s">
        <v>778</v>
      </c>
      <c r="L56" s="20">
        <f>CUSTOS!$F$30</f>
        <v>0</v>
      </c>
      <c r="M56" s="20">
        <f>CUSTOS!$F$31</f>
        <v>806865.14749999996</v>
      </c>
      <c r="N56" s="20">
        <f>CUSTOS!$F$32</f>
        <v>0</v>
      </c>
      <c r="O56" s="20">
        <f>CUSTOS!$F$33</f>
        <v>206074.34894780969</v>
      </c>
      <c r="P56" s="20">
        <f>CUSTOS!$F$34</f>
        <v>0</v>
      </c>
      <c r="Q56" s="20">
        <f>CUSTOS!$F$35</f>
        <v>1012939.4964478096</v>
      </c>
      <c r="R56" s="20">
        <f>CUSTOS!$F$36</f>
        <v>-2799988.9928975585</v>
      </c>
      <c r="S56" s="20">
        <f>CUSTOS!$F$37</f>
        <v>-2799988.9928975585</v>
      </c>
      <c r="T56" s="20">
        <f>CUSTOS!$F$38</f>
        <v>0</v>
      </c>
      <c r="U56" s="20">
        <f>CUSTOS!$F$39</f>
        <v>0</v>
      </c>
      <c r="V56" s="20">
        <f>CUSTOS!$F$40</f>
        <v>0</v>
      </c>
      <c r="W56" s="20">
        <f>CUSTOS!$F$41</f>
        <v>0</v>
      </c>
      <c r="X56" s="20">
        <f>CUSTOS!$F$42</f>
        <v>0</v>
      </c>
      <c r="Y56" s="20">
        <f>CUSTOS!$F$43</f>
        <v>0</v>
      </c>
      <c r="Z56" s="20">
        <f>CUSTOS!$F$44</f>
        <v>-64336.453533392501</v>
      </c>
      <c r="AA56" s="20">
        <f>CUSTOS!$F$45</f>
        <v>-64336.453533392501</v>
      </c>
      <c r="AB56" s="20">
        <f>CUSTOS!$F$46</f>
        <v>-1851385.9499831414</v>
      </c>
    </row>
    <row r="57" spans="1:28" ht="11.25" customHeight="1" x14ac:dyDescent="0.25">
      <c r="K57" s="25" t="s">
        <v>858</v>
      </c>
      <c r="L57" s="20">
        <f>IF(SUMPRODUCT($I$5:$I$51,$L$5:$L$51)&lt;&gt;0,L54/SUMPRODUCT($I$5:$I$51,$L$5:$L$51),0)</f>
        <v>2.3157126121942948</v>
      </c>
      <c r="M57" s="20">
        <f>IF(SUMPRODUCT($I$5:$I$51,$M$5:$M$51)&lt;&gt;0,M54/SUMPRODUCT($I$5:$I$51,$M$5:$M$51),0)</f>
        <v>17.796756473610142</v>
      </c>
      <c r="N57" s="20">
        <f>IF(SUMPRODUCT($I$5:$I$51,$N$5:$N$51)&lt;&gt;0,N54/SUMPRODUCT($I$5:$I$51,$N$5:$N$51),0)</f>
        <v>0</v>
      </c>
      <c r="O57" s="20">
        <f>IF(SUMPRODUCT($I$5:$I$51,$O$5:$O$51)&lt;&gt;0,O54/SUMPRODUCT($I$5:$I$51,$O$5:$O$51),0)</f>
        <v>5.0291998178053472</v>
      </c>
      <c r="P57" s="20">
        <f>IF(SUMPRODUCT($I$5:$I$51,$P$5:$P$51)&lt;&gt;0,P54/SUMPRODUCT($I$5:$I$51,$P$5:$P$51),0)</f>
        <v>-16.035655728433586</v>
      </c>
      <c r="Q57" s="20"/>
      <c r="R57" s="20">
        <f>IF((CUSTOS!$M$12-CUSTOS!$M$13)&lt;&gt;0,(CUSTOS!$M$12*CUSTOS!$M$14)/(CUSTOS!$M$12-CUSTOS!$M$13),0)</f>
        <v>204.51851127407809</v>
      </c>
      <c r="S57" s="20"/>
      <c r="T57" s="20">
        <f>IF(SUMPRODUCT($I$5:$I$51,$T$5:$T$51)&lt;&gt;0,T54/SUMPRODUCT($I$5:$I$51,$T$5:$T$51),0)</f>
        <v>0</v>
      </c>
      <c r="U57" s="20">
        <f>IF(SUMPRODUCT($I$5:$I$51,$U$5:$U$51)&lt;&gt;0,U54/SUMPRODUCT($I$5:$I$51,$U$5:$U$51),0)</f>
        <v>0</v>
      </c>
      <c r="V57" s="20">
        <f>IF(SUMPRODUCT($I$5:$I$51,$V$5:$V$51)&lt;&gt;0,V54/SUMPRODUCT($I$5:$I$51,$V$5:$V$51),0)</f>
        <v>0</v>
      </c>
      <c r="W57" s="20"/>
      <c r="X57" s="20">
        <f>IF(SUMPRODUCT($I$5:$I$51,$X$5:$X$51)&lt;&gt;0,X54/SUMPRODUCT($I$5:$I$51,$X$5:$X$51),0)</f>
        <v>0</v>
      </c>
      <c r="Y57" s="20"/>
      <c r="Z57" s="20">
        <f>IF(SUMPRODUCT($I$5:$I$51,$Z$5:$Z$51)&lt;&gt;0,Z54/SUMPRODUCT($I$5:$I$51,$Z$5:$Z$51),0)</f>
        <v>4.7572138003413755</v>
      </c>
      <c r="AA57" s="20"/>
      <c r="AB57" s="20"/>
    </row>
    <row r="58" spans="1:28" ht="11.25" customHeight="1" x14ac:dyDescent="0.25">
      <c r="K58" s="25" t="s">
        <v>859</v>
      </c>
      <c r="L58" s="20">
        <f>IF(L53&lt;&gt;0,(L54-L57*(+ $I$13*L$13+ $I$15*L$15+ $I$16*L$16))/(L53-(+ $I$13*L$13+ $I$15*L$15+ $I$16*L$16)),0)</f>
        <v>2.3157126121942948</v>
      </c>
      <c r="M58" s="20">
        <f>IF(M53&lt;&gt;0,(M54-M57*(+ $I$13*M$13+ $I$15*M$15+ $I$16*M$16))/(M53-(+ $I$13*M$13+ $I$15*M$15+ $I$16*M$16)),0)</f>
        <v>17.796756473610142</v>
      </c>
      <c r="N58" s="20">
        <f>IF(N53&lt;&gt;0,(N54-N57*(+ $I$13*N$13+ $I$15*N$15+ $I$16*N$16))/(N53-(+ $I$13*N$13+ $I$15*N$15+ $I$16*N$16)),0)</f>
        <v>0</v>
      </c>
      <c r="O58" s="20">
        <f>IF(O53&lt;&gt;0,(O54-O57*(+ $I$13*O$13+ $I$15*O$15+ $I$16*O$16))/(O53-(+ $I$13*O$13+ $I$15*O$15+ $I$16*O$16)),0)</f>
        <v>5.0291998178053463</v>
      </c>
      <c r="P58" s="20">
        <f>IF(P53&lt;&gt;0,(P54-P57*(+ $I$13*P$13+ $I$15*P$15+ $I$16*P$16))/(P53-(+ $I$13*P$13+ $I$15*P$15+ $I$16*P$16)),0)</f>
        <v>-16.035655728433582</v>
      </c>
      <c r="Q58" s="20"/>
      <c r="R58" s="20">
        <f>IF(R53&lt;&gt;0,(R54-R57*(+ $I$13+ $I$15+ $I$16))/(R53-(+ $I$13*R$13+ $I$15*R$15+ $I$16*R$16)),0)</f>
        <v>193.72267290171314</v>
      </c>
      <c r="S58" s="20"/>
      <c r="T58" s="20">
        <f>IF(T53&lt;&gt;0,(T54-T57*(+ $I$13*T$13+ $I$15*T$15+ $I$16*T$16))/(T53-(+ $I$13*T$13+ $I$15*T$15+ $I$16*T$16)),0)</f>
        <v>0</v>
      </c>
      <c r="U58" s="20">
        <f>IF(U53&lt;&gt;0,(U54-U57*(+ $I$13*U$13+ $I$15*U$15+ $I$16*U$16))/(U53-(+ $I$13*U$13+ $I$15*U$15+ $I$16*U$16)),0)</f>
        <v>0</v>
      </c>
      <c r="V58" s="20">
        <f>IF(V53&lt;&gt;0,(V54-V57*(+ $I$13*V$13+ $I$15*V$15+ $I$16*V$16))/(V53-(+ $I$13*V$13+ $I$15*V$15+ $I$16*V$16)),0)</f>
        <v>0</v>
      </c>
      <c r="W58" s="20"/>
      <c r="X58" s="20">
        <f>IF(X53&lt;&gt;0,(X54-X57*(+ $I$13*X$13+ $I$15*X$15+ $I$16*X$16))/(X53-(+ $I$13*X$13+ $I$15*X$15+ $I$16*X$16)),0)</f>
        <v>0</v>
      </c>
      <c r="Y58" s="20"/>
      <c r="Z58" s="20">
        <f>IF(Z53&lt;&gt;0,(Z54-Z57*(+ $I$13*Z$13+ $I$15*Z$15+ $I$16*Z$16))/(Z53-(+ $I$13*Z$13+ $I$15*Z$15+ $I$16*Z$16)),0)</f>
        <v>4.7572138003413755</v>
      </c>
      <c r="AA58" s="20"/>
      <c r="AB58" s="20"/>
    </row>
    <row r="59" spans="1:28" ht="11.25" customHeight="1" x14ac:dyDescent="0.25">
      <c r="K59" s="25" t="s">
        <v>860</v>
      </c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</row>
  </sheetData>
  <mergeCells count="73">
    <mergeCell ref="F5:F6"/>
    <mergeCell ref="A5:A7"/>
    <mergeCell ref="B5:B6"/>
    <mergeCell ref="C5:C6"/>
    <mergeCell ref="D5:D6"/>
    <mergeCell ref="E5:E6"/>
    <mergeCell ref="F11:F12"/>
    <mergeCell ref="A8:A10"/>
    <mergeCell ref="B8:B9"/>
    <mergeCell ref="C8:C9"/>
    <mergeCell ref="D8:D9"/>
    <mergeCell ref="E8:E9"/>
    <mergeCell ref="F8:F9"/>
    <mergeCell ref="A11:A16"/>
    <mergeCell ref="B11:B12"/>
    <mergeCell ref="C11:C12"/>
    <mergeCell ref="D11:D12"/>
    <mergeCell ref="E11:E12"/>
    <mergeCell ref="F17:F19"/>
    <mergeCell ref="B20:B24"/>
    <mergeCell ref="C20:C24"/>
    <mergeCell ref="B25:B29"/>
    <mergeCell ref="C25:C29"/>
    <mergeCell ref="A17:A29"/>
    <mergeCell ref="B17:B19"/>
    <mergeCell ref="C17:C19"/>
    <mergeCell ref="D17:D19"/>
    <mergeCell ref="E17:E19"/>
    <mergeCell ref="E38:E40"/>
    <mergeCell ref="F38:F40"/>
    <mergeCell ref="A30:A44"/>
    <mergeCell ref="B30:B32"/>
    <mergeCell ref="C30:C32"/>
    <mergeCell ref="D30:D32"/>
    <mergeCell ref="E30:E32"/>
    <mergeCell ref="F30:F32"/>
    <mergeCell ref="B34:B36"/>
    <mergeCell ref="C34:C36"/>
    <mergeCell ref="D34:D36"/>
    <mergeCell ref="E34:E36"/>
    <mergeCell ref="F1:F4"/>
    <mergeCell ref="E45:E47"/>
    <mergeCell ref="F45:F47"/>
    <mergeCell ref="A50:A51"/>
    <mergeCell ref="B50:B51"/>
    <mergeCell ref="C50:C51"/>
    <mergeCell ref="B42:B44"/>
    <mergeCell ref="C42:C44"/>
    <mergeCell ref="A45:A49"/>
    <mergeCell ref="B45:B47"/>
    <mergeCell ref="C45:C47"/>
    <mergeCell ref="D45:D47"/>
    <mergeCell ref="F34:F36"/>
    <mergeCell ref="B38:B40"/>
    <mergeCell ref="C38:C40"/>
    <mergeCell ref="D38:D40"/>
    <mergeCell ref="A1:A4"/>
    <mergeCell ref="B1:B4"/>
    <mergeCell ref="C1:C4"/>
    <mergeCell ref="D1:D4"/>
    <mergeCell ref="E1:E4"/>
    <mergeCell ref="Z3:AA3"/>
    <mergeCell ref="AB3:AB4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907D6-F4E6-4399-84C0-0C8A9A41B324}">
  <sheetPr codeName="Planilha13"/>
  <dimension ref="A1:AC59"/>
  <sheetViews>
    <sheetView showGridLines="0" workbookViewId="0">
      <pane xSplit="9" ySplit="4" topLeftCell="Z5" activePane="bottomRight" state="frozen"/>
      <selection pane="topRight" activeCell="J1" sqref="J1"/>
      <selection pane="bottomLeft" activeCell="A5" sqref="A5"/>
      <selection pane="bottomRight" activeCell="AC16" sqref="AC16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2" width="10" style="9" bestFit="1" customWidth="1"/>
    <col min="13" max="13" width="10.85546875" style="9" bestFit="1" customWidth="1"/>
    <col min="14" max="14" width="10" style="9" bestFit="1" customWidth="1"/>
    <col min="15" max="15" width="11.140625" style="9" bestFit="1" customWidth="1"/>
    <col min="16" max="16" width="11.42578125" style="9" bestFit="1" customWidth="1"/>
    <col min="17" max="17" width="10" style="9" bestFit="1" customWidth="1"/>
    <col min="18" max="18" width="15" style="9" bestFit="1" customWidth="1"/>
    <col min="19" max="19" width="11.7109375" style="9" bestFit="1" customWidth="1"/>
    <col min="20" max="20" width="10" style="9" bestFit="1" customWidth="1"/>
    <col min="21" max="21" width="10.42578125" style="9" bestFit="1" customWidth="1"/>
    <col min="22" max="22" width="10" style="9" bestFit="1" customWidth="1"/>
    <col min="23" max="23" width="9.28515625" style="9" bestFit="1" customWidth="1"/>
    <col min="24" max="25" width="11.42578125" style="9" bestFit="1" customWidth="1"/>
    <col min="26" max="26" width="11" style="9" bestFit="1" customWidth="1"/>
    <col min="27" max="27" width="10" style="9" bestFit="1" customWidth="1"/>
    <col min="28" max="28" width="11.7109375" style="9" bestFit="1" customWidth="1"/>
    <col min="29" max="29" width="14.85546875" style="9" bestFit="1" customWidth="1"/>
    <col min="30" max="16384" width="9.140625" style="9"/>
  </cols>
  <sheetData>
    <row r="1" spans="1:29" ht="11.25" customHeight="1" x14ac:dyDescent="0.25">
      <c r="A1" s="117" t="s">
        <v>71</v>
      </c>
      <c r="B1" s="117" t="s">
        <v>72</v>
      </c>
      <c r="C1" s="117" t="s">
        <v>73</v>
      </c>
      <c r="D1" s="117" t="s">
        <v>74</v>
      </c>
      <c r="E1" s="117" t="s">
        <v>75</v>
      </c>
      <c r="F1" s="117" t="s">
        <v>15</v>
      </c>
      <c r="G1" s="117" t="s">
        <v>77</v>
      </c>
      <c r="H1" s="117" t="s">
        <v>78</v>
      </c>
      <c r="I1" s="117" t="s">
        <v>835</v>
      </c>
      <c r="J1" s="105"/>
      <c r="L1" s="115" t="s">
        <v>861</v>
      </c>
      <c r="M1" s="115"/>
      <c r="N1" s="115"/>
      <c r="O1" s="115"/>
      <c r="P1" s="115"/>
      <c r="Q1" s="115"/>
      <c r="R1" s="115"/>
      <c r="S1" s="115"/>
      <c r="T1" s="115"/>
      <c r="U1" s="115"/>
      <c r="V1" s="115"/>
      <c r="W1" s="115"/>
      <c r="X1" s="115"/>
      <c r="Y1" s="115"/>
      <c r="Z1" s="115"/>
      <c r="AA1" s="115"/>
      <c r="AB1" s="115"/>
    </row>
    <row r="2" spans="1:29" ht="11.25" customHeight="1" x14ac:dyDescent="0.25">
      <c r="A2" s="117"/>
      <c r="B2" s="117"/>
      <c r="C2" s="117"/>
      <c r="D2" s="117"/>
      <c r="E2" s="117"/>
      <c r="F2" s="117"/>
      <c r="G2" s="117"/>
      <c r="H2" s="117"/>
      <c r="I2" s="117"/>
      <c r="J2" s="105"/>
      <c r="L2" s="115" t="s">
        <v>762</v>
      </c>
      <c r="M2" s="115"/>
      <c r="N2" s="115"/>
      <c r="O2" s="115"/>
      <c r="P2" s="115"/>
      <c r="Q2" s="115"/>
      <c r="R2" s="115"/>
      <c r="S2" s="115"/>
      <c r="T2" s="115"/>
      <c r="U2" s="115"/>
      <c r="V2" s="115"/>
      <c r="W2" s="115"/>
      <c r="X2" s="115"/>
      <c r="Y2" s="115"/>
      <c r="Z2" s="115"/>
      <c r="AA2" s="115"/>
      <c r="AB2" s="115"/>
    </row>
    <row r="3" spans="1:29" ht="11.25" customHeight="1" x14ac:dyDescent="0.25">
      <c r="A3" s="117"/>
      <c r="B3" s="117"/>
      <c r="C3" s="117"/>
      <c r="D3" s="117"/>
      <c r="E3" s="117"/>
      <c r="F3" s="117"/>
      <c r="G3" s="117"/>
      <c r="H3" s="117"/>
      <c r="I3" s="117"/>
      <c r="J3" s="105"/>
      <c r="L3" s="115" t="s">
        <v>735</v>
      </c>
      <c r="M3" s="115"/>
      <c r="N3" s="115"/>
      <c r="O3" s="115"/>
      <c r="P3" s="115"/>
      <c r="Q3" s="115"/>
      <c r="R3" s="115" t="s">
        <v>766</v>
      </c>
      <c r="S3" s="115"/>
      <c r="T3" s="115" t="s">
        <v>744</v>
      </c>
      <c r="U3" s="115"/>
      <c r="V3" s="115"/>
      <c r="W3" s="115"/>
      <c r="X3" s="115" t="s">
        <v>754</v>
      </c>
      <c r="Y3" s="115"/>
      <c r="Z3" s="115" t="s">
        <v>757</v>
      </c>
      <c r="AA3" s="115"/>
      <c r="AB3" s="115" t="s">
        <v>743</v>
      </c>
    </row>
    <row r="4" spans="1:29" ht="11.25" customHeight="1" x14ac:dyDescent="0.25">
      <c r="A4" s="117"/>
      <c r="B4" s="117"/>
      <c r="C4" s="117"/>
      <c r="D4" s="117"/>
      <c r="E4" s="117"/>
      <c r="F4" s="117"/>
      <c r="G4" s="117"/>
      <c r="H4" s="117"/>
      <c r="I4" s="117"/>
      <c r="J4" s="105"/>
      <c r="L4" s="24" t="s">
        <v>737</v>
      </c>
      <c r="M4" s="24" t="s">
        <v>763</v>
      </c>
      <c r="N4" s="24" t="s">
        <v>764</v>
      </c>
      <c r="O4" s="24" t="s">
        <v>823</v>
      </c>
      <c r="P4" s="24" t="s">
        <v>765</v>
      </c>
      <c r="Q4" s="24" t="s">
        <v>743</v>
      </c>
      <c r="R4" s="24" t="s">
        <v>767</v>
      </c>
      <c r="S4" s="24" t="s">
        <v>743</v>
      </c>
      <c r="T4" s="24" t="s">
        <v>768</v>
      </c>
      <c r="U4" s="24" t="s">
        <v>769</v>
      </c>
      <c r="V4" s="24" t="s">
        <v>770</v>
      </c>
      <c r="W4" s="24" t="s">
        <v>743</v>
      </c>
      <c r="X4" s="24" t="s">
        <v>755</v>
      </c>
      <c r="Y4" s="24" t="s">
        <v>743</v>
      </c>
      <c r="Z4" s="24" t="s">
        <v>771</v>
      </c>
      <c r="AA4" s="24" t="s">
        <v>743</v>
      </c>
      <c r="AB4" s="116"/>
    </row>
    <row r="5" spans="1:29" ht="11.25" customHeight="1" x14ac:dyDescent="0.25">
      <c r="A5" s="118" t="s">
        <v>80</v>
      </c>
      <c r="B5" s="118" t="s">
        <v>81</v>
      </c>
      <c r="C5" s="118" t="s">
        <v>25</v>
      </c>
      <c r="D5" s="118" t="s">
        <v>25</v>
      </c>
      <c r="E5" s="118" t="s">
        <v>25</v>
      </c>
      <c r="F5" s="118" t="s">
        <v>25</v>
      </c>
      <c r="G5" s="23" t="s">
        <v>83</v>
      </c>
      <c r="H5" s="23" t="s">
        <v>82</v>
      </c>
      <c r="I5" s="23">
        <f>'MERCADO TE'!$U$2</f>
        <v>0</v>
      </c>
      <c r="J5" s="15"/>
      <c r="L5" s="20">
        <f>'TR TE'!$L$5*'TR TE'!$L$58</f>
        <v>2.3157126121942948</v>
      </c>
      <c r="M5" s="20">
        <f>'TR TE'!$M$5*'TR TE'!$M$58</f>
        <v>17.796756473610142</v>
      </c>
      <c r="N5" s="20">
        <f>'TR TE'!$N$5*'TR TE'!$N$58</f>
        <v>0</v>
      </c>
      <c r="O5" s="20">
        <f>'TR TE'!$O$5*'TR TE'!$O$58</f>
        <v>5.0291998178053463</v>
      </c>
      <c r="P5" s="20">
        <f>'TR TE'!$P$5*'TR TE'!$P$58</f>
        <v>-16.035655728433582</v>
      </c>
      <c r="Q5" s="20">
        <f>SUM($L$5:$P$5)</f>
        <v>9.1060131751761979</v>
      </c>
      <c r="R5" s="20">
        <f>'TR TE'!$R$5*'TR TE'!$R$58</f>
        <v>333.20299739094662</v>
      </c>
      <c r="S5" s="20">
        <f>SUM($R$5:$R$5)</f>
        <v>333.20299739094662</v>
      </c>
      <c r="T5" s="20">
        <f>'TR TE'!$T$5*'TR TE'!$T$58</f>
        <v>0</v>
      </c>
      <c r="U5" s="20">
        <f>'TR TE'!$U$5*'TR TE'!$U$58</f>
        <v>0</v>
      </c>
      <c r="V5" s="20">
        <f>'TR TE'!$V$5*'TR TE'!$V$58</f>
        <v>0</v>
      </c>
      <c r="W5" s="20">
        <f>SUM($T$5:$V$5)</f>
        <v>0</v>
      </c>
      <c r="X5" s="20"/>
      <c r="Y5" s="20">
        <f>SUM($X$5:$X$5)</f>
        <v>0</v>
      </c>
      <c r="Z5" s="20">
        <f>'TR TE'!$Z$5*'TR TE'!$Z$58</f>
        <v>4.7572138003413755</v>
      </c>
      <c r="AA5" s="20">
        <f>SUM($Z$5:$Z$5)</f>
        <v>4.7572138003413755</v>
      </c>
      <c r="AB5" s="20">
        <f>SUMIF($L$4:$AA$4,"SUBTOTAL",$L$5:$AA$5)</f>
        <v>347.06622436646421</v>
      </c>
    </row>
    <row r="6" spans="1:29" ht="11.25" customHeight="1" x14ac:dyDescent="0.25">
      <c r="A6" s="118"/>
      <c r="B6" s="118"/>
      <c r="C6" s="118"/>
      <c r="D6" s="118"/>
      <c r="E6" s="118"/>
      <c r="F6" s="118"/>
      <c r="G6" s="23" t="s">
        <v>84</v>
      </c>
      <c r="H6" s="23" t="s">
        <v>82</v>
      </c>
      <c r="I6" s="23">
        <f>'MERCADO TE'!$U$3</f>
        <v>0</v>
      </c>
      <c r="J6" s="15"/>
      <c r="L6" s="20">
        <f>'TR TE'!$L$6*'TR TE'!$L$58</f>
        <v>2.3157126121942948</v>
      </c>
      <c r="M6" s="20">
        <f>'TR TE'!$M$6*'TR TE'!$M$58</f>
        <v>17.796756473610142</v>
      </c>
      <c r="N6" s="20">
        <f>'TR TE'!$N$6*'TR TE'!$N$58</f>
        <v>0</v>
      </c>
      <c r="O6" s="20">
        <f>'TR TE'!$O$6*'TR TE'!$O$58</f>
        <v>5.0291998178053463</v>
      </c>
      <c r="P6" s="20">
        <f>'TR TE'!$P$6*'TR TE'!$P$58</f>
        <v>-16.035655728433582</v>
      </c>
      <c r="Q6" s="20">
        <f>SUM($L$6:$P$6)</f>
        <v>9.1060131751761979</v>
      </c>
      <c r="R6" s="20">
        <f>'TR TE'!$R$6*'TR TE'!$R$58</f>
        <v>193.72267290171314</v>
      </c>
      <c r="S6" s="20">
        <f>SUM($R$6:$R$6)</f>
        <v>193.72267290171314</v>
      </c>
      <c r="T6" s="20">
        <f>'TR TE'!$T$6*'TR TE'!$T$58</f>
        <v>0</v>
      </c>
      <c r="U6" s="20">
        <f>'TR TE'!$U$6*'TR TE'!$U$58</f>
        <v>0</v>
      </c>
      <c r="V6" s="20">
        <f>'TR TE'!$V$6*'TR TE'!$V$58</f>
        <v>0</v>
      </c>
      <c r="W6" s="20">
        <f>SUM($T$6:$V$6)</f>
        <v>0</v>
      </c>
      <c r="X6" s="20"/>
      <c r="Y6" s="20">
        <f>SUM($X$6:$X$6)</f>
        <v>0</v>
      </c>
      <c r="Z6" s="20">
        <f>'TR TE'!$Z$6*'TR TE'!$Z$58</f>
        <v>4.7572138003413755</v>
      </c>
      <c r="AA6" s="20">
        <f>SUM($Z$6:$Z$6)</f>
        <v>4.7572138003413755</v>
      </c>
      <c r="AB6" s="20">
        <f>SUMIF($L$4:$AA$4,"SUBTOTAL",$L$6:$AA$6)</f>
        <v>207.5858998772307</v>
      </c>
    </row>
    <row r="7" spans="1:29" ht="11.25" customHeight="1" x14ac:dyDescent="0.25">
      <c r="A7" s="118"/>
      <c r="B7" s="22" t="s">
        <v>90</v>
      </c>
      <c r="C7" s="22" t="s">
        <v>25</v>
      </c>
      <c r="D7" s="22" t="s">
        <v>25</v>
      </c>
      <c r="E7" s="22" t="s">
        <v>25</v>
      </c>
      <c r="F7" s="22" t="s">
        <v>25</v>
      </c>
      <c r="G7" s="23" t="s">
        <v>88</v>
      </c>
      <c r="H7" s="23" t="s">
        <v>82</v>
      </c>
      <c r="I7" s="23">
        <f>'MERCADO TE'!$U$4</f>
        <v>0</v>
      </c>
      <c r="J7" s="15"/>
      <c r="L7" s="20">
        <f>'TR TE'!$L$7*'TR TE'!$L$58</f>
        <v>2.3157126121942948</v>
      </c>
      <c r="M7" s="20">
        <f>'TR TE'!$M$7*'TR TE'!$M$58</f>
        <v>17.796756473610142</v>
      </c>
      <c r="N7" s="20">
        <f>'TR TE'!$N$7*'TR TE'!$N$58</f>
        <v>0</v>
      </c>
      <c r="O7" s="20">
        <f>'TR TE'!$O$7*'TR TE'!$O$58</f>
        <v>5.0291998178053463</v>
      </c>
      <c r="P7" s="20">
        <f>'TR TE'!$P$7*'TR TE'!$P$58</f>
        <v>-16.035655728433582</v>
      </c>
      <c r="Q7" s="20">
        <f>SUM($L$7:$P$7)</f>
        <v>9.1060131751761979</v>
      </c>
      <c r="R7" s="20">
        <f>'TR TE'!$R$7*'TR TE'!$R$58</f>
        <v>205.34603327581593</v>
      </c>
      <c r="S7" s="20">
        <f>SUM($R$7:$R$7)</f>
        <v>205.34603327581593</v>
      </c>
      <c r="T7" s="20">
        <f>'TR TE'!$T$7*'TR TE'!$T$58</f>
        <v>0</v>
      </c>
      <c r="U7" s="20">
        <f>'TR TE'!$U$7*'TR TE'!$U$58</f>
        <v>0</v>
      </c>
      <c r="V7" s="20">
        <f>'TR TE'!$V$7*'TR TE'!$V$58</f>
        <v>0</v>
      </c>
      <c r="W7" s="20">
        <f>SUM($T$7:$V$7)</f>
        <v>0</v>
      </c>
      <c r="X7" s="20"/>
      <c r="Y7" s="20">
        <f>SUM($X$7:$X$7)</f>
        <v>0</v>
      </c>
      <c r="Z7" s="20">
        <f>'TR TE'!$Z$7*'TR TE'!$Z$58</f>
        <v>4.7572138003413755</v>
      </c>
      <c r="AA7" s="20">
        <f>SUM($Z$7:$Z$7)</f>
        <v>4.7572138003413755</v>
      </c>
      <c r="AB7" s="20">
        <f>SUMIF($L$4:$AA$4,"SUBTOTAL",$L$7:$AA$7)</f>
        <v>219.20926025133349</v>
      </c>
    </row>
    <row r="8" spans="1:29" ht="11.25" customHeight="1" x14ac:dyDescent="0.25">
      <c r="A8" s="118" t="s">
        <v>43</v>
      </c>
      <c r="B8" s="118" t="s">
        <v>81</v>
      </c>
      <c r="C8" s="118" t="s">
        <v>25</v>
      </c>
      <c r="D8" s="118" t="s">
        <v>25</v>
      </c>
      <c r="E8" s="118" t="s">
        <v>25</v>
      </c>
      <c r="F8" s="118" t="s">
        <v>25</v>
      </c>
      <c r="G8" s="23" t="s">
        <v>83</v>
      </c>
      <c r="H8" s="23" t="s">
        <v>82</v>
      </c>
      <c r="I8" s="23">
        <f>'MERCADO TE'!$U$5</f>
        <v>163.142</v>
      </c>
      <c r="J8" s="15"/>
      <c r="L8" s="20">
        <f>'TR TE'!$L$8*'TR TE'!$L$58</f>
        <v>2.3157126121942948</v>
      </c>
      <c r="M8" s="20">
        <f>'TR TE'!$M$8*'TR TE'!$M$58</f>
        <v>17.796756473610142</v>
      </c>
      <c r="N8" s="20">
        <f>'TR TE'!$N$8*'TR TE'!$N$58</f>
        <v>0</v>
      </c>
      <c r="O8" s="20">
        <f>'TR TE'!$O$8*'TR TE'!$O$58</f>
        <v>5.0291998178053463</v>
      </c>
      <c r="P8" s="20">
        <f>'TR TE'!$P$8*'TR TE'!$P$58</f>
        <v>-16.035655728433582</v>
      </c>
      <c r="Q8" s="20">
        <f>SUM($L$8:$P$8)</f>
        <v>9.1060131751761979</v>
      </c>
      <c r="R8" s="20">
        <f>'TR TE'!$R$8*'TR TE'!$R$58</f>
        <v>333.20299739094662</v>
      </c>
      <c r="S8" s="20">
        <f>SUM($R$8:$R$8)</f>
        <v>333.20299739094662</v>
      </c>
      <c r="T8" s="20">
        <f>'TR TE'!$T$8*'TR TE'!$T$58</f>
        <v>0</v>
      </c>
      <c r="U8" s="20">
        <f>'TR TE'!$U$8*'TR TE'!$U$58</f>
        <v>0</v>
      </c>
      <c r="V8" s="20">
        <f>'TR TE'!$V$8*'TR TE'!$V$58</f>
        <v>0</v>
      </c>
      <c r="W8" s="20">
        <f>SUM($T$8:$V$8)</f>
        <v>0</v>
      </c>
      <c r="X8" s="20"/>
      <c r="Y8" s="20">
        <f>SUM($X$8:$X$8)</f>
        <v>0</v>
      </c>
      <c r="Z8" s="20">
        <f>'TR TE'!$Z$8*'TR TE'!$Z$58</f>
        <v>4.7572138003413755</v>
      </c>
      <c r="AA8" s="20">
        <f>SUM($Z$8:$Z$8)</f>
        <v>4.7572138003413755</v>
      </c>
      <c r="AB8" s="20">
        <f>SUMIF($L$4:$AA$4,"SUBTOTAL",$L$8:$AA$8)</f>
        <v>347.06622436646421</v>
      </c>
    </row>
    <row r="9" spans="1:29" ht="11.25" customHeight="1" x14ac:dyDescent="0.25">
      <c r="A9" s="118"/>
      <c r="B9" s="118"/>
      <c r="C9" s="118"/>
      <c r="D9" s="118"/>
      <c r="E9" s="118"/>
      <c r="F9" s="118"/>
      <c r="G9" s="23" t="s">
        <v>84</v>
      </c>
      <c r="H9" s="23" t="s">
        <v>82</v>
      </c>
      <c r="I9" s="23">
        <f>'MERCADO TE'!$U$6</f>
        <v>1766.7370000000001</v>
      </c>
      <c r="J9" s="15"/>
      <c r="L9" s="20">
        <f>'TR TE'!$L$9*'TR TE'!$L$58</f>
        <v>2.3157126121942948</v>
      </c>
      <c r="M9" s="20">
        <f>'TR TE'!$M$9*'TR TE'!$M$58</f>
        <v>17.796756473610142</v>
      </c>
      <c r="N9" s="20">
        <f>'TR TE'!$N$9*'TR TE'!$N$58</f>
        <v>0</v>
      </c>
      <c r="O9" s="20">
        <f>'TR TE'!$O$9*'TR TE'!$O$58</f>
        <v>5.0291998178053463</v>
      </c>
      <c r="P9" s="20">
        <f>'TR TE'!$P$9*'TR TE'!$P$58</f>
        <v>-16.035655728433582</v>
      </c>
      <c r="Q9" s="20">
        <f>SUM($L$9:$P$9)</f>
        <v>9.1060131751761979</v>
      </c>
      <c r="R9" s="20">
        <f>'TR TE'!$R$9*'TR TE'!$R$58</f>
        <v>193.72267290171314</v>
      </c>
      <c r="S9" s="20">
        <f>SUM($R$9:$R$9)</f>
        <v>193.72267290171314</v>
      </c>
      <c r="T9" s="20">
        <f>'TR TE'!$T$9*'TR TE'!$T$58</f>
        <v>0</v>
      </c>
      <c r="U9" s="20">
        <f>'TR TE'!$U$9*'TR TE'!$U$58</f>
        <v>0</v>
      </c>
      <c r="V9" s="20">
        <f>'TR TE'!$V$9*'TR TE'!$V$58</f>
        <v>0</v>
      </c>
      <c r="W9" s="20">
        <f>SUM($T$9:$V$9)</f>
        <v>0</v>
      </c>
      <c r="X9" s="20"/>
      <c r="Y9" s="20">
        <f>SUM($X$9:$X$9)</f>
        <v>0</v>
      </c>
      <c r="Z9" s="20">
        <f>'TR TE'!$Z$9*'TR TE'!$Z$58</f>
        <v>4.7572138003413755</v>
      </c>
      <c r="AA9" s="20">
        <f>SUM($Z$9:$Z$9)</f>
        <v>4.7572138003413755</v>
      </c>
      <c r="AB9" s="20">
        <f>SUMIF($L$4:$AA$4,"SUBTOTAL",$L$9:$AA$9)</f>
        <v>207.5858998772307</v>
      </c>
    </row>
    <row r="10" spans="1:29" ht="11.25" customHeight="1" x14ac:dyDescent="0.25">
      <c r="A10" s="118"/>
      <c r="B10" s="22" t="s">
        <v>90</v>
      </c>
      <c r="C10" s="22" t="s">
        <v>25</v>
      </c>
      <c r="D10" s="22" t="s">
        <v>25</v>
      </c>
      <c r="E10" s="22" t="s">
        <v>25</v>
      </c>
      <c r="F10" s="22" t="s">
        <v>25</v>
      </c>
      <c r="G10" s="23" t="s">
        <v>88</v>
      </c>
      <c r="H10" s="23" t="s">
        <v>82</v>
      </c>
      <c r="I10" s="23">
        <f>'MERCADO TE'!$U$7</f>
        <v>0</v>
      </c>
      <c r="J10" s="15"/>
      <c r="L10" s="20">
        <f>'TR TE'!$L$10*'TR TE'!$L$58</f>
        <v>2.3157126121942948</v>
      </c>
      <c r="M10" s="20">
        <f>'TR TE'!$M$10*'TR TE'!$M$58</f>
        <v>17.796756473610142</v>
      </c>
      <c r="N10" s="20">
        <f>'TR TE'!$N$10*'TR TE'!$N$58</f>
        <v>0</v>
      </c>
      <c r="O10" s="20">
        <f>'TR TE'!$O$10*'TR TE'!$O$58</f>
        <v>5.0291998178053463</v>
      </c>
      <c r="P10" s="20">
        <f>'TR TE'!$P$10*'TR TE'!$P$58</f>
        <v>-16.035655728433582</v>
      </c>
      <c r="Q10" s="20">
        <f>SUM($L$10:$P$10)</f>
        <v>9.1060131751761979</v>
      </c>
      <c r="R10" s="20">
        <f>'TR TE'!$R$10*'TR TE'!$R$58</f>
        <v>205.34603327581593</v>
      </c>
      <c r="S10" s="20">
        <f>SUM($R$10:$R$10)</f>
        <v>205.34603327581593</v>
      </c>
      <c r="T10" s="20">
        <f>'TR TE'!$T$10*'TR TE'!$T$58</f>
        <v>0</v>
      </c>
      <c r="U10" s="20">
        <f>'TR TE'!$U$10*'TR TE'!$U$58</f>
        <v>0</v>
      </c>
      <c r="V10" s="20">
        <f>'TR TE'!$V$10*'TR TE'!$V$58</f>
        <v>0</v>
      </c>
      <c r="W10" s="20">
        <f>SUM($T$10:$V$10)</f>
        <v>0</v>
      </c>
      <c r="X10" s="20"/>
      <c r="Y10" s="20">
        <f>SUM($X$10:$X$10)</f>
        <v>0</v>
      </c>
      <c r="Z10" s="20">
        <f>'TR TE'!$Z$10*'TR TE'!$Z$58</f>
        <v>4.7572138003413755</v>
      </c>
      <c r="AA10" s="20">
        <f>SUM($Z$10:$Z$10)</f>
        <v>4.7572138003413755</v>
      </c>
      <c r="AB10" s="20">
        <f>SUMIF($L$4:$AA$4,"SUBTOTAL",$L$10:$AA$10)</f>
        <v>219.20926025133349</v>
      </c>
    </row>
    <row r="11" spans="1:29" ht="11.25" customHeight="1" x14ac:dyDescent="0.25">
      <c r="A11" s="118" t="s">
        <v>41</v>
      </c>
      <c r="B11" s="118" t="s">
        <v>81</v>
      </c>
      <c r="C11" s="118" t="s">
        <v>25</v>
      </c>
      <c r="D11" s="118" t="s">
        <v>25</v>
      </c>
      <c r="E11" s="118" t="s">
        <v>25</v>
      </c>
      <c r="F11" s="118" t="s">
        <v>25</v>
      </c>
      <c r="G11" s="23" t="s">
        <v>83</v>
      </c>
      <c r="H11" s="23" t="s">
        <v>82</v>
      </c>
      <c r="I11" s="23">
        <f>'MERCADO TE'!$U$8</f>
        <v>15731.081</v>
      </c>
      <c r="J11" s="15"/>
      <c r="L11" s="20">
        <f>'TR TE'!$L$11*'TR TE'!$L$58</f>
        <v>2.3157126121942948</v>
      </c>
      <c r="M11" s="20">
        <f>'TR TE'!$M$11*'TR TE'!$M$58</f>
        <v>17.796756473610142</v>
      </c>
      <c r="N11" s="20">
        <f>'TR TE'!$N$11*'TR TE'!$N$58</f>
        <v>0</v>
      </c>
      <c r="O11" s="20">
        <f>'TR TE'!$O$11*'TR TE'!$O$58</f>
        <v>5.0291998178053463</v>
      </c>
      <c r="P11" s="20">
        <f>'TR TE'!$P$11*'TR TE'!$P$58</f>
        <v>-16.035655728433582</v>
      </c>
      <c r="Q11" s="20">
        <f>SUM($L$11:$P$11)</f>
        <v>9.1060131751761979</v>
      </c>
      <c r="R11" s="20">
        <f>'TR TE'!$R$11*'TR TE'!$R$58</f>
        <v>333.20299739094662</v>
      </c>
      <c r="S11" s="20">
        <f>SUM($R$11:$R$11)</f>
        <v>333.20299739094662</v>
      </c>
      <c r="T11" s="20">
        <f>'TR TE'!$T$11*'TR TE'!$T$58</f>
        <v>0</v>
      </c>
      <c r="U11" s="20">
        <f>'TR TE'!$U$11*'TR TE'!$U$58</f>
        <v>0</v>
      </c>
      <c r="V11" s="20">
        <f>'TR TE'!$V$11*'TR TE'!$V$58</f>
        <v>0</v>
      </c>
      <c r="W11" s="20">
        <f>SUM($T$11:$V$11)</f>
        <v>0</v>
      </c>
      <c r="X11" s="20"/>
      <c r="Y11" s="20">
        <f>SUM($X$11:$X$11)</f>
        <v>0</v>
      </c>
      <c r="Z11" s="20">
        <f>'TR TE'!$Z$11*'TR TE'!$Z$58</f>
        <v>4.7572138003413755</v>
      </c>
      <c r="AA11" s="20">
        <f>SUM($Z$11:$Z$11)</f>
        <v>4.7572138003413755</v>
      </c>
      <c r="AB11" s="20">
        <f>SUMIF($L$4:$AA$4,"SUBTOTAL",$L$11:$AA$11)</f>
        <v>347.06622436646421</v>
      </c>
    </row>
    <row r="12" spans="1:29" ht="11.25" customHeight="1" x14ac:dyDescent="0.25">
      <c r="A12" s="118"/>
      <c r="B12" s="118"/>
      <c r="C12" s="118"/>
      <c r="D12" s="118"/>
      <c r="E12" s="118"/>
      <c r="F12" s="118"/>
      <c r="G12" s="23" t="s">
        <v>84</v>
      </c>
      <c r="H12" s="23" t="s">
        <v>82</v>
      </c>
      <c r="I12" s="23">
        <f>'MERCADO TE'!$U$9</f>
        <v>195150.861</v>
      </c>
      <c r="J12" s="15"/>
      <c r="L12" s="20">
        <f>'TR TE'!$L$12*'TR TE'!$L$58</f>
        <v>2.3157126121942948</v>
      </c>
      <c r="M12" s="20">
        <f>'TR TE'!$M$12*'TR TE'!$M$58</f>
        <v>17.796756473610142</v>
      </c>
      <c r="N12" s="20">
        <f>'TR TE'!$N$12*'TR TE'!$N$58</f>
        <v>0</v>
      </c>
      <c r="O12" s="20">
        <f>'TR TE'!$O$12*'TR TE'!$O$58</f>
        <v>5.0291998178053463</v>
      </c>
      <c r="P12" s="20">
        <f>'TR TE'!$P$12*'TR TE'!$P$58</f>
        <v>-16.035655728433582</v>
      </c>
      <c r="Q12" s="20">
        <f>SUM($L$12:$P$12)</f>
        <v>9.1060131751761979</v>
      </c>
      <c r="R12" s="20">
        <f>'TR TE'!$R$12*'TR TE'!$R$58</f>
        <v>193.72267290171314</v>
      </c>
      <c r="S12" s="20">
        <f>SUM($R$12:$R$12)</f>
        <v>193.72267290171314</v>
      </c>
      <c r="T12" s="20">
        <f>'TR TE'!$T$12*'TR TE'!$T$58</f>
        <v>0</v>
      </c>
      <c r="U12" s="20">
        <f>'TR TE'!$U$12*'TR TE'!$U$58</f>
        <v>0</v>
      </c>
      <c r="V12" s="20">
        <f>'TR TE'!$V$12*'TR TE'!$V$58</f>
        <v>0</v>
      </c>
      <c r="W12" s="20">
        <f>SUM($T$12:$V$12)</f>
        <v>0</v>
      </c>
      <c r="X12" s="20"/>
      <c r="Y12" s="20">
        <f>SUM($X$12:$X$12)</f>
        <v>0</v>
      </c>
      <c r="Z12" s="20">
        <f>'TR TE'!$Z$12*'TR TE'!$Z$58</f>
        <v>4.7572138003413755</v>
      </c>
      <c r="AA12" s="20">
        <f>SUM($Z$12:$Z$12)</f>
        <v>4.7572138003413755</v>
      </c>
      <c r="AB12" s="20">
        <f>SUMIF($L$4:$AA$4,"SUBTOTAL",$L$12:$AA$12)</f>
        <v>207.5858998772307</v>
      </c>
    </row>
    <row r="13" spans="1:29" ht="11.25" customHeight="1" x14ac:dyDescent="0.25">
      <c r="A13" s="118"/>
      <c r="B13" s="22" t="s">
        <v>92</v>
      </c>
      <c r="C13" s="22" t="s">
        <v>25</v>
      </c>
      <c r="D13" s="22" t="s">
        <v>25</v>
      </c>
      <c r="E13" s="22" t="s">
        <v>93</v>
      </c>
      <c r="F13" s="22" t="s">
        <v>25</v>
      </c>
      <c r="G13" s="23" t="s">
        <v>88</v>
      </c>
      <c r="H13" s="23" t="s">
        <v>82</v>
      </c>
      <c r="I13" s="23">
        <f>'MERCADO TE'!$U$10</f>
        <v>0</v>
      </c>
      <c r="J13" s="15"/>
      <c r="L13" s="20">
        <f>'TR TE'!$L$57</f>
        <v>2.3157126121942948</v>
      </c>
      <c r="M13" s="20">
        <f>'TR TE'!$M$57</f>
        <v>17.796756473610142</v>
      </c>
      <c r="N13" s="20">
        <f>'TR TE'!$N$57</f>
        <v>0</v>
      </c>
      <c r="O13" s="20">
        <f>'TR TE'!$O$57</f>
        <v>5.0291998178053472</v>
      </c>
      <c r="P13" s="20">
        <f>'TR TE'!$P$57</f>
        <v>-16.035655728433586</v>
      </c>
      <c r="Q13" s="20">
        <f>SUM($L$13:$P$13)</f>
        <v>9.1060131751761979</v>
      </c>
      <c r="R13" s="20">
        <f>'TR TE'!$R$57</f>
        <v>204.51851127407809</v>
      </c>
      <c r="S13" s="20">
        <f>SUM($R$13:$R$13)</f>
        <v>204.51851127407809</v>
      </c>
      <c r="T13" s="20">
        <f>'TR TE'!$T$57</f>
        <v>0</v>
      </c>
      <c r="U13" s="20">
        <f>'TR TE'!$U$57</f>
        <v>0</v>
      </c>
      <c r="V13" s="20">
        <f>'TR TE'!$V$57</f>
        <v>0</v>
      </c>
      <c r="W13" s="20">
        <f>SUM($T$13:$V$13)</f>
        <v>0</v>
      </c>
      <c r="X13" s="20"/>
      <c r="Y13" s="20">
        <f>SUM($X$13:$X$13)</f>
        <v>0</v>
      </c>
      <c r="Z13" s="20">
        <f>'TR TE'!$Z$57</f>
        <v>4.7572138003413755</v>
      </c>
      <c r="AA13" s="20">
        <f>SUM($Z$13:$Z$13)</f>
        <v>4.7572138003413755</v>
      </c>
      <c r="AB13" s="20">
        <f>SUMIF($L$4:$AA$4,"SUBTOTAL",$L$13:$AA$13)</f>
        <v>218.38173824959568</v>
      </c>
    </row>
    <row r="14" spans="1:29" ht="11.25" customHeight="1" x14ac:dyDescent="0.25">
      <c r="A14" s="118"/>
      <c r="B14" s="22" t="s">
        <v>90</v>
      </c>
      <c r="C14" s="22" t="s">
        <v>25</v>
      </c>
      <c r="D14" s="22" t="s">
        <v>25</v>
      </c>
      <c r="E14" s="22" t="s">
        <v>25</v>
      </c>
      <c r="F14" s="22" t="s">
        <v>25</v>
      </c>
      <c r="G14" s="23" t="s">
        <v>88</v>
      </c>
      <c r="H14" s="23" t="s">
        <v>82</v>
      </c>
      <c r="I14" s="23">
        <f>'MERCADO TE'!$U$11</f>
        <v>0</v>
      </c>
      <c r="J14" s="15"/>
      <c r="L14" s="20">
        <f>'TR TE'!$L$14*'TR TE'!$L$58</f>
        <v>2.3157126121942948</v>
      </c>
      <c r="M14" s="20">
        <f>'TR TE'!$M$14*'TR TE'!$M$58</f>
        <v>17.796756473610142</v>
      </c>
      <c r="N14" s="20">
        <f>'TR TE'!$N$14*'TR TE'!$N$58</f>
        <v>0</v>
      </c>
      <c r="O14" s="20">
        <f>'TR TE'!$O$14*'TR TE'!$O$58</f>
        <v>5.0291998178053463</v>
      </c>
      <c r="P14" s="20">
        <f>'TR TE'!$P$14*'TR TE'!$P$58</f>
        <v>-16.035655728433582</v>
      </c>
      <c r="Q14" s="20">
        <f>SUM($L$14:$P$14)</f>
        <v>9.1060131751761979</v>
      </c>
      <c r="R14" s="20">
        <f>'TR TE'!$R$14*'TR TE'!$R$58</f>
        <v>205.34603327581593</v>
      </c>
      <c r="S14" s="20">
        <f>SUM($R$14:$R$14)</f>
        <v>205.34603327581593</v>
      </c>
      <c r="T14" s="20">
        <f>'TR TE'!$T$14*'TR TE'!$T$58</f>
        <v>0</v>
      </c>
      <c r="U14" s="20">
        <f>'TR TE'!$U$14*'TR TE'!$U$58</f>
        <v>0</v>
      </c>
      <c r="V14" s="20">
        <f>'TR TE'!$V$14*'TR TE'!$V$58</f>
        <v>0</v>
      </c>
      <c r="W14" s="20">
        <f>SUM($T$14:$V$14)</f>
        <v>0</v>
      </c>
      <c r="X14" s="20"/>
      <c r="Y14" s="20">
        <f>SUM($X$14:$X$14)</f>
        <v>0</v>
      </c>
      <c r="Z14" s="20">
        <f>'TR TE'!$Z$14*'TR TE'!$Z$58</f>
        <v>4.7572138003413755</v>
      </c>
      <c r="AA14" s="20">
        <f>SUM($Z$14:$Z$14)</f>
        <v>4.7572138003413755</v>
      </c>
      <c r="AB14" s="20">
        <f>SUMIF($L$4:$AA$4,"SUBTOTAL",$L$14:$AA$14)</f>
        <v>219.20926025133349</v>
      </c>
    </row>
    <row r="15" spans="1:29" ht="11.25" customHeight="1" x14ac:dyDescent="0.25">
      <c r="A15" s="118"/>
      <c r="B15" s="22" t="s">
        <v>94</v>
      </c>
      <c r="C15" s="22" t="s">
        <v>25</v>
      </c>
      <c r="D15" s="22" t="s">
        <v>25</v>
      </c>
      <c r="E15" s="22" t="s">
        <v>93</v>
      </c>
      <c r="F15" s="22" t="s">
        <v>25</v>
      </c>
      <c r="G15" s="23" t="s">
        <v>88</v>
      </c>
      <c r="H15" s="23" t="s">
        <v>82</v>
      </c>
      <c r="I15" s="23">
        <f>'MERCADO TE'!$U$12</f>
        <v>0</v>
      </c>
      <c r="J15" s="15"/>
      <c r="L15" s="20">
        <f>'TR TE'!$L$57</f>
        <v>2.3157126121942948</v>
      </c>
      <c r="M15" s="20">
        <f>'TR TE'!$M$57</f>
        <v>17.796756473610142</v>
      </c>
      <c r="N15" s="20">
        <f>'TR TE'!$N$57</f>
        <v>0</v>
      </c>
      <c r="O15" s="20">
        <f>'TR TE'!$O$57</f>
        <v>5.0291998178053472</v>
      </c>
      <c r="P15" s="20">
        <f>'TR TE'!$P$57</f>
        <v>-16.035655728433586</v>
      </c>
      <c r="Q15" s="20">
        <f>SUM($L$15:$P$15)</f>
        <v>9.1060131751761979</v>
      </c>
      <c r="R15" s="20">
        <f>'TR TE'!$R$57</f>
        <v>204.51851127407809</v>
      </c>
      <c r="S15" s="20">
        <f>SUM($R$15:$R$15)</f>
        <v>204.51851127407809</v>
      </c>
      <c r="T15" s="20">
        <f>'TR TE'!$T$57</f>
        <v>0</v>
      </c>
      <c r="U15" s="20">
        <f>'TR TE'!$U$57</f>
        <v>0</v>
      </c>
      <c r="V15" s="20">
        <f>'TR TE'!$V$57</f>
        <v>0</v>
      </c>
      <c r="W15" s="20">
        <f>SUM($T$15:$V$15)</f>
        <v>0</v>
      </c>
      <c r="X15" s="20"/>
      <c r="Y15" s="20">
        <f>SUM($X$15:$X$15)</f>
        <v>0</v>
      </c>
      <c r="Z15" s="20">
        <f>'TR TE'!$Z$57</f>
        <v>4.7572138003413755</v>
      </c>
      <c r="AA15" s="20">
        <f>SUM($Z$15:$Z$15)</f>
        <v>4.7572138003413755</v>
      </c>
      <c r="AB15" s="20">
        <f>SUMIF($L$4:$AA$4,"SUBTOTAL",$L$15:$AA$15)</f>
        <v>218.38173824959568</v>
      </c>
    </row>
    <row r="16" spans="1:29" ht="11.25" customHeight="1" x14ac:dyDescent="0.25">
      <c r="A16" s="118"/>
      <c r="B16" s="22" t="s">
        <v>92</v>
      </c>
      <c r="C16" s="22" t="s">
        <v>25</v>
      </c>
      <c r="D16" s="22" t="s">
        <v>25</v>
      </c>
      <c r="E16" s="22" t="s">
        <v>25</v>
      </c>
      <c r="F16" s="22" t="s">
        <v>25</v>
      </c>
      <c r="G16" s="23" t="s">
        <v>88</v>
      </c>
      <c r="H16" s="23" t="s">
        <v>82</v>
      </c>
      <c r="I16" s="23">
        <f>'MERCADO TE'!$U$13</f>
        <v>10049.64</v>
      </c>
      <c r="J16" s="15"/>
      <c r="L16" s="20">
        <f>'TR TE'!$L$57</f>
        <v>2.3157126121942948</v>
      </c>
      <c r="M16" s="20">
        <v>0</v>
      </c>
      <c r="N16" s="20">
        <f>'TR TE'!$N$57</f>
        <v>0</v>
      </c>
      <c r="O16" s="20">
        <f>'TR TE'!$O$57</f>
        <v>5.0291998178053472</v>
      </c>
      <c r="P16" s="20">
        <f>'TR TE'!$P$57</f>
        <v>-16.035655728433586</v>
      </c>
      <c r="Q16" s="20">
        <f>SUM($L$16:$P$16)</f>
        <v>-8.6907432984339437</v>
      </c>
      <c r="R16" s="20">
        <f>'TR TE'!$R$57</f>
        <v>204.51851127407809</v>
      </c>
      <c r="S16" s="20">
        <f>SUM($R$16:$R$16)</f>
        <v>204.51851127407809</v>
      </c>
      <c r="T16" s="20">
        <f>'TR TE'!$T$57</f>
        <v>0</v>
      </c>
      <c r="U16" s="20">
        <f>'TR TE'!$U$57</f>
        <v>0</v>
      </c>
      <c r="V16" s="20">
        <f>'TR TE'!$V$57</f>
        <v>0</v>
      </c>
      <c r="W16" s="20">
        <f>SUM($T$16:$V$16)</f>
        <v>0</v>
      </c>
      <c r="X16" s="20"/>
      <c r="Y16" s="20">
        <f>SUM($X$16:$X$16)</f>
        <v>0</v>
      </c>
      <c r="Z16" s="20">
        <v>0</v>
      </c>
      <c r="AA16" s="20">
        <f>SUM($Z$16:$Z$16)</f>
        <v>0</v>
      </c>
      <c r="AB16" s="20">
        <f>SUMIF($L$4:$AA$4,"SUBTOTAL",$L$16:$AA$16)</f>
        <v>195.82776797564415</v>
      </c>
      <c r="AC16" s="80">
        <f>AB16+'TE BF'!AB16+'TE CVA'!AB16</f>
        <v>220.39434315508052</v>
      </c>
    </row>
    <row r="17" spans="1:28" ht="11.25" customHeight="1" x14ac:dyDescent="0.25">
      <c r="A17" s="118" t="s">
        <v>22</v>
      </c>
      <c r="B17" s="118" t="s">
        <v>81</v>
      </c>
      <c r="C17" s="118" t="s">
        <v>24</v>
      </c>
      <c r="D17" s="118" t="s">
        <v>24</v>
      </c>
      <c r="E17" s="118" t="s">
        <v>25</v>
      </c>
      <c r="F17" s="118" t="s">
        <v>25</v>
      </c>
      <c r="G17" s="23" t="s">
        <v>83</v>
      </c>
      <c r="H17" s="23" t="s">
        <v>82</v>
      </c>
      <c r="I17" s="23">
        <f>'MERCADO TE'!$U$14</f>
        <v>51.442999999999998</v>
      </c>
      <c r="J17" s="15"/>
      <c r="L17" s="20">
        <f>'TR TE'!$L$17*'TR TE'!$L$58</f>
        <v>2.3157126121942948</v>
      </c>
      <c r="M17" s="20">
        <f>'TR TE'!$M$17*'TR TE'!$M$58</f>
        <v>17.796756473610142</v>
      </c>
      <c r="N17" s="20">
        <f>'TR TE'!$N$17*'TR TE'!$N$58</f>
        <v>0</v>
      </c>
      <c r="O17" s="20">
        <f>'TR TE'!$O$17*'TR TE'!$O$58</f>
        <v>5.0291998178053463</v>
      </c>
      <c r="P17" s="20">
        <f>'TR TE'!$P$17*'TR TE'!$P$58</f>
        <v>-16.035655728433582</v>
      </c>
      <c r="Q17" s="20">
        <f>SUM($L$17:$P$17)</f>
        <v>9.1060131751761979</v>
      </c>
      <c r="R17" s="20">
        <f>'TR TE'!$R$17*'TR TE'!$R$58</f>
        <v>333.20299739094662</v>
      </c>
      <c r="S17" s="20">
        <f>SUM($R$17:$R$17)</f>
        <v>333.20299739094662</v>
      </c>
      <c r="T17" s="20">
        <f>'TR TE'!$T$17*'TR TE'!$T$58</f>
        <v>0</v>
      </c>
      <c r="U17" s="20">
        <f>'TR TE'!$U$17*'TR TE'!$U$58</f>
        <v>0</v>
      </c>
      <c r="V17" s="20">
        <f>'TR TE'!$V$17*'TR TE'!$V$58</f>
        <v>0</v>
      </c>
      <c r="W17" s="20">
        <f>SUM($T$17:$V$17)</f>
        <v>0</v>
      </c>
      <c r="X17" s="20"/>
      <c r="Y17" s="20">
        <f>SUM($X$17:$X$17)</f>
        <v>0</v>
      </c>
      <c r="Z17" s="20">
        <f>'TR TE'!$Z$17*'TR TE'!$Z$58</f>
        <v>4.7572138003413755</v>
      </c>
      <c r="AA17" s="20">
        <f>SUM($Z$17:$Z$17)</f>
        <v>4.7572138003413755</v>
      </c>
      <c r="AB17" s="20">
        <f>SUMIF($L$4:$AA$4,"SUBTOTAL",$L$17:$AA$17)</f>
        <v>347.06622436646421</v>
      </c>
    </row>
    <row r="18" spans="1:28" ht="11.25" customHeight="1" x14ac:dyDescent="0.25">
      <c r="A18" s="118"/>
      <c r="B18" s="118"/>
      <c r="C18" s="118"/>
      <c r="D18" s="118"/>
      <c r="E18" s="118"/>
      <c r="F18" s="118"/>
      <c r="G18" s="23" t="s">
        <v>98</v>
      </c>
      <c r="H18" s="23" t="s">
        <v>82</v>
      </c>
      <c r="I18" s="23">
        <f>'MERCADO TE'!$U$15</f>
        <v>16.948999999999998</v>
      </c>
      <c r="J18" s="15"/>
      <c r="L18" s="20">
        <f>'TR TE'!$L$18*'TR TE'!$L$58</f>
        <v>2.3157126121942948</v>
      </c>
      <c r="M18" s="20">
        <f>'TR TE'!$M$18*'TR TE'!$M$58</f>
        <v>17.796756473610142</v>
      </c>
      <c r="N18" s="20">
        <f>'TR TE'!$N$18*'TR TE'!$N$58</f>
        <v>0</v>
      </c>
      <c r="O18" s="20">
        <f>'TR TE'!$O$18*'TR TE'!$O$58</f>
        <v>5.0291998178053463</v>
      </c>
      <c r="P18" s="20">
        <f>'TR TE'!$P$18*'TR TE'!$P$58</f>
        <v>-16.035655728433582</v>
      </c>
      <c r="Q18" s="20">
        <f>SUM($L$18:$P$18)</f>
        <v>9.1060131751761979</v>
      </c>
      <c r="R18" s="20">
        <f>'TR TE'!$R$18*'TR TE'!$R$58</f>
        <v>193.72267290171314</v>
      </c>
      <c r="S18" s="20">
        <f>SUM($R$18:$R$18)</f>
        <v>193.72267290171314</v>
      </c>
      <c r="T18" s="20">
        <f>'TR TE'!$T$18*'TR TE'!$T$58</f>
        <v>0</v>
      </c>
      <c r="U18" s="20">
        <f>'TR TE'!$U$18*'TR TE'!$U$58</f>
        <v>0</v>
      </c>
      <c r="V18" s="20">
        <f>'TR TE'!$V$18*'TR TE'!$V$58</f>
        <v>0</v>
      </c>
      <c r="W18" s="20">
        <f>SUM($T$18:$V$18)</f>
        <v>0</v>
      </c>
      <c r="X18" s="20"/>
      <c r="Y18" s="20">
        <f>SUM($X$18:$X$18)</f>
        <v>0</v>
      </c>
      <c r="Z18" s="20">
        <f>'TR TE'!$Z$18*'TR TE'!$Z$58</f>
        <v>4.7572138003413755</v>
      </c>
      <c r="AA18" s="20">
        <f>SUM($Z$18:$Z$18)</f>
        <v>4.7572138003413755</v>
      </c>
      <c r="AB18" s="20">
        <f>SUMIF($L$4:$AA$4,"SUBTOTAL",$L$18:$AA$18)</f>
        <v>207.5858998772307</v>
      </c>
    </row>
    <row r="19" spans="1:28" ht="11.25" customHeight="1" x14ac:dyDescent="0.25">
      <c r="A19" s="118"/>
      <c r="B19" s="118"/>
      <c r="C19" s="118"/>
      <c r="D19" s="118"/>
      <c r="E19" s="118"/>
      <c r="F19" s="118"/>
      <c r="G19" s="23" t="s">
        <v>84</v>
      </c>
      <c r="H19" s="23" t="s">
        <v>82</v>
      </c>
      <c r="I19" s="23">
        <f>'MERCADO TE'!$U$16</f>
        <v>490.19600000000008</v>
      </c>
      <c r="J19" s="15"/>
      <c r="L19" s="20">
        <f>'TR TE'!$L$19*'TR TE'!$L$58</f>
        <v>2.3157126121942948</v>
      </c>
      <c r="M19" s="20">
        <f>'TR TE'!$M$19*'TR TE'!$M$58</f>
        <v>17.796756473610142</v>
      </c>
      <c r="N19" s="20">
        <f>'TR TE'!$N$19*'TR TE'!$N$58</f>
        <v>0</v>
      </c>
      <c r="O19" s="20">
        <f>'TR TE'!$O$19*'TR TE'!$O$58</f>
        <v>5.0291998178053463</v>
      </c>
      <c r="P19" s="20">
        <f>'TR TE'!$P$19*'TR TE'!$P$58</f>
        <v>-16.035655728433582</v>
      </c>
      <c r="Q19" s="20">
        <f>SUM($L$19:$P$19)</f>
        <v>9.1060131751761979</v>
      </c>
      <c r="R19" s="20">
        <f>'TR TE'!$R$19*'TR TE'!$R$58</f>
        <v>193.72267290171314</v>
      </c>
      <c r="S19" s="20">
        <f>SUM($R$19:$R$19)</f>
        <v>193.72267290171314</v>
      </c>
      <c r="T19" s="20">
        <f>'TR TE'!$T$19*'TR TE'!$T$58</f>
        <v>0</v>
      </c>
      <c r="U19" s="20">
        <f>'TR TE'!$U$19*'TR TE'!$U$58</f>
        <v>0</v>
      </c>
      <c r="V19" s="20">
        <f>'TR TE'!$V$19*'TR TE'!$V$58</f>
        <v>0</v>
      </c>
      <c r="W19" s="20">
        <f>SUM($T$19:$V$19)</f>
        <v>0</v>
      </c>
      <c r="X19" s="20"/>
      <c r="Y19" s="20">
        <f>SUM($X$19:$X$19)</f>
        <v>0</v>
      </c>
      <c r="Z19" s="20">
        <f>'TR TE'!$Z$19*'TR TE'!$Z$58</f>
        <v>4.7572138003413755</v>
      </c>
      <c r="AA19" s="20">
        <f>SUM($Z$19:$Z$19)</f>
        <v>4.7572138003413755</v>
      </c>
      <c r="AB19" s="20">
        <f>SUMIF($L$4:$AA$4,"SUBTOTAL",$L$19:$AA$19)</f>
        <v>207.5858998772307</v>
      </c>
    </row>
    <row r="20" spans="1:28" ht="11.25" customHeight="1" x14ac:dyDescent="0.25">
      <c r="A20" s="118"/>
      <c r="B20" s="118" t="s">
        <v>90</v>
      </c>
      <c r="C20" s="118" t="s">
        <v>24</v>
      </c>
      <c r="D20" s="22" t="s">
        <v>24</v>
      </c>
      <c r="E20" s="22" t="s">
        <v>25</v>
      </c>
      <c r="F20" s="22" t="s">
        <v>25</v>
      </c>
      <c r="G20" s="23" t="s">
        <v>88</v>
      </c>
      <c r="H20" s="23" t="s">
        <v>82</v>
      </c>
      <c r="I20" s="23">
        <f>'MERCADO TE'!$U$17</f>
        <v>441318.25</v>
      </c>
      <c r="J20" s="15"/>
      <c r="L20" s="20">
        <f>'TR TE'!$L$20*'TR TE'!$L$58</f>
        <v>2.3157126121942948</v>
      </c>
      <c r="M20" s="20">
        <f>'TR TE'!$M$20*'TR TE'!$M$58</f>
        <v>17.796756473610142</v>
      </c>
      <c r="N20" s="20">
        <f>'TR TE'!$N$20*'TR TE'!$N$58</f>
        <v>0</v>
      </c>
      <c r="O20" s="20">
        <f>'TR TE'!$O$20*'TR TE'!$O$58</f>
        <v>5.0291998178053463</v>
      </c>
      <c r="P20" s="20">
        <f>'TR TE'!$P$20*'TR TE'!$P$58</f>
        <v>-16.035655728433582</v>
      </c>
      <c r="Q20" s="20">
        <f>SUM($L$20:$P$20)</f>
        <v>9.1060131751761979</v>
      </c>
      <c r="R20" s="20">
        <f>'TR TE'!$R$20*'TR TE'!$R$58</f>
        <v>205.34603327581593</v>
      </c>
      <c r="S20" s="20">
        <f>SUM($R$20:$R$20)</f>
        <v>205.34603327581593</v>
      </c>
      <c r="T20" s="20">
        <f>'TR TE'!$T$20*'TR TE'!$T$58</f>
        <v>0</v>
      </c>
      <c r="U20" s="20">
        <f>'TR TE'!$U$20*'TR TE'!$U$58</f>
        <v>0</v>
      </c>
      <c r="V20" s="20">
        <f>'TR TE'!$V$20*'TR TE'!$V$58</f>
        <v>0</v>
      </c>
      <c r="W20" s="20">
        <f>SUM($T$20:$V$20)</f>
        <v>0</v>
      </c>
      <c r="X20" s="20"/>
      <c r="Y20" s="20">
        <f>SUM($X$20:$X$20)</f>
        <v>0</v>
      </c>
      <c r="Z20" s="20">
        <f>'TR TE'!$Z$20*'TR TE'!$Z$58</f>
        <v>4.7572138003413755</v>
      </c>
      <c r="AA20" s="20">
        <f>SUM($Z$20:$Z$20)</f>
        <v>4.7572138003413755</v>
      </c>
      <c r="AB20" s="20">
        <f>SUMIF($L$4:$AA$4,"SUBTOTAL",$L$20:$AA$20)</f>
        <v>219.20926025133349</v>
      </c>
    </row>
    <row r="21" spans="1:28" ht="11.25" customHeight="1" x14ac:dyDescent="0.25">
      <c r="A21" s="118"/>
      <c r="B21" s="118"/>
      <c r="C21" s="118"/>
      <c r="D21" s="22" t="s">
        <v>31</v>
      </c>
      <c r="E21" s="22" t="s">
        <v>25</v>
      </c>
      <c r="F21" s="22" t="s">
        <v>25</v>
      </c>
      <c r="G21" s="23" t="s">
        <v>88</v>
      </c>
      <c r="H21" s="23" t="s">
        <v>82</v>
      </c>
      <c r="I21" s="23">
        <f>'MERCADO TE'!$U$18</f>
        <v>23008.194</v>
      </c>
      <c r="J21" s="15"/>
      <c r="L21" s="20">
        <f>'TR TE'!$L$21*'TR TE'!$L$58</f>
        <v>2.3157126121942948</v>
      </c>
      <c r="M21" s="20">
        <f>'TR TE'!$M$21*'TR TE'!$M$58</f>
        <v>17.796756473610142</v>
      </c>
      <c r="N21" s="20">
        <f>'TR TE'!$N$21*'TR TE'!$N$58</f>
        <v>0</v>
      </c>
      <c r="O21" s="20">
        <f>'TR TE'!$O$21*'TR TE'!$O$58</f>
        <v>5.0291998178053463</v>
      </c>
      <c r="P21" s="20">
        <f>'TR TE'!$P$21*'TR TE'!$P$58</f>
        <v>-16.035655728433582</v>
      </c>
      <c r="Q21" s="20">
        <f>SUM($L$21:$P$21)</f>
        <v>9.1060131751761979</v>
      </c>
      <c r="R21" s="20">
        <f>'TR TE'!$R$21*'TR TE'!$R$58</f>
        <v>205.34603327581593</v>
      </c>
      <c r="S21" s="20">
        <f>SUM($R$21:$R$21)</f>
        <v>205.34603327581593</v>
      </c>
      <c r="T21" s="20">
        <f>'TR TE'!$T$21*'TR TE'!$T$58</f>
        <v>0</v>
      </c>
      <c r="U21" s="20">
        <f>'TR TE'!$U$21*'TR TE'!$U$58</f>
        <v>0</v>
      </c>
      <c r="V21" s="20">
        <f>'TR TE'!$V$21*'TR TE'!$V$58</f>
        <v>0</v>
      </c>
      <c r="W21" s="20">
        <f>SUM($T$21:$V$21)</f>
        <v>0</v>
      </c>
      <c r="X21" s="20"/>
      <c r="Y21" s="20">
        <f>SUM($X$21:$X$21)</f>
        <v>0</v>
      </c>
      <c r="Z21" s="20">
        <f>'TR TE'!$Z$21*'TR TE'!$Z$58</f>
        <v>4.7572138003413755</v>
      </c>
      <c r="AA21" s="20">
        <f>SUM($Z$21:$Z$21)</f>
        <v>4.7572138003413755</v>
      </c>
      <c r="AB21" s="20">
        <f>SUMIF($L$4:$AA$4,"SUBTOTAL",$L$21:$AA$21)</f>
        <v>219.20926025133349</v>
      </c>
    </row>
    <row r="22" spans="1:28" ht="11.25" customHeight="1" x14ac:dyDescent="0.25">
      <c r="A22" s="118"/>
      <c r="B22" s="118"/>
      <c r="C22" s="118"/>
      <c r="D22" s="22" t="s">
        <v>32</v>
      </c>
      <c r="E22" s="22" t="s">
        <v>25</v>
      </c>
      <c r="F22" s="22" t="s">
        <v>25</v>
      </c>
      <c r="G22" s="23" t="s">
        <v>88</v>
      </c>
      <c r="H22" s="23" t="s">
        <v>82</v>
      </c>
      <c r="I22" s="23">
        <f>'MERCADO TE'!$U$19</f>
        <v>43669.588000000003</v>
      </c>
      <c r="J22" s="15"/>
      <c r="L22" s="20">
        <f>'TR TE'!$L$22*'TR TE'!$L$58</f>
        <v>2.3157126121942948</v>
      </c>
      <c r="M22" s="20">
        <f>'TR TE'!$M$22*'TR TE'!$M$58</f>
        <v>17.796756473610142</v>
      </c>
      <c r="N22" s="20">
        <f>'TR TE'!$N$22*'TR TE'!$N$58</f>
        <v>0</v>
      </c>
      <c r="O22" s="20">
        <f>'TR TE'!$O$22*'TR TE'!$O$58</f>
        <v>5.0291998178053463</v>
      </c>
      <c r="P22" s="20">
        <f>'TR TE'!$P$22*'TR TE'!$P$58</f>
        <v>-16.035655728433582</v>
      </c>
      <c r="Q22" s="20">
        <f>SUM($L$22:$P$22)</f>
        <v>9.1060131751761979</v>
      </c>
      <c r="R22" s="20">
        <f>'TR TE'!$R$22*'TR TE'!$R$58</f>
        <v>205.34603327581593</v>
      </c>
      <c r="S22" s="20">
        <f>SUM($R$22:$R$22)</f>
        <v>205.34603327581593</v>
      </c>
      <c r="T22" s="20">
        <f>'TR TE'!$T$22*'TR TE'!$T$58</f>
        <v>0</v>
      </c>
      <c r="U22" s="20">
        <f>'TR TE'!$U$22*'TR TE'!$U$58</f>
        <v>0</v>
      </c>
      <c r="V22" s="20">
        <f>'TR TE'!$V$22*'TR TE'!$V$58</f>
        <v>0</v>
      </c>
      <c r="W22" s="20">
        <f>SUM($T$22:$V$22)</f>
        <v>0</v>
      </c>
      <c r="X22" s="20"/>
      <c r="Y22" s="20">
        <f>SUM($X$22:$X$22)</f>
        <v>0</v>
      </c>
      <c r="Z22" s="20">
        <f>'TR TE'!$Z$22*'TR TE'!$Z$58</f>
        <v>4.7572138003413755</v>
      </c>
      <c r="AA22" s="20">
        <f>SUM($Z$22:$Z$22)</f>
        <v>4.7572138003413755</v>
      </c>
      <c r="AB22" s="20">
        <f>SUMIF($L$4:$AA$4,"SUBTOTAL",$L$22:$AA$22)</f>
        <v>219.20926025133349</v>
      </c>
    </row>
    <row r="23" spans="1:28" ht="11.25" customHeight="1" x14ac:dyDescent="0.25">
      <c r="A23" s="118"/>
      <c r="B23" s="118"/>
      <c r="C23" s="118"/>
      <c r="D23" s="22" t="s">
        <v>33</v>
      </c>
      <c r="E23" s="22" t="s">
        <v>25</v>
      </c>
      <c r="F23" s="22" t="s">
        <v>25</v>
      </c>
      <c r="G23" s="23" t="s">
        <v>88</v>
      </c>
      <c r="H23" s="23" t="s">
        <v>82</v>
      </c>
      <c r="I23" s="23">
        <f>'MERCADO TE'!$U$20</f>
        <v>35563.447</v>
      </c>
      <c r="J23" s="15"/>
      <c r="L23" s="20">
        <f>'TR TE'!$L$23*'TR TE'!$L$58</f>
        <v>2.3157126121942948</v>
      </c>
      <c r="M23" s="20">
        <f>'TR TE'!$M$23*'TR TE'!$M$58</f>
        <v>17.796756473610142</v>
      </c>
      <c r="N23" s="20">
        <f>'TR TE'!$N$23*'TR TE'!$N$58</f>
        <v>0</v>
      </c>
      <c r="O23" s="20">
        <f>'TR TE'!$O$23*'TR TE'!$O$58</f>
        <v>5.0291998178053463</v>
      </c>
      <c r="P23" s="20">
        <f>'TR TE'!$P$23*'TR TE'!$P$58</f>
        <v>-16.035655728433582</v>
      </c>
      <c r="Q23" s="20">
        <f>SUM($L$23:$P$23)</f>
        <v>9.1060131751761979</v>
      </c>
      <c r="R23" s="20">
        <f>'TR TE'!$R$23*'TR TE'!$R$58</f>
        <v>205.34603327581593</v>
      </c>
      <c r="S23" s="20">
        <f>SUM($R$23:$R$23)</f>
        <v>205.34603327581593</v>
      </c>
      <c r="T23" s="20">
        <f>'TR TE'!$T$23*'TR TE'!$T$58</f>
        <v>0</v>
      </c>
      <c r="U23" s="20">
        <f>'TR TE'!$U$23*'TR TE'!$U$58</f>
        <v>0</v>
      </c>
      <c r="V23" s="20">
        <f>'TR TE'!$V$23*'TR TE'!$V$58</f>
        <v>0</v>
      </c>
      <c r="W23" s="20">
        <f>SUM($T$23:$V$23)</f>
        <v>0</v>
      </c>
      <c r="X23" s="20"/>
      <c r="Y23" s="20">
        <f>SUM($X$23:$X$23)</f>
        <v>0</v>
      </c>
      <c r="Z23" s="20">
        <f>'TR TE'!$Z$23*'TR TE'!$Z$58</f>
        <v>4.7572138003413755</v>
      </c>
      <c r="AA23" s="20">
        <f>SUM($Z$23:$Z$23)</f>
        <v>4.7572138003413755</v>
      </c>
      <c r="AB23" s="20">
        <f>SUMIF($L$4:$AA$4,"SUBTOTAL",$L$23:$AA$23)</f>
        <v>219.20926025133349</v>
      </c>
    </row>
    <row r="24" spans="1:28" ht="11.25" customHeight="1" x14ac:dyDescent="0.25">
      <c r="A24" s="118"/>
      <c r="B24" s="118"/>
      <c r="C24" s="118"/>
      <c r="D24" s="22" t="s">
        <v>34</v>
      </c>
      <c r="E24" s="22" t="s">
        <v>25</v>
      </c>
      <c r="F24" s="22" t="s">
        <v>25</v>
      </c>
      <c r="G24" s="23" t="s">
        <v>88</v>
      </c>
      <c r="H24" s="23" t="s">
        <v>82</v>
      </c>
      <c r="I24" s="23">
        <f>'MERCADO TE'!$U$21</f>
        <v>18122.502</v>
      </c>
      <c r="J24" s="15"/>
      <c r="L24" s="20">
        <f>'TR TE'!$L$24*'TR TE'!$L$58</f>
        <v>2.3157126121942948</v>
      </c>
      <c r="M24" s="20">
        <f>'TR TE'!$M$24*'TR TE'!$M$58</f>
        <v>17.796756473610142</v>
      </c>
      <c r="N24" s="20">
        <f>'TR TE'!$N$24*'TR TE'!$N$58</f>
        <v>0</v>
      </c>
      <c r="O24" s="20">
        <f>'TR TE'!$O$24*'TR TE'!$O$58</f>
        <v>5.0291998178053463</v>
      </c>
      <c r="P24" s="20">
        <f>'TR TE'!$P$24*'TR TE'!$P$58</f>
        <v>-16.035655728433582</v>
      </c>
      <c r="Q24" s="20">
        <f>SUM($L$24:$P$24)</f>
        <v>9.1060131751761979</v>
      </c>
      <c r="R24" s="20">
        <f>'TR TE'!$R$24*'TR TE'!$R$58</f>
        <v>205.34603327581593</v>
      </c>
      <c r="S24" s="20">
        <f>SUM($R$24:$R$24)</f>
        <v>205.34603327581593</v>
      </c>
      <c r="T24" s="20">
        <f>'TR TE'!$T$24*'TR TE'!$T$58</f>
        <v>0</v>
      </c>
      <c r="U24" s="20">
        <f>'TR TE'!$U$24*'TR TE'!$U$58</f>
        <v>0</v>
      </c>
      <c r="V24" s="20">
        <f>'TR TE'!$V$24*'TR TE'!$V$58</f>
        <v>0</v>
      </c>
      <c r="W24" s="20">
        <f>SUM($T$24:$V$24)</f>
        <v>0</v>
      </c>
      <c r="X24" s="20"/>
      <c r="Y24" s="20">
        <f>SUM($X$24:$X$24)</f>
        <v>0</v>
      </c>
      <c r="Z24" s="20">
        <f>'TR TE'!$Z$24*'TR TE'!$Z$58</f>
        <v>4.7572138003413755</v>
      </c>
      <c r="AA24" s="20">
        <f>SUM($Z$24:$Z$24)</f>
        <v>4.7572138003413755</v>
      </c>
      <c r="AB24" s="20">
        <f>SUMIF($L$4:$AA$4,"SUBTOTAL",$L$24:$AA$24)</f>
        <v>219.20926025133349</v>
      </c>
    </row>
    <row r="25" spans="1:28" ht="11.25" customHeight="1" x14ac:dyDescent="0.25">
      <c r="A25" s="118"/>
      <c r="B25" s="118" t="s">
        <v>99</v>
      </c>
      <c r="C25" s="118" t="s">
        <v>24</v>
      </c>
      <c r="D25" s="22" t="s">
        <v>24</v>
      </c>
      <c r="E25" s="22" t="s">
        <v>25</v>
      </c>
      <c r="F25" s="22" t="s">
        <v>25</v>
      </c>
      <c r="G25" s="23" t="s">
        <v>88</v>
      </c>
      <c r="H25" s="23" t="s">
        <v>82</v>
      </c>
      <c r="I25" s="23">
        <f>'MERCADO TE'!$U$22</f>
        <v>0</v>
      </c>
      <c r="J25" s="15"/>
      <c r="L25" s="20">
        <f>'TR TE'!$L$25*'TR TE'!$L$58</f>
        <v>2.3157126121942948</v>
      </c>
      <c r="M25" s="20">
        <f>'TR TE'!$M$25*'TR TE'!$M$58</f>
        <v>17.796756473610142</v>
      </c>
      <c r="N25" s="20">
        <f>'TR TE'!$N$25*'TR TE'!$N$58</f>
        <v>0</v>
      </c>
      <c r="O25" s="20">
        <f>'TR TE'!$O$25*'TR TE'!$O$58</f>
        <v>5.0291998178053463</v>
      </c>
      <c r="P25" s="20">
        <f>'TR TE'!$P$25*'TR TE'!$P$58</f>
        <v>-16.035655728433582</v>
      </c>
      <c r="Q25" s="20">
        <f>SUM($L$25:$P$25)</f>
        <v>9.1060131751761979</v>
      </c>
      <c r="R25" s="20">
        <f>'TR TE'!$R$25*'TR TE'!$R$58</f>
        <v>205.34603327581593</v>
      </c>
      <c r="S25" s="20">
        <f>SUM($R$25:$R$25)</f>
        <v>205.34603327581593</v>
      </c>
      <c r="T25" s="20">
        <f>'TR TE'!$T$25*'TR TE'!$T$58</f>
        <v>0</v>
      </c>
      <c r="U25" s="20">
        <f>'TR TE'!$U$25*'TR TE'!$U$58</f>
        <v>0</v>
      </c>
      <c r="V25" s="20">
        <f>'TR TE'!$V$25*'TR TE'!$V$58</f>
        <v>0</v>
      </c>
      <c r="W25" s="20">
        <f>SUM($T$25:$V$25)</f>
        <v>0</v>
      </c>
      <c r="X25" s="20"/>
      <c r="Y25" s="20">
        <f>SUM($X$25:$X$25)</f>
        <v>0</v>
      </c>
      <c r="Z25" s="20">
        <f>'TR TE'!$Z$25*'TR TE'!$Z$58</f>
        <v>4.7572138003413755</v>
      </c>
      <c r="AA25" s="20">
        <f>SUM($Z$25:$Z$25)</f>
        <v>4.7572138003413755</v>
      </c>
      <c r="AB25" s="20">
        <f>SUMIF($L$4:$AA$4,"SUBTOTAL",$L$25:$AA$25)</f>
        <v>219.20926025133349</v>
      </c>
    </row>
    <row r="26" spans="1:28" ht="11.25" customHeight="1" x14ac:dyDescent="0.25">
      <c r="A26" s="118"/>
      <c r="B26" s="118"/>
      <c r="C26" s="118"/>
      <c r="D26" s="22" t="s">
        <v>31</v>
      </c>
      <c r="E26" s="22" t="s">
        <v>25</v>
      </c>
      <c r="F26" s="22" t="s">
        <v>25</v>
      </c>
      <c r="G26" s="23" t="s">
        <v>88</v>
      </c>
      <c r="H26" s="23" t="s">
        <v>82</v>
      </c>
      <c r="I26" s="23">
        <f>'MERCADO TE'!$U$23</f>
        <v>0</v>
      </c>
      <c r="J26" s="15"/>
      <c r="L26" s="20">
        <f>'TR TE'!$L$26*'TR TE'!$L$58</f>
        <v>2.3157126121942948</v>
      </c>
      <c r="M26" s="20">
        <f>'TR TE'!$M$26*'TR TE'!$M$58</f>
        <v>17.796756473610142</v>
      </c>
      <c r="N26" s="20">
        <f>'TR TE'!$N$26*'TR TE'!$N$58</f>
        <v>0</v>
      </c>
      <c r="O26" s="20">
        <f>'TR TE'!$O$26*'TR TE'!$O$58</f>
        <v>5.0291998178053463</v>
      </c>
      <c r="P26" s="20">
        <f>'TR TE'!$P$26*'TR TE'!$P$58</f>
        <v>-16.035655728433582</v>
      </c>
      <c r="Q26" s="20">
        <f>SUM($L$26:$P$26)</f>
        <v>9.1060131751761979</v>
      </c>
      <c r="R26" s="20">
        <f>'TR TE'!$R$26*'TR TE'!$R$58</f>
        <v>205.34603327581593</v>
      </c>
      <c r="S26" s="20">
        <f>SUM($R$26:$R$26)</f>
        <v>205.34603327581593</v>
      </c>
      <c r="T26" s="20">
        <f>'TR TE'!$T$26*'TR TE'!$T$58</f>
        <v>0</v>
      </c>
      <c r="U26" s="20">
        <f>'TR TE'!$U$26*'TR TE'!$U$58</f>
        <v>0</v>
      </c>
      <c r="V26" s="20">
        <f>'TR TE'!$V$26*'TR TE'!$V$58</f>
        <v>0</v>
      </c>
      <c r="W26" s="20">
        <f>SUM($T$26:$V$26)</f>
        <v>0</v>
      </c>
      <c r="X26" s="20"/>
      <c r="Y26" s="20">
        <f>SUM($X$26:$X$26)</f>
        <v>0</v>
      </c>
      <c r="Z26" s="20">
        <f>'TR TE'!$Z$26*'TR TE'!$Z$58</f>
        <v>4.7572138003413755</v>
      </c>
      <c r="AA26" s="20">
        <f>SUM($Z$26:$Z$26)</f>
        <v>4.7572138003413755</v>
      </c>
      <c r="AB26" s="20">
        <f>SUMIF($L$4:$AA$4,"SUBTOTAL",$L$26:$AA$26)</f>
        <v>219.20926025133349</v>
      </c>
    </row>
    <row r="27" spans="1:28" ht="11.25" customHeight="1" x14ac:dyDescent="0.25">
      <c r="A27" s="118"/>
      <c r="B27" s="118"/>
      <c r="C27" s="118"/>
      <c r="D27" s="22" t="s">
        <v>32</v>
      </c>
      <c r="E27" s="22" t="s">
        <v>25</v>
      </c>
      <c r="F27" s="22" t="s">
        <v>25</v>
      </c>
      <c r="G27" s="23" t="s">
        <v>88</v>
      </c>
      <c r="H27" s="23" t="s">
        <v>82</v>
      </c>
      <c r="I27" s="23">
        <f>'MERCADO TE'!$U$24</f>
        <v>0</v>
      </c>
      <c r="J27" s="15"/>
      <c r="L27" s="20">
        <f>'TR TE'!$L$27*'TR TE'!$L$58</f>
        <v>2.3157126121942948</v>
      </c>
      <c r="M27" s="20">
        <f>'TR TE'!$M$27*'TR TE'!$M$58</f>
        <v>17.796756473610142</v>
      </c>
      <c r="N27" s="20">
        <f>'TR TE'!$N$27*'TR TE'!$N$58</f>
        <v>0</v>
      </c>
      <c r="O27" s="20">
        <f>'TR TE'!$O$27*'TR TE'!$O$58</f>
        <v>5.0291998178053463</v>
      </c>
      <c r="P27" s="20">
        <f>'TR TE'!$P$27*'TR TE'!$P$58</f>
        <v>-16.035655728433582</v>
      </c>
      <c r="Q27" s="20">
        <f>SUM($L$27:$P$27)</f>
        <v>9.1060131751761979</v>
      </c>
      <c r="R27" s="20">
        <f>'TR TE'!$R$27*'TR TE'!$R$58</f>
        <v>205.34603327581593</v>
      </c>
      <c r="S27" s="20">
        <f>SUM($R$27:$R$27)</f>
        <v>205.34603327581593</v>
      </c>
      <c r="T27" s="20">
        <f>'TR TE'!$T$27*'TR TE'!$T$58</f>
        <v>0</v>
      </c>
      <c r="U27" s="20">
        <f>'TR TE'!$U$27*'TR TE'!$U$58</f>
        <v>0</v>
      </c>
      <c r="V27" s="20">
        <f>'TR TE'!$V$27*'TR TE'!$V$58</f>
        <v>0</v>
      </c>
      <c r="W27" s="20">
        <f>SUM($T$27:$V$27)</f>
        <v>0</v>
      </c>
      <c r="X27" s="20"/>
      <c r="Y27" s="20">
        <f>SUM($X$27:$X$27)</f>
        <v>0</v>
      </c>
      <c r="Z27" s="20">
        <f>'TR TE'!$Z$27*'TR TE'!$Z$58</f>
        <v>4.7572138003413755</v>
      </c>
      <c r="AA27" s="20">
        <f>SUM($Z$27:$Z$27)</f>
        <v>4.7572138003413755</v>
      </c>
      <c r="AB27" s="20">
        <f>SUMIF($L$4:$AA$4,"SUBTOTAL",$L$27:$AA$27)</f>
        <v>219.20926025133349</v>
      </c>
    </row>
    <row r="28" spans="1:28" ht="11.25" customHeight="1" x14ac:dyDescent="0.25">
      <c r="A28" s="118"/>
      <c r="B28" s="118"/>
      <c r="C28" s="118"/>
      <c r="D28" s="22" t="s">
        <v>33</v>
      </c>
      <c r="E28" s="22" t="s">
        <v>25</v>
      </c>
      <c r="F28" s="22" t="s">
        <v>25</v>
      </c>
      <c r="G28" s="23" t="s">
        <v>88</v>
      </c>
      <c r="H28" s="23" t="s">
        <v>82</v>
      </c>
      <c r="I28" s="23">
        <f>'MERCADO TE'!$U$25</f>
        <v>0</v>
      </c>
      <c r="J28" s="15"/>
      <c r="L28" s="20">
        <f>'TR TE'!$L$28*'TR TE'!$L$58</f>
        <v>2.3157126121942948</v>
      </c>
      <c r="M28" s="20">
        <f>'TR TE'!$M$28*'TR TE'!$M$58</f>
        <v>17.796756473610142</v>
      </c>
      <c r="N28" s="20">
        <f>'TR TE'!$N$28*'TR TE'!$N$58</f>
        <v>0</v>
      </c>
      <c r="O28" s="20">
        <f>'TR TE'!$O$28*'TR TE'!$O$58</f>
        <v>5.0291998178053463</v>
      </c>
      <c r="P28" s="20">
        <f>'TR TE'!$P$28*'TR TE'!$P$58</f>
        <v>-16.035655728433582</v>
      </c>
      <c r="Q28" s="20">
        <f>SUM($L$28:$P$28)</f>
        <v>9.1060131751761979</v>
      </c>
      <c r="R28" s="20">
        <f>'TR TE'!$R$28*'TR TE'!$R$58</f>
        <v>205.34603327581593</v>
      </c>
      <c r="S28" s="20">
        <f>SUM($R$28:$R$28)</f>
        <v>205.34603327581593</v>
      </c>
      <c r="T28" s="20">
        <f>'TR TE'!$T$28*'TR TE'!$T$58</f>
        <v>0</v>
      </c>
      <c r="U28" s="20">
        <f>'TR TE'!$U$28*'TR TE'!$U$58</f>
        <v>0</v>
      </c>
      <c r="V28" s="20">
        <f>'TR TE'!$V$28*'TR TE'!$V$58</f>
        <v>0</v>
      </c>
      <c r="W28" s="20">
        <f>SUM($T$28:$V$28)</f>
        <v>0</v>
      </c>
      <c r="X28" s="20"/>
      <c r="Y28" s="20">
        <f>SUM($X$28:$X$28)</f>
        <v>0</v>
      </c>
      <c r="Z28" s="20">
        <f>'TR TE'!$Z$28*'TR TE'!$Z$58</f>
        <v>4.7572138003413755</v>
      </c>
      <c r="AA28" s="20">
        <f>SUM($Z$28:$Z$28)</f>
        <v>4.7572138003413755</v>
      </c>
      <c r="AB28" s="20">
        <f>SUMIF($L$4:$AA$4,"SUBTOTAL",$L$28:$AA$28)</f>
        <v>219.20926025133349</v>
      </c>
    </row>
    <row r="29" spans="1:28" ht="11.25" customHeight="1" x14ac:dyDescent="0.25">
      <c r="A29" s="118"/>
      <c r="B29" s="118"/>
      <c r="C29" s="118"/>
      <c r="D29" s="22" t="s">
        <v>34</v>
      </c>
      <c r="E29" s="22" t="s">
        <v>25</v>
      </c>
      <c r="F29" s="22" t="s">
        <v>25</v>
      </c>
      <c r="G29" s="23" t="s">
        <v>88</v>
      </c>
      <c r="H29" s="23" t="s">
        <v>82</v>
      </c>
      <c r="I29" s="23">
        <f>'MERCADO TE'!$U$26</f>
        <v>0</v>
      </c>
      <c r="J29" s="15"/>
      <c r="L29" s="20">
        <f>'TR TE'!$L$29*'TR TE'!$L$58</f>
        <v>2.3157126121942948</v>
      </c>
      <c r="M29" s="20">
        <f>'TR TE'!$M$29*'TR TE'!$M$58</f>
        <v>17.796756473610142</v>
      </c>
      <c r="N29" s="20">
        <f>'TR TE'!$N$29*'TR TE'!$N$58</f>
        <v>0</v>
      </c>
      <c r="O29" s="20">
        <f>'TR TE'!$O$29*'TR TE'!$O$58</f>
        <v>5.0291998178053463</v>
      </c>
      <c r="P29" s="20">
        <f>'TR TE'!$P$29*'TR TE'!$P$58</f>
        <v>-16.035655728433582</v>
      </c>
      <c r="Q29" s="20">
        <f>SUM($L$29:$P$29)</f>
        <v>9.1060131751761979</v>
      </c>
      <c r="R29" s="20">
        <f>'TR TE'!$R$29*'TR TE'!$R$58</f>
        <v>205.34603327581593</v>
      </c>
      <c r="S29" s="20">
        <f>SUM($R$29:$R$29)</f>
        <v>205.34603327581593</v>
      </c>
      <c r="T29" s="20">
        <f>'TR TE'!$T$29*'TR TE'!$T$58</f>
        <v>0</v>
      </c>
      <c r="U29" s="20">
        <f>'TR TE'!$U$29*'TR TE'!$U$58</f>
        <v>0</v>
      </c>
      <c r="V29" s="20">
        <f>'TR TE'!$V$29*'TR TE'!$V$58</f>
        <v>0</v>
      </c>
      <c r="W29" s="20">
        <f>SUM($T$29:$V$29)</f>
        <v>0</v>
      </c>
      <c r="X29" s="20"/>
      <c r="Y29" s="20">
        <f>SUM($X$29:$X$29)</f>
        <v>0</v>
      </c>
      <c r="Z29" s="20">
        <f>'TR TE'!$Z$29*'TR TE'!$Z$58</f>
        <v>4.7572138003413755</v>
      </c>
      <c r="AA29" s="20">
        <f>SUM($Z$29:$Z$29)</f>
        <v>4.7572138003413755</v>
      </c>
      <c r="AB29" s="20">
        <f>SUMIF($L$4:$AA$4,"SUBTOTAL",$L$29:$AA$29)</f>
        <v>219.20926025133349</v>
      </c>
    </row>
    <row r="30" spans="1:28" ht="11.25" customHeight="1" x14ac:dyDescent="0.25">
      <c r="A30" s="118" t="s">
        <v>46</v>
      </c>
      <c r="B30" s="118" t="s">
        <v>81</v>
      </c>
      <c r="C30" s="118" t="s">
        <v>47</v>
      </c>
      <c r="D30" s="118" t="s">
        <v>25</v>
      </c>
      <c r="E30" s="118" t="s">
        <v>25</v>
      </c>
      <c r="F30" s="118" t="s">
        <v>25</v>
      </c>
      <c r="G30" s="23" t="s">
        <v>83</v>
      </c>
      <c r="H30" s="23" t="s">
        <v>82</v>
      </c>
      <c r="I30" s="23">
        <f>'MERCADO TE'!$U$27</f>
        <v>3.4330000000000007</v>
      </c>
      <c r="J30" s="15"/>
      <c r="L30" s="20">
        <f>'TR TE'!$L$30*'TR TE'!$L$58</f>
        <v>2.3157126121942948</v>
      </c>
      <c r="M30" s="20">
        <f>'TR TE'!$M$30*'TR TE'!$M$58</f>
        <v>17.796756473610142</v>
      </c>
      <c r="N30" s="20">
        <f>'TR TE'!$N$30*'TR TE'!$N$58</f>
        <v>0</v>
      </c>
      <c r="O30" s="20">
        <f>'TR TE'!$O$30*'TR TE'!$O$58</f>
        <v>5.0291998178053463</v>
      </c>
      <c r="P30" s="20">
        <f>'TR TE'!$P$30*'TR TE'!$P$58</f>
        <v>-16.035655728433582</v>
      </c>
      <c r="Q30" s="20">
        <f>SUM($L$30:$P$30)</f>
        <v>9.1060131751761979</v>
      </c>
      <c r="R30" s="20">
        <f>'TR TE'!$R$30*'TR TE'!$R$58</f>
        <v>333.20299739094662</v>
      </c>
      <c r="S30" s="20">
        <f>SUM($R$30:$R$30)</f>
        <v>333.20299739094662</v>
      </c>
      <c r="T30" s="20">
        <f>'TR TE'!$T$30*'TR TE'!$T$58</f>
        <v>0</v>
      </c>
      <c r="U30" s="20">
        <f>'TR TE'!$U$30*'TR TE'!$U$58</f>
        <v>0</v>
      </c>
      <c r="V30" s="20">
        <f>'TR TE'!$V$30*'TR TE'!$V$58</f>
        <v>0</v>
      </c>
      <c r="W30" s="20">
        <f>SUM($T$30:$V$30)</f>
        <v>0</v>
      </c>
      <c r="X30" s="20"/>
      <c r="Y30" s="20">
        <f>SUM($X$30:$X$30)</f>
        <v>0</v>
      </c>
      <c r="Z30" s="20">
        <f>'TR TE'!$Z$30*'TR TE'!$Z$58</f>
        <v>4.7572138003413755</v>
      </c>
      <c r="AA30" s="20">
        <f>SUM($Z$30:$Z$30)</f>
        <v>4.7572138003413755</v>
      </c>
      <c r="AB30" s="20">
        <f>SUMIF($L$4:$AA$4,"SUBTOTAL",$L$30:$AA$30)</f>
        <v>347.06622436646421</v>
      </c>
    </row>
    <row r="31" spans="1:28" ht="11.25" customHeight="1" x14ac:dyDescent="0.25">
      <c r="A31" s="118"/>
      <c r="B31" s="118"/>
      <c r="C31" s="118"/>
      <c r="D31" s="118"/>
      <c r="E31" s="118"/>
      <c r="F31" s="118"/>
      <c r="G31" s="23" t="s">
        <v>98</v>
      </c>
      <c r="H31" s="23" t="s">
        <v>82</v>
      </c>
      <c r="I31" s="23">
        <f>'MERCADO TE'!$U$28</f>
        <v>0.54699999999999993</v>
      </c>
      <c r="J31" s="15"/>
      <c r="L31" s="20">
        <f>'TR TE'!$L$31*'TR TE'!$L$58</f>
        <v>2.3157126121942948</v>
      </c>
      <c r="M31" s="20">
        <f>'TR TE'!$M$31*'TR TE'!$M$58</f>
        <v>17.796756473610142</v>
      </c>
      <c r="N31" s="20">
        <f>'TR TE'!$N$31*'TR TE'!$N$58</f>
        <v>0</v>
      </c>
      <c r="O31" s="20">
        <f>'TR TE'!$O$31*'TR TE'!$O$58</f>
        <v>5.0291998178053463</v>
      </c>
      <c r="P31" s="20">
        <f>'TR TE'!$P$31*'TR TE'!$P$58</f>
        <v>-16.035655728433582</v>
      </c>
      <c r="Q31" s="20">
        <f>SUM($L$31:$P$31)</f>
        <v>9.1060131751761979</v>
      </c>
      <c r="R31" s="20">
        <f>'TR TE'!$R$31*'TR TE'!$R$58</f>
        <v>193.72267290171314</v>
      </c>
      <c r="S31" s="20">
        <f>SUM($R$31:$R$31)</f>
        <v>193.72267290171314</v>
      </c>
      <c r="T31" s="20">
        <f>'TR TE'!$T$31*'TR TE'!$T$58</f>
        <v>0</v>
      </c>
      <c r="U31" s="20">
        <f>'TR TE'!$U$31*'TR TE'!$U$58</f>
        <v>0</v>
      </c>
      <c r="V31" s="20">
        <f>'TR TE'!$V$31*'TR TE'!$V$58</f>
        <v>0</v>
      </c>
      <c r="W31" s="20">
        <f>SUM($T$31:$V$31)</f>
        <v>0</v>
      </c>
      <c r="X31" s="20"/>
      <c r="Y31" s="20">
        <f>SUM($X$31:$X$31)</f>
        <v>0</v>
      </c>
      <c r="Z31" s="20">
        <f>'TR TE'!$Z$31*'TR TE'!$Z$58</f>
        <v>4.7572138003413755</v>
      </c>
      <c r="AA31" s="20">
        <f>SUM($Z$31:$Z$31)</f>
        <v>4.7572138003413755</v>
      </c>
      <c r="AB31" s="20">
        <f>SUMIF($L$4:$AA$4,"SUBTOTAL",$L$31:$AA$31)</f>
        <v>207.5858998772307</v>
      </c>
    </row>
    <row r="32" spans="1:28" ht="11.25" customHeight="1" x14ac:dyDescent="0.25">
      <c r="A32" s="118"/>
      <c r="B32" s="118"/>
      <c r="C32" s="118"/>
      <c r="D32" s="118"/>
      <c r="E32" s="118"/>
      <c r="F32" s="118"/>
      <c r="G32" s="23" t="s">
        <v>84</v>
      </c>
      <c r="H32" s="23" t="s">
        <v>82</v>
      </c>
      <c r="I32" s="23">
        <f>'MERCADO TE'!$U$29</f>
        <v>73.387</v>
      </c>
      <c r="J32" s="15"/>
      <c r="L32" s="20">
        <f>'TR TE'!$L$32*'TR TE'!$L$58</f>
        <v>2.3157126121942948</v>
      </c>
      <c r="M32" s="20">
        <f>'TR TE'!$M$32*'TR TE'!$M$58</f>
        <v>17.796756473610142</v>
      </c>
      <c r="N32" s="20">
        <f>'TR TE'!$N$32*'TR TE'!$N$58</f>
        <v>0</v>
      </c>
      <c r="O32" s="20">
        <f>'TR TE'!$O$32*'TR TE'!$O$58</f>
        <v>5.0291998178053463</v>
      </c>
      <c r="P32" s="20">
        <f>'TR TE'!$P$32*'TR TE'!$P$58</f>
        <v>-16.035655728433582</v>
      </c>
      <c r="Q32" s="20">
        <f>SUM($L$32:$P$32)</f>
        <v>9.1060131751761979</v>
      </c>
      <c r="R32" s="20">
        <f>'TR TE'!$R$32*'TR TE'!$R$58</f>
        <v>193.72267290171314</v>
      </c>
      <c r="S32" s="20">
        <f>SUM($R$32:$R$32)</f>
        <v>193.72267290171314</v>
      </c>
      <c r="T32" s="20">
        <f>'TR TE'!$T$32*'TR TE'!$T$58</f>
        <v>0</v>
      </c>
      <c r="U32" s="20">
        <f>'TR TE'!$U$32*'TR TE'!$U$58</f>
        <v>0</v>
      </c>
      <c r="V32" s="20">
        <f>'TR TE'!$V$32*'TR TE'!$V$58</f>
        <v>0</v>
      </c>
      <c r="W32" s="20">
        <f>SUM($T$32:$V$32)</f>
        <v>0</v>
      </c>
      <c r="X32" s="20"/>
      <c r="Y32" s="20">
        <f>SUM($X$32:$X$32)</f>
        <v>0</v>
      </c>
      <c r="Z32" s="20">
        <f>'TR TE'!$Z$32*'TR TE'!$Z$58</f>
        <v>4.7572138003413755</v>
      </c>
      <c r="AA32" s="20">
        <f>SUM($Z$32:$Z$32)</f>
        <v>4.7572138003413755</v>
      </c>
      <c r="AB32" s="20">
        <f>SUMIF($L$4:$AA$4,"SUBTOTAL",$L$32:$AA$32)</f>
        <v>207.5858998772307</v>
      </c>
    </row>
    <row r="33" spans="1:28" ht="11.25" customHeight="1" x14ac:dyDescent="0.25">
      <c r="A33" s="118"/>
      <c r="B33" s="22" t="s">
        <v>90</v>
      </c>
      <c r="C33" s="22" t="s">
        <v>47</v>
      </c>
      <c r="D33" s="22" t="s">
        <v>25</v>
      </c>
      <c r="E33" s="22" t="s">
        <v>25</v>
      </c>
      <c r="F33" s="22" t="s">
        <v>25</v>
      </c>
      <c r="G33" s="23" t="s">
        <v>88</v>
      </c>
      <c r="H33" s="23" t="s">
        <v>82</v>
      </c>
      <c r="I33" s="23">
        <f>'MERCADO TE'!$U$30</f>
        <v>45841.400999999998</v>
      </c>
      <c r="J33" s="15"/>
      <c r="L33" s="20">
        <f>'TR TE'!$L$33*'TR TE'!$L$58</f>
        <v>2.3157126121942948</v>
      </c>
      <c r="M33" s="20">
        <f>'TR TE'!$M$33*'TR TE'!$M$58</f>
        <v>17.796756473610142</v>
      </c>
      <c r="N33" s="20">
        <f>'TR TE'!$N$33*'TR TE'!$N$58</f>
        <v>0</v>
      </c>
      <c r="O33" s="20">
        <f>'TR TE'!$O$33*'TR TE'!$O$58</f>
        <v>5.0291998178053463</v>
      </c>
      <c r="P33" s="20">
        <f>'TR TE'!$P$33*'TR TE'!$P$58</f>
        <v>-16.035655728433582</v>
      </c>
      <c r="Q33" s="20">
        <f>SUM($L$33:$P$33)</f>
        <v>9.1060131751761979</v>
      </c>
      <c r="R33" s="20">
        <f>'TR TE'!$R$33*'TR TE'!$R$58</f>
        <v>205.34603327581593</v>
      </c>
      <c r="S33" s="20">
        <f>SUM($R$33:$R$33)</f>
        <v>205.34603327581593</v>
      </c>
      <c r="T33" s="20">
        <f>'TR TE'!$T$33*'TR TE'!$T$58</f>
        <v>0</v>
      </c>
      <c r="U33" s="20">
        <f>'TR TE'!$U$33*'TR TE'!$U$58</f>
        <v>0</v>
      </c>
      <c r="V33" s="20">
        <f>'TR TE'!$V$33*'TR TE'!$V$58</f>
        <v>0</v>
      </c>
      <c r="W33" s="20">
        <f>SUM($T$33:$V$33)</f>
        <v>0</v>
      </c>
      <c r="X33" s="20"/>
      <c r="Y33" s="20">
        <f>SUM($X$33:$X$33)</f>
        <v>0</v>
      </c>
      <c r="Z33" s="20">
        <f>'TR TE'!$Z$33*'TR TE'!$Z$58</f>
        <v>4.7572138003413755</v>
      </c>
      <c r="AA33" s="20">
        <f>SUM($Z$33:$Z$33)</f>
        <v>4.7572138003413755</v>
      </c>
      <c r="AB33" s="20">
        <f>SUMIF($L$4:$AA$4,"SUBTOTAL",$L$33:$AA$33)</f>
        <v>219.20926025133349</v>
      </c>
    </row>
    <row r="34" spans="1:28" ht="11.25" customHeight="1" x14ac:dyDescent="0.25">
      <c r="A34" s="118"/>
      <c r="B34" s="118" t="s">
        <v>81</v>
      </c>
      <c r="C34" s="118" t="s">
        <v>47</v>
      </c>
      <c r="D34" s="118" t="s">
        <v>101</v>
      </c>
      <c r="E34" s="118" t="s">
        <v>25</v>
      </c>
      <c r="F34" s="118" t="s">
        <v>25</v>
      </c>
      <c r="G34" s="23" t="s">
        <v>83</v>
      </c>
      <c r="H34" s="23" t="s">
        <v>82</v>
      </c>
      <c r="I34" s="23">
        <f>'MERCADO TE'!$U$31</f>
        <v>0</v>
      </c>
      <c r="J34" s="15"/>
      <c r="L34" s="20">
        <f>'TR TE'!$L$34*'TR TE'!$L$58</f>
        <v>2.3157126121942948</v>
      </c>
      <c r="M34" s="20">
        <f>'TR TE'!$M$34*'TR TE'!$M$58</f>
        <v>17.796756473610142</v>
      </c>
      <c r="N34" s="20">
        <f>'TR TE'!$N$34*'TR TE'!$N$58</f>
        <v>0</v>
      </c>
      <c r="O34" s="20">
        <f>'TR TE'!$O$34*'TR TE'!$O$58</f>
        <v>5.0291998178053463</v>
      </c>
      <c r="P34" s="20">
        <f>'TR TE'!$P$34*'TR TE'!$P$58</f>
        <v>-16.035655728433582</v>
      </c>
      <c r="Q34" s="20">
        <f>SUM($L$34:$P$34)</f>
        <v>9.1060131751761979</v>
      </c>
      <c r="R34" s="20">
        <f>'TR TE'!$R$34*'TR TE'!$R$58</f>
        <v>333.20299739094662</v>
      </c>
      <c r="S34" s="20">
        <f>SUM($R$34:$R$34)</f>
        <v>333.20299739094662</v>
      </c>
      <c r="T34" s="20">
        <f>'TR TE'!$T$34*'TR TE'!$T$58</f>
        <v>0</v>
      </c>
      <c r="U34" s="20">
        <f>'TR TE'!$U$34*'TR TE'!$U$58</f>
        <v>0</v>
      </c>
      <c r="V34" s="20">
        <f>'TR TE'!$V$34*'TR TE'!$V$58</f>
        <v>0</v>
      </c>
      <c r="W34" s="20">
        <f>SUM($T$34:$V$34)</f>
        <v>0</v>
      </c>
      <c r="X34" s="20"/>
      <c r="Y34" s="20">
        <f>SUM($X$34:$X$34)</f>
        <v>0</v>
      </c>
      <c r="Z34" s="20">
        <f>'TR TE'!$Z$34*'TR TE'!$Z$58</f>
        <v>4.7572138003413755</v>
      </c>
      <c r="AA34" s="20">
        <f>SUM($Z$34:$Z$34)</f>
        <v>4.7572138003413755</v>
      </c>
      <c r="AB34" s="20">
        <f>SUMIF($L$4:$AA$4,"SUBTOTAL",$L$34:$AA$34)</f>
        <v>347.06622436646421</v>
      </c>
    </row>
    <row r="35" spans="1:28" ht="11.25" customHeight="1" x14ac:dyDescent="0.25">
      <c r="A35" s="118"/>
      <c r="B35" s="118"/>
      <c r="C35" s="118"/>
      <c r="D35" s="118"/>
      <c r="E35" s="118"/>
      <c r="F35" s="118"/>
      <c r="G35" s="23" t="s">
        <v>98</v>
      </c>
      <c r="H35" s="23" t="s">
        <v>82</v>
      </c>
      <c r="I35" s="23">
        <f>'MERCADO TE'!$U$32</f>
        <v>0</v>
      </c>
      <c r="J35" s="15"/>
      <c r="L35" s="20">
        <f>'TR TE'!$L$35*'TR TE'!$L$58</f>
        <v>2.3157126121942948</v>
      </c>
      <c r="M35" s="20">
        <f>'TR TE'!$M$35*'TR TE'!$M$58</f>
        <v>17.796756473610142</v>
      </c>
      <c r="N35" s="20">
        <f>'TR TE'!$N$35*'TR TE'!$N$58</f>
        <v>0</v>
      </c>
      <c r="O35" s="20">
        <f>'TR TE'!$O$35*'TR TE'!$O$58</f>
        <v>5.0291998178053463</v>
      </c>
      <c r="P35" s="20">
        <f>'TR TE'!$P$35*'TR TE'!$P$58</f>
        <v>-16.035655728433582</v>
      </c>
      <c r="Q35" s="20">
        <f>SUM($L$35:$P$35)</f>
        <v>9.1060131751761979</v>
      </c>
      <c r="R35" s="20">
        <f>'TR TE'!$R$35*'TR TE'!$R$58</f>
        <v>193.72267290171314</v>
      </c>
      <c r="S35" s="20">
        <f>SUM($R$35:$R$35)</f>
        <v>193.72267290171314</v>
      </c>
      <c r="T35" s="20">
        <f>'TR TE'!$T$35*'TR TE'!$T$58</f>
        <v>0</v>
      </c>
      <c r="U35" s="20">
        <f>'TR TE'!$U$35*'TR TE'!$U$58</f>
        <v>0</v>
      </c>
      <c r="V35" s="20">
        <f>'TR TE'!$V$35*'TR TE'!$V$58</f>
        <v>0</v>
      </c>
      <c r="W35" s="20">
        <f>SUM($T$35:$V$35)</f>
        <v>0</v>
      </c>
      <c r="X35" s="20"/>
      <c r="Y35" s="20">
        <f>SUM($X$35:$X$35)</f>
        <v>0</v>
      </c>
      <c r="Z35" s="20">
        <f>'TR TE'!$Z$35*'TR TE'!$Z$58</f>
        <v>4.7572138003413755</v>
      </c>
      <c r="AA35" s="20">
        <f>SUM($Z$35:$Z$35)</f>
        <v>4.7572138003413755</v>
      </c>
      <c r="AB35" s="20">
        <f>SUMIF($L$4:$AA$4,"SUBTOTAL",$L$35:$AA$35)</f>
        <v>207.5858998772307</v>
      </c>
    </row>
    <row r="36" spans="1:28" ht="11.25" customHeight="1" x14ac:dyDescent="0.25">
      <c r="A36" s="118"/>
      <c r="B36" s="118"/>
      <c r="C36" s="118"/>
      <c r="D36" s="118"/>
      <c r="E36" s="118"/>
      <c r="F36" s="118"/>
      <c r="G36" s="23" t="s">
        <v>84</v>
      </c>
      <c r="H36" s="23" t="s">
        <v>82</v>
      </c>
      <c r="I36" s="23">
        <f>'MERCADO TE'!$U$33</f>
        <v>0</v>
      </c>
      <c r="J36" s="15"/>
      <c r="L36" s="20">
        <f>'TR TE'!$L$36*'TR TE'!$L$58</f>
        <v>2.3157126121942948</v>
      </c>
      <c r="M36" s="20">
        <f>'TR TE'!$M$36*'TR TE'!$M$58</f>
        <v>17.796756473610142</v>
      </c>
      <c r="N36" s="20">
        <f>'TR TE'!$N$36*'TR TE'!$N$58</f>
        <v>0</v>
      </c>
      <c r="O36" s="20">
        <f>'TR TE'!$O$36*'TR TE'!$O$58</f>
        <v>5.0291998178053463</v>
      </c>
      <c r="P36" s="20">
        <f>'TR TE'!$P$36*'TR TE'!$P$58</f>
        <v>-16.035655728433582</v>
      </c>
      <c r="Q36" s="20">
        <f>SUM($L$36:$P$36)</f>
        <v>9.1060131751761979</v>
      </c>
      <c r="R36" s="20">
        <f>'TR TE'!$R$36*'TR TE'!$R$58</f>
        <v>193.72267290171314</v>
      </c>
      <c r="S36" s="20">
        <f>SUM($R$36:$R$36)</f>
        <v>193.72267290171314</v>
      </c>
      <c r="T36" s="20">
        <f>'TR TE'!$T$36*'TR TE'!$T$58</f>
        <v>0</v>
      </c>
      <c r="U36" s="20">
        <f>'TR TE'!$U$36*'TR TE'!$U$58</f>
        <v>0</v>
      </c>
      <c r="V36" s="20">
        <f>'TR TE'!$V$36*'TR TE'!$V$58</f>
        <v>0</v>
      </c>
      <c r="W36" s="20">
        <f>SUM($T$36:$V$36)</f>
        <v>0</v>
      </c>
      <c r="X36" s="20"/>
      <c r="Y36" s="20">
        <f>SUM($X$36:$X$36)</f>
        <v>0</v>
      </c>
      <c r="Z36" s="20">
        <f>'TR TE'!$Z$36*'TR TE'!$Z$58</f>
        <v>4.7572138003413755</v>
      </c>
      <c r="AA36" s="20">
        <f>SUM($Z$36:$Z$36)</f>
        <v>4.7572138003413755</v>
      </c>
      <c r="AB36" s="20">
        <f>SUMIF($L$4:$AA$4,"SUBTOTAL",$L$36:$AA$36)</f>
        <v>207.5858998772307</v>
      </c>
    </row>
    <row r="37" spans="1:28" ht="11.25" customHeight="1" x14ac:dyDescent="0.25">
      <c r="A37" s="118"/>
      <c r="B37" s="22" t="s">
        <v>90</v>
      </c>
      <c r="C37" s="22" t="s">
        <v>47</v>
      </c>
      <c r="D37" s="22" t="s">
        <v>101</v>
      </c>
      <c r="E37" s="22" t="s">
        <v>25</v>
      </c>
      <c r="F37" s="22" t="s">
        <v>25</v>
      </c>
      <c r="G37" s="23" t="s">
        <v>88</v>
      </c>
      <c r="H37" s="23" t="s">
        <v>82</v>
      </c>
      <c r="I37" s="23">
        <f>'MERCADO TE'!$U$34</f>
        <v>0</v>
      </c>
      <c r="J37" s="15"/>
      <c r="L37" s="20">
        <f>'TR TE'!$L$37*'TR TE'!$L$58</f>
        <v>2.3157126121942948</v>
      </c>
      <c r="M37" s="20">
        <f>'TR TE'!$M$37*'TR TE'!$M$58</f>
        <v>17.796756473610142</v>
      </c>
      <c r="N37" s="20">
        <f>'TR TE'!$N$37*'TR TE'!$N$58</f>
        <v>0</v>
      </c>
      <c r="O37" s="20">
        <f>'TR TE'!$O$37*'TR TE'!$O$58</f>
        <v>5.0291998178053463</v>
      </c>
      <c r="P37" s="20">
        <f>'TR TE'!$P$37*'TR TE'!$P$58</f>
        <v>-16.035655728433582</v>
      </c>
      <c r="Q37" s="20">
        <f>SUM($L$37:$P$37)</f>
        <v>9.1060131751761979</v>
      </c>
      <c r="R37" s="20">
        <f>'TR TE'!$R$37*'TR TE'!$R$58</f>
        <v>205.34603327581593</v>
      </c>
      <c r="S37" s="20">
        <f>SUM($R$37:$R$37)</f>
        <v>205.34603327581593</v>
      </c>
      <c r="T37" s="20">
        <f>'TR TE'!$T$37*'TR TE'!$T$58</f>
        <v>0</v>
      </c>
      <c r="U37" s="20">
        <f>'TR TE'!$U$37*'TR TE'!$U$58</f>
        <v>0</v>
      </c>
      <c r="V37" s="20">
        <f>'TR TE'!$V$37*'TR TE'!$V$58</f>
        <v>0</v>
      </c>
      <c r="W37" s="20">
        <f>SUM($T$37:$V$37)</f>
        <v>0</v>
      </c>
      <c r="X37" s="20"/>
      <c r="Y37" s="20">
        <f>SUM($X$37:$X$37)</f>
        <v>0</v>
      </c>
      <c r="Z37" s="20">
        <f>'TR TE'!$Z$37*'TR TE'!$Z$58</f>
        <v>4.7572138003413755</v>
      </c>
      <c r="AA37" s="20">
        <f>SUM($Z$37:$Z$37)</f>
        <v>4.7572138003413755</v>
      </c>
      <c r="AB37" s="20">
        <f>SUMIF($L$4:$AA$4,"SUBTOTAL",$L$37:$AA$37)</f>
        <v>219.20926025133349</v>
      </c>
    </row>
    <row r="38" spans="1:28" ht="11.25" customHeight="1" x14ac:dyDescent="0.25">
      <c r="A38" s="118"/>
      <c r="B38" s="118" t="s">
        <v>81</v>
      </c>
      <c r="C38" s="118" t="s">
        <v>47</v>
      </c>
      <c r="D38" s="118" t="s">
        <v>102</v>
      </c>
      <c r="E38" s="118" t="s">
        <v>25</v>
      </c>
      <c r="F38" s="118" t="s">
        <v>25</v>
      </c>
      <c r="G38" s="23" t="s">
        <v>83</v>
      </c>
      <c r="H38" s="23" t="s">
        <v>82</v>
      </c>
      <c r="I38" s="23">
        <f>'MERCADO TE'!$U$35</f>
        <v>0</v>
      </c>
      <c r="J38" s="15"/>
      <c r="L38" s="20">
        <f>'TR TE'!$L$38*'TR TE'!$L$58</f>
        <v>2.3157126121942948</v>
      </c>
      <c r="M38" s="20">
        <f>'TR TE'!$M$38*'TR TE'!$M$58</f>
        <v>17.796756473610142</v>
      </c>
      <c r="N38" s="20">
        <f>'TR TE'!$N$38*'TR TE'!$N$58</f>
        <v>0</v>
      </c>
      <c r="O38" s="20">
        <f>'TR TE'!$O$38*'TR TE'!$O$58</f>
        <v>5.0291998178053463</v>
      </c>
      <c r="P38" s="20">
        <f>'TR TE'!$P$38*'TR TE'!$P$58</f>
        <v>-16.035655728433582</v>
      </c>
      <c r="Q38" s="20">
        <f>SUM($L$38:$P$38)</f>
        <v>9.1060131751761979</v>
      </c>
      <c r="R38" s="20">
        <f>'TR TE'!$R$38*'TR TE'!$R$58</f>
        <v>333.20299739094662</v>
      </c>
      <c r="S38" s="20">
        <f>SUM($R$38:$R$38)</f>
        <v>333.20299739094662</v>
      </c>
      <c r="T38" s="20">
        <f>'TR TE'!$T$38*'TR TE'!$T$58</f>
        <v>0</v>
      </c>
      <c r="U38" s="20">
        <f>'TR TE'!$U$38*'TR TE'!$U$58</f>
        <v>0</v>
      </c>
      <c r="V38" s="20">
        <f>'TR TE'!$V$38*'TR TE'!$V$58</f>
        <v>0</v>
      </c>
      <c r="W38" s="20">
        <f>SUM($T$38:$V$38)</f>
        <v>0</v>
      </c>
      <c r="X38" s="20"/>
      <c r="Y38" s="20">
        <f>SUM($X$38:$X$38)</f>
        <v>0</v>
      </c>
      <c r="Z38" s="20">
        <f>'TR TE'!$Z$38*'TR TE'!$Z$58</f>
        <v>4.7572138003413755</v>
      </c>
      <c r="AA38" s="20">
        <f>SUM($Z$38:$Z$38)</f>
        <v>4.7572138003413755</v>
      </c>
      <c r="AB38" s="20">
        <f>SUMIF($L$4:$AA$4,"SUBTOTAL",$L$38:$AA$38)</f>
        <v>347.06622436646421</v>
      </c>
    </row>
    <row r="39" spans="1:28" ht="11.25" customHeight="1" x14ac:dyDescent="0.25">
      <c r="A39" s="118"/>
      <c r="B39" s="118"/>
      <c r="C39" s="118"/>
      <c r="D39" s="118"/>
      <c r="E39" s="118"/>
      <c r="F39" s="118"/>
      <c r="G39" s="23" t="s">
        <v>98</v>
      </c>
      <c r="H39" s="23" t="s">
        <v>82</v>
      </c>
      <c r="I39" s="23">
        <f>'MERCADO TE'!$U$36</f>
        <v>0</v>
      </c>
      <c r="J39" s="15"/>
      <c r="L39" s="20">
        <f>'TR TE'!$L$39*'TR TE'!$L$58</f>
        <v>2.3157126121942948</v>
      </c>
      <c r="M39" s="20">
        <f>'TR TE'!$M$39*'TR TE'!$M$58</f>
        <v>17.796756473610142</v>
      </c>
      <c r="N39" s="20">
        <f>'TR TE'!$N$39*'TR TE'!$N$58</f>
        <v>0</v>
      </c>
      <c r="O39" s="20">
        <f>'TR TE'!$O$39*'TR TE'!$O$58</f>
        <v>5.0291998178053463</v>
      </c>
      <c r="P39" s="20">
        <f>'TR TE'!$P$39*'TR TE'!$P$58</f>
        <v>-16.035655728433582</v>
      </c>
      <c r="Q39" s="20">
        <f>SUM($L$39:$P$39)</f>
        <v>9.1060131751761979</v>
      </c>
      <c r="R39" s="20">
        <f>'TR TE'!$R$39*'TR TE'!$R$58</f>
        <v>193.72267290171314</v>
      </c>
      <c r="S39" s="20">
        <f>SUM($R$39:$R$39)</f>
        <v>193.72267290171314</v>
      </c>
      <c r="T39" s="20">
        <f>'TR TE'!$T$39*'TR TE'!$T$58</f>
        <v>0</v>
      </c>
      <c r="U39" s="20">
        <f>'TR TE'!$U$39*'TR TE'!$U$58</f>
        <v>0</v>
      </c>
      <c r="V39" s="20">
        <f>'TR TE'!$V$39*'TR TE'!$V$58</f>
        <v>0</v>
      </c>
      <c r="W39" s="20">
        <f>SUM($T$39:$V$39)</f>
        <v>0</v>
      </c>
      <c r="X39" s="20"/>
      <c r="Y39" s="20">
        <f>SUM($X$39:$X$39)</f>
        <v>0</v>
      </c>
      <c r="Z39" s="20">
        <f>'TR TE'!$Z$39*'TR TE'!$Z$58</f>
        <v>4.7572138003413755</v>
      </c>
      <c r="AA39" s="20">
        <f>SUM($Z$39:$Z$39)</f>
        <v>4.7572138003413755</v>
      </c>
      <c r="AB39" s="20">
        <f>SUMIF($L$4:$AA$4,"SUBTOTAL",$L$39:$AA$39)</f>
        <v>207.5858998772307</v>
      </c>
    </row>
    <row r="40" spans="1:28" ht="11.25" customHeight="1" x14ac:dyDescent="0.25">
      <c r="A40" s="118"/>
      <c r="B40" s="118"/>
      <c r="C40" s="118"/>
      <c r="D40" s="118"/>
      <c r="E40" s="118"/>
      <c r="F40" s="118"/>
      <c r="G40" s="23" t="s">
        <v>84</v>
      </c>
      <c r="H40" s="23" t="s">
        <v>82</v>
      </c>
      <c r="I40" s="23">
        <f>'MERCADO TE'!$U$37</f>
        <v>0</v>
      </c>
      <c r="J40" s="15"/>
      <c r="L40" s="20">
        <f>'TR TE'!$L$40*'TR TE'!$L$58</f>
        <v>2.3157126121942948</v>
      </c>
      <c r="M40" s="20">
        <f>'TR TE'!$M$40*'TR TE'!$M$58</f>
        <v>17.796756473610142</v>
      </c>
      <c r="N40" s="20">
        <f>'TR TE'!$N$40*'TR TE'!$N$58</f>
        <v>0</v>
      </c>
      <c r="O40" s="20">
        <f>'TR TE'!$O$40*'TR TE'!$O$58</f>
        <v>5.0291998178053463</v>
      </c>
      <c r="P40" s="20">
        <f>'TR TE'!$P$40*'TR TE'!$P$58</f>
        <v>-16.035655728433582</v>
      </c>
      <c r="Q40" s="20">
        <f>SUM($L$40:$P$40)</f>
        <v>9.1060131751761979</v>
      </c>
      <c r="R40" s="20">
        <f>'TR TE'!$R$40*'TR TE'!$R$58</f>
        <v>193.72267290171314</v>
      </c>
      <c r="S40" s="20">
        <f>SUM($R$40:$R$40)</f>
        <v>193.72267290171314</v>
      </c>
      <c r="T40" s="20">
        <f>'TR TE'!$T$40*'TR TE'!$T$58</f>
        <v>0</v>
      </c>
      <c r="U40" s="20">
        <f>'TR TE'!$U$40*'TR TE'!$U$58</f>
        <v>0</v>
      </c>
      <c r="V40" s="20">
        <f>'TR TE'!$V$40*'TR TE'!$V$58</f>
        <v>0</v>
      </c>
      <c r="W40" s="20">
        <f>SUM($T$40:$V$40)</f>
        <v>0</v>
      </c>
      <c r="X40" s="20"/>
      <c r="Y40" s="20">
        <f>SUM($X$40:$X$40)</f>
        <v>0</v>
      </c>
      <c r="Z40" s="20">
        <f>'TR TE'!$Z$40*'TR TE'!$Z$58</f>
        <v>4.7572138003413755</v>
      </c>
      <c r="AA40" s="20">
        <f>SUM($Z$40:$Z$40)</f>
        <v>4.7572138003413755</v>
      </c>
      <c r="AB40" s="20">
        <f>SUMIF($L$4:$AA$4,"SUBTOTAL",$L$40:$AA$40)</f>
        <v>207.5858998772307</v>
      </c>
    </row>
    <row r="41" spans="1:28" ht="11.25" customHeight="1" x14ac:dyDescent="0.25">
      <c r="A41" s="118"/>
      <c r="B41" s="22" t="s">
        <v>90</v>
      </c>
      <c r="C41" s="22" t="s">
        <v>47</v>
      </c>
      <c r="D41" s="22" t="s">
        <v>102</v>
      </c>
      <c r="E41" s="22" t="s">
        <v>25</v>
      </c>
      <c r="F41" s="22" t="s">
        <v>25</v>
      </c>
      <c r="G41" s="23" t="s">
        <v>88</v>
      </c>
      <c r="H41" s="23" t="s">
        <v>82</v>
      </c>
      <c r="I41" s="23">
        <f>'MERCADO TE'!$U$38</f>
        <v>0</v>
      </c>
      <c r="J41" s="15"/>
      <c r="L41" s="20">
        <f>'TR TE'!$L$41*'TR TE'!$L$58</f>
        <v>2.3157126121942948</v>
      </c>
      <c r="M41" s="20">
        <f>'TR TE'!$M$41*'TR TE'!$M$58</f>
        <v>17.796756473610142</v>
      </c>
      <c r="N41" s="20">
        <f>'TR TE'!$N$41*'TR TE'!$N$58</f>
        <v>0</v>
      </c>
      <c r="O41" s="20">
        <f>'TR TE'!$O$41*'TR TE'!$O$58</f>
        <v>5.0291998178053463</v>
      </c>
      <c r="P41" s="20">
        <f>'TR TE'!$P$41*'TR TE'!$P$58</f>
        <v>-16.035655728433582</v>
      </c>
      <c r="Q41" s="20">
        <f>SUM($L$41:$P$41)</f>
        <v>9.1060131751761979</v>
      </c>
      <c r="R41" s="20">
        <f>'TR TE'!$R$41*'TR TE'!$R$58</f>
        <v>205.34603327581593</v>
      </c>
      <c r="S41" s="20">
        <f>SUM($R$41:$R$41)</f>
        <v>205.34603327581593</v>
      </c>
      <c r="T41" s="20">
        <f>'TR TE'!$T$41*'TR TE'!$T$58</f>
        <v>0</v>
      </c>
      <c r="U41" s="20">
        <f>'TR TE'!$U$41*'TR TE'!$U$58</f>
        <v>0</v>
      </c>
      <c r="V41" s="20">
        <f>'TR TE'!$V$41*'TR TE'!$V$58</f>
        <v>0</v>
      </c>
      <c r="W41" s="20">
        <f>SUM($T$41:$V$41)</f>
        <v>0</v>
      </c>
      <c r="X41" s="20"/>
      <c r="Y41" s="20">
        <f>SUM($X$41:$X$41)</f>
        <v>0</v>
      </c>
      <c r="Z41" s="20">
        <f>'TR TE'!$Z$41*'TR TE'!$Z$58</f>
        <v>4.7572138003413755</v>
      </c>
      <c r="AA41" s="20">
        <f>SUM($Z$41:$Z$41)</f>
        <v>4.7572138003413755</v>
      </c>
      <c r="AB41" s="20">
        <f>SUMIF($L$4:$AA$4,"SUBTOTAL",$L$41:$AA$41)</f>
        <v>219.20926025133349</v>
      </c>
    </row>
    <row r="42" spans="1:28" ht="11.25" customHeight="1" x14ac:dyDescent="0.25">
      <c r="A42" s="118"/>
      <c r="B42" s="118" t="s">
        <v>99</v>
      </c>
      <c r="C42" s="118" t="s">
        <v>47</v>
      </c>
      <c r="D42" s="22" t="s">
        <v>25</v>
      </c>
      <c r="E42" s="22" t="s">
        <v>25</v>
      </c>
      <c r="F42" s="22" t="s">
        <v>25</v>
      </c>
      <c r="G42" s="23" t="s">
        <v>88</v>
      </c>
      <c r="H42" s="23" t="s">
        <v>82</v>
      </c>
      <c r="I42" s="23">
        <f>'MERCADO TE'!$U$39</f>
        <v>0</v>
      </c>
      <c r="J42" s="15"/>
      <c r="L42" s="20">
        <f>'TR TE'!$L$42*'TR TE'!$L$58</f>
        <v>2.3157126121942948</v>
      </c>
      <c r="M42" s="20">
        <f>'TR TE'!$M$42*'TR TE'!$M$58</f>
        <v>17.796756473610142</v>
      </c>
      <c r="N42" s="20">
        <f>'TR TE'!$N$42*'TR TE'!$N$58</f>
        <v>0</v>
      </c>
      <c r="O42" s="20">
        <f>'TR TE'!$O$42*'TR TE'!$O$58</f>
        <v>5.0291998178053463</v>
      </c>
      <c r="P42" s="20">
        <f>'TR TE'!$P$42*'TR TE'!$P$58</f>
        <v>-16.035655728433582</v>
      </c>
      <c r="Q42" s="20">
        <f>SUM($L$42:$P$42)</f>
        <v>9.1060131751761979</v>
      </c>
      <c r="R42" s="20">
        <f>'TR TE'!$R$42*'TR TE'!$R$58</f>
        <v>205.34603327581593</v>
      </c>
      <c r="S42" s="20">
        <f>SUM($R$42:$R$42)</f>
        <v>205.34603327581593</v>
      </c>
      <c r="T42" s="20">
        <f>'TR TE'!$T$42*'TR TE'!$T$58</f>
        <v>0</v>
      </c>
      <c r="U42" s="20">
        <f>'TR TE'!$U$42*'TR TE'!$U$58</f>
        <v>0</v>
      </c>
      <c r="V42" s="20">
        <f>'TR TE'!$V$42*'TR TE'!$V$58</f>
        <v>0</v>
      </c>
      <c r="W42" s="20">
        <f>SUM($T$42:$V$42)</f>
        <v>0</v>
      </c>
      <c r="X42" s="20"/>
      <c r="Y42" s="20">
        <f>SUM($X$42:$X$42)</f>
        <v>0</v>
      </c>
      <c r="Z42" s="20">
        <f>'TR TE'!$Z$42*'TR TE'!$Z$58</f>
        <v>4.7572138003413755</v>
      </c>
      <c r="AA42" s="20">
        <f>SUM($Z$42:$Z$42)</f>
        <v>4.7572138003413755</v>
      </c>
      <c r="AB42" s="20">
        <f>SUMIF($L$4:$AA$4,"SUBTOTAL",$L$42:$AA$42)</f>
        <v>219.20926025133349</v>
      </c>
    </row>
    <row r="43" spans="1:28" ht="11.25" customHeight="1" x14ac:dyDescent="0.25">
      <c r="A43" s="118"/>
      <c r="B43" s="118"/>
      <c r="C43" s="118"/>
      <c r="D43" s="22" t="s">
        <v>101</v>
      </c>
      <c r="E43" s="22" t="s">
        <v>25</v>
      </c>
      <c r="F43" s="22" t="s">
        <v>25</v>
      </c>
      <c r="G43" s="23" t="s">
        <v>88</v>
      </c>
      <c r="H43" s="23" t="s">
        <v>82</v>
      </c>
      <c r="I43" s="23">
        <f>'MERCADO TE'!$U$40</f>
        <v>0</v>
      </c>
      <c r="J43" s="15"/>
      <c r="L43" s="20">
        <f>'TR TE'!$L$43*'TR TE'!$L$58</f>
        <v>2.3157126121942948</v>
      </c>
      <c r="M43" s="20">
        <f>'TR TE'!$M$43*'TR TE'!$M$58</f>
        <v>17.796756473610142</v>
      </c>
      <c r="N43" s="20">
        <f>'TR TE'!$N$43*'TR TE'!$N$58</f>
        <v>0</v>
      </c>
      <c r="O43" s="20">
        <f>'TR TE'!$O$43*'TR TE'!$O$58</f>
        <v>5.0291998178053463</v>
      </c>
      <c r="P43" s="20">
        <f>'TR TE'!$P$43*'TR TE'!$P$58</f>
        <v>-16.035655728433582</v>
      </c>
      <c r="Q43" s="20">
        <f>SUM($L$43:$P$43)</f>
        <v>9.1060131751761979</v>
      </c>
      <c r="R43" s="20">
        <f>'TR TE'!$R$43*'TR TE'!$R$58</f>
        <v>205.34603327581593</v>
      </c>
      <c r="S43" s="20">
        <f>SUM($R$43:$R$43)</f>
        <v>205.34603327581593</v>
      </c>
      <c r="T43" s="20">
        <f>'TR TE'!$T$43*'TR TE'!$T$58</f>
        <v>0</v>
      </c>
      <c r="U43" s="20">
        <f>'TR TE'!$U$43*'TR TE'!$U$58</f>
        <v>0</v>
      </c>
      <c r="V43" s="20">
        <f>'TR TE'!$V$43*'TR TE'!$V$58</f>
        <v>0</v>
      </c>
      <c r="W43" s="20">
        <f>SUM($T$43:$V$43)</f>
        <v>0</v>
      </c>
      <c r="X43" s="20"/>
      <c r="Y43" s="20">
        <f>SUM($X$43:$X$43)</f>
        <v>0</v>
      </c>
      <c r="Z43" s="20">
        <f>'TR TE'!$Z$43*'TR TE'!$Z$58</f>
        <v>4.7572138003413755</v>
      </c>
      <c r="AA43" s="20">
        <f>SUM($Z$43:$Z$43)</f>
        <v>4.7572138003413755</v>
      </c>
      <c r="AB43" s="20">
        <f>SUMIF($L$4:$AA$4,"SUBTOTAL",$L$43:$AA$43)</f>
        <v>219.20926025133349</v>
      </c>
    </row>
    <row r="44" spans="1:28" ht="11.25" customHeight="1" x14ac:dyDescent="0.25">
      <c r="A44" s="118"/>
      <c r="B44" s="118"/>
      <c r="C44" s="118"/>
      <c r="D44" s="22" t="s">
        <v>102</v>
      </c>
      <c r="E44" s="22" t="s">
        <v>25</v>
      </c>
      <c r="F44" s="22" t="s">
        <v>25</v>
      </c>
      <c r="G44" s="23" t="s">
        <v>88</v>
      </c>
      <c r="H44" s="23" t="s">
        <v>82</v>
      </c>
      <c r="I44" s="23">
        <f>'MERCADO TE'!$U$41</f>
        <v>0</v>
      </c>
      <c r="J44" s="15"/>
      <c r="L44" s="20">
        <f>'TR TE'!$L$44*'TR TE'!$L$58</f>
        <v>2.3157126121942948</v>
      </c>
      <c r="M44" s="20">
        <f>'TR TE'!$M$44*'TR TE'!$M$58</f>
        <v>17.796756473610142</v>
      </c>
      <c r="N44" s="20">
        <f>'TR TE'!$N$44*'TR TE'!$N$58</f>
        <v>0</v>
      </c>
      <c r="O44" s="20">
        <f>'TR TE'!$O$44*'TR TE'!$O$58</f>
        <v>5.0291998178053463</v>
      </c>
      <c r="P44" s="20">
        <f>'TR TE'!$P$44*'TR TE'!$P$58</f>
        <v>-16.035655728433582</v>
      </c>
      <c r="Q44" s="20">
        <f>SUM($L$44:$P$44)</f>
        <v>9.1060131751761979</v>
      </c>
      <c r="R44" s="20">
        <f>'TR TE'!$R$44*'TR TE'!$R$58</f>
        <v>205.34603327581593</v>
      </c>
      <c r="S44" s="20">
        <f>SUM($R$44:$R$44)</f>
        <v>205.34603327581593</v>
      </c>
      <c r="T44" s="20">
        <f>'TR TE'!$T$44*'TR TE'!$T$58</f>
        <v>0</v>
      </c>
      <c r="U44" s="20">
        <f>'TR TE'!$U$44*'TR TE'!$U$58</f>
        <v>0</v>
      </c>
      <c r="V44" s="20">
        <f>'TR TE'!$V$44*'TR TE'!$V$58</f>
        <v>0</v>
      </c>
      <c r="W44" s="20">
        <f>SUM($T$44:$V$44)</f>
        <v>0</v>
      </c>
      <c r="X44" s="20"/>
      <c r="Y44" s="20">
        <f>SUM($X$44:$X$44)</f>
        <v>0</v>
      </c>
      <c r="Z44" s="20">
        <f>'TR TE'!$Z$44*'TR TE'!$Z$58</f>
        <v>4.7572138003413755</v>
      </c>
      <c r="AA44" s="20">
        <f>SUM($Z$44:$Z$44)</f>
        <v>4.7572138003413755</v>
      </c>
      <c r="AB44" s="20">
        <f>SUMIF($L$4:$AA$4,"SUBTOTAL",$L$44:$AA$44)</f>
        <v>219.20926025133349</v>
      </c>
    </row>
    <row r="45" spans="1:28" ht="11.25" customHeight="1" x14ac:dyDescent="0.25">
      <c r="A45" s="118" t="s">
        <v>39</v>
      </c>
      <c r="B45" s="118" t="s">
        <v>81</v>
      </c>
      <c r="C45" s="118" t="s">
        <v>25</v>
      </c>
      <c r="D45" s="118" t="s">
        <v>25</v>
      </c>
      <c r="E45" s="118" t="s">
        <v>25</v>
      </c>
      <c r="F45" s="118" t="s">
        <v>25</v>
      </c>
      <c r="G45" s="23" t="s">
        <v>83</v>
      </c>
      <c r="H45" s="23" t="s">
        <v>82</v>
      </c>
      <c r="I45" s="23">
        <f>'MERCADO TE'!$U$42</f>
        <v>79.968999999999994</v>
      </c>
      <c r="J45" s="15"/>
      <c r="L45" s="20">
        <f>'TR TE'!$L$45*'TR TE'!$L$58</f>
        <v>2.3157126121942948</v>
      </c>
      <c r="M45" s="20">
        <f>'TR TE'!$M$45*'TR TE'!$M$58</f>
        <v>17.796756473610142</v>
      </c>
      <c r="N45" s="20">
        <f>'TR TE'!$N$45*'TR TE'!$N$58</f>
        <v>0</v>
      </c>
      <c r="O45" s="20">
        <f>'TR TE'!$O$45*'TR TE'!$O$58</f>
        <v>5.0291998178053463</v>
      </c>
      <c r="P45" s="20">
        <f>'TR TE'!$P$45*'TR TE'!$P$58</f>
        <v>-16.035655728433582</v>
      </c>
      <c r="Q45" s="20">
        <f>SUM($L$45:$P$45)</f>
        <v>9.1060131751761979</v>
      </c>
      <c r="R45" s="20">
        <f>'TR TE'!$R$45*'TR TE'!$R$58</f>
        <v>333.20299739094662</v>
      </c>
      <c r="S45" s="20">
        <f>SUM($R$45:$R$45)</f>
        <v>333.20299739094662</v>
      </c>
      <c r="T45" s="20">
        <f>'TR TE'!$T$45*'TR TE'!$T$58</f>
        <v>0</v>
      </c>
      <c r="U45" s="20">
        <f>'TR TE'!$U$45*'TR TE'!$U$58</f>
        <v>0</v>
      </c>
      <c r="V45" s="20">
        <f>'TR TE'!$V$45*'TR TE'!$V$58</f>
        <v>0</v>
      </c>
      <c r="W45" s="20">
        <f>SUM($T$45:$V$45)</f>
        <v>0</v>
      </c>
      <c r="X45" s="20"/>
      <c r="Y45" s="20">
        <f>SUM($X$45:$X$45)</f>
        <v>0</v>
      </c>
      <c r="Z45" s="20">
        <f>'TR TE'!$Z$45*'TR TE'!$Z$58</f>
        <v>4.7572138003413755</v>
      </c>
      <c r="AA45" s="20">
        <f>SUM($Z$45:$Z$45)</f>
        <v>4.7572138003413755</v>
      </c>
      <c r="AB45" s="20">
        <f>SUMIF($L$4:$AA$4,"SUBTOTAL",$L$45:$AA$45)</f>
        <v>347.06622436646421</v>
      </c>
    </row>
    <row r="46" spans="1:28" ht="11.25" customHeight="1" x14ac:dyDescent="0.25">
      <c r="A46" s="118"/>
      <c r="B46" s="118"/>
      <c r="C46" s="118"/>
      <c r="D46" s="118"/>
      <c r="E46" s="118"/>
      <c r="F46" s="118"/>
      <c r="G46" s="23" t="s">
        <v>98</v>
      </c>
      <c r="H46" s="23" t="s">
        <v>82</v>
      </c>
      <c r="I46" s="23">
        <f>'MERCADO TE'!$U$43</f>
        <v>41.695999999999998</v>
      </c>
      <c r="J46" s="15"/>
      <c r="L46" s="20">
        <f>'TR TE'!$L$46*'TR TE'!$L$58</f>
        <v>2.3157126121942948</v>
      </c>
      <c r="M46" s="20">
        <f>'TR TE'!$M$46*'TR TE'!$M$58</f>
        <v>17.796756473610142</v>
      </c>
      <c r="N46" s="20">
        <f>'TR TE'!$N$46*'TR TE'!$N$58</f>
        <v>0</v>
      </c>
      <c r="O46" s="20">
        <f>'TR TE'!$O$46*'TR TE'!$O$58</f>
        <v>5.0291998178053463</v>
      </c>
      <c r="P46" s="20">
        <f>'TR TE'!$P$46*'TR TE'!$P$58</f>
        <v>-16.035655728433582</v>
      </c>
      <c r="Q46" s="20">
        <f>SUM($L$46:$P$46)</f>
        <v>9.1060131751761979</v>
      </c>
      <c r="R46" s="20">
        <f>'TR TE'!$R$46*'TR TE'!$R$58</f>
        <v>193.72267290171314</v>
      </c>
      <c r="S46" s="20">
        <f>SUM($R$46:$R$46)</f>
        <v>193.72267290171314</v>
      </c>
      <c r="T46" s="20">
        <f>'TR TE'!$T$46*'TR TE'!$T$58</f>
        <v>0</v>
      </c>
      <c r="U46" s="20">
        <f>'TR TE'!$U$46*'TR TE'!$U$58</f>
        <v>0</v>
      </c>
      <c r="V46" s="20">
        <f>'TR TE'!$V$46*'TR TE'!$V$58</f>
        <v>0</v>
      </c>
      <c r="W46" s="20">
        <f>SUM($T$46:$V$46)</f>
        <v>0</v>
      </c>
      <c r="X46" s="20"/>
      <c r="Y46" s="20">
        <f>SUM($X$46:$X$46)</f>
        <v>0</v>
      </c>
      <c r="Z46" s="20">
        <f>'TR TE'!$Z$46*'TR TE'!$Z$58</f>
        <v>4.7572138003413755</v>
      </c>
      <c r="AA46" s="20">
        <f>SUM($Z$46:$Z$46)</f>
        <v>4.7572138003413755</v>
      </c>
      <c r="AB46" s="20">
        <f>SUMIF($L$4:$AA$4,"SUBTOTAL",$L$46:$AA$46)</f>
        <v>207.5858998772307</v>
      </c>
    </row>
    <row r="47" spans="1:28" ht="11.25" customHeight="1" x14ac:dyDescent="0.25">
      <c r="A47" s="118"/>
      <c r="B47" s="118"/>
      <c r="C47" s="118"/>
      <c r="D47" s="118"/>
      <c r="E47" s="118"/>
      <c r="F47" s="118"/>
      <c r="G47" s="23" t="s">
        <v>84</v>
      </c>
      <c r="H47" s="23" t="s">
        <v>82</v>
      </c>
      <c r="I47" s="23">
        <f>'MERCADO TE'!$U$44</f>
        <v>1338.2650000000001</v>
      </c>
      <c r="J47" s="15"/>
      <c r="L47" s="20">
        <f>'TR TE'!$L$47*'TR TE'!$L$58</f>
        <v>2.3157126121942948</v>
      </c>
      <c r="M47" s="20">
        <f>'TR TE'!$M$47*'TR TE'!$M$58</f>
        <v>17.796756473610142</v>
      </c>
      <c r="N47" s="20">
        <f>'TR TE'!$N$47*'TR TE'!$N$58</f>
        <v>0</v>
      </c>
      <c r="O47" s="20">
        <f>'TR TE'!$O$47*'TR TE'!$O$58</f>
        <v>5.0291998178053463</v>
      </c>
      <c r="P47" s="20">
        <f>'TR TE'!$P$47*'TR TE'!$P$58</f>
        <v>-16.035655728433582</v>
      </c>
      <c r="Q47" s="20">
        <f>SUM($L$47:$P$47)</f>
        <v>9.1060131751761979</v>
      </c>
      <c r="R47" s="20">
        <f>'TR TE'!$R$47*'TR TE'!$R$58</f>
        <v>193.72267290171314</v>
      </c>
      <c r="S47" s="20">
        <f>SUM($R$47:$R$47)</f>
        <v>193.72267290171314</v>
      </c>
      <c r="T47" s="20">
        <f>'TR TE'!$T$47*'TR TE'!$T$58</f>
        <v>0</v>
      </c>
      <c r="U47" s="20">
        <f>'TR TE'!$U$47*'TR TE'!$U$58</f>
        <v>0</v>
      </c>
      <c r="V47" s="20">
        <f>'TR TE'!$V$47*'TR TE'!$V$58</f>
        <v>0</v>
      </c>
      <c r="W47" s="20">
        <f>SUM($T$47:$V$47)</f>
        <v>0</v>
      </c>
      <c r="X47" s="20"/>
      <c r="Y47" s="20">
        <f>SUM($X$47:$X$47)</f>
        <v>0</v>
      </c>
      <c r="Z47" s="20">
        <f>'TR TE'!$Z$47*'TR TE'!$Z$58</f>
        <v>4.7572138003413755</v>
      </c>
      <c r="AA47" s="20">
        <f>SUM($Z$47:$Z$47)</f>
        <v>4.7572138003413755</v>
      </c>
      <c r="AB47" s="20">
        <f>SUMIF($L$4:$AA$4,"SUBTOTAL",$L$47:$AA$47)</f>
        <v>207.5858998772307</v>
      </c>
    </row>
    <row r="48" spans="1:28" ht="11.25" customHeight="1" x14ac:dyDescent="0.25">
      <c r="A48" s="118"/>
      <c r="B48" s="22" t="s">
        <v>90</v>
      </c>
      <c r="C48" s="22" t="s">
        <v>25</v>
      </c>
      <c r="D48" s="22" t="s">
        <v>25</v>
      </c>
      <c r="E48" s="22" t="s">
        <v>25</v>
      </c>
      <c r="F48" s="22" t="s">
        <v>25</v>
      </c>
      <c r="G48" s="23" t="s">
        <v>88</v>
      </c>
      <c r="H48" s="23" t="s">
        <v>82</v>
      </c>
      <c r="I48" s="23">
        <f>'MERCADO TE'!$U$45</f>
        <v>209665.67300000001</v>
      </c>
      <c r="J48" s="15"/>
      <c r="L48" s="20">
        <f>'TR TE'!$L$48*'TR TE'!$L$58</f>
        <v>2.3157126121942948</v>
      </c>
      <c r="M48" s="20">
        <f>'TR TE'!$M$48*'TR TE'!$M$58</f>
        <v>17.796756473610142</v>
      </c>
      <c r="N48" s="20">
        <f>'TR TE'!$N$48*'TR TE'!$N$58</f>
        <v>0</v>
      </c>
      <c r="O48" s="20">
        <f>'TR TE'!$O$48*'TR TE'!$O$58</f>
        <v>5.0291998178053463</v>
      </c>
      <c r="P48" s="20">
        <f>'TR TE'!$P$48*'TR TE'!$P$58</f>
        <v>-16.035655728433582</v>
      </c>
      <c r="Q48" s="20">
        <f>SUM($L$48:$P$48)</f>
        <v>9.1060131751761979</v>
      </c>
      <c r="R48" s="20">
        <f>'TR TE'!$R$48*'TR TE'!$R$58</f>
        <v>205.34603327581593</v>
      </c>
      <c r="S48" s="20">
        <f>SUM($R$48:$R$48)</f>
        <v>205.34603327581593</v>
      </c>
      <c r="T48" s="20">
        <f>'TR TE'!$T$48*'TR TE'!$T$58</f>
        <v>0</v>
      </c>
      <c r="U48" s="20">
        <f>'TR TE'!$U$48*'TR TE'!$U$58</f>
        <v>0</v>
      </c>
      <c r="V48" s="20">
        <f>'TR TE'!$V$48*'TR TE'!$V$58</f>
        <v>0</v>
      </c>
      <c r="W48" s="20">
        <f>SUM($T$48:$V$48)</f>
        <v>0</v>
      </c>
      <c r="X48" s="20"/>
      <c r="Y48" s="20">
        <f>SUM($X$48:$X$48)</f>
        <v>0</v>
      </c>
      <c r="Z48" s="20">
        <f>'TR TE'!$Z$48*'TR TE'!$Z$58</f>
        <v>4.7572138003413755</v>
      </c>
      <c r="AA48" s="20">
        <f>SUM($Z$48:$Z$48)</f>
        <v>4.7572138003413755</v>
      </c>
      <c r="AB48" s="20">
        <f>SUMIF($L$4:$AA$4,"SUBTOTAL",$L$48:$AA$48)</f>
        <v>219.20926025133349</v>
      </c>
    </row>
    <row r="49" spans="1:28" ht="11.25" customHeight="1" x14ac:dyDescent="0.25">
      <c r="A49" s="118"/>
      <c r="B49" s="22" t="s">
        <v>99</v>
      </c>
      <c r="C49" s="22" t="s">
        <v>25</v>
      </c>
      <c r="D49" s="22" t="s">
        <v>25</v>
      </c>
      <c r="E49" s="22" t="s">
        <v>25</v>
      </c>
      <c r="F49" s="22" t="s">
        <v>25</v>
      </c>
      <c r="G49" s="23" t="s">
        <v>88</v>
      </c>
      <c r="H49" s="23" t="s">
        <v>82</v>
      </c>
      <c r="I49" s="23">
        <f>'MERCADO TE'!$U$46</f>
        <v>0</v>
      </c>
      <c r="J49" s="15"/>
      <c r="L49" s="20">
        <f>'TR TE'!$L$49*'TR TE'!$L$58</f>
        <v>2.3157126121942948</v>
      </c>
      <c r="M49" s="20">
        <f>'TR TE'!$M$49*'TR TE'!$M$58</f>
        <v>17.796756473610142</v>
      </c>
      <c r="N49" s="20">
        <f>'TR TE'!$N$49*'TR TE'!$N$58</f>
        <v>0</v>
      </c>
      <c r="O49" s="20">
        <f>'TR TE'!$O$49*'TR TE'!$O$58</f>
        <v>5.0291998178053463</v>
      </c>
      <c r="P49" s="20">
        <f>'TR TE'!$P$49*'TR TE'!$P$58</f>
        <v>-16.035655728433582</v>
      </c>
      <c r="Q49" s="20">
        <f>SUM($L$49:$P$49)</f>
        <v>9.1060131751761979</v>
      </c>
      <c r="R49" s="20">
        <f>'TR TE'!$R$49*'TR TE'!$R$58</f>
        <v>205.34603327581593</v>
      </c>
      <c r="S49" s="20">
        <f>SUM($R$49:$R$49)</f>
        <v>205.34603327581593</v>
      </c>
      <c r="T49" s="20">
        <f>'TR TE'!$T$49*'TR TE'!$T$58</f>
        <v>0</v>
      </c>
      <c r="U49" s="20">
        <f>'TR TE'!$U$49*'TR TE'!$U$58</f>
        <v>0</v>
      </c>
      <c r="V49" s="20">
        <f>'TR TE'!$V$49*'TR TE'!$V$58</f>
        <v>0</v>
      </c>
      <c r="W49" s="20">
        <f>SUM($T$49:$V$49)</f>
        <v>0</v>
      </c>
      <c r="X49" s="20"/>
      <c r="Y49" s="20">
        <f>SUM($X$49:$X$49)</f>
        <v>0</v>
      </c>
      <c r="Z49" s="20">
        <f>'TR TE'!$Z$49*'TR TE'!$Z$58</f>
        <v>4.7572138003413755</v>
      </c>
      <c r="AA49" s="20">
        <f>SUM($Z$49:$Z$49)</f>
        <v>4.7572138003413755</v>
      </c>
      <c r="AB49" s="20">
        <f>SUMIF($L$4:$AA$4,"SUBTOTAL",$L$49:$AA$49)</f>
        <v>219.20926025133349</v>
      </c>
    </row>
    <row r="50" spans="1:28" ht="11.25" customHeight="1" x14ac:dyDescent="0.25">
      <c r="A50" s="118" t="s">
        <v>49</v>
      </c>
      <c r="B50" s="118" t="s">
        <v>90</v>
      </c>
      <c r="C50" s="118" t="s">
        <v>50</v>
      </c>
      <c r="D50" s="22" t="s">
        <v>51</v>
      </c>
      <c r="E50" s="22" t="s">
        <v>25</v>
      </c>
      <c r="F50" s="22" t="s">
        <v>25</v>
      </c>
      <c r="G50" s="23" t="s">
        <v>88</v>
      </c>
      <c r="H50" s="23" t="s">
        <v>82</v>
      </c>
      <c r="I50" s="23">
        <f>'MERCADO TE'!$U$47</f>
        <v>49365.182000000001</v>
      </c>
      <c r="J50" s="15"/>
      <c r="L50" s="20">
        <f>'TR TE'!$L$50*'TR TE'!$L$58</f>
        <v>1.2736419367068623</v>
      </c>
      <c r="M50" s="20">
        <f>'TR TE'!$M$50*'TR TE'!$M$58</f>
        <v>9.7882160604855795</v>
      </c>
      <c r="N50" s="20">
        <f>'TR TE'!$N$50*'TR TE'!$N$58</f>
        <v>0</v>
      </c>
      <c r="O50" s="20">
        <f>'TR TE'!$O$50*'TR TE'!$O$58</f>
        <v>2.7660598997929409</v>
      </c>
      <c r="P50" s="20">
        <f>'TR TE'!$P$50*'TR TE'!$P$58</f>
        <v>-8.8196106506384702</v>
      </c>
      <c r="Q50" s="20">
        <f>SUM($L$50:$P$50)</f>
        <v>5.0083072463469129</v>
      </c>
      <c r="R50" s="20">
        <f>'TR TE'!$R$50*'TR TE'!$R$58</f>
        <v>112.94031830169878</v>
      </c>
      <c r="S50" s="20">
        <f>SUM($R$50:$R$50)</f>
        <v>112.94031830169878</v>
      </c>
      <c r="T50" s="20">
        <f>'TR TE'!$T$50*'TR TE'!$T$58</f>
        <v>0</v>
      </c>
      <c r="U50" s="20">
        <f>'TR TE'!$U$50*'TR TE'!$U$58</f>
        <v>0</v>
      </c>
      <c r="V50" s="20">
        <f>'TR TE'!$V$50*'TR TE'!$V$58</f>
        <v>0</v>
      </c>
      <c r="W50" s="20">
        <f>SUM($T$50:$V$50)</f>
        <v>0</v>
      </c>
      <c r="X50" s="20"/>
      <c r="Y50" s="20">
        <f>SUM($X$50:$X$50)</f>
        <v>0</v>
      </c>
      <c r="Z50" s="20">
        <f>'TR TE'!$Z$50*'TR TE'!$Z$58</f>
        <v>2.6164675901877565</v>
      </c>
      <c r="AA50" s="20">
        <f>SUM($Z$50:$Z$50)</f>
        <v>2.6164675901877565</v>
      </c>
      <c r="AB50" s="20">
        <f>SUMIF($L$4:$AA$4,"SUBTOTAL",$L$50:$AA$50)</f>
        <v>120.56509313823345</v>
      </c>
    </row>
    <row r="51" spans="1:28" ht="11.25" customHeight="1" x14ac:dyDescent="0.25">
      <c r="A51" s="118"/>
      <c r="B51" s="118"/>
      <c r="C51" s="118"/>
      <c r="D51" s="23" t="s">
        <v>103</v>
      </c>
      <c r="E51" s="23" t="s">
        <v>25</v>
      </c>
      <c r="F51" s="23" t="s">
        <v>25</v>
      </c>
      <c r="G51" s="23" t="s">
        <v>88</v>
      </c>
      <c r="H51" s="23" t="s">
        <v>82</v>
      </c>
      <c r="I51" s="23">
        <f>'MERCADO TE'!$U$48</f>
        <v>0</v>
      </c>
      <c r="J51" s="15"/>
      <c r="L51" s="20">
        <f>'TR TE'!$L$51*'TR TE'!$L$58</f>
        <v>1.3894275673165768</v>
      </c>
      <c r="M51" s="20">
        <f>'TR TE'!$M$51*'TR TE'!$M$58</f>
        <v>10.678053884166085</v>
      </c>
      <c r="N51" s="20">
        <f>'TR TE'!$N$51*'TR TE'!$N$58</f>
        <v>0</v>
      </c>
      <c r="O51" s="20">
        <f>'TR TE'!$O$51*'TR TE'!$O$58</f>
        <v>3.0175198906832077</v>
      </c>
      <c r="P51" s="20">
        <f>'TR TE'!$P$51*'TR TE'!$P$58</f>
        <v>-9.6213934370601493</v>
      </c>
      <c r="Q51" s="20">
        <f>SUM($L$51:$P$51)</f>
        <v>5.4636079051057198</v>
      </c>
      <c r="R51" s="20">
        <f>'TR TE'!$R$51*'TR TE'!$R$58</f>
        <v>123.20761996548956</v>
      </c>
      <c r="S51" s="20">
        <f>SUM($R$51:$R$51)</f>
        <v>123.20761996548956</v>
      </c>
      <c r="T51" s="20">
        <f>'TR TE'!$T$51*'TR TE'!$T$58</f>
        <v>0</v>
      </c>
      <c r="U51" s="20">
        <f>'TR TE'!$U$51*'TR TE'!$U$58</f>
        <v>0</v>
      </c>
      <c r="V51" s="20">
        <f>'TR TE'!$V$51*'TR TE'!$V$58</f>
        <v>0</v>
      </c>
      <c r="W51" s="20">
        <f>SUM($T$51:$V$51)</f>
        <v>0</v>
      </c>
      <c r="X51" s="20"/>
      <c r="Y51" s="20">
        <f>SUM($X$51:$X$51)</f>
        <v>0</v>
      </c>
      <c r="Z51" s="20">
        <f>'TR TE'!$Z$51*'TR TE'!$Z$58</f>
        <v>2.8543282802048253</v>
      </c>
      <c r="AA51" s="20">
        <f>SUM($Z$51:$Z$51)</f>
        <v>2.8543282802048253</v>
      </c>
      <c r="AB51" s="20">
        <f>SUMIF($L$4:$AA$4,"SUBTOTAL",$L$51:$AA$51)</f>
        <v>131.52555615080013</v>
      </c>
    </row>
    <row r="53" spans="1:28" ht="11.25" customHeight="1" x14ac:dyDescent="0.25">
      <c r="K53" s="25" t="s">
        <v>857</v>
      </c>
      <c r="L53" s="20">
        <f t="shared" ref="L53:AB53" si="0">SUMPRODUCT($I$5:$I$51,L$5:L$51)</f>
        <v>2476185.1305569597</v>
      </c>
      <c r="M53" s="20">
        <f t="shared" si="0"/>
        <v>18851171.780000001</v>
      </c>
      <c r="N53" s="20">
        <f t="shared" si="0"/>
        <v>0</v>
      </c>
      <c r="O53" s="20">
        <f t="shared" si="0"/>
        <v>5377709.5404118774</v>
      </c>
      <c r="P53" s="20">
        <f t="shared" si="0"/>
        <v>-17146882.589999996</v>
      </c>
      <c r="Q53" s="20">
        <f t="shared" si="0"/>
        <v>9558183.8609688394</v>
      </c>
      <c r="R53" s="20">
        <f t="shared" si="0"/>
        <v>219305422.49979985</v>
      </c>
      <c r="S53" s="20">
        <f t="shared" si="0"/>
        <v>219305422.49979985</v>
      </c>
      <c r="T53" s="20">
        <f t="shared" si="0"/>
        <v>0</v>
      </c>
      <c r="U53" s="20">
        <f t="shared" si="0"/>
        <v>0</v>
      </c>
      <c r="V53" s="20">
        <f t="shared" si="0"/>
        <v>0</v>
      </c>
      <c r="W53" s="20">
        <f t="shared" si="0"/>
        <v>0</v>
      </c>
      <c r="X53" s="20">
        <f t="shared" si="0"/>
        <v>0</v>
      </c>
      <c r="Y53" s="20">
        <f t="shared" si="0"/>
        <v>0</v>
      </c>
      <c r="Z53" s="20">
        <f t="shared" si="0"/>
        <v>5039067.3535035541</v>
      </c>
      <c r="AA53" s="20">
        <f t="shared" si="0"/>
        <v>5039067.3535035541</v>
      </c>
      <c r="AB53" s="20">
        <f t="shared" si="0"/>
        <v>233902673.71427217</v>
      </c>
    </row>
    <row r="54" spans="1:28" ht="11.25" customHeight="1" x14ac:dyDescent="0.25">
      <c r="K54" s="25" t="s">
        <v>776</v>
      </c>
      <c r="L54" s="20">
        <f>CUSTOS!$D$30</f>
        <v>2476185.1305569597</v>
      </c>
      <c r="M54" s="20">
        <f>CUSTOS!$D$31</f>
        <v>18851171.780000001</v>
      </c>
      <c r="N54" s="20">
        <f>CUSTOS!$D$32</f>
        <v>0</v>
      </c>
      <c r="O54" s="20">
        <f>CUSTOS!$D$33</f>
        <v>5377709.5404118784</v>
      </c>
      <c r="P54" s="20">
        <f>CUSTOS!$D$34</f>
        <v>-17146882.59</v>
      </c>
      <c r="Q54" s="20">
        <f>CUSTOS!$D$35</f>
        <v>9558183.8609688394</v>
      </c>
      <c r="R54" s="20">
        <f>CUSTOS!$D$36</f>
        <v>219305422.49979985</v>
      </c>
      <c r="S54" s="20">
        <f>CUSTOS!$D$37</f>
        <v>219305422.49979985</v>
      </c>
      <c r="T54" s="20">
        <f>CUSTOS!$D$38</f>
        <v>0</v>
      </c>
      <c r="U54" s="20">
        <f>CUSTOS!$D$39</f>
        <v>0</v>
      </c>
      <c r="V54" s="20">
        <f>CUSTOS!$D$40</f>
        <v>0</v>
      </c>
      <c r="W54" s="20">
        <f>CUSTOS!$D$41</f>
        <v>0</v>
      </c>
      <c r="X54" s="20">
        <f>CUSTOS!$D$42</f>
        <v>0</v>
      </c>
      <c r="Y54" s="20">
        <f>CUSTOS!$D$43</f>
        <v>0</v>
      </c>
      <c r="Z54" s="20">
        <f>CUSTOS!$D$44</f>
        <v>5039067.3535035541</v>
      </c>
      <c r="AA54" s="20">
        <f>CUSTOS!$D$45</f>
        <v>5039067.3535035541</v>
      </c>
      <c r="AB54" s="20">
        <f>CUSTOS!$D$46</f>
        <v>233902673.71427223</v>
      </c>
    </row>
    <row r="55" spans="1:28" ht="11.25" customHeight="1" x14ac:dyDescent="0.25">
      <c r="K55" s="25" t="s">
        <v>777</v>
      </c>
      <c r="L55" s="20">
        <f>CUSTOS!$E$30</f>
        <v>-0.56691887422018106</v>
      </c>
      <c r="M55" s="20">
        <f>CUSTOS!$E$31</f>
        <v>5562714.3320097802</v>
      </c>
      <c r="N55" s="20">
        <f>CUSTOS!$E$32</f>
        <v>0</v>
      </c>
      <c r="O55" s="20">
        <f>CUSTOS!$E$33</f>
        <v>-702415.19341195375</v>
      </c>
      <c r="P55" s="20">
        <f>CUSTOS!$E$34</f>
        <v>0</v>
      </c>
      <c r="Q55" s="20">
        <f>CUSTOS!$E$35</f>
        <v>4860298.5716789523</v>
      </c>
      <c r="R55" s="20">
        <f>CUSTOS!$E$36</f>
        <v>29640490.046786625</v>
      </c>
      <c r="S55" s="20">
        <f>CUSTOS!$E$37</f>
        <v>29640490.046786625</v>
      </c>
      <c r="T55" s="20">
        <f>CUSTOS!$E$38</f>
        <v>0</v>
      </c>
      <c r="U55" s="20">
        <f>CUSTOS!$E$39</f>
        <v>0</v>
      </c>
      <c r="V55" s="20">
        <f>CUSTOS!$E$40</f>
        <v>0</v>
      </c>
      <c r="W55" s="20">
        <f>CUSTOS!$E$41</f>
        <v>0</v>
      </c>
      <c r="X55" s="20">
        <f>CUSTOS!$E$42</f>
        <v>-20939552.25323334</v>
      </c>
      <c r="Y55" s="20">
        <f>CUSTOS!$E$43</f>
        <v>-20939552.25323334</v>
      </c>
      <c r="Z55" s="20">
        <f>CUSTOS!$E$44</f>
        <v>681061.25254037359</v>
      </c>
      <c r="AA55" s="20">
        <f>CUSTOS!$E$45</f>
        <v>681061.25254037359</v>
      </c>
      <c r="AB55" s="20">
        <f>CUSTOS!$E$46</f>
        <v>14242297.617772615</v>
      </c>
    </row>
    <row r="56" spans="1:28" ht="11.25" customHeight="1" x14ac:dyDescent="0.25">
      <c r="K56" s="25" t="s">
        <v>778</v>
      </c>
      <c r="L56" s="20">
        <f>CUSTOS!$F$30</f>
        <v>0</v>
      </c>
      <c r="M56" s="20">
        <f>CUSTOS!$F$31</f>
        <v>806865.14749999996</v>
      </c>
      <c r="N56" s="20">
        <f>CUSTOS!$F$32</f>
        <v>0</v>
      </c>
      <c r="O56" s="20">
        <f>CUSTOS!$F$33</f>
        <v>206074.34894780969</v>
      </c>
      <c r="P56" s="20">
        <f>CUSTOS!$F$34</f>
        <v>0</v>
      </c>
      <c r="Q56" s="20">
        <f>CUSTOS!$F$35</f>
        <v>1012939.4964478096</v>
      </c>
      <c r="R56" s="20">
        <f>CUSTOS!$F$36</f>
        <v>-2799988.9928975585</v>
      </c>
      <c r="S56" s="20">
        <f>CUSTOS!$F$37</f>
        <v>-2799988.9928975585</v>
      </c>
      <c r="T56" s="20">
        <f>CUSTOS!$F$38</f>
        <v>0</v>
      </c>
      <c r="U56" s="20">
        <f>CUSTOS!$F$39</f>
        <v>0</v>
      </c>
      <c r="V56" s="20">
        <f>CUSTOS!$F$40</f>
        <v>0</v>
      </c>
      <c r="W56" s="20">
        <f>CUSTOS!$F$41</f>
        <v>0</v>
      </c>
      <c r="X56" s="20">
        <f>CUSTOS!$F$42</f>
        <v>0</v>
      </c>
      <c r="Y56" s="20">
        <f>CUSTOS!$F$43</f>
        <v>0</v>
      </c>
      <c r="Z56" s="20">
        <f>CUSTOS!$F$44</f>
        <v>-64336.453533392501</v>
      </c>
      <c r="AA56" s="20">
        <f>CUSTOS!$F$45</f>
        <v>-64336.453533392501</v>
      </c>
      <c r="AB56" s="20">
        <f>CUSTOS!$F$46</f>
        <v>-1851385.9499831414</v>
      </c>
    </row>
    <row r="57" spans="1:28" ht="11.25" customHeight="1" x14ac:dyDescent="0.25">
      <c r="K57" s="25" t="s">
        <v>858</v>
      </c>
      <c r="L57" s="20">
        <f>'TR TE'!$L$57*L58</f>
        <v>-5.3017893166468373E-7</v>
      </c>
      <c r="M57" s="20">
        <f>'TR TE'!$M$57*M58</f>
        <v>5.2515712791960434</v>
      </c>
      <c r="N57" s="20">
        <f>'TR TE'!$N$57*N58</f>
        <v>0</v>
      </c>
      <c r="O57" s="20">
        <f>'TR TE'!$O$57*O58</f>
        <v>-0.65689422907369321</v>
      </c>
      <c r="P57" s="20">
        <f>'TR TE'!$P$57*P58</f>
        <v>0</v>
      </c>
      <c r="Q57" s="20"/>
      <c r="R57" s="20">
        <f>'TR TE'!$R$57*R58</f>
        <v>27.641947147059089</v>
      </c>
      <c r="S57" s="20"/>
      <c r="T57" s="20">
        <f>'TR TE'!$T$57*T58</f>
        <v>0</v>
      </c>
      <c r="U57" s="20">
        <f>'TR TE'!$U$57*U58</f>
        <v>0</v>
      </c>
      <c r="V57" s="20">
        <f>'TR TE'!$V$57*V58</f>
        <v>0</v>
      </c>
      <c r="W57" s="20"/>
      <c r="X57" s="20"/>
      <c r="Y57" s="20"/>
      <c r="Z57" s="20">
        <f>'TR TE'!$Z$57*Z58</f>
        <v>0.6429669941224696</v>
      </c>
      <c r="AA57" s="20"/>
      <c r="AB57" s="20"/>
    </row>
    <row r="58" spans="1:28" ht="11.25" customHeight="1" x14ac:dyDescent="0.25">
      <c r="K58" s="25" t="s">
        <v>845</v>
      </c>
      <c r="L58" s="20">
        <f>IF(L54&lt;&gt;0,L55/L54,0)</f>
        <v>-2.289485011537348E-7</v>
      </c>
      <c r="M58" s="20">
        <f>IF(M54&lt;&gt;0,M55/M54,0)</f>
        <v>0.29508586505542839</v>
      </c>
      <c r="N58" s="20">
        <f>IF(N54&lt;&gt;0,N55/N54,0)</f>
        <v>0</v>
      </c>
      <c r="O58" s="20">
        <f>IF(O54&lt;&gt;0,O55/O54,0)</f>
        <v>-0.13061605282574557</v>
      </c>
      <c r="P58" s="20">
        <f>IF(P54&lt;&gt;0,P55/P54,0)</f>
        <v>0</v>
      </c>
      <c r="Q58" s="20"/>
      <c r="R58" s="20">
        <f>IF(R54&lt;&gt;0,R55/R54,0)</f>
        <v>0.13515621141020204</v>
      </c>
      <c r="S58" s="20"/>
      <c r="T58" s="20">
        <f>IF(T54&lt;&gt;0,T55/T54,0)</f>
        <v>0</v>
      </c>
      <c r="U58" s="20">
        <f>IF(U54&lt;&gt;0,U55/U54,0)</f>
        <v>0</v>
      </c>
      <c r="V58" s="20">
        <f>IF(V54&lt;&gt;0,V55/V54,0)</f>
        <v>0</v>
      </c>
      <c r="W58" s="20"/>
      <c r="X58" s="20">
        <f>IF(($AB54-(+ $I$13*$AB$13+ $I$15*$AB$15+ $I$16*$AB$16))&lt;&gt;0,X55/($AB54-(+ $I$13*$AB$13+ $I$15*$AB$15+ $I$16*$AB$16)),0)</f>
        <v>-9.0282111720562996E-2</v>
      </c>
      <c r="Y58" s="20"/>
      <c r="Z58" s="20">
        <f>IF(Z54&lt;&gt;0,Z55/Z54,0)</f>
        <v>0.13515621141020204</v>
      </c>
      <c r="AA58" s="20"/>
      <c r="AB58" s="20"/>
    </row>
    <row r="59" spans="1:28" ht="11.25" customHeight="1" x14ac:dyDescent="0.25">
      <c r="K59" s="25" t="s">
        <v>860</v>
      </c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</row>
  </sheetData>
  <mergeCells count="73">
    <mergeCell ref="E45:E47"/>
    <mergeCell ref="F45:F47"/>
    <mergeCell ref="A50:A51"/>
    <mergeCell ref="B50:B51"/>
    <mergeCell ref="C50:C51"/>
    <mergeCell ref="D45:D47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F11:F12"/>
    <mergeCell ref="A8:A10"/>
    <mergeCell ref="B8:B9"/>
    <mergeCell ref="C8:C9"/>
    <mergeCell ref="D8:D9"/>
    <mergeCell ref="E8:E9"/>
    <mergeCell ref="F8:F9"/>
    <mergeCell ref="A11:A16"/>
    <mergeCell ref="B11:B12"/>
    <mergeCell ref="C11:C12"/>
    <mergeCell ref="D11:D12"/>
    <mergeCell ref="E11:E12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53">
    <cfRule type="cellIs" dxfId="1182" priority="33" operator="notEqual">
      <formula>$L$54</formula>
    </cfRule>
    <cfRule type="cellIs" dxfId="1181" priority="34" operator="equal">
      <formula>$L$54</formula>
    </cfRule>
  </conditionalFormatting>
  <conditionalFormatting sqref="M53">
    <cfRule type="cellIs" dxfId="1180" priority="31" operator="notEqual">
      <formula>$M$54</formula>
    </cfRule>
    <cfRule type="cellIs" dxfId="1179" priority="32" operator="equal">
      <formula>$M$54</formula>
    </cfRule>
  </conditionalFormatting>
  <conditionalFormatting sqref="N53">
    <cfRule type="cellIs" dxfId="1178" priority="29" operator="notEqual">
      <formula>$N$54</formula>
    </cfRule>
    <cfRule type="cellIs" dxfId="1177" priority="30" operator="equal">
      <formula>$N$54</formula>
    </cfRule>
  </conditionalFormatting>
  <conditionalFormatting sqref="O53">
    <cfRule type="cellIs" dxfId="1176" priority="27" operator="notEqual">
      <formula>$O$54</formula>
    </cfRule>
    <cfRule type="cellIs" dxfId="1175" priority="28" operator="equal">
      <formula>$O$54</formula>
    </cfRule>
  </conditionalFormatting>
  <conditionalFormatting sqref="P53">
    <cfRule type="cellIs" dxfId="1174" priority="25" operator="notEqual">
      <formula>$P$54</formula>
    </cfRule>
    <cfRule type="cellIs" dxfId="1173" priority="26" operator="equal">
      <formula>$P$54</formula>
    </cfRule>
  </conditionalFormatting>
  <conditionalFormatting sqref="Q53">
    <cfRule type="cellIs" dxfId="1172" priority="23" operator="notEqual">
      <formula>$Q$54</formula>
    </cfRule>
    <cfRule type="cellIs" dxfId="1171" priority="24" operator="equal">
      <formula>$Q$54</formula>
    </cfRule>
  </conditionalFormatting>
  <conditionalFormatting sqref="R53">
    <cfRule type="cellIs" dxfId="1170" priority="21" operator="notEqual">
      <formula>$R$54</formula>
    </cfRule>
    <cfRule type="cellIs" dxfId="1169" priority="22" operator="equal">
      <formula>$R$54</formula>
    </cfRule>
  </conditionalFormatting>
  <conditionalFormatting sqref="S53">
    <cfRule type="cellIs" dxfId="1168" priority="19" operator="notEqual">
      <formula>$S$54</formula>
    </cfRule>
    <cfRule type="cellIs" dxfId="1167" priority="20" operator="equal">
      <formula>$S$54</formula>
    </cfRule>
  </conditionalFormatting>
  <conditionalFormatting sqref="T53">
    <cfRule type="cellIs" dxfId="1166" priority="17" operator="notEqual">
      <formula>$T$54</formula>
    </cfRule>
    <cfRule type="cellIs" dxfId="1165" priority="18" operator="equal">
      <formula>$T$54</formula>
    </cfRule>
  </conditionalFormatting>
  <conditionalFormatting sqref="U53">
    <cfRule type="cellIs" dxfId="1164" priority="15" operator="notEqual">
      <formula>$U$54</formula>
    </cfRule>
    <cfRule type="cellIs" dxfId="1163" priority="16" operator="equal">
      <formula>$U$54</formula>
    </cfRule>
  </conditionalFormatting>
  <conditionalFormatting sqref="V53">
    <cfRule type="cellIs" dxfId="1162" priority="13" operator="notEqual">
      <formula>$V$54</formula>
    </cfRule>
    <cfRule type="cellIs" dxfId="1161" priority="14" operator="equal">
      <formula>$V$54</formula>
    </cfRule>
  </conditionalFormatting>
  <conditionalFormatting sqref="W53">
    <cfRule type="cellIs" dxfId="1160" priority="11" operator="notEqual">
      <formula>$W$54</formula>
    </cfRule>
    <cfRule type="cellIs" dxfId="1159" priority="12" operator="equal">
      <formula>$W$54</formula>
    </cfRule>
  </conditionalFormatting>
  <conditionalFormatting sqref="X53">
    <cfRule type="cellIs" dxfId="1158" priority="9" operator="notEqual">
      <formula>$X$54</formula>
    </cfRule>
    <cfRule type="cellIs" dxfId="1157" priority="10" operator="equal">
      <formula>$X$54</formula>
    </cfRule>
  </conditionalFormatting>
  <conditionalFormatting sqref="Y53">
    <cfRule type="cellIs" dxfId="1156" priority="7" operator="notEqual">
      <formula>$Y$54</formula>
    </cfRule>
    <cfRule type="cellIs" dxfId="1155" priority="8" operator="equal">
      <formula>$Y$54</formula>
    </cfRule>
  </conditionalFormatting>
  <conditionalFormatting sqref="Z53">
    <cfRule type="cellIs" dxfId="1154" priority="5" operator="notEqual">
      <formula>$Z$54</formula>
    </cfRule>
    <cfRule type="cellIs" dxfId="1153" priority="6" operator="equal">
      <formula>$Z$54</formula>
    </cfRule>
  </conditionalFormatting>
  <conditionalFormatting sqref="AA53">
    <cfRule type="cellIs" dxfId="1152" priority="3" operator="notEqual">
      <formula>$AA$54</formula>
    </cfRule>
    <cfRule type="cellIs" dxfId="1151" priority="4" operator="equal">
      <formula>$AA$54</formula>
    </cfRule>
  </conditionalFormatting>
  <conditionalFormatting sqref="AB53">
    <cfRule type="cellIs" dxfId="1150" priority="1" operator="notEqual">
      <formula>$AB$54</formula>
    </cfRule>
    <cfRule type="cellIs" dxfId="1149" priority="2" operator="equal">
      <formula>$AB$54</formula>
    </cfRule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CFC1E-8D3A-4432-A5F1-A32BDABF5328}">
  <sheetPr codeName="Planilha14"/>
  <dimension ref="A1:AB59"/>
  <sheetViews>
    <sheetView showGridLines="0" topLeftCell="P1" workbookViewId="0">
      <selection activeCell="AB53" sqref="AB53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2" width="10" style="9" bestFit="1" customWidth="1"/>
    <col min="13" max="13" width="10.85546875" style="9" bestFit="1" customWidth="1"/>
    <col min="14" max="14" width="10" style="9" bestFit="1" customWidth="1"/>
    <col min="15" max="15" width="11.140625" style="9" bestFit="1" customWidth="1"/>
    <col min="16" max="16" width="11.42578125" style="9" bestFit="1" customWidth="1"/>
    <col min="17" max="17" width="10" style="9" bestFit="1" customWidth="1"/>
    <col min="18" max="18" width="15" style="9" bestFit="1" customWidth="1"/>
    <col min="19" max="19" width="11.7109375" style="9" bestFit="1" customWidth="1"/>
    <col min="20" max="20" width="10" style="9" bestFit="1" customWidth="1"/>
    <col min="21" max="21" width="10.42578125" style="9" bestFit="1" customWidth="1"/>
    <col min="22" max="22" width="10" style="9" bestFit="1" customWidth="1"/>
    <col min="23" max="23" width="9.28515625" style="9" bestFit="1" customWidth="1"/>
    <col min="24" max="25" width="11.42578125" style="9" bestFit="1" customWidth="1"/>
    <col min="26" max="26" width="11" style="9" bestFit="1" customWidth="1"/>
    <col min="27" max="27" width="10" style="9" bestFit="1" customWidth="1"/>
    <col min="28" max="28" width="11.7109375" style="9" bestFit="1" customWidth="1"/>
    <col min="29" max="16384" width="9.140625" style="9"/>
  </cols>
  <sheetData>
    <row r="1" spans="1:28" ht="11.25" customHeight="1" x14ac:dyDescent="0.25">
      <c r="A1" s="117" t="s">
        <v>71</v>
      </c>
      <c r="B1" s="117" t="s">
        <v>72</v>
      </c>
      <c r="C1" s="117" t="s">
        <v>73</v>
      </c>
      <c r="D1" s="117" t="s">
        <v>74</v>
      </c>
      <c r="E1" s="117" t="s">
        <v>75</v>
      </c>
      <c r="F1" s="117" t="s">
        <v>15</v>
      </c>
      <c r="G1" s="117" t="s">
        <v>77</v>
      </c>
      <c r="H1" s="117" t="s">
        <v>78</v>
      </c>
      <c r="I1" s="117" t="s">
        <v>835</v>
      </c>
      <c r="J1" s="105"/>
      <c r="L1" s="115" t="s">
        <v>862</v>
      </c>
      <c r="M1" s="115"/>
      <c r="N1" s="115"/>
      <c r="O1" s="115"/>
      <c r="P1" s="115"/>
      <c r="Q1" s="115"/>
      <c r="R1" s="115"/>
      <c r="S1" s="115"/>
      <c r="T1" s="115"/>
      <c r="U1" s="115"/>
      <c r="V1" s="115"/>
      <c r="W1" s="115"/>
      <c r="X1" s="115"/>
      <c r="Y1" s="115"/>
      <c r="Z1" s="115"/>
      <c r="AA1" s="115"/>
      <c r="AB1" s="115"/>
    </row>
    <row r="2" spans="1:28" ht="11.25" customHeight="1" x14ac:dyDescent="0.25">
      <c r="A2" s="117"/>
      <c r="B2" s="117"/>
      <c r="C2" s="117"/>
      <c r="D2" s="117"/>
      <c r="E2" s="117"/>
      <c r="F2" s="117"/>
      <c r="G2" s="117"/>
      <c r="H2" s="117"/>
      <c r="I2" s="117"/>
      <c r="J2" s="105"/>
      <c r="L2" s="115" t="s">
        <v>762</v>
      </c>
      <c r="M2" s="115"/>
      <c r="N2" s="115"/>
      <c r="O2" s="115"/>
      <c r="P2" s="115"/>
      <c r="Q2" s="115"/>
      <c r="R2" s="115"/>
      <c r="S2" s="115"/>
      <c r="T2" s="115"/>
      <c r="U2" s="115"/>
      <c r="V2" s="115"/>
      <c r="W2" s="115"/>
      <c r="X2" s="115"/>
      <c r="Y2" s="115"/>
      <c r="Z2" s="115"/>
      <c r="AA2" s="115"/>
      <c r="AB2" s="115"/>
    </row>
    <row r="3" spans="1:28" ht="11.25" customHeight="1" x14ac:dyDescent="0.25">
      <c r="A3" s="117"/>
      <c r="B3" s="117"/>
      <c r="C3" s="117"/>
      <c r="D3" s="117"/>
      <c r="E3" s="117"/>
      <c r="F3" s="117"/>
      <c r="G3" s="117"/>
      <c r="H3" s="117"/>
      <c r="I3" s="117"/>
      <c r="J3" s="105"/>
      <c r="L3" s="115" t="s">
        <v>735</v>
      </c>
      <c r="M3" s="115"/>
      <c r="N3" s="115"/>
      <c r="O3" s="115"/>
      <c r="P3" s="115"/>
      <c r="Q3" s="115"/>
      <c r="R3" s="115" t="s">
        <v>766</v>
      </c>
      <c r="S3" s="115"/>
      <c r="T3" s="115" t="s">
        <v>744</v>
      </c>
      <c r="U3" s="115"/>
      <c r="V3" s="115"/>
      <c r="W3" s="115"/>
      <c r="X3" s="115" t="s">
        <v>754</v>
      </c>
      <c r="Y3" s="115"/>
      <c r="Z3" s="115" t="s">
        <v>757</v>
      </c>
      <c r="AA3" s="115"/>
      <c r="AB3" s="115" t="s">
        <v>743</v>
      </c>
    </row>
    <row r="4" spans="1:28" ht="11.25" customHeight="1" x14ac:dyDescent="0.25">
      <c r="A4" s="117"/>
      <c r="B4" s="117"/>
      <c r="C4" s="117"/>
      <c r="D4" s="117"/>
      <c r="E4" s="117"/>
      <c r="F4" s="117"/>
      <c r="G4" s="117"/>
      <c r="H4" s="117"/>
      <c r="I4" s="117"/>
      <c r="J4" s="105"/>
      <c r="L4" s="24" t="s">
        <v>737</v>
      </c>
      <c r="M4" s="24" t="s">
        <v>763</v>
      </c>
      <c r="N4" s="24" t="s">
        <v>764</v>
      </c>
      <c r="O4" s="24" t="s">
        <v>823</v>
      </c>
      <c r="P4" s="24" t="s">
        <v>765</v>
      </c>
      <c r="Q4" s="24" t="s">
        <v>743</v>
      </c>
      <c r="R4" s="24" t="s">
        <v>767</v>
      </c>
      <c r="S4" s="24" t="s">
        <v>743</v>
      </c>
      <c r="T4" s="24" t="s">
        <v>768</v>
      </c>
      <c r="U4" s="24" t="s">
        <v>769</v>
      </c>
      <c r="V4" s="24" t="s">
        <v>770</v>
      </c>
      <c r="W4" s="24" t="s">
        <v>743</v>
      </c>
      <c r="X4" s="24" t="s">
        <v>755</v>
      </c>
      <c r="Y4" s="24" t="s">
        <v>743</v>
      </c>
      <c r="Z4" s="24" t="s">
        <v>771</v>
      </c>
      <c r="AA4" s="24" t="s">
        <v>743</v>
      </c>
      <c r="AB4" s="116"/>
    </row>
    <row r="5" spans="1:28" ht="11.25" customHeight="1" x14ac:dyDescent="0.25">
      <c r="A5" s="118" t="s">
        <v>80</v>
      </c>
      <c r="B5" s="118" t="s">
        <v>81</v>
      </c>
      <c r="C5" s="118" t="s">
        <v>25</v>
      </c>
      <c r="D5" s="118" t="s">
        <v>25</v>
      </c>
      <c r="E5" s="118" t="s">
        <v>25</v>
      </c>
      <c r="F5" s="118" t="s">
        <v>25</v>
      </c>
      <c r="G5" s="23" t="s">
        <v>83</v>
      </c>
      <c r="H5" s="23" t="s">
        <v>82</v>
      </c>
      <c r="I5" s="23">
        <f>'MERCADO TE'!$U$2</f>
        <v>0</v>
      </c>
      <c r="J5" s="15"/>
      <c r="L5" s="20">
        <f>'TE BE'!$L$5*'TE BE'!$L$58</f>
        <v>-5.3017893166468373E-7</v>
      </c>
      <c r="M5" s="20">
        <f>'TE BE'!$M$5*'TE BE'!$M$58</f>
        <v>5.2515712791960434</v>
      </c>
      <c r="N5" s="20">
        <f>'TE BE'!$N$5*'TE BE'!$N$58</f>
        <v>0</v>
      </c>
      <c r="O5" s="20">
        <f>'TE BE'!$O$5*'TE BE'!$O$58</f>
        <v>-0.6568942290736931</v>
      </c>
      <c r="P5" s="20">
        <f>'TE BE'!$P$5*'TE BE'!$P$58</f>
        <v>0</v>
      </c>
      <c r="Q5" s="20">
        <f>SUM($L$5:$P$5)</f>
        <v>4.5946765199434187</v>
      </c>
      <c r="R5" s="20">
        <f>'TE BE'!$R$5*'TE BE'!$R$58</f>
        <v>45.034454757883779</v>
      </c>
      <c r="S5" s="20">
        <f>SUM($R$5:$R$5)</f>
        <v>45.034454757883779</v>
      </c>
      <c r="T5" s="20">
        <f>'TE BE'!$T$5*'TE BE'!$T$58</f>
        <v>0</v>
      </c>
      <c r="U5" s="20">
        <f>'TE BE'!$U$5*'TE BE'!$U$58</f>
        <v>0</v>
      </c>
      <c r="V5" s="20">
        <f>'TE BE'!$V$5*'TE BE'!$V$58</f>
        <v>0</v>
      </c>
      <c r="W5" s="20">
        <f>SUM($T$5:$V$5)</f>
        <v>0</v>
      </c>
      <c r="X5" s="20">
        <f>'TE BE'!$AB$5*'TE BE'!$X$58</f>
        <v>-31.333871642687104</v>
      </c>
      <c r="Y5" s="20">
        <f>SUM($X$5:$X$5)</f>
        <v>-31.333871642687104</v>
      </c>
      <c r="Z5" s="20">
        <f>'TE BE'!$Z$5*'TE BE'!$Z$58</f>
        <v>0.6429669941224696</v>
      </c>
      <c r="AA5" s="20">
        <f>SUM($Z$5:$Z$5)</f>
        <v>0.6429669941224696</v>
      </c>
      <c r="AB5" s="20">
        <f>SUMIF($L$4:$AA$4,"SUBTOTAL",$L$5:$AA$5)</f>
        <v>18.938226629262566</v>
      </c>
    </row>
    <row r="6" spans="1:28" ht="11.25" customHeight="1" x14ac:dyDescent="0.25">
      <c r="A6" s="118"/>
      <c r="B6" s="118"/>
      <c r="C6" s="118"/>
      <c r="D6" s="118"/>
      <c r="E6" s="118"/>
      <c r="F6" s="118"/>
      <c r="G6" s="23" t="s">
        <v>84</v>
      </c>
      <c r="H6" s="23" t="s">
        <v>82</v>
      </c>
      <c r="I6" s="23">
        <f>'MERCADO TE'!$U$3</f>
        <v>0</v>
      </c>
      <c r="J6" s="15"/>
      <c r="L6" s="20">
        <f>'TE BE'!$L$6*'TE BE'!$L$58</f>
        <v>-5.3017893166468373E-7</v>
      </c>
      <c r="M6" s="20">
        <f>'TE BE'!$M$6*'TE BE'!$M$58</f>
        <v>5.2515712791960434</v>
      </c>
      <c r="N6" s="20">
        <f>'TE BE'!$N$6*'TE BE'!$N$58</f>
        <v>0</v>
      </c>
      <c r="O6" s="20">
        <f>'TE BE'!$O$6*'TE BE'!$O$58</f>
        <v>-0.6568942290736931</v>
      </c>
      <c r="P6" s="20">
        <f>'TE BE'!$P$6*'TE BE'!$P$58</f>
        <v>0</v>
      </c>
      <c r="Q6" s="20">
        <f>SUM($L$6:$P$6)</f>
        <v>4.5946765199434187</v>
      </c>
      <c r="R6" s="20">
        <f>'TE BE'!$R$6*'TE BE'!$R$58</f>
        <v>26.182822533653358</v>
      </c>
      <c r="S6" s="20">
        <f>SUM($R$6:$R$6)</f>
        <v>26.182822533653358</v>
      </c>
      <c r="T6" s="20">
        <f>'TE BE'!$T$6*'TE BE'!$T$58</f>
        <v>0</v>
      </c>
      <c r="U6" s="20">
        <f>'TE BE'!$U$6*'TE BE'!$U$58</f>
        <v>0</v>
      </c>
      <c r="V6" s="20">
        <f>'TE BE'!$V$6*'TE BE'!$V$58</f>
        <v>0</v>
      </c>
      <c r="W6" s="20">
        <f>SUM($T$6:$V$6)</f>
        <v>0</v>
      </c>
      <c r="X6" s="20">
        <f>'TE BE'!$AB$6*'TE BE'!$X$58</f>
        <v>-18.741293404329745</v>
      </c>
      <c r="Y6" s="20">
        <f>SUM($X$6:$X$6)</f>
        <v>-18.741293404329745</v>
      </c>
      <c r="Z6" s="20">
        <f>'TE BE'!$Z$6*'TE BE'!$Z$58</f>
        <v>0.6429669941224696</v>
      </c>
      <c r="AA6" s="20">
        <f>SUM($Z$6:$Z$6)</f>
        <v>0.6429669941224696</v>
      </c>
      <c r="AB6" s="20">
        <f>SUMIF($L$4:$AA$4,"SUBTOTAL",$L$6:$AA$6)</f>
        <v>12.679172643389501</v>
      </c>
    </row>
    <row r="7" spans="1:28" ht="11.25" customHeight="1" x14ac:dyDescent="0.25">
      <c r="A7" s="118"/>
      <c r="B7" s="22" t="s">
        <v>90</v>
      </c>
      <c r="C7" s="22" t="s">
        <v>25</v>
      </c>
      <c r="D7" s="22" t="s">
        <v>25</v>
      </c>
      <c r="E7" s="22" t="s">
        <v>25</v>
      </c>
      <c r="F7" s="22" t="s">
        <v>25</v>
      </c>
      <c r="G7" s="23" t="s">
        <v>88</v>
      </c>
      <c r="H7" s="23" t="s">
        <v>82</v>
      </c>
      <c r="I7" s="23">
        <f>'MERCADO TE'!$U$4</f>
        <v>0</v>
      </c>
      <c r="J7" s="15"/>
      <c r="L7" s="20">
        <f>'TE BE'!$L$7*'TE BE'!$L$58</f>
        <v>-5.3017893166468373E-7</v>
      </c>
      <c r="M7" s="20">
        <f>'TE BE'!$M$7*'TE BE'!$M$58</f>
        <v>5.2515712791960434</v>
      </c>
      <c r="N7" s="20">
        <f>'TE BE'!$N$7*'TE BE'!$N$58</f>
        <v>0</v>
      </c>
      <c r="O7" s="20">
        <f>'TE BE'!$O$7*'TE BE'!$O$58</f>
        <v>-0.6568942290736931</v>
      </c>
      <c r="P7" s="20">
        <f>'TE BE'!$P$7*'TE BE'!$P$58</f>
        <v>0</v>
      </c>
      <c r="Q7" s="20">
        <f>SUM($L$7:$P$7)</f>
        <v>4.5946765199434187</v>
      </c>
      <c r="R7" s="20">
        <f>'TE BE'!$R$7*'TE BE'!$R$58</f>
        <v>27.753791885672559</v>
      </c>
      <c r="S7" s="20">
        <f>SUM($R$7:$R$7)</f>
        <v>27.753791885672559</v>
      </c>
      <c r="T7" s="20">
        <f>'TE BE'!$T$7*'TE BE'!$T$58</f>
        <v>0</v>
      </c>
      <c r="U7" s="20">
        <f>'TE BE'!$U$7*'TE BE'!$U$58</f>
        <v>0</v>
      </c>
      <c r="V7" s="20">
        <f>'TE BE'!$V$7*'TE BE'!$V$58</f>
        <v>0</v>
      </c>
      <c r="W7" s="20">
        <f>SUM($T$7:$V$7)</f>
        <v>0</v>
      </c>
      <c r="X7" s="20">
        <f>'TE BE'!$AB$7*'TE BE'!$X$58</f>
        <v>-19.79067492419286</v>
      </c>
      <c r="Y7" s="20">
        <f>SUM($X$7:$X$7)</f>
        <v>-19.79067492419286</v>
      </c>
      <c r="Z7" s="20">
        <f>'TE BE'!$Z$7*'TE BE'!$Z$58</f>
        <v>0.6429669941224696</v>
      </c>
      <c r="AA7" s="20">
        <f>SUM($Z$7:$Z$7)</f>
        <v>0.6429669941224696</v>
      </c>
      <c r="AB7" s="20">
        <f>SUMIF($L$4:$AA$4,"SUBTOTAL",$L$7:$AA$7)</f>
        <v>13.200760475545584</v>
      </c>
    </row>
    <row r="8" spans="1:28" ht="11.25" customHeight="1" x14ac:dyDescent="0.25">
      <c r="A8" s="118" t="s">
        <v>43</v>
      </c>
      <c r="B8" s="118" t="s">
        <v>81</v>
      </c>
      <c r="C8" s="118" t="s">
        <v>25</v>
      </c>
      <c r="D8" s="118" t="s">
        <v>25</v>
      </c>
      <c r="E8" s="118" t="s">
        <v>25</v>
      </c>
      <c r="F8" s="118" t="s">
        <v>25</v>
      </c>
      <c r="G8" s="23" t="s">
        <v>83</v>
      </c>
      <c r="H8" s="23" t="s">
        <v>82</v>
      </c>
      <c r="I8" s="23">
        <f>'MERCADO TE'!$U$5</f>
        <v>163.142</v>
      </c>
      <c r="J8" s="15"/>
      <c r="L8" s="20">
        <f>'TE BE'!$L$8*'TE BE'!$L$58</f>
        <v>-5.3017893166468373E-7</v>
      </c>
      <c r="M8" s="20">
        <f>'TE BE'!$M$8*'TE BE'!$M$58</f>
        <v>5.2515712791960434</v>
      </c>
      <c r="N8" s="20">
        <f>'TE BE'!$N$8*'TE BE'!$N$58</f>
        <v>0</v>
      </c>
      <c r="O8" s="20">
        <f>'TE BE'!$O$8*'TE BE'!$O$58</f>
        <v>-0.6568942290736931</v>
      </c>
      <c r="P8" s="20">
        <f>'TE BE'!$P$8*'TE BE'!$P$58</f>
        <v>0</v>
      </c>
      <c r="Q8" s="20">
        <f>SUM($L$8:$P$8)</f>
        <v>4.5946765199434187</v>
      </c>
      <c r="R8" s="20">
        <f>'TE BE'!$R$8*'TE BE'!$R$58</f>
        <v>45.034454757883779</v>
      </c>
      <c r="S8" s="20">
        <f>SUM($R$8:$R$8)</f>
        <v>45.034454757883779</v>
      </c>
      <c r="T8" s="20">
        <f>'TE BE'!$T$8*'TE BE'!$T$58</f>
        <v>0</v>
      </c>
      <c r="U8" s="20">
        <f>'TE BE'!$U$8*'TE BE'!$U$58</f>
        <v>0</v>
      </c>
      <c r="V8" s="20">
        <f>'TE BE'!$V$8*'TE BE'!$V$58</f>
        <v>0</v>
      </c>
      <c r="W8" s="20">
        <f>SUM($T$8:$V$8)</f>
        <v>0</v>
      </c>
      <c r="X8" s="20">
        <f>'TE BE'!$AB$8*'TE BE'!$X$58</f>
        <v>-31.333871642687104</v>
      </c>
      <c r="Y8" s="20">
        <f>SUM($X$8:$X$8)</f>
        <v>-31.333871642687104</v>
      </c>
      <c r="Z8" s="20">
        <f>'TE BE'!$Z$8*'TE BE'!$Z$58</f>
        <v>0.6429669941224696</v>
      </c>
      <c r="AA8" s="20">
        <f>SUM($Z$8:$Z$8)</f>
        <v>0.6429669941224696</v>
      </c>
      <c r="AB8" s="20">
        <f>SUMIF($L$4:$AA$4,"SUBTOTAL",$L$8:$AA$8)</f>
        <v>18.938226629262566</v>
      </c>
    </row>
    <row r="9" spans="1:28" ht="11.25" customHeight="1" x14ac:dyDescent="0.25">
      <c r="A9" s="118"/>
      <c r="B9" s="118"/>
      <c r="C9" s="118"/>
      <c r="D9" s="118"/>
      <c r="E9" s="118"/>
      <c r="F9" s="118"/>
      <c r="G9" s="23" t="s">
        <v>84</v>
      </c>
      <c r="H9" s="23" t="s">
        <v>82</v>
      </c>
      <c r="I9" s="23">
        <f>'MERCADO TE'!$U$6</f>
        <v>1766.7370000000001</v>
      </c>
      <c r="J9" s="15"/>
      <c r="L9" s="20">
        <f>'TE BE'!$L$9*'TE BE'!$L$58</f>
        <v>-5.3017893166468373E-7</v>
      </c>
      <c r="M9" s="20">
        <f>'TE BE'!$M$9*'TE BE'!$M$58</f>
        <v>5.2515712791960434</v>
      </c>
      <c r="N9" s="20">
        <f>'TE BE'!$N$9*'TE BE'!$N$58</f>
        <v>0</v>
      </c>
      <c r="O9" s="20">
        <f>'TE BE'!$O$9*'TE BE'!$O$58</f>
        <v>-0.6568942290736931</v>
      </c>
      <c r="P9" s="20">
        <f>'TE BE'!$P$9*'TE BE'!$P$58</f>
        <v>0</v>
      </c>
      <c r="Q9" s="20">
        <f>SUM($L$9:$P$9)</f>
        <v>4.5946765199434187</v>
      </c>
      <c r="R9" s="20">
        <f>'TE BE'!$R$9*'TE BE'!$R$58</f>
        <v>26.182822533653358</v>
      </c>
      <c r="S9" s="20">
        <f>SUM($R$9:$R$9)</f>
        <v>26.182822533653358</v>
      </c>
      <c r="T9" s="20">
        <f>'TE BE'!$T$9*'TE BE'!$T$58</f>
        <v>0</v>
      </c>
      <c r="U9" s="20">
        <f>'TE BE'!$U$9*'TE BE'!$U$58</f>
        <v>0</v>
      </c>
      <c r="V9" s="20">
        <f>'TE BE'!$V$9*'TE BE'!$V$58</f>
        <v>0</v>
      </c>
      <c r="W9" s="20">
        <f>SUM($T$9:$V$9)</f>
        <v>0</v>
      </c>
      <c r="X9" s="20">
        <f>'TE BE'!$AB$9*'TE BE'!$X$58</f>
        <v>-18.741293404329745</v>
      </c>
      <c r="Y9" s="20">
        <f>SUM($X$9:$X$9)</f>
        <v>-18.741293404329745</v>
      </c>
      <c r="Z9" s="20">
        <f>'TE BE'!$Z$9*'TE BE'!$Z$58</f>
        <v>0.6429669941224696</v>
      </c>
      <c r="AA9" s="20">
        <f>SUM($Z$9:$Z$9)</f>
        <v>0.6429669941224696</v>
      </c>
      <c r="AB9" s="20">
        <f>SUMIF($L$4:$AA$4,"SUBTOTAL",$L$9:$AA$9)</f>
        <v>12.679172643389501</v>
      </c>
    </row>
    <row r="10" spans="1:28" ht="11.25" customHeight="1" x14ac:dyDescent="0.25">
      <c r="A10" s="118"/>
      <c r="B10" s="22" t="s">
        <v>90</v>
      </c>
      <c r="C10" s="22" t="s">
        <v>25</v>
      </c>
      <c r="D10" s="22" t="s">
        <v>25</v>
      </c>
      <c r="E10" s="22" t="s">
        <v>25</v>
      </c>
      <c r="F10" s="22" t="s">
        <v>25</v>
      </c>
      <c r="G10" s="23" t="s">
        <v>88</v>
      </c>
      <c r="H10" s="23" t="s">
        <v>82</v>
      </c>
      <c r="I10" s="23">
        <f>'MERCADO TE'!$U$7</f>
        <v>0</v>
      </c>
      <c r="J10" s="15"/>
      <c r="L10" s="20">
        <f>'TE BE'!$L$10*'TE BE'!$L$58</f>
        <v>-5.3017893166468373E-7</v>
      </c>
      <c r="M10" s="20">
        <f>'TE BE'!$M$10*'TE BE'!$M$58</f>
        <v>5.2515712791960434</v>
      </c>
      <c r="N10" s="20">
        <f>'TE BE'!$N$10*'TE BE'!$N$58</f>
        <v>0</v>
      </c>
      <c r="O10" s="20">
        <f>'TE BE'!$O$10*'TE BE'!$O$58</f>
        <v>-0.6568942290736931</v>
      </c>
      <c r="P10" s="20">
        <f>'TE BE'!$P$10*'TE BE'!$P$58</f>
        <v>0</v>
      </c>
      <c r="Q10" s="20">
        <f>SUM($L$10:$P$10)</f>
        <v>4.5946765199434187</v>
      </c>
      <c r="R10" s="20">
        <f>'TE BE'!$R$10*'TE BE'!$R$58</f>
        <v>27.753791885672559</v>
      </c>
      <c r="S10" s="20">
        <f>SUM($R$10:$R$10)</f>
        <v>27.753791885672559</v>
      </c>
      <c r="T10" s="20">
        <f>'TE BE'!$T$10*'TE BE'!$T$58</f>
        <v>0</v>
      </c>
      <c r="U10" s="20">
        <f>'TE BE'!$U$10*'TE BE'!$U$58</f>
        <v>0</v>
      </c>
      <c r="V10" s="20">
        <f>'TE BE'!$V$10*'TE BE'!$V$58</f>
        <v>0</v>
      </c>
      <c r="W10" s="20">
        <f>SUM($T$10:$V$10)</f>
        <v>0</v>
      </c>
      <c r="X10" s="20">
        <f>'TE BE'!$AB$10*'TE BE'!$X$58</f>
        <v>-19.79067492419286</v>
      </c>
      <c r="Y10" s="20">
        <f>SUM($X$10:$X$10)</f>
        <v>-19.79067492419286</v>
      </c>
      <c r="Z10" s="20">
        <f>'TE BE'!$Z$10*'TE BE'!$Z$58</f>
        <v>0.6429669941224696</v>
      </c>
      <c r="AA10" s="20">
        <f>SUM($Z$10:$Z$10)</f>
        <v>0.6429669941224696</v>
      </c>
      <c r="AB10" s="20">
        <f>SUMIF($L$4:$AA$4,"SUBTOTAL",$L$10:$AA$10)</f>
        <v>13.200760475545584</v>
      </c>
    </row>
    <row r="11" spans="1:28" ht="11.25" customHeight="1" x14ac:dyDescent="0.25">
      <c r="A11" s="118" t="s">
        <v>41</v>
      </c>
      <c r="B11" s="118" t="s">
        <v>81</v>
      </c>
      <c r="C11" s="118" t="s">
        <v>25</v>
      </c>
      <c r="D11" s="118" t="s">
        <v>25</v>
      </c>
      <c r="E11" s="118" t="s">
        <v>25</v>
      </c>
      <c r="F11" s="118" t="s">
        <v>25</v>
      </c>
      <c r="G11" s="23" t="s">
        <v>83</v>
      </c>
      <c r="H11" s="23" t="s">
        <v>82</v>
      </c>
      <c r="I11" s="23">
        <f>'MERCADO TE'!$U$8</f>
        <v>15731.081</v>
      </c>
      <c r="J11" s="15"/>
      <c r="L11" s="20">
        <f>'TE BE'!$L$11*'TE BE'!$L$58</f>
        <v>-5.3017893166468373E-7</v>
      </c>
      <c r="M11" s="20">
        <f>'TE BE'!$M$11*'TE BE'!$M$58</f>
        <v>5.2515712791960434</v>
      </c>
      <c r="N11" s="20">
        <f>'TE BE'!$N$11*'TE BE'!$N$58</f>
        <v>0</v>
      </c>
      <c r="O11" s="20">
        <f>'TE BE'!$O$11*'TE BE'!$O$58</f>
        <v>-0.6568942290736931</v>
      </c>
      <c r="P11" s="20">
        <f>'TE BE'!$P$11*'TE BE'!$P$58</f>
        <v>0</v>
      </c>
      <c r="Q11" s="20">
        <f>SUM($L$11:$P$11)</f>
        <v>4.5946765199434187</v>
      </c>
      <c r="R11" s="20">
        <f>'TE BE'!$R$11*'TE BE'!$R$58</f>
        <v>45.034454757883779</v>
      </c>
      <c r="S11" s="20">
        <f>SUM($R$11:$R$11)</f>
        <v>45.034454757883779</v>
      </c>
      <c r="T11" s="20">
        <f>'TE BE'!$T$11*'TE BE'!$T$58</f>
        <v>0</v>
      </c>
      <c r="U11" s="20">
        <f>'TE BE'!$U$11*'TE BE'!$U$58</f>
        <v>0</v>
      </c>
      <c r="V11" s="20">
        <f>'TE BE'!$V$11*'TE BE'!$V$58</f>
        <v>0</v>
      </c>
      <c r="W11" s="20">
        <f>SUM($T$11:$V$11)</f>
        <v>0</v>
      </c>
      <c r="X11" s="20">
        <f>'TE BE'!$AB$11*'TE BE'!$X$58</f>
        <v>-31.333871642687104</v>
      </c>
      <c r="Y11" s="20">
        <f>SUM($X$11:$X$11)</f>
        <v>-31.333871642687104</v>
      </c>
      <c r="Z11" s="20">
        <f>'TE BE'!$Z$11*'TE BE'!$Z$58</f>
        <v>0.6429669941224696</v>
      </c>
      <c r="AA11" s="20">
        <f>SUM($Z$11:$Z$11)</f>
        <v>0.6429669941224696</v>
      </c>
      <c r="AB11" s="20">
        <f>SUMIF($L$4:$AA$4,"SUBTOTAL",$L$11:$AA$11)</f>
        <v>18.938226629262566</v>
      </c>
    </row>
    <row r="12" spans="1:28" ht="11.25" customHeight="1" x14ac:dyDescent="0.25">
      <c r="A12" s="118"/>
      <c r="B12" s="118"/>
      <c r="C12" s="118"/>
      <c r="D12" s="118"/>
      <c r="E12" s="118"/>
      <c r="F12" s="118"/>
      <c r="G12" s="23" t="s">
        <v>84</v>
      </c>
      <c r="H12" s="23" t="s">
        <v>82</v>
      </c>
      <c r="I12" s="23">
        <f>'MERCADO TE'!$U$9</f>
        <v>195150.861</v>
      </c>
      <c r="J12" s="15"/>
      <c r="L12" s="20">
        <f>'TE BE'!$L$12*'TE BE'!$L$58</f>
        <v>-5.3017893166468373E-7</v>
      </c>
      <c r="M12" s="20">
        <f>'TE BE'!$M$12*'TE BE'!$M$58</f>
        <v>5.2515712791960434</v>
      </c>
      <c r="N12" s="20">
        <f>'TE BE'!$N$12*'TE BE'!$N$58</f>
        <v>0</v>
      </c>
      <c r="O12" s="20">
        <f>'TE BE'!$O$12*'TE BE'!$O$58</f>
        <v>-0.6568942290736931</v>
      </c>
      <c r="P12" s="20">
        <f>'TE BE'!$P$12*'TE BE'!$P$58</f>
        <v>0</v>
      </c>
      <c r="Q12" s="20">
        <f>SUM($L$12:$P$12)</f>
        <v>4.5946765199434187</v>
      </c>
      <c r="R12" s="20">
        <f>'TE BE'!$R$12*'TE BE'!$R$58</f>
        <v>26.182822533653358</v>
      </c>
      <c r="S12" s="20">
        <f>SUM($R$12:$R$12)</f>
        <v>26.182822533653358</v>
      </c>
      <c r="T12" s="20">
        <f>'TE BE'!$T$12*'TE BE'!$T$58</f>
        <v>0</v>
      </c>
      <c r="U12" s="20">
        <f>'TE BE'!$U$12*'TE BE'!$U$58</f>
        <v>0</v>
      </c>
      <c r="V12" s="20">
        <f>'TE BE'!$V$12*'TE BE'!$V$58</f>
        <v>0</v>
      </c>
      <c r="W12" s="20">
        <f>SUM($T$12:$V$12)</f>
        <v>0</v>
      </c>
      <c r="X12" s="20">
        <f>'TE BE'!$AB$12*'TE BE'!$X$58</f>
        <v>-18.741293404329745</v>
      </c>
      <c r="Y12" s="20">
        <f>SUM($X$12:$X$12)</f>
        <v>-18.741293404329745</v>
      </c>
      <c r="Z12" s="20">
        <f>'TE BE'!$Z$12*'TE BE'!$Z$58</f>
        <v>0.6429669941224696</v>
      </c>
      <c r="AA12" s="20">
        <f>SUM($Z$12:$Z$12)</f>
        <v>0.6429669941224696</v>
      </c>
      <c r="AB12" s="20">
        <f>SUMIF($L$4:$AA$4,"SUBTOTAL",$L$12:$AA$12)</f>
        <v>12.679172643389501</v>
      </c>
    </row>
    <row r="13" spans="1:28" ht="11.25" customHeight="1" x14ac:dyDescent="0.25">
      <c r="A13" s="118"/>
      <c r="B13" s="22" t="s">
        <v>92</v>
      </c>
      <c r="C13" s="22" t="s">
        <v>25</v>
      </c>
      <c r="D13" s="22" t="s">
        <v>25</v>
      </c>
      <c r="E13" s="22" t="s">
        <v>93</v>
      </c>
      <c r="F13" s="22" t="s">
        <v>25</v>
      </c>
      <c r="G13" s="23" t="s">
        <v>88</v>
      </c>
      <c r="H13" s="23" t="s">
        <v>82</v>
      </c>
      <c r="I13" s="23">
        <f>'MERCADO TE'!$U$10</f>
        <v>0</v>
      </c>
      <c r="J13" s="15"/>
      <c r="L13" s="20">
        <f>'TE BE'!$L$13*'TE BE'!$L$58</f>
        <v>-5.3017893166468373E-7</v>
      </c>
      <c r="M13" s="20">
        <f>'TE BE'!$M$13*'TE BE'!$M$58</f>
        <v>5.2515712791960434</v>
      </c>
      <c r="N13" s="20">
        <f>'TE BE'!$N$13*'TE BE'!$N$58</f>
        <v>0</v>
      </c>
      <c r="O13" s="20">
        <f>'TE BE'!$O$13*'TE BE'!$O$58</f>
        <v>-0.65689422907369321</v>
      </c>
      <c r="P13" s="20">
        <f>'TE BE'!$P$13*'TE BE'!$P$58</f>
        <v>0</v>
      </c>
      <c r="Q13" s="20">
        <f>SUM($L$13:$P$13)</f>
        <v>4.5946765199434179</v>
      </c>
      <c r="R13" s="20">
        <f>'TE BE'!$R$13*'TE BE'!$R$58</f>
        <v>27.641947147059089</v>
      </c>
      <c r="S13" s="20">
        <f>SUM($R$13:$R$13)</f>
        <v>27.641947147059089</v>
      </c>
      <c r="T13" s="20">
        <f>'TE BE'!$T$13*'TE BE'!$T$58</f>
        <v>0</v>
      </c>
      <c r="U13" s="20">
        <f>'TE BE'!$U$13*'TE BE'!$U$58</f>
        <v>0</v>
      </c>
      <c r="V13" s="20">
        <f>'TE BE'!$V$13*'TE BE'!$V$58</f>
        <v>0</v>
      </c>
      <c r="W13" s="20">
        <f>SUM($T$13:$V$13)</f>
        <v>0</v>
      </c>
      <c r="X13" s="20">
        <v>0</v>
      </c>
      <c r="Y13" s="20">
        <f>SUM($X$13:$X$13)</f>
        <v>0</v>
      </c>
      <c r="Z13" s="20">
        <f>'TE BE'!$Z$13*'TE BE'!$Z$58</f>
        <v>0.6429669941224696</v>
      </c>
      <c r="AA13" s="20">
        <f>SUM($Z$13:$Z$13)</f>
        <v>0.6429669941224696</v>
      </c>
      <c r="AB13" s="20">
        <f>SUMIF($L$4:$AA$4,"SUBTOTAL",$L$13:$AA$13)</f>
        <v>32.879590661124972</v>
      </c>
    </row>
    <row r="14" spans="1:28" ht="11.25" customHeight="1" x14ac:dyDescent="0.25">
      <c r="A14" s="118"/>
      <c r="B14" s="22" t="s">
        <v>90</v>
      </c>
      <c r="C14" s="22" t="s">
        <v>25</v>
      </c>
      <c r="D14" s="22" t="s">
        <v>25</v>
      </c>
      <c r="E14" s="22" t="s">
        <v>25</v>
      </c>
      <c r="F14" s="22" t="s">
        <v>25</v>
      </c>
      <c r="G14" s="23" t="s">
        <v>88</v>
      </c>
      <c r="H14" s="23" t="s">
        <v>82</v>
      </c>
      <c r="I14" s="23">
        <f>'MERCADO TE'!$U$11</f>
        <v>0</v>
      </c>
      <c r="J14" s="15"/>
      <c r="L14" s="20">
        <f>'TE BE'!$L$14*'TE BE'!$L$58</f>
        <v>-5.3017893166468373E-7</v>
      </c>
      <c r="M14" s="20">
        <f>'TE BE'!$M$14*'TE BE'!$M$58</f>
        <v>5.2515712791960434</v>
      </c>
      <c r="N14" s="20">
        <f>'TE BE'!$N$14*'TE BE'!$N$58</f>
        <v>0</v>
      </c>
      <c r="O14" s="20">
        <f>'TE BE'!$O$14*'TE BE'!$O$58</f>
        <v>-0.6568942290736931</v>
      </c>
      <c r="P14" s="20">
        <f>'TE BE'!$P$14*'TE BE'!$P$58</f>
        <v>0</v>
      </c>
      <c r="Q14" s="20">
        <f>SUM($L$14:$P$14)</f>
        <v>4.5946765199434187</v>
      </c>
      <c r="R14" s="20">
        <f>'TE BE'!$R$14*'TE BE'!$R$58</f>
        <v>27.753791885672559</v>
      </c>
      <c r="S14" s="20">
        <f>SUM($R$14:$R$14)</f>
        <v>27.753791885672559</v>
      </c>
      <c r="T14" s="20">
        <f>'TE BE'!$T$14*'TE BE'!$T$58</f>
        <v>0</v>
      </c>
      <c r="U14" s="20">
        <f>'TE BE'!$U$14*'TE BE'!$U$58</f>
        <v>0</v>
      </c>
      <c r="V14" s="20">
        <f>'TE BE'!$V$14*'TE BE'!$V$58</f>
        <v>0</v>
      </c>
      <c r="W14" s="20">
        <f>SUM($T$14:$V$14)</f>
        <v>0</v>
      </c>
      <c r="X14" s="20">
        <f>'TE BE'!$AB$14*'TE BE'!$X$58</f>
        <v>-19.79067492419286</v>
      </c>
      <c r="Y14" s="20">
        <f>SUM($X$14:$X$14)</f>
        <v>-19.79067492419286</v>
      </c>
      <c r="Z14" s="20">
        <f>'TE BE'!$Z$14*'TE BE'!$Z$58</f>
        <v>0.6429669941224696</v>
      </c>
      <c r="AA14" s="20">
        <f>SUM($Z$14:$Z$14)</f>
        <v>0.6429669941224696</v>
      </c>
      <c r="AB14" s="20">
        <f>SUMIF($L$4:$AA$4,"SUBTOTAL",$L$14:$AA$14)</f>
        <v>13.200760475545584</v>
      </c>
    </row>
    <row r="15" spans="1:28" ht="11.25" customHeight="1" x14ac:dyDescent="0.25">
      <c r="A15" s="118"/>
      <c r="B15" s="22" t="s">
        <v>94</v>
      </c>
      <c r="C15" s="22" t="s">
        <v>25</v>
      </c>
      <c r="D15" s="22" t="s">
        <v>25</v>
      </c>
      <c r="E15" s="22" t="s">
        <v>93</v>
      </c>
      <c r="F15" s="22" t="s">
        <v>25</v>
      </c>
      <c r="G15" s="23" t="s">
        <v>88</v>
      </c>
      <c r="H15" s="23" t="s">
        <v>82</v>
      </c>
      <c r="I15" s="23">
        <f>'MERCADO TE'!$U$12</f>
        <v>0</v>
      </c>
      <c r="J15" s="15"/>
      <c r="L15" s="20">
        <f>'TE BE'!$L$15*'TE BE'!$L$58</f>
        <v>-5.3017893166468373E-7</v>
      </c>
      <c r="M15" s="20">
        <f>'TE BE'!$M$15*'TE BE'!$M$58</f>
        <v>5.2515712791960434</v>
      </c>
      <c r="N15" s="20">
        <f>'TE BE'!$N$15*'TE BE'!$N$58</f>
        <v>0</v>
      </c>
      <c r="O15" s="20">
        <f>'TE BE'!$O$15*'TE BE'!$O$58</f>
        <v>-0.65689422907369321</v>
      </c>
      <c r="P15" s="20">
        <f>'TE BE'!$P$15*'TE BE'!$P$58</f>
        <v>0</v>
      </c>
      <c r="Q15" s="20">
        <f>SUM($L$15:$P$15)</f>
        <v>4.5946765199434179</v>
      </c>
      <c r="R15" s="20">
        <f>'TE BE'!$R$15*'TE BE'!$R$58</f>
        <v>27.641947147059089</v>
      </c>
      <c r="S15" s="20">
        <f>SUM($R$15:$R$15)</f>
        <v>27.641947147059089</v>
      </c>
      <c r="T15" s="20">
        <f>'TE BE'!$T$15*'TE BE'!$T$58</f>
        <v>0</v>
      </c>
      <c r="U15" s="20">
        <f>'TE BE'!$U$15*'TE BE'!$U$58</f>
        <v>0</v>
      </c>
      <c r="V15" s="20">
        <f>'TE BE'!$V$15*'TE BE'!$V$58</f>
        <v>0</v>
      </c>
      <c r="W15" s="20">
        <f>SUM($T$15:$V$15)</f>
        <v>0</v>
      </c>
      <c r="X15" s="20">
        <v>0</v>
      </c>
      <c r="Y15" s="20">
        <f>SUM($X$15:$X$15)</f>
        <v>0</v>
      </c>
      <c r="Z15" s="20">
        <f>'TE BE'!$Z$15*'TE BE'!$Z$58</f>
        <v>0.6429669941224696</v>
      </c>
      <c r="AA15" s="20">
        <f>SUM($Z$15:$Z$15)</f>
        <v>0.6429669941224696</v>
      </c>
      <c r="AB15" s="20">
        <f>SUMIF($L$4:$AA$4,"SUBTOTAL",$L$15:$AA$15)</f>
        <v>32.879590661124972</v>
      </c>
    </row>
    <row r="16" spans="1:28" ht="11.25" customHeight="1" x14ac:dyDescent="0.25">
      <c r="A16" s="118"/>
      <c r="B16" s="22" t="s">
        <v>92</v>
      </c>
      <c r="C16" s="22" t="s">
        <v>25</v>
      </c>
      <c r="D16" s="22" t="s">
        <v>25</v>
      </c>
      <c r="E16" s="22" t="s">
        <v>25</v>
      </c>
      <c r="F16" s="22" t="s">
        <v>25</v>
      </c>
      <c r="G16" s="23" t="s">
        <v>88</v>
      </c>
      <c r="H16" s="23" t="s">
        <v>82</v>
      </c>
      <c r="I16" s="23">
        <f>'MERCADO TE'!$U$13</f>
        <v>10049.64</v>
      </c>
      <c r="J16" s="15"/>
      <c r="L16" s="20">
        <f>'TE BE'!$L$16*'TE BE'!$L$58</f>
        <v>-5.3017893166468373E-7</v>
      </c>
      <c r="M16" s="20">
        <f>'TE BE'!$M$16*'TE BE'!$M$58</f>
        <v>0</v>
      </c>
      <c r="N16" s="20">
        <f>'TE BE'!$N$16*'TE BE'!$N$58</f>
        <v>0</v>
      </c>
      <c r="O16" s="20">
        <f>'TE BE'!$O$16*'TE BE'!$O$58</f>
        <v>-0.65689422907369321</v>
      </c>
      <c r="P16" s="20">
        <f>'TE BE'!$P$16*'TE BE'!$P$58</f>
        <v>0</v>
      </c>
      <c r="Q16" s="20">
        <f>SUM($L$16:$P$16)</f>
        <v>-0.65689475925262486</v>
      </c>
      <c r="R16" s="20">
        <f>'TE BE'!$R$16*'TE BE'!$R$58</f>
        <v>27.641947147059089</v>
      </c>
      <c r="S16" s="20">
        <f>SUM($R$16:$R$16)</f>
        <v>27.641947147059089</v>
      </c>
      <c r="T16" s="20">
        <f>'TE BE'!$T$16*'TE BE'!$T$58</f>
        <v>0</v>
      </c>
      <c r="U16" s="20">
        <f>'TE BE'!$U$16*'TE BE'!$U$58</f>
        <v>0</v>
      </c>
      <c r="V16" s="20">
        <f>'TE BE'!$V$16*'TE BE'!$V$58</f>
        <v>0</v>
      </c>
      <c r="W16" s="20">
        <f>SUM($T$16:$V$16)</f>
        <v>0</v>
      </c>
      <c r="X16" s="20">
        <v>0</v>
      </c>
      <c r="Y16" s="20">
        <f>SUM($X$16:$X$16)</f>
        <v>0</v>
      </c>
      <c r="Z16" s="20">
        <f>'TE BE'!$Z$16*'TE BE'!$Z$58</f>
        <v>0</v>
      </c>
      <c r="AA16" s="20">
        <f>SUM($Z$16:$Z$16)</f>
        <v>0</v>
      </c>
      <c r="AB16" s="20">
        <f>SUMIF($L$4:$AA$4,"SUBTOTAL",$L$16:$AA$16)</f>
        <v>26.985052387806462</v>
      </c>
    </row>
    <row r="17" spans="1:28" ht="11.25" customHeight="1" x14ac:dyDescent="0.25">
      <c r="A17" s="118" t="s">
        <v>22</v>
      </c>
      <c r="B17" s="118" t="s">
        <v>81</v>
      </c>
      <c r="C17" s="118" t="s">
        <v>24</v>
      </c>
      <c r="D17" s="118" t="s">
        <v>24</v>
      </c>
      <c r="E17" s="118" t="s">
        <v>25</v>
      </c>
      <c r="F17" s="118" t="s">
        <v>25</v>
      </c>
      <c r="G17" s="23" t="s">
        <v>83</v>
      </c>
      <c r="H17" s="23" t="s">
        <v>82</v>
      </c>
      <c r="I17" s="23">
        <f>'MERCADO TE'!$U$14</f>
        <v>51.442999999999998</v>
      </c>
      <c r="J17" s="15"/>
      <c r="L17" s="20">
        <f>'TE BE'!$L$17*'TE BE'!$L$58</f>
        <v>-5.3017893166468373E-7</v>
      </c>
      <c r="M17" s="20">
        <f>'TE BE'!$M$17*'TE BE'!$M$58</f>
        <v>5.2515712791960434</v>
      </c>
      <c r="N17" s="20">
        <f>'TE BE'!$N$17*'TE BE'!$N$58</f>
        <v>0</v>
      </c>
      <c r="O17" s="20">
        <f>'TE BE'!$O$17*'TE BE'!$O$58</f>
        <v>-0.6568942290736931</v>
      </c>
      <c r="P17" s="20">
        <f>'TE BE'!$P$17*'TE BE'!$P$58</f>
        <v>0</v>
      </c>
      <c r="Q17" s="20">
        <f>SUM($L$17:$P$17)</f>
        <v>4.5946765199434187</v>
      </c>
      <c r="R17" s="20">
        <f>'TE BE'!$R$17*'TE BE'!$R$58</f>
        <v>45.034454757883779</v>
      </c>
      <c r="S17" s="20">
        <f>SUM($R$17:$R$17)</f>
        <v>45.034454757883779</v>
      </c>
      <c r="T17" s="20">
        <f>'TE BE'!$T$17*'TE BE'!$T$58</f>
        <v>0</v>
      </c>
      <c r="U17" s="20">
        <f>'TE BE'!$U$17*'TE BE'!$U$58</f>
        <v>0</v>
      </c>
      <c r="V17" s="20">
        <f>'TE BE'!$V$17*'TE BE'!$V$58</f>
        <v>0</v>
      </c>
      <c r="W17" s="20">
        <f>SUM($T$17:$V$17)</f>
        <v>0</v>
      </c>
      <c r="X17" s="20">
        <f>'TE BE'!$AB$17*'TE BE'!$X$58</f>
        <v>-31.333871642687104</v>
      </c>
      <c r="Y17" s="20">
        <f>SUM($X$17:$X$17)</f>
        <v>-31.333871642687104</v>
      </c>
      <c r="Z17" s="20">
        <f>'TE BE'!$Z$17*'TE BE'!$Z$58</f>
        <v>0.6429669941224696</v>
      </c>
      <c r="AA17" s="20">
        <f>SUM($Z$17:$Z$17)</f>
        <v>0.6429669941224696</v>
      </c>
      <c r="AB17" s="20">
        <f>SUMIF($L$4:$AA$4,"SUBTOTAL",$L$17:$AA$17)</f>
        <v>18.938226629262566</v>
      </c>
    </row>
    <row r="18" spans="1:28" ht="11.25" customHeight="1" x14ac:dyDescent="0.25">
      <c r="A18" s="118"/>
      <c r="B18" s="118"/>
      <c r="C18" s="118"/>
      <c r="D18" s="118"/>
      <c r="E18" s="118"/>
      <c r="F18" s="118"/>
      <c r="G18" s="23" t="s">
        <v>98</v>
      </c>
      <c r="H18" s="23" t="s">
        <v>82</v>
      </c>
      <c r="I18" s="23">
        <f>'MERCADO TE'!$U$15</f>
        <v>16.948999999999998</v>
      </c>
      <c r="J18" s="15"/>
      <c r="L18" s="20">
        <f>'TE BE'!$L$18*'TE BE'!$L$58</f>
        <v>-5.3017893166468373E-7</v>
      </c>
      <c r="M18" s="20">
        <f>'TE BE'!$M$18*'TE BE'!$M$58</f>
        <v>5.2515712791960434</v>
      </c>
      <c r="N18" s="20">
        <f>'TE BE'!$N$18*'TE BE'!$N$58</f>
        <v>0</v>
      </c>
      <c r="O18" s="20">
        <f>'TE BE'!$O$18*'TE BE'!$O$58</f>
        <v>-0.6568942290736931</v>
      </c>
      <c r="P18" s="20">
        <f>'TE BE'!$P$18*'TE BE'!$P$58</f>
        <v>0</v>
      </c>
      <c r="Q18" s="20">
        <f>SUM($L$18:$P$18)</f>
        <v>4.5946765199434187</v>
      </c>
      <c r="R18" s="20">
        <f>'TE BE'!$R$18*'TE BE'!$R$58</f>
        <v>26.182822533653358</v>
      </c>
      <c r="S18" s="20">
        <f>SUM($R$18:$R$18)</f>
        <v>26.182822533653358</v>
      </c>
      <c r="T18" s="20">
        <f>'TE BE'!$T$18*'TE BE'!$T$58</f>
        <v>0</v>
      </c>
      <c r="U18" s="20">
        <f>'TE BE'!$U$18*'TE BE'!$U$58</f>
        <v>0</v>
      </c>
      <c r="V18" s="20">
        <f>'TE BE'!$V$18*'TE BE'!$V$58</f>
        <v>0</v>
      </c>
      <c r="W18" s="20">
        <f>SUM($T$18:$V$18)</f>
        <v>0</v>
      </c>
      <c r="X18" s="20">
        <f>'TE BE'!$AB$18*'TE BE'!$X$58</f>
        <v>-18.741293404329745</v>
      </c>
      <c r="Y18" s="20">
        <f>SUM($X$18:$X$18)</f>
        <v>-18.741293404329745</v>
      </c>
      <c r="Z18" s="20">
        <f>'TE BE'!$Z$18*'TE BE'!$Z$58</f>
        <v>0.6429669941224696</v>
      </c>
      <c r="AA18" s="20">
        <f>SUM($Z$18:$Z$18)</f>
        <v>0.6429669941224696</v>
      </c>
      <c r="AB18" s="20">
        <f>SUMIF($L$4:$AA$4,"SUBTOTAL",$L$18:$AA$18)</f>
        <v>12.679172643389501</v>
      </c>
    </row>
    <row r="19" spans="1:28" ht="11.25" customHeight="1" x14ac:dyDescent="0.25">
      <c r="A19" s="118"/>
      <c r="B19" s="118"/>
      <c r="C19" s="118"/>
      <c r="D19" s="118"/>
      <c r="E19" s="118"/>
      <c r="F19" s="118"/>
      <c r="G19" s="23" t="s">
        <v>84</v>
      </c>
      <c r="H19" s="23" t="s">
        <v>82</v>
      </c>
      <c r="I19" s="23">
        <f>'MERCADO TE'!$U$16</f>
        <v>490.19600000000008</v>
      </c>
      <c r="J19" s="15"/>
      <c r="L19" s="20">
        <f>'TE BE'!$L$19*'TE BE'!$L$58</f>
        <v>-5.3017893166468373E-7</v>
      </c>
      <c r="M19" s="20">
        <f>'TE BE'!$M$19*'TE BE'!$M$58</f>
        <v>5.2515712791960434</v>
      </c>
      <c r="N19" s="20">
        <f>'TE BE'!$N$19*'TE BE'!$N$58</f>
        <v>0</v>
      </c>
      <c r="O19" s="20">
        <f>'TE BE'!$O$19*'TE BE'!$O$58</f>
        <v>-0.6568942290736931</v>
      </c>
      <c r="P19" s="20">
        <f>'TE BE'!$P$19*'TE BE'!$P$58</f>
        <v>0</v>
      </c>
      <c r="Q19" s="20">
        <f>SUM($L$19:$P$19)</f>
        <v>4.5946765199434187</v>
      </c>
      <c r="R19" s="20">
        <f>'TE BE'!$R$19*'TE BE'!$R$58</f>
        <v>26.182822533653358</v>
      </c>
      <c r="S19" s="20">
        <f>SUM($R$19:$R$19)</f>
        <v>26.182822533653358</v>
      </c>
      <c r="T19" s="20">
        <f>'TE BE'!$T$19*'TE BE'!$T$58</f>
        <v>0</v>
      </c>
      <c r="U19" s="20">
        <f>'TE BE'!$U$19*'TE BE'!$U$58</f>
        <v>0</v>
      </c>
      <c r="V19" s="20">
        <f>'TE BE'!$V$19*'TE BE'!$V$58</f>
        <v>0</v>
      </c>
      <c r="W19" s="20">
        <f>SUM($T$19:$V$19)</f>
        <v>0</v>
      </c>
      <c r="X19" s="20">
        <f>'TE BE'!$AB$19*'TE BE'!$X$58</f>
        <v>-18.741293404329745</v>
      </c>
      <c r="Y19" s="20">
        <f>SUM($X$19:$X$19)</f>
        <v>-18.741293404329745</v>
      </c>
      <c r="Z19" s="20">
        <f>'TE BE'!$Z$19*'TE BE'!$Z$58</f>
        <v>0.6429669941224696</v>
      </c>
      <c r="AA19" s="20">
        <f>SUM($Z$19:$Z$19)</f>
        <v>0.6429669941224696</v>
      </c>
      <c r="AB19" s="20">
        <f>SUMIF($L$4:$AA$4,"SUBTOTAL",$L$19:$AA$19)</f>
        <v>12.679172643389501</v>
      </c>
    </row>
    <row r="20" spans="1:28" ht="11.25" customHeight="1" x14ac:dyDescent="0.25">
      <c r="A20" s="118"/>
      <c r="B20" s="118" t="s">
        <v>90</v>
      </c>
      <c r="C20" s="118" t="s">
        <v>24</v>
      </c>
      <c r="D20" s="22" t="s">
        <v>24</v>
      </c>
      <c r="E20" s="22" t="s">
        <v>25</v>
      </c>
      <c r="F20" s="22" t="s">
        <v>25</v>
      </c>
      <c r="G20" s="23" t="s">
        <v>88</v>
      </c>
      <c r="H20" s="23" t="s">
        <v>82</v>
      </c>
      <c r="I20" s="23">
        <f>'MERCADO TE'!$U$17</f>
        <v>441318.25</v>
      </c>
      <c r="J20" s="15"/>
      <c r="L20" s="20">
        <f>'TE BE'!$L$20*'TE BE'!$L$58</f>
        <v>-5.3017893166468373E-7</v>
      </c>
      <c r="M20" s="20">
        <f>'TE BE'!$M$20*'TE BE'!$M$58</f>
        <v>5.2515712791960434</v>
      </c>
      <c r="N20" s="20">
        <f>'TE BE'!$N$20*'TE BE'!$N$58</f>
        <v>0</v>
      </c>
      <c r="O20" s="20">
        <f>'TE BE'!$O$20*'TE BE'!$O$58</f>
        <v>-0.6568942290736931</v>
      </c>
      <c r="P20" s="20">
        <f>'TE BE'!$P$20*'TE BE'!$P$58</f>
        <v>0</v>
      </c>
      <c r="Q20" s="20">
        <f>SUM($L$20:$P$20)</f>
        <v>4.5946765199434187</v>
      </c>
      <c r="R20" s="20">
        <f>'TE BE'!$R$20*'TE BE'!$R$58</f>
        <v>27.753791885672559</v>
      </c>
      <c r="S20" s="20">
        <f>SUM($R$20:$R$20)</f>
        <v>27.753791885672559</v>
      </c>
      <c r="T20" s="20">
        <f>'TE BE'!$T$20*'TE BE'!$T$58</f>
        <v>0</v>
      </c>
      <c r="U20" s="20">
        <f>'TE BE'!$U$20*'TE BE'!$U$58</f>
        <v>0</v>
      </c>
      <c r="V20" s="20">
        <f>'TE BE'!$V$20*'TE BE'!$V$58</f>
        <v>0</v>
      </c>
      <c r="W20" s="20">
        <f>SUM($T$20:$V$20)</f>
        <v>0</v>
      </c>
      <c r="X20" s="20">
        <f>'TE BE'!$AB$20*'TE BE'!$X$58</f>
        <v>-19.79067492419286</v>
      </c>
      <c r="Y20" s="20">
        <f>SUM($X$20:$X$20)</f>
        <v>-19.79067492419286</v>
      </c>
      <c r="Z20" s="20">
        <f>'TE BE'!$Z$20*'TE BE'!$Z$58</f>
        <v>0.6429669941224696</v>
      </c>
      <c r="AA20" s="20">
        <f>SUM($Z$20:$Z$20)</f>
        <v>0.6429669941224696</v>
      </c>
      <c r="AB20" s="20">
        <f>SUMIF($L$4:$AA$4,"SUBTOTAL",$L$20:$AA$20)</f>
        <v>13.200760475545584</v>
      </c>
    </row>
    <row r="21" spans="1:28" ht="11.25" customHeight="1" x14ac:dyDescent="0.25">
      <c r="A21" s="118"/>
      <c r="B21" s="118"/>
      <c r="C21" s="118"/>
      <c r="D21" s="22" t="s">
        <v>31</v>
      </c>
      <c r="E21" s="22" t="s">
        <v>25</v>
      </c>
      <c r="F21" s="22" t="s">
        <v>25</v>
      </c>
      <c r="G21" s="23" t="s">
        <v>88</v>
      </c>
      <c r="H21" s="23" t="s">
        <v>82</v>
      </c>
      <c r="I21" s="23">
        <f>'MERCADO TE'!$U$18</f>
        <v>23008.194</v>
      </c>
      <c r="J21" s="15"/>
      <c r="L21" s="20">
        <f>'TE BE'!$L$21*'TE BE'!$L$58</f>
        <v>-5.3017893166468373E-7</v>
      </c>
      <c r="M21" s="20">
        <f>'TE BE'!$M$21*'TE BE'!$M$58</f>
        <v>5.2515712791960434</v>
      </c>
      <c r="N21" s="20">
        <f>'TE BE'!$N$21*'TE BE'!$N$58</f>
        <v>0</v>
      </c>
      <c r="O21" s="20">
        <f>'TE BE'!$O$21*'TE BE'!$O$58</f>
        <v>-0.6568942290736931</v>
      </c>
      <c r="P21" s="20">
        <f>'TE BE'!$P$21*'TE BE'!$P$58</f>
        <v>0</v>
      </c>
      <c r="Q21" s="20">
        <f>SUM($L$21:$P$21)</f>
        <v>4.5946765199434187</v>
      </c>
      <c r="R21" s="20">
        <f>'TE BE'!$R$21*'TE BE'!$R$58</f>
        <v>27.753791885672559</v>
      </c>
      <c r="S21" s="20">
        <f>SUM($R$21:$R$21)</f>
        <v>27.753791885672559</v>
      </c>
      <c r="T21" s="20">
        <f>'TE BE'!$T$21*'TE BE'!$T$58</f>
        <v>0</v>
      </c>
      <c r="U21" s="20">
        <f>'TE BE'!$U$21*'TE BE'!$U$58</f>
        <v>0</v>
      </c>
      <c r="V21" s="20">
        <f>'TE BE'!$V$21*'TE BE'!$V$58</f>
        <v>0</v>
      </c>
      <c r="W21" s="20">
        <f>SUM($T$21:$V$21)</f>
        <v>0</v>
      </c>
      <c r="X21" s="20">
        <f>'TE BE'!$AB$21*'TE BE'!$X$58</f>
        <v>-19.79067492419286</v>
      </c>
      <c r="Y21" s="20">
        <f>SUM($X$21:$X$21)</f>
        <v>-19.79067492419286</v>
      </c>
      <c r="Z21" s="20">
        <f>'TE BE'!$Z$21*'TE BE'!$Z$58</f>
        <v>0.6429669941224696</v>
      </c>
      <c r="AA21" s="20">
        <f>SUM($Z$21:$Z$21)</f>
        <v>0.6429669941224696</v>
      </c>
      <c r="AB21" s="20">
        <f>SUMIF($L$4:$AA$4,"SUBTOTAL",$L$21:$AA$21)</f>
        <v>13.200760475545584</v>
      </c>
    </row>
    <row r="22" spans="1:28" ht="11.25" customHeight="1" x14ac:dyDescent="0.25">
      <c r="A22" s="118"/>
      <c r="B22" s="118"/>
      <c r="C22" s="118"/>
      <c r="D22" s="22" t="s">
        <v>32</v>
      </c>
      <c r="E22" s="22" t="s">
        <v>25</v>
      </c>
      <c r="F22" s="22" t="s">
        <v>25</v>
      </c>
      <c r="G22" s="23" t="s">
        <v>88</v>
      </c>
      <c r="H22" s="23" t="s">
        <v>82</v>
      </c>
      <c r="I22" s="23">
        <f>'MERCADO TE'!$U$19</f>
        <v>43669.588000000003</v>
      </c>
      <c r="J22" s="15"/>
      <c r="L22" s="20">
        <f>'TE BE'!$L$22*'TE BE'!$L$58</f>
        <v>-5.3017893166468373E-7</v>
      </c>
      <c r="M22" s="20">
        <f>'TE BE'!$M$22*'TE BE'!$M$58</f>
        <v>5.2515712791960434</v>
      </c>
      <c r="N22" s="20">
        <f>'TE BE'!$N$22*'TE BE'!$N$58</f>
        <v>0</v>
      </c>
      <c r="O22" s="20">
        <f>'TE BE'!$O$22*'TE BE'!$O$58</f>
        <v>-0.6568942290736931</v>
      </c>
      <c r="P22" s="20">
        <f>'TE BE'!$P$22*'TE BE'!$P$58</f>
        <v>0</v>
      </c>
      <c r="Q22" s="20">
        <f>SUM($L$22:$P$22)</f>
        <v>4.5946765199434187</v>
      </c>
      <c r="R22" s="20">
        <f>'TE BE'!$R$22*'TE BE'!$R$58</f>
        <v>27.753791885672559</v>
      </c>
      <c r="S22" s="20">
        <f>SUM($R$22:$R$22)</f>
        <v>27.753791885672559</v>
      </c>
      <c r="T22" s="20">
        <f>'TE BE'!$T$22*'TE BE'!$T$58</f>
        <v>0</v>
      </c>
      <c r="U22" s="20">
        <f>'TE BE'!$U$22*'TE BE'!$U$58</f>
        <v>0</v>
      </c>
      <c r="V22" s="20">
        <f>'TE BE'!$V$22*'TE BE'!$V$58</f>
        <v>0</v>
      </c>
      <c r="W22" s="20">
        <f>SUM($T$22:$V$22)</f>
        <v>0</v>
      </c>
      <c r="X22" s="20">
        <f>'TE BE'!$AB$22*'TE BE'!$X$58</f>
        <v>-19.79067492419286</v>
      </c>
      <c r="Y22" s="20">
        <f>SUM($X$22:$X$22)</f>
        <v>-19.79067492419286</v>
      </c>
      <c r="Z22" s="20">
        <f>'TE BE'!$Z$22*'TE BE'!$Z$58</f>
        <v>0.6429669941224696</v>
      </c>
      <c r="AA22" s="20">
        <f>SUM($Z$22:$Z$22)</f>
        <v>0.6429669941224696</v>
      </c>
      <c r="AB22" s="20">
        <f>SUMIF($L$4:$AA$4,"SUBTOTAL",$L$22:$AA$22)</f>
        <v>13.200760475545584</v>
      </c>
    </row>
    <row r="23" spans="1:28" ht="11.25" customHeight="1" x14ac:dyDescent="0.25">
      <c r="A23" s="118"/>
      <c r="B23" s="118"/>
      <c r="C23" s="118"/>
      <c r="D23" s="22" t="s">
        <v>33</v>
      </c>
      <c r="E23" s="22" t="s">
        <v>25</v>
      </c>
      <c r="F23" s="22" t="s">
        <v>25</v>
      </c>
      <c r="G23" s="23" t="s">
        <v>88</v>
      </c>
      <c r="H23" s="23" t="s">
        <v>82</v>
      </c>
      <c r="I23" s="23">
        <f>'MERCADO TE'!$U$20</f>
        <v>35563.447</v>
      </c>
      <c r="J23" s="15"/>
      <c r="L23" s="20">
        <f>'TE BE'!$L$23*'TE BE'!$L$58</f>
        <v>-5.3017893166468373E-7</v>
      </c>
      <c r="M23" s="20">
        <f>'TE BE'!$M$23*'TE BE'!$M$58</f>
        <v>5.2515712791960434</v>
      </c>
      <c r="N23" s="20">
        <f>'TE BE'!$N$23*'TE BE'!$N$58</f>
        <v>0</v>
      </c>
      <c r="O23" s="20">
        <f>'TE BE'!$O$23*'TE BE'!$O$58</f>
        <v>-0.6568942290736931</v>
      </c>
      <c r="P23" s="20">
        <f>'TE BE'!$P$23*'TE BE'!$P$58</f>
        <v>0</v>
      </c>
      <c r="Q23" s="20">
        <f>SUM($L$23:$P$23)</f>
        <v>4.5946765199434187</v>
      </c>
      <c r="R23" s="20">
        <f>'TE BE'!$R$23*'TE BE'!$R$58</f>
        <v>27.753791885672559</v>
      </c>
      <c r="S23" s="20">
        <f>SUM($R$23:$R$23)</f>
        <v>27.753791885672559</v>
      </c>
      <c r="T23" s="20">
        <f>'TE BE'!$T$23*'TE BE'!$T$58</f>
        <v>0</v>
      </c>
      <c r="U23" s="20">
        <f>'TE BE'!$U$23*'TE BE'!$U$58</f>
        <v>0</v>
      </c>
      <c r="V23" s="20">
        <f>'TE BE'!$V$23*'TE BE'!$V$58</f>
        <v>0</v>
      </c>
      <c r="W23" s="20">
        <f>SUM($T$23:$V$23)</f>
        <v>0</v>
      </c>
      <c r="X23" s="20">
        <f>'TE BE'!$AB$23*'TE BE'!$X$58</f>
        <v>-19.79067492419286</v>
      </c>
      <c r="Y23" s="20">
        <f>SUM($X$23:$X$23)</f>
        <v>-19.79067492419286</v>
      </c>
      <c r="Z23" s="20">
        <f>'TE BE'!$Z$23*'TE BE'!$Z$58</f>
        <v>0.6429669941224696</v>
      </c>
      <c r="AA23" s="20">
        <f>SUM($Z$23:$Z$23)</f>
        <v>0.6429669941224696</v>
      </c>
      <c r="AB23" s="20">
        <f>SUMIF($L$4:$AA$4,"SUBTOTAL",$L$23:$AA$23)</f>
        <v>13.200760475545584</v>
      </c>
    </row>
    <row r="24" spans="1:28" ht="11.25" customHeight="1" x14ac:dyDescent="0.25">
      <c r="A24" s="118"/>
      <c r="B24" s="118"/>
      <c r="C24" s="118"/>
      <c r="D24" s="22" t="s">
        <v>34</v>
      </c>
      <c r="E24" s="22" t="s">
        <v>25</v>
      </c>
      <c r="F24" s="22" t="s">
        <v>25</v>
      </c>
      <c r="G24" s="23" t="s">
        <v>88</v>
      </c>
      <c r="H24" s="23" t="s">
        <v>82</v>
      </c>
      <c r="I24" s="23">
        <f>'MERCADO TE'!$U$21</f>
        <v>18122.502</v>
      </c>
      <c r="J24" s="15"/>
      <c r="L24" s="20">
        <f>'TE BE'!$L$24*'TE BE'!$L$58</f>
        <v>-5.3017893166468373E-7</v>
      </c>
      <c r="M24" s="20">
        <f>'TE BE'!$M$24*'TE BE'!$M$58</f>
        <v>5.2515712791960434</v>
      </c>
      <c r="N24" s="20">
        <f>'TE BE'!$N$24*'TE BE'!$N$58</f>
        <v>0</v>
      </c>
      <c r="O24" s="20">
        <f>'TE BE'!$O$24*'TE BE'!$O$58</f>
        <v>-0.6568942290736931</v>
      </c>
      <c r="P24" s="20">
        <f>'TE BE'!$P$24*'TE BE'!$P$58</f>
        <v>0</v>
      </c>
      <c r="Q24" s="20">
        <f>SUM($L$24:$P$24)</f>
        <v>4.5946765199434187</v>
      </c>
      <c r="R24" s="20">
        <f>'TE BE'!$R$24*'TE BE'!$R$58</f>
        <v>27.753791885672559</v>
      </c>
      <c r="S24" s="20">
        <f>SUM($R$24:$R$24)</f>
        <v>27.753791885672559</v>
      </c>
      <c r="T24" s="20">
        <f>'TE BE'!$T$24*'TE BE'!$T$58</f>
        <v>0</v>
      </c>
      <c r="U24" s="20">
        <f>'TE BE'!$U$24*'TE BE'!$U$58</f>
        <v>0</v>
      </c>
      <c r="V24" s="20">
        <f>'TE BE'!$V$24*'TE BE'!$V$58</f>
        <v>0</v>
      </c>
      <c r="W24" s="20">
        <f>SUM($T$24:$V$24)</f>
        <v>0</v>
      </c>
      <c r="X24" s="20">
        <f>'TE BE'!$AB$24*'TE BE'!$X$58</f>
        <v>-19.79067492419286</v>
      </c>
      <c r="Y24" s="20">
        <f>SUM($X$24:$X$24)</f>
        <v>-19.79067492419286</v>
      </c>
      <c r="Z24" s="20">
        <f>'TE BE'!$Z$24*'TE BE'!$Z$58</f>
        <v>0.6429669941224696</v>
      </c>
      <c r="AA24" s="20">
        <f>SUM($Z$24:$Z$24)</f>
        <v>0.6429669941224696</v>
      </c>
      <c r="AB24" s="20">
        <f>SUMIF($L$4:$AA$4,"SUBTOTAL",$L$24:$AA$24)</f>
        <v>13.200760475545584</v>
      </c>
    </row>
    <row r="25" spans="1:28" ht="11.25" customHeight="1" x14ac:dyDescent="0.25">
      <c r="A25" s="118"/>
      <c r="B25" s="118" t="s">
        <v>99</v>
      </c>
      <c r="C25" s="118" t="s">
        <v>24</v>
      </c>
      <c r="D25" s="22" t="s">
        <v>24</v>
      </c>
      <c r="E25" s="22" t="s">
        <v>25</v>
      </c>
      <c r="F25" s="22" t="s">
        <v>25</v>
      </c>
      <c r="G25" s="23" t="s">
        <v>88</v>
      </c>
      <c r="H25" s="23" t="s">
        <v>82</v>
      </c>
      <c r="I25" s="23">
        <f>'MERCADO TE'!$U$22</f>
        <v>0</v>
      </c>
      <c r="J25" s="15"/>
      <c r="L25" s="20">
        <f>'TE BE'!$L$25*'TE BE'!$L$58</f>
        <v>-5.3017893166468373E-7</v>
      </c>
      <c r="M25" s="20">
        <f>'TE BE'!$M$25*'TE BE'!$M$58</f>
        <v>5.2515712791960434</v>
      </c>
      <c r="N25" s="20">
        <f>'TE BE'!$N$25*'TE BE'!$N$58</f>
        <v>0</v>
      </c>
      <c r="O25" s="20">
        <f>'TE BE'!$O$25*'TE BE'!$O$58</f>
        <v>-0.6568942290736931</v>
      </c>
      <c r="P25" s="20">
        <f>'TE BE'!$P$25*'TE BE'!$P$58</f>
        <v>0</v>
      </c>
      <c r="Q25" s="20">
        <f>SUM($L$25:$P$25)</f>
        <v>4.5946765199434187</v>
      </c>
      <c r="R25" s="20">
        <f>'TE BE'!$R$25*'TE BE'!$R$58</f>
        <v>27.753791885672559</v>
      </c>
      <c r="S25" s="20">
        <f>SUM($R$25:$R$25)</f>
        <v>27.753791885672559</v>
      </c>
      <c r="T25" s="20">
        <f>'TE BE'!$T$25*'TE BE'!$T$58</f>
        <v>0</v>
      </c>
      <c r="U25" s="20">
        <f>'TE BE'!$U$25*'TE BE'!$U$58</f>
        <v>0</v>
      </c>
      <c r="V25" s="20">
        <f>'TE BE'!$V$25*'TE BE'!$V$58</f>
        <v>0</v>
      </c>
      <c r="W25" s="20">
        <f>SUM($T$25:$V$25)</f>
        <v>0</v>
      </c>
      <c r="X25" s="20">
        <f>'TE BE'!$AB$25*'TE BE'!$X$58</f>
        <v>-19.79067492419286</v>
      </c>
      <c r="Y25" s="20">
        <f>SUM($X$25:$X$25)</f>
        <v>-19.79067492419286</v>
      </c>
      <c r="Z25" s="20">
        <f>'TE BE'!$Z$25*'TE BE'!$Z$58</f>
        <v>0.6429669941224696</v>
      </c>
      <c r="AA25" s="20">
        <f>SUM($Z$25:$Z$25)</f>
        <v>0.6429669941224696</v>
      </c>
      <c r="AB25" s="20">
        <f>SUMIF($L$4:$AA$4,"SUBTOTAL",$L$25:$AA$25)</f>
        <v>13.200760475545584</v>
      </c>
    </row>
    <row r="26" spans="1:28" ht="11.25" customHeight="1" x14ac:dyDescent="0.25">
      <c r="A26" s="118"/>
      <c r="B26" s="118"/>
      <c r="C26" s="118"/>
      <c r="D26" s="22" t="s">
        <v>31</v>
      </c>
      <c r="E26" s="22" t="s">
        <v>25</v>
      </c>
      <c r="F26" s="22" t="s">
        <v>25</v>
      </c>
      <c r="G26" s="23" t="s">
        <v>88</v>
      </c>
      <c r="H26" s="23" t="s">
        <v>82</v>
      </c>
      <c r="I26" s="23">
        <f>'MERCADO TE'!$U$23</f>
        <v>0</v>
      </c>
      <c r="J26" s="15"/>
      <c r="L26" s="20">
        <f>'TE BE'!$L$26*'TE BE'!$L$58</f>
        <v>-5.3017893166468373E-7</v>
      </c>
      <c r="M26" s="20">
        <f>'TE BE'!$M$26*'TE BE'!$M$58</f>
        <v>5.2515712791960434</v>
      </c>
      <c r="N26" s="20">
        <f>'TE BE'!$N$26*'TE BE'!$N$58</f>
        <v>0</v>
      </c>
      <c r="O26" s="20">
        <f>'TE BE'!$O$26*'TE BE'!$O$58</f>
        <v>-0.6568942290736931</v>
      </c>
      <c r="P26" s="20">
        <f>'TE BE'!$P$26*'TE BE'!$P$58</f>
        <v>0</v>
      </c>
      <c r="Q26" s="20">
        <f>SUM($L$26:$P$26)</f>
        <v>4.5946765199434187</v>
      </c>
      <c r="R26" s="20">
        <f>'TE BE'!$R$26*'TE BE'!$R$58</f>
        <v>27.753791885672559</v>
      </c>
      <c r="S26" s="20">
        <f>SUM($R$26:$R$26)</f>
        <v>27.753791885672559</v>
      </c>
      <c r="T26" s="20">
        <f>'TE BE'!$T$26*'TE BE'!$T$58</f>
        <v>0</v>
      </c>
      <c r="U26" s="20">
        <f>'TE BE'!$U$26*'TE BE'!$U$58</f>
        <v>0</v>
      </c>
      <c r="V26" s="20">
        <f>'TE BE'!$V$26*'TE BE'!$V$58</f>
        <v>0</v>
      </c>
      <c r="W26" s="20">
        <f>SUM($T$26:$V$26)</f>
        <v>0</v>
      </c>
      <c r="X26" s="20">
        <f>'TE BE'!$AB$26*'TE BE'!$X$58</f>
        <v>-19.79067492419286</v>
      </c>
      <c r="Y26" s="20">
        <f>SUM($X$26:$X$26)</f>
        <v>-19.79067492419286</v>
      </c>
      <c r="Z26" s="20">
        <f>'TE BE'!$Z$26*'TE BE'!$Z$58</f>
        <v>0.6429669941224696</v>
      </c>
      <c r="AA26" s="20">
        <f>SUM($Z$26:$Z$26)</f>
        <v>0.6429669941224696</v>
      </c>
      <c r="AB26" s="20">
        <f>SUMIF($L$4:$AA$4,"SUBTOTAL",$L$26:$AA$26)</f>
        <v>13.200760475545584</v>
      </c>
    </row>
    <row r="27" spans="1:28" ht="11.25" customHeight="1" x14ac:dyDescent="0.25">
      <c r="A27" s="118"/>
      <c r="B27" s="118"/>
      <c r="C27" s="118"/>
      <c r="D27" s="22" t="s">
        <v>32</v>
      </c>
      <c r="E27" s="22" t="s">
        <v>25</v>
      </c>
      <c r="F27" s="22" t="s">
        <v>25</v>
      </c>
      <c r="G27" s="23" t="s">
        <v>88</v>
      </c>
      <c r="H27" s="23" t="s">
        <v>82</v>
      </c>
      <c r="I27" s="23">
        <f>'MERCADO TE'!$U$24</f>
        <v>0</v>
      </c>
      <c r="J27" s="15"/>
      <c r="L27" s="20">
        <f>'TE BE'!$L$27*'TE BE'!$L$58</f>
        <v>-5.3017893166468373E-7</v>
      </c>
      <c r="M27" s="20">
        <f>'TE BE'!$M$27*'TE BE'!$M$58</f>
        <v>5.2515712791960434</v>
      </c>
      <c r="N27" s="20">
        <f>'TE BE'!$N$27*'TE BE'!$N$58</f>
        <v>0</v>
      </c>
      <c r="O27" s="20">
        <f>'TE BE'!$O$27*'TE BE'!$O$58</f>
        <v>-0.6568942290736931</v>
      </c>
      <c r="P27" s="20">
        <f>'TE BE'!$P$27*'TE BE'!$P$58</f>
        <v>0</v>
      </c>
      <c r="Q27" s="20">
        <f>SUM($L$27:$P$27)</f>
        <v>4.5946765199434187</v>
      </c>
      <c r="R27" s="20">
        <f>'TE BE'!$R$27*'TE BE'!$R$58</f>
        <v>27.753791885672559</v>
      </c>
      <c r="S27" s="20">
        <f>SUM($R$27:$R$27)</f>
        <v>27.753791885672559</v>
      </c>
      <c r="T27" s="20">
        <f>'TE BE'!$T$27*'TE BE'!$T$58</f>
        <v>0</v>
      </c>
      <c r="U27" s="20">
        <f>'TE BE'!$U$27*'TE BE'!$U$58</f>
        <v>0</v>
      </c>
      <c r="V27" s="20">
        <f>'TE BE'!$V$27*'TE BE'!$V$58</f>
        <v>0</v>
      </c>
      <c r="W27" s="20">
        <f>SUM($T$27:$V$27)</f>
        <v>0</v>
      </c>
      <c r="X27" s="20">
        <f>'TE BE'!$AB$27*'TE BE'!$X$58</f>
        <v>-19.79067492419286</v>
      </c>
      <c r="Y27" s="20">
        <f>SUM($X$27:$X$27)</f>
        <v>-19.79067492419286</v>
      </c>
      <c r="Z27" s="20">
        <f>'TE BE'!$Z$27*'TE BE'!$Z$58</f>
        <v>0.6429669941224696</v>
      </c>
      <c r="AA27" s="20">
        <f>SUM($Z$27:$Z$27)</f>
        <v>0.6429669941224696</v>
      </c>
      <c r="AB27" s="20">
        <f>SUMIF($L$4:$AA$4,"SUBTOTAL",$L$27:$AA$27)</f>
        <v>13.200760475545584</v>
      </c>
    </row>
    <row r="28" spans="1:28" ht="11.25" customHeight="1" x14ac:dyDescent="0.25">
      <c r="A28" s="118"/>
      <c r="B28" s="118"/>
      <c r="C28" s="118"/>
      <c r="D28" s="22" t="s">
        <v>33</v>
      </c>
      <c r="E28" s="22" t="s">
        <v>25</v>
      </c>
      <c r="F28" s="22" t="s">
        <v>25</v>
      </c>
      <c r="G28" s="23" t="s">
        <v>88</v>
      </c>
      <c r="H28" s="23" t="s">
        <v>82</v>
      </c>
      <c r="I28" s="23">
        <f>'MERCADO TE'!$U$25</f>
        <v>0</v>
      </c>
      <c r="J28" s="15"/>
      <c r="L28" s="20">
        <f>'TE BE'!$L$28*'TE BE'!$L$58</f>
        <v>-5.3017893166468373E-7</v>
      </c>
      <c r="M28" s="20">
        <f>'TE BE'!$M$28*'TE BE'!$M$58</f>
        <v>5.2515712791960434</v>
      </c>
      <c r="N28" s="20">
        <f>'TE BE'!$N$28*'TE BE'!$N$58</f>
        <v>0</v>
      </c>
      <c r="O28" s="20">
        <f>'TE BE'!$O$28*'TE BE'!$O$58</f>
        <v>-0.6568942290736931</v>
      </c>
      <c r="P28" s="20">
        <f>'TE BE'!$P$28*'TE BE'!$P$58</f>
        <v>0</v>
      </c>
      <c r="Q28" s="20">
        <f>SUM($L$28:$P$28)</f>
        <v>4.5946765199434187</v>
      </c>
      <c r="R28" s="20">
        <f>'TE BE'!$R$28*'TE BE'!$R$58</f>
        <v>27.753791885672559</v>
      </c>
      <c r="S28" s="20">
        <f>SUM($R$28:$R$28)</f>
        <v>27.753791885672559</v>
      </c>
      <c r="T28" s="20">
        <f>'TE BE'!$T$28*'TE BE'!$T$58</f>
        <v>0</v>
      </c>
      <c r="U28" s="20">
        <f>'TE BE'!$U$28*'TE BE'!$U$58</f>
        <v>0</v>
      </c>
      <c r="V28" s="20">
        <f>'TE BE'!$V$28*'TE BE'!$V$58</f>
        <v>0</v>
      </c>
      <c r="W28" s="20">
        <f>SUM($T$28:$V$28)</f>
        <v>0</v>
      </c>
      <c r="X28" s="20">
        <f>'TE BE'!$AB$28*'TE BE'!$X$58</f>
        <v>-19.79067492419286</v>
      </c>
      <c r="Y28" s="20">
        <f>SUM($X$28:$X$28)</f>
        <v>-19.79067492419286</v>
      </c>
      <c r="Z28" s="20">
        <f>'TE BE'!$Z$28*'TE BE'!$Z$58</f>
        <v>0.6429669941224696</v>
      </c>
      <c r="AA28" s="20">
        <f>SUM($Z$28:$Z$28)</f>
        <v>0.6429669941224696</v>
      </c>
      <c r="AB28" s="20">
        <f>SUMIF($L$4:$AA$4,"SUBTOTAL",$L$28:$AA$28)</f>
        <v>13.200760475545584</v>
      </c>
    </row>
    <row r="29" spans="1:28" ht="11.25" customHeight="1" x14ac:dyDescent="0.25">
      <c r="A29" s="118"/>
      <c r="B29" s="118"/>
      <c r="C29" s="118"/>
      <c r="D29" s="22" t="s">
        <v>34</v>
      </c>
      <c r="E29" s="22" t="s">
        <v>25</v>
      </c>
      <c r="F29" s="22" t="s">
        <v>25</v>
      </c>
      <c r="G29" s="23" t="s">
        <v>88</v>
      </c>
      <c r="H29" s="23" t="s">
        <v>82</v>
      </c>
      <c r="I29" s="23">
        <f>'MERCADO TE'!$U$26</f>
        <v>0</v>
      </c>
      <c r="J29" s="15"/>
      <c r="L29" s="20">
        <f>'TE BE'!$L$29*'TE BE'!$L$58</f>
        <v>-5.3017893166468373E-7</v>
      </c>
      <c r="M29" s="20">
        <f>'TE BE'!$M$29*'TE BE'!$M$58</f>
        <v>5.2515712791960434</v>
      </c>
      <c r="N29" s="20">
        <f>'TE BE'!$N$29*'TE BE'!$N$58</f>
        <v>0</v>
      </c>
      <c r="O29" s="20">
        <f>'TE BE'!$O$29*'TE BE'!$O$58</f>
        <v>-0.6568942290736931</v>
      </c>
      <c r="P29" s="20">
        <f>'TE BE'!$P$29*'TE BE'!$P$58</f>
        <v>0</v>
      </c>
      <c r="Q29" s="20">
        <f>SUM($L$29:$P$29)</f>
        <v>4.5946765199434187</v>
      </c>
      <c r="R29" s="20">
        <f>'TE BE'!$R$29*'TE BE'!$R$58</f>
        <v>27.753791885672559</v>
      </c>
      <c r="S29" s="20">
        <f>SUM($R$29:$R$29)</f>
        <v>27.753791885672559</v>
      </c>
      <c r="T29" s="20">
        <f>'TE BE'!$T$29*'TE BE'!$T$58</f>
        <v>0</v>
      </c>
      <c r="U29" s="20">
        <f>'TE BE'!$U$29*'TE BE'!$U$58</f>
        <v>0</v>
      </c>
      <c r="V29" s="20">
        <f>'TE BE'!$V$29*'TE BE'!$V$58</f>
        <v>0</v>
      </c>
      <c r="W29" s="20">
        <f>SUM($T$29:$V$29)</f>
        <v>0</v>
      </c>
      <c r="X29" s="20">
        <f>'TE BE'!$AB$29*'TE BE'!$X$58</f>
        <v>-19.79067492419286</v>
      </c>
      <c r="Y29" s="20">
        <f>SUM($X$29:$X$29)</f>
        <v>-19.79067492419286</v>
      </c>
      <c r="Z29" s="20">
        <f>'TE BE'!$Z$29*'TE BE'!$Z$58</f>
        <v>0.6429669941224696</v>
      </c>
      <c r="AA29" s="20">
        <f>SUM($Z$29:$Z$29)</f>
        <v>0.6429669941224696</v>
      </c>
      <c r="AB29" s="20">
        <f>SUMIF($L$4:$AA$4,"SUBTOTAL",$L$29:$AA$29)</f>
        <v>13.200760475545584</v>
      </c>
    </row>
    <row r="30" spans="1:28" ht="11.25" customHeight="1" x14ac:dyDescent="0.25">
      <c r="A30" s="118" t="s">
        <v>46</v>
      </c>
      <c r="B30" s="118" t="s">
        <v>81</v>
      </c>
      <c r="C30" s="118" t="s">
        <v>47</v>
      </c>
      <c r="D30" s="118" t="s">
        <v>25</v>
      </c>
      <c r="E30" s="118" t="s">
        <v>25</v>
      </c>
      <c r="F30" s="118" t="s">
        <v>25</v>
      </c>
      <c r="G30" s="23" t="s">
        <v>83</v>
      </c>
      <c r="H30" s="23" t="s">
        <v>82</v>
      </c>
      <c r="I30" s="23">
        <f>'MERCADO TE'!$U$27</f>
        <v>3.4330000000000007</v>
      </c>
      <c r="J30" s="15"/>
      <c r="L30" s="20">
        <f>'TE BE'!$L$30*'TE BE'!$L$58</f>
        <v>-5.3017893166468373E-7</v>
      </c>
      <c r="M30" s="20">
        <f>'TE BE'!$M$30*'TE BE'!$M$58</f>
        <v>5.2515712791960434</v>
      </c>
      <c r="N30" s="20">
        <f>'TE BE'!$N$30*'TE BE'!$N$58</f>
        <v>0</v>
      </c>
      <c r="O30" s="20">
        <f>'TE BE'!$O$30*'TE BE'!$O$58</f>
        <v>-0.6568942290736931</v>
      </c>
      <c r="P30" s="20">
        <f>'TE BE'!$P$30*'TE BE'!$P$58</f>
        <v>0</v>
      </c>
      <c r="Q30" s="20">
        <f>SUM($L$30:$P$30)</f>
        <v>4.5946765199434187</v>
      </c>
      <c r="R30" s="20">
        <f>'TE BE'!$R$30*'TE BE'!$R$58</f>
        <v>45.034454757883779</v>
      </c>
      <c r="S30" s="20">
        <f>SUM($R$30:$R$30)</f>
        <v>45.034454757883779</v>
      </c>
      <c r="T30" s="20">
        <f>'TE BE'!$T$30*'TE BE'!$T$58</f>
        <v>0</v>
      </c>
      <c r="U30" s="20">
        <f>'TE BE'!$U$30*'TE BE'!$U$58</f>
        <v>0</v>
      </c>
      <c r="V30" s="20">
        <f>'TE BE'!$V$30*'TE BE'!$V$58</f>
        <v>0</v>
      </c>
      <c r="W30" s="20">
        <f>SUM($T$30:$V$30)</f>
        <v>0</v>
      </c>
      <c r="X30" s="20">
        <f>'TE BE'!$AB$30*'TE BE'!$X$58</f>
        <v>-31.333871642687104</v>
      </c>
      <c r="Y30" s="20">
        <f>SUM($X$30:$X$30)</f>
        <v>-31.333871642687104</v>
      </c>
      <c r="Z30" s="20">
        <f>'TE BE'!$Z$30*'TE BE'!$Z$58</f>
        <v>0.6429669941224696</v>
      </c>
      <c r="AA30" s="20">
        <f>SUM($Z$30:$Z$30)</f>
        <v>0.6429669941224696</v>
      </c>
      <c r="AB30" s="20">
        <f>SUMIF($L$4:$AA$4,"SUBTOTAL",$L$30:$AA$30)</f>
        <v>18.938226629262566</v>
      </c>
    </row>
    <row r="31" spans="1:28" ht="11.25" customHeight="1" x14ac:dyDescent="0.25">
      <c r="A31" s="118"/>
      <c r="B31" s="118"/>
      <c r="C31" s="118"/>
      <c r="D31" s="118"/>
      <c r="E31" s="118"/>
      <c r="F31" s="118"/>
      <c r="G31" s="23" t="s">
        <v>98</v>
      </c>
      <c r="H31" s="23" t="s">
        <v>82</v>
      </c>
      <c r="I31" s="23">
        <f>'MERCADO TE'!$U$28</f>
        <v>0.54699999999999993</v>
      </c>
      <c r="J31" s="15"/>
      <c r="L31" s="20">
        <f>'TE BE'!$L$31*'TE BE'!$L$58</f>
        <v>-5.3017893166468373E-7</v>
      </c>
      <c r="M31" s="20">
        <f>'TE BE'!$M$31*'TE BE'!$M$58</f>
        <v>5.2515712791960434</v>
      </c>
      <c r="N31" s="20">
        <f>'TE BE'!$N$31*'TE BE'!$N$58</f>
        <v>0</v>
      </c>
      <c r="O31" s="20">
        <f>'TE BE'!$O$31*'TE BE'!$O$58</f>
        <v>-0.6568942290736931</v>
      </c>
      <c r="P31" s="20">
        <f>'TE BE'!$P$31*'TE BE'!$P$58</f>
        <v>0</v>
      </c>
      <c r="Q31" s="20">
        <f>SUM($L$31:$P$31)</f>
        <v>4.5946765199434187</v>
      </c>
      <c r="R31" s="20">
        <f>'TE BE'!$R$31*'TE BE'!$R$58</f>
        <v>26.182822533653358</v>
      </c>
      <c r="S31" s="20">
        <f>SUM($R$31:$R$31)</f>
        <v>26.182822533653358</v>
      </c>
      <c r="T31" s="20">
        <f>'TE BE'!$T$31*'TE BE'!$T$58</f>
        <v>0</v>
      </c>
      <c r="U31" s="20">
        <f>'TE BE'!$U$31*'TE BE'!$U$58</f>
        <v>0</v>
      </c>
      <c r="V31" s="20">
        <f>'TE BE'!$V$31*'TE BE'!$V$58</f>
        <v>0</v>
      </c>
      <c r="W31" s="20">
        <f>SUM($T$31:$V$31)</f>
        <v>0</v>
      </c>
      <c r="X31" s="20">
        <f>'TE BE'!$AB$31*'TE BE'!$X$58</f>
        <v>-18.741293404329745</v>
      </c>
      <c r="Y31" s="20">
        <f>SUM($X$31:$X$31)</f>
        <v>-18.741293404329745</v>
      </c>
      <c r="Z31" s="20">
        <f>'TE BE'!$Z$31*'TE BE'!$Z$58</f>
        <v>0.6429669941224696</v>
      </c>
      <c r="AA31" s="20">
        <f>SUM($Z$31:$Z$31)</f>
        <v>0.6429669941224696</v>
      </c>
      <c r="AB31" s="20">
        <f>SUMIF($L$4:$AA$4,"SUBTOTAL",$L$31:$AA$31)</f>
        <v>12.679172643389501</v>
      </c>
    </row>
    <row r="32" spans="1:28" ht="11.25" customHeight="1" x14ac:dyDescent="0.25">
      <c r="A32" s="118"/>
      <c r="B32" s="118"/>
      <c r="C32" s="118"/>
      <c r="D32" s="118"/>
      <c r="E32" s="118"/>
      <c r="F32" s="118"/>
      <c r="G32" s="23" t="s">
        <v>84</v>
      </c>
      <c r="H32" s="23" t="s">
        <v>82</v>
      </c>
      <c r="I32" s="23">
        <f>'MERCADO TE'!$U$29</f>
        <v>73.387</v>
      </c>
      <c r="J32" s="15"/>
      <c r="L32" s="20">
        <f>'TE BE'!$L$32*'TE BE'!$L$58</f>
        <v>-5.3017893166468373E-7</v>
      </c>
      <c r="M32" s="20">
        <f>'TE BE'!$M$32*'TE BE'!$M$58</f>
        <v>5.2515712791960434</v>
      </c>
      <c r="N32" s="20">
        <f>'TE BE'!$N$32*'TE BE'!$N$58</f>
        <v>0</v>
      </c>
      <c r="O32" s="20">
        <f>'TE BE'!$O$32*'TE BE'!$O$58</f>
        <v>-0.6568942290736931</v>
      </c>
      <c r="P32" s="20">
        <f>'TE BE'!$P$32*'TE BE'!$P$58</f>
        <v>0</v>
      </c>
      <c r="Q32" s="20">
        <f>SUM($L$32:$P$32)</f>
        <v>4.5946765199434187</v>
      </c>
      <c r="R32" s="20">
        <f>'TE BE'!$R$32*'TE BE'!$R$58</f>
        <v>26.182822533653358</v>
      </c>
      <c r="S32" s="20">
        <f>SUM($R$32:$R$32)</f>
        <v>26.182822533653358</v>
      </c>
      <c r="T32" s="20">
        <f>'TE BE'!$T$32*'TE BE'!$T$58</f>
        <v>0</v>
      </c>
      <c r="U32" s="20">
        <f>'TE BE'!$U$32*'TE BE'!$U$58</f>
        <v>0</v>
      </c>
      <c r="V32" s="20">
        <f>'TE BE'!$V$32*'TE BE'!$V$58</f>
        <v>0</v>
      </c>
      <c r="W32" s="20">
        <f>SUM($T$32:$V$32)</f>
        <v>0</v>
      </c>
      <c r="X32" s="20">
        <f>'TE BE'!$AB$32*'TE BE'!$X$58</f>
        <v>-18.741293404329745</v>
      </c>
      <c r="Y32" s="20">
        <f>SUM($X$32:$X$32)</f>
        <v>-18.741293404329745</v>
      </c>
      <c r="Z32" s="20">
        <f>'TE BE'!$Z$32*'TE BE'!$Z$58</f>
        <v>0.6429669941224696</v>
      </c>
      <c r="AA32" s="20">
        <f>SUM($Z$32:$Z$32)</f>
        <v>0.6429669941224696</v>
      </c>
      <c r="AB32" s="20">
        <f>SUMIF($L$4:$AA$4,"SUBTOTAL",$L$32:$AA$32)</f>
        <v>12.679172643389501</v>
      </c>
    </row>
    <row r="33" spans="1:28" ht="11.25" customHeight="1" x14ac:dyDescent="0.25">
      <c r="A33" s="118"/>
      <c r="B33" s="22" t="s">
        <v>90</v>
      </c>
      <c r="C33" s="22" t="s">
        <v>47</v>
      </c>
      <c r="D33" s="22" t="s">
        <v>25</v>
      </c>
      <c r="E33" s="22" t="s">
        <v>25</v>
      </c>
      <c r="F33" s="22" t="s">
        <v>25</v>
      </c>
      <c r="G33" s="23" t="s">
        <v>88</v>
      </c>
      <c r="H33" s="23" t="s">
        <v>82</v>
      </c>
      <c r="I33" s="23">
        <f>'MERCADO TE'!$U$30</f>
        <v>45841.400999999998</v>
      </c>
      <c r="J33" s="15"/>
      <c r="L33" s="20">
        <f>'TE BE'!$L$33*'TE BE'!$L$58</f>
        <v>-5.3017893166468373E-7</v>
      </c>
      <c r="M33" s="20">
        <f>'TE BE'!$M$33*'TE BE'!$M$58</f>
        <v>5.2515712791960434</v>
      </c>
      <c r="N33" s="20">
        <f>'TE BE'!$N$33*'TE BE'!$N$58</f>
        <v>0</v>
      </c>
      <c r="O33" s="20">
        <f>'TE BE'!$O$33*'TE BE'!$O$58</f>
        <v>-0.6568942290736931</v>
      </c>
      <c r="P33" s="20">
        <f>'TE BE'!$P$33*'TE BE'!$P$58</f>
        <v>0</v>
      </c>
      <c r="Q33" s="20">
        <f>SUM($L$33:$P$33)</f>
        <v>4.5946765199434187</v>
      </c>
      <c r="R33" s="20">
        <f>'TE BE'!$R$33*'TE BE'!$R$58</f>
        <v>27.753791885672559</v>
      </c>
      <c r="S33" s="20">
        <f>SUM($R$33:$R$33)</f>
        <v>27.753791885672559</v>
      </c>
      <c r="T33" s="20">
        <f>'TE BE'!$T$33*'TE BE'!$T$58</f>
        <v>0</v>
      </c>
      <c r="U33" s="20">
        <f>'TE BE'!$U$33*'TE BE'!$U$58</f>
        <v>0</v>
      </c>
      <c r="V33" s="20">
        <f>'TE BE'!$V$33*'TE BE'!$V$58</f>
        <v>0</v>
      </c>
      <c r="W33" s="20">
        <f>SUM($T$33:$V$33)</f>
        <v>0</v>
      </c>
      <c r="X33" s="20">
        <f>'TE BE'!$AB$33*'TE BE'!$X$58</f>
        <v>-19.79067492419286</v>
      </c>
      <c r="Y33" s="20">
        <f>SUM($X$33:$X$33)</f>
        <v>-19.79067492419286</v>
      </c>
      <c r="Z33" s="20">
        <f>'TE BE'!$Z$33*'TE BE'!$Z$58</f>
        <v>0.6429669941224696</v>
      </c>
      <c r="AA33" s="20">
        <f>SUM($Z$33:$Z$33)</f>
        <v>0.6429669941224696</v>
      </c>
      <c r="AB33" s="20">
        <f>SUMIF($L$4:$AA$4,"SUBTOTAL",$L$33:$AA$33)</f>
        <v>13.200760475545584</v>
      </c>
    </row>
    <row r="34" spans="1:28" ht="11.25" customHeight="1" x14ac:dyDescent="0.25">
      <c r="A34" s="118"/>
      <c r="B34" s="118" t="s">
        <v>81</v>
      </c>
      <c r="C34" s="118" t="s">
        <v>47</v>
      </c>
      <c r="D34" s="118" t="s">
        <v>101</v>
      </c>
      <c r="E34" s="118" t="s">
        <v>25</v>
      </c>
      <c r="F34" s="118" t="s">
        <v>25</v>
      </c>
      <c r="G34" s="23" t="s">
        <v>83</v>
      </c>
      <c r="H34" s="23" t="s">
        <v>82</v>
      </c>
      <c r="I34" s="23">
        <f>'MERCADO TE'!$U$31</f>
        <v>0</v>
      </c>
      <c r="J34" s="15"/>
      <c r="L34" s="20">
        <f>'TE BE'!$L$34*'TE BE'!$L$58</f>
        <v>-5.3017893166468373E-7</v>
      </c>
      <c r="M34" s="20">
        <f>'TE BE'!$M$34*'TE BE'!$M$58</f>
        <v>5.2515712791960434</v>
      </c>
      <c r="N34" s="20">
        <f>'TE BE'!$N$34*'TE BE'!$N$58</f>
        <v>0</v>
      </c>
      <c r="O34" s="20">
        <f>'TE BE'!$O$34*'TE BE'!$O$58</f>
        <v>-0.6568942290736931</v>
      </c>
      <c r="P34" s="20">
        <f>'TE BE'!$P$34*'TE BE'!$P$58</f>
        <v>0</v>
      </c>
      <c r="Q34" s="20">
        <f>SUM($L$34:$P$34)</f>
        <v>4.5946765199434187</v>
      </c>
      <c r="R34" s="20">
        <f>'TE BE'!$R$34*'TE BE'!$R$58</f>
        <v>45.034454757883779</v>
      </c>
      <c r="S34" s="20">
        <f>SUM($R$34:$R$34)</f>
        <v>45.034454757883779</v>
      </c>
      <c r="T34" s="20">
        <f>'TE BE'!$T$34*'TE BE'!$T$58</f>
        <v>0</v>
      </c>
      <c r="U34" s="20">
        <f>'TE BE'!$U$34*'TE BE'!$U$58</f>
        <v>0</v>
      </c>
      <c r="V34" s="20">
        <f>'TE BE'!$V$34*'TE BE'!$V$58</f>
        <v>0</v>
      </c>
      <c r="W34" s="20">
        <f>SUM($T$34:$V$34)</f>
        <v>0</v>
      </c>
      <c r="X34" s="20">
        <f>'TE BE'!$AB$34*'TE BE'!$X$58</f>
        <v>-31.333871642687104</v>
      </c>
      <c r="Y34" s="20">
        <f>SUM($X$34:$X$34)</f>
        <v>-31.333871642687104</v>
      </c>
      <c r="Z34" s="20">
        <f>'TE BE'!$Z$34*'TE BE'!$Z$58</f>
        <v>0.6429669941224696</v>
      </c>
      <c r="AA34" s="20">
        <f>SUM($Z$34:$Z$34)</f>
        <v>0.6429669941224696</v>
      </c>
      <c r="AB34" s="20">
        <f>SUMIF($L$4:$AA$4,"SUBTOTAL",$L$34:$AA$34)</f>
        <v>18.938226629262566</v>
      </c>
    </row>
    <row r="35" spans="1:28" ht="11.25" customHeight="1" x14ac:dyDescent="0.25">
      <c r="A35" s="118"/>
      <c r="B35" s="118"/>
      <c r="C35" s="118"/>
      <c r="D35" s="118"/>
      <c r="E35" s="118"/>
      <c r="F35" s="118"/>
      <c r="G35" s="23" t="s">
        <v>98</v>
      </c>
      <c r="H35" s="23" t="s">
        <v>82</v>
      </c>
      <c r="I35" s="23">
        <f>'MERCADO TE'!$U$32</f>
        <v>0</v>
      </c>
      <c r="J35" s="15"/>
      <c r="L35" s="20">
        <f>'TE BE'!$L$35*'TE BE'!$L$58</f>
        <v>-5.3017893166468373E-7</v>
      </c>
      <c r="M35" s="20">
        <f>'TE BE'!$M$35*'TE BE'!$M$58</f>
        <v>5.2515712791960434</v>
      </c>
      <c r="N35" s="20">
        <f>'TE BE'!$N$35*'TE BE'!$N$58</f>
        <v>0</v>
      </c>
      <c r="O35" s="20">
        <f>'TE BE'!$O$35*'TE BE'!$O$58</f>
        <v>-0.6568942290736931</v>
      </c>
      <c r="P35" s="20">
        <f>'TE BE'!$P$35*'TE BE'!$P$58</f>
        <v>0</v>
      </c>
      <c r="Q35" s="20">
        <f>SUM($L$35:$P$35)</f>
        <v>4.5946765199434187</v>
      </c>
      <c r="R35" s="20">
        <f>'TE BE'!$R$35*'TE BE'!$R$58</f>
        <v>26.182822533653358</v>
      </c>
      <c r="S35" s="20">
        <f>SUM($R$35:$R$35)</f>
        <v>26.182822533653358</v>
      </c>
      <c r="T35" s="20">
        <f>'TE BE'!$T$35*'TE BE'!$T$58</f>
        <v>0</v>
      </c>
      <c r="U35" s="20">
        <f>'TE BE'!$U$35*'TE BE'!$U$58</f>
        <v>0</v>
      </c>
      <c r="V35" s="20">
        <f>'TE BE'!$V$35*'TE BE'!$V$58</f>
        <v>0</v>
      </c>
      <c r="W35" s="20">
        <f>SUM($T$35:$V$35)</f>
        <v>0</v>
      </c>
      <c r="X35" s="20">
        <f>'TE BE'!$AB$35*'TE BE'!$X$58</f>
        <v>-18.741293404329745</v>
      </c>
      <c r="Y35" s="20">
        <f>SUM($X$35:$X$35)</f>
        <v>-18.741293404329745</v>
      </c>
      <c r="Z35" s="20">
        <f>'TE BE'!$Z$35*'TE BE'!$Z$58</f>
        <v>0.6429669941224696</v>
      </c>
      <c r="AA35" s="20">
        <f>SUM($Z$35:$Z$35)</f>
        <v>0.6429669941224696</v>
      </c>
      <c r="AB35" s="20">
        <f>SUMIF($L$4:$AA$4,"SUBTOTAL",$L$35:$AA$35)</f>
        <v>12.679172643389501</v>
      </c>
    </row>
    <row r="36" spans="1:28" ht="11.25" customHeight="1" x14ac:dyDescent="0.25">
      <c r="A36" s="118"/>
      <c r="B36" s="118"/>
      <c r="C36" s="118"/>
      <c r="D36" s="118"/>
      <c r="E36" s="118"/>
      <c r="F36" s="118"/>
      <c r="G36" s="23" t="s">
        <v>84</v>
      </c>
      <c r="H36" s="23" t="s">
        <v>82</v>
      </c>
      <c r="I36" s="23">
        <f>'MERCADO TE'!$U$33</f>
        <v>0</v>
      </c>
      <c r="J36" s="15"/>
      <c r="L36" s="20">
        <f>'TE BE'!$L$36*'TE BE'!$L$58</f>
        <v>-5.3017893166468373E-7</v>
      </c>
      <c r="M36" s="20">
        <f>'TE BE'!$M$36*'TE BE'!$M$58</f>
        <v>5.2515712791960434</v>
      </c>
      <c r="N36" s="20">
        <f>'TE BE'!$N$36*'TE BE'!$N$58</f>
        <v>0</v>
      </c>
      <c r="O36" s="20">
        <f>'TE BE'!$O$36*'TE BE'!$O$58</f>
        <v>-0.6568942290736931</v>
      </c>
      <c r="P36" s="20">
        <f>'TE BE'!$P$36*'TE BE'!$P$58</f>
        <v>0</v>
      </c>
      <c r="Q36" s="20">
        <f>SUM($L$36:$P$36)</f>
        <v>4.5946765199434187</v>
      </c>
      <c r="R36" s="20">
        <f>'TE BE'!$R$36*'TE BE'!$R$58</f>
        <v>26.182822533653358</v>
      </c>
      <c r="S36" s="20">
        <f>SUM($R$36:$R$36)</f>
        <v>26.182822533653358</v>
      </c>
      <c r="T36" s="20">
        <f>'TE BE'!$T$36*'TE BE'!$T$58</f>
        <v>0</v>
      </c>
      <c r="U36" s="20">
        <f>'TE BE'!$U$36*'TE BE'!$U$58</f>
        <v>0</v>
      </c>
      <c r="V36" s="20">
        <f>'TE BE'!$V$36*'TE BE'!$V$58</f>
        <v>0</v>
      </c>
      <c r="W36" s="20">
        <f>SUM($T$36:$V$36)</f>
        <v>0</v>
      </c>
      <c r="X36" s="20">
        <f>'TE BE'!$AB$36*'TE BE'!$X$58</f>
        <v>-18.741293404329745</v>
      </c>
      <c r="Y36" s="20">
        <f>SUM($X$36:$X$36)</f>
        <v>-18.741293404329745</v>
      </c>
      <c r="Z36" s="20">
        <f>'TE BE'!$Z$36*'TE BE'!$Z$58</f>
        <v>0.6429669941224696</v>
      </c>
      <c r="AA36" s="20">
        <f>SUM($Z$36:$Z$36)</f>
        <v>0.6429669941224696</v>
      </c>
      <c r="AB36" s="20">
        <f>SUMIF($L$4:$AA$4,"SUBTOTAL",$L$36:$AA$36)</f>
        <v>12.679172643389501</v>
      </c>
    </row>
    <row r="37" spans="1:28" ht="11.25" customHeight="1" x14ac:dyDescent="0.25">
      <c r="A37" s="118"/>
      <c r="B37" s="22" t="s">
        <v>90</v>
      </c>
      <c r="C37" s="22" t="s">
        <v>47</v>
      </c>
      <c r="D37" s="22" t="s">
        <v>101</v>
      </c>
      <c r="E37" s="22" t="s">
        <v>25</v>
      </c>
      <c r="F37" s="22" t="s">
        <v>25</v>
      </c>
      <c r="G37" s="23" t="s">
        <v>88</v>
      </c>
      <c r="H37" s="23" t="s">
        <v>82</v>
      </c>
      <c r="I37" s="23">
        <f>'MERCADO TE'!$U$34</f>
        <v>0</v>
      </c>
      <c r="J37" s="15"/>
      <c r="L37" s="20">
        <f>'TE BE'!$L$37*'TE BE'!$L$58</f>
        <v>-5.3017893166468373E-7</v>
      </c>
      <c r="M37" s="20">
        <f>'TE BE'!$M$37*'TE BE'!$M$58</f>
        <v>5.2515712791960434</v>
      </c>
      <c r="N37" s="20">
        <f>'TE BE'!$N$37*'TE BE'!$N$58</f>
        <v>0</v>
      </c>
      <c r="O37" s="20">
        <f>'TE BE'!$O$37*'TE BE'!$O$58</f>
        <v>-0.6568942290736931</v>
      </c>
      <c r="P37" s="20">
        <f>'TE BE'!$P$37*'TE BE'!$P$58</f>
        <v>0</v>
      </c>
      <c r="Q37" s="20">
        <f>SUM($L$37:$P$37)</f>
        <v>4.5946765199434187</v>
      </c>
      <c r="R37" s="20">
        <f>'TE BE'!$R$37*'TE BE'!$R$58</f>
        <v>27.753791885672559</v>
      </c>
      <c r="S37" s="20">
        <f>SUM($R$37:$R$37)</f>
        <v>27.753791885672559</v>
      </c>
      <c r="T37" s="20">
        <f>'TE BE'!$T$37*'TE BE'!$T$58</f>
        <v>0</v>
      </c>
      <c r="U37" s="20">
        <f>'TE BE'!$U$37*'TE BE'!$U$58</f>
        <v>0</v>
      </c>
      <c r="V37" s="20">
        <f>'TE BE'!$V$37*'TE BE'!$V$58</f>
        <v>0</v>
      </c>
      <c r="W37" s="20">
        <f>SUM($T$37:$V$37)</f>
        <v>0</v>
      </c>
      <c r="X37" s="20">
        <f>'TE BE'!$AB$37*'TE BE'!$X$58</f>
        <v>-19.79067492419286</v>
      </c>
      <c r="Y37" s="20">
        <f>SUM($X$37:$X$37)</f>
        <v>-19.79067492419286</v>
      </c>
      <c r="Z37" s="20">
        <f>'TE BE'!$Z$37*'TE BE'!$Z$58</f>
        <v>0.6429669941224696</v>
      </c>
      <c r="AA37" s="20">
        <f>SUM($Z$37:$Z$37)</f>
        <v>0.6429669941224696</v>
      </c>
      <c r="AB37" s="20">
        <f>SUMIF($L$4:$AA$4,"SUBTOTAL",$L$37:$AA$37)</f>
        <v>13.200760475545584</v>
      </c>
    </row>
    <row r="38" spans="1:28" ht="11.25" customHeight="1" x14ac:dyDescent="0.25">
      <c r="A38" s="118"/>
      <c r="B38" s="118" t="s">
        <v>81</v>
      </c>
      <c r="C38" s="118" t="s">
        <v>47</v>
      </c>
      <c r="D38" s="118" t="s">
        <v>102</v>
      </c>
      <c r="E38" s="118" t="s">
        <v>25</v>
      </c>
      <c r="F38" s="118" t="s">
        <v>25</v>
      </c>
      <c r="G38" s="23" t="s">
        <v>83</v>
      </c>
      <c r="H38" s="23" t="s">
        <v>82</v>
      </c>
      <c r="I38" s="23">
        <f>'MERCADO TE'!$U$35</f>
        <v>0</v>
      </c>
      <c r="J38" s="15"/>
      <c r="L38" s="20">
        <f>'TE BE'!$L$38*'TE BE'!$L$58</f>
        <v>-5.3017893166468373E-7</v>
      </c>
      <c r="M38" s="20">
        <f>'TE BE'!$M$38*'TE BE'!$M$58</f>
        <v>5.2515712791960434</v>
      </c>
      <c r="N38" s="20">
        <f>'TE BE'!$N$38*'TE BE'!$N$58</f>
        <v>0</v>
      </c>
      <c r="O38" s="20">
        <f>'TE BE'!$O$38*'TE BE'!$O$58</f>
        <v>-0.6568942290736931</v>
      </c>
      <c r="P38" s="20">
        <f>'TE BE'!$P$38*'TE BE'!$P$58</f>
        <v>0</v>
      </c>
      <c r="Q38" s="20">
        <f>SUM($L$38:$P$38)</f>
        <v>4.5946765199434187</v>
      </c>
      <c r="R38" s="20">
        <f>'TE BE'!$R$38*'TE BE'!$R$58</f>
        <v>45.034454757883779</v>
      </c>
      <c r="S38" s="20">
        <f>SUM($R$38:$R$38)</f>
        <v>45.034454757883779</v>
      </c>
      <c r="T38" s="20">
        <f>'TE BE'!$T$38*'TE BE'!$T$58</f>
        <v>0</v>
      </c>
      <c r="U38" s="20">
        <f>'TE BE'!$U$38*'TE BE'!$U$58</f>
        <v>0</v>
      </c>
      <c r="V38" s="20">
        <f>'TE BE'!$V$38*'TE BE'!$V$58</f>
        <v>0</v>
      </c>
      <c r="W38" s="20">
        <f>SUM($T$38:$V$38)</f>
        <v>0</v>
      </c>
      <c r="X38" s="20">
        <f>'TE BE'!$AB$38*'TE BE'!$X$58</f>
        <v>-31.333871642687104</v>
      </c>
      <c r="Y38" s="20">
        <f>SUM($X$38:$X$38)</f>
        <v>-31.333871642687104</v>
      </c>
      <c r="Z38" s="20">
        <f>'TE BE'!$Z$38*'TE BE'!$Z$58</f>
        <v>0.6429669941224696</v>
      </c>
      <c r="AA38" s="20">
        <f>SUM($Z$38:$Z$38)</f>
        <v>0.6429669941224696</v>
      </c>
      <c r="AB38" s="20">
        <f>SUMIF($L$4:$AA$4,"SUBTOTAL",$L$38:$AA$38)</f>
        <v>18.938226629262566</v>
      </c>
    </row>
    <row r="39" spans="1:28" ht="11.25" customHeight="1" x14ac:dyDescent="0.25">
      <c r="A39" s="118"/>
      <c r="B39" s="118"/>
      <c r="C39" s="118"/>
      <c r="D39" s="118"/>
      <c r="E39" s="118"/>
      <c r="F39" s="118"/>
      <c r="G39" s="23" t="s">
        <v>98</v>
      </c>
      <c r="H39" s="23" t="s">
        <v>82</v>
      </c>
      <c r="I39" s="23">
        <f>'MERCADO TE'!$U$36</f>
        <v>0</v>
      </c>
      <c r="J39" s="15"/>
      <c r="L39" s="20">
        <f>'TE BE'!$L$39*'TE BE'!$L$58</f>
        <v>-5.3017893166468373E-7</v>
      </c>
      <c r="M39" s="20">
        <f>'TE BE'!$M$39*'TE BE'!$M$58</f>
        <v>5.2515712791960434</v>
      </c>
      <c r="N39" s="20">
        <f>'TE BE'!$N$39*'TE BE'!$N$58</f>
        <v>0</v>
      </c>
      <c r="O39" s="20">
        <f>'TE BE'!$O$39*'TE BE'!$O$58</f>
        <v>-0.6568942290736931</v>
      </c>
      <c r="P39" s="20">
        <f>'TE BE'!$P$39*'TE BE'!$P$58</f>
        <v>0</v>
      </c>
      <c r="Q39" s="20">
        <f>SUM($L$39:$P$39)</f>
        <v>4.5946765199434187</v>
      </c>
      <c r="R39" s="20">
        <f>'TE BE'!$R$39*'TE BE'!$R$58</f>
        <v>26.182822533653358</v>
      </c>
      <c r="S39" s="20">
        <f>SUM($R$39:$R$39)</f>
        <v>26.182822533653358</v>
      </c>
      <c r="T39" s="20">
        <f>'TE BE'!$T$39*'TE BE'!$T$58</f>
        <v>0</v>
      </c>
      <c r="U39" s="20">
        <f>'TE BE'!$U$39*'TE BE'!$U$58</f>
        <v>0</v>
      </c>
      <c r="V39" s="20">
        <f>'TE BE'!$V$39*'TE BE'!$V$58</f>
        <v>0</v>
      </c>
      <c r="W39" s="20">
        <f>SUM($T$39:$V$39)</f>
        <v>0</v>
      </c>
      <c r="X39" s="20">
        <f>'TE BE'!$AB$39*'TE BE'!$X$58</f>
        <v>-18.741293404329745</v>
      </c>
      <c r="Y39" s="20">
        <f>SUM($X$39:$X$39)</f>
        <v>-18.741293404329745</v>
      </c>
      <c r="Z39" s="20">
        <f>'TE BE'!$Z$39*'TE BE'!$Z$58</f>
        <v>0.6429669941224696</v>
      </c>
      <c r="AA39" s="20">
        <f>SUM($Z$39:$Z$39)</f>
        <v>0.6429669941224696</v>
      </c>
      <c r="AB39" s="20">
        <f>SUMIF($L$4:$AA$4,"SUBTOTAL",$L$39:$AA$39)</f>
        <v>12.679172643389501</v>
      </c>
    </row>
    <row r="40" spans="1:28" ht="11.25" customHeight="1" x14ac:dyDescent="0.25">
      <c r="A40" s="118"/>
      <c r="B40" s="118"/>
      <c r="C40" s="118"/>
      <c r="D40" s="118"/>
      <c r="E40" s="118"/>
      <c r="F40" s="118"/>
      <c r="G40" s="23" t="s">
        <v>84</v>
      </c>
      <c r="H40" s="23" t="s">
        <v>82</v>
      </c>
      <c r="I40" s="23">
        <f>'MERCADO TE'!$U$37</f>
        <v>0</v>
      </c>
      <c r="J40" s="15"/>
      <c r="L40" s="20">
        <f>'TE BE'!$L$40*'TE BE'!$L$58</f>
        <v>-5.3017893166468373E-7</v>
      </c>
      <c r="M40" s="20">
        <f>'TE BE'!$M$40*'TE BE'!$M$58</f>
        <v>5.2515712791960434</v>
      </c>
      <c r="N40" s="20">
        <f>'TE BE'!$N$40*'TE BE'!$N$58</f>
        <v>0</v>
      </c>
      <c r="O40" s="20">
        <f>'TE BE'!$O$40*'TE BE'!$O$58</f>
        <v>-0.6568942290736931</v>
      </c>
      <c r="P40" s="20">
        <f>'TE BE'!$P$40*'TE BE'!$P$58</f>
        <v>0</v>
      </c>
      <c r="Q40" s="20">
        <f>SUM($L$40:$P$40)</f>
        <v>4.5946765199434187</v>
      </c>
      <c r="R40" s="20">
        <f>'TE BE'!$R$40*'TE BE'!$R$58</f>
        <v>26.182822533653358</v>
      </c>
      <c r="S40" s="20">
        <f>SUM($R$40:$R$40)</f>
        <v>26.182822533653358</v>
      </c>
      <c r="T40" s="20">
        <f>'TE BE'!$T$40*'TE BE'!$T$58</f>
        <v>0</v>
      </c>
      <c r="U40" s="20">
        <f>'TE BE'!$U$40*'TE BE'!$U$58</f>
        <v>0</v>
      </c>
      <c r="V40" s="20">
        <f>'TE BE'!$V$40*'TE BE'!$V$58</f>
        <v>0</v>
      </c>
      <c r="W40" s="20">
        <f>SUM($T$40:$V$40)</f>
        <v>0</v>
      </c>
      <c r="X40" s="20">
        <f>'TE BE'!$AB$40*'TE BE'!$X$58</f>
        <v>-18.741293404329745</v>
      </c>
      <c r="Y40" s="20">
        <f>SUM($X$40:$X$40)</f>
        <v>-18.741293404329745</v>
      </c>
      <c r="Z40" s="20">
        <f>'TE BE'!$Z$40*'TE BE'!$Z$58</f>
        <v>0.6429669941224696</v>
      </c>
      <c r="AA40" s="20">
        <f>SUM($Z$40:$Z$40)</f>
        <v>0.6429669941224696</v>
      </c>
      <c r="AB40" s="20">
        <f>SUMIF($L$4:$AA$4,"SUBTOTAL",$L$40:$AA$40)</f>
        <v>12.679172643389501</v>
      </c>
    </row>
    <row r="41" spans="1:28" ht="11.25" customHeight="1" x14ac:dyDescent="0.25">
      <c r="A41" s="118"/>
      <c r="B41" s="22" t="s">
        <v>90</v>
      </c>
      <c r="C41" s="22" t="s">
        <v>47</v>
      </c>
      <c r="D41" s="22" t="s">
        <v>102</v>
      </c>
      <c r="E41" s="22" t="s">
        <v>25</v>
      </c>
      <c r="F41" s="22" t="s">
        <v>25</v>
      </c>
      <c r="G41" s="23" t="s">
        <v>88</v>
      </c>
      <c r="H41" s="23" t="s">
        <v>82</v>
      </c>
      <c r="I41" s="23">
        <f>'MERCADO TE'!$U$38</f>
        <v>0</v>
      </c>
      <c r="J41" s="15"/>
      <c r="L41" s="20">
        <f>'TE BE'!$L$41*'TE BE'!$L$58</f>
        <v>-5.3017893166468373E-7</v>
      </c>
      <c r="M41" s="20">
        <f>'TE BE'!$M$41*'TE BE'!$M$58</f>
        <v>5.2515712791960434</v>
      </c>
      <c r="N41" s="20">
        <f>'TE BE'!$N$41*'TE BE'!$N$58</f>
        <v>0</v>
      </c>
      <c r="O41" s="20">
        <f>'TE BE'!$O$41*'TE BE'!$O$58</f>
        <v>-0.6568942290736931</v>
      </c>
      <c r="P41" s="20">
        <f>'TE BE'!$P$41*'TE BE'!$P$58</f>
        <v>0</v>
      </c>
      <c r="Q41" s="20">
        <f>SUM($L$41:$P$41)</f>
        <v>4.5946765199434187</v>
      </c>
      <c r="R41" s="20">
        <f>'TE BE'!$R$41*'TE BE'!$R$58</f>
        <v>27.753791885672559</v>
      </c>
      <c r="S41" s="20">
        <f>SUM($R$41:$R$41)</f>
        <v>27.753791885672559</v>
      </c>
      <c r="T41" s="20">
        <f>'TE BE'!$T$41*'TE BE'!$T$58</f>
        <v>0</v>
      </c>
      <c r="U41" s="20">
        <f>'TE BE'!$U$41*'TE BE'!$U$58</f>
        <v>0</v>
      </c>
      <c r="V41" s="20">
        <f>'TE BE'!$V$41*'TE BE'!$V$58</f>
        <v>0</v>
      </c>
      <c r="W41" s="20">
        <f>SUM($T$41:$V$41)</f>
        <v>0</v>
      </c>
      <c r="X41" s="20">
        <f>'TE BE'!$AB$41*'TE BE'!$X$58</f>
        <v>-19.79067492419286</v>
      </c>
      <c r="Y41" s="20">
        <f>SUM($X$41:$X$41)</f>
        <v>-19.79067492419286</v>
      </c>
      <c r="Z41" s="20">
        <f>'TE BE'!$Z$41*'TE BE'!$Z$58</f>
        <v>0.6429669941224696</v>
      </c>
      <c r="AA41" s="20">
        <f>SUM($Z$41:$Z$41)</f>
        <v>0.6429669941224696</v>
      </c>
      <c r="AB41" s="20">
        <f>SUMIF($L$4:$AA$4,"SUBTOTAL",$L$41:$AA$41)</f>
        <v>13.200760475545584</v>
      </c>
    </row>
    <row r="42" spans="1:28" ht="11.25" customHeight="1" x14ac:dyDescent="0.25">
      <c r="A42" s="118"/>
      <c r="B42" s="118" t="s">
        <v>99</v>
      </c>
      <c r="C42" s="118" t="s">
        <v>47</v>
      </c>
      <c r="D42" s="22" t="s">
        <v>25</v>
      </c>
      <c r="E42" s="22" t="s">
        <v>25</v>
      </c>
      <c r="F42" s="22" t="s">
        <v>25</v>
      </c>
      <c r="G42" s="23" t="s">
        <v>88</v>
      </c>
      <c r="H42" s="23" t="s">
        <v>82</v>
      </c>
      <c r="I42" s="23">
        <f>'MERCADO TE'!$U$39</f>
        <v>0</v>
      </c>
      <c r="J42" s="15"/>
      <c r="L42" s="20">
        <f>'TE BE'!$L$42*'TE BE'!$L$58</f>
        <v>-5.3017893166468373E-7</v>
      </c>
      <c r="M42" s="20">
        <f>'TE BE'!$M$42*'TE BE'!$M$58</f>
        <v>5.2515712791960434</v>
      </c>
      <c r="N42" s="20">
        <f>'TE BE'!$N$42*'TE BE'!$N$58</f>
        <v>0</v>
      </c>
      <c r="O42" s="20">
        <f>'TE BE'!$O$42*'TE BE'!$O$58</f>
        <v>-0.6568942290736931</v>
      </c>
      <c r="P42" s="20">
        <f>'TE BE'!$P$42*'TE BE'!$P$58</f>
        <v>0</v>
      </c>
      <c r="Q42" s="20">
        <f>SUM($L$42:$P$42)</f>
        <v>4.5946765199434187</v>
      </c>
      <c r="R42" s="20">
        <f>'TE BE'!$R$42*'TE BE'!$R$58</f>
        <v>27.753791885672559</v>
      </c>
      <c r="S42" s="20">
        <f>SUM($R$42:$R$42)</f>
        <v>27.753791885672559</v>
      </c>
      <c r="T42" s="20">
        <f>'TE BE'!$T$42*'TE BE'!$T$58</f>
        <v>0</v>
      </c>
      <c r="U42" s="20">
        <f>'TE BE'!$U$42*'TE BE'!$U$58</f>
        <v>0</v>
      </c>
      <c r="V42" s="20">
        <f>'TE BE'!$V$42*'TE BE'!$V$58</f>
        <v>0</v>
      </c>
      <c r="W42" s="20">
        <f>SUM($T$42:$V$42)</f>
        <v>0</v>
      </c>
      <c r="X42" s="20">
        <f>'TE BE'!$AB$42*'TE BE'!$X$58</f>
        <v>-19.79067492419286</v>
      </c>
      <c r="Y42" s="20">
        <f>SUM($X$42:$X$42)</f>
        <v>-19.79067492419286</v>
      </c>
      <c r="Z42" s="20">
        <f>'TE BE'!$Z$42*'TE BE'!$Z$58</f>
        <v>0.6429669941224696</v>
      </c>
      <c r="AA42" s="20">
        <f>SUM($Z$42:$Z$42)</f>
        <v>0.6429669941224696</v>
      </c>
      <c r="AB42" s="20">
        <f>SUMIF($L$4:$AA$4,"SUBTOTAL",$L$42:$AA$42)</f>
        <v>13.200760475545584</v>
      </c>
    </row>
    <row r="43" spans="1:28" ht="11.25" customHeight="1" x14ac:dyDescent="0.25">
      <c r="A43" s="118"/>
      <c r="B43" s="118"/>
      <c r="C43" s="118"/>
      <c r="D43" s="22" t="s">
        <v>101</v>
      </c>
      <c r="E43" s="22" t="s">
        <v>25</v>
      </c>
      <c r="F43" s="22" t="s">
        <v>25</v>
      </c>
      <c r="G43" s="23" t="s">
        <v>88</v>
      </c>
      <c r="H43" s="23" t="s">
        <v>82</v>
      </c>
      <c r="I43" s="23">
        <f>'MERCADO TE'!$U$40</f>
        <v>0</v>
      </c>
      <c r="J43" s="15"/>
      <c r="L43" s="20">
        <f>'TE BE'!$L$43*'TE BE'!$L$58</f>
        <v>-5.3017893166468373E-7</v>
      </c>
      <c r="M43" s="20">
        <f>'TE BE'!$M$43*'TE BE'!$M$58</f>
        <v>5.2515712791960434</v>
      </c>
      <c r="N43" s="20">
        <f>'TE BE'!$N$43*'TE BE'!$N$58</f>
        <v>0</v>
      </c>
      <c r="O43" s="20">
        <f>'TE BE'!$O$43*'TE BE'!$O$58</f>
        <v>-0.6568942290736931</v>
      </c>
      <c r="P43" s="20">
        <f>'TE BE'!$P$43*'TE BE'!$P$58</f>
        <v>0</v>
      </c>
      <c r="Q43" s="20">
        <f>SUM($L$43:$P$43)</f>
        <v>4.5946765199434187</v>
      </c>
      <c r="R43" s="20">
        <f>'TE BE'!$R$43*'TE BE'!$R$58</f>
        <v>27.753791885672559</v>
      </c>
      <c r="S43" s="20">
        <f>SUM($R$43:$R$43)</f>
        <v>27.753791885672559</v>
      </c>
      <c r="T43" s="20">
        <f>'TE BE'!$T$43*'TE BE'!$T$58</f>
        <v>0</v>
      </c>
      <c r="U43" s="20">
        <f>'TE BE'!$U$43*'TE BE'!$U$58</f>
        <v>0</v>
      </c>
      <c r="V43" s="20">
        <f>'TE BE'!$V$43*'TE BE'!$V$58</f>
        <v>0</v>
      </c>
      <c r="W43" s="20">
        <f>SUM($T$43:$V$43)</f>
        <v>0</v>
      </c>
      <c r="X43" s="20">
        <f>'TE BE'!$AB$43*'TE BE'!$X$58</f>
        <v>-19.79067492419286</v>
      </c>
      <c r="Y43" s="20">
        <f>SUM($X$43:$X$43)</f>
        <v>-19.79067492419286</v>
      </c>
      <c r="Z43" s="20">
        <f>'TE BE'!$Z$43*'TE BE'!$Z$58</f>
        <v>0.6429669941224696</v>
      </c>
      <c r="AA43" s="20">
        <f>SUM($Z$43:$Z$43)</f>
        <v>0.6429669941224696</v>
      </c>
      <c r="AB43" s="20">
        <f>SUMIF($L$4:$AA$4,"SUBTOTAL",$L$43:$AA$43)</f>
        <v>13.200760475545584</v>
      </c>
    </row>
    <row r="44" spans="1:28" ht="11.25" customHeight="1" x14ac:dyDescent="0.25">
      <c r="A44" s="118"/>
      <c r="B44" s="118"/>
      <c r="C44" s="118"/>
      <c r="D44" s="22" t="s">
        <v>102</v>
      </c>
      <c r="E44" s="22" t="s">
        <v>25</v>
      </c>
      <c r="F44" s="22" t="s">
        <v>25</v>
      </c>
      <c r="G44" s="23" t="s">
        <v>88</v>
      </c>
      <c r="H44" s="23" t="s">
        <v>82</v>
      </c>
      <c r="I44" s="23">
        <f>'MERCADO TE'!$U$41</f>
        <v>0</v>
      </c>
      <c r="J44" s="15"/>
      <c r="L44" s="20">
        <f>'TE BE'!$L$44*'TE BE'!$L$58</f>
        <v>-5.3017893166468373E-7</v>
      </c>
      <c r="M44" s="20">
        <f>'TE BE'!$M$44*'TE BE'!$M$58</f>
        <v>5.2515712791960434</v>
      </c>
      <c r="N44" s="20">
        <f>'TE BE'!$N$44*'TE BE'!$N$58</f>
        <v>0</v>
      </c>
      <c r="O44" s="20">
        <f>'TE BE'!$O$44*'TE BE'!$O$58</f>
        <v>-0.6568942290736931</v>
      </c>
      <c r="P44" s="20">
        <f>'TE BE'!$P$44*'TE BE'!$P$58</f>
        <v>0</v>
      </c>
      <c r="Q44" s="20">
        <f>SUM($L$44:$P$44)</f>
        <v>4.5946765199434187</v>
      </c>
      <c r="R44" s="20">
        <f>'TE BE'!$R$44*'TE BE'!$R$58</f>
        <v>27.753791885672559</v>
      </c>
      <c r="S44" s="20">
        <f>SUM($R$44:$R$44)</f>
        <v>27.753791885672559</v>
      </c>
      <c r="T44" s="20">
        <f>'TE BE'!$T$44*'TE BE'!$T$58</f>
        <v>0</v>
      </c>
      <c r="U44" s="20">
        <f>'TE BE'!$U$44*'TE BE'!$U$58</f>
        <v>0</v>
      </c>
      <c r="V44" s="20">
        <f>'TE BE'!$V$44*'TE BE'!$V$58</f>
        <v>0</v>
      </c>
      <c r="W44" s="20">
        <f>SUM($T$44:$V$44)</f>
        <v>0</v>
      </c>
      <c r="X44" s="20">
        <f>'TE BE'!$AB$44*'TE BE'!$X$58</f>
        <v>-19.79067492419286</v>
      </c>
      <c r="Y44" s="20">
        <f>SUM($X$44:$X$44)</f>
        <v>-19.79067492419286</v>
      </c>
      <c r="Z44" s="20">
        <f>'TE BE'!$Z$44*'TE BE'!$Z$58</f>
        <v>0.6429669941224696</v>
      </c>
      <c r="AA44" s="20">
        <f>SUM($Z$44:$Z$44)</f>
        <v>0.6429669941224696</v>
      </c>
      <c r="AB44" s="20">
        <f>SUMIF($L$4:$AA$4,"SUBTOTAL",$L$44:$AA$44)</f>
        <v>13.200760475545584</v>
      </c>
    </row>
    <row r="45" spans="1:28" ht="11.25" customHeight="1" x14ac:dyDescent="0.25">
      <c r="A45" s="118" t="s">
        <v>39</v>
      </c>
      <c r="B45" s="118" t="s">
        <v>81</v>
      </c>
      <c r="C45" s="118" t="s">
        <v>25</v>
      </c>
      <c r="D45" s="118" t="s">
        <v>25</v>
      </c>
      <c r="E45" s="118" t="s">
        <v>25</v>
      </c>
      <c r="F45" s="118" t="s">
        <v>25</v>
      </c>
      <c r="G45" s="23" t="s">
        <v>83</v>
      </c>
      <c r="H45" s="23" t="s">
        <v>82</v>
      </c>
      <c r="I45" s="23">
        <f>'MERCADO TE'!$U$42</f>
        <v>79.968999999999994</v>
      </c>
      <c r="J45" s="15"/>
      <c r="L45" s="20">
        <f>'TE BE'!$L$45*'TE BE'!$L$58</f>
        <v>-5.3017893166468373E-7</v>
      </c>
      <c r="M45" s="20">
        <f>'TE BE'!$M$45*'TE BE'!$M$58</f>
        <v>5.2515712791960434</v>
      </c>
      <c r="N45" s="20">
        <f>'TE BE'!$N$45*'TE BE'!$N$58</f>
        <v>0</v>
      </c>
      <c r="O45" s="20">
        <f>'TE BE'!$O$45*'TE BE'!$O$58</f>
        <v>-0.6568942290736931</v>
      </c>
      <c r="P45" s="20">
        <f>'TE BE'!$P$45*'TE BE'!$P$58</f>
        <v>0</v>
      </c>
      <c r="Q45" s="20">
        <f>SUM($L$45:$P$45)</f>
        <v>4.5946765199434187</v>
      </c>
      <c r="R45" s="20">
        <f>'TE BE'!$R$45*'TE BE'!$R$58</f>
        <v>45.034454757883779</v>
      </c>
      <c r="S45" s="20">
        <f>SUM($R$45:$R$45)</f>
        <v>45.034454757883779</v>
      </c>
      <c r="T45" s="20">
        <f>'TE BE'!$T$45*'TE BE'!$T$58</f>
        <v>0</v>
      </c>
      <c r="U45" s="20">
        <f>'TE BE'!$U$45*'TE BE'!$U$58</f>
        <v>0</v>
      </c>
      <c r="V45" s="20">
        <f>'TE BE'!$V$45*'TE BE'!$V$58</f>
        <v>0</v>
      </c>
      <c r="W45" s="20">
        <f>SUM($T$45:$V$45)</f>
        <v>0</v>
      </c>
      <c r="X45" s="20">
        <f>'TE BE'!$AB$45*'TE BE'!$X$58</f>
        <v>-31.333871642687104</v>
      </c>
      <c r="Y45" s="20">
        <f>SUM($X$45:$X$45)</f>
        <v>-31.333871642687104</v>
      </c>
      <c r="Z45" s="20">
        <f>'TE BE'!$Z$45*'TE BE'!$Z$58</f>
        <v>0.6429669941224696</v>
      </c>
      <c r="AA45" s="20">
        <f>SUM($Z$45:$Z$45)</f>
        <v>0.6429669941224696</v>
      </c>
      <c r="AB45" s="20">
        <f>SUMIF($L$4:$AA$4,"SUBTOTAL",$L$45:$AA$45)</f>
        <v>18.938226629262566</v>
      </c>
    </row>
    <row r="46" spans="1:28" ht="11.25" customHeight="1" x14ac:dyDescent="0.25">
      <c r="A46" s="118"/>
      <c r="B46" s="118"/>
      <c r="C46" s="118"/>
      <c r="D46" s="118"/>
      <c r="E46" s="118"/>
      <c r="F46" s="118"/>
      <c r="G46" s="23" t="s">
        <v>98</v>
      </c>
      <c r="H46" s="23" t="s">
        <v>82</v>
      </c>
      <c r="I46" s="23">
        <f>'MERCADO TE'!$U$43</f>
        <v>41.695999999999998</v>
      </c>
      <c r="J46" s="15"/>
      <c r="L46" s="20">
        <f>'TE BE'!$L$46*'TE BE'!$L$58</f>
        <v>-5.3017893166468373E-7</v>
      </c>
      <c r="M46" s="20">
        <f>'TE BE'!$M$46*'TE BE'!$M$58</f>
        <v>5.2515712791960434</v>
      </c>
      <c r="N46" s="20">
        <f>'TE BE'!$N$46*'TE BE'!$N$58</f>
        <v>0</v>
      </c>
      <c r="O46" s="20">
        <f>'TE BE'!$O$46*'TE BE'!$O$58</f>
        <v>-0.6568942290736931</v>
      </c>
      <c r="P46" s="20">
        <f>'TE BE'!$P$46*'TE BE'!$P$58</f>
        <v>0</v>
      </c>
      <c r="Q46" s="20">
        <f>SUM($L$46:$P$46)</f>
        <v>4.5946765199434187</v>
      </c>
      <c r="R46" s="20">
        <f>'TE BE'!$R$46*'TE BE'!$R$58</f>
        <v>26.182822533653358</v>
      </c>
      <c r="S46" s="20">
        <f>SUM($R$46:$R$46)</f>
        <v>26.182822533653358</v>
      </c>
      <c r="T46" s="20">
        <f>'TE BE'!$T$46*'TE BE'!$T$58</f>
        <v>0</v>
      </c>
      <c r="U46" s="20">
        <f>'TE BE'!$U$46*'TE BE'!$U$58</f>
        <v>0</v>
      </c>
      <c r="V46" s="20">
        <f>'TE BE'!$V$46*'TE BE'!$V$58</f>
        <v>0</v>
      </c>
      <c r="W46" s="20">
        <f>SUM($T$46:$V$46)</f>
        <v>0</v>
      </c>
      <c r="X46" s="20">
        <f>'TE BE'!$AB$46*'TE BE'!$X$58</f>
        <v>-18.741293404329745</v>
      </c>
      <c r="Y46" s="20">
        <f>SUM($X$46:$X$46)</f>
        <v>-18.741293404329745</v>
      </c>
      <c r="Z46" s="20">
        <f>'TE BE'!$Z$46*'TE BE'!$Z$58</f>
        <v>0.6429669941224696</v>
      </c>
      <c r="AA46" s="20">
        <f>SUM($Z$46:$Z$46)</f>
        <v>0.6429669941224696</v>
      </c>
      <c r="AB46" s="20">
        <f>SUMIF($L$4:$AA$4,"SUBTOTAL",$L$46:$AA$46)</f>
        <v>12.679172643389501</v>
      </c>
    </row>
    <row r="47" spans="1:28" ht="11.25" customHeight="1" x14ac:dyDescent="0.25">
      <c r="A47" s="118"/>
      <c r="B47" s="118"/>
      <c r="C47" s="118"/>
      <c r="D47" s="118"/>
      <c r="E47" s="118"/>
      <c r="F47" s="118"/>
      <c r="G47" s="23" t="s">
        <v>84</v>
      </c>
      <c r="H47" s="23" t="s">
        <v>82</v>
      </c>
      <c r="I47" s="23">
        <f>'MERCADO TE'!$U$44</f>
        <v>1338.2650000000001</v>
      </c>
      <c r="J47" s="15"/>
      <c r="L47" s="20">
        <f>'TE BE'!$L$47*'TE BE'!$L$58</f>
        <v>-5.3017893166468373E-7</v>
      </c>
      <c r="M47" s="20">
        <f>'TE BE'!$M$47*'TE BE'!$M$58</f>
        <v>5.2515712791960434</v>
      </c>
      <c r="N47" s="20">
        <f>'TE BE'!$N$47*'TE BE'!$N$58</f>
        <v>0</v>
      </c>
      <c r="O47" s="20">
        <f>'TE BE'!$O$47*'TE BE'!$O$58</f>
        <v>-0.6568942290736931</v>
      </c>
      <c r="P47" s="20">
        <f>'TE BE'!$P$47*'TE BE'!$P$58</f>
        <v>0</v>
      </c>
      <c r="Q47" s="20">
        <f>SUM($L$47:$P$47)</f>
        <v>4.5946765199434187</v>
      </c>
      <c r="R47" s="20">
        <f>'TE BE'!$R$47*'TE BE'!$R$58</f>
        <v>26.182822533653358</v>
      </c>
      <c r="S47" s="20">
        <f>SUM($R$47:$R$47)</f>
        <v>26.182822533653358</v>
      </c>
      <c r="T47" s="20">
        <f>'TE BE'!$T$47*'TE BE'!$T$58</f>
        <v>0</v>
      </c>
      <c r="U47" s="20">
        <f>'TE BE'!$U$47*'TE BE'!$U$58</f>
        <v>0</v>
      </c>
      <c r="V47" s="20">
        <f>'TE BE'!$V$47*'TE BE'!$V$58</f>
        <v>0</v>
      </c>
      <c r="W47" s="20">
        <f>SUM($T$47:$V$47)</f>
        <v>0</v>
      </c>
      <c r="X47" s="20">
        <f>'TE BE'!$AB$47*'TE BE'!$X$58</f>
        <v>-18.741293404329745</v>
      </c>
      <c r="Y47" s="20">
        <f>SUM($X$47:$X$47)</f>
        <v>-18.741293404329745</v>
      </c>
      <c r="Z47" s="20">
        <f>'TE BE'!$Z$47*'TE BE'!$Z$58</f>
        <v>0.6429669941224696</v>
      </c>
      <c r="AA47" s="20">
        <f>SUM($Z$47:$Z$47)</f>
        <v>0.6429669941224696</v>
      </c>
      <c r="AB47" s="20">
        <f>SUMIF($L$4:$AA$4,"SUBTOTAL",$L$47:$AA$47)</f>
        <v>12.679172643389501</v>
      </c>
    </row>
    <row r="48" spans="1:28" ht="11.25" customHeight="1" x14ac:dyDescent="0.25">
      <c r="A48" s="118"/>
      <c r="B48" s="22" t="s">
        <v>90</v>
      </c>
      <c r="C48" s="22" t="s">
        <v>25</v>
      </c>
      <c r="D48" s="22" t="s">
        <v>25</v>
      </c>
      <c r="E48" s="22" t="s">
        <v>25</v>
      </c>
      <c r="F48" s="22" t="s">
        <v>25</v>
      </c>
      <c r="G48" s="23" t="s">
        <v>88</v>
      </c>
      <c r="H48" s="23" t="s">
        <v>82</v>
      </c>
      <c r="I48" s="23">
        <f>'MERCADO TE'!$U$45</f>
        <v>209665.67300000001</v>
      </c>
      <c r="J48" s="15"/>
      <c r="L48" s="20">
        <f>'TE BE'!$L$48*'TE BE'!$L$58</f>
        <v>-5.3017893166468373E-7</v>
      </c>
      <c r="M48" s="20">
        <f>'TE BE'!$M$48*'TE BE'!$M$58</f>
        <v>5.2515712791960434</v>
      </c>
      <c r="N48" s="20">
        <f>'TE BE'!$N$48*'TE BE'!$N$58</f>
        <v>0</v>
      </c>
      <c r="O48" s="20">
        <f>'TE BE'!$O$48*'TE BE'!$O$58</f>
        <v>-0.6568942290736931</v>
      </c>
      <c r="P48" s="20">
        <f>'TE BE'!$P$48*'TE BE'!$P$58</f>
        <v>0</v>
      </c>
      <c r="Q48" s="20">
        <f>SUM($L$48:$P$48)</f>
        <v>4.5946765199434187</v>
      </c>
      <c r="R48" s="20">
        <f>'TE BE'!$R$48*'TE BE'!$R$58</f>
        <v>27.753791885672559</v>
      </c>
      <c r="S48" s="20">
        <f>SUM($R$48:$R$48)</f>
        <v>27.753791885672559</v>
      </c>
      <c r="T48" s="20">
        <f>'TE BE'!$T$48*'TE BE'!$T$58</f>
        <v>0</v>
      </c>
      <c r="U48" s="20">
        <f>'TE BE'!$U$48*'TE BE'!$U$58</f>
        <v>0</v>
      </c>
      <c r="V48" s="20">
        <f>'TE BE'!$V$48*'TE BE'!$V$58</f>
        <v>0</v>
      </c>
      <c r="W48" s="20">
        <f>SUM($T$48:$V$48)</f>
        <v>0</v>
      </c>
      <c r="X48" s="20">
        <f>'TE BE'!$AB$48*'TE BE'!$X$58</f>
        <v>-19.79067492419286</v>
      </c>
      <c r="Y48" s="20">
        <f>SUM($X$48:$X$48)</f>
        <v>-19.79067492419286</v>
      </c>
      <c r="Z48" s="20">
        <f>'TE BE'!$Z$48*'TE BE'!$Z$58</f>
        <v>0.6429669941224696</v>
      </c>
      <c r="AA48" s="20">
        <f>SUM($Z$48:$Z$48)</f>
        <v>0.6429669941224696</v>
      </c>
      <c r="AB48" s="20">
        <f>SUMIF($L$4:$AA$4,"SUBTOTAL",$L$48:$AA$48)</f>
        <v>13.200760475545584</v>
      </c>
    </row>
    <row r="49" spans="1:28" ht="11.25" customHeight="1" x14ac:dyDescent="0.25">
      <c r="A49" s="118"/>
      <c r="B49" s="22" t="s">
        <v>99</v>
      </c>
      <c r="C49" s="22" t="s">
        <v>25</v>
      </c>
      <c r="D49" s="22" t="s">
        <v>25</v>
      </c>
      <c r="E49" s="22" t="s">
        <v>25</v>
      </c>
      <c r="F49" s="22" t="s">
        <v>25</v>
      </c>
      <c r="G49" s="23" t="s">
        <v>88</v>
      </c>
      <c r="H49" s="23" t="s">
        <v>82</v>
      </c>
      <c r="I49" s="23">
        <f>'MERCADO TE'!$U$46</f>
        <v>0</v>
      </c>
      <c r="J49" s="15"/>
      <c r="L49" s="20">
        <f>'TE BE'!$L$49*'TE BE'!$L$58</f>
        <v>-5.3017893166468373E-7</v>
      </c>
      <c r="M49" s="20">
        <f>'TE BE'!$M$49*'TE BE'!$M$58</f>
        <v>5.2515712791960434</v>
      </c>
      <c r="N49" s="20">
        <f>'TE BE'!$N$49*'TE BE'!$N$58</f>
        <v>0</v>
      </c>
      <c r="O49" s="20">
        <f>'TE BE'!$O$49*'TE BE'!$O$58</f>
        <v>-0.6568942290736931</v>
      </c>
      <c r="P49" s="20">
        <f>'TE BE'!$P$49*'TE BE'!$P$58</f>
        <v>0</v>
      </c>
      <c r="Q49" s="20">
        <f>SUM($L$49:$P$49)</f>
        <v>4.5946765199434187</v>
      </c>
      <c r="R49" s="20">
        <f>'TE BE'!$R$49*'TE BE'!$R$58</f>
        <v>27.753791885672559</v>
      </c>
      <c r="S49" s="20">
        <f>SUM($R$49:$R$49)</f>
        <v>27.753791885672559</v>
      </c>
      <c r="T49" s="20">
        <f>'TE BE'!$T$49*'TE BE'!$T$58</f>
        <v>0</v>
      </c>
      <c r="U49" s="20">
        <f>'TE BE'!$U$49*'TE BE'!$U$58</f>
        <v>0</v>
      </c>
      <c r="V49" s="20">
        <f>'TE BE'!$V$49*'TE BE'!$V$58</f>
        <v>0</v>
      </c>
      <c r="W49" s="20">
        <f>SUM($T$49:$V$49)</f>
        <v>0</v>
      </c>
      <c r="X49" s="20">
        <f>'TE BE'!$AB$49*'TE BE'!$X$58</f>
        <v>-19.79067492419286</v>
      </c>
      <c r="Y49" s="20">
        <f>SUM($X$49:$X$49)</f>
        <v>-19.79067492419286</v>
      </c>
      <c r="Z49" s="20">
        <f>'TE BE'!$Z$49*'TE BE'!$Z$58</f>
        <v>0.6429669941224696</v>
      </c>
      <c r="AA49" s="20">
        <f>SUM($Z$49:$Z$49)</f>
        <v>0.6429669941224696</v>
      </c>
      <c r="AB49" s="20">
        <f>SUMIF($L$4:$AA$4,"SUBTOTAL",$L$49:$AA$49)</f>
        <v>13.200760475545584</v>
      </c>
    </row>
    <row r="50" spans="1:28" ht="11.25" customHeight="1" x14ac:dyDescent="0.25">
      <c r="A50" s="118" t="s">
        <v>49</v>
      </c>
      <c r="B50" s="118" t="s">
        <v>90</v>
      </c>
      <c r="C50" s="118" t="s">
        <v>50</v>
      </c>
      <c r="D50" s="22" t="s">
        <v>51</v>
      </c>
      <c r="E50" s="22" t="s">
        <v>25</v>
      </c>
      <c r="F50" s="22" t="s">
        <v>25</v>
      </c>
      <c r="G50" s="23" t="s">
        <v>88</v>
      </c>
      <c r="H50" s="23" t="s">
        <v>82</v>
      </c>
      <c r="I50" s="23">
        <f>'MERCADO TE'!$U$47</f>
        <v>49365.182000000001</v>
      </c>
      <c r="J50" s="15"/>
      <c r="L50" s="20">
        <f>'TE BE'!$L$50*'TE BE'!$L$58</f>
        <v>-2.9159841241557607E-7</v>
      </c>
      <c r="M50" s="20">
        <f>'TE BE'!$M$50*'TE BE'!$M$58</f>
        <v>2.8883642035578245</v>
      </c>
      <c r="N50" s="20">
        <f>'TE BE'!$N$50*'TE BE'!$N$58</f>
        <v>0</v>
      </c>
      <c r="O50" s="20">
        <f>'TE BE'!$O$50*'TE BE'!$O$58</f>
        <v>-0.36129182599053122</v>
      </c>
      <c r="P50" s="20">
        <f>'TE BE'!$P$50*'TE BE'!$P$58</f>
        <v>0</v>
      </c>
      <c r="Q50" s="20">
        <f>SUM($L$50:$P$50)</f>
        <v>2.5270720859688809</v>
      </c>
      <c r="R50" s="20">
        <f>'TE BE'!$R$50*'TE BE'!$R$58</f>
        <v>15.264585537119912</v>
      </c>
      <c r="S50" s="20">
        <f>SUM($R$50:$R$50)</f>
        <v>15.264585537119912</v>
      </c>
      <c r="T50" s="20">
        <f>'TE BE'!$T$50*'TE BE'!$T$58</f>
        <v>0</v>
      </c>
      <c r="U50" s="20">
        <f>'TE BE'!$U$50*'TE BE'!$U$58</f>
        <v>0</v>
      </c>
      <c r="V50" s="20">
        <f>'TE BE'!$V$50*'TE BE'!$V$58</f>
        <v>0</v>
      </c>
      <c r="W50" s="20">
        <f>SUM($T$50:$V$50)</f>
        <v>0</v>
      </c>
      <c r="X50" s="20">
        <f>'TE BE'!$AB$50*'TE BE'!$X$58</f>
        <v>-10.884871208306075</v>
      </c>
      <c r="Y50" s="20">
        <f>SUM($X$50:$X$50)</f>
        <v>-10.884871208306075</v>
      </c>
      <c r="Z50" s="20">
        <f>'TE BE'!$Z$50*'TE BE'!$Z$58</f>
        <v>0.35363184676735832</v>
      </c>
      <c r="AA50" s="20">
        <f>SUM($Z$50:$Z$50)</f>
        <v>0.35363184676735832</v>
      </c>
      <c r="AB50" s="20">
        <f>SUMIF($L$4:$AA$4,"SUBTOTAL",$L$50:$AA$50)</f>
        <v>7.2604182615500754</v>
      </c>
    </row>
    <row r="51" spans="1:28" ht="11.25" customHeight="1" x14ac:dyDescent="0.25">
      <c r="A51" s="118"/>
      <c r="B51" s="118"/>
      <c r="C51" s="118"/>
      <c r="D51" s="23" t="s">
        <v>103</v>
      </c>
      <c r="E51" s="23" t="s">
        <v>25</v>
      </c>
      <c r="F51" s="23" t="s">
        <v>25</v>
      </c>
      <c r="G51" s="23" t="s">
        <v>88</v>
      </c>
      <c r="H51" s="23" t="s">
        <v>82</v>
      </c>
      <c r="I51" s="23">
        <f>'MERCADO TE'!$U$48</f>
        <v>0</v>
      </c>
      <c r="J51" s="15"/>
      <c r="L51" s="20">
        <f>'TE BE'!$L$51*'TE BE'!$L$58</f>
        <v>-3.1810735899881022E-7</v>
      </c>
      <c r="M51" s="20">
        <f>'TE BE'!$M$51*'TE BE'!$M$58</f>
        <v>3.150942767517626</v>
      </c>
      <c r="N51" s="20">
        <f>'TE BE'!$N$51*'TE BE'!$N$58</f>
        <v>0</v>
      </c>
      <c r="O51" s="20">
        <f>'TE BE'!$O$51*'TE BE'!$O$58</f>
        <v>-0.39413653744421584</v>
      </c>
      <c r="P51" s="20">
        <f>'TE BE'!$P$51*'TE BE'!$P$58</f>
        <v>0</v>
      </c>
      <c r="Q51" s="20">
        <f>SUM($L$51:$P$51)</f>
        <v>2.7568059119660511</v>
      </c>
      <c r="R51" s="20">
        <f>'TE BE'!$R$51*'TE BE'!$R$58</f>
        <v>16.652275131403535</v>
      </c>
      <c r="S51" s="20">
        <f>SUM($R$51:$R$51)</f>
        <v>16.652275131403535</v>
      </c>
      <c r="T51" s="20">
        <f>'TE BE'!$T$51*'TE BE'!$T$58</f>
        <v>0</v>
      </c>
      <c r="U51" s="20">
        <f>'TE BE'!$U$51*'TE BE'!$U$58</f>
        <v>0</v>
      </c>
      <c r="V51" s="20">
        <f>'TE BE'!$V$51*'TE BE'!$V$58</f>
        <v>0</v>
      </c>
      <c r="W51" s="20">
        <f>SUM($T$51:$V$51)</f>
        <v>0</v>
      </c>
      <c r="X51" s="20">
        <f>'TE BE'!$AB$51*'TE BE'!$X$58</f>
        <v>-11.874404954515718</v>
      </c>
      <c r="Y51" s="20">
        <f>SUM($X$51:$X$51)</f>
        <v>-11.874404954515718</v>
      </c>
      <c r="Z51" s="20">
        <f>'TE BE'!$Z$51*'TE BE'!$Z$58</f>
        <v>0.38578019647348177</v>
      </c>
      <c r="AA51" s="20">
        <f>SUM($Z$51:$Z$51)</f>
        <v>0.38578019647348177</v>
      </c>
      <c r="AB51" s="20">
        <f>SUMIF($L$4:$AA$4,"SUBTOTAL",$L$51:$AA$51)</f>
        <v>7.920456285327349</v>
      </c>
    </row>
    <row r="53" spans="1:28" ht="11.25" customHeight="1" x14ac:dyDescent="0.25">
      <c r="K53" s="25" t="s">
        <v>857</v>
      </c>
      <c r="L53" s="20">
        <f t="shared" ref="L53:AB53" si="0">SUMPRODUCT($I$5:$I$51,L$5:L$51)</f>
        <v>-0.56691887422018117</v>
      </c>
      <c r="M53" s="20">
        <f t="shared" si="0"/>
        <v>5562714.3320097802</v>
      </c>
      <c r="N53" s="20">
        <f t="shared" si="0"/>
        <v>0</v>
      </c>
      <c r="O53" s="20">
        <f t="shared" si="0"/>
        <v>-702415.19341195375</v>
      </c>
      <c r="P53" s="20">
        <f t="shared" si="0"/>
        <v>0</v>
      </c>
      <c r="Q53" s="20">
        <f t="shared" si="0"/>
        <v>4860298.5716789523</v>
      </c>
      <c r="R53" s="20">
        <f t="shared" si="0"/>
        <v>29640490.046786617</v>
      </c>
      <c r="S53" s="20">
        <f t="shared" si="0"/>
        <v>29640490.046786617</v>
      </c>
      <c r="T53" s="20">
        <f t="shared" si="0"/>
        <v>0</v>
      </c>
      <c r="U53" s="20">
        <f t="shared" si="0"/>
        <v>0</v>
      </c>
      <c r="V53" s="20">
        <f t="shared" si="0"/>
        <v>0</v>
      </c>
      <c r="W53" s="20">
        <f t="shared" si="0"/>
        <v>0</v>
      </c>
      <c r="X53" s="20">
        <f t="shared" si="0"/>
        <v>-20939552.253233332</v>
      </c>
      <c r="Y53" s="20">
        <f t="shared" si="0"/>
        <v>-20939552.253233332</v>
      </c>
      <c r="Z53" s="20">
        <f t="shared" si="0"/>
        <v>681061.25254037371</v>
      </c>
      <c r="AA53" s="20">
        <f t="shared" si="0"/>
        <v>681061.25254037371</v>
      </c>
      <c r="AB53" s="20">
        <f t="shared" si="0"/>
        <v>14242297.617772605</v>
      </c>
    </row>
    <row r="54" spans="1:28" ht="11.25" customHeight="1" x14ac:dyDescent="0.25">
      <c r="K54" s="25" t="s">
        <v>776</v>
      </c>
      <c r="L54" s="20">
        <f>CUSTOS!$D$30</f>
        <v>2476185.1305569597</v>
      </c>
      <c r="M54" s="20">
        <f>CUSTOS!$D$31</f>
        <v>18851171.780000001</v>
      </c>
      <c r="N54" s="20">
        <f>CUSTOS!$D$32</f>
        <v>0</v>
      </c>
      <c r="O54" s="20">
        <f>CUSTOS!$D$33</f>
        <v>5377709.5404118784</v>
      </c>
      <c r="P54" s="20">
        <f>CUSTOS!$D$34</f>
        <v>-17146882.59</v>
      </c>
      <c r="Q54" s="20">
        <f>CUSTOS!$D$35</f>
        <v>9558183.8609688394</v>
      </c>
      <c r="R54" s="20">
        <f>CUSTOS!$D$36</f>
        <v>219305422.49979985</v>
      </c>
      <c r="S54" s="20">
        <f>CUSTOS!$D$37</f>
        <v>219305422.49979985</v>
      </c>
      <c r="T54" s="20">
        <f>CUSTOS!$D$38</f>
        <v>0</v>
      </c>
      <c r="U54" s="20">
        <f>CUSTOS!$D$39</f>
        <v>0</v>
      </c>
      <c r="V54" s="20">
        <f>CUSTOS!$D$40</f>
        <v>0</v>
      </c>
      <c r="W54" s="20">
        <f>CUSTOS!$D$41</f>
        <v>0</v>
      </c>
      <c r="X54" s="20">
        <f>CUSTOS!$D$42</f>
        <v>0</v>
      </c>
      <c r="Y54" s="20">
        <f>CUSTOS!$D$43</f>
        <v>0</v>
      </c>
      <c r="Z54" s="20">
        <f>CUSTOS!$D$44</f>
        <v>5039067.3535035541</v>
      </c>
      <c r="AA54" s="20">
        <f>CUSTOS!$D$45</f>
        <v>5039067.3535035541</v>
      </c>
      <c r="AB54" s="20">
        <f>CUSTOS!$D$46</f>
        <v>233902673.71427223</v>
      </c>
    </row>
    <row r="55" spans="1:28" ht="11.25" customHeight="1" x14ac:dyDescent="0.25">
      <c r="K55" s="25" t="s">
        <v>777</v>
      </c>
      <c r="L55" s="20">
        <f>CUSTOS!$E$30</f>
        <v>-0.56691887422018106</v>
      </c>
      <c r="M55" s="20">
        <f>CUSTOS!$E$31</f>
        <v>5562714.3320097802</v>
      </c>
      <c r="N55" s="20">
        <f>CUSTOS!$E$32</f>
        <v>0</v>
      </c>
      <c r="O55" s="20">
        <f>CUSTOS!$E$33</f>
        <v>-702415.19341195375</v>
      </c>
      <c r="P55" s="20">
        <f>CUSTOS!$E$34</f>
        <v>0</v>
      </c>
      <c r="Q55" s="20">
        <f>CUSTOS!$E$35</f>
        <v>4860298.5716789523</v>
      </c>
      <c r="R55" s="20">
        <f>CUSTOS!$E$36</f>
        <v>29640490.046786625</v>
      </c>
      <c r="S55" s="20">
        <f>CUSTOS!$E$37</f>
        <v>29640490.046786625</v>
      </c>
      <c r="T55" s="20">
        <f>CUSTOS!$E$38</f>
        <v>0</v>
      </c>
      <c r="U55" s="20">
        <f>CUSTOS!$E$39</f>
        <v>0</v>
      </c>
      <c r="V55" s="20">
        <f>CUSTOS!$E$40</f>
        <v>0</v>
      </c>
      <c r="W55" s="20">
        <f>CUSTOS!$E$41</f>
        <v>0</v>
      </c>
      <c r="X55" s="20">
        <f>CUSTOS!$E$42</f>
        <v>-20939552.25323334</v>
      </c>
      <c r="Y55" s="20">
        <f>CUSTOS!$E$43</f>
        <v>-20939552.25323334</v>
      </c>
      <c r="Z55" s="20">
        <f>CUSTOS!$E$44</f>
        <v>681061.25254037359</v>
      </c>
      <c r="AA55" s="20">
        <f>CUSTOS!$E$45</f>
        <v>681061.25254037359</v>
      </c>
      <c r="AB55" s="20">
        <f>CUSTOS!$E$46</f>
        <v>14242297.617772615</v>
      </c>
    </row>
    <row r="56" spans="1:28" ht="11.25" customHeight="1" x14ac:dyDescent="0.25">
      <c r="K56" s="25" t="s">
        <v>778</v>
      </c>
      <c r="L56" s="20">
        <f>CUSTOS!$F$30</f>
        <v>0</v>
      </c>
      <c r="M56" s="20">
        <f>CUSTOS!$F$31</f>
        <v>806865.14749999996</v>
      </c>
      <c r="N56" s="20">
        <f>CUSTOS!$F$32</f>
        <v>0</v>
      </c>
      <c r="O56" s="20">
        <f>CUSTOS!$F$33</f>
        <v>206074.34894780969</v>
      </c>
      <c r="P56" s="20">
        <f>CUSTOS!$F$34</f>
        <v>0</v>
      </c>
      <c r="Q56" s="20">
        <f>CUSTOS!$F$35</f>
        <v>1012939.4964478096</v>
      </c>
      <c r="R56" s="20">
        <f>CUSTOS!$F$36</f>
        <v>-2799988.9928975585</v>
      </c>
      <c r="S56" s="20">
        <f>CUSTOS!$F$37</f>
        <v>-2799988.9928975585</v>
      </c>
      <c r="T56" s="20">
        <f>CUSTOS!$F$38</f>
        <v>0</v>
      </c>
      <c r="U56" s="20">
        <f>CUSTOS!$F$39</f>
        <v>0</v>
      </c>
      <c r="V56" s="20">
        <f>CUSTOS!$F$40</f>
        <v>0</v>
      </c>
      <c r="W56" s="20">
        <f>CUSTOS!$F$41</f>
        <v>0</v>
      </c>
      <c r="X56" s="20">
        <f>CUSTOS!$F$42</f>
        <v>0</v>
      </c>
      <c r="Y56" s="20">
        <f>CUSTOS!$F$43</f>
        <v>0</v>
      </c>
      <c r="Z56" s="20">
        <f>CUSTOS!$F$44</f>
        <v>-64336.453533392501</v>
      </c>
      <c r="AA56" s="20">
        <f>CUSTOS!$F$45</f>
        <v>-64336.453533392501</v>
      </c>
      <c r="AB56" s="20">
        <f>CUSTOS!$F$46</f>
        <v>-1851385.9499831414</v>
      </c>
    </row>
    <row r="57" spans="1:28" ht="11.25" customHeight="1" x14ac:dyDescent="0.25">
      <c r="K57" s="25" t="s">
        <v>858</v>
      </c>
      <c r="L57" s="20">
        <f>'TR TE'!$L$57*L58</f>
        <v>0</v>
      </c>
      <c r="M57" s="20">
        <f>'TR TE'!$M$57*M58</f>
        <v>0.76173421496989957</v>
      </c>
      <c r="N57" s="20">
        <f>'TR TE'!$N$57*N58</f>
        <v>0</v>
      </c>
      <c r="O57" s="20">
        <f>'TR TE'!$O$57*O58</f>
        <v>0.19271942271975201</v>
      </c>
      <c r="P57" s="20">
        <f>'TR TE'!$P$57*P58</f>
        <v>0</v>
      </c>
      <c r="Q57" s="20"/>
      <c r="R57" s="20">
        <f>'TR TE'!$R$57*R58</f>
        <v>-2.6111966310898516</v>
      </c>
      <c r="S57" s="20"/>
      <c r="T57" s="20">
        <f>'TR TE'!$T$57*T58</f>
        <v>0</v>
      </c>
      <c r="U57" s="20">
        <f>'TR TE'!$U$57*U58</f>
        <v>0</v>
      </c>
      <c r="V57" s="20">
        <f>'TR TE'!$V$57*V58</f>
        <v>0</v>
      </c>
      <c r="W57" s="20"/>
      <c r="X57" s="20"/>
      <c r="Y57" s="20"/>
      <c r="Z57" s="20">
        <f>'TR TE'!$Z$57*Z58</f>
        <v>-6.0737879282617251E-2</v>
      </c>
      <c r="AA57" s="20"/>
      <c r="AB57" s="20"/>
    </row>
    <row r="58" spans="1:28" ht="11.25" customHeight="1" x14ac:dyDescent="0.25">
      <c r="K58" s="25" t="s">
        <v>853</v>
      </c>
      <c r="L58" s="20">
        <f>IF(L54&lt;&gt;0,L56/L54,0)</f>
        <v>0</v>
      </c>
      <c r="M58" s="20">
        <f>IF(M54&lt;&gt;0,M56/M54,0)</f>
        <v>4.280185640003753E-2</v>
      </c>
      <c r="N58" s="20">
        <f>IF(N54&lt;&gt;0,N56/N54,0)</f>
        <v>0</v>
      </c>
      <c r="O58" s="20">
        <f>IF(O54&lt;&gt;0,O56/O54,0)</f>
        <v>3.8320096576288216E-2</v>
      </c>
      <c r="P58" s="20">
        <f>IF(P54&lt;&gt;0,P56/P54,0)</f>
        <v>0</v>
      </c>
      <c r="Q58" s="20"/>
      <c r="R58" s="20">
        <f>IF(R54&lt;&gt;0,R56/R54,0)</f>
        <v>-1.276753196971276E-2</v>
      </c>
      <c r="S58" s="20"/>
      <c r="T58" s="20">
        <f>IF(T54&lt;&gt;0,T56/T54,0)</f>
        <v>0</v>
      </c>
      <c r="U58" s="20">
        <f>IF(U54&lt;&gt;0,U56/U54,0)</f>
        <v>0</v>
      </c>
      <c r="V58" s="20">
        <f>IF(V54&lt;&gt;0,V56/V54,0)</f>
        <v>0</v>
      </c>
      <c r="W58" s="20"/>
      <c r="X58" s="20">
        <f>IF($AB54&lt;&gt;0,X56/($AB54-SUM('TR TE'!$L57:'TR TE'!$AA57)*0),0)</f>
        <v>0</v>
      </c>
      <c r="Y58" s="20"/>
      <c r="Z58" s="20">
        <f>IF(Z54&lt;&gt;0,Z56/Z54,0)</f>
        <v>-1.276753196971276E-2</v>
      </c>
      <c r="AA58" s="20"/>
      <c r="AB58" s="20"/>
    </row>
    <row r="59" spans="1:28" ht="11.25" customHeight="1" x14ac:dyDescent="0.25"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</row>
  </sheetData>
  <mergeCells count="73">
    <mergeCell ref="T3:W3"/>
    <mergeCell ref="X3:Y3"/>
    <mergeCell ref="A1:A4"/>
    <mergeCell ref="B1:B4"/>
    <mergeCell ref="C1:C4"/>
    <mergeCell ref="D1:D4"/>
    <mergeCell ref="E1:E4"/>
    <mergeCell ref="F1:F4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F11:F12"/>
    <mergeCell ref="A8:A10"/>
    <mergeCell ref="B8:B9"/>
    <mergeCell ref="C8:C9"/>
    <mergeCell ref="D8:D9"/>
    <mergeCell ref="E8:E9"/>
    <mergeCell ref="F8:F9"/>
    <mergeCell ref="A11:A16"/>
    <mergeCell ref="B11:B12"/>
    <mergeCell ref="C11:C12"/>
    <mergeCell ref="D11:D12"/>
    <mergeCell ref="E11:E12"/>
    <mergeCell ref="F17:F19"/>
    <mergeCell ref="B20:B24"/>
    <mergeCell ref="C20:C24"/>
    <mergeCell ref="B25:B29"/>
    <mergeCell ref="C25:C29"/>
    <mergeCell ref="A17:A29"/>
    <mergeCell ref="B17:B19"/>
    <mergeCell ref="C17:C19"/>
    <mergeCell ref="D17:D19"/>
    <mergeCell ref="E17:E19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E45:E47"/>
    <mergeCell ref="F45:F47"/>
    <mergeCell ref="A50:A51"/>
    <mergeCell ref="B50:B51"/>
    <mergeCell ref="C50:C51"/>
    <mergeCell ref="D45:D47"/>
  </mergeCells>
  <conditionalFormatting sqref="L53">
    <cfRule type="cellIs" dxfId="1148" priority="33" operator="notEqual">
      <formula>$L$55</formula>
    </cfRule>
    <cfRule type="cellIs" dxfId="1147" priority="34" operator="equal">
      <formula>$L$55</formula>
    </cfRule>
  </conditionalFormatting>
  <conditionalFormatting sqref="M53">
    <cfRule type="cellIs" dxfId="1146" priority="31" operator="notEqual">
      <formula>$M$55</formula>
    </cfRule>
    <cfRule type="cellIs" dxfId="1145" priority="32" operator="equal">
      <formula>$M$55</formula>
    </cfRule>
  </conditionalFormatting>
  <conditionalFormatting sqref="N53">
    <cfRule type="cellIs" dxfId="1144" priority="29" operator="notEqual">
      <formula>$N$55</formula>
    </cfRule>
    <cfRule type="cellIs" dxfId="1143" priority="30" operator="equal">
      <formula>$N$55</formula>
    </cfRule>
  </conditionalFormatting>
  <conditionalFormatting sqref="O53">
    <cfRule type="cellIs" dxfId="1142" priority="27" operator="notEqual">
      <formula>$O$55</formula>
    </cfRule>
    <cfRule type="cellIs" dxfId="1141" priority="28" operator="equal">
      <formula>$O$55</formula>
    </cfRule>
  </conditionalFormatting>
  <conditionalFormatting sqref="P53">
    <cfRule type="cellIs" dxfId="1140" priority="25" operator="notEqual">
      <formula>$P$55</formula>
    </cfRule>
    <cfRule type="cellIs" dxfId="1139" priority="26" operator="equal">
      <formula>$P$55</formula>
    </cfRule>
  </conditionalFormatting>
  <conditionalFormatting sqref="Q53">
    <cfRule type="cellIs" dxfId="1138" priority="23" operator="notEqual">
      <formula>$Q$55</formula>
    </cfRule>
    <cfRule type="cellIs" dxfId="1137" priority="24" operator="equal">
      <formula>$Q$55</formula>
    </cfRule>
  </conditionalFormatting>
  <conditionalFormatting sqref="R53">
    <cfRule type="cellIs" dxfId="1136" priority="21" operator="notEqual">
      <formula>$R$55</formula>
    </cfRule>
    <cfRule type="cellIs" dxfId="1135" priority="22" operator="equal">
      <formula>$R$55</formula>
    </cfRule>
  </conditionalFormatting>
  <conditionalFormatting sqref="S53">
    <cfRule type="cellIs" dxfId="1134" priority="19" operator="notEqual">
      <formula>$S$55</formula>
    </cfRule>
    <cfRule type="cellIs" dxfId="1133" priority="20" operator="equal">
      <formula>$S$55</formula>
    </cfRule>
  </conditionalFormatting>
  <conditionalFormatting sqref="T53">
    <cfRule type="cellIs" dxfId="1132" priority="17" operator="notEqual">
      <formula>$T$55</formula>
    </cfRule>
    <cfRule type="cellIs" dxfId="1131" priority="18" operator="equal">
      <formula>$T$55</formula>
    </cfRule>
  </conditionalFormatting>
  <conditionalFormatting sqref="U53">
    <cfRule type="cellIs" dxfId="1130" priority="15" operator="notEqual">
      <formula>$U$55</formula>
    </cfRule>
    <cfRule type="cellIs" dxfId="1129" priority="16" operator="equal">
      <formula>$U$55</formula>
    </cfRule>
  </conditionalFormatting>
  <conditionalFormatting sqref="V53">
    <cfRule type="cellIs" dxfId="1128" priority="13" operator="notEqual">
      <formula>$V$55</formula>
    </cfRule>
    <cfRule type="cellIs" dxfId="1127" priority="14" operator="equal">
      <formula>$V$55</formula>
    </cfRule>
  </conditionalFormatting>
  <conditionalFormatting sqref="W53">
    <cfRule type="cellIs" dxfId="1126" priority="11" operator="notEqual">
      <formula>$W$55</formula>
    </cfRule>
    <cfRule type="cellIs" dxfId="1125" priority="12" operator="equal">
      <formula>$W$55</formula>
    </cfRule>
  </conditionalFormatting>
  <conditionalFormatting sqref="X53">
    <cfRule type="cellIs" dxfId="1124" priority="9" operator="notEqual">
      <formula>$X$55</formula>
    </cfRule>
    <cfRule type="cellIs" dxfId="1123" priority="10" operator="equal">
      <formula>$X$55</formula>
    </cfRule>
  </conditionalFormatting>
  <conditionalFormatting sqref="Y53">
    <cfRule type="cellIs" dxfId="1122" priority="7" operator="notEqual">
      <formula>$Y$55</formula>
    </cfRule>
    <cfRule type="cellIs" dxfId="1121" priority="8" operator="equal">
      <formula>$Y$55</formula>
    </cfRule>
  </conditionalFormatting>
  <conditionalFormatting sqref="Z53">
    <cfRule type="cellIs" dxfId="1120" priority="5" operator="notEqual">
      <formula>$Z$55</formula>
    </cfRule>
    <cfRule type="cellIs" dxfId="1119" priority="6" operator="equal">
      <formula>$Z$55</formula>
    </cfRule>
  </conditionalFormatting>
  <conditionalFormatting sqref="AA53">
    <cfRule type="cellIs" dxfId="1118" priority="3" operator="notEqual">
      <formula>$AA$55</formula>
    </cfRule>
    <cfRule type="cellIs" dxfId="1117" priority="4" operator="equal">
      <formula>$AA$55</formula>
    </cfRule>
  </conditionalFormatting>
  <conditionalFormatting sqref="AB53">
    <cfRule type="cellIs" dxfId="1116" priority="1" operator="notEqual">
      <formula>$AB$55</formula>
    </cfRule>
    <cfRule type="cellIs" dxfId="1115" priority="2" operator="equal">
      <formula>$AB$55</formula>
    </cfRule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7CBC0-8BAE-40F3-B332-C71CA4E72485}">
  <sheetPr codeName="Planilha15"/>
  <dimension ref="A1:AB59"/>
  <sheetViews>
    <sheetView showGridLines="0" topLeftCell="P1" workbookViewId="0">
      <selection activeCell="AB53" sqref="AB53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0" style="9" bestFit="1" customWidth="1"/>
    <col min="13" max="13" width="10.85546875" style="9" bestFit="1" customWidth="1"/>
    <col min="14" max="14" width="10" style="9" bestFit="1" customWidth="1"/>
    <col min="15" max="15" width="11.140625" style="9" bestFit="1" customWidth="1"/>
    <col min="16" max="16" width="11.42578125" style="9" bestFit="1" customWidth="1"/>
    <col min="17" max="17" width="10" style="9" bestFit="1" customWidth="1"/>
    <col min="18" max="18" width="15" style="9" bestFit="1" customWidth="1"/>
    <col min="19" max="19" width="11.7109375" style="9" bestFit="1" customWidth="1"/>
    <col min="20" max="20" width="10" style="9" bestFit="1" customWidth="1"/>
    <col min="21" max="21" width="10.42578125" style="9" bestFit="1" customWidth="1"/>
    <col min="22" max="22" width="10" style="9" bestFit="1" customWidth="1"/>
    <col min="23" max="23" width="9.28515625" style="9" bestFit="1" customWidth="1"/>
    <col min="24" max="25" width="11.42578125" style="9" bestFit="1" customWidth="1"/>
    <col min="26" max="26" width="11" style="9" bestFit="1" customWidth="1"/>
    <col min="27" max="27" width="10" style="9" bestFit="1" customWidth="1"/>
    <col min="28" max="28" width="11.7109375" style="9" bestFit="1" customWidth="1"/>
    <col min="29" max="16384" width="9.140625" style="9"/>
  </cols>
  <sheetData>
    <row r="1" spans="1:28" ht="11.25" customHeight="1" x14ac:dyDescent="0.25">
      <c r="A1" s="117" t="s">
        <v>71</v>
      </c>
      <c r="B1" s="117" t="s">
        <v>72</v>
      </c>
      <c r="C1" s="117" t="s">
        <v>73</v>
      </c>
      <c r="D1" s="117" t="s">
        <v>74</v>
      </c>
      <c r="E1" s="117" t="s">
        <v>75</v>
      </c>
      <c r="F1" s="117" t="s">
        <v>15</v>
      </c>
      <c r="G1" s="117" t="s">
        <v>77</v>
      </c>
      <c r="H1" s="117" t="s">
        <v>78</v>
      </c>
      <c r="I1" s="117" t="s">
        <v>835</v>
      </c>
      <c r="J1" s="105"/>
      <c r="L1" s="115" t="s">
        <v>863</v>
      </c>
      <c r="M1" s="115"/>
      <c r="N1" s="115"/>
      <c r="O1" s="115"/>
      <c r="P1" s="115"/>
      <c r="Q1" s="115"/>
      <c r="R1" s="115"/>
      <c r="S1" s="115"/>
      <c r="T1" s="115"/>
      <c r="U1" s="115"/>
      <c r="V1" s="115"/>
      <c r="W1" s="115"/>
      <c r="X1" s="115"/>
      <c r="Y1" s="115"/>
      <c r="Z1" s="115"/>
      <c r="AA1" s="115"/>
      <c r="AB1" s="115"/>
    </row>
    <row r="2" spans="1:28" ht="11.25" customHeight="1" x14ac:dyDescent="0.25">
      <c r="A2" s="117"/>
      <c r="B2" s="117"/>
      <c r="C2" s="117"/>
      <c r="D2" s="117"/>
      <c r="E2" s="117"/>
      <c r="F2" s="117"/>
      <c r="G2" s="117"/>
      <c r="H2" s="117"/>
      <c r="I2" s="117"/>
      <c r="J2" s="105"/>
      <c r="L2" s="115" t="s">
        <v>762</v>
      </c>
      <c r="M2" s="115"/>
      <c r="N2" s="115"/>
      <c r="O2" s="115"/>
      <c r="P2" s="115"/>
      <c r="Q2" s="115"/>
      <c r="R2" s="115"/>
      <c r="S2" s="115"/>
      <c r="T2" s="115"/>
      <c r="U2" s="115"/>
      <c r="V2" s="115"/>
      <c r="W2" s="115"/>
      <c r="X2" s="115"/>
      <c r="Y2" s="115"/>
      <c r="Z2" s="115"/>
      <c r="AA2" s="115"/>
      <c r="AB2" s="115"/>
    </row>
    <row r="3" spans="1:28" ht="11.25" customHeight="1" x14ac:dyDescent="0.25">
      <c r="A3" s="117"/>
      <c r="B3" s="117"/>
      <c r="C3" s="117"/>
      <c r="D3" s="117"/>
      <c r="E3" s="117"/>
      <c r="F3" s="117"/>
      <c r="G3" s="117"/>
      <c r="H3" s="117"/>
      <c r="I3" s="117"/>
      <c r="J3" s="105"/>
      <c r="L3" s="115" t="s">
        <v>735</v>
      </c>
      <c r="M3" s="115"/>
      <c r="N3" s="115"/>
      <c r="O3" s="115"/>
      <c r="P3" s="115"/>
      <c r="Q3" s="115"/>
      <c r="R3" s="115" t="s">
        <v>766</v>
      </c>
      <c r="S3" s="115"/>
      <c r="T3" s="115" t="s">
        <v>744</v>
      </c>
      <c r="U3" s="115"/>
      <c r="V3" s="115"/>
      <c r="W3" s="115"/>
      <c r="X3" s="115" t="s">
        <v>754</v>
      </c>
      <c r="Y3" s="115"/>
      <c r="Z3" s="115" t="s">
        <v>757</v>
      </c>
      <c r="AA3" s="115"/>
      <c r="AB3" s="115" t="s">
        <v>743</v>
      </c>
    </row>
    <row r="4" spans="1:28" ht="11.25" customHeight="1" x14ac:dyDescent="0.25">
      <c r="A4" s="117"/>
      <c r="B4" s="117"/>
      <c r="C4" s="117"/>
      <c r="D4" s="117"/>
      <c r="E4" s="117"/>
      <c r="F4" s="117"/>
      <c r="G4" s="117"/>
      <c r="H4" s="117"/>
      <c r="I4" s="117"/>
      <c r="J4" s="105"/>
      <c r="L4" s="24" t="s">
        <v>737</v>
      </c>
      <c r="M4" s="24" t="s">
        <v>763</v>
      </c>
      <c r="N4" s="24" t="s">
        <v>764</v>
      </c>
      <c r="O4" s="24" t="s">
        <v>823</v>
      </c>
      <c r="P4" s="24" t="s">
        <v>765</v>
      </c>
      <c r="Q4" s="24" t="s">
        <v>743</v>
      </c>
      <c r="R4" s="24" t="s">
        <v>767</v>
      </c>
      <c r="S4" s="24" t="s">
        <v>743</v>
      </c>
      <c r="T4" s="24" t="s">
        <v>768</v>
      </c>
      <c r="U4" s="24" t="s">
        <v>769</v>
      </c>
      <c r="V4" s="24" t="s">
        <v>770</v>
      </c>
      <c r="W4" s="24" t="s">
        <v>743</v>
      </c>
      <c r="X4" s="24" t="s">
        <v>755</v>
      </c>
      <c r="Y4" s="24" t="s">
        <v>743</v>
      </c>
      <c r="Z4" s="24" t="s">
        <v>771</v>
      </c>
      <c r="AA4" s="24" t="s">
        <v>743</v>
      </c>
      <c r="AB4" s="116"/>
    </row>
    <row r="5" spans="1:28" ht="11.25" customHeight="1" x14ac:dyDescent="0.25">
      <c r="A5" s="118" t="s">
        <v>80</v>
      </c>
      <c r="B5" s="118" t="s">
        <v>81</v>
      </c>
      <c r="C5" s="118" t="s">
        <v>25</v>
      </c>
      <c r="D5" s="118" t="s">
        <v>25</v>
      </c>
      <c r="E5" s="118" t="s">
        <v>25</v>
      </c>
      <c r="F5" s="118" t="s">
        <v>25</v>
      </c>
      <c r="G5" s="23" t="s">
        <v>83</v>
      </c>
      <c r="H5" s="23" t="s">
        <v>82</v>
      </c>
      <c r="I5" s="23">
        <f>'MERCADO TE'!$U$2</f>
        <v>0</v>
      </c>
      <c r="J5" s="15"/>
      <c r="L5" s="20">
        <f>'TE BE'!$L$5*'TE BF'!$L$58</f>
        <v>0</v>
      </c>
      <c r="M5" s="20">
        <f>'TE BE'!$M$5*'TE BF'!$M$58</f>
        <v>0.76173421496989957</v>
      </c>
      <c r="N5" s="20">
        <f>'TE BE'!$N$5*'TE BF'!$N$58</f>
        <v>0</v>
      </c>
      <c r="O5" s="20">
        <f>'TE BE'!$O$5*'TE BF'!$O$58</f>
        <v>0.19271942271975198</v>
      </c>
      <c r="P5" s="20">
        <f>'TE BE'!$P$5*'TE BF'!$P$58</f>
        <v>0</v>
      </c>
      <c r="Q5" s="20">
        <f>SUM($L$5:$P$5)</f>
        <v>0.95445363768965152</v>
      </c>
      <c r="R5" s="20">
        <f>'TE BE'!$R$5*'TE BF'!$R$58</f>
        <v>-4.2541799215930283</v>
      </c>
      <c r="S5" s="20">
        <f>SUM($R$5:$R$5)</f>
        <v>-4.2541799215930283</v>
      </c>
      <c r="T5" s="20">
        <f>'TE BE'!$T$5*'TE BF'!$T$58</f>
        <v>0</v>
      </c>
      <c r="U5" s="20">
        <f>'TE BE'!$U$5*'TE BF'!$U$58</f>
        <v>0</v>
      </c>
      <c r="V5" s="20">
        <f>'TE BE'!$V$5*'TE BF'!$V$58</f>
        <v>0</v>
      </c>
      <c r="W5" s="20">
        <f>SUM($T$5:$V$5)</f>
        <v>0</v>
      </c>
      <c r="X5" s="20">
        <f>'TE BE'!$AB$5*'TE BF'!$X$58</f>
        <v>0</v>
      </c>
      <c r="Y5" s="20">
        <f>SUM($X$5:$X$5)</f>
        <v>0</v>
      </c>
      <c r="Z5" s="20">
        <f>'TE BE'!$Z$5*'TE BF'!$Z$58</f>
        <v>-6.0737879282617251E-2</v>
      </c>
      <c r="AA5" s="20">
        <f>SUM($Z$5:$Z$5)</f>
        <v>-6.0737879282617251E-2</v>
      </c>
      <c r="AB5" s="20">
        <f>SUMIF($L$4:$AA$4,"SUBTOTAL",$L$5:$AA$5)</f>
        <v>-3.3604641631859944</v>
      </c>
    </row>
    <row r="6" spans="1:28" ht="11.25" customHeight="1" x14ac:dyDescent="0.25">
      <c r="A6" s="118"/>
      <c r="B6" s="118"/>
      <c r="C6" s="118"/>
      <c r="D6" s="118"/>
      <c r="E6" s="118"/>
      <c r="F6" s="118"/>
      <c r="G6" s="23" t="s">
        <v>84</v>
      </c>
      <c r="H6" s="23" t="s">
        <v>82</v>
      </c>
      <c r="I6" s="23">
        <f>'MERCADO TE'!$U$3</f>
        <v>0</v>
      </c>
      <c r="J6" s="15"/>
      <c r="L6" s="20">
        <f>'TE BE'!$L$6*'TE BF'!$L$58</f>
        <v>0</v>
      </c>
      <c r="M6" s="20">
        <f>'TE BE'!$M$6*'TE BF'!$M$58</f>
        <v>0.76173421496989957</v>
      </c>
      <c r="N6" s="20">
        <f>'TE BE'!$N$6*'TE BF'!$N$58</f>
        <v>0</v>
      </c>
      <c r="O6" s="20">
        <f>'TE BE'!$O$6*'TE BF'!$O$58</f>
        <v>0.19271942271975198</v>
      </c>
      <c r="P6" s="20">
        <f>'TE BE'!$P$6*'TE BF'!$P$58</f>
        <v>0</v>
      </c>
      <c r="Q6" s="20">
        <f>SUM($L$6:$P$6)</f>
        <v>0.95445363768965152</v>
      </c>
      <c r="R6" s="20">
        <f>'TE BE'!$R$6*'TE BF'!$R$58</f>
        <v>-2.4733604195308301</v>
      </c>
      <c r="S6" s="20">
        <f>SUM($R$6:$R$6)</f>
        <v>-2.4733604195308301</v>
      </c>
      <c r="T6" s="20">
        <f>'TE BE'!$T$6*'TE BF'!$T$58</f>
        <v>0</v>
      </c>
      <c r="U6" s="20">
        <f>'TE BE'!$U$6*'TE BF'!$U$58</f>
        <v>0</v>
      </c>
      <c r="V6" s="20">
        <f>'TE BE'!$V$6*'TE BF'!$V$58</f>
        <v>0</v>
      </c>
      <c r="W6" s="20">
        <f>SUM($T$6:$V$6)</f>
        <v>0</v>
      </c>
      <c r="X6" s="20">
        <f>'TE BE'!$AB$6*'TE BF'!$X$58</f>
        <v>0</v>
      </c>
      <c r="Y6" s="20">
        <f>SUM($X$6:$X$6)</f>
        <v>0</v>
      </c>
      <c r="Z6" s="20">
        <f>'TE BE'!$Z$6*'TE BF'!$Z$58</f>
        <v>-6.0737879282617251E-2</v>
      </c>
      <c r="AA6" s="20">
        <f>SUM($Z$6:$Z$6)</f>
        <v>-6.0737879282617251E-2</v>
      </c>
      <c r="AB6" s="20">
        <f>SUMIF($L$4:$AA$4,"SUBTOTAL",$L$6:$AA$6)</f>
        <v>-1.5796446611237958</v>
      </c>
    </row>
    <row r="7" spans="1:28" ht="11.25" customHeight="1" x14ac:dyDescent="0.25">
      <c r="A7" s="118"/>
      <c r="B7" s="22" t="s">
        <v>90</v>
      </c>
      <c r="C7" s="22" t="s">
        <v>25</v>
      </c>
      <c r="D7" s="22" t="s">
        <v>25</v>
      </c>
      <c r="E7" s="22" t="s">
        <v>25</v>
      </c>
      <c r="F7" s="22" t="s">
        <v>25</v>
      </c>
      <c r="G7" s="23" t="s">
        <v>88</v>
      </c>
      <c r="H7" s="23" t="s">
        <v>82</v>
      </c>
      <c r="I7" s="23">
        <f>'MERCADO TE'!$U$4</f>
        <v>0</v>
      </c>
      <c r="J7" s="15"/>
      <c r="L7" s="20">
        <f>'TE BE'!$L$7*'TE BF'!$L$58</f>
        <v>0</v>
      </c>
      <c r="M7" s="20">
        <f>'TE BE'!$M$7*'TE BF'!$M$58</f>
        <v>0.76173421496989957</v>
      </c>
      <c r="N7" s="20">
        <f>'TE BE'!$N$7*'TE BF'!$N$58</f>
        <v>0</v>
      </c>
      <c r="O7" s="20">
        <f>'TE BE'!$O$7*'TE BF'!$O$58</f>
        <v>0.19271942271975198</v>
      </c>
      <c r="P7" s="20">
        <f>'TE BE'!$P$7*'TE BF'!$P$58</f>
        <v>0</v>
      </c>
      <c r="Q7" s="20">
        <f>SUM($L$7:$P$7)</f>
        <v>0.95445363768965152</v>
      </c>
      <c r="R7" s="20">
        <f>'TE BE'!$R$7*'TE BF'!$R$58</f>
        <v>-2.6217620447026802</v>
      </c>
      <c r="S7" s="20">
        <f>SUM($R$7:$R$7)</f>
        <v>-2.6217620447026802</v>
      </c>
      <c r="T7" s="20">
        <f>'TE BE'!$T$7*'TE BF'!$T$58</f>
        <v>0</v>
      </c>
      <c r="U7" s="20">
        <f>'TE BE'!$U$7*'TE BF'!$U$58</f>
        <v>0</v>
      </c>
      <c r="V7" s="20">
        <f>'TE BE'!$V$7*'TE BF'!$V$58</f>
        <v>0</v>
      </c>
      <c r="W7" s="20">
        <f>SUM($T$7:$V$7)</f>
        <v>0</v>
      </c>
      <c r="X7" s="20">
        <f>'TE BE'!$AB$7*'TE BF'!$X$58</f>
        <v>0</v>
      </c>
      <c r="Y7" s="20">
        <f>SUM($X$7:$X$7)</f>
        <v>0</v>
      </c>
      <c r="Z7" s="20">
        <f>'TE BE'!$Z$7*'TE BF'!$Z$58</f>
        <v>-6.0737879282617251E-2</v>
      </c>
      <c r="AA7" s="20">
        <f>SUM($Z$7:$Z$7)</f>
        <v>-6.0737879282617251E-2</v>
      </c>
      <c r="AB7" s="20">
        <f>SUMIF($L$4:$AA$4,"SUBTOTAL",$L$7:$AA$7)</f>
        <v>-1.7280462862956458</v>
      </c>
    </row>
    <row r="8" spans="1:28" ht="11.25" customHeight="1" x14ac:dyDescent="0.25">
      <c r="A8" s="118" t="s">
        <v>43</v>
      </c>
      <c r="B8" s="118" t="s">
        <v>81</v>
      </c>
      <c r="C8" s="118" t="s">
        <v>25</v>
      </c>
      <c r="D8" s="118" t="s">
        <v>25</v>
      </c>
      <c r="E8" s="118" t="s">
        <v>25</v>
      </c>
      <c r="F8" s="118" t="s">
        <v>25</v>
      </c>
      <c r="G8" s="23" t="s">
        <v>83</v>
      </c>
      <c r="H8" s="23" t="s">
        <v>82</v>
      </c>
      <c r="I8" s="23">
        <f>'MERCADO TE'!$U$5</f>
        <v>163.142</v>
      </c>
      <c r="J8" s="15"/>
      <c r="L8" s="20">
        <f>'TE BE'!$L$8*'TE BF'!$L$58</f>
        <v>0</v>
      </c>
      <c r="M8" s="20">
        <f>'TE BE'!$M$8*'TE BF'!$M$58</f>
        <v>0.76173421496989957</v>
      </c>
      <c r="N8" s="20">
        <f>'TE BE'!$N$8*'TE BF'!$N$58</f>
        <v>0</v>
      </c>
      <c r="O8" s="20">
        <f>'TE BE'!$O$8*'TE BF'!$O$58</f>
        <v>0.19271942271975198</v>
      </c>
      <c r="P8" s="20">
        <f>'TE BE'!$P$8*'TE BF'!$P$58</f>
        <v>0</v>
      </c>
      <c r="Q8" s="20">
        <f>SUM($L$8:$P$8)</f>
        <v>0.95445363768965152</v>
      </c>
      <c r="R8" s="20">
        <f>'TE BE'!$R$8*'TE BF'!$R$58</f>
        <v>-4.2541799215930283</v>
      </c>
      <c r="S8" s="20">
        <f>SUM($R$8:$R$8)</f>
        <v>-4.2541799215930283</v>
      </c>
      <c r="T8" s="20">
        <f>'TE BE'!$T$8*'TE BF'!$T$58</f>
        <v>0</v>
      </c>
      <c r="U8" s="20">
        <f>'TE BE'!$U$8*'TE BF'!$U$58</f>
        <v>0</v>
      </c>
      <c r="V8" s="20">
        <f>'TE BE'!$V$8*'TE BF'!$V$58</f>
        <v>0</v>
      </c>
      <c r="W8" s="20">
        <f>SUM($T$8:$V$8)</f>
        <v>0</v>
      </c>
      <c r="X8" s="20">
        <f>'TE BE'!$AB$8*'TE BF'!$X$58</f>
        <v>0</v>
      </c>
      <c r="Y8" s="20">
        <f>SUM($X$8:$X$8)</f>
        <v>0</v>
      </c>
      <c r="Z8" s="20">
        <f>'TE BE'!$Z$8*'TE BF'!$Z$58</f>
        <v>-6.0737879282617251E-2</v>
      </c>
      <c r="AA8" s="20">
        <f>SUM($Z$8:$Z$8)</f>
        <v>-6.0737879282617251E-2</v>
      </c>
      <c r="AB8" s="20">
        <f>SUMIF($L$4:$AA$4,"SUBTOTAL",$L$8:$AA$8)</f>
        <v>-3.3604641631859944</v>
      </c>
    </row>
    <row r="9" spans="1:28" ht="11.25" customHeight="1" x14ac:dyDescent="0.25">
      <c r="A9" s="118"/>
      <c r="B9" s="118"/>
      <c r="C9" s="118"/>
      <c r="D9" s="118"/>
      <c r="E9" s="118"/>
      <c r="F9" s="118"/>
      <c r="G9" s="23" t="s">
        <v>84</v>
      </c>
      <c r="H9" s="23" t="s">
        <v>82</v>
      </c>
      <c r="I9" s="23">
        <f>'MERCADO TE'!$U$6</f>
        <v>1766.7370000000001</v>
      </c>
      <c r="J9" s="15"/>
      <c r="L9" s="20">
        <f>'TE BE'!$L$9*'TE BF'!$L$58</f>
        <v>0</v>
      </c>
      <c r="M9" s="20">
        <f>'TE BE'!$M$9*'TE BF'!$M$58</f>
        <v>0.76173421496989957</v>
      </c>
      <c r="N9" s="20">
        <f>'TE BE'!$N$9*'TE BF'!$N$58</f>
        <v>0</v>
      </c>
      <c r="O9" s="20">
        <f>'TE BE'!$O$9*'TE BF'!$O$58</f>
        <v>0.19271942271975198</v>
      </c>
      <c r="P9" s="20">
        <f>'TE BE'!$P$9*'TE BF'!$P$58</f>
        <v>0</v>
      </c>
      <c r="Q9" s="20">
        <f>SUM($L$9:$P$9)</f>
        <v>0.95445363768965152</v>
      </c>
      <c r="R9" s="20">
        <f>'TE BE'!$R$9*'TE BF'!$R$58</f>
        <v>-2.4733604195308301</v>
      </c>
      <c r="S9" s="20">
        <f>SUM($R$9:$R$9)</f>
        <v>-2.4733604195308301</v>
      </c>
      <c r="T9" s="20">
        <f>'TE BE'!$T$9*'TE BF'!$T$58</f>
        <v>0</v>
      </c>
      <c r="U9" s="20">
        <f>'TE BE'!$U$9*'TE BF'!$U$58</f>
        <v>0</v>
      </c>
      <c r="V9" s="20">
        <f>'TE BE'!$V$9*'TE BF'!$V$58</f>
        <v>0</v>
      </c>
      <c r="W9" s="20">
        <f>SUM($T$9:$V$9)</f>
        <v>0</v>
      </c>
      <c r="X9" s="20">
        <f>'TE BE'!$AB$9*'TE BF'!$X$58</f>
        <v>0</v>
      </c>
      <c r="Y9" s="20">
        <f>SUM($X$9:$X$9)</f>
        <v>0</v>
      </c>
      <c r="Z9" s="20">
        <f>'TE BE'!$Z$9*'TE BF'!$Z$58</f>
        <v>-6.0737879282617251E-2</v>
      </c>
      <c r="AA9" s="20">
        <f>SUM($Z$9:$Z$9)</f>
        <v>-6.0737879282617251E-2</v>
      </c>
      <c r="AB9" s="20">
        <f>SUMIF($L$4:$AA$4,"SUBTOTAL",$L$9:$AA$9)</f>
        <v>-1.5796446611237958</v>
      </c>
    </row>
    <row r="10" spans="1:28" ht="11.25" customHeight="1" x14ac:dyDescent="0.25">
      <c r="A10" s="118"/>
      <c r="B10" s="22" t="s">
        <v>90</v>
      </c>
      <c r="C10" s="22" t="s">
        <v>25</v>
      </c>
      <c r="D10" s="22" t="s">
        <v>25</v>
      </c>
      <c r="E10" s="22" t="s">
        <v>25</v>
      </c>
      <c r="F10" s="22" t="s">
        <v>25</v>
      </c>
      <c r="G10" s="23" t="s">
        <v>88</v>
      </c>
      <c r="H10" s="23" t="s">
        <v>82</v>
      </c>
      <c r="I10" s="23">
        <f>'MERCADO TE'!$U$7</f>
        <v>0</v>
      </c>
      <c r="J10" s="15"/>
      <c r="L10" s="20">
        <f>'TE BE'!$L$10*'TE BF'!$L$58</f>
        <v>0</v>
      </c>
      <c r="M10" s="20">
        <f>'TE BE'!$M$10*'TE BF'!$M$58</f>
        <v>0.76173421496989957</v>
      </c>
      <c r="N10" s="20">
        <f>'TE BE'!$N$10*'TE BF'!$N$58</f>
        <v>0</v>
      </c>
      <c r="O10" s="20">
        <f>'TE BE'!$O$10*'TE BF'!$O$58</f>
        <v>0.19271942271975198</v>
      </c>
      <c r="P10" s="20">
        <f>'TE BE'!$P$10*'TE BF'!$P$58</f>
        <v>0</v>
      </c>
      <c r="Q10" s="20">
        <f>SUM($L$10:$P$10)</f>
        <v>0.95445363768965152</v>
      </c>
      <c r="R10" s="20">
        <f>'TE BE'!$R$10*'TE BF'!$R$58</f>
        <v>-2.6217620447026802</v>
      </c>
      <c r="S10" s="20">
        <f>SUM($R$10:$R$10)</f>
        <v>-2.6217620447026802</v>
      </c>
      <c r="T10" s="20">
        <f>'TE BE'!$T$10*'TE BF'!$T$58</f>
        <v>0</v>
      </c>
      <c r="U10" s="20">
        <f>'TE BE'!$U$10*'TE BF'!$U$58</f>
        <v>0</v>
      </c>
      <c r="V10" s="20">
        <f>'TE BE'!$V$10*'TE BF'!$V$58</f>
        <v>0</v>
      </c>
      <c r="W10" s="20">
        <f>SUM($T$10:$V$10)</f>
        <v>0</v>
      </c>
      <c r="X10" s="20">
        <f>'TE BE'!$AB$10*'TE BF'!$X$58</f>
        <v>0</v>
      </c>
      <c r="Y10" s="20">
        <f>SUM($X$10:$X$10)</f>
        <v>0</v>
      </c>
      <c r="Z10" s="20">
        <f>'TE BE'!$Z$10*'TE BF'!$Z$58</f>
        <v>-6.0737879282617251E-2</v>
      </c>
      <c r="AA10" s="20">
        <f>SUM($Z$10:$Z$10)</f>
        <v>-6.0737879282617251E-2</v>
      </c>
      <c r="AB10" s="20">
        <f>SUMIF($L$4:$AA$4,"SUBTOTAL",$L$10:$AA$10)</f>
        <v>-1.7280462862956458</v>
      </c>
    </row>
    <row r="11" spans="1:28" ht="11.25" customHeight="1" x14ac:dyDescent="0.25">
      <c r="A11" s="118" t="s">
        <v>41</v>
      </c>
      <c r="B11" s="118" t="s">
        <v>81</v>
      </c>
      <c r="C11" s="118" t="s">
        <v>25</v>
      </c>
      <c r="D11" s="118" t="s">
        <v>25</v>
      </c>
      <c r="E11" s="118" t="s">
        <v>25</v>
      </c>
      <c r="F11" s="118" t="s">
        <v>25</v>
      </c>
      <c r="G11" s="23" t="s">
        <v>83</v>
      </c>
      <c r="H11" s="23" t="s">
        <v>82</v>
      </c>
      <c r="I11" s="23">
        <f>'MERCADO TE'!$U$8</f>
        <v>15731.081</v>
      </c>
      <c r="J11" s="15"/>
      <c r="L11" s="20">
        <f>'TE BE'!$L$11*'TE BF'!$L$58</f>
        <v>0</v>
      </c>
      <c r="M11" s="20">
        <f>'TE BE'!$M$11*'TE BF'!$M$58</f>
        <v>0.76173421496989957</v>
      </c>
      <c r="N11" s="20">
        <f>'TE BE'!$N$11*'TE BF'!$N$58</f>
        <v>0</v>
      </c>
      <c r="O11" s="20">
        <f>'TE BE'!$O$11*'TE BF'!$O$58</f>
        <v>0.19271942271975198</v>
      </c>
      <c r="P11" s="20">
        <f>'TE BE'!$P$11*'TE BF'!$P$58</f>
        <v>0</v>
      </c>
      <c r="Q11" s="20">
        <f>SUM($L$11:$P$11)</f>
        <v>0.95445363768965152</v>
      </c>
      <c r="R11" s="20">
        <f>'TE BE'!$R$11*'TE BF'!$R$58</f>
        <v>-4.2541799215930283</v>
      </c>
      <c r="S11" s="20">
        <f>SUM($R$11:$R$11)</f>
        <v>-4.2541799215930283</v>
      </c>
      <c r="T11" s="20">
        <f>'TE BE'!$T$11*'TE BF'!$T$58</f>
        <v>0</v>
      </c>
      <c r="U11" s="20">
        <f>'TE BE'!$U$11*'TE BF'!$U$58</f>
        <v>0</v>
      </c>
      <c r="V11" s="20">
        <f>'TE BE'!$V$11*'TE BF'!$V$58</f>
        <v>0</v>
      </c>
      <c r="W11" s="20">
        <f>SUM($T$11:$V$11)</f>
        <v>0</v>
      </c>
      <c r="X11" s="20">
        <f>'TE BE'!$AB$11*'TE BF'!$X$58</f>
        <v>0</v>
      </c>
      <c r="Y11" s="20">
        <f>SUM($X$11:$X$11)</f>
        <v>0</v>
      </c>
      <c r="Z11" s="20">
        <f>'TE BE'!$Z$11*'TE BF'!$Z$58</f>
        <v>-6.0737879282617251E-2</v>
      </c>
      <c r="AA11" s="20">
        <f>SUM($Z$11:$Z$11)</f>
        <v>-6.0737879282617251E-2</v>
      </c>
      <c r="AB11" s="20">
        <f>SUMIF($L$4:$AA$4,"SUBTOTAL",$L$11:$AA$11)</f>
        <v>-3.3604641631859944</v>
      </c>
    </row>
    <row r="12" spans="1:28" ht="11.25" customHeight="1" x14ac:dyDescent="0.25">
      <c r="A12" s="118"/>
      <c r="B12" s="118"/>
      <c r="C12" s="118"/>
      <c r="D12" s="118"/>
      <c r="E12" s="118"/>
      <c r="F12" s="118"/>
      <c r="G12" s="23" t="s">
        <v>84</v>
      </c>
      <c r="H12" s="23" t="s">
        <v>82</v>
      </c>
      <c r="I12" s="23">
        <f>'MERCADO TE'!$U$9</f>
        <v>195150.861</v>
      </c>
      <c r="J12" s="15"/>
      <c r="L12" s="20">
        <f>'TE BE'!$L$12*'TE BF'!$L$58</f>
        <v>0</v>
      </c>
      <c r="M12" s="20">
        <f>'TE BE'!$M$12*'TE BF'!$M$58</f>
        <v>0.76173421496989957</v>
      </c>
      <c r="N12" s="20">
        <f>'TE BE'!$N$12*'TE BF'!$N$58</f>
        <v>0</v>
      </c>
      <c r="O12" s="20">
        <f>'TE BE'!$O$12*'TE BF'!$O$58</f>
        <v>0.19271942271975198</v>
      </c>
      <c r="P12" s="20">
        <f>'TE BE'!$P$12*'TE BF'!$P$58</f>
        <v>0</v>
      </c>
      <c r="Q12" s="20">
        <f>SUM($L$12:$P$12)</f>
        <v>0.95445363768965152</v>
      </c>
      <c r="R12" s="20">
        <f>'TE BE'!$R$12*'TE BF'!$R$58</f>
        <v>-2.4733604195308301</v>
      </c>
      <c r="S12" s="20">
        <f>SUM($R$12:$R$12)</f>
        <v>-2.4733604195308301</v>
      </c>
      <c r="T12" s="20">
        <f>'TE BE'!$T$12*'TE BF'!$T$58</f>
        <v>0</v>
      </c>
      <c r="U12" s="20">
        <f>'TE BE'!$U$12*'TE BF'!$U$58</f>
        <v>0</v>
      </c>
      <c r="V12" s="20">
        <f>'TE BE'!$V$12*'TE BF'!$V$58</f>
        <v>0</v>
      </c>
      <c r="W12" s="20">
        <f>SUM($T$12:$V$12)</f>
        <v>0</v>
      </c>
      <c r="X12" s="20">
        <f>'TE BE'!$AB$12*'TE BF'!$X$58</f>
        <v>0</v>
      </c>
      <c r="Y12" s="20">
        <f>SUM($X$12:$X$12)</f>
        <v>0</v>
      </c>
      <c r="Z12" s="20">
        <f>'TE BE'!$Z$12*'TE BF'!$Z$58</f>
        <v>-6.0737879282617251E-2</v>
      </c>
      <c r="AA12" s="20">
        <f>SUM($Z$12:$Z$12)</f>
        <v>-6.0737879282617251E-2</v>
      </c>
      <c r="AB12" s="20">
        <f>SUMIF($L$4:$AA$4,"SUBTOTAL",$L$12:$AA$12)</f>
        <v>-1.5796446611237958</v>
      </c>
    </row>
    <row r="13" spans="1:28" ht="11.25" customHeight="1" x14ac:dyDescent="0.25">
      <c r="A13" s="118"/>
      <c r="B13" s="22" t="s">
        <v>92</v>
      </c>
      <c r="C13" s="22" t="s">
        <v>25</v>
      </c>
      <c r="D13" s="22" t="s">
        <v>25</v>
      </c>
      <c r="E13" s="22" t="s">
        <v>93</v>
      </c>
      <c r="F13" s="22" t="s">
        <v>25</v>
      </c>
      <c r="G13" s="23" t="s">
        <v>88</v>
      </c>
      <c r="H13" s="23" t="s">
        <v>82</v>
      </c>
      <c r="I13" s="23">
        <f>'MERCADO TE'!$U$10</f>
        <v>0</v>
      </c>
      <c r="J13" s="15"/>
      <c r="L13" s="20">
        <f>'TE BE'!$L$13*'TE BF'!$L$58</f>
        <v>0</v>
      </c>
      <c r="M13" s="20">
        <f>'TE BE'!$M$13*'TE BF'!$M$58</f>
        <v>0.76173421496989957</v>
      </c>
      <c r="N13" s="20">
        <f>'TE BE'!$N$13*'TE BF'!$N$58</f>
        <v>0</v>
      </c>
      <c r="O13" s="20">
        <f>'TE BE'!$O$13*'TE BF'!$O$58</f>
        <v>0.19271942271975201</v>
      </c>
      <c r="P13" s="20">
        <f>'TE BE'!$P$13*'TE BF'!$P$58</f>
        <v>0</v>
      </c>
      <c r="Q13" s="20">
        <f>SUM($L$13:$P$13)</f>
        <v>0.95445363768965152</v>
      </c>
      <c r="R13" s="20">
        <f>'TE BE'!$R$13*'TE BF'!$R$58</f>
        <v>-2.6111966310898516</v>
      </c>
      <c r="S13" s="20">
        <f>SUM($R$13:$R$13)</f>
        <v>-2.6111966310898516</v>
      </c>
      <c r="T13" s="20">
        <f>'TE BE'!$T$13*'TE BF'!$T$58</f>
        <v>0</v>
      </c>
      <c r="U13" s="20">
        <f>'TE BE'!$U$13*'TE BF'!$U$58</f>
        <v>0</v>
      </c>
      <c r="V13" s="20">
        <f>'TE BE'!$V$13*'TE BF'!$V$58</f>
        <v>0</v>
      </c>
      <c r="W13" s="20">
        <f>SUM($T$13:$V$13)</f>
        <v>0</v>
      </c>
      <c r="X13" s="20">
        <v>0</v>
      </c>
      <c r="Y13" s="20">
        <f>SUM($X$13:$X$13)</f>
        <v>0</v>
      </c>
      <c r="Z13" s="20">
        <f>'TE BE'!$Z$13*'TE BF'!$Z$58</f>
        <v>-6.0737879282617251E-2</v>
      </c>
      <c r="AA13" s="20">
        <f>SUM($Z$13:$Z$13)</f>
        <v>-6.0737879282617251E-2</v>
      </c>
      <c r="AB13" s="20">
        <f>SUMIF($L$4:$AA$4,"SUBTOTAL",$L$13:$AA$13)</f>
        <v>-1.7174808726828172</v>
      </c>
    </row>
    <row r="14" spans="1:28" ht="11.25" customHeight="1" x14ac:dyDescent="0.25">
      <c r="A14" s="118"/>
      <c r="B14" s="22" t="s">
        <v>90</v>
      </c>
      <c r="C14" s="22" t="s">
        <v>25</v>
      </c>
      <c r="D14" s="22" t="s">
        <v>25</v>
      </c>
      <c r="E14" s="22" t="s">
        <v>25</v>
      </c>
      <c r="F14" s="22" t="s">
        <v>25</v>
      </c>
      <c r="G14" s="23" t="s">
        <v>88</v>
      </c>
      <c r="H14" s="23" t="s">
        <v>82</v>
      </c>
      <c r="I14" s="23">
        <f>'MERCADO TE'!$U$11</f>
        <v>0</v>
      </c>
      <c r="J14" s="15"/>
      <c r="L14" s="20">
        <f>'TE BE'!$L$14*'TE BF'!$L$58</f>
        <v>0</v>
      </c>
      <c r="M14" s="20">
        <f>'TE BE'!$M$14*'TE BF'!$M$58</f>
        <v>0.76173421496989957</v>
      </c>
      <c r="N14" s="20">
        <f>'TE BE'!$N$14*'TE BF'!$N$58</f>
        <v>0</v>
      </c>
      <c r="O14" s="20">
        <f>'TE BE'!$O$14*'TE BF'!$O$58</f>
        <v>0.19271942271975198</v>
      </c>
      <c r="P14" s="20">
        <f>'TE BE'!$P$14*'TE BF'!$P$58</f>
        <v>0</v>
      </c>
      <c r="Q14" s="20">
        <f>SUM($L$14:$P$14)</f>
        <v>0.95445363768965152</v>
      </c>
      <c r="R14" s="20">
        <f>'TE BE'!$R$14*'TE BF'!$R$58</f>
        <v>-2.6217620447026802</v>
      </c>
      <c r="S14" s="20">
        <f>SUM($R$14:$R$14)</f>
        <v>-2.6217620447026802</v>
      </c>
      <c r="T14" s="20">
        <f>'TE BE'!$T$14*'TE BF'!$T$58</f>
        <v>0</v>
      </c>
      <c r="U14" s="20">
        <f>'TE BE'!$U$14*'TE BF'!$U$58</f>
        <v>0</v>
      </c>
      <c r="V14" s="20">
        <f>'TE BE'!$V$14*'TE BF'!$V$58</f>
        <v>0</v>
      </c>
      <c r="W14" s="20">
        <f>SUM($T$14:$V$14)</f>
        <v>0</v>
      </c>
      <c r="X14" s="20">
        <f>'TE BE'!$AB$14*'TE BF'!$X$58</f>
        <v>0</v>
      </c>
      <c r="Y14" s="20">
        <f>SUM($X$14:$X$14)</f>
        <v>0</v>
      </c>
      <c r="Z14" s="20">
        <f>'TE BE'!$Z$14*'TE BF'!$Z$58</f>
        <v>-6.0737879282617251E-2</v>
      </c>
      <c r="AA14" s="20">
        <f>SUM($Z$14:$Z$14)</f>
        <v>-6.0737879282617251E-2</v>
      </c>
      <c r="AB14" s="20">
        <f>SUMIF($L$4:$AA$4,"SUBTOTAL",$L$14:$AA$14)</f>
        <v>-1.7280462862956458</v>
      </c>
    </row>
    <row r="15" spans="1:28" ht="11.25" customHeight="1" x14ac:dyDescent="0.25">
      <c r="A15" s="118"/>
      <c r="B15" s="22" t="s">
        <v>94</v>
      </c>
      <c r="C15" s="22" t="s">
        <v>25</v>
      </c>
      <c r="D15" s="22" t="s">
        <v>25</v>
      </c>
      <c r="E15" s="22" t="s">
        <v>93</v>
      </c>
      <c r="F15" s="22" t="s">
        <v>25</v>
      </c>
      <c r="G15" s="23" t="s">
        <v>88</v>
      </c>
      <c r="H15" s="23" t="s">
        <v>82</v>
      </c>
      <c r="I15" s="23">
        <f>'MERCADO TE'!$U$12</f>
        <v>0</v>
      </c>
      <c r="J15" s="15"/>
      <c r="L15" s="20">
        <f>'TE BE'!$L$15*'TE BF'!$L$58</f>
        <v>0</v>
      </c>
      <c r="M15" s="20">
        <f>'TE BE'!$M$15*'TE BF'!$M$58</f>
        <v>0.76173421496989957</v>
      </c>
      <c r="N15" s="20">
        <f>'TE BE'!$N$15*'TE BF'!$N$58</f>
        <v>0</v>
      </c>
      <c r="O15" s="20">
        <f>'TE BE'!$O$15*'TE BF'!$O$58</f>
        <v>0.19271942271975201</v>
      </c>
      <c r="P15" s="20">
        <f>'TE BE'!$P$15*'TE BF'!$P$58</f>
        <v>0</v>
      </c>
      <c r="Q15" s="20">
        <f>SUM($L$15:$P$15)</f>
        <v>0.95445363768965152</v>
      </c>
      <c r="R15" s="20">
        <f>'TE BE'!$R$15*'TE BF'!$R$58</f>
        <v>-2.6111966310898516</v>
      </c>
      <c r="S15" s="20">
        <f>SUM($R$15:$R$15)</f>
        <v>-2.6111966310898516</v>
      </c>
      <c r="T15" s="20">
        <f>'TE BE'!$T$15*'TE BF'!$T$58</f>
        <v>0</v>
      </c>
      <c r="U15" s="20">
        <f>'TE BE'!$U$15*'TE BF'!$U$58</f>
        <v>0</v>
      </c>
      <c r="V15" s="20">
        <f>'TE BE'!$V$15*'TE BF'!$V$58</f>
        <v>0</v>
      </c>
      <c r="W15" s="20">
        <f>SUM($T$15:$V$15)</f>
        <v>0</v>
      </c>
      <c r="X15" s="20">
        <v>0</v>
      </c>
      <c r="Y15" s="20">
        <f>SUM($X$15:$X$15)</f>
        <v>0</v>
      </c>
      <c r="Z15" s="20">
        <f>'TE BE'!$Z$15*'TE BF'!$Z$58</f>
        <v>-6.0737879282617251E-2</v>
      </c>
      <c r="AA15" s="20">
        <f>SUM($Z$15:$Z$15)</f>
        <v>-6.0737879282617251E-2</v>
      </c>
      <c r="AB15" s="20">
        <f>SUMIF($L$4:$AA$4,"SUBTOTAL",$L$15:$AA$15)</f>
        <v>-1.7174808726828172</v>
      </c>
    </row>
    <row r="16" spans="1:28" ht="11.25" customHeight="1" x14ac:dyDescent="0.25">
      <c r="A16" s="118"/>
      <c r="B16" s="22" t="s">
        <v>92</v>
      </c>
      <c r="C16" s="22" t="s">
        <v>25</v>
      </c>
      <c r="D16" s="22" t="s">
        <v>25</v>
      </c>
      <c r="E16" s="22" t="s">
        <v>25</v>
      </c>
      <c r="F16" s="22" t="s">
        <v>25</v>
      </c>
      <c r="G16" s="23" t="s">
        <v>88</v>
      </c>
      <c r="H16" s="23" t="s">
        <v>82</v>
      </c>
      <c r="I16" s="23">
        <f>'MERCADO TE'!$U$13</f>
        <v>10049.64</v>
      </c>
      <c r="J16" s="15"/>
      <c r="L16" s="20">
        <f>'TE BE'!$L$16*'TE BF'!$L$58</f>
        <v>0</v>
      </c>
      <c r="M16" s="20">
        <f>'TE BE'!$M$16*'TE BF'!$M$58</f>
        <v>0</v>
      </c>
      <c r="N16" s="20">
        <f>'TE BE'!$N$16*'TE BF'!$N$58</f>
        <v>0</v>
      </c>
      <c r="O16" s="20">
        <f>'TE BE'!$O$16*'TE BF'!$O$58</f>
        <v>0.19271942271975201</v>
      </c>
      <c r="P16" s="20">
        <f>'TE BE'!$P$16*'TE BF'!$P$58</f>
        <v>0</v>
      </c>
      <c r="Q16" s="20">
        <f>SUM($L$16:$P$16)</f>
        <v>0.19271942271975201</v>
      </c>
      <c r="R16" s="20">
        <f>'TE BE'!$R$16*'TE BF'!$R$58</f>
        <v>-2.6111966310898516</v>
      </c>
      <c r="S16" s="20">
        <f>SUM($R$16:$R$16)</f>
        <v>-2.6111966310898516</v>
      </c>
      <c r="T16" s="20">
        <f>'TE BE'!$T$16*'TE BF'!$T$58</f>
        <v>0</v>
      </c>
      <c r="U16" s="20">
        <f>'TE BE'!$U$16*'TE BF'!$U$58</f>
        <v>0</v>
      </c>
      <c r="V16" s="20">
        <f>'TE BE'!$V$16*'TE BF'!$V$58</f>
        <v>0</v>
      </c>
      <c r="W16" s="20">
        <f>SUM($T$16:$V$16)</f>
        <v>0</v>
      </c>
      <c r="X16" s="20">
        <v>0</v>
      </c>
      <c r="Y16" s="20">
        <f>SUM($X$16:$X$16)</f>
        <v>0</v>
      </c>
      <c r="Z16" s="20">
        <f>'TE BE'!$Z$16*'TE BF'!$Z$58</f>
        <v>0</v>
      </c>
      <c r="AA16" s="20">
        <f>SUM($Z$16:$Z$16)</f>
        <v>0</v>
      </c>
      <c r="AB16" s="20">
        <f>SUMIF($L$4:$AA$4,"SUBTOTAL",$L$16:$AA$16)</f>
        <v>-2.4184772083700996</v>
      </c>
    </row>
    <row r="17" spans="1:28" ht="11.25" customHeight="1" x14ac:dyDescent="0.25">
      <c r="A17" s="118" t="s">
        <v>22</v>
      </c>
      <c r="B17" s="118" t="s">
        <v>81</v>
      </c>
      <c r="C17" s="118" t="s">
        <v>24</v>
      </c>
      <c r="D17" s="118" t="s">
        <v>24</v>
      </c>
      <c r="E17" s="118" t="s">
        <v>25</v>
      </c>
      <c r="F17" s="118" t="s">
        <v>25</v>
      </c>
      <c r="G17" s="23" t="s">
        <v>83</v>
      </c>
      <c r="H17" s="23" t="s">
        <v>82</v>
      </c>
      <c r="I17" s="23">
        <f>'MERCADO TE'!$U$14</f>
        <v>51.442999999999998</v>
      </c>
      <c r="J17" s="15"/>
      <c r="L17" s="20">
        <f>'TE BE'!$L$17*'TE BF'!$L$58</f>
        <v>0</v>
      </c>
      <c r="M17" s="20">
        <f>'TE BE'!$M$17*'TE BF'!$M$58</f>
        <v>0.76173421496989957</v>
      </c>
      <c r="N17" s="20">
        <f>'TE BE'!$N$17*'TE BF'!$N$58</f>
        <v>0</v>
      </c>
      <c r="O17" s="20">
        <f>'TE BE'!$O$17*'TE BF'!$O$58</f>
        <v>0.19271942271975198</v>
      </c>
      <c r="P17" s="20">
        <f>'TE BE'!$P$17*'TE BF'!$P$58</f>
        <v>0</v>
      </c>
      <c r="Q17" s="20">
        <f>SUM($L$17:$P$17)</f>
        <v>0.95445363768965152</v>
      </c>
      <c r="R17" s="20">
        <f>'TE BE'!$R$17*'TE BF'!$R$58</f>
        <v>-4.2541799215930283</v>
      </c>
      <c r="S17" s="20">
        <f>SUM($R$17:$R$17)</f>
        <v>-4.2541799215930283</v>
      </c>
      <c r="T17" s="20">
        <f>'TE BE'!$T$17*'TE BF'!$T$58</f>
        <v>0</v>
      </c>
      <c r="U17" s="20">
        <f>'TE BE'!$U$17*'TE BF'!$U$58</f>
        <v>0</v>
      </c>
      <c r="V17" s="20">
        <f>'TE BE'!$V$17*'TE BF'!$V$58</f>
        <v>0</v>
      </c>
      <c r="W17" s="20">
        <f>SUM($T$17:$V$17)</f>
        <v>0</v>
      </c>
      <c r="X17" s="20">
        <f>'TE BE'!$AB$17*'TE BF'!$X$58</f>
        <v>0</v>
      </c>
      <c r="Y17" s="20">
        <f>SUM($X$17:$X$17)</f>
        <v>0</v>
      </c>
      <c r="Z17" s="20">
        <f>'TE BE'!$Z$17*'TE BF'!$Z$58</f>
        <v>-6.0737879282617251E-2</v>
      </c>
      <c r="AA17" s="20">
        <f>SUM($Z$17:$Z$17)</f>
        <v>-6.0737879282617251E-2</v>
      </c>
      <c r="AB17" s="20">
        <f>SUMIF($L$4:$AA$4,"SUBTOTAL",$L$17:$AA$17)</f>
        <v>-3.3604641631859944</v>
      </c>
    </row>
    <row r="18" spans="1:28" ht="11.25" customHeight="1" x14ac:dyDescent="0.25">
      <c r="A18" s="118"/>
      <c r="B18" s="118"/>
      <c r="C18" s="118"/>
      <c r="D18" s="118"/>
      <c r="E18" s="118"/>
      <c r="F18" s="118"/>
      <c r="G18" s="23" t="s">
        <v>98</v>
      </c>
      <c r="H18" s="23" t="s">
        <v>82</v>
      </c>
      <c r="I18" s="23">
        <f>'MERCADO TE'!$U$15</f>
        <v>16.948999999999998</v>
      </c>
      <c r="J18" s="15"/>
      <c r="L18" s="20">
        <f>'TE BE'!$L$18*'TE BF'!$L$58</f>
        <v>0</v>
      </c>
      <c r="M18" s="20">
        <f>'TE BE'!$M$18*'TE BF'!$M$58</f>
        <v>0.76173421496989957</v>
      </c>
      <c r="N18" s="20">
        <f>'TE BE'!$N$18*'TE BF'!$N$58</f>
        <v>0</v>
      </c>
      <c r="O18" s="20">
        <f>'TE BE'!$O$18*'TE BF'!$O$58</f>
        <v>0.19271942271975198</v>
      </c>
      <c r="P18" s="20">
        <f>'TE BE'!$P$18*'TE BF'!$P$58</f>
        <v>0</v>
      </c>
      <c r="Q18" s="20">
        <f>SUM($L$18:$P$18)</f>
        <v>0.95445363768965152</v>
      </c>
      <c r="R18" s="20">
        <f>'TE BE'!$R$18*'TE BF'!$R$58</f>
        <v>-2.4733604195308301</v>
      </c>
      <c r="S18" s="20">
        <f>SUM($R$18:$R$18)</f>
        <v>-2.4733604195308301</v>
      </c>
      <c r="T18" s="20">
        <f>'TE BE'!$T$18*'TE BF'!$T$58</f>
        <v>0</v>
      </c>
      <c r="U18" s="20">
        <f>'TE BE'!$U$18*'TE BF'!$U$58</f>
        <v>0</v>
      </c>
      <c r="V18" s="20">
        <f>'TE BE'!$V$18*'TE BF'!$V$58</f>
        <v>0</v>
      </c>
      <c r="W18" s="20">
        <f>SUM($T$18:$V$18)</f>
        <v>0</v>
      </c>
      <c r="X18" s="20">
        <f>'TE BE'!$AB$18*'TE BF'!$X$58</f>
        <v>0</v>
      </c>
      <c r="Y18" s="20">
        <f>SUM($X$18:$X$18)</f>
        <v>0</v>
      </c>
      <c r="Z18" s="20">
        <f>'TE BE'!$Z$18*'TE BF'!$Z$58</f>
        <v>-6.0737879282617251E-2</v>
      </c>
      <c r="AA18" s="20">
        <f>SUM($Z$18:$Z$18)</f>
        <v>-6.0737879282617251E-2</v>
      </c>
      <c r="AB18" s="20">
        <f>SUMIF($L$4:$AA$4,"SUBTOTAL",$L$18:$AA$18)</f>
        <v>-1.5796446611237958</v>
      </c>
    </row>
    <row r="19" spans="1:28" ht="11.25" customHeight="1" x14ac:dyDescent="0.25">
      <c r="A19" s="118"/>
      <c r="B19" s="118"/>
      <c r="C19" s="118"/>
      <c r="D19" s="118"/>
      <c r="E19" s="118"/>
      <c r="F19" s="118"/>
      <c r="G19" s="23" t="s">
        <v>84</v>
      </c>
      <c r="H19" s="23" t="s">
        <v>82</v>
      </c>
      <c r="I19" s="23">
        <f>'MERCADO TE'!$U$16</f>
        <v>490.19600000000008</v>
      </c>
      <c r="J19" s="15"/>
      <c r="L19" s="20">
        <f>'TE BE'!$L$19*'TE BF'!$L$58</f>
        <v>0</v>
      </c>
      <c r="M19" s="20">
        <f>'TE BE'!$M$19*'TE BF'!$M$58</f>
        <v>0.76173421496989957</v>
      </c>
      <c r="N19" s="20">
        <f>'TE BE'!$N$19*'TE BF'!$N$58</f>
        <v>0</v>
      </c>
      <c r="O19" s="20">
        <f>'TE BE'!$O$19*'TE BF'!$O$58</f>
        <v>0.19271942271975198</v>
      </c>
      <c r="P19" s="20">
        <f>'TE BE'!$P$19*'TE BF'!$P$58</f>
        <v>0</v>
      </c>
      <c r="Q19" s="20">
        <f>SUM($L$19:$P$19)</f>
        <v>0.95445363768965152</v>
      </c>
      <c r="R19" s="20">
        <f>'TE BE'!$R$19*'TE BF'!$R$58</f>
        <v>-2.4733604195308301</v>
      </c>
      <c r="S19" s="20">
        <f>SUM($R$19:$R$19)</f>
        <v>-2.4733604195308301</v>
      </c>
      <c r="T19" s="20">
        <f>'TE BE'!$T$19*'TE BF'!$T$58</f>
        <v>0</v>
      </c>
      <c r="U19" s="20">
        <f>'TE BE'!$U$19*'TE BF'!$U$58</f>
        <v>0</v>
      </c>
      <c r="V19" s="20">
        <f>'TE BE'!$V$19*'TE BF'!$V$58</f>
        <v>0</v>
      </c>
      <c r="W19" s="20">
        <f>SUM($T$19:$V$19)</f>
        <v>0</v>
      </c>
      <c r="X19" s="20">
        <f>'TE BE'!$AB$19*'TE BF'!$X$58</f>
        <v>0</v>
      </c>
      <c r="Y19" s="20">
        <f>SUM($X$19:$X$19)</f>
        <v>0</v>
      </c>
      <c r="Z19" s="20">
        <f>'TE BE'!$Z$19*'TE BF'!$Z$58</f>
        <v>-6.0737879282617251E-2</v>
      </c>
      <c r="AA19" s="20">
        <f>SUM($Z$19:$Z$19)</f>
        <v>-6.0737879282617251E-2</v>
      </c>
      <c r="AB19" s="20">
        <f>SUMIF($L$4:$AA$4,"SUBTOTAL",$L$19:$AA$19)</f>
        <v>-1.5796446611237958</v>
      </c>
    </row>
    <row r="20" spans="1:28" ht="11.25" customHeight="1" x14ac:dyDescent="0.25">
      <c r="A20" s="118"/>
      <c r="B20" s="118" t="s">
        <v>90</v>
      </c>
      <c r="C20" s="118" t="s">
        <v>24</v>
      </c>
      <c r="D20" s="22" t="s">
        <v>24</v>
      </c>
      <c r="E20" s="22" t="s">
        <v>25</v>
      </c>
      <c r="F20" s="22" t="s">
        <v>25</v>
      </c>
      <c r="G20" s="23" t="s">
        <v>88</v>
      </c>
      <c r="H20" s="23" t="s">
        <v>82</v>
      </c>
      <c r="I20" s="23">
        <f>'MERCADO TE'!$U$17</f>
        <v>441318.25</v>
      </c>
      <c r="J20" s="15"/>
      <c r="L20" s="20">
        <f>'TE BE'!$L$20*'TE BF'!$L$58</f>
        <v>0</v>
      </c>
      <c r="M20" s="20">
        <f>'TE BE'!$M$20*'TE BF'!$M$58</f>
        <v>0.76173421496989957</v>
      </c>
      <c r="N20" s="20">
        <f>'TE BE'!$N$20*'TE BF'!$N$58</f>
        <v>0</v>
      </c>
      <c r="O20" s="20">
        <f>'TE BE'!$O$20*'TE BF'!$O$58</f>
        <v>0.19271942271975198</v>
      </c>
      <c r="P20" s="20">
        <f>'TE BE'!$P$20*'TE BF'!$P$58</f>
        <v>0</v>
      </c>
      <c r="Q20" s="20">
        <f>SUM($L$20:$P$20)</f>
        <v>0.95445363768965152</v>
      </c>
      <c r="R20" s="20">
        <f>'TE BE'!$R$20*'TE BF'!$R$58</f>
        <v>-2.6217620447026802</v>
      </c>
      <c r="S20" s="20">
        <f>SUM($R$20:$R$20)</f>
        <v>-2.6217620447026802</v>
      </c>
      <c r="T20" s="20">
        <f>'TE BE'!$T$20*'TE BF'!$T$58</f>
        <v>0</v>
      </c>
      <c r="U20" s="20">
        <f>'TE BE'!$U$20*'TE BF'!$U$58</f>
        <v>0</v>
      </c>
      <c r="V20" s="20">
        <f>'TE BE'!$V$20*'TE BF'!$V$58</f>
        <v>0</v>
      </c>
      <c r="W20" s="20">
        <f>SUM($T$20:$V$20)</f>
        <v>0</v>
      </c>
      <c r="X20" s="20">
        <f>'TE BE'!$AB$20*'TE BF'!$X$58</f>
        <v>0</v>
      </c>
      <c r="Y20" s="20">
        <f>SUM($X$20:$X$20)</f>
        <v>0</v>
      </c>
      <c r="Z20" s="20">
        <f>'TE BE'!$Z$20*'TE BF'!$Z$58</f>
        <v>-6.0737879282617251E-2</v>
      </c>
      <c r="AA20" s="20">
        <f>SUM($Z$20:$Z$20)</f>
        <v>-6.0737879282617251E-2</v>
      </c>
      <c r="AB20" s="20">
        <f>SUMIF($L$4:$AA$4,"SUBTOTAL",$L$20:$AA$20)</f>
        <v>-1.7280462862956458</v>
      </c>
    </row>
    <row r="21" spans="1:28" ht="11.25" customHeight="1" x14ac:dyDescent="0.25">
      <c r="A21" s="118"/>
      <c r="B21" s="118"/>
      <c r="C21" s="118"/>
      <c r="D21" s="22" t="s">
        <v>31</v>
      </c>
      <c r="E21" s="22" t="s">
        <v>25</v>
      </c>
      <c r="F21" s="22" t="s">
        <v>25</v>
      </c>
      <c r="G21" s="23" t="s">
        <v>88</v>
      </c>
      <c r="H21" s="23" t="s">
        <v>82</v>
      </c>
      <c r="I21" s="23">
        <f>'MERCADO TE'!$U$18</f>
        <v>23008.194</v>
      </c>
      <c r="J21" s="15"/>
      <c r="L21" s="20">
        <f>'TE BE'!$L$21*'TE BF'!$L$58</f>
        <v>0</v>
      </c>
      <c r="M21" s="20">
        <f>'TE BE'!$M$21*'TE BF'!$M$58</f>
        <v>0.76173421496989957</v>
      </c>
      <c r="N21" s="20">
        <f>'TE BE'!$N$21*'TE BF'!$N$58</f>
        <v>0</v>
      </c>
      <c r="O21" s="20">
        <f>'TE BE'!$O$21*'TE BF'!$O$58</f>
        <v>0.19271942271975198</v>
      </c>
      <c r="P21" s="20">
        <f>'TE BE'!$P$21*'TE BF'!$P$58</f>
        <v>0</v>
      </c>
      <c r="Q21" s="20">
        <f>SUM($L$21:$P$21)</f>
        <v>0.95445363768965152</v>
      </c>
      <c r="R21" s="20">
        <f>'TE BE'!$R$21*'TE BF'!$R$58</f>
        <v>-2.6217620447026802</v>
      </c>
      <c r="S21" s="20">
        <f>SUM($R$21:$R$21)</f>
        <v>-2.6217620447026802</v>
      </c>
      <c r="T21" s="20">
        <f>'TE BE'!$T$21*'TE BF'!$T$58</f>
        <v>0</v>
      </c>
      <c r="U21" s="20">
        <f>'TE BE'!$U$21*'TE BF'!$U$58</f>
        <v>0</v>
      </c>
      <c r="V21" s="20">
        <f>'TE BE'!$V$21*'TE BF'!$V$58</f>
        <v>0</v>
      </c>
      <c r="W21" s="20">
        <f>SUM($T$21:$V$21)</f>
        <v>0</v>
      </c>
      <c r="X21" s="20">
        <f>'TE BE'!$AB$21*'TE BF'!$X$58</f>
        <v>0</v>
      </c>
      <c r="Y21" s="20">
        <f>SUM($X$21:$X$21)</f>
        <v>0</v>
      </c>
      <c r="Z21" s="20">
        <f>'TE BE'!$Z$21*'TE BF'!$Z$58</f>
        <v>-6.0737879282617251E-2</v>
      </c>
      <c r="AA21" s="20">
        <f>SUM($Z$21:$Z$21)</f>
        <v>-6.0737879282617251E-2</v>
      </c>
      <c r="AB21" s="20">
        <f>SUMIF($L$4:$AA$4,"SUBTOTAL",$L$21:$AA$21)</f>
        <v>-1.7280462862956458</v>
      </c>
    </row>
    <row r="22" spans="1:28" ht="11.25" customHeight="1" x14ac:dyDescent="0.25">
      <c r="A22" s="118"/>
      <c r="B22" s="118"/>
      <c r="C22" s="118"/>
      <c r="D22" s="22" t="s">
        <v>32</v>
      </c>
      <c r="E22" s="22" t="s">
        <v>25</v>
      </c>
      <c r="F22" s="22" t="s">
        <v>25</v>
      </c>
      <c r="G22" s="23" t="s">
        <v>88</v>
      </c>
      <c r="H22" s="23" t="s">
        <v>82</v>
      </c>
      <c r="I22" s="23">
        <f>'MERCADO TE'!$U$19</f>
        <v>43669.588000000003</v>
      </c>
      <c r="J22" s="15"/>
      <c r="L22" s="20">
        <f>'TE BE'!$L$22*'TE BF'!$L$58</f>
        <v>0</v>
      </c>
      <c r="M22" s="20">
        <f>'TE BE'!$M$22*'TE BF'!$M$58</f>
        <v>0.76173421496989957</v>
      </c>
      <c r="N22" s="20">
        <f>'TE BE'!$N$22*'TE BF'!$N$58</f>
        <v>0</v>
      </c>
      <c r="O22" s="20">
        <f>'TE BE'!$O$22*'TE BF'!$O$58</f>
        <v>0.19271942271975198</v>
      </c>
      <c r="P22" s="20">
        <f>'TE BE'!$P$22*'TE BF'!$P$58</f>
        <v>0</v>
      </c>
      <c r="Q22" s="20">
        <f>SUM($L$22:$P$22)</f>
        <v>0.95445363768965152</v>
      </c>
      <c r="R22" s="20">
        <f>'TE BE'!$R$22*'TE BF'!$R$58</f>
        <v>-2.6217620447026802</v>
      </c>
      <c r="S22" s="20">
        <f>SUM($R$22:$R$22)</f>
        <v>-2.6217620447026802</v>
      </c>
      <c r="T22" s="20">
        <f>'TE BE'!$T$22*'TE BF'!$T$58</f>
        <v>0</v>
      </c>
      <c r="U22" s="20">
        <f>'TE BE'!$U$22*'TE BF'!$U$58</f>
        <v>0</v>
      </c>
      <c r="V22" s="20">
        <f>'TE BE'!$V$22*'TE BF'!$V$58</f>
        <v>0</v>
      </c>
      <c r="W22" s="20">
        <f>SUM($T$22:$V$22)</f>
        <v>0</v>
      </c>
      <c r="X22" s="20">
        <f>'TE BE'!$AB$22*'TE BF'!$X$58</f>
        <v>0</v>
      </c>
      <c r="Y22" s="20">
        <f>SUM($X$22:$X$22)</f>
        <v>0</v>
      </c>
      <c r="Z22" s="20">
        <f>'TE BE'!$Z$22*'TE BF'!$Z$58</f>
        <v>-6.0737879282617251E-2</v>
      </c>
      <c r="AA22" s="20">
        <f>SUM($Z$22:$Z$22)</f>
        <v>-6.0737879282617251E-2</v>
      </c>
      <c r="AB22" s="20">
        <f>SUMIF($L$4:$AA$4,"SUBTOTAL",$L$22:$AA$22)</f>
        <v>-1.7280462862956458</v>
      </c>
    </row>
    <row r="23" spans="1:28" ht="11.25" customHeight="1" x14ac:dyDescent="0.25">
      <c r="A23" s="118"/>
      <c r="B23" s="118"/>
      <c r="C23" s="118"/>
      <c r="D23" s="22" t="s">
        <v>33</v>
      </c>
      <c r="E23" s="22" t="s">
        <v>25</v>
      </c>
      <c r="F23" s="22" t="s">
        <v>25</v>
      </c>
      <c r="G23" s="23" t="s">
        <v>88</v>
      </c>
      <c r="H23" s="23" t="s">
        <v>82</v>
      </c>
      <c r="I23" s="23">
        <f>'MERCADO TE'!$U$20</f>
        <v>35563.447</v>
      </c>
      <c r="J23" s="15"/>
      <c r="L23" s="20">
        <f>'TE BE'!$L$23*'TE BF'!$L$58</f>
        <v>0</v>
      </c>
      <c r="M23" s="20">
        <f>'TE BE'!$M$23*'TE BF'!$M$58</f>
        <v>0.76173421496989957</v>
      </c>
      <c r="N23" s="20">
        <f>'TE BE'!$N$23*'TE BF'!$N$58</f>
        <v>0</v>
      </c>
      <c r="O23" s="20">
        <f>'TE BE'!$O$23*'TE BF'!$O$58</f>
        <v>0.19271942271975198</v>
      </c>
      <c r="P23" s="20">
        <f>'TE BE'!$P$23*'TE BF'!$P$58</f>
        <v>0</v>
      </c>
      <c r="Q23" s="20">
        <f>SUM($L$23:$P$23)</f>
        <v>0.95445363768965152</v>
      </c>
      <c r="R23" s="20">
        <f>'TE BE'!$R$23*'TE BF'!$R$58</f>
        <v>-2.6217620447026802</v>
      </c>
      <c r="S23" s="20">
        <f>SUM($R$23:$R$23)</f>
        <v>-2.6217620447026802</v>
      </c>
      <c r="T23" s="20">
        <f>'TE BE'!$T$23*'TE BF'!$T$58</f>
        <v>0</v>
      </c>
      <c r="U23" s="20">
        <f>'TE BE'!$U$23*'TE BF'!$U$58</f>
        <v>0</v>
      </c>
      <c r="V23" s="20">
        <f>'TE BE'!$V$23*'TE BF'!$V$58</f>
        <v>0</v>
      </c>
      <c r="W23" s="20">
        <f>SUM($T$23:$V$23)</f>
        <v>0</v>
      </c>
      <c r="X23" s="20">
        <f>'TE BE'!$AB$23*'TE BF'!$X$58</f>
        <v>0</v>
      </c>
      <c r="Y23" s="20">
        <f>SUM($X$23:$X$23)</f>
        <v>0</v>
      </c>
      <c r="Z23" s="20">
        <f>'TE BE'!$Z$23*'TE BF'!$Z$58</f>
        <v>-6.0737879282617251E-2</v>
      </c>
      <c r="AA23" s="20">
        <f>SUM($Z$23:$Z$23)</f>
        <v>-6.0737879282617251E-2</v>
      </c>
      <c r="AB23" s="20">
        <f>SUMIF($L$4:$AA$4,"SUBTOTAL",$L$23:$AA$23)</f>
        <v>-1.7280462862956458</v>
      </c>
    </row>
    <row r="24" spans="1:28" ht="11.25" customHeight="1" x14ac:dyDescent="0.25">
      <c r="A24" s="118"/>
      <c r="B24" s="118"/>
      <c r="C24" s="118"/>
      <c r="D24" s="22" t="s">
        <v>34</v>
      </c>
      <c r="E24" s="22" t="s">
        <v>25</v>
      </c>
      <c r="F24" s="22" t="s">
        <v>25</v>
      </c>
      <c r="G24" s="23" t="s">
        <v>88</v>
      </c>
      <c r="H24" s="23" t="s">
        <v>82</v>
      </c>
      <c r="I24" s="23">
        <f>'MERCADO TE'!$U$21</f>
        <v>18122.502</v>
      </c>
      <c r="J24" s="15"/>
      <c r="L24" s="20">
        <f>'TE BE'!$L$24*'TE BF'!$L$58</f>
        <v>0</v>
      </c>
      <c r="M24" s="20">
        <f>'TE BE'!$M$24*'TE BF'!$M$58</f>
        <v>0.76173421496989957</v>
      </c>
      <c r="N24" s="20">
        <f>'TE BE'!$N$24*'TE BF'!$N$58</f>
        <v>0</v>
      </c>
      <c r="O24" s="20">
        <f>'TE BE'!$O$24*'TE BF'!$O$58</f>
        <v>0.19271942271975198</v>
      </c>
      <c r="P24" s="20">
        <f>'TE BE'!$P$24*'TE BF'!$P$58</f>
        <v>0</v>
      </c>
      <c r="Q24" s="20">
        <f>SUM($L$24:$P$24)</f>
        <v>0.95445363768965152</v>
      </c>
      <c r="R24" s="20">
        <f>'TE BE'!$R$24*'TE BF'!$R$58</f>
        <v>-2.6217620447026802</v>
      </c>
      <c r="S24" s="20">
        <f>SUM($R$24:$R$24)</f>
        <v>-2.6217620447026802</v>
      </c>
      <c r="T24" s="20">
        <f>'TE BE'!$T$24*'TE BF'!$T$58</f>
        <v>0</v>
      </c>
      <c r="U24" s="20">
        <f>'TE BE'!$U$24*'TE BF'!$U$58</f>
        <v>0</v>
      </c>
      <c r="V24" s="20">
        <f>'TE BE'!$V$24*'TE BF'!$V$58</f>
        <v>0</v>
      </c>
      <c r="W24" s="20">
        <f>SUM($T$24:$V$24)</f>
        <v>0</v>
      </c>
      <c r="X24" s="20">
        <f>'TE BE'!$AB$24*'TE BF'!$X$58</f>
        <v>0</v>
      </c>
      <c r="Y24" s="20">
        <f>SUM($X$24:$X$24)</f>
        <v>0</v>
      </c>
      <c r="Z24" s="20">
        <f>'TE BE'!$Z$24*'TE BF'!$Z$58</f>
        <v>-6.0737879282617251E-2</v>
      </c>
      <c r="AA24" s="20">
        <f>SUM($Z$24:$Z$24)</f>
        <v>-6.0737879282617251E-2</v>
      </c>
      <c r="AB24" s="20">
        <f>SUMIF($L$4:$AA$4,"SUBTOTAL",$L$24:$AA$24)</f>
        <v>-1.7280462862956458</v>
      </c>
    </row>
    <row r="25" spans="1:28" ht="11.25" customHeight="1" x14ac:dyDescent="0.25">
      <c r="A25" s="118"/>
      <c r="B25" s="118" t="s">
        <v>99</v>
      </c>
      <c r="C25" s="118" t="s">
        <v>24</v>
      </c>
      <c r="D25" s="22" t="s">
        <v>24</v>
      </c>
      <c r="E25" s="22" t="s">
        <v>25</v>
      </c>
      <c r="F25" s="22" t="s">
        <v>25</v>
      </c>
      <c r="G25" s="23" t="s">
        <v>88</v>
      </c>
      <c r="H25" s="23" t="s">
        <v>82</v>
      </c>
      <c r="I25" s="23">
        <f>'MERCADO TE'!$U$22</f>
        <v>0</v>
      </c>
      <c r="J25" s="15"/>
      <c r="L25" s="20">
        <f>'TE BE'!$L$25*'TE BF'!$L$58</f>
        <v>0</v>
      </c>
      <c r="M25" s="20">
        <f>'TE BE'!$M$25*'TE BF'!$M$58</f>
        <v>0.76173421496989957</v>
      </c>
      <c r="N25" s="20">
        <f>'TE BE'!$N$25*'TE BF'!$N$58</f>
        <v>0</v>
      </c>
      <c r="O25" s="20">
        <f>'TE BE'!$O$25*'TE BF'!$O$58</f>
        <v>0.19271942271975198</v>
      </c>
      <c r="P25" s="20">
        <f>'TE BE'!$P$25*'TE BF'!$P$58</f>
        <v>0</v>
      </c>
      <c r="Q25" s="20">
        <f>SUM($L$25:$P$25)</f>
        <v>0.95445363768965152</v>
      </c>
      <c r="R25" s="20">
        <f>'TE BE'!$R$25*'TE BF'!$R$58</f>
        <v>-2.6217620447026802</v>
      </c>
      <c r="S25" s="20">
        <f>SUM($R$25:$R$25)</f>
        <v>-2.6217620447026802</v>
      </c>
      <c r="T25" s="20">
        <f>'TE BE'!$T$25*'TE BF'!$T$58</f>
        <v>0</v>
      </c>
      <c r="U25" s="20">
        <f>'TE BE'!$U$25*'TE BF'!$U$58</f>
        <v>0</v>
      </c>
      <c r="V25" s="20">
        <f>'TE BE'!$V$25*'TE BF'!$V$58</f>
        <v>0</v>
      </c>
      <c r="W25" s="20">
        <f>SUM($T$25:$V$25)</f>
        <v>0</v>
      </c>
      <c r="X25" s="20">
        <f>'TE BE'!$AB$25*'TE BF'!$X$58</f>
        <v>0</v>
      </c>
      <c r="Y25" s="20">
        <f>SUM($X$25:$X$25)</f>
        <v>0</v>
      </c>
      <c r="Z25" s="20">
        <f>'TE BE'!$Z$25*'TE BF'!$Z$58</f>
        <v>-6.0737879282617251E-2</v>
      </c>
      <c r="AA25" s="20">
        <f>SUM($Z$25:$Z$25)</f>
        <v>-6.0737879282617251E-2</v>
      </c>
      <c r="AB25" s="20">
        <f>SUMIF($L$4:$AA$4,"SUBTOTAL",$L$25:$AA$25)</f>
        <v>-1.7280462862956458</v>
      </c>
    </row>
    <row r="26" spans="1:28" ht="11.25" customHeight="1" x14ac:dyDescent="0.25">
      <c r="A26" s="118"/>
      <c r="B26" s="118"/>
      <c r="C26" s="118"/>
      <c r="D26" s="22" t="s">
        <v>31</v>
      </c>
      <c r="E26" s="22" t="s">
        <v>25</v>
      </c>
      <c r="F26" s="22" t="s">
        <v>25</v>
      </c>
      <c r="G26" s="23" t="s">
        <v>88</v>
      </c>
      <c r="H26" s="23" t="s">
        <v>82</v>
      </c>
      <c r="I26" s="23">
        <f>'MERCADO TE'!$U$23</f>
        <v>0</v>
      </c>
      <c r="J26" s="15"/>
      <c r="L26" s="20">
        <f>'TE BE'!$L$26*'TE BF'!$L$58</f>
        <v>0</v>
      </c>
      <c r="M26" s="20">
        <f>'TE BE'!$M$26*'TE BF'!$M$58</f>
        <v>0.76173421496989957</v>
      </c>
      <c r="N26" s="20">
        <f>'TE BE'!$N$26*'TE BF'!$N$58</f>
        <v>0</v>
      </c>
      <c r="O26" s="20">
        <f>'TE BE'!$O$26*'TE BF'!$O$58</f>
        <v>0.19271942271975198</v>
      </c>
      <c r="P26" s="20">
        <f>'TE BE'!$P$26*'TE BF'!$P$58</f>
        <v>0</v>
      </c>
      <c r="Q26" s="20">
        <f>SUM($L$26:$P$26)</f>
        <v>0.95445363768965152</v>
      </c>
      <c r="R26" s="20">
        <f>'TE BE'!$R$26*'TE BF'!$R$58</f>
        <v>-2.6217620447026802</v>
      </c>
      <c r="S26" s="20">
        <f>SUM($R$26:$R$26)</f>
        <v>-2.6217620447026802</v>
      </c>
      <c r="T26" s="20">
        <f>'TE BE'!$T$26*'TE BF'!$T$58</f>
        <v>0</v>
      </c>
      <c r="U26" s="20">
        <f>'TE BE'!$U$26*'TE BF'!$U$58</f>
        <v>0</v>
      </c>
      <c r="V26" s="20">
        <f>'TE BE'!$V$26*'TE BF'!$V$58</f>
        <v>0</v>
      </c>
      <c r="W26" s="20">
        <f>SUM($T$26:$V$26)</f>
        <v>0</v>
      </c>
      <c r="X26" s="20">
        <f>'TE BE'!$AB$26*'TE BF'!$X$58</f>
        <v>0</v>
      </c>
      <c r="Y26" s="20">
        <f>SUM($X$26:$X$26)</f>
        <v>0</v>
      </c>
      <c r="Z26" s="20">
        <f>'TE BE'!$Z$26*'TE BF'!$Z$58</f>
        <v>-6.0737879282617251E-2</v>
      </c>
      <c r="AA26" s="20">
        <f>SUM($Z$26:$Z$26)</f>
        <v>-6.0737879282617251E-2</v>
      </c>
      <c r="AB26" s="20">
        <f>SUMIF($L$4:$AA$4,"SUBTOTAL",$L$26:$AA$26)</f>
        <v>-1.7280462862956458</v>
      </c>
    </row>
    <row r="27" spans="1:28" ht="11.25" customHeight="1" x14ac:dyDescent="0.25">
      <c r="A27" s="118"/>
      <c r="B27" s="118"/>
      <c r="C27" s="118"/>
      <c r="D27" s="22" t="s">
        <v>32</v>
      </c>
      <c r="E27" s="22" t="s">
        <v>25</v>
      </c>
      <c r="F27" s="22" t="s">
        <v>25</v>
      </c>
      <c r="G27" s="23" t="s">
        <v>88</v>
      </c>
      <c r="H27" s="23" t="s">
        <v>82</v>
      </c>
      <c r="I27" s="23">
        <f>'MERCADO TE'!$U$24</f>
        <v>0</v>
      </c>
      <c r="J27" s="15"/>
      <c r="L27" s="20">
        <f>'TE BE'!$L$27*'TE BF'!$L$58</f>
        <v>0</v>
      </c>
      <c r="M27" s="20">
        <f>'TE BE'!$M$27*'TE BF'!$M$58</f>
        <v>0.76173421496989957</v>
      </c>
      <c r="N27" s="20">
        <f>'TE BE'!$N$27*'TE BF'!$N$58</f>
        <v>0</v>
      </c>
      <c r="O27" s="20">
        <f>'TE BE'!$O$27*'TE BF'!$O$58</f>
        <v>0.19271942271975198</v>
      </c>
      <c r="P27" s="20">
        <f>'TE BE'!$P$27*'TE BF'!$P$58</f>
        <v>0</v>
      </c>
      <c r="Q27" s="20">
        <f>SUM($L$27:$P$27)</f>
        <v>0.95445363768965152</v>
      </c>
      <c r="R27" s="20">
        <f>'TE BE'!$R$27*'TE BF'!$R$58</f>
        <v>-2.6217620447026802</v>
      </c>
      <c r="S27" s="20">
        <f>SUM($R$27:$R$27)</f>
        <v>-2.6217620447026802</v>
      </c>
      <c r="T27" s="20">
        <f>'TE BE'!$T$27*'TE BF'!$T$58</f>
        <v>0</v>
      </c>
      <c r="U27" s="20">
        <f>'TE BE'!$U$27*'TE BF'!$U$58</f>
        <v>0</v>
      </c>
      <c r="V27" s="20">
        <f>'TE BE'!$V$27*'TE BF'!$V$58</f>
        <v>0</v>
      </c>
      <c r="W27" s="20">
        <f>SUM($T$27:$V$27)</f>
        <v>0</v>
      </c>
      <c r="X27" s="20">
        <f>'TE BE'!$AB$27*'TE BF'!$X$58</f>
        <v>0</v>
      </c>
      <c r="Y27" s="20">
        <f>SUM($X$27:$X$27)</f>
        <v>0</v>
      </c>
      <c r="Z27" s="20">
        <f>'TE BE'!$Z$27*'TE BF'!$Z$58</f>
        <v>-6.0737879282617251E-2</v>
      </c>
      <c r="AA27" s="20">
        <f>SUM($Z$27:$Z$27)</f>
        <v>-6.0737879282617251E-2</v>
      </c>
      <c r="AB27" s="20">
        <f>SUMIF($L$4:$AA$4,"SUBTOTAL",$L$27:$AA$27)</f>
        <v>-1.7280462862956458</v>
      </c>
    </row>
    <row r="28" spans="1:28" ht="11.25" customHeight="1" x14ac:dyDescent="0.25">
      <c r="A28" s="118"/>
      <c r="B28" s="118"/>
      <c r="C28" s="118"/>
      <c r="D28" s="22" t="s">
        <v>33</v>
      </c>
      <c r="E28" s="22" t="s">
        <v>25</v>
      </c>
      <c r="F28" s="22" t="s">
        <v>25</v>
      </c>
      <c r="G28" s="23" t="s">
        <v>88</v>
      </c>
      <c r="H28" s="23" t="s">
        <v>82</v>
      </c>
      <c r="I28" s="23">
        <f>'MERCADO TE'!$U$25</f>
        <v>0</v>
      </c>
      <c r="J28" s="15"/>
      <c r="L28" s="20">
        <f>'TE BE'!$L$28*'TE BF'!$L$58</f>
        <v>0</v>
      </c>
      <c r="M28" s="20">
        <f>'TE BE'!$M$28*'TE BF'!$M$58</f>
        <v>0.76173421496989957</v>
      </c>
      <c r="N28" s="20">
        <f>'TE BE'!$N$28*'TE BF'!$N$58</f>
        <v>0</v>
      </c>
      <c r="O28" s="20">
        <f>'TE BE'!$O$28*'TE BF'!$O$58</f>
        <v>0.19271942271975198</v>
      </c>
      <c r="P28" s="20">
        <f>'TE BE'!$P$28*'TE BF'!$P$58</f>
        <v>0</v>
      </c>
      <c r="Q28" s="20">
        <f>SUM($L$28:$P$28)</f>
        <v>0.95445363768965152</v>
      </c>
      <c r="R28" s="20">
        <f>'TE BE'!$R$28*'TE BF'!$R$58</f>
        <v>-2.6217620447026802</v>
      </c>
      <c r="S28" s="20">
        <f>SUM($R$28:$R$28)</f>
        <v>-2.6217620447026802</v>
      </c>
      <c r="T28" s="20">
        <f>'TE BE'!$T$28*'TE BF'!$T$58</f>
        <v>0</v>
      </c>
      <c r="U28" s="20">
        <f>'TE BE'!$U$28*'TE BF'!$U$58</f>
        <v>0</v>
      </c>
      <c r="V28" s="20">
        <f>'TE BE'!$V$28*'TE BF'!$V$58</f>
        <v>0</v>
      </c>
      <c r="W28" s="20">
        <f>SUM($T$28:$V$28)</f>
        <v>0</v>
      </c>
      <c r="X28" s="20">
        <f>'TE BE'!$AB$28*'TE BF'!$X$58</f>
        <v>0</v>
      </c>
      <c r="Y28" s="20">
        <f>SUM($X$28:$X$28)</f>
        <v>0</v>
      </c>
      <c r="Z28" s="20">
        <f>'TE BE'!$Z$28*'TE BF'!$Z$58</f>
        <v>-6.0737879282617251E-2</v>
      </c>
      <c r="AA28" s="20">
        <f>SUM($Z$28:$Z$28)</f>
        <v>-6.0737879282617251E-2</v>
      </c>
      <c r="AB28" s="20">
        <f>SUMIF($L$4:$AA$4,"SUBTOTAL",$L$28:$AA$28)</f>
        <v>-1.7280462862956458</v>
      </c>
    </row>
    <row r="29" spans="1:28" ht="11.25" customHeight="1" x14ac:dyDescent="0.25">
      <c r="A29" s="118"/>
      <c r="B29" s="118"/>
      <c r="C29" s="118"/>
      <c r="D29" s="22" t="s">
        <v>34</v>
      </c>
      <c r="E29" s="22" t="s">
        <v>25</v>
      </c>
      <c r="F29" s="22" t="s">
        <v>25</v>
      </c>
      <c r="G29" s="23" t="s">
        <v>88</v>
      </c>
      <c r="H29" s="23" t="s">
        <v>82</v>
      </c>
      <c r="I29" s="23">
        <f>'MERCADO TE'!$U$26</f>
        <v>0</v>
      </c>
      <c r="J29" s="15"/>
      <c r="L29" s="20">
        <f>'TE BE'!$L$29*'TE BF'!$L$58</f>
        <v>0</v>
      </c>
      <c r="M29" s="20">
        <f>'TE BE'!$M$29*'TE BF'!$M$58</f>
        <v>0.76173421496989957</v>
      </c>
      <c r="N29" s="20">
        <f>'TE BE'!$N$29*'TE BF'!$N$58</f>
        <v>0</v>
      </c>
      <c r="O29" s="20">
        <f>'TE BE'!$O$29*'TE BF'!$O$58</f>
        <v>0.19271942271975198</v>
      </c>
      <c r="P29" s="20">
        <f>'TE BE'!$P$29*'TE BF'!$P$58</f>
        <v>0</v>
      </c>
      <c r="Q29" s="20">
        <f>SUM($L$29:$P$29)</f>
        <v>0.95445363768965152</v>
      </c>
      <c r="R29" s="20">
        <f>'TE BE'!$R$29*'TE BF'!$R$58</f>
        <v>-2.6217620447026802</v>
      </c>
      <c r="S29" s="20">
        <f>SUM($R$29:$R$29)</f>
        <v>-2.6217620447026802</v>
      </c>
      <c r="T29" s="20">
        <f>'TE BE'!$T$29*'TE BF'!$T$58</f>
        <v>0</v>
      </c>
      <c r="U29" s="20">
        <f>'TE BE'!$U$29*'TE BF'!$U$58</f>
        <v>0</v>
      </c>
      <c r="V29" s="20">
        <f>'TE BE'!$V$29*'TE BF'!$V$58</f>
        <v>0</v>
      </c>
      <c r="W29" s="20">
        <f>SUM($T$29:$V$29)</f>
        <v>0</v>
      </c>
      <c r="X29" s="20">
        <f>'TE BE'!$AB$29*'TE BF'!$X$58</f>
        <v>0</v>
      </c>
      <c r="Y29" s="20">
        <f>SUM($X$29:$X$29)</f>
        <v>0</v>
      </c>
      <c r="Z29" s="20">
        <f>'TE BE'!$Z$29*'TE BF'!$Z$58</f>
        <v>-6.0737879282617251E-2</v>
      </c>
      <c r="AA29" s="20">
        <f>SUM($Z$29:$Z$29)</f>
        <v>-6.0737879282617251E-2</v>
      </c>
      <c r="AB29" s="20">
        <f>SUMIF($L$4:$AA$4,"SUBTOTAL",$L$29:$AA$29)</f>
        <v>-1.7280462862956458</v>
      </c>
    </row>
    <row r="30" spans="1:28" ht="11.25" customHeight="1" x14ac:dyDescent="0.25">
      <c r="A30" s="118" t="s">
        <v>46</v>
      </c>
      <c r="B30" s="118" t="s">
        <v>81</v>
      </c>
      <c r="C30" s="118" t="s">
        <v>47</v>
      </c>
      <c r="D30" s="118" t="s">
        <v>25</v>
      </c>
      <c r="E30" s="118" t="s">
        <v>25</v>
      </c>
      <c r="F30" s="118" t="s">
        <v>25</v>
      </c>
      <c r="G30" s="23" t="s">
        <v>83</v>
      </c>
      <c r="H30" s="23" t="s">
        <v>82</v>
      </c>
      <c r="I30" s="23">
        <f>'MERCADO TE'!$U$27</f>
        <v>3.4330000000000007</v>
      </c>
      <c r="J30" s="15"/>
      <c r="L30" s="20">
        <f>'TE BE'!$L$30*'TE BF'!$L$58</f>
        <v>0</v>
      </c>
      <c r="M30" s="20">
        <f>'TE BE'!$M$30*'TE BF'!$M$58</f>
        <v>0.76173421496989957</v>
      </c>
      <c r="N30" s="20">
        <f>'TE BE'!$N$30*'TE BF'!$N$58</f>
        <v>0</v>
      </c>
      <c r="O30" s="20">
        <f>'TE BE'!$O$30*'TE BF'!$O$58</f>
        <v>0.19271942271975198</v>
      </c>
      <c r="P30" s="20">
        <f>'TE BE'!$P$30*'TE BF'!$P$58</f>
        <v>0</v>
      </c>
      <c r="Q30" s="20">
        <f>SUM($L$30:$P$30)</f>
        <v>0.95445363768965152</v>
      </c>
      <c r="R30" s="20">
        <f>'TE BE'!$R$30*'TE BF'!$R$58</f>
        <v>-4.2541799215930283</v>
      </c>
      <c r="S30" s="20">
        <f>SUM($R$30:$R$30)</f>
        <v>-4.2541799215930283</v>
      </c>
      <c r="T30" s="20">
        <f>'TE BE'!$T$30*'TE BF'!$T$58</f>
        <v>0</v>
      </c>
      <c r="U30" s="20">
        <f>'TE BE'!$U$30*'TE BF'!$U$58</f>
        <v>0</v>
      </c>
      <c r="V30" s="20">
        <f>'TE BE'!$V$30*'TE BF'!$V$58</f>
        <v>0</v>
      </c>
      <c r="W30" s="20">
        <f>SUM($T$30:$V$30)</f>
        <v>0</v>
      </c>
      <c r="X30" s="20">
        <f>'TE BE'!$AB$30*'TE BF'!$X$58</f>
        <v>0</v>
      </c>
      <c r="Y30" s="20">
        <f>SUM($X$30:$X$30)</f>
        <v>0</v>
      </c>
      <c r="Z30" s="20">
        <f>'TE BE'!$Z$30*'TE BF'!$Z$58</f>
        <v>-6.0737879282617251E-2</v>
      </c>
      <c r="AA30" s="20">
        <f>SUM($Z$30:$Z$30)</f>
        <v>-6.0737879282617251E-2</v>
      </c>
      <c r="AB30" s="20">
        <f>SUMIF($L$4:$AA$4,"SUBTOTAL",$L$30:$AA$30)</f>
        <v>-3.3604641631859944</v>
      </c>
    </row>
    <row r="31" spans="1:28" ht="11.25" customHeight="1" x14ac:dyDescent="0.25">
      <c r="A31" s="118"/>
      <c r="B31" s="118"/>
      <c r="C31" s="118"/>
      <c r="D31" s="118"/>
      <c r="E31" s="118"/>
      <c r="F31" s="118"/>
      <c r="G31" s="23" t="s">
        <v>98</v>
      </c>
      <c r="H31" s="23" t="s">
        <v>82</v>
      </c>
      <c r="I31" s="23">
        <f>'MERCADO TE'!$U$28</f>
        <v>0.54699999999999993</v>
      </c>
      <c r="J31" s="15"/>
      <c r="L31" s="20">
        <f>'TE BE'!$L$31*'TE BF'!$L$58</f>
        <v>0</v>
      </c>
      <c r="M31" s="20">
        <f>'TE BE'!$M$31*'TE BF'!$M$58</f>
        <v>0.76173421496989957</v>
      </c>
      <c r="N31" s="20">
        <f>'TE BE'!$N$31*'TE BF'!$N$58</f>
        <v>0</v>
      </c>
      <c r="O31" s="20">
        <f>'TE BE'!$O$31*'TE BF'!$O$58</f>
        <v>0.19271942271975198</v>
      </c>
      <c r="P31" s="20">
        <f>'TE BE'!$P$31*'TE BF'!$P$58</f>
        <v>0</v>
      </c>
      <c r="Q31" s="20">
        <f>SUM($L$31:$P$31)</f>
        <v>0.95445363768965152</v>
      </c>
      <c r="R31" s="20">
        <f>'TE BE'!$R$31*'TE BF'!$R$58</f>
        <v>-2.4733604195308301</v>
      </c>
      <c r="S31" s="20">
        <f>SUM($R$31:$R$31)</f>
        <v>-2.4733604195308301</v>
      </c>
      <c r="T31" s="20">
        <f>'TE BE'!$T$31*'TE BF'!$T$58</f>
        <v>0</v>
      </c>
      <c r="U31" s="20">
        <f>'TE BE'!$U$31*'TE BF'!$U$58</f>
        <v>0</v>
      </c>
      <c r="V31" s="20">
        <f>'TE BE'!$V$31*'TE BF'!$V$58</f>
        <v>0</v>
      </c>
      <c r="W31" s="20">
        <f>SUM($T$31:$V$31)</f>
        <v>0</v>
      </c>
      <c r="X31" s="20">
        <f>'TE BE'!$AB$31*'TE BF'!$X$58</f>
        <v>0</v>
      </c>
      <c r="Y31" s="20">
        <f>SUM($X$31:$X$31)</f>
        <v>0</v>
      </c>
      <c r="Z31" s="20">
        <f>'TE BE'!$Z$31*'TE BF'!$Z$58</f>
        <v>-6.0737879282617251E-2</v>
      </c>
      <c r="AA31" s="20">
        <f>SUM($Z$31:$Z$31)</f>
        <v>-6.0737879282617251E-2</v>
      </c>
      <c r="AB31" s="20">
        <f>SUMIF($L$4:$AA$4,"SUBTOTAL",$L$31:$AA$31)</f>
        <v>-1.5796446611237958</v>
      </c>
    </row>
    <row r="32" spans="1:28" ht="11.25" customHeight="1" x14ac:dyDescent="0.25">
      <c r="A32" s="118"/>
      <c r="B32" s="118"/>
      <c r="C32" s="118"/>
      <c r="D32" s="118"/>
      <c r="E32" s="118"/>
      <c r="F32" s="118"/>
      <c r="G32" s="23" t="s">
        <v>84</v>
      </c>
      <c r="H32" s="23" t="s">
        <v>82</v>
      </c>
      <c r="I32" s="23">
        <f>'MERCADO TE'!$U$29</f>
        <v>73.387</v>
      </c>
      <c r="J32" s="15"/>
      <c r="L32" s="20">
        <f>'TE BE'!$L$32*'TE BF'!$L$58</f>
        <v>0</v>
      </c>
      <c r="M32" s="20">
        <f>'TE BE'!$M$32*'TE BF'!$M$58</f>
        <v>0.76173421496989957</v>
      </c>
      <c r="N32" s="20">
        <f>'TE BE'!$N$32*'TE BF'!$N$58</f>
        <v>0</v>
      </c>
      <c r="O32" s="20">
        <f>'TE BE'!$O$32*'TE BF'!$O$58</f>
        <v>0.19271942271975198</v>
      </c>
      <c r="P32" s="20">
        <f>'TE BE'!$P$32*'TE BF'!$P$58</f>
        <v>0</v>
      </c>
      <c r="Q32" s="20">
        <f>SUM($L$32:$P$32)</f>
        <v>0.95445363768965152</v>
      </c>
      <c r="R32" s="20">
        <f>'TE BE'!$R$32*'TE BF'!$R$58</f>
        <v>-2.4733604195308301</v>
      </c>
      <c r="S32" s="20">
        <f>SUM($R$32:$R$32)</f>
        <v>-2.4733604195308301</v>
      </c>
      <c r="T32" s="20">
        <f>'TE BE'!$T$32*'TE BF'!$T$58</f>
        <v>0</v>
      </c>
      <c r="U32" s="20">
        <f>'TE BE'!$U$32*'TE BF'!$U$58</f>
        <v>0</v>
      </c>
      <c r="V32" s="20">
        <f>'TE BE'!$V$32*'TE BF'!$V$58</f>
        <v>0</v>
      </c>
      <c r="W32" s="20">
        <f>SUM($T$32:$V$32)</f>
        <v>0</v>
      </c>
      <c r="X32" s="20">
        <f>'TE BE'!$AB$32*'TE BF'!$X$58</f>
        <v>0</v>
      </c>
      <c r="Y32" s="20">
        <f>SUM($X$32:$X$32)</f>
        <v>0</v>
      </c>
      <c r="Z32" s="20">
        <f>'TE BE'!$Z$32*'TE BF'!$Z$58</f>
        <v>-6.0737879282617251E-2</v>
      </c>
      <c r="AA32" s="20">
        <f>SUM($Z$32:$Z$32)</f>
        <v>-6.0737879282617251E-2</v>
      </c>
      <c r="AB32" s="20">
        <f>SUMIF($L$4:$AA$4,"SUBTOTAL",$L$32:$AA$32)</f>
        <v>-1.5796446611237958</v>
      </c>
    </row>
    <row r="33" spans="1:28" ht="11.25" customHeight="1" x14ac:dyDescent="0.25">
      <c r="A33" s="118"/>
      <c r="B33" s="22" t="s">
        <v>90</v>
      </c>
      <c r="C33" s="22" t="s">
        <v>47</v>
      </c>
      <c r="D33" s="22" t="s">
        <v>25</v>
      </c>
      <c r="E33" s="22" t="s">
        <v>25</v>
      </c>
      <c r="F33" s="22" t="s">
        <v>25</v>
      </c>
      <c r="G33" s="23" t="s">
        <v>88</v>
      </c>
      <c r="H33" s="23" t="s">
        <v>82</v>
      </c>
      <c r="I33" s="23">
        <f>'MERCADO TE'!$U$30</f>
        <v>45841.400999999998</v>
      </c>
      <c r="J33" s="15"/>
      <c r="L33" s="20">
        <f>'TE BE'!$L$33*'TE BF'!$L$58</f>
        <v>0</v>
      </c>
      <c r="M33" s="20">
        <f>'TE BE'!$M$33*'TE BF'!$M$58</f>
        <v>0.76173421496989957</v>
      </c>
      <c r="N33" s="20">
        <f>'TE BE'!$N$33*'TE BF'!$N$58</f>
        <v>0</v>
      </c>
      <c r="O33" s="20">
        <f>'TE BE'!$O$33*'TE BF'!$O$58</f>
        <v>0.19271942271975198</v>
      </c>
      <c r="P33" s="20">
        <f>'TE BE'!$P$33*'TE BF'!$P$58</f>
        <v>0</v>
      </c>
      <c r="Q33" s="20">
        <f>SUM($L$33:$P$33)</f>
        <v>0.95445363768965152</v>
      </c>
      <c r="R33" s="20">
        <f>'TE BE'!$R$33*'TE BF'!$R$58</f>
        <v>-2.6217620447026802</v>
      </c>
      <c r="S33" s="20">
        <f>SUM($R$33:$R$33)</f>
        <v>-2.6217620447026802</v>
      </c>
      <c r="T33" s="20">
        <f>'TE BE'!$T$33*'TE BF'!$T$58</f>
        <v>0</v>
      </c>
      <c r="U33" s="20">
        <f>'TE BE'!$U$33*'TE BF'!$U$58</f>
        <v>0</v>
      </c>
      <c r="V33" s="20">
        <f>'TE BE'!$V$33*'TE BF'!$V$58</f>
        <v>0</v>
      </c>
      <c r="W33" s="20">
        <f>SUM($T$33:$V$33)</f>
        <v>0</v>
      </c>
      <c r="X33" s="20">
        <f>'TE BE'!$AB$33*'TE BF'!$X$58</f>
        <v>0</v>
      </c>
      <c r="Y33" s="20">
        <f>SUM($X$33:$X$33)</f>
        <v>0</v>
      </c>
      <c r="Z33" s="20">
        <f>'TE BE'!$Z$33*'TE BF'!$Z$58</f>
        <v>-6.0737879282617251E-2</v>
      </c>
      <c r="AA33" s="20">
        <f>SUM($Z$33:$Z$33)</f>
        <v>-6.0737879282617251E-2</v>
      </c>
      <c r="AB33" s="20">
        <f>SUMIF($L$4:$AA$4,"SUBTOTAL",$L$33:$AA$33)</f>
        <v>-1.7280462862956458</v>
      </c>
    </row>
    <row r="34" spans="1:28" ht="11.25" customHeight="1" x14ac:dyDescent="0.25">
      <c r="A34" s="118"/>
      <c r="B34" s="118" t="s">
        <v>81</v>
      </c>
      <c r="C34" s="118" t="s">
        <v>47</v>
      </c>
      <c r="D34" s="118" t="s">
        <v>101</v>
      </c>
      <c r="E34" s="118" t="s">
        <v>25</v>
      </c>
      <c r="F34" s="118" t="s">
        <v>25</v>
      </c>
      <c r="G34" s="23" t="s">
        <v>83</v>
      </c>
      <c r="H34" s="23" t="s">
        <v>82</v>
      </c>
      <c r="I34" s="23">
        <f>'MERCADO TE'!$U$31</f>
        <v>0</v>
      </c>
      <c r="J34" s="15"/>
      <c r="L34" s="20">
        <f>'TE BE'!$L$34*'TE BF'!$L$58</f>
        <v>0</v>
      </c>
      <c r="M34" s="20">
        <f>'TE BE'!$M$34*'TE BF'!$M$58</f>
        <v>0.76173421496989957</v>
      </c>
      <c r="N34" s="20">
        <f>'TE BE'!$N$34*'TE BF'!$N$58</f>
        <v>0</v>
      </c>
      <c r="O34" s="20">
        <f>'TE BE'!$O$34*'TE BF'!$O$58</f>
        <v>0.19271942271975198</v>
      </c>
      <c r="P34" s="20">
        <f>'TE BE'!$P$34*'TE BF'!$P$58</f>
        <v>0</v>
      </c>
      <c r="Q34" s="20">
        <f>SUM($L$34:$P$34)</f>
        <v>0.95445363768965152</v>
      </c>
      <c r="R34" s="20">
        <f>'TE BE'!$R$34*'TE BF'!$R$58</f>
        <v>-4.2541799215930283</v>
      </c>
      <c r="S34" s="20">
        <f>SUM($R$34:$R$34)</f>
        <v>-4.2541799215930283</v>
      </c>
      <c r="T34" s="20">
        <f>'TE BE'!$T$34*'TE BF'!$T$58</f>
        <v>0</v>
      </c>
      <c r="U34" s="20">
        <f>'TE BE'!$U$34*'TE BF'!$U$58</f>
        <v>0</v>
      </c>
      <c r="V34" s="20">
        <f>'TE BE'!$V$34*'TE BF'!$V$58</f>
        <v>0</v>
      </c>
      <c r="W34" s="20">
        <f>SUM($T$34:$V$34)</f>
        <v>0</v>
      </c>
      <c r="X34" s="20">
        <f>'TE BE'!$AB$34*'TE BF'!$X$58</f>
        <v>0</v>
      </c>
      <c r="Y34" s="20">
        <f>SUM($X$34:$X$34)</f>
        <v>0</v>
      </c>
      <c r="Z34" s="20">
        <f>'TE BE'!$Z$34*'TE BF'!$Z$58</f>
        <v>-6.0737879282617251E-2</v>
      </c>
      <c r="AA34" s="20">
        <f>SUM($Z$34:$Z$34)</f>
        <v>-6.0737879282617251E-2</v>
      </c>
      <c r="AB34" s="20">
        <f>SUMIF($L$4:$AA$4,"SUBTOTAL",$L$34:$AA$34)</f>
        <v>-3.3604641631859944</v>
      </c>
    </row>
    <row r="35" spans="1:28" ht="11.25" customHeight="1" x14ac:dyDescent="0.25">
      <c r="A35" s="118"/>
      <c r="B35" s="118"/>
      <c r="C35" s="118"/>
      <c r="D35" s="118"/>
      <c r="E35" s="118"/>
      <c r="F35" s="118"/>
      <c r="G35" s="23" t="s">
        <v>98</v>
      </c>
      <c r="H35" s="23" t="s">
        <v>82</v>
      </c>
      <c r="I35" s="23">
        <f>'MERCADO TE'!$U$32</f>
        <v>0</v>
      </c>
      <c r="J35" s="15"/>
      <c r="L35" s="20">
        <f>'TE BE'!$L$35*'TE BF'!$L$58</f>
        <v>0</v>
      </c>
      <c r="M35" s="20">
        <f>'TE BE'!$M$35*'TE BF'!$M$58</f>
        <v>0.76173421496989957</v>
      </c>
      <c r="N35" s="20">
        <f>'TE BE'!$N$35*'TE BF'!$N$58</f>
        <v>0</v>
      </c>
      <c r="O35" s="20">
        <f>'TE BE'!$O$35*'TE BF'!$O$58</f>
        <v>0.19271942271975198</v>
      </c>
      <c r="P35" s="20">
        <f>'TE BE'!$P$35*'TE BF'!$P$58</f>
        <v>0</v>
      </c>
      <c r="Q35" s="20">
        <f>SUM($L$35:$P$35)</f>
        <v>0.95445363768965152</v>
      </c>
      <c r="R35" s="20">
        <f>'TE BE'!$R$35*'TE BF'!$R$58</f>
        <v>-2.4733604195308301</v>
      </c>
      <c r="S35" s="20">
        <f>SUM($R$35:$R$35)</f>
        <v>-2.4733604195308301</v>
      </c>
      <c r="T35" s="20">
        <f>'TE BE'!$T$35*'TE BF'!$T$58</f>
        <v>0</v>
      </c>
      <c r="U35" s="20">
        <f>'TE BE'!$U$35*'TE BF'!$U$58</f>
        <v>0</v>
      </c>
      <c r="V35" s="20">
        <f>'TE BE'!$V$35*'TE BF'!$V$58</f>
        <v>0</v>
      </c>
      <c r="W35" s="20">
        <f>SUM($T$35:$V$35)</f>
        <v>0</v>
      </c>
      <c r="X35" s="20">
        <f>'TE BE'!$AB$35*'TE BF'!$X$58</f>
        <v>0</v>
      </c>
      <c r="Y35" s="20">
        <f>SUM($X$35:$X$35)</f>
        <v>0</v>
      </c>
      <c r="Z35" s="20">
        <f>'TE BE'!$Z$35*'TE BF'!$Z$58</f>
        <v>-6.0737879282617251E-2</v>
      </c>
      <c r="AA35" s="20">
        <f>SUM($Z$35:$Z$35)</f>
        <v>-6.0737879282617251E-2</v>
      </c>
      <c r="AB35" s="20">
        <f>SUMIF($L$4:$AA$4,"SUBTOTAL",$L$35:$AA$35)</f>
        <v>-1.5796446611237958</v>
      </c>
    </row>
    <row r="36" spans="1:28" ht="11.25" customHeight="1" x14ac:dyDescent="0.25">
      <c r="A36" s="118"/>
      <c r="B36" s="118"/>
      <c r="C36" s="118"/>
      <c r="D36" s="118"/>
      <c r="E36" s="118"/>
      <c r="F36" s="118"/>
      <c r="G36" s="23" t="s">
        <v>84</v>
      </c>
      <c r="H36" s="23" t="s">
        <v>82</v>
      </c>
      <c r="I36" s="23">
        <f>'MERCADO TE'!$U$33</f>
        <v>0</v>
      </c>
      <c r="J36" s="15"/>
      <c r="L36" s="20">
        <f>'TE BE'!$L$36*'TE BF'!$L$58</f>
        <v>0</v>
      </c>
      <c r="M36" s="20">
        <f>'TE BE'!$M$36*'TE BF'!$M$58</f>
        <v>0.76173421496989957</v>
      </c>
      <c r="N36" s="20">
        <f>'TE BE'!$N$36*'TE BF'!$N$58</f>
        <v>0</v>
      </c>
      <c r="O36" s="20">
        <f>'TE BE'!$O$36*'TE BF'!$O$58</f>
        <v>0.19271942271975198</v>
      </c>
      <c r="P36" s="20">
        <f>'TE BE'!$P$36*'TE BF'!$P$58</f>
        <v>0</v>
      </c>
      <c r="Q36" s="20">
        <f>SUM($L$36:$P$36)</f>
        <v>0.95445363768965152</v>
      </c>
      <c r="R36" s="20">
        <f>'TE BE'!$R$36*'TE BF'!$R$58</f>
        <v>-2.4733604195308301</v>
      </c>
      <c r="S36" s="20">
        <f>SUM($R$36:$R$36)</f>
        <v>-2.4733604195308301</v>
      </c>
      <c r="T36" s="20">
        <f>'TE BE'!$T$36*'TE BF'!$T$58</f>
        <v>0</v>
      </c>
      <c r="U36" s="20">
        <f>'TE BE'!$U$36*'TE BF'!$U$58</f>
        <v>0</v>
      </c>
      <c r="V36" s="20">
        <f>'TE BE'!$V$36*'TE BF'!$V$58</f>
        <v>0</v>
      </c>
      <c r="W36" s="20">
        <f>SUM($T$36:$V$36)</f>
        <v>0</v>
      </c>
      <c r="X36" s="20">
        <f>'TE BE'!$AB$36*'TE BF'!$X$58</f>
        <v>0</v>
      </c>
      <c r="Y36" s="20">
        <f>SUM($X$36:$X$36)</f>
        <v>0</v>
      </c>
      <c r="Z36" s="20">
        <f>'TE BE'!$Z$36*'TE BF'!$Z$58</f>
        <v>-6.0737879282617251E-2</v>
      </c>
      <c r="AA36" s="20">
        <f>SUM($Z$36:$Z$36)</f>
        <v>-6.0737879282617251E-2</v>
      </c>
      <c r="AB36" s="20">
        <f>SUMIF($L$4:$AA$4,"SUBTOTAL",$L$36:$AA$36)</f>
        <v>-1.5796446611237958</v>
      </c>
    </row>
    <row r="37" spans="1:28" ht="11.25" customHeight="1" x14ac:dyDescent="0.25">
      <c r="A37" s="118"/>
      <c r="B37" s="22" t="s">
        <v>90</v>
      </c>
      <c r="C37" s="22" t="s">
        <v>47</v>
      </c>
      <c r="D37" s="22" t="s">
        <v>101</v>
      </c>
      <c r="E37" s="22" t="s">
        <v>25</v>
      </c>
      <c r="F37" s="22" t="s">
        <v>25</v>
      </c>
      <c r="G37" s="23" t="s">
        <v>88</v>
      </c>
      <c r="H37" s="23" t="s">
        <v>82</v>
      </c>
      <c r="I37" s="23">
        <f>'MERCADO TE'!$U$34</f>
        <v>0</v>
      </c>
      <c r="J37" s="15"/>
      <c r="L37" s="20">
        <f>'TE BE'!$L$37*'TE BF'!$L$58</f>
        <v>0</v>
      </c>
      <c r="M37" s="20">
        <f>'TE BE'!$M$37*'TE BF'!$M$58</f>
        <v>0.76173421496989957</v>
      </c>
      <c r="N37" s="20">
        <f>'TE BE'!$N$37*'TE BF'!$N$58</f>
        <v>0</v>
      </c>
      <c r="O37" s="20">
        <f>'TE BE'!$O$37*'TE BF'!$O$58</f>
        <v>0.19271942271975198</v>
      </c>
      <c r="P37" s="20">
        <f>'TE BE'!$P$37*'TE BF'!$P$58</f>
        <v>0</v>
      </c>
      <c r="Q37" s="20">
        <f>SUM($L$37:$P$37)</f>
        <v>0.95445363768965152</v>
      </c>
      <c r="R37" s="20">
        <f>'TE BE'!$R$37*'TE BF'!$R$58</f>
        <v>-2.6217620447026802</v>
      </c>
      <c r="S37" s="20">
        <f>SUM($R$37:$R$37)</f>
        <v>-2.6217620447026802</v>
      </c>
      <c r="T37" s="20">
        <f>'TE BE'!$T$37*'TE BF'!$T$58</f>
        <v>0</v>
      </c>
      <c r="U37" s="20">
        <f>'TE BE'!$U$37*'TE BF'!$U$58</f>
        <v>0</v>
      </c>
      <c r="V37" s="20">
        <f>'TE BE'!$V$37*'TE BF'!$V$58</f>
        <v>0</v>
      </c>
      <c r="W37" s="20">
        <f>SUM($T$37:$V$37)</f>
        <v>0</v>
      </c>
      <c r="X37" s="20">
        <f>'TE BE'!$AB$37*'TE BF'!$X$58</f>
        <v>0</v>
      </c>
      <c r="Y37" s="20">
        <f>SUM($X$37:$X$37)</f>
        <v>0</v>
      </c>
      <c r="Z37" s="20">
        <f>'TE BE'!$Z$37*'TE BF'!$Z$58</f>
        <v>-6.0737879282617251E-2</v>
      </c>
      <c r="AA37" s="20">
        <f>SUM($Z$37:$Z$37)</f>
        <v>-6.0737879282617251E-2</v>
      </c>
      <c r="AB37" s="20">
        <f>SUMIF($L$4:$AA$4,"SUBTOTAL",$L$37:$AA$37)</f>
        <v>-1.7280462862956458</v>
      </c>
    </row>
    <row r="38" spans="1:28" ht="11.25" customHeight="1" x14ac:dyDescent="0.25">
      <c r="A38" s="118"/>
      <c r="B38" s="118" t="s">
        <v>81</v>
      </c>
      <c r="C38" s="118" t="s">
        <v>47</v>
      </c>
      <c r="D38" s="118" t="s">
        <v>102</v>
      </c>
      <c r="E38" s="118" t="s">
        <v>25</v>
      </c>
      <c r="F38" s="118" t="s">
        <v>25</v>
      </c>
      <c r="G38" s="23" t="s">
        <v>83</v>
      </c>
      <c r="H38" s="23" t="s">
        <v>82</v>
      </c>
      <c r="I38" s="23">
        <f>'MERCADO TE'!$U$35</f>
        <v>0</v>
      </c>
      <c r="J38" s="15"/>
      <c r="L38" s="20">
        <f>'TE BE'!$L$38*'TE BF'!$L$58</f>
        <v>0</v>
      </c>
      <c r="M38" s="20">
        <f>'TE BE'!$M$38*'TE BF'!$M$58</f>
        <v>0.76173421496989957</v>
      </c>
      <c r="N38" s="20">
        <f>'TE BE'!$N$38*'TE BF'!$N$58</f>
        <v>0</v>
      </c>
      <c r="O38" s="20">
        <f>'TE BE'!$O$38*'TE BF'!$O$58</f>
        <v>0.19271942271975198</v>
      </c>
      <c r="P38" s="20">
        <f>'TE BE'!$P$38*'TE BF'!$P$58</f>
        <v>0</v>
      </c>
      <c r="Q38" s="20">
        <f>SUM($L$38:$P$38)</f>
        <v>0.95445363768965152</v>
      </c>
      <c r="R38" s="20">
        <f>'TE BE'!$R$38*'TE BF'!$R$58</f>
        <v>-4.2541799215930283</v>
      </c>
      <c r="S38" s="20">
        <f>SUM($R$38:$R$38)</f>
        <v>-4.2541799215930283</v>
      </c>
      <c r="T38" s="20">
        <f>'TE BE'!$T$38*'TE BF'!$T$58</f>
        <v>0</v>
      </c>
      <c r="U38" s="20">
        <f>'TE BE'!$U$38*'TE BF'!$U$58</f>
        <v>0</v>
      </c>
      <c r="V38" s="20">
        <f>'TE BE'!$V$38*'TE BF'!$V$58</f>
        <v>0</v>
      </c>
      <c r="W38" s="20">
        <f>SUM($T$38:$V$38)</f>
        <v>0</v>
      </c>
      <c r="X38" s="20">
        <f>'TE BE'!$AB$38*'TE BF'!$X$58</f>
        <v>0</v>
      </c>
      <c r="Y38" s="20">
        <f>SUM($X$38:$X$38)</f>
        <v>0</v>
      </c>
      <c r="Z38" s="20">
        <f>'TE BE'!$Z$38*'TE BF'!$Z$58</f>
        <v>-6.0737879282617251E-2</v>
      </c>
      <c r="AA38" s="20">
        <f>SUM($Z$38:$Z$38)</f>
        <v>-6.0737879282617251E-2</v>
      </c>
      <c r="AB38" s="20">
        <f>SUMIF($L$4:$AA$4,"SUBTOTAL",$L$38:$AA$38)</f>
        <v>-3.3604641631859944</v>
      </c>
    </row>
    <row r="39" spans="1:28" ht="11.25" customHeight="1" x14ac:dyDescent="0.25">
      <c r="A39" s="118"/>
      <c r="B39" s="118"/>
      <c r="C39" s="118"/>
      <c r="D39" s="118"/>
      <c r="E39" s="118"/>
      <c r="F39" s="118"/>
      <c r="G39" s="23" t="s">
        <v>98</v>
      </c>
      <c r="H39" s="23" t="s">
        <v>82</v>
      </c>
      <c r="I39" s="23">
        <f>'MERCADO TE'!$U$36</f>
        <v>0</v>
      </c>
      <c r="J39" s="15"/>
      <c r="L39" s="20">
        <f>'TE BE'!$L$39*'TE BF'!$L$58</f>
        <v>0</v>
      </c>
      <c r="M39" s="20">
        <f>'TE BE'!$M$39*'TE BF'!$M$58</f>
        <v>0.76173421496989957</v>
      </c>
      <c r="N39" s="20">
        <f>'TE BE'!$N$39*'TE BF'!$N$58</f>
        <v>0</v>
      </c>
      <c r="O39" s="20">
        <f>'TE BE'!$O$39*'TE BF'!$O$58</f>
        <v>0.19271942271975198</v>
      </c>
      <c r="P39" s="20">
        <f>'TE BE'!$P$39*'TE BF'!$P$58</f>
        <v>0</v>
      </c>
      <c r="Q39" s="20">
        <f>SUM($L$39:$P$39)</f>
        <v>0.95445363768965152</v>
      </c>
      <c r="R39" s="20">
        <f>'TE BE'!$R$39*'TE BF'!$R$58</f>
        <v>-2.4733604195308301</v>
      </c>
      <c r="S39" s="20">
        <f>SUM($R$39:$R$39)</f>
        <v>-2.4733604195308301</v>
      </c>
      <c r="T39" s="20">
        <f>'TE BE'!$T$39*'TE BF'!$T$58</f>
        <v>0</v>
      </c>
      <c r="U39" s="20">
        <f>'TE BE'!$U$39*'TE BF'!$U$58</f>
        <v>0</v>
      </c>
      <c r="V39" s="20">
        <f>'TE BE'!$V$39*'TE BF'!$V$58</f>
        <v>0</v>
      </c>
      <c r="W39" s="20">
        <f>SUM($T$39:$V$39)</f>
        <v>0</v>
      </c>
      <c r="X39" s="20">
        <f>'TE BE'!$AB$39*'TE BF'!$X$58</f>
        <v>0</v>
      </c>
      <c r="Y39" s="20">
        <f>SUM($X$39:$X$39)</f>
        <v>0</v>
      </c>
      <c r="Z39" s="20">
        <f>'TE BE'!$Z$39*'TE BF'!$Z$58</f>
        <v>-6.0737879282617251E-2</v>
      </c>
      <c r="AA39" s="20">
        <f>SUM($Z$39:$Z$39)</f>
        <v>-6.0737879282617251E-2</v>
      </c>
      <c r="AB39" s="20">
        <f>SUMIF($L$4:$AA$4,"SUBTOTAL",$L$39:$AA$39)</f>
        <v>-1.5796446611237958</v>
      </c>
    </row>
    <row r="40" spans="1:28" ht="11.25" customHeight="1" x14ac:dyDescent="0.25">
      <c r="A40" s="118"/>
      <c r="B40" s="118"/>
      <c r="C40" s="118"/>
      <c r="D40" s="118"/>
      <c r="E40" s="118"/>
      <c r="F40" s="118"/>
      <c r="G40" s="23" t="s">
        <v>84</v>
      </c>
      <c r="H40" s="23" t="s">
        <v>82</v>
      </c>
      <c r="I40" s="23">
        <f>'MERCADO TE'!$U$37</f>
        <v>0</v>
      </c>
      <c r="J40" s="15"/>
      <c r="L40" s="20">
        <f>'TE BE'!$L$40*'TE BF'!$L$58</f>
        <v>0</v>
      </c>
      <c r="M40" s="20">
        <f>'TE BE'!$M$40*'TE BF'!$M$58</f>
        <v>0.76173421496989957</v>
      </c>
      <c r="N40" s="20">
        <f>'TE BE'!$N$40*'TE BF'!$N$58</f>
        <v>0</v>
      </c>
      <c r="O40" s="20">
        <f>'TE BE'!$O$40*'TE BF'!$O$58</f>
        <v>0.19271942271975198</v>
      </c>
      <c r="P40" s="20">
        <f>'TE BE'!$P$40*'TE BF'!$P$58</f>
        <v>0</v>
      </c>
      <c r="Q40" s="20">
        <f>SUM($L$40:$P$40)</f>
        <v>0.95445363768965152</v>
      </c>
      <c r="R40" s="20">
        <f>'TE BE'!$R$40*'TE BF'!$R$58</f>
        <v>-2.4733604195308301</v>
      </c>
      <c r="S40" s="20">
        <f>SUM($R$40:$R$40)</f>
        <v>-2.4733604195308301</v>
      </c>
      <c r="T40" s="20">
        <f>'TE BE'!$T$40*'TE BF'!$T$58</f>
        <v>0</v>
      </c>
      <c r="U40" s="20">
        <f>'TE BE'!$U$40*'TE BF'!$U$58</f>
        <v>0</v>
      </c>
      <c r="V40" s="20">
        <f>'TE BE'!$V$40*'TE BF'!$V$58</f>
        <v>0</v>
      </c>
      <c r="W40" s="20">
        <f>SUM($T$40:$V$40)</f>
        <v>0</v>
      </c>
      <c r="X40" s="20">
        <f>'TE BE'!$AB$40*'TE BF'!$X$58</f>
        <v>0</v>
      </c>
      <c r="Y40" s="20">
        <f>SUM($X$40:$X$40)</f>
        <v>0</v>
      </c>
      <c r="Z40" s="20">
        <f>'TE BE'!$Z$40*'TE BF'!$Z$58</f>
        <v>-6.0737879282617251E-2</v>
      </c>
      <c r="AA40" s="20">
        <f>SUM($Z$40:$Z$40)</f>
        <v>-6.0737879282617251E-2</v>
      </c>
      <c r="AB40" s="20">
        <f>SUMIF($L$4:$AA$4,"SUBTOTAL",$L$40:$AA$40)</f>
        <v>-1.5796446611237958</v>
      </c>
    </row>
    <row r="41" spans="1:28" ht="11.25" customHeight="1" x14ac:dyDescent="0.25">
      <c r="A41" s="118"/>
      <c r="B41" s="22" t="s">
        <v>90</v>
      </c>
      <c r="C41" s="22" t="s">
        <v>47</v>
      </c>
      <c r="D41" s="22" t="s">
        <v>102</v>
      </c>
      <c r="E41" s="22" t="s">
        <v>25</v>
      </c>
      <c r="F41" s="22" t="s">
        <v>25</v>
      </c>
      <c r="G41" s="23" t="s">
        <v>88</v>
      </c>
      <c r="H41" s="23" t="s">
        <v>82</v>
      </c>
      <c r="I41" s="23">
        <f>'MERCADO TE'!$U$38</f>
        <v>0</v>
      </c>
      <c r="J41" s="15"/>
      <c r="L41" s="20">
        <f>'TE BE'!$L$41*'TE BF'!$L$58</f>
        <v>0</v>
      </c>
      <c r="M41" s="20">
        <f>'TE BE'!$M$41*'TE BF'!$M$58</f>
        <v>0.76173421496989957</v>
      </c>
      <c r="N41" s="20">
        <f>'TE BE'!$N$41*'TE BF'!$N$58</f>
        <v>0</v>
      </c>
      <c r="O41" s="20">
        <f>'TE BE'!$O$41*'TE BF'!$O$58</f>
        <v>0.19271942271975198</v>
      </c>
      <c r="P41" s="20">
        <f>'TE BE'!$P$41*'TE BF'!$P$58</f>
        <v>0</v>
      </c>
      <c r="Q41" s="20">
        <f>SUM($L$41:$P$41)</f>
        <v>0.95445363768965152</v>
      </c>
      <c r="R41" s="20">
        <f>'TE BE'!$R$41*'TE BF'!$R$58</f>
        <v>-2.6217620447026802</v>
      </c>
      <c r="S41" s="20">
        <f>SUM($R$41:$R$41)</f>
        <v>-2.6217620447026802</v>
      </c>
      <c r="T41" s="20">
        <f>'TE BE'!$T$41*'TE BF'!$T$58</f>
        <v>0</v>
      </c>
      <c r="U41" s="20">
        <f>'TE BE'!$U$41*'TE BF'!$U$58</f>
        <v>0</v>
      </c>
      <c r="V41" s="20">
        <f>'TE BE'!$V$41*'TE BF'!$V$58</f>
        <v>0</v>
      </c>
      <c r="W41" s="20">
        <f>SUM($T$41:$V$41)</f>
        <v>0</v>
      </c>
      <c r="X41" s="20">
        <f>'TE BE'!$AB$41*'TE BF'!$X$58</f>
        <v>0</v>
      </c>
      <c r="Y41" s="20">
        <f>SUM($X$41:$X$41)</f>
        <v>0</v>
      </c>
      <c r="Z41" s="20">
        <f>'TE BE'!$Z$41*'TE BF'!$Z$58</f>
        <v>-6.0737879282617251E-2</v>
      </c>
      <c r="AA41" s="20">
        <f>SUM($Z$41:$Z$41)</f>
        <v>-6.0737879282617251E-2</v>
      </c>
      <c r="AB41" s="20">
        <f>SUMIF($L$4:$AA$4,"SUBTOTAL",$L$41:$AA$41)</f>
        <v>-1.7280462862956458</v>
      </c>
    </row>
    <row r="42" spans="1:28" ht="11.25" customHeight="1" x14ac:dyDescent="0.25">
      <c r="A42" s="118"/>
      <c r="B42" s="118" t="s">
        <v>99</v>
      </c>
      <c r="C42" s="118" t="s">
        <v>47</v>
      </c>
      <c r="D42" s="22" t="s">
        <v>25</v>
      </c>
      <c r="E42" s="22" t="s">
        <v>25</v>
      </c>
      <c r="F42" s="22" t="s">
        <v>25</v>
      </c>
      <c r="G42" s="23" t="s">
        <v>88</v>
      </c>
      <c r="H42" s="23" t="s">
        <v>82</v>
      </c>
      <c r="I42" s="23">
        <f>'MERCADO TE'!$U$39</f>
        <v>0</v>
      </c>
      <c r="J42" s="15"/>
      <c r="L42" s="20">
        <f>'TE BE'!$L$42*'TE BF'!$L$58</f>
        <v>0</v>
      </c>
      <c r="M42" s="20">
        <f>'TE BE'!$M$42*'TE BF'!$M$58</f>
        <v>0.76173421496989957</v>
      </c>
      <c r="N42" s="20">
        <f>'TE BE'!$N$42*'TE BF'!$N$58</f>
        <v>0</v>
      </c>
      <c r="O42" s="20">
        <f>'TE BE'!$O$42*'TE BF'!$O$58</f>
        <v>0.19271942271975198</v>
      </c>
      <c r="P42" s="20">
        <f>'TE BE'!$P$42*'TE BF'!$P$58</f>
        <v>0</v>
      </c>
      <c r="Q42" s="20">
        <f>SUM($L$42:$P$42)</f>
        <v>0.95445363768965152</v>
      </c>
      <c r="R42" s="20">
        <f>'TE BE'!$R$42*'TE BF'!$R$58</f>
        <v>-2.6217620447026802</v>
      </c>
      <c r="S42" s="20">
        <f>SUM($R$42:$R$42)</f>
        <v>-2.6217620447026802</v>
      </c>
      <c r="T42" s="20">
        <f>'TE BE'!$T$42*'TE BF'!$T$58</f>
        <v>0</v>
      </c>
      <c r="U42" s="20">
        <f>'TE BE'!$U$42*'TE BF'!$U$58</f>
        <v>0</v>
      </c>
      <c r="V42" s="20">
        <f>'TE BE'!$V$42*'TE BF'!$V$58</f>
        <v>0</v>
      </c>
      <c r="W42" s="20">
        <f>SUM($T$42:$V$42)</f>
        <v>0</v>
      </c>
      <c r="X42" s="20">
        <f>'TE BE'!$AB$42*'TE BF'!$X$58</f>
        <v>0</v>
      </c>
      <c r="Y42" s="20">
        <f>SUM($X$42:$X$42)</f>
        <v>0</v>
      </c>
      <c r="Z42" s="20">
        <f>'TE BE'!$Z$42*'TE BF'!$Z$58</f>
        <v>-6.0737879282617251E-2</v>
      </c>
      <c r="AA42" s="20">
        <f>SUM($Z$42:$Z$42)</f>
        <v>-6.0737879282617251E-2</v>
      </c>
      <c r="AB42" s="20">
        <f>SUMIF($L$4:$AA$4,"SUBTOTAL",$L$42:$AA$42)</f>
        <v>-1.7280462862956458</v>
      </c>
    </row>
    <row r="43" spans="1:28" ht="11.25" customHeight="1" x14ac:dyDescent="0.25">
      <c r="A43" s="118"/>
      <c r="B43" s="118"/>
      <c r="C43" s="118"/>
      <c r="D43" s="22" t="s">
        <v>101</v>
      </c>
      <c r="E43" s="22" t="s">
        <v>25</v>
      </c>
      <c r="F43" s="22" t="s">
        <v>25</v>
      </c>
      <c r="G43" s="23" t="s">
        <v>88</v>
      </c>
      <c r="H43" s="23" t="s">
        <v>82</v>
      </c>
      <c r="I43" s="23">
        <f>'MERCADO TE'!$U$40</f>
        <v>0</v>
      </c>
      <c r="J43" s="15"/>
      <c r="L43" s="20">
        <f>'TE BE'!$L$43*'TE BF'!$L$58</f>
        <v>0</v>
      </c>
      <c r="M43" s="20">
        <f>'TE BE'!$M$43*'TE BF'!$M$58</f>
        <v>0.76173421496989957</v>
      </c>
      <c r="N43" s="20">
        <f>'TE BE'!$N$43*'TE BF'!$N$58</f>
        <v>0</v>
      </c>
      <c r="O43" s="20">
        <f>'TE BE'!$O$43*'TE BF'!$O$58</f>
        <v>0.19271942271975198</v>
      </c>
      <c r="P43" s="20">
        <f>'TE BE'!$P$43*'TE BF'!$P$58</f>
        <v>0</v>
      </c>
      <c r="Q43" s="20">
        <f>SUM($L$43:$P$43)</f>
        <v>0.95445363768965152</v>
      </c>
      <c r="R43" s="20">
        <f>'TE BE'!$R$43*'TE BF'!$R$58</f>
        <v>-2.6217620447026802</v>
      </c>
      <c r="S43" s="20">
        <f>SUM($R$43:$R$43)</f>
        <v>-2.6217620447026802</v>
      </c>
      <c r="T43" s="20">
        <f>'TE BE'!$T$43*'TE BF'!$T$58</f>
        <v>0</v>
      </c>
      <c r="U43" s="20">
        <f>'TE BE'!$U$43*'TE BF'!$U$58</f>
        <v>0</v>
      </c>
      <c r="V43" s="20">
        <f>'TE BE'!$V$43*'TE BF'!$V$58</f>
        <v>0</v>
      </c>
      <c r="W43" s="20">
        <f>SUM($T$43:$V$43)</f>
        <v>0</v>
      </c>
      <c r="X43" s="20">
        <f>'TE BE'!$AB$43*'TE BF'!$X$58</f>
        <v>0</v>
      </c>
      <c r="Y43" s="20">
        <f>SUM($X$43:$X$43)</f>
        <v>0</v>
      </c>
      <c r="Z43" s="20">
        <f>'TE BE'!$Z$43*'TE BF'!$Z$58</f>
        <v>-6.0737879282617251E-2</v>
      </c>
      <c r="AA43" s="20">
        <f>SUM($Z$43:$Z$43)</f>
        <v>-6.0737879282617251E-2</v>
      </c>
      <c r="AB43" s="20">
        <f>SUMIF($L$4:$AA$4,"SUBTOTAL",$L$43:$AA$43)</f>
        <v>-1.7280462862956458</v>
      </c>
    </row>
    <row r="44" spans="1:28" ht="11.25" customHeight="1" x14ac:dyDescent="0.25">
      <c r="A44" s="118"/>
      <c r="B44" s="118"/>
      <c r="C44" s="118"/>
      <c r="D44" s="22" t="s">
        <v>102</v>
      </c>
      <c r="E44" s="22" t="s">
        <v>25</v>
      </c>
      <c r="F44" s="22" t="s">
        <v>25</v>
      </c>
      <c r="G44" s="23" t="s">
        <v>88</v>
      </c>
      <c r="H44" s="23" t="s">
        <v>82</v>
      </c>
      <c r="I44" s="23">
        <f>'MERCADO TE'!$U$41</f>
        <v>0</v>
      </c>
      <c r="J44" s="15"/>
      <c r="L44" s="20">
        <f>'TE BE'!$L$44*'TE BF'!$L$58</f>
        <v>0</v>
      </c>
      <c r="M44" s="20">
        <f>'TE BE'!$M$44*'TE BF'!$M$58</f>
        <v>0.76173421496989957</v>
      </c>
      <c r="N44" s="20">
        <f>'TE BE'!$N$44*'TE BF'!$N$58</f>
        <v>0</v>
      </c>
      <c r="O44" s="20">
        <f>'TE BE'!$O$44*'TE BF'!$O$58</f>
        <v>0.19271942271975198</v>
      </c>
      <c r="P44" s="20">
        <f>'TE BE'!$P$44*'TE BF'!$P$58</f>
        <v>0</v>
      </c>
      <c r="Q44" s="20">
        <f>SUM($L$44:$P$44)</f>
        <v>0.95445363768965152</v>
      </c>
      <c r="R44" s="20">
        <f>'TE BE'!$R$44*'TE BF'!$R$58</f>
        <v>-2.6217620447026802</v>
      </c>
      <c r="S44" s="20">
        <f>SUM($R$44:$R$44)</f>
        <v>-2.6217620447026802</v>
      </c>
      <c r="T44" s="20">
        <f>'TE BE'!$T$44*'TE BF'!$T$58</f>
        <v>0</v>
      </c>
      <c r="U44" s="20">
        <f>'TE BE'!$U$44*'TE BF'!$U$58</f>
        <v>0</v>
      </c>
      <c r="V44" s="20">
        <f>'TE BE'!$V$44*'TE BF'!$V$58</f>
        <v>0</v>
      </c>
      <c r="W44" s="20">
        <f>SUM($T$44:$V$44)</f>
        <v>0</v>
      </c>
      <c r="X44" s="20">
        <f>'TE BE'!$AB$44*'TE BF'!$X$58</f>
        <v>0</v>
      </c>
      <c r="Y44" s="20">
        <f>SUM($X$44:$X$44)</f>
        <v>0</v>
      </c>
      <c r="Z44" s="20">
        <f>'TE BE'!$Z$44*'TE BF'!$Z$58</f>
        <v>-6.0737879282617251E-2</v>
      </c>
      <c r="AA44" s="20">
        <f>SUM($Z$44:$Z$44)</f>
        <v>-6.0737879282617251E-2</v>
      </c>
      <c r="AB44" s="20">
        <f>SUMIF($L$4:$AA$4,"SUBTOTAL",$L$44:$AA$44)</f>
        <v>-1.7280462862956458</v>
      </c>
    </row>
    <row r="45" spans="1:28" ht="11.25" customHeight="1" x14ac:dyDescent="0.25">
      <c r="A45" s="118" t="s">
        <v>39</v>
      </c>
      <c r="B45" s="118" t="s">
        <v>81</v>
      </c>
      <c r="C45" s="118" t="s">
        <v>25</v>
      </c>
      <c r="D45" s="118" t="s">
        <v>25</v>
      </c>
      <c r="E45" s="118" t="s">
        <v>25</v>
      </c>
      <c r="F45" s="118" t="s">
        <v>25</v>
      </c>
      <c r="G45" s="23" t="s">
        <v>83</v>
      </c>
      <c r="H45" s="23" t="s">
        <v>82</v>
      </c>
      <c r="I45" s="23">
        <f>'MERCADO TE'!$U$42</f>
        <v>79.968999999999994</v>
      </c>
      <c r="J45" s="15"/>
      <c r="L45" s="20">
        <f>'TE BE'!$L$45*'TE BF'!$L$58</f>
        <v>0</v>
      </c>
      <c r="M45" s="20">
        <f>'TE BE'!$M$45*'TE BF'!$M$58</f>
        <v>0.76173421496989957</v>
      </c>
      <c r="N45" s="20">
        <f>'TE BE'!$N$45*'TE BF'!$N$58</f>
        <v>0</v>
      </c>
      <c r="O45" s="20">
        <f>'TE BE'!$O$45*'TE BF'!$O$58</f>
        <v>0.19271942271975198</v>
      </c>
      <c r="P45" s="20">
        <f>'TE BE'!$P$45*'TE BF'!$P$58</f>
        <v>0</v>
      </c>
      <c r="Q45" s="20">
        <f>SUM($L$45:$P$45)</f>
        <v>0.95445363768965152</v>
      </c>
      <c r="R45" s="20">
        <f>'TE BE'!$R$45*'TE BF'!$R$58</f>
        <v>-4.2541799215930283</v>
      </c>
      <c r="S45" s="20">
        <f>SUM($R$45:$R$45)</f>
        <v>-4.2541799215930283</v>
      </c>
      <c r="T45" s="20">
        <f>'TE BE'!$T$45*'TE BF'!$T$58</f>
        <v>0</v>
      </c>
      <c r="U45" s="20">
        <f>'TE BE'!$U$45*'TE BF'!$U$58</f>
        <v>0</v>
      </c>
      <c r="V45" s="20">
        <f>'TE BE'!$V$45*'TE BF'!$V$58</f>
        <v>0</v>
      </c>
      <c r="W45" s="20">
        <f>SUM($T$45:$V$45)</f>
        <v>0</v>
      </c>
      <c r="X45" s="20">
        <f>'TE BE'!$AB$45*'TE BF'!$X$58</f>
        <v>0</v>
      </c>
      <c r="Y45" s="20">
        <f>SUM($X$45:$X$45)</f>
        <v>0</v>
      </c>
      <c r="Z45" s="20">
        <f>'TE BE'!$Z$45*'TE BF'!$Z$58</f>
        <v>-6.0737879282617251E-2</v>
      </c>
      <c r="AA45" s="20">
        <f>SUM($Z$45:$Z$45)</f>
        <v>-6.0737879282617251E-2</v>
      </c>
      <c r="AB45" s="20">
        <f>SUMIF($L$4:$AA$4,"SUBTOTAL",$L$45:$AA$45)</f>
        <v>-3.3604641631859944</v>
      </c>
    </row>
    <row r="46" spans="1:28" ht="11.25" customHeight="1" x14ac:dyDescent="0.25">
      <c r="A46" s="118"/>
      <c r="B46" s="118"/>
      <c r="C46" s="118"/>
      <c r="D46" s="118"/>
      <c r="E46" s="118"/>
      <c r="F46" s="118"/>
      <c r="G46" s="23" t="s">
        <v>98</v>
      </c>
      <c r="H46" s="23" t="s">
        <v>82</v>
      </c>
      <c r="I46" s="23">
        <f>'MERCADO TE'!$U$43</f>
        <v>41.695999999999998</v>
      </c>
      <c r="J46" s="15"/>
      <c r="L46" s="20">
        <f>'TE BE'!$L$46*'TE BF'!$L$58</f>
        <v>0</v>
      </c>
      <c r="M46" s="20">
        <f>'TE BE'!$M$46*'TE BF'!$M$58</f>
        <v>0.76173421496989957</v>
      </c>
      <c r="N46" s="20">
        <f>'TE BE'!$N$46*'TE BF'!$N$58</f>
        <v>0</v>
      </c>
      <c r="O46" s="20">
        <f>'TE BE'!$O$46*'TE BF'!$O$58</f>
        <v>0.19271942271975198</v>
      </c>
      <c r="P46" s="20">
        <f>'TE BE'!$P$46*'TE BF'!$P$58</f>
        <v>0</v>
      </c>
      <c r="Q46" s="20">
        <f>SUM($L$46:$P$46)</f>
        <v>0.95445363768965152</v>
      </c>
      <c r="R46" s="20">
        <f>'TE BE'!$R$46*'TE BF'!$R$58</f>
        <v>-2.4733604195308301</v>
      </c>
      <c r="S46" s="20">
        <f>SUM($R$46:$R$46)</f>
        <v>-2.4733604195308301</v>
      </c>
      <c r="T46" s="20">
        <f>'TE BE'!$T$46*'TE BF'!$T$58</f>
        <v>0</v>
      </c>
      <c r="U46" s="20">
        <f>'TE BE'!$U$46*'TE BF'!$U$58</f>
        <v>0</v>
      </c>
      <c r="V46" s="20">
        <f>'TE BE'!$V$46*'TE BF'!$V$58</f>
        <v>0</v>
      </c>
      <c r="W46" s="20">
        <f>SUM($T$46:$V$46)</f>
        <v>0</v>
      </c>
      <c r="X46" s="20">
        <f>'TE BE'!$AB$46*'TE BF'!$X$58</f>
        <v>0</v>
      </c>
      <c r="Y46" s="20">
        <f>SUM($X$46:$X$46)</f>
        <v>0</v>
      </c>
      <c r="Z46" s="20">
        <f>'TE BE'!$Z$46*'TE BF'!$Z$58</f>
        <v>-6.0737879282617251E-2</v>
      </c>
      <c r="AA46" s="20">
        <f>SUM($Z$46:$Z$46)</f>
        <v>-6.0737879282617251E-2</v>
      </c>
      <c r="AB46" s="20">
        <f>SUMIF($L$4:$AA$4,"SUBTOTAL",$L$46:$AA$46)</f>
        <v>-1.5796446611237958</v>
      </c>
    </row>
    <row r="47" spans="1:28" ht="11.25" customHeight="1" x14ac:dyDescent="0.25">
      <c r="A47" s="118"/>
      <c r="B47" s="118"/>
      <c r="C47" s="118"/>
      <c r="D47" s="118"/>
      <c r="E47" s="118"/>
      <c r="F47" s="118"/>
      <c r="G47" s="23" t="s">
        <v>84</v>
      </c>
      <c r="H47" s="23" t="s">
        <v>82</v>
      </c>
      <c r="I47" s="23">
        <f>'MERCADO TE'!$U$44</f>
        <v>1338.2650000000001</v>
      </c>
      <c r="J47" s="15"/>
      <c r="L47" s="20">
        <f>'TE BE'!$L$47*'TE BF'!$L$58</f>
        <v>0</v>
      </c>
      <c r="M47" s="20">
        <f>'TE BE'!$M$47*'TE BF'!$M$58</f>
        <v>0.76173421496989957</v>
      </c>
      <c r="N47" s="20">
        <f>'TE BE'!$N$47*'TE BF'!$N$58</f>
        <v>0</v>
      </c>
      <c r="O47" s="20">
        <f>'TE BE'!$O$47*'TE BF'!$O$58</f>
        <v>0.19271942271975198</v>
      </c>
      <c r="P47" s="20">
        <f>'TE BE'!$P$47*'TE BF'!$P$58</f>
        <v>0</v>
      </c>
      <c r="Q47" s="20">
        <f>SUM($L$47:$P$47)</f>
        <v>0.95445363768965152</v>
      </c>
      <c r="R47" s="20">
        <f>'TE BE'!$R$47*'TE BF'!$R$58</f>
        <v>-2.4733604195308301</v>
      </c>
      <c r="S47" s="20">
        <f>SUM($R$47:$R$47)</f>
        <v>-2.4733604195308301</v>
      </c>
      <c r="T47" s="20">
        <f>'TE BE'!$T$47*'TE BF'!$T$58</f>
        <v>0</v>
      </c>
      <c r="U47" s="20">
        <f>'TE BE'!$U$47*'TE BF'!$U$58</f>
        <v>0</v>
      </c>
      <c r="V47" s="20">
        <f>'TE BE'!$V$47*'TE BF'!$V$58</f>
        <v>0</v>
      </c>
      <c r="W47" s="20">
        <f>SUM($T$47:$V$47)</f>
        <v>0</v>
      </c>
      <c r="X47" s="20">
        <f>'TE BE'!$AB$47*'TE BF'!$X$58</f>
        <v>0</v>
      </c>
      <c r="Y47" s="20">
        <f>SUM($X$47:$X$47)</f>
        <v>0</v>
      </c>
      <c r="Z47" s="20">
        <f>'TE BE'!$Z$47*'TE BF'!$Z$58</f>
        <v>-6.0737879282617251E-2</v>
      </c>
      <c r="AA47" s="20">
        <f>SUM($Z$47:$Z$47)</f>
        <v>-6.0737879282617251E-2</v>
      </c>
      <c r="AB47" s="20">
        <f>SUMIF($L$4:$AA$4,"SUBTOTAL",$L$47:$AA$47)</f>
        <v>-1.5796446611237958</v>
      </c>
    </row>
    <row r="48" spans="1:28" ht="11.25" customHeight="1" x14ac:dyDescent="0.25">
      <c r="A48" s="118"/>
      <c r="B48" s="22" t="s">
        <v>90</v>
      </c>
      <c r="C48" s="22" t="s">
        <v>25</v>
      </c>
      <c r="D48" s="22" t="s">
        <v>25</v>
      </c>
      <c r="E48" s="22" t="s">
        <v>25</v>
      </c>
      <c r="F48" s="22" t="s">
        <v>25</v>
      </c>
      <c r="G48" s="23" t="s">
        <v>88</v>
      </c>
      <c r="H48" s="23" t="s">
        <v>82</v>
      </c>
      <c r="I48" s="23">
        <f>'MERCADO TE'!$U$45</f>
        <v>209665.67300000001</v>
      </c>
      <c r="J48" s="15"/>
      <c r="L48" s="20">
        <f>'TE BE'!$L$48*'TE BF'!$L$58</f>
        <v>0</v>
      </c>
      <c r="M48" s="20">
        <f>'TE BE'!$M$48*'TE BF'!$M$58</f>
        <v>0.76173421496989957</v>
      </c>
      <c r="N48" s="20">
        <f>'TE BE'!$N$48*'TE BF'!$N$58</f>
        <v>0</v>
      </c>
      <c r="O48" s="20">
        <f>'TE BE'!$O$48*'TE BF'!$O$58</f>
        <v>0.19271942271975198</v>
      </c>
      <c r="P48" s="20">
        <f>'TE BE'!$P$48*'TE BF'!$P$58</f>
        <v>0</v>
      </c>
      <c r="Q48" s="20">
        <f>SUM($L$48:$P$48)</f>
        <v>0.95445363768965152</v>
      </c>
      <c r="R48" s="20">
        <f>'TE BE'!$R$48*'TE BF'!$R$58</f>
        <v>-2.6217620447026802</v>
      </c>
      <c r="S48" s="20">
        <f>SUM($R$48:$R$48)</f>
        <v>-2.6217620447026802</v>
      </c>
      <c r="T48" s="20">
        <f>'TE BE'!$T$48*'TE BF'!$T$58</f>
        <v>0</v>
      </c>
      <c r="U48" s="20">
        <f>'TE BE'!$U$48*'TE BF'!$U$58</f>
        <v>0</v>
      </c>
      <c r="V48" s="20">
        <f>'TE BE'!$V$48*'TE BF'!$V$58</f>
        <v>0</v>
      </c>
      <c r="W48" s="20">
        <f>SUM($T$48:$V$48)</f>
        <v>0</v>
      </c>
      <c r="X48" s="20">
        <f>'TE BE'!$AB$48*'TE BF'!$X$58</f>
        <v>0</v>
      </c>
      <c r="Y48" s="20">
        <f>SUM($X$48:$X$48)</f>
        <v>0</v>
      </c>
      <c r="Z48" s="20">
        <f>'TE BE'!$Z$48*'TE BF'!$Z$58</f>
        <v>-6.0737879282617251E-2</v>
      </c>
      <c r="AA48" s="20">
        <f>SUM($Z$48:$Z$48)</f>
        <v>-6.0737879282617251E-2</v>
      </c>
      <c r="AB48" s="20">
        <f>SUMIF($L$4:$AA$4,"SUBTOTAL",$L$48:$AA$48)</f>
        <v>-1.7280462862956458</v>
      </c>
    </row>
    <row r="49" spans="1:28" ht="11.25" customHeight="1" x14ac:dyDescent="0.25">
      <c r="A49" s="118"/>
      <c r="B49" s="22" t="s">
        <v>99</v>
      </c>
      <c r="C49" s="22" t="s">
        <v>25</v>
      </c>
      <c r="D49" s="22" t="s">
        <v>25</v>
      </c>
      <c r="E49" s="22" t="s">
        <v>25</v>
      </c>
      <c r="F49" s="22" t="s">
        <v>25</v>
      </c>
      <c r="G49" s="23" t="s">
        <v>88</v>
      </c>
      <c r="H49" s="23" t="s">
        <v>82</v>
      </c>
      <c r="I49" s="23">
        <f>'MERCADO TE'!$U$46</f>
        <v>0</v>
      </c>
      <c r="J49" s="15"/>
      <c r="L49" s="20">
        <f>'TE BE'!$L$49*'TE BF'!$L$58</f>
        <v>0</v>
      </c>
      <c r="M49" s="20">
        <f>'TE BE'!$M$49*'TE BF'!$M$58</f>
        <v>0.76173421496989957</v>
      </c>
      <c r="N49" s="20">
        <f>'TE BE'!$N$49*'TE BF'!$N$58</f>
        <v>0</v>
      </c>
      <c r="O49" s="20">
        <f>'TE BE'!$O$49*'TE BF'!$O$58</f>
        <v>0.19271942271975198</v>
      </c>
      <c r="P49" s="20">
        <f>'TE BE'!$P$49*'TE BF'!$P$58</f>
        <v>0</v>
      </c>
      <c r="Q49" s="20">
        <f>SUM($L$49:$P$49)</f>
        <v>0.95445363768965152</v>
      </c>
      <c r="R49" s="20">
        <f>'TE BE'!$R$49*'TE BF'!$R$58</f>
        <v>-2.6217620447026802</v>
      </c>
      <c r="S49" s="20">
        <f>SUM($R$49:$R$49)</f>
        <v>-2.6217620447026802</v>
      </c>
      <c r="T49" s="20">
        <f>'TE BE'!$T$49*'TE BF'!$T$58</f>
        <v>0</v>
      </c>
      <c r="U49" s="20">
        <f>'TE BE'!$U$49*'TE BF'!$U$58</f>
        <v>0</v>
      </c>
      <c r="V49" s="20">
        <f>'TE BE'!$V$49*'TE BF'!$V$58</f>
        <v>0</v>
      </c>
      <c r="W49" s="20">
        <f>SUM($T$49:$V$49)</f>
        <v>0</v>
      </c>
      <c r="X49" s="20">
        <f>'TE BE'!$AB$49*'TE BF'!$X$58</f>
        <v>0</v>
      </c>
      <c r="Y49" s="20">
        <f>SUM($X$49:$X$49)</f>
        <v>0</v>
      </c>
      <c r="Z49" s="20">
        <f>'TE BE'!$Z$49*'TE BF'!$Z$58</f>
        <v>-6.0737879282617251E-2</v>
      </c>
      <c r="AA49" s="20">
        <f>SUM($Z$49:$Z$49)</f>
        <v>-6.0737879282617251E-2</v>
      </c>
      <c r="AB49" s="20">
        <f>SUMIF($L$4:$AA$4,"SUBTOTAL",$L$49:$AA$49)</f>
        <v>-1.7280462862956458</v>
      </c>
    </row>
    <row r="50" spans="1:28" ht="11.25" customHeight="1" x14ac:dyDescent="0.25">
      <c r="A50" s="118" t="s">
        <v>49</v>
      </c>
      <c r="B50" s="118" t="s">
        <v>90</v>
      </c>
      <c r="C50" s="118" t="s">
        <v>50</v>
      </c>
      <c r="D50" s="22" t="s">
        <v>51</v>
      </c>
      <c r="E50" s="22" t="s">
        <v>25</v>
      </c>
      <c r="F50" s="22" t="s">
        <v>25</v>
      </c>
      <c r="G50" s="23" t="s">
        <v>88</v>
      </c>
      <c r="H50" s="23" t="s">
        <v>82</v>
      </c>
      <c r="I50" s="23">
        <f>'MERCADO TE'!$U$47</f>
        <v>49365.182000000001</v>
      </c>
      <c r="J50" s="15"/>
      <c r="L50" s="20">
        <f>'TE BE'!$L$50*'TE BF'!$L$58</f>
        <v>0</v>
      </c>
      <c r="M50" s="20">
        <f>'TE BE'!$M$50*'TE BF'!$M$58</f>
        <v>0.41895381823344485</v>
      </c>
      <c r="N50" s="20">
        <f>'TE BE'!$N$50*'TE BF'!$N$58</f>
        <v>0</v>
      </c>
      <c r="O50" s="20">
        <f>'TE BE'!$O$50*'TE BF'!$O$58</f>
        <v>0.10599568249586359</v>
      </c>
      <c r="P50" s="20">
        <f>'TE BE'!$P$50*'TE BF'!$P$58</f>
        <v>0</v>
      </c>
      <c r="Q50" s="20">
        <f>SUM($L$50:$P$50)</f>
        <v>0.52494950072930846</v>
      </c>
      <c r="R50" s="20">
        <f>'TE BE'!$R$50*'TE BF'!$R$58</f>
        <v>-1.4419691245864743</v>
      </c>
      <c r="S50" s="20">
        <f>SUM($R$50:$R$50)</f>
        <v>-1.4419691245864743</v>
      </c>
      <c r="T50" s="20">
        <f>'TE BE'!$T$50*'TE BF'!$T$58</f>
        <v>0</v>
      </c>
      <c r="U50" s="20">
        <f>'TE BE'!$U$50*'TE BF'!$U$58</f>
        <v>0</v>
      </c>
      <c r="V50" s="20">
        <f>'TE BE'!$V$50*'TE BF'!$V$58</f>
        <v>0</v>
      </c>
      <c r="W50" s="20">
        <f>SUM($T$50:$V$50)</f>
        <v>0</v>
      </c>
      <c r="X50" s="20">
        <f>'TE BE'!$AB$50*'TE BF'!$X$58</f>
        <v>0</v>
      </c>
      <c r="Y50" s="20">
        <f>SUM($X$50:$X$50)</f>
        <v>0</v>
      </c>
      <c r="Z50" s="20">
        <f>'TE BE'!$Z$50*'TE BF'!$Z$58</f>
        <v>-3.3405833605439486E-2</v>
      </c>
      <c r="AA50" s="20">
        <f>SUM($Z$50:$Z$50)</f>
        <v>-3.3405833605439486E-2</v>
      </c>
      <c r="AB50" s="20">
        <f>SUMIF($L$4:$AA$4,"SUBTOTAL",$L$50:$AA$50)</f>
        <v>-0.95042545746260532</v>
      </c>
    </row>
    <row r="51" spans="1:28" ht="11.25" customHeight="1" x14ac:dyDescent="0.25">
      <c r="A51" s="118"/>
      <c r="B51" s="118"/>
      <c r="C51" s="118"/>
      <c r="D51" s="23" t="s">
        <v>103</v>
      </c>
      <c r="E51" s="23" t="s">
        <v>25</v>
      </c>
      <c r="F51" s="23" t="s">
        <v>25</v>
      </c>
      <c r="G51" s="23" t="s">
        <v>88</v>
      </c>
      <c r="H51" s="23" t="s">
        <v>82</v>
      </c>
      <c r="I51" s="23">
        <f>'MERCADO TE'!$U$48</f>
        <v>0</v>
      </c>
      <c r="J51" s="15"/>
      <c r="L51" s="20">
        <f>'TE BE'!$L$51*'TE BF'!$L$58</f>
        <v>0</v>
      </c>
      <c r="M51" s="20">
        <f>'TE BE'!$M$51*'TE BF'!$M$58</f>
        <v>0.45704052898193975</v>
      </c>
      <c r="N51" s="20">
        <f>'TE BE'!$N$51*'TE BF'!$N$58</f>
        <v>0</v>
      </c>
      <c r="O51" s="20">
        <f>'TE BE'!$O$51*'TE BF'!$O$58</f>
        <v>0.11563165363185118</v>
      </c>
      <c r="P51" s="20">
        <f>'TE BE'!$P$51*'TE BF'!$P$58</f>
        <v>0</v>
      </c>
      <c r="Q51" s="20">
        <f>SUM($L$51:$P$51)</f>
        <v>0.57267218261379094</v>
      </c>
      <c r="R51" s="20">
        <f>'TE BE'!$R$51*'TE BF'!$R$58</f>
        <v>-1.5730572268216081</v>
      </c>
      <c r="S51" s="20">
        <f>SUM($R$51:$R$51)</f>
        <v>-1.5730572268216081</v>
      </c>
      <c r="T51" s="20">
        <f>'TE BE'!$T$51*'TE BF'!$T$58</f>
        <v>0</v>
      </c>
      <c r="U51" s="20">
        <f>'TE BE'!$U$51*'TE BF'!$U$58</f>
        <v>0</v>
      </c>
      <c r="V51" s="20">
        <f>'TE BE'!$V$51*'TE BF'!$V$58</f>
        <v>0</v>
      </c>
      <c r="W51" s="20">
        <f>SUM($T$51:$V$51)</f>
        <v>0</v>
      </c>
      <c r="X51" s="20">
        <f>'TE BE'!$AB$51*'TE BF'!$X$58</f>
        <v>0</v>
      </c>
      <c r="Y51" s="20">
        <f>SUM($X$51:$X$51)</f>
        <v>0</v>
      </c>
      <c r="Z51" s="20">
        <f>'TE BE'!$Z$51*'TE BF'!$Z$58</f>
        <v>-3.644272756957035E-2</v>
      </c>
      <c r="AA51" s="20">
        <f>SUM($Z$51:$Z$51)</f>
        <v>-3.644272756957035E-2</v>
      </c>
      <c r="AB51" s="20">
        <f>SUMIF($L$4:$AA$4,"SUBTOTAL",$L$51:$AA$51)</f>
        <v>-1.0368277717773875</v>
      </c>
    </row>
    <row r="53" spans="1:28" ht="11.25" customHeight="1" x14ac:dyDescent="0.25">
      <c r="K53" s="25" t="s">
        <v>857</v>
      </c>
      <c r="L53" s="20">
        <f t="shared" ref="L53:AB53" si="0">SUMPRODUCT($I$5:$I$51,L$5:L$51)</f>
        <v>0</v>
      </c>
      <c r="M53" s="20">
        <f t="shared" si="0"/>
        <v>806865.14749999996</v>
      </c>
      <c r="N53" s="20">
        <f t="shared" si="0"/>
        <v>0</v>
      </c>
      <c r="O53" s="20">
        <f t="shared" si="0"/>
        <v>206074.34894780975</v>
      </c>
      <c r="P53" s="20">
        <f t="shared" si="0"/>
        <v>0</v>
      </c>
      <c r="Q53" s="20">
        <f t="shared" si="0"/>
        <v>1012939.4964478096</v>
      </c>
      <c r="R53" s="20">
        <f t="shared" si="0"/>
        <v>-2799988.992897558</v>
      </c>
      <c r="S53" s="20">
        <f t="shared" si="0"/>
        <v>-2799988.992897558</v>
      </c>
      <c r="T53" s="20">
        <f t="shared" si="0"/>
        <v>0</v>
      </c>
      <c r="U53" s="20">
        <f t="shared" si="0"/>
        <v>0</v>
      </c>
      <c r="V53" s="20">
        <f t="shared" si="0"/>
        <v>0</v>
      </c>
      <c r="W53" s="20">
        <f t="shared" si="0"/>
        <v>0</v>
      </c>
      <c r="X53" s="20">
        <f t="shared" si="0"/>
        <v>0</v>
      </c>
      <c r="Y53" s="20">
        <f t="shared" si="0"/>
        <v>0</v>
      </c>
      <c r="Z53" s="20">
        <f t="shared" si="0"/>
        <v>-64336.453533392494</v>
      </c>
      <c r="AA53" s="20">
        <f t="shared" si="0"/>
        <v>-64336.453533392494</v>
      </c>
      <c r="AB53" s="20">
        <f t="shared" si="0"/>
        <v>-1851385.9499831412</v>
      </c>
    </row>
    <row r="54" spans="1:28" ht="11.25" customHeight="1" x14ac:dyDescent="0.25">
      <c r="K54" s="25" t="s">
        <v>776</v>
      </c>
      <c r="L54" s="20">
        <f>CUSTOS!$D$30</f>
        <v>2476185.1305569597</v>
      </c>
      <c r="M54" s="20">
        <f>CUSTOS!$D$31</f>
        <v>18851171.780000001</v>
      </c>
      <c r="N54" s="20">
        <f>CUSTOS!$D$32</f>
        <v>0</v>
      </c>
      <c r="O54" s="20">
        <f>CUSTOS!$D$33</f>
        <v>5377709.5404118784</v>
      </c>
      <c r="P54" s="20">
        <f>CUSTOS!$D$34</f>
        <v>-17146882.59</v>
      </c>
      <c r="Q54" s="20">
        <f>CUSTOS!$D$35</f>
        <v>9558183.8609688394</v>
      </c>
      <c r="R54" s="20">
        <f>CUSTOS!$D$36</f>
        <v>219305422.49979985</v>
      </c>
      <c r="S54" s="20">
        <f>CUSTOS!$D$37</f>
        <v>219305422.49979985</v>
      </c>
      <c r="T54" s="20">
        <f>CUSTOS!$D$38</f>
        <v>0</v>
      </c>
      <c r="U54" s="20">
        <f>CUSTOS!$D$39</f>
        <v>0</v>
      </c>
      <c r="V54" s="20">
        <f>CUSTOS!$D$40</f>
        <v>0</v>
      </c>
      <c r="W54" s="20">
        <f>CUSTOS!$D$41</f>
        <v>0</v>
      </c>
      <c r="X54" s="20">
        <f>CUSTOS!$D$42</f>
        <v>0</v>
      </c>
      <c r="Y54" s="20">
        <f>CUSTOS!$D$43</f>
        <v>0</v>
      </c>
      <c r="Z54" s="20">
        <f>CUSTOS!$D$44</f>
        <v>5039067.3535035541</v>
      </c>
      <c r="AA54" s="20">
        <f>CUSTOS!$D$45</f>
        <v>5039067.3535035541</v>
      </c>
      <c r="AB54" s="20">
        <f>CUSTOS!$D$46</f>
        <v>233902673.71427223</v>
      </c>
    </row>
    <row r="55" spans="1:28" ht="11.25" customHeight="1" x14ac:dyDescent="0.25">
      <c r="K55" s="25" t="s">
        <v>777</v>
      </c>
      <c r="L55" s="20">
        <f>CUSTOS!$E$30</f>
        <v>-0.56691887422018106</v>
      </c>
      <c r="M55" s="20">
        <f>CUSTOS!$E$31</f>
        <v>5562714.3320097802</v>
      </c>
      <c r="N55" s="20">
        <f>CUSTOS!$E$32</f>
        <v>0</v>
      </c>
      <c r="O55" s="20">
        <f>CUSTOS!$E$33</f>
        <v>-702415.19341195375</v>
      </c>
      <c r="P55" s="20">
        <f>CUSTOS!$E$34</f>
        <v>0</v>
      </c>
      <c r="Q55" s="20">
        <f>CUSTOS!$E$35</f>
        <v>4860298.5716789523</v>
      </c>
      <c r="R55" s="20">
        <f>CUSTOS!$E$36</f>
        <v>29640490.046786625</v>
      </c>
      <c r="S55" s="20">
        <f>CUSTOS!$E$37</f>
        <v>29640490.046786625</v>
      </c>
      <c r="T55" s="20">
        <f>CUSTOS!$E$38</f>
        <v>0</v>
      </c>
      <c r="U55" s="20">
        <f>CUSTOS!$E$39</f>
        <v>0</v>
      </c>
      <c r="V55" s="20">
        <f>CUSTOS!$E$40</f>
        <v>0</v>
      </c>
      <c r="W55" s="20">
        <f>CUSTOS!$E$41</f>
        <v>0</v>
      </c>
      <c r="X55" s="20">
        <f>CUSTOS!$E$42</f>
        <v>-20939552.25323334</v>
      </c>
      <c r="Y55" s="20">
        <f>CUSTOS!$E$43</f>
        <v>-20939552.25323334</v>
      </c>
      <c r="Z55" s="20">
        <f>CUSTOS!$E$44</f>
        <v>681061.25254037359</v>
      </c>
      <c r="AA55" s="20">
        <f>CUSTOS!$E$45</f>
        <v>681061.25254037359</v>
      </c>
      <c r="AB55" s="20">
        <f>CUSTOS!$E$46</f>
        <v>14242297.617772615</v>
      </c>
    </row>
    <row r="56" spans="1:28" ht="11.25" customHeight="1" x14ac:dyDescent="0.25">
      <c r="K56" s="25" t="s">
        <v>778</v>
      </c>
      <c r="L56" s="20">
        <f>CUSTOS!$F$30</f>
        <v>0</v>
      </c>
      <c r="M56" s="20">
        <f>CUSTOS!$F$31</f>
        <v>806865.14749999996</v>
      </c>
      <c r="N56" s="20">
        <f>CUSTOS!$F$32</f>
        <v>0</v>
      </c>
      <c r="O56" s="20">
        <f>CUSTOS!$F$33</f>
        <v>206074.34894780969</v>
      </c>
      <c r="P56" s="20">
        <f>CUSTOS!$F$34</f>
        <v>0</v>
      </c>
      <c r="Q56" s="20">
        <f>CUSTOS!$F$35</f>
        <v>1012939.4964478096</v>
      </c>
      <c r="R56" s="20">
        <f>CUSTOS!$F$36</f>
        <v>-2799988.9928975585</v>
      </c>
      <c r="S56" s="20">
        <f>CUSTOS!$F$37</f>
        <v>-2799988.9928975585</v>
      </c>
      <c r="T56" s="20">
        <f>CUSTOS!$F$38</f>
        <v>0</v>
      </c>
      <c r="U56" s="20">
        <f>CUSTOS!$F$39</f>
        <v>0</v>
      </c>
      <c r="V56" s="20">
        <f>CUSTOS!$F$40</f>
        <v>0</v>
      </c>
      <c r="W56" s="20">
        <f>CUSTOS!$F$41</f>
        <v>0</v>
      </c>
      <c r="X56" s="20">
        <f>CUSTOS!$F$42</f>
        <v>0</v>
      </c>
      <c r="Y56" s="20">
        <f>CUSTOS!$F$43</f>
        <v>0</v>
      </c>
      <c r="Z56" s="20">
        <f>CUSTOS!$F$44</f>
        <v>-64336.453533392501</v>
      </c>
      <c r="AA56" s="20">
        <f>CUSTOS!$F$45</f>
        <v>-64336.453533392501</v>
      </c>
      <c r="AB56" s="20">
        <f>CUSTOS!$F$46</f>
        <v>-1851385.9499831414</v>
      </c>
    </row>
    <row r="57" spans="1:28" ht="11.25" customHeight="1" x14ac:dyDescent="0.25"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</row>
    <row r="58" spans="1:28" ht="11.25" customHeight="1" x14ac:dyDescent="0.25"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</row>
    <row r="59" spans="1:28" ht="11.25" customHeight="1" x14ac:dyDescent="0.25"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</row>
  </sheetData>
  <mergeCells count="73">
    <mergeCell ref="T3:W3"/>
    <mergeCell ref="X3:Y3"/>
    <mergeCell ref="A1:A4"/>
    <mergeCell ref="B1:B4"/>
    <mergeCell ref="C1:C4"/>
    <mergeCell ref="D1:D4"/>
    <mergeCell ref="E1:E4"/>
    <mergeCell ref="F1:F4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F11:F12"/>
    <mergeCell ref="A8:A10"/>
    <mergeCell ref="B8:B9"/>
    <mergeCell ref="C8:C9"/>
    <mergeCell ref="D8:D9"/>
    <mergeCell ref="E8:E9"/>
    <mergeCell ref="F8:F9"/>
    <mergeCell ref="A11:A16"/>
    <mergeCell ref="B11:B12"/>
    <mergeCell ref="C11:C12"/>
    <mergeCell ref="D11:D12"/>
    <mergeCell ref="E11:E12"/>
    <mergeCell ref="F17:F19"/>
    <mergeCell ref="B20:B24"/>
    <mergeCell ref="C20:C24"/>
    <mergeCell ref="B25:B29"/>
    <mergeCell ref="C25:C29"/>
    <mergeCell ref="A17:A29"/>
    <mergeCell ref="B17:B19"/>
    <mergeCell ref="C17:C19"/>
    <mergeCell ref="D17:D19"/>
    <mergeCell ref="E17:E19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E45:E47"/>
    <mergeCell ref="F45:F47"/>
    <mergeCell ref="A50:A51"/>
    <mergeCell ref="B50:B51"/>
    <mergeCell ref="C50:C51"/>
    <mergeCell ref="D45:D47"/>
  </mergeCells>
  <conditionalFormatting sqref="L53">
    <cfRule type="cellIs" dxfId="1114" priority="33" operator="notEqual">
      <formula>$L$56</formula>
    </cfRule>
    <cfRule type="cellIs" dxfId="1113" priority="34" operator="equal">
      <formula>$L$56</formula>
    </cfRule>
  </conditionalFormatting>
  <conditionalFormatting sqref="M53">
    <cfRule type="cellIs" dxfId="1112" priority="31" operator="notEqual">
      <formula>$M$56</formula>
    </cfRule>
    <cfRule type="cellIs" dxfId="1111" priority="32" operator="equal">
      <formula>$M$56</formula>
    </cfRule>
  </conditionalFormatting>
  <conditionalFormatting sqref="N53">
    <cfRule type="cellIs" dxfId="1110" priority="29" operator="notEqual">
      <formula>$N$56</formula>
    </cfRule>
    <cfRule type="cellIs" dxfId="1109" priority="30" operator="equal">
      <formula>$N$56</formula>
    </cfRule>
  </conditionalFormatting>
  <conditionalFormatting sqref="O53">
    <cfRule type="cellIs" dxfId="1108" priority="27" operator="notEqual">
      <formula>$O$56</formula>
    </cfRule>
    <cfRule type="cellIs" dxfId="1107" priority="28" operator="equal">
      <formula>$O$56</formula>
    </cfRule>
  </conditionalFormatting>
  <conditionalFormatting sqref="P53">
    <cfRule type="cellIs" dxfId="1106" priority="25" operator="notEqual">
      <formula>$P$56</formula>
    </cfRule>
    <cfRule type="cellIs" dxfId="1105" priority="26" operator="equal">
      <formula>$P$56</formula>
    </cfRule>
  </conditionalFormatting>
  <conditionalFormatting sqref="Q53">
    <cfRule type="cellIs" dxfId="1104" priority="23" operator="notEqual">
      <formula>$Q$56</formula>
    </cfRule>
    <cfRule type="cellIs" dxfId="1103" priority="24" operator="equal">
      <formula>$Q$56</formula>
    </cfRule>
  </conditionalFormatting>
  <conditionalFormatting sqref="R53">
    <cfRule type="cellIs" dxfId="1102" priority="21" operator="notEqual">
      <formula>$R$56</formula>
    </cfRule>
    <cfRule type="cellIs" dxfId="1101" priority="22" operator="equal">
      <formula>$R$56</formula>
    </cfRule>
  </conditionalFormatting>
  <conditionalFormatting sqref="S53">
    <cfRule type="cellIs" dxfId="1100" priority="19" operator="notEqual">
      <formula>$S$56</formula>
    </cfRule>
    <cfRule type="cellIs" dxfId="1099" priority="20" operator="equal">
      <formula>$S$56</formula>
    </cfRule>
  </conditionalFormatting>
  <conditionalFormatting sqref="T53">
    <cfRule type="cellIs" dxfId="1098" priority="17" operator="notEqual">
      <formula>$T$56</formula>
    </cfRule>
    <cfRule type="cellIs" dxfId="1097" priority="18" operator="equal">
      <formula>$T$56</formula>
    </cfRule>
  </conditionalFormatting>
  <conditionalFormatting sqref="U53">
    <cfRule type="cellIs" dxfId="1096" priority="15" operator="notEqual">
      <formula>$U$56</formula>
    </cfRule>
    <cfRule type="cellIs" dxfId="1095" priority="16" operator="equal">
      <formula>$U$56</formula>
    </cfRule>
  </conditionalFormatting>
  <conditionalFormatting sqref="V53">
    <cfRule type="cellIs" dxfId="1094" priority="13" operator="notEqual">
      <formula>$V$56</formula>
    </cfRule>
    <cfRule type="cellIs" dxfId="1093" priority="14" operator="equal">
      <formula>$V$56</formula>
    </cfRule>
  </conditionalFormatting>
  <conditionalFormatting sqref="W53">
    <cfRule type="cellIs" dxfId="1092" priority="11" operator="notEqual">
      <formula>$W$56</formula>
    </cfRule>
    <cfRule type="cellIs" dxfId="1091" priority="12" operator="equal">
      <formula>$W$56</formula>
    </cfRule>
  </conditionalFormatting>
  <conditionalFormatting sqref="X53">
    <cfRule type="cellIs" dxfId="1090" priority="9" operator="notEqual">
      <formula>$X$56</formula>
    </cfRule>
    <cfRule type="cellIs" dxfId="1089" priority="10" operator="equal">
      <formula>$X$56</formula>
    </cfRule>
  </conditionalFormatting>
  <conditionalFormatting sqref="Y53">
    <cfRule type="cellIs" dxfId="1088" priority="7" operator="notEqual">
      <formula>$Y$56</formula>
    </cfRule>
    <cfRule type="cellIs" dxfId="1087" priority="8" operator="equal">
      <formula>$Y$56</formula>
    </cfRule>
  </conditionalFormatting>
  <conditionalFormatting sqref="Z53">
    <cfRule type="cellIs" dxfId="1086" priority="5" operator="notEqual">
      <formula>$Z$56</formula>
    </cfRule>
    <cfRule type="cellIs" dxfId="1085" priority="6" operator="equal">
      <formula>$Z$56</formula>
    </cfRule>
  </conditionalFormatting>
  <conditionalFormatting sqref="AA53">
    <cfRule type="cellIs" dxfId="1084" priority="3" operator="notEqual">
      <formula>$AA$56</formula>
    </cfRule>
    <cfRule type="cellIs" dxfId="1083" priority="4" operator="equal">
      <formula>$AA$56</formula>
    </cfRule>
  </conditionalFormatting>
  <conditionalFormatting sqref="AB53">
    <cfRule type="cellIs" dxfId="1082" priority="1" operator="notEqual">
      <formula>$AB$56</formula>
    </cfRule>
    <cfRule type="cellIs" dxfId="1081" priority="2" operator="equal">
      <formula>$AB$56</formula>
    </cfRule>
  </conditionalFormatting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CA86C-79C1-4BFE-A465-20018B4C8AA4}">
  <sheetPr codeName="Planilha16"/>
  <dimension ref="A1:BJ2102"/>
  <sheetViews>
    <sheetView showGridLines="0" topLeftCell="AH1" workbookViewId="0">
      <selection activeCell="BB14" sqref="BB14"/>
    </sheetView>
  </sheetViews>
  <sheetFormatPr defaultRowHeight="11.25" customHeight="1" x14ac:dyDescent="0.25"/>
  <cols>
    <col min="1" max="1" width="23.7109375" style="4" bestFit="1" customWidth="1"/>
    <col min="2" max="2" width="13.28515625" style="4" bestFit="1" customWidth="1"/>
    <col min="3" max="3" width="14.57031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14.140625" style="4" bestFit="1" customWidth="1"/>
    <col min="8" max="8" width="10.28515625" style="4" bestFit="1" customWidth="1"/>
    <col min="9" max="9" width="12.140625" style="5" bestFit="1" customWidth="1"/>
    <col min="10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8.71093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23.28515625" style="4" bestFit="1" customWidth="1"/>
    <col min="29" max="29" width="24.7109375" style="4" bestFit="1" customWidth="1"/>
    <col min="30" max="30" width="22.5703125" style="4" bestFit="1" customWidth="1"/>
    <col min="31" max="31" width="24.140625" style="4" bestFit="1" customWidth="1"/>
    <col min="32" max="32" width="25.5703125" style="4" bestFit="1" customWidth="1"/>
    <col min="33" max="33" width="23.42578125" style="4" bestFit="1" customWidth="1"/>
    <col min="34" max="34" width="9.140625" style="4"/>
    <col min="35" max="35" width="9.28515625" style="4" bestFit="1" customWidth="1"/>
    <col min="36" max="36" width="14.5703125" style="4" bestFit="1" customWidth="1"/>
    <col min="37" max="37" width="15.42578125" style="4" bestFit="1" customWidth="1"/>
    <col min="38" max="38" width="9.28515625" style="4" bestFit="1" customWidth="1"/>
    <col min="39" max="39" width="9.140625" style="4"/>
    <col min="40" max="40" width="9.28515625" style="4" bestFit="1" customWidth="1"/>
    <col min="41" max="41" width="12.28515625" style="4" bestFit="1" customWidth="1"/>
    <col min="42" max="42" width="13.28515625" style="4" bestFit="1" customWidth="1"/>
    <col min="43" max="43" width="9.28515625" style="4" bestFit="1" customWidth="1"/>
    <col min="44" max="44" width="9.140625" style="4"/>
    <col min="45" max="45" width="9.28515625" style="4" bestFit="1" customWidth="1"/>
    <col min="46" max="46" width="11.7109375" style="4" bestFit="1" customWidth="1"/>
    <col min="47" max="47" width="12.140625" style="4" bestFit="1" customWidth="1"/>
    <col min="48" max="48" width="9.28515625" style="4" bestFit="1" customWidth="1"/>
    <col min="49" max="49" width="9.140625" style="4"/>
    <col min="50" max="50" width="12.85546875" style="4" customWidth="1"/>
    <col min="51" max="51" width="1.85546875" style="4" customWidth="1"/>
    <col min="52" max="52" width="0.140625" style="4" hidden="1" customWidth="1"/>
    <col min="53" max="53" width="9.140625" style="4" hidden="1" customWidth="1"/>
    <col min="54" max="54" width="13" style="4" customWidth="1"/>
    <col min="55" max="55" width="1" style="4" customWidth="1"/>
    <col min="56" max="56" width="12.5703125" style="4" customWidth="1"/>
    <col min="57" max="57" width="1.28515625" style="4" customWidth="1"/>
    <col min="58" max="58" width="9.140625" style="4"/>
    <col min="59" max="59" width="1" style="4" customWidth="1"/>
    <col min="60" max="60" width="9.140625" style="4"/>
    <col min="61" max="61" width="1.5703125" style="4" customWidth="1"/>
    <col min="62" max="16384" width="9.140625" style="4"/>
  </cols>
  <sheetData>
    <row r="1" spans="1:62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881</v>
      </c>
      <c r="W1" s="1" t="s">
        <v>882</v>
      </c>
      <c r="X1" s="1" t="s">
        <v>883</v>
      </c>
      <c r="Y1" s="1" t="s">
        <v>884</v>
      </c>
      <c r="Z1" s="1" t="s">
        <v>885</v>
      </c>
      <c r="AA1" s="1" t="s">
        <v>886</v>
      </c>
      <c r="AB1" s="1" t="s">
        <v>903</v>
      </c>
      <c r="AC1" s="1" t="s">
        <v>904</v>
      </c>
      <c r="AD1" s="1" t="s">
        <v>905</v>
      </c>
      <c r="AE1" s="1" t="s">
        <v>906</v>
      </c>
      <c r="AF1" s="1" t="s">
        <v>907</v>
      </c>
      <c r="AG1" s="1" t="s">
        <v>908</v>
      </c>
      <c r="AI1" s="34" t="s">
        <v>71</v>
      </c>
      <c r="AJ1" s="34" t="s">
        <v>909</v>
      </c>
      <c r="AK1" s="34" t="s">
        <v>910</v>
      </c>
      <c r="AL1" s="34" t="s">
        <v>911</v>
      </c>
      <c r="AN1" s="34" t="s">
        <v>71</v>
      </c>
      <c r="AO1" s="34" t="s">
        <v>912</v>
      </c>
      <c r="AP1" s="34" t="s">
        <v>913</v>
      </c>
      <c r="AQ1" s="34" t="s">
        <v>911</v>
      </c>
      <c r="AS1" s="34" t="s">
        <v>71</v>
      </c>
      <c r="AT1" s="34" t="s">
        <v>914</v>
      </c>
      <c r="AU1" s="34" t="s">
        <v>915</v>
      </c>
      <c r="AV1" s="34" t="s">
        <v>911</v>
      </c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</row>
    <row r="2" spans="1:62" ht="11.25" customHeight="1" x14ac:dyDescent="0.25">
      <c r="A2" s="4" t="s">
        <v>21</v>
      </c>
      <c r="B2" s="4" t="s">
        <v>43</v>
      </c>
      <c r="C2" s="4" t="s">
        <v>42</v>
      </c>
      <c r="D2" s="4" t="s">
        <v>45</v>
      </c>
      <c r="E2" s="4" t="s">
        <v>25</v>
      </c>
      <c r="F2" s="4" t="s">
        <v>25</v>
      </c>
      <c r="G2" s="4" t="s">
        <v>25</v>
      </c>
      <c r="H2" s="4" t="s">
        <v>37</v>
      </c>
      <c r="I2" s="5">
        <v>44531</v>
      </c>
      <c r="J2" s="6">
        <v>207</v>
      </c>
      <c r="K2" s="6">
        <v>207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26</v>
      </c>
      <c r="R2" s="4">
        <v>0</v>
      </c>
      <c r="S2" s="6">
        <v>4</v>
      </c>
      <c r="T2" s="6">
        <v>0</v>
      </c>
      <c r="U2" s="6">
        <v>0</v>
      </c>
      <c r="V2" s="6">
        <f>IF(ISERROR(VLOOKUP($S$2,'TAR FIN'!$A$1:$O$115,15,0)),0,VLOOKUP($S$2,'TAR FIN'!$A$1:$O$115,15,0))</f>
        <v>19.8</v>
      </c>
      <c r="W2" s="6">
        <f>IF(ISERROR(VLOOKUP($T$2,'TAR FIN'!$A$1:$O$115,15,0)),0,VLOOKUP($T$2,'TAR FIN'!$A$1:$O$115,15,0))</f>
        <v>0</v>
      </c>
      <c r="X2" s="6">
        <f>IF(ISERROR(VLOOKUP($U$2,'TAR FIN'!$A$1:$O$115,15,0)),0,VLOOKUP($U$2,'TAR FIN'!$A$1:$O$115,15,0))</f>
        <v>0</v>
      </c>
      <c r="Y2" s="6">
        <f ca="1">('TUSD BE'!$AM$10+'TUSD BF'!$AM$10+'TUSD CVA'!$AM$10)*1</f>
        <v>20.615214330225772</v>
      </c>
      <c r="Z2" s="6">
        <f ca="1">('TUSD BE'!$AM$11+'TUSD BF'!$AM$11+'TUSD CVA'!$AM$11)*1</f>
        <v>113.43121292628391</v>
      </c>
      <c r="AA2" s="6">
        <f>('TE BE'!$AB$9+'TE BF'!$AB$9+'TE CVA'!$AB$9)*1</f>
        <v>218.6854278594964</v>
      </c>
      <c r="AB2" s="6">
        <f>$K$2*$V$2</f>
        <v>4098.6000000000004</v>
      </c>
      <c r="AC2" s="6">
        <f>$M$2*$W$2</f>
        <v>0</v>
      </c>
      <c r="AD2" s="6">
        <f>$O$2*$X$2</f>
        <v>0</v>
      </c>
      <c r="AE2" s="6">
        <f ca="1">$K$2*$Y$2</f>
        <v>4267.3493663567351</v>
      </c>
      <c r="AF2" s="6">
        <f ca="1">$M$2*$Z$2</f>
        <v>0</v>
      </c>
      <c r="AG2" s="6">
        <f>$O$2*$AA$2</f>
        <v>0</v>
      </c>
      <c r="AI2" s="35" t="s">
        <v>43</v>
      </c>
      <c r="AJ2" s="36">
        <f t="shared" ref="AJ2:AJ7" si="0">SUMIF($B$2:$B$2102,AI2,$AB$2:$AB$2102)+SUMIF($B$2:$B$2102,AI2,$AC$2:$AC$2102)</f>
        <v>622148.53413080005</v>
      </c>
      <c r="AK2" s="36">
        <f t="shared" ref="AK2:AK7" ca="1" si="1">SUMIF($B$2:$B$2102,AI2,$AE$2:$AE$2102)+SUMIF($B$2:$B$2102,AI2,$AF$2:$AF$2102)</f>
        <v>689096.56759219442</v>
      </c>
      <c r="AL2" s="37">
        <f t="shared" ref="AL2:AL10" ca="1" si="2">IF(AJ2&lt;&gt;0,AK2/AJ2-1,0)</f>
        <v>0.10760779747705596</v>
      </c>
      <c r="AN2" s="35" t="s">
        <v>43</v>
      </c>
      <c r="AO2" s="36">
        <f t="shared" ref="AO2:AO7" si="3">SUMIF($B$2:$B$2102,AN2,$AD$2:$AD$2102)</f>
        <v>339438.88465680007</v>
      </c>
      <c r="AP2" s="36">
        <f t="shared" ref="AP2:AP7" si="4">SUMIF($B$2:$B$2102,AN2,$AG$2:$AG$2102)</f>
        <v>443844.19909574249</v>
      </c>
      <c r="AQ2" s="37">
        <f t="shared" ref="AQ2:AQ10" si="5">IF(AO2&lt;&gt;0,AP2/AO2-1,0)</f>
        <v>0.30758206899160823</v>
      </c>
      <c r="AS2" s="35" t="s">
        <v>43</v>
      </c>
      <c r="AT2" s="36">
        <f t="shared" ref="AT2:AT7" si="6">SUMIF($B$2:$B$2102,AS2,$AB$2:$AB$2102)+SUMIF($B$2:$B$2102,AS2,$AC$2:$AC$2102)+SUMIF($B$2:$B$2102,AS2,$AD$2:$AD$2102)</f>
        <v>961587.41878760012</v>
      </c>
      <c r="AU2" s="36">
        <f t="shared" ref="AU2:AU7" ca="1" si="7">SUMIF($B$2:$B$2102,AS2,$AE$2:$AE$2102)+SUMIF($B$2:$B$2102,AS2,$AF$2:$AF$2102)+SUMIF($B$2:$B$2102,AS2,$AG$2:$AG$2102)</f>
        <v>1132940.7666879368</v>
      </c>
      <c r="AV2" s="37">
        <f t="shared" ref="AV2:AV10" ca="1" si="8">IF(AT2&lt;&gt;0,AU2/AT2-1,0)</f>
        <v>0.17819840874830128</v>
      </c>
    </row>
    <row r="3" spans="1:62" ht="11.25" customHeight="1" x14ac:dyDescent="0.25">
      <c r="A3" s="4" t="s">
        <v>21</v>
      </c>
      <c r="B3" s="4" t="s">
        <v>43</v>
      </c>
      <c r="C3" s="4" t="s">
        <v>42</v>
      </c>
      <c r="D3" s="4" t="s">
        <v>45</v>
      </c>
      <c r="E3" s="4" t="s">
        <v>25</v>
      </c>
      <c r="F3" s="4" t="s">
        <v>25</v>
      </c>
      <c r="G3" s="4" t="s">
        <v>25</v>
      </c>
      <c r="H3" s="4" t="s">
        <v>37</v>
      </c>
      <c r="I3" s="5">
        <v>44562</v>
      </c>
      <c r="J3" s="6">
        <v>207</v>
      </c>
      <c r="K3" s="6">
        <v>207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26</v>
      </c>
      <c r="R3" s="4">
        <v>0</v>
      </c>
      <c r="S3" s="6">
        <v>4</v>
      </c>
      <c r="T3" s="6">
        <v>0</v>
      </c>
      <c r="U3" s="6">
        <v>0</v>
      </c>
      <c r="V3" s="6">
        <f>IF(ISERROR(VLOOKUP($S$3,'TAR FIN'!$A$1:$O$115,15,0)),0,VLOOKUP($S$3,'TAR FIN'!$A$1:$O$115,15,0))</f>
        <v>19.8</v>
      </c>
      <c r="W3" s="6">
        <f>IF(ISERROR(VLOOKUP($T$3,'TAR FIN'!$A$1:$O$115,15,0)),0,VLOOKUP($T$3,'TAR FIN'!$A$1:$O$115,15,0))</f>
        <v>0</v>
      </c>
      <c r="X3" s="6">
        <f>IF(ISERROR(VLOOKUP($U$3,'TAR FIN'!$A$1:$O$115,15,0)),0,VLOOKUP($U$3,'TAR FIN'!$A$1:$O$115,15,0))</f>
        <v>0</v>
      </c>
      <c r="Y3" s="6">
        <f ca="1">('TUSD BE'!$AM$10+'TUSD BF'!$AM$10+'TUSD CVA'!$AM$10)*1</f>
        <v>20.615214330225772</v>
      </c>
      <c r="Z3" s="6">
        <f ca="1">('TUSD BE'!$AM$11+'TUSD BF'!$AM$11+'TUSD CVA'!$AM$11)*1</f>
        <v>113.43121292628391</v>
      </c>
      <c r="AA3" s="6">
        <f>('TE BE'!$AB$9+'TE BF'!$AB$9+'TE CVA'!$AB$9)*1</f>
        <v>218.6854278594964</v>
      </c>
      <c r="AB3" s="6">
        <f>$K$3*$V$3</f>
        <v>4098.6000000000004</v>
      </c>
      <c r="AC3" s="6">
        <f>$M$3*$W$3</f>
        <v>0</v>
      </c>
      <c r="AD3" s="6">
        <f>$O$3*$X$3</f>
        <v>0</v>
      </c>
      <c r="AE3" s="6">
        <f ca="1">$K$3*$Y$3</f>
        <v>4267.3493663567351</v>
      </c>
      <c r="AF3" s="6">
        <f ca="1">$M$3*$Z$3</f>
        <v>0</v>
      </c>
      <c r="AG3" s="6">
        <f>$O$3*$AA$3</f>
        <v>0</v>
      </c>
      <c r="AI3" s="35" t="s">
        <v>41</v>
      </c>
      <c r="AJ3" s="36">
        <f t="shared" si="0"/>
        <v>71829187.227579996</v>
      </c>
      <c r="AK3" s="36">
        <f t="shared" ca="1" si="1"/>
        <v>81054853.518844873</v>
      </c>
      <c r="AL3" s="37">
        <f t="shared" ca="1" si="2"/>
        <v>0.12843896259099719</v>
      </c>
      <c r="AN3" s="35" t="s">
        <v>41</v>
      </c>
      <c r="AO3" s="36">
        <f t="shared" si="3"/>
        <v>38175935.820374422</v>
      </c>
      <c r="AP3" s="36">
        <f t="shared" si="4"/>
        <v>50300303.324050866</v>
      </c>
      <c r="AQ3" s="37">
        <f t="shared" si="5"/>
        <v>0.31759188722246567</v>
      </c>
      <c r="AS3" s="35" t="s">
        <v>41</v>
      </c>
      <c r="AT3" s="36">
        <f t="shared" si="6"/>
        <v>110005123.04795441</v>
      </c>
      <c r="AU3" s="36">
        <f t="shared" ca="1" si="7"/>
        <v>131355156.84289575</v>
      </c>
      <c r="AV3" s="37">
        <f t="shared" ca="1" si="8"/>
        <v>0.19408217729672672</v>
      </c>
    </row>
    <row r="4" spans="1:62" ht="11.25" customHeight="1" x14ac:dyDescent="0.25">
      <c r="A4" s="4" t="s">
        <v>21</v>
      </c>
      <c r="B4" s="4" t="s">
        <v>43</v>
      </c>
      <c r="C4" s="4" t="s">
        <v>42</v>
      </c>
      <c r="D4" s="4" t="s">
        <v>45</v>
      </c>
      <c r="E4" s="4" t="s">
        <v>25</v>
      </c>
      <c r="F4" s="4" t="s">
        <v>25</v>
      </c>
      <c r="G4" s="4" t="s">
        <v>25</v>
      </c>
      <c r="H4" s="4" t="s">
        <v>37</v>
      </c>
      <c r="I4" s="5">
        <v>44593</v>
      </c>
      <c r="J4" s="6">
        <v>207</v>
      </c>
      <c r="K4" s="6">
        <v>207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26</v>
      </c>
      <c r="R4" s="4">
        <v>0</v>
      </c>
      <c r="S4" s="6">
        <v>4</v>
      </c>
      <c r="T4" s="6">
        <v>0</v>
      </c>
      <c r="U4" s="6">
        <v>0</v>
      </c>
      <c r="V4" s="6">
        <f>IF(ISERROR(VLOOKUP($S$4,'TAR FIN'!$A$1:$O$115,15,0)),0,VLOOKUP($S$4,'TAR FIN'!$A$1:$O$115,15,0))</f>
        <v>19.8</v>
      </c>
      <c r="W4" s="6">
        <f>IF(ISERROR(VLOOKUP($T$4,'TAR FIN'!$A$1:$O$115,15,0)),0,VLOOKUP($T$4,'TAR FIN'!$A$1:$O$115,15,0))</f>
        <v>0</v>
      </c>
      <c r="X4" s="6">
        <f>IF(ISERROR(VLOOKUP($U$4,'TAR FIN'!$A$1:$O$115,15,0)),0,VLOOKUP($U$4,'TAR FIN'!$A$1:$O$115,15,0))</f>
        <v>0</v>
      </c>
      <c r="Y4" s="6">
        <f ca="1">('TUSD BE'!$AM$10+'TUSD BF'!$AM$10+'TUSD CVA'!$AM$10)*1</f>
        <v>20.615214330225772</v>
      </c>
      <c r="Z4" s="6">
        <f ca="1">('TUSD BE'!$AM$11+'TUSD BF'!$AM$11+'TUSD CVA'!$AM$11)*1</f>
        <v>113.43121292628391</v>
      </c>
      <c r="AA4" s="6">
        <f>('TE BE'!$AB$9+'TE BF'!$AB$9+'TE CVA'!$AB$9)*1</f>
        <v>218.6854278594964</v>
      </c>
      <c r="AB4" s="6">
        <f>$K$4*$V$4</f>
        <v>4098.6000000000004</v>
      </c>
      <c r="AC4" s="6">
        <f>$M$4*$W$4</f>
        <v>0</v>
      </c>
      <c r="AD4" s="6">
        <f>$O$4*$X$4</f>
        <v>0</v>
      </c>
      <c r="AE4" s="6">
        <f ca="1">$K$4*$Y$4</f>
        <v>4267.3493663567351</v>
      </c>
      <c r="AF4" s="6">
        <f ca="1">$M$4*$Z$4</f>
        <v>0</v>
      </c>
      <c r="AG4" s="6">
        <f>$O$4*$AA$4</f>
        <v>0</v>
      </c>
      <c r="AI4" s="35" t="s">
        <v>22</v>
      </c>
      <c r="AJ4" s="36">
        <f t="shared" si="0"/>
        <v>238935913.71075994</v>
      </c>
      <c r="AK4" s="36">
        <f t="shared" ca="1" si="1"/>
        <v>257355999.71032256</v>
      </c>
      <c r="AL4" s="37">
        <f t="shared" ca="1" si="2"/>
        <v>7.7092161297529938E-2</v>
      </c>
      <c r="AN4" s="35" t="s">
        <v>22</v>
      </c>
      <c r="AO4" s="36">
        <f t="shared" si="3"/>
        <v>92927626.05479987</v>
      </c>
      <c r="AP4" s="36">
        <f t="shared" si="4"/>
        <v>121399645.61722808</v>
      </c>
      <c r="AQ4" s="37">
        <f t="shared" si="5"/>
        <v>0.3063891844782316</v>
      </c>
      <c r="AS4" s="35" t="s">
        <v>22</v>
      </c>
      <c r="AT4" s="36">
        <f t="shared" si="6"/>
        <v>331863539.76555979</v>
      </c>
      <c r="AU4" s="36">
        <f t="shared" ca="1" si="7"/>
        <v>378755645.32755065</v>
      </c>
      <c r="AV4" s="37">
        <f t="shared" ca="1" si="8"/>
        <v>0.14129935935450177</v>
      </c>
    </row>
    <row r="5" spans="1:62" ht="11.25" customHeight="1" x14ac:dyDescent="0.25">
      <c r="A5" s="4" t="s">
        <v>21</v>
      </c>
      <c r="B5" s="4" t="s">
        <v>43</v>
      </c>
      <c r="C5" s="4" t="s">
        <v>42</v>
      </c>
      <c r="D5" s="4" t="s">
        <v>45</v>
      </c>
      <c r="E5" s="4" t="s">
        <v>25</v>
      </c>
      <c r="F5" s="4" t="s">
        <v>25</v>
      </c>
      <c r="G5" s="4" t="s">
        <v>25</v>
      </c>
      <c r="H5" s="4" t="s">
        <v>37</v>
      </c>
      <c r="I5" s="5">
        <v>44621</v>
      </c>
      <c r="J5" s="6">
        <v>207</v>
      </c>
      <c r="K5" s="6">
        <v>207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26</v>
      </c>
      <c r="R5" s="4">
        <v>0</v>
      </c>
      <c r="S5" s="6">
        <v>4</v>
      </c>
      <c r="T5" s="6">
        <v>0</v>
      </c>
      <c r="U5" s="6">
        <v>0</v>
      </c>
      <c r="V5" s="6">
        <f>IF(ISERROR(VLOOKUP($S$5,'TAR FIN'!$A$1:$O$115,15,0)),0,VLOOKUP($S$5,'TAR FIN'!$A$1:$O$115,15,0))</f>
        <v>19.8</v>
      </c>
      <c r="W5" s="6">
        <f>IF(ISERROR(VLOOKUP($T$5,'TAR FIN'!$A$1:$O$115,15,0)),0,VLOOKUP($T$5,'TAR FIN'!$A$1:$O$115,15,0))</f>
        <v>0</v>
      </c>
      <c r="X5" s="6">
        <f>IF(ISERROR(VLOOKUP($U$5,'TAR FIN'!$A$1:$O$115,15,0)),0,VLOOKUP($U$5,'TAR FIN'!$A$1:$O$115,15,0))</f>
        <v>0</v>
      </c>
      <c r="Y5" s="6">
        <f ca="1">('TUSD BE'!$AM$10+'TUSD BF'!$AM$10+'TUSD CVA'!$AM$10)*1</f>
        <v>20.615214330225772</v>
      </c>
      <c r="Z5" s="6">
        <f ca="1">('TUSD BE'!$AM$11+'TUSD BF'!$AM$11+'TUSD CVA'!$AM$11)*1</f>
        <v>113.43121292628391</v>
      </c>
      <c r="AA5" s="6">
        <f>('TE BE'!$AB$9+'TE BF'!$AB$9+'TE CVA'!$AB$9)*1</f>
        <v>218.6854278594964</v>
      </c>
      <c r="AB5" s="6">
        <f>$K$5*$V$5</f>
        <v>4098.6000000000004</v>
      </c>
      <c r="AC5" s="6">
        <f>$M$5*$W$5</f>
        <v>0</v>
      </c>
      <c r="AD5" s="6">
        <f>$O$5*$X$5</f>
        <v>0</v>
      </c>
      <c r="AE5" s="6">
        <f ca="1">$K$5*$Y$5</f>
        <v>4267.3493663567351</v>
      </c>
      <c r="AF5" s="6">
        <f ca="1">$M$5*$Z$5</f>
        <v>0</v>
      </c>
      <c r="AG5" s="6">
        <f>$O$5*$AA$5</f>
        <v>0</v>
      </c>
      <c r="AI5" s="35" t="s">
        <v>46</v>
      </c>
      <c r="AJ5" s="36">
        <f t="shared" si="0"/>
        <v>18707879.395995907</v>
      </c>
      <c r="AK5" s="36">
        <f t="shared" ca="1" si="1"/>
        <v>21648641.261616606</v>
      </c>
      <c r="AL5" s="37">
        <f t="shared" ca="1" si="2"/>
        <v>0.15719375795474266</v>
      </c>
      <c r="AN5" s="35" t="s">
        <v>46</v>
      </c>
      <c r="AO5" s="36">
        <f t="shared" si="3"/>
        <v>7127772.8970532985</v>
      </c>
      <c r="AP5" s="36">
        <f t="shared" si="4"/>
        <v>9946516.890140105</v>
      </c>
      <c r="AQ5" s="37">
        <f t="shared" si="5"/>
        <v>0.39545928774640204</v>
      </c>
      <c r="AS5" s="35" t="s">
        <v>46</v>
      </c>
      <c r="AT5" s="36">
        <f t="shared" si="6"/>
        <v>25835652.293049205</v>
      </c>
      <c r="AU5" s="36">
        <f t="shared" ca="1" si="7"/>
        <v>31595158.151756711</v>
      </c>
      <c r="AV5" s="37">
        <f t="shared" ca="1" si="8"/>
        <v>0.2229286024358299</v>
      </c>
    </row>
    <row r="6" spans="1:62" ht="11.25" customHeight="1" x14ac:dyDescent="0.25">
      <c r="A6" s="4" t="s">
        <v>21</v>
      </c>
      <c r="B6" s="4" t="s">
        <v>43</v>
      </c>
      <c r="C6" s="4" t="s">
        <v>42</v>
      </c>
      <c r="D6" s="4" t="s">
        <v>45</v>
      </c>
      <c r="E6" s="4" t="s">
        <v>25</v>
      </c>
      <c r="F6" s="4" t="s">
        <v>25</v>
      </c>
      <c r="G6" s="4" t="s">
        <v>25</v>
      </c>
      <c r="H6" s="4" t="s">
        <v>37</v>
      </c>
      <c r="I6" s="5">
        <v>44652</v>
      </c>
      <c r="J6" s="6">
        <v>207</v>
      </c>
      <c r="K6" s="6">
        <v>207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26</v>
      </c>
      <c r="R6" s="4">
        <v>0</v>
      </c>
      <c r="S6" s="6">
        <v>4</v>
      </c>
      <c r="T6" s="6">
        <v>0</v>
      </c>
      <c r="U6" s="6">
        <v>0</v>
      </c>
      <c r="V6" s="6">
        <f>IF(ISERROR(VLOOKUP($S$6,'TAR FIN'!$A$1:$O$115,15,0)),0,VLOOKUP($S$6,'TAR FIN'!$A$1:$O$115,15,0))</f>
        <v>19.8</v>
      </c>
      <c r="W6" s="6">
        <f>IF(ISERROR(VLOOKUP($T$6,'TAR FIN'!$A$1:$O$115,15,0)),0,VLOOKUP($T$6,'TAR FIN'!$A$1:$O$115,15,0))</f>
        <v>0</v>
      </c>
      <c r="X6" s="6">
        <f>IF(ISERROR(VLOOKUP($U$6,'TAR FIN'!$A$1:$O$115,15,0)),0,VLOOKUP($U$6,'TAR FIN'!$A$1:$O$115,15,0))</f>
        <v>0</v>
      </c>
      <c r="Y6" s="6">
        <f ca="1">('TUSD BE'!$AM$10+'TUSD BF'!$AM$10+'TUSD CVA'!$AM$10)*1</f>
        <v>20.615214330225772</v>
      </c>
      <c r="Z6" s="6">
        <f ca="1">('TUSD BE'!$AM$11+'TUSD BF'!$AM$11+'TUSD CVA'!$AM$11)*1</f>
        <v>113.43121292628391</v>
      </c>
      <c r="AA6" s="6">
        <f>('TE BE'!$AB$9+'TE BF'!$AB$9+'TE CVA'!$AB$9)*1</f>
        <v>218.6854278594964</v>
      </c>
      <c r="AB6" s="6">
        <f>$K$6*$V$6</f>
        <v>4098.6000000000004</v>
      </c>
      <c r="AC6" s="6">
        <f>$M$6*$W$6</f>
        <v>0</v>
      </c>
      <c r="AD6" s="6">
        <f>$O$6*$X$6</f>
        <v>0</v>
      </c>
      <c r="AE6" s="6">
        <f ca="1">$K$6*$Y$6</f>
        <v>4267.3493663567351</v>
      </c>
      <c r="AF6" s="6">
        <f ca="1">$M$6*$Z$6</f>
        <v>0</v>
      </c>
      <c r="AG6" s="6">
        <f>$O$6*$AA$6</f>
        <v>0</v>
      </c>
      <c r="AI6" s="35" t="s">
        <v>39</v>
      </c>
      <c r="AJ6" s="36">
        <f t="shared" si="0"/>
        <v>97550547.906268016</v>
      </c>
      <c r="AK6" s="36">
        <f t="shared" ca="1" si="1"/>
        <v>105823738.96937457</v>
      </c>
      <c r="AL6" s="37">
        <f t="shared" ca="1" si="2"/>
        <v>8.4809273147864683E-2</v>
      </c>
      <c r="AN6" s="35" t="s">
        <v>39</v>
      </c>
      <c r="AO6" s="36">
        <f t="shared" si="3"/>
        <v>37177349.162480384</v>
      </c>
      <c r="AP6" s="36">
        <f t="shared" si="4"/>
        <v>48632237.319027871</v>
      </c>
      <c r="AQ6" s="37">
        <f t="shared" si="5"/>
        <v>0.30811471002101021</v>
      </c>
      <c r="AS6" s="35" t="s">
        <v>39</v>
      </c>
      <c r="AT6" s="36">
        <f t="shared" si="6"/>
        <v>134727897.06874841</v>
      </c>
      <c r="AU6" s="36">
        <f t="shared" ca="1" si="7"/>
        <v>154455976.28840244</v>
      </c>
      <c r="AV6" s="37">
        <f t="shared" ca="1" si="8"/>
        <v>0.14642905922881932</v>
      </c>
    </row>
    <row r="7" spans="1:62" ht="11.25" customHeight="1" x14ac:dyDescent="0.25">
      <c r="A7" s="4" t="s">
        <v>21</v>
      </c>
      <c r="B7" s="4" t="s">
        <v>43</v>
      </c>
      <c r="C7" s="4" t="s">
        <v>42</v>
      </c>
      <c r="D7" s="4" t="s">
        <v>45</v>
      </c>
      <c r="E7" s="4" t="s">
        <v>25</v>
      </c>
      <c r="F7" s="4" t="s">
        <v>25</v>
      </c>
      <c r="G7" s="4" t="s">
        <v>25</v>
      </c>
      <c r="H7" s="4" t="s">
        <v>36</v>
      </c>
      <c r="I7" s="5">
        <v>44531</v>
      </c>
      <c r="J7" s="6">
        <v>30</v>
      </c>
      <c r="K7" s="6">
        <v>30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26</v>
      </c>
      <c r="R7" s="4">
        <v>0</v>
      </c>
      <c r="S7" s="6">
        <v>1</v>
      </c>
      <c r="T7" s="6">
        <v>0</v>
      </c>
      <c r="U7" s="6">
        <v>0</v>
      </c>
      <c r="V7" s="6">
        <f>IF(ISERROR(VLOOKUP($S$7,'TAR FIN'!$A$1:$O$115,15,0)),0,VLOOKUP($S$7,'TAR FIN'!$A$1:$O$115,15,0))</f>
        <v>56.22</v>
      </c>
      <c r="W7" s="6">
        <f>IF(ISERROR(VLOOKUP($T$7,'TAR FIN'!$A$1:$O$115,15,0)),0,VLOOKUP($T$7,'TAR FIN'!$A$1:$O$115,15,0))</f>
        <v>0</v>
      </c>
      <c r="X7" s="6">
        <f>IF(ISERROR(VLOOKUP($U$7,'TAR FIN'!$A$1:$O$115,15,0)),0,VLOOKUP($U$7,'TAR FIN'!$A$1:$O$115,15,0))</f>
        <v>0</v>
      </c>
      <c r="Y7" s="6">
        <f ca="1">('TUSD BE'!$AM$9+'TUSD BF'!$AM$9+'TUSD CVA'!$AM$9)*1</f>
        <v>56.308577648144677</v>
      </c>
      <c r="Z7" s="6">
        <f ca="1">('TUSD BE'!$AM$11+'TUSD BF'!$AM$11+'TUSD CVA'!$AM$11)*1</f>
        <v>113.43121292628391</v>
      </c>
      <c r="AA7" s="6">
        <f>('TE BE'!$AB$8+'TE BF'!$AB$8+'TE CVA'!$AB$8)*1</f>
        <v>362.64398683254075</v>
      </c>
      <c r="AB7" s="6">
        <f>$K$7*$V$7</f>
        <v>1686.6</v>
      </c>
      <c r="AC7" s="6">
        <f>$M$7*$W$7</f>
        <v>0</v>
      </c>
      <c r="AD7" s="6">
        <f>$O$7*$X$7</f>
        <v>0</v>
      </c>
      <c r="AE7" s="6">
        <f ca="1">$K$7*$Y$7</f>
        <v>1689.2573294443403</v>
      </c>
      <c r="AF7" s="6">
        <f ca="1">$M$7*$Z$7</f>
        <v>0</v>
      </c>
      <c r="AG7" s="6">
        <f>$O$7*$AA$7</f>
        <v>0</v>
      </c>
      <c r="AI7" s="35" t="s">
        <v>49</v>
      </c>
      <c r="AJ7" s="36">
        <f t="shared" si="0"/>
        <v>12587134.10636</v>
      </c>
      <c r="AK7" s="36">
        <f t="shared" ca="1" si="1"/>
        <v>13635693.672046615</v>
      </c>
      <c r="AL7" s="37">
        <f t="shared" ca="1" si="2"/>
        <v>8.3304075163289193E-2</v>
      </c>
      <c r="AN7" s="35" t="s">
        <v>49</v>
      </c>
      <c r="AO7" s="36">
        <f t="shared" si="3"/>
        <v>4794346.4758400014</v>
      </c>
      <c r="AP7" s="36">
        <f t="shared" si="4"/>
        <v>6263211.7088083103</v>
      </c>
      <c r="AQ7" s="37">
        <f t="shared" si="5"/>
        <v>0.3063744433929243</v>
      </c>
      <c r="AS7" s="35" t="s">
        <v>49</v>
      </c>
      <c r="AT7" s="36">
        <f t="shared" si="6"/>
        <v>17381480.582200002</v>
      </c>
      <c r="AU7" s="36">
        <f t="shared" ca="1" si="7"/>
        <v>19898905.380854927</v>
      </c>
      <c r="AV7" s="37">
        <f t="shared" ca="1" si="8"/>
        <v>0.14483373765253149</v>
      </c>
    </row>
    <row r="8" spans="1:62" ht="11.25" customHeight="1" x14ac:dyDescent="0.25">
      <c r="A8" s="4" t="s">
        <v>21</v>
      </c>
      <c r="B8" s="4" t="s">
        <v>43</v>
      </c>
      <c r="C8" s="4" t="s">
        <v>42</v>
      </c>
      <c r="D8" s="4" t="s">
        <v>45</v>
      </c>
      <c r="E8" s="4" t="s">
        <v>25</v>
      </c>
      <c r="F8" s="4" t="s">
        <v>25</v>
      </c>
      <c r="G8" s="4" t="s">
        <v>25</v>
      </c>
      <c r="H8" s="4" t="s">
        <v>36</v>
      </c>
      <c r="I8" s="5">
        <v>44562</v>
      </c>
      <c r="J8" s="6">
        <v>30</v>
      </c>
      <c r="K8" s="6">
        <v>30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26</v>
      </c>
      <c r="R8" s="4">
        <v>0</v>
      </c>
      <c r="S8" s="6">
        <v>1</v>
      </c>
      <c r="T8" s="6">
        <v>0</v>
      </c>
      <c r="U8" s="6">
        <v>0</v>
      </c>
      <c r="V8" s="6">
        <f>IF(ISERROR(VLOOKUP($S$8,'TAR FIN'!$A$1:$O$115,15,0)),0,VLOOKUP($S$8,'TAR FIN'!$A$1:$O$115,15,0))</f>
        <v>56.22</v>
      </c>
      <c r="W8" s="6">
        <f>IF(ISERROR(VLOOKUP($T$8,'TAR FIN'!$A$1:$O$115,15,0)),0,VLOOKUP($T$8,'TAR FIN'!$A$1:$O$115,15,0))</f>
        <v>0</v>
      </c>
      <c r="X8" s="6">
        <f>IF(ISERROR(VLOOKUP($U$8,'TAR FIN'!$A$1:$O$115,15,0)),0,VLOOKUP($U$8,'TAR FIN'!$A$1:$O$115,15,0))</f>
        <v>0</v>
      </c>
      <c r="Y8" s="6">
        <f ca="1">('TUSD BE'!$AM$9+'TUSD BF'!$AM$9+'TUSD CVA'!$AM$9)*1</f>
        <v>56.308577648144677</v>
      </c>
      <c r="Z8" s="6">
        <f ca="1">('TUSD BE'!$AM$11+'TUSD BF'!$AM$11+'TUSD CVA'!$AM$11)*1</f>
        <v>113.43121292628391</v>
      </c>
      <c r="AA8" s="6">
        <f>('TE BE'!$AB$8+'TE BF'!$AB$8+'TE CVA'!$AB$8)*1</f>
        <v>362.64398683254075</v>
      </c>
      <c r="AB8" s="6">
        <f>$K$8*$V$8</f>
        <v>1686.6</v>
      </c>
      <c r="AC8" s="6">
        <f>$M$8*$W$8</f>
        <v>0</v>
      </c>
      <c r="AD8" s="6">
        <f>$O$8*$X$8</f>
        <v>0</v>
      </c>
      <c r="AE8" s="6">
        <f ca="1">$K$8*$Y$8</f>
        <v>1689.2573294443403</v>
      </c>
      <c r="AF8" s="6">
        <f ca="1">$M$8*$Z$8</f>
        <v>0</v>
      </c>
      <c r="AG8" s="6">
        <f>$O$8*$AA$8</f>
        <v>0</v>
      </c>
      <c r="AI8" s="35" t="s">
        <v>916</v>
      </c>
      <c r="AJ8" s="36">
        <f>+$AJ$2+$AJ$3</f>
        <v>72451335.761710793</v>
      </c>
      <c r="AK8" s="36">
        <f ca="1">+$AK$2+$AK$3</f>
        <v>81743950.086437061</v>
      </c>
      <c r="AL8" s="37">
        <f t="shared" ca="1" si="2"/>
        <v>0.12826008281323142</v>
      </c>
      <c r="AN8" s="35" t="s">
        <v>916</v>
      </c>
      <c r="AO8" s="36">
        <f>+$AO$2+$AO$3</f>
        <v>38515374.705031224</v>
      </c>
      <c r="AP8" s="36">
        <f>+$AP$2+$AP$3</f>
        <v>50744147.523146607</v>
      </c>
      <c r="AQ8" s="37">
        <f t="shared" si="5"/>
        <v>0.31750366994399126</v>
      </c>
      <c r="AS8" s="35" t="s">
        <v>916</v>
      </c>
      <c r="AT8" s="36">
        <f>+$AT$2+$AT$3</f>
        <v>110966710.46674201</v>
      </c>
      <c r="AU8" s="36">
        <f ca="1">+$AU$2+$AU$3</f>
        <v>132488097.60958368</v>
      </c>
      <c r="AV8" s="37">
        <f t="shared" ca="1" si="8"/>
        <v>0.19394453572895509</v>
      </c>
    </row>
    <row r="9" spans="1:62" ht="11.25" customHeight="1" x14ac:dyDescent="0.25">
      <c r="A9" s="4" t="s">
        <v>21</v>
      </c>
      <c r="B9" s="4" t="s">
        <v>43</v>
      </c>
      <c r="C9" s="4" t="s">
        <v>42</v>
      </c>
      <c r="D9" s="4" t="s">
        <v>45</v>
      </c>
      <c r="E9" s="4" t="s">
        <v>25</v>
      </c>
      <c r="F9" s="4" t="s">
        <v>25</v>
      </c>
      <c r="G9" s="4" t="s">
        <v>25</v>
      </c>
      <c r="H9" s="4" t="s">
        <v>36</v>
      </c>
      <c r="I9" s="5">
        <v>44593</v>
      </c>
      <c r="J9" s="6">
        <v>30</v>
      </c>
      <c r="K9" s="6">
        <v>30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26</v>
      </c>
      <c r="R9" s="4">
        <v>0</v>
      </c>
      <c r="S9" s="6">
        <v>1</v>
      </c>
      <c r="T9" s="6">
        <v>0</v>
      </c>
      <c r="U9" s="6">
        <v>0</v>
      </c>
      <c r="V9" s="6">
        <f>IF(ISERROR(VLOOKUP($S$9,'TAR FIN'!$A$1:$O$115,15,0)),0,VLOOKUP($S$9,'TAR FIN'!$A$1:$O$115,15,0))</f>
        <v>56.22</v>
      </c>
      <c r="W9" s="6">
        <f>IF(ISERROR(VLOOKUP($T$9,'TAR FIN'!$A$1:$O$115,15,0)),0,VLOOKUP($T$9,'TAR FIN'!$A$1:$O$115,15,0))</f>
        <v>0</v>
      </c>
      <c r="X9" s="6">
        <f>IF(ISERROR(VLOOKUP($U$9,'TAR FIN'!$A$1:$O$115,15,0)),0,VLOOKUP($U$9,'TAR FIN'!$A$1:$O$115,15,0))</f>
        <v>0</v>
      </c>
      <c r="Y9" s="6">
        <f ca="1">('TUSD BE'!$AM$9+'TUSD BF'!$AM$9+'TUSD CVA'!$AM$9)*1</f>
        <v>56.308577648144677</v>
      </c>
      <c r="Z9" s="6">
        <f ca="1">('TUSD BE'!$AM$11+'TUSD BF'!$AM$11+'TUSD CVA'!$AM$11)*1</f>
        <v>113.43121292628391</v>
      </c>
      <c r="AA9" s="6">
        <f>('TE BE'!$AB$8+'TE BF'!$AB$8+'TE CVA'!$AB$8)*1</f>
        <v>362.64398683254075</v>
      </c>
      <c r="AB9" s="6">
        <f>$K$9*$V$9</f>
        <v>1686.6</v>
      </c>
      <c r="AC9" s="6">
        <f>$M$9*$W$9</f>
        <v>0</v>
      </c>
      <c r="AD9" s="6">
        <f>$O$9*$X$9</f>
        <v>0</v>
      </c>
      <c r="AE9" s="6">
        <f ca="1">$K$9*$Y$9</f>
        <v>1689.2573294443403</v>
      </c>
      <c r="AF9" s="6">
        <f ca="1">$M$9*$Z$9</f>
        <v>0</v>
      </c>
      <c r="AG9" s="6">
        <f>$O$9*$AA$9</f>
        <v>0</v>
      </c>
      <c r="AI9" s="35" t="s">
        <v>95</v>
      </c>
      <c r="AJ9" s="36">
        <f>+$AJ$4+$AJ$5+$AJ$6+$AJ$7</f>
        <v>367781475.11938387</v>
      </c>
      <c r="AK9" s="36">
        <f ca="1">+$AK$4+$AK$5+$AK$6+$AK$7</f>
        <v>398464073.61336035</v>
      </c>
      <c r="AL9" s="37">
        <f t="shared" ca="1" si="2"/>
        <v>8.3426166269023661E-2</v>
      </c>
      <c r="AN9" s="35" t="s">
        <v>95</v>
      </c>
      <c r="AO9" s="36">
        <f>+$AO$4+$AO$5+$AO$6+$AO$7</f>
        <v>142027094.59017357</v>
      </c>
      <c r="AP9" s="36">
        <f>+$AP$4+$AP$5+$AP$6+$AP$7</f>
        <v>186241611.53520435</v>
      </c>
      <c r="AQ9" s="37">
        <f t="shared" si="5"/>
        <v>0.31131043743881426</v>
      </c>
      <c r="AS9" s="35" t="s">
        <v>95</v>
      </c>
      <c r="AT9" s="36">
        <f>+$AT$4+$AT$5+$AT$6+$AT$7</f>
        <v>509808569.70955741</v>
      </c>
      <c r="AU9" s="36">
        <f ca="1">+$AU$4+$AU$5+$AU$6+$AU$7</f>
        <v>584705685.1485647</v>
      </c>
      <c r="AV9" s="37">
        <f t="shared" ca="1" si="8"/>
        <v>0.14691223311855439</v>
      </c>
    </row>
    <row r="10" spans="1:62" ht="11.25" customHeight="1" x14ac:dyDescent="0.25">
      <c r="A10" s="4" t="s">
        <v>21</v>
      </c>
      <c r="B10" s="4" t="s">
        <v>43</v>
      </c>
      <c r="C10" s="4" t="s">
        <v>42</v>
      </c>
      <c r="D10" s="4" t="s">
        <v>45</v>
      </c>
      <c r="E10" s="4" t="s">
        <v>25</v>
      </c>
      <c r="F10" s="4" t="s">
        <v>25</v>
      </c>
      <c r="G10" s="4" t="s">
        <v>25</v>
      </c>
      <c r="H10" s="4" t="s">
        <v>36</v>
      </c>
      <c r="I10" s="5">
        <v>44621</v>
      </c>
      <c r="J10" s="6">
        <v>30</v>
      </c>
      <c r="K10" s="6">
        <v>30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26</v>
      </c>
      <c r="R10" s="4">
        <v>0</v>
      </c>
      <c r="S10" s="6">
        <v>1</v>
      </c>
      <c r="T10" s="6">
        <v>0</v>
      </c>
      <c r="U10" s="6">
        <v>0</v>
      </c>
      <c r="V10" s="6">
        <f>IF(ISERROR(VLOOKUP($S$10,'TAR FIN'!$A$1:$O$115,15,0)),0,VLOOKUP($S$10,'TAR FIN'!$A$1:$O$115,15,0))</f>
        <v>56.22</v>
      </c>
      <c r="W10" s="6">
        <f>IF(ISERROR(VLOOKUP($T$10,'TAR FIN'!$A$1:$O$115,15,0)),0,VLOOKUP($T$10,'TAR FIN'!$A$1:$O$115,15,0))</f>
        <v>0</v>
      </c>
      <c r="X10" s="6">
        <f>IF(ISERROR(VLOOKUP($U$10,'TAR FIN'!$A$1:$O$115,15,0)),0,VLOOKUP($U$10,'TAR FIN'!$A$1:$O$115,15,0))</f>
        <v>0</v>
      </c>
      <c r="Y10" s="6">
        <f ca="1">('TUSD BE'!$AM$9+'TUSD BF'!$AM$9+'TUSD CVA'!$AM$9)*1</f>
        <v>56.308577648144677</v>
      </c>
      <c r="Z10" s="6">
        <f ca="1">('TUSD BE'!$AM$11+'TUSD BF'!$AM$11+'TUSD CVA'!$AM$11)*1</f>
        <v>113.43121292628391</v>
      </c>
      <c r="AA10" s="6">
        <f>('TE BE'!$AB$8+'TE BF'!$AB$8+'TE CVA'!$AB$8)*1</f>
        <v>362.64398683254075</v>
      </c>
      <c r="AB10" s="6">
        <f>$K$10*$V$10</f>
        <v>1686.6</v>
      </c>
      <c r="AC10" s="6">
        <f>$M$10*$W$10</f>
        <v>0</v>
      </c>
      <c r="AD10" s="6">
        <f>$O$10*$X$10</f>
        <v>0</v>
      </c>
      <c r="AE10" s="6">
        <f ca="1">$K$10*$Y$10</f>
        <v>1689.2573294443403</v>
      </c>
      <c r="AF10" s="6">
        <f ca="1">$M$10*$Z$10</f>
        <v>0</v>
      </c>
      <c r="AG10" s="6">
        <f>$O$10*$AA$10</f>
        <v>0</v>
      </c>
      <c r="AI10" s="35" t="s">
        <v>917</v>
      </c>
      <c r="AJ10" s="36">
        <f>AJ9+AJ8</f>
        <v>440232810.88109469</v>
      </c>
      <c r="AK10" s="36">
        <f ca="1">AK9+AK8</f>
        <v>480208023.69979739</v>
      </c>
      <c r="AL10" s="37">
        <f t="shared" ca="1" si="2"/>
        <v>9.0804710213886919E-2</v>
      </c>
      <c r="AN10" s="35" t="s">
        <v>917</v>
      </c>
      <c r="AO10" s="36">
        <f>AO9+AO8</f>
        <v>180542469.29520479</v>
      </c>
      <c r="AP10" s="36">
        <f>AP9+AP8</f>
        <v>236985759.05835095</v>
      </c>
      <c r="AQ10" s="37">
        <f t="shared" si="5"/>
        <v>0.31263164829575807</v>
      </c>
      <c r="AS10" s="35" t="s">
        <v>917</v>
      </c>
      <c r="AT10" s="36">
        <f>AT9+AT8</f>
        <v>620775280.17629945</v>
      </c>
      <c r="AU10" s="36">
        <f ca="1">AU9+AU8</f>
        <v>717193782.75814843</v>
      </c>
      <c r="AV10" s="37">
        <f t="shared" ca="1" si="8"/>
        <v>0.15531949428538172</v>
      </c>
    </row>
    <row r="11" spans="1:62" ht="11.25" customHeight="1" x14ac:dyDescent="0.25">
      <c r="A11" s="4" t="s">
        <v>21</v>
      </c>
      <c r="B11" s="4" t="s">
        <v>43</v>
      </c>
      <c r="C11" s="4" t="s">
        <v>42</v>
      </c>
      <c r="D11" s="4" t="s">
        <v>45</v>
      </c>
      <c r="E11" s="4" t="s">
        <v>25</v>
      </c>
      <c r="F11" s="4" t="s">
        <v>25</v>
      </c>
      <c r="G11" s="4" t="s">
        <v>25</v>
      </c>
      <c r="H11" s="4" t="s">
        <v>36</v>
      </c>
      <c r="I11" s="5">
        <v>44652</v>
      </c>
      <c r="J11" s="6">
        <v>30</v>
      </c>
      <c r="K11" s="6">
        <v>30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26</v>
      </c>
      <c r="R11" s="4">
        <v>0</v>
      </c>
      <c r="S11" s="6">
        <v>1</v>
      </c>
      <c r="T11" s="6">
        <v>0</v>
      </c>
      <c r="U11" s="6">
        <v>0</v>
      </c>
      <c r="V11" s="6">
        <f>IF(ISERROR(VLOOKUP($S$11,'TAR FIN'!$A$1:$O$115,15,0)),0,VLOOKUP($S$11,'TAR FIN'!$A$1:$O$115,15,0))</f>
        <v>56.22</v>
      </c>
      <c r="W11" s="6">
        <f>IF(ISERROR(VLOOKUP($T$11,'TAR FIN'!$A$1:$O$115,15,0)),0,VLOOKUP($T$11,'TAR FIN'!$A$1:$O$115,15,0))</f>
        <v>0</v>
      </c>
      <c r="X11" s="6">
        <f>IF(ISERROR(VLOOKUP($U$11,'TAR FIN'!$A$1:$O$115,15,0)),0,VLOOKUP($U$11,'TAR FIN'!$A$1:$O$115,15,0))</f>
        <v>0</v>
      </c>
      <c r="Y11" s="6">
        <f ca="1">('TUSD BE'!$AM$9+'TUSD BF'!$AM$9+'TUSD CVA'!$AM$9)*1</f>
        <v>56.308577648144677</v>
      </c>
      <c r="Z11" s="6">
        <f ca="1">('TUSD BE'!$AM$11+'TUSD BF'!$AM$11+'TUSD CVA'!$AM$11)*1</f>
        <v>113.43121292628391</v>
      </c>
      <c r="AA11" s="6">
        <f>('TE BE'!$AB$8+'TE BF'!$AB$8+'TE CVA'!$AB$8)*1</f>
        <v>362.64398683254075</v>
      </c>
      <c r="AB11" s="6">
        <f>$K$11*$V$11</f>
        <v>1686.6</v>
      </c>
      <c r="AC11" s="6">
        <f>$M$11*$W$11</f>
        <v>0</v>
      </c>
      <c r="AD11" s="6">
        <f>$O$11*$X$11</f>
        <v>0</v>
      </c>
      <c r="AE11" s="6">
        <f ca="1">$K$11*$Y$11</f>
        <v>1689.2573294443403</v>
      </c>
      <c r="AF11" s="6">
        <f ca="1">$M$11*$Z$11</f>
        <v>0</v>
      </c>
      <c r="AG11" s="6">
        <f>$O$11*$AA$11</f>
        <v>0</v>
      </c>
      <c r="AV11" s="68" t="s">
        <v>1458</v>
      </c>
    </row>
    <row r="12" spans="1:62" ht="11.25" customHeight="1" x14ac:dyDescent="0.25">
      <c r="A12" s="4" t="s">
        <v>21</v>
      </c>
      <c r="B12" s="4" t="s">
        <v>43</v>
      </c>
      <c r="C12" s="4" t="s">
        <v>44</v>
      </c>
      <c r="D12" s="4" t="s">
        <v>45</v>
      </c>
      <c r="E12" s="4" t="s">
        <v>25</v>
      </c>
      <c r="F12" s="4" t="s">
        <v>25</v>
      </c>
      <c r="G12" s="4" t="s">
        <v>25</v>
      </c>
      <c r="H12" s="4" t="s">
        <v>37</v>
      </c>
      <c r="I12" s="5">
        <v>44531</v>
      </c>
      <c r="J12" s="6">
        <v>0</v>
      </c>
      <c r="K12" s="6">
        <v>0</v>
      </c>
      <c r="L12" s="6">
        <v>14.657999999999999</v>
      </c>
      <c r="M12" s="6">
        <v>14.657999999999999</v>
      </c>
      <c r="N12" s="6">
        <v>14.657999999999999</v>
      </c>
      <c r="O12" s="6">
        <v>14.657999999999999</v>
      </c>
      <c r="P12" s="6">
        <v>0</v>
      </c>
      <c r="Q12" s="4" t="s">
        <v>26</v>
      </c>
      <c r="R12" s="4">
        <v>0</v>
      </c>
      <c r="S12" s="6">
        <v>0</v>
      </c>
      <c r="T12" s="6">
        <v>14</v>
      </c>
      <c r="U12" s="6">
        <v>72</v>
      </c>
      <c r="V12" s="6">
        <f>IF(ISERROR(VLOOKUP($S$12,'TAR FIN'!$A$1:$O$115,15,0)),0,VLOOKUP($S$12,'TAR FIN'!$A$1:$O$115,15,0))</f>
        <v>0</v>
      </c>
      <c r="W12" s="6">
        <f>IF(ISERROR(VLOOKUP($T$12,'TAR FIN'!$A$1:$O$115,15,0)),0,VLOOKUP($T$12,'TAR FIN'!$A$1:$O$115,15,0))</f>
        <v>84.31</v>
      </c>
      <c r="X12" s="6">
        <f>IF(ISERROR(VLOOKUP($U$12,'TAR FIN'!$A$1:$O$115,15,0)),0,VLOOKUP($U$12,'TAR FIN'!$A$1:$O$115,15,0))</f>
        <v>168.06</v>
      </c>
      <c r="Y12" s="6"/>
      <c r="Z12" s="6">
        <f ca="1">('TUSD BE'!$AM$16+'TUSD BF'!$AM$16+'TUSD CVA'!$AM$16)*1</f>
        <v>113.43121292628391</v>
      </c>
      <c r="AA12" s="6">
        <f>('TE BE'!$AB$9+'TE BF'!$AB$9+'TE CVA'!$AB$9)*1</f>
        <v>218.6854278594964</v>
      </c>
      <c r="AB12" s="6">
        <f>$K$12*$V$12</f>
        <v>0</v>
      </c>
      <c r="AC12" s="6">
        <f>$M$12*$W$12</f>
        <v>1235.8159800000001</v>
      </c>
      <c r="AD12" s="6">
        <f>$O$12*$X$12</f>
        <v>2463.4234799999999</v>
      </c>
      <c r="AE12" s="6">
        <f>$K$12*$Y$12</f>
        <v>0</v>
      </c>
      <c r="AF12" s="6">
        <f ca="1">$M$12*$Z$12</f>
        <v>1662.6747190734695</v>
      </c>
      <c r="AG12" s="6">
        <f>$O$12*$AA$12</f>
        <v>3205.4910015644982</v>
      </c>
      <c r="BF12" s="51"/>
      <c r="BJ12" s="51"/>
    </row>
    <row r="13" spans="1:62" ht="11.25" customHeight="1" x14ac:dyDescent="0.25">
      <c r="A13" s="4" t="s">
        <v>21</v>
      </c>
      <c r="B13" s="4" t="s">
        <v>43</v>
      </c>
      <c r="C13" s="4" t="s">
        <v>44</v>
      </c>
      <c r="D13" s="4" t="s">
        <v>45</v>
      </c>
      <c r="E13" s="4" t="s">
        <v>25</v>
      </c>
      <c r="F13" s="4" t="s">
        <v>25</v>
      </c>
      <c r="G13" s="4" t="s">
        <v>25</v>
      </c>
      <c r="H13" s="4" t="s">
        <v>37</v>
      </c>
      <c r="I13" s="5">
        <v>44562</v>
      </c>
      <c r="J13" s="6">
        <v>0</v>
      </c>
      <c r="K13" s="6">
        <v>0</v>
      </c>
      <c r="L13" s="6">
        <v>10.865</v>
      </c>
      <c r="M13" s="6">
        <v>10.865</v>
      </c>
      <c r="N13" s="6">
        <v>10.865</v>
      </c>
      <c r="O13" s="6">
        <v>10.865</v>
      </c>
      <c r="P13" s="6">
        <v>0</v>
      </c>
      <c r="Q13" s="4" t="s">
        <v>26</v>
      </c>
      <c r="R13" s="4">
        <v>0</v>
      </c>
      <c r="S13" s="6">
        <v>0</v>
      </c>
      <c r="T13" s="6">
        <v>14</v>
      </c>
      <c r="U13" s="6">
        <v>72</v>
      </c>
      <c r="V13" s="6">
        <f>IF(ISERROR(VLOOKUP($S$13,'TAR FIN'!$A$1:$O$115,15,0)),0,VLOOKUP($S$13,'TAR FIN'!$A$1:$O$115,15,0))</f>
        <v>0</v>
      </c>
      <c r="W13" s="6">
        <f>IF(ISERROR(VLOOKUP($T$13,'TAR FIN'!$A$1:$O$115,15,0)),0,VLOOKUP($T$13,'TAR FIN'!$A$1:$O$115,15,0))</f>
        <v>84.31</v>
      </c>
      <c r="X13" s="6">
        <f>IF(ISERROR(VLOOKUP($U$13,'TAR FIN'!$A$1:$O$115,15,0)),0,VLOOKUP($U$13,'TAR FIN'!$A$1:$O$115,15,0))</f>
        <v>168.06</v>
      </c>
      <c r="Y13" s="6"/>
      <c r="Z13" s="6">
        <f ca="1">('TUSD BE'!$AM$16+'TUSD BF'!$AM$16+'TUSD CVA'!$AM$16)*1</f>
        <v>113.43121292628391</v>
      </c>
      <c r="AA13" s="6">
        <f>('TE BE'!$AB$9+'TE BF'!$AB$9+'TE CVA'!$AB$9)*1</f>
        <v>218.6854278594964</v>
      </c>
      <c r="AB13" s="6">
        <f>$K$13*$V$13</f>
        <v>0</v>
      </c>
      <c r="AC13" s="6">
        <f>$M$13*$W$13</f>
        <v>916.0281500000001</v>
      </c>
      <c r="AD13" s="6">
        <f>$O$13*$X$13</f>
        <v>1825.9719</v>
      </c>
      <c r="AE13" s="6">
        <f>$K$13*$Y$13</f>
        <v>0</v>
      </c>
      <c r="AF13" s="6">
        <f ca="1">$M$13*$Z$13</f>
        <v>1232.4301284440746</v>
      </c>
      <c r="AG13" s="6">
        <f>$O$13*$AA$13</f>
        <v>2376.0171736934285</v>
      </c>
      <c r="AU13" s="50">
        <f ca="1">AU10+SUM(SUBSIDIO!AJ2:AJ9)</f>
        <v>749612283.33802056</v>
      </c>
    </row>
    <row r="14" spans="1:62" ht="11.25" customHeight="1" x14ac:dyDescent="0.25">
      <c r="A14" s="4" t="s">
        <v>21</v>
      </c>
      <c r="B14" s="4" t="s">
        <v>43</v>
      </c>
      <c r="C14" s="4" t="s">
        <v>44</v>
      </c>
      <c r="D14" s="4" t="s">
        <v>45</v>
      </c>
      <c r="E14" s="4" t="s">
        <v>25</v>
      </c>
      <c r="F14" s="4" t="s">
        <v>25</v>
      </c>
      <c r="G14" s="4" t="s">
        <v>25</v>
      </c>
      <c r="H14" s="4" t="s">
        <v>37</v>
      </c>
      <c r="I14" s="5">
        <v>44593</v>
      </c>
      <c r="J14" s="6">
        <v>0</v>
      </c>
      <c r="K14" s="6">
        <v>0</v>
      </c>
      <c r="L14" s="6">
        <v>9.2089999999999996</v>
      </c>
      <c r="M14" s="6">
        <v>9.2089999999999996</v>
      </c>
      <c r="N14" s="6">
        <v>9.2089999999999996</v>
      </c>
      <c r="O14" s="6">
        <v>9.2089999999999996</v>
      </c>
      <c r="P14" s="6">
        <v>0</v>
      </c>
      <c r="Q14" s="4" t="s">
        <v>26</v>
      </c>
      <c r="R14" s="4">
        <v>0</v>
      </c>
      <c r="S14" s="6">
        <v>0</v>
      </c>
      <c r="T14" s="6">
        <v>14</v>
      </c>
      <c r="U14" s="6">
        <v>72</v>
      </c>
      <c r="V14" s="6">
        <f>IF(ISERROR(VLOOKUP($S$14,'TAR FIN'!$A$1:$O$115,15,0)),0,VLOOKUP($S$14,'TAR FIN'!$A$1:$O$115,15,0))</f>
        <v>0</v>
      </c>
      <c r="W14" s="6">
        <f>IF(ISERROR(VLOOKUP($T$14,'TAR FIN'!$A$1:$O$115,15,0)),0,VLOOKUP($T$14,'TAR FIN'!$A$1:$O$115,15,0))</f>
        <v>84.31</v>
      </c>
      <c r="X14" s="6">
        <f>IF(ISERROR(VLOOKUP($U$14,'TAR FIN'!$A$1:$O$115,15,0)),0,VLOOKUP($U$14,'TAR FIN'!$A$1:$O$115,15,0))</f>
        <v>168.06</v>
      </c>
      <c r="Y14" s="6"/>
      <c r="Z14" s="6">
        <f ca="1">('TUSD BE'!$AM$16+'TUSD BF'!$AM$16+'TUSD CVA'!$AM$16)*1</f>
        <v>113.43121292628391</v>
      </c>
      <c r="AA14" s="6">
        <f>('TE BE'!$AB$9+'TE BF'!$AB$9+'TE CVA'!$AB$9)*1</f>
        <v>218.6854278594964</v>
      </c>
      <c r="AB14" s="6">
        <f>$K$14*$V$14</f>
        <v>0</v>
      </c>
      <c r="AC14" s="6">
        <f>$M$14*$W$14</f>
        <v>776.41079000000002</v>
      </c>
      <c r="AD14" s="6">
        <f>$O$14*$X$14</f>
        <v>1547.66454</v>
      </c>
      <c r="AE14" s="6">
        <f>$K$14*$Y$14</f>
        <v>0</v>
      </c>
      <c r="AF14" s="6">
        <f ca="1">$M$14*$Z$14</f>
        <v>1044.5880398381485</v>
      </c>
      <c r="AG14" s="6">
        <f>$O$14*$AA$14</f>
        <v>2013.8741051581023</v>
      </c>
    </row>
    <row r="15" spans="1:62" ht="11.25" customHeight="1" x14ac:dyDescent="0.25">
      <c r="A15" s="4" t="s">
        <v>21</v>
      </c>
      <c r="B15" s="4" t="s">
        <v>43</v>
      </c>
      <c r="C15" s="4" t="s">
        <v>44</v>
      </c>
      <c r="D15" s="4" t="s">
        <v>45</v>
      </c>
      <c r="E15" s="4" t="s">
        <v>25</v>
      </c>
      <c r="F15" s="4" t="s">
        <v>25</v>
      </c>
      <c r="G15" s="4" t="s">
        <v>25</v>
      </c>
      <c r="H15" s="4" t="s">
        <v>37</v>
      </c>
      <c r="I15" s="5">
        <v>44621</v>
      </c>
      <c r="J15" s="6">
        <v>0</v>
      </c>
      <c r="K15" s="6">
        <v>0</v>
      </c>
      <c r="L15" s="6">
        <v>7.3259999999999996</v>
      </c>
      <c r="M15" s="6">
        <v>7.3259999999999996</v>
      </c>
      <c r="N15" s="6">
        <v>7.3259999999999996</v>
      </c>
      <c r="O15" s="6">
        <v>7.3259999999999996</v>
      </c>
      <c r="P15" s="6">
        <v>0</v>
      </c>
      <c r="Q15" s="4" t="s">
        <v>26</v>
      </c>
      <c r="R15" s="4">
        <v>0</v>
      </c>
      <c r="S15" s="6">
        <v>0</v>
      </c>
      <c r="T15" s="6">
        <v>14</v>
      </c>
      <c r="U15" s="6">
        <v>72</v>
      </c>
      <c r="V15" s="6">
        <f>IF(ISERROR(VLOOKUP($S$15,'TAR FIN'!$A$1:$O$115,15,0)),0,VLOOKUP($S$15,'TAR FIN'!$A$1:$O$115,15,0))</f>
        <v>0</v>
      </c>
      <c r="W15" s="6">
        <f>IF(ISERROR(VLOOKUP($T$15,'TAR FIN'!$A$1:$O$115,15,0)),0,VLOOKUP($T$15,'TAR FIN'!$A$1:$O$115,15,0))</f>
        <v>84.31</v>
      </c>
      <c r="X15" s="6">
        <f>IF(ISERROR(VLOOKUP($U$15,'TAR FIN'!$A$1:$O$115,15,0)),0,VLOOKUP($U$15,'TAR FIN'!$A$1:$O$115,15,0))</f>
        <v>168.06</v>
      </c>
      <c r="Y15" s="6"/>
      <c r="Z15" s="6">
        <f ca="1">('TUSD BE'!$AM$16+'TUSD BF'!$AM$16+'TUSD CVA'!$AM$16)*1</f>
        <v>113.43121292628391</v>
      </c>
      <c r="AA15" s="6">
        <f>('TE BE'!$AB$9+'TE BF'!$AB$9+'TE CVA'!$AB$9)*1</f>
        <v>218.6854278594964</v>
      </c>
      <c r="AB15" s="6">
        <f>$K$15*$V$15</f>
        <v>0</v>
      </c>
      <c r="AC15" s="6">
        <f>$M$15*$W$15</f>
        <v>617.65505999999993</v>
      </c>
      <c r="AD15" s="6">
        <f>$O$15*$X$15</f>
        <v>1231.2075600000001</v>
      </c>
      <c r="AE15" s="6">
        <f>$K$15*$Y$15</f>
        <v>0</v>
      </c>
      <c r="AF15" s="6">
        <f ca="1">$M$15*$Z$15</f>
        <v>830.99706589795585</v>
      </c>
      <c r="AG15" s="6">
        <f>$O$15*$AA$15</f>
        <v>1602.0894444986704</v>
      </c>
      <c r="AU15" s="50">
        <f>CUSTOS!D47+CUSTOS!E47+CUSTOS!F47</f>
        <v>749612283.33802247</v>
      </c>
    </row>
    <row r="16" spans="1:62" ht="11.25" customHeight="1" x14ac:dyDescent="0.25">
      <c r="A16" s="4" t="s">
        <v>21</v>
      </c>
      <c r="B16" s="4" t="s">
        <v>43</v>
      </c>
      <c r="C16" s="4" t="s">
        <v>44</v>
      </c>
      <c r="D16" s="4" t="s">
        <v>45</v>
      </c>
      <c r="E16" s="4" t="s">
        <v>25</v>
      </c>
      <c r="F16" s="4" t="s">
        <v>25</v>
      </c>
      <c r="G16" s="4" t="s">
        <v>25</v>
      </c>
      <c r="H16" s="4" t="s">
        <v>37</v>
      </c>
      <c r="I16" s="5">
        <v>44652</v>
      </c>
      <c r="J16" s="6">
        <v>0</v>
      </c>
      <c r="K16" s="6">
        <v>0</v>
      </c>
      <c r="L16" s="6">
        <v>9.3279999999999994</v>
      </c>
      <c r="M16" s="6">
        <v>9.3279999999999994</v>
      </c>
      <c r="N16" s="6">
        <v>9.3279999999999994</v>
      </c>
      <c r="O16" s="6">
        <v>9.3279999999999994</v>
      </c>
      <c r="P16" s="6">
        <v>0</v>
      </c>
      <c r="Q16" s="4" t="s">
        <v>26</v>
      </c>
      <c r="R16" s="4">
        <v>0</v>
      </c>
      <c r="S16" s="6">
        <v>0</v>
      </c>
      <c r="T16" s="6">
        <v>14</v>
      </c>
      <c r="U16" s="6">
        <v>72</v>
      </c>
      <c r="V16" s="6">
        <f>IF(ISERROR(VLOOKUP($S$16,'TAR FIN'!$A$1:$O$115,15,0)),0,VLOOKUP($S$16,'TAR FIN'!$A$1:$O$115,15,0))</f>
        <v>0</v>
      </c>
      <c r="W16" s="6">
        <f>IF(ISERROR(VLOOKUP($T$16,'TAR FIN'!$A$1:$O$115,15,0)),0,VLOOKUP($T$16,'TAR FIN'!$A$1:$O$115,15,0))</f>
        <v>84.31</v>
      </c>
      <c r="X16" s="6">
        <f>IF(ISERROR(VLOOKUP($U$16,'TAR FIN'!$A$1:$O$115,15,0)),0,VLOOKUP($U$16,'TAR FIN'!$A$1:$O$115,15,0))</f>
        <v>168.06</v>
      </c>
      <c r="Y16" s="6"/>
      <c r="Z16" s="6">
        <f ca="1">('TUSD BE'!$AM$16+'TUSD BF'!$AM$16+'TUSD CVA'!$AM$16)*1</f>
        <v>113.43121292628391</v>
      </c>
      <c r="AA16" s="6">
        <f>('TE BE'!$AB$9+'TE BF'!$AB$9+'TE CVA'!$AB$9)*1</f>
        <v>218.6854278594964</v>
      </c>
      <c r="AB16" s="6">
        <f>$K$16*$V$16</f>
        <v>0</v>
      </c>
      <c r="AC16" s="6">
        <f>$M$16*$W$16</f>
        <v>786.44367999999997</v>
      </c>
      <c r="AD16" s="6">
        <f>$O$16*$X$16</f>
        <v>1567.6636799999999</v>
      </c>
      <c r="AE16" s="6">
        <f>$K$16*$Y$16</f>
        <v>0</v>
      </c>
      <c r="AF16" s="6">
        <f ca="1">$M$16*$Z$16</f>
        <v>1058.0863541763763</v>
      </c>
      <c r="AG16" s="6">
        <f>$O$16*$AA$16</f>
        <v>2039.8976710733823</v>
      </c>
    </row>
    <row r="17" spans="1:47" ht="11.25" customHeight="1" x14ac:dyDescent="0.25">
      <c r="A17" s="4" t="s">
        <v>21</v>
      </c>
      <c r="B17" s="4" t="s">
        <v>43</v>
      </c>
      <c r="C17" s="4" t="s">
        <v>44</v>
      </c>
      <c r="D17" s="4" t="s">
        <v>45</v>
      </c>
      <c r="E17" s="4" t="s">
        <v>25</v>
      </c>
      <c r="F17" s="4" t="s">
        <v>25</v>
      </c>
      <c r="G17" s="4" t="s">
        <v>25</v>
      </c>
      <c r="H17" s="4" t="s">
        <v>37</v>
      </c>
      <c r="I17" s="5">
        <v>44682</v>
      </c>
      <c r="J17" s="6">
        <v>0</v>
      </c>
      <c r="K17" s="6">
        <v>0</v>
      </c>
      <c r="L17" s="6">
        <v>11.054</v>
      </c>
      <c r="M17" s="6">
        <v>11.054</v>
      </c>
      <c r="N17" s="6">
        <v>11.054</v>
      </c>
      <c r="O17" s="6">
        <v>11.054</v>
      </c>
      <c r="P17" s="6">
        <v>0</v>
      </c>
      <c r="Q17" s="4" t="s">
        <v>26</v>
      </c>
      <c r="R17" s="4">
        <v>0</v>
      </c>
      <c r="S17" s="6">
        <v>0</v>
      </c>
      <c r="T17" s="6">
        <v>14</v>
      </c>
      <c r="U17" s="6">
        <v>72</v>
      </c>
      <c r="V17" s="6">
        <f>IF(ISERROR(VLOOKUP($S$17,'TAR FIN'!$A$1:$O$115,15,0)),0,VLOOKUP($S$17,'TAR FIN'!$A$1:$O$115,15,0))</f>
        <v>0</v>
      </c>
      <c r="W17" s="6">
        <f>IF(ISERROR(VLOOKUP($T$17,'TAR FIN'!$A$1:$O$115,15,0)),0,VLOOKUP($T$17,'TAR FIN'!$A$1:$O$115,15,0))</f>
        <v>84.31</v>
      </c>
      <c r="X17" s="6">
        <f>IF(ISERROR(VLOOKUP($U$17,'TAR FIN'!$A$1:$O$115,15,0)),0,VLOOKUP($U$17,'TAR FIN'!$A$1:$O$115,15,0))</f>
        <v>168.06</v>
      </c>
      <c r="Y17" s="6"/>
      <c r="Z17" s="6">
        <f ca="1">('TUSD BE'!$AM$16+'TUSD BF'!$AM$16+'TUSD CVA'!$AM$16)*1</f>
        <v>113.43121292628391</v>
      </c>
      <c r="AA17" s="6">
        <f>('TE BE'!$AB$9+'TE BF'!$AB$9+'TE CVA'!$AB$9)*1</f>
        <v>218.6854278594964</v>
      </c>
      <c r="AB17" s="6">
        <f>$K$17*$V$17</f>
        <v>0</v>
      </c>
      <c r="AC17" s="6">
        <f>$M$17*$W$17</f>
        <v>931.96274000000005</v>
      </c>
      <c r="AD17" s="6">
        <f>$O$17*$X$17</f>
        <v>1857.73524</v>
      </c>
      <c r="AE17" s="6">
        <f>$K$17*$Y$17</f>
        <v>0</v>
      </c>
      <c r="AF17" s="6">
        <f ca="1">$M$17*$Z$17</f>
        <v>1253.8686276871424</v>
      </c>
      <c r="AG17" s="6">
        <f>$O$17*$AA$17</f>
        <v>2417.3487195588732</v>
      </c>
    </row>
    <row r="18" spans="1:47" ht="11.25" customHeight="1" x14ac:dyDescent="0.25">
      <c r="A18" s="4" t="s">
        <v>21</v>
      </c>
      <c r="B18" s="4" t="s">
        <v>43</v>
      </c>
      <c r="C18" s="4" t="s">
        <v>44</v>
      </c>
      <c r="D18" s="4" t="s">
        <v>45</v>
      </c>
      <c r="E18" s="4" t="s">
        <v>25</v>
      </c>
      <c r="F18" s="4" t="s">
        <v>25</v>
      </c>
      <c r="G18" s="4" t="s">
        <v>25</v>
      </c>
      <c r="H18" s="4" t="s">
        <v>37</v>
      </c>
      <c r="I18" s="5">
        <v>44713</v>
      </c>
      <c r="J18" s="6">
        <v>0</v>
      </c>
      <c r="K18" s="6">
        <v>0</v>
      </c>
      <c r="L18" s="6">
        <v>8.875</v>
      </c>
      <c r="M18" s="6">
        <v>8.875</v>
      </c>
      <c r="N18" s="6">
        <v>8.875</v>
      </c>
      <c r="O18" s="6">
        <v>8.875</v>
      </c>
      <c r="P18" s="6">
        <v>0</v>
      </c>
      <c r="Q18" s="4" t="s">
        <v>26</v>
      </c>
      <c r="R18" s="4">
        <v>0</v>
      </c>
      <c r="S18" s="6">
        <v>0</v>
      </c>
      <c r="T18" s="6">
        <v>14</v>
      </c>
      <c r="U18" s="6">
        <v>72</v>
      </c>
      <c r="V18" s="6">
        <f>IF(ISERROR(VLOOKUP($S$18,'TAR FIN'!$A$1:$O$115,15,0)),0,VLOOKUP($S$18,'TAR FIN'!$A$1:$O$115,15,0))</f>
        <v>0</v>
      </c>
      <c r="W18" s="6">
        <f>IF(ISERROR(VLOOKUP($T$18,'TAR FIN'!$A$1:$O$115,15,0)),0,VLOOKUP($T$18,'TAR FIN'!$A$1:$O$115,15,0))</f>
        <v>84.31</v>
      </c>
      <c r="X18" s="6">
        <f>IF(ISERROR(VLOOKUP($U$18,'TAR FIN'!$A$1:$O$115,15,0)),0,VLOOKUP($U$18,'TAR FIN'!$A$1:$O$115,15,0))</f>
        <v>168.06</v>
      </c>
      <c r="Y18" s="6"/>
      <c r="Z18" s="6">
        <f ca="1">('TUSD BE'!$AM$16+'TUSD BF'!$AM$16+'TUSD CVA'!$AM$16)*1</f>
        <v>113.43121292628391</v>
      </c>
      <c r="AA18" s="6">
        <f>('TE BE'!$AB$9+'TE BF'!$AB$9+'TE CVA'!$AB$9)*1</f>
        <v>218.6854278594964</v>
      </c>
      <c r="AB18" s="6">
        <f>$K$18*$V$18</f>
        <v>0</v>
      </c>
      <c r="AC18" s="6">
        <f>$M$18*$W$18</f>
        <v>748.25125000000003</v>
      </c>
      <c r="AD18" s="6">
        <f>$O$18*$X$18</f>
        <v>1491.5325</v>
      </c>
      <c r="AE18" s="6">
        <f>$K$18*$Y$18</f>
        <v>0</v>
      </c>
      <c r="AF18" s="6">
        <f ca="1">$M$18*$Z$18</f>
        <v>1006.7020147207696</v>
      </c>
      <c r="AG18" s="6">
        <f>$O$18*$AA$18</f>
        <v>1940.8331722530306</v>
      </c>
      <c r="AU18" s="50">
        <f ca="1">AU13-AU15</f>
        <v>-1.9073486328125E-6</v>
      </c>
    </row>
    <row r="19" spans="1:47" ht="11.25" customHeight="1" x14ac:dyDescent="0.25">
      <c r="A19" s="4" t="s">
        <v>21</v>
      </c>
      <c r="B19" s="4" t="s">
        <v>43</v>
      </c>
      <c r="C19" s="4" t="s">
        <v>44</v>
      </c>
      <c r="D19" s="4" t="s">
        <v>45</v>
      </c>
      <c r="E19" s="4" t="s">
        <v>25</v>
      </c>
      <c r="F19" s="4" t="s">
        <v>25</v>
      </c>
      <c r="G19" s="4" t="s">
        <v>25</v>
      </c>
      <c r="H19" s="4" t="s">
        <v>37</v>
      </c>
      <c r="I19" s="5">
        <v>44743</v>
      </c>
      <c r="J19" s="6">
        <v>0</v>
      </c>
      <c r="K19" s="6">
        <v>0</v>
      </c>
      <c r="L19" s="6">
        <v>17.614999999999998</v>
      </c>
      <c r="M19" s="6">
        <v>17.614999999999998</v>
      </c>
      <c r="N19" s="6">
        <v>17.614999999999998</v>
      </c>
      <c r="O19" s="6">
        <v>17.614999999999998</v>
      </c>
      <c r="P19" s="6">
        <v>0</v>
      </c>
      <c r="Q19" s="4" t="s">
        <v>26</v>
      </c>
      <c r="R19" s="4">
        <v>0</v>
      </c>
      <c r="S19" s="6">
        <v>0</v>
      </c>
      <c r="T19" s="6">
        <v>14</v>
      </c>
      <c r="U19" s="6">
        <v>72</v>
      </c>
      <c r="V19" s="6">
        <f>IF(ISERROR(VLOOKUP($S$19,'TAR FIN'!$A$1:$O$115,15,0)),0,VLOOKUP($S$19,'TAR FIN'!$A$1:$O$115,15,0))</f>
        <v>0</v>
      </c>
      <c r="W19" s="6">
        <f>IF(ISERROR(VLOOKUP($T$19,'TAR FIN'!$A$1:$O$115,15,0)),0,VLOOKUP($T$19,'TAR FIN'!$A$1:$O$115,15,0))</f>
        <v>84.31</v>
      </c>
      <c r="X19" s="6">
        <f>IF(ISERROR(VLOOKUP($U$19,'TAR FIN'!$A$1:$O$115,15,0)),0,VLOOKUP($U$19,'TAR FIN'!$A$1:$O$115,15,0))</f>
        <v>168.06</v>
      </c>
      <c r="Y19" s="6"/>
      <c r="Z19" s="6">
        <f ca="1">('TUSD BE'!$AM$16+'TUSD BF'!$AM$16+'TUSD CVA'!$AM$16)*1</f>
        <v>113.43121292628391</v>
      </c>
      <c r="AA19" s="6">
        <f>('TE BE'!$AB$9+'TE BF'!$AB$9+'TE CVA'!$AB$9)*1</f>
        <v>218.6854278594964</v>
      </c>
      <c r="AB19" s="6">
        <f>$K$19*$V$19</f>
        <v>0</v>
      </c>
      <c r="AC19" s="6">
        <f>$M$19*$W$19</f>
        <v>1485.1206499999998</v>
      </c>
      <c r="AD19" s="6">
        <f>$O$19*$X$19</f>
        <v>2960.3768999999998</v>
      </c>
      <c r="AE19" s="6">
        <f>$K$19*$Y$19</f>
        <v>0</v>
      </c>
      <c r="AF19" s="6">
        <f ca="1">$M$19*$Z$19</f>
        <v>1998.0908156964908</v>
      </c>
      <c r="AG19" s="6">
        <f>$O$19*$AA$19</f>
        <v>3852.1438117450289</v>
      </c>
    </row>
    <row r="20" spans="1:47" ht="11.25" customHeight="1" x14ac:dyDescent="0.25">
      <c r="A20" s="4" t="s">
        <v>27</v>
      </c>
      <c r="B20" s="4" t="s">
        <v>43</v>
      </c>
      <c r="C20" s="4" t="s">
        <v>44</v>
      </c>
      <c r="D20" s="4" t="s">
        <v>45</v>
      </c>
      <c r="E20" s="4" t="s">
        <v>25</v>
      </c>
      <c r="F20" s="4" t="s">
        <v>25</v>
      </c>
      <c r="G20" s="4" t="s">
        <v>25</v>
      </c>
      <c r="H20" s="4" t="s">
        <v>37</v>
      </c>
      <c r="I20" s="5">
        <v>44743</v>
      </c>
      <c r="J20" s="6">
        <v>0</v>
      </c>
      <c r="K20" s="6">
        <v>0</v>
      </c>
      <c r="L20" s="6">
        <v>-0.65600000000000003</v>
      </c>
      <c r="M20" s="6">
        <v>-0.65600000000000003</v>
      </c>
      <c r="N20" s="6">
        <v>-0.65600000000000003</v>
      </c>
      <c r="O20" s="6">
        <v>-0.65600000000000003</v>
      </c>
      <c r="P20" s="6">
        <v>0</v>
      </c>
      <c r="Q20" s="4" t="s">
        <v>26</v>
      </c>
      <c r="R20" s="4">
        <v>0</v>
      </c>
      <c r="S20" s="6">
        <v>0</v>
      </c>
      <c r="T20" s="6">
        <v>14</v>
      </c>
      <c r="U20" s="6">
        <v>72</v>
      </c>
      <c r="V20" s="6">
        <f>IF(ISERROR(VLOOKUP($S$20,'TAR FIN'!$A$1:$O$115,15,0)),0,VLOOKUP($S$20,'TAR FIN'!$A$1:$O$115,15,0))</f>
        <v>0</v>
      </c>
      <c r="W20" s="6">
        <f>IF(ISERROR(VLOOKUP($T$20,'TAR FIN'!$A$1:$O$115,15,0)),0,VLOOKUP($T$20,'TAR FIN'!$A$1:$O$115,15,0))</f>
        <v>84.31</v>
      </c>
      <c r="X20" s="6">
        <f>IF(ISERROR(VLOOKUP($U$20,'TAR FIN'!$A$1:$O$115,15,0)),0,VLOOKUP($U$20,'TAR FIN'!$A$1:$O$115,15,0))</f>
        <v>168.06</v>
      </c>
      <c r="Y20" s="6"/>
      <c r="Z20" s="6">
        <f ca="1">('TUSD BE'!$AM$16+'TUSD BF'!$AM$16+'TUSD CVA'!$AM$16)*1</f>
        <v>113.43121292628391</v>
      </c>
      <c r="AA20" s="6">
        <f>('TE BE'!$AB$9+'TE BF'!$AB$9+'TE CVA'!$AB$9)*1</f>
        <v>218.6854278594964</v>
      </c>
      <c r="AB20" s="6">
        <f>$K$20*$V$20</f>
        <v>0</v>
      </c>
      <c r="AC20" s="6">
        <f>$M$20*$W$20</f>
        <v>-55.307360000000003</v>
      </c>
      <c r="AD20" s="6">
        <f>$O$20*$X$20</f>
        <v>-110.24736</v>
      </c>
      <c r="AE20" s="6">
        <f>$K$20*$Y$20</f>
        <v>0</v>
      </c>
      <c r="AF20" s="6">
        <f ca="1">$M$20*$Z$20</f>
        <v>-74.410875679642245</v>
      </c>
      <c r="AG20" s="6">
        <f>$O$20*$AA$20</f>
        <v>-143.45764067582965</v>
      </c>
    </row>
    <row r="21" spans="1:47" ht="11.25" customHeight="1" x14ac:dyDescent="0.25">
      <c r="A21" s="4" t="s">
        <v>21</v>
      </c>
      <c r="B21" s="4" t="s">
        <v>43</v>
      </c>
      <c r="C21" s="4" t="s">
        <v>44</v>
      </c>
      <c r="D21" s="4" t="s">
        <v>45</v>
      </c>
      <c r="E21" s="4" t="s">
        <v>25</v>
      </c>
      <c r="F21" s="4" t="s">
        <v>25</v>
      </c>
      <c r="G21" s="4" t="s">
        <v>25</v>
      </c>
      <c r="H21" s="4" t="s">
        <v>37</v>
      </c>
      <c r="I21" s="5">
        <v>44774</v>
      </c>
      <c r="J21" s="6">
        <v>0</v>
      </c>
      <c r="K21" s="6">
        <v>0</v>
      </c>
      <c r="L21" s="6">
        <v>26.512</v>
      </c>
      <c r="M21" s="6">
        <v>26.512</v>
      </c>
      <c r="N21" s="6">
        <v>26.512</v>
      </c>
      <c r="O21" s="6">
        <v>26.512</v>
      </c>
      <c r="P21" s="6">
        <v>0</v>
      </c>
      <c r="Q21" s="4" t="s">
        <v>26</v>
      </c>
      <c r="R21" s="4">
        <v>0</v>
      </c>
      <c r="S21" s="6">
        <v>0</v>
      </c>
      <c r="T21" s="6">
        <v>14</v>
      </c>
      <c r="U21" s="6">
        <v>72</v>
      </c>
      <c r="V21" s="6">
        <f>IF(ISERROR(VLOOKUP($S$21,'TAR FIN'!$A$1:$O$115,15,0)),0,VLOOKUP($S$21,'TAR FIN'!$A$1:$O$115,15,0))</f>
        <v>0</v>
      </c>
      <c r="W21" s="6">
        <f>IF(ISERROR(VLOOKUP($T$21,'TAR FIN'!$A$1:$O$115,15,0)),0,VLOOKUP($T$21,'TAR FIN'!$A$1:$O$115,15,0))</f>
        <v>84.31</v>
      </c>
      <c r="X21" s="6">
        <f>IF(ISERROR(VLOOKUP($U$21,'TAR FIN'!$A$1:$O$115,15,0)),0,VLOOKUP($U$21,'TAR FIN'!$A$1:$O$115,15,0))</f>
        <v>168.06</v>
      </c>
      <c r="Y21" s="6"/>
      <c r="Z21" s="6">
        <f ca="1">('TUSD BE'!$AM$16+'TUSD BF'!$AM$16+'TUSD CVA'!$AM$16)*1</f>
        <v>113.43121292628391</v>
      </c>
      <c r="AA21" s="6">
        <f>('TE BE'!$AB$9+'TE BF'!$AB$9+'TE CVA'!$AB$9)*1</f>
        <v>218.6854278594964</v>
      </c>
      <c r="AB21" s="6">
        <f>$K$21*$V$21</f>
        <v>0</v>
      </c>
      <c r="AC21" s="6">
        <f>$M$21*$W$21</f>
        <v>2235.2267200000001</v>
      </c>
      <c r="AD21" s="6">
        <f>$O$21*$X$21</f>
        <v>4455.6067199999998</v>
      </c>
      <c r="AE21" s="6">
        <f>$K$21*$Y$21</f>
        <v>0</v>
      </c>
      <c r="AF21" s="6">
        <f ca="1">$M$21*$Z$21</f>
        <v>3007.2883171016388</v>
      </c>
      <c r="AG21" s="6">
        <f>$O$21*$AA$21</f>
        <v>5797.7880634109688</v>
      </c>
    </row>
    <row r="22" spans="1:47" ht="11.25" customHeight="1" x14ac:dyDescent="0.25">
      <c r="A22" s="4" t="s">
        <v>21</v>
      </c>
      <c r="B22" s="4" t="s">
        <v>43</v>
      </c>
      <c r="C22" s="4" t="s">
        <v>44</v>
      </c>
      <c r="D22" s="4" t="s">
        <v>45</v>
      </c>
      <c r="E22" s="4" t="s">
        <v>25</v>
      </c>
      <c r="F22" s="4" t="s">
        <v>25</v>
      </c>
      <c r="G22" s="4" t="s">
        <v>25</v>
      </c>
      <c r="H22" s="4" t="s">
        <v>37</v>
      </c>
      <c r="I22" s="5">
        <v>44805</v>
      </c>
      <c r="J22" s="6">
        <v>0</v>
      </c>
      <c r="K22" s="6">
        <v>0</v>
      </c>
      <c r="L22" s="6">
        <v>24.059000000000001</v>
      </c>
      <c r="M22" s="6">
        <v>24.059000000000001</v>
      </c>
      <c r="N22" s="6">
        <v>24.059000000000001</v>
      </c>
      <c r="O22" s="6">
        <v>24.059000000000001</v>
      </c>
      <c r="P22" s="6">
        <v>0</v>
      </c>
      <c r="Q22" s="4" t="s">
        <v>26</v>
      </c>
      <c r="R22" s="4">
        <v>0</v>
      </c>
      <c r="S22" s="6">
        <v>0</v>
      </c>
      <c r="T22" s="6">
        <v>14</v>
      </c>
      <c r="U22" s="6">
        <v>72</v>
      </c>
      <c r="V22" s="6">
        <f>IF(ISERROR(VLOOKUP($S$22,'TAR FIN'!$A$1:$O$115,15,0)),0,VLOOKUP($S$22,'TAR FIN'!$A$1:$O$115,15,0))</f>
        <v>0</v>
      </c>
      <c r="W22" s="6">
        <f>IF(ISERROR(VLOOKUP($T$22,'TAR FIN'!$A$1:$O$115,15,0)),0,VLOOKUP($T$22,'TAR FIN'!$A$1:$O$115,15,0))</f>
        <v>84.31</v>
      </c>
      <c r="X22" s="6">
        <f>IF(ISERROR(VLOOKUP($U$22,'TAR FIN'!$A$1:$O$115,15,0)),0,VLOOKUP($U$22,'TAR FIN'!$A$1:$O$115,15,0))</f>
        <v>168.06</v>
      </c>
      <c r="Y22" s="6"/>
      <c r="Z22" s="6">
        <f ca="1">('TUSD BE'!$AM$16+'TUSD BF'!$AM$16+'TUSD CVA'!$AM$16)*1</f>
        <v>113.43121292628391</v>
      </c>
      <c r="AA22" s="6">
        <f>('TE BE'!$AB$9+'TE BF'!$AB$9+'TE CVA'!$AB$9)*1</f>
        <v>218.6854278594964</v>
      </c>
      <c r="AB22" s="6">
        <f>$K$22*$V$22</f>
        <v>0</v>
      </c>
      <c r="AC22" s="6">
        <f>$M$22*$W$22</f>
        <v>2028.4142900000002</v>
      </c>
      <c r="AD22" s="6">
        <f>$O$22*$X$22</f>
        <v>4043.35554</v>
      </c>
      <c r="AE22" s="6">
        <f>$K$22*$Y$22</f>
        <v>0</v>
      </c>
      <c r="AF22" s="6">
        <f ca="1">$M$22*$Z$22</f>
        <v>2729.0415517934648</v>
      </c>
      <c r="AG22" s="6">
        <f>$O$22*$AA$22</f>
        <v>5261.3527088716237</v>
      </c>
    </row>
    <row r="23" spans="1:47" ht="11.25" customHeight="1" x14ac:dyDescent="0.25">
      <c r="A23" s="4" t="s">
        <v>21</v>
      </c>
      <c r="B23" s="4" t="s">
        <v>43</v>
      </c>
      <c r="C23" s="4" t="s">
        <v>44</v>
      </c>
      <c r="D23" s="4" t="s">
        <v>45</v>
      </c>
      <c r="E23" s="4" t="s">
        <v>25</v>
      </c>
      <c r="F23" s="4" t="s">
        <v>25</v>
      </c>
      <c r="G23" s="4" t="s">
        <v>25</v>
      </c>
      <c r="H23" s="4" t="s">
        <v>37</v>
      </c>
      <c r="I23" s="5">
        <v>44835</v>
      </c>
      <c r="J23" s="6">
        <v>0</v>
      </c>
      <c r="K23" s="6">
        <v>0</v>
      </c>
      <c r="L23" s="6">
        <v>24.488</v>
      </c>
      <c r="M23" s="6">
        <v>24.488</v>
      </c>
      <c r="N23" s="6">
        <v>24.488</v>
      </c>
      <c r="O23" s="6">
        <v>24.488</v>
      </c>
      <c r="P23" s="6">
        <v>0</v>
      </c>
      <c r="Q23" s="4" t="s">
        <v>26</v>
      </c>
      <c r="R23" s="4">
        <v>0</v>
      </c>
      <c r="S23" s="6">
        <v>0</v>
      </c>
      <c r="T23" s="6">
        <v>14</v>
      </c>
      <c r="U23" s="6">
        <v>72</v>
      </c>
      <c r="V23" s="6">
        <f>IF(ISERROR(VLOOKUP($S$23,'TAR FIN'!$A$1:$O$115,15,0)),0,VLOOKUP($S$23,'TAR FIN'!$A$1:$O$115,15,0))</f>
        <v>0</v>
      </c>
      <c r="W23" s="6">
        <f>IF(ISERROR(VLOOKUP($T$23,'TAR FIN'!$A$1:$O$115,15,0)),0,VLOOKUP($T$23,'TAR FIN'!$A$1:$O$115,15,0))</f>
        <v>84.31</v>
      </c>
      <c r="X23" s="6">
        <f>IF(ISERROR(VLOOKUP($U$23,'TAR FIN'!$A$1:$O$115,15,0)),0,VLOOKUP($U$23,'TAR FIN'!$A$1:$O$115,15,0))</f>
        <v>168.06</v>
      </c>
      <c r="Y23" s="6"/>
      <c r="Z23" s="6">
        <f ca="1">('TUSD BE'!$AM$16+'TUSD BF'!$AM$16+'TUSD CVA'!$AM$16)*1</f>
        <v>113.43121292628391</v>
      </c>
      <c r="AA23" s="6">
        <f>('TE BE'!$AB$9+'TE BF'!$AB$9+'TE CVA'!$AB$9)*1</f>
        <v>218.6854278594964</v>
      </c>
      <c r="AB23" s="6">
        <f>$K$23*$V$23</f>
        <v>0</v>
      </c>
      <c r="AC23" s="6">
        <f>$M$23*$W$23</f>
        <v>2064.5832799999998</v>
      </c>
      <c r="AD23" s="6">
        <f>$O$23*$X$23</f>
        <v>4115.4532799999997</v>
      </c>
      <c r="AE23" s="6">
        <f>$K$23*$Y$23</f>
        <v>0</v>
      </c>
      <c r="AF23" s="6">
        <f ca="1">$M$23*$Z$23</f>
        <v>2777.70354213884</v>
      </c>
      <c r="AG23" s="6">
        <f>$O$23*$AA$23</f>
        <v>5355.1687574233474</v>
      </c>
    </row>
    <row r="24" spans="1:47" ht="11.25" customHeight="1" x14ac:dyDescent="0.25">
      <c r="A24" s="4" t="s">
        <v>59</v>
      </c>
      <c r="B24" s="4" t="s">
        <v>43</v>
      </c>
      <c r="C24" s="4" t="s">
        <v>44</v>
      </c>
      <c r="D24" s="4" t="s">
        <v>45</v>
      </c>
      <c r="E24" s="4" t="s">
        <v>25</v>
      </c>
      <c r="F24" s="4" t="s">
        <v>25</v>
      </c>
      <c r="G24" s="4" t="s">
        <v>25</v>
      </c>
      <c r="H24" s="4" t="s">
        <v>37</v>
      </c>
      <c r="I24" s="5">
        <v>44866</v>
      </c>
      <c r="J24" s="6">
        <v>0</v>
      </c>
      <c r="K24" s="6">
        <v>0</v>
      </c>
      <c r="L24" s="6">
        <v>24.488</v>
      </c>
      <c r="M24" s="6">
        <v>24.488</v>
      </c>
      <c r="N24" s="6">
        <v>24.488</v>
      </c>
      <c r="O24" s="6">
        <v>24.488</v>
      </c>
      <c r="P24" s="6">
        <v>0</v>
      </c>
      <c r="Q24" s="4" t="s">
        <v>26</v>
      </c>
      <c r="R24" s="4">
        <v>0</v>
      </c>
      <c r="S24" s="6">
        <v>0</v>
      </c>
      <c r="T24" s="6">
        <v>14</v>
      </c>
      <c r="U24" s="6">
        <v>72</v>
      </c>
      <c r="V24" s="6">
        <f>IF(ISERROR(VLOOKUP($S$24,'TAR FIN'!$A$1:$O$115,15,0)),0,VLOOKUP($S$24,'TAR FIN'!$A$1:$O$115,15,0))</f>
        <v>0</v>
      </c>
      <c r="W24" s="6">
        <f>IF(ISERROR(VLOOKUP($T$24,'TAR FIN'!$A$1:$O$115,15,0)),0,VLOOKUP($T$24,'TAR FIN'!$A$1:$O$115,15,0))</f>
        <v>84.31</v>
      </c>
      <c r="X24" s="6">
        <f>IF(ISERROR(VLOOKUP($U$24,'TAR FIN'!$A$1:$O$115,15,0)),0,VLOOKUP($U$24,'TAR FIN'!$A$1:$O$115,15,0))</f>
        <v>168.06</v>
      </c>
      <c r="Y24" s="6"/>
      <c r="Z24" s="6">
        <f ca="1">('TUSD BE'!$AM$16+'TUSD BF'!$AM$16+'TUSD CVA'!$AM$16)*1</f>
        <v>113.43121292628391</v>
      </c>
      <c r="AA24" s="6">
        <f>('TE BE'!$AB$9+'TE BF'!$AB$9+'TE CVA'!$AB$9)*1</f>
        <v>218.6854278594964</v>
      </c>
      <c r="AB24" s="6">
        <f>$K$24*$V$24</f>
        <v>0</v>
      </c>
      <c r="AC24" s="6">
        <f>$M$24*$W$24</f>
        <v>2064.5832799999998</v>
      </c>
      <c r="AD24" s="6">
        <f>$O$24*$X$24</f>
        <v>4115.4532799999997</v>
      </c>
      <c r="AE24" s="6">
        <f>$K$24*$Y$24</f>
        <v>0</v>
      </c>
      <c r="AF24" s="6">
        <f ca="1">$M$24*$Z$24</f>
        <v>2777.70354213884</v>
      </c>
      <c r="AG24" s="6">
        <f>$O$24*$AA$24</f>
        <v>5355.1687574233474</v>
      </c>
    </row>
    <row r="25" spans="1:47" ht="11.25" customHeight="1" x14ac:dyDescent="0.25">
      <c r="A25" s="4" t="s">
        <v>21</v>
      </c>
      <c r="B25" s="4" t="s">
        <v>43</v>
      </c>
      <c r="C25" s="4" t="s">
        <v>44</v>
      </c>
      <c r="D25" s="4" t="s">
        <v>45</v>
      </c>
      <c r="E25" s="4" t="s">
        <v>25</v>
      </c>
      <c r="F25" s="4" t="s">
        <v>25</v>
      </c>
      <c r="G25" s="4" t="s">
        <v>25</v>
      </c>
      <c r="H25" s="4" t="s">
        <v>25</v>
      </c>
      <c r="I25" s="5">
        <v>44531</v>
      </c>
      <c r="J25" s="6">
        <v>180</v>
      </c>
      <c r="K25" s="6">
        <v>180</v>
      </c>
      <c r="L25" s="6">
        <v>0</v>
      </c>
      <c r="M25" s="6">
        <v>0</v>
      </c>
      <c r="N25" s="6">
        <v>0</v>
      </c>
      <c r="O25" s="6">
        <v>0</v>
      </c>
      <c r="P25" s="6">
        <v>2</v>
      </c>
      <c r="Q25" s="4" t="s">
        <v>26</v>
      </c>
      <c r="R25" s="4">
        <v>0</v>
      </c>
      <c r="S25" s="6">
        <v>12</v>
      </c>
      <c r="T25" s="6">
        <v>0</v>
      </c>
      <c r="U25" s="6">
        <v>0</v>
      </c>
      <c r="V25" s="6">
        <f>IF(ISERROR(VLOOKUP($S$25,'TAR FIN'!$A$1:$O$115,15,0)),0,VLOOKUP($S$25,'TAR FIN'!$A$1:$O$115,15,0))</f>
        <v>19.8</v>
      </c>
      <c r="W25" s="6">
        <f>IF(ISERROR(VLOOKUP($T$25,'TAR FIN'!$A$1:$O$115,15,0)),0,VLOOKUP($T$25,'TAR FIN'!$A$1:$O$115,15,0))</f>
        <v>0</v>
      </c>
      <c r="X25" s="6">
        <f>IF(ISERROR(VLOOKUP($U$25,'TAR FIN'!$A$1:$O$115,15,0)),0,VLOOKUP($U$25,'TAR FIN'!$A$1:$O$115,15,0))</f>
        <v>0</v>
      </c>
      <c r="Y25" s="6">
        <f ca="1">('TUSD BE'!$AM$14+'TUSD BF'!$AM$14+'TUSD CVA'!$AM$14)*1</f>
        <v>20.615214330225772</v>
      </c>
      <c r="Z25" s="6"/>
      <c r="AA25" s="6"/>
      <c r="AB25" s="6">
        <f>$K$25*$V$25</f>
        <v>3564</v>
      </c>
      <c r="AC25" s="6">
        <f>$M$25*$W$25</f>
        <v>0</v>
      </c>
      <c r="AD25" s="6">
        <f>$O$25*$X$25</f>
        <v>0</v>
      </c>
      <c r="AE25" s="6">
        <f ca="1">$K$25*$Y$25</f>
        <v>3710.7385794406391</v>
      </c>
      <c r="AF25" s="6">
        <f>$M$25*$Z$25</f>
        <v>0</v>
      </c>
      <c r="AG25" s="6">
        <f>$O$25*$AA$25</f>
        <v>0</v>
      </c>
    </row>
    <row r="26" spans="1:47" ht="11.25" customHeight="1" x14ac:dyDescent="0.25">
      <c r="A26" s="4" t="s">
        <v>21</v>
      </c>
      <c r="B26" s="4" t="s">
        <v>43</v>
      </c>
      <c r="C26" s="4" t="s">
        <v>44</v>
      </c>
      <c r="D26" s="4" t="s">
        <v>45</v>
      </c>
      <c r="E26" s="4" t="s">
        <v>25</v>
      </c>
      <c r="F26" s="4" t="s">
        <v>25</v>
      </c>
      <c r="G26" s="4" t="s">
        <v>25</v>
      </c>
      <c r="H26" s="4" t="s">
        <v>25</v>
      </c>
      <c r="I26" s="5">
        <v>44562</v>
      </c>
      <c r="J26" s="6">
        <v>180</v>
      </c>
      <c r="K26" s="6">
        <v>180</v>
      </c>
      <c r="L26" s="6">
        <v>0</v>
      </c>
      <c r="M26" s="6">
        <v>0</v>
      </c>
      <c r="N26" s="6">
        <v>0</v>
      </c>
      <c r="O26" s="6">
        <v>0</v>
      </c>
      <c r="P26" s="6">
        <v>2</v>
      </c>
      <c r="Q26" s="4" t="s">
        <v>26</v>
      </c>
      <c r="R26" s="4">
        <v>0</v>
      </c>
      <c r="S26" s="6">
        <v>12</v>
      </c>
      <c r="T26" s="6">
        <v>0</v>
      </c>
      <c r="U26" s="6">
        <v>0</v>
      </c>
      <c r="V26" s="6">
        <f>IF(ISERROR(VLOOKUP($S$26,'TAR FIN'!$A$1:$O$115,15,0)),0,VLOOKUP($S$26,'TAR FIN'!$A$1:$O$115,15,0))</f>
        <v>19.8</v>
      </c>
      <c r="W26" s="6">
        <f>IF(ISERROR(VLOOKUP($T$26,'TAR FIN'!$A$1:$O$115,15,0)),0,VLOOKUP($T$26,'TAR FIN'!$A$1:$O$115,15,0))</f>
        <v>0</v>
      </c>
      <c r="X26" s="6">
        <f>IF(ISERROR(VLOOKUP($U$26,'TAR FIN'!$A$1:$O$115,15,0)),0,VLOOKUP($U$26,'TAR FIN'!$A$1:$O$115,15,0))</f>
        <v>0</v>
      </c>
      <c r="Y26" s="6">
        <f ca="1">('TUSD BE'!$AM$14+'TUSD BF'!$AM$14+'TUSD CVA'!$AM$14)*1</f>
        <v>20.615214330225772</v>
      </c>
      <c r="Z26" s="6"/>
      <c r="AA26" s="6"/>
      <c r="AB26" s="6">
        <f>$K$26*$V$26</f>
        <v>3564</v>
      </c>
      <c r="AC26" s="6">
        <f>$M$26*$W$26</f>
        <v>0</v>
      </c>
      <c r="AD26" s="6">
        <f>$O$26*$X$26</f>
        <v>0</v>
      </c>
      <c r="AE26" s="6">
        <f ca="1">$K$26*$Y$26</f>
        <v>3710.7385794406391</v>
      </c>
      <c r="AF26" s="6">
        <f>$M$26*$Z$26</f>
        <v>0</v>
      </c>
      <c r="AG26" s="6">
        <f>$O$26*$AA$26</f>
        <v>0</v>
      </c>
    </row>
    <row r="27" spans="1:47" ht="11.25" customHeight="1" x14ac:dyDescent="0.25">
      <c r="A27" s="4" t="s">
        <v>21</v>
      </c>
      <c r="B27" s="4" t="s">
        <v>43</v>
      </c>
      <c r="C27" s="4" t="s">
        <v>44</v>
      </c>
      <c r="D27" s="4" t="s">
        <v>45</v>
      </c>
      <c r="E27" s="4" t="s">
        <v>25</v>
      </c>
      <c r="F27" s="4" t="s">
        <v>25</v>
      </c>
      <c r="G27" s="4" t="s">
        <v>25</v>
      </c>
      <c r="H27" s="4" t="s">
        <v>25</v>
      </c>
      <c r="I27" s="5">
        <v>44593</v>
      </c>
      <c r="J27" s="6">
        <v>190</v>
      </c>
      <c r="K27" s="6">
        <v>190</v>
      </c>
      <c r="L27" s="6">
        <v>0</v>
      </c>
      <c r="M27" s="6">
        <v>0</v>
      </c>
      <c r="N27" s="6">
        <v>0</v>
      </c>
      <c r="O27" s="6">
        <v>0</v>
      </c>
      <c r="P27" s="6">
        <v>2</v>
      </c>
      <c r="Q27" s="4" t="s">
        <v>26</v>
      </c>
      <c r="R27" s="4">
        <v>0</v>
      </c>
      <c r="S27" s="6">
        <v>12</v>
      </c>
      <c r="T27" s="6">
        <v>0</v>
      </c>
      <c r="U27" s="6">
        <v>0</v>
      </c>
      <c r="V27" s="6">
        <f>IF(ISERROR(VLOOKUP($S$27,'TAR FIN'!$A$1:$O$115,15,0)),0,VLOOKUP($S$27,'TAR FIN'!$A$1:$O$115,15,0))</f>
        <v>19.8</v>
      </c>
      <c r="W27" s="6">
        <f>IF(ISERROR(VLOOKUP($T$27,'TAR FIN'!$A$1:$O$115,15,0)),0,VLOOKUP($T$27,'TAR FIN'!$A$1:$O$115,15,0))</f>
        <v>0</v>
      </c>
      <c r="X27" s="6">
        <f>IF(ISERROR(VLOOKUP($U$27,'TAR FIN'!$A$1:$O$115,15,0)),0,VLOOKUP($U$27,'TAR FIN'!$A$1:$O$115,15,0))</f>
        <v>0</v>
      </c>
      <c r="Y27" s="6">
        <f ca="1">('TUSD BE'!$AM$14+'TUSD BF'!$AM$14+'TUSD CVA'!$AM$14)*1</f>
        <v>20.615214330225772</v>
      </c>
      <c r="Z27" s="6"/>
      <c r="AA27" s="6"/>
      <c r="AB27" s="6">
        <f>$K$27*$V$27</f>
        <v>3762</v>
      </c>
      <c r="AC27" s="6">
        <f>$M$27*$W$27</f>
        <v>0</v>
      </c>
      <c r="AD27" s="6">
        <f>$O$27*$X$27</f>
        <v>0</v>
      </c>
      <c r="AE27" s="6">
        <f ca="1">$K$27*$Y$27</f>
        <v>3916.8907227428967</v>
      </c>
      <c r="AF27" s="6">
        <f>$M$27*$Z$27</f>
        <v>0</v>
      </c>
      <c r="AG27" s="6">
        <f>$O$27*$AA$27</f>
        <v>0</v>
      </c>
    </row>
    <row r="28" spans="1:47" ht="11.25" customHeight="1" x14ac:dyDescent="0.25">
      <c r="A28" s="4" t="s">
        <v>21</v>
      </c>
      <c r="B28" s="4" t="s">
        <v>43</v>
      </c>
      <c r="C28" s="4" t="s">
        <v>44</v>
      </c>
      <c r="D28" s="4" t="s">
        <v>45</v>
      </c>
      <c r="E28" s="4" t="s">
        <v>25</v>
      </c>
      <c r="F28" s="4" t="s">
        <v>25</v>
      </c>
      <c r="G28" s="4" t="s">
        <v>25</v>
      </c>
      <c r="H28" s="4" t="s">
        <v>25</v>
      </c>
      <c r="I28" s="5">
        <v>44621</v>
      </c>
      <c r="J28" s="6">
        <v>190</v>
      </c>
      <c r="K28" s="6">
        <v>190</v>
      </c>
      <c r="L28" s="6">
        <v>0</v>
      </c>
      <c r="M28" s="6">
        <v>0</v>
      </c>
      <c r="N28" s="6">
        <v>0</v>
      </c>
      <c r="O28" s="6">
        <v>0</v>
      </c>
      <c r="P28" s="6">
        <v>2</v>
      </c>
      <c r="Q28" s="4" t="s">
        <v>26</v>
      </c>
      <c r="R28" s="4">
        <v>0</v>
      </c>
      <c r="S28" s="6">
        <v>12</v>
      </c>
      <c r="T28" s="6">
        <v>0</v>
      </c>
      <c r="U28" s="6">
        <v>0</v>
      </c>
      <c r="V28" s="6">
        <f>IF(ISERROR(VLOOKUP($S$28,'TAR FIN'!$A$1:$O$115,15,0)),0,VLOOKUP($S$28,'TAR FIN'!$A$1:$O$115,15,0))</f>
        <v>19.8</v>
      </c>
      <c r="W28" s="6">
        <f>IF(ISERROR(VLOOKUP($T$28,'TAR FIN'!$A$1:$O$115,15,0)),0,VLOOKUP($T$28,'TAR FIN'!$A$1:$O$115,15,0))</f>
        <v>0</v>
      </c>
      <c r="X28" s="6">
        <f>IF(ISERROR(VLOOKUP($U$28,'TAR FIN'!$A$1:$O$115,15,0)),0,VLOOKUP($U$28,'TAR FIN'!$A$1:$O$115,15,0))</f>
        <v>0</v>
      </c>
      <c r="Y28" s="6">
        <f ca="1">('TUSD BE'!$AM$14+'TUSD BF'!$AM$14+'TUSD CVA'!$AM$14)*1</f>
        <v>20.615214330225772</v>
      </c>
      <c r="Z28" s="6"/>
      <c r="AA28" s="6"/>
      <c r="AB28" s="6">
        <f>$K$28*$V$28</f>
        <v>3762</v>
      </c>
      <c r="AC28" s="6">
        <f>$M$28*$W$28</f>
        <v>0</v>
      </c>
      <c r="AD28" s="6">
        <f>$O$28*$X$28</f>
        <v>0</v>
      </c>
      <c r="AE28" s="6">
        <f ca="1">$K$28*$Y$28</f>
        <v>3916.8907227428967</v>
      </c>
      <c r="AF28" s="6">
        <f>$M$28*$Z$28</f>
        <v>0</v>
      </c>
      <c r="AG28" s="6">
        <f>$O$28*$AA$28</f>
        <v>0</v>
      </c>
    </row>
    <row r="29" spans="1:47" ht="11.25" customHeight="1" x14ac:dyDescent="0.25">
      <c r="A29" s="4" t="s">
        <v>21</v>
      </c>
      <c r="B29" s="4" t="s">
        <v>43</v>
      </c>
      <c r="C29" s="4" t="s">
        <v>44</v>
      </c>
      <c r="D29" s="4" t="s">
        <v>45</v>
      </c>
      <c r="E29" s="4" t="s">
        <v>25</v>
      </c>
      <c r="F29" s="4" t="s">
        <v>25</v>
      </c>
      <c r="G29" s="4" t="s">
        <v>25</v>
      </c>
      <c r="H29" s="4" t="s">
        <v>25</v>
      </c>
      <c r="I29" s="5">
        <v>44652</v>
      </c>
      <c r="J29" s="6">
        <v>200</v>
      </c>
      <c r="K29" s="6">
        <v>200</v>
      </c>
      <c r="L29" s="6">
        <v>0</v>
      </c>
      <c r="M29" s="6">
        <v>0</v>
      </c>
      <c r="N29" s="6">
        <v>0</v>
      </c>
      <c r="O29" s="6">
        <v>0</v>
      </c>
      <c r="P29" s="6">
        <v>2</v>
      </c>
      <c r="Q29" s="4" t="s">
        <v>26</v>
      </c>
      <c r="R29" s="4">
        <v>0</v>
      </c>
      <c r="S29" s="6">
        <v>12</v>
      </c>
      <c r="T29" s="6">
        <v>0</v>
      </c>
      <c r="U29" s="6">
        <v>0</v>
      </c>
      <c r="V29" s="6">
        <f>IF(ISERROR(VLOOKUP($S$29,'TAR FIN'!$A$1:$O$115,15,0)),0,VLOOKUP($S$29,'TAR FIN'!$A$1:$O$115,15,0))</f>
        <v>19.8</v>
      </c>
      <c r="W29" s="6">
        <f>IF(ISERROR(VLOOKUP($T$29,'TAR FIN'!$A$1:$O$115,15,0)),0,VLOOKUP($T$29,'TAR FIN'!$A$1:$O$115,15,0))</f>
        <v>0</v>
      </c>
      <c r="X29" s="6">
        <f>IF(ISERROR(VLOOKUP($U$29,'TAR FIN'!$A$1:$O$115,15,0)),0,VLOOKUP($U$29,'TAR FIN'!$A$1:$O$115,15,0))</f>
        <v>0</v>
      </c>
      <c r="Y29" s="6">
        <f ca="1">('TUSD BE'!$AM$14+'TUSD BF'!$AM$14+'TUSD CVA'!$AM$14)*1</f>
        <v>20.615214330225772</v>
      </c>
      <c r="Z29" s="6"/>
      <c r="AA29" s="6"/>
      <c r="AB29" s="6">
        <f>$K$29*$V$29</f>
        <v>3960</v>
      </c>
      <c r="AC29" s="6">
        <f>$M$29*$W$29</f>
        <v>0</v>
      </c>
      <c r="AD29" s="6">
        <f>$O$29*$X$29</f>
        <v>0</v>
      </c>
      <c r="AE29" s="6">
        <f ca="1">$K$29*$Y$29</f>
        <v>4123.0428660451544</v>
      </c>
      <c r="AF29" s="6">
        <f>$M$29*$Z$29</f>
        <v>0</v>
      </c>
      <c r="AG29" s="6">
        <f>$O$29*$AA$29</f>
        <v>0</v>
      </c>
    </row>
    <row r="30" spans="1:47" ht="11.25" customHeight="1" x14ac:dyDescent="0.25">
      <c r="A30" s="4" t="s">
        <v>21</v>
      </c>
      <c r="B30" s="4" t="s">
        <v>43</v>
      </c>
      <c r="C30" s="4" t="s">
        <v>44</v>
      </c>
      <c r="D30" s="4" t="s">
        <v>45</v>
      </c>
      <c r="E30" s="4" t="s">
        <v>25</v>
      </c>
      <c r="F30" s="4" t="s">
        <v>25</v>
      </c>
      <c r="G30" s="4" t="s">
        <v>25</v>
      </c>
      <c r="H30" s="4" t="s">
        <v>25</v>
      </c>
      <c r="I30" s="5">
        <v>44682</v>
      </c>
      <c r="J30" s="6">
        <v>417</v>
      </c>
      <c r="K30" s="6">
        <v>417</v>
      </c>
      <c r="L30" s="6">
        <v>0</v>
      </c>
      <c r="M30" s="6">
        <v>0</v>
      </c>
      <c r="N30" s="6">
        <v>0</v>
      </c>
      <c r="O30" s="6">
        <v>0</v>
      </c>
      <c r="P30" s="6">
        <v>3</v>
      </c>
      <c r="Q30" s="4" t="s">
        <v>26</v>
      </c>
      <c r="R30" s="4">
        <v>0</v>
      </c>
      <c r="S30" s="6">
        <v>12</v>
      </c>
      <c r="T30" s="6">
        <v>0</v>
      </c>
      <c r="U30" s="6">
        <v>0</v>
      </c>
      <c r="V30" s="6">
        <f>IF(ISERROR(VLOOKUP($S$30,'TAR FIN'!$A$1:$O$115,15,0)),0,VLOOKUP($S$30,'TAR FIN'!$A$1:$O$115,15,0))</f>
        <v>19.8</v>
      </c>
      <c r="W30" s="6">
        <f>IF(ISERROR(VLOOKUP($T$30,'TAR FIN'!$A$1:$O$115,15,0)),0,VLOOKUP($T$30,'TAR FIN'!$A$1:$O$115,15,0))</f>
        <v>0</v>
      </c>
      <c r="X30" s="6">
        <f>IF(ISERROR(VLOOKUP($U$30,'TAR FIN'!$A$1:$O$115,15,0)),0,VLOOKUP($U$30,'TAR FIN'!$A$1:$O$115,15,0))</f>
        <v>0</v>
      </c>
      <c r="Y30" s="6">
        <f ca="1">('TUSD BE'!$AM$14+'TUSD BF'!$AM$14+'TUSD CVA'!$AM$14)*1</f>
        <v>20.615214330225772</v>
      </c>
      <c r="Z30" s="6"/>
      <c r="AA30" s="6"/>
      <c r="AB30" s="6">
        <f>$K$30*$V$30</f>
        <v>8256.6</v>
      </c>
      <c r="AC30" s="6">
        <f>$M$30*$W$30</f>
        <v>0</v>
      </c>
      <c r="AD30" s="6">
        <f>$O$30*$X$30</f>
        <v>0</v>
      </c>
      <c r="AE30" s="6">
        <f ca="1">$K$30*$Y$30</f>
        <v>8596.5443757041467</v>
      </c>
      <c r="AF30" s="6">
        <f>$M$30*$Z$30</f>
        <v>0</v>
      </c>
      <c r="AG30" s="6">
        <f>$O$30*$AA$30</f>
        <v>0</v>
      </c>
    </row>
    <row r="31" spans="1:47" ht="11.25" customHeight="1" x14ac:dyDescent="0.25">
      <c r="A31" s="4" t="s">
        <v>21</v>
      </c>
      <c r="B31" s="4" t="s">
        <v>43</v>
      </c>
      <c r="C31" s="4" t="s">
        <v>44</v>
      </c>
      <c r="D31" s="4" t="s">
        <v>45</v>
      </c>
      <c r="E31" s="4" t="s">
        <v>25</v>
      </c>
      <c r="F31" s="4" t="s">
        <v>25</v>
      </c>
      <c r="G31" s="4" t="s">
        <v>25</v>
      </c>
      <c r="H31" s="4" t="s">
        <v>25</v>
      </c>
      <c r="I31" s="5">
        <v>44713</v>
      </c>
      <c r="J31" s="6">
        <v>357</v>
      </c>
      <c r="K31" s="6">
        <v>357</v>
      </c>
      <c r="L31" s="6">
        <v>0</v>
      </c>
      <c r="M31" s="6">
        <v>0</v>
      </c>
      <c r="N31" s="6">
        <v>0</v>
      </c>
      <c r="O31" s="6">
        <v>0</v>
      </c>
      <c r="P31" s="6">
        <v>2</v>
      </c>
      <c r="Q31" s="4" t="s">
        <v>26</v>
      </c>
      <c r="R31" s="4">
        <v>0</v>
      </c>
      <c r="S31" s="6">
        <v>12</v>
      </c>
      <c r="T31" s="6">
        <v>0</v>
      </c>
      <c r="U31" s="6">
        <v>0</v>
      </c>
      <c r="V31" s="6">
        <f>IF(ISERROR(VLOOKUP($S$31,'TAR FIN'!$A$1:$O$115,15,0)),0,VLOOKUP($S$31,'TAR FIN'!$A$1:$O$115,15,0))</f>
        <v>19.8</v>
      </c>
      <c r="W31" s="6">
        <f>IF(ISERROR(VLOOKUP($T$31,'TAR FIN'!$A$1:$O$115,15,0)),0,VLOOKUP($T$31,'TAR FIN'!$A$1:$O$115,15,0))</f>
        <v>0</v>
      </c>
      <c r="X31" s="6">
        <f>IF(ISERROR(VLOOKUP($U$31,'TAR FIN'!$A$1:$O$115,15,0)),0,VLOOKUP($U$31,'TAR FIN'!$A$1:$O$115,15,0))</f>
        <v>0</v>
      </c>
      <c r="Y31" s="6">
        <f ca="1">('TUSD BE'!$AM$14+'TUSD BF'!$AM$14+'TUSD CVA'!$AM$14)*1</f>
        <v>20.615214330225772</v>
      </c>
      <c r="Z31" s="6"/>
      <c r="AA31" s="6"/>
      <c r="AB31" s="6">
        <f>$K$31*$V$31</f>
        <v>7068.6</v>
      </c>
      <c r="AC31" s="6">
        <f>$M$31*$W$31</f>
        <v>0</v>
      </c>
      <c r="AD31" s="6">
        <f>$O$31*$X$31</f>
        <v>0</v>
      </c>
      <c r="AE31" s="6">
        <f ca="1">$K$31*$Y$31</f>
        <v>7359.6315158906009</v>
      </c>
      <c r="AF31" s="6">
        <f>$M$31*$Z$31</f>
        <v>0</v>
      </c>
      <c r="AG31" s="6">
        <f>$O$31*$AA$31</f>
        <v>0</v>
      </c>
    </row>
    <row r="32" spans="1:47" ht="11.25" customHeight="1" x14ac:dyDescent="0.25">
      <c r="A32" s="4" t="s">
        <v>21</v>
      </c>
      <c r="B32" s="4" t="s">
        <v>43</v>
      </c>
      <c r="C32" s="4" t="s">
        <v>44</v>
      </c>
      <c r="D32" s="4" t="s">
        <v>45</v>
      </c>
      <c r="E32" s="4" t="s">
        <v>25</v>
      </c>
      <c r="F32" s="4" t="s">
        <v>25</v>
      </c>
      <c r="G32" s="4" t="s">
        <v>25</v>
      </c>
      <c r="H32" s="4" t="s">
        <v>25</v>
      </c>
      <c r="I32" s="5">
        <v>44743</v>
      </c>
      <c r="J32" s="6">
        <v>357</v>
      </c>
      <c r="K32" s="6">
        <v>357</v>
      </c>
      <c r="L32" s="6">
        <v>0</v>
      </c>
      <c r="M32" s="6">
        <v>0</v>
      </c>
      <c r="N32" s="6">
        <v>0</v>
      </c>
      <c r="O32" s="6">
        <v>0</v>
      </c>
      <c r="P32" s="6">
        <v>2</v>
      </c>
      <c r="Q32" s="4" t="s">
        <v>26</v>
      </c>
      <c r="R32" s="4">
        <v>0</v>
      </c>
      <c r="S32" s="6">
        <v>12</v>
      </c>
      <c r="T32" s="6">
        <v>0</v>
      </c>
      <c r="U32" s="6">
        <v>0</v>
      </c>
      <c r="V32" s="6">
        <f>IF(ISERROR(VLOOKUP($S$32,'TAR FIN'!$A$1:$O$115,15,0)),0,VLOOKUP($S$32,'TAR FIN'!$A$1:$O$115,15,0))</f>
        <v>19.8</v>
      </c>
      <c r="W32" s="6">
        <f>IF(ISERROR(VLOOKUP($T$32,'TAR FIN'!$A$1:$O$115,15,0)),0,VLOOKUP($T$32,'TAR FIN'!$A$1:$O$115,15,0))</f>
        <v>0</v>
      </c>
      <c r="X32" s="6">
        <f>IF(ISERROR(VLOOKUP($U$32,'TAR FIN'!$A$1:$O$115,15,0)),0,VLOOKUP($U$32,'TAR FIN'!$A$1:$O$115,15,0))</f>
        <v>0</v>
      </c>
      <c r="Y32" s="6">
        <f ca="1">('TUSD BE'!$AM$14+'TUSD BF'!$AM$14+'TUSD CVA'!$AM$14)*1</f>
        <v>20.615214330225772</v>
      </c>
      <c r="Z32" s="6"/>
      <c r="AA32" s="6"/>
      <c r="AB32" s="6">
        <f>$K$32*$V$32</f>
        <v>7068.6</v>
      </c>
      <c r="AC32" s="6">
        <f>$M$32*$W$32</f>
        <v>0</v>
      </c>
      <c r="AD32" s="6">
        <f>$O$32*$X$32</f>
        <v>0</v>
      </c>
      <c r="AE32" s="6">
        <f ca="1">$K$32*$Y$32</f>
        <v>7359.6315158906009</v>
      </c>
      <c r="AF32" s="6">
        <f>$M$32*$Z$32</f>
        <v>0</v>
      </c>
      <c r="AG32" s="6">
        <f>$O$32*$AA$32</f>
        <v>0</v>
      </c>
    </row>
    <row r="33" spans="1:33" ht="11.25" customHeight="1" x14ac:dyDescent="0.25">
      <c r="A33" s="4" t="s">
        <v>21</v>
      </c>
      <c r="B33" s="4" t="s">
        <v>43</v>
      </c>
      <c r="C33" s="4" t="s">
        <v>44</v>
      </c>
      <c r="D33" s="4" t="s">
        <v>45</v>
      </c>
      <c r="E33" s="4" t="s">
        <v>25</v>
      </c>
      <c r="F33" s="4" t="s">
        <v>25</v>
      </c>
      <c r="G33" s="4" t="s">
        <v>25</v>
      </c>
      <c r="H33" s="4" t="s">
        <v>25</v>
      </c>
      <c r="I33" s="5">
        <v>44774</v>
      </c>
      <c r="J33" s="6">
        <v>357</v>
      </c>
      <c r="K33" s="6">
        <v>357</v>
      </c>
      <c r="L33" s="6">
        <v>0</v>
      </c>
      <c r="M33" s="6">
        <v>0</v>
      </c>
      <c r="N33" s="6">
        <v>0</v>
      </c>
      <c r="O33" s="6">
        <v>0</v>
      </c>
      <c r="P33" s="6">
        <v>2</v>
      </c>
      <c r="Q33" s="4" t="s">
        <v>26</v>
      </c>
      <c r="R33" s="4">
        <v>0</v>
      </c>
      <c r="S33" s="6">
        <v>12</v>
      </c>
      <c r="T33" s="6">
        <v>0</v>
      </c>
      <c r="U33" s="6">
        <v>0</v>
      </c>
      <c r="V33" s="6">
        <f>IF(ISERROR(VLOOKUP($S$33,'TAR FIN'!$A$1:$O$115,15,0)),0,VLOOKUP($S$33,'TAR FIN'!$A$1:$O$115,15,0))</f>
        <v>19.8</v>
      </c>
      <c r="W33" s="6">
        <f>IF(ISERROR(VLOOKUP($T$33,'TAR FIN'!$A$1:$O$115,15,0)),0,VLOOKUP($T$33,'TAR FIN'!$A$1:$O$115,15,0))</f>
        <v>0</v>
      </c>
      <c r="X33" s="6">
        <f>IF(ISERROR(VLOOKUP($U$33,'TAR FIN'!$A$1:$O$115,15,0)),0,VLOOKUP($U$33,'TAR FIN'!$A$1:$O$115,15,0))</f>
        <v>0</v>
      </c>
      <c r="Y33" s="6">
        <f ca="1">('TUSD BE'!$AM$14+'TUSD BF'!$AM$14+'TUSD CVA'!$AM$14)*1</f>
        <v>20.615214330225772</v>
      </c>
      <c r="Z33" s="6"/>
      <c r="AA33" s="6"/>
      <c r="AB33" s="6">
        <f>$K$33*$V$33</f>
        <v>7068.6</v>
      </c>
      <c r="AC33" s="6">
        <f>$M$33*$W$33</f>
        <v>0</v>
      </c>
      <c r="AD33" s="6">
        <f>$O$33*$X$33</f>
        <v>0</v>
      </c>
      <c r="AE33" s="6">
        <f ca="1">$K$33*$Y$33</f>
        <v>7359.6315158906009</v>
      </c>
      <c r="AF33" s="6">
        <f>$M$33*$Z$33</f>
        <v>0</v>
      </c>
      <c r="AG33" s="6">
        <f>$O$33*$AA$33</f>
        <v>0</v>
      </c>
    </row>
    <row r="34" spans="1:33" ht="11.25" customHeight="1" x14ac:dyDescent="0.25">
      <c r="A34" s="4" t="s">
        <v>21</v>
      </c>
      <c r="B34" s="4" t="s">
        <v>43</v>
      </c>
      <c r="C34" s="4" t="s">
        <v>44</v>
      </c>
      <c r="D34" s="4" t="s">
        <v>45</v>
      </c>
      <c r="E34" s="4" t="s">
        <v>25</v>
      </c>
      <c r="F34" s="4" t="s">
        <v>25</v>
      </c>
      <c r="G34" s="4" t="s">
        <v>25</v>
      </c>
      <c r="H34" s="4" t="s">
        <v>25</v>
      </c>
      <c r="I34" s="5">
        <v>44805</v>
      </c>
      <c r="J34" s="6">
        <v>357</v>
      </c>
      <c r="K34" s="6">
        <v>357</v>
      </c>
      <c r="L34" s="6">
        <v>0</v>
      </c>
      <c r="M34" s="6">
        <v>0</v>
      </c>
      <c r="N34" s="6">
        <v>0</v>
      </c>
      <c r="O34" s="6">
        <v>0</v>
      </c>
      <c r="P34" s="6">
        <v>2</v>
      </c>
      <c r="Q34" s="4" t="s">
        <v>26</v>
      </c>
      <c r="R34" s="4">
        <v>0</v>
      </c>
      <c r="S34" s="6">
        <v>12</v>
      </c>
      <c r="T34" s="6">
        <v>0</v>
      </c>
      <c r="U34" s="6">
        <v>0</v>
      </c>
      <c r="V34" s="6">
        <f>IF(ISERROR(VLOOKUP($S$34,'TAR FIN'!$A$1:$O$115,15,0)),0,VLOOKUP($S$34,'TAR FIN'!$A$1:$O$115,15,0))</f>
        <v>19.8</v>
      </c>
      <c r="W34" s="6">
        <f>IF(ISERROR(VLOOKUP($T$34,'TAR FIN'!$A$1:$O$115,15,0)),0,VLOOKUP($T$34,'TAR FIN'!$A$1:$O$115,15,0))</f>
        <v>0</v>
      </c>
      <c r="X34" s="6">
        <f>IF(ISERROR(VLOOKUP($U$34,'TAR FIN'!$A$1:$O$115,15,0)),0,VLOOKUP($U$34,'TAR FIN'!$A$1:$O$115,15,0))</f>
        <v>0</v>
      </c>
      <c r="Y34" s="6">
        <f ca="1">('TUSD BE'!$AM$14+'TUSD BF'!$AM$14+'TUSD CVA'!$AM$14)*1</f>
        <v>20.615214330225772</v>
      </c>
      <c r="Z34" s="6"/>
      <c r="AA34" s="6"/>
      <c r="AB34" s="6">
        <f>$K$34*$V$34</f>
        <v>7068.6</v>
      </c>
      <c r="AC34" s="6">
        <f>$M$34*$W$34</f>
        <v>0</v>
      </c>
      <c r="AD34" s="6">
        <f>$O$34*$X$34</f>
        <v>0</v>
      </c>
      <c r="AE34" s="6">
        <f ca="1">$K$34*$Y$34</f>
        <v>7359.6315158906009</v>
      </c>
      <c r="AF34" s="6">
        <f>$M$34*$Z$34</f>
        <v>0</v>
      </c>
      <c r="AG34" s="6">
        <f>$O$34*$AA$34</f>
        <v>0</v>
      </c>
    </row>
    <row r="35" spans="1:33" ht="11.25" customHeight="1" x14ac:dyDescent="0.25">
      <c r="A35" s="4" t="s">
        <v>21</v>
      </c>
      <c r="B35" s="4" t="s">
        <v>43</v>
      </c>
      <c r="C35" s="4" t="s">
        <v>44</v>
      </c>
      <c r="D35" s="4" t="s">
        <v>45</v>
      </c>
      <c r="E35" s="4" t="s">
        <v>25</v>
      </c>
      <c r="F35" s="4" t="s">
        <v>25</v>
      </c>
      <c r="G35" s="4" t="s">
        <v>25</v>
      </c>
      <c r="H35" s="4" t="s">
        <v>25</v>
      </c>
      <c r="I35" s="5">
        <v>44835</v>
      </c>
      <c r="J35" s="6">
        <v>278</v>
      </c>
      <c r="K35" s="6">
        <v>278</v>
      </c>
      <c r="L35" s="6">
        <v>0</v>
      </c>
      <c r="M35" s="6">
        <v>0</v>
      </c>
      <c r="N35" s="6">
        <v>0</v>
      </c>
      <c r="O35" s="6">
        <v>0</v>
      </c>
      <c r="P35" s="6">
        <v>2</v>
      </c>
      <c r="Q35" s="4" t="s">
        <v>26</v>
      </c>
      <c r="R35" s="4">
        <v>0</v>
      </c>
      <c r="S35" s="6">
        <v>12</v>
      </c>
      <c r="T35" s="6">
        <v>0</v>
      </c>
      <c r="U35" s="6">
        <v>0</v>
      </c>
      <c r="V35" s="6">
        <f>IF(ISERROR(VLOOKUP($S$35,'TAR FIN'!$A$1:$O$115,15,0)),0,VLOOKUP($S$35,'TAR FIN'!$A$1:$O$115,15,0))</f>
        <v>19.8</v>
      </c>
      <c r="W35" s="6">
        <f>IF(ISERROR(VLOOKUP($T$35,'TAR FIN'!$A$1:$O$115,15,0)),0,VLOOKUP($T$35,'TAR FIN'!$A$1:$O$115,15,0))</f>
        <v>0</v>
      </c>
      <c r="X35" s="6">
        <f>IF(ISERROR(VLOOKUP($U$35,'TAR FIN'!$A$1:$O$115,15,0)),0,VLOOKUP($U$35,'TAR FIN'!$A$1:$O$115,15,0))</f>
        <v>0</v>
      </c>
      <c r="Y35" s="6">
        <f ca="1">('TUSD BE'!$AM$14+'TUSD BF'!$AM$14+'TUSD CVA'!$AM$14)*1</f>
        <v>20.615214330225772</v>
      </c>
      <c r="Z35" s="6"/>
      <c r="AA35" s="6"/>
      <c r="AB35" s="6">
        <f>$K$35*$V$35</f>
        <v>5504.4000000000005</v>
      </c>
      <c r="AC35" s="6">
        <f>$M$35*$W$35</f>
        <v>0</v>
      </c>
      <c r="AD35" s="6">
        <f>$O$35*$X$35</f>
        <v>0</v>
      </c>
      <c r="AE35" s="6">
        <f ca="1">$K$35*$Y$35</f>
        <v>5731.029583802765</v>
      </c>
      <c r="AF35" s="6">
        <f>$M$35*$Z$35</f>
        <v>0</v>
      </c>
      <c r="AG35" s="6">
        <f>$O$35*$AA$35</f>
        <v>0</v>
      </c>
    </row>
    <row r="36" spans="1:33" ht="11.25" customHeight="1" x14ac:dyDescent="0.25">
      <c r="A36" s="4" t="s">
        <v>59</v>
      </c>
      <c r="B36" s="4" t="s">
        <v>43</v>
      </c>
      <c r="C36" s="4" t="s">
        <v>44</v>
      </c>
      <c r="D36" s="4" t="s">
        <v>45</v>
      </c>
      <c r="E36" s="4" t="s">
        <v>25</v>
      </c>
      <c r="F36" s="4" t="s">
        <v>25</v>
      </c>
      <c r="G36" s="4" t="s">
        <v>25</v>
      </c>
      <c r="H36" s="4" t="s">
        <v>25</v>
      </c>
      <c r="I36" s="5">
        <v>44866</v>
      </c>
      <c r="J36" s="6">
        <v>278</v>
      </c>
      <c r="K36" s="6">
        <v>278</v>
      </c>
      <c r="L36" s="6">
        <v>0</v>
      </c>
      <c r="M36" s="6">
        <v>0</v>
      </c>
      <c r="N36" s="6">
        <v>0</v>
      </c>
      <c r="O36" s="6">
        <v>0</v>
      </c>
      <c r="P36" s="6">
        <v>2</v>
      </c>
      <c r="Q36" s="4" t="s">
        <v>26</v>
      </c>
      <c r="R36" s="4">
        <v>0</v>
      </c>
      <c r="S36" s="6">
        <v>12</v>
      </c>
      <c r="T36" s="6">
        <v>0</v>
      </c>
      <c r="U36" s="6">
        <v>0</v>
      </c>
      <c r="V36" s="6">
        <f>IF(ISERROR(VLOOKUP($S$36,'TAR FIN'!$A$1:$O$115,15,0)),0,VLOOKUP($S$36,'TAR FIN'!$A$1:$O$115,15,0))</f>
        <v>19.8</v>
      </c>
      <c r="W36" s="6">
        <f>IF(ISERROR(VLOOKUP($T$36,'TAR FIN'!$A$1:$O$115,15,0)),0,VLOOKUP($T$36,'TAR FIN'!$A$1:$O$115,15,0))</f>
        <v>0</v>
      </c>
      <c r="X36" s="6">
        <f>IF(ISERROR(VLOOKUP($U$36,'TAR FIN'!$A$1:$O$115,15,0)),0,VLOOKUP($U$36,'TAR FIN'!$A$1:$O$115,15,0))</f>
        <v>0</v>
      </c>
      <c r="Y36" s="6">
        <f ca="1">('TUSD BE'!$AM$14+'TUSD BF'!$AM$14+'TUSD CVA'!$AM$14)*1</f>
        <v>20.615214330225772</v>
      </c>
      <c r="Z36" s="6"/>
      <c r="AA36" s="6"/>
      <c r="AB36" s="6">
        <f>$K$36*$V$36</f>
        <v>5504.4000000000005</v>
      </c>
      <c r="AC36" s="6">
        <f>$M$36*$W$36</f>
        <v>0</v>
      </c>
      <c r="AD36" s="6">
        <f>$O$36*$X$36</f>
        <v>0</v>
      </c>
      <c r="AE36" s="6">
        <f ca="1">$K$36*$Y$36</f>
        <v>5731.029583802765</v>
      </c>
      <c r="AF36" s="6">
        <f>$M$36*$Z$36</f>
        <v>0</v>
      </c>
      <c r="AG36" s="6">
        <f>$O$36*$AA$36</f>
        <v>0</v>
      </c>
    </row>
    <row r="37" spans="1:33" ht="11.25" customHeight="1" x14ac:dyDescent="0.25">
      <c r="A37" s="4" t="s">
        <v>21</v>
      </c>
      <c r="B37" s="4" t="s">
        <v>43</v>
      </c>
      <c r="C37" s="4" t="s">
        <v>44</v>
      </c>
      <c r="D37" s="4" t="s">
        <v>45</v>
      </c>
      <c r="E37" s="4" t="s">
        <v>25</v>
      </c>
      <c r="F37" s="4" t="s">
        <v>25</v>
      </c>
      <c r="G37" s="4" t="s">
        <v>25</v>
      </c>
      <c r="H37" s="4" t="s">
        <v>36</v>
      </c>
      <c r="I37" s="5">
        <v>44531</v>
      </c>
      <c r="J37" s="6">
        <v>0</v>
      </c>
      <c r="K37" s="6">
        <v>0</v>
      </c>
      <c r="L37" s="6">
        <v>1.23</v>
      </c>
      <c r="M37" s="6">
        <v>1.23</v>
      </c>
      <c r="N37" s="6">
        <v>1.23</v>
      </c>
      <c r="O37" s="6">
        <v>1.23</v>
      </c>
      <c r="P37" s="6">
        <v>0</v>
      </c>
      <c r="Q37" s="4" t="s">
        <v>26</v>
      </c>
      <c r="R37" s="4">
        <v>0</v>
      </c>
      <c r="S37" s="6">
        <v>0</v>
      </c>
      <c r="T37" s="6">
        <v>13</v>
      </c>
      <c r="U37" s="6">
        <v>71</v>
      </c>
      <c r="V37" s="6">
        <f>IF(ISERROR(VLOOKUP($S$37,'TAR FIN'!$A$1:$O$115,15,0)),0,VLOOKUP($S$37,'TAR FIN'!$A$1:$O$115,15,0))</f>
        <v>0</v>
      </c>
      <c r="W37" s="6">
        <f>IF(ISERROR(VLOOKUP($T$37,'TAR FIN'!$A$1:$O$115,15,0)),0,VLOOKUP($T$37,'TAR FIN'!$A$1:$O$115,15,0))</f>
        <v>1448.96</v>
      </c>
      <c r="X37" s="6">
        <f>IF(ISERROR(VLOOKUP($U$37,'TAR FIN'!$A$1:$O$115,15,0)),0,VLOOKUP($U$37,'TAR FIN'!$A$1:$O$115,15,0))</f>
        <v>270.3</v>
      </c>
      <c r="Y37" s="6"/>
      <c r="Z37" s="6">
        <f ca="1">('TUSD BE'!$AM$15+'TUSD BF'!$AM$15+'TUSD CVA'!$AM$15)*1</f>
        <v>1480.1280206491922</v>
      </c>
      <c r="AA37" s="6">
        <f>('TE BE'!$AB$8+'TE BF'!$AB$8+'TE CVA'!$AB$8)*1</f>
        <v>362.64398683254075</v>
      </c>
      <c r="AB37" s="6">
        <f>$K$37*$V$37</f>
        <v>0</v>
      </c>
      <c r="AC37" s="6">
        <f>$M$37*$W$37</f>
        <v>1782.2208000000001</v>
      </c>
      <c r="AD37" s="6">
        <f>$O$37*$X$37</f>
        <v>332.46899999999999</v>
      </c>
      <c r="AE37" s="6">
        <f>$K$37*$Y$37</f>
        <v>0</v>
      </c>
      <c r="AF37" s="6">
        <f ca="1">$M$37*$Z$37</f>
        <v>1820.5574653985063</v>
      </c>
      <c r="AG37" s="6">
        <f>$O$37*$AA$37</f>
        <v>446.05210380402514</v>
      </c>
    </row>
    <row r="38" spans="1:33" ht="11.25" customHeight="1" x14ac:dyDescent="0.25">
      <c r="A38" s="4" t="s">
        <v>21</v>
      </c>
      <c r="B38" s="4" t="s">
        <v>43</v>
      </c>
      <c r="C38" s="4" t="s">
        <v>44</v>
      </c>
      <c r="D38" s="4" t="s">
        <v>45</v>
      </c>
      <c r="E38" s="4" t="s">
        <v>25</v>
      </c>
      <c r="F38" s="4" t="s">
        <v>25</v>
      </c>
      <c r="G38" s="4" t="s">
        <v>25</v>
      </c>
      <c r="H38" s="4" t="s">
        <v>36</v>
      </c>
      <c r="I38" s="5">
        <v>44562</v>
      </c>
      <c r="J38" s="6">
        <v>0</v>
      </c>
      <c r="K38" s="6">
        <v>0</v>
      </c>
      <c r="L38" s="6">
        <v>1.23</v>
      </c>
      <c r="M38" s="6">
        <v>1.23</v>
      </c>
      <c r="N38" s="6">
        <v>1.23</v>
      </c>
      <c r="O38" s="6">
        <v>1.23</v>
      </c>
      <c r="P38" s="6">
        <v>0</v>
      </c>
      <c r="Q38" s="4" t="s">
        <v>26</v>
      </c>
      <c r="R38" s="4">
        <v>0</v>
      </c>
      <c r="S38" s="6">
        <v>0</v>
      </c>
      <c r="T38" s="6">
        <v>13</v>
      </c>
      <c r="U38" s="6">
        <v>71</v>
      </c>
      <c r="V38" s="6">
        <f>IF(ISERROR(VLOOKUP($S$38,'TAR FIN'!$A$1:$O$115,15,0)),0,VLOOKUP($S$38,'TAR FIN'!$A$1:$O$115,15,0))</f>
        <v>0</v>
      </c>
      <c r="W38" s="6">
        <f>IF(ISERROR(VLOOKUP($T$38,'TAR FIN'!$A$1:$O$115,15,0)),0,VLOOKUP($T$38,'TAR FIN'!$A$1:$O$115,15,0))</f>
        <v>1448.96</v>
      </c>
      <c r="X38" s="6">
        <f>IF(ISERROR(VLOOKUP($U$38,'TAR FIN'!$A$1:$O$115,15,0)),0,VLOOKUP($U$38,'TAR FIN'!$A$1:$O$115,15,0))</f>
        <v>270.3</v>
      </c>
      <c r="Y38" s="6"/>
      <c r="Z38" s="6">
        <f ca="1">('TUSD BE'!$AM$15+'TUSD BF'!$AM$15+'TUSD CVA'!$AM$15)*1</f>
        <v>1480.1280206491922</v>
      </c>
      <c r="AA38" s="6">
        <f>('TE BE'!$AB$8+'TE BF'!$AB$8+'TE CVA'!$AB$8)*1</f>
        <v>362.64398683254075</v>
      </c>
      <c r="AB38" s="6">
        <f>$K$38*$V$38</f>
        <v>0</v>
      </c>
      <c r="AC38" s="6">
        <f>$M$38*$W$38</f>
        <v>1782.2208000000001</v>
      </c>
      <c r="AD38" s="6">
        <f>$O$38*$X$38</f>
        <v>332.46899999999999</v>
      </c>
      <c r="AE38" s="6">
        <f>$K$38*$Y$38</f>
        <v>0</v>
      </c>
      <c r="AF38" s="6">
        <f ca="1">$M$38*$Z$38</f>
        <v>1820.5574653985063</v>
      </c>
      <c r="AG38" s="6">
        <f>$O$38*$AA$38</f>
        <v>446.05210380402514</v>
      </c>
    </row>
    <row r="39" spans="1:33" ht="11.25" customHeight="1" x14ac:dyDescent="0.25">
      <c r="A39" s="4" t="s">
        <v>21</v>
      </c>
      <c r="B39" s="4" t="s">
        <v>43</v>
      </c>
      <c r="C39" s="4" t="s">
        <v>44</v>
      </c>
      <c r="D39" s="4" t="s">
        <v>45</v>
      </c>
      <c r="E39" s="4" t="s">
        <v>25</v>
      </c>
      <c r="F39" s="4" t="s">
        <v>25</v>
      </c>
      <c r="G39" s="4" t="s">
        <v>25</v>
      </c>
      <c r="H39" s="4" t="s">
        <v>36</v>
      </c>
      <c r="I39" s="5">
        <v>44593</v>
      </c>
      <c r="J39" s="6">
        <v>0</v>
      </c>
      <c r="K39" s="6">
        <v>0</v>
      </c>
      <c r="L39" s="6">
        <v>0.78600000000000003</v>
      </c>
      <c r="M39" s="6">
        <v>0.78600000000000003</v>
      </c>
      <c r="N39" s="6">
        <v>0.78600000000000003</v>
      </c>
      <c r="O39" s="6">
        <v>0.78600000000000003</v>
      </c>
      <c r="P39" s="6">
        <v>0</v>
      </c>
      <c r="Q39" s="4" t="s">
        <v>26</v>
      </c>
      <c r="R39" s="4">
        <v>0</v>
      </c>
      <c r="S39" s="6">
        <v>0</v>
      </c>
      <c r="T39" s="6">
        <v>13</v>
      </c>
      <c r="U39" s="6">
        <v>71</v>
      </c>
      <c r="V39" s="6">
        <f>IF(ISERROR(VLOOKUP($S$39,'TAR FIN'!$A$1:$O$115,15,0)),0,VLOOKUP($S$39,'TAR FIN'!$A$1:$O$115,15,0))</f>
        <v>0</v>
      </c>
      <c r="W39" s="6">
        <f>IF(ISERROR(VLOOKUP($T$39,'TAR FIN'!$A$1:$O$115,15,0)),0,VLOOKUP($T$39,'TAR FIN'!$A$1:$O$115,15,0))</f>
        <v>1448.96</v>
      </c>
      <c r="X39" s="6">
        <f>IF(ISERROR(VLOOKUP($U$39,'TAR FIN'!$A$1:$O$115,15,0)),0,VLOOKUP($U$39,'TAR FIN'!$A$1:$O$115,15,0))</f>
        <v>270.3</v>
      </c>
      <c r="Y39" s="6"/>
      <c r="Z39" s="6">
        <f ca="1">('TUSD BE'!$AM$15+'TUSD BF'!$AM$15+'TUSD CVA'!$AM$15)*1</f>
        <v>1480.1280206491922</v>
      </c>
      <c r="AA39" s="6">
        <f>('TE BE'!$AB$8+'TE BF'!$AB$8+'TE CVA'!$AB$8)*1</f>
        <v>362.64398683254075</v>
      </c>
      <c r="AB39" s="6">
        <f>$K$39*$V$39</f>
        <v>0</v>
      </c>
      <c r="AC39" s="6">
        <f>$M$39*$W$39</f>
        <v>1138.88256</v>
      </c>
      <c r="AD39" s="6">
        <f>$O$39*$X$39</f>
        <v>212.45580000000001</v>
      </c>
      <c r="AE39" s="6">
        <f>$K$39*$Y$39</f>
        <v>0</v>
      </c>
      <c r="AF39" s="6">
        <f ca="1">$M$39*$Z$39</f>
        <v>1163.3806242302651</v>
      </c>
      <c r="AG39" s="6">
        <f>$O$39*$AA$39</f>
        <v>285.03817365037702</v>
      </c>
    </row>
    <row r="40" spans="1:33" ht="11.25" customHeight="1" x14ac:dyDescent="0.25">
      <c r="A40" s="4" t="s">
        <v>21</v>
      </c>
      <c r="B40" s="4" t="s">
        <v>43</v>
      </c>
      <c r="C40" s="4" t="s">
        <v>44</v>
      </c>
      <c r="D40" s="4" t="s">
        <v>45</v>
      </c>
      <c r="E40" s="4" t="s">
        <v>25</v>
      </c>
      <c r="F40" s="4" t="s">
        <v>25</v>
      </c>
      <c r="G40" s="4" t="s">
        <v>25</v>
      </c>
      <c r="H40" s="4" t="s">
        <v>36</v>
      </c>
      <c r="I40" s="5">
        <v>44621</v>
      </c>
      <c r="J40" s="6">
        <v>0</v>
      </c>
      <c r="K40" s="6">
        <v>0</v>
      </c>
      <c r="L40" s="6">
        <v>0.73799999999999999</v>
      </c>
      <c r="M40" s="6">
        <v>0.73799999999999999</v>
      </c>
      <c r="N40" s="6">
        <v>0.73799999999999999</v>
      </c>
      <c r="O40" s="6">
        <v>0.73799999999999999</v>
      </c>
      <c r="P40" s="6">
        <v>0</v>
      </c>
      <c r="Q40" s="4" t="s">
        <v>26</v>
      </c>
      <c r="R40" s="4">
        <v>0</v>
      </c>
      <c r="S40" s="6">
        <v>0</v>
      </c>
      <c r="T40" s="6">
        <v>13</v>
      </c>
      <c r="U40" s="6">
        <v>71</v>
      </c>
      <c r="V40" s="6">
        <f>IF(ISERROR(VLOOKUP($S$40,'TAR FIN'!$A$1:$O$115,15,0)),0,VLOOKUP($S$40,'TAR FIN'!$A$1:$O$115,15,0))</f>
        <v>0</v>
      </c>
      <c r="W40" s="6">
        <f>IF(ISERROR(VLOOKUP($T$40,'TAR FIN'!$A$1:$O$115,15,0)),0,VLOOKUP($T$40,'TAR FIN'!$A$1:$O$115,15,0))</f>
        <v>1448.96</v>
      </c>
      <c r="X40" s="6">
        <f>IF(ISERROR(VLOOKUP($U$40,'TAR FIN'!$A$1:$O$115,15,0)),0,VLOOKUP($U$40,'TAR FIN'!$A$1:$O$115,15,0))</f>
        <v>270.3</v>
      </c>
      <c r="Y40" s="6"/>
      <c r="Z40" s="6">
        <f ca="1">('TUSD BE'!$AM$15+'TUSD BF'!$AM$15+'TUSD CVA'!$AM$15)*1</f>
        <v>1480.1280206491922</v>
      </c>
      <c r="AA40" s="6">
        <f>('TE BE'!$AB$8+'TE BF'!$AB$8+'TE CVA'!$AB$8)*1</f>
        <v>362.64398683254075</v>
      </c>
      <c r="AB40" s="6">
        <f>$K$40*$V$40</f>
        <v>0</v>
      </c>
      <c r="AC40" s="6">
        <f>$M$40*$W$40</f>
        <v>1069.33248</v>
      </c>
      <c r="AD40" s="6">
        <f>$O$40*$X$40</f>
        <v>199.48140000000001</v>
      </c>
      <c r="AE40" s="6">
        <f>$K$40*$Y$40</f>
        <v>0</v>
      </c>
      <c r="AF40" s="6">
        <f ca="1">$M$40*$Z$40</f>
        <v>1092.3344792391038</v>
      </c>
      <c r="AG40" s="6">
        <f>$O$40*$AA$40</f>
        <v>267.63126228241509</v>
      </c>
    </row>
    <row r="41" spans="1:33" ht="11.25" customHeight="1" x14ac:dyDescent="0.25">
      <c r="A41" s="4" t="s">
        <v>21</v>
      </c>
      <c r="B41" s="4" t="s">
        <v>43</v>
      </c>
      <c r="C41" s="4" t="s">
        <v>44</v>
      </c>
      <c r="D41" s="4" t="s">
        <v>45</v>
      </c>
      <c r="E41" s="4" t="s">
        <v>25</v>
      </c>
      <c r="F41" s="4" t="s">
        <v>25</v>
      </c>
      <c r="G41" s="4" t="s">
        <v>25</v>
      </c>
      <c r="H41" s="4" t="s">
        <v>36</v>
      </c>
      <c r="I41" s="5">
        <v>44652</v>
      </c>
      <c r="J41" s="6">
        <v>0</v>
      </c>
      <c r="K41" s="6">
        <v>0</v>
      </c>
      <c r="L41" s="6">
        <v>0.90100000000000002</v>
      </c>
      <c r="M41" s="6">
        <v>0.90100000000000002</v>
      </c>
      <c r="N41" s="6">
        <v>0.90100000000000002</v>
      </c>
      <c r="O41" s="6">
        <v>0.90100000000000002</v>
      </c>
      <c r="P41" s="6">
        <v>0</v>
      </c>
      <c r="Q41" s="4" t="s">
        <v>26</v>
      </c>
      <c r="R41" s="4">
        <v>0</v>
      </c>
      <c r="S41" s="6">
        <v>0</v>
      </c>
      <c r="T41" s="6">
        <v>13</v>
      </c>
      <c r="U41" s="6">
        <v>71</v>
      </c>
      <c r="V41" s="6">
        <f>IF(ISERROR(VLOOKUP($S$41,'TAR FIN'!$A$1:$O$115,15,0)),0,VLOOKUP($S$41,'TAR FIN'!$A$1:$O$115,15,0))</f>
        <v>0</v>
      </c>
      <c r="W41" s="6">
        <f>IF(ISERROR(VLOOKUP($T$41,'TAR FIN'!$A$1:$O$115,15,0)),0,VLOOKUP($T$41,'TAR FIN'!$A$1:$O$115,15,0))</f>
        <v>1448.96</v>
      </c>
      <c r="X41" s="6">
        <f>IF(ISERROR(VLOOKUP($U$41,'TAR FIN'!$A$1:$O$115,15,0)),0,VLOOKUP($U$41,'TAR FIN'!$A$1:$O$115,15,0))</f>
        <v>270.3</v>
      </c>
      <c r="Y41" s="6"/>
      <c r="Z41" s="6">
        <f ca="1">('TUSD BE'!$AM$15+'TUSD BF'!$AM$15+'TUSD CVA'!$AM$15)*1</f>
        <v>1480.1280206491922</v>
      </c>
      <c r="AA41" s="6">
        <f>('TE BE'!$AB$8+'TE BF'!$AB$8+'TE CVA'!$AB$8)*1</f>
        <v>362.64398683254075</v>
      </c>
      <c r="AB41" s="6">
        <f>$K$41*$V$41</f>
        <v>0</v>
      </c>
      <c r="AC41" s="6">
        <f>$M$41*$W$41</f>
        <v>1305.51296</v>
      </c>
      <c r="AD41" s="6">
        <f>$O$41*$X$41</f>
        <v>243.54030000000003</v>
      </c>
      <c r="AE41" s="6">
        <f>$K$41*$Y$41</f>
        <v>0</v>
      </c>
      <c r="AF41" s="6">
        <f ca="1">$M$41*$Z$41</f>
        <v>1333.5953466049223</v>
      </c>
      <c r="AG41" s="6">
        <f>$O$41*$AA$41</f>
        <v>326.74223213611924</v>
      </c>
    </row>
    <row r="42" spans="1:33" ht="11.25" customHeight="1" x14ac:dyDescent="0.25">
      <c r="A42" s="4" t="s">
        <v>21</v>
      </c>
      <c r="B42" s="4" t="s">
        <v>43</v>
      </c>
      <c r="C42" s="4" t="s">
        <v>44</v>
      </c>
      <c r="D42" s="4" t="s">
        <v>45</v>
      </c>
      <c r="E42" s="4" t="s">
        <v>25</v>
      </c>
      <c r="F42" s="4" t="s">
        <v>25</v>
      </c>
      <c r="G42" s="4" t="s">
        <v>25</v>
      </c>
      <c r="H42" s="4" t="s">
        <v>36</v>
      </c>
      <c r="I42" s="5">
        <v>44682</v>
      </c>
      <c r="J42" s="6">
        <v>0</v>
      </c>
      <c r="K42" s="6">
        <v>0</v>
      </c>
      <c r="L42" s="6">
        <v>0.94799999999999995</v>
      </c>
      <c r="M42" s="6">
        <v>0.94799999999999995</v>
      </c>
      <c r="N42" s="6">
        <v>0.94799999999999995</v>
      </c>
      <c r="O42" s="6">
        <v>0.94799999999999995</v>
      </c>
      <c r="P42" s="6">
        <v>0</v>
      </c>
      <c r="Q42" s="4" t="s">
        <v>26</v>
      </c>
      <c r="R42" s="4">
        <v>0</v>
      </c>
      <c r="S42" s="6">
        <v>0</v>
      </c>
      <c r="T42" s="6">
        <v>13</v>
      </c>
      <c r="U42" s="6">
        <v>71</v>
      </c>
      <c r="V42" s="6">
        <f>IF(ISERROR(VLOOKUP($S$42,'TAR FIN'!$A$1:$O$115,15,0)),0,VLOOKUP($S$42,'TAR FIN'!$A$1:$O$115,15,0))</f>
        <v>0</v>
      </c>
      <c r="W42" s="6">
        <f>IF(ISERROR(VLOOKUP($T$42,'TAR FIN'!$A$1:$O$115,15,0)),0,VLOOKUP($T$42,'TAR FIN'!$A$1:$O$115,15,0))</f>
        <v>1448.96</v>
      </c>
      <c r="X42" s="6">
        <f>IF(ISERROR(VLOOKUP($U$42,'TAR FIN'!$A$1:$O$115,15,0)),0,VLOOKUP($U$42,'TAR FIN'!$A$1:$O$115,15,0))</f>
        <v>270.3</v>
      </c>
      <c r="Y42" s="6"/>
      <c r="Z42" s="6">
        <f ca="1">('TUSD BE'!$AM$15+'TUSD BF'!$AM$15+'TUSD CVA'!$AM$15)*1</f>
        <v>1480.1280206491922</v>
      </c>
      <c r="AA42" s="6">
        <f>('TE BE'!$AB$8+'TE BF'!$AB$8+'TE CVA'!$AB$8)*1</f>
        <v>362.64398683254075</v>
      </c>
      <c r="AB42" s="6">
        <f>$K$42*$V$42</f>
        <v>0</v>
      </c>
      <c r="AC42" s="6">
        <f>$M$42*$W$42</f>
        <v>1373.6140800000001</v>
      </c>
      <c r="AD42" s="6">
        <f>$O$42*$X$42</f>
        <v>256.24439999999998</v>
      </c>
      <c r="AE42" s="6">
        <f>$K$42*$Y$42</f>
        <v>0</v>
      </c>
      <c r="AF42" s="6">
        <f ca="1">$M$42*$Z$42</f>
        <v>1403.1613635754341</v>
      </c>
      <c r="AG42" s="6">
        <f>$O$42*$AA$42</f>
        <v>343.78649951724861</v>
      </c>
    </row>
    <row r="43" spans="1:33" ht="11.25" customHeight="1" x14ac:dyDescent="0.25">
      <c r="A43" s="4" t="s">
        <v>21</v>
      </c>
      <c r="B43" s="4" t="s">
        <v>43</v>
      </c>
      <c r="C43" s="4" t="s">
        <v>44</v>
      </c>
      <c r="D43" s="4" t="s">
        <v>45</v>
      </c>
      <c r="E43" s="4" t="s">
        <v>25</v>
      </c>
      <c r="F43" s="4" t="s">
        <v>25</v>
      </c>
      <c r="G43" s="4" t="s">
        <v>25</v>
      </c>
      <c r="H43" s="4" t="s">
        <v>36</v>
      </c>
      <c r="I43" s="5">
        <v>44713</v>
      </c>
      <c r="J43" s="6">
        <v>0</v>
      </c>
      <c r="K43" s="6">
        <v>0</v>
      </c>
      <c r="L43" s="6">
        <v>1.119</v>
      </c>
      <c r="M43" s="6">
        <v>1.119</v>
      </c>
      <c r="N43" s="6">
        <v>1.119</v>
      </c>
      <c r="O43" s="6">
        <v>1.119</v>
      </c>
      <c r="P43" s="6">
        <v>0</v>
      </c>
      <c r="Q43" s="4" t="s">
        <v>26</v>
      </c>
      <c r="R43" s="4">
        <v>0</v>
      </c>
      <c r="S43" s="6">
        <v>0</v>
      </c>
      <c r="T43" s="6">
        <v>13</v>
      </c>
      <c r="U43" s="6">
        <v>71</v>
      </c>
      <c r="V43" s="6">
        <f>IF(ISERROR(VLOOKUP($S$43,'TAR FIN'!$A$1:$O$115,15,0)),0,VLOOKUP($S$43,'TAR FIN'!$A$1:$O$115,15,0))</f>
        <v>0</v>
      </c>
      <c r="W43" s="6">
        <f>IF(ISERROR(VLOOKUP($T$43,'TAR FIN'!$A$1:$O$115,15,0)),0,VLOOKUP($T$43,'TAR FIN'!$A$1:$O$115,15,0))</f>
        <v>1448.96</v>
      </c>
      <c r="X43" s="6">
        <f>IF(ISERROR(VLOOKUP($U$43,'TAR FIN'!$A$1:$O$115,15,0)),0,VLOOKUP($U$43,'TAR FIN'!$A$1:$O$115,15,0))</f>
        <v>270.3</v>
      </c>
      <c r="Y43" s="6"/>
      <c r="Z43" s="6">
        <f ca="1">('TUSD BE'!$AM$15+'TUSD BF'!$AM$15+'TUSD CVA'!$AM$15)*1</f>
        <v>1480.1280206491922</v>
      </c>
      <c r="AA43" s="6">
        <f>('TE BE'!$AB$8+'TE BF'!$AB$8+'TE CVA'!$AB$8)*1</f>
        <v>362.64398683254075</v>
      </c>
      <c r="AB43" s="6">
        <f>$K$43*$V$43</f>
        <v>0</v>
      </c>
      <c r="AC43" s="6">
        <f>$M$43*$W$43</f>
        <v>1621.38624</v>
      </c>
      <c r="AD43" s="6">
        <f>$O$43*$X$43</f>
        <v>302.46570000000003</v>
      </c>
      <c r="AE43" s="6">
        <f>$K$43*$Y$43</f>
        <v>0</v>
      </c>
      <c r="AF43" s="6">
        <f ca="1">$M$43*$Z$43</f>
        <v>1656.263255106446</v>
      </c>
      <c r="AG43" s="6">
        <f>$O$43*$AA$43</f>
        <v>405.79862126561312</v>
      </c>
    </row>
    <row r="44" spans="1:33" ht="11.25" customHeight="1" x14ac:dyDescent="0.25">
      <c r="A44" s="4" t="s">
        <v>21</v>
      </c>
      <c r="B44" s="4" t="s">
        <v>43</v>
      </c>
      <c r="C44" s="4" t="s">
        <v>44</v>
      </c>
      <c r="D44" s="4" t="s">
        <v>45</v>
      </c>
      <c r="E44" s="4" t="s">
        <v>25</v>
      </c>
      <c r="F44" s="4" t="s">
        <v>25</v>
      </c>
      <c r="G44" s="4" t="s">
        <v>25</v>
      </c>
      <c r="H44" s="4" t="s">
        <v>36</v>
      </c>
      <c r="I44" s="5">
        <v>44743</v>
      </c>
      <c r="J44" s="6">
        <v>0</v>
      </c>
      <c r="K44" s="6">
        <v>0</v>
      </c>
      <c r="L44" s="6">
        <v>1.821</v>
      </c>
      <c r="M44" s="6">
        <v>1.821</v>
      </c>
      <c r="N44" s="6">
        <v>1.821</v>
      </c>
      <c r="O44" s="6">
        <v>1.821</v>
      </c>
      <c r="P44" s="6">
        <v>0</v>
      </c>
      <c r="Q44" s="4" t="s">
        <v>26</v>
      </c>
      <c r="R44" s="4">
        <v>0</v>
      </c>
      <c r="S44" s="6">
        <v>0</v>
      </c>
      <c r="T44" s="6">
        <v>13</v>
      </c>
      <c r="U44" s="6">
        <v>71</v>
      </c>
      <c r="V44" s="6">
        <f>IF(ISERROR(VLOOKUP($S$44,'TAR FIN'!$A$1:$O$115,15,0)),0,VLOOKUP($S$44,'TAR FIN'!$A$1:$O$115,15,0))</f>
        <v>0</v>
      </c>
      <c r="W44" s="6">
        <f>IF(ISERROR(VLOOKUP($T$44,'TAR FIN'!$A$1:$O$115,15,0)),0,VLOOKUP($T$44,'TAR FIN'!$A$1:$O$115,15,0))</f>
        <v>1448.96</v>
      </c>
      <c r="X44" s="6">
        <f>IF(ISERROR(VLOOKUP($U$44,'TAR FIN'!$A$1:$O$115,15,0)),0,VLOOKUP($U$44,'TAR FIN'!$A$1:$O$115,15,0))</f>
        <v>270.3</v>
      </c>
      <c r="Y44" s="6"/>
      <c r="Z44" s="6">
        <f ca="1">('TUSD BE'!$AM$15+'TUSD BF'!$AM$15+'TUSD CVA'!$AM$15)*1</f>
        <v>1480.1280206491922</v>
      </c>
      <c r="AA44" s="6">
        <f>('TE BE'!$AB$8+'TE BF'!$AB$8+'TE CVA'!$AB$8)*1</f>
        <v>362.64398683254075</v>
      </c>
      <c r="AB44" s="6">
        <f>$K$44*$V$44</f>
        <v>0</v>
      </c>
      <c r="AC44" s="6">
        <f>$M$44*$W$44</f>
        <v>2638.5561600000001</v>
      </c>
      <c r="AD44" s="6">
        <f>$O$44*$X$44</f>
        <v>492.21629999999999</v>
      </c>
      <c r="AE44" s="6">
        <f>$K$44*$Y$44</f>
        <v>0</v>
      </c>
      <c r="AF44" s="6">
        <f ca="1">$M$44*$Z$44</f>
        <v>2695.3131256021788</v>
      </c>
      <c r="AG44" s="6">
        <f>$O$44*$AA$44</f>
        <v>660.37470002205669</v>
      </c>
    </row>
    <row r="45" spans="1:33" ht="11.25" customHeight="1" x14ac:dyDescent="0.25">
      <c r="A45" s="4" t="s">
        <v>27</v>
      </c>
      <c r="B45" s="4" t="s">
        <v>43</v>
      </c>
      <c r="C45" s="4" t="s">
        <v>44</v>
      </c>
      <c r="D45" s="4" t="s">
        <v>45</v>
      </c>
      <c r="E45" s="4" t="s">
        <v>25</v>
      </c>
      <c r="F45" s="4" t="s">
        <v>25</v>
      </c>
      <c r="G45" s="4" t="s">
        <v>25</v>
      </c>
      <c r="H45" s="4" t="s">
        <v>36</v>
      </c>
      <c r="I45" s="5">
        <v>44743</v>
      </c>
      <c r="J45" s="6">
        <v>0</v>
      </c>
      <c r="K45" s="6">
        <v>0</v>
      </c>
      <c r="L45" s="6">
        <v>-0.36899999999999999</v>
      </c>
      <c r="M45" s="6">
        <v>-0.36899999999999999</v>
      </c>
      <c r="N45" s="6">
        <v>-0.36899999999999999</v>
      </c>
      <c r="O45" s="6">
        <v>-0.36899999999999999</v>
      </c>
      <c r="P45" s="6">
        <v>0</v>
      </c>
      <c r="Q45" s="4" t="s">
        <v>26</v>
      </c>
      <c r="R45" s="4">
        <v>0</v>
      </c>
      <c r="S45" s="6">
        <v>0</v>
      </c>
      <c r="T45" s="6">
        <v>13</v>
      </c>
      <c r="U45" s="6">
        <v>71</v>
      </c>
      <c r="V45" s="6">
        <f>IF(ISERROR(VLOOKUP($S$45,'TAR FIN'!$A$1:$O$115,15,0)),0,VLOOKUP($S$45,'TAR FIN'!$A$1:$O$115,15,0))</f>
        <v>0</v>
      </c>
      <c r="W45" s="6">
        <f>IF(ISERROR(VLOOKUP($T$45,'TAR FIN'!$A$1:$O$115,15,0)),0,VLOOKUP($T$45,'TAR FIN'!$A$1:$O$115,15,0))</f>
        <v>1448.96</v>
      </c>
      <c r="X45" s="6">
        <f>IF(ISERROR(VLOOKUP($U$45,'TAR FIN'!$A$1:$O$115,15,0)),0,VLOOKUP($U$45,'TAR FIN'!$A$1:$O$115,15,0))</f>
        <v>270.3</v>
      </c>
      <c r="Y45" s="6"/>
      <c r="Z45" s="6">
        <f ca="1">('TUSD BE'!$AM$15+'TUSD BF'!$AM$15+'TUSD CVA'!$AM$15)*1</f>
        <v>1480.1280206491922</v>
      </c>
      <c r="AA45" s="6">
        <f>('TE BE'!$AB$8+'TE BF'!$AB$8+'TE CVA'!$AB$8)*1</f>
        <v>362.64398683254075</v>
      </c>
      <c r="AB45" s="6">
        <f>$K$45*$V$45</f>
        <v>0</v>
      </c>
      <c r="AC45" s="6">
        <f>$M$45*$W$45</f>
        <v>-534.66624000000002</v>
      </c>
      <c r="AD45" s="6">
        <f>$O$45*$X$45</f>
        <v>-99.740700000000004</v>
      </c>
      <c r="AE45" s="6">
        <f>$K$45*$Y$45</f>
        <v>0</v>
      </c>
      <c r="AF45" s="6">
        <f ca="1">$M$45*$Z$45</f>
        <v>-546.16723961955188</v>
      </c>
      <c r="AG45" s="6">
        <f>$O$45*$AA$45</f>
        <v>-133.81563114120755</v>
      </c>
    </row>
    <row r="46" spans="1:33" ht="11.25" customHeight="1" x14ac:dyDescent="0.25">
      <c r="A46" s="4" t="s">
        <v>21</v>
      </c>
      <c r="B46" s="4" t="s">
        <v>43</v>
      </c>
      <c r="C46" s="4" t="s">
        <v>44</v>
      </c>
      <c r="D46" s="4" t="s">
        <v>45</v>
      </c>
      <c r="E46" s="4" t="s">
        <v>25</v>
      </c>
      <c r="F46" s="4" t="s">
        <v>25</v>
      </c>
      <c r="G46" s="4" t="s">
        <v>25</v>
      </c>
      <c r="H46" s="4" t="s">
        <v>36</v>
      </c>
      <c r="I46" s="5">
        <v>44774</v>
      </c>
      <c r="J46" s="6">
        <v>0</v>
      </c>
      <c r="K46" s="6">
        <v>0</v>
      </c>
      <c r="L46" s="6">
        <v>2.5630000000000002</v>
      </c>
      <c r="M46" s="6">
        <v>2.5630000000000002</v>
      </c>
      <c r="N46" s="6">
        <v>2.5630000000000002</v>
      </c>
      <c r="O46" s="6">
        <v>2.5630000000000002</v>
      </c>
      <c r="P46" s="6">
        <v>0</v>
      </c>
      <c r="Q46" s="4" t="s">
        <v>26</v>
      </c>
      <c r="R46" s="4">
        <v>0</v>
      </c>
      <c r="S46" s="6">
        <v>0</v>
      </c>
      <c r="T46" s="6">
        <v>13</v>
      </c>
      <c r="U46" s="6">
        <v>71</v>
      </c>
      <c r="V46" s="6">
        <f>IF(ISERROR(VLOOKUP($S$46,'TAR FIN'!$A$1:$O$115,15,0)),0,VLOOKUP($S$46,'TAR FIN'!$A$1:$O$115,15,0))</f>
        <v>0</v>
      </c>
      <c r="W46" s="6">
        <f>IF(ISERROR(VLOOKUP($T$46,'TAR FIN'!$A$1:$O$115,15,0)),0,VLOOKUP($T$46,'TAR FIN'!$A$1:$O$115,15,0))</f>
        <v>1448.96</v>
      </c>
      <c r="X46" s="6">
        <f>IF(ISERROR(VLOOKUP($U$46,'TAR FIN'!$A$1:$O$115,15,0)),0,VLOOKUP($U$46,'TAR FIN'!$A$1:$O$115,15,0))</f>
        <v>270.3</v>
      </c>
      <c r="Y46" s="6"/>
      <c r="Z46" s="6">
        <f ca="1">('TUSD BE'!$AM$15+'TUSD BF'!$AM$15+'TUSD CVA'!$AM$15)*1</f>
        <v>1480.1280206491922</v>
      </c>
      <c r="AA46" s="6">
        <f>('TE BE'!$AB$8+'TE BF'!$AB$8+'TE CVA'!$AB$8)*1</f>
        <v>362.64398683254075</v>
      </c>
      <c r="AB46" s="6">
        <f>$K$46*$V$46</f>
        <v>0</v>
      </c>
      <c r="AC46" s="6">
        <f>$M$46*$W$46</f>
        <v>3713.6844800000003</v>
      </c>
      <c r="AD46" s="6">
        <f>$O$46*$X$46</f>
        <v>692.77890000000002</v>
      </c>
      <c r="AE46" s="6">
        <f>$K$46*$Y$46</f>
        <v>0</v>
      </c>
      <c r="AF46" s="6">
        <f ca="1">$M$46*$Z$46</f>
        <v>3793.5681169238796</v>
      </c>
      <c r="AG46" s="6">
        <f>$O$46*$AA$46</f>
        <v>929.45653825180204</v>
      </c>
    </row>
    <row r="47" spans="1:33" ht="11.25" customHeight="1" x14ac:dyDescent="0.25">
      <c r="A47" s="4" t="s">
        <v>21</v>
      </c>
      <c r="B47" s="4" t="s">
        <v>43</v>
      </c>
      <c r="C47" s="4" t="s">
        <v>44</v>
      </c>
      <c r="D47" s="4" t="s">
        <v>45</v>
      </c>
      <c r="E47" s="4" t="s">
        <v>25</v>
      </c>
      <c r="F47" s="4" t="s">
        <v>25</v>
      </c>
      <c r="G47" s="4" t="s">
        <v>25</v>
      </c>
      <c r="H47" s="4" t="s">
        <v>36</v>
      </c>
      <c r="I47" s="5">
        <v>44805</v>
      </c>
      <c r="J47" s="6">
        <v>0</v>
      </c>
      <c r="K47" s="6">
        <v>0</v>
      </c>
      <c r="L47" s="6">
        <v>3.8279999999999998</v>
      </c>
      <c r="M47" s="6">
        <v>3.8279999999999998</v>
      </c>
      <c r="N47" s="6">
        <v>3.8279999999999998</v>
      </c>
      <c r="O47" s="6">
        <v>3.8279999999999998</v>
      </c>
      <c r="P47" s="6">
        <v>0</v>
      </c>
      <c r="Q47" s="4" t="s">
        <v>26</v>
      </c>
      <c r="R47" s="4">
        <v>0</v>
      </c>
      <c r="S47" s="6">
        <v>0</v>
      </c>
      <c r="T47" s="6">
        <v>13</v>
      </c>
      <c r="U47" s="6">
        <v>71</v>
      </c>
      <c r="V47" s="6">
        <f>IF(ISERROR(VLOOKUP($S$47,'TAR FIN'!$A$1:$O$115,15,0)),0,VLOOKUP($S$47,'TAR FIN'!$A$1:$O$115,15,0))</f>
        <v>0</v>
      </c>
      <c r="W47" s="6">
        <f>IF(ISERROR(VLOOKUP($T$47,'TAR FIN'!$A$1:$O$115,15,0)),0,VLOOKUP($T$47,'TAR FIN'!$A$1:$O$115,15,0))</f>
        <v>1448.96</v>
      </c>
      <c r="X47" s="6">
        <f>IF(ISERROR(VLOOKUP($U$47,'TAR FIN'!$A$1:$O$115,15,0)),0,VLOOKUP($U$47,'TAR FIN'!$A$1:$O$115,15,0))</f>
        <v>270.3</v>
      </c>
      <c r="Y47" s="6"/>
      <c r="Z47" s="6">
        <f ca="1">('TUSD BE'!$AM$15+'TUSD BF'!$AM$15+'TUSD CVA'!$AM$15)*1</f>
        <v>1480.1280206491922</v>
      </c>
      <c r="AA47" s="6">
        <f>('TE BE'!$AB$8+'TE BF'!$AB$8+'TE CVA'!$AB$8)*1</f>
        <v>362.64398683254075</v>
      </c>
      <c r="AB47" s="6">
        <f>$K$47*$V$47</f>
        <v>0</v>
      </c>
      <c r="AC47" s="6">
        <f>$M$47*$W$47</f>
        <v>5546.61888</v>
      </c>
      <c r="AD47" s="6">
        <f>$O$47*$X$47</f>
        <v>1034.7084</v>
      </c>
      <c r="AE47" s="6">
        <f>$K$47*$Y$47</f>
        <v>0</v>
      </c>
      <c r="AF47" s="6">
        <f ca="1">$M$47*$Z$47</f>
        <v>5665.9300630451071</v>
      </c>
      <c r="AG47" s="6">
        <f>$O$47*$AA$47</f>
        <v>1388.2011815949659</v>
      </c>
    </row>
    <row r="48" spans="1:33" ht="11.25" customHeight="1" x14ac:dyDescent="0.25">
      <c r="A48" s="4" t="s">
        <v>21</v>
      </c>
      <c r="B48" s="4" t="s">
        <v>43</v>
      </c>
      <c r="C48" s="4" t="s">
        <v>44</v>
      </c>
      <c r="D48" s="4" t="s">
        <v>45</v>
      </c>
      <c r="E48" s="4" t="s">
        <v>25</v>
      </c>
      <c r="F48" s="4" t="s">
        <v>25</v>
      </c>
      <c r="G48" s="4" t="s">
        <v>25</v>
      </c>
      <c r="H48" s="4" t="s">
        <v>36</v>
      </c>
      <c r="I48" s="5">
        <v>44835</v>
      </c>
      <c r="J48" s="6">
        <v>0</v>
      </c>
      <c r="K48" s="6">
        <v>0</v>
      </c>
      <c r="L48" s="6">
        <v>3.883</v>
      </c>
      <c r="M48" s="6">
        <v>3.883</v>
      </c>
      <c r="N48" s="6">
        <v>3.883</v>
      </c>
      <c r="O48" s="6">
        <v>3.883</v>
      </c>
      <c r="P48" s="6">
        <v>0</v>
      </c>
      <c r="Q48" s="4" t="s">
        <v>26</v>
      </c>
      <c r="R48" s="4">
        <v>0</v>
      </c>
      <c r="S48" s="6">
        <v>0</v>
      </c>
      <c r="T48" s="6">
        <v>13</v>
      </c>
      <c r="U48" s="6">
        <v>71</v>
      </c>
      <c r="V48" s="6">
        <f>IF(ISERROR(VLOOKUP($S$48,'TAR FIN'!$A$1:$O$115,15,0)),0,VLOOKUP($S$48,'TAR FIN'!$A$1:$O$115,15,0))</f>
        <v>0</v>
      </c>
      <c r="W48" s="6">
        <f>IF(ISERROR(VLOOKUP($T$48,'TAR FIN'!$A$1:$O$115,15,0)),0,VLOOKUP($T$48,'TAR FIN'!$A$1:$O$115,15,0))</f>
        <v>1448.96</v>
      </c>
      <c r="X48" s="6">
        <f>IF(ISERROR(VLOOKUP($U$48,'TAR FIN'!$A$1:$O$115,15,0)),0,VLOOKUP($U$48,'TAR FIN'!$A$1:$O$115,15,0))</f>
        <v>270.3</v>
      </c>
      <c r="Y48" s="6"/>
      <c r="Z48" s="6">
        <f ca="1">('TUSD BE'!$AM$15+'TUSD BF'!$AM$15+'TUSD CVA'!$AM$15)*1</f>
        <v>1480.1280206491922</v>
      </c>
      <c r="AA48" s="6">
        <f>('TE BE'!$AB$8+'TE BF'!$AB$8+'TE CVA'!$AB$8)*1</f>
        <v>362.64398683254075</v>
      </c>
      <c r="AB48" s="6">
        <f>$K$48*$V$48</f>
        <v>0</v>
      </c>
      <c r="AC48" s="6">
        <f>$M$48*$W$48</f>
        <v>5626.3116799999998</v>
      </c>
      <c r="AD48" s="6">
        <f>$O$48*$X$48</f>
        <v>1049.5749000000001</v>
      </c>
      <c r="AE48" s="6">
        <f>$K$48*$Y$48</f>
        <v>0</v>
      </c>
      <c r="AF48" s="6">
        <f ca="1">$M$48*$Z$48</f>
        <v>5747.3371041808132</v>
      </c>
      <c r="AG48" s="6">
        <f>$O$48*$AA$48</f>
        <v>1408.1466008707557</v>
      </c>
    </row>
    <row r="49" spans="1:33" ht="11.25" customHeight="1" x14ac:dyDescent="0.25">
      <c r="A49" s="4" t="s">
        <v>59</v>
      </c>
      <c r="B49" s="4" t="s">
        <v>43</v>
      </c>
      <c r="C49" s="4" t="s">
        <v>44</v>
      </c>
      <c r="D49" s="4" t="s">
        <v>45</v>
      </c>
      <c r="E49" s="4" t="s">
        <v>25</v>
      </c>
      <c r="F49" s="4" t="s">
        <v>25</v>
      </c>
      <c r="G49" s="4" t="s">
        <v>25</v>
      </c>
      <c r="H49" s="4" t="s">
        <v>36</v>
      </c>
      <c r="I49" s="5">
        <v>44866</v>
      </c>
      <c r="J49" s="6">
        <v>0</v>
      </c>
      <c r="K49" s="6">
        <v>0</v>
      </c>
      <c r="L49" s="6">
        <v>3.883</v>
      </c>
      <c r="M49" s="6">
        <v>3.883</v>
      </c>
      <c r="N49" s="6">
        <v>3.883</v>
      </c>
      <c r="O49" s="6">
        <v>3.883</v>
      </c>
      <c r="P49" s="6">
        <v>0</v>
      </c>
      <c r="Q49" s="4" t="s">
        <v>26</v>
      </c>
      <c r="R49" s="4">
        <v>0</v>
      </c>
      <c r="S49" s="6">
        <v>0</v>
      </c>
      <c r="T49" s="6">
        <v>13</v>
      </c>
      <c r="U49" s="6">
        <v>71</v>
      </c>
      <c r="V49" s="6">
        <f>IF(ISERROR(VLOOKUP($S$49,'TAR FIN'!$A$1:$O$115,15,0)),0,VLOOKUP($S$49,'TAR FIN'!$A$1:$O$115,15,0))</f>
        <v>0</v>
      </c>
      <c r="W49" s="6">
        <f>IF(ISERROR(VLOOKUP($T$49,'TAR FIN'!$A$1:$O$115,15,0)),0,VLOOKUP($T$49,'TAR FIN'!$A$1:$O$115,15,0))</f>
        <v>1448.96</v>
      </c>
      <c r="X49" s="6">
        <f>IF(ISERROR(VLOOKUP($U$49,'TAR FIN'!$A$1:$O$115,15,0)),0,VLOOKUP($U$49,'TAR FIN'!$A$1:$O$115,15,0))</f>
        <v>270.3</v>
      </c>
      <c r="Y49" s="6"/>
      <c r="Z49" s="6">
        <f ca="1">('TUSD BE'!$AM$15+'TUSD BF'!$AM$15+'TUSD CVA'!$AM$15)*1</f>
        <v>1480.1280206491922</v>
      </c>
      <c r="AA49" s="6">
        <f>('TE BE'!$AB$8+'TE BF'!$AB$8+'TE CVA'!$AB$8)*1</f>
        <v>362.64398683254075</v>
      </c>
      <c r="AB49" s="6">
        <f>$K$49*$V$49</f>
        <v>0</v>
      </c>
      <c r="AC49" s="6">
        <f>$M$49*$W$49</f>
        <v>5626.3116799999998</v>
      </c>
      <c r="AD49" s="6">
        <f>$O$49*$X$49</f>
        <v>1049.5749000000001</v>
      </c>
      <c r="AE49" s="6">
        <f>$K$49*$Y$49</f>
        <v>0</v>
      </c>
      <c r="AF49" s="6">
        <f ca="1">$M$49*$Z$49</f>
        <v>5747.3371041808132</v>
      </c>
      <c r="AG49" s="6">
        <f>$O$49*$AA$49</f>
        <v>1408.1466008707557</v>
      </c>
    </row>
    <row r="50" spans="1:33" ht="11.25" customHeight="1" x14ac:dyDescent="0.25">
      <c r="A50" s="4" t="s">
        <v>21</v>
      </c>
      <c r="B50" s="4" t="s">
        <v>43</v>
      </c>
      <c r="C50" s="4" t="s">
        <v>44</v>
      </c>
      <c r="D50" s="4" t="s">
        <v>40</v>
      </c>
      <c r="E50" s="4" t="s">
        <v>25</v>
      </c>
      <c r="F50" s="4" t="s">
        <v>25</v>
      </c>
      <c r="G50" s="4" t="s">
        <v>25</v>
      </c>
      <c r="H50" s="4" t="s">
        <v>37</v>
      </c>
      <c r="I50" s="5">
        <v>44531</v>
      </c>
      <c r="J50" s="6">
        <v>0</v>
      </c>
      <c r="K50" s="6">
        <v>0</v>
      </c>
      <c r="L50" s="6">
        <v>100.328</v>
      </c>
      <c r="M50" s="6">
        <v>100.328</v>
      </c>
      <c r="N50" s="6">
        <v>100.328</v>
      </c>
      <c r="O50" s="6">
        <v>100.328</v>
      </c>
      <c r="P50" s="6">
        <v>0</v>
      </c>
      <c r="Q50" s="4" t="s">
        <v>26</v>
      </c>
      <c r="R50" s="4">
        <v>0</v>
      </c>
      <c r="S50" s="6">
        <v>0</v>
      </c>
      <c r="T50" s="6">
        <v>14</v>
      </c>
      <c r="U50" s="6">
        <v>72</v>
      </c>
      <c r="V50" s="6">
        <f>IF(ISERROR(VLOOKUP($S$50,'TAR FIN'!$A$1:$O$115,15,0)),0,VLOOKUP($S$50,'TAR FIN'!$A$1:$O$115,15,0))</f>
        <v>0</v>
      </c>
      <c r="W50" s="6">
        <f>IF(ISERROR(VLOOKUP($T$50,'TAR FIN'!$A$1:$O$115,15,0)),0,VLOOKUP($T$50,'TAR FIN'!$A$1:$O$115,15,0))</f>
        <v>84.31</v>
      </c>
      <c r="X50" s="6">
        <f>IF(ISERROR(VLOOKUP($U$50,'TAR FIN'!$A$1:$O$115,15,0)),0,VLOOKUP($U$50,'TAR FIN'!$A$1:$O$115,15,0))</f>
        <v>168.06</v>
      </c>
      <c r="Y50" s="6"/>
      <c r="Z50" s="6">
        <f ca="1">('TUSD BE'!$AM$16+'TUSD BF'!$AM$16+'TUSD CVA'!$AM$16)*1</f>
        <v>113.43121292628391</v>
      </c>
      <c r="AA50" s="6">
        <f>('TE BE'!$AB$9+'TE BF'!$AB$9+'TE CVA'!$AB$9)*1</f>
        <v>218.6854278594964</v>
      </c>
      <c r="AB50" s="6">
        <f>$K$50*$V$50</f>
        <v>0</v>
      </c>
      <c r="AC50" s="6">
        <f>$M$50*$W$50</f>
        <v>8458.6536800000013</v>
      </c>
      <c r="AD50" s="6">
        <f>$O$50*$X$50</f>
        <v>16861.123680000001</v>
      </c>
      <c r="AE50" s="6">
        <f>$K$50*$Y$50</f>
        <v>0</v>
      </c>
      <c r="AF50" s="6">
        <f ca="1">$M$50*$Z$50</f>
        <v>11380.326730468212</v>
      </c>
      <c r="AG50" s="6">
        <f>$O$50*$AA$50</f>
        <v>21940.271606287555</v>
      </c>
    </row>
    <row r="51" spans="1:33" ht="11.25" customHeight="1" x14ac:dyDescent="0.25">
      <c r="A51" s="4" t="s">
        <v>27</v>
      </c>
      <c r="B51" s="4" t="s">
        <v>43</v>
      </c>
      <c r="C51" s="4" t="s">
        <v>44</v>
      </c>
      <c r="D51" s="4" t="s">
        <v>40</v>
      </c>
      <c r="E51" s="4" t="s">
        <v>25</v>
      </c>
      <c r="F51" s="4" t="s">
        <v>25</v>
      </c>
      <c r="G51" s="4" t="s">
        <v>25</v>
      </c>
      <c r="H51" s="4" t="s">
        <v>37</v>
      </c>
      <c r="I51" s="5">
        <v>44531</v>
      </c>
      <c r="J51" s="6">
        <v>0</v>
      </c>
      <c r="K51" s="6">
        <v>0</v>
      </c>
      <c r="L51" s="6">
        <v>-3.5</v>
      </c>
      <c r="M51" s="6">
        <v>-3.5</v>
      </c>
      <c r="N51" s="6">
        <v>-3.5</v>
      </c>
      <c r="O51" s="6">
        <v>-3.5</v>
      </c>
      <c r="P51" s="6">
        <v>0</v>
      </c>
      <c r="Q51" s="4" t="s">
        <v>26</v>
      </c>
      <c r="R51" s="4">
        <v>0</v>
      </c>
      <c r="S51" s="6">
        <v>0</v>
      </c>
      <c r="T51" s="6">
        <v>14</v>
      </c>
      <c r="U51" s="6">
        <v>72</v>
      </c>
      <c r="V51" s="6">
        <f>IF(ISERROR(VLOOKUP($S$51,'TAR FIN'!$A$1:$O$115,15,0)),0,VLOOKUP($S$51,'TAR FIN'!$A$1:$O$115,15,0))</f>
        <v>0</v>
      </c>
      <c r="W51" s="6">
        <f>IF(ISERROR(VLOOKUP($T$51,'TAR FIN'!$A$1:$O$115,15,0)),0,VLOOKUP($T$51,'TAR FIN'!$A$1:$O$115,15,0))</f>
        <v>84.31</v>
      </c>
      <c r="X51" s="6">
        <f>IF(ISERROR(VLOOKUP($U$51,'TAR FIN'!$A$1:$O$115,15,0)),0,VLOOKUP($U$51,'TAR FIN'!$A$1:$O$115,15,0))</f>
        <v>168.06</v>
      </c>
      <c r="Y51" s="6"/>
      <c r="Z51" s="6">
        <f ca="1">('TUSD BE'!$AM$16+'TUSD BF'!$AM$16+'TUSD CVA'!$AM$16)*1</f>
        <v>113.43121292628391</v>
      </c>
      <c r="AA51" s="6">
        <f>('TE BE'!$AB$9+'TE BF'!$AB$9+'TE CVA'!$AB$9)*1</f>
        <v>218.6854278594964</v>
      </c>
      <c r="AB51" s="6">
        <f>$K$51*$V$51</f>
        <v>0</v>
      </c>
      <c r="AC51" s="6">
        <f>$M$51*$W$51</f>
        <v>-295.08500000000004</v>
      </c>
      <c r="AD51" s="6">
        <f>$O$51*$X$51</f>
        <v>-588.21</v>
      </c>
      <c r="AE51" s="6">
        <f>$K$51*$Y$51</f>
        <v>0</v>
      </c>
      <c r="AF51" s="6">
        <f ca="1">$M$51*$Z$51</f>
        <v>-397.00924524199365</v>
      </c>
      <c r="AG51" s="6">
        <f>$O$51*$AA$51</f>
        <v>-765.39899750823736</v>
      </c>
    </row>
    <row r="52" spans="1:33" ht="11.25" customHeight="1" x14ac:dyDescent="0.25">
      <c r="A52" s="4" t="s">
        <v>21</v>
      </c>
      <c r="B52" s="4" t="s">
        <v>43</v>
      </c>
      <c r="C52" s="4" t="s">
        <v>44</v>
      </c>
      <c r="D52" s="4" t="s">
        <v>40</v>
      </c>
      <c r="E52" s="4" t="s">
        <v>25</v>
      </c>
      <c r="F52" s="4" t="s">
        <v>25</v>
      </c>
      <c r="G52" s="4" t="s">
        <v>25</v>
      </c>
      <c r="H52" s="4" t="s">
        <v>37</v>
      </c>
      <c r="I52" s="5">
        <v>44562</v>
      </c>
      <c r="J52" s="6">
        <v>0</v>
      </c>
      <c r="K52" s="6">
        <v>0</v>
      </c>
      <c r="L52" s="6">
        <v>97.162999999999997</v>
      </c>
      <c r="M52" s="6">
        <v>97.162999999999997</v>
      </c>
      <c r="N52" s="6">
        <v>97.162999999999997</v>
      </c>
      <c r="O52" s="6">
        <v>97.162999999999997</v>
      </c>
      <c r="P52" s="6">
        <v>0</v>
      </c>
      <c r="Q52" s="4" t="s">
        <v>26</v>
      </c>
      <c r="R52" s="4">
        <v>0</v>
      </c>
      <c r="S52" s="6">
        <v>0</v>
      </c>
      <c r="T52" s="6">
        <v>14</v>
      </c>
      <c r="U52" s="6">
        <v>72</v>
      </c>
      <c r="V52" s="6">
        <f>IF(ISERROR(VLOOKUP($S$52,'TAR FIN'!$A$1:$O$115,15,0)),0,VLOOKUP($S$52,'TAR FIN'!$A$1:$O$115,15,0))</f>
        <v>0</v>
      </c>
      <c r="W52" s="6">
        <f>IF(ISERROR(VLOOKUP($T$52,'TAR FIN'!$A$1:$O$115,15,0)),0,VLOOKUP($T$52,'TAR FIN'!$A$1:$O$115,15,0))</f>
        <v>84.31</v>
      </c>
      <c r="X52" s="6">
        <f>IF(ISERROR(VLOOKUP($U$52,'TAR FIN'!$A$1:$O$115,15,0)),0,VLOOKUP($U$52,'TAR FIN'!$A$1:$O$115,15,0))</f>
        <v>168.06</v>
      </c>
      <c r="Y52" s="6"/>
      <c r="Z52" s="6">
        <f ca="1">('TUSD BE'!$AM$16+'TUSD BF'!$AM$16+'TUSD CVA'!$AM$16)*1</f>
        <v>113.43121292628391</v>
      </c>
      <c r="AA52" s="6">
        <f>('TE BE'!$AB$9+'TE BF'!$AB$9+'TE CVA'!$AB$9)*1</f>
        <v>218.6854278594964</v>
      </c>
      <c r="AB52" s="6">
        <f>$K$52*$V$52</f>
        <v>0</v>
      </c>
      <c r="AC52" s="6">
        <f>$M$52*$W$52</f>
        <v>8191.8125300000002</v>
      </c>
      <c r="AD52" s="6">
        <f>$O$52*$X$52</f>
        <v>16329.21378</v>
      </c>
      <c r="AE52" s="6">
        <f>$K$52*$Y$52</f>
        <v>0</v>
      </c>
      <c r="AF52" s="6">
        <f ca="1">$M$52*$Z$52</f>
        <v>11021.316941556523</v>
      </c>
      <c r="AG52" s="6">
        <f>$O$52*$AA$52</f>
        <v>21248.132227112248</v>
      </c>
    </row>
    <row r="53" spans="1:33" ht="11.25" customHeight="1" x14ac:dyDescent="0.25">
      <c r="A53" s="4" t="s">
        <v>21</v>
      </c>
      <c r="B53" s="4" t="s">
        <v>43</v>
      </c>
      <c r="C53" s="4" t="s">
        <v>44</v>
      </c>
      <c r="D53" s="4" t="s">
        <v>40</v>
      </c>
      <c r="E53" s="4" t="s">
        <v>25</v>
      </c>
      <c r="F53" s="4" t="s">
        <v>25</v>
      </c>
      <c r="G53" s="4" t="s">
        <v>25</v>
      </c>
      <c r="H53" s="4" t="s">
        <v>37</v>
      </c>
      <c r="I53" s="5">
        <v>44593</v>
      </c>
      <c r="J53" s="6">
        <v>0</v>
      </c>
      <c r="K53" s="6">
        <v>0</v>
      </c>
      <c r="L53" s="6">
        <v>81.328999999999994</v>
      </c>
      <c r="M53" s="6">
        <v>81.328999999999994</v>
      </c>
      <c r="N53" s="6">
        <v>81.328999999999994</v>
      </c>
      <c r="O53" s="6">
        <v>81.328999999999994</v>
      </c>
      <c r="P53" s="6">
        <v>0</v>
      </c>
      <c r="Q53" s="4" t="s">
        <v>26</v>
      </c>
      <c r="R53" s="4">
        <v>0</v>
      </c>
      <c r="S53" s="6">
        <v>0</v>
      </c>
      <c r="T53" s="6">
        <v>14</v>
      </c>
      <c r="U53" s="6">
        <v>72</v>
      </c>
      <c r="V53" s="6">
        <f>IF(ISERROR(VLOOKUP($S$53,'TAR FIN'!$A$1:$O$115,15,0)),0,VLOOKUP($S$53,'TAR FIN'!$A$1:$O$115,15,0))</f>
        <v>0</v>
      </c>
      <c r="W53" s="6">
        <f>IF(ISERROR(VLOOKUP($T$53,'TAR FIN'!$A$1:$O$115,15,0)),0,VLOOKUP($T$53,'TAR FIN'!$A$1:$O$115,15,0))</f>
        <v>84.31</v>
      </c>
      <c r="X53" s="6">
        <f>IF(ISERROR(VLOOKUP($U$53,'TAR FIN'!$A$1:$O$115,15,0)),0,VLOOKUP($U$53,'TAR FIN'!$A$1:$O$115,15,0))</f>
        <v>168.06</v>
      </c>
      <c r="Y53" s="6"/>
      <c r="Z53" s="6">
        <f ca="1">('TUSD BE'!$AM$16+'TUSD BF'!$AM$16+'TUSD CVA'!$AM$16)*1</f>
        <v>113.43121292628391</v>
      </c>
      <c r="AA53" s="6">
        <f>('TE BE'!$AB$9+'TE BF'!$AB$9+'TE CVA'!$AB$9)*1</f>
        <v>218.6854278594964</v>
      </c>
      <c r="AB53" s="6">
        <f>$K$53*$V$53</f>
        <v>0</v>
      </c>
      <c r="AC53" s="6">
        <f>$M$53*$W$53</f>
        <v>6856.8479899999993</v>
      </c>
      <c r="AD53" s="6">
        <f>$O$53*$X$53</f>
        <v>13668.151739999999</v>
      </c>
      <c r="AE53" s="6">
        <f>$K$53*$Y$53</f>
        <v>0</v>
      </c>
      <c r="AF53" s="6">
        <f ca="1">$M$53*$Z$53</f>
        <v>9225.2471160817422</v>
      </c>
      <c r="AG53" s="6">
        <f>$O$53*$AA$53</f>
        <v>17785.467162384983</v>
      </c>
    </row>
    <row r="54" spans="1:33" ht="11.25" customHeight="1" x14ac:dyDescent="0.25">
      <c r="A54" s="4" t="s">
        <v>21</v>
      </c>
      <c r="B54" s="4" t="s">
        <v>43</v>
      </c>
      <c r="C54" s="4" t="s">
        <v>44</v>
      </c>
      <c r="D54" s="4" t="s">
        <v>40</v>
      </c>
      <c r="E54" s="4" t="s">
        <v>25</v>
      </c>
      <c r="F54" s="4" t="s">
        <v>25</v>
      </c>
      <c r="G54" s="4" t="s">
        <v>25</v>
      </c>
      <c r="H54" s="4" t="s">
        <v>37</v>
      </c>
      <c r="I54" s="5">
        <v>44621</v>
      </c>
      <c r="J54" s="6">
        <v>0</v>
      </c>
      <c r="K54" s="6">
        <v>0</v>
      </c>
      <c r="L54" s="6">
        <v>97.367999999999995</v>
      </c>
      <c r="M54" s="6">
        <v>97.367999999999995</v>
      </c>
      <c r="N54" s="6">
        <v>97.367999999999995</v>
      </c>
      <c r="O54" s="6">
        <v>97.367999999999995</v>
      </c>
      <c r="P54" s="6">
        <v>0</v>
      </c>
      <c r="Q54" s="4" t="s">
        <v>26</v>
      </c>
      <c r="R54" s="4">
        <v>0</v>
      </c>
      <c r="S54" s="6">
        <v>0</v>
      </c>
      <c r="T54" s="6">
        <v>14</v>
      </c>
      <c r="U54" s="6">
        <v>72</v>
      </c>
      <c r="V54" s="6">
        <f>IF(ISERROR(VLOOKUP($S$54,'TAR FIN'!$A$1:$O$115,15,0)),0,VLOOKUP($S$54,'TAR FIN'!$A$1:$O$115,15,0))</f>
        <v>0</v>
      </c>
      <c r="W54" s="6">
        <f>IF(ISERROR(VLOOKUP($T$54,'TAR FIN'!$A$1:$O$115,15,0)),0,VLOOKUP($T$54,'TAR FIN'!$A$1:$O$115,15,0))</f>
        <v>84.31</v>
      </c>
      <c r="X54" s="6">
        <f>IF(ISERROR(VLOOKUP($U$54,'TAR FIN'!$A$1:$O$115,15,0)),0,VLOOKUP($U$54,'TAR FIN'!$A$1:$O$115,15,0))</f>
        <v>168.06</v>
      </c>
      <c r="Y54" s="6"/>
      <c r="Z54" s="6">
        <f ca="1">('TUSD BE'!$AM$16+'TUSD BF'!$AM$16+'TUSD CVA'!$AM$16)*1</f>
        <v>113.43121292628391</v>
      </c>
      <c r="AA54" s="6">
        <f>('TE BE'!$AB$9+'TE BF'!$AB$9+'TE CVA'!$AB$9)*1</f>
        <v>218.6854278594964</v>
      </c>
      <c r="AB54" s="6">
        <f>$K$54*$V$54</f>
        <v>0</v>
      </c>
      <c r="AC54" s="6">
        <f>$M$54*$W$54</f>
        <v>8209.0960799999993</v>
      </c>
      <c r="AD54" s="6">
        <f>$O$54*$X$54</f>
        <v>16363.666079999999</v>
      </c>
      <c r="AE54" s="6">
        <f>$K$54*$Y$54</f>
        <v>0</v>
      </c>
      <c r="AF54" s="6">
        <f ca="1">$M$54*$Z$54</f>
        <v>11044.57034020641</v>
      </c>
      <c r="AG54" s="6">
        <f>$O$54*$AA$54</f>
        <v>21292.962739823444</v>
      </c>
    </row>
    <row r="55" spans="1:33" ht="11.25" customHeight="1" x14ac:dyDescent="0.25">
      <c r="A55" s="4" t="s">
        <v>21</v>
      </c>
      <c r="B55" s="4" t="s">
        <v>43</v>
      </c>
      <c r="C55" s="4" t="s">
        <v>44</v>
      </c>
      <c r="D55" s="4" t="s">
        <v>40</v>
      </c>
      <c r="E55" s="4" t="s">
        <v>25</v>
      </c>
      <c r="F55" s="4" t="s">
        <v>25</v>
      </c>
      <c r="G55" s="4" t="s">
        <v>25</v>
      </c>
      <c r="H55" s="4" t="s">
        <v>37</v>
      </c>
      <c r="I55" s="5">
        <v>44652</v>
      </c>
      <c r="J55" s="6">
        <v>0</v>
      </c>
      <c r="K55" s="6">
        <v>0</v>
      </c>
      <c r="L55" s="6">
        <v>169.136</v>
      </c>
      <c r="M55" s="6">
        <v>169.136</v>
      </c>
      <c r="N55" s="6">
        <v>169.136</v>
      </c>
      <c r="O55" s="6">
        <v>169.136</v>
      </c>
      <c r="P55" s="6">
        <v>0</v>
      </c>
      <c r="Q55" s="4" t="s">
        <v>26</v>
      </c>
      <c r="R55" s="4">
        <v>0</v>
      </c>
      <c r="S55" s="6">
        <v>0</v>
      </c>
      <c r="T55" s="6">
        <v>14</v>
      </c>
      <c r="U55" s="6">
        <v>72</v>
      </c>
      <c r="V55" s="6">
        <f>IF(ISERROR(VLOOKUP($S$55,'TAR FIN'!$A$1:$O$115,15,0)),0,VLOOKUP($S$55,'TAR FIN'!$A$1:$O$115,15,0))</f>
        <v>0</v>
      </c>
      <c r="W55" s="6">
        <f>IF(ISERROR(VLOOKUP($T$55,'TAR FIN'!$A$1:$O$115,15,0)),0,VLOOKUP($T$55,'TAR FIN'!$A$1:$O$115,15,0))</f>
        <v>84.31</v>
      </c>
      <c r="X55" s="6">
        <f>IF(ISERROR(VLOOKUP($U$55,'TAR FIN'!$A$1:$O$115,15,0)),0,VLOOKUP($U$55,'TAR FIN'!$A$1:$O$115,15,0))</f>
        <v>168.06</v>
      </c>
      <c r="Y55" s="6"/>
      <c r="Z55" s="6">
        <f ca="1">('TUSD BE'!$AM$16+'TUSD BF'!$AM$16+'TUSD CVA'!$AM$16)*1</f>
        <v>113.43121292628391</v>
      </c>
      <c r="AA55" s="6">
        <f>('TE BE'!$AB$9+'TE BF'!$AB$9+'TE CVA'!$AB$9)*1</f>
        <v>218.6854278594964</v>
      </c>
      <c r="AB55" s="6">
        <f>$K$55*$V$55</f>
        <v>0</v>
      </c>
      <c r="AC55" s="6">
        <f>$M$55*$W$55</f>
        <v>14259.856159999999</v>
      </c>
      <c r="AD55" s="6">
        <f>$O$55*$X$55</f>
        <v>28424.996159999999</v>
      </c>
      <c r="AE55" s="6">
        <f>$K$55*$Y$55</f>
        <v>0</v>
      </c>
      <c r="AF55" s="6">
        <f ca="1">$M$55*$Z$55</f>
        <v>19185.301629499954</v>
      </c>
      <c r="AG55" s="6">
        <f>$O$55*$AA$55</f>
        <v>36987.57852644378</v>
      </c>
    </row>
    <row r="56" spans="1:33" ht="11.25" customHeight="1" x14ac:dyDescent="0.25">
      <c r="A56" s="4" t="s">
        <v>21</v>
      </c>
      <c r="B56" s="4" t="s">
        <v>43</v>
      </c>
      <c r="C56" s="4" t="s">
        <v>44</v>
      </c>
      <c r="D56" s="4" t="s">
        <v>40</v>
      </c>
      <c r="E56" s="4" t="s">
        <v>25</v>
      </c>
      <c r="F56" s="4" t="s">
        <v>25</v>
      </c>
      <c r="G56" s="4" t="s">
        <v>25</v>
      </c>
      <c r="H56" s="4" t="s">
        <v>37</v>
      </c>
      <c r="I56" s="5">
        <v>44682</v>
      </c>
      <c r="J56" s="6">
        <v>0</v>
      </c>
      <c r="K56" s="6">
        <v>0</v>
      </c>
      <c r="L56" s="6">
        <v>90.632999999999996</v>
      </c>
      <c r="M56" s="6">
        <v>90.632999999999996</v>
      </c>
      <c r="N56" s="6">
        <v>90.632999999999996</v>
      </c>
      <c r="O56" s="6">
        <v>90.632999999999996</v>
      </c>
      <c r="P56" s="6">
        <v>0</v>
      </c>
      <c r="Q56" s="4" t="s">
        <v>26</v>
      </c>
      <c r="R56" s="4">
        <v>0</v>
      </c>
      <c r="S56" s="6">
        <v>0</v>
      </c>
      <c r="T56" s="6">
        <v>14</v>
      </c>
      <c r="U56" s="6">
        <v>72</v>
      </c>
      <c r="V56" s="6">
        <f>IF(ISERROR(VLOOKUP($S$56,'TAR FIN'!$A$1:$O$115,15,0)),0,VLOOKUP($S$56,'TAR FIN'!$A$1:$O$115,15,0))</f>
        <v>0</v>
      </c>
      <c r="W56" s="6">
        <f>IF(ISERROR(VLOOKUP($T$56,'TAR FIN'!$A$1:$O$115,15,0)),0,VLOOKUP($T$56,'TAR FIN'!$A$1:$O$115,15,0))</f>
        <v>84.31</v>
      </c>
      <c r="X56" s="6">
        <f>IF(ISERROR(VLOOKUP($U$56,'TAR FIN'!$A$1:$O$115,15,0)),0,VLOOKUP($U$56,'TAR FIN'!$A$1:$O$115,15,0))</f>
        <v>168.06</v>
      </c>
      <c r="Y56" s="6"/>
      <c r="Z56" s="6">
        <f ca="1">('TUSD BE'!$AM$16+'TUSD BF'!$AM$16+'TUSD CVA'!$AM$16)*1</f>
        <v>113.43121292628391</v>
      </c>
      <c r="AA56" s="6">
        <f>('TE BE'!$AB$9+'TE BF'!$AB$9+'TE CVA'!$AB$9)*1</f>
        <v>218.6854278594964</v>
      </c>
      <c r="AB56" s="6">
        <f>$K$56*$V$56</f>
        <v>0</v>
      </c>
      <c r="AC56" s="6">
        <f>$M$56*$W$56</f>
        <v>7641.2682299999997</v>
      </c>
      <c r="AD56" s="6">
        <f>$O$56*$X$56</f>
        <v>15231.78198</v>
      </c>
      <c r="AE56" s="6">
        <f>$K$56*$Y$56</f>
        <v>0</v>
      </c>
      <c r="AF56" s="6">
        <f ca="1">$M$56*$Z$56</f>
        <v>10280.611121147889</v>
      </c>
      <c r="AG56" s="6">
        <f>$O$56*$AA$56</f>
        <v>19820.116383189736</v>
      </c>
    </row>
    <row r="57" spans="1:33" ht="11.25" customHeight="1" x14ac:dyDescent="0.25">
      <c r="A57" s="4" t="s">
        <v>21</v>
      </c>
      <c r="B57" s="4" t="s">
        <v>43</v>
      </c>
      <c r="C57" s="4" t="s">
        <v>44</v>
      </c>
      <c r="D57" s="4" t="s">
        <v>40</v>
      </c>
      <c r="E57" s="4" t="s">
        <v>25</v>
      </c>
      <c r="F57" s="4" t="s">
        <v>25</v>
      </c>
      <c r="G57" s="4" t="s">
        <v>25</v>
      </c>
      <c r="H57" s="4" t="s">
        <v>37</v>
      </c>
      <c r="I57" s="5">
        <v>44713</v>
      </c>
      <c r="J57" s="6">
        <v>0</v>
      </c>
      <c r="K57" s="6">
        <v>0</v>
      </c>
      <c r="L57" s="6">
        <v>92.483000000000004</v>
      </c>
      <c r="M57" s="6">
        <v>92.483000000000004</v>
      </c>
      <c r="N57" s="6">
        <v>92.483000000000004</v>
      </c>
      <c r="O57" s="6">
        <v>92.483000000000004</v>
      </c>
      <c r="P57" s="6">
        <v>0</v>
      </c>
      <c r="Q57" s="4" t="s">
        <v>26</v>
      </c>
      <c r="R57" s="4">
        <v>0</v>
      </c>
      <c r="S57" s="6">
        <v>0</v>
      </c>
      <c r="T57" s="6">
        <v>14</v>
      </c>
      <c r="U57" s="6">
        <v>72</v>
      </c>
      <c r="V57" s="6">
        <f>IF(ISERROR(VLOOKUP($S$57,'TAR FIN'!$A$1:$O$115,15,0)),0,VLOOKUP($S$57,'TAR FIN'!$A$1:$O$115,15,0))</f>
        <v>0</v>
      </c>
      <c r="W57" s="6">
        <f>IF(ISERROR(VLOOKUP($T$57,'TAR FIN'!$A$1:$O$115,15,0)),0,VLOOKUP($T$57,'TAR FIN'!$A$1:$O$115,15,0))</f>
        <v>84.31</v>
      </c>
      <c r="X57" s="6">
        <f>IF(ISERROR(VLOOKUP($U$57,'TAR FIN'!$A$1:$O$115,15,0)),0,VLOOKUP($U$57,'TAR FIN'!$A$1:$O$115,15,0))</f>
        <v>168.06</v>
      </c>
      <c r="Y57" s="6"/>
      <c r="Z57" s="6">
        <f ca="1">('TUSD BE'!$AM$16+'TUSD BF'!$AM$16+'TUSD CVA'!$AM$16)*1</f>
        <v>113.43121292628391</v>
      </c>
      <c r="AA57" s="6">
        <f>('TE BE'!$AB$9+'TE BF'!$AB$9+'TE CVA'!$AB$9)*1</f>
        <v>218.6854278594964</v>
      </c>
      <c r="AB57" s="6">
        <f>$K$57*$V$57</f>
        <v>0</v>
      </c>
      <c r="AC57" s="6">
        <f>$M$57*$W$57</f>
        <v>7797.2417300000006</v>
      </c>
      <c r="AD57" s="6">
        <f>$O$57*$X$57</f>
        <v>15542.692980000002</v>
      </c>
      <c r="AE57" s="6">
        <f>$K$57*$Y$57</f>
        <v>0</v>
      </c>
      <c r="AF57" s="6">
        <f ca="1">$M$57*$Z$57</f>
        <v>10490.458865061515</v>
      </c>
      <c r="AG57" s="6">
        <f>$O$57*$AA$57</f>
        <v>20224.684424729807</v>
      </c>
    </row>
    <row r="58" spans="1:33" ht="11.25" customHeight="1" x14ac:dyDescent="0.25">
      <c r="A58" s="4" t="s">
        <v>27</v>
      </c>
      <c r="B58" s="4" t="s">
        <v>43</v>
      </c>
      <c r="C58" s="4" t="s">
        <v>44</v>
      </c>
      <c r="D58" s="4" t="s">
        <v>40</v>
      </c>
      <c r="E58" s="4" t="s">
        <v>25</v>
      </c>
      <c r="F58" s="4" t="s">
        <v>25</v>
      </c>
      <c r="G58" s="4" t="s">
        <v>25</v>
      </c>
      <c r="H58" s="4" t="s">
        <v>37</v>
      </c>
      <c r="I58" s="5">
        <v>44713</v>
      </c>
      <c r="J58" s="6">
        <v>0</v>
      </c>
      <c r="K58" s="6">
        <v>0</v>
      </c>
      <c r="L58" s="6">
        <v>18.795000000000002</v>
      </c>
      <c r="M58" s="6">
        <v>18.795000000000002</v>
      </c>
      <c r="N58" s="6">
        <v>18.795000000000002</v>
      </c>
      <c r="O58" s="6">
        <v>18.795000000000002</v>
      </c>
      <c r="P58" s="6">
        <v>0</v>
      </c>
      <c r="Q58" s="4" t="s">
        <v>26</v>
      </c>
      <c r="R58" s="4">
        <v>0</v>
      </c>
      <c r="S58" s="6">
        <v>0</v>
      </c>
      <c r="T58" s="6">
        <v>14</v>
      </c>
      <c r="U58" s="6">
        <v>72</v>
      </c>
      <c r="V58" s="6">
        <f>IF(ISERROR(VLOOKUP($S$58,'TAR FIN'!$A$1:$O$115,15,0)),0,VLOOKUP($S$58,'TAR FIN'!$A$1:$O$115,15,0))</f>
        <v>0</v>
      </c>
      <c r="W58" s="6">
        <f>IF(ISERROR(VLOOKUP($T$58,'TAR FIN'!$A$1:$O$115,15,0)),0,VLOOKUP($T$58,'TAR FIN'!$A$1:$O$115,15,0))</f>
        <v>84.31</v>
      </c>
      <c r="X58" s="6">
        <f>IF(ISERROR(VLOOKUP($U$58,'TAR FIN'!$A$1:$O$115,15,0)),0,VLOOKUP($U$58,'TAR FIN'!$A$1:$O$115,15,0))</f>
        <v>168.06</v>
      </c>
      <c r="Y58" s="6"/>
      <c r="Z58" s="6">
        <f ca="1">('TUSD BE'!$AM$16+'TUSD BF'!$AM$16+'TUSD CVA'!$AM$16)*1</f>
        <v>113.43121292628391</v>
      </c>
      <c r="AA58" s="6">
        <f>('TE BE'!$AB$9+'TE BF'!$AB$9+'TE CVA'!$AB$9)*1</f>
        <v>218.6854278594964</v>
      </c>
      <c r="AB58" s="6">
        <f>$K$58*$V$58</f>
        <v>0</v>
      </c>
      <c r="AC58" s="6">
        <f>$M$58*$W$58</f>
        <v>1584.6064500000002</v>
      </c>
      <c r="AD58" s="6">
        <f>$O$58*$X$58</f>
        <v>3158.6877000000004</v>
      </c>
      <c r="AE58" s="6">
        <f>$K$58*$Y$58</f>
        <v>0</v>
      </c>
      <c r="AF58" s="6">
        <f ca="1">$M$58*$Z$58</f>
        <v>2131.9396469495064</v>
      </c>
      <c r="AG58" s="6">
        <f>$O$58*$AA$58</f>
        <v>4110.1926166192352</v>
      </c>
    </row>
    <row r="59" spans="1:33" ht="11.25" customHeight="1" x14ac:dyDescent="0.25">
      <c r="A59" s="4" t="s">
        <v>21</v>
      </c>
      <c r="B59" s="4" t="s">
        <v>43</v>
      </c>
      <c r="C59" s="4" t="s">
        <v>44</v>
      </c>
      <c r="D59" s="4" t="s">
        <v>40</v>
      </c>
      <c r="E59" s="4" t="s">
        <v>25</v>
      </c>
      <c r="F59" s="4" t="s">
        <v>25</v>
      </c>
      <c r="G59" s="4" t="s">
        <v>25</v>
      </c>
      <c r="H59" s="4" t="s">
        <v>37</v>
      </c>
      <c r="I59" s="5">
        <v>44743</v>
      </c>
      <c r="J59" s="6">
        <v>0</v>
      </c>
      <c r="K59" s="6">
        <v>0</v>
      </c>
      <c r="L59" s="6">
        <v>98.061000000000007</v>
      </c>
      <c r="M59" s="6">
        <v>98.061000000000007</v>
      </c>
      <c r="N59" s="6">
        <v>98.061000000000007</v>
      </c>
      <c r="O59" s="6">
        <v>98.061000000000007</v>
      </c>
      <c r="P59" s="6">
        <v>0</v>
      </c>
      <c r="Q59" s="4" t="s">
        <v>26</v>
      </c>
      <c r="R59" s="4">
        <v>0</v>
      </c>
      <c r="S59" s="6">
        <v>0</v>
      </c>
      <c r="T59" s="6">
        <v>14</v>
      </c>
      <c r="U59" s="6">
        <v>72</v>
      </c>
      <c r="V59" s="6">
        <f>IF(ISERROR(VLOOKUP($S$59,'TAR FIN'!$A$1:$O$115,15,0)),0,VLOOKUP($S$59,'TAR FIN'!$A$1:$O$115,15,0))</f>
        <v>0</v>
      </c>
      <c r="W59" s="6">
        <f>IF(ISERROR(VLOOKUP($T$59,'TAR FIN'!$A$1:$O$115,15,0)),0,VLOOKUP($T$59,'TAR FIN'!$A$1:$O$115,15,0))</f>
        <v>84.31</v>
      </c>
      <c r="X59" s="6">
        <f>IF(ISERROR(VLOOKUP($U$59,'TAR FIN'!$A$1:$O$115,15,0)),0,VLOOKUP($U$59,'TAR FIN'!$A$1:$O$115,15,0))</f>
        <v>168.06</v>
      </c>
      <c r="Y59" s="6"/>
      <c r="Z59" s="6">
        <f ca="1">('TUSD BE'!$AM$16+'TUSD BF'!$AM$16+'TUSD CVA'!$AM$16)*1</f>
        <v>113.43121292628391</v>
      </c>
      <c r="AA59" s="6">
        <f>('TE BE'!$AB$9+'TE BF'!$AB$9+'TE CVA'!$AB$9)*1</f>
        <v>218.6854278594964</v>
      </c>
      <c r="AB59" s="6">
        <f>$K$59*$V$59</f>
        <v>0</v>
      </c>
      <c r="AC59" s="6">
        <f>$M$59*$W$59</f>
        <v>8267.5229100000015</v>
      </c>
      <c r="AD59" s="6">
        <f>$O$59*$X$59</f>
        <v>16480.131660000003</v>
      </c>
      <c r="AE59" s="6">
        <f>$K$59*$Y$59</f>
        <v>0</v>
      </c>
      <c r="AF59" s="6">
        <f ca="1">$M$59*$Z$59</f>
        <v>11123.178170764328</v>
      </c>
      <c r="AG59" s="6">
        <f>$O$59*$AA$59</f>
        <v>21444.51174133008</v>
      </c>
    </row>
    <row r="60" spans="1:33" ht="11.25" customHeight="1" x14ac:dyDescent="0.25">
      <c r="A60" s="4" t="s">
        <v>27</v>
      </c>
      <c r="B60" s="4" t="s">
        <v>43</v>
      </c>
      <c r="C60" s="4" t="s">
        <v>44</v>
      </c>
      <c r="D60" s="4" t="s">
        <v>40</v>
      </c>
      <c r="E60" s="4" t="s">
        <v>25</v>
      </c>
      <c r="F60" s="4" t="s">
        <v>25</v>
      </c>
      <c r="G60" s="4" t="s">
        <v>25</v>
      </c>
      <c r="H60" s="4" t="s">
        <v>37</v>
      </c>
      <c r="I60" s="5">
        <v>44743</v>
      </c>
      <c r="J60" s="6">
        <v>0</v>
      </c>
      <c r="K60" s="6">
        <v>0</v>
      </c>
      <c r="L60" s="6">
        <v>11.252000000000001</v>
      </c>
      <c r="M60" s="6">
        <v>11.252000000000001</v>
      </c>
      <c r="N60" s="6">
        <v>11.252000000000001</v>
      </c>
      <c r="O60" s="6">
        <v>11.252000000000001</v>
      </c>
      <c r="P60" s="6">
        <v>0</v>
      </c>
      <c r="Q60" s="4" t="s">
        <v>26</v>
      </c>
      <c r="R60" s="4">
        <v>0</v>
      </c>
      <c r="S60" s="6">
        <v>0</v>
      </c>
      <c r="T60" s="6">
        <v>14</v>
      </c>
      <c r="U60" s="6">
        <v>72</v>
      </c>
      <c r="V60" s="6">
        <f>IF(ISERROR(VLOOKUP($S$60,'TAR FIN'!$A$1:$O$115,15,0)),0,VLOOKUP($S$60,'TAR FIN'!$A$1:$O$115,15,0))</f>
        <v>0</v>
      </c>
      <c r="W60" s="6">
        <f>IF(ISERROR(VLOOKUP($T$60,'TAR FIN'!$A$1:$O$115,15,0)),0,VLOOKUP($T$60,'TAR FIN'!$A$1:$O$115,15,0))</f>
        <v>84.31</v>
      </c>
      <c r="X60" s="6">
        <f>IF(ISERROR(VLOOKUP($U$60,'TAR FIN'!$A$1:$O$115,15,0)),0,VLOOKUP($U$60,'TAR FIN'!$A$1:$O$115,15,0))</f>
        <v>168.06</v>
      </c>
      <c r="Y60" s="6"/>
      <c r="Z60" s="6">
        <f ca="1">('TUSD BE'!$AM$16+'TUSD BF'!$AM$16+'TUSD CVA'!$AM$16)*1</f>
        <v>113.43121292628391</v>
      </c>
      <c r="AA60" s="6">
        <f>('TE BE'!$AB$9+'TE BF'!$AB$9+'TE CVA'!$AB$9)*1</f>
        <v>218.6854278594964</v>
      </c>
      <c r="AB60" s="6">
        <f>$K$60*$V$60</f>
        <v>0</v>
      </c>
      <c r="AC60" s="6">
        <f>$M$60*$W$60</f>
        <v>948.6561200000001</v>
      </c>
      <c r="AD60" s="6">
        <f>$O$60*$X$60</f>
        <v>1891.0111200000001</v>
      </c>
      <c r="AE60" s="6">
        <f>$K$60*$Y$60</f>
        <v>0</v>
      </c>
      <c r="AF60" s="6">
        <f ca="1">$M$60*$Z$60</f>
        <v>1276.3280078465466</v>
      </c>
      <c r="AG60" s="6">
        <f>$O$60*$AA$60</f>
        <v>2460.6484342750537</v>
      </c>
    </row>
    <row r="61" spans="1:33" ht="11.25" customHeight="1" x14ac:dyDescent="0.25">
      <c r="A61" s="4" t="s">
        <v>21</v>
      </c>
      <c r="B61" s="4" t="s">
        <v>43</v>
      </c>
      <c r="C61" s="4" t="s">
        <v>44</v>
      </c>
      <c r="D61" s="4" t="s">
        <v>40</v>
      </c>
      <c r="E61" s="4" t="s">
        <v>25</v>
      </c>
      <c r="F61" s="4" t="s">
        <v>25</v>
      </c>
      <c r="G61" s="4" t="s">
        <v>25</v>
      </c>
      <c r="H61" s="4" t="s">
        <v>37</v>
      </c>
      <c r="I61" s="5">
        <v>44774</v>
      </c>
      <c r="J61" s="6">
        <v>0</v>
      </c>
      <c r="K61" s="6">
        <v>0</v>
      </c>
      <c r="L61" s="6">
        <v>120.149</v>
      </c>
      <c r="M61" s="6">
        <v>120.149</v>
      </c>
      <c r="N61" s="6">
        <v>120.149</v>
      </c>
      <c r="O61" s="6">
        <v>120.149</v>
      </c>
      <c r="P61" s="6">
        <v>0</v>
      </c>
      <c r="Q61" s="4" t="s">
        <v>26</v>
      </c>
      <c r="R61" s="4">
        <v>0</v>
      </c>
      <c r="S61" s="6">
        <v>0</v>
      </c>
      <c r="T61" s="6">
        <v>14</v>
      </c>
      <c r="U61" s="6">
        <v>72</v>
      </c>
      <c r="V61" s="6">
        <f>IF(ISERROR(VLOOKUP($S$61,'TAR FIN'!$A$1:$O$115,15,0)),0,VLOOKUP($S$61,'TAR FIN'!$A$1:$O$115,15,0))</f>
        <v>0</v>
      </c>
      <c r="W61" s="6">
        <f>IF(ISERROR(VLOOKUP($T$61,'TAR FIN'!$A$1:$O$115,15,0)),0,VLOOKUP($T$61,'TAR FIN'!$A$1:$O$115,15,0))</f>
        <v>84.31</v>
      </c>
      <c r="X61" s="6">
        <f>IF(ISERROR(VLOOKUP($U$61,'TAR FIN'!$A$1:$O$115,15,0)),0,VLOOKUP($U$61,'TAR FIN'!$A$1:$O$115,15,0))</f>
        <v>168.06</v>
      </c>
      <c r="Y61" s="6"/>
      <c r="Z61" s="6">
        <f ca="1">('TUSD BE'!$AM$16+'TUSD BF'!$AM$16+'TUSD CVA'!$AM$16)*1</f>
        <v>113.43121292628391</v>
      </c>
      <c r="AA61" s="6">
        <f>('TE BE'!$AB$9+'TE BF'!$AB$9+'TE CVA'!$AB$9)*1</f>
        <v>218.6854278594964</v>
      </c>
      <c r="AB61" s="6">
        <f>$K$61*$V$61</f>
        <v>0</v>
      </c>
      <c r="AC61" s="6">
        <f>$M$61*$W$61</f>
        <v>10129.762189999999</v>
      </c>
      <c r="AD61" s="6">
        <f>$O$61*$X$61</f>
        <v>20192.24094</v>
      </c>
      <c r="AE61" s="6">
        <f>$K$61*$Y$61</f>
        <v>0</v>
      </c>
      <c r="AF61" s="6">
        <f ca="1">$M$61*$Z$61</f>
        <v>13628.646801880084</v>
      </c>
      <c r="AG61" s="6">
        <f>$O$61*$AA$61</f>
        <v>26274.835471890634</v>
      </c>
    </row>
    <row r="62" spans="1:33" ht="11.25" customHeight="1" x14ac:dyDescent="0.25">
      <c r="A62" s="4" t="s">
        <v>27</v>
      </c>
      <c r="B62" s="4" t="s">
        <v>43</v>
      </c>
      <c r="C62" s="4" t="s">
        <v>44</v>
      </c>
      <c r="D62" s="4" t="s">
        <v>40</v>
      </c>
      <c r="E62" s="4" t="s">
        <v>25</v>
      </c>
      <c r="F62" s="4" t="s">
        <v>25</v>
      </c>
      <c r="G62" s="4" t="s">
        <v>25</v>
      </c>
      <c r="H62" s="4" t="s">
        <v>37</v>
      </c>
      <c r="I62" s="5">
        <v>44774</v>
      </c>
      <c r="J62" s="6">
        <v>0</v>
      </c>
      <c r="K62" s="6">
        <v>0</v>
      </c>
      <c r="L62" s="6">
        <v>-35.484000000000002</v>
      </c>
      <c r="M62" s="6">
        <v>-35.484000000000002</v>
      </c>
      <c r="N62" s="6">
        <v>-35.484000000000002</v>
      </c>
      <c r="O62" s="6">
        <v>-35.484000000000002</v>
      </c>
      <c r="P62" s="6">
        <v>0</v>
      </c>
      <c r="Q62" s="4" t="s">
        <v>26</v>
      </c>
      <c r="R62" s="4">
        <v>0</v>
      </c>
      <c r="S62" s="6">
        <v>0</v>
      </c>
      <c r="T62" s="6">
        <v>14</v>
      </c>
      <c r="U62" s="6">
        <v>72</v>
      </c>
      <c r="V62" s="6">
        <f>IF(ISERROR(VLOOKUP($S$62,'TAR FIN'!$A$1:$O$115,15,0)),0,VLOOKUP($S$62,'TAR FIN'!$A$1:$O$115,15,0))</f>
        <v>0</v>
      </c>
      <c r="W62" s="6">
        <f>IF(ISERROR(VLOOKUP($T$62,'TAR FIN'!$A$1:$O$115,15,0)),0,VLOOKUP($T$62,'TAR FIN'!$A$1:$O$115,15,0))</f>
        <v>84.31</v>
      </c>
      <c r="X62" s="6">
        <f>IF(ISERROR(VLOOKUP($U$62,'TAR FIN'!$A$1:$O$115,15,0)),0,VLOOKUP($U$62,'TAR FIN'!$A$1:$O$115,15,0))</f>
        <v>168.06</v>
      </c>
      <c r="Y62" s="6"/>
      <c r="Z62" s="6">
        <f ca="1">('TUSD BE'!$AM$16+'TUSD BF'!$AM$16+'TUSD CVA'!$AM$16)*1</f>
        <v>113.43121292628391</v>
      </c>
      <c r="AA62" s="6">
        <f>('TE BE'!$AB$9+'TE BF'!$AB$9+'TE CVA'!$AB$9)*1</f>
        <v>218.6854278594964</v>
      </c>
      <c r="AB62" s="6">
        <f>$K$62*$V$62</f>
        <v>0</v>
      </c>
      <c r="AC62" s="6">
        <f>$M$62*$W$62</f>
        <v>-2991.6560400000003</v>
      </c>
      <c r="AD62" s="6">
        <f>$O$62*$X$62</f>
        <v>-5963.4410400000006</v>
      </c>
      <c r="AE62" s="6">
        <f>$K$62*$Y$62</f>
        <v>0</v>
      </c>
      <c r="AF62" s="6">
        <f ca="1">$M$62*$Z$62</f>
        <v>-4024.9931594762584</v>
      </c>
      <c r="AG62" s="6">
        <f>$O$62*$AA$62</f>
        <v>-7759.8337221663705</v>
      </c>
    </row>
    <row r="63" spans="1:33" ht="11.25" customHeight="1" x14ac:dyDescent="0.25">
      <c r="A63" s="4" t="s">
        <v>21</v>
      </c>
      <c r="B63" s="4" t="s">
        <v>43</v>
      </c>
      <c r="C63" s="4" t="s">
        <v>44</v>
      </c>
      <c r="D63" s="4" t="s">
        <v>40</v>
      </c>
      <c r="E63" s="4" t="s">
        <v>25</v>
      </c>
      <c r="F63" s="4" t="s">
        <v>25</v>
      </c>
      <c r="G63" s="4" t="s">
        <v>25</v>
      </c>
      <c r="H63" s="4" t="s">
        <v>37</v>
      </c>
      <c r="I63" s="5">
        <v>44805</v>
      </c>
      <c r="J63" s="6">
        <v>0</v>
      </c>
      <c r="K63" s="6">
        <v>0</v>
      </c>
      <c r="L63" s="6">
        <v>266.03699999999998</v>
      </c>
      <c r="M63" s="6">
        <v>266.03699999999998</v>
      </c>
      <c r="N63" s="6">
        <v>266.03699999999998</v>
      </c>
      <c r="O63" s="6">
        <v>266.03699999999998</v>
      </c>
      <c r="P63" s="6">
        <v>0</v>
      </c>
      <c r="Q63" s="4" t="s">
        <v>26</v>
      </c>
      <c r="R63" s="4">
        <v>0</v>
      </c>
      <c r="S63" s="6">
        <v>0</v>
      </c>
      <c r="T63" s="6">
        <v>14</v>
      </c>
      <c r="U63" s="6">
        <v>72</v>
      </c>
      <c r="V63" s="6">
        <f>IF(ISERROR(VLOOKUP($S$63,'TAR FIN'!$A$1:$O$115,15,0)),0,VLOOKUP($S$63,'TAR FIN'!$A$1:$O$115,15,0))</f>
        <v>0</v>
      </c>
      <c r="W63" s="6">
        <f>IF(ISERROR(VLOOKUP($T$63,'TAR FIN'!$A$1:$O$115,15,0)),0,VLOOKUP($T$63,'TAR FIN'!$A$1:$O$115,15,0))</f>
        <v>84.31</v>
      </c>
      <c r="X63" s="6">
        <f>IF(ISERROR(VLOOKUP($U$63,'TAR FIN'!$A$1:$O$115,15,0)),0,VLOOKUP($U$63,'TAR FIN'!$A$1:$O$115,15,0))</f>
        <v>168.06</v>
      </c>
      <c r="Y63" s="6"/>
      <c r="Z63" s="6">
        <f ca="1">('TUSD BE'!$AM$16+'TUSD BF'!$AM$16+'TUSD CVA'!$AM$16)*1</f>
        <v>113.43121292628391</v>
      </c>
      <c r="AA63" s="6">
        <f>('TE BE'!$AB$9+'TE BF'!$AB$9+'TE CVA'!$AB$9)*1</f>
        <v>218.6854278594964</v>
      </c>
      <c r="AB63" s="6">
        <f>$K$63*$V$63</f>
        <v>0</v>
      </c>
      <c r="AC63" s="6">
        <f>$M$63*$W$63</f>
        <v>22429.579469999997</v>
      </c>
      <c r="AD63" s="6">
        <f>$O$63*$X$63</f>
        <v>44710.178219999994</v>
      </c>
      <c r="AE63" s="6">
        <f>$K$63*$Y$63</f>
        <v>0</v>
      </c>
      <c r="AF63" s="6">
        <f ca="1">$M$63*$Z$63</f>
        <v>30176.899593269787</v>
      </c>
      <c r="AG63" s="6">
        <f>$O$63*$AA$63</f>
        <v>58178.415171456836</v>
      </c>
    </row>
    <row r="64" spans="1:33" ht="11.25" customHeight="1" x14ac:dyDescent="0.25">
      <c r="A64" s="4" t="s">
        <v>27</v>
      </c>
      <c r="B64" s="4" t="s">
        <v>43</v>
      </c>
      <c r="C64" s="4" t="s">
        <v>44</v>
      </c>
      <c r="D64" s="4" t="s">
        <v>40</v>
      </c>
      <c r="E64" s="4" t="s">
        <v>25</v>
      </c>
      <c r="F64" s="4" t="s">
        <v>25</v>
      </c>
      <c r="G64" s="4" t="s">
        <v>25</v>
      </c>
      <c r="H64" s="4" t="s">
        <v>37</v>
      </c>
      <c r="I64" s="5">
        <v>44805</v>
      </c>
      <c r="J64" s="6">
        <v>0</v>
      </c>
      <c r="K64" s="6">
        <v>0</v>
      </c>
      <c r="L64" s="6">
        <v>10.262</v>
      </c>
      <c r="M64" s="6">
        <v>10.262</v>
      </c>
      <c r="N64" s="6">
        <v>10.262</v>
      </c>
      <c r="O64" s="6">
        <v>10.262</v>
      </c>
      <c r="P64" s="6">
        <v>0</v>
      </c>
      <c r="Q64" s="4" t="s">
        <v>26</v>
      </c>
      <c r="R64" s="4">
        <v>0</v>
      </c>
      <c r="S64" s="6">
        <v>0</v>
      </c>
      <c r="T64" s="6">
        <v>14</v>
      </c>
      <c r="U64" s="6">
        <v>72</v>
      </c>
      <c r="V64" s="6">
        <f>IF(ISERROR(VLOOKUP($S$64,'TAR FIN'!$A$1:$O$115,15,0)),0,VLOOKUP($S$64,'TAR FIN'!$A$1:$O$115,15,0))</f>
        <v>0</v>
      </c>
      <c r="W64" s="6">
        <f>IF(ISERROR(VLOOKUP($T$64,'TAR FIN'!$A$1:$O$115,15,0)),0,VLOOKUP($T$64,'TAR FIN'!$A$1:$O$115,15,0))</f>
        <v>84.31</v>
      </c>
      <c r="X64" s="6">
        <f>IF(ISERROR(VLOOKUP($U$64,'TAR FIN'!$A$1:$O$115,15,0)),0,VLOOKUP($U$64,'TAR FIN'!$A$1:$O$115,15,0))</f>
        <v>168.06</v>
      </c>
      <c r="Y64" s="6"/>
      <c r="Z64" s="6">
        <f ca="1">('TUSD BE'!$AM$16+'TUSD BF'!$AM$16+'TUSD CVA'!$AM$16)*1</f>
        <v>113.43121292628391</v>
      </c>
      <c r="AA64" s="6">
        <f>('TE BE'!$AB$9+'TE BF'!$AB$9+'TE CVA'!$AB$9)*1</f>
        <v>218.6854278594964</v>
      </c>
      <c r="AB64" s="6">
        <f>$K$64*$V$64</f>
        <v>0</v>
      </c>
      <c r="AC64" s="6">
        <f>$M$64*$W$64</f>
        <v>865.18922000000009</v>
      </c>
      <c r="AD64" s="6">
        <f>$O$64*$X$64</f>
        <v>1724.6317200000001</v>
      </c>
      <c r="AE64" s="6">
        <f>$K$64*$Y$64</f>
        <v>0</v>
      </c>
      <c r="AF64" s="6">
        <f ca="1">$M$64*$Z$64</f>
        <v>1164.0311070495254</v>
      </c>
      <c r="AG64" s="6">
        <f>$O$64*$AA$64</f>
        <v>2244.1498606941523</v>
      </c>
    </row>
    <row r="65" spans="1:33" ht="11.25" customHeight="1" x14ac:dyDescent="0.25">
      <c r="A65" s="4" t="s">
        <v>21</v>
      </c>
      <c r="B65" s="4" t="s">
        <v>43</v>
      </c>
      <c r="C65" s="4" t="s">
        <v>44</v>
      </c>
      <c r="D65" s="4" t="s">
        <v>40</v>
      </c>
      <c r="E65" s="4" t="s">
        <v>25</v>
      </c>
      <c r="F65" s="4" t="s">
        <v>25</v>
      </c>
      <c r="G65" s="4" t="s">
        <v>25</v>
      </c>
      <c r="H65" s="4" t="s">
        <v>37</v>
      </c>
      <c r="I65" s="5">
        <v>44835</v>
      </c>
      <c r="J65" s="6">
        <v>0</v>
      </c>
      <c r="K65" s="6">
        <v>0</v>
      </c>
      <c r="L65" s="6">
        <v>143.50800000000001</v>
      </c>
      <c r="M65" s="6">
        <v>143.50800000000001</v>
      </c>
      <c r="N65" s="6">
        <v>143.50800000000001</v>
      </c>
      <c r="O65" s="6">
        <v>143.50800000000001</v>
      </c>
      <c r="P65" s="6">
        <v>0</v>
      </c>
      <c r="Q65" s="4" t="s">
        <v>26</v>
      </c>
      <c r="R65" s="4">
        <v>0</v>
      </c>
      <c r="S65" s="6">
        <v>0</v>
      </c>
      <c r="T65" s="6">
        <v>14</v>
      </c>
      <c r="U65" s="6">
        <v>72</v>
      </c>
      <c r="V65" s="6">
        <f>IF(ISERROR(VLOOKUP($S$65,'TAR FIN'!$A$1:$O$115,15,0)),0,VLOOKUP($S$65,'TAR FIN'!$A$1:$O$115,15,0))</f>
        <v>0</v>
      </c>
      <c r="W65" s="6">
        <f>IF(ISERROR(VLOOKUP($T$65,'TAR FIN'!$A$1:$O$115,15,0)),0,VLOOKUP($T$65,'TAR FIN'!$A$1:$O$115,15,0))</f>
        <v>84.31</v>
      </c>
      <c r="X65" s="6">
        <f>IF(ISERROR(VLOOKUP($U$65,'TAR FIN'!$A$1:$O$115,15,0)),0,VLOOKUP($U$65,'TAR FIN'!$A$1:$O$115,15,0))</f>
        <v>168.06</v>
      </c>
      <c r="Y65" s="6"/>
      <c r="Z65" s="6">
        <f ca="1">('TUSD BE'!$AM$16+'TUSD BF'!$AM$16+'TUSD CVA'!$AM$16)*1</f>
        <v>113.43121292628391</v>
      </c>
      <c r="AA65" s="6">
        <f>('TE BE'!$AB$9+'TE BF'!$AB$9+'TE CVA'!$AB$9)*1</f>
        <v>218.6854278594964</v>
      </c>
      <c r="AB65" s="6">
        <f>$K$65*$V$65</f>
        <v>0</v>
      </c>
      <c r="AC65" s="6">
        <f>$M$65*$W$65</f>
        <v>12099.15948</v>
      </c>
      <c r="AD65" s="6">
        <f>$O$65*$X$65</f>
        <v>24117.95448</v>
      </c>
      <c r="AE65" s="6">
        <f>$K$65*$Y$65</f>
        <v>0</v>
      </c>
      <c r="AF65" s="6">
        <f ca="1">$M$65*$Z$65</f>
        <v>16278.286504625152</v>
      </c>
      <c r="AG65" s="6">
        <f>$O$65*$AA$65</f>
        <v>31383.108381260612</v>
      </c>
    </row>
    <row r="66" spans="1:33" ht="11.25" customHeight="1" x14ac:dyDescent="0.25">
      <c r="A66" s="4" t="s">
        <v>30</v>
      </c>
      <c r="B66" s="4" t="s">
        <v>43</v>
      </c>
      <c r="C66" s="4" t="s">
        <v>44</v>
      </c>
      <c r="D66" s="4" t="s">
        <v>40</v>
      </c>
      <c r="E66" s="4" t="s">
        <v>25</v>
      </c>
      <c r="F66" s="4" t="s">
        <v>25</v>
      </c>
      <c r="G66" s="4" t="s">
        <v>25</v>
      </c>
      <c r="H66" s="4" t="s">
        <v>37</v>
      </c>
      <c r="I66" s="5">
        <v>44835</v>
      </c>
      <c r="J66" s="6">
        <v>0</v>
      </c>
      <c r="K66" s="6">
        <v>0</v>
      </c>
      <c r="L66" s="6">
        <v>8.3000000000000004E-2</v>
      </c>
      <c r="M66" s="6">
        <v>8.3000000000000004E-2</v>
      </c>
      <c r="N66" s="6">
        <v>8.3000000000000004E-2</v>
      </c>
      <c r="O66" s="6">
        <v>8.3000000000000004E-2</v>
      </c>
      <c r="P66" s="6">
        <v>0</v>
      </c>
      <c r="Q66" s="4" t="s">
        <v>26</v>
      </c>
      <c r="R66" s="4">
        <v>0</v>
      </c>
      <c r="S66" s="6">
        <v>0</v>
      </c>
      <c r="T66" s="6">
        <v>14</v>
      </c>
      <c r="U66" s="6">
        <v>72</v>
      </c>
      <c r="V66" s="6">
        <f>IF(ISERROR(VLOOKUP($S$66,'TAR FIN'!$A$1:$O$115,15,0)),0,VLOOKUP($S$66,'TAR FIN'!$A$1:$O$115,15,0))</f>
        <v>0</v>
      </c>
      <c r="W66" s="6">
        <f>IF(ISERROR(VLOOKUP($T$66,'TAR FIN'!$A$1:$O$115,15,0)),0,VLOOKUP($T$66,'TAR FIN'!$A$1:$O$115,15,0))</f>
        <v>84.31</v>
      </c>
      <c r="X66" s="6">
        <f>IF(ISERROR(VLOOKUP($U$66,'TAR FIN'!$A$1:$O$115,15,0)),0,VLOOKUP($U$66,'TAR FIN'!$A$1:$O$115,15,0))</f>
        <v>168.06</v>
      </c>
      <c r="Y66" s="6"/>
      <c r="Z66" s="6">
        <f ca="1">('TUSD BE'!$AM$16+'TUSD BF'!$AM$16+'TUSD CVA'!$AM$16)*1</f>
        <v>113.43121292628391</v>
      </c>
      <c r="AA66" s="6">
        <f>('TE BE'!$AB$9+'TE BF'!$AB$9+'TE CVA'!$AB$9)*1</f>
        <v>218.6854278594964</v>
      </c>
      <c r="AB66" s="6">
        <f>$K$66*$V$66</f>
        <v>0</v>
      </c>
      <c r="AC66" s="6">
        <f>$M$66*$W$66</f>
        <v>6.9977300000000007</v>
      </c>
      <c r="AD66" s="6">
        <f>$O$66*$X$66</f>
        <v>13.948980000000001</v>
      </c>
      <c r="AE66" s="6">
        <f>$K$66*$Y$66</f>
        <v>0</v>
      </c>
      <c r="AF66" s="6">
        <f ca="1">$M$66*$Z$66</f>
        <v>9.4147906728815638</v>
      </c>
      <c r="AG66" s="6">
        <f>$O$66*$AA$66</f>
        <v>18.150890512338201</v>
      </c>
    </row>
    <row r="67" spans="1:33" ht="11.25" customHeight="1" x14ac:dyDescent="0.25">
      <c r="A67" s="4" t="s">
        <v>59</v>
      </c>
      <c r="B67" s="4" t="s">
        <v>43</v>
      </c>
      <c r="C67" s="4" t="s">
        <v>44</v>
      </c>
      <c r="D67" s="4" t="s">
        <v>40</v>
      </c>
      <c r="E67" s="4" t="s">
        <v>25</v>
      </c>
      <c r="F67" s="4" t="s">
        <v>25</v>
      </c>
      <c r="G67" s="4" t="s">
        <v>25</v>
      </c>
      <c r="H67" s="4" t="s">
        <v>37</v>
      </c>
      <c r="I67" s="5">
        <v>44866</v>
      </c>
      <c r="J67" s="6">
        <v>0</v>
      </c>
      <c r="K67" s="6">
        <v>0</v>
      </c>
      <c r="L67" s="6">
        <v>143.50800000000001</v>
      </c>
      <c r="M67" s="6">
        <v>143.50800000000001</v>
      </c>
      <c r="N67" s="6">
        <v>143.50800000000001</v>
      </c>
      <c r="O67" s="6">
        <v>143.50800000000001</v>
      </c>
      <c r="P67" s="6">
        <v>0</v>
      </c>
      <c r="Q67" s="4" t="s">
        <v>26</v>
      </c>
      <c r="R67" s="4">
        <v>0</v>
      </c>
      <c r="S67" s="6">
        <v>0</v>
      </c>
      <c r="T67" s="6">
        <v>14</v>
      </c>
      <c r="U67" s="6">
        <v>72</v>
      </c>
      <c r="V67" s="6">
        <f>IF(ISERROR(VLOOKUP($S$67,'TAR FIN'!$A$1:$O$115,15,0)),0,VLOOKUP($S$67,'TAR FIN'!$A$1:$O$115,15,0))</f>
        <v>0</v>
      </c>
      <c r="W67" s="6">
        <f>IF(ISERROR(VLOOKUP($T$67,'TAR FIN'!$A$1:$O$115,15,0)),0,VLOOKUP($T$67,'TAR FIN'!$A$1:$O$115,15,0))</f>
        <v>84.31</v>
      </c>
      <c r="X67" s="6">
        <f>IF(ISERROR(VLOOKUP($U$67,'TAR FIN'!$A$1:$O$115,15,0)),0,VLOOKUP($U$67,'TAR FIN'!$A$1:$O$115,15,0))</f>
        <v>168.06</v>
      </c>
      <c r="Y67" s="6"/>
      <c r="Z67" s="6">
        <f ca="1">('TUSD BE'!$AM$16+'TUSD BF'!$AM$16+'TUSD CVA'!$AM$16)*1</f>
        <v>113.43121292628391</v>
      </c>
      <c r="AA67" s="6">
        <f>('TE BE'!$AB$9+'TE BF'!$AB$9+'TE CVA'!$AB$9)*1</f>
        <v>218.6854278594964</v>
      </c>
      <c r="AB67" s="6">
        <f>$K$67*$V$67</f>
        <v>0</v>
      </c>
      <c r="AC67" s="6">
        <f>$M$67*$W$67</f>
        <v>12099.15948</v>
      </c>
      <c r="AD67" s="6">
        <f>$O$67*$X$67</f>
        <v>24117.95448</v>
      </c>
      <c r="AE67" s="6">
        <f>$K$67*$Y$67</f>
        <v>0</v>
      </c>
      <c r="AF67" s="6">
        <f ca="1">$M$67*$Z$67</f>
        <v>16278.286504625152</v>
      </c>
      <c r="AG67" s="6">
        <f>$O$67*$AA$67</f>
        <v>31383.108381260612</v>
      </c>
    </row>
    <row r="68" spans="1:33" ht="11.25" customHeight="1" x14ac:dyDescent="0.25">
      <c r="A68" s="4" t="s">
        <v>59</v>
      </c>
      <c r="B68" s="4" t="s">
        <v>43</v>
      </c>
      <c r="C68" s="4" t="s">
        <v>44</v>
      </c>
      <c r="D68" s="4" t="s">
        <v>40</v>
      </c>
      <c r="E68" s="4" t="s">
        <v>25</v>
      </c>
      <c r="F68" s="4" t="s">
        <v>25</v>
      </c>
      <c r="G68" s="4" t="s">
        <v>25</v>
      </c>
      <c r="H68" s="4" t="s">
        <v>37</v>
      </c>
      <c r="I68" s="5">
        <v>44866</v>
      </c>
      <c r="J68" s="6">
        <v>0</v>
      </c>
      <c r="K68" s="6">
        <v>0</v>
      </c>
      <c r="L68" s="6">
        <v>8.3000000000000004E-2</v>
      </c>
      <c r="M68" s="6">
        <v>8.3000000000000004E-2</v>
      </c>
      <c r="N68" s="6">
        <v>8.3000000000000004E-2</v>
      </c>
      <c r="O68" s="6">
        <v>8.3000000000000004E-2</v>
      </c>
      <c r="P68" s="6">
        <v>0</v>
      </c>
      <c r="Q68" s="4" t="s">
        <v>26</v>
      </c>
      <c r="R68" s="4">
        <v>0</v>
      </c>
      <c r="S68" s="6">
        <v>0</v>
      </c>
      <c r="T68" s="6">
        <v>14</v>
      </c>
      <c r="U68" s="6">
        <v>72</v>
      </c>
      <c r="V68" s="6">
        <f>IF(ISERROR(VLOOKUP($S$68,'TAR FIN'!$A$1:$O$115,15,0)),0,VLOOKUP($S$68,'TAR FIN'!$A$1:$O$115,15,0))</f>
        <v>0</v>
      </c>
      <c r="W68" s="6">
        <f>IF(ISERROR(VLOOKUP($T$68,'TAR FIN'!$A$1:$O$115,15,0)),0,VLOOKUP($T$68,'TAR FIN'!$A$1:$O$115,15,0))</f>
        <v>84.31</v>
      </c>
      <c r="X68" s="6">
        <f>IF(ISERROR(VLOOKUP($U$68,'TAR FIN'!$A$1:$O$115,15,0)),0,VLOOKUP($U$68,'TAR FIN'!$A$1:$O$115,15,0))</f>
        <v>168.06</v>
      </c>
      <c r="Y68" s="6"/>
      <c r="Z68" s="6">
        <f ca="1">('TUSD BE'!$AM$16+'TUSD BF'!$AM$16+'TUSD CVA'!$AM$16)*1</f>
        <v>113.43121292628391</v>
      </c>
      <c r="AA68" s="6">
        <f>('TE BE'!$AB$9+'TE BF'!$AB$9+'TE CVA'!$AB$9)*1</f>
        <v>218.6854278594964</v>
      </c>
      <c r="AB68" s="6">
        <f>$K$68*$V$68</f>
        <v>0</v>
      </c>
      <c r="AC68" s="6">
        <f>$M$68*$W$68</f>
        <v>6.9977300000000007</v>
      </c>
      <c r="AD68" s="6">
        <f>$O$68*$X$68</f>
        <v>13.948980000000001</v>
      </c>
      <c r="AE68" s="6">
        <f>$K$68*$Y$68</f>
        <v>0</v>
      </c>
      <c r="AF68" s="6">
        <f ca="1">$M$68*$Z$68</f>
        <v>9.4147906728815638</v>
      </c>
      <c r="AG68" s="6">
        <f>$O$68*$AA$68</f>
        <v>18.150890512338201</v>
      </c>
    </row>
    <row r="69" spans="1:33" ht="11.25" customHeight="1" x14ac:dyDescent="0.25">
      <c r="A69" s="4" t="s">
        <v>21</v>
      </c>
      <c r="B69" s="4" t="s">
        <v>43</v>
      </c>
      <c r="C69" s="4" t="s">
        <v>44</v>
      </c>
      <c r="D69" s="4" t="s">
        <v>40</v>
      </c>
      <c r="E69" s="4" t="s">
        <v>25</v>
      </c>
      <c r="F69" s="4" t="s">
        <v>25</v>
      </c>
      <c r="G69" s="4" t="s">
        <v>25</v>
      </c>
      <c r="H69" s="4" t="s">
        <v>25</v>
      </c>
      <c r="I69" s="5">
        <v>44531</v>
      </c>
      <c r="J69" s="6">
        <v>412</v>
      </c>
      <c r="K69" s="6">
        <v>412</v>
      </c>
      <c r="L69" s="6">
        <v>0</v>
      </c>
      <c r="M69" s="6">
        <v>0</v>
      </c>
      <c r="N69" s="6">
        <v>0</v>
      </c>
      <c r="O69" s="6">
        <v>0</v>
      </c>
      <c r="P69" s="6">
        <v>3</v>
      </c>
      <c r="Q69" s="4" t="s">
        <v>26</v>
      </c>
      <c r="R69" s="4">
        <v>0</v>
      </c>
      <c r="S69" s="6">
        <v>12</v>
      </c>
      <c r="T69" s="6">
        <v>0</v>
      </c>
      <c r="U69" s="6">
        <v>0</v>
      </c>
      <c r="V69" s="6">
        <f>IF(ISERROR(VLOOKUP($S$69,'TAR FIN'!$A$1:$O$115,15,0)),0,VLOOKUP($S$69,'TAR FIN'!$A$1:$O$115,15,0))</f>
        <v>19.8</v>
      </c>
      <c r="W69" s="6">
        <f>IF(ISERROR(VLOOKUP($T$69,'TAR FIN'!$A$1:$O$115,15,0)),0,VLOOKUP($T$69,'TAR FIN'!$A$1:$O$115,15,0))</f>
        <v>0</v>
      </c>
      <c r="X69" s="6">
        <f>IF(ISERROR(VLOOKUP($U$69,'TAR FIN'!$A$1:$O$115,15,0)),0,VLOOKUP($U$69,'TAR FIN'!$A$1:$O$115,15,0))</f>
        <v>0</v>
      </c>
      <c r="Y69" s="6">
        <f ca="1">('TUSD BE'!$AM$14+'TUSD BF'!$AM$14+'TUSD CVA'!$AM$14)*1</f>
        <v>20.615214330225772</v>
      </c>
      <c r="Z69" s="6"/>
      <c r="AA69" s="6"/>
      <c r="AB69" s="6">
        <f>$K$69*$V$69</f>
        <v>8157.6</v>
      </c>
      <c r="AC69" s="6">
        <f>$M$69*$W$69</f>
        <v>0</v>
      </c>
      <c r="AD69" s="6">
        <f>$O$69*$X$69</f>
        <v>0</v>
      </c>
      <c r="AE69" s="6">
        <f ca="1">$K$69*$Y$69</f>
        <v>8493.4683040530181</v>
      </c>
      <c r="AF69" s="6">
        <f>$M$69*$Z$69</f>
        <v>0</v>
      </c>
      <c r="AG69" s="6">
        <f>$O$69*$AA$69</f>
        <v>0</v>
      </c>
    </row>
    <row r="70" spans="1:33" ht="11.25" customHeight="1" x14ac:dyDescent="0.25">
      <c r="A70" s="4" t="s">
        <v>21</v>
      </c>
      <c r="B70" s="4" t="s">
        <v>43</v>
      </c>
      <c r="C70" s="4" t="s">
        <v>44</v>
      </c>
      <c r="D70" s="4" t="s">
        <v>40</v>
      </c>
      <c r="E70" s="4" t="s">
        <v>25</v>
      </c>
      <c r="F70" s="4" t="s">
        <v>25</v>
      </c>
      <c r="G70" s="4" t="s">
        <v>25</v>
      </c>
      <c r="H70" s="4" t="s">
        <v>25</v>
      </c>
      <c r="I70" s="5">
        <v>44562</v>
      </c>
      <c r="J70" s="6">
        <v>401</v>
      </c>
      <c r="K70" s="6">
        <v>401</v>
      </c>
      <c r="L70" s="6">
        <v>0</v>
      </c>
      <c r="M70" s="6">
        <v>0</v>
      </c>
      <c r="N70" s="6">
        <v>0</v>
      </c>
      <c r="O70" s="6">
        <v>0</v>
      </c>
      <c r="P70" s="6">
        <v>3</v>
      </c>
      <c r="Q70" s="4" t="s">
        <v>26</v>
      </c>
      <c r="R70" s="4">
        <v>0</v>
      </c>
      <c r="S70" s="6">
        <v>12</v>
      </c>
      <c r="T70" s="6">
        <v>0</v>
      </c>
      <c r="U70" s="6">
        <v>0</v>
      </c>
      <c r="V70" s="6">
        <f>IF(ISERROR(VLOOKUP($S$70,'TAR FIN'!$A$1:$O$115,15,0)),0,VLOOKUP($S$70,'TAR FIN'!$A$1:$O$115,15,0))</f>
        <v>19.8</v>
      </c>
      <c r="W70" s="6">
        <f>IF(ISERROR(VLOOKUP($T$70,'TAR FIN'!$A$1:$O$115,15,0)),0,VLOOKUP($T$70,'TAR FIN'!$A$1:$O$115,15,0))</f>
        <v>0</v>
      </c>
      <c r="X70" s="6">
        <f>IF(ISERROR(VLOOKUP($U$70,'TAR FIN'!$A$1:$O$115,15,0)),0,VLOOKUP($U$70,'TAR FIN'!$A$1:$O$115,15,0))</f>
        <v>0</v>
      </c>
      <c r="Y70" s="6">
        <f ca="1">('TUSD BE'!$AM$14+'TUSD BF'!$AM$14+'TUSD CVA'!$AM$14)*1</f>
        <v>20.615214330225772</v>
      </c>
      <c r="Z70" s="6"/>
      <c r="AA70" s="6"/>
      <c r="AB70" s="6">
        <f>$K$70*$V$70</f>
        <v>7939.8</v>
      </c>
      <c r="AC70" s="6">
        <f>$M$70*$W$70</f>
        <v>0</v>
      </c>
      <c r="AD70" s="6">
        <f>$O$70*$X$70</f>
        <v>0</v>
      </c>
      <c r="AE70" s="6">
        <f ca="1">$K$70*$Y$70</f>
        <v>8266.7009464205348</v>
      </c>
      <c r="AF70" s="6">
        <f>$M$70*$Z$70</f>
        <v>0</v>
      </c>
      <c r="AG70" s="6">
        <f>$O$70*$AA$70</f>
        <v>0</v>
      </c>
    </row>
    <row r="71" spans="1:33" ht="11.25" customHeight="1" x14ac:dyDescent="0.25">
      <c r="A71" s="4" t="s">
        <v>21</v>
      </c>
      <c r="B71" s="4" t="s">
        <v>43</v>
      </c>
      <c r="C71" s="4" t="s">
        <v>44</v>
      </c>
      <c r="D71" s="4" t="s">
        <v>40</v>
      </c>
      <c r="E71" s="4" t="s">
        <v>25</v>
      </c>
      <c r="F71" s="4" t="s">
        <v>25</v>
      </c>
      <c r="G71" s="4" t="s">
        <v>25</v>
      </c>
      <c r="H71" s="4" t="s">
        <v>25</v>
      </c>
      <c r="I71" s="5">
        <v>44593</v>
      </c>
      <c r="J71" s="6">
        <v>398</v>
      </c>
      <c r="K71" s="6">
        <v>398</v>
      </c>
      <c r="L71" s="6">
        <v>0</v>
      </c>
      <c r="M71" s="6">
        <v>0</v>
      </c>
      <c r="N71" s="6">
        <v>0</v>
      </c>
      <c r="O71" s="6">
        <v>0</v>
      </c>
      <c r="P71" s="6">
        <v>3</v>
      </c>
      <c r="Q71" s="4" t="s">
        <v>26</v>
      </c>
      <c r="R71" s="4">
        <v>0</v>
      </c>
      <c r="S71" s="6">
        <v>12</v>
      </c>
      <c r="T71" s="6">
        <v>0</v>
      </c>
      <c r="U71" s="6">
        <v>0</v>
      </c>
      <c r="V71" s="6">
        <f>IF(ISERROR(VLOOKUP($S$71,'TAR FIN'!$A$1:$O$115,15,0)),0,VLOOKUP($S$71,'TAR FIN'!$A$1:$O$115,15,0))</f>
        <v>19.8</v>
      </c>
      <c r="W71" s="6">
        <f>IF(ISERROR(VLOOKUP($T$71,'TAR FIN'!$A$1:$O$115,15,0)),0,VLOOKUP($T$71,'TAR FIN'!$A$1:$O$115,15,0))</f>
        <v>0</v>
      </c>
      <c r="X71" s="6">
        <f>IF(ISERROR(VLOOKUP($U$71,'TAR FIN'!$A$1:$O$115,15,0)),0,VLOOKUP($U$71,'TAR FIN'!$A$1:$O$115,15,0))</f>
        <v>0</v>
      </c>
      <c r="Y71" s="6">
        <f ca="1">('TUSD BE'!$AM$14+'TUSD BF'!$AM$14+'TUSD CVA'!$AM$14)*1</f>
        <v>20.615214330225772</v>
      </c>
      <c r="Z71" s="6"/>
      <c r="AA71" s="6"/>
      <c r="AB71" s="6">
        <f>$K$71*$V$71</f>
        <v>7880.4000000000005</v>
      </c>
      <c r="AC71" s="6">
        <f>$M$71*$W$71</f>
        <v>0</v>
      </c>
      <c r="AD71" s="6">
        <f>$O$71*$X$71</f>
        <v>0</v>
      </c>
      <c r="AE71" s="6">
        <f ca="1">$K$71*$Y$71</f>
        <v>8204.8553034298566</v>
      </c>
      <c r="AF71" s="6">
        <f>$M$71*$Z$71</f>
        <v>0</v>
      </c>
      <c r="AG71" s="6">
        <f>$O$71*$AA$71</f>
        <v>0</v>
      </c>
    </row>
    <row r="72" spans="1:33" ht="11.25" customHeight="1" x14ac:dyDescent="0.25">
      <c r="A72" s="4" t="s">
        <v>21</v>
      </c>
      <c r="B72" s="4" t="s">
        <v>43</v>
      </c>
      <c r="C72" s="4" t="s">
        <v>44</v>
      </c>
      <c r="D72" s="4" t="s">
        <v>40</v>
      </c>
      <c r="E72" s="4" t="s">
        <v>25</v>
      </c>
      <c r="F72" s="4" t="s">
        <v>25</v>
      </c>
      <c r="G72" s="4" t="s">
        <v>25</v>
      </c>
      <c r="H72" s="4" t="s">
        <v>25</v>
      </c>
      <c r="I72" s="5">
        <v>44621</v>
      </c>
      <c r="J72" s="6">
        <v>466</v>
      </c>
      <c r="K72" s="6">
        <v>466</v>
      </c>
      <c r="L72" s="6">
        <v>0</v>
      </c>
      <c r="M72" s="6">
        <v>0</v>
      </c>
      <c r="N72" s="6">
        <v>0</v>
      </c>
      <c r="O72" s="6">
        <v>0</v>
      </c>
      <c r="P72" s="6">
        <v>3</v>
      </c>
      <c r="Q72" s="4" t="s">
        <v>26</v>
      </c>
      <c r="R72" s="4">
        <v>0</v>
      </c>
      <c r="S72" s="6">
        <v>12</v>
      </c>
      <c r="T72" s="6">
        <v>0</v>
      </c>
      <c r="U72" s="6">
        <v>0</v>
      </c>
      <c r="V72" s="6">
        <f>IF(ISERROR(VLOOKUP($S$72,'TAR FIN'!$A$1:$O$115,15,0)),0,VLOOKUP($S$72,'TAR FIN'!$A$1:$O$115,15,0))</f>
        <v>19.8</v>
      </c>
      <c r="W72" s="6">
        <f>IF(ISERROR(VLOOKUP($T$72,'TAR FIN'!$A$1:$O$115,15,0)),0,VLOOKUP($T$72,'TAR FIN'!$A$1:$O$115,15,0))</f>
        <v>0</v>
      </c>
      <c r="X72" s="6">
        <f>IF(ISERROR(VLOOKUP($U$72,'TAR FIN'!$A$1:$O$115,15,0)),0,VLOOKUP($U$72,'TAR FIN'!$A$1:$O$115,15,0))</f>
        <v>0</v>
      </c>
      <c r="Y72" s="6">
        <f ca="1">('TUSD BE'!$AM$14+'TUSD BF'!$AM$14+'TUSD CVA'!$AM$14)*1</f>
        <v>20.615214330225772</v>
      </c>
      <c r="Z72" s="6"/>
      <c r="AA72" s="6"/>
      <c r="AB72" s="6">
        <f>$K$72*$V$72</f>
        <v>9226.8000000000011</v>
      </c>
      <c r="AC72" s="6">
        <f>$M$72*$W$72</f>
        <v>0</v>
      </c>
      <c r="AD72" s="6">
        <f>$O$72*$X$72</f>
        <v>0</v>
      </c>
      <c r="AE72" s="6">
        <f ca="1">$K$72*$Y$72</f>
        <v>9606.6898778852101</v>
      </c>
      <c r="AF72" s="6">
        <f>$M$72*$Z$72</f>
        <v>0</v>
      </c>
      <c r="AG72" s="6">
        <f>$O$72*$AA$72</f>
        <v>0</v>
      </c>
    </row>
    <row r="73" spans="1:33" ht="11.25" customHeight="1" x14ac:dyDescent="0.25">
      <c r="A73" s="4" t="s">
        <v>21</v>
      </c>
      <c r="B73" s="4" t="s">
        <v>43</v>
      </c>
      <c r="C73" s="4" t="s">
        <v>44</v>
      </c>
      <c r="D73" s="4" t="s">
        <v>40</v>
      </c>
      <c r="E73" s="4" t="s">
        <v>25</v>
      </c>
      <c r="F73" s="4" t="s">
        <v>25</v>
      </c>
      <c r="G73" s="4" t="s">
        <v>25</v>
      </c>
      <c r="H73" s="4" t="s">
        <v>25</v>
      </c>
      <c r="I73" s="5">
        <v>44652</v>
      </c>
      <c r="J73" s="6">
        <v>404</v>
      </c>
      <c r="K73" s="6">
        <v>404</v>
      </c>
      <c r="L73" s="6">
        <v>0</v>
      </c>
      <c r="M73" s="6">
        <v>0</v>
      </c>
      <c r="N73" s="6">
        <v>0</v>
      </c>
      <c r="O73" s="6">
        <v>0</v>
      </c>
      <c r="P73" s="6">
        <v>4</v>
      </c>
      <c r="Q73" s="4" t="s">
        <v>26</v>
      </c>
      <c r="R73" s="4">
        <v>0</v>
      </c>
      <c r="S73" s="6">
        <v>12</v>
      </c>
      <c r="T73" s="6">
        <v>0</v>
      </c>
      <c r="U73" s="6">
        <v>0</v>
      </c>
      <c r="V73" s="6">
        <f>IF(ISERROR(VLOOKUP($S$73,'TAR FIN'!$A$1:$O$115,15,0)),0,VLOOKUP($S$73,'TAR FIN'!$A$1:$O$115,15,0))</f>
        <v>19.8</v>
      </c>
      <c r="W73" s="6">
        <f>IF(ISERROR(VLOOKUP($T$73,'TAR FIN'!$A$1:$O$115,15,0)),0,VLOOKUP($T$73,'TAR FIN'!$A$1:$O$115,15,0))</f>
        <v>0</v>
      </c>
      <c r="X73" s="6">
        <f>IF(ISERROR(VLOOKUP($U$73,'TAR FIN'!$A$1:$O$115,15,0)),0,VLOOKUP($U$73,'TAR FIN'!$A$1:$O$115,15,0))</f>
        <v>0</v>
      </c>
      <c r="Y73" s="6">
        <f ca="1">('TUSD BE'!$AM$14+'TUSD BF'!$AM$14+'TUSD CVA'!$AM$14)*1</f>
        <v>20.615214330225772</v>
      </c>
      <c r="Z73" s="6"/>
      <c r="AA73" s="6"/>
      <c r="AB73" s="6">
        <f>$K$73*$V$73</f>
        <v>7999.2000000000007</v>
      </c>
      <c r="AC73" s="6">
        <f>$M$73*$W$73</f>
        <v>0</v>
      </c>
      <c r="AD73" s="6">
        <f>$O$73*$X$73</f>
        <v>0</v>
      </c>
      <c r="AE73" s="6">
        <f ca="1">$K$73*$Y$73</f>
        <v>8328.5465894112112</v>
      </c>
      <c r="AF73" s="6">
        <f>$M$73*$Z$73</f>
        <v>0</v>
      </c>
      <c r="AG73" s="6">
        <f>$O$73*$AA$73</f>
        <v>0</v>
      </c>
    </row>
    <row r="74" spans="1:33" ht="11.25" customHeight="1" x14ac:dyDescent="0.25">
      <c r="A74" s="4" t="s">
        <v>21</v>
      </c>
      <c r="B74" s="4" t="s">
        <v>43</v>
      </c>
      <c r="C74" s="4" t="s">
        <v>44</v>
      </c>
      <c r="D74" s="4" t="s">
        <v>40</v>
      </c>
      <c r="E74" s="4" t="s">
        <v>25</v>
      </c>
      <c r="F74" s="4" t="s">
        <v>25</v>
      </c>
      <c r="G74" s="4" t="s">
        <v>25</v>
      </c>
      <c r="H74" s="4" t="s">
        <v>25</v>
      </c>
      <c r="I74" s="5">
        <v>44682</v>
      </c>
      <c r="J74" s="6">
        <v>398</v>
      </c>
      <c r="K74" s="6">
        <v>398</v>
      </c>
      <c r="L74" s="6">
        <v>0</v>
      </c>
      <c r="M74" s="6">
        <v>0</v>
      </c>
      <c r="N74" s="6">
        <v>0</v>
      </c>
      <c r="O74" s="6">
        <v>0</v>
      </c>
      <c r="P74" s="6">
        <v>3</v>
      </c>
      <c r="Q74" s="4" t="s">
        <v>26</v>
      </c>
      <c r="R74" s="4">
        <v>0</v>
      </c>
      <c r="S74" s="6">
        <v>12</v>
      </c>
      <c r="T74" s="6">
        <v>0</v>
      </c>
      <c r="U74" s="6">
        <v>0</v>
      </c>
      <c r="V74" s="6">
        <f>IF(ISERROR(VLOOKUP($S$74,'TAR FIN'!$A$1:$O$115,15,0)),0,VLOOKUP($S$74,'TAR FIN'!$A$1:$O$115,15,0))</f>
        <v>19.8</v>
      </c>
      <c r="W74" s="6">
        <f>IF(ISERROR(VLOOKUP($T$74,'TAR FIN'!$A$1:$O$115,15,0)),0,VLOOKUP($T$74,'TAR FIN'!$A$1:$O$115,15,0))</f>
        <v>0</v>
      </c>
      <c r="X74" s="6">
        <f>IF(ISERROR(VLOOKUP($U$74,'TAR FIN'!$A$1:$O$115,15,0)),0,VLOOKUP($U$74,'TAR FIN'!$A$1:$O$115,15,0))</f>
        <v>0</v>
      </c>
      <c r="Y74" s="6">
        <f ca="1">('TUSD BE'!$AM$14+'TUSD BF'!$AM$14+'TUSD CVA'!$AM$14)*1</f>
        <v>20.615214330225772</v>
      </c>
      <c r="Z74" s="6"/>
      <c r="AA74" s="6"/>
      <c r="AB74" s="6">
        <f>$K$74*$V$74</f>
        <v>7880.4000000000005</v>
      </c>
      <c r="AC74" s="6">
        <f>$M$74*$W$74</f>
        <v>0</v>
      </c>
      <c r="AD74" s="6">
        <f>$O$74*$X$74</f>
        <v>0</v>
      </c>
      <c r="AE74" s="6">
        <f ca="1">$K$74*$Y$74</f>
        <v>8204.8553034298566</v>
      </c>
      <c r="AF74" s="6">
        <f>$M$74*$Z$74</f>
        <v>0</v>
      </c>
      <c r="AG74" s="6">
        <f>$O$74*$AA$74</f>
        <v>0</v>
      </c>
    </row>
    <row r="75" spans="1:33" ht="11.25" customHeight="1" x14ac:dyDescent="0.25">
      <c r="A75" s="4" t="s">
        <v>21</v>
      </c>
      <c r="B75" s="4" t="s">
        <v>43</v>
      </c>
      <c r="C75" s="4" t="s">
        <v>44</v>
      </c>
      <c r="D75" s="4" t="s">
        <v>40</v>
      </c>
      <c r="E75" s="4" t="s">
        <v>25</v>
      </c>
      <c r="F75" s="4" t="s">
        <v>25</v>
      </c>
      <c r="G75" s="4" t="s">
        <v>25</v>
      </c>
      <c r="H75" s="4" t="s">
        <v>25</v>
      </c>
      <c r="I75" s="5">
        <v>44713</v>
      </c>
      <c r="J75" s="6">
        <v>406</v>
      </c>
      <c r="K75" s="6">
        <v>406</v>
      </c>
      <c r="L75" s="6">
        <v>0</v>
      </c>
      <c r="M75" s="6">
        <v>0</v>
      </c>
      <c r="N75" s="6">
        <v>0</v>
      </c>
      <c r="O75" s="6">
        <v>0</v>
      </c>
      <c r="P75" s="6">
        <v>3</v>
      </c>
      <c r="Q75" s="4" t="s">
        <v>26</v>
      </c>
      <c r="R75" s="4">
        <v>0</v>
      </c>
      <c r="S75" s="6">
        <v>12</v>
      </c>
      <c r="T75" s="6">
        <v>0</v>
      </c>
      <c r="U75" s="6">
        <v>0</v>
      </c>
      <c r="V75" s="6">
        <f>IF(ISERROR(VLOOKUP($S$75,'TAR FIN'!$A$1:$O$115,15,0)),0,VLOOKUP($S$75,'TAR FIN'!$A$1:$O$115,15,0))</f>
        <v>19.8</v>
      </c>
      <c r="W75" s="6">
        <f>IF(ISERROR(VLOOKUP($T$75,'TAR FIN'!$A$1:$O$115,15,0)),0,VLOOKUP($T$75,'TAR FIN'!$A$1:$O$115,15,0))</f>
        <v>0</v>
      </c>
      <c r="X75" s="6">
        <f>IF(ISERROR(VLOOKUP($U$75,'TAR FIN'!$A$1:$O$115,15,0)),0,VLOOKUP($U$75,'TAR FIN'!$A$1:$O$115,15,0))</f>
        <v>0</v>
      </c>
      <c r="Y75" s="6">
        <f ca="1">('TUSD BE'!$AM$14+'TUSD BF'!$AM$14+'TUSD CVA'!$AM$14)*1</f>
        <v>20.615214330225772</v>
      </c>
      <c r="Z75" s="6"/>
      <c r="AA75" s="6"/>
      <c r="AB75" s="6">
        <f>$K$75*$V$75</f>
        <v>8038.8</v>
      </c>
      <c r="AC75" s="6">
        <f>$M$75*$W$75</f>
        <v>0</v>
      </c>
      <c r="AD75" s="6">
        <f>$O$75*$X$75</f>
        <v>0</v>
      </c>
      <c r="AE75" s="6">
        <f ca="1">$K$75*$Y$75</f>
        <v>8369.7770180716634</v>
      </c>
      <c r="AF75" s="6">
        <f>$M$75*$Z$75</f>
        <v>0</v>
      </c>
      <c r="AG75" s="6">
        <f>$O$75*$AA$75</f>
        <v>0</v>
      </c>
    </row>
    <row r="76" spans="1:33" ht="11.25" customHeight="1" x14ac:dyDescent="0.25">
      <c r="A76" s="4" t="s">
        <v>27</v>
      </c>
      <c r="B76" s="4" t="s">
        <v>43</v>
      </c>
      <c r="C76" s="4" t="s">
        <v>44</v>
      </c>
      <c r="D76" s="4" t="s">
        <v>40</v>
      </c>
      <c r="E76" s="4" t="s">
        <v>25</v>
      </c>
      <c r="F76" s="4" t="s">
        <v>25</v>
      </c>
      <c r="G76" s="4" t="s">
        <v>25</v>
      </c>
      <c r="H76" s="4" t="s">
        <v>25</v>
      </c>
      <c r="I76" s="5">
        <v>44713</v>
      </c>
      <c r="J76" s="6">
        <v>46</v>
      </c>
      <c r="K76" s="6">
        <v>46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4" t="s">
        <v>26</v>
      </c>
      <c r="R76" s="4">
        <v>0</v>
      </c>
      <c r="S76" s="6">
        <v>12</v>
      </c>
      <c r="T76" s="6">
        <v>0</v>
      </c>
      <c r="U76" s="6">
        <v>0</v>
      </c>
      <c r="V76" s="6">
        <f>IF(ISERROR(VLOOKUP($S$76,'TAR FIN'!$A$1:$O$115,15,0)),0,VLOOKUP($S$76,'TAR FIN'!$A$1:$O$115,15,0))</f>
        <v>19.8</v>
      </c>
      <c r="W76" s="6">
        <f>IF(ISERROR(VLOOKUP($T$76,'TAR FIN'!$A$1:$O$115,15,0)),0,VLOOKUP($T$76,'TAR FIN'!$A$1:$O$115,15,0))</f>
        <v>0</v>
      </c>
      <c r="X76" s="6">
        <f>IF(ISERROR(VLOOKUP($U$76,'TAR FIN'!$A$1:$O$115,15,0)),0,VLOOKUP($U$76,'TAR FIN'!$A$1:$O$115,15,0))</f>
        <v>0</v>
      </c>
      <c r="Y76" s="6">
        <f ca="1">('TUSD BE'!$AM$14+'TUSD BF'!$AM$14+'TUSD CVA'!$AM$14)*1</f>
        <v>20.615214330225772</v>
      </c>
      <c r="Z76" s="6"/>
      <c r="AA76" s="6"/>
      <c r="AB76" s="6">
        <f>$K$76*$V$76</f>
        <v>910.80000000000007</v>
      </c>
      <c r="AC76" s="6">
        <f>$M$76*$W$76</f>
        <v>0</v>
      </c>
      <c r="AD76" s="6">
        <f>$O$76*$X$76</f>
        <v>0</v>
      </c>
      <c r="AE76" s="6">
        <f ca="1">$K$76*$Y$76</f>
        <v>948.29985919038552</v>
      </c>
      <c r="AF76" s="6">
        <f>$M$76*$Z$76</f>
        <v>0</v>
      </c>
      <c r="AG76" s="6">
        <f>$O$76*$AA$76</f>
        <v>0</v>
      </c>
    </row>
    <row r="77" spans="1:33" ht="11.25" customHeight="1" x14ac:dyDescent="0.25">
      <c r="A77" s="4" t="s">
        <v>21</v>
      </c>
      <c r="B77" s="4" t="s">
        <v>43</v>
      </c>
      <c r="C77" s="4" t="s">
        <v>44</v>
      </c>
      <c r="D77" s="4" t="s">
        <v>40</v>
      </c>
      <c r="E77" s="4" t="s">
        <v>25</v>
      </c>
      <c r="F77" s="4" t="s">
        <v>25</v>
      </c>
      <c r="G77" s="4" t="s">
        <v>25</v>
      </c>
      <c r="H77" s="4" t="s">
        <v>25</v>
      </c>
      <c r="I77" s="5">
        <v>44743</v>
      </c>
      <c r="J77" s="6">
        <v>413</v>
      </c>
      <c r="K77" s="6">
        <v>413</v>
      </c>
      <c r="L77" s="6">
        <v>0</v>
      </c>
      <c r="M77" s="6">
        <v>0</v>
      </c>
      <c r="N77" s="6">
        <v>0</v>
      </c>
      <c r="O77" s="6">
        <v>0</v>
      </c>
      <c r="P77" s="6">
        <v>3</v>
      </c>
      <c r="Q77" s="4" t="s">
        <v>26</v>
      </c>
      <c r="R77" s="4">
        <v>0</v>
      </c>
      <c r="S77" s="6">
        <v>12</v>
      </c>
      <c r="T77" s="6">
        <v>0</v>
      </c>
      <c r="U77" s="6">
        <v>0</v>
      </c>
      <c r="V77" s="6">
        <f>IF(ISERROR(VLOOKUP($S$77,'TAR FIN'!$A$1:$O$115,15,0)),0,VLOOKUP($S$77,'TAR FIN'!$A$1:$O$115,15,0))</f>
        <v>19.8</v>
      </c>
      <c r="W77" s="6">
        <f>IF(ISERROR(VLOOKUP($T$77,'TAR FIN'!$A$1:$O$115,15,0)),0,VLOOKUP($T$77,'TAR FIN'!$A$1:$O$115,15,0))</f>
        <v>0</v>
      </c>
      <c r="X77" s="6">
        <f>IF(ISERROR(VLOOKUP($U$77,'TAR FIN'!$A$1:$O$115,15,0)),0,VLOOKUP($U$77,'TAR FIN'!$A$1:$O$115,15,0))</f>
        <v>0</v>
      </c>
      <c r="Y77" s="6">
        <f ca="1">('TUSD BE'!$AM$14+'TUSD BF'!$AM$14+'TUSD CVA'!$AM$14)*1</f>
        <v>20.615214330225772</v>
      </c>
      <c r="Z77" s="6"/>
      <c r="AA77" s="6"/>
      <c r="AB77" s="6">
        <f>$K$77*$V$77</f>
        <v>8177.4000000000005</v>
      </c>
      <c r="AC77" s="6">
        <f>$M$77*$W$77</f>
        <v>0</v>
      </c>
      <c r="AD77" s="6">
        <f>$O$77*$X$77</f>
        <v>0</v>
      </c>
      <c r="AE77" s="6">
        <f ca="1">$K$77*$Y$77</f>
        <v>8514.0835183832442</v>
      </c>
      <c r="AF77" s="6">
        <f>$M$77*$Z$77</f>
        <v>0</v>
      </c>
      <c r="AG77" s="6">
        <f>$O$77*$AA$77</f>
        <v>0</v>
      </c>
    </row>
    <row r="78" spans="1:33" ht="11.25" customHeight="1" x14ac:dyDescent="0.25">
      <c r="A78" s="4" t="s">
        <v>27</v>
      </c>
      <c r="B78" s="4" t="s">
        <v>43</v>
      </c>
      <c r="C78" s="4" t="s">
        <v>44</v>
      </c>
      <c r="D78" s="4" t="s">
        <v>40</v>
      </c>
      <c r="E78" s="4" t="s">
        <v>25</v>
      </c>
      <c r="F78" s="4" t="s">
        <v>25</v>
      </c>
      <c r="G78" s="4" t="s">
        <v>25</v>
      </c>
      <c r="H78" s="4" t="s">
        <v>25</v>
      </c>
      <c r="I78" s="5">
        <v>44743</v>
      </c>
      <c r="J78" s="6">
        <v>40</v>
      </c>
      <c r="K78" s="6">
        <v>40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4" t="s">
        <v>26</v>
      </c>
      <c r="R78" s="4">
        <v>0</v>
      </c>
      <c r="S78" s="6">
        <v>12</v>
      </c>
      <c r="T78" s="6">
        <v>0</v>
      </c>
      <c r="U78" s="6">
        <v>0</v>
      </c>
      <c r="V78" s="6">
        <f>IF(ISERROR(VLOOKUP($S$78,'TAR FIN'!$A$1:$O$115,15,0)),0,VLOOKUP($S$78,'TAR FIN'!$A$1:$O$115,15,0))</f>
        <v>19.8</v>
      </c>
      <c r="W78" s="6">
        <f>IF(ISERROR(VLOOKUP($T$78,'TAR FIN'!$A$1:$O$115,15,0)),0,VLOOKUP($T$78,'TAR FIN'!$A$1:$O$115,15,0))</f>
        <v>0</v>
      </c>
      <c r="X78" s="6">
        <f>IF(ISERROR(VLOOKUP($U$78,'TAR FIN'!$A$1:$O$115,15,0)),0,VLOOKUP($U$78,'TAR FIN'!$A$1:$O$115,15,0))</f>
        <v>0</v>
      </c>
      <c r="Y78" s="6">
        <f ca="1">('TUSD BE'!$AM$14+'TUSD BF'!$AM$14+'TUSD CVA'!$AM$14)*1</f>
        <v>20.615214330225772</v>
      </c>
      <c r="Z78" s="6"/>
      <c r="AA78" s="6"/>
      <c r="AB78" s="6">
        <f>$K$78*$V$78</f>
        <v>792</v>
      </c>
      <c r="AC78" s="6">
        <f>$M$78*$W$78</f>
        <v>0</v>
      </c>
      <c r="AD78" s="6">
        <f>$O$78*$X$78</f>
        <v>0</v>
      </c>
      <c r="AE78" s="6">
        <f ca="1">$K$78*$Y$78</f>
        <v>824.60857320903085</v>
      </c>
      <c r="AF78" s="6">
        <f>$M$78*$Z$78</f>
        <v>0</v>
      </c>
      <c r="AG78" s="6">
        <f>$O$78*$AA$78</f>
        <v>0</v>
      </c>
    </row>
    <row r="79" spans="1:33" ht="11.25" customHeight="1" x14ac:dyDescent="0.25">
      <c r="A79" s="4" t="s">
        <v>21</v>
      </c>
      <c r="B79" s="4" t="s">
        <v>43</v>
      </c>
      <c r="C79" s="4" t="s">
        <v>44</v>
      </c>
      <c r="D79" s="4" t="s">
        <v>40</v>
      </c>
      <c r="E79" s="4" t="s">
        <v>25</v>
      </c>
      <c r="F79" s="4" t="s">
        <v>25</v>
      </c>
      <c r="G79" s="4" t="s">
        <v>25</v>
      </c>
      <c r="H79" s="4" t="s">
        <v>25</v>
      </c>
      <c r="I79" s="5">
        <v>44774</v>
      </c>
      <c r="J79" s="6">
        <v>501</v>
      </c>
      <c r="K79" s="6">
        <v>501</v>
      </c>
      <c r="L79" s="6">
        <v>0</v>
      </c>
      <c r="M79" s="6">
        <v>0</v>
      </c>
      <c r="N79" s="6">
        <v>0</v>
      </c>
      <c r="O79" s="6">
        <v>0</v>
      </c>
      <c r="P79" s="6">
        <v>3</v>
      </c>
      <c r="Q79" s="4" t="s">
        <v>26</v>
      </c>
      <c r="R79" s="4">
        <v>0</v>
      </c>
      <c r="S79" s="6">
        <v>12</v>
      </c>
      <c r="T79" s="6">
        <v>0</v>
      </c>
      <c r="U79" s="6">
        <v>0</v>
      </c>
      <c r="V79" s="6">
        <f>IF(ISERROR(VLOOKUP($S$79,'TAR FIN'!$A$1:$O$115,15,0)),0,VLOOKUP($S$79,'TAR FIN'!$A$1:$O$115,15,0))</f>
        <v>19.8</v>
      </c>
      <c r="W79" s="6">
        <f>IF(ISERROR(VLOOKUP($T$79,'TAR FIN'!$A$1:$O$115,15,0)),0,VLOOKUP($T$79,'TAR FIN'!$A$1:$O$115,15,0))</f>
        <v>0</v>
      </c>
      <c r="X79" s="6">
        <f>IF(ISERROR(VLOOKUP($U$79,'TAR FIN'!$A$1:$O$115,15,0)),0,VLOOKUP($U$79,'TAR FIN'!$A$1:$O$115,15,0))</f>
        <v>0</v>
      </c>
      <c r="Y79" s="6">
        <f ca="1">('TUSD BE'!$AM$14+'TUSD BF'!$AM$14+'TUSD CVA'!$AM$14)*1</f>
        <v>20.615214330225772</v>
      </c>
      <c r="Z79" s="6"/>
      <c r="AA79" s="6"/>
      <c r="AB79" s="6">
        <f>$K$79*$V$79</f>
        <v>9919.8000000000011</v>
      </c>
      <c r="AC79" s="6">
        <f>$M$79*$W$79</f>
        <v>0</v>
      </c>
      <c r="AD79" s="6">
        <f>$O$79*$X$79</f>
        <v>0</v>
      </c>
      <c r="AE79" s="6">
        <f ca="1">$K$79*$Y$79</f>
        <v>10328.222379443112</v>
      </c>
      <c r="AF79" s="6">
        <f>$M$79*$Z$79</f>
        <v>0</v>
      </c>
      <c r="AG79" s="6">
        <f>$O$79*$AA$79</f>
        <v>0</v>
      </c>
    </row>
    <row r="80" spans="1:33" ht="11.25" customHeight="1" x14ac:dyDescent="0.25">
      <c r="A80" s="4" t="s">
        <v>27</v>
      </c>
      <c r="B80" s="4" t="s">
        <v>43</v>
      </c>
      <c r="C80" s="4" t="s">
        <v>44</v>
      </c>
      <c r="D80" s="4" t="s">
        <v>40</v>
      </c>
      <c r="E80" s="4" t="s">
        <v>25</v>
      </c>
      <c r="F80" s="4" t="s">
        <v>25</v>
      </c>
      <c r="G80" s="4" t="s">
        <v>25</v>
      </c>
      <c r="H80" s="4" t="s">
        <v>25</v>
      </c>
      <c r="I80" s="5">
        <v>44774</v>
      </c>
      <c r="J80" s="6">
        <v>37</v>
      </c>
      <c r="K80" s="6">
        <v>37</v>
      </c>
      <c r="L80" s="6">
        <v>0</v>
      </c>
      <c r="M80" s="6">
        <v>0</v>
      </c>
      <c r="N80" s="6">
        <v>0</v>
      </c>
      <c r="O80" s="6">
        <v>0</v>
      </c>
      <c r="P80" s="6">
        <v>-1</v>
      </c>
      <c r="Q80" s="4" t="s">
        <v>26</v>
      </c>
      <c r="R80" s="4">
        <v>0</v>
      </c>
      <c r="S80" s="6">
        <v>12</v>
      </c>
      <c r="T80" s="6">
        <v>0</v>
      </c>
      <c r="U80" s="6">
        <v>0</v>
      </c>
      <c r="V80" s="6">
        <f>IF(ISERROR(VLOOKUP($S$80,'TAR FIN'!$A$1:$O$115,15,0)),0,VLOOKUP($S$80,'TAR FIN'!$A$1:$O$115,15,0))</f>
        <v>19.8</v>
      </c>
      <c r="W80" s="6">
        <f>IF(ISERROR(VLOOKUP($T$80,'TAR FIN'!$A$1:$O$115,15,0)),0,VLOOKUP($T$80,'TAR FIN'!$A$1:$O$115,15,0))</f>
        <v>0</v>
      </c>
      <c r="X80" s="6">
        <f>IF(ISERROR(VLOOKUP($U$80,'TAR FIN'!$A$1:$O$115,15,0)),0,VLOOKUP($U$80,'TAR FIN'!$A$1:$O$115,15,0))</f>
        <v>0</v>
      </c>
      <c r="Y80" s="6">
        <f ca="1">('TUSD BE'!$AM$14+'TUSD BF'!$AM$14+'TUSD CVA'!$AM$14)*1</f>
        <v>20.615214330225772</v>
      </c>
      <c r="Z80" s="6"/>
      <c r="AA80" s="6"/>
      <c r="AB80" s="6">
        <f>$K$80*$V$80</f>
        <v>732.6</v>
      </c>
      <c r="AC80" s="6">
        <f>$M$80*$W$80</f>
        <v>0</v>
      </c>
      <c r="AD80" s="6">
        <f>$O$80*$X$80</f>
        <v>0</v>
      </c>
      <c r="AE80" s="6">
        <f ca="1">$K$80*$Y$80</f>
        <v>762.76293021835352</v>
      </c>
      <c r="AF80" s="6">
        <f>$M$80*$Z$80</f>
        <v>0</v>
      </c>
      <c r="AG80" s="6">
        <f>$O$80*$AA$80</f>
        <v>0</v>
      </c>
    </row>
    <row r="81" spans="1:33" ht="11.25" customHeight="1" x14ac:dyDescent="0.25">
      <c r="A81" s="4" t="s">
        <v>21</v>
      </c>
      <c r="B81" s="4" t="s">
        <v>43</v>
      </c>
      <c r="C81" s="4" t="s">
        <v>44</v>
      </c>
      <c r="D81" s="4" t="s">
        <v>40</v>
      </c>
      <c r="E81" s="4" t="s">
        <v>25</v>
      </c>
      <c r="F81" s="4" t="s">
        <v>25</v>
      </c>
      <c r="G81" s="4" t="s">
        <v>25</v>
      </c>
      <c r="H81" s="4" t="s">
        <v>25</v>
      </c>
      <c r="I81" s="5">
        <v>44805</v>
      </c>
      <c r="J81" s="6">
        <v>550</v>
      </c>
      <c r="K81" s="6">
        <v>550</v>
      </c>
      <c r="L81" s="6">
        <v>0</v>
      </c>
      <c r="M81" s="6">
        <v>0</v>
      </c>
      <c r="N81" s="6">
        <v>0</v>
      </c>
      <c r="O81" s="6">
        <v>0</v>
      </c>
      <c r="P81" s="6">
        <v>5</v>
      </c>
      <c r="Q81" s="4" t="s">
        <v>26</v>
      </c>
      <c r="R81" s="4">
        <v>0</v>
      </c>
      <c r="S81" s="6">
        <v>12</v>
      </c>
      <c r="T81" s="6">
        <v>0</v>
      </c>
      <c r="U81" s="6">
        <v>0</v>
      </c>
      <c r="V81" s="6">
        <f>IF(ISERROR(VLOOKUP($S$81,'TAR FIN'!$A$1:$O$115,15,0)),0,VLOOKUP($S$81,'TAR FIN'!$A$1:$O$115,15,0))</f>
        <v>19.8</v>
      </c>
      <c r="W81" s="6">
        <f>IF(ISERROR(VLOOKUP($T$81,'TAR FIN'!$A$1:$O$115,15,0)),0,VLOOKUP($T$81,'TAR FIN'!$A$1:$O$115,15,0))</f>
        <v>0</v>
      </c>
      <c r="X81" s="6">
        <f>IF(ISERROR(VLOOKUP($U$81,'TAR FIN'!$A$1:$O$115,15,0)),0,VLOOKUP($U$81,'TAR FIN'!$A$1:$O$115,15,0))</f>
        <v>0</v>
      </c>
      <c r="Y81" s="6">
        <f ca="1">('TUSD BE'!$AM$14+'TUSD BF'!$AM$14+'TUSD CVA'!$AM$14)*1</f>
        <v>20.615214330225772</v>
      </c>
      <c r="Z81" s="6"/>
      <c r="AA81" s="6"/>
      <c r="AB81" s="6">
        <f>$K$81*$V$81</f>
        <v>10890</v>
      </c>
      <c r="AC81" s="6">
        <f>$M$81*$W$81</f>
        <v>0</v>
      </c>
      <c r="AD81" s="6">
        <f>$O$81*$X$81</f>
        <v>0</v>
      </c>
      <c r="AE81" s="6">
        <f ca="1">$K$81*$Y$81</f>
        <v>11338.367881624175</v>
      </c>
      <c r="AF81" s="6">
        <f>$M$81*$Z$81</f>
        <v>0</v>
      </c>
      <c r="AG81" s="6">
        <f>$O$81*$AA$81</f>
        <v>0</v>
      </c>
    </row>
    <row r="82" spans="1:33" ht="11.25" customHeight="1" x14ac:dyDescent="0.25">
      <c r="A82" s="4" t="s">
        <v>27</v>
      </c>
      <c r="B82" s="4" t="s">
        <v>43</v>
      </c>
      <c r="C82" s="4" t="s">
        <v>44</v>
      </c>
      <c r="D82" s="4" t="s">
        <v>40</v>
      </c>
      <c r="E82" s="4" t="s">
        <v>25</v>
      </c>
      <c r="F82" s="4" t="s">
        <v>25</v>
      </c>
      <c r="G82" s="4" t="s">
        <v>25</v>
      </c>
      <c r="H82" s="4" t="s">
        <v>25</v>
      </c>
      <c r="I82" s="5">
        <v>44805</v>
      </c>
      <c r="J82" s="6">
        <v>29</v>
      </c>
      <c r="K82" s="6">
        <v>29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4" t="s">
        <v>26</v>
      </c>
      <c r="R82" s="4">
        <v>0</v>
      </c>
      <c r="S82" s="6">
        <v>12</v>
      </c>
      <c r="T82" s="6">
        <v>0</v>
      </c>
      <c r="U82" s="6">
        <v>0</v>
      </c>
      <c r="V82" s="6">
        <f>IF(ISERROR(VLOOKUP($S$82,'TAR FIN'!$A$1:$O$115,15,0)),0,VLOOKUP($S$82,'TAR FIN'!$A$1:$O$115,15,0))</f>
        <v>19.8</v>
      </c>
      <c r="W82" s="6">
        <f>IF(ISERROR(VLOOKUP($T$82,'TAR FIN'!$A$1:$O$115,15,0)),0,VLOOKUP($T$82,'TAR FIN'!$A$1:$O$115,15,0))</f>
        <v>0</v>
      </c>
      <c r="X82" s="6">
        <f>IF(ISERROR(VLOOKUP($U$82,'TAR FIN'!$A$1:$O$115,15,0)),0,VLOOKUP($U$82,'TAR FIN'!$A$1:$O$115,15,0))</f>
        <v>0</v>
      </c>
      <c r="Y82" s="6">
        <f ca="1">('TUSD BE'!$AM$14+'TUSD BF'!$AM$14+'TUSD CVA'!$AM$14)*1</f>
        <v>20.615214330225772</v>
      </c>
      <c r="Z82" s="6"/>
      <c r="AA82" s="6"/>
      <c r="AB82" s="6">
        <f>$K$82*$V$82</f>
        <v>574.20000000000005</v>
      </c>
      <c r="AC82" s="6">
        <f>$M$82*$W$82</f>
        <v>0</v>
      </c>
      <c r="AD82" s="6">
        <f>$O$82*$X$82</f>
        <v>0</v>
      </c>
      <c r="AE82" s="6">
        <f ca="1">$K$82*$Y$82</f>
        <v>597.84121557654737</v>
      </c>
      <c r="AF82" s="6">
        <f>$M$82*$Z$82</f>
        <v>0</v>
      </c>
      <c r="AG82" s="6">
        <f>$O$82*$AA$82</f>
        <v>0</v>
      </c>
    </row>
    <row r="83" spans="1:33" ht="11.25" customHeight="1" x14ac:dyDescent="0.25">
      <c r="A83" s="4" t="s">
        <v>21</v>
      </c>
      <c r="B83" s="4" t="s">
        <v>43</v>
      </c>
      <c r="C83" s="4" t="s">
        <v>44</v>
      </c>
      <c r="D83" s="4" t="s">
        <v>40</v>
      </c>
      <c r="E83" s="4" t="s">
        <v>25</v>
      </c>
      <c r="F83" s="4" t="s">
        <v>25</v>
      </c>
      <c r="G83" s="4" t="s">
        <v>25</v>
      </c>
      <c r="H83" s="4" t="s">
        <v>25</v>
      </c>
      <c r="I83" s="5">
        <v>44835</v>
      </c>
      <c r="J83" s="6">
        <v>544</v>
      </c>
      <c r="K83" s="6">
        <v>544</v>
      </c>
      <c r="L83" s="6">
        <v>0</v>
      </c>
      <c r="M83" s="6">
        <v>0</v>
      </c>
      <c r="N83" s="6">
        <v>0</v>
      </c>
      <c r="O83" s="6">
        <v>0</v>
      </c>
      <c r="P83" s="6">
        <v>4</v>
      </c>
      <c r="Q83" s="4" t="s">
        <v>26</v>
      </c>
      <c r="R83" s="4">
        <v>0</v>
      </c>
      <c r="S83" s="6">
        <v>12</v>
      </c>
      <c r="T83" s="6">
        <v>0</v>
      </c>
      <c r="U83" s="6">
        <v>0</v>
      </c>
      <c r="V83" s="6">
        <f>IF(ISERROR(VLOOKUP($S$83,'TAR FIN'!$A$1:$O$115,15,0)),0,VLOOKUP($S$83,'TAR FIN'!$A$1:$O$115,15,0))</f>
        <v>19.8</v>
      </c>
      <c r="W83" s="6">
        <f>IF(ISERROR(VLOOKUP($T$83,'TAR FIN'!$A$1:$O$115,15,0)),0,VLOOKUP($T$83,'TAR FIN'!$A$1:$O$115,15,0))</f>
        <v>0</v>
      </c>
      <c r="X83" s="6">
        <f>IF(ISERROR(VLOOKUP($U$83,'TAR FIN'!$A$1:$O$115,15,0)),0,VLOOKUP($U$83,'TAR FIN'!$A$1:$O$115,15,0))</f>
        <v>0</v>
      </c>
      <c r="Y83" s="6">
        <f ca="1">('TUSD BE'!$AM$14+'TUSD BF'!$AM$14+'TUSD CVA'!$AM$14)*1</f>
        <v>20.615214330225772</v>
      </c>
      <c r="Z83" s="6"/>
      <c r="AA83" s="6"/>
      <c r="AB83" s="6">
        <f>$K$83*$V$83</f>
        <v>10771.2</v>
      </c>
      <c r="AC83" s="6">
        <f>$M$83*$W$83</f>
        <v>0</v>
      </c>
      <c r="AD83" s="6">
        <f>$O$83*$X$83</f>
        <v>0</v>
      </c>
      <c r="AE83" s="6">
        <f ca="1">$K$83*$Y$83</f>
        <v>11214.676595642821</v>
      </c>
      <c r="AF83" s="6">
        <f>$M$83*$Z$83</f>
        <v>0</v>
      </c>
      <c r="AG83" s="6">
        <f>$O$83*$AA$83</f>
        <v>0</v>
      </c>
    </row>
    <row r="84" spans="1:33" ht="11.25" customHeight="1" x14ac:dyDescent="0.25">
      <c r="A84" s="4" t="s">
        <v>30</v>
      </c>
      <c r="B84" s="4" t="s">
        <v>43</v>
      </c>
      <c r="C84" s="4" t="s">
        <v>44</v>
      </c>
      <c r="D84" s="4" t="s">
        <v>40</v>
      </c>
      <c r="E84" s="4" t="s">
        <v>25</v>
      </c>
      <c r="F84" s="4" t="s">
        <v>25</v>
      </c>
      <c r="G84" s="4" t="s">
        <v>25</v>
      </c>
      <c r="H84" s="4" t="s">
        <v>25</v>
      </c>
      <c r="I84" s="5">
        <v>44835</v>
      </c>
      <c r="J84" s="6">
        <v>30</v>
      </c>
      <c r="K84" s="6">
        <v>30</v>
      </c>
      <c r="L84" s="6">
        <v>0</v>
      </c>
      <c r="M84" s="6">
        <v>0</v>
      </c>
      <c r="N84" s="6">
        <v>0</v>
      </c>
      <c r="O84" s="6">
        <v>0</v>
      </c>
      <c r="P84" s="6">
        <v>1</v>
      </c>
      <c r="Q84" s="4" t="s">
        <v>26</v>
      </c>
      <c r="R84" s="4">
        <v>0</v>
      </c>
      <c r="S84" s="6">
        <v>12</v>
      </c>
      <c r="T84" s="6">
        <v>0</v>
      </c>
      <c r="U84" s="6">
        <v>0</v>
      </c>
      <c r="V84" s="6">
        <f>IF(ISERROR(VLOOKUP($S$84,'TAR FIN'!$A$1:$O$115,15,0)),0,VLOOKUP($S$84,'TAR FIN'!$A$1:$O$115,15,0))</f>
        <v>19.8</v>
      </c>
      <c r="W84" s="6">
        <f>IF(ISERROR(VLOOKUP($T$84,'TAR FIN'!$A$1:$O$115,15,0)),0,VLOOKUP($T$84,'TAR FIN'!$A$1:$O$115,15,0))</f>
        <v>0</v>
      </c>
      <c r="X84" s="6">
        <f>IF(ISERROR(VLOOKUP($U$84,'TAR FIN'!$A$1:$O$115,15,0)),0,VLOOKUP($U$84,'TAR FIN'!$A$1:$O$115,15,0))</f>
        <v>0</v>
      </c>
      <c r="Y84" s="6">
        <f ca="1">('TUSD BE'!$AM$14+'TUSD BF'!$AM$14+'TUSD CVA'!$AM$14)*1</f>
        <v>20.615214330225772</v>
      </c>
      <c r="Z84" s="6"/>
      <c r="AA84" s="6"/>
      <c r="AB84" s="6">
        <f>$K$84*$V$84</f>
        <v>594</v>
      </c>
      <c r="AC84" s="6">
        <f>$M$84*$W$84</f>
        <v>0</v>
      </c>
      <c r="AD84" s="6">
        <f>$O$84*$X$84</f>
        <v>0</v>
      </c>
      <c r="AE84" s="6">
        <f ca="1">$K$84*$Y$84</f>
        <v>618.45642990677311</v>
      </c>
      <c r="AF84" s="6">
        <f>$M$84*$Z$84</f>
        <v>0</v>
      </c>
      <c r="AG84" s="6">
        <f>$O$84*$AA$84</f>
        <v>0</v>
      </c>
    </row>
    <row r="85" spans="1:33" ht="11.25" customHeight="1" x14ac:dyDescent="0.25">
      <c r="A85" s="4" t="s">
        <v>59</v>
      </c>
      <c r="B85" s="4" t="s">
        <v>43</v>
      </c>
      <c r="C85" s="4" t="s">
        <v>44</v>
      </c>
      <c r="D85" s="4" t="s">
        <v>40</v>
      </c>
      <c r="E85" s="4" t="s">
        <v>25</v>
      </c>
      <c r="F85" s="4" t="s">
        <v>25</v>
      </c>
      <c r="G85" s="4" t="s">
        <v>25</v>
      </c>
      <c r="H85" s="4" t="s">
        <v>25</v>
      </c>
      <c r="I85" s="5">
        <v>44866</v>
      </c>
      <c r="J85" s="6">
        <v>544</v>
      </c>
      <c r="K85" s="6">
        <v>544</v>
      </c>
      <c r="L85" s="6">
        <v>0</v>
      </c>
      <c r="M85" s="6">
        <v>0</v>
      </c>
      <c r="N85" s="6">
        <v>0</v>
      </c>
      <c r="O85" s="6">
        <v>0</v>
      </c>
      <c r="P85" s="6">
        <v>4</v>
      </c>
      <c r="Q85" s="4" t="s">
        <v>26</v>
      </c>
      <c r="R85" s="4">
        <v>0</v>
      </c>
      <c r="S85" s="6">
        <v>12</v>
      </c>
      <c r="T85" s="6">
        <v>0</v>
      </c>
      <c r="U85" s="6">
        <v>0</v>
      </c>
      <c r="V85" s="6">
        <f>IF(ISERROR(VLOOKUP($S$85,'TAR FIN'!$A$1:$O$115,15,0)),0,VLOOKUP($S$85,'TAR FIN'!$A$1:$O$115,15,0))</f>
        <v>19.8</v>
      </c>
      <c r="W85" s="6">
        <f>IF(ISERROR(VLOOKUP($T$85,'TAR FIN'!$A$1:$O$115,15,0)),0,VLOOKUP($T$85,'TAR FIN'!$A$1:$O$115,15,0))</f>
        <v>0</v>
      </c>
      <c r="X85" s="6">
        <f>IF(ISERROR(VLOOKUP($U$85,'TAR FIN'!$A$1:$O$115,15,0)),0,VLOOKUP($U$85,'TAR FIN'!$A$1:$O$115,15,0))</f>
        <v>0</v>
      </c>
      <c r="Y85" s="6">
        <f ca="1">('TUSD BE'!$AM$14+'TUSD BF'!$AM$14+'TUSD CVA'!$AM$14)*1</f>
        <v>20.615214330225772</v>
      </c>
      <c r="Z85" s="6"/>
      <c r="AA85" s="6"/>
      <c r="AB85" s="6">
        <f>$K$85*$V$85</f>
        <v>10771.2</v>
      </c>
      <c r="AC85" s="6">
        <f>$M$85*$W$85</f>
        <v>0</v>
      </c>
      <c r="AD85" s="6">
        <f>$O$85*$X$85</f>
        <v>0</v>
      </c>
      <c r="AE85" s="6">
        <f ca="1">$K$85*$Y$85</f>
        <v>11214.676595642821</v>
      </c>
      <c r="AF85" s="6">
        <f>$M$85*$Z$85</f>
        <v>0</v>
      </c>
      <c r="AG85" s="6">
        <f>$O$85*$AA$85</f>
        <v>0</v>
      </c>
    </row>
    <row r="86" spans="1:33" ht="11.25" customHeight="1" x14ac:dyDescent="0.25">
      <c r="A86" s="4" t="s">
        <v>59</v>
      </c>
      <c r="B86" s="4" t="s">
        <v>43</v>
      </c>
      <c r="C86" s="4" t="s">
        <v>44</v>
      </c>
      <c r="D86" s="4" t="s">
        <v>40</v>
      </c>
      <c r="E86" s="4" t="s">
        <v>25</v>
      </c>
      <c r="F86" s="4" t="s">
        <v>25</v>
      </c>
      <c r="G86" s="4" t="s">
        <v>25</v>
      </c>
      <c r="H86" s="4" t="s">
        <v>25</v>
      </c>
      <c r="I86" s="5">
        <v>44866</v>
      </c>
      <c r="J86" s="6">
        <v>30</v>
      </c>
      <c r="K86" s="6">
        <v>30</v>
      </c>
      <c r="L86" s="6">
        <v>0</v>
      </c>
      <c r="M86" s="6">
        <v>0</v>
      </c>
      <c r="N86" s="6">
        <v>0</v>
      </c>
      <c r="O86" s="6">
        <v>0</v>
      </c>
      <c r="P86" s="6">
        <v>1</v>
      </c>
      <c r="Q86" s="4" t="s">
        <v>26</v>
      </c>
      <c r="R86" s="4">
        <v>0</v>
      </c>
      <c r="S86" s="6">
        <v>12</v>
      </c>
      <c r="T86" s="6">
        <v>0</v>
      </c>
      <c r="U86" s="6">
        <v>0</v>
      </c>
      <c r="V86" s="6">
        <f>IF(ISERROR(VLOOKUP($S$86,'TAR FIN'!$A$1:$O$115,15,0)),0,VLOOKUP($S$86,'TAR FIN'!$A$1:$O$115,15,0))</f>
        <v>19.8</v>
      </c>
      <c r="W86" s="6">
        <f>IF(ISERROR(VLOOKUP($T$86,'TAR FIN'!$A$1:$O$115,15,0)),0,VLOOKUP($T$86,'TAR FIN'!$A$1:$O$115,15,0))</f>
        <v>0</v>
      </c>
      <c r="X86" s="6">
        <f>IF(ISERROR(VLOOKUP($U$86,'TAR FIN'!$A$1:$O$115,15,0)),0,VLOOKUP($U$86,'TAR FIN'!$A$1:$O$115,15,0))</f>
        <v>0</v>
      </c>
      <c r="Y86" s="6">
        <f ca="1">('TUSD BE'!$AM$14+'TUSD BF'!$AM$14+'TUSD CVA'!$AM$14)*1</f>
        <v>20.615214330225772</v>
      </c>
      <c r="Z86" s="6"/>
      <c r="AA86" s="6"/>
      <c r="AB86" s="6">
        <f>$K$86*$V$86</f>
        <v>594</v>
      </c>
      <c r="AC86" s="6">
        <f>$M$86*$W$86</f>
        <v>0</v>
      </c>
      <c r="AD86" s="6">
        <f>$O$86*$X$86</f>
        <v>0</v>
      </c>
      <c r="AE86" s="6">
        <f ca="1">$K$86*$Y$86</f>
        <v>618.45642990677311</v>
      </c>
      <c r="AF86" s="6">
        <f>$M$86*$Z$86</f>
        <v>0</v>
      </c>
      <c r="AG86" s="6">
        <f>$O$86*$AA$86</f>
        <v>0</v>
      </c>
    </row>
    <row r="87" spans="1:33" ht="11.25" customHeight="1" x14ac:dyDescent="0.25">
      <c r="A87" s="4" t="s">
        <v>21</v>
      </c>
      <c r="B87" s="4" t="s">
        <v>43</v>
      </c>
      <c r="C87" s="4" t="s">
        <v>44</v>
      </c>
      <c r="D87" s="4" t="s">
        <v>40</v>
      </c>
      <c r="E87" s="4" t="s">
        <v>25</v>
      </c>
      <c r="F87" s="4" t="s">
        <v>25</v>
      </c>
      <c r="G87" s="4" t="s">
        <v>25</v>
      </c>
      <c r="H87" s="4" t="s">
        <v>36</v>
      </c>
      <c r="I87" s="5">
        <v>44531</v>
      </c>
      <c r="J87" s="6">
        <v>0</v>
      </c>
      <c r="K87" s="6">
        <v>0</v>
      </c>
      <c r="L87" s="6">
        <v>9.4849999999999994</v>
      </c>
      <c r="M87" s="6">
        <v>9.4849999999999994</v>
      </c>
      <c r="N87" s="6">
        <v>9.4849999999999994</v>
      </c>
      <c r="O87" s="6">
        <v>9.4849999999999994</v>
      </c>
      <c r="P87" s="6">
        <v>0</v>
      </c>
      <c r="Q87" s="4" t="s">
        <v>26</v>
      </c>
      <c r="R87" s="4">
        <v>0</v>
      </c>
      <c r="S87" s="6">
        <v>0</v>
      </c>
      <c r="T87" s="6">
        <v>13</v>
      </c>
      <c r="U87" s="6">
        <v>71</v>
      </c>
      <c r="V87" s="6">
        <f>IF(ISERROR(VLOOKUP($S$87,'TAR FIN'!$A$1:$O$115,15,0)),0,VLOOKUP($S$87,'TAR FIN'!$A$1:$O$115,15,0))</f>
        <v>0</v>
      </c>
      <c r="W87" s="6">
        <f>IF(ISERROR(VLOOKUP($T$87,'TAR FIN'!$A$1:$O$115,15,0)),0,VLOOKUP($T$87,'TAR FIN'!$A$1:$O$115,15,0))</f>
        <v>1448.96</v>
      </c>
      <c r="X87" s="6">
        <f>IF(ISERROR(VLOOKUP($U$87,'TAR FIN'!$A$1:$O$115,15,0)),0,VLOOKUP($U$87,'TAR FIN'!$A$1:$O$115,15,0))</f>
        <v>270.3</v>
      </c>
      <c r="Y87" s="6"/>
      <c r="Z87" s="6">
        <f ca="1">('TUSD BE'!$AM$15+'TUSD BF'!$AM$15+'TUSD CVA'!$AM$15)*1</f>
        <v>1480.1280206491922</v>
      </c>
      <c r="AA87" s="6">
        <f>('TE BE'!$AB$8+'TE BF'!$AB$8+'TE CVA'!$AB$8)*1</f>
        <v>362.64398683254075</v>
      </c>
      <c r="AB87" s="6">
        <f>$K$87*$V$87</f>
        <v>0</v>
      </c>
      <c r="AC87" s="6">
        <f>$M$87*$W$87</f>
        <v>13743.3856</v>
      </c>
      <c r="AD87" s="6">
        <f>$O$87*$X$87</f>
        <v>2563.7955000000002</v>
      </c>
      <c r="AE87" s="6">
        <f>$K$87*$Y$87</f>
        <v>0</v>
      </c>
      <c r="AF87" s="6">
        <f ca="1">$M$87*$Z$87</f>
        <v>14039.014275857588</v>
      </c>
      <c r="AG87" s="6">
        <f>$O$87*$AA$87</f>
        <v>3439.6782151066486</v>
      </c>
    </row>
    <row r="88" spans="1:33" ht="11.25" customHeight="1" x14ac:dyDescent="0.25">
      <c r="A88" s="4" t="s">
        <v>27</v>
      </c>
      <c r="B88" s="4" t="s">
        <v>43</v>
      </c>
      <c r="C88" s="4" t="s">
        <v>44</v>
      </c>
      <c r="D88" s="4" t="s">
        <v>40</v>
      </c>
      <c r="E88" s="4" t="s">
        <v>25</v>
      </c>
      <c r="F88" s="4" t="s">
        <v>25</v>
      </c>
      <c r="G88" s="4" t="s">
        <v>25</v>
      </c>
      <c r="H88" s="4" t="s">
        <v>36</v>
      </c>
      <c r="I88" s="5">
        <v>44531</v>
      </c>
      <c r="J88" s="6">
        <v>0</v>
      </c>
      <c r="K88" s="6">
        <v>0</v>
      </c>
      <c r="L88" s="6">
        <v>0.875</v>
      </c>
      <c r="M88" s="6">
        <v>0.875</v>
      </c>
      <c r="N88" s="6">
        <v>0.875</v>
      </c>
      <c r="O88" s="6">
        <v>0.875</v>
      </c>
      <c r="P88" s="6">
        <v>0</v>
      </c>
      <c r="Q88" s="4" t="s">
        <v>26</v>
      </c>
      <c r="R88" s="4">
        <v>0</v>
      </c>
      <c r="S88" s="6">
        <v>0</v>
      </c>
      <c r="T88" s="6">
        <v>13</v>
      </c>
      <c r="U88" s="6">
        <v>71</v>
      </c>
      <c r="V88" s="6">
        <f>IF(ISERROR(VLOOKUP($S$88,'TAR FIN'!$A$1:$O$115,15,0)),0,VLOOKUP($S$88,'TAR FIN'!$A$1:$O$115,15,0))</f>
        <v>0</v>
      </c>
      <c r="W88" s="6">
        <f>IF(ISERROR(VLOOKUP($T$88,'TAR FIN'!$A$1:$O$115,15,0)),0,VLOOKUP($T$88,'TAR FIN'!$A$1:$O$115,15,0))</f>
        <v>1448.96</v>
      </c>
      <c r="X88" s="6">
        <f>IF(ISERROR(VLOOKUP($U$88,'TAR FIN'!$A$1:$O$115,15,0)),0,VLOOKUP($U$88,'TAR FIN'!$A$1:$O$115,15,0))</f>
        <v>270.3</v>
      </c>
      <c r="Y88" s="6"/>
      <c r="Z88" s="6">
        <f ca="1">('TUSD BE'!$AM$15+'TUSD BF'!$AM$15+'TUSD CVA'!$AM$15)*1</f>
        <v>1480.1280206491922</v>
      </c>
      <c r="AA88" s="6">
        <f>('TE BE'!$AB$8+'TE BF'!$AB$8+'TE CVA'!$AB$8)*1</f>
        <v>362.64398683254075</v>
      </c>
      <c r="AB88" s="6">
        <f>$K$88*$V$88</f>
        <v>0</v>
      </c>
      <c r="AC88" s="6">
        <f>$M$88*$W$88</f>
        <v>1267.8400000000001</v>
      </c>
      <c r="AD88" s="6">
        <f>$O$88*$X$88</f>
        <v>236.51250000000002</v>
      </c>
      <c r="AE88" s="6">
        <f>$K$88*$Y$88</f>
        <v>0</v>
      </c>
      <c r="AF88" s="6">
        <f ca="1">$M$88*$Z$88</f>
        <v>1295.1120180680432</v>
      </c>
      <c r="AG88" s="6">
        <f>$O$88*$AA$88</f>
        <v>317.31348847847318</v>
      </c>
    </row>
    <row r="89" spans="1:33" ht="11.25" customHeight="1" x14ac:dyDescent="0.25">
      <c r="A89" s="4" t="s">
        <v>21</v>
      </c>
      <c r="B89" s="4" t="s">
        <v>43</v>
      </c>
      <c r="C89" s="4" t="s">
        <v>44</v>
      </c>
      <c r="D89" s="4" t="s">
        <v>40</v>
      </c>
      <c r="E89" s="4" t="s">
        <v>25</v>
      </c>
      <c r="F89" s="4" t="s">
        <v>25</v>
      </c>
      <c r="G89" s="4" t="s">
        <v>25</v>
      </c>
      <c r="H89" s="4" t="s">
        <v>36</v>
      </c>
      <c r="I89" s="5">
        <v>44562</v>
      </c>
      <c r="J89" s="6">
        <v>0</v>
      </c>
      <c r="K89" s="6">
        <v>0</v>
      </c>
      <c r="L89" s="6">
        <v>7.1970000000000001</v>
      </c>
      <c r="M89" s="6">
        <v>7.1970000000000001</v>
      </c>
      <c r="N89" s="6">
        <v>7.1970000000000001</v>
      </c>
      <c r="O89" s="6">
        <v>7.1970000000000001</v>
      </c>
      <c r="P89" s="6">
        <v>0</v>
      </c>
      <c r="Q89" s="4" t="s">
        <v>26</v>
      </c>
      <c r="R89" s="4">
        <v>0</v>
      </c>
      <c r="S89" s="6">
        <v>0</v>
      </c>
      <c r="T89" s="6">
        <v>13</v>
      </c>
      <c r="U89" s="6">
        <v>71</v>
      </c>
      <c r="V89" s="6">
        <f>IF(ISERROR(VLOOKUP($S$89,'TAR FIN'!$A$1:$O$115,15,0)),0,VLOOKUP($S$89,'TAR FIN'!$A$1:$O$115,15,0))</f>
        <v>0</v>
      </c>
      <c r="W89" s="6">
        <f>IF(ISERROR(VLOOKUP($T$89,'TAR FIN'!$A$1:$O$115,15,0)),0,VLOOKUP($T$89,'TAR FIN'!$A$1:$O$115,15,0))</f>
        <v>1448.96</v>
      </c>
      <c r="X89" s="6">
        <f>IF(ISERROR(VLOOKUP($U$89,'TAR FIN'!$A$1:$O$115,15,0)),0,VLOOKUP($U$89,'TAR FIN'!$A$1:$O$115,15,0))</f>
        <v>270.3</v>
      </c>
      <c r="Y89" s="6"/>
      <c r="Z89" s="6">
        <f ca="1">('TUSD BE'!$AM$15+'TUSD BF'!$AM$15+'TUSD CVA'!$AM$15)*1</f>
        <v>1480.1280206491922</v>
      </c>
      <c r="AA89" s="6">
        <f>('TE BE'!$AB$8+'TE BF'!$AB$8+'TE CVA'!$AB$8)*1</f>
        <v>362.64398683254075</v>
      </c>
      <c r="AB89" s="6">
        <f>$K$89*$V$89</f>
        <v>0</v>
      </c>
      <c r="AC89" s="6">
        <f>$M$89*$W$89</f>
        <v>10428.16512</v>
      </c>
      <c r="AD89" s="6">
        <f>$O$89*$X$89</f>
        <v>1945.3491000000001</v>
      </c>
      <c r="AE89" s="6">
        <f>$K$89*$Y$89</f>
        <v>0</v>
      </c>
      <c r="AF89" s="6">
        <f ca="1">$M$89*$Z$89</f>
        <v>10652.481364612237</v>
      </c>
      <c r="AG89" s="6">
        <f>$O$89*$AA$89</f>
        <v>2609.9487732337957</v>
      </c>
    </row>
    <row r="90" spans="1:33" ht="11.25" customHeight="1" x14ac:dyDescent="0.25">
      <c r="A90" s="4" t="s">
        <v>21</v>
      </c>
      <c r="B90" s="4" t="s">
        <v>43</v>
      </c>
      <c r="C90" s="4" t="s">
        <v>44</v>
      </c>
      <c r="D90" s="4" t="s">
        <v>40</v>
      </c>
      <c r="E90" s="4" t="s">
        <v>25</v>
      </c>
      <c r="F90" s="4" t="s">
        <v>25</v>
      </c>
      <c r="G90" s="4" t="s">
        <v>25</v>
      </c>
      <c r="H90" s="4" t="s">
        <v>36</v>
      </c>
      <c r="I90" s="5">
        <v>44593</v>
      </c>
      <c r="J90" s="6">
        <v>0</v>
      </c>
      <c r="K90" s="6">
        <v>0</v>
      </c>
      <c r="L90" s="6">
        <v>8.7309999999999999</v>
      </c>
      <c r="M90" s="6">
        <v>8.7309999999999999</v>
      </c>
      <c r="N90" s="6">
        <v>8.7309999999999999</v>
      </c>
      <c r="O90" s="6">
        <v>8.7309999999999999</v>
      </c>
      <c r="P90" s="6">
        <v>0</v>
      </c>
      <c r="Q90" s="4" t="s">
        <v>26</v>
      </c>
      <c r="R90" s="4">
        <v>0</v>
      </c>
      <c r="S90" s="6">
        <v>0</v>
      </c>
      <c r="T90" s="6">
        <v>13</v>
      </c>
      <c r="U90" s="6">
        <v>71</v>
      </c>
      <c r="V90" s="6">
        <f>IF(ISERROR(VLOOKUP($S$90,'TAR FIN'!$A$1:$O$115,15,0)),0,VLOOKUP($S$90,'TAR FIN'!$A$1:$O$115,15,0))</f>
        <v>0</v>
      </c>
      <c r="W90" s="6">
        <f>IF(ISERROR(VLOOKUP($T$90,'TAR FIN'!$A$1:$O$115,15,0)),0,VLOOKUP($T$90,'TAR FIN'!$A$1:$O$115,15,0))</f>
        <v>1448.96</v>
      </c>
      <c r="X90" s="6">
        <f>IF(ISERROR(VLOOKUP($U$90,'TAR FIN'!$A$1:$O$115,15,0)),0,VLOOKUP($U$90,'TAR FIN'!$A$1:$O$115,15,0))</f>
        <v>270.3</v>
      </c>
      <c r="Y90" s="6"/>
      <c r="Z90" s="6">
        <f ca="1">('TUSD BE'!$AM$15+'TUSD BF'!$AM$15+'TUSD CVA'!$AM$15)*1</f>
        <v>1480.1280206491922</v>
      </c>
      <c r="AA90" s="6">
        <f>('TE BE'!$AB$8+'TE BF'!$AB$8+'TE CVA'!$AB$8)*1</f>
        <v>362.64398683254075</v>
      </c>
      <c r="AB90" s="6">
        <f>$K$90*$V$90</f>
        <v>0</v>
      </c>
      <c r="AC90" s="6">
        <f>$M$90*$W$90</f>
        <v>12650.86976</v>
      </c>
      <c r="AD90" s="6">
        <f>$O$90*$X$90</f>
        <v>2359.9893000000002</v>
      </c>
      <c r="AE90" s="6">
        <f>$K$90*$Y$90</f>
        <v>0</v>
      </c>
      <c r="AF90" s="6">
        <f ca="1">$M$90*$Z$90</f>
        <v>12922.997748288097</v>
      </c>
      <c r="AG90" s="6">
        <f>$O$90*$AA$90</f>
        <v>3166.2446490349134</v>
      </c>
    </row>
    <row r="91" spans="1:33" ht="11.25" customHeight="1" x14ac:dyDescent="0.25">
      <c r="A91" s="4" t="s">
        <v>21</v>
      </c>
      <c r="B91" s="4" t="s">
        <v>43</v>
      </c>
      <c r="C91" s="4" t="s">
        <v>44</v>
      </c>
      <c r="D91" s="4" t="s">
        <v>40</v>
      </c>
      <c r="E91" s="4" t="s">
        <v>25</v>
      </c>
      <c r="F91" s="4" t="s">
        <v>25</v>
      </c>
      <c r="G91" s="4" t="s">
        <v>25</v>
      </c>
      <c r="H91" s="4" t="s">
        <v>36</v>
      </c>
      <c r="I91" s="5">
        <v>44621</v>
      </c>
      <c r="J91" s="6">
        <v>0</v>
      </c>
      <c r="K91" s="6">
        <v>0</v>
      </c>
      <c r="L91" s="6">
        <v>10.263</v>
      </c>
      <c r="M91" s="6">
        <v>10.263</v>
      </c>
      <c r="N91" s="6">
        <v>10.263</v>
      </c>
      <c r="O91" s="6">
        <v>10.263</v>
      </c>
      <c r="P91" s="6">
        <v>0</v>
      </c>
      <c r="Q91" s="4" t="s">
        <v>26</v>
      </c>
      <c r="R91" s="4">
        <v>0</v>
      </c>
      <c r="S91" s="6">
        <v>0</v>
      </c>
      <c r="T91" s="6">
        <v>13</v>
      </c>
      <c r="U91" s="6">
        <v>71</v>
      </c>
      <c r="V91" s="6">
        <f>IF(ISERROR(VLOOKUP($S$91,'TAR FIN'!$A$1:$O$115,15,0)),0,VLOOKUP($S$91,'TAR FIN'!$A$1:$O$115,15,0))</f>
        <v>0</v>
      </c>
      <c r="W91" s="6">
        <f>IF(ISERROR(VLOOKUP($T$91,'TAR FIN'!$A$1:$O$115,15,0)),0,VLOOKUP($T$91,'TAR FIN'!$A$1:$O$115,15,0))</f>
        <v>1448.96</v>
      </c>
      <c r="X91" s="6">
        <f>IF(ISERROR(VLOOKUP($U$91,'TAR FIN'!$A$1:$O$115,15,0)),0,VLOOKUP($U$91,'TAR FIN'!$A$1:$O$115,15,0))</f>
        <v>270.3</v>
      </c>
      <c r="Y91" s="6"/>
      <c r="Z91" s="6">
        <f ca="1">('TUSD BE'!$AM$15+'TUSD BF'!$AM$15+'TUSD CVA'!$AM$15)*1</f>
        <v>1480.1280206491922</v>
      </c>
      <c r="AA91" s="6">
        <f>('TE BE'!$AB$8+'TE BF'!$AB$8+'TE CVA'!$AB$8)*1</f>
        <v>362.64398683254075</v>
      </c>
      <c r="AB91" s="6">
        <f>$K$91*$V$91</f>
        <v>0</v>
      </c>
      <c r="AC91" s="6">
        <f>$M$91*$W$91</f>
        <v>14870.67648</v>
      </c>
      <c r="AD91" s="6">
        <f>$O$91*$X$91</f>
        <v>2774.0889000000002</v>
      </c>
      <c r="AE91" s="6">
        <f>$K$91*$Y$91</f>
        <v>0</v>
      </c>
      <c r="AF91" s="6">
        <f ca="1">$M$91*$Z$91</f>
        <v>15190.55387592266</v>
      </c>
      <c r="AG91" s="6">
        <f>$O$91*$AA$91</f>
        <v>3721.8152368623655</v>
      </c>
    </row>
    <row r="92" spans="1:33" ht="11.25" customHeight="1" x14ac:dyDescent="0.25">
      <c r="A92" s="4" t="s">
        <v>21</v>
      </c>
      <c r="B92" s="4" t="s">
        <v>43</v>
      </c>
      <c r="C92" s="4" t="s">
        <v>44</v>
      </c>
      <c r="D92" s="4" t="s">
        <v>40</v>
      </c>
      <c r="E92" s="4" t="s">
        <v>25</v>
      </c>
      <c r="F92" s="4" t="s">
        <v>25</v>
      </c>
      <c r="G92" s="4" t="s">
        <v>25</v>
      </c>
      <c r="H92" s="4" t="s">
        <v>36</v>
      </c>
      <c r="I92" s="5">
        <v>44652</v>
      </c>
      <c r="J92" s="6">
        <v>0</v>
      </c>
      <c r="K92" s="6">
        <v>0</v>
      </c>
      <c r="L92" s="6">
        <v>19.585999999999999</v>
      </c>
      <c r="M92" s="6">
        <v>19.585999999999999</v>
      </c>
      <c r="N92" s="6">
        <v>19.585999999999999</v>
      </c>
      <c r="O92" s="6">
        <v>19.585999999999999</v>
      </c>
      <c r="P92" s="6">
        <v>0</v>
      </c>
      <c r="Q92" s="4" t="s">
        <v>26</v>
      </c>
      <c r="R92" s="4">
        <v>0</v>
      </c>
      <c r="S92" s="6">
        <v>0</v>
      </c>
      <c r="T92" s="6">
        <v>13</v>
      </c>
      <c r="U92" s="6">
        <v>71</v>
      </c>
      <c r="V92" s="6">
        <f>IF(ISERROR(VLOOKUP($S$92,'TAR FIN'!$A$1:$O$115,15,0)),0,VLOOKUP($S$92,'TAR FIN'!$A$1:$O$115,15,0))</f>
        <v>0</v>
      </c>
      <c r="W92" s="6">
        <f>IF(ISERROR(VLOOKUP($T$92,'TAR FIN'!$A$1:$O$115,15,0)),0,VLOOKUP($T$92,'TAR FIN'!$A$1:$O$115,15,0))</f>
        <v>1448.96</v>
      </c>
      <c r="X92" s="6">
        <f>IF(ISERROR(VLOOKUP($U$92,'TAR FIN'!$A$1:$O$115,15,0)),0,VLOOKUP($U$92,'TAR FIN'!$A$1:$O$115,15,0))</f>
        <v>270.3</v>
      </c>
      <c r="Y92" s="6"/>
      <c r="Z92" s="6">
        <f ca="1">('TUSD BE'!$AM$15+'TUSD BF'!$AM$15+'TUSD CVA'!$AM$15)*1</f>
        <v>1480.1280206491922</v>
      </c>
      <c r="AA92" s="6">
        <f>('TE BE'!$AB$8+'TE BF'!$AB$8+'TE CVA'!$AB$8)*1</f>
        <v>362.64398683254075</v>
      </c>
      <c r="AB92" s="6">
        <f>$K$92*$V$92</f>
        <v>0</v>
      </c>
      <c r="AC92" s="6">
        <f>$M$92*$W$92</f>
        <v>28379.330559999999</v>
      </c>
      <c r="AD92" s="6">
        <f>$O$92*$X$92</f>
        <v>5294.0958000000001</v>
      </c>
      <c r="AE92" s="6">
        <f>$K$92*$Y$92</f>
        <v>0</v>
      </c>
      <c r="AF92" s="6">
        <f ca="1">$M$92*$Z$92</f>
        <v>28989.787412435075</v>
      </c>
      <c r="AG92" s="6">
        <f>$O$92*$AA$92</f>
        <v>7102.7451261021424</v>
      </c>
    </row>
    <row r="93" spans="1:33" ht="11.25" customHeight="1" x14ac:dyDescent="0.25">
      <c r="A93" s="4" t="s">
        <v>21</v>
      </c>
      <c r="B93" s="4" t="s">
        <v>43</v>
      </c>
      <c r="C93" s="4" t="s">
        <v>44</v>
      </c>
      <c r="D93" s="4" t="s">
        <v>40</v>
      </c>
      <c r="E93" s="4" t="s">
        <v>25</v>
      </c>
      <c r="F93" s="4" t="s">
        <v>25</v>
      </c>
      <c r="G93" s="4" t="s">
        <v>25</v>
      </c>
      <c r="H93" s="4" t="s">
        <v>36</v>
      </c>
      <c r="I93" s="5">
        <v>44682</v>
      </c>
      <c r="J93" s="6">
        <v>0</v>
      </c>
      <c r="K93" s="6">
        <v>0</v>
      </c>
      <c r="L93" s="6">
        <v>9.1869999999999994</v>
      </c>
      <c r="M93" s="6">
        <v>9.1869999999999994</v>
      </c>
      <c r="N93" s="6">
        <v>9.1869999999999994</v>
      </c>
      <c r="O93" s="6">
        <v>9.1869999999999994</v>
      </c>
      <c r="P93" s="6">
        <v>0</v>
      </c>
      <c r="Q93" s="4" t="s">
        <v>26</v>
      </c>
      <c r="R93" s="4">
        <v>0</v>
      </c>
      <c r="S93" s="6">
        <v>0</v>
      </c>
      <c r="T93" s="6">
        <v>13</v>
      </c>
      <c r="U93" s="6">
        <v>71</v>
      </c>
      <c r="V93" s="6">
        <f>IF(ISERROR(VLOOKUP($S$93,'TAR FIN'!$A$1:$O$115,15,0)),0,VLOOKUP($S$93,'TAR FIN'!$A$1:$O$115,15,0))</f>
        <v>0</v>
      </c>
      <c r="W93" s="6">
        <f>IF(ISERROR(VLOOKUP($T$93,'TAR FIN'!$A$1:$O$115,15,0)),0,VLOOKUP($T$93,'TAR FIN'!$A$1:$O$115,15,0))</f>
        <v>1448.96</v>
      </c>
      <c r="X93" s="6">
        <f>IF(ISERROR(VLOOKUP($U$93,'TAR FIN'!$A$1:$O$115,15,0)),0,VLOOKUP($U$93,'TAR FIN'!$A$1:$O$115,15,0))</f>
        <v>270.3</v>
      </c>
      <c r="Y93" s="6"/>
      <c r="Z93" s="6">
        <f ca="1">('TUSD BE'!$AM$15+'TUSD BF'!$AM$15+'TUSD CVA'!$AM$15)*1</f>
        <v>1480.1280206491922</v>
      </c>
      <c r="AA93" s="6">
        <f>('TE BE'!$AB$8+'TE BF'!$AB$8+'TE CVA'!$AB$8)*1</f>
        <v>362.64398683254075</v>
      </c>
      <c r="AB93" s="6">
        <f>$K$93*$V$93</f>
        <v>0</v>
      </c>
      <c r="AC93" s="6">
        <f>$M$93*$W$93</f>
        <v>13311.595519999999</v>
      </c>
      <c r="AD93" s="6">
        <f>$O$93*$X$93</f>
        <v>2483.2460999999998</v>
      </c>
      <c r="AE93" s="6">
        <f>$K$93*$Y$93</f>
        <v>0</v>
      </c>
      <c r="AF93" s="6">
        <f ca="1">$M$93*$Z$93</f>
        <v>13597.936125704127</v>
      </c>
      <c r="AG93" s="6">
        <f>$O$93*$AA$93</f>
        <v>3331.6103070305517</v>
      </c>
    </row>
    <row r="94" spans="1:33" ht="11.25" customHeight="1" x14ac:dyDescent="0.25">
      <c r="A94" s="4" t="s">
        <v>21</v>
      </c>
      <c r="B94" s="4" t="s">
        <v>43</v>
      </c>
      <c r="C94" s="4" t="s">
        <v>44</v>
      </c>
      <c r="D94" s="4" t="s">
        <v>40</v>
      </c>
      <c r="E94" s="4" t="s">
        <v>25</v>
      </c>
      <c r="F94" s="4" t="s">
        <v>25</v>
      </c>
      <c r="G94" s="4" t="s">
        <v>25</v>
      </c>
      <c r="H94" s="4" t="s">
        <v>36</v>
      </c>
      <c r="I94" s="5">
        <v>44713</v>
      </c>
      <c r="J94" s="6">
        <v>0</v>
      </c>
      <c r="K94" s="6">
        <v>0</v>
      </c>
      <c r="L94" s="6">
        <v>9.0530000000000008</v>
      </c>
      <c r="M94" s="6">
        <v>9.0530000000000008</v>
      </c>
      <c r="N94" s="6">
        <v>9.0530000000000008</v>
      </c>
      <c r="O94" s="6">
        <v>9.0530000000000008</v>
      </c>
      <c r="P94" s="6">
        <v>0</v>
      </c>
      <c r="Q94" s="4" t="s">
        <v>26</v>
      </c>
      <c r="R94" s="4">
        <v>0</v>
      </c>
      <c r="S94" s="6">
        <v>0</v>
      </c>
      <c r="T94" s="6">
        <v>13</v>
      </c>
      <c r="U94" s="6">
        <v>71</v>
      </c>
      <c r="V94" s="6">
        <f>IF(ISERROR(VLOOKUP($S$94,'TAR FIN'!$A$1:$O$115,15,0)),0,VLOOKUP($S$94,'TAR FIN'!$A$1:$O$115,15,0))</f>
        <v>0</v>
      </c>
      <c r="W94" s="6">
        <f>IF(ISERROR(VLOOKUP($T$94,'TAR FIN'!$A$1:$O$115,15,0)),0,VLOOKUP($T$94,'TAR FIN'!$A$1:$O$115,15,0))</f>
        <v>1448.96</v>
      </c>
      <c r="X94" s="6">
        <f>IF(ISERROR(VLOOKUP($U$94,'TAR FIN'!$A$1:$O$115,15,0)),0,VLOOKUP($U$94,'TAR FIN'!$A$1:$O$115,15,0))</f>
        <v>270.3</v>
      </c>
      <c r="Y94" s="6"/>
      <c r="Z94" s="6">
        <f ca="1">('TUSD BE'!$AM$15+'TUSD BF'!$AM$15+'TUSD CVA'!$AM$15)*1</f>
        <v>1480.1280206491922</v>
      </c>
      <c r="AA94" s="6">
        <f>('TE BE'!$AB$8+'TE BF'!$AB$8+'TE CVA'!$AB$8)*1</f>
        <v>362.64398683254075</v>
      </c>
      <c r="AB94" s="6">
        <f>$K$94*$V$94</f>
        <v>0</v>
      </c>
      <c r="AC94" s="6">
        <f>$M$94*$W$94</f>
        <v>13117.434880000001</v>
      </c>
      <c r="AD94" s="6">
        <f>$O$94*$X$94</f>
        <v>2447.0259000000005</v>
      </c>
      <c r="AE94" s="6">
        <f>$K$94*$Y$94</f>
        <v>0</v>
      </c>
      <c r="AF94" s="6">
        <f ca="1">$M$94*$Z$94</f>
        <v>13399.598970937139</v>
      </c>
      <c r="AG94" s="6">
        <f>$O$94*$AA$94</f>
        <v>3283.0160127949916</v>
      </c>
    </row>
    <row r="95" spans="1:33" ht="11.25" customHeight="1" x14ac:dyDescent="0.25">
      <c r="A95" s="4" t="s">
        <v>27</v>
      </c>
      <c r="B95" s="4" t="s">
        <v>43</v>
      </c>
      <c r="C95" s="4" t="s">
        <v>44</v>
      </c>
      <c r="D95" s="4" t="s">
        <v>40</v>
      </c>
      <c r="E95" s="4" t="s">
        <v>25</v>
      </c>
      <c r="F95" s="4" t="s">
        <v>25</v>
      </c>
      <c r="G95" s="4" t="s">
        <v>25</v>
      </c>
      <c r="H95" s="4" t="s">
        <v>36</v>
      </c>
      <c r="I95" s="5">
        <v>44713</v>
      </c>
      <c r="J95" s="6">
        <v>0</v>
      </c>
      <c r="K95" s="6">
        <v>0</v>
      </c>
      <c r="L95" s="6">
        <v>1.24</v>
      </c>
      <c r="M95" s="6">
        <v>1.24</v>
      </c>
      <c r="N95" s="6">
        <v>1.24</v>
      </c>
      <c r="O95" s="6">
        <v>1.24</v>
      </c>
      <c r="P95" s="6">
        <v>0</v>
      </c>
      <c r="Q95" s="4" t="s">
        <v>26</v>
      </c>
      <c r="R95" s="4">
        <v>0</v>
      </c>
      <c r="S95" s="6">
        <v>0</v>
      </c>
      <c r="T95" s="6">
        <v>13</v>
      </c>
      <c r="U95" s="6">
        <v>71</v>
      </c>
      <c r="V95" s="6">
        <f>IF(ISERROR(VLOOKUP($S$95,'TAR FIN'!$A$1:$O$115,15,0)),0,VLOOKUP($S$95,'TAR FIN'!$A$1:$O$115,15,0))</f>
        <v>0</v>
      </c>
      <c r="W95" s="6">
        <f>IF(ISERROR(VLOOKUP($T$95,'TAR FIN'!$A$1:$O$115,15,0)),0,VLOOKUP($T$95,'TAR FIN'!$A$1:$O$115,15,0))</f>
        <v>1448.96</v>
      </c>
      <c r="X95" s="6">
        <f>IF(ISERROR(VLOOKUP($U$95,'TAR FIN'!$A$1:$O$115,15,0)),0,VLOOKUP($U$95,'TAR FIN'!$A$1:$O$115,15,0))</f>
        <v>270.3</v>
      </c>
      <c r="Y95" s="6"/>
      <c r="Z95" s="6">
        <f ca="1">('TUSD BE'!$AM$15+'TUSD BF'!$AM$15+'TUSD CVA'!$AM$15)*1</f>
        <v>1480.1280206491922</v>
      </c>
      <c r="AA95" s="6">
        <f>('TE BE'!$AB$8+'TE BF'!$AB$8+'TE CVA'!$AB$8)*1</f>
        <v>362.64398683254075</v>
      </c>
      <c r="AB95" s="6">
        <f>$K$95*$V$95</f>
        <v>0</v>
      </c>
      <c r="AC95" s="6">
        <f>$M$95*$W$95</f>
        <v>1796.7103999999999</v>
      </c>
      <c r="AD95" s="6">
        <f>$O$95*$X$95</f>
        <v>335.17200000000003</v>
      </c>
      <c r="AE95" s="6">
        <f>$K$95*$Y$95</f>
        <v>0</v>
      </c>
      <c r="AF95" s="6">
        <f ca="1">$M$95*$Z$95</f>
        <v>1835.3587456049984</v>
      </c>
      <c r="AG95" s="6">
        <f>$O$95*$AA$95</f>
        <v>449.67854367235054</v>
      </c>
    </row>
    <row r="96" spans="1:33" ht="11.25" customHeight="1" x14ac:dyDescent="0.25">
      <c r="A96" s="4" t="s">
        <v>21</v>
      </c>
      <c r="B96" s="4" t="s">
        <v>43</v>
      </c>
      <c r="C96" s="4" t="s">
        <v>44</v>
      </c>
      <c r="D96" s="4" t="s">
        <v>40</v>
      </c>
      <c r="E96" s="4" t="s">
        <v>25</v>
      </c>
      <c r="F96" s="4" t="s">
        <v>25</v>
      </c>
      <c r="G96" s="4" t="s">
        <v>25</v>
      </c>
      <c r="H96" s="4" t="s">
        <v>36</v>
      </c>
      <c r="I96" s="5">
        <v>44743</v>
      </c>
      <c r="J96" s="6">
        <v>0</v>
      </c>
      <c r="K96" s="6">
        <v>0</v>
      </c>
      <c r="L96" s="6">
        <v>9.2959999999999994</v>
      </c>
      <c r="M96" s="6">
        <v>9.2959999999999994</v>
      </c>
      <c r="N96" s="6">
        <v>9.2959999999999994</v>
      </c>
      <c r="O96" s="6">
        <v>9.2959999999999994</v>
      </c>
      <c r="P96" s="6">
        <v>0</v>
      </c>
      <c r="Q96" s="4" t="s">
        <v>26</v>
      </c>
      <c r="R96" s="4">
        <v>0</v>
      </c>
      <c r="S96" s="6">
        <v>0</v>
      </c>
      <c r="T96" s="6">
        <v>13</v>
      </c>
      <c r="U96" s="6">
        <v>71</v>
      </c>
      <c r="V96" s="6">
        <f>IF(ISERROR(VLOOKUP($S$96,'TAR FIN'!$A$1:$O$115,15,0)),0,VLOOKUP($S$96,'TAR FIN'!$A$1:$O$115,15,0))</f>
        <v>0</v>
      </c>
      <c r="W96" s="6">
        <f>IF(ISERROR(VLOOKUP($T$96,'TAR FIN'!$A$1:$O$115,15,0)),0,VLOOKUP($T$96,'TAR FIN'!$A$1:$O$115,15,0))</f>
        <v>1448.96</v>
      </c>
      <c r="X96" s="6">
        <f>IF(ISERROR(VLOOKUP($U$96,'TAR FIN'!$A$1:$O$115,15,0)),0,VLOOKUP($U$96,'TAR FIN'!$A$1:$O$115,15,0))</f>
        <v>270.3</v>
      </c>
      <c r="Y96" s="6"/>
      <c r="Z96" s="6">
        <f ca="1">('TUSD BE'!$AM$15+'TUSD BF'!$AM$15+'TUSD CVA'!$AM$15)*1</f>
        <v>1480.1280206491922</v>
      </c>
      <c r="AA96" s="6">
        <f>('TE BE'!$AB$8+'TE BF'!$AB$8+'TE CVA'!$AB$8)*1</f>
        <v>362.64398683254075</v>
      </c>
      <c r="AB96" s="6">
        <f>$K$96*$V$96</f>
        <v>0</v>
      </c>
      <c r="AC96" s="6">
        <f>$M$96*$W$96</f>
        <v>13469.532159999999</v>
      </c>
      <c r="AD96" s="6">
        <f>$O$96*$X$96</f>
        <v>2512.7087999999999</v>
      </c>
      <c r="AE96" s="6">
        <f>$K$96*$Y$96</f>
        <v>0</v>
      </c>
      <c r="AF96" s="6">
        <f ca="1">$M$96*$Z$96</f>
        <v>13759.270079954889</v>
      </c>
      <c r="AG96" s="6">
        <f>$O$96*$AA$96</f>
        <v>3371.1385015952987</v>
      </c>
    </row>
    <row r="97" spans="1:33" ht="11.25" customHeight="1" x14ac:dyDescent="0.25">
      <c r="A97" s="4" t="s">
        <v>27</v>
      </c>
      <c r="B97" s="4" t="s">
        <v>43</v>
      </c>
      <c r="C97" s="4" t="s">
        <v>44</v>
      </c>
      <c r="D97" s="4" t="s">
        <v>40</v>
      </c>
      <c r="E97" s="4" t="s">
        <v>25</v>
      </c>
      <c r="F97" s="4" t="s">
        <v>25</v>
      </c>
      <c r="G97" s="4" t="s">
        <v>25</v>
      </c>
      <c r="H97" s="4" t="s">
        <v>36</v>
      </c>
      <c r="I97" s="5">
        <v>44743</v>
      </c>
      <c r="J97" s="6">
        <v>0</v>
      </c>
      <c r="K97" s="6">
        <v>0</v>
      </c>
      <c r="L97" s="6">
        <v>0.19400000000000001</v>
      </c>
      <c r="M97" s="6">
        <v>0.19400000000000001</v>
      </c>
      <c r="N97" s="6">
        <v>0.19400000000000001</v>
      </c>
      <c r="O97" s="6">
        <v>0.19400000000000001</v>
      </c>
      <c r="P97" s="6">
        <v>0</v>
      </c>
      <c r="Q97" s="4" t="s">
        <v>26</v>
      </c>
      <c r="R97" s="4">
        <v>0</v>
      </c>
      <c r="S97" s="6">
        <v>0</v>
      </c>
      <c r="T97" s="6">
        <v>13</v>
      </c>
      <c r="U97" s="6">
        <v>71</v>
      </c>
      <c r="V97" s="6">
        <f>IF(ISERROR(VLOOKUP($S$97,'TAR FIN'!$A$1:$O$115,15,0)),0,VLOOKUP($S$97,'TAR FIN'!$A$1:$O$115,15,0))</f>
        <v>0</v>
      </c>
      <c r="W97" s="6">
        <f>IF(ISERROR(VLOOKUP($T$97,'TAR FIN'!$A$1:$O$115,15,0)),0,VLOOKUP($T$97,'TAR FIN'!$A$1:$O$115,15,0))</f>
        <v>1448.96</v>
      </c>
      <c r="X97" s="6">
        <f>IF(ISERROR(VLOOKUP($U$97,'TAR FIN'!$A$1:$O$115,15,0)),0,VLOOKUP($U$97,'TAR FIN'!$A$1:$O$115,15,0))</f>
        <v>270.3</v>
      </c>
      <c r="Y97" s="6"/>
      <c r="Z97" s="6">
        <f ca="1">('TUSD BE'!$AM$15+'TUSD BF'!$AM$15+'TUSD CVA'!$AM$15)*1</f>
        <v>1480.1280206491922</v>
      </c>
      <c r="AA97" s="6">
        <f>('TE BE'!$AB$8+'TE BF'!$AB$8+'TE CVA'!$AB$8)*1</f>
        <v>362.64398683254075</v>
      </c>
      <c r="AB97" s="6">
        <f>$K$97*$V$97</f>
        <v>0</v>
      </c>
      <c r="AC97" s="6">
        <f>$M$97*$W$97</f>
        <v>281.09824000000003</v>
      </c>
      <c r="AD97" s="6">
        <f>$O$97*$X$97</f>
        <v>52.438200000000002</v>
      </c>
      <c r="AE97" s="6">
        <f>$K$97*$Y$97</f>
        <v>0</v>
      </c>
      <c r="AF97" s="6">
        <f ca="1">$M$97*$Z$97</f>
        <v>287.14483600594332</v>
      </c>
      <c r="AG97" s="6">
        <f>$O$97*$AA$97</f>
        <v>70.352933445512903</v>
      </c>
    </row>
    <row r="98" spans="1:33" ht="11.25" customHeight="1" x14ac:dyDescent="0.25">
      <c r="A98" s="4" t="s">
        <v>21</v>
      </c>
      <c r="B98" s="4" t="s">
        <v>43</v>
      </c>
      <c r="C98" s="4" t="s">
        <v>44</v>
      </c>
      <c r="D98" s="4" t="s">
        <v>40</v>
      </c>
      <c r="E98" s="4" t="s">
        <v>25</v>
      </c>
      <c r="F98" s="4" t="s">
        <v>25</v>
      </c>
      <c r="G98" s="4" t="s">
        <v>25</v>
      </c>
      <c r="H98" s="4" t="s">
        <v>36</v>
      </c>
      <c r="I98" s="5">
        <v>44774</v>
      </c>
      <c r="J98" s="6">
        <v>0</v>
      </c>
      <c r="K98" s="6">
        <v>0</v>
      </c>
      <c r="L98" s="6">
        <v>11.917</v>
      </c>
      <c r="M98" s="6">
        <v>11.917</v>
      </c>
      <c r="N98" s="6">
        <v>11.917</v>
      </c>
      <c r="O98" s="6">
        <v>11.917</v>
      </c>
      <c r="P98" s="6">
        <v>0</v>
      </c>
      <c r="Q98" s="4" t="s">
        <v>26</v>
      </c>
      <c r="R98" s="4">
        <v>0</v>
      </c>
      <c r="S98" s="6">
        <v>0</v>
      </c>
      <c r="T98" s="6">
        <v>13</v>
      </c>
      <c r="U98" s="6">
        <v>71</v>
      </c>
      <c r="V98" s="6">
        <f>IF(ISERROR(VLOOKUP($S$98,'TAR FIN'!$A$1:$O$115,15,0)),0,VLOOKUP($S$98,'TAR FIN'!$A$1:$O$115,15,0))</f>
        <v>0</v>
      </c>
      <c r="W98" s="6">
        <f>IF(ISERROR(VLOOKUP($T$98,'TAR FIN'!$A$1:$O$115,15,0)),0,VLOOKUP($T$98,'TAR FIN'!$A$1:$O$115,15,0))</f>
        <v>1448.96</v>
      </c>
      <c r="X98" s="6">
        <f>IF(ISERROR(VLOOKUP($U$98,'TAR FIN'!$A$1:$O$115,15,0)),0,VLOOKUP($U$98,'TAR FIN'!$A$1:$O$115,15,0))</f>
        <v>270.3</v>
      </c>
      <c r="Y98" s="6"/>
      <c r="Z98" s="6">
        <f ca="1">('TUSD BE'!$AM$15+'TUSD BF'!$AM$15+'TUSD CVA'!$AM$15)*1</f>
        <v>1480.1280206491922</v>
      </c>
      <c r="AA98" s="6">
        <f>('TE BE'!$AB$8+'TE BF'!$AB$8+'TE CVA'!$AB$8)*1</f>
        <v>362.64398683254075</v>
      </c>
      <c r="AB98" s="6">
        <f>$K$98*$V$98</f>
        <v>0</v>
      </c>
      <c r="AC98" s="6">
        <f>$M$98*$W$98</f>
        <v>17267.25632</v>
      </c>
      <c r="AD98" s="6">
        <f>$O$98*$X$98</f>
        <v>3221.1651000000002</v>
      </c>
      <c r="AE98" s="6">
        <f>$K$98*$Y$98</f>
        <v>0</v>
      </c>
      <c r="AF98" s="6">
        <f ca="1">$M$98*$Z$98</f>
        <v>17638.685622076424</v>
      </c>
      <c r="AG98" s="6">
        <f>$O$98*$AA$98</f>
        <v>4321.6283910833881</v>
      </c>
    </row>
    <row r="99" spans="1:33" ht="11.25" customHeight="1" x14ac:dyDescent="0.25">
      <c r="A99" s="4" t="s">
        <v>27</v>
      </c>
      <c r="B99" s="4" t="s">
        <v>43</v>
      </c>
      <c r="C99" s="4" t="s">
        <v>44</v>
      </c>
      <c r="D99" s="4" t="s">
        <v>40</v>
      </c>
      <c r="E99" s="4" t="s">
        <v>25</v>
      </c>
      <c r="F99" s="4" t="s">
        <v>25</v>
      </c>
      <c r="G99" s="4" t="s">
        <v>25</v>
      </c>
      <c r="H99" s="4" t="s">
        <v>36</v>
      </c>
      <c r="I99" s="5">
        <v>44774</v>
      </c>
      <c r="J99" s="6">
        <v>0</v>
      </c>
      <c r="K99" s="6">
        <v>0</v>
      </c>
      <c r="L99" s="6">
        <v>-6.24</v>
      </c>
      <c r="M99" s="6">
        <v>-6.24</v>
      </c>
      <c r="N99" s="6">
        <v>-6.24</v>
      </c>
      <c r="O99" s="6">
        <v>-6.24</v>
      </c>
      <c r="P99" s="6">
        <v>0</v>
      </c>
      <c r="Q99" s="4" t="s">
        <v>26</v>
      </c>
      <c r="R99" s="4">
        <v>0</v>
      </c>
      <c r="S99" s="6">
        <v>0</v>
      </c>
      <c r="T99" s="6">
        <v>13</v>
      </c>
      <c r="U99" s="6">
        <v>71</v>
      </c>
      <c r="V99" s="6">
        <f>IF(ISERROR(VLOOKUP($S$99,'TAR FIN'!$A$1:$O$115,15,0)),0,VLOOKUP($S$99,'TAR FIN'!$A$1:$O$115,15,0))</f>
        <v>0</v>
      </c>
      <c r="W99" s="6">
        <f>IF(ISERROR(VLOOKUP($T$99,'TAR FIN'!$A$1:$O$115,15,0)),0,VLOOKUP($T$99,'TAR FIN'!$A$1:$O$115,15,0))</f>
        <v>1448.96</v>
      </c>
      <c r="X99" s="6">
        <f>IF(ISERROR(VLOOKUP($U$99,'TAR FIN'!$A$1:$O$115,15,0)),0,VLOOKUP($U$99,'TAR FIN'!$A$1:$O$115,15,0))</f>
        <v>270.3</v>
      </c>
      <c r="Y99" s="6"/>
      <c r="Z99" s="6">
        <f ca="1">('TUSD BE'!$AM$15+'TUSD BF'!$AM$15+'TUSD CVA'!$AM$15)*1</f>
        <v>1480.1280206491922</v>
      </c>
      <c r="AA99" s="6">
        <f>('TE BE'!$AB$8+'TE BF'!$AB$8+'TE CVA'!$AB$8)*1</f>
        <v>362.64398683254075</v>
      </c>
      <c r="AB99" s="6">
        <f>$K$99*$V$99</f>
        <v>0</v>
      </c>
      <c r="AC99" s="6">
        <f>$M$99*$W$99</f>
        <v>-9041.510400000001</v>
      </c>
      <c r="AD99" s="6">
        <f>$O$99*$X$99</f>
        <v>-1686.672</v>
      </c>
      <c r="AE99" s="6">
        <f>$K$99*$Y$99</f>
        <v>0</v>
      </c>
      <c r="AF99" s="6">
        <f ca="1">$M$99*$Z$99</f>
        <v>-9235.9988488509589</v>
      </c>
      <c r="AG99" s="6">
        <f>$O$99*$AA$99</f>
        <v>-2262.8984778350546</v>
      </c>
    </row>
    <row r="100" spans="1:33" ht="11.25" customHeight="1" x14ac:dyDescent="0.25">
      <c r="A100" s="4" t="s">
        <v>21</v>
      </c>
      <c r="B100" s="4" t="s">
        <v>43</v>
      </c>
      <c r="C100" s="4" t="s">
        <v>44</v>
      </c>
      <c r="D100" s="4" t="s">
        <v>40</v>
      </c>
      <c r="E100" s="4" t="s">
        <v>25</v>
      </c>
      <c r="F100" s="4" t="s">
        <v>25</v>
      </c>
      <c r="G100" s="4" t="s">
        <v>25</v>
      </c>
      <c r="H100" s="4" t="s">
        <v>36</v>
      </c>
      <c r="I100" s="5">
        <v>44805</v>
      </c>
      <c r="J100" s="6">
        <v>0</v>
      </c>
      <c r="K100" s="6">
        <v>0</v>
      </c>
      <c r="L100" s="6">
        <v>13.198</v>
      </c>
      <c r="M100" s="6">
        <v>13.198</v>
      </c>
      <c r="N100" s="6">
        <v>13.198</v>
      </c>
      <c r="O100" s="6">
        <v>13.198</v>
      </c>
      <c r="P100" s="6">
        <v>0</v>
      </c>
      <c r="Q100" s="4" t="s">
        <v>26</v>
      </c>
      <c r="R100" s="4">
        <v>0</v>
      </c>
      <c r="S100" s="6">
        <v>0</v>
      </c>
      <c r="T100" s="6">
        <v>13</v>
      </c>
      <c r="U100" s="6">
        <v>71</v>
      </c>
      <c r="V100" s="6">
        <f>IF(ISERROR(VLOOKUP($S$100,'TAR FIN'!$A$1:$O$115,15,0)),0,VLOOKUP($S$100,'TAR FIN'!$A$1:$O$115,15,0))</f>
        <v>0</v>
      </c>
      <c r="W100" s="6">
        <f>IF(ISERROR(VLOOKUP($T$100,'TAR FIN'!$A$1:$O$115,15,0)),0,VLOOKUP($T$100,'TAR FIN'!$A$1:$O$115,15,0))</f>
        <v>1448.96</v>
      </c>
      <c r="X100" s="6">
        <f>IF(ISERROR(VLOOKUP($U$100,'TAR FIN'!$A$1:$O$115,15,0)),0,VLOOKUP($U$100,'TAR FIN'!$A$1:$O$115,15,0))</f>
        <v>270.3</v>
      </c>
      <c r="Y100" s="6"/>
      <c r="Z100" s="6">
        <f ca="1">('TUSD BE'!$AM$15+'TUSD BF'!$AM$15+'TUSD CVA'!$AM$15)*1</f>
        <v>1480.1280206491922</v>
      </c>
      <c r="AA100" s="6">
        <f>('TE BE'!$AB$8+'TE BF'!$AB$8+'TE CVA'!$AB$8)*1</f>
        <v>362.64398683254075</v>
      </c>
      <c r="AB100" s="6">
        <f>$K$100*$V$100</f>
        <v>0</v>
      </c>
      <c r="AC100" s="6">
        <f>$M$100*$W$100</f>
        <v>19123.374080000001</v>
      </c>
      <c r="AD100" s="6">
        <f>$O$100*$X$100</f>
        <v>3567.4194000000002</v>
      </c>
      <c r="AE100" s="6">
        <f>$K$100*$Y$100</f>
        <v>0</v>
      </c>
      <c r="AF100" s="6">
        <f ca="1">$M$100*$Z$100</f>
        <v>19534.729616528039</v>
      </c>
      <c r="AG100" s="6">
        <f>$O$100*$AA$100</f>
        <v>4786.1753382158731</v>
      </c>
    </row>
    <row r="101" spans="1:33" ht="11.25" customHeight="1" x14ac:dyDescent="0.25">
      <c r="A101" s="4" t="s">
        <v>27</v>
      </c>
      <c r="B101" s="4" t="s">
        <v>43</v>
      </c>
      <c r="C101" s="4" t="s">
        <v>44</v>
      </c>
      <c r="D101" s="4" t="s">
        <v>40</v>
      </c>
      <c r="E101" s="4" t="s">
        <v>25</v>
      </c>
      <c r="F101" s="4" t="s">
        <v>25</v>
      </c>
      <c r="G101" s="4" t="s">
        <v>25</v>
      </c>
      <c r="H101" s="4" t="s">
        <v>36</v>
      </c>
      <c r="I101" s="5">
        <v>44805</v>
      </c>
      <c r="J101" s="6">
        <v>0</v>
      </c>
      <c r="K101" s="6">
        <v>0</v>
      </c>
      <c r="L101" s="6">
        <v>1.0429999999999999</v>
      </c>
      <c r="M101" s="6">
        <v>1.0429999999999999</v>
      </c>
      <c r="N101" s="6">
        <v>1.0429999999999999</v>
      </c>
      <c r="O101" s="6">
        <v>1.0429999999999999</v>
      </c>
      <c r="P101" s="6">
        <v>0</v>
      </c>
      <c r="Q101" s="4" t="s">
        <v>26</v>
      </c>
      <c r="R101" s="4">
        <v>0</v>
      </c>
      <c r="S101" s="6">
        <v>0</v>
      </c>
      <c r="T101" s="6">
        <v>13</v>
      </c>
      <c r="U101" s="6">
        <v>71</v>
      </c>
      <c r="V101" s="6">
        <f>IF(ISERROR(VLOOKUP($S$101,'TAR FIN'!$A$1:$O$115,15,0)),0,VLOOKUP($S$101,'TAR FIN'!$A$1:$O$115,15,0))</f>
        <v>0</v>
      </c>
      <c r="W101" s="6">
        <f>IF(ISERROR(VLOOKUP($T$101,'TAR FIN'!$A$1:$O$115,15,0)),0,VLOOKUP($T$101,'TAR FIN'!$A$1:$O$115,15,0))</f>
        <v>1448.96</v>
      </c>
      <c r="X101" s="6">
        <f>IF(ISERROR(VLOOKUP($U$101,'TAR FIN'!$A$1:$O$115,15,0)),0,VLOOKUP($U$101,'TAR FIN'!$A$1:$O$115,15,0))</f>
        <v>270.3</v>
      </c>
      <c r="Y101" s="6"/>
      <c r="Z101" s="6">
        <f ca="1">('TUSD BE'!$AM$15+'TUSD BF'!$AM$15+'TUSD CVA'!$AM$15)*1</f>
        <v>1480.1280206491922</v>
      </c>
      <c r="AA101" s="6">
        <f>('TE BE'!$AB$8+'TE BF'!$AB$8+'TE CVA'!$AB$8)*1</f>
        <v>362.64398683254075</v>
      </c>
      <c r="AB101" s="6">
        <f>$K$101*$V$101</f>
        <v>0</v>
      </c>
      <c r="AC101" s="6">
        <f>$M$101*$W$101</f>
        <v>1511.2652799999998</v>
      </c>
      <c r="AD101" s="6">
        <f>$O$101*$X$101</f>
        <v>281.92289999999997</v>
      </c>
      <c r="AE101" s="6">
        <f>$K$101*$Y$101</f>
        <v>0</v>
      </c>
      <c r="AF101" s="6">
        <f ca="1">$M$101*$Z$101</f>
        <v>1543.7735255371074</v>
      </c>
      <c r="AG101" s="6">
        <f>$O$101*$AA$101</f>
        <v>378.23767826633997</v>
      </c>
    </row>
    <row r="102" spans="1:33" ht="11.25" customHeight="1" x14ac:dyDescent="0.25">
      <c r="A102" s="4" t="s">
        <v>21</v>
      </c>
      <c r="B102" s="4" t="s">
        <v>43</v>
      </c>
      <c r="C102" s="4" t="s">
        <v>44</v>
      </c>
      <c r="D102" s="4" t="s">
        <v>40</v>
      </c>
      <c r="E102" s="4" t="s">
        <v>25</v>
      </c>
      <c r="F102" s="4" t="s">
        <v>25</v>
      </c>
      <c r="G102" s="4" t="s">
        <v>25</v>
      </c>
      <c r="H102" s="4" t="s">
        <v>36</v>
      </c>
      <c r="I102" s="5">
        <v>44835</v>
      </c>
      <c r="J102" s="6">
        <v>0</v>
      </c>
      <c r="K102" s="6">
        <v>0</v>
      </c>
      <c r="L102" s="6">
        <v>12.943</v>
      </c>
      <c r="M102" s="6">
        <v>12.943</v>
      </c>
      <c r="N102" s="6">
        <v>12.943</v>
      </c>
      <c r="O102" s="6">
        <v>12.943</v>
      </c>
      <c r="P102" s="6">
        <v>0</v>
      </c>
      <c r="Q102" s="4" t="s">
        <v>26</v>
      </c>
      <c r="R102" s="4">
        <v>0</v>
      </c>
      <c r="S102" s="6">
        <v>0</v>
      </c>
      <c r="T102" s="6">
        <v>13</v>
      </c>
      <c r="U102" s="6">
        <v>71</v>
      </c>
      <c r="V102" s="6">
        <f>IF(ISERROR(VLOOKUP($S$102,'TAR FIN'!$A$1:$O$115,15,0)),0,VLOOKUP($S$102,'TAR FIN'!$A$1:$O$115,15,0))</f>
        <v>0</v>
      </c>
      <c r="W102" s="6">
        <f>IF(ISERROR(VLOOKUP($T$102,'TAR FIN'!$A$1:$O$115,15,0)),0,VLOOKUP($T$102,'TAR FIN'!$A$1:$O$115,15,0))</f>
        <v>1448.96</v>
      </c>
      <c r="X102" s="6">
        <f>IF(ISERROR(VLOOKUP($U$102,'TAR FIN'!$A$1:$O$115,15,0)),0,VLOOKUP($U$102,'TAR FIN'!$A$1:$O$115,15,0))</f>
        <v>270.3</v>
      </c>
      <c r="Y102" s="6"/>
      <c r="Z102" s="6">
        <f ca="1">('TUSD BE'!$AM$15+'TUSD BF'!$AM$15+'TUSD CVA'!$AM$15)*1</f>
        <v>1480.1280206491922</v>
      </c>
      <c r="AA102" s="6">
        <f>('TE BE'!$AB$8+'TE BF'!$AB$8+'TE CVA'!$AB$8)*1</f>
        <v>362.64398683254075</v>
      </c>
      <c r="AB102" s="6">
        <f>$K$102*$V$102</f>
        <v>0</v>
      </c>
      <c r="AC102" s="6">
        <f>$M$102*$W$102</f>
        <v>18753.889279999999</v>
      </c>
      <c r="AD102" s="6">
        <f>$O$102*$X$102</f>
        <v>3498.4929000000002</v>
      </c>
      <c r="AE102" s="6">
        <f>$K$102*$Y$102</f>
        <v>0</v>
      </c>
      <c r="AF102" s="6">
        <f ca="1">$M$102*$Z$102</f>
        <v>19157.296971262494</v>
      </c>
      <c r="AG102" s="6">
        <f>$O$102*$AA$102</f>
        <v>4693.7011215735747</v>
      </c>
    </row>
    <row r="103" spans="1:33" ht="11.25" customHeight="1" x14ac:dyDescent="0.25">
      <c r="A103" s="4" t="s">
        <v>30</v>
      </c>
      <c r="B103" s="4" t="s">
        <v>43</v>
      </c>
      <c r="C103" s="4" t="s">
        <v>44</v>
      </c>
      <c r="D103" s="4" t="s">
        <v>40</v>
      </c>
      <c r="E103" s="4" t="s">
        <v>25</v>
      </c>
      <c r="F103" s="4" t="s">
        <v>25</v>
      </c>
      <c r="G103" s="4" t="s">
        <v>25</v>
      </c>
      <c r="H103" s="4" t="s">
        <v>36</v>
      </c>
      <c r="I103" s="5">
        <v>44835</v>
      </c>
      <c r="J103" s="6">
        <v>0</v>
      </c>
      <c r="K103" s="6">
        <v>0</v>
      </c>
      <c r="L103" s="6">
        <v>1.4999999999999999E-2</v>
      </c>
      <c r="M103" s="6">
        <v>1.4999999999999999E-2</v>
      </c>
      <c r="N103" s="6">
        <v>1.4999999999999999E-2</v>
      </c>
      <c r="O103" s="6">
        <v>1.4999999999999999E-2</v>
      </c>
      <c r="P103" s="6">
        <v>0</v>
      </c>
      <c r="Q103" s="4" t="s">
        <v>26</v>
      </c>
      <c r="R103" s="4">
        <v>0</v>
      </c>
      <c r="S103" s="6">
        <v>0</v>
      </c>
      <c r="T103" s="6">
        <v>13</v>
      </c>
      <c r="U103" s="6">
        <v>71</v>
      </c>
      <c r="V103" s="6">
        <f>IF(ISERROR(VLOOKUP($S$103,'TAR FIN'!$A$1:$O$115,15,0)),0,VLOOKUP($S$103,'TAR FIN'!$A$1:$O$115,15,0))</f>
        <v>0</v>
      </c>
      <c r="W103" s="6">
        <f>IF(ISERROR(VLOOKUP($T$103,'TAR FIN'!$A$1:$O$115,15,0)),0,VLOOKUP($T$103,'TAR FIN'!$A$1:$O$115,15,0))</f>
        <v>1448.96</v>
      </c>
      <c r="X103" s="6">
        <f>IF(ISERROR(VLOOKUP($U$103,'TAR FIN'!$A$1:$O$115,15,0)),0,VLOOKUP($U$103,'TAR FIN'!$A$1:$O$115,15,0))</f>
        <v>270.3</v>
      </c>
      <c r="Y103" s="6"/>
      <c r="Z103" s="6">
        <f ca="1">('TUSD BE'!$AM$15+'TUSD BF'!$AM$15+'TUSD CVA'!$AM$15)*1</f>
        <v>1480.1280206491922</v>
      </c>
      <c r="AA103" s="6">
        <f>('TE BE'!$AB$8+'TE BF'!$AB$8+'TE CVA'!$AB$8)*1</f>
        <v>362.64398683254075</v>
      </c>
      <c r="AB103" s="6">
        <f>$K$103*$V$103</f>
        <v>0</v>
      </c>
      <c r="AC103" s="6">
        <f>$M$103*$W$103</f>
        <v>21.734400000000001</v>
      </c>
      <c r="AD103" s="6">
        <f>$O$103*$X$103</f>
        <v>4.0545</v>
      </c>
      <c r="AE103" s="6">
        <f>$K$103*$Y$103</f>
        <v>0</v>
      </c>
      <c r="AF103" s="6">
        <f ca="1">$M$103*$Z$103</f>
        <v>22.201920309737883</v>
      </c>
      <c r="AG103" s="6">
        <f>$O$103*$AA$103</f>
        <v>5.4396598024881113</v>
      </c>
    </row>
    <row r="104" spans="1:33" ht="11.25" customHeight="1" x14ac:dyDescent="0.25">
      <c r="A104" s="4" t="s">
        <v>59</v>
      </c>
      <c r="B104" s="4" t="s">
        <v>43</v>
      </c>
      <c r="C104" s="4" t="s">
        <v>44</v>
      </c>
      <c r="D104" s="4" t="s">
        <v>40</v>
      </c>
      <c r="E104" s="4" t="s">
        <v>25</v>
      </c>
      <c r="F104" s="4" t="s">
        <v>25</v>
      </c>
      <c r="G104" s="4" t="s">
        <v>25</v>
      </c>
      <c r="H104" s="4" t="s">
        <v>36</v>
      </c>
      <c r="I104" s="5">
        <v>44866</v>
      </c>
      <c r="J104" s="6">
        <v>0</v>
      </c>
      <c r="K104" s="6">
        <v>0</v>
      </c>
      <c r="L104" s="6">
        <v>12.943</v>
      </c>
      <c r="M104" s="6">
        <v>12.943</v>
      </c>
      <c r="N104" s="6">
        <v>12.943</v>
      </c>
      <c r="O104" s="6">
        <v>12.943</v>
      </c>
      <c r="P104" s="6">
        <v>0</v>
      </c>
      <c r="Q104" s="4" t="s">
        <v>26</v>
      </c>
      <c r="R104" s="4">
        <v>0</v>
      </c>
      <c r="S104" s="6">
        <v>0</v>
      </c>
      <c r="T104" s="6">
        <v>13</v>
      </c>
      <c r="U104" s="6">
        <v>71</v>
      </c>
      <c r="V104" s="6">
        <f>IF(ISERROR(VLOOKUP($S$104,'TAR FIN'!$A$1:$O$115,15,0)),0,VLOOKUP($S$104,'TAR FIN'!$A$1:$O$115,15,0))</f>
        <v>0</v>
      </c>
      <c r="W104" s="6">
        <f>IF(ISERROR(VLOOKUP($T$104,'TAR FIN'!$A$1:$O$115,15,0)),0,VLOOKUP($T$104,'TAR FIN'!$A$1:$O$115,15,0))</f>
        <v>1448.96</v>
      </c>
      <c r="X104" s="6">
        <f>IF(ISERROR(VLOOKUP($U$104,'TAR FIN'!$A$1:$O$115,15,0)),0,VLOOKUP($U$104,'TAR FIN'!$A$1:$O$115,15,0))</f>
        <v>270.3</v>
      </c>
      <c r="Y104" s="6"/>
      <c r="Z104" s="6">
        <f ca="1">('TUSD BE'!$AM$15+'TUSD BF'!$AM$15+'TUSD CVA'!$AM$15)*1</f>
        <v>1480.1280206491922</v>
      </c>
      <c r="AA104" s="6">
        <f>('TE BE'!$AB$8+'TE BF'!$AB$8+'TE CVA'!$AB$8)*1</f>
        <v>362.64398683254075</v>
      </c>
      <c r="AB104" s="6">
        <f>$K$104*$V$104</f>
        <v>0</v>
      </c>
      <c r="AC104" s="6">
        <f>$M$104*$W$104</f>
        <v>18753.889279999999</v>
      </c>
      <c r="AD104" s="6">
        <f>$O$104*$X$104</f>
        <v>3498.4929000000002</v>
      </c>
      <c r="AE104" s="6">
        <f>$K$104*$Y$104</f>
        <v>0</v>
      </c>
      <c r="AF104" s="6">
        <f ca="1">$M$104*$Z$104</f>
        <v>19157.296971262494</v>
      </c>
      <c r="AG104" s="6">
        <f>$O$104*$AA$104</f>
        <v>4693.7011215735747</v>
      </c>
    </row>
    <row r="105" spans="1:33" ht="11.25" customHeight="1" x14ac:dyDescent="0.25">
      <c r="A105" s="4" t="s">
        <v>59</v>
      </c>
      <c r="B105" s="4" t="s">
        <v>43</v>
      </c>
      <c r="C105" s="4" t="s">
        <v>44</v>
      </c>
      <c r="D105" s="4" t="s">
        <v>40</v>
      </c>
      <c r="E105" s="4" t="s">
        <v>25</v>
      </c>
      <c r="F105" s="4" t="s">
        <v>25</v>
      </c>
      <c r="G105" s="4" t="s">
        <v>25</v>
      </c>
      <c r="H105" s="4" t="s">
        <v>36</v>
      </c>
      <c r="I105" s="5">
        <v>44866</v>
      </c>
      <c r="J105" s="6">
        <v>0</v>
      </c>
      <c r="K105" s="6">
        <v>0</v>
      </c>
      <c r="L105" s="6">
        <v>1.4999999999999999E-2</v>
      </c>
      <c r="M105" s="6">
        <v>1.4999999999999999E-2</v>
      </c>
      <c r="N105" s="6">
        <v>1.4999999999999999E-2</v>
      </c>
      <c r="O105" s="6">
        <v>1.4999999999999999E-2</v>
      </c>
      <c r="P105" s="6">
        <v>0</v>
      </c>
      <c r="Q105" s="4" t="s">
        <v>26</v>
      </c>
      <c r="R105" s="4">
        <v>0</v>
      </c>
      <c r="S105" s="6">
        <v>0</v>
      </c>
      <c r="T105" s="6">
        <v>13</v>
      </c>
      <c r="U105" s="6">
        <v>71</v>
      </c>
      <c r="V105" s="6">
        <f>IF(ISERROR(VLOOKUP($S$105,'TAR FIN'!$A$1:$O$115,15,0)),0,VLOOKUP($S$105,'TAR FIN'!$A$1:$O$115,15,0))</f>
        <v>0</v>
      </c>
      <c r="W105" s="6">
        <f>IF(ISERROR(VLOOKUP($T$105,'TAR FIN'!$A$1:$O$115,15,0)),0,VLOOKUP($T$105,'TAR FIN'!$A$1:$O$115,15,0))</f>
        <v>1448.96</v>
      </c>
      <c r="X105" s="6">
        <f>IF(ISERROR(VLOOKUP($U$105,'TAR FIN'!$A$1:$O$115,15,0)),0,VLOOKUP($U$105,'TAR FIN'!$A$1:$O$115,15,0))</f>
        <v>270.3</v>
      </c>
      <c r="Y105" s="6"/>
      <c r="Z105" s="6">
        <f ca="1">('TUSD BE'!$AM$15+'TUSD BF'!$AM$15+'TUSD CVA'!$AM$15)*1</f>
        <v>1480.1280206491922</v>
      </c>
      <c r="AA105" s="6">
        <f>('TE BE'!$AB$8+'TE BF'!$AB$8+'TE CVA'!$AB$8)*1</f>
        <v>362.64398683254075</v>
      </c>
      <c r="AB105" s="6">
        <f>$K$105*$V$105</f>
        <v>0</v>
      </c>
      <c r="AC105" s="6">
        <f>$M$105*$W$105</f>
        <v>21.734400000000001</v>
      </c>
      <c r="AD105" s="6">
        <f>$O$105*$X$105</f>
        <v>4.0545</v>
      </c>
      <c r="AE105" s="6">
        <f>$K$105*$Y$105</f>
        <v>0</v>
      </c>
      <c r="AF105" s="6">
        <f ca="1">$M$105*$Z$105</f>
        <v>22.201920309737883</v>
      </c>
      <c r="AG105" s="6">
        <f>$O$105*$AA$105</f>
        <v>5.4396598024881113</v>
      </c>
    </row>
    <row r="106" spans="1:33" ht="11.25" customHeight="1" x14ac:dyDescent="0.25">
      <c r="A106" s="4" t="s">
        <v>21</v>
      </c>
      <c r="B106" s="4" t="s">
        <v>43</v>
      </c>
      <c r="C106" s="4" t="s">
        <v>44</v>
      </c>
      <c r="D106" s="4" t="s">
        <v>47</v>
      </c>
      <c r="E106" s="4" t="s">
        <v>55</v>
      </c>
      <c r="F106" s="4" t="s">
        <v>57</v>
      </c>
      <c r="G106" s="4" t="s">
        <v>25</v>
      </c>
      <c r="H106" s="4" t="s">
        <v>37</v>
      </c>
      <c r="I106" s="5">
        <v>44713</v>
      </c>
      <c r="J106" s="6">
        <v>0</v>
      </c>
      <c r="K106" s="6">
        <v>0</v>
      </c>
      <c r="L106" s="6">
        <v>0.68300000000000005</v>
      </c>
      <c r="M106" s="6">
        <v>0.1366</v>
      </c>
      <c r="N106" s="6">
        <v>0.68300000000000005</v>
      </c>
      <c r="O106" s="6">
        <v>0.1366</v>
      </c>
      <c r="P106" s="6">
        <v>0</v>
      </c>
      <c r="Q106" s="4" t="s">
        <v>26</v>
      </c>
      <c r="R106" s="4">
        <v>0</v>
      </c>
      <c r="S106" s="6">
        <v>0</v>
      </c>
      <c r="T106" s="6">
        <v>14</v>
      </c>
      <c r="U106" s="6">
        <v>72</v>
      </c>
      <c r="V106" s="6">
        <f>IF(ISERROR(VLOOKUP($S$106,'TAR FIN'!$A$1:$O$115,15,0)),0,VLOOKUP($S$106,'TAR FIN'!$A$1:$O$115,15,0))</f>
        <v>0</v>
      </c>
      <c r="W106" s="6">
        <f>IF(ISERROR(VLOOKUP($T$106,'TAR FIN'!$A$1:$O$115,15,0)),0,VLOOKUP($T$106,'TAR FIN'!$A$1:$O$115,15,0))</f>
        <v>84.31</v>
      </c>
      <c r="X106" s="6">
        <f>IF(ISERROR(VLOOKUP($U$106,'TAR FIN'!$A$1:$O$115,15,0)),0,VLOOKUP($U$106,'TAR FIN'!$A$1:$O$115,15,0))</f>
        <v>168.06</v>
      </c>
      <c r="Y106" s="6"/>
      <c r="Z106" s="6">
        <f ca="1">('TUSD BE'!$AM$16+'TUSD BF'!$AM$16+'TUSD CVA'!$AM$16)*1</f>
        <v>113.43121292628391</v>
      </c>
      <c r="AA106" s="6">
        <f>('TE BE'!$AB$9+'TE BF'!$AB$9+'TE CVA'!$AB$9)*1</f>
        <v>218.6854278594964</v>
      </c>
      <c r="AB106" s="6">
        <f>$K$106*$V$106</f>
        <v>0</v>
      </c>
      <c r="AC106" s="6">
        <f>$M$106*$W$106</f>
        <v>11.516745999999999</v>
      </c>
      <c r="AD106" s="6">
        <f>$O$106*$X$106</f>
        <v>22.956996</v>
      </c>
      <c r="AE106" s="6">
        <f>$K$106*$Y$106</f>
        <v>0</v>
      </c>
      <c r="AF106" s="6">
        <f ca="1">$M$106*$Z$106</f>
        <v>15.494703685730382</v>
      </c>
      <c r="AG106" s="6">
        <f>$O$106*$AA$106</f>
        <v>29.872429445607207</v>
      </c>
    </row>
    <row r="107" spans="1:33" ht="11.25" customHeight="1" x14ac:dyDescent="0.25">
      <c r="A107" s="4" t="s">
        <v>21</v>
      </c>
      <c r="B107" s="4" t="s">
        <v>43</v>
      </c>
      <c r="C107" s="4" t="s">
        <v>44</v>
      </c>
      <c r="D107" s="4" t="s">
        <v>47</v>
      </c>
      <c r="E107" s="4" t="s">
        <v>55</v>
      </c>
      <c r="F107" s="4" t="s">
        <v>57</v>
      </c>
      <c r="G107" s="4" t="s">
        <v>25</v>
      </c>
      <c r="H107" s="4" t="s">
        <v>37</v>
      </c>
      <c r="I107" s="5">
        <v>44743</v>
      </c>
      <c r="J107" s="6">
        <v>0</v>
      </c>
      <c r="K107" s="6">
        <v>0</v>
      </c>
      <c r="L107" s="6">
        <v>1.639</v>
      </c>
      <c r="M107" s="6">
        <v>0.32779999999999998</v>
      </c>
      <c r="N107" s="6">
        <v>1.639</v>
      </c>
      <c r="O107" s="6">
        <v>0.32779999999999998</v>
      </c>
      <c r="P107" s="6">
        <v>0</v>
      </c>
      <c r="Q107" s="4" t="s">
        <v>26</v>
      </c>
      <c r="R107" s="4">
        <v>0</v>
      </c>
      <c r="S107" s="6">
        <v>0</v>
      </c>
      <c r="T107" s="6">
        <v>14</v>
      </c>
      <c r="U107" s="6">
        <v>72</v>
      </c>
      <c r="V107" s="6">
        <f>IF(ISERROR(VLOOKUP($S$107,'TAR FIN'!$A$1:$O$115,15,0)),0,VLOOKUP($S$107,'TAR FIN'!$A$1:$O$115,15,0))</f>
        <v>0</v>
      </c>
      <c r="W107" s="6">
        <f>IF(ISERROR(VLOOKUP($T$107,'TAR FIN'!$A$1:$O$115,15,0)),0,VLOOKUP($T$107,'TAR FIN'!$A$1:$O$115,15,0))</f>
        <v>84.31</v>
      </c>
      <c r="X107" s="6">
        <f>IF(ISERROR(VLOOKUP($U$107,'TAR FIN'!$A$1:$O$115,15,0)),0,VLOOKUP($U$107,'TAR FIN'!$A$1:$O$115,15,0))</f>
        <v>168.06</v>
      </c>
      <c r="Y107" s="6"/>
      <c r="Z107" s="6">
        <f ca="1">('TUSD BE'!$AM$16+'TUSD BF'!$AM$16+'TUSD CVA'!$AM$16)*1</f>
        <v>113.43121292628391</v>
      </c>
      <c r="AA107" s="6">
        <f>('TE BE'!$AB$9+'TE BF'!$AB$9+'TE CVA'!$AB$9)*1</f>
        <v>218.6854278594964</v>
      </c>
      <c r="AB107" s="6">
        <f>$K$107*$V$107</f>
        <v>0</v>
      </c>
      <c r="AC107" s="6">
        <f>$M$107*$W$107</f>
        <v>27.636817999999998</v>
      </c>
      <c r="AD107" s="6">
        <f>$O$107*$X$107</f>
        <v>55.090067999999995</v>
      </c>
      <c r="AE107" s="6">
        <f>$K$107*$Y$107</f>
        <v>0</v>
      </c>
      <c r="AF107" s="6">
        <f ca="1">$M$107*$Z$107</f>
        <v>37.182751597235864</v>
      </c>
      <c r="AG107" s="6">
        <f>$O$107*$AA$107</f>
        <v>71.68508325234292</v>
      </c>
    </row>
    <row r="108" spans="1:33" ht="11.25" customHeight="1" x14ac:dyDescent="0.25">
      <c r="A108" s="4" t="s">
        <v>21</v>
      </c>
      <c r="B108" s="4" t="s">
        <v>43</v>
      </c>
      <c r="C108" s="4" t="s">
        <v>44</v>
      </c>
      <c r="D108" s="4" t="s">
        <v>47</v>
      </c>
      <c r="E108" s="4" t="s">
        <v>55</v>
      </c>
      <c r="F108" s="4" t="s">
        <v>57</v>
      </c>
      <c r="G108" s="4" t="s">
        <v>25</v>
      </c>
      <c r="H108" s="4" t="s">
        <v>37</v>
      </c>
      <c r="I108" s="5">
        <v>44774</v>
      </c>
      <c r="J108" s="6">
        <v>0</v>
      </c>
      <c r="K108" s="6">
        <v>0</v>
      </c>
      <c r="L108" s="6">
        <v>1.837</v>
      </c>
      <c r="M108" s="6">
        <v>0.3674</v>
      </c>
      <c r="N108" s="6">
        <v>1.837</v>
      </c>
      <c r="O108" s="6">
        <v>0.3674</v>
      </c>
      <c r="P108" s="6">
        <v>0</v>
      </c>
      <c r="Q108" s="4" t="s">
        <v>26</v>
      </c>
      <c r="R108" s="4">
        <v>0</v>
      </c>
      <c r="S108" s="6">
        <v>0</v>
      </c>
      <c r="T108" s="6">
        <v>14</v>
      </c>
      <c r="U108" s="6">
        <v>72</v>
      </c>
      <c r="V108" s="6">
        <f>IF(ISERROR(VLOOKUP($S$108,'TAR FIN'!$A$1:$O$115,15,0)),0,VLOOKUP($S$108,'TAR FIN'!$A$1:$O$115,15,0))</f>
        <v>0</v>
      </c>
      <c r="W108" s="6">
        <f>IF(ISERROR(VLOOKUP($T$108,'TAR FIN'!$A$1:$O$115,15,0)),0,VLOOKUP($T$108,'TAR FIN'!$A$1:$O$115,15,0))</f>
        <v>84.31</v>
      </c>
      <c r="X108" s="6">
        <f>IF(ISERROR(VLOOKUP($U$108,'TAR FIN'!$A$1:$O$115,15,0)),0,VLOOKUP($U$108,'TAR FIN'!$A$1:$O$115,15,0))</f>
        <v>168.06</v>
      </c>
      <c r="Y108" s="6"/>
      <c r="Z108" s="6">
        <f ca="1">('TUSD BE'!$AM$16+'TUSD BF'!$AM$16+'TUSD CVA'!$AM$16)*1</f>
        <v>113.43121292628391</v>
      </c>
      <c r="AA108" s="6">
        <f>('TE BE'!$AB$9+'TE BF'!$AB$9+'TE CVA'!$AB$9)*1</f>
        <v>218.6854278594964</v>
      </c>
      <c r="AB108" s="6">
        <f>$K$108*$V$108</f>
        <v>0</v>
      </c>
      <c r="AC108" s="6">
        <f>$M$108*$W$108</f>
        <v>30.975494000000001</v>
      </c>
      <c r="AD108" s="6">
        <f>$O$108*$X$108</f>
        <v>61.745244</v>
      </c>
      <c r="AE108" s="6">
        <f>$K$108*$Y$108</f>
        <v>0</v>
      </c>
      <c r="AF108" s="6">
        <f ca="1">$M$108*$Z$108</f>
        <v>41.674627629116706</v>
      </c>
      <c r="AG108" s="6">
        <f>$O$108*$AA$108</f>
        <v>80.345026195578981</v>
      </c>
    </row>
    <row r="109" spans="1:33" ht="11.25" customHeight="1" x14ac:dyDescent="0.25">
      <c r="A109" s="4" t="s">
        <v>21</v>
      </c>
      <c r="B109" s="4" t="s">
        <v>43</v>
      </c>
      <c r="C109" s="4" t="s">
        <v>44</v>
      </c>
      <c r="D109" s="4" t="s">
        <v>47</v>
      </c>
      <c r="E109" s="4" t="s">
        <v>55</v>
      </c>
      <c r="F109" s="4" t="s">
        <v>57</v>
      </c>
      <c r="G109" s="4" t="s">
        <v>25</v>
      </c>
      <c r="H109" s="4" t="s">
        <v>37</v>
      </c>
      <c r="I109" s="5">
        <v>44805</v>
      </c>
      <c r="J109" s="6">
        <v>0</v>
      </c>
      <c r="K109" s="6">
        <v>0</v>
      </c>
      <c r="L109" s="6">
        <v>0.99299999999999999</v>
      </c>
      <c r="M109" s="6">
        <v>0.1986</v>
      </c>
      <c r="N109" s="6">
        <v>0.99299999999999999</v>
      </c>
      <c r="O109" s="6">
        <v>0.1986</v>
      </c>
      <c r="P109" s="6">
        <v>0</v>
      </c>
      <c r="Q109" s="4" t="s">
        <v>26</v>
      </c>
      <c r="R109" s="4">
        <v>0</v>
      </c>
      <c r="S109" s="6">
        <v>0</v>
      </c>
      <c r="T109" s="6">
        <v>14</v>
      </c>
      <c r="U109" s="6">
        <v>72</v>
      </c>
      <c r="V109" s="6">
        <f>IF(ISERROR(VLOOKUP($S$109,'TAR FIN'!$A$1:$O$115,15,0)),0,VLOOKUP($S$109,'TAR FIN'!$A$1:$O$115,15,0))</f>
        <v>0</v>
      </c>
      <c r="W109" s="6">
        <f>IF(ISERROR(VLOOKUP($T$109,'TAR FIN'!$A$1:$O$115,15,0)),0,VLOOKUP($T$109,'TAR FIN'!$A$1:$O$115,15,0))</f>
        <v>84.31</v>
      </c>
      <c r="X109" s="6">
        <f>IF(ISERROR(VLOOKUP($U$109,'TAR FIN'!$A$1:$O$115,15,0)),0,VLOOKUP($U$109,'TAR FIN'!$A$1:$O$115,15,0))</f>
        <v>168.06</v>
      </c>
      <c r="Y109" s="6"/>
      <c r="Z109" s="6">
        <f ca="1">('TUSD BE'!$AM$16+'TUSD BF'!$AM$16+'TUSD CVA'!$AM$16)*1</f>
        <v>113.43121292628391</v>
      </c>
      <c r="AA109" s="6">
        <f>('TE BE'!$AB$9+'TE BF'!$AB$9+'TE CVA'!$AB$9)*1</f>
        <v>218.6854278594964</v>
      </c>
      <c r="AB109" s="6">
        <f>$K$109*$V$109</f>
        <v>0</v>
      </c>
      <c r="AC109" s="6">
        <f>$M$109*$W$109</f>
        <v>16.743966</v>
      </c>
      <c r="AD109" s="6">
        <f>$O$109*$X$109</f>
        <v>33.376716000000002</v>
      </c>
      <c r="AE109" s="6">
        <f>$K$109*$Y$109</f>
        <v>0</v>
      </c>
      <c r="AF109" s="6">
        <f ca="1">$M$109*$Z$109</f>
        <v>22.527438887159985</v>
      </c>
      <c r="AG109" s="6">
        <f>$O$109*$AA$109</f>
        <v>43.430925972895984</v>
      </c>
    </row>
    <row r="110" spans="1:33" ht="11.25" customHeight="1" x14ac:dyDescent="0.25">
      <c r="A110" s="4" t="s">
        <v>21</v>
      </c>
      <c r="B110" s="4" t="s">
        <v>43</v>
      </c>
      <c r="C110" s="4" t="s">
        <v>44</v>
      </c>
      <c r="D110" s="4" t="s">
        <v>47</v>
      </c>
      <c r="E110" s="4" t="s">
        <v>55</v>
      </c>
      <c r="F110" s="4" t="s">
        <v>57</v>
      </c>
      <c r="G110" s="4" t="s">
        <v>25</v>
      </c>
      <c r="H110" s="4" t="s">
        <v>37</v>
      </c>
      <c r="I110" s="5">
        <v>44835</v>
      </c>
      <c r="J110" s="6">
        <v>0</v>
      </c>
      <c r="K110" s="6">
        <v>0</v>
      </c>
      <c r="L110" s="6">
        <v>1.141</v>
      </c>
      <c r="M110" s="6">
        <v>0.22819999999999999</v>
      </c>
      <c r="N110" s="6">
        <v>1.141</v>
      </c>
      <c r="O110" s="6">
        <v>0.22819999999999999</v>
      </c>
      <c r="P110" s="6">
        <v>0</v>
      </c>
      <c r="Q110" s="4" t="s">
        <v>26</v>
      </c>
      <c r="R110" s="4">
        <v>0</v>
      </c>
      <c r="S110" s="6">
        <v>0</v>
      </c>
      <c r="T110" s="6">
        <v>14</v>
      </c>
      <c r="U110" s="6">
        <v>72</v>
      </c>
      <c r="V110" s="6">
        <f>IF(ISERROR(VLOOKUP($S$110,'TAR FIN'!$A$1:$O$115,15,0)),0,VLOOKUP($S$110,'TAR FIN'!$A$1:$O$115,15,0))</f>
        <v>0</v>
      </c>
      <c r="W110" s="6">
        <f>IF(ISERROR(VLOOKUP($T$110,'TAR FIN'!$A$1:$O$115,15,0)),0,VLOOKUP($T$110,'TAR FIN'!$A$1:$O$115,15,0))</f>
        <v>84.31</v>
      </c>
      <c r="X110" s="6">
        <f>IF(ISERROR(VLOOKUP($U$110,'TAR FIN'!$A$1:$O$115,15,0)),0,VLOOKUP($U$110,'TAR FIN'!$A$1:$O$115,15,0))</f>
        <v>168.06</v>
      </c>
      <c r="Y110" s="6"/>
      <c r="Z110" s="6">
        <f ca="1">('TUSD BE'!$AM$16+'TUSD BF'!$AM$16+'TUSD CVA'!$AM$16)*1</f>
        <v>113.43121292628391</v>
      </c>
      <c r="AA110" s="6">
        <f>('TE BE'!$AB$9+'TE BF'!$AB$9+'TE CVA'!$AB$9)*1</f>
        <v>218.6854278594964</v>
      </c>
      <c r="AB110" s="6">
        <f>$K$110*$V$110</f>
        <v>0</v>
      </c>
      <c r="AC110" s="6">
        <f>$M$110*$W$110</f>
        <v>19.239542</v>
      </c>
      <c r="AD110" s="6">
        <f>$O$110*$X$110</f>
        <v>38.351292000000001</v>
      </c>
      <c r="AE110" s="6">
        <f>$K$110*$Y$110</f>
        <v>0</v>
      </c>
      <c r="AF110" s="6">
        <f ca="1">$M$110*$Z$110</f>
        <v>25.885002789777985</v>
      </c>
      <c r="AG110" s="6">
        <f>$O$110*$AA$110</f>
        <v>49.904014637537074</v>
      </c>
    </row>
    <row r="111" spans="1:33" ht="11.25" customHeight="1" x14ac:dyDescent="0.25">
      <c r="A111" s="4" t="s">
        <v>59</v>
      </c>
      <c r="B111" s="4" t="s">
        <v>43</v>
      </c>
      <c r="C111" s="4" t="s">
        <v>44</v>
      </c>
      <c r="D111" s="4" t="s">
        <v>47</v>
      </c>
      <c r="E111" s="4" t="s">
        <v>55</v>
      </c>
      <c r="F111" s="4" t="s">
        <v>57</v>
      </c>
      <c r="G111" s="4" t="s">
        <v>25</v>
      </c>
      <c r="H111" s="4" t="s">
        <v>37</v>
      </c>
      <c r="I111" s="5">
        <v>44866</v>
      </c>
      <c r="J111" s="6">
        <v>0</v>
      </c>
      <c r="K111" s="6">
        <v>0</v>
      </c>
      <c r="L111" s="6">
        <v>1.141</v>
      </c>
      <c r="M111" s="6">
        <v>0.22819999999999999</v>
      </c>
      <c r="N111" s="6">
        <v>1.141</v>
      </c>
      <c r="O111" s="6">
        <v>0.22819999999999999</v>
      </c>
      <c r="P111" s="6">
        <v>0</v>
      </c>
      <c r="Q111" s="4" t="s">
        <v>26</v>
      </c>
      <c r="R111" s="4">
        <v>0</v>
      </c>
      <c r="S111" s="6">
        <v>0</v>
      </c>
      <c r="T111" s="6">
        <v>14</v>
      </c>
      <c r="U111" s="6">
        <v>72</v>
      </c>
      <c r="V111" s="6">
        <f>IF(ISERROR(VLOOKUP($S$111,'TAR FIN'!$A$1:$O$115,15,0)),0,VLOOKUP($S$111,'TAR FIN'!$A$1:$O$115,15,0))</f>
        <v>0</v>
      </c>
      <c r="W111" s="6">
        <f>IF(ISERROR(VLOOKUP($T$111,'TAR FIN'!$A$1:$O$115,15,0)),0,VLOOKUP($T$111,'TAR FIN'!$A$1:$O$115,15,0))</f>
        <v>84.31</v>
      </c>
      <c r="X111" s="6">
        <f>IF(ISERROR(VLOOKUP($U$111,'TAR FIN'!$A$1:$O$115,15,0)),0,VLOOKUP($U$111,'TAR FIN'!$A$1:$O$115,15,0))</f>
        <v>168.06</v>
      </c>
      <c r="Y111" s="6"/>
      <c r="Z111" s="6">
        <f ca="1">('TUSD BE'!$AM$16+'TUSD BF'!$AM$16+'TUSD CVA'!$AM$16)*1</f>
        <v>113.43121292628391</v>
      </c>
      <c r="AA111" s="6">
        <f>('TE BE'!$AB$9+'TE BF'!$AB$9+'TE CVA'!$AB$9)*1</f>
        <v>218.6854278594964</v>
      </c>
      <c r="AB111" s="6">
        <f>$K$111*$V$111</f>
        <v>0</v>
      </c>
      <c r="AC111" s="6">
        <f>$M$111*$W$111</f>
        <v>19.239542</v>
      </c>
      <c r="AD111" s="6">
        <f>$O$111*$X$111</f>
        <v>38.351292000000001</v>
      </c>
      <c r="AE111" s="6">
        <f>$K$111*$Y$111</f>
        <v>0</v>
      </c>
      <c r="AF111" s="6">
        <f ca="1">$M$111*$Z$111</f>
        <v>25.885002789777985</v>
      </c>
      <c r="AG111" s="6">
        <f>$O$111*$AA$111</f>
        <v>49.904014637537074</v>
      </c>
    </row>
    <row r="112" spans="1:33" ht="11.25" customHeight="1" x14ac:dyDescent="0.25">
      <c r="A112" s="4" t="s">
        <v>21</v>
      </c>
      <c r="B112" s="4" t="s">
        <v>43</v>
      </c>
      <c r="C112" s="4" t="s">
        <v>44</v>
      </c>
      <c r="D112" s="4" t="s">
        <v>47</v>
      </c>
      <c r="E112" s="4" t="s">
        <v>55</v>
      </c>
      <c r="F112" s="4" t="s">
        <v>25</v>
      </c>
      <c r="G112" s="4" t="s">
        <v>25</v>
      </c>
      <c r="H112" s="4" t="s">
        <v>37</v>
      </c>
      <c r="I112" s="5">
        <v>44774</v>
      </c>
      <c r="J112" s="6">
        <v>0</v>
      </c>
      <c r="K112" s="42">
        <v>0</v>
      </c>
      <c r="L112" s="6">
        <v>0.73499999999999999</v>
      </c>
      <c r="M112" s="42">
        <v>0.73499999999999999</v>
      </c>
      <c r="N112" s="6">
        <v>0.73499999999999999</v>
      </c>
      <c r="O112" s="42">
        <v>0.73499999999999999</v>
      </c>
      <c r="P112" s="6">
        <v>0</v>
      </c>
      <c r="Q112" s="4" t="s">
        <v>26</v>
      </c>
      <c r="R112" s="4">
        <v>0</v>
      </c>
      <c r="S112" s="6">
        <v>0</v>
      </c>
      <c r="T112" s="6">
        <v>14</v>
      </c>
      <c r="U112" s="6">
        <v>72</v>
      </c>
      <c r="V112" s="42">
        <f>IF(ISERROR(VLOOKUP($S$112,'TAR FIN'!$A$1:$O$115,15,0)),0,VLOOKUP($S$112,'TAR FIN'!$A$1:$O$115,15,0))</f>
        <v>0</v>
      </c>
      <c r="W112" s="42">
        <f>IF(ISERROR(VLOOKUP($T$112,'TAR FIN'!$A$1:$O$115,15,0)),0,VLOOKUP($T$112,'TAR FIN'!$A$1:$O$115,15,0))*(1-0.04)</f>
        <v>80.937600000000003</v>
      </c>
      <c r="X112" s="42">
        <f>IF(ISERROR(VLOOKUP($U$112,'TAR FIN'!$A$1:$O$115,15,0)),0,VLOOKUP($U$112,'TAR FIN'!$A$1:$O$115,15,0))*(1-0.04)</f>
        <v>161.33760000000001</v>
      </c>
      <c r="Y112" s="42"/>
      <c r="Z112" s="42">
        <f ca="1">('TUSD BE'!$AM$16+'TUSD BF'!$AM$16+'TUSD CVA'!$AM$16)*1*(1-0.02)</f>
        <v>111.16258866775823</v>
      </c>
      <c r="AA112" s="42">
        <f>('TE BE'!$AB$9+'TE BF'!$AB$9+'TE CVA'!$AB$9)*1*(1-0.02)</f>
        <v>214.31171930230647</v>
      </c>
      <c r="AB112" s="6">
        <f>$K$112*$V$112</f>
        <v>0</v>
      </c>
      <c r="AC112" s="6">
        <f>$M$112*$W$112</f>
        <v>59.489136000000002</v>
      </c>
      <c r="AD112" s="6">
        <f>$O$112*$X$112</f>
        <v>118.58313600000001</v>
      </c>
      <c r="AE112" s="6">
        <f>$K$112*$Y$112</f>
        <v>0</v>
      </c>
      <c r="AF112" s="6">
        <f ca="1">$M$112*$Z$112</f>
        <v>81.704502670802299</v>
      </c>
      <c r="AG112" s="6">
        <f>$O$112*$AA$112</f>
        <v>157.51911368719524</v>
      </c>
    </row>
    <row r="113" spans="1:33" ht="11.25" customHeight="1" x14ac:dyDescent="0.25">
      <c r="A113" s="4" t="s">
        <v>21</v>
      </c>
      <c r="B113" s="4" t="s">
        <v>43</v>
      </c>
      <c r="C113" s="4" t="s">
        <v>44</v>
      </c>
      <c r="D113" s="4" t="s">
        <v>47</v>
      </c>
      <c r="E113" s="4" t="s">
        <v>55</v>
      </c>
      <c r="F113" s="4" t="s">
        <v>25</v>
      </c>
      <c r="G113" s="4" t="s">
        <v>25</v>
      </c>
      <c r="H113" s="4" t="s">
        <v>37</v>
      </c>
      <c r="I113" s="5">
        <v>44805</v>
      </c>
      <c r="J113" s="6">
        <v>0</v>
      </c>
      <c r="K113" s="42">
        <v>0</v>
      </c>
      <c r="L113" s="6">
        <v>0.71299999999999997</v>
      </c>
      <c r="M113" s="42">
        <v>0.71299999999999997</v>
      </c>
      <c r="N113" s="6">
        <v>0.71299999999999997</v>
      </c>
      <c r="O113" s="42">
        <v>0.71299999999999997</v>
      </c>
      <c r="P113" s="6">
        <v>0</v>
      </c>
      <c r="Q113" s="4" t="s">
        <v>26</v>
      </c>
      <c r="R113" s="4">
        <v>0</v>
      </c>
      <c r="S113" s="6">
        <v>0</v>
      </c>
      <c r="T113" s="6">
        <v>14</v>
      </c>
      <c r="U113" s="6">
        <v>72</v>
      </c>
      <c r="V113" s="42">
        <f>IF(ISERROR(VLOOKUP($S$113,'TAR FIN'!$A$1:$O$115,15,0)),0,VLOOKUP($S$113,'TAR FIN'!$A$1:$O$115,15,0))</f>
        <v>0</v>
      </c>
      <c r="W113" s="42">
        <f>IF(ISERROR(VLOOKUP($T$113,'TAR FIN'!$A$1:$O$115,15,0)),0,VLOOKUP($T$113,'TAR FIN'!$A$1:$O$115,15,0))*(1-0.04)</f>
        <v>80.937600000000003</v>
      </c>
      <c r="X113" s="42">
        <f>IF(ISERROR(VLOOKUP($U$113,'TAR FIN'!$A$1:$O$115,15,0)),0,VLOOKUP($U$113,'TAR FIN'!$A$1:$O$115,15,0))*(1-0.04)</f>
        <v>161.33760000000001</v>
      </c>
      <c r="Y113" s="42"/>
      <c r="Z113" s="42">
        <f ca="1">('TUSD BE'!$AM$16+'TUSD BF'!$AM$16+'TUSD CVA'!$AM$16)*1*(1-0.02)</f>
        <v>111.16258866775823</v>
      </c>
      <c r="AA113" s="42">
        <f>('TE BE'!$AB$9+'TE BF'!$AB$9+'TE CVA'!$AB$9)*1*(1-0.02)</f>
        <v>214.31171930230647</v>
      </c>
      <c r="AB113" s="6">
        <f>$K$113*$V$113</f>
        <v>0</v>
      </c>
      <c r="AC113" s="6">
        <f>$M$113*$W$113</f>
        <v>57.708508799999997</v>
      </c>
      <c r="AD113" s="6">
        <f>$O$113*$X$113</f>
        <v>115.0337088</v>
      </c>
      <c r="AE113" s="6">
        <f>$K$113*$Y$113</f>
        <v>0</v>
      </c>
      <c r="AF113" s="6">
        <f ca="1">$M$113*$Z$113</f>
        <v>79.25892572011162</v>
      </c>
      <c r="AG113" s="6">
        <f>$O$113*$AA$113</f>
        <v>152.80425586254449</v>
      </c>
    </row>
    <row r="114" spans="1:33" ht="11.25" customHeight="1" x14ac:dyDescent="0.25">
      <c r="A114" s="4" t="s">
        <v>21</v>
      </c>
      <c r="B114" s="4" t="s">
        <v>43</v>
      </c>
      <c r="C114" s="4" t="s">
        <v>44</v>
      </c>
      <c r="D114" s="4" t="s">
        <v>47</v>
      </c>
      <c r="E114" s="4" t="s">
        <v>55</v>
      </c>
      <c r="F114" s="4" t="s">
        <v>25</v>
      </c>
      <c r="G114" s="4" t="s">
        <v>25</v>
      </c>
      <c r="H114" s="4" t="s">
        <v>37</v>
      </c>
      <c r="I114" s="5">
        <v>44835</v>
      </c>
      <c r="J114" s="6">
        <v>0</v>
      </c>
      <c r="K114" s="42">
        <v>0</v>
      </c>
      <c r="L114" s="6">
        <v>0.50800000000000001</v>
      </c>
      <c r="M114" s="42">
        <v>0.50800000000000001</v>
      </c>
      <c r="N114" s="6">
        <v>0.50800000000000001</v>
      </c>
      <c r="O114" s="42">
        <v>0.50800000000000001</v>
      </c>
      <c r="P114" s="6">
        <v>0</v>
      </c>
      <c r="Q114" s="4" t="s">
        <v>26</v>
      </c>
      <c r="R114" s="4">
        <v>0</v>
      </c>
      <c r="S114" s="6">
        <v>0</v>
      </c>
      <c r="T114" s="6">
        <v>14</v>
      </c>
      <c r="U114" s="6">
        <v>72</v>
      </c>
      <c r="V114" s="42">
        <f>IF(ISERROR(VLOOKUP($S$114,'TAR FIN'!$A$1:$O$115,15,0)),0,VLOOKUP($S$114,'TAR FIN'!$A$1:$O$115,15,0))</f>
        <v>0</v>
      </c>
      <c r="W114" s="42">
        <f>IF(ISERROR(VLOOKUP($T$114,'TAR FIN'!$A$1:$O$115,15,0)),0,VLOOKUP($T$114,'TAR FIN'!$A$1:$O$115,15,0))*(1-0.04)</f>
        <v>80.937600000000003</v>
      </c>
      <c r="X114" s="42">
        <f>IF(ISERROR(VLOOKUP($U$114,'TAR FIN'!$A$1:$O$115,15,0)),0,VLOOKUP($U$114,'TAR FIN'!$A$1:$O$115,15,0))*(1-0.04)</f>
        <v>161.33760000000001</v>
      </c>
      <c r="Y114" s="42"/>
      <c r="Z114" s="42">
        <f ca="1">('TUSD BE'!$AM$16+'TUSD BF'!$AM$16+'TUSD CVA'!$AM$16)*1*(1-0.02)</f>
        <v>111.16258866775823</v>
      </c>
      <c r="AA114" s="42">
        <f>('TE BE'!$AB$9+'TE BF'!$AB$9+'TE CVA'!$AB$9)*1*(1-0.02)</f>
        <v>214.31171930230647</v>
      </c>
      <c r="AB114" s="6">
        <f>$K$114*$V$114</f>
        <v>0</v>
      </c>
      <c r="AC114" s="6">
        <f>$M$114*$W$114</f>
        <v>41.116300800000005</v>
      </c>
      <c r="AD114" s="6">
        <f>$O$114*$X$114</f>
        <v>81.959500800000001</v>
      </c>
      <c r="AE114" s="6">
        <f>$K$114*$Y$114</f>
        <v>0</v>
      </c>
      <c r="AF114" s="6">
        <f ca="1">$M$114*$Z$114</f>
        <v>56.470595043221181</v>
      </c>
      <c r="AG114" s="6">
        <f>$O$114*$AA$114</f>
        <v>108.87035340557169</v>
      </c>
    </row>
    <row r="115" spans="1:33" ht="11.25" customHeight="1" x14ac:dyDescent="0.25">
      <c r="A115" s="4" t="s">
        <v>59</v>
      </c>
      <c r="B115" s="4" t="s">
        <v>43</v>
      </c>
      <c r="C115" s="4" t="s">
        <v>44</v>
      </c>
      <c r="D115" s="4" t="s">
        <v>47</v>
      </c>
      <c r="E115" s="4" t="s">
        <v>55</v>
      </c>
      <c r="F115" s="4" t="s">
        <v>25</v>
      </c>
      <c r="G115" s="4" t="s">
        <v>25</v>
      </c>
      <c r="H115" s="4" t="s">
        <v>37</v>
      </c>
      <c r="I115" s="5">
        <v>44866</v>
      </c>
      <c r="J115" s="6">
        <v>0</v>
      </c>
      <c r="K115" s="42">
        <v>0</v>
      </c>
      <c r="L115" s="6">
        <v>0.50800000000000001</v>
      </c>
      <c r="M115" s="42">
        <v>0.50800000000000001</v>
      </c>
      <c r="N115" s="6">
        <v>0.50800000000000001</v>
      </c>
      <c r="O115" s="42">
        <v>0.50800000000000001</v>
      </c>
      <c r="P115" s="6">
        <v>0</v>
      </c>
      <c r="Q115" s="4" t="s">
        <v>26</v>
      </c>
      <c r="R115" s="4">
        <v>0</v>
      </c>
      <c r="S115" s="6">
        <v>0</v>
      </c>
      <c r="T115" s="6">
        <v>14</v>
      </c>
      <c r="U115" s="6">
        <v>72</v>
      </c>
      <c r="V115" s="42">
        <f>IF(ISERROR(VLOOKUP($S$115,'TAR FIN'!$A$1:$O$115,15,0)),0,VLOOKUP($S$115,'TAR FIN'!$A$1:$O$115,15,0))</f>
        <v>0</v>
      </c>
      <c r="W115" s="42">
        <f>IF(ISERROR(VLOOKUP($T$115,'TAR FIN'!$A$1:$O$115,15,0)),0,VLOOKUP($T$115,'TAR FIN'!$A$1:$O$115,15,0))*(1-0.04)</f>
        <v>80.937600000000003</v>
      </c>
      <c r="X115" s="42">
        <f>IF(ISERROR(VLOOKUP($U$115,'TAR FIN'!$A$1:$O$115,15,0)),0,VLOOKUP($U$115,'TAR FIN'!$A$1:$O$115,15,0))*(1-0.04)</f>
        <v>161.33760000000001</v>
      </c>
      <c r="Y115" s="42"/>
      <c r="Z115" s="42">
        <f ca="1">('TUSD BE'!$AM$16+'TUSD BF'!$AM$16+'TUSD CVA'!$AM$16)*1*(1-0.02)</f>
        <v>111.16258866775823</v>
      </c>
      <c r="AA115" s="42">
        <f>('TE BE'!$AB$9+'TE BF'!$AB$9+'TE CVA'!$AB$9)*1*(1-0.02)</f>
        <v>214.31171930230647</v>
      </c>
      <c r="AB115" s="6">
        <f>$K$115*$V$115</f>
        <v>0</v>
      </c>
      <c r="AC115" s="6">
        <f>$M$115*$W$115</f>
        <v>41.116300800000005</v>
      </c>
      <c r="AD115" s="6">
        <f>$O$115*$X$115</f>
        <v>81.959500800000001</v>
      </c>
      <c r="AE115" s="6">
        <f>$K$115*$Y$115</f>
        <v>0</v>
      </c>
      <c r="AF115" s="6">
        <f ca="1">$M$115*$Z$115</f>
        <v>56.470595043221181</v>
      </c>
      <c r="AG115" s="6">
        <f>$O$115*$AA$115</f>
        <v>108.87035340557169</v>
      </c>
    </row>
    <row r="116" spans="1:33" ht="11.25" customHeight="1" x14ac:dyDescent="0.25">
      <c r="A116" s="4" t="s">
        <v>21</v>
      </c>
      <c r="B116" s="4" t="s">
        <v>43</v>
      </c>
      <c r="C116" s="4" t="s">
        <v>44</v>
      </c>
      <c r="D116" s="4" t="s">
        <v>47</v>
      </c>
      <c r="E116" s="4" t="s">
        <v>55</v>
      </c>
      <c r="F116" s="4" t="s">
        <v>25</v>
      </c>
      <c r="G116" s="4" t="s">
        <v>25</v>
      </c>
      <c r="H116" s="4" t="s">
        <v>25</v>
      </c>
      <c r="I116" s="5">
        <v>44713</v>
      </c>
      <c r="J116" s="6">
        <v>15</v>
      </c>
      <c r="K116" s="42">
        <v>15</v>
      </c>
      <c r="L116" s="6">
        <v>0</v>
      </c>
      <c r="M116" s="42">
        <v>0</v>
      </c>
      <c r="N116" s="6">
        <v>0</v>
      </c>
      <c r="O116" s="42">
        <v>0</v>
      </c>
      <c r="P116" s="6">
        <v>1</v>
      </c>
      <c r="Q116" s="4" t="s">
        <v>26</v>
      </c>
      <c r="R116" s="4">
        <v>0</v>
      </c>
      <c r="S116" s="6">
        <v>12</v>
      </c>
      <c r="T116" s="6">
        <v>0</v>
      </c>
      <c r="U116" s="6">
        <v>0</v>
      </c>
      <c r="V116" s="42">
        <f>IF(ISERROR(VLOOKUP($S$116,'TAR FIN'!$A$1:$O$115,15,0)),0,VLOOKUP($S$116,'TAR FIN'!$A$1:$O$115,15,0))*(1-0.04)</f>
        <v>19.007999999999999</v>
      </c>
      <c r="W116" s="42">
        <f>IF(ISERROR(VLOOKUP($T$116,'TAR FIN'!$A$1:$O$115,15,0)),0,VLOOKUP($T$116,'TAR FIN'!$A$1:$O$115,15,0))</f>
        <v>0</v>
      </c>
      <c r="X116" s="42">
        <f>IF(ISERROR(VLOOKUP($U$116,'TAR FIN'!$A$1:$O$115,15,0)),0,VLOOKUP($U$116,'TAR FIN'!$A$1:$O$115,15,0))</f>
        <v>0</v>
      </c>
      <c r="Y116" s="42">
        <f ca="1">('TUSD BE'!$AM$14+'TUSD BF'!$AM$14+'TUSD CVA'!$AM$14)*1*(1-0.02)</f>
        <v>20.202910043621255</v>
      </c>
      <c r="Z116" s="42"/>
      <c r="AA116" s="42"/>
      <c r="AB116" s="6">
        <f>$K$116*$V$116</f>
        <v>285.12</v>
      </c>
      <c r="AC116" s="6">
        <f>$M$116*$W$116</f>
        <v>0</v>
      </c>
      <c r="AD116" s="6">
        <f>$O$116*$X$116</f>
        <v>0</v>
      </c>
      <c r="AE116" s="6">
        <f ca="1">$K$116*$Y$116</f>
        <v>303.04365065431881</v>
      </c>
      <c r="AF116" s="6">
        <f>$M$116*$Z$116</f>
        <v>0</v>
      </c>
      <c r="AG116" s="6">
        <f>$O$116*$AA$116</f>
        <v>0</v>
      </c>
    </row>
    <row r="117" spans="1:33" ht="11.25" customHeight="1" x14ac:dyDescent="0.25">
      <c r="A117" s="4" t="s">
        <v>21</v>
      </c>
      <c r="B117" s="4" t="s">
        <v>43</v>
      </c>
      <c r="C117" s="4" t="s">
        <v>44</v>
      </c>
      <c r="D117" s="4" t="s">
        <v>47</v>
      </c>
      <c r="E117" s="4" t="s">
        <v>55</v>
      </c>
      <c r="F117" s="4" t="s">
        <v>25</v>
      </c>
      <c r="G117" s="4" t="s">
        <v>25</v>
      </c>
      <c r="H117" s="4" t="s">
        <v>25</v>
      </c>
      <c r="I117" s="5">
        <v>44743</v>
      </c>
      <c r="J117" s="6">
        <v>15</v>
      </c>
      <c r="K117" s="42">
        <v>15</v>
      </c>
      <c r="L117" s="6">
        <v>0</v>
      </c>
      <c r="M117" s="42">
        <v>0</v>
      </c>
      <c r="N117" s="6">
        <v>0</v>
      </c>
      <c r="O117" s="42">
        <v>0</v>
      </c>
      <c r="P117" s="6">
        <v>1</v>
      </c>
      <c r="Q117" s="4" t="s">
        <v>26</v>
      </c>
      <c r="R117" s="4">
        <v>0</v>
      </c>
      <c r="S117" s="6">
        <v>12</v>
      </c>
      <c r="T117" s="6">
        <v>0</v>
      </c>
      <c r="U117" s="6">
        <v>0</v>
      </c>
      <c r="V117" s="42">
        <f>IF(ISERROR(VLOOKUP($S$117,'TAR FIN'!$A$1:$O$115,15,0)),0,VLOOKUP($S$117,'TAR FIN'!$A$1:$O$115,15,0))*(1-0.04)</f>
        <v>19.007999999999999</v>
      </c>
      <c r="W117" s="42">
        <f>IF(ISERROR(VLOOKUP($T$117,'TAR FIN'!$A$1:$O$115,15,0)),0,VLOOKUP($T$117,'TAR FIN'!$A$1:$O$115,15,0))</f>
        <v>0</v>
      </c>
      <c r="X117" s="42">
        <f>IF(ISERROR(VLOOKUP($U$117,'TAR FIN'!$A$1:$O$115,15,0)),0,VLOOKUP($U$117,'TAR FIN'!$A$1:$O$115,15,0))</f>
        <v>0</v>
      </c>
      <c r="Y117" s="42">
        <f ca="1">('TUSD BE'!$AM$14+'TUSD BF'!$AM$14+'TUSD CVA'!$AM$14)*1*(1-0.02)</f>
        <v>20.202910043621255</v>
      </c>
      <c r="Z117" s="42"/>
      <c r="AA117" s="42"/>
      <c r="AB117" s="6">
        <f>$K$117*$V$117</f>
        <v>285.12</v>
      </c>
      <c r="AC117" s="6">
        <f>$M$117*$W$117</f>
        <v>0</v>
      </c>
      <c r="AD117" s="6">
        <f>$O$117*$X$117</f>
        <v>0</v>
      </c>
      <c r="AE117" s="6">
        <f ca="1">$K$117*$Y$117</f>
        <v>303.04365065431881</v>
      </c>
      <c r="AF117" s="6">
        <f>$M$117*$Z$117</f>
        <v>0</v>
      </c>
      <c r="AG117" s="6">
        <f>$O$117*$AA$117</f>
        <v>0</v>
      </c>
    </row>
    <row r="118" spans="1:33" ht="11.25" customHeight="1" x14ac:dyDescent="0.25">
      <c r="A118" s="4" t="s">
        <v>21</v>
      </c>
      <c r="B118" s="4" t="s">
        <v>43</v>
      </c>
      <c r="C118" s="4" t="s">
        <v>44</v>
      </c>
      <c r="D118" s="4" t="s">
        <v>47</v>
      </c>
      <c r="E118" s="4" t="s">
        <v>55</v>
      </c>
      <c r="F118" s="4" t="s">
        <v>25</v>
      </c>
      <c r="G118" s="4" t="s">
        <v>25</v>
      </c>
      <c r="H118" s="4" t="s">
        <v>25</v>
      </c>
      <c r="I118" s="5">
        <v>44774</v>
      </c>
      <c r="J118" s="6">
        <v>15</v>
      </c>
      <c r="K118" s="42">
        <v>15</v>
      </c>
      <c r="L118" s="6">
        <v>0</v>
      </c>
      <c r="M118" s="42">
        <v>0</v>
      </c>
      <c r="N118" s="6">
        <v>0</v>
      </c>
      <c r="O118" s="42">
        <v>0</v>
      </c>
      <c r="P118" s="6">
        <v>1</v>
      </c>
      <c r="Q118" s="4" t="s">
        <v>26</v>
      </c>
      <c r="R118" s="4">
        <v>0</v>
      </c>
      <c r="S118" s="6">
        <v>12</v>
      </c>
      <c r="T118" s="6">
        <v>0</v>
      </c>
      <c r="U118" s="6">
        <v>0</v>
      </c>
      <c r="V118" s="42">
        <f>IF(ISERROR(VLOOKUP($S$118,'TAR FIN'!$A$1:$O$115,15,0)),0,VLOOKUP($S$118,'TAR FIN'!$A$1:$O$115,15,0))*(1-0.04)</f>
        <v>19.007999999999999</v>
      </c>
      <c r="W118" s="42">
        <f>IF(ISERROR(VLOOKUP($T$118,'TAR FIN'!$A$1:$O$115,15,0)),0,VLOOKUP($T$118,'TAR FIN'!$A$1:$O$115,15,0))</f>
        <v>0</v>
      </c>
      <c r="X118" s="42">
        <f>IF(ISERROR(VLOOKUP($U$118,'TAR FIN'!$A$1:$O$115,15,0)),0,VLOOKUP($U$118,'TAR FIN'!$A$1:$O$115,15,0))</f>
        <v>0</v>
      </c>
      <c r="Y118" s="42">
        <f ca="1">('TUSD BE'!$AM$14+'TUSD BF'!$AM$14+'TUSD CVA'!$AM$14)*1*(1-0.02)</f>
        <v>20.202910043621255</v>
      </c>
      <c r="Z118" s="42"/>
      <c r="AA118" s="42"/>
      <c r="AB118" s="6">
        <f>$K$118*$V$118</f>
        <v>285.12</v>
      </c>
      <c r="AC118" s="6">
        <f>$M$118*$W$118</f>
        <v>0</v>
      </c>
      <c r="AD118" s="6">
        <f>$O$118*$X$118</f>
        <v>0</v>
      </c>
      <c r="AE118" s="6">
        <f ca="1">$K$118*$Y$118</f>
        <v>303.04365065431881</v>
      </c>
      <c r="AF118" s="6">
        <f>$M$118*$Z$118</f>
        <v>0</v>
      </c>
      <c r="AG118" s="6">
        <f>$O$118*$AA$118</f>
        <v>0</v>
      </c>
    </row>
    <row r="119" spans="1:33" ht="11.25" customHeight="1" x14ac:dyDescent="0.25">
      <c r="A119" s="4" t="s">
        <v>21</v>
      </c>
      <c r="B119" s="4" t="s">
        <v>43</v>
      </c>
      <c r="C119" s="4" t="s">
        <v>44</v>
      </c>
      <c r="D119" s="4" t="s">
        <v>47</v>
      </c>
      <c r="E119" s="4" t="s">
        <v>55</v>
      </c>
      <c r="F119" s="4" t="s">
        <v>25</v>
      </c>
      <c r="G119" s="4" t="s">
        <v>25</v>
      </c>
      <c r="H119" s="4" t="s">
        <v>25</v>
      </c>
      <c r="I119" s="5">
        <v>44805</v>
      </c>
      <c r="J119" s="6">
        <v>14</v>
      </c>
      <c r="K119" s="42">
        <v>14</v>
      </c>
      <c r="L119" s="6">
        <v>0</v>
      </c>
      <c r="M119" s="42">
        <v>0</v>
      </c>
      <c r="N119" s="6">
        <v>0</v>
      </c>
      <c r="O119" s="42">
        <v>0</v>
      </c>
      <c r="P119" s="6">
        <v>1</v>
      </c>
      <c r="Q119" s="4" t="s">
        <v>26</v>
      </c>
      <c r="R119" s="4">
        <v>0</v>
      </c>
      <c r="S119" s="6">
        <v>12</v>
      </c>
      <c r="T119" s="6">
        <v>0</v>
      </c>
      <c r="U119" s="6">
        <v>0</v>
      </c>
      <c r="V119" s="42">
        <f>IF(ISERROR(VLOOKUP($S$119,'TAR FIN'!$A$1:$O$115,15,0)),0,VLOOKUP($S$119,'TAR FIN'!$A$1:$O$115,15,0))*(1-0.04)</f>
        <v>19.007999999999999</v>
      </c>
      <c r="W119" s="42">
        <f>IF(ISERROR(VLOOKUP($T$119,'TAR FIN'!$A$1:$O$115,15,0)),0,VLOOKUP($T$119,'TAR FIN'!$A$1:$O$115,15,0))</f>
        <v>0</v>
      </c>
      <c r="X119" s="42">
        <f>IF(ISERROR(VLOOKUP($U$119,'TAR FIN'!$A$1:$O$115,15,0)),0,VLOOKUP($U$119,'TAR FIN'!$A$1:$O$115,15,0))</f>
        <v>0</v>
      </c>
      <c r="Y119" s="42">
        <f ca="1">('TUSD BE'!$AM$14+'TUSD BF'!$AM$14+'TUSD CVA'!$AM$14)*1*(1-0.02)</f>
        <v>20.202910043621255</v>
      </c>
      <c r="Z119" s="42"/>
      <c r="AA119" s="42"/>
      <c r="AB119" s="6">
        <f>$K$119*$V$119</f>
        <v>266.11199999999997</v>
      </c>
      <c r="AC119" s="6">
        <f>$M$119*$W$119</f>
        <v>0</v>
      </c>
      <c r="AD119" s="6">
        <f>$O$119*$X$119</f>
        <v>0</v>
      </c>
      <c r="AE119" s="6">
        <f ca="1">$K$119*$Y$119</f>
        <v>282.84074061069759</v>
      </c>
      <c r="AF119" s="6">
        <f>$M$119*$Z$119</f>
        <v>0</v>
      </c>
      <c r="AG119" s="6">
        <f>$O$119*$AA$119</f>
        <v>0</v>
      </c>
    </row>
    <row r="120" spans="1:33" ht="11.25" customHeight="1" x14ac:dyDescent="0.25">
      <c r="A120" s="4" t="s">
        <v>21</v>
      </c>
      <c r="B120" s="4" t="s">
        <v>43</v>
      </c>
      <c r="C120" s="4" t="s">
        <v>44</v>
      </c>
      <c r="D120" s="4" t="s">
        <v>47</v>
      </c>
      <c r="E120" s="4" t="s">
        <v>55</v>
      </c>
      <c r="F120" s="4" t="s">
        <v>25</v>
      </c>
      <c r="G120" s="4" t="s">
        <v>25</v>
      </c>
      <c r="H120" s="4" t="s">
        <v>25</v>
      </c>
      <c r="I120" s="5">
        <v>44835</v>
      </c>
      <c r="J120" s="6">
        <v>14</v>
      </c>
      <c r="K120" s="42">
        <v>14</v>
      </c>
      <c r="L120" s="6">
        <v>0</v>
      </c>
      <c r="M120" s="42">
        <v>0</v>
      </c>
      <c r="N120" s="6">
        <v>0</v>
      </c>
      <c r="O120" s="42">
        <v>0</v>
      </c>
      <c r="P120" s="6">
        <v>1</v>
      </c>
      <c r="Q120" s="4" t="s">
        <v>26</v>
      </c>
      <c r="R120" s="4">
        <v>0</v>
      </c>
      <c r="S120" s="6">
        <v>12</v>
      </c>
      <c r="T120" s="6">
        <v>0</v>
      </c>
      <c r="U120" s="6">
        <v>0</v>
      </c>
      <c r="V120" s="42">
        <f>IF(ISERROR(VLOOKUP($S$120,'TAR FIN'!$A$1:$O$115,15,0)),0,VLOOKUP($S$120,'TAR FIN'!$A$1:$O$115,15,0))*(1-0.04)</f>
        <v>19.007999999999999</v>
      </c>
      <c r="W120" s="42">
        <f>IF(ISERROR(VLOOKUP($T$120,'TAR FIN'!$A$1:$O$115,15,0)),0,VLOOKUP($T$120,'TAR FIN'!$A$1:$O$115,15,0))</f>
        <v>0</v>
      </c>
      <c r="X120" s="42">
        <f>IF(ISERROR(VLOOKUP($U$120,'TAR FIN'!$A$1:$O$115,15,0)),0,VLOOKUP($U$120,'TAR FIN'!$A$1:$O$115,15,0))</f>
        <v>0</v>
      </c>
      <c r="Y120" s="42">
        <f ca="1">('TUSD BE'!$AM$14+'TUSD BF'!$AM$14+'TUSD CVA'!$AM$14)*1*(1-0.02)</f>
        <v>20.202910043621255</v>
      </c>
      <c r="Z120" s="42"/>
      <c r="AA120" s="42"/>
      <c r="AB120" s="6">
        <f>$K$120*$V$120</f>
        <v>266.11199999999997</v>
      </c>
      <c r="AC120" s="6">
        <f>$M$120*$W$120</f>
        <v>0</v>
      </c>
      <c r="AD120" s="6">
        <f>$O$120*$X$120</f>
        <v>0</v>
      </c>
      <c r="AE120" s="6">
        <f ca="1">$K$120*$Y$120</f>
        <v>282.84074061069759</v>
      </c>
      <c r="AF120" s="6">
        <f>$M$120*$Z$120</f>
        <v>0</v>
      </c>
      <c r="AG120" s="6">
        <f>$O$120*$AA$120</f>
        <v>0</v>
      </c>
    </row>
    <row r="121" spans="1:33" ht="11.25" customHeight="1" x14ac:dyDescent="0.25">
      <c r="A121" s="4" t="s">
        <v>59</v>
      </c>
      <c r="B121" s="4" t="s">
        <v>43</v>
      </c>
      <c r="C121" s="4" t="s">
        <v>44</v>
      </c>
      <c r="D121" s="4" t="s">
        <v>47</v>
      </c>
      <c r="E121" s="4" t="s">
        <v>55</v>
      </c>
      <c r="F121" s="4" t="s">
        <v>25</v>
      </c>
      <c r="G121" s="4" t="s">
        <v>25</v>
      </c>
      <c r="H121" s="4" t="s">
        <v>25</v>
      </c>
      <c r="I121" s="5">
        <v>44866</v>
      </c>
      <c r="J121" s="6">
        <v>14</v>
      </c>
      <c r="K121" s="42">
        <v>14</v>
      </c>
      <c r="L121" s="6">
        <v>0</v>
      </c>
      <c r="M121" s="42">
        <v>0</v>
      </c>
      <c r="N121" s="6">
        <v>0</v>
      </c>
      <c r="O121" s="42">
        <v>0</v>
      </c>
      <c r="P121" s="6">
        <v>1</v>
      </c>
      <c r="Q121" s="4" t="s">
        <v>26</v>
      </c>
      <c r="R121" s="4">
        <v>0</v>
      </c>
      <c r="S121" s="6">
        <v>12</v>
      </c>
      <c r="T121" s="6">
        <v>0</v>
      </c>
      <c r="U121" s="6">
        <v>0</v>
      </c>
      <c r="V121" s="42">
        <f>IF(ISERROR(VLOOKUP($S$121,'TAR FIN'!$A$1:$O$115,15,0)),0,VLOOKUP($S$121,'TAR FIN'!$A$1:$O$115,15,0))*(1-0.04)</f>
        <v>19.007999999999999</v>
      </c>
      <c r="W121" s="42">
        <f>IF(ISERROR(VLOOKUP($T$121,'TAR FIN'!$A$1:$O$115,15,0)),0,VLOOKUP($T$121,'TAR FIN'!$A$1:$O$115,15,0))</f>
        <v>0</v>
      </c>
      <c r="X121" s="42">
        <f>IF(ISERROR(VLOOKUP($U$121,'TAR FIN'!$A$1:$O$115,15,0)),0,VLOOKUP($U$121,'TAR FIN'!$A$1:$O$115,15,0))</f>
        <v>0</v>
      </c>
      <c r="Y121" s="42">
        <f ca="1">('TUSD BE'!$AM$14+'TUSD BF'!$AM$14+'TUSD CVA'!$AM$14)*1*(1-0.02)</f>
        <v>20.202910043621255</v>
      </c>
      <c r="Z121" s="42"/>
      <c r="AA121" s="42"/>
      <c r="AB121" s="6">
        <f>$K$121*$V$121</f>
        <v>266.11199999999997</v>
      </c>
      <c r="AC121" s="6">
        <f>$M$121*$W$121</f>
        <v>0</v>
      </c>
      <c r="AD121" s="6">
        <f>$O$121*$X$121</f>
        <v>0</v>
      </c>
      <c r="AE121" s="6">
        <f ca="1">$K$121*$Y$121</f>
        <v>282.84074061069759</v>
      </c>
      <c r="AF121" s="6">
        <f>$M$121*$Z$121</f>
        <v>0</v>
      </c>
      <c r="AG121" s="6">
        <f>$O$121*$AA$121</f>
        <v>0</v>
      </c>
    </row>
    <row r="122" spans="1:33" ht="11.25" customHeight="1" x14ac:dyDescent="0.25">
      <c r="A122" s="4" t="s">
        <v>21</v>
      </c>
      <c r="B122" s="4" t="s">
        <v>43</v>
      </c>
      <c r="C122" s="4" t="s">
        <v>44</v>
      </c>
      <c r="D122" s="4" t="s">
        <v>47</v>
      </c>
      <c r="E122" s="4" t="s">
        <v>55</v>
      </c>
      <c r="F122" s="4" t="s">
        <v>25</v>
      </c>
      <c r="G122" s="4" t="s">
        <v>25</v>
      </c>
      <c r="H122" s="4" t="s">
        <v>36</v>
      </c>
      <c r="I122" s="5">
        <v>44713</v>
      </c>
      <c r="J122" s="6">
        <v>0</v>
      </c>
      <c r="K122" s="42">
        <v>0</v>
      </c>
      <c r="L122" s="6">
        <v>6.0000000000000001E-3</v>
      </c>
      <c r="M122" s="42">
        <v>6.0000000000000001E-3</v>
      </c>
      <c r="N122" s="6">
        <v>6.0000000000000001E-3</v>
      </c>
      <c r="O122" s="42">
        <v>6.0000000000000001E-3</v>
      </c>
      <c r="P122" s="6">
        <v>0</v>
      </c>
      <c r="Q122" s="4" t="s">
        <v>26</v>
      </c>
      <c r="R122" s="4">
        <v>0</v>
      </c>
      <c r="S122" s="6">
        <v>0</v>
      </c>
      <c r="T122" s="6">
        <v>13</v>
      </c>
      <c r="U122" s="6">
        <v>71</v>
      </c>
      <c r="V122" s="42">
        <f>IF(ISERROR(VLOOKUP($S$122,'TAR FIN'!$A$1:$O$115,15,0)),0,VLOOKUP($S$122,'TAR FIN'!$A$1:$O$115,15,0))</f>
        <v>0</v>
      </c>
      <c r="W122" s="42">
        <f>IF(ISERROR(VLOOKUP($T$122,'TAR FIN'!$A$1:$O$115,15,0)),0,VLOOKUP($T$122,'TAR FIN'!$A$1:$O$115,15,0))*(1-0.04)</f>
        <v>1391.0016000000001</v>
      </c>
      <c r="X122" s="42">
        <f>IF(ISERROR(VLOOKUP($U$122,'TAR FIN'!$A$1:$O$115,15,0)),0,VLOOKUP($U$122,'TAR FIN'!$A$1:$O$115,15,0))*(1-0.04)</f>
        <v>259.488</v>
      </c>
      <c r="Y122" s="42"/>
      <c r="Z122" s="42">
        <f ca="1">('TUSD BE'!$AM$15+'TUSD BF'!$AM$15+'TUSD CVA'!$AM$15)*1*(1-0.02)</f>
        <v>1450.5254602362083</v>
      </c>
      <c r="AA122" s="42">
        <f>('TE BE'!$AB$8+'TE BF'!$AB$8+'TE CVA'!$AB$8)*1*(1-0.02)</f>
        <v>355.39110709588994</v>
      </c>
      <c r="AB122" s="6">
        <f>$K$122*$V$122</f>
        <v>0</v>
      </c>
      <c r="AC122" s="6">
        <f>$M$122*$W$122</f>
        <v>8.3460096000000004</v>
      </c>
      <c r="AD122" s="6">
        <f>$O$122*$X$122</f>
        <v>1.5569280000000001</v>
      </c>
      <c r="AE122" s="6">
        <f>$K$122*$Y$122</f>
        <v>0</v>
      </c>
      <c r="AF122" s="6">
        <f ca="1">$M$122*$Z$122</f>
        <v>8.7031527614172504</v>
      </c>
      <c r="AG122" s="6">
        <f>$O$122*$AA$122</f>
        <v>2.1323466425753397</v>
      </c>
    </row>
    <row r="123" spans="1:33" ht="11.25" customHeight="1" x14ac:dyDescent="0.25">
      <c r="A123" s="4" t="s">
        <v>21</v>
      </c>
      <c r="B123" s="4" t="s">
        <v>43</v>
      </c>
      <c r="C123" s="4" t="s">
        <v>44</v>
      </c>
      <c r="D123" s="4" t="s">
        <v>47</v>
      </c>
      <c r="E123" s="4" t="s">
        <v>55</v>
      </c>
      <c r="F123" s="4" t="s">
        <v>25</v>
      </c>
      <c r="G123" s="4" t="s">
        <v>25</v>
      </c>
      <c r="H123" s="4" t="s">
        <v>36</v>
      </c>
      <c r="I123" s="5">
        <v>44743</v>
      </c>
      <c r="J123" s="6">
        <v>0</v>
      </c>
      <c r="K123" s="42">
        <v>0</v>
      </c>
      <c r="L123" s="6">
        <v>7.0000000000000001E-3</v>
      </c>
      <c r="M123" s="42">
        <v>7.0000000000000001E-3</v>
      </c>
      <c r="N123" s="6">
        <v>7.0000000000000001E-3</v>
      </c>
      <c r="O123" s="42">
        <v>7.0000000000000001E-3</v>
      </c>
      <c r="P123" s="6">
        <v>0</v>
      </c>
      <c r="Q123" s="4" t="s">
        <v>26</v>
      </c>
      <c r="R123" s="4">
        <v>0</v>
      </c>
      <c r="S123" s="6">
        <v>0</v>
      </c>
      <c r="T123" s="6">
        <v>13</v>
      </c>
      <c r="U123" s="6">
        <v>71</v>
      </c>
      <c r="V123" s="42">
        <f>IF(ISERROR(VLOOKUP($S$123,'TAR FIN'!$A$1:$O$115,15,0)),0,VLOOKUP($S$123,'TAR FIN'!$A$1:$O$115,15,0))</f>
        <v>0</v>
      </c>
      <c r="W123" s="42">
        <f>IF(ISERROR(VLOOKUP($T$123,'TAR FIN'!$A$1:$O$115,15,0)),0,VLOOKUP($T$123,'TAR FIN'!$A$1:$O$115,15,0))*(1-0.04)</f>
        <v>1391.0016000000001</v>
      </c>
      <c r="X123" s="42">
        <f>IF(ISERROR(VLOOKUP($U$123,'TAR FIN'!$A$1:$O$115,15,0)),0,VLOOKUP($U$123,'TAR FIN'!$A$1:$O$115,15,0))*(1-0.04)</f>
        <v>259.488</v>
      </c>
      <c r="Y123" s="42"/>
      <c r="Z123" s="42">
        <f ca="1">('TUSD BE'!$AM$15+'TUSD BF'!$AM$15+'TUSD CVA'!$AM$15)*1*(1-0.02)</f>
        <v>1450.5254602362083</v>
      </c>
      <c r="AA123" s="42">
        <f>('TE BE'!$AB$8+'TE BF'!$AB$8+'TE CVA'!$AB$8)*1*(1-0.02)</f>
        <v>355.39110709588994</v>
      </c>
      <c r="AB123" s="6">
        <f>$K$123*$V$123</f>
        <v>0</v>
      </c>
      <c r="AC123" s="6">
        <f>$M$123*$W$123</f>
        <v>9.7370112000000013</v>
      </c>
      <c r="AD123" s="6">
        <f>$O$123*$X$123</f>
        <v>1.816416</v>
      </c>
      <c r="AE123" s="6">
        <f>$K$123*$Y$123</f>
        <v>0</v>
      </c>
      <c r="AF123" s="6">
        <f ca="1">$M$123*$Z$123</f>
        <v>10.153678221653459</v>
      </c>
      <c r="AG123" s="6">
        <f>$O$123*$AA$123</f>
        <v>2.4877377496712296</v>
      </c>
    </row>
    <row r="124" spans="1:33" ht="11.25" customHeight="1" x14ac:dyDescent="0.25">
      <c r="A124" s="4" t="s">
        <v>21</v>
      </c>
      <c r="B124" s="4" t="s">
        <v>43</v>
      </c>
      <c r="C124" s="4" t="s">
        <v>44</v>
      </c>
      <c r="D124" s="4" t="s">
        <v>47</v>
      </c>
      <c r="E124" s="4" t="s">
        <v>55</v>
      </c>
      <c r="F124" s="4" t="s">
        <v>25</v>
      </c>
      <c r="G124" s="4" t="s">
        <v>25</v>
      </c>
      <c r="H124" s="4" t="s">
        <v>36</v>
      </c>
      <c r="I124" s="5">
        <v>44774</v>
      </c>
      <c r="J124" s="6">
        <v>0</v>
      </c>
      <c r="K124" s="42">
        <v>0</v>
      </c>
      <c r="L124" s="6">
        <v>1.2E-2</v>
      </c>
      <c r="M124" s="42">
        <v>1.2E-2</v>
      </c>
      <c r="N124" s="6">
        <v>1.2E-2</v>
      </c>
      <c r="O124" s="42">
        <v>1.2E-2</v>
      </c>
      <c r="P124" s="6">
        <v>0</v>
      </c>
      <c r="Q124" s="4" t="s">
        <v>26</v>
      </c>
      <c r="R124" s="4">
        <v>0</v>
      </c>
      <c r="S124" s="6">
        <v>0</v>
      </c>
      <c r="T124" s="6">
        <v>13</v>
      </c>
      <c r="U124" s="6">
        <v>71</v>
      </c>
      <c r="V124" s="42">
        <f>IF(ISERROR(VLOOKUP($S$124,'TAR FIN'!$A$1:$O$115,15,0)),0,VLOOKUP($S$124,'TAR FIN'!$A$1:$O$115,15,0))</f>
        <v>0</v>
      </c>
      <c r="W124" s="42">
        <f>IF(ISERROR(VLOOKUP($T$124,'TAR FIN'!$A$1:$O$115,15,0)),0,VLOOKUP($T$124,'TAR FIN'!$A$1:$O$115,15,0))*(1-0.04)</f>
        <v>1391.0016000000001</v>
      </c>
      <c r="X124" s="42">
        <f>IF(ISERROR(VLOOKUP($U$124,'TAR FIN'!$A$1:$O$115,15,0)),0,VLOOKUP($U$124,'TAR FIN'!$A$1:$O$115,15,0))*(1-0.04)</f>
        <v>259.488</v>
      </c>
      <c r="Y124" s="42"/>
      <c r="Z124" s="42">
        <f ca="1">('TUSD BE'!$AM$15+'TUSD BF'!$AM$15+'TUSD CVA'!$AM$15)*1*(1-0.02)</f>
        <v>1450.5254602362083</v>
      </c>
      <c r="AA124" s="42">
        <f>('TE BE'!$AB$8+'TE BF'!$AB$8+'TE CVA'!$AB$8)*1*(1-0.02)</f>
        <v>355.39110709588994</v>
      </c>
      <c r="AB124" s="6">
        <f>$K$124*$V$124</f>
        <v>0</v>
      </c>
      <c r="AC124" s="6">
        <f>$M$124*$W$124</f>
        <v>16.692019200000001</v>
      </c>
      <c r="AD124" s="6">
        <f>$O$124*$X$124</f>
        <v>3.1138560000000002</v>
      </c>
      <c r="AE124" s="6">
        <f>$K$124*$Y$124</f>
        <v>0</v>
      </c>
      <c r="AF124" s="6">
        <f ca="1">$M$124*$Z$124</f>
        <v>17.406305522834501</v>
      </c>
      <c r="AG124" s="6">
        <f>$O$124*$AA$124</f>
        <v>4.2646932851506794</v>
      </c>
    </row>
    <row r="125" spans="1:33" ht="11.25" customHeight="1" x14ac:dyDescent="0.25">
      <c r="A125" s="4" t="s">
        <v>21</v>
      </c>
      <c r="B125" s="4" t="s">
        <v>43</v>
      </c>
      <c r="C125" s="4" t="s">
        <v>44</v>
      </c>
      <c r="D125" s="4" t="s">
        <v>47</v>
      </c>
      <c r="E125" s="4" t="s">
        <v>55</v>
      </c>
      <c r="F125" s="4" t="s">
        <v>25</v>
      </c>
      <c r="G125" s="4" t="s">
        <v>25</v>
      </c>
      <c r="H125" s="4" t="s">
        <v>36</v>
      </c>
      <c r="I125" s="5">
        <v>44805</v>
      </c>
      <c r="J125" s="6">
        <v>0</v>
      </c>
      <c r="K125" s="42">
        <v>0</v>
      </c>
      <c r="L125" s="6">
        <v>1.2E-2</v>
      </c>
      <c r="M125" s="42">
        <v>1.2E-2</v>
      </c>
      <c r="N125" s="6">
        <v>1.2E-2</v>
      </c>
      <c r="O125" s="42">
        <v>1.2E-2</v>
      </c>
      <c r="P125" s="6">
        <v>0</v>
      </c>
      <c r="Q125" s="4" t="s">
        <v>26</v>
      </c>
      <c r="R125" s="4">
        <v>0</v>
      </c>
      <c r="S125" s="6">
        <v>0</v>
      </c>
      <c r="T125" s="6">
        <v>13</v>
      </c>
      <c r="U125" s="6">
        <v>71</v>
      </c>
      <c r="V125" s="42">
        <f>IF(ISERROR(VLOOKUP($S$125,'TAR FIN'!$A$1:$O$115,15,0)),0,VLOOKUP($S$125,'TAR FIN'!$A$1:$O$115,15,0))</f>
        <v>0</v>
      </c>
      <c r="W125" s="42">
        <f>IF(ISERROR(VLOOKUP($T$125,'TAR FIN'!$A$1:$O$115,15,0)),0,VLOOKUP($T$125,'TAR FIN'!$A$1:$O$115,15,0))*(1-0.04)</f>
        <v>1391.0016000000001</v>
      </c>
      <c r="X125" s="42">
        <f>IF(ISERROR(VLOOKUP($U$125,'TAR FIN'!$A$1:$O$115,15,0)),0,VLOOKUP($U$125,'TAR FIN'!$A$1:$O$115,15,0))*(1-0.04)</f>
        <v>259.488</v>
      </c>
      <c r="Y125" s="42"/>
      <c r="Z125" s="42">
        <f ca="1">('TUSD BE'!$AM$15+'TUSD BF'!$AM$15+'TUSD CVA'!$AM$15)*1*(1-0.02)</f>
        <v>1450.5254602362083</v>
      </c>
      <c r="AA125" s="42">
        <f>('TE BE'!$AB$8+'TE BF'!$AB$8+'TE CVA'!$AB$8)*1*(1-0.02)</f>
        <v>355.39110709588994</v>
      </c>
      <c r="AB125" s="6">
        <f>$K$125*$V$125</f>
        <v>0</v>
      </c>
      <c r="AC125" s="6">
        <f>$M$125*$W$125</f>
        <v>16.692019200000001</v>
      </c>
      <c r="AD125" s="6">
        <f>$O$125*$X$125</f>
        <v>3.1138560000000002</v>
      </c>
      <c r="AE125" s="6">
        <f>$K$125*$Y$125</f>
        <v>0</v>
      </c>
      <c r="AF125" s="6">
        <f ca="1">$M$125*$Z$125</f>
        <v>17.406305522834501</v>
      </c>
      <c r="AG125" s="6">
        <f>$O$125*$AA$125</f>
        <v>4.2646932851506794</v>
      </c>
    </row>
    <row r="126" spans="1:33" ht="11.25" customHeight="1" x14ac:dyDescent="0.25">
      <c r="A126" s="4" t="s">
        <v>21</v>
      </c>
      <c r="B126" s="4" t="s">
        <v>43</v>
      </c>
      <c r="C126" s="4" t="s">
        <v>44</v>
      </c>
      <c r="D126" s="4" t="s">
        <v>47</v>
      </c>
      <c r="E126" s="4" t="s">
        <v>55</v>
      </c>
      <c r="F126" s="4" t="s">
        <v>25</v>
      </c>
      <c r="G126" s="4" t="s">
        <v>25</v>
      </c>
      <c r="H126" s="4" t="s">
        <v>36</v>
      </c>
      <c r="I126" s="5">
        <v>44835</v>
      </c>
      <c r="J126" s="6">
        <v>0</v>
      </c>
      <c r="K126" s="42">
        <v>0</v>
      </c>
      <c r="L126" s="6">
        <v>8.0000000000000002E-3</v>
      </c>
      <c r="M126" s="42">
        <v>8.0000000000000002E-3</v>
      </c>
      <c r="N126" s="6">
        <v>8.0000000000000002E-3</v>
      </c>
      <c r="O126" s="42">
        <v>8.0000000000000002E-3</v>
      </c>
      <c r="P126" s="6">
        <v>0</v>
      </c>
      <c r="Q126" s="4" t="s">
        <v>26</v>
      </c>
      <c r="R126" s="4">
        <v>0</v>
      </c>
      <c r="S126" s="6">
        <v>0</v>
      </c>
      <c r="T126" s="6">
        <v>13</v>
      </c>
      <c r="U126" s="6">
        <v>71</v>
      </c>
      <c r="V126" s="42">
        <f>IF(ISERROR(VLOOKUP($S$126,'TAR FIN'!$A$1:$O$115,15,0)),0,VLOOKUP($S$126,'TAR FIN'!$A$1:$O$115,15,0))</f>
        <v>0</v>
      </c>
      <c r="W126" s="42">
        <f>IF(ISERROR(VLOOKUP($T$126,'TAR FIN'!$A$1:$O$115,15,0)),0,VLOOKUP($T$126,'TAR FIN'!$A$1:$O$115,15,0))*(1-0.04)</f>
        <v>1391.0016000000001</v>
      </c>
      <c r="X126" s="42">
        <f>IF(ISERROR(VLOOKUP($U$126,'TAR FIN'!$A$1:$O$115,15,0)),0,VLOOKUP($U$126,'TAR FIN'!$A$1:$O$115,15,0))*(1-0.04)</f>
        <v>259.488</v>
      </c>
      <c r="Y126" s="42"/>
      <c r="Z126" s="42">
        <f ca="1">('TUSD BE'!$AM$15+'TUSD BF'!$AM$15+'TUSD CVA'!$AM$15)*1*(1-0.02)</f>
        <v>1450.5254602362083</v>
      </c>
      <c r="AA126" s="42">
        <f>('TE BE'!$AB$8+'TE BF'!$AB$8+'TE CVA'!$AB$8)*1*(1-0.02)</f>
        <v>355.39110709588994</v>
      </c>
      <c r="AB126" s="6">
        <f>$K$126*$V$126</f>
        <v>0</v>
      </c>
      <c r="AC126" s="6">
        <f>$M$126*$W$126</f>
        <v>11.1280128</v>
      </c>
      <c r="AD126" s="6">
        <f>$O$126*$X$126</f>
        <v>2.075904</v>
      </c>
      <c r="AE126" s="6">
        <f>$K$126*$Y$126</f>
        <v>0</v>
      </c>
      <c r="AF126" s="6">
        <f ca="1">$M$126*$Z$126</f>
        <v>11.604203681889667</v>
      </c>
      <c r="AG126" s="6">
        <f>$O$126*$AA$126</f>
        <v>2.8431288567671196</v>
      </c>
    </row>
    <row r="127" spans="1:33" ht="11.25" customHeight="1" x14ac:dyDescent="0.25">
      <c r="A127" s="4" t="s">
        <v>59</v>
      </c>
      <c r="B127" s="4" t="s">
        <v>43</v>
      </c>
      <c r="C127" s="4" t="s">
        <v>44</v>
      </c>
      <c r="D127" s="4" t="s">
        <v>47</v>
      </c>
      <c r="E127" s="4" t="s">
        <v>55</v>
      </c>
      <c r="F127" s="4" t="s">
        <v>25</v>
      </c>
      <c r="G127" s="4" t="s">
        <v>25</v>
      </c>
      <c r="H127" s="4" t="s">
        <v>36</v>
      </c>
      <c r="I127" s="5">
        <v>44866</v>
      </c>
      <c r="J127" s="6">
        <v>0</v>
      </c>
      <c r="K127" s="42">
        <v>0</v>
      </c>
      <c r="L127" s="6">
        <v>8.0000000000000002E-3</v>
      </c>
      <c r="M127" s="42">
        <v>8.0000000000000002E-3</v>
      </c>
      <c r="N127" s="6">
        <v>8.0000000000000002E-3</v>
      </c>
      <c r="O127" s="42">
        <v>8.0000000000000002E-3</v>
      </c>
      <c r="P127" s="6">
        <v>0</v>
      </c>
      <c r="Q127" s="4" t="s">
        <v>26</v>
      </c>
      <c r="R127" s="4">
        <v>0</v>
      </c>
      <c r="S127" s="6">
        <v>0</v>
      </c>
      <c r="T127" s="6">
        <v>13</v>
      </c>
      <c r="U127" s="6">
        <v>71</v>
      </c>
      <c r="V127" s="42">
        <f>IF(ISERROR(VLOOKUP($S$127,'TAR FIN'!$A$1:$O$115,15,0)),0,VLOOKUP($S$127,'TAR FIN'!$A$1:$O$115,15,0))</f>
        <v>0</v>
      </c>
      <c r="W127" s="42">
        <f>IF(ISERROR(VLOOKUP($T$127,'TAR FIN'!$A$1:$O$115,15,0)),0,VLOOKUP($T$127,'TAR FIN'!$A$1:$O$115,15,0))*(1-0.04)</f>
        <v>1391.0016000000001</v>
      </c>
      <c r="X127" s="42">
        <f>IF(ISERROR(VLOOKUP($U$127,'TAR FIN'!$A$1:$O$115,15,0)),0,VLOOKUP($U$127,'TAR FIN'!$A$1:$O$115,15,0))*(1-0.04)</f>
        <v>259.488</v>
      </c>
      <c r="Y127" s="42"/>
      <c r="Z127" s="42">
        <f ca="1">('TUSD BE'!$AM$15+'TUSD BF'!$AM$15+'TUSD CVA'!$AM$15)*1*(1-0.02)</f>
        <v>1450.5254602362083</v>
      </c>
      <c r="AA127" s="42">
        <f>('TE BE'!$AB$8+'TE BF'!$AB$8+'TE CVA'!$AB$8)*1*(1-0.02)</f>
        <v>355.39110709588994</v>
      </c>
      <c r="AB127" s="6">
        <f>$K$127*$V$127</f>
        <v>0</v>
      </c>
      <c r="AC127" s="6">
        <f>$M$127*$W$127</f>
        <v>11.1280128</v>
      </c>
      <c r="AD127" s="6">
        <f>$O$127*$X$127</f>
        <v>2.075904</v>
      </c>
      <c r="AE127" s="6">
        <f>$K$127*$Y$127</f>
        <v>0</v>
      </c>
      <c r="AF127" s="6">
        <f ca="1">$M$127*$Z$127</f>
        <v>11.604203681889667</v>
      </c>
      <c r="AG127" s="6">
        <f>$O$127*$AA$127</f>
        <v>2.8431288567671196</v>
      </c>
    </row>
    <row r="128" spans="1:33" ht="11.25" customHeight="1" x14ac:dyDescent="0.25">
      <c r="A128" s="4" t="s">
        <v>21</v>
      </c>
      <c r="B128" s="4" t="s">
        <v>43</v>
      </c>
      <c r="C128" s="4" t="s">
        <v>44</v>
      </c>
      <c r="D128" s="4" t="s">
        <v>47</v>
      </c>
      <c r="E128" s="4" t="s">
        <v>25</v>
      </c>
      <c r="F128" s="4" t="s">
        <v>25</v>
      </c>
      <c r="G128" s="4" t="s">
        <v>25</v>
      </c>
      <c r="H128" s="4" t="s">
        <v>37</v>
      </c>
      <c r="I128" s="5">
        <v>44621</v>
      </c>
      <c r="J128" s="6">
        <v>0</v>
      </c>
      <c r="K128" s="42">
        <v>0</v>
      </c>
      <c r="L128" s="6">
        <v>7.3620000000000001</v>
      </c>
      <c r="M128" s="42">
        <v>7.3620000000000001</v>
      </c>
      <c r="N128" s="6">
        <v>7.3620000000000001</v>
      </c>
      <c r="O128" s="42">
        <v>7.3620000000000001</v>
      </c>
      <c r="P128" s="6">
        <v>0</v>
      </c>
      <c r="Q128" s="4" t="s">
        <v>26</v>
      </c>
      <c r="R128" s="4">
        <v>0</v>
      </c>
      <c r="S128" s="6">
        <v>0</v>
      </c>
      <c r="T128" s="6">
        <v>14</v>
      </c>
      <c r="U128" s="6">
        <v>72</v>
      </c>
      <c r="V128" s="42">
        <f>IF(ISERROR(VLOOKUP($S$128,'TAR FIN'!$A$1:$O$115,15,0)),0,VLOOKUP($S$128,'TAR FIN'!$A$1:$O$115,15,0))</f>
        <v>0</v>
      </c>
      <c r="W128" s="42">
        <f>IF(ISERROR(VLOOKUP($T$128,'TAR FIN'!$A$1:$O$115,15,0)),0,VLOOKUP($T$128,'TAR FIN'!$A$1:$O$115,15,0))*(1-0.04)</f>
        <v>80.937600000000003</v>
      </c>
      <c r="X128" s="42">
        <f>IF(ISERROR(VLOOKUP($U$128,'TAR FIN'!$A$1:$O$115,15,0)),0,VLOOKUP($U$128,'TAR FIN'!$A$1:$O$115,15,0))*(1-0.04)</f>
        <v>161.33760000000001</v>
      </c>
      <c r="Y128" s="42"/>
      <c r="Z128" s="42">
        <f ca="1">('TUSD BE'!$AM$16+'TUSD BF'!$AM$16+'TUSD CVA'!$AM$16)*1*(1-0.02)</f>
        <v>111.16258866775823</v>
      </c>
      <c r="AA128" s="42">
        <f>('TE BE'!$AB$9+'TE BF'!$AB$9+'TE CVA'!$AB$9)*1*(1-0.02)</f>
        <v>214.31171930230647</v>
      </c>
      <c r="AB128" s="6">
        <f>$K$128*$V$128</f>
        <v>0</v>
      </c>
      <c r="AC128" s="6">
        <f>$M$128*$W$128</f>
        <v>595.86261120000006</v>
      </c>
      <c r="AD128" s="6">
        <f>$O$128*$X$128</f>
        <v>1187.7674112</v>
      </c>
      <c r="AE128" s="6">
        <f>$K$128*$Y$128</f>
        <v>0</v>
      </c>
      <c r="AF128" s="6">
        <f ca="1">$M$128*$Z$128</f>
        <v>818.37897777203614</v>
      </c>
      <c r="AG128" s="6">
        <f>$O$128*$AA$128</f>
        <v>1577.7628775035803</v>
      </c>
    </row>
    <row r="129" spans="1:33" ht="11.25" customHeight="1" x14ac:dyDescent="0.25">
      <c r="A129" s="4" t="s">
        <v>21</v>
      </c>
      <c r="B129" s="4" t="s">
        <v>43</v>
      </c>
      <c r="C129" s="4" t="s">
        <v>44</v>
      </c>
      <c r="D129" s="4" t="s">
        <v>47</v>
      </c>
      <c r="E129" s="4" t="s">
        <v>25</v>
      </c>
      <c r="F129" s="4" t="s">
        <v>25</v>
      </c>
      <c r="G129" s="4" t="s">
        <v>25</v>
      </c>
      <c r="H129" s="4" t="s">
        <v>37</v>
      </c>
      <c r="I129" s="5">
        <v>44652</v>
      </c>
      <c r="J129" s="6">
        <v>0</v>
      </c>
      <c r="K129" s="42">
        <v>0</v>
      </c>
      <c r="L129" s="6">
        <v>7.01</v>
      </c>
      <c r="M129" s="42">
        <v>7.01</v>
      </c>
      <c r="N129" s="6">
        <v>7.01</v>
      </c>
      <c r="O129" s="42">
        <v>7.01</v>
      </c>
      <c r="P129" s="6">
        <v>0</v>
      </c>
      <c r="Q129" s="4" t="s">
        <v>26</v>
      </c>
      <c r="R129" s="4">
        <v>0</v>
      </c>
      <c r="S129" s="6">
        <v>0</v>
      </c>
      <c r="T129" s="6">
        <v>14</v>
      </c>
      <c r="U129" s="6">
        <v>72</v>
      </c>
      <c r="V129" s="42">
        <f>IF(ISERROR(VLOOKUP($S$129,'TAR FIN'!$A$1:$O$115,15,0)),0,VLOOKUP($S$129,'TAR FIN'!$A$1:$O$115,15,0))</f>
        <v>0</v>
      </c>
      <c r="W129" s="42">
        <f>IF(ISERROR(VLOOKUP($T$129,'TAR FIN'!$A$1:$O$115,15,0)),0,VLOOKUP($T$129,'TAR FIN'!$A$1:$O$115,15,0))*(1-0.04)</f>
        <v>80.937600000000003</v>
      </c>
      <c r="X129" s="42">
        <f>IF(ISERROR(VLOOKUP($U$129,'TAR FIN'!$A$1:$O$115,15,0)),0,VLOOKUP($U$129,'TAR FIN'!$A$1:$O$115,15,0))*(1-0.04)</f>
        <v>161.33760000000001</v>
      </c>
      <c r="Y129" s="42"/>
      <c r="Z129" s="42">
        <f ca="1">('TUSD BE'!$AM$16+'TUSD BF'!$AM$16+'TUSD CVA'!$AM$16)*1*(1-0.02)</f>
        <v>111.16258866775823</v>
      </c>
      <c r="AA129" s="42">
        <f>('TE BE'!$AB$9+'TE BF'!$AB$9+'TE CVA'!$AB$9)*1*(1-0.02)</f>
        <v>214.31171930230647</v>
      </c>
      <c r="AB129" s="6">
        <f>$K$129*$V$129</f>
        <v>0</v>
      </c>
      <c r="AC129" s="6">
        <f>$M$129*$W$129</f>
        <v>567.37257599999998</v>
      </c>
      <c r="AD129" s="6">
        <f>$O$129*$X$129</f>
        <v>1130.976576</v>
      </c>
      <c r="AE129" s="6">
        <f>$K$129*$Y$129</f>
        <v>0</v>
      </c>
      <c r="AF129" s="6">
        <f ca="1">$M$129*$Z$129</f>
        <v>779.24974656098516</v>
      </c>
      <c r="AG129" s="6">
        <f>$O$129*$AA$129</f>
        <v>1502.3251523091683</v>
      </c>
    </row>
    <row r="130" spans="1:33" ht="11.25" customHeight="1" x14ac:dyDescent="0.25">
      <c r="A130" s="4" t="s">
        <v>21</v>
      </c>
      <c r="B130" s="4" t="s">
        <v>43</v>
      </c>
      <c r="C130" s="4" t="s">
        <v>44</v>
      </c>
      <c r="D130" s="4" t="s">
        <v>47</v>
      </c>
      <c r="E130" s="4" t="s">
        <v>25</v>
      </c>
      <c r="F130" s="4" t="s">
        <v>25</v>
      </c>
      <c r="G130" s="4" t="s">
        <v>25</v>
      </c>
      <c r="H130" s="4" t="s">
        <v>37</v>
      </c>
      <c r="I130" s="5">
        <v>44682</v>
      </c>
      <c r="J130" s="6">
        <v>0</v>
      </c>
      <c r="K130" s="42">
        <v>0</v>
      </c>
      <c r="L130" s="6">
        <v>16.87</v>
      </c>
      <c r="M130" s="42">
        <v>16.87</v>
      </c>
      <c r="N130" s="6">
        <v>16.87</v>
      </c>
      <c r="O130" s="42">
        <v>16.87</v>
      </c>
      <c r="P130" s="6">
        <v>0</v>
      </c>
      <c r="Q130" s="4" t="s">
        <v>26</v>
      </c>
      <c r="R130" s="4">
        <v>0</v>
      </c>
      <c r="S130" s="6">
        <v>0</v>
      </c>
      <c r="T130" s="6">
        <v>14</v>
      </c>
      <c r="U130" s="6">
        <v>72</v>
      </c>
      <c r="V130" s="42">
        <f>IF(ISERROR(VLOOKUP($S$130,'TAR FIN'!$A$1:$O$115,15,0)),0,VLOOKUP($S$130,'TAR FIN'!$A$1:$O$115,15,0))</f>
        <v>0</v>
      </c>
      <c r="W130" s="42">
        <f>IF(ISERROR(VLOOKUP($T$130,'TAR FIN'!$A$1:$O$115,15,0)),0,VLOOKUP($T$130,'TAR FIN'!$A$1:$O$115,15,0))*(1-0.04)</f>
        <v>80.937600000000003</v>
      </c>
      <c r="X130" s="42">
        <f>IF(ISERROR(VLOOKUP($U$130,'TAR FIN'!$A$1:$O$115,15,0)),0,VLOOKUP($U$130,'TAR FIN'!$A$1:$O$115,15,0))*(1-0.04)</f>
        <v>161.33760000000001</v>
      </c>
      <c r="Y130" s="42"/>
      <c r="Z130" s="42">
        <f ca="1">('TUSD BE'!$AM$16+'TUSD BF'!$AM$16+'TUSD CVA'!$AM$16)*1*(1-0.02)</f>
        <v>111.16258866775823</v>
      </c>
      <c r="AA130" s="42">
        <f>('TE BE'!$AB$9+'TE BF'!$AB$9+'TE CVA'!$AB$9)*1*(1-0.02)</f>
        <v>214.31171930230647</v>
      </c>
      <c r="AB130" s="6">
        <f>$K$130*$V$130</f>
        <v>0</v>
      </c>
      <c r="AC130" s="6">
        <f>$M$130*$W$130</f>
        <v>1365.417312</v>
      </c>
      <c r="AD130" s="6">
        <f>$O$130*$X$130</f>
        <v>2721.7653120000004</v>
      </c>
      <c r="AE130" s="6">
        <f>$K$130*$Y$130</f>
        <v>0</v>
      </c>
      <c r="AF130" s="6">
        <f ca="1">$M$130*$Z$130</f>
        <v>1875.3128708250815</v>
      </c>
      <c r="AG130" s="6">
        <f>$O$130*$AA$130</f>
        <v>3615.4387046299103</v>
      </c>
    </row>
    <row r="131" spans="1:33" ht="11.25" customHeight="1" x14ac:dyDescent="0.25">
      <c r="A131" s="4" t="s">
        <v>21</v>
      </c>
      <c r="B131" s="4" t="s">
        <v>43</v>
      </c>
      <c r="C131" s="4" t="s">
        <v>44</v>
      </c>
      <c r="D131" s="4" t="s">
        <v>47</v>
      </c>
      <c r="E131" s="4" t="s">
        <v>25</v>
      </c>
      <c r="F131" s="4" t="s">
        <v>25</v>
      </c>
      <c r="G131" s="4" t="s">
        <v>25</v>
      </c>
      <c r="H131" s="4" t="s">
        <v>37</v>
      </c>
      <c r="I131" s="5">
        <v>44713</v>
      </c>
      <c r="J131" s="6">
        <v>0</v>
      </c>
      <c r="K131" s="42">
        <v>0</v>
      </c>
      <c r="L131" s="6">
        <v>9.4410000000000007</v>
      </c>
      <c r="M131" s="42">
        <v>9.4410000000000007</v>
      </c>
      <c r="N131" s="6">
        <v>9.4410000000000007</v>
      </c>
      <c r="O131" s="42">
        <v>9.4410000000000007</v>
      </c>
      <c r="P131" s="6">
        <v>0</v>
      </c>
      <c r="Q131" s="4" t="s">
        <v>26</v>
      </c>
      <c r="R131" s="4">
        <v>0</v>
      </c>
      <c r="S131" s="6">
        <v>0</v>
      </c>
      <c r="T131" s="6">
        <v>14</v>
      </c>
      <c r="U131" s="6">
        <v>72</v>
      </c>
      <c r="V131" s="42">
        <f>IF(ISERROR(VLOOKUP($S$131,'TAR FIN'!$A$1:$O$115,15,0)),0,VLOOKUP($S$131,'TAR FIN'!$A$1:$O$115,15,0))</f>
        <v>0</v>
      </c>
      <c r="W131" s="42">
        <f>IF(ISERROR(VLOOKUP($T$131,'TAR FIN'!$A$1:$O$115,15,0)),0,VLOOKUP($T$131,'TAR FIN'!$A$1:$O$115,15,0))*(1-0.04)</f>
        <v>80.937600000000003</v>
      </c>
      <c r="X131" s="42">
        <f>IF(ISERROR(VLOOKUP($U$131,'TAR FIN'!$A$1:$O$115,15,0)),0,VLOOKUP($U$131,'TAR FIN'!$A$1:$O$115,15,0))*(1-0.04)</f>
        <v>161.33760000000001</v>
      </c>
      <c r="Y131" s="42"/>
      <c r="Z131" s="42">
        <f ca="1">('TUSD BE'!$AM$16+'TUSD BF'!$AM$16+'TUSD CVA'!$AM$16)*1*(1-0.02)</f>
        <v>111.16258866775823</v>
      </c>
      <c r="AA131" s="42">
        <f>('TE BE'!$AB$9+'TE BF'!$AB$9+'TE CVA'!$AB$9)*1*(1-0.02)</f>
        <v>214.31171930230647</v>
      </c>
      <c r="AB131" s="6">
        <f>$K$131*$V$131</f>
        <v>0</v>
      </c>
      <c r="AC131" s="6">
        <f>$M$131*$W$131</f>
        <v>764.13188160000004</v>
      </c>
      <c r="AD131" s="6">
        <f>$O$131*$X$131</f>
        <v>1523.1882816000002</v>
      </c>
      <c r="AE131" s="6">
        <f>$K$131*$Y$131</f>
        <v>0</v>
      </c>
      <c r="AF131" s="6">
        <f ca="1">$M$131*$Z$131</f>
        <v>1049.4859996123055</v>
      </c>
      <c r="AG131" s="6">
        <f>$O$131*$AA$131</f>
        <v>2023.3169419330754</v>
      </c>
    </row>
    <row r="132" spans="1:33" ht="11.25" customHeight="1" x14ac:dyDescent="0.25">
      <c r="A132" s="4" t="s">
        <v>21</v>
      </c>
      <c r="B132" s="4" t="s">
        <v>43</v>
      </c>
      <c r="C132" s="4" t="s">
        <v>44</v>
      </c>
      <c r="D132" s="4" t="s">
        <v>47</v>
      </c>
      <c r="E132" s="4" t="s">
        <v>25</v>
      </c>
      <c r="F132" s="4" t="s">
        <v>25</v>
      </c>
      <c r="G132" s="4" t="s">
        <v>25</v>
      </c>
      <c r="H132" s="4" t="s">
        <v>37</v>
      </c>
      <c r="I132" s="5">
        <v>44743</v>
      </c>
      <c r="J132" s="6">
        <v>0</v>
      </c>
      <c r="K132" s="42">
        <v>0</v>
      </c>
      <c r="L132" s="6">
        <v>8.7940000000000005</v>
      </c>
      <c r="M132" s="42">
        <v>8.7940000000000005</v>
      </c>
      <c r="N132" s="6">
        <v>8.7940000000000005</v>
      </c>
      <c r="O132" s="42">
        <v>8.7940000000000005</v>
      </c>
      <c r="P132" s="6">
        <v>0</v>
      </c>
      <c r="Q132" s="4" t="s">
        <v>26</v>
      </c>
      <c r="R132" s="4">
        <v>0</v>
      </c>
      <c r="S132" s="6">
        <v>0</v>
      </c>
      <c r="T132" s="6">
        <v>14</v>
      </c>
      <c r="U132" s="6">
        <v>72</v>
      </c>
      <c r="V132" s="42">
        <f>IF(ISERROR(VLOOKUP($S$132,'TAR FIN'!$A$1:$O$115,15,0)),0,VLOOKUP($S$132,'TAR FIN'!$A$1:$O$115,15,0))</f>
        <v>0</v>
      </c>
      <c r="W132" s="42">
        <f>IF(ISERROR(VLOOKUP($T$132,'TAR FIN'!$A$1:$O$115,15,0)),0,VLOOKUP($T$132,'TAR FIN'!$A$1:$O$115,15,0))*(1-0.04)</f>
        <v>80.937600000000003</v>
      </c>
      <c r="X132" s="42">
        <f>IF(ISERROR(VLOOKUP($U$132,'TAR FIN'!$A$1:$O$115,15,0)),0,VLOOKUP($U$132,'TAR FIN'!$A$1:$O$115,15,0))*(1-0.04)</f>
        <v>161.33760000000001</v>
      </c>
      <c r="Y132" s="42"/>
      <c r="Z132" s="42">
        <f ca="1">('TUSD BE'!$AM$16+'TUSD BF'!$AM$16+'TUSD CVA'!$AM$16)*1*(1-0.02)</f>
        <v>111.16258866775823</v>
      </c>
      <c r="AA132" s="42">
        <f>('TE BE'!$AB$9+'TE BF'!$AB$9+'TE CVA'!$AB$9)*1*(1-0.02)</f>
        <v>214.31171930230647</v>
      </c>
      <c r="AB132" s="6">
        <f>$K$132*$V$132</f>
        <v>0</v>
      </c>
      <c r="AC132" s="6">
        <f>$M$132*$W$132</f>
        <v>711.76525440000012</v>
      </c>
      <c r="AD132" s="6">
        <f>$O$132*$X$132</f>
        <v>1418.8028544000001</v>
      </c>
      <c r="AE132" s="6">
        <f>$K$132*$Y$132</f>
        <v>0</v>
      </c>
      <c r="AF132" s="6">
        <f ca="1">$M$132*$Z$132</f>
        <v>977.56380474426589</v>
      </c>
      <c r="AG132" s="6">
        <f>$O$132*$AA$132</f>
        <v>1884.6572595444832</v>
      </c>
    </row>
    <row r="133" spans="1:33" ht="11.25" customHeight="1" x14ac:dyDescent="0.25">
      <c r="A133" s="4" t="s">
        <v>21</v>
      </c>
      <c r="B133" s="4" t="s">
        <v>43</v>
      </c>
      <c r="C133" s="4" t="s">
        <v>44</v>
      </c>
      <c r="D133" s="4" t="s">
        <v>47</v>
      </c>
      <c r="E133" s="4" t="s">
        <v>25</v>
      </c>
      <c r="F133" s="4" t="s">
        <v>25</v>
      </c>
      <c r="G133" s="4" t="s">
        <v>25</v>
      </c>
      <c r="H133" s="4" t="s">
        <v>37</v>
      </c>
      <c r="I133" s="5">
        <v>44774</v>
      </c>
      <c r="J133" s="6">
        <v>0</v>
      </c>
      <c r="K133" s="42">
        <v>0</v>
      </c>
      <c r="L133" s="6">
        <v>3.9180000000000001</v>
      </c>
      <c r="M133" s="42">
        <v>3.9180000000000001</v>
      </c>
      <c r="N133" s="6">
        <v>3.9180000000000001</v>
      </c>
      <c r="O133" s="42">
        <v>3.9180000000000001</v>
      </c>
      <c r="P133" s="6">
        <v>0</v>
      </c>
      <c r="Q133" s="4" t="s">
        <v>26</v>
      </c>
      <c r="R133" s="4">
        <v>0</v>
      </c>
      <c r="S133" s="6">
        <v>0</v>
      </c>
      <c r="T133" s="6">
        <v>14</v>
      </c>
      <c r="U133" s="6">
        <v>72</v>
      </c>
      <c r="V133" s="42">
        <f>IF(ISERROR(VLOOKUP($S$133,'TAR FIN'!$A$1:$O$115,15,0)),0,VLOOKUP($S$133,'TAR FIN'!$A$1:$O$115,15,0))</f>
        <v>0</v>
      </c>
      <c r="W133" s="42">
        <f>IF(ISERROR(VLOOKUP($T$133,'TAR FIN'!$A$1:$O$115,15,0)),0,VLOOKUP($T$133,'TAR FIN'!$A$1:$O$115,15,0))*(1-0.04)</f>
        <v>80.937600000000003</v>
      </c>
      <c r="X133" s="42">
        <f>IF(ISERROR(VLOOKUP($U$133,'TAR FIN'!$A$1:$O$115,15,0)),0,VLOOKUP($U$133,'TAR FIN'!$A$1:$O$115,15,0))*(1-0.04)</f>
        <v>161.33760000000001</v>
      </c>
      <c r="Y133" s="42"/>
      <c r="Z133" s="42">
        <f ca="1">('TUSD BE'!$AM$16+'TUSD BF'!$AM$16+'TUSD CVA'!$AM$16)*1*(1-0.02)</f>
        <v>111.16258866775823</v>
      </c>
      <c r="AA133" s="42">
        <f>('TE BE'!$AB$9+'TE BF'!$AB$9+'TE CVA'!$AB$9)*1*(1-0.02)</f>
        <v>214.31171930230647</v>
      </c>
      <c r="AB133" s="6">
        <f>$K$133*$V$133</f>
        <v>0</v>
      </c>
      <c r="AC133" s="6">
        <f>$M$133*$W$133</f>
        <v>317.11351680000001</v>
      </c>
      <c r="AD133" s="6">
        <f>$O$133*$X$133</f>
        <v>632.12071680000008</v>
      </c>
      <c r="AE133" s="6">
        <f>$K$133*$Y$133</f>
        <v>0</v>
      </c>
      <c r="AF133" s="6">
        <f ca="1">$M$133*$Z$133</f>
        <v>435.53502240027677</v>
      </c>
      <c r="AG133" s="6">
        <f>$O$133*$AA$133</f>
        <v>839.67331622643678</v>
      </c>
    </row>
    <row r="134" spans="1:33" ht="11.25" customHeight="1" x14ac:dyDescent="0.25">
      <c r="A134" s="4" t="s">
        <v>21</v>
      </c>
      <c r="B134" s="4" t="s">
        <v>43</v>
      </c>
      <c r="C134" s="4" t="s">
        <v>44</v>
      </c>
      <c r="D134" s="4" t="s">
        <v>47</v>
      </c>
      <c r="E134" s="4" t="s">
        <v>25</v>
      </c>
      <c r="F134" s="4" t="s">
        <v>25</v>
      </c>
      <c r="G134" s="4" t="s">
        <v>25</v>
      </c>
      <c r="H134" s="4" t="s">
        <v>37</v>
      </c>
      <c r="I134" s="5">
        <v>44805</v>
      </c>
      <c r="J134" s="6">
        <v>0</v>
      </c>
      <c r="K134" s="42">
        <v>0</v>
      </c>
      <c r="L134" s="6">
        <v>6.423</v>
      </c>
      <c r="M134" s="42">
        <v>6.423</v>
      </c>
      <c r="N134" s="6">
        <v>6.423</v>
      </c>
      <c r="O134" s="42">
        <v>6.423</v>
      </c>
      <c r="P134" s="6">
        <v>0</v>
      </c>
      <c r="Q134" s="4" t="s">
        <v>26</v>
      </c>
      <c r="R134" s="4">
        <v>0</v>
      </c>
      <c r="S134" s="6">
        <v>0</v>
      </c>
      <c r="T134" s="6">
        <v>14</v>
      </c>
      <c r="U134" s="6">
        <v>72</v>
      </c>
      <c r="V134" s="42">
        <f>IF(ISERROR(VLOOKUP($S$134,'TAR FIN'!$A$1:$O$115,15,0)),0,VLOOKUP($S$134,'TAR FIN'!$A$1:$O$115,15,0))</f>
        <v>0</v>
      </c>
      <c r="W134" s="42">
        <f>IF(ISERROR(VLOOKUP($T$134,'TAR FIN'!$A$1:$O$115,15,0)),0,VLOOKUP($T$134,'TAR FIN'!$A$1:$O$115,15,0))*(1-0.04)</f>
        <v>80.937600000000003</v>
      </c>
      <c r="X134" s="42">
        <f>IF(ISERROR(VLOOKUP($U$134,'TAR FIN'!$A$1:$O$115,15,0)),0,VLOOKUP($U$134,'TAR FIN'!$A$1:$O$115,15,0))*(1-0.04)</f>
        <v>161.33760000000001</v>
      </c>
      <c r="Y134" s="42"/>
      <c r="Z134" s="42">
        <f ca="1">('TUSD BE'!$AM$16+'TUSD BF'!$AM$16+'TUSD CVA'!$AM$16)*1*(1-0.02)</f>
        <v>111.16258866775823</v>
      </c>
      <c r="AA134" s="42">
        <f>('TE BE'!$AB$9+'TE BF'!$AB$9+'TE CVA'!$AB$9)*1*(1-0.02)</f>
        <v>214.31171930230647</v>
      </c>
      <c r="AB134" s="6">
        <f>$K$134*$V$134</f>
        <v>0</v>
      </c>
      <c r="AC134" s="6">
        <f>$M$134*$W$134</f>
        <v>519.86220479999997</v>
      </c>
      <c r="AD134" s="6">
        <f>$O$134*$X$134</f>
        <v>1036.2714048</v>
      </c>
      <c r="AE134" s="6">
        <f>$K$134*$Y$134</f>
        <v>0</v>
      </c>
      <c r="AF134" s="6">
        <f ca="1">$M$134*$Z$134</f>
        <v>713.9973070130111</v>
      </c>
      <c r="AG134" s="6">
        <f>$O$134*$AA$134</f>
        <v>1376.5241730787145</v>
      </c>
    </row>
    <row r="135" spans="1:33" ht="11.25" customHeight="1" x14ac:dyDescent="0.25">
      <c r="A135" s="4" t="s">
        <v>21</v>
      </c>
      <c r="B135" s="4" t="s">
        <v>43</v>
      </c>
      <c r="C135" s="4" t="s">
        <v>44</v>
      </c>
      <c r="D135" s="4" t="s">
        <v>47</v>
      </c>
      <c r="E135" s="4" t="s">
        <v>25</v>
      </c>
      <c r="F135" s="4" t="s">
        <v>25</v>
      </c>
      <c r="G135" s="4" t="s">
        <v>25</v>
      </c>
      <c r="H135" s="4" t="s">
        <v>37</v>
      </c>
      <c r="I135" s="5">
        <v>44835</v>
      </c>
      <c r="J135" s="6">
        <v>0</v>
      </c>
      <c r="K135" s="42">
        <v>0</v>
      </c>
      <c r="L135" s="6">
        <v>4.0030000000000001</v>
      </c>
      <c r="M135" s="42">
        <v>4.0030000000000001</v>
      </c>
      <c r="N135" s="6">
        <v>4.0030000000000001</v>
      </c>
      <c r="O135" s="42">
        <v>4.0030000000000001</v>
      </c>
      <c r="P135" s="6">
        <v>0</v>
      </c>
      <c r="Q135" s="4" t="s">
        <v>26</v>
      </c>
      <c r="R135" s="4">
        <v>0</v>
      </c>
      <c r="S135" s="6">
        <v>0</v>
      </c>
      <c r="T135" s="6">
        <v>14</v>
      </c>
      <c r="U135" s="6">
        <v>72</v>
      </c>
      <c r="V135" s="42">
        <f>IF(ISERROR(VLOOKUP($S$135,'TAR FIN'!$A$1:$O$115,15,0)),0,VLOOKUP($S$135,'TAR FIN'!$A$1:$O$115,15,0))</f>
        <v>0</v>
      </c>
      <c r="W135" s="42">
        <f>IF(ISERROR(VLOOKUP($T$135,'TAR FIN'!$A$1:$O$115,15,0)),0,VLOOKUP($T$135,'TAR FIN'!$A$1:$O$115,15,0))*(1-0.04)</f>
        <v>80.937600000000003</v>
      </c>
      <c r="X135" s="42">
        <f>IF(ISERROR(VLOOKUP($U$135,'TAR FIN'!$A$1:$O$115,15,0)),0,VLOOKUP($U$135,'TAR FIN'!$A$1:$O$115,15,0))*(1-0.04)</f>
        <v>161.33760000000001</v>
      </c>
      <c r="Y135" s="42"/>
      <c r="Z135" s="42">
        <f ca="1">('TUSD BE'!$AM$16+'TUSD BF'!$AM$16+'TUSD CVA'!$AM$16)*1*(1-0.02)</f>
        <v>111.16258866775823</v>
      </c>
      <c r="AA135" s="42">
        <f>('TE BE'!$AB$9+'TE BF'!$AB$9+'TE CVA'!$AB$9)*1*(1-0.02)</f>
        <v>214.31171930230647</v>
      </c>
      <c r="AB135" s="6">
        <f>$K$135*$V$135</f>
        <v>0</v>
      </c>
      <c r="AC135" s="6">
        <f>$M$135*$W$135</f>
        <v>323.99321280000004</v>
      </c>
      <c r="AD135" s="6">
        <f>$O$135*$X$135</f>
        <v>645.83441280000011</v>
      </c>
      <c r="AE135" s="6">
        <f>$K$135*$Y$135</f>
        <v>0</v>
      </c>
      <c r="AF135" s="6">
        <f ca="1">$M$135*$Z$135</f>
        <v>444.98384243703617</v>
      </c>
      <c r="AG135" s="6">
        <f>$O$135*$AA$135</f>
        <v>857.88981236713278</v>
      </c>
    </row>
    <row r="136" spans="1:33" ht="11.25" customHeight="1" x14ac:dyDescent="0.25">
      <c r="A136" s="4" t="s">
        <v>59</v>
      </c>
      <c r="B136" s="4" t="s">
        <v>43</v>
      </c>
      <c r="C136" s="4" t="s">
        <v>44</v>
      </c>
      <c r="D136" s="4" t="s">
        <v>47</v>
      </c>
      <c r="E136" s="4" t="s">
        <v>25</v>
      </c>
      <c r="F136" s="4" t="s">
        <v>25</v>
      </c>
      <c r="G136" s="4" t="s">
        <v>25</v>
      </c>
      <c r="H136" s="4" t="s">
        <v>37</v>
      </c>
      <c r="I136" s="5">
        <v>44866</v>
      </c>
      <c r="J136" s="6">
        <v>0</v>
      </c>
      <c r="K136" s="42">
        <v>0</v>
      </c>
      <c r="L136" s="6">
        <v>4.0030000000000001</v>
      </c>
      <c r="M136" s="42">
        <v>4.0030000000000001</v>
      </c>
      <c r="N136" s="6">
        <v>4.0030000000000001</v>
      </c>
      <c r="O136" s="42">
        <v>4.0030000000000001</v>
      </c>
      <c r="P136" s="6">
        <v>0</v>
      </c>
      <c r="Q136" s="4" t="s">
        <v>26</v>
      </c>
      <c r="R136" s="4">
        <v>0</v>
      </c>
      <c r="S136" s="6">
        <v>0</v>
      </c>
      <c r="T136" s="6">
        <v>14</v>
      </c>
      <c r="U136" s="6">
        <v>72</v>
      </c>
      <c r="V136" s="42">
        <f>IF(ISERROR(VLOOKUP($S$136,'TAR FIN'!$A$1:$O$115,15,0)),0,VLOOKUP($S$136,'TAR FIN'!$A$1:$O$115,15,0))</f>
        <v>0</v>
      </c>
      <c r="W136" s="42">
        <f>IF(ISERROR(VLOOKUP($T$136,'TAR FIN'!$A$1:$O$115,15,0)),0,VLOOKUP($T$136,'TAR FIN'!$A$1:$O$115,15,0))*(1-0.04)</f>
        <v>80.937600000000003</v>
      </c>
      <c r="X136" s="42">
        <f>IF(ISERROR(VLOOKUP($U$136,'TAR FIN'!$A$1:$O$115,15,0)),0,VLOOKUP($U$136,'TAR FIN'!$A$1:$O$115,15,0))*(1-0.04)</f>
        <v>161.33760000000001</v>
      </c>
      <c r="Y136" s="42"/>
      <c r="Z136" s="42">
        <f ca="1">('TUSD BE'!$AM$16+'TUSD BF'!$AM$16+'TUSD CVA'!$AM$16)*1*(1-0.02)</f>
        <v>111.16258866775823</v>
      </c>
      <c r="AA136" s="42">
        <f>('TE BE'!$AB$9+'TE BF'!$AB$9+'TE CVA'!$AB$9)*1*(1-0.02)</f>
        <v>214.31171930230647</v>
      </c>
      <c r="AB136" s="6">
        <f>$K$136*$V$136</f>
        <v>0</v>
      </c>
      <c r="AC136" s="6">
        <f>$M$136*$W$136</f>
        <v>323.99321280000004</v>
      </c>
      <c r="AD136" s="6">
        <f>$O$136*$X$136</f>
        <v>645.83441280000011</v>
      </c>
      <c r="AE136" s="6">
        <f>$K$136*$Y$136</f>
        <v>0</v>
      </c>
      <c r="AF136" s="6">
        <f ca="1">$M$136*$Z$136</f>
        <v>444.98384243703617</v>
      </c>
      <c r="AG136" s="6">
        <f>$O$136*$AA$136</f>
        <v>857.88981236713278</v>
      </c>
    </row>
    <row r="137" spans="1:33" ht="11.25" customHeight="1" x14ac:dyDescent="0.25">
      <c r="A137" s="4" t="s">
        <v>21</v>
      </c>
      <c r="B137" s="4" t="s">
        <v>43</v>
      </c>
      <c r="C137" s="4" t="s">
        <v>44</v>
      </c>
      <c r="D137" s="4" t="s">
        <v>47</v>
      </c>
      <c r="E137" s="4" t="s">
        <v>25</v>
      </c>
      <c r="F137" s="4" t="s">
        <v>25</v>
      </c>
      <c r="G137" s="4" t="s">
        <v>25</v>
      </c>
      <c r="H137" s="4" t="s">
        <v>25</v>
      </c>
      <c r="I137" s="5">
        <v>44621</v>
      </c>
      <c r="J137" s="6">
        <v>108</v>
      </c>
      <c r="K137" s="42">
        <v>108</v>
      </c>
      <c r="L137" s="6">
        <v>0</v>
      </c>
      <c r="M137" s="42">
        <v>0</v>
      </c>
      <c r="N137" s="6">
        <v>0</v>
      </c>
      <c r="O137" s="42">
        <v>0</v>
      </c>
      <c r="P137" s="6">
        <v>1</v>
      </c>
      <c r="Q137" s="4" t="s">
        <v>26</v>
      </c>
      <c r="R137" s="4">
        <v>0</v>
      </c>
      <c r="S137" s="6">
        <v>12</v>
      </c>
      <c r="T137" s="6">
        <v>0</v>
      </c>
      <c r="U137" s="6">
        <v>0</v>
      </c>
      <c r="V137" s="42">
        <f>IF(ISERROR(VLOOKUP($S$137,'TAR FIN'!$A$1:$O$115,15,0)),0,VLOOKUP($S$137,'TAR FIN'!$A$1:$O$115,15,0))*(1-0.04)</f>
        <v>19.007999999999999</v>
      </c>
      <c r="W137" s="42">
        <f>IF(ISERROR(VLOOKUP($T$137,'TAR FIN'!$A$1:$O$115,15,0)),0,VLOOKUP($T$137,'TAR FIN'!$A$1:$O$115,15,0))</f>
        <v>0</v>
      </c>
      <c r="X137" s="42">
        <f>IF(ISERROR(VLOOKUP($U$137,'TAR FIN'!$A$1:$O$115,15,0)),0,VLOOKUP($U$137,'TAR FIN'!$A$1:$O$115,15,0))</f>
        <v>0</v>
      </c>
      <c r="Y137" s="42">
        <f ca="1">('TUSD BE'!$AM$14+'TUSD BF'!$AM$14+'TUSD CVA'!$AM$14)*1*(1-0.02)</f>
        <v>20.202910043621255</v>
      </c>
      <c r="Z137" s="42"/>
      <c r="AA137" s="42"/>
      <c r="AB137" s="6">
        <f>$K$137*$V$137</f>
        <v>2052.864</v>
      </c>
      <c r="AC137" s="6">
        <f>$M$137*$W$137</f>
        <v>0</v>
      </c>
      <c r="AD137" s="6">
        <f>$O$137*$X$137</f>
        <v>0</v>
      </c>
      <c r="AE137" s="6">
        <f ca="1">$K$137*$Y$137</f>
        <v>2181.9142847110957</v>
      </c>
      <c r="AF137" s="6">
        <f>$M$137*$Z$137</f>
        <v>0</v>
      </c>
      <c r="AG137" s="6">
        <f>$O$137*$AA$137</f>
        <v>0</v>
      </c>
    </row>
    <row r="138" spans="1:33" ht="11.25" customHeight="1" x14ac:dyDescent="0.25">
      <c r="A138" s="4" t="s">
        <v>21</v>
      </c>
      <c r="B138" s="4" t="s">
        <v>43</v>
      </c>
      <c r="C138" s="4" t="s">
        <v>44</v>
      </c>
      <c r="D138" s="4" t="s">
        <v>47</v>
      </c>
      <c r="E138" s="4" t="s">
        <v>25</v>
      </c>
      <c r="F138" s="4" t="s">
        <v>25</v>
      </c>
      <c r="G138" s="4" t="s">
        <v>25</v>
      </c>
      <c r="H138" s="4" t="s">
        <v>25</v>
      </c>
      <c r="I138" s="5">
        <v>44652</v>
      </c>
      <c r="J138" s="6">
        <v>160</v>
      </c>
      <c r="K138" s="42">
        <v>160</v>
      </c>
      <c r="L138" s="6">
        <v>0</v>
      </c>
      <c r="M138" s="42">
        <v>0</v>
      </c>
      <c r="N138" s="6">
        <v>0</v>
      </c>
      <c r="O138" s="42">
        <v>0</v>
      </c>
      <c r="P138" s="6">
        <v>2</v>
      </c>
      <c r="Q138" s="4" t="s">
        <v>26</v>
      </c>
      <c r="R138" s="4">
        <v>0</v>
      </c>
      <c r="S138" s="6">
        <v>12</v>
      </c>
      <c r="T138" s="6">
        <v>0</v>
      </c>
      <c r="U138" s="6">
        <v>0</v>
      </c>
      <c r="V138" s="42">
        <f>IF(ISERROR(VLOOKUP($S$138,'TAR FIN'!$A$1:$O$115,15,0)),0,VLOOKUP($S$138,'TAR FIN'!$A$1:$O$115,15,0))*(1-0.04)</f>
        <v>19.007999999999999</v>
      </c>
      <c r="W138" s="42">
        <f>IF(ISERROR(VLOOKUP($T$138,'TAR FIN'!$A$1:$O$115,15,0)),0,VLOOKUP($T$138,'TAR FIN'!$A$1:$O$115,15,0))</f>
        <v>0</v>
      </c>
      <c r="X138" s="42">
        <f>IF(ISERROR(VLOOKUP($U$138,'TAR FIN'!$A$1:$O$115,15,0)),0,VLOOKUP($U$138,'TAR FIN'!$A$1:$O$115,15,0))</f>
        <v>0</v>
      </c>
      <c r="Y138" s="42">
        <f ca="1">('TUSD BE'!$AM$14+'TUSD BF'!$AM$14+'TUSD CVA'!$AM$14)*1*(1-0.02)</f>
        <v>20.202910043621255</v>
      </c>
      <c r="Z138" s="42"/>
      <c r="AA138" s="42"/>
      <c r="AB138" s="6">
        <f>$K$138*$V$138</f>
        <v>3041.2799999999997</v>
      </c>
      <c r="AC138" s="6">
        <f>$M$138*$W$138</f>
        <v>0</v>
      </c>
      <c r="AD138" s="6">
        <f>$O$138*$X$138</f>
        <v>0</v>
      </c>
      <c r="AE138" s="6">
        <f ca="1">$K$138*$Y$138</f>
        <v>3232.4656069794009</v>
      </c>
      <c r="AF138" s="6">
        <f>$M$138*$Z$138</f>
        <v>0</v>
      </c>
      <c r="AG138" s="6">
        <f>$O$138*$AA$138</f>
        <v>0</v>
      </c>
    </row>
    <row r="139" spans="1:33" ht="11.25" customHeight="1" x14ac:dyDescent="0.25">
      <c r="A139" s="4" t="s">
        <v>21</v>
      </c>
      <c r="B139" s="4" t="s">
        <v>43</v>
      </c>
      <c r="C139" s="4" t="s">
        <v>44</v>
      </c>
      <c r="D139" s="4" t="s">
        <v>47</v>
      </c>
      <c r="E139" s="4" t="s">
        <v>25</v>
      </c>
      <c r="F139" s="4" t="s">
        <v>25</v>
      </c>
      <c r="G139" s="4" t="s">
        <v>25</v>
      </c>
      <c r="H139" s="4" t="s">
        <v>25</v>
      </c>
      <c r="I139" s="5">
        <v>44682</v>
      </c>
      <c r="J139" s="6">
        <v>173</v>
      </c>
      <c r="K139" s="42">
        <v>173</v>
      </c>
      <c r="L139" s="6">
        <v>0</v>
      </c>
      <c r="M139" s="42">
        <v>0</v>
      </c>
      <c r="N139" s="6">
        <v>0</v>
      </c>
      <c r="O139" s="42">
        <v>0</v>
      </c>
      <c r="P139" s="6">
        <v>2</v>
      </c>
      <c r="Q139" s="4" t="s">
        <v>26</v>
      </c>
      <c r="R139" s="4">
        <v>0</v>
      </c>
      <c r="S139" s="6">
        <v>12</v>
      </c>
      <c r="T139" s="6">
        <v>0</v>
      </c>
      <c r="U139" s="6">
        <v>0</v>
      </c>
      <c r="V139" s="42">
        <f>IF(ISERROR(VLOOKUP($S$139,'TAR FIN'!$A$1:$O$115,15,0)),0,VLOOKUP($S$139,'TAR FIN'!$A$1:$O$115,15,0))*(1-0.04)</f>
        <v>19.007999999999999</v>
      </c>
      <c r="W139" s="42">
        <f>IF(ISERROR(VLOOKUP($T$139,'TAR FIN'!$A$1:$O$115,15,0)),0,VLOOKUP($T$139,'TAR FIN'!$A$1:$O$115,15,0))</f>
        <v>0</v>
      </c>
      <c r="X139" s="42">
        <f>IF(ISERROR(VLOOKUP($U$139,'TAR FIN'!$A$1:$O$115,15,0)),0,VLOOKUP($U$139,'TAR FIN'!$A$1:$O$115,15,0))</f>
        <v>0</v>
      </c>
      <c r="Y139" s="42">
        <f ca="1">('TUSD BE'!$AM$14+'TUSD BF'!$AM$14+'TUSD CVA'!$AM$14)*1*(1-0.02)</f>
        <v>20.202910043621255</v>
      </c>
      <c r="Z139" s="42"/>
      <c r="AA139" s="42"/>
      <c r="AB139" s="6">
        <f>$K$139*$V$139</f>
        <v>3288.384</v>
      </c>
      <c r="AC139" s="6">
        <f>$M$139*$W$139</f>
        <v>0</v>
      </c>
      <c r="AD139" s="6">
        <f>$O$139*$X$139</f>
        <v>0</v>
      </c>
      <c r="AE139" s="6">
        <f ca="1">$K$139*$Y$139</f>
        <v>3495.1034375464769</v>
      </c>
      <c r="AF139" s="6">
        <f>$M$139*$Z$139</f>
        <v>0</v>
      </c>
      <c r="AG139" s="6">
        <f>$O$139*$AA$139</f>
        <v>0</v>
      </c>
    </row>
    <row r="140" spans="1:33" ht="11.25" customHeight="1" x14ac:dyDescent="0.25">
      <c r="A140" s="4" t="s">
        <v>21</v>
      </c>
      <c r="B140" s="4" t="s">
        <v>43</v>
      </c>
      <c r="C140" s="4" t="s">
        <v>44</v>
      </c>
      <c r="D140" s="4" t="s">
        <v>47</v>
      </c>
      <c r="E140" s="4" t="s">
        <v>25</v>
      </c>
      <c r="F140" s="4" t="s">
        <v>25</v>
      </c>
      <c r="G140" s="4" t="s">
        <v>25</v>
      </c>
      <c r="H140" s="4" t="s">
        <v>25</v>
      </c>
      <c r="I140" s="5">
        <v>44713</v>
      </c>
      <c r="J140" s="6">
        <v>186</v>
      </c>
      <c r="K140" s="42">
        <v>186</v>
      </c>
      <c r="L140" s="6">
        <v>0</v>
      </c>
      <c r="M140" s="42">
        <v>0</v>
      </c>
      <c r="N140" s="6">
        <v>0</v>
      </c>
      <c r="O140" s="42">
        <v>0</v>
      </c>
      <c r="P140" s="6">
        <v>2</v>
      </c>
      <c r="Q140" s="4" t="s">
        <v>26</v>
      </c>
      <c r="R140" s="4">
        <v>0</v>
      </c>
      <c r="S140" s="6">
        <v>12</v>
      </c>
      <c r="T140" s="6">
        <v>0</v>
      </c>
      <c r="U140" s="6">
        <v>0</v>
      </c>
      <c r="V140" s="42">
        <f>IF(ISERROR(VLOOKUP($S$140,'TAR FIN'!$A$1:$O$115,15,0)),0,VLOOKUP($S$140,'TAR FIN'!$A$1:$O$115,15,0))*(1-0.04)</f>
        <v>19.007999999999999</v>
      </c>
      <c r="W140" s="42">
        <f>IF(ISERROR(VLOOKUP($T$140,'TAR FIN'!$A$1:$O$115,15,0)),0,VLOOKUP($T$140,'TAR FIN'!$A$1:$O$115,15,0))</f>
        <v>0</v>
      </c>
      <c r="X140" s="42">
        <f>IF(ISERROR(VLOOKUP($U$140,'TAR FIN'!$A$1:$O$115,15,0)),0,VLOOKUP($U$140,'TAR FIN'!$A$1:$O$115,15,0))</f>
        <v>0</v>
      </c>
      <c r="Y140" s="42">
        <f ca="1">('TUSD BE'!$AM$14+'TUSD BF'!$AM$14+'TUSD CVA'!$AM$14)*1*(1-0.02)</f>
        <v>20.202910043621255</v>
      </c>
      <c r="Z140" s="42"/>
      <c r="AA140" s="42"/>
      <c r="AB140" s="6">
        <f>$K$140*$V$140</f>
        <v>3535.4879999999998</v>
      </c>
      <c r="AC140" s="6">
        <f>$M$140*$W$140</f>
        <v>0</v>
      </c>
      <c r="AD140" s="6">
        <f>$O$140*$X$140</f>
        <v>0</v>
      </c>
      <c r="AE140" s="6">
        <f ca="1">$K$140*$Y$140</f>
        <v>3757.7412681135534</v>
      </c>
      <c r="AF140" s="6">
        <f>$M$140*$Z$140</f>
        <v>0</v>
      </c>
      <c r="AG140" s="6">
        <f>$O$140*$AA$140</f>
        <v>0</v>
      </c>
    </row>
    <row r="141" spans="1:33" ht="11.25" customHeight="1" x14ac:dyDescent="0.25">
      <c r="A141" s="4" t="s">
        <v>21</v>
      </c>
      <c r="B141" s="4" t="s">
        <v>43</v>
      </c>
      <c r="C141" s="4" t="s">
        <v>44</v>
      </c>
      <c r="D141" s="4" t="s">
        <v>47</v>
      </c>
      <c r="E141" s="4" t="s">
        <v>25</v>
      </c>
      <c r="F141" s="4" t="s">
        <v>25</v>
      </c>
      <c r="G141" s="4" t="s">
        <v>25</v>
      </c>
      <c r="H141" s="4" t="s">
        <v>25</v>
      </c>
      <c r="I141" s="5">
        <v>44743</v>
      </c>
      <c r="J141" s="6">
        <v>138</v>
      </c>
      <c r="K141" s="42">
        <v>138</v>
      </c>
      <c r="L141" s="6">
        <v>0</v>
      </c>
      <c r="M141" s="42">
        <v>0</v>
      </c>
      <c r="N141" s="6">
        <v>0</v>
      </c>
      <c r="O141" s="42">
        <v>0</v>
      </c>
      <c r="P141" s="6">
        <v>2</v>
      </c>
      <c r="Q141" s="4" t="s">
        <v>26</v>
      </c>
      <c r="R141" s="4">
        <v>0</v>
      </c>
      <c r="S141" s="6">
        <v>12</v>
      </c>
      <c r="T141" s="6">
        <v>0</v>
      </c>
      <c r="U141" s="6">
        <v>0</v>
      </c>
      <c r="V141" s="42">
        <f>IF(ISERROR(VLOOKUP($S$141,'TAR FIN'!$A$1:$O$115,15,0)),0,VLOOKUP($S$141,'TAR FIN'!$A$1:$O$115,15,0))*(1-0.04)</f>
        <v>19.007999999999999</v>
      </c>
      <c r="W141" s="42">
        <f>IF(ISERROR(VLOOKUP($T$141,'TAR FIN'!$A$1:$O$115,15,0)),0,VLOOKUP($T$141,'TAR FIN'!$A$1:$O$115,15,0))</f>
        <v>0</v>
      </c>
      <c r="X141" s="42">
        <f>IF(ISERROR(VLOOKUP($U$141,'TAR FIN'!$A$1:$O$115,15,0)),0,VLOOKUP($U$141,'TAR FIN'!$A$1:$O$115,15,0))</f>
        <v>0</v>
      </c>
      <c r="Y141" s="42">
        <f ca="1">('TUSD BE'!$AM$14+'TUSD BF'!$AM$14+'TUSD CVA'!$AM$14)*1*(1-0.02)</f>
        <v>20.202910043621255</v>
      </c>
      <c r="Z141" s="42"/>
      <c r="AA141" s="42"/>
      <c r="AB141" s="6">
        <f>$K$141*$V$141</f>
        <v>2623.1039999999998</v>
      </c>
      <c r="AC141" s="6">
        <f>$M$141*$W$141</f>
        <v>0</v>
      </c>
      <c r="AD141" s="6">
        <f>$O$141*$X$141</f>
        <v>0</v>
      </c>
      <c r="AE141" s="6">
        <f ca="1">$K$141*$Y$141</f>
        <v>2788.0015860197332</v>
      </c>
      <c r="AF141" s="6">
        <f>$M$141*$Z$141</f>
        <v>0</v>
      </c>
      <c r="AG141" s="6">
        <f>$O$141*$AA$141</f>
        <v>0</v>
      </c>
    </row>
    <row r="142" spans="1:33" ht="11.25" customHeight="1" x14ac:dyDescent="0.25">
      <c r="A142" s="4" t="s">
        <v>21</v>
      </c>
      <c r="B142" s="4" t="s">
        <v>43</v>
      </c>
      <c r="C142" s="4" t="s">
        <v>44</v>
      </c>
      <c r="D142" s="4" t="s">
        <v>47</v>
      </c>
      <c r="E142" s="4" t="s">
        <v>25</v>
      </c>
      <c r="F142" s="4" t="s">
        <v>25</v>
      </c>
      <c r="G142" s="4" t="s">
        <v>25</v>
      </c>
      <c r="H142" s="4" t="s">
        <v>25</v>
      </c>
      <c r="I142" s="5">
        <v>44774</v>
      </c>
      <c r="J142" s="6">
        <v>37</v>
      </c>
      <c r="K142" s="42">
        <v>37</v>
      </c>
      <c r="L142" s="6">
        <v>0</v>
      </c>
      <c r="M142" s="42">
        <v>0</v>
      </c>
      <c r="N142" s="6">
        <v>0</v>
      </c>
      <c r="O142" s="42">
        <v>0</v>
      </c>
      <c r="P142" s="6">
        <v>2</v>
      </c>
      <c r="Q142" s="4" t="s">
        <v>26</v>
      </c>
      <c r="R142" s="4">
        <v>0</v>
      </c>
      <c r="S142" s="6">
        <v>12</v>
      </c>
      <c r="T142" s="6">
        <v>0</v>
      </c>
      <c r="U142" s="6">
        <v>0</v>
      </c>
      <c r="V142" s="42">
        <f>IF(ISERROR(VLOOKUP($S$142,'TAR FIN'!$A$1:$O$115,15,0)),0,VLOOKUP($S$142,'TAR FIN'!$A$1:$O$115,15,0))*(1-0.04)</f>
        <v>19.007999999999999</v>
      </c>
      <c r="W142" s="42">
        <f>IF(ISERROR(VLOOKUP($T$142,'TAR FIN'!$A$1:$O$115,15,0)),0,VLOOKUP($T$142,'TAR FIN'!$A$1:$O$115,15,0))</f>
        <v>0</v>
      </c>
      <c r="X142" s="42">
        <f>IF(ISERROR(VLOOKUP($U$142,'TAR FIN'!$A$1:$O$115,15,0)),0,VLOOKUP($U$142,'TAR FIN'!$A$1:$O$115,15,0))</f>
        <v>0</v>
      </c>
      <c r="Y142" s="42">
        <f ca="1">('TUSD BE'!$AM$14+'TUSD BF'!$AM$14+'TUSD CVA'!$AM$14)*1*(1-0.02)</f>
        <v>20.202910043621255</v>
      </c>
      <c r="Z142" s="42"/>
      <c r="AA142" s="42"/>
      <c r="AB142" s="6">
        <f>$K$142*$V$142</f>
        <v>703.29599999999994</v>
      </c>
      <c r="AC142" s="6">
        <f>$M$142*$W$142</f>
        <v>0</v>
      </c>
      <c r="AD142" s="6">
        <f>$O$142*$X$142</f>
        <v>0</v>
      </c>
      <c r="AE142" s="6">
        <f ca="1">$K$142*$Y$142</f>
        <v>747.50767161398642</v>
      </c>
      <c r="AF142" s="6">
        <f>$M$142*$Z$142</f>
        <v>0</v>
      </c>
      <c r="AG142" s="6">
        <f>$O$142*$AA$142</f>
        <v>0</v>
      </c>
    </row>
    <row r="143" spans="1:33" ht="11.25" customHeight="1" x14ac:dyDescent="0.25">
      <c r="A143" s="4" t="s">
        <v>21</v>
      </c>
      <c r="B143" s="4" t="s">
        <v>43</v>
      </c>
      <c r="C143" s="4" t="s">
        <v>44</v>
      </c>
      <c r="D143" s="4" t="s">
        <v>47</v>
      </c>
      <c r="E143" s="4" t="s">
        <v>25</v>
      </c>
      <c r="F143" s="4" t="s">
        <v>25</v>
      </c>
      <c r="G143" s="4" t="s">
        <v>25</v>
      </c>
      <c r="H143" s="4" t="s">
        <v>25</v>
      </c>
      <c r="I143" s="5">
        <v>44805</v>
      </c>
      <c r="J143" s="6">
        <v>170</v>
      </c>
      <c r="K143" s="42">
        <v>170</v>
      </c>
      <c r="L143" s="6">
        <v>0</v>
      </c>
      <c r="M143" s="42">
        <v>0</v>
      </c>
      <c r="N143" s="6">
        <v>0</v>
      </c>
      <c r="O143" s="42">
        <v>0</v>
      </c>
      <c r="P143" s="6">
        <v>2</v>
      </c>
      <c r="Q143" s="4" t="s">
        <v>26</v>
      </c>
      <c r="R143" s="4">
        <v>0</v>
      </c>
      <c r="S143" s="6">
        <v>12</v>
      </c>
      <c r="T143" s="6">
        <v>0</v>
      </c>
      <c r="U143" s="6">
        <v>0</v>
      </c>
      <c r="V143" s="42">
        <f>IF(ISERROR(VLOOKUP($S$143,'TAR FIN'!$A$1:$O$115,15,0)),0,VLOOKUP($S$143,'TAR FIN'!$A$1:$O$115,15,0))*(1-0.04)</f>
        <v>19.007999999999999</v>
      </c>
      <c r="W143" s="42">
        <f>IF(ISERROR(VLOOKUP($T$143,'TAR FIN'!$A$1:$O$115,15,0)),0,VLOOKUP($T$143,'TAR FIN'!$A$1:$O$115,15,0))</f>
        <v>0</v>
      </c>
      <c r="X143" s="42">
        <f>IF(ISERROR(VLOOKUP($U$143,'TAR FIN'!$A$1:$O$115,15,0)),0,VLOOKUP($U$143,'TAR FIN'!$A$1:$O$115,15,0))</f>
        <v>0</v>
      </c>
      <c r="Y143" s="42">
        <f ca="1">('TUSD BE'!$AM$14+'TUSD BF'!$AM$14+'TUSD CVA'!$AM$14)*1*(1-0.02)</f>
        <v>20.202910043621255</v>
      </c>
      <c r="Z143" s="42"/>
      <c r="AA143" s="42"/>
      <c r="AB143" s="6">
        <f>$K$143*$V$143</f>
        <v>3231.3599999999997</v>
      </c>
      <c r="AC143" s="6">
        <f>$M$143*$W$143</f>
        <v>0</v>
      </c>
      <c r="AD143" s="6">
        <f>$O$143*$X$143</f>
        <v>0</v>
      </c>
      <c r="AE143" s="6">
        <f ca="1">$K$143*$Y$143</f>
        <v>3434.4947074156134</v>
      </c>
      <c r="AF143" s="6">
        <f>$M$143*$Z$143</f>
        <v>0</v>
      </c>
      <c r="AG143" s="6">
        <f>$O$143*$AA$143</f>
        <v>0</v>
      </c>
    </row>
    <row r="144" spans="1:33" ht="11.25" customHeight="1" x14ac:dyDescent="0.25">
      <c r="A144" s="4" t="s">
        <v>21</v>
      </c>
      <c r="B144" s="4" t="s">
        <v>43</v>
      </c>
      <c r="C144" s="4" t="s">
        <v>44</v>
      </c>
      <c r="D144" s="4" t="s">
        <v>47</v>
      </c>
      <c r="E144" s="4" t="s">
        <v>25</v>
      </c>
      <c r="F144" s="4" t="s">
        <v>25</v>
      </c>
      <c r="G144" s="4" t="s">
        <v>25</v>
      </c>
      <c r="H144" s="4" t="s">
        <v>25</v>
      </c>
      <c r="I144" s="5">
        <v>44835</v>
      </c>
      <c r="J144" s="6">
        <v>85</v>
      </c>
      <c r="K144" s="42">
        <v>85</v>
      </c>
      <c r="L144" s="6">
        <v>0</v>
      </c>
      <c r="M144" s="42">
        <v>0</v>
      </c>
      <c r="N144" s="6">
        <v>0</v>
      </c>
      <c r="O144" s="42">
        <v>0</v>
      </c>
      <c r="P144" s="6">
        <v>2</v>
      </c>
      <c r="Q144" s="4" t="s">
        <v>26</v>
      </c>
      <c r="R144" s="4">
        <v>0</v>
      </c>
      <c r="S144" s="6">
        <v>12</v>
      </c>
      <c r="T144" s="6">
        <v>0</v>
      </c>
      <c r="U144" s="6">
        <v>0</v>
      </c>
      <c r="V144" s="42">
        <f>IF(ISERROR(VLOOKUP($S$144,'TAR FIN'!$A$1:$O$115,15,0)),0,VLOOKUP($S$144,'TAR FIN'!$A$1:$O$115,15,0))*(1-0.04)</f>
        <v>19.007999999999999</v>
      </c>
      <c r="W144" s="42">
        <f>IF(ISERROR(VLOOKUP($T$144,'TAR FIN'!$A$1:$O$115,15,0)),0,VLOOKUP($T$144,'TAR FIN'!$A$1:$O$115,15,0))</f>
        <v>0</v>
      </c>
      <c r="X144" s="42">
        <f>IF(ISERROR(VLOOKUP($U$144,'TAR FIN'!$A$1:$O$115,15,0)),0,VLOOKUP($U$144,'TAR FIN'!$A$1:$O$115,15,0))</f>
        <v>0</v>
      </c>
      <c r="Y144" s="42">
        <f ca="1">('TUSD BE'!$AM$14+'TUSD BF'!$AM$14+'TUSD CVA'!$AM$14)*1*(1-0.02)</f>
        <v>20.202910043621255</v>
      </c>
      <c r="Z144" s="42"/>
      <c r="AA144" s="42"/>
      <c r="AB144" s="6">
        <f>$K$144*$V$144</f>
        <v>1615.6799999999998</v>
      </c>
      <c r="AC144" s="6">
        <f>$M$144*$W$144</f>
        <v>0</v>
      </c>
      <c r="AD144" s="6">
        <f>$O$144*$X$144</f>
        <v>0</v>
      </c>
      <c r="AE144" s="6">
        <f ca="1">$K$144*$Y$144</f>
        <v>1717.2473537078067</v>
      </c>
      <c r="AF144" s="6">
        <f>$M$144*$Z$144</f>
        <v>0</v>
      </c>
      <c r="AG144" s="6">
        <f>$O$144*$AA$144</f>
        <v>0</v>
      </c>
    </row>
    <row r="145" spans="1:33" ht="11.25" customHeight="1" x14ac:dyDescent="0.25">
      <c r="A145" s="4" t="s">
        <v>59</v>
      </c>
      <c r="B145" s="4" t="s">
        <v>43</v>
      </c>
      <c r="C145" s="4" t="s">
        <v>44</v>
      </c>
      <c r="D145" s="4" t="s">
        <v>47</v>
      </c>
      <c r="E145" s="4" t="s">
        <v>25</v>
      </c>
      <c r="F145" s="4" t="s">
        <v>25</v>
      </c>
      <c r="G145" s="4" t="s">
        <v>25</v>
      </c>
      <c r="H145" s="4" t="s">
        <v>25</v>
      </c>
      <c r="I145" s="5">
        <v>44866</v>
      </c>
      <c r="J145" s="6">
        <v>85</v>
      </c>
      <c r="K145" s="42">
        <v>85</v>
      </c>
      <c r="L145" s="6">
        <v>0</v>
      </c>
      <c r="M145" s="42">
        <v>0</v>
      </c>
      <c r="N145" s="6">
        <v>0</v>
      </c>
      <c r="O145" s="42">
        <v>0</v>
      </c>
      <c r="P145" s="6">
        <v>2</v>
      </c>
      <c r="Q145" s="4" t="s">
        <v>26</v>
      </c>
      <c r="R145" s="4">
        <v>0</v>
      </c>
      <c r="S145" s="6">
        <v>12</v>
      </c>
      <c r="T145" s="6">
        <v>0</v>
      </c>
      <c r="U145" s="6">
        <v>0</v>
      </c>
      <c r="V145" s="42">
        <f>IF(ISERROR(VLOOKUP($S$145,'TAR FIN'!$A$1:$O$115,15,0)),0,VLOOKUP($S$145,'TAR FIN'!$A$1:$O$115,15,0))*(1-0.04)</f>
        <v>19.007999999999999</v>
      </c>
      <c r="W145" s="42">
        <f>IF(ISERROR(VLOOKUP($T$145,'TAR FIN'!$A$1:$O$115,15,0)),0,VLOOKUP($T$145,'TAR FIN'!$A$1:$O$115,15,0))</f>
        <v>0</v>
      </c>
      <c r="X145" s="42">
        <f>IF(ISERROR(VLOOKUP($U$145,'TAR FIN'!$A$1:$O$115,15,0)),0,VLOOKUP($U$145,'TAR FIN'!$A$1:$O$115,15,0))</f>
        <v>0</v>
      </c>
      <c r="Y145" s="42">
        <f ca="1">('TUSD BE'!$AM$14+'TUSD BF'!$AM$14+'TUSD CVA'!$AM$14)*1*(1-0.02)</f>
        <v>20.202910043621255</v>
      </c>
      <c r="Z145" s="42"/>
      <c r="AA145" s="42"/>
      <c r="AB145" s="6">
        <f>$K$145*$V$145</f>
        <v>1615.6799999999998</v>
      </c>
      <c r="AC145" s="6">
        <f>$M$145*$W$145</f>
        <v>0</v>
      </c>
      <c r="AD145" s="6">
        <f>$O$145*$X$145</f>
        <v>0</v>
      </c>
      <c r="AE145" s="6">
        <f ca="1">$K$145*$Y$145</f>
        <v>1717.2473537078067</v>
      </c>
      <c r="AF145" s="6">
        <f>$M$145*$Z$145</f>
        <v>0</v>
      </c>
      <c r="AG145" s="6">
        <f>$O$145*$AA$145</f>
        <v>0</v>
      </c>
    </row>
    <row r="146" spans="1:33" ht="11.25" customHeight="1" x14ac:dyDescent="0.25">
      <c r="A146" s="4" t="s">
        <v>21</v>
      </c>
      <c r="B146" s="4" t="s">
        <v>43</v>
      </c>
      <c r="C146" s="4" t="s">
        <v>44</v>
      </c>
      <c r="D146" s="4" t="s">
        <v>47</v>
      </c>
      <c r="E146" s="4" t="s">
        <v>25</v>
      </c>
      <c r="F146" s="4" t="s">
        <v>25</v>
      </c>
      <c r="G146" s="4" t="s">
        <v>25</v>
      </c>
      <c r="H146" s="4" t="s">
        <v>36</v>
      </c>
      <c r="I146" s="5">
        <v>44621</v>
      </c>
      <c r="J146" s="6">
        <v>0</v>
      </c>
      <c r="K146" s="42">
        <v>0</v>
      </c>
      <c r="L146" s="6">
        <v>1.2589999999999999</v>
      </c>
      <c r="M146" s="42">
        <v>1.2589999999999999</v>
      </c>
      <c r="N146" s="6">
        <v>1.2589999999999999</v>
      </c>
      <c r="O146" s="42">
        <v>1.2589999999999999</v>
      </c>
      <c r="P146" s="6">
        <v>0</v>
      </c>
      <c r="Q146" s="4" t="s">
        <v>26</v>
      </c>
      <c r="R146" s="4">
        <v>0</v>
      </c>
      <c r="S146" s="6">
        <v>0</v>
      </c>
      <c r="T146" s="6">
        <v>13</v>
      </c>
      <c r="U146" s="6">
        <v>71</v>
      </c>
      <c r="V146" s="42">
        <f>IF(ISERROR(VLOOKUP($S$146,'TAR FIN'!$A$1:$O$115,15,0)),0,VLOOKUP($S$146,'TAR FIN'!$A$1:$O$115,15,0))</f>
        <v>0</v>
      </c>
      <c r="W146" s="42">
        <f>IF(ISERROR(VLOOKUP($T$146,'TAR FIN'!$A$1:$O$115,15,0)),0,VLOOKUP($T$146,'TAR FIN'!$A$1:$O$115,15,0))*(1-0.04)</f>
        <v>1391.0016000000001</v>
      </c>
      <c r="X146" s="42">
        <f>IF(ISERROR(VLOOKUP($U$146,'TAR FIN'!$A$1:$O$115,15,0)),0,VLOOKUP($U$146,'TAR FIN'!$A$1:$O$115,15,0))*(1-0.04)</f>
        <v>259.488</v>
      </c>
      <c r="Y146" s="42"/>
      <c r="Z146" s="42">
        <f ca="1">('TUSD BE'!$AM$15+'TUSD BF'!$AM$15+'TUSD CVA'!$AM$15)*1*(1-0.02)</f>
        <v>1450.5254602362083</v>
      </c>
      <c r="AA146" s="42">
        <f>('TE BE'!$AB$8+'TE BF'!$AB$8+'TE CVA'!$AB$8)*1*(1-0.02)</f>
        <v>355.39110709588994</v>
      </c>
      <c r="AB146" s="6">
        <f>$K$146*$V$146</f>
        <v>0</v>
      </c>
      <c r="AC146" s="6">
        <f>$M$146*$W$146</f>
        <v>1751.2710144</v>
      </c>
      <c r="AD146" s="6">
        <f>$O$146*$X$146</f>
        <v>326.69539199999997</v>
      </c>
      <c r="AE146" s="6">
        <f>$K$146*$Y$146</f>
        <v>0</v>
      </c>
      <c r="AF146" s="6">
        <f ca="1">$M$146*$Z$146</f>
        <v>1826.2115544373862</v>
      </c>
      <c r="AG146" s="6">
        <f>$O$146*$AA$146</f>
        <v>447.4374038337254</v>
      </c>
    </row>
    <row r="147" spans="1:33" ht="11.25" customHeight="1" x14ac:dyDescent="0.25">
      <c r="A147" s="4" t="s">
        <v>21</v>
      </c>
      <c r="B147" s="4" t="s">
        <v>43</v>
      </c>
      <c r="C147" s="4" t="s">
        <v>44</v>
      </c>
      <c r="D147" s="4" t="s">
        <v>47</v>
      </c>
      <c r="E147" s="4" t="s">
        <v>25</v>
      </c>
      <c r="F147" s="4" t="s">
        <v>25</v>
      </c>
      <c r="G147" s="4" t="s">
        <v>25</v>
      </c>
      <c r="H147" s="4" t="s">
        <v>36</v>
      </c>
      <c r="I147" s="5">
        <v>44652</v>
      </c>
      <c r="J147" s="6">
        <v>0</v>
      </c>
      <c r="K147" s="42">
        <v>0</v>
      </c>
      <c r="L147" s="6">
        <v>0.70099999999999996</v>
      </c>
      <c r="M147" s="42">
        <v>0.70099999999999996</v>
      </c>
      <c r="N147" s="6">
        <v>0.70099999999999996</v>
      </c>
      <c r="O147" s="42">
        <v>0.70099999999999996</v>
      </c>
      <c r="P147" s="6">
        <v>0</v>
      </c>
      <c r="Q147" s="4" t="s">
        <v>26</v>
      </c>
      <c r="R147" s="4">
        <v>0</v>
      </c>
      <c r="S147" s="6">
        <v>0</v>
      </c>
      <c r="T147" s="6">
        <v>13</v>
      </c>
      <c r="U147" s="6">
        <v>71</v>
      </c>
      <c r="V147" s="42">
        <f>IF(ISERROR(VLOOKUP($S$147,'TAR FIN'!$A$1:$O$115,15,0)),0,VLOOKUP($S$147,'TAR FIN'!$A$1:$O$115,15,0))</f>
        <v>0</v>
      </c>
      <c r="W147" s="42">
        <f>IF(ISERROR(VLOOKUP($T$147,'TAR FIN'!$A$1:$O$115,15,0)),0,VLOOKUP($T$147,'TAR FIN'!$A$1:$O$115,15,0))*(1-0.04)</f>
        <v>1391.0016000000001</v>
      </c>
      <c r="X147" s="42">
        <f>IF(ISERROR(VLOOKUP($U$147,'TAR FIN'!$A$1:$O$115,15,0)),0,VLOOKUP($U$147,'TAR FIN'!$A$1:$O$115,15,0))*(1-0.04)</f>
        <v>259.488</v>
      </c>
      <c r="Y147" s="42"/>
      <c r="Z147" s="42">
        <f ca="1">('TUSD BE'!$AM$15+'TUSD BF'!$AM$15+'TUSD CVA'!$AM$15)*1*(1-0.02)</f>
        <v>1450.5254602362083</v>
      </c>
      <c r="AA147" s="42">
        <f>('TE BE'!$AB$8+'TE BF'!$AB$8+'TE CVA'!$AB$8)*1*(1-0.02)</f>
        <v>355.39110709588994</v>
      </c>
      <c r="AB147" s="6">
        <f>$K$147*$V$147</f>
        <v>0</v>
      </c>
      <c r="AC147" s="6">
        <f>$M$147*$W$147</f>
        <v>975.09212159999993</v>
      </c>
      <c r="AD147" s="6">
        <f>$O$147*$X$147</f>
        <v>181.90108799999999</v>
      </c>
      <c r="AE147" s="6">
        <f>$K$147*$Y$147</f>
        <v>0</v>
      </c>
      <c r="AF147" s="6">
        <f ca="1">$M$147*$Z$147</f>
        <v>1016.818347625582</v>
      </c>
      <c r="AG147" s="6">
        <f>$O$147*$AA$147</f>
        <v>249.12916607421883</v>
      </c>
    </row>
    <row r="148" spans="1:33" ht="11.25" customHeight="1" x14ac:dyDescent="0.25">
      <c r="A148" s="4" t="s">
        <v>21</v>
      </c>
      <c r="B148" s="4" t="s">
        <v>43</v>
      </c>
      <c r="C148" s="4" t="s">
        <v>44</v>
      </c>
      <c r="D148" s="4" t="s">
        <v>47</v>
      </c>
      <c r="E148" s="4" t="s">
        <v>25</v>
      </c>
      <c r="F148" s="4" t="s">
        <v>25</v>
      </c>
      <c r="G148" s="4" t="s">
        <v>25</v>
      </c>
      <c r="H148" s="4" t="s">
        <v>36</v>
      </c>
      <c r="I148" s="5">
        <v>44682</v>
      </c>
      <c r="J148" s="6">
        <v>0</v>
      </c>
      <c r="K148" s="42">
        <v>0</v>
      </c>
      <c r="L148" s="6">
        <v>2.1110000000000002</v>
      </c>
      <c r="M148" s="42">
        <v>2.1110000000000002</v>
      </c>
      <c r="N148" s="6">
        <v>2.1110000000000002</v>
      </c>
      <c r="O148" s="42">
        <v>2.1110000000000002</v>
      </c>
      <c r="P148" s="6">
        <v>0</v>
      </c>
      <c r="Q148" s="4" t="s">
        <v>26</v>
      </c>
      <c r="R148" s="4">
        <v>0</v>
      </c>
      <c r="S148" s="6">
        <v>0</v>
      </c>
      <c r="T148" s="6">
        <v>13</v>
      </c>
      <c r="U148" s="6">
        <v>71</v>
      </c>
      <c r="V148" s="42">
        <f>IF(ISERROR(VLOOKUP($S$148,'TAR FIN'!$A$1:$O$115,15,0)),0,VLOOKUP($S$148,'TAR FIN'!$A$1:$O$115,15,0))</f>
        <v>0</v>
      </c>
      <c r="W148" s="42">
        <f>IF(ISERROR(VLOOKUP($T$148,'TAR FIN'!$A$1:$O$115,15,0)),0,VLOOKUP($T$148,'TAR FIN'!$A$1:$O$115,15,0))*(1-0.04)</f>
        <v>1391.0016000000001</v>
      </c>
      <c r="X148" s="42">
        <f>IF(ISERROR(VLOOKUP($U$148,'TAR FIN'!$A$1:$O$115,15,0)),0,VLOOKUP($U$148,'TAR FIN'!$A$1:$O$115,15,0))*(1-0.04)</f>
        <v>259.488</v>
      </c>
      <c r="Y148" s="42"/>
      <c r="Z148" s="42">
        <f ca="1">('TUSD BE'!$AM$15+'TUSD BF'!$AM$15+'TUSD CVA'!$AM$15)*1*(1-0.02)</f>
        <v>1450.5254602362083</v>
      </c>
      <c r="AA148" s="42">
        <f>('TE BE'!$AB$8+'TE BF'!$AB$8+'TE CVA'!$AB$8)*1*(1-0.02)</f>
        <v>355.39110709588994</v>
      </c>
      <c r="AB148" s="6">
        <f>$K$148*$V$148</f>
        <v>0</v>
      </c>
      <c r="AC148" s="6">
        <f>$M$148*$W$148</f>
        <v>2936.4043776000003</v>
      </c>
      <c r="AD148" s="6">
        <f>$O$148*$X$148</f>
        <v>547.77916800000003</v>
      </c>
      <c r="AE148" s="6">
        <f>$K$148*$Y$148</f>
        <v>0</v>
      </c>
      <c r="AF148" s="6">
        <f ca="1">$M$148*$Z$148</f>
        <v>3062.059246558636</v>
      </c>
      <c r="AG148" s="6">
        <f>$O$148*$AA$148</f>
        <v>750.2306270794237</v>
      </c>
    </row>
    <row r="149" spans="1:33" ht="11.25" customHeight="1" x14ac:dyDescent="0.25">
      <c r="A149" s="4" t="s">
        <v>21</v>
      </c>
      <c r="B149" s="4" t="s">
        <v>43</v>
      </c>
      <c r="C149" s="4" t="s">
        <v>44</v>
      </c>
      <c r="D149" s="4" t="s">
        <v>47</v>
      </c>
      <c r="E149" s="4" t="s">
        <v>25</v>
      </c>
      <c r="F149" s="4" t="s">
        <v>25</v>
      </c>
      <c r="G149" s="4" t="s">
        <v>25</v>
      </c>
      <c r="H149" s="4" t="s">
        <v>36</v>
      </c>
      <c r="I149" s="5">
        <v>44713</v>
      </c>
      <c r="J149" s="6">
        <v>0</v>
      </c>
      <c r="K149" s="42">
        <v>0</v>
      </c>
      <c r="L149" s="6">
        <v>1.43</v>
      </c>
      <c r="M149" s="42">
        <v>1.43</v>
      </c>
      <c r="N149" s="6">
        <v>1.43</v>
      </c>
      <c r="O149" s="42">
        <v>1.43</v>
      </c>
      <c r="P149" s="6">
        <v>0</v>
      </c>
      <c r="Q149" s="4" t="s">
        <v>26</v>
      </c>
      <c r="R149" s="4">
        <v>0</v>
      </c>
      <c r="S149" s="6">
        <v>0</v>
      </c>
      <c r="T149" s="6">
        <v>13</v>
      </c>
      <c r="U149" s="6">
        <v>71</v>
      </c>
      <c r="V149" s="42">
        <f>IF(ISERROR(VLOOKUP($S$149,'TAR FIN'!$A$1:$O$115,15,0)),0,VLOOKUP($S$149,'TAR FIN'!$A$1:$O$115,15,0))</f>
        <v>0</v>
      </c>
      <c r="W149" s="42">
        <f>IF(ISERROR(VLOOKUP($T$149,'TAR FIN'!$A$1:$O$115,15,0)),0,VLOOKUP($T$149,'TAR FIN'!$A$1:$O$115,15,0))*(1-0.04)</f>
        <v>1391.0016000000001</v>
      </c>
      <c r="X149" s="42">
        <f>IF(ISERROR(VLOOKUP($U$149,'TAR FIN'!$A$1:$O$115,15,0)),0,VLOOKUP($U$149,'TAR FIN'!$A$1:$O$115,15,0))*(1-0.04)</f>
        <v>259.488</v>
      </c>
      <c r="Y149" s="42"/>
      <c r="Z149" s="42">
        <f ca="1">('TUSD BE'!$AM$15+'TUSD BF'!$AM$15+'TUSD CVA'!$AM$15)*1*(1-0.02)</f>
        <v>1450.5254602362083</v>
      </c>
      <c r="AA149" s="42">
        <f>('TE BE'!$AB$8+'TE BF'!$AB$8+'TE CVA'!$AB$8)*1*(1-0.02)</f>
        <v>355.39110709588994</v>
      </c>
      <c r="AB149" s="6">
        <f>$K$149*$V$149</f>
        <v>0</v>
      </c>
      <c r="AC149" s="6">
        <f>$M$149*$W$149</f>
        <v>1989.132288</v>
      </c>
      <c r="AD149" s="6">
        <f>$O$149*$X$149</f>
        <v>371.06783999999999</v>
      </c>
      <c r="AE149" s="6">
        <f>$K$149*$Y$149</f>
        <v>0</v>
      </c>
      <c r="AF149" s="6">
        <f ca="1">$M$149*$Z$149</f>
        <v>2074.2514081377781</v>
      </c>
      <c r="AG149" s="6">
        <f>$O$149*$AA$149</f>
        <v>508.20928314712256</v>
      </c>
    </row>
    <row r="150" spans="1:33" ht="11.25" customHeight="1" x14ac:dyDescent="0.25">
      <c r="A150" s="4" t="s">
        <v>21</v>
      </c>
      <c r="B150" s="4" t="s">
        <v>43</v>
      </c>
      <c r="C150" s="4" t="s">
        <v>44</v>
      </c>
      <c r="D150" s="4" t="s">
        <v>47</v>
      </c>
      <c r="E150" s="4" t="s">
        <v>25</v>
      </c>
      <c r="F150" s="4" t="s">
        <v>25</v>
      </c>
      <c r="G150" s="4" t="s">
        <v>25</v>
      </c>
      <c r="H150" s="4" t="s">
        <v>36</v>
      </c>
      <c r="I150" s="5">
        <v>44743</v>
      </c>
      <c r="J150" s="6">
        <v>0</v>
      </c>
      <c r="K150" s="42">
        <v>0</v>
      </c>
      <c r="L150" s="6">
        <v>1.331</v>
      </c>
      <c r="M150" s="42">
        <v>1.331</v>
      </c>
      <c r="N150" s="6">
        <v>1.331</v>
      </c>
      <c r="O150" s="42">
        <v>1.331</v>
      </c>
      <c r="P150" s="6">
        <v>0</v>
      </c>
      <c r="Q150" s="4" t="s">
        <v>26</v>
      </c>
      <c r="R150" s="4">
        <v>0</v>
      </c>
      <c r="S150" s="6">
        <v>0</v>
      </c>
      <c r="T150" s="6">
        <v>13</v>
      </c>
      <c r="U150" s="6">
        <v>71</v>
      </c>
      <c r="V150" s="42">
        <f>IF(ISERROR(VLOOKUP($S$150,'TAR FIN'!$A$1:$O$115,15,0)),0,VLOOKUP($S$150,'TAR FIN'!$A$1:$O$115,15,0))</f>
        <v>0</v>
      </c>
      <c r="W150" s="42">
        <f>IF(ISERROR(VLOOKUP($T$150,'TAR FIN'!$A$1:$O$115,15,0)),0,VLOOKUP($T$150,'TAR FIN'!$A$1:$O$115,15,0))*(1-0.04)</f>
        <v>1391.0016000000001</v>
      </c>
      <c r="X150" s="42">
        <f>IF(ISERROR(VLOOKUP($U$150,'TAR FIN'!$A$1:$O$115,15,0)),0,VLOOKUP($U$150,'TAR FIN'!$A$1:$O$115,15,0))*(1-0.04)</f>
        <v>259.488</v>
      </c>
      <c r="Y150" s="42"/>
      <c r="Z150" s="42">
        <f ca="1">('TUSD BE'!$AM$15+'TUSD BF'!$AM$15+'TUSD CVA'!$AM$15)*1*(1-0.02)</f>
        <v>1450.5254602362083</v>
      </c>
      <c r="AA150" s="42">
        <f>('TE BE'!$AB$8+'TE BF'!$AB$8+'TE CVA'!$AB$8)*1*(1-0.02)</f>
        <v>355.39110709588994</v>
      </c>
      <c r="AB150" s="6">
        <f>$K$150*$V$150</f>
        <v>0</v>
      </c>
      <c r="AC150" s="6">
        <f>$M$150*$W$150</f>
        <v>1851.4231296</v>
      </c>
      <c r="AD150" s="6">
        <f>$O$150*$X$150</f>
        <v>345.37852800000002</v>
      </c>
      <c r="AE150" s="6">
        <f>$K$150*$Y$150</f>
        <v>0</v>
      </c>
      <c r="AF150" s="6">
        <f ca="1">$M$150*$Z$150</f>
        <v>1930.6493875743934</v>
      </c>
      <c r="AG150" s="6">
        <f>$O$150*$AA$150</f>
        <v>473.02556354462951</v>
      </c>
    </row>
    <row r="151" spans="1:33" ht="11.25" customHeight="1" x14ac:dyDescent="0.25">
      <c r="A151" s="4" t="s">
        <v>21</v>
      </c>
      <c r="B151" s="4" t="s">
        <v>43</v>
      </c>
      <c r="C151" s="4" t="s">
        <v>44</v>
      </c>
      <c r="D151" s="4" t="s">
        <v>47</v>
      </c>
      <c r="E151" s="4" t="s">
        <v>25</v>
      </c>
      <c r="F151" s="4" t="s">
        <v>25</v>
      </c>
      <c r="G151" s="4" t="s">
        <v>25</v>
      </c>
      <c r="H151" s="4" t="s">
        <v>36</v>
      </c>
      <c r="I151" s="5">
        <v>44774</v>
      </c>
      <c r="J151" s="6">
        <v>0</v>
      </c>
      <c r="K151" s="42">
        <v>0</v>
      </c>
      <c r="L151" s="6">
        <v>0.73199999999999998</v>
      </c>
      <c r="M151" s="42">
        <v>0.73199999999999998</v>
      </c>
      <c r="N151" s="6">
        <v>0.73199999999999998</v>
      </c>
      <c r="O151" s="42">
        <v>0.73199999999999998</v>
      </c>
      <c r="P151" s="6">
        <v>0</v>
      </c>
      <c r="Q151" s="4" t="s">
        <v>26</v>
      </c>
      <c r="R151" s="4">
        <v>0</v>
      </c>
      <c r="S151" s="6">
        <v>0</v>
      </c>
      <c r="T151" s="6">
        <v>13</v>
      </c>
      <c r="U151" s="6">
        <v>71</v>
      </c>
      <c r="V151" s="42">
        <f>IF(ISERROR(VLOOKUP($S$151,'TAR FIN'!$A$1:$O$115,15,0)),0,VLOOKUP($S$151,'TAR FIN'!$A$1:$O$115,15,0))</f>
        <v>0</v>
      </c>
      <c r="W151" s="42">
        <f>IF(ISERROR(VLOOKUP($T$151,'TAR FIN'!$A$1:$O$115,15,0)),0,VLOOKUP($T$151,'TAR FIN'!$A$1:$O$115,15,0))*(1-0.04)</f>
        <v>1391.0016000000001</v>
      </c>
      <c r="X151" s="42">
        <f>IF(ISERROR(VLOOKUP($U$151,'TAR FIN'!$A$1:$O$115,15,0)),0,VLOOKUP($U$151,'TAR FIN'!$A$1:$O$115,15,0))*(1-0.04)</f>
        <v>259.488</v>
      </c>
      <c r="Y151" s="42"/>
      <c r="Z151" s="42">
        <f ca="1">('TUSD BE'!$AM$15+'TUSD BF'!$AM$15+'TUSD CVA'!$AM$15)*1*(1-0.02)</f>
        <v>1450.5254602362083</v>
      </c>
      <c r="AA151" s="42">
        <f>('TE BE'!$AB$8+'TE BF'!$AB$8+'TE CVA'!$AB$8)*1*(1-0.02)</f>
        <v>355.39110709588994</v>
      </c>
      <c r="AB151" s="6">
        <f>$K$151*$V$151</f>
        <v>0</v>
      </c>
      <c r="AC151" s="6">
        <f>$M$151*$W$151</f>
        <v>1018.2131712</v>
      </c>
      <c r="AD151" s="6">
        <f>$O$151*$X$151</f>
        <v>189.94521599999999</v>
      </c>
      <c r="AE151" s="6">
        <f>$K$151*$Y$151</f>
        <v>0</v>
      </c>
      <c r="AF151" s="6">
        <f ca="1">$M$151*$Z$151</f>
        <v>1061.7846368929045</v>
      </c>
      <c r="AG151" s="6">
        <f>$O$151*$AA$151</f>
        <v>260.14629039419145</v>
      </c>
    </row>
    <row r="152" spans="1:33" ht="11.25" customHeight="1" x14ac:dyDescent="0.25">
      <c r="A152" s="4" t="s">
        <v>21</v>
      </c>
      <c r="B152" s="4" t="s">
        <v>43</v>
      </c>
      <c r="C152" s="4" t="s">
        <v>44</v>
      </c>
      <c r="D152" s="4" t="s">
        <v>47</v>
      </c>
      <c r="E152" s="4" t="s">
        <v>25</v>
      </c>
      <c r="F152" s="4" t="s">
        <v>25</v>
      </c>
      <c r="G152" s="4" t="s">
        <v>25</v>
      </c>
      <c r="H152" s="4" t="s">
        <v>36</v>
      </c>
      <c r="I152" s="5">
        <v>44805</v>
      </c>
      <c r="J152" s="6">
        <v>0</v>
      </c>
      <c r="K152" s="42">
        <v>0</v>
      </c>
      <c r="L152" s="6">
        <v>0.79300000000000004</v>
      </c>
      <c r="M152" s="42">
        <v>0.79300000000000004</v>
      </c>
      <c r="N152" s="6">
        <v>0.79300000000000004</v>
      </c>
      <c r="O152" s="42">
        <v>0.79300000000000004</v>
      </c>
      <c r="P152" s="6">
        <v>0</v>
      </c>
      <c r="Q152" s="4" t="s">
        <v>26</v>
      </c>
      <c r="R152" s="4">
        <v>0</v>
      </c>
      <c r="S152" s="6">
        <v>0</v>
      </c>
      <c r="T152" s="6">
        <v>13</v>
      </c>
      <c r="U152" s="6">
        <v>71</v>
      </c>
      <c r="V152" s="42">
        <f>IF(ISERROR(VLOOKUP($S$152,'TAR FIN'!$A$1:$O$115,15,0)),0,VLOOKUP($S$152,'TAR FIN'!$A$1:$O$115,15,0))</f>
        <v>0</v>
      </c>
      <c r="W152" s="42">
        <f>IF(ISERROR(VLOOKUP($T$152,'TAR FIN'!$A$1:$O$115,15,0)),0,VLOOKUP($T$152,'TAR FIN'!$A$1:$O$115,15,0))*(1-0.04)</f>
        <v>1391.0016000000001</v>
      </c>
      <c r="X152" s="42">
        <f>IF(ISERROR(VLOOKUP($U$152,'TAR FIN'!$A$1:$O$115,15,0)),0,VLOOKUP($U$152,'TAR FIN'!$A$1:$O$115,15,0))*(1-0.04)</f>
        <v>259.488</v>
      </c>
      <c r="Y152" s="42"/>
      <c r="Z152" s="42">
        <f ca="1">('TUSD BE'!$AM$15+'TUSD BF'!$AM$15+'TUSD CVA'!$AM$15)*1*(1-0.02)</f>
        <v>1450.5254602362083</v>
      </c>
      <c r="AA152" s="42">
        <f>('TE BE'!$AB$8+'TE BF'!$AB$8+'TE CVA'!$AB$8)*1*(1-0.02)</f>
        <v>355.39110709588994</v>
      </c>
      <c r="AB152" s="6">
        <f>$K$152*$V$152</f>
        <v>0</v>
      </c>
      <c r="AC152" s="6">
        <f>$M$152*$W$152</f>
        <v>1103.0642688</v>
      </c>
      <c r="AD152" s="6">
        <f>$O$152*$X$152</f>
        <v>205.77398400000001</v>
      </c>
      <c r="AE152" s="6">
        <f>$K$152*$Y$152</f>
        <v>0</v>
      </c>
      <c r="AF152" s="6">
        <f ca="1">$M$152*$Z$152</f>
        <v>1150.2666899673134</v>
      </c>
      <c r="AG152" s="6">
        <f>$O$152*$AA$152</f>
        <v>281.82514792704075</v>
      </c>
    </row>
    <row r="153" spans="1:33" ht="11.25" customHeight="1" x14ac:dyDescent="0.25">
      <c r="A153" s="4" t="s">
        <v>21</v>
      </c>
      <c r="B153" s="4" t="s">
        <v>43</v>
      </c>
      <c r="C153" s="4" t="s">
        <v>44</v>
      </c>
      <c r="D153" s="4" t="s">
        <v>47</v>
      </c>
      <c r="E153" s="4" t="s">
        <v>25</v>
      </c>
      <c r="F153" s="4" t="s">
        <v>25</v>
      </c>
      <c r="G153" s="4" t="s">
        <v>25</v>
      </c>
      <c r="H153" s="4" t="s">
        <v>36</v>
      </c>
      <c r="I153" s="5">
        <v>44835</v>
      </c>
      <c r="J153" s="6">
        <v>0</v>
      </c>
      <c r="K153" s="42">
        <v>0</v>
      </c>
      <c r="L153" s="6">
        <v>0.61499999999999999</v>
      </c>
      <c r="M153" s="42">
        <v>0.61499999999999999</v>
      </c>
      <c r="N153" s="6">
        <v>0.61499999999999999</v>
      </c>
      <c r="O153" s="42">
        <v>0.61499999999999999</v>
      </c>
      <c r="P153" s="6">
        <v>0</v>
      </c>
      <c r="Q153" s="4" t="s">
        <v>26</v>
      </c>
      <c r="R153" s="4">
        <v>0</v>
      </c>
      <c r="S153" s="6">
        <v>0</v>
      </c>
      <c r="T153" s="6">
        <v>13</v>
      </c>
      <c r="U153" s="6">
        <v>71</v>
      </c>
      <c r="V153" s="42">
        <f>IF(ISERROR(VLOOKUP($S$153,'TAR FIN'!$A$1:$O$115,15,0)),0,VLOOKUP($S$153,'TAR FIN'!$A$1:$O$115,15,0))</f>
        <v>0</v>
      </c>
      <c r="W153" s="42">
        <f>IF(ISERROR(VLOOKUP($T$153,'TAR FIN'!$A$1:$O$115,15,0)),0,VLOOKUP($T$153,'TAR FIN'!$A$1:$O$115,15,0))*(1-0.04)</f>
        <v>1391.0016000000001</v>
      </c>
      <c r="X153" s="42">
        <f>IF(ISERROR(VLOOKUP($U$153,'TAR FIN'!$A$1:$O$115,15,0)),0,VLOOKUP($U$153,'TAR FIN'!$A$1:$O$115,15,0))*(1-0.04)</f>
        <v>259.488</v>
      </c>
      <c r="Y153" s="42"/>
      <c r="Z153" s="42">
        <f ca="1">('TUSD BE'!$AM$15+'TUSD BF'!$AM$15+'TUSD CVA'!$AM$15)*1*(1-0.02)</f>
        <v>1450.5254602362083</v>
      </c>
      <c r="AA153" s="42">
        <f>('TE BE'!$AB$8+'TE BF'!$AB$8+'TE CVA'!$AB$8)*1*(1-0.02)</f>
        <v>355.39110709588994</v>
      </c>
      <c r="AB153" s="6">
        <f>$K$153*$V$153</f>
        <v>0</v>
      </c>
      <c r="AC153" s="6">
        <f>$M$153*$W$153</f>
        <v>855.46598400000005</v>
      </c>
      <c r="AD153" s="6">
        <f>$O$153*$X$153</f>
        <v>159.58511999999999</v>
      </c>
      <c r="AE153" s="6">
        <f>$K$153*$Y$153</f>
        <v>0</v>
      </c>
      <c r="AF153" s="6">
        <f ca="1">$M$153*$Z$153</f>
        <v>892.07315804526809</v>
      </c>
      <c r="AG153" s="6">
        <f>$O$153*$AA$153</f>
        <v>218.5655308639723</v>
      </c>
    </row>
    <row r="154" spans="1:33" ht="11.25" customHeight="1" x14ac:dyDescent="0.25">
      <c r="A154" s="4" t="s">
        <v>59</v>
      </c>
      <c r="B154" s="4" t="s">
        <v>43</v>
      </c>
      <c r="C154" s="4" t="s">
        <v>44</v>
      </c>
      <c r="D154" s="4" t="s">
        <v>47</v>
      </c>
      <c r="E154" s="4" t="s">
        <v>25</v>
      </c>
      <c r="F154" s="4" t="s">
        <v>25</v>
      </c>
      <c r="G154" s="4" t="s">
        <v>25</v>
      </c>
      <c r="H154" s="4" t="s">
        <v>36</v>
      </c>
      <c r="I154" s="5">
        <v>44866</v>
      </c>
      <c r="J154" s="6">
        <v>0</v>
      </c>
      <c r="K154" s="42">
        <v>0</v>
      </c>
      <c r="L154" s="6">
        <v>0.61499999999999999</v>
      </c>
      <c r="M154" s="42">
        <v>0.61499999999999999</v>
      </c>
      <c r="N154" s="6">
        <v>0.61499999999999999</v>
      </c>
      <c r="O154" s="42">
        <v>0.61499999999999999</v>
      </c>
      <c r="P154" s="6">
        <v>0</v>
      </c>
      <c r="Q154" s="4" t="s">
        <v>26</v>
      </c>
      <c r="R154" s="4">
        <v>0</v>
      </c>
      <c r="S154" s="6">
        <v>0</v>
      </c>
      <c r="T154" s="6">
        <v>13</v>
      </c>
      <c r="U154" s="6">
        <v>71</v>
      </c>
      <c r="V154" s="42">
        <f>IF(ISERROR(VLOOKUP($S$154,'TAR FIN'!$A$1:$O$115,15,0)),0,VLOOKUP($S$154,'TAR FIN'!$A$1:$O$115,15,0))</f>
        <v>0</v>
      </c>
      <c r="W154" s="42">
        <f>IF(ISERROR(VLOOKUP($T$154,'TAR FIN'!$A$1:$O$115,15,0)),0,VLOOKUP($T$154,'TAR FIN'!$A$1:$O$115,15,0))*(1-0.04)</f>
        <v>1391.0016000000001</v>
      </c>
      <c r="X154" s="42">
        <f>IF(ISERROR(VLOOKUP($U$154,'TAR FIN'!$A$1:$O$115,15,0)),0,VLOOKUP($U$154,'TAR FIN'!$A$1:$O$115,15,0))*(1-0.04)</f>
        <v>259.488</v>
      </c>
      <c r="Y154" s="42"/>
      <c r="Z154" s="42">
        <f ca="1">('TUSD BE'!$AM$15+'TUSD BF'!$AM$15+'TUSD CVA'!$AM$15)*1*(1-0.02)</f>
        <v>1450.5254602362083</v>
      </c>
      <c r="AA154" s="42">
        <f>('TE BE'!$AB$8+'TE BF'!$AB$8+'TE CVA'!$AB$8)*1*(1-0.02)</f>
        <v>355.39110709588994</v>
      </c>
      <c r="AB154" s="6">
        <f>$K$154*$V$154</f>
        <v>0</v>
      </c>
      <c r="AC154" s="6">
        <f>$M$154*$W$154</f>
        <v>855.46598400000005</v>
      </c>
      <c r="AD154" s="6">
        <f>$O$154*$X$154</f>
        <v>159.58511999999999</v>
      </c>
      <c r="AE154" s="6">
        <f>$K$154*$Y$154</f>
        <v>0</v>
      </c>
      <c r="AF154" s="6">
        <f ca="1">$M$154*$Z$154</f>
        <v>892.07315804526809</v>
      </c>
      <c r="AG154" s="6">
        <f>$O$154*$AA$154</f>
        <v>218.5655308639723</v>
      </c>
    </row>
    <row r="155" spans="1:33" ht="11.25" customHeight="1" x14ac:dyDescent="0.25">
      <c r="A155" s="4" t="s">
        <v>21</v>
      </c>
      <c r="B155" s="4" t="s">
        <v>43</v>
      </c>
      <c r="C155" s="4" t="s">
        <v>44</v>
      </c>
      <c r="D155" s="4" t="s">
        <v>52</v>
      </c>
      <c r="E155" s="4" t="s">
        <v>53</v>
      </c>
      <c r="F155" s="4" t="s">
        <v>25</v>
      </c>
      <c r="G155" s="4" t="s">
        <v>25</v>
      </c>
      <c r="H155" s="4" t="s">
        <v>25</v>
      </c>
      <c r="I155" s="5">
        <v>44531</v>
      </c>
      <c r="J155" s="6">
        <v>35</v>
      </c>
      <c r="K155" s="43">
        <v>35</v>
      </c>
      <c r="L155" s="6">
        <v>0</v>
      </c>
      <c r="M155" s="42">
        <v>0</v>
      </c>
      <c r="N155" s="6">
        <v>0</v>
      </c>
      <c r="O155" s="42">
        <v>0</v>
      </c>
      <c r="P155" s="6">
        <v>1</v>
      </c>
      <c r="Q155" s="4" t="s">
        <v>26</v>
      </c>
      <c r="R155" s="4">
        <v>0</v>
      </c>
      <c r="S155" s="6">
        <v>12</v>
      </c>
      <c r="T155" s="6">
        <v>0</v>
      </c>
      <c r="U155" s="6">
        <v>0</v>
      </c>
      <c r="V155" s="42">
        <f>IF(ISERROR(VLOOKUP($S$155,'TAR FIN'!$A$1:$O$115,15,0)),0,VLOOKUP($S$155,'TAR FIN'!$A$1:$O$115,15,0))*(1-0.06)</f>
        <v>18.611999999999998</v>
      </c>
      <c r="W155" s="42">
        <f>IF(ISERROR(VLOOKUP($T$155,'TAR FIN'!$A$1:$O$115,15,0)),0,VLOOKUP($T$155,'TAR FIN'!$A$1:$O$115,15,0))</f>
        <v>0</v>
      </c>
      <c r="X155" s="42">
        <f>IF(ISERROR(VLOOKUP($U$155,'TAR FIN'!$A$1:$O$115,15,0)),0,VLOOKUP($U$155,'TAR FIN'!$A$1:$O$115,15,0))</f>
        <v>0</v>
      </c>
      <c r="Y155" s="42">
        <f ca="1">('TUSD BE'!$AM$14+'TUSD BF'!$AM$14+'TUSD CVA'!$AM$14)*1*(1-0.03)</f>
        <v>19.996757900318997</v>
      </c>
      <c r="Z155" s="42"/>
      <c r="AA155" s="42"/>
      <c r="AB155" s="6">
        <f>$K$155*$V$155</f>
        <v>651.41999999999996</v>
      </c>
      <c r="AC155" s="6">
        <f>$M$155*$W$155</f>
        <v>0</v>
      </c>
      <c r="AD155" s="6">
        <f>$O$155*$X$155</f>
        <v>0</v>
      </c>
      <c r="AE155" s="6">
        <f ca="1">$K$155*$Y$155</f>
        <v>699.8865265111649</v>
      </c>
      <c r="AF155" s="6">
        <f>$M$155*$Z$155</f>
        <v>0</v>
      </c>
      <c r="AG155" s="6">
        <f>$O$155*$AA$155</f>
        <v>0</v>
      </c>
    </row>
    <row r="156" spans="1:33" ht="11.25" customHeight="1" x14ac:dyDescent="0.25">
      <c r="A156" s="4" t="s">
        <v>21</v>
      </c>
      <c r="B156" s="4" t="s">
        <v>43</v>
      </c>
      <c r="C156" s="4" t="s">
        <v>44</v>
      </c>
      <c r="D156" s="4" t="s">
        <v>52</v>
      </c>
      <c r="E156" s="4" t="s">
        <v>53</v>
      </c>
      <c r="F156" s="4" t="s">
        <v>25</v>
      </c>
      <c r="G156" s="4" t="s">
        <v>25</v>
      </c>
      <c r="H156" s="4" t="s">
        <v>25</v>
      </c>
      <c r="I156" s="5">
        <v>44562</v>
      </c>
      <c r="J156" s="6">
        <v>35</v>
      </c>
      <c r="K156" s="43">
        <v>35</v>
      </c>
      <c r="L156" s="6">
        <v>0</v>
      </c>
      <c r="M156" s="42">
        <v>0</v>
      </c>
      <c r="N156" s="6">
        <v>0</v>
      </c>
      <c r="O156" s="42">
        <v>0</v>
      </c>
      <c r="P156" s="6">
        <v>1</v>
      </c>
      <c r="Q156" s="4" t="s">
        <v>26</v>
      </c>
      <c r="R156" s="4">
        <v>0</v>
      </c>
      <c r="S156" s="6">
        <v>12</v>
      </c>
      <c r="T156" s="6">
        <v>0</v>
      </c>
      <c r="U156" s="6">
        <v>0</v>
      </c>
      <c r="V156" s="42">
        <f>IF(ISERROR(VLOOKUP($S$156,'TAR FIN'!$A$1:$O$115,15,0)),0,VLOOKUP($S$156,'TAR FIN'!$A$1:$O$115,15,0))*(1-0.06)</f>
        <v>18.611999999999998</v>
      </c>
      <c r="W156" s="42">
        <f>IF(ISERROR(VLOOKUP($T$156,'TAR FIN'!$A$1:$O$115,15,0)),0,VLOOKUP($T$156,'TAR FIN'!$A$1:$O$115,15,0))</f>
        <v>0</v>
      </c>
      <c r="X156" s="42">
        <f>IF(ISERROR(VLOOKUP($U$156,'TAR FIN'!$A$1:$O$115,15,0)),0,VLOOKUP($U$156,'TAR FIN'!$A$1:$O$115,15,0))</f>
        <v>0</v>
      </c>
      <c r="Y156" s="42">
        <f ca="1">('TUSD BE'!$AM$14+'TUSD BF'!$AM$14+'TUSD CVA'!$AM$14)*1*(1-0.03)</f>
        <v>19.996757900318997</v>
      </c>
      <c r="Z156" s="42"/>
      <c r="AA156" s="42"/>
      <c r="AB156" s="6">
        <f>$K$156*$V$156</f>
        <v>651.41999999999996</v>
      </c>
      <c r="AC156" s="6">
        <f>$M$156*$W$156</f>
        <v>0</v>
      </c>
      <c r="AD156" s="6">
        <f>$O$156*$X$156</f>
        <v>0</v>
      </c>
      <c r="AE156" s="6">
        <f ca="1">$K$156*$Y$156</f>
        <v>699.8865265111649</v>
      </c>
      <c r="AF156" s="6">
        <f>$M$156*$Z$156</f>
        <v>0</v>
      </c>
      <c r="AG156" s="6">
        <f>$O$156*$AA$156</f>
        <v>0</v>
      </c>
    </row>
    <row r="157" spans="1:33" ht="11.25" customHeight="1" x14ac:dyDescent="0.25">
      <c r="A157" s="4" t="s">
        <v>21</v>
      </c>
      <c r="B157" s="4" t="s">
        <v>43</v>
      </c>
      <c r="C157" s="4" t="s">
        <v>44</v>
      </c>
      <c r="D157" s="4" t="s">
        <v>52</v>
      </c>
      <c r="E157" s="4" t="s">
        <v>53</v>
      </c>
      <c r="F157" s="4" t="s">
        <v>25</v>
      </c>
      <c r="G157" s="4" t="s">
        <v>25</v>
      </c>
      <c r="H157" s="4" t="s">
        <v>25</v>
      </c>
      <c r="I157" s="5">
        <v>44593</v>
      </c>
      <c r="J157" s="6">
        <v>35</v>
      </c>
      <c r="K157" s="43">
        <v>35</v>
      </c>
      <c r="L157" s="6">
        <v>0</v>
      </c>
      <c r="M157" s="42">
        <v>0</v>
      </c>
      <c r="N157" s="6">
        <v>0</v>
      </c>
      <c r="O157" s="42">
        <v>0</v>
      </c>
      <c r="P157" s="6">
        <v>1</v>
      </c>
      <c r="Q157" s="4" t="s">
        <v>26</v>
      </c>
      <c r="R157" s="4">
        <v>0</v>
      </c>
      <c r="S157" s="6">
        <v>12</v>
      </c>
      <c r="T157" s="6">
        <v>0</v>
      </c>
      <c r="U157" s="6">
        <v>0</v>
      </c>
      <c r="V157" s="42">
        <f>IF(ISERROR(VLOOKUP($S$157,'TAR FIN'!$A$1:$O$115,15,0)),0,VLOOKUP($S$157,'TAR FIN'!$A$1:$O$115,15,0))*(1-0.06)</f>
        <v>18.611999999999998</v>
      </c>
      <c r="W157" s="42">
        <f>IF(ISERROR(VLOOKUP($T$157,'TAR FIN'!$A$1:$O$115,15,0)),0,VLOOKUP($T$157,'TAR FIN'!$A$1:$O$115,15,0))</f>
        <v>0</v>
      </c>
      <c r="X157" s="42">
        <f>IF(ISERROR(VLOOKUP($U$157,'TAR FIN'!$A$1:$O$115,15,0)),0,VLOOKUP($U$157,'TAR FIN'!$A$1:$O$115,15,0))</f>
        <v>0</v>
      </c>
      <c r="Y157" s="42">
        <f ca="1">('TUSD BE'!$AM$14+'TUSD BF'!$AM$14+'TUSD CVA'!$AM$14)*1*(1-0.03)</f>
        <v>19.996757900318997</v>
      </c>
      <c r="Z157" s="42"/>
      <c r="AA157" s="42"/>
      <c r="AB157" s="6">
        <f>$K$157*$V$157</f>
        <v>651.41999999999996</v>
      </c>
      <c r="AC157" s="6">
        <f>$M$157*$W$157</f>
        <v>0</v>
      </c>
      <c r="AD157" s="6">
        <f>$O$157*$X$157</f>
        <v>0</v>
      </c>
      <c r="AE157" s="6">
        <f ca="1">$K$157*$Y$157</f>
        <v>699.8865265111649</v>
      </c>
      <c r="AF157" s="6">
        <f>$M$157*$Z$157</f>
        <v>0</v>
      </c>
      <c r="AG157" s="6">
        <f>$O$157*$AA$157</f>
        <v>0</v>
      </c>
    </row>
    <row r="158" spans="1:33" ht="11.25" customHeight="1" x14ac:dyDescent="0.25">
      <c r="A158" s="4" t="s">
        <v>21</v>
      </c>
      <c r="B158" s="4" t="s">
        <v>43</v>
      </c>
      <c r="C158" s="4" t="s">
        <v>44</v>
      </c>
      <c r="D158" s="4" t="s">
        <v>52</v>
      </c>
      <c r="E158" s="4" t="s">
        <v>53</v>
      </c>
      <c r="F158" s="4" t="s">
        <v>25</v>
      </c>
      <c r="G158" s="4" t="s">
        <v>25</v>
      </c>
      <c r="H158" s="4" t="s">
        <v>25</v>
      </c>
      <c r="I158" s="5">
        <v>44621</v>
      </c>
      <c r="J158" s="6">
        <v>35</v>
      </c>
      <c r="K158" s="43">
        <v>35</v>
      </c>
      <c r="L158" s="6">
        <v>0</v>
      </c>
      <c r="M158" s="42">
        <v>0</v>
      </c>
      <c r="N158" s="6">
        <v>0</v>
      </c>
      <c r="O158" s="42">
        <v>0</v>
      </c>
      <c r="P158" s="6">
        <v>1</v>
      </c>
      <c r="Q158" s="4" t="s">
        <v>26</v>
      </c>
      <c r="R158" s="4">
        <v>0</v>
      </c>
      <c r="S158" s="6">
        <v>12</v>
      </c>
      <c r="T158" s="6">
        <v>0</v>
      </c>
      <c r="U158" s="6">
        <v>0</v>
      </c>
      <c r="V158" s="42">
        <f>IF(ISERROR(VLOOKUP($S$158,'TAR FIN'!$A$1:$O$115,15,0)),0,VLOOKUP($S$158,'TAR FIN'!$A$1:$O$115,15,0))*(1-0.06)</f>
        <v>18.611999999999998</v>
      </c>
      <c r="W158" s="42">
        <f>IF(ISERROR(VLOOKUP($T$158,'TAR FIN'!$A$1:$O$115,15,0)),0,VLOOKUP($T$158,'TAR FIN'!$A$1:$O$115,15,0))</f>
        <v>0</v>
      </c>
      <c r="X158" s="42">
        <f>IF(ISERROR(VLOOKUP($U$158,'TAR FIN'!$A$1:$O$115,15,0)),0,VLOOKUP($U$158,'TAR FIN'!$A$1:$O$115,15,0))</f>
        <v>0</v>
      </c>
      <c r="Y158" s="42">
        <f ca="1">('TUSD BE'!$AM$14+'TUSD BF'!$AM$14+'TUSD CVA'!$AM$14)*1*(1-0.03)</f>
        <v>19.996757900318997</v>
      </c>
      <c r="Z158" s="42"/>
      <c r="AA158" s="42"/>
      <c r="AB158" s="6">
        <f>$K$158*$V$158</f>
        <v>651.41999999999996</v>
      </c>
      <c r="AC158" s="6">
        <f>$M$158*$W$158</f>
        <v>0</v>
      </c>
      <c r="AD158" s="6">
        <f>$O$158*$X$158</f>
        <v>0</v>
      </c>
      <c r="AE158" s="6">
        <f ca="1">$K$158*$Y$158</f>
        <v>699.8865265111649</v>
      </c>
      <c r="AF158" s="6">
        <f>$M$158*$Z$158</f>
        <v>0</v>
      </c>
      <c r="AG158" s="6">
        <f>$O$158*$AA$158</f>
        <v>0</v>
      </c>
    </row>
    <row r="159" spans="1:33" ht="11.25" customHeight="1" x14ac:dyDescent="0.25">
      <c r="A159" s="4" t="s">
        <v>21</v>
      </c>
      <c r="B159" s="4" t="s">
        <v>43</v>
      </c>
      <c r="C159" s="4" t="s">
        <v>44</v>
      </c>
      <c r="D159" s="4" t="s">
        <v>52</v>
      </c>
      <c r="E159" s="4" t="s">
        <v>53</v>
      </c>
      <c r="F159" s="4" t="s">
        <v>25</v>
      </c>
      <c r="G159" s="4" t="s">
        <v>25</v>
      </c>
      <c r="H159" s="4" t="s">
        <v>25</v>
      </c>
      <c r="I159" s="5">
        <v>44652</v>
      </c>
      <c r="J159" s="6">
        <v>35</v>
      </c>
      <c r="K159" s="43">
        <v>35</v>
      </c>
      <c r="L159" s="6">
        <v>0</v>
      </c>
      <c r="M159" s="42">
        <v>0</v>
      </c>
      <c r="N159" s="6">
        <v>0</v>
      </c>
      <c r="O159" s="42">
        <v>0</v>
      </c>
      <c r="P159" s="6">
        <v>1</v>
      </c>
      <c r="Q159" s="4" t="s">
        <v>26</v>
      </c>
      <c r="R159" s="4">
        <v>0</v>
      </c>
      <c r="S159" s="6">
        <v>12</v>
      </c>
      <c r="T159" s="6">
        <v>0</v>
      </c>
      <c r="U159" s="6">
        <v>0</v>
      </c>
      <c r="V159" s="42">
        <f>IF(ISERROR(VLOOKUP($S$159,'TAR FIN'!$A$1:$O$115,15,0)),0,VLOOKUP($S$159,'TAR FIN'!$A$1:$O$115,15,0))*(1-0.06)</f>
        <v>18.611999999999998</v>
      </c>
      <c r="W159" s="42">
        <f>IF(ISERROR(VLOOKUP($T$159,'TAR FIN'!$A$1:$O$115,15,0)),0,VLOOKUP($T$159,'TAR FIN'!$A$1:$O$115,15,0))</f>
        <v>0</v>
      </c>
      <c r="X159" s="42">
        <f>IF(ISERROR(VLOOKUP($U$159,'TAR FIN'!$A$1:$O$115,15,0)),0,VLOOKUP($U$159,'TAR FIN'!$A$1:$O$115,15,0))</f>
        <v>0</v>
      </c>
      <c r="Y159" s="42">
        <f ca="1">('TUSD BE'!$AM$14+'TUSD BF'!$AM$14+'TUSD CVA'!$AM$14)*1*(1-0.03)</f>
        <v>19.996757900318997</v>
      </c>
      <c r="Z159" s="42"/>
      <c r="AA159" s="42"/>
      <c r="AB159" s="6">
        <f>$K$159*$V$159</f>
        <v>651.41999999999996</v>
      </c>
      <c r="AC159" s="6">
        <f>$M$159*$W$159</f>
        <v>0</v>
      </c>
      <c r="AD159" s="6">
        <f>$O$159*$X$159</f>
        <v>0</v>
      </c>
      <c r="AE159" s="6">
        <f ca="1">$K$159*$Y$159</f>
        <v>699.8865265111649</v>
      </c>
      <c r="AF159" s="6">
        <f>$M$159*$Z$159</f>
        <v>0</v>
      </c>
      <c r="AG159" s="6">
        <f>$O$159*$AA$159</f>
        <v>0</v>
      </c>
    </row>
    <row r="160" spans="1:33" ht="11.25" customHeight="1" x14ac:dyDescent="0.25">
      <c r="A160" s="4" t="s">
        <v>21</v>
      </c>
      <c r="B160" s="4" t="s">
        <v>43</v>
      </c>
      <c r="C160" s="4" t="s">
        <v>44</v>
      </c>
      <c r="D160" s="4" t="s">
        <v>52</v>
      </c>
      <c r="E160" s="4" t="s">
        <v>53</v>
      </c>
      <c r="F160" s="4" t="s">
        <v>25</v>
      </c>
      <c r="G160" s="4" t="s">
        <v>25</v>
      </c>
      <c r="H160" s="4" t="s">
        <v>25</v>
      </c>
      <c r="I160" s="5">
        <v>44682</v>
      </c>
      <c r="J160" s="6">
        <v>35</v>
      </c>
      <c r="K160" s="43">
        <v>35</v>
      </c>
      <c r="L160" s="6">
        <v>0</v>
      </c>
      <c r="M160" s="42">
        <v>0</v>
      </c>
      <c r="N160" s="6">
        <v>0</v>
      </c>
      <c r="O160" s="42">
        <v>0</v>
      </c>
      <c r="P160" s="6">
        <v>1</v>
      </c>
      <c r="Q160" s="4" t="s">
        <v>26</v>
      </c>
      <c r="R160" s="4">
        <v>0</v>
      </c>
      <c r="S160" s="6">
        <v>12</v>
      </c>
      <c r="T160" s="6">
        <v>0</v>
      </c>
      <c r="U160" s="6">
        <v>0</v>
      </c>
      <c r="V160" s="42">
        <f>IF(ISERROR(VLOOKUP($S$160,'TAR FIN'!$A$1:$O$115,15,0)),0,VLOOKUP($S$160,'TAR FIN'!$A$1:$O$115,15,0))*(1-0.06)</f>
        <v>18.611999999999998</v>
      </c>
      <c r="W160" s="42">
        <f>IF(ISERROR(VLOOKUP($T$160,'TAR FIN'!$A$1:$O$115,15,0)),0,VLOOKUP($T$160,'TAR FIN'!$A$1:$O$115,15,0))</f>
        <v>0</v>
      </c>
      <c r="X160" s="42">
        <f>IF(ISERROR(VLOOKUP($U$160,'TAR FIN'!$A$1:$O$115,15,0)),0,VLOOKUP($U$160,'TAR FIN'!$A$1:$O$115,15,0))</f>
        <v>0</v>
      </c>
      <c r="Y160" s="42">
        <f ca="1">('TUSD BE'!$AM$14+'TUSD BF'!$AM$14+'TUSD CVA'!$AM$14)*1*(1-0.03)</f>
        <v>19.996757900318997</v>
      </c>
      <c r="Z160" s="42"/>
      <c r="AA160" s="42"/>
      <c r="AB160" s="6">
        <f>$K$160*$V$160</f>
        <v>651.41999999999996</v>
      </c>
      <c r="AC160" s="6">
        <f>$M$160*$W$160</f>
        <v>0</v>
      </c>
      <c r="AD160" s="6">
        <f>$O$160*$X$160</f>
        <v>0</v>
      </c>
      <c r="AE160" s="6">
        <f ca="1">$K$160*$Y$160</f>
        <v>699.8865265111649</v>
      </c>
      <c r="AF160" s="6">
        <f>$M$160*$Z$160</f>
        <v>0</v>
      </c>
      <c r="AG160" s="6">
        <f>$O$160*$AA$160</f>
        <v>0</v>
      </c>
    </row>
    <row r="161" spans="1:33" ht="11.25" customHeight="1" x14ac:dyDescent="0.25">
      <c r="A161" s="4" t="s">
        <v>21</v>
      </c>
      <c r="B161" s="4" t="s">
        <v>43</v>
      </c>
      <c r="C161" s="4" t="s">
        <v>44</v>
      </c>
      <c r="D161" s="4" t="s">
        <v>52</v>
      </c>
      <c r="E161" s="4" t="s">
        <v>53</v>
      </c>
      <c r="F161" s="4" t="s">
        <v>25</v>
      </c>
      <c r="G161" s="4" t="s">
        <v>25</v>
      </c>
      <c r="H161" s="4" t="s">
        <v>25</v>
      </c>
      <c r="I161" s="5">
        <v>44713</v>
      </c>
      <c r="J161" s="6">
        <v>35</v>
      </c>
      <c r="K161" s="43">
        <v>35</v>
      </c>
      <c r="L161" s="6">
        <v>0</v>
      </c>
      <c r="M161" s="42">
        <v>0</v>
      </c>
      <c r="N161" s="6">
        <v>0</v>
      </c>
      <c r="O161" s="42">
        <v>0</v>
      </c>
      <c r="P161" s="6">
        <v>1</v>
      </c>
      <c r="Q161" s="4" t="s">
        <v>26</v>
      </c>
      <c r="R161" s="4">
        <v>0</v>
      </c>
      <c r="S161" s="6">
        <v>12</v>
      </c>
      <c r="T161" s="6">
        <v>0</v>
      </c>
      <c r="U161" s="6">
        <v>0</v>
      </c>
      <c r="V161" s="42">
        <f>IF(ISERROR(VLOOKUP($S$161,'TAR FIN'!$A$1:$O$115,15,0)),0,VLOOKUP($S$161,'TAR FIN'!$A$1:$O$115,15,0))*(1-0.06)</f>
        <v>18.611999999999998</v>
      </c>
      <c r="W161" s="42">
        <f>IF(ISERROR(VLOOKUP($T$161,'TAR FIN'!$A$1:$O$115,15,0)),0,VLOOKUP($T$161,'TAR FIN'!$A$1:$O$115,15,0))</f>
        <v>0</v>
      </c>
      <c r="X161" s="42">
        <f>IF(ISERROR(VLOOKUP($U$161,'TAR FIN'!$A$1:$O$115,15,0)),0,VLOOKUP($U$161,'TAR FIN'!$A$1:$O$115,15,0))</f>
        <v>0</v>
      </c>
      <c r="Y161" s="42">
        <f ca="1">('TUSD BE'!$AM$14+'TUSD BF'!$AM$14+'TUSD CVA'!$AM$14)*1*(1-0.03)</f>
        <v>19.996757900318997</v>
      </c>
      <c r="Z161" s="42"/>
      <c r="AA161" s="42"/>
      <c r="AB161" s="6">
        <f>$K$161*$V$161</f>
        <v>651.41999999999996</v>
      </c>
      <c r="AC161" s="6">
        <f>$M$161*$W$161</f>
        <v>0</v>
      </c>
      <c r="AD161" s="6">
        <f>$O$161*$X$161</f>
        <v>0</v>
      </c>
      <c r="AE161" s="6">
        <f ca="1">$K$161*$Y$161</f>
        <v>699.8865265111649</v>
      </c>
      <c r="AF161" s="6">
        <f>$M$161*$Z$161</f>
        <v>0</v>
      </c>
      <c r="AG161" s="6">
        <f>$O$161*$AA$161</f>
        <v>0</v>
      </c>
    </row>
    <row r="162" spans="1:33" ht="11.25" customHeight="1" x14ac:dyDescent="0.25">
      <c r="A162" s="4" t="s">
        <v>21</v>
      </c>
      <c r="B162" s="4" t="s">
        <v>43</v>
      </c>
      <c r="C162" s="4" t="s">
        <v>44</v>
      </c>
      <c r="D162" s="4" t="s">
        <v>52</v>
      </c>
      <c r="E162" s="4" t="s">
        <v>53</v>
      </c>
      <c r="F162" s="4" t="s">
        <v>25</v>
      </c>
      <c r="G162" s="4" t="s">
        <v>25</v>
      </c>
      <c r="H162" s="4" t="s">
        <v>25</v>
      </c>
      <c r="I162" s="5">
        <v>44743</v>
      </c>
      <c r="J162" s="6">
        <v>35</v>
      </c>
      <c r="K162" s="43">
        <v>35</v>
      </c>
      <c r="L162" s="6">
        <v>0</v>
      </c>
      <c r="M162" s="42">
        <v>0</v>
      </c>
      <c r="N162" s="6">
        <v>0</v>
      </c>
      <c r="O162" s="42">
        <v>0</v>
      </c>
      <c r="P162" s="6">
        <v>1</v>
      </c>
      <c r="Q162" s="4" t="s">
        <v>26</v>
      </c>
      <c r="R162" s="4">
        <v>0</v>
      </c>
      <c r="S162" s="6">
        <v>12</v>
      </c>
      <c r="T162" s="6">
        <v>0</v>
      </c>
      <c r="U162" s="6">
        <v>0</v>
      </c>
      <c r="V162" s="42">
        <f>IF(ISERROR(VLOOKUP($S$162,'TAR FIN'!$A$1:$O$115,15,0)),0,VLOOKUP($S$162,'TAR FIN'!$A$1:$O$115,15,0))*(1-0.06)</f>
        <v>18.611999999999998</v>
      </c>
      <c r="W162" s="42">
        <f>IF(ISERROR(VLOOKUP($T$162,'TAR FIN'!$A$1:$O$115,15,0)),0,VLOOKUP($T$162,'TAR FIN'!$A$1:$O$115,15,0))</f>
        <v>0</v>
      </c>
      <c r="X162" s="42">
        <f>IF(ISERROR(VLOOKUP($U$162,'TAR FIN'!$A$1:$O$115,15,0)),0,VLOOKUP($U$162,'TAR FIN'!$A$1:$O$115,15,0))</f>
        <v>0</v>
      </c>
      <c r="Y162" s="42">
        <f ca="1">('TUSD BE'!$AM$14+'TUSD BF'!$AM$14+'TUSD CVA'!$AM$14)*1*(1-0.03)</f>
        <v>19.996757900318997</v>
      </c>
      <c r="Z162" s="42"/>
      <c r="AA162" s="42"/>
      <c r="AB162" s="6">
        <f>$K$162*$V$162</f>
        <v>651.41999999999996</v>
      </c>
      <c r="AC162" s="6">
        <f>$M$162*$W$162</f>
        <v>0</v>
      </c>
      <c r="AD162" s="6">
        <f>$O$162*$X$162</f>
        <v>0</v>
      </c>
      <c r="AE162" s="6">
        <f ca="1">$K$162*$Y$162</f>
        <v>699.8865265111649</v>
      </c>
      <c r="AF162" s="6">
        <f>$M$162*$Z$162</f>
        <v>0</v>
      </c>
      <c r="AG162" s="6">
        <f>$O$162*$AA$162</f>
        <v>0</v>
      </c>
    </row>
    <row r="163" spans="1:33" ht="11.25" customHeight="1" x14ac:dyDescent="0.25">
      <c r="A163" s="4" t="s">
        <v>21</v>
      </c>
      <c r="B163" s="4" t="s">
        <v>43</v>
      </c>
      <c r="C163" s="4" t="s">
        <v>44</v>
      </c>
      <c r="D163" s="4" t="s">
        <v>52</v>
      </c>
      <c r="E163" s="4" t="s">
        <v>53</v>
      </c>
      <c r="F163" s="4" t="s">
        <v>25</v>
      </c>
      <c r="G163" s="4" t="s">
        <v>25</v>
      </c>
      <c r="H163" s="4" t="s">
        <v>25</v>
      </c>
      <c r="I163" s="5">
        <v>44774</v>
      </c>
      <c r="J163" s="6">
        <v>35</v>
      </c>
      <c r="K163" s="43">
        <v>35</v>
      </c>
      <c r="L163" s="6">
        <v>0</v>
      </c>
      <c r="M163" s="42">
        <v>0</v>
      </c>
      <c r="N163" s="6">
        <v>0</v>
      </c>
      <c r="O163" s="42">
        <v>0</v>
      </c>
      <c r="P163" s="6">
        <v>1</v>
      </c>
      <c r="Q163" s="4" t="s">
        <v>26</v>
      </c>
      <c r="R163" s="4">
        <v>0</v>
      </c>
      <c r="S163" s="6">
        <v>12</v>
      </c>
      <c r="T163" s="6">
        <v>0</v>
      </c>
      <c r="U163" s="6">
        <v>0</v>
      </c>
      <c r="V163" s="42">
        <f>IF(ISERROR(VLOOKUP($S$163,'TAR FIN'!$A$1:$O$115,15,0)),0,VLOOKUP($S$163,'TAR FIN'!$A$1:$O$115,15,0))*(1-0.06)</f>
        <v>18.611999999999998</v>
      </c>
      <c r="W163" s="42">
        <f>IF(ISERROR(VLOOKUP($T$163,'TAR FIN'!$A$1:$O$115,15,0)),0,VLOOKUP($T$163,'TAR FIN'!$A$1:$O$115,15,0))</f>
        <v>0</v>
      </c>
      <c r="X163" s="42">
        <f>IF(ISERROR(VLOOKUP($U$163,'TAR FIN'!$A$1:$O$115,15,0)),0,VLOOKUP($U$163,'TAR FIN'!$A$1:$O$115,15,0))</f>
        <v>0</v>
      </c>
      <c r="Y163" s="42">
        <f ca="1">('TUSD BE'!$AM$14+'TUSD BF'!$AM$14+'TUSD CVA'!$AM$14)*1*(1-0.03)</f>
        <v>19.996757900318997</v>
      </c>
      <c r="Z163" s="42"/>
      <c r="AA163" s="42"/>
      <c r="AB163" s="6">
        <f>$K$163*$V$163</f>
        <v>651.41999999999996</v>
      </c>
      <c r="AC163" s="6">
        <f>$M$163*$W$163</f>
        <v>0</v>
      </c>
      <c r="AD163" s="6">
        <f>$O$163*$X$163</f>
        <v>0</v>
      </c>
      <c r="AE163" s="6">
        <f ca="1">$K$163*$Y$163</f>
        <v>699.8865265111649</v>
      </c>
      <c r="AF163" s="6">
        <f>$M$163*$Z$163</f>
        <v>0</v>
      </c>
      <c r="AG163" s="6">
        <f>$O$163*$AA$163</f>
        <v>0</v>
      </c>
    </row>
    <row r="164" spans="1:33" ht="11.25" customHeight="1" x14ac:dyDescent="0.25">
      <c r="A164" s="4" t="s">
        <v>21</v>
      </c>
      <c r="B164" s="4" t="s">
        <v>43</v>
      </c>
      <c r="C164" s="4" t="s">
        <v>44</v>
      </c>
      <c r="D164" s="4" t="s">
        <v>52</v>
      </c>
      <c r="E164" s="4" t="s">
        <v>53</v>
      </c>
      <c r="F164" s="4" t="s">
        <v>25</v>
      </c>
      <c r="G164" s="4" t="s">
        <v>25</v>
      </c>
      <c r="H164" s="4" t="s">
        <v>25</v>
      </c>
      <c r="I164" s="5">
        <v>44805</v>
      </c>
      <c r="J164" s="6">
        <v>35</v>
      </c>
      <c r="K164" s="43">
        <v>35</v>
      </c>
      <c r="L164" s="6">
        <v>0</v>
      </c>
      <c r="M164" s="42">
        <v>0</v>
      </c>
      <c r="N164" s="6">
        <v>0</v>
      </c>
      <c r="O164" s="42">
        <v>0</v>
      </c>
      <c r="P164" s="6">
        <v>1</v>
      </c>
      <c r="Q164" s="4" t="s">
        <v>26</v>
      </c>
      <c r="R164" s="4">
        <v>0</v>
      </c>
      <c r="S164" s="6">
        <v>12</v>
      </c>
      <c r="T164" s="6">
        <v>0</v>
      </c>
      <c r="U164" s="6">
        <v>0</v>
      </c>
      <c r="V164" s="42">
        <f>IF(ISERROR(VLOOKUP($S$164,'TAR FIN'!$A$1:$O$115,15,0)),0,VLOOKUP($S$164,'TAR FIN'!$A$1:$O$115,15,0))*(1-0.06)</f>
        <v>18.611999999999998</v>
      </c>
      <c r="W164" s="42">
        <f>IF(ISERROR(VLOOKUP($T$164,'TAR FIN'!$A$1:$O$115,15,0)),0,VLOOKUP($T$164,'TAR FIN'!$A$1:$O$115,15,0))</f>
        <v>0</v>
      </c>
      <c r="X164" s="42">
        <f>IF(ISERROR(VLOOKUP($U$164,'TAR FIN'!$A$1:$O$115,15,0)),0,VLOOKUP($U$164,'TAR FIN'!$A$1:$O$115,15,0))</f>
        <v>0</v>
      </c>
      <c r="Y164" s="42">
        <f ca="1">('TUSD BE'!$AM$14+'TUSD BF'!$AM$14+'TUSD CVA'!$AM$14)*1*(1-0.03)</f>
        <v>19.996757900318997</v>
      </c>
      <c r="Z164" s="42"/>
      <c r="AA164" s="42"/>
      <c r="AB164" s="6">
        <f>$K$164*$V$164</f>
        <v>651.41999999999996</v>
      </c>
      <c r="AC164" s="6">
        <f>$M$164*$W$164</f>
        <v>0</v>
      </c>
      <c r="AD164" s="6">
        <f>$O$164*$X$164</f>
        <v>0</v>
      </c>
      <c r="AE164" s="6">
        <f ca="1">$K$164*$Y$164</f>
        <v>699.8865265111649</v>
      </c>
      <c r="AF164" s="6">
        <f>$M$164*$Z$164</f>
        <v>0</v>
      </c>
      <c r="AG164" s="6">
        <f>$O$164*$AA$164</f>
        <v>0</v>
      </c>
    </row>
    <row r="165" spans="1:33" ht="11.25" customHeight="1" x14ac:dyDescent="0.25">
      <c r="A165" s="4" t="s">
        <v>21</v>
      </c>
      <c r="B165" s="4" t="s">
        <v>43</v>
      </c>
      <c r="C165" s="4" t="s">
        <v>44</v>
      </c>
      <c r="D165" s="4" t="s">
        <v>52</v>
      </c>
      <c r="E165" s="4" t="s">
        <v>53</v>
      </c>
      <c r="F165" s="4" t="s">
        <v>25</v>
      </c>
      <c r="G165" s="4" t="s">
        <v>25</v>
      </c>
      <c r="H165" s="4" t="s">
        <v>25</v>
      </c>
      <c r="I165" s="5">
        <v>44835</v>
      </c>
      <c r="J165" s="6">
        <v>35</v>
      </c>
      <c r="K165" s="43">
        <v>35</v>
      </c>
      <c r="L165" s="6">
        <v>0</v>
      </c>
      <c r="M165" s="42">
        <v>0</v>
      </c>
      <c r="N165" s="6">
        <v>0</v>
      </c>
      <c r="O165" s="42">
        <v>0</v>
      </c>
      <c r="P165" s="6">
        <v>1</v>
      </c>
      <c r="Q165" s="4" t="s">
        <v>26</v>
      </c>
      <c r="R165" s="4">
        <v>0</v>
      </c>
      <c r="S165" s="6">
        <v>12</v>
      </c>
      <c r="T165" s="6">
        <v>0</v>
      </c>
      <c r="U165" s="6">
        <v>0</v>
      </c>
      <c r="V165" s="42">
        <f>IF(ISERROR(VLOOKUP($S$165,'TAR FIN'!$A$1:$O$115,15,0)),0,VLOOKUP($S$165,'TAR FIN'!$A$1:$O$115,15,0))*(1-0.06)</f>
        <v>18.611999999999998</v>
      </c>
      <c r="W165" s="42">
        <f>IF(ISERROR(VLOOKUP($T$165,'TAR FIN'!$A$1:$O$115,15,0)),0,VLOOKUP($T$165,'TAR FIN'!$A$1:$O$115,15,0))</f>
        <v>0</v>
      </c>
      <c r="X165" s="42">
        <f>IF(ISERROR(VLOOKUP($U$165,'TAR FIN'!$A$1:$O$115,15,0)),0,VLOOKUP($U$165,'TAR FIN'!$A$1:$O$115,15,0))</f>
        <v>0</v>
      </c>
      <c r="Y165" s="42">
        <f ca="1">('TUSD BE'!$AM$14+'TUSD BF'!$AM$14+'TUSD CVA'!$AM$14)*1*(1-0.03)</f>
        <v>19.996757900318997</v>
      </c>
      <c r="Z165" s="42"/>
      <c r="AA165" s="42"/>
      <c r="AB165" s="6">
        <f>$K$165*$V$165</f>
        <v>651.41999999999996</v>
      </c>
      <c r="AC165" s="6">
        <f>$M$165*$W$165</f>
        <v>0</v>
      </c>
      <c r="AD165" s="6">
        <f>$O$165*$X$165</f>
        <v>0</v>
      </c>
      <c r="AE165" s="6">
        <f ca="1">$K$165*$Y$165</f>
        <v>699.8865265111649</v>
      </c>
      <c r="AF165" s="6">
        <f>$M$165*$Z$165</f>
        <v>0</v>
      </c>
      <c r="AG165" s="6">
        <f>$O$165*$AA$165</f>
        <v>0</v>
      </c>
    </row>
    <row r="166" spans="1:33" ht="11.25" customHeight="1" x14ac:dyDescent="0.25">
      <c r="A166" s="4" t="s">
        <v>59</v>
      </c>
      <c r="B166" s="4" t="s">
        <v>43</v>
      </c>
      <c r="C166" s="4" t="s">
        <v>44</v>
      </c>
      <c r="D166" s="4" t="s">
        <v>52</v>
      </c>
      <c r="E166" s="4" t="s">
        <v>53</v>
      </c>
      <c r="F166" s="4" t="s">
        <v>25</v>
      </c>
      <c r="G166" s="4" t="s">
        <v>25</v>
      </c>
      <c r="H166" s="4" t="s">
        <v>25</v>
      </c>
      <c r="I166" s="5">
        <v>44866</v>
      </c>
      <c r="J166" s="6">
        <v>35</v>
      </c>
      <c r="K166" s="43">
        <v>35</v>
      </c>
      <c r="L166" s="6">
        <v>0</v>
      </c>
      <c r="M166" s="42">
        <v>0</v>
      </c>
      <c r="N166" s="6">
        <v>0</v>
      </c>
      <c r="O166" s="42">
        <v>0</v>
      </c>
      <c r="P166" s="6">
        <v>1</v>
      </c>
      <c r="Q166" s="4" t="s">
        <v>26</v>
      </c>
      <c r="R166" s="4">
        <v>0</v>
      </c>
      <c r="S166" s="6">
        <v>12</v>
      </c>
      <c r="T166" s="6">
        <v>0</v>
      </c>
      <c r="U166" s="6">
        <v>0</v>
      </c>
      <c r="V166" s="42">
        <f>IF(ISERROR(VLOOKUP($S$166,'TAR FIN'!$A$1:$O$115,15,0)),0,VLOOKUP($S$166,'TAR FIN'!$A$1:$O$115,15,0))*(1-0.06)</f>
        <v>18.611999999999998</v>
      </c>
      <c r="W166" s="42">
        <f>IF(ISERROR(VLOOKUP($T$166,'TAR FIN'!$A$1:$O$115,15,0)),0,VLOOKUP($T$166,'TAR FIN'!$A$1:$O$115,15,0))</f>
        <v>0</v>
      </c>
      <c r="X166" s="42">
        <f>IF(ISERROR(VLOOKUP($U$166,'TAR FIN'!$A$1:$O$115,15,0)),0,VLOOKUP($U$166,'TAR FIN'!$A$1:$O$115,15,0))</f>
        <v>0</v>
      </c>
      <c r="Y166" s="42">
        <f ca="1">('TUSD BE'!$AM$14+'TUSD BF'!$AM$14+'TUSD CVA'!$AM$14)*1*(1-0.03)</f>
        <v>19.996757900318997</v>
      </c>
      <c r="Z166" s="42"/>
      <c r="AA166" s="42"/>
      <c r="AB166" s="6">
        <f>$K$166*$V$166</f>
        <v>651.41999999999996</v>
      </c>
      <c r="AC166" s="6">
        <f>$M$166*$W$166</f>
        <v>0</v>
      </c>
      <c r="AD166" s="6">
        <f>$O$166*$X$166</f>
        <v>0</v>
      </c>
      <c r="AE166" s="6">
        <f ca="1">$K$166*$Y$166</f>
        <v>699.8865265111649</v>
      </c>
      <c r="AF166" s="6">
        <f>$M$166*$Z$166</f>
        <v>0</v>
      </c>
      <c r="AG166" s="6">
        <f>$O$166*$AA$166</f>
        <v>0</v>
      </c>
    </row>
    <row r="167" spans="1:33" ht="11.25" customHeight="1" x14ac:dyDescent="0.25">
      <c r="A167" s="4" t="s">
        <v>21</v>
      </c>
      <c r="B167" s="4" t="s">
        <v>41</v>
      </c>
      <c r="C167" s="4" t="s">
        <v>42</v>
      </c>
      <c r="D167" s="4" t="s">
        <v>45</v>
      </c>
      <c r="E167" s="4" t="s">
        <v>25</v>
      </c>
      <c r="F167" s="4" t="s">
        <v>25</v>
      </c>
      <c r="G167" s="4" t="s">
        <v>25</v>
      </c>
      <c r="H167" s="4" t="s">
        <v>37</v>
      </c>
      <c r="I167" s="5">
        <v>44531</v>
      </c>
      <c r="J167" s="6">
        <v>1773</v>
      </c>
      <c r="K167" s="6">
        <v>1773</v>
      </c>
      <c r="L167" s="6">
        <v>478.97800000000001</v>
      </c>
      <c r="M167" s="6">
        <v>478.97800000000001</v>
      </c>
      <c r="N167" s="6">
        <v>478.97800000000001</v>
      </c>
      <c r="O167" s="6">
        <v>478.97800000000001</v>
      </c>
      <c r="P167" s="6">
        <v>0</v>
      </c>
      <c r="Q167" s="4" t="s">
        <v>26</v>
      </c>
      <c r="R167" s="4">
        <v>0</v>
      </c>
      <c r="S167" s="6">
        <v>20</v>
      </c>
      <c r="T167" s="6">
        <v>21</v>
      </c>
      <c r="U167" s="6">
        <v>75</v>
      </c>
      <c r="V167" s="6">
        <f>IF(ISERROR(VLOOKUP($S$167,'TAR FIN'!$A$1:$O$115,15,0)),0,VLOOKUP($S$167,'TAR FIN'!$A$1:$O$115,15,0))</f>
        <v>19.8</v>
      </c>
      <c r="W167" s="6">
        <f>IF(ISERROR(VLOOKUP($T$167,'TAR FIN'!$A$1:$O$115,15,0)),0,VLOOKUP($T$167,'TAR FIN'!$A$1:$O$115,15,0))</f>
        <v>84.31</v>
      </c>
      <c r="X167" s="6">
        <f>IF(ISERROR(VLOOKUP($U$167,'TAR FIN'!$A$1:$O$115,15,0)),0,VLOOKUP($U$167,'TAR FIN'!$A$1:$O$115,15,0))</f>
        <v>168.06</v>
      </c>
      <c r="Y167" s="6">
        <f ca="1">('TUSD BE'!$AM$20+'TUSD BF'!$AM$20+'TUSD CVA'!$AM$20)*1</f>
        <v>20.615214330225772</v>
      </c>
      <c r="Z167" s="6">
        <f ca="1">('TUSD BE'!$AM$21+'TUSD BF'!$AM$21+'TUSD CVA'!$AM$21)*1</f>
        <v>113.43121292628391</v>
      </c>
      <c r="AA167" s="6">
        <f>('TE BE'!$AB$12+'TE BF'!$AB$12+'TE CVA'!$AB$12)*1</f>
        <v>218.6854278594964</v>
      </c>
      <c r="AB167" s="6">
        <f>$K$167*$V$167</f>
        <v>35105.4</v>
      </c>
      <c r="AC167" s="6">
        <f>$M$167*$W$167</f>
        <v>40382.635180000005</v>
      </c>
      <c r="AD167" s="6">
        <f>$O$167*$X$167</f>
        <v>80497.042679999999</v>
      </c>
      <c r="AE167" s="6">
        <f ca="1">$K$167*$Y$167</f>
        <v>36550.775007490294</v>
      </c>
      <c r="AF167" s="6">
        <f ca="1">$M$167*$Z$167</f>
        <v>54331.055505005614</v>
      </c>
      <c r="AG167" s="6">
        <f>$O$167*$AA$167</f>
        <v>104745.50886528587</v>
      </c>
    </row>
    <row r="168" spans="1:33" ht="11.25" customHeight="1" x14ac:dyDescent="0.25">
      <c r="A168" s="4" t="s">
        <v>28</v>
      </c>
      <c r="B168" s="4" t="s">
        <v>41</v>
      </c>
      <c r="C168" s="4" t="s">
        <v>42</v>
      </c>
      <c r="D168" s="4" t="s">
        <v>45</v>
      </c>
      <c r="E168" s="4" t="s">
        <v>25</v>
      </c>
      <c r="F168" s="4" t="s">
        <v>25</v>
      </c>
      <c r="G168" s="4" t="s">
        <v>25</v>
      </c>
      <c r="H168" s="4" t="s">
        <v>37</v>
      </c>
      <c r="I168" s="5">
        <v>44531</v>
      </c>
      <c r="J168" s="6">
        <v>130</v>
      </c>
      <c r="K168" s="6">
        <v>130</v>
      </c>
      <c r="L168" s="6">
        <v>8.9600000000000009</v>
      </c>
      <c r="M168" s="6">
        <v>8.9600000000000009</v>
      </c>
      <c r="N168" s="6">
        <v>8.9600000000000009</v>
      </c>
      <c r="O168" s="6">
        <v>8.9600000000000009</v>
      </c>
      <c r="P168" s="6">
        <v>0</v>
      </c>
      <c r="Q168" s="4" t="s">
        <v>26</v>
      </c>
      <c r="R168" s="4">
        <v>0</v>
      </c>
      <c r="S168" s="6">
        <v>20</v>
      </c>
      <c r="T168" s="6">
        <v>21</v>
      </c>
      <c r="U168" s="6">
        <v>75</v>
      </c>
      <c r="V168" s="6">
        <f>IF(ISERROR(VLOOKUP($S$168,'TAR FIN'!$A$1:$O$115,15,0)),0,VLOOKUP($S$168,'TAR FIN'!$A$1:$O$115,15,0))</f>
        <v>19.8</v>
      </c>
      <c r="W168" s="6">
        <f>IF(ISERROR(VLOOKUP($T$168,'TAR FIN'!$A$1:$O$115,15,0)),0,VLOOKUP($T$168,'TAR FIN'!$A$1:$O$115,15,0))</f>
        <v>84.31</v>
      </c>
      <c r="X168" s="6">
        <f>IF(ISERROR(VLOOKUP($U$168,'TAR FIN'!$A$1:$O$115,15,0)),0,VLOOKUP($U$168,'TAR FIN'!$A$1:$O$115,15,0))</f>
        <v>168.06</v>
      </c>
      <c r="Y168" s="6">
        <f ca="1">('TUSD BE'!$AM$20+'TUSD BF'!$AM$20+'TUSD CVA'!$AM$20)*1</f>
        <v>20.615214330225772</v>
      </c>
      <c r="Z168" s="6">
        <f ca="1">('TUSD BE'!$AM$21+'TUSD BF'!$AM$21+'TUSD CVA'!$AM$21)*1</f>
        <v>113.43121292628391</v>
      </c>
      <c r="AA168" s="6">
        <f>('TE BE'!$AB$12+'TE BF'!$AB$12+'TE CVA'!$AB$12)*1</f>
        <v>218.6854278594964</v>
      </c>
      <c r="AB168" s="6">
        <f>$K$168*$V$168</f>
        <v>2574</v>
      </c>
      <c r="AC168" s="6">
        <f>$M$168*$W$168</f>
        <v>755.41760000000011</v>
      </c>
      <c r="AD168" s="6">
        <f>$O$168*$X$168</f>
        <v>1505.8176000000001</v>
      </c>
      <c r="AE168" s="6">
        <f ca="1">$K$168*$Y$168</f>
        <v>2679.9778629293505</v>
      </c>
      <c r="AF168" s="6">
        <f ca="1">$M$168*$Z$168</f>
        <v>1016.3436678195039</v>
      </c>
      <c r="AG168" s="6">
        <f>$O$168*$AA$168</f>
        <v>1959.421433621088</v>
      </c>
    </row>
    <row r="169" spans="1:33" ht="11.25" customHeight="1" x14ac:dyDescent="0.25">
      <c r="A169" s="4" t="s">
        <v>21</v>
      </c>
      <c r="B169" s="4" t="s">
        <v>41</v>
      </c>
      <c r="C169" s="4" t="s">
        <v>42</v>
      </c>
      <c r="D169" s="4" t="s">
        <v>45</v>
      </c>
      <c r="E169" s="4" t="s">
        <v>25</v>
      </c>
      <c r="F169" s="4" t="s">
        <v>25</v>
      </c>
      <c r="G169" s="4" t="s">
        <v>25</v>
      </c>
      <c r="H169" s="4" t="s">
        <v>37</v>
      </c>
      <c r="I169" s="5">
        <v>44562</v>
      </c>
      <c r="J169" s="6">
        <v>1811</v>
      </c>
      <c r="K169" s="6">
        <v>1811</v>
      </c>
      <c r="L169" s="6">
        <v>489.76299999999998</v>
      </c>
      <c r="M169" s="6">
        <v>489.76299999999998</v>
      </c>
      <c r="N169" s="6">
        <v>489.76299999999998</v>
      </c>
      <c r="O169" s="6">
        <v>489.76299999999998</v>
      </c>
      <c r="P169" s="6">
        <v>0</v>
      </c>
      <c r="Q169" s="4" t="s">
        <v>26</v>
      </c>
      <c r="R169" s="4">
        <v>0</v>
      </c>
      <c r="S169" s="6">
        <v>20</v>
      </c>
      <c r="T169" s="6">
        <v>21</v>
      </c>
      <c r="U169" s="6">
        <v>75</v>
      </c>
      <c r="V169" s="6">
        <f>IF(ISERROR(VLOOKUP($S$169,'TAR FIN'!$A$1:$O$115,15,0)),0,VLOOKUP($S$169,'TAR FIN'!$A$1:$O$115,15,0))</f>
        <v>19.8</v>
      </c>
      <c r="W169" s="6">
        <f>IF(ISERROR(VLOOKUP($T$169,'TAR FIN'!$A$1:$O$115,15,0)),0,VLOOKUP($T$169,'TAR FIN'!$A$1:$O$115,15,0))</f>
        <v>84.31</v>
      </c>
      <c r="X169" s="6">
        <f>IF(ISERROR(VLOOKUP($U$169,'TAR FIN'!$A$1:$O$115,15,0)),0,VLOOKUP($U$169,'TAR FIN'!$A$1:$O$115,15,0))</f>
        <v>168.06</v>
      </c>
      <c r="Y169" s="6">
        <f ca="1">('TUSD BE'!$AM$20+'TUSD BF'!$AM$20+'TUSD CVA'!$AM$20)*1</f>
        <v>20.615214330225772</v>
      </c>
      <c r="Z169" s="6">
        <f ca="1">('TUSD BE'!$AM$21+'TUSD BF'!$AM$21+'TUSD CVA'!$AM$21)*1</f>
        <v>113.43121292628391</v>
      </c>
      <c r="AA169" s="6">
        <f>('TE BE'!$AB$12+'TE BF'!$AB$12+'TE CVA'!$AB$12)*1</f>
        <v>218.6854278594964</v>
      </c>
      <c r="AB169" s="6">
        <f>$K$169*$V$169</f>
        <v>35857.800000000003</v>
      </c>
      <c r="AC169" s="6">
        <f>$M$169*$W$169</f>
        <v>41291.918530000003</v>
      </c>
      <c r="AD169" s="6">
        <f>$O$169*$X$169</f>
        <v>82309.569779999991</v>
      </c>
      <c r="AE169" s="6">
        <f ca="1">$K$169*$Y$169</f>
        <v>37334.153152038874</v>
      </c>
      <c r="AF169" s="6">
        <f ca="1">$M$169*$Z$169</f>
        <v>55554.411136415583</v>
      </c>
      <c r="AG169" s="6">
        <f>$O$169*$AA$169</f>
        <v>107104.03120475053</v>
      </c>
    </row>
    <row r="170" spans="1:33" ht="11.25" customHeight="1" x14ac:dyDescent="0.25">
      <c r="A170" s="4" t="s">
        <v>28</v>
      </c>
      <c r="B170" s="4" t="s">
        <v>41</v>
      </c>
      <c r="C170" s="4" t="s">
        <v>42</v>
      </c>
      <c r="D170" s="4" t="s">
        <v>45</v>
      </c>
      <c r="E170" s="4" t="s">
        <v>25</v>
      </c>
      <c r="F170" s="4" t="s">
        <v>25</v>
      </c>
      <c r="G170" s="4" t="s">
        <v>25</v>
      </c>
      <c r="H170" s="4" t="s">
        <v>37</v>
      </c>
      <c r="I170" s="5">
        <v>44562</v>
      </c>
      <c r="J170" s="6">
        <v>130</v>
      </c>
      <c r="K170" s="6">
        <v>130</v>
      </c>
      <c r="L170" s="6">
        <v>8.9600000000000009</v>
      </c>
      <c r="M170" s="6">
        <v>8.9600000000000009</v>
      </c>
      <c r="N170" s="6">
        <v>8.9600000000000009</v>
      </c>
      <c r="O170" s="6">
        <v>8.9600000000000009</v>
      </c>
      <c r="P170" s="6">
        <v>0</v>
      </c>
      <c r="Q170" s="4" t="s">
        <v>26</v>
      </c>
      <c r="R170" s="4">
        <v>0</v>
      </c>
      <c r="S170" s="6">
        <v>20</v>
      </c>
      <c r="T170" s="6">
        <v>21</v>
      </c>
      <c r="U170" s="6">
        <v>75</v>
      </c>
      <c r="V170" s="6">
        <f>IF(ISERROR(VLOOKUP($S$170,'TAR FIN'!$A$1:$O$115,15,0)),0,VLOOKUP($S$170,'TAR FIN'!$A$1:$O$115,15,0))</f>
        <v>19.8</v>
      </c>
      <c r="W170" s="6">
        <f>IF(ISERROR(VLOOKUP($T$170,'TAR FIN'!$A$1:$O$115,15,0)),0,VLOOKUP($T$170,'TAR FIN'!$A$1:$O$115,15,0))</f>
        <v>84.31</v>
      </c>
      <c r="X170" s="6">
        <f>IF(ISERROR(VLOOKUP($U$170,'TAR FIN'!$A$1:$O$115,15,0)),0,VLOOKUP($U$170,'TAR FIN'!$A$1:$O$115,15,0))</f>
        <v>168.06</v>
      </c>
      <c r="Y170" s="6">
        <f ca="1">('TUSD BE'!$AM$20+'TUSD BF'!$AM$20+'TUSD CVA'!$AM$20)*1</f>
        <v>20.615214330225772</v>
      </c>
      <c r="Z170" s="6">
        <f ca="1">('TUSD BE'!$AM$21+'TUSD BF'!$AM$21+'TUSD CVA'!$AM$21)*1</f>
        <v>113.43121292628391</v>
      </c>
      <c r="AA170" s="6">
        <f>('TE BE'!$AB$12+'TE BF'!$AB$12+'TE CVA'!$AB$12)*1</f>
        <v>218.6854278594964</v>
      </c>
      <c r="AB170" s="6">
        <f>$K$170*$V$170</f>
        <v>2574</v>
      </c>
      <c r="AC170" s="6">
        <f>$M$170*$W$170</f>
        <v>755.41760000000011</v>
      </c>
      <c r="AD170" s="6">
        <f>$O$170*$X$170</f>
        <v>1505.8176000000001</v>
      </c>
      <c r="AE170" s="6">
        <f ca="1">$K$170*$Y$170</f>
        <v>2679.9778629293505</v>
      </c>
      <c r="AF170" s="6">
        <f ca="1">$M$170*$Z$170</f>
        <v>1016.3436678195039</v>
      </c>
      <c r="AG170" s="6">
        <f>$O$170*$AA$170</f>
        <v>1959.421433621088</v>
      </c>
    </row>
    <row r="171" spans="1:33" ht="11.25" customHeight="1" x14ac:dyDescent="0.25">
      <c r="A171" s="4" t="s">
        <v>21</v>
      </c>
      <c r="B171" s="4" t="s">
        <v>41</v>
      </c>
      <c r="C171" s="4" t="s">
        <v>42</v>
      </c>
      <c r="D171" s="4" t="s">
        <v>45</v>
      </c>
      <c r="E171" s="4" t="s">
        <v>25</v>
      </c>
      <c r="F171" s="4" t="s">
        <v>25</v>
      </c>
      <c r="G171" s="4" t="s">
        <v>25</v>
      </c>
      <c r="H171" s="4" t="s">
        <v>37</v>
      </c>
      <c r="I171" s="5">
        <v>44593</v>
      </c>
      <c r="J171" s="6">
        <v>2467</v>
      </c>
      <c r="K171" s="6">
        <v>2467</v>
      </c>
      <c r="L171" s="6">
        <v>586.88</v>
      </c>
      <c r="M171" s="6">
        <v>586.88</v>
      </c>
      <c r="N171" s="6">
        <v>586.88</v>
      </c>
      <c r="O171" s="6">
        <v>586.88</v>
      </c>
      <c r="P171" s="6">
        <v>0</v>
      </c>
      <c r="Q171" s="4" t="s">
        <v>26</v>
      </c>
      <c r="R171" s="4">
        <v>0</v>
      </c>
      <c r="S171" s="6">
        <v>20</v>
      </c>
      <c r="T171" s="6">
        <v>21</v>
      </c>
      <c r="U171" s="6">
        <v>75</v>
      </c>
      <c r="V171" s="6">
        <f>IF(ISERROR(VLOOKUP($S$171,'TAR FIN'!$A$1:$O$115,15,0)),0,VLOOKUP($S$171,'TAR FIN'!$A$1:$O$115,15,0))</f>
        <v>19.8</v>
      </c>
      <c r="W171" s="6">
        <f>IF(ISERROR(VLOOKUP($T$171,'TAR FIN'!$A$1:$O$115,15,0)),0,VLOOKUP($T$171,'TAR FIN'!$A$1:$O$115,15,0))</f>
        <v>84.31</v>
      </c>
      <c r="X171" s="6">
        <f>IF(ISERROR(VLOOKUP($U$171,'TAR FIN'!$A$1:$O$115,15,0)),0,VLOOKUP($U$171,'TAR FIN'!$A$1:$O$115,15,0))</f>
        <v>168.06</v>
      </c>
      <c r="Y171" s="6">
        <f ca="1">('TUSD BE'!$AM$20+'TUSD BF'!$AM$20+'TUSD CVA'!$AM$20)*1</f>
        <v>20.615214330225772</v>
      </c>
      <c r="Z171" s="6">
        <f ca="1">('TUSD BE'!$AM$21+'TUSD BF'!$AM$21+'TUSD CVA'!$AM$21)*1</f>
        <v>113.43121292628391</v>
      </c>
      <c r="AA171" s="6">
        <f>('TE BE'!$AB$12+'TE BF'!$AB$12+'TE CVA'!$AB$12)*1</f>
        <v>218.6854278594964</v>
      </c>
      <c r="AB171" s="6">
        <f>$K$171*$V$171</f>
        <v>48846.6</v>
      </c>
      <c r="AC171" s="6">
        <f>$M$171*$W$171</f>
        <v>49479.852800000001</v>
      </c>
      <c r="AD171" s="6">
        <f>$O$171*$X$171</f>
        <v>98631.052800000005</v>
      </c>
      <c r="AE171" s="6">
        <f ca="1">$K$171*$Y$171</f>
        <v>50857.73375266698</v>
      </c>
      <c r="AF171" s="6">
        <f ca="1">$M$171*$Z$171</f>
        <v>66570.510242177494</v>
      </c>
      <c r="AG171" s="6">
        <f>$O$171*$AA$171</f>
        <v>128342.10390218125</v>
      </c>
    </row>
    <row r="172" spans="1:33" ht="11.25" customHeight="1" x14ac:dyDescent="0.25">
      <c r="A172" s="4" t="s">
        <v>28</v>
      </c>
      <c r="B172" s="4" t="s">
        <v>41</v>
      </c>
      <c r="C172" s="4" t="s">
        <v>42</v>
      </c>
      <c r="D172" s="4" t="s">
        <v>45</v>
      </c>
      <c r="E172" s="4" t="s">
        <v>25</v>
      </c>
      <c r="F172" s="4" t="s">
        <v>25</v>
      </c>
      <c r="G172" s="4" t="s">
        <v>25</v>
      </c>
      <c r="H172" s="4" t="s">
        <v>37</v>
      </c>
      <c r="I172" s="5">
        <v>44593</v>
      </c>
      <c r="J172" s="6">
        <v>130</v>
      </c>
      <c r="K172" s="6">
        <v>130</v>
      </c>
      <c r="L172" s="6">
        <v>9.3949999999999996</v>
      </c>
      <c r="M172" s="6">
        <v>9.3949999999999996</v>
      </c>
      <c r="N172" s="6">
        <v>9.3949999999999996</v>
      </c>
      <c r="O172" s="6">
        <v>9.3949999999999996</v>
      </c>
      <c r="P172" s="6">
        <v>0</v>
      </c>
      <c r="Q172" s="4" t="s">
        <v>26</v>
      </c>
      <c r="R172" s="4">
        <v>0</v>
      </c>
      <c r="S172" s="6">
        <v>20</v>
      </c>
      <c r="T172" s="6">
        <v>21</v>
      </c>
      <c r="U172" s="6">
        <v>75</v>
      </c>
      <c r="V172" s="6">
        <f>IF(ISERROR(VLOOKUP($S$172,'TAR FIN'!$A$1:$O$115,15,0)),0,VLOOKUP($S$172,'TAR FIN'!$A$1:$O$115,15,0))</f>
        <v>19.8</v>
      </c>
      <c r="W172" s="6">
        <f>IF(ISERROR(VLOOKUP($T$172,'TAR FIN'!$A$1:$O$115,15,0)),0,VLOOKUP($T$172,'TAR FIN'!$A$1:$O$115,15,0))</f>
        <v>84.31</v>
      </c>
      <c r="X172" s="6">
        <f>IF(ISERROR(VLOOKUP($U$172,'TAR FIN'!$A$1:$O$115,15,0)),0,VLOOKUP($U$172,'TAR FIN'!$A$1:$O$115,15,0))</f>
        <v>168.06</v>
      </c>
      <c r="Y172" s="6">
        <f ca="1">('TUSD BE'!$AM$20+'TUSD BF'!$AM$20+'TUSD CVA'!$AM$20)*1</f>
        <v>20.615214330225772</v>
      </c>
      <c r="Z172" s="6">
        <f ca="1">('TUSD BE'!$AM$21+'TUSD BF'!$AM$21+'TUSD CVA'!$AM$21)*1</f>
        <v>113.43121292628391</v>
      </c>
      <c r="AA172" s="6">
        <f>('TE BE'!$AB$12+'TE BF'!$AB$12+'TE CVA'!$AB$12)*1</f>
        <v>218.6854278594964</v>
      </c>
      <c r="AB172" s="6">
        <f>$K$172*$V$172</f>
        <v>2574</v>
      </c>
      <c r="AC172" s="6">
        <f>$M$172*$W$172</f>
        <v>792.09244999999999</v>
      </c>
      <c r="AD172" s="6">
        <f>$O$172*$X$172</f>
        <v>1578.9237000000001</v>
      </c>
      <c r="AE172" s="6">
        <f ca="1">$K$172*$Y$172</f>
        <v>2679.9778629293505</v>
      </c>
      <c r="AF172" s="6">
        <f ca="1">$M$172*$Z$172</f>
        <v>1065.6862454424372</v>
      </c>
      <c r="AG172" s="6">
        <f>$O$172*$AA$172</f>
        <v>2054.5495947399686</v>
      </c>
    </row>
    <row r="173" spans="1:33" ht="11.25" customHeight="1" x14ac:dyDescent="0.25">
      <c r="A173" s="4" t="s">
        <v>21</v>
      </c>
      <c r="B173" s="4" t="s">
        <v>41</v>
      </c>
      <c r="C173" s="4" t="s">
        <v>42</v>
      </c>
      <c r="D173" s="4" t="s">
        <v>45</v>
      </c>
      <c r="E173" s="4" t="s">
        <v>25</v>
      </c>
      <c r="F173" s="4" t="s">
        <v>25</v>
      </c>
      <c r="G173" s="4" t="s">
        <v>25</v>
      </c>
      <c r="H173" s="4" t="s">
        <v>37</v>
      </c>
      <c r="I173" s="5">
        <v>44621</v>
      </c>
      <c r="J173" s="6">
        <v>2478</v>
      </c>
      <c r="K173" s="6">
        <v>2478</v>
      </c>
      <c r="L173" s="6">
        <v>607.45799999999997</v>
      </c>
      <c r="M173" s="6">
        <v>607.45799999999997</v>
      </c>
      <c r="N173" s="6">
        <v>607.45799999999997</v>
      </c>
      <c r="O173" s="6">
        <v>607.45799999999997</v>
      </c>
      <c r="P173" s="6">
        <v>0</v>
      </c>
      <c r="Q173" s="4" t="s">
        <v>26</v>
      </c>
      <c r="R173" s="4">
        <v>0</v>
      </c>
      <c r="S173" s="6">
        <v>20</v>
      </c>
      <c r="T173" s="6">
        <v>21</v>
      </c>
      <c r="U173" s="6">
        <v>75</v>
      </c>
      <c r="V173" s="6">
        <f>IF(ISERROR(VLOOKUP($S$173,'TAR FIN'!$A$1:$O$115,15,0)),0,VLOOKUP($S$173,'TAR FIN'!$A$1:$O$115,15,0))</f>
        <v>19.8</v>
      </c>
      <c r="W173" s="6">
        <f>IF(ISERROR(VLOOKUP($T$173,'TAR FIN'!$A$1:$O$115,15,0)),0,VLOOKUP($T$173,'TAR FIN'!$A$1:$O$115,15,0))</f>
        <v>84.31</v>
      </c>
      <c r="X173" s="6">
        <f>IF(ISERROR(VLOOKUP($U$173,'TAR FIN'!$A$1:$O$115,15,0)),0,VLOOKUP($U$173,'TAR FIN'!$A$1:$O$115,15,0))</f>
        <v>168.06</v>
      </c>
      <c r="Y173" s="6">
        <f ca="1">('TUSD BE'!$AM$20+'TUSD BF'!$AM$20+'TUSD CVA'!$AM$20)*1</f>
        <v>20.615214330225772</v>
      </c>
      <c r="Z173" s="6">
        <f ca="1">('TUSD BE'!$AM$21+'TUSD BF'!$AM$21+'TUSD CVA'!$AM$21)*1</f>
        <v>113.43121292628391</v>
      </c>
      <c r="AA173" s="6">
        <f>('TE BE'!$AB$12+'TE BF'!$AB$12+'TE CVA'!$AB$12)*1</f>
        <v>218.6854278594964</v>
      </c>
      <c r="AB173" s="6">
        <f>$K$173*$V$173</f>
        <v>49064.4</v>
      </c>
      <c r="AC173" s="6">
        <f>$M$173*$W$173</f>
        <v>51214.78398</v>
      </c>
      <c r="AD173" s="6">
        <f>$O$173*$X$173</f>
        <v>102089.39147999999</v>
      </c>
      <c r="AE173" s="6">
        <f ca="1">$K$173*$Y$173</f>
        <v>51084.501110299461</v>
      </c>
      <c r="AF173" s="6">
        <f ca="1">$M$173*$Z$173</f>
        <v>68904.697741774566</v>
      </c>
      <c r="AG173" s="6">
        <f>$O$173*$AA$173</f>
        <v>132842.21263667397</v>
      </c>
    </row>
    <row r="174" spans="1:33" ht="11.25" customHeight="1" x14ac:dyDescent="0.25">
      <c r="A174" s="4" t="s">
        <v>27</v>
      </c>
      <c r="B174" s="4" t="s">
        <v>41</v>
      </c>
      <c r="C174" s="4" t="s">
        <v>42</v>
      </c>
      <c r="D174" s="4" t="s">
        <v>45</v>
      </c>
      <c r="E174" s="4" t="s">
        <v>25</v>
      </c>
      <c r="F174" s="4" t="s">
        <v>25</v>
      </c>
      <c r="G174" s="4" t="s">
        <v>25</v>
      </c>
      <c r="H174" s="4" t="s">
        <v>37</v>
      </c>
      <c r="I174" s="5">
        <v>44621</v>
      </c>
      <c r="J174" s="6">
        <v>0</v>
      </c>
      <c r="K174" s="6">
        <v>0</v>
      </c>
      <c r="L174" s="6">
        <v>-9.9600000000000009</v>
      </c>
      <c r="M174" s="6">
        <v>-9.9600000000000009</v>
      </c>
      <c r="N174" s="6">
        <v>-9.9600000000000009</v>
      </c>
      <c r="O174" s="6">
        <v>-9.9600000000000009</v>
      </c>
      <c r="P174" s="6">
        <v>0</v>
      </c>
      <c r="Q174" s="4" t="s">
        <v>26</v>
      </c>
      <c r="R174" s="4">
        <v>0</v>
      </c>
      <c r="S174" s="6">
        <v>0</v>
      </c>
      <c r="T174" s="6">
        <v>21</v>
      </c>
      <c r="U174" s="6">
        <v>75</v>
      </c>
      <c r="V174" s="6">
        <f>IF(ISERROR(VLOOKUP($S$174,'TAR FIN'!$A$1:$O$115,15,0)),0,VLOOKUP($S$174,'TAR FIN'!$A$1:$O$115,15,0))</f>
        <v>0</v>
      </c>
      <c r="W174" s="6">
        <f>IF(ISERROR(VLOOKUP($T$174,'TAR FIN'!$A$1:$O$115,15,0)),0,VLOOKUP($T$174,'TAR FIN'!$A$1:$O$115,15,0))</f>
        <v>84.31</v>
      </c>
      <c r="X174" s="6">
        <f>IF(ISERROR(VLOOKUP($U$174,'TAR FIN'!$A$1:$O$115,15,0)),0,VLOOKUP($U$174,'TAR FIN'!$A$1:$O$115,15,0))</f>
        <v>168.06</v>
      </c>
      <c r="Y174" s="6">
        <f ca="1">('TUSD BE'!$AM$20+'TUSD BF'!$AM$20+'TUSD CVA'!$AM$20)*1</f>
        <v>20.615214330225772</v>
      </c>
      <c r="Z174" s="6">
        <f ca="1">('TUSD BE'!$AM$21+'TUSD BF'!$AM$21+'TUSD CVA'!$AM$21)*1</f>
        <v>113.43121292628391</v>
      </c>
      <c r="AA174" s="6">
        <f>('TE BE'!$AB$12+'TE BF'!$AB$12+'TE CVA'!$AB$12)*1</f>
        <v>218.6854278594964</v>
      </c>
      <c r="AB174" s="6">
        <f>$K$174*$V$174</f>
        <v>0</v>
      </c>
      <c r="AC174" s="6">
        <f>$M$174*$W$174</f>
        <v>-839.72760000000005</v>
      </c>
      <c r="AD174" s="6">
        <f>$O$174*$X$174</f>
        <v>-1673.8776000000003</v>
      </c>
      <c r="AE174" s="6">
        <f ca="1">$K$174*$Y$174</f>
        <v>0</v>
      </c>
      <c r="AF174" s="6">
        <f ca="1">$M$174*$Z$174</f>
        <v>-1129.7748807457879</v>
      </c>
      <c r="AG174" s="6">
        <f>$O$174*$AA$174</f>
        <v>-2178.1068614805845</v>
      </c>
    </row>
    <row r="175" spans="1:33" ht="11.25" customHeight="1" x14ac:dyDescent="0.25">
      <c r="A175" s="4" t="s">
        <v>28</v>
      </c>
      <c r="B175" s="4" t="s">
        <v>41</v>
      </c>
      <c r="C175" s="4" t="s">
        <v>42</v>
      </c>
      <c r="D175" s="4" t="s">
        <v>45</v>
      </c>
      <c r="E175" s="4" t="s">
        <v>25</v>
      </c>
      <c r="F175" s="4" t="s">
        <v>25</v>
      </c>
      <c r="G175" s="4" t="s">
        <v>25</v>
      </c>
      <c r="H175" s="4" t="s">
        <v>37</v>
      </c>
      <c r="I175" s="5">
        <v>44621</v>
      </c>
      <c r="J175" s="6">
        <v>130</v>
      </c>
      <c r="K175" s="6">
        <v>130</v>
      </c>
      <c r="L175" s="6">
        <v>8.2460000000000004</v>
      </c>
      <c r="M175" s="6">
        <v>8.2460000000000004</v>
      </c>
      <c r="N175" s="6">
        <v>8.2460000000000004</v>
      </c>
      <c r="O175" s="6">
        <v>8.2460000000000004</v>
      </c>
      <c r="P175" s="6">
        <v>0</v>
      </c>
      <c r="Q175" s="4" t="s">
        <v>26</v>
      </c>
      <c r="R175" s="4">
        <v>0</v>
      </c>
      <c r="S175" s="6">
        <v>20</v>
      </c>
      <c r="T175" s="6">
        <v>21</v>
      </c>
      <c r="U175" s="6">
        <v>75</v>
      </c>
      <c r="V175" s="6">
        <f>IF(ISERROR(VLOOKUP($S$175,'TAR FIN'!$A$1:$O$115,15,0)),0,VLOOKUP($S$175,'TAR FIN'!$A$1:$O$115,15,0))</f>
        <v>19.8</v>
      </c>
      <c r="W175" s="6">
        <f>IF(ISERROR(VLOOKUP($T$175,'TAR FIN'!$A$1:$O$115,15,0)),0,VLOOKUP($T$175,'TAR FIN'!$A$1:$O$115,15,0))</f>
        <v>84.31</v>
      </c>
      <c r="X175" s="6">
        <f>IF(ISERROR(VLOOKUP($U$175,'TAR FIN'!$A$1:$O$115,15,0)),0,VLOOKUP($U$175,'TAR FIN'!$A$1:$O$115,15,0))</f>
        <v>168.06</v>
      </c>
      <c r="Y175" s="6">
        <f ca="1">('TUSD BE'!$AM$20+'TUSD BF'!$AM$20+'TUSD CVA'!$AM$20)*1</f>
        <v>20.615214330225772</v>
      </c>
      <c r="Z175" s="6">
        <f ca="1">('TUSD BE'!$AM$21+'TUSD BF'!$AM$21+'TUSD CVA'!$AM$21)*1</f>
        <v>113.43121292628391</v>
      </c>
      <c r="AA175" s="6">
        <f>('TE BE'!$AB$12+'TE BF'!$AB$12+'TE CVA'!$AB$12)*1</f>
        <v>218.6854278594964</v>
      </c>
      <c r="AB175" s="6">
        <f>$K$175*$V$175</f>
        <v>2574</v>
      </c>
      <c r="AC175" s="6">
        <f>$M$175*$W$175</f>
        <v>695.22026000000005</v>
      </c>
      <c r="AD175" s="6">
        <f>$O$175*$X$175</f>
        <v>1385.82276</v>
      </c>
      <c r="AE175" s="6">
        <f ca="1">$K$175*$Y$175</f>
        <v>2679.9778629293505</v>
      </c>
      <c r="AF175" s="6">
        <f ca="1">$M$175*$Z$175</f>
        <v>935.35378179013708</v>
      </c>
      <c r="AG175" s="6">
        <f>$O$175*$AA$175</f>
        <v>1803.2800381294073</v>
      </c>
    </row>
    <row r="176" spans="1:33" ht="11.25" customHeight="1" x14ac:dyDescent="0.25">
      <c r="A176" s="4" t="s">
        <v>21</v>
      </c>
      <c r="B176" s="4" t="s">
        <v>41</v>
      </c>
      <c r="C176" s="4" t="s">
        <v>42</v>
      </c>
      <c r="D176" s="4" t="s">
        <v>45</v>
      </c>
      <c r="E176" s="4" t="s">
        <v>25</v>
      </c>
      <c r="F176" s="4" t="s">
        <v>25</v>
      </c>
      <c r="G176" s="4" t="s">
        <v>25</v>
      </c>
      <c r="H176" s="4" t="s">
        <v>37</v>
      </c>
      <c r="I176" s="5">
        <v>44652</v>
      </c>
      <c r="J176" s="6">
        <v>2554</v>
      </c>
      <c r="K176" s="6">
        <v>2554</v>
      </c>
      <c r="L176" s="6">
        <v>629.32000000000005</v>
      </c>
      <c r="M176" s="6">
        <v>629.32000000000005</v>
      </c>
      <c r="N176" s="6">
        <v>629.32000000000005</v>
      </c>
      <c r="O176" s="6">
        <v>629.32000000000005</v>
      </c>
      <c r="P176" s="6">
        <v>0</v>
      </c>
      <c r="Q176" s="4" t="s">
        <v>26</v>
      </c>
      <c r="R176" s="4">
        <v>0</v>
      </c>
      <c r="S176" s="6">
        <v>20</v>
      </c>
      <c r="T176" s="6">
        <v>21</v>
      </c>
      <c r="U176" s="6">
        <v>75</v>
      </c>
      <c r="V176" s="6">
        <f>IF(ISERROR(VLOOKUP($S$176,'TAR FIN'!$A$1:$O$115,15,0)),0,VLOOKUP($S$176,'TAR FIN'!$A$1:$O$115,15,0))</f>
        <v>19.8</v>
      </c>
      <c r="W176" s="6">
        <f>IF(ISERROR(VLOOKUP($T$176,'TAR FIN'!$A$1:$O$115,15,0)),0,VLOOKUP($T$176,'TAR FIN'!$A$1:$O$115,15,0))</f>
        <v>84.31</v>
      </c>
      <c r="X176" s="6">
        <f>IF(ISERROR(VLOOKUP($U$176,'TAR FIN'!$A$1:$O$115,15,0)),0,VLOOKUP($U$176,'TAR FIN'!$A$1:$O$115,15,0))</f>
        <v>168.06</v>
      </c>
      <c r="Y176" s="6">
        <f ca="1">('TUSD BE'!$AM$20+'TUSD BF'!$AM$20+'TUSD CVA'!$AM$20)*1</f>
        <v>20.615214330225772</v>
      </c>
      <c r="Z176" s="6">
        <f ca="1">('TUSD BE'!$AM$21+'TUSD BF'!$AM$21+'TUSD CVA'!$AM$21)*1</f>
        <v>113.43121292628391</v>
      </c>
      <c r="AA176" s="6">
        <f>('TE BE'!$AB$12+'TE BF'!$AB$12+'TE CVA'!$AB$12)*1</f>
        <v>218.6854278594964</v>
      </c>
      <c r="AB176" s="6">
        <f>$K$176*$V$176</f>
        <v>50569.200000000004</v>
      </c>
      <c r="AC176" s="6">
        <f>$M$176*$W$176</f>
        <v>53057.969200000007</v>
      </c>
      <c r="AD176" s="6">
        <f>$O$176*$X$176</f>
        <v>105763.51920000001</v>
      </c>
      <c r="AE176" s="6">
        <f ca="1">$K$176*$Y$176</f>
        <v>52651.257399396622</v>
      </c>
      <c r="AF176" s="6">
        <f ca="1">$M$176*$Z$176</f>
        <v>71384.530918769</v>
      </c>
      <c r="AG176" s="6">
        <f>$O$176*$AA$176</f>
        <v>137623.1134605383</v>
      </c>
    </row>
    <row r="177" spans="1:33" ht="11.25" customHeight="1" x14ac:dyDescent="0.25">
      <c r="A177" s="4" t="s">
        <v>28</v>
      </c>
      <c r="B177" s="4" t="s">
        <v>41</v>
      </c>
      <c r="C177" s="4" t="s">
        <v>42</v>
      </c>
      <c r="D177" s="4" t="s">
        <v>45</v>
      </c>
      <c r="E177" s="4" t="s">
        <v>25</v>
      </c>
      <c r="F177" s="4" t="s">
        <v>25</v>
      </c>
      <c r="G177" s="4" t="s">
        <v>25</v>
      </c>
      <c r="H177" s="4" t="s">
        <v>37</v>
      </c>
      <c r="I177" s="5">
        <v>44652</v>
      </c>
      <c r="J177" s="6">
        <v>130</v>
      </c>
      <c r="K177" s="6">
        <v>130</v>
      </c>
      <c r="L177" s="6">
        <v>9.0210000000000008</v>
      </c>
      <c r="M177" s="6">
        <v>9.0210000000000008</v>
      </c>
      <c r="N177" s="6">
        <v>9.0210000000000008</v>
      </c>
      <c r="O177" s="6">
        <v>9.0210000000000008</v>
      </c>
      <c r="P177" s="6">
        <v>0</v>
      </c>
      <c r="Q177" s="4" t="s">
        <v>26</v>
      </c>
      <c r="R177" s="4">
        <v>0</v>
      </c>
      <c r="S177" s="6">
        <v>20</v>
      </c>
      <c r="T177" s="6">
        <v>21</v>
      </c>
      <c r="U177" s="6">
        <v>75</v>
      </c>
      <c r="V177" s="6">
        <f>IF(ISERROR(VLOOKUP($S$177,'TAR FIN'!$A$1:$O$115,15,0)),0,VLOOKUP($S$177,'TAR FIN'!$A$1:$O$115,15,0))</f>
        <v>19.8</v>
      </c>
      <c r="W177" s="6">
        <f>IF(ISERROR(VLOOKUP($T$177,'TAR FIN'!$A$1:$O$115,15,0)),0,VLOOKUP($T$177,'TAR FIN'!$A$1:$O$115,15,0))</f>
        <v>84.31</v>
      </c>
      <c r="X177" s="6">
        <f>IF(ISERROR(VLOOKUP($U$177,'TAR FIN'!$A$1:$O$115,15,0)),0,VLOOKUP($U$177,'TAR FIN'!$A$1:$O$115,15,0))</f>
        <v>168.06</v>
      </c>
      <c r="Y177" s="6">
        <f ca="1">('TUSD BE'!$AM$20+'TUSD BF'!$AM$20+'TUSD CVA'!$AM$20)*1</f>
        <v>20.615214330225772</v>
      </c>
      <c r="Z177" s="6">
        <f ca="1">('TUSD BE'!$AM$21+'TUSD BF'!$AM$21+'TUSD CVA'!$AM$21)*1</f>
        <v>113.43121292628391</v>
      </c>
      <c r="AA177" s="6">
        <f>('TE BE'!$AB$12+'TE BF'!$AB$12+'TE CVA'!$AB$12)*1</f>
        <v>218.6854278594964</v>
      </c>
      <c r="AB177" s="6">
        <f>$K$177*$V$177</f>
        <v>2574</v>
      </c>
      <c r="AC177" s="6">
        <f>$M$177*$W$177</f>
        <v>760.56051000000014</v>
      </c>
      <c r="AD177" s="6">
        <f>$O$177*$X$177</f>
        <v>1516.0692600000002</v>
      </c>
      <c r="AE177" s="6">
        <f ca="1">$K$177*$Y$177</f>
        <v>2679.9778629293505</v>
      </c>
      <c r="AF177" s="6">
        <f ca="1">$M$177*$Z$177</f>
        <v>1023.2629718080073</v>
      </c>
      <c r="AG177" s="6">
        <f>$O$177*$AA$177</f>
        <v>1972.7612447205172</v>
      </c>
    </row>
    <row r="178" spans="1:33" ht="11.25" customHeight="1" x14ac:dyDescent="0.25">
      <c r="A178" s="4" t="s">
        <v>21</v>
      </c>
      <c r="B178" s="4" t="s">
        <v>41</v>
      </c>
      <c r="C178" s="4" t="s">
        <v>42</v>
      </c>
      <c r="D178" s="4" t="s">
        <v>45</v>
      </c>
      <c r="E178" s="4" t="s">
        <v>25</v>
      </c>
      <c r="F178" s="4" t="s">
        <v>25</v>
      </c>
      <c r="G178" s="4" t="s">
        <v>25</v>
      </c>
      <c r="H178" s="4" t="s">
        <v>37</v>
      </c>
      <c r="I178" s="5">
        <v>44682</v>
      </c>
      <c r="J178" s="6">
        <v>2560</v>
      </c>
      <c r="K178" s="6">
        <v>2560</v>
      </c>
      <c r="L178" s="6">
        <v>646.39300000000003</v>
      </c>
      <c r="M178" s="6">
        <v>646.39300000000003</v>
      </c>
      <c r="N178" s="6">
        <v>646.39300000000003</v>
      </c>
      <c r="O178" s="6">
        <v>646.39300000000003</v>
      </c>
      <c r="P178" s="6">
        <v>0</v>
      </c>
      <c r="Q178" s="4" t="s">
        <v>26</v>
      </c>
      <c r="R178" s="4">
        <v>0</v>
      </c>
      <c r="S178" s="6">
        <v>20</v>
      </c>
      <c r="T178" s="6">
        <v>21</v>
      </c>
      <c r="U178" s="6">
        <v>75</v>
      </c>
      <c r="V178" s="6">
        <f>IF(ISERROR(VLOOKUP($S$178,'TAR FIN'!$A$1:$O$115,15,0)),0,VLOOKUP($S$178,'TAR FIN'!$A$1:$O$115,15,0))</f>
        <v>19.8</v>
      </c>
      <c r="W178" s="6">
        <f>IF(ISERROR(VLOOKUP($T$178,'TAR FIN'!$A$1:$O$115,15,0)),0,VLOOKUP($T$178,'TAR FIN'!$A$1:$O$115,15,0))</f>
        <v>84.31</v>
      </c>
      <c r="X178" s="6">
        <f>IF(ISERROR(VLOOKUP($U$178,'TAR FIN'!$A$1:$O$115,15,0)),0,VLOOKUP($U$178,'TAR FIN'!$A$1:$O$115,15,0))</f>
        <v>168.06</v>
      </c>
      <c r="Y178" s="6">
        <f ca="1">('TUSD BE'!$AM$20+'TUSD BF'!$AM$20+'TUSD CVA'!$AM$20)*1</f>
        <v>20.615214330225772</v>
      </c>
      <c r="Z178" s="6">
        <f ca="1">('TUSD BE'!$AM$21+'TUSD BF'!$AM$21+'TUSD CVA'!$AM$21)*1</f>
        <v>113.43121292628391</v>
      </c>
      <c r="AA178" s="6">
        <f>('TE BE'!$AB$12+'TE BF'!$AB$12+'TE CVA'!$AB$12)*1</f>
        <v>218.6854278594964</v>
      </c>
      <c r="AB178" s="6">
        <f>$K$178*$V$178</f>
        <v>50688</v>
      </c>
      <c r="AC178" s="6">
        <f>$M$178*$W$178</f>
        <v>54497.393830000001</v>
      </c>
      <c r="AD178" s="6">
        <f>$O$178*$X$178</f>
        <v>108632.80758000001</v>
      </c>
      <c r="AE178" s="6">
        <f ca="1">$K$178*$Y$178</f>
        <v>52774.948685377974</v>
      </c>
      <c r="AF178" s="6">
        <f ca="1">$M$178*$Z$178</f>
        <v>73321.142017059436</v>
      </c>
      <c r="AG178" s="6">
        <f>$O$178*$AA$178</f>
        <v>141356.72977038345</v>
      </c>
    </row>
    <row r="179" spans="1:33" ht="11.25" customHeight="1" x14ac:dyDescent="0.25">
      <c r="A179" s="4" t="s">
        <v>28</v>
      </c>
      <c r="B179" s="4" t="s">
        <v>41</v>
      </c>
      <c r="C179" s="4" t="s">
        <v>42</v>
      </c>
      <c r="D179" s="4" t="s">
        <v>45</v>
      </c>
      <c r="E179" s="4" t="s">
        <v>25</v>
      </c>
      <c r="F179" s="4" t="s">
        <v>25</v>
      </c>
      <c r="G179" s="4" t="s">
        <v>25</v>
      </c>
      <c r="H179" s="4" t="s">
        <v>37</v>
      </c>
      <c r="I179" s="5">
        <v>44682</v>
      </c>
      <c r="J179" s="6">
        <v>130</v>
      </c>
      <c r="K179" s="6">
        <v>130</v>
      </c>
      <c r="L179" s="6">
        <v>8.6969999999999992</v>
      </c>
      <c r="M179" s="6">
        <v>8.6969999999999992</v>
      </c>
      <c r="N179" s="6">
        <v>8.6969999999999992</v>
      </c>
      <c r="O179" s="6">
        <v>8.6969999999999992</v>
      </c>
      <c r="P179" s="6">
        <v>0</v>
      </c>
      <c r="Q179" s="4" t="s">
        <v>26</v>
      </c>
      <c r="R179" s="4">
        <v>0</v>
      </c>
      <c r="S179" s="6">
        <v>20</v>
      </c>
      <c r="T179" s="6">
        <v>21</v>
      </c>
      <c r="U179" s="6">
        <v>75</v>
      </c>
      <c r="V179" s="6">
        <f>IF(ISERROR(VLOOKUP($S$179,'TAR FIN'!$A$1:$O$115,15,0)),0,VLOOKUP($S$179,'TAR FIN'!$A$1:$O$115,15,0))</f>
        <v>19.8</v>
      </c>
      <c r="W179" s="6">
        <f>IF(ISERROR(VLOOKUP($T$179,'TAR FIN'!$A$1:$O$115,15,0)),0,VLOOKUP($T$179,'TAR FIN'!$A$1:$O$115,15,0))</f>
        <v>84.31</v>
      </c>
      <c r="X179" s="6">
        <f>IF(ISERROR(VLOOKUP($U$179,'TAR FIN'!$A$1:$O$115,15,0)),0,VLOOKUP($U$179,'TAR FIN'!$A$1:$O$115,15,0))</f>
        <v>168.06</v>
      </c>
      <c r="Y179" s="6">
        <f ca="1">('TUSD BE'!$AM$20+'TUSD BF'!$AM$20+'TUSD CVA'!$AM$20)*1</f>
        <v>20.615214330225772</v>
      </c>
      <c r="Z179" s="6">
        <f ca="1">('TUSD BE'!$AM$21+'TUSD BF'!$AM$21+'TUSD CVA'!$AM$21)*1</f>
        <v>113.43121292628391</v>
      </c>
      <c r="AA179" s="6">
        <f>('TE BE'!$AB$12+'TE BF'!$AB$12+'TE CVA'!$AB$12)*1</f>
        <v>218.6854278594964</v>
      </c>
      <c r="AB179" s="6">
        <f>$K$179*$V$179</f>
        <v>2574</v>
      </c>
      <c r="AC179" s="6">
        <f>$M$179*$W$179</f>
        <v>733.24406999999997</v>
      </c>
      <c r="AD179" s="6">
        <f>$O$179*$X$179</f>
        <v>1461.6178199999999</v>
      </c>
      <c r="AE179" s="6">
        <f ca="1">$K$179*$Y$179</f>
        <v>2679.9778629293505</v>
      </c>
      <c r="AF179" s="6">
        <f ca="1">$M$179*$Z$179</f>
        <v>986.51125881989105</v>
      </c>
      <c r="AG179" s="6">
        <f>$O$179*$AA$179</f>
        <v>1901.9071660940401</v>
      </c>
    </row>
    <row r="180" spans="1:33" ht="11.25" customHeight="1" x14ac:dyDescent="0.25">
      <c r="A180" s="4" t="s">
        <v>21</v>
      </c>
      <c r="B180" s="4" t="s">
        <v>41</v>
      </c>
      <c r="C180" s="4" t="s">
        <v>42</v>
      </c>
      <c r="D180" s="4" t="s">
        <v>45</v>
      </c>
      <c r="E180" s="4" t="s">
        <v>25</v>
      </c>
      <c r="F180" s="4" t="s">
        <v>25</v>
      </c>
      <c r="G180" s="4" t="s">
        <v>25</v>
      </c>
      <c r="H180" s="4" t="s">
        <v>37</v>
      </c>
      <c r="I180" s="5">
        <v>44713</v>
      </c>
      <c r="J180" s="6">
        <v>2516</v>
      </c>
      <c r="K180" s="6">
        <v>2516</v>
      </c>
      <c r="L180" s="6">
        <v>577.08799999999997</v>
      </c>
      <c r="M180" s="6">
        <v>577.08799999999997</v>
      </c>
      <c r="N180" s="6">
        <v>577.08799999999997</v>
      </c>
      <c r="O180" s="6">
        <v>577.08799999999997</v>
      </c>
      <c r="P180" s="6">
        <v>0</v>
      </c>
      <c r="Q180" s="4" t="s">
        <v>26</v>
      </c>
      <c r="R180" s="4">
        <v>0</v>
      </c>
      <c r="S180" s="6">
        <v>20</v>
      </c>
      <c r="T180" s="6">
        <v>21</v>
      </c>
      <c r="U180" s="6">
        <v>75</v>
      </c>
      <c r="V180" s="6">
        <f>IF(ISERROR(VLOOKUP($S$180,'TAR FIN'!$A$1:$O$115,15,0)),0,VLOOKUP($S$180,'TAR FIN'!$A$1:$O$115,15,0))</f>
        <v>19.8</v>
      </c>
      <c r="W180" s="6">
        <f>IF(ISERROR(VLOOKUP($T$180,'TAR FIN'!$A$1:$O$115,15,0)),0,VLOOKUP($T$180,'TAR FIN'!$A$1:$O$115,15,0))</f>
        <v>84.31</v>
      </c>
      <c r="X180" s="6">
        <f>IF(ISERROR(VLOOKUP($U$180,'TAR FIN'!$A$1:$O$115,15,0)),0,VLOOKUP($U$180,'TAR FIN'!$A$1:$O$115,15,0))</f>
        <v>168.06</v>
      </c>
      <c r="Y180" s="6">
        <f ca="1">('TUSD BE'!$AM$20+'TUSD BF'!$AM$20+'TUSD CVA'!$AM$20)*1</f>
        <v>20.615214330225772</v>
      </c>
      <c r="Z180" s="6">
        <f ca="1">('TUSD BE'!$AM$21+'TUSD BF'!$AM$21+'TUSD CVA'!$AM$21)*1</f>
        <v>113.43121292628391</v>
      </c>
      <c r="AA180" s="6">
        <f>('TE BE'!$AB$12+'TE BF'!$AB$12+'TE CVA'!$AB$12)*1</f>
        <v>218.6854278594964</v>
      </c>
      <c r="AB180" s="6">
        <f>$K$180*$V$180</f>
        <v>49816.800000000003</v>
      </c>
      <c r="AC180" s="6">
        <f>$M$180*$W$180</f>
        <v>48654.289279999997</v>
      </c>
      <c r="AD180" s="6">
        <f>$O$180*$X$180</f>
        <v>96985.409279999993</v>
      </c>
      <c r="AE180" s="6">
        <f ca="1">$K$180*$Y$180</f>
        <v>51867.879254848041</v>
      </c>
      <c r="AF180" s="6">
        <f ca="1">$M$180*$Z$180</f>
        <v>65459.79180520332</v>
      </c>
      <c r="AG180" s="6">
        <f>$O$180*$AA$180</f>
        <v>126200.73619258105</v>
      </c>
    </row>
    <row r="181" spans="1:33" ht="11.25" customHeight="1" x14ac:dyDescent="0.25">
      <c r="A181" s="4" t="s">
        <v>28</v>
      </c>
      <c r="B181" s="4" t="s">
        <v>41</v>
      </c>
      <c r="C181" s="4" t="s">
        <v>42</v>
      </c>
      <c r="D181" s="4" t="s">
        <v>45</v>
      </c>
      <c r="E181" s="4" t="s">
        <v>25</v>
      </c>
      <c r="F181" s="4" t="s">
        <v>25</v>
      </c>
      <c r="G181" s="4" t="s">
        <v>25</v>
      </c>
      <c r="H181" s="4" t="s">
        <v>37</v>
      </c>
      <c r="I181" s="5">
        <v>44713</v>
      </c>
      <c r="J181" s="6">
        <v>130</v>
      </c>
      <c r="K181" s="6">
        <v>130</v>
      </c>
      <c r="L181" s="6">
        <v>8.875</v>
      </c>
      <c r="M181" s="6">
        <v>8.875</v>
      </c>
      <c r="N181" s="6">
        <v>8.875</v>
      </c>
      <c r="O181" s="6">
        <v>8.875</v>
      </c>
      <c r="P181" s="6">
        <v>0</v>
      </c>
      <c r="Q181" s="4" t="s">
        <v>26</v>
      </c>
      <c r="R181" s="4">
        <v>0</v>
      </c>
      <c r="S181" s="6">
        <v>20</v>
      </c>
      <c r="T181" s="6">
        <v>21</v>
      </c>
      <c r="U181" s="6">
        <v>75</v>
      </c>
      <c r="V181" s="6">
        <f>IF(ISERROR(VLOOKUP($S$181,'TAR FIN'!$A$1:$O$115,15,0)),0,VLOOKUP($S$181,'TAR FIN'!$A$1:$O$115,15,0))</f>
        <v>19.8</v>
      </c>
      <c r="W181" s="6">
        <f>IF(ISERROR(VLOOKUP($T$181,'TAR FIN'!$A$1:$O$115,15,0)),0,VLOOKUP($T$181,'TAR FIN'!$A$1:$O$115,15,0))</f>
        <v>84.31</v>
      </c>
      <c r="X181" s="6">
        <f>IF(ISERROR(VLOOKUP($U$181,'TAR FIN'!$A$1:$O$115,15,0)),0,VLOOKUP($U$181,'TAR FIN'!$A$1:$O$115,15,0))</f>
        <v>168.06</v>
      </c>
      <c r="Y181" s="6">
        <f ca="1">('TUSD BE'!$AM$20+'TUSD BF'!$AM$20+'TUSD CVA'!$AM$20)*1</f>
        <v>20.615214330225772</v>
      </c>
      <c r="Z181" s="6">
        <f ca="1">('TUSD BE'!$AM$21+'TUSD BF'!$AM$21+'TUSD CVA'!$AM$21)*1</f>
        <v>113.43121292628391</v>
      </c>
      <c r="AA181" s="6">
        <f>('TE BE'!$AB$12+'TE BF'!$AB$12+'TE CVA'!$AB$12)*1</f>
        <v>218.6854278594964</v>
      </c>
      <c r="AB181" s="6">
        <f>$K$181*$V$181</f>
        <v>2574</v>
      </c>
      <c r="AC181" s="6">
        <f>$M$181*$W$181</f>
        <v>748.25125000000003</v>
      </c>
      <c r="AD181" s="6">
        <f>$O$181*$X$181</f>
        <v>1491.5325</v>
      </c>
      <c r="AE181" s="6">
        <f ca="1">$K$181*$Y$181</f>
        <v>2679.9778629293505</v>
      </c>
      <c r="AF181" s="6">
        <f ca="1">$M$181*$Z$181</f>
        <v>1006.7020147207696</v>
      </c>
      <c r="AG181" s="6">
        <f>$O$181*$AA$181</f>
        <v>1940.8331722530306</v>
      </c>
    </row>
    <row r="182" spans="1:33" ht="11.25" customHeight="1" x14ac:dyDescent="0.25">
      <c r="A182" s="4" t="s">
        <v>21</v>
      </c>
      <c r="B182" s="4" t="s">
        <v>41</v>
      </c>
      <c r="C182" s="4" t="s">
        <v>42</v>
      </c>
      <c r="D182" s="4" t="s">
        <v>45</v>
      </c>
      <c r="E182" s="4" t="s">
        <v>25</v>
      </c>
      <c r="F182" s="4" t="s">
        <v>25</v>
      </c>
      <c r="G182" s="4" t="s">
        <v>25</v>
      </c>
      <c r="H182" s="4" t="s">
        <v>37</v>
      </c>
      <c r="I182" s="5">
        <v>44743</v>
      </c>
      <c r="J182" s="6">
        <v>2528</v>
      </c>
      <c r="K182" s="6">
        <v>2528</v>
      </c>
      <c r="L182" s="6">
        <v>617.68600000000004</v>
      </c>
      <c r="M182" s="6">
        <v>617.68600000000004</v>
      </c>
      <c r="N182" s="6">
        <v>617.68600000000004</v>
      </c>
      <c r="O182" s="6">
        <v>617.68600000000004</v>
      </c>
      <c r="P182" s="6">
        <v>0</v>
      </c>
      <c r="Q182" s="4" t="s">
        <v>26</v>
      </c>
      <c r="R182" s="4">
        <v>0</v>
      </c>
      <c r="S182" s="6">
        <v>20</v>
      </c>
      <c r="T182" s="6">
        <v>21</v>
      </c>
      <c r="U182" s="6">
        <v>75</v>
      </c>
      <c r="V182" s="6">
        <f>IF(ISERROR(VLOOKUP($S$182,'TAR FIN'!$A$1:$O$115,15,0)),0,VLOOKUP($S$182,'TAR FIN'!$A$1:$O$115,15,0))</f>
        <v>19.8</v>
      </c>
      <c r="W182" s="6">
        <f>IF(ISERROR(VLOOKUP($T$182,'TAR FIN'!$A$1:$O$115,15,0)),0,VLOOKUP($T$182,'TAR FIN'!$A$1:$O$115,15,0))</f>
        <v>84.31</v>
      </c>
      <c r="X182" s="6">
        <f>IF(ISERROR(VLOOKUP($U$182,'TAR FIN'!$A$1:$O$115,15,0)),0,VLOOKUP($U$182,'TAR FIN'!$A$1:$O$115,15,0))</f>
        <v>168.06</v>
      </c>
      <c r="Y182" s="6">
        <f ca="1">('TUSD BE'!$AM$20+'TUSD BF'!$AM$20+'TUSD CVA'!$AM$20)*1</f>
        <v>20.615214330225772</v>
      </c>
      <c r="Z182" s="6">
        <f ca="1">('TUSD BE'!$AM$21+'TUSD BF'!$AM$21+'TUSD CVA'!$AM$21)*1</f>
        <v>113.43121292628391</v>
      </c>
      <c r="AA182" s="6">
        <f>('TE BE'!$AB$12+'TE BF'!$AB$12+'TE CVA'!$AB$12)*1</f>
        <v>218.6854278594964</v>
      </c>
      <c r="AB182" s="6">
        <f>$K$182*$V$182</f>
        <v>50054.400000000001</v>
      </c>
      <c r="AC182" s="6">
        <f>$M$182*$W$182</f>
        <v>52077.106660000005</v>
      </c>
      <c r="AD182" s="6">
        <f>$O$182*$X$182</f>
        <v>103808.30916</v>
      </c>
      <c r="AE182" s="6">
        <f ca="1">$K$182*$Y$182</f>
        <v>52115.261826810754</v>
      </c>
      <c r="AF182" s="6">
        <f ca="1">$M$182*$Z$182</f>
        <v>70064.872187584609</v>
      </c>
      <c r="AG182" s="6">
        <f>$O$182*$AA$182</f>
        <v>135078.92719282091</v>
      </c>
    </row>
    <row r="183" spans="1:33" ht="11.25" customHeight="1" x14ac:dyDescent="0.25">
      <c r="A183" s="4" t="s">
        <v>28</v>
      </c>
      <c r="B183" s="4" t="s">
        <v>41</v>
      </c>
      <c r="C183" s="4" t="s">
        <v>42</v>
      </c>
      <c r="D183" s="4" t="s">
        <v>45</v>
      </c>
      <c r="E183" s="4" t="s">
        <v>25</v>
      </c>
      <c r="F183" s="4" t="s">
        <v>25</v>
      </c>
      <c r="G183" s="4" t="s">
        <v>25</v>
      </c>
      <c r="H183" s="4" t="s">
        <v>37</v>
      </c>
      <c r="I183" s="5">
        <v>44743</v>
      </c>
      <c r="J183" s="6">
        <v>130</v>
      </c>
      <c r="K183" s="6">
        <v>130</v>
      </c>
      <c r="L183" s="6">
        <v>8.7219999999999995</v>
      </c>
      <c r="M183" s="6">
        <v>8.7219999999999995</v>
      </c>
      <c r="N183" s="6">
        <v>8.7219999999999995</v>
      </c>
      <c r="O183" s="6">
        <v>8.7219999999999995</v>
      </c>
      <c r="P183" s="6">
        <v>0</v>
      </c>
      <c r="Q183" s="4" t="s">
        <v>26</v>
      </c>
      <c r="R183" s="4">
        <v>0</v>
      </c>
      <c r="S183" s="6">
        <v>20</v>
      </c>
      <c r="T183" s="6">
        <v>21</v>
      </c>
      <c r="U183" s="6">
        <v>75</v>
      </c>
      <c r="V183" s="6">
        <f>IF(ISERROR(VLOOKUP($S$183,'TAR FIN'!$A$1:$O$115,15,0)),0,VLOOKUP($S$183,'TAR FIN'!$A$1:$O$115,15,0))</f>
        <v>19.8</v>
      </c>
      <c r="W183" s="6">
        <f>IF(ISERROR(VLOOKUP($T$183,'TAR FIN'!$A$1:$O$115,15,0)),0,VLOOKUP($T$183,'TAR FIN'!$A$1:$O$115,15,0))</f>
        <v>84.31</v>
      </c>
      <c r="X183" s="6">
        <f>IF(ISERROR(VLOOKUP($U$183,'TAR FIN'!$A$1:$O$115,15,0)),0,VLOOKUP($U$183,'TAR FIN'!$A$1:$O$115,15,0))</f>
        <v>168.06</v>
      </c>
      <c r="Y183" s="6">
        <f ca="1">('TUSD BE'!$AM$20+'TUSD BF'!$AM$20+'TUSD CVA'!$AM$20)*1</f>
        <v>20.615214330225772</v>
      </c>
      <c r="Z183" s="6">
        <f ca="1">('TUSD BE'!$AM$21+'TUSD BF'!$AM$21+'TUSD CVA'!$AM$21)*1</f>
        <v>113.43121292628391</v>
      </c>
      <c r="AA183" s="6">
        <f>('TE BE'!$AB$12+'TE BF'!$AB$12+'TE CVA'!$AB$12)*1</f>
        <v>218.6854278594964</v>
      </c>
      <c r="AB183" s="6">
        <f>$K$183*$V$183</f>
        <v>2574</v>
      </c>
      <c r="AC183" s="6">
        <f>$M$183*$W$183</f>
        <v>735.35181999999998</v>
      </c>
      <c r="AD183" s="6">
        <f>$O$183*$X$183</f>
        <v>1465.8193199999998</v>
      </c>
      <c r="AE183" s="6">
        <f ca="1">$K$183*$Y$183</f>
        <v>2679.9778629293505</v>
      </c>
      <c r="AF183" s="6">
        <f ca="1">$M$183*$Z$183</f>
        <v>989.34703914304816</v>
      </c>
      <c r="AG183" s="6">
        <f>$O$183*$AA$183</f>
        <v>1907.3743017905274</v>
      </c>
    </row>
    <row r="184" spans="1:33" ht="11.25" customHeight="1" x14ac:dyDescent="0.25">
      <c r="A184" s="4" t="s">
        <v>21</v>
      </c>
      <c r="B184" s="4" t="s">
        <v>41</v>
      </c>
      <c r="C184" s="4" t="s">
        <v>42</v>
      </c>
      <c r="D184" s="4" t="s">
        <v>45</v>
      </c>
      <c r="E184" s="4" t="s">
        <v>25</v>
      </c>
      <c r="F184" s="4" t="s">
        <v>25</v>
      </c>
      <c r="G184" s="4" t="s">
        <v>25</v>
      </c>
      <c r="H184" s="4" t="s">
        <v>37</v>
      </c>
      <c r="I184" s="5">
        <v>44774</v>
      </c>
      <c r="J184" s="6">
        <v>2562</v>
      </c>
      <c r="K184" s="6">
        <v>2562</v>
      </c>
      <c r="L184" s="6">
        <v>619.73800000000006</v>
      </c>
      <c r="M184" s="6">
        <v>619.73800000000006</v>
      </c>
      <c r="N184" s="6">
        <v>619.73800000000006</v>
      </c>
      <c r="O184" s="6">
        <v>619.73800000000006</v>
      </c>
      <c r="P184" s="6">
        <v>0</v>
      </c>
      <c r="Q184" s="4" t="s">
        <v>26</v>
      </c>
      <c r="R184" s="4">
        <v>0</v>
      </c>
      <c r="S184" s="6">
        <v>20</v>
      </c>
      <c r="T184" s="6">
        <v>21</v>
      </c>
      <c r="U184" s="6">
        <v>75</v>
      </c>
      <c r="V184" s="6">
        <f>IF(ISERROR(VLOOKUP($S$184,'TAR FIN'!$A$1:$O$115,15,0)),0,VLOOKUP($S$184,'TAR FIN'!$A$1:$O$115,15,0))</f>
        <v>19.8</v>
      </c>
      <c r="W184" s="6">
        <f>IF(ISERROR(VLOOKUP($T$184,'TAR FIN'!$A$1:$O$115,15,0)),0,VLOOKUP($T$184,'TAR FIN'!$A$1:$O$115,15,0))</f>
        <v>84.31</v>
      </c>
      <c r="X184" s="6">
        <f>IF(ISERROR(VLOOKUP($U$184,'TAR FIN'!$A$1:$O$115,15,0)),0,VLOOKUP($U$184,'TAR FIN'!$A$1:$O$115,15,0))</f>
        <v>168.06</v>
      </c>
      <c r="Y184" s="6">
        <f ca="1">('TUSD BE'!$AM$20+'TUSD BF'!$AM$20+'TUSD CVA'!$AM$20)*1</f>
        <v>20.615214330225772</v>
      </c>
      <c r="Z184" s="6">
        <f ca="1">('TUSD BE'!$AM$21+'TUSD BF'!$AM$21+'TUSD CVA'!$AM$21)*1</f>
        <v>113.43121292628391</v>
      </c>
      <c r="AA184" s="6">
        <f>('TE BE'!$AB$12+'TE BF'!$AB$12+'TE CVA'!$AB$12)*1</f>
        <v>218.6854278594964</v>
      </c>
      <c r="AB184" s="6">
        <f>$K$184*$V$184</f>
        <v>50727.6</v>
      </c>
      <c r="AC184" s="6">
        <f>$M$184*$W$184</f>
        <v>52250.110780000003</v>
      </c>
      <c r="AD184" s="6">
        <f>$O$184*$X$184</f>
        <v>104153.16828000001</v>
      </c>
      <c r="AE184" s="6">
        <f ca="1">$K$184*$Y$184</f>
        <v>52816.17911403843</v>
      </c>
      <c r="AF184" s="6">
        <f ca="1">$M$184*$Z$184</f>
        <v>70297.633036509345</v>
      </c>
      <c r="AG184" s="6">
        <f>$O$184*$AA$184</f>
        <v>135527.66969078858</v>
      </c>
    </row>
    <row r="185" spans="1:33" ht="11.25" customHeight="1" x14ac:dyDescent="0.25">
      <c r="A185" s="4" t="s">
        <v>28</v>
      </c>
      <c r="B185" s="4" t="s">
        <v>41</v>
      </c>
      <c r="C185" s="4" t="s">
        <v>42</v>
      </c>
      <c r="D185" s="4" t="s">
        <v>45</v>
      </c>
      <c r="E185" s="4" t="s">
        <v>25</v>
      </c>
      <c r="F185" s="4" t="s">
        <v>25</v>
      </c>
      <c r="G185" s="4" t="s">
        <v>25</v>
      </c>
      <c r="H185" s="4" t="s">
        <v>37</v>
      </c>
      <c r="I185" s="5">
        <v>44774</v>
      </c>
      <c r="J185" s="6">
        <v>130</v>
      </c>
      <c r="K185" s="6">
        <v>130</v>
      </c>
      <c r="L185" s="6">
        <v>9.4540000000000006</v>
      </c>
      <c r="M185" s="6">
        <v>9.4540000000000006</v>
      </c>
      <c r="N185" s="6">
        <v>9.4540000000000006</v>
      </c>
      <c r="O185" s="6">
        <v>9.4540000000000006</v>
      </c>
      <c r="P185" s="6">
        <v>0</v>
      </c>
      <c r="Q185" s="4" t="s">
        <v>26</v>
      </c>
      <c r="R185" s="4">
        <v>0</v>
      </c>
      <c r="S185" s="6">
        <v>20</v>
      </c>
      <c r="T185" s="6">
        <v>21</v>
      </c>
      <c r="U185" s="6">
        <v>75</v>
      </c>
      <c r="V185" s="6">
        <f>IF(ISERROR(VLOOKUP($S$185,'TAR FIN'!$A$1:$O$115,15,0)),0,VLOOKUP($S$185,'TAR FIN'!$A$1:$O$115,15,0))</f>
        <v>19.8</v>
      </c>
      <c r="W185" s="6">
        <f>IF(ISERROR(VLOOKUP($T$185,'TAR FIN'!$A$1:$O$115,15,0)),0,VLOOKUP($T$185,'TAR FIN'!$A$1:$O$115,15,0))</f>
        <v>84.31</v>
      </c>
      <c r="X185" s="6">
        <f>IF(ISERROR(VLOOKUP($U$185,'TAR FIN'!$A$1:$O$115,15,0)),0,VLOOKUP($U$185,'TAR FIN'!$A$1:$O$115,15,0))</f>
        <v>168.06</v>
      </c>
      <c r="Y185" s="6">
        <f ca="1">('TUSD BE'!$AM$20+'TUSD BF'!$AM$20+'TUSD CVA'!$AM$20)*1</f>
        <v>20.615214330225772</v>
      </c>
      <c r="Z185" s="6">
        <f ca="1">('TUSD BE'!$AM$21+'TUSD BF'!$AM$21+'TUSD CVA'!$AM$21)*1</f>
        <v>113.43121292628391</v>
      </c>
      <c r="AA185" s="6">
        <f>('TE BE'!$AB$12+'TE BF'!$AB$12+'TE CVA'!$AB$12)*1</f>
        <v>218.6854278594964</v>
      </c>
      <c r="AB185" s="6">
        <f>$K$185*$V$185</f>
        <v>2574</v>
      </c>
      <c r="AC185" s="6">
        <f>$M$185*$W$185</f>
        <v>797.0667400000001</v>
      </c>
      <c r="AD185" s="6">
        <f>$O$185*$X$185</f>
        <v>1588.83924</v>
      </c>
      <c r="AE185" s="6">
        <f ca="1">$K$185*$Y$185</f>
        <v>2679.9778629293505</v>
      </c>
      <c r="AF185" s="6">
        <f ca="1">$M$185*$Z$185</f>
        <v>1072.3786870050881</v>
      </c>
      <c r="AG185" s="6">
        <f>$O$185*$AA$185</f>
        <v>2067.4520349836789</v>
      </c>
    </row>
    <row r="186" spans="1:33" ht="11.25" customHeight="1" x14ac:dyDescent="0.25">
      <c r="A186" s="4" t="s">
        <v>21</v>
      </c>
      <c r="B186" s="4" t="s">
        <v>41</v>
      </c>
      <c r="C186" s="4" t="s">
        <v>42</v>
      </c>
      <c r="D186" s="4" t="s">
        <v>45</v>
      </c>
      <c r="E186" s="4" t="s">
        <v>25</v>
      </c>
      <c r="F186" s="4" t="s">
        <v>25</v>
      </c>
      <c r="G186" s="4" t="s">
        <v>25</v>
      </c>
      <c r="H186" s="4" t="s">
        <v>37</v>
      </c>
      <c r="I186" s="5">
        <v>44805</v>
      </c>
      <c r="J186" s="6">
        <v>2384</v>
      </c>
      <c r="K186" s="6">
        <v>2384</v>
      </c>
      <c r="L186" s="6">
        <v>571.19000000000005</v>
      </c>
      <c r="M186" s="6">
        <v>571.19000000000005</v>
      </c>
      <c r="N186" s="6">
        <v>571.19000000000005</v>
      </c>
      <c r="O186" s="6">
        <v>571.19000000000005</v>
      </c>
      <c r="P186" s="6">
        <v>0</v>
      </c>
      <c r="Q186" s="4" t="s">
        <v>26</v>
      </c>
      <c r="R186" s="4">
        <v>0</v>
      </c>
      <c r="S186" s="6">
        <v>20</v>
      </c>
      <c r="T186" s="6">
        <v>21</v>
      </c>
      <c r="U186" s="6">
        <v>75</v>
      </c>
      <c r="V186" s="6">
        <f>IF(ISERROR(VLOOKUP($S$186,'TAR FIN'!$A$1:$O$115,15,0)),0,VLOOKUP($S$186,'TAR FIN'!$A$1:$O$115,15,0))</f>
        <v>19.8</v>
      </c>
      <c r="W186" s="6">
        <f>IF(ISERROR(VLOOKUP($T$186,'TAR FIN'!$A$1:$O$115,15,0)),0,VLOOKUP($T$186,'TAR FIN'!$A$1:$O$115,15,0))</f>
        <v>84.31</v>
      </c>
      <c r="X186" s="6">
        <f>IF(ISERROR(VLOOKUP($U$186,'TAR FIN'!$A$1:$O$115,15,0)),0,VLOOKUP($U$186,'TAR FIN'!$A$1:$O$115,15,0))</f>
        <v>168.06</v>
      </c>
      <c r="Y186" s="6">
        <f ca="1">('TUSD BE'!$AM$20+'TUSD BF'!$AM$20+'TUSD CVA'!$AM$20)*1</f>
        <v>20.615214330225772</v>
      </c>
      <c r="Z186" s="6">
        <f ca="1">('TUSD BE'!$AM$21+'TUSD BF'!$AM$21+'TUSD CVA'!$AM$21)*1</f>
        <v>113.43121292628391</v>
      </c>
      <c r="AA186" s="6">
        <f>('TE BE'!$AB$12+'TE BF'!$AB$12+'TE CVA'!$AB$12)*1</f>
        <v>218.6854278594964</v>
      </c>
      <c r="AB186" s="6">
        <f>$K$186*$V$186</f>
        <v>47203.200000000004</v>
      </c>
      <c r="AC186" s="6">
        <f>$M$186*$W$186</f>
        <v>48157.028900000005</v>
      </c>
      <c r="AD186" s="6">
        <f>$O$186*$X$186</f>
        <v>95994.191400000011</v>
      </c>
      <c r="AE186" s="6">
        <f ca="1">$K$186*$Y$186</f>
        <v>49146.670963258242</v>
      </c>
      <c r="AF186" s="6">
        <f ca="1">$M$186*$Z$186</f>
        <v>64790.774511364107</v>
      </c>
      <c r="AG186" s="6">
        <f>$O$186*$AA$186</f>
        <v>124910.92953906576</v>
      </c>
    </row>
    <row r="187" spans="1:33" ht="11.25" customHeight="1" x14ac:dyDescent="0.25">
      <c r="A187" s="4" t="s">
        <v>28</v>
      </c>
      <c r="B187" s="4" t="s">
        <v>41</v>
      </c>
      <c r="C187" s="4" t="s">
        <v>42</v>
      </c>
      <c r="D187" s="4" t="s">
        <v>45</v>
      </c>
      <c r="E187" s="4" t="s">
        <v>25</v>
      </c>
      <c r="F187" s="4" t="s">
        <v>25</v>
      </c>
      <c r="G187" s="4" t="s">
        <v>25</v>
      </c>
      <c r="H187" s="4" t="s">
        <v>37</v>
      </c>
      <c r="I187" s="5">
        <v>44805</v>
      </c>
      <c r="J187" s="6">
        <v>130</v>
      </c>
      <c r="K187" s="6">
        <v>130</v>
      </c>
      <c r="L187" s="6">
        <v>9.0190000000000001</v>
      </c>
      <c r="M187" s="6">
        <v>9.0190000000000001</v>
      </c>
      <c r="N187" s="6">
        <v>9.0190000000000001</v>
      </c>
      <c r="O187" s="6">
        <v>9.0190000000000001</v>
      </c>
      <c r="P187" s="6">
        <v>0</v>
      </c>
      <c r="Q187" s="4" t="s">
        <v>26</v>
      </c>
      <c r="R187" s="4">
        <v>0</v>
      </c>
      <c r="S187" s="6">
        <v>20</v>
      </c>
      <c r="T187" s="6">
        <v>21</v>
      </c>
      <c r="U187" s="6">
        <v>75</v>
      </c>
      <c r="V187" s="6">
        <f>IF(ISERROR(VLOOKUP($S$187,'TAR FIN'!$A$1:$O$115,15,0)),0,VLOOKUP($S$187,'TAR FIN'!$A$1:$O$115,15,0))</f>
        <v>19.8</v>
      </c>
      <c r="W187" s="6">
        <f>IF(ISERROR(VLOOKUP($T$187,'TAR FIN'!$A$1:$O$115,15,0)),0,VLOOKUP($T$187,'TAR FIN'!$A$1:$O$115,15,0))</f>
        <v>84.31</v>
      </c>
      <c r="X187" s="6">
        <f>IF(ISERROR(VLOOKUP($U$187,'TAR FIN'!$A$1:$O$115,15,0)),0,VLOOKUP($U$187,'TAR FIN'!$A$1:$O$115,15,0))</f>
        <v>168.06</v>
      </c>
      <c r="Y187" s="6">
        <f ca="1">('TUSD BE'!$AM$20+'TUSD BF'!$AM$20+'TUSD CVA'!$AM$20)*1</f>
        <v>20.615214330225772</v>
      </c>
      <c r="Z187" s="6">
        <f ca="1">('TUSD BE'!$AM$21+'TUSD BF'!$AM$21+'TUSD CVA'!$AM$21)*1</f>
        <v>113.43121292628391</v>
      </c>
      <c r="AA187" s="6">
        <f>('TE BE'!$AB$12+'TE BF'!$AB$12+'TE CVA'!$AB$12)*1</f>
        <v>218.6854278594964</v>
      </c>
      <c r="AB187" s="6">
        <f>$K$187*$V$187</f>
        <v>2574</v>
      </c>
      <c r="AC187" s="6">
        <f>$M$187*$W$187</f>
        <v>760.39188999999999</v>
      </c>
      <c r="AD187" s="6">
        <f>$O$187*$X$187</f>
        <v>1515.73314</v>
      </c>
      <c r="AE187" s="6">
        <f ca="1">$K$187*$Y$187</f>
        <v>2679.9778629293505</v>
      </c>
      <c r="AF187" s="6">
        <f ca="1">$M$187*$Z$187</f>
        <v>1023.0361093821546</v>
      </c>
      <c r="AG187" s="6">
        <f>$O$187*$AA$187</f>
        <v>1972.3238738647981</v>
      </c>
    </row>
    <row r="188" spans="1:33" ht="11.25" customHeight="1" x14ac:dyDescent="0.25">
      <c r="A188" s="4" t="s">
        <v>21</v>
      </c>
      <c r="B188" s="4" t="s">
        <v>41</v>
      </c>
      <c r="C188" s="4" t="s">
        <v>42</v>
      </c>
      <c r="D188" s="4" t="s">
        <v>45</v>
      </c>
      <c r="E188" s="4" t="s">
        <v>25</v>
      </c>
      <c r="F188" s="4" t="s">
        <v>25</v>
      </c>
      <c r="G188" s="4" t="s">
        <v>25</v>
      </c>
      <c r="H188" s="4" t="s">
        <v>37</v>
      </c>
      <c r="I188" s="5">
        <v>44835</v>
      </c>
      <c r="J188" s="6">
        <v>2387</v>
      </c>
      <c r="K188" s="6">
        <v>2387</v>
      </c>
      <c r="L188" s="6">
        <v>623.178</v>
      </c>
      <c r="M188" s="6">
        <v>623.178</v>
      </c>
      <c r="N188" s="6">
        <v>623.178</v>
      </c>
      <c r="O188" s="6">
        <v>623.178</v>
      </c>
      <c r="P188" s="6">
        <v>0</v>
      </c>
      <c r="Q188" s="4" t="s">
        <v>26</v>
      </c>
      <c r="R188" s="4">
        <v>0</v>
      </c>
      <c r="S188" s="6">
        <v>20</v>
      </c>
      <c r="T188" s="6">
        <v>21</v>
      </c>
      <c r="U188" s="6">
        <v>75</v>
      </c>
      <c r="V188" s="6">
        <f>IF(ISERROR(VLOOKUP($S$188,'TAR FIN'!$A$1:$O$115,15,0)),0,VLOOKUP($S$188,'TAR FIN'!$A$1:$O$115,15,0))</f>
        <v>19.8</v>
      </c>
      <c r="W188" s="6">
        <f>IF(ISERROR(VLOOKUP($T$188,'TAR FIN'!$A$1:$O$115,15,0)),0,VLOOKUP($T$188,'TAR FIN'!$A$1:$O$115,15,0))</f>
        <v>84.31</v>
      </c>
      <c r="X188" s="6">
        <f>IF(ISERROR(VLOOKUP($U$188,'TAR FIN'!$A$1:$O$115,15,0)),0,VLOOKUP($U$188,'TAR FIN'!$A$1:$O$115,15,0))</f>
        <v>168.06</v>
      </c>
      <c r="Y188" s="6">
        <f ca="1">('TUSD BE'!$AM$20+'TUSD BF'!$AM$20+'TUSD CVA'!$AM$20)*1</f>
        <v>20.615214330225772</v>
      </c>
      <c r="Z188" s="6">
        <f ca="1">('TUSD BE'!$AM$21+'TUSD BF'!$AM$21+'TUSD CVA'!$AM$21)*1</f>
        <v>113.43121292628391</v>
      </c>
      <c r="AA188" s="6">
        <f>('TE BE'!$AB$12+'TE BF'!$AB$12+'TE CVA'!$AB$12)*1</f>
        <v>218.6854278594964</v>
      </c>
      <c r="AB188" s="6">
        <f>$K$188*$V$188</f>
        <v>47262.6</v>
      </c>
      <c r="AC188" s="6">
        <f>$M$188*$W$188</f>
        <v>52540.137179999998</v>
      </c>
      <c r="AD188" s="6">
        <f>$O$188*$X$188</f>
        <v>104731.29468000001</v>
      </c>
      <c r="AE188" s="6">
        <f ca="1">$K$188*$Y$188</f>
        <v>49208.516606248915</v>
      </c>
      <c r="AF188" s="6">
        <f ca="1">$M$188*$Z$188</f>
        <v>70687.836408975752</v>
      </c>
      <c r="AG188" s="6">
        <f>$O$188*$AA$188</f>
        <v>136279.94756262525</v>
      </c>
    </row>
    <row r="189" spans="1:33" ht="11.25" customHeight="1" x14ac:dyDescent="0.25">
      <c r="A189" s="4" t="s">
        <v>27</v>
      </c>
      <c r="B189" s="4" t="s">
        <v>41</v>
      </c>
      <c r="C189" s="4" t="s">
        <v>42</v>
      </c>
      <c r="D189" s="4" t="s">
        <v>45</v>
      </c>
      <c r="E189" s="4" t="s">
        <v>25</v>
      </c>
      <c r="F189" s="4" t="s">
        <v>25</v>
      </c>
      <c r="G189" s="4" t="s">
        <v>25</v>
      </c>
      <c r="H189" s="4" t="s">
        <v>37</v>
      </c>
      <c r="I189" s="5">
        <v>44835</v>
      </c>
      <c r="J189" s="6">
        <v>0</v>
      </c>
      <c r="K189" s="6">
        <v>0</v>
      </c>
      <c r="L189" s="6">
        <v>-2.6440000000000001</v>
      </c>
      <c r="M189" s="6">
        <v>-2.6440000000000001</v>
      </c>
      <c r="N189" s="6">
        <v>-2.6440000000000001</v>
      </c>
      <c r="O189" s="6">
        <v>-2.6440000000000001</v>
      </c>
      <c r="P189" s="6">
        <v>0</v>
      </c>
      <c r="Q189" s="4" t="s">
        <v>26</v>
      </c>
      <c r="R189" s="4">
        <v>0</v>
      </c>
      <c r="S189" s="6">
        <v>0</v>
      </c>
      <c r="T189" s="6">
        <v>21</v>
      </c>
      <c r="U189" s="6">
        <v>75</v>
      </c>
      <c r="V189" s="6">
        <f>IF(ISERROR(VLOOKUP($S$189,'TAR FIN'!$A$1:$O$115,15,0)),0,VLOOKUP($S$189,'TAR FIN'!$A$1:$O$115,15,0))</f>
        <v>0</v>
      </c>
      <c r="W189" s="6">
        <f>IF(ISERROR(VLOOKUP($T$189,'TAR FIN'!$A$1:$O$115,15,0)),0,VLOOKUP($T$189,'TAR FIN'!$A$1:$O$115,15,0))</f>
        <v>84.31</v>
      </c>
      <c r="X189" s="6">
        <f>IF(ISERROR(VLOOKUP($U$189,'TAR FIN'!$A$1:$O$115,15,0)),0,VLOOKUP($U$189,'TAR FIN'!$A$1:$O$115,15,0))</f>
        <v>168.06</v>
      </c>
      <c r="Y189" s="6">
        <f ca="1">('TUSD BE'!$AM$20+'TUSD BF'!$AM$20+'TUSD CVA'!$AM$20)*1</f>
        <v>20.615214330225772</v>
      </c>
      <c r="Z189" s="6">
        <f ca="1">('TUSD BE'!$AM$21+'TUSD BF'!$AM$21+'TUSD CVA'!$AM$21)*1</f>
        <v>113.43121292628391</v>
      </c>
      <c r="AA189" s="6">
        <f>('TE BE'!$AB$12+'TE BF'!$AB$12+'TE CVA'!$AB$12)*1</f>
        <v>218.6854278594964</v>
      </c>
      <c r="AB189" s="6">
        <f>$K$189*$V$189</f>
        <v>0</v>
      </c>
      <c r="AC189" s="6">
        <f>$M$189*$W$189</f>
        <v>-222.91564000000002</v>
      </c>
      <c r="AD189" s="6">
        <f>$O$189*$X$189</f>
        <v>-444.35064000000006</v>
      </c>
      <c r="AE189" s="6">
        <f ca="1">$K$189*$Y$189</f>
        <v>0</v>
      </c>
      <c r="AF189" s="6">
        <f ca="1">$M$189*$Z$189</f>
        <v>-299.91212697709466</v>
      </c>
      <c r="AG189" s="6">
        <f>$O$189*$AA$189</f>
        <v>-578.20427126050856</v>
      </c>
    </row>
    <row r="190" spans="1:33" ht="11.25" customHeight="1" x14ac:dyDescent="0.25">
      <c r="A190" s="4" t="s">
        <v>28</v>
      </c>
      <c r="B190" s="4" t="s">
        <v>41</v>
      </c>
      <c r="C190" s="4" t="s">
        <v>42</v>
      </c>
      <c r="D190" s="4" t="s">
        <v>45</v>
      </c>
      <c r="E190" s="4" t="s">
        <v>25</v>
      </c>
      <c r="F190" s="4" t="s">
        <v>25</v>
      </c>
      <c r="G190" s="4" t="s">
        <v>25</v>
      </c>
      <c r="H190" s="4" t="s">
        <v>37</v>
      </c>
      <c r="I190" s="5">
        <v>44835</v>
      </c>
      <c r="J190" s="6">
        <v>130</v>
      </c>
      <c r="K190" s="6">
        <v>130</v>
      </c>
      <c r="L190" s="6">
        <v>9.3919999999999995</v>
      </c>
      <c r="M190" s="6">
        <v>9.3919999999999995</v>
      </c>
      <c r="N190" s="6">
        <v>9.3919999999999995</v>
      </c>
      <c r="O190" s="6">
        <v>9.3919999999999995</v>
      </c>
      <c r="P190" s="6">
        <v>0</v>
      </c>
      <c r="Q190" s="4" t="s">
        <v>26</v>
      </c>
      <c r="R190" s="4">
        <v>0</v>
      </c>
      <c r="S190" s="6">
        <v>20</v>
      </c>
      <c r="T190" s="6">
        <v>21</v>
      </c>
      <c r="U190" s="6">
        <v>75</v>
      </c>
      <c r="V190" s="6">
        <f>IF(ISERROR(VLOOKUP($S$190,'TAR FIN'!$A$1:$O$115,15,0)),0,VLOOKUP($S$190,'TAR FIN'!$A$1:$O$115,15,0))</f>
        <v>19.8</v>
      </c>
      <c r="W190" s="6">
        <f>IF(ISERROR(VLOOKUP($T$190,'TAR FIN'!$A$1:$O$115,15,0)),0,VLOOKUP($T$190,'TAR FIN'!$A$1:$O$115,15,0))</f>
        <v>84.31</v>
      </c>
      <c r="X190" s="6">
        <f>IF(ISERROR(VLOOKUP($U$190,'TAR FIN'!$A$1:$O$115,15,0)),0,VLOOKUP($U$190,'TAR FIN'!$A$1:$O$115,15,0))</f>
        <v>168.06</v>
      </c>
      <c r="Y190" s="6">
        <f ca="1">('TUSD BE'!$AM$20+'TUSD BF'!$AM$20+'TUSD CVA'!$AM$20)*1</f>
        <v>20.615214330225772</v>
      </c>
      <c r="Z190" s="6">
        <f ca="1">('TUSD BE'!$AM$21+'TUSD BF'!$AM$21+'TUSD CVA'!$AM$21)*1</f>
        <v>113.43121292628391</v>
      </c>
      <c r="AA190" s="6">
        <f>('TE BE'!$AB$12+'TE BF'!$AB$12+'TE CVA'!$AB$12)*1</f>
        <v>218.6854278594964</v>
      </c>
      <c r="AB190" s="6">
        <f>$K$190*$V$190</f>
        <v>2574</v>
      </c>
      <c r="AC190" s="6">
        <f>$M$190*$W$190</f>
        <v>791.83951999999999</v>
      </c>
      <c r="AD190" s="6">
        <f>$O$190*$X$190</f>
        <v>1578.4195199999999</v>
      </c>
      <c r="AE190" s="6">
        <f ca="1">$K$190*$Y$190</f>
        <v>2679.9778629293505</v>
      </c>
      <c r="AF190" s="6">
        <f ca="1">$M$190*$Z$190</f>
        <v>1065.3459518036584</v>
      </c>
      <c r="AG190" s="6">
        <f>$O$190*$AA$190</f>
        <v>2053.8935384563902</v>
      </c>
    </row>
    <row r="191" spans="1:33" ht="11.25" customHeight="1" x14ac:dyDescent="0.25">
      <c r="A191" s="4" t="s">
        <v>59</v>
      </c>
      <c r="B191" s="4" t="s">
        <v>41</v>
      </c>
      <c r="C191" s="4" t="s">
        <v>42</v>
      </c>
      <c r="D191" s="4" t="s">
        <v>45</v>
      </c>
      <c r="E191" s="4" t="s">
        <v>25</v>
      </c>
      <c r="F191" s="4" t="s">
        <v>25</v>
      </c>
      <c r="G191" s="4" t="s">
        <v>25</v>
      </c>
      <c r="H191" s="4" t="s">
        <v>37</v>
      </c>
      <c r="I191" s="5">
        <v>44866</v>
      </c>
      <c r="J191" s="6">
        <v>2387</v>
      </c>
      <c r="K191" s="6">
        <v>2387</v>
      </c>
      <c r="L191" s="6">
        <v>623.178</v>
      </c>
      <c r="M191" s="6">
        <v>623.178</v>
      </c>
      <c r="N191" s="6">
        <v>623.178</v>
      </c>
      <c r="O191" s="6">
        <v>623.178</v>
      </c>
      <c r="P191" s="6">
        <v>0</v>
      </c>
      <c r="Q191" s="4" t="s">
        <v>26</v>
      </c>
      <c r="R191" s="4">
        <v>0</v>
      </c>
      <c r="S191" s="6">
        <v>20</v>
      </c>
      <c r="T191" s="6">
        <v>21</v>
      </c>
      <c r="U191" s="6">
        <v>75</v>
      </c>
      <c r="V191" s="6">
        <f>IF(ISERROR(VLOOKUP($S$191,'TAR FIN'!$A$1:$O$115,15,0)),0,VLOOKUP($S$191,'TAR FIN'!$A$1:$O$115,15,0))</f>
        <v>19.8</v>
      </c>
      <c r="W191" s="6">
        <f>IF(ISERROR(VLOOKUP($T$191,'TAR FIN'!$A$1:$O$115,15,0)),0,VLOOKUP($T$191,'TAR FIN'!$A$1:$O$115,15,0))</f>
        <v>84.31</v>
      </c>
      <c r="X191" s="6">
        <f>IF(ISERROR(VLOOKUP($U$191,'TAR FIN'!$A$1:$O$115,15,0)),0,VLOOKUP($U$191,'TAR FIN'!$A$1:$O$115,15,0))</f>
        <v>168.06</v>
      </c>
      <c r="Y191" s="6">
        <f ca="1">('TUSD BE'!$AM$20+'TUSD BF'!$AM$20+'TUSD CVA'!$AM$20)*1</f>
        <v>20.615214330225772</v>
      </c>
      <c r="Z191" s="6">
        <f ca="1">('TUSD BE'!$AM$21+'TUSD BF'!$AM$21+'TUSD CVA'!$AM$21)*1</f>
        <v>113.43121292628391</v>
      </c>
      <c r="AA191" s="6">
        <f>('TE BE'!$AB$12+'TE BF'!$AB$12+'TE CVA'!$AB$12)*1</f>
        <v>218.6854278594964</v>
      </c>
      <c r="AB191" s="6">
        <f>$K$191*$V$191</f>
        <v>47262.6</v>
      </c>
      <c r="AC191" s="6">
        <f>$M$191*$W$191</f>
        <v>52540.137179999998</v>
      </c>
      <c r="AD191" s="6">
        <f>$O$191*$X$191</f>
        <v>104731.29468000001</v>
      </c>
      <c r="AE191" s="6">
        <f ca="1">$K$191*$Y$191</f>
        <v>49208.516606248915</v>
      </c>
      <c r="AF191" s="6">
        <f ca="1">$M$191*$Z$191</f>
        <v>70687.836408975752</v>
      </c>
      <c r="AG191" s="6">
        <f>$O$191*$AA$191</f>
        <v>136279.94756262525</v>
      </c>
    </row>
    <row r="192" spans="1:33" ht="11.25" customHeight="1" x14ac:dyDescent="0.25">
      <c r="A192" s="4" t="s">
        <v>59</v>
      </c>
      <c r="B192" s="4" t="s">
        <v>41</v>
      </c>
      <c r="C192" s="4" t="s">
        <v>42</v>
      </c>
      <c r="D192" s="4" t="s">
        <v>45</v>
      </c>
      <c r="E192" s="4" t="s">
        <v>25</v>
      </c>
      <c r="F192" s="4" t="s">
        <v>25</v>
      </c>
      <c r="G192" s="4" t="s">
        <v>25</v>
      </c>
      <c r="H192" s="4" t="s">
        <v>37</v>
      </c>
      <c r="I192" s="5">
        <v>44866</v>
      </c>
      <c r="J192" s="6">
        <v>0</v>
      </c>
      <c r="K192" s="6">
        <v>0</v>
      </c>
      <c r="L192" s="6">
        <v>-2.6440000000000001</v>
      </c>
      <c r="M192" s="6">
        <v>-2.6440000000000001</v>
      </c>
      <c r="N192" s="6">
        <v>-2.6440000000000001</v>
      </c>
      <c r="O192" s="6">
        <v>-2.6440000000000001</v>
      </c>
      <c r="P192" s="6">
        <v>0</v>
      </c>
      <c r="Q192" s="4" t="s">
        <v>26</v>
      </c>
      <c r="R192" s="4">
        <v>0</v>
      </c>
      <c r="S192" s="6">
        <v>0</v>
      </c>
      <c r="T192" s="6">
        <v>21</v>
      </c>
      <c r="U192" s="6">
        <v>75</v>
      </c>
      <c r="V192" s="6">
        <f>IF(ISERROR(VLOOKUP($S$192,'TAR FIN'!$A$1:$O$115,15,0)),0,VLOOKUP($S$192,'TAR FIN'!$A$1:$O$115,15,0))</f>
        <v>0</v>
      </c>
      <c r="W192" s="6">
        <f>IF(ISERROR(VLOOKUP($T$192,'TAR FIN'!$A$1:$O$115,15,0)),0,VLOOKUP($T$192,'TAR FIN'!$A$1:$O$115,15,0))</f>
        <v>84.31</v>
      </c>
      <c r="X192" s="6">
        <f>IF(ISERROR(VLOOKUP($U$192,'TAR FIN'!$A$1:$O$115,15,0)),0,VLOOKUP($U$192,'TAR FIN'!$A$1:$O$115,15,0))</f>
        <v>168.06</v>
      </c>
      <c r="Y192" s="6">
        <f ca="1">('TUSD BE'!$AM$20+'TUSD BF'!$AM$20+'TUSD CVA'!$AM$20)*1</f>
        <v>20.615214330225772</v>
      </c>
      <c r="Z192" s="6">
        <f ca="1">('TUSD BE'!$AM$21+'TUSD BF'!$AM$21+'TUSD CVA'!$AM$21)*1</f>
        <v>113.43121292628391</v>
      </c>
      <c r="AA192" s="6">
        <f>('TE BE'!$AB$12+'TE BF'!$AB$12+'TE CVA'!$AB$12)*1</f>
        <v>218.6854278594964</v>
      </c>
      <c r="AB192" s="6">
        <f>$K$192*$V$192</f>
        <v>0</v>
      </c>
      <c r="AC192" s="6">
        <f>$M$192*$W$192</f>
        <v>-222.91564000000002</v>
      </c>
      <c r="AD192" s="6">
        <f>$O$192*$X$192</f>
        <v>-444.35064000000006</v>
      </c>
      <c r="AE192" s="6">
        <f ca="1">$K$192*$Y$192</f>
        <v>0</v>
      </c>
      <c r="AF192" s="6">
        <f ca="1">$M$192*$Z$192</f>
        <v>-299.91212697709466</v>
      </c>
      <c r="AG192" s="6">
        <f>$O$192*$AA$192</f>
        <v>-578.20427126050856</v>
      </c>
    </row>
    <row r="193" spans="1:33" ht="11.25" customHeight="1" x14ac:dyDescent="0.25">
      <c r="A193" s="4" t="s">
        <v>59</v>
      </c>
      <c r="B193" s="4" t="s">
        <v>41</v>
      </c>
      <c r="C193" s="4" t="s">
        <v>42</v>
      </c>
      <c r="D193" s="4" t="s">
        <v>45</v>
      </c>
      <c r="E193" s="4" t="s">
        <v>25</v>
      </c>
      <c r="F193" s="4" t="s">
        <v>25</v>
      </c>
      <c r="G193" s="4" t="s">
        <v>25</v>
      </c>
      <c r="H193" s="4" t="s">
        <v>37</v>
      </c>
      <c r="I193" s="5">
        <v>44866</v>
      </c>
      <c r="J193" s="6">
        <v>130</v>
      </c>
      <c r="K193" s="6">
        <v>130</v>
      </c>
      <c r="L193" s="6">
        <v>9.3919999999999995</v>
      </c>
      <c r="M193" s="6">
        <v>9.3919999999999995</v>
      </c>
      <c r="N193" s="6">
        <v>9.3919999999999995</v>
      </c>
      <c r="O193" s="6">
        <v>9.3919999999999995</v>
      </c>
      <c r="P193" s="6">
        <v>0</v>
      </c>
      <c r="Q193" s="4" t="s">
        <v>26</v>
      </c>
      <c r="R193" s="4">
        <v>0</v>
      </c>
      <c r="S193" s="6">
        <v>20</v>
      </c>
      <c r="T193" s="6">
        <v>21</v>
      </c>
      <c r="U193" s="6">
        <v>75</v>
      </c>
      <c r="V193" s="6">
        <f>IF(ISERROR(VLOOKUP($S$193,'TAR FIN'!$A$1:$O$115,15,0)),0,VLOOKUP($S$193,'TAR FIN'!$A$1:$O$115,15,0))</f>
        <v>19.8</v>
      </c>
      <c r="W193" s="6">
        <f>IF(ISERROR(VLOOKUP($T$193,'TAR FIN'!$A$1:$O$115,15,0)),0,VLOOKUP($T$193,'TAR FIN'!$A$1:$O$115,15,0))</f>
        <v>84.31</v>
      </c>
      <c r="X193" s="6">
        <f>IF(ISERROR(VLOOKUP($U$193,'TAR FIN'!$A$1:$O$115,15,0)),0,VLOOKUP($U$193,'TAR FIN'!$A$1:$O$115,15,0))</f>
        <v>168.06</v>
      </c>
      <c r="Y193" s="6">
        <f ca="1">('TUSD BE'!$AM$20+'TUSD BF'!$AM$20+'TUSD CVA'!$AM$20)*1</f>
        <v>20.615214330225772</v>
      </c>
      <c r="Z193" s="6">
        <f ca="1">('TUSD BE'!$AM$21+'TUSD BF'!$AM$21+'TUSD CVA'!$AM$21)*1</f>
        <v>113.43121292628391</v>
      </c>
      <c r="AA193" s="6">
        <f>('TE BE'!$AB$12+'TE BF'!$AB$12+'TE CVA'!$AB$12)*1</f>
        <v>218.6854278594964</v>
      </c>
      <c r="AB193" s="6">
        <f>$K$193*$V$193</f>
        <v>2574</v>
      </c>
      <c r="AC193" s="6">
        <f>$M$193*$W$193</f>
        <v>791.83951999999999</v>
      </c>
      <c r="AD193" s="6">
        <f>$O$193*$X$193</f>
        <v>1578.4195199999999</v>
      </c>
      <c r="AE193" s="6">
        <f ca="1">$K$193*$Y$193</f>
        <v>2679.9778629293505</v>
      </c>
      <c r="AF193" s="6">
        <f ca="1">$M$193*$Z$193</f>
        <v>1065.3459518036584</v>
      </c>
      <c r="AG193" s="6">
        <f>$O$193*$AA$193</f>
        <v>2053.8935384563902</v>
      </c>
    </row>
    <row r="194" spans="1:33" ht="11.25" customHeight="1" x14ac:dyDescent="0.25">
      <c r="A194" s="4" t="s">
        <v>21</v>
      </c>
      <c r="B194" s="4" t="s">
        <v>41</v>
      </c>
      <c r="C194" s="4" t="s">
        <v>42</v>
      </c>
      <c r="D194" s="4" t="s">
        <v>45</v>
      </c>
      <c r="E194" s="4" t="s">
        <v>25</v>
      </c>
      <c r="F194" s="4" t="s">
        <v>25</v>
      </c>
      <c r="G194" s="4" t="s">
        <v>25</v>
      </c>
      <c r="H194" s="4" t="s">
        <v>36</v>
      </c>
      <c r="I194" s="5">
        <v>44531</v>
      </c>
      <c r="J194" s="6">
        <v>1579</v>
      </c>
      <c r="K194" s="6">
        <v>1579</v>
      </c>
      <c r="L194" s="6">
        <v>49.622999999999998</v>
      </c>
      <c r="M194" s="6">
        <v>49.622999999999998</v>
      </c>
      <c r="N194" s="6">
        <v>49.622999999999998</v>
      </c>
      <c r="O194" s="6">
        <v>49.622999999999998</v>
      </c>
      <c r="P194" s="6">
        <v>0</v>
      </c>
      <c r="Q194" s="4" t="s">
        <v>26</v>
      </c>
      <c r="R194" s="4">
        <v>0</v>
      </c>
      <c r="S194" s="6">
        <v>19</v>
      </c>
      <c r="T194" s="6">
        <v>21</v>
      </c>
      <c r="U194" s="6">
        <v>74</v>
      </c>
      <c r="V194" s="6">
        <f>IF(ISERROR(VLOOKUP($S$194,'TAR FIN'!$A$1:$O$115,15,0)),0,VLOOKUP($S$194,'TAR FIN'!$A$1:$O$115,15,0))</f>
        <v>56.22</v>
      </c>
      <c r="W194" s="6">
        <f>IF(ISERROR(VLOOKUP($T$194,'TAR FIN'!$A$1:$O$115,15,0)),0,VLOOKUP($T$194,'TAR FIN'!$A$1:$O$115,15,0))</f>
        <v>84.31</v>
      </c>
      <c r="X194" s="6">
        <f>IF(ISERROR(VLOOKUP($U$194,'TAR FIN'!$A$1:$O$115,15,0)),0,VLOOKUP($U$194,'TAR FIN'!$A$1:$O$115,15,0))</f>
        <v>270.3</v>
      </c>
      <c r="Y194" s="6">
        <f ca="1">('TUSD BE'!$AM$19+'TUSD BF'!$AM$19+'TUSD CVA'!$AM$19)*1</f>
        <v>56.308577648144677</v>
      </c>
      <c r="Z194" s="6">
        <f ca="1">('TUSD BE'!$AM$21+'TUSD BF'!$AM$21+'TUSD CVA'!$AM$21)*1</f>
        <v>113.43121292628391</v>
      </c>
      <c r="AA194" s="6">
        <f>('TE BE'!$AB$11+'TE BF'!$AB$11+'TE CVA'!$AB$11)*1</f>
        <v>362.64398683254075</v>
      </c>
      <c r="AB194" s="6">
        <f>$K$194*$V$194</f>
        <v>88771.38</v>
      </c>
      <c r="AC194" s="6">
        <f>$M$194*$W$194</f>
        <v>4183.7151299999996</v>
      </c>
      <c r="AD194" s="6">
        <f>$O$194*$X$194</f>
        <v>13413.0969</v>
      </c>
      <c r="AE194" s="6">
        <f ca="1">$K$194*$Y$194</f>
        <v>88911.244106420447</v>
      </c>
      <c r="AF194" s="6">
        <f ca="1">$M$194*$Z$194</f>
        <v>5628.7970790409863</v>
      </c>
      <c r="AG194" s="6">
        <f>$O$194*$AA$194</f>
        <v>17995.482558591168</v>
      </c>
    </row>
    <row r="195" spans="1:33" ht="11.25" customHeight="1" x14ac:dyDescent="0.25">
      <c r="A195" s="4" t="s">
        <v>28</v>
      </c>
      <c r="B195" s="4" t="s">
        <v>41</v>
      </c>
      <c r="C195" s="4" t="s">
        <v>42</v>
      </c>
      <c r="D195" s="4" t="s">
        <v>45</v>
      </c>
      <c r="E195" s="4" t="s">
        <v>25</v>
      </c>
      <c r="F195" s="4" t="s">
        <v>25</v>
      </c>
      <c r="G195" s="4" t="s">
        <v>25</v>
      </c>
      <c r="H195" s="4" t="s">
        <v>36</v>
      </c>
      <c r="I195" s="5">
        <v>44531</v>
      </c>
      <c r="J195" s="6">
        <v>40</v>
      </c>
      <c r="K195" s="6">
        <v>40</v>
      </c>
      <c r="L195" s="6">
        <v>1.1200000000000001</v>
      </c>
      <c r="M195" s="6">
        <v>1.1200000000000001</v>
      </c>
      <c r="N195" s="6">
        <v>1.1200000000000001</v>
      </c>
      <c r="O195" s="6">
        <v>1.1200000000000001</v>
      </c>
      <c r="P195" s="6">
        <v>0</v>
      </c>
      <c r="Q195" s="4" t="s">
        <v>26</v>
      </c>
      <c r="R195" s="4">
        <v>0</v>
      </c>
      <c r="S195" s="6">
        <v>19</v>
      </c>
      <c r="T195" s="6">
        <v>21</v>
      </c>
      <c r="U195" s="6">
        <v>74</v>
      </c>
      <c r="V195" s="6">
        <f>IF(ISERROR(VLOOKUP($S$195,'TAR FIN'!$A$1:$O$115,15,0)),0,VLOOKUP($S$195,'TAR FIN'!$A$1:$O$115,15,0))</f>
        <v>56.22</v>
      </c>
      <c r="W195" s="6">
        <f>IF(ISERROR(VLOOKUP($T$195,'TAR FIN'!$A$1:$O$115,15,0)),0,VLOOKUP($T$195,'TAR FIN'!$A$1:$O$115,15,0))</f>
        <v>84.31</v>
      </c>
      <c r="X195" s="6">
        <f>IF(ISERROR(VLOOKUP($U$195,'TAR FIN'!$A$1:$O$115,15,0)),0,VLOOKUP($U$195,'TAR FIN'!$A$1:$O$115,15,0))</f>
        <v>270.3</v>
      </c>
      <c r="Y195" s="6">
        <f ca="1">('TUSD BE'!$AM$19+'TUSD BF'!$AM$19+'TUSD CVA'!$AM$19)*1</f>
        <v>56.308577648144677</v>
      </c>
      <c r="Z195" s="6">
        <f ca="1">('TUSD BE'!$AM$21+'TUSD BF'!$AM$21+'TUSD CVA'!$AM$21)*1</f>
        <v>113.43121292628391</v>
      </c>
      <c r="AA195" s="6">
        <f>('TE BE'!$AB$11+'TE BF'!$AB$11+'TE CVA'!$AB$11)*1</f>
        <v>362.64398683254075</v>
      </c>
      <c r="AB195" s="6">
        <f>$K$195*$V$195</f>
        <v>2248.8000000000002</v>
      </c>
      <c r="AC195" s="6">
        <f>$M$195*$W$195</f>
        <v>94.427200000000013</v>
      </c>
      <c r="AD195" s="6">
        <f>$O$195*$X$195</f>
        <v>302.73600000000005</v>
      </c>
      <c r="AE195" s="6">
        <f ca="1">$K$195*$Y$195</f>
        <v>2252.3431059257873</v>
      </c>
      <c r="AF195" s="6">
        <f ca="1">$M$195*$Z$195</f>
        <v>127.04295847743799</v>
      </c>
      <c r="AG195" s="6">
        <f>$O$195*$AA$195</f>
        <v>406.16126525244567</v>
      </c>
    </row>
    <row r="196" spans="1:33" ht="11.25" customHeight="1" x14ac:dyDescent="0.25">
      <c r="A196" s="4" t="s">
        <v>21</v>
      </c>
      <c r="B196" s="4" t="s">
        <v>41</v>
      </c>
      <c r="C196" s="4" t="s">
        <v>42</v>
      </c>
      <c r="D196" s="4" t="s">
        <v>45</v>
      </c>
      <c r="E196" s="4" t="s">
        <v>25</v>
      </c>
      <c r="F196" s="4" t="s">
        <v>25</v>
      </c>
      <c r="G196" s="4" t="s">
        <v>25</v>
      </c>
      <c r="H196" s="4" t="s">
        <v>36</v>
      </c>
      <c r="I196" s="5">
        <v>44562</v>
      </c>
      <c r="J196" s="6">
        <v>1614</v>
      </c>
      <c r="K196" s="6">
        <v>1614</v>
      </c>
      <c r="L196" s="6">
        <v>49.591000000000001</v>
      </c>
      <c r="M196" s="6">
        <v>49.591000000000001</v>
      </c>
      <c r="N196" s="6">
        <v>49.591000000000001</v>
      </c>
      <c r="O196" s="6">
        <v>49.591000000000001</v>
      </c>
      <c r="P196" s="6">
        <v>0</v>
      </c>
      <c r="Q196" s="4" t="s">
        <v>26</v>
      </c>
      <c r="R196" s="4">
        <v>0</v>
      </c>
      <c r="S196" s="6">
        <v>19</v>
      </c>
      <c r="T196" s="6">
        <v>21</v>
      </c>
      <c r="U196" s="6">
        <v>74</v>
      </c>
      <c r="V196" s="6">
        <f>IF(ISERROR(VLOOKUP($S$196,'TAR FIN'!$A$1:$O$115,15,0)),0,VLOOKUP($S$196,'TAR FIN'!$A$1:$O$115,15,0))</f>
        <v>56.22</v>
      </c>
      <c r="W196" s="6">
        <f>IF(ISERROR(VLOOKUP($T$196,'TAR FIN'!$A$1:$O$115,15,0)),0,VLOOKUP($T$196,'TAR FIN'!$A$1:$O$115,15,0))</f>
        <v>84.31</v>
      </c>
      <c r="X196" s="6">
        <f>IF(ISERROR(VLOOKUP($U$196,'TAR FIN'!$A$1:$O$115,15,0)),0,VLOOKUP($U$196,'TAR FIN'!$A$1:$O$115,15,0))</f>
        <v>270.3</v>
      </c>
      <c r="Y196" s="6">
        <f ca="1">('TUSD BE'!$AM$19+'TUSD BF'!$AM$19+'TUSD CVA'!$AM$19)*1</f>
        <v>56.308577648144677</v>
      </c>
      <c r="Z196" s="6">
        <f ca="1">('TUSD BE'!$AM$21+'TUSD BF'!$AM$21+'TUSD CVA'!$AM$21)*1</f>
        <v>113.43121292628391</v>
      </c>
      <c r="AA196" s="6">
        <f>('TE BE'!$AB$11+'TE BF'!$AB$11+'TE CVA'!$AB$11)*1</f>
        <v>362.64398683254075</v>
      </c>
      <c r="AB196" s="6">
        <f>$K$196*$V$196</f>
        <v>90739.08</v>
      </c>
      <c r="AC196" s="6">
        <f>$M$196*$W$196</f>
        <v>4181.01721</v>
      </c>
      <c r="AD196" s="6">
        <f>$O$196*$X$196</f>
        <v>13404.447300000002</v>
      </c>
      <c r="AE196" s="6">
        <f ca="1">$K$196*$Y$196</f>
        <v>90882.044324105504</v>
      </c>
      <c r="AF196" s="6">
        <f ca="1">$M$196*$Z$196</f>
        <v>5625.1672802273451</v>
      </c>
      <c r="AG196" s="6">
        <f>$O$196*$AA$196</f>
        <v>17983.877951012528</v>
      </c>
    </row>
    <row r="197" spans="1:33" ht="11.25" customHeight="1" x14ac:dyDescent="0.25">
      <c r="A197" s="4" t="s">
        <v>28</v>
      </c>
      <c r="B197" s="4" t="s">
        <v>41</v>
      </c>
      <c r="C197" s="4" t="s">
        <v>42</v>
      </c>
      <c r="D197" s="4" t="s">
        <v>45</v>
      </c>
      <c r="E197" s="4" t="s">
        <v>25</v>
      </c>
      <c r="F197" s="4" t="s">
        <v>25</v>
      </c>
      <c r="G197" s="4" t="s">
        <v>25</v>
      </c>
      <c r="H197" s="4" t="s">
        <v>36</v>
      </c>
      <c r="I197" s="5">
        <v>44562</v>
      </c>
      <c r="J197" s="6">
        <v>40</v>
      </c>
      <c r="K197" s="6">
        <v>40</v>
      </c>
      <c r="L197" s="6">
        <v>0.56000000000000005</v>
      </c>
      <c r="M197" s="6">
        <v>0.56000000000000005</v>
      </c>
      <c r="N197" s="6">
        <v>0.56000000000000005</v>
      </c>
      <c r="O197" s="6">
        <v>0.56000000000000005</v>
      </c>
      <c r="P197" s="6">
        <v>0</v>
      </c>
      <c r="Q197" s="4" t="s">
        <v>26</v>
      </c>
      <c r="R197" s="4">
        <v>0</v>
      </c>
      <c r="S197" s="6">
        <v>19</v>
      </c>
      <c r="T197" s="6">
        <v>21</v>
      </c>
      <c r="U197" s="6">
        <v>74</v>
      </c>
      <c r="V197" s="6">
        <f>IF(ISERROR(VLOOKUP($S$197,'TAR FIN'!$A$1:$O$115,15,0)),0,VLOOKUP($S$197,'TAR FIN'!$A$1:$O$115,15,0))</f>
        <v>56.22</v>
      </c>
      <c r="W197" s="6">
        <f>IF(ISERROR(VLOOKUP($T$197,'TAR FIN'!$A$1:$O$115,15,0)),0,VLOOKUP($T$197,'TAR FIN'!$A$1:$O$115,15,0))</f>
        <v>84.31</v>
      </c>
      <c r="X197" s="6">
        <f>IF(ISERROR(VLOOKUP($U$197,'TAR FIN'!$A$1:$O$115,15,0)),0,VLOOKUP($U$197,'TAR FIN'!$A$1:$O$115,15,0))</f>
        <v>270.3</v>
      </c>
      <c r="Y197" s="6">
        <f ca="1">('TUSD BE'!$AM$19+'TUSD BF'!$AM$19+'TUSD CVA'!$AM$19)*1</f>
        <v>56.308577648144677</v>
      </c>
      <c r="Z197" s="6">
        <f ca="1">('TUSD BE'!$AM$21+'TUSD BF'!$AM$21+'TUSD CVA'!$AM$21)*1</f>
        <v>113.43121292628391</v>
      </c>
      <c r="AA197" s="6">
        <f>('TE BE'!$AB$11+'TE BF'!$AB$11+'TE CVA'!$AB$11)*1</f>
        <v>362.64398683254075</v>
      </c>
      <c r="AB197" s="6">
        <f>$K$197*$V$197</f>
        <v>2248.8000000000002</v>
      </c>
      <c r="AC197" s="6">
        <f>$M$197*$W$197</f>
        <v>47.213600000000007</v>
      </c>
      <c r="AD197" s="6">
        <f>$O$197*$X$197</f>
        <v>151.36800000000002</v>
      </c>
      <c r="AE197" s="6">
        <f ca="1">$K$197*$Y$197</f>
        <v>2252.3431059257873</v>
      </c>
      <c r="AF197" s="6">
        <f ca="1">$M$197*$Z$197</f>
        <v>63.521479238718996</v>
      </c>
      <c r="AG197" s="6">
        <f>$O$197*$AA$197</f>
        <v>203.08063262622284</v>
      </c>
    </row>
    <row r="198" spans="1:33" ht="11.25" customHeight="1" x14ac:dyDescent="0.25">
      <c r="A198" s="4" t="s">
        <v>21</v>
      </c>
      <c r="B198" s="4" t="s">
        <v>41</v>
      </c>
      <c r="C198" s="4" t="s">
        <v>42</v>
      </c>
      <c r="D198" s="4" t="s">
        <v>45</v>
      </c>
      <c r="E198" s="4" t="s">
        <v>25</v>
      </c>
      <c r="F198" s="4" t="s">
        <v>25</v>
      </c>
      <c r="G198" s="4" t="s">
        <v>25</v>
      </c>
      <c r="H198" s="4" t="s">
        <v>36</v>
      </c>
      <c r="I198" s="5">
        <v>44593</v>
      </c>
      <c r="J198" s="6">
        <v>2159</v>
      </c>
      <c r="K198" s="6">
        <v>2159</v>
      </c>
      <c r="L198" s="6">
        <v>58.023000000000003</v>
      </c>
      <c r="M198" s="6">
        <v>58.023000000000003</v>
      </c>
      <c r="N198" s="6">
        <v>58.023000000000003</v>
      </c>
      <c r="O198" s="6">
        <v>58.023000000000003</v>
      </c>
      <c r="P198" s="6">
        <v>0</v>
      </c>
      <c r="Q198" s="4" t="s">
        <v>26</v>
      </c>
      <c r="R198" s="4">
        <v>0</v>
      </c>
      <c r="S198" s="6">
        <v>19</v>
      </c>
      <c r="T198" s="6">
        <v>21</v>
      </c>
      <c r="U198" s="6">
        <v>74</v>
      </c>
      <c r="V198" s="6">
        <f>IF(ISERROR(VLOOKUP($S$198,'TAR FIN'!$A$1:$O$115,15,0)),0,VLOOKUP($S$198,'TAR FIN'!$A$1:$O$115,15,0))</f>
        <v>56.22</v>
      </c>
      <c r="W198" s="6">
        <f>IF(ISERROR(VLOOKUP($T$198,'TAR FIN'!$A$1:$O$115,15,0)),0,VLOOKUP($T$198,'TAR FIN'!$A$1:$O$115,15,0))</f>
        <v>84.31</v>
      </c>
      <c r="X198" s="6">
        <f>IF(ISERROR(VLOOKUP($U$198,'TAR FIN'!$A$1:$O$115,15,0)),0,VLOOKUP($U$198,'TAR FIN'!$A$1:$O$115,15,0))</f>
        <v>270.3</v>
      </c>
      <c r="Y198" s="6">
        <f ca="1">('TUSD BE'!$AM$19+'TUSD BF'!$AM$19+'TUSD CVA'!$AM$19)*1</f>
        <v>56.308577648144677</v>
      </c>
      <c r="Z198" s="6">
        <f ca="1">('TUSD BE'!$AM$21+'TUSD BF'!$AM$21+'TUSD CVA'!$AM$21)*1</f>
        <v>113.43121292628391</v>
      </c>
      <c r="AA198" s="6">
        <f>('TE BE'!$AB$11+'TE BF'!$AB$11+'TE CVA'!$AB$11)*1</f>
        <v>362.64398683254075</v>
      </c>
      <c r="AB198" s="6">
        <f>$K$198*$V$198</f>
        <v>121378.98</v>
      </c>
      <c r="AC198" s="6">
        <f>$M$198*$W$198</f>
        <v>4891.9191300000002</v>
      </c>
      <c r="AD198" s="6">
        <f>$O$198*$X$198</f>
        <v>15683.616900000001</v>
      </c>
      <c r="AE198" s="6">
        <f ca="1">$K$198*$Y$198</f>
        <v>121570.21914234436</v>
      </c>
      <c r="AF198" s="6">
        <f ca="1">$M$198*$Z$198</f>
        <v>6581.6192676217715</v>
      </c>
      <c r="AG198" s="6">
        <f>$O$198*$AA$198</f>
        <v>21041.692047984514</v>
      </c>
    </row>
    <row r="199" spans="1:33" ht="11.25" customHeight="1" x14ac:dyDescent="0.25">
      <c r="A199" s="4" t="s">
        <v>28</v>
      </c>
      <c r="B199" s="4" t="s">
        <v>41</v>
      </c>
      <c r="C199" s="4" t="s">
        <v>42</v>
      </c>
      <c r="D199" s="4" t="s">
        <v>45</v>
      </c>
      <c r="E199" s="4" t="s">
        <v>25</v>
      </c>
      <c r="F199" s="4" t="s">
        <v>25</v>
      </c>
      <c r="G199" s="4" t="s">
        <v>25</v>
      </c>
      <c r="H199" s="4" t="s">
        <v>36</v>
      </c>
      <c r="I199" s="5">
        <v>44593</v>
      </c>
      <c r="J199" s="6">
        <v>40</v>
      </c>
      <c r="K199" s="6">
        <v>40</v>
      </c>
      <c r="L199" s="6">
        <v>1.0189999999999999</v>
      </c>
      <c r="M199" s="6">
        <v>1.0189999999999999</v>
      </c>
      <c r="N199" s="6">
        <v>1.0189999999999999</v>
      </c>
      <c r="O199" s="6">
        <v>1.0189999999999999</v>
      </c>
      <c r="P199" s="6">
        <v>0</v>
      </c>
      <c r="Q199" s="4" t="s">
        <v>26</v>
      </c>
      <c r="R199" s="4">
        <v>0</v>
      </c>
      <c r="S199" s="6">
        <v>19</v>
      </c>
      <c r="T199" s="6">
        <v>21</v>
      </c>
      <c r="U199" s="6">
        <v>74</v>
      </c>
      <c r="V199" s="6">
        <f>IF(ISERROR(VLOOKUP($S$199,'TAR FIN'!$A$1:$O$115,15,0)),0,VLOOKUP($S$199,'TAR FIN'!$A$1:$O$115,15,0))</f>
        <v>56.22</v>
      </c>
      <c r="W199" s="6">
        <f>IF(ISERROR(VLOOKUP($T$199,'TAR FIN'!$A$1:$O$115,15,0)),0,VLOOKUP($T$199,'TAR FIN'!$A$1:$O$115,15,0))</f>
        <v>84.31</v>
      </c>
      <c r="X199" s="6">
        <f>IF(ISERROR(VLOOKUP($U$199,'TAR FIN'!$A$1:$O$115,15,0)),0,VLOOKUP($U$199,'TAR FIN'!$A$1:$O$115,15,0))</f>
        <v>270.3</v>
      </c>
      <c r="Y199" s="6">
        <f ca="1">('TUSD BE'!$AM$19+'TUSD BF'!$AM$19+'TUSD CVA'!$AM$19)*1</f>
        <v>56.308577648144677</v>
      </c>
      <c r="Z199" s="6">
        <f ca="1">('TUSD BE'!$AM$21+'TUSD BF'!$AM$21+'TUSD CVA'!$AM$21)*1</f>
        <v>113.43121292628391</v>
      </c>
      <c r="AA199" s="6">
        <f>('TE BE'!$AB$11+'TE BF'!$AB$11+'TE CVA'!$AB$11)*1</f>
        <v>362.64398683254075</v>
      </c>
      <c r="AB199" s="6">
        <f>$K$199*$V$199</f>
        <v>2248.8000000000002</v>
      </c>
      <c r="AC199" s="6">
        <f>$M$199*$W$199</f>
        <v>85.91189</v>
      </c>
      <c r="AD199" s="6">
        <f>$O$199*$X$199</f>
        <v>275.4357</v>
      </c>
      <c r="AE199" s="6">
        <f ca="1">$K$199*$Y$199</f>
        <v>2252.3431059257873</v>
      </c>
      <c r="AF199" s="6">
        <f ca="1">$M$199*$Z$199</f>
        <v>115.58640597188329</v>
      </c>
      <c r="AG199" s="6">
        <f>$O$199*$AA$199</f>
        <v>369.53422258235901</v>
      </c>
    </row>
    <row r="200" spans="1:33" ht="11.25" customHeight="1" x14ac:dyDescent="0.25">
      <c r="A200" s="4" t="s">
        <v>21</v>
      </c>
      <c r="B200" s="4" t="s">
        <v>41</v>
      </c>
      <c r="C200" s="4" t="s">
        <v>42</v>
      </c>
      <c r="D200" s="4" t="s">
        <v>45</v>
      </c>
      <c r="E200" s="4" t="s">
        <v>25</v>
      </c>
      <c r="F200" s="4" t="s">
        <v>25</v>
      </c>
      <c r="G200" s="4" t="s">
        <v>25</v>
      </c>
      <c r="H200" s="4" t="s">
        <v>36</v>
      </c>
      <c r="I200" s="5">
        <v>44621</v>
      </c>
      <c r="J200" s="6">
        <v>2165</v>
      </c>
      <c r="K200" s="6">
        <v>2165</v>
      </c>
      <c r="L200" s="6">
        <v>60.366999999999997</v>
      </c>
      <c r="M200" s="6">
        <v>60.366999999999997</v>
      </c>
      <c r="N200" s="6">
        <v>60.366999999999997</v>
      </c>
      <c r="O200" s="6">
        <v>60.366999999999997</v>
      </c>
      <c r="P200" s="6">
        <v>0</v>
      </c>
      <c r="Q200" s="4" t="s">
        <v>26</v>
      </c>
      <c r="R200" s="4">
        <v>0</v>
      </c>
      <c r="S200" s="6">
        <v>19</v>
      </c>
      <c r="T200" s="6">
        <v>21</v>
      </c>
      <c r="U200" s="6">
        <v>74</v>
      </c>
      <c r="V200" s="6">
        <f>IF(ISERROR(VLOOKUP($S$200,'TAR FIN'!$A$1:$O$115,15,0)),0,VLOOKUP($S$200,'TAR FIN'!$A$1:$O$115,15,0))</f>
        <v>56.22</v>
      </c>
      <c r="W200" s="6">
        <f>IF(ISERROR(VLOOKUP($T$200,'TAR FIN'!$A$1:$O$115,15,0)),0,VLOOKUP($T$200,'TAR FIN'!$A$1:$O$115,15,0))</f>
        <v>84.31</v>
      </c>
      <c r="X200" s="6">
        <f>IF(ISERROR(VLOOKUP($U$200,'TAR FIN'!$A$1:$O$115,15,0)),0,VLOOKUP($U$200,'TAR FIN'!$A$1:$O$115,15,0))</f>
        <v>270.3</v>
      </c>
      <c r="Y200" s="6">
        <f ca="1">('TUSD BE'!$AM$19+'TUSD BF'!$AM$19+'TUSD CVA'!$AM$19)*1</f>
        <v>56.308577648144677</v>
      </c>
      <c r="Z200" s="6">
        <f ca="1">('TUSD BE'!$AM$21+'TUSD BF'!$AM$21+'TUSD CVA'!$AM$21)*1</f>
        <v>113.43121292628391</v>
      </c>
      <c r="AA200" s="6">
        <f>('TE BE'!$AB$11+'TE BF'!$AB$11+'TE CVA'!$AB$11)*1</f>
        <v>362.64398683254075</v>
      </c>
      <c r="AB200" s="6">
        <f>$K$200*$V$200</f>
        <v>121716.3</v>
      </c>
      <c r="AC200" s="6">
        <f>$M$200*$W$200</f>
        <v>5089.5417699999998</v>
      </c>
      <c r="AD200" s="6">
        <f>$O$200*$X$200</f>
        <v>16317.2001</v>
      </c>
      <c r="AE200" s="6">
        <f ca="1">$K$200*$Y$200</f>
        <v>121908.07060823323</v>
      </c>
      <c r="AF200" s="6">
        <f ca="1">$M$200*$Z$200</f>
        <v>6847.5020307209797</v>
      </c>
      <c r="AG200" s="6">
        <f>$O$200*$AA$200</f>
        <v>21891.729553119985</v>
      </c>
    </row>
    <row r="201" spans="1:33" ht="11.25" customHeight="1" x14ac:dyDescent="0.25">
      <c r="A201" s="4" t="s">
        <v>28</v>
      </c>
      <c r="B201" s="4" t="s">
        <v>41</v>
      </c>
      <c r="C201" s="4" t="s">
        <v>42</v>
      </c>
      <c r="D201" s="4" t="s">
        <v>45</v>
      </c>
      <c r="E201" s="4" t="s">
        <v>25</v>
      </c>
      <c r="F201" s="4" t="s">
        <v>25</v>
      </c>
      <c r="G201" s="4" t="s">
        <v>25</v>
      </c>
      <c r="H201" s="4" t="s">
        <v>36</v>
      </c>
      <c r="I201" s="5">
        <v>44621</v>
      </c>
      <c r="J201" s="6">
        <v>40</v>
      </c>
      <c r="K201" s="6">
        <v>40</v>
      </c>
      <c r="L201" s="6">
        <v>0.76200000000000001</v>
      </c>
      <c r="M201" s="6">
        <v>0.76200000000000001</v>
      </c>
      <c r="N201" s="6">
        <v>0.76200000000000001</v>
      </c>
      <c r="O201" s="6">
        <v>0.76200000000000001</v>
      </c>
      <c r="P201" s="6">
        <v>0</v>
      </c>
      <c r="Q201" s="4" t="s">
        <v>26</v>
      </c>
      <c r="R201" s="4">
        <v>0</v>
      </c>
      <c r="S201" s="6">
        <v>19</v>
      </c>
      <c r="T201" s="6">
        <v>21</v>
      </c>
      <c r="U201" s="6">
        <v>74</v>
      </c>
      <c r="V201" s="6">
        <f>IF(ISERROR(VLOOKUP($S$201,'TAR FIN'!$A$1:$O$115,15,0)),0,VLOOKUP($S$201,'TAR FIN'!$A$1:$O$115,15,0))</f>
        <v>56.22</v>
      </c>
      <c r="W201" s="6">
        <f>IF(ISERROR(VLOOKUP($T$201,'TAR FIN'!$A$1:$O$115,15,0)),0,VLOOKUP($T$201,'TAR FIN'!$A$1:$O$115,15,0))</f>
        <v>84.31</v>
      </c>
      <c r="X201" s="6">
        <f>IF(ISERROR(VLOOKUP($U$201,'TAR FIN'!$A$1:$O$115,15,0)),0,VLOOKUP($U$201,'TAR FIN'!$A$1:$O$115,15,0))</f>
        <v>270.3</v>
      </c>
      <c r="Y201" s="6">
        <f ca="1">('TUSD BE'!$AM$19+'TUSD BF'!$AM$19+'TUSD CVA'!$AM$19)*1</f>
        <v>56.308577648144677</v>
      </c>
      <c r="Z201" s="6">
        <f ca="1">('TUSD BE'!$AM$21+'TUSD BF'!$AM$21+'TUSD CVA'!$AM$21)*1</f>
        <v>113.43121292628391</v>
      </c>
      <c r="AA201" s="6">
        <f>('TE BE'!$AB$11+'TE BF'!$AB$11+'TE CVA'!$AB$11)*1</f>
        <v>362.64398683254075</v>
      </c>
      <c r="AB201" s="6">
        <f>$K$201*$V$201</f>
        <v>2248.8000000000002</v>
      </c>
      <c r="AC201" s="6">
        <f>$M$201*$W$201</f>
        <v>64.244219999999999</v>
      </c>
      <c r="AD201" s="6">
        <f>$O$201*$X$201</f>
        <v>205.96860000000001</v>
      </c>
      <c r="AE201" s="6">
        <f ca="1">$K$201*$Y$201</f>
        <v>2252.3431059257873</v>
      </c>
      <c r="AF201" s="6">
        <f ca="1">$M$201*$Z$201</f>
        <v>86.434584249828333</v>
      </c>
      <c r="AG201" s="6">
        <f>$O$201*$AA$201</f>
        <v>276.33471796639606</v>
      </c>
    </row>
    <row r="202" spans="1:33" ht="11.25" customHeight="1" x14ac:dyDescent="0.25">
      <c r="A202" s="4" t="s">
        <v>21</v>
      </c>
      <c r="B202" s="4" t="s">
        <v>41</v>
      </c>
      <c r="C202" s="4" t="s">
        <v>42</v>
      </c>
      <c r="D202" s="4" t="s">
        <v>45</v>
      </c>
      <c r="E202" s="4" t="s">
        <v>25</v>
      </c>
      <c r="F202" s="4" t="s">
        <v>25</v>
      </c>
      <c r="G202" s="4" t="s">
        <v>25</v>
      </c>
      <c r="H202" s="4" t="s">
        <v>36</v>
      </c>
      <c r="I202" s="5">
        <v>44652</v>
      </c>
      <c r="J202" s="6">
        <v>2176</v>
      </c>
      <c r="K202" s="6">
        <v>2176</v>
      </c>
      <c r="L202" s="6">
        <v>55.744</v>
      </c>
      <c r="M202" s="6">
        <v>55.744</v>
      </c>
      <c r="N202" s="6">
        <v>55.744</v>
      </c>
      <c r="O202" s="6">
        <v>55.744</v>
      </c>
      <c r="P202" s="6">
        <v>0</v>
      </c>
      <c r="Q202" s="4" t="s">
        <v>26</v>
      </c>
      <c r="R202" s="4">
        <v>0</v>
      </c>
      <c r="S202" s="6">
        <v>19</v>
      </c>
      <c r="T202" s="6">
        <v>21</v>
      </c>
      <c r="U202" s="6">
        <v>74</v>
      </c>
      <c r="V202" s="6">
        <f>IF(ISERROR(VLOOKUP($S$202,'TAR FIN'!$A$1:$O$115,15,0)),0,VLOOKUP($S$202,'TAR FIN'!$A$1:$O$115,15,0))</f>
        <v>56.22</v>
      </c>
      <c r="W202" s="6">
        <f>IF(ISERROR(VLOOKUP($T$202,'TAR FIN'!$A$1:$O$115,15,0)),0,VLOOKUP($T$202,'TAR FIN'!$A$1:$O$115,15,0))</f>
        <v>84.31</v>
      </c>
      <c r="X202" s="6">
        <f>IF(ISERROR(VLOOKUP($U$202,'TAR FIN'!$A$1:$O$115,15,0)),0,VLOOKUP($U$202,'TAR FIN'!$A$1:$O$115,15,0))</f>
        <v>270.3</v>
      </c>
      <c r="Y202" s="6">
        <f ca="1">('TUSD BE'!$AM$19+'TUSD BF'!$AM$19+'TUSD CVA'!$AM$19)*1</f>
        <v>56.308577648144677</v>
      </c>
      <c r="Z202" s="6">
        <f ca="1">('TUSD BE'!$AM$21+'TUSD BF'!$AM$21+'TUSD CVA'!$AM$21)*1</f>
        <v>113.43121292628391</v>
      </c>
      <c r="AA202" s="6">
        <f>('TE BE'!$AB$11+'TE BF'!$AB$11+'TE CVA'!$AB$11)*1</f>
        <v>362.64398683254075</v>
      </c>
      <c r="AB202" s="6">
        <f>$K$202*$V$202</f>
        <v>122334.72</v>
      </c>
      <c r="AC202" s="6">
        <f>$M$202*$W$202</f>
        <v>4699.77664</v>
      </c>
      <c r="AD202" s="6">
        <f>$O$202*$X$202</f>
        <v>15067.603200000001</v>
      </c>
      <c r="AE202" s="6">
        <f ca="1">$K$202*$Y$202</f>
        <v>122527.46496236282</v>
      </c>
      <c r="AF202" s="6">
        <f ca="1">$M$202*$Z$202</f>
        <v>6323.10953336277</v>
      </c>
      <c r="AG202" s="6">
        <f>$O$202*$AA$202</f>
        <v>20215.22640199315</v>
      </c>
    </row>
    <row r="203" spans="1:33" ht="11.25" customHeight="1" x14ac:dyDescent="0.25">
      <c r="A203" s="4" t="s">
        <v>28</v>
      </c>
      <c r="B203" s="4" t="s">
        <v>41</v>
      </c>
      <c r="C203" s="4" t="s">
        <v>42</v>
      </c>
      <c r="D203" s="4" t="s">
        <v>45</v>
      </c>
      <c r="E203" s="4" t="s">
        <v>25</v>
      </c>
      <c r="F203" s="4" t="s">
        <v>25</v>
      </c>
      <c r="G203" s="4" t="s">
        <v>25</v>
      </c>
      <c r="H203" s="4" t="s">
        <v>36</v>
      </c>
      <c r="I203" s="5">
        <v>44652</v>
      </c>
      <c r="J203" s="6">
        <v>40</v>
      </c>
      <c r="K203" s="6">
        <v>40</v>
      </c>
      <c r="L203" s="6">
        <v>0.84499999999999997</v>
      </c>
      <c r="M203" s="6">
        <v>0.84499999999999997</v>
      </c>
      <c r="N203" s="6">
        <v>0.84499999999999997</v>
      </c>
      <c r="O203" s="6">
        <v>0.84499999999999997</v>
      </c>
      <c r="P203" s="6">
        <v>0</v>
      </c>
      <c r="Q203" s="4" t="s">
        <v>26</v>
      </c>
      <c r="R203" s="4">
        <v>0</v>
      </c>
      <c r="S203" s="6">
        <v>19</v>
      </c>
      <c r="T203" s="6">
        <v>21</v>
      </c>
      <c r="U203" s="6">
        <v>74</v>
      </c>
      <c r="V203" s="6">
        <f>IF(ISERROR(VLOOKUP($S$203,'TAR FIN'!$A$1:$O$115,15,0)),0,VLOOKUP($S$203,'TAR FIN'!$A$1:$O$115,15,0))</f>
        <v>56.22</v>
      </c>
      <c r="W203" s="6">
        <f>IF(ISERROR(VLOOKUP($T$203,'TAR FIN'!$A$1:$O$115,15,0)),0,VLOOKUP($T$203,'TAR FIN'!$A$1:$O$115,15,0))</f>
        <v>84.31</v>
      </c>
      <c r="X203" s="6">
        <f>IF(ISERROR(VLOOKUP($U$203,'TAR FIN'!$A$1:$O$115,15,0)),0,VLOOKUP($U$203,'TAR FIN'!$A$1:$O$115,15,0))</f>
        <v>270.3</v>
      </c>
      <c r="Y203" s="6">
        <f ca="1">('TUSD BE'!$AM$19+'TUSD BF'!$AM$19+'TUSD CVA'!$AM$19)*1</f>
        <v>56.308577648144677</v>
      </c>
      <c r="Z203" s="6">
        <f ca="1">('TUSD BE'!$AM$21+'TUSD BF'!$AM$21+'TUSD CVA'!$AM$21)*1</f>
        <v>113.43121292628391</v>
      </c>
      <c r="AA203" s="6">
        <f>('TE BE'!$AB$11+'TE BF'!$AB$11+'TE CVA'!$AB$11)*1</f>
        <v>362.64398683254075</v>
      </c>
      <c r="AB203" s="6">
        <f>$K$203*$V$203</f>
        <v>2248.8000000000002</v>
      </c>
      <c r="AC203" s="6">
        <f>$M$203*$W$203</f>
        <v>71.241950000000003</v>
      </c>
      <c r="AD203" s="6">
        <f>$O$203*$X$203</f>
        <v>228.40350000000001</v>
      </c>
      <c r="AE203" s="6">
        <f ca="1">$K$203*$Y$203</f>
        <v>2252.3431059257873</v>
      </c>
      <c r="AF203" s="6">
        <f ca="1">$M$203*$Z$203</f>
        <v>95.849374922709899</v>
      </c>
      <c r="AG203" s="6">
        <f>$O$203*$AA$203</f>
        <v>306.4341688734969</v>
      </c>
    </row>
    <row r="204" spans="1:33" ht="11.25" customHeight="1" x14ac:dyDescent="0.25">
      <c r="A204" s="4" t="s">
        <v>21</v>
      </c>
      <c r="B204" s="4" t="s">
        <v>41</v>
      </c>
      <c r="C204" s="4" t="s">
        <v>42</v>
      </c>
      <c r="D204" s="4" t="s">
        <v>45</v>
      </c>
      <c r="E204" s="4" t="s">
        <v>25</v>
      </c>
      <c r="F204" s="4" t="s">
        <v>25</v>
      </c>
      <c r="G204" s="4" t="s">
        <v>25</v>
      </c>
      <c r="H204" s="4" t="s">
        <v>36</v>
      </c>
      <c r="I204" s="5">
        <v>44682</v>
      </c>
      <c r="J204" s="6">
        <v>2189</v>
      </c>
      <c r="K204" s="6">
        <v>2189</v>
      </c>
      <c r="L204" s="6">
        <v>61.994999999999997</v>
      </c>
      <c r="M204" s="6">
        <v>61.994999999999997</v>
      </c>
      <c r="N204" s="6">
        <v>61.994999999999997</v>
      </c>
      <c r="O204" s="6">
        <v>61.994999999999997</v>
      </c>
      <c r="P204" s="6">
        <v>0</v>
      </c>
      <c r="Q204" s="4" t="s">
        <v>26</v>
      </c>
      <c r="R204" s="4">
        <v>0</v>
      </c>
      <c r="S204" s="6">
        <v>19</v>
      </c>
      <c r="T204" s="6">
        <v>21</v>
      </c>
      <c r="U204" s="6">
        <v>74</v>
      </c>
      <c r="V204" s="6">
        <f>IF(ISERROR(VLOOKUP($S$204,'TAR FIN'!$A$1:$O$115,15,0)),0,VLOOKUP($S$204,'TAR FIN'!$A$1:$O$115,15,0))</f>
        <v>56.22</v>
      </c>
      <c r="W204" s="6">
        <f>IF(ISERROR(VLOOKUP($T$204,'TAR FIN'!$A$1:$O$115,15,0)),0,VLOOKUP($T$204,'TAR FIN'!$A$1:$O$115,15,0))</f>
        <v>84.31</v>
      </c>
      <c r="X204" s="6">
        <f>IF(ISERROR(VLOOKUP($U$204,'TAR FIN'!$A$1:$O$115,15,0)),0,VLOOKUP($U$204,'TAR FIN'!$A$1:$O$115,15,0))</f>
        <v>270.3</v>
      </c>
      <c r="Y204" s="6">
        <f ca="1">('TUSD BE'!$AM$19+'TUSD BF'!$AM$19+'TUSD CVA'!$AM$19)*1</f>
        <v>56.308577648144677</v>
      </c>
      <c r="Z204" s="6">
        <f ca="1">('TUSD BE'!$AM$21+'TUSD BF'!$AM$21+'TUSD CVA'!$AM$21)*1</f>
        <v>113.43121292628391</v>
      </c>
      <c r="AA204" s="6">
        <f>('TE BE'!$AB$11+'TE BF'!$AB$11+'TE CVA'!$AB$11)*1</f>
        <v>362.64398683254075</v>
      </c>
      <c r="AB204" s="6">
        <f>$K$204*$V$204</f>
        <v>123065.58</v>
      </c>
      <c r="AC204" s="6">
        <f>$M$204*$W$204</f>
        <v>5226.7984500000002</v>
      </c>
      <c r="AD204" s="6">
        <f>$O$204*$X$204</f>
        <v>16757.248500000002</v>
      </c>
      <c r="AE204" s="6">
        <f ca="1">$K$204*$Y$204</f>
        <v>123259.4764717887</v>
      </c>
      <c r="AF204" s="6">
        <f ca="1">$M$204*$Z$204</f>
        <v>7032.1680453649706</v>
      </c>
      <c r="AG204" s="6">
        <f>$O$204*$AA$204</f>
        <v>22482.113963683361</v>
      </c>
    </row>
    <row r="205" spans="1:33" ht="11.25" customHeight="1" x14ac:dyDescent="0.25">
      <c r="A205" s="4" t="s">
        <v>28</v>
      </c>
      <c r="B205" s="4" t="s">
        <v>41</v>
      </c>
      <c r="C205" s="4" t="s">
        <v>42</v>
      </c>
      <c r="D205" s="4" t="s">
        <v>45</v>
      </c>
      <c r="E205" s="4" t="s">
        <v>25</v>
      </c>
      <c r="F205" s="4" t="s">
        <v>25</v>
      </c>
      <c r="G205" s="4" t="s">
        <v>25</v>
      </c>
      <c r="H205" s="4" t="s">
        <v>36</v>
      </c>
      <c r="I205" s="5">
        <v>44682</v>
      </c>
      <c r="J205" s="6">
        <v>40</v>
      </c>
      <c r="K205" s="6">
        <v>40</v>
      </c>
      <c r="L205" s="6">
        <v>0.72299999999999998</v>
      </c>
      <c r="M205" s="6">
        <v>0.72299999999999998</v>
      </c>
      <c r="N205" s="6">
        <v>0.72299999999999998</v>
      </c>
      <c r="O205" s="6">
        <v>0.72299999999999998</v>
      </c>
      <c r="P205" s="6">
        <v>0</v>
      </c>
      <c r="Q205" s="4" t="s">
        <v>26</v>
      </c>
      <c r="R205" s="4">
        <v>0</v>
      </c>
      <c r="S205" s="6">
        <v>19</v>
      </c>
      <c r="T205" s="6">
        <v>21</v>
      </c>
      <c r="U205" s="6">
        <v>74</v>
      </c>
      <c r="V205" s="6">
        <f>IF(ISERROR(VLOOKUP($S$205,'TAR FIN'!$A$1:$O$115,15,0)),0,VLOOKUP($S$205,'TAR FIN'!$A$1:$O$115,15,0))</f>
        <v>56.22</v>
      </c>
      <c r="W205" s="6">
        <f>IF(ISERROR(VLOOKUP($T$205,'TAR FIN'!$A$1:$O$115,15,0)),0,VLOOKUP($T$205,'TAR FIN'!$A$1:$O$115,15,0))</f>
        <v>84.31</v>
      </c>
      <c r="X205" s="6">
        <f>IF(ISERROR(VLOOKUP($U$205,'TAR FIN'!$A$1:$O$115,15,0)),0,VLOOKUP($U$205,'TAR FIN'!$A$1:$O$115,15,0))</f>
        <v>270.3</v>
      </c>
      <c r="Y205" s="6">
        <f ca="1">('TUSD BE'!$AM$19+'TUSD BF'!$AM$19+'TUSD CVA'!$AM$19)*1</f>
        <v>56.308577648144677</v>
      </c>
      <c r="Z205" s="6">
        <f ca="1">('TUSD BE'!$AM$21+'TUSD BF'!$AM$21+'TUSD CVA'!$AM$21)*1</f>
        <v>113.43121292628391</v>
      </c>
      <c r="AA205" s="6">
        <f>('TE BE'!$AB$11+'TE BF'!$AB$11+'TE CVA'!$AB$11)*1</f>
        <v>362.64398683254075</v>
      </c>
      <c r="AB205" s="6">
        <f>$K$205*$V$205</f>
        <v>2248.8000000000002</v>
      </c>
      <c r="AC205" s="6">
        <f>$M$205*$W$205</f>
        <v>60.956130000000002</v>
      </c>
      <c r="AD205" s="6">
        <f>$O$205*$X$205</f>
        <v>195.42689999999999</v>
      </c>
      <c r="AE205" s="6">
        <f ca="1">$K$205*$Y$205</f>
        <v>2252.3431059257873</v>
      </c>
      <c r="AF205" s="6">
        <f ca="1">$M$205*$Z$205</f>
        <v>82.010766945703267</v>
      </c>
      <c r="AG205" s="6">
        <f>$O$205*$AA$205</f>
        <v>262.19160247992693</v>
      </c>
    </row>
    <row r="206" spans="1:33" ht="11.25" customHeight="1" x14ac:dyDescent="0.25">
      <c r="A206" s="4" t="s">
        <v>21</v>
      </c>
      <c r="B206" s="4" t="s">
        <v>41</v>
      </c>
      <c r="C206" s="4" t="s">
        <v>42</v>
      </c>
      <c r="D206" s="4" t="s">
        <v>45</v>
      </c>
      <c r="E206" s="4" t="s">
        <v>25</v>
      </c>
      <c r="F206" s="4" t="s">
        <v>25</v>
      </c>
      <c r="G206" s="4" t="s">
        <v>25</v>
      </c>
      <c r="H206" s="4" t="s">
        <v>36</v>
      </c>
      <c r="I206" s="5">
        <v>44713</v>
      </c>
      <c r="J206" s="6">
        <v>2171</v>
      </c>
      <c r="K206" s="6">
        <v>2171</v>
      </c>
      <c r="L206" s="6">
        <v>60.171999999999997</v>
      </c>
      <c r="M206" s="6">
        <v>60.171999999999997</v>
      </c>
      <c r="N206" s="6">
        <v>60.171999999999997</v>
      </c>
      <c r="O206" s="6">
        <v>60.171999999999997</v>
      </c>
      <c r="P206" s="6">
        <v>0</v>
      </c>
      <c r="Q206" s="4" t="s">
        <v>26</v>
      </c>
      <c r="R206" s="4">
        <v>0</v>
      </c>
      <c r="S206" s="6">
        <v>19</v>
      </c>
      <c r="T206" s="6">
        <v>21</v>
      </c>
      <c r="U206" s="6">
        <v>74</v>
      </c>
      <c r="V206" s="6">
        <f>IF(ISERROR(VLOOKUP($S$206,'TAR FIN'!$A$1:$O$115,15,0)),0,VLOOKUP($S$206,'TAR FIN'!$A$1:$O$115,15,0))</f>
        <v>56.22</v>
      </c>
      <c r="W206" s="6">
        <f>IF(ISERROR(VLOOKUP($T$206,'TAR FIN'!$A$1:$O$115,15,0)),0,VLOOKUP($T$206,'TAR FIN'!$A$1:$O$115,15,0))</f>
        <v>84.31</v>
      </c>
      <c r="X206" s="6">
        <f>IF(ISERROR(VLOOKUP($U$206,'TAR FIN'!$A$1:$O$115,15,0)),0,VLOOKUP($U$206,'TAR FIN'!$A$1:$O$115,15,0))</f>
        <v>270.3</v>
      </c>
      <c r="Y206" s="6">
        <f ca="1">('TUSD BE'!$AM$19+'TUSD BF'!$AM$19+'TUSD CVA'!$AM$19)*1</f>
        <v>56.308577648144677</v>
      </c>
      <c r="Z206" s="6">
        <f ca="1">('TUSD BE'!$AM$21+'TUSD BF'!$AM$21+'TUSD CVA'!$AM$21)*1</f>
        <v>113.43121292628391</v>
      </c>
      <c r="AA206" s="6">
        <f>('TE BE'!$AB$11+'TE BF'!$AB$11+'TE CVA'!$AB$11)*1</f>
        <v>362.64398683254075</v>
      </c>
      <c r="AB206" s="6">
        <f>$K$206*$V$206</f>
        <v>122053.62</v>
      </c>
      <c r="AC206" s="6">
        <f>$M$206*$W$206</f>
        <v>5073.1013199999998</v>
      </c>
      <c r="AD206" s="6">
        <f>$O$206*$X$206</f>
        <v>16264.491599999999</v>
      </c>
      <c r="AE206" s="6">
        <f ca="1">$K$206*$Y$206</f>
        <v>122245.92207412209</v>
      </c>
      <c r="AF206" s="6">
        <f ca="1">$M$206*$Z$206</f>
        <v>6825.3829442003544</v>
      </c>
      <c r="AG206" s="6">
        <f>$O$206*$AA$206</f>
        <v>21821.013975687642</v>
      </c>
    </row>
    <row r="207" spans="1:33" ht="11.25" customHeight="1" x14ac:dyDescent="0.25">
      <c r="A207" s="4" t="s">
        <v>28</v>
      </c>
      <c r="B207" s="4" t="s">
        <v>41</v>
      </c>
      <c r="C207" s="4" t="s">
        <v>42</v>
      </c>
      <c r="D207" s="4" t="s">
        <v>45</v>
      </c>
      <c r="E207" s="4" t="s">
        <v>25</v>
      </c>
      <c r="F207" s="4" t="s">
        <v>25</v>
      </c>
      <c r="G207" s="4" t="s">
        <v>25</v>
      </c>
      <c r="H207" s="4" t="s">
        <v>36</v>
      </c>
      <c r="I207" s="5">
        <v>44713</v>
      </c>
      <c r="J207" s="6">
        <v>40</v>
      </c>
      <c r="K207" s="6">
        <v>40</v>
      </c>
      <c r="L207" s="6">
        <v>0.81200000000000006</v>
      </c>
      <c r="M207" s="6">
        <v>0.81200000000000006</v>
      </c>
      <c r="N207" s="6">
        <v>0.81200000000000006</v>
      </c>
      <c r="O207" s="6">
        <v>0.81200000000000006</v>
      </c>
      <c r="P207" s="6">
        <v>0</v>
      </c>
      <c r="Q207" s="4" t="s">
        <v>26</v>
      </c>
      <c r="R207" s="4">
        <v>0</v>
      </c>
      <c r="S207" s="6">
        <v>19</v>
      </c>
      <c r="T207" s="6">
        <v>21</v>
      </c>
      <c r="U207" s="6">
        <v>74</v>
      </c>
      <c r="V207" s="6">
        <f>IF(ISERROR(VLOOKUP($S$207,'TAR FIN'!$A$1:$O$115,15,0)),0,VLOOKUP($S$207,'TAR FIN'!$A$1:$O$115,15,0))</f>
        <v>56.22</v>
      </c>
      <c r="W207" s="6">
        <f>IF(ISERROR(VLOOKUP($T$207,'TAR FIN'!$A$1:$O$115,15,0)),0,VLOOKUP($T$207,'TAR FIN'!$A$1:$O$115,15,0))</f>
        <v>84.31</v>
      </c>
      <c r="X207" s="6">
        <f>IF(ISERROR(VLOOKUP($U$207,'TAR FIN'!$A$1:$O$115,15,0)),0,VLOOKUP($U$207,'TAR FIN'!$A$1:$O$115,15,0))</f>
        <v>270.3</v>
      </c>
      <c r="Y207" s="6">
        <f ca="1">('TUSD BE'!$AM$19+'TUSD BF'!$AM$19+'TUSD CVA'!$AM$19)*1</f>
        <v>56.308577648144677</v>
      </c>
      <c r="Z207" s="6">
        <f ca="1">('TUSD BE'!$AM$21+'TUSD BF'!$AM$21+'TUSD CVA'!$AM$21)*1</f>
        <v>113.43121292628391</v>
      </c>
      <c r="AA207" s="6">
        <f>('TE BE'!$AB$11+'TE BF'!$AB$11+'TE CVA'!$AB$11)*1</f>
        <v>362.64398683254075</v>
      </c>
      <c r="AB207" s="6">
        <f>$K$207*$V$207</f>
        <v>2248.8000000000002</v>
      </c>
      <c r="AC207" s="6">
        <f>$M$207*$W$207</f>
        <v>68.459720000000004</v>
      </c>
      <c r="AD207" s="6">
        <f>$O$207*$X$207</f>
        <v>219.48360000000002</v>
      </c>
      <c r="AE207" s="6">
        <f ca="1">$K$207*$Y$207</f>
        <v>2252.3431059257873</v>
      </c>
      <c r="AF207" s="6">
        <f ca="1">$M$207*$Z$207</f>
        <v>92.106144896142538</v>
      </c>
      <c r="AG207" s="6">
        <f>$O$207*$AA$207</f>
        <v>294.46691730802308</v>
      </c>
    </row>
    <row r="208" spans="1:33" ht="11.25" customHeight="1" x14ac:dyDescent="0.25">
      <c r="A208" s="4" t="s">
        <v>21</v>
      </c>
      <c r="B208" s="4" t="s">
        <v>41</v>
      </c>
      <c r="C208" s="4" t="s">
        <v>42</v>
      </c>
      <c r="D208" s="4" t="s">
        <v>45</v>
      </c>
      <c r="E208" s="4" t="s">
        <v>25</v>
      </c>
      <c r="F208" s="4" t="s">
        <v>25</v>
      </c>
      <c r="G208" s="4" t="s">
        <v>25</v>
      </c>
      <c r="H208" s="4" t="s">
        <v>36</v>
      </c>
      <c r="I208" s="5">
        <v>44743</v>
      </c>
      <c r="J208" s="6">
        <v>2173</v>
      </c>
      <c r="K208" s="6">
        <v>2173</v>
      </c>
      <c r="L208" s="6">
        <v>62.667999999999999</v>
      </c>
      <c r="M208" s="6">
        <v>62.667999999999999</v>
      </c>
      <c r="N208" s="6">
        <v>62.667999999999999</v>
      </c>
      <c r="O208" s="6">
        <v>62.667999999999999</v>
      </c>
      <c r="P208" s="6">
        <v>0</v>
      </c>
      <c r="Q208" s="4" t="s">
        <v>26</v>
      </c>
      <c r="R208" s="4">
        <v>0</v>
      </c>
      <c r="S208" s="6">
        <v>19</v>
      </c>
      <c r="T208" s="6">
        <v>21</v>
      </c>
      <c r="U208" s="6">
        <v>74</v>
      </c>
      <c r="V208" s="6">
        <f>IF(ISERROR(VLOOKUP($S$208,'TAR FIN'!$A$1:$O$115,15,0)),0,VLOOKUP($S$208,'TAR FIN'!$A$1:$O$115,15,0))</f>
        <v>56.22</v>
      </c>
      <c r="W208" s="6">
        <f>IF(ISERROR(VLOOKUP($T$208,'TAR FIN'!$A$1:$O$115,15,0)),0,VLOOKUP($T$208,'TAR FIN'!$A$1:$O$115,15,0))</f>
        <v>84.31</v>
      </c>
      <c r="X208" s="6">
        <f>IF(ISERROR(VLOOKUP($U$208,'TAR FIN'!$A$1:$O$115,15,0)),0,VLOOKUP($U$208,'TAR FIN'!$A$1:$O$115,15,0))</f>
        <v>270.3</v>
      </c>
      <c r="Y208" s="6">
        <f ca="1">('TUSD BE'!$AM$19+'TUSD BF'!$AM$19+'TUSD CVA'!$AM$19)*1</f>
        <v>56.308577648144677</v>
      </c>
      <c r="Z208" s="6">
        <f ca="1">('TUSD BE'!$AM$21+'TUSD BF'!$AM$21+'TUSD CVA'!$AM$21)*1</f>
        <v>113.43121292628391</v>
      </c>
      <c r="AA208" s="6">
        <f>('TE BE'!$AB$11+'TE BF'!$AB$11+'TE CVA'!$AB$11)*1</f>
        <v>362.64398683254075</v>
      </c>
      <c r="AB208" s="6">
        <f>$K$208*$V$208</f>
        <v>122166.06</v>
      </c>
      <c r="AC208" s="6">
        <f>$M$208*$W$208</f>
        <v>5283.5390800000005</v>
      </c>
      <c r="AD208" s="6">
        <f>$O$208*$X$208</f>
        <v>16939.160400000001</v>
      </c>
      <c r="AE208" s="6">
        <f ca="1">$K$208*$Y$208</f>
        <v>122358.53922941838</v>
      </c>
      <c r="AF208" s="6">
        <f ca="1">$M$208*$Z$208</f>
        <v>7108.5072516643595</v>
      </c>
      <c r="AG208" s="6">
        <f>$O$208*$AA$208</f>
        <v>22726.173366821662</v>
      </c>
    </row>
    <row r="209" spans="1:33" ht="11.25" customHeight="1" x14ac:dyDescent="0.25">
      <c r="A209" s="4" t="s">
        <v>28</v>
      </c>
      <c r="B209" s="4" t="s">
        <v>41</v>
      </c>
      <c r="C209" s="4" t="s">
        <v>42</v>
      </c>
      <c r="D209" s="4" t="s">
        <v>45</v>
      </c>
      <c r="E209" s="4" t="s">
        <v>25</v>
      </c>
      <c r="F209" s="4" t="s">
        <v>25</v>
      </c>
      <c r="G209" s="4" t="s">
        <v>25</v>
      </c>
      <c r="H209" s="4" t="s">
        <v>36</v>
      </c>
      <c r="I209" s="5">
        <v>44743</v>
      </c>
      <c r="J209" s="6">
        <v>40</v>
      </c>
      <c r="K209" s="6">
        <v>40</v>
      </c>
      <c r="L209" s="6">
        <v>0.82399999999999995</v>
      </c>
      <c r="M209" s="6">
        <v>0.82399999999999995</v>
      </c>
      <c r="N209" s="6">
        <v>0.82399999999999995</v>
      </c>
      <c r="O209" s="6">
        <v>0.82399999999999995</v>
      </c>
      <c r="P209" s="6">
        <v>0</v>
      </c>
      <c r="Q209" s="4" t="s">
        <v>26</v>
      </c>
      <c r="R209" s="4">
        <v>0</v>
      </c>
      <c r="S209" s="6">
        <v>19</v>
      </c>
      <c r="T209" s="6">
        <v>21</v>
      </c>
      <c r="U209" s="6">
        <v>74</v>
      </c>
      <c r="V209" s="6">
        <f>IF(ISERROR(VLOOKUP($S$209,'TAR FIN'!$A$1:$O$115,15,0)),0,VLOOKUP($S$209,'TAR FIN'!$A$1:$O$115,15,0))</f>
        <v>56.22</v>
      </c>
      <c r="W209" s="6">
        <f>IF(ISERROR(VLOOKUP($T$209,'TAR FIN'!$A$1:$O$115,15,0)),0,VLOOKUP($T$209,'TAR FIN'!$A$1:$O$115,15,0))</f>
        <v>84.31</v>
      </c>
      <c r="X209" s="6">
        <f>IF(ISERROR(VLOOKUP($U$209,'TAR FIN'!$A$1:$O$115,15,0)),0,VLOOKUP($U$209,'TAR FIN'!$A$1:$O$115,15,0))</f>
        <v>270.3</v>
      </c>
      <c r="Y209" s="6">
        <f ca="1">('TUSD BE'!$AM$19+'TUSD BF'!$AM$19+'TUSD CVA'!$AM$19)*1</f>
        <v>56.308577648144677</v>
      </c>
      <c r="Z209" s="6">
        <f ca="1">('TUSD BE'!$AM$21+'TUSD BF'!$AM$21+'TUSD CVA'!$AM$21)*1</f>
        <v>113.43121292628391</v>
      </c>
      <c r="AA209" s="6">
        <f>('TE BE'!$AB$11+'TE BF'!$AB$11+'TE CVA'!$AB$11)*1</f>
        <v>362.64398683254075</v>
      </c>
      <c r="AB209" s="6">
        <f>$K$209*$V$209</f>
        <v>2248.8000000000002</v>
      </c>
      <c r="AC209" s="6">
        <f>$M$209*$W$209</f>
        <v>69.471440000000001</v>
      </c>
      <c r="AD209" s="6">
        <f>$O$209*$X$209</f>
        <v>222.72720000000001</v>
      </c>
      <c r="AE209" s="6">
        <f ca="1">$K$209*$Y$209</f>
        <v>2252.3431059257873</v>
      </c>
      <c r="AF209" s="6">
        <f ca="1">$M$209*$Z$209</f>
        <v>93.467319451257936</v>
      </c>
      <c r="AG209" s="6">
        <f>$O$209*$AA$209</f>
        <v>298.81864515001354</v>
      </c>
    </row>
    <row r="210" spans="1:33" ht="11.25" customHeight="1" x14ac:dyDescent="0.25">
      <c r="A210" s="4" t="s">
        <v>21</v>
      </c>
      <c r="B210" s="4" t="s">
        <v>41</v>
      </c>
      <c r="C210" s="4" t="s">
        <v>42</v>
      </c>
      <c r="D210" s="4" t="s">
        <v>45</v>
      </c>
      <c r="E210" s="4" t="s">
        <v>25</v>
      </c>
      <c r="F210" s="4" t="s">
        <v>25</v>
      </c>
      <c r="G210" s="4" t="s">
        <v>25</v>
      </c>
      <c r="H210" s="4" t="s">
        <v>36</v>
      </c>
      <c r="I210" s="5">
        <v>44774</v>
      </c>
      <c r="J210" s="6">
        <v>2179</v>
      </c>
      <c r="K210" s="6">
        <v>2179</v>
      </c>
      <c r="L210" s="6">
        <v>66.736000000000004</v>
      </c>
      <c r="M210" s="6">
        <v>66.736000000000004</v>
      </c>
      <c r="N210" s="6">
        <v>66.736000000000004</v>
      </c>
      <c r="O210" s="6">
        <v>66.736000000000004</v>
      </c>
      <c r="P210" s="6">
        <v>0</v>
      </c>
      <c r="Q210" s="4" t="s">
        <v>26</v>
      </c>
      <c r="R210" s="4">
        <v>0</v>
      </c>
      <c r="S210" s="6">
        <v>19</v>
      </c>
      <c r="T210" s="6">
        <v>21</v>
      </c>
      <c r="U210" s="6">
        <v>74</v>
      </c>
      <c r="V210" s="6">
        <f>IF(ISERROR(VLOOKUP($S$210,'TAR FIN'!$A$1:$O$115,15,0)),0,VLOOKUP($S$210,'TAR FIN'!$A$1:$O$115,15,0))</f>
        <v>56.22</v>
      </c>
      <c r="W210" s="6">
        <f>IF(ISERROR(VLOOKUP($T$210,'TAR FIN'!$A$1:$O$115,15,0)),0,VLOOKUP($T$210,'TAR FIN'!$A$1:$O$115,15,0))</f>
        <v>84.31</v>
      </c>
      <c r="X210" s="6">
        <f>IF(ISERROR(VLOOKUP($U$210,'TAR FIN'!$A$1:$O$115,15,0)),0,VLOOKUP($U$210,'TAR FIN'!$A$1:$O$115,15,0))</f>
        <v>270.3</v>
      </c>
      <c r="Y210" s="6">
        <f ca="1">('TUSD BE'!$AM$19+'TUSD BF'!$AM$19+'TUSD CVA'!$AM$19)*1</f>
        <v>56.308577648144677</v>
      </c>
      <c r="Z210" s="6">
        <f ca="1">('TUSD BE'!$AM$21+'TUSD BF'!$AM$21+'TUSD CVA'!$AM$21)*1</f>
        <v>113.43121292628391</v>
      </c>
      <c r="AA210" s="6">
        <f>('TE BE'!$AB$11+'TE BF'!$AB$11+'TE CVA'!$AB$11)*1</f>
        <v>362.64398683254075</v>
      </c>
      <c r="AB210" s="6">
        <f>$K$210*$V$210</f>
        <v>122503.38</v>
      </c>
      <c r="AC210" s="6">
        <f>$M$210*$W$210</f>
        <v>5626.5121600000002</v>
      </c>
      <c r="AD210" s="6">
        <f>$O$210*$X$210</f>
        <v>18038.740800000003</v>
      </c>
      <c r="AE210" s="6">
        <f ca="1">$K$210*$Y$210</f>
        <v>122696.39069530726</v>
      </c>
      <c r="AF210" s="6">
        <f ca="1">$M$210*$Z$210</f>
        <v>7569.945425848483</v>
      </c>
      <c r="AG210" s="6">
        <f>$O$210*$AA$210</f>
        <v>24201.40910525644</v>
      </c>
    </row>
    <row r="211" spans="1:33" ht="11.25" customHeight="1" x14ac:dyDescent="0.25">
      <c r="A211" s="4" t="s">
        <v>28</v>
      </c>
      <c r="B211" s="4" t="s">
        <v>41</v>
      </c>
      <c r="C211" s="4" t="s">
        <v>42</v>
      </c>
      <c r="D211" s="4" t="s">
        <v>45</v>
      </c>
      <c r="E211" s="4" t="s">
        <v>25</v>
      </c>
      <c r="F211" s="4" t="s">
        <v>25</v>
      </c>
      <c r="G211" s="4" t="s">
        <v>25</v>
      </c>
      <c r="H211" s="4" t="s">
        <v>36</v>
      </c>
      <c r="I211" s="5">
        <v>44774</v>
      </c>
      <c r="J211" s="6">
        <v>40</v>
      </c>
      <c r="K211" s="6">
        <v>40</v>
      </c>
      <c r="L211" s="6">
        <v>0.84099999999999997</v>
      </c>
      <c r="M211" s="6">
        <v>0.84099999999999997</v>
      </c>
      <c r="N211" s="6">
        <v>0.84099999999999997</v>
      </c>
      <c r="O211" s="6">
        <v>0.84099999999999997</v>
      </c>
      <c r="P211" s="6">
        <v>0</v>
      </c>
      <c r="Q211" s="4" t="s">
        <v>26</v>
      </c>
      <c r="R211" s="4">
        <v>0</v>
      </c>
      <c r="S211" s="6">
        <v>19</v>
      </c>
      <c r="T211" s="6">
        <v>21</v>
      </c>
      <c r="U211" s="6">
        <v>74</v>
      </c>
      <c r="V211" s="6">
        <f>IF(ISERROR(VLOOKUP($S$211,'TAR FIN'!$A$1:$O$115,15,0)),0,VLOOKUP($S$211,'TAR FIN'!$A$1:$O$115,15,0))</f>
        <v>56.22</v>
      </c>
      <c r="W211" s="6">
        <f>IF(ISERROR(VLOOKUP($T$211,'TAR FIN'!$A$1:$O$115,15,0)),0,VLOOKUP($T$211,'TAR FIN'!$A$1:$O$115,15,0))</f>
        <v>84.31</v>
      </c>
      <c r="X211" s="6">
        <f>IF(ISERROR(VLOOKUP($U$211,'TAR FIN'!$A$1:$O$115,15,0)),0,VLOOKUP($U$211,'TAR FIN'!$A$1:$O$115,15,0))</f>
        <v>270.3</v>
      </c>
      <c r="Y211" s="6">
        <f ca="1">('TUSD BE'!$AM$19+'TUSD BF'!$AM$19+'TUSD CVA'!$AM$19)*1</f>
        <v>56.308577648144677</v>
      </c>
      <c r="Z211" s="6">
        <f ca="1">('TUSD BE'!$AM$21+'TUSD BF'!$AM$21+'TUSD CVA'!$AM$21)*1</f>
        <v>113.43121292628391</v>
      </c>
      <c r="AA211" s="6">
        <f>('TE BE'!$AB$11+'TE BF'!$AB$11+'TE CVA'!$AB$11)*1</f>
        <v>362.64398683254075</v>
      </c>
      <c r="AB211" s="6">
        <f>$K$211*$V$211</f>
        <v>2248.8000000000002</v>
      </c>
      <c r="AC211" s="6">
        <f>$M$211*$W$211</f>
        <v>70.904709999999994</v>
      </c>
      <c r="AD211" s="6">
        <f>$O$211*$X$211</f>
        <v>227.32230000000001</v>
      </c>
      <c r="AE211" s="6">
        <f ca="1">$K$211*$Y$211</f>
        <v>2252.3431059257873</v>
      </c>
      <c r="AF211" s="6">
        <f ca="1">$M$211*$Z$211</f>
        <v>95.395650071004766</v>
      </c>
      <c r="AG211" s="6">
        <f>$O$211*$AA$211</f>
        <v>304.98359292616675</v>
      </c>
    </row>
    <row r="212" spans="1:33" ht="11.25" customHeight="1" x14ac:dyDescent="0.25">
      <c r="A212" s="4" t="s">
        <v>21</v>
      </c>
      <c r="B212" s="4" t="s">
        <v>41</v>
      </c>
      <c r="C212" s="4" t="s">
        <v>42</v>
      </c>
      <c r="D212" s="4" t="s">
        <v>45</v>
      </c>
      <c r="E212" s="4" t="s">
        <v>25</v>
      </c>
      <c r="F212" s="4" t="s">
        <v>25</v>
      </c>
      <c r="G212" s="4" t="s">
        <v>25</v>
      </c>
      <c r="H212" s="4" t="s">
        <v>36</v>
      </c>
      <c r="I212" s="5">
        <v>44805</v>
      </c>
      <c r="J212" s="6">
        <v>2002</v>
      </c>
      <c r="K212" s="6">
        <v>2002</v>
      </c>
      <c r="L212" s="6">
        <v>59.268999999999998</v>
      </c>
      <c r="M212" s="6">
        <v>59.268999999999998</v>
      </c>
      <c r="N212" s="6">
        <v>59.268999999999998</v>
      </c>
      <c r="O212" s="6">
        <v>59.268999999999998</v>
      </c>
      <c r="P212" s="6">
        <v>0</v>
      </c>
      <c r="Q212" s="4" t="s">
        <v>26</v>
      </c>
      <c r="R212" s="4">
        <v>0</v>
      </c>
      <c r="S212" s="6">
        <v>19</v>
      </c>
      <c r="T212" s="6">
        <v>21</v>
      </c>
      <c r="U212" s="6">
        <v>74</v>
      </c>
      <c r="V212" s="6">
        <f>IF(ISERROR(VLOOKUP($S$212,'TAR FIN'!$A$1:$O$115,15,0)),0,VLOOKUP($S$212,'TAR FIN'!$A$1:$O$115,15,0))</f>
        <v>56.22</v>
      </c>
      <c r="W212" s="6">
        <f>IF(ISERROR(VLOOKUP($T$212,'TAR FIN'!$A$1:$O$115,15,0)),0,VLOOKUP($T$212,'TAR FIN'!$A$1:$O$115,15,0))</f>
        <v>84.31</v>
      </c>
      <c r="X212" s="6">
        <f>IF(ISERROR(VLOOKUP($U$212,'TAR FIN'!$A$1:$O$115,15,0)),0,VLOOKUP($U$212,'TAR FIN'!$A$1:$O$115,15,0))</f>
        <v>270.3</v>
      </c>
      <c r="Y212" s="6">
        <f ca="1">('TUSD BE'!$AM$19+'TUSD BF'!$AM$19+'TUSD CVA'!$AM$19)*1</f>
        <v>56.308577648144677</v>
      </c>
      <c r="Z212" s="6">
        <f ca="1">('TUSD BE'!$AM$21+'TUSD BF'!$AM$21+'TUSD CVA'!$AM$21)*1</f>
        <v>113.43121292628391</v>
      </c>
      <c r="AA212" s="6">
        <f>('TE BE'!$AB$11+'TE BF'!$AB$11+'TE CVA'!$AB$11)*1</f>
        <v>362.64398683254075</v>
      </c>
      <c r="AB212" s="6">
        <f>$K$212*$V$212</f>
        <v>112552.44</v>
      </c>
      <c r="AC212" s="6">
        <f>$M$212*$W$212</f>
        <v>4996.9693900000002</v>
      </c>
      <c r="AD212" s="6">
        <f>$O$212*$X$212</f>
        <v>16020.4107</v>
      </c>
      <c r="AE212" s="6">
        <f ca="1">$K$212*$Y$212</f>
        <v>112729.77245158564</v>
      </c>
      <c r="AF212" s="6">
        <f ca="1">$M$212*$Z$212</f>
        <v>6722.9545589279205</v>
      </c>
      <c r="AG212" s="6">
        <f>$O$212*$AA$212</f>
        <v>21493.546455577856</v>
      </c>
    </row>
    <row r="213" spans="1:33" ht="11.25" customHeight="1" x14ac:dyDescent="0.25">
      <c r="A213" s="4" t="s">
        <v>28</v>
      </c>
      <c r="B213" s="4" t="s">
        <v>41</v>
      </c>
      <c r="C213" s="4" t="s">
        <v>42</v>
      </c>
      <c r="D213" s="4" t="s">
        <v>45</v>
      </c>
      <c r="E213" s="4" t="s">
        <v>25</v>
      </c>
      <c r="F213" s="4" t="s">
        <v>25</v>
      </c>
      <c r="G213" s="4" t="s">
        <v>25</v>
      </c>
      <c r="H213" s="4" t="s">
        <v>36</v>
      </c>
      <c r="I213" s="5">
        <v>44805</v>
      </c>
      <c r="J213" s="6">
        <v>40</v>
      </c>
      <c r="K213" s="6">
        <v>40</v>
      </c>
      <c r="L213" s="6">
        <v>0.876</v>
      </c>
      <c r="M213" s="6">
        <v>0.876</v>
      </c>
      <c r="N213" s="6">
        <v>0.876</v>
      </c>
      <c r="O213" s="6">
        <v>0.876</v>
      </c>
      <c r="P213" s="6">
        <v>0</v>
      </c>
      <c r="Q213" s="4" t="s">
        <v>26</v>
      </c>
      <c r="R213" s="4">
        <v>0</v>
      </c>
      <c r="S213" s="6">
        <v>19</v>
      </c>
      <c r="T213" s="6">
        <v>21</v>
      </c>
      <c r="U213" s="6">
        <v>74</v>
      </c>
      <c r="V213" s="6">
        <f>IF(ISERROR(VLOOKUP($S$213,'TAR FIN'!$A$1:$O$115,15,0)),0,VLOOKUP($S$213,'TAR FIN'!$A$1:$O$115,15,0))</f>
        <v>56.22</v>
      </c>
      <c r="W213" s="6">
        <f>IF(ISERROR(VLOOKUP($T$213,'TAR FIN'!$A$1:$O$115,15,0)),0,VLOOKUP($T$213,'TAR FIN'!$A$1:$O$115,15,0))</f>
        <v>84.31</v>
      </c>
      <c r="X213" s="6">
        <f>IF(ISERROR(VLOOKUP($U$213,'TAR FIN'!$A$1:$O$115,15,0)),0,VLOOKUP($U$213,'TAR FIN'!$A$1:$O$115,15,0))</f>
        <v>270.3</v>
      </c>
      <c r="Y213" s="6">
        <f ca="1">('TUSD BE'!$AM$19+'TUSD BF'!$AM$19+'TUSD CVA'!$AM$19)*1</f>
        <v>56.308577648144677</v>
      </c>
      <c r="Z213" s="6">
        <f ca="1">('TUSD BE'!$AM$21+'TUSD BF'!$AM$21+'TUSD CVA'!$AM$21)*1</f>
        <v>113.43121292628391</v>
      </c>
      <c r="AA213" s="6">
        <f>('TE BE'!$AB$11+'TE BF'!$AB$11+'TE CVA'!$AB$11)*1</f>
        <v>362.64398683254075</v>
      </c>
      <c r="AB213" s="6">
        <f>$K$213*$V$213</f>
        <v>2248.8000000000002</v>
      </c>
      <c r="AC213" s="6">
        <f>$M$213*$W$213</f>
        <v>73.855559999999997</v>
      </c>
      <c r="AD213" s="6">
        <f>$O$213*$X$213</f>
        <v>236.78280000000001</v>
      </c>
      <c r="AE213" s="6">
        <f ca="1">$K$213*$Y$213</f>
        <v>2252.3431059257873</v>
      </c>
      <c r="AF213" s="6">
        <f ca="1">$M$213*$Z$213</f>
        <v>99.3657425234247</v>
      </c>
      <c r="AG213" s="6">
        <f>$O$213*$AA$213</f>
        <v>317.67613246530567</v>
      </c>
    </row>
    <row r="214" spans="1:33" ht="11.25" customHeight="1" x14ac:dyDescent="0.25">
      <c r="A214" s="4" t="s">
        <v>21</v>
      </c>
      <c r="B214" s="4" t="s">
        <v>41</v>
      </c>
      <c r="C214" s="4" t="s">
        <v>42</v>
      </c>
      <c r="D214" s="4" t="s">
        <v>45</v>
      </c>
      <c r="E214" s="4" t="s">
        <v>25</v>
      </c>
      <c r="F214" s="4" t="s">
        <v>25</v>
      </c>
      <c r="G214" s="4" t="s">
        <v>25</v>
      </c>
      <c r="H214" s="4" t="s">
        <v>36</v>
      </c>
      <c r="I214" s="5">
        <v>44835</v>
      </c>
      <c r="J214" s="6">
        <v>2018</v>
      </c>
      <c r="K214" s="6">
        <v>2018</v>
      </c>
      <c r="L214" s="6">
        <v>60.3</v>
      </c>
      <c r="M214" s="6">
        <v>60.3</v>
      </c>
      <c r="N214" s="6">
        <v>60.3</v>
      </c>
      <c r="O214" s="6">
        <v>60.3</v>
      </c>
      <c r="P214" s="6">
        <v>0</v>
      </c>
      <c r="Q214" s="4" t="s">
        <v>26</v>
      </c>
      <c r="R214" s="4">
        <v>0</v>
      </c>
      <c r="S214" s="6">
        <v>19</v>
      </c>
      <c r="T214" s="6">
        <v>21</v>
      </c>
      <c r="U214" s="6">
        <v>74</v>
      </c>
      <c r="V214" s="6">
        <f>IF(ISERROR(VLOOKUP($S$214,'TAR FIN'!$A$1:$O$115,15,0)),0,VLOOKUP($S$214,'TAR FIN'!$A$1:$O$115,15,0))</f>
        <v>56.22</v>
      </c>
      <c r="W214" s="6">
        <f>IF(ISERROR(VLOOKUP($T$214,'TAR FIN'!$A$1:$O$115,15,0)),0,VLOOKUP($T$214,'TAR FIN'!$A$1:$O$115,15,0))</f>
        <v>84.31</v>
      </c>
      <c r="X214" s="6">
        <f>IF(ISERROR(VLOOKUP($U$214,'TAR FIN'!$A$1:$O$115,15,0)),0,VLOOKUP($U$214,'TAR FIN'!$A$1:$O$115,15,0))</f>
        <v>270.3</v>
      </c>
      <c r="Y214" s="6">
        <f ca="1">('TUSD BE'!$AM$19+'TUSD BF'!$AM$19+'TUSD CVA'!$AM$19)*1</f>
        <v>56.308577648144677</v>
      </c>
      <c r="Z214" s="6">
        <f ca="1">('TUSD BE'!$AM$21+'TUSD BF'!$AM$21+'TUSD CVA'!$AM$21)*1</f>
        <v>113.43121292628391</v>
      </c>
      <c r="AA214" s="6">
        <f>('TE BE'!$AB$11+'TE BF'!$AB$11+'TE CVA'!$AB$11)*1</f>
        <v>362.64398683254075</v>
      </c>
      <c r="AB214" s="6">
        <f>$K$214*$V$214</f>
        <v>113451.95999999999</v>
      </c>
      <c r="AC214" s="6">
        <f>$M$214*$W$214</f>
        <v>5083.893</v>
      </c>
      <c r="AD214" s="6">
        <f>$O$214*$X$214</f>
        <v>16299.09</v>
      </c>
      <c r="AE214" s="6">
        <f ca="1">$K$214*$Y$214</f>
        <v>113630.70969395596</v>
      </c>
      <c r="AF214" s="6">
        <f ca="1">$M$214*$Z$214</f>
        <v>6839.9021394549191</v>
      </c>
      <c r="AG214" s="6">
        <f>$O$214*$AA$214</f>
        <v>21867.432406002205</v>
      </c>
    </row>
    <row r="215" spans="1:33" ht="11.25" customHeight="1" x14ac:dyDescent="0.25">
      <c r="A215" s="4" t="s">
        <v>27</v>
      </c>
      <c r="B215" s="4" t="s">
        <v>41</v>
      </c>
      <c r="C215" s="4" t="s">
        <v>42</v>
      </c>
      <c r="D215" s="4" t="s">
        <v>45</v>
      </c>
      <c r="E215" s="4" t="s">
        <v>25</v>
      </c>
      <c r="F215" s="4" t="s">
        <v>25</v>
      </c>
      <c r="G215" s="4" t="s">
        <v>25</v>
      </c>
      <c r="H215" s="4" t="s">
        <v>36</v>
      </c>
      <c r="I215" s="5">
        <v>44835</v>
      </c>
      <c r="J215" s="6">
        <v>0</v>
      </c>
      <c r="K215" s="6">
        <v>0</v>
      </c>
      <c r="L215" s="6">
        <v>-0.252</v>
      </c>
      <c r="M215" s="6">
        <v>-0.252</v>
      </c>
      <c r="N215" s="6">
        <v>-0.252</v>
      </c>
      <c r="O215" s="6">
        <v>-0.252</v>
      </c>
      <c r="P215" s="6">
        <v>0</v>
      </c>
      <c r="Q215" s="4" t="s">
        <v>26</v>
      </c>
      <c r="R215" s="4">
        <v>0</v>
      </c>
      <c r="S215" s="6">
        <v>0</v>
      </c>
      <c r="T215" s="6">
        <v>21</v>
      </c>
      <c r="U215" s="6">
        <v>74</v>
      </c>
      <c r="V215" s="6">
        <f>IF(ISERROR(VLOOKUP($S$215,'TAR FIN'!$A$1:$O$115,15,0)),0,VLOOKUP($S$215,'TAR FIN'!$A$1:$O$115,15,0))</f>
        <v>0</v>
      </c>
      <c r="W215" s="6">
        <f>IF(ISERROR(VLOOKUP($T$215,'TAR FIN'!$A$1:$O$115,15,0)),0,VLOOKUP($T$215,'TAR FIN'!$A$1:$O$115,15,0))</f>
        <v>84.31</v>
      </c>
      <c r="X215" s="6">
        <f>IF(ISERROR(VLOOKUP($U$215,'TAR FIN'!$A$1:$O$115,15,0)),0,VLOOKUP($U$215,'TAR FIN'!$A$1:$O$115,15,0))</f>
        <v>270.3</v>
      </c>
      <c r="Y215" s="6">
        <f ca="1">('TUSD BE'!$AM$19+'TUSD BF'!$AM$19+'TUSD CVA'!$AM$19)*1</f>
        <v>56.308577648144677</v>
      </c>
      <c r="Z215" s="6">
        <f ca="1">('TUSD BE'!$AM$21+'TUSD BF'!$AM$21+'TUSD CVA'!$AM$21)*1</f>
        <v>113.43121292628391</v>
      </c>
      <c r="AA215" s="6">
        <f>('TE BE'!$AB$11+'TE BF'!$AB$11+'TE CVA'!$AB$11)*1</f>
        <v>362.64398683254075</v>
      </c>
      <c r="AB215" s="6">
        <f>$K$215*$V$215</f>
        <v>0</v>
      </c>
      <c r="AC215" s="6">
        <f>$M$215*$W$215</f>
        <v>-21.246120000000001</v>
      </c>
      <c r="AD215" s="6">
        <f>$O$215*$X$215</f>
        <v>-68.115600000000001</v>
      </c>
      <c r="AE215" s="6">
        <f ca="1">$K$215*$Y$215</f>
        <v>0</v>
      </c>
      <c r="AF215" s="6">
        <f ca="1">$M$215*$Z$215</f>
        <v>-28.584665657423546</v>
      </c>
      <c r="AG215" s="6">
        <f>$O$215*$AA$215</f>
        <v>-91.386284681800262</v>
      </c>
    </row>
    <row r="216" spans="1:33" ht="11.25" customHeight="1" x14ac:dyDescent="0.25">
      <c r="A216" s="4" t="s">
        <v>28</v>
      </c>
      <c r="B216" s="4" t="s">
        <v>41</v>
      </c>
      <c r="C216" s="4" t="s">
        <v>42</v>
      </c>
      <c r="D216" s="4" t="s">
        <v>45</v>
      </c>
      <c r="E216" s="4" t="s">
        <v>25</v>
      </c>
      <c r="F216" s="4" t="s">
        <v>25</v>
      </c>
      <c r="G216" s="4" t="s">
        <v>25</v>
      </c>
      <c r="H216" s="4" t="s">
        <v>36</v>
      </c>
      <c r="I216" s="5">
        <v>44835</v>
      </c>
      <c r="J216" s="6">
        <v>40</v>
      </c>
      <c r="K216" s="6">
        <v>40</v>
      </c>
      <c r="L216" s="6">
        <v>0.86599999999999999</v>
      </c>
      <c r="M216" s="6">
        <v>0.86599999999999999</v>
      </c>
      <c r="N216" s="6">
        <v>0.86599999999999999</v>
      </c>
      <c r="O216" s="6">
        <v>0.86599999999999999</v>
      </c>
      <c r="P216" s="6">
        <v>0</v>
      </c>
      <c r="Q216" s="4" t="s">
        <v>26</v>
      </c>
      <c r="R216" s="4">
        <v>0</v>
      </c>
      <c r="S216" s="6">
        <v>19</v>
      </c>
      <c r="T216" s="6">
        <v>21</v>
      </c>
      <c r="U216" s="6">
        <v>74</v>
      </c>
      <c r="V216" s="6">
        <f>IF(ISERROR(VLOOKUP($S$216,'TAR FIN'!$A$1:$O$115,15,0)),0,VLOOKUP($S$216,'TAR FIN'!$A$1:$O$115,15,0))</f>
        <v>56.22</v>
      </c>
      <c r="W216" s="6">
        <f>IF(ISERROR(VLOOKUP($T$216,'TAR FIN'!$A$1:$O$115,15,0)),0,VLOOKUP($T$216,'TAR FIN'!$A$1:$O$115,15,0))</f>
        <v>84.31</v>
      </c>
      <c r="X216" s="6">
        <f>IF(ISERROR(VLOOKUP($U$216,'TAR FIN'!$A$1:$O$115,15,0)),0,VLOOKUP($U$216,'TAR FIN'!$A$1:$O$115,15,0))</f>
        <v>270.3</v>
      </c>
      <c r="Y216" s="6">
        <f ca="1">('TUSD BE'!$AM$19+'TUSD BF'!$AM$19+'TUSD CVA'!$AM$19)*1</f>
        <v>56.308577648144677</v>
      </c>
      <c r="Z216" s="6">
        <f ca="1">('TUSD BE'!$AM$21+'TUSD BF'!$AM$21+'TUSD CVA'!$AM$21)*1</f>
        <v>113.43121292628391</v>
      </c>
      <c r="AA216" s="6">
        <f>('TE BE'!$AB$11+'TE BF'!$AB$11+'TE CVA'!$AB$11)*1</f>
        <v>362.64398683254075</v>
      </c>
      <c r="AB216" s="6">
        <f>$K$216*$V$216</f>
        <v>2248.8000000000002</v>
      </c>
      <c r="AC216" s="6">
        <f>$M$216*$W$216</f>
        <v>73.012460000000004</v>
      </c>
      <c r="AD216" s="6">
        <f>$O$216*$X$216</f>
        <v>234.07980000000001</v>
      </c>
      <c r="AE216" s="6">
        <f ca="1">$K$216*$Y$216</f>
        <v>2252.3431059257873</v>
      </c>
      <c r="AF216" s="6">
        <f ca="1">$M$216*$Z$216</f>
        <v>98.231430394161862</v>
      </c>
      <c r="AG216" s="6">
        <f>$O$216*$AA$216</f>
        <v>314.04969259698026</v>
      </c>
    </row>
    <row r="217" spans="1:33" ht="11.25" customHeight="1" x14ac:dyDescent="0.25">
      <c r="A217" s="4" t="s">
        <v>59</v>
      </c>
      <c r="B217" s="4" t="s">
        <v>41</v>
      </c>
      <c r="C217" s="4" t="s">
        <v>42</v>
      </c>
      <c r="D217" s="4" t="s">
        <v>45</v>
      </c>
      <c r="E217" s="4" t="s">
        <v>25</v>
      </c>
      <c r="F217" s="4" t="s">
        <v>25</v>
      </c>
      <c r="G217" s="4" t="s">
        <v>25</v>
      </c>
      <c r="H217" s="4" t="s">
        <v>36</v>
      </c>
      <c r="I217" s="5">
        <v>44866</v>
      </c>
      <c r="J217" s="6">
        <v>2018</v>
      </c>
      <c r="K217" s="6">
        <v>2018</v>
      </c>
      <c r="L217" s="6">
        <v>60.3</v>
      </c>
      <c r="M217" s="6">
        <v>60.3</v>
      </c>
      <c r="N217" s="6">
        <v>60.3</v>
      </c>
      <c r="O217" s="6">
        <v>60.3</v>
      </c>
      <c r="P217" s="6">
        <v>0</v>
      </c>
      <c r="Q217" s="4" t="s">
        <v>26</v>
      </c>
      <c r="R217" s="4">
        <v>0</v>
      </c>
      <c r="S217" s="6">
        <v>19</v>
      </c>
      <c r="T217" s="6">
        <v>21</v>
      </c>
      <c r="U217" s="6">
        <v>74</v>
      </c>
      <c r="V217" s="6">
        <f>IF(ISERROR(VLOOKUP($S$217,'TAR FIN'!$A$1:$O$115,15,0)),0,VLOOKUP($S$217,'TAR FIN'!$A$1:$O$115,15,0))</f>
        <v>56.22</v>
      </c>
      <c r="W217" s="6">
        <f>IF(ISERROR(VLOOKUP($T$217,'TAR FIN'!$A$1:$O$115,15,0)),0,VLOOKUP($T$217,'TAR FIN'!$A$1:$O$115,15,0))</f>
        <v>84.31</v>
      </c>
      <c r="X217" s="6">
        <f>IF(ISERROR(VLOOKUP($U$217,'TAR FIN'!$A$1:$O$115,15,0)),0,VLOOKUP($U$217,'TAR FIN'!$A$1:$O$115,15,0))</f>
        <v>270.3</v>
      </c>
      <c r="Y217" s="6">
        <f ca="1">('TUSD BE'!$AM$19+'TUSD BF'!$AM$19+'TUSD CVA'!$AM$19)*1</f>
        <v>56.308577648144677</v>
      </c>
      <c r="Z217" s="6">
        <f ca="1">('TUSD BE'!$AM$21+'TUSD BF'!$AM$21+'TUSD CVA'!$AM$21)*1</f>
        <v>113.43121292628391</v>
      </c>
      <c r="AA217" s="6">
        <f>('TE BE'!$AB$11+'TE BF'!$AB$11+'TE CVA'!$AB$11)*1</f>
        <v>362.64398683254075</v>
      </c>
      <c r="AB217" s="6">
        <f>$K$217*$V$217</f>
        <v>113451.95999999999</v>
      </c>
      <c r="AC217" s="6">
        <f>$M$217*$W$217</f>
        <v>5083.893</v>
      </c>
      <c r="AD217" s="6">
        <f>$O$217*$X$217</f>
        <v>16299.09</v>
      </c>
      <c r="AE217" s="6">
        <f ca="1">$K$217*$Y$217</f>
        <v>113630.70969395596</v>
      </c>
      <c r="AF217" s="6">
        <f ca="1">$M$217*$Z$217</f>
        <v>6839.9021394549191</v>
      </c>
      <c r="AG217" s="6">
        <f>$O$217*$AA$217</f>
        <v>21867.432406002205</v>
      </c>
    </row>
    <row r="218" spans="1:33" ht="11.25" customHeight="1" x14ac:dyDescent="0.25">
      <c r="A218" s="4" t="s">
        <v>59</v>
      </c>
      <c r="B218" s="4" t="s">
        <v>41</v>
      </c>
      <c r="C218" s="4" t="s">
        <v>42</v>
      </c>
      <c r="D218" s="4" t="s">
        <v>45</v>
      </c>
      <c r="E218" s="4" t="s">
        <v>25</v>
      </c>
      <c r="F218" s="4" t="s">
        <v>25</v>
      </c>
      <c r="G218" s="4" t="s">
        <v>25</v>
      </c>
      <c r="H218" s="4" t="s">
        <v>36</v>
      </c>
      <c r="I218" s="5">
        <v>44866</v>
      </c>
      <c r="J218" s="6">
        <v>0</v>
      </c>
      <c r="K218" s="6">
        <v>0</v>
      </c>
      <c r="L218" s="6">
        <v>-0.252</v>
      </c>
      <c r="M218" s="6">
        <v>-0.252</v>
      </c>
      <c r="N218" s="6">
        <v>-0.252</v>
      </c>
      <c r="O218" s="6">
        <v>-0.252</v>
      </c>
      <c r="P218" s="6">
        <v>0</v>
      </c>
      <c r="Q218" s="4" t="s">
        <v>26</v>
      </c>
      <c r="R218" s="4">
        <v>0</v>
      </c>
      <c r="S218" s="6">
        <v>0</v>
      </c>
      <c r="T218" s="6">
        <v>21</v>
      </c>
      <c r="U218" s="6">
        <v>74</v>
      </c>
      <c r="V218" s="6">
        <f>IF(ISERROR(VLOOKUP($S$218,'TAR FIN'!$A$1:$O$115,15,0)),0,VLOOKUP($S$218,'TAR FIN'!$A$1:$O$115,15,0))</f>
        <v>0</v>
      </c>
      <c r="W218" s="6">
        <f>IF(ISERROR(VLOOKUP($T$218,'TAR FIN'!$A$1:$O$115,15,0)),0,VLOOKUP($T$218,'TAR FIN'!$A$1:$O$115,15,0))</f>
        <v>84.31</v>
      </c>
      <c r="X218" s="6">
        <f>IF(ISERROR(VLOOKUP($U$218,'TAR FIN'!$A$1:$O$115,15,0)),0,VLOOKUP($U$218,'TAR FIN'!$A$1:$O$115,15,0))</f>
        <v>270.3</v>
      </c>
      <c r="Y218" s="6">
        <f ca="1">('TUSD BE'!$AM$19+'TUSD BF'!$AM$19+'TUSD CVA'!$AM$19)*1</f>
        <v>56.308577648144677</v>
      </c>
      <c r="Z218" s="6">
        <f ca="1">('TUSD BE'!$AM$21+'TUSD BF'!$AM$21+'TUSD CVA'!$AM$21)*1</f>
        <v>113.43121292628391</v>
      </c>
      <c r="AA218" s="6">
        <f>('TE BE'!$AB$11+'TE BF'!$AB$11+'TE CVA'!$AB$11)*1</f>
        <v>362.64398683254075</v>
      </c>
      <c r="AB218" s="6">
        <f>$K$218*$V$218</f>
        <v>0</v>
      </c>
      <c r="AC218" s="6">
        <f>$M$218*$W$218</f>
        <v>-21.246120000000001</v>
      </c>
      <c r="AD218" s="6">
        <f>$O$218*$X$218</f>
        <v>-68.115600000000001</v>
      </c>
      <c r="AE218" s="6">
        <f ca="1">$K$218*$Y$218</f>
        <v>0</v>
      </c>
      <c r="AF218" s="6">
        <f ca="1">$M$218*$Z$218</f>
        <v>-28.584665657423546</v>
      </c>
      <c r="AG218" s="6">
        <f>$O$218*$AA$218</f>
        <v>-91.386284681800262</v>
      </c>
    </row>
    <row r="219" spans="1:33" ht="11.25" customHeight="1" x14ac:dyDescent="0.25">
      <c r="A219" s="4" t="s">
        <v>59</v>
      </c>
      <c r="B219" s="4" t="s">
        <v>41</v>
      </c>
      <c r="C219" s="4" t="s">
        <v>42</v>
      </c>
      <c r="D219" s="4" t="s">
        <v>45</v>
      </c>
      <c r="E219" s="4" t="s">
        <v>25</v>
      </c>
      <c r="F219" s="4" t="s">
        <v>25</v>
      </c>
      <c r="G219" s="4" t="s">
        <v>25</v>
      </c>
      <c r="H219" s="4" t="s">
        <v>36</v>
      </c>
      <c r="I219" s="5">
        <v>44866</v>
      </c>
      <c r="J219" s="6">
        <v>40</v>
      </c>
      <c r="K219" s="6">
        <v>40</v>
      </c>
      <c r="L219" s="6">
        <v>0.86599999999999999</v>
      </c>
      <c r="M219" s="6">
        <v>0.86599999999999999</v>
      </c>
      <c r="N219" s="6">
        <v>0.86599999999999999</v>
      </c>
      <c r="O219" s="6">
        <v>0.86599999999999999</v>
      </c>
      <c r="P219" s="6">
        <v>0</v>
      </c>
      <c r="Q219" s="4" t="s">
        <v>26</v>
      </c>
      <c r="R219" s="4">
        <v>0</v>
      </c>
      <c r="S219" s="6">
        <v>19</v>
      </c>
      <c r="T219" s="6">
        <v>21</v>
      </c>
      <c r="U219" s="6">
        <v>74</v>
      </c>
      <c r="V219" s="6">
        <f>IF(ISERROR(VLOOKUP($S$219,'TAR FIN'!$A$1:$O$115,15,0)),0,VLOOKUP($S$219,'TAR FIN'!$A$1:$O$115,15,0))</f>
        <v>56.22</v>
      </c>
      <c r="W219" s="6">
        <f>IF(ISERROR(VLOOKUP($T$219,'TAR FIN'!$A$1:$O$115,15,0)),0,VLOOKUP($T$219,'TAR FIN'!$A$1:$O$115,15,0))</f>
        <v>84.31</v>
      </c>
      <c r="X219" s="6">
        <f>IF(ISERROR(VLOOKUP($U$219,'TAR FIN'!$A$1:$O$115,15,0)),0,VLOOKUP($U$219,'TAR FIN'!$A$1:$O$115,15,0))</f>
        <v>270.3</v>
      </c>
      <c r="Y219" s="6">
        <f ca="1">('TUSD BE'!$AM$19+'TUSD BF'!$AM$19+'TUSD CVA'!$AM$19)*1</f>
        <v>56.308577648144677</v>
      </c>
      <c r="Z219" s="6">
        <f ca="1">('TUSD BE'!$AM$21+'TUSD BF'!$AM$21+'TUSD CVA'!$AM$21)*1</f>
        <v>113.43121292628391</v>
      </c>
      <c r="AA219" s="6">
        <f>('TE BE'!$AB$11+'TE BF'!$AB$11+'TE CVA'!$AB$11)*1</f>
        <v>362.64398683254075</v>
      </c>
      <c r="AB219" s="6">
        <f>$K$219*$V$219</f>
        <v>2248.8000000000002</v>
      </c>
      <c r="AC219" s="6">
        <f>$M$219*$W$219</f>
        <v>73.012460000000004</v>
      </c>
      <c r="AD219" s="6">
        <f>$O$219*$X$219</f>
        <v>234.07980000000001</v>
      </c>
      <c r="AE219" s="6">
        <f ca="1">$K$219*$Y$219</f>
        <v>2252.3431059257873</v>
      </c>
      <c r="AF219" s="6">
        <f ca="1">$M$219*$Z$219</f>
        <v>98.231430394161862</v>
      </c>
      <c r="AG219" s="6">
        <f>$O$219*$AA$219</f>
        <v>314.04969259698026</v>
      </c>
    </row>
    <row r="220" spans="1:33" ht="11.25" customHeight="1" x14ac:dyDescent="0.25">
      <c r="A220" s="4" t="s">
        <v>21</v>
      </c>
      <c r="B220" s="4" t="s">
        <v>41</v>
      </c>
      <c r="C220" s="4" t="s">
        <v>42</v>
      </c>
      <c r="D220" s="4" t="s">
        <v>40</v>
      </c>
      <c r="E220" s="4" t="s">
        <v>25</v>
      </c>
      <c r="F220" s="4" t="s">
        <v>60</v>
      </c>
      <c r="G220" s="4" t="s">
        <v>25</v>
      </c>
      <c r="H220" s="4" t="s">
        <v>37</v>
      </c>
      <c r="I220" s="5">
        <v>44531</v>
      </c>
      <c r="J220" s="6">
        <v>4858</v>
      </c>
      <c r="K220" s="6">
        <v>2164.7248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4" t="s">
        <v>61</v>
      </c>
      <c r="R220" s="4">
        <v>0</v>
      </c>
      <c r="S220" s="6">
        <v>20</v>
      </c>
      <c r="T220" s="6">
        <v>0</v>
      </c>
      <c r="U220" s="6">
        <v>0</v>
      </c>
      <c r="V220" s="6">
        <f>IF(ISERROR(VLOOKUP($S$220,'TAR FIN'!$A$1:$O$115,15,0)),0,VLOOKUP($S$220,'TAR FIN'!$A$1:$O$115,15,0))</f>
        <v>19.8</v>
      </c>
      <c r="W220" s="6">
        <f>IF(ISERROR(VLOOKUP($T$220,'TAR FIN'!$A$1:$O$115,15,0)),0,VLOOKUP($T$220,'TAR FIN'!$A$1:$O$115,15,0))</f>
        <v>0</v>
      </c>
      <c r="X220" s="6">
        <f>IF(ISERROR(VLOOKUP($U$220,'TAR FIN'!$A$1:$O$115,15,0)),0,VLOOKUP($U$220,'TAR FIN'!$A$1:$O$115,15,0))</f>
        <v>0</v>
      </c>
      <c r="Y220" s="6">
        <f ca="1">('TUSD BE'!$AM$20+'TUSD BF'!$AM$20+'TUSD CVA'!$AM$20)*1</f>
        <v>20.615214330225772</v>
      </c>
      <c r="Z220" s="6">
        <f ca="1">('TUSD BE'!$AM$21+'TUSD BF'!$AM$21+'TUSD CVA'!$AM$21)*1</f>
        <v>113.43121292628391</v>
      </c>
      <c r="AA220" s="6"/>
      <c r="AB220" s="6">
        <f>$K$220*$V$220</f>
        <v>42861.551039999998</v>
      </c>
      <c r="AC220" s="6">
        <f>$M$220*$W$220</f>
        <v>0</v>
      </c>
      <c r="AD220" s="6">
        <f>$O$220*$X$220</f>
        <v>0</v>
      </c>
      <c r="AE220" s="6">
        <f ca="1">$K$220*$Y$220</f>
        <v>44626.265717955117</v>
      </c>
      <c r="AF220" s="6">
        <f ca="1">$M$220*$Z$220</f>
        <v>0</v>
      </c>
      <c r="AG220" s="6">
        <f>$O$220*$AA$220</f>
        <v>0</v>
      </c>
    </row>
    <row r="221" spans="1:33" ht="11.25" customHeight="1" x14ac:dyDescent="0.25">
      <c r="A221" s="4" t="s">
        <v>21</v>
      </c>
      <c r="B221" s="4" t="s">
        <v>41</v>
      </c>
      <c r="C221" s="4" t="s">
        <v>42</v>
      </c>
      <c r="D221" s="4" t="s">
        <v>40</v>
      </c>
      <c r="E221" s="4" t="s">
        <v>25</v>
      </c>
      <c r="F221" s="4" t="s">
        <v>60</v>
      </c>
      <c r="G221" s="4" t="s">
        <v>25</v>
      </c>
      <c r="H221" s="4" t="s">
        <v>37</v>
      </c>
      <c r="I221" s="5">
        <v>44562</v>
      </c>
      <c r="J221" s="6">
        <v>4864</v>
      </c>
      <c r="K221" s="6">
        <v>2281.7024000000001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4" t="s">
        <v>61</v>
      </c>
      <c r="R221" s="4">
        <v>0</v>
      </c>
      <c r="S221" s="6">
        <v>20</v>
      </c>
      <c r="T221" s="6">
        <v>0</v>
      </c>
      <c r="U221" s="6">
        <v>0</v>
      </c>
      <c r="V221" s="6">
        <f>IF(ISERROR(VLOOKUP($S$221,'TAR FIN'!$A$1:$O$115,15,0)),0,VLOOKUP($S$221,'TAR FIN'!$A$1:$O$115,15,0))</f>
        <v>19.8</v>
      </c>
      <c r="W221" s="6">
        <f>IF(ISERROR(VLOOKUP($T$221,'TAR FIN'!$A$1:$O$115,15,0)),0,VLOOKUP($T$221,'TAR FIN'!$A$1:$O$115,15,0))</f>
        <v>0</v>
      </c>
      <c r="X221" s="6">
        <f>IF(ISERROR(VLOOKUP($U$221,'TAR FIN'!$A$1:$O$115,15,0)),0,VLOOKUP($U$221,'TAR FIN'!$A$1:$O$115,15,0))</f>
        <v>0</v>
      </c>
      <c r="Y221" s="6">
        <f ca="1">('TUSD BE'!$AM$20+'TUSD BF'!$AM$20+'TUSD CVA'!$AM$20)*1</f>
        <v>20.615214330225772</v>
      </c>
      <c r="Z221" s="6">
        <f ca="1">('TUSD BE'!$AM$21+'TUSD BF'!$AM$21+'TUSD CVA'!$AM$21)*1</f>
        <v>113.43121292628391</v>
      </c>
      <c r="AA221" s="6"/>
      <c r="AB221" s="6">
        <f>$K$221*$V$221</f>
        <v>45177.707520000004</v>
      </c>
      <c r="AC221" s="6">
        <f>$M$221*$W$221</f>
        <v>0</v>
      </c>
      <c r="AD221" s="6">
        <f>$O$221*$X$221</f>
        <v>0</v>
      </c>
      <c r="AE221" s="6">
        <f ca="1">$K$221*$Y$221</f>
        <v>47037.784013790537</v>
      </c>
      <c r="AF221" s="6">
        <f ca="1">$M$221*$Z$221</f>
        <v>0</v>
      </c>
      <c r="AG221" s="6">
        <f>$O$221*$AA$221</f>
        <v>0</v>
      </c>
    </row>
    <row r="222" spans="1:33" ht="11.25" customHeight="1" x14ac:dyDescent="0.25">
      <c r="A222" s="4" t="s">
        <v>21</v>
      </c>
      <c r="B222" s="4" t="s">
        <v>41</v>
      </c>
      <c r="C222" s="4" t="s">
        <v>42</v>
      </c>
      <c r="D222" s="4" t="s">
        <v>40</v>
      </c>
      <c r="E222" s="4" t="s">
        <v>25</v>
      </c>
      <c r="F222" s="4" t="s">
        <v>60</v>
      </c>
      <c r="G222" s="4" t="s">
        <v>25</v>
      </c>
      <c r="H222" s="4" t="s">
        <v>37</v>
      </c>
      <c r="I222" s="5">
        <v>44593</v>
      </c>
      <c r="J222" s="6">
        <v>4856</v>
      </c>
      <c r="K222" s="6">
        <v>2446.4528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4" t="s">
        <v>61</v>
      </c>
      <c r="R222" s="4">
        <v>0</v>
      </c>
      <c r="S222" s="6">
        <v>20</v>
      </c>
      <c r="T222" s="6">
        <v>0</v>
      </c>
      <c r="U222" s="6">
        <v>0</v>
      </c>
      <c r="V222" s="6">
        <f>IF(ISERROR(VLOOKUP($S$222,'TAR FIN'!$A$1:$O$115,15,0)),0,VLOOKUP($S$222,'TAR FIN'!$A$1:$O$115,15,0))</f>
        <v>19.8</v>
      </c>
      <c r="W222" s="6">
        <f>IF(ISERROR(VLOOKUP($T$222,'TAR FIN'!$A$1:$O$115,15,0)),0,VLOOKUP($T$222,'TAR FIN'!$A$1:$O$115,15,0))</f>
        <v>0</v>
      </c>
      <c r="X222" s="6">
        <f>IF(ISERROR(VLOOKUP($U$222,'TAR FIN'!$A$1:$O$115,15,0)),0,VLOOKUP($U$222,'TAR FIN'!$A$1:$O$115,15,0))</f>
        <v>0</v>
      </c>
      <c r="Y222" s="6">
        <f ca="1">('TUSD BE'!$AM$20+'TUSD BF'!$AM$20+'TUSD CVA'!$AM$20)*1</f>
        <v>20.615214330225772</v>
      </c>
      <c r="Z222" s="6">
        <f ca="1">('TUSD BE'!$AM$21+'TUSD BF'!$AM$21+'TUSD CVA'!$AM$21)*1</f>
        <v>113.43121292628391</v>
      </c>
      <c r="AA222" s="6"/>
      <c r="AB222" s="6">
        <f>$K$222*$V$222</f>
        <v>48439.765440000003</v>
      </c>
      <c r="AC222" s="6">
        <f>$M$222*$W$222</f>
        <v>0</v>
      </c>
      <c r="AD222" s="6">
        <f>$O$222*$X$222</f>
        <v>0</v>
      </c>
      <c r="AE222" s="6">
        <f ca="1">$K$222*$Y$222</f>
        <v>50434.148820780967</v>
      </c>
      <c r="AF222" s="6">
        <f ca="1">$M$222*$Z$222</f>
        <v>0</v>
      </c>
      <c r="AG222" s="6">
        <f>$O$222*$AA$222</f>
        <v>0</v>
      </c>
    </row>
    <row r="223" spans="1:33" ht="11.25" customHeight="1" x14ac:dyDescent="0.25">
      <c r="A223" s="4" t="s">
        <v>21</v>
      </c>
      <c r="B223" s="4" t="s">
        <v>41</v>
      </c>
      <c r="C223" s="4" t="s">
        <v>42</v>
      </c>
      <c r="D223" s="4" t="s">
        <v>40</v>
      </c>
      <c r="E223" s="4" t="s">
        <v>25</v>
      </c>
      <c r="F223" s="4" t="s">
        <v>60</v>
      </c>
      <c r="G223" s="4" t="s">
        <v>25</v>
      </c>
      <c r="H223" s="4" t="s">
        <v>37</v>
      </c>
      <c r="I223" s="5">
        <v>44621</v>
      </c>
      <c r="J223" s="6">
        <v>4846</v>
      </c>
      <c r="K223" s="6">
        <v>2428.3305999999998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4" t="s">
        <v>61</v>
      </c>
      <c r="R223" s="4">
        <v>0</v>
      </c>
      <c r="S223" s="6">
        <v>20</v>
      </c>
      <c r="T223" s="6">
        <v>0</v>
      </c>
      <c r="U223" s="6">
        <v>0</v>
      </c>
      <c r="V223" s="6">
        <f>IF(ISERROR(VLOOKUP($S$223,'TAR FIN'!$A$1:$O$115,15,0)),0,VLOOKUP($S$223,'TAR FIN'!$A$1:$O$115,15,0))</f>
        <v>19.8</v>
      </c>
      <c r="W223" s="6">
        <f>IF(ISERROR(VLOOKUP($T$223,'TAR FIN'!$A$1:$O$115,15,0)),0,VLOOKUP($T$223,'TAR FIN'!$A$1:$O$115,15,0))</f>
        <v>0</v>
      </c>
      <c r="X223" s="6">
        <f>IF(ISERROR(VLOOKUP($U$223,'TAR FIN'!$A$1:$O$115,15,0)),0,VLOOKUP($U$223,'TAR FIN'!$A$1:$O$115,15,0))</f>
        <v>0</v>
      </c>
      <c r="Y223" s="6">
        <f ca="1">('TUSD BE'!$AM$20+'TUSD BF'!$AM$20+'TUSD CVA'!$AM$20)*1</f>
        <v>20.615214330225772</v>
      </c>
      <c r="Z223" s="6">
        <f ca="1">('TUSD BE'!$AM$21+'TUSD BF'!$AM$21+'TUSD CVA'!$AM$21)*1</f>
        <v>113.43121292628391</v>
      </c>
      <c r="AA223" s="6"/>
      <c r="AB223" s="6">
        <f>$K$223*$V$223</f>
        <v>48080.945879999999</v>
      </c>
      <c r="AC223" s="6">
        <f>$M$223*$W$223</f>
        <v>0</v>
      </c>
      <c r="AD223" s="6">
        <f>$O$223*$X$223</f>
        <v>0</v>
      </c>
      <c r="AE223" s="6">
        <f ca="1">$K$223*$Y$223</f>
        <v>50060.555783645745</v>
      </c>
      <c r="AF223" s="6">
        <f ca="1">$M$223*$Z$223</f>
        <v>0</v>
      </c>
      <c r="AG223" s="6">
        <f>$O$223*$AA$223</f>
        <v>0</v>
      </c>
    </row>
    <row r="224" spans="1:33" ht="11.25" customHeight="1" x14ac:dyDescent="0.25">
      <c r="A224" s="4" t="s">
        <v>21</v>
      </c>
      <c r="B224" s="4" t="s">
        <v>41</v>
      </c>
      <c r="C224" s="4" t="s">
        <v>42</v>
      </c>
      <c r="D224" s="4" t="s">
        <v>40</v>
      </c>
      <c r="E224" s="4" t="s">
        <v>25</v>
      </c>
      <c r="F224" s="4" t="s">
        <v>60</v>
      </c>
      <c r="G224" s="4" t="s">
        <v>25</v>
      </c>
      <c r="H224" s="4" t="s">
        <v>37</v>
      </c>
      <c r="I224" s="5">
        <v>44652</v>
      </c>
      <c r="J224" s="6">
        <v>4846</v>
      </c>
      <c r="K224" s="6">
        <v>2429.7844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4" t="s">
        <v>61</v>
      </c>
      <c r="R224" s="4">
        <v>0</v>
      </c>
      <c r="S224" s="6">
        <v>20</v>
      </c>
      <c r="T224" s="6">
        <v>0</v>
      </c>
      <c r="U224" s="6">
        <v>0</v>
      </c>
      <c r="V224" s="6">
        <f>IF(ISERROR(VLOOKUP($S$224,'TAR FIN'!$A$1:$O$115,15,0)),0,VLOOKUP($S$224,'TAR FIN'!$A$1:$O$115,15,0))</f>
        <v>19.8</v>
      </c>
      <c r="W224" s="6">
        <f>IF(ISERROR(VLOOKUP($T$224,'TAR FIN'!$A$1:$O$115,15,0)),0,VLOOKUP($T$224,'TAR FIN'!$A$1:$O$115,15,0))</f>
        <v>0</v>
      </c>
      <c r="X224" s="6">
        <f>IF(ISERROR(VLOOKUP($U$224,'TAR FIN'!$A$1:$O$115,15,0)),0,VLOOKUP($U$224,'TAR FIN'!$A$1:$O$115,15,0))</f>
        <v>0</v>
      </c>
      <c r="Y224" s="6">
        <f ca="1">('TUSD BE'!$AM$20+'TUSD BF'!$AM$20+'TUSD CVA'!$AM$20)*1</f>
        <v>20.615214330225772</v>
      </c>
      <c r="Z224" s="6">
        <f ca="1">('TUSD BE'!$AM$21+'TUSD BF'!$AM$21+'TUSD CVA'!$AM$21)*1</f>
        <v>113.43121292628391</v>
      </c>
      <c r="AA224" s="6"/>
      <c r="AB224" s="6">
        <f>$K$224*$V$224</f>
        <v>48109.731120000004</v>
      </c>
      <c r="AC224" s="6">
        <f>$M$224*$W$224</f>
        <v>0</v>
      </c>
      <c r="AD224" s="6">
        <f>$O$224*$X$224</f>
        <v>0</v>
      </c>
      <c r="AE224" s="6">
        <f ca="1">$K$224*$Y$224</f>
        <v>50090.526182239031</v>
      </c>
      <c r="AF224" s="6">
        <f ca="1">$M$224*$Z$224</f>
        <v>0</v>
      </c>
      <c r="AG224" s="6">
        <f>$O$224*$AA$224</f>
        <v>0</v>
      </c>
    </row>
    <row r="225" spans="1:33" ht="11.25" customHeight="1" x14ac:dyDescent="0.25">
      <c r="A225" s="4" t="s">
        <v>21</v>
      </c>
      <c r="B225" s="4" t="s">
        <v>41</v>
      </c>
      <c r="C225" s="4" t="s">
        <v>42</v>
      </c>
      <c r="D225" s="4" t="s">
        <v>40</v>
      </c>
      <c r="E225" s="4" t="s">
        <v>25</v>
      </c>
      <c r="F225" s="4" t="s">
        <v>60</v>
      </c>
      <c r="G225" s="4" t="s">
        <v>25</v>
      </c>
      <c r="H225" s="4" t="s">
        <v>37</v>
      </c>
      <c r="I225" s="5">
        <v>44682</v>
      </c>
      <c r="J225" s="6">
        <v>4856</v>
      </c>
      <c r="K225" s="6">
        <v>2432.3703999999998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4" t="s">
        <v>61</v>
      </c>
      <c r="R225" s="4">
        <v>0</v>
      </c>
      <c r="S225" s="6">
        <v>20</v>
      </c>
      <c r="T225" s="6">
        <v>0</v>
      </c>
      <c r="U225" s="6">
        <v>0</v>
      </c>
      <c r="V225" s="6">
        <f>IF(ISERROR(VLOOKUP($S$225,'TAR FIN'!$A$1:$O$115,15,0)),0,VLOOKUP($S$225,'TAR FIN'!$A$1:$O$115,15,0))</f>
        <v>19.8</v>
      </c>
      <c r="W225" s="6">
        <f>IF(ISERROR(VLOOKUP($T$225,'TAR FIN'!$A$1:$O$115,15,0)),0,VLOOKUP($T$225,'TAR FIN'!$A$1:$O$115,15,0))</f>
        <v>0</v>
      </c>
      <c r="X225" s="6">
        <f>IF(ISERROR(VLOOKUP($U$225,'TAR FIN'!$A$1:$O$115,15,0)),0,VLOOKUP($U$225,'TAR FIN'!$A$1:$O$115,15,0))</f>
        <v>0</v>
      </c>
      <c r="Y225" s="6">
        <f ca="1">('TUSD BE'!$AM$20+'TUSD BF'!$AM$20+'TUSD CVA'!$AM$20)*1</f>
        <v>20.615214330225772</v>
      </c>
      <c r="Z225" s="6">
        <f ca="1">('TUSD BE'!$AM$21+'TUSD BF'!$AM$21+'TUSD CVA'!$AM$21)*1</f>
        <v>113.43121292628391</v>
      </c>
      <c r="AA225" s="6"/>
      <c r="AB225" s="6">
        <f>$K$225*$V$225</f>
        <v>48160.933919999996</v>
      </c>
      <c r="AC225" s="6">
        <f>$M$225*$W$225</f>
        <v>0</v>
      </c>
      <c r="AD225" s="6">
        <f>$O$225*$X$225</f>
        <v>0</v>
      </c>
      <c r="AE225" s="6">
        <f ca="1">$K$225*$Y$225</f>
        <v>50143.83712649699</v>
      </c>
      <c r="AF225" s="6">
        <f ca="1">$M$225*$Z$225</f>
        <v>0</v>
      </c>
      <c r="AG225" s="6">
        <f>$O$225*$AA$225</f>
        <v>0</v>
      </c>
    </row>
    <row r="226" spans="1:33" ht="11.25" customHeight="1" x14ac:dyDescent="0.25">
      <c r="A226" s="4" t="s">
        <v>21</v>
      </c>
      <c r="B226" s="4" t="s">
        <v>41</v>
      </c>
      <c r="C226" s="4" t="s">
        <v>42</v>
      </c>
      <c r="D226" s="4" t="s">
        <v>40</v>
      </c>
      <c r="E226" s="4" t="s">
        <v>25</v>
      </c>
      <c r="F226" s="4" t="s">
        <v>60</v>
      </c>
      <c r="G226" s="4" t="s">
        <v>25</v>
      </c>
      <c r="H226" s="4" t="s">
        <v>37</v>
      </c>
      <c r="I226" s="5">
        <v>44713</v>
      </c>
      <c r="J226" s="6">
        <v>4853</v>
      </c>
      <c r="K226" s="6">
        <v>2429.4117999999999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4" t="s">
        <v>61</v>
      </c>
      <c r="R226" s="4">
        <v>0</v>
      </c>
      <c r="S226" s="6">
        <v>20</v>
      </c>
      <c r="T226" s="6">
        <v>0</v>
      </c>
      <c r="U226" s="6">
        <v>0</v>
      </c>
      <c r="V226" s="6">
        <f>IF(ISERROR(VLOOKUP($S$226,'TAR FIN'!$A$1:$O$115,15,0)),0,VLOOKUP($S$226,'TAR FIN'!$A$1:$O$115,15,0))</f>
        <v>19.8</v>
      </c>
      <c r="W226" s="6">
        <f>IF(ISERROR(VLOOKUP($T$226,'TAR FIN'!$A$1:$O$115,15,0)),0,VLOOKUP($T$226,'TAR FIN'!$A$1:$O$115,15,0))</f>
        <v>0</v>
      </c>
      <c r="X226" s="6">
        <f>IF(ISERROR(VLOOKUP($U$226,'TAR FIN'!$A$1:$O$115,15,0)),0,VLOOKUP($U$226,'TAR FIN'!$A$1:$O$115,15,0))</f>
        <v>0</v>
      </c>
      <c r="Y226" s="6">
        <f ca="1">('TUSD BE'!$AM$20+'TUSD BF'!$AM$20+'TUSD CVA'!$AM$20)*1</f>
        <v>20.615214330225772</v>
      </c>
      <c r="Z226" s="6">
        <f ca="1">('TUSD BE'!$AM$21+'TUSD BF'!$AM$21+'TUSD CVA'!$AM$21)*1</f>
        <v>113.43121292628391</v>
      </c>
      <c r="AA226" s="6"/>
      <c r="AB226" s="6">
        <f>$K$226*$V$226</f>
        <v>48102.353640000001</v>
      </c>
      <c r="AC226" s="6">
        <f>$M$226*$W$226</f>
        <v>0</v>
      </c>
      <c r="AD226" s="6">
        <f>$O$226*$X$226</f>
        <v>0</v>
      </c>
      <c r="AE226" s="6">
        <f ca="1">$K$226*$Y$226</f>
        <v>50082.844953379587</v>
      </c>
      <c r="AF226" s="6">
        <f ca="1">$M$226*$Z$226</f>
        <v>0</v>
      </c>
      <c r="AG226" s="6">
        <f>$O$226*$AA$226</f>
        <v>0</v>
      </c>
    </row>
    <row r="227" spans="1:33" ht="11.25" customHeight="1" x14ac:dyDescent="0.25">
      <c r="A227" s="4" t="s">
        <v>21</v>
      </c>
      <c r="B227" s="4" t="s">
        <v>41</v>
      </c>
      <c r="C227" s="4" t="s">
        <v>42</v>
      </c>
      <c r="D227" s="4" t="s">
        <v>40</v>
      </c>
      <c r="E227" s="4" t="s">
        <v>25</v>
      </c>
      <c r="F227" s="4" t="s">
        <v>60</v>
      </c>
      <c r="G227" s="4" t="s">
        <v>25</v>
      </c>
      <c r="H227" s="4" t="s">
        <v>37</v>
      </c>
      <c r="I227" s="5">
        <v>44743</v>
      </c>
      <c r="J227" s="6">
        <v>4864</v>
      </c>
      <c r="K227" s="6">
        <v>2440.7552000000001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4" t="s">
        <v>61</v>
      </c>
      <c r="R227" s="4">
        <v>0</v>
      </c>
      <c r="S227" s="6">
        <v>20</v>
      </c>
      <c r="T227" s="6">
        <v>0</v>
      </c>
      <c r="U227" s="6">
        <v>0</v>
      </c>
      <c r="V227" s="6">
        <f>IF(ISERROR(VLOOKUP($S$227,'TAR FIN'!$A$1:$O$115,15,0)),0,VLOOKUP($S$227,'TAR FIN'!$A$1:$O$115,15,0))</f>
        <v>19.8</v>
      </c>
      <c r="W227" s="6">
        <f>IF(ISERROR(VLOOKUP($T$227,'TAR FIN'!$A$1:$O$115,15,0)),0,VLOOKUP($T$227,'TAR FIN'!$A$1:$O$115,15,0))</f>
        <v>0</v>
      </c>
      <c r="X227" s="6">
        <f>IF(ISERROR(VLOOKUP($U$227,'TAR FIN'!$A$1:$O$115,15,0)),0,VLOOKUP($U$227,'TAR FIN'!$A$1:$O$115,15,0))</f>
        <v>0</v>
      </c>
      <c r="Y227" s="6">
        <f ca="1">('TUSD BE'!$AM$20+'TUSD BF'!$AM$20+'TUSD CVA'!$AM$20)*1</f>
        <v>20.615214330225772</v>
      </c>
      <c r="Z227" s="6">
        <f ca="1">('TUSD BE'!$AM$21+'TUSD BF'!$AM$21+'TUSD CVA'!$AM$21)*1</f>
        <v>113.43121292628391</v>
      </c>
      <c r="AA227" s="6"/>
      <c r="AB227" s="6">
        <f>$K$227*$V$227</f>
        <v>48326.952960000002</v>
      </c>
      <c r="AC227" s="6">
        <f>$M$227*$W$227</f>
        <v>0</v>
      </c>
      <c r="AD227" s="6">
        <f>$O$227*$X$227</f>
        <v>0</v>
      </c>
      <c r="AE227" s="6">
        <f ca="1">$K$227*$Y$227</f>
        <v>50316.691575613069</v>
      </c>
      <c r="AF227" s="6">
        <f ca="1">$M$227*$Z$227</f>
        <v>0</v>
      </c>
      <c r="AG227" s="6">
        <f>$O$227*$AA$227</f>
        <v>0</v>
      </c>
    </row>
    <row r="228" spans="1:33" ht="11.25" customHeight="1" x14ac:dyDescent="0.25">
      <c r="A228" s="4" t="s">
        <v>21</v>
      </c>
      <c r="B228" s="4" t="s">
        <v>41</v>
      </c>
      <c r="C228" s="4" t="s">
        <v>42</v>
      </c>
      <c r="D228" s="4" t="s">
        <v>40</v>
      </c>
      <c r="E228" s="4" t="s">
        <v>25</v>
      </c>
      <c r="F228" s="4" t="s">
        <v>60</v>
      </c>
      <c r="G228" s="4" t="s">
        <v>25</v>
      </c>
      <c r="H228" s="4" t="s">
        <v>37</v>
      </c>
      <c r="I228" s="5">
        <v>44774</v>
      </c>
      <c r="J228" s="6">
        <v>4868</v>
      </c>
      <c r="K228" s="6">
        <v>2436.4340000000002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4" t="s">
        <v>61</v>
      </c>
      <c r="R228" s="4">
        <v>0</v>
      </c>
      <c r="S228" s="6">
        <v>20</v>
      </c>
      <c r="T228" s="6">
        <v>0</v>
      </c>
      <c r="U228" s="6">
        <v>0</v>
      </c>
      <c r="V228" s="6">
        <f>IF(ISERROR(VLOOKUP($S$228,'TAR FIN'!$A$1:$O$115,15,0)),0,VLOOKUP($S$228,'TAR FIN'!$A$1:$O$115,15,0))</f>
        <v>19.8</v>
      </c>
      <c r="W228" s="6">
        <f>IF(ISERROR(VLOOKUP($T$228,'TAR FIN'!$A$1:$O$115,15,0)),0,VLOOKUP($T$228,'TAR FIN'!$A$1:$O$115,15,0))</f>
        <v>0</v>
      </c>
      <c r="X228" s="6">
        <f>IF(ISERROR(VLOOKUP($U$228,'TAR FIN'!$A$1:$O$115,15,0)),0,VLOOKUP($U$228,'TAR FIN'!$A$1:$O$115,15,0))</f>
        <v>0</v>
      </c>
      <c r="Y228" s="6">
        <f ca="1">('TUSD BE'!$AM$20+'TUSD BF'!$AM$20+'TUSD CVA'!$AM$20)*1</f>
        <v>20.615214330225772</v>
      </c>
      <c r="Z228" s="6">
        <f ca="1">('TUSD BE'!$AM$21+'TUSD BF'!$AM$21+'TUSD CVA'!$AM$21)*1</f>
        <v>113.43121292628391</v>
      </c>
      <c r="AA228" s="6"/>
      <c r="AB228" s="6">
        <f>$K$228*$V$228</f>
        <v>48241.393200000006</v>
      </c>
      <c r="AC228" s="6">
        <f>$M$228*$W$228</f>
        <v>0</v>
      </c>
      <c r="AD228" s="6">
        <f>$O$228*$X$228</f>
        <v>0</v>
      </c>
      <c r="AE228" s="6">
        <f ca="1">$K$228*$Y$228</f>
        <v>50227.609111449303</v>
      </c>
      <c r="AF228" s="6">
        <f ca="1">$M$228*$Z$228</f>
        <v>0</v>
      </c>
      <c r="AG228" s="6">
        <f>$O$228*$AA$228</f>
        <v>0</v>
      </c>
    </row>
    <row r="229" spans="1:33" ht="11.25" customHeight="1" x14ac:dyDescent="0.25">
      <c r="A229" s="4" t="s">
        <v>21</v>
      </c>
      <c r="B229" s="4" t="s">
        <v>41</v>
      </c>
      <c r="C229" s="4" t="s">
        <v>42</v>
      </c>
      <c r="D229" s="4" t="s">
        <v>40</v>
      </c>
      <c r="E229" s="4" t="s">
        <v>25</v>
      </c>
      <c r="F229" s="4" t="s">
        <v>60</v>
      </c>
      <c r="G229" s="4" t="s">
        <v>25</v>
      </c>
      <c r="H229" s="4" t="s">
        <v>37</v>
      </c>
      <c r="I229" s="5">
        <v>44805</v>
      </c>
      <c r="J229" s="6">
        <v>4901</v>
      </c>
      <c r="K229" s="6">
        <v>2451.9703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4" t="s">
        <v>61</v>
      </c>
      <c r="R229" s="4">
        <v>0</v>
      </c>
      <c r="S229" s="6">
        <v>20</v>
      </c>
      <c r="T229" s="6">
        <v>0</v>
      </c>
      <c r="U229" s="6">
        <v>0</v>
      </c>
      <c r="V229" s="6">
        <f>IF(ISERROR(VLOOKUP($S$229,'TAR FIN'!$A$1:$O$115,15,0)),0,VLOOKUP($S$229,'TAR FIN'!$A$1:$O$115,15,0))</f>
        <v>19.8</v>
      </c>
      <c r="W229" s="6">
        <f>IF(ISERROR(VLOOKUP($T$229,'TAR FIN'!$A$1:$O$115,15,0)),0,VLOOKUP($T$229,'TAR FIN'!$A$1:$O$115,15,0))</f>
        <v>0</v>
      </c>
      <c r="X229" s="6">
        <f>IF(ISERROR(VLOOKUP($U$229,'TAR FIN'!$A$1:$O$115,15,0)),0,VLOOKUP($U$229,'TAR FIN'!$A$1:$O$115,15,0))</f>
        <v>0</v>
      </c>
      <c r="Y229" s="6">
        <f ca="1">('TUSD BE'!$AM$20+'TUSD BF'!$AM$20+'TUSD CVA'!$AM$20)*1</f>
        <v>20.615214330225772</v>
      </c>
      <c r="Z229" s="6">
        <f ca="1">('TUSD BE'!$AM$21+'TUSD BF'!$AM$21+'TUSD CVA'!$AM$21)*1</f>
        <v>113.43121292628391</v>
      </c>
      <c r="AA229" s="6"/>
      <c r="AB229" s="6">
        <f>$K$229*$V$229</f>
        <v>48549.011940000004</v>
      </c>
      <c r="AC229" s="6">
        <f>$M$229*$W$229</f>
        <v>0</v>
      </c>
      <c r="AD229" s="6">
        <f>$O$229*$X$229</f>
        <v>0</v>
      </c>
      <c r="AE229" s="6">
        <f ca="1">$K$229*$Y$229</f>
        <v>50547.893265847983</v>
      </c>
      <c r="AF229" s="6">
        <f ca="1">$M$229*$Z$229</f>
        <v>0</v>
      </c>
      <c r="AG229" s="6">
        <f>$O$229*$AA$229</f>
        <v>0</v>
      </c>
    </row>
    <row r="230" spans="1:33" ht="11.25" customHeight="1" x14ac:dyDescent="0.25">
      <c r="A230" s="4" t="s">
        <v>21</v>
      </c>
      <c r="B230" s="4" t="s">
        <v>41</v>
      </c>
      <c r="C230" s="4" t="s">
        <v>42</v>
      </c>
      <c r="D230" s="4" t="s">
        <v>40</v>
      </c>
      <c r="E230" s="4" t="s">
        <v>25</v>
      </c>
      <c r="F230" s="4" t="s">
        <v>60</v>
      </c>
      <c r="G230" s="4" t="s">
        <v>25</v>
      </c>
      <c r="H230" s="4" t="s">
        <v>37</v>
      </c>
      <c r="I230" s="5">
        <v>44835</v>
      </c>
      <c r="J230" s="6">
        <v>5033</v>
      </c>
      <c r="K230" s="6">
        <v>2531.0956999999999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4" t="s">
        <v>61</v>
      </c>
      <c r="R230" s="4">
        <v>0</v>
      </c>
      <c r="S230" s="6">
        <v>20</v>
      </c>
      <c r="T230" s="6">
        <v>0</v>
      </c>
      <c r="U230" s="6">
        <v>0</v>
      </c>
      <c r="V230" s="6">
        <f>IF(ISERROR(VLOOKUP($S$230,'TAR FIN'!$A$1:$O$115,15,0)),0,VLOOKUP($S$230,'TAR FIN'!$A$1:$O$115,15,0))</f>
        <v>19.8</v>
      </c>
      <c r="W230" s="6">
        <f>IF(ISERROR(VLOOKUP($T$230,'TAR FIN'!$A$1:$O$115,15,0)),0,VLOOKUP($T$230,'TAR FIN'!$A$1:$O$115,15,0))</f>
        <v>0</v>
      </c>
      <c r="X230" s="6">
        <f>IF(ISERROR(VLOOKUP($U$230,'TAR FIN'!$A$1:$O$115,15,0)),0,VLOOKUP($U$230,'TAR FIN'!$A$1:$O$115,15,0))</f>
        <v>0</v>
      </c>
      <c r="Y230" s="6">
        <f ca="1">('TUSD BE'!$AM$20+'TUSD BF'!$AM$20+'TUSD CVA'!$AM$20)*1</f>
        <v>20.615214330225772</v>
      </c>
      <c r="Z230" s="6">
        <f ca="1">('TUSD BE'!$AM$21+'TUSD BF'!$AM$21+'TUSD CVA'!$AM$21)*1</f>
        <v>113.43121292628391</v>
      </c>
      <c r="AA230" s="6"/>
      <c r="AB230" s="6">
        <f>$K$230*$V$230</f>
        <v>50115.694859999996</v>
      </c>
      <c r="AC230" s="6">
        <f>$M$230*$W$230</f>
        <v>0</v>
      </c>
      <c r="AD230" s="6">
        <f>$O$230*$X$230</f>
        <v>0</v>
      </c>
      <c r="AE230" s="6">
        <f ca="1">$K$230*$Y$230</f>
        <v>52179.080345812828</v>
      </c>
      <c r="AF230" s="6">
        <f ca="1">$M$230*$Z$230</f>
        <v>0</v>
      </c>
      <c r="AG230" s="6">
        <f>$O$230*$AA$230</f>
        <v>0</v>
      </c>
    </row>
    <row r="231" spans="1:33" ht="11.25" customHeight="1" x14ac:dyDescent="0.25">
      <c r="A231" s="4" t="s">
        <v>59</v>
      </c>
      <c r="B231" s="4" t="s">
        <v>41</v>
      </c>
      <c r="C231" s="4" t="s">
        <v>42</v>
      </c>
      <c r="D231" s="4" t="s">
        <v>40</v>
      </c>
      <c r="E231" s="4" t="s">
        <v>25</v>
      </c>
      <c r="F231" s="4" t="s">
        <v>60</v>
      </c>
      <c r="G231" s="4" t="s">
        <v>25</v>
      </c>
      <c r="H231" s="4" t="s">
        <v>37</v>
      </c>
      <c r="I231" s="5">
        <v>44866</v>
      </c>
      <c r="J231" s="6">
        <v>5033</v>
      </c>
      <c r="K231" s="6">
        <v>2531.0956999999999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4" t="s">
        <v>61</v>
      </c>
      <c r="R231" s="4">
        <v>0</v>
      </c>
      <c r="S231" s="6">
        <v>20</v>
      </c>
      <c r="T231" s="6">
        <v>0</v>
      </c>
      <c r="U231" s="6">
        <v>0</v>
      </c>
      <c r="V231" s="6">
        <f>IF(ISERROR(VLOOKUP($S$231,'TAR FIN'!$A$1:$O$115,15,0)),0,VLOOKUP($S$231,'TAR FIN'!$A$1:$O$115,15,0))</f>
        <v>19.8</v>
      </c>
      <c r="W231" s="6">
        <f>IF(ISERROR(VLOOKUP($T$231,'TAR FIN'!$A$1:$O$115,15,0)),0,VLOOKUP($T$231,'TAR FIN'!$A$1:$O$115,15,0))</f>
        <v>0</v>
      </c>
      <c r="X231" s="6">
        <f>IF(ISERROR(VLOOKUP($U$231,'TAR FIN'!$A$1:$O$115,15,0)),0,VLOOKUP($U$231,'TAR FIN'!$A$1:$O$115,15,0))</f>
        <v>0</v>
      </c>
      <c r="Y231" s="6">
        <f ca="1">('TUSD BE'!$AM$20+'TUSD BF'!$AM$20+'TUSD CVA'!$AM$20)*1</f>
        <v>20.615214330225772</v>
      </c>
      <c r="Z231" s="6">
        <f ca="1">('TUSD BE'!$AM$21+'TUSD BF'!$AM$21+'TUSD CVA'!$AM$21)*1</f>
        <v>113.43121292628391</v>
      </c>
      <c r="AA231" s="6"/>
      <c r="AB231" s="6">
        <f>$K$231*$V$231</f>
        <v>50115.694859999996</v>
      </c>
      <c r="AC231" s="6">
        <f>$M$231*$W$231</f>
        <v>0</v>
      </c>
      <c r="AD231" s="6">
        <f>$O$231*$X$231</f>
        <v>0</v>
      </c>
      <c r="AE231" s="6">
        <f ca="1">$K$231*$Y$231</f>
        <v>52179.080345812828</v>
      </c>
      <c r="AF231" s="6">
        <f ca="1">$M$231*$Z$231</f>
        <v>0</v>
      </c>
      <c r="AG231" s="6">
        <f>$O$231*$AA$231</f>
        <v>0</v>
      </c>
    </row>
    <row r="232" spans="1:33" ht="11.25" customHeight="1" x14ac:dyDescent="0.25">
      <c r="A232" s="4" t="s">
        <v>21</v>
      </c>
      <c r="B232" s="4" t="s">
        <v>41</v>
      </c>
      <c r="C232" s="4" t="s">
        <v>42</v>
      </c>
      <c r="D232" s="4" t="s">
        <v>40</v>
      </c>
      <c r="E232" s="4" t="s">
        <v>25</v>
      </c>
      <c r="F232" s="4" t="s">
        <v>60</v>
      </c>
      <c r="G232" s="4" t="s">
        <v>25</v>
      </c>
      <c r="H232" s="4" t="s">
        <v>25</v>
      </c>
      <c r="I232" s="5">
        <v>44531</v>
      </c>
      <c r="J232" s="6">
        <v>0</v>
      </c>
      <c r="K232" s="6">
        <v>0</v>
      </c>
      <c r="L232" s="6">
        <v>2019.317</v>
      </c>
      <c r="M232" s="6">
        <v>2019.317</v>
      </c>
      <c r="N232" s="6">
        <v>0</v>
      </c>
      <c r="O232" s="6">
        <v>0</v>
      </c>
      <c r="P232" s="6">
        <v>12</v>
      </c>
      <c r="Q232" s="4" t="s">
        <v>61</v>
      </c>
      <c r="R232" s="4">
        <v>0</v>
      </c>
      <c r="S232" s="6">
        <v>0</v>
      </c>
      <c r="T232" s="6">
        <v>21</v>
      </c>
      <c r="U232" s="6">
        <v>0</v>
      </c>
      <c r="V232" s="6">
        <f>IF(ISERROR(VLOOKUP($S$232,'TAR FIN'!$A$1:$O$115,15,0)),0,VLOOKUP($S$232,'TAR FIN'!$A$1:$O$115,15,0))</f>
        <v>0</v>
      </c>
      <c r="W232" s="6">
        <f>IF(ISERROR(VLOOKUP($T$232,'TAR FIN'!$A$1:$O$115,15,0)),0,VLOOKUP($T$232,'TAR FIN'!$A$1:$O$115,15,0))</f>
        <v>84.31</v>
      </c>
      <c r="X232" s="6">
        <f>IF(ISERROR(VLOOKUP($U$232,'TAR FIN'!$A$1:$O$115,15,0)),0,VLOOKUP($U$232,'TAR FIN'!$A$1:$O$115,15,0))</f>
        <v>0</v>
      </c>
      <c r="Y232" s="6"/>
      <c r="Z232" s="6">
        <f ca="1">('TUSD BE'!$AM$21+'TUSD BF'!$AM$21+'TUSD CVA'!$AM$21)*1</f>
        <v>113.43121292628391</v>
      </c>
      <c r="AA232" s="6"/>
      <c r="AB232" s="6">
        <f>$K$232*$V$232</f>
        <v>0</v>
      </c>
      <c r="AC232" s="6">
        <f>$M$232*$W$232</f>
        <v>170248.61627</v>
      </c>
      <c r="AD232" s="6">
        <f>$O$232*$X$232</f>
        <v>0</v>
      </c>
      <c r="AE232" s="6">
        <f>$K$232*$Y$232</f>
        <v>0</v>
      </c>
      <c r="AF232" s="6">
        <f ca="1">$M$232*$Z$232</f>
        <v>229053.57659266485</v>
      </c>
      <c r="AG232" s="6">
        <f>$O$232*$AA$232</f>
        <v>0</v>
      </c>
    </row>
    <row r="233" spans="1:33" ht="11.25" customHeight="1" x14ac:dyDescent="0.25">
      <c r="A233" s="4" t="s">
        <v>21</v>
      </c>
      <c r="B233" s="4" t="s">
        <v>41</v>
      </c>
      <c r="C233" s="4" t="s">
        <v>42</v>
      </c>
      <c r="D233" s="4" t="s">
        <v>40</v>
      </c>
      <c r="E233" s="4" t="s">
        <v>25</v>
      </c>
      <c r="F233" s="4" t="s">
        <v>60</v>
      </c>
      <c r="G233" s="4" t="s">
        <v>25</v>
      </c>
      <c r="H233" s="4" t="s">
        <v>25</v>
      </c>
      <c r="I233" s="5">
        <v>44562</v>
      </c>
      <c r="J233" s="6">
        <v>0</v>
      </c>
      <c r="K233" s="6">
        <v>0</v>
      </c>
      <c r="L233" s="6">
        <v>2064.0639999999999</v>
      </c>
      <c r="M233" s="6">
        <v>2064.0639999999999</v>
      </c>
      <c r="N233" s="6">
        <v>0</v>
      </c>
      <c r="O233" s="6">
        <v>0</v>
      </c>
      <c r="P233" s="6">
        <v>12</v>
      </c>
      <c r="Q233" s="4" t="s">
        <v>61</v>
      </c>
      <c r="R233" s="4">
        <v>0</v>
      </c>
      <c r="S233" s="6">
        <v>0</v>
      </c>
      <c r="T233" s="6">
        <v>21</v>
      </c>
      <c r="U233" s="6">
        <v>0</v>
      </c>
      <c r="V233" s="6">
        <f>IF(ISERROR(VLOOKUP($S$233,'TAR FIN'!$A$1:$O$115,15,0)),0,VLOOKUP($S$233,'TAR FIN'!$A$1:$O$115,15,0))</f>
        <v>0</v>
      </c>
      <c r="W233" s="6">
        <f>IF(ISERROR(VLOOKUP($T$233,'TAR FIN'!$A$1:$O$115,15,0)),0,VLOOKUP($T$233,'TAR FIN'!$A$1:$O$115,15,0))</f>
        <v>84.31</v>
      </c>
      <c r="X233" s="6">
        <f>IF(ISERROR(VLOOKUP($U$233,'TAR FIN'!$A$1:$O$115,15,0)),0,VLOOKUP($U$233,'TAR FIN'!$A$1:$O$115,15,0))</f>
        <v>0</v>
      </c>
      <c r="Y233" s="6"/>
      <c r="Z233" s="6">
        <f ca="1">('TUSD BE'!$AM$21+'TUSD BF'!$AM$21+'TUSD CVA'!$AM$21)*1</f>
        <v>113.43121292628391</v>
      </c>
      <c r="AA233" s="6"/>
      <c r="AB233" s="6">
        <f>$K$233*$V$233</f>
        <v>0</v>
      </c>
      <c r="AC233" s="6">
        <f>$M$233*$W$233</f>
        <v>174021.23583999998</v>
      </c>
      <c r="AD233" s="6">
        <f>$O$233*$X$233</f>
        <v>0</v>
      </c>
      <c r="AE233" s="6">
        <f>$K$233*$Y$233</f>
        <v>0</v>
      </c>
      <c r="AF233" s="6">
        <f ca="1">$M$233*$Z$233</f>
        <v>234129.28307747724</v>
      </c>
      <c r="AG233" s="6">
        <f>$O$233*$AA$233</f>
        <v>0</v>
      </c>
    </row>
    <row r="234" spans="1:33" ht="11.25" customHeight="1" x14ac:dyDescent="0.25">
      <c r="A234" s="4" t="s">
        <v>21</v>
      </c>
      <c r="B234" s="4" t="s">
        <v>41</v>
      </c>
      <c r="C234" s="4" t="s">
        <v>42</v>
      </c>
      <c r="D234" s="4" t="s">
        <v>40</v>
      </c>
      <c r="E234" s="4" t="s">
        <v>25</v>
      </c>
      <c r="F234" s="4" t="s">
        <v>60</v>
      </c>
      <c r="G234" s="4" t="s">
        <v>25</v>
      </c>
      <c r="H234" s="4" t="s">
        <v>25</v>
      </c>
      <c r="I234" s="5">
        <v>44593</v>
      </c>
      <c r="J234" s="6">
        <v>0</v>
      </c>
      <c r="K234" s="6">
        <v>0</v>
      </c>
      <c r="L234" s="6">
        <v>2016.529</v>
      </c>
      <c r="M234" s="6">
        <v>2016.529</v>
      </c>
      <c r="N234" s="6">
        <v>0</v>
      </c>
      <c r="O234" s="6">
        <v>0</v>
      </c>
      <c r="P234" s="6">
        <v>12</v>
      </c>
      <c r="Q234" s="4" t="s">
        <v>61</v>
      </c>
      <c r="R234" s="4">
        <v>0</v>
      </c>
      <c r="S234" s="6">
        <v>0</v>
      </c>
      <c r="T234" s="6">
        <v>21</v>
      </c>
      <c r="U234" s="6">
        <v>0</v>
      </c>
      <c r="V234" s="6">
        <f>IF(ISERROR(VLOOKUP($S$234,'TAR FIN'!$A$1:$O$115,15,0)),0,VLOOKUP($S$234,'TAR FIN'!$A$1:$O$115,15,0))</f>
        <v>0</v>
      </c>
      <c r="W234" s="6">
        <f>IF(ISERROR(VLOOKUP($T$234,'TAR FIN'!$A$1:$O$115,15,0)),0,VLOOKUP($T$234,'TAR FIN'!$A$1:$O$115,15,0))</f>
        <v>84.31</v>
      </c>
      <c r="X234" s="6">
        <f>IF(ISERROR(VLOOKUP($U$234,'TAR FIN'!$A$1:$O$115,15,0)),0,VLOOKUP($U$234,'TAR FIN'!$A$1:$O$115,15,0))</f>
        <v>0</v>
      </c>
      <c r="Y234" s="6"/>
      <c r="Z234" s="6">
        <f ca="1">('TUSD BE'!$AM$21+'TUSD BF'!$AM$21+'TUSD CVA'!$AM$21)*1</f>
        <v>113.43121292628391</v>
      </c>
      <c r="AA234" s="6"/>
      <c r="AB234" s="6">
        <f>$K$234*$V$234</f>
        <v>0</v>
      </c>
      <c r="AC234" s="6">
        <f>$M$234*$W$234</f>
        <v>170013.55999000001</v>
      </c>
      <c r="AD234" s="6">
        <f>$O$234*$X$234</f>
        <v>0</v>
      </c>
      <c r="AE234" s="6">
        <f>$K$234*$Y$234</f>
        <v>0</v>
      </c>
      <c r="AF234" s="6">
        <f ca="1">$M$234*$Z$234</f>
        <v>228737.33037102636</v>
      </c>
      <c r="AG234" s="6">
        <f>$O$234*$AA$234</f>
        <v>0</v>
      </c>
    </row>
    <row r="235" spans="1:33" ht="11.25" customHeight="1" x14ac:dyDescent="0.25">
      <c r="A235" s="4" t="s">
        <v>21</v>
      </c>
      <c r="B235" s="4" t="s">
        <v>41</v>
      </c>
      <c r="C235" s="4" t="s">
        <v>42</v>
      </c>
      <c r="D235" s="4" t="s">
        <v>40</v>
      </c>
      <c r="E235" s="4" t="s">
        <v>25</v>
      </c>
      <c r="F235" s="4" t="s">
        <v>60</v>
      </c>
      <c r="G235" s="4" t="s">
        <v>25</v>
      </c>
      <c r="H235" s="4" t="s">
        <v>25</v>
      </c>
      <c r="I235" s="5">
        <v>44621</v>
      </c>
      <c r="J235" s="6">
        <v>0</v>
      </c>
      <c r="K235" s="6">
        <v>0</v>
      </c>
      <c r="L235" s="6">
        <v>1755.4349999999999</v>
      </c>
      <c r="M235" s="6">
        <v>1755.4349999999999</v>
      </c>
      <c r="N235" s="6">
        <v>0</v>
      </c>
      <c r="O235" s="6">
        <v>0</v>
      </c>
      <c r="P235" s="6">
        <v>12</v>
      </c>
      <c r="Q235" s="4" t="s">
        <v>61</v>
      </c>
      <c r="R235" s="4">
        <v>0</v>
      </c>
      <c r="S235" s="6">
        <v>0</v>
      </c>
      <c r="T235" s="6">
        <v>21</v>
      </c>
      <c r="U235" s="6">
        <v>0</v>
      </c>
      <c r="V235" s="6">
        <f>IF(ISERROR(VLOOKUP($S$235,'TAR FIN'!$A$1:$O$115,15,0)),0,VLOOKUP($S$235,'TAR FIN'!$A$1:$O$115,15,0))</f>
        <v>0</v>
      </c>
      <c r="W235" s="6">
        <f>IF(ISERROR(VLOOKUP($T$235,'TAR FIN'!$A$1:$O$115,15,0)),0,VLOOKUP($T$235,'TAR FIN'!$A$1:$O$115,15,0))</f>
        <v>84.31</v>
      </c>
      <c r="X235" s="6">
        <f>IF(ISERROR(VLOOKUP($U$235,'TAR FIN'!$A$1:$O$115,15,0)),0,VLOOKUP($U$235,'TAR FIN'!$A$1:$O$115,15,0))</f>
        <v>0</v>
      </c>
      <c r="Y235" s="6"/>
      <c r="Z235" s="6">
        <f ca="1">('TUSD BE'!$AM$21+'TUSD BF'!$AM$21+'TUSD CVA'!$AM$21)*1</f>
        <v>113.43121292628391</v>
      </c>
      <c r="AA235" s="6"/>
      <c r="AB235" s="6">
        <f>$K$235*$V$235</f>
        <v>0</v>
      </c>
      <c r="AC235" s="6">
        <f>$M$235*$W$235</f>
        <v>148000.72485</v>
      </c>
      <c r="AD235" s="6">
        <f>$O$235*$X$235</f>
        <v>0</v>
      </c>
      <c r="AE235" s="6">
        <f>$K$235*$Y$235</f>
        <v>0</v>
      </c>
      <c r="AF235" s="6">
        <f ca="1">$M$235*$Z$235</f>
        <v>199121.12126325117</v>
      </c>
      <c r="AG235" s="6">
        <f>$O$235*$AA$235</f>
        <v>0</v>
      </c>
    </row>
    <row r="236" spans="1:33" ht="11.25" customHeight="1" x14ac:dyDescent="0.25">
      <c r="A236" s="4" t="s">
        <v>21</v>
      </c>
      <c r="B236" s="4" t="s">
        <v>41</v>
      </c>
      <c r="C236" s="4" t="s">
        <v>42</v>
      </c>
      <c r="D236" s="4" t="s">
        <v>40</v>
      </c>
      <c r="E236" s="4" t="s">
        <v>25</v>
      </c>
      <c r="F236" s="4" t="s">
        <v>60</v>
      </c>
      <c r="G236" s="4" t="s">
        <v>25</v>
      </c>
      <c r="H236" s="4" t="s">
        <v>25</v>
      </c>
      <c r="I236" s="5">
        <v>44652</v>
      </c>
      <c r="J236" s="6">
        <v>0</v>
      </c>
      <c r="K236" s="6">
        <v>0</v>
      </c>
      <c r="L236" s="6">
        <v>1929.7170000000001</v>
      </c>
      <c r="M236" s="6">
        <v>1929.7170000000001</v>
      </c>
      <c r="N236" s="6">
        <v>0</v>
      </c>
      <c r="O236" s="6">
        <v>0</v>
      </c>
      <c r="P236" s="6">
        <v>12</v>
      </c>
      <c r="Q236" s="4" t="s">
        <v>61</v>
      </c>
      <c r="R236" s="4">
        <v>0</v>
      </c>
      <c r="S236" s="6">
        <v>0</v>
      </c>
      <c r="T236" s="6">
        <v>21</v>
      </c>
      <c r="U236" s="6">
        <v>0</v>
      </c>
      <c r="V236" s="6">
        <f>IF(ISERROR(VLOOKUP($S$236,'TAR FIN'!$A$1:$O$115,15,0)),0,VLOOKUP($S$236,'TAR FIN'!$A$1:$O$115,15,0))</f>
        <v>0</v>
      </c>
      <c r="W236" s="6">
        <f>IF(ISERROR(VLOOKUP($T$236,'TAR FIN'!$A$1:$O$115,15,0)),0,VLOOKUP($T$236,'TAR FIN'!$A$1:$O$115,15,0))</f>
        <v>84.31</v>
      </c>
      <c r="X236" s="6">
        <f>IF(ISERROR(VLOOKUP($U$236,'TAR FIN'!$A$1:$O$115,15,0)),0,VLOOKUP($U$236,'TAR FIN'!$A$1:$O$115,15,0))</f>
        <v>0</v>
      </c>
      <c r="Y236" s="6"/>
      <c r="Z236" s="6">
        <f ca="1">('TUSD BE'!$AM$21+'TUSD BF'!$AM$21+'TUSD CVA'!$AM$21)*1</f>
        <v>113.43121292628391</v>
      </c>
      <c r="AA236" s="6"/>
      <c r="AB236" s="6">
        <f>$K$236*$V$236</f>
        <v>0</v>
      </c>
      <c r="AC236" s="6">
        <f>$M$236*$W$236</f>
        <v>162694.44027000002</v>
      </c>
      <c r="AD236" s="6">
        <f>$O$236*$X$236</f>
        <v>0</v>
      </c>
      <c r="AE236" s="6">
        <f>$K$236*$Y$236</f>
        <v>0</v>
      </c>
      <c r="AF236" s="6">
        <f ca="1">$M$236*$Z$236</f>
        <v>218890.13991446982</v>
      </c>
      <c r="AG236" s="6">
        <f>$O$236*$AA$236</f>
        <v>0</v>
      </c>
    </row>
    <row r="237" spans="1:33" ht="11.25" customHeight="1" x14ac:dyDescent="0.25">
      <c r="A237" s="4" t="s">
        <v>21</v>
      </c>
      <c r="B237" s="4" t="s">
        <v>41</v>
      </c>
      <c r="C237" s="4" t="s">
        <v>42</v>
      </c>
      <c r="D237" s="4" t="s">
        <v>40</v>
      </c>
      <c r="E237" s="4" t="s">
        <v>25</v>
      </c>
      <c r="F237" s="4" t="s">
        <v>60</v>
      </c>
      <c r="G237" s="4" t="s">
        <v>25</v>
      </c>
      <c r="H237" s="4" t="s">
        <v>25</v>
      </c>
      <c r="I237" s="5">
        <v>44682</v>
      </c>
      <c r="J237" s="6">
        <v>0</v>
      </c>
      <c r="K237" s="6">
        <v>0</v>
      </c>
      <c r="L237" s="6">
        <v>1867.058</v>
      </c>
      <c r="M237" s="6">
        <v>1867.058</v>
      </c>
      <c r="N237" s="6">
        <v>0</v>
      </c>
      <c r="O237" s="6">
        <v>0</v>
      </c>
      <c r="P237" s="6">
        <v>12</v>
      </c>
      <c r="Q237" s="4" t="s">
        <v>61</v>
      </c>
      <c r="R237" s="4">
        <v>0</v>
      </c>
      <c r="S237" s="6">
        <v>0</v>
      </c>
      <c r="T237" s="6">
        <v>21</v>
      </c>
      <c r="U237" s="6">
        <v>0</v>
      </c>
      <c r="V237" s="6">
        <f>IF(ISERROR(VLOOKUP($S$237,'TAR FIN'!$A$1:$O$115,15,0)),0,VLOOKUP($S$237,'TAR FIN'!$A$1:$O$115,15,0))</f>
        <v>0</v>
      </c>
      <c r="W237" s="6">
        <f>IF(ISERROR(VLOOKUP($T$237,'TAR FIN'!$A$1:$O$115,15,0)),0,VLOOKUP($T$237,'TAR FIN'!$A$1:$O$115,15,0))</f>
        <v>84.31</v>
      </c>
      <c r="X237" s="6">
        <f>IF(ISERROR(VLOOKUP($U$237,'TAR FIN'!$A$1:$O$115,15,0)),0,VLOOKUP($U$237,'TAR FIN'!$A$1:$O$115,15,0))</f>
        <v>0</v>
      </c>
      <c r="Y237" s="6"/>
      <c r="Z237" s="6">
        <f ca="1">('TUSD BE'!$AM$21+'TUSD BF'!$AM$21+'TUSD CVA'!$AM$21)*1</f>
        <v>113.43121292628391</v>
      </c>
      <c r="AA237" s="6"/>
      <c r="AB237" s="6">
        <f>$K$237*$V$237</f>
        <v>0</v>
      </c>
      <c r="AC237" s="6">
        <f>$M$237*$W$237</f>
        <v>157411.65998</v>
      </c>
      <c r="AD237" s="6">
        <f>$O$237*$X$237</f>
        <v>0</v>
      </c>
      <c r="AE237" s="6">
        <f>$K$237*$Y$237</f>
        <v>0</v>
      </c>
      <c r="AF237" s="6">
        <f ca="1">$M$237*$Z$237</f>
        <v>211782.65354372177</v>
      </c>
      <c r="AG237" s="6">
        <f>$O$237*$AA$237</f>
        <v>0</v>
      </c>
    </row>
    <row r="238" spans="1:33" ht="11.25" customHeight="1" x14ac:dyDescent="0.25">
      <c r="A238" s="4" t="s">
        <v>21</v>
      </c>
      <c r="B238" s="4" t="s">
        <v>41</v>
      </c>
      <c r="C238" s="4" t="s">
        <v>42</v>
      </c>
      <c r="D238" s="4" t="s">
        <v>40</v>
      </c>
      <c r="E238" s="4" t="s">
        <v>25</v>
      </c>
      <c r="F238" s="4" t="s">
        <v>60</v>
      </c>
      <c r="G238" s="4" t="s">
        <v>25</v>
      </c>
      <c r="H238" s="4" t="s">
        <v>25</v>
      </c>
      <c r="I238" s="5">
        <v>44713</v>
      </c>
      <c r="J238" s="6">
        <v>0</v>
      </c>
      <c r="K238" s="6">
        <v>0</v>
      </c>
      <c r="L238" s="6">
        <v>1875.107</v>
      </c>
      <c r="M238" s="6">
        <v>1875.107</v>
      </c>
      <c r="N238" s="6">
        <v>0</v>
      </c>
      <c r="O238" s="6">
        <v>0</v>
      </c>
      <c r="P238" s="6">
        <v>12</v>
      </c>
      <c r="Q238" s="4" t="s">
        <v>61</v>
      </c>
      <c r="R238" s="4">
        <v>0</v>
      </c>
      <c r="S238" s="6">
        <v>0</v>
      </c>
      <c r="T238" s="6">
        <v>21</v>
      </c>
      <c r="U238" s="6">
        <v>0</v>
      </c>
      <c r="V238" s="6">
        <f>IF(ISERROR(VLOOKUP($S$238,'TAR FIN'!$A$1:$O$115,15,0)),0,VLOOKUP($S$238,'TAR FIN'!$A$1:$O$115,15,0))</f>
        <v>0</v>
      </c>
      <c r="W238" s="6">
        <f>IF(ISERROR(VLOOKUP($T$238,'TAR FIN'!$A$1:$O$115,15,0)),0,VLOOKUP($T$238,'TAR FIN'!$A$1:$O$115,15,0))</f>
        <v>84.31</v>
      </c>
      <c r="X238" s="6">
        <f>IF(ISERROR(VLOOKUP($U$238,'TAR FIN'!$A$1:$O$115,15,0)),0,VLOOKUP($U$238,'TAR FIN'!$A$1:$O$115,15,0))</f>
        <v>0</v>
      </c>
      <c r="Y238" s="6"/>
      <c r="Z238" s="6">
        <f ca="1">('TUSD BE'!$AM$21+'TUSD BF'!$AM$21+'TUSD CVA'!$AM$21)*1</f>
        <v>113.43121292628391</v>
      </c>
      <c r="AA238" s="6"/>
      <c r="AB238" s="6">
        <f>$K$238*$V$238</f>
        <v>0</v>
      </c>
      <c r="AC238" s="6">
        <f>$M$238*$W$238</f>
        <v>158090.27116999999</v>
      </c>
      <c r="AD238" s="6">
        <f>$O$238*$X$238</f>
        <v>0</v>
      </c>
      <c r="AE238" s="6">
        <f>$K$238*$Y$238</f>
        <v>0</v>
      </c>
      <c r="AF238" s="6">
        <f ca="1">$M$238*$Z$238</f>
        <v>212695.66137656543</v>
      </c>
      <c r="AG238" s="6">
        <f>$O$238*$AA$238</f>
        <v>0</v>
      </c>
    </row>
    <row r="239" spans="1:33" ht="11.25" customHeight="1" x14ac:dyDescent="0.25">
      <c r="A239" s="4" t="s">
        <v>21</v>
      </c>
      <c r="B239" s="4" t="s">
        <v>41</v>
      </c>
      <c r="C239" s="4" t="s">
        <v>42</v>
      </c>
      <c r="D239" s="4" t="s">
        <v>40</v>
      </c>
      <c r="E239" s="4" t="s">
        <v>25</v>
      </c>
      <c r="F239" s="4" t="s">
        <v>60</v>
      </c>
      <c r="G239" s="4" t="s">
        <v>25</v>
      </c>
      <c r="H239" s="4" t="s">
        <v>25</v>
      </c>
      <c r="I239" s="5">
        <v>44743</v>
      </c>
      <c r="J239" s="6">
        <v>0</v>
      </c>
      <c r="K239" s="6">
        <v>0</v>
      </c>
      <c r="L239" s="6">
        <v>1747.7439999999999</v>
      </c>
      <c r="M239" s="6">
        <v>1747.7439999999999</v>
      </c>
      <c r="N239" s="6">
        <v>0</v>
      </c>
      <c r="O239" s="6">
        <v>0</v>
      </c>
      <c r="P239" s="6">
        <v>12</v>
      </c>
      <c r="Q239" s="4" t="s">
        <v>61</v>
      </c>
      <c r="R239" s="4">
        <v>0</v>
      </c>
      <c r="S239" s="6">
        <v>0</v>
      </c>
      <c r="T239" s="6">
        <v>21</v>
      </c>
      <c r="U239" s="6">
        <v>0</v>
      </c>
      <c r="V239" s="6">
        <f>IF(ISERROR(VLOOKUP($S$239,'TAR FIN'!$A$1:$O$115,15,0)),0,VLOOKUP($S$239,'TAR FIN'!$A$1:$O$115,15,0))</f>
        <v>0</v>
      </c>
      <c r="W239" s="6">
        <f>IF(ISERROR(VLOOKUP($T$239,'TAR FIN'!$A$1:$O$115,15,0)),0,VLOOKUP($T$239,'TAR FIN'!$A$1:$O$115,15,0))</f>
        <v>84.31</v>
      </c>
      <c r="X239" s="6">
        <f>IF(ISERROR(VLOOKUP($U$239,'TAR FIN'!$A$1:$O$115,15,0)),0,VLOOKUP($U$239,'TAR FIN'!$A$1:$O$115,15,0))</f>
        <v>0</v>
      </c>
      <c r="Y239" s="6"/>
      <c r="Z239" s="6">
        <f ca="1">('TUSD BE'!$AM$21+'TUSD BF'!$AM$21+'TUSD CVA'!$AM$21)*1</f>
        <v>113.43121292628391</v>
      </c>
      <c r="AA239" s="6"/>
      <c r="AB239" s="6">
        <f>$K$239*$V$239</f>
        <v>0</v>
      </c>
      <c r="AC239" s="6">
        <f>$M$239*$W$239</f>
        <v>147352.29663999999</v>
      </c>
      <c r="AD239" s="6">
        <f>$O$239*$X$239</f>
        <v>0</v>
      </c>
      <c r="AE239" s="6">
        <f>$K$239*$Y$239</f>
        <v>0</v>
      </c>
      <c r="AF239" s="6">
        <f ca="1">$M$239*$Z$239</f>
        <v>198248.72180463513</v>
      </c>
      <c r="AG239" s="6">
        <f>$O$239*$AA$239</f>
        <v>0</v>
      </c>
    </row>
    <row r="240" spans="1:33" ht="11.25" customHeight="1" x14ac:dyDescent="0.25">
      <c r="A240" s="4" t="s">
        <v>21</v>
      </c>
      <c r="B240" s="4" t="s">
        <v>41</v>
      </c>
      <c r="C240" s="4" t="s">
        <v>42</v>
      </c>
      <c r="D240" s="4" t="s">
        <v>40</v>
      </c>
      <c r="E240" s="4" t="s">
        <v>25</v>
      </c>
      <c r="F240" s="4" t="s">
        <v>60</v>
      </c>
      <c r="G240" s="4" t="s">
        <v>25</v>
      </c>
      <c r="H240" s="4" t="s">
        <v>25</v>
      </c>
      <c r="I240" s="5">
        <v>44774</v>
      </c>
      <c r="J240" s="6">
        <v>0</v>
      </c>
      <c r="K240" s="6">
        <v>0</v>
      </c>
      <c r="L240" s="6">
        <v>1954.0909999999999</v>
      </c>
      <c r="M240" s="6">
        <v>1954.0909999999999</v>
      </c>
      <c r="N240" s="6">
        <v>0</v>
      </c>
      <c r="O240" s="6">
        <v>0</v>
      </c>
      <c r="P240" s="6">
        <v>12</v>
      </c>
      <c r="Q240" s="4" t="s">
        <v>61</v>
      </c>
      <c r="R240" s="4">
        <v>0</v>
      </c>
      <c r="S240" s="6">
        <v>0</v>
      </c>
      <c r="T240" s="6">
        <v>21</v>
      </c>
      <c r="U240" s="6">
        <v>0</v>
      </c>
      <c r="V240" s="6">
        <f>IF(ISERROR(VLOOKUP($S$240,'TAR FIN'!$A$1:$O$115,15,0)),0,VLOOKUP($S$240,'TAR FIN'!$A$1:$O$115,15,0))</f>
        <v>0</v>
      </c>
      <c r="W240" s="6">
        <f>IF(ISERROR(VLOOKUP($T$240,'TAR FIN'!$A$1:$O$115,15,0)),0,VLOOKUP($T$240,'TAR FIN'!$A$1:$O$115,15,0))</f>
        <v>84.31</v>
      </c>
      <c r="X240" s="6">
        <f>IF(ISERROR(VLOOKUP($U$240,'TAR FIN'!$A$1:$O$115,15,0)),0,VLOOKUP($U$240,'TAR FIN'!$A$1:$O$115,15,0))</f>
        <v>0</v>
      </c>
      <c r="Y240" s="6"/>
      <c r="Z240" s="6">
        <f ca="1">('TUSD BE'!$AM$21+'TUSD BF'!$AM$21+'TUSD CVA'!$AM$21)*1</f>
        <v>113.43121292628391</v>
      </c>
      <c r="AA240" s="6"/>
      <c r="AB240" s="6">
        <f>$K$240*$V$240</f>
        <v>0</v>
      </c>
      <c r="AC240" s="6">
        <f>$M$240*$W$240</f>
        <v>164749.41221000001</v>
      </c>
      <c r="AD240" s="6">
        <f>$O$240*$X$240</f>
        <v>0</v>
      </c>
      <c r="AE240" s="6">
        <f>$K$240*$Y$240</f>
        <v>0</v>
      </c>
      <c r="AF240" s="6">
        <f ca="1">$M$240*$Z$240</f>
        <v>221654.91229833502</v>
      </c>
      <c r="AG240" s="6">
        <f>$O$240*$AA$240</f>
        <v>0</v>
      </c>
    </row>
    <row r="241" spans="1:33" ht="11.25" customHeight="1" x14ac:dyDescent="0.25">
      <c r="A241" s="4" t="s">
        <v>21</v>
      </c>
      <c r="B241" s="4" t="s">
        <v>41</v>
      </c>
      <c r="C241" s="4" t="s">
        <v>42</v>
      </c>
      <c r="D241" s="4" t="s">
        <v>40</v>
      </c>
      <c r="E241" s="4" t="s">
        <v>25</v>
      </c>
      <c r="F241" s="4" t="s">
        <v>60</v>
      </c>
      <c r="G241" s="4" t="s">
        <v>25</v>
      </c>
      <c r="H241" s="4" t="s">
        <v>25</v>
      </c>
      <c r="I241" s="5">
        <v>44805</v>
      </c>
      <c r="J241" s="6">
        <v>0</v>
      </c>
      <c r="K241" s="6">
        <v>0</v>
      </c>
      <c r="L241" s="6">
        <v>1663.943</v>
      </c>
      <c r="M241" s="6">
        <v>1663.943</v>
      </c>
      <c r="N241" s="6">
        <v>0</v>
      </c>
      <c r="O241" s="6">
        <v>0</v>
      </c>
      <c r="P241" s="6">
        <v>12</v>
      </c>
      <c r="Q241" s="4" t="s">
        <v>61</v>
      </c>
      <c r="R241" s="4">
        <v>0</v>
      </c>
      <c r="S241" s="6">
        <v>0</v>
      </c>
      <c r="T241" s="6">
        <v>21</v>
      </c>
      <c r="U241" s="6">
        <v>0</v>
      </c>
      <c r="V241" s="6">
        <f>IF(ISERROR(VLOOKUP($S$241,'TAR FIN'!$A$1:$O$115,15,0)),0,VLOOKUP($S$241,'TAR FIN'!$A$1:$O$115,15,0))</f>
        <v>0</v>
      </c>
      <c r="W241" s="6">
        <f>IF(ISERROR(VLOOKUP($T$241,'TAR FIN'!$A$1:$O$115,15,0)),0,VLOOKUP($T$241,'TAR FIN'!$A$1:$O$115,15,0))</f>
        <v>84.31</v>
      </c>
      <c r="X241" s="6">
        <f>IF(ISERROR(VLOOKUP($U$241,'TAR FIN'!$A$1:$O$115,15,0)),0,VLOOKUP($U$241,'TAR FIN'!$A$1:$O$115,15,0))</f>
        <v>0</v>
      </c>
      <c r="Y241" s="6"/>
      <c r="Z241" s="6">
        <f ca="1">('TUSD BE'!$AM$21+'TUSD BF'!$AM$21+'TUSD CVA'!$AM$21)*1</f>
        <v>113.43121292628391</v>
      </c>
      <c r="AA241" s="6"/>
      <c r="AB241" s="6">
        <f>$K$241*$V$241</f>
        <v>0</v>
      </c>
      <c r="AC241" s="6">
        <f>$M$241*$W$241</f>
        <v>140287.03432999999</v>
      </c>
      <c r="AD241" s="6">
        <f>$O$241*$X$241</f>
        <v>0</v>
      </c>
      <c r="AE241" s="6">
        <f>$K$241*$Y$241</f>
        <v>0</v>
      </c>
      <c r="AF241" s="6">
        <f ca="1">$M$241*$Z$241</f>
        <v>188743.07273019961</v>
      </c>
      <c r="AG241" s="6">
        <f>$O$241*$AA$241</f>
        <v>0</v>
      </c>
    </row>
    <row r="242" spans="1:33" ht="11.25" customHeight="1" x14ac:dyDescent="0.25">
      <c r="A242" s="4" t="s">
        <v>21</v>
      </c>
      <c r="B242" s="4" t="s">
        <v>41</v>
      </c>
      <c r="C242" s="4" t="s">
        <v>42</v>
      </c>
      <c r="D242" s="4" t="s">
        <v>40</v>
      </c>
      <c r="E242" s="4" t="s">
        <v>25</v>
      </c>
      <c r="F242" s="4" t="s">
        <v>60</v>
      </c>
      <c r="G242" s="4" t="s">
        <v>25</v>
      </c>
      <c r="H242" s="4" t="s">
        <v>25</v>
      </c>
      <c r="I242" s="5">
        <v>44835</v>
      </c>
      <c r="J242" s="6">
        <v>0</v>
      </c>
      <c r="K242" s="6">
        <v>0</v>
      </c>
      <c r="L242" s="6">
        <v>1688.5150000000001</v>
      </c>
      <c r="M242" s="6">
        <v>1688.5150000000001</v>
      </c>
      <c r="N242" s="6">
        <v>0</v>
      </c>
      <c r="O242" s="6">
        <v>0</v>
      </c>
      <c r="P242" s="6">
        <v>13</v>
      </c>
      <c r="Q242" s="4" t="s">
        <v>61</v>
      </c>
      <c r="R242" s="4">
        <v>0</v>
      </c>
      <c r="S242" s="6">
        <v>0</v>
      </c>
      <c r="T242" s="6">
        <v>21</v>
      </c>
      <c r="U242" s="6">
        <v>0</v>
      </c>
      <c r="V242" s="6">
        <f>IF(ISERROR(VLOOKUP($S$242,'TAR FIN'!$A$1:$O$115,15,0)),0,VLOOKUP($S$242,'TAR FIN'!$A$1:$O$115,15,0))</f>
        <v>0</v>
      </c>
      <c r="W242" s="6">
        <f>IF(ISERROR(VLOOKUP($T$242,'TAR FIN'!$A$1:$O$115,15,0)),0,VLOOKUP($T$242,'TAR FIN'!$A$1:$O$115,15,0))</f>
        <v>84.31</v>
      </c>
      <c r="X242" s="6">
        <f>IF(ISERROR(VLOOKUP($U$242,'TAR FIN'!$A$1:$O$115,15,0)),0,VLOOKUP($U$242,'TAR FIN'!$A$1:$O$115,15,0))</f>
        <v>0</v>
      </c>
      <c r="Y242" s="6"/>
      <c r="Z242" s="6">
        <f ca="1">('TUSD BE'!$AM$21+'TUSD BF'!$AM$21+'TUSD CVA'!$AM$21)*1</f>
        <v>113.43121292628391</v>
      </c>
      <c r="AA242" s="6"/>
      <c r="AB242" s="6">
        <f>$K$242*$V$242</f>
        <v>0</v>
      </c>
      <c r="AC242" s="6">
        <f>$M$242*$W$242</f>
        <v>142358.69965000002</v>
      </c>
      <c r="AD242" s="6">
        <f>$O$242*$X$242</f>
        <v>0</v>
      </c>
      <c r="AE242" s="6">
        <f>$K$242*$Y$242</f>
        <v>0</v>
      </c>
      <c r="AF242" s="6">
        <f ca="1">$M$242*$Z$242</f>
        <v>191530.30449422429</v>
      </c>
      <c r="AG242" s="6">
        <f>$O$242*$AA$242</f>
        <v>0</v>
      </c>
    </row>
    <row r="243" spans="1:33" ht="11.25" customHeight="1" x14ac:dyDescent="0.25">
      <c r="A243" s="4" t="s">
        <v>59</v>
      </c>
      <c r="B243" s="4" t="s">
        <v>41</v>
      </c>
      <c r="C243" s="4" t="s">
        <v>42</v>
      </c>
      <c r="D243" s="4" t="s">
        <v>40</v>
      </c>
      <c r="E243" s="4" t="s">
        <v>25</v>
      </c>
      <c r="F243" s="4" t="s">
        <v>60</v>
      </c>
      <c r="G243" s="4" t="s">
        <v>25</v>
      </c>
      <c r="H243" s="4" t="s">
        <v>25</v>
      </c>
      <c r="I243" s="5">
        <v>44866</v>
      </c>
      <c r="J243" s="6">
        <v>0</v>
      </c>
      <c r="K243" s="6">
        <v>0</v>
      </c>
      <c r="L243" s="6">
        <v>1688.5150000000001</v>
      </c>
      <c r="M243" s="6">
        <v>1688.5150000000001</v>
      </c>
      <c r="N243" s="6">
        <v>0</v>
      </c>
      <c r="O243" s="6">
        <v>0</v>
      </c>
      <c r="P243" s="6">
        <v>13</v>
      </c>
      <c r="Q243" s="4" t="s">
        <v>61</v>
      </c>
      <c r="R243" s="4">
        <v>0</v>
      </c>
      <c r="S243" s="6">
        <v>0</v>
      </c>
      <c r="T243" s="6">
        <v>21</v>
      </c>
      <c r="U243" s="6">
        <v>0</v>
      </c>
      <c r="V243" s="6">
        <f>IF(ISERROR(VLOOKUP($S$243,'TAR FIN'!$A$1:$O$115,15,0)),0,VLOOKUP($S$243,'TAR FIN'!$A$1:$O$115,15,0))</f>
        <v>0</v>
      </c>
      <c r="W243" s="6">
        <f>IF(ISERROR(VLOOKUP($T$243,'TAR FIN'!$A$1:$O$115,15,0)),0,VLOOKUP($T$243,'TAR FIN'!$A$1:$O$115,15,0))</f>
        <v>84.31</v>
      </c>
      <c r="X243" s="6">
        <f>IF(ISERROR(VLOOKUP($U$243,'TAR FIN'!$A$1:$O$115,15,0)),0,VLOOKUP($U$243,'TAR FIN'!$A$1:$O$115,15,0))</f>
        <v>0</v>
      </c>
      <c r="Y243" s="6"/>
      <c r="Z243" s="6">
        <f ca="1">('TUSD BE'!$AM$21+'TUSD BF'!$AM$21+'TUSD CVA'!$AM$21)*1</f>
        <v>113.43121292628391</v>
      </c>
      <c r="AA243" s="6"/>
      <c r="AB243" s="6">
        <f>$K$243*$V$243</f>
        <v>0</v>
      </c>
      <c r="AC243" s="6">
        <f>$M$243*$W$243</f>
        <v>142358.69965000002</v>
      </c>
      <c r="AD243" s="6">
        <f>$O$243*$X$243</f>
        <v>0</v>
      </c>
      <c r="AE243" s="6">
        <f>$K$243*$Y$243</f>
        <v>0</v>
      </c>
      <c r="AF243" s="6">
        <f ca="1">$M$243*$Z$243</f>
        <v>191530.30449422429</v>
      </c>
      <c r="AG243" s="6">
        <f>$O$243*$AA$243</f>
        <v>0</v>
      </c>
    </row>
    <row r="244" spans="1:33" ht="11.25" customHeight="1" x14ac:dyDescent="0.25">
      <c r="A244" s="4" t="s">
        <v>21</v>
      </c>
      <c r="B244" s="4" t="s">
        <v>41</v>
      </c>
      <c r="C244" s="4" t="s">
        <v>42</v>
      </c>
      <c r="D244" s="4" t="s">
        <v>40</v>
      </c>
      <c r="E244" s="4" t="s">
        <v>25</v>
      </c>
      <c r="F244" s="4" t="s">
        <v>60</v>
      </c>
      <c r="G244" s="4" t="s">
        <v>25</v>
      </c>
      <c r="H244" s="4" t="s">
        <v>36</v>
      </c>
      <c r="I244" s="5">
        <v>44531</v>
      </c>
      <c r="J244" s="6">
        <v>4457</v>
      </c>
      <c r="K244" s="6">
        <v>1950.3832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4" t="s">
        <v>61</v>
      </c>
      <c r="R244" s="4">
        <v>0</v>
      </c>
      <c r="S244" s="6">
        <v>19</v>
      </c>
      <c r="T244" s="6">
        <v>0</v>
      </c>
      <c r="U244" s="6">
        <v>0</v>
      </c>
      <c r="V244" s="6">
        <f>IF(ISERROR(VLOOKUP($S$244,'TAR FIN'!$A$1:$O$115,15,0)),0,VLOOKUP($S$244,'TAR FIN'!$A$1:$O$115,15,0))</f>
        <v>56.22</v>
      </c>
      <c r="W244" s="6">
        <f>IF(ISERROR(VLOOKUP($T$244,'TAR FIN'!$A$1:$O$115,15,0)),0,VLOOKUP($T$244,'TAR FIN'!$A$1:$O$115,15,0))</f>
        <v>0</v>
      </c>
      <c r="X244" s="6">
        <f>IF(ISERROR(VLOOKUP($U$244,'TAR FIN'!$A$1:$O$115,15,0)),0,VLOOKUP($U$244,'TAR FIN'!$A$1:$O$115,15,0))</f>
        <v>0</v>
      </c>
      <c r="Y244" s="6">
        <f ca="1">('TUSD BE'!$AM$19+'TUSD BF'!$AM$19+'TUSD CVA'!$AM$19)*1</f>
        <v>56.308577648144677</v>
      </c>
      <c r="Z244" s="6">
        <f ca="1">('TUSD BE'!$AM$21+'TUSD BF'!$AM$21+'TUSD CVA'!$AM$21)*1</f>
        <v>113.43121292628391</v>
      </c>
      <c r="AA244" s="6"/>
      <c r="AB244" s="6">
        <f>$K$244*$V$244</f>
        <v>109650.543504</v>
      </c>
      <c r="AC244" s="6">
        <f>$M$244*$W$244</f>
        <v>0</v>
      </c>
      <c r="AD244" s="6">
        <f>$O$244*$X$244</f>
        <v>0</v>
      </c>
      <c r="AE244" s="6">
        <f ca="1">$K$244*$Y$244</f>
        <v>109823.3038608369</v>
      </c>
      <c r="AF244" s="6">
        <f ca="1">$M$244*$Z$244</f>
        <v>0</v>
      </c>
      <c r="AG244" s="6">
        <f>$O$244*$AA$244</f>
        <v>0</v>
      </c>
    </row>
    <row r="245" spans="1:33" ht="11.25" customHeight="1" x14ac:dyDescent="0.25">
      <c r="A245" s="4" t="s">
        <v>21</v>
      </c>
      <c r="B245" s="4" t="s">
        <v>41</v>
      </c>
      <c r="C245" s="4" t="s">
        <v>42</v>
      </c>
      <c r="D245" s="4" t="s">
        <v>40</v>
      </c>
      <c r="E245" s="4" t="s">
        <v>25</v>
      </c>
      <c r="F245" s="4" t="s">
        <v>60</v>
      </c>
      <c r="G245" s="4" t="s">
        <v>25</v>
      </c>
      <c r="H245" s="4" t="s">
        <v>36</v>
      </c>
      <c r="I245" s="5">
        <v>44562</v>
      </c>
      <c r="J245" s="6">
        <v>4470</v>
      </c>
      <c r="K245" s="6">
        <v>2077.2089999999998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4" t="s">
        <v>61</v>
      </c>
      <c r="R245" s="4">
        <v>0</v>
      </c>
      <c r="S245" s="6">
        <v>19</v>
      </c>
      <c r="T245" s="6">
        <v>0</v>
      </c>
      <c r="U245" s="6">
        <v>0</v>
      </c>
      <c r="V245" s="6">
        <f>IF(ISERROR(VLOOKUP($S$245,'TAR FIN'!$A$1:$O$115,15,0)),0,VLOOKUP($S$245,'TAR FIN'!$A$1:$O$115,15,0))</f>
        <v>56.22</v>
      </c>
      <c r="W245" s="6">
        <f>IF(ISERROR(VLOOKUP($T$245,'TAR FIN'!$A$1:$O$115,15,0)),0,VLOOKUP($T$245,'TAR FIN'!$A$1:$O$115,15,0))</f>
        <v>0</v>
      </c>
      <c r="X245" s="6">
        <f>IF(ISERROR(VLOOKUP($U$245,'TAR FIN'!$A$1:$O$115,15,0)),0,VLOOKUP($U$245,'TAR FIN'!$A$1:$O$115,15,0))</f>
        <v>0</v>
      </c>
      <c r="Y245" s="6">
        <f ca="1">('TUSD BE'!$AM$19+'TUSD BF'!$AM$19+'TUSD CVA'!$AM$19)*1</f>
        <v>56.308577648144677</v>
      </c>
      <c r="Z245" s="6">
        <f ca="1">('TUSD BE'!$AM$21+'TUSD BF'!$AM$21+'TUSD CVA'!$AM$21)*1</f>
        <v>113.43121292628391</v>
      </c>
      <c r="AA245" s="6"/>
      <c r="AB245" s="6">
        <f>$K$245*$V$245</f>
        <v>116780.68997999998</v>
      </c>
      <c r="AC245" s="6">
        <f>$M$245*$W$245</f>
        <v>0</v>
      </c>
      <c r="AD245" s="6">
        <f>$O$245*$X$245</f>
        <v>0</v>
      </c>
      <c r="AE245" s="6">
        <f ca="1">$K$245*$Y$245</f>
        <v>116964.68426792495</v>
      </c>
      <c r="AF245" s="6">
        <f ca="1">$M$245*$Z$245</f>
        <v>0</v>
      </c>
      <c r="AG245" s="6">
        <f>$O$245*$AA$245</f>
        <v>0</v>
      </c>
    </row>
    <row r="246" spans="1:33" ht="11.25" customHeight="1" x14ac:dyDescent="0.25">
      <c r="A246" s="4" t="s">
        <v>21</v>
      </c>
      <c r="B246" s="4" t="s">
        <v>41</v>
      </c>
      <c r="C246" s="4" t="s">
        <v>42</v>
      </c>
      <c r="D246" s="4" t="s">
        <v>40</v>
      </c>
      <c r="E246" s="4" t="s">
        <v>25</v>
      </c>
      <c r="F246" s="4" t="s">
        <v>60</v>
      </c>
      <c r="G246" s="4" t="s">
        <v>25</v>
      </c>
      <c r="H246" s="4" t="s">
        <v>36</v>
      </c>
      <c r="I246" s="5">
        <v>44593</v>
      </c>
      <c r="J246" s="6">
        <v>4490</v>
      </c>
      <c r="K246" s="6">
        <v>2261.1640000000002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4" t="s">
        <v>61</v>
      </c>
      <c r="R246" s="4">
        <v>0</v>
      </c>
      <c r="S246" s="6">
        <v>19</v>
      </c>
      <c r="T246" s="6">
        <v>0</v>
      </c>
      <c r="U246" s="6">
        <v>0</v>
      </c>
      <c r="V246" s="6">
        <f>IF(ISERROR(VLOOKUP($S$246,'TAR FIN'!$A$1:$O$115,15,0)),0,VLOOKUP($S$246,'TAR FIN'!$A$1:$O$115,15,0))</f>
        <v>56.22</v>
      </c>
      <c r="W246" s="6">
        <f>IF(ISERROR(VLOOKUP($T$246,'TAR FIN'!$A$1:$O$115,15,0)),0,VLOOKUP($T$246,'TAR FIN'!$A$1:$O$115,15,0))</f>
        <v>0</v>
      </c>
      <c r="X246" s="6">
        <f>IF(ISERROR(VLOOKUP($U$246,'TAR FIN'!$A$1:$O$115,15,0)),0,VLOOKUP($U$246,'TAR FIN'!$A$1:$O$115,15,0))</f>
        <v>0</v>
      </c>
      <c r="Y246" s="6">
        <f ca="1">('TUSD BE'!$AM$19+'TUSD BF'!$AM$19+'TUSD CVA'!$AM$19)*1</f>
        <v>56.308577648144677</v>
      </c>
      <c r="Z246" s="6">
        <f ca="1">('TUSD BE'!$AM$21+'TUSD BF'!$AM$21+'TUSD CVA'!$AM$21)*1</f>
        <v>113.43121292628391</v>
      </c>
      <c r="AA246" s="6"/>
      <c r="AB246" s="6">
        <f>$K$246*$V$246</f>
        <v>127122.64008000001</v>
      </c>
      <c r="AC246" s="6">
        <f>$M$246*$W$246</f>
        <v>0</v>
      </c>
      <c r="AD246" s="6">
        <f>$O$246*$X$246</f>
        <v>0</v>
      </c>
      <c r="AE246" s="6">
        <f ca="1">$K$246*$Y$246</f>
        <v>127322.92866918942</v>
      </c>
      <c r="AF246" s="6">
        <f ca="1">$M$246*$Z$246</f>
        <v>0</v>
      </c>
      <c r="AG246" s="6">
        <f>$O$246*$AA$246</f>
        <v>0</v>
      </c>
    </row>
    <row r="247" spans="1:33" ht="11.25" customHeight="1" x14ac:dyDescent="0.25">
      <c r="A247" s="4" t="s">
        <v>21</v>
      </c>
      <c r="B247" s="4" t="s">
        <v>41</v>
      </c>
      <c r="C247" s="4" t="s">
        <v>42</v>
      </c>
      <c r="D247" s="4" t="s">
        <v>40</v>
      </c>
      <c r="E247" s="4" t="s">
        <v>25</v>
      </c>
      <c r="F247" s="4" t="s">
        <v>60</v>
      </c>
      <c r="G247" s="4" t="s">
        <v>25</v>
      </c>
      <c r="H247" s="4" t="s">
        <v>36</v>
      </c>
      <c r="I247" s="5">
        <v>44621</v>
      </c>
      <c r="J247" s="6">
        <v>4461</v>
      </c>
      <c r="K247" s="6">
        <v>2234.9609999999998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4" t="s">
        <v>61</v>
      </c>
      <c r="R247" s="4">
        <v>0</v>
      </c>
      <c r="S247" s="6">
        <v>19</v>
      </c>
      <c r="T247" s="6">
        <v>0</v>
      </c>
      <c r="U247" s="6">
        <v>0</v>
      </c>
      <c r="V247" s="6">
        <f>IF(ISERROR(VLOOKUP($S$247,'TAR FIN'!$A$1:$O$115,15,0)),0,VLOOKUP($S$247,'TAR FIN'!$A$1:$O$115,15,0))</f>
        <v>56.22</v>
      </c>
      <c r="W247" s="6">
        <f>IF(ISERROR(VLOOKUP($T$247,'TAR FIN'!$A$1:$O$115,15,0)),0,VLOOKUP($T$247,'TAR FIN'!$A$1:$O$115,15,0))</f>
        <v>0</v>
      </c>
      <c r="X247" s="6">
        <f>IF(ISERROR(VLOOKUP($U$247,'TAR FIN'!$A$1:$O$115,15,0)),0,VLOOKUP($U$247,'TAR FIN'!$A$1:$O$115,15,0))</f>
        <v>0</v>
      </c>
      <c r="Y247" s="6">
        <f ca="1">('TUSD BE'!$AM$19+'TUSD BF'!$AM$19+'TUSD CVA'!$AM$19)*1</f>
        <v>56.308577648144677</v>
      </c>
      <c r="Z247" s="6">
        <f ca="1">('TUSD BE'!$AM$21+'TUSD BF'!$AM$21+'TUSD CVA'!$AM$21)*1</f>
        <v>113.43121292628391</v>
      </c>
      <c r="AA247" s="6"/>
      <c r="AB247" s="6">
        <f>$K$247*$V$247</f>
        <v>125649.50741999998</v>
      </c>
      <c r="AC247" s="6">
        <f>$M$247*$W$247</f>
        <v>0</v>
      </c>
      <c r="AD247" s="6">
        <f>$O$247*$X$247</f>
        <v>0</v>
      </c>
      <c r="AE247" s="6">
        <f ca="1">$K$247*$Y$247</f>
        <v>125847.47500907506</v>
      </c>
      <c r="AF247" s="6">
        <f ca="1">$M$247*$Z$247</f>
        <v>0</v>
      </c>
      <c r="AG247" s="6">
        <f>$O$247*$AA$247</f>
        <v>0</v>
      </c>
    </row>
    <row r="248" spans="1:33" ht="11.25" customHeight="1" x14ac:dyDescent="0.25">
      <c r="A248" s="4" t="s">
        <v>21</v>
      </c>
      <c r="B248" s="4" t="s">
        <v>41</v>
      </c>
      <c r="C248" s="4" t="s">
        <v>42</v>
      </c>
      <c r="D248" s="4" t="s">
        <v>40</v>
      </c>
      <c r="E248" s="4" t="s">
        <v>25</v>
      </c>
      <c r="F248" s="4" t="s">
        <v>60</v>
      </c>
      <c r="G248" s="4" t="s">
        <v>25</v>
      </c>
      <c r="H248" s="4" t="s">
        <v>36</v>
      </c>
      <c r="I248" s="5">
        <v>44652</v>
      </c>
      <c r="J248" s="6">
        <v>4443</v>
      </c>
      <c r="K248" s="6">
        <v>2227.7202000000002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4" t="s">
        <v>61</v>
      </c>
      <c r="R248" s="4">
        <v>0</v>
      </c>
      <c r="S248" s="6">
        <v>19</v>
      </c>
      <c r="T248" s="6">
        <v>0</v>
      </c>
      <c r="U248" s="6">
        <v>0</v>
      </c>
      <c r="V248" s="6">
        <f>IF(ISERROR(VLOOKUP($S$248,'TAR FIN'!$A$1:$O$115,15,0)),0,VLOOKUP($S$248,'TAR FIN'!$A$1:$O$115,15,0))</f>
        <v>56.22</v>
      </c>
      <c r="W248" s="6">
        <f>IF(ISERROR(VLOOKUP($T$248,'TAR FIN'!$A$1:$O$115,15,0)),0,VLOOKUP($T$248,'TAR FIN'!$A$1:$O$115,15,0))</f>
        <v>0</v>
      </c>
      <c r="X248" s="6">
        <f>IF(ISERROR(VLOOKUP($U$248,'TAR FIN'!$A$1:$O$115,15,0)),0,VLOOKUP($U$248,'TAR FIN'!$A$1:$O$115,15,0))</f>
        <v>0</v>
      </c>
      <c r="Y248" s="6">
        <f ca="1">('TUSD BE'!$AM$19+'TUSD BF'!$AM$19+'TUSD CVA'!$AM$19)*1</f>
        <v>56.308577648144677</v>
      </c>
      <c r="Z248" s="6">
        <f ca="1">('TUSD BE'!$AM$21+'TUSD BF'!$AM$21+'TUSD CVA'!$AM$21)*1</f>
        <v>113.43121292628391</v>
      </c>
      <c r="AA248" s="6"/>
      <c r="AB248" s="6">
        <f>$K$248*$V$248</f>
        <v>125242.429644</v>
      </c>
      <c r="AC248" s="6">
        <f>$M$248*$W$248</f>
        <v>0</v>
      </c>
      <c r="AD248" s="6">
        <f>$O$248*$X$248</f>
        <v>0</v>
      </c>
      <c r="AE248" s="6">
        <f ca="1">$K$248*$Y$248</f>
        <v>125439.7558600404</v>
      </c>
      <c r="AF248" s="6">
        <f ca="1">$M$248*$Z$248</f>
        <v>0</v>
      </c>
      <c r="AG248" s="6">
        <f>$O$248*$AA$248</f>
        <v>0</v>
      </c>
    </row>
    <row r="249" spans="1:33" ht="11.25" customHeight="1" x14ac:dyDescent="0.25">
      <c r="A249" s="4" t="s">
        <v>21</v>
      </c>
      <c r="B249" s="4" t="s">
        <v>41</v>
      </c>
      <c r="C249" s="4" t="s">
        <v>42</v>
      </c>
      <c r="D249" s="4" t="s">
        <v>40</v>
      </c>
      <c r="E249" s="4" t="s">
        <v>25</v>
      </c>
      <c r="F249" s="4" t="s">
        <v>60</v>
      </c>
      <c r="G249" s="4" t="s">
        <v>25</v>
      </c>
      <c r="H249" s="4" t="s">
        <v>36</v>
      </c>
      <c r="I249" s="5">
        <v>44682</v>
      </c>
      <c r="J249" s="6">
        <v>4444</v>
      </c>
      <c r="K249" s="6">
        <v>2225.9996000000001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4" t="s">
        <v>61</v>
      </c>
      <c r="R249" s="4">
        <v>0</v>
      </c>
      <c r="S249" s="6">
        <v>19</v>
      </c>
      <c r="T249" s="6">
        <v>0</v>
      </c>
      <c r="U249" s="6">
        <v>0</v>
      </c>
      <c r="V249" s="6">
        <f>IF(ISERROR(VLOOKUP($S$249,'TAR FIN'!$A$1:$O$115,15,0)),0,VLOOKUP($S$249,'TAR FIN'!$A$1:$O$115,15,0))</f>
        <v>56.22</v>
      </c>
      <c r="W249" s="6">
        <f>IF(ISERROR(VLOOKUP($T$249,'TAR FIN'!$A$1:$O$115,15,0)),0,VLOOKUP($T$249,'TAR FIN'!$A$1:$O$115,15,0))</f>
        <v>0</v>
      </c>
      <c r="X249" s="6">
        <f>IF(ISERROR(VLOOKUP($U$249,'TAR FIN'!$A$1:$O$115,15,0)),0,VLOOKUP($U$249,'TAR FIN'!$A$1:$O$115,15,0))</f>
        <v>0</v>
      </c>
      <c r="Y249" s="6">
        <f ca="1">('TUSD BE'!$AM$19+'TUSD BF'!$AM$19+'TUSD CVA'!$AM$19)*1</f>
        <v>56.308577648144677</v>
      </c>
      <c r="Z249" s="6">
        <f ca="1">('TUSD BE'!$AM$21+'TUSD BF'!$AM$21+'TUSD CVA'!$AM$21)*1</f>
        <v>113.43121292628391</v>
      </c>
      <c r="AA249" s="6"/>
      <c r="AB249" s="6">
        <f>$K$249*$V$249</f>
        <v>125145.697512</v>
      </c>
      <c r="AC249" s="6">
        <f>$M$249*$W$249</f>
        <v>0</v>
      </c>
      <c r="AD249" s="6">
        <f>$O$249*$X$249</f>
        <v>0</v>
      </c>
      <c r="AE249" s="6">
        <f ca="1">$K$249*$Y$249</f>
        <v>125342.871321339</v>
      </c>
      <c r="AF249" s="6">
        <f ca="1">$M$249*$Z$249</f>
        <v>0</v>
      </c>
      <c r="AG249" s="6">
        <f>$O$249*$AA$249</f>
        <v>0</v>
      </c>
    </row>
    <row r="250" spans="1:33" ht="11.25" customHeight="1" x14ac:dyDescent="0.25">
      <c r="A250" s="4" t="s">
        <v>21</v>
      </c>
      <c r="B250" s="4" t="s">
        <v>41</v>
      </c>
      <c r="C250" s="4" t="s">
        <v>42</v>
      </c>
      <c r="D250" s="4" t="s">
        <v>40</v>
      </c>
      <c r="E250" s="4" t="s">
        <v>25</v>
      </c>
      <c r="F250" s="4" t="s">
        <v>60</v>
      </c>
      <c r="G250" s="4" t="s">
        <v>25</v>
      </c>
      <c r="H250" s="4" t="s">
        <v>36</v>
      </c>
      <c r="I250" s="5">
        <v>44713</v>
      </c>
      <c r="J250" s="6">
        <v>4443</v>
      </c>
      <c r="K250" s="6">
        <v>2224.1658000000002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4" t="s">
        <v>61</v>
      </c>
      <c r="R250" s="4">
        <v>0</v>
      </c>
      <c r="S250" s="6">
        <v>19</v>
      </c>
      <c r="T250" s="6">
        <v>0</v>
      </c>
      <c r="U250" s="6">
        <v>0</v>
      </c>
      <c r="V250" s="6">
        <f>IF(ISERROR(VLOOKUP($S$250,'TAR FIN'!$A$1:$O$115,15,0)),0,VLOOKUP($S$250,'TAR FIN'!$A$1:$O$115,15,0))</f>
        <v>56.22</v>
      </c>
      <c r="W250" s="6">
        <f>IF(ISERROR(VLOOKUP($T$250,'TAR FIN'!$A$1:$O$115,15,0)),0,VLOOKUP($T$250,'TAR FIN'!$A$1:$O$115,15,0))</f>
        <v>0</v>
      </c>
      <c r="X250" s="6">
        <f>IF(ISERROR(VLOOKUP($U$250,'TAR FIN'!$A$1:$O$115,15,0)),0,VLOOKUP($U$250,'TAR FIN'!$A$1:$O$115,15,0))</f>
        <v>0</v>
      </c>
      <c r="Y250" s="6">
        <f ca="1">('TUSD BE'!$AM$19+'TUSD BF'!$AM$19+'TUSD CVA'!$AM$19)*1</f>
        <v>56.308577648144677</v>
      </c>
      <c r="Z250" s="6">
        <f ca="1">('TUSD BE'!$AM$21+'TUSD BF'!$AM$21+'TUSD CVA'!$AM$21)*1</f>
        <v>113.43121292628391</v>
      </c>
      <c r="AA250" s="6"/>
      <c r="AB250" s="6">
        <f>$K$250*$V$250</f>
        <v>125042.60127600002</v>
      </c>
      <c r="AC250" s="6">
        <f>$M$250*$W$250</f>
        <v>0</v>
      </c>
      <c r="AD250" s="6">
        <f>$O$250*$X$250</f>
        <v>0</v>
      </c>
      <c r="AE250" s="6">
        <f ca="1">$K$250*$Y$250</f>
        <v>125239.61265164784</v>
      </c>
      <c r="AF250" s="6">
        <f ca="1">$M$250*$Z$250</f>
        <v>0</v>
      </c>
      <c r="AG250" s="6">
        <f>$O$250*$AA$250</f>
        <v>0</v>
      </c>
    </row>
    <row r="251" spans="1:33" ht="11.25" customHeight="1" x14ac:dyDescent="0.25">
      <c r="A251" s="4" t="s">
        <v>21</v>
      </c>
      <c r="B251" s="4" t="s">
        <v>41</v>
      </c>
      <c r="C251" s="4" t="s">
        <v>42</v>
      </c>
      <c r="D251" s="4" t="s">
        <v>40</v>
      </c>
      <c r="E251" s="4" t="s">
        <v>25</v>
      </c>
      <c r="F251" s="4" t="s">
        <v>60</v>
      </c>
      <c r="G251" s="4" t="s">
        <v>25</v>
      </c>
      <c r="H251" s="4" t="s">
        <v>36</v>
      </c>
      <c r="I251" s="5">
        <v>44743</v>
      </c>
      <c r="J251" s="6">
        <v>4443</v>
      </c>
      <c r="K251" s="6">
        <v>2229.4974000000002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4" t="s">
        <v>61</v>
      </c>
      <c r="R251" s="4">
        <v>0</v>
      </c>
      <c r="S251" s="6">
        <v>19</v>
      </c>
      <c r="T251" s="6">
        <v>0</v>
      </c>
      <c r="U251" s="6">
        <v>0</v>
      </c>
      <c r="V251" s="6">
        <f>IF(ISERROR(VLOOKUP($S$251,'TAR FIN'!$A$1:$O$115,15,0)),0,VLOOKUP($S$251,'TAR FIN'!$A$1:$O$115,15,0))</f>
        <v>56.22</v>
      </c>
      <c r="W251" s="6">
        <f>IF(ISERROR(VLOOKUP($T$251,'TAR FIN'!$A$1:$O$115,15,0)),0,VLOOKUP($T$251,'TAR FIN'!$A$1:$O$115,15,0))</f>
        <v>0</v>
      </c>
      <c r="X251" s="6">
        <f>IF(ISERROR(VLOOKUP($U$251,'TAR FIN'!$A$1:$O$115,15,0)),0,VLOOKUP($U$251,'TAR FIN'!$A$1:$O$115,15,0))</f>
        <v>0</v>
      </c>
      <c r="Y251" s="6">
        <f ca="1">('TUSD BE'!$AM$19+'TUSD BF'!$AM$19+'TUSD CVA'!$AM$19)*1</f>
        <v>56.308577648144677</v>
      </c>
      <c r="Z251" s="6">
        <f ca="1">('TUSD BE'!$AM$21+'TUSD BF'!$AM$21+'TUSD CVA'!$AM$21)*1</f>
        <v>113.43121292628391</v>
      </c>
      <c r="AA251" s="6"/>
      <c r="AB251" s="6">
        <f>$K$251*$V$251</f>
        <v>125342.34382800001</v>
      </c>
      <c r="AC251" s="6">
        <f>$M$251*$W$251</f>
        <v>0</v>
      </c>
      <c r="AD251" s="6">
        <f>$O$251*$X$251</f>
        <v>0</v>
      </c>
      <c r="AE251" s="6">
        <f ca="1">$K$251*$Y$251</f>
        <v>125539.82746423669</v>
      </c>
      <c r="AF251" s="6">
        <f ca="1">$M$251*$Z$251</f>
        <v>0</v>
      </c>
      <c r="AG251" s="6">
        <f>$O$251*$AA$251</f>
        <v>0</v>
      </c>
    </row>
    <row r="252" spans="1:33" ht="11.25" customHeight="1" x14ac:dyDescent="0.25">
      <c r="A252" s="4" t="s">
        <v>21</v>
      </c>
      <c r="B252" s="4" t="s">
        <v>41</v>
      </c>
      <c r="C252" s="4" t="s">
        <v>42</v>
      </c>
      <c r="D252" s="4" t="s">
        <v>40</v>
      </c>
      <c r="E252" s="4" t="s">
        <v>25</v>
      </c>
      <c r="F252" s="4" t="s">
        <v>60</v>
      </c>
      <c r="G252" s="4" t="s">
        <v>25</v>
      </c>
      <c r="H252" s="4" t="s">
        <v>36</v>
      </c>
      <c r="I252" s="5">
        <v>44774</v>
      </c>
      <c r="J252" s="6">
        <v>4466</v>
      </c>
      <c r="K252" s="6">
        <v>2235.2330000000002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4" t="s">
        <v>61</v>
      </c>
      <c r="R252" s="4">
        <v>0</v>
      </c>
      <c r="S252" s="6">
        <v>19</v>
      </c>
      <c r="T252" s="6">
        <v>0</v>
      </c>
      <c r="U252" s="6">
        <v>0</v>
      </c>
      <c r="V252" s="6">
        <f>IF(ISERROR(VLOOKUP($S$252,'TAR FIN'!$A$1:$O$115,15,0)),0,VLOOKUP($S$252,'TAR FIN'!$A$1:$O$115,15,0))</f>
        <v>56.22</v>
      </c>
      <c r="W252" s="6">
        <f>IF(ISERROR(VLOOKUP($T$252,'TAR FIN'!$A$1:$O$115,15,0)),0,VLOOKUP($T$252,'TAR FIN'!$A$1:$O$115,15,0))</f>
        <v>0</v>
      </c>
      <c r="X252" s="6">
        <f>IF(ISERROR(VLOOKUP($U$252,'TAR FIN'!$A$1:$O$115,15,0)),0,VLOOKUP($U$252,'TAR FIN'!$A$1:$O$115,15,0))</f>
        <v>0</v>
      </c>
      <c r="Y252" s="6">
        <f ca="1">('TUSD BE'!$AM$19+'TUSD BF'!$AM$19+'TUSD CVA'!$AM$19)*1</f>
        <v>56.308577648144677</v>
      </c>
      <c r="Z252" s="6">
        <f ca="1">('TUSD BE'!$AM$21+'TUSD BF'!$AM$21+'TUSD CVA'!$AM$21)*1</f>
        <v>113.43121292628391</v>
      </c>
      <c r="AA252" s="6"/>
      <c r="AB252" s="6">
        <f>$K$252*$V$252</f>
        <v>125664.79926000001</v>
      </c>
      <c r="AC252" s="6">
        <f>$M$252*$W$252</f>
        <v>0</v>
      </c>
      <c r="AD252" s="6">
        <f>$O$252*$X$252</f>
        <v>0</v>
      </c>
      <c r="AE252" s="6">
        <f ca="1">$K$252*$Y$252</f>
        <v>125862.79094219538</v>
      </c>
      <c r="AF252" s="6">
        <f ca="1">$M$252*$Z$252</f>
        <v>0</v>
      </c>
      <c r="AG252" s="6">
        <f>$O$252*$AA$252</f>
        <v>0</v>
      </c>
    </row>
    <row r="253" spans="1:33" ht="11.25" customHeight="1" x14ac:dyDescent="0.25">
      <c r="A253" s="4" t="s">
        <v>21</v>
      </c>
      <c r="B253" s="4" t="s">
        <v>41</v>
      </c>
      <c r="C253" s="4" t="s">
        <v>42</v>
      </c>
      <c r="D253" s="4" t="s">
        <v>40</v>
      </c>
      <c r="E253" s="4" t="s">
        <v>25</v>
      </c>
      <c r="F253" s="4" t="s">
        <v>60</v>
      </c>
      <c r="G253" s="4" t="s">
        <v>25</v>
      </c>
      <c r="H253" s="4" t="s">
        <v>36</v>
      </c>
      <c r="I253" s="5">
        <v>44805</v>
      </c>
      <c r="J253" s="6">
        <v>4524</v>
      </c>
      <c r="K253" s="6">
        <v>2263.3571999999999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4" t="s">
        <v>61</v>
      </c>
      <c r="R253" s="4">
        <v>0</v>
      </c>
      <c r="S253" s="6">
        <v>19</v>
      </c>
      <c r="T253" s="6">
        <v>0</v>
      </c>
      <c r="U253" s="6">
        <v>0</v>
      </c>
      <c r="V253" s="6">
        <f>IF(ISERROR(VLOOKUP($S$253,'TAR FIN'!$A$1:$O$115,15,0)),0,VLOOKUP($S$253,'TAR FIN'!$A$1:$O$115,15,0))</f>
        <v>56.22</v>
      </c>
      <c r="W253" s="6">
        <f>IF(ISERROR(VLOOKUP($T$253,'TAR FIN'!$A$1:$O$115,15,0)),0,VLOOKUP($T$253,'TAR FIN'!$A$1:$O$115,15,0))</f>
        <v>0</v>
      </c>
      <c r="X253" s="6">
        <f>IF(ISERROR(VLOOKUP($U$253,'TAR FIN'!$A$1:$O$115,15,0)),0,VLOOKUP($U$253,'TAR FIN'!$A$1:$O$115,15,0))</f>
        <v>0</v>
      </c>
      <c r="Y253" s="6">
        <f ca="1">('TUSD BE'!$AM$19+'TUSD BF'!$AM$19+'TUSD CVA'!$AM$19)*1</f>
        <v>56.308577648144677</v>
      </c>
      <c r="Z253" s="6">
        <f ca="1">('TUSD BE'!$AM$21+'TUSD BF'!$AM$21+'TUSD CVA'!$AM$21)*1</f>
        <v>113.43121292628391</v>
      </c>
      <c r="AA253" s="6"/>
      <c r="AB253" s="6">
        <f>$K$253*$V$253</f>
        <v>127245.941784</v>
      </c>
      <c r="AC253" s="6">
        <f>$M$253*$W$253</f>
        <v>0</v>
      </c>
      <c r="AD253" s="6">
        <f>$O$253*$X$253</f>
        <v>0</v>
      </c>
      <c r="AE253" s="6">
        <f ca="1">$K$253*$Y$253</f>
        <v>127446.42464168732</v>
      </c>
      <c r="AF253" s="6">
        <f ca="1">$M$253*$Z$253</f>
        <v>0</v>
      </c>
      <c r="AG253" s="6">
        <f>$O$253*$AA$253</f>
        <v>0</v>
      </c>
    </row>
    <row r="254" spans="1:33" ht="11.25" customHeight="1" x14ac:dyDescent="0.25">
      <c r="A254" s="4" t="s">
        <v>21</v>
      </c>
      <c r="B254" s="4" t="s">
        <v>41</v>
      </c>
      <c r="C254" s="4" t="s">
        <v>42</v>
      </c>
      <c r="D254" s="4" t="s">
        <v>40</v>
      </c>
      <c r="E254" s="4" t="s">
        <v>25</v>
      </c>
      <c r="F254" s="4" t="s">
        <v>60</v>
      </c>
      <c r="G254" s="4" t="s">
        <v>25</v>
      </c>
      <c r="H254" s="4" t="s">
        <v>36</v>
      </c>
      <c r="I254" s="5">
        <v>44835</v>
      </c>
      <c r="J254" s="6">
        <v>4597</v>
      </c>
      <c r="K254" s="6">
        <v>2311.8312999999998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4" t="s">
        <v>61</v>
      </c>
      <c r="R254" s="4">
        <v>0</v>
      </c>
      <c r="S254" s="6">
        <v>19</v>
      </c>
      <c r="T254" s="6">
        <v>0</v>
      </c>
      <c r="U254" s="6">
        <v>0</v>
      </c>
      <c r="V254" s="6">
        <f>IF(ISERROR(VLOOKUP($S$254,'TAR FIN'!$A$1:$O$115,15,0)),0,VLOOKUP($S$254,'TAR FIN'!$A$1:$O$115,15,0))</f>
        <v>56.22</v>
      </c>
      <c r="W254" s="6">
        <f>IF(ISERROR(VLOOKUP($T$254,'TAR FIN'!$A$1:$O$115,15,0)),0,VLOOKUP($T$254,'TAR FIN'!$A$1:$O$115,15,0))</f>
        <v>0</v>
      </c>
      <c r="X254" s="6">
        <f>IF(ISERROR(VLOOKUP($U$254,'TAR FIN'!$A$1:$O$115,15,0)),0,VLOOKUP($U$254,'TAR FIN'!$A$1:$O$115,15,0))</f>
        <v>0</v>
      </c>
      <c r="Y254" s="6">
        <f ca="1">('TUSD BE'!$AM$19+'TUSD BF'!$AM$19+'TUSD CVA'!$AM$19)*1</f>
        <v>56.308577648144677</v>
      </c>
      <c r="Z254" s="6">
        <f ca="1">('TUSD BE'!$AM$21+'TUSD BF'!$AM$21+'TUSD CVA'!$AM$21)*1</f>
        <v>113.43121292628391</v>
      </c>
      <c r="AA254" s="6"/>
      <c r="AB254" s="6">
        <f>$K$254*$V$254</f>
        <v>129971.15568599998</v>
      </c>
      <c r="AC254" s="6">
        <f>$M$254*$W$254</f>
        <v>0</v>
      </c>
      <c r="AD254" s="6">
        <f>$O$254*$X$254</f>
        <v>0</v>
      </c>
      <c r="AE254" s="6">
        <f ca="1">$K$254*$Y$254</f>
        <v>130175.93226546125</v>
      </c>
      <c r="AF254" s="6">
        <f ca="1">$M$254*$Z$254</f>
        <v>0</v>
      </c>
      <c r="AG254" s="6">
        <f>$O$254*$AA$254</f>
        <v>0</v>
      </c>
    </row>
    <row r="255" spans="1:33" ht="11.25" customHeight="1" x14ac:dyDescent="0.25">
      <c r="A255" s="4" t="s">
        <v>59</v>
      </c>
      <c r="B255" s="4" t="s">
        <v>41</v>
      </c>
      <c r="C255" s="4" t="s">
        <v>42</v>
      </c>
      <c r="D255" s="4" t="s">
        <v>40</v>
      </c>
      <c r="E255" s="4" t="s">
        <v>25</v>
      </c>
      <c r="F255" s="4" t="s">
        <v>60</v>
      </c>
      <c r="G255" s="4" t="s">
        <v>25</v>
      </c>
      <c r="H255" s="4" t="s">
        <v>36</v>
      </c>
      <c r="I255" s="5">
        <v>44866</v>
      </c>
      <c r="J255" s="6">
        <v>4597</v>
      </c>
      <c r="K255" s="6">
        <v>2311.8312999999998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4" t="s">
        <v>61</v>
      </c>
      <c r="R255" s="4">
        <v>0</v>
      </c>
      <c r="S255" s="6">
        <v>19</v>
      </c>
      <c r="T255" s="6">
        <v>0</v>
      </c>
      <c r="U255" s="6">
        <v>0</v>
      </c>
      <c r="V255" s="6">
        <f>IF(ISERROR(VLOOKUP($S$255,'TAR FIN'!$A$1:$O$115,15,0)),0,VLOOKUP($S$255,'TAR FIN'!$A$1:$O$115,15,0))</f>
        <v>56.22</v>
      </c>
      <c r="W255" s="6">
        <f>IF(ISERROR(VLOOKUP($T$255,'TAR FIN'!$A$1:$O$115,15,0)),0,VLOOKUP($T$255,'TAR FIN'!$A$1:$O$115,15,0))</f>
        <v>0</v>
      </c>
      <c r="X255" s="6">
        <f>IF(ISERROR(VLOOKUP($U$255,'TAR FIN'!$A$1:$O$115,15,0)),0,VLOOKUP($U$255,'TAR FIN'!$A$1:$O$115,15,0))</f>
        <v>0</v>
      </c>
      <c r="Y255" s="6">
        <f ca="1">('TUSD BE'!$AM$19+'TUSD BF'!$AM$19+'TUSD CVA'!$AM$19)*1</f>
        <v>56.308577648144677</v>
      </c>
      <c r="Z255" s="6">
        <f ca="1">('TUSD BE'!$AM$21+'TUSD BF'!$AM$21+'TUSD CVA'!$AM$21)*1</f>
        <v>113.43121292628391</v>
      </c>
      <c r="AA255" s="6"/>
      <c r="AB255" s="6">
        <f>$K$255*$V$255</f>
        <v>129971.15568599998</v>
      </c>
      <c r="AC255" s="6">
        <f>$M$255*$W$255</f>
        <v>0</v>
      </c>
      <c r="AD255" s="6">
        <f>$O$255*$X$255</f>
        <v>0</v>
      </c>
      <c r="AE255" s="6">
        <f ca="1">$K$255*$Y$255</f>
        <v>130175.93226546125</v>
      </c>
      <c r="AF255" s="6">
        <f ca="1">$M$255*$Z$255</f>
        <v>0</v>
      </c>
      <c r="AG255" s="6">
        <f>$O$255*$AA$255</f>
        <v>0</v>
      </c>
    </row>
    <row r="256" spans="1:33" ht="11.25" customHeight="1" x14ac:dyDescent="0.25">
      <c r="A256" s="4" t="s">
        <v>21</v>
      </c>
      <c r="B256" s="4" t="s">
        <v>41</v>
      </c>
      <c r="C256" s="4" t="s">
        <v>42</v>
      </c>
      <c r="D256" s="4" t="s">
        <v>40</v>
      </c>
      <c r="E256" s="4" t="s">
        <v>25</v>
      </c>
      <c r="F256" s="4" t="s">
        <v>25</v>
      </c>
      <c r="G256" s="4" t="s">
        <v>25</v>
      </c>
      <c r="H256" s="4" t="s">
        <v>37</v>
      </c>
      <c r="I256" s="5">
        <v>44531</v>
      </c>
      <c r="J256" s="6">
        <v>135</v>
      </c>
      <c r="K256" s="6">
        <v>135</v>
      </c>
      <c r="L256" s="6">
        <v>33.343000000000004</v>
      </c>
      <c r="M256" s="6">
        <v>33.343000000000004</v>
      </c>
      <c r="N256" s="6">
        <v>33.343000000000004</v>
      </c>
      <c r="O256" s="6">
        <v>33.343000000000004</v>
      </c>
      <c r="P256" s="6">
        <v>0</v>
      </c>
      <c r="Q256" s="4" t="s">
        <v>26</v>
      </c>
      <c r="R256" s="4">
        <v>0</v>
      </c>
      <c r="S256" s="6">
        <v>20</v>
      </c>
      <c r="T256" s="6">
        <v>21</v>
      </c>
      <c r="U256" s="6">
        <v>75</v>
      </c>
      <c r="V256" s="6">
        <f>IF(ISERROR(VLOOKUP($S$256,'TAR FIN'!$A$1:$O$115,15,0)),0,VLOOKUP($S$256,'TAR FIN'!$A$1:$O$115,15,0))</f>
        <v>19.8</v>
      </c>
      <c r="W256" s="6">
        <f>IF(ISERROR(VLOOKUP($T$256,'TAR FIN'!$A$1:$O$115,15,0)),0,VLOOKUP($T$256,'TAR FIN'!$A$1:$O$115,15,0))</f>
        <v>84.31</v>
      </c>
      <c r="X256" s="6">
        <f>IF(ISERROR(VLOOKUP($U$256,'TAR FIN'!$A$1:$O$115,15,0)),0,VLOOKUP($U$256,'TAR FIN'!$A$1:$O$115,15,0))</f>
        <v>168.06</v>
      </c>
      <c r="Y256" s="6">
        <f ca="1">('TUSD BE'!$AM$20+'TUSD BF'!$AM$20+'TUSD CVA'!$AM$20)*1</f>
        <v>20.615214330225772</v>
      </c>
      <c r="Z256" s="6">
        <f ca="1">('TUSD BE'!$AM$21+'TUSD BF'!$AM$21+'TUSD CVA'!$AM$21)*1</f>
        <v>113.43121292628391</v>
      </c>
      <c r="AA256" s="6">
        <f>('TE BE'!$AB$12+'TE BF'!$AB$12+'TE CVA'!$AB$12)*1</f>
        <v>218.6854278594964</v>
      </c>
      <c r="AB256" s="6">
        <f>$K$256*$V$256</f>
        <v>2673</v>
      </c>
      <c r="AC256" s="6">
        <f>$M$256*$W$256</f>
        <v>2811.1483300000004</v>
      </c>
      <c r="AD256" s="6">
        <f>$O$256*$X$256</f>
        <v>5603.6245800000006</v>
      </c>
      <c r="AE256" s="6">
        <f ca="1">$K$256*$Y$256</f>
        <v>2783.0539345804791</v>
      </c>
      <c r="AF256" s="6">
        <f ca="1">$M$256*$Z$256</f>
        <v>3782.1369326010845</v>
      </c>
      <c r="AG256" s="6">
        <f>$O$256*$AA$256</f>
        <v>7291.6282211191892</v>
      </c>
    </row>
    <row r="257" spans="1:33" ht="11.25" customHeight="1" x14ac:dyDescent="0.25">
      <c r="A257" s="4" t="s">
        <v>28</v>
      </c>
      <c r="B257" s="4" t="s">
        <v>41</v>
      </c>
      <c r="C257" s="4" t="s">
        <v>42</v>
      </c>
      <c r="D257" s="4" t="s">
        <v>40</v>
      </c>
      <c r="E257" s="4" t="s">
        <v>25</v>
      </c>
      <c r="F257" s="4" t="s">
        <v>25</v>
      </c>
      <c r="G257" s="4" t="s">
        <v>25</v>
      </c>
      <c r="H257" s="4" t="s">
        <v>37</v>
      </c>
      <c r="I257" s="5">
        <v>44531</v>
      </c>
      <c r="J257" s="6">
        <v>1112</v>
      </c>
      <c r="K257" s="6">
        <v>1112</v>
      </c>
      <c r="L257" s="6">
        <v>468.44</v>
      </c>
      <c r="M257" s="6">
        <v>468.44</v>
      </c>
      <c r="N257" s="6">
        <v>468.44</v>
      </c>
      <c r="O257" s="6">
        <v>468.44</v>
      </c>
      <c r="P257" s="6">
        <v>0</v>
      </c>
      <c r="Q257" s="4" t="s">
        <v>26</v>
      </c>
      <c r="R257" s="4">
        <v>0</v>
      </c>
      <c r="S257" s="6">
        <v>20</v>
      </c>
      <c r="T257" s="6">
        <v>21</v>
      </c>
      <c r="U257" s="6">
        <v>75</v>
      </c>
      <c r="V257" s="6">
        <f>IF(ISERROR(VLOOKUP($S$257,'TAR FIN'!$A$1:$O$115,15,0)),0,VLOOKUP($S$257,'TAR FIN'!$A$1:$O$115,15,0))</f>
        <v>19.8</v>
      </c>
      <c r="W257" s="6">
        <f>IF(ISERROR(VLOOKUP($T$257,'TAR FIN'!$A$1:$O$115,15,0)),0,VLOOKUP($T$257,'TAR FIN'!$A$1:$O$115,15,0))</f>
        <v>84.31</v>
      </c>
      <c r="X257" s="6">
        <f>IF(ISERROR(VLOOKUP($U$257,'TAR FIN'!$A$1:$O$115,15,0)),0,VLOOKUP($U$257,'TAR FIN'!$A$1:$O$115,15,0))</f>
        <v>168.06</v>
      </c>
      <c r="Y257" s="6">
        <f ca="1">('TUSD BE'!$AM$20+'TUSD BF'!$AM$20+'TUSD CVA'!$AM$20)*1</f>
        <v>20.615214330225772</v>
      </c>
      <c r="Z257" s="6">
        <f ca="1">('TUSD BE'!$AM$21+'TUSD BF'!$AM$21+'TUSD CVA'!$AM$21)*1</f>
        <v>113.43121292628391</v>
      </c>
      <c r="AA257" s="6">
        <f>('TE BE'!$AB$12+'TE BF'!$AB$12+'TE CVA'!$AB$12)*1</f>
        <v>218.6854278594964</v>
      </c>
      <c r="AB257" s="6">
        <f>$K$257*$V$257</f>
        <v>22017.600000000002</v>
      </c>
      <c r="AC257" s="6">
        <f>$M$257*$W$257</f>
        <v>39494.176400000004</v>
      </c>
      <c r="AD257" s="6">
        <f>$O$257*$X$257</f>
        <v>78726.026400000002</v>
      </c>
      <c r="AE257" s="6">
        <f ca="1">$K$257*$Y$257</f>
        <v>22924.11833521106</v>
      </c>
      <c r="AF257" s="6">
        <f ca="1">$M$257*$Z$257</f>
        <v>53135.717383188436</v>
      </c>
      <c r="AG257" s="6">
        <f>$O$257*$AA$257</f>
        <v>102441.0018265025</v>
      </c>
    </row>
    <row r="258" spans="1:33" ht="11.25" customHeight="1" x14ac:dyDescent="0.25">
      <c r="A258" s="4" t="s">
        <v>21</v>
      </c>
      <c r="B258" s="4" t="s">
        <v>41</v>
      </c>
      <c r="C258" s="4" t="s">
        <v>42</v>
      </c>
      <c r="D258" s="4" t="s">
        <v>40</v>
      </c>
      <c r="E258" s="4" t="s">
        <v>25</v>
      </c>
      <c r="F258" s="4" t="s">
        <v>25</v>
      </c>
      <c r="G258" s="4" t="s">
        <v>25</v>
      </c>
      <c r="H258" s="4" t="s">
        <v>37</v>
      </c>
      <c r="I258" s="5">
        <v>44562</v>
      </c>
      <c r="J258" s="6">
        <v>135</v>
      </c>
      <c r="K258" s="6">
        <v>135</v>
      </c>
      <c r="L258" s="6">
        <v>34.088000000000001</v>
      </c>
      <c r="M258" s="6">
        <v>34.088000000000001</v>
      </c>
      <c r="N258" s="6">
        <v>34.088000000000001</v>
      </c>
      <c r="O258" s="6">
        <v>34.088000000000001</v>
      </c>
      <c r="P258" s="6">
        <v>0</v>
      </c>
      <c r="Q258" s="4" t="s">
        <v>26</v>
      </c>
      <c r="R258" s="4">
        <v>0</v>
      </c>
      <c r="S258" s="6">
        <v>20</v>
      </c>
      <c r="T258" s="6">
        <v>21</v>
      </c>
      <c r="U258" s="6">
        <v>75</v>
      </c>
      <c r="V258" s="6">
        <f>IF(ISERROR(VLOOKUP($S$258,'TAR FIN'!$A$1:$O$115,15,0)),0,VLOOKUP($S$258,'TAR FIN'!$A$1:$O$115,15,0))</f>
        <v>19.8</v>
      </c>
      <c r="W258" s="6">
        <f>IF(ISERROR(VLOOKUP($T$258,'TAR FIN'!$A$1:$O$115,15,0)),0,VLOOKUP($T$258,'TAR FIN'!$A$1:$O$115,15,0))</f>
        <v>84.31</v>
      </c>
      <c r="X258" s="6">
        <f>IF(ISERROR(VLOOKUP($U$258,'TAR FIN'!$A$1:$O$115,15,0)),0,VLOOKUP($U$258,'TAR FIN'!$A$1:$O$115,15,0))</f>
        <v>168.06</v>
      </c>
      <c r="Y258" s="6">
        <f ca="1">('TUSD BE'!$AM$20+'TUSD BF'!$AM$20+'TUSD CVA'!$AM$20)*1</f>
        <v>20.615214330225772</v>
      </c>
      <c r="Z258" s="6">
        <f ca="1">('TUSD BE'!$AM$21+'TUSD BF'!$AM$21+'TUSD CVA'!$AM$21)*1</f>
        <v>113.43121292628391</v>
      </c>
      <c r="AA258" s="6">
        <f>('TE BE'!$AB$12+'TE BF'!$AB$12+'TE CVA'!$AB$12)*1</f>
        <v>218.6854278594964</v>
      </c>
      <c r="AB258" s="6">
        <f>$K$258*$V$258</f>
        <v>2673</v>
      </c>
      <c r="AC258" s="6">
        <f>$M$258*$W$258</f>
        <v>2873.95928</v>
      </c>
      <c r="AD258" s="6">
        <f>$O$258*$X$258</f>
        <v>5728.8292799999999</v>
      </c>
      <c r="AE258" s="6">
        <f ca="1">$K$258*$Y$258</f>
        <v>2783.0539345804791</v>
      </c>
      <c r="AF258" s="6">
        <f ca="1">$M$258*$Z$258</f>
        <v>3866.6431862311661</v>
      </c>
      <c r="AG258" s="6">
        <f>$O$258*$AA$258</f>
        <v>7454.5488648745131</v>
      </c>
    </row>
    <row r="259" spans="1:33" ht="11.25" customHeight="1" x14ac:dyDescent="0.25">
      <c r="A259" s="4" t="s">
        <v>28</v>
      </c>
      <c r="B259" s="4" t="s">
        <v>41</v>
      </c>
      <c r="C259" s="4" t="s">
        <v>42</v>
      </c>
      <c r="D259" s="4" t="s">
        <v>40</v>
      </c>
      <c r="E259" s="4" t="s">
        <v>25</v>
      </c>
      <c r="F259" s="4" t="s">
        <v>25</v>
      </c>
      <c r="G259" s="4" t="s">
        <v>25</v>
      </c>
      <c r="H259" s="4" t="s">
        <v>37</v>
      </c>
      <c r="I259" s="5">
        <v>44562</v>
      </c>
      <c r="J259" s="6">
        <v>1134</v>
      </c>
      <c r="K259" s="6">
        <v>1134</v>
      </c>
      <c r="L259" s="6">
        <v>486.98899999999998</v>
      </c>
      <c r="M259" s="6">
        <v>486.98899999999998</v>
      </c>
      <c r="N259" s="6">
        <v>486.98899999999998</v>
      </c>
      <c r="O259" s="6">
        <v>486.98899999999998</v>
      </c>
      <c r="P259" s="6">
        <v>0</v>
      </c>
      <c r="Q259" s="4" t="s">
        <v>26</v>
      </c>
      <c r="R259" s="4">
        <v>0</v>
      </c>
      <c r="S259" s="6">
        <v>20</v>
      </c>
      <c r="T259" s="6">
        <v>21</v>
      </c>
      <c r="U259" s="6">
        <v>75</v>
      </c>
      <c r="V259" s="6">
        <f>IF(ISERROR(VLOOKUP($S$259,'TAR FIN'!$A$1:$O$115,15,0)),0,VLOOKUP($S$259,'TAR FIN'!$A$1:$O$115,15,0))</f>
        <v>19.8</v>
      </c>
      <c r="W259" s="6">
        <f>IF(ISERROR(VLOOKUP($T$259,'TAR FIN'!$A$1:$O$115,15,0)),0,VLOOKUP($T$259,'TAR FIN'!$A$1:$O$115,15,0))</f>
        <v>84.31</v>
      </c>
      <c r="X259" s="6">
        <f>IF(ISERROR(VLOOKUP($U$259,'TAR FIN'!$A$1:$O$115,15,0)),0,VLOOKUP($U$259,'TAR FIN'!$A$1:$O$115,15,0))</f>
        <v>168.06</v>
      </c>
      <c r="Y259" s="6">
        <f ca="1">('TUSD BE'!$AM$20+'TUSD BF'!$AM$20+'TUSD CVA'!$AM$20)*1</f>
        <v>20.615214330225772</v>
      </c>
      <c r="Z259" s="6">
        <f ca="1">('TUSD BE'!$AM$21+'TUSD BF'!$AM$21+'TUSD CVA'!$AM$21)*1</f>
        <v>113.43121292628391</v>
      </c>
      <c r="AA259" s="6">
        <f>('TE BE'!$AB$12+'TE BF'!$AB$12+'TE CVA'!$AB$12)*1</f>
        <v>218.6854278594964</v>
      </c>
      <c r="AB259" s="6">
        <f>$K$259*$V$259</f>
        <v>22453.200000000001</v>
      </c>
      <c r="AC259" s="6">
        <f>$M$259*$W$259</f>
        <v>41058.042589999997</v>
      </c>
      <c r="AD259" s="6">
        <f>$O$259*$X$259</f>
        <v>81843.371339999998</v>
      </c>
      <c r="AE259" s="6">
        <f ca="1">$K$259*$Y$259</f>
        <v>23377.653050476027</v>
      </c>
      <c r="AF259" s="6">
        <f ca="1">$M$259*$Z$259</f>
        <v>55239.75295175807</v>
      </c>
      <c r="AG259" s="6">
        <f>$O$259*$AA$259</f>
        <v>106497.39782786829</v>
      </c>
    </row>
    <row r="260" spans="1:33" ht="11.25" customHeight="1" x14ac:dyDescent="0.25">
      <c r="A260" s="4" t="s">
        <v>21</v>
      </c>
      <c r="B260" s="4" t="s">
        <v>41</v>
      </c>
      <c r="C260" s="4" t="s">
        <v>42</v>
      </c>
      <c r="D260" s="4" t="s">
        <v>40</v>
      </c>
      <c r="E260" s="4" t="s">
        <v>25</v>
      </c>
      <c r="F260" s="4" t="s">
        <v>25</v>
      </c>
      <c r="G260" s="4" t="s">
        <v>25</v>
      </c>
      <c r="H260" s="4" t="s">
        <v>37</v>
      </c>
      <c r="I260" s="5">
        <v>44593</v>
      </c>
      <c r="J260" s="6">
        <v>140</v>
      </c>
      <c r="K260" s="6">
        <v>140</v>
      </c>
      <c r="L260" s="6">
        <v>31.1</v>
      </c>
      <c r="M260" s="6">
        <v>31.1</v>
      </c>
      <c r="N260" s="6">
        <v>31.1</v>
      </c>
      <c r="O260" s="6">
        <v>31.1</v>
      </c>
      <c r="P260" s="6">
        <v>0</v>
      </c>
      <c r="Q260" s="4" t="s">
        <v>26</v>
      </c>
      <c r="R260" s="4">
        <v>0</v>
      </c>
      <c r="S260" s="6">
        <v>20</v>
      </c>
      <c r="T260" s="6">
        <v>21</v>
      </c>
      <c r="U260" s="6">
        <v>75</v>
      </c>
      <c r="V260" s="6">
        <f>IF(ISERROR(VLOOKUP($S$260,'TAR FIN'!$A$1:$O$115,15,0)),0,VLOOKUP($S$260,'TAR FIN'!$A$1:$O$115,15,0))</f>
        <v>19.8</v>
      </c>
      <c r="W260" s="6">
        <f>IF(ISERROR(VLOOKUP($T$260,'TAR FIN'!$A$1:$O$115,15,0)),0,VLOOKUP($T$260,'TAR FIN'!$A$1:$O$115,15,0))</f>
        <v>84.31</v>
      </c>
      <c r="X260" s="6">
        <f>IF(ISERROR(VLOOKUP($U$260,'TAR FIN'!$A$1:$O$115,15,0)),0,VLOOKUP($U$260,'TAR FIN'!$A$1:$O$115,15,0))</f>
        <v>168.06</v>
      </c>
      <c r="Y260" s="6">
        <f ca="1">('TUSD BE'!$AM$20+'TUSD BF'!$AM$20+'TUSD CVA'!$AM$20)*1</f>
        <v>20.615214330225772</v>
      </c>
      <c r="Z260" s="6">
        <f ca="1">('TUSD BE'!$AM$21+'TUSD BF'!$AM$21+'TUSD CVA'!$AM$21)*1</f>
        <v>113.43121292628391</v>
      </c>
      <c r="AA260" s="6">
        <f>('TE BE'!$AB$12+'TE BF'!$AB$12+'TE CVA'!$AB$12)*1</f>
        <v>218.6854278594964</v>
      </c>
      <c r="AB260" s="6">
        <f>$K$260*$V$260</f>
        <v>2772</v>
      </c>
      <c r="AC260" s="6">
        <f>$M$260*$W$260</f>
        <v>2622.0410000000002</v>
      </c>
      <c r="AD260" s="6">
        <f>$O$260*$X$260</f>
        <v>5226.6660000000002</v>
      </c>
      <c r="AE260" s="6">
        <f ca="1">$K$260*$Y$260</f>
        <v>2886.1300062316081</v>
      </c>
      <c r="AF260" s="6">
        <f ca="1">$M$260*$Z$260</f>
        <v>3527.7107220074295</v>
      </c>
      <c r="AG260" s="6">
        <f>$O$260*$AA$260</f>
        <v>6801.1168064303383</v>
      </c>
    </row>
    <row r="261" spans="1:33" ht="11.25" customHeight="1" x14ac:dyDescent="0.25">
      <c r="A261" s="4" t="s">
        <v>28</v>
      </c>
      <c r="B261" s="4" t="s">
        <v>41</v>
      </c>
      <c r="C261" s="4" t="s">
        <v>42</v>
      </c>
      <c r="D261" s="4" t="s">
        <v>40</v>
      </c>
      <c r="E261" s="4" t="s">
        <v>25</v>
      </c>
      <c r="F261" s="4" t="s">
        <v>25</v>
      </c>
      <c r="G261" s="4" t="s">
        <v>25</v>
      </c>
      <c r="H261" s="4" t="s">
        <v>37</v>
      </c>
      <c r="I261" s="5">
        <v>44593</v>
      </c>
      <c r="J261" s="6">
        <v>1091</v>
      </c>
      <c r="K261" s="6">
        <v>1091</v>
      </c>
      <c r="L261" s="6">
        <v>432.06</v>
      </c>
      <c r="M261" s="6">
        <v>432.06</v>
      </c>
      <c r="N261" s="6">
        <v>432.06</v>
      </c>
      <c r="O261" s="6">
        <v>432.06</v>
      </c>
      <c r="P261" s="6">
        <v>0</v>
      </c>
      <c r="Q261" s="4" t="s">
        <v>26</v>
      </c>
      <c r="R261" s="4">
        <v>0</v>
      </c>
      <c r="S261" s="6">
        <v>20</v>
      </c>
      <c r="T261" s="6">
        <v>21</v>
      </c>
      <c r="U261" s="6">
        <v>75</v>
      </c>
      <c r="V261" s="6">
        <f>IF(ISERROR(VLOOKUP($S$261,'TAR FIN'!$A$1:$O$115,15,0)),0,VLOOKUP($S$261,'TAR FIN'!$A$1:$O$115,15,0))</f>
        <v>19.8</v>
      </c>
      <c r="W261" s="6">
        <f>IF(ISERROR(VLOOKUP($T$261,'TAR FIN'!$A$1:$O$115,15,0)),0,VLOOKUP($T$261,'TAR FIN'!$A$1:$O$115,15,0))</f>
        <v>84.31</v>
      </c>
      <c r="X261" s="6">
        <f>IF(ISERROR(VLOOKUP($U$261,'TAR FIN'!$A$1:$O$115,15,0)),0,VLOOKUP($U$261,'TAR FIN'!$A$1:$O$115,15,0))</f>
        <v>168.06</v>
      </c>
      <c r="Y261" s="6">
        <f ca="1">('TUSD BE'!$AM$20+'TUSD BF'!$AM$20+'TUSD CVA'!$AM$20)*1</f>
        <v>20.615214330225772</v>
      </c>
      <c r="Z261" s="6">
        <f ca="1">('TUSD BE'!$AM$21+'TUSD BF'!$AM$21+'TUSD CVA'!$AM$21)*1</f>
        <v>113.43121292628391</v>
      </c>
      <c r="AA261" s="6">
        <f>('TE BE'!$AB$12+'TE BF'!$AB$12+'TE CVA'!$AB$12)*1</f>
        <v>218.6854278594964</v>
      </c>
      <c r="AB261" s="6">
        <f>$K$261*$V$261</f>
        <v>21601.8</v>
      </c>
      <c r="AC261" s="6">
        <f>$M$261*$W$261</f>
        <v>36426.978600000002</v>
      </c>
      <c r="AD261" s="6">
        <f>$O$261*$X$261</f>
        <v>72612.003599999996</v>
      </c>
      <c r="AE261" s="6">
        <f ca="1">$K$261*$Y$261</f>
        <v>22491.198834276318</v>
      </c>
      <c r="AF261" s="6">
        <f ca="1">$M$261*$Z$261</f>
        <v>49009.089856930223</v>
      </c>
      <c r="AG261" s="6">
        <f>$O$261*$AA$261</f>
        <v>94485.225960974014</v>
      </c>
    </row>
    <row r="262" spans="1:33" ht="11.25" customHeight="1" x14ac:dyDescent="0.25">
      <c r="A262" s="4" t="s">
        <v>21</v>
      </c>
      <c r="B262" s="4" t="s">
        <v>41</v>
      </c>
      <c r="C262" s="4" t="s">
        <v>42</v>
      </c>
      <c r="D262" s="4" t="s">
        <v>40</v>
      </c>
      <c r="E262" s="4" t="s">
        <v>25</v>
      </c>
      <c r="F262" s="4" t="s">
        <v>25</v>
      </c>
      <c r="G262" s="4" t="s">
        <v>25</v>
      </c>
      <c r="H262" s="4" t="s">
        <v>37</v>
      </c>
      <c r="I262" s="5">
        <v>44621</v>
      </c>
      <c r="J262" s="6">
        <v>135</v>
      </c>
      <c r="K262" s="6">
        <v>135</v>
      </c>
      <c r="L262" s="6">
        <v>37.292999999999999</v>
      </c>
      <c r="M262" s="6">
        <v>37.292999999999999</v>
      </c>
      <c r="N262" s="6">
        <v>37.292999999999999</v>
      </c>
      <c r="O262" s="6">
        <v>37.292999999999999</v>
      </c>
      <c r="P262" s="6">
        <v>0</v>
      </c>
      <c r="Q262" s="4" t="s">
        <v>26</v>
      </c>
      <c r="R262" s="4">
        <v>0</v>
      </c>
      <c r="S262" s="6">
        <v>20</v>
      </c>
      <c r="T262" s="6">
        <v>21</v>
      </c>
      <c r="U262" s="6">
        <v>75</v>
      </c>
      <c r="V262" s="6">
        <f>IF(ISERROR(VLOOKUP($S$262,'TAR FIN'!$A$1:$O$115,15,0)),0,VLOOKUP($S$262,'TAR FIN'!$A$1:$O$115,15,0))</f>
        <v>19.8</v>
      </c>
      <c r="W262" s="6">
        <f>IF(ISERROR(VLOOKUP($T$262,'TAR FIN'!$A$1:$O$115,15,0)),0,VLOOKUP($T$262,'TAR FIN'!$A$1:$O$115,15,0))</f>
        <v>84.31</v>
      </c>
      <c r="X262" s="6">
        <f>IF(ISERROR(VLOOKUP($U$262,'TAR FIN'!$A$1:$O$115,15,0)),0,VLOOKUP($U$262,'TAR FIN'!$A$1:$O$115,15,0))</f>
        <v>168.06</v>
      </c>
      <c r="Y262" s="6">
        <f ca="1">('TUSD BE'!$AM$20+'TUSD BF'!$AM$20+'TUSD CVA'!$AM$20)*1</f>
        <v>20.615214330225772</v>
      </c>
      <c r="Z262" s="6">
        <f ca="1">('TUSD BE'!$AM$21+'TUSD BF'!$AM$21+'TUSD CVA'!$AM$21)*1</f>
        <v>113.43121292628391</v>
      </c>
      <c r="AA262" s="6">
        <f>('TE BE'!$AB$12+'TE BF'!$AB$12+'TE CVA'!$AB$12)*1</f>
        <v>218.6854278594964</v>
      </c>
      <c r="AB262" s="6">
        <f>$K$262*$V$262</f>
        <v>2673</v>
      </c>
      <c r="AC262" s="6">
        <f>$M$262*$W$262</f>
        <v>3144.17283</v>
      </c>
      <c r="AD262" s="6">
        <f>$O$262*$X$262</f>
        <v>6267.4615800000001</v>
      </c>
      <c r="AE262" s="6">
        <f ca="1">$K$262*$Y$262</f>
        <v>2783.0539345804791</v>
      </c>
      <c r="AF262" s="6">
        <f ca="1">$M$262*$Z$262</f>
        <v>4230.1902236599053</v>
      </c>
      <c r="AG262" s="6">
        <f>$O$262*$AA$262</f>
        <v>8155.4356611641988</v>
      </c>
    </row>
    <row r="263" spans="1:33" ht="11.25" customHeight="1" x14ac:dyDescent="0.25">
      <c r="A263" s="4" t="s">
        <v>28</v>
      </c>
      <c r="B263" s="4" t="s">
        <v>41</v>
      </c>
      <c r="C263" s="4" t="s">
        <v>42</v>
      </c>
      <c r="D263" s="4" t="s">
        <v>40</v>
      </c>
      <c r="E263" s="4" t="s">
        <v>25</v>
      </c>
      <c r="F263" s="4" t="s">
        <v>25</v>
      </c>
      <c r="G263" s="4" t="s">
        <v>25</v>
      </c>
      <c r="H263" s="4" t="s">
        <v>37</v>
      </c>
      <c r="I263" s="5">
        <v>44621</v>
      </c>
      <c r="J263" s="6">
        <v>1125</v>
      </c>
      <c r="K263" s="6">
        <v>1125</v>
      </c>
      <c r="L263" s="6">
        <v>492.60399999999998</v>
      </c>
      <c r="M263" s="6">
        <v>492.60399999999998</v>
      </c>
      <c r="N263" s="6">
        <v>492.60399999999998</v>
      </c>
      <c r="O263" s="6">
        <v>492.60399999999998</v>
      </c>
      <c r="P263" s="6">
        <v>0</v>
      </c>
      <c r="Q263" s="4" t="s">
        <v>26</v>
      </c>
      <c r="R263" s="4">
        <v>0</v>
      </c>
      <c r="S263" s="6">
        <v>20</v>
      </c>
      <c r="T263" s="6">
        <v>21</v>
      </c>
      <c r="U263" s="6">
        <v>75</v>
      </c>
      <c r="V263" s="6">
        <f>IF(ISERROR(VLOOKUP($S$263,'TAR FIN'!$A$1:$O$115,15,0)),0,VLOOKUP($S$263,'TAR FIN'!$A$1:$O$115,15,0))</f>
        <v>19.8</v>
      </c>
      <c r="W263" s="6">
        <f>IF(ISERROR(VLOOKUP($T$263,'TAR FIN'!$A$1:$O$115,15,0)),0,VLOOKUP($T$263,'TAR FIN'!$A$1:$O$115,15,0))</f>
        <v>84.31</v>
      </c>
      <c r="X263" s="6">
        <f>IF(ISERROR(VLOOKUP($U$263,'TAR FIN'!$A$1:$O$115,15,0)),0,VLOOKUP($U$263,'TAR FIN'!$A$1:$O$115,15,0))</f>
        <v>168.06</v>
      </c>
      <c r="Y263" s="6">
        <f ca="1">('TUSD BE'!$AM$20+'TUSD BF'!$AM$20+'TUSD CVA'!$AM$20)*1</f>
        <v>20.615214330225772</v>
      </c>
      <c r="Z263" s="6">
        <f ca="1">('TUSD BE'!$AM$21+'TUSD BF'!$AM$21+'TUSD CVA'!$AM$21)*1</f>
        <v>113.43121292628391</v>
      </c>
      <c r="AA263" s="6">
        <f>('TE BE'!$AB$12+'TE BF'!$AB$12+'TE CVA'!$AB$12)*1</f>
        <v>218.6854278594964</v>
      </c>
      <c r="AB263" s="6">
        <f>$K$263*$V$263</f>
        <v>22275</v>
      </c>
      <c r="AC263" s="6">
        <f>$M$263*$W$263</f>
        <v>41531.443240000001</v>
      </c>
      <c r="AD263" s="6">
        <f>$O$263*$X$263</f>
        <v>82787.02824</v>
      </c>
      <c r="AE263" s="6">
        <f ca="1">$K$263*$Y$263</f>
        <v>23192.116121503994</v>
      </c>
      <c r="AF263" s="6">
        <f ca="1">$M$263*$Z$263</f>
        <v>55876.669212339155</v>
      </c>
      <c r="AG263" s="6">
        <f>$O$263*$AA$263</f>
        <v>107725.31650529936</v>
      </c>
    </row>
    <row r="264" spans="1:33" ht="11.25" customHeight="1" x14ac:dyDescent="0.25">
      <c r="A264" s="4" t="s">
        <v>21</v>
      </c>
      <c r="B264" s="4" t="s">
        <v>41</v>
      </c>
      <c r="C264" s="4" t="s">
        <v>42</v>
      </c>
      <c r="D264" s="4" t="s">
        <v>40</v>
      </c>
      <c r="E264" s="4" t="s">
        <v>25</v>
      </c>
      <c r="F264" s="4" t="s">
        <v>25</v>
      </c>
      <c r="G264" s="4" t="s">
        <v>25</v>
      </c>
      <c r="H264" s="4" t="s">
        <v>37</v>
      </c>
      <c r="I264" s="5">
        <v>44652</v>
      </c>
      <c r="J264" s="6">
        <v>144</v>
      </c>
      <c r="K264" s="6">
        <v>144</v>
      </c>
      <c r="L264" s="6">
        <v>38.927</v>
      </c>
      <c r="M264" s="6">
        <v>38.927</v>
      </c>
      <c r="N264" s="6">
        <v>38.927</v>
      </c>
      <c r="O264" s="6">
        <v>38.927</v>
      </c>
      <c r="P264" s="6">
        <v>0</v>
      </c>
      <c r="Q264" s="4" t="s">
        <v>26</v>
      </c>
      <c r="R264" s="4">
        <v>0</v>
      </c>
      <c r="S264" s="6">
        <v>20</v>
      </c>
      <c r="T264" s="6">
        <v>21</v>
      </c>
      <c r="U264" s="6">
        <v>75</v>
      </c>
      <c r="V264" s="6">
        <f>IF(ISERROR(VLOOKUP($S$264,'TAR FIN'!$A$1:$O$115,15,0)),0,VLOOKUP($S$264,'TAR FIN'!$A$1:$O$115,15,0))</f>
        <v>19.8</v>
      </c>
      <c r="W264" s="6">
        <f>IF(ISERROR(VLOOKUP($T$264,'TAR FIN'!$A$1:$O$115,15,0)),0,VLOOKUP($T$264,'TAR FIN'!$A$1:$O$115,15,0))</f>
        <v>84.31</v>
      </c>
      <c r="X264" s="6">
        <f>IF(ISERROR(VLOOKUP($U$264,'TAR FIN'!$A$1:$O$115,15,0)),0,VLOOKUP($U$264,'TAR FIN'!$A$1:$O$115,15,0))</f>
        <v>168.06</v>
      </c>
      <c r="Y264" s="6">
        <f ca="1">('TUSD BE'!$AM$20+'TUSD BF'!$AM$20+'TUSD CVA'!$AM$20)*1</f>
        <v>20.615214330225772</v>
      </c>
      <c r="Z264" s="6">
        <f ca="1">('TUSD BE'!$AM$21+'TUSD BF'!$AM$21+'TUSD CVA'!$AM$21)*1</f>
        <v>113.43121292628391</v>
      </c>
      <c r="AA264" s="6">
        <f>('TE BE'!$AB$12+'TE BF'!$AB$12+'TE CVA'!$AB$12)*1</f>
        <v>218.6854278594964</v>
      </c>
      <c r="AB264" s="6">
        <f>$K$264*$V$264</f>
        <v>2851.2000000000003</v>
      </c>
      <c r="AC264" s="6">
        <f>$M$264*$W$264</f>
        <v>3281.9353700000001</v>
      </c>
      <c r="AD264" s="6">
        <f>$O$264*$X$264</f>
        <v>6542.0716199999997</v>
      </c>
      <c r="AE264" s="6">
        <f ca="1">$K$264*$Y$264</f>
        <v>2968.5908635525111</v>
      </c>
      <c r="AF264" s="6">
        <f ca="1">$M$264*$Z$264</f>
        <v>4415.5368255814537</v>
      </c>
      <c r="AG264" s="6">
        <f>$O$264*$AA$264</f>
        <v>8512.7676502866161</v>
      </c>
    </row>
    <row r="265" spans="1:33" ht="11.25" customHeight="1" x14ac:dyDescent="0.25">
      <c r="A265" s="4" t="s">
        <v>28</v>
      </c>
      <c r="B265" s="4" t="s">
        <v>41</v>
      </c>
      <c r="C265" s="4" t="s">
        <v>42</v>
      </c>
      <c r="D265" s="4" t="s">
        <v>40</v>
      </c>
      <c r="E265" s="4" t="s">
        <v>25</v>
      </c>
      <c r="F265" s="4" t="s">
        <v>25</v>
      </c>
      <c r="G265" s="4" t="s">
        <v>25</v>
      </c>
      <c r="H265" s="4" t="s">
        <v>37</v>
      </c>
      <c r="I265" s="5">
        <v>44652</v>
      </c>
      <c r="J265" s="6">
        <v>1075</v>
      </c>
      <c r="K265" s="6">
        <v>1075</v>
      </c>
      <c r="L265" s="6">
        <v>433.584</v>
      </c>
      <c r="M265" s="6">
        <v>433.584</v>
      </c>
      <c r="N265" s="6">
        <v>433.584</v>
      </c>
      <c r="O265" s="6">
        <v>433.584</v>
      </c>
      <c r="P265" s="6">
        <v>0</v>
      </c>
      <c r="Q265" s="4" t="s">
        <v>26</v>
      </c>
      <c r="R265" s="4">
        <v>0</v>
      </c>
      <c r="S265" s="6">
        <v>20</v>
      </c>
      <c r="T265" s="6">
        <v>21</v>
      </c>
      <c r="U265" s="6">
        <v>75</v>
      </c>
      <c r="V265" s="6">
        <f>IF(ISERROR(VLOOKUP($S$265,'TAR FIN'!$A$1:$O$115,15,0)),0,VLOOKUP($S$265,'TAR FIN'!$A$1:$O$115,15,0))</f>
        <v>19.8</v>
      </c>
      <c r="W265" s="6">
        <f>IF(ISERROR(VLOOKUP($T$265,'TAR FIN'!$A$1:$O$115,15,0)),0,VLOOKUP($T$265,'TAR FIN'!$A$1:$O$115,15,0))</f>
        <v>84.31</v>
      </c>
      <c r="X265" s="6">
        <f>IF(ISERROR(VLOOKUP($U$265,'TAR FIN'!$A$1:$O$115,15,0)),0,VLOOKUP($U$265,'TAR FIN'!$A$1:$O$115,15,0))</f>
        <v>168.06</v>
      </c>
      <c r="Y265" s="6">
        <f ca="1">('TUSD BE'!$AM$20+'TUSD BF'!$AM$20+'TUSD CVA'!$AM$20)*1</f>
        <v>20.615214330225772</v>
      </c>
      <c r="Z265" s="6">
        <f ca="1">('TUSD BE'!$AM$21+'TUSD BF'!$AM$21+'TUSD CVA'!$AM$21)*1</f>
        <v>113.43121292628391</v>
      </c>
      <c r="AA265" s="6">
        <f>('TE BE'!$AB$12+'TE BF'!$AB$12+'TE CVA'!$AB$12)*1</f>
        <v>218.6854278594964</v>
      </c>
      <c r="AB265" s="6">
        <f>$K$265*$V$265</f>
        <v>21285</v>
      </c>
      <c r="AC265" s="6">
        <f>$M$265*$W$265</f>
        <v>36555.467040000003</v>
      </c>
      <c r="AD265" s="6">
        <f>$O$265*$X$265</f>
        <v>72868.127040000007</v>
      </c>
      <c r="AE265" s="6">
        <f ca="1">$K$265*$Y$265</f>
        <v>22161.355404992704</v>
      </c>
      <c r="AF265" s="6">
        <f ca="1">$M$265*$Z$265</f>
        <v>49181.959025429882</v>
      </c>
      <c r="AG265" s="6">
        <f>$O$265*$AA$265</f>
        <v>94818.502553031882</v>
      </c>
    </row>
    <row r="266" spans="1:33" ht="11.25" customHeight="1" x14ac:dyDescent="0.25">
      <c r="A266" s="4" t="s">
        <v>21</v>
      </c>
      <c r="B266" s="4" t="s">
        <v>41</v>
      </c>
      <c r="C266" s="4" t="s">
        <v>42</v>
      </c>
      <c r="D266" s="4" t="s">
        <v>40</v>
      </c>
      <c r="E266" s="4" t="s">
        <v>25</v>
      </c>
      <c r="F266" s="4" t="s">
        <v>25</v>
      </c>
      <c r="G266" s="4" t="s">
        <v>25</v>
      </c>
      <c r="H266" s="4" t="s">
        <v>37</v>
      </c>
      <c r="I266" s="5">
        <v>44682</v>
      </c>
      <c r="J266" s="6">
        <v>138</v>
      </c>
      <c r="K266" s="6">
        <v>138</v>
      </c>
      <c r="L266" s="6">
        <v>45.073</v>
      </c>
      <c r="M266" s="6">
        <v>45.073</v>
      </c>
      <c r="N266" s="6">
        <v>45.073</v>
      </c>
      <c r="O266" s="6">
        <v>45.073</v>
      </c>
      <c r="P266" s="6">
        <v>0</v>
      </c>
      <c r="Q266" s="4" t="s">
        <v>26</v>
      </c>
      <c r="R266" s="4">
        <v>0</v>
      </c>
      <c r="S266" s="6">
        <v>20</v>
      </c>
      <c r="T266" s="6">
        <v>21</v>
      </c>
      <c r="U266" s="6">
        <v>75</v>
      </c>
      <c r="V266" s="6">
        <f>IF(ISERROR(VLOOKUP($S$266,'TAR FIN'!$A$1:$O$115,15,0)),0,VLOOKUP($S$266,'TAR FIN'!$A$1:$O$115,15,0))</f>
        <v>19.8</v>
      </c>
      <c r="W266" s="6">
        <f>IF(ISERROR(VLOOKUP($T$266,'TAR FIN'!$A$1:$O$115,15,0)),0,VLOOKUP($T$266,'TAR FIN'!$A$1:$O$115,15,0))</f>
        <v>84.31</v>
      </c>
      <c r="X266" s="6">
        <f>IF(ISERROR(VLOOKUP($U$266,'TAR FIN'!$A$1:$O$115,15,0)),0,VLOOKUP($U$266,'TAR FIN'!$A$1:$O$115,15,0))</f>
        <v>168.06</v>
      </c>
      <c r="Y266" s="6">
        <f ca="1">('TUSD BE'!$AM$20+'TUSD BF'!$AM$20+'TUSD CVA'!$AM$20)*1</f>
        <v>20.615214330225772</v>
      </c>
      <c r="Z266" s="6">
        <f ca="1">('TUSD BE'!$AM$21+'TUSD BF'!$AM$21+'TUSD CVA'!$AM$21)*1</f>
        <v>113.43121292628391</v>
      </c>
      <c r="AA266" s="6">
        <f>('TE BE'!$AB$12+'TE BF'!$AB$12+'TE CVA'!$AB$12)*1</f>
        <v>218.6854278594964</v>
      </c>
      <c r="AB266" s="6">
        <f>$K$266*$V$266</f>
        <v>2732.4</v>
      </c>
      <c r="AC266" s="6">
        <f>$M$266*$W$266</f>
        <v>3800.1046300000003</v>
      </c>
      <c r="AD266" s="6">
        <f>$O$266*$X$266</f>
        <v>7574.9683800000003</v>
      </c>
      <c r="AE266" s="6">
        <f ca="1">$K$266*$Y$266</f>
        <v>2844.8995775711564</v>
      </c>
      <c r="AF266" s="6">
        <f ca="1">$M$266*$Z$266</f>
        <v>5112.6850602263949</v>
      </c>
      <c r="AG266" s="6">
        <f>$O$266*$AA$266</f>
        <v>9856.8082899110814</v>
      </c>
    </row>
    <row r="267" spans="1:33" ht="11.25" customHeight="1" x14ac:dyDescent="0.25">
      <c r="A267" s="4" t="s">
        <v>28</v>
      </c>
      <c r="B267" s="4" t="s">
        <v>41</v>
      </c>
      <c r="C267" s="4" t="s">
        <v>42</v>
      </c>
      <c r="D267" s="4" t="s">
        <v>40</v>
      </c>
      <c r="E267" s="4" t="s">
        <v>25</v>
      </c>
      <c r="F267" s="4" t="s">
        <v>25</v>
      </c>
      <c r="G267" s="4" t="s">
        <v>25</v>
      </c>
      <c r="H267" s="4" t="s">
        <v>37</v>
      </c>
      <c r="I267" s="5">
        <v>44682</v>
      </c>
      <c r="J267" s="6">
        <v>900</v>
      </c>
      <c r="K267" s="6">
        <v>900</v>
      </c>
      <c r="L267" s="6">
        <v>407.54500000000002</v>
      </c>
      <c r="M267" s="6">
        <v>407.54500000000002</v>
      </c>
      <c r="N267" s="6">
        <v>407.54500000000002</v>
      </c>
      <c r="O267" s="6">
        <v>407.54500000000002</v>
      </c>
      <c r="P267" s="6">
        <v>0</v>
      </c>
      <c r="Q267" s="4" t="s">
        <v>26</v>
      </c>
      <c r="R267" s="4">
        <v>0</v>
      </c>
      <c r="S267" s="6">
        <v>20</v>
      </c>
      <c r="T267" s="6">
        <v>21</v>
      </c>
      <c r="U267" s="6">
        <v>75</v>
      </c>
      <c r="V267" s="6">
        <f>IF(ISERROR(VLOOKUP($S$267,'TAR FIN'!$A$1:$O$115,15,0)),0,VLOOKUP($S$267,'TAR FIN'!$A$1:$O$115,15,0))</f>
        <v>19.8</v>
      </c>
      <c r="W267" s="6">
        <f>IF(ISERROR(VLOOKUP($T$267,'TAR FIN'!$A$1:$O$115,15,0)),0,VLOOKUP($T$267,'TAR FIN'!$A$1:$O$115,15,0))</f>
        <v>84.31</v>
      </c>
      <c r="X267" s="6">
        <f>IF(ISERROR(VLOOKUP($U$267,'TAR FIN'!$A$1:$O$115,15,0)),0,VLOOKUP($U$267,'TAR FIN'!$A$1:$O$115,15,0))</f>
        <v>168.06</v>
      </c>
      <c r="Y267" s="6">
        <f ca="1">('TUSD BE'!$AM$20+'TUSD BF'!$AM$20+'TUSD CVA'!$AM$20)*1</f>
        <v>20.615214330225772</v>
      </c>
      <c r="Z267" s="6">
        <f ca="1">('TUSD BE'!$AM$21+'TUSD BF'!$AM$21+'TUSD CVA'!$AM$21)*1</f>
        <v>113.43121292628391</v>
      </c>
      <c r="AA267" s="6">
        <f>('TE BE'!$AB$12+'TE BF'!$AB$12+'TE CVA'!$AB$12)*1</f>
        <v>218.6854278594964</v>
      </c>
      <c r="AB267" s="6">
        <f>$K$267*$V$267</f>
        <v>17820</v>
      </c>
      <c r="AC267" s="6">
        <f>$M$267*$W$267</f>
        <v>34360.118950000004</v>
      </c>
      <c r="AD267" s="6">
        <f>$O$267*$X$267</f>
        <v>68492.012700000007</v>
      </c>
      <c r="AE267" s="6">
        <f ca="1">$K$267*$Y$267</f>
        <v>18553.692897203196</v>
      </c>
      <c r="AF267" s="6">
        <f ca="1">$M$267*$Z$267</f>
        <v>46228.323672042374</v>
      </c>
      <c r="AG267" s="6">
        <f>$O$267*$AA$267</f>
        <v>89124.15269699847</v>
      </c>
    </row>
    <row r="268" spans="1:33" ht="11.25" customHeight="1" x14ac:dyDescent="0.25">
      <c r="A268" s="4" t="s">
        <v>21</v>
      </c>
      <c r="B268" s="4" t="s">
        <v>41</v>
      </c>
      <c r="C268" s="4" t="s">
        <v>42</v>
      </c>
      <c r="D268" s="4" t="s">
        <v>40</v>
      </c>
      <c r="E268" s="4" t="s">
        <v>25</v>
      </c>
      <c r="F268" s="4" t="s">
        <v>25</v>
      </c>
      <c r="G268" s="4" t="s">
        <v>25</v>
      </c>
      <c r="H268" s="4" t="s">
        <v>37</v>
      </c>
      <c r="I268" s="5">
        <v>44713</v>
      </c>
      <c r="J268" s="6">
        <v>135</v>
      </c>
      <c r="K268" s="6">
        <v>135</v>
      </c>
      <c r="L268" s="6">
        <v>39.171999999999997</v>
      </c>
      <c r="M268" s="6">
        <v>39.171999999999997</v>
      </c>
      <c r="N268" s="6">
        <v>39.171999999999997</v>
      </c>
      <c r="O268" s="6">
        <v>39.171999999999997</v>
      </c>
      <c r="P268" s="6">
        <v>0</v>
      </c>
      <c r="Q268" s="4" t="s">
        <v>26</v>
      </c>
      <c r="R268" s="4">
        <v>0</v>
      </c>
      <c r="S268" s="6">
        <v>20</v>
      </c>
      <c r="T268" s="6">
        <v>21</v>
      </c>
      <c r="U268" s="6">
        <v>75</v>
      </c>
      <c r="V268" s="6">
        <f>IF(ISERROR(VLOOKUP($S$268,'TAR FIN'!$A$1:$O$115,15,0)),0,VLOOKUP($S$268,'TAR FIN'!$A$1:$O$115,15,0))</f>
        <v>19.8</v>
      </c>
      <c r="W268" s="6">
        <f>IF(ISERROR(VLOOKUP($T$268,'TAR FIN'!$A$1:$O$115,15,0)),0,VLOOKUP($T$268,'TAR FIN'!$A$1:$O$115,15,0))</f>
        <v>84.31</v>
      </c>
      <c r="X268" s="6">
        <f>IF(ISERROR(VLOOKUP($U$268,'TAR FIN'!$A$1:$O$115,15,0)),0,VLOOKUP($U$268,'TAR FIN'!$A$1:$O$115,15,0))</f>
        <v>168.06</v>
      </c>
      <c r="Y268" s="6">
        <f ca="1">('TUSD BE'!$AM$20+'TUSD BF'!$AM$20+'TUSD CVA'!$AM$20)*1</f>
        <v>20.615214330225772</v>
      </c>
      <c r="Z268" s="6">
        <f ca="1">('TUSD BE'!$AM$21+'TUSD BF'!$AM$21+'TUSD CVA'!$AM$21)*1</f>
        <v>113.43121292628391</v>
      </c>
      <c r="AA268" s="6">
        <f>('TE BE'!$AB$12+'TE BF'!$AB$12+'TE CVA'!$AB$12)*1</f>
        <v>218.6854278594964</v>
      </c>
      <c r="AB268" s="6">
        <f>$K$268*$V$268</f>
        <v>2673</v>
      </c>
      <c r="AC268" s="6">
        <f>$M$268*$W$268</f>
        <v>3302.59132</v>
      </c>
      <c r="AD268" s="6">
        <f>$O$268*$X$268</f>
        <v>6583.2463199999993</v>
      </c>
      <c r="AE268" s="6">
        <f ca="1">$K$268*$Y$268</f>
        <v>2783.0539345804791</v>
      </c>
      <c r="AF268" s="6">
        <f ca="1">$M$268*$Z$268</f>
        <v>4443.3274727483931</v>
      </c>
      <c r="AG268" s="6">
        <f>$O$268*$AA$268</f>
        <v>8566.3455801121927</v>
      </c>
    </row>
    <row r="269" spans="1:33" ht="11.25" customHeight="1" x14ac:dyDescent="0.25">
      <c r="A269" s="4" t="s">
        <v>27</v>
      </c>
      <c r="B269" s="4" t="s">
        <v>41</v>
      </c>
      <c r="C269" s="4" t="s">
        <v>42</v>
      </c>
      <c r="D269" s="4" t="s">
        <v>40</v>
      </c>
      <c r="E269" s="4" t="s">
        <v>25</v>
      </c>
      <c r="F269" s="4" t="s">
        <v>25</v>
      </c>
      <c r="G269" s="4" t="s">
        <v>25</v>
      </c>
      <c r="H269" s="4" t="s">
        <v>37</v>
      </c>
      <c r="I269" s="5">
        <v>44713</v>
      </c>
      <c r="J269" s="6">
        <v>180</v>
      </c>
      <c r="K269" s="6">
        <v>180</v>
      </c>
      <c r="L269" s="6">
        <v>21.28</v>
      </c>
      <c r="M269" s="6">
        <v>21.28</v>
      </c>
      <c r="N269" s="6">
        <v>21.28</v>
      </c>
      <c r="O269" s="6">
        <v>21.28</v>
      </c>
      <c r="P269" s="6">
        <v>0</v>
      </c>
      <c r="Q269" s="4" t="s">
        <v>26</v>
      </c>
      <c r="R269" s="4">
        <v>0</v>
      </c>
      <c r="S269" s="6">
        <v>20</v>
      </c>
      <c r="T269" s="6">
        <v>21</v>
      </c>
      <c r="U269" s="6">
        <v>75</v>
      </c>
      <c r="V269" s="6">
        <f>IF(ISERROR(VLOOKUP($S$269,'TAR FIN'!$A$1:$O$115,15,0)),0,VLOOKUP($S$269,'TAR FIN'!$A$1:$O$115,15,0))</f>
        <v>19.8</v>
      </c>
      <c r="W269" s="6">
        <f>IF(ISERROR(VLOOKUP($T$269,'TAR FIN'!$A$1:$O$115,15,0)),0,VLOOKUP($T$269,'TAR FIN'!$A$1:$O$115,15,0))</f>
        <v>84.31</v>
      </c>
      <c r="X269" s="6">
        <f>IF(ISERROR(VLOOKUP($U$269,'TAR FIN'!$A$1:$O$115,15,0)),0,VLOOKUP($U$269,'TAR FIN'!$A$1:$O$115,15,0))</f>
        <v>168.06</v>
      </c>
      <c r="Y269" s="6">
        <f ca="1">('TUSD BE'!$AM$20+'TUSD BF'!$AM$20+'TUSD CVA'!$AM$20)*1</f>
        <v>20.615214330225772</v>
      </c>
      <c r="Z269" s="6">
        <f ca="1">('TUSD BE'!$AM$21+'TUSD BF'!$AM$21+'TUSD CVA'!$AM$21)*1</f>
        <v>113.43121292628391</v>
      </c>
      <c r="AA269" s="6">
        <f>('TE BE'!$AB$12+'TE BF'!$AB$12+'TE CVA'!$AB$12)*1</f>
        <v>218.6854278594964</v>
      </c>
      <c r="AB269" s="6">
        <f>$K$269*$V$269</f>
        <v>3564</v>
      </c>
      <c r="AC269" s="6">
        <f>$M$269*$W$269</f>
        <v>1794.1168000000002</v>
      </c>
      <c r="AD269" s="6">
        <f>$O$269*$X$269</f>
        <v>3576.3168000000001</v>
      </c>
      <c r="AE269" s="6">
        <f ca="1">$K$269*$Y$269</f>
        <v>3710.7385794406391</v>
      </c>
      <c r="AF269" s="6">
        <f ca="1">$M$269*$Z$269</f>
        <v>2413.8162110713215</v>
      </c>
      <c r="AG269" s="6">
        <f>$O$269*$AA$269</f>
        <v>4653.6259048500833</v>
      </c>
    </row>
    <row r="270" spans="1:33" ht="11.25" customHeight="1" x14ac:dyDescent="0.25">
      <c r="A270" s="4" t="s">
        <v>28</v>
      </c>
      <c r="B270" s="4" t="s">
        <v>41</v>
      </c>
      <c r="C270" s="4" t="s">
        <v>42</v>
      </c>
      <c r="D270" s="4" t="s">
        <v>40</v>
      </c>
      <c r="E270" s="4" t="s">
        <v>25</v>
      </c>
      <c r="F270" s="4" t="s">
        <v>25</v>
      </c>
      <c r="G270" s="4" t="s">
        <v>25</v>
      </c>
      <c r="H270" s="4" t="s">
        <v>37</v>
      </c>
      <c r="I270" s="5">
        <v>44713</v>
      </c>
      <c r="J270" s="6">
        <v>1117</v>
      </c>
      <c r="K270" s="6">
        <v>1117</v>
      </c>
      <c r="L270" s="6">
        <v>525.85400000000004</v>
      </c>
      <c r="M270" s="6">
        <v>525.85400000000004</v>
      </c>
      <c r="N270" s="6">
        <v>525.85400000000004</v>
      </c>
      <c r="O270" s="6">
        <v>525.85400000000004</v>
      </c>
      <c r="P270" s="6">
        <v>0</v>
      </c>
      <c r="Q270" s="4" t="s">
        <v>26</v>
      </c>
      <c r="R270" s="4">
        <v>0</v>
      </c>
      <c r="S270" s="6">
        <v>20</v>
      </c>
      <c r="T270" s="6">
        <v>21</v>
      </c>
      <c r="U270" s="6">
        <v>75</v>
      </c>
      <c r="V270" s="6">
        <f>IF(ISERROR(VLOOKUP($S$270,'TAR FIN'!$A$1:$O$115,15,0)),0,VLOOKUP($S$270,'TAR FIN'!$A$1:$O$115,15,0))</f>
        <v>19.8</v>
      </c>
      <c r="W270" s="6">
        <f>IF(ISERROR(VLOOKUP($T$270,'TAR FIN'!$A$1:$O$115,15,0)),0,VLOOKUP($T$270,'TAR FIN'!$A$1:$O$115,15,0))</f>
        <v>84.31</v>
      </c>
      <c r="X270" s="6">
        <f>IF(ISERROR(VLOOKUP($U$270,'TAR FIN'!$A$1:$O$115,15,0)),0,VLOOKUP($U$270,'TAR FIN'!$A$1:$O$115,15,0))</f>
        <v>168.06</v>
      </c>
      <c r="Y270" s="6">
        <f ca="1">('TUSD BE'!$AM$20+'TUSD BF'!$AM$20+'TUSD CVA'!$AM$20)*1</f>
        <v>20.615214330225772</v>
      </c>
      <c r="Z270" s="6">
        <f ca="1">('TUSD BE'!$AM$21+'TUSD BF'!$AM$21+'TUSD CVA'!$AM$21)*1</f>
        <v>113.43121292628391</v>
      </c>
      <c r="AA270" s="6">
        <f>('TE BE'!$AB$12+'TE BF'!$AB$12+'TE CVA'!$AB$12)*1</f>
        <v>218.6854278594964</v>
      </c>
      <c r="AB270" s="6">
        <f>$K$270*$V$270</f>
        <v>22116.600000000002</v>
      </c>
      <c r="AC270" s="6">
        <f>$M$270*$W$270</f>
        <v>44334.750740000003</v>
      </c>
      <c r="AD270" s="6">
        <f>$O$270*$X$270</f>
        <v>88375.02324000001</v>
      </c>
      <c r="AE270" s="6">
        <f ca="1">$K$270*$Y$270</f>
        <v>23027.194406862189</v>
      </c>
      <c r="AF270" s="6">
        <f ca="1">$M$270*$Z$270</f>
        <v>59648.257042138102</v>
      </c>
      <c r="AG270" s="6">
        <f>$O$270*$AA$270</f>
        <v>114996.60698162763</v>
      </c>
    </row>
    <row r="271" spans="1:33" ht="11.25" customHeight="1" x14ac:dyDescent="0.25">
      <c r="A271" s="4" t="s">
        <v>21</v>
      </c>
      <c r="B271" s="4" t="s">
        <v>41</v>
      </c>
      <c r="C271" s="4" t="s">
        <v>42</v>
      </c>
      <c r="D271" s="4" t="s">
        <v>40</v>
      </c>
      <c r="E271" s="4" t="s">
        <v>25</v>
      </c>
      <c r="F271" s="4" t="s">
        <v>25</v>
      </c>
      <c r="G271" s="4" t="s">
        <v>25</v>
      </c>
      <c r="H271" s="4" t="s">
        <v>37</v>
      </c>
      <c r="I271" s="5">
        <v>44743</v>
      </c>
      <c r="J271" s="6">
        <v>147</v>
      </c>
      <c r="K271" s="6">
        <v>147</v>
      </c>
      <c r="L271" s="6">
        <v>43.637999999999998</v>
      </c>
      <c r="M271" s="6">
        <v>43.637999999999998</v>
      </c>
      <c r="N271" s="6">
        <v>43.637999999999998</v>
      </c>
      <c r="O271" s="6">
        <v>43.637999999999998</v>
      </c>
      <c r="P271" s="6">
        <v>0</v>
      </c>
      <c r="Q271" s="4" t="s">
        <v>26</v>
      </c>
      <c r="R271" s="4">
        <v>0</v>
      </c>
      <c r="S271" s="6">
        <v>20</v>
      </c>
      <c r="T271" s="6">
        <v>21</v>
      </c>
      <c r="U271" s="6">
        <v>75</v>
      </c>
      <c r="V271" s="6">
        <f>IF(ISERROR(VLOOKUP($S$271,'TAR FIN'!$A$1:$O$115,15,0)),0,VLOOKUP($S$271,'TAR FIN'!$A$1:$O$115,15,0))</f>
        <v>19.8</v>
      </c>
      <c r="W271" s="6">
        <f>IF(ISERROR(VLOOKUP($T$271,'TAR FIN'!$A$1:$O$115,15,0)),0,VLOOKUP($T$271,'TAR FIN'!$A$1:$O$115,15,0))</f>
        <v>84.31</v>
      </c>
      <c r="X271" s="6">
        <f>IF(ISERROR(VLOOKUP($U$271,'TAR FIN'!$A$1:$O$115,15,0)),0,VLOOKUP($U$271,'TAR FIN'!$A$1:$O$115,15,0))</f>
        <v>168.06</v>
      </c>
      <c r="Y271" s="6">
        <f ca="1">('TUSD BE'!$AM$20+'TUSD BF'!$AM$20+'TUSD CVA'!$AM$20)*1</f>
        <v>20.615214330225772</v>
      </c>
      <c r="Z271" s="6">
        <f ca="1">('TUSD BE'!$AM$21+'TUSD BF'!$AM$21+'TUSD CVA'!$AM$21)*1</f>
        <v>113.43121292628391</v>
      </c>
      <c r="AA271" s="6">
        <f>('TE BE'!$AB$12+'TE BF'!$AB$12+'TE CVA'!$AB$12)*1</f>
        <v>218.6854278594964</v>
      </c>
      <c r="AB271" s="6">
        <f>$K$271*$V$271</f>
        <v>2910.6</v>
      </c>
      <c r="AC271" s="6">
        <f>$M$271*$W$271</f>
        <v>3679.11978</v>
      </c>
      <c r="AD271" s="6">
        <f>$O$271*$X$271</f>
        <v>7333.8022799999999</v>
      </c>
      <c r="AE271" s="6">
        <f ca="1">$K$271*$Y$271</f>
        <v>3030.4365065431884</v>
      </c>
      <c r="AF271" s="6">
        <f ca="1">$M$271*$Z$271</f>
        <v>4949.9112696771772</v>
      </c>
      <c r="AG271" s="6">
        <f>$O$271*$AA$271</f>
        <v>9542.9947009327043</v>
      </c>
    </row>
    <row r="272" spans="1:33" ht="11.25" customHeight="1" x14ac:dyDescent="0.25">
      <c r="A272" s="4" t="s">
        <v>28</v>
      </c>
      <c r="B272" s="4" t="s">
        <v>41</v>
      </c>
      <c r="C272" s="4" t="s">
        <v>42</v>
      </c>
      <c r="D272" s="4" t="s">
        <v>40</v>
      </c>
      <c r="E272" s="4" t="s">
        <v>25</v>
      </c>
      <c r="F272" s="4" t="s">
        <v>25</v>
      </c>
      <c r="G272" s="4" t="s">
        <v>25</v>
      </c>
      <c r="H272" s="4" t="s">
        <v>37</v>
      </c>
      <c r="I272" s="5">
        <v>44743</v>
      </c>
      <c r="J272" s="6">
        <v>1120</v>
      </c>
      <c r="K272" s="6">
        <v>1120</v>
      </c>
      <c r="L272" s="6">
        <v>505.18299999999999</v>
      </c>
      <c r="M272" s="6">
        <v>505.18299999999999</v>
      </c>
      <c r="N272" s="6">
        <v>505.18299999999999</v>
      </c>
      <c r="O272" s="6">
        <v>505.18299999999999</v>
      </c>
      <c r="P272" s="6">
        <v>0</v>
      </c>
      <c r="Q272" s="4" t="s">
        <v>26</v>
      </c>
      <c r="R272" s="4">
        <v>0</v>
      </c>
      <c r="S272" s="6">
        <v>20</v>
      </c>
      <c r="T272" s="6">
        <v>21</v>
      </c>
      <c r="U272" s="6">
        <v>75</v>
      </c>
      <c r="V272" s="6">
        <f>IF(ISERROR(VLOOKUP($S$272,'TAR FIN'!$A$1:$O$115,15,0)),0,VLOOKUP($S$272,'TAR FIN'!$A$1:$O$115,15,0))</f>
        <v>19.8</v>
      </c>
      <c r="W272" s="6">
        <f>IF(ISERROR(VLOOKUP($T$272,'TAR FIN'!$A$1:$O$115,15,0)),0,VLOOKUP($T$272,'TAR FIN'!$A$1:$O$115,15,0))</f>
        <v>84.31</v>
      </c>
      <c r="X272" s="6">
        <f>IF(ISERROR(VLOOKUP($U$272,'TAR FIN'!$A$1:$O$115,15,0)),0,VLOOKUP($U$272,'TAR FIN'!$A$1:$O$115,15,0))</f>
        <v>168.06</v>
      </c>
      <c r="Y272" s="6">
        <f ca="1">('TUSD BE'!$AM$20+'TUSD BF'!$AM$20+'TUSD CVA'!$AM$20)*1</f>
        <v>20.615214330225772</v>
      </c>
      <c r="Z272" s="6">
        <f ca="1">('TUSD BE'!$AM$21+'TUSD BF'!$AM$21+'TUSD CVA'!$AM$21)*1</f>
        <v>113.43121292628391</v>
      </c>
      <c r="AA272" s="6">
        <f>('TE BE'!$AB$12+'TE BF'!$AB$12+'TE CVA'!$AB$12)*1</f>
        <v>218.6854278594964</v>
      </c>
      <c r="AB272" s="6">
        <f>$K$272*$V$272</f>
        <v>22176</v>
      </c>
      <c r="AC272" s="6">
        <f>$M$272*$W$272</f>
        <v>42591.978730000003</v>
      </c>
      <c r="AD272" s="6">
        <f>$O$272*$X$272</f>
        <v>84901.054980000001</v>
      </c>
      <c r="AE272" s="6">
        <f ca="1">$K$272*$Y$272</f>
        <v>23089.040049852865</v>
      </c>
      <c r="AF272" s="6">
        <f ca="1">$M$272*$Z$272</f>
        <v>57303.520439738881</v>
      </c>
      <c r="AG272" s="6">
        <f>$O$272*$AA$272</f>
        <v>110476.16050234396</v>
      </c>
    </row>
    <row r="273" spans="1:33" ht="11.25" customHeight="1" x14ac:dyDescent="0.25">
      <c r="A273" s="4" t="s">
        <v>21</v>
      </c>
      <c r="B273" s="4" t="s">
        <v>41</v>
      </c>
      <c r="C273" s="4" t="s">
        <v>42</v>
      </c>
      <c r="D273" s="4" t="s">
        <v>40</v>
      </c>
      <c r="E273" s="4" t="s">
        <v>25</v>
      </c>
      <c r="F273" s="4" t="s">
        <v>25</v>
      </c>
      <c r="G273" s="4" t="s">
        <v>25</v>
      </c>
      <c r="H273" s="4" t="s">
        <v>37</v>
      </c>
      <c r="I273" s="5">
        <v>44774</v>
      </c>
      <c r="J273" s="6">
        <v>145</v>
      </c>
      <c r="K273" s="6">
        <v>145</v>
      </c>
      <c r="L273" s="6">
        <v>43.432000000000002</v>
      </c>
      <c r="M273" s="6">
        <v>43.432000000000002</v>
      </c>
      <c r="N273" s="6">
        <v>43.432000000000002</v>
      </c>
      <c r="O273" s="6">
        <v>43.432000000000002</v>
      </c>
      <c r="P273" s="6">
        <v>0</v>
      </c>
      <c r="Q273" s="4" t="s">
        <v>26</v>
      </c>
      <c r="R273" s="4">
        <v>0</v>
      </c>
      <c r="S273" s="6">
        <v>20</v>
      </c>
      <c r="T273" s="6">
        <v>21</v>
      </c>
      <c r="U273" s="6">
        <v>75</v>
      </c>
      <c r="V273" s="6">
        <f>IF(ISERROR(VLOOKUP($S$273,'TAR FIN'!$A$1:$O$115,15,0)),0,VLOOKUP($S$273,'TAR FIN'!$A$1:$O$115,15,0))</f>
        <v>19.8</v>
      </c>
      <c r="W273" s="6">
        <f>IF(ISERROR(VLOOKUP($T$273,'TAR FIN'!$A$1:$O$115,15,0)),0,VLOOKUP($T$273,'TAR FIN'!$A$1:$O$115,15,0))</f>
        <v>84.31</v>
      </c>
      <c r="X273" s="6">
        <f>IF(ISERROR(VLOOKUP($U$273,'TAR FIN'!$A$1:$O$115,15,0)),0,VLOOKUP($U$273,'TAR FIN'!$A$1:$O$115,15,0))</f>
        <v>168.06</v>
      </c>
      <c r="Y273" s="6">
        <f ca="1">('TUSD BE'!$AM$20+'TUSD BF'!$AM$20+'TUSD CVA'!$AM$20)*1</f>
        <v>20.615214330225772</v>
      </c>
      <c r="Z273" s="6">
        <f ca="1">('TUSD BE'!$AM$21+'TUSD BF'!$AM$21+'TUSD CVA'!$AM$21)*1</f>
        <v>113.43121292628391</v>
      </c>
      <c r="AA273" s="6">
        <f>('TE BE'!$AB$12+'TE BF'!$AB$12+'TE CVA'!$AB$12)*1</f>
        <v>218.6854278594964</v>
      </c>
      <c r="AB273" s="6">
        <f>$K$273*$V$273</f>
        <v>2871</v>
      </c>
      <c r="AC273" s="6">
        <f>$M$273*$W$273</f>
        <v>3661.7519200000002</v>
      </c>
      <c r="AD273" s="6">
        <f>$O$273*$X$273</f>
        <v>7299.1819200000009</v>
      </c>
      <c r="AE273" s="6">
        <f ca="1">$K$273*$Y$273</f>
        <v>2989.2060778827367</v>
      </c>
      <c r="AF273" s="6">
        <f ca="1">$M$273*$Z$273</f>
        <v>4926.5444398143627</v>
      </c>
      <c r="AG273" s="6">
        <f>$O$273*$AA$273</f>
        <v>9497.9455027936474</v>
      </c>
    </row>
    <row r="274" spans="1:33" ht="11.25" customHeight="1" x14ac:dyDescent="0.25">
      <c r="A274" s="4" t="s">
        <v>28</v>
      </c>
      <c r="B274" s="4" t="s">
        <v>41</v>
      </c>
      <c r="C274" s="4" t="s">
        <v>42</v>
      </c>
      <c r="D274" s="4" t="s">
        <v>40</v>
      </c>
      <c r="E274" s="4" t="s">
        <v>25</v>
      </c>
      <c r="F274" s="4" t="s">
        <v>25</v>
      </c>
      <c r="G274" s="4" t="s">
        <v>25</v>
      </c>
      <c r="H274" s="4" t="s">
        <v>37</v>
      </c>
      <c r="I274" s="5">
        <v>44774</v>
      </c>
      <c r="J274" s="6">
        <v>1137</v>
      </c>
      <c r="K274" s="6">
        <v>1137</v>
      </c>
      <c r="L274" s="6">
        <v>543.13400000000001</v>
      </c>
      <c r="M274" s="6">
        <v>543.13400000000001</v>
      </c>
      <c r="N274" s="6">
        <v>543.13400000000001</v>
      </c>
      <c r="O274" s="6">
        <v>543.13400000000001</v>
      </c>
      <c r="P274" s="6">
        <v>0</v>
      </c>
      <c r="Q274" s="4" t="s">
        <v>26</v>
      </c>
      <c r="R274" s="4">
        <v>0</v>
      </c>
      <c r="S274" s="6">
        <v>20</v>
      </c>
      <c r="T274" s="6">
        <v>21</v>
      </c>
      <c r="U274" s="6">
        <v>75</v>
      </c>
      <c r="V274" s="6">
        <f>IF(ISERROR(VLOOKUP($S$274,'TAR FIN'!$A$1:$O$115,15,0)),0,VLOOKUP($S$274,'TAR FIN'!$A$1:$O$115,15,0))</f>
        <v>19.8</v>
      </c>
      <c r="W274" s="6">
        <f>IF(ISERROR(VLOOKUP($T$274,'TAR FIN'!$A$1:$O$115,15,0)),0,VLOOKUP($T$274,'TAR FIN'!$A$1:$O$115,15,0))</f>
        <v>84.31</v>
      </c>
      <c r="X274" s="6">
        <f>IF(ISERROR(VLOOKUP($U$274,'TAR FIN'!$A$1:$O$115,15,0)),0,VLOOKUP($U$274,'TAR FIN'!$A$1:$O$115,15,0))</f>
        <v>168.06</v>
      </c>
      <c r="Y274" s="6">
        <f ca="1">('TUSD BE'!$AM$20+'TUSD BF'!$AM$20+'TUSD CVA'!$AM$20)*1</f>
        <v>20.615214330225772</v>
      </c>
      <c r="Z274" s="6">
        <f ca="1">('TUSD BE'!$AM$21+'TUSD BF'!$AM$21+'TUSD CVA'!$AM$21)*1</f>
        <v>113.43121292628391</v>
      </c>
      <c r="AA274" s="6">
        <f>('TE BE'!$AB$12+'TE BF'!$AB$12+'TE CVA'!$AB$12)*1</f>
        <v>218.6854278594964</v>
      </c>
      <c r="AB274" s="6">
        <f>$K$274*$V$274</f>
        <v>22512.600000000002</v>
      </c>
      <c r="AC274" s="6">
        <f>$M$274*$W$274</f>
        <v>45791.627540000001</v>
      </c>
      <c r="AD274" s="6">
        <f>$O$274*$X$274</f>
        <v>91279.100040000005</v>
      </c>
      <c r="AE274" s="6">
        <f ca="1">$K$274*$Y$274</f>
        <v>23439.498693466703</v>
      </c>
      <c r="AF274" s="6">
        <f ca="1">$M$274*$Z$274</f>
        <v>61608.348401504285</v>
      </c>
      <c r="AG274" s="6">
        <f>$O$274*$AA$274</f>
        <v>118775.49117503972</v>
      </c>
    </row>
    <row r="275" spans="1:33" ht="11.25" customHeight="1" x14ac:dyDescent="0.25">
      <c r="A275" s="4" t="s">
        <v>21</v>
      </c>
      <c r="B275" s="4" t="s">
        <v>41</v>
      </c>
      <c r="C275" s="4" t="s">
        <v>42</v>
      </c>
      <c r="D275" s="4" t="s">
        <v>40</v>
      </c>
      <c r="E275" s="4" t="s">
        <v>25</v>
      </c>
      <c r="F275" s="4" t="s">
        <v>25</v>
      </c>
      <c r="G275" s="4" t="s">
        <v>25</v>
      </c>
      <c r="H275" s="4" t="s">
        <v>37</v>
      </c>
      <c r="I275" s="5">
        <v>44805</v>
      </c>
      <c r="J275" s="6">
        <v>142</v>
      </c>
      <c r="K275" s="6">
        <v>142</v>
      </c>
      <c r="L275" s="6">
        <v>44.18</v>
      </c>
      <c r="M275" s="6">
        <v>44.18</v>
      </c>
      <c r="N275" s="6">
        <v>44.18</v>
      </c>
      <c r="O275" s="6">
        <v>44.18</v>
      </c>
      <c r="P275" s="6">
        <v>0</v>
      </c>
      <c r="Q275" s="4" t="s">
        <v>26</v>
      </c>
      <c r="R275" s="4">
        <v>0</v>
      </c>
      <c r="S275" s="6">
        <v>20</v>
      </c>
      <c r="T275" s="6">
        <v>21</v>
      </c>
      <c r="U275" s="6">
        <v>75</v>
      </c>
      <c r="V275" s="6">
        <f>IF(ISERROR(VLOOKUP($S$275,'TAR FIN'!$A$1:$O$115,15,0)),0,VLOOKUP($S$275,'TAR FIN'!$A$1:$O$115,15,0))</f>
        <v>19.8</v>
      </c>
      <c r="W275" s="6">
        <f>IF(ISERROR(VLOOKUP($T$275,'TAR FIN'!$A$1:$O$115,15,0)),0,VLOOKUP($T$275,'TAR FIN'!$A$1:$O$115,15,0))</f>
        <v>84.31</v>
      </c>
      <c r="X275" s="6">
        <f>IF(ISERROR(VLOOKUP($U$275,'TAR FIN'!$A$1:$O$115,15,0)),0,VLOOKUP($U$275,'TAR FIN'!$A$1:$O$115,15,0))</f>
        <v>168.06</v>
      </c>
      <c r="Y275" s="6">
        <f ca="1">('TUSD BE'!$AM$20+'TUSD BF'!$AM$20+'TUSD CVA'!$AM$20)*1</f>
        <v>20.615214330225772</v>
      </c>
      <c r="Z275" s="6">
        <f ca="1">('TUSD BE'!$AM$21+'TUSD BF'!$AM$21+'TUSD CVA'!$AM$21)*1</f>
        <v>113.43121292628391</v>
      </c>
      <c r="AA275" s="6">
        <f>('TE BE'!$AB$12+'TE BF'!$AB$12+'TE CVA'!$AB$12)*1</f>
        <v>218.6854278594964</v>
      </c>
      <c r="AB275" s="6">
        <f>$K$275*$V$275</f>
        <v>2811.6</v>
      </c>
      <c r="AC275" s="6">
        <f>$M$275*$W$275</f>
        <v>3724.8157999999999</v>
      </c>
      <c r="AD275" s="6">
        <f>$O$275*$X$275</f>
        <v>7424.8908000000001</v>
      </c>
      <c r="AE275" s="6">
        <f ca="1">$K$275*$Y$275</f>
        <v>2927.3604348920594</v>
      </c>
      <c r="AF275" s="6">
        <f ca="1">$M$275*$Z$275</f>
        <v>5011.3909870832231</v>
      </c>
      <c r="AG275" s="6">
        <f>$O$275*$AA$275</f>
        <v>9661.5222028325516</v>
      </c>
    </row>
    <row r="276" spans="1:33" ht="11.25" customHeight="1" x14ac:dyDescent="0.25">
      <c r="A276" s="4" t="s">
        <v>28</v>
      </c>
      <c r="B276" s="4" t="s">
        <v>41</v>
      </c>
      <c r="C276" s="4" t="s">
        <v>42</v>
      </c>
      <c r="D276" s="4" t="s">
        <v>40</v>
      </c>
      <c r="E276" s="4" t="s">
        <v>25</v>
      </c>
      <c r="F276" s="4" t="s">
        <v>25</v>
      </c>
      <c r="G276" s="4" t="s">
        <v>25</v>
      </c>
      <c r="H276" s="4" t="s">
        <v>37</v>
      </c>
      <c r="I276" s="5">
        <v>44805</v>
      </c>
      <c r="J276" s="6">
        <v>1241</v>
      </c>
      <c r="K276" s="6">
        <v>1241</v>
      </c>
      <c r="L276" s="6">
        <v>584.41800000000001</v>
      </c>
      <c r="M276" s="6">
        <v>584.41800000000001</v>
      </c>
      <c r="N276" s="6">
        <v>584.41800000000001</v>
      </c>
      <c r="O276" s="6">
        <v>584.41800000000001</v>
      </c>
      <c r="P276" s="6">
        <v>0</v>
      </c>
      <c r="Q276" s="4" t="s">
        <v>26</v>
      </c>
      <c r="R276" s="4">
        <v>0</v>
      </c>
      <c r="S276" s="6">
        <v>20</v>
      </c>
      <c r="T276" s="6">
        <v>21</v>
      </c>
      <c r="U276" s="6">
        <v>75</v>
      </c>
      <c r="V276" s="6">
        <f>IF(ISERROR(VLOOKUP($S$276,'TAR FIN'!$A$1:$O$115,15,0)),0,VLOOKUP($S$276,'TAR FIN'!$A$1:$O$115,15,0))</f>
        <v>19.8</v>
      </c>
      <c r="W276" s="6">
        <f>IF(ISERROR(VLOOKUP($T$276,'TAR FIN'!$A$1:$O$115,15,0)),0,VLOOKUP($T$276,'TAR FIN'!$A$1:$O$115,15,0))</f>
        <v>84.31</v>
      </c>
      <c r="X276" s="6">
        <f>IF(ISERROR(VLOOKUP($U$276,'TAR FIN'!$A$1:$O$115,15,0)),0,VLOOKUP($U$276,'TAR FIN'!$A$1:$O$115,15,0))</f>
        <v>168.06</v>
      </c>
      <c r="Y276" s="6">
        <f ca="1">('TUSD BE'!$AM$20+'TUSD BF'!$AM$20+'TUSD CVA'!$AM$20)*1</f>
        <v>20.615214330225772</v>
      </c>
      <c r="Z276" s="6">
        <f ca="1">('TUSD BE'!$AM$21+'TUSD BF'!$AM$21+'TUSD CVA'!$AM$21)*1</f>
        <v>113.43121292628391</v>
      </c>
      <c r="AA276" s="6">
        <f>('TE BE'!$AB$12+'TE BF'!$AB$12+'TE CVA'!$AB$12)*1</f>
        <v>218.6854278594964</v>
      </c>
      <c r="AB276" s="6">
        <f>$K$276*$V$276</f>
        <v>24571.8</v>
      </c>
      <c r="AC276" s="6">
        <f>$M$276*$W$276</f>
        <v>49272.281580000003</v>
      </c>
      <c r="AD276" s="6">
        <f>$O$276*$X$276</f>
        <v>98217.289080000002</v>
      </c>
      <c r="AE276" s="6">
        <f ca="1">$K$276*$Y$276</f>
        <v>25583.480983810183</v>
      </c>
      <c r="AF276" s="6">
        <f ca="1">$M$276*$Z$276</f>
        <v>66291.242595952994</v>
      </c>
      <c r="AG276" s="6">
        <f>$O$276*$AA$276</f>
        <v>127803.70037879117</v>
      </c>
    </row>
    <row r="277" spans="1:33" ht="11.25" customHeight="1" x14ac:dyDescent="0.25">
      <c r="A277" s="4" t="s">
        <v>21</v>
      </c>
      <c r="B277" s="4" t="s">
        <v>41</v>
      </c>
      <c r="C277" s="4" t="s">
        <v>42</v>
      </c>
      <c r="D277" s="4" t="s">
        <v>40</v>
      </c>
      <c r="E277" s="4" t="s">
        <v>25</v>
      </c>
      <c r="F277" s="4" t="s">
        <v>25</v>
      </c>
      <c r="G277" s="4" t="s">
        <v>25</v>
      </c>
      <c r="H277" s="4" t="s">
        <v>37</v>
      </c>
      <c r="I277" s="5">
        <v>44835</v>
      </c>
      <c r="J277" s="6">
        <v>203</v>
      </c>
      <c r="K277" s="6">
        <v>203</v>
      </c>
      <c r="L277" s="6">
        <v>54.765000000000001</v>
      </c>
      <c r="M277" s="6">
        <v>54.765000000000001</v>
      </c>
      <c r="N277" s="6">
        <v>54.765000000000001</v>
      </c>
      <c r="O277" s="6">
        <v>54.765000000000001</v>
      </c>
      <c r="P277" s="6">
        <v>0</v>
      </c>
      <c r="Q277" s="4" t="s">
        <v>26</v>
      </c>
      <c r="R277" s="4">
        <v>0</v>
      </c>
      <c r="S277" s="6">
        <v>20</v>
      </c>
      <c r="T277" s="6">
        <v>21</v>
      </c>
      <c r="U277" s="6">
        <v>75</v>
      </c>
      <c r="V277" s="6">
        <f>IF(ISERROR(VLOOKUP($S$277,'TAR FIN'!$A$1:$O$115,15,0)),0,VLOOKUP($S$277,'TAR FIN'!$A$1:$O$115,15,0))</f>
        <v>19.8</v>
      </c>
      <c r="W277" s="6">
        <f>IF(ISERROR(VLOOKUP($T$277,'TAR FIN'!$A$1:$O$115,15,0)),0,VLOOKUP($T$277,'TAR FIN'!$A$1:$O$115,15,0))</f>
        <v>84.31</v>
      </c>
      <c r="X277" s="6">
        <f>IF(ISERROR(VLOOKUP($U$277,'TAR FIN'!$A$1:$O$115,15,0)),0,VLOOKUP($U$277,'TAR FIN'!$A$1:$O$115,15,0))</f>
        <v>168.06</v>
      </c>
      <c r="Y277" s="6">
        <f ca="1">('TUSD BE'!$AM$20+'TUSD BF'!$AM$20+'TUSD CVA'!$AM$20)*1</f>
        <v>20.615214330225772</v>
      </c>
      <c r="Z277" s="6">
        <f ca="1">('TUSD BE'!$AM$21+'TUSD BF'!$AM$21+'TUSD CVA'!$AM$21)*1</f>
        <v>113.43121292628391</v>
      </c>
      <c r="AA277" s="6">
        <f>('TE BE'!$AB$12+'TE BF'!$AB$12+'TE CVA'!$AB$12)*1</f>
        <v>218.6854278594964</v>
      </c>
      <c r="AB277" s="6">
        <f>$K$277*$V$277</f>
        <v>4019.4</v>
      </c>
      <c r="AC277" s="6">
        <f>$M$277*$W$277</f>
        <v>4617.2371499999999</v>
      </c>
      <c r="AD277" s="6">
        <f>$O$277*$X$277</f>
        <v>9203.8058999999994</v>
      </c>
      <c r="AE277" s="6">
        <f ca="1">$K$277*$Y$277</f>
        <v>4184.8885090358317</v>
      </c>
      <c r="AF277" s="6">
        <f ca="1">$M$277*$Z$277</f>
        <v>6212.0603759079386</v>
      </c>
      <c r="AG277" s="6">
        <f>$O$277*$AA$277</f>
        <v>11976.307456725321</v>
      </c>
    </row>
    <row r="278" spans="1:33" ht="11.25" customHeight="1" x14ac:dyDescent="0.25">
      <c r="A278" s="4" t="s">
        <v>28</v>
      </c>
      <c r="B278" s="4" t="s">
        <v>41</v>
      </c>
      <c r="C278" s="4" t="s">
        <v>42</v>
      </c>
      <c r="D278" s="4" t="s">
        <v>40</v>
      </c>
      <c r="E278" s="4" t="s">
        <v>25</v>
      </c>
      <c r="F278" s="4" t="s">
        <v>25</v>
      </c>
      <c r="G278" s="4" t="s">
        <v>25</v>
      </c>
      <c r="H278" s="4" t="s">
        <v>37</v>
      </c>
      <c r="I278" s="5">
        <v>44835</v>
      </c>
      <c r="J278" s="6">
        <v>1168</v>
      </c>
      <c r="K278" s="6">
        <v>1168</v>
      </c>
      <c r="L278" s="6">
        <v>563.94299999999998</v>
      </c>
      <c r="M278" s="6">
        <v>563.94299999999998</v>
      </c>
      <c r="N278" s="6">
        <v>563.94299999999998</v>
      </c>
      <c r="O278" s="6">
        <v>563.94299999999998</v>
      </c>
      <c r="P278" s="6">
        <v>0</v>
      </c>
      <c r="Q278" s="4" t="s">
        <v>26</v>
      </c>
      <c r="R278" s="4">
        <v>0</v>
      </c>
      <c r="S278" s="6">
        <v>20</v>
      </c>
      <c r="T278" s="6">
        <v>21</v>
      </c>
      <c r="U278" s="6">
        <v>75</v>
      </c>
      <c r="V278" s="6">
        <f>IF(ISERROR(VLOOKUP($S$278,'TAR FIN'!$A$1:$O$115,15,0)),0,VLOOKUP($S$278,'TAR FIN'!$A$1:$O$115,15,0))</f>
        <v>19.8</v>
      </c>
      <c r="W278" s="6">
        <f>IF(ISERROR(VLOOKUP($T$278,'TAR FIN'!$A$1:$O$115,15,0)),0,VLOOKUP($T$278,'TAR FIN'!$A$1:$O$115,15,0))</f>
        <v>84.31</v>
      </c>
      <c r="X278" s="6">
        <f>IF(ISERROR(VLOOKUP($U$278,'TAR FIN'!$A$1:$O$115,15,0)),0,VLOOKUP($U$278,'TAR FIN'!$A$1:$O$115,15,0))</f>
        <v>168.06</v>
      </c>
      <c r="Y278" s="6">
        <f ca="1">('TUSD BE'!$AM$20+'TUSD BF'!$AM$20+'TUSD CVA'!$AM$20)*1</f>
        <v>20.615214330225772</v>
      </c>
      <c r="Z278" s="6">
        <f ca="1">('TUSD BE'!$AM$21+'TUSD BF'!$AM$21+'TUSD CVA'!$AM$21)*1</f>
        <v>113.43121292628391</v>
      </c>
      <c r="AA278" s="6">
        <f>('TE BE'!$AB$12+'TE BF'!$AB$12+'TE CVA'!$AB$12)*1</f>
        <v>218.6854278594964</v>
      </c>
      <c r="AB278" s="6">
        <f>$K$278*$V$278</f>
        <v>23126.400000000001</v>
      </c>
      <c r="AC278" s="6">
        <f>$M$278*$W$278</f>
        <v>47546.034330000002</v>
      </c>
      <c r="AD278" s="6">
        <f>$O$278*$X$278</f>
        <v>94776.260580000002</v>
      </c>
      <c r="AE278" s="6">
        <f ca="1">$K$278*$Y$278</f>
        <v>24078.570337703703</v>
      </c>
      <c r="AF278" s="6">
        <f ca="1">$M$278*$Z$278</f>
        <v>63968.738511287323</v>
      </c>
      <c r="AG278" s="6">
        <f>$O$278*$AA$278</f>
        <v>123326.11624336797</v>
      </c>
    </row>
    <row r="279" spans="1:33" ht="11.25" customHeight="1" x14ac:dyDescent="0.25">
      <c r="A279" s="4" t="s">
        <v>59</v>
      </c>
      <c r="B279" s="4" t="s">
        <v>41</v>
      </c>
      <c r="C279" s="4" t="s">
        <v>42</v>
      </c>
      <c r="D279" s="4" t="s">
        <v>40</v>
      </c>
      <c r="E279" s="4" t="s">
        <v>25</v>
      </c>
      <c r="F279" s="4" t="s">
        <v>25</v>
      </c>
      <c r="G279" s="4" t="s">
        <v>25</v>
      </c>
      <c r="H279" s="4" t="s">
        <v>37</v>
      </c>
      <c r="I279" s="5">
        <v>44866</v>
      </c>
      <c r="J279" s="6">
        <v>203</v>
      </c>
      <c r="K279" s="6">
        <v>203</v>
      </c>
      <c r="L279" s="6">
        <v>54.765000000000001</v>
      </c>
      <c r="M279" s="6">
        <v>54.765000000000001</v>
      </c>
      <c r="N279" s="6">
        <v>54.765000000000001</v>
      </c>
      <c r="O279" s="6">
        <v>54.765000000000001</v>
      </c>
      <c r="P279" s="6">
        <v>0</v>
      </c>
      <c r="Q279" s="4" t="s">
        <v>26</v>
      </c>
      <c r="R279" s="4">
        <v>0</v>
      </c>
      <c r="S279" s="6">
        <v>20</v>
      </c>
      <c r="T279" s="6">
        <v>21</v>
      </c>
      <c r="U279" s="6">
        <v>75</v>
      </c>
      <c r="V279" s="6">
        <f>IF(ISERROR(VLOOKUP($S$279,'TAR FIN'!$A$1:$O$115,15,0)),0,VLOOKUP($S$279,'TAR FIN'!$A$1:$O$115,15,0))</f>
        <v>19.8</v>
      </c>
      <c r="W279" s="6">
        <f>IF(ISERROR(VLOOKUP($T$279,'TAR FIN'!$A$1:$O$115,15,0)),0,VLOOKUP($T$279,'TAR FIN'!$A$1:$O$115,15,0))</f>
        <v>84.31</v>
      </c>
      <c r="X279" s="6">
        <f>IF(ISERROR(VLOOKUP($U$279,'TAR FIN'!$A$1:$O$115,15,0)),0,VLOOKUP($U$279,'TAR FIN'!$A$1:$O$115,15,0))</f>
        <v>168.06</v>
      </c>
      <c r="Y279" s="6">
        <f ca="1">('TUSD BE'!$AM$20+'TUSD BF'!$AM$20+'TUSD CVA'!$AM$20)*1</f>
        <v>20.615214330225772</v>
      </c>
      <c r="Z279" s="6">
        <f ca="1">('TUSD BE'!$AM$21+'TUSD BF'!$AM$21+'TUSD CVA'!$AM$21)*1</f>
        <v>113.43121292628391</v>
      </c>
      <c r="AA279" s="6">
        <f>('TE BE'!$AB$12+'TE BF'!$AB$12+'TE CVA'!$AB$12)*1</f>
        <v>218.6854278594964</v>
      </c>
      <c r="AB279" s="6">
        <f>$K$279*$V$279</f>
        <v>4019.4</v>
      </c>
      <c r="AC279" s="6">
        <f>$M$279*$W$279</f>
        <v>4617.2371499999999</v>
      </c>
      <c r="AD279" s="6">
        <f>$O$279*$X$279</f>
        <v>9203.8058999999994</v>
      </c>
      <c r="AE279" s="6">
        <f ca="1">$K$279*$Y$279</f>
        <v>4184.8885090358317</v>
      </c>
      <c r="AF279" s="6">
        <f ca="1">$M$279*$Z$279</f>
        <v>6212.0603759079386</v>
      </c>
      <c r="AG279" s="6">
        <f>$O$279*$AA$279</f>
        <v>11976.307456725321</v>
      </c>
    </row>
    <row r="280" spans="1:33" ht="11.25" customHeight="1" x14ac:dyDescent="0.25">
      <c r="A280" s="4" t="s">
        <v>59</v>
      </c>
      <c r="B280" s="4" t="s">
        <v>41</v>
      </c>
      <c r="C280" s="4" t="s">
        <v>42</v>
      </c>
      <c r="D280" s="4" t="s">
        <v>40</v>
      </c>
      <c r="E280" s="4" t="s">
        <v>25</v>
      </c>
      <c r="F280" s="4" t="s">
        <v>25</v>
      </c>
      <c r="G280" s="4" t="s">
        <v>25</v>
      </c>
      <c r="H280" s="4" t="s">
        <v>37</v>
      </c>
      <c r="I280" s="5">
        <v>44866</v>
      </c>
      <c r="J280" s="6">
        <v>1168</v>
      </c>
      <c r="K280" s="6">
        <v>1168</v>
      </c>
      <c r="L280" s="6">
        <v>563.94299999999998</v>
      </c>
      <c r="M280" s="6">
        <v>563.94299999999998</v>
      </c>
      <c r="N280" s="6">
        <v>563.94299999999998</v>
      </c>
      <c r="O280" s="6">
        <v>563.94299999999998</v>
      </c>
      <c r="P280" s="6">
        <v>0</v>
      </c>
      <c r="Q280" s="4" t="s">
        <v>26</v>
      </c>
      <c r="R280" s="4">
        <v>0</v>
      </c>
      <c r="S280" s="6">
        <v>20</v>
      </c>
      <c r="T280" s="6">
        <v>21</v>
      </c>
      <c r="U280" s="6">
        <v>75</v>
      </c>
      <c r="V280" s="6">
        <f>IF(ISERROR(VLOOKUP($S$280,'TAR FIN'!$A$1:$O$115,15,0)),0,VLOOKUP($S$280,'TAR FIN'!$A$1:$O$115,15,0))</f>
        <v>19.8</v>
      </c>
      <c r="W280" s="6">
        <f>IF(ISERROR(VLOOKUP($T$280,'TAR FIN'!$A$1:$O$115,15,0)),0,VLOOKUP($T$280,'TAR FIN'!$A$1:$O$115,15,0))</f>
        <v>84.31</v>
      </c>
      <c r="X280" s="6">
        <f>IF(ISERROR(VLOOKUP($U$280,'TAR FIN'!$A$1:$O$115,15,0)),0,VLOOKUP($U$280,'TAR FIN'!$A$1:$O$115,15,0))</f>
        <v>168.06</v>
      </c>
      <c r="Y280" s="6">
        <f ca="1">('TUSD BE'!$AM$20+'TUSD BF'!$AM$20+'TUSD CVA'!$AM$20)*1</f>
        <v>20.615214330225772</v>
      </c>
      <c r="Z280" s="6">
        <f ca="1">('TUSD BE'!$AM$21+'TUSD BF'!$AM$21+'TUSD CVA'!$AM$21)*1</f>
        <v>113.43121292628391</v>
      </c>
      <c r="AA280" s="6">
        <f>('TE BE'!$AB$12+'TE BF'!$AB$12+'TE CVA'!$AB$12)*1</f>
        <v>218.6854278594964</v>
      </c>
      <c r="AB280" s="6">
        <f>$K$280*$V$280</f>
        <v>23126.400000000001</v>
      </c>
      <c r="AC280" s="6">
        <f>$M$280*$W$280</f>
        <v>47546.034330000002</v>
      </c>
      <c r="AD280" s="6">
        <f>$O$280*$X$280</f>
        <v>94776.260580000002</v>
      </c>
      <c r="AE280" s="6">
        <f ca="1">$K$280*$Y$280</f>
        <v>24078.570337703703</v>
      </c>
      <c r="AF280" s="6">
        <f ca="1">$M$280*$Z$280</f>
        <v>63968.738511287323</v>
      </c>
      <c r="AG280" s="6">
        <f>$O$280*$AA$280</f>
        <v>123326.11624336797</v>
      </c>
    </row>
    <row r="281" spans="1:33" ht="11.25" customHeight="1" x14ac:dyDescent="0.25">
      <c r="A281" s="4" t="s">
        <v>21</v>
      </c>
      <c r="B281" s="4" t="s">
        <v>41</v>
      </c>
      <c r="C281" s="4" t="s">
        <v>42</v>
      </c>
      <c r="D281" s="4" t="s">
        <v>40</v>
      </c>
      <c r="E281" s="4" t="s">
        <v>25</v>
      </c>
      <c r="F281" s="4" t="s">
        <v>25</v>
      </c>
      <c r="G281" s="4" t="s">
        <v>25</v>
      </c>
      <c r="H281" s="4" t="s">
        <v>36</v>
      </c>
      <c r="I281" s="5">
        <v>44531</v>
      </c>
      <c r="J281" s="6">
        <v>115</v>
      </c>
      <c r="K281" s="6">
        <v>115</v>
      </c>
      <c r="L281" s="6">
        <v>3.351</v>
      </c>
      <c r="M281" s="6">
        <v>3.351</v>
      </c>
      <c r="N281" s="6">
        <v>3.351</v>
      </c>
      <c r="O281" s="6">
        <v>3.351</v>
      </c>
      <c r="P281" s="6">
        <v>0</v>
      </c>
      <c r="Q281" s="4" t="s">
        <v>26</v>
      </c>
      <c r="R281" s="4">
        <v>0</v>
      </c>
      <c r="S281" s="6">
        <v>19</v>
      </c>
      <c r="T281" s="6">
        <v>21</v>
      </c>
      <c r="U281" s="6">
        <v>74</v>
      </c>
      <c r="V281" s="6">
        <f>IF(ISERROR(VLOOKUP($S$281,'TAR FIN'!$A$1:$O$115,15,0)),0,VLOOKUP($S$281,'TAR FIN'!$A$1:$O$115,15,0))</f>
        <v>56.22</v>
      </c>
      <c r="W281" s="6">
        <f>IF(ISERROR(VLOOKUP($T$281,'TAR FIN'!$A$1:$O$115,15,0)),0,VLOOKUP($T$281,'TAR FIN'!$A$1:$O$115,15,0))</f>
        <v>84.31</v>
      </c>
      <c r="X281" s="6">
        <f>IF(ISERROR(VLOOKUP($U$281,'TAR FIN'!$A$1:$O$115,15,0)),0,VLOOKUP($U$281,'TAR FIN'!$A$1:$O$115,15,0))</f>
        <v>270.3</v>
      </c>
      <c r="Y281" s="6">
        <f ca="1">('TUSD BE'!$AM$19+'TUSD BF'!$AM$19+'TUSD CVA'!$AM$19)*1</f>
        <v>56.308577648144677</v>
      </c>
      <c r="Z281" s="6">
        <f ca="1">('TUSD BE'!$AM$21+'TUSD BF'!$AM$21+'TUSD CVA'!$AM$21)*1</f>
        <v>113.43121292628391</v>
      </c>
      <c r="AA281" s="6">
        <f>('TE BE'!$AB$11+'TE BF'!$AB$11+'TE CVA'!$AB$11)*1</f>
        <v>362.64398683254075</v>
      </c>
      <c r="AB281" s="6">
        <f>$K$281*$V$281</f>
        <v>6465.3</v>
      </c>
      <c r="AC281" s="6">
        <f>$M$281*$W$281</f>
        <v>282.52280999999999</v>
      </c>
      <c r="AD281" s="6">
        <f>$O$281*$X$281</f>
        <v>905.77530000000002</v>
      </c>
      <c r="AE281" s="6">
        <f ca="1">$K$281*$Y$281</f>
        <v>6475.4864295366378</v>
      </c>
      <c r="AF281" s="6">
        <f ca="1">$M$281*$Z$281</f>
        <v>380.10799451597734</v>
      </c>
      <c r="AG281" s="6">
        <f>$O$281*$AA$281</f>
        <v>1215.219999875844</v>
      </c>
    </row>
    <row r="282" spans="1:33" ht="11.25" customHeight="1" x14ac:dyDescent="0.25">
      <c r="A282" s="4" t="s">
        <v>28</v>
      </c>
      <c r="B282" s="4" t="s">
        <v>41</v>
      </c>
      <c r="C282" s="4" t="s">
        <v>42</v>
      </c>
      <c r="D282" s="4" t="s">
        <v>40</v>
      </c>
      <c r="E282" s="4" t="s">
        <v>25</v>
      </c>
      <c r="F282" s="4" t="s">
        <v>25</v>
      </c>
      <c r="G282" s="4" t="s">
        <v>25</v>
      </c>
      <c r="H282" s="4" t="s">
        <v>36</v>
      </c>
      <c r="I282" s="5">
        <v>44531</v>
      </c>
      <c r="J282" s="6">
        <v>1262</v>
      </c>
      <c r="K282" s="6">
        <v>1262</v>
      </c>
      <c r="L282" s="6">
        <v>53.48</v>
      </c>
      <c r="M282" s="6">
        <v>53.48</v>
      </c>
      <c r="N282" s="6">
        <v>53.48</v>
      </c>
      <c r="O282" s="6">
        <v>53.48</v>
      </c>
      <c r="P282" s="6">
        <v>0</v>
      </c>
      <c r="Q282" s="4" t="s">
        <v>26</v>
      </c>
      <c r="R282" s="4">
        <v>0</v>
      </c>
      <c r="S282" s="6">
        <v>19</v>
      </c>
      <c r="T282" s="6">
        <v>21</v>
      </c>
      <c r="U282" s="6">
        <v>74</v>
      </c>
      <c r="V282" s="6">
        <f>IF(ISERROR(VLOOKUP($S$282,'TAR FIN'!$A$1:$O$115,15,0)),0,VLOOKUP($S$282,'TAR FIN'!$A$1:$O$115,15,0))</f>
        <v>56.22</v>
      </c>
      <c r="W282" s="6">
        <f>IF(ISERROR(VLOOKUP($T$282,'TAR FIN'!$A$1:$O$115,15,0)),0,VLOOKUP($T$282,'TAR FIN'!$A$1:$O$115,15,0))</f>
        <v>84.31</v>
      </c>
      <c r="X282" s="6">
        <f>IF(ISERROR(VLOOKUP($U$282,'TAR FIN'!$A$1:$O$115,15,0)),0,VLOOKUP($U$282,'TAR FIN'!$A$1:$O$115,15,0))</f>
        <v>270.3</v>
      </c>
      <c r="Y282" s="6">
        <f ca="1">('TUSD BE'!$AM$19+'TUSD BF'!$AM$19+'TUSD CVA'!$AM$19)*1</f>
        <v>56.308577648144677</v>
      </c>
      <c r="Z282" s="6">
        <f ca="1">('TUSD BE'!$AM$21+'TUSD BF'!$AM$21+'TUSD CVA'!$AM$21)*1</f>
        <v>113.43121292628391</v>
      </c>
      <c r="AA282" s="6">
        <f>('TE BE'!$AB$11+'TE BF'!$AB$11+'TE CVA'!$AB$11)*1</f>
        <v>362.64398683254075</v>
      </c>
      <c r="AB282" s="6">
        <f>$K$282*$V$282</f>
        <v>70949.64</v>
      </c>
      <c r="AC282" s="6">
        <f>$M$282*$W$282</f>
        <v>4508.8987999999999</v>
      </c>
      <c r="AD282" s="6">
        <f>$O$282*$X$282</f>
        <v>14455.644</v>
      </c>
      <c r="AE282" s="6">
        <f ca="1">$K$282*$Y$282</f>
        <v>71061.424991958585</v>
      </c>
      <c r="AF282" s="6">
        <f ca="1">$M$282*$Z$282</f>
        <v>6066.3012672976629</v>
      </c>
      <c r="AG282" s="6">
        <f>$O$282*$AA$282</f>
        <v>19394.200415804276</v>
      </c>
    </row>
    <row r="283" spans="1:33" ht="11.25" customHeight="1" x14ac:dyDescent="0.25">
      <c r="A283" s="4" t="s">
        <v>21</v>
      </c>
      <c r="B283" s="4" t="s">
        <v>41</v>
      </c>
      <c r="C283" s="4" t="s">
        <v>42</v>
      </c>
      <c r="D283" s="4" t="s">
        <v>40</v>
      </c>
      <c r="E283" s="4" t="s">
        <v>25</v>
      </c>
      <c r="F283" s="4" t="s">
        <v>25</v>
      </c>
      <c r="G283" s="4" t="s">
        <v>25</v>
      </c>
      <c r="H283" s="4" t="s">
        <v>36</v>
      </c>
      <c r="I283" s="5">
        <v>44562</v>
      </c>
      <c r="J283" s="6">
        <v>115</v>
      </c>
      <c r="K283" s="6">
        <v>115</v>
      </c>
      <c r="L283" s="6">
        <v>3.431</v>
      </c>
      <c r="M283" s="6">
        <v>3.431</v>
      </c>
      <c r="N283" s="6">
        <v>3.431</v>
      </c>
      <c r="O283" s="6">
        <v>3.431</v>
      </c>
      <c r="P283" s="6">
        <v>0</v>
      </c>
      <c r="Q283" s="4" t="s">
        <v>26</v>
      </c>
      <c r="R283" s="4">
        <v>0</v>
      </c>
      <c r="S283" s="6">
        <v>19</v>
      </c>
      <c r="T283" s="6">
        <v>21</v>
      </c>
      <c r="U283" s="6">
        <v>74</v>
      </c>
      <c r="V283" s="6">
        <f>IF(ISERROR(VLOOKUP($S$283,'TAR FIN'!$A$1:$O$115,15,0)),0,VLOOKUP($S$283,'TAR FIN'!$A$1:$O$115,15,0))</f>
        <v>56.22</v>
      </c>
      <c r="W283" s="6">
        <f>IF(ISERROR(VLOOKUP($T$283,'TAR FIN'!$A$1:$O$115,15,0)),0,VLOOKUP($T$283,'TAR FIN'!$A$1:$O$115,15,0))</f>
        <v>84.31</v>
      </c>
      <c r="X283" s="6">
        <f>IF(ISERROR(VLOOKUP($U$283,'TAR FIN'!$A$1:$O$115,15,0)),0,VLOOKUP($U$283,'TAR FIN'!$A$1:$O$115,15,0))</f>
        <v>270.3</v>
      </c>
      <c r="Y283" s="6">
        <f ca="1">('TUSD BE'!$AM$19+'TUSD BF'!$AM$19+'TUSD CVA'!$AM$19)*1</f>
        <v>56.308577648144677</v>
      </c>
      <c r="Z283" s="6">
        <f ca="1">('TUSD BE'!$AM$21+'TUSD BF'!$AM$21+'TUSD CVA'!$AM$21)*1</f>
        <v>113.43121292628391</v>
      </c>
      <c r="AA283" s="6">
        <f>('TE BE'!$AB$11+'TE BF'!$AB$11+'TE CVA'!$AB$11)*1</f>
        <v>362.64398683254075</v>
      </c>
      <c r="AB283" s="6">
        <f>$K$283*$V$283</f>
        <v>6465.3</v>
      </c>
      <c r="AC283" s="6">
        <f>$M$283*$W$283</f>
        <v>289.26760999999999</v>
      </c>
      <c r="AD283" s="6">
        <f>$O$283*$X$283</f>
        <v>927.39930000000004</v>
      </c>
      <c r="AE283" s="6">
        <f ca="1">$K$283*$Y$283</f>
        <v>6475.4864295366378</v>
      </c>
      <c r="AF283" s="6">
        <f ca="1">$M$283*$Z$283</f>
        <v>389.1824915500801</v>
      </c>
      <c r="AG283" s="6">
        <f>$O$283*$AA$283</f>
        <v>1244.2315188224472</v>
      </c>
    </row>
    <row r="284" spans="1:33" ht="11.25" customHeight="1" x14ac:dyDescent="0.25">
      <c r="A284" s="4" t="s">
        <v>28</v>
      </c>
      <c r="B284" s="4" t="s">
        <v>41</v>
      </c>
      <c r="C284" s="4" t="s">
        <v>42</v>
      </c>
      <c r="D284" s="4" t="s">
        <v>40</v>
      </c>
      <c r="E284" s="4" t="s">
        <v>25</v>
      </c>
      <c r="F284" s="4" t="s">
        <v>25</v>
      </c>
      <c r="G284" s="4" t="s">
        <v>25</v>
      </c>
      <c r="H284" s="4" t="s">
        <v>36</v>
      </c>
      <c r="I284" s="5">
        <v>44562</v>
      </c>
      <c r="J284" s="6">
        <v>1262</v>
      </c>
      <c r="K284" s="6">
        <v>1262</v>
      </c>
      <c r="L284" s="6">
        <v>51.027999999999999</v>
      </c>
      <c r="M284" s="6">
        <v>51.027999999999999</v>
      </c>
      <c r="N284" s="6">
        <v>51.027999999999999</v>
      </c>
      <c r="O284" s="6">
        <v>51.027999999999999</v>
      </c>
      <c r="P284" s="6">
        <v>0</v>
      </c>
      <c r="Q284" s="4" t="s">
        <v>26</v>
      </c>
      <c r="R284" s="4">
        <v>0</v>
      </c>
      <c r="S284" s="6">
        <v>19</v>
      </c>
      <c r="T284" s="6">
        <v>21</v>
      </c>
      <c r="U284" s="6">
        <v>74</v>
      </c>
      <c r="V284" s="6">
        <f>IF(ISERROR(VLOOKUP($S$284,'TAR FIN'!$A$1:$O$115,15,0)),0,VLOOKUP($S$284,'TAR FIN'!$A$1:$O$115,15,0))</f>
        <v>56.22</v>
      </c>
      <c r="W284" s="6">
        <f>IF(ISERROR(VLOOKUP($T$284,'TAR FIN'!$A$1:$O$115,15,0)),0,VLOOKUP($T$284,'TAR FIN'!$A$1:$O$115,15,0))</f>
        <v>84.31</v>
      </c>
      <c r="X284" s="6">
        <f>IF(ISERROR(VLOOKUP($U$284,'TAR FIN'!$A$1:$O$115,15,0)),0,VLOOKUP($U$284,'TAR FIN'!$A$1:$O$115,15,0))</f>
        <v>270.3</v>
      </c>
      <c r="Y284" s="6">
        <f ca="1">('TUSD BE'!$AM$19+'TUSD BF'!$AM$19+'TUSD CVA'!$AM$19)*1</f>
        <v>56.308577648144677</v>
      </c>
      <c r="Z284" s="6">
        <f ca="1">('TUSD BE'!$AM$21+'TUSD BF'!$AM$21+'TUSD CVA'!$AM$21)*1</f>
        <v>113.43121292628391</v>
      </c>
      <c r="AA284" s="6">
        <f>('TE BE'!$AB$11+'TE BF'!$AB$11+'TE CVA'!$AB$11)*1</f>
        <v>362.64398683254075</v>
      </c>
      <c r="AB284" s="6">
        <f>$K$284*$V$284</f>
        <v>70949.64</v>
      </c>
      <c r="AC284" s="6">
        <f>$M$284*$W$284</f>
        <v>4302.1706800000002</v>
      </c>
      <c r="AD284" s="6">
        <f>$O$284*$X$284</f>
        <v>13792.868399999999</v>
      </c>
      <c r="AE284" s="6">
        <f ca="1">$K$284*$Y$284</f>
        <v>71061.424991958585</v>
      </c>
      <c r="AF284" s="6">
        <f ca="1">$M$284*$Z$284</f>
        <v>5788.167933202415</v>
      </c>
      <c r="AG284" s="6">
        <f>$O$284*$AA$284</f>
        <v>18504.997360090889</v>
      </c>
    </row>
    <row r="285" spans="1:33" ht="11.25" customHeight="1" x14ac:dyDescent="0.25">
      <c r="A285" s="4" t="s">
        <v>21</v>
      </c>
      <c r="B285" s="4" t="s">
        <v>41</v>
      </c>
      <c r="C285" s="4" t="s">
        <v>42</v>
      </c>
      <c r="D285" s="4" t="s">
        <v>40</v>
      </c>
      <c r="E285" s="4" t="s">
        <v>25</v>
      </c>
      <c r="F285" s="4" t="s">
        <v>25</v>
      </c>
      <c r="G285" s="4" t="s">
        <v>25</v>
      </c>
      <c r="H285" s="4" t="s">
        <v>36</v>
      </c>
      <c r="I285" s="5">
        <v>44593</v>
      </c>
      <c r="J285" s="6">
        <v>115</v>
      </c>
      <c r="K285" s="6">
        <v>115</v>
      </c>
      <c r="L285" s="6">
        <v>3.3140000000000001</v>
      </c>
      <c r="M285" s="6">
        <v>3.3140000000000001</v>
      </c>
      <c r="N285" s="6">
        <v>3.3140000000000001</v>
      </c>
      <c r="O285" s="6">
        <v>3.3140000000000001</v>
      </c>
      <c r="P285" s="6">
        <v>0</v>
      </c>
      <c r="Q285" s="4" t="s">
        <v>26</v>
      </c>
      <c r="R285" s="4">
        <v>0</v>
      </c>
      <c r="S285" s="6">
        <v>19</v>
      </c>
      <c r="T285" s="6">
        <v>21</v>
      </c>
      <c r="U285" s="6">
        <v>74</v>
      </c>
      <c r="V285" s="6">
        <f>IF(ISERROR(VLOOKUP($S$285,'TAR FIN'!$A$1:$O$115,15,0)),0,VLOOKUP($S$285,'TAR FIN'!$A$1:$O$115,15,0))</f>
        <v>56.22</v>
      </c>
      <c r="W285" s="6">
        <f>IF(ISERROR(VLOOKUP($T$285,'TAR FIN'!$A$1:$O$115,15,0)),0,VLOOKUP($T$285,'TAR FIN'!$A$1:$O$115,15,0))</f>
        <v>84.31</v>
      </c>
      <c r="X285" s="6">
        <f>IF(ISERROR(VLOOKUP($U$285,'TAR FIN'!$A$1:$O$115,15,0)),0,VLOOKUP($U$285,'TAR FIN'!$A$1:$O$115,15,0))</f>
        <v>270.3</v>
      </c>
      <c r="Y285" s="6">
        <f ca="1">('TUSD BE'!$AM$19+'TUSD BF'!$AM$19+'TUSD CVA'!$AM$19)*1</f>
        <v>56.308577648144677</v>
      </c>
      <c r="Z285" s="6">
        <f ca="1">('TUSD BE'!$AM$21+'TUSD BF'!$AM$21+'TUSD CVA'!$AM$21)*1</f>
        <v>113.43121292628391</v>
      </c>
      <c r="AA285" s="6">
        <f>('TE BE'!$AB$11+'TE BF'!$AB$11+'TE CVA'!$AB$11)*1</f>
        <v>362.64398683254075</v>
      </c>
      <c r="AB285" s="6">
        <f>$K$285*$V$285</f>
        <v>6465.3</v>
      </c>
      <c r="AC285" s="6">
        <f>$M$285*$W$285</f>
        <v>279.40334000000001</v>
      </c>
      <c r="AD285" s="6">
        <f>$O$285*$X$285</f>
        <v>895.77420000000006</v>
      </c>
      <c r="AE285" s="6">
        <f ca="1">$K$285*$Y$285</f>
        <v>6475.4864295366378</v>
      </c>
      <c r="AF285" s="6">
        <f ca="1">$M$285*$Z$285</f>
        <v>375.91103963770485</v>
      </c>
      <c r="AG285" s="6">
        <f>$O$285*$AA$285</f>
        <v>1201.80217236304</v>
      </c>
    </row>
    <row r="286" spans="1:33" ht="11.25" customHeight="1" x14ac:dyDescent="0.25">
      <c r="A286" s="4" t="s">
        <v>28</v>
      </c>
      <c r="B286" s="4" t="s">
        <v>41</v>
      </c>
      <c r="C286" s="4" t="s">
        <v>42</v>
      </c>
      <c r="D286" s="4" t="s">
        <v>40</v>
      </c>
      <c r="E286" s="4" t="s">
        <v>25</v>
      </c>
      <c r="F286" s="4" t="s">
        <v>25</v>
      </c>
      <c r="G286" s="4" t="s">
        <v>25</v>
      </c>
      <c r="H286" s="4" t="s">
        <v>36</v>
      </c>
      <c r="I286" s="5">
        <v>44593</v>
      </c>
      <c r="J286" s="6">
        <v>1262</v>
      </c>
      <c r="K286" s="6">
        <v>1262</v>
      </c>
      <c r="L286" s="6">
        <v>47.726999999999997</v>
      </c>
      <c r="M286" s="6">
        <v>47.726999999999997</v>
      </c>
      <c r="N286" s="6">
        <v>47.726999999999997</v>
      </c>
      <c r="O286" s="6">
        <v>47.726999999999997</v>
      </c>
      <c r="P286" s="6">
        <v>0</v>
      </c>
      <c r="Q286" s="4" t="s">
        <v>26</v>
      </c>
      <c r="R286" s="4">
        <v>0</v>
      </c>
      <c r="S286" s="6">
        <v>19</v>
      </c>
      <c r="T286" s="6">
        <v>21</v>
      </c>
      <c r="U286" s="6">
        <v>74</v>
      </c>
      <c r="V286" s="6">
        <f>IF(ISERROR(VLOOKUP($S$286,'TAR FIN'!$A$1:$O$115,15,0)),0,VLOOKUP($S$286,'TAR FIN'!$A$1:$O$115,15,0))</f>
        <v>56.22</v>
      </c>
      <c r="W286" s="6">
        <f>IF(ISERROR(VLOOKUP($T$286,'TAR FIN'!$A$1:$O$115,15,0)),0,VLOOKUP($T$286,'TAR FIN'!$A$1:$O$115,15,0))</f>
        <v>84.31</v>
      </c>
      <c r="X286" s="6">
        <f>IF(ISERROR(VLOOKUP($U$286,'TAR FIN'!$A$1:$O$115,15,0)),0,VLOOKUP($U$286,'TAR FIN'!$A$1:$O$115,15,0))</f>
        <v>270.3</v>
      </c>
      <c r="Y286" s="6">
        <f ca="1">('TUSD BE'!$AM$19+'TUSD BF'!$AM$19+'TUSD CVA'!$AM$19)*1</f>
        <v>56.308577648144677</v>
      </c>
      <c r="Z286" s="6">
        <f ca="1">('TUSD BE'!$AM$21+'TUSD BF'!$AM$21+'TUSD CVA'!$AM$21)*1</f>
        <v>113.43121292628391</v>
      </c>
      <c r="AA286" s="6">
        <f>('TE BE'!$AB$11+'TE BF'!$AB$11+'TE CVA'!$AB$11)*1</f>
        <v>362.64398683254075</v>
      </c>
      <c r="AB286" s="6">
        <f>$K$286*$V$286</f>
        <v>70949.64</v>
      </c>
      <c r="AC286" s="6">
        <f>$M$286*$W$286</f>
        <v>4023.86337</v>
      </c>
      <c r="AD286" s="6">
        <f>$O$286*$X$286</f>
        <v>12900.608099999999</v>
      </c>
      <c r="AE286" s="6">
        <f ca="1">$K$286*$Y$286</f>
        <v>71061.424991958585</v>
      </c>
      <c r="AF286" s="6">
        <f ca="1">$M$286*$Z$286</f>
        <v>5413.7314993327518</v>
      </c>
      <c r="AG286" s="6">
        <f>$O$286*$AA$286</f>
        <v>17307.909559556672</v>
      </c>
    </row>
    <row r="287" spans="1:33" ht="11.25" customHeight="1" x14ac:dyDescent="0.25">
      <c r="A287" s="4" t="s">
        <v>21</v>
      </c>
      <c r="B287" s="4" t="s">
        <v>41</v>
      </c>
      <c r="C287" s="4" t="s">
        <v>42</v>
      </c>
      <c r="D287" s="4" t="s">
        <v>40</v>
      </c>
      <c r="E287" s="4" t="s">
        <v>25</v>
      </c>
      <c r="F287" s="4" t="s">
        <v>25</v>
      </c>
      <c r="G287" s="4" t="s">
        <v>25</v>
      </c>
      <c r="H287" s="4" t="s">
        <v>36</v>
      </c>
      <c r="I287" s="5">
        <v>44621</v>
      </c>
      <c r="J287" s="6">
        <v>115</v>
      </c>
      <c r="K287" s="6">
        <v>115</v>
      </c>
      <c r="L287" s="6">
        <v>3.6890000000000001</v>
      </c>
      <c r="M287" s="6">
        <v>3.6890000000000001</v>
      </c>
      <c r="N287" s="6">
        <v>3.6890000000000001</v>
      </c>
      <c r="O287" s="6">
        <v>3.6890000000000001</v>
      </c>
      <c r="P287" s="6">
        <v>0</v>
      </c>
      <c r="Q287" s="4" t="s">
        <v>26</v>
      </c>
      <c r="R287" s="4">
        <v>0</v>
      </c>
      <c r="S287" s="6">
        <v>19</v>
      </c>
      <c r="T287" s="6">
        <v>21</v>
      </c>
      <c r="U287" s="6">
        <v>74</v>
      </c>
      <c r="V287" s="6">
        <f>IF(ISERROR(VLOOKUP($S$287,'TAR FIN'!$A$1:$O$115,15,0)),0,VLOOKUP($S$287,'TAR FIN'!$A$1:$O$115,15,0))</f>
        <v>56.22</v>
      </c>
      <c r="W287" s="6">
        <f>IF(ISERROR(VLOOKUP($T$287,'TAR FIN'!$A$1:$O$115,15,0)),0,VLOOKUP($T$287,'TAR FIN'!$A$1:$O$115,15,0))</f>
        <v>84.31</v>
      </c>
      <c r="X287" s="6">
        <f>IF(ISERROR(VLOOKUP($U$287,'TAR FIN'!$A$1:$O$115,15,0)),0,VLOOKUP($U$287,'TAR FIN'!$A$1:$O$115,15,0))</f>
        <v>270.3</v>
      </c>
      <c r="Y287" s="6">
        <f ca="1">('TUSD BE'!$AM$19+'TUSD BF'!$AM$19+'TUSD CVA'!$AM$19)*1</f>
        <v>56.308577648144677</v>
      </c>
      <c r="Z287" s="6">
        <f ca="1">('TUSD BE'!$AM$21+'TUSD BF'!$AM$21+'TUSD CVA'!$AM$21)*1</f>
        <v>113.43121292628391</v>
      </c>
      <c r="AA287" s="6">
        <f>('TE BE'!$AB$11+'TE BF'!$AB$11+'TE CVA'!$AB$11)*1</f>
        <v>362.64398683254075</v>
      </c>
      <c r="AB287" s="6">
        <f>$K$287*$V$287</f>
        <v>6465.3</v>
      </c>
      <c r="AC287" s="6">
        <f>$M$287*$W$287</f>
        <v>311.01958999999999</v>
      </c>
      <c r="AD287" s="6">
        <f>$O$287*$X$287</f>
        <v>997.13670000000002</v>
      </c>
      <c r="AE287" s="6">
        <f ca="1">$K$287*$Y$287</f>
        <v>6475.4864295366378</v>
      </c>
      <c r="AF287" s="6">
        <f ca="1">$M$287*$Z$287</f>
        <v>418.44774448506132</v>
      </c>
      <c r="AG287" s="6">
        <f>$O$287*$AA$287</f>
        <v>1337.7936674252428</v>
      </c>
    </row>
    <row r="288" spans="1:33" ht="11.25" customHeight="1" x14ac:dyDescent="0.25">
      <c r="A288" s="4" t="s">
        <v>28</v>
      </c>
      <c r="B288" s="4" t="s">
        <v>41</v>
      </c>
      <c r="C288" s="4" t="s">
        <v>42</v>
      </c>
      <c r="D288" s="4" t="s">
        <v>40</v>
      </c>
      <c r="E288" s="4" t="s">
        <v>25</v>
      </c>
      <c r="F288" s="4" t="s">
        <v>25</v>
      </c>
      <c r="G288" s="4" t="s">
        <v>25</v>
      </c>
      <c r="H288" s="4" t="s">
        <v>36</v>
      </c>
      <c r="I288" s="5">
        <v>44621</v>
      </c>
      <c r="J288" s="6">
        <v>1262</v>
      </c>
      <c r="K288" s="6">
        <v>1262</v>
      </c>
      <c r="L288" s="6">
        <v>52.881999999999998</v>
      </c>
      <c r="M288" s="6">
        <v>52.881999999999998</v>
      </c>
      <c r="N288" s="6">
        <v>52.881999999999998</v>
      </c>
      <c r="O288" s="6">
        <v>52.881999999999998</v>
      </c>
      <c r="P288" s="6">
        <v>0</v>
      </c>
      <c r="Q288" s="4" t="s">
        <v>26</v>
      </c>
      <c r="R288" s="4">
        <v>0</v>
      </c>
      <c r="S288" s="6">
        <v>19</v>
      </c>
      <c r="T288" s="6">
        <v>21</v>
      </c>
      <c r="U288" s="6">
        <v>74</v>
      </c>
      <c r="V288" s="6">
        <f>IF(ISERROR(VLOOKUP($S$288,'TAR FIN'!$A$1:$O$115,15,0)),0,VLOOKUP($S$288,'TAR FIN'!$A$1:$O$115,15,0))</f>
        <v>56.22</v>
      </c>
      <c r="W288" s="6">
        <f>IF(ISERROR(VLOOKUP($T$288,'TAR FIN'!$A$1:$O$115,15,0)),0,VLOOKUP($T$288,'TAR FIN'!$A$1:$O$115,15,0))</f>
        <v>84.31</v>
      </c>
      <c r="X288" s="6">
        <f>IF(ISERROR(VLOOKUP($U$288,'TAR FIN'!$A$1:$O$115,15,0)),0,VLOOKUP($U$288,'TAR FIN'!$A$1:$O$115,15,0))</f>
        <v>270.3</v>
      </c>
      <c r="Y288" s="6">
        <f ca="1">('TUSD BE'!$AM$19+'TUSD BF'!$AM$19+'TUSD CVA'!$AM$19)*1</f>
        <v>56.308577648144677</v>
      </c>
      <c r="Z288" s="6">
        <f ca="1">('TUSD BE'!$AM$21+'TUSD BF'!$AM$21+'TUSD CVA'!$AM$21)*1</f>
        <v>113.43121292628391</v>
      </c>
      <c r="AA288" s="6">
        <f>('TE BE'!$AB$11+'TE BF'!$AB$11+'TE CVA'!$AB$11)*1</f>
        <v>362.64398683254075</v>
      </c>
      <c r="AB288" s="6">
        <f>$K$288*$V$288</f>
        <v>70949.64</v>
      </c>
      <c r="AC288" s="6">
        <f>$M$288*$W$288</f>
        <v>4458.4814200000001</v>
      </c>
      <c r="AD288" s="6">
        <f>$O$288*$X$288</f>
        <v>14294.0046</v>
      </c>
      <c r="AE288" s="6">
        <f ca="1">$K$288*$Y$288</f>
        <v>71061.424991958585</v>
      </c>
      <c r="AF288" s="6">
        <f ca="1">$M$288*$Z$288</f>
        <v>5998.4694019677454</v>
      </c>
      <c r="AG288" s="6">
        <f>$O$288*$AA$288</f>
        <v>19177.339311678417</v>
      </c>
    </row>
    <row r="289" spans="1:33" ht="11.25" customHeight="1" x14ac:dyDescent="0.25">
      <c r="A289" s="4" t="s">
        <v>21</v>
      </c>
      <c r="B289" s="4" t="s">
        <v>41</v>
      </c>
      <c r="C289" s="4" t="s">
        <v>42</v>
      </c>
      <c r="D289" s="4" t="s">
        <v>40</v>
      </c>
      <c r="E289" s="4" t="s">
        <v>25</v>
      </c>
      <c r="F289" s="4" t="s">
        <v>25</v>
      </c>
      <c r="G289" s="4" t="s">
        <v>25</v>
      </c>
      <c r="H289" s="4" t="s">
        <v>36</v>
      </c>
      <c r="I289" s="5">
        <v>44652</v>
      </c>
      <c r="J289" s="6">
        <v>131</v>
      </c>
      <c r="K289" s="6">
        <v>131</v>
      </c>
      <c r="L289" s="6">
        <v>3.6890000000000001</v>
      </c>
      <c r="M289" s="6">
        <v>3.6890000000000001</v>
      </c>
      <c r="N289" s="6">
        <v>3.6890000000000001</v>
      </c>
      <c r="O289" s="6">
        <v>3.6890000000000001</v>
      </c>
      <c r="P289" s="6">
        <v>0</v>
      </c>
      <c r="Q289" s="4" t="s">
        <v>26</v>
      </c>
      <c r="R289" s="4">
        <v>0</v>
      </c>
      <c r="S289" s="6">
        <v>19</v>
      </c>
      <c r="T289" s="6">
        <v>21</v>
      </c>
      <c r="U289" s="6">
        <v>74</v>
      </c>
      <c r="V289" s="6">
        <f>IF(ISERROR(VLOOKUP($S$289,'TAR FIN'!$A$1:$O$115,15,0)),0,VLOOKUP($S$289,'TAR FIN'!$A$1:$O$115,15,0))</f>
        <v>56.22</v>
      </c>
      <c r="W289" s="6">
        <f>IF(ISERROR(VLOOKUP($T$289,'TAR FIN'!$A$1:$O$115,15,0)),0,VLOOKUP($T$289,'TAR FIN'!$A$1:$O$115,15,0))</f>
        <v>84.31</v>
      </c>
      <c r="X289" s="6">
        <f>IF(ISERROR(VLOOKUP($U$289,'TAR FIN'!$A$1:$O$115,15,0)),0,VLOOKUP($U$289,'TAR FIN'!$A$1:$O$115,15,0))</f>
        <v>270.3</v>
      </c>
      <c r="Y289" s="6">
        <f ca="1">('TUSD BE'!$AM$19+'TUSD BF'!$AM$19+'TUSD CVA'!$AM$19)*1</f>
        <v>56.308577648144677</v>
      </c>
      <c r="Z289" s="6">
        <f ca="1">('TUSD BE'!$AM$21+'TUSD BF'!$AM$21+'TUSD CVA'!$AM$21)*1</f>
        <v>113.43121292628391</v>
      </c>
      <c r="AA289" s="6">
        <f>('TE BE'!$AB$11+'TE BF'!$AB$11+'TE CVA'!$AB$11)*1</f>
        <v>362.64398683254075</v>
      </c>
      <c r="AB289" s="6">
        <f>$K$289*$V$289</f>
        <v>7364.82</v>
      </c>
      <c r="AC289" s="6">
        <f>$M$289*$W$289</f>
        <v>311.01958999999999</v>
      </c>
      <c r="AD289" s="6">
        <f>$O$289*$X$289</f>
        <v>997.13670000000002</v>
      </c>
      <c r="AE289" s="6">
        <f ca="1">$K$289*$Y$289</f>
        <v>7376.4236719069531</v>
      </c>
      <c r="AF289" s="6">
        <f ca="1">$M$289*$Z$289</f>
        <v>418.44774448506132</v>
      </c>
      <c r="AG289" s="6">
        <f>$O$289*$AA$289</f>
        <v>1337.7936674252428</v>
      </c>
    </row>
    <row r="290" spans="1:33" ht="11.25" customHeight="1" x14ac:dyDescent="0.25">
      <c r="A290" s="4" t="s">
        <v>28</v>
      </c>
      <c r="B290" s="4" t="s">
        <v>41</v>
      </c>
      <c r="C290" s="4" t="s">
        <v>42</v>
      </c>
      <c r="D290" s="4" t="s">
        <v>40</v>
      </c>
      <c r="E290" s="4" t="s">
        <v>25</v>
      </c>
      <c r="F290" s="4" t="s">
        <v>25</v>
      </c>
      <c r="G290" s="4" t="s">
        <v>25</v>
      </c>
      <c r="H290" s="4" t="s">
        <v>36</v>
      </c>
      <c r="I290" s="5">
        <v>44652</v>
      </c>
      <c r="J290" s="6">
        <v>1262</v>
      </c>
      <c r="K290" s="6">
        <v>1262</v>
      </c>
      <c r="L290" s="6">
        <v>45.524999999999999</v>
      </c>
      <c r="M290" s="6">
        <v>45.524999999999999</v>
      </c>
      <c r="N290" s="6">
        <v>45.524999999999999</v>
      </c>
      <c r="O290" s="6">
        <v>45.524999999999999</v>
      </c>
      <c r="P290" s="6">
        <v>0</v>
      </c>
      <c r="Q290" s="4" t="s">
        <v>26</v>
      </c>
      <c r="R290" s="4">
        <v>0</v>
      </c>
      <c r="S290" s="6">
        <v>19</v>
      </c>
      <c r="T290" s="6">
        <v>21</v>
      </c>
      <c r="U290" s="6">
        <v>74</v>
      </c>
      <c r="V290" s="6">
        <f>IF(ISERROR(VLOOKUP($S$290,'TAR FIN'!$A$1:$O$115,15,0)),0,VLOOKUP($S$290,'TAR FIN'!$A$1:$O$115,15,0))</f>
        <v>56.22</v>
      </c>
      <c r="W290" s="6">
        <f>IF(ISERROR(VLOOKUP($T$290,'TAR FIN'!$A$1:$O$115,15,0)),0,VLOOKUP($T$290,'TAR FIN'!$A$1:$O$115,15,0))</f>
        <v>84.31</v>
      </c>
      <c r="X290" s="6">
        <f>IF(ISERROR(VLOOKUP($U$290,'TAR FIN'!$A$1:$O$115,15,0)),0,VLOOKUP($U$290,'TAR FIN'!$A$1:$O$115,15,0))</f>
        <v>270.3</v>
      </c>
      <c r="Y290" s="6">
        <f ca="1">('TUSD BE'!$AM$19+'TUSD BF'!$AM$19+'TUSD CVA'!$AM$19)*1</f>
        <v>56.308577648144677</v>
      </c>
      <c r="Z290" s="6">
        <f ca="1">('TUSD BE'!$AM$21+'TUSD BF'!$AM$21+'TUSD CVA'!$AM$21)*1</f>
        <v>113.43121292628391</v>
      </c>
      <c r="AA290" s="6">
        <f>('TE BE'!$AB$11+'TE BF'!$AB$11+'TE CVA'!$AB$11)*1</f>
        <v>362.64398683254075</v>
      </c>
      <c r="AB290" s="6">
        <f>$K$290*$V$290</f>
        <v>70949.64</v>
      </c>
      <c r="AC290" s="6">
        <f>$M$290*$W$290</f>
        <v>3838.2127500000001</v>
      </c>
      <c r="AD290" s="6">
        <f>$O$290*$X$290</f>
        <v>12305.407499999999</v>
      </c>
      <c r="AE290" s="6">
        <f ca="1">$K$290*$Y$290</f>
        <v>71061.424991958585</v>
      </c>
      <c r="AF290" s="6">
        <f ca="1">$M$290*$Z$290</f>
        <v>5163.9559684690748</v>
      </c>
      <c r="AG290" s="6">
        <f>$O$290*$AA$290</f>
        <v>16509.367500551416</v>
      </c>
    </row>
    <row r="291" spans="1:33" ht="11.25" customHeight="1" x14ac:dyDescent="0.25">
      <c r="A291" s="4" t="s">
        <v>21</v>
      </c>
      <c r="B291" s="4" t="s">
        <v>41</v>
      </c>
      <c r="C291" s="4" t="s">
        <v>42</v>
      </c>
      <c r="D291" s="4" t="s">
        <v>40</v>
      </c>
      <c r="E291" s="4" t="s">
        <v>25</v>
      </c>
      <c r="F291" s="4" t="s">
        <v>25</v>
      </c>
      <c r="G291" s="4" t="s">
        <v>25</v>
      </c>
      <c r="H291" s="4" t="s">
        <v>36</v>
      </c>
      <c r="I291" s="5">
        <v>44682</v>
      </c>
      <c r="J291" s="6">
        <v>122</v>
      </c>
      <c r="K291" s="6">
        <v>122</v>
      </c>
      <c r="L291" s="6">
        <v>4.5220000000000002</v>
      </c>
      <c r="M291" s="6">
        <v>4.5220000000000002</v>
      </c>
      <c r="N291" s="6">
        <v>4.5220000000000002</v>
      </c>
      <c r="O291" s="6">
        <v>4.5220000000000002</v>
      </c>
      <c r="P291" s="6">
        <v>0</v>
      </c>
      <c r="Q291" s="4" t="s">
        <v>26</v>
      </c>
      <c r="R291" s="4">
        <v>0</v>
      </c>
      <c r="S291" s="6">
        <v>19</v>
      </c>
      <c r="T291" s="6">
        <v>21</v>
      </c>
      <c r="U291" s="6">
        <v>74</v>
      </c>
      <c r="V291" s="6">
        <f>IF(ISERROR(VLOOKUP($S$291,'TAR FIN'!$A$1:$O$115,15,0)),0,VLOOKUP($S$291,'TAR FIN'!$A$1:$O$115,15,0))</f>
        <v>56.22</v>
      </c>
      <c r="W291" s="6">
        <f>IF(ISERROR(VLOOKUP($T$291,'TAR FIN'!$A$1:$O$115,15,0)),0,VLOOKUP($T$291,'TAR FIN'!$A$1:$O$115,15,0))</f>
        <v>84.31</v>
      </c>
      <c r="X291" s="6">
        <f>IF(ISERROR(VLOOKUP($U$291,'TAR FIN'!$A$1:$O$115,15,0)),0,VLOOKUP($U$291,'TAR FIN'!$A$1:$O$115,15,0))</f>
        <v>270.3</v>
      </c>
      <c r="Y291" s="6">
        <f ca="1">('TUSD BE'!$AM$19+'TUSD BF'!$AM$19+'TUSD CVA'!$AM$19)*1</f>
        <v>56.308577648144677</v>
      </c>
      <c r="Z291" s="6">
        <f ca="1">('TUSD BE'!$AM$21+'TUSD BF'!$AM$21+'TUSD CVA'!$AM$21)*1</f>
        <v>113.43121292628391</v>
      </c>
      <c r="AA291" s="6">
        <f>('TE BE'!$AB$11+'TE BF'!$AB$11+'TE CVA'!$AB$11)*1</f>
        <v>362.64398683254075</v>
      </c>
      <c r="AB291" s="6">
        <f>$K$291*$V$291</f>
        <v>6858.84</v>
      </c>
      <c r="AC291" s="6">
        <f>$M$291*$W$291</f>
        <v>381.24982000000006</v>
      </c>
      <c r="AD291" s="6">
        <f>$O$291*$X$291</f>
        <v>1222.2966000000001</v>
      </c>
      <c r="AE291" s="6">
        <f ca="1">$K$291*$Y$291</f>
        <v>6869.6464730736507</v>
      </c>
      <c r="AF291" s="6">
        <f ca="1">$M$291*$Z$291</f>
        <v>512.93594485265589</v>
      </c>
      <c r="AG291" s="6">
        <f>$O$291*$AA$291</f>
        <v>1639.8761084567493</v>
      </c>
    </row>
    <row r="292" spans="1:33" ht="11.25" customHeight="1" x14ac:dyDescent="0.25">
      <c r="A292" s="4" t="s">
        <v>28</v>
      </c>
      <c r="B292" s="4" t="s">
        <v>41</v>
      </c>
      <c r="C292" s="4" t="s">
        <v>42</v>
      </c>
      <c r="D292" s="4" t="s">
        <v>40</v>
      </c>
      <c r="E292" s="4" t="s">
        <v>25</v>
      </c>
      <c r="F292" s="4" t="s">
        <v>25</v>
      </c>
      <c r="G292" s="4" t="s">
        <v>25</v>
      </c>
      <c r="H292" s="4" t="s">
        <v>36</v>
      </c>
      <c r="I292" s="5">
        <v>44682</v>
      </c>
      <c r="J292" s="6">
        <v>1262</v>
      </c>
      <c r="K292" s="6">
        <v>1262</v>
      </c>
      <c r="L292" s="6">
        <v>43.823</v>
      </c>
      <c r="M292" s="6">
        <v>43.823</v>
      </c>
      <c r="N292" s="6">
        <v>43.823</v>
      </c>
      <c r="O292" s="6">
        <v>43.823</v>
      </c>
      <c r="P292" s="6">
        <v>0</v>
      </c>
      <c r="Q292" s="4" t="s">
        <v>26</v>
      </c>
      <c r="R292" s="4">
        <v>0</v>
      </c>
      <c r="S292" s="6">
        <v>19</v>
      </c>
      <c r="T292" s="6">
        <v>21</v>
      </c>
      <c r="U292" s="6">
        <v>74</v>
      </c>
      <c r="V292" s="6">
        <f>IF(ISERROR(VLOOKUP($S$292,'TAR FIN'!$A$1:$O$115,15,0)),0,VLOOKUP($S$292,'TAR FIN'!$A$1:$O$115,15,0))</f>
        <v>56.22</v>
      </c>
      <c r="W292" s="6">
        <f>IF(ISERROR(VLOOKUP($T$292,'TAR FIN'!$A$1:$O$115,15,0)),0,VLOOKUP($T$292,'TAR FIN'!$A$1:$O$115,15,0))</f>
        <v>84.31</v>
      </c>
      <c r="X292" s="6">
        <f>IF(ISERROR(VLOOKUP($U$292,'TAR FIN'!$A$1:$O$115,15,0)),0,VLOOKUP($U$292,'TAR FIN'!$A$1:$O$115,15,0))</f>
        <v>270.3</v>
      </c>
      <c r="Y292" s="6">
        <f ca="1">('TUSD BE'!$AM$19+'TUSD BF'!$AM$19+'TUSD CVA'!$AM$19)*1</f>
        <v>56.308577648144677</v>
      </c>
      <c r="Z292" s="6">
        <f ca="1">('TUSD BE'!$AM$21+'TUSD BF'!$AM$21+'TUSD CVA'!$AM$21)*1</f>
        <v>113.43121292628391</v>
      </c>
      <c r="AA292" s="6">
        <f>('TE BE'!$AB$11+'TE BF'!$AB$11+'TE CVA'!$AB$11)*1</f>
        <v>362.64398683254075</v>
      </c>
      <c r="AB292" s="6">
        <f>$K$292*$V$292</f>
        <v>70949.64</v>
      </c>
      <c r="AC292" s="6">
        <f>$M$292*$W$292</f>
        <v>3694.71713</v>
      </c>
      <c r="AD292" s="6">
        <f>$O$292*$X$292</f>
        <v>11845.356900000001</v>
      </c>
      <c r="AE292" s="6">
        <f ca="1">$K$292*$Y$292</f>
        <v>71061.424991958585</v>
      </c>
      <c r="AF292" s="6">
        <f ca="1">$M$292*$Z$292</f>
        <v>4970.8960440685396</v>
      </c>
      <c r="AG292" s="6">
        <f>$O$292*$AA$292</f>
        <v>15892.147434962433</v>
      </c>
    </row>
    <row r="293" spans="1:33" ht="11.25" customHeight="1" x14ac:dyDescent="0.25">
      <c r="A293" s="4" t="s">
        <v>21</v>
      </c>
      <c r="B293" s="4" t="s">
        <v>41</v>
      </c>
      <c r="C293" s="4" t="s">
        <v>42</v>
      </c>
      <c r="D293" s="4" t="s">
        <v>40</v>
      </c>
      <c r="E293" s="4" t="s">
        <v>25</v>
      </c>
      <c r="F293" s="4" t="s">
        <v>25</v>
      </c>
      <c r="G293" s="4" t="s">
        <v>25</v>
      </c>
      <c r="H293" s="4" t="s">
        <v>36</v>
      </c>
      <c r="I293" s="5">
        <v>44713</v>
      </c>
      <c r="J293" s="6">
        <v>119</v>
      </c>
      <c r="K293" s="6">
        <v>119</v>
      </c>
      <c r="L293" s="6">
        <v>4.0279999999999996</v>
      </c>
      <c r="M293" s="6">
        <v>4.0279999999999996</v>
      </c>
      <c r="N293" s="6">
        <v>4.0279999999999996</v>
      </c>
      <c r="O293" s="6">
        <v>4.0279999999999996</v>
      </c>
      <c r="P293" s="6">
        <v>0</v>
      </c>
      <c r="Q293" s="4" t="s">
        <v>26</v>
      </c>
      <c r="R293" s="4">
        <v>0</v>
      </c>
      <c r="S293" s="6">
        <v>19</v>
      </c>
      <c r="T293" s="6">
        <v>21</v>
      </c>
      <c r="U293" s="6">
        <v>74</v>
      </c>
      <c r="V293" s="6">
        <f>IF(ISERROR(VLOOKUP($S$293,'TAR FIN'!$A$1:$O$115,15,0)),0,VLOOKUP($S$293,'TAR FIN'!$A$1:$O$115,15,0))</f>
        <v>56.22</v>
      </c>
      <c r="W293" s="6">
        <f>IF(ISERROR(VLOOKUP($T$293,'TAR FIN'!$A$1:$O$115,15,0)),0,VLOOKUP($T$293,'TAR FIN'!$A$1:$O$115,15,0))</f>
        <v>84.31</v>
      </c>
      <c r="X293" s="6">
        <f>IF(ISERROR(VLOOKUP($U$293,'TAR FIN'!$A$1:$O$115,15,0)),0,VLOOKUP($U$293,'TAR FIN'!$A$1:$O$115,15,0))</f>
        <v>270.3</v>
      </c>
      <c r="Y293" s="6">
        <f ca="1">('TUSD BE'!$AM$19+'TUSD BF'!$AM$19+'TUSD CVA'!$AM$19)*1</f>
        <v>56.308577648144677</v>
      </c>
      <c r="Z293" s="6">
        <f ca="1">('TUSD BE'!$AM$21+'TUSD BF'!$AM$21+'TUSD CVA'!$AM$21)*1</f>
        <v>113.43121292628391</v>
      </c>
      <c r="AA293" s="6">
        <f>('TE BE'!$AB$11+'TE BF'!$AB$11+'TE CVA'!$AB$11)*1</f>
        <v>362.64398683254075</v>
      </c>
      <c r="AB293" s="6">
        <f>$K$293*$V$293</f>
        <v>6690.18</v>
      </c>
      <c r="AC293" s="6">
        <f>$M$293*$W$293</f>
        <v>339.60067999999995</v>
      </c>
      <c r="AD293" s="6">
        <f>$O$293*$X$293</f>
        <v>1088.7683999999999</v>
      </c>
      <c r="AE293" s="6">
        <f ca="1">$K$293*$Y$293</f>
        <v>6700.7207401292162</v>
      </c>
      <c r="AF293" s="6">
        <f ca="1">$M$293*$Z$293</f>
        <v>456.90092566707153</v>
      </c>
      <c r="AG293" s="6">
        <f>$O$293*$AA$293</f>
        <v>1460.729978961474</v>
      </c>
    </row>
    <row r="294" spans="1:33" ht="11.25" customHeight="1" x14ac:dyDescent="0.25">
      <c r="A294" s="4" t="s">
        <v>27</v>
      </c>
      <c r="B294" s="4" t="s">
        <v>41</v>
      </c>
      <c r="C294" s="4" t="s">
        <v>42</v>
      </c>
      <c r="D294" s="4" t="s">
        <v>40</v>
      </c>
      <c r="E294" s="4" t="s">
        <v>25</v>
      </c>
      <c r="F294" s="4" t="s">
        <v>25</v>
      </c>
      <c r="G294" s="4" t="s">
        <v>25</v>
      </c>
      <c r="H294" s="4" t="s">
        <v>36</v>
      </c>
      <c r="I294" s="5">
        <v>44713</v>
      </c>
      <c r="J294" s="6">
        <v>-539</v>
      </c>
      <c r="K294" s="6">
        <v>-539</v>
      </c>
      <c r="L294" s="6">
        <v>1.1200000000000001</v>
      </c>
      <c r="M294" s="6">
        <v>1.1200000000000001</v>
      </c>
      <c r="N294" s="6">
        <v>1.1200000000000001</v>
      </c>
      <c r="O294" s="6">
        <v>1.1200000000000001</v>
      </c>
      <c r="P294" s="6">
        <v>0</v>
      </c>
      <c r="Q294" s="4" t="s">
        <v>26</v>
      </c>
      <c r="R294" s="4">
        <v>0</v>
      </c>
      <c r="S294" s="6">
        <v>19</v>
      </c>
      <c r="T294" s="6">
        <v>21</v>
      </c>
      <c r="U294" s="6">
        <v>74</v>
      </c>
      <c r="V294" s="6">
        <f>IF(ISERROR(VLOOKUP($S$294,'TAR FIN'!$A$1:$O$115,15,0)),0,VLOOKUP($S$294,'TAR FIN'!$A$1:$O$115,15,0))</f>
        <v>56.22</v>
      </c>
      <c r="W294" s="6">
        <f>IF(ISERROR(VLOOKUP($T$294,'TAR FIN'!$A$1:$O$115,15,0)),0,VLOOKUP($T$294,'TAR FIN'!$A$1:$O$115,15,0))</f>
        <v>84.31</v>
      </c>
      <c r="X294" s="6">
        <f>IF(ISERROR(VLOOKUP($U$294,'TAR FIN'!$A$1:$O$115,15,0)),0,VLOOKUP($U$294,'TAR FIN'!$A$1:$O$115,15,0))</f>
        <v>270.3</v>
      </c>
      <c r="Y294" s="6">
        <f ca="1">('TUSD BE'!$AM$19+'TUSD BF'!$AM$19+'TUSD CVA'!$AM$19)*1</f>
        <v>56.308577648144677</v>
      </c>
      <c r="Z294" s="6">
        <f ca="1">('TUSD BE'!$AM$21+'TUSD BF'!$AM$21+'TUSD CVA'!$AM$21)*1</f>
        <v>113.43121292628391</v>
      </c>
      <c r="AA294" s="6">
        <f>('TE BE'!$AB$11+'TE BF'!$AB$11+'TE CVA'!$AB$11)*1</f>
        <v>362.64398683254075</v>
      </c>
      <c r="AB294" s="6">
        <f>$K$294*$V$294</f>
        <v>-30302.579999999998</v>
      </c>
      <c r="AC294" s="6">
        <f>$M$294*$W$294</f>
        <v>94.427200000000013</v>
      </c>
      <c r="AD294" s="6">
        <f>$O$294*$X$294</f>
        <v>302.73600000000005</v>
      </c>
      <c r="AE294" s="6">
        <f ca="1">$K$294*$Y$294</f>
        <v>-30350.32335234998</v>
      </c>
      <c r="AF294" s="6">
        <f ca="1">$M$294*$Z$294</f>
        <v>127.04295847743799</v>
      </c>
      <c r="AG294" s="6">
        <f>$O$294*$AA$294</f>
        <v>406.16126525244567</v>
      </c>
    </row>
    <row r="295" spans="1:33" ht="11.25" customHeight="1" x14ac:dyDescent="0.25">
      <c r="A295" s="4" t="s">
        <v>28</v>
      </c>
      <c r="B295" s="4" t="s">
        <v>41</v>
      </c>
      <c r="C295" s="4" t="s">
        <v>42</v>
      </c>
      <c r="D295" s="4" t="s">
        <v>40</v>
      </c>
      <c r="E295" s="4" t="s">
        <v>25</v>
      </c>
      <c r="F295" s="4" t="s">
        <v>25</v>
      </c>
      <c r="G295" s="4" t="s">
        <v>25</v>
      </c>
      <c r="H295" s="4" t="s">
        <v>36</v>
      </c>
      <c r="I295" s="5">
        <v>44713</v>
      </c>
      <c r="J295" s="6">
        <v>1262</v>
      </c>
      <c r="K295" s="6">
        <v>1262</v>
      </c>
      <c r="L295" s="6">
        <v>57.436999999999998</v>
      </c>
      <c r="M295" s="6">
        <v>57.436999999999998</v>
      </c>
      <c r="N295" s="6">
        <v>57.436999999999998</v>
      </c>
      <c r="O295" s="6">
        <v>57.436999999999998</v>
      </c>
      <c r="P295" s="6">
        <v>0</v>
      </c>
      <c r="Q295" s="4" t="s">
        <v>26</v>
      </c>
      <c r="R295" s="4">
        <v>0</v>
      </c>
      <c r="S295" s="6">
        <v>19</v>
      </c>
      <c r="T295" s="6">
        <v>21</v>
      </c>
      <c r="U295" s="6">
        <v>74</v>
      </c>
      <c r="V295" s="6">
        <f>IF(ISERROR(VLOOKUP($S$295,'TAR FIN'!$A$1:$O$115,15,0)),0,VLOOKUP($S$295,'TAR FIN'!$A$1:$O$115,15,0))</f>
        <v>56.22</v>
      </c>
      <c r="W295" s="6">
        <f>IF(ISERROR(VLOOKUP($T$295,'TAR FIN'!$A$1:$O$115,15,0)),0,VLOOKUP($T$295,'TAR FIN'!$A$1:$O$115,15,0))</f>
        <v>84.31</v>
      </c>
      <c r="X295" s="6">
        <f>IF(ISERROR(VLOOKUP($U$295,'TAR FIN'!$A$1:$O$115,15,0)),0,VLOOKUP($U$295,'TAR FIN'!$A$1:$O$115,15,0))</f>
        <v>270.3</v>
      </c>
      <c r="Y295" s="6">
        <f ca="1">('TUSD BE'!$AM$19+'TUSD BF'!$AM$19+'TUSD CVA'!$AM$19)*1</f>
        <v>56.308577648144677</v>
      </c>
      <c r="Z295" s="6">
        <f ca="1">('TUSD BE'!$AM$21+'TUSD BF'!$AM$21+'TUSD CVA'!$AM$21)*1</f>
        <v>113.43121292628391</v>
      </c>
      <c r="AA295" s="6">
        <f>('TE BE'!$AB$11+'TE BF'!$AB$11+'TE CVA'!$AB$11)*1</f>
        <v>362.64398683254075</v>
      </c>
      <c r="AB295" s="6">
        <f>$K$295*$V$295</f>
        <v>70949.64</v>
      </c>
      <c r="AC295" s="6">
        <f>$M$295*$W$295</f>
        <v>4842.5134699999999</v>
      </c>
      <c r="AD295" s="6">
        <f>$O$295*$X$295</f>
        <v>15525.221100000001</v>
      </c>
      <c r="AE295" s="6">
        <f ca="1">$K$295*$Y$295</f>
        <v>71061.424991958585</v>
      </c>
      <c r="AF295" s="6">
        <f ca="1">$M$295*$Z$295</f>
        <v>6515.1485768469684</v>
      </c>
      <c r="AG295" s="6">
        <f>$O$295*$AA$295</f>
        <v>20829.182671700641</v>
      </c>
    </row>
    <row r="296" spans="1:33" ht="11.25" customHeight="1" x14ac:dyDescent="0.25">
      <c r="A296" s="4" t="s">
        <v>21</v>
      </c>
      <c r="B296" s="4" t="s">
        <v>41</v>
      </c>
      <c r="C296" s="4" t="s">
        <v>42</v>
      </c>
      <c r="D296" s="4" t="s">
        <v>40</v>
      </c>
      <c r="E296" s="4" t="s">
        <v>25</v>
      </c>
      <c r="F296" s="4" t="s">
        <v>25</v>
      </c>
      <c r="G296" s="4" t="s">
        <v>25</v>
      </c>
      <c r="H296" s="4" t="s">
        <v>36</v>
      </c>
      <c r="I296" s="5">
        <v>44743</v>
      </c>
      <c r="J296" s="6">
        <v>126</v>
      </c>
      <c r="K296" s="6">
        <v>126</v>
      </c>
      <c r="L296" s="6">
        <v>4.3890000000000002</v>
      </c>
      <c r="M296" s="6">
        <v>4.3890000000000002</v>
      </c>
      <c r="N296" s="6">
        <v>4.3890000000000002</v>
      </c>
      <c r="O296" s="6">
        <v>4.3890000000000002</v>
      </c>
      <c r="P296" s="6">
        <v>0</v>
      </c>
      <c r="Q296" s="4" t="s">
        <v>26</v>
      </c>
      <c r="R296" s="4">
        <v>0</v>
      </c>
      <c r="S296" s="6">
        <v>19</v>
      </c>
      <c r="T296" s="6">
        <v>21</v>
      </c>
      <c r="U296" s="6">
        <v>74</v>
      </c>
      <c r="V296" s="6">
        <f>IF(ISERROR(VLOOKUP($S$296,'TAR FIN'!$A$1:$O$115,15,0)),0,VLOOKUP($S$296,'TAR FIN'!$A$1:$O$115,15,0))</f>
        <v>56.22</v>
      </c>
      <c r="W296" s="6">
        <f>IF(ISERROR(VLOOKUP($T$296,'TAR FIN'!$A$1:$O$115,15,0)),0,VLOOKUP($T$296,'TAR FIN'!$A$1:$O$115,15,0))</f>
        <v>84.31</v>
      </c>
      <c r="X296" s="6">
        <f>IF(ISERROR(VLOOKUP($U$296,'TAR FIN'!$A$1:$O$115,15,0)),0,VLOOKUP($U$296,'TAR FIN'!$A$1:$O$115,15,0))</f>
        <v>270.3</v>
      </c>
      <c r="Y296" s="6">
        <f ca="1">('TUSD BE'!$AM$19+'TUSD BF'!$AM$19+'TUSD CVA'!$AM$19)*1</f>
        <v>56.308577648144677</v>
      </c>
      <c r="Z296" s="6">
        <f ca="1">('TUSD BE'!$AM$21+'TUSD BF'!$AM$21+'TUSD CVA'!$AM$21)*1</f>
        <v>113.43121292628391</v>
      </c>
      <c r="AA296" s="6">
        <f>('TE BE'!$AB$11+'TE BF'!$AB$11+'TE CVA'!$AB$11)*1</f>
        <v>362.64398683254075</v>
      </c>
      <c r="AB296" s="6">
        <f>$K$296*$V$296</f>
        <v>7083.72</v>
      </c>
      <c r="AC296" s="6">
        <f>$M$296*$W$296</f>
        <v>370.03659000000005</v>
      </c>
      <c r="AD296" s="6">
        <f>$O$296*$X$296</f>
        <v>1186.3467000000001</v>
      </c>
      <c r="AE296" s="6">
        <f ca="1">$K$296*$Y$296</f>
        <v>7094.880783666229</v>
      </c>
      <c r="AF296" s="6">
        <f ca="1">$M$296*$Z$296</f>
        <v>497.84959353346011</v>
      </c>
      <c r="AG296" s="6">
        <f>$O$296*$AA$296</f>
        <v>1591.6444582080214</v>
      </c>
    </row>
    <row r="297" spans="1:33" ht="11.25" customHeight="1" x14ac:dyDescent="0.25">
      <c r="A297" s="4" t="s">
        <v>28</v>
      </c>
      <c r="B297" s="4" t="s">
        <v>41</v>
      </c>
      <c r="C297" s="4" t="s">
        <v>42</v>
      </c>
      <c r="D297" s="4" t="s">
        <v>40</v>
      </c>
      <c r="E297" s="4" t="s">
        <v>25</v>
      </c>
      <c r="F297" s="4" t="s">
        <v>25</v>
      </c>
      <c r="G297" s="4" t="s">
        <v>25</v>
      </c>
      <c r="H297" s="4" t="s">
        <v>36</v>
      </c>
      <c r="I297" s="5">
        <v>44743</v>
      </c>
      <c r="J297" s="6">
        <v>1262</v>
      </c>
      <c r="K297" s="6">
        <v>1262</v>
      </c>
      <c r="L297" s="6">
        <v>53.774000000000001</v>
      </c>
      <c r="M297" s="6">
        <v>53.774000000000001</v>
      </c>
      <c r="N297" s="6">
        <v>53.774000000000001</v>
      </c>
      <c r="O297" s="6">
        <v>53.774000000000001</v>
      </c>
      <c r="P297" s="6">
        <v>0</v>
      </c>
      <c r="Q297" s="4" t="s">
        <v>26</v>
      </c>
      <c r="R297" s="4">
        <v>0</v>
      </c>
      <c r="S297" s="6">
        <v>19</v>
      </c>
      <c r="T297" s="6">
        <v>21</v>
      </c>
      <c r="U297" s="6">
        <v>74</v>
      </c>
      <c r="V297" s="6">
        <f>IF(ISERROR(VLOOKUP($S$297,'TAR FIN'!$A$1:$O$115,15,0)),0,VLOOKUP($S$297,'TAR FIN'!$A$1:$O$115,15,0))</f>
        <v>56.22</v>
      </c>
      <c r="W297" s="6">
        <f>IF(ISERROR(VLOOKUP($T$297,'TAR FIN'!$A$1:$O$115,15,0)),0,VLOOKUP($T$297,'TAR FIN'!$A$1:$O$115,15,0))</f>
        <v>84.31</v>
      </c>
      <c r="X297" s="6">
        <f>IF(ISERROR(VLOOKUP($U$297,'TAR FIN'!$A$1:$O$115,15,0)),0,VLOOKUP($U$297,'TAR FIN'!$A$1:$O$115,15,0))</f>
        <v>270.3</v>
      </c>
      <c r="Y297" s="6">
        <f ca="1">('TUSD BE'!$AM$19+'TUSD BF'!$AM$19+'TUSD CVA'!$AM$19)*1</f>
        <v>56.308577648144677</v>
      </c>
      <c r="Z297" s="6">
        <f ca="1">('TUSD BE'!$AM$21+'TUSD BF'!$AM$21+'TUSD CVA'!$AM$21)*1</f>
        <v>113.43121292628391</v>
      </c>
      <c r="AA297" s="6">
        <f>('TE BE'!$AB$11+'TE BF'!$AB$11+'TE CVA'!$AB$11)*1</f>
        <v>362.64398683254075</v>
      </c>
      <c r="AB297" s="6">
        <f>$K$297*$V$297</f>
        <v>70949.64</v>
      </c>
      <c r="AC297" s="6">
        <f>$M$297*$W$297</f>
        <v>4533.6859400000003</v>
      </c>
      <c r="AD297" s="6">
        <f>$O$297*$X$297</f>
        <v>14535.112200000001</v>
      </c>
      <c r="AE297" s="6">
        <f ca="1">$K$297*$Y$297</f>
        <v>71061.424991958585</v>
      </c>
      <c r="AF297" s="6">
        <f ca="1">$M$297*$Z$297</f>
        <v>6099.6500438979911</v>
      </c>
      <c r="AG297" s="6">
        <f>$O$297*$AA$297</f>
        <v>19500.817747933048</v>
      </c>
    </row>
    <row r="298" spans="1:33" ht="11.25" customHeight="1" x14ac:dyDescent="0.25">
      <c r="A298" s="4" t="s">
        <v>21</v>
      </c>
      <c r="B298" s="4" t="s">
        <v>41</v>
      </c>
      <c r="C298" s="4" t="s">
        <v>42</v>
      </c>
      <c r="D298" s="4" t="s">
        <v>40</v>
      </c>
      <c r="E298" s="4" t="s">
        <v>25</v>
      </c>
      <c r="F298" s="4" t="s">
        <v>25</v>
      </c>
      <c r="G298" s="4" t="s">
        <v>25</v>
      </c>
      <c r="H298" s="4" t="s">
        <v>36</v>
      </c>
      <c r="I298" s="5">
        <v>44774</v>
      </c>
      <c r="J298" s="6">
        <v>121</v>
      </c>
      <c r="K298" s="6">
        <v>121</v>
      </c>
      <c r="L298" s="6">
        <v>4.6399999999999997</v>
      </c>
      <c r="M298" s="6">
        <v>4.6399999999999997</v>
      </c>
      <c r="N298" s="6">
        <v>4.6399999999999997</v>
      </c>
      <c r="O298" s="6">
        <v>4.6399999999999997</v>
      </c>
      <c r="P298" s="6">
        <v>0</v>
      </c>
      <c r="Q298" s="4" t="s">
        <v>26</v>
      </c>
      <c r="R298" s="4">
        <v>0</v>
      </c>
      <c r="S298" s="6">
        <v>19</v>
      </c>
      <c r="T298" s="6">
        <v>21</v>
      </c>
      <c r="U298" s="6">
        <v>74</v>
      </c>
      <c r="V298" s="6">
        <f>IF(ISERROR(VLOOKUP($S$298,'TAR FIN'!$A$1:$O$115,15,0)),0,VLOOKUP($S$298,'TAR FIN'!$A$1:$O$115,15,0))</f>
        <v>56.22</v>
      </c>
      <c r="W298" s="6">
        <f>IF(ISERROR(VLOOKUP($T$298,'TAR FIN'!$A$1:$O$115,15,0)),0,VLOOKUP($T$298,'TAR FIN'!$A$1:$O$115,15,0))</f>
        <v>84.31</v>
      </c>
      <c r="X298" s="6">
        <f>IF(ISERROR(VLOOKUP($U$298,'TAR FIN'!$A$1:$O$115,15,0)),0,VLOOKUP($U$298,'TAR FIN'!$A$1:$O$115,15,0))</f>
        <v>270.3</v>
      </c>
      <c r="Y298" s="6">
        <f ca="1">('TUSD BE'!$AM$19+'TUSD BF'!$AM$19+'TUSD CVA'!$AM$19)*1</f>
        <v>56.308577648144677</v>
      </c>
      <c r="Z298" s="6">
        <f ca="1">('TUSD BE'!$AM$21+'TUSD BF'!$AM$21+'TUSD CVA'!$AM$21)*1</f>
        <v>113.43121292628391</v>
      </c>
      <c r="AA298" s="6">
        <f>('TE BE'!$AB$11+'TE BF'!$AB$11+'TE CVA'!$AB$11)*1</f>
        <v>362.64398683254075</v>
      </c>
      <c r="AB298" s="6">
        <f>$K$298*$V$298</f>
        <v>6802.62</v>
      </c>
      <c r="AC298" s="6">
        <f>$M$298*$W$298</f>
        <v>391.19839999999999</v>
      </c>
      <c r="AD298" s="6">
        <f>$O$298*$X$298</f>
        <v>1254.192</v>
      </c>
      <c r="AE298" s="6">
        <f ca="1">$K$298*$Y$298</f>
        <v>6813.3378954255058</v>
      </c>
      <c r="AF298" s="6">
        <f ca="1">$M$298*$Z$298</f>
        <v>526.32082797795726</v>
      </c>
      <c r="AG298" s="6">
        <f>$O$298*$AA$298</f>
        <v>1682.668098902989</v>
      </c>
    </row>
    <row r="299" spans="1:33" ht="11.25" customHeight="1" x14ac:dyDescent="0.25">
      <c r="A299" s="4" t="s">
        <v>28</v>
      </c>
      <c r="B299" s="4" t="s">
        <v>41</v>
      </c>
      <c r="C299" s="4" t="s">
        <v>42</v>
      </c>
      <c r="D299" s="4" t="s">
        <v>40</v>
      </c>
      <c r="E299" s="4" t="s">
        <v>25</v>
      </c>
      <c r="F299" s="4" t="s">
        <v>25</v>
      </c>
      <c r="G299" s="4" t="s">
        <v>25</v>
      </c>
      <c r="H299" s="4" t="s">
        <v>36</v>
      </c>
      <c r="I299" s="5">
        <v>44774</v>
      </c>
      <c r="J299" s="6">
        <v>1278</v>
      </c>
      <c r="K299" s="6">
        <v>1278</v>
      </c>
      <c r="L299" s="6">
        <v>62.19</v>
      </c>
      <c r="M299" s="6">
        <v>62.19</v>
      </c>
      <c r="N299" s="6">
        <v>62.19</v>
      </c>
      <c r="O299" s="6">
        <v>62.19</v>
      </c>
      <c r="P299" s="6">
        <v>0</v>
      </c>
      <c r="Q299" s="4" t="s">
        <v>26</v>
      </c>
      <c r="R299" s="4">
        <v>0</v>
      </c>
      <c r="S299" s="6">
        <v>19</v>
      </c>
      <c r="T299" s="6">
        <v>21</v>
      </c>
      <c r="U299" s="6">
        <v>74</v>
      </c>
      <c r="V299" s="6">
        <f>IF(ISERROR(VLOOKUP($S$299,'TAR FIN'!$A$1:$O$115,15,0)),0,VLOOKUP($S$299,'TAR FIN'!$A$1:$O$115,15,0))</f>
        <v>56.22</v>
      </c>
      <c r="W299" s="6">
        <f>IF(ISERROR(VLOOKUP($T$299,'TAR FIN'!$A$1:$O$115,15,0)),0,VLOOKUP($T$299,'TAR FIN'!$A$1:$O$115,15,0))</f>
        <v>84.31</v>
      </c>
      <c r="X299" s="6">
        <f>IF(ISERROR(VLOOKUP($U$299,'TAR FIN'!$A$1:$O$115,15,0)),0,VLOOKUP($U$299,'TAR FIN'!$A$1:$O$115,15,0))</f>
        <v>270.3</v>
      </c>
      <c r="Y299" s="6">
        <f ca="1">('TUSD BE'!$AM$19+'TUSD BF'!$AM$19+'TUSD CVA'!$AM$19)*1</f>
        <v>56.308577648144677</v>
      </c>
      <c r="Z299" s="6">
        <f ca="1">('TUSD BE'!$AM$21+'TUSD BF'!$AM$21+'TUSD CVA'!$AM$21)*1</f>
        <v>113.43121292628391</v>
      </c>
      <c r="AA299" s="6">
        <f>('TE BE'!$AB$11+'TE BF'!$AB$11+'TE CVA'!$AB$11)*1</f>
        <v>362.64398683254075</v>
      </c>
      <c r="AB299" s="6">
        <f>$K$299*$V$299</f>
        <v>71849.16</v>
      </c>
      <c r="AC299" s="6">
        <f>$M$299*$W$299</f>
        <v>5243.2389000000003</v>
      </c>
      <c r="AD299" s="6">
        <f>$O$299*$X$299</f>
        <v>16809.956999999999</v>
      </c>
      <c r="AE299" s="6">
        <f ca="1">$K$299*$Y$299</f>
        <v>71962.362234328903</v>
      </c>
      <c r="AF299" s="6">
        <f ca="1">$M$299*$Z$299</f>
        <v>7054.287131885596</v>
      </c>
      <c r="AG299" s="6">
        <f>$O$299*$AA$299</f>
        <v>22552.829541115709</v>
      </c>
    </row>
    <row r="300" spans="1:33" ht="11.25" customHeight="1" x14ac:dyDescent="0.25">
      <c r="A300" s="4" t="s">
        <v>21</v>
      </c>
      <c r="B300" s="4" t="s">
        <v>41</v>
      </c>
      <c r="C300" s="4" t="s">
        <v>42</v>
      </c>
      <c r="D300" s="4" t="s">
        <v>40</v>
      </c>
      <c r="E300" s="4" t="s">
        <v>25</v>
      </c>
      <c r="F300" s="4" t="s">
        <v>25</v>
      </c>
      <c r="G300" s="4" t="s">
        <v>25</v>
      </c>
      <c r="H300" s="4" t="s">
        <v>36</v>
      </c>
      <c r="I300" s="5">
        <v>44805</v>
      </c>
      <c r="J300" s="6">
        <v>125</v>
      </c>
      <c r="K300" s="6">
        <v>125</v>
      </c>
      <c r="L300" s="6">
        <v>4.391</v>
      </c>
      <c r="M300" s="6">
        <v>4.391</v>
      </c>
      <c r="N300" s="6">
        <v>4.391</v>
      </c>
      <c r="O300" s="6">
        <v>4.391</v>
      </c>
      <c r="P300" s="6">
        <v>0</v>
      </c>
      <c r="Q300" s="4" t="s">
        <v>26</v>
      </c>
      <c r="R300" s="4">
        <v>0</v>
      </c>
      <c r="S300" s="6">
        <v>19</v>
      </c>
      <c r="T300" s="6">
        <v>21</v>
      </c>
      <c r="U300" s="6">
        <v>74</v>
      </c>
      <c r="V300" s="6">
        <f>IF(ISERROR(VLOOKUP($S$300,'TAR FIN'!$A$1:$O$115,15,0)),0,VLOOKUP($S$300,'TAR FIN'!$A$1:$O$115,15,0))</f>
        <v>56.22</v>
      </c>
      <c r="W300" s="6">
        <f>IF(ISERROR(VLOOKUP($T$300,'TAR FIN'!$A$1:$O$115,15,0)),0,VLOOKUP($T$300,'TAR FIN'!$A$1:$O$115,15,0))</f>
        <v>84.31</v>
      </c>
      <c r="X300" s="6">
        <f>IF(ISERROR(VLOOKUP($U$300,'TAR FIN'!$A$1:$O$115,15,0)),0,VLOOKUP($U$300,'TAR FIN'!$A$1:$O$115,15,0))</f>
        <v>270.3</v>
      </c>
      <c r="Y300" s="6">
        <f ca="1">('TUSD BE'!$AM$19+'TUSD BF'!$AM$19+'TUSD CVA'!$AM$19)*1</f>
        <v>56.308577648144677</v>
      </c>
      <c r="Z300" s="6">
        <f ca="1">('TUSD BE'!$AM$21+'TUSD BF'!$AM$21+'TUSD CVA'!$AM$21)*1</f>
        <v>113.43121292628391</v>
      </c>
      <c r="AA300" s="6">
        <f>('TE BE'!$AB$11+'TE BF'!$AB$11+'TE CVA'!$AB$11)*1</f>
        <v>362.64398683254075</v>
      </c>
      <c r="AB300" s="6">
        <f>$K$300*$V$300</f>
        <v>7027.5</v>
      </c>
      <c r="AC300" s="6">
        <f>$M$300*$W$300</f>
        <v>370.20521000000002</v>
      </c>
      <c r="AD300" s="6">
        <f>$O$300*$X$300</f>
        <v>1186.8873000000001</v>
      </c>
      <c r="AE300" s="6">
        <f ca="1">$K$300*$Y$300</f>
        <v>7038.5722060180842</v>
      </c>
      <c r="AF300" s="6">
        <f ca="1">$M$300*$Z$300</f>
        <v>498.07645595931263</v>
      </c>
      <c r="AG300" s="6">
        <f>$O$300*$AA$300</f>
        <v>1592.3697461816864</v>
      </c>
    </row>
    <row r="301" spans="1:33" ht="11.25" customHeight="1" x14ac:dyDescent="0.25">
      <c r="A301" s="4" t="s">
        <v>28</v>
      </c>
      <c r="B301" s="4" t="s">
        <v>41</v>
      </c>
      <c r="C301" s="4" t="s">
        <v>42</v>
      </c>
      <c r="D301" s="4" t="s">
        <v>40</v>
      </c>
      <c r="E301" s="4" t="s">
        <v>25</v>
      </c>
      <c r="F301" s="4" t="s">
        <v>25</v>
      </c>
      <c r="G301" s="4" t="s">
        <v>25</v>
      </c>
      <c r="H301" s="4" t="s">
        <v>36</v>
      </c>
      <c r="I301" s="5">
        <v>44805</v>
      </c>
      <c r="J301" s="6">
        <v>1312</v>
      </c>
      <c r="K301" s="6">
        <v>1312</v>
      </c>
      <c r="L301" s="6">
        <v>61.639000000000003</v>
      </c>
      <c r="M301" s="6">
        <v>61.639000000000003</v>
      </c>
      <c r="N301" s="6">
        <v>61.639000000000003</v>
      </c>
      <c r="O301" s="6">
        <v>61.639000000000003</v>
      </c>
      <c r="P301" s="6">
        <v>0</v>
      </c>
      <c r="Q301" s="4" t="s">
        <v>26</v>
      </c>
      <c r="R301" s="4">
        <v>0</v>
      </c>
      <c r="S301" s="6">
        <v>19</v>
      </c>
      <c r="T301" s="6">
        <v>21</v>
      </c>
      <c r="U301" s="6">
        <v>74</v>
      </c>
      <c r="V301" s="6">
        <f>IF(ISERROR(VLOOKUP($S$301,'TAR FIN'!$A$1:$O$115,15,0)),0,VLOOKUP($S$301,'TAR FIN'!$A$1:$O$115,15,0))</f>
        <v>56.22</v>
      </c>
      <c r="W301" s="6">
        <f>IF(ISERROR(VLOOKUP($T$301,'TAR FIN'!$A$1:$O$115,15,0)),0,VLOOKUP($T$301,'TAR FIN'!$A$1:$O$115,15,0))</f>
        <v>84.31</v>
      </c>
      <c r="X301" s="6">
        <f>IF(ISERROR(VLOOKUP($U$301,'TAR FIN'!$A$1:$O$115,15,0)),0,VLOOKUP($U$301,'TAR FIN'!$A$1:$O$115,15,0))</f>
        <v>270.3</v>
      </c>
      <c r="Y301" s="6">
        <f ca="1">('TUSD BE'!$AM$19+'TUSD BF'!$AM$19+'TUSD CVA'!$AM$19)*1</f>
        <v>56.308577648144677</v>
      </c>
      <c r="Z301" s="6">
        <f ca="1">('TUSD BE'!$AM$21+'TUSD BF'!$AM$21+'TUSD CVA'!$AM$21)*1</f>
        <v>113.43121292628391</v>
      </c>
      <c r="AA301" s="6">
        <f>('TE BE'!$AB$11+'TE BF'!$AB$11+'TE CVA'!$AB$11)*1</f>
        <v>362.64398683254075</v>
      </c>
      <c r="AB301" s="6">
        <f>$K$301*$V$301</f>
        <v>73760.639999999999</v>
      </c>
      <c r="AC301" s="6">
        <f>$M$301*$W$301</f>
        <v>5196.7840900000001</v>
      </c>
      <c r="AD301" s="6">
        <f>$O$301*$X$301</f>
        <v>16661.021700000001</v>
      </c>
      <c r="AE301" s="6">
        <f ca="1">$K$301*$Y$301</f>
        <v>73876.853874365814</v>
      </c>
      <c r="AF301" s="6">
        <f ca="1">$M$301*$Z$301</f>
        <v>6991.7865335632141</v>
      </c>
      <c r="AG301" s="6">
        <f>$O$301*$AA$301</f>
        <v>22353.01270437098</v>
      </c>
    </row>
    <row r="302" spans="1:33" ht="11.25" customHeight="1" x14ac:dyDescent="0.25">
      <c r="A302" s="4" t="s">
        <v>21</v>
      </c>
      <c r="B302" s="4" t="s">
        <v>41</v>
      </c>
      <c r="C302" s="4" t="s">
        <v>42</v>
      </c>
      <c r="D302" s="4" t="s">
        <v>40</v>
      </c>
      <c r="E302" s="4" t="s">
        <v>25</v>
      </c>
      <c r="F302" s="4" t="s">
        <v>25</v>
      </c>
      <c r="G302" s="4" t="s">
        <v>25</v>
      </c>
      <c r="H302" s="4" t="s">
        <v>36</v>
      </c>
      <c r="I302" s="5">
        <v>44835</v>
      </c>
      <c r="J302" s="6">
        <v>156</v>
      </c>
      <c r="K302" s="6">
        <v>156</v>
      </c>
      <c r="L302" s="6">
        <v>4.9740000000000002</v>
      </c>
      <c r="M302" s="6">
        <v>4.9740000000000002</v>
      </c>
      <c r="N302" s="6">
        <v>4.9740000000000002</v>
      </c>
      <c r="O302" s="6">
        <v>4.9740000000000002</v>
      </c>
      <c r="P302" s="6">
        <v>0</v>
      </c>
      <c r="Q302" s="4" t="s">
        <v>26</v>
      </c>
      <c r="R302" s="4">
        <v>0</v>
      </c>
      <c r="S302" s="6">
        <v>19</v>
      </c>
      <c r="T302" s="6">
        <v>21</v>
      </c>
      <c r="U302" s="6">
        <v>74</v>
      </c>
      <c r="V302" s="6">
        <f>IF(ISERROR(VLOOKUP($S$302,'TAR FIN'!$A$1:$O$115,15,0)),0,VLOOKUP($S$302,'TAR FIN'!$A$1:$O$115,15,0))</f>
        <v>56.22</v>
      </c>
      <c r="W302" s="6">
        <f>IF(ISERROR(VLOOKUP($T$302,'TAR FIN'!$A$1:$O$115,15,0)),0,VLOOKUP($T$302,'TAR FIN'!$A$1:$O$115,15,0))</f>
        <v>84.31</v>
      </c>
      <c r="X302" s="6">
        <f>IF(ISERROR(VLOOKUP($U$302,'TAR FIN'!$A$1:$O$115,15,0)),0,VLOOKUP($U$302,'TAR FIN'!$A$1:$O$115,15,0))</f>
        <v>270.3</v>
      </c>
      <c r="Y302" s="6">
        <f ca="1">('TUSD BE'!$AM$19+'TUSD BF'!$AM$19+'TUSD CVA'!$AM$19)*1</f>
        <v>56.308577648144677</v>
      </c>
      <c r="Z302" s="6">
        <f ca="1">('TUSD BE'!$AM$21+'TUSD BF'!$AM$21+'TUSD CVA'!$AM$21)*1</f>
        <v>113.43121292628391</v>
      </c>
      <c r="AA302" s="6">
        <f>('TE BE'!$AB$11+'TE BF'!$AB$11+'TE CVA'!$AB$11)*1</f>
        <v>362.64398683254075</v>
      </c>
      <c r="AB302" s="6">
        <f>$K$302*$V$302</f>
        <v>8770.32</v>
      </c>
      <c r="AC302" s="6">
        <f>$M$302*$W$302</f>
        <v>419.35794000000004</v>
      </c>
      <c r="AD302" s="6">
        <f>$O$302*$X$302</f>
        <v>1344.4722000000002</v>
      </c>
      <c r="AE302" s="6">
        <f ca="1">$K$302*$Y$302</f>
        <v>8784.13811311057</v>
      </c>
      <c r="AF302" s="6">
        <f ca="1">$M$302*$Z$302</f>
        <v>564.20685309533621</v>
      </c>
      <c r="AG302" s="6">
        <f>$O$302*$AA$302</f>
        <v>1803.7911905050578</v>
      </c>
    </row>
    <row r="303" spans="1:33" ht="11.25" customHeight="1" x14ac:dyDescent="0.25">
      <c r="A303" s="4" t="s">
        <v>28</v>
      </c>
      <c r="B303" s="4" t="s">
        <v>41</v>
      </c>
      <c r="C303" s="4" t="s">
        <v>42</v>
      </c>
      <c r="D303" s="4" t="s">
        <v>40</v>
      </c>
      <c r="E303" s="4" t="s">
        <v>25</v>
      </c>
      <c r="F303" s="4" t="s">
        <v>25</v>
      </c>
      <c r="G303" s="4" t="s">
        <v>25</v>
      </c>
      <c r="H303" s="4" t="s">
        <v>36</v>
      </c>
      <c r="I303" s="5">
        <v>44835</v>
      </c>
      <c r="J303" s="6">
        <v>1262</v>
      </c>
      <c r="K303" s="6">
        <v>1262</v>
      </c>
      <c r="L303" s="6">
        <v>54.927</v>
      </c>
      <c r="M303" s="6">
        <v>54.927</v>
      </c>
      <c r="N303" s="6">
        <v>54.927</v>
      </c>
      <c r="O303" s="6">
        <v>54.927</v>
      </c>
      <c r="P303" s="6">
        <v>0</v>
      </c>
      <c r="Q303" s="4" t="s">
        <v>26</v>
      </c>
      <c r="R303" s="4">
        <v>0</v>
      </c>
      <c r="S303" s="6">
        <v>19</v>
      </c>
      <c r="T303" s="6">
        <v>21</v>
      </c>
      <c r="U303" s="6">
        <v>74</v>
      </c>
      <c r="V303" s="6">
        <f>IF(ISERROR(VLOOKUP($S$303,'TAR FIN'!$A$1:$O$115,15,0)),0,VLOOKUP($S$303,'TAR FIN'!$A$1:$O$115,15,0))</f>
        <v>56.22</v>
      </c>
      <c r="W303" s="6">
        <f>IF(ISERROR(VLOOKUP($T$303,'TAR FIN'!$A$1:$O$115,15,0)),0,VLOOKUP($T$303,'TAR FIN'!$A$1:$O$115,15,0))</f>
        <v>84.31</v>
      </c>
      <c r="X303" s="6">
        <f>IF(ISERROR(VLOOKUP($U$303,'TAR FIN'!$A$1:$O$115,15,0)),0,VLOOKUP($U$303,'TAR FIN'!$A$1:$O$115,15,0))</f>
        <v>270.3</v>
      </c>
      <c r="Y303" s="6">
        <f ca="1">('TUSD BE'!$AM$19+'TUSD BF'!$AM$19+'TUSD CVA'!$AM$19)*1</f>
        <v>56.308577648144677</v>
      </c>
      <c r="Z303" s="6">
        <f ca="1">('TUSD BE'!$AM$21+'TUSD BF'!$AM$21+'TUSD CVA'!$AM$21)*1</f>
        <v>113.43121292628391</v>
      </c>
      <c r="AA303" s="6">
        <f>('TE BE'!$AB$11+'TE BF'!$AB$11+'TE CVA'!$AB$11)*1</f>
        <v>362.64398683254075</v>
      </c>
      <c r="AB303" s="6">
        <f>$K$303*$V$303</f>
        <v>70949.64</v>
      </c>
      <c r="AC303" s="6">
        <f>$M$303*$W$303</f>
        <v>4630.8953700000002</v>
      </c>
      <c r="AD303" s="6">
        <f>$O$303*$X$303</f>
        <v>14846.768100000001</v>
      </c>
      <c r="AE303" s="6">
        <f ca="1">$K$303*$Y$303</f>
        <v>71061.424991958585</v>
      </c>
      <c r="AF303" s="6">
        <f ca="1">$M$303*$Z$303</f>
        <v>6230.4362324019958</v>
      </c>
      <c r="AG303" s="6">
        <f>$O$303*$AA$303</f>
        <v>19918.946264750964</v>
      </c>
    </row>
    <row r="304" spans="1:33" ht="11.25" customHeight="1" x14ac:dyDescent="0.25">
      <c r="A304" s="4" t="s">
        <v>59</v>
      </c>
      <c r="B304" s="4" t="s">
        <v>41</v>
      </c>
      <c r="C304" s="4" t="s">
        <v>42</v>
      </c>
      <c r="D304" s="4" t="s">
        <v>40</v>
      </c>
      <c r="E304" s="4" t="s">
        <v>25</v>
      </c>
      <c r="F304" s="4" t="s">
        <v>25</v>
      </c>
      <c r="G304" s="4" t="s">
        <v>25</v>
      </c>
      <c r="H304" s="4" t="s">
        <v>36</v>
      </c>
      <c r="I304" s="5">
        <v>44866</v>
      </c>
      <c r="J304" s="6">
        <v>156</v>
      </c>
      <c r="K304" s="6">
        <v>156</v>
      </c>
      <c r="L304" s="6">
        <v>4.9740000000000002</v>
      </c>
      <c r="M304" s="6">
        <v>4.9740000000000002</v>
      </c>
      <c r="N304" s="6">
        <v>4.9740000000000002</v>
      </c>
      <c r="O304" s="6">
        <v>4.9740000000000002</v>
      </c>
      <c r="P304" s="6">
        <v>0</v>
      </c>
      <c r="Q304" s="4" t="s">
        <v>26</v>
      </c>
      <c r="R304" s="4">
        <v>0</v>
      </c>
      <c r="S304" s="6">
        <v>19</v>
      </c>
      <c r="T304" s="6">
        <v>21</v>
      </c>
      <c r="U304" s="6">
        <v>74</v>
      </c>
      <c r="V304" s="6">
        <f>IF(ISERROR(VLOOKUP($S$304,'TAR FIN'!$A$1:$O$115,15,0)),0,VLOOKUP($S$304,'TAR FIN'!$A$1:$O$115,15,0))</f>
        <v>56.22</v>
      </c>
      <c r="W304" s="6">
        <f>IF(ISERROR(VLOOKUP($T$304,'TAR FIN'!$A$1:$O$115,15,0)),0,VLOOKUP($T$304,'TAR FIN'!$A$1:$O$115,15,0))</f>
        <v>84.31</v>
      </c>
      <c r="X304" s="6">
        <f>IF(ISERROR(VLOOKUP($U$304,'TAR FIN'!$A$1:$O$115,15,0)),0,VLOOKUP($U$304,'TAR FIN'!$A$1:$O$115,15,0))</f>
        <v>270.3</v>
      </c>
      <c r="Y304" s="6">
        <f ca="1">('TUSD BE'!$AM$19+'TUSD BF'!$AM$19+'TUSD CVA'!$AM$19)*1</f>
        <v>56.308577648144677</v>
      </c>
      <c r="Z304" s="6">
        <f ca="1">('TUSD BE'!$AM$21+'TUSD BF'!$AM$21+'TUSD CVA'!$AM$21)*1</f>
        <v>113.43121292628391</v>
      </c>
      <c r="AA304" s="6">
        <f>('TE BE'!$AB$11+'TE BF'!$AB$11+'TE CVA'!$AB$11)*1</f>
        <v>362.64398683254075</v>
      </c>
      <c r="AB304" s="6">
        <f>$K$304*$V$304</f>
        <v>8770.32</v>
      </c>
      <c r="AC304" s="6">
        <f>$M$304*$W$304</f>
        <v>419.35794000000004</v>
      </c>
      <c r="AD304" s="6">
        <f>$O$304*$X$304</f>
        <v>1344.4722000000002</v>
      </c>
      <c r="AE304" s="6">
        <f ca="1">$K$304*$Y$304</f>
        <v>8784.13811311057</v>
      </c>
      <c r="AF304" s="6">
        <f ca="1">$M$304*$Z$304</f>
        <v>564.20685309533621</v>
      </c>
      <c r="AG304" s="6">
        <f>$O$304*$AA$304</f>
        <v>1803.7911905050578</v>
      </c>
    </row>
    <row r="305" spans="1:33" ht="11.25" customHeight="1" x14ac:dyDescent="0.25">
      <c r="A305" s="4" t="s">
        <v>59</v>
      </c>
      <c r="B305" s="4" t="s">
        <v>41</v>
      </c>
      <c r="C305" s="4" t="s">
        <v>42</v>
      </c>
      <c r="D305" s="4" t="s">
        <v>40</v>
      </c>
      <c r="E305" s="4" t="s">
        <v>25</v>
      </c>
      <c r="F305" s="4" t="s">
        <v>25</v>
      </c>
      <c r="G305" s="4" t="s">
        <v>25</v>
      </c>
      <c r="H305" s="4" t="s">
        <v>36</v>
      </c>
      <c r="I305" s="5">
        <v>44866</v>
      </c>
      <c r="J305" s="6">
        <v>1262</v>
      </c>
      <c r="K305" s="6">
        <v>1262</v>
      </c>
      <c r="L305" s="6">
        <v>54.927</v>
      </c>
      <c r="M305" s="6">
        <v>54.927</v>
      </c>
      <c r="N305" s="6">
        <v>54.927</v>
      </c>
      <c r="O305" s="6">
        <v>54.927</v>
      </c>
      <c r="P305" s="6">
        <v>0</v>
      </c>
      <c r="Q305" s="4" t="s">
        <v>26</v>
      </c>
      <c r="R305" s="4">
        <v>0</v>
      </c>
      <c r="S305" s="6">
        <v>19</v>
      </c>
      <c r="T305" s="6">
        <v>21</v>
      </c>
      <c r="U305" s="6">
        <v>74</v>
      </c>
      <c r="V305" s="6">
        <f>IF(ISERROR(VLOOKUP($S$305,'TAR FIN'!$A$1:$O$115,15,0)),0,VLOOKUP($S$305,'TAR FIN'!$A$1:$O$115,15,0))</f>
        <v>56.22</v>
      </c>
      <c r="W305" s="6">
        <f>IF(ISERROR(VLOOKUP($T$305,'TAR FIN'!$A$1:$O$115,15,0)),0,VLOOKUP($T$305,'TAR FIN'!$A$1:$O$115,15,0))</f>
        <v>84.31</v>
      </c>
      <c r="X305" s="6">
        <f>IF(ISERROR(VLOOKUP($U$305,'TAR FIN'!$A$1:$O$115,15,0)),0,VLOOKUP($U$305,'TAR FIN'!$A$1:$O$115,15,0))</f>
        <v>270.3</v>
      </c>
      <c r="Y305" s="6">
        <f ca="1">('TUSD BE'!$AM$19+'TUSD BF'!$AM$19+'TUSD CVA'!$AM$19)*1</f>
        <v>56.308577648144677</v>
      </c>
      <c r="Z305" s="6">
        <f ca="1">('TUSD BE'!$AM$21+'TUSD BF'!$AM$21+'TUSD CVA'!$AM$21)*1</f>
        <v>113.43121292628391</v>
      </c>
      <c r="AA305" s="6">
        <f>('TE BE'!$AB$11+'TE BF'!$AB$11+'TE CVA'!$AB$11)*1</f>
        <v>362.64398683254075</v>
      </c>
      <c r="AB305" s="6">
        <f>$K$305*$V$305</f>
        <v>70949.64</v>
      </c>
      <c r="AC305" s="6">
        <f>$M$305*$W$305</f>
        <v>4630.8953700000002</v>
      </c>
      <c r="AD305" s="6">
        <f>$O$305*$X$305</f>
        <v>14846.768100000001</v>
      </c>
      <c r="AE305" s="6">
        <f ca="1">$K$305*$Y$305</f>
        <v>71061.424991958585</v>
      </c>
      <c r="AF305" s="6">
        <f ca="1">$M$305*$Z$305</f>
        <v>6230.4362324019958</v>
      </c>
      <c r="AG305" s="6">
        <f>$O$305*$AA$305</f>
        <v>19918.946264750964</v>
      </c>
    </row>
    <row r="306" spans="1:33" ht="11.25" customHeight="1" x14ac:dyDescent="0.25">
      <c r="A306" s="4" t="s">
        <v>21</v>
      </c>
      <c r="B306" s="4" t="s">
        <v>41</v>
      </c>
      <c r="C306" s="4" t="s">
        <v>42</v>
      </c>
      <c r="D306" s="4" t="s">
        <v>48</v>
      </c>
      <c r="E306" s="4" t="s">
        <v>25</v>
      </c>
      <c r="F306" s="4" t="s">
        <v>25</v>
      </c>
      <c r="G306" s="4" t="s">
        <v>25</v>
      </c>
      <c r="H306" s="4" t="s">
        <v>37</v>
      </c>
      <c r="I306" s="5">
        <v>44531</v>
      </c>
      <c r="J306" s="6">
        <v>2389</v>
      </c>
      <c r="K306" s="6">
        <v>2389</v>
      </c>
      <c r="L306" s="6">
        <v>737.77300000000002</v>
      </c>
      <c r="M306" s="6">
        <v>737.77300000000002</v>
      </c>
      <c r="N306" s="6">
        <v>737.77300000000002</v>
      </c>
      <c r="O306" s="6">
        <v>737.77300000000002</v>
      </c>
      <c r="P306" s="6">
        <v>0</v>
      </c>
      <c r="Q306" s="4" t="s">
        <v>26</v>
      </c>
      <c r="R306" s="4">
        <v>0</v>
      </c>
      <c r="S306" s="6">
        <v>20</v>
      </c>
      <c r="T306" s="6">
        <v>21</v>
      </c>
      <c r="U306" s="6">
        <v>75</v>
      </c>
      <c r="V306" s="6">
        <f>IF(ISERROR(VLOOKUP($S$306,'TAR FIN'!$A$1:$O$115,15,0)),0,VLOOKUP($S$306,'TAR FIN'!$A$1:$O$115,15,0))</f>
        <v>19.8</v>
      </c>
      <c r="W306" s="6">
        <f>IF(ISERROR(VLOOKUP($T$306,'TAR FIN'!$A$1:$O$115,15,0)),0,VLOOKUP($T$306,'TAR FIN'!$A$1:$O$115,15,0))</f>
        <v>84.31</v>
      </c>
      <c r="X306" s="6">
        <f>IF(ISERROR(VLOOKUP($U$306,'TAR FIN'!$A$1:$O$115,15,0)),0,VLOOKUP($U$306,'TAR FIN'!$A$1:$O$115,15,0))</f>
        <v>168.06</v>
      </c>
      <c r="Y306" s="6">
        <f ca="1">('TUSD BE'!$AM$20+'TUSD BF'!$AM$20+'TUSD CVA'!$AM$20)*1</f>
        <v>20.615214330225772</v>
      </c>
      <c r="Z306" s="6">
        <f ca="1">('TUSD BE'!$AM$21+'TUSD BF'!$AM$21+'TUSD CVA'!$AM$21)*1</f>
        <v>113.43121292628391</v>
      </c>
      <c r="AA306" s="6">
        <f>('TE BE'!$AB$12+'TE BF'!$AB$12+'TE CVA'!$AB$12)*1</f>
        <v>218.6854278594964</v>
      </c>
      <c r="AB306" s="6">
        <f>$K$306*$V$306</f>
        <v>47302.200000000004</v>
      </c>
      <c r="AC306" s="6">
        <f>$M$306*$W$306</f>
        <v>62201.641630000006</v>
      </c>
      <c r="AD306" s="6">
        <f>$O$306*$X$306</f>
        <v>123990.13038</v>
      </c>
      <c r="AE306" s="6">
        <f ca="1">$K$306*$Y$306</f>
        <v>49249.747034909371</v>
      </c>
      <c r="AF306" s="6">
        <f ca="1">$M$306*$Z$306</f>
        <v>83686.486254263262</v>
      </c>
      <c r="AG306" s="6">
        <f>$O$306*$AA$306</f>
        <v>161340.20416818425</v>
      </c>
    </row>
    <row r="307" spans="1:33" ht="11.25" customHeight="1" x14ac:dyDescent="0.25">
      <c r="A307" s="4" t="s">
        <v>30</v>
      </c>
      <c r="B307" s="4" t="s">
        <v>41</v>
      </c>
      <c r="C307" s="4" t="s">
        <v>42</v>
      </c>
      <c r="D307" s="4" t="s">
        <v>48</v>
      </c>
      <c r="E307" s="4" t="s">
        <v>25</v>
      </c>
      <c r="F307" s="4" t="s">
        <v>25</v>
      </c>
      <c r="G307" s="4" t="s">
        <v>25</v>
      </c>
      <c r="H307" s="4" t="s">
        <v>37</v>
      </c>
      <c r="I307" s="5">
        <v>44531</v>
      </c>
      <c r="J307" s="6">
        <v>1140</v>
      </c>
      <c r="K307" s="6">
        <v>1140</v>
      </c>
      <c r="L307" s="6">
        <v>303.10000000000002</v>
      </c>
      <c r="M307" s="6">
        <v>303.10000000000002</v>
      </c>
      <c r="N307" s="6">
        <v>303.10000000000002</v>
      </c>
      <c r="O307" s="6">
        <v>303.10000000000002</v>
      </c>
      <c r="P307" s="6">
        <v>0</v>
      </c>
      <c r="Q307" s="4" t="s">
        <v>26</v>
      </c>
      <c r="R307" s="4">
        <v>0</v>
      </c>
      <c r="S307" s="6">
        <v>20</v>
      </c>
      <c r="T307" s="6">
        <v>21</v>
      </c>
      <c r="U307" s="6">
        <v>75</v>
      </c>
      <c r="V307" s="6">
        <f>IF(ISERROR(VLOOKUP($S$307,'TAR FIN'!$A$1:$O$115,15,0)),0,VLOOKUP($S$307,'TAR FIN'!$A$1:$O$115,15,0))</f>
        <v>19.8</v>
      </c>
      <c r="W307" s="6">
        <f>IF(ISERROR(VLOOKUP($T$307,'TAR FIN'!$A$1:$O$115,15,0)),0,VLOOKUP($T$307,'TAR FIN'!$A$1:$O$115,15,0))</f>
        <v>84.31</v>
      </c>
      <c r="X307" s="6">
        <f>IF(ISERROR(VLOOKUP($U$307,'TAR FIN'!$A$1:$O$115,15,0)),0,VLOOKUP($U$307,'TAR FIN'!$A$1:$O$115,15,0))</f>
        <v>168.06</v>
      </c>
      <c r="Y307" s="6">
        <f ca="1">('TUSD BE'!$AM$20+'TUSD BF'!$AM$20+'TUSD CVA'!$AM$20)*1</f>
        <v>20.615214330225772</v>
      </c>
      <c r="Z307" s="6">
        <f ca="1">('TUSD BE'!$AM$21+'TUSD BF'!$AM$21+'TUSD CVA'!$AM$21)*1</f>
        <v>113.43121292628391</v>
      </c>
      <c r="AA307" s="6">
        <f>('TE BE'!$AB$12+'TE BF'!$AB$12+'TE CVA'!$AB$12)*1</f>
        <v>218.6854278594964</v>
      </c>
      <c r="AB307" s="6">
        <f>$K$307*$V$307</f>
        <v>22572</v>
      </c>
      <c r="AC307" s="6">
        <f>$M$307*$W$307</f>
        <v>25554.361000000004</v>
      </c>
      <c r="AD307" s="6">
        <f>$O$307*$X$307</f>
        <v>50938.986000000004</v>
      </c>
      <c r="AE307" s="6">
        <f ca="1">$K$307*$Y$307</f>
        <v>23501.34433645738</v>
      </c>
      <c r="AF307" s="6">
        <f ca="1">$M$307*$Z$307</f>
        <v>34381.000637956655</v>
      </c>
      <c r="AG307" s="6">
        <f>$O$307*$AA$307</f>
        <v>66283.553184213364</v>
      </c>
    </row>
    <row r="308" spans="1:33" ht="11.25" customHeight="1" x14ac:dyDescent="0.25">
      <c r="A308" s="4" t="s">
        <v>21</v>
      </c>
      <c r="B308" s="4" t="s">
        <v>41</v>
      </c>
      <c r="C308" s="4" t="s">
        <v>42</v>
      </c>
      <c r="D308" s="4" t="s">
        <v>48</v>
      </c>
      <c r="E308" s="4" t="s">
        <v>25</v>
      </c>
      <c r="F308" s="4" t="s">
        <v>25</v>
      </c>
      <c r="G308" s="4" t="s">
        <v>25</v>
      </c>
      <c r="H308" s="4" t="s">
        <v>37</v>
      </c>
      <c r="I308" s="5">
        <v>44562</v>
      </c>
      <c r="J308" s="6">
        <v>2463</v>
      </c>
      <c r="K308" s="6">
        <v>2463</v>
      </c>
      <c r="L308" s="6">
        <v>767.35500000000002</v>
      </c>
      <c r="M308" s="6">
        <v>767.35500000000002</v>
      </c>
      <c r="N308" s="6">
        <v>767.35500000000002</v>
      </c>
      <c r="O308" s="6">
        <v>767.35500000000002</v>
      </c>
      <c r="P308" s="6">
        <v>0</v>
      </c>
      <c r="Q308" s="4" t="s">
        <v>26</v>
      </c>
      <c r="R308" s="4">
        <v>0</v>
      </c>
      <c r="S308" s="6">
        <v>20</v>
      </c>
      <c r="T308" s="6">
        <v>21</v>
      </c>
      <c r="U308" s="6">
        <v>75</v>
      </c>
      <c r="V308" s="6">
        <f>IF(ISERROR(VLOOKUP($S$308,'TAR FIN'!$A$1:$O$115,15,0)),0,VLOOKUP($S$308,'TAR FIN'!$A$1:$O$115,15,0))</f>
        <v>19.8</v>
      </c>
      <c r="W308" s="6">
        <f>IF(ISERROR(VLOOKUP($T$308,'TAR FIN'!$A$1:$O$115,15,0)),0,VLOOKUP($T$308,'TAR FIN'!$A$1:$O$115,15,0))</f>
        <v>84.31</v>
      </c>
      <c r="X308" s="6">
        <f>IF(ISERROR(VLOOKUP($U$308,'TAR FIN'!$A$1:$O$115,15,0)),0,VLOOKUP($U$308,'TAR FIN'!$A$1:$O$115,15,0))</f>
        <v>168.06</v>
      </c>
      <c r="Y308" s="6">
        <f ca="1">('TUSD BE'!$AM$20+'TUSD BF'!$AM$20+'TUSD CVA'!$AM$20)*1</f>
        <v>20.615214330225772</v>
      </c>
      <c r="Z308" s="6">
        <f ca="1">('TUSD BE'!$AM$21+'TUSD BF'!$AM$21+'TUSD CVA'!$AM$21)*1</f>
        <v>113.43121292628391</v>
      </c>
      <c r="AA308" s="6">
        <f>('TE BE'!$AB$12+'TE BF'!$AB$12+'TE CVA'!$AB$12)*1</f>
        <v>218.6854278594964</v>
      </c>
      <c r="AB308" s="6">
        <f>$K$308*$V$308</f>
        <v>48767.4</v>
      </c>
      <c r="AC308" s="6">
        <f>$M$308*$W$308</f>
        <v>64695.700050000007</v>
      </c>
      <c r="AD308" s="6">
        <f>$O$308*$X$308</f>
        <v>128961.68130000001</v>
      </c>
      <c r="AE308" s="6">
        <f ca="1">$K$308*$Y$308</f>
        <v>50775.272895346076</v>
      </c>
      <c r="AF308" s="6">
        <f ca="1">$M$308*$Z$308</f>
        <v>87042.008395048586</v>
      </c>
      <c r="AG308" s="6">
        <f>$O$308*$AA$308</f>
        <v>167809.35649512385</v>
      </c>
    </row>
    <row r="309" spans="1:33" ht="11.25" customHeight="1" x14ac:dyDescent="0.25">
      <c r="A309" s="4" t="s">
        <v>30</v>
      </c>
      <c r="B309" s="4" t="s">
        <v>41</v>
      </c>
      <c r="C309" s="4" t="s">
        <v>42</v>
      </c>
      <c r="D309" s="4" t="s">
        <v>48</v>
      </c>
      <c r="E309" s="4" t="s">
        <v>25</v>
      </c>
      <c r="F309" s="4" t="s">
        <v>25</v>
      </c>
      <c r="G309" s="4" t="s">
        <v>25</v>
      </c>
      <c r="H309" s="4" t="s">
        <v>37</v>
      </c>
      <c r="I309" s="5">
        <v>44562</v>
      </c>
      <c r="J309" s="6">
        <v>1140</v>
      </c>
      <c r="K309" s="6">
        <v>1140</v>
      </c>
      <c r="L309" s="6">
        <v>317.91800000000001</v>
      </c>
      <c r="M309" s="6">
        <v>317.91800000000001</v>
      </c>
      <c r="N309" s="6">
        <v>317.91800000000001</v>
      </c>
      <c r="O309" s="6">
        <v>317.91800000000001</v>
      </c>
      <c r="P309" s="6">
        <v>0</v>
      </c>
      <c r="Q309" s="4" t="s">
        <v>26</v>
      </c>
      <c r="R309" s="4">
        <v>0</v>
      </c>
      <c r="S309" s="6">
        <v>20</v>
      </c>
      <c r="T309" s="6">
        <v>21</v>
      </c>
      <c r="U309" s="6">
        <v>75</v>
      </c>
      <c r="V309" s="6">
        <f>IF(ISERROR(VLOOKUP($S$309,'TAR FIN'!$A$1:$O$115,15,0)),0,VLOOKUP($S$309,'TAR FIN'!$A$1:$O$115,15,0))</f>
        <v>19.8</v>
      </c>
      <c r="W309" s="6">
        <f>IF(ISERROR(VLOOKUP($T$309,'TAR FIN'!$A$1:$O$115,15,0)),0,VLOOKUP($T$309,'TAR FIN'!$A$1:$O$115,15,0))</f>
        <v>84.31</v>
      </c>
      <c r="X309" s="6">
        <f>IF(ISERROR(VLOOKUP($U$309,'TAR FIN'!$A$1:$O$115,15,0)),0,VLOOKUP($U$309,'TAR FIN'!$A$1:$O$115,15,0))</f>
        <v>168.06</v>
      </c>
      <c r="Y309" s="6">
        <f ca="1">('TUSD BE'!$AM$20+'TUSD BF'!$AM$20+'TUSD CVA'!$AM$20)*1</f>
        <v>20.615214330225772</v>
      </c>
      <c r="Z309" s="6">
        <f ca="1">('TUSD BE'!$AM$21+'TUSD BF'!$AM$21+'TUSD CVA'!$AM$21)*1</f>
        <v>113.43121292628391</v>
      </c>
      <c r="AA309" s="6">
        <f>('TE BE'!$AB$12+'TE BF'!$AB$12+'TE CVA'!$AB$12)*1</f>
        <v>218.6854278594964</v>
      </c>
      <c r="AB309" s="6">
        <f>$K$309*$V$309</f>
        <v>22572</v>
      </c>
      <c r="AC309" s="6">
        <f>$M$309*$W$309</f>
        <v>26803.666580000001</v>
      </c>
      <c r="AD309" s="6">
        <f>$O$309*$X$309</f>
        <v>53429.299080000004</v>
      </c>
      <c r="AE309" s="6">
        <f ca="1">$K$309*$Y$309</f>
        <v>23501.34433645738</v>
      </c>
      <c r="AF309" s="6">
        <f ca="1">$M$309*$Z$309</f>
        <v>36061.82435109833</v>
      </c>
      <c r="AG309" s="6">
        <f>$O$309*$AA$309</f>
        <v>69524.033854235371</v>
      </c>
    </row>
    <row r="310" spans="1:33" ht="11.25" customHeight="1" x14ac:dyDescent="0.25">
      <c r="A310" s="4" t="s">
        <v>21</v>
      </c>
      <c r="B310" s="4" t="s">
        <v>41</v>
      </c>
      <c r="C310" s="4" t="s">
        <v>42</v>
      </c>
      <c r="D310" s="4" t="s">
        <v>48</v>
      </c>
      <c r="E310" s="4" t="s">
        <v>25</v>
      </c>
      <c r="F310" s="4" t="s">
        <v>25</v>
      </c>
      <c r="G310" s="4" t="s">
        <v>25</v>
      </c>
      <c r="H310" s="4" t="s">
        <v>37</v>
      </c>
      <c r="I310" s="5">
        <v>44593</v>
      </c>
      <c r="J310" s="6">
        <v>1682</v>
      </c>
      <c r="K310" s="6">
        <v>1682</v>
      </c>
      <c r="L310" s="6">
        <v>510.48700000000002</v>
      </c>
      <c r="M310" s="6">
        <v>510.48700000000002</v>
      </c>
      <c r="N310" s="6">
        <v>510.48700000000002</v>
      </c>
      <c r="O310" s="6">
        <v>510.48700000000002</v>
      </c>
      <c r="P310" s="6">
        <v>0</v>
      </c>
      <c r="Q310" s="4" t="s">
        <v>26</v>
      </c>
      <c r="R310" s="4">
        <v>0</v>
      </c>
      <c r="S310" s="6">
        <v>20</v>
      </c>
      <c r="T310" s="6">
        <v>21</v>
      </c>
      <c r="U310" s="6">
        <v>75</v>
      </c>
      <c r="V310" s="6">
        <f>IF(ISERROR(VLOOKUP($S$310,'TAR FIN'!$A$1:$O$115,15,0)),0,VLOOKUP($S$310,'TAR FIN'!$A$1:$O$115,15,0))</f>
        <v>19.8</v>
      </c>
      <c r="W310" s="6">
        <f>IF(ISERROR(VLOOKUP($T$310,'TAR FIN'!$A$1:$O$115,15,0)),0,VLOOKUP($T$310,'TAR FIN'!$A$1:$O$115,15,0))</f>
        <v>84.31</v>
      </c>
      <c r="X310" s="6">
        <f>IF(ISERROR(VLOOKUP($U$310,'TAR FIN'!$A$1:$O$115,15,0)),0,VLOOKUP($U$310,'TAR FIN'!$A$1:$O$115,15,0))</f>
        <v>168.06</v>
      </c>
      <c r="Y310" s="6">
        <f ca="1">('TUSD BE'!$AM$20+'TUSD BF'!$AM$20+'TUSD CVA'!$AM$20)*1</f>
        <v>20.615214330225772</v>
      </c>
      <c r="Z310" s="6">
        <f ca="1">('TUSD BE'!$AM$21+'TUSD BF'!$AM$21+'TUSD CVA'!$AM$21)*1</f>
        <v>113.43121292628391</v>
      </c>
      <c r="AA310" s="6">
        <f>('TE BE'!$AB$12+'TE BF'!$AB$12+'TE CVA'!$AB$12)*1</f>
        <v>218.6854278594964</v>
      </c>
      <c r="AB310" s="6">
        <f>$K$310*$V$310</f>
        <v>33303.599999999999</v>
      </c>
      <c r="AC310" s="6">
        <f>$M$310*$W$310</f>
        <v>43039.158970000004</v>
      </c>
      <c r="AD310" s="6">
        <f>$O$310*$X$310</f>
        <v>85792.445220000009</v>
      </c>
      <c r="AE310" s="6">
        <f ca="1">$K$310*$Y$310</f>
        <v>34674.790503439748</v>
      </c>
      <c r="AF310" s="6">
        <f ca="1">$M$310*$Z$310</f>
        <v>57905.159593099896</v>
      </c>
      <c r="AG310" s="6">
        <f>$O$310*$AA$310</f>
        <v>111636.06801171074</v>
      </c>
    </row>
    <row r="311" spans="1:33" ht="11.25" customHeight="1" x14ac:dyDescent="0.25">
      <c r="A311" s="4" t="s">
        <v>30</v>
      </c>
      <c r="B311" s="4" t="s">
        <v>41</v>
      </c>
      <c r="C311" s="4" t="s">
        <v>42</v>
      </c>
      <c r="D311" s="4" t="s">
        <v>48</v>
      </c>
      <c r="E311" s="4" t="s">
        <v>25</v>
      </c>
      <c r="F311" s="4" t="s">
        <v>25</v>
      </c>
      <c r="G311" s="4" t="s">
        <v>25</v>
      </c>
      <c r="H311" s="4" t="s">
        <v>37</v>
      </c>
      <c r="I311" s="5">
        <v>44593</v>
      </c>
      <c r="J311" s="6">
        <v>1140</v>
      </c>
      <c r="K311" s="6">
        <v>1140</v>
      </c>
      <c r="L311" s="6">
        <v>280.5</v>
      </c>
      <c r="M311" s="6">
        <v>280.5</v>
      </c>
      <c r="N311" s="6">
        <v>280.5</v>
      </c>
      <c r="O311" s="6">
        <v>280.5</v>
      </c>
      <c r="P311" s="6">
        <v>0</v>
      </c>
      <c r="Q311" s="4" t="s">
        <v>26</v>
      </c>
      <c r="R311" s="4">
        <v>0</v>
      </c>
      <c r="S311" s="6">
        <v>20</v>
      </c>
      <c r="T311" s="6">
        <v>21</v>
      </c>
      <c r="U311" s="6">
        <v>75</v>
      </c>
      <c r="V311" s="6">
        <f>IF(ISERROR(VLOOKUP($S$311,'TAR FIN'!$A$1:$O$115,15,0)),0,VLOOKUP($S$311,'TAR FIN'!$A$1:$O$115,15,0))</f>
        <v>19.8</v>
      </c>
      <c r="W311" s="6">
        <f>IF(ISERROR(VLOOKUP($T$311,'TAR FIN'!$A$1:$O$115,15,0)),0,VLOOKUP($T$311,'TAR FIN'!$A$1:$O$115,15,0))</f>
        <v>84.31</v>
      </c>
      <c r="X311" s="6">
        <f>IF(ISERROR(VLOOKUP($U$311,'TAR FIN'!$A$1:$O$115,15,0)),0,VLOOKUP($U$311,'TAR FIN'!$A$1:$O$115,15,0))</f>
        <v>168.06</v>
      </c>
      <c r="Y311" s="6">
        <f ca="1">('TUSD BE'!$AM$20+'TUSD BF'!$AM$20+'TUSD CVA'!$AM$20)*1</f>
        <v>20.615214330225772</v>
      </c>
      <c r="Z311" s="6">
        <f ca="1">('TUSD BE'!$AM$21+'TUSD BF'!$AM$21+'TUSD CVA'!$AM$21)*1</f>
        <v>113.43121292628391</v>
      </c>
      <c r="AA311" s="6">
        <f>('TE BE'!$AB$12+'TE BF'!$AB$12+'TE CVA'!$AB$12)*1</f>
        <v>218.6854278594964</v>
      </c>
      <c r="AB311" s="6">
        <f>$K$311*$V$311</f>
        <v>22572</v>
      </c>
      <c r="AC311" s="6">
        <f>$M$311*$W$311</f>
        <v>23648.955000000002</v>
      </c>
      <c r="AD311" s="6">
        <f>$O$311*$X$311</f>
        <v>47140.83</v>
      </c>
      <c r="AE311" s="6">
        <f ca="1">$K$311*$Y$311</f>
        <v>23501.34433645738</v>
      </c>
      <c r="AF311" s="6">
        <f ca="1">$M$311*$Z$311</f>
        <v>31817.455225822636</v>
      </c>
      <c r="AG311" s="6">
        <f>$O$311*$AA$311</f>
        <v>61341.262514588743</v>
      </c>
    </row>
    <row r="312" spans="1:33" ht="11.25" customHeight="1" x14ac:dyDescent="0.25">
      <c r="A312" s="4" t="s">
        <v>21</v>
      </c>
      <c r="B312" s="4" t="s">
        <v>41</v>
      </c>
      <c r="C312" s="4" t="s">
        <v>42</v>
      </c>
      <c r="D312" s="4" t="s">
        <v>48</v>
      </c>
      <c r="E312" s="4" t="s">
        <v>25</v>
      </c>
      <c r="F312" s="4" t="s">
        <v>25</v>
      </c>
      <c r="G312" s="4" t="s">
        <v>25</v>
      </c>
      <c r="H312" s="4" t="s">
        <v>37</v>
      </c>
      <c r="I312" s="5">
        <v>44621</v>
      </c>
      <c r="J312" s="6">
        <v>1705</v>
      </c>
      <c r="K312" s="6">
        <v>1705</v>
      </c>
      <c r="L312" s="6">
        <v>548.88099999999997</v>
      </c>
      <c r="M312" s="6">
        <v>548.88099999999997</v>
      </c>
      <c r="N312" s="6">
        <v>548.88099999999997</v>
      </c>
      <c r="O312" s="6">
        <v>548.88099999999997</v>
      </c>
      <c r="P312" s="6">
        <v>0</v>
      </c>
      <c r="Q312" s="4" t="s">
        <v>26</v>
      </c>
      <c r="R312" s="4">
        <v>0</v>
      </c>
      <c r="S312" s="6">
        <v>20</v>
      </c>
      <c r="T312" s="6">
        <v>21</v>
      </c>
      <c r="U312" s="6">
        <v>75</v>
      </c>
      <c r="V312" s="6">
        <f>IF(ISERROR(VLOOKUP($S$312,'TAR FIN'!$A$1:$O$115,15,0)),0,VLOOKUP($S$312,'TAR FIN'!$A$1:$O$115,15,0))</f>
        <v>19.8</v>
      </c>
      <c r="W312" s="6">
        <f>IF(ISERROR(VLOOKUP($T$312,'TAR FIN'!$A$1:$O$115,15,0)),0,VLOOKUP($T$312,'TAR FIN'!$A$1:$O$115,15,0))</f>
        <v>84.31</v>
      </c>
      <c r="X312" s="6">
        <f>IF(ISERROR(VLOOKUP($U$312,'TAR FIN'!$A$1:$O$115,15,0)),0,VLOOKUP($U$312,'TAR FIN'!$A$1:$O$115,15,0))</f>
        <v>168.06</v>
      </c>
      <c r="Y312" s="6">
        <f ca="1">('TUSD BE'!$AM$20+'TUSD BF'!$AM$20+'TUSD CVA'!$AM$20)*1</f>
        <v>20.615214330225772</v>
      </c>
      <c r="Z312" s="6">
        <f ca="1">('TUSD BE'!$AM$21+'TUSD BF'!$AM$21+'TUSD CVA'!$AM$21)*1</f>
        <v>113.43121292628391</v>
      </c>
      <c r="AA312" s="6">
        <f>('TE BE'!$AB$12+'TE BF'!$AB$12+'TE CVA'!$AB$12)*1</f>
        <v>218.6854278594964</v>
      </c>
      <c r="AB312" s="6">
        <f>$K$312*$V$312</f>
        <v>33759</v>
      </c>
      <c r="AC312" s="6">
        <f>$M$312*$W$312</f>
        <v>46276.15711</v>
      </c>
      <c r="AD312" s="6">
        <f>$O$312*$X$312</f>
        <v>92244.940860000002</v>
      </c>
      <c r="AE312" s="6">
        <f ca="1">$K$312*$Y$312</f>
        <v>35148.940433034943</v>
      </c>
      <c r="AF312" s="6">
        <f ca="1">$M$312*$Z$312</f>
        <v>62260.237582191636</v>
      </c>
      <c r="AG312" s="6">
        <f>$O$312*$AA$312</f>
        <v>120032.27632894824</v>
      </c>
    </row>
    <row r="313" spans="1:33" ht="11.25" customHeight="1" x14ac:dyDescent="0.25">
      <c r="A313" s="4" t="s">
        <v>30</v>
      </c>
      <c r="B313" s="4" t="s">
        <v>41</v>
      </c>
      <c r="C313" s="4" t="s">
        <v>42</v>
      </c>
      <c r="D313" s="4" t="s">
        <v>48</v>
      </c>
      <c r="E313" s="4" t="s">
        <v>25</v>
      </c>
      <c r="F313" s="4" t="s">
        <v>25</v>
      </c>
      <c r="G313" s="4" t="s">
        <v>25</v>
      </c>
      <c r="H313" s="4" t="s">
        <v>37</v>
      </c>
      <c r="I313" s="5">
        <v>44621</v>
      </c>
      <c r="J313" s="6">
        <v>1140</v>
      </c>
      <c r="K313" s="6">
        <v>1140</v>
      </c>
      <c r="L313" s="6">
        <v>302.62700000000001</v>
      </c>
      <c r="M313" s="6">
        <v>302.62700000000001</v>
      </c>
      <c r="N313" s="6">
        <v>302.62700000000001</v>
      </c>
      <c r="O313" s="6">
        <v>302.62700000000001</v>
      </c>
      <c r="P313" s="6">
        <v>0</v>
      </c>
      <c r="Q313" s="4" t="s">
        <v>26</v>
      </c>
      <c r="R313" s="4">
        <v>0</v>
      </c>
      <c r="S313" s="6">
        <v>20</v>
      </c>
      <c r="T313" s="6">
        <v>21</v>
      </c>
      <c r="U313" s="6">
        <v>75</v>
      </c>
      <c r="V313" s="6">
        <f>IF(ISERROR(VLOOKUP($S$313,'TAR FIN'!$A$1:$O$115,15,0)),0,VLOOKUP($S$313,'TAR FIN'!$A$1:$O$115,15,0))</f>
        <v>19.8</v>
      </c>
      <c r="W313" s="6">
        <f>IF(ISERROR(VLOOKUP($T$313,'TAR FIN'!$A$1:$O$115,15,0)),0,VLOOKUP($T$313,'TAR FIN'!$A$1:$O$115,15,0))</f>
        <v>84.31</v>
      </c>
      <c r="X313" s="6">
        <f>IF(ISERROR(VLOOKUP($U$313,'TAR FIN'!$A$1:$O$115,15,0)),0,VLOOKUP($U$313,'TAR FIN'!$A$1:$O$115,15,0))</f>
        <v>168.06</v>
      </c>
      <c r="Y313" s="6">
        <f ca="1">('TUSD BE'!$AM$20+'TUSD BF'!$AM$20+'TUSD CVA'!$AM$20)*1</f>
        <v>20.615214330225772</v>
      </c>
      <c r="Z313" s="6">
        <f ca="1">('TUSD BE'!$AM$21+'TUSD BF'!$AM$21+'TUSD CVA'!$AM$21)*1</f>
        <v>113.43121292628391</v>
      </c>
      <c r="AA313" s="6">
        <f>('TE BE'!$AB$12+'TE BF'!$AB$12+'TE CVA'!$AB$12)*1</f>
        <v>218.6854278594964</v>
      </c>
      <c r="AB313" s="6">
        <f>$K$313*$V$313</f>
        <v>22572</v>
      </c>
      <c r="AC313" s="6">
        <f>$M$313*$W$313</f>
        <v>25514.482370000002</v>
      </c>
      <c r="AD313" s="6">
        <f>$O$313*$X$313</f>
        <v>50859.493620000001</v>
      </c>
      <c r="AE313" s="6">
        <f ca="1">$K$313*$Y$313</f>
        <v>23501.34433645738</v>
      </c>
      <c r="AF313" s="6">
        <f ca="1">$M$313*$Z$313</f>
        <v>34327.347674242519</v>
      </c>
      <c r="AG313" s="6">
        <f>$O$313*$AA$313</f>
        <v>66180.114976835815</v>
      </c>
    </row>
    <row r="314" spans="1:33" ht="11.25" customHeight="1" x14ac:dyDescent="0.25">
      <c r="A314" s="4" t="s">
        <v>21</v>
      </c>
      <c r="B314" s="4" t="s">
        <v>41</v>
      </c>
      <c r="C314" s="4" t="s">
        <v>42</v>
      </c>
      <c r="D314" s="4" t="s">
        <v>48</v>
      </c>
      <c r="E314" s="4" t="s">
        <v>25</v>
      </c>
      <c r="F314" s="4" t="s">
        <v>25</v>
      </c>
      <c r="G314" s="4" t="s">
        <v>25</v>
      </c>
      <c r="H314" s="4" t="s">
        <v>37</v>
      </c>
      <c r="I314" s="5">
        <v>44652</v>
      </c>
      <c r="J314" s="6">
        <v>1703</v>
      </c>
      <c r="K314" s="6">
        <v>1703</v>
      </c>
      <c r="L314" s="6">
        <v>564.62199999999996</v>
      </c>
      <c r="M314" s="6">
        <v>564.62199999999996</v>
      </c>
      <c r="N314" s="6">
        <v>564.62199999999996</v>
      </c>
      <c r="O314" s="6">
        <v>564.62199999999996</v>
      </c>
      <c r="P314" s="6">
        <v>0</v>
      </c>
      <c r="Q314" s="4" t="s">
        <v>26</v>
      </c>
      <c r="R314" s="4">
        <v>0</v>
      </c>
      <c r="S314" s="6">
        <v>20</v>
      </c>
      <c r="T314" s="6">
        <v>21</v>
      </c>
      <c r="U314" s="6">
        <v>75</v>
      </c>
      <c r="V314" s="6">
        <f>IF(ISERROR(VLOOKUP($S$314,'TAR FIN'!$A$1:$O$115,15,0)),0,VLOOKUP($S$314,'TAR FIN'!$A$1:$O$115,15,0))</f>
        <v>19.8</v>
      </c>
      <c r="W314" s="6">
        <f>IF(ISERROR(VLOOKUP($T$314,'TAR FIN'!$A$1:$O$115,15,0)),0,VLOOKUP($T$314,'TAR FIN'!$A$1:$O$115,15,0))</f>
        <v>84.31</v>
      </c>
      <c r="X314" s="6">
        <f>IF(ISERROR(VLOOKUP($U$314,'TAR FIN'!$A$1:$O$115,15,0)),0,VLOOKUP($U$314,'TAR FIN'!$A$1:$O$115,15,0))</f>
        <v>168.06</v>
      </c>
      <c r="Y314" s="6">
        <f ca="1">('TUSD BE'!$AM$20+'TUSD BF'!$AM$20+'TUSD CVA'!$AM$20)*1</f>
        <v>20.615214330225772</v>
      </c>
      <c r="Z314" s="6">
        <f ca="1">('TUSD BE'!$AM$21+'TUSD BF'!$AM$21+'TUSD CVA'!$AM$21)*1</f>
        <v>113.43121292628391</v>
      </c>
      <c r="AA314" s="6">
        <f>('TE BE'!$AB$12+'TE BF'!$AB$12+'TE CVA'!$AB$12)*1</f>
        <v>218.6854278594964</v>
      </c>
      <c r="AB314" s="6">
        <f>$K$314*$V$314</f>
        <v>33719.4</v>
      </c>
      <c r="AC314" s="6">
        <f>$M$314*$W$314</f>
        <v>47603.28082</v>
      </c>
      <c r="AD314" s="6">
        <f>$O$314*$X$314</f>
        <v>94890.373319999999</v>
      </c>
      <c r="AE314" s="6">
        <f ca="1">$K$314*$Y$314</f>
        <v>35107.710004374487</v>
      </c>
      <c r="AF314" s="6">
        <f ca="1">$M$314*$Z$314</f>
        <v>64045.758304864263</v>
      </c>
      <c r="AG314" s="6">
        <f>$O$314*$AA$314</f>
        <v>123474.60364888457</v>
      </c>
    </row>
    <row r="315" spans="1:33" ht="11.25" customHeight="1" x14ac:dyDescent="0.25">
      <c r="A315" s="4" t="s">
        <v>30</v>
      </c>
      <c r="B315" s="4" t="s">
        <v>41</v>
      </c>
      <c r="C315" s="4" t="s">
        <v>42</v>
      </c>
      <c r="D315" s="4" t="s">
        <v>48</v>
      </c>
      <c r="E315" s="4" t="s">
        <v>25</v>
      </c>
      <c r="F315" s="4" t="s">
        <v>25</v>
      </c>
      <c r="G315" s="4" t="s">
        <v>25</v>
      </c>
      <c r="H315" s="4" t="s">
        <v>37</v>
      </c>
      <c r="I315" s="5">
        <v>44652</v>
      </c>
      <c r="J315" s="6">
        <v>1140</v>
      </c>
      <c r="K315" s="6">
        <v>1140</v>
      </c>
      <c r="L315" s="6">
        <v>312.62200000000001</v>
      </c>
      <c r="M315" s="6">
        <v>312.62200000000001</v>
      </c>
      <c r="N315" s="6">
        <v>312.62200000000001</v>
      </c>
      <c r="O315" s="6">
        <v>312.62200000000001</v>
      </c>
      <c r="P315" s="6">
        <v>0</v>
      </c>
      <c r="Q315" s="4" t="s">
        <v>26</v>
      </c>
      <c r="R315" s="4">
        <v>0</v>
      </c>
      <c r="S315" s="6">
        <v>20</v>
      </c>
      <c r="T315" s="6">
        <v>21</v>
      </c>
      <c r="U315" s="6">
        <v>75</v>
      </c>
      <c r="V315" s="6">
        <f>IF(ISERROR(VLOOKUP($S$315,'TAR FIN'!$A$1:$O$115,15,0)),0,VLOOKUP($S$315,'TAR FIN'!$A$1:$O$115,15,0))</f>
        <v>19.8</v>
      </c>
      <c r="W315" s="6">
        <f>IF(ISERROR(VLOOKUP($T$315,'TAR FIN'!$A$1:$O$115,15,0)),0,VLOOKUP($T$315,'TAR FIN'!$A$1:$O$115,15,0))</f>
        <v>84.31</v>
      </c>
      <c r="X315" s="6">
        <f>IF(ISERROR(VLOOKUP($U$315,'TAR FIN'!$A$1:$O$115,15,0)),0,VLOOKUP($U$315,'TAR FIN'!$A$1:$O$115,15,0))</f>
        <v>168.06</v>
      </c>
      <c r="Y315" s="6">
        <f ca="1">('TUSD BE'!$AM$20+'TUSD BF'!$AM$20+'TUSD CVA'!$AM$20)*1</f>
        <v>20.615214330225772</v>
      </c>
      <c r="Z315" s="6">
        <f ca="1">('TUSD BE'!$AM$21+'TUSD BF'!$AM$21+'TUSD CVA'!$AM$21)*1</f>
        <v>113.43121292628391</v>
      </c>
      <c r="AA315" s="6">
        <f>('TE BE'!$AB$12+'TE BF'!$AB$12+'TE CVA'!$AB$12)*1</f>
        <v>218.6854278594964</v>
      </c>
      <c r="AB315" s="6">
        <f>$K$315*$V$315</f>
        <v>22572</v>
      </c>
      <c r="AC315" s="6">
        <f>$M$315*$W$315</f>
        <v>26357.160820000001</v>
      </c>
      <c r="AD315" s="6">
        <f>$O$315*$X$315</f>
        <v>52539.253320000003</v>
      </c>
      <c r="AE315" s="6">
        <f ca="1">$K$315*$Y$315</f>
        <v>23501.34433645738</v>
      </c>
      <c r="AF315" s="6">
        <f ca="1">$M$315*$Z$315</f>
        <v>35461.092647440732</v>
      </c>
      <c r="AG315" s="6">
        <f>$O$315*$AA$315</f>
        <v>68365.875828291493</v>
      </c>
    </row>
    <row r="316" spans="1:33" ht="11.25" customHeight="1" x14ac:dyDescent="0.25">
      <c r="A316" s="4" t="s">
        <v>21</v>
      </c>
      <c r="B316" s="4" t="s">
        <v>41</v>
      </c>
      <c r="C316" s="4" t="s">
        <v>42</v>
      </c>
      <c r="D316" s="4" t="s">
        <v>48</v>
      </c>
      <c r="E316" s="4" t="s">
        <v>25</v>
      </c>
      <c r="F316" s="4" t="s">
        <v>25</v>
      </c>
      <c r="G316" s="4" t="s">
        <v>25</v>
      </c>
      <c r="H316" s="4" t="s">
        <v>37</v>
      </c>
      <c r="I316" s="5">
        <v>44682</v>
      </c>
      <c r="J316" s="6">
        <v>1703</v>
      </c>
      <c r="K316" s="6">
        <v>1703</v>
      </c>
      <c r="L316" s="6">
        <v>548.59100000000001</v>
      </c>
      <c r="M316" s="6">
        <v>548.59100000000001</v>
      </c>
      <c r="N316" s="6">
        <v>548.59100000000001</v>
      </c>
      <c r="O316" s="6">
        <v>548.59100000000001</v>
      </c>
      <c r="P316" s="6">
        <v>0</v>
      </c>
      <c r="Q316" s="4" t="s">
        <v>26</v>
      </c>
      <c r="R316" s="4">
        <v>0</v>
      </c>
      <c r="S316" s="6">
        <v>20</v>
      </c>
      <c r="T316" s="6">
        <v>21</v>
      </c>
      <c r="U316" s="6">
        <v>75</v>
      </c>
      <c r="V316" s="6">
        <f>IF(ISERROR(VLOOKUP($S$316,'TAR FIN'!$A$1:$O$115,15,0)),0,VLOOKUP($S$316,'TAR FIN'!$A$1:$O$115,15,0))</f>
        <v>19.8</v>
      </c>
      <c r="W316" s="6">
        <f>IF(ISERROR(VLOOKUP($T$316,'TAR FIN'!$A$1:$O$115,15,0)),0,VLOOKUP($T$316,'TAR FIN'!$A$1:$O$115,15,0))</f>
        <v>84.31</v>
      </c>
      <c r="X316" s="6">
        <f>IF(ISERROR(VLOOKUP($U$316,'TAR FIN'!$A$1:$O$115,15,0)),0,VLOOKUP($U$316,'TAR FIN'!$A$1:$O$115,15,0))</f>
        <v>168.06</v>
      </c>
      <c r="Y316" s="6">
        <f ca="1">('TUSD BE'!$AM$20+'TUSD BF'!$AM$20+'TUSD CVA'!$AM$20)*1</f>
        <v>20.615214330225772</v>
      </c>
      <c r="Z316" s="6">
        <f ca="1">('TUSD BE'!$AM$21+'TUSD BF'!$AM$21+'TUSD CVA'!$AM$21)*1</f>
        <v>113.43121292628391</v>
      </c>
      <c r="AA316" s="6">
        <f>('TE BE'!$AB$12+'TE BF'!$AB$12+'TE CVA'!$AB$12)*1</f>
        <v>218.6854278594964</v>
      </c>
      <c r="AB316" s="6">
        <f>$K$316*$V$316</f>
        <v>33719.4</v>
      </c>
      <c r="AC316" s="6">
        <f>$M$316*$W$316</f>
        <v>46251.70721</v>
      </c>
      <c r="AD316" s="6">
        <f>$O$316*$X$316</f>
        <v>92196.203460000004</v>
      </c>
      <c r="AE316" s="6">
        <f ca="1">$K$316*$Y$316</f>
        <v>35107.710004374487</v>
      </c>
      <c r="AF316" s="6">
        <f ca="1">$M$316*$Z$316</f>
        <v>62227.342530443013</v>
      </c>
      <c r="AG316" s="6">
        <f>$O$316*$AA$316</f>
        <v>119968.85755486898</v>
      </c>
    </row>
    <row r="317" spans="1:33" ht="11.25" customHeight="1" x14ac:dyDescent="0.25">
      <c r="A317" s="4" t="s">
        <v>30</v>
      </c>
      <c r="B317" s="4" t="s">
        <v>41</v>
      </c>
      <c r="C317" s="4" t="s">
        <v>42</v>
      </c>
      <c r="D317" s="4" t="s">
        <v>48</v>
      </c>
      <c r="E317" s="4" t="s">
        <v>25</v>
      </c>
      <c r="F317" s="4" t="s">
        <v>25</v>
      </c>
      <c r="G317" s="4" t="s">
        <v>25</v>
      </c>
      <c r="H317" s="4" t="s">
        <v>37</v>
      </c>
      <c r="I317" s="5">
        <v>44682</v>
      </c>
      <c r="J317" s="6">
        <v>1140</v>
      </c>
      <c r="K317" s="6">
        <v>1140</v>
      </c>
      <c r="L317" s="6">
        <v>307.63900000000001</v>
      </c>
      <c r="M317" s="6">
        <v>307.63900000000001</v>
      </c>
      <c r="N317" s="6">
        <v>307.63900000000001</v>
      </c>
      <c r="O317" s="6">
        <v>307.63900000000001</v>
      </c>
      <c r="P317" s="6">
        <v>0</v>
      </c>
      <c r="Q317" s="4" t="s">
        <v>26</v>
      </c>
      <c r="R317" s="4">
        <v>0</v>
      </c>
      <c r="S317" s="6">
        <v>20</v>
      </c>
      <c r="T317" s="6">
        <v>21</v>
      </c>
      <c r="U317" s="6">
        <v>75</v>
      </c>
      <c r="V317" s="6">
        <f>IF(ISERROR(VLOOKUP($S$317,'TAR FIN'!$A$1:$O$115,15,0)),0,VLOOKUP($S$317,'TAR FIN'!$A$1:$O$115,15,0))</f>
        <v>19.8</v>
      </c>
      <c r="W317" s="6">
        <f>IF(ISERROR(VLOOKUP($T$317,'TAR FIN'!$A$1:$O$115,15,0)),0,VLOOKUP($T$317,'TAR FIN'!$A$1:$O$115,15,0))</f>
        <v>84.31</v>
      </c>
      <c r="X317" s="6">
        <f>IF(ISERROR(VLOOKUP($U$317,'TAR FIN'!$A$1:$O$115,15,0)),0,VLOOKUP($U$317,'TAR FIN'!$A$1:$O$115,15,0))</f>
        <v>168.06</v>
      </c>
      <c r="Y317" s="6">
        <f ca="1">('TUSD BE'!$AM$20+'TUSD BF'!$AM$20+'TUSD CVA'!$AM$20)*1</f>
        <v>20.615214330225772</v>
      </c>
      <c r="Z317" s="6">
        <f ca="1">('TUSD BE'!$AM$21+'TUSD BF'!$AM$21+'TUSD CVA'!$AM$21)*1</f>
        <v>113.43121292628391</v>
      </c>
      <c r="AA317" s="6">
        <f>('TE BE'!$AB$12+'TE BF'!$AB$12+'TE CVA'!$AB$12)*1</f>
        <v>218.6854278594964</v>
      </c>
      <c r="AB317" s="6">
        <f>$K$317*$V$317</f>
        <v>22572</v>
      </c>
      <c r="AC317" s="6">
        <f>$M$317*$W$317</f>
        <v>25937.044090000003</v>
      </c>
      <c r="AD317" s="6">
        <f>$O$317*$X$317</f>
        <v>51701.810340000004</v>
      </c>
      <c r="AE317" s="6">
        <f ca="1">$K$317*$Y$317</f>
        <v>23501.34433645738</v>
      </c>
      <c r="AF317" s="6">
        <f ca="1">$M$317*$Z$317</f>
        <v>34895.864913429054</v>
      </c>
      <c r="AG317" s="6">
        <f>$O$317*$AA$317</f>
        <v>67276.166341267613</v>
      </c>
    </row>
    <row r="318" spans="1:33" ht="11.25" customHeight="1" x14ac:dyDescent="0.25">
      <c r="A318" s="4" t="s">
        <v>21</v>
      </c>
      <c r="B318" s="4" t="s">
        <v>41</v>
      </c>
      <c r="C318" s="4" t="s">
        <v>42</v>
      </c>
      <c r="D318" s="4" t="s">
        <v>48</v>
      </c>
      <c r="E318" s="4" t="s">
        <v>25</v>
      </c>
      <c r="F318" s="4" t="s">
        <v>25</v>
      </c>
      <c r="G318" s="4" t="s">
        <v>25</v>
      </c>
      <c r="H318" s="4" t="s">
        <v>37</v>
      </c>
      <c r="I318" s="5">
        <v>44713</v>
      </c>
      <c r="J318" s="6">
        <v>1688</v>
      </c>
      <c r="K318" s="6">
        <v>1688</v>
      </c>
      <c r="L318" s="6">
        <v>480.68799999999999</v>
      </c>
      <c r="M318" s="6">
        <v>480.68799999999999</v>
      </c>
      <c r="N318" s="6">
        <v>480.68799999999999</v>
      </c>
      <c r="O318" s="6">
        <v>480.68799999999999</v>
      </c>
      <c r="P318" s="6">
        <v>0</v>
      </c>
      <c r="Q318" s="4" t="s">
        <v>26</v>
      </c>
      <c r="R318" s="4">
        <v>0</v>
      </c>
      <c r="S318" s="6">
        <v>20</v>
      </c>
      <c r="T318" s="6">
        <v>21</v>
      </c>
      <c r="U318" s="6">
        <v>75</v>
      </c>
      <c r="V318" s="6">
        <f>IF(ISERROR(VLOOKUP($S$318,'TAR FIN'!$A$1:$O$115,15,0)),0,VLOOKUP($S$318,'TAR FIN'!$A$1:$O$115,15,0))</f>
        <v>19.8</v>
      </c>
      <c r="W318" s="6">
        <f>IF(ISERROR(VLOOKUP($T$318,'TAR FIN'!$A$1:$O$115,15,0)),0,VLOOKUP($T$318,'TAR FIN'!$A$1:$O$115,15,0))</f>
        <v>84.31</v>
      </c>
      <c r="X318" s="6">
        <f>IF(ISERROR(VLOOKUP($U$318,'TAR FIN'!$A$1:$O$115,15,0)),0,VLOOKUP($U$318,'TAR FIN'!$A$1:$O$115,15,0))</f>
        <v>168.06</v>
      </c>
      <c r="Y318" s="6">
        <f ca="1">('TUSD BE'!$AM$20+'TUSD BF'!$AM$20+'TUSD CVA'!$AM$20)*1</f>
        <v>20.615214330225772</v>
      </c>
      <c r="Z318" s="6">
        <f ca="1">('TUSD BE'!$AM$21+'TUSD BF'!$AM$21+'TUSD CVA'!$AM$21)*1</f>
        <v>113.43121292628391</v>
      </c>
      <c r="AA318" s="6">
        <f>('TE BE'!$AB$12+'TE BF'!$AB$12+'TE CVA'!$AB$12)*1</f>
        <v>218.6854278594964</v>
      </c>
      <c r="AB318" s="6">
        <f>$K$318*$V$318</f>
        <v>33422.400000000001</v>
      </c>
      <c r="AC318" s="6">
        <f>$M$318*$W$318</f>
        <v>40526.80528</v>
      </c>
      <c r="AD318" s="6">
        <f>$O$318*$X$318</f>
        <v>80784.425279999996</v>
      </c>
      <c r="AE318" s="6">
        <f ca="1">$K$318*$Y$318</f>
        <v>34798.481789421101</v>
      </c>
      <c r="AF318" s="6">
        <f ca="1">$M$318*$Z$318</f>
        <v>54525.022879109558</v>
      </c>
      <c r="AG318" s="6">
        <f>$O$318*$AA$318</f>
        <v>105119.46094692561</v>
      </c>
    </row>
    <row r="319" spans="1:33" ht="11.25" customHeight="1" x14ac:dyDescent="0.25">
      <c r="A319" s="4" t="s">
        <v>30</v>
      </c>
      <c r="B319" s="4" t="s">
        <v>41</v>
      </c>
      <c r="C319" s="4" t="s">
        <v>42</v>
      </c>
      <c r="D319" s="4" t="s">
        <v>48</v>
      </c>
      <c r="E319" s="4" t="s">
        <v>25</v>
      </c>
      <c r="F319" s="4" t="s">
        <v>25</v>
      </c>
      <c r="G319" s="4" t="s">
        <v>25</v>
      </c>
      <c r="H319" s="4" t="s">
        <v>37</v>
      </c>
      <c r="I319" s="5">
        <v>44713</v>
      </c>
      <c r="J319" s="6">
        <v>1140</v>
      </c>
      <c r="K319" s="6">
        <v>1140</v>
      </c>
      <c r="L319" s="6">
        <v>270.94299999999998</v>
      </c>
      <c r="M319" s="6">
        <v>270.94299999999998</v>
      </c>
      <c r="N319" s="6">
        <v>270.94299999999998</v>
      </c>
      <c r="O319" s="6">
        <v>270.94299999999998</v>
      </c>
      <c r="P319" s="6">
        <v>0</v>
      </c>
      <c r="Q319" s="4" t="s">
        <v>26</v>
      </c>
      <c r="R319" s="4">
        <v>0</v>
      </c>
      <c r="S319" s="6">
        <v>20</v>
      </c>
      <c r="T319" s="6">
        <v>21</v>
      </c>
      <c r="U319" s="6">
        <v>75</v>
      </c>
      <c r="V319" s="6">
        <f>IF(ISERROR(VLOOKUP($S$319,'TAR FIN'!$A$1:$O$115,15,0)),0,VLOOKUP($S$319,'TAR FIN'!$A$1:$O$115,15,0))</f>
        <v>19.8</v>
      </c>
      <c r="W319" s="6">
        <f>IF(ISERROR(VLOOKUP($T$319,'TAR FIN'!$A$1:$O$115,15,0)),0,VLOOKUP($T$319,'TAR FIN'!$A$1:$O$115,15,0))</f>
        <v>84.31</v>
      </c>
      <c r="X319" s="6">
        <f>IF(ISERROR(VLOOKUP($U$319,'TAR FIN'!$A$1:$O$115,15,0)),0,VLOOKUP($U$319,'TAR FIN'!$A$1:$O$115,15,0))</f>
        <v>168.06</v>
      </c>
      <c r="Y319" s="6">
        <f ca="1">('TUSD BE'!$AM$20+'TUSD BF'!$AM$20+'TUSD CVA'!$AM$20)*1</f>
        <v>20.615214330225772</v>
      </c>
      <c r="Z319" s="6">
        <f ca="1">('TUSD BE'!$AM$21+'TUSD BF'!$AM$21+'TUSD CVA'!$AM$21)*1</f>
        <v>113.43121292628391</v>
      </c>
      <c r="AA319" s="6">
        <f>('TE BE'!$AB$12+'TE BF'!$AB$12+'TE CVA'!$AB$12)*1</f>
        <v>218.6854278594964</v>
      </c>
      <c r="AB319" s="6">
        <f>$K$319*$V$319</f>
        <v>22572</v>
      </c>
      <c r="AC319" s="6">
        <f>$M$319*$W$319</f>
        <v>22843.20433</v>
      </c>
      <c r="AD319" s="6">
        <f>$O$319*$X$319</f>
        <v>45534.68058</v>
      </c>
      <c r="AE319" s="6">
        <f ca="1">$K$319*$Y$319</f>
        <v>23501.34433645738</v>
      </c>
      <c r="AF319" s="6">
        <f ca="1">$M$319*$Z$319</f>
        <v>30733.393123886137</v>
      </c>
      <c r="AG319" s="6">
        <f>$O$319*$AA$319</f>
        <v>59251.285880535528</v>
      </c>
    </row>
    <row r="320" spans="1:33" ht="11.25" customHeight="1" x14ac:dyDescent="0.25">
      <c r="A320" s="4" t="s">
        <v>21</v>
      </c>
      <c r="B320" s="4" t="s">
        <v>41</v>
      </c>
      <c r="C320" s="4" t="s">
        <v>42</v>
      </c>
      <c r="D320" s="4" t="s">
        <v>48</v>
      </c>
      <c r="E320" s="4" t="s">
        <v>25</v>
      </c>
      <c r="F320" s="4" t="s">
        <v>25</v>
      </c>
      <c r="G320" s="4" t="s">
        <v>25</v>
      </c>
      <c r="H320" s="4" t="s">
        <v>37</v>
      </c>
      <c r="I320" s="5">
        <v>44743</v>
      </c>
      <c r="J320" s="6">
        <v>1720</v>
      </c>
      <c r="K320" s="6">
        <v>1720</v>
      </c>
      <c r="L320" s="6">
        <v>579.803</v>
      </c>
      <c r="M320" s="6">
        <v>579.803</v>
      </c>
      <c r="N320" s="6">
        <v>579.803</v>
      </c>
      <c r="O320" s="6">
        <v>579.803</v>
      </c>
      <c r="P320" s="6">
        <v>0</v>
      </c>
      <c r="Q320" s="4" t="s">
        <v>26</v>
      </c>
      <c r="R320" s="4">
        <v>0</v>
      </c>
      <c r="S320" s="6">
        <v>20</v>
      </c>
      <c r="T320" s="6">
        <v>21</v>
      </c>
      <c r="U320" s="6">
        <v>75</v>
      </c>
      <c r="V320" s="6">
        <f>IF(ISERROR(VLOOKUP($S$320,'TAR FIN'!$A$1:$O$115,15,0)),0,VLOOKUP($S$320,'TAR FIN'!$A$1:$O$115,15,0))</f>
        <v>19.8</v>
      </c>
      <c r="W320" s="6">
        <f>IF(ISERROR(VLOOKUP($T$320,'TAR FIN'!$A$1:$O$115,15,0)),0,VLOOKUP($T$320,'TAR FIN'!$A$1:$O$115,15,0))</f>
        <v>84.31</v>
      </c>
      <c r="X320" s="6">
        <f>IF(ISERROR(VLOOKUP($U$320,'TAR FIN'!$A$1:$O$115,15,0)),0,VLOOKUP($U$320,'TAR FIN'!$A$1:$O$115,15,0))</f>
        <v>168.06</v>
      </c>
      <c r="Y320" s="6">
        <f ca="1">('TUSD BE'!$AM$20+'TUSD BF'!$AM$20+'TUSD CVA'!$AM$20)*1</f>
        <v>20.615214330225772</v>
      </c>
      <c r="Z320" s="6">
        <f ca="1">('TUSD BE'!$AM$21+'TUSD BF'!$AM$21+'TUSD CVA'!$AM$21)*1</f>
        <v>113.43121292628391</v>
      </c>
      <c r="AA320" s="6">
        <f>('TE BE'!$AB$12+'TE BF'!$AB$12+'TE CVA'!$AB$12)*1</f>
        <v>218.6854278594964</v>
      </c>
      <c r="AB320" s="6">
        <f>$K$320*$V$320</f>
        <v>34056</v>
      </c>
      <c r="AC320" s="6">
        <f>$M$320*$W$320</f>
        <v>48883.190930000004</v>
      </c>
      <c r="AD320" s="6">
        <f>$O$320*$X$320</f>
        <v>97441.692179999998</v>
      </c>
      <c r="AE320" s="6">
        <f ca="1">$K$320*$Y$320</f>
        <v>35458.168647988328</v>
      </c>
      <c r="AF320" s="6">
        <f ca="1">$M$320*$Z$320</f>
        <v>65767.757548298192</v>
      </c>
      <c r="AG320" s="6">
        <f>$O$320*$AA$320</f>
        <v>126794.46712921959</v>
      </c>
    </row>
    <row r="321" spans="1:33" ht="11.25" customHeight="1" x14ac:dyDescent="0.25">
      <c r="A321" s="4" t="s">
        <v>30</v>
      </c>
      <c r="B321" s="4" t="s">
        <v>41</v>
      </c>
      <c r="C321" s="4" t="s">
        <v>42</v>
      </c>
      <c r="D321" s="4" t="s">
        <v>48</v>
      </c>
      <c r="E321" s="4" t="s">
        <v>25</v>
      </c>
      <c r="F321" s="4" t="s">
        <v>25</v>
      </c>
      <c r="G321" s="4" t="s">
        <v>25</v>
      </c>
      <c r="H321" s="4" t="s">
        <v>37</v>
      </c>
      <c r="I321" s="5">
        <v>44743</v>
      </c>
      <c r="J321" s="6">
        <v>1140</v>
      </c>
      <c r="K321" s="6">
        <v>1140</v>
      </c>
      <c r="L321" s="6">
        <v>337.56599999999997</v>
      </c>
      <c r="M321" s="6">
        <v>337.56599999999997</v>
      </c>
      <c r="N321" s="6">
        <v>337.56599999999997</v>
      </c>
      <c r="O321" s="6">
        <v>337.56599999999997</v>
      </c>
      <c r="P321" s="6">
        <v>0</v>
      </c>
      <c r="Q321" s="4" t="s">
        <v>26</v>
      </c>
      <c r="R321" s="4">
        <v>0</v>
      </c>
      <c r="S321" s="6">
        <v>20</v>
      </c>
      <c r="T321" s="6">
        <v>21</v>
      </c>
      <c r="U321" s="6">
        <v>75</v>
      </c>
      <c r="V321" s="6">
        <f>IF(ISERROR(VLOOKUP($S$321,'TAR FIN'!$A$1:$O$115,15,0)),0,VLOOKUP($S$321,'TAR FIN'!$A$1:$O$115,15,0))</f>
        <v>19.8</v>
      </c>
      <c r="W321" s="6">
        <f>IF(ISERROR(VLOOKUP($T$321,'TAR FIN'!$A$1:$O$115,15,0)),0,VLOOKUP($T$321,'TAR FIN'!$A$1:$O$115,15,0))</f>
        <v>84.31</v>
      </c>
      <c r="X321" s="6">
        <f>IF(ISERROR(VLOOKUP($U$321,'TAR FIN'!$A$1:$O$115,15,0)),0,VLOOKUP($U$321,'TAR FIN'!$A$1:$O$115,15,0))</f>
        <v>168.06</v>
      </c>
      <c r="Y321" s="6">
        <f ca="1">('TUSD BE'!$AM$20+'TUSD BF'!$AM$20+'TUSD CVA'!$AM$20)*1</f>
        <v>20.615214330225772</v>
      </c>
      <c r="Z321" s="6">
        <f ca="1">('TUSD BE'!$AM$21+'TUSD BF'!$AM$21+'TUSD CVA'!$AM$21)*1</f>
        <v>113.43121292628391</v>
      </c>
      <c r="AA321" s="6">
        <f>('TE BE'!$AB$12+'TE BF'!$AB$12+'TE CVA'!$AB$12)*1</f>
        <v>218.6854278594964</v>
      </c>
      <c r="AB321" s="6">
        <f>$K$321*$V$321</f>
        <v>22572</v>
      </c>
      <c r="AC321" s="6">
        <f>$M$321*$W$321</f>
        <v>28460.189459999998</v>
      </c>
      <c r="AD321" s="6">
        <f>$O$321*$X$321</f>
        <v>56731.341959999998</v>
      </c>
      <c r="AE321" s="6">
        <f ca="1">$K$321*$Y$321</f>
        <v>23501.34433645738</v>
      </c>
      <c r="AF321" s="6">
        <f ca="1">$M$321*$Z$321</f>
        <v>38290.520822673949</v>
      </c>
      <c r="AG321" s="6">
        <f>$O$321*$AA$321</f>
        <v>73820.765140818752</v>
      </c>
    </row>
    <row r="322" spans="1:33" ht="11.25" customHeight="1" x14ac:dyDescent="0.25">
      <c r="A322" s="4" t="s">
        <v>21</v>
      </c>
      <c r="B322" s="4" t="s">
        <v>41</v>
      </c>
      <c r="C322" s="4" t="s">
        <v>42</v>
      </c>
      <c r="D322" s="4" t="s">
        <v>48</v>
      </c>
      <c r="E322" s="4" t="s">
        <v>25</v>
      </c>
      <c r="F322" s="4" t="s">
        <v>25</v>
      </c>
      <c r="G322" s="4" t="s">
        <v>25</v>
      </c>
      <c r="H322" s="4" t="s">
        <v>37</v>
      </c>
      <c r="I322" s="5">
        <v>44774</v>
      </c>
      <c r="J322" s="6">
        <v>1744</v>
      </c>
      <c r="K322" s="6">
        <v>1744</v>
      </c>
      <c r="L322" s="6">
        <v>536.50900000000001</v>
      </c>
      <c r="M322" s="6">
        <v>536.50900000000001</v>
      </c>
      <c r="N322" s="6">
        <v>536.50900000000001</v>
      </c>
      <c r="O322" s="6">
        <v>536.50900000000001</v>
      </c>
      <c r="P322" s="6">
        <v>0</v>
      </c>
      <c r="Q322" s="4" t="s">
        <v>26</v>
      </c>
      <c r="R322" s="4">
        <v>0</v>
      </c>
      <c r="S322" s="6">
        <v>20</v>
      </c>
      <c r="T322" s="6">
        <v>21</v>
      </c>
      <c r="U322" s="6">
        <v>75</v>
      </c>
      <c r="V322" s="6">
        <f>IF(ISERROR(VLOOKUP($S$322,'TAR FIN'!$A$1:$O$115,15,0)),0,VLOOKUP($S$322,'TAR FIN'!$A$1:$O$115,15,0))</f>
        <v>19.8</v>
      </c>
      <c r="W322" s="6">
        <f>IF(ISERROR(VLOOKUP($T$322,'TAR FIN'!$A$1:$O$115,15,0)),0,VLOOKUP($T$322,'TAR FIN'!$A$1:$O$115,15,0))</f>
        <v>84.31</v>
      </c>
      <c r="X322" s="6">
        <f>IF(ISERROR(VLOOKUP($U$322,'TAR FIN'!$A$1:$O$115,15,0)),0,VLOOKUP($U$322,'TAR FIN'!$A$1:$O$115,15,0))</f>
        <v>168.06</v>
      </c>
      <c r="Y322" s="6">
        <f ca="1">('TUSD BE'!$AM$20+'TUSD BF'!$AM$20+'TUSD CVA'!$AM$20)*1</f>
        <v>20.615214330225772</v>
      </c>
      <c r="Z322" s="6">
        <f ca="1">('TUSD BE'!$AM$21+'TUSD BF'!$AM$21+'TUSD CVA'!$AM$21)*1</f>
        <v>113.43121292628391</v>
      </c>
      <c r="AA322" s="6">
        <f>('TE BE'!$AB$12+'TE BF'!$AB$12+'TE CVA'!$AB$12)*1</f>
        <v>218.6854278594964</v>
      </c>
      <c r="AB322" s="6">
        <f>$K$322*$V$322</f>
        <v>34531.200000000004</v>
      </c>
      <c r="AC322" s="6">
        <f>$M$322*$W$322</f>
        <v>45233.073790000002</v>
      </c>
      <c r="AD322" s="6">
        <f>$O$322*$X$322</f>
        <v>90165.702539999998</v>
      </c>
      <c r="AE322" s="6">
        <f ca="1">$K$322*$Y$322</f>
        <v>35952.933791913747</v>
      </c>
      <c r="AF322" s="6">
        <f ca="1">$M$322*$Z$322</f>
        <v>60856.86661586765</v>
      </c>
      <c r="AG322" s="6">
        <f>$O$322*$AA$322</f>
        <v>117326.70021547056</v>
      </c>
    </row>
    <row r="323" spans="1:33" ht="11.25" customHeight="1" x14ac:dyDescent="0.25">
      <c r="A323" s="4" t="s">
        <v>30</v>
      </c>
      <c r="B323" s="4" t="s">
        <v>41</v>
      </c>
      <c r="C323" s="4" t="s">
        <v>42</v>
      </c>
      <c r="D323" s="4" t="s">
        <v>48</v>
      </c>
      <c r="E323" s="4" t="s">
        <v>25</v>
      </c>
      <c r="F323" s="4" t="s">
        <v>25</v>
      </c>
      <c r="G323" s="4" t="s">
        <v>25</v>
      </c>
      <c r="H323" s="4" t="s">
        <v>37</v>
      </c>
      <c r="I323" s="5">
        <v>44774</v>
      </c>
      <c r="J323" s="6">
        <v>1140</v>
      </c>
      <c r="K323" s="6">
        <v>1140</v>
      </c>
      <c r="L323" s="6">
        <v>304.15899999999999</v>
      </c>
      <c r="M323" s="6">
        <v>304.15899999999999</v>
      </c>
      <c r="N323" s="6">
        <v>304.15899999999999</v>
      </c>
      <c r="O323" s="6">
        <v>304.15899999999999</v>
      </c>
      <c r="P323" s="6">
        <v>0</v>
      </c>
      <c r="Q323" s="4" t="s">
        <v>26</v>
      </c>
      <c r="R323" s="4">
        <v>0</v>
      </c>
      <c r="S323" s="6">
        <v>20</v>
      </c>
      <c r="T323" s="6">
        <v>21</v>
      </c>
      <c r="U323" s="6">
        <v>75</v>
      </c>
      <c r="V323" s="6">
        <f>IF(ISERROR(VLOOKUP($S$323,'TAR FIN'!$A$1:$O$115,15,0)),0,VLOOKUP($S$323,'TAR FIN'!$A$1:$O$115,15,0))</f>
        <v>19.8</v>
      </c>
      <c r="W323" s="6">
        <f>IF(ISERROR(VLOOKUP($T$323,'TAR FIN'!$A$1:$O$115,15,0)),0,VLOOKUP($T$323,'TAR FIN'!$A$1:$O$115,15,0))</f>
        <v>84.31</v>
      </c>
      <c r="X323" s="6">
        <f>IF(ISERROR(VLOOKUP($U$323,'TAR FIN'!$A$1:$O$115,15,0)),0,VLOOKUP($U$323,'TAR FIN'!$A$1:$O$115,15,0))</f>
        <v>168.06</v>
      </c>
      <c r="Y323" s="6">
        <f ca="1">('TUSD BE'!$AM$20+'TUSD BF'!$AM$20+'TUSD CVA'!$AM$20)*1</f>
        <v>20.615214330225772</v>
      </c>
      <c r="Z323" s="6">
        <f ca="1">('TUSD BE'!$AM$21+'TUSD BF'!$AM$21+'TUSD CVA'!$AM$21)*1</f>
        <v>113.43121292628391</v>
      </c>
      <c r="AA323" s="6">
        <f>('TE BE'!$AB$12+'TE BF'!$AB$12+'TE CVA'!$AB$12)*1</f>
        <v>218.6854278594964</v>
      </c>
      <c r="AB323" s="6">
        <f>$K$323*$V$323</f>
        <v>22572</v>
      </c>
      <c r="AC323" s="6">
        <f>$M$323*$W$323</f>
        <v>25643.64529</v>
      </c>
      <c r="AD323" s="6">
        <f>$O$323*$X$323</f>
        <v>51116.961539999997</v>
      </c>
      <c r="AE323" s="6">
        <f ca="1">$K$323*$Y$323</f>
        <v>23501.34433645738</v>
      </c>
      <c r="AF323" s="6">
        <f ca="1">$M$323*$Z$323</f>
        <v>34501.124292445587</v>
      </c>
      <c r="AG323" s="6">
        <f>$O$323*$AA$323</f>
        <v>66515.141052316569</v>
      </c>
    </row>
    <row r="324" spans="1:33" ht="11.25" customHeight="1" x14ac:dyDescent="0.25">
      <c r="A324" s="4" t="s">
        <v>21</v>
      </c>
      <c r="B324" s="4" t="s">
        <v>41</v>
      </c>
      <c r="C324" s="4" t="s">
        <v>42</v>
      </c>
      <c r="D324" s="4" t="s">
        <v>48</v>
      </c>
      <c r="E324" s="4" t="s">
        <v>25</v>
      </c>
      <c r="F324" s="4" t="s">
        <v>25</v>
      </c>
      <c r="G324" s="4" t="s">
        <v>25</v>
      </c>
      <c r="H324" s="4" t="s">
        <v>37</v>
      </c>
      <c r="I324" s="5">
        <v>44805</v>
      </c>
      <c r="J324" s="6">
        <v>1811</v>
      </c>
      <c r="K324" s="6">
        <v>1811</v>
      </c>
      <c r="L324" s="6">
        <v>558.41399999999999</v>
      </c>
      <c r="M324" s="6">
        <v>558.41399999999999</v>
      </c>
      <c r="N324" s="6">
        <v>558.41399999999999</v>
      </c>
      <c r="O324" s="6">
        <v>558.41399999999999</v>
      </c>
      <c r="P324" s="6">
        <v>0</v>
      </c>
      <c r="Q324" s="4" t="s">
        <v>26</v>
      </c>
      <c r="R324" s="4">
        <v>0</v>
      </c>
      <c r="S324" s="6">
        <v>20</v>
      </c>
      <c r="T324" s="6">
        <v>21</v>
      </c>
      <c r="U324" s="6">
        <v>75</v>
      </c>
      <c r="V324" s="6">
        <f>IF(ISERROR(VLOOKUP($S$324,'TAR FIN'!$A$1:$O$115,15,0)),0,VLOOKUP($S$324,'TAR FIN'!$A$1:$O$115,15,0))</f>
        <v>19.8</v>
      </c>
      <c r="W324" s="6">
        <f>IF(ISERROR(VLOOKUP($T$324,'TAR FIN'!$A$1:$O$115,15,0)),0,VLOOKUP($T$324,'TAR FIN'!$A$1:$O$115,15,0))</f>
        <v>84.31</v>
      </c>
      <c r="X324" s="6">
        <f>IF(ISERROR(VLOOKUP($U$324,'TAR FIN'!$A$1:$O$115,15,0)),0,VLOOKUP($U$324,'TAR FIN'!$A$1:$O$115,15,0))</f>
        <v>168.06</v>
      </c>
      <c r="Y324" s="6">
        <f ca="1">('TUSD BE'!$AM$20+'TUSD BF'!$AM$20+'TUSD CVA'!$AM$20)*1</f>
        <v>20.615214330225772</v>
      </c>
      <c r="Z324" s="6">
        <f ca="1">('TUSD BE'!$AM$21+'TUSD BF'!$AM$21+'TUSD CVA'!$AM$21)*1</f>
        <v>113.43121292628391</v>
      </c>
      <c r="AA324" s="6">
        <f>('TE BE'!$AB$12+'TE BF'!$AB$12+'TE CVA'!$AB$12)*1</f>
        <v>218.6854278594964</v>
      </c>
      <c r="AB324" s="6">
        <f>$K$324*$V$324</f>
        <v>35857.800000000003</v>
      </c>
      <c r="AC324" s="6">
        <f>$M$324*$W$324</f>
        <v>47079.884339999997</v>
      </c>
      <c r="AD324" s="6">
        <f>$O$324*$X$324</f>
        <v>93847.056840000005</v>
      </c>
      <c r="AE324" s="6">
        <f ca="1">$K$324*$Y$324</f>
        <v>37334.153152038874</v>
      </c>
      <c r="AF324" s="6">
        <f ca="1">$M$324*$Z$324</f>
        <v>63341.577335017901</v>
      </c>
      <c r="AG324" s="6">
        <f>$O$324*$AA$324</f>
        <v>122117.00451273282</v>
      </c>
    </row>
    <row r="325" spans="1:33" ht="11.25" customHeight="1" x14ac:dyDescent="0.25">
      <c r="A325" s="4" t="s">
        <v>30</v>
      </c>
      <c r="B325" s="4" t="s">
        <v>41</v>
      </c>
      <c r="C325" s="4" t="s">
        <v>42</v>
      </c>
      <c r="D325" s="4" t="s">
        <v>48</v>
      </c>
      <c r="E325" s="4" t="s">
        <v>25</v>
      </c>
      <c r="F325" s="4" t="s">
        <v>25</v>
      </c>
      <c r="G325" s="4" t="s">
        <v>25</v>
      </c>
      <c r="H325" s="4" t="s">
        <v>37</v>
      </c>
      <c r="I325" s="5">
        <v>44805</v>
      </c>
      <c r="J325" s="6">
        <v>1140</v>
      </c>
      <c r="K325" s="6">
        <v>1140</v>
      </c>
      <c r="L325" s="6">
        <v>319.80399999999997</v>
      </c>
      <c r="M325" s="6">
        <v>319.80399999999997</v>
      </c>
      <c r="N325" s="6">
        <v>319.80399999999997</v>
      </c>
      <c r="O325" s="6">
        <v>319.80399999999997</v>
      </c>
      <c r="P325" s="6">
        <v>0</v>
      </c>
      <c r="Q325" s="4" t="s">
        <v>26</v>
      </c>
      <c r="R325" s="4">
        <v>0</v>
      </c>
      <c r="S325" s="6">
        <v>20</v>
      </c>
      <c r="T325" s="6">
        <v>21</v>
      </c>
      <c r="U325" s="6">
        <v>75</v>
      </c>
      <c r="V325" s="6">
        <f>IF(ISERROR(VLOOKUP($S$325,'TAR FIN'!$A$1:$O$115,15,0)),0,VLOOKUP($S$325,'TAR FIN'!$A$1:$O$115,15,0))</f>
        <v>19.8</v>
      </c>
      <c r="W325" s="6">
        <f>IF(ISERROR(VLOOKUP($T$325,'TAR FIN'!$A$1:$O$115,15,0)),0,VLOOKUP($T$325,'TAR FIN'!$A$1:$O$115,15,0))</f>
        <v>84.31</v>
      </c>
      <c r="X325" s="6">
        <f>IF(ISERROR(VLOOKUP($U$325,'TAR FIN'!$A$1:$O$115,15,0)),0,VLOOKUP($U$325,'TAR FIN'!$A$1:$O$115,15,0))</f>
        <v>168.06</v>
      </c>
      <c r="Y325" s="6">
        <f ca="1">('TUSD BE'!$AM$20+'TUSD BF'!$AM$20+'TUSD CVA'!$AM$20)*1</f>
        <v>20.615214330225772</v>
      </c>
      <c r="Z325" s="6">
        <f ca="1">('TUSD BE'!$AM$21+'TUSD BF'!$AM$21+'TUSD CVA'!$AM$21)*1</f>
        <v>113.43121292628391</v>
      </c>
      <c r="AA325" s="6">
        <f>('TE BE'!$AB$12+'TE BF'!$AB$12+'TE CVA'!$AB$12)*1</f>
        <v>218.6854278594964</v>
      </c>
      <c r="AB325" s="6">
        <f>$K$325*$V$325</f>
        <v>22572</v>
      </c>
      <c r="AC325" s="6">
        <f>$M$325*$W$325</f>
        <v>26962.675239999997</v>
      </c>
      <c r="AD325" s="6">
        <f>$O$325*$X$325</f>
        <v>53746.260239999996</v>
      </c>
      <c r="AE325" s="6">
        <f ca="1">$K$325*$Y$325</f>
        <v>23501.34433645738</v>
      </c>
      <c r="AF325" s="6">
        <f ca="1">$M$325*$Z$325</f>
        <v>36275.755618677293</v>
      </c>
      <c r="AG325" s="6">
        <f>$O$325*$AA$325</f>
        <v>69936.474571178376</v>
      </c>
    </row>
    <row r="326" spans="1:33" ht="11.25" customHeight="1" x14ac:dyDescent="0.25">
      <c r="A326" s="4" t="s">
        <v>21</v>
      </c>
      <c r="B326" s="4" t="s">
        <v>41</v>
      </c>
      <c r="C326" s="4" t="s">
        <v>42</v>
      </c>
      <c r="D326" s="4" t="s">
        <v>48</v>
      </c>
      <c r="E326" s="4" t="s">
        <v>25</v>
      </c>
      <c r="F326" s="4" t="s">
        <v>25</v>
      </c>
      <c r="G326" s="4" t="s">
        <v>25</v>
      </c>
      <c r="H326" s="4" t="s">
        <v>37</v>
      </c>
      <c r="I326" s="5">
        <v>44835</v>
      </c>
      <c r="J326" s="6">
        <v>1764</v>
      </c>
      <c r="K326" s="6">
        <v>1764</v>
      </c>
      <c r="L326" s="6">
        <v>600.80999999999995</v>
      </c>
      <c r="M326" s="6">
        <v>600.80999999999995</v>
      </c>
      <c r="N326" s="6">
        <v>600.80999999999995</v>
      </c>
      <c r="O326" s="6">
        <v>600.80999999999995</v>
      </c>
      <c r="P326" s="6">
        <v>0</v>
      </c>
      <c r="Q326" s="4" t="s">
        <v>26</v>
      </c>
      <c r="R326" s="4">
        <v>0</v>
      </c>
      <c r="S326" s="6">
        <v>20</v>
      </c>
      <c r="T326" s="6">
        <v>21</v>
      </c>
      <c r="U326" s="6">
        <v>75</v>
      </c>
      <c r="V326" s="6">
        <f>IF(ISERROR(VLOOKUP($S$326,'TAR FIN'!$A$1:$O$115,15,0)),0,VLOOKUP($S$326,'TAR FIN'!$A$1:$O$115,15,0))</f>
        <v>19.8</v>
      </c>
      <c r="W326" s="6">
        <f>IF(ISERROR(VLOOKUP($T$326,'TAR FIN'!$A$1:$O$115,15,0)),0,VLOOKUP($T$326,'TAR FIN'!$A$1:$O$115,15,0))</f>
        <v>84.31</v>
      </c>
      <c r="X326" s="6">
        <f>IF(ISERROR(VLOOKUP($U$326,'TAR FIN'!$A$1:$O$115,15,0)),0,VLOOKUP($U$326,'TAR FIN'!$A$1:$O$115,15,0))</f>
        <v>168.06</v>
      </c>
      <c r="Y326" s="6">
        <f ca="1">('TUSD BE'!$AM$20+'TUSD BF'!$AM$20+'TUSD CVA'!$AM$20)*1</f>
        <v>20.615214330225772</v>
      </c>
      <c r="Z326" s="6">
        <f ca="1">('TUSD BE'!$AM$21+'TUSD BF'!$AM$21+'TUSD CVA'!$AM$21)*1</f>
        <v>113.43121292628391</v>
      </c>
      <c r="AA326" s="6">
        <f>('TE BE'!$AB$12+'TE BF'!$AB$12+'TE CVA'!$AB$12)*1</f>
        <v>218.6854278594964</v>
      </c>
      <c r="AB326" s="6">
        <f>$K$326*$V$326</f>
        <v>34927.200000000004</v>
      </c>
      <c r="AC326" s="6">
        <f>$M$326*$W$326</f>
        <v>50654.291099999995</v>
      </c>
      <c r="AD326" s="6">
        <f>$O$326*$X$326</f>
        <v>100972.1286</v>
      </c>
      <c r="AE326" s="6">
        <f ca="1">$K$326*$Y$326</f>
        <v>36365.238078518261</v>
      </c>
      <c r="AF326" s="6">
        <f ca="1">$M$326*$Z$326</f>
        <v>68150.607038240632</v>
      </c>
      <c r="AG326" s="6">
        <f>$O$326*$AA$326</f>
        <v>131388.39191226402</v>
      </c>
    </row>
    <row r="327" spans="1:33" ht="11.25" customHeight="1" x14ac:dyDescent="0.25">
      <c r="A327" s="4" t="s">
        <v>30</v>
      </c>
      <c r="B327" s="4" t="s">
        <v>41</v>
      </c>
      <c r="C327" s="4" t="s">
        <v>42</v>
      </c>
      <c r="D327" s="4" t="s">
        <v>48</v>
      </c>
      <c r="E327" s="4" t="s">
        <v>25</v>
      </c>
      <c r="F327" s="4" t="s">
        <v>25</v>
      </c>
      <c r="G327" s="4" t="s">
        <v>25</v>
      </c>
      <c r="H327" s="4" t="s">
        <v>37</v>
      </c>
      <c r="I327" s="5">
        <v>44835</v>
      </c>
      <c r="J327" s="6">
        <v>1140</v>
      </c>
      <c r="K327" s="6">
        <v>1140</v>
      </c>
      <c r="L327" s="6">
        <v>338.12</v>
      </c>
      <c r="M327" s="6">
        <v>338.12</v>
      </c>
      <c r="N327" s="6">
        <v>338.12</v>
      </c>
      <c r="O327" s="6">
        <v>338.12</v>
      </c>
      <c r="P327" s="6">
        <v>0</v>
      </c>
      <c r="Q327" s="4" t="s">
        <v>26</v>
      </c>
      <c r="R327" s="4">
        <v>0</v>
      </c>
      <c r="S327" s="6">
        <v>20</v>
      </c>
      <c r="T327" s="6">
        <v>21</v>
      </c>
      <c r="U327" s="6">
        <v>75</v>
      </c>
      <c r="V327" s="6">
        <f>IF(ISERROR(VLOOKUP($S$327,'TAR FIN'!$A$1:$O$115,15,0)),0,VLOOKUP($S$327,'TAR FIN'!$A$1:$O$115,15,0))</f>
        <v>19.8</v>
      </c>
      <c r="W327" s="6">
        <f>IF(ISERROR(VLOOKUP($T$327,'TAR FIN'!$A$1:$O$115,15,0)),0,VLOOKUP($T$327,'TAR FIN'!$A$1:$O$115,15,0))</f>
        <v>84.31</v>
      </c>
      <c r="X327" s="6">
        <f>IF(ISERROR(VLOOKUP($U$327,'TAR FIN'!$A$1:$O$115,15,0)),0,VLOOKUP($U$327,'TAR FIN'!$A$1:$O$115,15,0))</f>
        <v>168.06</v>
      </c>
      <c r="Y327" s="6">
        <f ca="1">('TUSD BE'!$AM$20+'TUSD BF'!$AM$20+'TUSD CVA'!$AM$20)*1</f>
        <v>20.615214330225772</v>
      </c>
      <c r="Z327" s="6">
        <f ca="1">('TUSD BE'!$AM$21+'TUSD BF'!$AM$21+'TUSD CVA'!$AM$21)*1</f>
        <v>113.43121292628391</v>
      </c>
      <c r="AA327" s="6">
        <f>('TE BE'!$AB$12+'TE BF'!$AB$12+'TE CVA'!$AB$12)*1</f>
        <v>218.6854278594964</v>
      </c>
      <c r="AB327" s="6">
        <f>$K$327*$V$327</f>
        <v>22572</v>
      </c>
      <c r="AC327" s="6">
        <f>$M$327*$W$327</f>
        <v>28506.897199999999</v>
      </c>
      <c r="AD327" s="6">
        <f>$O$327*$X$327</f>
        <v>56824.447200000002</v>
      </c>
      <c r="AE327" s="6">
        <f ca="1">$K$327*$Y$327</f>
        <v>23501.34433645738</v>
      </c>
      <c r="AF327" s="6">
        <f ca="1">$M$327*$Z$327</f>
        <v>38353.361714635117</v>
      </c>
      <c r="AG327" s="6">
        <f>$O$327*$AA$327</f>
        <v>73941.916867852924</v>
      </c>
    </row>
    <row r="328" spans="1:33" ht="11.25" customHeight="1" x14ac:dyDescent="0.25">
      <c r="A328" s="4" t="s">
        <v>59</v>
      </c>
      <c r="B328" s="4" t="s">
        <v>41</v>
      </c>
      <c r="C328" s="4" t="s">
        <v>42</v>
      </c>
      <c r="D328" s="4" t="s">
        <v>48</v>
      </c>
      <c r="E328" s="4" t="s">
        <v>25</v>
      </c>
      <c r="F328" s="4" t="s">
        <v>25</v>
      </c>
      <c r="G328" s="4" t="s">
        <v>25</v>
      </c>
      <c r="H328" s="4" t="s">
        <v>37</v>
      </c>
      <c r="I328" s="5">
        <v>44866</v>
      </c>
      <c r="J328" s="6">
        <v>1764</v>
      </c>
      <c r="K328" s="6">
        <v>1764</v>
      </c>
      <c r="L328" s="6">
        <v>600.80999999999995</v>
      </c>
      <c r="M328" s="6">
        <v>600.80999999999995</v>
      </c>
      <c r="N328" s="6">
        <v>600.80999999999995</v>
      </c>
      <c r="O328" s="6">
        <v>600.80999999999995</v>
      </c>
      <c r="P328" s="6">
        <v>0</v>
      </c>
      <c r="Q328" s="4" t="s">
        <v>26</v>
      </c>
      <c r="R328" s="4">
        <v>0</v>
      </c>
      <c r="S328" s="6">
        <v>20</v>
      </c>
      <c r="T328" s="6">
        <v>21</v>
      </c>
      <c r="U328" s="6">
        <v>75</v>
      </c>
      <c r="V328" s="6">
        <f>IF(ISERROR(VLOOKUP($S$328,'TAR FIN'!$A$1:$O$115,15,0)),0,VLOOKUP($S$328,'TAR FIN'!$A$1:$O$115,15,0))</f>
        <v>19.8</v>
      </c>
      <c r="W328" s="6">
        <f>IF(ISERROR(VLOOKUP($T$328,'TAR FIN'!$A$1:$O$115,15,0)),0,VLOOKUP($T$328,'TAR FIN'!$A$1:$O$115,15,0))</f>
        <v>84.31</v>
      </c>
      <c r="X328" s="6">
        <f>IF(ISERROR(VLOOKUP($U$328,'TAR FIN'!$A$1:$O$115,15,0)),0,VLOOKUP($U$328,'TAR FIN'!$A$1:$O$115,15,0))</f>
        <v>168.06</v>
      </c>
      <c r="Y328" s="6">
        <f ca="1">('TUSD BE'!$AM$20+'TUSD BF'!$AM$20+'TUSD CVA'!$AM$20)*1</f>
        <v>20.615214330225772</v>
      </c>
      <c r="Z328" s="6">
        <f ca="1">('TUSD BE'!$AM$21+'TUSD BF'!$AM$21+'TUSD CVA'!$AM$21)*1</f>
        <v>113.43121292628391</v>
      </c>
      <c r="AA328" s="6">
        <f>('TE BE'!$AB$12+'TE BF'!$AB$12+'TE CVA'!$AB$12)*1</f>
        <v>218.6854278594964</v>
      </c>
      <c r="AB328" s="6">
        <f>$K$328*$V$328</f>
        <v>34927.200000000004</v>
      </c>
      <c r="AC328" s="6">
        <f>$M$328*$W$328</f>
        <v>50654.291099999995</v>
      </c>
      <c r="AD328" s="6">
        <f>$O$328*$X$328</f>
        <v>100972.1286</v>
      </c>
      <c r="AE328" s="6">
        <f ca="1">$K$328*$Y$328</f>
        <v>36365.238078518261</v>
      </c>
      <c r="AF328" s="6">
        <f ca="1">$M$328*$Z$328</f>
        <v>68150.607038240632</v>
      </c>
      <c r="AG328" s="6">
        <f>$O$328*$AA$328</f>
        <v>131388.39191226402</v>
      </c>
    </row>
    <row r="329" spans="1:33" ht="11.25" customHeight="1" x14ac:dyDescent="0.25">
      <c r="A329" s="4" t="s">
        <v>59</v>
      </c>
      <c r="B329" s="4" t="s">
        <v>41</v>
      </c>
      <c r="C329" s="4" t="s">
        <v>42</v>
      </c>
      <c r="D329" s="4" t="s">
        <v>48</v>
      </c>
      <c r="E329" s="4" t="s">
        <v>25</v>
      </c>
      <c r="F329" s="4" t="s">
        <v>25</v>
      </c>
      <c r="G329" s="4" t="s">
        <v>25</v>
      </c>
      <c r="H329" s="4" t="s">
        <v>37</v>
      </c>
      <c r="I329" s="5">
        <v>44866</v>
      </c>
      <c r="J329" s="6">
        <v>1140</v>
      </c>
      <c r="K329" s="6">
        <v>1140</v>
      </c>
      <c r="L329" s="6">
        <v>338.12</v>
      </c>
      <c r="M329" s="6">
        <v>338.12</v>
      </c>
      <c r="N329" s="6">
        <v>338.12</v>
      </c>
      <c r="O329" s="6">
        <v>338.12</v>
      </c>
      <c r="P329" s="6">
        <v>0</v>
      </c>
      <c r="Q329" s="4" t="s">
        <v>26</v>
      </c>
      <c r="R329" s="4">
        <v>0</v>
      </c>
      <c r="S329" s="6">
        <v>20</v>
      </c>
      <c r="T329" s="6">
        <v>21</v>
      </c>
      <c r="U329" s="6">
        <v>75</v>
      </c>
      <c r="V329" s="6">
        <f>IF(ISERROR(VLOOKUP($S$329,'TAR FIN'!$A$1:$O$115,15,0)),0,VLOOKUP($S$329,'TAR FIN'!$A$1:$O$115,15,0))</f>
        <v>19.8</v>
      </c>
      <c r="W329" s="6">
        <f>IF(ISERROR(VLOOKUP($T$329,'TAR FIN'!$A$1:$O$115,15,0)),0,VLOOKUP($T$329,'TAR FIN'!$A$1:$O$115,15,0))</f>
        <v>84.31</v>
      </c>
      <c r="X329" s="6">
        <f>IF(ISERROR(VLOOKUP($U$329,'TAR FIN'!$A$1:$O$115,15,0)),0,VLOOKUP($U$329,'TAR FIN'!$A$1:$O$115,15,0))</f>
        <v>168.06</v>
      </c>
      <c r="Y329" s="6">
        <f ca="1">('TUSD BE'!$AM$20+'TUSD BF'!$AM$20+'TUSD CVA'!$AM$20)*1</f>
        <v>20.615214330225772</v>
      </c>
      <c r="Z329" s="6">
        <f ca="1">('TUSD BE'!$AM$21+'TUSD BF'!$AM$21+'TUSD CVA'!$AM$21)*1</f>
        <v>113.43121292628391</v>
      </c>
      <c r="AA329" s="6">
        <f>('TE BE'!$AB$12+'TE BF'!$AB$12+'TE CVA'!$AB$12)*1</f>
        <v>218.6854278594964</v>
      </c>
      <c r="AB329" s="6">
        <f>$K$329*$V$329</f>
        <v>22572</v>
      </c>
      <c r="AC329" s="6">
        <f>$M$329*$W$329</f>
        <v>28506.897199999999</v>
      </c>
      <c r="AD329" s="6">
        <f>$O$329*$X$329</f>
        <v>56824.447200000002</v>
      </c>
      <c r="AE329" s="6">
        <f ca="1">$K$329*$Y$329</f>
        <v>23501.34433645738</v>
      </c>
      <c r="AF329" s="6">
        <f ca="1">$M$329*$Z$329</f>
        <v>38353.361714635117</v>
      </c>
      <c r="AG329" s="6">
        <f>$O$329*$AA$329</f>
        <v>73941.916867852924</v>
      </c>
    </row>
    <row r="330" spans="1:33" ht="11.25" customHeight="1" x14ac:dyDescent="0.25">
      <c r="A330" s="4" t="s">
        <v>21</v>
      </c>
      <c r="B330" s="4" t="s">
        <v>41</v>
      </c>
      <c r="C330" s="4" t="s">
        <v>42</v>
      </c>
      <c r="D330" s="4" t="s">
        <v>48</v>
      </c>
      <c r="E330" s="4" t="s">
        <v>25</v>
      </c>
      <c r="F330" s="4" t="s">
        <v>25</v>
      </c>
      <c r="G330" s="4" t="s">
        <v>25</v>
      </c>
      <c r="H330" s="4" t="s">
        <v>36</v>
      </c>
      <c r="I330" s="5">
        <v>44531</v>
      </c>
      <c r="J330" s="6">
        <v>2047</v>
      </c>
      <c r="K330" s="6">
        <v>2047</v>
      </c>
      <c r="L330" s="6">
        <v>67.457999999999998</v>
      </c>
      <c r="M330" s="6">
        <v>67.457999999999998</v>
      </c>
      <c r="N330" s="6">
        <v>67.457999999999998</v>
      </c>
      <c r="O330" s="6">
        <v>67.457999999999998</v>
      </c>
      <c r="P330" s="6">
        <v>0</v>
      </c>
      <c r="Q330" s="4" t="s">
        <v>26</v>
      </c>
      <c r="R330" s="4">
        <v>0</v>
      </c>
      <c r="S330" s="6">
        <v>19</v>
      </c>
      <c r="T330" s="6">
        <v>21</v>
      </c>
      <c r="U330" s="6">
        <v>74</v>
      </c>
      <c r="V330" s="6">
        <f>IF(ISERROR(VLOOKUP($S$330,'TAR FIN'!$A$1:$O$115,15,0)),0,VLOOKUP($S$330,'TAR FIN'!$A$1:$O$115,15,0))</f>
        <v>56.22</v>
      </c>
      <c r="W330" s="6">
        <f>IF(ISERROR(VLOOKUP($T$330,'TAR FIN'!$A$1:$O$115,15,0)),0,VLOOKUP($T$330,'TAR FIN'!$A$1:$O$115,15,0))</f>
        <v>84.31</v>
      </c>
      <c r="X330" s="6">
        <f>IF(ISERROR(VLOOKUP($U$330,'TAR FIN'!$A$1:$O$115,15,0)),0,VLOOKUP($U$330,'TAR FIN'!$A$1:$O$115,15,0))</f>
        <v>270.3</v>
      </c>
      <c r="Y330" s="6">
        <f ca="1">('TUSD BE'!$AM$19+'TUSD BF'!$AM$19+'TUSD CVA'!$AM$19)*1</f>
        <v>56.308577648144677</v>
      </c>
      <c r="Z330" s="6">
        <f ca="1">('TUSD BE'!$AM$21+'TUSD BF'!$AM$21+'TUSD CVA'!$AM$21)*1</f>
        <v>113.43121292628391</v>
      </c>
      <c r="AA330" s="6">
        <f>('TE BE'!$AB$11+'TE BF'!$AB$11+'TE CVA'!$AB$11)*1</f>
        <v>362.64398683254075</v>
      </c>
      <c r="AB330" s="6">
        <f>$K$330*$V$330</f>
        <v>115082.34</v>
      </c>
      <c r="AC330" s="6">
        <f>$M$330*$W$330</f>
        <v>5687.3839799999996</v>
      </c>
      <c r="AD330" s="6">
        <f>$O$330*$X$330</f>
        <v>18233.897400000002</v>
      </c>
      <c r="AE330" s="6">
        <f ca="1">$K$330*$Y$330</f>
        <v>115263.65844575215</v>
      </c>
      <c r="AF330" s="6">
        <f ca="1">$M$330*$Z$330</f>
        <v>7651.8427615812598</v>
      </c>
      <c r="AG330" s="6">
        <f>$O$330*$AA$330</f>
        <v>24463.238063749533</v>
      </c>
    </row>
    <row r="331" spans="1:33" ht="11.25" customHeight="1" x14ac:dyDescent="0.25">
      <c r="A331" s="4" t="s">
        <v>30</v>
      </c>
      <c r="B331" s="4" t="s">
        <v>41</v>
      </c>
      <c r="C331" s="4" t="s">
        <v>42</v>
      </c>
      <c r="D331" s="4" t="s">
        <v>48</v>
      </c>
      <c r="E331" s="4" t="s">
        <v>25</v>
      </c>
      <c r="F331" s="4" t="s">
        <v>25</v>
      </c>
      <c r="G331" s="4" t="s">
        <v>25</v>
      </c>
      <c r="H331" s="4" t="s">
        <v>36</v>
      </c>
      <c r="I331" s="5">
        <v>44531</v>
      </c>
      <c r="J331" s="6">
        <v>740</v>
      </c>
      <c r="K331" s="6">
        <v>740</v>
      </c>
      <c r="L331" s="6">
        <v>27.3</v>
      </c>
      <c r="M331" s="6">
        <v>27.3</v>
      </c>
      <c r="N331" s="6">
        <v>27.3</v>
      </c>
      <c r="O331" s="6">
        <v>27.3</v>
      </c>
      <c r="P331" s="6">
        <v>0</v>
      </c>
      <c r="Q331" s="4" t="s">
        <v>26</v>
      </c>
      <c r="R331" s="4">
        <v>0</v>
      </c>
      <c r="S331" s="6">
        <v>19</v>
      </c>
      <c r="T331" s="6">
        <v>21</v>
      </c>
      <c r="U331" s="6">
        <v>74</v>
      </c>
      <c r="V331" s="6">
        <f>IF(ISERROR(VLOOKUP($S$331,'TAR FIN'!$A$1:$O$115,15,0)),0,VLOOKUP($S$331,'TAR FIN'!$A$1:$O$115,15,0))</f>
        <v>56.22</v>
      </c>
      <c r="W331" s="6">
        <f>IF(ISERROR(VLOOKUP($T$331,'TAR FIN'!$A$1:$O$115,15,0)),0,VLOOKUP($T$331,'TAR FIN'!$A$1:$O$115,15,0))</f>
        <v>84.31</v>
      </c>
      <c r="X331" s="6">
        <f>IF(ISERROR(VLOOKUP($U$331,'TAR FIN'!$A$1:$O$115,15,0)),0,VLOOKUP($U$331,'TAR FIN'!$A$1:$O$115,15,0))</f>
        <v>270.3</v>
      </c>
      <c r="Y331" s="6">
        <f ca="1">('TUSD BE'!$AM$19+'TUSD BF'!$AM$19+'TUSD CVA'!$AM$19)*1</f>
        <v>56.308577648144677</v>
      </c>
      <c r="Z331" s="6">
        <f ca="1">('TUSD BE'!$AM$21+'TUSD BF'!$AM$21+'TUSD CVA'!$AM$21)*1</f>
        <v>113.43121292628391</v>
      </c>
      <c r="AA331" s="6">
        <f>('TE BE'!$AB$11+'TE BF'!$AB$11+'TE CVA'!$AB$11)*1</f>
        <v>362.64398683254075</v>
      </c>
      <c r="AB331" s="6">
        <f>$K$331*$V$331</f>
        <v>41602.799999999996</v>
      </c>
      <c r="AC331" s="6">
        <f>$M$331*$W$331</f>
        <v>2301.663</v>
      </c>
      <c r="AD331" s="6">
        <f>$O$331*$X$331</f>
        <v>7379.1900000000005</v>
      </c>
      <c r="AE331" s="6">
        <f ca="1">$K$331*$Y$331</f>
        <v>41668.347459627061</v>
      </c>
      <c r="AF331" s="6">
        <f ca="1">$M$331*$Z$331</f>
        <v>3096.6721128875506</v>
      </c>
      <c r="AG331" s="6">
        <f>$O$331*$AA$331</f>
        <v>9900.1808405283628</v>
      </c>
    </row>
    <row r="332" spans="1:33" ht="11.25" customHeight="1" x14ac:dyDescent="0.25">
      <c r="A332" s="4" t="s">
        <v>21</v>
      </c>
      <c r="B332" s="4" t="s">
        <v>41</v>
      </c>
      <c r="C332" s="4" t="s">
        <v>42</v>
      </c>
      <c r="D332" s="4" t="s">
        <v>48</v>
      </c>
      <c r="E332" s="4" t="s">
        <v>25</v>
      </c>
      <c r="F332" s="4" t="s">
        <v>25</v>
      </c>
      <c r="G332" s="4" t="s">
        <v>25</v>
      </c>
      <c r="H332" s="4" t="s">
        <v>36</v>
      </c>
      <c r="I332" s="5">
        <v>44562</v>
      </c>
      <c r="J332" s="6">
        <v>2013</v>
      </c>
      <c r="K332" s="6">
        <v>2013</v>
      </c>
      <c r="L332" s="6">
        <v>65.040999999999997</v>
      </c>
      <c r="M332" s="6">
        <v>65.040999999999997</v>
      </c>
      <c r="N332" s="6">
        <v>65.040999999999997</v>
      </c>
      <c r="O332" s="6">
        <v>65.040999999999997</v>
      </c>
      <c r="P332" s="6">
        <v>0</v>
      </c>
      <c r="Q332" s="4" t="s">
        <v>26</v>
      </c>
      <c r="R332" s="4">
        <v>0</v>
      </c>
      <c r="S332" s="6">
        <v>19</v>
      </c>
      <c r="T332" s="6">
        <v>21</v>
      </c>
      <c r="U332" s="6">
        <v>74</v>
      </c>
      <c r="V332" s="6">
        <f>IF(ISERROR(VLOOKUP($S$332,'TAR FIN'!$A$1:$O$115,15,0)),0,VLOOKUP($S$332,'TAR FIN'!$A$1:$O$115,15,0))</f>
        <v>56.22</v>
      </c>
      <c r="W332" s="6">
        <f>IF(ISERROR(VLOOKUP($T$332,'TAR FIN'!$A$1:$O$115,15,0)),0,VLOOKUP($T$332,'TAR FIN'!$A$1:$O$115,15,0))</f>
        <v>84.31</v>
      </c>
      <c r="X332" s="6">
        <f>IF(ISERROR(VLOOKUP($U$332,'TAR FIN'!$A$1:$O$115,15,0)),0,VLOOKUP($U$332,'TAR FIN'!$A$1:$O$115,15,0))</f>
        <v>270.3</v>
      </c>
      <c r="Y332" s="6">
        <f ca="1">('TUSD BE'!$AM$19+'TUSD BF'!$AM$19+'TUSD CVA'!$AM$19)*1</f>
        <v>56.308577648144677</v>
      </c>
      <c r="Z332" s="6">
        <f ca="1">('TUSD BE'!$AM$21+'TUSD BF'!$AM$21+'TUSD CVA'!$AM$21)*1</f>
        <v>113.43121292628391</v>
      </c>
      <c r="AA332" s="6">
        <f>('TE BE'!$AB$11+'TE BF'!$AB$11+'TE CVA'!$AB$11)*1</f>
        <v>362.64398683254075</v>
      </c>
      <c r="AB332" s="6">
        <f>$K$332*$V$332</f>
        <v>113170.86</v>
      </c>
      <c r="AC332" s="6">
        <f>$M$332*$W$332</f>
        <v>5483.60671</v>
      </c>
      <c r="AD332" s="6">
        <f>$O$332*$X$332</f>
        <v>17580.582299999998</v>
      </c>
      <c r="AE332" s="6">
        <f ca="1">$K$332*$Y$332</f>
        <v>113349.16680571524</v>
      </c>
      <c r="AF332" s="6">
        <f ca="1">$M$332*$Z$332</f>
        <v>7377.6795199384314</v>
      </c>
      <c r="AG332" s="6">
        <f>$O$332*$AA$332</f>
        <v>23586.727547575283</v>
      </c>
    </row>
    <row r="333" spans="1:33" ht="11.25" customHeight="1" x14ac:dyDescent="0.25">
      <c r="A333" s="4" t="s">
        <v>30</v>
      </c>
      <c r="B333" s="4" t="s">
        <v>41</v>
      </c>
      <c r="C333" s="4" t="s">
        <v>42</v>
      </c>
      <c r="D333" s="4" t="s">
        <v>48</v>
      </c>
      <c r="E333" s="4" t="s">
        <v>25</v>
      </c>
      <c r="F333" s="4" t="s">
        <v>25</v>
      </c>
      <c r="G333" s="4" t="s">
        <v>25</v>
      </c>
      <c r="H333" s="4" t="s">
        <v>36</v>
      </c>
      <c r="I333" s="5">
        <v>44562</v>
      </c>
      <c r="J333" s="6">
        <v>740</v>
      </c>
      <c r="K333" s="6">
        <v>740</v>
      </c>
      <c r="L333" s="6">
        <v>26.396999999999998</v>
      </c>
      <c r="M333" s="6">
        <v>26.396999999999998</v>
      </c>
      <c r="N333" s="6">
        <v>26.396999999999998</v>
      </c>
      <c r="O333" s="6">
        <v>26.396999999999998</v>
      </c>
      <c r="P333" s="6">
        <v>0</v>
      </c>
      <c r="Q333" s="4" t="s">
        <v>26</v>
      </c>
      <c r="R333" s="4">
        <v>0</v>
      </c>
      <c r="S333" s="6">
        <v>19</v>
      </c>
      <c r="T333" s="6">
        <v>21</v>
      </c>
      <c r="U333" s="6">
        <v>74</v>
      </c>
      <c r="V333" s="6">
        <f>IF(ISERROR(VLOOKUP($S$333,'TAR FIN'!$A$1:$O$115,15,0)),0,VLOOKUP($S$333,'TAR FIN'!$A$1:$O$115,15,0))</f>
        <v>56.22</v>
      </c>
      <c r="W333" s="6">
        <f>IF(ISERROR(VLOOKUP($T$333,'TAR FIN'!$A$1:$O$115,15,0)),0,VLOOKUP($T$333,'TAR FIN'!$A$1:$O$115,15,0))</f>
        <v>84.31</v>
      </c>
      <c r="X333" s="6">
        <f>IF(ISERROR(VLOOKUP($U$333,'TAR FIN'!$A$1:$O$115,15,0)),0,VLOOKUP($U$333,'TAR FIN'!$A$1:$O$115,15,0))</f>
        <v>270.3</v>
      </c>
      <c r="Y333" s="6">
        <f ca="1">('TUSD BE'!$AM$19+'TUSD BF'!$AM$19+'TUSD CVA'!$AM$19)*1</f>
        <v>56.308577648144677</v>
      </c>
      <c r="Z333" s="6">
        <f ca="1">('TUSD BE'!$AM$21+'TUSD BF'!$AM$21+'TUSD CVA'!$AM$21)*1</f>
        <v>113.43121292628391</v>
      </c>
      <c r="AA333" s="6">
        <f>('TE BE'!$AB$11+'TE BF'!$AB$11+'TE CVA'!$AB$11)*1</f>
        <v>362.64398683254075</v>
      </c>
      <c r="AB333" s="6">
        <f>$K$333*$V$333</f>
        <v>41602.799999999996</v>
      </c>
      <c r="AC333" s="6">
        <f>$M$333*$W$333</f>
        <v>2225.53107</v>
      </c>
      <c r="AD333" s="6">
        <f>$O$333*$X$333</f>
        <v>7135.1090999999997</v>
      </c>
      <c r="AE333" s="6">
        <f ca="1">$K$333*$Y$333</f>
        <v>41668.347459627061</v>
      </c>
      <c r="AF333" s="6">
        <f ca="1">$M$333*$Z$333</f>
        <v>2994.2437276151159</v>
      </c>
      <c r="AG333" s="6">
        <f>$O$333*$AA$333</f>
        <v>9572.7133204185775</v>
      </c>
    </row>
    <row r="334" spans="1:33" ht="11.25" customHeight="1" x14ac:dyDescent="0.25">
      <c r="A334" s="4" t="s">
        <v>21</v>
      </c>
      <c r="B334" s="4" t="s">
        <v>41</v>
      </c>
      <c r="C334" s="4" t="s">
        <v>42</v>
      </c>
      <c r="D334" s="4" t="s">
        <v>48</v>
      </c>
      <c r="E334" s="4" t="s">
        <v>25</v>
      </c>
      <c r="F334" s="4" t="s">
        <v>25</v>
      </c>
      <c r="G334" s="4" t="s">
        <v>25</v>
      </c>
      <c r="H334" s="4" t="s">
        <v>36</v>
      </c>
      <c r="I334" s="5">
        <v>44593</v>
      </c>
      <c r="J334" s="6">
        <v>1414</v>
      </c>
      <c r="K334" s="6">
        <v>1414</v>
      </c>
      <c r="L334" s="6">
        <v>51.313000000000002</v>
      </c>
      <c r="M334" s="6">
        <v>51.313000000000002</v>
      </c>
      <c r="N334" s="6">
        <v>51.313000000000002</v>
      </c>
      <c r="O334" s="6">
        <v>51.313000000000002</v>
      </c>
      <c r="P334" s="6">
        <v>0</v>
      </c>
      <c r="Q334" s="4" t="s">
        <v>26</v>
      </c>
      <c r="R334" s="4">
        <v>0</v>
      </c>
      <c r="S334" s="6">
        <v>19</v>
      </c>
      <c r="T334" s="6">
        <v>21</v>
      </c>
      <c r="U334" s="6">
        <v>74</v>
      </c>
      <c r="V334" s="6">
        <f>IF(ISERROR(VLOOKUP($S$334,'TAR FIN'!$A$1:$O$115,15,0)),0,VLOOKUP($S$334,'TAR FIN'!$A$1:$O$115,15,0))</f>
        <v>56.22</v>
      </c>
      <c r="W334" s="6">
        <f>IF(ISERROR(VLOOKUP($T$334,'TAR FIN'!$A$1:$O$115,15,0)),0,VLOOKUP($T$334,'TAR FIN'!$A$1:$O$115,15,0))</f>
        <v>84.31</v>
      </c>
      <c r="X334" s="6">
        <f>IF(ISERROR(VLOOKUP($U$334,'TAR FIN'!$A$1:$O$115,15,0)),0,VLOOKUP($U$334,'TAR FIN'!$A$1:$O$115,15,0))</f>
        <v>270.3</v>
      </c>
      <c r="Y334" s="6">
        <f ca="1">('TUSD BE'!$AM$19+'TUSD BF'!$AM$19+'TUSD CVA'!$AM$19)*1</f>
        <v>56.308577648144677</v>
      </c>
      <c r="Z334" s="6">
        <f ca="1">('TUSD BE'!$AM$21+'TUSD BF'!$AM$21+'TUSD CVA'!$AM$21)*1</f>
        <v>113.43121292628391</v>
      </c>
      <c r="AA334" s="6">
        <f>('TE BE'!$AB$11+'TE BF'!$AB$11+'TE CVA'!$AB$11)*1</f>
        <v>362.64398683254075</v>
      </c>
      <c r="AB334" s="6">
        <f>$K$334*$V$334</f>
        <v>79495.08</v>
      </c>
      <c r="AC334" s="6">
        <f>$M$334*$W$334</f>
        <v>4326.1990300000007</v>
      </c>
      <c r="AD334" s="6">
        <f>$O$334*$X$334</f>
        <v>13869.903900000001</v>
      </c>
      <c r="AE334" s="6">
        <f ca="1">$K$334*$Y$334</f>
        <v>79620.328794476576</v>
      </c>
      <c r="AF334" s="6">
        <f ca="1">$M$334*$Z$334</f>
        <v>5820.4958288864063</v>
      </c>
      <c r="AG334" s="6">
        <f>$O$334*$AA$334</f>
        <v>18608.350896338165</v>
      </c>
    </row>
    <row r="335" spans="1:33" ht="11.25" customHeight="1" x14ac:dyDescent="0.25">
      <c r="A335" s="4" t="s">
        <v>30</v>
      </c>
      <c r="B335" s="4" t="s">
        <v>41</v>
      </c>
      <c r="C335" s="4" t="s">
        <v>42</v>
      </c>
      <c r="D335" s="4" t="s">
        <v>48</v>
      </c>
      <c r="E335" s="4" t="s">
        <v>25</v>
      </c>
      <c r="F335" s="4" t="s">
        <v>25</v>
      </c>
      <c r="G335" s="4" t="s">
        <v>25</v>
      </c>
      <c r="H335" s="4" t="s">
        <v>36</v>
      </c>
      <c r="I335" s="5">
        <v>44593</v>
      </c>
      <c r="J335" s="6">
        <v>740</v>
      </c>
      <c r="K335" s="6">
        <v>740</v>
      </c>
      <c r="L335" s="6">
        <v>23.911999999999999</v>
      </c>
      <c r="M335" s="6">
        <v>23.911999999999999</v>
      </c>
      <c r="N335" s="6">
        <v>23.911999999999999</v>
      </c>
      <c r="O335" s="6">
        <v>23.911999999999999</v>
      </c>
      <c r="P335" s="6">
        <v>0</v>
      </c>
      <c r="Q335" s="4" t="s">
        <v>26</v>
      </c>
      <c r="R335" s="4">
        <v>0</v>
      </c>
      <c r="S335" s="6">
        <v>19</v>
      </c>
      <c r="T335" s="6">
        <v>21</v>
      </c>
      <c r="U335" s="6">
        <v>74</v>
      </c>
      <c r="V335" s="6">
        <f>IF(ISERROR(VLOOKUP($S$335,'TAR FIN'!$A$1:$O$115,15,0)),0,VLOOKUP($S$335,'TAR FIN'!$A$1:$O$115,15,0))</f>
        <v>56.22</v>
      </c>
      <c r="W335" s="6">
        <f>IF(ISERROR(VLOOKUP($T$335,'TAR FIN'!$A$1:$O$115,15,0)),0,VLOOKUP($T$335,'TAR FIN'!$A$1:$O$115,15,0))</f>
        <v>84.31</v>
      </c>
      <c r="X335" s="6">
        <f>IF(ISERROR(VLOOKUP($U$335,'TAR FIN'!$A$1:$O$115,15,0)),0,VLOOKUP($U$335,'TAR FIN'!$A$1:$O$115,15,0))</f>
        <v>270.3</v>
      </c>
      <c r="Y335" s="6">
        <f ca="1">('TUSD BE'!$AM$19+'TUSD BF'!$AM$19+'TUSD CVA'!$AM$19)*1</f>
        <v>56.308577648144677</v>
      </c>
      <c r="Z335" s="6">
        <f ca="1">('TUSD BE'!$AM$21+'TUSD BF'!$AM$21+'TUSD CVA'!$AM$21)*1</f>
        <v>113.43121292628391</v>
      </c>
      <c r="AA335" s="6">
        <f>('TE BE'!$AB$11+'TE BF'!$AB$11+'TE CVA'!$AB$11)*1</f>
        <v>362.64398683254075</v>
      </c>
      <c r="AB335" s="6">
        <f>$K$335*$V$335</f>
        <v>41602.799999999996</v>
      </c>
      <c r="AC335" s="6">
        <f>$M$335*$W$335</f>
        <v>2016.02072</v>
      </c>
      <c r="AD335" s="6">
        <f>$O$335*$X$335</f>
        <v>6463.4135999999999</v>
      </c>
      <c r="AE335" s="6">
        <f ca="1">$K$335*$Y$335</f>
        <v>41668.347459627061</v>
      </c>
      <c r="AF335" s="6">
        <f ca="1">$M$335*$Z$335</f>
        <v>2712.3671634933007</v>
      </c>
      <c r="AG335" s="6">
        <f>$O$335*$AA$335</f>
        <v>8671.5430131397134</v>
      </c>
    </row>
    <row r="336" spans="1:33" ht="11.25" customHeight="1" x14ac:dyDescent="0.25">
      <c r="A336" s="4" t="s">
        <v>21</v>
      </c>
      <c r="B336" s="4" t="s">
        <v>41</v>
      </c>
      <c r="C336" s="4" t="s">
        <v>42</v>
      </c>
      <c r="D336" s="4" t="s">
        <v>48</v>
      </c>
      <c r="E336" s="4" t="s">
        <v>25</v>
      </c>
      <c r="F336" s="4" t="s">
        <v>25</v>
      </c>
      <c r="G336" s="4" t="s">
        <v>25</v>
      </c>
      <c r="H336" s="4" t="s">
        <v>36</v>
      </c>
      <c r="I336" s="5">
        <v>44621</v>
      </c>
      <c r="J336" s="6">
        <v>1408</v>
      </c>
      <c r="K336" s="6">
        <v>1408</v>
      </c>
      <c r="L336" s="6">
        <v>53.42</v>
      </c>
      <c r="M336" s="6">
        <v>53.42</v>
      </c>
      <c r="N336" s="6">
        <v>53.42</v>
      </c>
      <c r="O336" s="6">
        <v>53.42</v>
      </c>
      <c r="P336" s="6">
        <v>0</v>
      </c>
      <c r="Q336" s="4" t="s">
        <v>26</v>
      </c>
      <c r="R336" s="4">
        <v>0</v>
      </c>
      <c r="S336" s="6">
        <v>19</v>
      </c>
      <c r="T336" s="6">
        <v>21</v>
      </c>
      <c r="U336" s="6">
        <v>74</v>
      </c>
      <c r="V336" s="6">
        <f>IF(ISERROR(VLOOKUP($S$336,'TAR FIN'!$A$1:$O$115,15,0)),0,VLOOKUP($S$336,'TAR FIN'!$A$1:$O$115,15,0))</f>
        <v>56.22</v>
      </c>
      <c r="W336" s="6">
        <f>IF(ISERROR(VLOOKUP($T$336,'TAR FIN'!$A$1:$O$115,15,0)),0,VLOOKUP($T$336,'TAR FIN'!$A$1:$O$115,15,0))</f>
        <v>84.31</v>
      </c>
      <c r="X336" s="6">
        <f>IF(ISERROR(VLOOKUP($U$336,'TAR FIN'!$A$1:$O$115,15,0)),0,VLOOKUP($U$336,'TAR FIN'!$A$1:$O$115,15,0))</f>
        <v>270.3</v>
      </c>
      <c r="Y336" s="6">
        <f ca="1">('TUSD BE'!$AM$19+'TUSD BF'!$AM$19+'TUSD CVA'!$AM$19)*1</f>
        <v>56.308577648144677</v>
      </c>
      <c r="Z336" s="6">
        <f ca="1">('TUSD BE'!$AM$21+'TUSD BF'!$AM$21+'TUSD CVA'!$AM$21)*1</f>
        <v>113.43121292628391</v>
      </c>
      <c r="AA336" s="6">
        <f>('TE BE'!$AB$11+'TE BF'!$AB$11+'TE CVA'!$AB$11)*1</f>
        <v>362.64398683254075</v>
      </c>
      <c r="AB336" s="6">
        <f>$K$336*$V$336</f>
        <v>79157.759999999995</v>
      </c>
      <c r="AC336" s="6">
        <f>$M$336*$W$336</f>
        <v>4503.8402000000006</v>
      </c>
      <c r="AD336" s="6">
        <f>$O$336*$X$336</f>
        <v>14439.426000000001</v>
      </c>
      <c r="AE336" s="6">
        <f ca="1">$K$336*$Y$336</f>
        <v>79282.477328587702</v>
      </c>
      <c r="AF336" s="6">
        <f ca="1">$M$336*$Z$336</f>
        <v>6059.4953945220868</v>
      </c>
      <c r="AG336" s="6">
        <f>$O$336*$AA$336</f>
        <v>19372.441776594329</v>
      </c>
    </row>
    <row r="337" spans="1:33" ht="11.25" customHeight="1" x14ac:dyDescent="0.25">
      <c r="A337" s="4" t="s">
        <v>30</v>
      </c>
      <c r="B337" s="4" t="s">
        <v>41</v>
      </c>
      <c r="C337" s="4" t="s">
        <v>42</v>
      </c>
      <c r="D337" s="4" t="s">
        <v>48</v>
      </c>
      <c r="E337" s="4" t="s">
        <v>25</v>
      </c>
      <c r="F337" s="4" t="s">
        <v>25</v>
      </c>
      <c r="G337" s="4" t="s">
        <v>25</v>
      </c>
      <c r="H337" s="4" t="s">
        <v>36</v>
      </c>
      <c r="I337" s="5">
        <v>44621</v>
      </c>
      <c r="J337" s="6">
        <v>740</v>
      </c>
      <c r="K337" s="6">
        <v>740</v>
      </c>
      <c r="L337" s="6">
        <v>26.34</v>
      </c>
      <c r="M337" s="6">
        <v>26.34</v>
      </c>
      <c r="N337" s="6">
        <v>26.34</v>
      </c>
      <c r="O337" s="6">
        <v>26.34</v>
      </c>
      <c r="P337" s="6">
        <v>0</v>
      </c>
      <c r="Q337" s="4" t="s">
        <v>26</v>
      </c>
      <c r="R337" s="4">
        <v>0</v>
      </c>
      <c r="S337" s="6">
        <v>19</v>
      </c>
      <c r="T337" s="6">
        <v>21</v>
      </c>
      <c r="U337" s="6">
        <v>74</v>
      </c>
      <c r="V337" s="6">
        <f>IF(ISERROR(VLOOKUP($S$337,'TAR FIN'!$A$1:$O$115,15,0)),0,VLOOKUP($S$337,'TAR FIN'!$A$1:$O$115,15,0))</f>
        <v>56.22</v>
      </c>
      <c r="W337" s="6">
        <f>IF(ISERROR(VLOOKUP($T$337,'TAR FIN'!$A$1:$O$115,15,0)),0,VLOOKUP($T$337,'TAR FIN'!$A$1:$O$115,15,0))</f>
        <v>84.31</v>
      </c>
      <c r="X337" s="6">
        <f>IF(ISERROR(VLOOKUP($U$337,'TAR FIN'!$A$1:$O$115,15,0)),0,VLOOKUP($U$337,'TAR FIN'!$A$1:$O$115,15,0))</f>
        <v>270.3</v>
      </c>
      <c r="Y337" s="6">
        <f ca="1">('TUSD BE'!$AM$19+'TUSD BF'!$AM$19+'TUSD CVA'!$AM$19)*1</f>
        <v>56.308577648144677</v>
      </c>
      <c r="Z337" s="6">
        <f ca="1">('TUSD BE'!$AM$21+'TUSD BF'!$AM$21+'TUSD CVA'!$AM$21)*1</f>
        <v>113.43121292628391</v>
      </c>
      <c r="AA337" s="6">
        <f>('TE BE'!$AB$11+'TE BF'!$AB$11+'TE CVA'!$AB$11)*1</f>
        <v>362.64398683254075</v>
      </c>
      <c r="AB337" s="6">
        <f>$K$337*$V$337</f>
        <v>41602.799999999996</v>
      </c>
      <c r="AC337" s="6">
        <f>$M$337*$W$337</f>
        <v>2220.7254000000003</v>
      </c>
      <c r="AD337" s="6">
        <f>$O$337*$X$337</f>
        <v>7119.7020000000002</v>
      </c>
      <c r="AE337" s="6">
        <f ca="1">$K$337*$Y$337</f>
        <v>41668.347459627061</v>
      </c>
      <c r="AF337" s="6">
        <f ca="1">$M$337*$Z$337</f>
        <v>2987.7781484783181</v>
      </c>
      <c r="AG337" s="6">
        <f>$O$337*$AA$337</f>
        <v>9552.0426131691238</v>
      </c>
    </row>
    <row r="338" spans="1:33" ht="11.25" customHeight="1" x14ac:dyDescent="0.25">
      <c r="A338" s="4" t="s">
        <v>21</v>
      </c>
      <c r="B338" s="4" t="s">
        <v>41</v>
      </c>
      <c r="C338" s="4" t="s">
        <v>42</v>
      </c>
      <c r="D338" s="4" t="s">
        <v>48</v>
      </c>
      <c r="E338" s="4" t="s">
        <v>25</v>
      </c>
      <c r="F338" s="4" t="s">
        <v>25</v>
      </c>
      <c r="G338" s="4" t="s">
        <v>25</v>
      </c>
      <c r="H338" s="4" t="s">
        <v>36</v>
      </c>
      <c r="I338" s="5">
        <v>44652</v>
      </c>
      <c r="J338" s="6">
        <v>1386</v>
      </c>
      <c r="K338" s="6">
        <v>1386</v>
      </c>
      <c r="L338" s="6">
        <v>49.207000000000001</v>
      </c>
      <c r="M338" s="6">
        <v>49.207000000000001</v>
      </c>
      <c r="N338" s="6">
        <v>49.207000000000001</v>
      </c>
      <c r="O338" s="6">
        <v>49.207000000000001</v>
      </c>
      <c r="P338" s="6">
        <v>0</v>
      </c>
      <c r="Q338" s="4" t="s">
        <v>26</v>
      </c>
      <c r="R338" s="4">
        <v>0</v>
      </c>
      <c r="S338" s="6">
        <v>19</v>
      </c>
      <c r="T338" s="6">
        <v>21</v>
      </c>
      <c r="U338" s="6">
        <v>74</v>
      </c>
      <c r="V338" s="6">
        <f>IF(ISERROR(VLOOKUP($S$338,'TAR FIN'!$A$1:$O$115,15,0)),0,VLOOKUP($S$338,'TAR FIN'!$A$1:$O$115,15,0))</f>
        <v>56.22</v>
      </c>
      <c r="W338" s="6">
        <f>IF(ISERROR(VLOOKUP($T$338,'TAR FIN'!$A$1:$O$115,15,0)),0,VLOOKUP($T$338,'TAR FIN'!$A$1:$O$115,15,0))</f>
        <v>84.31</v>
      </c>
      <c r="X338" s="6">
        <f>IF(ISERROR(VLOOKUP($U$338,'TAR FIN'!$A$1:$O$115,15,0)),0,VLOOKUP($U$338,'TAR FIN'!$A$1:$O$115,15,0))</f>
        <v>270.3</v>
      </c>
      <c r="Y338" s="6">
        <f ca="1">('TUSD BE'!$AM$19+'TUSD BF'!$AM$19+'TUSD CVA'!$AM$19)*1</f>
        <v>56.308577648144677</v>
      </c>
      <c r="Z338" s="6">
        <f ca="1">('TUSD BE'!$AM$21+'TUSD BF'!$AM$21+'TUSD CVA'!$AM$21)*1</f>
        <v>113.43121292628391</v>
      </c>
      <c r="AA338" s="6">
        <f>('TE BE'!$AB$11+'TE BF'!$AB$11+'TE CVA'!$AB$11)*1</f>
        <v>362.64398683254075</v>
      </c>
      <c r="AB338" s="6">
        <f>$K$338*$V$338</f>
        <v>77920.92</v>
      </c>
      <c r="AC338" s="6">
        <f>$M$338*$W$338</f>
        <v>4148.6421700000001</v>
      </c>
      <c r="AD338" s="6">
        <f>$O$338*$X$338</f>
        <v>13300.652100000001</v>
      </c>
      <c r="AE338" s="6">
        <f ca="1">$K$338*$Y$338</f>
        <v>78043.688620328525</v>
      </c>
      <c r="AF338" s="6">
        <f ca="1">$M$338*$Z$338</f>
        <v>5581.609694463652</v>
      </c>
      <c r="AG338" s="6">
        <f>$O$338*$AA$338</f>
        <v>17844.622660068831</v>
      </c>
    </row>
    <row r="339" spans="1:33" ht="11.25" customHeight="1" x14ac:dyDescent="0.25">
      <c r="A339" s="4" t="s">
        <v>30</v>
      </c>
      <c r="B339" s="4" t="s">
        <v>41</v>
      </c>
      <c r="C339" s="4" t="s">
        <v>42</v>
      </c>
      <c r="D339" s="4" t="s">
        <v>48</v>
      </c>
      <c r="E339" s="4" t="s">
        <v>25</v>
      </c>
      <c r="F339" s="4" t="s">
        <v>25</v>
      </c>
      <c r="G339" s="4" t="s">
        <v>25</v>
      </c>
      <c r="H339" s="4" t="s">
        <v>36</v>
      </c>
      <c r="I339" s="5">
        <v>44652</v>
      </c>
      <c r="J339" s="6">
        <v>740</v>
      </c>
      <c r="K339" s="6">
        <v>740</v>
      </c>
      <c r="L339" s="6">
        <v>24.145</v>
      </c>
      <c r="M339" s="6">
        <v>24.145</v>
      </c>
      <c r="N339" s="6">
        <v>24.145</v>
      </c>
      <c r="O339" s="6">
        <v>24.145</v>
      </c>
      <c r="P339" s="6">
        <v>0</v>
      </c>
      <c r="Q339" s="4" t="s">
        <v>26</v>
      </c>
      <c r="R339" s="4">
        <v>0</v>
      </c>
      <c r="S339" s="6">
        <v>19</v>
      </c>
      <c r="T339" s="6">
        <v>21</v>
      </c>
      <c r="U339" s="6">
        <v>74</v>
      </c>
      <c r="V339" s="6">
        <f>IF(ISERROR(VLOOKUP($S$339,'TAR FIN'!$A$1:$O$115,15,0)),0,VLOOKUP($S$339,'TAR FIN'!$A$1:$O$115,15,0))</f>
        <v>56.22</v>
      </c>
      <c r="W339" s="6">
        <f>IF(ISERROR(VLOOKUP($T$339,'TAR FIN'!$A$1:$O$115,15,0)),0,VLOOKUP($T$339,'TAR FIN'!$A$1:$O$115,15,0))</f>
        <v>84.31</v>
      </c>
      <c r="X339" s="6">
        <f>IF(ISERROR(VLOOKUP($U$339,'TAR FIN'!$A$1:$O$115,15,0)),0,VLOOKUP($U$339,'TAR FIN'!$A$1:$O$115,15,0))</f>
        <v>270.3</v>
      </c>
      <c r="Y339" s="6">
        <f ca="1">('TUSD BE'!$AM$19+'TUSD BF'!$AM$19+'TUSD CVA'!$AM$19)*1</f>
        <v>56.308577648144677</v>
      </c>
      <c r="Z339" s="6">
        <f ca="1">('TUSD BE'!$AM$21+'TUSD BF'!$AM$21+'TUSD CVA'!$AM$21)*1</f>
        <v>113.43121292628391</v>
      </c>
      <c r="AA339" s="6">
        <f>('TE BE'!$AB$11+'TE BF'!$AB$11+'TE CVA'!$AB$11)*1</f>
        <v>362.64398683254075</v>
      </c>
      <c r="AB339" s="6">
        <f>$K$339*$V$339</f>
        <v>41602.799999999996</v>
      </c>
      <c r="AC339" s="6">
        <f>$M$339*$W$339</f>
        <v>2035.6649500000001</v>
      </c>
      <c r="AD339" s="6">
        <f>$O$339*$X$339</f>
        <v>6526.3935000000001</v>
      </c>
      <c r="AE339" s="6">
        <f ca="1">$K$339*$Y$339</f>
        <v>41668.347459627061</v>
      </c>
      <c r="AF339" s="6">
        <f ca="1">$M$339*$Z$339</f>
        <v>2738.7966361051249</v>
      </c>
      <c r="AG339" s="6">
        <f>$O$339*$AA$339</f>
        <v>8756.0390620716953</v>
      </c>
    </row>
    <row r="340" spans="1:33" ht="11.25" customHeight="1" x14ac:dyDescent="0.25">
      <c r="A340" s="4" t="s">
        <v>21</v>
      </c>
      <c r="B340" s="4" t="s">
        <v>41</v>
      </c>
      <c r="C340" s="4" t="s">
        <v>42</v>
      </c>
      <c r="D340" s="4" t="s">
        <v>48</v>
      </c>
      <c r="E340" s="4" t="s">
        <v>25</v>
      </c>
      <c r="F340" s="4" t="s">
        <v>25</v>
      </c>
      <c r="G340" s="4" t="s">
        <v>25</v>
      </c>
      <c r="H340" s="4" t="s">
        <v>36</v>
      </c>
      <c r="I340" s="5">
        <v>44682</v>
      </c>
      <c r="J340" s="6">
        <v>1387</v>
      </c>
      <c r="K340" s="6">
        <v>1387</v>
      </c>
      <c r="L340" s="6">
        <v>52.664999999999999</v>
      </c>
      <c r="M340" s="6">
        <v>52.664999999999999</v>
      </c>
      <c r="N340" s="6">
        <v>52.664999999999999</v>
      </c>
      <c r="O340" s="6">
        <v>52.664999999999999</v>
      </c>
      <c r="P340" s="6">
        <v>0</v>
      </c>
      <c r="Q340" s="4" t="s">
        <v>26</v>
      </c>
      <c r="R340" s="4">
        <v>0</v>
      </c>
      <c r="S340" s="6">
        <v>19</v>
      </c>
      <c r="T340" s="6">
        <v>21</v>
      </c>
      <c r="U340" s="6">
        <v>74</v>
      </c>
      <c r="V340" s="6">
        <f>IF(ISERROR(VLOOKUP($S$340,'TAR FIN'!$A$1:$O$115,15,0)),0,VLOOKUP($S$340,'TAR FIN'!$A$1:$O$115,15,0))</f>
        <v>56.22</v>
      </c>
      <c r="W340" s="6">
        <f>IF(ISERROR(VLOOKUP($T$340,'TAR FIN'!$A$1:$O$115,15,0)),0,VLOOKUP($T$340,'TAR FIN'!$A$1:$O$115,15,0))</f>
        <v>84.31</v>
      </c>
      <c r="X340" s="6">
        <f>IF(ISERROR(VLOOKUP($U$340,'TAR FIN'!$A$1:$O$115,15,0)),0,VLOOKUP($U$340,'TAR FIN'!$A$1:$O$115,15,0))</f>
        <v>270.3</v>
      </c>
      <c r="Y340" s="6">
        <f ca="1">('TUSD BE'!$AM$19+'TUSD BF'!$AM$19+'TUSD CVA'!$AM$19)*1</f>
        <v>56.308577648144677</v>
      </c>
      <c r="Z340" s="6">
        <f ca="1">('TUSD BE'!$AM$21+'TUSD BF'!$AM$21+'TUSD CVA'!$AM$21)*1</f>
        <v>113.43121292628391</v>
      </c>
      <c r="AA340" s="6">
        <f>('TE BE'!$AB$11+'TE BF'!$AB$11+'TE CVA'!$AB$11)*1</f>
        <v>362.64398683254075</v>
      </c>
      <c r="AB340" s="6">
        <f>$K$340*$V$340</f>
        <v>77977.14</v>
      </c>
      <c r="AC340" s="6">
        <f>$M$340*$W$340</f>
        <v>4440.1861500000005</v>
      </c>
      <c r="AD340" s="6">
        <f>$O$340*$X$340</f>
        <v>14235.3495</v>
      </c>
      <c r="AE340" s="6">
        <f ca="1">$K$340*$Y$340</f>
        <v>78099.997197976671</v>
      </c>
      <c r="AF340" s="6">
        <f ca="1">$M$340*$Z$340</f>
        <v>5973.8548287627418</v>
      </c>
      <c r="AG340" s="6">
        <f>$O$340*$AA$340</f>
        <v>19098.645566535757</v>
      </c>
    </row>
    <row r="341" spans="1:33" ht="11.25" customHeight="1" x14ac:dyDescent="0.25">
      <c r="A341" s="4" t="s">
        <v>30</v>
      </c>
      <c r="B341" s="4" t="s">
        <v>41</v>
      </c>
      <c r="C341" s="4" t="s">
        <v>42</v>
      </c>
      <c r="D341" s="4" t="s">
        <v>48</v>
      </c>
      <c r="E341" s="4" t="s">
        <v>25</v>
      </c>
      <c r="F341" s="4" t="s">
        <v>25</v>
      </c>
      <c r="G341" s="4" t="s">
        <v>25</v>
      </c>
      <c r="H341" s="4" t="s">
        <v>36</v>
      </c>
      <c r="I341" s="5">
        <v>44682</v>
      </c>
      <c r="J341" s="6">
        <v>740</v>
      </c>
      <c r="K341" s="6">
        <v>740</v>
      </c>
      <c r="L341" s="6">
        <v>26.248999999999999</v>
      </c>
      <c r="M341" s="6">
        <v>26.248999999999999</v>
      </c>
      <c r="N341" s="6">
        <v>26.248999999999999</v>
      </c>
      <c r="O341" s="6">
        <v>26.248999999999999</v>
      </c>
      <c r="P341" s="6">
        <v>0</v>
      </c>
      <c r="Q341" s="4" t="s">
        <v>26</v>
      </c>
      <c r="R341" s="4">
        <v>0</v>
      </c>
      <c r="S341" s="6">
        <v>19</v>
      </c>
      <c r="T341" s="6">
        <v>21</v>
      </c>
      <c r="U341" s="6">
        <v>74</v>
      </c>
      <c r="V341" s="6">
        <f>IF(ISERROR(VLOOKUP($S$341,'TAR FIN'!$A$1:$O$115,15,0)),0,VLOOKUP($S$341,'TAR FIN'!$A$1:$O$115,15,0))</f>
        <v>56.22</v>
      </c>
      <c r="W341" s="6">
        <f>IF(ISERROR(VLOOKUP($T$341,'TAR FIN'!$A$1:$O$115,15,0)),0,VLOOKUP($T$341,'TAR FIN'!$A$1:$O$115,15,0))</f>
        <v>84.31</v>
      </c>
      <c r="X341" s="6">
        <f>IF(ISERROR(VLOOKUP($U$341,'TAR FIN'!$A$1:$O$115,15,0)),0,VLOOKUP($U$341,'TAR FIN'!$A$1:$O$115,15,0))</f>
        <v>270.3</v>
      </c>
      <c r="Y341" s="6">
        <f ca="1">('TUSD BE'!$AM$19+'TUSD BF'!$AM$19+'TUSD CVA'!$AM$19)*1</f>
        <v>56.308577648144677</v>
      </c>
      <c r="Z341" s="6">
        <f ca="1">('TUSD BE'!$AM$21+'TUSD BF'!$AM$21+'TUSD CVA'!$AM$21)*1</f>
        <v>113.43121292628391</v>
      </c>
      <c r="AA341" s="6">
        <f>('TE BE'!$AB$11+'TE BF'!$AB$11+'TE CVA'!$AB$11)*1</f>
        <v>362.64398683254075</v>
      </c>
      <c r="AB341" s="6">
        <f>$K$341*$V$341</f>
        <v>41602.799999999996</v>
      </c>
      <c r="AC341" s="6">
        <f>$M$341*$W$341</f>
        <v>2213.0531900000001</v>
      </c>
      <c r="AD341" s="6">
        <f>$O$341*$X$341</f>
        <v>7095.1046999999999</v>
      </c>
      <c r="AE341" s="6">
        <f ca="1">$K$341*$Y$341</f>
        <v>41668.347459627061</v>
      </c>
      <c r="AF341" s="6">
        <f ca="1">$M$341*$Z$341</f>
        <v>2977.4559081020261</v>
      </c>
      <c r="AG341" s="6">
        <f>$O$341*$AA$341</f>
        <v>9519.0420103673623</v>
      </c>
    </row>
    <row r="342" spans="1:33" ht="11.25" customHeight="1" x14ac:dyDescent="0.25">
      <c r="A342" s="4" t="s">
        <v>21</v>
      </c>
      <c r="B342" s="4" t="s">
        <v>41</v>
      </c>
      <c r="C342" s="4" t="s">
        <v>42</v>
      </c>
      <c r="D342" s="4" t="s">
        <v>48</v>
      </c>
      <c r="E342" s="4" t="s">
        <v>25</v>
      </c>
      <c r="F342" s="4" t="s">
        <v>25</v>
      </c>
      <c r="G342" s="4" t="s">
        <v>25</v>
      </c>
      <c r="H342" s="4" t="s">
        <v>36</v>
      </c>
      <c r="I342" s="5">
        <v>44713</v>
      </c>
      <c r="J342" s="6">
        <v>1385</v>
      </c>
      <c r="K342" s="6">
        <v>1385</v>
      </c>
      <c r="L342" s="6">
        <v>49.054000000000002</v>
      </c>
      <c r="M342" s="6">
        <v>49.054000000000002</v>
      </c>
      <c r="N342" s="6">
        <v>49.054000000000002</v>
      </c>
      <c r="O342" s="6">
        <v>49.054000000000002</v>
      </c>
      <c r="P342" s="6">
        <v>0</v>
      </c>
      <c r="Q342" s="4" t="s">
        <v>26</v>
      </c>
      <c r="R342" s="4">
        <v>0</v>
      </c>
      <c r="S342" s="6">
        <v>19</v>
      </c>
      <c r="T342" s="6">
        <v>21</v>
      </c>
      <c r="U342" s="6">
        <v>74</v>
      </c>
      <c r="V342" s="6">
        <f>IF(ISERROR(VLOOKUP($S$342,'TAR FIN'!$A$1:$O$115,15,0)),0,VLOOKUP($S$342,'TAR FIN'!$A$1:$O$115,15,0))</f>
        <v>56.22</v>
      </c>
      <c r="W342" s="6">
        <f>IF(ISERROR(VLOOKUP($T$342,'TAR FIN'!$A$1:$O$115,15,0)),0,VLOOKUP($T$342,'TAR FIN'!$A$1:$O$115,15,0))</f>
        <v>84.31</v>
      </c>
      <c r="X342" s="6">
        <f>IF(ISERROR(VLOOKUP($U$342,'TAR FIN'!$A$1:$O$115,15,0)),0,VLOOKUP($U$342,'TAR FIN'!$A$1:$O$115,15,0))</f>
        <v>270.3</v>
      </c>
      <c r="Y342" s="6">
        <f ca="1">('TUSD BE'!$AM$19+'TUSD BF'!$AM$19+'TUSD CVA'!$AM$19)*1</f>
        <v>56.308577648144677</v>
      </c>
      <c r="Z342" s="6">
        <f ca="1">('TUSD BE'!$AM$21+'TUSD BF'!$AM$21+'TUSD CVA'!$AM$21)*1</f>
        <v>113.43121292628391</v>
      </c>
      <c r="AA342" s="6">
        <f>('TE BE'!$AB$11+'TE BF'!$AB$11+'TE CVA'!$AB$11)*1</f>
        <v>362.64398683254075</v>
      </c>
      <c r="AB342" s="6">
        <f>$K$342*$V$342</f>
        <v>77864.7</v>
      </c>
      <c r="AC342" s="6">
        <f>$M$342*$W$342</f>
        <v>4135.7427400000006</v>
      </c>
      <c r="AD342" s="6">
        <f>$O$342*$X$342</f>
        <v>13259.296200000001</v>
      </c>
      <c r="AE342" s="6">
        <f ca="1">$K$342*$Y$342</f>
        <v>77987.380042680379</v>
      </c>
      <c r="AF342" s="6">
        <f ca="1">$M$342*$Z$342</f>
        <v>5564.2547188859307</v>
      </c>
      <c r="AG342" s="6">
        <f>$O$342*$AA$342</f>
        <v>17789.138130083455</v>
      </c>
    </row>
    <row r="343" spans="1:33" ht="11.25" customHeight="1" x14ac:dyDescent="0.25">
      <c r="A343" s="4" t="s">
        <v>30</v>
      </c>
      <c r="B343" s="4" t="s">
        <v>41</v>
      </c>
      <c r="C343" s="4" t="s">
        <v>42</v>
      </c>
      <c r="D343" s="4" t="s">
        <v>48</v>
      </c>
      <c r="E343" s="4" t="s">
        <v>25</v>
      </c>
      <c r="F343" s="4" t="s">
        <v>25</v>
      </c>
      <c r="G343" s="4" t="s">
        <v>25</v>
      </c>
      <c r="H343" s="4" t="s">
        <v>36</v>
      </c>
      <c r="I343" s="5">
        <v>44713</v>
      </c>
      <c r="J343" s="6">
        <v>740</v>
      </c>
      <c r="K343" s="6">
        <v>740</v>
      </c>
      <c r="L343" s="6">
        <v>24.1</v>
      </c>
      <c r="M343" s="6">
        <v>24.1</v>
      </c>
      <c r="N343" s="6">
        <v>24.1</v>
      </c>
      <c r="O343" s="6">
        <v>24.1</v>
      </c>
      <c r="P343" s="6">
        <v>0</v>
      </c>
      <c r="Q343" s="4" t="s">
        <v>26</v>
      </c>
      <c r="R343" s="4">
        <v>0</v>
      </c>
      <c r="S343" s="6">
        <v>19</v>
      </c>
      <c r="T343" s="6">
        <v>21</v>
      </c>
      <c r="U343" s="6">
        <v>74</v>
      </c>
      <c r="V343" s="6">
        <f>IF(ISERROR(VLOOKUP($S$343,'TAR FIN'!$A$1:$O$115,15,0)),0,VLOOKUP($S$343,'TAR FIN'!$A$1:$O$115,15,0))</f>
        <v>56.22</v>
      </c>
      <c r="W343" s="6">
        <f>IF(ISERROR(VLOOKUP($T$343,'TAR FIN'!$A$1:$O$115,15,0)),0,VLOOKUP($T$343,'TAR FIN'!$A$1:$O$115,15,0))</f>
        <v>84.31</v>
      </c>
      <c r="X343" s="6">
        <f>IF(ISERROR(VLOOKUP($U$343,'TAR FIN'!$A$1:$O$115,15,0)),0,VLOOKUP($U$343,'TAR FIN'!$A$1:$O$115,15,0))</f>
        <v>270.3</v>
      </c>
      <c r="Y343" s="6">
        <f ca="1">('TUSD BE'!$AM$19+'TUSD BF'!$AM$19+'TUSD CVA'!$AM$19)*1</f>
        <v>56.308577648144677</v>
      </c>
      <c r="Z343" s="6">
        <f ca="1">('TUSD BE'!$AM$21+'TUSD BF'!$AM$21+'TUSD CVA'!$AM$21)*1</f>
        <v>113.43121292628391</v>
      </c>
      <c r="AA343" s="6">
        <f>('TE BE'!$AB$11+'TE BF'!$AB$11+'TE CVA'!$AB$11)*1</f>
        <v>362.64398683254075</v>
      </c>
      <c r="AB343" s="6">
        <f>$K$343*$V$343</f>
        <v>41602.799999999996</v>
      </c>
      <c r="AC343" s="6">
        <f>$M$343*$W$343</f>
        <v>2031.8710000000001</v>
      </c>
      <c r="AD343" s="6">
        <f>$O$343*$X$343</f>
        <v>6514.2300000000005</v>
      </c>
      <c r="AE343" s="6">
        <f ca="1">$K$343*$Y$343</f>
        <v>41668.347459627061</v>
      </c>
      <c r="AF343" s="6">
        <f ca="1">$M$343*$Z$343</f>
        <v>2733.6922315234424</v>
      </c>
      <c r="AG343" s="6">
        <f>$O$343*$AA$343</f>
        <v>8739.7200826642329</v>
      </c>
    </row>
    <row r="344" spans="1:33" ht="11.25" customHeight="1" x14ac:dyDescent="0.25">
      <c r="A344" s="4" t="s">
        <v>21</v>
      </c>
      <c r="B344" s="4" t="s">
        <v>41</v>
      </c>
      <c r="C344" s="4" t="s">
        <v>42</v>
      </c>
      <c r="D344" s="4" t="s">
        <v>48</v>
      </c>
      <c r="E344" s="4" t="s">
        <v>25</v>
      </c>
      <c r="F344" s="4" t="s">
        <v>25</v>
      </c>
      <c r="G344" s="4" t="s">
        <v>25</v>
      </c>
      <c r="H344" s="4" t="s">
        <v>36</v>
      </c>
      <c r="I344" s="5">
        <v>44743</v>
      </c>
      <c r="J344" s="6">
        <v>1459</v>
      </c>
      <c r="K344" s="6">
        <v>1459</v>
      </c>
      <c r="L344" s="6">
        <v>55.912999999999997</v>
      </c>
      <c r="M344" s="6">
        <v>55.912999999999997</v>
      </c>
      <c r="N344" s="6">
        <v>55.912999999999997</v>
      </c>
      <c r="O344" s="6">
        <v>55.912999999999997</v>
      </c>
      <c r="P344" s="6">
        <v>0</v>
      </c>
      <c r="Q344" s="4" t="s">
        <v>26</v>
      </c>
      <c r="R344" s="4">
        <v>0</v>
      </c>
      <c r="S344" s="6">
        <v>19</v>
      </c>
      <c r="T344" s="6">
        <v>21</v>
      </c>
      <c r="U344" s="6">
        <v>74</v>
      </c>
      <c r="V344" s="6">
        <f>IF(ISERROR(VLOOKUP($S$344,'TAR FIN'!$A$1:$O$115,15,0)),0,VLOOKUP($S$344,'TAR FIN'!$A$1:$O$115,15,0))</f>
        <v>56.22</v>
      </c>
      <c r="W344" s="6">
        <f>IF(ISERROR(VLOOKUP($T$344,'TAR FIN'!$A$1:$O$115,15,0)),0,VLOOKUP($T$344,'TAR FIN'!$A$1:$O$115,15,0))</f>
        <v>84.31</v>
      </c>
      <c r="X344" s="6">
        <f>IF(ISERROR(VLOOKUP($U$344,'TAR FIN'!$A$1:$O$115,15,0)),0,VLOOKUP($U$344,'TAR FIN'!$A$1:$O$115,15,0))</f>
        <v>270.3</v>
      </c>
      <c r="Y344" s="6">
        <f ca="1">('TUSD BE'!$AM$19+'TUSD BF'!$AM$19+'TUSD CVA'!$AM$19)*1</f>
        <v>56.308577648144677</v>
      </c>
      <c r="Z344" s="6">
        <f ca="1">('TUSD BE'!$AM$21+'TUSD BF'!$AM$21+'TUSD CVA'!$AM$21)*1</f>
        <v>113.43121292628391</v>
      </c>
      <c r="AA344" s="6">
        <f>('TE BE'!$AB$11+'TE BF'!$AB$11+'TE CVA'!$AB$11)*1</f>
        <v>362.64398683254075</v>
      </c>
      <c r="AB344" s="6">
        <f>$K$344*$V$344</f>
        <v>82024.98</v>
      </c>
      <c r="AC344" s="6">
        <f>$M$344*$W$344</f>
        <v>4714.0250299999998</v>
      </c>
      <c r="AD344" s="6">
        <f>$O$344*$X$344</f>
        <v>15113.2839</v>
      </c>
      <c r="AE344" s="6">
        <f ca="1">$K$344*$Y$344</f>
        <v>82154.21478864309</v>
      </c>
      <c r="AF344" s="6">
        <f ca="1">$M$344*$Z$344</f>
        <v>6342.2794083473118</v>
      </c>
      <c r="AG344" s="6">
        <f>$O$344*$AA$344</f>
        <v>20276.513235767849</v>
      </c>
    </row>
    <row r="345" spans="1:33" ht="11.25" customHeight="1" x14ac:dyDescent="0.25">
      <c r="A345" s="4" t="s">
        <v>30</v>
      </c>
      <c r="B345" s="4" t="s">
        <v>41</v>
      </c>
      <c r="C345" s="4" t="s">
        <v>42</v>
      </c>
      <c r="D345" s="4" t="s">
        <v>48</v>
      </c>
      <c r="E345" s="4" t="s">
        <v>25</v>
      </c>
      <c r="F345" s="4" t="s">
        <v>25</v>
      </c>
      <c r="G345" s="4" t="s">
        <v>25</v>
      </c>
      <c r="H345" s="4" t="s">
        <v>36</v>
      </c>
      <c r="I345" s="5">
        <v>44743</v>
      </c>
      <c r="J345" s="6">
        <v>740</v>
      </c>
      <c r="K345" s="6">
        <v>740</v>
      </c>
      <c r="L345" s="6">
        <v>28.207999999999998</v>
      </c>
      <c r="M345" s="6">
        <v>28.207999999999998</v>
      </c>
      <c r="N345" s="6">
        <v>28.207999999999998</v>
      </c>
      <c r="O345" s="6">
        <v>28.207999999999998</v>
      </c>
      <c r="P345" s="6">
        <v>0</v>
      </c>
      <c r="Q345" s="4" t="s">
        <v>26</v>
      </c>
      <c r="R345" s="4">
        <v>0</v>
      </c>
      <c r="S345" s="6">
        <v>19</v>
      </c>
      <c r="T345" s="6">
        <v>21</v>
      </c>
      <c r="U345" s="6">
        <v>74</v>
      </c>
      <c r="V345" s="6">
        <f>IF(ISERROR(VLOOKUP($S$345,'TAR FIN'!$A$1:$O$115,15,0)),0,VLOOKUP($S$345,'TAR FIN'!$A$1:$O$115,15,0))</f>
        <v>56.22</v>
      </c>
      <c r="W345" s="6">
        <f>IF(ISERROR(VLOOKUP($T$345,'TAR FIN'!$A$1:$O$115,15,0)),0,VLOOKUP($T$345,'TAR FIN'!$A$1:$O$115,15,0))</f>
        <v>84.31</v>
      </c>
      <c r="X345" s="6">
        <f>IF(ISERROR(VLOOKUP($U$345,'TAR FIN'!$A$1:$O$115,15,0)),0,VLOOKUP($U$345,'TAR FIN'!$A$1:$O$115,15,0))</f>
        <v>270.3</v>
      </c>
      <c r="Y345" s="6">
        <f ca="1">('TUSD BE'!$AM$19+'TUSD BF'!$AM$19+'TUSD CVA'!$AM$19)*1</f>
        <v>56.308577648144677</v>
      </c>
      <c r="Z345" s="6">
        <f ca="1">('TUSD BE'!$AM$21+'TUSD BF'!$AM$21+'TUSD CVA'!$AM$21)*1</f>
        <v>113.43121292628391</v>
      </c>
      <c r="AA345" s="6">
        <f>('TE BE'!$AB$11+'TE BF'!$AB$11+'TE CVA'!$AB$11)*1</f>
        <v>362.64398683254075</v>
      </c>
      <c r="AB345" s="6">
        <f>$K$345*$V$345</f>
        <v>41602.799999999996</v>
      </c>
      <c r="AC345" s="6">
        <f>$M$345*$W$345</f>
        <v>2378.21648</v>
      </c>
      <c r="AD345" s="6">
        <f>$O$345*$X$345</f>
        <v>7624.6224000000002</v>
      </c>
      <c r="AE345" s="6">
        <f ca="1">$K$345*$Y$345</f>
        <v>41668.347459627061</v>
      </c>
      <c r="AF345" s="6">
        <f ca="1">$M$345*$Z$345</f>
        <v>3199.6676542246164</v>
      </c>
      <c r="AG345" s="6">
        <f>$O$345*$AA$345</f>
        <v>10229.46158057231</v>
      </c>
    </row>
    <row r="346" spans="1:33" ht="11.25" customHeight="1" x14ac:dyDescent="0.25">
      <c r="A346" s="4" t="s">
        <v>21</v>
      </c>
      <c r="B346" s="4" t="s">
        <v>41</v>
      </c>
      <c r="C346" s="4" t="s">
        <v>42</v>
      </c>
      <c r="D346" s="4" t="s">
        <v>48</v>
      </c>
      <c r="E346" s="4" t="s">
        <v>25</v>
      </c>
      <c r="F346" s="4" t="s">
        <v>25</v>
      </c>
      <c r="G346" s="4" t="s">
        <v>25</v>
      </c>
      <c r="H346" s="4" t="s">
        <v>36</v>
      </c>
      <c r="I346" s="5">
        <v>44774</v>
      </c>
      <c r="J346" s="6">
        <v>1428</v>
      </c>
      <c r="K346" s="6">
        <v>1428</v>
      </c>
      <c r="L346" s="6">
        <v>56.360999999999997</v>
      </c>
      <c r="M346" s="6">
        <v>56.360999999999997</v>
      </c>
      <c r="N346" s="6">
        <v>56.360999999999997</v>
      </c>
      <c r="O346" s="6">
        <v>56.360999999999997</v>
      </c>
      <c r="P346" s="6">
        <v>0</v>
      </c>
      <c r="Q346" s="4" t="s">
        <v>26</v>
      </c>
      <c r="R346" s="4">
        <v>0</v>
      </c>
      <c r="S346" s="6">
        <v>19</v>
      </c>
      <c r="T346" s="6">
        <v>21</v>
      </c>
      <c r="U346" s="6">
        <v>74</v>
      </c>
      <c r="V346" s="6">
        <f>IF(ISERROR(VLOOKUP($S$346,'TAR FIN'!$A$1:$O$115,15,0)),0,VLOOKUP($S$346,'TAR FIN'!$A$1:$O$115,15,0))</f>
        <v>56.22</v>
      </c>
      <c r="W346" s="6">
        <f>IF(ISERROR(VLOOKUP($T$346,'TAR FIN'!$A$1:$O$115,15,0)),0,VLOOKUP($T$346,'TAR FIN'!$A$1:$O$115,15,0))</f>
        <v>84.31</v>
      </c>
      <c r="X346" s="6">
        <f>IF(ISERROR(VLOOKUP($U$346,'TAR FIN'!$A$1:$O$115,15,0)),0,VLOOKUP($U$346,'TAR FIN'!$A$1:$O$115,15,0))</f>
        <v>270.3</v>
      </c>
      <c r="Y346" s="6">
        <f ca="1">('TUSD BE'!$AM$19+'TUSD BF'!$AM$19+'TUSD CVA'!$AM$19)*1</f>
        <v>56.308577648144677</v>
      </c>
      <c r="Z346" s="6">
        <f ca="1">('TUSD BE'!$AM$21+'TUSD BF'!$AM$21+'TUSD CVA'!$AM$21)*1</f>
        <v>113.43121292628391</v>
      </c>
      <c r="AA346" s="6">
        <f>('TE BE'!$AB$11+'TE BF'!$AB$11+'TE CVA'!$AB$11)*1</f>
        <v>362.64398683254075</v>
      </c>
      <c r="AB346" s="6">
        <f>$K$346*$V$346</f>
        <v>80282.16</v>
      </c>
      <c r="AC346" s="6">
        <f>$M$346*$W$346</f>
        <v>4751.7959099999998</v>
      </c>
      <c r="AD346" s="6">
        <f>$O$346*$X$346</f>
        <v>15234.3783</v>
      </c>
      <c r="AE346" s="6">
        <f ca="1">$K$346*$Y$346</f>
        <v>80408.648881550602</v>
      </c>
      <c r="AF346" s="6">
        <f ca="1">$M$346*$Z$346</f>
        <v>6393.0965917382864</v>
      </c>
      <c r="AG346" s="6">
        <f>$O$346*$AA$346</f>
        <v>20438.977741868828</v>
      </c>
    </row>
    <row r="347" spans="1:33" ht="11.25" customHeight="1" x14ac:dyDescent="0.25">
      <c r="A347" s="4" t="s">
        <v>30</v>
      </c>
      <c r="B347" s="4" t="s">
        <v>41</v>
      </c>
      <c r="C347" s="4" t="s">
        <v>42</v>
      </c>
      <c r="D347" s="4" t="s">
        <v>48</v>
      </c>
      <c r="E347" s="4" t="s">
        <v>25</v>
      </c>
      <c r="F347" s="4" t="s">
        <v>25</v>
      </c>
      <c r="G347" s="4" t="s">
        <v>25</v>
      </c>
      <c r="H347" s="4" t="s">
        <v>36</v>
      </c>
      <c r="I347" s="5">
        <v>44774</v>
      </c>
      <c r="J347" s="6">
        <v>740</v>
      </c>
      <c r="K347" s="6">
        <v>740</v>
      </c>
      <c r="L347" s="6">
        <v>26.832000000000001</v>
      </c>
      <c r="M347" s="6">
        <v>26.832000000000001</v>
      </c>
      <c r="N347" s="6">
        <v>26.832000000000001</v>
      </c>
      <c r="O347" s="6">
        <v>26.832000000000001</v>
      </c>
      <c r="P347" s="6">
        <v>0</v>
      </c>
      <c r="Q347" s="4" t="s">
        <v>26</v>
      </c>
      <c r="R347" s="4">
        <v>0</v>
      </c>
      <c r="S347" s="6">
        <v>19</v>
      </c>
      <c r="T347" s="6">
        <v>21</v>
      </c>
      <c r="U347" s="6">
        <v>74</v>
      </c>
      <c r="V347" s="6">
        <f>IF(ISERROR(VLOOKUP($S$347,'TAR FIN'!$A$1:$O$115,15,0)),0,VLOOKUP($S$347,'TAR FIN'!$A$1:$O$115,15,0))</f>
        <v>56.22</v>
      </c>
      <c r="W347" s="6">
        <f>IF(ISERROR(VLOOKUP($T$347,'TAR FIN'!$A$1:$O$115,15,0)),0,VLOOKUP($T$347,'TAR FIN'!$A$1:$O$115,15,0))</f>
        <v>84.31</v>
      </c>
      <c r="X347" s="6">
        <f>IF(ISERROR(VLOOKUP($U$347,'TAR FIN'!$A$1:$O$115,15,0)),0,VLOOKUP($U$347,'TAR FIN'!$A$1:$O$115,15,0))</f>
        <v>270.3</v>
      </c>
      <c r="Y347" s="6">
        <f ca="1">('TUSD BE'!$AM$19+'TUSD BF'!$AM$19+'TUSD CVA'!$AM$19)*1</f>
        <v>56.308577648144677</v>
      </c>
      <c r="Z347" s="6">
        <f ca="1">('TUSD BE'!$AM$21+'TUSD BF'!$AM$21+'TUSD CVA'!$AM$21)*1</f>
        <v>113.43121292628391</v>
      </c>
      <c r="AA347" s="6">
        <f>('TE BE'!$AB$11+'TE BF'!$AB$11+'TE CVA'!$AB$11)*1</f>
        <v>362.64398683254075</v>
      </c>
      <c r="AB347" s="6">
        <f>$K$347*$V$347</f>
        <v>41602.799999999996</v>
      </c>
      <c r="AC347" s="6">
        <f>$M$347*$W$347</f>
        <v>2262.2059200000003</v>
      </c>
      <c r="AD347" s="6">
        <f>$O$347*$X$347</f>
        <v>7252.6896000000006</v>
      </c>
      <c r="AE347" s="6">
        <f ca="1">$K$347*$Y$347</f>
        <v>41668.347459627061</v>
      </c>
      <c r="AF347" s="6">
        <f ca="1">$M$347*$Z$347</f>
        <v>3043.58630523805</v>
      </c>
      <c r="AG347" s="6">
        <f>$O$347*$AA$347</f>
        <v>9730.4634546907328</v>
      </c>
    </row>
    <row r="348" spans="1:33" ht="11.25" customHeight="1" x14ac:dyDescent="0.25">
      <c r="A348" s="4" t="s">
        <v>21</v>
      </c>
      <c r="B348" s="4" t="s">
        <v>41</v>
      </c>
      <c r="C348" s="4" t="s">
        <v>42</v>
      </c>
      <c r="D348" s="4" t="s">
        <v>48</v>
      </c>
      <c r="E348" s="4" t="s">
        <v>25</v>
      </c>
      <c r="F348" s="4" t="s">
        <v>25</v>
      </c>
      <c r="G348" s="4" t="s">
        <v>25</v>
      </c>
      <c r="H348" s="4" t="s">
        <v>36</v>
      </c>
      <c r="I348" s="5">
        <v>44805</v>
      </c>
      <c r="J348" s="6">
        <v>1468</v>
      </c>
      <c r="K348" s="6">
        <v>1468</v>
      </c>
      <c r="L348" s="6">
        <v>53</v>
      </c>
      <c r="M348" s="6">
        <v>53</v>
      </c>
      <c r="N348" s="6">
        <v>53</v>
      </c>
      <c r="O348" s="6">
        <v>53</v>
      </c>
      <c r="P348" s="6">
        <v>0</v>
      </c>
      <c r="Q348" s="4" t="s">
        <v>26</v>
      </c>
      <c r="R348" s="4">
        <v>0</v>
      </c>
      <c r="S348" s="6">
        <v>19</v>
      </c>
      <c r="T348" s="6">
        <v>21</v>
      </c>
      <c r="U348" s="6">
        <v>74</v>
      </c>
      <c r="V348" s="6">
        <f>IF(ISERROR(VLOOKUP($S$348,'TAR FIN'!$A$1:$O$115,15,0)),0,VLOOKUP($S$348,'TAR FIN'!$A$1:$O$115,15,0))</f>
        <v>56.22</v>
      </c>
      <c r="W348" s="6">
        <f>IF(ISERROR(VLOOKUP($T$348,'TAR FIN'!$A$1:$O$115,15,0)),0,VLOOKUP($T$348,'TAR FIN'!$A$1:$O$115,15,0))</f>
        <v>84.31</v>
      </c>
      <c r="X348" s="6">
        <f>IF(ISERROR(VLOOKUP($U$348,'TAR FIN'!$A$1:$O$115,15,0)),0,VLOOKUP($U$348,'TAR FIN'!$A$1:$O$115,15,0))</f>
        <v>270.3</v>
      </c>
      <c r="Y348" s="6">
        <f ca="1">('TUSD BE'!$AM$19+'TUSD BF'!$AM$19+'TUSD CVA'!$AM$19)*1</f>
        <v>56.308577648144677</v>
      </c>
      <c r="Z348" s="6">
        <f ca="1">('TUSD BE'!$AM$21+'TUSD BF'!$AM$21+'TUSD CVA'!$AM$21)*1</f>
        <v>113.43121292628391</v>
      </c>
      <c r="AA348" s="6">
        <f>('TE BE'!$AB$11+'TE BF'!$AB$11+'TE CVA'!$AB$11)*1</f>
        <v>362.64398683254075</v>
      </c>
      <c r="AB348" s="6">
        <f>$K$348*$V$348</f>
        <v>82530.959999999992</v>
      </c>
      <c r="AC348" s="6">
        <f>$M$348*$W$348</f>
        <v>4468.43</v>
      </c>
      <c r="AD348" s="6">
        <f>$O$348*$X$348</f>
        <v>14325.900000000001</v>
      </c>
      <c r="AE348" s="6">
        <f ca="1">$K$348*$Y$348</f>
        <v>82660.991987476387</v>
      </c>
      <c r="AF348" s="6">
        <f ca="1">$M$348*$Z$348</f>
        <v>6011.8542850930471</v>
      </c>
      <c r="AG348" s="6">
        <f>$O$348*$AA$348</f>
        <v>19220.131302124661</v>
      </c>
    </row>
    <row r="349" spans="1:33" ht="11.25" customHeight="1" x14ac:dyDescent="0.25">
      <c r="A349" s="4" t="s">
        <v>30</v>
      </c>
      <c r="B349" s="4" t="s">
        <v>41</v>
      </c>
      <c r="C349" s="4" t="s">
        <v>42</v>
      </c>
      <c r="D349" s="4" t="s">
        <v>48</v>
      </c>
      <c r="E349" s="4" t="s">
        <v>25</v>
      </c>
      <c r="F349" s="4" t="s">
        <v>25</v>
      </c>
      <c r="G349" s="4" t="s">
        <v>25</v>
      </c>
      <c r="H349" s="4" t="s">
        <v>36</v>
      </c>
      <c r="I349" s="5">
        <v>44805</v>
      </c>
      <c r="J349" s="6">
        <v>740</v>
      </c>
      <c r="K349" s="6">
        <v>740</v>
      </c>
      <c r="L349" s="6">
        <v>26.718</v>
      </c>
      <c r="M349" s="6">
        <v>26.718</v>
      </c>
      <c r="N349" s="6">
        <v>26.718</v>
      </c>
      <c r="O349" s="6">
        <v>26.718</v>
      </c>
      <c r="P349" s="6">
        <v>0</v>
      </c>
      <c r="Q349" s="4" t="s">
        <v>26</v>
      </c>
      <c r="R349" s="4">
        <v>0</v>
      </c>
      <c r="S349" s="6">
        <v>19</v>
      </c>
      <c r="T349" s="6">
        <v>21</v>
      </c>
      <c r="U349" s="6">
        <v>74</v>
      </c>
      <c r="V349" s="6">
        <f>IF(ISERROR(VLOOKUP($S$349,'TAR FIN'!$A$1:$O$115,15,0)),0,VLOOKUP($S$349,'TAR FIN'!$A$1:$O$115,15,0))</f>
        <v>56.22</v>
      </c>
      <c r="W349" s="6">
        <f>IF(ISERROR(VLOOKUP($T$349,'TAR FIN'!$A$1:$O$115,15,0)),0,VLOOKUP($T$349,'TAR FIN'!$A$1:$O$115,15,0))</f>
        <v>84.31</v>
      </c>
      <c r="X349" s="6">
        <f>IF(ISERROR(VLOOKUP($U$349,'TAR FIN'!$A$1:$O$115,15,0)),0,VLOOKUP($U$349,'TAR FIN'!$A$1:$O$115,15,0))</f>
        <v>270.3</v>
      </c>
      <c r="Y349" s="6">
        <f ca="1">('TUSD BE'!$AM$19+'TUSD BF'!$AM$19+'TUSD CVA'!$AM$19)*1</f>
        <v>56.308577648144677</v>
      </c>
      <c r="Z349" s="6">
        <f ca="1">('TUSD BE'!$AM$21+'TUSD BF'!$AM$21+'TUSD CVA'!$AM$21)*1</f>
        <v>113.43121292628391</v>
      </c>
      <c r="AA349" s="6">
        <f>('TE BE'!$AB$11+'TE BF'!$AB$11+'TE CVA'!$AB$11)*1</f>
        <v>362.64398683254075</v>
      </c>
      <c r="AB349" s="6">
        <f>$K$349*$V$349</f>
        <v>41602.799999999996</v>
      </c>
      <c r="AC349" s="6">
        <f>$M$349*$W$349</f>
        <v>2252.59458</v>
      </c>
      <c r="AD349" s="6">
        <f>$O$349*$X$349</f>
        <v>7221.8753999999999</v>
      </c>
      <c r="AE349" s="6">
        <f ca="1">$K$349*$Y$349</f>
        <v>41668.347459627061</v>
      </c>
      <c r="AF349" s="6">
        <f ca="1">$M$349*$Z$349</f>
        <v>3030.6551469644533</v>
      </c>
      <c r="AG349" s="6">
        <f>$O$349*$AA$349</f>
        <v>9689.1220401918235</v>
      </c>
    </row>
    <row r="350" spans="1:33" ht="11.25" customHeight="1" x14ac:dyDescent="0.25">
      <c r="A350" s="4" t="s">
        <v>21</v>
      </c>
      <c r="B350" s="4" t="s">
        <v>41</v>
      </c>
      <c r="C350" s="4" t="s">
        <v>42</v>
      </c>
      <c r="D350" s="4" t="s">
        <v>48</v>
      </c>
      <c r="E350" s="4" t="s">
        <v>25</v>
      </c>
      <c r="F350" s="4" t="s">
        <v>25</v>
      </c>
      <c r="G350" s="4" t="s">
        <v>25</v>
      </c>
      <c r="H350" s="4" t="s">
        <v>36</v>
      </c>
      <c r="I350" s="5">
        <v>44835</v>
      </c>
      <c r="J350" s="6">
        <v>1468</v>
      </c>
      <c r="K350" s="6">
        <v>1468</v>
      </c>
      <c r="L350" s="6">
        <v>53.523000000000003</v>
      </c>
      <c r="M350" s="6">
        <v>53.523000000000003</v>
      </c>
      <c r="N350" s="6">
        <v>53.523000000000003</v>
      </c>
      <c r="O350" s="6">
        <v>53.523000000000003</v>
      </c>
      <c r="P350" s="6">
        <v>0</v>
      </c>
      <c r="Q350" s="4" t="s">
        <v>26</v>
      </c>
      <c r="R350" s="4">
        <v>0</v>
      </c>
      <c r="S350" s="6">
        <v>19</v>
      </c>
      <c r="T350" s="6">
        <v>21</v>
      </c>
      <c r="U350" s="6">
        <v>74</v>
      </c>
      <c r="V350" s="6">
        <f>IF(ISERROR(VLOOKUP($S$350,'TAR FIN'!$A$1:$O$115,15,0)),0,VLOOKUP($S$350,'TAR FIN'!$A$1:$O$115,15,0))</f>
        <v>56.22</v>
      </c>
      <c r="W350" s="6">
        <f>IF(ISERROR(VLOOKUP($T$350,'TAR FIN'!$A$1:$O$115,15,0)),0,VLOOKUP($T$350,'TAR FIN'!$A$1:$O$115,15,0))</f>
        <v>84.31</v>
      </c>
      <c r="X350" s="6">
        <f>IF(ISERROR(VLOOKUP($U$350,'TAR FIN'!$A$1:$O$115,15,0)),0,VLOOKUP($U$350,'TAR FIN'!$A$1:$O$115,15,0))</f>
        <v>270.3</v>
      </c>
      <c r="Y350" s="6">
        <f ca="1">('TUSD BE'!$AM$19+'TUSD BF'!$AM$19+'TUSD CVA'!$AM$19)*1</f>
        <v>56.308577648144677</v>
      </c>
      <c r="Z350" s="6">
        <f ca="1">('TUSD BE'!$AM$21+'TUSD BF'!$AM$21+'TUSD CVA'!$AM$21)*1</f>
        <v>113.43121292628391</v>
      </c>
      <c r="AA350" s="6">
        <f>('TE BE'!$AB$11+'TE BF'!$AB$11+'TE CVA'!$AB$11)*1</f>
        <v>362.64398683254075</v>
      </c>
      <c r="AB350" s="6">
        <f>$K$350*$V$350</f>
        <v>82530.959999999992</v>
      </c>
      <c r="AC350" s="6">
        <f>$M$350*$W$350</f>
        <v>4512.5241300000007</v>
      </c>
      <c r="AD350" s="6">
        <f>$O$350*$X$350</f>
        <v>14467.266900000002</v>
      </c>
      <c r="AE350" s="6">
        <f ca="1">$K$350*$Y$350</f>
        <v>82660.991987476387</v>
      </c>
      <c r="AF350" s="6">
        <f ca="1">$M$350*$Z$350</f>
        <v>6071.1788094534941</v>
      </c>
      <c r="AG350" s="6">
        <f>$O$350*$AA$350</f>
        <v>19409.794107238078</v>
      </c>
    </row>
    <row r="351" spans="1:33" ht="11.25" customHeight="1" x14ac:dyDescent="0.25">
      <c r="A351" s="4" t="s">
        <v>30</v>
      </c>
      <c r="B351" s="4" t="s">
        <v>41</v>
      </c>
      <c r="C351" s="4" t="s">
        <v>42</v>
      </c>
      <c r="D351" s="4" t="s">
        <v>48</v>
      </c>
      <c r="E351" s="4" t="s">
        <v>25</v>
      </c>
      <c r="F351" s="4" t="s">
        <v>25</v>
      </c>
      <c r="G351" s="4" t="s">
        <v>25</v>
      </c>
      <c r="H351" s="4" t="s">
        <v>36</v>
      </c>
      <c r="I351" s="5">
        <v>44835</v>
      </c>
      <c r="J351" s="6">
        <v>740</v>
      </c>
      <c r="K351" s="6">
        <v>740</v>
      </c>
      <c r="L351" s="6">
        <v>25.954000000000001</v>
      </c>
      <c r="M351" s="6">
        <v>25.954000000000001</v>
      </c>
      <c r="N351" s="6">
        <v>25.954000000000001</v>
      </c>
      <c r="O351" s="6">
        <v>25.954000000000001</v>
      </c>
      <c r="P351" s="6">
        <v>0</v>
      </c>
      <c r="Q351" s="4" t="s">
        <v>26</v>
      </c>
      <c r="R351" s="4">
        <v>0</v>
      </c>
      <c r="S351" s="6">
        <v>19</v>
      </c>
      <c r="T351" s="6">
        <v>21</v>
      </c>
      <c r="U351" s="6">
        <v>74</v>
      </c>
      <c r="V351" s="6">
        <f>IF(ISERROR(VLOOKUP($S$351,'TAR FIN'!$A$1:$O$115,15,0)),0,VLOOKUP($S$351,'TAR FIN'!$A$1:$O$115,15,0))</f>
        <v>56.22</v>
      </c>
      <c r="W351" s="6">
        <f>IF(ISERROR(VLOOKUP($T$351,'TAR FIN'!$A$1:$O$115,15,0)),0,VLOOKUP($T$351,'TAR FIN'!$A$1:$O$115,15,0))</f>
        <v>84.31</v>
      </c>
      <c r="X351" s="6">
        <f>IF(ISERROR(VLOOKUP($U$351,'TAR FIN'!$A$1:$O$115,15,0)),0,VLOOKUP($U$351,'TAR FIN'!$A$1:$O$115,15,0))</f>
        <v>270.3</v>
      </c>
      <c r="Y351" s="6">
        <f ca="1">('TUSD BE'!$AM$19+'TUSD BF'!$AM$19+'TUSD CVA'!$AM$19)*1</f>
        <v>56.308577648144677</v>
      </c>
      <c r="Z351" s="6">
        <f ca="1">('TUSD BE'!$AM$21+'TUSD BF'!$AM$21+'TUSD CVA'!$AM$21)*1</f>
        <v>113.43121292628391</v>
      </c>
      <c r="AA351" s="6">
        <f>('TE BE'!$AB$11+'TE BF'!$AB$11+'TE CVA'!$AB$11)*1</f>
        <v>362.64398683254075</v>
      </c>
      <c r="AB351" s="6">
        <f>$K$351*$V$351</f>
        <v>41602.799999999996</v>
      </c>
      <c r="AC351" s="6">
        <f>$M$351*$W$351</f>
        <v>2188.18174</v>
      </c>
      <c r="AD351" s="6">
        <f>$O$351*$X$351</f>
        <v>7015.3662000000004</v>
      </c>
      <c r="AE351" s="6">
        <f ca="1">$K$351*$Y$351</f>
        <v>41668.347459627061</v>
      </c>
      <c r="AF351" s="6">
        <f ca="1">$M$351*$Z$351</f>
        <v>2943.9937002887727</v>
      </c>
      <c r="AG351" s="6">
        <f>$O$351*$AA$351</f>
        <v>9412.0620342517632</v>
      </c>
    </row>
    <row r="352" spans="1:33" ht="11.25" customHeight="1" x14ac:dyDescent="0.25">
      <c r="A352" s="4" t="s">
        <v>59</v>
      </c>
      <c r="B352" s="4" t="s">
        <v>41</v>
      </c>
      <c r="C352" s="4" t="s">
        <v>42</v>
      </c>
      <c r="D352" s="4" t="s">
        <v>48</v>
      </c>
      <c r="E352" s="4" t="s">
        <v>25</v>
      </c>
      <c r="F352" s="4" t="s">
        <v>25</v>
      </c>
      <c r="G352" s="4" t="s">
        <v>25</v>
      </c>
      <c r="H352" s="4" t="s">
        <v>36</v>
      </c>
      <c r="I352" s="5">
        <v>44866</v>
      </c>
      <c r="J352" s="6">
        <v>1468</v>
      </c>
      <c r="K352" s="6">
        <v>1468</v>
      </c>
      <c r="L352" s="6">
        <v>53.523000000000003</v>
      </c>
      <c r="M352" s="6">
        <v>53.523000000000003</v>
      </c>
      <c r="N352" s="6">
        <v>53.523000000000003</v>
      </c>
      <c r="O352" s="6">
        <v>53.523000000000003</v>
      </c>
      <c r="P352" s="6">
        <v>0</v>
      </c>
      <c r="Q352" s="4" t="s">
        <v>26</v>
      </c>
      <c r="R352" s="4">
        <v>0</v>
      </c>
      <c r="S352" s="6">
        <v>19</v>
      </c>
      <c r="T352" s="6">
        <v>21</v>
      </c>
      <c r="U352" s="6">
        <v>74</v>
      </c>
      <c r="V352" s="6">
        <f>IF(ISERROR(VLOOKUP($S$352,'TAR FIN'!$A$1:$O$115,15,0)),0,VLOOKUP($S$352,'TAR FIN'!$A$1:$O$115,15,0))</f>
        <v>56.22</v>
      </c>
      <c r="W352" s="6">
        <f>IF(ISERROR(VLOOKUP($T$352,'TAR FIN'!$A$1:$O$115,15,0)),0,VLOOKUP($T$352,'TAR FIN'!$A$1:$O$115,15,0))</f>
        <v>84.31</v>
      </c>
      <c r="X352" s="6">
        <f>IF(ISERROR(VLOOKUP($U$352,'TAR FIN'!$A$1:$O$115,15,0)),0,VLOOKUP($U$352,'TAR FIN'!$A$1:$O$115,15,0))</f>
        <v>270.3</v>
      </c>
      <c r="Y352" s="6">
        <f ca="1">('TUSD BE'!$AM$19+'TUSD BF'!$AM$19+'TUSD CVA'!$AM$19)*1</f>
        <v>56.308577648144677</v>
      </c>
      <c r="Z352" s="6">
        <f ca="1">('TUSD BE'!$AM$21+'TUSD BF'!$AM$21+'TUSD CVA'!$AM$21)*1</f>
        <v>113.43121292628391</v>
      </c>
      <c r="AA352" s="6">
        <f>('TE BE'!$AB$11+'TE BF'!$AB$11+'TE CVA'!$AB$11)*1</f>
        <v>362.64398683254075</v>
      </c>
      <c r="AB352" s="6">
        <f>$K$352*$V$352</f>
        <v>82530.959999999992</v>
      </c>
      <c r="AC352" s="6">
        <f>$M$352*$W$352</f>
        <v>4512.5241300000007</v>
      </c>
      <c r="AD352" s="6">
        <f>$O$352*$X$352</f>
        <v>14467.266900000002</v>
      </c>
      <c r="AE352" s="6">
        <f ca="1">$K$352*$Y$352</f>
        <v>82660.991987476387</v>
      </c>
      <c r="AF352" s="6">
        <f ca="1">$M$352*$Z$352</f>
        <v>6071.1788094534941</v>
      </c>
      <c r="AG352" s="6">
        <f>$O$352*$AA$352</f>
        <v>19409.794107238078</v>
      </c>
    </row>
    <row r="353" spans="1:33" ht="11.25" customHeight="1" x14ac:dyDescent="0.25">
      <c r="A353" s="4" t="s">
        <v>59</v>
      </c>
      <c r="B353" s="4" t="s">
        <v>41</v>
      </c>
      <c r="C353" s="4" t="s">
        <v>42</v>
      </c>
      <c r="D353" s="4" t="s">
        <v>48</v>
      </c>
      <c r="E353" s="4" t="s">
        <v>25</v>
      </c>
      <c r="F353" s="4" t="s">
        <v>25</v>
      </c>
      <c r="G353" s="4" t="s">
        <v>25</v>
      </c>
      <c r="H353" s="4" t="s">
        <v>36</v>
      </c>
      <c r="I353" s="5">
        <v>44866</v>
      </c>
      <c r="J353" s="6">
        <v>740</v>
      </c>
      <c r="K353" s="6">
        <v>740</v>
      </c>
      <c r="L353" s="6">
        <v>25.954000000000001</v>
      </c>
      <c r="M353" s="6">
        <v>25.954000000000001</v>
      </c>
      <c r="N353" s="6">
        <v>25.954000000000001</v>
      </c>
      <c r="O353" s="6">
        <v>25.954000000000001</v>
      </c>
      <c r="P353" s="6">
        <v>0</v>
      </c>
      <c r="Q353" s="4" t="s">
        <v>26</v>
      </c>
      <c r="R353" s="4">
        <v>0</v>
      </c>
      <c r="S353" s="6">
        <v>19</v>
      </c>
      <c r="T353" s="6">
        <v>21</v>
      </c>
      <c r="U353" s="6">
        <v>74</v>
      </c>
      <c r="V353" s="6">
        <f>IF(ISERROR(VLOOKUP($S$353,'TAR FIN'!$A$1:$O$115,15,0)),0,VLOOKUP($S$353,'TAR FIN'!$A$1:$O$115,15,0))</f>
        <v>56.22</v>
      </c>
      <c r="W353" s="6">
        <f>IF(ISERROR(VLOOKUP($T$353,'TAR FIN'!$A$1:$O$115,15,0)),0,VLOOKUP($T$353,'TAR FIN'!$A$1:$O$115,15,0))</f>
        <v>84.31</v>
      </c>
      <c r="X353" s="6">
        <f>IF(ISERROR(VLOOKUP($U$353,'TAR FIN'!$A$1:$O$115,15,0)),0,VLOOKUP($U$353,'TAR FIN'!$A$1:$O$115,15,0))</f>
        <v>270.3</v>
      </c>
      <c r="Y353" s="6">
        <f ca="1">('TUSD BE'!$AM$19+'TUSD BF'!$AM$19+'TUSD CVA'!$AM$19)*1</f>
        <v>56.308577648144677</v>
      </c>
      <c r="Z353" s="6">
        <f ca="1">('TUSD BE'!$AM$21+'TUSD BF'!$AM$21+'TUSD CVA'!$AM$21)*1</f>
        <v>113.43121292628391</v>
      </c>
      <c r="AA353" s="6">
        <f>('TE BE'!$AB$11+'TE BF'!$AB$11+'TE CVA'!$AB$11)*1</f>
        <v>362.64398683254075</v>
      </c>
      <c r="AB353" s="6">
        <f>$K$353*$V$353</f>
        <v>41602.799999999996</v>
      </c>
      <c r="AC353" s="6">
        <f>$M$353*$W$353</f>
        <v>2188.18174</v>
      </c>
      <c r="AD353" s="6">
        <f>$O$353*$X$353</f>
        <v>7015.3662000000004</v>
      </c>
      <c r="AE353" s="6">
        <f ca="1">$K$353*$Y$353</f>
        <v>41668.347459627061</v>
      </c>
      <c r="AF353" s="6">
        <f ca="1">$M$353*$Z$353</f>
        <v>2943.9937002887727</v>
      </c>
      <c r="AG353" s="6">
        <f>$O$353*$AA$353</f>
        <v>9412.0620342517632</v>
      </c>
    </row>
    <row r="354" spans="1:33" ht="11.25" customHeight="1" x14ac:dyDescent="0.25">
      <c r="A354" s="4" t="s">
        <v>21</v>
      </c>
      <c r="B354" s="4" t="s">
        <v>41</v>
      </c>
      <c r="C354" s="4" t="s">
        <v>42</v>
      </c>
      <c r="D354" s="4" t="s">
        <v>47</v>
      </c>
      <c r="E354" s="4" t="s">
        <v>25</v>
      </c>
      <c r="F354" s="4" t="s">
        <v>25</v>
      </c>
      <c r="G354" s="4" t="s">
        <v>25</v>
      </c>
      <c r="H354" s="4" t="s">
        <v>37</v>
      </c>
      <c r="I354" s="5">
        <v>44531</v>
      </c>
      <c r="J354" s="6">
        <v>37</v>
      </c>
      <c r="K354" s="42">
        <v>37</v>
      </c>
      <c r="L354" s="6">
        <v>2.7469999999999999</v>
      </c>
      <c r="M354" s="42">
        <v>2.7469999999999999</v>
      </c>
      <c r="N354" s="6">
        <v>2.7469999999999999</v>
      </c>
      <c r="O354" s="42">
        <v>2.7469999999999999</v>
      </c>
      <c r="P354" s="6">
        <v>0</v>
      </c>
      <c r="Q354" s="4" t="s">
        <v>26</v>
      </c>
      <c r="R354" s="4">
        <v>0</v>
      </c>
      <c r="S354" s="6">
        <v>20</v>
      </c>
      <c r="T354" s="6">
        <v>21</v>
      </c>
      <c r="U354" s="6">
        <v>75</v>
      </c>
      <c r="V354" s="42">
        <f>IF(ISERROR(VLOOKUP($S$354,'TAR FIN'!$A$1:$O$115,15,0)),0,VLOOKUP($S$354,'TAR FIN'!$A$1:$O$115,15,0))*(1-0.04)</f>
        <v>19.007999999999999</v>
      </c>
      <c r="W354" s="42">
        <f>IF(ISERROR(VLOOKUP($T$354,'TAR FIN'!$A$1:$O$115,15,0)),0,VLOOKUP($T$354,'TAR FIN'!$A$1:$O$115,15,0))*(1-0.04)</f>
        <v>80.937600000000003</v>
      </c>
      <c r="X354" s="42">
        <f>IF(ISERROR(VLOOKUP($U$354,'TAR FIN'!$A$1:$O$115,15,0)),0,VLOOKUP($U$354,'TAR FIN'!$A$1:$O$115,15,0))*(1-0.04)</f>
        <v>161.33760000000001</v>
      </c>
      <c r="Y354" s="42">
        <f ca="1">('TUSD BE'!$AM$20+'TUSD BF'!$AM$20+'TUSD CVA'!$AM$20)*1*(1-0.02)</f>
        <v>20.202910043621255</v>
      </c>
      <c r="Z354" s="42">
        <f ca="1">('TUSD BE'!$AM$21+'TUSD BF'!$AM$21+'TUSD CVA'!$AM$21)*1*(1-0.02)</f>
        <v>111.16258866775823</v>
      </c>
      <c r="AA354" s="42">
        <f>('TE BE'!$AB$12+'TE BF'!$AB$12+'TE CVA'!$AB$12)*1*(1-0.02)</f>
        <v>214.31171930230647</v>
      </c>
      <c r="AB354" s="6">
        <f>$K$354*$V$354</f>
        <v>703.29599999999994</v>
      </c>
      <c r="AC354" s="6">
        <f>$M$354*$W$354</f>
        <v>222.33558719999999</v>
      </c>
      <c r="AD354" s="6">
        <f>$O$354*$X$354</f>
        <v>443.19438719999999</v>
      </c>
      <c r="AE354" s="6">
        <f ca="1">$K$354*$Y$354</f>
        <v>747.50767161398642</v>
      </c>
      <c r="AF354" s="6">
        <f ca="1">$M$354*$Z$354</f>
        <v>305.36363107033185</v>
      </c>
      <c r="AG354" s="6">
        <f>$O$354*$AA$354</f>
        <v>588.71429292343589</v>
      </c>
    </row>
    <row r="355" spans="1:33" ht="11.25" customHeight="1" x14ac:dyDescent="0.25">
      <c r="A355" s="4" t="s">
        <v>21</v>
      </c>
      <c r="B355" s="4" t="s">
        <v>41</v>
      </c>
      <c r="C355" s="4" t="s">
        <v>42</v>
      </c>
      <c r="D355" s="4" t="s">
        <v>47</v>
      </c>
      <c r="E355" s="4" t="s">
        <v>25</v>
      </c>
      <c r="F355" s="4" t="s">
        <v>25</v>
      </c>
      <c r="G355" s="4" t="s">
        <v>25</v>
      </c>
      <c r="H355" s="4" t="s">
        <v>37</v>
      </c>
      <c r="I355" s="5">
        <v>44562</v>
      </c>
      <c r="J355" s="6">
        <v>38</v>
      </c>
      <c r="K355" s="42">
        <v>38</v>
      </c>
      <c r="L355" s="6">
        <v>2.8290000000000002</v>
      </c>
      <c r="M355" s="42">
        <v>2.8290000000000002</v>
      </c>
      <c r="N355" s="6">
        <v>2.8290000000000002</v>
      </c>
      <c r="O355" s="42">
        <v>2.8290000000000002</v>
      </c>
      <c r="P355" s="6">
        <v>0</v>
      </c>
      <c r="Q355" s="4" t="s">
        <v>26</v>
      </c>
      <c r="R355" s="4">
        <v>0</v>
      </c>
      <c r="S355" s="6">
        <v>20</v>
      </c>
      <c r="T355" s="6">
        <v>21</v>
      </c>
      <c r="U355" s="6">
        <v>75</v>
      </c>
      <c r="V355" s="42">
        <f>IF(ISERROR(VLOOKUP($S$355,'TAR FIN'!$A$1:$O$115,15,0)),0,VLOOKUP($S$355,'TAR FIN'!$A$1:$O$115,15,0))*(1-0.04)</f>
        <v>19.007999999999999</v>
      </c>
      <c r="W355" s="42">
        <f>IF(ISERROR(VLOOKUP($T$355,'TAR FIN'!$A$1:$O$115,15,0)),0,VLOOKUP($T$355,'TAR FIN'!$A$1:$O$115,15,0))*(1-0.04)</f>
        <v>80.937600000000003</v>
      </c>
      <c r="X355" s="42">
        <f>IF(ISERROR(VLOOKUP($U$355,'TAR FIN'!$A$1:$O$115,15,0)),0,VLOOKUP($U$355,'TAR FIN'!$A$1:$O$115,15,0))*(1-0.04)</f>
        <v>161.33760000000001</v>
      </c>
      <c r="Y355" s="42">
        <f ca="1">('TUSD BE'!$AM$20+'TUSD BF'!$AM$20+'TUSD CVA'!$AM$20)*1*(1-0.02)</f>
        <v>20.202910043621255</v>
      </c>
      <c r="Z355" s="42">
        <f ca="1">('TUSD BE'!$AM$21+'TUSD BF'!$AM$21+'TUSD CVA'!$AM$21)*1*(1-0.02)</f>
        <v>111.16258866775823</v>
      </c>
      <c r="AA355" s="42">
        <f>('TE BE'!$AB$12+'TE BF'!$AB$12+'TE CVA'!$AB$12)*1*(1-0.02)</f>
        <v>214.31171930230647</v>
      </c>
      <c r="AB355" s="6">
        <f>$K$355*$V$355</f>
        <v>722.30399999999997</v>
      </c>
      <c r="AC355" s="6">
        <f>$M$355*$W$355</f>
        <v>228.97247040000002</v>
      </c>
      <c r="AD355" s="6">
        <f>$O$355*$X$355</f>
        <v>456.42407040000006</v>
      </c>
      <c r="AE355" s="6">
        <f ca="1">$K$355*$Y$355</f>
        <v>767.71058165760769</v>
      </c>
      <c r="AF355" s="6">
        <f ca="1">$M$355*$Z$355</f>
        <v>314.47896334108805</v>
      </c>
      <c r="AG355" s="6">
        <f>$O$355*$AA$355</f>
        <v>606.287853906225</v>
      </c>
    </row>
    <row r="356" spans="1:33" ht="11.25" customHeight="1" x14ac:dyDescent="0.25">
      <c r="A356" s="4" t="s">
        <v>21</v>
      </c>
      <c r="B356" s="4" t="s">
        <v>41</v>
      </c>
      <c r="C356" s="4" t="s">
        <v>42</v>
      </c>
      <c r="D356" s="4" t="s">
        <v>47</v>
      </c>
      <c r="E356" s="4" t="s">
        <v>25</v>
      </c>
      <c r="F356" s="4" t="s">
        <v>25</v>
      </c>
      <c r="G356" s="4" t="s">
        <v>25</v>
      </c>
      <c r="H356" s="4" t="s">
        <v>37</v>
      </c>
      <c r="I356" s="5">
        <v>44593</v>
      </c>
      <c r="J356" s="6">
        <v>43</v>
      </c>
      <c r="K356" s="42">
        <v>43</v>
      </c>
      <c r="L356" s="6">
        <v>2.4849999999999999</v>
      </c>
      <c r="M356" s="42">
        <v>2.4849999999999999</v>
      </c>
      <c r="N356" s="6">
        <v>2.4849999999999999</v>
      </c>
      <c r="O356" s="42">
        <v>2.4849999999999999</v>
      </c>
      <c r="P356" s="6">
        <v>0</v>
      </c>
      <c r="Q356" s="4" t="s">
        <v>26</v>
      </c>
      <c r="R356" s="4">
        <v>0</v>
      </c>
      <c r="S356" s="6">
        <v>20</v>
      </c>
      <c r="T356" s="6">
        <v>21</v>
      </c>
      <c r="U356" s="6">
        <v>75</v>
      </c>
      <c r="V356" s="42">
        <f>IF(ISERROR(VLOOKUP($S$356,'TAR FIN'!$A$1:$O$115,15,0)),0,VLOOKUP($S$356,'TAR FIN'!$A$1:$O$115,15,0))*(1-0.04)</f>
        <v>19.007999999999999</v>
      </c>
      <c r="W356" s="42">
        <f>IF(ISERROR(VLOOKUP($T$356,'TAR FIN'!$A$1:$O$115,15,0)),0,VLOOKUP($T$356,'TAR FIN'!$A$1:$O$115,15,0))*(1-0.04)</f>
        <v>80.937600000000003</v>
      </c>
      <c r="X356" s="42">
        <f>IF(ISERROR(VLOOKUP($U$356,'TAR FIN'!$A$1:$O$115,15,0)),0,VLOOKUP($U$356,'TAR FIN'!$A$1:$O$115,15,0))*(1-0.04)</f>
        <v>161.33760000000001</v>
      </c>
      <c r="Y356" s="42">
        <f ca="1">('TUSD BE'!$AM$20+'TUSD BF'!$AM$20+'TUSD CVA'!$AM$20)*1*(1-0.02)</f>
        <v>20.202910043621255</v>
      </c>
      <c r="Z356" s="42">
        <f ca="1">('TUSD BE'!$AM$21+'TUSD BF'!$AM$21+'TUSD CVA'!$AM$21)*1*(1-0.02)</f>
        <v>111.16258866775823</v>
      </c>
      <c r="AA356" s="42">
        <f>('TE BE'!$AB$12+'TE BF'!$AB$12+'TE CVA'!$AB$12)*1*(1-0.02)</f>
        <v>214.31171930230647</v>
      </c>
      <c r="AB356" s="6">
        <f>$K$356*$V$356</f>
        <v>817.34399999999994</v>
      </c>
      <c r="AC356" s="6">
        <f>$M$356*$W$356</f>
        <v>201.12993599999999</v>
      </c>
      <c r="AD356" s="6">
        <f>$O$356*$X$356</f>
        <v>400.92393600000003</v>
      </c>
      <c r="AE356" s="6">
        <f ca="1">$K$356*$Y$356</f>
        <v>868.72513187571394</v>
      </c>
      <c r="AF356" s="6">
        <f ca="1">$M$356*$Z$356</f>
        <v>276.23903283937921</v>
      </c>
      <c r="AG356" s="6">
        <f>$O$356*$AA$356</f>
        <v>532.56462246623153</v>
      </c>
    </row>
    <row r="357" spans="1:33" ht="11.25" customHeight="1" x14ac:dyDescent="0.25">
      <c r="A357" s="4" t="s">
        <v>21</v>
      </c>
      <c r="B357" s="4" t="s">
        <v>41</v>
      </c>
      <c r="C357" s="4" t="s">
        <v>42</v>
      </c>
      <c r="D357" s="4" t="s">
        <v>47</v>
      </c>
      <c r="E357" s="4" t="s">
        <v>25</v>
      </c>
      <c r="F357" s="4" t="s">
        <v>25</v>
      </c>
      <c r="G357" s="4" t="s">
        <v>25</v>
      </c>
      <c r="H357" s="4" t="s">
        <v>37</v>
      </c>
      <c r="I357" s="5">
        <v>44621</v>
      </c>
      <c r="J357" s="6">
        <v>46</v>
      </c>
      <c r="K357" s="42">
        <v>46</v>
      </c>
      <c r="L357" s="6">
        <v>2.7090000000000001</v>
      </c>
      <c r="M357" s="42">
        <v>2.7090000000000001</v>
      </c>
      <c r="N357" s="6">
        <v>2.7090000000000001</v>
      </c>
      <c r="O357" s="42">
        <v>2.7090000000000001</v>
      </c>
      <c r="P357" s="6">
        <v>0</v>
      </c>
      <c r="Q357" s="4" t="s">
        <v>26</v>
      </c>
      <c r="R357" s="4">
        <v>0</v>
      </c>
      <c r="S357" s="6">
        <v>20</v>
      </c>
      <c r="T357" s="6">
        <v>21</v>
      </c>
      <c r="U357" s="6">
        <v>75</v>
      </c>
      <c r="V357" s="42">
        <f>IF(ISERROR(VLOOKUP($S$357,'TAR FIN'!$A$1:$O$115,15,0)),0,VLOOKUP($S$357,'TAR FIN'!$A$1:$O$115,15,0))*(1-0.04)</f>
        <v>19.007999999999999</v>
      </c>
      <c r="W357" s="42">
        <f>IF(ISERROR(VLOOKUP($T$357,'TAR FIN'!$A$1:$O$115,15,0)),0,VLOOKUP($T$357,'TAR FIN'!$A$1:$O$115,15,0))*(1-0.04)</f>
        <v>80.937600000000003</v>
      </c>
      <c r="X357" s="42">
        <f>IF(ISERROR(VLOOKUP($U$357,'TAR FIN'!$A$1:$O$115,15,0)),0,VLOOKUP($U$357,'TAR FIN'!$A$1:$O$115,15,0))*(1-0.04)</f>
        <v>161.33760000000001</v>
      </c>
      <c r="Y357" s="42">
        <f ca="1">('TUSD BE'!$AM$20+'TUSD BF'!$AM$20+'TUSD CVA'!$AM$20)*1*(1-0.02)</f>
        <v>20.202910043621255</v>
      </c>
      <c r="Z357" s="42">
        <f ca="1">('TUSD BE'!$AM$21+'TUSD BF'!$AM$21+'TUSD CVA'!$AM$21)*1*(1-0.02)</f>
        <v>111.16258866775823</v>
      </c>
      <c r="AA357" s="42">
        <f>('TE BE'!$AB$12+'TE BF'!$AB$12+'TE CVA'!$AB$12)*1*(1-0.02)</f>
        <v>214.31171930230647</v>
      </c>
      <c r="AB357" s="6">
        <f>$K$357*$V$357</f>
        <v>874.36799999999994</v>
      </c>
      <c r="AC357" s="6">
        <f>$M$357*$W$357</f>
        <v>219.25995840000002</v>
      </c>
      <c r="AD357" s="6">
        <f>$O$357*$X$357</f>
        <v>437.06355840000003</v>
      </c>
      <c r="AE357" s="6">
        <f ca="1">$K$357*$Y$357</f>
        <v>929.33386200657776</v>
      </c>
      <c r="AF357" s="6">
        <f ca="1">$M$357*$Z$357</f>
        <v>301.13945270095707</v>
      </c>
      <c r="AG357" s="6">
        <f>$O$357*$AA$357</f>
        <v>580.57044758994823</v>
      </c>
    </row>
    <row r="358" spans="1:33" ht="11.25" customHeight="1" x14ac:dyDescent="0.25">
      <c r="A358" s="4" t="s">
        <v>21</v>
      </c>
      <c r="B358" s="4" t="s">
        <v>41</v>
      </c>
      <c r="C358" s="4" t="s">
        <v>42</v>
      </c>
      <c r="D358" s="4" t="s">
        <v>47</v>
      </c>
      <c r="E358" s="4" t="s">
        <v>25</v>
      </c>
      <c r="F358" s="4" t="s">
        <v>25</v>
      </c>
      <c r="G358" s="4" t="s">
        <v>25</v>
      </c>
      <c r="H358" s="4" t="s">
        <v>37</v>
      </c>
      <c r="I358" s="5">
        <v>44652</v>
      </c>
      <c r="J358" s="6">
        <v>39</v>
      </c>
      <c r="K358" s="42">
        <v>39</v>
      </c>
      <c r="L358" s="6">
        <v>3.3929999999999998</v>
      </c>
      <c r="M358" s="42">
        <v>3.3929999999999998</v>
      </c>
      <c r="N358" s="6">
        <v>3.3929999999999998</v>
      </c>
      <c r="O358" s="42">
        <v>3.3929999999999998</v>
      </c>
      <c r="P358" s="6">
        <v>0</v>
      </c>
      <c r="Q358" s="4" t="s">
        <v>26</v>
      </c>
      <c r="R358" s="4">
        <v>0</v>
      </c>
      <c r="S358" s="6">
        <v>20</v>
      </c>
      <c r="T358" s="6">
        <v>21</v>
      </c>
      <c r="U358" s="6">
        <v>75</v>
      </c>
      <c r="V358" s="42">
        <f>IF(ISERROR(VLOOKUP($S$358,'TAR FIN'!$A$1:$O$115,15,0)),0,VLOOKUP($S$358,'TAR FIN'!$A$1:$O$115,15,0))*(1-0.04)</f>
        <v>19.007999999999999</v>
      </c>
      <c r="W358" s="42">
        <f>IF(ISERROR(VLOOKUP($T$358,'TAR FIN'!$A$1:$O$115,15,0)),0,VLOOKUP($T$358,'TAR FIN'!$A$1:$O$115,15,0))*(1-0.04)</f>
        <v>80.937600000000003</v>
      </c>
      <c r="X358" s="42">
        <f>IF(ISERROR(VLOOKUP($U$358,'TAR FIN'!$A$1:$O$115,15,0)),0,VLOOKUP($U$358,'TAR FIN'!$A$1:$O$115,15,0))*(1-0.04)</f>
        <v>161.33760000000001</v>
      </c>
      <c r="Y358" s="42">
        <f ca="1">('TUSD BE'!$AM$20+'TUSD BF'!$AM$20+'TUSD CVA'!$AM$20)*1*(1-0.02)</f>
        <v>20.202910043621255</v>
      </c>
      <c r="Z358" s="42">
        <f ca="1">('TUSD BE'!$AM$21+'TUSD BF'!$AM$21+'TUSD CVA'!$AM$21)*1*(1-0.02)</f>
        <v>111.16258866775823</v>
      </c>
      <c r="AA358" s="42">
        <f>('TE BE'!$AB$12+'TE BF'!$AB$12+'TE CVA'!$AB$12)*1*(1-0.02)</f>
        <v>214.31171930230647</v>
      </c>
      <c r="AB358" s="6">
        <f>$K$358*$V$358</f>
        <v>741.31200000000001</v>
      </c>
      <c r="AC358" s="6">
        <f>$M$358*$W$358</f>
        <v>274.62127679999998</v>
      </c>
      <c r="AD358" s="6">
        <f>$O$358*$X$358</f>
        <v>547.41847680000001</v>
      </c>
      <c r="AE358" s="6">
        <f ca="1">$K$358*$Y$358</f>
        <v>787.91349170122896</v>
      </c>
      <c r="AF358" s="6">
        <f ca="1">$M$358*$Z$358</f>
        <v>377.17466334970362</v>
      </c>
      <c r="AG358" s="6">
        <f>$O$358*$AA$358</f>
        <v>727.15966359272579</v>
      </c>
    </row>
    <row r="359" spans="1:33" ht="11.25" customHeight="1" x14ac:dyDescent="0.25">
      <c r="A359" s="4" t="s">
        <v>21</v>
      </c>
      <c r="B359" s="4" t="s">
        <v>41</v>
      </c>
      <c r="C359" s="4" t="s">
        <v>42</v>
      </c>
      <c r="D359" s="4" t="s">
        <v>47</v>
      </c>
      <c r="E359" s="4" t="s">
        <v>25</v>
      </c>
      <c r="F359" s="4" t="s">
        <v>25</v>
      </c>
      <c r="G359" s="4" t="s">
        <v>25</v>
      </c>
      <c r="H359" s="4" t="s">
        <v>37</v>
      </c>
      <c r="I359" s="5">
        <v>44682</v>
      </c>
      <c r="J359" s="6">
        <v>40</v>
      </c>
      <c r="K359" s="42">
        <v>40</v>
      </c>
      <c r="L359" s="6">
        <v>5.5970000000000004</v>
      </c>
      <c r="M359" s="42">
        <v>5.5970000000000004</v>
      </c>
      <c r="N359" s="6">
        <v>5.5970000000000004</v>
      </c>
      <c r="O359" s="42">
        <v>5.5970000000000004</v>
      </c>
      <c r="P359" s="6">
        <v>0</v>
      </c>
      <c r="Q359" s="4" t="s">
        <v>26</v>
      </c>
      <c r="R359" s="4">
        <v>0</v>
      </c>
      <c r="S359" s="6">
        <v>20</v>
      </c>
      <c r="T359" s="6">
        <v>21</v>
      </c>
      <c r="U359" s="6">
        <v>75</v>
      </c>
      <c r="V359" s="42">
        <f>IF(ISERROR(VLOOKUP($S$359,'TAR FIN'!$A$1:$O$115,15,0)),0,VLOOKUP($S$359,'TAR FIN'!$A$1:$O$115,15,0))*(1-0.04)</f>
        <v>19.007999999999999</v>
      </c>
      <c r="W359" s="42">
        <f>IF(ISERROR(VLOOKUP($T$359,'TAR FIN'!$A$1:$O$115,15,0)),0,VLOOKUP($T$359,'TAR FIN'!$A$1:$O$115,15,0))*(1-0.04)</f>
        <v>80.937600000000003</v>
      </c>
      <c r="X359" s="42">
        <f>IF(ISERROR(VLOOKUP($U$359,'TAR FIN'!$A$1:$O$115,15,0)),0,VLOOKUP($U$359,'TAR FIN'!$A$1:$O$115,15,0))*(1-0.04)</f>
        <v>161.33760000000001</v>
      </c>
      <c r="Y359" s="42">
        <f ca="1">('TUSD BE'!$AM$20+'TUSD BF'!$AM$20+'TUSD CVA'!$AM$20)*1*(1-0.02)</f>
        <v>20.202910043621255</v>
      </c>
      <c r="Z359" s="42">
        <f ca="1">('TUSD BE'!$AM$21+'TUSD BF'!$AM$21+'TUSD CVA'!$AM$21)*1*(1-0.02)</f>
        <v>111.16258866775823</v>
      </c>
      <c r="AA359" s="42">
        <f>('TE BE'!$AB$12+'TE BF'!$AB$12+'TE CVA'!$AB$12)*1*(1-0.02)</f>
        <v>214.31171930230647</v>
      </c>
      <c r="AB359" s="6">
        <f>$K$359*$V$359</f>
        <v>760.31999999999994</v>
      </c>
      <c r="AC359" s="6">
        <f>$M$359*$W$359</f>
        <v>453.00774720000004</v>
      </c>
      <c r="AD359" s="6">
        <f>$O$359*$X$359</f>
        <v>903.00654720000011</v>
      </c>
      <c r="AE359" s="6">
        <f ca="1">$K$359*$Y$359</f>
        <v>808.11640174485024</v>
      </c>
      <c r="AF359" s="6">
        <f ca="1">$M$359*$Z$359</f>
        <v>622.17700877344282</v>
      </c>
      <c r="AG359" s="6">
        <f>$O$359*$AA$359</f>
        <v>1199.5026929350095</v>
      </c>
    </row>
    <row r="360" spans="1:33" ht="11.25" customHeight="1" x14ac:dyDescent="0.25">
      <c r="A360" s="4" t="s">
        <v>21</v>
      </c>
      <c r="B360" s="4" t="s">
        <v>41</v>
      </c>
      <c r="C360" s="4" t="s">
        <v>42</v>
      </c>
      <c r="D360" s="4" t="s">
        <v>47</v>
      </c>
      <c r="E360" s="4" t="s">
        <v>25</v>
      </c>
      <c r="F360" s="4" t="s">
        <v>25</v>
      </c>
      <c r="G360" s="4" t="s">
        <v>25</v>
      </c>
      <c r="H360" s="4" t="s">
        <v>37</v>
      </c>
      <c r="I360" s="5">
        <v>44713</v>
      </c>
      <c r="J360" s="6">
        <v>37</v>
      </c>
      <c r="K360" s="42">
        <v>37</v>
      </c>
      <c r="L360" s="6">
        <v>5.2489999999999997</v>
      </c>
      <c r="M360" s="42">
        <v>5.2489999999999997</v>
      </c>
      <c r="N360" s="6">
        <v>5.2489999999999997</v>
      </c>
      <c r="O360" s="42">
        <v>5.2489999999999997</v>
      </c>
      <c r="P360" s="6">
        <v>0</v>
      </c>
      <c r="Q360" s="4" t="s">
        <v>26</v>
      </c>
      <c r="R360" s="4">
        <v>0</v>
      </c>
      <c r="S360" s="6">
        <v>20</v>
      </c>
      <c r="T360" s="6">
        <v>21</v>
      </c>
      <c r="U360" s="6">
        <v>75</v>
      </c>
      <c r="V360" s="42">
        <f>IF(ISERROR(VLOOKUP($S$360,'TAR FIN'!$A$1:$O$115,15,0)),0,VLOOKUP($S$360,'TAR FIN'!$A$1:$O$115,15,0))*(1-0.04)</f>
        <v>19.007999999999999</v>
      </c>
      <c r="W360" s="42">
        <f>IF(ISERROR(VLOOKUP($T$360,'TAR FIN'!$A$1:$O$115,15,0)),0,VLOOKUP($T$360,'TAR FIN'!$A$1:$O$115,15,0))*(1-0.04)</f>
        <v>80.937600000000003</v>
      </c>
      <c r="X360" s="42">
        <f>IF(ISERROR(VLOOKUP($U$360,'TAR FIN'!$A$1:$O$115,15,0)),0,VLOOKUP($U$360,'TAR FIN'!$A$1:$O$115,15,0))*(1-0.04)</f>
        <v>161.33760000000001</v>
      </c>
      <c r="Y360" s="42">
        <f ca="1">('TUSD BE'!$AM$20+'TUSD BF'!$AM$20+'TUSD CVA'!$AM$20)*1*(1-0.02)</f>
        <v>20.202910043621255</v>
      </c>
      <c r="Z360" s="42">
        <f ca="1">('TUSD BE'!$AM$21+'TUSD BF'!$AM$21+'TUSD CVA'!$AM$21)*1*(1-0.02)</f>
        <v>111.16258866775823</v>
      </c>
      <c r="AA360" s="42">
        <f>('TE BE'!$AB$12+'TE BF'!$AB$12+'TE CVA'!$AB$12)*1*(1-0.02)</f>
        <v>214.31171930230647</v>
      </c>
      <c r="AB360" s="6">
        <f>$K$360*$V$360</f>
        <v>703.29599999999994</v>
      </c>
      <c r="AC360" s="6">
        <f>$M$360*$W$360</f>
        <v>424.84146240000001</v>
      </c>
      <c r="AD360" s="6">
        <f>$O$360*$X$360</f>
        <v>846.86106240000004</v>
      </c>
      <c r="AE360" s="6">
        <f ca="1">$K$360*$Y$360</f>
        <v>747.50767161398642</v>
      </c>
      <c r="AF360" s="6">
        <f ca="1">$M$360*$Z$360</f>
        <v>583.49242791706286</v>
      </c>
      <c r="AG360" s="6">
        <f>$O$360*$AA$360</f>
        <v>1124.9222146178065</v>
      </c>
    </row>
    <row r="361" spans="1:33" ht="11.25" customHeight="1" x14ac:dyDescent="0.25">
      <c r="A361" s="4" t="s">
        <v>21</v>
      </c>
      <c r="B361" s="4" t="s">
        <v>41</v>
      </c>
      <c r="C361" s="4" t="s">
        <v>42</v>
      </c>
      <c r="D361" s="4" t="s">
        <v>47</v>
      </c>
      <c r="E361" s="4" t="s">
        <v>25</v>
      </c>
      <c r="F361" s="4" t="s">
        <v>25</v>
      </c>
      <c r="G361" s="4" t="s">
        <v>25</v>
      </c>
      <c r="H361" s="4" t="s">
        <v>37</v>
      </c>
      <c r="I361" s="5">
        <v>44743</v>
      </c>
      <c r="J361" s="6">
        <v>36</v>
      </c>
      <c r="K361" s="42">
        <v>36</v>
      </c>
      <c r="L361" s="6">
        <v>5.2160000000000002</v>
      </c>
      <c r="M361" s="42">
        <v>5.2160000000000002</v>
      </c>
      <c r="N361" s="6">
        <v>5.2160000000000002</v>
      </c>
      <c r="O361" s="42">
        <v>5.2160000000000002</v>
      </c>
      <c r="P361" s="6">
        <v>0</v>
      </c>
      <c r="Q361" s="4" t="s">
        <v>26</v>
      </c>
      <c r="R361" s="4">
        <v>0</v>
      </c>
      <c r="S361" s="6">
        <v>20</v>
      </c>
      <c r="T361" s="6">
        <v>21</v>
      </c>
      <c r="U361" s="6">
        <v>75</v>
      </c>
      <c r="V361" s="42">
        <f>IF(ISERROR(VLOOKUP($S$361,'TAR FIN'!$A$1:$O$115,15,0)),0,VLOOKUP($S$361,'TAR FIN'!$A$1:$O$115,15,0))*(1-0.04)</f>
        <v>19.007999999999999</v>
      </c>
      <c r="W361" s="42">
        <f>IF(ISERROR(VLOOKUP($T$361,'TAR FIN'!$A$1:$O$115,15,0)),0,VLOOKUP($T$361,'TAR FIN'!$A$1:$O$115,15,0))*(1-0.04)</f>
        <v>80.937600000000003</v>
      </c>
      <c r="X361" s="42">
        <f>IF(ISERROR(VLOOKUP($U$361,'TAR FIN'!$A$1:$O$115,15,0)),0,VLOOKUP($U$361,'TAR FIN'!$A$1:$O$115,15,0))*(1-0.04)</f>
        <v>161.33760000000001</v>
      </c>
      <c r="Y361" s="42">
        <f ca="1">('TUSD BE'!$AM$20+'TUSD BF'!$AM$20+'TUSD CVA'!$AM$20)*1*(1-0.02)</f>
        <v>20.202910043621255</v>
      </c>
      <c r="Z361" s="42">
        <f ca="1">('TUSD BE'!$AM$21+'TUSD BF'!$AM$21+'TUSD CVA'!$AM$21)*1*(1-0.02)</f>
        <v>111.16258866775823</v>
      </c>
      <c r="AA361" s="42">
        <f>('TE BE'!$AB$12+'TE BF'!$AB$12+'TE CVA'!$AB$12)*1*(1-0.02)</f>
        <v>214.31171930230647</v>
      </c>
      <c r="AB361" s="6">
        <f>$K$361*$V$361</f>
        <v>684.28800000000001</v>
      </c>
      <c r="AC361" s="6">
        <f>$M$361*$W$361</f>
        <v>422.17052160000003</v>
      </c>
      <c r="AD361" s="6">
        <f>$O$361*$X$361</f>
        <v>841.53692160000003</v>
      </c>
      <c r="AE361" s="6">
        <f ca="1">$K$361*$Y$361</f>
        <v>727.30476157036514</v>
      </c>
      <c r="AF361" s="6">
        <f ca="1">$M$361*$Z$361</f>
        <v>579.82406249102689</v>
      </c>
      <c r="AG361" s="6">
        <f>$O$361*$AA$361</f>
        <v>1117.8499278808306</v>
      </c>
    </row>
    <row r="362" spans="1:33" ht="11.25" customHeight="1" x14ac:dyDescent="0.25">
      <c r="A362" s="4" t="s">
        <v>21</v>
      </c>
      <c r="B362" s="4" t="s">
        <v>41</v>
      </c>
      <c r="C362" s="4" t="s">
        <v>42</v>
      </c>
      <c r="D362" s="4" t="s">
        <v>47</v>
      </c>
      <c r="E362" s="4" t="s">
        <v>25</v>
      </c>
      <c r="F362" s="4" t="s">
        <v>25</v>
      </c>
      <c r="G362" s="4" t="s">
        <v>25</v>
      </c>
      <c r="H362" s="4" t="s">
        <v>37</v>
      </c>
      <c r="I362" s="5">
        <v>44774</v>
      </c>
      <c r="J362" s="6">
        <v>40</v>
      </c>
      <c r="K362" s="42">
        <v>40</v>
      </c>
      <c r="L362" s="6">
        <v>6.2619999999999996</v>
      </c>
      <c r="M362" s="42">
        <v>6.2619999999999996</v>
      </c>
      <c r="N362" s="6">
        <v>6.2619999999999996</v>
      </c>
      <c r="O362" s="42">
        <v>6.2619999999999996</v>
      </c>
      <c r="P362" s="6">
        <v>0</v>
      </c>
      <c r="Q362" s="4" t="s">
        <v>26</v>
      </c>
      <c r="R362" s="4">
        <v>0</v>
      </c>
      <c r="S362" s="6">
        <v>20</v>
      </c>
      <c r="T362" s="6">
        <v>21</v>
      </c>
      <c r="U362" s="6">
        <v>75</v>
      </c>
      <c r="V362" s="42">
        <f>IF(ISERROR(VLOOKUP($S$362,'TAR FIN'!$A$1:$O$115,15,0)),0,VLOOKUP($S$362,'TAR FIN'!$A$1:$O$115,15,0))*(1-0.04)</f>
        <v>19.007999999999999</v>
      </c>
      <c r="W362" s="42">
        <f>IF(ISERROR(VLOOKUP($T$362,'TAR FIN'!$A$1:$O$115,15,0)),0,VLOOKUP($T$362,'TAR FIN'!$A$1:$O$115,15,0))*(1-0.04)</f>
        <v>80.937600000000003</v>
      </c>
      <c r="X362" s="42">
        <f>IF(ISERROR(VLOOKUP($U$362,'TAR FIN'!$A$1:$O$115,15,0)),0,VLOOKUP($U$362,'TAR FIN'!$A$1:$O$115,15,0))*(1-0.04)</f>
        <v>161.33760000000001</v>
      </c>
      <c r="Y362" s="42">
        <f ca="1">('TUSD BE'!$AM$20+'TUSD BF'!$AM$20+'TUSD CVA'!$AM$20)*1*(1-0.02)</f>
        <v>20.202910043621255</v>
      </c>
      <c r="Z362" s="42">
        <f ca="1">('TUSD BE'!$AM$21+'TUSD BF'!$AM$21+'TUSD CVA'!$AM$21)*1*(1-0.02)</f>
        <v>111.16258866775823</v>
      </c>
      <c r="AA362" s="42">
        <f>('TE BE'!$AB$12+'TE BF'!$AB$12+'TE CVA'!$AB$12)*1*(1-0.02)</f>
        <v>214.31171930230647</v>
      </c>
      <c r="AB362" s="6">
        <f>$K$362*$V$362</f>
        <v>760.31999999999994</v>
      </c>
      <c r="AC362" s="6">
        <f>$M$362*$W$362</f>
        <v>506.8312512</v>
      </c>
      <c r="AD362" s="6">
        <f>$O$362*$X$362</f>
        <v>1010.2960512</v>
      </c>
      <c r="AE362" s="6">
        <f ca="1">$K$362*$Y$362</f>
        <v>808.11640174485024</v>
      </c>
      <c r="AF362" s="6">
        <f ca="1">$M$362*$Z$362</f>
        <v>696.10013023750196</v>
      </c>
      <c r="AG362" s="6">
        <f>$O$362*$AA$362</f>
        <v>1342.0199862710431</v>
      </c>
    </row>
    <row r="363" spans="1:33" ht="11.25" customHeight="1" x14ac:dyDescent="0.25">
      <c r="A363" s="4" t="s">
        <v>21</v>
      </c>
      <c r="B363" s="4" t="s">
        <v>41</v>
      </c>
      <c r="C363" s="4" t="s">
        <v>42</v>
      </c>
      <c r="D363" s="4" t="s">
        <v>47</v>
      </c>
      <c r="E363" s="4" t="s">
        <v>25</v>
      </c>
      <c r="F363" s="4" t="s">
        <v>25</v>
      </c>
      <c r="G363" s="4" t="s">
        <v>25</v>
      </c>
      <c r="H363" s="4" t="s">
        <v>37</v>
      </c>
      <c r="I363" s="5">
        <v>44805</v>
      </c>
      <c r="J363" s="6">
        <v>38</v>
      </c>
      <c r="K363" s="42">
        <v>38</v>
      </c>
      <c r="L363" s="6">
        <v>6.8289999999999997</v>
      </c>
      <c r="M363" s="42">
        <v>6.8289999999999997</v>
      </c>
      <c r="N363" s="6">
        <v>6.8289999999999997</v>
      </c>
      <c r="O363" s="42">
        <v>6.8289999999999997</v>
      </c>
      <c r="P363" s="6">
        <v>0</v>
      </c>
      <c r="Q363" s="4" t="s">
        <v>26</v>
      </c>
      <c r="R363" s="4">
        <v>0</v>
      </c>
      <c r="S363" s="6">
        <v>20</v>
      </c>
      <c r="T363" s="6">
        <v>21</v>
      </c>
      <c r="U363" s="6">
        <v>75</v>
      </c>
      <c r="V363" s="42">
        <f>IF(ISERROR(VLOOKUP($S$363,'TAR FIN'!$A$1:$O$115,15,0)),0,VLOOKUP($S$363,'TAR FIN'!$A$1:$O$115,15,0))*(1-0.04)</f>
        <v>19.007999999999999</v>
      </c>
      <c r="W363" s="42">
        <f>IF(ISERROR(VLOOKUP($T$363,'TAR FIN'!$A$1:$O$115,15,0)),0,VLOOKUP($T$363,'TAR FIN'!$A$1:$O$115,15,0))*(1-0.04)</f>
        <v>80.937600000000003</v>
      </c>
      <c r="X363" s="42">
        <f>IF(ISERROR(VLOOKUP($U$363,'TAR FIN'!$A$1:$O$115,15,0)),0,VLOOKUP($U$363,'TAR FIN'!$A$1:$O$115,15,0))*(1-0.04)</f>
        <v>161.33760000000001</v>
      </c>
      <c r="Y363" s="42">
        <f ca="1">('TUSD BE'!$AM$20+'TUSD BF'!$AM$20+'TUSD CVA'!$AM$20)*1*(1-0.02)</f>
        <v>20.202910043621255</v>
      </c>
      <c r="Z363" s="42">
        <f ca="1">('TUSD BE'!$AM$21+'TUSD BF'!$AM$21+'TUSD CVA'!$AM$21)*1*(1-0.02)</f>
        <v>111.16258866775823</v>
      </c>
      <c r="AA363" s="42">
        <f>('TE BE'!$AB$12+'TE BF'!$AB$12+'TE CVA'!$AB$12)*1*(1-0.02)</f>
        <v>214.31171930230647</v>
      </c>
      <c r="AB363" s="6">
        <f>$K$363*$V$363</f>
        <v>722.30399999999997</v>
      </c>
      <c r="AC363" s="6">
        <f>$M$363*$W$363</f>
        <v>552.72287040000003</v>
      </c>
      <c r="AD363" s="6">
        <f>$O$363*$X$363</f>
        <v>1101.7744703999999</v>
      </c>
      <c r="AE363" s="6">
        <f ca="1">$K$363*$Y$363</f>
        <v>767.71058165760769</v>
      </c>
      <c r="AF363" s="6">
        <f ca="1">$M$363*$Z$363</f>
        <v>759.12931801212096</v>
      </c>
      <c r="AG363" s="6">
        <f>$O$363*$AA$363</f>
        <v>1463.5347311154508</v>
      </c>
    </row>
    <row r="364" spans="1:33" ht="11.25" customHeight="1" x14ac:dyDescent="0.25">
      <c r="A364" s="4" t="s">
        <v>21</v>
      </c>
      <c r="B364" s="4" t="s">
        <v>41</v>
      </c>
      <c r="C364" s="4" t="s">
        <v>42</v>
      </c>
      <c r="D364" s="4" t="s">
        <v>47</v>
      </c>
      <c r="E364" s="4" t="s">
        <v>25</v>
      </c>
      <c r="F364" s="4" t="s">
        <v>25</v>
      </c>
      <c r="G364" s="4" t="s">
        <v>25</v>
      </c>
      <c r="H364" s="4" t="s">
        <v>37</v>
      </c>
      <c r="I364" s="5">
        <v>44835</v>
      </c>
      <c r="J364" s="6">
        <v>41</v>
      </c>
      <c r="K364" s="42">
        <v>41</v>
      </c>
      <c r="L364" s="6">
        <v>6.1150000000000002</v>
      </c>
      <c r="M364" s="42">
        <v>6.1150000000000002</v>
      </c>
      <c r="N364" s="6">
        <v>6.1150000000000002</v>
      </c>
      <c r="O364" s="42">
        <v>6.1150000000000002</v>
      </c>
      <c r="P364" s="6">
        <v>0</v>
      </c>
      <c r="Q364" s="4" t="s">
        <v>26</v>
      </c>
      <c r="R364" s="4">
        <v>0</v>
      </c>
      <c r="S364" s="6">
        <v>20</v>
      </c>
      <c r="T364" s="6">
        <v>21</v>
      </c>
      <c r="U364" s="6">
        <v>75</v>
      </c>
      <c r="V364" s="42">
        <f>IF(ISERROR(VLOOKUP($S$364,'TAR FIN'!$A$1:$O$115,15,0)),0,VLOOKUP($S$364,'TAR FIN'!$A$1:$O$115,15,0))*(1-0.04)</f>
        <v>19.007999999999999</v>
      </c>
      <c r="W364" s="42">
        <f>IF(ISERROR(VLOOKUP($T$364,'TAR FIN'!$A$1:$O$115,15,0)),0,VLOOKUP($T$364,'TAR FIN'!$A$1:$O$115,15,0))*(1-0.04)</f>
        <v>80.937600000000003</v>
      </c>
      <c r="X364" s="42">
        <f>IF(ISERROR(VLOOKUP($U$364,'TAR FIN'!$A$1:$O$115,15,0)),0,VLOOKUP($U$364,'TAR FIN'!$A$1:$O$115,15,0))*(1-0.04)</f>
        <v>161.33760000000001</v>
      </c>
      <c r="Y364" s="42">
        <f ca="1">('TUSD BE'!$AM$20+'TUSD BF'!$AM$20+'TUSD CVA'!$AM$20)*1*(1-0.02)</f>
        <v>20.202910043621255</v>
      </c>
      <c r="Z364" s="42">
        <f ca="1">('TUSD BE'!$AM$21+'TUSD BF'!$AM$21+'TUSD CVA'!$AM$21)*1*(1-0.02)</f>
        <v>111.16258866775823</v>
      </c>
      <c r="AA364" s="42">
        <f>('TE BE'!$AB$12+'TE BF'!$AB$12+'TE CVA'!$AB$12)*1*(1-0.02)</f>
        <v>214.31171930230647</v>
      </c>
      <c r="AB364" s="6">
        <f>$K$364*$V$364</f>
        <v>779.32799999999997</v>
      </c>
      <c r="AC364" s="6">
        <f>$M$364*$W$364</f>
        <v>494.93342400000006</v>
      </c>
      <c r="AD364" s="6">
        <f>$O$364*$X$364</f>
        <v>986.57942400000013</v>
      </c>
      <c r="AE364" s="6">
        <f ca="1">$K$364*$Y$364</f>
        <v>828.31931178847151</v>
      </c>
      <c r="AF364" s="6">
        <f ca="1">$M$364*$Z$364</f>
        <v>679.75922970334159</v>
      </c>
      <c r="AG364" s="6">
        <f>$O$364*$AA$364</f>
        <v>1310.5161635336042</v>
      </c>
    </row>
    <row r="365" spans="1:33" ht="11.25" customHeight="1" x14ac:dyDescent="0.25">
      <c r="A365" s="4" t="s">
        <v>59</v>
      </c>
      <c r="B365" s="4" t="s">
        <v>41</v>
      </c>
      <c r="C365" s="4" t="s">
        <v>42</v>
      </c>
      <c r="D365" s="4" t="s">
        <v>47</v>
      </c>
      <c r="E365" s="4" t="s">
        <v>25</v>
      </c>
      <c r="F365" s="4" t="s">
        <v>25</v>
      </c>
      <c r="G365" s="4" t="s">
        <v>25</v>
      </c>
      <c r="H365" s="4" t="s">
        <v>37</v>
      </c>
      <c r="I365" s="5">
        <v>44866</v>
      </c>
      <c r="J365" s="6">
        <v>41</v>
      </c>
      <c r="K365" s="42">
        <v>41</v>
      </c>
      <c r="L365" s="6">
        <v>6.1150000000000002</v>
      </c>
      <c r="M365" s="42">
        <v>6.1150000000000002</v>
      </c>
      <c r="N365" s="6">
        <v>6.1150000000000002</v>
      </c>
      <c r="O365" s="42">
        <v>6.1150000000000002</v>
      </c>
      <c r="P365" s="6">
        <v>0</v>
      </c>
      <c r="Q365" s="4" t="s">
        <v>26</v>
      </c>
      <c r="R365" s="4">
        <v>0</v>
      </c>
      <c r="S365" s="6">
        <v>20</v>
      </c>
      <c r="T365" s="6">
        <v>21</v>
      </c>
      <c r="U365" s="6">
        <v>75</v>
      </c>
      <c r="V365" s="42">
        <f>IF(ISERROR(VLOOKUP($S$365,'TAR FIN'!$A$1:$O$115,15,0)),0,VLOOKUP($S$365,'TAR FIN'!$A$1:$O$115,15,0))*(1-0.04)</f>
        <v>19.007999999999999</v>
      </c>
      <c r="W365" s="42">
        <f>IF(ISERROR(VLOOKUP($T$365,'TAR FIN'!$A$1:$O$115,15,0)),0,VLOOKUP($T$365,'TAR FIN'!$A$1:$O$115,15,0))*(1-0.04)</f>
        <v>80.937600000000003</v>
      </c>
      <c r="X365" s="42">
        <f>IF(ISERROR(VLOOKUP($U$365,'TAR FIN'!$A$1:$O$115,15,0)),0,VLOOKUP($U$365,'TAR FIN'!$A$1:$O$115,15,0))*(1-0.04)</f>
        <v>161.33760000000001</v>
      </c>
      <c r="Y365" s="42">
        <f ca="1">('TUSD BE'!$AM$20+'TUSD BF'!$AM$20+'TUSD CVA'!$AM$20)*1*(1-0.02)</f>
        <v>20.202910043621255</v>
      </c>
      <c r="Z365" s="42">
        <f ca="1">('TUSD BE'!$AM$21+'TUSD BF'!$AM$21+'TUSD CVA'!$AM$21)*1*(1-0.02)</f>
        <v>111.16258866775823</v>
      </c>
      <c r="AA365" s="42">
        <f>('TE BE'!$AB$12+'TE BF'!$AB$12+'TE CVA'!$AB$12)*1*(1-0.02)</f>
        <v>214.31171930230647</v>
      </c>
      <c r="AB365" s="6">
        <f>$K$365*$V$365</f>
        <v>779.32799999999997</v>
      </c>
      <c r="AC365" s="6">
        <f>$M$365*$W$365</f>
        <v>494.93342400000006</v>
      </c>
      <c r="AD365" s="6">
        <f>$O$365*$X$365</f>
        <v>986.57942400000013</v>
      </c>
      <c r="AE365" s="6">
        <f ca="1">$K$365*$Y$365</f>
        <v>828.31931178847151</v>
      </c>
      <c r="AF365" s="6">
        <f ca="1">$M$365*$Z$365</f>
        <v>679.75922970334159</v>
      </c>
      <c r="AG365" s="6">
        <f>$O$365*$AA$365</f>
        <v>1310.5161635336042</v>
      </c>
    </row>
    <row r="366" spans="1:33" ht="11.25" customHeight="1" x14ac:dyDescent="0.25">
      <c r="A366" s="4" t="s">
        <v>21</v>
      </c>
      <c r="B366" s="4" t="s">
        <v>41</v>
      </c>
      <c r="C366" s="4" t="s">
        <v>42</v>
      </c>
      <c r="D366" s="4" t="s">
        <v>47</v>
      </c>
      <c r="E366" s="4" t="s">
        <v>25</v>
      </c>
      <c r="F366" s="4" t="s">
        <v>25</v>
      </c>
      <c r="G366" s="4" t="s">
        <v>25</v>
      </c>
      <c r="H366" s="4" t="s">
        <v>36</v>
      </c>
      <c r="I366" s="5">
        <v>44531</v>
      </c>
      <c r="J366" s="6">
        <v>7</v>
      </c>
      <c r="K366" s="42">
        <v>7</v>
      </c>
      <c r="L366" s="6">
        <v>0.246</v>
      </c>
      <c r="M366" s="42">
        <v>0.246</v>
      </c>
      <c r="N366" s="6">
        <v>0.246</v>
      </c>
      <c r="O366" s="42">
        <v>0.246</v>
      </c>
      <c r="P366" s="6">
        <v>0</v>
      </c>
      <c r="Q366" s="4" t="s">
        <v>26</v>
      </c>
      <c r="R366" s="4">
        <v>0</v>
      </c>
      <c r="S366" s="6">
        <v>19</v>
      </c>
      <c r="T366" s="6">
        <v>21</v>
      </c>
      <c r="U366" s="6">
        <v>74</v>
      </c>
      <c r="V366" s="42">
        <f>IF(ISERROR(VLOOKUP($S$366,'TAR FIN'!$A$1:$O$115,15,0)),0,VLOOKUP($S$366,'TAR FIN'!$A$1:$O$115,15,0))*(1-0.04)</f>
        <v>53.971199999999996</v>
      </c>
      <c r="W366" s="42">
        <f>IF(ISERROR(VLOOKUP($T$366,'TAR FIN'!$A$1:$O$115,15,0)),0,VLOOKUP($T$366,'TAR FIN'!$A$1:$O$115,15,0))*(1-0.04)</f>
        <v>80.937600000000003</v>
      </c>
      <c r="X366" s="42">
        <f>IF(ISERROR(VLOOKUP($U$366,'TAR FIN'!$A$1:$O$115,15,0)),0,VLOOKUP($U$366,'TAR FIN'!$A$1:$O$115,15,0))*(1-0.04)</f>
        <v>259.488</v>
      </c>
      <c r="Y366" s="42">
        <f ca="1">('TUSD BE'!$AM$19+'TUSD BF'!$AM$19+'TUSD CVA'!$AM$19)*1*(1-0.02)</f>
        <v>55.182406095181783</v>
      </c>
      <c r="Z366" s="42">
        <f ca="1">('TUSD BE'!$AM$21+'TUSD BF'!$AM$21+'TUSD CVA'!$AM$21)*1*(1-0.02)</f>
        <v>111.16258866775823</v>
      </c>
      <c r="AA366" s="42">
        <f>('TE BE'!$AB$11+'TE BF'!$AB$11+'TE CVA'!$AB$11)*1*(1-0.02)</f>
        <v>355.39110709588994</v>
      </c>
      <c r="AB366" s="6">
        <f>$K$366*$V$366</f>
        <v>377.79839999999996</v>
      </c>
      <c r="AC366" s="6">
        <f>$M$366*$W$366</f>
        <v>19.910649599999999</v>
      </c>
      <c r="AD366" s="6">
        <f>$O$366*$X$366</f>
        <v>63.834047999999996</v>
      </c>
      <c r="AE366" s="6">
        <f ca="1">$K$366*$Y$366</f>
        <v>386.2768426662725</v>
      </c>
      <c r="AF366" s="6">
        <f ca="1">$M$366*$Z$366</f>
        <v>27.345996812268524</v>
      </c>
      <c r="AG366" s="6">
        <f>$O$366*$AA$366</f>
        <v>87.426212345588922</v>
      </c>
    </row>
    <row r="367" spans="1:33" ht="11.25" customHeight="1" x14ac:dyDescent="0.25">
      <c r="A367" s="4" t="s">
        <v>21</v>
      </c>
      <c r="B367" s="4" t="s">
        <v>41</v>
      </c>
      <c r="C367" s="4" t="s">
        <v>42</v>
      </c>
      <c r="D367" s="4" t="s">
        <v>47</v>
      </c>
      <c r="E367" s="4" t="s">
        <v>25</v>
      </c>
      <c r="F367" s="4" t="s">
        <v>25</v>
      </c>
      <c r="G367" s="4" t="s">
        <v>25</v>
      </c>
      <c r="H367" s="4" t="s">
        <v>36</v>
      </c>
      <c r="I367" s="5">
        <v>44562</v>
      </c>
      <c r="J367" s="6">
        <v>7</v>
      </c>
      <c r="K367" s="42">
        <v>7</v>
      </c>
      <c r="L367" s="6">
        <v>0.246</v>
      </c>
      <c r="M367" s="42">
        <v>0.246</v>
      </c>
      <c r="N367" s="6">
        <v>0.246</v>
      </c>
      <c r="O367" s="42">
        <v>0.246</v>
      </c>
      <c r="P367" s="6">
        <v>0</v>
      </c>
      <c r="Q367" s="4" t="s">
        <v>26</v>
      </c>
      <c r="R367" s="4">
        <v>0</v>
      </c>
      <c r="S367" s="6">
        <v>19</v>
      </c>
      <c r="T367" s="6">
        <v>21</v>
      </c>
      <c r="U367" s="6">
        <v>74</v>
      </c>
      <c r="V367" s="42">
        <f>IF(ISERROR(VLOOKUP($S$367,'TAR FIN'!$A$1:$O$115,15,0)),0,VLOOKUP($S$367,'TAR FIN'!$A$1:$O$115,15,0))*(1-0.04)</f>
        <v>53.971199999999996</v>
      </c>
      <c r="W367" s="42">
        <f>IF(ISERROR(VLOOKUP($T$367,'TAR FIN'!$A$1:$O$115,15,0)),0,VLOOKUP($T$367,'TAR FIN'!$A$1:$O$115,15,0))*(1-0.04)</f>
        <v>80.937600000000003</v>
      </c>
      <c r="X367" s="42">
        <f>IF(ISERROR(VLOOKUP($U$367,'TAR FIN'!$A$1:$O$115,15,0)),0,VLOOKUP($U$367,'TAR FIN'!$A$1:$O$115,15,0))*(1-0.04)</f>
        <v>259.488</v>
      </c>
      <c r="Y367" s="42">
        <f ca="1">('TUSD BE'!$AM$19+'TUSD BF'!$AM$19+'TUSD CVA'!$AM$19)*1*(1-0.02)</f>
        <v>55.182406095181783</v>
      </c>
      <c r="Z367" s="42">
        <f ca="1">('TUSD BE'!$AM$21+'TUSD BF'!$AM$21+'TUSD CVA'!$AM$21)*1*(1-0.02)</f>
        <v>111.16258866775823</v>
      </c>
      <c r="AA367" s="42">
        <f>('TE BE'!$AB$11+'TE BF'!$AB$11+'TE CVA'!$AB$11)*1*(1-0.02)</f>
        <v>355.39110709588994</v>
      </c>
      <c r="AB367" s="6">
        <f>$K$367*$V$367</f>
        <v>377.79839999999996</v>
      </c>
      <c r="AC367" s="6">
        <f>$M$367*$W$367</f>
        <v>19.910649599999999</v>
      </c>
      <c r="AD367" s="6">
        <f>$O$367*$X$367</f>
        <v>63.834047999999996</v>
      </c>
      <c r="AE367" s="6">
        <f ca="1">$K$367*$Y$367</f>
        <v>386.2768426662725</v>
      </c>
      <c r="AF367" s="6">
        <f ca="1">$M$367*$Z$367</f>
        <v>27.345996812268524</v>
      </c>
      <c r="AG367" s="6">
        <f>$O$367*$AA$367</f>
        <v>87.426212345588922</v>
      </c>
    </row>
    <row r="368" spans="1:33" ht="11.25" customHeight="1" x14ac:dyDescent="0.25">
      <c r="A368" s="4" t="s">
        <v>21</v>
      </c>
      <c r="B368" s="4" t="s">
        <v>41</v>
      </c>
      <c r="C368" s="4" t="s">
        <v>42</v>
      </c>
      <c r="D368" s="4" t="s">
        <v>47</v>
      </c>
      <c r="E368" s="4" t="s">
        <v>25</v>
      </c>
      <c r="F368" s="4" t="s">
        <v>25</v>
      </c>
      <c r="G368" s="4" t="s">
        <v>25</v>
      </c>
      <c r="H368" s="4" t="s">
        <v>36</v>
      </c>
      <c r="I368" s="5">
        <v>44593</v>
      </c>
      <c r="J368" s="6">
        <v>7</v>
      </c>
      <c r="K368" s="42">
        <v>7</v>
      </c>
      <c r="L368" s="6">
        <v>0.23400000000000001</v>
      </c>
      <c r="M368" s="42">
        <v>0.23400000000000001</v>
      </c>
      <c r="N368" s="6">
        <v>0.23400000000000001</v>
      </c>
      <c r="O368" s="42">
        <v>0.23400000000000001</v>
      </c>
      <c r="P368" s="6">
        <v>0</v>
      </c>
      <c r="Q368" s="4" t="s">
        <v>26</v>
      </c>
      <c r="R368" s="4">
        <v>0</v>
      </c>
      <c r="S368" s="6">
        <v>19</v>
      </c>
      <c r="T368" s="6">
        <v>21</v>
      </c>
      <c r="U368" s="6">
        <v>74</v>
      </c>
      <c r="V368" s="42">
        <f>IF(ISERROR(VLOOKUP($S$368,'TAR FIN'!$A$1:$O$115,15,0)),0,VLOOKUP($S$368,'TAR FIN'!$A$1:$O$115,15,0))*(1-0.04)</f>
        <v>53.971199999999996</v>
      </c>
      <c r="W368" s="42">
        <f>IF(ISERROR(VLOOKUP($T$368,'TAR FIN'!$A$1:$O$115,15,0)),0,VLOOKUP($T$368,'TAR FIN'!$A$1:$O$115,15,0))*(1-0.04)</f>
        <v>80.937600000000003</v>
      </c>
      <c r="X368" s="42">
        <f>IF(ISERROR(VLOOKUP($U$368,'TAR FIN'!$A$1:$O$115,15,0)),0,VLOOKUP($U$368,'TAR FIN'!$A$1:$O$115,15,0))*(1-0.04)</f>
        <v>259.488</v>
      </c>
      <c r="Y368" s="42">
        <f ca="1">('TUSD BE'!$AM$19+'TUSD BF'!$AM$19+'TUSD CVA'!$AM$19)*1*(1-0.02)</f>
        <v>55.182406095181783</v>
      </c>
      <c r="Z368" s="42">
        <f ca="1">('TUSD BE'!$AM$21+'TUSD BF'!$AM$21+'TUSD CVA'!$AM$21)*1*(1-0.02)</f>
        <v>111.16258866775823</v>
      </c>
      <c r="AA368" s="42">
        <f>('TE BE'!$AB$11+'TE BF'!$AB$11+'TE CVA'!$AB$11)*1*(1-0.02)</f>
        <v>355.39110709588994</v>
      </c>
      <c r="AB368" s="6">
        <f>$K$368*$V$368</f>
        <v>377.79839999999996</v>
      </c>
      <c r="AC368" s="6">
        <f>$M$368*$W$368</f>
        <v>18.939398400000002</v>
      </c>
      <c r="AD368" s="6">
        <f>$O$368*$X$368</f>
        <v>60.720192000000004</v>
      </c>
      <c r="AE368" s="6">
        <f ca="1">$K$368*$Y$368</f>
        <v>386.2768426662725</v>
      </c>
      <c r="AF368" s="6">
        <f ca="1">$M$368*$Z$368</f>
        <v>26.012045748255428</v>
      </c>
      <c r="AG368" s="6">
        <f>$O$368*$AA$368</f>
        <v>83.161519060438252</v>
      </c>
    </row>
    <row r="369" spans="1:33" ht="11.25" customHeight="1" x14ac:dyDescent="0.25">
      <c r="A369" s="4" t="s">
        <v>21</v>
      </c>
      <c r="B369" s="4" t="s">
        <v>41</v>
      </c>
      <c r="C369" s="4" t="s">
        <v>42</v>
      </c>
      <c r="D369" s="4" t="s">
        <v>47</v>
      </c>
      <c r="E369" s="4" t="s">
        <v>25</v>
      </c>
      <c r="F369" s="4" t="s">
        <v>25</v>
      </c>
      <c r="G369" s="4" t="s">
        <v>25</v>
      </c>
      <c r="H369" s="4" t="s">
        <v>36</v>
      </c>
      <c r="I369" s="5">
        <v>44621</v>
      </c>
      <c r="J369" s="6">
        <v>8</v>
      </c>
      <c r="K369" s="42">
        <v>8</v>
      </c>
      <c r="L369" s="6">
        <v>0.26100000000000001</v>
      </c>
      <c r="M369" s="42">
        <v>0.26100000000000001</v>
      </c>
      <c r="N369" s="6">
        <v>0.26100000000000001</v>
      </c>
      <c r="O369" s="42">
        <v>0.26100000000000001</v>
      </c>
      <c r="P369" s="6">
        <v>0</v>
      </c>
      <c r="Q369" s="4" t="s">
        <v>26</v>
      </c>
      <c r="R369" s="4">
        <v>0</v>
      </c>
      <c r="S369" s="6">
        <v>19</v>
      </c>
      <c r="T369" s="6">
        <v>21</v>
      </c>
      <c r="U369" s="6">
        <v>74</v>
      </c>
      <c r="V369" s="42">
        <f>IF(ISERROR(VLOOKUP($S$369,'TAR FIN'!$A$1:$O$115,15,0)),0,VLOOKUP($S$369,'TAR FIN'!$A$1:$O$115,15,0))*(1-0.04)</f>
        <v>53.971199999999996</v>
      </c>
      <c r="W369" s="42">
        <f>IF(ISERROR(VLOOKUP($T$369,'TAR FIN'!$A$1:$O$115,15,0)),0,VLOOKUP($T$369,'TAR FIN'!$A$1:$O$115,15,0))*(1-0.04)</f>
        <v>80.937600000000003</v>
      </c>
      <c r="X369" s="42">
        <f>IF(ISERROR(VLOOKUP($U$369,'TAR FIN'!$A$1:$O$115,15,0)),0,VLOOKUP($U$369,'TAR FIN'!$A$1:$O$115,15,0))*(1-0.04)</f>
        <v>259.488</v>
      </c>
      <c r="Y369" s="42">
        <f ca="1">('TUSD BE'!$AM$19+'TUSD BF'!$AM$19+'TUSD CVA'!$AM$19)*1*(1-0.02)</f>
        <v>55.182406095181783</v>
      </c>
      <c r="Z369" s="42">
        <f ca="1">('TUSD BE'!$AM$21+'TUSD BF'!$AM$21+'TUSD CVA'!$AM$21)*1*(1-0.02)</f>
        <v>111.16258866775823</v>
      </c>
      <c r="AA369" s="42">
        <f>('TE BE'!$AB$11+'TE BF'!$AB$11+'TE CVA'!$AB$11)*1*(1-0.02)</f>
        <v>355.39110709588994</v>
      </c>
      <c r="AB369" s="6">
        <f>$K$369*$V$369</f>
        <v>431.76959999999997</v>
      </c>
      <c r="AC369" s="6">
        <f>$M$369*$W$369</f>
        <v>21.124713600000003</v>
      </c>
      <c r="AD369" s="6">
        <f>$O$369*$X$369</f>
        <v>67.726368000000008</v>
      </c>
      <c r="AE369" s="6">
        <f ca="1">$K$369*$Y$369</f>
        <v>441.45924876145426</v>
      </c>
      <c r="AF369" s="6">
        <f ca="1">$M$369*$Z$369</f>
        <v>29.0134356422849</v>
      </c>
      <c r="AG369" s="6">
        <f>$O$369*$AA$369</f>
        <v>92.757078952027271</v>
      </c>
    </row>
    <row r="370" spans="1:33" ht="11.25" customHeight="1" x14ac:dyDescent="0.25">
      <c r="A370" s="4" t="s">
        <v>21</v>
      </c>
      <c r="B370" s="4" t="s">
        <v>41</v>
      </c>
      <c r="C370" s="4" t="s">
        <v>42</v>
      </c>
      <c r="D370" s="4" t="s">
        <v>47</v>
      </c>
      <c r="E370" s="4" t="s">
        <v>25</v>
      </c>
      <c r="F370" s="4" t="s">
        <v>25</v>
      </c>
      <c r="G370" s="4" t="s">
        <v>25</v>
      </c>
      <c r="H370" s="4" t="s">
        <v>36</v>
      </c>
      <c r="I370" s="5">
        <v>44652</v>
      </c>
      <c r="J370" s="6">
        <v>8</v>
      </c>
      <c r="K370" s="42">
        <v>8</v>
      </c>
      <c r="L370" s="6">
        <v>0.28599999999999998</v>
      </c>
      <c r="M370" s="42">
        <v>0.28599999999999998</v>
      </c>
      <c r="N370" s="6">
        <v>0.28599999999999998</v>
      </c>
      <c r="O370" s="42">
        <v>0.28599999999999998</v>
      </c>
      <c r="P370" s="6">
        <v>0</v>
      </c>
      <c r="Q370" s="4" t="s">
        <v>26</v>
      </c>
      <c r="R370" s="4">
        <v>0</v>
      </c>
      <c r="S370" s="6">
        <v>19</v>
      </c>
      <c r="T370" s="6">
        <v>21</v>
      </c>
      <c r="U370" s="6">
        <v>74</v>
      </c>
      <c r="V370" s="42">
        <f>IF(ISERROR(VLOOKUP($S$370,'TAR FIN'!$A$1:$O$115,15,0)),0,VLOOKUP($S$370,'TAR FIN'!$A$1:$O$115,15,0))*(1-0.04)</f>
        <v>53.971199999999996</v>
      </c>
      <c r="W370" s="42">
        <f>IF(ISERROR(VLOOKUP($T$370,'TAR FIN'!$A$1:$O$115,15,0)),0,VLOOKUP($T$370,'TAR FIN'!$A$1:$O$115,15,0))*(1-0.04)</f>
        <v>80.937600000000003</v>
      </c>
      <c r="X370" s="42">
        <f>IF(ISERROR(VLOOKUP($U$370,'TAR FIN'!$A$1:$O$115,15,0)),0,VLOOKUP($U$370,'TAR FIN'!$A$1:$O$115,15,0))*(1-0.04)</f>
        <v>259.488</v>
      </c>
      <c r="Y370" s="42">
        <f ca="1">('TUSD BE'!$AM$19+'TUSD BF'!$AM$19+'TUSD CVA'!$AM$19)*1*(1-0.02)</f>
        <v>55.182406095181783</v>
      </c>
      <c r="Z370" s="42">
        <f ca="1">('TUSD BE'!$AM$21+'TUSD BF'!$AM$21+'TUSD CVA'!$AM$21)*1*(1-0.02)</f>
        <v>111.16258866775823</v>
      </c>
      <c r="AA370" s="42">
        <f>('TE BE'!$AB$11+'TE BF'!$AB$11+'TE CVA'!$AB$11)*1*(1-0.02)</f>
        <v>355.39110709588994</v>
      </c>
      <c r="AB370" s="6">
        <f>$K$370*$V$370</f>
        <v>431.76959999999997</v>
      </c>
      <c r="AC370" s="6">
        <f>$M$370*$W$370</f>
        <v>23.148153600000001</v>
      </c>
      <c r="AD370" s="6">
        <f>$O$370*$X$370</f>
        <v>74.213567999999995</v>
      </c>
      <c r="AE370" s="6">
        <f ca="1">$K$370*$Y$370</f>
        <v>441.45924876145426</v>
      </c>
      <c r="AF370" s="6">
        <f ca="1">$M$370*$Z$370</f>
        <v>31.792500358978852</v>
      </c>
      <c r="AG370" s="6">
        <f>$O$370*$AA$370</f>
        <v>101.64185662942451</v>
      </c>
    </row>
    <row r="371" spans="1:33" ht="11.25" customHeight="1" x14ac:dyDescent="0.25">
      <c r="A371" s="4" t="s">
        <v>21</v>
      </c>
      <c r="B371" s="4" t="s">
        <v>41</v>
      </c>
      <c r="C371" s="4" t="s">
        <v>42</v>
      </c>
      <c r="D371" s="4" t="s">
        <v>47</v>
      </c>
      <c r="E371" s="4" t="s">
        <v>25</v>
      </c>
      <c r="F371" s="4" t="s">
        <v>25</v>
      </c>
      <c r="G371" s="4" t="s">
        <v>25</v>
      </c>
      <c r="H371" s="4" t="s">
        <v>36</v>
      </c>
      <c r="I371" s="5">
        <v>44682</v>
      </c>
      <c r="J371" s="6">
        <v>9</v>
      </c>
      <c r="K371" s="42">
        <v>9</v>
      </c>
      <c r="L371" s="6">
        <v>0.26700000000000002</v>
      </c>
      <c r="M371" s="42">
        <v>0.26700000000000002</v>
      </c>
      <c r="N371" s="6">
        <v>0.26700000000000002</v>
      </c>
      <c r="O371" s="42">
        <v>0.26700000000000002</v>
      </c>
      <c r="P371" s="6">
        <v>0</v>
      </c>
      <c r="Q371" s="4" t="s">
        <v>26</v>
      </c>
      <c r="R371" s="4">
        <v>0</v>
      </c>
      <c r="S371" s="6">
        <v>19</v>
      </c>
      <c r="T371" s="6">
        <v>21</v>
      </c>
      <c r="U371" s="6">
        <v>74</v>
      </c>
      <c r="V371" s="42">
        <f>IF(ISERROR(VLOOKUP($S$371,'TAR FIN'!$A$1:$O$115,15,0)),0,VLOOKUP($S$371,'TAR FIN'!$A$1:$O$115,15,0))*(1-0.04)</f>
        <v>53.971199999999996</v>
      </c>
      <c r="W371" s="42">
        <f>IF(ISERROR(VLOOKUP($T$371,'TAR FIN'!$A$1:$O$115,15,0)),0,VLOOKUP($T$371,'TAR FIN'!$A$1:$O$115,15,0))*(1-0.04)</f>
        <v>80.937600000000003</v>
      </c>
      <c r="X371" s="42">
        <f>IF(ISERROR(VLOOKUP($U$371,'TAR FIN'!$A$1:$O$115,15,0)),0,VLOOKUP($U$371,'TAR FIN'!$A$1:$O$115,15,0))*(1-0.04)</f>
        <v>259.488</v>
      </c>
      <c r="Y371" s="42">
        <f ca="1">('TUSD BE'!$AM$19+'TUSD BF'!$AM$19+'TUSD CVA'!$AM$19)*1*(1-0.02)</f>
        <v>55.182406095181783</v>
      </c>
      <c r="Z371" s="42">
        <f ca="1">('TUSD BE'!$AM$21+'TUSD BF'!$AM$21+'TUSD CVA'!$AM$21)*1*(1-0.02)</f>
        <v>111.16258866775823</v>
      </c>
      <c r="AA371" s="42">
        <f>('TE BE'!$AB$11+'TE BF'!$AB$11+'TE CVA'!$AB$11)*1*(1-0.02)</f>
        <v>355.39110709588994</v>
      </c>
      <c r="AB371" s="6">
        <f>$K$371*$V$371</f>
        <v>485.74079999999998</v>
      </c>
      <c r="AC371" s="6">
        <f>$M$371*$W$371</f>
        <v>21.610339200000002</v>
      </c>
      <c r="AD371" s="6">
        <f>$O$371*$X$371</f>
        <v>69.283296000000007</v>
      </c>
      <c r="AE371" s="6">
        <f ca="1">$K$371*$Y$371</f>
        <v>496.64165485663602</v>
      </c>
      <c r="AF371" s="6">
        <f ca="1">$M$371*$Z$371</f>
        <v>29.68041117429145</v>
      </c>
      <c r="AG371" s="6">
        <f>$O$371*$AA$371</f>
        <v>94.889425594602614</v>
      </c>
    </row>
    <row r="372" spans="1:33" ht="11.25" customHeight="1" x14ac:dyDescent="0.25">
      <c r="A372" s="4" t="s">
        <v>21</v>
      </c>
      <c r="B372" s="4" t="s">
        <v>41</v>
      </c>
      <c r="C372" s="4" t="s">
        <v>42</v>
      </c>
      <c r="D372" s="4" t="s">
        <v>47</v>
      </c>
      <c r="E372" s="4" t="s">
        <v>25</v>
      </c>
      <c r="F372" s="4" t="s">
        <v>25</v>
      </c>
      <c r="G372" s="4" t="s">
        <v>25</v>
      </c>
      <c r="H372" s="4" t="s">
        <v>36</v>
      </c>
      <c r="I372" s="5">
        <v>44713</v>
      </c>
      <c r="J372" s="6">
        <v>8</v>
      </c>
      <c r="K372" s="42">
        <v>8</v>
      </c>
      <c r="L372" s="6">
        <v>0.23100000000000001</v>
      </c>
      <c r="M372" s="42">
        <v>0.23100000000000001</v>
      </c>
      <c r="N372" s="6">
        <v>0.23100000000000001</v>
      </c>
      <c r="O372" s="42">
        <v>0.23100000000000001</v>
      </c>
      <c r="P372" s="6">
        <v>0</v>
      </c>
      <c r="Q372" s="4" t="s">
        <v>26</v>
      </c>
      <c r="R372" s="4">
        <v>0</v>
      </c>
      <c r="S372" s="6">
        <v>19</v>
      </c>
      <c r="T372" s="6">
        <v>21</v>
      </c>
      <c r="U372" s="6">
        <v>74</v>
      </c>
      <c r="V372" s="42">
        <f>IF(ISERROR(VLOOKUP($S$372,'TAR FIN'!$A$1:$O$115,15,0)),0,VLOOKUP($S$372,'TAR FIN'!$A$1:$O$115,15,0))*(1-0.04)</f>
        <v>53.971199999999996</v>
      </c>
      <c r="W372" s="42">
        <f>IF(ISERROR(VLOOKUP($T$372,'TAR FIN'!$A$1:$O$115,15,0)),0,VLOOKUP($T$372,'TAR FIN'!$A$1:$O$115,15,0))*(1-0.04)</f>
        <v>80.937600000000003</v>
      </c>
      <c r="X372" s="42">
        <f>IF(ISERROR(VLOOKUP($U$372,'TAR FIN'!$A$1:$O$115,15,0)),0,VLOOKUP($U$372,'TAR FIN'!$A$1:$O$115,15,0))*(1-0.04)</f>
        <v>259.488</v>
      </c>
      <c r="Y372" s="42">
        <f ca="1">('TUSD BE'!$AM$19+'TUSD BF'!$AM$19+'TUSD CVA'!$AM$19)*1*(1-0.02)</f>
        <v>55.182406095181783</v>
      </c>
      <c r="Z372" s="42">
        <f ca="1">('TUSD BE'!$AM$21+'TUSD BF'!$AM$21+'TUSD CVA'!$AM$21)*1*(1-0.02)</f>
        <v>111.16258866775823</v>
      </c>
      <c r="AA372" s="42">
        <f>('TE BE'!$AB$11+'TE BF'!$AB$11+'TE CVA'!$AB$11)*1*(1-0.02)</f>
        <v>355.39110709588994</v>
      </c>
      <c r="AB372" s="6">
        <f>$K$372*$V$372</f>
        <v>431.76959999999997</v>
      </c>
      <c r="AC372" s="6">
        <f>$M$372*$W$372</f>
        <v>18.696585600000002</v>
      </c>
      <c r="AD372" s="6">
        <f>$O$372*$X$372</f>
        <v>59.941728000000005</v>
      </c>
      <c r="AE372" s="6">
        <f ca="1">$K$372*$Y$372</f>
        <v>441.45924876145426</v>
      </c>
      <c r="AF372" s="6">
        <f ca="1">$M$372*$Z$372</f>
        <v>25.678557982252151</v>
      </c>
      <c r="AG372" s="6">
        <f>$O$372*$AA$372</f>
        <v>82.095345739150574</v>
      </c>
    </row>
    <row r="373" spans="1:33" ht="11.25" customHeight="1" x14ac:dyDescent="0.25">
      <c r="A373" s="4" t="s">
        <v>21</v>
      </c>
      <c r="B373" s="4" t="s">
        <v>41</v>
      </c>
      <c r="C373" s="4" t="s">
        <v>42</v>
      </c>
      <c r="D373" s="4" t="s">
        <v>47</v>
      </c>
      <c r="E373" s="4" t="s">
        <v>25</v>
      </c>
      <c r="F373" s="4" t="s">
        <v>25</v>
      </c>
      <c r="G373" s="4" t="s">
        <v>25</v>
      </c>
      <c r="H373" s="4" t="s">
        <v>36</v>
      </c>
      <c r="I373" s="5">
        <v>44743</v>
      </c>
      <c r="J373" s="6">
        <v>10</v>
      </c>
      <c r="K373" s="42">
        <v>10</v>
      </c>
      <c r="L373" s="6">
        <v>0.222</v>
      </c>
      <c r="M373" s="42">
        <v>0.222</v>
      </c>
      <c r="N373" s="6">
        <v>0.222</v>
      </c>
      <c r="O373" s="42">
        <v>0.222</v>
      </c>
      <c r="P373" s="6">
        <v>0</v>
      </c>
      <c r="Q373" s="4" t="s">
        <v>26</v>
      </c>
      <c r="R373" s="4">
        <v>0</v>
      </c>
      <c r="S373" s="6">
        <v>19</v>
      </c>
      <c r="T373" s="6">
        <v>21</v>
      </c>
      <c r="U373" s="6">
        <v>74</v>
      </c>
      <c r="V373" s="42">
        <f>IF(ISERROR(VLOOKUP($S$373,'TAR FIN'!$A$1:$O$115,15,0)),0,VLOOKUP($S$373,'TAR FIN'!$A$1:$O$115,15,0))*(1-0.04)</f>
        <v>53.971199999999996</v>
      </c>
      <c r="W373" s="42">
        <f>IF(ISERROR(VLOOKUP($T$373,'TAR FIN'!$A$1:$O$115,15,0)),0,VLOOKUP($T$373,'TAR FIN'!$A$1:$O$115,15,0))*(1-0.04)</f>
        <v>80.937600000000003</v>
      </c>
      <c r="X373" s="42">
        <f>IF(ISERROR(VLOOKUP($U$373,'TAR FIN'!$A$1:$O$115,15,0)),0,VLOOKUP($U$373,'TAR FIN'!$A$1:$O$115,15,0))*(1-0.04)</f>
        <v>259.488</v>
      </c>
      <c r="Y373" s="42">
        <f ca="1">('TUSD BE'!$AM$19+'TUSD BF'!$AM$19+'TUSD CVA'!$AM$19)*1*(1-0.02)</f>
        <v>55.182406095181783</v>
      </c>
      <c r="Z373" s="42">
        <f ca="1">('TUSD BE'!$AM$21+'TUSD BF'!$AM$21+'TUSD CVA'!$AM$21)*1*(1-0.02)</f>
        <v>111.16258866775823</v>
      </c>
      <c r="AA373" s="42">
        <f>('TE BE'!$AB$11+'TE BF'!$AB$11+'TE CVA'!$AB$11)*1*(1-0.02)</f>
        <v>355.39110709588994</v>
      </c>
      <c r="AB373" s="6">
        <f>$K$373*$V$373</f>
        <v>539.71199999999999</v>
      </c>
      <c r="AC373" s="6">
        <f>$M$373*$W$373</f>
        <v>17.968147200000001</v>
      </c>
      <c r="AD373" s="6">
        <f>$O$373*$X$373</f>
        <v>57.606335999999999</v>
      </c>
      <c r="AE373" s="6">
        <f ca="1">$K$373*$Y$373</f>
        <v>551.82406095181784</v>
      </c>
      <c r="AF373" s="6">
        <f ca="1">$M$373*$Z$373</f>
        <v>24.678094684242328</v>
      </c>
      <c r="AG373" s="6">
        <f>$O$373*$AA$373</f>
        <v>78.896825775287567</v>
      </c>
    </row>
    <row r="374" spans="1:33" ht="11.25" customHeight="1" x14ac:dyDescent="0.25">
      <c r="A374" s="4" t="s">
        <v>21</v>
      </c>
      <c r="B374" s="4" t="s">
        <v>41</v>
      </c>
      <c r="C374" s="4" t="s">
        <v>42</v>
      </c>
      <c r="D374" s="4" t="s">
        <v>47</v>
      </c>
      <c r="E374" s="4" t="s">
        <v>25</v>
      </c>
      <c r="F374" s="4" t="s">
        <v>25</v>
      </c>
      <c r="G374" s="4" t="s">
        <v>25</v>
      </c>
      <c r="H374" s="4" t="s">
        <v>36</v>
      </c>
      <c r="I374" s="5">
        <v>44774</v>
      </c>
      <c r="J374" s="6">
        <v>10</v>
      </c>
      <c r="K374" s="42">
        <v>10</v>
      </c>
      <c r="L374" s="6">
        <v>0.34300000000000003</v>
      </c>
      <c r="M374" s="42">
        <v>0.34300000000000003</v>
      </c>
      <c r="N374" s="6">
        <v>0.34300000000000003</v>
      </c>
      <c r="O374" s="42">
        <v>0.34300000000000003</v>
      </c>
      <c r="P374" s="6">
        <v>0</v>
      </c>
      <c r="Q374" s="4" t="s">
        <v>26</v>
      </c>
      <c r="R374" s="4">
        <v>0</v>
      </c>
      <c r="S374" s="6">
        <v>19</v>
      </c>
      <c r="T374" s="6">
        <v>21</v>
      </c>
      <c r="U374" s="6">
        <v>74</v>
      </c>
      <c r="V374" s="42">
        <f>IF(ISERROR(VLOOKUP($S$374,'TAR FIN'!$A$1:$O$115,15,0)),0,VLOOKUP($S$374,'TAR FIN'!$A$1:$O$115,15,0))*(1-0.04)</f>
        <v>53.971199999999996</v>
      </c>
      <c r="W374" s="42">
        <f>IF(ISERROR(VLOOKUP($T$374,'TAR FIN'!$A$1:$O$115,15,0)),0,VLOOKUP($T$374,'TAR FIN'!$A$1:$O$115,15,0))*(1-0.04)</f>
        <v>80.937600000000003</v>
      </c>
      <c r="X374" s="42">
        <f>IF(ISERROR(VLOOKUP($U$374,'TAR FIN'!$A$1:$O$115,15,0)),0,VLOOKUP($U$374,'TAR FIN'!$A$1:$O$115,15,0))*(1-0.04)</f>
        <v>259.488</v>
      </c>
      <c r="Y374" s="42">
        <f ca="1">('TUSD BE'!$AM$19+'TUSD BF'!$AM$19+'TUSD CVA'!$AM$19)*1*(1-0.02)</f>
        <v>55.182406095181783</v>
      </c>
      <c r="Z374" s="42">
        <f ca="1">('TUSD BE'!$AM$21+'TUSD BF'!$AM$21+'TUSD CVA'!$AM$21)*1*(1-0.02)</f>
        <v>111.16258866775823</v>
      </c>
      <c r="AA374" s="42">
        <f>('TE BE'!$AB$11+'TE BF'!$AB$11+'TE CVA'!$AB$11)*1*(1-0.02)</f>
        <v>355.39110709588994</v>
      </c>
      <c r="AB374" s="6">
        <f>$K$374*$V$374</f>
        <v>539.71199999999999</v>
      </c>
      <c r="AC374" s="6">
        <f>$M$374*$W$374</f>
        <v>27.761596800000003</v>
      </c>
      <c r="AD374" s="6">
        <f>$O$374*$X$374</f>
        <v>89.004384000000002</v>
      </c>
      <c r="AE374" s="6">
        <f ca="1">$K$374*$Y$374</f>
        <v>551.82406095181784</v>
      </c>
      <c r="AF374" s="6">
        <f ca="1">$M$374*$Z$374</f>
        <v>38.128767913041074</v>
      </c>
      <c r="AG374" s="6">
        <f>$O$374*$AA$374</f>
        <v>121.89914973389025</v>
      </c>
    </row>
    <row r="375" spans="1:33" ht="11.25" customHeight="1" x14ac:dyDescent="0.25">
      <c r="A375" s="4" t="s">
        <v>21</v>
      </c>
      <c r="B375" s="4" t="s">
        <v>41</v>
      </c>
      <c r="C375" s="4" t="s">
        <v>42</v>
      </c>
      <c r="D375" s="4" t="s">
        <v>47</v>
      </c>
      <c r="E375" s="4" t="s">
        <v>25</v>
      </c>
      <c r="F375" s="4" t="s">
        <v>25</v>
      </c>
      <c r="G375" s="4" t="s">
        <v>25</v>
      </c>
      <c r="H375" s="4" t="s">
        <v>36</v>
      </c>
      <c r="I375" s="5">
        <v>44805</v>
      </c>
      <c r="J375" s="6">
        <v>21</v>
      </c>
      <c r="K375" s="42">
        <v>21</v>
      </c>
      <c r="L375" s="6">
        <v>0.36</v>
      </c>
      <c r="M375" s="42">
        <v>0.36</v>
      </c>
      <c r="N375" s="6">
        <v>0.36</v>
      </c>
      <c r="O375" s="42">
        <v>0.36</v>
      </c>
      <c r="P375" s="6">
        <v>0</v>
      </c>
      <c r="Q375" s="4" t="s">
        <v>26</v>
      </c>
      <c r="R375" s="4">
        <v>0</v>
      </c>
      <c r="S375" s="6">
        <v>19</v>
      </c>
      <c r="T375" s="6">
        <v>21</v>
      </c>
      <c r="U375" s="6">
        <v>74</v>
      </c>
      <c r="V375" s="42">
        <f>IF(ISERROR(VLOOKUP($S$375,'TAR FIN'!$A$1:$O$115,15,0)),0,VLOOKUP($S$375,'TAR FIN'!$A$1:$O$115,15,0))*(1-0.04)</f>
        <v>53.971199999999996</v>
      </c>
      <c r="W375" s="42">
        <f>IF(ISERROR(VLOOKUP($T$375,'TAR FIN'!$A$1:$O$115,15,0)),0,VLOOKUP($T$375,'TAR FIN'!$A$1:$O$115,15,0))*(1-0.04)</f>
        <v>80.937600000000003</v>
      </c>
      <c r="X375" s="42">
        <f>IF(ISERROR(VLOOKUP($U$375,'TAR FIN'!$A$1:$O$115,15,0)),0,VLOOKUP($U$375,'TAR FIN'!$A$1:$O$115,15,0))*(1-0.04)</f>
        <v>259.488</v>
      </c>
      <c r="Y375" s="42">
        <f ca="1">('TUSD BE'!$AM$19+'TUSD BF'!$AM$19+'TUSD CVA'!$AM$19)*1*(1-0.02)</f>
        <v>55.182406095181783</v>
      </c>
      <c r="Z375" s="42">
        <f ca="1">('TUSD BE'!$AM$21+'TUSD BF'!$AM$21+'TUSD CVA'!$AM$21)*1*(1-0.02)</f>
        <v>111.16258866775823</v>
      </c>
      <c r="AA375" s="42">
        <f>('TE BE'!$AB$11+'TE BF'!$AB$11+'TE CVA'!$AB$11)*1*(1-0.02)</f>
        <v>355.39110709588994</v>
      </c>
      <c r="AB375" s="6">
        <f>$K$375*$V$375</f>
        <v>1133.3951999999999</v>
      </c>
      <c r="AC375" s="6">
        <f>$M$375*$W$375</f>
        <v>29.137536000000001</v>
      </c>
      <c r="AD375" s="6">
        <f>$O$375*$X$375</f>
        <v>93.415679999999995</v>
      </c>
      <c r="AE375" s="6">
        <f ca="1">$K$375*$Y$375</f>
        <v>1158.8305279988174</v>
      </c>
      <c r="AF375" s="6">
        <f ca="1">$M$375*$Z$375</f>
        <v>40.018531920392959</v>
      </c>
      <c r="AG375" s="6">
        <f>$O$375*$AA$375</f>
        <v>127.94079855452037</v>
      </c>
    </row>
    <row r="376" spans="1:33" ht="11.25" customHeight="1" x14ac:dyDescent="0.25">
      <c r="A376" s="4" t="s">
        <v>21</v>
      </c>
      <c r="B376" s="4" t="s">
        <v>41</v>
      </c>
      <c r="C376" s="4" t="s">
        <v>42</v>
      </c>
      <c r="D376" s="4" t="s">
        <v>47</v>
      </c>
      <c r="E376" s="4" t="s">
        <v>25</v>
      </c>
      <c r="F376" s="4" t="s">
        <v>25</v>
      </c>
      <c r="G376" s="4" t="s">
        <v>25</v>
      </c>
      <c r="H376" s="4" t="s">
        <v>36</v>
      </c>
      <c r="I376" s="5">
        <v>44835</v>
      </c>
      <c r="J376" s="6">
        <v>9</v>
      </c>
      <c r="K376" s="42">
        <v>9</v>
      </c>
      <c r="L376" s="6">
        <v>0.318</v>
      </c>
      <c r="M376" s="42">
        <v>0.318</v>
      </c>
      <c r="N376" s="6">
        <v>0.318</v>
      </c>
      <c r="O376" s="42">
        <v>0.318</v>
      </c>
      <c r="P376" s="6">
        <v>0</v>
      </c>
      <c r="Q376" s="4" t="s">
        <v>26</v>
      </c>
      <c r="R376" s="4">
        <v>0</v>
      </c>
      <c r="S376" s="6">
        <v>19</v>
      </c>
      <c r="T376" s="6">
        <v>21</v>
      </c>
      <c r="U376" s="6">
        <v>74</v>
      </c>
      <c r="V376" s="42">
        <f>IF(ISERROR(VLOOKUP($S$376,'TAR FIN'!$A$1:$O$115,15,0)),0,VLOOKUP($S$376,'TAR FIN'!$A$1:$O$115,15,0))*(1-0.04)</f>
        <v>53.971199999999996</v>
      </c>
      <c r="W376" s="42">
        <f>IF(ISERROR(VLOOKUP($T$376,'TAR FIN'!$A$1:$O$115,15,0)),0,VLOOKUP($T$376,'TAR FIN'!$A$1:$O$115,15,0))*(1-0.04)</f>
        <v>80.937600000000003</v>
      </c>
      <c r="X376" s="42">
        <f>IF(ISERROR(VLOOKUP($U$376,'TAR FIN'!$A$1:$O$115,15,0)),0,VLOOKUP($U$376,'TAR FIN'!$A$1:$O$115,15,0))*(1-0.04)</f>
        <v>259.488</v>
      </c>
      <c r="Y376" s="42">
        <f ca="1">('TUSD BE'!$AM$19+'TUSD BF'!$AM$19+'TUSD CVA'!$AM$19)*1*(1-0.02)</f>
        <v>55.182406095181783</v>
      </c>
      <c r="Z376" s="42">
        <f ca="1">('TUSD BE'!$AM$21+'TUSD BF'!$AM$21+'TUSD CVA'!$AM$21)*1*(1-0.02)</f>
        <v>111.16258866775823</v>
      </c>
      <c r="AA376" s="42">
        <f>('TE BE'!$AB$11+'TE BF'!$AB$11+'TE CVA'!$AB$11)*1*(1-0.02)</f>
        <v>355.39110709588994</v>
      </c>
      <c r="AB376" s="6">
        <f>$K$376*$V$376</f>
        <v>485.74079999999998</v>
      </c>
      <c r="AC376" s="6">
        <f>$M$376*$W$376</f>
        <v>25.738156800000002</v>
      </c>
      <c r="AD376" s="6">
        <f>$O$376*$X$376</f>
        <v>82.517184</v>
      </c>
      <c r="AE376" s="6">
        <f ca="1">$K$376*$Y$376</f>
        <v>496.64165485663602</v>
      </c>
      <c r="AF376" s="6">
        <f ca="1">$M$376*$Z$376</f>
        <v>35.349703196347114</v>
      </c>
      <c r="AG376" s="6">
        <f>$O$376*$AA$376</f>
        <v>113.014372056493</v>
      </c>
    </row>
    <row r="377" spans="1:33" ht="11.25" customHeight="1" x14ac:dyDescent="0.25">
      <c r="A377" s="4" t="s">
        <v>59</v>
      </c>
      <c r="B377" s="4" t="s">
        <v>41</v>
      </c>
      <c r="C377" s="4" t="s">
        <v>42</v>
      </c>
      <c r="D377" s="4" t="s">
        <v>47</v>
      </c>
      <c r="E377" s="4" t="s">
        <v>25</v>
      </c>
      <c r="F377" s="4" t="s">
        <v>25</v>
      </c>
      <c r="G377" s="4" t="s">
        <v>25</v>
      </c>
      <c r="H377" s="4" t="s">
        <v>36</v>
      </c>
      <c r="I377" s="5">
        <v>44866</v>
      </c>
      <c r="J377" s="6">
        <v>9</v>
      </c>
      <c r="K377" s="42">
        <v>9</v>
      </c>
      <c r="L377" s="6">
        <v>0.318</v>
      </c>
      <c r="M377" s="42">
        <v>0.318</v>
      </c>
      <c r="N377" s="6">
        <v>0.318</v>
      </c>
      <c r="O377" s="42">
        <v>0.318</v>
      </c>
      <c r="P377" s="6">
        <v>0</v>
      </c>
      <c r="Q377" s="4" t="s">
        <v>26</v>
      </c>
      <c r="R377" s="4">
        <v>0</v>
      </c>
      <c r="S377" s="6">
        <v>19</v>
      </c>
      <c r="T377" s="6">
        <v>21</v>
      </c>
      <c r="U377" s="6">
        <v>74</v>
      </c>
      <c r="V377" s="42">
        <f>IF(ISERROR(VLOOKUP($S$377,'TAR FIN'!$A$1:$O$115,15,0)),0,VLOOKUP($S$377,'TAR FIN'!$A$1:$O$115,15,0))*(1-0.04)</f>
        <v>53.971199999999996</v>
      </c>
      <c r="W377" s="42">
        <f>IF(ISERROR(VLOOKUP($T$377,'TAR FIN'!$A$1:$O$115,15,0)),0,VLOOKUP($T$377,'TAR FIN'!$A$1:$O$115,15,0))*(1-0.04)</f>
        <v>80.937600000000003</v>
      </c>
      <c r="X377" s="42">
        <f>IF(ISERROR(VLOOKUP($U$377,'TAR FIN'!$A$1:$O$115,15,0)),0,VLOOKUP($U$377,'TAR FIN'!$A$1:$O$115,15,0))*(1-0.04)</f>
        <v>259.488</v>
      </c>
      <c r="Y377" s="42">
        <f ca="1">('TUSD BE'!$AM$19+'TUSD BF'!$AM$19+'TUSD CVA'!$AM$19)*1*(1-0.02)</f>
        <v>55.182406095181783</v>
      </c>
      <c r="Z377" s="42">
        <f ca="1">('TUSD BE'!$AM$21+'TUSD BF'!$AM$21+'TUSD CVA'!$AM$21)*1*(1-0.02)</f>
        <v>111.16258866775823</v>
      </c>
      <c r="AA377" s="42">
        <f>('TE BE'!$AB$11+'TE BF'!$AB$11+'TE CVA'!$AB$11)*1*(1-0.02)</f>
        <v>355.39110709588994</v>
      </c>
      <c r="AB377" s="6">
        <f>$K$377*$V$377</f>
        <v>485.74079999999998</v>
      </c>
      <c r="AC377" s="6">
        <f>$M$377*$W$377</f>
        <v>25.738156800000002</v>
      </c>
      <c r="AD377" s="6">
        <f>$O$377*$X$377</f>
        <v>82.517184</v>
      </c>
      <c r="AE377" s="6">
        <f ca="1">$K$377*$Y$377</f>
        <v>496.64165485663602</v>
      </c>
      <c r="AF377" s="6">
        <f ca="1">$M$377*$Z$377</f>
        <v>35.349703196347114</v>
      </c>
      <c r="AG377" s="6">
        <f>$O$377*$AA$377</f>
        <v>113.014372056493</v>
      </c>
    </row>
    <row r="378" spans="1:33" ht="11.25" customHeight="1" x14ac:dyDescent="0.25">
      <c r="A378" s="4" t="s">
        <v>21</v>
      </c>
      <c r="B378" s="4" t="s">
        <v>41</v>
      </c>
      <c r="C378" s="4" t="s">
        <v>42</v>
      </c>
      <c r="D378" s="4" t="s">
        <v>52</v>
      </c>
      <c r="E378" s="4" t="s">
        <v>53</v>
      </c>
      <c r="F378" s="4" t="s">
        <v>25</v>
      </c>
      <c r="G378" s="4" t="s">
        <v>25</v>
      </c>
      <c r="H378" s="4" t="s">
        <v>37</v>
      </c>
      <c r="I378" s="5">
        <v>44531</v>
      </c>
      <c r="J378" s="6">
        <v>1956</v>
      </c>
      <c r="K378" s="43">
        <v>1956</v>
      </c>
      <c r="L378" s="6">
        <v>541.90200000000004</v>
      </c>
      <c r="M378" s="42">
        <v>541.90200000000004</v>
      </c>
      <c r="N378" s="6">
        <v>541.90200000000004</v>
      </c>
      <c r="O378" s="42">
        <v>541.90200000000004</v>
      </c>
      <c r="P378" s="6">
        <v>0</v>
      </c>
      <c r="Q378" s="4" t="s">
        <v>26</v>
      </c>
      <c r="R378" s="4">
        <v>0</v>
      </c>
      <c r="S378" s="6">
        <v>20</v>
      </c>
      <c r="T378" s="6">
        <v>21</v>
      </c>
      <c r="U378" s="6">
        <v>75</v>
      </c>
      <c r="V378" s="42">
        <f>IF(ISERROR(VLOOKUP($S$378,'TAR FIN'!$A$1:$O$115,15,0)),0,VLOOKUP($S$378,'TAR FIN'!$A$1:$O$115,15,0))*(1-0.06)</f>
        <v>18.611999999999998</v>
      </c>
      <c r="W378" s="42">
        <f>IF(ISERROR(VLOOKUP($T$378,'TAR FIN'!$A$1:$O$115,15,0)),0,VLOOKUP($T$378,'TAR FIN'!$A$1:$O$115,15,0))*(1-0.06)</f>
        <v>79.251400000000004</v>
      </c>
      <c r="X378" s="42">
        <f>IF(ISERROR(VLOOKUP($U$378,'TAR FIN'!$A$1:$O$115,15,0)),0,VLOOKUP($U$378,'TAR FIN'!$A$1:$O$115,15,0))*(1-0.06)</f>
        <v>157.97639999999998</v>
      </c>
      <c r="Y378" s="42">
        <f ca="1">('TUSD BE'!$AM$20+'TUSD BF'!$AM$20+'TUSD CVA'!$AM$20)*1*(1-0.03)</f>
        <v>19.996757900318997</v>
      </c>
      <c r="Z378" s="42">
        <f ca="1">('TUSD BE'!$AM$21+'TUSD BF'!$AM$21+'TUSD CVA'!$AM$21)*1*(1-0.03)</f>
        <v>110.02827653849539</v>
      </c>
      <c r="AA378" s="42">
        <f>('TE BE'!$AB$12+'TE BF'!$AB$12+'TE CVA'!$AB$12)*1*(1-0.03)</f>
        <v>212.12486502371149</v>
      </c>
      <c r="AB378" s="6">
        <f>$K$378*$V$378</f>
        <v>36405.072</v>
      </c>
      <c r="AC378" s="6">
        <f>$M$378*$W$378</f>
        <v>42946.492162800008</v>
      </c>
      <c r="AD378" s="6">
        <f>$O$378*$X$378</f>
        <v>85607.727112799999</v>
      </c>
      <c r="AE378" s="6">
        <f ca="1">$K$378*$Y$378</f>
        <v>39113.658453023956</v>
      </c>
      <c r="AF378" s="6">
        <f ca="1">$M$378*$Z$378</f>
        <v>59624.543112763735</v>
      </c>
      <c r="AG378" s="6">
        <f>$O$378*$AA$378</f>
        <v>114950.88860607932</v>
      </c>
    </row>
    <row r="379" spans="1:33" ht="11.25" customHeight="1" x14ac:dyDescent="0.25">
      <c r="A379" s="4" t="s">
        <v>28</v>
      </c>
      <c r="B379" s="4" t="s">
        <v>41</v>
      </c>
      <c r="C379" s="4" t="s">
        <v>42</v>
      </c>
      <c r="D379" s="4" t="s">
        <v>52</v>
      </c>
      <c r="E379" s="4" t="s">
        <v>53</v>
      </c>
      <c r="F379" s="4" t="s">
        <v>25</v>
      </c>
      <c r="G379" s="4" t="s">
        <v>25</v>
      </c>
      <c r="H379" s="4" t="s">
        <v>37</v>
      </c>
      <c r="I379" s="5">
        <v>44531</v>
      </c>
      <c r="J379" s="6">
        <v>97</v>
      </c>
      <c r="K379" s="43">
        <v>97</v>
      </c>
      <c r="L379" s="6">
        <v>37.679000000000002</v>
      </c>
      <c r="M379" s="42">
        <v>37.679000000000002</v>
      </c>
      <c r="N379" s="6">
        <v>37.679000000000002</v>
      </c>
      <c r="O379" s="42">
        <v>37.679000000000002</v>
      </c>
      <c r="P379" s="6">
        <v>0</v>
      </c>
      <c r="Q379" s="4" t="s">
        <v>26</v>
      </c>
      <c r="R379" s="4">
        <v>0</v>
      </c>
      <c r="S379" s="6">
        <v>20</v>
      </c>
      <c r="T379" s="6">
        <v>21</v>
      </c>
      <c r="U379" s="6">
        <v>75</v>
      </c>
      <c r="V379" s="42">
        <f>IF(ISERROR(VLOOKUP($S$379,'TAR FIN'!$A$1:$O$115,15,0)),0,VLOOKUP($S$379,'TAR FIN'!$A$1:$O$115,15,0))*(1-0.06)</f>
        <v>18.611999999999998</v>
      </c>
      <c r="W379" s="42">
        <f>IF(ISERROR(VLOOKUP($T$379,'TAR FIN'!$A$1:$O$115,15,0)),0,VLOOKUP($T$379,'TAR FIN'!$A$1:$O$115,15,0))*(1-0.06)</f>
        <v>79.251400000000004</v>
      </c>
      <c r="X379" s="42">
        <f>IF(ISERROR(VLOOKUP($U$379,'TAR FIN'!$A$1:$O$115,15,0)),0,VLOOKUP($U$379,'TAR FIN'!$A$1:$O$115,15,0))*(1-0.06)</f>
        <v>157.97639999999998</v>
      </c>
      <c r="Y379" s="42">
        <f ca="1">('TUSD BE'!$AM$20+'TUSD BF'!$AM$20+'TUSD CVA'!$AM$20)*1*(1-0.03)</f>
        <v>19.996757900318997</v>
      </c>
      <c r="Z379" s="42">
        <f ca="1">('TUSD BE'!$AM$21+'TUSD BF'!$AM$21+'TUSD CVA'!$AM$21)*1*(1-0.03)</f>
        <v>110.02827653849539</v>
      </c>
      <c r="AA379" s="42">
        <f>('TE BE'!$AB$12+'TE BF'!$AB$12+'TE CVA'!$AB$12)*1*(1-0.03)</f>
        <v>212.12486502371149</v>
      </c>
      <c r="AB379" s="6">
        <f>$K$379*$V$379</f>
        <v>1805.3639999999998</v>
      </c>
      <c r="AC379" s="6">
        <f>$M$379*$W$379</f>
        <v>2986.1135006000004</v>
      </c>
      <c r="AD379" s="6">
        <f>$O$379*$X$379</f>
        <v>5952.3927755999994</v>
      </c>
      <c r="AE379" s="6">
        <f ca="1">$K$379*$Y$379</f>
        <v>1939.6855163309426</v>
      </c>
      <c r="AF379" s="6">
        <f ca="1">$M$379*$Z$379</f>
        <v>4145.7554316939677</v>
      </c>
      <c r="AG379" s="6">
        <f>$O$379*$AA$379</f>
        <v>7992.6527892284257</v>
      </c>
    </row>
    <row r="380" spans="1:33" ht="11.25" customHeight="1" x14ac:dyDescent="0.25">
      <c r="A380" s="4" t="s">
        <v>21</v>
      </c>
      <c r="B380" s="4" t="s">
        <v>41</v>
      </c>
      <c r="C380" s="4" t="s">
        <v>42</v>
      </c>
      <c r="D380" s="4" t="s">
        <v>52</v>
      </c>
      <c r="E380" s="4" t="s">
        <v>53</v>
      </c>
      <c r="F380" s="4" t="s">
        <v>25</v>
      </c>
      <c r="G380" s="4" t="s">
        <v>25</v>
      </c>
      <c r="H380" s="4" t="s">
        <v>37</v>
      </c>
      <c r="I380" s="5">
        <v>44562</v>
      </c>
      <c r="J380" s="6">
        <v>158</v>
      </c>
      <c r="K380" s="43">
        <v>158</v>
      </c>
      <c r="L380" s="6">
        <v>92.040999999999997</v>
      </c>
      <c r="M380" s="42">
        <v>92.040999999999997</v>
      </c>
      <c r="N380" s="6">
        <v>92.040999999999997</v>
      </c>
      <c r="O380" s="42">
        <v>92.040999999999997</v>
      </c>
      <c r="P380" s="6">
        <v>0</v>
      </c>
      <c r="Q380" s="4" t="s">
        <v>26</v>
      </c>
      <c r="R380" s="4">
        <v>0</v>
      </c>
      <c r="S380" s="6">
        <v>20</v>
      </c>
      <c r="T380" s="6">
        <v>21</v>
      </c>
      <c r="U380" s="6">
        <v>75</v>
      </c>
      <c r="V380" s="42">
        <f>IF(ISERROR(VLOOKUP($S$380,'TAR FIN'!$A$1:$O$115,15,0)),0,VLOOKUP($S$380,'TAR FIN'!$A$1:$O$115,15,0))*(1-0.06)</f>
        <v>18.611999999999998</v>
      </c>
      <c r="W380" s="42">
        <f>IF(ISERROR(VLOOKUP($T$380,'TAR FIN'!$A$1:$O$115,15,0)),0,VLOOKUP($T$380,'TAR FIN'!$A$1:$O$115,15,0))*(1-0.06)</f>
        <v>79.251400000000004</v>
      </c>
      <c r="X380" s="42">
        <f>IF(ISERROR(VLOOKUP($U$380,'TAR FIN'!$A$1:$O$115,15,0)),0,VLOOKUP($U$380,'TAR FIN'!$A$1:$O$115,15,0))*(1-0.06)</f>
        <v>157.97639999999998</v>
      </c>
      <c r="Y380" s="42">
        <f ca="1">('TUSD BE'!$AM$20+'TUSD BF'!$AM$20+'TUSD CVA'!$AM$20)*1*(1-0.03)</f>
        <v>19.996757900318997</v>
      </c>
      <c r="Z380" s="42">
        <f ca="1">('TUSD BE'!$AM$21+'TUSD BF'!$AM$21+'TUSD CVA'!$AM$21)*1*(1-0.03)</f>
        <v>110.02827653849539</v>
      </c>
      <c r="AA380" s="42">
        <f>('TE BE'!$AB$12+'TE BF'!$AB$12+'TE CVA'!$AB$12)*1*(1-0.03)</f>
        <v>212.12486502371149</v>
      </c>
      <c r="AB380" s="6">
        <f>$K$380*$V$380</f>
        <v>2940.6959999999999</v>
      </c>
      <c r="AC380" s="6">
        <f>$M$380*$W$380</f>
        <v>7294.3781073999999</v>
      </c>
      <c r="AD380" s="6">
        <f>$O$380*$X$380</f>
        <v>14540.305832399998</v>
      </c>
      <c r="AE380" s="6">
        <f ca="1">$K$380*$Y$380</f>
        <v>3159.4877482504016</v>
      </c>
      <c r="AF380" s="6">
        <f ca="1">$M$380*$Z$380</f>
        <v>10127.112600879655</v>
      </c>
      <c r="AG380" s="6">
        <f>$O$380*$AA$380</f>
        <v>19524.184701647428</v>
      </c>
    </row>
    <row r="381" spans="1:33" ht="11.25" customHeight="1" x14ac:dyDescent="0.25">
      <c r="A381" s="4" t="s">
        <v>28</v>
      </c>
      <c r="B381" s="4" t="s">
        <v>41</v>
      </c>
      <c r="C381" s="4" t="s">
        <v>42</v>
      </c>
      <c r="D381" s="4" t="s">
        <v>52</v>
      </c>
      <c r="E381" s="4" t="s">
        <v>53</v>
      </c>
      <c r="F381" s="4" t="s">
        <v>25</v>
      </c>
      <c r="G381" s="4" t="s">
        <v>25</v>
      </c>
      <c r="H381" s="4" t="s">
        <v>37</v>
      </c>
      <c r="I381" s="5">
        <v>44562</v>
      </c>
      <c r="J381" s="6">
        <v>91</v>
      </c>
      <c r="K381" s="43">
        <v>91</v>
      </c>
      <c r="L381" s="6">
        <v>36.326000000000001</v>
      </c>
      <c r="M381" s="42">
        <v>36.326000000000001</v>
      </c>
      <c r="N381" s="6">
        <v>36.326000000000001</v>
      </c>
      <c r="O381" s="42">
        <v>36.326000000000001</v>
      </c>
      <c r="P381" s="6">
        <v>0</v>
      </c>
      <c r="Q381" s="4" t="s">
        <v>26</v>
      </c>
      <c r="R381" s="4">
        <v>0</v>
      </c>
      <c r="S381" s="6">
        <v>20</v>
      </c>
      <c r="T381" s="6">
        <v>21</v>
      </c>
      <c r="U381" s="6">
        <v>75</v>
      </c>
      <c r="V381" s="42">
        <f>IF(ISERROR(VLOOKUP($S$381,'TAR FIN'!$A$1:$O$115,15,0)),0,VLOOKUP($S$381,'TAR FIN'!$A$1:$O$115,15,0))*(1-0.06)</f>
        <v>18.611999999999998</v>
      </c>
      <c r="W381" s="42">
        <f>IF(ISERROR(VLOOKUP($T$381,'TAR FIN'!$A$1:$O$115,15,0)),0,VLOOKUP($T$381,'TAR FIN'!$A$1:$O$115,15,0))*(1-0.06)</f>
        <v>79.251400000000004</v>
      </c>
      <c r="X381" s="42">
        <f>IF(ISERROR(VLOOKUP($U$381,'TAR FIN'!$A$1:$O$115,15,0)),0,VLOOKUP($U$381,'TAR FIN'!$A$1:$O$115,15,0))*(1-0.06)</f>
        <v>157.97639999999998</v>
      </c>
      <c r="Y381" s="42">
        <f ca="1">('TUSD BE'!$AM$20+'TUSD BF'!$AM$20+'TUSD CVA'!$AM$20)*1*(1-0.03)</f>
        <v>19.996757900318997</v>
      </c>
      <c r="Z381" s="42">
        <f ca="1">('TUSD BE'!$AM$21+'TUSD BF'!$AM$21+'TUSD CVA'!$AM$21)*1*(1-0.03)</f>
        <v>110.02827653849539</v>
      </c>
      <c r="AA381" s="42">
        <f>('TE BE'!$AB$12+'TE BF'!$AB$12+'TE CVA'!$AB$12)*1*(1-0.03)</f>
        <v>212.12486502371149</v>
      </c>
      <c r="AB381" s="6">
        <f>$K$381*$V$381</f>
        <v>1693.6919999999998</v>
      </c>
      <c r="AC381" s="6">
        <f>$M$381*$W$381</f>
        <v>2878.8863564000003</v>
      </c>
      <c r="AD381" s="6">
        <f>$O$381*$X$381</f>
        <v>5738.6507063999998</v>
      </c>
      <c r="AE381" s="6">
        <f ca="1">$K$381*$Y$381</f>
        <v>1819.7049689290286</v>
      </c>
      <c r="AF381" s="6">
        <f ca="1">$M$381*$Z$381</f>
        <v>3996.8871735373837</v>
      </c>
      <c r="AG381" s="6">
        <f>$O$381*$AA$381</f>
        <v>7705.6478468513442</v>
      </c>
    </row>
    <row r="382" spans="1:33" ht="11.25" customHeight="1" x14ac:dyDescent="0.25">
      <c r="A382" s="4" t="s">
        <v>21</v>
      </c>
      <c r="B382" s="4" t="s">
        <v>41</v>
      </c>
      <c r="C382" s="4" t="s">
        <v>42</v>
      </c>
      <c r="D382" s="4" t="s">
        <v>52</v>
      </c>
      <c r="E382" s="4" t="s">
        <v>53</v>
      </c>
      <c r="F382" s="4" t="s">
        <v>25</v>
      </c>
      <c r="G382" s="4" t="s">
        <v>25</v>
      </c>
      <c r="H382" s="4" t="s">
        <v>37</v>
      </c>
      <c r="I382" s="5">
        <v>44593</v>
      </c>
      <c r="J382" s="6">
        <v>156</v>
      </c>
      <c r="K382" s="43">
        <v>156</v>
      </c>
      <c r="L382" s="6">
        <v>85.494</v>
      </c>
      <c r="M382" s="42">
        <v>85.494</v>
      </c>
      <c r="N382" s="6">
        <v>85.494</v>
      </c>
      <c r="O382" s="42">
        <v>85.494</v>
      </c>
      <c r="P382" s="6">
        <v>0</v>
      </c>
      <c r="Q382" s="4" t="s">
        <v>26</v>
      </c>
      <c r="R382" s="4">
        <v>0</v>
      </c>
      <c r="S382" s="6">
        <v>20</v>
      </c>
      <c r="T382" s="6">
        <v>21</v>
      </c>
      <c r="U382" s="6">
        <v>75</v>
      </c>
      <c r="V382" s="42">
        <f>IF(ISERROR(VLOOKUP($S$382,'TAR FIN'!$A$1:$O$115,15,0)),0,VLOOKUP($S$382,'TAR FIN'!$A$1:$O$115,15,0))*(1-0.06)</f>
        <v>18.611999999999998</v>
      </c>
      <c r="W382" s="42">
        <f>IF(ISERROR(VLOOKUP($T$382,'TAR FIN'!$A$1:$O$115,15,0)),0,VLOOKUP($T$382,'TAR FIN'!$A$1:$O$115,15,0))*(1-0.06)</f>
        <v>79.251400000000004</v>
      </c>
      <c r="X382" s="42">
        <f>IF(ISERROR(VLOOKUP($U$382,'TAR FIN'!$A$1:$O$115,15,0)),0,VLOOKUP($U$382,'TAR FIN'!$A$1:$O$115,15,0))*(1-0.06)</f>
        <v>157.97639999999998</v>
      </c>
      <c r="Y382" s="42">
        <f ca="1">('TUSD BE'!$AM$20+'TUSD BF'!$AM$20+'TUSD CVA'!$AM$20)*1*(1-0.03)</f>
        <v>19.996757900318997</v>
      </c>
      <c r="Z382" s="42">
        <f ca="1">('TUSD BE'!$AM$21+'TUSD BF'!$AM$21+'TUSD CVA'!$AM$21)*1*(1-0.03)</f>
        <v>110.02827653849539</v>
      </c>
      <c r="AA382" s="42">
        <f>('TE BE'!$AB$12+'TE BF'!$AB$12+'TE CVA'!$AB$12)*1*(1-0.03)</f>
        <v>212.12486502371149</v>
      </c>
      <c r="AB382" s="6">
        <f>$K$382*$V$382</f>
        <v>2903.4719999999998</v>
      </c>
      <c r="AC382" s="6">
        <f>$M$382*$W$382</f>
        <v>6775.5191916000003</v>
      </c>
      <c r="AD382" s="6">
        <f>$O$382*$X$382</f>
        <v>13506.034341599998</v>
      </c>
      <c r="AE382" s="6">
        <f ca="1">$K$382*$Y$382</f>
        <v>3119.4942324497633</v>
      </c>
      <c r="AF382" s="6">
        <f ca="1">$M$382*$Z$382</f>
        <v>9406.7574743821242</v>
      </c>
      <c r="AG382" s="6">
        <f>$O$382*$AA$382</f>
        <v>18135.40321033719</v>
      </c>
    </row>
    <row r="383" spans="1:33" ht="11.25" customHeight="1" x14ac:dyDescent="0.25">
      <c r="A383" s="4" t="s">
        <v>28</v>
      </c>
      <c r="B383" s="4" t="s">
        <v>41</v>
      </c>
      <c r="C383" s="4" t="s">
        <v>42</v>
      </c>
      <c r="D383" s="4" t="s">
        <v>52</v>
      </c>
      <c r="E383" s="4" t="s">
        <v>53</v>
      </c>
      <c r="F383" s="4" t="s">
        <v>25</v>
      </c>
      <c r="G383" s="4" t="s">
        <v>25</v>
      </c>
      <c r="H383" s="4" t="s">
        <v>37</v>
      </c>
      <c r="I383" s="5">
        <v>44593</v>
      </c>
      <c r="J383" s="6">
        <v>90</v>
      </c>
      <c r="K383" s="43">
        <v>90</v>
      </c>
      <c r="L383" s="6">
        <v>40.375</v>
      </c>
      <c r="M383" s="42">
        <v>40.375</v>
      </c>
      <c r="N383" s="6">
        <v>40.375</v>
      </c>
      <c r="O383" s="42">
        <v>40.375</v>
      </c>
      <c r="P383" s="6">
        <v>0</v>
      </c>
      <c r="Q383" s="4" t="s">
        <v>26</v>
      </c>
      <c r="R383" s="4">
        <v>0</v>
      </c>
      <c r="S383" s="6">
        <v>20</v>
      </c>
      <c r="T383" s="6">
        <v>21</v>
      </c>
      <c r="U383" s="6">
        <v>75</v>
      </c>
      <c r="V383" s="42">
        <f>IF(ISERROR(VLOOKUP($S$383,'TAR FIN'!$A$1:$O$115,15,0)),0,VLOOKUP($S$383,'TAR FIN'!$A$1:$O$115,15,0))*(1-0.06)</f>
        <v>18.611999999999998</v>
      </c>
      <c r="W383" s="42">
        <f>IF(ISERROR(VLOOKUP($T$383,'TAR FIN'!$A$1:$O$115,15,0)),0,VLOOKUP($T$383,'TAR FIN'!$A$1:$O$115,15,0))*(1-0.06)</f>
        <v>79.251400000000004</v>
      </c>
      <c r="X383" s="42">
        <f>IF(ISERROR(VLOOKUP($U$383,'TAR FIN'!$A$1:$O$115,15,0)),0,VLOOKUP($U$383,'TAR FIN'!$A$1:$O$115,15,0))*(1-0.06)</f>
        <v>157.97639999999998</v>
      </c>
      <c r="Y383" s="42">
        <f ca="1">('TUSD BE'!$AM$20+'TUSD BF'!$AM$20+'TUSD CVA'!$AM$20)*1*(1-0.03)</f>
        <v>19.996757900318997</v>
      </c>
      <c r="Z383" s="42">
        <f ca="1">('TUSD BE'!$AM$21+'TUSD BF'!$AM$21+'TUSD CVA'!$AM$21)*1*(1-0.03)</f>
        <v>110.02827653849539</v>
      </c>
      <c r="AA383" s="42">
        <f>('TE BE'!$AB$12+'TE BF'!$AB$12+'TE CVA'!$AB$12)*1*(1-0.03)</f>
        <v>212.12486502371149</v>
      </c>
      <c r="AB383" s="6">
        <f>$K$383*$V$383</f>
        <v>1675.08</v>
      </c>
      <c r="AC383" s="6">
        <f>$M$383*$W$383</f>
        <v>3199.775275</v>
      </c>
      <c r="AD383" s="6">
        <f>$O$383*$X$383</f>
        <v>6378.2971499999994</v>
      </c>
      <c r="AE383" s="6">
        <f ca="1">$K$383*$Y$383</f>
        <v>1799.7082110287097</v>
      </c>
      <c r="AF383" s="6">
        <f ca="1">$M$383*$Z$383</f>
        <v>4442.3916652417511</v>
      </c>
      <c r="AG383" s="6">
        <f>$O$383*$AA$383</f>
        <v>8564.5414253323506</v>
      </c>
    </row>
    <row r="384" spans="1:33" ht="11.25" customHeight="1" x14ac:dyDescent="0.25">
      <c r="A384" s="4" t="s">
        <v>21</v>
      </c>
      <c r="B384" s="4" t="s">
        <v>41</v>
      </c>
      <c r="C384" s="4" t="s">
        <v>42</v>
      </c>
      <c r="D384" s="4" t="s">
        <v>52</v>
      </c>
      <c r="E384" s="4" t="s">
        <v>53</v>
      </c>
      <c r="F384" s="4" t="s">
        <v>25</v>
      </c>
      <c r="G384" s="4" t="s">
        <v>25</v>
      </c>
      <c r="H384" s="4" t="s">
        <v>37</v>
      </c>
      <c r="I384" s="5">
        <v>44621</v>
      </c>
      <c r="J384" s="6">
        <v>160</v>
      </c>
      <c r="K384" s="43">
        <v>160</v>
      </c>
      <c r="L384" s="6">
        <v>93.093000000000004</v>
      </c>
      <c r="M384" s="42">
        <v>93.093000000000004</v>
      </c>
      <c r="N384" s="6">
        <v>93.093000000000004</v>
      </c>
      <c r="O384" s="42">
        <v>93.093000000000004</v>
      </c>
      <c r="P384" s="6">
        <v>0</v>
      </c>
      <c r="Q384" s="4" t="s">
        <v>26</v>
      </c>
      <c r="R384" s="4">
        <v>0</v>
      </c>
      <c r="S384" s="6">
        <v>20</v>
      </c>
      <c r="T384" s="6">
        <v>21</v>
      </c>
      <c r="U384" s="6">
        <v>75</v>
      </c>
      <c r="V384" s="42">
        <f>IF(ISERROR(VLOOKUP($S$384,'TAR FIN'!$A$1:$O$115,15,0)),0,VLOOKUP($S$384,'TAR FIN'!$A$1:$O$115,15,0))*(1-0.06)</f>
        <v>18.611999999999998</v>
      </c>
      <c r="W384" s="42">
        <f>IF(ISERROR(VLOOKUP($T$384,'TAR FIN'!$A$1:$O$115,15,0)),0,VLOOKUP($T$384,'TAR FIN'!$A$1:$O$115,15,0))*(1-0.06)</f>
        <v>79.251400000000004</v>
      </c>
      <c r="X384" s="42">
        <f>IF(ISERROR(VLOOKUP($U$384,'TAR FIN'!$A$1:$O$115,15,0)),0,VLOOKUP($U$384,'TAR FIN'!$A$1:$O$115,15,0))*(1-0.06)</f>
        <v>157.97639999999998</v>
      </c>
      <c r="Y384" s="42">
        <f ca="1">('TUSD BE'!$AM$20+'TUSD BF'!$AM$20+'TUSD CVA'!$AM$20)*1*(1-0.03)</f>
        <v>19.996757900318997</v>
      </c>
      <c r="Z384" s="42">
        <f ca="1">('TUSD BE'!$AM$21+'TUSD BF'!$AM$21+'TUSD CVA'!$AM$21)*1*(1-0.03)</f>
        <v>110.02827653849539</v>
      </c>
      <c r="AA384" s="42">
        <f>('TE BE'!$AB$12+'TE BF'!$AB$12+'TE CVA'!$AB$12)*1*(1-0.03)</f>
        <v>212.12486502371149</v>
      </c>
      <c r="AB384" s="6">
        <f>$K$384*$V$384</f>
        <v>2977.9199999999996</v>
      </c>
      <c r="AC384" s="6">
        <f>$M$384*$W$384</f>
        <v>7377.7505802000005</v>
      </c>
      <c r="AD384" s="6">
        <f>$O$384*$X$384</f>
        <v>14706.497005199999</v>
      </c>
      <c r="AE384" s="6">
        <f ca="1">$K$384*$Y$384</f>
        <v>3199.4812640510395</v>
      </c>
      <c r="AF384" s="6">
        <f ca="1">$M$384*$Z$384</f>
        <v>10242.862347798151</v>
      </c>
      <c r="AG384" s="6">
        <f>$O$384*$AA$384</f>
        <v>19747.340059652375</v>
      </c>
    </row>
    <row r="385" spans="1:33" ht="11.25" customHeight="1" x14ac:dyDescent="0.25">
      <c r="A385" s="4" t="s">
        <v>28</v>
      </c>
      <c r="B385" s="4" t="s">
        <v>41</v>
      </c>
      <c r="C385" s="4" t="s">
        <v>42</v>
      </c>
      <c r="D385" s="4" t="s">
        <v>52</v>
      </c>
      <c r="E385" s="4" t="s">
        <v>53</v>
      </c>
      <c r="F385" s="4" t="s">
        <v>25</v>
      </c>
      <c r="G385" s="4" t="s">
        <v>25</v>
      </c>
      <c r="H385" s="4" t="s">
        <v>37</v>
      </c>
      <c r="I385" s="5">
        <v>44621</v>
      </c>
      <c r="J385" s="6">
        <v>91</v>
      </c>
      <c r="K385" s="43">
        <v>91</v>
      </c>
      <c r="L385" s="6">
        <v>36.768999999999998</v>
      </c>
      <c r="M385" s="42">
        <v>36.768999999999998</v>
      </c>
      <c r="N385" s="6">
        <v>36.768999999999998</v>
      </c>
      <c r="O385" s="42">
        <v>36.768999999999998</v>
      </c>
      <c r="P385" s="6">
        <v>0</v>
      </c>
      <c r="Q385" s="4" t="s">
        <v>26</v>
      </c>
      <c r="R385" s="4">
        <v>0</v>
      </c>
      <c r="S385" s="6">
        <v>20</v>
      </c>
      <c r="T385" s="6">
        <v>21</v>
      </c>
      <c r="U385" s="6">
        <v>75</v>
      </c>
      <c r="V385" s="42">
        <f>IF(ISERROR(VLOOKUP($S$385,'TAR FIN'!$A$1:$O$115,15,0)),0,VLOOKUP($S$385,'TAR FIN'!$A$1:$O$115,15,0))*(1-0.06)</f>
        <v>18.611999999999998</v>
      </c>
      <c r="W385" s="42">
        <f>IF(ISERROR(VLOOKUP($T$385,'TAR FIN'!$A$1:$O$115,15,0)),0,VLOOKUP($T$385,'TAR FIN'!$A$1:$O$115,15,0))*(1-0.06)</f>
        <v>79.251400000000004</v>
      </c>
      <c r="X385" s="42">
        <f>IF(ISERROR(VLOOKUP($U$385,'TAR FIN'!$A$1:$O$115,15,0)),0,VLOOKUP($U$385,'TAR FIN'!$A$1:$O$115,15,0))*(1-0.06)</f>
        <v>157.97639999999998</v>
      </c>
      <c r="Y385" s="42">
        <f ca="1">('TUSD BE'!$AM$20+'TUSD BF'!$AM$20+'TUSD CVA'!$AM$20)*1*(1-0.03)</f>
        <v>19.996757900318997</v>
      </c>
      <c r="Z385" s="42">
        <f ca="1">('TUSD BE'!$AM$21+'TUSD BF'!$AM$21+'TUSD CVA'!$AM$21)*1*(1-0.03)</f>
        <v>110.02827653849539</v>
      </c>
      <c r="AA385" s="42">
        <f>('TE BE'!$AB$12+'TE BF'!$AB$12+'TE CVA'!$AB$12)*1*(1-0.03)</f>
        <v>212.12486502371149</v>
      </c>
      <c r="AB385" s="6">
        <f>$K$385*$V$385</f>
        <v>1693.6919999999998</v>
      </c>
      <c r="AC385" s="6">
        <f>$M$385*$W$385</f>
        <v>2913.9947265999999</v>
      </c>
      <c r="AD385" s="6">
        <f>$O$385*$X$385</f>
        <v>5808.6342515999995</v>
      </c>
      <c r="AE385" s="6">
        <f ca="1">$K$385*$Y$385</f>
        <v>1819.7049689290286</v>
      </c>
      <c r="AF385" s="6">
        <f ca="1">$M$385*$Z$385</f>
        <v>4045.6297000439367</v>
      </c>
      <c r="AG385" s="6">
        <f>$O$385*$AA$385</f>
        <v>7799.6191620568479</v>
      </c>
    </row>
    <row r="386" spans="1:33" ht="11.25" customHeight="1" x14ac:dyDescent="0.25">
      <c r="A386" s="4" t="s">
        <v>21</v>
      </c>
      <c r="B386" s="4" t="s">
        <v>41</v>
      </c>
      <c r="C386" s="4" t="s">
        <v>42</v>
      </c>
      <c r="D386" s="4" t="s">
        <v>52</v>
      </c>
      <c r="E386" s="4" t="s">
        <v>53</v>
      </c>
      <c r="F386" s="4" t="s">
        <v>25</v>
      </c>
      <c r="G386" s="4" t="s">
        <v>25</v>
      </c>
      <c r="H386" s="4" t="s">
        <v>37</v>
      </c>
      <c r="I386" s="5">
        <v>44652</v>
      </c>
      <c r="J386" s="6">
        <v>160</v>
      </c>
      <c r="K386" s="43">
        <v>160</v>
      </c>
      <c r="L386" s="6">
        <v>88.587000000000003</v>
      </c>
      <c r="M386" s="42">
        <v>88.587000000000003</v>
      </c>
      <c r="N386" s="6">
        <v>88.587000000000003</v>
      </c>
      <c r="O386" s="42">
        <v>88.587000000000003</v>
      </c>
      <c r="P386" s="6">
        <v>0</v>
      </c>
      <c r="Q386" s="4" t="s">
        <v>26</v>
      </c>
      <c r="R386" s="4">
        <v>0</v>
      </c>
      <c r="S386" s="6">
        <v>20</v>
      </c>
      <c r="T386" s="6">
        <v>21</v>
      </c>
      <c r="U386" s="6">
        <v>75</v>
      </c>
      <c r="V386" s="42">
        <f>IF(ISERROR(VLOOKUP($S$386,'TAR FIN'!$A$1:$O$115,15,0)),0,VLOOKUP($S$386,'TAR FIN'!$A$1:$O$115,15,0))*(1-0.06)</f>
        <v>18.611999999999998</v>
      </c>
      <c r="W386" s="42">
        <f>IF(ISERROR(VLOOKUP($T$386,'TAR FIN'!$A$1:$O$115,15,0)),0,VLOOKUP($T$386,'TAR FIN'!$A$1:$O$115,15,0))*(1-0.06)</f>
        <v>79.251400000000004</v>
      </c>
      <c r="X386" s="42">
        <f>IF(ISERROR(VLOOKUP($U$386,'TAR FIN'!$A$1:$O$115,15,0)),0,VLOOKUP($U$386,'TAR FIN'!$A$1:$O$115,15,0))*(1-0.06)</f>
        <v>157.97639999999998</v>
      </c>
      <c r="Y386" s="42">
        <f ca="1">('TUSD BE'!$AM$20+'TUSD BF'!$AM$20+'TUSD CVA'!$AM$20)*1*(1-0.03)</f>
        <v>19.996757900318997</v>
      </c>
      <c r="Z386" s="42">
        <f ca="1">('TUSD BE'!$AM$21+'TUSD BF'!$AM$21+'TUSD CVA'!$AM$21)*1*(1-0.03)</f>
        <v>110.02827653849539</v>
      </c>
      <c r="AA386" s="42">
        <f>('TE BE'!$AB$12+'TE BF'!$AB$12+'TE CVA'!$AB$12)*1*(1-0.03)</f>
        <v>212.12486502371149</v>
      </c>
      <c r="AB386" s="6">
        <f>$K$386*$V$386</f>
        <v>2977.9199999999996</v>
      </c>
      <c r="AC386" s="6">
        <f>$M$386*$W$386</f>
        <v>7020.6437718000006</v>
      </c>
      <c r="AD386" s="6">
        <f>$O$386*$X$386</f>
        <v>13994.655346799998</v>
      </c>
      <c r="AE386" s="6">
        <f ca="1">$K$386*$Y$386</f>
        <v>3199.4812640510395</v>
      </c>
      <c r="AF386" s="6">
        <f ca="1">$M$386*$Z$386</f>
        <v>9747.0749337156922</v>
      </c>
      <c r="AG386" s="6">
        <f>$O$386*$AA$386</f>
        <v>18791.505417855529</v>
      </c>
    </row>
    <row r="387" spans="1:33" ht="11.25" customHeight="1" x14ac:dyDescent="0.25">
      <c r="A387" s="4" t="s">
        <v>28</v>
      </c>
      <c r="B387" s="4" t="s">
        <v>41</v>
      </c>
      <c r="C387" s="4" t="s">
        <v>42</v>
      </c>
      <c r="D387" s="4" t="s">
        <v>52</v>
      </c>
      <c r="E387" s="4" t="s">
        <v>53</v>
      </c>
      <c r="F387" s="4" t="s">
        <v>25</v>
      </c>
      <c r="G387" s="4" t="s">
        <v>25</v>
      </c>
      <c r="H387" s="4" t="s">
        <v>37</v>
      </c>
      <c r="I387" s="5">
        <v>44652</v>
      </c>
      <c r="J387" s="6">
        <v>93</v>
      </c>
      <c r="K387" s="43">
        <v>93</v>
      </c>
      <c r="L387" s="6">
        <v>39.274999999999999</v>
      </c>
      <c r="M387" s="42">
        <v>39.274999999999999</v>
      </c>
      <c r="N387" s="6">
        <v>39.274999999999999</v>
      </c>
      <c r="O387" s="42">
        <v>39.274999999999999</v>
      </c>
      <c r="P387" s="6">
        <v>0</v>
      </c>
      <c r="Q387" s="4" t="s">
        <v>26</v>
      </c>
      <c r="R387" s="4">
        <v>0</v>
      </c>
      <c r="S387" s="6">
        <v>20</v>
      </c>
      <c r="T387" s="6">
        <v>21</v>
      </c>
      <c r="U387" s="6">
        <v>75</v>
      </c>
      <c r="V387" s="42">
        <f>IF(ISERROR(VLOOKUP($S$387,'TAR FIN'!$A$1:$O$115,15,0)),0,VLOOKUP($S$387,'TAR FIN'!$A$1:$O$115,15,0))*(1-0.06)</f>
        <v>18.611999999999998</v>
      </c>
      <c r="W387" s="42">
        <f>IF(ISERROR(VLOOKUP($T$387,'TAR FIN'!$A$1:$O$115,15,0)),0,VLOOKUP($T$387,'TAR FIN'!$A$1:$O$115,15,0))*(1-0.06)</f>
        <v>79.251400000000004</v>
      </c>
      <c r="X387" s="42">
        <f>IF(ISERROR(VLOOKUP($U$387,'TAR FIN'!$A$1:$O$115,15,0)),0,VLOOKUP($U$387,'TAR FIN'!$A$1:$O$115,15,0))*(1-0.06)</f>
        <v>157.97639999999998</v>
      </c>
      <c r="Y387" s="42">
        <f ca="1">('TUSD BE'!$AM$20+'TUSD BF'!$AM$20+'TUSD CVA'!$AM$20)*1*(1-0.03)</f>
        <v>19.996757900318997</v>
      </c>
      <c r="Z387" s="42">
        <f ca="1">('TUSD BE'!$AM$21+'TUSD BF'!$AM$21+'TUSD CVA'!$AM$21)*1*(1-0.03)</f>
        <v>110.02827653849539</v>
      </c>
      <c r="AA387" s="42">
        <f>('TE BE'!$AB$12+'TE BF'!$AB$12+'TE CVA'!$AB$12)*1*(1-0.03)</f>
        <v>212.12486502371149</v>
      </c>
      <c r="AB387" s="6">
        <f>$K$387*$V$387</f>
        <v>1730.9159999999999</v>
      </c>
      <c r="AC387" s="6">
        <f>$M$387*$W$387</f>
        <v>3112.598735</v>
      </c>
      <c r="AD387" s="6">
        <f>$O$387*$X$387</f>
        <v>6204.5231099999992</v>
      </c>
      <c r="AE387" s="6">
        <f ca="1">$K$387*$Y$387</f>
        <v>1859.6984847296667</v>
      </c>
      <c r="AF387" s="6">
        <f ca="1">$M$387*$Z$387</f>
        <v>4321.360561049406</v>
      </c>
      <c r="AG387" s="6">
        <f>$O$387*$AA$387</f>
        <v>8331.2040738062678</v>
      </c>
    </row>
    <row r="388" spans="1:33" ht="11.25" customHeight="1" x14ac:dyDescent="0.25">
      <c r="A388" s="4" t="s">
        <v>21</v>
      </c>
      <c r="B388" s="4" t="s">
        <v>41</v>
      </c>
      <c r="C388" s="4" t="s">
        <v>42</v>
      </c>
      <c r="D388" s="4" t="s">
        <v>52</v>
      </c>
      <c r="E388" s="4" t="s">
        <v>53</v>
      </c>
      <c r="F388" s="4" t="s">
        <v>25</v>
      </c>
      <c r="G388" s="4" t="s">
        <v>25</v>
      </c>
      <c r="H388" s="4" t="s">
        <v>37</v>
      </c>
      <c r="I388" s="5">
        <v>44682</v>
      </c>
      <c r="J388" s="6">
        <v>158</v>
      </c>
      <c r="K388" s="43">
        <v>158</v>
      </c>
      <c r="L388" s="6">
        <v>92.653000000000006</v>
      </c>
      <c r="M388" s="42">
        <v>92.653000000000006</v>
      </c>
      <c r="N388" s="6">
        <v>92.653000000000006</v>
      </c>
      <c r="O388" s="42">
        <v>92.653000000000006</v>
      </c>
      <c r="P388" s="6">
        <v>0</v>
      </c>
      <c r="Q388" s="4" t="s">
        <v>26</v>
      </c>
      <c r="R388" s="4">
        <v>0</v>
      </c>
      <c r="S388" s="6">
        <v>20</v>
      </c>
      <c r="T388" s="6">
        <v>21</v>
      </c>
      <c r="U388" s="6">
        <v>75</v>
      </c>
      <c r="V388" s="42">
        <f>IF(ISERROR(VLOOKUP($S$388,'TAR FIN'!$A$1:$O$115,15,0)),0,VLOOKUP($S$388,'TAR FIN'!$A$1:$O$115,15,0))*(1-0.06)</f>
        <v>18.611999999999998</v>
      </c>
      <c r="W388" s="42">
        <f>IF(ISERROR(VLOOKUP($T$388,'TAR FIN'!$A$1:$O$115,15,0)),0,VLOOKUP($T$388,'TAR FIN'!$A$1:$O$115,15,0))*(1-0.06)</f>
        <v>79.251400000000004</v>
      </c>
      <c r="X388" s="42">
        <f>IF(ISERROR(VLOOKUP($U$388,'TAR FIN'!$A$1:$O$115,15,0)),0,VLOOKUP($U$388,'TAR FIN'!$A$1:$O$115,15,0))*(1-0.06)</f>
        <v>157.97639999999998</v>
      </c>
      <c r="Y388" s="42">
        <f ca="1">('TUSD BE'!$AM$20+'TUSD BF'!$AM$20+'TUSD CVA'!$AM$20)*1*(1-0.03)</f>
        <v>19.996757900318997</v>
      </c>
      <c r="Z388" s="42">
        <f ca="1">('TUSD BE'!$AM$21+'TUSD BF'!$AM$21+'TUSD CVA'!$AM$21)*1*(1-0.03)</f>
        <v>110.02827653849539</v>
      </c>
      <c r="AA388" s="42">
        <f>('TE BE'!$AB$12+'TE BF'!$AB$12+'TE CVA'!$AB$12)*1*(1-0.03)</f>
        <v>212.12486502371149</v>
      </c>
      <c r="AB388" s="6">
        <f>$K$388*$V$388</f>
        <v>2940.6959999999999</v>
      </c>
      <c r="AC388" s="6">
        <f>$M$388*$W$388</f>
        <v>7342.8799642000013</v>
      </c>
      <c r="AD388" s="6">
        <f>$O$388*$X$388</f>
        <v>14636.9873892</v>
      </c>
      <c r="AE388" s="6">
        <f ca="1">$K$388*$Y$388</f>
        <v>3159.4877482504016</v>
      </c>
      <c r="AF388" s="6">
        <f ca="1">$M$388*$Z$388</f>
        <v>10194.449906121214</v>
      </c>
      <c r="AG388" s="6">
        <f>$O$388*$AA$388</f>
        <v>19654.005119041944</v>
      </c>
    </row>
    <row r="389" spans="1:33" ht="11.25" customHeight="1" x14ac:dyDescent="0.25">
      <c r="A389" s="4" t="s">
        <v>28</v>
      </c>
      <c r="B389" s="4" t="s">
        <v>41</v>
      </c>
      <c r="C389" s="4" t="s">
        <v>42</v>
      </c>
      <c r="D389" s="4" t="s">
        <v>52</v>
      </c>
      <c r="E389" s="4" t="s">
        <v>53</v>
      </c>
      <c r="F389" s="4" t="s">
        <v>25</v>
      </c>
      <c r="G389" s="4" t="s">
        <v>25</v>
      </c>
      <c r="H389" s="4" t="s">
        <v>37</v>
      </c>
      <c r="I389" s="5">
        <v>44682</v>
      </c>
      <c r="J389" s="6">
        <v>94</v>
      </c>
      <c r="K389" s="43">
        <v>94</v>
      </c>
      <c r="L389" s="6">
        <v>38.981999999999999</v>
      </c>
      <c r="M389" s="42">
        <v>38.981999999999999</v>
      </c>
      <c r="N389" s="6">
        <v>38.981999999999999</v>
      </c>
      <c r="O389" s="42">
        <v>38.981999999999999</v>
      </c>
      <c r="P389" s="6">
        <v>0</v>
      </c>
      <c r="Q389" s="4" t="s">
        <v>26</v>
      </c>
      <c r="R389" s="4">
        <v>0</v>
      </c>
      <c r="S389" s="6">
        <v>20</v>
      </c>
      <c r="T389" s="6">
        <v>21</v>
      </c>
      <c r="U389" s="6">
        <v>75</v>
      </c>
      <c r="V389" s="42">
        <f>IF(ISERROR(VLOOKUP($S$389,'TAR FIN'!$A$1:$O$115,15,0)),0,VLOOKUP($S$389,'TAR FIN'!$A$1:$O$115,15,0))*(1-0.06)</f>
        <v>18.611999999999998</v>
      </c>
      <c r="W389" s="42">
        <f>IF(ISERROR(VLOOKUP($T$389,'TAR FIN'!$A$1:$O$115,15,0)),0,VLOOKUP($T$389,'TAR FIN'!$A$1:$O$115,15,0))*(1-0.06)</f>
        <v>79.251400000000004</v>
      </c>
      <c r="X389" s="42">
        <f>IF(ISERROR(VLOOKUP($U$389,'TAR FIN'!$A$1:$O$115,15,0)),0,VLOOKUP($U$389,'TAR FIN'!$A$1:$O$115,15,0))*(1-0.06)</f>
        <v>157.97639999999998</v>
      </c>
      <c r="Y389" s="42">
        <f ca="1">('TUSD BE'!$AM$20+'TUSD BF'!$AM$20+'TUSD CVA'!$AM$20)*1*(1-0.03)</f>
        <v>19.996757900318997</v>
      </c>
      <c r="Z389" s="42">
        <f ca="1">('TUSD BE'!$AM$21+'TUSD BF'!$AM$21+'TUSD CVA'!$AM$21)*1*(1-0.03)</f>
        <v>110.02827653849539</v>
      </c>
      <c r="AA389" s="42">
        <f>('TE BE'!$AB$12+'TE BF'!$AB$12+'TE CVA'!$AB$12)*1*(1-0.03)</f>
        <v>212.12486502371149</v>
      </c>
      <c r="AB389" s="6">
        <f>$K$389*$V$389</f>
        <v>1749.5279999999998</v>
      </c>
      <c r="AC389" s="6">
        <f>$M$389*$W$389</f>
        <v>3089.3780747999999</v>
      </c>
      <c r="AD389" s="6">
        <f>$O$389*$X$389</f>
        <v>6158.2360247999995</v>
      </c>
      <c r="AE389" s="6">
        <f ca="1">$K$389*$Y$389</f>
        <v>1879.6952426299856</v>
      </c>
      <c r="AF389" s="6">
        <f ca="1">$M$389*$Z$389</f>
        <v>4289.1222760236269</v>
      </c>
      <c r="AG389" s="6">
        <f>$O$389*$AA$389</f>
        <v>8269.0514883543219</v>
      </c>
    </row>
    <row r="390" spans="1:33" ht="11.25" customHeight="1" x14ac:dyDescent="0.25">
      <c r="A390" s="4" t="s">
        <v>21</v>
      </c>
      <c r="B390" s="4" t="s">
        <v>41</v>
      </c>
      <c r="C390" s="4" t="s">
        <v>42</v>
      </c>
      <c r="D390" s="4" t="s">
        <v>52</v>
      </c>
      <c r="E390" s="4" t="s">
        <v>53</v>
      </c>
      <c r="F390" s="4" t="s">
        <v>25</v>
      </c>
      <c r="G390" s="4" t="s">
        <v>25</v>
      </c>
      <c r="H390" s="4" t="s">
        <v>37</v>
      </c>
      <c r="I390" s="5">
        <v>44713</v>
      </c>
      <c r="J390" s="6">
        <v>159</v>
      </c>
      <c r="K390" s="43">
        <v>159</v>
      </c>
      <c r="L390" s="6">
        <v>85.656000000000006</v>
      </c>
      <c r="M390" s="42">
        <v>85.656000000000006</v>
      </c>
      <c r="N390" s="6">
        <v>85.656000000000006</v>
      </c>
      <c r="O390" s="42">
        <v>85.656000000000006</v>
      </c>
      <c r="P390" s="6">
        <v>0</v>
      </c>
      <c r="Q390" s="4" t="s">
        <v>26</v>
      </c>
      <c r="R390" s="4">
        <v>0</v>
      </c>
      <c r="S390" s="6">
        <v>20</v>
      </c>
      <c r="T390" s="6">
        <v>21</v>
      </c>
      <c r="U390" s="6">
        <v>75</v>
      </c>
      <c r="V390" s="42">
        <f>IF(ISERROR(VLOOKUP($S$390,'TAR FIN'!$A$1:$O$115,15,0)),0,VLOOKUP($S$390,'TAR FIN'!$A$1:$O$115,15,0))*(1-0.06)</f>
        <v>18.611999999999998</v>
      </c>
      <c r="W390" s="42">
        <f>IF(ISERROR(VLOOKUP($T$390,'TAR FIN'!$A$1:$O$115,15,0)),0,VLOOKUP($T$390,'TAR FIN'!$A$1:$O$115,15,0))*(1-0.06)</f>
        <v>79.251400000000004</v>
      </c>
      <c r="X390" s="42">
        <f>IF(ISERROR(VLOOKUP($U$390,'TAR FIN'!$A$1:$O$115,15,0)),0,VLOOKUP($U$390,'TAR FIN'!$A$1:$O$115,15,0))*(1-0.06)</f>
        <v>157.97639999999998</v>
      </c>
      <c r="Y390" s="42">
        <f ca="1">('TUSD BE'!$AM$20+'TUSD BF'!$AM$20+'TUSD CVA'!$AM$20)*1*(1-0.03)</f>
        <v>19.996757900318997</v>
      </c>
      <c r="Z390" s="42">
        <f ca="1">('TUSD BE'!$AM$21+'TUSD BF'!$AM$21+'TUSD CVA'!$AM$21)*1*(1-0.03)</f>
        <v>110.02827653849539</v>
      </c>
      <c r="AA390" s="42">
        <f>('TE BE'!$AB$12+'TE BF'!$AB$12+'TE CVA'!$AB$12)*1*(1-0.03)</f>
        <v>212.12486502371149</v>
      </c>
      <c r="AB390" s="6">
        <f>$K$390*$V$390</f>
        <v>2959.3079999999995</v>
      </c>
      <c r="AC390" s="6">
        <f>$M$390*$W$390</f>
        <v>6788.3579184000009</v>
      </c>
      <c r="AD390" s="6">
        <f>$O$390*$X$390</f>
        <v>13531.6265184</v>
      </c>
      <c r="AE390" s="6">
        <f ca="1">$K$390*$Y$390</f>
        <v>3179.4845061507203</v>
      </c>
      <c r="AF390" s="6">
        <f ca="1">$M$390*$Z$390</f>
        <v>9424.5820551813613</v>
      </c>
      <c r="AG390" s="6">
        <f>$O$390*$AA$390</f>
        <v>18169.767438471034</v>
      </c>
    </row>
    <row r="391" spans="1:33" ht="11.25" customHeight="1" x14ac:dyDescent="0.25">
      <c r="A391" s="4" t="s">
        <v>28</v>
      </c>
      <c r="B391" s="4" t="s">
        <v>41</v>
      </c>
      <c r="C391" s="4" t="s">
        <v>42</v>
      </c>
      <c r="D391" s="4" t="s">
        <v>52</v>
      </c>
      <c r="E391" s="4" t="s">
        <v>53</v>
      </c>
      <c r="F391" s="4" t="s">
        <v>25</v>
      </c>
      <c r="G391" s="4" t="s">
        <v>25</v>
      </c>
      <c r="H391" s="4" t="s">
        <v>37</v>
      </c>
      <c r="I391" s="5">
        <v>44713</v>
      </c>
      <c r="J391" s="6">
        <v>93</v>
      </c>
      <c r="K391" s="43">
        <v>93</v>
      </c>
      <c r="L391" s="6">
        <v>45.875</v>
      </c>
      <c r="M391" s="42">
        <v>45.875</v>
      </c>
      <c r="N391" s="6">
        <v>45.875</v>
      </c>
      <c r="O391" s="42">
        <v>45.875</v>
      </c>
      <c r="P391" s="6">
        <v>0</v>
      </c>
      <c r="Q391" s="4" t="s">
        <v>26</v>
      </c>
      <c r="R391" s="4">
        <v>0</v>
      </c>
      <c r="S391" s="6">
        <v>20</v>
      </c>
      <c r="T391" s="6">
        <v>21</v>
      </c>
      <c r="U391" s="6">
        <v>75</v>
      </c>
      <c r="V391" s="42">
        <f>IF(ISERROR(VLOOKUP($S$391,'TAR FIN'!$A$1:$O$115,15,0)),0,VLOOKUP($S$391,'TAR FIN'!$A$1:$O$115,15,0))*(1-0.06)</f>
        <v>18.611999999999998</v>
      </c>
      <c r="W391" s="42">
        <f>IF(ISERROR(VLOOKUP($T$391,'TAR FIN'!$A$1:$O$115,15,0)),0,VLOOKUP($T$391,'TAR FIN'!$A$1:$O$115,15,0))*(1-0.06)</f>
        <v>79.251400000000004</v>
      </c>
      <c r="X391" s="42">
        <f>IF(ISERROR(VLOOKUP($U$391,'TAR FIN'!$A$1:$O$115,15,0)),0,VLOOKUP($U$391,'TAR FIN'!$A$1:$O$115,15,0))*(1-0.06)</f>
        <v>157.97639999999998</v>
      </c>
      <c r="Y391" s="42">
        <f ca="1">('TUSD BE'!$AM$20+'TUSD BF'!$AM$20+'TUSD CVA'!$AM$20)*1*(1-0.03)</f>
        <v>19.996757900318997</v>
      </c>
      <c r="Z391" s="42">
        <f ca="1">('TUSD BE'!$AM$21+'TUSD BF'!$AM$21+'TUSD CVA'!$AM$21)*1*(1-0.03)</f>
        <v>110.02827653849539</v>
      </c>
      <c r="AA391" s="42">
        <f>('TE BE'!$AB$12+'TE BF'!$AB$12+'TE CVA'!$AB$12)*1*(1-0.03)</f>
        <v>212.12486502371149</v>
      </c>
      <c r="AB391" s="6">
        <f>$K$391*$V$391</f>
        <v>1730.9159999999999</v>
      </c>
      <c r="AC391" s="6">
        <f>$M$391*$W$391</f>
        <v>3635.6579750000001</v>
      </c>
      <c r="AD391" s="6">
        <f>$O$391*$X$391</f>
        <v>7247.1673499999997</v>
      </c>
      <c r="AE391" s="6">
        <f ca="1">$K$391*$Y$391</f>
        <v>1859.6984847296667</v>
      </c>
      <c r="AF391" s="6">
        <f ca="1">$M$391*$Z$391</f>
        <v>5047.5471862034765</v>
      </c>
      <c r="AG391" s="6">
        <f>$O$391*$AA$391</f>
        <v>9731.2281829627645</v>
      </c>
    </row>
    <row r="392" spans="1:33" ht="11.25" customHeight="1" x14ac:dyDescent="0.25">
      <c r="A392" s="4" t="s">
        <v>21</v>
      </c>
      <c r="B392" s="4" t="s">
        <v>41</v>
      </c>
      <c r="C392" s="4" t="s">
        <v>42</v>
      </c>
      <c r="D392" s="4" t="s">
        <v>52</v>
      </c>
      <c r="E392" s="4" t="s">
        <v>53</v>
      </c>
      <c r="F392" s="4" t="s">
        <v>25</v>
      </c>
      <c r="G392" s="4" t="s">
        <v>25</v>
      </c>
      <c r="H392" s="4" t="s">
        <v>37</v>
      </c>
      <c r="I392" s="5">
        <v>44743</v>
      </c>
      <c r="J392" s="6">
        <v>155</v>
      </c>
      <c r="K392" s="43">
        <v>155</v>
      </c>
      <c r="L392" s="6">
        <v>93.438999999999993</v>
      </c>
      <c r="M392" s="42">
        <v>93.438999999999993</v>
      </c>
      <c r="N392" s="6">
        <v>93.438999999999993</v>
      </c>
      <c r="O392" s="42">
        <v>93.438999999999993</v>
      </c>
      <c r="P392" s="6">
        <v>0</v>
      </c>
      <c r="Q392" s="4" t="s">
        <v>26</v>
      </c>
      <c r="R392" s="4">
        <v>0</v>
      </c>
      <c r="S392" s="6">
        <v>20</v>
      </c>
      <c r="T392" s="6">
        <v>21</v>
      </c>
      <c r="U392" s="6">
        <v>75</v>
      </c>
      <c r="V392" s="42">
        <f>IF(ISERROR(VLOOKUP($S$392,'TAR FIN'!$A$1:$O$115,15,0)),0,VLOOKUP($S$392,'TAR FIN'!$A$1:$O$115,15,0))*(1-0.06)</f>
        <v>18.611999999999998</v>
      </c>
      <c r="W392" s="42">
        <f>IF(ISERROR(VLOOKUP($T$392,'TAR FIN'!$A$1:$O$115,15,0)),0,VLOOKUP($T$392,'TAR FIN'!$A$1:$O$115,15,0))*(1-0.06)</f>
        <v>79.251400000000004</v>
      </c>
      <c r="X392" s="42">
        <f>IF(ISERROR(VLOOKUP($U$392,'TAR FIN'!$A$1:$O$115,15,0)),0,VLOOKUP($U$392,'TAR FIN'!$A$1:$O$115,15,0))*(1-0.06)</f>
        <v>157.97639999999998</v>
      </c>
      <c r="Y392" s="42">
        <f ca="1">('TUSD BE'!$AM$20+'TUSD BF'!$AM$20+'TUSD CVA'!$AM$20)*1*(1-0.03)</f>
        <v>19.996757900318997</v>
      </c>
      <c r="Z392" s="42">
        <f ca="1">('TUSD BE'!$AM$21+'TUSD BF'!$AM$21+'TUSD CVA'!$AM$21)*1*(1-0.03)</f>
        <v>110.02827653849539</v>
      </c>
      <c r="AA392" s="42">
        <f>('TE BE'!$AB$12+'TE BF'!$AB$12+'TE CVA'!$AB$12)*1*(1-0.03)</f>
        <v>212.12486502371149</v>
      </c>
      <c r="AB392" s="6">
        <f>$K$392*$V$392</f>
        <v>2884.8599999999997</v>
      </c>
      <c r="AC392" s="6">
        <f>$M$392*$W$392</f>
        <v>7405.1715646000002</v>
      </c>
      <c r="AD392" s="6">
        <f>$O$392*$X$392</f>
        <v>14761.156839599997</v>
      </c>
      <c r="AE392" s="6">
        <f ca="1">$K$392*$Y$392</f>
        <v>3099.4974745494446</v>
      </c>
      <c r="AF392" s="6">
        <f ca="1">$M$392*$Z$392</f>
        <v>10280.932131480469</v>
      </c>
      <c r="AG392" s="6">
        <f>$O$392*$AA$392</f>
        <v>19820.735262950577</v>
      </c>
    </row>
    <row r="393" spans="1:33" ht="11.25" customHeight="1" x14ac:dyDescent="0.25">
      <c r="A393" s="4" t="s">
        <v>28</v>
      </c>
      <c r="B393" s="4" t="s">
        <v>41</v>
      </c>
      <c r="C393" s="4" t="s">
        <v>42</v>
      </c>
      <c r="D393" s="4" t="s">
        <v>52</v>
      </c>
      <c r="E393" s="4" t="s">
        <v>53</v>
      </c>
      <c r="F393" s="4" t="s">
        <v>25</v>
      </c>
      <c r="G393" s="4" t="s">
        <v>25</v>
      </c>
      <c r="H393" s="4" t="s">
        <v>37</v>
      </c>
      <c r="I393" s="5">
        <v>44743</v>
      </c>
      <c r="J393" s="6">
        <v>94</v>
      </c>
      <c r="K393" s="43">
        <v>94</v>
      </c>
      <c r="L393" s="6">
        <v>47.609000000000002</v>
      </c>
      <c r="M393" s="42">
        <v>47.609000000000002</v>
      </c>
      <c r="N393" s="6">
        <v>47.609000000000002</v>
      </c>
      <c r="O393" s="42">
        <v>47.609000000000002</v>
      </c>
      <c r="P393" s="6">
        <v>0</v>
      </c>
      <c r="Q393" s="4" t="s">
        <v>26</v>
      </c>
      <c r="R393" s="4">
        <v>0</v>
      </c>
      <c r="S393" s="6">
        <v>20</v>
      </c>
      <c r="T393" s="6">
        <v>21</v>
      </c>
      <c r="U393" s="6">
        <v>75</v>
      </c>
      <c r="V393" s="42">
        <f>IF(ISERROR(VLOOKUP($S$393,'TAR FIN'!$A$1:$O$115,15,0)),0,VLOOKUP($S$393,'TAR FIN'!$A$1:$O$115,15,0))*(1-0.06)</f>
        <v>18.611999999999998</v>
      </c>
      <c r="W393" s="42">
        <f>IF(ISERROR(VLOOKUP($T$393,'TAR FIN'!$A$1:$O$115,15,0)),0,VLOOKUP($T$393,'TAR FIN'!$A$1:$O$115,15,0))*(1-0.06)</f>
        <v>79.251400000000004</v>
      </c>
      <c r="X393" s="42">
        <f>IF(ISERROR(VLOOKUP($U$393,'TAR FIN'!$A$1:$O$115,15,0)),0,VLOOKUP($U$393,'TAR FIN'!$A$1:$O$115,15,0))*(1-0.06)</f>
        <v>157.97639999999998</v>
      </c>
      <c r="Y393" s="42">
        <f ca="1">('TUSD BE'!$AM$20+'TUSD BF'!$AM$20+'TUSD CVA'!$AM$20)*1*(1-0.03)</f>
        <v>19.996757900318997</v>
      </c>
      <c r="Z393" s="42">
        <f ca="1">('TUSD BE'!$AM$21+'TUSD BF'!$AM$21+'TUSD CVA'!$AM$21)*1*(1-0.03)</f>
        <v>110.02827653849539</v>
      </c>
      <c r="AA393" s="42">
        <f>('TE BE'!$AB$12+'TE BF'!$AB$12+'TE CVA'!$AB$12)*1*(1-0.03)</f>
        <v>212.12486502371149</v>
      </c>
      <c r="AB393" s="6">
        <f>$K$393*$V$393</f>
        <v>1749.5279999999998</v>
      </c>
      <c r="AC393" s="6">
        <f>$M$393*$W$393</f>
        <v>3773.0799026000004</v>
      </c>
      <c r="AD393" s="6">
        <f>$O$393*$X$393</f>
        <v>7521.0984275999999</v>
      </c>
      <c r="AE393" s="6">
        <f ca="1">$K$393*$Y$393</f>
        <v>1879.6952426299856</v>
      </c>
      <c r="AF393" s="6">
        <f ca="1">$M$393*$Z$393</f>
        <v>5238.3362177212275</v>
      </c>
      <c r="AG393" s="6">
        <f>$O$393*$AA$393</f>
        <v>10099.052698913882</v>
      </c>
    </row>
    <row r="394" spans="1:33" ht="11.25" customHeight="1" x14ac:dyDescent="0.25">
      <c r="A394" s="4" t="s">
        <v>21</v>
      </c>
      <c r="B394" s="4" t="s">
        <v>41</v>
      </c>
      <c r="C394" s="4" t="s">
        <v>42</v>
      </c>
      <c r="D394" s="4" t="s">
        <v>52</v>
      </c>
      <c r="E394" s="4" t="s">
        <v>53</v>
      </c>
      <c r="F394" s="4" t="s">
        <v>25</v>
      </c>
      <c r="G394" s="4" t="s">
        <v>25</v>
      </c>
      <c r="H394" s="4" t="s">
        <v>37</v>
      </c>
      <c r="I394" s="5">
        <v>44774</v>
      </c>
      <c r="J394" s="6">
        <v>161</v>
      </c>
      <c r="K394" s="43">
        <v>161</v>
      </c>
      <c r="L394" s="6">
        <v>95.522999999999996</v>
      </c>
      <c r="M394" s="42">
        <v>95.522999999999996</v>
      </c>
      <c r="N394" s="6">
        <v>95.522999999999996</v>
      </c>
      <c r="O394" s="42">
        <v>95.522999999999996</v>
      </c>
      <c r="P394" s="6">
        <v>0</v>
      </c>
      <c r="Q394" s="4" t="s">
        <v>26</v>
      </c>
      <c r="R394" s="4">
        <v>0</v>
      </c>
      <c r="S394" s="6">
        <v>20</v>
      </c>
      <c r="T394" s="6">
        <v>21</v>
      </c>
      <c r="U394" s="6">
        <v>75</v>
      </c>
      <c r="V394" s="42">
        <f>IF(ISERROR(VLOOKUP($S$394,'TAR FIN'!$A$1:$O$115,15,0)),0,VLOOKUP($S$394,'TAR FIN'!$A$1:$O$115,15,0))*(1-0.06)</f>
        <v>18.611999999999998</v>
      </c>
      <c r="W394" s="42">
        <f>IF(ISERROR(VLOOKUP($T$394,'TAR FIN'!$A$1:$O$115,15,0)),0,VLOOKUP($T$394,'TAR FIN'!$A$1:$O$115,15,0))*(1-0.06)</f>
        <v>79.251400000000004</v>
      </c>
      <c r="X394" s="42">
        <f>IF(ISERROR(VLOOKUP($U$394,'TAR FIN'!$A$1:$O$115,15,0)),0,VLOOKUP($U$394,'TAR FIN'!$A$1:$O$115,15,0))*(1-0.06)</f>
        <v>157.97639999999998</v>
      </c>
      <c r="Y394" s="42">
        <f ca="1">('TUSD BE'!$AM$20+'TUSD BF'!$AM$20+'TUSD CVA'!$AM$20)*1*(1-0.03)</f>
        <v>19.996757900318997</v>
      </c>
      <c r="Z394" s="42">
        <f ca="1">('TUSD BE'!$AM$21+'TUSD BF'!$AM$21+'TUSD CVA'!$AM$21)*1*(1-0.03)</f>
        <v>110.02827653849539</v>
      </c>
      <c r="AA394" s="42">
        <f>('TE BE'!$AB$12+'TE BF'!$AB$12+'TE CVA'!$AB$12)*1*(1-0.03)</f>
        <v>212.12486502371149</v>
      </c>
      <c r="AB394" s="6">
        <f>$K$394*$V$394</f>
        <v>2996.5319999999997</v>
      </c>
      <c r="AC394" s="6">
        <f>$M$394*$W$394</f>
        <v>7570.3314822000002</v>
      </c>
      <c r="AD394" s="6">
        <f>$O$394*$X$394</f>
        <v>15090.379657199997</v>
      </c>
      <c r="AE394" s="6">
        <f ca="1">$K$394*$Y$394</f>
        <v>3219.4780219513586</v>
      </c>
      <c r="AF394" s="6">
        <f ca="1">$M$394*$Z$394</f>
        <v>10510.231059786694</v>
      </c>
      <c r="AG394" s="6">
        <f>$O$394*$AA$394</f>
        <v>20262.803481659994</v>
      </c>
    </row>
    <row r="395" spans="1:33" ht="11.25" customHeight="1" x14ac:dyDescent="0.25">
      <c r="A395" s="4" t="s">
        <v>28</v>
      </c>
      <c r="B395" s="4" t="s">
        <v>41</v>
      </c>
      <c r="C395" s="4" t="s">
        <v>42</v>
      </c>
      <c r="D395" s="4" t="s">
        <v>52</v>
      </c>
      <c r="E395" s="4" t="s">
        <v>53</v>
      </c>
      <c r="F395" s="4" t="s">
        <v>25</v>
      </c>
      <c r="G395" s="4" t="s">
        <v>25</v>
      </c>
      <c r="H395" s="4" t="s">
        <v>37</v>
      </c>
      <c r="I395" s="5">
        <v>44774</v>
      </c>
      <c r="J395" s="6">
        <v>104</v>
      </c>
      <c r="K395" s="43">
        <v>104</v>
      </c>
      <c r="L395" s="6">
        <v>48.96</v>
      </c>
      <c r="M395" s="42">
        <v>48.96</v>
      </c>
      <c r="N395" s="6">
        <v>48.96</v>
      </c>
      <c r="O395" s="42">
        <v>48.96</v>
      </c>
      <c r="P395" s="6">
        <v>0</v>
      </c>
      <c r="Q395" s="4" t="s">
        <v>26</v>
      </c>
      <c r="R395" s="4">
        <v>0</v>
      </c>
      <c r="S395" s="6">
        <v>20</v>
      </c>
      <c r="T395" s="6">
        <v>21</v>
      </c>
      <c r="U395" s="6">
        <v>75</v>
      </c>
      <c r="V395" s="42">
        <f>IF(ISERROR(VLOOKUP($S$395,'TAR FIN'!$A$1:$O$115,15,0)),0,VLOOKUP($S$395,'TAR FIN'!$A$1:$O$115,15,0))*(1-0.06)</f>
        <v>18.611999999999998</v>
      </c>
      <c r="W395" s="42">
        <f>IF(ISERROR(VLOOKUP($T$395,'TAR FIN'!$A$1:$O$115,15,0)),0,VLOOKUP($T$395,'TAR FIN'!$A$1:$O$115,15,0))*(1-0.06)</f>
        <v>79.251400000000004</v>
      </c>
      <c r="X395" s="42">
        <f>IF(ISERROR(VLOOKUP($U$395,'TAR FIN'!$A$1:$O$115,15,0)),0,VLOOKUP($U$395,'TAR FIN'!$A$1:$O$115,15,0))*(1-0.06)</f>
        <v>157.97639999999998</v>
      </c>
      <c r="Y395" s="42">
        <f ca="1">('TUSD BE'!$AM$20+'TUSD BF'!$AM$20+'TUSD CVA'!$AM$20)*1*(1-0.03)</f>
        <v>19.996757900318997</v>
      </c>
      <c r="Z395" s="42">
        <f ca="1">('TUSD BE'!$AM$21+'TUSD BF'!$AM$21+'TUSD CVA'!$AM$21)*1*(1-0.03)</f>
        <v>110.02827653849539</v>
      </c>
      <c r="AA395" s="42">
        <f>('TE BE'!$AB$12+'TE BF'!$AB$12+'TE CVA'!$AB$12)*1*(1-0.03)</f>
        <v>212.12486502371149</v>
      </c>
      <c r="AB395" s="6">
        <f>$K$395*$V$395</f>
        <v>1935.6479999999999</v>
      </c>
      <c r="AC395" s="6">
        <f>$M$395*$W$395</f>
        <v>3880.1485440000001</v>
      </c>
      <c r="AD395" s="6">
        <f>$O$395*$X$395</f>
        <v>7734.524543999999</v>
      </c>
      <c r="AE395" s="6">
        <f ca="1">$K$395*$Y$395</f>
        <v>2079.6628216331756</v>
      </c>
      <c r="AF395" s="6">
        <f ca="1">$M$395*$Z$395</f>
        <v>5386.9844193247345</v>
      </c>
      <c r="AG395" s="6">
        <f>$O$395*$AA$395</f>
        <v>10385.633391560916</v>
      </c>
    </row>
    <row r="396" spans="1:33" ht="11.25" customHeight="1" x14ac:dyDescent="0.25">
      <c r="A396" s="4" t="s">
        <v>21</v>
      </c>
      <c r="B396" s="4" t="s">
        <v>41</v>
      </c>
      <c r="C396" s="4" t="s">
        <v>42</v>
      </c>
      <c r="D396" s="4" t="s">
        <v>52</v>
      </c>
      <c r="E396" s="4" t="s">
        <v>53</v>
      </c>
      <c r="F396" s="4" t="s">
        <v>25</v>
      </c>
      <c r="G396" s="4" t="s">
        <v>25</v>
      </c>
      <c r="H396" s="4" t="s">
        <v>37</v>
      </c>
      <c r="I396" s="5">
        <v>44805</v>
      </c>
      <c r="J396" s="6">
        <v>162</v>
      </c>
      <c r="K396" s="43">
        <v>162</v>
      </c>
      <c r="L396" s="6">
        <v>92.162000000000006</v>
      </c>
      <c r="M396" s="42">
        <v>92.162000000000006</v>
      </c>
      <c r="N396" s="6">
        <v>92.162000000000006</v>
      </c>
      <c r="O396" s="42">
        <v>92.162000000000006</v>
      </c>
      <c r="P396" s="6">
        <v>0</v>
      </c>
      <c r="Q396" s="4" t="s">
        <v>26</v>
      </c>
      <c r="R396" s="4">
        <v>0</v>
      </c>
      <c r="S396" s="6">
        <v>20</v>
      </c>
      <c r="T396" s="6">
        <v>21</v>
      </c>
      <c r="U396" s="6">
        <v>75</v>
      </c>
      <c r="V396" s="42">
        <f>IF(ISERROR(VLOOKUP($S$396,'TAR FIN'!$A$1:$O$115,15,0)),0,VLOOKUP($S$396,'TAR FIN'!$A$1:$O$115,15,0))*(1-0.06)</f>
        <v>18.611999999999998</v>
      </c>
      <c r="W396" s="42">
        <f>IF(ISERROR(VLOOKUP($T$396,'TAR FIN'!$A$1:$O$115,15,0)),0,VLOOKUP($T$396,'TAR FIN'!$A$1:$O$115,15,0))*(1-0.06)</f>
        <v>79.251400000000004</v>
      </c>
      <c r="X396" s="42">
        <f>IF(ISERROR(VLOOKUP($U$396,'TAR FIN'!$A$1:$O$115,15,0)),0,VLOOKUP($U$396,'TAR FIN'!$A$1:$O$115,15,0))*(1-0.06)</f>
        <v>157.97639999999998</v>
      </c>
      <c r="Y396" s="42">
        <f ca="1">('TUSD BE'!$AM$20+'TUSD BF'!$AM$20+'TUSD CVA'!$AM$20)*1*(1-0.03)</f>
        <v>19.996757900318997</v>
      </c>
      <c r="Z396" s="42">
        <f ca="1">('TUSD BE'!$AM$21+'TUSD BF'!$AM$21+'TUSD CVA'!$AM$21)*1*(1-0.03)</f>
        <v>110.02827653849539</v>
      </c>
      <c r="AA396" s="42">
        <f>('TE BE'!$AB$12+'TE BF'!$AB$12+'TE CVA'!$AB$12)*1*(1-0.03)</f>
        <v>212.12486502371149</v>
      </c>
      <c r="AB396" s="6">
        <f>$K$396*$V$396</f>
        <v>3015.1439999999998</v>
      </c>
      <c r="AC396" s="6">
        <f>$M$396*$W$396</f>
        <v>7303.967526800001</v>
      </c>
      <c r="AD396" s="6">
        <f>$O$396*$X$396</f>
        <v>14559.4209768</v>
      </c>
      <c r="AE396" s="6">
        <f ca="1">$K$396*$Y$396</f>
        <v>3239.4747798516773</v>
      </c>
      <c r="AF396" s="6">
        <f ca="1">$M$396*$Z$396</f>
        <v>10140.426022340813</v>
      </c>
      <c r="AG396" s="6">
        <f>$O$396*$AA$396</f>
        <v>19549.8518103153</v>
      </c>
    </row>
    <row r="397" spans="1:33" ht="11.25" customHeight="1" x14ac:dyDescent="0.25">
      <c r="A397" s="4" t="s">
        <v>28</v>
      </c>
      <c r="B397" s="4" t="s">
        <v>41</v>
      </c>
      <c r="C397" s="4" t="s">
        <v>42</v>
      </c>
      <c r="D397" s="4" t="s">
        <v>52</v>
      </c>
      <c r="E397" s="4" t="s">
        <v>53</v>
      </c>
      <c r="F397" s="4" t="s">
        <v>25</v>
      </c>
      <c r="G397" s="4" t="s">
        <v>25</v>
      </c>
      <c r="H397" s="4" t="s">
        <v>37</v>
      </c>
      <c r="I397" s="5">
        <v>44805</v>
      </c>
      <c r="J397" s="6">
        <v>120</v>
      </c>
      <c r="K397" s="43">
        <v>120</v>
      </c>
      <c r="L397" s="6">
        <v>51.665999999999997</v>
      </c>
      <c r="M397" s="42">
        <v>51.665999999999997</v>
      </c>
      <c r="N397" s="6">
        <v>51.665999999999997</v>
      </c>
      <c r="O397" s="42">
        <v>51.665999999999997</v>
      </c>
      <c r="P397" s="6">
        <v>0</v>
      </c>
      <c r="Q397" s="4" t="s">
        <v>26</v>
      </c>
      <c r="R397" s="4">
        <v>0</v>
      </c>
      <c r="S397" s="6">
        <v>20</v>
      </c>
      <c r="T397" s="6">
        <v>21</v>
      </c>
      <c r="U397" s="6">
        <v>75</v>
      </c>
      <c r="V397" s="42">
        <f>IF(ISERROR(VLOOKUP($S$397,'TAR FIN'!$A$1:$O$115,15,0)),0,VLOOKUP($S$397,'TAR FIN'!$A$1:$O$115,15,0))*(1-0.06)</f>
        <v>18.611999999999998</v>
      </c>
      <c r="W397" s="42">
        <f>IF(ISERROR(VLOOKUP($T$397,'TAR FIN'!$A$1:$O$115,15,0)),0,VLOOKUP($T$397,'TAR FIN'!$A$1:$O$115,15,0))*(1-0.06)</f>
        <v>79.251400000000004</v>
      </c>
      <c r="X397" s="42">
        <f>IF(ISERROR(VLOOKUP($U$397,'TAR FIN'!$A$1:$O$115,15,0)),0,VLOOKUP($U$397,'TAR FIN'!$A$1:$O$115,15,0))*(1-0.06)</f>
        <v>157.97639999999998</v>
      </c>
      <c r="Y397" s="42">
        <f ca="1">('TUSD BE'!$AM$20+'TUSD BF'!$AM$20+'TUSD CVA'!$AM$20)*1*(1-0.03)</f>
        <v>19.996757900318997</v>
      </c>
      <c r="Z397" s="42">
        <f ca="1">('TUSD BE'!$AM$21+'TUSD BF'!$AM$21+'TUSD CVA'!$AM$21)*1*(1-0.03)</f>
        <v>110.02827653849539</v>
      </c>
      <c r="AA397" s="42">
        <f>('TE BE'!$AB$12+'TE BF'!$AB$12+'TE CVA'!$AB$12)*1*(1-0.03)</f>
        <v>212.12486502371149</v>
      </c>
      <c r="AB397" s="6">
        <f>$K$397*$V$397</f>
        <v>2233.4399999999996</v>
      </c>
      <c r="AC397" s="6">
        <f>$M$397*$W$397</f>
        <v>4094.6028323999999</v>
      </c>
      <c r="AD397" s="6">
        <f>$O$397*$X$397</f>
        <v>8162.0086823999991</v>
      </c>
      <c r="AE397" s="6">
        <f ca="1">$K$397*$Y$397</f>
        <v>2399.6109480382797</v>
      </c>
      <c r="AF397" s="6">
        <f ca="1">$M$397*$Z$397</f>
        <v>5684.7209356379026</v>
      </c>
      <c r="AG397" s="6">
        <f>$O$397*$AA$397</f>
        <v>10959.643276315077</v>
      </c>
    </row>
    <row r="398" spans="1:33" ht="11.25" customHeight="1" x14ac:dyDescent="0.25">
      <c r="A398" s="4" t="s">
        <v>21</v>
      </c>
      <c r="B398" s="4" t="s">
        <v>41</v>
      </c>
      <c r="C398" s="4" t="s">
        <v>42</v>
      </c>
      <c r="D398" s="4" t="s">
        <v>52</v>
      </c>
      <c r="E398" s="4" t="s">
        <v>53</v>
      </c>
      <c r="F398" s="4" t="s">
        <v>25</v>
      </c>
      <c r="G398" s="4" t="s">
        <v>25</v>
      </c>
      <c r="H398" s="4" t="s">
        <v>37</v>
      </c>
      <c r="I398" s="5">
        <v>44835</v>
      </c>
      <c r="J398" s="6">
        <v>211</v>
      </c>
      <c r="K398" s="43">
        <v>211</v>
      </c>
      <c r="L398" s="6">
        <v>133.714</v>
      </c>
      <c r="M398" s="42">
        <v>133.714</v>
      </c>
      <c r="N398" s="6">
        <v>133.714</v>
      </c>
      <c r="O398" s="42">
        <v>133.714</v>
      </c>
      <c r="P398" s="6">
        <v>0</v>
      </c>
      <c r="Q398" s="4" t="s">
        <v>26</v>
      </c>
      <c r="R398" s="4">
        <v>0</v>
      </c>
      <c r="S398" s="6">
        <v>20</v>
      </c>
      <c r="T398" s="6">
        <v>21</v>
      </c>
      <c r="U398" s="6">
        <v>75</v>
      </c>
      <c r="V398" s="42">
        <f>IF(ISERROR(VLOOKUP($S$398,'TAR FIN'!$A$1:$O$115,15,0)),0,VLOOKUP($S$398,'TAR FIN'!$A$1:$O$115,15,0))*(1-0.06)</f>
        <v>18.611999999999998</v>
      </c>
      <c r="W398" s="42">
        <f>IF(ISERROR(VLOOKUP($T$398,'TAR FIN'!$A$1:$O$115,15,0)),0,VLOOKUP($T$398,'TAR FIN'!$A$1:$O$115,15,0))*(1-0.06)</f>
        <v>79.251400000000004</v>
      </c>
      <c r="X398" s="42">
        <f>IF(ISERROR(VLOOKUP($U$398,'TAR FIN'!$A$1:$O$115,15,0)),0,VLOOKUP($U$398,'TAR FIN'!$A$1:$O$115,15,0))*(1-0.06)</f>
        <v>157.97639999999998</v>
      </c>
      <c r="Y398" s="42">
        <f ca="1">('TUSD BE'!$AM$20+'TUSD BF'!$AM$20+'TUSD CVA'!$AM$20)*1*(1-0.03)</f>
        <v>19.996757900318997</v>
      </c>
      <c r="Z398" s="42">
        <f ca="1">('TUSD BE'!$AM$21+'TUSD BF'!$AM$21+'TUSD CVA'!$AM$21)*1*(1-0.03)</f>
        <v>110.02827653849539</v>
      </c>
      <c r="AA398" s="42">
        <f>('TE BE'!$AB$12+'TE BF'!$AB$12+'TE CVA'!$AB$12)*1*(1-0.03)</f>
        <v>212.12486502371149</v>
      </c>
      <c r="AB398" s="6">
        <f>$K$398*$V$398</f>
        <v>3927.1319999999996</v>
      </c>
      <c r="AC398" s="6">
        <f>$M$398*$W$398</f>
        <v>10597.0216996</v>
      </c>
      <c r="AD398" s="6">
        <f>$O$398*$X$398</f>
        <v>21123.656349599998</v>
      </c>
      <c r="AE398" s="6">
        <f ca="1">$K$398*$Y$398</f>
        <v>4219.3159169673081</v>
      </c>
      <c r="AF398" s="6">
        <f ca="1">$M$398*$Z$398</f>
        <v>14712.320969068373</v>
      </c>
      <c r="AG398" s="6">
        <f>$O$398*$AA$398</f>
        <v>28364.064201780559</v>
      </c>
    </row>
    <row r="399" spans="1:33" ht="11.25" customHeight="1" x14ac:dyDescent="0.25">
      <c r="A399" s="4" t="s">
        <v>28</v>
      </c>
      <c r="B399" s="4" t="s">
        <v>41</v>
      </c>
      <c r="C399" s="4" t="s">
        <v>42</v>
      </c>
      <c r="D399" s="4" t="s">
        <v>52</v>
      </c>
      <c r="E399" s="4" t="s">
        <v>53</v>
      </c>
      <c r="F399" s="4" t="s">
        <v>25</v>
      </c>
      <c r="G399" s="4" t="s">
        <v>25</v>
      </c>
      <c r="H399" s="4" t="s">
        <v>37</v>
      </c>
      <c r="I399" s="5">
        <v>44835</v>
      </c>
      <c r="J399" s="6">
        <v>171</v>
      </c>
      <c r="K399" s="43">
        <v>171</v>
      </c>
      <c r="L399" s="6">
        <v>98.372</v>
      </c>
      <c r="M399" s="42">
        <v>98.372</v>
      </c>
      <c r="N399" s="6">
        <v>98.372</v>
      </c>
      <c r="O399" s="42">
        <v>98.372</v>
      </c>
      <c r="P399" s="6">
        <v>0</v>
      </c>
      <c r="Q399" s="4" t="s">
        <v>26</v>
      </c>
      <c r="R399" s="4">
        <v>0</v>
      </c>
      <c r="S399" s="6">
        <v>20</v>
      </c>
      <c r="T399" s="6">
        <v>21</v>
      </c>
      <c r="U399" s="6">
        <v>75</v>
      </c>
      <c r="V399" s="42">
        <f>IF(ISERROR(VLOOKUP($S$399,'TAR FIN'!$A$1:$O$115,15,0)),0,VLOOKUP($S$399,'TAR FIN'!$A$1:$O$115,15,0))*(1-0.06)</f>
        <v>18.611999999999998</v>
      </c>
      <c r="W399" s="42">
        <f>IF(ISERROR(VLOOKUP($T$399,'TAR FIN'!$A$1:$O$115,15,0)),0,VLOOKUP($T$399,'TAR FIN'!$A$1:$O$115,15,0))*(1-0.06)</f>
        <v>79.251400000000004</v>
      </c>
      <c r="X399" s="42">
        <f>IF(ISERROR(VLOOKUP($U$399,'TAR FIN'!$A$1:$O$115,15,0)),0,VLOOKUP($U$399,'TAR FIN'!$A$1:$O$115,15,0))*(1-0.06)</f>
        <v>157.97639999999998</v>
      </c>
      <c r="Y399" s="42">
        <f ca="1">('TUSD BE'!$AM$20+'TUSD BF'!$AM$20+'TUSD CVA'!$AM$20)*1*(1-0.03)</f>
        <v>19.996757900318997</v>
      </c>
      <c r="Z399" s="42">
        <f ca="1">('TUSD BE'!$AM$21+'TUSD BF'!$AM$21+'TUSD CVA'!$AM$21)*1*(1-0.03)</f>
        <v>110.02827653849539</v>
      </c>
      <c r="AA399" s="42">
        <f>('TE BE'!$AB$12+'TE BF'!$AB$12+'TE CVA'!$AB$12)*1*(1-0.03)</f>
        <v>212.12486502371149</v>
      </c>
      <c r="AB399" s="6">
        <f>$K$399*$V$399</f>
        <v>3182.6519999999996</v>
      </c>
      <c r="AC399" s="6">
        <f>$M$399*$W$399</f>
        <v>7796.1187208000001</v>
      </c>
      <c r="AD399" s="6">
        <f>$O$399*$X$399</f>
        <v>15540.454420799999</v>
      </c>
      <c r="AE399" s="6">
        <f ca="1">$K$399*$Y$399</f>
        <v>3419.4456009545484</v>
      </c>
      <c r="AF399" s="6">
        <f ca="1">$M$399*$Z$399</f>
        <v>10823.701619644869</v>
      </c>
      <c r="AG399" s="6">
        <f>$O$399*$AA$399</f>
        <v>20867.147222112548</v>
      </c>
    </row>
    <row r="400" spans="1:33" ht="11.25" customHeight="1" x14ac:dyDescent="0.25">
      <c r="A400" s="4" t="s">
        <v>59</v>
      </c>
      <c r="B400" s="4" t="s">
        <v>41</v>
      </c>
      <c r="C400" s="4" t="s">
        <v>42</v>
      </c>
      <c r="D400" s="4" t="s">
        <v>52</v>
      </c>
      <c r="E400" s="4" t="s">
        <v>53</v>
      </c>
      <c r="F400" s="4" t="s">
        <v>25</v>
      </c>
      <c r="G400" s="4" t="s">
        <v>25</v>
      </c>
      <c r="H400" s="4" t="s">
        <v>37</v>
      </c>
      <c r="I400" s="5">
        <v>44866</v>
      </c>
      <c r="J400" s="6">
        <v>211</v>
      </c>
      <c r="K400" s="43">
        <v>211</v>
      </c>
      <c r="L400" s="6">
        <v>133.714</v>
      </c>
      <c r="M400" s="42">
        <v>133.714</v>
      </c>
      <c r="N400" s="6">
        <v>133.714</v>
      </c>
      <c r="O400" s="42">
        <v>133.714</v>
      </c>
      <c r="P400" s="6">
        <v>0</v>
      </c>
      <c r="Q400" s="4" t="s">
        <v>26</v>
      </c>
      <c r="R400" s="4">
        <v>0</v>
      </c>
      <c r="S400" s="6">
        <v>20</v>
      </c>
      <c r="T400" s="6">
        <v>21</v>
      </c>
      <c r="U400" s="6">
        <v>75</v>
      </c>
      <c r="V400" s="42">
        <f>IF(ISERROR(VLOOKUP($S$400,'TAR FIN'!$A$1:$O$115,15,0)),0,VLOOKUP($S$400,'TAR FIN'!$A$1:$O$115,15,0))*(1-0.06)</f>
        <v>18.611999999999998</v>
      </c>
      <c r="W400" s="42">
        <f>IF(ISERROR(VLOOKUP($T$400,'TAR FIN'!$A$1:$O$115,15,0)),0,VLOOKUP($T$400,'TAR FIN'!$A$1:$O$115,15,0))*(1-0.06)</f>
        <v>79.251400000000004</v>
      </c>
      <c r="X400" s="42">
        <f>IF(ISERROR(VLOOKUP($U$400,'TAR FIN'!$A$1:$O$115,15,0)),0,VLOOKUP($U$400,'TAR FIN'!$A$1:$O$115,15,0))*(1-0.06)</f>
        <v>157.97639999999998</v>
      </c>
      <c r="Y400" s="42">
        <f ca="1">('TUSD BE'!$AM$20+'TUSD BF'!$AM$20+'TUSD CVA'!$AM$20)*1*(1-0.03)</f>
        <v>19.996757900318997</v>
      </c>
      <c r="Z400" s="42">
        <f ca="1">('TUSD BE'!$AM$21+'TUSD BF'!$AM$21+'TUSD CVA'!$AM$21)*1*(1-0.03)</f>
        <v>110.02827653849539</v>
      </c>
      <c r="AA400" s="42">
        <f>('TE BE'!$AB$12+'TE BF'!$AB$12+'TE CVA'!$AB$12)*1*(1-0.03)</f>
        <v>212.12486502371149</v>
      </c>
      <c r="AB400" s="6">
        <f>$K$400*$V$400</f>
        <v>3927.1319999999996</v>
      </c>
      <c r="AC400" s="6">
        <f>$M$400*$W$400</f>
        <v>10597.0216996</v>
      </c>
      <c r="AD400" s="6">
        <f>$O$400*$X$400</f>
        <v>21123.656349599998</v>
      </c>
      <c r="AE400" s="6">
        <f ca="1">$K$400*$Y$400</f>
        <v>4219.3159169673081</v>
      </c>
      <c r="AF400" s="6">
        <f ca="1">$M$400*$Z$400</f>
        <v>14712.320969068373</v>
      </c>
      <c r="AG400" s="6">
        <f>$O$400*$AA$400</f>
        <v>28364.064201780559</v>
      </c>
    </row>
    <row r="401" spans="1:33" ht="11.25" customHeight="1" x14ac:dyDescent="0.25">
      <c r="A401" s="4" t="s">
        <v>59</v>
      </c>
      <c r="B401" s="4" t="s">
        <v>41</v>
      </c>
      <c r="C401" s="4" t="s">
        <v>42</v>
      </c>
      <c r="D401" s="4" t="s">
        <v>52</v>
      </c>
      <c r="E401" s="4" t="s">
        <v>53</v>
      </c>
      <c r="F401" s="4" t="s">
        <v>25</v>
      </c>
      <c r="G401" s="4" t="s">
        <v>25</v>
      </c>
      <c r="H401" s="4" t="s">
        <v>37</v>
      </c>
      <c r="I401" s="5">
        <v>44866</v>
      </c>
      <c r="J401" s="6">
        <v>171</v>
      </c>
      <c r="K401" s="43">
        <v>171</v>
      </c>
      <c r="L401" s="6">
        <v>98.372</v>
      </c>
      <c r="M401" s="42">
        <v>98.372</v>
      </c>
      <c r="N401" s="6">
        <v>98.372</v>
      </c>
      <c r="O401" s="42">
        <v>98.372</v>
      </c>
      <c r="P401" s="6">
        <v>0</v>
      </c>
      <c r="Q401" s="4" t="s">
        <v>26</v>
      </c>
      <c r="R401" s="4">
        <v>0</v>
      </c>
      <c r="S401" s="6">
        <v>20</v>
      </c>
      <c r="T401" s="6">
        <v>21</v>
      </c>
      <c r="U401" s="6">
        <v>75</v>
      </c>
      <c r="V401" s="42">
        <f>IF(ISERROR(VLOOKUP($S$401,'TAR FIN'!$A$1:$O$115,15,0)),0,VLOOKUP($S$401,'TAR FIN'!$A$1:$O$115,15,0))*(1-0.06)</f>
        <v>18.611999999999998</v>
      </c>
      <c r="W401" s="42">
        <f>IF(ISERROR(VLOOKUP($T$401,'TAR FIN'!$A$1:$O$115,15,0)),0,VLOOKUP($T$401,'TAR FIN'!$A$1:$O$115,15,0))*(1-0.06)</f>
        <v>79.251400000000004</v>
      </c>
      <c r="X401" s="42">
        <f>IF(ISERROR(VLOOKUP($U$401,'TAR FIN'!$A$1:$O$115,15,0)),0,VLOOKUP($U$401,'TAR FIN'!$A$1:$O$115,15,0))*(1-0.06)</f>
        <v>157.97639999999998</v>
      </c>
      <c r="Y401" s="42">
        <f ca="1">('TUSD BE'!$AM$20+'TUSD BF'!$AM$20+'TUSD CVA'!$AM$20)*1*(1-0.03)</f>
        <v>19.996757900318997</v>
      </c>
      <c r="Z401" s="42">
        <f ca="1">('TUSD BE'!$AM$21+'TUSD BF'!$AM$21+'TUSD CVA'!$AM$21)*1*(1-0.03)</f>
        <v>110.02827653849539</v>
      </c>
      <c r="AA401" s="42">
        <f>('TE BE'!$AB$12+'TE BF'!$AB$12+'TE CVA'!$AB$12)*1*(1-0.03)</f>
        <v>212.12486502371149</v>
      </c>
      <c r="AB401" s="6">
        <f>$K$401*$V$401</f>
        <v>3182.6519999999996</v>
      </c>
      <c r="AC401" s="6">
        <f>$M$401*$W$401</f>
        <v>7796.1187208000001</v>
      </c>
      <c r="AD401" s="6">
        <f>$O$401*$X$401</f>
        <v>15540.454420799999</v>
      </c>
      <c r="AE401" s="6">
        <f ca="1">$K$401*$Y$401</f>
        <v>3419.4456009545484</v>
      </c>
      <c r="AF401" s="6">
        <f ca="1">$M$401*$Z$401</f>
        <v>10823.701619644869</v>
      </c>
      <c r="AG401" s="6">
        <f>$O$401*$AA$401</f>
        <v>20867.147222112548</v>
      </c>
    </row>
    <row r="402" spans="1:33" ht="11.25" customHeight="1" x14ac:dyDescent="0.25">
      <c r="A402" s="4" t="s">
        <v>21</v>
      </c>
      <c r="B402" s="4" t="s">
        <v>41</v>
      </c>
      <c r="C402" s="4" t="s">
        <v>42</v>
      </c>
      <c r="D402" s="4" t="s">
        <v>52</v>
      </c>
      <c r="E402" s="4" t="s">
        <v>53</v>
      </c>
      <c r="F402" s="4" t="s">
        <v>25</v>
      </c>
      <c r="G402" s="4" t="s">
        <v>25</v>
      </c>
      <c r="H402" s="4" t="s">
        <v>36</v>
      </c>
      <c r="I402" s="5">
        <v>44531</v>
      </c>
      <c r="J402" s="6">
        <v>1953</v>
      </c>
      <c r="K402" s="43">
        <v>1953</v>
      </c>
      <c r="L402" s="6">
        <v>58.834000000000003</v>
      </c>
      <c r="M402" s="42">
        <v>58.834000000000003</v>
      </c>
      <c r="N402" s="6">
        <v>58.834000000000003</v>
      </c>
      <c r="O402" s="42">
        <v>58.834000000000003</v>
      </c>
      <c r="P402" s="6">
        <v>0</v>
      </c>
      <c r="Q402" s="4" t="s">
        <v>26</v>
      </c>
      <c r="R402" s="4">
        <v>0</v>
      </c>
      <c r="S402" s="6">
        <v>19</v>
      </c>
      <c r="T402" s="6">
        <v>21</v>
      </c>
      <c r="U402" s="6">
        <v>74</v>
      </c>
      <c r="V402" s="42">
        <f>IF(ISERROR(VLOOKUP($S$402,'TAR FIN'!$A$1:$O$115,15,0)),0,VLOOKUP($S$402,'TAR FIN'!$A$1:$O$115,15,0))*(1-0.06)</f>
        <v>52.846799999999995</v>
      </c>
      <c r="W402" s="42">
        <f>IF(ISERROR(VLOOKUP($T$402,'TAR FIN'!$A$1:$O$115,15,0)),0,VLOOKUP($T$402,'TAR FIN'!$A$1:$O$115,15,0))*(1-0.06)</f>
        <v>79.251400000000004</v>
      </c>
      <c r="X402" s="42">
        <f>IF(ISERROR(VLOOKUP($U$402,'TAR FIN'!$A$1:$O$115,15,0)),0,VLOOKUP($U$402,'TAR FIN'!$A$1:$O$115,15,0))*(1-0.06)</f>
        <v>254.08199999999999</v>
      </c>
      <c r="Y402" s="42">
        <f ca="1">('TUSD BE'!$AM$19+'TUSD BF'!$AM$19+'TUSD CVA'!$AM$19)*1*(1-0.03)</f>
        <v>54.619320318700332</v>
      </c>
      <c r="Z402" s="42">
        <f ca="1">('TUSD BE'!$AM$21+'TUSD BF'!$AM$21+'TUSD CVA'!$AM$21)*1*(1-0.03)</f>
        <v>110.02827653849539</v>
      </c>
      <c r="AA402" s="42">
        <f>('TE BE'!$AB$11+'TE BF'!$AB$11+'TE CVA'!$AB$11)*1*(1-0.03)</f>
        <v>351.76466722756453</v>
      </c>
      <c r="AB402" s="6">
        <f>$K$402*$V$402</f>
        <v>103209.80039999999</v>
      </c>
      <c r="AC402" s="6">
        <f>$M$402*$W$402</f>
        <v>4662.6768676000002</v>
      </c>
      <c r="AD402" s="6">
        <f>$O$402*$X$402</f>
        <v>14948.660388</v>
      </c>
      <c r="AE402" s="6">
        <f ca="1">$K$402*$Y$402</f>
        <v>106671.53258242174</v>
      </c>
      <c r="AF402" s="6">
        <f ca="1">$M$402*$Z$402</f>
        <v>6473.4036218658384</v>
      </c>
      <c r="AG402" s="6">
        <f>$O$402*$AA$402</f>
        <v>20695.722431666534</v>
      </c>
    </row>
    <row r="403" spans="1:33" ht="11.25" customHeight="1" x14ac:dyDescent="0.25">
      <c r="A403" s="4" t="s">
        <v>28</v>
      </c>
      <c r="B403" s="4" t="s">
        <v>41</v>
      </c>
      <c r="C403" s="4" t="s">
        <v>42</v>
      </c>
      <c r="D403" s="4" t="s">
        <v>52</v>
      </c>
      <c r="E403" s="4" t="s">
        <v>53</v>
      </c>
      <c r="F403" s="4" t="s">
        <v>25</v>
      </c>
      <c r="G403" s="4" t="s">
        <v>25</v>
      </c>
      <c r="H403" s="4" t="s">
        <v>36</v>
      </c>
      <c r="I403" s="5">
        <v>44531</v>
      </c>
      <c r="J403" s="6">
        <v>95</v>
      </c>
      <c r="K403" s="43">
        <v>95</v>
      </c>
      <c r="L403" s="6">
        <v>4.5919999999999996</v>
      </c>
      <c r="M403" s="42">
        <v>4.5919999999999996</v>
      </c>
      <c r="N403" s="6">
        <v>4.5919999999999996</v>
      </c>
      <c r="O403" s="42">
        <v>4.5919999999999996</v>
      </c>
      <c r="P403" s="6">
        <v>0</v>
      </c>
      <c r="Q403" s="4" t="s">
        <v>26</v>
      </c>
      <c r="R403" s="4">
        <v>0</v>
      </c>
      <c r="S403" s="6">
        <v>19</v>
      </c>
      <c r="T403" s="6">
        <v>21</v>
      </c>
      <c r="U403" s="6">
        <v>74</v>
      </c>
      <c r="V403" s="42">
        <f>IF(ISERROR(VLOOKUP($S$403,'TAR FIN'!$A$1:$O$115,15,0)),0,VLOOKUP($S$403,'TAR FIN'!$A$1:$O$115,15,0))*(1-0.06)</f>
        <v>52.846799999999995</v>
      </c>
      <c r="W403" s="42">
        <f>IF(ISERROR(VLOOKUP($T$403,'TAR FIN'!$A$1:$O$115,15,0)),0,VLOOKUP($T$403,'TAR FIN'!$A$1:$O$115,15,0))*(1-0.06)</f>
        <v>79.251400000000004</v>
      </c>
      <c r="X403" s="42">
        <f>IF(ISERROR(VLOOKUP($U$403,'TAR FIN'!$A$1:$O$115,15,0)),0,VLOOKUP($U$403,'TAR FIN'!$A$1:$O$115,15,0))*(1-0.06)</f>
        <v>254.08199999999999</v>
      </c>
      <c r="Y403" s="42">
        <f ca="1">('TUSD BE'!$AM$19+'TUSD BF'!$AM$19+'TUSD CVA'!$AM$19)*1*(1-0.03)</f>
        <v>54.619320318700332</v>
      </c>
      <c r="Z403" s="42">
        <f ca="1">('TUSD BE'!$AM$21+'TUSD BF'!$AM$21+'TUSD CVA'!$AM$21)*1*(1-0.03)</f>
        <v>110.02827653849539</v>
      </c>
      <c r="AA403" s="42">
        <f>('TE BE'!$AB$11+'TE BF'!$AB$11+'TE CVA'!$AB$11)*1*(1-0.03)</f>
        <v>351.76466722756453</v>
      </c>
      <c r="AB403" s="6">
        <f>$K$403*$V$403</f>
        <v>5020.4459999999999</v>
      </c>
      <c r="AC403" s="6">
        <f>$M$403*$W$403</f>
        <v>363.92242879999998</v>
      </c>
      <c r="AD403" s="6">
        <f>$O$403*$X$403</f>
        <v>1166.7445439999999</v>
      </c>
      <c r="AE403" s="6">
        <f ca="1">$K$403*$Y$403</f>
        <v>5188.835430276532</v>
      </c>
      <c r="AF403" s="6">
        <f ca="1">$M$403*$Z$403</f>
        <v>505.2498458647708</v>
      </c>
      <c r="AG403" s="6">
        <f>$O$403*$AA$403</f>
        <v>1615.3033519089761</v>
      </c>
    </row>
    <row r="404" spans="1:33" ht="11.25" customHeight="1" x14ac:dyDescent="0.25">
      <c r="A404" s="4" t="s">
        <v>21</v>
      </c>
      <c r="B404" s="4" t="s">
        <v>41</v>
      </c>
      <c r="C404" s="4" t="s">
        <v>42</v>
      </c>
      <c r="D404" s="4" t="s">
        <v>52</v>
      </c>
      <c r="E404" s="4" t="s">
        <v>53</v>
      </c>
      <c r="F404" s="4" t="s">
        <v>25</v>
      </c>
      <c r="G404" s="4" t="s">
        <v>25</v>
      </c>
      <c r="H404" s="4" t="s">
        <v>36</v>
      </c>
      <c r="I404" s="5">
        <v>44562</v>
      </c>
      <c r="J404" s="6">
        <v>157</v>
      </c>
      <c r="K404" s="43">
        <v>157</v>
      </c>
      <c r="L404" s="6">
        <v>10.702</v>
      </c>
      <c r="M404" s="42">
        <v>10.702</v>
      </c>
      <c r="N404" s="6">
        <v>10.702</v>
      </c>
      <c r="O404" s="42">
        <v>10.702</v>
      </c>
      <c r="P404" s="6">
        <v>0</v>
      </c>
      <c r="Q404" s="4" t="s">
        <v>26</v>
      </c>
      <c r="R404" s="4">
        <v>0</v>
      </c>
      <c r="S404" s="6">
        <v>19</v>
      </c>
      <c r="T404" s="6">
        <v>21</v>
      </c>
      <c r="U404" s="6">
        <v>74</v>
      </c>
      <c r="V404" s="42">
        <f>IF(ISERROR(VLOOKUP($S$404,'TAR FIN'!$A$1:$O$115,15,0)),0,VLOOKUP($S$404,'TAR FIN'!$A$1:$O$115,15,0))*(1-0.06)</f>
        <v>52.846799999999995</v>
      </c>
      <c r="W404" s="42">
        <f>IF(ISERROR(VLOOKUP($T$404,'TAR FIN'!$A$1:$O$115,15,0)),0,VLOOKUP($T$404,'TAR FIN'!$A$1:$O$115,15,0))*(1-0.06)</f>
        <v>79.251400000000004</v>
      </c>
      <c r="X404" s="42">
        <f>IF(ISERROR(VLOOKUP($U$404,'TAR FIN'!$A$1:$O$115,15,0)),0,VLOOKUP($U$404,'TAR FIN'!$A$1:$O$115,15,0))*(1-0.06)</f>
        <v>254.08199999999999</v>
      </c>
      <c r="Y404" s="42">
        <f ca="1">('TUSD BE'!$AM$19+'TUSD BF'!$AM$19+'TUSD CVA'!$AM$19)*1*(1-0.03)</f>
        <v>54.619320318700332</v>
      </c>
      <c r="Z404" s="42">
        <f ca="1">('TUSD BE'!$AM$21+'TUSD BF'!$AM$21+'TUSD CVA'!$AM$21)*1*(1-0.03)</f>
        <v>110.02827653849539</v>
      </c>
      <c r="AA404" s="42">
        <f>('TE BE'!$AB$11+'TE BF'!$AB$11+'TE CVA'!$AB$11)*1*(1-0.03)</f>
        <v>351.76466722756453</v>
      </c>
      <c r="AB404" s="6">
        <f>$K$404*$V$404</f>
        <v>8296.9475999999995</v>
      </c>
      <c r="AC404" s="6">
        <f>$M$404*$W$404</f>
        <v>848.14848280000001</v>
      </c>
      <c r="AD404" s="6">
        <f>$O$404*$X$404</f>
        <v>2719.1855639999999</v>
      </c>
      <c r="AE404" s="6">
        <f ca="1">$K$404*$Y$404</f>
        <v>8575.2332900359525</v>
      </c>
      <c r="AF404" s="6">
        <f ca="1">$M$404*$Z$404</f>
        <v>1177.5226155149776</v>
      </c>
      <c r="AG404" s="6">
        <f>$O$404*$AA$404</f>
        <v>3764.5854686693956</v>
      </c>
    </row>
    <row r="405" spans="1:33" ht="11.25" customHeight="1" x14ac:dyDescent="0.25">
      <c r="A405" s="4" t="s">
        <v>28</v>
      </c>
      <c r="B405" s="4" t="s">
        <v>41</v>
      </c>
      <c r="C405" s="4" t="s">
        <v>42</v>
      </c>
      <c r="D405" s="4" t="s">
        <v>52</v>
      </c>
      <c r="E405" s="4" t="s">
        <v>53</v>
      </c>
      <c r="F405" s="4" t="s">
        <v>25</v>
      </c>
      <c r="G405" s="4" t="s">
        <v>25</v>
      </c>
      <c r="H405" s="4" t="s">
        <v>36</v>
      </c>
      <c r="I405" s="5">
        <v>44562</v>
      </c>
      <c r="J405" s="6">
        <v>89</v>
      </c>
      <c r="K405" s="43">
        <v>89</v>
      </c>
      <c r="L405" s="6">
        <v>5.6580000000000004</v>
      </c>
      <c r="M405" s="42">
        <v>5.6580000000000004</v>
      </c>
      <c r="N405" s="6">
        <v>5.6580000000000004</v>
      </c>
      <c r="O405" s="42">
        <v>5.6580000000000004</v>
      </c>
      <c r="P405" s="6">
        <v>0</v>
      </c>
      <c r="Q405" s="4" t="s">
        <v>26</v>
      </c>
      <c r="R405" s="4">
        <v>0</v>
      </c>
      <c r="S405" s="6">
        <v>19</v>
      </c>
      <c r="T405" s="6">
        <v>21</v>
      </c>
      <c r="U405" s="6">
        <v>74</v>
      </c>
      <c r="V405" s="42">
        <f>IF(ISERROR(VLOOKUP($S$405,'TAR FIN'!$A$1:$O$115,15,0)),0,VLOOKUP($S$405,'TAR FIN'!$A$1:$O$115,15,0))*(1-0.06)</f>
        <v>52.846799999999995</v>
      </c>
      <c r="W405" s="42">
        <f>IF(ISERROR(VLOOKUP($T$405,'TAR FIN'!$A$1:$O$115,15,0)),0,VLOOKUP($T$405,'TAR FIN'!$A$1:$O$115,15,0))*(1-0.06)</f>
        <v>79.251400000000004</v>
      </c>
      <c r="X405" s="42">
        <f>IF(ISERROR(VLOOKUP($U$405,'TAR FIN'!$A$1:$O$115,15,0)),0,VLOOKUP($U$405,'TAR FIN'!$A$1:$O$115,15,0))*(1-0.06)</f>
        <v>254.08199999999999</v>
      </c>
      <c r="Y405" s="42">
        <f ca="1">('TUSD BE'!$AM$19+'TUSD BF'!$AM$19+'TUSD CVA'!$AM$19)*1*(1-0.03)</f>
        <v>54.619320318700332</v>
      </c>
      <c r="Z405" s="42">
        <f ca="1">('TUSD BE'!$AM$21+'TUSD BF'!$AM$21+'TUSD CVA'!$AM$21)*1*(1-0.03)</f>
        <v>110.02827653849539</v>
      </c>
      <c r="AA405" s="42">
        <f>('TE BE'!$AB$11+'TE BF'!$AB$11+'TE CVA'!$AB$11)*1*(1-0.03)</f>
        <v>351.76466722756453</v>
      </c>
      <c r="AB405" s="6">
        <f>$K$405*$V$405</f>
        <v>4703.3651999999993</v>
      </c>
      <c r="AC405" s="6">
        <f>$M$405*$W$405</f>
        <v>448.40442120000006</v>
      </c>
      <c r="AD405" s="6">
        <f>$O$405*$X$405</f>
        <v>1437.5959560000001</v>
      </c>
      <c r="AE405" s="6">
        <f ca="1">$K$405*$Y$405</f>
        <v>4861.1195083643297</v>
      </c>
      <c r="AF405" s="6">
        <f ca="1">$M$405*$Z$405</f>
        <v>622.53998865480696</v>
      </c>
      <c r="AG405" s="6">
        <f>$O$405*$AA$405</f>
        <v>1990.2844871735601</v>
      </c>
    </row>
    <row r="406" spans="1:33" ht="11.25" customHeight="1" x14ac:dyDescent="0.25">
      <c r="A406" s="4" t="s">
        <v>21</v>
      </c>
      <c r="B406" s="4" t="s">
        <v>41</v>
      </c>
      <c r="C406" s="4" t="s">
        <v>42</v>
      </c>
      <c r="D406" s="4" t="s">
        <v>52</v>
      </c>
      <c r="E406" s="4" t="s">
        <v>53</v>
      </c>
      <c r="F406" s="4" t="s">
        <v>25</v>
      </c>
      <c r="G406" s="4" t="s">
        <v>25</v>
      </c>
      <c r="H406" s="4" t="s">
        <v>36</v>
      </c>
      <c r="I406" s="5">
        <v>44593</v>
      </c>
      <c r="J406" s="6">
        <v>155</v>
      </c>
      <c r="K406" s="43">
        <v>155</v>
      </c>
      <c r="L406" s="6">
        <v>10.286</v>
      </c>
      <c r="M406" s="42">
        <v>10.286</v>
      </c>
      <c r="N406" s="6">
        <v>10.286</v>
      </c>
      <c r="O406" s="42">
        <v>10.286</v>
      </c>
      <c r="P406" s="6">
        <v>0</v>
      </c>
      <c r="Q406" s="4" t="s">
        <v>26</v>
      </c>
      <c r="R406" s="4">
        <v>0</v>
      </c>
      <c r="S406" s="6">
        <v>19</v>
      </c>
      <c r="T406" s="6">
        <v>21</v>
      </c>
      <c r="U406" s="6">
        <v>74</v>
      </c>
      <c r="V406" s="42">
        <f>IF(ISERROR(VLOOKUP($S$406,'TAR FIN'!$A$1:$O$115,15,0)),0,VLOOKUP($S$406,'TAR FIN'!$A$1:$O$115,15,0))*(1-0.06)</f>
        <v>52.846799999999995</v>
      </c>
      <c r="W406" s="42">
        <f>IF(ISERROR(VLOOKUP($T$406,'TAR FIN'!$A$1:$O$115,15,0)),0,VLOOKUP($T$406,'TAR FIN'!$A$1:$O$115,15,0))*(1-0.06)</f>
        <v>79.251400000000004</v>
      </c>
      <c r="X406" s="42">
        <f>IF(ISERROR(VLOOKUP($U$406,'TAR FIN'!$A$1:$O$115,15,0)),0,VLOOKUP($U$406,'TAR FIN'!$A$1:$O$115,15,0))*(1-0.06)</f>
        <v>254.08199999999999</v>
      </c>
      <c r="Y406" s="42">
        <f ca="1">('TUSD BE'!$AM$19+'TUSD BF'!$AM$19+'TUSD CVA'!$AM$19)*1*(1-0.03)</f>
        <v>54.619320318700332</v>
      </c>
      <c r="Z406" s="42">
        <f ca="1">('TUSD BE'!$AM$21+'TUSD BF'!$AM$21+'TUSD CVA'!$AM$21)*1*(1-0.03)</f>
        <v>110.02827653849539</v>
      </c>
      <c r="AA406" s="42">
        <f>('TE BE'!$AB$11+'TE BF'!$AB$11+'TE CVA'!$AB$11)*1*(1-0.03)</f>
        <v>351.76466722756453</v>
      </c>
      <c r="AB406" s="6">
        <f>$K$406*$V$406</f>
        <v>8191.253999999999</v>
      </c>
      <c r="AC406" s="6">
        <f>$M$406*$W$406</f>
        <v>815.17990039999995</v>
      </c>
      <c r="AD406" s="6">
        <f>$O$406*$X$406</f>
        <v>2613.4874519999998</v>
      </c>
      <c r="AE406" s="6">
        <f ca="1">$K$406*$Y$406</f>
        <v>8465.9946493985517</v>
      </c>
      <c r="AF406" s="6">
        <f ca="1">$M$406*$Z$406</f>
        <v>1131.7508524749635</v>
      </c>
      <c r="AG406" s="6">
        <f>$O$406*$AA$406</f>
        <v>3618.2513671027286</v>
      </c>
    </row>
    <row r="407" spans="1:33" ht="11.25" customHeight="1" x14ac:dyDescent="0.25">
      <c r="A407" s="4" t="s">
        <v>28</v>
      </c>
      <c r="B407" s="4" t="s">
        <v>41</v>
      </c>
      <c r="C407" s="4" t="s">
        <v>42</v>
      </c>
      <c r="D407" s="4" t="s">
        <v>52</v>
      </c>
      <c r="E407" s="4" t="s">
        <v>53</v>
      </c>
      <c r="F407" s="4" t="s">
        <v>25</v>
      </c>
      <c r="G407" s="4" t="s">
        <v>25</v>
      </c>
      <c r="H407" s="4" t="s">
        <v>36</v>
      </c>
      <c r="I407" s="5">
        <v>44593</v>
      </c>
      <c r="J407" s="6">
        <v>87</v>
      </c>
      <c r="K407" s="43">
        <v>87</v>
      </c>
      <c r="L407" s="6">
        <v>4.9939999999999998</v>
      </c>
      <c r="M407" s="42">
        <v>4.9939999999999998</v>
      </c>
      <c r="N407" s="6">
        <v>4.9939999999999998</v>
      </c>
      <c r="O407" s="42">
        <v>4.9939999999999998</v>
      </c>
      <c r="P407" s="6">
        <v>0</v>
      </c>
      <c r="Q407" s="4" t="s">
        <v>26</v>
      </c>
      <c r="R407" s="4">
        <v>0</v>
      </c>
      <c r="S407" s="6">
        <v>19</v>
      </c>
      <c r="T407" s="6">
        <v>21</v>
      </c>
      <c r="U407" s="6">
        <v>74</v>
      </c>
      <c r="V407" s="42">
        <f>IF(ISERROR(VLOOKUP($S$407,'TAR FIN'!$A$1:$O$115,15,0)),0,VLOOKUP($S$407,'TAR FIN'!$A$1:$O$115,15,0))*(1-0.06)</f>
        <v>52.846799999999995</v>
      </c>
      <c r="W407" s="42">
        <f>IF(ISERROR(VLOOKUP($T$407,'TAR FIN'!$A$1:$O$115,15,0)),0,VLOOKUP($T$407,'TAR FIN'!$A$1:$O$115,15,0))*(1-0.06)</f>
        <v>79.251400000000004</v>
      </c>
      <c r="X407" s="42">
        <f>IF(ISERROR(VLOOKUP($U$407,'TAR FIN'!$A$1:$O$115,15,0)),0,VLOOKUP($U$407,'TAR FIN'!$A$1:$O$115,15,0))*(1-0.06)</f>
        <v>254.08199999999999</v>
      </c>
      <c r="Y407" s="42">
        <f ca="1">('TUSD BE'!$AM$19+'TUSD BF'!$AM$19+'TUSD CVA'!$AM$19)*1*(1-0.03)</f>
        <v>54.619320318700332</v>
      </c>
      <c r="Z407" s="42">
        <f ca="1">('TUSD BE'!$AM$21+'TUSD BF'!$AM$21+'TUSD CVA'!$AM$21)*1*(1-0.03)</f>
        <v>110.02827653849539</v>
      </c>
      <c r="AA407" s="42">
        <f>('TE BE'!$AB$11+'TE BF'!$AB$11+'TE CVA'!$AB$11)*1*(1-0.03)</f>
        <v>351.76466722756453</v>
      </c>
      <c r="AB407" s="6">
        <f>$K$407*$V$407</f>
        <v>4597.6715999999997</v>
      </c>
      <c r="AC407" s="6">
        <f>$M$407*$W$407</f>
        <v>395.78149159999998</v>
      </c>
      <c r="AD407" s="6">
        <f>$O$407*$X$407</f>
        <v>1268.8855079999998</v>
      </c>
      <c r="AE407" s="6">
        <f ca="1">$K$407*$Y$407</f>
        <v>4751.880867726929</v>
      </c>
      <c r="AF407" s="6">
        <f ca="1">$M$407*$Z$407</f>
        <v>549.48121303324592</v>
      </c>
      <c r="AG407" s="6">
        <f>$O$407*$AA$407</f>
        <v>1756.7127481344571</v>
      </c>
    </row>
    <row r="408" spans="1:33" ht="11.25" customHeight="1" x14ac:dyDescent="0.25">
      <c r="A408" s="4" t="s">
        <v>21</v>
      </c>
      <c r="B408" s="4" t="s">
        <v>41</v>
      </c>
      <c r="C408" s="4" t="s">
        <v>42</v>
      </c>
      <c r="D408" s="4" t="s">
        <v>52</v>
      </c>
      <c r="E408" s="4" t="s">
        <v>53</v>
      </c>
      <c r="F408" s="4" t="s">
        <v>25</v>
      </c>
      <c r="G408" s="4" t="s">
        <v>25</v>
      </c>
      <c r="H408" s="4" t="s">
        <v>36</v>
      </c>
      <c r="I408" s="5">
        <v>44621</v>
      </c>
      <c r="J408" s="6">
        <v>152</v>
      </c>
      <c r="K408" s="43">
        <v>152</v>
      </c>
      <c r="L408" s="6">
        <v>11.295</v>
      </c>
      <c r="M408" s="42">
        <v>11.295</v>
      </c>
      <c r="N408" s="6">
        <v>11.295</v>
      </c>
      <c r="O408" s="42">
        <v>11.295</v>
      </c>
      <c r="P408" s="6">
        <v>0</v>
      </c>
      <c r="Q408" s="4" t="s">
        <v>26</v>
      </c>
      <c r="R408" s="4">
        <v>0</v>
      </c>
      <c r="S408" s="6">
        <v>19</v>
      </c>
      <c r="T408" s="6">
        <v>21</v>
      </c>
      <c r="U408" s="6">
        <v>74</v>
      </c>
      <c r="V408" s="42">
        <f>IF(ISERROR(VLOOKUP($S$408,'TAR FIN'!$A$1:$O$115,15,0)),0,VLOOKUP($S$408,'TAR FIN'!$A$1:$O$115,15,0))*(1-0.06)</f>
        <v>52.846799999999995</v>
      </c>
      <c r="W408" s="42">
        <f>IF(ISERROR(VLOOKUP($T$408,'TAR FIN'!$A$1:$O$115,15,0)),0,VLOOKUP($T$408,'TAR FIN'!$A$1:$O$115,15,0))*(1-0.06)</f>
        <v>79.251400000000004</v>
      </c>
      <c r="X408" s="42">
        <f>IF(ISERROR(VLOOKUP($U$408,'TAR FIN'!$A$1:$O$115,15,0)),0,VLOOKUP($U$408,'TAR FIN'!$A$1:$O$115,15,0))*(1-0.06)</f>
        <v>254.08199999999999</v>
      </c>
      <c r="Y408" s="42">
        <f ca="1">('TUSD BE'!$AM$19+'TUSD BF'!$AM$19+'TUSD CVA'!$AM$19)*1*(1-0.03)</f>
        <v>54.619320318700332</v>
      </c>
      <c r="Z408" s="42">
        <f ca="1">('TUSD BE'!$AM$21+'TUSD BF'!$AM$21+'TUSD CVA'!$AM$21)*1*(1-0.03)</f>
        <v>110.02827653849539</v>
      </c>
      <c r="AA408" s="42">
        <f>('TE BE'!$AB$11+'TE BF'!$AB$11+'TE CVA'!$AB$11)*1*(1-0.03)</f>
        <v>351.76466722756453</v>
      </c>
      <c r="AB408" s="6">
        <f>$K$408*$V$408</f>
        <v>8032.7135999999991</v>
      </c>
      <c r="AC408" s="6">
        <f>$M$408*$W$408</f>
        <v>895.14456300000006</v>
      </c>
      <c r="AD408" s="6">
        <f>$O$408*$X$408</f>
        <v>2869.85619</v>
      </c>
      <c r="AE408" s="6">
        <f ca="1">$K$408*$Y$408</f>
        <v>8302.1366884424497</v>
      </c>
      <c r="AF408" s="6">
        <f ca="1">$M$408*$Z$408</f>
        <v>1242.7693835023053</v>
      </c>
      <c r="AG408" s="6">
        <f>$O$408*$AA$408</f>
        <v>3973.1819163353412</v>
      </c>
    </row>
    <row r="409" spans="1:33" ht="11.25" customHeight="1" x14ac:dyDescent="0.25">
      <c r="A409" s="4" t="s">
        <v>28</v>
      </c>
      <c r="B409" s="4" t="s">
        <v>41</v>
      </c>
      <c r="C409" s="4" t="s">
        <v>42</v>
      </c>
      <c r="D409" s="4" t="s">
        <v>52</v>
      </c>
      <c r="E409" s="4" t="s">
        <v>53</v>
      </c>
      <c r="F409" s="4" t="s">
        <v>25</v>
      </c>
      <c r="G409" s="4" t="s">
        <v>25</v>
      </c>
      <c r="H409" s="4" t="s">
        <v>36</v>
      </c>
      <c r="I409" s="5">
        <v>44621</v>
      </c>
      <c r="J409" s="6">
        <v>89</v>
      </c>
      <c r="K409" s="43">
        <v>89</v>
      </c>
      <c r="L409" s="6">
        <v>4.6829999999999998</v>
      </c>
      <c r="M409" s="42">
        <v>4.6829999999999998</v>
      </c>
      <c r="N409" s="6">
        <v>4.6829999999999998</v>
      </c>
      <c r="O409" s="42">
        <v>4.6829999999999998</v>
      </c>
      <c r="P409" s="6">
        <v>0</v>
      </c>
      <c r="Q409" s="4" t="s">
        <v>26</v>
      </c>
      <c r="R409" s="4">
        <v>0</v>
      </c>
      <c r="S409" s="6">
        <v>19</v>
      </c>
      <c r="T409" s="6">
        <v>21</v>
      </c>
      <c r="U409" s="6">
        <v>74</v>
      </c>
      <c r="V409" s="42">
        <f>IF(ISERROR(VLOOKUP($S$409,'TAR FIN'!$A$1:$O$115,15,0)),0,VLOOKUP($S$409,'TAR FIN'!$A$1:$O$115,15,0))*(1-0.06)</f>
        <v>52.846799999999995</v>
      </c>
      <c r="W409" s="42">
        <f>IF(ISERROR(VLOOKUP($T$409,'TAR FIN'!$A$1:$O$115,15,0)),0,VLOOKUP($T$409,'TAR FIN'!$A$1:$O$115,15,0))*(1-0.06)</f>
        <v>79.251400000000004</v>
      </c>
      <c r="X409" s="42">
        <f>IF(ISERROR(VLOOKUP($U$409,'TAR FIN'!$A$1:$O$115,15,0)),0,VLOOKUP($U$409,'TAR FIN'!$A$1:$O$115,15,0))*(1-0.06)</f>
        <v>254.08199999999999</v>
      </c>
      <c r="Y409" s="42">
        <f ca="1">('TUSD BE'!$AM$19+'TUSD BF'!$AM$19+'TUSD CVA'!$AM$19)*1*(1-0.03)</f>
        <v>54.619320318700332</v>
      </c>
      <c r="Z409" s="42">
        <f ca="1">('TUSD BE'!$AM$21+'TUSD BF'!$AM$21+'TUSD CVA'!$AM$21)*1*(1-0.03)</f>
        <v>110.02827653849539</v>
      </c>
      <c r="AA409" s="42">
        <f>('TE BE'!$AB$11+'TE BF'!$AB$11+'TE CVA'!$AB$11)*1*(1-0.03)</f>
        <v>351.76466722756453</v>
      </c>
      <c r="AB409" s="6">
        <f>$K$409*$V$409</f>
        <v>4703.3651999999993</v>
      </c>
      <c r="AC409" s="6">
        <f>$M$409*$W$409</f>
        <v>371.13430620000003</v>
      </c>
      <c r="AD409" s="6">
        <f>$O$409*$X$409</f>
        <v>1189.866006</v>
      </c>
      <c r="AE409" s="6">
        <f ca="1">$K$409*$Y$409</f>
        <v>4861.1195083643297</v>
      </c>
      <c r="AF409" s="6">
        <f ca="1">$M$409*$Z$409</f>
        <v>515.26241902977392</v>
      </c>
      <c r="AG409" s="6">
        <f>$O$409*$AA$409</f>
        <v>1647.3139366266846</v>
      </c>
    </row>
    <row r="410" spans="1:33" ht="11.25" customHeight="1" x14ac:dyDescent="0.25">
      <c r="A410" s="4" t="s">
        <v>21</v>
      </c>
      <c r="B410" s="4" t="s">
        <v>41</v>
      </c>
      <c r="C410" s="4" t="s">
        <v>42</v>
      </c>
      <c r="D410" s="4" t="s">
        <v>52</v>
      </c>
      <c r="E410" s="4" t="s">
        <v>53</v>
      </c>
      <c r="F410" s="4" t="s">
        <v>25</v>
      </c>
      <c r="G410" s="4" t="s">
        <v>25</v>
      </c>
      <c r="H410" s="4" t="s">
        <v>36</v>
      </c>
      <c r="I410" s="5">
        <v>44652</v>
      </c>
      <c r="J410" s="6">
        <v>152</v>
      </c>
      <c r="K410" s="43">
        <v>152</v>
      </c>
      <c r="L410" s="6">
        <v>10.167</v>
      </c>
      <c r="M410" s="42">
        <v>10.167</v>
      </c>
      <c r="N410" s="6">
        <v>10.167</v>
      </c>
      <c r="O410" s="42">
        <v>10.167</v>
      </c>
      <c r="P410" s="6">
        <v>0</v>
      </c>
      <c r="Q410" s="4" t="s">
        <v>26</v>
      </c>
      <c r="R410" s="4">
        <v>0</v>
      </c>
      <c r="S410" s="6">
        <v>19</v>
      </c>
      <c r="T410" s="6">
        <v>21</v>
      </c>
      <c r="U410" s="6">
        <v>74</v>
      </c>
      <c r="V410" s="42">
        <f>IF(ISERROR(VLOOKUP($S$410,'TAR FIN'!$A$1:$O$115,15,0)),0,VLOOKUP($S$410,'TAR FIN'!$A$1:$O$115,15,0))*(1-0.06)</f>
        <v>52.846799999999995</v>
      </c>
      <c r="W410" s="42">
        <f>IF(ISERROR(VLOOKUP($T$410,'TAR FIN'!$A$1:$O$115,15,0)),0,VLOOKUP($T$410,'TAR FIN'!$A$1:$O$115,15,0))*(1-0.06)</f>
        <v>79.251400000000004</v>
      </c>
      <c r="X410" s="42">
        <f>IF(ISERROR(VLOOKUP($U$410,'TAR FIN'!$A$1:$O$115,15,0)),0,VLOOKUP($U$410,'TAR FIN'!$A$1:$O$115,15,0))*(1-0.06)</f>
        <v>254.08199999999999</v>
      </c>
      <c r="Y410" s="42">
        <f ca="1">('TUSD BE'!$AM$19+'TUSD BF'!$AM$19+'TUSD CVA'!$AM$19)*1*(1-0.03)</f>
        <v>54.619320318700332</v>
      </c>
      <c r="Z410" s="42">
        <f ca="1">('TUSD BE'!$AM$21+'TUSD BF'!$AM$21+'TUSD CVA'!$AM$21)*1*(1-0.03)</f>
        <v>110.02827653849539</v>
      </c>
      <c r="AA410" s="42">
        <f>('TE BE'!$AB$11+'TE BF'!$AB$11+'TE CVA'!$AB$11)*1*(1-0.03)</f>
        <v>351.76466722756453</v>
      </c>
      <c r="AB410" s="6">
        <f>$K$410*$V$410</f>
        <v>8032.7135999999991</v>
      </c>
      <c r="AC410" s="6">
        <f>$M$410*$W$410</f>
        <v>805.74898380000002</v>
      </c>
      <c r="AD410" s="6">
        <f>$O$410*$X$410</f>
        <v>2583.251694</v>
      </c>
      <c r="AE410" s="6">
        <f ca="1">$K$410*$Y$410</f>
        <v>8302.1366884424497</v>
      </c>
      <c r="AF410" s="6">
        <f ca="1">$M$410*$Z$410</f>
        <v>1118.6574875668825</v>
      </c>
      <c r="AG410" s="6">
        <f>$O$410*$AA$410</f>
        <v>3576.3913717026485</v>
      </c>
    </row>
    <row r="411" spans="1:33" ht="11.25" customHeight="1" x14ac:dyDescent="0.25">
      <c r="A411" s="4" t="s">
        <v>28</v>
      </c>
      <c r="B411" s="4" t="s">
        <v>41</v>
      </c>
      <c r="C411" s="4" t="s">
        <v>42</v>
      </c>
      <c r="D411" s="4" t="s">
        <v>52</v>
      </c>
      <c r="E411" s="4" t="s">
        <v>53</v>
      </c>
      <c r="F411" s="4" t="s">
        <v>25</v>
      </c>
      <c r="G411" s="4" t="s">
        <v>25</v>
      </c>
      <c r="H411" s="4" t="s">
        <v>36</v>
      </c>
      <c r="I411" s="5">
        <v>44652</v>
      </c>
      <c r="J411" s="6">
        <v>90</v>
      </c>
      <c r="K411" s="43">
        <v>90</v>
      </c>
      <c r="L411" s="6">
        <v>5.32</v>
      </c>
      <c r="M411" s="42">
        <v>5.32</v>
      </c>
      <c r="N411" s="6">
        <v>5.32</v>
      </c>
      <c r="O411" s="42">
        <v>5.32</v>
      </c>
      <c r="P411" s="6">
        <v>0</v>
      </c>
      <c r="Q411" s="4" t="s">
        <v>26</v>
      </c>
      <c r="R411" s="4">
        <v>0</v>
      </c>
      <c r="S411" s="6">
        <v>19</v>
      </c>
      <c r="T411" s="6">
        <v>21</v>
      </c>
      <c r="U411" s="6">
        <v>74</v>
      </c>
      <c r="V411" s="42">
        <f>IF(ISERROR(VLOOKUP($S$411,'TAR FIN'!$A$1:$O$115,15,0)),0,VLOOKUP($S$411,'TAR FIN'!$A$1:$O$115,15,0))*(1-0.06)</f>
        <v>52.846799999999995</v>
      </c>
      <c r="W411" s="42">
        <f>IF(ISERROR(VLOOKUP($T$411,'TAR FIN'!$A$1:$O$115,15,0)),0,VLOOKUP($T$411,'TAR FIN'!$A$1:$O$115,15,0))*(1-0.06)</f>
        <v>79.251400000000004</v>
      </c>
      <c r="X411" s="42">
        <f>IF(ISERROR(VLOOKUP($U$411,'TAR FIN'!$A$1:$O$115,15,0)),0,VLOOKUP($U$411,'TAR FIN'!$A$1:$O$115,15,0))*(1-0.06)</f>
        <v>254.08199999999999</v>
      </c>
      <c r="Y411" s="42">
        <f ca="1">('TUSD BE'!$AM$19+'TUSD BF'!$AM$19+'TUSD CVA'!$AM$19)*1*(1-0.03)</f>
        <v>54.619320318700332</v>
      </c>
      <c r="Z411" s="42">
        <f ca="1">('TUSD BE'!$AM$21+'TUSD BF'!$AM$21+'TUSD CVA'!$AM$21)*1*(1-0.03)</f>
        <v>110.02827653849539</v>
      </c>
      <c r="AA411" s="42">
        <f>('TE BE'!$AB$11+'TE BF'!$AB$11+'TE CVA'!$AB$11)*1*(1-0.03)</f>
        <v>351.76466722756453</v>
      </c>
      <c r="AB411" s="6">
        <f>$K$411*$V$411</f>
        <v>4756.2119999999995</v>
      </c>
      <c r="AC411" s="6">
        <f>$M$411*$W$411</f>
        <v>421.61744800000002</v>
      </c>
      <c r="AD411" s="6">
        <f>$O$411*$X$411</f>
        <v>1351.71624</v>
      </c>
      <c r="AE411" s="6">
        <f ca="1">$K$411*$Y$411</f>
        <v>4915.7388286830301</v>
      </c>
      <c r="AF411" s="6">
        <f ca="1">$M$411*$Z$411</f>
        <v>585.35043118479553</v>
      </c>
      <c r="AG411" s="6">
        <f>$O$411*$AA$411</f>
        <v>1871.3880296506434</v>
      </c>
    </row>
    <row r="412" spans="1:33" ht="11.25" customHeight="1" x14ac:dyDescent="0.25">
      <c r="A412" s="4" t="s">
        <v>21</v>
      </c>
      <c r="B412" s="4" t="s">
        <v>41</v>
      </c>
      <c r="C412" s="4" t="s">
        <v>42</v>
      </c>
      <c r="D412" s="4" t="s">
        <v>52</v>
      </c>
      <c r="E412" s="4" t="s">
        <v>53</v>
      </c>
      <c r="F412" s="4" t="s">
        <v>25</v>
      </c>
      <c r="G412" s="4" t="s">
        <v>25</v>
      </c>
      <c r="H412" s="4" t="s">
        <v>36</v>
      </c>
      <c r="I412" s="5">
        <v>44682</v>
      </c>
      <c r="J412" s="6">
        <v>158</v>
      </c>
      <c r="K412" s="43">
        <v>158</v>
      </c>
      <c r="L412" s="6">
        <v>10.941000000000001</v>
      </c>
      <c r="M412" s="42">
        <v>10.941000000000001</v>
      </c>
      <c r="N412" s="6">
        <v>10.941000000000001</v>
      </c>
      <c r="O412" s="42">
        <v>10.941000000000001</v>
      </c>
      <c r="P412" s="6">
        <v>0</v>
      </c>
      <c r="Q412" s="4" t="s">
        <v>26</v>
      </c>
      <c r="R412" s="4">
        <v>0</v>
      </c>
      <c r="S412" s="6">
        <v>19</v>
      </c>
      <c r="T412" s="6">
        <v>21</v>
      </c>
      <c r="U412" s="6">
        <v>74</v>
      </c>
      <c r="V412" s="42">
        <f>IF(ISERROR(VLOOKUP($S$412,'TAR FIN'!$A$1:$O$115,15,0)),0,VLOOKUP($S$412,'TAR FIN'!$A$1:$O$115,15,0))*(1-0.06)</f>
        <v>52.846799999999995</v>
      </c>
      <c r="W412" s="42">
        <f>IF(ISERROR(VLOOKUP($T$412,'TAR FIN'!$A$1:$O$115,15,0)),0,VLOOKUP($T$412,'TAR FIN'!$A$1:$O$115,15,0))*(1-0.06)</f>
        <v>79.251400000000004</v>
      </c>
      <c r="X412" s="42">
        <f>IF(ISERROR(VLOOKUP($U$412,'TAR FIN'!$A$1:$O$115,15,0)),0,VLOOKUP($U$412,'TAR FIN'!$A$1:$O$115,15,0))*(1-0.06)</f>
        <v>254.08199999999999</v>
      </c>
      <c r="Y412" s="42">
        <f ca="1">('TUSD BE'!$AM$19+'TUSD BF'!$AM$19+'TUSD CVA'!$AM$19)*1*(1-0.03)</f>
        <v>54.619320318700332</v>
      </c>
      <c r="Z412" s="42">
        <f ca="1">('TUSD BE'!$AM$21+'TUSD BF'!$AM$21+'TUSD CVA'!$AM$21)*1*(1-0.03)</f>
        <v>110.02827653849539</v>
      </c>
      <c r="AA412" s="42">
        <f>('TE BE'!$AB$11+'TE BF'!$AB$11+'TE CVA'!$AB$11)*1*(1-0.03)</f>
        <v>351.76466722756453</v>
      </c>
      <c r="AB412" s="6">
        <f>$K$412*$V$412</f>
        <v>8349.7943999999989</v>
      </c>
      <c r="AC412" s="6">
        <f>$M$412*$W$412</f>
        <v>867.08956740000008</v>
      </c>
      <c r="AD412" s="6">
        <f>$O$412*$X$412</f>
        <v>2779.9111620000003</v>
      </c>
      <c r="AE412" s="6">
        <f ca="1">$K$412*$Y$412</f>
        <v>8629.8526103546519</v>
      </c>
      <c r="AF412" s="6">
        <f ca="1">$M$412*$Z$412</f>
        <v>1203.8193736076782</v>
      </c>
      <c r="AG412" s="6">
        <f>$O$412*$AA$412</f>
        <v>3848.657224136784</v>
      </c>
    </row>
    <row r="413" spans="1:33" ht="11.25" customHeight="1" x14ac:dyDescent="0.25">
      <c r="A413" s="4" t="s">
        <v>28</v>
      </c>
      <c r="B413" s="4" t="s">
        <v>41</v>
      </c>
      <c r="C413" s="4" t="s">
        <v>42</v>
      </c>
      <c r="D413" s="4" t="s">
        <v>52</v>
      </c>
      <c r="E413" s="4" t="s">
        <v>53</v>
      </c>
      <c r="F413" s="4" t="s">
        <v>25</v>
      </c>
      <c r="G413" s="4" t="s">
        <v>25</v>
      </c>
      <c r="H413" s="4" t="s">
        <v>36</v>
      </c>
      <c r="I413" s="5">
        <v>44682</v>
      </c>
      <c r="J413" s="6">
        <v>89</v>
      </c>
      <c r="K413" s="43">
        <v>89</v>
      </c>
      <c r="L413" s="6">
        <v>3.4540000000000002</v>
      </c>
      <c r="M413" s="42">
        <v>3.4540000000000002</v>
      </c>
      <c r="N413" s="6">
        <v>3.4540000000000002</v>
      </c>
      <c r="O413" s="42">
        <v>3.4540000000000002</v>
      </c>
      <c r="P413" s="6">
        <v>0</v>
      </c>
      <c r="Q413" s="4" t="s">
        <v>26</v>
      </c>
      <c r="R413" s="4">
        <v>0</v>
      </c>
      <c r="S413" s="6">
        <v>19</v>
      </c>
      <c r="T413" s="6">
        <v>21</v>
      </c>
      <c r="U413" s="6">
        <v>74</v>
      </c>
      <c r="V413" s="42">
        <f>IF(ISERROR(VLOOKUP($S$413,'TAR FIN'!$A$1:$O$115,15,0)),0,VLOOKUP($S$413,'TAR FIN'!$A$1:$O$115,15,0))*(1-0.06)</f>
        <v>52.846799999999995</v>
      </c>
      <c r="W413" s="42">
        <f>IF(ISERROR(VLOOKUP($T$413,'TAR FIN'!$A$1:$O$115,15,0)),0,VLOOKUP($T$413,'TAR FIN'!$A$1:$O$115,15,0))*(1-0.06)</f>
        <v>79.251400000000004</v>
      </c>
      <c r="X413" s="42">
        <f>IF(ISERROR(VLOOKUP($U$413,'TAR FIN'!$A$1:$O$115,15,0)),0,VLOOKUP($U$413,'TAR FIN'!$A$1:$O$115,15,0))*(1-0.06)</f>
        <v>254.08199999999999</v>
      </c>
      <c r="Y413" s="42">
        <f ca="1">('TUSD BE'!$AM$19+'TUSD BF'!$AM$19+'TUSD CVA'!$AM$19)*1*(1-0.03)</f>
        <v>54.619320318700332</v>
      </c>
      <c r="Z413" s="42">
        <f ca="1">('TUSD BE'!$AM$21+'TUSD BF'!$AM$21+'TUSD CVA'!$AM$21)*1*(1-0.03)</f>
        <v>110.02827653849539</v>
      </c>
      <c r="AA413" s="42">
        <f>('TE BE'!$AB$11+'TE BF'!$AB$11+'TE CVA'!$AB$11)*1*(1-0.03)</f>
        <v>351.76466722756453</v>
      </c>
      <c r="AB413" s="6">
        <f>$K$413*$V$413</f>
        <v>4703.3651999999993</v>
      </c>
      <c r="AC413" s="6">
        <f>$M$413*$W$413</f>
        <v>273.73433560000001</v>
      </c>
      <c r="AD413" s="6">
        <f>$O$413*$X$413</f>
        <v>877.59922800000004</v>
      </c>
      <c r="AE413" s="6">
        <f ca="1">$K$413*$Y$413</f>
        <v>4861.1195083643297</v>
      </c>
      <c r="AF413" s="6">
        <f ca="1">$M$413*$Z$413</f>
        <v>380.03766716396308</v>
      </c>
      <c r="AG413" s="6">
        <f>$O$413*$AA$413</f>
        <v>1214.9951606040079</v>
      </c>
    </row>
    <row r="414" spans="1:33" ht="11.25" customHeight="1" x14ac:dyDescent="0.25">
      <c r="A414" s="4" t="s">
        <v>21</v>
      </c>
      <c r="B414" s="4" t="s">
        <v>41</v>
      </c>
      <c r="C414" s="4" t="s">
        <v>42</v>
      </c>
      <c r="D414" s="4" t="s">
        <v>52</v>
      </c>
      <c r="E414" s="4" t="s">
        <v>53</v>
      </c>
      <c r="F414" s="4" t="s">
        <v>25</v>
      </c>
      <c r="G414" s="4" t="s">
        <v>25</v>
      </c>
      <c r="H414" s="4" t="s">
        <v>36</v>
      </c>
      <c r="I414" s="5">
        <v>44713</v>
      </c>
      <c r="J414" s="6">
        <v>158</v>
      </c>
      <c r="K414" s="43">
        <v>158</v>
      </c>
      <c r="L414" s="6">
        <v>10.625999999999999</v>
      </c>
      <c r="M414" s="42">
        <v>10.625999999999999</v>
      </c>
      <c r="N414" s="6">
        <v>10.625999999999999</v>
      </c>
      <c r="O414" s="42">
        <v>10.625999999999999</v>
      </c>
      <c r="P414" s="6">
        <v>0</v>
      </c>
      <c r="Q414" s="4" t="s">
        <v>26</v>
      </c>
      <c r="R414" s="4">
        <v>0</v>
      </c>
      <c r="S414" s="6">
        <v>19</v>
      </c>
      <c r="T414" s="6">
        <v>21</v>
      </c>
      <c r="U414" s="6">
        <v>74</v>
      </c>
      <c r="V414" s="42">
        <f>IF(ISERROR(VLOOKUP($S$414,'TAR FIN'!$A$1:$O$115,15,0)),0,VLOOKUP($S$414,'TAR FIN'!$A$1:$O$115,15,0))*(1-0.06)</f>
        <v>52.846799999999995</v>
      </c>
      <c r="W414" s="42">
        <f>IF(ISERROR(VLOOKUP($T$414,'TAR FIN'!$A$1:$O$115,15,0)),0,VLOOKUP($T$414,'TAR FIN'!$A$1:$O$115,15,0))*(1-0.06)</f>
        <v>79.251400000000004</v>
      </c>
      <c r="X414" s="42">
        <f>IF(ISERROR(VLOOKUP($U$414,'TAR FIN'!$A$1:$O$115,15,0)),0,VLOOKUP($U$414,'TAR FIN'!$A$1:$O$115,15,0))*(1-0.06)</f>
        <v>254.08199999999999</v>
      </c>
      <c r="Y414" s="42">
        <f ca="1">('TUSD BE'!$AM$19+'TUSD BF'!$AM$19+'TUSD CVA'!$AM$19)*1*(1-0.03)</f>
        <v>54.619320318700332</v>
      </c>
      <c r="Z414" s="42">
        <f ca="1">('TUSD BE'!$AM$21+'TUSD BF'!$AM$21+'TUSD CVA'!$AM$21)*1*(1-0.03)</f>
        <v>110.02827653849539</v>
      </c>
      <c r="AA414" s="42">
        <f>('TE BE'!$AB$11+'TE BF'!$AB$11+'TE CVA'!$AB$11)*1*(1-0.03)</f>
        <v>351.76466722756453</v>
      </c>
      <c r="AB414" s="6">
        <f>$K$414*$V$414</f>
        <v>8349.7943999999989</v>
      </c>
      <c r="AC414" s="6">
        <f>$M$414*$W$414</f>
        <v>842.12537640000005</v>
      </c>
      <c r="AD414" s="6">
        <f>$O$414*$X$414</f>
        <v>2699.8753319999996</v>
      </c>
      <c r="AE414" s="6">
        <f ca="1">$K$414*$Y$414</f>
        <v>8629.8526103546519</v>
      </c>
      <c r="AF414" s="6">
        <f ca="1">$M$414*$Z$414</f>
        <v>1169.1604664980518</v>
      </c>
      <c r="AG414" s="6">
        <f>$O$414*$AA$414</f>
        <v>3737.8513539601004</v>
      </c>
    </row>
    <row r="415" spans="1:33" ht="11.25" customHeight="1" x14ac:dyDescent="0.25">
      <c r="A415" s="4" t="s">
        <v>28</v>
      </c>
      <c r="B415" s="4" t="s">
        <v>41</v>
      </c>
      <c r="C415" s="4" t="s">
        <v>42</v>
      </c>
      <c r="D415" s="4" t="s">
        <v>52</v>
      </c>
      <c r="E415" s="4" t="s">
        <v>53</v>
      </c>
      <c r="F415" s="4" t="s">
        <v>25</v>
      </c>
      <c r="G415" s="4" t="s">
        <v>25</v>
      </c>
      <c r="H415" s="4" t="s">
        <v>36</v>
      </c>
      <c r="I415" s="5">
        <v>44713</v>
      </c>
      <c r="J415" s="6">
        <v>91</v>
      </c>
      <c r="K415" s="43">
        <v>91</v>
      </c>
      <c r="L415" s="6">
        <v>1.837</v>
      </c>
      <c r="M415" s="42">
        <v>1.837</v>
      </c>
      <c r="N415" s="6">
        <v>1.837</v>
      </c>
      <c r="O415" s="42">
        <v>1.837</v>
      </c>
      <c r="P415" s="6">
        <v>0</v>
      </c>
      <c r="Q415" s="4" t="s">
        <v>26</v>
      </c>
      <c r="R415" s="4">
        <v>0</v>
      </c>
      <c r="S415" s="6">
        <v>19</v>
      </c>
      <c r="T415" s="6">
        <v>21</v>
      </c>
      <c r="U415" s="6">
        <v>74</v>
      </c>
      <c r="V415" s="42">
        <f>IF(ISERROR(VLOOKUP($S$415,'TAR FIN'!$A$1:$O$115,15,0)),0,VLOOKUP($S$415,'TAR FIN'!$A$1:$O$115,15,0))*(1-0.06)</f>
        <v>52.846799999999995</v>
      </c>
      <c r="W415" s="42">
        <f>IF(ISERROR(VLOOKUP($T$415,'TAR FIN'!$A$1:$O$115,15,0)),0,VLOOKUP($T$415,'TAR FIN'!$A$1:$O$115,15,0))*(1-0.06)</f>
        <v>79.251400000000004</v>
      </c>
      <c r="X415" s="42">
        <f>IF(ISERROR(VLOOKUP($U$415,'TAR FIN'!$A$1:$O$115,15,0)),0,VLOOKUP($U$415,'TAR FIN'!$A$1:$O$115,15,0))*(1-0.06)</f>
        <v>254.08199999999999</v>
      </c>
      <c r="Y415" s="42">
        <f ca="1">('TUSD BE'!$AM$19+'TUSD BF'!$AM$19+'TUSD CVA'!$AM$19)*1*(1-0.03)</f>
        <v>54.619320318700332</v>
      </c>
      <c r="Z415" s="42">
        <f ca="1">('TUSD BE'!$AM$21+'TUSD BF'!$AM$21+'TUSD CVA'!$AM$21)*1*(1-0.03)</f>
        <v>110.02827653849539</v>
      </c>
      <c r="AA415" s="42">
        <f>('TE BE'!$AB$11+'TE BF'!$AB$11+'TE CVA'!$AB$11)*1*(1-0.03)</f>
        <v>351.76466722756453</v>
      </c>
      <c r="AB415" s="6">
        <f>$K$415*$V$415</f>
        <v>4809.0587999999998</v>
      </c>
      <c r="AC415" s="6">
        <f>$M$415*$W$415</f>
        <v>145.58482180000001</v>
      </c>
      <c r="AD415" s="6">
        <f>$O$415*$X$415</f>
        <v>466.74863399999998</v>
      </c>
      <c r="AE415" s="6">
        <f ca="1">$K$415*$Y$415</f>
        <v>4970.3581490017305</v>
      </c>
      <c r="AF415" s="6">
        <f ca="1">$M$415*$Z$415</f>
        <v>202.12194400121604</v>
      </c>
      <c r="AG415" s="6">
        <f>$O$415*$AA$415</f>
        <v>646.19169369703604</v>
      </c>
    </row>
    <row r="416" spans="1:33" ht="11.25" customHeight="1" x14ac:dyDescent="0.25">
      <c r="A416" s="4" t="s">
        <v>21</v>
      </c>
      <c r="B416" s="4" t="s">
        <v>41</v>
      </c>
      <c r="C416" s="4" t="s">
        <v>42</v>
      </c>
      <c r="D416" s="4" t="s">
        <v>52</v>
      </c>
      <c r="E416" s="4" t="s">
        <v>53</v>
      </c>
      <c r="F416" s="4" t="s">
        <v>25</v>
      </c>
      <c r="G416" s="4" t="s">
        <v>25</v>
      </c>
      <c r="H416" s="4" t="s">
        <v>36</v>
      </c>
      <c r="I416" s="5">
        <v>44743</v>
      </c>
      <c r="J416" s="6">
        <v>155</v>
      </c>
      <c r="K416" s="43">
        <v>155</v>
      </c>
      <c r="L416" s="6">
        <v>11.025</v>
      </c>
      <c r="M416" s="42">
        <v>11.025</v>
      </c>
      <c r="N416" s="6">
        <v>11.025</v>
      </c>
      <c r="O416" s="42">
        <v>11.025</v>
      </c>
      <c r="P416" s="6">
        <v>0</v>
      </c>
      <c r="Q416" s="4" t="s">
        <v>26</v>
      </c>
      <c r="R416" s="4">
        <v>0</v>
      </c>
      <c r="S416" s="6">
        <v>19</v>
      </c>
      <c r="T416" s="6">
        <v>21</v>
      </c>
      <c r="U416" s="6">
        <v>74</v>
      </c>
      <c r="V416" s="42">
        <f>IF(ISERROR(VLOOKUP($S$416,'TAR FIN'!$A$1:$O$115,15,0)),0,VLOOKUP($S$416,'TAR FIN'!$A$1:$O$115,15,0))*(1-0.06)</f>
        <v>52.846799999999995</v>
      </c>
      <c r="W416" s="42">
        <f>IF(ISERROR(VLOOKUP($T$416,'TAR FIN'!$A$1:$O$115,15,0)),0,VLOOKUP($T$416,'TAR FIN'!$A$1:$O$115,15,0))*(1-0.06)</f>
        <v>79.251400000000004</v>
      </c>
      <c r="X416" s="42">
        <f>IF(ISERROR(VLOOKUP($U$416,'TAR FIN'!$A$1:$O$115,15,0)),0,VLOOKUP($U$416,'TAR FIN'!$A$1:$O$115,15,0))*(1-0.06)</f>
        <v>254.08199999999999</v>
      </c>
      <c r="Y416" s="42">
        <f ca="1">('TUSD BE'!$AM$19+'TUSD BF'!$AM$19+'TUSD CVA'!$AM$19)*1*(1-0.03)</f>
        <v>54.619320318700332</v>
      </c>
      <c r="Z416" s="42">
        <f ca="1">('TUSD BE'!$AM$21+'TUSD BF'!$AM$21+'TUSD CVA'!$AM$21)*1*(1-0.03)</f>
        <v>110.02827653849539</v>
      </c>
      <c r="AA416" s="42">
        <f>('TE BE'!$AB$11+'TE BF'!$AB$11+'TE CVA'!$AB$11)*1*(1-0.03)</f>
        <v>351.76466722756453</v>
      </c>
      <c r="AB416" s="6">
        <f>$K$416*$V$416</f>
        <v>8191.253999999999</v>
      </c>
      <c r="AC416" s="6">
        <f>$M$416*$W$416</f>
        <v>873.74668500000007</v>
      </c>
      <c r="AD416" s="6">
        <f>$O$416*$X$416</f>
        <v>2801.25405</v>
      </c>
      <c r="AE416" s="6">
        <f ca="1">$K$416*$Y$416</f>
        <v>8465.9946493985517</v>
      </c>
      <c r="AF416" s="6">
        <f ca="1">$M$416*$Z$416</f>
        <v>1213.0617488369116</v>
      </c>
      <c r="AG416" s="6">
        <f>$O$416*$AA$416</f>
        <v>3878.2054561838991</v>
      </c>
    </row>
    <row r="417" spans="1:33" ht="11.25" customHeight="1" x14ac:dyDescent="0.25">
      <c r="A417" s="4" t="s">
        <v>28</v>
      </c>
      <c r="B417" s="4" t="s">
        <v>41</v>
      </c>
      <c r="C417" s="4" t="s">
        <v>42</v>
      </c>
      <c r="D417" s="4" t="s">
        <v>52</v>
      </c>
      <c r="E417" s="4" t="s">
        <v>53</v>
      </c>
      <c r="F417" s="4" t="s">
        <v>25</v>
      </c>
      <c r="G417" s="4" t="s">
        <v>25</v>
      </c>
      <c r="H417" s="4" t="s">
        <v>36</v>
      </c>
      <c r="I417" s="5">
        <v>44743</v>
      </c>
      <c r="J417" s="6">
        <v>92</v>
      </c>
      <c r="K417" s="43">
        <v>92</v>
      </c>
      <c r="L417" s="6">
        <v>3.1419999999999999</v>
      </c>
      <c r="M417" s="42">
        <v>3.1419999999999999</v>
      </c>
      <c r="N417" s="6">
        <v>3.1419999999999999</v>
      </c>
      <c r="O417" s="42">
        <v>3.1419999999999999</v>
      </c>
      <c r="P417" s="6">
        <v>0</v>
      </c>
      <c r="Q417" s="4" t="s">
        <v>26</v>
      </c>
      <c r="R417" s="4">
        <v>0</v>
      </c>
      <c r="S417" s="6">
        <v>19</v>
      </c>
      <c r="T417" s="6">
        <v>21</v>
      </c>
      <c r="U417" s="6">
        <v>74</v>
      </c>
      <c r="V417" s="42">
        <f>IF(ISERROR(VLOOKUP($S$417,'TAR FIN'!$A$1:$O$115,15,0)),0,VLOOKUP($S$417,'TAR FIN'!$A$1:$O$115,15,0))*(1-0.06)</f>
        <v>52.846799999999995</v>
      </c>
      <c r="W417" s="42">
        <f>IF(ISERROR(VLOOKUP($T$417,'TAR FIN'!$A$1:$O$115,15,0)),0,VLOOKUP($T$417,'TAR FIN'!$A$1:$O$115,15,0))*(1-0.06)</f>
        <v>79.251400000000004</v>
      </c>
      <c r="X417" s="42">
        <f>IF(ISERROR(VLOOKUP($U$417,'TAR FIN'!$A$1:$O$115,15,0)),0,VLOOKUP($U$417,'TAR FIN'!$A$1:$O$115,15,0))*(1-0.06)</f>
        <v>254.08199999999999</v>
      </c>
      <c r="Y417" s="42">
        <f ca="1">('TUSD BE'!$AM$19+'TUSD BF'!$AM$19+'TUSD CVA'!$AM$19)*1*(1-0.03)</f>
        <v>54.619320318700332</v>
      </c>
      <c r="Z417" s="42">
        <f ca="1">('TUSD BE'!$AM$21+'TUSD BF'!$AM$21+'TUSD CVA'!$AM$21)*1*(1-0.03)</f>
        <v>110.02827653849539</v>
      </c>
      <c r="AA417" s="42">
        <f>('TE BE'!$AB$11+'TE BF'!$AB$11+'TE CVA'!$AB$11)*1*(1-0.03)</f>
        <v>351.76466722756453</v>
      </c>
      <c r="AB417" s="6">
        <f>$K$417*$V$417</f>
        <v>4861.9055999999991</v>
      </c>
      <c r="AC417" s="6">
        <f>$M$417*$W$417</f>
        <v>249.00789879999999</v>
      </c>
      <c r="AD417" s="6">
        <f>$O$417*$X$417</f>
        <v>798.32564400000001</v>
      </c>
      <c r="AE417" s="6">
        <f ca="1">$K$417*$Y$417</f>
        <v>5024.9774693204308</v>
      </c>
      <c r="AF417" s="6">
        <f ca="1">$M$417*$Z$417</f>
        <v>345.70884488395251</v>
      </c>
      <c r="AG417" s="6">
        <f>$O$417*$AA$417</f>
        <v>1105.2445844290078</v>
      </c>
    </row>
    <row r="418" spans="1:33" ht="11.25" customHeight="1" x14ac:dyDescent="0.25">
      <c r="A418" s="4" t="s">
        <v>21</v>
      </c>
      <c r="B418" s="4" t="s">
        <v>41</v>
      </c>
      <c r="C418" s="4" t="s">
        <v>42</v>
      </c>
      <c r="D418" s="4" t="s">
        <v>52</v>
      </c>
      <c r="E418" s="4" t="s">
        <v>53</v>
      </c>
      <c r="F418" s="4" t="s">
        <v>25</v>
      </c>
      <c r="G418" s="4" t="s">
        <v>25</v>
      </c>
      <c r="H418" s="4" t="s">
        <v>36</v>
      </c>
      <c r="I418" s="5">
        <v>44774</v>
      </c>
      <c r="J418" s="6">
        <v>160</v>
      </c>
      <c r="K418" s="43">
        <v>160</v>
      </c>
      <c r="L418" s="6">
        <v>11.971</v>
      </c>
      <c r="M418" s="42">
        <v>11.971</v>
      </c>
      <c r="N418" s="6">
        <v>11.971</v>
      </c>
      <c r="O418" s="42">
        <v>11.971</v>
      </c>
      <c r="P418" s="6">
        <v>0</v>
      </c>
      <c r="Q418" s="4" t="s">
        <v>26</v>
      </c>
      <c r="R418" s="4">
        <v>0</v>
      </c>
      <c r="S418" s="6">
        <v>19</v>
      </c>
      <c r="T418" s="6">
        <v>21</v>
      </c>
      <c r="U418" s="6">
        <v>74</v>
      </c>
      <c r="V418" s="42">
        <f>IF(ISERROR(VLOOKUP($S$418,'TAR FIN'!$A$1:$O$115,15,0)),0,VLOOKUP($S$418,'TAR FIN'!$A$1:$O$115,15,0))*(1-0.06)</f>
        <v>52.846799999999995</v>
      </c>
      <c r="W418" s="42">
        <f>IF(ISERROR(VLOOKUP($T$418,'TAR FIN'!$A$1:$O$115,15,0)),0,VLOOKUP($T$418,'TAR FIN'!$A$1:$O$115,15,0))*(1-0.06)</f>
        <v>79.251400000000004</v>
      </c>
      <c r="X418" s="42">
        <f>IF(ISERROR(VLOOKUP($U$418,'TAR FIN'!$A$1:$O$115,15,0)),0,VLOOKUP($U$418,'TAR FIN'!$A$1:$O$115,15,0))*(1-0.06)</f>
        <v>254.08199999999999</v>
      </c>
      <c r="Y418" s="42">
        <f ca="1">('TUSD BE'!$AM$19+'TUSD BF'!$AM$19+'TUSD CVA'!$AM$19)*1*(1-0.03)</f>
        <v>54.619320318700332</v>
      </c>
      <c r="Z418" s="42">
        <f ca="1">('TUSD BE'!$AM$21+'TUSD BF'!$AM$21+'TUSD CVA'!$AM$21)*1*(1-0.03)</f>
        <v>110.02827653849539</v>
      </c>
      <c r="AA418" s="42">
        <f>('TE BE'!$AB$11+'TE BF'!$AB$11+'TE CVA'!$AB$11)*1*(1-0.03)</f>
        <v>351.76466722756453</v>
      </c>
      <c r="AB418" s="6">
        <f>$K$418*$V$418</f>
        <v>8455.4879999999994</v>
      </c>
      <c r="AC418" s="6">
        <f>$M$418*$W$418</f>
        <v>948.71850940000002</v>
      </c>
      <c r="AD418" s="6">
        <f>$O$418*$X$418</f>
        <v>3041.6156219999998</v>
      </c>
      <c r="AE418" s="6">
        <f ca="1">$K$418*$Y$418</f>
        <v>8739.0912509920527</v>
      </c>
      <c r="AF418" s="6">
        <f ca="1">$M$418*$Z$418</f>
        <v>1317.1484984423282</v>
      </c>
      <c r="AG418" s="6">
        <f>$O$418*$AA$418</f>
        <v>4210.9748313811751</v>
      </c>
    </row>
    <row r="419" spans="1:33" ht="11.25" customHeight="1" x14ac:dyDescent="0.25">
      <c r="A419" s="4" t="s">
        <v>28</v>
      </c>
      <c r="B419" s="4" t="s">
        <v>41</v>
      </c>
      <c r="C419" s="4" t="s">
        <v>42</v>
      </c>
      <c r="D419" s="4" t="s">
        <v>52</v>
      </c>
      <c r="E419" s="4" t="s">
        <v>53</v>
      </c>
      <c r="F419" s="4" t="s">
        <v>25</v>
      </c>
      <c r="G419" s="4" t="s">
        <v>25</v>
      </c>
      <c r="H419" s="4" t="s">
        <v>36</v>
      </c>
      <c r="I419" s="5">
        <v>44774</v>
      </c>
      <c r="J419" s="6">
        <v>92</v>
      </c>
      <c r="K419" s="43">
        <v>92</v>
      </c>
      <c r="L419" s="6">
        <v>2.6739999999999999</v>
      </c>
      <c r="M419" s="42">
        <v>2.6739999999999999</v>
      </c>
      <c r="N419" s="6">
        <v>2.6739999999999999</v>
      </c>
      <c r="O419" s="42">
        <v>2.6739999999999999</v>
      </c>
      <c r="P419" s="6">
        <v>0</v>
      </c>
      <c r="Q419" s="4" t="s">
        <v>26</v>
      </c>
      <c r="R419" s="4">
        <v>0</v>
      </c>
      <c r="S419" s="6">
        <v>19</v>
      </c>
      <c r="T419" s="6">
        <v>21</v>
      </c>
      <c r="U419" s="6">
        <v>74</v>
      </c>
      <c r="V419" s="42">
        <f>IF(ISERROR(VLOOKUP($S$419,'TAR FIN'!$A$1:$O$115,15,0)),0,VLOOKUP($S$419,'TAR FIN'!$A$1:$O$115,15,0))*(1-0.06)</f>
        <v>52.846799999999995</v>
      </c>
      <c r="W419" s="42">
        <f>IF(ISERROR(VLOOKUP($T$419,'TAR FIN'!$A$1:$O$115,15,0)),0,VLOOKUP($T$419,'TAR FIN'!$A$1:$O$115,15,0))*(1-0.06)</f>
        <v>79.251400000000004</v>
      </c>
      <c r="X419" s="42">
        <f>IF(ISERROR(VLOOKUP($U$419,'TAR FIN'!$A$1:$O$115,15,0)),0,VLOOKUP($U$419,'TAR FIN'!$A$1:$O$115,15,0))*(1-0.06)</f>
        <v>254.08199999999999</v>
      </c>
      <c r="Y419" s="42">
        <f ca="1">('TUSD BE'!$AM$19+'TUSD BF'!$AM$19+'TUSD CVA'!$AM$19)*1*(1-0.03)</f>
        <v>54.619320318700332</v>
      </c>
      <c r="Z419" s="42">
        <f ca="1">('TUSD BE'!$AM$21+'TUSD BF'!$AM$21+'TUSD CVA'!$AM$21)*1*(1-0.03)</f>
        <v>110.02827653849539</v>
      </c>
      <c r="AA419" s="42">
        <f>('TE BE'!$AB$11+'TE BF'!$AB$11+'TE CVA'!$AB$11)*1*(1-0.03)</f>
        <v>351.76466722756453</v>
      </c>
      <c r="AB419" s="6">
        <f>$K$419*$V$419</f>
        <v>4861.9055999999991</v>
      </c>
      <c r="AC419" s="6">
        <f>$M$419*$W$419</f>
        <v>211.91824360000001</v>
      </c>
      <c r="AD419" s="6">
        <f>$O$419*$X$419</f>
        <v>679.41526799999997</v>
      </c>
      <c r="AE419" s="6">
        <f ca="1">$K$419*$Y$419</f>
        <v>5024.9774693204308</v>
      </c>
      <c r="AF419" s="6">
        <f ca="1">$M$419*$Z$419</f>
        <v>294.21561146393668</v>
      </c>
      <c r="AG419" s="6">
        <f>$O$419*$AA$419</f>
        <v>940.6187201665075</v>
      </c>
    </row>
    <row r="420" spans="1:33" ht="11.25" customHeight="1" x14ac:dyDescent="0.25">
      <c r="A420" s="4" t="s">
        <v>21</v>
      </c>
      <c r="B420" s="4" t="s">
        <v>41</v>
      </c>
      <c r="C420" s="4" t="s">
        <v>42</v>
      </c>
      <c r="D420" s="4" t="s">
        <v>52</v>
      </c>
      <c r="E420" s="4" t="s">
        <v>53</v>
      </c>
      <c r="F420" s="4" t="s">
        <v>25</v>
      </c>
      <c r="G420" s="4" t="s">
        <v>25</v>
      </c>
      <c r="H420" s="4" t="s">
        <v>36</v>
      </c>
      <c r="I420" s="5">
        <v>44805</v>
      </c>
      <c r="J420" s="6">
        <v>160</v>
      </c>
      <c r="K420" s="43">
        <v>160</v>
      </c>
      <c r="L420" s="6">
        <v>11.391999999999999</v>
      </c>
      <c r="M420" s="42">
        <v>11.391999999999999</v>
      </c>
      <c r="N420" s="6">
        <v>11.391999999999999</v>
      </c>
      <c r="O420" s="42">
        <v>11.391999999999999</v>
      </c>
      <c r="P420" s="6">
        <v>0</v>
      </c>
      <c r="Q420" s="4" t="s">
        <v>26</v>
      </c>
      <c r="R420" s="4">
        <v>0</v>
      </c>
      <c r="S420" s="6">
        <v>19</v>
      </c>
      <c r="T420" s="6">
        <v>21</v>
      </c>
      <c r="U420" s="6">
        <v>74</v>
      </c>
      <c r="V420" s="42">
        <f>IF(ISERROR(VLOOKUP($S$420,'TAR FIN'!$A$1:$O$115,15,0)),0,VLOOKUP($S$420,'TAR FIN'!$A$1:$O$115,15,0))*(1-0.06)</f>
        <v>52.846799999999995</v>
      </c>
      <c r="W420" s="42">
        <f>IF(ISERROR(VLOOKUP($T$420,'TAR FIN'!$A$1:$O$115,15,0)),0,VLOOKUP($T$420,'TAR FIN'!$A$1:$O$115,15,0))*(1-0.06)</f>
        <v>79.251400000000004</v>
      </c>
      <c r="X420" s="42">
        <f>IF(ISERROR(VLOOKUP($U$420,'TAR FIN'!$A$1:$O$115,15,0)),0,VLOOKUP($U$420,'TAR FIN'!$A$1:$O$115,15,0))*(1-0.06)</f>
        <v>254.08199999999999</v>
      </c>
      <c r="Y420" s="42">
        <f ca="1">('TUSD BE'!$AM$19+'TUSD BF'!$AM$19+'TUSD CVA'!$AM$19)*1*(1-0.03)</f>
        <v>54.619320318700332</v>
      </c>
      <c r="Z420" s="42">
        <f ca="1">('TUSD BE'!$AM$21+'TUSD BF'!$AM$21+'TUSD CVA'!$AM$21)*1*(1-0.03)</f>
        <v>110.02827653849539</v>
      </c>
      <c r="AA420" s="42">
        <f>('TE BE'!$AB$11+'TE BF'!$AB$11+'TE CVA'!$AB$11)*1*(1-0.03)</f>
        <v>351.76466722756453</v>
      </c>
      <c r="AB420" s="6">
        <f>$K$420*$V$420</f>
        <v>8455.4879999999994</v>
      </c>
      <c r="AC420" s="6">
        <f>$M$420*$W$420</f>
        <v>902.83194879999996</v>
      </c>
      <c r="AD420" s="6">
        <f>$O$420*$X$420</f>
        <v>2894.5021439999996</v>
      </c>
      <c r="AE420" s="6">
        <f ca="1">$K$420*$Y$420</f>
        <v>8739.0912509920527</v>
      </c>
      <c r="AF420" s="6">
        <f ca="1">$M$420*$Z$420</f>
        <v>1253.4421263265394</v>
      </c>
      <c r="AG420" s="6">
        <f>$O$420*$AA$420</f>
        <v>4007.303089056415</v>
      </c>
    </row>
    <row r="421" spans="1:33" ht="11.25" customHeight="1" x14ac:dyDescent="0.25">
      <c r="A421" s="4" t="s">
        <v>28</v>
      </c>
      <c r="B421" s="4" t="s">
        <v>41</v>
      </c>
      <c r="C421" s="4" t="s">
        <v>42</v>
      </c>
      <c r="D421" s="4" t="s">
        <v>52</v>
      </c>
      <c r="E421" s="4" t="s">
        <v>53</v>
      </c>
      <c r="F421" s="4" t="s">
        <v>25</v>
      </c>
      <c r="G421" s="4" t="s">
        <v>25</v>
      </c>
      <c r="H421" s="4" t="s">
        <v>36</v>
      </c>
      <c r="I421" s="5">
        <v>44805</v>
      </c>
      <c r="J421" s="6">
        <v>104</v>
      </c>
      <c r="K421" s="43">
        <v>104</v>
      </c>
      <c r="L421" s="6">
        <v>1.718</v>
      </c>
      <c r="M421" s="42">
        <v>1.718</v>
      </c>
      <c r="N421" s="6">
        <v>1.718</v>
      </c>
      <c r="O421" s="42">
        <v>1.718</v>
      </c>
      <c r="P421" s="6">
        <v>0</v>
      </c>
      <c r="Q421" s="4" t="s">
        <v>26</v>
      </c>
      <c r="R421" s="4">
        <v>0</v>
      </c>
      <c r="S421" s="6">
        <v>19</v>
      </c>
      <c r="T421" s="6">
        <v>21</v>
      </c>
      <c r="U421" s="6">
        <v>74</v>
      </c>
      <c r="V421" s="42">
        <f>IF(ISERROR(VLOOKUP($S$421,'TAR FIN'!$A$1:$O$115,15,0)),0,VLOOKUP($S$421,'TAR FIN'!$A$1:$O$115,15,0))*(1-0.06)</f>
        <v>52.846799999999995</v>
      </c>
      <c r="W421" s="42">
        <f>IF(ISERROR(VLOOKUP($T$421,'TAR FIN'!$A$1:$O$115,15,0)),0,VLOOKUP($T$421,'TAR FIN'!$A$1:$O$115,15,0))*(1-0.06)</f>
        <v>79.251400000000004</v>
      </c>
      <c r="X421" s="42">
        <f>IF(ISERROR(VLOOKUP($U$421,'TAR FIN'!$A$1:$O$115,15,0)),0,VLOOKUP($U$421,'TAR FIN'!$A$1:$O$115,15,0))*(1-0.06)</f>
        <v>254.08199999999999</v>
      </c>
      <c r="Y421" s="42">
        <f ca="1">('TUSD BE'!$AM$19+'TUSD BF'!$AM$19+'TUSD CVA'!$AM$19)*1*(1-0.03)</f>
        <v>54.619320318700332</v>
      </c>
      <c r="Z421" s="42">
        <f ca="1">('TUSD BE'!$AM$21+'TUSD BF'!$AM$21+'TUSD CVA'!$AM$21)*1*(1-0.03)</f>
        <v>110.02827653849539</v>
      </c>
      <c r="AA421" s="42">
        <f>('TE BE'!$AB$11+'TE BF'!$AB$11+'TE CVA'!$AB$11)*1*(1-0.03)</f>
        <v>351.76466722756453</v>
      </c>
      <c r="AB421" s="6">
        <f>$K$421*$V$421</f>
        <v>5496.0671999999995</v>
      </c>
      <c r="AC421" s="6">
        <f>$M$421*$W$421</f>
        <v>136.1539052</v>
      </c>
      <c r="AD421" s="6">
        <f>$O$421*$X$421</f>
        <v>436.51287600000001</v>
      </c>
      <c r="AE421" s="6">
        <f ca="1">$K$421*$Y$421</f>
        <v>5680.4093131448344</v>
      </c>
      <c r="AF421" s="6">
        <f ca="1">$M$421*$Z$421</f>
        <v>189.02857909313508</v>
      </c>
      <c r="AG421" s="6">
        <f>$O$421*$AA$421</f>
        <v>604.33169829695589</v>
      </c>
    </row>
    <row r="422" spans="1:33" ht="11.25" customHeight="1" x14ac:dyDescent="0.25">
      <c r="A422" s="4" t="s">
        <v>21</v>
      </c>
      <c r="B422" s="4" t="s">
        <v>41</v>
      </c>
      <c r="C422" s="4" t="s">
        <v>42</v>
      </c>
      <c r="D422" s="4" t="s">
        <v>52</v>
      </c>
      <c r="E422" s="4" t="s">
        <v>53</v>
      </c>
      <c r="F422" s="4" t="s">
        <v>25</v>
      </c>
      <c r="G422" s="4" t="s">
        <v>25</v>
      </c>
      <c r="H422" s="4" t="s">
        <v>36</v>
      </c>
      <c r="I422" s="5">
        <v>44835</v>
      </c>
      <c r="J422" s="6">
        <v>209</v>
      </c>
      <c r="K422" s="43">
        <v>209</v>
      </c>
      <c r="L422" s="6">
        <v>14.791</v>
      </c>
      <c r="M422" s="42">
        <v>14.791</v>
      </c>
      <c r="N422" s="6">
        <v>14.791</v>
      </c>
      <c r="O422" s="42">
        <v>14.791</v>
      </c>
      <c r="P422" s="6">
        <v>0</v>
      </c>
      <c r="Q422" s="4" t="s">
        <v>26</v>
      </c>
      <c r="R422" s="4">
        <v>0</v>
      </c>
      <c r="S422" s="6">
        <v>19</v>
      </c>
      <c r="T422" s="6">
        <v>21</v>
      </c>
      <c r="U422" s="6">
        <v>74</v>
      </c>
      <c r="V422" s="42">
        <f>IF(ISERROR(VLOOKUP($S$422,'TAR FIN'!$A$1:$O$115,15,0)),0,VLOOKUP($S$422,'TAR FIN'!$A$1:$O$115,15,0))*(1-0.06)</f>
        <v>52.846799999999995</v>
      </c>
      <c r="W422" s="42">
        <f>IF(ISERROR(VLOOKUP($T$422,'TAR FIN'!$A$1:$O$115,15,0)),0,VLOOKUP($T$422,'TAR FIN'!$A$1:$O$115,15,0))*(1-0.06)</f>
        <v>79.251400000000004</v>
      </c>
      <c r="X422" s="42">
        <f>IF(ISERROR(VLOOKUP($U$422,'TAR FIN'!$A$1:$O$115,15,0)),0,VLOOKUP($U$422,'TAR FIN'!$A$1:$O$115,15,0))*(1-0.06)</f>
        <v>254.08199999999999</v>
      </c>
      <c r="Y422" s="42">
        <f ca="1">('TUSD BE'!$AM$19+'TUSD BF'!$AM$19+'TUSD CVA'!$AM$19)*1*(1-0.03)</f>
        <v>54.619320318700332</v>
      </c>
      <c r="Z422" s="42">
        <f ca="1">('TUSD BE'!$AM$21+'TUSD BF'!$AM$21+'TUSD CVA'!$AM$21)*1*(1-0.03)</f>
        <v>110.02827653849539</v>
      </c>
      <c r="AA422" s="42">
        <f>('TE BE'!$AB$11+'TE BF'!$AB$11+'TE CVA'!$AB$11)*1*(1-0.03)</f>
        <v>351.76466722756453</v>
      </c>
      <c r="AB422" s="6">
        <f>$K$422*$V$422</f>
        <v>11044.981199999998</v>
      </c>
      <c r="AC422" s="6">
        <f>$M$422*$W$422</f>
        <v>1172.2074574000001</v>
      </c>
      <c r="AD422" s="6">
        <f>$O$422*$X$422</f>
        <v>3758.1268620000001</v>
      </c>
      <c r="AE422" s="6">
        <f ca="1">$K$422*$Y$422</f>
        <v>11415.43794660837</v>
      </c>
      <c r="AF422" s="6">
        <f ca="1">$M$422*$Z$422</f>
        <v>1627.4282382808854</v>
      </c>
      <c r="AG422" s="6">
        <f>$O$422*$AA$422</f>
        <v>5202.951192962907</v>
      </c>
    </row>
    <row r="423" spans="1:33" ht="11.25" customHeight="1" x14ac:dyDescent="0.25">
      <c r="A423" s="4" t="s">
        <v>28</v>
      </c>
      <c r="B423" s="4" t="s">
        <v>41</v>
      </c>
      <c r="C423" s="4" t="s">
        <v>42</v>
      </c>
      <c r="D423" s="4" t="s">
        <v>52</v>
      </c>
      <c r="E423" s="4" t="s">
        <v>53</v>
      </c>
      <c r="F423" s="4" t="s">
        <v>25</v>
      </c>
      <c r="G423" s="4" t="s">
        <v>25</v>
      </c>
      <c r="H423" s="4" t="s">
        <v>36</v>
      </c>
      <c r="I423" s="5">
        <v>44835</v>
      </c>
      <c r="J423" s="6">
        <v>163</v>
      </c>
      <c r="K423" s="43">
        <v>163</v>
      </c>
      <c r="L423" s="6">
        <v>7.6289999999999996</v>
      </c>
      <c r="M423" s="42">
        <v>7.6289999999999996</v>
      </c>
      <c r="N423" s="6">
        <v>7.6289999999999996</v>
      </c>
      <c r="O423" s="42">
        <v>7.6289999999999996</v>
      </c>
      <c r="P423" s="6">
        <v>0</v>
      </c>
      <c r="Q423" s="4" t="s">
        <v>26</v>
      </c>
      <c r="R423" s="4">
        <v>0</v>
      </c>
      <c r="S423" s="6">
        <v>19</v>
      </c>
      <c r="T423" s="6">
        <v>21</v>
      </c>
      <c r="U423" s="6">
        <v>74</v>
      </c>
      <c r="V423" s="42">
        <f>IF(ISERROR(VLOOKUP($S$423,'TAR FIN'!$A$1:$O$115,15,0)),0,VLOOKUP($S$423,'TAR FIN'!$A$1:$O$115,15,0))*(1-0.06)</f>
        <v>52.846799999999995</v>
      </c>
      <c r="W423" s="42">
        <f>IF(ISERROR(VLOOKUP($T$423,'TAR FIN'!$A$1:$O$115,15,0)),0,VLOOKUP($T$423,'TAR FIN'!$A$1:$O$115,15,0))*(1-0.06)</f>
        <v>79.251400000000004</v>
      </c>
      <c r="X423" s="42">
        <f>IF(ISERROR(VLOOKUP($U$423,'TAR FIN'!$A$1:$O$115,15,0)),0,VLOOKUP($U$423,'TAR FIN'!$A$1:$O$115,15,0))*(1-0.06)</f>
        <v>254.08199999999999</v>
      </c>
      <c r="Y423" s="42">
        <f ca="1">('TUSD BE'!$AM$19+'TUSD BF'!$AM$19+'TUSD CVA'!$AM$19)*1*(1-0.03)</f>
        <v>54.619320318700332</v>
      </c>
      <c r="Z423" s="42">
        <f ca="1">('TUSD BE'!$AM$21+'TUSD BF'!$AM$21+'TUSD CVA'!$AM$21)*1*(1-0.03)</f>
        <v>110.02827653849539</v>
      </c>
      <c r="AA423" s="42">
        <f>('TE BE'!$AB$11+'TE BF'!$AB$11+'TE CVA'!$AB$11)*1*(1-0.03)</f>
        <v>351.76466722756453</v>
      </c>
      <c r="AB423" s="6">
        <f>$K$423*$V$423</f>
        <v>8614.0283999999992</v>
      </c>
      <c r="AC423" s="6">
        <f>$M$423*$W$423</f>
        <v>604.60893060000001</v>
      </c>
      <c r="AD423" s="6">
        <f>$O$423*$X$423</f>
        <v>1938.3915779999998</v>
      </c>
      <c r="AE423" s="6">
        <f ca="1">$K$423*$Y$423</f>
        <v>8902.9492119481547</v>
      </c>
      <c r="AF423" s="6">
        <f ca="1">$M$423*$Z$423</f>
        <v>839.40572171218128</v>
      </c>
      <c r="AG423" s="6">
        <f>$O$423*$AA$423</f>
        <v>2683.6126462790899</v>
      </c>
    </row>
    <row r="424" spans="1:33" ht="11.25" customHeight="1" x14ac:dyDescent="0.25">
      <c r="A424" s="4" t="s">
        <v>59</v>
      </c>
      <c r="B424" s="4" t="s">
        <v>41</v>
      </c>
      <c r="C424" s="4" t="s">
        <v>42</v>
      </c>
      <c r="D424" s="4" t="s">
        <v>52</v>
      </c>
      <c r="E424" s="4" t="s">
        <v>53</v>
      </c>
      <c r="F424" s="4" t="s">
        <v>25</v>
      </c>
      <c r="G424" s="4" t="s">
        <v>25</v>
      </c>
      <c r="H424" s="4" t="s">
        <v>36</v>
      </c>
      <c r="I424" s="5">
        <v>44866</v>
      </c>
      <c r="J424" s="6">
        <v>209</v>
      </c>
      <c r="K424" s="43">
        <v>209</v>
      </c>
      <c r="L424" s="6">
        <v>14.791</v>
      </c>
      <c r="M424" s="42">
        <v>14.791</v>
      </c>
      <c r="N424" s="6">
        <v>14.791</v>
      </c>
      <c r="O424" s="42">
        <v>14.791</v>
      </c>
      <c r="P424" s="6">
        <v>0</v>
      </c>
      <c r="Q424" s="4" t="s">
        <v>26</v>
      </c>
      <c r="R424" s="4">
        <v>0</v>
      </c>
      <c r="S424" s="6">
        <v>19</v>
      </c>
      <c r="T424" s="6">
        <v>21</v>
      </c>
      <c r="U424" s="6">
        <v>74</v>
      </c>
      <c r="V424" s="42">
        <f>IF(ISERROR(VLOOKUP($S$424,'TAR FIN'!$A$1:$O$115,15,0)),0,VLOOKUP($S$424,'TAR FIN'!$A$1:$O$115,15,0))*(1-0.06)</f>
        <v>52.846799999999995</v>
      </c>
      <c r="W424" s="42">
        <f>IF(ISERROR(VLOOKUP($T$424,'TAR FIN'!$A$1:$O$115,15,0)),0,VLOOKUP($T$424,'TAR FIN'!$A$1:$O$115,15,0))*(1-0.06)</f>
        <v>79.251400000000004</v>
      </c>
      <c r="X424" s="42">
        <f>IF(ISERROR(VLOOKUP($U$424,'TAR FIN'!$A$1:$O$115,15,0)),0,VLOOKUP($U$424,'TAR FIN'!$A$1:$O$115,15,0))*(1-0.06)</f>
        <v>254.08199999999999</v>
      </c>
      <c r="Y424" s="42">
        <f ca="1">('TUSD BE'!$AM$19+'TUSD BF'!$AM$19+'TUSD CVA'!$AM$19)*1*(1-0.03)</f>
        <v>54.619320318700332</v>
      </c>
      <c r="Z424" s="42">
        <f ca="1">('TUSD BE'!$AM$21+'TUSD BF'!$AM$21+'TUSD CVA'!$AM$21)*1*(1-0.03)</f>
        <v>110.02827653849539</v>
      </c>
      <c r="AA424" s="42">
        <f>('TE BE'!$AB$11+'TE BF'!$AB$11+'TE CVA'!$AB$11)*1*(1-0.03)</f>
        <v>351.76466722756453</v>
      </c>
      <c r="AB424" s="6">
        <f>$K$424*$V$424</f>
        <v>11044.981199999998</v>
      </c>
      <c r="AC424" s="6">
        <f>$M$424*$W$424</f>
        <v>1172.2074574000001</v>
      </c>
      <c r="AD424" s="6">
        <f>$O$424*$X$424</f>
        <v>3758.1268620000001</v>
      </c>
      <c r="AE424" s="6">
        <f ca="1">$K$424*$Y$424</f>
        <v>11415.43794660837</v>
      </c>
      <c r="AF424" s="6">
        <f ca="1">$M$424*$Z$424</f>
        <v>1627.4282382808854</v>
      </c>
      <c r="AG424" s="6">
        <f>$O$424*$AA$424</f>
        <v>5202.951192962907</v>
      </c>
    </row>
    <row r="425" spans="1:33" ht="11.25" customHeight="1" x14ac:dyDescent="0.25">
      <c r="A425" s="4" t="s">
        <v>59</v>
      </c>
      <c r="B425" s="4" t="s">
        <v>41</v>
      </c>
      <c r="C425" s="4" t="s">
        <v>42</v>
      </c>
      <c r="D425" s="4" t="s">
        <v>52</v>
      </c>
      <c r="E425" s="4" t="s">
        <v>53</v>
      </c>
      <c r="F425" s="4" t="s">
        <v>25</v>
      </c>
      <c r="G425" s="4" t="s">
        <v>25</v>
      </c>
      <c r="H425" s="4" t="s">
        <v>36</v>
      </c>
      <c r="I425" s="5">
        <v>44866</v>
      </c>
      <c r="J425" s="6">
        <v>163</v>
      </c>
      <c r="K425" s="43">
        <v>163</v>
      </c>
      <c r="L425" s="6">
        <v>7.6289999999999996</v>
      </c>
      <c r="M425" s="42">
        <v>7.6289999999999996</v>
      </c>
      <c r="N425" s="6">
        <v>7.6289999999999996</v>
      </c>
      <c r="O425" s="42">
        <v>7.6289999999999996</v>
      </c>
      <c r="P425" s="6">
        <v>0</v>
      </c>
      <c r="Q425" s="4" t="s">
        <v>26</v>
      </c>
      <c r="R425" s="4">
        <v>0</v>
      </c>
      <c r="S425" s="6">
        <v>19</v>
      </c>
      <c r="T425" s="6">
        <v>21</v>
      </c>
      <c r="U425" s="6">
        <v>74</v>
      </c>
      <c r="V425" s="42">
        <f>IF(ISERROR(VLOOKUP($S$425,'TAR FIN'!$A$1:$O$115,15,0)),0,VLOOKUP($S$425,'TAR FIN'!$A$1:$O$115,15,0))*(1-0.06)</f>
        <v>52.846799999999995</v>
      </c>
      <c r="W425" s="42">
        <f>IF(ISERROR(VLOOKUP($T$425,'TAR FIN'!$A$1:$O$115,15,0)),0,VLOOKUP($T$425,'TAR FIN'!$A$1:$O$115,15,0))*(1-0.06)</f>
        <v>79.251400000000004</v>
      </c>
      <c r="X425" s="42">
        <f>IF(ISERROR(VLOOKUP($U$425,'TAR FIN'!$A$1:$O$115,15,0)),0,VLOOKUP($U$425,'TAR FIN'!$A$1:$O$115,15,0))*(1-0.06)</f>
        <v>254.08199999999999</v>
      </c>
      <c r="Y425" s="42">
        <f ca="1">('TUSD BE'!$AM$19+'TUSD BF'!$AM$19+'TUSD CVA'!$AM$19)*1*(1-0.03)</f>
        <v>54.619320318700332</v>
      </c>
      <c r="Z425" s="42">
        <f ca="1">('TUSD BE'!$AM$21+'TUSD BF'!$AM$21+'TUSD CVA'!$AM$21)*1*(1-0.03)</f>
        <v>110.02827653849539</v>
      </c>
      <c r="AA425" s="42">
        <f>('TE BE'!$AB$11+'TE BF'!$AB$11+'TE CVA'!$AB$11)*1*(1-0.03)</f>
        <v>351.76466722756453</v>
      </c>
      <c r="AB425" s="6">
        <f>$K$425*$V$425</f>
        <v>8614.0283999999992</v>
      </c>
      <c r="AC425" s="6">
        <f>$M$425*$W$425</f>
        <v>604.60893060000001</v>
      </c>
      <c r="AD425" s="6">
        <f>$O$425*$X$425</f>
        <v>1938.3915779999998</v>
      </c>
      <c r="AE425" s="6">
        <f ca="1">$K$425*$Y$425</f>
        <v>8902.9492119481547</v>
      </c>
      <c r="AF425" s="6">
        <f ca="1">$M$425*$Z$425</f>
        <v>839.40572171218128</v>
      </c>
      <c r="AG425" s="6">
        <f>$O$425*$AA$425</f>
        <v>2683.6126462790899</v>
      </c>
    </row>
    <row r="426" spans="1:33" ht="11.25" customHeight="1" x14ac:dyDescent="0.25">
      <c r="A426" s="4" t="s">
        <v>21</v>
      </c>
      <c r="B426" s="4" t="s">
        <v>41</v>
      </c>
      <c r="C426" s="4" t="s">
        <v>62</v>
      </c>
      <c r="D426" s="4" t="s">
        <v>25</v>
      </c>
      <c r="E426" s="4" t="s">
        <v>25</v>
      </c>
      <c r="F426" s="4" t="s">
        <v>25</v>
      </c>
      <c r="G426" s="4" t="s">
        <v>63</v>
      </c>
      <c r="H426" s="4" t="s">
        <v>37</v>
      </c>
      <c r="I426" s="5">
        <v>44531</v>
      </c>
      <c r="J426" s="6">
        <v>1568</v>
      </c>
      <c r="K426" s="6">
        <v>1568</v>
      </c>
      <c r="L426" s="6">
        <v>689.67899999999997</v>
      </c>
      <c r="M426" s="6">
        <v>689.67899999999997</v>
      </c>
      <c r="N426" s="6">
        <v>0</v>
      </c>
      <c r="O426" s="6">
        <v>0</v>
      </c>
      <c r="P426" s="6">
        <v>0</v>
      </c>
      <c r="Q426" s="4" t="s">
        <v>64</v>
      </c>
      <c r="R426" s="4">
        <v>7019</v>
      </c>
      <c r="S426" s="6">
        <v>24</v>
      </c>
      <c r="T426" s="6">
        <v>25</v>
      </c>
      <c r="U426" s="6">
        <v>0</v>
      </c>
      <c r="V426" s="6">
        <f>IF(ISERROR(VLOOKUP($S$426,'TAR FIN'!$A$1:$O$115,15,0)),0,VLOOKUP($S$426,'TAR FIN'!$A$1:$O$115,15,0))</f>
        <v>7.64</v>
      </c>
      <c r="W426" s="6">
        <f>IF(ISERROR(VLOOKUP($T$426,'TAR FIN'!$A$1:$O$115,15,0)),0,VLOOKUP($T$426,'TAR FIN'!$A$1:$O$115,15,0))</f>
        <v>10.28</v>
      </c>
      <c r="X426" s="6">
        <f>IF(ISERROR(VLOOKUP($U$426,'TAR FIN'!$A$1:$O$115,15,0)),0,VLOOKUP($U$426,'TAR FIN'!$A$1:$O$115,15,0))</f>
        <v>0</v>
      </c>
      <c r="Y426" s="6">
        <f ca="1">('TUSD BE'!$AM$24+'TUSD BF'!$AM$24+'TUSD CVA'!$AM$24)*1</f>
        <v>9.6081279297339091</v>
      </c>
      <c r="Z426" s="6">
        <f ca="1">('TUSD BE'!$AM$25+'TUSD BF'!$AM$25+'TUSD CVA'!$AM$25)*1</f>
        <v>15.91855481032834</v>
      </c>
      <c r="AA426" s="6">
        <f>('TE BE'!$AB$16+'TE BF'!$AB$16+'TE CVA'!$AB$16)*1</f>
        <v>220.39434315508052</v>
      </c>
      <c r="AB426" s="6">
        <f>$K$426*$V$426</f>
        <v>11979.519999999999</v>
      </c>
      <c r="AC426" s="6">
        <f>$M$426*$W$426</f>
        <v>7089.9001199999993</v>
      </c>
      <c r="AD426" s="6">
        <f>$O$426*$X$426</f>
        <v>0</v>
      </c>
      <c r="AE426" s="6">
        <f ca="1">$K$426*$Y$426</f>
        <v>15065.544593822769</v>
      </c>
      <c r="AF426" s="6">
        <f ca="1">$M$426*$Z$426</f>
        <v>10978.692963032439</v>
      </c>
      <c r="AG426" s="6">
        <f>$O$426*$AA$426</f>
        <v>0</v>
      </c>
    </row>
    <row r="427" spans="1:33" ht="11.25" customHeight="1" x14ac:dyDescent="0.25">
      <c r="A427" s="4" t="s">
        <v>21</v>
      </c>
      <c r="B427" s="4" t="s">
        <v>41</v>
      </c>
      <c r="C427" s="4" t="s">
        <v>62</v>
      </c>
      <c r="D427" s="4" t="s">
        <v>25</v>
      </c>
      <c r="E427" s="4" t="s">
        <v>25</v>
      </c>
      <c r="F427" s="4" t="s">
        <v>25</v>
      </c>
      <c r="G427" s="4" t="s">
        <v>63</v>
      </c>
      <c r="H427" s="4" t="s">
        <v>37</v>
      </c>
      <c r="I427" s="5">
        <v>44562</v>
      </c>
      <c r="J427" s="6">
        <v>1478</v>
      </c>
      <c r="K427" s="6">
        <v>1478</v>
      </c>
      <c r="L427" s="6">
        <v>761.09</v>
      </c>
      <c r="M427" s="6">
        <v>761.09</v>
      </c>
      <c r="N427" s="6">
        <v>0</v>
      </c>
      <c r="O427" s="6">
        <v>0</v>
      </c>
      <c r="P427" s="6">
        <v>0</v>
      </c>
      <c r="Q427" s="4" t="s">
        <v>64</v>
      </c>
      <c r="R427" s="4">
        <v>7019</v>
      </c>
      <c r="S427" s="6">
        <v>24</v>
      </c>
      <c r="T427" s="6">
        <v>25</v>
      </c>
      <c r="U427" s="6">
        <v>0</v>
      </c>
      <c r="V427" s="6">
        <f>IF(ISERROR(VLOOKUP($S$427,'TAR FIN'!$A$1:$O$115,15,0)),0,VLOOKUP($S$427,'TAR FIN'!$A$1:$O$115,15,0))</f>
        <v>7.64</v>
      </c>
      <c r="W427" s="6">
        <f>IF(ISERROR(VLOOKUP($T$427,'TAR FIN'!$A$1:$O$115,15,0)),0,VLOOKUP($T$427,'TAR FIN'!$A$1:$O$115,15,0))</f>
        <v>10.28</v>
      </c>
      <c r="X427" s="6">
        <f>IF(ISERROR(VLOOKUP($U$427,'TAR FIN'!$A$1:$O$115,15,0)),0,VLOOKUP($U$427,'TAR FIN'!$A$1:$O$115,15,0))</f>
        <v>0</v>
      </c>
      <c r="Y427" s="6">
        <f ca="1">('TUSD BE'!$AM$24+'TUSD BF'!$AM$24+'TUSD CVA'!$AM$24)*1</f>
        <v>9.6081279297339091</v>
      </c>
      <c r="Z427" s="6">
        <f ca="1">('TUSD BE'!$AM$25+'TUSD BF'!$AM$25+'TUSD CVA'!$AM$25)*1</f>
        <v>15.91855481032834</v>
      </c>
      <c r="AA427" s="6">
        <f>('TE BE'!$AB$16+'TE BF'!$AB$16+'TE CVA'!$AB$16)*1</f>
        <v>220.39434315508052</v>
      </c>
      <c r="AB427" s="6">
        <f>$K$427*$V$427</f>
        <v>11291.92</v>
      </c>
      <c r="AC427" s="6">
        <f>$M$427*$W$427</f>
        <v>7824.0051999999996</v>
      </c>
      <c r="AD427" s="6">
        <f>$O$427*$X$427</f>
        <v>0</v>
      </c>
      <c r="AE427" s="6">
        <f ca="1">$K$427*$Y$427</f>
        <v>14200.813080146718</v>
      </c>
      <c r="AF427" s="6">
        <f ca="1">$M$427*$Z$427</f>
        <v>12115.452880592797</v>
      </c>
      <c r="AG427" s="6">
        <f>$O$427*$AA$427</f>
        <v>0</v>
      </c>
    </row>
    <row r="428" spans="1:33" ht="11.25" customHeight="1" x14ac:dyDescent="0.25">
      <c r="A428" s="4" t="s">
        <v>21</v>
      </c>
      <c r="B428" s="4" t="s">
        <v>41</v>
      </c>
      <c r="C428" s="4" t="s">
        <v>62</v>
      </c>
      <c r="D428" s="4" t="s">
        <v>25</v>
      </c>
      <c r="E428" s="4" t="s">
        <v>25</v>
      </c>
      <c r="F428" s="4" t="s">
        <v>25</v>
      </c>
      <c r="G428" s="4" t="s">
        <v>63</v>
      </c>
      <c r="H428" s="4" t="s">
        <v>37</v>
      </c>
      <c r="I428" s="5">
        <v>44593</v>
      </c>
      <c r="J428" s="6">
        <v>1568</v>
      </c>
      <c r="K428" s="6">
        <v>1568</v>
      </c>
      <c r="L428" s="6">
        <v>747.32</v>
      </c>
      <c r="M428" s="6">
        <v>747.32</v>
      </c>
      <c r="N428" s="6">
        <v>0</v>
      </c>
      <c r="O428" s="6">
        <v>0</v>
      </c>
      <c r="P428" s="6">
        <v>0</v>
      </c>
      <c r="Q428" s="4" t="s">
        <v>64</v>
      </c>
      <c r="R428" s="4">
        <v>7019</v>
      </c>
      <c r="S428" s="6">
        <v>24</v>
      </c>
      <c r="T428" s="6">
        <v>25</v>
      </c>
      <c r="U428" s="6">
        <v>0</v>
      </c>
      <c r="V428" s="6">
        <f>IF(ISERROR(VLOOKUP($S$428,'TAR FIN'!$A$1:$O$115,15,0)),0,VLOOKUP($S$428,'TAR FIN'!$A$1:$O$115,15,0))</f>
        <v>7.64</v>
      </c>
      <c r="W428" s="6">
        <f>IF(ISERROR(VLOOKUP($T$428,'TAR FIN'!$A$1:$O$115,15,0)),0,VLOOKUP($T$428,'TAR FIN'!$A$1:$O$115,15,0))</f>
        <v>10.28</v>
      </c>
      <c r="X428" s="6">
        <f>IF(ISERROR(VLOOKUP($U$428,'TAR FIN'!$A$1:$O$115,15,0)),0,VLOOKUP($U$428,'TAR FIN'!$A$1:$O$115,15,0))</f>
        <v>0</v>
      </c>
      <c r="Y428" s="6">
        <f ca="1">('TUSD BE'!$AM$24+'TUSD BF'!$AM$24+'TUSD CVA'!$AM$24)*1</f>
        <v>9.6081279297339091</v>
      </c>
      <c r="Z428" s="6">
        <f ca="1">('TUSD BE'!$AM$25+'TUSD BF'!$AM$25+'TUSD CVA'!$AM$25)*1</f>
        <v>15.91855481032834</v>
      </c>
      <c r="AA428" s="6">
        <f>('TE BE'!$AB$16+'TE BF'!$AB$16+'TE CVA'!$AB$16)*1</f>
        <v>220.39434315508052</v>
      </c>
      <c r="AB428" s="6">
        <f>$K$428*$V$428</f>
        <v>11979.519999999999</v>
      </c>
      <c r="AC428" s="6">
        <f>$M$428*$W$428</f>
        <v>7682.4495999999999</v>
      </c>
      <c r="AD428" s="6">
        <f>$O$428*$X$428</f>
        <v>0</v>
      </c>
      <c r="AE428" s="6">
        <f ca="1">$K$428*$Y$428</f>
        <v>15065.544593822769</v>
      </c>
      <c r="AF428" s="6">
        <f ca="1">$M$428*$Z$428</f>
        <v>11896.254380854576</v>
      </c>
      <c r="AG428" s="6">
        <f>$O$428*$AA$428</f>
        <v>0</v>
      </c>
    </row>
    <row r="429" spans="1:33" ht="11.25" customHeight="1" x14ac:dyDescent="0.25">
      <c r="A429" s="4" t="s">
        <v>21</v>
      </c>
      <c r="B429" s="4" t="s">
        <v>41</v>
      </c>
      <c r="C429" s="4" t="s">
        <v>62</v>
      </c>
      <c r="D429" s="4" t="s">
        <v>25</v>
      </c>
      <c r="E429" s="4" t="s">
        <v>25</v>
      </c>
      <c r="F429" s="4" t="s">
        <v>25</v>
      </c>
      <c r="G429" s="4" t="s">
        <v>63</v>
      </c>
      <c r="H429" s="4" t="s">
        <v>37</v>
      </c>
      <c r="I429" s="5">
        <v>44621</v>
      </c>
      <c r="J429" s="6">
        <v>1500</v>
      </c>
      <c r="K429" s="6">
        <v>1500</v>
      </c>
      <c r="L429" s="6">
        <v>668.10199999999998</v>
      </c>
      <c r="M429" s="6">
        <v>668.10199999999998</v>
      </c>
      <c r="N429" s="6">
        <v>0</v>
      </c>
      <c r="O429" s="6">
        <v>0</v>
      </c>
      <c r="P429" s="6">
        <v>0</v>
      </c>
      <c r="Q429" s="4" t="s">
        <v>64</v>
      </c>
      <c r="R429" s="4">
        <v>7019</v>
      </c>
      <c r="S429" s="6">
        <v>24</v>
      </c>
      <c r="T429" s="6">
        <v>25</v>
      </c>
      <c r="U429" s="6">
        <v>0</v>
      </c>
      <c r="V429" s="6">
        <f>IF(ISERROR(VLOOKUP($S$429,'TAR FIN'!$A$1:$O$115,15,0)),0,VLOOKUP($S$429,'TAR FIN'!$A$1:$O$115,15,0))</f>
        <v>7.64</v>
      </c>
      <c r="W429" s="6">
        <f>IF(ISERROR(VLOOKUP($T$429,'TAR FIN'!$A$1:$O$115,15,0)),0,VLOOKUP($T$429,'TAR FIN'!$A$1:$O$115,15,0))</f>
        <v>10.28</v>
      </c>
      <c r="X429" s="6">
        <f>IF(ISERROR(VLOOKUP($U$429,'TAR FIN'!$A$1:$O$115,15,0)),0,VLOOKUP($U$429,'TAR FIN'!$A$1:$O$115,15,0))</f>
        <v>0</v>
      </c>
      <c r="Y429" s="6">
        <f ca="1">('TUSD BE'!$AM$24+'TUSD BF'!$AM$24+'TUSD CVA'!$AM$24)*1</f>
        <v>9.6081279297339091</v>
      </c>
      <c r="Z429" s="6">
        <f ca="1">('TUSD BE'!$AM$25+'TUSD BF'!$AM$25+'TUSD CVA'!$AM$25)*1</f>
        <v>15.91855481032834</v>
      </c>
      <c r="AA429" s="6">
        <f>('TE BE'!$AB$16+'TE BF'!$AB$16+'TE CVA'!$AB$16)*1</f>
        <v>220.39434315508052</v>
      </c>
      <c r="AB429" s="6">
        <f>$K$429*$V$429</f>
        <v>11460</v>
      </c>
      <c r="AC429" s="6">
        <f>$M$429*$W$429</f>
        <v>6868.0885599999992</v>
      </c>
      <c r="AD429" s="6">
        <f>$O$429*$X$429</f>
        <v>0</v>
      </c>
      <c r="AE429" s="6">
        <f ca="1">$K$429*$Y$429</f>
        <v>14412.191894600863</v>
      </c>
      <c r="AF429" s="6">
        <f ca="1">$M$429*$Z$429</f>
        <v>10635.218305889985</v>
      </c>
      <c r="AG429" s="6">
        <f>$O$429*$AA$429</f>
        <v>0</v>
      </c>
    </row>
    <row r="430" spans="1:33" ht="11.25" customHeight="1" x14ac:dyDescent="0.25">
      <c r="A430" s="4" t="s">
        <v>21</v>
      </c>
      <c r="B430" s="4" t="s">
        <v>41</v>
      </c>
      <c r="C430" s="4" t="s">
        <v>62</v>
      </c>
      <c r="D430" s="4" t="s">
        <v>25</v>
      </c>
      <c r="E430" s="4" t="s">
        <v>25</v>
      </c>
      <c r="F430" s="4" t="s">
        <v>25</v>
      </c>
      <c r="G430" s="4" t="s">
        <v>63</v>
      </c>
      <c r="H430" s="4" t="s">
        <v>37</v>
      </c>
      <c r="I430" s="5">
        <v>44652</v>
      </c>
      <c r="J430" s="6">
        <v>1500</v>
      </c>
      <c r="K430" s="6">
        <v>1500</v>
      </c>
      <c r="L430" s="6">
        <v>751.74900000000002</v>
      </c>
      <c r="M430" s="6">
        <v>751.74900000000002</v>
      </c>
      <c r="N430" s="6">
        <v>0</v>
      </c>
      <c r="O430" s="6">
        <v>0</v>
      </c>
      <c r="P430" s="6">
        <v>0</v>
      </c>
      <c r="Q430" s="4" t="s">
        <v>64</v>
      </c>
      <c r="R430" s="4">
        <v>7019</v>
      </c>
      <c r="S430" s="6">
        <v>24</v>
      </c>
      <c r="T430" s="6">
        <v>25</v>
      </c>
      <c r="U430" s="6">
        <v>0</v>
      </c>
      <c r="V430" s="6">
        <f>IF(ISERROR(VLOOKUP($S$430,'TAR FIN'!$A$1:$O$115,15,0)),0,VLOOKUP($S$430,'TAR FIN'!$A$1:$O$115,15,0))</f>
        <v>7.64</v>
      </c>
      <c r="W430" s="6">
        <f>IF(ISERROR(VLOOKUP($T$430,'TAR FIN'!$A$1:$O$115,15,0)),0,VLOOKUP($T$430,'TAR FIN'!$A$1:$O$115,15,0))</f>
        <v>10.28</v>
      </c>
      <c r="X430" s="6">
        <f>IF(ISERROR(VLOOKUP($U$430,'TAR FIN'!$A$1:$O$115,15,0)),0,VLOOKUP($U$430,'TAR FIN'!$A$1:$O$115,15,0))</f>
        <v>0</v>
      </c>
      <c r="Y430" s="6">
        <f ca="1">('TUSD BE'!$AM$24+'TUSD BF'!$AM$24+'TUSD CVA'!$AM$24)*1</f>
        <v>9.6081279297339091</v>
      </c>
      <c r="Z430" s="6">
        <f ca="1">('TUSD BE'!$AM$25+'TUSD BF'!$AM$25+'TUSD CVA'!$AM$25)*1</f>
        <v>15.91855481032834</v>
      </c>
      <c r="AA430" s="6">
        <f>('TE BE'!$AB$16+'TE BF'!$AB$16+'TE CVA'!$AB$16)*1</f>
        <v>220.39434315508052</v>
      </c>
      <c r="AB430" s="6">
        <f>$K$430*$V$430</f>
        <v>11460</v>
      </c>
      <c r="AC430" s="6">
        <f>$M$430*$W$430</f>
        <v>7727.9797199999994</v>
      </c>
      <c r="AD430" s="6">
        <f>$O$430*$X$430</f>
        <v>0</v>
      </c>
      <c r="AE430" s="6">
        <f ca="1">$K$430*$Y$430</f>
        <v>14412.191894600863</v>
      </c>
      <c r="AF430" s="6">
        <f ca="1">$M$430*$Z$430</f>
        <v>11966.757660109519</v>
      </c>
      <c r="AG430" s="6">
        <f>$O$430*$AA$430</f>
        <v>0</v>
      </c>
    </row>
    <row r="431" spans="1:33" ht="11.25" customHeight="1" x14ac:dyDescent="0.25">
      <c r="A431" s="4" t="s">
        <v>21</v>
      </c>
      <c r="B431" s="4" t="s">
        <v>41</v>
      </c>
      <c r="C431" s="4" t="s">
        <v>62</v>
      </c>
      <c r="D431" s="4" t="s">
        <v>25</v>
      </c>
      <c r="E431" s="4" t="s">
        <v>25</v>
      </c>
      <c r="F431" s="4" t="s">
        <v>25</v>
      </c>
      <c r="G431" s="4" t="s">
        <v>63</v>
      </c>
      <c r="H431" s="4" t="s">
        <v>37</v>
      </c>
      <c r="I431" s="5">
        <v>44682</v>
      </c>
      <c r="J431" s="6">
        <v>1657</v>
      </c>
      <c r="K431" s="6">
        <v>1657</v>
      </c>
      <c r="L431" s="6">
        <v>747.19600000000003</v>
      </c>
      <c r="M431" s="6">
        <v>747.19600000000003</v>
      </c>
      <c r="N431" s="6">
        <v>0</v>
      </c>
      <c r="O431" s="6">
        <v>0</v>
      </c>
      <c r="P431" s="6">
        <v>0</v>
      </c>
      <c r="Q431" s="4" t="s">
        <v>64</v>
      </c>
      <c r="R431" s="4">
        <v>7019</v>
      </c>
      <c r="S431" s="6">
        <v>24</v>
      </c>
      <c r="T431" s="6">
        <v>25</v>
      </c>
      <c r="U431" s="6">
        <v>0</v>
      </c>
      <c r="V431" s="6">
        <f>IF(ISERROR(VLOOKUP($S$431,'TAR FIN'!$A$1:$O$115,15,0)),0,VLOOKUP($S$431,'TAR FIN'!$A$1:$O$115,15,0))</f>
        <v>7.64</v>
      </c>
      <c r="W431" s="6">
        <f>IF(ISERROR(VLOOKUP($T$431,'TAR FIN'!$A$1:$O$115,15,0)),0,VLOOKUP($T$431,'TAR FIN'!$A$1:$O$115,15,0))</f>
        <v>10.28</v>
      </c>
      <c r="X431" s="6">
        <f>IF(ISERROR(VLOOKUP($U$431,'TAR FIN'!$A$1:$O$115,15,0)),0,VLOOKUP($U$431,'TAR FIN'!$A$1:$O$115,15,0))</f>
        <v>0</v>
      </c>
      <c r="Y431" s="6">
        <f ca="1">('TUSD BE'!$AM$24+'TUSD BF'!$AM$24+'TUSD CVA'!$AM$24)*1</f>
        <v>9.6081279297339091</v>
      </c>
      <c r="Z431" s="6">
        <f ca="1">('TUSD BE'!$AM$25+'TUSD BF'!$AM$25+'TUSD CVA'!$AM$25)*1</f>
        <v>15.91855481032834</v>
      </c>
      <c r="AA431" s="6">
        <f>('TE BE'!$AB$16+'TE BF'!$AB$16+'TE CVA'!$AB$16)*1</f>
        <v>220.39434315508052</v>
      </c>
      <c r="AB431" s="6">
        <f>$K$431*$V$431</f>
        <v>12659.48</v>
      </c>
      <c r="AC431" s="6">
        <f>$M$431*$W$431</f>
        <v>7681.1748799999996</v>
      </c>
      <c r="AD431" s="6">
        <f>$O$431*$X$431</f>
        <v>0</v>
      </c>
      <c r="AE431" s="6">
        <f ca="1">$K$431*$Y$431</f>
        <v>15920.667979569087</v>
      </c>
      <c r="AF431" s="6">
        <f ca="1">$M$431*$Z$431</f>
        <v>11894.280480058094</v>
      </c>
      <c r="AG431" s="6">
        <f>$O$431*$AA$431</f>
        <v>0</v>
      </c>
    </row>
    <row r="432" spans="1:33" ht="11.25" customHeight="1" x14ac:dyDescent="0.25">
      <c r="A432" s="4" t="s">
        <v>21</v>
      </c>
      <c r="B432" s="4" t="s">
        <v>41</v>
      </c>
      <c r="C432" s="4" t="s">
        <v>62</v>
      </c>
      <c r="D432" s="4" t="s">
        <v>25</v>
      </c>
      <c r="E432" s="4" t="s">
        <v>25</v>
      </c>
      <c r="F432" s="4" t="s">
        <v>25</v>
      </c>
      <c r="G432" s="4" t="s">
        <v>63</v>
      </c>
      <c r="H432" s="4" t="s">
        <v>37</v>
      </c>
      <c r="I432" s="5">
        <v>44713</v>
      </c>
      <c r="J432" s="6">
        <v>1523</v>
      </c>
      <c r="K432" s="6">
        <v>1523</v>
      </c>
      <c r="L432" s="6">
        <v>757.09199999999998</v>
      </c>
      <c r="M432" s="6">
        <v>757.09199999999998</v>
      </c>
      <c r="N432" s="6">
        <v>0</v>
      </c>
      <c r="O432" s="6">
        <v>0</v>
      </c>
      <c r="P432" s="6">
        <v>0</v>
      </c>
      <c r="Q432" s="4" t="s">
        <v>64</v>
      </c>
      <c r="R432" s="4">
        <v>7019</v>
      </c>
      <c r="S432" s="6">
        <v>24</v>
      </c>
      <c r="T432" s="6">
        <v>25</v>
      </c>
      <c r="U432" s="6">
        <v>0</v>
      </c>
      <c r="V432" s="6">
        <f>IF(ISERROR(VLOOKUP($S$432,'TAR FIN'!$A$1:$O$115,15,0)),0,VLOOKUP($S$432,'TAR FIN'!$A$1:$O$115,15,0))</f>
        <v>7.64</v>
      </c>
      <c r="W432" s="6">
        <f>IF(ISERROR(VLOOKUP($T$432,'TAR FIN'!$A$1:$O$115,15,0)),0,VLOOKUP($T$432,'TAR FIN'!$A$1:$O$115,15,0))</f>
        <v>10.28</v>
      </c>
      <c r="X432" s="6">
        <f>IF(ISERROR(VLOOKUP($U$432,'TAR FIN'!$A$1:$O$115,15,0)),0,VLOOKUP($U$432,'TAR FIN'!$A$1:$O$115,15,0))</f>
        <v>0</v>
      </c>
      <c r="Y432" s="6">
        <f ca="1">('TUSD BE'!$AM$24+'TUSD BF'!$AM$24+'TUSD CVA'!$AM$24)*1</f>
        <v>9.6081279297339091</v>
      </c>
      <c r="Z432" s="6">
        <f ca="1">('TUSD BE'!$AM$25+'TUSD BF'!$AM$25+'TUSD CVA'!$AM$25)*1</f>
        <v>15.91855481032834</v>
      </c>
      <c r="AA432" s="6">
        <f>('TE BE'!$AB$16+'TE BF'!$AB$16+'TE CVA'!$AB$16)*1</f>
        <v>220.39434315508052</v>
      </c>
      <c r="AB432" s="6">
        <f>$K$432*$V$432</f>
        <v>11635.72</v>
      </c>
      <c r="AC432" s="6">
        <f>$M$432*$W$432</f>
        <v>7782.9057599999996</v>
      </c>
      <c r="AD432" s="6">
        <f>$O$432*$X$432</f>
        <v>0</v>
      </c>
      <c r="AE432" s="6">
        <f ca="1">$K$432*$Y$432</f>
        <v>14633.178836984744</v>
      </c>
      <c r="AF432" s="6">
        <f ca="1">$M$432*$Z$432</f>
        <v>12051.810498461104</v>
      </c>
      <c r="AG432" s="6">
        <f>$O$432*$AA$432</f>
        <v>0</v>
      </c>
    </row>
    <row r="433" spans="1:33" ht="11.25" customHeight="1" x14ac:dyDescent="0.25">
      <c r="A433" s="4" t="s">
        <v>21</v>
      </c>
      <c r="B433" s="4" t="s">
        <v>41</v>
      </c>
      <c r="C433" s="4" t="s">
        <v>62</v>
      </c>
      <c r="D433" s="4" t="s">
        <v>25</v>
      </c>
      <c r="E433" s="4" t="s">
        <v>25</v>
      </c>
      <c r="F433" s="4" t="s">
        <v>25</v>
      </c>
      <c r="G433" s="4" t="s">
        <v>63</v>
      </c>
      <c r="H433" s="4" t="s">
        <v>37</v>
      </c>
      <c r="I433" s="5">
        <v>44743</v>
      </c>
      <c r="J433" s="6">
        <v>1456</v>
      </c>
      <c r="K433" s="6">
        <v>1456</v>
      </c>
      <c r="L433" s="6">
        <v>711.88800000000003</v>
      </c>
      <c r="M433" s="6">
        <v>711.88800000000003</v>
      </c>
      <c r="N433" s="6">
        <v>0</v>
      </c>
      <c r="O433" s="6">
        <v>0</v>
      </c>
      <c r="P433" s="6">
        <v>0</v>
      </c>
      <c r="Q433" s="4" t="s">
        <v>64</v>
      </c>
      <c r="R433" s="4">
        <v>7019</v>
      </c>
      <c r="S433" s="6">
        <v>24</v>
      </c>
      <c r="T433" s="6">
        <v>25</v>
      </c>
      <c r="U433" s="6">
        <v>0</v>
      </c>
      <c r="V433" s="6">
        <f>IF(ISERROR(VLOOKUP($S$433,'TAR FIN'!$A$1:$O$115,15,0)),0,VLOOKUP($S$433,'TAR FIN'!$A$1:$O$115,15,0))</f>
        <v>7.64</v>
      </c>
      <c r="W433" s="6">
        <f>IF(ISERROR(VLOOKUP($T$433,'TAR FIN'!$A$1:$O$115,15,0)),0,VLOOKUP($T$433,'TAR FIN'!$A$1:$O$115,15,0))</f>
        <v>10.28</v>
      </c>
      <c r="X433" s="6">
        <f>IF(ISERROR(VLOOKUP($U$433,'TAR FIN'!$A$1:$O$115,15,0)),0,VLOOKUP($U$433,'TAR FIN'!$A$1:$O$115,15,0))</f>
        <v>0</v>
      </c>
      <c r="Y433" s="6">
        <f ca="1">('TUSD BE'!$AM$24+'TUSD BF'!$AM$24+'TUSD CVA'!$AM$24)*1</f>
        <v>9.6081279297339091</v>
      </c>
      <c r="Z433" s="6">
        <f ca="1">('TUSD BE'!$AM$25+'TUSD BF'!$AM$25+'TUSD CVA'!$AM$25)*1</f>
        <v>15.91855481032834</v>
      </c>
      <c r="AA433" s="6">
        <f>('TE BE'!$AB$16+'TE BF'!$AB$16+'TE CVA'!$AB$16)*1</f>
        <v>220.39434315508052</v>
      </c>
      <c r="AB433" s="6">
        <f>$K$433*$V$433</f>
        <v>11123.84</v>
      </c>
      <c r="AC433" s="6">
        <f>$M$433*$W$433</f>
        <v>7318.2086399999998</v>
      </c>
      <c r="AD433" s="6">
        <f>$O$433*$X$433</f>
        <v>0</v>
      </c>
      <c r="AE433" s="6">
        <f ca="1">$K$433*$Y$433</f>
        <v>13989.434265692571</v>
      </c>
      <c r="AF433" s="6">
        <f ca="1">$M$433*$Z$433</f>
        <v>11332.228146815021</v>
      </c>
      <c r="AG433" s="6">
        <f>$O$433*$AA$433</f>
        <v>0</v>
      </c>
    </row>
    <row r="434" spans="1:33" ht="11.25" customHeight="1" x14ac:dyDescent="0.25">
      <c r="A434" s="4" t="s">
        <v>21</v>
      </c>
      <c r="B434" s="4" t="s">
        <v>41</v>
      </c>
      <c r="C434" s="4" t="s">
        <v>62</v>
      </c>
      <c r="D434" s="4" t="s">
        <v>25</v>
      </c>
      <c r="E434" s="4" t="s">
        <v>25</v>
      </c>
      <c r="F434" s="4" t="s">
        <v>25</v>
      </c>
      <c r="G434" s="4" t="s">
        <v>63</v>
      </c>
      <c r="H434" s="4" t="s">
        <v>37</v>
      </c>
      <c r="I434" s="5">
        <v>44774</v>
      </c>
      <c r="J434" s="6">
        <v>1568</v>
      </c>
      <c r="K434" s="6">
        <v>1568</v>
      </c>
      <c r="L434" s="6">
        <v>766.42700000000002</v>
      </c>
      <c r="M434" s="6">
        <v>766.42700000000002</v>
      </c>
      <c r="N434" s="6">
        <v>0</v>
      </c>
      <c r="O434" s="6">
        <v>0</v>
      </c>
      <c r="P434" s="6">
        <v>0</v>
      </c>
      <c r="Q434" s="4" t="s">
        <v>64</v>
      </c>
      <c r="R434" s="4">
        <v>7019</v>
      </c>
      <c r="S434" s="6">
        <v>24</v>
      </c>
      <c r="T434" s="6">
        <v>25</v>
      </c>
      <c r="U434" s="6">
        <v>0</v>
      </c>
      <c r="V434" s="6">
        <f>IF(ISERROR(VLOOKUP($S$434,'TAR FIN'!$A$1:$O$115,15,0)),0,VLOOKUP($S$434,'TAR FIN'!$A$1:$O$115,15,0))</f>
        <v>7.64</v>
      </c>
      <c r="W434" s="6">
        <f>IF(ISERROR(VLOOKUP($T$434,'TAR FIN'!$A$1:$O$115,15,0)),0,VLOOKUP($T$434,'TAR FIN'!$A$1:$O$115,15,0))</f>
        <v>10.28</v>
      </c>
      <c r="X434" s="6">
        <f>IF(ISERROR(VLOOKUP($U$434,'TAR FIN'!$A$1:$O$115,15,0)),0,VLOOKUP($U$434,'TAR FIN'!$A$1:$O$115,15,0))</f>
        <v>0</v>
      </c>
      <c r="Y434" s="6">
        <f ca="1">('TUSD BE'!$AM$24+'TUSD BF'!$AM$24+'TUSD CVA'!$AM$24)*1</f>
        <v>9.6081279297339091</v>
      </c>
      <c r="Z434" s="6">
        <f ca="1">('TUSD BE'!$AM$25+'TUSD BF'!$AM$25+'TUSD CVA'!$AM$25)*1</f>
        <v>15.91855481032834</v>
      </c>
      <c r="AA434" s="6">
        <f>('TE BE'!$AB$16+'TE BF'!$AB$16+'TE CVA'!$AB$16)*1</f>
        <v>220.39434315508052</v>
      </c>
      <c r="AB434" s="6">
        <f>$K$434*$V$434</f>
        <v>11979.519999999999</v>
      </c>
      <c r="AC434" s="6">
        <f>$M$434*$W$434</f>
        <v>7878.8695600000001</v>
      </c>
      <c r="AD434" s="6">
        <f>$O$434*$X$434</f>
        <v>0</v>
      </c>
      <c r="AE434" s="6">
        <f ca="1">$K$434*$Y$434</f>
        <v>15065.544593822769</v>
      </c>
      <c r="AF434" s="6">
        <f ca="1">$M$434*$Z$434</f>
        <v>12200.41020761552</v>
      </c>
      <c r="AG434" s="6">
        <f>$O$434*$AA$434</f>
        <v>0</v>
      </c>
    </row>
    <row r="435" spans="1:33" ht="11.25" customHeight="1" x14ac:dyDescent="0.25">
      <c r="A435" s="4" t="s">
        <v>21</v>
      </c>
      <c r="B435" s="4" t="s">
        <v>41</v>
      </c>
      <c r="C435" s="4" t="s">
        <v>62</v>
      </c>
      <c r="D435" s="4" t="s">
        <v>25</v>
      </c>
      <c r="E435" s="4" t="s">
        <v>25</v>
      </c>
      <c r="F435" s="4" t="s">
        <v>25</v>
      </c>
      <c r="G435" s="4" t="s">
        <v>63</v>
      </c>
      <c r="H435" s="4" t="s">
        <v>37</v>
      </c>
      <c r="I435" s="5">
        <v>44805</v>
      </c>
      <c r="J435" s="6">
        <v>1680</v>
      </c>
      <c r="K435" s="6">
        <v>1680</v>
      </c>
      <c r="L435" s="6">
        <v>775.72900000000004</v>
      </c>
      <c r="M435" s="6">
        <v>775.72900000000004</v>
      </c>
      <c r="N435" s="6">
        <v>0</v>
      </c>
      <c r="O435" s="6">
        <v>0</v>
      </c>
      <c r="P435" s="6">
        <v>0</v>
      </c>
      <c r="Q435" s="4" t="s">
        <v>64</v>
      </c>
      <c r="R435" s="4">
        <v>7019</v>
      </c>
      <c r="S435" s="6">
        <v>24</v>
      </c>
      <c r="T435" s="6">
        <v>25</v>
      </c>
      <c r="U435" s="6">
        <v>0</v>
      </c>
      <c r="V435" s="6">
        <f>IF(ISERROR(VLOOKUP($S$435,'TAR FIN'!$A$1:$O$115,15,0)),0,VLOOKUP($S$435,'TAR FIN'!$A$1:$O$115,15,0))</f>
        <v>7.64</v>
      </c>
      <c r="W435" s="6">
        <f>IF(ISERROR(VLOOKUP($T$435,'TAR FIN'!$A$1:$O$115,15,0)),0,VLOOKUP($T$435,'TAR FIN'!$A$1:$O$115,15,0))</f>
        <v>10.28</v>
      </c>
      <c r="X435" s="6">
        <f>IF(ISERROR(VLOOKUP($U$435,'TAR FIN'!$A$1:$O$115,15,0)),0,VLOOKUP($U$435,'TAR FIN'!$A$1:$O$115,15,0))</f>
        <v>0</v>
      </c>
      <c r="Y435" s="6">
        <f ca="1">('TUSD BE'!$AM$24+'TUSD BF'!$AM$24+'TUSD CVA'!$AM$24)*1</f>
        <v>9.6081279297339091</v>
      </c>
      <c r="Z435" s="6">
        <f ca="1">('TUSD BE'!$AM$25+'TUSD BF'!$AM$25+'TUSD CVA'!$AM$25)*1</f>
        <v>15.91855481032834</v>
      </c>
      <c r="AA435" s="6">
        <f>('TE BE'!$AB$16+'TE BF'!$AB$16+'TE CVA'!$AB$16)*1</f>
        <v>220.39434315508052</v>
      </c>
      <c r="AB435" s="6">
        <f>$K$435*$V$435</f>
        <v>12835.199999999999</v>
      </c>
      <c r="AC435" s="6">
        <f>$M$435*$W$435</f>
        <v>7974.4941200000003</v>
      </c>
      <c r="AD435" s="6">
        <f>$O$435*$X$435</f>
        <v>0</v>
      </c>
      <c r="AE435" s="6">
        <f ca="1">$K$435*$Y$435</f>
        <v>16141.654921952968</v>
      </c>
      <c r="AF435" s="6">
        <f ca="1">$M$435*$Z$435</f>
        <v>12348.484604461193</v>
      </c>
      <c r="AG435" s="6">
        <f>$O$435*$AA$435</f>
        <v>0</v>
      </c>
    </row>
    <row r="436" spans="1:33" ht="11.25" customHeight="1" x14ac:dyDescent="0.25">
      <c r="A436" s="4" t="s">
        <v>21</v>
      </c>
      <c r="B436" s="4" t="s">
        <v>41</v>
      </c>
      <c r="C436" s="4" t="s">
        <v>62</v>
      </c>
      <c r="D436" s="4" t="s">
        <v>25</v>
      </c>
      <c r="E436" s="4" t="s">
        <v>25</v>
      </c>
      <c r="F436" s="4" t="s">
        <v>25</v>
      </c>
      <c r="G436" s="4" t="s">
        <v>63</v>
      </c>
      <c r="H436" s="4" t="s">
        <v>37</v>
      </c>
      <c r="I436" s="5">
        <v>44835</v>
      </c>
      <c r="J436" s="6">
        <v>1826</v>
      </c>
      <c r="K436" s="6">
        <v>1826</v>
      </c>
      <c r="L436" s="6">
        <v>828.01499999999999</v>
      </c>
      <c r="M436" s="6">
        <v>828.01499999999999</v>
      </c>
      <c r="N436" s="6">
        <v>0</v>
      </c>
      <c r="O436" s="6">
        <v>0</v>
      </c>
      <c r="P436" s="6">
        <v>0</v>
      </c>
      <c r="Q436" s="4" t="s">
        <v>64</v>
      </c>
      <c r="R436" s="4">
        <v>7019</v>
      </c>
      <c r="S436" s="6">
        <v>24</v>
      </c>
      <c r="T436" s="6">
        <v>25</v>
      </c>
      <c r="U436" s="6">
        <v>0</v>
      </c>
      <c r="V436" s="6">
        <f>IF(ISERROR(VLOOKUP($S$436,'TAR FIN'!$A$1:$O$115,15,0)),0,VLOOKUP($S$436,'TAR FIN'!$A$1:$O$115,15,0))</f>
        <v>7.64</v>
      </c>
      <c r="W436" s="6">
        <f>IF(ISERROR(VLOOKUP($T$436,'TAR FIN'!$A$1:$O$115,15,0)),0,VLOOKUP($T$436,'TAR FIN'!$A$1:$O$115,15,0))</f>
        <v>10.28</v>
      </c>
      <c r="X436" s="6">
        <f>IF(ISERROR(VLOOKUP($U$436,'TAR FIN'!$A$1:$O$115,15,0)),0,VLOOKUP($U$436,'TAR FIN'!$A$1:$O$115,15,0))</f>
        <v>0</v>
      </c>
      <c r="Y436" s="6">
        <f ca="1">('TUSD BE'!$AM$24+'TUSD BF'!$AM$24+'TUSD CVA'!$AM$24)*1</f>
        <v>9.6081279297339091</v>
      </c>
      <c r="Z436" s="6">
        <f ca="1">('TUSD BE'!$AM$25+'TUSD BF'!$AM$25+'TUSD CVA'!$AM$25)*1</f>
        <v>15.91855481032834</v>
      </c>
      <c r="AA436" s="6">
        <f>('TE BE'!$AB$16+'TE BF'!$AB$16+'TE CVA'!$AB$16)*1</f>
        <v>220.39434315508052</v>
      </c>
      <c r="AB436" s="6">
        <f>$K$436*$V$436</f>
        <v>13950.64</v>
      </c>
      <c r="AC436" s="6">
        <f>$M$436*$W$436</f>
        <v>8511.9941999999992</v>
      </c>
      <c r="AD436" s="6">
        <f>$O$436*$X$436</f>
        <v>0</v>
      </c>
      <c r="AE436" s="6">
        <f ca="1">$K$436*$Y$436</f>
        <v>17544.441599694117</v>
      </c>
      <c r="AF436" s="6">
        <f ca="1">$M$436*$Z$436</f>
        <v>13180.802161274019</v>
      </c>
      <c r="AG436" s="6">
        <f>$O$436*$AA$436</f>
        <v>0</v>
      </c>
    </row>
    <row r="437" spans="1:33" ht="11.25" customHeight="1" x14ac:dyDescent="0.25">
      <c r="A437" s="4" t="s">
        <v>59</v>
      </c>
      <c r="B437" s="4" t="s">
        <v>41</v>
      </c>
      <c r="C437" s="4" t="s">
        <v>62</v>
      </c>
      <c r="D437" s="4" t="s">
        <v>25</v>
      </c>
      <c r="E437" s="4" t="s">
        <v>25</v>
      </c>
      <c r="F437" s="4" t="s">
        <v>25</v>
      </c>
      <c r="G437" s="4" t="s">
        <v>63</v>
      </c>
      <c r="H437" s="4" t="s">
        <v>37</v>
      </c>
      <c r="I437" s="5">
        <v>44866</v>
      </c>
      <c r="J437" s="6">
        <v>1826</v>
      </c>
      <c r="K437" s="6">
        <v>1826</v>
      </c>
      <c r="L437" s="6">
        <v>828.01499999999999</v>
      </c>
      <c r="M437" s="6">
        <v>828.01499999999999</v>
      </c>
      <c r="N437" s="6">
        <v>0</v>
      </c>
      <c r="O437" s="6">
        <v>0</v>
      </c>
      <c r="P437" s="6">
        <v>0</v>
      </c>
      <c r="Q437" s="4" t="s">
        <v>64</v>
      </c>
      <c r="R437" s="4">
        <v>7019</v>
      </c>
      <c r="S437" s="6">
        <v>24</v>
      </c>
      <c r="T437" s="6">
        <v>25</v>
      </c>
      <c r="U437" s="6">
        <v>0</v>
      </c>
      <c r="V437" s="6">
        <f>IF(ISERROR(VLOOKUP($S$437,'TAR FIN'!$A$1:$O$115,15,0)),0,VLOOKUP($S$437,'TAR FIN'!$A$1:$O$115,15,0))</f>
        <v>7.64</v>
      </c>
      <c r="W437" s="6">
        <f>IF(ISERROR(VLOOKUP($T$437,'TAR FIN'!$A$1:$O$115,15,0)),0,VLOOKUP($T$437,'TAR FIN'!$A$1:$O$115,15,0))</f>
        <v>10.28</v>
      </c>
      <c r="X437" s="6">
        <f>IF(ISERROR(VLOOKUP($U$437,'TAR FIN'!$A$1:$O$115,15,0)),0,VLOOKUP($U$437,'TAR FIN'!$A$1:$O$115,15,0))</f>
        <v>0</v>
      </c>
      <c r="Y437" s="6">
        <f ca="1">('TUSD BE'!$AM$24+'TUSD BF'!$AM$24+'TUSD CVA'!$AM$24)*1</f>
        <v>9.6081279297339091</v>
      </c>
      <c r="Z437" s="6">
        <f ca="1">('TUSD BE'!$AM$25+'TUSD BF'!$AM$25+'TUSD CVA'!$AM$25)*1</f>
        <v>15.91855481032834</v>
      </c>
      <c r="AA437" s="6">
        <f>('TE BE'!$AB$16+'TE BF'!$AB$16+'TE CVA'!$AB$16)*1</f>
        <v>220.39434315508052</v>
      </c>
      <c r="AB437" s="6">
        <f>$K$437*$V$437</f>
        <v>13950.64</v>
      </c>
      <c r="AC437" s="6">
        <f>$M$437*$W$437</f>
        <v>8511.9941999999992</v>
      </c>
      <c r="AD437" s="6">
        <f>$O$437*$X$437</f>
        <v>0</v>
      </c>
      <c r="AE437" s="6">
        <f ca="1">$K$437*$Y$437</f>
        <v>17544.441599694117</v>
      </c>
      <c r="AF437" s="6">
        <f ca="1">$M$437*$Z$437</f>
        <v>13180.802161274019</v>
      </c>
      <c r="AG437" s="6">
        <f>$O$437*$AA$437</f>
        <v>0</v>
      </c>
    </row>
    <row r="438" spans="1:33" ht="11.25" customHeight="1" x14ac:dyDescent="0.25">
      <c r="A438" s="4" t="s">
        <v>21</v>
      </c>
      <c r="B438" s="4" t="s">
        <v>41</v>
      </c>
      <c r="C438" s="4" t="s">
        <v>62</v>
      </c>
      <c r="D438" s="4" t="s">
        <v>25</v>
      </c>
      <c r="E438" s="4" t="s">
        <v>25</v>
      </c>
      <c r="F438" s="4" t="s">
        <v>25</v>
      </c>
      <c r="G438" s="4" t="s">
        <v>63</v>
      </c>
      <c r="H438" s="4" t="s">
        <v>25</v>
      </c>
      <c r="I438" s="5">
        <v>44531</v>
      </c>
      <c r="J438" s="6">
        <v>0</v>
      </c>
      <c r="K438" s="6">
        <v>0</v>
      </c>
      <c r="L438" s="6">
        <v>0</v>
      </c>
      <c r="M438" s="6">
        <v>0</v>
      </c>
      <c r="N438" s="6">
        <v>763.34699999999998</v>
      </c>
      <c r="O438" s="6">
        <v>763.34699999999998</v>
      </c>
      <c r="P438" s="6">
        <v>0</v>
      </c>
      <c r="Q438" s="4" t="s">
        <v>64</v>
      </c>
      <c r="R438" s="4">
        <v>7019</v>
      </c>
      <c r="S438" s="6">
        <v>0</v>
      </c>
      <c r="T438" s="6">
        <v>0</v>
      </c>
      <c r="U438" s="6">
        <v>79</v>
      </c>
      <c r="V438" s="6">
        <f>IF(ISERROR(VLOOKUP($S$438,'TAR FIN'!$A$1:$O$115,15,0)),0,VLOOKUP($S$438,'TAR FIN'!$A$1:$O$115,15,0))</f>
        <v>0</v>
      </c>
      <c r="W438" s="6">
        <f>IF(ISERROR(VLOOKUP($T$438,'TAR FIN'!$A$1:$O$115,15,0)),0,VLOOKUP($T$438,'TAR FIN'!$A$1:$O$115,15,0))</f>
        <v>0</v>
      </c>
      <c r="X438" s="6">
        <f>IF(ISERROR(VLOOKUP($U$438,'TAR FIN'!$A$1:$O$115,15,0)),0,VLOOKUP($U$438,'TAR FIN'!$A$1:$O$115,15,0))</f>
        <v>157.19999999999999</v>
      </c>
      <c r="Y438" s="6">
        <f ca="1">0.72*('TUSD BE'!$AM$23+'TUSD BF'!$AM$23+'TUSD CVA'!$AM$23)*1+('TUSD BE'!$AM$24+'TUSD BF'!$AM$24+'TUSD CVA'!$AM$24)*1</f>
        <v>23.06347892440748</v>
      </c>
      <c r="Z438" s="6">
        <f ca="1">('TUSD BE'!$AM$25+'TUSD BF'!$AM$25+'TUSD CVA'!$AM$25)*1</f>
        <v>15.91855481032834</v>
      </c>
      <c r="AA438" s="6">
        <f>('TE BE'!$AB$16+'TE BF'!$AB$16+'TE CVA'!$AB$16)*1</f>
        <v>220.39434315508052</v>
      </c>
      <c r="AB438" s="6">
        <f>$K$438*$V$438</f>
        <v>0</v>
      </c>
      <c r="AC438" s="6">
        <f>$M$438*$W$438</f>
        <v>0</v>
      </c>
      <c r="AD438" s="6">
        <f>$O$438*$X$438</f>
        <v>119998.14839999999</v>
      </c>
      <c r="AE438" s="6">
        <f ca="1">$K$438*$Y$438</f>
        <v>0</v>
      </c>
      <c r="AF438" s="6">
        <f ca="1">$M$438*$Z$438</f>
        <v>0</v>
      </c>
      <c r="AG438" s="6">
        <f>$O$438*$AA$438</f>
        <v>168237.36066440123</v>
      </c>
    </row>
    <row r="439" spans="1:33" ht="11.25" customHeight="1" x14ac:dyDescent="0.25">
      <c r="A439" s="4" t="s">
        <v>21</v>
      </c>
      <c r="B439" s="4" t="s">
        <v>41</v>
      </c>
      <c r="C439" s="4" t="s">
        <v>62</v>
      </c>
      <c r="D439" s="4" t="s">
        <v>25</v>
      </c>
      <c r="E439" s="4" t="s">
        <v>25</v>
      </c>
      <c r="F439" s="4" t="s">
        <v>25</v>
      </c>
      <c r="G439" s="4" t="s">
        <v>63</v>
      </c>
      <c r="H439" s="4" t="s">
        <v>25</v>
      </c>
      <c r="I439" s="5">
        <v>44562</v>
      </c>
      <c r="J439" s="6">
        <v>0</v>
      </c>
      <c r="K439" s="6">
        <v>0</v>
      </c>
      <c r="L439" s="6">
        <v>0</v>
      </c>
      <c r="M439" s="6">
        <v>0</v>
      </c>
      <c r="N439" s="6">
        <v>850.53300000000002</v>
      </c>
      <c r="O439" s="6">
        <v>850.53300000000002</v>
      </c>
      <c r="P439" s="6">
        <v>0</v>
      </c>
      <c r="Q439" s="4" t="s">
        <v>64</v>
      </c>
      <c r="R439" s="4">
        <v>7019</v>
      </c>
      <c r="S439" s="6">
        <v>0</v>
      </c>
      <c r="T439" s="6">
        <v>0</v>
      </c>
      <c r="U439" s="6">
        <v>79</v>
      </c>
      <c r="V439" s="6">
        <f>IF(ISERROR(VLOOKUP($S$439,'TAR FIN'!$A$1:$O$115,15,0)),0,VLOOKUP($S$439,'TAR FIN'!$A$1:$O$115,15,0))</f>
        <v>0</v>
      </c>
      <c r="W439" s="6">
        <f>IF(ISERROR(VLOOKUP($T$439,'TAR FIN'!$A$1:$O$115,15,0)),0,VLOOKUP($T$439,'TAR FIN'!$A$1:$O$115,15,0))</f>
        <v>0</v>
      </c>
      <c r="X439" s="6">
        <f>IF(ISERROR(VLOOKUP($U$439,'TAR FIN'!$A$1:$O$115,15,0)),0,VLOOKUP($U$439,'TAR FIN'!$A$1:$O$115,15,0))</f>
        <v>157.19999999999999</v>
      </c>
      <c r="Y439" s="6">
        <f ca="1">0.72*('TUSD BE'!$AM$23+'TUSD BF'!$AM$23+'TUSD CVA'!$AM$23)*1+('TUSD BE'!$AM$24+'TUSD BF'!$AM$24+'TUSD CVA'!$AM$24)*1</f>
        <v>23.06347892440748</v>
      </c>
      <c r="Z439" s="6">
        <f ca="1">('TUSD BE'!$AM$25+'TUSD BF'!$AM$25+'TUSD CVA'!$AM$25)*1</f>
        <v>15.91855481032834</v>
      </c>
      <c r="AA439" s="6">
        <f>('TE BE'!$AB$16+'TE BF'!$AB$16+'TE CVA'!$AB$16)*1</f>
        <v>220.39434315508052</v>
      </c>
      <c r="AB439" s="6">
        <f>$K$439*$V$439</f>
        <v>0</v>
      </c>
      <c r="AC439" s="6">
        <f>$M$439*$W$439</f>
        <v>0</v>
      </c>
      <c r="AD439" s="6">
        <f>$O$439*$X$439</f>
        <v>133703.78759999998</v>
      </c>
      <c r="AE439" s="6">
        <f ca="1">$K$439*$Y$439</f>
        <v>0</v>
      </c>
      <c r="AF439" s="6">
        <f ca="1">$M$439*$Z$439</f>
        <v>0</v>
      </c>
      <c r="AG439" s="6">
        <f>$O$439*$AA$439</f>
        <v>187452.6618667201</v>
      </c>
    </row>
    <row r="440" spans="1:33" ht="11.25" customHeight="1" x14ac:dyDescent="0.25">
      <c r="A440" s="4" t="s">
        <v>21</v>
      </c>
      <c r="B440" s="4" t="s">
        <v>41</v>
      </c>
      <c r="C440" s="4" t="s">
        <v>62</v>
      </c>
      <c r="D440" s="4" t="s">
        <v>25</v>
      </c>
      <c r="E440" s="4" t="s">
        <v>25</v>
      </c>
      <c r="F440" s="4" t="s">
        <v>25</v>
      </c>
      <c r="G440" s="4" t="s">
        <v>63</v>
      </c>
      <c r="H440" s="4" t="s">
        <v>25</v>
      </c>
      <c r="I440" s="5">
        <v>44593</v>
      </c>
      <c r="J440" s="6">
        <v>0</v>
      </c>
      <c r="K440" s="6">
        <v>0</v>
      </c>
      <c r="L440" s="6">
        <v>0</v>
      </c>
      <c r="M440" s="6">
        <v>0</v>
      </c>
      <c r="N440" s="6">
        <v>830.18299999999999</v>
      </c>
      <c r="O440" s="6">
        <v>830.18299999999999</v>
      </c>
      <c r="P440" s="6">
        <v>0</v>
      </c>
      <c r="Q440" s="4" t="s">
        <v>64</v>
      </c>
      <c r="R440" s="4">
        <v>7019</v>
      </c>
      <c r="S440" s="6">
        <v>0</v>
      </c>
      <c r="T440" s="6">
        <v>0</v>
      </c>
      <c r="U440" s="6">
        <v>79</v>
      </c>
      <c r="V440" s="6">
        <f>IF(ISERROR(VLOOKUP($S$440,'TAR FIN'!$A$1:$O$115,15,0)),0,VLOOKUP($S$440,'TAR FIN'!$A$1:$O$115,15,0))</f>
        <v>0</v>
      </c>
      <c r="W440" s="6">
        <f>IF(ISERROR(VLOOKUP($T$440,'TAR FIN'!$A$1:$O$115,15,0)),0,VLOOKUP($T$440,'TAR FIN'!$A$1:$O$115,15,0))</f>
        <v>0</v>
      </c>
      <c r="X440" s="6">
        <f>IF(ISERROR(VLOOKUP($U$440,'TAR FIN'!$A$1:$O$115,15,0)),0,VLOOKUP($U$440,'TAR FIN'!$A$1:$O$115,15,0))</f>
        <v>157.19999999999999</v>
      </c>
      <c r="Y440" s="6">
        <f ca="1">0.72*('TUSD BE'!$AM$23+'TUSD BF'!$AM$23+'TUSD CVA'!$AM$23)*1+('TUSD BE'!$AM$24+'TUSD BF'!$AM$24+'TUSD CVA'!$AM$24)*1</f>
        <v>23.06347892440748</v>
      </c>
      <c r="Z440" s="6">
        <f ca="1">('TUSD BE'!$AM$25+'TUSD BF'!$AM$25+'TUSD CVA'!$AM$25)*1</f>
        <v>15.91855481032834</v>
      </c>
      <c r="AA440" s="6">
        <f>('TE BE'!$AB$16+'TE BF'!$AB$16+'TE CVA'!$AB$16)*1</f>
        <v>220.39434315508052</v>
      </c>
      <c r="AB440" s="6">
        <f>$K$440*$V$440</f>
        <v>0</v>
      </c>
      <c r="AC440" s="6">
        <f>$M$440*$W$440</f>
        <v>0</v>
      </c>
      <c r="AD440" s="6">
        <f>$O$440*$X$440</f>
        <v>130504.76759999999</v>
      </c>
      <c r="AE440" s="6">
        <f ca="1">$K$440*$Y$440</f>
        <v>0</v>
      </c>
      <c r="AF440" s="6">
        <f ca="1">$M$440*$Z$440</f>
        <v>0</v>
      </c>
      <c r="AG440" s="6">
        <f>$O$440*$AA$440</f>
        <v>182967.63698351421</v>
      </c>
    </row>
    <row r="441" spans="1:33" ht="11.25" customHeight="1" x14ac:dyDescent="0.25">
      <c r="A441" s="4" t="s">
        <v>21</v>
      </c>
      <c r="B441" s="4" t="s">
        <v>41</v>
      </c>
      <c r="C441" s="4" t="s">
        <v>62</v>
      </c>
      <c r="D441" s="4" t="s">
        <v>25</v>
      </c>
      <c r="E441" s="4" t="s">
        <v>25</v>
      </c>
      <c r="F441" s="4" t="s">
        <v>25</v>
      </c>
      <c r="G441" s="4" t="s">
        <v>63</v>
      </c>
      <c r="H441" s="4" t="s">
        <v>25</v>
      </c>
      <c r="I441" s="5">
        <v>44621</v>
      </c>
      <c r="J441" s="6">
        <v>0</v>
      </c>
      <c r="K441" s="6">
        <v>0</v>
      </c>
      <c r="L441" s="6">
        <v>0</v>
      </c>
      <c r="M441" s="6">
        <v>0</v>
      </c>
      <c r="N441" s="6">
        <v>745.49400000000003</v>
      </c>
      <c r="O441" s="6">
        <v>745.49400000000003</v>
      </c>
      <c r="P441" s="6">
        <v>0</v>
      </c>
      <c r="Q441" s="4" t="s">
        <v>64</v>
      </c>
      <c r="R441" s="4">
        <v>7019</v>
      </c>
      <c r="S441" s="6">
        <v>0</v>
      </c>
      <c r="T441" s="6">
        <v>0</v>
      </c>
      <c r="U441" s="6">
        <v>79</v>
      </c>
      <c r="V441" s="6">
        <f>IF(ISERROR(VLOOKUP($S$441,'TAR FIN'!$A$1:$O$115,15,0)),0,VLOOKUP($S$441,'TAR FIN'!$A$1:$O$115,15,0))</f>
        <v>0</v>
      </c>
      <c r="W441" s="6">
        <f>IF(ISERROR(VLOOKUP($T$441,'TAR FIN'!$A$1:$O$115,15,0)),0,VLOOKUP($T$441,'TAR FIN'!$A$1:$O$115,15,0))</f>
        <v>0</v>
      </c>
      <c r="X441" s="6">
        <f>IF(ISERROR(VLOOKUP($U$441,'TAR FIN'!$A$1:$O$115,15,0)),0,VLOOKUP($U$441,'TAR FIN'!$A$1:$O$115,15,0))</f>
        <v>157.19999999999999</v>
      </c>
      <c r="Y441" s="6">
        <f ca="1">0.72*('TUSD BE'!$AM$23+'TUSD BF'!$AM$23+'TUSD CVA'!$AM$23)*1+('TUSD BE'!$AM$24+'TUSD BF'!$AM$24+'TUSD CVA'!$AM$24)*1</f>
        <v>23.06347892440748</v>
      </c>
      <c r="Z441" s="6">
        <f ca="1">('TUSD BE'!$AM$25+'TUSD BF'!$AM$25+'TUSD CVA'!$AM$25)*1</f>
        <v>15.91855481032834</v>
      </c>
      <c r="AA441" s="6">
        <f>('TE BE'!$AB$16+'TE BF'!$AB$16+'TE CVA'!$AB$16)*1</f>
        <v>220.39434315508052</v>
      </c>
      <c r="AB441" s="6">
        <f>$K$441*$V$441</f>
        <v>0</v>
      </c>
      <c r="AC441" s="6">
        <f>$M$441*$W$441</f>
        <v>0</v>
      </c>
      <c r="AD441" s="6">
        <f>$O$441*$X$441</f>
        <v>117191.6568</v>
      </c>
      <c r="AE441" s="6">
        <f ca="1">$K$441*$Y$441</f>
        <v>0</v>
      </c>
      <c r="AF441" s="6">
        <f ca="1">$M$441*$Z$441</f>
        <v>0</v>
      </c>
      <c r="AG441" s="6">
        <f>$O$441*$AA$441</f>
        <v>164302.66045605359</v>
      </c>
    </row>
    <row r="442" spans="1:33" ht="11.25" customHeight="1" x14ac:dyDescent="0.25">
      <c r="A442" s="4" t="s">
        <v>21</v>
      </c>
      <c r="B442" s="4" t="s">
        <v>41</v>
      </c>
      <c r="C442" s="4" t="s">
        <v>62</v>
      </c>
      <c r="D442" s="4" t="s">
        <v>25</v>
      </c>
      <c r="E442" s="4" t="s">
        <v>25</v>
      </c>
      <c r="F442" s="4" t="s">
        <v>25</v>
      </c>
      <c r="G442" s="4" t="s">
        <v>63</v>
      </c>
      <c r="H442" s="4" t="s">
        <v>25</v>
      </c>
      <c r="I442" s="5">
        <v>44652</v>
      </c>
      <c r="J442" s="6">
        <v>0</v>
      </c>
      <c r="K442" s="6">
        <v>0</v>
      </c>
      <c r="L442" s="6">
        <v>0</v>
      </c>
      <c r="M442" s="6">
        <v>0</v>
      </c>
      <c r="N442" s="6">
        <v>836.30399999999997</v>
      </c>
      <c r="O442" s="6">
        <v>836.30399999999997</v>
      </c>
      <c r="P442" s="6">
        <v>0</v>
      </c>
      <c r="Q442" s="4" t="s">
        <v>64</v>
      </c>
      <c r="R442" s="4">
        <v>7019</v>
      </c>
      <c r="S442" s="6">
        <v>0</v>
      </c>
      <c r="T442" s="6">
        <v>0</v>
      </c>
      <c r="U442" s="6">
        <v>79</v>
      </c>
      <c r="V442" s="6">
        <f>IF(ISERROR(VLOOKUP($S$442,'TAR FIN'!$A$1:$O$115,15,0)),0,VLOOKUP($S$442,'TAR FIN'!$A$1:$O$115,15,0))</f>
        <v>0</v>
      </c>
      <c r="W442" s="6">
        <f>IF(ISERROR(VLOOKUP($T$442,'TAR FIN'!$A$1:$O$115,15,0)),0,VLOOKUP($T$442,'TAR FIN'!$A$1:$O$115,15,0))</f>
        <v>0</v>
      </c>
      <c r="X442" s="6">
        <f>IF(ISERROR(VLOOKUP($U$442,'TAR FIN'!$A$1:$O$115,15,0)),0,VLOOKUP($U$442,'TAR FIN'!$A$1:$O$115,15,0))</f>
        <v>157.19999999999999</v>
      </c>
      <c r="Y442" s="6">
        <f ca="1">0.72*('TUSD BE'!$AM$23+'TUSD BF'!$AM$23+'TUSD CVA'!$AM$23)*1+('TUSD BE'!$AM$24+'TUSD BF'!$AM$24+'TUSD CVA'!$AM$24)*1</f>
        <v>23.06347892440748</v>
      </c>
      <c r="Z442" s="6">
        <f ca="1">('TUSD BE'!$AM$25+'TUSD BF'!$AM$25+'TUSD CVA'!$AM$25)*1</f>
        <v>15.91855481032834</v>
      </c>
      <c r="AA442" s="6">
        <f>('TE BE'!$AB$16+'TE BF'!$AB$16+'TE CVA'!$AB$16)*1</f>
        <v>220.39434315508052</v>
      </c>
      <c r="AB442" s="6">
        <f>$K$442*$V$442</f>
        <v>0</v>
      </c>
      <c r="AC442" s="6">
        <f>$M$442*$W$442</f>
        <v>0</v>
      </c>
      <c r="AD442" s="6">
        <f>$O$442*$X$442</f>
        <v>131466.98879999999</v>
      </c>
      <c r="AE442" s="6">
        <f ca="1">$K$442*$Y$442</f>
        <v>0</v>
      </c>
      <c r="AF442" s="6">
        <f ca="1">$M$442*$Z$442</f>
        <v>0</v>
      </c>
      <c r="AG442" s="6">
        <f>$O$442*$AA$442</f>
        <v>184316.67075796647</v>
      </c>
    </row>
    <row r="443" spans="1:33" ht="11.25" customHeight="1" x14ac:dyDescent="0.25">
      <c r="A443" s="4" t="s">
        <v>21</v>
      </c>
      <c r="B443" s="4" t="s">
        <v>41</v>
      </c>
      <c r="C443" s="4" t="s">
        <v>62</v>
      </c>
      <c r="D443" s="4" t="s">
        <v>25</v>
      </c>
      <c r="E443" s="4" t="s">
        <v>25</v>
      </c>
      <c r="F443" s="4" t="s">
        <v>25</v>
      </c>
      <c r="G443" s="4" t="s">
        <v>63</v>
      </c>
      <c r="H443" s="4" t="s">
        <v>25</v>
      </c>
      <c r="I443" s="5">
        <v>44682</v>
      </c>
      <c r="J443" s="6">
        <v>0</v>
      </c>
      <c r="K443" s="6">
        <v>0</v>
      </c>
      <c r="L443" s="6">
        <v>0</v>
      </c>
      <c r="M443" s="6">
        <v>0</v>
      </c>
      <c r="N443" s="6">
        <v>823.65300000000002</v>
      </c>
      <c r="O443" s="6">
        <v>823.65300000000002</v>
      </c>
      <c r="P443" s="6">
        <v>0</v>
      </c>
      <c r="Q443" s="4" t="s">
        <v>64</v>
      </c>
      <c r="R443" s="4">
        <v>7019</v>
      </c>
      <c r="S443" s="6">
        <v>0</v>
      </c>
      <c r="T443" s="6">
        <v>0</v>
      </c>
      <c r="U443" s="6">
        <v>79</v>
      </c>
      <c r="V443" s="6">
        <f>IF(ISERROR(VLOOKUP($S$443,'TAR FIN'!$A$1:$O$115,15,0)),0,VLOOKUP($S$443,'TAR FIN'!$A$1:$O$115,15,0))</f>
        <v>0</v>
      </c>
      <c r="W443" s="6">
        <f>IF(ISERROR(VLOOKUP($T$443,'TAR FIN'!$A$1:$O$115,15,0)),0,VLOOKUP($T$443,'TAR FIN'!$A$1:$O$115,15,0))</f>
        <v>0</v>
      </c>
      <c r="X443" s="6">
        <f>IF(ISERROR(VLOOKUP($U$443,'TAR FIN'!$A$1:$O$115,15,0)),0,VLOOKUP($U$443,'TAR FIN'!$A$1:$O$115,15,0))</f>
        <v>157.19999999999999</v>
      </c>
      <c r="Y443" s="6">
        <f ca="1">0.72*('TUSD BE'!$AM$23+'TUSD BF'!$AM$23+'TUSD CVA'!$AM$23)*1+('TUSD BE'!$AM$24+'TUSD BF'!$AM$24+'TUSD CVA'!$AM$24)*1</f>
        <v>23.06347892440748</v>
      </c>
      <c r="Z443" s="6">
        <f ca="1">('TUSD BE'!$AM$25+'TUSD BF'!$AM$25+'TUSD CVA'!$AM$25)*1</f>
        <v>15.91855481032834</v>
      </c>
      <c r="AA443" s="6">
        <f>('TE BE'!$AB$16+'TE BF'!$AB$16+'TE CVA'!$AB$16)*1</f>
        <v>220.39434315508052</v>
      </c>
      <c r="AB443" s="6">
        <f>$K$443*$V$443</f>
        <v>0</v>
      </c>
      <c r="AC443" s="6">
        <f>$M$443*$W$443</f>
        <v>0</v>
      </c>
      <c r="AD443" s="6">
        <f>$O$443*$X$443</f>
        <v>129478.25159999999</v>
      </c>
      <c r="AE443" s="6">
        <f ca="1">$K$443*$Y$443</f>
        <v>0</v>
      </c>
      <c r="AF443" s="6">
        <f ca="1">$M$443*$Z$443</f>
        <v>0</v>
      </c>
      <c r="AG443" s="6">
        <f>$O$443*$AA$443</f>
        <v>181528.46192271155</v>
      </c>
    </row>
    <row r="444" spans="1:33" ht="11.25" customHeight="1" x14ac:dyDescent="0.25">
      <c r="A444" s="4" t="s">
        <v>21</v>
      </c>
      <c r="B444" s="4" t="s">
        <v>41</v>
      </c>
      <c r="C444" s="4" t="s">
        <v>62</v>
      </c>
      <c r="D444" s="4" t="s">
        <v>25</v>
      </c>
      <c r="E444" s="4" t="s">
        <v>25</v>
      </c>
      <c r="F444" s="4" t="s">
        <v>25</v>
      </c>
      <c r="G444" s="4" t="s">
        <v>63</v>
      </c>
      <c r="H444" s="4" t="s">
        <v>25</v>
      </c>
      <c r="I444" s="5">
        <v>44713</v>
      </c>
      <c r="J444" s="6">
        <v>0</v>
      </c>
      <c r="K444" s="6">
        <v>0</v>
      </c>
      <c r="L444" s="6">
        <v>0</v>
      </c>
      <c r="M444" s="6">
        <v>0</v>
      </c>
      <c r="N444" s="6">
        <v>839.31100000000004</v>
      </c>
      <c r="O444" s="6">
        <v>839.31100000000004</v>
      </c>
      <c r="P444" s="6">
        <v>0</v>
      </c>
      <c r="Q444" s="4" t="s">
        <v>64</v>
      </c>
      <c r="R444" s="4">
        <v>7019</v>
      </c>
      <c r="S444" s="6">
        <v>0</v>
      </c>
      <c r="T444" s="6">
        <v>0</v>
      </c>
      <c r="U444" s="6">
        <v>79</v>
      </c>
      <c r="V444" s="6">
        <f>IF(ISERROR(VLOOKUP($S$444,'TAR FIN'!$A$1:$O$115,15,0)),0,VLOOKUP($S$444,'TAR FIN'!$A$1:$O$115,15,0))</f>
        <v>0</v>
      </c>
      <c r="W444" s="6">
        <f>IF(ISERROR(VLOOKUP($T$444,'TAR FIN'!$A$1:$O$115,15,0)),0,VLOOKUP($T$444,'TAR FIN'!$A$1:$O$115,15,0))</f>
        <v>0</v>
      </c>
      <c r="X444" s="6">
        <f>IF(ISERROR(VLOOKUP($U$444,'TAR FIN'!$A$1:$O$115,15,0)),0,VLOOKUP($U$444,'TAR FIN'!$A$1:$O$115,15,0))</f>
        <v>157.19999999999999</v>
      </c>
      <c r="Y444" s="6">
        <f ca="1">0.72*('TUSD BE'!$AM$23+'TUSD BF'!$AM$23+'TUSD CVA'!$AM$23)*1+('TUSD BE'!$AM$24+'TUSD BF'!$AM$24+'TUSD CVA'!$AM$24)*1</f>
        <v>23.06347892440748</v>
      </c>
      <c r="Z444" s="6">
        <f ca="1">('TUSD BE'!$AM$25+'TUSD BF'!$AM$25+'TUSD CVA'!$AM$25)*1</f>
        <v>15.91855481032834</v>
      </c>
      <c r="AA444" s="6">
        <f>('TE BE'!$AB$16+'TE BF'!$AB$16+'TE CVA'!$AB$16)*1</f>
        <v>220.39434315508052</v>
      </c>
      <c r="AB444" s="6">
        <f>$K$444*$V$444</f>
        <v>0</v>
      </c>
      <c r="AC444" s="6">
        <f>$M$444*$W$444</f>
        <v>0</v>
      </c>
      <c r="AD444" s="6">
        <f>$O$444*$X$444</f>
        <v>131939.68919999999</v>
      </c>
      <c r="AE444" s="6">
        <f ca="1">$K$444*$Y$444</f>
        <v>0</v>
      </c>
      <c r="AF444" s="6">
        <f ca="1">$M$444*$Z$444</f>
        <v>0</v>
      </c>
      <c r="AG444" s="6">
        <f>$O$444*$AA$444</f>
        <v>184979.39654783381</v>
      </c>
    </row>
    <row r="445" spans="1:33" ht="11.25" customHeight="1" x14ac:dyDescent="0.25">
      <c r="A445" s="4" t="s">
        <v>21</v>
      </c>
      <c r="B445" s="4" t="s">
        <v>41</v>
      </c>
      <c r="C445" s="4" t="s">
        <v>62</v>
      </c>
      <c r="D445" s="4" t="s">
        <v>25</v>
      </c>
      <c r="E445" s="4" t="s">
        <v>25</v>
      </c>
      <c r="F445" s="4" t="s">
        <v>25</v>
      </c>
      <c r="G445" s="4" t="s">
        <v>63</v>
      </c>
      <c r="H445" s="4" t="s">
        <v>25</v>
      </c>
      <c r="I445" s="5">
        <v>44743</v>
      </c>
      <c r="J445" s="6">
        <v>0</v>
      </c>
      <c r="K445" s="6">
        <v>0</v>
      </c>
      <c r="L445" s="6">
        <v>0</v>
      </c>
      <c r="M445" s="6">
        <v>0</v>
      </c>
      <c r="N445" s="6">
        <v>791.92899999999997</v>
      </c>
      <c r="O445" s="6">
        <v>791.92899999999997</v>
      </c>
      <c r="P445" s="6">
        <v>0</v>
      </c>
      <c r="Q445" s="4" t="s">
        <v>64</v>
      </c>
      <c r="R445" s="4">
        <v>7019</v>
      </c>
      <c r="S445" s="6">
        <v>0</v>
      </c>
      <c r="T445" s="6">
        <v>0</v>
      </c>
      <c r="U445" s="6">
        <v>79</v>
      </c>
      <c r="V445" s="6">
        <f>IF(ISERROR(VLOOKUP($S$445,'TAR FIN'!$A$1:$O$115,15,0)),0,VLOOKUP($S$445,'TAR FIN'!$A$1:$O$115,15,0))</f>
        <v>0</v>
      </c>
      <c r="W445" s="6">
        <f>IF(ISERROR(VLOOKUP($T$445,'TAR FIN'!$A$1:$O$115,15,0)),0,VLOOKUP($T$445,'TAR FIN'!$A$1:$O$115,15,0))</f>
        <v>0</v>
      </c>
      <c r="X445" s="6">
        <f>IF(ISERROR(VLOOKUP($U$445,'TAR FIN'!$A$1:$O$115,15,0)),0,VLOOKUP($U$445,'TAR FIN'!$A$1:$O$115,15,0))</f>
        <v>157.19999999999999</v>
      </c>
      <c r="Y445" s="6">
        <f ca="1">0.72*('TUSD BE'!$AM$23+'TUSD BF'!$AM$23+'TUSD CVA'!$AM$23)*1+('TUSD BE'!$AM$24+'TUSD BF'!$AM$24+'TUSD CVA'!$AM$24)*1</f>
        <v>23.06347892440748</v>
      </c>
      <c r="Z445" s="6">
        <f ca="1">('TUSD BE'!$AM$25+'TUSD BF'!$AM$25+'TUSD CVA'!$AM$25)*1</f>
        <v>15.91855481032834</v>
      </c>
      <c r="AA445" s="6">
        <f>('TE BE'!$AB$16+'TE BF'!$AB$16+'TE CVA'!$AB$16)*1</f>
        <v>220.39434315508052</v>
      </c>
      <c r="AB445" s="6">
        <f>$K$445*$V$445</f>
        <v>0</v>
      </c>
      <c r="AC445" s="6">
        <f>$M$445*$W$445</f>
        <v>0</v>
      </c>
      <c r="AD445" s="6">
        <f>$O$445*$X$445</f>
        <v>124491.23879999999</v>
      </c>
      <c r="AE445" s="6">
        <f ca="1">$K$445*$Y$445</f>
        <v>0</v>
      </c>
      <c r="AF445" s="6">
        <f ca="1">$M$445*$Z$445</f>
        <v>0</v>
      </c>
      <c r="AG445" s="6">
        <f>$O$445*$AA$445</f>
        <v>174536.67178045976</v>
      </c>
    </row>
    <row r="446" spans="1:33" ht="11.25" customHeight="1" x14ac:dyDescent="0.25">
      <c r="A446" s="4" t="s">
        <v>21</v>
      </c>
      <c r="B446" s="4" t="s">
        <v>41</v>
      </c>
      <c r="C446" s="4" t="s">
        <v>62</v>
      </c>
      <c r="D446" s="4" t="s">
        <v>25</v>
      </c>
      <c r="E446" s="4" t="s">
        <v>25</v>
      </c>
      <c r="F446" s="4" t="s">
        <v>25</v>
      </c>
      <c r="G446" s="4" t="s">
        <v>63</v>
      </c>
      <c r="H446" s="4" t="s">
        <v>25</v>
      </c>
      <c r="I446" s="5">
        <v>44774</v>
      </c>
      <c r="J446" s="6">
        <v>0</v>
      </c>
      <c r="K446" s="6">
        <v>0</v>
      </c>
      <c r="L446" s="6">
        <v>0</v>
      </c>
      <c r="M446" s="6">
        <v>0</v>
      </c>
      <c r="N446" s="6">
        <v>854.55399999999997</v>
      </c>
      <c r="O446" s="6">
        <v>854.55399999999997</v>
      </c>
      <c r="P446" s="6">
        <v>0</v>
      </c>
      <c r="Q446" s="4" t="s">
        <v>64</v>
      </c>
      <c r="R446" s="4">
        <v>7019</v>
      </c>
      <c r="S446" s="6">
        <v>0</v>
      </c>
      <c r="T446" s="6">
        <v>0</v>
      </c>
      <c r="U446" s="6">
        <v>79</v>
      </c>
      <c r="V446" s="6">
        <f>IF(ISERROR(VLOOKUP($S$446,'TAR FIN'!$A$1:$O$115,15,0)),0,VLOOKUP($S$446,'TAR FIN'!$A$1:$O$115,15,0))</f>
        <v>0</v>
      </c>
      <c r="W446" s="6">
        <f>IF(ISERROR(VLOOKUP($T$446,'TAR FIN'!$A$1:$O$115,15,0)),0,VLOOKUP($T$446,'TAR FIN'!$A$1:$O$115,15,0))</f>
        <v>0</v>
      </c>
      <c r="X446" s="6">
        <f>IF(ISERROR(VLOOKUP($U$446,'TAR FIN'!$A$1:$O$115,15,0)),0,VLOOKUP($U$446,'TAR FIN'!$A$1:$O$115,15,0))</f>
        <v>157.19999999999999</v>
      </c>
      <c r="Y446" s="6">
        <f ca="1">0.72*('TUSD BE'!$AM$23+'TUSD BF'!$AM$23+'TUSD CVA'!$AM$23)*1+('TUSD BE'!$AM$24+'TUSD BF'!$AM$24+'TUSD CVA'!$AM$24)*1</f>
        <v>23.06347892440748</v>
      </c>
      <c r="Z446" s="6">
        <f ca="1">('TUSD BE'!$AM$25+'TUSD BF'!$AM$25+'TUSD CVA'!$AM$25)*1</f>
        <v>15.91855481032834</v>
      </c>
      <c r="AA446" s="6">
        <f>('TE BE'!$AB$16+'TE BF'!$AB$16+'TE CVA'!$AB$16)*1</f>
        <v>220.39434315508052</v>
      </c>
      <c r="AB446" s="6">
        <f>$K$446*$V$446</f>
        <v>0</v>
      </c>
      <c r="AC446" s="6">
        <f>$M$446*$W$446</f>
        <v>0</v>
      </c>
      <c r="AD446" s="6">
        <f>$O$446*$X$446</f>
        <v>134335.88879999999</v>
      </c>
      <c r="AE446" s="6">
        <f ca="1">$K$446*$Y$446</f>
        <v>0</v>
      </c>
      <c r="AF446" s="6">
        <f ca="1">$M$446*$Z$446</f>
        <v>0</v>
      </c>
      <c r="AG446" s="6">
        <f>$O$446*$AA$446</f>
        <v>188338.86752054669</v>
      </c>
    </row>
    <row r="447" spans="1:33" ht="11.25" customHeight="1" x14ac:dyDescent="0.25">
      <c r="A447" s="4" t="s">
        <v>21</v>
      </c>
      <c r="B447" s="4" t="s">
        <v>41</v>
      </c>
      <c r="C447" s="4" t="s">
        <v>62</v>
      </c>
      <c r="D447" s="4" t="s">
        <v>25</v>
      </c>
      <c r="E447" s="4" t="s">
        <v>25</v>
      </c>
      <c r="F447" s="4" t="s">
        <v>25</v>
      </c>
      <c r="G447" s="4" t="s">
        <v>63</v>
      </c>
      <c r="H447" s="4" t="s">
        <v>25</v>
      </c>
      <c r="I447" s="5">
        <v>44805</v>
      </c>
      <c r="J447" s="6">
        <v>0</v>
      </c>
      <c r="K447" s="6">
        <v>0</v>
      </c>
      <c r="L447" s="6">
        <v>0</v>
      </c>
      <c r="M447" s="6">
        <v>0</v>
      </c>
      <c r="N447" s="6">
        <v>871.35400000000004</v>
      </c>
      <c r="O447" s="6">
        <v>871.35400000000004</v>
      </c>
      <c r="P447" s="6">
        <v>0</v>
      </c>
      <c r="Q447" s="4" t="s">
        <v>64</v>
      </c>
      <c r="R447" s="4">
        <v>7019</v>
      </c>
      <c r="S447" s="6">
        <v>0</v>
      </c>
      <c r="T447" s="6">
        <v>0</v>
      </c>
      <c r="U447" s="6">
        <v>79</v>
      </c>
      <c r="V447" s="6">
        <f>IF(ISERROR(VLOOKUP($S$447,'TAR FIN'!$A$1:$O$115,15,0)),0,VLOOKUP($S$447,'TAR FIN'!$A$1:$O$115,15,0))</f>
        <v>0</v>
      </c>
      <c r="W447" s="6">
        <f>IF(ISERROR(VLOOKUP($T$447,'TAR FIN'!$A$1:$O$115,15,0)),0,VLOOKUP($T$447,'TAR FIN'!$A$1:$O$115,15,0))</f>
        <v>0</v>
      </c>
      <c r="X447" s="6">
        <f>IF(ISERROR(VLOOKUP($U$447,'TAR FIN'!$A$1:$O$115,15,0)),0,VLOOKUP($U$447,'TAR FIN'!$A$1:$O$115,15,0))</f>
        <v>157.19999999999999</v>
      </c>
      <c r="Y447" s="6">
        <f ca="1">0.72*('TUSD BE'!$AM$23+'TUSD BF'!$AM$23+'TUSD CVA'!$AM$23)*1+('TUSD BE'!$AM$24+'TUSD BF'!$AM$24+'TUSD CVA'!$AM$24)*1</f>
        <v>23.06347892440748</v>
      </c>
      <c r="Z447" s="6">
        <f ca="1">('TUSD BE'!$AM$25+'TUSD BF'!$AM$25+'TUSD CVA'!$AM$25)*1</f>
        <v>15.91855481032834</v>
      </c>
      <c r="AA447" s="6">
        <f>('TE BE'!$AB$16+'TE BF'!$AB$16+'TE CVA'!$AB$16)*1</f>
        <v>220.39434315508052</v>
      </c>
      <c r="AB447" s="6">
        <f>$K$447*$V$447</f>
        <v>0</v>
      </c>
      <c r="AC447" s="6">
        <f>$M$447*$W$447</f>
        <v>0</v>
      </c>
      <c r="AD447" s="6">
        <f>$O$447*$X$447</f>
        <v>136976.84880000001</v>
      </c>
      <c r="AE447" s="6">
        <f ca="1">$K$447*$Y$447</f>
        <v>0</v>
      </c>
      <c r="AF447" s="6">
        <f ca="1">$M$447*$Z$447</f>
        <v>0</v>
      </c>
      <c r="AG447" s="6">
        <f>$O$447*$AA$447</f>
        <v>192041.49248555204</v>
      </c>
    </row>
    <row r="448" spans="1:33" ht="11.25" customHeight="1" x14ac:dyDescent="0.25">
      <c r="A448" s="4" t="s">
        <v>21</v>
      </c>
      <c r="B448" s="4" t="s">
        <v>41</v>
      </c>
      <c r="C448" s="4" t="s">
        <v>62</v>
      </c>
      <c r="D448" s="4" t="s">
        <v>25</v>
      </c>
      <c r="E448" s="4" t="s">
        <v>25</v>
      </c>
      <c r="F448" s="4" t="s">
        <v>25</v>
      </c>
      <c r="G448" s="4" t="s">
        <v>63</v>
      </c>
      <c r="H448" s="4" t="s">
        <v>25</v>
      </c>
      <c r="I448" s="5">
        <v>44835</v>
      </c>
      <c r="J448" s="6">
        <v>0</v>
      </c>
      <c r="K448" s="6">
        <v>0</v>
      </c>
      <c r="L448" s="6">
        <v>0</v>
      </c>
      <c r="M448" s="6">
        <v>0</v>
      </c>
      <c r="N448" s="6">
        <v>921.48900000000003</v>
      </c>
      <c r="O448" s="6">
        <v>921.48900000000003</v>
      </c>
      <c r="P448" s="6">
        <v>0</v>
      </c>
      <c r="Q448" s="4" t="s">
        <v>64</v>
      </c>
      <c r="R448" s="4">
        <v>7019</v>
      </c>
      <c r="S448" s="6">
        <v>0</v>
      </c>
      <c r="T448" s="6">
        <v>0</v>
      </c>
      <c r="U448" s="6">
        <v>79</v>
      </c>
      <c r="V448" s="6">
        <f>IF(ISERROR(VLOOKUP($S$448,'TAR FIN'!$A$1:$O$115,15,0)),0,VLOOKUP($S$448,'TAR FIN'!$A$1:$O$115,15,0))</f>
        <v>0</v>
      </c>
      <c r="W448" s="6">
        <f>IF(ISERROR(VLOOKUP($T$448,'TAR FIN'!$A$1:$O$115,15,0)),0,VLOOKUP($T$448,'TAR FIN'!$A$1:$O$115,15,0))</f>
        <v>0</v>
      </c>
      <c r="X448" s="6">
        <f>IF(ISERROR(VLOOKUP($U$448,'TAR FIN'!$A$1:$O$115,15,0)),0,VLOOKUP($U$448,'TAR FIN'!$A$1:$O$115,15,0))</f>
        <v>157.19999999999999</v>
      </c>
      <c r="Y448" s="6">
        <f ca="1">0.72*('TUSD BE'!$AM$23+'TUSD BF'!$AM$23+'TUSD CVA'!$AM$23)*1+('TUSD BE'!$AM$24+'TUSD BF'!$AM$24+'TUSD CVA'!$AM$24)*1</f>
        <v>23.06347892440748</v>
      </c>
      <c r="Z448" s="6">
        <f ca="1">('TUSD BE'!$AM$25+'TUSD BF'!$AM$25+'TUSD CVA'!$AM$25)*1</f>
        <v>15.91855481032834</v>
      </c>
      <c r="AA448" s="6">
        <f>('TE BE'!$AB$16+'TE BF'!$AB$16+'TE CVA'!$AB$16)*1</f>
        <v>220.39434315508052</v>
      </c>
      <c r="AB448" s="6">
        <f>$K$448*$V$448</f>
        <v>0</v>
      </c>
      <c r="AC448" s="6">
        <f>$M$448*$W$448</f>
        <v>0</v>
      </c>
      <c r="AD448" s="6">
        <f>$O$448*$X$448</f>
        <v>144858.07079999999</v>
      </c>
      <c r="AE448" s="6">
        <f ca="1">$K$448*$Y$448</f>
        <v>0</v>
      </c>
      <c r="AF448" s="6">
        <f ca="1">$M$448*$Z$448</f>
        <v>0</v>
      </c>
      <c r="AG448" s="6">
        <f>$O$448*$AA$448</f>
        <v>203090.96287963199</v>
      </c>
    </row>
    <row r="449" spans="1:33" ht="11.25" customHeight="1" x14ac:dyDescent="0.25">
      <c r="A449" s="4" t="s">
        <v>59</v>
      </c>
      <c r="B449" s="4" t="s">
        <v>41</v>
      </c>
      <c r="C449" s="4" t="s">
        <v>62</v>
      </c>
      <c r="D449" s="4" t="s">
        <v>25</v>
      </c>
      <c r="E449" s="4" t="s">
        <v>25</v>
      </c>
      <c r="F449" s="4" t="s">
        <v>25</v>
      </c>
      <c r="G449" s="4" t="s">
        <v>63</v>
      </c>
      <c r="H449" s="4" t="s">
        <v>25</v>
      </c>
      <c r="I449" s="5">
        <v>44866</v>
      </c>
      <c r="J449" s="6">
        <v>0</v>
      </c>
      <c r="K449" s="6">
        <v>0</v>
      </c>
      <c r="L449" s="6">
        <v>0</v>
      </c>
      <c r="M449" s="6">
        <v>0</v>
      </c>
      <c r="N449" s="6">
        <v>921.48900000000003</v>
      </c>
      <c r="O449" s="6">
        <v>921.48900000000003</v>
      </c>
      <c r="P449" s="6">
        <v>0</v>
      </c>
      <c r="Q449" s="4" t="s">
        <v>64</v>
      </c>
      <c r="R449" s="4">
        <v>7019</v>
      </c>
      <c r="S449" s="6">
        <v>0</v>
      </c>
      <c r="T449" s="6">
        <v>0</v>
      </c>
      <c r="U449" s="6">
        <v>79</v>
      </c>
      <c r="V449" s="6">
        <f>IF(ISERROR(VLOOKUP($S$449,'TAR FIN'!$A$1:$O$115,15,0)),0,VLOOKUP($S$449,'TAR FIN'!$A$1:$O$115,15,0))</f>
        <v>0</v>
      </c>
      <c r="W449" s="6">
        <f>IF(ISERROR(VLOOKUP($T$449,'TAR FIN'!$A$1:$O$115,15,0)),0,VLOOKUP($T$449,'TAR FIN'!$A$1:$O$115,15,0))</f>
        <v>0</v>
      </c>
      <c r="X449" s="6">
        <f>IF(ISERROR(VLOOKUP($U$449,'TAR FIN'!$A$1:$O$115,15,0)),0,VLOOKUP($U$449,'TAR FIN'!$A$1:$O$115,15,0))</f>
        <v>157.19999999999999</v>
      </c>
      <c r="Y449" s="6">
        <f ca="1">0.72*('TUSD BE'!$AM$23+'TUSD BF'!$AM$23+'TUSD CVA'!$AM$23)*1+('TUSD BE'!$AM$24+'TUSD BF'!$AM$24+'TUSD CVA'!$AM$24)*1</f>
        <v>23.06347892440748</v>
      </c>
      <c r="Z449" s="6">
        <f ca="1">('TUSD BE'!$AM$25+'TUSD BF'!$AM$25+'TUSD CVA'!$AM$25)*1</f>
        <v>15.91855481032834</v>
      </c>
      <c r="AA449" s="6">
        <f>('TE BE'!$AB$16+'TE BF'!$AB$16+'TE CVA'!$AB$16)*1</f>
        <v>220.39434315508052</v>
      </c>
      <c r="AB449" s="6">
        <f>$K$449*$V$449</f>
        <v>0</v>
      </c>
      <c r="AC449" s="6">
        <f>$M$449*$W$449</f>
        <v>0</v>
      </c>
      <c r="AD449" s="6">
        <f>$O$449*$X$449</f>
        <v>144858.07079999999</v>
      </c>
      <c r="AE449" s="6">
        <f ca="1">$K$449*$Y$449</f>
        <v>0</v>
      </c>
      <c r="AF449" s="6">
        <f ca="1">$M$449*$Z$449</f>
        <v>0</v>
      </c>
      <c r="AG449" s="6">
        <f>$O$449*$AA$449</f>
        <v>203090.96287963199</v>
      </c>
    </row>
    <row r="450" spans="1:33" ht="11.25" customHeight="1" x14ac:dyDescent="0.25">
      <c r="A450" s="4" t="s">
        <v>21</v>
      </c>
      <c r="B450" s="4" t="s">
        <v>41</v>
      </c>
      <c r="C450" s="4" t="s">
        <v>62</v>
      </c>
      <c r="D450" s="4" t="s">
        <v>25</v>
      </c>
      <c r="E450" s="4" t="s">
        <v>25</v>
      </c>
      <c r="F450" s="4" t="s">
        <v>25</v>
      </c>
      <c r="G450" s="4" t="s">
        <v>63</v>
      </c>
      <c r="H450" s="4" t="s">
        <v>36</v>
      </c>
      <c r="I450" s="5">
        <v>44531</v>
      </c>
      <c r="J450" s="6">
        <v>1523</v>
      </c>
      <c r="K450" s="6">
        <v>1523</v>
      </c>
      <c r="L450" s="6">
        <v>73.668000000000006</v>
      </c>
      <c r="M450" s="6">
        <v>73.668000000000006</v>
      </c>
      <c r="N450" s="6">
        <v>0</v>
      </c>
      <c r="O450" s="6">
        <v>0</v>
      </c>
      <c r="P450" s="6">
        <v>0</v>
      </c>
      <c r="Q450" s="4" t="s">
        <v>64</v>
      </c>
      <c r="R450" s="4">
        <v>7019</v>
      </c>
      <c r="S450" s="6">
        <v>23</v>
      </c>
      <c r="T450" s="6">
        <v>25</v>
      </c>
      <c r="U450" s="6">
        <v>0</v>
      </c>
      <c r="V450" s="6">
        <f>IF(ISERROR(VLOOKUP($S$450,'TAR FIN'!$A$1:$O$115,15,0)),0,VLOOKUP($S$450,'TAR FIN'!$A$1:$O$115,15,0))</f>
        <v>15.78</v>
      </c>
      <c r="W450" s="6">
        <f>IF(ISERROR(VLOOKUP($T$450,'TAR FIN'!$A$1:$O$115,15,0)),0,VLOOKUP($T$450,'TAR FIN'!$A$1:$O$115,15,0))</f>
        <v>10.28</v>
      </c>
      <c r="X450" s="6">
        <f>IF(ISERROR(VLOOKUP($U$450,'TAR FIN'!$A$1:$O$115,15,0)),0,VLOOKUP($U$450,'TAR FIN'!$A$1:$O$115,15,0))</f>
        <v>0</v>
      </c>
      <c r="Y450" s="6">
        <f ca="1">('TUSD BE'!$AM$23+'TUSD BF'!$AM$23+'TUSD CVA'!$AM$23)*1</f>
        <v>18.687987492602183</v>
      </c>
      <c r="Z450" s="6">
        <f ca="1">('TUSD BE'!$AM$25+'TUSD BF'!$AM$25+'TUSD CVA'!$AM$25)*1</f>
        <v>15.91855481032834</v>
      </c>
      <c r="AA450" s="6">
        <f>('TE BE'!$AB$16+'TE BF'!$AB$16+'TE CVA'!$AB$16)*1</f>
        <v>220.39434315508052</v>
      </c>
      <c r="AB450" s="6">
        <f>$K$450*$V$450</f>
        <v>24032.94</v>
      </c>
      <c r="AC450" s="6">
        <f>$M$450*$W$450</f>
        <v>757.30704000000003</v>
      </c>
      <c r="AD450" s="6">
        <f>$O$450*$X$450</f>
        <v>0</v>
      </c>
      <c r="AE450" s="6">
        <f ca="1">$K$450*$Y$450</f>
        <v>28461.804951233124</v>
      </c>
      <c r="AF450" s="6">
        <f ca="1">$M$450*$Z$450</f>
        <v>1172.6880957672684</v>
      </c>
      <c r="AG450" s="6">
        <f>$O$450*$AA$450</f>
        <v>0</v>
      </c>
    </row>
    <row r="451" spans="1:33" ht="11.25" customHeight="1" x14ac:dyDescent="0.25">
      <c r="A451" s="4" t="s">
        <v>21</v>
      </c>
      <c r="B451" s="4" t="s">
        <v>41</v>
      </c>
      <c r="C451" s="4" t="s">
        <v>62</v>
      </c>
      <c r="D451" s="4" t="s">
        <v>25</v>
      </c>
      <c r="E451" s="4" t="s">
        <v>25</v>
      </c>
      <c r="F451" s="4" t="s">
        <v>25</v>
      </c>
      <c r="G451" s="4" t="s">
        <v>63</v>
      </c>
      <c r="H451" s="4" t="s">
        <v>36</v>
      </c>
      <c r="I451" s="5">
        <v>44562</v>
      </c>
      <c r="J451" s="6">
        <v>1456</v>
      </c>
      <c r="K451" s="6">
        <v>1456</v>
      </c>
      <c r="L451" s="6">
        <v>89.442999999999998</v>
      </c>
      <c r="M451" s="6">
        <v>89.442999999999998</v>
      </c>
      <c r="N451" s="6">
        <v>0</v>
      </c>
      <c r="O451" s="6">
        <v>0</v>
      </c>
      <c r="P451" s="6">
        <v>0</v>
      </c>
      <c r="Q451" s="4" t="s">
        <v>64</v>
      </c>
      <c r="R451" s="4">
        <v>7019</v>
      </c>
      <c r="S451" s="6">
        <v>23</v>
      </c>
      <c r="T451" s="6">
        <v>25</v>
      </c>
      <c r="U451" s="6">
        <v>0</v>
      </c>
      <c r="V451" s="6">
        <f>IF(ISERROR(VLOOKUP($S$451,'TAR FIN'!$A$1:$O$115,15,0)),0,VLOOKUP($S$451,'TAR FIN'!$A$1:$O$115,15,0))</f>
        <v>15.78</v>
      </c>
      <c r="W451" s="6">
        <f>IF(ISERROR(VLOOKUP($T$451,'TAR FIN'!$A$1:$O$115,15,0)),0,VLOOKUP($T$451,'TAR FIN'!$A$1:$O$115,15,0))</f>
        <v>10.28</v>
      </c>
      <c r="X451" s="6">
        <f>IF(ISERROR(VLOOKUP($U$451,'TAR FIN'!$A$1:$O$115,15,0)),0,VLOOKUP($U$451,'TAR FIN'!$A$1:$O$115,15,0))</f>
        <v>0</v>
      </c>
      <c r="Y451" s="6">
        <f ca="1">('TUSD BE'!$AM$23+'TUSD BF'!$AM$23+'TUSD CVA'!$AM$23)*1</f>
        <v>18.687987492602183</v>
      </c>
      <c r="Z451" s="6">
        <f ca="1">('TUSD BE'!$AM$25+'TUSD BF'!$AM$25+'TUSD CVA'!$AM$25)*1</f>
        <v>15.91855481032834</v>
      </c>
      <c r="AA451" s="6">
        <f>('TE BE'!$AB$16+'TE BF'!$AB$16+'TE CVA'!$AB$16)*1</f>
        <v>220.39434315508052</v>
      </c>
      <c r="AB451" s="6">
        <f>$K$451*$V$451</f>
        <v>22975.68</v>
      </c>
      <c r="AC451" s="6">
        <f>$M$451*$W$451</f>
        <v>919.47403999999995</v>
      </c>
      <c r="AD451" s="6">
        <f>$O$451*$X$451</f>
        <v>0</v>
      </c>
      <c r="AE451" s="6">
        <f ca="1">$K$451*$Y$451</f>
        <v>27209.709789228778</v>
      </c>
      <c r="AF451" s="6">
        <f ca="1">$M$451*$Z$451</f>
        <v>1423.8032979001978</v>
      </c>
      <c r="AG451" s="6">
        <f>$O$451*$AA$451</f>
        <v>0</v>
      </c>
    </row>
    <row r="452" spans="1:33" ht="11.25" customHeight="1" x14ac:dyDescent="0.25">
      <c r="A452" s="4" t="s">
        <v>21</v>
      </c>
      <c r="B452" s="4" t="s">
        <v>41</v>
      </c>
      <c r="C452" s="4" t="s">
        <v>62</v>
      </c>
      <c r="D452" s="4" t="s">
        <v>25</v>
      </c>
      <c r="E452" s="4" t="s">
        <v>25</v>
      </c>
      <c r="F452" s="4" t="s">
        <v>25</v>
      </c>
      <c r="G452" s="4" t="s">
        <v>63</v>
      </c>
      <c r="H452" s="4" t="s">
        <v>36</v>
      </c>
      <c r="I452" s="5">
        <v>44593</v>
      </c>
      <c r="J452" s="6">
        <v>1568</v>
      </c>
      <c r="K452" s="6">
        <v>1568</v>
      </c>
      <c r="L452" s="6">
        <v>82.863</v>
      </c>
      <c r="M452" s="6">
        <v>82.863</v>
      </c>
      <c r="N452" s="6">
        <v>0</v>
      </c>
      <c r="O452" s="6">
        <v>0</v>
      </c>
      <c r="P452" s="6">
        <v>0</v>
      </c>
      <c r="Q452" s="4" t="s">
        <v>64</v>
      </c>
      <c r="R452" s="4">
        <v>7019</v>
      </c>
      <c r="S452" s="6">
        <v>23</v>
      </c>
      <c r="T452" s="6">
        <v>25</v>
      </c>
      <c r="U452" s="6">
        <v>0</v>
      </c>
      <c r="V452" s="6">
        <f>IF(ISERROR(VLOOKUP($S$452,'TAR FIN'!$A$1:$O$115,15,0)),0,VLOOKUP($S$452,'TAR FIN'!$A$1:$O$115,15,0))</f>
        <v>15.78</v>
      </c>
      <c r="W452" s="6">
        <f>IF(ISERROR(VLOOKUP($T$452,'TAR FIN'!$A$1:$O$115,15,0)),0,VLOOKUP($T$452,'TAR FIN'!$A$1:$O$115,15,0))</f>
        <v>10.28</v>
      </c>
      <c r="X452" s="6">
        <f>IF(ISERROR(VLOOKUP($U$452,'TAR FIN'!$A$1:$O$115,15,0)),0,VLOOKUP($U$452,'TAR FIN'!$A$1:$O$115,15,0))</f>
        <v>0</v>
      </c>
      <c r="Y452" s="6">
        <f ca="1">('TUSD BE'!$AM$23+'TUSD BF'!$AM$23+'TUSD CVA'!$AM$23)*1</f>
        <v>18.687987492602183</v>
      </c>
      <c r="Z452" s="6">
        <f ca="1">('TUSD BE'!$AM$25+'TUSD BF'!$AM$25+'TUSD CVA'!$AM$25)*1</f>
        <v>15.91855481032834</v>
      </c>
      <c r="AA452" s="6">
        <f>('TE BE'!$AB$16+'TE BF'!$AB$16+'TE CVA'!$AB$16)*1</f>
        <v>220.39434315508052</v>
      </c>
      <c r="AB452" s="6">
        <f>$K$452*$V$452</f>
        <v>24743.039999999997</v>
      </c>
      <c r="AC452" s="6">
        <f>$M$452*$W$452</f>
        <v>851.83163999999999</v>
      </c>
      <c r="AD452" s="6">
        <f>$O$452*$X$452</f>
        <v>0</v>
      </c>
      <c r="AE452" s="6">
        <f ca="1">$K$452*$Y$452</f>
        <v>29302.764388400221</v>
      </c>
      <c r="AF452" s="6">
        <f ca="1">$M$452*$Z$452</f>
        <v>1319.0592072482373</v>
      </c>
      <c r="AG452" s="6">
        <f>$O$452*$AA$452</f>
        <v>0</v>
      </c>
    </row>
    <row r="453" spans="1:33" ht="11.25" customHeight="1" x14ac:dyDescent="0.25">
      <c r="A453" s="4" t="s">
        <v>21</v>
      </c>
      <c r="B453" s="4" t="s">
        <v>41</v>
      </c>
      <c r="C453" s="4" t="s">
        <v>62</v>
      </c>
      <c r="D453" s="4" t="s">
        <v>25</v>
      </c>
      <c r="E453" s="4" t="s">
        <v>25</v>
      </c>
      <c r="F453" s="4" t="s">
        <v>25</v>
      </c>
      <c r="G453" s="4" t="s">
        <v>63</v>
      </c>
      <c r="H453" s="4" t="s">
        <v>36</v>
      </c>
      <c r="I453" s="5">
        <v>44621</v>
      </c>
      <c r="J453" s="6">
        <v>1500</v>
      </c>
      <c r="K453" s="6">
        <v>1500</v>
      </c>
      <c r="L453" s="6">
        <v>77.391999999999996</v>
      </c>
      <c r="M453" s="6">
        <v>77.391999999999996</v>
      </c>
      <c r="N453" s="6">
        <v>0</v>
      </c>
      <c r="O453" s="6">
        <v>0</v>
      </c>
      <c r="P453" s="6">
        <v>0</v>
      </c>
      <c r="Q453" s="4" t="s">
        <v>64</v>
      </c>
      <c r="R453" s="4">
        <v>7019</v>
      </c>
      <c r="S453" s="6">
        <v>23</v>
      </c>
      <c r="T453" s="6">
        <v>25</v>
      </c>
      <c r="U453" s="6">
        <v>0</v>
      </c>
      <c r="V453" s="6">
        <f>IF(ISERROR(VLOOKUP($S$453,'TAR FIN'!$A$1:$O$115,15,0)),0,VLOOKUP($S$453,'TAR FIN'!$A$1:$O$115,15,0))</f>
        <v>15.78</v>
      </c>
      <c r="W453" s="6">
        <f>IF(ISERROR(VLOOKUP($T$453,'TAR FIN'!$A$1:$O$115,15,0)),0,VLOOKUP($T$453,'TAR FIN'!$A$1:$O$115,15,0))</f>
        <v>10.28</v>
      </c>
      <c r="X453" s="6">
        <f>IF(ISERROR(VLOOKUP($U$453,'TAR FIN'!$A$1:$O$115,15,0)),0,VLOOKUP($U$453,'TAR FIN'!$A$1:$O$115,15,0))</f>
        <v>0</v>
      </c>
      <c r="Y453" s="6">
        <f ca="1">('TUSD BE'!$AM$23+'TUSD BF'!$AM$23+'TUSD CVA'!$AM$23)*1</f>
        <v>18.687987492602183</v>
      </c>
      <c r="Z453" s="6">
        <f ca="1">('TUSD BE'!$AM$25+'TUSD BF'!$AM$25+'TUSD CVA'!$AM$25)*1</f>
        <v>15.91855481032834</v>
      </c>
      <c r="AA453" s="6">
        <f>('TE BE'!$AB$16+'TE BF'!$AB$16+'TE CVA'!$AB$16)*1</f>
        <v>220.39434315508052</v>
      </c>
      <c r="AB453" s="6">
        <f>$K$453*$V$453</f>
        <v>23670</v>
      </c>
      <c r="AC453" s="6">
        <f>$M$453*$W$453</f>
        <v>795.58975999999996</v>
      </c>
      <c r="AD453" s="6">
        <f>$O$453*$X$453</f>
        <v>0</v>
      </c>
      <c r="AE453" s="6">
        <f ca="1">$K$453*$Y$453</f>
        <v>28031.981238903274</v>
      </c>
      <c r="AF453" s="6">
        <f ca="1">$M$453*$Z$453</f>
        <v>1231.9687938809309</v>
      </c>
      <c r="AG453" s="6">
        <f>$O$453*$AA$453</f>
        <v>0</v>
      </c>
    </row>
    <row r="454" spans="1:33" ht="11.25" customHeight="1" x14ac:dyDescent="0.25">
      <c r="A454" s="4" t="s">
        <v>21</v>
      </c>
      <c r="B454" s="4" t="s">
        <v>41</v>
      </c>
      <c r="C454" s="4" t="s">
        <v>62</v>
      </c>
      <c r="D454" s="4" t="s">
        <v>25</v>
      </c>
      <c r="E454" s="4" t="s">
        <v>25</v>
      </c>
      <c r="F454" s="4" t="s">
        <v>25</v>
      </c>
      <c r="G454" s="4" t="s">
        <v>63</v>
      </c>
      <c r="H454" s="4" t="s">
        <v>36</v>
      </c>
      <c r="I454" s="5">
        <v>44652</v>
      </c>
      <c r="J454" s="6">
        <v>1478</v>
      </c>
      <c r="K454" s="6">
        <v>1478</v>
      </c>
      <c r="L454" s="6">
        <v>84.554000000000002</v>
      </c>
      <c r="M454" s="6">
        <v>84.554000000000002</v>
      </c>
      <c r="N454" s="6">
        <v>0</v>
      </c>
      <c r="O454" s="6">
        <v>0</v>
      </c>
      <c r="P454" s="6">
        <v>0</v>
      </c>
      <c r="Q454" s="4" t="s">
        <v>64</v>
      </c>
      <c r="R454" s="4">
        <v>7019</v>
      </c>
      <c r="S454" s="6">
        <v>23</v>
      </c>
      <c r="T454" s="6">
        <v>25</v>
      </c>
      <c r="U454" s="6">
        <v>0</v>
      </c>
      <c r="V454" s="6">
        <f>IF(ISERROR(VLOOKUP($S$454,'TAR FIN'!$A$1:$O$115,15,0)),0,VLOOKUP($S$454,'TAR FIN'!$A$1:$O$115,15,0))</f>
        <v>15.78</v>
      </c>
      <c r="W454" s="6">
        <f>IF(ISERROR(VLOOKUP($T$454,'TAR FIN'!$A$1:$O$115,15,0)),0,VLOOKUP($T$454,'TAR FIN'!$A$1:$O$115,15,0))</f>
        <v>10.28</v>
      </c>
      <c r="X454" s="6">
        <f>IF(ISERROR(VLOOKUP($U$454,'TAR FIN'!$A$1:$O$115,15,0)),0,VLOOKUP($U$454,'TAR FIN'!$A$1:$O$115,15,0))</f>
        <v>0</v>
      </c>
      <c r="Y454" s="6">
        <f ca="1">('TUSD BE'!$AM$23+'TUSD BF'!$AM$23+'TUSD CVA'!$AM$23)*1</f>
        <v>18.687987492602183</v>
      </c>
      <c r="Z454" s="6">
        <f ca="1">('TUSD BE'!$AM$25+'TUSD BF'!$AM$25+'TUSD CVA'!$AM$25)*1</f>
        <v>15.91855481032834</v>
      </c>
      <c r="AA454" s="6">
        <f>('TE BE'!$AB$16+'TE BF'!$AB$16+'TE CVA'!$AB$16)*1</f>
        <v>220.39434315508052</v>
      </c>
      <c r="AB454" s="6">
        <f>$K$454*$V$454</f>
        <v>23322.84</v>
      </c>
      <c r="AC454" s="6">
        <f>$M$454*$W$454</f>
        <v>869.21511999999996</v>
      </c>
      <c r="AD454" s="6">
        <f>$O$454*$X$454</f>
        <v>0</v>
      </c>
      <c r="AE454" s="6">
        <f ca="1">$K$454*$Y$454</f>
        <v>27620.845514066026</v>
      </c>
      <c r="AF454" s="6">
        <f ca="1">$M$454*$Z$454</f>
        <v>1345.9774834325024</v>
      </c>
      <c r="AG454" s="6">
        <f>$O$454*$AA$454</f>
        <v>0</v>
      </c>
    </row>
    <row r="455" spans="1:33" ht="11.25" customHeight="1" x14ac:dyDescent="0.25">
      <c r="A455" s="4" t="s">
        <v>21</v>
      </c>
      <c r="B455" s="4" t="s">
        <v>41</v>
      </c>
      <c r="C455" s="4" t="s">
        <v>62</v>
      </c>
      <c r="D455" s="4" t="s">
        <v>25</v>
      </c>
      <c r="E455" s="4" t="s">
        <v>25</v>
      </c>
      <c r="F455" s="4" t="s">
        <v>25</v>
      </c>
      <c r="G455" s="4" t="s">
        <v>63</v>
      </c>
      <c r="H455" s="4" t="s">
        <v>36</v>
      </c>
      <c r="I455" s="5">
        <v>44682</v>
      </c>
      <c r="J455" s="6">
        <v>1612</v>
      </c>
      <c r="K455" s="6">
        <v>1612</v>
      </c>
      <c r="L455" s="6">
        <v>76.456000000000003</v>
      </c>
      <c r="M455" s="6">
        <v>76.456000000000003</v>
      </c>
      <c r="N455" s="6">
        <v>0</v>
      </c>
      <c r="O455" s="6">
        <v>0</v>
      </c>
      <c r="P455" s="6">
        <v>0</v>
      </c>
      <c r="Q455" s="4" t="s">
        <v>64</v>
      </c>
      <c r="R455" s="4">
        <v>7019</v>
      </c>
      <c r="S455" s="6">
        <v>23</v>
      </c>
      <c r="T455" s="6">
        <v>25</v>
      </c>
      <c r="U455" s="6">
        <v>0</v>
      </c>
      <c r="V455" s="6">
        <f>IF(ISERROR(VLOOKUP($S$455,'TAR FIN'!$A$1:$O$115,15,0)),0,VLOOKUP($S$455,'TAR FIN'!$A$1:$O$115,15,0))</f>
        <v>15.78</v>
      </c>
      <c r="W455" s="6">
        <f>IF(ISERROR(VLOOKUP($T$455,'TAR FIN'!$A$1:$O$115,15,0)),0,VLOOKUP($T$455,'TAR FIN'!$A$1:$O$115,15,0))</f>
        <v>10.28</v>
      </c>
      <c r="X455" s="6">
        <f>IF(ISERROR(VLOOKUP($U$455,'TAR FIN'!$A$1:$O$115,15,0)),0,VLOOKUP($U$455,'TAR FIN'!$A$1:$O$115,15,0))</f>
        <v>0</v>
      </c>
      <c r="Y455" s="6">
        <f ca="1">('TUSD BE'!$AM$23+'TUSD BF'!$AM$23+'TUSD CVA'!$AM$23)*1</f>
        <v>18.687987492602183</v>
      </c>
      <c r="Z455" s="6">
        <f ca="1">('TUSD BE'!$AM$25+'TUSD BF'!$AM$25+'TUSD CVA'!$AM$25)*1</f>
        <v>15.91855481032834</v>
      </c>
      <c r="AA455" s="6">
        <f>('TE BE'!$AB$16+'TE BF'!$AB$16+'TE CVA'!$AB$16)*1</f>
        <v>220.39434315508052</v>
      </c>
      <c r="AB455" s="6">
        <f>$K$455*$V$455</f>
        <v>25437.360000000001</v>
      </c>
      <c r="AC455" s="6">
        <f>$M$455*$W$455</f>
        <v>785.96767999999997</v>
      </c>
      <c r="AD455" s="6">
        <f>$O$455*$X$455</f>
        <v>0</v>
      </c>
      <c r="AE455" s="6">
        <f ca="1">$K$455*$Y$455</f>
        <v>30125.03583807472</v>
      </c>
      <c r="AF455" s="6">
        <f ca="1">$M$455*$Z$455</f>
        <v>1217.0690265784635</v>
      </c>
      <c r="AG455" s="6">
        <f>$O$455*$AA$455</f>
        <v>0</v>
      </c>
    </row>
    <row r="456" spans="1:33" ht="11.25" customHeight="1" x14ac:dyDescent="0.25">
      <c r="A456" s="4" t="s">
        <v>21</v>
      </c>
      <c r="B456" s="4" t="s">
        <v>41</v>
      </c>
      <c r="C456" s="4" t="s">
        <v>62</v>
      </c>
      <c r="D456" s="4" t="s">
        <v>25</v>
      </c>
      <c r="E456" s="4" t="s">
        <v>25</v>
      </c>
      <c r="F456" s="4" t="s">
        <v>25</v>
      </c>
      <c r="G456" s="4" t="s">
        <v>63</v>
      </c>
      <c r="H456" s="4" t="s">
        <v>36</v>
      </c>
      <c r="I456" s="5">
        <v>44713</v>
      </c>
      <c r="J456" s="6">
        <v>1545</v>
      </c>
      <c r="K456" s="6">
        <v>1545</v>
      </c>
      <c r="L456" s="6">
        <v>82.218999999999994</v>
      </c>
      <c r="M456" s="6">
        <v>82.218999999999994</v>
      </c>
      <c r="N456" s="6">
        <v>0</v>
      </c>
      <c r="O456" s="6">
        <v>0</v>
      </c>
      <c r="P456" s="6">
        <v>0</v>
      </c>
      <c r="Q456" s="4" t="s">
        <v>64</v>
      </c>
      <c r="R456" s="4">
        <v>7019</v>
      </c>
      <c r="S456" s="6">
        <v>23</v>
      </c>
      <c r="T456" s="6">
        <v>25</v>
      </c>
      <c r="U456" s="6">
        <v>0</v>
      </c>
      <c r="V456" s="6">
        <f>IF(ISERROR(VLOOKUP($S$456,'TAR FIN'!$A$1:$O$115,15,0)),0,VLOOKUP($S$456,'TAR FIN'!$A$1:$O$115,15,0))</f>
        <v>15.78</v>
      </c>
      <c r="W456" s="6">
        <f>IF(ISERROR(VLOOKUP($T$456,'TAR FIN'!$A$1:$O$115,15,0)),0,VLOOKUP($T$456,'TAR FIN'!$A$1:$O$115,15,0))</f>
        <v>10.28</v>
      </c>
      <c r="X456" s="6">
        <f>IF(ISERROR(VLOOKUP($U$456,'TAR FIN'!$A$1:$O$115,15,0)),0,VLOOKUP($U$456,'TAR FIN'!$A$1:$O$115,15,0))</f>
        <v>0</v>
      </c>
      <c r="Y456" s="6">
        <f ca="1">('TUSD BE'!$AM$23+'TUSD BF'!$AM$23+'TUSD CVA'!$AM$23)*1</f>
        <v>18.687987492602183</v>
      </c>
      <c r="Z456" s="6">
        <f ca="1">('TUSD BE'!$AM$25+'TUSD BF'!$AM$25+'TUSD CVA'!$AM$25)*1</f>
        <v>15.91855481032834</v>
      </c>
      <c r="AA456" s="6">
        <f>('TE BE'!$AB$16+'TE BF'!$AB$16+'TE CVA'!$AB$16)*1</f>
        <v>220.39434315508052</v>
      </c>
      <c r="AB456" s="6">
        <f>$K$456*$V$456</f>
        <v>24380.1</v>
      </c>
      <c r="AC456" s="6">
        <f>$M$456*$W$456</f>
        <v>845.21131999999989</v>
      </c>
      <c r="AD456" s="6">
        <f>$O$456*$X$456</f>
        <v>0</v>
      </c>
      <c r="AE456" s="6">
        <f ca="1">$K$456*$Y$456</f>
        <v>28872.940676070371</v>
      </c>
      <c r="AF456" s="6">
        <f ca="1">$M$456*$Z$456</f>
        <v>1308.8076579503856</v>
      </c>
      <c r="AG456" s="6">
        <f>$O$456*$AA$456</f>
        <v>0</v>
      </c>
    </row>
    <row r="457" spans="1:33" ht="11.25" customHeight="1" x14ac:dyDescent="0.25">
      <c r="A457" s="4" t="s">
        <v>21</v>
      </c>
      <c r="B457" s="4" t="s">
        <v>41</v>
      </c>
      <c r="C457" s="4" t="s">
        <v>62</v>
      </c>
      <c r="D457" s="4" t="s">
        <v>25</v>
      </c>
      <c r="E457" s="4" t="s">
        <v>25</v>
      </c>
      <c r="F457" s="4" t="s">
        <v>25</v>
      </c>
      <c r="G457" s="4" t="s">
        <v>63</v>
      </c>
      <c r="H457" s="4" t="s">
        <v>36</v>
      </c>
      <c r="I457" s="5">
        <v>44743</v>
      </c>
      <c r="J457" s="6">
        <v>1456</v>
      </c>
      <c r="K457" s="6">
        <v>1456</v>
      </c>
      <c r="L457" s="6">
        <v>80.040000000000006</v>
      </c>
      <c r="M457" s="6">
        <v>80.040000000000006</v>
      </c>
      <c r="N457" s="6">
        <v>0</v>
      </c>
      <c r="O457" s="6">
        <v>0</v>
      </c>
      <c r="P457" s="6">
        <v>0</v>
      </c>
      <c r="Q457" s="4" t="s">
        <v>64</v>
      </c>
      <c r="R457" s="4">
        <v>7019</v>
      </c>
      <c r="S457" s="6">
        <v>23</v>
      </c>
      <c r="T457" s="6">
        <v>25</v>
      </c>
      <c r="U457" s="6">
        <v>0</v>
      </c>
      <c r="V457" s="6">
        <f>IF(ISERROR(VLOOKUP($S$457,'TAR FIN'!$A$1:$O$115,15,0)),0,VLOOKUP($S$457,'TAR FIN'!$A$1:$O$115,15,0))</f>
        <v>15.78</v>
      </c>
      <c r="W457" s="6">
        <f>IF(ISERROR(VLOOKUP($T$457,'TAR FIN'!$A$1:$O$115,15,0)),0,VLOOKUP($T$457,'TAR FIN'!$A$1:$O$115,15,0))</f>
        <v>10.28</v>
      </c>
      <c r="X457" s="6">
        <f>IF(ISERROR(VLOOKUP($U$457,'TAR FIN'!$A$1:$O$115,15,0)),0,VLOOKUP($U$457,'TAR FIN'!$A$1:$O$115,15,0))</f>
        <v>0</v>
      </c>
      <c r="Y457" s="6">
        <f ca="1">('TUSD BE'!$AM$23+'TUSD BF'!$AM$23+'TUSD CVA'!$AM$23)*1</f>
        <v>18.687987492602183</v>
      </c>
      <c r="Z457" s="6">
        <f ca="1">('TUSD BE'!$AM$25+'TUSD BF'!$AM$25+'TUSD CVA'!$AM$25)*1</f>
        <v>15.91855481032834</v>
      </c>
      <c r="AA457" s="6">
        <f>('TE BE'!$AB$16+'TE BF'!$AB$16+'TE CVA'!$AB$16)*1</f>
        <v>220.39434315508052</v>
      </c>
      <c r="AB457" s="6">
        <f>$K$457*$V$457</f>
        <v>22975.68</v>
      </c>
      <c r="AC457" s="6">
        <f>$M$457*$W$457</f>
        <v>822.81119999999999</v>
      </c>
      <c r="AD457" s="6">
        <f>$O$457*$X$457</f>
        <v>0</v>
      </c>
      <c r="AE457" s="6">
        <f ca="1">$K$457*$Y$457</f>
        <v>27209.709789228778</v>
      </c>
      <c r="AF457" s="6">
        <f ca="1">$M$457*$Z$457</f>
        <v>1274.1211270186805</v>
      </c>
      <c r="AG457" s="6">
        <f>$O$457*$AA$457</f>
        <v>0</v>
      </c>
    </row>
    <row r="458" spans="1:33" ht="11.25" customHeight="1" x14ac:dyDescent="0.25">
      <c r="A458" s="4" t="s">
        <v>21</v>
      </c>
      <c r="B458" s="4" t="s">
        <v>41</v>
      </c>
      <c r="C458" s="4" t="s">
        <v>62</v>
      </c>
      <c r="D458" s="4" t="s">
        <v>25</v>
      </c>
      <c r="E458" s="4" t="s">
        <v>25</v>
      </c>
      <c r="F458" s="4" t="s">
        <v>25</v>
      </c>
      <c r="G458" s="4" t="s">
        <v>63</v>
      </c>
      <c r="H458" s="4" t="s">
        <v>36</v>
      </c>
      <c r="I458" s="5">
        <v>44774</v>
      </c>
      <c r="J458" s="6">
        <v>1545</v>
      </c>
      <c r="K458" s="6">
        <v>1545</v>
      </c>
      <c r="L458" s="6">
        <v>88.126999999999995</v>
      </c>
      <c r="M458" s="6">
        <v>88.126999999999995</v>
      </c>
      <c r="N458" s="6">
        <v>0</v>
      </c>
      <c r="O458" s="6">
        <v>0</v>
      </c>
      <c r="P458" s="6">
        <v>0</v>
      </c>
      <c r="Q458" s="4" t="s">
        <v>64</v>
      </c>
      <c r="R458" s="4">
        <v>7019</v>
      </c>
      <c r="S458" s="6">
        <v>23</v>
      </c>
      <c r="T458" s="6">
        <v>25</v>
      </c>
      <c r="U458" s="6">
        <v>0</v>
      </c>
      <c r="V458" s="6">
        <f>IF(ISERROR(VLOOKUP($S$458,'TAR FIN'!$A$1:$O$115,15,0)),0,VLOOKUP($S$458,'TAR FIN'!$A$1:$O$115,15,0))</f>
        <v>15.78</v>
      </c>
      <c r="W458" s="6">
        <f>IF(ISERROR(VLOOKUP($T$458,'TAR FIN'!$A$1:$O$115,15,0)),0,VLOOKUP($T$458,'TAR FIN'!$A$1:$O$115,15,0))</f>
        <v>10.28</v>
      </c>
      <c r="X458" s="6">
        <f>IF(ISERROR(VLOOKUP($U$458,'TAR FIN'!$A$1:$O$115,15,0)),0,VLOOKUP($U$458,'TAR FIN'!$A$1:$O$115,15,0))</f>
        <v>0</v>
      </c>
      <c r="Y458" s="6">
        <f ca="1">('TUSD BE'!$AM$23+'TUSD BF'!$AM$23+'TUSD CVA'!$AM$23)*1</f>
        <v>18.687987492602183</v>
      </c>
      <c r="Z458" s="6">
        <f ca="1">('TUSD BE'!$AM$25+'TUSD BF'!$AM$25+'TUSD CVA'!$AM$25)*1</f>
        <v>15.91855481032834</v>
      </c>
      <c r="AA458" s="6">
        <f>('TE BE'!$AB$16+'TE BF'!$AB$16+'TE CVA'!$AB$16)*1</f>
        <v>220.39434315508052</v>
      </c>
      <c r="AB458" s="6">
        <f>$K$458*$V$458</f>
        <v>24380.1</v>
      </c>
      <c r="AC458" s="6">
        <f>$M$458*$W$458</f>
        <v>905.94555999999989</v>
      </c>
      <c r="AD458" s="6">
        <f>$O$458*$X$458</f>
        <v>0</v>
      </c>
      <c r="AE458" s="6">
        <f ca="1">$K$458*$Y$458</f>
        <v>28872.940676070371</v>
      </c>
      <c r="AF458" s="6">
        <f ca="1">$M$458*$Z$458</f>
        <v>1402.8544797698055</v>
      </c>
      <c r="AG458" s="6">
        <f>$O$458*$AA$458</f>
        <v>0</v>
      </c>
    </row>
    <row r="459" spans="1:33" ht="11.25" customHeight="1" x14ac:dyDescent="0.25">
      <c r="A459" s="4" t="s">
        <v>21</v>
      </c>
      <c r="B459" s="4" t="s">
        <v>41</v>
      </c>
      <c r="C459" s="4" t="s">
        <v>62</v>
      </c>
      <c r="D459" s="4" t="s">
        <v>25</v>
      </c>
      <c r="E459" s="4" t="s">
        <v>25</v>
      </c>
      <c r="F459" s="4" t="s">
        <v>25</v>
      </c>
      <c r="G459" s="4" t="s">
        <v>63</v>
      </c>
      <c r="H459" s="4" t="s">
        <v>36</v>
      </c>
      <c r="I459" s="5">
        <v>44805</v>
      </c>
      <c r="J459" s="6">
        <v>1646</v>
      </c>
      <c r="K459" s="6">
        <v>1646</v>
      </c>
      <c r="L459" s="6">
        <v>95.625</v>
      </c>
      <c r="M459" s="6">
        <v>95.625</v>
      </c>
      <c r="N459" s="6">
        <v>0</v>
      </c>
      <c r="O459" s="6">
        <v>0</v>
      </c>
      <c r="P459" s="6">
        <v>0</v>
      </c>
      <c r="Q459" s="4" t="s">
        <v>64</v>
      </c>
      <c r="R459" s="4">
        <v>7019</v>
      </c>
      <c r="S459" s="6">
        <v>23</v>
      </c>
      <c r="T459" s="6">
        <v>25</v>
      </c>
      <c r="U459" s="6">
        <v>0</v>
      </c>
      <c r="V459" s="6">
        <f>IF(ISERROR(VLOOKUP($S$459,'TAR FIN'!$A$1:$O$115,15,0)),0,VLOOKUP($S$459,'TAR FIN'!$A$1:$O$115,15,0))</f>
        <v>15.78</v>
      </c>
      <c r="W459" s="6">
        <f>IF(ISERROR(VLOOKUP($T$459,'TAR FIN'!$A$1:$O$115,15,0)),0,VLOOKUP($T$459,'TAR FIN'!$A$1:$O$115,15,0))</f>
        <v>10.28</v>
      </c>
      <c r="X459" s="6">
        <f>IF(ISERROR(VLOOKUP($U$459,'TAR FIN'!$A$1:$O$115,15,0)),0,VLOOKUP($U$459,'TAR FIN'!$A$1:$O$115,15,0))</f>
        <v>0</v>
      </c>
      <c r="Y459" s="6">
        <f ca="1">('TUSD BE'!$AM$23+'TUSD BF'!$AM$23+'TUSD CVA'!$AM$23)*1</f>
        <v>18.687987492602183</v>
      </c>
      <c r="Z459" s="6">
        <f ca="1">('TUSD BE'!$AM$25+'TUSD BF'!$AM$25+'TUSD CVA'!$AM$25)*1</f>
        <v>15.91855481032834</v>
      </c>
      <c r="AA459" s="6">
        <f>('TE BE'!$AB$16+'TE BF'!$AB$16+'TE CVA'!$AB$16)*1</f>
        <v>220.39434315508052</v>
      </c>
      <c r="AB459" s="6">
        <f>$K$459*$V$459</f>
        <v>25973.879999999997</v>
      </c>
      <c r="AC459" s="6">
        <f>$M$459*$W$459</f>
        <v>983.02499999999998</v>
      </c>
      <c r="AD459" s="6">
        <f>$O$459*$X$459</f>
        <v>0</v>
      </c>
      <c r="AE459" s="6">
        <f ca="1">$K$459*$Y$459</f>
        <v>30760.427412823192</v>
      </c>
      <c r="AF459" s="6">
        <f ca="1">$M$459*$Z$459</f>
        <v>1522.2118037376474</v>
      </c>
      <c r="AG459" s="6">
        <f>$O$459*$AA$459</f>
        <v>0</v>
      </c>
    </row>
    <row r="460" spans="1:33" ht="11.25" customHeight="1" x14ac:dyDescent="0.25">
      <c r="A460" s="4" t="s">
        <v>21</v>
      </c>
      <c r="B460" s="4" t="s">
        <v>41</v>
      </c>
      <c r="C460" s="4" t="s">
        <v>62</v>
      </c>
      <c r="D460" s="4" t="s">
        <v>25</v>
      </c>
      <c r="E460" s="4" t="s">
        <v>25</v>
      </c>
      <c r="F460" s="4" t="s">
        <v>25</v>
      </c>
      <c r="G460" s="4" t="s">
        <v>63</v>
      </c>
      <c r="H460" s="4" t="s">
        <v>36</v>
      </c>
      <c r="I460" s="5">
        <v>44835</v>
      </c>
      <c r="J460" s="6">
        <v>1825</v>
      </c>
      <c r="K460" s="6">
        <v>1825</v>
      </c>
      <c r="L460" s="6">
        <v>93.472999999999999</v>
      </c>
      <c r="M460" s="6">
        <v>93.472999999999999</v>
      </c>
      <c r="N460" s="6">
        <v>0</v>
      </c>
      <c r="O460" s="6">
        <v>0</v>
      </c>
      <c r="P460" s="6">
        <v>0</v>
      </c>
      <c r="Q460" s="4" t="s">
        <v>64</v>
      </c>
      <c r="R460" s="4">
        <v>7019</v>
      </c>
      <c r="S460" s="6">
        <v>23</v>
      </c>
      <c r="T460" s="6">
        <v>25</v>
      </c>
      <c r="U460" s="6">
        <v>0</v>
      </c>
      <c r="V460" s="6">
        <f>IF(ISERROR(VLOOKUP($S$460,'TAR FIN'!$A$1:$O$115,15,0)),0,VLOOKUP($S$460,'TAR FIN'!$A$1:$O$115,15,0))</f>
        <v>15.78</v>
      </c>
      <c r="W460" s="6">
        <f>IF(ISERROR(VLOOKUP($T$460,'TAR FIN'!$A$1:$O$115,15,0)),0,VLOOKUP($T$460,'TAR FIN'!$A$1:$O$115,15,0))</f>
        <v>10.28</v>
      </c>
      <c r="X460" s="6">
        <f>IF(ISERROR(VLOOKUP($U$460,'TAR FIN'!$A$1:$O$115,15,0)),0,VLOOKUP($U$460,'TAR FIN'!$A$1:$O$115,15,0))</f>
        <v>0</v>
      </c>
      <c r="Y460" s="6">
        <f ca="1">('TUSD BE'!$AM$23+'TUSD BF'!$AM$23+'TUSD CVA'!$AM$23)*1</f>
        <v>18.687987492602183</v>
      </c>
      <c r="Z460" s="6">
        <f ca="1">('TUSD BE'!$AM$25+'TUSD BF'!$AM$25+'TUSD CVA'!$AM$25)*1</f>
        <v>15.91855481032834</v>
      </c>
      <c r="AA460" s="6">
        <f>('TE BE'!$AB$16+'TE BF'!$AB$16+'TE CVA'!$AB$16)*1</f>
        <v>220.39434315508052</v>
      </c>
      <c r="AB460" s="6">
        <f>$K$460*$V$460</f>
        <v>28798.5</v>
      </c>
      <c r="AC460" s="6">
        <f>$M$460*$W$460</f>
        <v>960.90243999999996</v>
      </c>
      <c r="AD460" s="6">
        <f>$O$460*$X$460</f>
        <v>0</v>
      </c>
      <c r="AE460" s="6">
        <f ca="1">$K$460*$Y$460</f>
        <v>34105.577173998987</v>
      </c>
      <c r="AF460" s="6">
        <f ca="1">$M$460*$Z$460</f>
        <v>1487.9550737858208</v>
      </c>
      <c r="AG460" s="6">
        <f>$O$460*$AA$460</f>
        <v>0</v>
      </c>
    </row>
    <row r="461" spans="1:33" ht="11.25" customHeight="1" x14ac:dyDescent="0.25">
      <c r="A461" s="4" t="s">
        <v>59</v>
      </c>
      <c r="B461" s="4" t="s">
        <v>41</v>
      </c>
      <c r="C461" s="4" t="s">
        <v>62</v>
      </c>
      <c r="D461" s="4" t="s">
        <v>25</v>
      </c>
      <c r="E461" s="4" t="s">
        <v>25</v>
      </c>
      <c r="F461" s="4" t="s">
        <v>25</v>
      </c>
      <c r="G461" s="4" t="s">
        <v>63</v>
      </c>
      <c r="H461" s="4" t="s">
        <v>36</v>
      </c>
      <c r="I461" s="5">
        <v>44866</v>
      </c>
      <c r="J461" s="6">
        <v>1825</v>
      </c>
      <c r="K461" s="6">
        <v>1825</v>
      </c>
      <c r="L461" s="6">
        <v>93.472999999999999</v>
      </c>
      <c r="M461" s="6">
        <v>93.472999999999999</v>
      </c>
      <c r="N461" s="6">
        <v>0</v>
      </c>
      <c r="O461" s="6">
        <v>0</v>
      </c>
      <c r="P461" s="6">
        <v>0</v>
      </c>
      <c r="Q461" s="4" t="s">
        <v>64</v>
      </c>
      <c r="R461" s="4">
        <v>7019</v>
      </c>
      <c r="S461" s="6">
        <v>23</v>
      </c>
      <c r="T461" s="6">
        <v>25</v>
      </c>
      <c r="U461" s="6">
        <v>0</v>
      </c>
      <c r="V461" s="6">
        <f>IF(ISERROR(VLOOKUP($S$461,'TAR FIN'!$A$1:$O$115,15,0)),0,VLOOKUP($S$461,'TAR FIN'!$A$1:$O$115,15,0))</f>
        <v>15.78</v>
      </c>
      <c r="W461" s="6">
        <f>IF(ISERROR(VLOOKUP($T$461,'TAR FIN'!$A$1:$O$115,15,0)),0,VLOOKUP($T$461,'TAR FIN'!$A$1:$O$115,15,0))</f>
        <v>10.28</v>
      </c>
      <c r="X461" s="6">
        <f>IF(ISERROR(VLOOKUP($U$461,'TAR FIN'!$A$1:$O$115,15,0)),0,VLOOKUP($U$461,'TAR FIN'!$A$1:$O$115,15,0))</f>
        <v>0</v>
      </c>
      <c r="Y461" s="6">
        <f ca="1">('TUSD BE'!$AM$23+'TUSD BF'!$AM$23+'TUSD CVA'!$AM$23)*1</f>
        <v>18.687987492602183</v>
      </c>
      <c r="Z461" s="6">
        <f ca="1">('TUSD BE'!$AM$25+'TUSD BF'!$AM$25+'TUSD CVA'!$AM$25)*1</f>
        <v>15.91855481032834</v>
      </c>
      <c r="AA461" s="6">
        <f>('TE BE'!$AB$16+'TE BF'!$AB$16+'TE CVA'!$AB$16)*1</f>
        <v>220.39434315508052</v>
      </c>
      <c r="AB461" s="6">
        <f>$K$461*$V$461</f>
        <v>28798.5</v>
      </c>
      <c r="AC461" s="6">
        <f>$M$461*$W$461</f>
        <v>960.90243999999996</v>
      </c>
      <c r="AD461" s="6">
        <f>$O$461*$X$461</f>
        <v>0</v>
      </c>
      <c r="AE461" s="6">
        <f ca="1">$K$461*$Y$461</f>
        <v>34105.577173998987</v>
      </c>
      <c r="AF461" s="6">
        <f ca="1">$M$461*$Z$461</f>
        <v>1487.9550737858208</v>
      </c>
      <c r="AG461" s="6">
        <f>$O$461*$AA$461</f>
        <v>0</v>
      </c>
    </row>
    <row r="462" spans="1:33" ht="11.25" customHeight="1" x14ac:dyDescent="0.25">
      <c r="A462" s="4" t="s">
        <v>21</v>
      </c>
      <c r="B462" s="4" t="s">
        <v>41</v>
      </c>
      <c r="C462" s="4" t="s">
        <v>44</v>
      </c>
      <c r="D462" s="4" t="s">
        <v>45</v>
      </c>
      <c r="E462" s="4" t="s">
        <v>25</v>
      </c>
      <c r="F462" s="4" t="s">
        <v>25</v>
      </c>
      <c r="G462" s="4" t="s">
        <v>25</v>
      </c>
      <c r="H462" s="4" t="s">
        <v>37</v>
      </c>
      <c r="I462" s="5">
        <v>44531</v>
      </c>
      <c r="J462" s="6">
        <v>0</v>
      </c>
      <c r="K462" s="6">
        <v>0</v>
      </c>
      <c r="L462" s="6">
        <v>3464.0770000000002</v>
      </c>
      <c r="M462" s="6">
        <v>3464.0770000000002</v>
      </c>
      <c r="N462" s="6">
        <v>3464.0770000000002</v>
      </c>
      <c r="O462" s="6">
        <v>3464.0770000000002</v>
      </c>
      <c r="P462" s="6">
        <v>0</v>
      </c>
      <c r="Q462" s="4" t="s">
        <v>26</v>
      </c>
      <c r="R462" s="4">
        <v>0</v>
      </c>
      <c r="S462" s="6">
        <v>0</v>
      </c>
      <c r="T462" s="6">
        <v>29</v>
      </c>
      <c r="U462" s="6">
        <v>75</v>
      </c>
      <c r="V462" s="6">
        <f>IF(ISERROR(VLOOKUP($S$462,'TAR FIN'!$A$1:$O$115,15,0)),0,VLOOKUP($S$462,'TAR FIN'!$A$1:$O$115,15,0))</f>
        <v>0</v>
      </c>
      <c r="W462" s="6">
        <f>IF(ISERROR(VLOOKUP($T$462,'TAR FIN'!$A$1:$O$115,15,0)),0,VLOOKUP($T$462,'TAR FIN'!$A$1:$O$115,15,0))</f>
        <v>84.31</v>
      </c>
      <c r="X462" s="6">
        <f>IF(ISERROR(VLOOKUP($U$462,'TAR FIN'!$A$1:$O$115,15,0)),0,VLOOKUP($U$462,'TAR FIN'!$A$1:$O$115,15,0))</f>
        <v>168.06</v>
      </c>
      <c r="Y462" s="6"/>
      <c r="Z462" s="6">
        <f ca="1">('TUSD BE'!$AM$29+'TUSD BF'!$AM$29+'TUSD CVA'!$AM$29)*1</f>
        <v>113.43121292628391</v>
      </c>
      <c r="AA462" s="6">
        <f>('TE BE'!$AB$12+'TE BF'!$AB$12+'TE CVA'!$AB$12)*1</f>
        <v>218.6854278594964</v>
      </c>
      <c r="AB462" s="6">
        <f>$K$462*$V$462</f>
        <v>0</v>
      </c>
      <c r="AC462" s="6">
        <f>$M$462*$W$462</f>
        <v>292056.33187000005</v>
      </c>
      <c r="AD462" s="6">
        <f>$O$462*$X$462</f>
        <v>582172.78062000009</v>
      </c>
      <c r="AE462" s="6">
        <f>$K$462*$Y$462</f>
        <v>0</v>
      </c>
      <c r="AF462" s="6">
        <f ca="1">$M$462*$Z$462</f>
        <v>392934.4557800428</v>
      </c>
      <c r="AG462" s="6">
        <f>$O$462*$AA$462</f>
        <v>757543.16088324075</v>
      </c>
    </row>
    <row r="463" spans="1:33" ht="11.25" customHeight="1" x14ac:dyDescent="0.25">
      <c r="A463" s="4" t="s">
        <v>27</v>
      </c>
      <c r="B463" s="4" t="s">
        <v>41</v>
      </c>
      <c r="C463" s="4" t="s">
        <v>44</v>
      </c>
      <c r="D463" s="4" t="s">
        <v>45</v>
      </c>
      <c r="E463" s="4" t="s">
        <v>25</v>
      </c>
      <c r="F463" s="4" t="s">
        <v>25</v>
      </c>
      <c r="G463" s="4" t="s">
        <v>25</v>
      </c>
      <c r="H463" s="4" t="s">
        <v>37</v>
      </c>
      <c r="I463" s="5">
        <v>44531</v>
      </c>
      <c r="J463" s="6">
        <v>0</v>
      </c>
      <c r="K463" s="6">
        <v>0</v>
      </c>
      <c r="L463" s="6">
        <v>-128.5</v>
      </c>
      <c r="M463" s="6">
        <v>-128.5</v>
      </c>
      <c r="N463" s="6">
        <v>-128.5</v>
      </c>
      <c r="O463" s="6">
        <v>-128.5</v>
      </c>
      <c r="P463" s="6">
        <v>0</v>
      </c>
      <c r="Q463" s="4" t="s">
        <v>26</v>
      </c>
      <c r="R463" s="4">
        <v>0</v>
      </c>
      <c r="S463" s="6">
        <v>0</v>
      </c>
      <c r="T463" s="6">
        <v>29</v>
      </c>
      <c r="U463" s="6">
        <v>75</v>
      </c>
      <c r="V463" s="6">
        <f>IF(ISERROR(VLOOKUP($S$463,'TAR FIN'!$A$1:$O$115,15,0)),0,VLOOKUP($S$463,'TAR FIN'!$A$1:$O$115,15,0))</f>
        <v>0</v>
      </c>
      <c r="W463" s="6">
        <f>IF(ISERROR(VLOOKUP($T$463,'TAR FIN'!$A$1:$O$115,15,0)),0,VLOOKUP($T$463,'TAR FIN'!$A$1:$O$115,15,0))</f>
        <v>84.31</v>
      </c>
      <c r="X463" s="6">
        <f>IF(ISERROR(VLOOKUP($U$463,'TAR FIN'!$A$1:$O$115,15,0)),0,VLOOKUP($U$463,'TAR FIN'!$A$1:$O$115,15,0))</f>
        <v>168.06</v>
      </c>
      <c r="Y463" s="6"/>
      <c r="Z463" s="6">
        <f ca="1">('TUSD BE'!$AM$29+'TUSD BF'!$AM$29+'TUSD CVA'!$AM$29)*1</f>
        <v>113.43121292628391</v>
      </c>
      <c r="AA463" s="6">
        <f>('TE BE'!$AB$12+'TE BF'!$AB$12+'TE CVA'!$AB$12)*1</f>
        <v>218.6854278594964</v>
      </c>
      <c r="AB463" s="6">
        <f>$K$463*$V$463</f>
        <v>0</v>
      </c>
      <c r="AC463" s="6">
        <f>$M$463*$W$463</f>
        <v>-10833.835000000001</v>
      </c>
      <c r="AD463" s="6">
        <f>$O$463*$X$463</f>
        <v>-21595.71</v>
      </c>
      <c r="AE463" s="6">
        <f>$K$463*$Y$463</f>
        <v>0</v>
      </c>
      <c r="AF463" s="6">
        <f ca="1">$M$463*$Z$463</f>
        <v>-14575.910861027482</v>
      </c>
      <c r="AG463" s="6">
        <f>$O$463*$AA$463</f>
        <v>-28101.077479945288</v>
      </c>
    </row>
    <row r="464" spans="1:33" ht="11.25" customHeight="1" x14ac:dyDescent="0.25">
      <c r="A464" s="4" t="s">
        <v>28</v>
      </c>
      <c r="B464" s="4" t="s">
        <v>41</v>
      </c>
      <c r="C464" s="4" t="s">
        <v>44</v>
      </c>
      <c r="D464" s="4" t="s">
        <v>45</v>
      </c>
      <c r="E464" s="4" t="s">
        <v>25</v>
      </c>
      <c r="F464" s="4" t="s">
        <v>25</v>
      </c>
      <c r="G464" s="4" t="s">
        <v>25</v>
      </c>
      <c r="H464" s="4" t="s">
        <v>37</v>
      </c>
      <c r="I464" s="5">
        <v>44531</v>
      </c>
      <c r="J464" s="6">
        <v>0</v>
      </c>
      <c r="K464" s="6">
        <v>0</v>
      </c>
      <c r="L464" s="6">
        <v>694.93299999999999</v>
      </c>
      <c r="M464" s="6">
        <v>694.93299999999999</v>
      </c>
      <c r="N464" s="6">
        <v>694.93299999999999</v>
      </c>
      <c r="O464" s="6">
        <v>694.93299999999999</v>
      </c>
      <c r="P464" s="6">
        <v>0</v>
      </c>
      <c r="Q464" s="4" t="s">
        <v>26</v>
      </c>
      <c r="R464" s="4">
        <v>0</v>
      </c>
      <c r="S464" s="6">
        <v>0</v>
      </c>
      <c r="T464" s="6">
        <v>29</v>
      </c>
      <c r="U464" s="6">
        <v>75</v>
      </c>
      <c r="V464" s="6">
        <f>IF(ISERROR(VLOOKUP($S$464,'TAR FIN'!$A$1:$O$115,15,0)),0,VLOOKUP($S$464,'TAR FIN'!$A$1:$O$115,15,0))</f>
        <v>0</v>
      </c>
      <c r="W464" s="6">
        <f>IF(ISERROR(VLOOKUP($T$464,'TAR FIN'!$A$1:$O$115,15,0)),0,VLOOKUP($T$464,'TAR FIN'!$A$1:$O$115,15,0))</f>
        <v>84.31</v>
      </c>
      <c r="X464" s="6">
        <f>IF(ISERROR(VLOOKUP($U$464,'TAR FIN'!$A$1:$O$115,15,0)),0,VLOOKUP($U$464,'TAR FIN'!$A$1:$O$115,15,0))</f>
        <v>168.06</v>
      </c>
      <c r="Y464" s="6"/>
      <c r="Z464" s="6">
        <f ca="1">('TUSD BE'!$AM$29+'TUSD BF'!$AM$29+'TUSD CVA'!$AM$29)*1</f>
        <v>113.43121292628391</v>
      </c>
      <c r="AA464" s="6">
        <f>('TE BE'!$AB$12+'TE BF'!$AB$12+'TE CVA'!$AB$12)*1</f>
        <v>218.6854278594964</v>
      </c>
      <c r="AB464" s="6">
        <f>$K$464*$V$464</f>
        <v>0</v>
      </c>
      <c r="AC464" s="6">
        <f>$M$464*$W$464</f>
        <v>58589.801230000005</v>
      </c>
      <c r="AD464" s="6">
        <f>$O$464*$X$464</f>
        <v>116790.43998</v>
      </c>
      <c r="AE464" s="6">
        <f>$K$464*$Y$464</f>
        <v>0</v>
      </c>
      <c r="AF464" s="6">
        <f ca="1">$M$464*$Z$464</f>
        <v>78827.093092501251</v>
      </c>
      <c r="AG464" s="6">
        <f>$O$464*$AA$464</f>
        <v>151971.72043868341</v>
      </c>
    </row>
    <row r="465" spans="1:33" ht="11.25" customHeight="1" x14ac:dyDescent="0.25">
      <c r="A465" s="4" t="s">
        <v>29</v>
      </c>
      <c r="B465" s="4" t="s">
        <v>41</v>
      </c>
      <c r="C465" s="4" t="s">
        <v>44</v>
      </c>
      <c r="D465" s="4" t="s">
        <v>45</v>
      </c>
      <c r="E465" s="4" t="s">
        <v>25</v>
      </c>
      <c r="F465" s="4" t="s">
        <v>25</v>
      </c>
      <c r="G465" s="4" t="s">
        <v>25</v>
      </c>
      <c r="H465" s="4" t="s">
        <v>37</v>
      </c>
      <c r="I465" s="5">
        <v>44531</v>
      </c>
      <c r="J465" s="6">
        <v>0</v>
      </c>
      <c r="K465" s="6">
        <v>0</v>
      </c>
      <c r="L465" s="6">
        <v>-7.3639999999999999</v>
      </c>
      <c r="M465" s="6">
        <v>-7.3639999999999999</v>
      </c>
      <c r="N465" s="6">
        <v>-7.3639999999999999</v>
      </c>
      <c r="O465" s="6">
        <v>-7.3639999999999999</v>
      </c>
      <c r="P465" s="6">
        <v>0</v>
      </c>
      <c r="Q465" s="4" t="s">
        <v>26</v>
      </c>
      <c r="R465" s="4">
        <v>0</v>
      </c>
      <c r="S465" s="6">
        <v>0</v>
      </c>
      <c r="T465" s="6">
        <v>29</v>
      </c>
      <c r="U465" s="6">
        <v>75</v>
      </c>
      <c r="V465" s="6">
        <f>IF(ISERROR(VLOOKUP($S$465,'TAR FIN'!$A$1:$O$115,15,0)),0,VLOOKUP($S$465,'TAR FIN'!$A$1:$O$115,15,0))</f>
        <v>0</v>
      </c>
      <c r="W465" s="6">
        <f>IF(ISERROR(VLOOKUP($T$465,'TAR FIN'!$A$1:$O$115,15,0)),0,VLOOKUP($T$465,'TAR FIN'!$A$1:$O$115,15,0))</f>
        <v>84.31</v>
      </c>
      <c r="X465" s="6">
        <f>IF(ISERROR(VLOOKUP($U$465,'TAR FIN'!$A$1:$O$115,15,0)),0,VLOOKUP($U$465,'TAR FIN'!$A$1:$O$115,15,0))</f>
        <v>168.06</v>
      </c>
      <c r="Y465" s="6"/>
      <c r="Z465" s="6">
        <f ca="1">('TUSD BE'!$AM$29+'TUSD BF'!$AM$29+'TUSD CVA'!$AM$29)*1</f>
        <v>113.43121292628391</v>
      </c>
      <c r="AA465" s="6">
        <f>('TE BE'!$AB$12+'TE BF'!$AB$12+'TE CVA'!$AB$12)*1</f>
        <v>218.6854278594964</v>
      </c>
      <c r="AB465" s="6">
        <f>$K$465*$V$465</f>
        <v>0</v>
      </c>
      <c r="AC465" s="6">
        <f>$M$465*$W$465</f>
        <v>-620.85883999999999</v>
      </c>
      <c r="AD465" s="6">
        <f>$O$465*$X$465</f>
        <v>-1237.59384</v>
      </c>
      <c r="AE465" s="6">
        <f>$K$465*$Y$465</f>
        <v>0</v>
      </c>
      <c r="AF465" s="6">
        <f ca="1">$M$465*$Z$465</f>
        <v>-835.30745198915463</v>
      </c>
      <c r="AG465" s="6">
        <f>$O$465*$AA$465</f>
        <v>-1610.3994907573315</v>
      </c>
    </row>
    <row r="466" spans="1:33" ht="11.25" customHeight="1" x14ac:dyDescent="0.25">
      <c r="A466" s="4" t="s">
        <v>30</v>
      </c>
      <c r="B466" s="4" t="s">
        <v>41</v>
      </c>
      <c r="C466" s="4" t="s">
        <v>44</v>
      </c>
      <c r="D466" s="4" t="s">
        <v>45</v>
      </c>
      <c r="E466" s="4" t="s">
        <v>25</v>
      </c>
      <c r="F466" s="4" t="s">
        <v>25</v>
      </c>
      <c r="G466" s="4" t="s">
        <v>25</v>
      </c>
      <c r="H466" s="4" t="s">
        <v>37</v>
      </c>
      <c r="I466" s="5">
        <v>44531</v>
      </c>
      <c r="J466" s="6">
        <v>0</v>
      </c>
      <c r="K466" s="6">
        <v>0</v>
      </c>
      <c r="L466" s="6">
        <v>397.14600000000002</v>
      </c>
      <c r="M466" s="6">
        <v>397.14600000000002</v>
      </c>
      <c r="N466" s="6">
        <v>397.14600000000002</v>
      </c>
      <c r="O466" s="6">
        <v>397.14600000000002</v>
      </c>
      <c r="P466" s="6">
        <v>0</v>
      </c>
      <c r="Q466" s="4" t="s">
        <v>26</v>
      </c>
      <c r="R466" s="4">
        <v>0</v>
      </c>
      <c r="S466" s="6">
        <v>0</v>
      </c>
      <c r="T466" s="6">
        <v>29</v>
      </c>
      <c r="U466" s="6">
        <v>75</v>
      </c>
      <c r="V466" s="6">
        <f>IF(ISERROR(VLOOKUP($S$466,'TAR FIN'!$A$1:$O$115,15,0)),0,VLOOKUP($S$466,'TAR FIN'!$A$1:$O$115,15,0))</f>
        <v>0</v>
      </c>
      <c r="W466" s="6">
        <f>IF(ISERROR(VLOOKUP($T$466,'TAR FIN'!$A$1:$O$115,15,0)),0,VLOOKUP($T$466,'TAR FIN'!$A$1:$O$115,15,0))</f>
        <v>84.31</v>
      </c>
      <c r="X466" s="6">
        <f>IF(ISERROR(VLOOKUP($U$466,'TAR FIN'!$A$1:$O$115,15,0)),0,VLOOKUP($U$466,'TAR FIN'!$A$1:$O$115,15,0))</f>
        <v>168.06</v>
      </c>
      <c r="Y466" s="6"/>
      <c r="Z466" s="6">
        <f ca="1">('TUSD BE'!$AM$29+'TUSD BF'!$AM$29+'TUSD CVA'!$AM$29)*1</f>
        <v>113.43121292628391</v>
      </c>
      <c r="AA466" s="6">
        <f>('TE BE'!$AB$12+'TE BF'!$AB$12+'TE CVA'!$AB$12)*1</f>
        <v>218.6854278594964</v>
      </c>
      <c r="AB466" s="6">
        <f>$K$466*$V$466</f>
        <v>0</v>
      </c>
      <c r="AC466" s="6">
        <f>$M$466*$W$466</f>
        <v>33483.379260000002</v>
      </c>
      <c r="AD466" s="6">
        <f>$O$466*$X$466</f>
        <v>66744.35676000001</v>
      </c>
      <c r="AE466" s="6">
        <f>$K$466*$Y$466</f>
        <v>0</v>
      </c>
      <c r="AF466" s="6">
        <f ca="1">$M$466*$Z$466</f>
        <v>45048.752488821949</v>
      </c>
      <c r="AG466" s="6">
        <f>$O$466*$AA$466</f>
        <v>86850.04293268756</v>
      </c>
    </row>
    <row r="467" spans="1:33" ht="11.25" customHeight="1" x14ac:dyDescent="0.25">
      <c r="A467" s="4" t="s">
        <v>21</v>
      </c>
      <c r="B467" s="4" t="s">
        <v>41</v>
      </c>
      <c r="C467" s="4" t="s">
        <v>44</v>
      </c>
      <c r="D467" s="4" t="s">
        <v>45</v>
      </c>
      <c r="E467" s="4" t="s">
        <v>25</v>
      </c>
      <c r="F467" s="4" t="s">
        <v>25</v>
      </c>
      <c r="G467" s="4" t="s">
        <v>25</v>
      </c>
      <c r="H467" s="4" t="s">
        <v>37</v>
      </c>
      <c r="I467" s="5">
        <v>44562</v>
      </c>
      <c r="J467" s="6">
        <v>0</v>
      </c>
      <c r="K467" s="6">
        <v>0</v>
      </c>
      <c r="L467" s="6">
        <v>3297.8809999999999</v>
      </c>
      <c r="M467" s="6">
        <v>3297.8809999999999</v>
      </c>
      <c r="N467" s="6">
        <v>3297.8809999999999</v>
      </c>
      <c r="O467" s="6">
        <v>3297.8809999999999</v>
      </c>
      <c r="P467" s="6">
        <v>0</v>
      </c>
      <c r="Q467" s="4" t="s">
        <v>26</v>
      </c>
      <c r="R467" s="4">
        <v>0</v>
      </c>
      <c r="S467" s="6">
        <v>0</v>
      </c>
      <c r="T467" s="6">
        <v>29</v>
      </c>
      <c r="U467" s="6">
        <v>75</v>
      </c>
      <c r="V467" s="6">
        <f>IF(ISERROR(VLOOKUP($S$467,'TAR FIN'!$A$1:$O$115,15,0)),0,VLOOKUP($S$467,'TAR FIN'!$A$1:$O$115,15,0))</f>
        <v>0</v>
      </c>
      <c r="W467" s="6">
        <f>IF(ISERROR(VLOOKUP($T$467,'TAR FIN'!$A$1:$O$115,15,0)),0,VLOOKUP($T$467,'TAR FIN'!$A$1:$O$115,15,0))</f>
        <v>84.31</v>
      </c>
      <c r="X467" s="6">
        <f>IF(ISERROR(VLOOKUP($U$467,'TAR FIN'!$A$1:$O$115,15,0)),0,VLOOKUP($U$467,'TAR FIN'!$A$1:$O$115,15,0))</f>
        <v>168.06</v>
      </c>
      <c r="Y467" s="6"/>
      <c r="Z467" s="6">
        <f ca="1">('TUSD BE'!$AM$29+'TUSD BF'!$AM$29+'TUSD CVA'!$AM$29)*1</f>
        <v>113.43121292628391</v>
      </c>
      <c r="AA467" s="6">
        <f>('TE BE'!$AB$12+'TE BF'!$AB$12+'TE CVA'!$AB$12)*1</f>
        <v>218.6854278594964</v>
      </c>
      <c r="AB467" s="6">
        <f>$K$467*$V$467</f>
        <v>0</v>
      </c>
      <c r="AC467" s="6">
        <f>$M$467*$W$467</f>
        <v>278044.34710999997</v>
      </c>
      <c r="AD467" s="6">
        <f>$O$467*$X$467</f>
        <v>554241.88086000003</v>
      </c>
      <c r="AE467" s="6">
        <f>$K$467*$Y$467</f>
        <v>0</v>
      </c>
      <c r="AF467" s="6">
        <f ca="1">$M$467*$Z$467</f>
        <v>374082.6419165461</v>
      </c>
      <c r="AG467" s="6">
        <f>$O$467*$AA$467</f>
        <v>721198.5175147038</v>
      </c>
    </row>
    <row r="468" spans="1:33" ht="11.25" customHeight="1" x14ac:dyDescent="0.25">
      <c r="A468" s="4" t="s">
        <v>27</v>
      </c>
      <c r="B468" s="4" t="s">
        <v>41</v>
      </c>
      <c r="C468" s="4" t="s">
        <v>44</v>
      </c>
      <c r="D468" s="4" t="s">
        <v>45</v>
      </c>
      <c r="E468" s="4" t="s">
        <v>25</v>
      </c>
      <c r="F468" s="4" t="s">
        <v>25</v>
      </c>
      <c r="G468" s="4" t="s">
        <v>25</v>
      </c>
      <c r="H468" s="4" t="s">
        <v>37</v>
      </c>
      <c r="I468" s="5">
        <v>44562</v>
      </c>
      <c r="J468" s="6">
        <v>0</v>
      </c>
      <c r="K468" s="6">
        <v>0</v>
      </c>
      <c r="L468" s="6">
        <v>-33.488999999999997</v>
      </c>
      <c r="M468" s="6">
        <v>-33.488999999999997</v>
      </c>
      <c r="N468" s="6">
        <v>-33.488999999999997</v>
      </c>
      <c r="O468" s="6">
        <v>-33.488999999999997</v>
      </c>
      <c r="P468" s="6">
        <v>0</v>
      </c>
      <c r="Q468" s="4" t="s">
        <v>26</v>
      </c>
      <c r="R468" s="4">
        <v>0</v>
      </c>
      <c r="S468" s="6">
        <v>0</v>
      </c>
      <c r="T468" s="6">
        <v>29</v>
      </c>
      <c r="U468" s="6">
        <v>75</v>
      </c>
      <c r="V468" s="6">
        <f>IF(ISERROR(VLOOKUP($S$468,'TAR FIN'!$A$1:$O$115,15,0)),0,VLOOKUP($S$468,'TAR FIN'!$A$1:$O$115,15,0))</f>
        <v>0</v>
      </c>
      <c r="W468" s="6">
        <f>IF(ISERROR(VLOOKUP($T$468,'TAR FIN'!$A$1:$O$115,15,0)),0,VLOOKUP($T$468,'TAR FIN'!$A$1:$O$115,15,0))</f>
        <v>84.31</v>
      </c>
      <c r="X468" s="6">
        <f>IF(ISERROR(VLOOKUP($U$468,'TAR FIN'!$A$1:$O$115,15,0)),0,VLOOKUP($U$468,'TAR FIN'!$A$1:$O$115,15,0))</f>
        <v>168.06</v>
      </c>
      <c r="Y468" s="6"/>
      <c r="Z468" s="6">
        <f ca="1">('TUSD BE'!$AM$29+'TUSD BF'!$AM$29+'TUSD CVA'!$AM$29)*1</f>
        <v>113.43121292628391</v>
      </c>
      <c r="AA468" s="6">
        <f>('TE BE'!$AB$12+'TE BF'!$AB$12+'TE CVA'!$AB$12)*1</f>
        <v>218.6854278594964</v>
      </c>
      <c r="AB468" s="6">
        <f>$K$468*$V$468</f>
        <v>0</v>
      </c>
      <c r="AC468" s="6">
        <f>$M$468*$W$468</f>
        <v>-2823.45759</v>
      </c>
      <c r="AD468" s="6">
        <f>$O$468*$X$468</f>
        <v>-5628.1613399999997</v>
      </c>
      <c r="AE468" s="6">
        <f>$K$468*$Y$468</f>
        <v>0</v>
      </c>
      <c r="AF468" s="6">
        <f ca="1">$M$468*$Z$468</f>
        <v>-3798.6978896883215</v>
      </c>
      <c r="AG468" s="6">
        <f>$O$468*$AA$468</f>
        <v>-7323.5562935866747</v>
      </c>
    </row>
    <row r="469" spans="1:33" ht="11.25" customHeight="1" x14ac:dyDescent="0.25">
      <c r="A469" s="4" t="s">
        <v>28</v>
      </c>
      <c r="B469" s="4" t="s">
        <v>41</v>
      </c>
      <c r="C469" s="4" t="s">
        <v>44</v>
      </c>
      <c r="D469" s="4" t="s">
        <v>45</v>
      </c>
      <c r="E469" s="4" t="s">
        <v>25</v>
      </c>
      <c r="F469" s="4" t="s">
        <v>25</v>
      </c>
      <c r="G469" s="4" t="s">
        <v>25</v>
      </c>
      <c r="H469" s="4" t="s">
        <v>37</v>
      </c>
      <c r="I469" s="5">
        <v>44562</v>
      </c>
      <c r="J469" s="6">
        <v>0</v>
      </c>
      <c r="K469" s="6">
        <v>0</v>
      </c>
      <c r="L469" s="6">
        <v>695.87900000000002</v>
      </c>
      <c r="M469" s="6">
        <v>695.87900000000002</v>
      </c>
      <c r="N469" s="6">
        <v>695.87900000000002</v>
      </c>
      <c r="O469" s="6">
        <v>695.87900000000002</v>
      </c>
      <c r="P469" s="6">
        <v>0</v>
      </c>
      <c r="Q469" s="4" t="s">
        <v>26</v>
      </c>
      <c r="R469" s="4">
        <v>0</v>
      </c>
      <c r="S469" s="6">
        <v>0</v>
      </c>
      <c r="T469" s="6">
        <v>29</v>
      </c>
      <c r="U469" s="6">
        <v>75</v>
      </c>
      <c r="V469" s="6">
        <f>IF(ISERROR(VLOOKUP($S$469,'TAR FIN'!$A$1:$O$115,15,0)),0,VLOOKUP($S$469,'TAR FIN'!$A$1:$O$115,15,0))</f>
        <v>0</v>
      </c>
      <c r="W469" s="6">
        <f>IF(ISERROR(VLOOKUP($T$469,'TAR FIN'!$A$1:$O$115,15,0)),0,VLOOKUP($T$469,'TAR FIN'!$A$1:$O$115,15,0))</f>
        <v>84.31</v>
      </c>
      <c r="X469" s="6">
        <f>IF(ISERROR(VLOOKUP($U$469,'TAR FIN'!$A$1:$O$115,15,0)),0,VLOOKUP($U$469,'TAR FIN'!$A$1:$O$115,15,0))</f>
        <v>168.06</v>
      </c>
      <c r="Y469" s="6"/>
      <c r="Z469" s="6">
        <f ca="1">('TUSD BE'!$AM$29+'TUSD BF'!$AM$29+'TUSD CVA'!$AM$29)*1</f>
        <v>113.43121292628391</v>
      </c>
      <c r="AA469" s="6">
        <f>('TE BE'!$AB$12+'TE BF'!$AB$12+'TE CVA'!$AB$12)*1</f>
        <v>218.6854278594964</v>
      </c>
      <c r="AB469" s="6">
        <f>$K$469*$V$469</f>
        <v>0</v>
      </c>
      <c r="AC469" s="6">
        <f>$M$469*$W$469</f>
        <v>58669.558490000003</v>
      </c>
      <c r="AD469" s="6">
        <f>$O$469*$X$469</f>
        <v>116949.42474</v>
      </c>
      <c r="AE469" s="6">
        <f>$K$469*$Y$469</f>
        <v>0</v>
      </c>
      <c r="AF469" s="6">
        <f ca="1">$M$469*$Z$469</f>
        <v>78934.399019929522</v>
      </c>
      <c r="AG469" s="6">
        <f>$O$469*$AA$469</f>
        <v>152178.5968534385</v>
      </c>
    </row>
    <row r="470" spans="1:33" ht="11.25" customHeight="1" x14ac:dyDescent="0.25">
      <c r="A470" s="4" t="s">
        <v>30</v>
      </c>
      <c r="B470" s="4" t="s">
        <v>41</v>
      </c>
      <c r="C470" s="4" t="s">
        <v>44</v>
      </c>
      <c r="D470" s="4" t="s">
        <v>45</v>
      </c>
      <c r="E470" s="4" t="s">
        <v>25</v>
      </c>
      <c r="F470" s="4" t="s">
        <v>25</v>
      </c>
      <c r="G470" s="4" t="s">
        <v>25</v>
      </c>
      <c r="H470" s="4" t="s">
        <v>37</v>
      </c>
      <c r="I470" s="5">
        <v>44562</v>
      </c>
      <c r="J470" s="6">
        <v>0</v>
      </c>
      <c r="K470" s="6">
        <v>0</v>
      </c>
      <c r="L470" s="6">
        <v>360.56900000000002</v>
      </c>
      <c r="M470" s="6">
        <v>360.56900000000002</v>
      </c>
      <c r="N470" s="6">
        <v>360.56900000000002</v>
      </c>
      <c r="O470" s="6">
        <v>360.56900000000002</v>
      </c>
      <c r="P470" s="6">
        <v>0</v>
      </c>
      <c r="Q470" s="4" t="s">
        <v>26</v>
      </c>
      <c r="R470" s="4">
        <v>0</v>
      </c>
      <c r="S470" s="6">
        <v>0</v>
      </c>
      <c r="T470" s="6">
        <v>29</v>
      </c>
      <c r="U470" s="6">
        <v>75</v>
      </c>
      <c r="V470" s="6">
        <f>IF(ISERROR(VLOOKUP($S$470,'TAR FIN'!$A$1:$O$115,15,0)),0,VLOOKUP($S$470,'TAR FIN'!$A$1:$O$115,15,0))</f>
        <v>0</v>
      </c>
      <c r="W470" s="6">
        <f>IF(ISERROR(VLOOKUP($T$470,'TAR FIN'!$A$1:$O$115,15,0)),0,VLOOKUP($T$470,'TAR FIN'!$A$1:$O$115,15,0))</f>
        <v>84.31</v>
      </c>
      <c r="X470" s="6">
        <f>IF(ISERROR(VLOOKUP($U$470,'TAR FIN'!$A$1:$O$115,15,0)),0,VLOOKUP($U$470,'TAR FIN'!$A$1:$O$115,15,0))</f>
        <v>168.06</v>
      </c>
      <c r="Y470" s="6"/>
      <c r="Z470" s="6">
        <f ca="1">('TUSD BE'!$AM$29+'TUSD BF'!$AM$29+'TUSD CVA'!$AM$29)*1</f>
        <v>113.43121292628391</v>
      </c>
      <c r="AA470" s="6">
        <f>('TE BE'!$AB$12+'TE BF'!$AB$12+'TE CVA'!$AB$12)*1</f>
        <v>218.6854278594964</v>
      </c>
      <c r="AB470" s="6">
        <f>$K$470*$V$470</f>
        <v>0</v>
      </c>
      <c r="AC470" s="6">
        <f>$M$470*$W$470</f>
        <v>30399.572390000001</v>
      </c>
      <c r="AD470" s="6">
        <f>$O$470*$X$470</f>
        <v>60597.226140000006</v>
      </c>
      <c r="AE470" s="6">
        <f>$K$470*$Y$470</f>
        <v>0</v>
      </c>
      <c r="AF470" s="6">
        <f ca="1">$M$470*$Z$470</f>
        <v>40899.779013617263</v>
      </c>
      <c r="AG470" s="6">
        <f>$O$470*$AA$470</f>
        <v>78851.186037870764</v>
      </c>
    </row>
    <row r="471" spans="1:33" ht="11.25" customHeight="1" x14ac:dyDescent="0.25">
      <c r="A471" s="4" t="s">
        <v>30</v>
      </c>
      <c r="B471" s="4" t="s">
        <v>41</v>
      </c>
      <c r="C471" s="4" t="s">
        <v>44</v>
      </c>
      <c r="D471" s="4" t="s">
        <v>45</v>
      </c>
      <c r="E471" s="4" t="s">
        <v>25</v>
      </c>
      <c r="F471" s="4" t="s">
        <v>25</v>
      </c>
      <c r="G471" s="4" t="s">
        <v>25</v>
      </c>
      <c r="H471" s="4" t="s">
        <v>37</v>
      </c>
      <c r="I471" s="5">
        <v>44562</v>
      </c>
      <c r="J471" s="6">
        <v>0</v>
      </c>
      <c r="K471" s="6">
        <v>0</v>
      </c>
      <c r="L471" s="6">
        <v>-38.402000000000001</v>
      </c>
      <c r="M471" s="6">
        <v>-38.402000000000001</v>
      </c>
      <c r="N471" s="6">
        <v>-38.402000000000001</v>
      </c>
      <c r="O471" s="6">
        <v>-38.402000000000001</v>
      </c>
      <c r="P471" s="6">
        <v>0</v>
      </c>
      <c r="Q471" s="4" t="s">
        <v>26</v>
      </c>
      <c r="R471" s="4">
        <v>0</v>
      </c>
      <c r="S471" s="6">
        <v>0</v>
      </c>
      <c r="T471" s="6">
        <v>29</v>
      </c>
      <c r="U471" s="6">
        <v>75</v>
      </c>
      <c r="V471" s="6">
        <f>IF(ISERROR(VLOOKUP($S$471,'TAR FIN'!$A$1:$O$115,15,0)),0,VLOOKUP($S$471,'TAR FIN'!$A$1:$O$115,15,0))</f>
        <v>0</v>
      </c>
      <c r="W471" s="6">
        <f>IF(ISERROR(VLOOKUP($T$471,'TAR FIN'!$A$1:$O$115,15,0)),0,VLOOKUP($T$471,'TAR FIN'!$A$1:$O$115,15,0))</f>
        <v>84.31</v>
      </c>
      <c r="X471" s="6">
        <f>IF(ISERROR(VLOOKUP($U$471,'TAR FIN'!$A$1:$O$115,15,0)),0,VLOOKUP($U$471,'TAR FIN'!$A$1:$O$115,15,0))</f>
        <v>168.06</v>
      </c>
      <c r="Y471" s="6"/>
      <c r="Z471" s="6">
        <f ca="1">('TUSD BE'!$AM$29+'TUSD BF'!$AM$29+'TUSD CVA'!$AM$29)*1</f>
        <v>113.43121292628391</v>
      </c>
      <c r="AA471" s="6">
        <f>('TE BE'!$AB$12+'TE BF'!$AB$12+'TE CVA'!$AB$12)*1</f>
        <v>218.6854278594964</v>
      </c>
      <c r="AB471" s="6">
        <f>$K$471*$V$471</f>
        <v>0</v>
      </c>
      <c r="AC471" s="6">
        <f>$M$471*$W$471</f>
        <v>-3237.6726200000003</v>
      </c>
      <c r="AD471" s="6">
        <f>$O$471*$X$471</f>
        <v>-6453.8401199999998</v>
      </c>
      <c r="AE471" s="6">
        <f>$K$471*$Y$471</f>
        <v>0</v>
      </c>
      <c r="AF471" s="6">
        <f ca="1">$M$471*$Z$471</f>
        <v>-4355.9854387951546</v>
      </c>
      <c r="AG471" s="6">
        <f>$O$471*$AA$471</f>
        <v>-8397.9578006603806</v>
      </c>
    </row>
    <row r="472" spans="1:33" ht="11.25" customHeight="1" x14ac:dyDescent="0.25">
      <c r="A472" s="4" t="s">
        <v>21</v>
      </c>
      <c r="B472" s="4" t="s">
        <v>41</v>
      </c>
      <c r="C472" s="4" t="s">
        <v>44</v>
      </c>
      <c r="D472" s="4" t="s">
        <v>45</v>
      </c>
      <c r="E472" s="4" t="s">
        <v>25</v>
      </c>
      <c r="F472" s="4" t="s">
        <v>25</v>
      </c>
      <c r="G472" s="4" t="s">
        <v>25</v>
      </c>
      <c r="H472" s="4" t="s">
        <v>37</v>
      </c>
      <c r="I472" s="5">
        <v>44593</v>
      </c>
      <c r="J472" s="6">
        <v>0</v>
      </c>
      <c r="K472" s="6">
        <v>0</v>
      </c>
      <c r="L472" s="6">
        <v>3116.89</v>
      </c>
      <c r="M472" s="6">
        <v>3116.89</v>
      </c>
      <c r="N472" s="6">
        <v>3116.89</v>
      </c>
      <c r="O472" s="6">
        <v>3116.89</v>
      </c>
      <c r="P472" s="6">
        <v>0</v>
      </c>
      <c r="Q472" s="4" t="s">
        <v>26</v>
      </c>
      <c r="R472" s="4">
        <v>0</v>
      </c>
      <c r="S472" s="6">
        <v>0</v>
      </c>
      <c r="T472" s="6">
        <v>29</v>
      </c>
      <c r="U472" s="6">
        <v>75</v>
      </c>
      <c r="V472" s="6">
        <f>IF(ISERROR(VLOOKUP($S$472,'TAR FIN'!$A$1:$O$115,15,0)),0,VLOOKUP($S$472,'TAR FIN'!$A$1:$O$115,15,0))</f>
        <v>0</v>
      </c>
      <c r="W472" s="6">
        <f>IF(ISERROR(VLOOKUP($T$472,'TAR FIN'!$A$1:$O$115,15,0)),0,VLOOKUP($T$472,'TAR FIN'!$A$1:$O$115,15,0))</f>
        <v>84.31</v>
      </c>
      <c r="X472" s="6">
        <f>IF(ISERROR(VLOOKUP($U$472,'TAR FIN'!$A$1:$O$115,15,0)),0,VLOOKUP($U$472,'TAR FIN'!$A$1:$O$115,15,0))</f>
        <v>168.06</v>
      </c>
      <c r="Y472" s="6"/>
      <c r="Z472" s="6">
        <f ca="1">('TUSD BE'!$AM$29+'TUSD BF'!$AM$29+'TUSD CVA'!$AM$29)*1</f>
        <v>113.43121292628391</v>
      </c>
      <c r="AA472" s="6">
        <f>('TE BE'!$AB$12+'TE BF'!$AB$12+'TE CVA'!$AB$12)*1</f>
        <v>218.6854278594964</v>
      </c>
      <c r="AB472" s="6">
        <f>$K$472*$V$472</f>
        <v>0</v>
      </c>
      <c r="AC472" s="6">
        <f>$M$472*$W$472</f>
        <v>262784.99589999998</v>
      </c>
      <c r="AD472" s="6">
        <f>$O$472*$X$472</f>
        <v>523824.53339999996</v>
      </c>
      <c r="AE472" s="6">
        <f>$K$472*$Y$472</f>
        <v>0</v>
      </c>
      <c r="AF472" s="6">
        <f ca="1">$M$472*$Z$472</f>
        <v>353552.613257805</v>
      </c>
      <c r="AG472" s="6">
        <f>$O$472*$AA$472</f>
        <v>681618.42324098572</v>
      </c>
    </row>
    <row r="473" spans="1:33" ht="11.25" customHeight="1" x14ac:dyDescent="0.25">
      <c r="A473" s="4" t="s">
        <v>27</v>
      </c>
      <c r="B473" s="4" t="s">
        <v>41</v>
      </c>
      <c r="C473" s="4" t="s">
        <v>44</v>
      </c>
      <c r="D473" s="4" t="s">
        <v>45</v>
      </c>
      <c r="E473" s="4" t="s">
        <v>25</v>
      </c>
      <c r="F473" s="4" t="s">
        <v>25</v>
      </c>
      <c r="G473" s="4" t="s">
        <v>25</v>
      </c>
      <c r="H473" s="4" t="s">
        <v>37</v>
      </c>
      <c r="I473" s="5">
        <v>44593</v>
      </c>
      <c r="J473" s="6">
        <v>0</v>
      </c>
      <c r="K473" s="6">
        <v>0</v>
      </c>
      <c r="L473" s="6">
        <v>-109.733</v>
      </c>
      <c r="M473" s="6">
        <v>-109.733</v>
      </c>
      <c r="N473" s="6">
        <v>-109.733</v>
      </c>
      <c r="O473" s="6">
        <v>-109.733</v>
      </c>
      <c r="P473" s="6">
        <v>0</v>
      </c>
      <c r="Q473" s="4" t="s">
        <v>26</v>
      </c>
      <c r="R473" s="4">
        <v>0</v>
      </c>
      <c r="S473" s="6">
        <v>0</v>
      </c>
      <c r="T473" s="6">
        <v>29</v>
      </c>
      <c r="U473" s="6">
        <v>75</v>
      </c>
      <c r="V473" s="6">
        <f>IF(ISERROR(VLOOKUP($S$473,'TAR FIN'!$A$1:$O$115,15,0)),0,VLOOKUP($S$473,'TAR FIN'!$A$1:$O$115,15,0))</f>
        <v>0</v>
      </c>
      <c r="W473" s="6">
        <f>IF(ISERROR(VLOOKUP($T$473,'TAR FIN'!$A$1:$O$115,15,0)),0,VLOOKUP($T$473,'TAR FIN'!$A$1:$O$115,15,0))</f>
        <v>84.31</v>
      </c>
      <c r="X473" s="6">
        <f>IF(ISERROR(VLOOKUP($U$473,'TAR FIN'!$A$1:$O$115,15,0)),0,VLOOKUP($U$473,'TAR FIN'!$A$1:$O$115,15,0))</f>
        <v>168.06</v>
      </c>
      <c r="Y473" s="6"/>
      <c r="Z473" s="6">
        <f ca="1">('TUSD BE'!$AM$29+'TUSD BF'!$AM$29+'TUSD CVA'!$AM$29)*1</f>
        <v>113.43121292628391</v>
      </c>
      <c r="AA473" s="6">
        <f>('TE BE'!$AB$12+'TE BF'!$AB$12+'TE CVA'!$AB$12)*1</f>
        <v>218.6854278594964</v>
      </c>
      <c r="AB473" s="6">
        <f>$K$473*$V$473</f>
        <v>0</v>
      </c>
      <c r="AC473" s="6">
        <f>$M$473*$W$473</f>
        <v>-9251.5892300000014</v>
      </c>
      <c r="AD473" s="6">
        <f>$O$473*$X$473</f>
        <v>-18441.72798</v>
      </c>
      <c r="AE473" s="6">
        <f>$K$473*$Y$473</f>
        <v>0</v>
      </c>
      <c r="AF473" s="6">
        <f ca="1">$M$473*$Z$473</f>
        <v>-12447.147288039912</v>
      </c>
      <c r="AG473" s="6">
        <f>$O$473*$AA$473</f>
        <v>-23997.00805530612</v>
      </c>
    </row>
    <row r="474" spans="1:33" ht="11.25" customHeight="1" x14ac:dyDescent="0.25">
      <c r="A474" s="4" t="s">
        <v>28</v>
      </c>
      <c r="B474" s="4" t="s">
        <v>41</v>
      </c>
      <c r="C474" s="4" t="s">
        <v>44</v>
      </c>
      <c r="D474" s="4" t="s">
        <v>45</v>
      </c>
      <c r="E474" s="4" t="s">
        <v>25</v>
      </c>
      <c r="F474" s="4" t="s">
        <v>25</v>
      </c>
      <c r="G474" s="4" t="s">
        <v>25</v>
      </c>
      <c r="H474" s="4" t="s">
        <v>37</v>
      </c>
      <c r="I474" s="5">
        <v>44593</v>
      </c>
      <c r="J474" s="6">
        <v>0</v>
      </c>
      <c r="K474" s="6">
        <v>0</v>
      </c>
      <c r="L474" s="6">
        <v>685.91800000000001</v>
      </c>
      <c r="M474" s="6">
        <v>685.91800000000001</v>
      </c>
      <c r="N474" s="6">
        <v>685.91800000000001</v>
      </c>
      <c r="O474" s="6">
        <v>685.91800000000001</v>
      </c>
      <c r="P474" s="6">
        <v>0</v>
      </c>
      <c r="Q474" s="4" t="s">
        <v>26</v>
      </c>
      <c r="R474" s="4">
        <v>0</v>
      </c>
      <c r="S474" s="6">
        <v>0</v>
      </c>
      <c r="T474" s="6">
        <v>29</v>
      </c>
      <c r="U474" s="6">
        <v>75</v>
      </c>
      <c r="V474" s="6">
        <f>IF(ISERROR(VLOOKUP($S$474,'TAR FIN'!$A$1:$O$115,15,0)),0,VLOOKUP($S$474,'TAR FIN'!$A$1:$O$115,15,0))</f>
        <v>0</v>
      </c>
      <c r="W474" s="6">
        <f>IF(ISERROR(VLOOKUP($T$474,'TAR FIN'!$A$1:$O$115,15,0)),0,VLOOKUP($T$474,'TAR FIN'!$A$1:$O$115,15,0))</f>
        <v>84.31</v>
      </c>
      <c r="X474" s="6">
        <f>IF(ISERROR(VLOOKUP($U$474,'TAR FIN'!$A$1:$O$115,15,0)),0,VLOOKUP($U$474,'TAR FIN'!$A$1:$O$115,15,0))</f>
        <v>168.06</v>
      </c>
      <c r="Y474" s="6"/>
      <c r="Z474" s="6">
        <f ca="1">('TUSD BE'!$AM$29+'TUSD BF'!$AM$29+'TUSD CVA'!$AM$29)*1</f>
        <v>113.43121292628391</v>
      </c>
      <c r="AA474" s="6">
        <f>('TE BE'!$AB$12+'TE BF'!$AB$12+'TE CVA'!$AB$12)*1</f>
        <v>218.6854278594964</v>
      </c>
      <c r="AB474" s="6">
        <f>$K$474*$V$474</f>
        <v>0</v>
      </c>
      <c r="AC474" s="6">
        <f>$M$474*$W$474</f>
        <v>57829.746579999999</v>
      </c>
      <c r="AD474" s="6">
        <f>$O$474*$X$474</f>
        <v>115275.37908</v>
      </c>
      <c r="AE474" s="6">
        <f>$K$474*$Y$474</f>
        <v>0</v>
      </c>
      <c r="AF474" s="6">
        <f ca="1">$M$474*$Z$474</f>
        <v>77804.51070797081</v>
      </c>
      <c r="AG474" s="6">
        <f>$O$474*$AA$474</f>
        <v>150000.27130653005</v>
      </c>
    </row>
    <row r="475" spans="1:33" ht="11.25" customHeight="1" x14ac:dyDescent="0.25">
      <c r="A475" s="4" t="s">
        <v>30</v>
      </c>
      <c r="B475" s="4" t="s">
        <v>41</v>
      </c>
      <c r="C475" s="4" t="s">
        <v>44</v>
      </c>
      <c r="D475" s="4" t="s">
        <v>45</v>
      </c>
      <c r="E475" s="4" t="s">
        <v>25</v>
      </c>
      <c r="F475" s="4" t="s">
        <v>25</v>
      </c>
      <c r="G475" s="4" t="s">
        <v>25</v>
      </c>
      <c r="H475" s="4" t="s">
        <v>37</v>
      </c>
      <c r="I475" s="5">
        <v>44593</v>
      </c>
      <c r="J475" s="6">
        <v>0</v>
      </c>
      <c r="K475" s="6">
        <v>0</v>
      </c>
      <c r="L475" s="6">
        <v>307.45100000000002</v>
      </c>
      <c r="M475" s="6">
        <v>307.45100000000002</v>
      </c>
      <c r="N475" s="6">
        <v>307.45100000000002</v>
      </c>
      <c r="O475" s="6">
        <v>307.45100000000002</v>
      </c>
      <c r="P475" s="6">
        <v>0</v>
      </c>
      <c r="Q475" s="4" t="s">
        <v>26</v>
      </c>
      <c r="R475" s="4">
        <v>0</v>
      </c>
      <c r="S475" s="6">
        <v>0</v>
      </c>
      <c r="T475" s="6">
        <v>29</v>
      </c>
      <c r="U475" s="6">
        <v>75</v>
      </c>
      <c r="V475" s="6">
        <f>IF(ISERROR(VLOOKUP($S$475,'TAR FIN'!$A$1:$O$115,15,0)),0,VLOOKUP($S$475,'TAR FIN'!$A$1:$O$115,15,0))</f>
        <v>0</v>
      </c>
      <c r="W475" s="6">
        <f>IF(ISERROR(VLOOKUP($T$475,'TAR FIN'!$A$1:$O$115,15,0)),0,VLOOKUP($T$475,'TAR FIN'!$A$1:$O$115,15,0))</f>
        <v>84.31</v>
      </c>
      <c r="X475" s="6">
        <f>IF(ISERROR(VLOOKUP($U$475,'TAR FIN'!$A$1:$O$115,15,0)),0,VLOOKUP($U$475,'TAR FIN'!$A$1:$O$115,15,0))</f>
        <v>168.06</v>
      </c>
      <c r="Y475" s="6"/>
      <c r="Z475" s="6">
        <f ca="1">('TUSD BE'!$AM$29+'TUSD BF'!$AM$29+'TUSD CVA'!$AM$29)*1</f>
        <v>113.43121292628391</v>
      </c>
      <c r="AA475" s="6">
        <f>('TE BE'!$AB$12+'TE BF'!$AB$12+'TE CVA'!$AB$12)*1</f>
        <v>218.6854278594964</v>
      </c>
      <c r="AB475" s="6">
        <f>$K$475*$V$475</f>
        <v>0</v>
      </c>
      <c r="AC475" s="6">
        <f>$M$475*$W$475</f>
        <v>25921.193810000004</v>
      </c>
      <c r="AD475" s="6">
        <f>$O$475*$X$475</f>
        <v>51670.215060000002</v>
      </c>
      <c r="AE475" s="6">
        <f>$K$475*$Y$475</f>
        <v>0</v>
      </c>
      <c r="AF475" s="6">
        <f ca="1">$M$475*$Z$475</f>
        <v>34874.539845398918</v>
      </c>
      <c r="AG475" s="6">
        <f>$O$475*$AA$475</f>
        <v>67235.053480830029</v>
      </c>
    </row>
    <row r="476" spans="1:33" ht="11.25" customHeight="1" x14ac:dyDescent="0.25">
      <c r="A476" s="4" t="s">
        <v>21</v>
      </c>
      <c r="B476" s="4" t="s">
        <v>41</v>
      </c>
      <c r="C476" s="4" t="s">
        <v>44</v>
      </c>
      <c r="D476" s="4" t="s">
        <v>45</v>
      </c>
      <c r="E476" s="4" t="s">
        <v>25</v>
      </c>
      <c r="F476" s="4" t="s">
        <v>25</v>
      </c>
      <c r="G476" s="4" t="s">
        <v>25</v>
      </c>
      <c r="H476" s="4" t="s">
        <v>37</v>
      </c>
      <c r="I476" s="5">
        <v>44621</v>
      </c>
      <c r="J476" s="6">
        <v>0</v>
      </c>
      <c r="K476" s="6">
        <v>0</v>
      </c>
      <c r="L476" s="6">
        <v>3264.547</v>
      </c>
      <c r="M476" s="6">
        <v>3264.547</v>
      </c>
      <c r="N476" s="6">
        <v>3264.547</v>
      </c>
      <c r="O476" s="6">
        <v>3264.547</v>
      </c>
      <c r="P476" s="6">
        <v>0</v>
      </c>
      <c r="Q476" s="4" t="s">
        <v>26</v>
      </c>
      <c r="R476" s="4">
        <v>0</v>
      </c>
      <c r="S476" s="6">
        <v>0</v>
      </c>
      <c r="T476" s="6">
        <v>29</v>
      </c>
      <c r="U476" s="6">
        <v>75</v>
      </c>
      <c r="V476" s="6">
        <f>IF(ISERROR(VLOOKUP($S$476,'TAR FIN'!$A$1:$O$115,15,0)),0,VLOOKUP($S$476,'TAR FIN'!$A$1:$O$115,15,0))</f>
        <v>0</v>
      </c>
      <c r="W476" s="6">
        <f>IF(ISERROR(VLOOKUP($T$476,'TAR FIN'!$A$1:$O$115,15,0)),0,VLOOKUP($T$476,'TAR FIN'!$A$1:$O$115,15,0))</f>
        <v>84.31</v>
      </c>
      <c r="X476" s="6">
        <f>IF(ISERROR(VLOOKUP($U$476,'TAR FIN'!$A$1:$O$115,15,0)),0,VLOOKUP($U$476,'TAR FIN'!$A$1:$O$115,15,0))</f>
        <v>168.06</v>
      </c>
      <c r="Y476" s="6"/>
      <c r="Z476" s="6">
        <f ca="1">('TUSD BE'!$AM$29+'TUSD BF'!$AM$29+'TUSD CVA'!$AM$29)*1</f>
        <v>113.43121292628391</v>
      </c>
      <c r="AA476" s="6">
        <f>('TE BE'!$AB$12+'TE BF'!$AB$12+'TE CVA'!$AB$12)*1</f>
        <v>218.6854278594964</v>
      </c>
      <c r="AB476" s="6">
        <f>$K$476*$V$476</f>
        <v>0</v>
      </c>
      <c r="AC476" s="6">
        <f>$M$476*$W$476</f>
        <v>275233.95757000003</v>
      </c>
      <c r="AD476" s="6">
        <f>$O$476*$X$476</f>
        <v>548639.76882</v>
      </c>
      <c r="AE476" s="6">
        <f>$K$476*$Y$476</f>
        <v>0</v>
      </c>
      <c r="AF476" s="6">
        <f ca="1">$M$476*$Z$476</f>
        <v>370301.52586486132</v>
      </c>
      <c r="AG476" s="6">
        <f>$O$476*$AA$476</f>
        <v>713908.85746243538</v>
      </c>
    </row>
    <row r="477" spans="1:33" ht="11.25" customHeight="1" x14ac:dyDescent="0.25">
      <c r="A477" s="4" t="s">
        <v>28</v>
      </c>
      <c r="B477" s="4" t="s">
        <v>41</v>
      </c>
      <c r="C477" s="4" t="s">
        <v>44</v>
      </c>
      <c r="D477" s="4" t="s">
        <v>45</v>
      </c>
      <c r="E477" s="4" t="s">
        <v>25</v>
      </c>
      <c r="F477" s="4" t="s">
        <v>25</v>
      </c>
      <c r="G477" s="4" t="s">
        <v>25</v>
      </c>
      <c r="H477" s="4" t="s">
        <v>37</v>
      </c>
      <c r="I477" s="5">
        <v>44621</v>
      </c>
      <c r="J477" s="6">
        <v>0</v>
      </c>
      <c r="K477" s="6">
        <v>0</v>
      </c>
      <c r="L477" s="6">
        <v>681.53599999999994</v>
      </c>
      <c r="M477" s="6">
        <v>681.53599999999994</v>
      </c>
      <c r="N477" s="6">
        <v>681.53599999999994</v>
      </c>
      <c r="O477" s="6">
        <v>681.53599999999994</v>
      </c>
      <c r="P477" s="6">
        <v>0</v>
      </c>
      <c r="Q477" s="4" t="s">
        <v>26</v>
      </c>
      <c r="R477" s="4">
        <v>0</v>
      </c>
      <c r="S477" s="6">
        <v>0</v>
      </c>
      <c r="T477" s="6">
        <v>29</v>
      </c>
      <c r="U477" s="6">
        <v>75</v>
      </c>
      <c r="V477" s="6">
        <f>IF(ISERROR(VLOOKUP($S$477,'TAR FIN'!$A$1:$O$115,15,0)),0,VLOOKUP($S$477,'TAR FIN'!$A$1:$O$115,15,0))</f>
        <v>0</v>
      </c>
      <c r="W477" s="6">
        <f>IF(ISERROR(VLOOKUP($T$477,'TAR FIN'!$A$1:$O$115,15,0)),0,VLOOKUP($T$477,'TAR FIN'!$A$1:$O$115,15,0))</f>
        <v>84.31</v>
      </c>
      <c r="X477" s="6">
        <f>IF(ISERROR(VLOOKUP($U$477,'TAR FIN'!$A$1:$O$115,15,0)),0,VLOOKUP($U$477,'TAR FIN'!$A$1:$O$115,15,0))</f>
        <v>168.06</v>
      </c>
      <c r="Y477" s="6"/>
      <c r="Z477" s="6">
        <f ca="1">('TUSD BE'!$AM$29+'TUSD BF'!$AM$29+'TUSD CVA'!$AM$29)*1</f>
        <v>113.43121292628391</v>
      </c>
      <c r="AA477" s="6">
        <f>('TE BE'!$AB$12+'TE BF'!$AB$12+'TE CVA'!$AB$12)*1</f>
        <v>218.6854278594964</v>
      </c>
      <c r="AB477" s="6">
        <f>$K$477*$V$477</f>
        <v>0</v>
      </c>
      <c r="AC477" s="6">
        <f>$M$477*$W$477</f>
        <v>57460.300159999999</v>
      </c>
      <c r="AD477" s="6">
        <f>$O$477*$X$477</f>
        <v>114538.94016</v>
      </c>
      <c r="AE477" s="6">
        <f>$K$477*$Y$477</f>
        <v>0</v>
      </c>
      <c r="AF477" s="6">
        <f ca="1">$M$477*$Z$477</f>
        <v>77307.455132927818</v>
      </c>
      <c r="AG477" s="6">
        <f>$O$477*$AA$477</f>
        <v>149041.99176164973</v>
      </c>
    </row>
    <row r="478" spans="1:33" ht="11.25" customHeight="1" x14ac:dyDescent="0.25">
      <c r="A478" s="4" t="s">
        <v>30</v>
      </c>
      <c r="B478" s="4" t="s">
        <v>41</v>
      </c>
      <c r="C478" s="4" t="s">
        <v>44</v>
      </c>
      <c r="D478" s="4" t="s">
        <v>45</v>
      </c>
      <c r="E478" s="4" t="s">
        <v>25</v>
      </c>
      <c r="F478" s="4" t="s">
        <v>25</v>
      </c>
      <c r="G478" s="4" t="s">
        <v>25</v>
      </c>
      <c r="H478" s="4" t="s">
        <v>37</v>
      </c>
      <c r="I478" s="5">
        <v>44621</v>
      </c>
      <c r="J478" s="6">
        <v>0</v>
      </c>
      <c r="K478" s="6">
        <v>0</v>
      </c>
      <c r="L478" s="6">
        <v>346.13600000000002</v>
      </c>
      <c r="M478" s="6">
        <v>346.13600000000002</v>
      </c>
      <c r="N478" s="6">
        <v>346.13600000000002</v>
      </c>
      <c r="O478" s="6">
        <v>346.13600000000002</v>
      </c>
      <c r="P478" s="6">
        <v>0</v>
      </c>
      <c r="Q478" s="4" t="s">
        <v>26</v>
      </c>
      <c r="R478" s="4">
        <v>0</v>
      </c>
      <c r="S478" s="6">
        <v>0</v>
      </c>
      <c r="T478" s="6">
        <v>29</v>
      </c>
      <c r="U478" s="6">
        <v>75</v>
      </c>
      <c r="V478" s="6">
        <f>IF(ISERROR(VLOOKUP($S$478,'TAR FIN'!$A$1:$O$115,15,0)),0,VLOOKUP($S$478,'TAR FIN'!$A$1:$O$115,15,0))</f>
        <v>0</v>
      </c>
      <c r="W478" s="6">
        <f>IF(ISERROR(VLOOKUP($T$478,'TAR FIN'!$A$1:$O$115,15,0)),0,VLOOKUP($T$478,'TAR FIN'!$A$1:$O$115,15,0))</f>
        <v>84.31</v>
      </c>
      <c r="X478" s="6">
        <f>IF(ISERROR(VLOOKUP($U$478,'TAR FIN'!$A$1:$O$115,15,0)),0,VLOOKUP($U$478,'TAR FIN'!$A$1:$O$115,15,0))</f>
        <v>168.06</v>
      </c>
      <c r="Y478" s="6"/>
      <c r="Z478" s="6">
        <f ca="1">('TUSD BE'!$AM$29+'TUSD BF'!$AM$29+'TUSD CVA'!$AM$29)*1</f>
        <v>113.43121292628391</v>
      </c>
      <c r="AA478" s="6">
        <f>('TE BE'!$AB$12+'TE BF'!$AB$12+'TE CVA'!$AB$12)*1</f>
        <v>218.6854278594964</v>
      </c>
      <c r="AB478" s="6">
        <f>$K$478*$V$478</f>
        <v>0</v>
      </c>
      <c r="AC478" s="6">
        <f>$M$478*$W$478</f>
        <v>29182.726160000002</v>
      </c>
      <c r="AD478" s="6">
        <f>$O$478*$X$478</f>
        <v>58171.616160000005</v>
      </c>
      <c r="AE478" s="6">
        <f>$K$478*$Y$478</f>
        <v>0</v>
      </c>
      <c r="AF478" s="6">
        <f ca="1">$M$478*$Z$478</f>
        <v>39262.62631745221</v>
      </c>
      <c r="AG478" s="6">
        <f>$O$478*$AA$478</f>
        <v>75694.899257574652</v>
      </c>
    </row>
    <row r="479" spans="1:33" ht="11.25" customHeight="1" x14ac:dyDescent="0.25">
      <c r="A479" s="4" t="s">
        <v>21</v>
      </c>
      <c r="B479" s="4" t="s">
        <v>41</v>
      </c>
      <c r="C479" s="4" t="s">
        <v>44</v>
      </c>
      <c r="D479" s="4" t="s">
        <v>45</v>
      </c>
      <c r="E479" s="4" t="s">
        <v>25</v>
      </c>
      <c r="F479" s="4" t="s">
        <v>25</v>
      </c>
      <c r="G479" s="4" t="s">
        <v>25</v>
      </c>
      <c r="H479" s="4" t="s">
        <v>37</v>
      </c>
      <c r="I479" s="5">
        <v>44652</v>
      </c>
      <c r="J479" s="6">
        <v>0</v>
      </c>
      <c r="K479" s="6">
        <v>0</v>
      </c>
      <c r="L479" s="6">
        <v>3286.317</v>
      </c>
      <c r="M479" s="6">
        <v>3286.317</v>
      </c>
      <c r="N479" s="6">
        <v>3286.317</v>
      </c>
      <c r="O479" s="6">
        <v>3286.317</v>
      </c>
      <c r="P479" s="6">
        <v>0</v>
      </c>
      <c r="Q479" s="4" t="s">
        <v>26</v>
      </c>
      <c r="R479" s="4">
        <v>0</v>
      </c>
      <c r="S479" s="6">
        <v>0</v>
      </c>
      <c r="T479" s="6">
        <v>29</v>
      </c>
      <c r="U479" s="6">
        <v>75</v>
      </c>
      <c r="V479" s="6">
        <f>IF(ISERROR(VLOOKUP($S$479,'TAR FIN'!$A$1:$O$115,15,0)),0,VLOOKUP($S$479,'TAR FIN'!$A$1:$O$115,15,0))</f>
        <v>0</v>
      </c>
      <c r="W479" s="6">
        <f>IF(ISERROR(VLOOKUP($T$479,'TAR FIN'!$A$1:$O$115,15,0)),0,VLOOKUP($T$479,'TAR FIN'!$A$1:$O$115,15,0))</f>
        <v>84.31</v>
      </c>
      <c r="X479" s="6">
        <f>IF(ISERROR(VLOOKUP($U$479,'TAR FIN'!$A$1:$O$115,15,0)),0,VLOOKUP($U$479,'TAR FIN'!$A$1:$O$115,15,0))</f>
        <v>168.06</v>
      </c>
      <c r="Y479" s="6"/>
      <c r="Z479" s="6">
        <f ca="1">('TUSD BE'!$AM$29+'TUSD BF'!$AM$29+'TUSD CVA'!$AM$29)*1</f>
        <v>113.43121292628391</v>
      </c>
      <c r="AA479" s="6">
        <f>('TE BE'!$AB$12+'TE BF'!$AB$12+'TE CVA'!$AB$12)*1</f>
        <v>218.6854278594964</v>
      </c>
      <c r="AB479" s="6">
        <f>$K$479*$V$479</f>
        <v>0</v>
      </c>
      <c r="AC479" s="6">
        <f>$M$479*$W$479</f>
        <v>277069.38627000002</v>
      </c>
      <c r="AD479" s="6">
        <f>$O$479*$X$479</f>
        <v>552298.43501999998</v>
      </c>
      <c r="AE479" s="6">
        <f>$K$479*$Y$479</f>
        <v>0</v>
      </c>
      <c r="AF479" s="6">
        <f ca="1">$M$479*$Z$479</f>
        <v>372770.92337026657</v>
      </c>
      <c r="AG479" s="6">
        <f>$O$479*$AA$479</f>
        <v>718669.63922693662</v>
      </c>
    </row>
    <row r="480" spans="1:33" ht="11.25" customHeight="1" x14ac:dyDescent="0.25">
      <c r="A480" s="4" t="s">
        <v>28</v>
      </c>
      <c r="B480" s="4" t="s">
        <v>41</v>
      </c>
      <c r="C480" s="4" t="s">
        <v>44</v>
      </c>
      <c r="D480" s="4" t="s">
        <v>45</v>
      </c>
      <c r="E480" s="4" t="s">
        <v>25</v>
      </c>
      <c r="F480" s="4" t="s">
        <v>25</v>
      </c>
      <c r="G480" s="4" t="s">
        <v>25</v>
      </c>
      <c r="H480" s="4" t="s">
        <v>37</v>
      </c>
      <c r="I480" s="5">
        <v>44652</v>
      </c>
      <c r="J480" s="6">
        <v>0</v>
      </c>
      <c r="K480" s="6">
        <v>0</v>
      </c>
      <c r="L480" s="6">
        <v>691.16600000000005</v>
      </c>
      <c r="M480" s="6">
        <v>691.16600000000005</v>
      </c>
      <c r="N480" s="6">
        <v>691.16600000000005</v>
      </c>
      <c r="O480" s="6">
        <v>691.16600000000005</v>
      </c>
      <c r="P480" s="6">
        <v>0</v>
      </c>
      <c r="Q480" s="4" t="s">
        <v>26</v>
      </c>
      <c r="R480" s="4">
        <v>0</v>
      </c>
      <c r="S480" s="6">
        <v>0</v>
      </c>
      <c r="T480" s="6">
        <v>29</v>
      </c>
      <c r="U480" s="6">
        <v>75</v>
      </c>
      <c r="V480" s="6">
        <f>IF(ISERROR(VLOOKUP($S$480,'TAR FIN'!$A$1:$O$115,15,0)),0,VLOOKUP($S$480,'TAR FIN'!$A$1:$O$115,15,0))</f>
        <v>0</v>
      </c>
      <c r="W480" s="6">
        <f>IF(ISERROR(VLOOKUP($T$480,'TAR FIN'!$A$1:$O$115,15,0)),0,VLOOKUP($T$480,'TAR FIN'!$A$1:$O$115,15,0))</f>
        <v>84.31</v>
      </c>
      <c r="X480" s="6">
        <f>IF(ISERROR(VLOOKUP($U$480,'TAR FIN'!$A$1:$O$115,15,0)),0,VLOOKUP($U$480,'TAR FIN'!$A$1:$O$115,15,0))</f>
        <v>168.06</v>
      </c>
      <c r="Y480" s="6"/>
      <c r="Z480" s="6">
        <f ca="1">('TUSD BE'!$AM$29+'TUSD BF'!$AM$29+'TUSD CVA'!$AM$29)*1</f>
        <v>113.43121292628391</v>
      </c>
      <c r="AA480" s="6">
        <f>('TE BE'!$AB$12+'TE BF'!$AB$12+'TE CVA'!$AB$12)*1</f>
        <v>218.6854278594964</v>
      </c>
      <c r="AB480" s="6">
        <f>$K$480*$V$480</f>
        <v>0</v>
      </c>
      <c r="AC480" s="6">
        <f>$M$480*$W$480</f>
        <v>58272.205460000005</v>
      </c>
      <c r="AD480" s="6">
        <f>$O$480*$X$480</f>
        <v>116157.35796000001</v>
      </c>
      <c r="AE480" s="6">
        <f>$K$480*$Y$480</f>
        <v>0</v>
      </c>
      <c r="AF480" s="6">
        <f ca="1">$M$480*$Z$480</f>
        <v>78399.797713407941</v>
      </c>
      <c r="AG480" s="6">
        <f>$O$480*$AA$480</f>
        <v>151147.9324319367</v>
      </c>
    </row>
    <row r="481" spans="1:33" ht="11.25" customHeight="1" x14ac:dyDescent="0.25">
      <c r="A481" s="4" t="s">
        <v>30</v>
      </c>
      <c r="B481" s="4" t="s">
        <v>41</v>
      </c>
      <c r="C481" s="4" t="s">
        <v>44</v>
      </c>
      <c r="D481" s="4" t="s">
        <v>45</v>
      </c>
      <c r="E481" s="4" t="s">
        <v>25</v>
      </c>
      <c r="F481" s="4" t="s">
        <v>25</v>
      </c>
      <c r="G481" s="4" t="s">
        <v>25</v>
      </c>
      <c r="H481" s="4" t="s">
        <v>37</v>
      </c>
      <c r="I481" s="5">
        <v>44652</v>
      </c>
      <c r="J481" s="6">
        <v>0</v>
      </c>
      <c r="K481" s="6">
        <v>0</v>
      </c>
      <c r="L481" s="6">
        <v>369.37299999999999</v>
      </c>
      <c r="M481" s="6">
        <v>369.37299999999999</v>
      </c>
      <c r="N481" s="6">
        <v>369.37299999999999</v>
      </c>
      <c r="O481" s="6">
        <v>369.37299999999999</v>
      </c>
      <c r="P481" s="6">
        <v>0</v>
      </c>
      <c r="Q481" s="4" t="s">
        <v>26</v>
      </c>
      <c r="R481" s="4">
        <v>0</v>
      </c>
      <c r="S481" s="6">
        <v>0</v>
      </c>
      <c r="T481" s="6">
        <v>29</v>
      </c>
      <c r="U481" s="6">
        <v>75</v>
      </c>
      <c r="V481" s="6">
        <f>IF(ISERROR(VLOOKUP($S$481,'TAR FIN'!$A$1:$O$115,15,0)),0,VLOOKUP($S$481,'TAR FIN'!$A$1:$O$115,15,0))</f>
        <v>0</v>
      </c>
      <c r="W481" s="6">
        <f>IF(ISERROR(VLOOKUP($T$481,'TAR FIN'!$A$1:$O$115,15,0)),0,VLOOKUP($T$481,'TAR FIN'!$A$1:$O$115,15,0))</f>
        <v>84.31</v>
      </c>
      <c r="X481" s="6">
        <f>IF(ISERROR(VLOOKUP($U$481,'TAR FIN'!$A$1:$O$115,15,0)),0,VLOOKUP($U$481,'TAR FIN'!$A$1:$O$115,15,0))</f>
        <v>168.06</v>
      </c>
      <c r="Y481" s="6"/>
      <c r="Z481" s="6">
        <f ca="1">('TUSD BE'!$AM$29+'TUSD BF'!$AM$29+'TUSD CVA'!$AM$29)*1</f>
        <v>113.43121292628391</v>
      </c>
      <c r="AA481" s="6">
        <f>('TE BE'!$AB$12+'TE BF'!$AB$12+'TE CVA'!$AB$12)*1</f>
        <v>218.6854278594964</v>
      </c>
      <c r="AB481" s="6">
        <f>$K$481*$V$481</f>
        <v>0</v>
      </c>
      <c r="AC481" s="6">
        <f>$M$481*$W$481</f>
        <v>31141.837630000002</v>
      </c>
      <c r="AD481" s="6">
        <f>$O$481*$X$481</f>
        <v>62076.826379999999</v>
      </c>
      <c r="AE481" s="6">
        <f>$K$481*$Y$481</f>
        <v>0</v>
      </c>
      <c r="AF481" s="6">
        <f ca="1">$M$481*$Z$481</f>
        <v>41898.427412220262</v>
      </c>
      <c r="AG481" s="6">
        <f>$O$481*$AA$481</f>
        <v>80776.492544745764</v>
      </c>
    </row>
    <row r="482" spans="1:33" ht="11.25" customHeight="1" x14ac:dyDescent="0.25">
      <c r="A482" s="4" t="s">
        <v>21</v>
      </c>
      <c r="B482" s="4" t="s">
        <v>41</v>
      </c>
      <c r="C482" s="4" t="s">
        <v>44</v>
      </c>
      <c r="D482" s="4" t="s">
        <v>45</v>
      </c>
      <c r="E482" s="4" t="s">
        <v>25</v>
      </c>
      <c r="F482" s="4" t="s">
        <v>25</v>
      </c>
      <c r="G482" s="4" t="s">
        <v>25</v>
      </c>
      <c r="H482" s="4" t="s">
        <v>37</v>
      </c>
      <c r="I482" s="5">
        <v>44682</v>
      </c>
      <c r="J482" s="6">
        <v>0</v>
      </c>
      <c r="K482" s="6">
        <v>0</v>
      </c>
      <c r="L482" s="6">
        <v>3408.596</v>
      </c>
      <c r="M482" s="6">
        <v>3408.596</v>
      </c>
      <c r="N482" s="6">
        <v>3408.596</v>
      </c>
      <c r="O482" s="6">
        <v>3408.596</v>
      </c>
      <c r="P482" s="6">
        <v>0</v>
      </c>
      <c r="Q482" s="4" t="s">
        <v>26</v>
      </c>
      <c r="R482" s="4">
        <v>0</v>
      </c>
      <c r="S482" s="6">
        <v>0</v>
      </c>
      <c r="T482" s="6">
        <v>29</v>
      </c>
      <c r="U482" s="6">
        <v>75</v>
      </c>
      <c r="V482" s="6">
        <f>IF(ISERROR(VLOOKUP($S$482,'TAR FIN'!$A$1:$O$115,15,0)),0,VLOOKUP($S$482,'TAR FIN'!$A$1:$O$115,15,0))</f>
        <v>0</v>
      </c>
      <c r="W482" s="6">
        <f>IF(ISERROR(VLOOKUP($T$482,'TAR FIN'!$A$1:$O$115,15,0)),0,VLOOKUP($T$482,'TAR FIN'!$A$1:$O$115,15,0))</f>
        <v>84.31</v>
      </c>
      <c r="X482" s="6">
        <f>IF(ISERROR(VLOOKUP($U$482,'TAR FIN'!$A$1:$O$115,15,0)),0,VLOOKUP($U$482,'TAR FIN'!$A$1:$O$115,15,0))</f>
        <v>168.06</v>
      </c>
      <c r="Y482" s="6"/>
      <c r="Z482" s="6">
        <f ca="1">('TUSD BE'!$AM$29+'TUSD BF'!$AM$29+'TUSD CVA'!$AM$29)*1</f>
        <v>113.43121292628391</v>
      </c>
      <c r="AA482" s="6">
        <f>('TE BE'!$AB$12+'TE BF'!$AB$12+'TE CVA'!$AB$12)*1</f>
        <v>218.6854278594964</v>
      </c>
      <c r="AB482" s="6">
        <f>$K$482*$V$482</f>
        <v>0</v>
      </c>
      <c r="AC482" s="6">
        <f>$M$482*$W$482</f>
        <v>287378.72876000003</v>
      </c>
      <c r="AD482" s="6">
        <f>$O$482*$X$482</f>
        <v>572848.64376000001</v>
      </c>
      <c r="AE482" s="6">
        <f>$K$482*$Y$482</f>
        <v>0</v>
      </c>
      <c r="AF482" s="6">
        <f ca="1">$M$482*$Z$482</f>
        <v>386641.17865567963</v>
      </c>
      <c r="AG482" s="6">
        <f>$O$482*$AA$482</f>
        <v>745410.27466016798</v>
      </c>
    </row>
    <row r="483" spans="1:33" ht="11.25" customHeight="1" x14ac:dyDescent="0.25">
      <c r="A483" s="4" t="s">
        <v>28</v>
      </c>
      <c r="B483" s="4" t="s">
        <v>41</v>
      </c>
      <c r="C483" s="4" t="s">
        <v>44</v>
      </c>
      <c r="D483" s="4" t="s">
        <v>45</v>
      </c>
      <c r="E483" s="4" t="s">
        <v>25</v>
      </c>
      <c r="F483" s="4" t="s">
        <v>25</v>
      </c>
      <c r="G483" s="4" t="s">
        <v>25</v>
      </c>
      <c r="H483" s="4" t="s">
        <v>37</v>
      </c>
      <c r="I483" s="5">
        <v>44682</v>
      </c>
      <c r="J483" s="6">
        <v>0</v>
      </c>
      <c r="K483" s="6">
        <v>0</v>
      </c>
      <c r="L483" s="6">
        <v>682.36400000000003</v>
      </c>
      <c r="M483" s="6">
        <v>682.36400000000003</v>
      </c>
      <c r="N483" s="6">
        <v>682.36400000000003</v>
      </c>
      <c r="O483" s="6">
        <v>682.36400000000003</v>
      </c>
      <c r="P483" s="6">
        <v>0</v>
      </c>
      <c r="Q483" s="4" t="s">
        <v>26</v>
      </c>
      <c r="R483" s="4">
        <v>0</v>
      </c>
      <c r="S483" s="6">
        <v>0</v>
      </c>
      <c r="T483" s="6">
        <v>29</v>
      </c>
      <c r="U483" s="6">
        <v>75</v>
      </c>
      <c r="V483" s="6">
        <f>IF(ISERROR(VLOOKUP($S$483,'TAR FIN'!$A$1:$O$115,15,0)),0,VLOOKUP($S$483,'TAR FIN'!$A$1:$O$115,15,0))</f>
        <v>0</v>
      </c>
      <c r="W483" s="6">
        <f>IF(ISERROR(VLOOKUP($T$483,'TAR FIN'!$A$1:$O$115,15,0)),0,VLOOKUP($T$483,'TAR FIN'!$A$1:$O$115,15,0))</f>
        <v>84.31</v>
      </c>
      <c r="X483" s="6">
        <f>IF(ISERROR(VLOOKUP($U$483,'TAR FIN'!$A$1:$O$115,15,0)),0,VLOOKUP($U$483,'TAR FIN'!$A$1:$O$115,15,0))</f>
        <v>168.06</v>
      </c>
      <c r="Y483" s="6"/>
      <c r="Z483" s="6">
        <f ca="1">('TUSD BE'!$AM$29+'TUSD BF'!$AM$29+'TUSD CVA'!$AM$29)*1</f>
        <v>113.43121292628391</v>
      </c>
      <c r="AA483" s="6">
        <f>('TE BE'!$AB$12+'TE BF'!$AB$12+'TE CVA'!$AB$12)*1</f>
        <v>218.6854278594964</v>
      </c>
      <c r="AB483" s="6">
        <f>$K$483*$V$483</f>
        <v>0</v>
      </c>
      <c r="AC483" s="6">
        <f>$M$483*$W$483</f>
        <v>57530.108840000001</v>
      </c>
      <c r="AD483" s="6">
        <f>$O$483*$X$483</f>
        <v>114678.09384</v>
      </c>
      <c r="AE483" s="6">
        <f>$K$483*$Y$483</f>
        <v>0</v>
      </c>
      <c r="AF483" s="6">
        <f ca="1">$M$483*$Z$483</f>
        <v>77401.376177230792</v>
      </c>
      <c r="AG483" s="6">
        <f>$O$483*$AA$483</f>
        <v>149223.06329591741</v>
      </c>
    </row>
    <row r="484" spans="1:33" ht="11.25" customHeight="1" x14ac:dyDescent="0.25">
      <c r="A484" s="4" t="s">
        <v>30</v>
      </c>
      <c r="B484" s="4" t="s">
        <v>41</v>
      </c>
      <c r="C484" s="4" t="s">
        <v>44</v>
      </c>
      <c r="D484" s="4" t="s">
        <v>45</v>
      </c>
      <c r="E484" s="4" t="s">
        <v>25</v>
      </c>
      <c r="F484" s="4" t="s">
        <v>25</v>
      </c>
      <c r="G484" s="4" t="s">
        <v>25</v>
      </c>
      <c r="H484" s="4" t="s">
        <v>37</v>
      </c>
      <c r="I484" s="5">
        <v>44682</v>
      </c>
      <c r="J484" s="6">
        <v>0</v>
      </c>
      <c r="K484" s="6">
        <v>0</v>
      </c>
      <c r="L484" s="6">
        <v>364.25900000000001</v>
      </c>
      <c r="M484" s="6">
        <v>364.25900000000001</v>
      </c>
      <c r="N484" s="6">
        <v>364.25900000000001</v>
      </c>
      <c r="O484" s="6">
        <v>364.25900000000001</v>
      </c>
      <c r="P484" s="6">
        <v>0</v>
      </c>
      <c r="Q484" s="4" t="s">
        <v>26</v>
      </c>
      <c r="R484" s="4">
        <v>0</v>
      </c>
      <c r="S484" s="6">
        <v>0</v>
      </c>
      <c r="T484" s="6">
        <v>29</v>
      </c>
      <c r="U484" s="6">
        <v>75</v>
      </c>
      <c r="V484" s="6">
        <f>IF(ISERROR(VLOOKUP($S$484,'TAR FIN'!$A$1:$O$115,15,0)),0,VLOOKUP($S$484,'TAR FIN'!$A$1:$O$115,15,0))</f>
        <v>0</v>
      </c>
      <c r="W484" s="6">
        <f>IF(ISERROR(VLOOKUP($T$484,'TAR FIN'!$A$1:$O$115,15,0)),0,VLOOKUP($T$484,'TAR FIN'!$A$1:$O$115,15,0))</f>
        <v>84.31</v>
      </c>
      <c r="X484" s="6">
        <f>IF(ISERROR(VLOOKUP($U$484,'TAR FIN'!$A$1:$O$115,15,0)),0,VLOOKUP($U$484,'TAR FIN'!$A$1:$O$115,15,0))</f>
        <v>168.06</v>
      </c>
      <c r="Y484" s="6"/>
      <c r="Z484" s="6">
        <f ca="1">('TUSD BE'!$AM$29+'TUSD BF'!$AM$29+'TUSD CVA'!$AM$29)*1</f>
        <v>113.43121292628391</v>
      </c>
      <c r="AA484" s="6">
        <f>('TE BE'!$AB$12+'TE BF'!$AB$12+'TE CVA'!$AB$12)*1</f>
        <v>218.6854278594964</v>
      </c>
      <c r="AB484" s="6">
        <f>$K$484*$V$484</f>
        <v>0</v>
      </c>
      <c r="AC484" s="6">
        <f>$M$484*$W$484</f>
        <v>30710.676290000003</v>
      </c>
      <c r="AD484" s="6">
        <f>$O$484*$X$484</f>
        <v>61217.367540000007</v>
      </c>
      <c r="AE484" s="6">
        <f>$K$484*$Y$484</f>
        <v>0</v>
      </c>
      <c r="AF484" s="6">
        <f ca="1">$M$484*$Z$484</f>
        <v>41318.340189315248</v>
      </c>
      <c r="AG484" s="6">
        <f>$O$484*$AA$484</f>
        <v>79658.135266672296</v>
      </c>
    </row>
    <row r="485" spans="1:33" ht="11.25" customHeight="1" x14ac:dyDescent="0.25">
      <c r="A485" s="4" t="s">
        <v>21</v>
      </c>
      <c r="B485" s="4" t="s">
        <v>41</v>
      </c>
      <c r="C485" s="4" t="s">
        <v>44</v>
      </c>
      <c r="D485" s="4" t="s">
        <v>45</v>
      </c>
      <c r="E485" s="4" t="s">
        <v>25</v>
      </c>
      <c r="F485" s="4" t="s">
        <v>25</v>
      </c>
      <c r="G485" s="4" t="s">
        <v>25</v>
      </c>
      <c r="H485" s="4" t="s">
        <v>37</v>
      </c>
      <c r="I485" s="5">
        <v>44713</v>
      </c>
      <c r="J485" s="6">
        <v>0</v>
      </c>
      <c r="K485" s="6">
        <v>0</v>
      </c>
      <c r="L485" s="6">
        <v>3207.3</v>
      </c>
      <c r="M485" s="6">
        <v>3207.3</v>
      </c>
      <c r="N485" s="6">
        <v>3207.3</v>
      </c>
      <c r="O485" s="6">
        <v>3207.3</v>
      </c>
      <c r="P485" s="6">
        <v>0</v>
      </c>
      <c r="Q485" s="4" t="s">
        <v>26</v>
      </c>
      <c r="R485" s="4">
        <v>0</v>
      </c>
      <c r="S485" s="6">
        <v>0</v>
      </c>
      <c r="T485" s="6">
        <v>29</v>
      </c>
      <c r="U485" s="6">
        <v>75</v>
      </c>
      <c r="V485" s="6">
        <f>IF(ISERROR(VLOOKUP($S$485,'TAR FIN'!$A$1:$O$115,15,0)),0,VLOOKUP($S$485,'TAR FIN'!$A$1:$O$115,15,0))</f>
        <v>0</v>
      </c>
      <c r="W485" s="6">
        <f>IF(ISERROR(VLOOKUP($T$485,'TAR FIN'!$A$1:$O$115,15,0)),0,VLOOKUP($T$485,'TAR FIN'!$A$1:$O$115,15,0))</f>
        <v>84.31</v>
      </c>
      <c r="X485" s="6">
        <f>IF(ISERROR(VLOOKUP($U$485,'TAR FIN'!$A$1:$O$115,15,0)),0,VLOOKUP($U$485,'TAR FIN'!$A$1:$O$115,15,0))</f>
        <v>168.06</v>
      </c>
      <c r="Y485" s="6"/>
      <c r="Z485" s="6">
        <f ca="1">('TUSD BE'!$AM$29+'TUSD BF'!$AM$29+'TUSD CVA'!$AM$29)*1</f>
        <v>113.43121292628391</v>
      </c>
      <c r="AA485" s="6">
        <f>('TE BE'!$AB$12+'TE BF'!$AB$12+'TE CVA'!$AB$12)*1</f>
        <v>218.6854278594964</v>
      </c>
      <c r="AB485" s="6">
        <f>$K$485*$V$485</f>
        <v>0</v>
      </c>
      <c r="AC485" s="6">
        <f>$M$485*$W$485</f>
        <v>270407.46300000005</v>
      </c>
      <c r="AD485" s="6">
        <f>$O$485*$X$485</f>
        <v>539018.83799999999</v>
      </c>
      <c r="AE485" s="6">
        <f>$K$485*$Y$485</f>
        <v>0</v>
      </c>
      <c r="AF485" s="6">
        <f ca="1">$M$485*$Z$485</f>
        <v>363807.92921847041</v>
      </c>
      <c r="AG485" s="6">
        <f>$O$485*$AA$485</f>
        <v>701389.77277376282</v>
      </c>
    </row>
    <row r="486" spans="1:33" ht="11.25" customHeight="1" x14ac:dyDescent="0.25">
      <c r="A486" s="4" t="s">
        <v>27</v>
      </c>
      <c r="B486" s="4" t="s">
        <v>41</v>
      </c>
      <c r="C486" s="4" t="s">
        <v>44</v>
      </c>
      <c r="D486" s="4" t="s">
        <v>45</v>
      </c>
      <c r="E486" s="4" t="s">
        <v>25</v>
      </c>
      <c r="F486" s="4" t="s">
        <v>25</v>
      </c>
      <c r="G486" s="4" t="s">
        <v>25</v>
      </c>
      <c r="H486" s="4" t="s">
        <v>37</v>
      </c>
      <c r="I486" s="5">
        <v>44713</v>
      </c>
      <c r="J486" s="6">
        <v>0</v>
      </c>
      <c r="K486" s="6">
        <v>0</v>
      </c>
      <c r="L486" s="6">
        <v>2.0979999999999999</v>
      </c>
      <c r="M486" s="6">
        <v>2.0979999999999999</v>
      </c>
      <c r="N486" s="6">
        <v>2.0979999999999999</v>
      </c>
      <c r="O486" s="6">
        <v>2.0979999999999999</v>
      </c>
      <c r="P486" s="6">
        <v>0</v>
      </c>
      <c r="Q486" s="4" t="s">
        <v>26</v>
      </c>
      <c r="R486" s="4">
        <v>0</v>
      </c>
      <c r="S486" s="6">
        <v>0</v>
      </c>
      <c r="T486" s="6">
        <v>29</v>
      </c>
      <c r="U486" s="6">
        <v>75</v>
      </c>
      <c r="V486" s="6">
        <f>IF(ISERROR(VLOOKUP($S$486,'TAR FIN'!$A$1:$O$115,15,0)),0,VLOOKUP($S$486,'TAR FIN'!$A$1:$O$115,15,0))</f>
        <v>0</v>
      </c>
      <c r="W486" s="6">
        <f>IF(ISERROR(VLOOKUP($T$486,'TAR FIN'!$A$1:$O$115,15,0)),0,VLOOKUP($T$486,'TAR FIN'!$A$1:$O$115,15,0))</f>
        <v>84.31</v>
      </c>
      <c r="X486" s="6">
        <f>IF(ISERROR(VLOOKUP($U$486,'TAR FIN'!$A$1:$O$115,15,0)),0,VLOOKUP($U$486,'TAR FIN'!$A$1:$O$115,15,0))</f>
        <v>168.06</v>
      </c>
      <c r="Y486" s="6"/>
      <c r="Z486" s="6">
        <f ca="1">('TUSD BE'!$AM$29+'TUSD BF'!$AM$29+'TUSD CVA'!$AM$29)*1</f>
        <v>113.43121292628391</v>
      </c>
      <c r="AA486" s="6">
        <f>('TE BE'!$AB$12+'TE BF'!$AB$12+'TE CVA'!$AB$12)*1</f>
        <v>218.6854278594964</v>
      </c>
      <c r="AB486" s="6">
        <f>$K$486*$V$486</f>
        <v>0</v>
      </c>
      <c r="AC486" s="6">
        <f>$M$486*$W$486</f>
        <v>176.88237999999998</v>
      </c>
      <c r="AD486" s="6">
        <f>$O$486*$X$486</f>
        <v>352.58987999999999</v>
      </c>
      <c r="AE486" s="6">
        <f>$K$486*$Y$486</f>
        <v>0</v>
      </c>
      <c r="AF486" s="6">
        <f ca="1">$M$486*$Z$486</f>
        <v>237.97868471934362</v>
      </c>
      <c r="AG486" s="6">
        <f>$O$486*$AA$486</f>
        <v>458.80202764922342</v>
      </c>
    </row>
    <row r="487" spans="1:33" ht="11.25" customHeight="1" x14ac:dyDescent="0.25">
      <c r="A487" s="4" t="s">
        <v>28</v>
      </c>
      <c r="B487" s="4" t="s">
        <v>41</v>
      </c>
      <c r="C487" s="4" t="s">
        <v>44</v>
      </c>
      <c r="D487" s="4" t="s">
        <v>45</v>
      </c>
      <c r="E487" s="4" t="s">
        <v>25</v>
      </c>
      <c r="F487" s="4" t="s">
        <v>25</v>
      </c>
      <c r="G487" s="4" t="s">
        <v>25</v>
      </c>
      <c r="H487" s="4" t="s">
        <v>37</v>
      </c>
      <c r="I487" s="5">
        <v>44713</v>
      </c>
      <c r="J487" s="6">
        <v>0</v>
      </c>
      <c r="K487" s="6">
        <v>0</v>
      </c>
      <c r="L487" s="6">
        <v>666.48500000000001</v>
      </c>
      <c r="M487" s="6">
        <v>666.48500000000001</v>
      </c>
      <c r="N487" s="6">
        <v>666.48500000000001</v>
      </c>
      <c r="O487" s="6">
        <v>666.48500000000001</v>
      </c>
      <c r="P487" s="6">
        <v>0</v>
      </c>
      <c r="Q487" s="4" t="s">
        <v>26</v>
      </c>
      <c r="R487" s="4">
        <v>0</v>
      </c>
      <c r="S487" s="6">
        <v>0</v>
      </c>
      <c r="T487" s="6">
        <v>29</v>
      </c>
      <c r="U487" s="6">
        <v>75</v>
      </c>
      <c r="V487" s="6">
        <f>IF(ISERROR(VLOOKUP($S$487,'TAR FIN'!$A$1:$O$115,15,0)),0,VLOOKUP($S$487,'TAR FIN'!$A$1:$O$115,15,0))</f>
        <v>0</v>
      </c>
      <c r="W487" s="6">
        <f>IF(ISERROR(VLOOKUP($T$487,'TAR FIN'!$A$1:$O$115,15,0)),0,VLOOKUP($T$487,'TAR FIN'!$A$1:$O$115,15,0))</f>
        <v>84.31</v>
      </c>
      <c r="X487" s="6">
        <f>IF(ISERROR(VLOOKUP($U$487,'TAR FIN'!$A$1:$O$115,15,0)),0,VLOOKUP($U$487,'TAR FIN'!$A$1:$O$115,15,0))</f>
        <v>168.06</v>
      </c>
      <c r="Y487" s="6"/>
      <c r="Z487" s="6">
        <f ca="1">('TUSD BE'!$AM$29+'TUSD BF'!$AM$29+'TUSD CVA'!$AM$29)*1</f>
        <v>113.43121292628391</v>
      </c>
      <c r="AA487" s="6">
        <f>('TE BE'!$AB$12+'TE BF'!$AB$12+'TE CVA'!$AB$12)*1</f>
        <v>218.6854278594964</v>
      </c>
      <c r="AB487" s="6">
        <f>$K$487*$V$487</f>
        <v>0</v>
      </c>
      <c r="AC487" s="6">
        <f>$M$487*$W$487</f>
        <v>56191.350350000001</v>
      </c>
      <c r="AD487" s="6">
        <f>$O$487*$X$487</f>
        <v>112009.4691</v>
      </c>
      <c r="AE487" s="6">
        <f>$K$487*$Y$487</f>
        <v>0</v>
      </c>
      <c r="AF487" s="6">
        <f ca="1">$M$487*$Z$487</f>
        <v>75600.201947174326</v>
      </c>
      <c r="AG487" s="6">
        <f>$O$487*$AA$487</f>
        <v>145750.55738693647</v>
      </c>
    </row>
    <row r="488" spans="1:33" ht="11.25" customHeight="1" x14ac:dyDescent="0.25">
      <c r="A488" s="4" t="s">
        <v>30</v>
      </c>
      <c r="B488" s="4" t="s">
        <v>41</v>
      </c>
      <c r="C488" s="4" t="s">
        <v>44</v>
      </c>
      <c r="D488" s="4" t="s">
        <v>45</v>
      </c>
      <c r="E488" s="4" t="s">
        <v>25</v>
      </c>
      <c r="F488" s="4" t="s">
        <v>25</v>
      </c>
      <c r="G488" s="4" t="s">
        <v>25</v>
      </c>
      <c r="H488" s="4" t="s">
        <v>37</v>
      </c>
      <c r="I488" s="5">
        <v>44713</v>
      </c>
      <c r="J488" s="6">
        <v>0</v>
      </c>
      <c r="K488" s="6">
        <v>0</v>
      </c>
      <c r="L488" s="6">
        <v>395.92</v>
      </c>
      <c r="M488" s="6">
        <v>395.92</v>
      </c>
      <c r="N488" s="6">
        <v>395.92</v>
      </c>
      <c r="O488" s="6">
        <v>395.92</v>
      </c>
      <c r="P488" s="6">
        <v>0</v>
      </c>
      <c r="Q488" s="4" t="s">
        <v>26</v>
      </c>
      <c r="R488" s="4">
        <v>0</v>
      </c>
      <c r="S488" s="6">
        <v>0</v>
      </c>
      <c r="T488" s="6">
        <v>29</v>
      </c>
      <c r="U488" s="6">
        <v>75</v>
      </c>
      <c r="V488" s="6">
        <f>IF(ISERROR(VLOOKUP($S$488,'TAR FIN'!$A$1:$O$115,15,0)),0,VLOOKUP($S$488,'TAR FIN'!$A$1:$O$115,15,0))</f>
        <v>0</v>
      </c>
      <c r="W488" s="6">
        <f>IF(ISERROR(VLOOKUP($T$488,'TAR FIN'!$A$1:$O$115,15,0)),0,VLOOKUP($T$488,'TAR FIN'!$A$1:$O$115,15,0))</f>
        <v>84.31</v>
      </c>
      <c r="X488" s="6">
        <f>IF(ISERROR(VLOOKUP($U$488,'TAR FIN'!$A$1:$O$115,15,0)),0,VLOOKUP($U$488,'TAR FIN'!$A$1:$O$115,15,0))</f>
        <v>168.06</v>
      </c>
      <c r="Y488" s="6"/>
      <c r="Z488" s="6">
        <f ca="1">('TUSD BE'!$AM$29+'TUSD BF'!$AM$29+'TUSD CVA'!$AM$29)*1</f>
        <v>113.43121292628391</v>
      </c>
      <c r="AA488" s="6">
        <f>('TE BE'!$AB$12+'TE BF'!$AB$12+'TE CVA'!$AB$12)*1</f>
        <v>218.6854278594964</v>
      </c>
      <c r="AB488" s="6">
        <f>$K$488*$V$488</f>
        <v>0</v>
      </c>
      <c r="AC488" s="6">
        <f>$M$488*$W$488</f>
        <v>33380.015200000002</v>
      </c>
      <c r="AD488" s="6">
        <f>$O$488*$X$488</f>
        <v>66538.315199999997</v>
      </c>
      <c r="AE488" s="6">
        <f>$K$488*$Y$488</f>
        <v>0</v>
      </c>
      <c r="AF488" s="6">
        <f ca="1">$M$488*$Z$488</f>
        <v>44909.685821774328</v>
      </c>
      <c r="AG488" s="6">
        <f>$O$488*$AA$488</f>
        <v>86581.934598131818</v>
      </c>
    </row>
    <row r="489" spans="1:33" ht="11.25" customHeight="1" x14ac:dyDescent="0.25">
      <c r="A489" s="4" t="s">
        <v>30</v>
      </c>
      <c r="B489" s="4" t="s">
        <v>41</v>
      </c>
      <c r="C489" s="4" t="s">
        <v>44</v>
      </c>
      <c r="D489" s="4" t="s">
        <v>45</v>
      </c>
      <c r="E489" s="4" t="s">
        <v>25</v>
      </c>
      <c r="F489" s="4" t="s">
        <v>25</v>
      </c>
      <c r="G489" s="4" t="s">
        <v>25</v>
      </c>
      <c r="H489" s="4" t="s">
        <v>37</v>
      </c>
      <c r="I489" s="5">
        <v>44713</v>
      </c>
      <c r="J489" s="6">
        <v>0</v>
      </c>
      <c r="K489" s="6">
        <v>0</v>
      </c>
      <c r="L489" s="6">
        <v>-5.98</v>
      </c>
      <c r="M489" s="6">
        <v>-5.98</v>
      </c>
      <c r="N489" s="6">
        <v>-5.98</v>
      </c>
      <c r="O489" s="6">
        <v>-5.98</v>
      </c>
      <c r="P489" s="6">
        <v>0</v>
      </c>
      <c r="Q489" s="4" t="s">
        <v>26</v>
      </c>
      <c r="R489" s="4">
        <v>0</v>
      </c>
      <c r="S489" s="6">
        <v>0</v>
      </c>
      <c r="T489" s="6">
        <v>29</v>
      </c>
      <c r="U489" s="6">
        <v>75</v>
      </c>
      <c r="V489" s="6">
        <f>IF(ISERROR(VLOOKUP($S$489,'TAR FIN'!$A$1:$O$115,15,0)),0,VLOOKUP($S$489,'TAR FIN'!$A$1:$O$115,15,0))</f>
        <v>0</v>
      </c>
      <c r="W489" s="6">
        <f>IF(ISERROR(VLOOKUP($T$489,'TAR FIN'!$A$1:$O$115,15,0)),0,VLOOKUP($T$489,'TAR FIN'!$A$1:$O$115,15,0))</f>
        <v>84.31</v>
      </c>
      <c r="X489" s="6">
        <f>IF(ISERROR(VLOOKUP($U$489,'TAR FIN'!$A$1:$O$115,15,0)),0,VLOOKUP($U$489,'TAR FIN'!$A$1:$O$115,15,0))</f>
        <v>168.06</v>
      </c>
      <c r="Y489" s="6"/>
      <c r="Z489" s="6">
        <f ca="1">('TUSD BE'!$AM$29+'TUSD BF'!$AM$29+'TUSD CVA'!$AM$29)*1</f>
        <v>113.43121292628391</v>
      </c>
      <c r="AA489" s="6">
        <f>('TE BE'!$AB$12+'TE BF'!$AB$12+'TE CVA'!$AB$12)*1</f>
        <v>218.6854278594964</v>
      </c>
      <c r="AB489" s="6">
        <f>$K$489*$V$489</f>
        <v>0</v>
      </c>
      <c r="AC489" s="6">
        <f>$M$489*$W$489</f>
        <v>-504.17380000000003</v>
      </c>
      <c r="AD489" s="6">
        <f>$O$489*$X$489</f>
        <v>-1004.9988000000001</v>
      </c>
      <c r="AE489" s="6">
        <f>$K$489*$Y$489</f>
        <v>0</v>
      </c>
      <c r="AF489" s="6">
        <f ca="1">$M$489*$Z$489</f>
        <v>-678.31865329917775</v>
      </c>
      <c r="AG489" s="6">
        <f>$O$489*$AA$489</f>
        <v>-1307.7388585997885</v>
      </c>
    </row>
    <row r="490" spans="1:33" ht="11.25" customHeight="1" x14ac:dyDescent="0.25">
      <c r="A490" s="4" t="s">
        <v>21</v>
      </c>
      <c r="B490" s="4" t="s">
        <v>41</v>
      </c>
      <c r="C490" s="4" t="s">
        <v>44</v>
      </c>
      <c r="D490" s="4" t="s">
        <v>45</v>
      </c>
      <c r="E490" s="4" t="s">
        <v>25</v>
      </c>
      <c r="F490" s="4" t="s">
        <v>25</v>
      </c>
      <c r="G490" s="4" t="s">
        <v>25</v>
      </c>
      <c r="H490" s="4" t="s">
        <v>37</v>
      </c>
      <c r="I490" s="5">
        <v>44743</v>
      </c>
      <c r="J490" s="6">
        <v>0</v>
      </c>
      <c r="K490" s="6">
        <v>0</v>
      </c>
      <c r="L490" s="6">
        <v>3277.6729999999998</v>
      </c>
      <c r="M490" s="6">
        <v>3277.6729999999998</v>
      </c>
      <c r="N490" s="6">
        <v>3277.6729999999998</v>
      </c>
      <c r="O490" s="6">
        <v>3277.6729999999998</v>
      </c>
      <c r="P490" s="6">
        <v>0</v>
      </c>
      <c r="Q490" s="4" t="s">
        <v>26</v>
      </c>
      <c r="R490" s="4">
        <v>0</v>
      </c>
      <c r="S490" s="6">
        <v>0</v>
      </c>
      <c r="T490" s="6">
        <v>29</v>
      </c>
      <c r="U490" s="6">
        <v>75</v>
      </c>
      <c r="V490" s="6">
        <f>IF(ISERROR(VLOOKUP($S$490,'TAR FIN'!$A$1:$O$115,15,0)),0,VLOOKUP($S$490,'TAR FIN'!$A$1:$O$115,15,0))</f>
        <v>0</v>
      </c>
      <c r="W490" s="6">
        <f>IF(ISERROR(VLOOKUP($T$490,'TAR FIN'!$A$1:$O$115,15,0)),0,VLOOKUP($T$490,'TAR FIN'!$A$1:$O$115,15,0))</f>
        <v>84.31</v>
      </c>
      <c r="X490" s="6">
        <f>IF(ISERROR(VLOOKUP($U$490,'TAR FIN'!$A$1:$O$115,15,0)),0,VLOOKUP($U$490,'TAR FIN'!$A$1:$O$115,15,0))</f>
        <v>168.06</v>
      </c>
      <c r="Y490" s="6"/>
      <c r="Z490" s="6">
        <f ca="1">('TUSD BE'!$AM$29+'TUSD BF'!$AM$29+'TUSD CVA'!$AM$29)*1</f>
        <v>113.43121292628391</v>
      </c>
      <c r="AA490" s="6">
        <f>('TE BE'!$AB$12+'TE BF'!$AB$12+'TE CVA'!$AB$12)*1</f>
        <v>218.6854278594964</v>
      </c>
      <c r="AB490" s="6">
        <f>$K$490*$V$490</f>
        <v>0</v>
      </c>
      <c r="AC490" s="6">
        <f>$M$490*$W$490</f>
        <v>276340.61063000001</v>
      </c>
      <c r="AD490" s="6">
        <f>$O$490*$X$490</f>
        <v>550845.72437999991</v>
      </c>
      <c r="AE490" s="6">
        <f>$K$490*$Y$490</f>
        <v>0</v>
      </c>
      <c r="AF490" s="6">
        <f ca="1">$M$490*$Z$490</f>
        <v>371790.42396573169</v>
      </c>
      <c r="AG490" s="6">
        <f>$O$490*$AA$490</f>
        <v>716779.32238851907</v>
      </c>
    </row>
    <row r="491" spans="1:33" ht="11.25" customHeight="1" x14ac:dyDescent="0.25">
      <c r="A491" s="4" t="s">
        <v>28</v>
      </c>
      <c r="B491" s="4" t="s">
        <v>41</v>
      </c>
      <c r="C491" s="4" t="s">
        <v>44</v>
      </c>
      <c r="D491" s="4" t="s">
        <v>45</v>
      </c>
      <c r="E491" s="4" t="s">
        <v>25</v>
      </c>
      <c r="F491" s="4" t="s">
        <v>25</v>
      </c>
      <c r="G491" s="4" t="s">
        <v>25</v>
      </c>
      <c r="H491" s="4" t="s">
        <v>37</v>
      </c>
      <c r="I491" s="5">
        <v>44743</v>
      </c>
      <c r="J491" s="6">
        <v>0</v>
      </c>
      <c r="K491" s="6">
        <v>0</v>
      </c>
      <c r="L491" s="6">
        <v>685.38599999999997</v>
      </c>
      <c r="M491" s="6">
        <v>685.38599999999997</v>
      </c>
      <c r="N491" s="6">
        <v>685.38599999999997</v>
      </c>
      <c r="O491" s="6">
        <v>685.38599999999997</v>
      </c>
      <c r="P491" s="6">
        <v>0</v>
      </c>
      <c r="Q491" s="4" t="s">
        <v>26</v>
      </c>
      <c r="R491" s="4">
        <v>0</v>
      </c>
      <c r="S491" s="6">
        <v>0</v>
      </c>
      <c r="T491" s="6">
        <v>29</v>
      </c>
      <c r="U491" s="6">
        <v>75</v>
      </c>
      <c r="V491" s="6">
        <f>IF(ISERROR(VLOOKUP($S$491,'TAR FIN'!$A$1:$O$115,15,0)),0,VLOOKUP($S$491,'TAR FIN'!$A$1:$O$115,15,0))</f>
        <v>0</v>
      </c>
      <c r="W491" s="6">
        <f>IF(ISERROR(VLOOKUP($T$491,'TAR FIN'!$A$1:$O$115,15,0)),0,VLOOKUP($T$491,'TAR FIN'!$A$1:$O$115,15,0))</f>
        <v>84.31</v>
      </c>
      <c r="X491" s="6">
        <f>IF(ISERROR(VLOOKUP($U$491,'TAR FIN'!$A$1:$O$115,15,0)),0,VLOOKUP($U$491,'TAR FIN'!$A$1:$O$115,15,0))</f>
        <v>168.06</v>
      </c>
      <c r="Y491" s="6"/>
      <c r="Z491" s="6">
        <f ca="1">('TUSD BE'!$AM$29+'TUSD BF'!$AM$29+'TUSD CVA'!$AM$29)*1</f>
        <v>113.43121292628391</v>
      </c>
      <c r="AA491" s="6">
        <f>('TE BE'!$AB$12+'TE BF'!$AB$12+'TE CVA'!$AB$12)*1</f>
        <v>218.6854278594964</v>
      </c>
      <c r="AB491" s="6">
        <f>$K$491*$V$491</f>
        <v>0</v>
      </c>
      <c r="AC491" s="6">
        <f>$M$491*$W$491</f>
        <v>57784.893660000002</v>
      </c>
      <c r="AD491" s="6">
        <f>$O$491*$X$491</f>
        <v>115185.97116</v>
      </c>
      <c r="AE491" s="6">
        <f>$K$491*$Y$491</f>
        <v>0</v>
      </c>
      <c r="AF491" s="6">
        <f ca="1">$M$491*$Z$491</f>
        <v>77744.165302694018</v>
      </c>
      <c r="AG491" s="6">
        <f>$O$491*$AA$491</f>
        <v>149883.93065890879</v>
      </c>
    </row>
    <row r="492" spans="1:33" ht="11.25" customHeight="1" x14ac:dyDescent="0.25">
      <c r="A492" s="4" t="s">
        <v>30</v>
      </c>
      <c r="B492" s="4" t="s">
        <v>41</v>
      </c>
      <c r="C492" s="4" t="s">
        <v>44</v>
      </c>
      <c r="D492" s="4" t="s">
        <v>45</v>
      </c>
      <c r="E492" s="4" t="s">
        <v>25</v>
      </c>
      <c r="F492" s="4" t="s">
        <v>25</v>
      </c>
      <c r="G492" s="4" t="s">
        <v>25</v>
      </c>
      <c r="H492" s="4" t="s">
        <v>37</v>
      </c>
      <c r="I492" s="5">
        <v>44743</v>
      </c>
      <c r="J492" s="6">
        <v>0</v>
      </c>
      <c r="K492" s="6">
        <v>0</v>
      </c>
      <c r="L492" s="6">
        <v>396.596</v>
      </c>
      <c r="M492" s="6">
        <v>396.596</v>
      </c>
      <c r="N492" s="6">
        <v>396.596</v>
      </c>
      <c r="O492" s="6">
        <v>396.596</v>
      </c>
      <c r="P492" s="6">
        <v>0</v>
      </c>
      <c r="Q492" s="4" t="s">
        <v>26</v>
      </c>
      <c r="R492" s="4">
        <v>0</v>
      </c>
      <c r="S492" s="6">
        <v>0</v>
      </c>
      <c r="T492" s="6">
        <v>29</v>
      </c>
      <c r="U492" s="6">
        <v>75</v>
      </c>
      <c r="V492" s="6">
        <f>IF(ISERROR(VLOOKUP($S$492,'TAR FIN'!$A$1:$O$115,15,0)),0,VLOOKUP($S$492,'TAR FIN'!$A$1:$O$115,15,0))</f>
        <v>0</v>
      </c>
      <c r="W492" s="6">
        <f>IF(ISERROR(VLOOKUP($T$492,'TAR FIN'!$A$1:$O$115,15,0)),0,VLOOKUP($T$492,'TAR FIN'!$A$1:$O$115,15,0))</f>
        <v>84.31</v>
      </c>
      <c r="X492" s="6">
        <f>IF(ISERROR(VLOOKUP($U$492,'TAR FIN'!$A$1:$O$115,15,0)),0,VLOOKUP($U$492,'TAR FIN'!$A$1:$O$115,15,0))</f>
        <v>168.06</v>
      </c>
      <c r="Y492" s="6"/>
      <c r="Z492" s="6">
        <f ca="1">('TUSD BE'!$AM$29+'TUSD BF'!$AM$29+'TUSD CVA'!$AM$29)*1</f>
        <v>113.43121292628391</v>
      </c>
      <c r="AA492" s="6">
        <f>('TE BE'!$AB$12+'TE BF'!$AB$12+'TE CVA'!$AB$12)*1</f>
        <v>218.6854278594964</v>
      </c>
      <c r="AB492" s="6">
        <f>$K$492*$V$492</f>
        <v>0</v>
      </c>
      <c r="AC492" s="6">
        <f>$M$492*$W$492</f>
        <v>33437.008760000004</v>
      </c>
      <c r="AD492" s="6">
        <f>$O$492*$X$492</f>
        <v>66651.923760000005</v>
      </c>
      <c r="AE492" s="6">
        <f>$K$492*$Y$492</f>
        <v>0</v>
      </c>
      <c r="AF492" s="6">
        <f ca="1">$M$492*$Z$492</f>
        <v>44986.365321712496</v>
      </c>
      <c r="AG492" s="6">
        <f>$O$492*$AA$492</f>
        <v>86729.765947364838</v>
      </c>
    </row>
    <row r="493" spans="1:33" ht="11.25" customHeight="1" x14ac:dyDescent="0.25">
      <c r="A493" s="4" t="s">
        <v>21</v>
      </c>
      <c r="B493" s="4" t="s">
        <v>41</v>
      </c>
      <c r="C493" s="4" t="s">
        <v>44</v>
      </c>
      <c r="D493" s="4" t="s">
        <v>45</v>
      </c>
      <c r="E493" s="4" t="s">
        <v>25</v>
      </c>
      <c r="F493" s="4" t="s">
        <v>25</v>
      </c>
      <c r="G493" s="4" t="s">
        <v>25</v>
      </c>
      <c r="H493" s="4" t="s">
        <v>37</v>
      </c>
      <c r="I493" s="5">
        <v>44774</v>
      </c>
      <c r="J493" s="6">
        <v>0</v>
      </c>
      <c r="K493" s="6">
        <v>0</v>
      </c>
      <c r="L493" s="6">
        <v>3409.4119999999998</v>
      </c>
      <c r="M493" s="6">
        <v>3409.4119999999998</v>
      </c>
      <c r="N493" s="6">
        <v>3409.4119999999998</v>
      </c>
      <c r="O493" s="6">
        <v>3409.4119999999998</v>
      </c>
      <c r="P493" s="6">
        <v>0</v>
      </c>
      <c r="Q493" s="4" t="s">
        <v>26</v>
      </c>
      <c r="R493" s="4">
        <v>0</v>
      </c>
      <c r="S493" s="6">
        <v>0</v>
      </c>
      <c r="T493" s="6">
        <v>29</v>
      </c>
      <c r="U493" s="6">
        <v>75</v>
      </c>
      <c r="V493" s="6">
        <f>IF(ISERROR(VLOOKUP($S$493,'TAR FIN'!$A$1:$O$115,15,0)),0,VLOOKUP($S$493,'TAR FIN'!$A$1:$O$115,15,0))</f>
        <v>0</v>
      </c>
      <c r="W493" s="6">
        <f>IF(ISERROR(VLOOKUP($T$493,'TAR FIN'!$A$1:$O$115,15,0)),0,VLOOKUP($T$493,'TAR FIN'!$A$1:$O$115,15,0))</f>
        <v>84.31</v>
      </c>
      <c r="X493" s="6">
        <f>IF(ISERROR(VLOOKUP($U$493,'TAR FIN'!$A$1:$O$115,15,0)),0,VLOOKUP($U$493,'TAR FIN'!$A$1:$O$115,15,0))</f>
        <v>168.06</v>
      </c>
      <c r="Y493" s="6"/>
      <c r="Z493" s="6">
        <f ca="1">('TUSD BE'!$AM$29+'TUSD BF'!$AM$29+'TUSD CVA'!$AM$29)*1</f>
        <v>113.43121292628391</v>
      </c>
      <c r="AA493" s="6">
        <f>('TE BE'!$AB$12+'TE BF'!$AB$12+'TE CVA'!$AB$12)*1</f>
        <v>218.6854278594964</v>
      </c>
      <c r="AB493" s="6">
        <f>$K$493*$V$493</f>
        <v>0</v>
      </c>
      <c r="AC493" s="6">
        <f>$M$493*$W$493</f>
        <v>287447.52571999998</v>
      </c>
      <c r="AD493" s="6">
        <f>$O$493*$X$493</f>
        <v>572985.78071999992</v>
      </c>
      <c r="AE493" s="6">
        <f>$K$493*$Y$493</f>
        <v>0</v>
      </c>
      <c r="AF493" s="6">
        <f ca="1">$M$493*$Z$493</f>
        <v>386733.73852542741</v>
      </c>
      <c r="AG493" s="6">
        <f>$O$493*$AA$493</f>
        <v>745588.72196930135</v>
      </c>
    </row>
    <row r="494" spans="1:33" ht="11.25" customHeight="1" x14ac:dyDescent="0.25">
      <c r="A494" s="4" t="s">
        <v>28</v>
      </c>
      <c r="B494" s="4" t="s">
        <v>41</v>
      </c>
      <c r="C494" s="4" t="s">
        <v>44</v>
      </c>
      <c r="D494" s="4" t="s">
        <v>45</v>
      </c>
      <c r="E494" s="4" t="s">
        <v>25</v>
      </c>
      <c r="F494" s="4" t="s">
        <v>25</v>
      </c>
      <c r="G494" s="4" t="s">
        <v>25</v>
      </c>
      <c r="H494" s="4" t="s">
        <v>37</v>
      </c>
      <c r="I494" s="5">
        <v>44774</v>
      </c>
      <c r="J494" s="6">
        <v>0</v>
      </c>
      <c r="K494" s="6">
        <v>0</v>
      </c>
      <c r="L494" s="6">
        <v>706.22699999999998</v>
      </c>
      <c r="M494" s="6">
        <v>706.22699999999998</v>
      </c>
      <c r="N494" s="6">
        <v>706.22699999999998</v>
      </c>
      <c r="O494" s="6">
        <v>706.22699999999998</v>
      </c>
      <c r="P494" s="6">
        <v>0</v>
      </c>
      <c r="Q494" s="4" t="s">
        <v>26</v>
      </c>
      <c r="R494" s="4">
        <v>0</v>
      </c>
      <c r="S494" s="6">
        <v>0</v>
      </c>
      <c r="T494" s="6">
        <v>29</v>
      </c>
      <c r="U494" s="6">
        <v>75</v>
      </c>
      <c r="V494" s="6">
        <f>IF(ISERROR(VLOOKUP($S$494,'TAR FIN'!$A$1:$O$115,15,0)),0,VLOOKUP($S$494,'TAR FIN'!$A$1:$O$115,15,0))</f>
        <v>0</v>
      </c>
      <c r="W494" s="6">
        <f>IF(ISERROR(VLOOKUP($T$494,'TAR FIN'!$A$1:$O$115,15,0)),0,VLOOKUP($T$494,'TAR FIN'!$A$1:$O$115,15,0))</f>
        <v>84.31</v>
      </c>
      <c r="X494" s="6">
        <f>IF(ISERROR(VLOOKUP($U$494,'TAR FIN'!$A$1:$O$115,15,0)),0,VLOOKUP($U$494,'TAR FIN'!$A$1:$O$115,15,0))</f>
        <v>168.06</v>
      </c>
      <c r="Y494" s="6"/>
      <c r="Z494" s="6">
        <f ca="1">('TUSD BE'!$AM$29+'TUSD BF'!$AM$29+'TUSD CVA'!$AM$29)*1</f>
        <v>113.43121292628391</v>
      </c>
      <c r="AA494" s="6">
        <f>('TE BE'!$AB$12+'TE BF'!$AB$12+'TE CVA'!$AB$12)*1</f>
        <v>218.6854278594964</v>
      </c>
      <c r="AB494" s="6">
        <f>$K$494*$V$494</f>
        <v>0</v>
      </c>
      <c r="AC494" s="6">
        <f>$M$494*$W$494</f>
        <v>59541.998370000001</v>
      </c>
      <c r="AD494" s="6">
        <f>$O$494*$X$494</f>
        <v>118688.50962</v>
      </c>
      <c r="AE494" s="6">
        <f>$K$494*$Y$494</f>
        <v>0</v>
      </c>
      <c r="AF494" s="6">
        <f ca="1">$M$494*$Z$494</f>
        <v>80108.185211290707</v>
      </c>
      <c r="AG494" s="6">
        <f>$O$494*$AA$494</f>
        <v>154441.55366092856</v>
      </c>
    </row>
    <row r="495" spans="1:33" ht="11.25" customHeight="1" x14ac:dyDescent="0.25">
      <c r="A495" s="4" t="s">
        <v>30</v>
      </c>
      <c r="B495" s="4" t="s">
        <v>41</v>
      </c>
      <c r="C495" s="4" t="s">
        <v>44</v>
      </c>
      <c r="D495" s="4" t="s">
        <v>45</v>
      </c>
      <c r="E495" s="4" t="s">
        <v>25</v>
      </c>
      <c r="F495" s="4" t="s">
        <v>25</v>
      </c>
      <c r="G495" s="4" t="s">
        <v>25</v>
      </c>
      <c r="H495" s="4" t="s">
        <v>37</v>
      </c>
      <c r="I495" s="5">
        <v>44774</v>
      </c>
      <c r="J495" s="6">
        <v>0</v>
      </c>
      <c r="K495" s="6">
        <v>0</v>
      </c>
      <c r="L495" s="6">
        <v>424.392</v>
      </c>
      <c r="M495" s="6">
        <v>424.392</v>
      </c>
      <c r="N495" s="6">
        <v>424.392</v>
      </c>
      <c r="O495" s="6">
        <v>424.392</v>
      </c>
      <c r="P495" s="6">
        <v>0</v>
      </c>
      <c r="Q495" s="4" t="s">
        <v>26</v>
      </c>
      <c r="R495" s="4">
        <v>0</v>
      </c>
      <c r="S495" s="6">
        <v>0</v>
      </c>
      <c r="T495" s="6">
        <v>29</v>
      </c>
      <c r="U495" s="6">
        <v>75</v>
      </c>
      <c r="V495" s="6">
        <f>IF(ISERROR(VLOOKUP($S$495,'TAR FIN'!$A$1:$O$115,15,0)),0,VLOOKUP($S$495,'TAR FIN'!$A$1:$O$115,15,0))</f>
        <v>0</v>
      </c>
      <c r="W495" s="6">
        <f>IF(ISERROR(VLOOKUP($T$495,'TAR FIN'!$A$1:$O$115,15,0)),0,VLOOKUP($T$495,'TAR FIN'!$A$1:$O$115,15,0))</f>
        <v>84.31</v>
      </c>
      <c r="X495" s="6">
        <f>IF(ISERROR(VLOOKUP($U$495,'TAR FIN'!$A$1:$O$115,15,0)),0,VLOOKUP($U$495,'TAR FIN'!$A$1:$O$115,15,0))</f>
        <v>168.06</v>
      </c>
      <c r="Y495" s="6"/>
      <c r="Z495" s="6">
        <f ca="1">('TUSD BE'!$AM$29+'TUSD BF'!$AM$29+'TUSD CVA'!$AM$29)*1</f>
        <v>113.43121292628391</v>
      </c>
      <c r="AA495" s="6">
        <f>('TE BE'!$AB$12+'TE BF'!$AB$12+'TE CVA'!$AB$12)*1</f>
        <v>218.6854278594964</v>
      </c>
      <c r="AB495" s="6">
        <f>$K$495*$V$495</f>
        <v>0</v>
      </c>
      <c r="AC495" s="6">
        <f>$M$495*$W$495</f>
        <v>35780.489520000003</v>
      </c>
      <c r="AD495" s="6">
        <f>$O$495*$X$495</f>
        <v>71323.319520000005</v>
      </c>
      <c r="AE495" s="6">
        <f>$K$495*$Y$495</f>
        <v>0</v>
      </c>
      <c r="AF495" s="6">
        <f ca="1">$M$495*$Z$495</f>
        <v>48139.29931621148</v>
      </c>
      <c r="AG495" s="6">
        <f>$O$495*$AA$495</f>
        <v>92808.346100147392</v>
      </c>
    </row>
    <row r="496" spans="1:33" ht="11.25" customHeight="1" x14ac:dyDescent="0.25">
      <c r="A496" s="4" t="s">
        <v>30</v>
      </c>
      <c r="B496" s="4" t="s">
        <v>41</v>
      </c>
      <c r="C496" s="4" t="s">
        <v>44</v>
      </c>
      <c r="D496" s="4" t="s">
        <v>45</v>
      </c>
      <c r="E496" s="4" t="s">
        <v>25</v>
      </c>
      <c r="F496" s="4" t="s">
        <v>25</v>
      </c>
      <c r="G496" s="4" t="s">
        <v>25</v>
      </c>
      <c r="H496" s="4" t="s">
        <v>37</v>
      </c>
      <c r="I496" s="5">
        <v>44774</v>
      </c>
      <c r="J496" s="6">
        <v>0</v>
      </c>
      <c r="K496" s="6">
        <v>0</v>
      </c>
      <c r="L496" s="6">
        <v>-41.328000000000003</v>
      </c>
      <c r="M496" s="6">
        <v>-41.328000000000003</v>
      </c>
      <c r="N496" s="6">
        <v>-41.328000000000003</v>
      </c>
      <c r="O496" s="6">
        <v>-41.328000000000003</v>
      </c>
      <c r="P496" s="6">
        <v>0</v>
      </c>
      <c r="Q496" s="4" t="s">
        <v>26</v>
      </c>
      <c r="R496" s="4">
        <v>0</v>
      </c>
      <c r="S496" s="6">
        <v>0</v>
      </c>
      <c r="T496" s="6">
        <v>29</v>
      </c>
      <c r="U496" s="6">
        <v>75</v>
      </c>
      <c r="V496" s="6">
        <f>IF(ISERROR(VLOOKUP($S$496,'TAR FIN'!$A$1:$O$115,15,0)),0,VLOOKUP($S$496,'TAR FIN'!$A$1:$O$115,15,0))</f>
        <v>0</v>
      </c>
      <c r="W496" s="6">
        <f>IF(ISERROR(VLOOKUP($T$496,'TAR FIN'!$A$1:$O$115,15,0)),0,VLOOKUP($T$496,'TAR FIN'!$A$1:$O$115,15,0))</f>
        <v>84.31</v>
      </c>
      <c r="X496" s="6">
        <f>IF(ISERROR(VLOOKUP($U$496,'TAR FIN'!$A$1:$O$115,15,0)),0,VLOOKUP($U$496,'TAR FIN'!$A$1:$O$115,15,0))</f>
        <v>168.06</v>
      </c>
      <c r="Y496" s="6"/>
      <c r="Z496" s="6">
        <f ca="1">('TUSD BE'!$AM$29+'TUSD BF'!$AM$29+'TUSD CVA'!$AM$29)*1</f>
        <v>113.43121292628391</v>
      </c>
      <c r="AA496" s="6">
        <f>('TE BE'!$AB$12+'TE BF'!$AB$12+'TE CVA'!$AB$12)*1</f>
        <v>218.6854278594964</v>
      </c>
      <c r="AB496" s="6">
        <f>$K$496*$V$496</f>
        <v>0</v>
      </c>
      <c r="AC496" s="6">
        <f>$M$496*$W$496</f>
        <v>-3484.3636800000004</v>
      </c>
      <c r="AD496" s="6">
        <f>$O$496*$X$496</f>
        <v>-6945.5836800000006</v>
      </c>
      <c r="AE496" s="6">
        <f>$K$496*$Y$496</f>
        <v>0</v>
      </c>
      <c r="AF496" s="6">
        <f ca="1">$M$496*$Z$496</f>
        <v>-4687.8851678174615</v>
      </c>
      <c r="AG496" s="6">
        <f>$O$496*$AA$496</f>
        <v>-9037.831362577268</v>
      </c>
    </row>
    <row r="497" spans="1:33" ht="11.25" customHeight="1" x14ac:dyDescent="0.25">
      <c r="A497" s="4" t="s">
        <v>21</v>
      </c>
      <c r="B497" s="4" t="s">
        <v>41</v>
      </c>
      <c r="C497" s="4" t="s">
        <v>44</v>
      </c>
      <c r="D497" s="4" t="s">
        <v>45</v>
      </c>
      <c r="E497" s="4" t="s">
        <v>25</v>
      </c>
      <c r="F497" s="4" t="s">
        <v>25</v>
      </c>
      <c r="G497" s="4" t="s">
        <v>25</v>
      </c>
      <c r="H497" s="4" t="s">
        <v>37</v>
      </c>
      <c r="I497" s="5">
        <v>44805</v>
      </c>
      <c r="J497" s="6">
        <v>0</v>
      </c>
      <c r="K497" s="6">
        <v>0</v>
      </c>
      <c r="L497" s="6">
        <v>3322.69</v>
      </c>
      <c r="M497" s="6">
        <v>3322.69</v>
      </c>
      <c r="N497" s="6">
        <v>3322.69</v>
      </c>
      <c r="O497" s="6">
        <v>3322.69</v>
      </c>
      <c r="P497" s="6">
        <v>0</v>
      </c>
      <c r="Q497" s="4" t="s">
        <v>26</v>
      </c>
      <c r="R497" s="4">
        <v>0</v>
      </c>
      <c r="S497" s="6">
        <v>0</v>
      </c>
      <c r="T497" s="6">
        <v>29</v>
      </c>
      <c r="U497" s="6">
        <v>75</v>
      </c>
      <c r="V497" s="6">
        <f>IF(ISERROR(VLOOKUP($S$497,'TAR FIN'!$A$1:$O$115,15,0)),0,VLOOKUP($S$497,'TAR FIN'!$A$1:$O$115,15,0))</f>
        <v>0</v>
      </c>
      <c r="W497" s="6">
        <f>IF(ISERROR(VLOOKUP($T$497,'TAR FIN'!$A$1:$O$115,15,0)),0,VLOOKUP($T$497,'TAR FIN'!$A$1:$O$115,15,0))</f>
        <v>84.31</v>
      </c>
      <c r="X497" s="6">
        <f>IF(ISERROR(VLOOKUP($U$497,'TAR FIN'!$A$1:$O$115,15,0)),0,VLOOKUP($U$497,'TAR FIN'!$A$1:$O$115,15,0))</f>
        <v>168.06</v>
      </c>
      <c r="Y497" s="6"/>
      <c r="Z497" s="6">
        <f ca="1">('TUSD BE'!$AM$29+'TUSD BF'!$AM$29+'TUSD CVA'!$AM$29)*1</f>
        <v>113.43121292628391</v>
      </c>
      <c r="AA497" s="6">
        <f>('TE BE'!$AB$12+'TE BF'!$AB$12+'TE CVA'!$AB$12)*1</f>
        <v>218.6854278594964</v>
      </c>
      <c r="AB497" s="6">
        <f>$K$497*$V$497</f>
        <v>0</v>
      </c>
      <c r="AC497" s="6">
        <f>$M$497*$W$497</f>
        <v>280135.9939</v>
      </c>
      <c r="AD497" s="6">
        <f>$O$497*$X$497</f>
        <v>558411.28139999998</v>
      </c>
      <c r="AE497" s="6">
        <f>$K$497*$Y$497</f>
        <v>0</v>
      </c>
      <c r="AF497" s="6">
        <f ca="1">$M$497*$Z$497</f>
        <v>376896.75687803427</v>
      </c>
      <c r="AG497" s="6">
        <f>$O$497*$AA$497</f>
        <v>726623.88429447007</v>
      </c>
    </row>
    <row r="498" spans="1:33" ht="11.25" customHeight="1" x14ac:dyDescent="0.25">
      <c r="A498" s="4" t="s">
        <v>28</v>
      </c>
      <c r="B498" s="4" t="s">
        <v>41</v>
      </c>
      <c r="C498" s="4" t="s">
        <v>44</v>
      </c>
      <c r="D498" s="4" t="s">
        <v>45</v>
      </c>
      <c r="E498" s="4" t="s">
        <v>25</v>
      </c>
      <c r="F498" s="4" t="s">
        <v>25</v>
      </c>
      <c r="G498" s="4" t="s">
        <v>25</v>
      </c>
      <c r="H498" s="4" t="s">
        <v>37</v>
      </c>
      <c r="I498" s="5">
        <v>44805</v>
      </c>
      <c r="J498" s="6">
        <v>0</v>
      </c>
      <c r="K498" s="6">
        <v>0</v>
      </c>
      <c r="L498" s="6">
        <v>684.33799999999997</v>
      </c>
      <c r="M498" s="6">
        <v>684.33799999999997</v>
      </c>
      <c r="N498" s="6">
        <v>684.33799999999997</v>
      </c>
      <c r="O498" s="6">
        <v>684.33799999999997</v>
      </c>
      <c r="P498" s="6">
        <v>0</v>
      </c>
      <c r="Q498" s="4" t="s">
        <v>26</v>
      </c>
      <c r="R498" s="4">
        <v>0</v>
      </c>
      <c r="S498" s="6">
        <v>0</v>
      </c>
      <c r="T498" s="6">
        <v>29</v>
      </c>
      <c r="U498" s="6">
        <v>75</v>
      </c>
      <c r="V498" s="6">
        <f>IF(ISERROR(VLOOKUP($S$498,'TAR FIN'!$A$1:$O$115,15,0)),0,VLOOKUP($S$498,'TAR FIN'!$A$1:$O$115,15,0))</f>
        <v>0</v>
      </c>
      <c r="W498" s="6">
        <f>IF(ISERROR(VLOOKUP($T$498,'TAR FIN'!$A$1:$O$115,15,0)),0,VLOOKUP($T$498,'TAR FIN'!$A$1:$O$115,15,0))</f>
        <v>84.31</v>
      </c>
      <c r="X498" s="6">
        <f>IF(ISERROR(VLOOKUP($U$498,'TAR FIN'!$A$1:$O$115,15,0)),0,VLOOKUP($U$498,'TAR FIN'!$A$1:$O$115,15,0))</f>
        <v>168.06</v>
      </c>
      <c r="Y498" s="6"/>
      <c r="Z498" s="6">
        <f ca="1">('TUSD BE'!$AM$29+'TUSD BF'!$AM$29+'TUSD CVA'!$AM$29)*1</f>
        <v>113.43121292628391</v>
      </c>
      <c r="AA498" s="6">
        <f>('TE BE'!$AB$12+'TE BF'!$AB$12+'TE CVA'!$AB$12)*1</f>
        <v>218.6854278594964</v>
      </c>
      <c r="AB498" s="6">
        <f>$K$498*$V$498</f>
        <v>0</v>
      </c>
      <c r="AC498" s="6">
        <f>$M$498*$W$498</f>
        <v>57696.536780000002</v>
      </c>
      <c r="AD498" s="6">
        <f>$O$498*$X$498</f>
        <v>115009.84427999999</v>
      </c>
      <c r="AE498" s="6">
        <f>$K$498*$Y$498</f>
        <v>0</v>
      </c>
      <c r="AF498" s="6">
        <f ca="1">$M$498*$Z$498</f>
        <v>77625.289391547267</v>
      </c>
      <c r="AG498" s="6">
        <f>$O$498*$AA$498</f>
        <v>149654.74833051203</v>
      </c>
    </row>
    <row r="499" spans="1:33" ht="11.25" customHeight="1" x14ac:dyDescent="0.25">
      <c r="A499" s="4" t="s">
        <v>30</v>
      </c>
      <c r="B499" s="4" t="s">
        <v>41</v>
      </c>
      <c r="C499" s="4" t="s">
        <v>44</v>
      </c>
      <c r="D499" s="4" t="s">
        <v>45</v>
      </c>
      <c r="E499" s="4" t="s">
        <v>25</v>
      </c>
      <c r="F499" s="4" t="s">
        <v>25</v>
      </c>
      <c r="G499" s="4" t="s">
        <v>25</v>
      </c>
      <c r="H499" s="4" t="s">
        <v>37</v>
      </c>
      <c r="I499" s="5">
        <v>44805</v>
      </c>
      <c r="J499" s="6">
        <v>0</v>
      </c>
      <c r="K499" s="6">
        <v>0</v>
      </c>
      <c r="L499" s="6">
        <v>446.34500000000003</v>
      </c>
      <c r="M499" s="6">
        <v>446.34500000000003</v>
      </c>
      <c r="N499" s="6">
        <v>446.34500000000003</v>
      </c>
      <c r="O499" s="6">
        <v>446.34500000000003</v>
      </c>
      <c r="P499" s="6">
        <v>0</v>
      </c>
      <c r="Q499" s="4" t="s">
        <v>26</v>
      </c>
      <c r="R499" s="4">
        <v>0</v>
      </c>
      <c r="S499" s="6">
        <v>0</v>
      </c>
      <c r="T499" s="6">
        <v>29</v>
      </c>
      <c r="U499" s="6">
        <v>75</v>
      </c>
      <c r="V499" s="6">
        <f>IF(ISERROR(VLOOKUP($S$499,'TAR FIN'!$A$1:$O$115,15,0)),0,VLOOKUP($S$499,'TAR FIN'!$A$1:$O$115,15,0))</f>
        <v>0</v>
      </c>
      <c r="W499" s="6">
        <f>IF(ISERROR(VLOOKUP($T$499,'TAR FIN'!$A$1:$O$115,15,0)),0,VLOOKUP($T$499,'TAR FIN'!$A$1:$O$115,15,0))</f>
        <v>84.31</v>
      </c>
      <c r="X499" s="6">
        <f>IF(ISERROR(VLOOKUP($U$499,'TAR FIN'!$A$1:$O$115,15,0)),0,VLOOKUP($U$499,'TAR FIN'!$A$1:$O$115,15,0))</f>
        <v>168.06</v>
      </c>
      <c r="Y499" s="6"/>
      <c r="Z499" s="6">
        <f ca="1">('TUSD BE'!$AM$29+'TUSD BF'!$AM$29+'TUSD CVA'!$AM$29)*1</f>
        <v>113.43121292628391</v>
      </c>
      <c r="AA499" s="6">
        <f>('TE BE'!$AB$12+'TE BF'!$AB$12+'TE CVA'!$AB$12)*1</f>
        <v>218.6854278594964</v>
      </c>
      <c r="AB499" s="6">
        <f>$K$499*$V$499</f>
        <v>0</v>
      </c>
      <c r="AC499" s="6">
        <f>$M$499*$W$499</f>
        <v>37631.346950000006</v>
      </c>
      <c r="AD499" s="6">
        <f>$O$499*$X$499</f>
        <v>75012.740700000009</v>
      </c>
      <c r="AE499" s="6">
        <f>$K$499*$Y$499</f>
        <v>0</v>
      </c>
      <c r="AF499" s="6">
        <f ca="1">$M$499*$Z$499</f>
        <v>50629.454733582192</v>
      </c>
      <c r="AG499" s="6">
        <f>$O$499*$AA$499</f>
        <v>97609.147297946925</v>
      </c>
    </row>
    <row r="500" spans="1:33" ht="11.25" customHeight="1" x14ac:dyDescent="0.25">
      <c r="A500" s="4" t="s">
        <v>21</v>
      </c>
      <c r="B500" s="4" t="s">
        <v>41</v>
      </c>
      <c r="C500" s="4" t="s">
        <v>44</v>
      </c>
      <c r="D500" s="4" t="s">
        <v>45</v>
      </c>
      <c r="E500" s="4" t="s">
        <v>25</v>
      </c>
      <c r="F500" s="4" t="s">
        <v>25</v>
      </c>
      <c r="G500" s="4" t="s">
        <v>25</v>
      </c>
      <c r="H500" s="4" t="s">
        <v>37</v>
      </c>
      <c r="I500" s="5">
        <v>44835</v>
      </c>
      <c r="J500" s="6">
        <v>0</v>
      </c>
      <c r="K500" s="6">
        <v>0</v>
      </c>
      <c r="L500" s="6">
        <v>3338.386</v>
      </c>
      <c r="M500" s="6">
        <v>3338.386</v>
      </c>
      <c r="N500" s="6">
        <v>3338.386</v>
      </c>
      <c r="O500" s="6">
        <v>3338.386</v>
      </c>
      <c r="P500" s="6">
        <v>0</v>
      </c>
      <c r="Q500" s="4" t="s">
        <v>26</v>
      </c>
      <c r="R500" s="4">
        <v>0</v>
      </c>
      <c r="S500" s="6">
        <v>0</v>
      </c>
      <c r="T500" s="6">
        <v>29</v>
      </c>
      <c r="U500" s="6">
        <v>75</v>
      </c>
      <c r="V500" s="6">
        <f>IF(ISERROR(VLOOKUP($S$500,'TAR FIN'!$A$1:$O$115,15,0)),0,VLOOKUP($S$500,'TAR FIN'!$A$1:$O$115,15,0))</f>
        <v>0</v>
      </c>
      <c r="W500" s="6">
        <f>IF(ISERROR(VLOOKUP($T$500,'TAR FIN'!$A$1:$O$115,15,0)),0,VLOOKUP($T$500,'TAR FIN'!$A$1:$O$115,15,0))</f>
        <v>84.31</v>
      </c>
      <c r="X500" s="6">
        <f>IF(ISERROR(VLOOKUP($U$500,'TAR FIN'!$A$1:$O$115,15,0)),0,VLOOKUP($U$500,'TAR FIN'!$A$1:$O$115,15,0))</f>
        <v>168.06</v>
      </c>
      <c r="Y500" s="6"/>
      <c r="Z500" s="6">
        <f ca="1">('TUSD BE'!$AM$29+'TUSD BF'!$AM$29+'TUSD CVA'!$AM$29)*1</f>
        <v>113.43121292628391</v>
      </c>
      <c r="AA500" s="6">
        <f>('TE BE'!$AB$12+'TE BF'!$AB$12+'TE CVA'!$AB$12)*1</f>
        <v>218.6854278594964</v>
      </c>
      <c r="AB500" s="6">
        <f>$K$500*$V$500</f>
        <v>0</v>
      </c>
      <c r="AC500" s="6">
        <f>$M$500*$W$500</f>
        <v>281459.32365999999</v>
      </c>
      <c r="AD500" s="6">
        <f>$O$500*$X$500</f>
        <v>561049.15116000001</v>
      </c>
      <c r="AE500" s="6">
        <f>$K$500*$Y$500</f>
        <v>0</v>
      </c>
      <c r="AF500" s="6">
        <f ca="1">$M$500*$Z$500</f>
        <v>378677.17319612519</v>
      </c>
      <c r="AG500" s="6">
        <f>$O$500*$AA$500</f>
        <v>730056.37077015277</v>
      </c>
    </row>
    <row r="501" spans="1:33" ht="11.25" customHeight="1" x14ac:dyDescent="0.25">
      <c r="A501" s="4" t="s">
        <v>28</v>
      </c>
      <c r="B501" s="4" t="s">
        <v>41</v>
      </c>
      <c r="C501" s="4" t="s">
        <v>44</v>
      </c>
      <c r="D501" s="4" t="s">
        <v>45</v>
      </c>
      <c r="E501" s="4" t="s">
        <v>25</v>
      </c>
      <c r="F501" s="4" t="s">
        <v>25</v>
      </c>
      <c r="G501" s="4" t="s">
        <v>25</v>
      </c>
      <c r="H501" s="4" t="s">
        <v>37</v>
      </c>
      <c r="I501" s="5">
        <v>44835</v>
      </c>
      <c r="J501" s="6">
        <v>0</v>
      </c>
      <c r="K501" s="6">
        <v>0</v>
      </c>
      <c r="L501" s="6">
        <v>712.69299999999998</v>
      </c>
      <c r="M501" s="6">
        <v>712.69299999999998</v>
      </c>
      <c r="N501" s="6">
        <v>712.69299999999998</v>
      </c>
      <c r="O501" s="6">
        <v>712.69299999999998</v>
      </c>
      <c r="P501" s="6">
        <v>0</v>
      </c>
      <c r="Q501" s="4" t="s">
        <v>26</v>
      </c>
      <c r="R501" s="4">
        <v>0</v>
      </c>
      <c r="S501" s="6">
        <v>0</v>
      </c>
      <c r="T501" s="6">
        <v>29</v>
      </c>
      <c r="U501" s="6">
        <v>75</v>
      </c>
      <c r="V501" s="6">
        <f>IF(ISERROR(VLOOKUP($S$501,'TAR FIN'!$A$1:$O$115,15,0)),0,VLOOKUP($S$501,'TAR FIN'!$A$1:$O$115,15,0))</f>
        <v>0</v>
      </c>
      <c r="W501" s="6">
        <f>IF(ISERROR(VLOOKUP($T$501,'TAR FIN'!$A$1:$O$115,15,0)),0,VLOOKUP($T$501,'TAR FIN'!$A$1:$O$115,15,0))</f>
        <v>84.31</v>
      </c>
      <c r="X501" s="6">
        <f>IF(ISERROR(VLOOKUP($U$501,'TAR FIN'!$A$1:$O$115,15,0)),0,VLOOKUP($U$501,'TAR FIN'!$A$1:$O$115,15,0))</f>
        <v>168.06</v>
      </c>
      <c r="Y501" s="6"/>
      <c r="Z501" s="6">
        <f ca="1">('TUSD BE'!$AM$29+'TUSD BF'!$AM$29+'TUSD CVA'!$AM$29)*1</f>
        <v>113.43121292628391</v>
      </c>
      <c r="AA501" s="6">
        <f>('TE BE'!$AB$12+'TE BF'!$AB$12+'TE CVA'!$AB$12)*1</f>
        <v>218.6854278594964</v>
      </c>
      <c r="AB501" s="6">
        <f>$K$501*$V$501</f>
        <v>0</v>
      </c>
      <c r="AC501" s="6">
        <f>$M$501*$W$501</f>
        <v>60087.146829999998</v>
      </c>
      <c r="AD501" s="6">
        <f>$O$501*$X$501</f>
        <v>119775.18558</v>
      </c>
      <c r="AE501" s="6">
        <f>$K$501*$Y$501</f>
        <v>0</v>
      </c>
      <c r="AF501" s="6">
        <f ca="1">$M$501*$Z$501</f>
        <v>80841.631434072056</v>
      </c>
      <c r="AG501" s="6">
        <f>$O$501*$AA$501</f>
        <v>155855.57363746807</v>
      </c>
    </row>
    <row r="502" spans="1:33" ht="11.25" customHeight="1" x14ac:dyDescent="0.25">
      <c r="A502" s="4" t="s">
        <v>30</v>
      </c>
      <c r="B502" s="4" t="s">
        <v>41</v>
      </c>
      <c r="C502" s="4" t="s">
        <v>44</v>
      </c>
      <c r="D502" s="4" t="s">
        <v>45</v>
      </c>
      <c r="E502" s="4" t="s">
        <v>25</v>
      </c>
      <c r="F502" s="4" t="s">
        <v>25</v>
      </c>
      <c r="G502" s="4" t="s">
        <v>25</v>
      </c>
      <c r="H502" s="4" t="s">
        <v>37</v>
      </c>
      <c r="I502" s="5">
        <v>44835</v>
      </c>
      <c r="J502" s="6">
        <v>0</v>
      </c>
      <c r="K502" s="6">
        <v>0</v>
      </c>
      <c r="L502" s="6">
        <v>445.85300000000001</v>
      </c>
      <c r="M502" s="6">
        <v>445.85300000000001</v>
      </c>
      <c r="N502" s="6">
        <v>445.85300000000001</v>
      </c>
      <c r="O502" s="6">
        <v>445.85300000000001</v>
      </c>
      <c r="P502" s="6">
        <v>0</v>
      </c>
      <c r="Q502" s="4" t="s">
        <v>26</v>
      </c>
      <c r="R502" s="4">
        <v>0</v>
      </c>
      <c r="S502" s="6">
        <v>0</v>
      </c>
      <c r="T502" s="6">
        <v>29</v>
      </c>
      <c r="U502" s="6">
        <v>75</v>
      </c>
      <c r="V502" s="6">
        <f>IF(ISERROR(VLOOKUP($S$502,'TAR FIN'!$A$1:$O$115,15,0)),0,VLOOKUP($S$502,'TAR FIN'!$A$1:$O$115,15,0))</f>
        <v>0</v>
      </c>
      <c r="W502" s="6">
        <f>IF(ISERROR(VLOOKUP($T$502,'TAR FIN'!$A$1:$O$115,15,0)),0,VLOOKUP($T$502,'TAR FIN'!$A$1:$O$115,15,0))</f>
        <v>84.31</v>
      </c>
      <c r="X502" s="6">
        <f>IF(ISERROR(VLOOKUP($U$502,'TAR FIN'!$A$1:$O$115,15,0)),0,VLOOKUP($U$502,'TAR FIN'!$A$1:$O$115,15,0))</f>
        <v>168.06</v>
      </c>
      <c r="Y502" s="6"/>
      <c r="Z502" s="6">
        <f ca="1">('TUSD BE'!$AM$29+'TUSD BF'!$AM$29+'TUSD CVA'!$AM$29)*1</f>
        <v>113.43121292628391</v>
      </c>
      <c r="AA502" s="6">
        <f>('TE BE'!$AB$12+'TE BF'!$AB$12+'TE CVA'!$AB$12)*1</f>
        <v>218.6854278594964</v>
      </c>
      <c r="AB502" s="6">
        <f>$K$502*$V$502</f>
        <v>0</v>
      </c>
      <c r="AC502" s="6">
        <f>$M$502*$W$502</f>
        <v>37589.866430000002</v>
      </c>
      <c r="AD502" s="6">
        <f>$O$502*$X$502</f>
        <v>74930.055179999996</v>
      </c>
      <c r="AE502" s="6">
        <f>$K$502*$Y$502</f>
        <v>0</v>
      </c>
      <c r="AF502" s="6">
        <f ca="1">$M$502*$Z$502</f>
        <v>50573.646576822459</v>
      </c>
      <c r="AG502" s="6">
        <f>$O$502*$AA$502</f>
        <v>97501.554067440054</v>
      </c>
    </row>
    <row r="503" spans="1:33" ht="11.25" customHeight="1" x14ac:dyDescent="0.25">
      <c r="A503" s="4" t="s">
        <v>59</v>
      </c>
      <c r="B503" s="4" t="s">
        <v>41</v>
      </c>
      <c r="C503" s="4" t="s">
        <v>44</v>
      </c>
      <c r="D503" s="4" t="s">
        <v>45</v>
      </c>
      <c r="E503" s="4" t="s">
        <v>25</v>
      </c>
      <c r="F503" s="4" t="s">
        <v>25</v>
      </c>
      <c r="G503" s="4" t="s">
        <v>25</v>
      </c>
      <c r="H503" s="4" t="s">
        <v>37</v>
      </c>
      <c r="I503" s="5">
        <v>44866</v>
      </c>
      <c r="J503" s="6">
        <v>0</v>
      </c>
      <c r="K503" s="6">
        <v>0</v>
      </c>
      <c r="L503" s="6">
        <v>3338.386</v>
      </c>
      <c r="M503" s="6">
        <v>3338.386</v>
      </c>
      <c r="N503" s="6">
        <v>3338.386</v>
      </c>
      <c r="O503" s="6">
        <v>3338.386</v>
      </c>
      <c r="P503" s="6">
        <v>0</v>
      </c>
      <c r="Q503" s="4" t="s">
        <v>26</v>
      </c>
      <c r="R503" s="4">
        <v>0</v>
      </c>
      <c r="S503" s="6">
        <v>0</v>
      </c>
      <c r="T503" s="6">
        <v>29</v>
      </c>
      <c r="U503" s="6">
        <v>75</v>
      </c>
      <c r="V503" s="6">
        <f>IF(ISERROR(VLOOKUP($S$503,'TAR FIN'!$A$1:$O$115,15,0)),0,VLOOKUP($S$503,'TAR FIN'!$A$1:$O$115,15,0))</f>
        <v>0</v>
      </c>
      <c r="W503" s="6">
        <f>IF(ISERROR(VLOOKUP($T$503,'TAR FIN'!$A$1:$O$115,15,0)),0,VLOOKUP($T$503,'TAR FIN'!$A$1:$O$115,15,0))</f>
        <v>84.31</v>
      </c>
      <c r="X503" s="6">
        <f>IF(ISERROR(VLOOKUP($U$503,'TAR FIN'!$A$1:$O$115,15,0)),0,VLOOKUP($U$503,'TAR FIN'!$A$1:$O$115,15,0))</f>
        <v>168.06</v>
      </c>
      <c r="Y503" s="6"/>
      <c r="Z503" s="6">
        <f ca="1">('TUSD BE'!$AM$29+'TUSD BF'!$AM$29+'TUSD CVA'!$AM$29)*1</f>
        <v>113.43121292628391</v>
      </c>
      <c r="AA503" s="6">
        <f>('TE BE'!$AB$12+'TE BF'!$AB$12+'TE CVA'!$AB$12)*1</f>
        <v>218.6854278594964</v>
      </c>
      <c r="AB503" s="6">
        <f>$K$503*$V$503</f>
        <v>0</v>
      </c>
      <c r="AC503" s="6">
        <f>$M$503*$W$503</f>
        <v>281459.32365999999</v>
      </c>
      <c r="AD503" s="6">
        <f>$O$503*$X$503</f>
        <v>561049.15116000001</v>
      </c>
      <c r="AE503" s="6">
        <f>$K$503*$Y$503</f>
        <v>0</v>
      </c>
      <c r="AF503" s="6">
        <f ca="1">$M$503*$Z$503</f>
        <v>378677.17319612519</v>
      </c>
      <c r="AG503" s="6">
        <f>$O$503*$AA$503</f>
        <v>730056.37077015277</v>
      </c>
    </row>
    <row r="504" spans="1:33" ht="11.25" customHeight="1" x14ac:dyDescent="0.25">
      <c r="A504" s="4" t="s">
        <v>59</v>
      </c>
      <c r="B504" s="4" t="s">
        <v>41</v>
      </c>
      <c r="C504" s="4" t="s">
        <v>44</v>
      </c>
      <c r="D504" s="4" t="s">
        <v>45</v>
      </c>
      <c r="E504" s="4" t="s">
        <v>25</v>
      </c>
      <c r="F504" s="4" t="s">
        <v>25</v>
      </c>
      <c r="G504" s="4" t="s">
        <v>25</v>
      </c>
      <c r="H504" s="4" t="s">
        <v>37</v>
      </c>
      <c r="I504" s="5">
        <v>44866</v>
      </c>
      <c r="J504" s="6">
        <v>0</v>
      </c>
      <c r="K504" s="6">
        <v>0</v>
      </c>
      <c r="L504" s="6">
        <v>712.69299999999998</v>
      </c>
      <c r="M504" s="6">
        <v>712.69299999999998</v>
      </c>
      <c r="N504" s="6">
        <v>712.69299999999998</v>
      </c>
      <c r="O504" s="6">
        <v>712.69299999999998</v>
      </c>
      <c r="P504" s="6">
        <v>0</v>
      </c>
      <c r="Q504" s="4" t="s">
        <v>26</v>
      </c>
      <c r="R504" s="4">
        <v>0</v>
      </c>
      <c r="S504" s="6">
        <v>0</v>
      </c>
      <c r="T504" s="6">
        <v>29</v>
      </c>
      <c r="U504" s="6">
        <v>75</v>
      </c>
      <c r="V504" s="6">
        <f>IF(ISERROR(VLOOKUP($S$504,'TAR FIN'!$A$1:$O$115,15,0)),0,VLOOKUP($S$504,'TAR FIN'!$A$1:$O$115,15,0))</f>
        <v>0</v>
      </c>
      <c r="W504" s="6">
        <f>IF(ISERROR(VLOOKUP($T$504,'TAR FIN'!$A$1:$O$115,15,0)),0,VLOOKUP($T$504,'TAR FIN'!$A$1:$O$115,15,0))</f>
        <v>84.31</v>
      </c>
      <c r="X504" s="6">
        <f>IF(ISERROR(VLOOKUP($U$504,'TAR FIN'!$A$1:$O$115,15,0)),0,VLOOKUP($U$504,'TAR FIN'!$A$1:$O$115,15,0))</f>
        <v>168.06</v>
      </c>
      <c r="Y504" s="6"/>
      <c r="Z504" s="6">
        <f ca="1">('TUSD BE'!$AM$29+'TUSD BF'!$AM$29+'TUSD CVA'!$AM$29)*1</f>
        <v>113.43121292628391</v>
      </c>
      <c r="AA504" s="6">
        <f>('TE BE'!$AB$12+'TE BF'!$AB$12+'TE CVA'!$AB$12)*1</f>
        <v>218.6854278594964</v>
      </c>
      <c r="AB504" s="6">
        <f>$K$504*$V$504</f>
        <v>0</v>
      </c>
      <c r="AC504" s="6">
        <f>$M$504*$W$504</f>
        <v>60087.146829999998</v>
      </c>
      <c r="AD504" s="6">
        <f>$O$504*$X$504</f>
        <v>119775.18558</v>
      </c>
      <c r="AE504" s="6">
        <f>$K$504*$Y$504</f>
        <v>0</v>
      </c>
      <c r="AF504" s="6">
        <f ca="1">$M$504*$Z$504</f>
        <v>80841.631434072056</v>
      </c>
      <c r="AG504" s="6">
        <f>$O$504*$AA$504</f>
        <v>155855.57363746807</v>
      </c>
    </row>
    <row r="505" spans="1:33" ht="11.25" customHeight="1" x14ac:dyDescent="0.25">
      <c r="A505" s="4" t="s">
        <v>59</v>
      </c>
      <c r="B505" s="4" t="s">
        <v>41</v>
      </c>
      <c r="C505" s="4" t="s">
        <v>44</v>
      </c>
      <c r="D505" s="4" t="s">
        <v>45</v>
      </c>
      <c r="E505" s="4" t="s">
        <v>25</v>
      </c>
      <c r="F505" s="4" t="s">
        <v>25</v>
      </c>
      <c r="G505" s="4" t="s">
        <v>25</v>
      </c>
      <c r="H505" s="4" t="s">
        <v>37</v>
      </c>
      <c r="I505" s="5">
        <v>44866</v>
      </c>
      <c r="J505" s="6">
        <v>0</v>
      </c>
      <c r="K505" s="6">
        <v>0</v>
      </c>
      <c r="L505" s="6">
        <v>445.85300000000001</v>
      </c>
      <c r="M505" s="6">
        <v>445.85300000000001</v>
      </c>
      <c r="N505" s="6">
        <v>445.85300000000001</v>
      </c>
      <c r="O505" s="6">
        <v>445.85300000000001</v>
      </c>
      <c r="P505" s="6">
        <v>0</v>
      </c>
      <c r="Q505" s="4" t="s">
        <v>26</v>
      </c>
      <c r="R505" s="4">
        <v>0</v>
      </c>
      <c r="S505" s="6">
        <v>0</v>
      </c>
      <c r="T505" s="6">
        <v>29</v>
      </c>
      <c r="U505" s="6">
        <v>75</v>
      </c>
      <c r="V505" s="6">
        <f>IF(ISERROR(VLOOKUP($S$505,'TAR FIN'!$A$1:$O$115,15,0)),0,VLOOKUP($S$505,'TAR FIN'!$A$1:$O$115,15,0))</f>
        <v>0</v>
      </c>
      <c r="W505" s="6">
        <f>IF(ISERROR(VLOOKUP($T$505,'TAR FIN'!$A$1:$O$115,15,0)),0,VLOOKUP($T$505,'TAR FIN'!$A$1:$O$115,15,0))</f>
        <v>84.31</v>
      </c>
      <c r="X505" s="6">
        <f>IF(ISERROR(VLOOKUP($U$505,'TAR FIN'!$A$1:$O$115,15,0)),0,VLOOKUP($U$505,'TAR FIN'!$A$1:$O$115,15,0))</f>
        <v>168.06</v>
      </c>
      <c r="Y505" s="6"/>
      <c r="Z505" s="6">
        <f ca="1">('TUSD BE'!$AM$29+'TUSD BF'!$AM$29+'TUSD CVA'!$AM$29)*1</f>
        <v>113.43121292628391</v>
      </c>
      <c r="AA505" s="6">
        <f>('TE BE'!$AB$12+'TE BF'!$AB$12+'TE CVA'!$AB$12)*1</f>
        <v>218.6854278594964</v>
      </c>
      <c r="AB505" s="6">
        <f>$K$505*$V$505</f>
        <v>0</v>
      </c>
      <c r="AC505" s="6">
        <f>$M$505*$W$505</f>
        <v>37589.866430000002</v>
      </c>
      <c r="AD505" s="6">
        <f>$O$505*$X$505</f>
        <v>74930.055179999996</v>
      </c>
      <c r="AE505" s="6">
        <f>$K$505*$Y$505</f>
        <v>0</v>
      </c>
      <c r="AF505" s="6">
        <f ca="1">$M$505*$Z$505</f>
        <v>50573.646576822459</v>
      </c>
      <c r="AG505" s="6">
        <f>$O$505*$AA$505</f>
        <v>97501.554067440054</v>
      </c>
    </row>
    <row r="506" spans="1:33" ht="11.25" customHeight="1" x14ac:dyDescent="0.25">
      <c r="A506" s="4" t="s">
        <v>21</v>
      </c>
      <c r="B506" s="4" t="s">
        <v>41</v>
      </c>
      <c r="C506" s="4" t="s">
        <v>44</v>
      </c>
      <c r="D506" s="4" t="s">
        <v>45</v>
      </c>
      <c r="E506" s="4" t="s">
        <v>25</v>
      </c>
      <c r="F506" s="4" t="s">
        <v>25</v>
      </c>
      <c r="G506" s="4" t="s">
        <v>25</v>
      </c>
      <c r="H506" s="4" t="s">
        <v>25</v>
      </c>
      <c r="I506" s="5">
        <v>44531</v>
      </c>
      <c r="J506" s="6">
        <v>20742</v>
      </c>
      <c r="K506" s="6">
        <v>20742</v>
      </c>
      <c r="L506" s="6">
        <v>0</v>
      </c>
      <c r="M506" s="6">
        <v>0</v>
      </c>
      <c r="N506" s="6">
        <v>0</v>
      </c>
      <c r="O506" s="6">
        <v>0</v>
      </c>
      <c r="P506" s="6">
        <v>179</v>
      </c>
      <c r="Q506" s="4" t="s">
        <v>26</v>
      </c>
      <c r="R506" s="4">
        <v>0</v>
      </c>
      <c r="S506" s="6">
        <v>27</v>
      </c>
      <c r="T506" s="6">
        <v>0</v>
      </c>
      <c r="U506" s="6">
        <v>0</v>
      </c>
      <c r="V506" s="6">
        <f>IF(ISERROR(VLOOKUP($S$506,'TAR FIN'!$A$1:$O$115,15,0)),0,VLOOKUP($S$506,'TAR FIN'!$A$1:$O$115,15,0))</f>
        <v>19.8</v>
      </c>
      <c r="W506" s="6">
        <f>IF(ISERROR(VLOOKUP($T$506,'TAR FIN'!$A$1:$O$115,15,0)),0,VLOOKUP($T$506,'TAR FIN'!$A$1:$O$115,15,0))</f>
        <v>0</v>
      </c>
      <c r="X506" s="6">
        <f>IF(ISERROR(VLOOKUP($U$506,'TAR FIN'!$A$1:$O$115,15,0)),0,VLOOKUP($U$506,'TAR FIN'!$A$1:$O$115,15,0))</f>
        <v>0</v>
      </c>
      <c r="Y506" s="6">
        <f ca="1">('TUSD BE'!$AM$27+'TUSD BF'!$AM$27+'TUSD CVA'!$AM$27)*1</f>
        <v>20.615214330225772</v>
      </c>
      <c r="Z506" s="6"/>
      <c r="AA506" s="6"/>
      <c r="AB506" s="6">
        <f>$K$506*$V$506</f>
        <v>410691.60000000003</v>
      </c>
      <c r="AC506" s="6">
        <f>$M$506*$W$506</f>
        <v>0</v>
      </c>
      <c r="AD506" s="6">
        <f>$O$506*$X$506</f>
        <v>0</v>
      </c>
      <c r="AE506" s="6">
        <f ca="1">$K$506*$Y$506</f>
        <v>427600.77563754295</v>
      </c>
      <c r="AF506" s="6">
        <f>$M$506*$Z$506</f>
        <v>0</v>
      </c>
      <c r="AG506" s="6">
        <f>$O$506*$AA$506</f>
        <v>0</v>
      </c>
    </row>
    <row r="507" spans="1:33" ht="11.25" customHeight="1" x14ac:dyDescent="0.25">
      <c r="A507" s="4" t="s">
        <v>28</v>
      </c>
      <c r="B507" s="4" t="s">
        <v>41</v>
      </c>
      <c r="C507" s="4" t="s">
        <v>44</v>
      </c>
      <c r="D507" s="4" t="s">
        <v>45</v>
      </c>
      <c r="E507" s="4" t="s">
        <v>25</v>
      </c>
      <c r="F507" s="4" t="s">
        <v>25</v>
      </c>
      <c r="G507" s="4" t="s">
        <v>25</v>
      </c>
      <c r="H507" s="4" t="s">
        <v>25</v>
      </c>
      <c r="I507" s="5">
        <v>44531</v>
      </c>
      <c r="J507" s="6">
        <v>3683</v>
      </c>
      <c r="K507" s="6">
        <v>3683</v>
      </c>
      <c r="L507" s="6">
        <v>0</v>
      </c>
      <c r="M507" s="6">
        <v>0</v>
      </c>
      <c r="N507" s="6">
        <v>0</v>
      </c>
      <c r="O507" s="6">
        <v>0</v>
      </c>
      <c r="P507" s="6">
        <v>40</v>
      </c>
      <c r="Q507" s="4" t="s">
        <v>26</v>
      </c>
      <c r="R507" s="4">
        <v>0</v>
      </c>
      <c r="S507" s="6">
        <v>27</v>
      </c>
      <c r="T507" s="6">
        <v>0</v>
      </c>
      <c r="U507" s="6">
        <v>0</v>
      </c>
      <c r="V507" s="6">
        <f>IF(ISERROR(VLOOKUP($S$507,'TAR FIN'!$A$1:$O$115,15,0)),0,VLOOKUP($S$507,'TAR FIN'!$A$1:$O$115,15,0))</f>
        <v>19.8</v>
      </c>
      <c r="W507" s="6">
        <f>IF(ISERROR(VLOOKUP($T$507,'TAR FIN'!$A$1:$O$115,15,0)),0,VLOOKUP($T$507,'TAR FIN'!$A$1:$O$115,15,0))</f>
        <v>0</v>
      </c>
      <c r="X507" s="6">
        <f>IF(ISERROR(VLOOKUP($U$507,'TAR FIN'!$A$1:$O$115,15,0)),0,VLOOKUP($U$507,'TAR FIN'!$A$1:$O$115,15,0))</f>
        <v>0</v>
      </c>
      <c r="Y507" s="6">
        <f ca="1">('TUSD BE'!$AM$27+'TUSD BF'!$AM$27+'TUSD CVA'!$AM$27)*1</f>
        <v>20.615214330225772</v>
      </c>
      <c r="Z507" s="6"/>
      <c r="AA507" s="6"/>
      <c r="AB507" s="6">
        <f>$K$507*$V$507</f>
        <v>72923.400000000009</v>
      </c>
      <c r="AC507" s="6">
        <f>$M$507*$W$507</f>
        <v>0</v>
      </c>
      <c r="AD507" s="6">
        <f>$O$507*$X$507</f>
        <v>0</v>
      </c>
      <c r="AE507" s="6">
        <f ca="1">$K$507*$Y$507</f>
        <v>75925.834378221523</v>
      </c>
      <c r="AF507" s="6">
        <f>$M$507*$Z$507</f>
        <v>0</v>
      </c>
      <c r="AG507" s="6">
        <f>$O$507*$AA$507</f>
        <v>0</v>
      </c>
    </row>
    <row r="508" spans="1:33" ht="11.25" customHeight="1" x14ac:dyDescent="0.25">
      <c r="A508" s="4" t="s">
        <v>30</v>
      </c>
      <c r="B508" s="4" t="s">
        <v>41</v>
      </c>
      <c r="C508" s="4" t="s">
        <v>44</v>
      </c>
      <c r="D508" s="4" t="s">
        <v>45</v>
      </c>
      <c r="E508" s="4" t="s">
        <v>25</v>
      </c>
      <c r="F508" s="4" t="s">
        <v>25</v>
      </c>
      <c r="G508" s="4" t="s">
        <v>25</v>
      </c>
      <c r="H508" s="4" t="s">
        <v>25</v>
      </c>
      <c r="I508" s="5">
        <v>44531</v>
      </c>
      <c r="J508" s="6">
        <v>2456</v>
      </c>
      <c r="K508" s="6">
        <v>2456</v>
      </c>
      <c r="L508" s="6">
        <v>0</v>
      </c>
      <c r="M508" s="6">
        <v>0</v>
      </c>
      <c r="N508" s="6">
        <v>0</v>
      </c>
      <c r="O508" s="6">
        <v>0</v>
      </c>
      <c r="P508" s="6">
        <v>17</v>
      </c>
      <c r="Q508" s="4" t="s">
        <v>26</v>
      </c>
      <c r="R508" s="4">
        <v>0</v>
      </c>
      <c r="S508" s="6">
        <v>27</v>
      </c>
      <c r="T508" s="6">
        <v>0</v>
      </c>
      <c r="U508" s="6">
        <v>0</v>
      </c>
      <c r="V508" s="6">
        <f>IF(ISERROR(VLOOKUP($S$508,'TAR FIN'!$A$1:$O$115,15,0)),0,VLOOKUP($S$508,'TAR FIN'!$A$1:$O$115,15,0))</f>
        <v>19.8</v>
      </c>
      <c r="W508" s="6">
        <f>IF(ISERROR(VLOOKUP($T$508,'TAR FIN'!$A$1:$O$115,15,0)),0,VLOOKUP($T$508,'TAR FIN'!$A$1:$O$115,15,0))</f>
        <v>0</v>
      </c>
      <c r="X508" s="6">
        <f>IF(ISERROR(VLOOKUP($U$508,'TAR FIN'!$A$1:$O$115,15,0)),0,VLOOKUP($U$508,'TAR FIN'!$A$1:$O$115,15,0))</f>
        <v>0</v>
      </c>
      <c r="Y508" s="6">
        <f ca="1">('TUSD BE'!$AM$27+'TUSD BF'!$AM$27+'TUSD CVA'!$AM$27)*1</f>
        <v>20.615214330225772</v>
      </c>
      <c r="Z508" s="6"/>
      <c r="AA508" s="6"/>
      <c r="AB508" s="6">
        <f>$K$508*$V$508</f>
        <v>48628.800000000003</v>
      </c>
      <c r="AC508" s="6">
        <f>$M$508*$W$508</f>
        <v>0</v>
      </c>
      <c r="AD508" s="6">
        <f>$O$508*$X$508</f>
        <v>0</v>
      </c>
      <c r="AE508" s="6">
        <f ca="1">$K$508*$Y$508</f>
        <v>50630.966395034498</v>
      </c>
      <c r="AF508" s="6">
        <f>$M$508*$Z$508</f>
        <v>0</v>
      </c>
      <c r="AG508" s="6">
        <f>$O$508*$AA$508</f>
        <v>0</v>
      </c>
    </row>
    <row r="509" spans="1:33" ht="11.25" customHeight="1" x14ac:dyDescent="0.25">
      <c r="A509" s="4" t="s">
        <v>21</v>
      </c>
      <c r="B509" s="4" t="s">
        <v>41</v>
      </c>
      <c r="C509" s="4" t="s">
        <v>44</v>
      </c>
      <c r="D509" s="4" t="s">
        <v>45</v>
      </c>
      <c r="E509" s="4" t="s">
        <v>25</v>
      </c>
      <c r="F509" s="4" t="s">
        <v>25</v>
      </c>
      <c r="G509" s="4" t="s">
        <v>25</v>
      </c>
      <c r="H509" s="4" t="s">
        <v>25</v>
      </c>
      <c r="I509" s="5">
        <v>44562</v>
      </c>
      <c r="J509" s="6">
        <v>20495</v>
      </c>
      <c r="K509" s="6">
        <v>20495</v>
      </c>
      <c r="L509" s="6">
        <v>0</v>
      </c>
      <c r="M509" s="6">
        <v>0</v>
      </c>
      <c r="N509" s="6">
        <v>0</v>
      </c>
      <c r="O509" s="6">
        <v>0</v>
      </c>
      <c r="P509" s="6">
        <v>178</v>
      </c>
      <c r="Q509" s="4" t="s">
        <v>26</v>
      </c>
      <c r="R509" s="4">
        <v>0</v>
      </c>
      <c r="S509" s="6">
        <v>27</v>
      </c>
      <c r="T509" s="6">
        <v>0</v>
      </c>
      <c r="U509" s="6">
        <v>0</v>
      </c>
      <c r="V509" s="6">
        <f>IF(ISERROR(VLOOKUP($S$509,'TAR FIN'!$A$1:$O$115,15,0)),0,VLOOKUP($S$509,'TAR FIN'!$A$1:$O$115,15,0))</f>
        <v>19.8</v>
      </c>
      <c r="W509" s="6">
        <f>IF(ISERROR(VLOOKUP($T$509,'TAR FIN'!$A$1:$O$115,15,0)),0,VLOOKUP($T$509,'TAR FIN'!$A$1:$O$115,15,0))</f>
        <v>0</v>
      </c>
      <c r="X509" s="6">
        <f>IF(ISERROR(VLOOKUP($U$509,'TAR FIN'!$A$1:$O$115,15,0)),0,VLOOKUP($U$509,'TAR FIN'!$A$1:$O$115,15,0))</f>
        <v>0</v>
      </c>
      <c r="Y509" s="6">
        <f ca="1">('TUSD BE'!$AM$27+'TUSD BF'!$AM$27+'TUSD CVA'!$AM$27)*1</f>
        <v>20.615214330225772</v>
      </c>
      <c r="Z509" s="6"/>
      <c r="AA509" s="6"/>
      <c r="AB509" s="6">
        <f>$K$509*$V$509</f>
        <v>405801</v>
      </c>
      <c r="AC509" s="6">
        <f>$M$509*$W$509</f>
        <v>0</v>
      </c>
      <c r="AD509" s="6">
        <f>$O$509*$X$509</f>
        <v>0</v>
      </c>
      <c r="AE509" s="6">
        <f ca="1">$K$509*$Y$509</f>
        <v>422508.81769797718</v>
      </c>
      <c r="AF509" s="6">
        <f>$M$509*$Z$509</f>
        <v>0</v>
      </c>
      <c r="AG509" s="6">
        <f>$O$509*$AA$509</f>
        <v>0</v>
      </c>
    </row>
    <row r="510" spans="1:33" ht="11.25" customHeight="1" x14ac:dyDescent="0.25">
      <c r="A510" s="4" t="s">
        <v>28</v>
      </c>
      <c r="B510" s="4" t="s">
        <v>41</v>
      </c>
      <c r="C510" s="4" t="s">
        <v>44</v>
      </c>
      <c r="D510" s="4" t="s">
        <v>45</v>
      </c>
      <c r="E510" s="4" t="s">
        <v>25</v>
      </c>
      <c r="F510" s="4" t="s">
        <v>25</v>
      </c>
      <c r="G510" s="4" t="s">
        <v>25</v>
      </c>
      <c r="H510" s="4" t="s">
        <v>25</v>
      </c>
      <c r="I510" s="5">
        <v>44562</v>
      </c>
      <c r="J510" s="6">
        <v>3648</v>
      </c>
      <c r="K510" s="6">
        <v>3648</v>
      </c>
      <c r="L510" s="6">
        <v>0</v>
      </c>
      <c r="M510" s="6">
        <v>0</v>
      </c>
      <c r="N510" s="6">
        <v>0</v>
      </c>
      <c r="O510" s="6">
        <v>0</v>
      </c>
      <c r="P510" s="6">
        <v>39</v>
      </c>
      <c r="Q510" s="4" t="s">
        <v>26</v>
      </c>
      <c r="R510" s="4">
        <v>0</v>
      </c>
      <c r="S510" s="6">
        <v>27</v>
      </c>
      <c r="T510" s="6">
        <v>0</v>
      </c>
      <c r="U510" s="6">
        <v>0</v>
      </c>
      <c r="V510" s="6">
        <f>IF(ISERROR(VLOOKUP($S$510,'TAR FIN'!$A$1:$O$115,15,0)),0,VLOOKUP($S$510,'TAR FIN'!$A$1:$O$115,15,0))</f>
        <v>19.8</v>
      </c>
      <c r="W510" s="6">
        <f>IF(ISERROR(VLOOKUP($T$510,'TAR FIN'!$A$1:$O$115,15,0)),0,VLOOKUP($T$510,'TAR FIN'!$A$1:$O$115,15,0))</f>
        <v>0</v>
      </c>
      <c r="X510" s="6">
        <f>IF(ISERROR(VLOOKUP($U$510,'TAR FIN'!$A$1:$O$115,15,0)),0,VLOOKUP($U$510,'TAR FIN'!$A$1:$O$115,15,0))</f>
        <v>0</v>
      </c>
      <c r="Y510" s="6">
        <f ca="1">('TUSD BE'!$AM$27+'TUSD BF'!$AM$27+'TUSD CVA'!$AM$27)*1</f>
        <v>20.615214330225772</v>
      </c>
      <c r="Z510" s="6"/>
      <c r="AA510" s="6"/>
      <c r="AB510" s="6">
        <f>$K$510*$V$510</f>
        <v>72230.400000000009</v>
      </c>
      <c r="AC510" s="6">
        <f>$M$510*$W$510</f>
        <v>0</v>
      </c>
      <c r="AD510" s="6">
        <f>$O$510*$X$510</f>
        <v>0</v>
      </c>
      <c r="AE510" s="6">
        <f ca="1">$K$510*$Y$510</f>
        <v>75204.301876663623</v>
      </c>
      <c r="AF510" s="6">
        <f>$M$510*$Z$510</f>
        <v>0</v>
      </c>
      <c r="AG510" s="6">
        <f>$O$510*$AA$510</f>
        <v>0</v>
      </c>
    </row>
    <row r="511" spans="1:33" ht="11.25" customHeight="1" x14ac:dyDescent="0.25">
      <c r="A511" s="4" t="s">
        <v>30</v>
      </c>
      <c r="B511" s="4" t="s">
        <v>41</v>
      </c>
      <c r="C511" s="4" t="s">
        <v>44</v>
      </c>
      <c r="D511" s="4" t="s">
        <v>45</v>
      </c>
      <c r="E511" s="4" t="s">
        <v>25</v>
      </c>
      <c r="F511" s="4" t="s">
        <v>25</v>
      </c>
      <c r="G511" s="4" t="s">
        <v>25</v>
      </c>
      <c r="H511" s="4" t="s">
        <v>25</v>
      </c>
      <c r="I511" s="5">
        <v>44562</v>
      </c>
      <c r="J511" s="6">
        <v>2676</v>
      </c>
      <c r="K511" s="6">
        <v>2676</v>
      </c>
      <c r="L511" s="6">
        <v>0</v>
      </c>
      <c r="M511" s="6">
        <v>0</v>
      </c>
      <c r="N511" s="6">
        <v>0</v>
      </c>
      <c r="O511" s="6">
        <v>0</v>
      </c>
      <c r="P511" s="6">
        <v>18</v>
      </c>
      <c r="Q511" s="4" t="s">
        <v>26</v>
      </c>
      <c r="R511" s="4">
        <v>0</v>
      </c>
      <c r="S511" s="6">
        <v>27</v>
      </c>
      <c r="T511" s="6">
        <v>0</v>
      </c>
      <c r="U511" s="6">
        <v>0</v>
      </c>
      <c r="V511" s="6">
        <f>IF(ISERROR(VLOOKUP($S$511,'TAR FIN'!$A$1:$O$115,15,0)),0,VLOOKUP($S$511,'TAR FIN'!$A$1:$O$115,15,0))</f>
        <v>19.8</v>
      </c>
      <c r="W511" s="6">
        <f>IF(ISERROR(VLOOKUP($T$511,'TAR FIN'!$A$1:$O$115,15,0)),0,VLOOKUP($T$511,'TAR FIN'!$A$1:$O$115,15,0))</f>
        <v>0</v>
      </c>
      <c r="X511" s="6">
        <f>IF(ISERROR(VLOOKUP($U$511,'TAR FIN'!$A$1:$O$115,15,0)),0,VLOOKUP($U$511,'TAR FIN'!$A$1:$O$115,15,0))</f>
        <v>0</v>
      </c>
      <c r="Y511" s="6">
        <f ca="1">('TUSD BE'!$AM$27+'TUSD BF'!$AM$27+'TUSD CVA'!$AM$27)*1</f>
        <v>20.615214330225772</v>
      </c>
      <c r="Z511" s="6"/>
      <c r="AA511" s="6"/>
      <c r="AB511" s="6">
        <f>$K$511*$V$511</f>
        <v>52984.800000000003</v>
      </c>
      <c r="AC511" s="6">
        <f>$M$511*$W$511</f>
        <v>0</v>
      </c>
      <c r="AD511" s="6">
        <f>$O$511*$X$511</f>
        <v>0</v>
      </c>
      <c r="AE511" s="6">
        <f ca="1">$K$511*$Y$511</f>
        <v>55166.313547684163</v>
      </c>
      <c r="AF511" s="6">
        <f>$M$511*$Z$511</f>
        <v>0</v>
      </c>
      <c r="AG511" s="6">
        <f>$O$511*$AA$511</f>
        <v>0</v>
      </c>
    </row>
    <row r="512" spans="1:33" ht="11.25" customHeight="1" x14ac:dyDescent="0.25">
      <c r="A512" s="4" t="s">
        <v>21</v>
      </c>
      <c r="B512" s="4" t="s">
        <v>41</v>
      </c>
      <c r="C512" s="4" t="s">
        <v>44</v>
      </c>
      <c r="D512" s="4" t="s">
        <v>45</v>
      </c>
      <c r="E512" s="4" t="s">
        <v>25</v>
      </c>
      <c r="F512" s="4" t="s">
        <v>25</v>
      </c>
      <c r="G512" s="4" t="s">
        <v>25</v>
      </c>
      <c r="H512" s="4" t="s">
        <v>25</v>
      </c>
      <c r="I512" s="5">
        <v>44593</v>
      </c>
      <c r="J512" s="6">
        <v>20504</v>
      </c>
      <c r="K512" s="6">
        <v>20504</v>
      </c>
      <c r="L512" s="6">
        <v>0</v>
      </c>
      <c r="M512" s="6">
        <v>0</v>
      </c>
      <c r="N512" s="6">
        <v>0</v>
      </c>
      <c r="O512" s="6">
        <v>0</v>
      </c>
      <c r="P512" s="6">
        <v>179</v>
      </c>
      <c r="Q512" s="4" t="s">
        <v>26</v>
      </c>
      <c r="R512" s="4">
        <v>0</v>
      </c>
      <c r="S512" s="6">
        <v>27</v>
      </c>
      <c r="T512" s="6">
        <v>0</v>
      </c>
      <c r="U512" s="6">
        <v>0</v>
      </c>
      <c r="V512" s="6">
        <f>IF(ISERROR(VLOOKUP($S$512,'TAR FIN'!$A$1:$O$115,15,0)),0,VLOOKUP($S$512,'TAR FIN'!$A$1:$O$115,15,0))</f>
        <v>19.8</v>
      </c>
      <c r="W512" s="6">
        <f>IF(ISERROR(VLOOKUP($T$512,'TAR FIN'!$A$1:$O$115,15,0)),0,VLOOKUP($T$512,'TAR FIN'!$A$1:$O$115,15,0))</f>
        <v>0</v>
      </c>
      <c r="X512" s="6">
        <f>IF(ISERROR(VLOOKUP($U$512,'TAR FIN'!$A$1:$O$115,15,0)),0,VLOOKUP($U$512,'TAR FIN'!$A$1:$O$115,15,0))</f>
        <v>0</v>
      </c>
      <c r="Y512" s="6">
        <f ca="1">('TUSD BE'!$AM$27+'TUSD BF'!$AM$27+'TUSD CVA'!$AM$27)*1</f>
        <v>20.615214330225772</v>
      </c>
      <c r="Z512" s="6"/>
      <c r="AA512" s="6"/>
      <c r="AB512" s="6">
        <f>$K$512*$V$512</f>
        <v>405979.2</v>
      </c>
      <c r="AC512" s="6">
        <f>$M$512*$W$512</f>
        <v>0</v>
      </c>
      <c r="AD512" s="6">
        <f>$O$512*$X$512</f>
        <v>0</v>
      </c>
      <c r="AE512" s="6">
        <f ca="1">$K$512*$Y$512</f>
        <v>422694.35462694924</v>
      </c>
      <c r="AF512" s="6">
        <f>$M$512*$Z$512</f>
        <v>0</v>
      </c>
      <c r="AG512" s="6">
        <f>$O$512*$AA$512</f>
        <v>0</v>
      </c>
    </row>
    <row r="513" spans="1:33" ht="11.25" customHeight="1" x14ac:dyDescent="0.25">
      <c r="A513" s="4" t="s">
        <v>28</v>
      </c>
      <c r="B513" s="4" t="s">
        <v>41</v>
      </c>
      <c r="C513" s="4" t="s">
        <v>44</v>
      </c>
      <c r="D513" s="4" t="s">
        <v>45</v>
      </c>
      <c r="E513" s="4" t="s">
        <v>25</v>
      </c>
      <c r="F513" s="4" t="s">
        <v>25</v>
      </c>
      <c r="G513" s="4" t="s">
        <v>25</v>
      </c>
      <c r="H513" s="4" t="s">
        <v>25</v>
      </c>
      <c r="I513" s="5">
        <v>44593</v>
      </c>
      <c r="J513" s="6">
        <v>3862</v>
      </c>
      <c r="K513" s="6">
        <v>3862</v>
      </c>
      <c r="L513" s="6">
        <v>0</v>
      </c>
      <c r="M513" s="6">
        <v>0</v>
      </c>
      <c r="N513" s="6">
        <v>0</v>
      </c>
      <c r="O513" s="6">
        <v>0</v>
      </c>
      <c r="P513" s="6">
        <v>40</v>
      </c>
      <c r="Q513" s="4" t="s">
        <v>26</v>
      </c>
      <c r="R513" s="4">
        <v>0</v>
      </c>
      <c r="S513" s="6">
        <v>27</v>
      </c>
      <c r="T513" s="6">
        <v>0</v>
      </c>
      <c r="U513" s="6">
        <v>0</v>
      </c>
      <c r="V513" s="6">
        <f>IF(ISERROR(VLOOKUP($S$513,'TAR FIN'!$A$1:$O$115,15,0)),0,VLOOKUP($S$513,'TAR FIN'!$A$1:$O$115,15,0))</f>
        <v>19.8</v>
      </c>
      <c r="W513" s="6">
        <f>IF(ISERROR(VLOOKUP($T$513,'TAR FIN'!$A$1:$O$115,15,0)),0,VLOOKUP($T$513,'TAR FIN'!$A$1:$O$115,15,0))</f>
        <v>0</v>
      </c>
      <c r="X513" s="6">
        <f>IF(ISERROR(VLOOKUP($U$513,'TAR FIN'!$A$1:$O$115,15,0)),0,VLOOKUP($U$513,'TAR FIN'!$A$1:$O$115,15,0))</f>
        <v>0</v>
      </c>
      <c r="Y513" s="6">
        <f ca="1">('TUSD BE'!$AM$27+'TUSD BF'!$AM$27+'TUSD CVA'!$AM$27)*1</f>
        <v>20.615214330225772</v>
      </c>
      <c r="Z513" s="6"/>
      <c r="AA513" s="6"/>
      <c r="AB513" s="6">
        <f>$K$513*$V$513</f>
        <v>76467.600000000006</v>
      </c>
      <c r="AC513" s="6">
        <f>$M$513*$W$513</f>
        <v>0</v>
      </c>
      <c r="AD513" s="6">
        <f>$O$513*$X$513</f>
        <v>0</v>
      </c>
      <c r="AE513" s="6">
        <f ca="1">$K$513*$Y$513</f>
        <v>79615.957743331935</v>
      </c>
      <c r="AF513" s="6">
        <f>$M$513*$Z$513</f>
        <v>0</v>
      </c>
      <c r="AG513" s="6">
        <f>$O$513*$AA$513</f>
        <v>0</v>
      </c>
    </row>
    <row r="514" spans="1:33" ht="11.25" customHeight="1" x14ac:dyDescent="0.25">
      <c r="A514" s="4" t="s">
        <v>30</v>
      </c>
      <c r="B514" s="4" t="s">
        <v>41</v>
      </c>
      <c r="C514" s="4" t="s">
        <v>44</v>
      </c>
      <c r="D514" s="4" t="s">
        <v>45</v>
      </c>
      <c r="E514" s="4" t="s">
        <v>25</v>
      </c>
      <c r="F514" s="4" t="s">
        <v>25</v>
      </c>
      <c r="G514" s="4" t="s">
        <v>25</v>
      </c>
      <c r="H514" s="4" t="s">
        <v>25</v>
      </c>
      <c r="I514" s="5">
        <v>44593</v>
      </c>
      <c r="J514" s="6">
        <v>3257</v>
      </c>
      <c r="K514" s="6">
        <v>3257</v>
      </c>
      <c r="L514" s="6">
        <v>0</v>
      </c>
      <c r="M514" s="6">
        <v>0</v>
      </c>
      <c r="N514" s="6">
        <v>0</v>
      </c>
      <c r="O514" s="6">
        <v>0</v>
      </c>
      <c r="P514" s="6">
        <v>18</v>
      </c>
      <c r="Q514" s="4" t="s">
        <v>26</v>
      </c>
      <c r="R514" s="4">
        <v>0</v>
      </c>
      <c r="S514" s="6">
        <v>27</v>
      </c>
      <c r="T514" s="6">
        <v>0</v>
      </c>
      <c r="U514" s="6">
        <v>0</v>
      </c>
      <c r="V514" s="6">
        <f>IF(ISERROR(VLOOKUP($S$514,'TAR FIN'!$A$1:$O$115,15,0)),0,VLOOKUP($S$514,'TAR FIN'!$A$1:$O$115,15,0))</f>
        <v>19.8</v>
      </c>
      <c r="W514" s="6">
        <f>IF(ISERROR(VLOOKUP($T$514,'TAR FIN'!$A$1:$O$115,15,0)),0,VLOOKUP($T$514,'TAR FIN'!$A$1:$O$115,15,0))</f>
        <v>0</v>
      </c>
      <c r="X514" s="6">
        <f>IF(ISERROR(VLOOKUP($U$514,'TAR FIN'!$A$1:$O$115,15,0)),0,VLOOKUP($U$514,'TAR FIN'!$A$1:$O$115,15,0))</f>
        <v>0</v>
      </c>
      <c r="Y514" s="6">
        <f ca="1">('TUSD BE'!$AM$27+'TUSD BF'!$AM$27+'TUSD CVA'!$AM$27)*1</f>
        <v>20.615214330225772</v>
      </c>
      <c r="Z514" s="6"/>
      <c r="AA514" s="6"/>
      <c r="AB514" s="6">
        <f>$K$514*$V$514</f>
        <v>64488.600000000006</v>
      </c>
      <c r="AC514" s="6">
        <f>$M$514*$W$514</f>
        <v>0</v>
      </c>
      <c r="AD514" s="6">
        <f>$O$514*$X$514</f>
        <v>0</v>
      </c>
      <c r="AE514" s="6">
        <f ca="1">$K$514*$Y$514</f>
        <v>67143.753073545333</v>
      </c>
      <c r="AF514" s="6">
        <f>$M$514*$Z$514</f>
        <v>0</v>
      </c>
      <c r="AG514" s="6">
        <f>$O$514*$AA$514</f>
        <v>0</v>
      </c>
    </row>
    <row r="515" spans="1:33" ht="11.25" customHeight="1" x14ac:dyDescent="0.25">
      <c r="A515" s="4" t="s">
        <v>21</v>
      </c>
      <c r="B515" s="4" t="s">
        <v>41</v>
      </c>
      <c r="C515" s="4" t="s">
        <v>44</v>
      </c>
      <c r="D515" s="4" t="s">
        <v>45</v>
      </c>
      <c r="E515" s="4" t="s">
        <v>25</v>
      </c>
      <c r="F515" s="4" t="s">
        <v>25</v>
      </c>
      <c r="G515" s="4" t="s">
        <v>25</v>
      </c>
      <c r="H515" s="4" t="s">
        <v>25</v>
      </c>
      <c r="I515" s="5">
        <v>44621</v>
      </c>
      <c r="J515" s="6">
        <v>20589</v>
      </c>
      <c r="K515" s="6">
        <v>20589</v>
      </c>
      <c r="L515" s="6">
        <v>0</v>
      </c>
      <c r="M515" s="6">
        <v>0</v>
      </c>
      <c r="N515" s="6">
        <v>0</v>
      </c>
      <c r="O515" s="6">
        <v>0</v>
      </c>
      <c r="P515" s="6">
        <v>175</v>
      </c>
      <c r="Q515" s="4" t="s">
        <v>26</v>
      </c>
      <c r="R515" s="4">
        <v>0</v>
      </c>
      <c r="S515" s="6">
        <v>27</v>
      </c>
      <c r="T515" s="6">
        <v>0</v>
      </c>
      <c r="U515" s="6">
        <v>0</v>
      </c>
      <c r="V515" s="6">
        <f>IF(ISERROR(VLOOKUP($S$515,'TAR FIN'!$A$1:$O$115,15,0)),0,VLOOKUP($S$515,'TAR FIN'!$A$1:$O$115,15,0))</f>
        <v>19.8</v>
      </c>
      <c r="W515" s="6">
        <f>IF(ISERROR(VLOOKUP($T$515,'TAR FIN'!$A$1:$O$115,15,0)),0,VLOOKUP($T$515,'TAR FIN'!$A$1:$O$115,15,0))</f>
        <v>0</v>
      </c>
      <c r="X515" s="6">
        <f>IF(ISERROR(VLOOKUP($U$515,'TAR FIN'!$A$1:$O$115,15,0)),0,VLOOKUP($U$515,'TAR FIN'!$A$1:$O$115,15,0))</f>
        <v>0</v>
      </c>
      <c r="Y515" s="6">
        <f ca="1">('TUSD BE'!$AM$27+'TUSD BF'!$AM$27+'TUSD CVA'!$AM$27)*1</f>
        <v>20.615214330225772</v>
      </c>
      <c r="Z515" s="6"/>
      <c r="AA515" s="6"/>
      <c r="AB515" s="6">
        <f>$K$515*$V$515</f>
        <v>407662.2</v>
      </c>
      <c r="AC515" s="6">
        <f>$M$515*$W$515</f>
        <v>0</v>
      </c>
      <c r="AD515" s="6">
        <f>$O$515*$X$515</f>
        <v>0</v>
      </c>
      <c r="AE515" s="6">
        <f ca="1">$K$515*$Y$515</f>
        <v>424446.64784501842</v>
      </c>
      <c r="AF515" s="6">
        <f>$M$515*$Z$515</f>
        <v>0</v>
      </c>
      <c r="AG515" s="6">
        <f>$O$515*$AA$515</f>
        <v>0</v>
      </c>
    </row>
    <row r="516" spans="1:33" ht="11.25" customHeight="1" x14ac:dyDescent="0.25">
      <c r="A516" s="4" t="s">
        <v>28</v>
      </c>
      <c r="B516" s="4" t="s">
        <v>41</v>
      </c>
      <c r="C516" s="4" t="s">
        <v>44</v>
      </c>
      <c r="D516" s="4" t="s">
        <v>45</v>
      </c>
      <c r="E516" s="4" t="s">
        <v>25</v>
      </c>
      <c r="F516" s="4" t="s">
        <v>25</v>
      </c>
      <c r="G516" s="4" t="s">
        <v>25</v>
      </c>
      <c r="H516" s="4" t="s">
        <v>25</v>
      </c>
      <c r="I516" s="5">
        <v>44621</v>
      </c>
      <c r="J516" s="6">
        <v>3866</v>
      </c>
      <c r="K516" s="6">
        <v>3866</v>
      </c>
      <c r="L516" s="6">
        <v>0</v>
      </c>
      <c r="M516" s="6">
        <v>0</v>
      </c>
      <c r="N516" s="6">
        <v>0</v>
      </c>
      <c r="O516" s="6">
        <v>0</v>
      </c>
      <c r="P516" s="6">
        <v>40</v>
      </c>
      <c r="Q516" s="4" t="s">
        <v>26</v>
      </c>
      <c r="R516" s="4">
        <v>0</v>
      </c>
      <c r="S516" s="6">
        <v>27</v>
      </c>
      <c r="T516" s="6">
        <v>0</v>
      </c>
      <c r="U516" s="6">
        <v>0</v>
      </c>
      <c r="V516" s="6">
        <f>IF(ISERROR(VLOOKUP($S$516,'TAR FIN'!$A$1:$O$115,15,0)),0,VLOOKUP($S$516,'TAR FIN'!$A$1:$O$115,15,0))</f>
        <v>19.8</v>
      </c>
      <c r="W516" s="6">
        <f>IF(ISERROR(VLOOKUP($T$516,'TAR FIN'!$A$1:$O$115,15,0)),0,VLOOKUP($T$516,'TAR FIN'!$A$1:$O$115,15,0))</f>
        <v>0</v>
      </c>
      <c r="X516" s="6">
        <f>IF(ISERROR(VLOOKUP($U$516,'TAR FIN'!$A$1:$O$115,15,0)),0,VLOOKUP($U$516,'TAR FIN'!$A$1:$O$115,15,0))</f>
        <v>0</v>
      </c>
      <c r="Y516" s="6">
        <f ca="1">('TUSD BE'!$AM$27+'TUSD BF'!$AM$27+'TUSD CVA'!$AM$27)*1</f>
        <v>20.615214330225772</v>
      </c>
      <c r="Z516" s="6"/>
      <c r="AA516" s="6"/>
      <c r="AB516" s="6">
        <f>$K$516*$V$516</f>
        <v>76546.8</v>
      </c>
      <c r="AC516" s="6">
        <f>$M$516*$W$516</f>
        <v>0</v>
      </c>
      <c r="AD516" s="6">
        <f>$O$516*$X$516</f>
        <v>0</v>
      </c>
      <c r="AE516" s="6">
        <f ca="1">$K$516*$Y$516</f>
        <v>79698.418600652833</v>
      </c>
      <c r="AF516" s="6">
        <f>$M$516*$Z$516</f>
        <v>0</v>
      </c>
      <c r="AG516" s="6">
        <f>$O$516*$AA$516</f>
        <v>0</v>
      </c>
    </row>
    <row r="517" spans="1:33" ht="11.25" customHeight="1" x14ac:dyDescent="0.25">
      <c r="A517" s="4" t="s">
        <v>30</v>
      </c>
      <c r="B517" s="4" t="s">
        <v>41</v>
      </c>
      <c r="C517" s="4" t="s">
        <v>44</v>
      </c>
      <c r="D517" s="4" t="s">
        <v>45</v>
      </c>
      <c r="E517" s="4" t="s">
        <v>25</v>
      </c>
      <c r="F517" s="4" t="s">
        <v>25</v>
      </c>
      <c r="G517" s="4" t="s">
        <v>25</v>
      </c>
      <c r="H517" s="4" t="s">
        <v>25</v>
      </c>
      <c r="I517" s="5">
        <v>44621</v>
      </c>
      <c r="J517" s="6">
        <v>3379</v>
      </c>
      <c r="K517" s="6">
        <v>3379</v>
      </c>
      <c r="L517" s="6">
        <v>0</v>
      </c>
      <c r="M517" s="6">
        <v>0</v>
      </c>
      <c r="N517" s="6">
        <v>0</v>
      </c>
      <c r="O517" s="6">
        <v>0</v>
      </c>
      <c r="P517" s="6">
        <v>19</v>
      </c>
      <c r="Q517" s="4" t="s">
        <v>26</v>
      </c>
      <c r="R517" s="4">
        <v>0</v>
      </c>
      <c r="S517" s="6">
        <v>27</v>
      </c>
      <c r="T517" s="6">
        <v>0</v>
      </c>
      <c r="U517" s="6">
        <v>0</v>
      </c>
      <c r="V517" s="6">
        <f>IF(ISERROR(VLOOKUP($S$517,'TAR FIN'!$A$1:$O$115,15,0)),0,VLOOKUP($S$517,'TAR FIN'!$A$1:$O$115,15,0))</f>
        <v>19.8</v>
      </c>
      <c r="W517" s="6">
        <f>IF(ISERROR(VLOOKUP($T$517,'TAR FIN'!$A$1:$O$115,15,0)),0,VLOOKUP($T$517,'TAR FIN'!$A$1:$O$115,15,0))</f>
        <v>0</v>
      </c>
      <c r="X517" s="6">
        <f>IF(ISERROR(VLOOKUP($U$517,'TAR FIN'!$A$1:$O$115,15,0)),0,VLOOKUP($U$517,'TAR FIN'!$A$1:$O$115,15,0))</f>
        <v>0</v>
      </c>
      <c r="Y517" s="6">
        <f ca="1">('TUSD BE'!$AM$27+'TUSD BF'!$AM$27+'TUSD CVA'!$AM$27)*1</f>
        <v>20.615214330225772</v>
      </c>
      <c r="Z517" s="6"/>
      <c r="AA517" s="6"/>
      <c r="AB517" s="6">
        <f>$K$517*$V$517</f>
        <v>66904.2</v>
      </c>
      <c r="AC517" s="6">
        <f>$M$517*$W$517</f>
        <v>0</v>
      </c>
      <c r="AD517" s="6">
        <f>$O$517*$X$517</f>
        <v>0</v>
      </c>
      <c r="AE517" s="6">
        <f ca="1">$K$517*$Y$517</f>
        <v>69658.809221832882</v>
      </c>
      <c r="AF517" s="6">
        <f>$M$517*$Z$517</f>
        <v>0</v>
      </c>
      <c r="AG517" s="6">
        <f>$O$517*$AA$517</f>
        <v>0</v>
      </c>
    </row>
    <row r="518" spans="1:33" ht="11.25" customHeight="1" x14ac:dyDescent="0.25">
      <c r="A518" s="4" t="s">
        <v>21</v>
      </c>
      <c r="B518" s="4" t="s">
        <v>41</v>
      </c>
      <c r="C518" s="4" t="s">
        <v>44</v>
      </c>
      <c r="D518" s="4" t="s">
        <v>45</v>
      </c>
      <c r="E518" s="4" t="s">
        <v>25</v>
      </c>
      <c r="F518" s="4" t="s">
        <v>25</v>
      </c>
      <c r="G518" s="4" t="s">
        <v>25</v>
      </c>
      <c r="H518" s="4" t="s">
        <v>25</v>
      </c>
      <c r="I518" s="5">
        <v>44652</v>
      </c>
      <c r="J518" s="6">
        <v>20854</v>
      </c>
      <c r="K518" s="6">
        <v>20854</v>
      </c>
      <c r="L518" s="6">
        <v>0</v>
      </c>
      <c r="M518" s="6">
        <v>0</v>
      </c>
      <c r="N518" s="6">
        <v>0</v>
      </c>
      <c r="O518" s="6">
        <v>0</v>
      </c>
      <c r="P518" s="6">
        <v>177</v>
      </c>
      <c r="Q518" s="4" t="s">
        <v>26</v>
      </c>
      <c r="R518" s="4">
        <v>0</v>
      </c>
      <c r="S518" s="6">
        <v>27</v>
      </c>
      <c r="T518" s="6">
        <v>0</v>
      </c>
      <c r="U518" s="6">
        <v>0</v>
      </c>
      <c r="V518" s="6">
        <f>IF(ISERROR(VLOOKUP($S$518,'TAR FIN'!$A$1:$O$115,15,0)),0,VLOOKUP($S$518,'TAR FIN'!$A$1:$O$115,15,0))</f>
        <v>19.8</v>
      </c>
      <c r="W518" s="6">
        <f>IF(ISERROR(VLOOKUP($T$518,'TAR FIN'!$A$1:$O$115,15,0)),0,VLOOKUP($T$518,'TAR FIN'!$A$1:$O$115,15,0))</f>
        <v>0</v>
      </c>
      <c r="X518" s="6">
        <f>IF(ISERROR(VLOOKUP($U$518,'TAR FIN'!$A$1:$O$115,15,0)),0,VLOOKUP($U$518,'TAR FIN'!$A$1:$O$115,15,0))</f>
        <v>0</v>
      </c>
      <c r="Y518" s="6">
        <f ca="1">('TUSD BE'!$AM$27+'TUSD BF'!$AM$27+'TUSD CVA'!$AM$27)*1</f>
        <v>20.615214330225772</v>
      </c>
      <c r="Z518" s="6"/>
      <c r="AA518" s="6"/>
      <c r="AB518" s="6">
        <f>$K$518*$V$518</f>
        <v>412909.2</v>
      </c>
      <c r="AC518" s="6">
        <f>$M$518*$W$518</f>
        <v>0</v>
      </c>
      <c r="AD518" s="6">
        <f>$O$518*$X$518</f>
        <v>0</v>
      </c>
      <c r="AE518" s="6">
        <f ca="1">$K$518*$Y$518</f>
        <v>429909.67964252824</v>
      </c>
      <c r="AF518" s="6">
        <f>$M$518*$Z$518</f>
        <v>0</v>
      </c>
      <c r="AG518" s="6">
        <f>$O$518*$AA$518</f>
        <v>0</v>
      </c>
    </row>
    <row r="519" spans="1:33" ht="11.25" customHeight="1" x14ac:dyDescent="0.25">
      <c r="A519" s="4" t="s">
        <v>28</v>
      </c>
      <c r="B519" s="4" t="s">
        <v>41</v>
      </c>
      <c r="C519" s="4" t="s">
        <v>44</v>
      </c>
      <c r="D519" s="4" t="s">
        <v>45</v>
      </c>
      <c r="E519" s="4" t="s">
        <v>25</v>
      </c>
      <c r="F519" s="4" t="s">
        <v>25</v>
      </c>
      <c r="G519" s="4" t="s">
        <v>25</v>
      </c>
      <c r="H519" s="4" t="s">
        <v>25</v>
      </c>
      <c r="I519" s="5">
        <v>44652</v>
      </c>
      <c r="J519" s="6">
        <v>3922</v>
      </c>
      <c r="K519" s="6">
        <v>3922</v>
      </c>
      <c r="L519" s="6">
        <v>0</v>
      </c>
      <c r="M519" s="6">
        <v>0</v>
      </c>
      <c r="N519" s="6">
        <v>0</v>
      </c>
      <c r="O519" s="6">
        <v>0</v>
      </c>
      <c r="P519" s="6">
        <v>40</v>
      </c>
      <c r="Q519" s="4" t="s">
        <v>26</v>
      </c>
      <c r="R519" s="4">
        <v>0</v>
      </c>
      <c r="S519" s="6">
        <v>27</v>
      </c>
      <c r="T519" s="6">
        <v>0</v>
      </c>
      <c r="U519" s="6">
        <v>0</v>
      </c>
      <c r="V519" s="6">
        <f>IF(ISERROR(VLOOKUP($S$519,'TAR FIN'!$A$1:$O$115,15,0)),0,VLOOKUP($S$519,'TAR FIN'!$A$1:$O$115,15,0))</f>
        <v>19.8</v>
      </c>
      <c r="W519" s="6">
        <f>IF(ISERROR(VLOOKUP($T$519,'TAR FIN'!$A$1:$O$115,15,0)),0,VLOOKUP($T$519,'TAR FIN'!$A$1:$O$115,15,0))</f>
        <v>0</v>
      </c>
      <c r="X519" s="6">
        <f>IF(ISERROR(VLOOKUP($U$519,'TAR FIN'!$A$1:$O$115,15,0)),0,VLOOKUP($U$519,'TAR FIN'!$A$1:$O$115,15,0))</f>
        <v>0</v>
      </c>
      <c r="Y519" s="6">
        <f ca="1">('TUSD BE'!$AM$27+'TUSD BF'!$AM$27+'TUSD CVA'!$AM$27)*1</f>
        <v>20.615214330225772</v>
      </c>
      <c r="Z519" s="6"/>
      <c r="AA519" s="6"/>
      <c r="AB519" s="6">
        <f>$K$519*$V$519</f>
        <v>77655.600000000006</v>
      </c>
      <c r="AC519" s="6">
        <f>$M$519*$W$519</f>
        <v>0</v>
      </c>
      <c r="AD519" s="6">
        <f>$O$519*$X$519</f>
        <v>0</v>
      </c>
      <c r="AE519" s="6">
        <f ca="1">$K$519*$Y$519</f>
        <v>80852.870603145479</v>
      </c>
      <c r="AF519" s="6">
        <f>$M$519*$Z$519</f>
        <v>0</v>
      </c>
      <c r="AG519" s="6">
        <f>$O$519*$AA$519</f>
        <v>0</v>
      </c>
    </row>
    <row r="520" spans="1:33" ht="11.25" customHeight="1" x14ac:dyDescent="0.25">
      <c r="A520" s="4" t="s">
        <v>30</v>
      </c>
      <c r="B520" s="4" t="s">
        <v>41</v>
      </c>
      <c r="C520" s="4" t="s">
        <v>44</v>
      </c>
      <c r="D520" s="4" t="s">
        <v>45</v>
      </c>
      <c r="E520" s="4" t="s">
        <v>25</v>
      </c>
      <c r="F520" s="4" t="s">
        <v>25</v>
      </c>
      <c r="G520" s="4" t="s">
        <v>25</v>
      </c>
      <c r="H520" s="4" t="s">
        <v>25</v>
      </c>
      <c r="I520" s="5">
        <v>44652</v>
      </c>
      <c r="J520" s="6">
        <v>3488</v>
      </c>
      <c r="K520" s="6">
        <v>3488</v>
      </c>
      <c r="L520" s="6">
        <v>0</v>
      </c>
      <c r="M520" s="6">
        <v>0</v>
      </c>
      <c r="N520" s="6">
        <v>0</v>
      </c>
      <c r="O520" s="6">
        <v>0</v>
      </c>
      <c r="P520" s="6">
        <v>20</v>
      </c>
      <c r="Q520" s="4" t="s">
        <v>26</v>
      </c>
      <c r="R520" s="4">
        <v>0</v>
      </c>
      <c r="S520" s="6">
        <v>27</v>
      </c>
      <c r="T520" s="6">
        <v>0</v>
      </c>
      <c r="U520" s="6">
        <v>0</v>
      </c>
      <c r="V520" s="6">
        <f>IF(ISERROR(VLOOKUP($S$520,'TAR FIN'!$A$1:$O$115,15,0)),0,VLOOKUP($S$520,'TAR FIN'!$A$1:$O$115,15,0))</f>
        <v>19.8</v>
      </c>
      <c r="W520" s="6">
        <f>IF(ISERROR(VLOOKUP($T$520,'TAR FIN'!$A$1:$O$115,15,0)),0,VLOOKUP($T$520,'TAR FIN'!$A$1:$O$115,15,0))</f>
        <v>0</v>
      </c>
      <c r="X520" s="6">
        <f>IF(ISERROR(VLOOKUP($U$520,'TAR FIN'!$A$1:$O$115,15,0)),0,VLOOKUP($U$520,'TAR FIN'!$A$1:$O$115,15,0))</f>
        <v>0</v>
      </c>
      <c r="Y520" s="6">
        <f ca="1">('TUSD BE'!$AM$27+'TUSD BF'!$AM$27+'TUSD CVA'!$AM$27)*1</f>
        <v>20.615214330225772</v>
      </c>
      <c r="Z520" s="6"/>
      <c r="AA520" s="6"/>
      <c r="AB520" s="6">
        <f>$K$520*$V$520</f>
        <v>69062.400000000009</v>
      </c>
      <c r="AC520" s="6">
        <f>$M$520*$W$520</f>
        <v>0</v>
      </c>
      <c r="AD520" s="6">
        <f>$O$520*$X$520</f>
        <v>0</v>
      </c>
      <c r="AE520" s="6">
        <f ca="1">$K$520*$Y$520</f>
        <v>71905.867583827494</v>
      </c>
      <c r="AF520" s="6">
        <f>$M$520*$Z$520</f>
        <v>0</v>
      </c>
      <c r="AG520" s="6">
        <f>$O$520*$AA$520</f>
        <v>0</v>
      </c>
    </row>
    <row r="521" spans="1:33" ht="11.25" customHeight="1" x14ac:dyDescent="0.25">
      <c r="A521" s="4" t="s">
        <v>21</v>
      </c>
      <c r="B521" s="4" t="s">
        <v>41</v>
      </c>
      <c r="C521" s="4" t="s">
        <v>44</v>
      </c>
      <c r="D521" s="4" t="s">
        <v>45</v>
      </c>
      <c r="E521" s="4" t="s">
        <v>25</v>
      </c>
      <c r="F521" s="4" t="s">
        <v>25</v>
      </c>
      <c r="G521" s="4" t="s">
        <v>25</v>
      </c>
      <c r="H521" s="4" t="s">
        <v>25</v>
      </c>
      <c r="I521" s="5">
        <v>44682</v>
      </c>
      <c r="J521" s="6">
        <v>20683</v>
      </c>
      <c r="K521" s="6">
        <v>20683</v>
      </c>
      <c r="L521" s="6">
        <v>0</v>
      </c>
      <c r="M521" s="6">
        <v>0</v>
      </c>
      <c r="N521" s="6">
        <v>0</v>
      </c>
      <c r="O521" s="6">
        <v>0</v>
      </c>
      <c r="P521" s="6">
        <v>176</v>
      </c>
      <c r="Q521" s="4" t="s">
        <v>26</v>
      </c>
      <c r="R521" s="4">
        <v>0</v>
      </c>
      <c r="S521" s="6">
        <v>27</v>
      </c>
      <c r="T521" s="6">
        <v>0</v>
      </c>
      <c r="U521" s="6">
        <v>0</v>
      </c>
      <c r="V521" s="6">
        <f>IF(ISERROR(VLOOKUP($S$521,'TAR FIN'!$A$1:$O$115,15,0)),0,VLOOKUP($S$521,'TAR FIN'!$A$1:$O$115,15,0))</f>
        <v>19.8</v>
      </c>
      <c r="W521" s="6">
        <f>IF(ISERROR(VLOOKUP($T$521,'TAR FIN'!$A$1:$O$115,15,0)),0,VLOOKUP($T$521,'TAR FIN'!$A$1:$O$115,15,0))</f>
        <v>0</v>
      </c>
      <c r="X521" s="6">
        <f>IF(ISERROR(VLOOKUP($U$521,'TAR FIN'!$A$1:$O$115,15,0)),0,VLOOKUP($U$521,'TAR FIN'!$A$1:$O$115,15,0))</f>
        <v>0</v>
      </c>
      <c r="Y521" s="6">
        <f ca="1">('TUSD BE'!$AM$27+'TUSD BF'!$AM$27+'TUSD CVA'!$AM$27)*1</f>
        <v>20.615214330225772</v>
      </c>
      <c r="Z521" s="6"/>
      <c r="AA521" s="6"/>
      <c r="AB521" s="6">
        <f>$K$521*$V$521</f>
        <v>409523.4</v>
      </c>
      <c r="AC521" s="6">
        <f>$M$521*$W$521</f>
        <v>0</v>
      </c>
      <c r="AD521" s="6">
        <f>$O$521*$X$521</f>
        <v>0</v>
      </c>
      <c r="AE521" s="6">
        <f ca="1">$K$521*$Y$521</f>
        <v>426384.47799205966</v>
      </c>
      <c r="AF521" s="6">
        <f>$M$521*$Z$521</f>
        <v>0</v>
      </c>
      <c r="AG521" s="6">
        <f>$O$521*$AA$521</f>
        <v>0</v>
      </c>
    </row>
    <row r="522" spans="1:33" ht="11.25" customHeight="1" x14ac:dyDescent="0.25">
      <c r="A522" s="4" t="s">
        <v>28</v>
      </c>
      <c r="B522" s="4" t="s">
        <v>41</v>
      </c>
      <c r="C522" s="4" t="s">
        <v>44</v>
      </c>
      <c r="D522" s="4" t="s">
        <v>45</v>
      </c>
      <c r="E522" s="4" t="s">
        <v>25</v>
      </c>
      <c r="F522" s="4" t="s">
        <v>25</v>
      </c>
      <c r="G522" s="4" t="s">
        <v>25</v>
      </c>
      <c r="H522" s="4" t="s">
        <v>25</v>
      </c>
      <c r="I522" s="5">
        <v>44682</v>
      </c>
      <c r="J522" s="6">
        <v>3912</v>
      </c>
      <c r="K522" s="6">
        <v>3912</v>
      </c>
      <c r="L522" s="6">
        <v>0</v>
      </c>
      <c r="M522" s="6">
        <v>0</v>
      </c>
      <c r="N522" s="6">
        <v>0</v>
      </c>
      <c r="O522" s="6">
        <v>0</v>
      </c>
      <c r="P522" s="6">
        <v>41</v>
      </c>
      <c r="Q522" s="4" t="s">
        <v>26</v>
      </c>
      <c r="R522" s="4">
        <v>0</v>
      </c>
      <c r="S522" s="6">
        <v>27</v>
      </c>
      <c r="T522" s="6">
        <v>0</v>
      </c>
      <c r="U522" s="6">
        <v>0</v>
      </c>
      <c r="V522" s="6">
        <f>IF(ISERROR(VLOOKUP($S$522,'TAR FIN'!$A$1:$O$115,15,0)),0,VLOOKUP($S$522,'TAR FIN'!$A$1:$O$115,15,0))</f>
        <v>19.8</v>
      </c>
      <c r="W522" s="6">
        <f>IF(ISERROR(VLOOKUP($T$522,'TAR FIN'!$A$1:$O$115,15,0)),0,VLOOKUP($T$522,'TAR FIN'!$A$1:$O$115,15,0))</f>
        <v>0</v>
      </c>
      <c r="X522" s="6">
        <f>IF(ISERROR(VLOOKUP($U$522,'TAR FIN'!$A$1:$O$115,15,0)),0,VLOOKUP($U$522,'TAR FIN'!$A$1:$O$115,15,0))</f>
        <v>0</v>
      </c>
      <c r="Y522" s="6">
        <f ca="1">('TUSD BE'!$AM$27+'TUSD BF'!$AM$27+'TUSD CVA'!$AM$27)*1</f>
        <v>20.615214330225772</v>
      </c>
      <c r="Z522" s="6"/>
      <c r="AA522" s="6"/>
      <c r="AB522" s="6">
        <f>$K$522*$V$522</f>
        <v>77457.600000000006</v>
      </c>
      <c r="AC522" s="6">
        <f>$M$522*$W$522</f>
        <v>0</v>
      </c>
      <c r="AD522" s="6">
        <f>$O$522*$X$522</f>
        <v>0</v>
      </c>
      <c r="AE522" s="6">
        <f ca="1">$K$522*$Y$522</f>
        <v>80646.718459843221</v>
      </c>
      <c r="AF522" s="6">
        <f>$M$522*$Z$522</f>
        <v>0</v>
      </c>
      <c r="AG522" s="6">
        <f>$O$522*$AA$522</f>
        <v>0</v>
      </c>
    </row>
    <row r="523" spans="1:33" ht="11.25" customHeight="1" x14ac:dyDescent="0.25">
      <c r="A523" s="4" t="s">
        <v>30</v>
      </c>
      <c r="B523" s="4" t="s">
        <v>41</v>
      </c>
      <c r="C523" s="4" t="s">
        <v>44</v>
      </c>
      <c r="D523" s="4" t="s">
        <v>45</v>
      </c>
      <c r="E523" s="4" t="s">
        <v>25</v>
      </c>
      <c r="F523" s="4" t="s">
        <v>25</v>
      </c>
      <c r="G523" s="4" t="s">
        <v>25</v>
      </c>
      <c r="H523" s="4" t="s">
        <v>25</v>
      </c>
      <c r="I523" s="5">
        <v>44682</v>
      </c>
      <c r="J523" s="6">
        <v>3488</v>
      </c>
      <c r="K523" s="6">
        <v>3488</v>
      </c>
      <c r="L523" s="6">
        <v>0</v>
      </c>
      <c r="M523" s="6">
        <v>0</v>
      </c>
      <c r="N523" s="6">
        <v>0</v>
      </c>
      <c r="O523" s="6">
        <v>0</v>
      </c>
      <c r="P523" s="6">
        <v>20</v>
      </c>
      <c r="Q523" s="4" t="s">
        <v>26</v>
      </c>
      <c r="R523" s="4">
        <v>0</v>
      </c>
      <c r="S523" s="6">
        <v>27</v>
      </c>
      <c r="T523" s="6">
        <v>0</v>
      </c>
      <c r="U523" s="6">
        <v>0</v>
      </c>
      <c r="V523" s="6">
        <f>IF(ISERROR(VLOOKUP($S$523,'TAR FIN'!$A$1:$O$115,15,0)),0,VLOOKUP($S$523,'TAR FIN'!$A$1:$O$115,15,0))</f>
        <v>19.8</v>
      </c>
      <c r="W523" s="6">
        <f>IF(ISERROR(VLOOKUP($T$523,'TAR FIN'!$A$1:$O$115,15,0)),0,VLOOKUP($T$523,'TAR FIN'!$A$1:$O$115,15,0))</f>
        <v>0</v>
      </c>
      <c r="X523" s="6">
        <f>IF(ISERROR(VLOOKUP($U$523,'TAR FIN'!$A$1:$O$115,15,0)),0,VLOOKUP($U$523,'TAR FIN'!$A$1:$O$115,15,0))</f>
        <v>0</v>
      </c>
      <c r="Y523" s="6">
        <f ca="1">('TUSD BE'!$AM$27+'TUSD BF'!$AM$27+'TUSD CVA'!$AM$27)*1</f>
        <v>20.615214330225772</v>
      </c>
      <c r="Z523" s="6"/>
      <c r="AA523" s="6"/>
      <c r="AB523" s="6">
        <f>$K$523*$V$523</f>
        <v>69062.400000000009</v>
      </c>
      <c r="AC523" s="6">
        <f>$M$523*$W$523</f>
        <v>0</v>
      </c>
      <c r="AD523" s="6">
        <f>$O$523*$X$523</f>
        <v>0</v>
      </c>
      <c r="AE523" s="6">
        <f ca="1">$K$523*$Y$523</f>
        <v>71905.867583827494</v>
      </c>
      <c r="AF523" s="6">
        <f>$M$523*$Z$523</f>
        <v>0</v>
      </c>
      <c r="AG523" s="6">
        <f>$O$523*$AA$523</f>
        <v>0</v>
      </c>
    </row>
    <row r="524" spans="1:33" ht="11.25" customHeight="1" x14ac:dyDescent="0.25">
      <c r="A524" s="4" t="s">
        <v>21</v>
      </c>
      <c r="B524" s="4" t="s">
        <v>41</v>
      </c>
      <c r="C524" s="4" t="s">
        <v>44</v>
      </c>
      <c r="D524" s="4" t="s">
        <v>45</v>
      </c>
      <c r="E524" s="4" t="s">
        <v>25</v>
      </c>
      <c r="F524" s="4" t="s">
        <v>25</v>
      </c>
      <c r="G524" s="4" t="s">
        <v>25</v>
      </c>
      <c r="H524" s="4" t="s">
        <v>25</v>
      </c>
      <c r="I524" s="5">
        <v>44713</v>
      </c>
      <c r="J524" s="6">
        <v>20054</v>
      </c>
      <c r="K524" s="6">
        <v>20054</v>
      </c>
      <c r="L524" s="6">
        <v>0</v>
      </c>
      <c r="M524" s="6">
        <v>0</v>
      </c>
      <c r="N524" s="6">
        <v>0</v>
      </c>
      <c r="O524" s="6">
        <v>0</v>
      </c>
      <c r="P524" s="6">
        <v>173</v>
      </c>
      <c r="Q524" s="4" t="s">
        <v>26</v>
      </c>
      <c r="R524" s="4">
        <v>0</v>
      </c>
      <c r="S524" s="6">
        <v>27</v>
      </c>
      <c r="T524" s="6">
        <v>0</v>
      </c>
      <c r="U524" s="6">
        <v>0</v>
      </c>
      <c r="V524" s="6">
        <f>IF(ISERROR(VLOOKUP($S$524,'TAR FIN'!$A$1:$O$115,15,0)),0,VLOOKUP($S$524,'TAR FIN'!$A$1:$O$115,15,0))</f>
        <v>19.8</v>
      </c>
      <c r="W524" s="6">
        <f>IF(ISERROR(VLOOKUP($T$524,'TAR FIN'!$A$1:$O$115,15,0)),0,VLOOKUP($T$524,'TAR FIN'!$A$1:$O$115,15,0))</f>
        <v>0</v>
      </c>
      <c r="X524" s="6">
        <f>IF(ISERROR(VLOOKUP($U$524,'TAR FIN'!$A$1:$O$115,15,0)),0,VLOOKUP($U$524,'TAR FIN'!$A$1:$O$115,15,0))</f>
        <v>0</v>
      </c>
      <c r="Y524" s="6">
        <f ca="1">('TUSD BE'!$AM$27+'TUSD BF'!$AM$27+'TUSD CVA'!$AM$27)*1</f>
        <v>20.615214330225772</v>
      </c>
      <c r="Z524" s="6"/>
      <c r="AA524" s="6"/>
      <c r="AB524" s="6">
        <f>$K$524*$V$524</f>
        <v>397069.2</v>
      </c>
      <c r="AC524" s="6">
        <f>$M$524*$W$524</f>
        <v>0</v>
      </c>
      <c r="AD524" s="6">
        <f>$O$524*$X$524</f>
        <v>0</v>
      </c>
      <c r="AE524" s="6">
        <f ca="1">$K$524*$Y$524</f>
        <v>413417.50817834761</v>
      </c>
      <c r="AF524" s="6">
        <f>$M$524*$Z$524</f>
        <v>0</v>
      </c>
      <c r="AG524" s="6">
        <f>$O$524*$AA$524</f>
        <v>0</v>
      </c>
    </row>
    <row r="525" spans="1:33" ht="11.25" customHeight="1" x14ac:dyDescent="0.25">
      <c r="A525" s="4" t="s">
        <v>28</v>
      </c>
      <c r="B525" s="4" t="s">
        <v>41</v>
      </c>
      <c r="C525" s="4" t="s">
        <v>44</v>
      </c>
      <c r="D525" s="4" t="s">
        <v>45</v>
      </c>
      <c r="E525" s="4" t="s">
        <v>25</v>
      </c>
      <c r="F525" s="4" t="s">
        <v>25</v>
      </c>
      <c r="G525" s="4" t="s">
        <v>25</v>
      </c>
      <c r="H525" s="4" t="s">
        <v>25</v>
      </c>
      <c r="I525" s="5">
        <v>44713</v>
      </c>
      <c r="J525" s="6">
        <v>3897</v>
      </c>
      <c r="K525" s="6">
        <v>3897</v>
      </c>
      <c r="L525" s="6">
        <v>0</v>
      </c>
      <c r="M525" s="6">
        <v>0</v>
      </c>
      <c r="N525" s="6">
        <v>0</v>
      </c>
      <c r="O525" s="6">
        <v>0</v>
      </c>
      <c r="P525" s="6">
        <v>41</v>
      </c>
      <c r="Q525" s="4" t="s">
        <v>26</v>
      </c>
      <c r="R525" s="4">
        <v>0</v>
      </c>
      <c r="S525" s="6">
        <v>27</v>
      </c>
      <c r="T525" s="6">
        <v>0</v>
      </c>
      <c r="U525" s="6">
        <v>0</v>
      </c>
      <c r="V525" s="6">
        <f>IF(ISERROR(VLOOKUP($S$525,'TAR FIN'!$A$1:$O$115,15,0)),0,VLOOKUP($S$525,'TAR FIN'!$A$1:$O$115,15,0))</f>
        <v>19.8</v>
      </c>
      <c r="W525" s="6">
        <f>IF(ISERROR(VLOOKUP($T$525,'TAR FIN'!$A$1:$O$115,15,0)),0,VLOOKUP($T$525,'TAR FIN'!$A$1:$O$115,15,0))</f>
        <v>0</v>
      </c>
      <c r="X525" s="6">
        <f>IF(ISERROR(VLOOKUP($U$525,'TAR FIN'!$A$1:$O$115,15,0)),0,VLOOKUP($U$525,'TAR FIN'!$A$1:$O$115,15,0))</f>
        <v>0</v>
      </c>
      <c r="Y525" s="6">
        <f ca="1">('TUSD BE'!$AM$27+'TUSD BF'!$AM$27+'TUSD CVA'!$AM$27)*1</f>
        <v>20.615214330225772</v>
      </c>
      <c r="Z525" s="6"/>
      <c r="AA525" s="6"/>
      <c r="AB525" s="6">
        <f>$K$525*$V$525</f>
        <v>77160.600000000006</v>
      </c>
      <c r="AC525" s="6">
        <f>$M$525*$W$525</f>
        <v>0</v>
      </c>
      <c r="AD525" s="6">
        <f>$O$525*$X$525</f>
        <v>0</v>
      </c>
      <c r="AE525" s="6">
        <f ca="1">$K$525*$Y$525</f>
        <v>80337.490244889836</v>
      </c>
      <c r="AF525" s="6">
        <f>$M$525*$Z$525</f>
        <v>0</v>
      </c>
      <c r="AG525" s="6">
        <f>$O$525*$AA$525</f>
        <v>0</v>
      </c>
    </row>
    <row r="526" spans="1:33" ht="11.25" customHeight="1" x14ac:dyDescent="0.25">
      <c r="A526" s="4" t="s">
        <v>30</v>
      </c>
      <c r="B526" s="4" t="s">
        <v>41</v>
      </c>
      <c r="C526" s="4" t="s">
        <v>44</v>
      </c>
      <c r="D526" s="4" t="s">
        <v>45</v>
      </c>
      <c r="E526" s="4" t="s">
        <v>25</v>
      </c>
      <c r="F526" s="4" t="s">
        <v>25</v>
      </c>
      <c r="G526" s="4" t="s">
        <v>25</v>
      </c>
      <c r="H526" s="4" t="s">
        <v>25</v>
      </c>
      <c r="I526" s="5">
        <v>44713</v>
      </c>
      <c r="J526" s="6">
        <v>3775</v>
      </c>
      <c r="K526" s="6">
        <v>3775</v>
      </c>
      <c r="L526" s="6">
        <v>0</v>
      </c>
      <c r="M526" s="6">
        <v>0</v>
      </c>
      <c r="N526" s="6">
        <v>0</v>
      </c>
      <c r="O526" s="6">
        <v>0</v>
      </c>
      <c r="P526" s="6">
        <v>21</v>
      </c>
      <c r="Q526" s="4" t="s">
        <v>26</v>
      </c>
      <c r="R526" s="4">
        <v>0</v>
      </c>
      <c r="S526" s="6">
        <v>27</v>
      </c>
      <c r="T526" s="6">
        <v>0</v>
      </c>
      <c r="U526" s="6">
        <v>0</v>
      </c>
      <c r="V526" s="6">
        <f>IF(ISERROR(VLOOKUP($S$526,'TAR FIN'!$A$1:$O$115,15,0)),0,VLOOKUP($S$526,'TAR FIN'!$A$1:$O$115,15,0))</f>
        <v>19.8</v>
      </c>
      <c r="W526" s="6">
        <f>IF(ISERROR(VLOOKUP($T$526,'TAR FIN'!$A$1:$O$115,15,0)),0,VLOOKUP($T$526,'TAR FIN'!$A$1:$O$115,15,0))</f>
        <v>0</v>
      </c>
      <c r="X526" s="6">
        <f>IF(ISERROR(VLOOKUP($U$526,'TAR FIN'!$A$1:$O$115,15,0)),0,VLOOKUP($U$526,'TAR FIN'!$A$1:$O$115,15,0))</f>
        <v>0</v>
      </c>
      <c r="Y526" s="6">
        <f ca="1">('TUSD BE'!$AM$27+'TUSD BF'!$AM$27+'TUSD CVA'!$AM$27)*1</f>
        <v>20.615214330225772</v>
      </c>
      <c r="Z526" s="6"/>
      <c r="AA526" s="6"/>
      <c r="AB526" s="6">
        <f>$K$526*$V$526</f>
        <v>74745</v>
      </c>
      <c r="AC526" s="6">
        <f>$M$526*$W$526</f>
        <v>0</v>
      </c>
      <c r="AD526" s="6">
        <f>$O$526*$X$526</f>
        <v>0</v>
      </c>
      <c r="AE526" s="6">
        <f ca="1">$K$526*$Y$526</f>
        <v>77822.434096602286</v>
      </c>
      <c r="AF526" s="6">
        <f>$M$526*$Z$526</f>
        <v>0</v>
      </c>
      <c r="AG526" s="6">
        <f>$O$526*$AA$526</f>
        <v>0</v>
      </c>
    </row>
    <row r="527" spans="1:33" ht="11.25" customHeight="1" x14ac:dyDescent="0.25">
      <c r="A527" s="4" t="s">
        <v>30</v>
      </c>
      <c r="B527" s="4" t="s">
        <v>41</v>
      </c>
      <c r="C527" s="4" t="s">
        <v>44</v>
      </c>
      <c r="D527" s="4" t="s">
        <v>45</v>
      </c>
      <c r="E527" s="4" t="s">
        <v>25</v>
      </c>
      <c r="F527" s="4" t="s">
        <v>25</v>
      </c>
      <c r="G527" s="4" t="s">
        <v>25</v>
      </c>
      <c r="H527" s="4" t="s">
        <v>25</v>
      </c>
      <c r="I527" s="5">
        <v>44713</v>
      </c>
      <c r="J527" s="6">
        <v>1</v>
      </c>
      <c r="K527" s="6">
        <v>1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4" t="s">
        <v>26</v>
      </c>
      <c r="R527" s="4">
        <v>0</v>
      </c>
      <c r="S527" s="6">
        <v>27</v>
      </c>
      <c r="T527" s="6">
        <v>0</v>
      </c>
      <c r="U527" s="6">
        <v>0</v>
      </c>
      <c r="V527" s="6">
        <f>IF(ISERROR(VLOOKUP($S$527,'TAR FIN'!$A$1:$O$115,15,0)),0,VLOOKUP($S$527,'TAR FIN'!$A$1:$O$115,15,0))</f>
        <v>19.8</v>
      </c>
      <c r="W527" s="6">
        <f>IF(ISERROR(VLOOKUP($T$527,'TAR FIN'!$A$1:$O$115,15,0)),0,VLOOKUP($T$527,'TAR FIN'!$A$1:$O$115,15,0))</f>
        <v>0</v>
      </c>
      <c r="X527" s="6">
        <f>IF(ISERROR(VLOOKUP($U$527,'TAR FIN'!$A$1:$O$115,15,0)),0,VLOOKUP($U$527,'TAR FIN'!$A$1:$O$115,15,0))</f>
        <v>0</v>
      </c>
      <c r="Y527" s="6">
        <f ca="1">('TUSD BE'!$AM$27+'TUSD BF'!$AM$27+'TUSD CVA'!$AM$27)*1</f>
        <v>20.615214330225772</v>
      </c>
      <c r="Z527" s="6"/>
      <c r="AA527" s="6"/>
      <c r="AB527" s="6">
        <f>$K$527*$V$527</f>
        <v>19.8</v>
      </c>
      <c r="AC527" s="6">
        <f>$M$527*$W$527</f>
        <v>0</v>
      </c>
      <c r="AD527" s="6">
        <f>$O$527*$X$527</f>
        <v>0</v>
      </c>
      <c r="AE527" s="6">
        <f ca="1">$K$527*$Y$527</f>
        <v>20.615214330225772</v>
      </c>
      <c r="AF527" s="6">
        <f>$M$527*$Z$527</f>
        <v>0</v>
      </c>
      <c r="AG527" s="6">
        <f>$O$527*$AA$527</f>
        <v>0</v>
      </c>
    </row>
    <row r="528" spans="1:33" ht="11.25" customHeight="1" x14ac:dyDescent="0.25">
      <c r="A528" s="4" t="s">
        <v>21</v>
      </c>
      <c r="B528" s="4" t="s">
        <v>41</v>
      </c>
      <c r="C528" s="4" t="s">
        <v>44</v>
      </c>
      <c r="D528" s="4" t="s">
        <v>45</v>
      </c>
      <c r="E528" s="4" t="s">
        <v>25</v>
      </c>
      <c r="F528" s="4" t="s">
        <v>25</v>
      </c>
      <c r="G528" s="4" t="s">
        <v>25</v>
      </c>
      <c r="H528" s="4" t="s">
        <v>25</v>
      </c>
      <c r="I528" s="5">
        <v>44743</v>
      </c>
      <c r="J528" s="6">
        <v>20073</v>
      </c>
      <c r="K528" s="6">
        <v>20073</v>
      </c>
      <c r="L528" s="6">
        <v>0</v>
      </c>
      <c r="M528" s="6">
        <v>0</v>
      </c>
      <c r="N528" s="6">
        <v>0</v>
      </c>
      <c r="O528" s="6">
        <v>0</v>
      </c>
      <c r="P528" s="6">
        <v>171</v>
      </c>
      <c r="Q528" s="4" t="s">
        <v>26</v>
      </c>
      <c r="R528" s="4">
        <v>0</v>
      </c>
      <c r="S528" s="6">
        <v>27</v>
      </c>
      <c r="T528" s="6">
        <v>0</v>
      </c>
      <c r="U528" s="6">
        <v>0</v>
      </c>
      <c r="V528" s="6">
        <f>IF(ISERROR(VLOOKUP($S$528,'TAR FIN'!$A$1:$O$115,15,0)),0,VLOOKUP($S$528,'TAR FIN'!$A$1:$O$115,15,0))</f>
        <v>19.8</v>
      </c>
      <c r="W528" s="6">
        <f>IF(ISERROR(VLOOKUP($T$528,'TAR FIN'!$A$1:$O$115,15,0)),0,VLOOKUP($T$528,'TAR FIN'!$A$1:$O$115,15,0))</f>
        <v>0</v>
      </c>
      <c r="X528" s="6">
        <f>IF(ISERROR(VLOOKUP($U$528,'TAR FIN'!$A$1:$O$115,15,0)),0,VLOOKUP($U$528,'TAR FIN'!$A$1:$O$115,15,0))</f>
        <v>0</v>
      </c>
      <c r="Y528" s="6">
        <f ca="1">('TUSD BE'!$AM$27+'TUSD BF'!$AM$27+'TUSD CVA'!$AM$27)*1</f>
        <v>20.615214330225772</v>
      </c>
      <c r="Z528" s="6"/>
      <c r="AA528" s="6"/>
      <c r="AB528" s="6">
        <f>$K$528*$V$528</f>
        <v>397445.4</v>
      </c>
      <c r="AC528" s="6">
        <f>$M$528*$W$528</f>
        <v>0</v>
      </c>
      <c r="AD528" s="6">
        <f>$O$528*$X$528</f>
        <v>0</v>
      </c>
      <c r="AE528" s="6">
        <f ca="1">$K$528*$Y$528</f>
        <v>413809.19725062192</v>
      </c>
      <c r="AF528" s="6">
        <f>$M$528*$Z$528</f>
        <v>0</v>
      </c>
      <c r="AG528" s="6">
        <f>$O$528*$AA$528</f>
        <v>0</v>
      </c>
    </row>
    <row r="529" spans="1:33" ht="11.25" customHeight="1" x14ac:dyDescent="0.25">
      <c r="A529" s="4" t="s">
        <v>28</v>
      </c>
      <c r="B529" s="4" t="s">
        <v>41</v>
      </c>
      <c r="C529" s="4" t="s">
        <v>44</v>
      </c>
      <c r="D529" s="4" t="s">
        <v>45</v>
      </c>
      <c r="E529" s="4" t="s">
        <v>25</v>
      </c>
      <c r="F529" s="4" t="s">
        <v>25</v>
      </c>
      <c r="G529" s="4" t="s">
        <v>25</v>
      </c>
      <c r="H529" s="4" t="s">
        <v>25</v>
      </c>
      <c r="I529" s="5">
        <v>44743</v>
      </c>
      <c r="J529" s="6">
        <v>3812</v>
      </c>
      <c r="K529" s="6">
        <v>3812</v>
      </c>
      <c r="L529" s="6">
        <v>0</v>
      </c>
      <c r="M529" s="6">
        <v>0</v>
      </c>
      <c r="N529" s="6">
        <v>0</v>
      </c>
      <c r="O529" s="6">
        <v>0</v>
      </c>
      <c r="P529" s="6">
        <v>41</v>
      </c>
      <c r="Q529" s="4" t="s">
        <v>26</v>
      </c>
      <c r="R529" s="4">
        <v>0</v>
      </c>
      <c r="S529" s="6">
        <v>27</v>
      </c>
      <c r="T529" s="6">
        <v>0</v>
      </c>
      <c r="U529" s="6">
        <v>0</v>
      </c>
      <c r="V529" s="6">
        <f>IF(ISERROR(VLOOKUP($S$529,'TAR FIN'!$A$1:$O$115,15,0)),0,VLOOKUP($S$529,'TAR FIN'!$A$1:$O$115,15,0))</f>
        <v>19.8</v>
      </c>
      <c r="W529" s="6">
        <f>IF(ISERROR(VLOOKUP($T$529,'TAR FIN'!$A$1:$O$115,15,0)),0,VLOOKUP($T$529,'TAR FIN'!$A$1:$O$115,15,0))</f>
        <v>0</v>
      </c>
      <c r="X529" s="6">
        <f>IF(ISERROR(VLOOKUP($U$529,'TAR FIN'!$A$1:$O$115,15,0)),0,VLOOKUP($U$529,'TAR FIN'!$A$1:$O$115,15,0))</f>
        <v>0</v>
      </c>
      <c r="Y529" s="6">
        <f ca="1">('TUSD BE'!$AM$27+'TUSD BF'!$AM$27+'TUSD CVA'!$AM$27)*1</f>
        <v>20.615214330225772</v>
      </c>
      <c r="Z529" s="6"/>
      <c r="AA529" s="6"/>
      <c r="AB529" s="6">
        <f>$K$529*$V$529</f>
        <v>75477.600000000006</v>
      </c>
      <c r="AC529" s="6">
        <f>$M$529*$W$529</f>
        <v>0</v>
      </c>
      <c r="AD529" s="6">
        <f>$O$529*$X$529</f>
        <v>0</v>
      </c>
      <c r="AE529" s="6">
        <f ca="1">$K$529*$Y$529</f>
        <v>78585.19702682065</v>
      </c>
      <c r="AF529" s="6">
        <f>$M$529*$Z$529</f>
        <v>0</v>
      </c>
      <c r="AG529" s="6">
        <f>$O$529*$AA$529</f>
        <v>0</v>
      </c>
    </row>
    <row r="530" spans="1:33" ht="11.25" customHeight="1" x14ac:dyDescent="0.25">
      <c r="A530" s="4" t="s">
        <v>30</v>
      </c>
      <c r="B530" s="4" t="s">
        <v>41</v>
      </c>
      <c r="C530" s="4" t="s">
        <v>44</v>
      </c>
      <c r="D530" s="4" t="s">
        <v>45</v>
      </c>
      <c r="E530" s="4" t="s">
        <v>25</v>
      </c>
      <c r="F530" s="4" t="s">
        <v>25</v>
      </c>
      <c r="G530" s="4" t="s">
        <v>25</v>
      </c>
      <c r="H530" s="4" t="s">
        <v>25</v>
      </c>
      <c r="I530" s="5">
        <v>44743</v>
      </c>
      <c r="J530" s="6">
        <v>3814</v>
      </c>
      <c r="K530" s="6">
        <v>3814</v>
      </c>
      <c r="L530" s="6">
        <v>0</v>
      </c>
      <c r="M530" s="6">
        <v>0</v>
      </c>
      <c r="N530" s="6">
        <v>0</v>
      </c>
      <c r="O530" s="6">
        <v>0</v>
      </c>
      <c r="P530" s="6">
        <v>20</v>
      </c>
      <c r="Q530" s="4" t="s">
        <v>26</v>
      </c>
      <c r="R530" s="4">
        <v>0</v>
      </c>
      <c r="S530" s="6">
        <v>27</v>
      </c>
      <c r="T530" s="6">
        <v>0</v>
      </c>
      <c r="U530" s="6">
        <v>0</v>
      </c>
      <c r="V530" s="6">
        <f>IF(ISERROR(VLOOKUP($S$530,'TAR FIN'!$A$1:$O$115,15,0)),0,VLOOKUP($S$530,'TAR FIN'!$A$1:$O$115,15,0))</f>
        <v>19.8</v>
      </c>
      <c r="W530" s="6">
        <f>IF(ISERROR(VLOOKUP($T$530,'TAR FIN'!$A$1:$O$115,15,0)),0,VLOOKUP($T$530,'TAR FIN'!$A$1:$O$115,15,0))</f>
        <v>0</v>
      </c>
      <c r="X530" s="6">
        <f>IF(ISERROR(VLOOKUP($U$530,'TAR FIN'!$A$1:$O$115,15,0)),0,VLOOKUP($U$530,'TAR FIN'!$A$1:$O$115,15,0))</f>
        <v>0</v>
      </c>
      <c r="Y530" s="6">
        <f ca="1">('TUSD BE'!$AM$27+'TUSD BF'!$AM$27+'TUSD CVA'!$AM$27)*1</f>
        <v>20.615214330225772</v>
      </c>
      <c r="Z530" s="6"/>
      <c r="AA530" s="6"/>
      <c r="AB530" s="6">
        <f>$K$530*$V$530</f>
        <v>75517.2</v>
      </c>
      <c r="AC530" s="6">
        <f>$M$530*$W$530</f>
        <v>0</v>
      </c>
      <c r="AD530" s="6">
        <f>$O$530*$X$530</f>
        <v>0</v>
      </c>
      <c r="AE530" s="6">
        <f ca="1">$K$530*$Y$530</f>
        <v>78626.427455481098</v>
      </c>
      <c r="AF530" s="6">
        <f>$M$530*$Z$530</f>
        <v>0</v>
      </c>
      <c r="AG530" s="6">
        <f>$O$530*$AA$530</f>
        <v>0</v>
      </c>
    </row>
    <row r="531" spans="1:33" ht="11.25" customHeight="1" x14ac:dyDescent="0.25">
      <c r="A531" s="4" t="s">
        <v>21</v>
      </c>
      <c r="B531" s="4" t="s">
        <v>41</v>
      </c>
      <c r="C531" s="4" t="s">
        <v>44</v>
      </c>
      <c r="D531" s="4" t="s">
        <v>45</v>
      </c>
      <c r="E531" s="4" t="s">
        <v>25</v>
      </c>
      <c r="F531" s="4" t="s">
        <v>25</v>
      </c>
      <c r="G531" s="4" t="s">
        <v>25</v>
      </c>
      <c r="H531" s="4" t="s">
        <v>25</v>
      </c>
      <c r="I531" s="5">
        <v>44774</v>
      </c>
      <c r="J531" s="6">
        <v>19700</v>
      </c>
      <c r="K531" s="6">
        <v>19700</v>
      </c>
      <c r="L531" s="6">
        <v>0</v>
      </c>
      <c r="M531" s="6">
        <v>0</v>
      </c>
      <c r="N531" s="6">
        <v>0</v>
      </c>
      <c r="O531" s="6">
        <v>0</v>
      </c>
      <c r="P531" s="6">
        <v>170</v>
      </c>
      <c r="Q531" s="4" t="s">
        <v>26</v>
      </c>
      <c r="R531" s="4">
        <v>0</v>
      </c>
      <c r="S531" s="6">
        <v>27</v>
      </c>
      <c r="T531" s="6">
        <v>0</v>
      </c>
      <c r="U531" s="6">
        <v>0</v>
      </c>
      <c r="V531" s="6">
        <f>IF(ISERROR(VLOOKUP($S$531,'TAR FIN'!$A$1:$O$115,15,0)),0,VLOOKUP($S$531,'TAR FIN'!$A$1:$O$115,15,0))</f>
        <v>19.8</v>
      </c>
      <c r="W531" s="6">
        <f>IF(ISERROR(VLOOKUP($T$531,'TAR FIN'!$A$1:$O$115,15,0)),0,VLOOKUP($T$531,'TAR FIN'!$A$1:$O$115,15,0))</f>
        <v>0</v>
      </c>
      <c r="X531" s="6">
        <f>IF(ISERROR(VLOOKUP($U$531,'TAR FIN'!$A$1:$O$115,15,0)),0,VLOOKUP($U$531,'TAR FIN'!$A$1:$O$115,15,0))</f>
        <v>0</v>
      </c>
      <c r="Y531" s="6">
        <f ca="1">('TUSD BE'!$AM$27+'TUSD BF'!$AM$27+'TUSD CVA'!$AM$27)*1</f>
        <v>20.615214330225772</v>
      </c>
      <c r="Z531" s="6"/>
      <c r="AA531" s="6"/>
      <c r="AB531" s="6">
        <f>$K$531*$V$531</f>
        <v>390060</v>
      </c>
      <c r="AC531" s="6">
        <f>$M$531*$W$531</f>
        <v>0</v>
      </c>
      <c r="AD531" s="6">
        <f>$O$531*$X$531</f>
        <v>0</v>
      </c>
      <c r="AE531" s="6">
        <f ca="1">$K$531*$Y$531</f>
        <v>406119.72230544774</v>
      </c>
      <c r="AF531" s="6">
        <f>$M$531*$Z$531</f>
        <v>0</v>
      </c>
      <c r="AG531" s="6">
        <f>$O$531*$AA$531</f>
        <v>0</v>
      </c>
    </row>
    <row r="532" spans="1:33" ht="11.25" customHeight="1" x14ac:dyDescent="0.25">
      <c r="A532" s="4" t="s">
        <v>28</v>
      </c>
      <c r="B532" s="4" t="s">
        <v>41</v>
      </c>
      <c r="C532" s="4" t="s">
        <v>44</v>
      </c>
      <c r="D532" s="4" t="s">
        <v>45</v>
      </c>
      <c r="E532" s="4" t="s">
        <v>25</v>
      </c>
      <c r="F532" s="4" t="s">
        <v>25</v>
      </c>
      <c r="G532" s="4" t="s">
        <v>25</v>
      </c>
      <c r="H532" s="4" t="s">
        <v>25</v>
      </c>
      <c r="I532" s="5">
        <v>44774</v>
      </c>
      <c r="J532" s="6">
        <v>3831</v>
      </c>
      <c r="K532" s="6">
        <v>3831</v>
      </c>
      <c r="L532" s="6">
        <v>0</v>
      </c>
      <c r="M532" s="6">
        <v>0</v>
      </c>
      <c r="N532" s="6">
        <v>0</v>
      </c>
      <c r="O532" s="6">
        <v>0</v>
      </c>
      <c r="P532" s="6">
        <v>41</v>
      </c>
      <c r="Q532" s="4" t="s">
        <v>26</v>
      </c>
      <c r="R532" s="4">
        <v>0</v>
      </c>
      <c r="S532" s="6">
        <v>27</v>
      </c>
      <c r="T532" s="6">
        <v>0</v>
      </c>
      <c r="U532" s="6">
        <v>0</v>
      </c>
      <c r="V532" s="6">
        <f>IF(ISERROR(VLOOKUP($S$532,'TAR FIN'!$A$1:$O$115,15,0)),0,VLOOKUP($S$532,'TAR FIN'!$A$1:$O$115,15,0))</f>
        <v>19.8</v>
      </c>
      <c r="W532" s="6">
        <f>IF(ISERROR(VLOOKUP($T$532,'TAR FIN'!$A$1:$O$115,15,0)),0,VLOOKUP($T$532,'TAR FIN'!$A$1:$O$115,15,0))</f>
        <v>0</v>
      </c>
      <c r="X532" s="6">
        <f>IF(ISERROR(VLOOKUP($U$532,'TAR FIN'!$A$1:$O$115,15,0)),0,VLOOKUP($U$532,'TAR FIN'!$A$1:$O$115,15,0))</f>
        <v>0</v>
      </c>
      <c r="Y532" s="6">
        <f ca="1">('TUSD BE'!$AM$27+'TUSD BF'!$AM$27+'TUSD CVA'!$AM$27)*1</f>
        <v>20.615214330225772</v>
      </c>
      <c r="Z532" s="6"/>
      <c r="AA532" s="6"/>
      <c r="AB532" s="6">
        <f>$K$532*$V$532</f>
        <v>75853.8</v>
      </c>
      <c r="AC532" s="6">
        <f>$M$532*$W$532</f>
        <v>0</v>
      </c>
      <c r="AD532" s="6">
        <f>$O$532*$X$532</f>
        <v>0</v>
      </c>
      <c r="AE532" s="6">
        <f ca="1">$K$532*$Y$532</f>
        <v>78976.886099094932</v>
      </c>
      <c r="AF532" s="6">
        <f>$M$532*$Z$532</f>
        <v>0</v>
      </c>
      <c r="AG532" s="6">
        <f>$O$532*$AA$532</f>
        <v>0</v>
      </c>
    </row>
    <row r="533" spans="1:33" ht="11.25" customHeight="1" x14ac:dyDescent="0.25">
      <c r="A533" s="4" t="s">
        <v>30</v>
      </c>
      <c r="B533" s="4" t="s">
        <v>41</v>
      </c>
      <c r="C533" s="4" t="s">
        <v>44</v>
      </c>
      <c r="D533" s="4" t="s">
        <v>45</v>
      </c>
      <c r="E533" s="4" t="s">
        <v>25</v>
      </c>
      <c r="F533" s="4" t="s">
        <v>25</v>
      </c>
      <c r="G533" s="4" t="s">
        <v>25</v>
      </c>
      <c r="H533" s="4" t="s">
        <v>25</v>
      </c>
      <c r="I533" s="5">
        <v>44774</v>
      </c>
      <c r="J533" s="6">
        <v>4348</v>
      </c>
      <c r="K533" s="6">
        <v>4348</v>
      </c>
      <c r="L533" s="6">
        <v>0</v>
      </c>
      <c r="M533" s="6">
        <v>0</v>
      </c>
      <c r="N533" s="6">
        <v>0</v>
      </c>
      <c r="O533" s="6">
        <v>0</v>
      </c>
      <c r="P533" s="6">
        <v>22</v>
      </c>
      <c r="Q533" s="4" t="s">
        <v>26</v>
      </c>
      <c r="R533" s="4">
        <v>0</v>
      </c>
      <c r="S533" s="6">
        <v>27</v>
      </c>
      <c r="T533" s="6">
        <v>0</v>
      </c>
      <c r="U533" s="6">
        <v>0</v>
      </c>
      <c r="V533" s="6">
        <f>IF(ISERROR(VLOOKUP($S$533,'TAR FIN'!$A$1:$O$115,15,0)),0,VLOOKUP($S$533,'TAR FIN'!$A$1:$O$115,15,0))</f>
        <v>19.8</v>
      </c>
      <c r="W533" s="6">
        <f>IF(ISERROR(VLOOKUP($T$533,'TAR FIN'!$A$1:$O$115,15,0)),0,VLOOKUP($T$533,'TAR FIN'!$A$1:$O$115,15,0))</f>
        <v>0</v>
      </c>
      <c r="X533" s="6">
        <f>IF(ISERROR(VLOOKUP($U$533,'TAR FIN'!$A$1:$O$115,15,0)),0,VLOOKUP($U$533,'TAR FIN'!$A$1:$O$115,15,0))</f>
        <v>0</v>
      </c>
      <c r="Y533" s="6">
        <f ca="1">('TUSD BE'!$AM$27+'TUSD BF'!$AM$27+'TUSD CVA'!$AM$27)*1</f>
        <v>20.615214330225772</v>
      </c>
      <c r="Z533" s="6"/>
      <c r="AA533" s="6"/>
      <c r="AB533" s="6">
        <f>$K$533*$V$533</f>
        <v>86090.400000000009</v>
      </c>
      <c r="AC533" s="6">
        <f>$M$533*$W$533</f>
        <v>0</v>
      </c>
      <c r="AD533" s="6">
        <f>$O$533*$X$533</f>
        <v>0</v>
      </c>
      <c r="AE533" s="6">
        <f ca="1">$K$533*$Y$533</f>
        <v>89634.951907821654</v>
      </c>
      <c r="AF533" s="6">
        <f>$M$533*$Z$533</f>
        <v>0</v>
      </c>
      <c r="AG533" s="6">
        <f>$O$533*$AA$533</f>
        <v>0</v>
      </c>
    </row>
    <row r="534" spans="1:33" ht="11.25" customHeight="1" x14ac:dyDescent="0.25">
      <c r="A534" s="4" t="s">
        <v>30</v>
      </c>
      <c r="B534" s="4" t="s">
        <v>41</v>
      </c>
      <c r="C534" s="4" t="s">
        <v>44</v>
      </c>
      <c r="D534" s="4" t="s">
        <v>45</v>
      </c>
      <c r="E534" s="4" t="s">
        <v>25</v>
      </c>
      <c r="F534" s="4" t="s">
        <v>25</v>
      </c>
      <c r="G534" s="4" t="s">
        <v>25</v>
      </c>
      <c r="H534" s="4" t="s">
        <v>25</v>
      </c>
      <c r="I534" s="5">
        <v>44774</v>
      </c>
      <c r="J534" s="6">
        <v>-90</v>
      </c>
      <c r="K534" s="6">
        <v>-90</v>
      </c>
      <c r="L534" s="6">
        <v>0</v>
      </c>
      <c r="M534" s="6">
        <v>0</v>
      </c>
      <c r="N534" s="6">
        <v>0</v>
      </c>
      <c r="O534" s="6">
        <v>0</v>
      </c>
      <c r="P534" s="6">
        <v>-1</v>
      </c>
      <c r="Q534" s="4" t="s">
        <v>26</v>
      </c>
      <c r="R534" s="4">
        <v>0</v>
      </c>
      <c r="S534" s="6">
        <v>27</v>
      </c>
      <c r="T534" s="6">
        <v>0</v>
      </c>
      <c r="U534" s="6">
        <v>0</v>
      </c>
      <c r="V534" s="6">
        <f>IF(ISERROR(VLOOKUP($S$534,'TAR FIN'!$A$1:$O$115,15,0)),0,VLOOKUP($S$534,'TAR FIN'!$A$1:$O$115,15,0))</f>
        <v>19.8</v>
      </c>
      <c r="W534" s="6">
        <f>IF(ISERROR(VLOOKUP($T$534,'TAR FIN'!$A$1:$O$115,15,0)),0,VLOOKUP($T$534,'TAR FIN'!$A$1:$O$115,15,0))</f>
        <v>0</v>
      </c>
      <c r="X534" s="6">
        <f>IF(ISERROR(VLOOKUP($U$534,'TAR FIN'!$A$1:$O$115,15,0)),0,VLOOKUP($U$534,'TAR FIN'!$A$1:$O$115,15,0))</f>
        <v>0</v>
      </c>
      <c r="Y534" s="6">
        <f ca="1">('TUSD BE'!$AM$27+'TUSD BF'!$AM$27+'TUSD CVA'!$AM$27)*1</f>
        <v>20.615214330225772</v>
      </c>
      <c r="Z534" s="6"/>
      <c r="AA534" s="6"/>
      <c r="AB534" s="6">
        <f>$K$534*$V$534</f>
        <v>-1782</v>
      </c>
      <c r="AC534" s="6">
        <f>$M$534*$W$534</f>
        <v>0</v>
      </c>
      <c r="AD534" s="6">
        <f>$O$534*$X$534</f>
        <v>0</v>
      </c>
      <c r="AE534" s="6">
        <f ca="1">$K$534*$Y$534</f>
        <v>-1855.3692897203196</v>
      </c>
      <c r="AF534" s="6">
        <f>$M$534*$Z$534</f>
        <v>0</v>
      </c>
      <c r="AG534" s="6">
        <f>$O$534*$AA$534</f>
        <v>0</v>
      </c>
    </row>
    <row r="535" spans="1:33" ht="11.25" customHeight="1" x14ac:dyDescent="0.25">
      <c r="A535" s="4" t="s">
        <v>21</v>
      </c>
      <c r="B535" s="4" t="s">
        <v>41</v>
      </c>
      <c r="C535" s="4" t="s">
        <v>44</v>
      </c>
      <c r="D535" s="4" t="s">
        <v>45</v>
      </c>
      <c r="E535" s="4" t="s">
        <v>25</v>
      </c>
      <c r="F535" s="4" t="s">
        <v>25</v>
      </c>
      <c r="G535" s="4" t="s">
        <v>25</v>
      </c>
      <c r="H535" s="4" t="s">
        <v>25</v>
      </c>
      <c r="I535" s="5">
        <v>44805</v>
      </c>
      <c r="J535" s="6">
        <v>19310</v>
      </c>
      <c r="K535" s="6">
        <v>19310</v>
      </c>
      <c r="L535" s="6">
        <v>0</v>
      </c>
      <c r="M535" s="6">
        <v>0</v>
      </c>
      <c r="N535" s="6">
        <v>0</v>
      </c>
      <c r="O535" s="6">
        <v>0</v>
      </c>
      <c r="P535" s="6">
        <v>168</v>
      </c>
      <c r="Q535" s="4" t="s">
        <v>26</v>
      </c>
      <c r="R535" s="4">
        <v>0</v>
      </c>
      <c r="S535" s="6">
        <v>27</v>
      </c>
      <c r="T535" s="6">
        <v>0</v>
      </c>
      <c r="U535" s="6">
        <v>0</v>
      </c>
      <c r="V535" s="6">
        <f>IF(ISERROR(VLOOKUP($S$535,'TAR FIN'!$A$1:$O$115,15,0)),0,VLOOKUP($S$535,'TAR FIN'!$A$1:$O$115,15,0))</f>
        <v>19.8</v>
      </c>
      <c r="W535" s="6">
        <f>IF(ISERROR(VLOOKUP($T$535,'TAR FIN'!$A$1:$O$115,15,0)),0,VLOOKUP($T$535,'TAR FIN'!$A$1:$O$115,15,0))</f>
        <v>0</v>
      </c>
      <c r="X535" s="6">
        <f>IF(ISERROR(VLOOKUP($U$535,'TAR FIN'!$A$1:$O$115,15,0)),0,VLOOKUP($U$535,'TAR FIN'!$A$1:$O$115,15,0))</f>
        <v>0</v>
      </c>
      <c r="Y535" s="6">
        <f ca="1">('TUSD BE'!$AM$27+'TUSD BF'!$AM$27+'TUSD CVA'!$AM$27)*1</f>
        <v>20.615214330225772</v>
      </c>
      <c r="Z535" s="6"/>
      <c r="AA535" s="6"/>
      <c r="AB535" s="6">
        <f>$K$535*$V$535</f>
        <v>382338</v>
      </c>
      <c r="AC535" s="6">
        <f>$M$535*$W$535</f>
        <v>0</v>
      </c>
      <c r="AD535" s="6">
        <f>$O$535*$X$535</f>
        <v>0</v>
      </c>
      <c r="AE535" s="6">
        <f ca="1">$K$535*$Y$535</f>
        <v>398079.78871665965</v>
      </c>
      <c r="AF535" s="6">
        <f>$M$535*$Z$535</f>
        <v>0</v>
      </c>
      <c r="AG535" s="6">
        <f>$O$535*$AA$535</f>
        <v>0</v>
      </c>
    </row>
    <row r="536" spans="1:33" ht="11.25" customHeight="1" x14ac:dyDescent="0.25">
      <c r="A536" s="4" t="s">
        <v>28</v>
      </c>
      <c r="B536" s="4" t="s">
        <v>41</v>
      </c>
      <c r="C536" s="4" t="s">
        <v>44</v>
      </c>
      <c r="D536" s="4" t="s">
        <v>45</v>
      </c>
      <c r="E536" s="4" t="s">
        <v>25</v>
      </c>
      <c r="F536" s="4" t="s">
        <v>25</v>
      </c>
      <c r="G536" s="4" t="s">
        <v>25</v>
      </c>
      <c r="H536" s="4" t="s">
        <v>25</v>
      </c>
      <c r="I536" s="5">
        <v>44805</v>
      </c>
      <c r="J536" s="6">
        <v>3808</v>
      </c>
      <c r="K536" s="6">
        <v>3808</v>
      </c>
      <c r="L536" s="6">
        <v>0</v>
      </c>
      <c r="M536" s="6">
        <v>0</v>
      </c>
      <c r="N536" s="6">
        <v>0</v>
      </c>
      <c r="O536" s="6">
        <v>0</v>
      </c>
      <c r="P536" s="6">
        <v>40</v>
      </c>
      <c r="Q536" s="4" t="s">
        <v>26</v>
      </c>
      <c r="R536" s="4">
        <v>0</v>
      </c>
      <c r="S536" s="6">
        <v>27</v>
      </c>
      <c r="T536" s="6">
        <v>0</v>
      </c>
      <c r="U536" s="6">
        <v>0</v>
      </c>
      <c r="V536" s="6">
        <f>IF(ISERROR(VLOOKUP($S$536,'TAR FIN'!$A$1:$O$115,15,0)),0,VLOOKUP($S$536,'TAR FIN'!$A$1:$O$115,15,0))</f>
        <v>19.8</v>
      </c>
      <c r="W536" s="6">
        <f>IF(ISERROR(VLOOKUP($T$536,'TAR FIN'!$A$1:$O$115,15,0)),0,VLOOKUP($T$536,'TAR FIN'!$A$1:$O$115,15,0))</f>
        <v>0</v>
      </c>
      <c r="X536" s="6">
        <f>IF(ISERROR(VLOOKUP($U$536,'TAR FIN'!$A$1:$O$115,15,0)),0,VLOOKUP($U$536,'TAR FIN'!$A$1:$O$115,15,0))</f>
        <v>0</v>
      </c>
      <c r="Y536" s="6">
        <f ca="1">('TUSD BE'!$AM$27+'TUSD BF'!$AM$27+'TUSD CVA'!$AM$27)*1</f>
        <v>20.615214330225772</v>
      </c>
      <c r="Z536" s="6"/>
      <c r="AA536" s="6"/>
      <c r="AB536" s="6">
        <f>$K$536*$V$536</f>
        <v>75398.400000000009</v>
      </c>
      <c r="AC536" s="6">
        <f>$M$536*$W$536</f>
        <v>0</v>
      </c>
      <c r="AD536" s="6">
        <f>$O$536*$X$536</f>
        <v>0</v>
      </c>
      <c r="AE536" s="6">
        <f ca="1">$K$536*$Y$536</f>
        <v>78502.736169499738</v>
      </c>
      <c r="AF536" s="6">
        <f>$M$536*$Z$536</f>
        <v>0</v>
      </c>
      <c r="AG536" s="6">
        <f>$O$536*$AA$536</f>
        <v>0</v>
      </c>
    </row>
    <row r="537" spans="1:33" ht="11.25" customHeight="1" x14ac:dyDescent="0.25">
      <c r="A537" s="4" t="s">
        <v>30</v>
      </c>
      <c r="B537" s="4" t="s">
        <v>41</v>
      </c>
      <c r="C537" s="4" t="s">
        <v>44</v>
      </c>
      <c r="D537" s="4" t="s">
        <v>45</v>
      </c>
      <c r="E537" s="4" t="s">
        <v>25</v>
      </c>
      <c r="F537" s="4" t="s">
        <v>25</v>
      </c>
      <c r="G537" s="4" t="s">
        <v>25</v>
      </c>
      <c r="H537" s="4" t="s">
        <v>25</v>
      </c>
      <c r="I537" s="5">
        <v>44805</v>
      </c>
      <c r="J537" s="6">
        <v>4747</v>
      </c>
      <c r="K537" s="6">
        <v>4747</v>
      </c>
      <c r="L537" s="6">
        <v>0</v>
      </c>
      <c r="M537" s="6">
        <v>0</v>
      </c>
      <c r="N537" s="6">
        <v>0</v>
      </c>
      <c r="O537" s="6">
        <v>0</v>
      </c>
      <c r="P537" s="6">
        <v>26</v>
      </c>
      <c r="Q537" s="4" t="s">
        <v>26</v>
      </c>
      <c r="R537" s="4">
        <v>0</v>
      </c>
      <c r="S537" s="6">
        <v>27</v>
      </c>
      <c r="T537" s="6">
        <v>0</v>
      </c>
      <c r="U537" s="6">
        <v>0</v>
      </c>
      <c r="V537" s="6">
        <f>IF(ISERROR(VLOOKUP($S$537,'TAR FIN'!$A$1:$O$115,15,0)),0,VLOOKUP($S$537,'TAR FIN'!$A$1:$O$115,15,0))</f>
        <v>19.8</v>
      </c>
      <c r="W537" s="6">
        <f>IF(ISERROR(VLOOKUP($T$537,'TAR FIN'!$A$1:$O$115,15,0)),0,VLOOKUP($T$537,'TAR FIN'!$A$1:$O$115,15,0))</f>
        <v>0</v>
      </c>
      <c r="X537" s="6">
        <f>IF(ISERROR(VLOOKUP($U$537,'TAR FIN'!$A$1:$O$115,15,0)),0,VLOOKUP($U$537,'TAR FIN'!$A$1:$O$115,15,0))</f>
        <v>0</v>
      </c>
      <c r="Y537" s="6">
        <f ca="1">('TUSD BE'!$AM$27+'TUSD BF'!$AM$27+'TUSD CVA'!$AM$27)*1</f>
        <v>20.615214330225772</v>
      </c>
      <c r="Z537" s="6"/>
      <c r="AA537" s="6"/>
      <c r="AB537" s="6">
        <f>$K$537*$V$537</f>
        <v>93990.6</v>
      </c>
      <c r="AC537" s="6">
        <f>$M$537*$W$537</f>
        <v>0</v>
      </c>
      <c r="AD537" s="6">
        <f>$O$537*$X$537</f>
        <v>0</v>
      </c>
      <c r="AE537" s="6">
        <f ca="1">$K$537*$Y$537</f>
        <v>97860.422425581739</v>
      </c>
      <c r="AF537" s="6">
        <f>$M$537*$Z$537</f>
        <v>0</v>
      </c>
      <c r="AG537" s="6">
        <f>$O$537*$AA$537</f>
        <v>0</v>
      </c>
    </row>
    <row r="538" spans="1:33" ht="11.25" customHeight="1" x14ac:dyDescent="0.25">
      <c r="A538" s="4" t="s">
        <v>21</v>
      </c>
      <c r="B538" s="4" t="s">
        <v>41</v>
      </c>
      <c r="C538" s="4" t="s">
        <v>44</v>
      </c>
      <c r="D538" s="4" t="s">
        <v>45</v>
      </c>
      <c r="E538" s="4" t="s">
        <v>25</v>
      </c>
      <c r="F538" s="4" t="s">
        <v>25</v>
      </c>
      <c r="G538" s="4" t="s">
        <v>25</v>
      </c>
      <c r="H538" s="4" t="s">
        <v>25</v>
      </c>
      <c r="I538" s="5">
        <v>44835</v>
      </c>
      <c r="J538" s="6">
        <v>18594</v>
      </c>
      <c r="K538" s="6">
        <v>18594</v>
      </c>
      <c r="L538" s="6">
        <v>0</v>
      </c>
      <c r="M538" s="6">
        <v>0</v>
      </c>
      <c r="N538" s="6">
        <v>0</v>
      </c>
      <c r="O538" s="6">
        <v>0</v>
      </c>
      <c r="P538" s="6">
        <v>165</v>
      </c>
      <c r="Q538" s="4" t="s">
        <v>26</v>
      </c>
      <c r="R538" s="4">
        <v>0</v>
      </c>
      <c r="S538" s="6">
        <v>27</v>
      </c>
      <c r="T538" s="6">
        <v>0</v>
      </c>
      <c r="U538" s="6">
        <v>0</v>
      </c>
      <c r="V538" s="6">
        <f>IF(ISERROR(VLOOKUP($S$538,'TAR FIN'!$A$1:$O$115,15,0)),0,VLOOKUP($S$538,'TAR FIN'!$A$1:$O$115,15,0))</f>
        <v>19.8</v>
      </c>
      <c r="W538" s="6">
        <f>IF(ISERROR(VLOOKUP($T$538,'TAR FIN'!$A$1:$O$115,15,0)),0,VLOOKUP($T$538,'TAR FIN'!$A$1:$O$115,15,0))</f>
        <v>0</v>
      </c>
      <c r="X538" s="6">
        <f>IF(ISERROR(VLOOKUP($U$538,'TAR FIN'!$A$1:$O$115,15,0)),0,VLOOKUP($U$538,'TAR FIN'!$A$1:$O$115,15,0))</f>
        <v>0</v>
      </c>
      <c r="Y538" s="6">
        <f ca="1">('TUSD BE'!$AM$27+'TUSD BF'!$AM$27+'TUSD CVA'!$AM$27)*1</f>
        <v>20.615214330225772</v>
      </c>
      <c r="Z538" s="6"/>
      <c r="AA538" s="6"/>
      <c r="AB538" s="6">
        <f>$K$538*$V$538</f>
        <v>368161.2</v>
      </c>
      <c r="AC538" s="6">
        <f>$M$538*$W$538</f>
        <v>0</v>
      </c>
      <c r="AD538" s="6">
        <f>$O$538*$X$538</f>
        <v>0</v>
      </c>
      <c r="AE538" s="6">
        <f ca="1">$K$538*$Y$538</f>
        <v>383319.295256218</v>
      </c>
      <c r="AF538" s="6">
        <f>$M$538*$Z$538</f>
        <v>0</v>
      </c>
      <c r="AG538" s="6">
        <f>$O$538*$AA$538</f>
        <v>0</v>
      </c>
    </row>
    <row r="539" spans="1:33" ht="11.25" customHeight="1" x14ac:dyDescent="0.25">
      <c r="A539" s="4" t="s">
        <v>28</v>
      </c>
      <c r="B539" s="4" t="s">
        <v>41</v>
      </c>
      <c r="C539" s="4" t="s">
        <v>44</v>
      </c>
      <c r="D539" s="4" t="s">
        <v>45</v>
      </c>
      <c r="E539" s="4" t="s">
        <v>25</v>
      </c>
      <c r="F539" s="4" t="s">
        <v>25</v>
      </c>
      <c r="G539" s="4" t="s">
        <v>25</v>
      </c>
      <c r="H539" s="4" t="s">
        <v>25</v>
      </c>
      <c r="I539" s="5">
        <v>44835</v>
      </c>
      <c r="J539" s="6">
        <v>3677</v>
      </c>
      <c r="K539" s="6">
        <v>3677</v>
      </c>
      <c r="L539" s="6">
        <v>0</v>
      </c>
      <c r="M539" s="6">
        <v>0</v>
      </c>
      <c r="N539" s="6">
        <v>0</v>
      </c>
      <c r="O539" s="6">
        <v>0</v>
      </c>
      <c r="P539" s="6">
        <v>40</v>
      </c>
      <c r="Q539" s="4" t="s">
        <v>26</v>
      </c>
      <c r="R539" s="4">
        <v>0</v>
      </c>
      <c r="S539" s="6">
        <v>27</v>
      </c>
      <c r="T539" s="6">
        <v>0</v>
      </c>
      <c r="U539" s="6">
        <v>0</v>
      </c>
      <c r="V539" s="6">
        <f>IF(ISERROR(VLOOKUP($S$539,'TAR FIN'!$A$1:$O$115,15,0)),0,VLOOKUP($S$539,'TAR FIN'!$A$1:$O$115,15,0))</f>
        <v>19.8</v>
      </c>
      <c r="W539" s="6">
        <f>IF(ISERROR(VLOOKUP($T$539,'TAR FIN'!$A$1:$O$115,15,0)),0,VLOOKUP($T$539,'TAR FIN'!$A$1:$O$115,15,0))</f>
        <v>0</v>
      </c>
      <c r="X539" s="6">
        <f>IF(ISERROR(VLOOKUP($U$539,'TAR FIN'!$A$1:$O$115,15,0)),0,VLOOKUP($U$539,'TAR FIN'!$A$1:$O$115,15,0))</f>
        <v>0</v>
      </c>
      <c r="Y539" s="6">
        <f ca="1">('TUSD BE'!$AM$27+'TUSD BF'!$AM$27+'TUSD CVA'!$AM$27)*1</f>
        <v>20.615214330225772</v>
      </c>
      <c r="Z539" s="6"/>
      <c r="AA539" s="6"/>
      <c r="AB539" s="6">
        <f>$K$539*$V$539</f>
        <v>72804.600000000006</v>
      </c>
      <c r="AC539" s="6">
        <f>$M$539*$W$539</f>
        <v>0</v>
      </c>
      <c r="AD539" s="6">
        <f>$O$539*$X$539</f>
        <v>0</v>
      </c>
      <c r="AE539" s="6">
        <f ca="1">$K$539*$Y$539</f>
        <v>75802.143092240163</v>
      </c>
      <c r="AF539" s="6">
        <f>$M$539*$Z$539</f>
        <v>0</v>
      </c>
      <c r="AG539" s="6">
        <f>$O$539*$AA$539</f>
        <v>0</v>
      </c>
    </row>
    <row r="540" spans="1:33" ht="11.25" customHeight="1" x14ac:dyDescent="0.25">
      <c r="A540" s="4" t="s">
        <v>30</v>
      </c>
      <c r="B540" s="4" t="s">
        <v>41</v>
      </c>
      <c r="C540" s="4" t="s">
        <v>44</v>
      </c>
      <c r="D540" s="4" t="s">
        <v>45</v>
      </c>
      <c r="E540" s="4" t="s">
        <v>25</v>
      </c>
      <c r="F540" s="4" t="s">
        <v>25</v>
      </c>
      <c r="G540" s="4" t="s">
        <v>25</v>
      </c>
      <c r="H540" s="4" t="s">
        <v>25</v>
      </c>
      <c r="I540" s="5">
        <v>44835</v>
      </c>
      <c r="J540" s="6">
        <v>4792</v>
      </c>
      <c r="K540" s="6">
        <v>4792</v>
      </c>
      <c r="L540" s="6">
        <v>0</v>
      </c>
      <c r="M540" s="6">
        <v>0</v>
      </c>
      <c r="N540" s="6">
        <v>0</v>
      </c>
      <c r="O540" s="6">
        <v>0</v>
      </c>
      <c r="P540" s="6">
        <v>26</v>
      </c>
      <c r="Q540" s="4" t="s">
        <v>26</v>
      </c>
      <c r="R540" s="4">
        <v>0</v>
      </c>
      <c r="S540" s="6">
        <v>27</v>
      </c>
      <c r="T540" s="6">
        <v>0</v>
      </c>
      <c r="U540" s="6">
        <v>0</v>
      </c>
      <c r="V540" s="6">
        <f>IF(ISERROR(VLOOKUP($S$540,'TAR FIN'!$A$1:$O$115,15,0)),0,VLOOKUP($S$540,'TAR FIN'!$A$1:$O$115,15,0))</f>
        <v>19.8</v>
      </c>
      <c r="W540" s="6">
        <f>IF(ISERROR(VLOOKUP($T$540,'TAR FIN'!$A$1:$O$115,15,0)),0,VLOOKUP($T$540,'TAR FIN'!$A$1:$O$115,15,0))</f>
        <v>0</v>
      </c>
      <c r="X540" s="6">
        <f>IF(ISERROR(VLOOKUP($U$540,'TAR FIN'!$A$1:$O$115,15,0)),0,VLOOKUP($U$540,'TAR FIN'!$A$1:$O$115,15,0))</f>
        <v>0</v>
      </c>
      <c r="Y540" s="6">
        <f ca="1">('TUSD BE'!$AM$27+'TUSD BF'!$AM$27+'TUSD CVA'!$AM$27)*1</f>
        <v>20.615214330225772</v>
      </c>
      <c r="Z540" s="6"/>
      <c r="AA540" s="6"/>
      <c r="AB540" s="6">
        <f>$K$540*$V$540</f>
        <v>94881.600000000006</v>
      </c>
      <c r="AC540" s="6">
        <f>$M$540*$W$540</f>
        <v>0</v>
      </c>
      <c r="AD540" s="6">
        <f>$O$540*$X$540</f>
        <v>0</v>
      </c>
      <c r="AE540" s="6">
        <f ca="1">$K$540*$Y$540</f>
        <v>98788.107070441896</v>
      </c>
      <c r="AF540" s="6">
        <f>$M$540*$Z$540</f>
        <v>0</v>
      </c>
      <c r="AG540" s="6">
        <f>$O$540*$AA$540</f>
        <v>0</v>
      </c>
    </row>
    <row r="541" spans="1:33" ht="11.25" customHeight="1" x14ac:dyDescent="0.25">
      <c r="A541" s="4" t="s">
        <v>59</v>
      </c>
      <c r="B541" s="4" t="s">
        <v>41</v>
      </c>
      <c r="C541" s="4" t="s">
        <v>44</v>
      </c>
      <c r="D541" s="4" t="s">
        <v>45</v>
      </c>
      <c r="E541" s="4" t="s">
        <v>25</v>
      </c>
      <c r="F541" s="4" t="s">
        <v>25</v>
      </c>
      <c r="G541" s="4" t="s">
        <v>25</v>
      </c>
      <c r="H541" s="4" t="s">
        <v>25</v>
      </c>
      <c r="I541" s="5">
        <v>44866</v>
      </c>
      <c r="J541" s="6">
        <v>18594</v>
      </c>
      <c r="K541" s="6">
        <v>18594</v>
      </c>
      <c r="L541" s="6">
        <v>0</v>
      </c>
      <c r="M541" s="6">
        <v>0</v>
      </c>
      <c r="N541" s="6">
        <v>0</v>
      </c>
      <c r="O541" s="6">
        <v>0</v>
      </c>
      <c r="P541" s="6">
        <v>165</v>
      </c>
      <c r="Q541" s="4" t="s">
        <v>26</v>
      </c>
      <c r="R541" s="4">
        <v>0</v>
      </c>
      <c r="S541" s="6">
        <v>27</v>
      </c>
      <c r="T541" s="6">
        <v>0</v>
      </c>
      <c r="U541" s="6">
        <v>0</v>
      </c>
      <c r="V541" s="6">
        <f>IF(ISERROR(VLOOKUP($S$541,'TAR FIN'!$A$1:$O$115,15,0)),0,VLOOKUP($S$541,'TAR FIN'!$A$1:$O$115,15,0))</f>
        <v>19.8</v>
      </c>
      <c r="W541" s="6">
        <f>IF(ISERROR(VLOOKUP($T$541,'TAR FIN'!$A$1:$O$115,15,0)),0,VLOOKUP($T$541,'TAR FIN'!$A$1:$O$115,15,0))</f>
        <v>0</v>
      </c>
      <c r="X541" s="6">
        <f>IF(ISERROR(VLOOKUP($U$541,'TAR FIN'!$A$1:$O$115,15,0)),0,VLOOKUP($U$541,'TAR FIN'!$A$1:$O$115,15,0))</f>
        <v>0</v>
      </c>
      <c r="Y541" s="6">
        <f ca="1">('TUSD BE'!$AM$27+'TUSD BF'!$AM$27+'TUSD CVA'!$AM$27)*1</f>
        <v>20.615214330225772</v>
      </c>
      <c r="Z541" s="6"/>
      <c r="AA541" s="6"/>
      <c r="AB541" s="6">
        <f>$K$541*$V$541</f>
        <v>368161.2</v>
      </c>
      <c r="AC541" s="6">
        <f>$M$541*$W$541</f>
        <v>0</v>
      </c>
      <c r="AD541" s="6">
        <f>$O$541*$X$541</f>
        <v>0</v>
      </c>
      <c r="AE541" s="6">
        <f ca="1">$K$541*$Y$541</f>
        <v>383319.295256218</v>
      </c>
      <c r="AF541" s="6">
        <f>$M$541*$Z$541</f>
        <v>0</v>
      </c>
      <c r="AG541" s="6">
        <f>$O$541*$AA$541</f>
        <v>0</v>
      </c>
    </row>
    <row r="542" spans="1:33" ht="11.25" customHeight="1" x14ac:dyDescent="0.25">
      <c r="A542" s="4" t="s">
        <v>59</v>
      </c>
      <c r="B542" s="4" t="s">
        <v>41</v>
      </c>
      <c r="C542" s="4" t="s">
        <v>44</v>
      </c>
      <c r="D542" s="4" t="s">
        <v>45</v>
      </c>
      <c r="E542" s="4" t="s">
        <v>25</v>
      </c>
      <c r="F542" s="4" t="s">
        <v>25</v>
      </c>
      <c r="G542" s="4" t="s">
        <v>25</v>
      </c>
      <c r="H542" s="4" t="s">
        <v>25</v>
      </c>
      <c r="I542" s="5">
        <v>44866</v>
      </c>
      <c r="J542" s="6">
        <v>3677</v>
      </c>
      <c r="K542" s="6">
        <v>3677</v>
      </c>
      <c r="L542" s="6">
        <v>0</v>
      </c>
      <c r="M542" s="6">
        <v>0</v>
      </c>
      <c r="N542" s="6">
        <v>0</v>
      </c>
      <c r="O542" s="6">
        <v>0</v>
      </c>
      <c r="P542" s="6">
        <v>40</v>
      </c>
      <c r="Q542" s="4" t="s">
        <v>26</v>
      </c>
      <c r="R542" s="4">
        <v>0</v>
      </c>
      <c r="S542" s="6">
        <v>27</v>
      </c>
      <c r="T542" s="6">
        <v>0</v>
      </c>
      <c r="U542" s="6">
        <v>0</v>
      </c>
      <c r="V542" s="6">
        <f>IF(ISERROR(VLOOKUP($S$542,'TAR FIN'!$A$1:$O$115,15,0)),0,VLOOKUP($S$542,'TAR FIN'!$A$1:$O$115,15,0))</f>
        <v>19.8</v>
      </c>
      <c r="W542" s="6">
        <f>IF(ISERROR(VLOOKUP($T$542,'TAR FIN'!$A$1:$O$115,15,0)),0,VLOOKUP($T$542,'TAR FIN'!$A$1:$O$115,15,0))</f>
        <v>0</v>
      </c>
      <c r="X542" s="6">
        <f>IF(ISERROR(VLOOKUP($U$542,'TAR FIN'!$A$1:$O$115,15,0)),0,VLOOKUP($U$542,'TAR FIN'!$A$1:$O$115,15,0))</f>
        <v>0</v>
      </c>
      <c r="Y542" s="6">
        <f ca="1">('TUSD BE'!$AM$27+'TUSD BF'!$AM$27+'TUSD CVA'!$AM$27)*1</f>
        <v>20.615214330225772</v>
      </c>
      <c r="Z542" s="6"/>
      <c r="AA542" s="6"/>
      <c r="AB542" s="6">
        <f>$K$542*$V$542</f>
        <v>72804.600000000006</v>
      </c>
      <c r="AC542" s="6">
        <f>$M$542*$W$542</f>
        <v>0</v>
      </c>
      <c r="AD542" s="6">
        <f>$O$542*$X$542</f>
        <v>0</v>
      </c>
      <c r="AE542" s="6">
        <f ca="1">$K$542*$Y$542</f>
        <v>75802.143092240163</v>
      </c>
      <c r="AF542" s="6">
        <f>$M$542*$Z$542</f>
        <v>0</v>
      </c>
      <c r="AG542" s="6">
        <f>$O$542*$AA$542</f>
        <v>0</v>
      </c>
    </row>
    <row r="543" spans="1:33" ht="11.25" customHeight="1" x14ac:dyDescent="0.25">
      <c r="A543" s="4" t="s">
        <v>59</v>
      </c>
      <c r="B543" s="4" t="s">
        <v>41</v>
      </c>
      <c r="C543" s="4" t="s">
        <v>44</v>
      </c>
      <c r="D543" s="4" t="s">
        <v>45</v>
      </c>
      <c r="E543" s="4" t="s">
        <v>25</v>
      </c>
      <c r="F543" s="4" t="s">
        <v>25</v>
      </c>
      <c r="G543" s="4" t="s">
        <v>25</v>
      </c>
      <c r="H543" s="4" t="s">
        <v>25</v>
      </c>
      <c r="I543" s="5">
        <v>44866</v>
      </c>
      <c r="J543" s="6">
        <v>4792</v>
      </c>
      <c r="K543" s="6">
        <v>4792</v>
      </c>
      <c r="L543" s="6">
        <v>0</v>
      </c>
      <c r="M543" s="6">
        <v>0</v>
      </c>
      <c r="N543" s="6">
        <v>0</v>
      </c>
      <c r="O543" s="6">
        <v>0</v>
      </c>
      <c r="P543" s="6">
        <v>26</v>
      </c>
      <c r="Q543" s="4" t="s">
        <v>26</v>
      </c>
      <c r="R543" s="4">
        <v>0</v>
      </c>
      <c r="S543" s="6">
        <v>27</v>
      </c>
      <c r="T543" s="6">
        <v>0</v>
      </c>
      <c r="U543" s="6">
        <v>0</v>
      </c>
      <c r="V543" s="6">
        <f>IF(ISERROR(VLOOKUP($S$543,'TAR FIN'!$A$1:$O$115,15,0)),0,VLOOKUP($S$543,'TAR FIN'!$A$1:$O$115,15,0))</f>
        <v>19.8</v>
      </c>
      <c r="W543" s="6">
        <f>IF(ISERROR(VLOOKUP($T$543,'TAR FIN'!$A$1:$O$115,15,0)),0,VLOOKUP($T$543,'TAR FIN'!$A$1:$O$115,15,0))</f>
        <v>0</v>
      </c>
      <c r="X543" s="6">
        <f>IF(ISERROR(VLOOKUP($U$543,'TAR FIN'!$A$1:$O$115,15,0)),0,VLOOKUP($U$543,'TAR FIN'!$A$1:$O$115,15,0))</f>
        <v>0</v>
      </c>
      <c r="Y543" s="6">
        <f ca="1">('TUSD BE'!$AM$27+'TUSD BF'!$AM$27+'TUSD CVA'!$AM$27)*1</f>
        <v>20.615214330225772</v>
      </c>
      <c r="Z543" s="6"/>
      <c r="AA543" s="6"/>
      <c r="AB543" s="6">
        <f>$K$543*$V$543</f>
        <v>94881.600000000006</v>
      </c>
      <c r="AC543" s="6">
        <f>$M$543*$W$543</f>
        <v>0</v>
      </c>
      <c r="AD543" s="6">
        <f>$O$543*$X$543</f>
        <v>0</v>
      </c>
      <c r="AE543" s="6">
        <f ca="1">$K$543*$Y$543</f>
        <v>98788.107070441896</v>
      </c>
      <c r="AF543" s="6">
        <f>$M$543*$Z$543</f>
        <v>0</v>
      </c>
      <c r="AG543" s="6">
        <f>$O$543*$AA$543</f>
        <v>0</v>
      </c>
    </row>
    <row r="544" spans="1:33" ht="11.25" customHeight="1" x14ac:dyDescent="0.25">
      <c r="A544" s="4" t="s">
        <v>21</v>
      </c>
      <c r="B544" s="4" t="s">
        <v>41</v>
      </c>
      <c r="C544" s="4" t="s">
        <v>44</v>
      </c>
      <c r="D544" s="4" t="s">
        <v>45</v>
      </c>
      <c r="E544" s="4" t="s">
        <v>25</v>
      </c>
      <c r="F544" s="4" t="s">
        <v>25</v>
      </c>
      <c r="G544" s="4" t="s">
        <v>25</v>
      </c>
      <c r="H544" s="4" t="s">
        <v>36</v>
      </c>
      <c r="I544" s="5">
        <v>44531</v>
      </c>
      <c r="J544" s="6">
        <v>0</v>
      </c>
      <c r="K544" s="6">
        <v>0</v>
      </c>
      <c r="L544" s="6">
        <v>259.68799999999999</v>
      </c>
      <c r="M544" s="6">
        <v>259.68799999999999</v>
      </c>
      <c r="N544" s="6">
        <v>259.68799999999999</v>
      </c>
      <c r="O544" s="6">
        <v>259.68799999999999</v>
      </c>
      <c r="P544" s="6">
        <v>0</v>
      </c>
      <c r="Q544" s="4" t="s">
        <v>26</v>
      </c>
      <c r="R544" s="4">
        <v>0</v>
      </c>
      <c r="S544" s="6">
        <v>0</v>
      </c>
      <c r="T544" s="6">
        <v>28</v>
      </c>
      <c r="U544" s="6">
        <v>74</v>
      </c>
      <c r="V544" s="6">
        <f>IF(ISERROR(VLOOKUP($S$544,'TAR FIN'!$A$1:$O$115,15,0)),0,VLOOKUP($S$544,'TAR FIN'!$A$1:$O$115,15,0))</f>
        <v>0</v>
      </c>
      <c r="W544" s="6">
        <f>IF(ISERROR(VLOOKUP($T$544,'TAR FIN'!$A$1:$O$115,15,0)),0,VLOOKUP($T$544,'TAR FIN'!$A$1:$O$115,15,0))</f>
        <v>1448.96</v>
      </c>
      <c r="X544" s="6">
        <f>IF(ISERROR(VLOOKUP($U$544,'TAR FIN'!$A$1:$O$115,15,0)),0,VLOOKUP($U$544,'TAR FIN'!$A$1:$O$115,15,0))</f>
        <v>270.3</v>
      </c>
      <c r="Y544" s="6"/>
      <c r="Z544" s="6">
        <f ca="1">('TUSD BE'!$AM$28+'TUSD BF'!$AM$28+'TUSD CVA'!$AM$28)*1</f>
        <v>1480.1280206491922</v>
      </c>
      <c r="AA544" s="6">
        <f>('TE BE'!$AB$11+'TE BF'!$AB$11+'TE CVA'!$AB$11)*1</f>
        <v>362.64398683254075</v>
      </c>
      <c r="AB544" s="6">
        <f>$K$544*$V$544</f>
        <v>0</v>
      </c>
      <c r="AC544" s="6">
        <f>$M$544*$W$544</f>
        <v>376277.52447999996</v>
      </c>
      <c r="AD544" s="6">
        <f>$O$544*$X$544</f>
        <v>70193.666400000002</v>
      </c>
      <c r="AE544" s="6">
        <f>$K$544*$Y$544</f>
        <v>0</v>
      </c>
      <c r="AF544" s="6">
        <f ca="1">$M$544*$Z$544</f>
        <v>384371.48542634741</v>
      </c>
      <c r="AG544" s="6">
        <f>$O$544*$AA$544</f>
        <v>94174.291652568834</v>
      </c>
    </row>
    <row r="545" spans="1:33" ht="11.25" customHeight="1" x14ac:dyDescent="0.25">
      <c r="A545" s="4" t="s">
        <v>28</v>
      </c>
      <c r="B545" s="4" t="s">
        <v>41</v>
      </c>
      <c r="C545" s="4" t="s">
        <v>44</v>
      </c>
      <c r="D545" s="4" t="s">
        <v>45</v>
      </c>
      <c r="E545" s="4" t="s">
        <v>25</v>
      </c>
      <c r="F545" s="4" t="s">
        <v>25</v>
      </c>
      <c r="G545" s="4" t="s">
        <v>25</v>
      </c>
      <c r="H545" s="4" t="s">
        <v>36</v>
      </c>
      <c r="I545" s="5">
        <v>44531</v>
      </c>
      <c r="J545" s="6">
        <v>0</v>
      </c>
      <c r="K545" s="6">
        <v>0</v>
      </c>
      <c r="L545" s="6">
        <v>61.277999999999999</v>
      </c>
      <c r="M545" s="6">
        <v>61.277999999999999</v>
      </c>
      <c r="N545" s="6">
        <v>61.277999999999999</v>
      </c>
      <c r="O545" s="6">
        <v>61.277999999999999</v>
      </c>
      <c r="P545" s="6">
        <v>0</v>
      </c>
      <c r="Q545" s="4" t="s">
        <v>26</v>
      </c>
      <c r="R545" s="4">
        <v>0</v>
      </c>
      <c r="S545" s="6">
        <v>0</v>
      </c>
      <c r="T545" s="6">
        <v>28</v>
      </c>
      <c r="U545" s="6">
        <v>74</v>
      </c>
      <c r="V545" s="6">
        <f>IF(ISERROR(VLOOKUP($S$545,'TAR FIN'!$A$1:$O$115,15,0)),0,VLOOKUP($S$545,'TAR FIN'!$A$1:$O$115,15,0))</f>
        <v>0</v>
      </c>
      <c r="W545" s="6">
        <f>IF(ISERROR(VLOOKUP($T$545,'TAR FIN'!$A$1:$O$115,15,0)),0,VLOOKUP($T$545,'TAR FIN'!$A$1:$O$115,15,0))</f>
        <v>1448.96</v>
      </c>
      <c r="X545" s="6">
        <f>IF(ISERROR(VLOOKUP($U$545,'TAR FIN'!$A$1:$O$115,15,0)),0,VLOOKUP($U$545,'TAR FIN'!$A$1:$O$115,15,0))</f>
        <v>270.3</v>
      </c>
      <c r="Y545" s="6"/>
      <c r="Z545" s="6">
        <f ca="1">('TUSD BE'!$AM$28+'TUSD BF'!$AM$28+'TUSD CVA'!$AM$28)*1</f>
        <v>1480.1280206491922</v>
      </c>
      <c r="AA545" s="6">
        <f>('TE BE'!$AB$11+'TE BF'!$AB$11+'TE CVA'!$AB$11)*1</f>
        <v>362.64398683254075</v>
      </c>
      <c r="AB545" s="6">
        <f>$K$545*$V$545</f>
        <v>0</v>
      </c>
      <c r="AC545" s="6">
        <f>$M$545*$W$545</f>
        <v>88789.370880000002</v>
      </c>
      <c r="AD545" s="6">
        <f>$O$545*$X$545</f>
        <v>16563.4434</v>
      </c>
      <c r="AE545" s="6">
        <f>$K$545*$Y$545</f>
        <v>0</v>
      </c>
      <c r="AF545" s="6">
        <f ca="1">$M$545*$Z$545</f>
        <v>90699.284849341202</v>
      </c>
      <c r="AG545" s="6">
        <f>$O$545*$AA$545</f>
        <v>22222.098225124431</v>
      </c>
    </row>
    <row r="546" spans="1:33" ht="11.25" customHeight="1" x14ac:dyDescent="0.25">
      <c r="A546" s="4" t="s">
        <v>30</v>
      </c>
      <c r="B546" s="4" t="s">
        <v>41</v>
      </c>
      <c r="C546" s="4" t="s">
        <v>44</v>
      </c>
      <c r="D546" s="4" t="s">
        <v>45</v>
      </c>
      <c r="E546" s="4" t="s">
        <v>25</v>
      </c>
      <c r="F546" s="4" t="s">
        <v>25</v>
      </c>
      <c r="G546" s="4" t="s">
        <v>25</v>
      </c>
      <c r="H546" s="4" t="s">
        <v>36</v>
      </c>
      <c r="I546" s="5">
        <v>44531</v>
      </c>
      <c r="J546" s="6">
        <v>0</v>
      </c>
      <c r="K546" s="6">
        <v>0</v>
      </c>
      <c r="L546" s="6">
        <v>28.766999999999999</v>
      </c>
      <c r="M546" s="6">
        <v>28.766999999999999</v>
      </c>
      <c r="N546" s="6">
        <v>28.766999999999999</v>
      </c>
      <c r="O546" s="6">
        <v>28.766999999999999</v>
      </c>
      <c r="P546" s="6">
        <v>0</v>
      </c>
      <c r="Q546" s="4" t="s">
        <v>26</v>
      </c>
      <c r="R546" s="4">
        <v>0</v>
      </c>
      <c r="S546" s="6">
        <v>0</v>
      </c>
      <c r="T546" s="6">
        <v>28</v>
      </c>
      <c r="U546" s="6">
        <v>74</v>
      </c>
      <c r="V546" s="6">
        <f>IF(ISERROR(VLOOKUP($S$546,'TAR FIN'!$A$1:$O$115,15,0)),0,VLOOKUP($S$546,'TAR FIN'!$A$1:$O$115,15,0))</f>
        <v>0</v>
      </c>
      <c r="W546" s="6">
        <f>IF(ISERROR(VLOOKUP($T$546,'TAR FIN'!$A$1:$O$115,15,0)),0,VLOOKUP($T$546,'TAR FIN'!$A$1:$O$115,15,0))</f>
        <v>1448.96</v>
      </c>
      <c r="X546" s="6">
        <f>IF(ISERROR(VLOOKUP($U$546,'TAR FIN'!$A$1:$O$115,15,0)),0,VLOOKUP($U$546,'TAR FIN'!$A$1:$O$115,15,0))</f>
        <v>270.3</v>
      </c>
      <c r="Y546" s="6"/>
      <c r="Z546" s="6">
        <f ca="1">('TUSD BE'!$AM$28+'TUSD BF'!$AM$28+'TUSD CVA'!$AM$28)*1</f>
        <v>1480.1280206491922</v>
      </c>
      <c r="AA546" s="6">
        <f>('TE BE'!$AB$11+'TE BF'!$AB$11+'TE CVA'!$AB$11)*1</f>
        <v>362.64398683254075</v>
      </c>
      <c r="AB546" s="6">
        <f>$K$546*$V$546</f>
        <v>0</v>
      </c>
      <c r="AC546" s="6">
        <f>$M$546*$W$546</f>
        <v>41682.232320000003</v>
      </c>
      <c r="AD546" s="6">
        <f>$O$546*$X$546</f>
        <v>7775.7201000000005</v>
      </c>
      <c r="AE546" s="6">
        <f>$K$546*$Y$546</f>
        <v>0</v>
      </c>
      <c r="AF546" s="6">
        <f ca="1">$M$546*$Z$546</f>
        <v>42578.842770015312</v>
      </c>
      <c r="AG546" s="6">
        <f>$O$546*$AA$546</f>
        <v>10432.179569211699</v>
      </c>
    </row>
    <row r="547" spans="1:33" ht="11.25" customHeight="1" x14ac:dyDescent="0.25">
      <c r="A547" s="4" t="s">
        <v>21</v>
      </c>
      <c r="B547" s="4" t="s">
        <v>41</v>
      </c>
      <c r="C547" s="4" t="s">
        <v>44</v>
      </c>
      <c r="D547" s="4" t="s">
        <v>45</v>
      </c>
      <c r="E547" s="4" t="s">
        <v>25</v>
      </c>
      <c r="F547" s="4" t="s">
        <v>25</v>
      </c>
      <c r="G547" s="4" t="s">
        <v>25</v>
      </c>
      <c r="H547" s="4" t="s">
        <v>36</v>
      </c>
      <c r="I547" s="5">
        <v>44562</v>
      </c>
      <c r="J547" s="6">
        <v>0</v>
      </c>
      <c r="K547" s="6">
        <v>0</v>
      </c>
      <c r="L547" s="6">
        <v>236.88399999999999</v>
      </c>
      <c r="M547" s="6">
        <v>236.88399999999999</v>
      </c>
      <c r="N547" s="6">
        <v>236.88399999999999</v>
      </c>
      <c r="O547" s="6">
        <v>236.88399999999999</v>
      </c>
      <c r="P547" s="6">
        <v>0</v>
      </c>
      <c r="Q547" s="4" t="s">
        <v>26</v>
      </c>
      <c r="R547" s="4">
        <v>0</v>
      </c>
      <c r="S547" s="6">
        <v>0</v>
      </c>
      <c r="T547" s="6">
        <v>28</v>
      </c>
      <c r="U547" s="6">
        <v>74</v>
      </c>
      <c r="V547" s="6">
        <f>IF(ISERROR(VLOOKUP($S$547,'TAR FIN'!$A$1:$O$115,15,0)),0,VLOOKUP($S$547,'TAR FIN'!$A$1:$O$115,15,0))</f>
        <v>0</v>
      </c>
      <c r="W547" s="6">
        <f>IF(ISERROR(VLOOKUP($T$547,'TAR FIN'!$A$1:$O$115,15,0)),0,VLOOKUP($T$547,'TAR FIN'!$A$1:$O$115,15,0))</f>
        <v>1448.96</v>
      </c>
      <c r="X547" s="6">
        <f>IF(ISERROR(VLOOKUP($U$547,'TAR FIN'!$A$1:$O$115,15,0)),0,VLOOKUP($U$547,'TAR FIN'!$A$1:$O$115,15,0))</f>
        <v>270.3</v>
      </c>
      <c r="Y547" s="6"/>
      <c r="Z547" s="6">
        <f ca="1">('TUSD BE'!$AM$28+'TUSD BF'!$AM$28+'TUSD CVA'!$AM$28)*1</f>
        <v>1480.1280206491922</v>
      </c>
      <c r="AA547" s="6">
        <f>('TE BE'!$AB$11+'TE BF'!$AB$11+'TE CVA'!$AB$11)*1</f>
        <v>362.64398683254075</v>
      </c>
      <c r="AB547" s="6">
        <f>$K$547*$V$547</f>
        <v>0</v>
      </c>
      <c r="AC547" s="6">
        <f>$M$547*$W$547</f>
        <v>343235.44063999999</v>
      </c>
      <c r="AD547" s="6">
        <f>$O$547*$X$547</f>
        <v>64029.745199999998</v>
      </c>
      <c r="AE547" s="6">
        <f>$K$547*$Y$547</f>
        <v>0</v>
      </c>
      <c r="AF547" s="6">
        <f ca="1">$M$547*$Z$547</f>
        <v>350618.6460434632</v>
      </c>
      <c r="AG547" s="6">
        <f>$O$547*$AA$547</f>
        <v>85904.558176839579</v>
      </c>
    </row>
    <row r="548" spans="1:33" ht="11.25" customHeight="1" x14ac:dyDescent="0.25">
      <c r="A548" s="4" t="s">
        <v>28</v>
      </c>
      <c r="B548" s="4" t="s">
        <v>41</v>
      </c>
      <c r="C548" s="4" t="s">
        <v>44</v>
      </c>
      <c r="D548" s="4" t="s">
        <v>45</v>
      </c>
      <c r="E548" s="4" t="s">
        <v>25</v>
      </c>
      <c r="F548" s="4" t="s">
        <v>25</v>
      </c>
      <c r="G548" s="4" t="s">
        <v>25</v>
      </c>
      <c r="H548" s="4" t="s">
        <v>36</v>
      </c>
      <c r="I548" s="5">
        <v>44562</v>
      </c>
      <c r="J548" s="6">
        <v>0</v>
      </c>
      <c r="K548" s="6">
        <v>0</v>
      </c>
      <c r="L548" s="6">
        <v>56.744999999999997</v>
      </c>
      <c r="M548" s="6">
        <v>56.744999999999997</v>
      </c>
      <c r="N548" s="6">
        <v>56.744999999999997</v>
      </c>
      <c r="O548" s="6">
        <v>56.744999999999997</v>
      </c>
      <c r="P548" s="6">
        <v>0</v>
      </c>
      <c r="Q548" s="4" t="s">
        <v>26</v>
      </c>
      <c r="R548" s="4">
        <v>0</v>
      </c>
      <c r="S548" s="6">
        <v>0</v>
      </c>
      <c r="T548" s="6">
        <v>28</v>
      </c>
      <c r="U548" s="6">
        <v>74</v>
      </c>
      <c r="V548" s="6">
        <f>IF(ISERROR(VLOOKUP($S$548,'TAR FIN'!$A$1:$O$115,15,0)),0,VLOOKUP($S$548,'TAR FIN'!$A$1:$O$115,15,0))</f>
        <v>0</v>
      </c>
      <c r="W548" s="6">
        <f>IF(ISERROR(VLOOKUP($T$548,'TAR FIN'!$A$1:$O$115,15,0)),0,VLOOKUP($T$548,'TAR FIN'!$A$1:$O$115,15,0))</f>
        <v>1448.96</v>
      </c>
      <c r="X548" s="6">
        <f>IF(ISERROR(VLOOKUP($U$548,'TAR FIN'!$A$1:$O$115,15,0)),0,VLOOKUP($U$548,'TAR FIN'!$A$1:$O$115,15,0))</f>
        <v>270.3</v>
      </c>
      <c r="Y548" s="6"/>
      <c r="Z548" s="6">
        <f ca="1">('TUSD BE'!$AM$28+'TUSD BF'!$AM$28+'TUSD CVA'!$AM$28)*1</f>
        <v>1480.1280206491922</v>
      </c>
      <c r="AA548" s="6">
        <f>('TE BE'!$AB$11+'TE BF'!$AB$11+'TE CVA'!$AB$11)*1</f>
        <v>362.64398683254075</v>
      </c>
      <c r="AB548" s="6">
        <f>$K$548*$V$548</f>
        <v>0</v>
      </c>
      <c r="AC548" s="6">
        <f>$M$548*$W$548</f>
        <v>82221.235199999996</v>
      </c>
      <c r="AD548" s="6">
        <f>$O$548*$X$548</f>
        <v>15338.173500000001</v>
      </c>
      <c r="AE548" s="6">
        <f>$K$548*$Y$548</f>
        <v>0</v>
      </c>
      <c r="AF548" s="6">
        <f ca="1">$M$548*$Z$548</f>
        <v>83989.864531738407</v>
      </c>
      <c r="AG548" s="6">
        <f>$O$548*$AA$548</f>
        <v>20578.233032812524</v>
      </c>
    </row>
    <row r="549" spans="1:33" ht="11.25" customHeight="1" x14ac:dyDescent="0.25">
      <c r="A549" s="4" t="s">
        <v>29</v>
      </c>
      <c r="B549" s="4" t="s">
        <v>41</v>
      </c>
      <c r="C549" s="4" t="s">
        <v>44</v>
      </c>
      <c r="D549" s="4" t="s">
        <v>45</v>
      </c>
      <c r="E549" s="4" t="s">
        <v>25</v>
      </c>
      <c r="F549" s="4" t="s">
        <v>25</v>
      </c>
      <c r="G549" s="4" t="s">
        <v>25</v>
      </c>
      <c r="H549" s="4" t="s">
        <v>36</v>
      </c>
      <c r="I549" s="5">
        <v>44562</v>
      </c>
      <c r="J549" s="6">
        <v>0</v>
      </c>
      <c r="K549" s="6">
        <v>0</v>
      </c>
      <c r="L549" s="6">
        <v>0.28000000000000003</v>
      </c>
      <c r="M549" s="6">
        <v>0.28000000000000003</v>
      </c>
      <c r="N549" s="6">
        <v>0.28000000000000003</v>
      </c>
      <c r="O549" s="6">
        <v>0.28000000000000003</v>
      </c>
      <c r="P549" s="6">
        <v>0</v>
      </c>
      <c r="Q549" s="4" t="s">
        <v>26</v>
      </c>
      <c r="R549" s="4">
        <v>0</v>
      </c>
      <c r="S549" s="6">
        <v>0</v>
      </c>
      <c r="T549" s="6">
        <v>28</v>
      </c>
      <c r="U549" s="6">
        <v>74</v>
      </c>
      <c r="V549" s="6">
        <f>IF(ISERROR(VLOOKUP($S$549,'TAR FIN'!$A$1:$O$115,15,0)),0,VLOOKUP($S$549,'TAR FIN'!$A$1:$O$115,15,0))</f>
        <v>0</v>
      </c>
      <c r="W549" s="6">
        <f>IF(ISERROR(VLOOKUP($T$549,'TAR FIN'!$A$1:$O$115,15,0)),0,VLOOKUP($T$549,'TAR FIN'!$A$1:$O$115,15,0))</f>
        <v>1448.96</v>
      </c>
      <c r="X549" s="6">
        <f>IF(ISERROR(VLOOKUP($U$549,'TAR FIN'!$A$1:$O$115,15,0)),0,VLOOKUP($U$549,'TAR FIN'!$A$1:$O$115,15,0))</f>
        <v>270.3</v>
      </c>
      <c r="Y549" s="6"/>
      <c r="Z549" s="6">
        <f ca="1">('TUSD BE'!$AM$28+'TUSD BF'!$AM$28+'TUSD CVA'!$AM$28)*1</f>
        <v>1480.1280206491922</v>
      </c>
      <c r="AA549" s="6">
        <f>('TE BE'!$AB$11+'TE BF'!$AB$11+'TE CVA'!$AB$11)*1</f>
        <v>362.64398683254075</v>
      </c>
      <c r="AB549" s="6">
        <f>$K$549*$V$549</f>
        <v>0</v>
      </c>
      <c r="AC549" s="6">
        <f>$M$549*$W$549</f>
        <v>405.70880000000005</v>
      </c>
      <c r="AD549" s="6">
        <f>$O$549*$X$549</f>
        <v>75.684000000000012</v>
      </c>
      <c r="AE549" s="6">
        <f>$K$549*$Y$549</f>
        <v>0</v>
      </c>
      <c r="AF549" s="6">
        <f ca="1">$M$549*$Z$549</f>
        <v>414.43584578177388</v>
      </c>
      <c r="AG549" s="6">
        <f>$O$549*$AA$549</f>
        <v>101.54031631311142</v>
      </c>
    </row>
    <row r="550" spans="1:33" ht="11.25" customHeight="1" x14ac:dyDescent="0.25">
      <c r="A550" s="4" t="s">
        <v>30</v>
      </c>
      <c r="B550" s="4" t="s">
        <v>41</v>
      </c>
      <c r="C550" s="4" t="s">
        <v>44</v>
      </c>
      <c r="D550" s="4" t="s">
        <v>45</v>
      </c>
      <c r="E550" s="4" t="s">
        <v>25</v>
      </c>
      <c r="F550" s="4" t="s">
        <v>25</v>
      </c>
      <c r="G550" s="4" t="s">
        <v>25</v>
      </c>
      <c r="H550" s="4" t="s">
        <v>36</v>
      </c>
      <c r="I550" s="5">
        <v>44562</v>
      </c>
      <c r="J550" s="6">
        <v>0</v>
      </c>
      <c r="K550" s="6">
        <v>0</v>
      </c>
      <c r="L550" s="6">
        <v>23.716000000000001</v>
      </c>
      <c r="M550" s="6">
        <v>23.716000000000001</v>
      </c>
      <c r="N550" s="6">
        <v>23.716000000000001</v>
      </c>
      <c r="O550" s="6">
        <v>23.716000000000001</v>
      </c>
      <c r="P550" s="6">
        <v>0</v>
      </c>
      <c r="Q550" s="4" t="s">
        <v>26</v>
      </c>
      <c r="R550" s="4">
        <v>0</v>
      </c>
      <c r="S550" s="6">
        <v>0</v>
      </c>
      <c r="T550" s="6">
        <v>28</v>
      </c>
      <c r="U550" s="6">
        <v>74</v>
      </c>
      <c r="V550" s="6">
        <f>IF(ISERROR(VLOOKUP($S$550,'TAR FIN'!$A$1:$O$115,15,0)),0,VLOOKUP($S$550,'TAR FIN'!$A$1:$O$115,15,0))</f>
        <v>0</v>
      </c>
      <c r="W550" s="6">
        <f>IF(ISERROR(VLOOKUP($T$550,'TAR FIN'!$A$1:$O$115,15,0)),0,VLOOKUP($T$550,'TAR FIN'!$A$1:$O$115,15,0))</f>
        <v>1448.96</v>
      </c>
      <c r="X550" s="6">
        <f>IF(ISERROR(VLOOKUP($U$550,'TAR FIN'!$A$1:$O$115,15,0)),0,VLOOKUP($U$550,'TAR FIN'!$A$1:$O$115,15,0))</f>
        <v>270.3</v>
      </c>
      <c r="Y550" s="6"/>
      <c r="Z550" s="6">
        <f ca="1">('TUSD BE'!$AM$28+'TUSD BF'!$AM$28+'TUSD CVA'!$AM$28)*1</f>
        <v>1480.1280206491922</v>
      </c>
      <c r="AA550" s="6">
        <f>('TE BE'!$AB$11+'TE BF'!$AB$11+'TE CVA'!$AB$11)*1</f>
        <v>362.64398683254075</v>
      </c>
      <c r="AB550" s="6">
        <f>$K$550*$V$550</f>
        <v>0</v>
      </c>
      <c r="AC550" s="6">
        <f>$M$550*$W$550</f>
        <v>34363.535360000002</v>
      </c>
      <c r="AD550" s="6">
        <f>$O$550*$X$550</f>
        <v>6410.4348000000009</v>
      </c>
      <c r="AE550" s="6">
        <f>$K$550*$Y$550</f>
        <v>0</v>
      </c>
      <c r="AF550" s="6">
        <f ca="1">$M$550*$Z$550</f>
        <v>35102.716137716241</v>
      </c>
      <c r="AG550" s="6">
        <f>$O$550*$AA$550</f>
        <v>8600.4647917205366</v>
      </c>
    </row>
    <row r="551" spans="1:33" ht="11.25" customHeight="1" x14ac:dyDescent="0.25">
      <c r="A551" s="4" t="s">
        <v>30</v>
      </c>
      <c r="B551" s="4" t="s">
        <v>41</v>
      </c>
      <c r="C551" s="4" t="s">
        <v>44</v>
      </c>
      <c r="D551" s="4" t="s">
        <v>45</v>
      </c>
      <c r="E551" s="4" t="s">
        <v>25</v>
      </c>
      <c r="F551" s="4" t="s">
        <v>25</v>
      </c>
      <c r="G551" s="4" t="s">
        <v>25</v>
      </c>
      <c r="H551" s="4" t="s">
        <v>36</v>
      </c>
      <c r="I551" s="5">
        <v>44562</v>
      </c>
      <c r="J551" s="6">
        <v>0</v>
      </c>
      <c r="K551" s="6">
        <v>0</v>
      </c>
      <c r="L551" s="6">
        <v>-2.96</v>
      </c>
      <c r="M551" s="6">
        <v>-2.96</v>
      </c>
      <c r="N551" s="6">
        <v>-2.96</v>
      </c>
      <c r="O551" s="6">
        <v>-2.96</v>
      </c>
      <c r="P551" s="6">
        <v>0</v>
      </c>
      <c r="Q551" s="4" t="s">
        <v>26</v>
      </c>
      <c r="R551" s="4">
        <v>0</v>
      </c>
      <c r="S551" s="6">
        <v>0</v>
      </c>
      <c r="T551" s="6">
        <v>28</v>
      </c>
      <c r="U551" s="6">
        <v>74</v>
      </c>
      <c r="V551" s="6">
        <f>IF(ISERROR(VLOOKUP($S$551,'TAR FIN'!$A$1:$O$115,15,0)),0,VLOOKUP($S$551,'TAR FIN'!$A$1:$O$115,15,0))</f>
        <v>0</v>
      </c>
      <c r="W551" s="6">
        <f>IF(ISERROR(VLOOKUP($T$551,'TAR FIN'!$A$1:$O$115,15,0)),0,VLOOKUP($T$551,'TAR FIN'!$A$1:$O$115,15,0))</f>
        <v>1448.96</v>
      </c>
      <c r="X551" s="6">
        <f>IF(ISERROR(VLOOKUP($U$551,'TAR FIN'!$A$1:$O$115,15,0)),0,VLOOKUP($U$551,'TAR FIN'!$A$1:$O$115,15,0))</f>
        <v>270.3</v>
      </c>
      <c r="Y551" s="6"/>
      <c r="Z551" s="6">
        <f ca="1">('TUSD BE'!$AM$28+'TUSD BF'!$AM$28+'TUSD CVA'!$AM$28)*1</f>
        <v>1480.1280206491922</v>
      </c>
      <c r="AA551" s="6">
        <f>('TE BE'!$AB$11+'TE BF'!$AB$11+'TE CVA'!$AB$11)*1</f>
        <v>362.64398683254075</v>
      </c>
      <c r="AB551" s="6">
        <f>$K$551*$V$551</f>
        <v>0</v>
      </c>
      <c r="AC551" s="6">
        <f>$M$551*$W$551</f>
        <v>-4288.9215999999997</v>
      </c>
      <c r="AD551" s="6">
        <f>$O$551*$X$551</f>
        <v>-800.08800000000008</v>
      </c>
      <c r="AE551" s="6">
        <f>$K$551*$Y$551</f>
        <v>0</v>
      </c>
      <c r="AF551" s="6">
        <f ca="1">$M$551*$Z$551</f>
        <v>-4381.1789411216087</v>
      </c>
      <c r="AG551" s="6">
        <f>$O$551*$AA$551</f>
        <v>-1073.4262010243206</v>
      </c>
    </row>
    <row r="552" spans="1:33" ht="11.25" customHeight="1" x14ac:dyDescent="0.25">
      <c r="A552" s="4" t="s">
        <v>21</v>
      </c>
      <c r="B552" s="4" t="s">
        <v>41</v>
      </c>
      <c r="C552" s="4" t="s">
        <v>44</v>
      </c>
      <c r="D552" s="4" t="s">
        <v>45</v>
      </c>
      <c r="E552" s="4" t="s">
        <v>25</v>
      </c>
      <c r="F552" s="4" t="s">
        <v>25</v>
      </c>
      <c r="G552" s="4" t="s">
        <v>25</v>
      </c>
      <c r="H552" s="4" t="s">
        <v>36</v>
      </c>
      <c r="I552" s="5">
        <v>44593</v>
      </c>
      <c r="J552" s="6">
        <v>0</v>
      </c>
      <c r="K552" s="6">
        <v>0</v>
      </c>
      <c r="L552" s="6">
        <v>233.02099999999999</v>
      </c>
      <c r="M552" s="6">
        <v>233.02099999999999</v>
      </c>
      <c r="N552" s="6">
        <v>233.02099999999999</v>
      </c>
      <c r="O552" s="6">
        <v>233.02099999999999</v>
      </c>
      <c r="P552" s="6">
        <v>0</v>
      </c>
      <c r="Q552" s="4" t="s">
        <v>26</v>
      </c>
      <c r="R552" s="4">
        <v>0</v>
      </c>
      <c r="S552" s="6">
        <v>0</v>
      </c>
      <c r="T552" s="6">
        <v>28</v>
      </c>
      <c r="U552" s="6">
        <v>74</v>
      </c>
      <c r="V552" s="6">
        <f>IF(ISERROR(VLOOKUP($S$552,'TAR FIN'!$A$1:$O$115,15,0)),0,VLOOKUP($S$552,'TAR FIN'!$A$1:$O$115,15,0))</f>
        <v>0</v>
      </c>
      <c r="W552" s="6">
        <f>IF(ISERROR(VLOOKUP($T$552,'TAR FIN'!$A$1:$O$115,15,0)),0,VLOOKUP($T$552,'TAR FIN'!$A$1:$O$115,15,0))</f>
        <v>1448.96</v>
      </c>
      <c r="X552" s="6">
        <f>IF(ISERROR(VLOOKUP($U$552,'TAR FIN'!$A$1:$O$115,15,0)),0,VLOOKUP($U$552,'TAR FIN'!$A$1:$O$115,15,0))</f>
        <v>270.3</v>
      </c>
      <c r="Y552" s="6"/>
      <c r="Z552" s="6">
        <f ca="1">('TUSD BE'!$AM$28+'TUSD BF'!$AM$28+'TUSD CVA'!$AM$28)*1</f>
        <v>1480.1280206491922</v>
      </c>
      <c r="AA552" s="6">
        <f>('TE BE'!$AB$11+'TE BF'!$AB$11+'TE CVA'!$AB$11)*1</f>
        <v>362.64398683254075</v>
      </c>
      <c r="AB552" s="6">
        <f>$K$552*$V$552</f>
        <v>0</v>
      </c>
      <c r="AC552" s="6">
        <f>$M$552*$W$552</f>
        <v>337638.10816</v>
      </c>
      <c r="AD552" s="6">
        <f>$O$552*$X$552</f>
        <v>62985.576300000001</v>
      </c>
      <c r="AE552" s="6">
        <f>$K$552*$Y$552</f>
        <v>0</v>
      </c>
      <c r="AF552" s="6">
        <f ca="1">$M$552*$Z$552</f>
        <v>344900.91149969539</v>
      </c>
      <c r="AG552" s="6">
        <f>$O$552*$AA$552</f>
        <v>84503.664455705468</v>
      </c>
    </row>
    <row r="553" spans="1:33" ht="11.25" customHeight="1" x14ac:dyDescent="0.25">
      <c r="A553" s="4" t="s">
        <v>27</v>
      </c>
      <c r="B553" s="4" t="s">
        <v>41</v>
      </c>
      <c r="C553" s="4" t="s">
        <v>44</v>
      </c>
      <c r="D553" s="4" t="s">
        <v>45</v>
      </c>
      <c r="E553" s="4" t="s">
        <v>25</v>
      </c>
      <c r="F553" s="4" t="s">
        <v>25</v>
      </c>
      <c r="G553" s="4" t="s">
        <v>25</v>
      </c>
      <c r="H553" s="4" t="s">
        <v>36</v>
      </c>
      <c r="I553" s="5">
        <v>44593</v>
      </c>
      <c r="J553" s="6">
        <v>0</v>
      </c>
      <c r="K553" s="6">
        <v>0</v>
      </c>
      <c r="L553" s="6">
        <v>-6.1280000000000001</v>
      </c>
      <c r="M553" s="6">
        <v>-6.1280000000000001</v>
      </c>
      <c r="N553" s="6">
        <v>-6.1280000000000001</v>
      </c>
      <c r="O553" s="6">
        <v>-6.1280000000000001</v>
      </c>
      <c r="P553" s="6">
        <v>0</v>
      </c>
      <c r="Q553" s="4" t="s">
        <v>26</v>
      </c>
      <c r="R553" s="4">
        <v>0</v>
      </c>
      <c r="S553" s="6">
        <v>0</v>
      </c>
      <c r="T553" s="6">
        <v>28</v>
      </c>
      <c r="U553" s="6">
        <v>74</v>
      </c>
      <c r="V553" s="6">
        <f>IF(ISERROR(VLOOKUP($S$553,'TAR FIN'!$A$1:$O$115,15,0)),0,VLOOKUP($S$553,'TAR FIN'!$A$1:$O$115,15,0))</f>
        <v>0</v>
      </c>
      <c r="W553" s="6">
        <f>IF(ISERROR(VLOOKUP($T$553,'TAR FIN'!$A$1:$O$115,15,0)),0,VLOOKUP($T$553,'TAR FIN'!$A$1:$O$115,15,0))</f>
        <v>1448.96</v>
      </c>
      <c r="X553" s="6">
        <f>IF(ISERROR(VLOOKUP($U$553,'TAR FIN'!$A$1:$O$115,15,0)),0,VLOOKUP($U$553,'TAR FIN'!$A$1:$O$115,15,0))</f>
        <v>270.3</v>
      </c>
      <c r="Y553" s="6"/>
      <c r="Z553" s="6">
        <f ca="1">('TUSD BE'!$AM$28+'TUSD BF'!$AM$28+'TUSD CVA'!$AM$28)*1</f>
        <v>1480.1280206491922</v>
      </c>
      <c r="AA553" s="6">
        <f>('TE BE'!$AB$11+'TE BF'!$AB$11+'TE CVA'!$AB$11)*1</f>
        <v>362.64398683254075</v>
      </c>
      <c r="AB553" s="6">
        <f>$K$553*$V$553</f>
        <v>0</v>
      </c>
      <c r="AC553" s="6">
        <f>$M$553*$W$553</f>
        <v>-8879.2268800000002</v>
      </c>
      <c r="AD553" s="6">
        <f>$O$553*$X$553</f>
        <v>-1656.3984</v>
      </c>
      <c r="AE553" s="6">
        <f>$K$553*$Y$553</f>
        <v>0</v>
      </c>
      <c r="AF553" s="6">
        <f ca="1">$M$553*$Z$553</f>
        <v>-9070.2245105382499</v>
      </c>
      <c r="AG553" s="6">
        <f>$O$553*$AA$553</f>
        <v>-2222.2823513098097</v>
      </c>
    </row>
    <row r="554" spans="1:33" ht="11.25" customHeight="1" x14ac:dyDescent="0.25">
      <c r="A554" s="4" t="s">
        <v>28</v>
      </c>
      <c r="B554" s="4" t="s">
        <v>41</v>
      </c>
      <c r="C554" s="4" t="s">
        <v>44</v>
      </c>
      <c r="D554" s="4" t="s">
        <v>45</v>
      </c>
      <c r="E554" s="4" t="s">
        <v>25</v>
      </c>
      <c r="F554" s="4" t="s">
        <v>25</v>
      </c>
      <c r="G554" s="4" t="s">
        <v>25</v>
      </c>
      <c r="H554" s="4" t="s">
        <v>36</v>
      </c>
      <c r="I554" s="5">
        <v>44593</v>
      </c>
      <c r="J554" s="6">
        <v>0</v>
      </c>
      <c r="K554" s="6">
        <v>0</v>
      </c>
      <c r="L554" s="6">
        <v>52.207999999999998</v>
      </c>
      <c r="M554" s="6">
        <v>52.207999999999998</v>
      </c>
      <c r="N554" s="6">
        <v>52.207999999999998</v>
      </c>
      <c r="O554" s="6">
        <v>52.207999999999998</v>
      </c>
      <c r="P554" s="6">
        <v>0</v>
      </c>
      <c r="Q554" s="4" t="s">
        <v>26</v>
      </c>
      <c r="R554" s="4">
        <v>0</v>
      </c>
      <c r="S554" s="6">
        <v>0</v>
      </c>
      <c r="T554" s="6">
        <v>28</v>
      </c>
      <c r="U554" s="6">
        <v>74</v>
      </c>
      <c r="V554" s="6">
        <f>IF(ISERROR(VLOOKUP($S$554,'TAR FIN'!$A$1:$O$115,15,0)),0,VLOOKUP($S$554,'TAR FIN'!$A$1:$O$115,15,0))</f>
        <v>0</v>
      </c>
      <c r="W554" s="6">
        <f>IF(ISERROR(VLOOKUP($T$554,'TAR FIN'!$A$1:$O$115,15,0)),0,VLOOKUP($T$554,'TAR FIN'!$A$1:$O$115,15,0))</f>
        <v>1448.96</v>
      </c>
      <c r="X554" s="6">
        <f>IF(ISERROR(VLOOKUP($U$554,'TAR FIN'!$A$1:$O$115,15,0)),0,VLOOKUP($U$554,'TAR FIN'!$A$1:$O$115,15,0))</f>
        <v>270.3</v>
      </c>
      <c r="Y554" s="6"/>
      <c r="Z554" s="6">
        <f ca="1">('TUSD BE'!$AM$28+'TUSD BF'!$AM$28+'TUSD CVA'!$AM$28)*1</f>
        <v>1480.1280206491922</v>
      </c>
      <c r="AA554" s="6">
        <f>('TE BE'!$AB$11+'TE BF'!$AB$11+'TE CVA'!$AB$11)*1</f>
        <v>362.64398683254075</v>
      </c>
      <c r="AB554" s="6">
        <f>$K$554*$V$554</f>
        <v>0</v>
      </c>
      <c r="AC554" s="6">
        <f>$M$554*$W$554</f>
        <v>75647.303679999997</v>
      </c>
      <c r="AD554" s="6">
        <f>$O$554*$X$554</f>
        <v>14111.822400000001</v>
      </c>
      <c r="AE554" s="6">
        <f>$K$554*$Y$554</f>
        <v>0</v>
      </c>
      <c r="AF554" s="6">
        <f ca="1">$M$554*$Z$554</f>
        <v>77274.523702053018</v>
      </c>
      <c r="AG554" s="6">
        <f>$O$554*$AA$554</f>
        <v>18932.917264553285</v>
      </c>
    </row>
    <row r="555" spans="1:33" ht="11.25" customHeight="1" x14ac:dyDescent="0.25">
      <c r="A555" s="4" t="s">
        <v>30</v>
      </c>
      <c r="B555" s="4" t="s">
        <v>41</v>
      </c>
      <c r="C555" s="4" t="s">
        <v>44</v>
      </c>
      <c r="D555" s="4" t="s">
        <v>45</v>
      </c>
      <c r="E555" s="4" t="s">
        <v>25</v>
      </c>
      <c r="F555" s="4" t="s">
        <v>25</v>
      </c>
      <c r="G555" s="4" t="s">
        <v>25</v>
      </c>
      <c r="H555" s="4" t="s">
        <v>36</v>
      </c>
      <c r="I555" s="5">
        <v>44593</v>
      </c>
      <c r="J555" s="6">
        <v>0</v>
      </c>
      <c r="K555" s="6">
        <v>0</v>
      </c>
      <c r="L555" s="6">
        <v>18.311</v>
      </c>
      <c r="M555" s="6">
        <v>18.311</v>
      </c>
      <c r="N555" s="6">
        <v>18.311</v>
      </c>
      <c r="O555" s="6">
        <v>18.311</v>
      </c>
      <c r="P555" s="6">
        <v>0</v>
      </c>
      <c r="Q555" s="4" t="s">
        <v>26</v>
      </c>
      <c r="R555" s="4">
        <v>0</v>
      </c>
      <c r="S555" s="6">
        <v>0</v>
      </c>
      <c r="T555" s="6">
        <v>28</v>
      </c>
      <c r="U555" s="6">
        <v>74</v>
      </c>
      <c r="V555" s="6">
        <f>IF(ISERROR(VLOOKUP($S$555,'TAR FIN'!$A$1:$O$115,15,0)),0,VLOOKUP($S$555,'TAR FIN'!$A$1:$O$115,15,0))</f>
        <v>0</v>
      </c>
      <c r="W555" s="6">
        <f>IF(ISERROR(VLOOKUP($T$555,'TAR FIN'!$A$1:$O$115,15,0)),0,VLOOKUP($T$555,'TAR FIN'!$A$1:$O$115,15,0))</f>
        <v>1448.96</v>
      </c>
      <c r="X555" s="6">
        <f>IF(ISERROR(VLOOKUP($U$555,'TAR FIN'!$A$1:$O$115,15,0)),0,VLOOKUP($U$555,'TAR FIN'!$A$1:$O$115,15,0))</f>
        <v>270.3</v>
      </c>
      <c r="Y555" s="6"/>
      <c r="Z555" s="6">
        <f ca="1">('TUSD BE'!$AM$28+'TUSD BF'!$AM$28+'TUSD CVA'!$AM$28)*1</f>
        <v>1480.1280206491922</v>
      </c>
      <c r="AA555" s="6">
        <f>('TE BE'!$AB$11+'TE BF'!$AB$11+'TE CVA'!$AB$11)*1</f>
        <v>362.64398683254075</v>
      </c>
      <c r="AB555" s="6">
        <f>$K$555*$V$555</f>
        <v>0</v>
      </c>
      <c r="AC555" s="6">
        <f>$M$555*$W$555</f>
        <v>26531.906559999999</v>
      </c>
      <c r="AD555" s="6">
        <f>$O$555*$X$555</f>
        <v>4949.4633000000003</v>
      </c>
      <c r="AE555" s="6">
        <f>$K$555*$Y$555</f>
        <v>0</v>
      </c>
      <c r="AF555" s="6">
        <f ca="1">$M$555*$Z$555</f>
        <v>27102.624186107358</v>
      </c>
      <c r="AG555" s="6">
        <f>$O$555*$AA$555</f>
        <v>6640.374042890654</v>
      </c>
    </row>
    <row r="556" spans="1:33" ht="11.25" customHeight="1" x14ac:dyDescent="0.25">
      <c r="A556" s="4" t="s">
        <v>21</v>
      </c>
      <c r="B556" s="4" t="s">
        <v>41</v>
      </c>
      <c r="C556" s="4" t="s">
        <v>44</v>
      </c>
      <c r="D556" s="4" t="s">
        <v>45</v>
      </c>
      <c r="E556" s="4" t="s">
        <v>25</v>
      </c>
      <c r="F556" s="4" t="s">
        <v>25</v>
      </c>
      <c r="G556" s="4" t="s">
        <v>25</v>
      </c>
      <c r="H556" s="4" t="s">
        <v>36</v>
      </c>
      <c r="I556" s="5">
        <v>44621</v>
      </c>
      <c r="J556" s="6">
        <v>0</v>
      </c>
      <c r="K556" s="6">
        <v>0</v>
      </c>
      <c r="L556" s="6">
        <v>265.85700000000003</v>
      </c>
      <c r="M556" s="6">
        <v>265.85700000000003</v>
      </c>
      <c r="N556" s="6">
        <v>265.85700000000003</v>
      </c>
      <c r="O556" s="6">
        <v>265.85700000000003</v>
      </c>
      <c r="P556" s="6">
        <v>0</v>
      </c>
      <c r="Q556" s="4" t="s">
        <v>26</v>
      </c>
      <c r="R556" s="4">
        <v>0</v>
      </c>
      <c r="S556" s="6">
        <v>0</v>
      </c>
      <c r="T556" s="6">
        <v>28</v>
      </c>
      <c r="U556" s="6">
        <v>74</v>
      </c>
      <c r="V556" s="6">
        <f>IF(ISERROR(VLOOKUP($S$556,'TAR FIN'!$A$1:$O$115,15,0)),0,VLOOKUP($S$556,'TAR FIN'!$A$1:$O$115,15,0))</f>
        <v>0</v>
      </c>
      <c r="W556" s="6">
        <f>IF(ISERROR(VLOOKUP($T$556,'TAR FIN'!$A$1:$O$115,15,0)),0,VLOOKUP($T$556,'TAR FIN'!$A$1:$O$115,15,0))</f>
        <v>1448.96</v>
      </c>
      <c r="X556" s="6">
        <f>IF(ISERROR(VLOOKUP($U$556,'TAR FIN'!$A$1:$O$115,15,0)),0,VLOOKUP($U$556,'TAR FIN'!$A$1:$O$115,15,0))</f>
        <v>270.3</v>
      </c>
      <c r="Y556" s="6"/>
      <c r="Z556" s="6">
        <f ca="1">('TUSD BE'!$AM$28+'TUSD BF'!$AM$28+'TUSD CVA'!$AM$28)*1</f>
        <v>1480.1280206491922</v>
      </c>
      <c r="AA556" s="6">
        <f>('TE BE'!$AB$11+'TE BF'!$AB$11+'TE CVA'!$AB$11)*1</f>
        <v>362.64398683254075</v>
      </c>
      <c r="AB556" s="6">
        <f>$K$556*$V$556</f>
        <v>0</v>
      </c>
      <c r="AC556" s="6">
        <f>$M$556*$W$556</f>
        <v>385216.15872000006</v>
      </c>
      <c r="AD556" s="6">
        <f>$O$556*$X$556</f>
        <v>71861.147100000017</v>
      </c>
      <c r="AE556" s="6">
        <f>$K$556*$Y$556</f>
        <v>0</v>
      </c>
      <c r="AF556" s="6">
        <f ca="1">$M$556*$Z$556</f>
        <v>393502.39518573234</v>
      </c>
      <c r="AG556" s="6">
        <f>$O$556*$AA$556</f>
        <v>96411.442407338793</v>
      </c>
    </row>
    <row r="557" spans="1:33" ht="11.25" customHeight="1" x14ac:dyDescent="0.25">
      <c r="A557" s="4" t="s">
        <v>28</v>
      </c>
      <c r="B557" s="4" t="s">
        <v>41</v>
      </c>
      <c r="C557" s="4" t="s">
        <v>44</v>
      </c>
      <c r="D557" s="4" t="s">
        <v>45</v>
      </c>
      <c r="E557" s="4" t="s">
        <v>25</v>
      </c>
      <c r="F557" s="4" t="s">
        <v>25</v>
      </c>
      <c r="G557" s="4" t="s">
        <v>25</v>
      </c>
      <c r="H557" s="4" t="s">
        <v>36</v>
      </c>
      <c r="I557" s="5">
        <v>44621</v>
      </c>
      <c r="J557" s="6">
        <v>0</v>
      </c>
      <c r="K557" s="6">
        <v>0</v>
      </c>
      <c r="L557" s="6">
        <v>52.104999999999997</v>
      </c>
      <c r="M557" s="6">
        <v>52.104999999999997</v>
      </c>
      <c r="N557" s="6">
        <v>52.104999999999997</v>
      </c>
      <c r="O557" s="6">
        <v>52.104999999999997</v>
      </c>
      <c r="P557" s="6">
        <v>0</v>
      </c>
      <c r="Q557" s="4" t="s">
        <v>26</v>
      </c>
      <c r="R557" s="4">
        <v>0</v>
      </c>
      <c r="S557" s="6">
        <v>0</v>
      </c>
      <c r="T557" s="6">
        <v>28</v>
      </c>
      <c r="U557" s="6">
        <v>74</v>
      </c>
      <c r="V557" s="6">
        <f>IF(ISERROR(VLOOKUP($S$557,'TAR FIN'!$A$1:$O$115,15,0)),0,VLOOKUP($S$557,'TAR FIN'!$A$1:$O$115,15,0))</f>
        <v>0</v>
      </c>
      <c r="W557" s="6">
        <f>IF(ISERROR(VLOOKUP($T$557,'TAR FIN'!$A$1:$O$115,15,0)),0,VLOOKUP($T$557,'TAR FIN'!$A$1:$O$115,15,0))</f>
        <v>1448.96</v>
      </c>
      <c r="X557" s="6">
        <f>IF(ISERROR(VLOOKUP($U$557,'TAR FIN'!$A$1:$O$115,15,0)),0,VLOOKUP($U$557,'TAR FIN'!$A$1:$O$115,15,0))</f>
        <v>270.3</v>
      </c>
      <c r="Y557" s="6"/>
      <c r="Z557" s="6">
        <f ca="1">('TUSD BE'!$AM$28+'TUSD BF'!$AM$28+'TUSD CVA'!$AM$28)*1</f>
        <v>1480.1280206491922</v>
      </c>
      <c r="AA557" s="6">
        <f>('TE BE'!$AB$11+'TE BF'!$AB$11+'TE CVA'!$AB$11)*1</f>
        <v>362.64398683254075</v>
      </c>
      <c r="AB557" s="6">
        <f>$K$557*$V$557</f>
        <v>0</v>
      </c>
      <c r="AC557" s="6">
        <f>$M$557*$W$557</f>
        <v>75498.060799999992</v>
      </c>
      <c r="AD557" s="6">
        <f>$O$557*$X$557</f>
        <v>14083.9815</v>
      </c>
      <c r="AE557" s="6">
        <f>$K$557*$Y$557</f>
        <v>0</v>
      </c>
      <c r="AF557" s="6">
        <f ca="1">$M$557*$Z$557</f>
        <v>77122.070515926156</v>
      </c>
      <c r="AG557" s="6">
        <f>$O$557*$AA$557</f>
        <v>18895.564933909536</v>
      </c>
    </row>
    <row r="558" spans="1:33" ht="11.25" customHeight="1" x14ac:dyDescent="0.25">
      <c r="A558" s="4" t="s">
        <v>30</v>
      </c>
      <c r="B558" s="4" t="s">
        <v>41</v>
      </c>
      <c r="C558" s="4" t="s">
        <v>44</v>
      </c>
      <c r="D558" s="4" t="s">
        <v>45</v>
      </c>
      <c r="E558" s="4" t="s">
        <v>25</v>
      </c>
      <c r="F558" s="4" t="s">
        <v>25</v>
      </c>
      <c r="G558" s="4" t="s">
        <v>25</v>
      </c>
      <c r="H558" s="4" t="s">
        <v>36</v>
      </c>
      <c r="I558" s="5">
        <v>44621</v>
      </c>
      <c r="J558" s="6">
        <v>0</v>
      </c>
      <c r="K558" s="6">
        <v>0</v>
      </c>
      <c r="L558" s="6">
        <v>32.061</v>
      </c>
      <c r="M558" s="6">
        <v>32.061</v>
      </c>
      <c r="N558" s="6">
        <v>32.061</v>
      </c>
      <c r="O558" s="6">
        <v>32.061</v>
      </c>
      <c r="P558" s="6">
        <v>0</v>
      </c>
      <c r="Q558" s="4" t="s">
        <v>26</v>
      </c>
      <c r="R558" s="4">
        <v>0</v>
      </c>
      <c r="S558" s="6">
        <v>0</v>
      </c>
      <c r="T558" s="6">
        <v>28</v>
      </c>
      <c r="U558" s="6">
        <v>74</v>
      </c>
      <c r="V558" s="6">
        <f>IF(ISERROR(VLOOKUP($S$558,'TAR FIN'!$A$1:$O$115,15,0)),0,VLOOKUP($S$558,'TAR FIN'!$A$1:$O$115,15,0))</f>
        <v>0</v>
      </c>
      <c r="W558" s="6">
        <f>IF(ISERROR(VLOOKUP($T$558,'TAR FIN'!$A$1:$O$115,15,0)),0,VLOOKUP($T$558,'TAR FIN'!$A$1:$O$115,15,0))</f>
        <v>1448.96</v>
      </c>
      <c r="X558" s="6">
        <f>IF(ISERROR(VLOOKUP($U$558,'TAR FIN'!$A$1:$O$115,15,0)),0,VLOOKUP($U$558,'TAR FIN'!$A$1:$O$115,15,0))</f>
        <v>270.3</v>
      </c>
      <c r="Y558" s="6"/>
      <c r="Z558" s="6">
        <f ca="1">('TUSD BE'!$AM$28+'TUSD BF'!$AM$28+'TUSD CVA'!$AM$28)*1</f>
        <v>1480.1280206491922</v>
      </c>
      <c r="AA558" s="6">
        <f>('TE BE'!$AB$11+'TE BF'!$AB$11+'TE CVA'!$AB$11)*1</f>
        <v>362.64398683254075</v>
      </c>
      <c r="AB558" s="6">
        <f>$K$558*$V$558</f>
        <v>0</v>
      </c>
      <c r="AC558" s="6">
        <f>$M$558*$W$558</f>
        <v>46455.10656</v>
      </c>
      <c r="AD558" s="6">
        <f>$O$558*$X$558</f>
        <v>8666.0883000000013</v>
      </c>
      <c r="AE558" s="6">
        <f>$K$558*$Y$558</f>
        <v>0</v>
      </c>
      <c r="AF558" s="6">
        <f ca="1">$M$558*$Z$558</f>
        <v>47454.38447003375</v>
      </c>
      <c r="AG558" s="6">
        <f>$O$558*$AA$558</f>
        <v>11626.728861838088</v>
      </c>
    </row>
    <row r="559" spans="1:33" ht="11.25" customHeight="1" x14ac:dyDescent="0.25">
      <c r="A559" s="4" t="s">
        <v>21</v>
      </c>
      <c r="B559" s="4" t="s">
        <v>41</v>
      </c>
      <c r="C559" s="4" t="s">
        <v>44</v>
      </c>
      <c r="D559" s="4" t="s">
        <v>45</v>
      </c>
      <c r="E559" s="4" t="s">
        <v>25</v>
      </c>
      <c r="F559" s="4" t="s">
        <v>25</v>
      </c>
      <c r="G559" s="4" t="s">
        <v>25</v>
      </c>
      <c r="H559" s="4" t="s">
        <v>36</v>
      </c>
      <c r="I559" s="5">
        <v>44652</v>
      </c>
      <c r="J559" s="6">
        <v>0</v>
      </c>
      <c r="K559" s="6">
        <v>0</v>
      </c>
      <c r="L559" s="6">
        <v>259.41300000000001</v>
      </c>
      <c r="M559" s="6">
        <v>259.41300000000001</v>
      </c>
      <c r="N559" s="6">
        <v>259.41300000000001</v>
      </c>
      <c r="O559" s="6">
        <v>259.41300000000001</v>
      </c>
      <c r="P559" s="6">
        <v>0</v>
      </c>
      <c r="Q559" s="4" t="s">
        <v>26</v>
      </c>
      <c r="R559" s="4">
        <v>0</v>
      </c>
      <c r="S559" s="6">
        <v>0</v>
      </c>
      <c r="T559" s="6">
        <v>28</v>
      </c>
      <c r="U559" s="6">
        <v>74</v>
      </c>
      <c r="V559" s="6">
        <f>IF(ISERROR(VLOOKUP($S$559,'TAR FIN'!$A$1:$O$115,15,0)),0,VLOOKUP($S$559,'TAR FIN'!$A$1:$O$115,15,0))</f>
        <v>0</v>
      </c>
      <c r="W559" s="6">
        <f>IF(ISERROR(VLOOKUP($T$559,'TAR FIN'!$A$1:$O$115,15,0)),0,VLOOKUP($T$559,'TAR FIN'!$A$1:$O$115,15,0))</f>
        <v>1448.96</v>
      </c>
      <c r="X559" s="6">
        <f>IF(ISERROR(VLOOKUP($U$559,'TAR FIN'!$A$1:$O$115,15,0)),0,VLOOKUP($U$559,'TAR FIN'!$A$1:$O$115,15,0))</f>
        <v>270.3</v>
      </c>
      <c r="Y559" s="6"/>
      <c r="Z559" s="6">
        <f ca="1">('TUSD BE'!$AM$28+'TUSD BF'!$AM$28+'TUSD CVA'!$AM$28)*1</f>
        <v>1480.1280206491922</v>
      </c>
      <c r="AA559" s="6">
        <f>('TE BE'!$AB$11+'TE BF'!$AB$11+'TE CVA'!$AB$11)*1</f>
        <v>362.64398683254075</v>
      </c>
      <c r="AB559" s="6">
        <f>$K$559*$V$559</f>
        <v>0</v>
      </c>
      <c r="AC559" s="6">
        <f>$M$559*$W$559</f>
        <v>375879.06048000004</v>
      </c>
      <c r="AD559" s="6">
        <f>$O$559*$X$559</f>
        <v>70119.333900000012</v>
      </c>
      <c r="AE559" s="6">
        <f>$K$559*$Y$559</f>
        <v>0</v>
      </c>
      <c r="AF559" s="6">
        <f ca="1">$M$559*$Z$559</f>
        <v>383964.45022066892</v>
      </c>
      <c r="AG559" s="6">
        <f>$O$559*$AA$559</f>
        <v>94074.5645561899</v>
      </c>
    </row>
    <row r="560" spans="1:33" ht="11.25" customHeight="1" x14ac:dyDescent="0.25">
      <c r="A560" s="4" t="s">
        <v>28</v>
      </c>
      <c r="B560" s="4" t="s">
        <v>41</v>
      </c>
      <c r="C560" s="4" t="s">
        <v>44</v>
      </c>
      <c r="D560" s="4" t="s">
        <v>45</v>
      </c>
      <c r="E560" s="4" t="s">
        <v>25</v>
      </c>
      <c r="F560" s="4" t="s">
        <v>25</v>
      </c>
      <c r="G560" s="4" t="s">
        <v>25</v>
      </c>
      <c r="H560" s="4" t="s">
        <v>36</v>
      </c>
      <c r="I560" s="5">
        <v>44652</v>
      </c>
      <c r="J560" s="6">
        <v>0</v>
      </c>
      <c r="K560" s="6">
        <v>0</v>
      </c>
      <c r="L560" s="6">
        <v>54.31</v>
      </c>
      <c r="M560" s="6">
        <v>54.31</v>
      </c>
      <c r="N560" s="6">
        <v>54.31</v>
      </c>
      <c r="O560" s="6">
        <v>54.31</v>
      </c>
      <c r="P560" s="6">
        <v>0</v>
      </c>
      <c r="Q560" s="4" t="s">
        <v>26</v>
      </c>
      <c r="R560" s="4">
        <v>0</v>
      </c>
      <c r="S560" s="6">
        <v>0</v>
      </c>
      <c r="T560" s="6">
        <v>28</v>
      </c>
      <c r="U560" s="6">
        <v>74</v>
      </c>
      <c r="V560" s="6">
        <f>IF(ISERROR(VLOOKUP($S$560,'TAR FIN'!$A$1:$O$115,15,0)),0,VLOOKUP($S$560,'TAR FIN'!$A$1:$O$115,15,0))</f>
        <v>0</v>
      </c>
      <c r="W560" s="6">
        <f>IF(ISERROR(VLOOKUP($T$560,'TAR FIN'!$A$1:$O$115,15,0)),0,VLOOKUP($T$560,'TAR FIN'!$A$1:$O$115,15,0))</f>
        <v>1448.96</v>
      </c>
      <c r="X560" s="6">
        <f>IF(ISERROR(VLOOKUP($U$560,'TAR FIN'!$A$1:$O$115,15,0)),0,VLOOKUP($U$560,'TAR FIN'!$A$1:$O$115,15,0))</f>
        <v>270.3</v>
      </c>
      <c r="Y560" s="6"/>
      <c r="Z560" s="6">
        <f ca="1">('TUSD BE'!$AM$28+'TUSD BF'!$AM$28+'TUSD CVA'!$AM$28)*1</f>
        <v>1480.1280206491922</v>
      </c>
      <c r="AA560" s="6">
        <f>('TE BE'!$AB$11+'TE BF'!$AB$11+'TE CVA'!$AB$11)*1</f>
        <v>362.64398683254075</v>
      </c>
      <c r="AB560" s="6">
        <f>$K$560*$V$560</f>
        <v>0</v>
      </c>
      <c r="AC560" s="6">
        <f>$M$560*$W$560</f>
        <v>78693.017600000006</v>
      </c>
      <c r="AD560" s="6">
        <f>$O$560*$X$560</f>
        <v>14679.993</v>
      </c>
      <c r="AE560" s="6">
        <f>$K$560*$Y$560</f>
        <v>0</v>
      </c>
      <c r="AF560" s="6">
        <f ca="1">$M$560*$Z$560</f>
        <v>80385.752801457638</v>
      </c>
      <c r="AG560" s="6">
        <f>$O$560*$AA$560</f>
        <v>19695.19492487529</v>
      </c>
    </row>
    <row r="561" spans="1:33" ht="11.25" customHeight="1" x14ac:dyDescent="0.25">
      <c r="A561" s="4" t="s">
        <v>30</v>
      </c>
      <c r="B561" s="4" t="s">
        <v>41</v>
      </c>
      <c r="C561" s="4" t="s">
        <v>44</v>
      </c>
      <c r="D561" s="4" t="s">
        <v>45</v>
      </c>
      <c r="E561" s="4" t="s">
        <v>25</v>
      </c>
      <c r="F561" s="4" t="s">
        <v>25</v>
      </c>
      <c r="G561" s="4" t="s">
        <v>25</v>
      </c>
      <c r="H561" s="4" t="s">
        <v>36</v>
      </c>
      <c r="I561" s="5">
        <v>44652</v>
      </c>
      <c r="J561" s="6">
        <v>0</v>
      </c>
      <c r="K561" s="6">
        <v>0</v>
      </c>
      <c r="L561" s="6">
        <v>34.238</v>
      </c>
      <c r="M561" s="6">
        <v>34.238</v>
      </c>
      <c r="N561" s="6">
        <v>34.238</v>
      </c>
      <c r="O561" s="6">
        <v>34.238</v>
      </c>
      <c r="P561" s="6">
        <v>0</v>
      </c>
      <c r="Q561" s="4" t="s">
        <v>26</v>
      </c>
      <c r="R561" s="4">
        <v>0</v>
      </c>
      <c r="S561" s="6">
        <v>0</v>
      </c>
      <c r="T561" s="6">
        <v>28</v>
      </c>
      <c r="U561" s="6">
        <v>74</v>
      </c>
      <c r="V561" s="6">
        <f>IF(ISERROR(VLOOKUP($S$561,'TAR FIN'!$A$1:$O$115,15,0)),0,VLOOKUP($S$561,'TAR FIN'!$A$1:$O$115,15,0))</f>
        <v>0</v>
      </c>
      <c r="W561" s="6">
        <f>IF(ISERROR(VLOOKUP($T$561,'TAR FIN'!$A$1:$O$115,15,0)),0,VLOOKUP($T$561,'TAR FIN'!$A$1:$O$115,15,0))</f>
        <v>1448.96</v>
      </c>
      <c r="X561" s="6">
        <f>IF(ISERROR(VLOOKUP($U$561,'TAR FIN'!$A$1:$O$115,15,0)),0,VLOOKUP($U$561,'TAR FIN'!$A$1:$O$115,15,0))</f>
        <v>270.3</v>
      </c>
      <c r="Y561" s="6"/>
      <c r="Z561" s="6">
        <f ca="1">('TUSD BE'!$AM$28+'TUSD BF'!$AM$28+'TUSD CVA'!$AM$28)*1</f>
        <v>1480.1280206491922</v>
      </c>
      <c r="AA561" s="6">
        <f>('TE BE'!$AB$11+'TE BF'!$AB$11+'TE CVA'!$AB$11)*1</f>
        <v>362.64398683254075</v>
      </c>
      <c r="AB561" s="6">
        <f>$K$561*$V$561</f>
        <v>0</v>
      </c>
      <c r="AC561" s="6">
        <f>$M$561*$W$561</f>
        <v>49609.492480000001</v>
      </c>
      <c r="AD561" s="6">
        <f>$O$561*$X$561</f>
        <v>9254.5313999999998</v>
      </c>
      <c r="AE561" s="6">
        <f>$K$561*$Y$561</f>
        <v>0</v>
      </c>
      <c r="AF561" s="6">
        <f ca="1">$M$561*$Z$561</f>
        <v>50676.623170987041</v>
      </c>
      <c r="AG561" s="6">
        <f>$O$561*$AA$561</f>
        <v>12416.204821172531</v>
      </c>
    </row>
    <row r="562" spans="1:33" ht="11.25" customHeight="1" x14ac:dyDescent="0.25">
      <c r="A562" s="4" t="s">
        <v>21</v>
      </c>
      <c r="B562" s="4" t="s">
        <v>41</v>
      </c>
      <c r="C562" s="4" t="s">
        <v>44</v>
      </c>
      <c r="D562" s="4" t="s">
        <v>45</v>
      </c>
      <c r="E562" s="4" t="s">
        <v>25</v>
      </c>
      <c r="F562" s="4" t="s">
        <v>25</v>
      </c>
      <c r="G562" s="4" t="s">
        <v>25</v>
      </c>
      <c r="H562" s="4" t="s">
        <v>36</v>
      </c>
      <c r="I562" s="5">
        <v>44682</v>
      </c>
      <c r="J562" s="6">
        <v>0</v>
      </c>
      <c r="K562" s="6">
        <v>0</v>
      </c>
      <c r="L562" s="6">
        <v>271.209</v>
      </c>
      <c r="M562" s="6">
        <v>271.209</v>
      </c>
      <c r="N562" s="6">
        <v>271.209</v>
      </c>
      <c r="O562" s="6">
        <v>271.209</v>
      </c>
      <c r="P562" s="6">
        <v>0</v>
      </c>
      <c r="Q562" s="4" t="s">
        <v>26</v>
      </c>
      <c r="R562" s="4">
        <v>0</v>
      </c>
      <c r="S562" s="6">
        <v>0</v>
      </c>
      <c r="T562" s="6">
        <v>28</v>
      </c>
      <c r="U562" s="6">
        <v>74</v>
      </c>
      <c r="V562" s="6">
        <f>IF(ISERROR(VLOOKUP($S$562,'TAR FIN'!$A$1:$O$115,15,0)),0,VLOOKUP($S$562,'TAR FIN'!$A$1:$O$115,15,0))</f>
        <v>0</v>
      </c>
      <c r="W562" s="6">
        <f>IF(ISERROR(VLOOKUP($T$562,'TAR FIN'!$A$1:$O$115,15,0)),0,VLOOKUP($T$562,'TAR FIN'!$A$1:$O$115,15,0))</f>
        <v>1448.96</v>
      </c>
      <c r="X562" s="6">
        <f>IF(ISERROR(VLOOKUP($U$562,'TAR FIN'!$A$1:$O$115,15,0)),0,VLOOKUP($U$562,'TAR FIN'!$A$1:$O$115,15,0))</f>
        <v>270.3</v>
      </c>
      <c r="Y562" s="6"/>
      <c r="Z562" s="6">
        <f ca="1">('TUSD BE'!$AM$28+'TUSD BF'!$AM$28+'TUSD CVA'!$AM$28)*1</f>
        <v>1480.1280206491922</v>
      </c>
      <c r="AA562" s="6">
        <f>('TE BE'!$AB$11+'TE BF'!$AB$11+'TE CVA'!$AB$11)*1</f>
        <v>362.64398683254075</v>
      </c>
      <c r="AB562" s="6">
        <f>$K$562*$V$562</f>
        <v>0</v>
      </c>
      <c r="AC562" s="6">
        <f>$M$562*$W$562</f>
        <v>392970.99264000001</v>
      </c>
      <c r="AD562" s="6">
        <f>$O$562*$X$562</f>
        <v>73307.792700000005</v>
      </c>
      <c r="AE562" s="6">
        <f>$K$562*$Y$562</f>
        <v>0</v>
      </c>
      <c r="AF562" s="6">
        <f ca="1">$M$562*$Z$562</f>
        <v>401424.04035224678</v>
      </c>
      <c r="AG562" s="6">
        <f>$O$562*$AA$562</f>
        <v>98352.31302486654</v>
      </c>
    </row>
    <row r="563" spans="1:33" ht="11.25" customHeight="1" x14ac:dyDescent="0.25">
      <c r="A563" s="4" t="s">
        <v>28</v>
      </c>
      <c r="B563" s="4" t="s">
        <v>41</v>
      </c>
      <c r="C563" s="4" t="s">
        <v>44</v>
      </c>
      <c r="D563" s="4" t="s">
        <v>45</v>
      </c>
      <c r="E563" s="4" t="s">
        <v>25</v>
      </c>
      <c r="F563" s="4" t="s">
        <v>25</v>
      </c>
      <c r="G563" s="4" t="s">
        <v>25</v>
      </c>
      <c r="H563" s="4" t="s">
        <v>36</v>
      </c>
      <c r="I563" s="5">
        <v>44682</v>
      </c>
      <c r="J563" s="6">
        <v>0</v>
      </c>
      <c r="K563" s="6">
        <v>0</v>
      </c>
      <c r="L563" s="6">
        <v>53.814</v>
      </c>
      <c r="M563" s="6">
        <v>53.814</v>
      </c>
      <c r="N563" s="6">
        <v>53.814</v>
      </c>
      <c r="O563" s="6">
        <v>53.814</v>
      </c>
      <c r="P563" s="6">
        <v>0</v>
      </c>
      <c r="Q563" s="4" t="s">
        <v>26</v>
      </c>
      <c r="R563" s="4">
        <v>0</v>
      </c>
      <c r="S563" s="6">
        <v>0</v>
      </c>
      <c r="T563" s="6">
        <v>28</v>
      </c>
      <c r="U563" s="6">
        <v>74</v>
      </c>
      <c r="V563" s="6">
        <f>IF(ISERROR(VLOOKUP($S$563,'TAR FIN'!$A$1:$O$115,15,0)),0,VLOOKUP($S$563,'TAR FIN'!$A$1:$O$115,15,0))</f>
        <v>0</v>
      </c>
      <c r="W563" s="6">
        <f>IF(ISERROR(VLOOKUP($T$563,'TAR FIN'!$A$1:$O$115,15,0)),0,VLOOKUP($T$563,'TAR FIN'!$A$1:$O$115,15,0))</f>
        <v>1448.96</v>
      </c>
      <c r="X563" s="6">
        <f>IF(ISERROR(VLOOKUP($U$563,'TAR FIN'!$A$1:$O$115,15,0)),0,VLOOKUP($U$563,'TAR FIN'!$A$1:$O$115,15,0))</f>
        <v>270.3</v>
      </c>
      <c r="Y563" s="6"/>
      <c r="Z563" s="6">
        <f ca="1">('TUSD BE'!$AM$28+'TUSD BF'!$AM$28+'TUSD CVA'!$AM$28)*1</f>
        <v>1480.1280206491922</v>
      </c>
      <c r="AA563" s="6">
        <f>('TE BE'!$AB$11+'TE BF'!$AB$11+'TE CVA'!$AB$11)*1</f>
        <v>362.64398683254075</v>
      </c>
      <c r="AB563" s="6">
        <f>$K$563*$V$563</f>
        <v>0</v>
      </c>
      <c r="AC563" s="6">
        <f>$M$563*$W$563</f>
        <v>77974.333440000002</v>
      </c>
      <c r="AD563" s="6">
        <f>$O$563*$X$563</f>
        <v>14545.924200000001</v>
      </c>
      <c r="AE563" s="6">
        <f>$K$563*$Y$563</f>
        <v>0</v>
      </c>
      <c r="AF563" s="6">
        <f ca="1">$M$563*$Z$563</f>
        <v>79651.609303215635</v>
      </c>
      <c r="AG563" s="6">
        <f>$O$563*$AA$563</f>
        <v>19515.323507406349</v>
      </c>
    </row>
    <row r="564" spans="1:33" ht="11.25" customHeight="1" x14ac:dyDescent="0.25">
      <c r="A564" s="4" t="s">
        <v>30</v>
      </c>
      <c r="B564" s="4" t="s">
        <v>41</v>
      </c>
      <c r="C564" s="4" t="s">
        <v>44</v>
      </c>
      <c r="D564" s="4" t="s">
        <v>45</v>
      </c>
      <c r="E564" s="4" t="s">
        <v>25</v>
      </c>
      <c r="F564" s="4" t="s">
        <v>25</v>
      </c>
      <c r="G564" s="4" t="s">
        <v>25</v>
      </c>
      <c r="H564" s="4" t="s">
        <v>36</v>
      </c>
      <c r="I564" s="5">
        <v>44682</v>
      </c>
      <c r="J564" s="6">
        <v>0</v>
      </c>
      <c r="K564" s="6">
        <v>0</v>
      </c>
      <c r="L564" s="6">
        <v>35.53</v>
      </c>
      <c r="M564" s="6">
        <v>35.53</v>
      </c>
      <c r="N564" s="6">
        <v>35.53</v>
      </c>
      <c r="O564" s="6">
        <v>35.53</v>
      </c>
      <c r="P564" s="6">
        <v>0</v>
      </c>
      <c r="Q564" s="4" t="s">
        <v>26</v>
      </c>
      <c r="R564" s="4">
        <v>0</v>
      </c>
      <c r="S564" s="6">
        <v>0</v>
      </c>
      <c r="T564" s="6">
        <v>28</v>
      </c>
      <c r="U564" s="6">
        <v>74</v>
      </c>
      <c r="V564" s="6">
        <f>IF(ISERROR(VLOOKUP($S$564,'TAR FIN'!$A$1:$O$115,15,0)),0,VLOOKUP($S$564,'TAR FIN'!$A$1:$O$115,15,0))</f>
        <v>0</v>
      </c>
      <c r="W564" s="6">
        <f>IF(ISERROR(VLOOKUP($T$564,'TAR FIN'!$A$1:$O$115,15,0)),0,VLOOKUP($T$564,'TAR FIN'!$A$1:$O$115,15,0))</f>
        <v>1448.96</v>
      </c>
      <c r="X564" s="6">
        <f>IF(ISERROR(VLOOKUP($U$564,'TAR FIN'!$A$1:$O$115,15,0)),0,VLOOKUP($U$564,'TAR FIN'!$A$1:$O$115,15,0))</f>
        <v>270.3</v>
      </c>
      <c r="Y564" s="6"/>
      <c r="Z564" s="6">
        <f ca="1">('TUSD BE'!$AM$28+'TUSD BF'!$AM$28+'TUSD CVA'!$AM$28)*1</f>
        <v>1480.1280206491922</v>
      </c>
      <c r="AA564" s="6">
        <f>('TE BE'!$AB$11+'TE BF'!$AB$11+'TE CVA'!$AB$11)*1</f>
        <v>362.64398683254075</v>
      </c>
      <c r="AB564" s="6">
        <f>$K$564*$V$564</f>
        <v>0</v>
      </c>
      <c r="AC564" s="6">
        <f>$M$564*$W$564</f>
        <v>51481.548800000004</v>
      </c>
      <c r="AD564" s="6">
        <f>$O$564*$X$564</f>
        <v>9603.759</v>
      </c>
      <c r="AE564" s="6">
        <f>$K$564*$Y$564</f>
        <v>0</v>
      </c>
      <c r="AF564" s="6">
        <f ca="1">$M$564*$Z$564</f>
        <v>52588.948573665803</v>
      </c>
      <c r="AG564" s="6">
        <f>$O$564*$AA$564</f>
        <v>12884.740852160174</v>
      </c>
    </row>
    <row r="565" spans="1:33" ht="11.25" customHeight="1" x14ac:dyDescent="0.25">
      <c r="A565" s="4" t="s">
        <v>21</v>
      </c>
      <c r="B565" s="4" t="s">
        <v>41</v>
      </c>
      <c r="C565" s="4" t="s">
        <v>44</v>
      </c>
      <c r="D565" s="4" t="s">
        <v>45</v>
      </c>
      <c r="E565" s="4" t="s">
        <v>25</v>
      </c>
      <c r="F565" s="4" t="s">
        <v>25</v>
      </c>
      <c r="G565" s="4" t="s">
        <v>25</v>
      </c>
      <c r="H565" s="4" t="s">
        <v>36</v>
      </c>
      <c r="I565" s="5">
        <v>44713</v>
      </c>
      <c r="J565" s="6">
        <v>0</v>
      </c>
      <c r="K565" s="6">
        <v>0</v>
      </c>
      <c r="L565" s="6">
        <v>257.512</v>
      </c>
      <c r="M565" s="6">
        <v>257.512</v>
      </c>
      <c r="N565" s="6">
        <v>257.512</v>
      </c>
      <c r="O565" s="6">
        <v>257.512</v>
      </c>
      <c r="P565" s="6">
        <v>0</v>
      </c>
      <c r="Q565" s="4" t="s">
        <v>26</v>
      </c>
      <c r="R565" s="4">
        <v>0</v>
      </c>
      <c r="S565" s="6">
        <v>0</v>
      </c>
      <c r="T565" s="6">
        <v>28</v>
      </c>
      <c r="U565" s="6">
        <v>74</v>
      </c>
      <c r="V565" s="6">
        <f>IF(ISERROR(VLOOKUP($S$565,'TAR FIN'!$A$1:$O$115,15,0)),0,VLOOKUP($S$565,'TAR FIN'!$A$1:$O$115,15,0))</f>
        <v>0</v>
      </c>
      <c r="W565" s="6">
        <f>IF(ISERROR(VLOOKUP($T$565,'TAR FIN'!$A$1:$O$115,15,0)),0,VLOOKUP($T$565,'TAR FIN'!$A$1:$O$115,15,0))</f>
        <v>1448.96</v>
      </c>
      <c r="X565" s="6">
        <f>IF(ISERROR(VLOOKUP($U$565,'TAR FIN'!$A$1:$O$115,15,0)),0,VLOOKUP($U$565,'TAR FIN'!$A$1:$O$115,15,0))</f>
        <v>270.3</v>
      </c>
      <c r="Y565" s="6"/>
      <c r="Z565" s="6">
        <f ca="1">('TUSD BE'!$AM$28+'TUSD BF'!$AM$28+'TUSD CVA'!$AM$28)*1</f>
        <v>1480.1280206491922</v>
      </c>
      <c r="AA565" s="6">
        <f>('TE BE'!$AB$11+'TE BF'!$AB$11+'TE CVA'!$AB$11)*1</f>
        <v>362.64398683254075</v>
      </c>
      <c r="AB565" s="6">
        <f>$K$565*$V$565</f>
        <v>0</v>
      </c>
      <c r="AC565" s="6">
        <f>$M$565*$W$565</f>
        <v>373124.58752</v>
      </c>
      <c r="AD565" s="6">
        <f>$O$565*$X$565</f>
        <v>69605.493600000002</v>
      </c>
      <c r="AE565" s="6">
        <f>$K$565*$Y$565</f>
        <v>0</v>
      </c>
      <c r="AF565" s="6">
        <f ca="1">$M$565*$Z$565</f>
        <v>381150.72685341479</v>
      </c>
      <c r="AG565" s="6">
        <f>$O$565*$AA$565</f>
        <v>93385.178337221238</v>
      </c>
    </row>
    <row r="566" spans="1:33" ht="11.25" customHeight="1" x14ac:dyDescent="0.25">
      <c r="A566" s="4" t="s">
        <v>27</v>
      </c>
      <c r="B566" s="4" t="s">
        <v>41</v>
      </c>
      <c r="C566" s="4" t="s">
        <v>44</v>
      </c>
      <c r="D566" s="4" t="s">
        <v>45</v>
      </c>
      <c r="E566" s="4" t="s">
        <v>25</v>
      </c>
      <c r="F566" s="4" t="s">
        <v>25</v>
      </c>
      <c r="G566" s="4" t="s">
        <v>25</v>
      </c>
      <c r="H566" s="4" t="s">
        <v>36</v>
      </c>
      <c r="I566" s="5">
        <v>44713</v>
      </c>
      <c r="J566" s="6">
        <v>0</v>
      </c>
      <c r="K566" s="6">
        <v>0</v>
      </c>
      <c r="L566" s="6">
        <v>0.34100000000000003</v>
      </c>
      <c r="M566" s="6">
        <v>0.34100000000000003</v>
      </c>
      <c r="N566" s="6">
        <v>0.34100000000000003</v>
      </c>
      <c r="O566" s="6">
        <v>0.34100000000000003</v>
      </c>
      <c r="P566" s="6">
        <v>0</v>
      </c>
      <c r="Q566" s="4" t="s">
        <v>26</v>
      </c>
      <c r="R566" s="4">
        <v>0</v>
      </c>
      <c r="S566" s="6">
        <v>0</v>
      </c>
      <c r="T566" s="6">
        <v>28</v>
      </c>
      <c r="U566" s="6">
        <v>74</v>
      </c>
      <c r="V566" s="6">
        <f>IF(ISERROR(VLOOKUP($S$566,'TAR FIN'!$A$1:$O$115,15,0)),0,VLOOKUP($S$566,'TAR FIN'!$A$1:$O$115,15,0))</f>
        <v>0</v>
      </c>
      <c r="W566" s="6">
        <f>IF(ISERROR(VLOOKUP($T$566,'TAR FIN'!$A$1:$O$115,15,0)),0,VLOOKUP($T$566,'TAR FIN'!$A$1:$O$115,15,0))</f>
        <v>1448.96</v>
      </c>
      <c r="X566" s="6">
        <f>IF(ISERROR(VLOOKUP($U$566,'TAR FIN'!$A$1:$O$115,15,0)),0,VLOOKUP($U$566,'TAR FIN'!$A$1:$O$115,15,0))</f>
        <v>270.3</v>
      </c>
      <c r="Y566" s="6"/>
      <c r="Z566" s="6">
        <f ca="1">('TUSD BE'!$AM$28+'TUSD BF'!$AM$28+'TUSD CVA'!$AM$28)*1</f>
        <v>1480.1280206491922</v>
      </c>
      <c r="AA566" s="6">
        <f>('TE BE'!$AB$11+'TE BF'!$AB$11+'TE CVA'!$AB$11)*1</f>
        <v>362.64398683254075</v>
      </c>
      <c r="AB566" s="6">
        <f>$K$566*$V$566</f>
        <v>0</v>
      </c>
      <c r="AC566" s="6">
        <f>$M$566*$W$566</f>
        <v>494.09536000000003</v>
      </c>
      <c r="AD566" s="6">
        <f>$O$566*$X$566</f>
        <v>92.172300000000007</v>
      </c>
      <c r="AE566" s="6">
        <f>$K$566*$Y$566</f>
        <v>0</v>
      </c>
      <c r="AF566" s="6">
        <f ca="1">$M$566*$Z$566</f>
        <v>504.72365504137457</v>
      </c>
      <c r="AG566" s="6">
        <f>$O$566*$AA$566</f>
        <v>123.6615995098964</v>
      </c>
    </row>
    <row r="567" spans="1:33" ht="11.25" customHeight="1" x14ac:dyDescent="0.25">
      <c r="A567" s="4" t="s">
        <v>28</v>
      </c>
      <c r="B567" s="4" t="s">
        <v>41</v>
      </c>
      <c r="C567" s="4" t="s">
        <v>44</v>
      </c>
      <c r="D567" s="4" t="s">
        <v>45</v>
      </c>
      <c r="E567" s="4" t="s">
        <v>25</v>
      </c>
      <c r="F567" s="4" t="s">
        <v>25</v>
      </c>
      <c r="G567" s="4" t="s">
        <v>25</v>
      </c>
      <c r="H567" s="4" t="s">
        <v>36</v>
      </c>
      <c r="I567" s="5">
        <v>44713</v>
      </c>
      <c r="J567" s="6">
        <v>0</v>
      </c>
      <c r="K567" s="6">
        <v>0</v>
      </c>
      <c r="L567" s="6">
        <v>53.74</v>
      </c>
      <c r="M567" s="6">
        <v>53.74</v>
      </c>
      <c r="N567" s="6">
        <v>53.74</v>
      </c>
      <c r="O567" s="6">
        <v>53.74</v>
      </c>
      <c r="P567" s="6">
        <v>0</v>
      </c>
      <c r="Q567" s="4" t="s">
        <v>26</v>
      </c>
      <c r="R567" s="4">
        <v>0</v>
      </c>
      <c r="S567" s="6">
        <v>0</v>
      </c>
      <c r="T567" s="6">
        <v>28</v>
      </c>
      <c r="U567" s="6">
        <v>74</v>
      </c>
      <c r="V567" s="6">
        <f>IF(ISERROR(VLOOKUP($S$567,'TAR FIN'!$A$1:$O$115,15,0)),0,VLOOKUP($S$567,'TAR FIN'!$A$1:$O$115,15,0))</f>
        <v>0</v>
      </c>
      <c r="W567" s="6">
        <f>IF(ISERROR(VLOOKUP($T$567,'TAR FIN'!$A$1:$O$115,15,0)),0,VLOOKUP($T$567,'TAR FIN'!$A$1:$O$115,15,0))</f>
        <v>1448.96</v>
      </c>
      <c r="X567" s="6">
        <f>IF(ISERROR(VLOOKUP($U$567,'TAR FIN'!$A$1:$O$115,15,0)),0,VLOOKUP($U$567,'TAR FIN'!$A$1:$O$115,15,0))</f>
        <v>270.3</v>
      </c>
      <c r="Y567" s="6"/>
      <c r="Z567" s="6">
        <f ca="1">('TUSD BE'!$AM$28+'TUSD BF'!$AM$28+'TUSD CVA'!$AM$28)*1</f>
        <v>1480.1280206491922</v>
      </c>
      <c r="AA567" s="6">
        <f>('TE BE'!$AB$11+'TE BF'!$AB$11+'TE CVA'!$AB$11)*1</f>
        <v>362.64398683254075</v>
      </c>
      <c r="AB567" s="6">
        <f>$K$567*$V$567</f>
        <v>0</v>
      </c>
      <c r="AC567" s="6">
        <f>$M$567*$W$567</f>
        <v>77867.110400000005</v>
      </c>
      <c r="AD567" s="6">
        <f>$O$567*$X$567</f>
        <v>14525.922</v>
      </c>
      <c r="AE567" s="6">
        <f>$K$567*$Y$567</f>
        <v>0</v>
      </c>
      <c r="AF567" s="6">
        <f ca="1">$M$567*$Z$567</f>
        <v>79542.079829687587</v>
      </c>
      <c r="AG567" s="6">
        <f>$O$567*$AA$567</f>
        <v>19488.487852380742</v>
      </c>
    </row>
    <row r="568" spans="1:33" ht="11.25" customHeight="1" x14ac:dyDescent="0.25">
      <c r="A568" s="4" t="s">
        <v>30</v>
      </c>
      <c r="B568" s="4" t="s">
        <v>41</v>
      </c>
      <c r="C568" s="4" t="s">
        <v>44</v>
      </c>
      <c r="D568" s="4" t="s">
        <v>45</v>
      </c>
      <c r="E568" s="4" t="s">
        <v>25</v>
      </c>
      <c r="F568" s="4" t="s">
        <v>25</v>
      </c>
      <c r="G568" s="4" t="s">
        <v>25</v>
      </c>
      <c r="H568" s="4" t="s">
        <v>36</v>
      </c>
      <c r="I568" s="5">
        <v>44713</v>
      </c>
      <c r="J568" s="6">
        <v>0</v>
      </c>
      <c r="K568" s="6">
        <v>0</v>
      </c>
      <c r="L568" s="6">
        <v>40.865000000000002</v>
      </c>
      <c r="M568" s="6">
        <v>40.865000000000002</v>
      </c>
      <c r="N568" s="6">
        <v>40.865000000000002</v>
      </c>
      <c r="O568" s="6">
        <v>40.865000000000002</v>
      </c>
      <c r="P568" s="6">
        <v>0</v>
      </c>
      <c r="Q568" s="4" t="s">
        <v>26</v>
      </c>
      <c r="R568" s="4">
        <v>0</v>
      </c>
      <c r="S568" s="6">
        <v>0</v>
      </c>
      <c r="T568" s="6">
        <v>28</v>
      </c>
      <c r="U568" s="6">
        <v>74</v>
      </c>
      <c r="V568" s="6">
        <f>IF(ISERROR(VLOOKUP($S$568,'TAR FIN'!$A$1:$O$115,15,0)),0,VLOOKUP($S$568,'TAR FIN'!$A$1:$O$115,15,0))</f>
        <v>0</v>
      </c>
      <c r="W568" s="6">
        <f>IF(ISERROR(VLOOKUP($T$568,'TAR FIN'!$A$1:$O$115,15,0)),0,VLOOKUP($T$568,'TAR FIN'!$A$1:$O$115,15,0))</f>
        <v>1448.96</v>
      </c>
      <c r="X568" s="6">
        <f>IF(ISERROR(VLOOKUP($U$568,'TAR FIN'!$A$1:$O$115,15,0)),0,VLOOKUP($U$568,'TAR FIN'!$A$1:$O$115,15,0))</f>
        <v>270.3</v>
      </c>
      <c r="Y568" s="6"/>
      <c r="Z568" s="6">
        <f ca="1">('TUSD BE'!$AM$28+'TUSD BF'!$AM$28+'TUSD CVA'!$AM$28)*1</f>
        <v>1480.1280206491922</v>
      </c>
      <c r="AA568" s="6">
        <f>('TE BE'!$AB$11+'TE BF'!$AB$11+'TE CVA'!$AB$11)*1</f>
        <v>362.64398683254075</v>
      </c>
      <c r="AB568" s="6">
        <f>$K$568*$V$568</f>
        <v>0</v>
      </c>
      <c r="AC568" s="6">
        <f>$M$568*$W$568</f>
        <v>59211.750400000004</v>
      </c>
      <c r="AD568" s="6">
        <f>$O$568*$X$568</f>
        <v>11045.809500000001</v>
      </c>
      <c r="AE568" s="6">
        <f>$K$568*$Y$568</f>
        <v>0</v>
      </c>
      <c r="AF568" s="6">
        <f ca="1">$M$568*$Z$568</f>
        <v>60485.431563829239</v>
      </c>
      <c r="AG568" s="6">
        <f>$O$568*$AA$568</f>
        <v>14819.446521911779</v>
      </c>
    </row>
    <row r="569" spans="1:33" ht="11.25" customHeight="1" x14ac:dyDescent="0.25">
      <c r="A569" s="4" t="s">
        <v>30</v>
      </c>
      <c r="B569" s="4" t="s">
        <v>41</v>
      </c>
      <c r="C569" s="4" t="s">
        <v>44</v>
      </c>
      <c r="D569" s="4" t="s">
        <v>45</v>
      </c>
      <c r="E569" s="4" t="s">
        <v>25</v>
      </c>
      <c r="F569" s="4" t="s">
        <v>25</v>
      </c>
      <c r="G569" s="4" t="s">
        <v>25</v>
      </c>
      <c r="H569" s="4" t="s">
        <v>36</v>
      </c>
      <c r="I569" s="5">
        <v>44713</v>
      </c>
      <c r="J569" s="6">
        <v>0</v>
      </c>
      <c r="K569" s="6">
        <v>0</v>
      </c>
      <c r="L569" s="6">
        <v>-1.649</v>
      </c>
      <c r="M569" s="6">
        <v>-1.649</v>
      </c>
      <c r="N569" s="6">
        <v>-1.649</v>
      </c>
      <c r="O569" s="6">
        <v>-1.649</v>
      </c>
      <c r="P569" s="6">
        <v>0</v>
      </c>
      <c r="Q569" s="4" t="s">
        <v>26</v>
      </c>
      <c r="R569" s="4">
        <v>0</v>
      </c>
      <c r="S569" s="6">
        <v>0</v>
      </c>
      <c r="T569" s="6">
        <v>28</v>
      </c>
      <c r="U569" s="6">
        <v>74</v>
      </c>
      <c r="V569" s="6">
        <f>IF(ISERROR(VLOOKUP($S$569,'TAR FIN'!$A$1:$O$115,15,0)),0,VLOOKUP($S$569,'TAR FIN'!$A$1:$O$115,15,0))</f>
        <v>0</v>
      </c>
      <c r="W569" s="6">
        <f>IF(ISERROR(VLOOKUP($T$569,'TAR FIN'!$A$1:$O$115,15,0)),0,VLOOKUP($T$569,'TAR FIN'!$A$1:$O$115,15,0))</f>
        <v>1448.96</v>
      </c>
      <c r="X569" s="6">
        <f>IF(ISERROR(VLOOKUP($U$569,'TAR FIN'!$A$1:$O$115,15,0)),0,VLOOKUP($U$569,'TAR FIN'!$A$1:$O$115,15,0))</f>
        <v>270.3</v>
      </c>
      <c r="Y569" s="6"/>
      <c r="Z569" s="6">
        <f ca="1">('TUSD BE'!$AM$28+'TUSD BF'!$AM$28+'TUSD CVA'!$AM$28)*1</f>
        <v>1480.1280206491922</v>
      </c>
      <c r="AA569" s="6">
        <f>('TE BE'!$AB$11+'TE BF'!$AB$11+'TE CVA'!$AB$11)*1</f>
        <v>362.64398683254075</v>
      </c>
      <c r="AB569" s="6">
        <f>$K$569*$V$569</f>
        <v>0</v>
      </c>
      <c r="AC569" s="6">
        <f>$M$569*$W$569</f>
        <v>-2389.3350399999999</v>
      </c>
      <c r="AD569" s="6">
        <f>$O$569*$X$569</f>
        <v>-445.72470000000004</v>
      </c>
      <c r="AE569" s="6">
        <f>$K$569*$Y$569</f>
        <v>0</v>
      </c>
      <c r="AF569" s="6">
        <f ca="1">$M$569*$Z$569</f>
        <v>-2440.7311060505181</v>
      </c>
      <c r="AG569" s="6">
        <f>$O$569*$AA$569</f>
        <v>-597.99993428685968</v>
      </c>
    </row>
    <row r="570" spans="1:33" ht="11.25" customHeight="1" x14ac:dyDescent="0.25">
      <c r="A570" s="4" t="s">
        <v>21</v>
      </c>
      <c r="B570" s="4" t="s">
        <v>41</v>
      </c>
      <c r="C570" s="4" t="s">
        <v>44</v>
      </c>
      <c r="D570" s="4" t="s">
        <v>45</v>
      </c>
      <c r="E570" s="4" t="s">
        <v>25</v>
      </c>
      <c r="F570" s="4" t="s">
        <v>25</v>
      </c>
      <c r="G570" s="4" t="s">
        <v>25</v>
      </c>
      <c r="H570" s="4" t="s">
        <v>36</v>
      </c>
      <c r="I570" s="5">
        <v>44743</v>
      </c>
      <c r="J570" s="6">
        <v>0</v>
      </c>
      <c r="K570" s="6">
        <v>0</v>
      </c>
      <c r="L570" s="6">
        <v>248.85400000000001</v>
      </c>
      <c r="M570" s="6">
        <v>248.85400000000001</v>
      </c>
      <c r="N570" s="6">
        <v>248.85400000000001</v>
      </c>
      <c r="O570" s="6">
        <v>248.85400000000001</v>
      </c>
      <c r="P570" s="6">
        <v>0</v>
      </c>
      <c r="Q570" s="4" t="s">
        <v>26</v>
      </c>
      <c r="R570" s="4">
        <v>0</v>
      </c>
      <c r="S570" s="6">
        <v>0</v>
      </c>
      <c r="T570" s="6">
        <v>28</v>
      </c>
      <c r="U570" s="6">
        <v>74</v>
      </c>
      <c r="V570" s="6">
        <f>IF(ISERROR(VLOOKUP($S$570,'TAR FIN'!$A$1:$O$115,15,0)),0,VLOOKUP($S$570,'TAR FIN'!$A$1:$O$115,15,0))</f>
        <v>0</v>
      </c>
      <c r="W570" s="6">
        <f>IF(ISERROR(VLOOKUP($T$570,'TAR FIN'!$A$1:$O$115,15,0)),0,VLOOKUP($T$570,'TAR FIN'!$A$1:$O$115,15,0))</f>
        <v>1448.96</v>
      </c>
      <c r="X570" s="6">
        <f>IF(ISERROR(VLOOKUP($U$570,'TAR FIN'!$A$1:$O$115,15,0)),0,VLOOKUP($U$570,'TAR FIN'!$A$1:$O$115,15,0))</f>
        <v>270.3</v>
      </c>
      <c r="Y570" s="6"/>
      <c r="Z570" s="6">
        <f ca="1">('TUSD BE'!$AM$28+'TUSD BF'!$AM$28+'TUSD CVA'!$AM$28)*1</f>
        <v>1480.1280206491922</v>
      </c>
      <c r="AA570" s="6">
        <f>('TE BE'!$AB$11+'TE BF'!$AB$11+'TE CVA'!$AB$11)*1</f>
        <v>362.64398683254075</v>
      </c>
      <c r="AB570" s="6">
        <f>$K$570*$V$570</f>
        <v>0</v>
      </c>
      <c r="AC570" s="6">
        <f>$M$570*$W$570</f>
        <v>360579.49184000003</v>
      </c>
      <c r="AD570" s="6">
        <f>$O$570*$X$570</f>
        <v>67265.236199999999</v>
      </c>
      <c r="AE570" s="6">
        <f>$K$570*$Y$570</f>
        <v>0</v>
      </c>
      <c r="AF570" s="6">
        <f ca="1">$M$570*$Z$570</f>
        <v>368335.7784506341</v>
      </c>
      <c r="AG570" s="6">
        <f>$O$570*$AA$570</f>
        <v>90245.406699225103</v>
      </c>
    </row>
    <row r="571" spans="1:33" ht="11.25" customHeight="1" x14ac:dyDescent="0.25">
      <c r="A571" s="4" t="s">
        <v>28</v>
      </c>
      <c r="B571" s="4" t="s">
        <v>41</v>
      </c>
      <c r="C571" s="4" t="s">
        <v>44</v>
      </c>
      <c r="D571" s="4" t="s">
        <v>45</v>
      </c>
      <c r="E571" s="4" t="s">
        <v>25</v>
      </c>
      <c r="F571" s="4" t="s">
        <v>25</v>
      </c>
      <c r="G571" s="4" t="s">
        <v>25</v>
      </c>
      <c r="H571" s="4" t="s">
        <v>36</v>
      </c>
      <c r="I571" s="5">
        <v>44743</v>
      </c>
      <c r="J571" s="6">
        <v>0</v>
      </c>
      <c r="K571" s="6">
        <v>0</v>
      </c>
      <c r="L571" s="6">
        <v>57.252000000000002</v>
      </c>
      <c r="M571" s="6">
        <v>57.252000000000002</v>
      </c>
      <c r="N571" s="6">
        <v>57.252000000000002</v>
      </c>
      <c r="O571" s="6">
        <v>57.252000000000002</v>
      </c>
      <c r="P571" s="6">
        <v>0</v>
      </c>
      <c r="Q571" s="4" t="s">
        <v>26</v>
      </c>
      <c r="R571" s="4">
        <v>0</v>
      </c>
      <c r="S571" s="6">
        <v>0</v>
      </c>
      <c r="T571" s="6">
        <v>28</v>
      </c>
      <c r="U571" s="6">
        <v>74</v>
      </c>
      <c r="V571" s="6">
        <f>IF(ISERROR(VLOOKUP($S$571,'TAR FIN'!$A$1:$O$115,15,0)),0,VLOOKUP($S$571,'TAR FIN'!$A$1:$O$115,15,0))</f>
        <v>0</v>
      </c>
      <c r="W571" s="6">
        <f>IF(ISERROR(VLOOKUP($T$571,'TAR FIN'!$A$1:$O$115,15,0)),0,VLOOKUP($T$571,'TAR FIN'!$A$1:$O$115,15,0))</f>
        <v>1448.96</v>
      </c>
      <c r="X571" s="6">
        <f>IF(ISERROR(VLOOKUP($U$571,'TAR FIN'!$A$1:$O$115,15,0)),0,VLOOKUP($U$571,'TAR FIN'!$A$1:$O$115,15,0))</f>
        <v>270.3</v>
      </c>
      <c r="Y571" s="6"/>
      <c r="Z571" s="6">
        <f ca="1">('TUSD BE'!$AM$28+'TUSD BF'!$AM$28+'TUSD CVA'!$AM$28)*1</f>
        <v>1480.1280206491922</v>
      </c>
      <c r="AA571" s="6">
        <f>('TE BE'!$AB$11+'TE BF'!$AB$11+'TE CVA'!$AB$11)*1</f>
        <v>362.64398683254075</v>
      </c>
      <c r="AB571" s="6">
        <f>$K$571*$V$571</f>
        <v>0</v>
      </c>
      <c r="AC571" s="6">
        <f>$M$571*$W$571</f>
        <v>82955.857920000009</v>
      </c>
      <c r="AD571" s="6">
        <f>$O$571*$X$571</f>
        <v>15475.215600000001</v>
      </c>
      <c r="AE571" s="6">
        <f>$K$571*$Y$571</f>
        <v>0</v>
      </c>
      <c r="AF571" s="6">
        <f ca="1">$M$571*$Z$571</f>
        <v>84740.289438207561</v>
      </c>
      <c r="AG571" s="6">
        <f>$O$571*$AA$571</f>
        <v>20762.093534136624</v>
      </c>
    </row>
    <row r="572" spans="1:33" ht="11.25" customHeight="1" x14ac:dyDescent="0.25">
      <c r="A572" s="4" t="s">
        <v>30</v>
      </c>
      <c r="B572" s="4" t="s">
        <v>41</v>
      </c>
      <c r="C572" s="4" t="s">
        <v>44</v>
      </c>
      <c r="D572" s="4" t="s">
        <v>45</v>
      </c>
      <c r="E572" s="4" t="s">
        <v>25</v>
      </c>
      <c r="F572" s="4" t="s">
        <v>25</v>
      </c>
      <c r="G572" s="4" t="s">
        <v>25</v>
      </c>
      <c r="H572" s="4" t="s">
        <v>36</v>
      </c>
      <c r="I572" s="5">
        <v>44743</v>
      </c>
      <c r="J572" s="6">
        <v>0</v>
      </c>
      <c r="K572" s="6">
        <v>0</v>
      </c>
      <c r="L572" s="6">
        <v>41.747</v>
      </c>
      <c r="M572" s="6">
        <v>41.747</v>
      </c>
      <c r="N572" s="6">
        <v>41.747</v>
      </c>
      <c r="O572" s="6">
        <v>41.747</v>
      </c>
      <c r="P572" s="6">
        <v>0</v>
      </c>
      <c r="Q572" s="4" t="s">
        <v>26</v>
      </c>
      <c r="R572" s="4">
        <v>0</v>
      </c>
      <c r="S572" s="6">
        <v>0</v>
      </c>
      <c r="T572" s="6">
        <v>28</v>
      </c>
      <c r="U572" s="6">
        <v>74</v>
      </c>
      <c r="V572" s="6">
        <f>IF(ISERROR(VLOOKUP($S$572,'TAR FIN'!$A$1:$O$115,15,0)),0,VLOOKUP($S$572,'TAR FIN'!$A$1:$O$115,15,0))</f>
        <v>0</v>
      </c>
      <c r="W572" s="6">
        <f>IF(ISERROR(VLOOKUP($T$572,'TAR FIN'!$A$1:$O$115,15,0)),0,VLOOKUP($T$572,'TAR FIN'!$A$1:$O$115,15,0))</f>
        <v>1448.96</v>
      </c>
      <c r="X572" s="6">
        <f>IF(ISERROR(VLOOKUP($U$572,'TAR FIN'!$A$1:$O$115,15,0)),0,VLOOKUP($U$572,'TAR FIN'!$A$1:$O$115,15,0))</f>
        <v>270.3</v>
      </c>
      <c r="Y572" s="6"/>
      <c r="Z572" s="6">
        <f ca="1">('TUSD BE'!$AM$28+'TUSD BF'!$AM$28+'TUSD CVA'!$AM$28)*1</f>
        <v>1480.1280206491922</v>
      </c>
      <c r="AA572" s="6">
        <f>('TE BE'!$AB$11+'TE BF'!$AB$11+'TE CVA'!$AB$11)*1</f>
        <v>362.64398683254075</v>
      </c>
      <c r="AB572" s="6">
        <f>$K$572*$V$572</f>
        <v>0</v>
      </c>
      <c r="AC572" s="6">
        <f>$M$572*$W$572</f>
        <v>60489.733120000004</v>
      </c>
      <c r="AD572" s="6">
        <f>$O$572*$X$572</f>
        <v>11284.214100000001</v>
      </c>
      <c r="AE572" s="6">
        <f>$K$572*$Y$572</f>
        <v>0</v>
      </c>
      <c r="AF572" s="6">
        <f ca="1">$M$572*$Z$572</f>
        <v>61790.904478041826</v>
      </c>
      <c r="AG572" s="6">
        <f>$O$572*$AA$572</f>
        <v>15139.298518298079</v>
      </c>
    </row>
    <row r="573" spans="1:33" ht="11.25" customHeight="1" x14ac:dyDescent="0.25">
      <c r="A573" s="4" t="s">
        <v>21</v>
      </c>
      <c r="B573" s="4" t="s">
        <v>41</v>
      </c>
      <c r="C573" s="4" t="s">
        <v>44</v>
      </c>
      <c r="D573" s="4" t="s">
        <v>45</v>
      </c>
      <c r="E573" s="4" t="s">
        <v>25</v>
      </c>
      <c r="F573" s="4" t="s">
        <v>25</v>
      </c>
      <c r="G573" s="4" t="s">
        <v>25</v>
      </c>
      <c r="H573" s="4" t="s">
        <v>36</v>
      </c>
      <c r="I573" s="5">
        <v>44774</v>
      </c>
      <c r="J573" s="6">
        <v>0</v>
      </c>
      <c r="K573" s="6">
        <v>0</v>
      </c>
      <c r="L573" s="6">
        <v>307.04700000000003</v>
      </c>
      <c r="M573" s="6">
        <v>307.04700000000003</v>
      </c>
      <c r="N573" s="6">
        <v>307.04700000000003</v>
      </c>
      <c r="O573" s="6">
        <v>307.04700000000003</v>
      </c>
      <c r="P573" s="6">
        <v>0</v>
      </c>
      <c r="Q573" s="4" t="s">
        <v>26</v>
      </c>
      <c r="R573" s="4">
        <v>0</v>
      </c>
      <c r="S573" s="6">
        <v>0</v>
      </c>
      <c r="T573" s="6">
        <v>28</v>
      </c>
      <c r="U573" s="6">
        <v>74</v>
      </c>
      <c r="V573" s="6">
        <f>IF(ISERROR(VLOOKUP($S$573,'TAR FIN'!$A$1:$O$115,15,0)),0,VLOOKUP($S$573,'TAR FIN'!$A$1:$O$115,15,0))</f>
        <v>0</v>
      </c>
      <c r="W573" s="6">
        <f>IF(ISERROR(VLOOKUP($T$573,'TAR FIN'!$A$1:$O$115,15,0)),0,VLOOKUP($T$573,'TAR FIN'!$A$1:$O$115,15,0))</f>
        <v>1448.96</v>
      </c>
      <c r="X573" s="6">
        <f>IF(ISERROR(VLOOKUP($U$573,'TAR FIN'!$A$1:$O$115,15,0)),0,VLOOKUP($U$573,'TAR FIN'!$A$1:$O$115,15,0))</f>
        <v>270.3</v>
      </c>
      <c r="Y573" s="6"/>
      <c r="Z573" s="6">
        <f ca="1">('TUSD BE'!$AM$28+'TUSD BF'!$AM$28+'TUSD CVA'!$AM$28)*1</f>
        <v>1480.1280206491922</v>
      </c>
      <c r="AA573" s="6">
        <f>('TE BE'!$AB$11+'TE BF'!$AB$11+'TE CVA'!$AB$11)*1</f>
        <v>362.64398683254075</v>
      </c>
      <c r="AB573" s="6">
        <f>$K$573*$V$573</f>
        <v>0</v>
      </c>
      <c r="AC573" s="6">
        <f>$M$573*$W$573</f>
        <v>444898.82112000004</v>
      </c>
      <c r="AD573" s="6">
        <f>$O$573*$X$573</f>
        <v>82994.804100000008</v>
      </c>
      <c r="AE573" s="6">
        <f>$K$573*$Y$573</f>
        <v>0</v>
      </c>
      <c r="AF573" s="6">
        <f ca="1">$M$573*$Z$573</f>
        <v>454468.86835627258</v>
      </c>
      <c r="AG573" s="6">
        <f>$O$573*$AA$573</f>
        <v>111348.74822497115</v>
      </c>
    </row>
    <row r="574" spans="1:33" ht="11.25" customHeight="1" x14ac:dyDescent="0.25">
      <c r="A574" s="4" t="s">
        <v>28</v>
      </c>
      <c r="B574" s="4" t="s">
        <v>41</v>
      </c>
      <c r="C574" s="4" t="s">
        <v>44</v>
      </c>
      <c r="D574" s="4" t="s">
        <v>45</v>
      </c>
      <c r="E574" s="4" t="s">
        <v>25</v>
      </c>
      <c r="F574" s="4" t="s">
        <v>25</v>
      </c>
      <c r="G574" s="4" t="s">
        <v>25</v>
      </c>
      <c r="H574" s="4" t="s">
        <v>36</v>
      </c>
      <c r="I574" s="5">
        <v>44774</v>
      </c>
      <c r="J574" s="6">
        <v>0</v>
      </c>
      <c r="K574" s="6">
        <v>0</v>
      </c>
      <c r="L574" s="6">
        <v>59.271000000000001</v>
      </c>
      <c r="M574" s="6">
        <v>59.271000000000001</v>
      </c>
      <c r="N574" s="6">
        <v>59.271000000000001</v>
      </c>
      <c r="O574" s="6">
        <v>59.271000000000001</v>
      </c>
      <c r="P574" s="6">
        <v>0</v>
      </c>
      <c r="Q574" s="4" t="s">
        <v>26</v>
      </c>
      <c r="R574" s="4">
        <v>0</v>
      </c>
      <c r="S574" s="6">
        <v>0</v>
      </c>
      <c r="T574" s="6">
        <v>28</v>
      </c>
      <c r="U574" s="6">
        <v>74</v>
      </c>
      <c r="V574" s="6">
        <f>IF(ISERROR(VLOOKUP($S$574,'TAR FIN'!$A$1:$O$115,15,0)),0,VLOOKUP($S$574,'TAR FIN'!$A$1:$O$115,15,0))</f>
        <v>0</v>
      </c>
      <c r="W574" s="6">
        <f>IF(ISERROR(VLOOKUP($T$574,'TAR FIN'!$A$1:$O$115,15,0)),0,VLOOKUP($T$574,'TAR FIN'!$A$1:$O$115,15,0))</f>
        <v>1448.96</v>
      </c>
      <c r="X574" s="6">
        <f>IF(ISERROR(VLOOKUP($U$574,'TAR FIN'!$A$1:$O$115,15,0)),0,VLOOKUP($U$574,'TAR FIN'!$A$1:$O$115,15,0))</f>
        <v>270.3</v>
      </c>
      <c r="Y574" s="6"/>
      <c r="Z574" s="6">
        <f ca="1">('TUSD BE'!$AM$28+'TUSD BF'!$AM$28+'TUSD CVA'!$AM$28)*1</f>
        <v>1480.1280206491922</v>
      </c>
      <c r="AA574" s="6">
        <f>('TE BE'!$AB$11+'TE BF'!$AB$11+'TE CVA'!$AB$11)*1</f>
        <v>362.64398683254075</v>
      </c>
      <c r="AB574" s="6">
        <f>$K$574*$V$574</f>
        <v>0</v>
      </c>
      <c r="AC574" s="6">
        <f>$M$574*$W$574</f>
        <v>85881.30816</v>
      </c>
      <c r="AD574" s="6">
        <f>$O$574*$X$574</f>
        <v>16020.951300000001</v>
      </c>
      <c r="AE574" s="6">
        <f>$K$574*$Y$574</f>
        <v>0</v>
      </c>
      <c r="AF574" s="6">
        <f ca="1">$M$574*$Z$574</f>
        <v>87728.667911898272</v>
      </c>
      <c r="AG574" s="6">
        <f>$O$574*$AA$574</f>
        <v>21494.271743551522</v>
      </c>
    </row>
    <row r="575" spans="1:33" ht="11.25" customHeight="1" x14ac:dyDescent="0.25">
      <c r="A575" s="4" t="s">
        <v>30</v>
      </c>
      <c r="B575" s="4" t="s">
        <v>41</v>
      </c>
      <c r="C575" s="4" t="s">
        <v>44</v>
      </c>
      <c r="D575" s="4" t="s">
        <v>45</v>
      </c>
      <c r="E575" s="4" t="s">
        <v>25</v>
      </c>
      <c r="F575" s="4" t="s">
        <v>25</v>
      </c>
      <c r="G575" s="4" t="s">
        <v>25</v>
      </c>
      <c r="H575" s="4" t="s">
        <v>36</v>
      </c>
      <c r="I575" s="5">
        <v>44774</v>
      </c>
      <c r="J575" s="6">
        <v>0</v>
      </c>
      <c r="K575" s="6">
        <v>0</v>
      </c>
      <c r="L575" s="6">
        <v>50.582000000000001</v>
      </c>
      <c r="M575" s="6">
        <v>50.582000000000001</v>
      </c>
      <c r="N575" s="6">
        <v>50.582000000000001</v>
      </c>
      <c r="O575" s="6">
        <v>50.582000000000001</v>
      </c>
      <c r="P575" s="6">
        <v>0</v>
      </c>
      <c r="Q575" s="4" t="s">
        <v>26</v>
      </c>
      <c r="R575" s="4">
        <v>0</v>
      </c>
      <c r="S575" s="6">
        <v>0</v>
      </c>
      <c r="T575" s="6">
        <v>28</v>
      </c>
      <c r="U575" s="6">
        <v>74</v>
      </c>
      <c r="V575" s="6">
        <f>IF(ISERROR(VLOOKUP($S$575,'TAR FIN'!$A$1:$O$115,15,0)),0,VLOOKUP($S$575,'TAR FIN'!$A$1:$O$115,15,0))</f>
        <v>0</v>
      </c>
      <c r="W575" s="6">
        <f>IF(ISERROR(VLOOKUP($T$575,'TAR FIN'!$A$1:$O$115,15,0)),0,VLOOKUP($T$575,'TAR FIN'!$A$1:$O$115,15,0))</f>
        <v>1448.96</v>
      </c>
      <c r="X575" s="6">
        <f>IF(ISERROR(VLOOKUP($U$575,'TAR FIN'!$A$1:$O$115,15,0)),0,VLOOKUP($U$575,'TAR FIN'!$A$1:$O$115,15,0))</f>
        <v>270.3</v>
      </c>
      <c r="Y575" s="6"/>
      <c r="Z575" s="6">
        <f ca="1">('TUSD BE'!$AM$28+'TUSD BF'!$AM$28+'TUSD CVA'!$AM$28)*1</f>
        <v>1480.1280206491922</v>
      </c>
      <c r="AA575" s="6">
        <f>('TE BE'!$AB$11+'TE BF'!$AB$11+'TE CVA'!$AB$11)*1</f>
        <v>362.64398683254075</v>
      </c>
      <c r="AB575" s="6">
        <f>$K$575*$V$575</f>
        <v>0</v>
      </c>
      <c r="AC575" s="6">
        <f>$M$575*$W$575</f>
        <v>73291.294720000005</v>
      </c>
      <c r="AD575" s="6">
        <f>$O$575*$X$575</f>
        <v>13672.314600000002</v>
      </c>
      <c r="AE575" s="6">
        <f>$K$575*$Y$575</f>
        <v>0</v>
      </c>
      <c r="AF575" s="6">
        <f ca="1">$M$575*$Z$575</f>
        <v>74867.835540477434</v>
      </c>
      <c r="AG575" s="6">
        <f>$O$575*$AA$575</f>
        <v>18343.258141963575</v>
      </c>
    </row>
    <row r="576" spans="1:33" ht="11.25" customHeight="1" x14ac:dyDescent="0.25">
      <c r="A576" s="4" t="s">
        <v>30</v>
      </c>
      <c r="B576" s="4" t="s">
        <v>41</v>
      </c>
      <c r="C576" s="4" t="s">
        <v>44</v>
      </c>
      <c r="D576" s="4" t="s">
        <v>45</v>
      </c>
      <c r="E576" s="4" t="s">
        <v>25</v>
      </c>
      <c r="F576" s="4" t="s">
        <v>25</v>
      </c>
      <c r="G576" s="4" t="s">
        <v>25</v>
      </c>
      <c r="H576" s="4" t="s">
        <v>36</v>
      </c>
      <c r="I576" s="5">
        <v>44774</v>
      </c>
      <c r="J576" s="6">
        <v>0</v>
      </c>
      <c r="K576" s="6">
        <v>0</v>
      </c>
      <c r="L576" s="6">
        <v>-3.9359999999999999</v>
      </c>
      <c r="M576" s="6">
        <v>-3.9359999999999999</v>
      </c>
      <c r="N576" s="6">
        <v>-3.9359999999999999</v>
      </c>
      <c r="O576" s="6">
        <v>-3.9359999999999999</v>
      </c>
      <c r="P576" s="6">
        <v>0</v>
      </c>
      <c r="Q576" s="4" t="s">
        <v>26</v>
      </c>
      <c r="R576" s="4">
        <v>0</v>
      </c>
      <c r="S576" s="6">
        <v>0</v>
      </c>
      <c r="T576" s="6">
        <v>28</v>
      </c>
      <c r="U576" s="6">
        <v>74</v>
      </c>
      <c r="V576" s="6">
        <f>IF(ISERROR(VLOOKUP($S$576,'TAR FIN'!$A$1:$O$115,15,0)),0,VLOOKUP($S$576,'TAR FIN'!$A$1:$O$115,15,0))</f>
        <v>0</v>
      </c>
      <c r="W576" s="6">
        <f>IF(ISERROR(VLOOKUP($T$576,'TAR FIN'!$A$1:$O$115,15,0)),0,VLOOKUP($T$576,'TAR FIN'!$A$1:$O$115,15,0))</f>
        <v>1448.96</v>
      </c>
      <c r="X576" s="6">
        <f>IF(ISERROR(VLOOKUP($U$576,'TAR FIN'!$A$1:$O$115,15,0)),0,VLOOKUP($U$576,'TAR FIN'!$A$1:$O$115,15,0))</f>
        <v>270.3</v>
      </c>
      <c r="Y576" s="6"/>
      <c r="Z576" s="6">
        <f ca="1">('TUSD BE'!$AM$28+'TUSD BF'!$AM$28+'TUSD CVA'!$AM$28)*1</f>
        <v>1480.1280206491922</v>
      </c>
      <c r="AA576" s="6">
        <f>('TE BE'!$AB$11+'TE BF'!$AB$11+'TE CVA'!$AB$11)*1</f>
        <v>362.64398683254075</v>
      </c>
      <c r="AB576" s="6">
        <f>$K$576*$V$576</f>
        <v>0</v>
      </c>
      <c r="AC576" s="6">
        <f>$M$576*$W$576</f>
        <v>-5703.1065600000002</v>
      </c>
      <c r="AD576" s="6">
        <f>$O$576*$X$576</f>
        <v>-1063.9008000000001</v>
      </c>
      <c r="AE576" s="6">
        <f>$K$576*$Y$576</f>
        <v>0</v>
      </c>
      <c r="AF576" s="6">
        <f ca="1">$M$576*$Z$576</f>
        <v>-5825.7838892752206</v>
      </c>
      <c r="AG576" s="6">
        <f>$O$576*$AA$576</f>
        <v>-1427.3667321728803</v>
      </c>
    </row>
    <row r="577" spans="1:33" ht="11.25" customHeight="1" x14ac:dyDescent="0.25">
      <c r="A577" s="4" t="s">
        <v>21</v>
      </c>
      <c r="B577" s="4" t="s">
        <v>41</v>
      </c>
      <c r="C577" s="4" t="s">
        <v>44</v>
      </c>
      <c r="D577" s="4" t="s">
        <v>45</v>
      </c>
      <c r="E577" s="4" t="s">
        <v>25</v>
      </c>
      <c r="F577" s="4" t="s">
        <v>25</v>
      </c>
      <c r="G577" s="4" t="s">
        <v>25</v>
      </c>
      <c r="H577" s="4" t="s">
        <v>36</v>
      </c>
      <c r="I577" s="5">
        <v>44805</v>
      </c>
      <c r="J577" s="6">
        <v>0</v>
      </c>
      <c r="K577" s="6">
        <v>0</v>
      </c>
      <c r="L577" s="6">
        <v>303.61900000000003</v>
      </c>
      <c r="M577" s="6">
        <v>303.61900000000003</v>
      </c>
      <c r="N577" s="6">
        <v>303.61900000000003</v>
      </c>
      <c r="O577" s="6">
        <v>303.61900000000003</v>
      </c>
      <c r="P577" s="6">
        <v>0</v>
      </c>
      <c r="Q577" s="4" t="s">
        <v>26</v>
      </c>
      <c r="R577" s="4">
        <v>0</v>
      </c>
      <c r="S577" s="6">
        <v>0</v>
      </c>
      <c r="T577" s="6">
        <v>28</v>
      </c>
      <c r="U577" s="6">
        <v>74</v>
      </c>
      <c r="V577" s="6">
        <f>IF(ISERROR(VLOOKUP($S$577,'TAR FIN'!$A$1:$O$115,15,0)),0,VLOOKUP($S$577,'TAR FIN'!$A$1:$O$115,15,0))</f>
        <v>0</v>
      </c>
      <c r="W577" s="6">
        <f>IF(ISERROR(VLOOKUP($T$577,'TAR FIN'!$A$1:$O$115,15,0)),0,VLOOKUP($T$577,'TAR FIN'!$A$1:$O$115,15,0))</f>
        <v>1448.96</v>
      </c>
      <c r="X577" s="6">
        <f>IF(ISERROR(VLOOKUP($U$577,'TAR FIN'!$A$1:$O$115,15,0)),0,VLOOKUP($U$577,'TAR FIN'!$A$1:$O$115,15,0))</f>
        <v>270.3</v>
      </c>
      <c r="Y577" s="6"/>
      <c r="Z577" s="6">
        <f ca="1">('TUSD BE'!$AM$28+'TUSD BF'!$AM$28+'TUSD CVA'!$AM$28)*1</f>
        <v>1480.1280206491922</v>
      </c>
      <c r="AA577" s="6">
        <f>('TE BE'!$AB$11+'TE BF'!$AB$11+'TE CVA'!$AB$11)*1</f>
        <v>362.64398683254075</v>
      </c>
      <c r="AB577" s="6">
        <f>$K$577*$V$577</f>
        <v>0</v>
      </c>
      <c r="AC577" s="6">
        <f>$M$577*$W$577</f>
        <v>439931.78624000004</v>
      </c>
      <c r="AD577" s="6">
        <f>$O$577*$X$577</f>
        <v>82068.215700000015</v>
      </c>
      <c r="AE577" s="6">
        <f>$K$577*$Y$577</f>
        <v>0</v>
      </c>
      <c r="AF577" s="6">
        <f ca="1">$M$577*$Z$577</f>
        <v>449394.98950148711</v>
      </c>
      <c r="AG577" s="6">
        <f>$O$577*$AA$577</f>
        <v>110105.6046381092</v>
      </c>
    </row>
    <row r="578" spans="1:33" ht="11.25" customHeight="1" x14ac:dyDescent="0.25">
      <c r="A578" s="4" t="s">
        <v>28</v>
      </c>
      <c r="B578" s="4" t="s">
        <v>41</v>
      </c>
      <c r="C578" s="4" t="s">
        <v>44</v>
      </c>
      <c r="D578" s="4" t="s">
        <v>45</v>
      </c>
      <c r="E578" s="4" t="s">
        <v>25</v>
      </c>
      <c r="F578" s="4" t="s">
        <v>25</v>
      </c>
      <c r="G578" s="4" t="s">
        <v>25</v>
      </c>
      <c r="H578" s="4" t="s">
        <v>36</v>
      </c>
      <c r="I578" s="5">
        <v>44805</v>
      </c>
      <c r="J578" s="6">
        <v>0</v>
      </c>
      <c r="K578" s="6">
        <v>0</v>
      </c>
      <c r="L578" s="6">
        <v>60.183999999999997</v>
      </c>
      <c r="M578" s="6">
        <v>60.183999999999997</v>
      </c>
      <c r="N578" s="6">
        <v>60.183999999999997</v>
      </c>
      <c r="O578" s="6">
        <v>60.183999999999997</v>
      </c>
      <c r="P578" s="6">
        <v>0</v>
      </c>
      <c r="Q578" s="4" t="s">
        <v>26</v>
      </c>
      <c r="R578" s="4">
        <v>0</v>
      </c>
      <c r="S578" s="6">
        <v>0</v>
      </c>
      <c r="T578" s="6">
        <v>28</v>
      </c>
      <c r="U578" s="6">
        <v>74</v>
      </c>
      <c r="V578" s="6">
        <f>IF(ISERROR(VLOOKUP($S$578,'TAR FIN'!$A$1:$O$115,15,0)),0,VLOOKUP($S$578,'TAR FIN'!$A$1:$O$115,15,0))</f>
        <v>0</v>
      </c>
      <c r="W578" s="6">
        <f>IF(ISERROR(VLOOKUP($T$578,'TAR FIN'!$A$1:$O$115,15,0)),0,VLOOKUP($T$578,'TAR FIN'!$A$1:$O$115,15,0))</f>
        <v>1448.96</v>
      </c>
      <c r="X578" s="6">
        <f>IF(ISERROR(VLOOKUP($U$578,'TAR FIN'!$A$1:$O$115,15,0)),0,VLOOKUP($U$578,'TAR FIN'!$A$1:$O$115,15,0))</f>
        <v>270.3</v>
      </c>
      <c r="Y578" s="6"/>
      <c r="Z578" s="6">
        <f ca="1">('TUSD BE'!$AM$28+'TUSD BF'!$AM$28+'TUSD CVA'!$AM$28)*1</f>
        <v>1480.1280206491922</v>
      </c>
      <c r="AA578" s="6">
        <f>('TE BE'!$AB$11+'TE BF'!$AB$11+'TE CVA'!$AB$11)*1</f>
        <v>362.64398683254075</v>
      </c>
      <c r="AB578" s="6">
        <f>$K$578*$V$578</f>
        <v>0</v>
      </c>
      <c r="AC578" s="6">
        <f>$M$578*$W$578</f>
        <v>87204.208639999997</v>
      </c>
      <c r="AD578" s="6">
        <f>$O$578*$X$578</f>
        <v>16267.735199999999</v>
      </c>
      <c r="AE578" s="6">
        <f>$K$578*$Y$578</f>
        <v>0</v>
      </c>
      <c r="AF578" s="6">
        <f ca="1">$M$578*$Z$578</f>
        <v>89080.024794750978</v>
      </c>
      <c r="AG578" s="6">
        <f>$O$578*$AA$578</f>
        <v>21825.365703529631</v>
      </c>
    </row>
    <row r="579" spans="1:33" ht="11.25" customHeight="1" x14ac:dyDescent="0.25">
      <c r="A579" s="4" t="s">
        <v>30</v>
      </c>
      <c r="B579" s="4" t="s">
        <v>41</v>
      </c>
      <c r="C579" s="4" t="s">
        <v>44</v>
      </c>
      <c r="D579" s="4" t="s">
        <v>45</v>
      </c>
      <c r="E579" s="4" t="s">
        <v>25</v>
      </c>
      <c r="F579" s="4" t="s">
        <v>25</v>
      </c>
      <c r="G579" s="4" t="s">
        <v>25</v>
      </c>
      <c r="H579" s="4" t="s">
        <v>36</v>
      </c>
      <c r="I579" s="5">
        <v>44805</v>
      </c>
      <c r="J579" s="6">
        <v>0</v>
      </c>
      <c r="K579" s="6">
        <v>0</v>
      </c>
      <c r="L579" s="6">
        <v>54.771000000000001</v>
      </c>
      <c r="M579" s="6">
        <v>54.771000000000001</v>
      </c>
      <c r="N579" s="6">
        <v>54.771000000000001</v>
      </c>
      <c r="O579" s="6">
        <v>54.771000000000001</v>
      </c>
      <c r="P579" s="6">
        <v>0</v>
      </c>
      <c r="Q579" s="4" t="s">
        <v>26</v>
      </c>
      <c r="R579" s="4">
        <v>0</v>
      </c>
      <c r="S579" s="6">
        <v>0</v>
      </c>
      <c r="T579" s="6">
        <v>28</v>
      </c>
      <c r="U579" s="6">
        <v>74</v>
      </c>
      <c r="V579" s="6">
        <f>IF(ISERROR(VLOOKUP($S$579,'TAR FIN'!$A$1:$O$115,15,0)),0,VLOOKUP($S$579,'TAR FIN'!$A$1:$O$115,15,0))</f>
        <v>0</v>
      </c>
      <c r="W579" s="6">
        <f>IF(ISERROR(VLOOKUP($T$579,'TAR FIN'!$A$1:$O$115,15,0)),0,VLOOKUP($T$579,'TAR FIN'!$A$1:$O$115,15,0))</f>
        <v>1448.96</v>
      </c>
      <c r="X579" s="6">
        <f>IF(ISERROR(VLOOKUP($U$579,'TAR FIN'!$A$1:$O$115,15,0)),0,VLOOKUP($U$579,'TAR FIN'!$A$1:$O$115,15,0))</f>
        <v>270.3</v>
      </c>
      <c r="Y579" s="6"/>
      <c r="Z579" s="6">
        <f ca="1">('TUSD BE'!$AM$28+'TUSD BF'!$AM$28+'TUSD CVA'!$AM$28)*1</f>
        <v>1480.1280206491922</v>
      </c>
      <c r="AA579" s="6">
        <f>('TE BE'!$AB$11+'TE BF'!$AB$11+'TE CVA'!$AB$11)*1</f>
        <v>362.64398683254075</v>
      </c>
      <c r="AB579" s="6">
        <f>$K$579*$V$579</f>
        <v>0</v>
      </c>
      <c r="AC579" s="6">
        <f>$M$579*$W$579</f>
        <v>79360.988160000008</v>
      </c>
      <c r="AD579" s="6">
        <f>$O$579*$X$579</f>
        <v>14804.6013</v>
      </c>
      <c r="AE579" s="6">
        <f>$K$579*$Y$579</f>
        <v>0</v>
      </c>
      <c r="AF579" s="6">
        <f ca="1">$M$579*$Z$579</f>
        <v>81068.0918189769</v>
      </c>
      <c r="AG579" s="6">
        <f>$O$579*$AA$579</f>
        <v>19862.37380280509</v>
      </c>
    </row>
    <row r="580" spans="1:33" ht="11.25" customHeight="1" x14ac:dyDescent="0.25">
      <c r="A580" s="4" t="s">
        <v>21</v>
      </c>
      <c r="B580" s="4" t="s">
        <v>41</v>
      </c>
      <c r="C580" s="4" t="s">
        <v>44</v>
      </c>
      <c r="D580" s="4" t="s">
        <v>45</v>
      </c>
      <c r="E580" s="4" t="s">
        <v>25</v>
      </c>
      <c r="F580" s="4" t="s">
        <v>25</v>
      </c>
      <c r="G580" s="4" t="s">
        <v>25</v>
      </c>
      <c r="H580" s="4" t="s">
        <v>36</v>
      </c>
      <c r="I580" s="5">
        <v>44835</v>
      </c>
      <c r="J580" s="6">
        <v>0</v>
      </c>
      <c r="K580" s="6">
        <v>0</v>
      </c>
      <c r="L580" s="6">
        <v>301.10399999999998</v>
      </c>
      <c r="M580" s="6">
        <v>301.10399999999998</v>
      </c>
      <c r="N580" s="6">
        <v>301.10399999999998</v>
      </c>
      <c r="O580" s="6">
        <v>301.10399999999998</v>
      </c>
      <c r="P580" s="6">
        <v>0</v>
      </c>
      <c r="Q580" s="4" t="s">
        <v>26</v>
      </c>
      <c r="R580" s="4">
        <v>0</v>
      </c>
      <c r="S580" s="6">
        <v>0</v>
      </c>
      <c r="T580" s="6">
        <v>28</v>
      </c>
      <c r="U580" s="6">
        <v>74</v>
      </c>
      <c r="V580" s="6">
        <f>IF(ISERROR(VLOOKUP($S$580,'TAR FIN'!$A$1:$O$115,15,0)),0,VLOOKUP($S$580,'TAR FIN'!$A$1:$O$115,15,0))</f>
        <v>0</v>
      </c>
      <c r="W580" s="6">
        <f>IF(ISERROR(VLOOKUP($T$580,'TAR FIN'!$A$1:$O$115,15,0)),0,VLOOKUP($T$580,'TAR FIN'!$A$1:$O$115,15,0))</f>
        <v>1448.96</v>
      </c>
      <c r="X580" s="6">
        <f>IF(ISERROR(VLOOKUP($U$580,'TAR FIN'!$A$1:$O$115,15,0)),0,VLOOKUP($U$580,'TAR FIN'!$A$1:$O$115,15,0))</f>
        <v>270.3</v>
      </c>
      <c r="Y580" s="6"/>
      <c r="Z580" s="6">
        <f ca="1">('TUSD BE'!$AM$28+'TUSD BF'!$AM$28+'TUSD CVA'!$AM$28)*1</f>
        <v>1480.1280206491922</v>
      </c>
      <c r="AA580" s="6">
        <f>('TE BE'!$AB$11+'TE BF'!$AB$11+'TE CVA'!$AB$11)*1</f>
        <v>362.64398683254075</v>
      </c>
      <c r="AB580" s="6">
        <f>$K$580*$V$580</f>
        <v>0</v>
      </c>
      <c r="AC580" s="6">
        <f>$M$580*$W$580</f>
        <v>436287.65184000001</v>
      </c>
      <c r="AD580" s="6">
        <f>$O$580*$X$580</f>
        <v>81388.411200000002</v>
      </c>
      <c r="AE580" s="6">
        <f>$K$580*$Y$580</f>
        <v>0</v>
      </c>
      <c r="AF580" s="6">
        <f ca="1">$M$580*$Z$580</f>
        <v>445672.46752955433</v>
      </c>
      <c r="AG580" s="6">
        <f>$O$580*$AA$580</f>
        <v>109193.55501122534</v>
      </c>
    </row>
    <row r="581" spans="1:33" ht="11.25" customHeight="1" x14ac:dyDescent="0.25">
      <c r="A581" s="4" t="s">
        <v>28</v>
      </c>
      <c r="B581" s="4" t="s">
        <v>41</v>
      </c>
      <c r="C581" s="4" t="s">
        <v>44</v>
      </c>
      <c r="D581" s="4" t="s">
        <v>45</v>
      </c>
      <c r="E581" s="4" t="s">
        <v>25</v>
      </c>
      <c r="F581" s="4" t="s">
        <v>25</v>
      </c>
      <c r="G581" s="4" t="s">
        <v>25</v>
      </c>
      <c r="H581" s="4" t="s">
        <v>36</v>
      </c>
      <c r="I581" s="5">
        <v>44835</v>
      </c>
      <c r="J581" s="6">
        <v>0</v>
      </c>
      <c r="K581" s="6">
        <v>0</v>
      </c>
      <c r="L581" s="6">
        <v>58.012999999999998</v>
      </c>
      <c r="M581" s="6">
        <v>58.012999999999998</v>
      </c>
      <c r="N581" s="6">
        <v>58.012999999999998</v>
      </c>
      <c r="O581" s="6">
        <v>58.012999999999998</v>
      </c>
      <c r="P581" s="6">
        <v>0</v>
      </c>
      <c r="Q581" s="4" t="s">
        <v>26</v>
      </c>
      <c r="R581" s="4">
        <v>0</v>
      </c>
      <c r="S581" s="6">
        <v>0</v>
      </c>
      <c r="T581" s="6">
        <v>28</v>
      </c>
      <c r="U581" s="6">
        <v>74</v>
      </c>
      <c r="V581" s="6">
        <f>IF(ISERROR(VLOOKUP($S$581,'TAR FIN'!$A$1:$O$115,15,0)),0,VLOOKUP($S$581,'TAR FIN'!$A$1:$O$115,15,0))</f>
        <v>0</v>
      </c>
      <c r="W581" s="6">
        <f>IF(ISERROR(VLOOKUP($T$581,'TAR FIN'!$A$1:$O$115,15,0)),0,VLOOKUP($T$581,'TAR FIN'!$A$1:$O$115,15,0))</f>
        <v>1448.96</v>
      </c>
      <c r="X581" s="6">
        <f>IF(ISERROR(VLOOKUP($U$581,'TAR FIN'!$A$1:$O$115,15,0)),0,VLOOKUP($U$581,'TAR FIN'!$A$1:$O$115,15,0))</f>
        <v>270.3</v>
      </c>
      <c r="Y581" s="6"/>
      <c r="Z581" s="6">
        <f ca="1">('TUSD BE'!$AM$28+'TUSD BF'!$AM$28+'TUSD CVA'!$AM$28)*1</f>
        <v>1480.1280206491922</v>
      </c>
      <c r="AA581" s="6">
        <f>('TE BE'!$AB$11+'TE BF'!$AB$11+'TE CVA'!$AB$11)*1</f>
        <v>362.64398683254075</v>
      </c>
      <c r="AB581" s="6">
        <f>$K$581*$V$581</f>
        <v>0</v>
      </c>
      <c r="AC581" s="6">
        <f>$M$581*$W$581</f>
        <v>84058.516480000006</v>
      </c>
      <c r="AD581" s="6">
        <f>$O$581*$X$581</f>
        <v>15680.9139</v>
      </c>
      <c r="AE581" s="6">
        <f>$K$581*$Y$581</f>
        <v>0</v>
      </c>
      <c r="AF581" s="6">
        <f ca="1">$M$581*$Z$581</f>
        <v>85866.666861921578</v>
      </c>
      <c r="AG581" s="6">
        <f>$O$581*$AA$581</f>
        <v>21038.065608116187</v>
      </c>
    </row>
    <row r="582" spans="1:33" ht="11.25" customHeight="1" x14ac:dyDescent="0.25">
      <c r="A582" s="4" t="s">
        <v>30</v>
      </c>
      <c r="B582" s="4" t="s">
        <v>41</v>
      </c>
      <c r="C582" s="4" t="s">
        <v>44</v>
      </c>
      <c r="D582" s="4" t="s">
        <v>45</v>
      </c>
      <c r="E582" s="4" t="s">
        <v>25</v>
      </c>
      <c r="F582" s="4" t="s">
        <v>25</v>
      </c>
      <c r="G582" s="4" t="s">
        <v>25</v>
      </c>
      <c r="H582" s="4" t="s">
        <v>36</v>
      </c>
      <c r="I582" s="5">
        <v>44835</v>
      </c>
      <c r="J582" s="6">
        <v>0</v>
      </c>
      <c r="K582" s="6">
        <v>0</v>
      </c>
      <c r="L582" s="6">
        <v>55.640999999999998</v>
      </c>
      <c r="M582" s="6">
        <v>55.640999999999998</v>
      </c>
      <c r="N582" s="6">
        <v>55.640999999999998</v>
      </c>
      <c r="O582" s="6">
        <v>55.640999999999998</v>
      </c>
      <c r="P582" s="6">
        <v>0</v>
      </c>
      <c r="Q582" s="4" t="s">
        <v>26</v>
      </c>
      <c r="R582" s="4">
        <v>0</v>
      </c>
      <c r="S582" s="6">
        <v>0</v>
      </c>
      <c r="T582" s="6">
        <v>28</v>
      </c>
      <c r="U582" s="6">
        <v>74</v>
      </c>
      <c r="V582" s="6">
        <f>IF(ISERROR(VLOOKUP($S$582,'TAR FIN'!$A$1:$O$115,15,0)),0,VLOOKUP($S$582,'TAR FIN'!$A$1:$O$115,15,0))</f>
        <v>0</v>
      </c>
      <c r="W582" s="6">
        <f>IF(ISERROR(VLOOKUP($T$582,'TAR FIN'!$A$1:$O$115,15,0)),0,VLOOKUP($T$582,'TAR FIN'!$A$1:$O$115,15,0))</f>
        <v>1448.96</v>
      </c>
      <c r="X582" s="6">
        <f>IF(ISERROR(VLOOKUP($U$582,'TAR FIN'!$A$1:$O$115,15,0)),0,VLOOKUP($U$582,'TAR FIN'!$A$1:$O$115,15,0))</f>
        <v>270.3</v>
      </c>
      <c r="Y582" s="6"/>
      <c r="Z582" s="6">
        <f ca="1">('TUSD BE'!$AM$28+'TUSD BF'!$AM$28+'TUSD CVA'!$AM$28)*1</f>
        <v>1480.1280206491922</v>
      </c>
      <c r="AA582" s="6">
        <f>('TE BE'!$AB$11+'TE BF'!$AB$11+'TE CVA'!$AB$11)*1</f>
        <v>362.64398683254075</v>
      </c>
      <c r="AB582" s="6">
        <f>$K$582*$V$582</f>
        <v>0</v>
      </c>
      <c r="AC582" s="6">
        <f>$M$582*$W$582</f>
        <v>80621.583360000004</v>
      </c>
      <c r="AD582" s="6">
        <f>$O$582*$X$582</f>
        <v>15039.7623</v>
      </c>
      <c r="AE582" s="6">
        <f>$K$582*$Y$582</f>
        <v>0</v>
      </c>
      <c r="AF582" s="6">
        <f ca="1">$M$582*$Z$582</f>
        <v>82355.803196941706</v>
      </c>
      <c r="AG582" s="6">
        <f>$O$582*$AA$582</f>
        <v>20177.874071349401</v>
      </c>
    </row>
    <row r="583" spans="1:33" ht="11.25" customHeight="1" x14ac:dyDescent="0.25">
      <c r="A583" s="4" t="s">
        <v>59</v>
      </c>
      <c r="B583" s="4" t="s">
        <v>41</v>
      </c>
      <c r="C583" s="4" t="s">
        <v>44</v>
      </c>
      <c r="D583" s="4" t="s">
        <v>45</v>
      </c>
      <c r="E583" s="4" t="s">
        <v>25</v>
      </c>
      <c r="F583" s="4" t="s">
        <v>25</v>
      </c>
      <c r="G583" s="4" t="s">
        <v>25</v>
      </c>
      <c r="H583" s="4" t="s">
        <v>36</v>
      </c>
      <c r="I583" s="5">
        <v>44866</v>
      </c>
      <c r="J583" s="6">
        <v>0</v>
      </c>
      <c r="K583" s="6">
        <v>0</v>
      </c>
      <c r="L583" s="6">
        <v>301.10399999999998</v>
      </c>
      <c r="M583" s="6">
        <v>301.10399999999998</v>
      </c>
      <c r="N583" s="6">
        <v>301.10399999999998</v>
      </c>
      <c r="O583" s="6">
        <v>301.10399999999998</v>
      </c>
      <c r="P583" s="6">
        <v>0</v>
      </c>
      <c r="Q583" s="4" t="s">
        <v>26</v>
      </c>
      <c r="R583" s="4">
        <v>0</v>
      </c>
      <c r="S583" s="6">
        <v>0</v>
      </c>
      <c r="T583" s="6">
        <v>28</v>
      </c>
      <c r="U583" s="6">
        <v>74</v>
      </c>
      <c r="V583" s="6">
        <f>IF(ISERROR(VLOOKUP($S$583,'TAR FIN'!$A$1:$O$115,15,0)),0,VLOOKUP($S$583,'TAR FIN'!$A$1:$O$115,15,0))</f>
        <v>0</v>
      </c>
      <c r="W583" s="6">
        <f>IF(ISERROR(VLOOKUP($T$583,'TAR FIN'!$A$1:$O$115,15,0)),0,VLOOKUP($T$583,'TAR FIN'!$A$1:$O$115,15,0))</f>
        <v>1448.96</v>
      </c>
      <c r="X583" s="6">
        <f>IF(ISERROR(VLOOKUP($U$583,'TAR FIN'!$A$1:$O$115,15,0)),0,VLOOKUP($U$583,'TAR FIN'!$A$1:$O$115,15,0))</f>
        <v>270.3</v>
      </c>
      <c r="Y583" s="6"/>
      <c r="Z583" s="6">
        <f ca="1">('TUSD BE'!$AM$28+'TUSD BF'!$AM$28+'TUSD CVA'!$AM$28)*1</f>
        <v>1480.1280206491922</v>
      </c>
      <c r="AA583" s="6">
        <f>('TE BE'!$AB$11+'TE BF'!$AB$11+'TE CVA'!$AB$11)*1</f>
        <v>362.64398683254075</v>
      </c>
      <c r="AB583" s="6">
        <f>$K$583*$V$583</f>
        <v>0</v>
      </c>
      <c r="AC583" s="6">
        <f>$M$583*$W$583</f>
        <v>436287.65184000001</v>
      </c>
      <c r="AD583" s="6">
        <f>$O$583*$X$583</f>
        <v>81388.411200000002</v>
      </c>
      <c r="AE583" s="6">
        <f>$K$583*$Y$583</f>
        <v>0</v>
      </c>
      <c r="AF583" s="6">
        <f ca="1">$M$583*$Z$583</f>
        <v>445672.46752955433</v>
      </c>
      <c r="AG583" s="6">
        <f>$O$583*$AA$583</f>
        <v>109193.55501122534</v>
      </c>
    </row>
    <row r="584" spans="1:33" ht="11.25" customHeight="1" x14ac:dyDescent="0.25">
      <c r="A584" s="4" t="s">
        <v>59</v>
      </c>
      <c r="B584" s="4" t="s">
        <v>41</v>
      </c>
      <c r="C584" s="4" t="s">
        <v>44</v>
      </c>
      <c r="D584" s="4" t="s">
        <v>45</v>
      </c>
      <c r="E584" s="4" t="s">
        <v>25</v>
      </c>
      <c r="F584" s="4" t="s">
        <v>25</v>
      </c>
      <c r="G584" s="4" t="s">
        <v>25</v>
      </c>
      <c r="H584" s="4" t="s">
        <v>36</v>
      </c>
      <c r="I584" s="5">
        <v>44866</v>
      </c>
      <c r="J584" s="6">
        <v>0</v>
      </c>
      <c r="K584" s="6">
        <v>0</v>
      </c>
      <c r="L584" s="6">
        <v>58.012999999999998</v>
      </c>
      <c r="M584" s="6">
        <v>58.012999999999998</v>
      </c>
      <c r="N584" s="6">
        <v>58.012999999999998</v>
      </c>
      <c r="O584" s="6">
        <v>58.012999999999998</v>
      </c>
      <c r="P584" s="6">
        <v>0</v>
      </c>
      <c r="Q584" s="4" t="s">
        <v>26</v>
      </c>
      <c r="R584" s="4">
        <v>0</v>
      </c>
      <c r="S584" s="6">
        <v>0</v>
      </c>
      <c r="T584" s="6">
        <v>28</v>
      </c>
      <c r="U584" s="6">
        <v>74</v>
      </c>
      <c r="V584" s="6">
        <f>IF(ISERROR(VLOOKUP($S$584,'TAR FIN'!$A$1:$O$115,15,0)),0,VLOOKUP($S$584,'TAR FIN'!$A$1:$O$115,15,0))</f>
        <v>0</v>
      </c>
      <c r="W584" s="6">
        <f>IF(ISERROR(VLOOKUP($T$584,'TAR FIN'!$A$1:$O$115,15,0)),0,VLOOKUP($T$584,'TAR FIN'!$A$1:$O$115,15,0))</f>
        <v>1448.96</v>
      </c>
      <c r="X584" s="6">
        <f>IF(ISERROR(VLOOKUP($U$584,'TAR FIN'!$A$1:$O$115,15,0)),0,VLOOKUP($U$584,'TAR FIN'!$A$1:$O$115,15,0))</f>
        <v>270.3</v>
      </c>
      <c r="Y584" s="6"/>
      <c r="Z584" s="6">
        <f ca="1">('TUSD BE'!$AM$28+'TUSD BF'!$AM$28+'TUSD CVA'!$AM$28)*1</f>
        <v>1480.1280206491922</v>
      </c>
      <c r="AA584" s="6">
        <f>('TE BE'!$AB$11+'TE BF'!$AB$11+'TE CVA'!$AB$11)*1</f>
        <v>362.64398683254075</v>
      </c>
      <c r="AB584" s="6">
        <f>$K$584*$V$584</f>
        <v>0</v>
      </c>
      <c r="AC584" s="6">
        <f>$M$584*$W$584</f>
        <v>84058.516480000006</v>
      </c>
      <c r="AD584" s="6">
        <f>$O$584*$X$584</f>
        <v>15680.9139</v>
      </c>
      <c r="AE584" s="6">
        <f>$K$584*$Y$584</f>
        <v>0</v>
      </c>
      <c r="AF584" s="6">
        <f ca="1">$M$584*$Z$584</f>
        <v>85866.666861921578</v>
      </c>
      <c r="AG584" s="6">
        <f>$O$584*$AA$584</f>
        <v>21038.065608116187</v>
      </c>
    </row>
    <row r="585" spans="1:33" ht="11.25" customHeight="1" x14ac:dyDescent="0.25">
      <c r="A585" s="4" t="s">
        <v>59</v>
      </c>
      <c r="B585" s="4" t="s">
        <v>41</v>
      </c>
      <c r="C585" s="4" t="s">
        <v>44</v>
      </c>
      <c r="D585" s="4" t="s">
        <v>45</v>
      </c>
      <c r="E585" s="4" t="s">
        <v>25</v>
      </c>
      <c r="F585" s="4" t="s">
        <v>25</v>
      </c>
      <c r="G585" s="4" t="s">
        <v>25</v>
      </c>
      <c r="H585" s="4" t="s">
        <v>36</v>
      </c>
      <c r="I585" s="5">
        <v>44866</v>
      </c>
      <c r="J585" s="6">
        <v>0</v>
      </c>
      <c r="K585" s="6">
        <v>0</v>
      </c>
      <c r="L585" s="6">
        <v>55.640999999999998</v>
      </c>
      <c r="M585" s="6">
        <v>55.640999999999998</v>
      </c>
      <c r="N585" s="6">
        <v>55.640999999999998</v>
      </c>
      <c r="O585" s="6">
        <v>55.640999999999998</v>
      </c>
      <c r="P585" s="6">
        <v>0</v>
      </c>
      <c r="Q585" s="4" t="s">
        <v>26</v>
      </c>
      <c r="R585" s="4">
        <v>0</v>
      </c>
      <c r="S585" s="6">
        <v>0</v>
      </c>
      <c r="T585" s="6">
        <v>28</v>
      </c>
      <c r="U585" s="6">
        <v>74</v>
      </c>
      <c r="V585" s="6">
        <f>IF(ISERROR(VLOOKUP($S$585,'TAR FIN'!$A$1:$O$115,15,0)),0,VLOOKUP($S$585,'TAR FIN'!$A$1:$O$115,15,0))</f>
        <v>0</v>
      </c>
      <c r="W585" s="6">
        <f>IF(ISERROR(VLOOKUP($T$585,'TAR FIN'!$A$1:$O$115,15,0)),0,VLOOKUP($T$585,'TAR FIN'!$A$1:$O$115,15,0))</f>
        <v>1448.96</v>
      </c>
      <c r="X585" s="6">
        <f>IF(ISERROR(VLOOKUP($U$585,'TAR FIN'!$A$1:$O$115,15,0)),0,VLOOKUP($U$585,'TAR FIN'!$A$1:$O$115,15,0))</f>
        <v>270.3</v>
      </c>
      <c r="Y585" s="6"/>
      <c r="Z585" s="6">
        <f ca="1">('TUSD BE'!$AM$28+'TUSD BF'!$AM$28+'TUSD CVA'!$AM$28)*1</f>
        <v>1480.1280206491922</v>
      </c>
      <c r="AA585" s="6">
        <f>('TE BE'!$AB$11+'TE BF'!$AB$11+'TE CVA'!$AB$11)*1</f>
        <v>362.64398683254075</v>
      </c>
      <c r="AB585" s="6">
        <f>$K$585*$V$585</f>
        <v>0</v>
      </c>
      <c r="AC585" s="6">
        <f>$M$585*$W$585</f>
        <v>80621.583360000004</v>
      </c>
      <c r="AD585" s="6">
        <f>$O$585*$X$585</f>
        <v>15039.7623</v>
      </c>
      <c r="AE585" s="6">
        <f>$K$585*$Y$585</f>
        <v>0</v>
      </c>
      <c r="AF585" s="6">
        <f ca="1">$M$585*$Z$585</f>
        <v>82355.803196941706</v>
      </c>
      <c r="AG585" s="6">
        <f>$O$585*$AA$585</f>
        <v>20177.874071349401</v>
      </c>
    </row>
    <row r="586" spans="1:33" ht="11.25" customHeight="1" x14ac:dyDescent="0.25">
      <c r="A586" s="4" t="s">
        <v>21</v>
      </c>
      <c r="B586" s="4" t="s">
        <v>41</v>
      </c>
      <c r="C586" s="4" t="s">
        <v>44</v>
      </c>
      <c r="D586" s="4" t="s">
        <v>54</v>
      </c>
      <c r="E586" s="4" t="s">
        <v>25</v>
      </c>
      <c r="F586" s="4" t="s">
        <v>25</v>
      </c>
      <c r="G586" s="4" t="s">
        <v>25</v>
      </c>
      <c r="H586" s="4" t="s">
        <v>37</v>
      </c>
      <c r="I586" s="5">
        <v>44531</v>
      </c>
      <c r="J586" s="6">
        <v>0</v>
      </c>
      <c r="K586" s="6">
        <v>0</v>
      </c>
      <c r="L586" s="6">
        <v>40.799999999999997</v>
      </c>
      <c r="M586" s="6">
        <v>40.799999999999997</v>
      </c>
      <c r="N586" s="6">
        <v>40.799999999999997</v>
      </c>
      <c r="O586" s="6">
        <v>40.799999999999997</v>
      </c>
      <c r="P586" s="6">
        <v>0</v>
      </c>
      <c r="Q586" s="4" t="s">
        <v>26</v>
      </c>
      <c r="R586" s="4">
        <v>0</v>
      </c>
      <c r="S586" s="6">
        <v>0</v>
      </c>
      <c r="T586" s="6">
        <v>29</v>
      </c>
      <c r="U586" s="6">
        <v>75</v>
      </c>
      <c r="V586" s="6">
        <f>IF(ISERROR(VLOOKUP($S$586,'TAR FIN'!$A$1:$O$115,15,0)),0,VLOOKUP($S$586,'TAR FIN'!$A$1:$O$115,15,0))</f>
        <v>0</v>
      </c>
      <c r="W586" s="6">
        <f>IF(ISERROR(VLOOKUP($T$586,'TAR FIN'!$A$1:$O$115,15,0)),0,VLOOKUP($T$586,'TAR FIN'!$A$1:$O$115,15,0))</f>
        <v>84.31</v>
      </c>
      <c r="X586" s="6">
        <f>IF(ISERROR(VLOOKUP($U$586,'TAR FIN'!$A$1:$O$115,15,0)),0,VLOOKUP($U$586,'TAR FIN'!$A$1:$O$115,15,0))</f>
        <v>168.06</v>
      </c>
      <c r="Y586" s="6"/>
      <c r="Z586" s="6">
        <f ca="1">('TUSD BE'!$AM$29+'TUSD BF'!$AM$29+'TUSD CVA'!$AM$29)*1</f>
        <v>113.43121292628391</v>
      </c>
      <c r="AA586" s="6">
        <f>('TE BE'!$AB$12+'TE BF'!$AB$12+'TE CVA'!$AB$12)*1</f>
        <v>218.6854278594964</v>
      </c>
      <c r="AB586" s="6">
        <f>$K$586*$V$586</f>
        <v>0</v>
      </c>
      <c r="AC586" s="6">
        <f>$M$586*$W$586</f>
        <v>3439.848</v>
      </c>
      <c r="AD586" s="6">
        <f>$O$586*$X$586</f>
        <v>6856.848</v>
      </c>
      <c r="AE586" s="6">
        <f>$K$586*$Y$586</f>
        <v>0</v>
      </c>
      <c r="AF586" s="6">
        <f ca="1">$M$586*$Z$586</f>
        <v>4627.993487392383</v>
      </c>
      <c r="AG586" s="6">
        <f>$O$586*$AA$586</f>
        <v>8922.3654566674522</v>
      </c>
    </row>
    <row r="587" spans="1:33" ht="11.25" customHeight="1" x14ac:dyDescent="0.25">
      <c r="A587" s="4" t="s">
        <v>21</v>
      </c>
      <c r="B587" s="4" t="s">
        <v>41</v>
      </c>
      <c r="C587" s="4" t="s">
        <v>44</v>
      </c>
      <c r="D587" s="4" t="s">
        <v>54</v>
      </c>
      <c r="E587" s="4" t="s">
        <v>25</v>
      </c>
      <c r="F587" s="4" t="s">
        <v>25</v>
      </c>
      <c r="G587" s="4" t="s">
        <v>25</v>
      </c>
      <c r="H587" s="4" t="s">
        <v>37</v>
      </c>
      <c r="I587" s="5">
        <v>44562</v>
      </c>
      <c r="J587" s="6">
        <v>0</v>
      </c>
      <c r="K587" s="6">
        <v>0</v>
      </c>
      <c r="L587" s="6">
        <v>52.966999999999999</v>
      </c>
      <c r="M587" s="6">
        <v>52.966999999999999</v>
      </c>
      <c r="N587" s="6">
        <v>52.966999999999999</v>
      </c>
      <c r="O587" s="6">
        <v>52.966999999999999</v>
      </c>
      <c r="P587" s="6">
        <v>0</v>
      </c>
      <c r="Q587" s="4" t="s">
        <v>26</v>
      </c>
      <c r="R587" s="4">
        <v>0</v>
      </c>
      <c r="S587" s="6">
        <v>0</v>
      </c>
      <c r="T587" s="6">
        <v>29</v>
      </c>
      <c r="U587" s="6">
        <v>75</v>
      </c>
      <c r="V587" s="6">
        <f>IF(ISERROR(VLOOKUP($S$587,'TAR FIN'!$A$1:$O$115,15,0)),0,VLOOKUP($S$587,'TAR FIN'!$A$1:$O$115,15,0))</f>
        <v>0</v>
      </c>
      <c r="W587" s="6">
        <f>IF(ISERROR(VLOOKUP($T$587,'TAR FIN'!$A$1:$O$115,15,0)),0,VLOOKUP($T$587,'TAR FIN'!$A$1:$O$115,15,0))</f>
        <v>84.31</v>
      </c>
      <c r="X587" s="6">
        <f>IF(ISERROR(VLOOKUP($U$587,'TAR FIN'!$A$1:$O$115,15,0)),0,VLOOKUP($U$587,'TAR FIN'!$A$1:$O$115,15,0))</f>
        <v>168.06</v>
      </c>
      <c r="Y587" s="6"/>
      <c r="Z587" s="6">
        <f ca="1">('TUSD BE'!$AM$29+'TUSD BF'!$AM$29+'TUSD CVA'!$AM$29)*1</f>
        <v>113.43121292628391</v>
      </c>
      <c r="AA587" s="6">
        <f>('TE BE'!$AB$12+'TE BF'!$AB$12+'TE CVA'!$AB$12)*1</f>
        <v>218.6854278594964</v>
      </c>
      <c r="AB587" s="6">
        <f>$K$587*$V$587</f>
        <v>0</v>
      </c>
      <c r="AC587" s="6">
        <f>$M$587*$W$587</f>
        <v>4465.6477699999996</v>
      </c>
      <c r="AD587" s="6">
        <f>$O$587*$X$587</f>
        <v>8901.6340199999995</v>
      </c>
      <c r="AE587" s="6">
        <f>$K$587*$Y$587</f>
        <v>0</v>
      </c>
      <c r="AF587" s="6">
        <f ca="1">$M$587*$Z$587</f>
        <v>6008.1110550664798</v>
      </c>
      <c r="AG587" s="6">
        <f>$O$587*$AA$587</f>
        <v>11583.111057433945</v>
      </c>
    </row>
    <row r="588" spans="1:33" ht="11.25" customHeight="1" x14ac:dyDescent="0.25">
      <c r="A588" s="4" t="s">
        <v>21</v>
      </c>
      <c r="B588" s="4" t="s">
        <v>41</v>
      </c>
      <c r="C588" s="4" t="s">
        <v>44</v>
      </c>
      <c r="D588" s="4" t="s">
        <v>54</v>
      </c>
      <c r="E588" s="4" t="s">
        <v>25</v>
      </c>
      <c r="F588" s="4" t="s">
        <v>25</v>
      </c>
      <c r="G588" s="4" t="s">
        <v>25</v>
      </c>
      <c r="H588" s="4" t="s">
        <v>37</v>
      </c>
      <c r="I588" s="5">
        <v>44593</v>
      </c>
      <c r="J588" s="6">
        <v>0</v>
      </c>
      <c r="K588" s="6">
        <v>0</v>
      </c>
      <c r="L588" s="6">
        <v>57.942</v>
      </c>
      <c r="M588" s="6">
        <v>57.942</v>
      </c>
      <c r="N588" s="6">
        <v>57.942</v>
      </c>
      <c r="O588" s="6">
        <v>57.942</v>
      </c>
      <c r="P588" s="6">
        <v>0</v>
      </c>
      <c r="Q588" s="4" t="s">
        <v>26</v>
      </c>
      <c r="R588" s="4">
        <v>0</v>
      </c>
      <c r="S588" s="6">
        <v>0</v>
      </c>
      <c r="T588" s="6">
        <v>29</v>
      </c>
      <c r="U588" s="6">
        <v>75</v>
      </c>
      <c r="V588" s="6">
        <f>IF(ISERROR(VLOOKUP($S$588,'TAR FIN'!$A$1:$O$115,15,0)),0,VLOOKUP($S$588,'TAR FIN'!$A$1:$O$115,15,0))</f>
        <v>0</v>
      </c>
      <c r="W588" s="6">
        <f>IF(ISERROR(VLOOKUP($T$588,'TAR FIN'!$A$1:$O$115,15,0)),0,VLOOKUP($T$588,'TAR FIN'!$A$1:$O$115,15,0))</f>
        <v>84.31</v>
      </c>
      <c r="X588" s="6">
        <f>IF(ISERROR(VLOOKUP($U$588,'TAR FIN'!$A$1:$O$115,15,0)),0,VLOOKUP($U$588,'TAR FIN'!$A$1:$O$115,15,0))</f>
        <v>168.06</v>
      </c>
      <c r="Y588" s="6"/>
      <c r="Z588" s="6">
        <f ca="1">('TUSD BE'!$AM$29+'TUSD BF'!$AM$29+'TUSD CVA'!$AM$29)*1</f>
        <v>113.43121292628391</v>
      </c>
      <c r="AA588" s="6">
        <f>('TE BE'!$AB$12+'TE BF'!$AB$12+'TE CVA'!$AB$12)*1</f>
        <v>218.6854278594964</v>
      </c>
      <c r="AB588" s="6">
        <f>$K$588*$V$588</f>
        <v>0</v>
      </c>
      <c r="AC588" s="6">
        <f>$M$588*$W$588</f>
        <v>4885.0900200000005</v>
      </c>
      <c r="AD588" s="6">
        <f>$O$588*$X$588</f>
        <v>9737.7325199999996</v>
      </c>
      <c r="AE588" s="6">
        <f>$K$588*$Y$588</f>
        <v>0</v>
      </c>
      <c r="AF588" s="6">
        <f ca="1">$M$588*$Z$588</f>
        <v>6572.4313393747425</v>
      </c>
      <c r="AG588" s="6">
        <f>$O$588*$AA$588</f>
        <v>12671.07106103494</v>
      </c>
    </row>
    <row r="589" spans="1:33" ht="11.25" customHeight="1" x14ac:dyDescent="0.25">
      <c r="A589" s="4" t="s">
        <v>21</v>
      </c>
      <c r="B589" s="4" t="s">
        <v>41</v>
      </c>
      <c r="C589" s="4" t="s">
        <v>44</v>
      </c>
      <c r="D589" s="4" t="s">
        <v>54</v>
      </c>
      <c r="E589" s="4" t="s">
        <v>25</v>
      </c>
      <c r="F589" s="4" t="s">
        <v>25</v>
      </c>
      <c r="G589" s="4" t="s">
        <v>25</v>
      </c>
      <c r="H589" s="4" t="s">
        <v>37</v>
      </c>
      <c r="I589" s="5">
        <v>44621</v>
      </c>
      <c r="J589" s="6">
        <v>0</v>
      </c>
      <c r="K589" s="6">
        <v>0</v>
      </c>
      <c r="L589" s="6">
        <v>62.332999999999998</v>
      </c>
      <c r="M589" s="6">
        <v>62.332999999999998</v>
      </c>
      <c r="N589" s="6">
        <v>62.332999999999998</v>
      </c>
      <c r="O589" s="6">
        <v>62.332999999999998</v>
      </c>
      <c r="P589" s="6">
        <v>0</v>
      </c>
      <c r="Q589" s="4" t="s">
        <v>26</v>
      </c>
      <c r="R589" s="4">
        <v>0</v>
      </c>
      <c r="S589" s="6">
        <v>0</v>
      </c>
      <c r="T589" s="6">
        <v>29</v>
      </c>
      <c r="U589" s="6">
        <v>75</v>
      </c>
      <c r="V589" s="6">
        <f>IF(ISERROR(VLOOKUP($S$589,'TAR FIN'!$A$1:$O$115,15,0)),0,VLOOKUP($S$589,'TAR FIN'!$A$1:$O$115,15,0))</f>
        <v>0</v>
      </c>
      <c r="W589" s="6">
        <f>IF(ISERROR(VLOOKUP($T$589,'TAR FIN'!$A$1:$O$115,15,0)),0,VLOOKUP($T$589,'TAR FIN'!$A$1:$O$115,15,0))</f>
        <v>84.31</v>
      </c>
      <c r="X589" s="6">
        <f>IF(ISERROR(VLOOKUP($U$589,'TAR FIN'!$A$1:$O$115,15,0)),0,VLOOKUP($U$589,'TAR FIN'!$A$1:$O$115,15,0))</f>
        <v>168.06</v>
      </c>
      <c r="Y589" s="6"/>
      <c r="Z589" s="6">
        <f ca="1">('TUSD BE'!$AM$29+'TUSD BF'!$AM$29+'TUSD CVA'!$AM$29)*1</f>
        <v>113.43121292628391</v>
      </c>
      <c r="AA589" s="6">
        <f>('TE BE'!$AB$12+'TE BF'!$AB$12+'TE CVA'!$AB$12)*1</f>
        <v>218.6854278594964</v>
      </c>
      <c r="AB589" s="6">
        <f>$K$589*$V$589</f>
        <v>0</v>
      </c>
      <c r="AC589" s="6">
        <f>$M$589*$W$589</f>
        <v>5255.2952299999997</v>
      </c>
      <c r="AD589" s="6">
        <f>$O$589*$X$589</f>
        <v>10475.68398</v>
      </c>
      <c r="AE589" s="6">
        <f>$K$589*$Y$589</f>
        <v>0</v>
      </c>
      <c r="AF589" s="6">
        <f ca="1">$M$589*$Z$589</f>
        <v>7070.5077953340542</v>
      </c>
      <c r="AG589" s="6">
        <f>$O$589*$AA$589</f>
        <v>13631.318774765989</v>
      </c>
    </row>
    <row r="590" spans="1:33" ht="11.25" customHeight="1" x14ac:dyDescent="0.25">
      <c r="A590" s="4" t="s">
        <v>21</v>
      </c>
      <c r="B590" s="4" t="s">
        <v>41</v>
      </c>
      <c r="C590" s="4" t="s">
        <v>44</v>
      </c>
      <c r="D590" s="4" t="s">
        <v>54</v>
      </c>
      <c r="E590" s="4" t="s">
        <v>25</v>
      </c>
      <c r="F590" s="4" t="s">
        <v>25</v>
      </c>
      <c r="G590" s="4" t="s">
        <v>25</v>
      </c>
      <c r="H590" s="4" t="s">
        <v>37</v>
      </c>
      <c r="I590" s="5">
        <v>44652</v>
      </c>
      <c r="J590" s="6">
        <v>0</v>
      </c>
      <c r="K590" s="6">
        <v>0</v>
      </c>
      <c r="L590" s="6">
        <v>61.194000000000003</v>
      </c>
      <c r="M590" s="6">
        <v>61.194000000000003</v>
      </c>
      <c r="N590" s="6">
        <v>61.194000000000003</v>
      </c>
      <c r="O590" s="6">
        <v>61.194000000000003</v>
      </c>
      <c r="P590" s="6">
        <v>0</v>
      </c>
      <c r="Q590" s="4" t="s">
        <v>26</v>
      </c>
      <c r="R590" s="4">
        <v>0</v>
      </c>
      <c r="S590" s="6">
        <v>0</v>
      </c>
      <c r="T590" s="6">
        <v>29</v>
      </c>
      <c r="U590" s="6">
        <v>75</v>
      </c>
      <c r="V590" s="6">
        <f>IF(ISERROR(VLOOKUP($S$590,'TAR FIN'!$A$1:$O$115,15,0)),0,VLOOKUP($S$590,'TAR FIN'!$A$1:$O$115,15,0))</f>
        <v>0</v>
      </c>
      <c r="W590" s="6">
        <f>IF(ISERROR(VLOOKUP($T$590,'TAR FIN'!$A$1:$O$115,15,0)),0,VLOOKUP($T$590,'TAR FIN'!$A$1:$O$115,15,0))</f>
        <v>84.31</v>
      </c>
      <c r="X590" s="6">
        <f>IF(ISERROR(VLOOKUP($U$590,'TAR FIN'!$A$1:$O$115,15,0)),0,VLOOKUP($U$590,'TAR FIN'!$A$1:$O$115,15,0))</f>
        <v>168.06</v>
      </c>
      <c r="Y590" s="6"/>
      <c r="Z590" s="6">
        <f ca="1">('TUSD BE'!$AM$29+'TUSD BF'!$AM$29+'TUSD CVA'!$AM$29)*1</f>
        <v>113.43121292628391</v>
      </c>
      <c r="AA590" s="6">
        <f>('TE BE'!$AB$12+'TE BF'!$AB$12+'TE CVA'!$AB$12)*1</f>
        <v>218.6854278594964</v>
      </c>
      <c r="AB590" s="6">
        <f>$K$590*$V$590</f>
        <v>0</v>
      </c>
      <c r="AC590" s="6">
        <f>$M$590*$W$590</f>
        <v>5159.2661400000006</v>
      </c>
      <c r="AD590" s="6">
        <f>$O$590*$X$590</f>
        <v>10284.263640000001</v>
      </c>
      <c r="AE590" s="6">
        <f>$K$590*$Y$590</f>
        <v>0</v>
      </c>
      <c r="AF590" s="6">
        <f ca="1">$M$590*$Z$590</f>
        <v>6941.3096438110178</v>
      </c>
      <c r="AG590" s="6">
        <f>$O$590*$AA$590</f>
        <v>13382.236072434023</v>
      </c>
    </row>
    <row r="591" spans="1:33" ht="11.25" customHeight="1" x14ac:dyDescent="0.25">
      <c r="A591" s="4" t="s">
        <v>21</v>
      </c>
      <c r="B591" s="4" t="s">
        <v>41</v>
      </c>
      <c r="C591" s="4" t="s">
        <v>44</v>
      </c>
      <c r="D591" s="4" t="s">
        <v>54</v>
      </c>
      <c r="E591" s="4" t="s">
        <v>25</v>
      </c>
      <c r="F591" s="4" t="s">
        <v>25</v>
      </c>
      <c r="G591" s="4" t="s">
        <v>25</v>
      </c>
      <c r="H591" s="4" t="s">
        <v>37</v>
      </c>
      <c r="I591" s="5">
        <v>44682</v>
      </c>
      <c r="J591" s="6">
        <v>0</v>
      </c>
      <c r="K591" s="6">
        <v>0</v>
      </c>
      <c r="L591" s="6">
        <v>65.216999999999999</v>
      </c>
      <c r="M591" s="6">
        <v>65.216999999999999</v>
      </c>
      <c r="N591" s="6">
        <v>65.216999999999999</v>
      </c>
      <c r="O591" s="6">
        <v>65.216999999999999</v>
      </c>
      <c r="P591" s="6">
        <v>0</v>
      </c>
      <c r="Q591" s="4" t="s">
        <v>26</v>
      </c>
      <c r="R591" s="4">
        <v>0</v>
      </c>
      <c r="S591" s="6">
        <v>0</v>
      </c>
      <c r="T591" s="6">
        <v>29</v>
      </c>
      <c r="U591" s="6">
        <v>75</v>
      </c>
      <c r="V591" s="6">
        <f>IF(ISERROR(VLOOKUP($S$591,'TAR FIN'!$A$1:$O$115,15,0)),0,VLOOKUP($S$591,'TAR FIN'!$A$1:$O$115,15,0))</f>
        <v>0</v>
      </c>
      <c r="W591" s="6">
        <f>IF(ISERROR(VLOOKUP($T$591,'TAR FIN'!$A$1:$O$115,15,0)),0,VLOOKUP($T$591,'TAR FIN'!$A$1:$O$115,15,0))</f>
        <v>84.31</v>
      </c>
      <c r="X591" s="6">
        <f>IF(ISERROR(VLOOKUP($U$591,'TAR FIN'!$A$1:$O$115,15,0)),0,VLOOKUP($U$591,'TAR FIN'!$A$1:$O$115,15,0))</f>
        <v>168.06</v>
      </c>
      <c r="Y591" s="6"/>
      <c r="Z591" s="6">
        <f ca="1">('TUSD BE'!$AM$29+'TUSD BF'!$AM$29+'TUSD CVA'!$AM$29)*1</f>
        <v>113.43121292628391</v>
      </c>
      <c r="AA591" s="6">
        <f>('TE BE'!$AB$12+'TE BF'!$AB$12+'TE CVA'!$AB$12)*1</f>
        <v>218.6854278594964</v>
      </c>
      <c r="AB591" s="6">
        <f>$K$591*$V$591</f>
        <v>0</v>
      </c>
      <c r="AC591" s="6">
        <f>$M$591*$W$591</f>
        <v>5498.4452700000002</v>
      </c>
      <c r="AD591" s="6">
        <f>$O$591*$X$591</f>
        <v>10960.36902</v>
      </c>
      <c r="AE591" s="6">
        <f>$K$591*$Y$591</f>
        <v>0</v>
      </c>
      <c r="AF591" s="6">
        <f ca="1">$M$591*$Z$591</f>
        <v>7397.643413413457</v>
      </c>
      <c r="AG591" s="6">
        <f>$O$591*$AA$591</f>
        <v>14262.007548712776</v>
      </c>
    </row>
    <row r="592" spans="1:33" ht="11.25" customHeight="1" x14ac:dyDescent="0.25">
      <c r="A592" s="4" t="s">
        <v>21</v>
      </c>
      <c r="B592" s="4" t="s">
        <v>41</v>
      </c>
      <c r="C592" s="4" t="s">
        <v>44</v>
      </c>
      <c r="D592" s="4" t="s">
        <v>54</v>
      </c>
      <c r="E592" s="4" t="s">
        <v>25</v>
      </c>
      <c r="F592" s="4" t="s">
        <v>25</v>
      </c>
      <c r="G592" s="4" t="s">
        <v>25</v>
      </c>
      <c r="H592" s="4" t="s">
        <v>37</v>
      </c>
      <c r="I592" s="5">
        <v>44713</v>
      </c>
      <c r="J592" s="6">
        <v>0</v>
      </c>
      <c r="K592" s="6">
        <v>0</v>
      </c>
      <c r="L592" s="6">
        <v>58.155000000000001</v>
      </c>
      <c r="M592" s="6">
        <v>58.155000000000001</v>
      </c>
      <c r="N592" s="6">
        <v>58.155000000000001</v>
      </c>
      <c r="O592" s="6">
        <v>58.155000000000001</v>
      </c>
      <c r="P592" s="6">
        <v>0</v>
      </c>
      <c r="Q592" s="4" t="s">
        <v>26</v>
      </c>
      <c r="R592" s="4">
        <v>0</v>
      </c>
      <c r="S592" s="6">
        <v>0</v>
      </c>
      <c r="T592" s="6">
        <v>29</v>
      </c>
      <c r="U592" s="6">
        <v>75</v>
      </c>
      <c r="V592" s="6">
        <f>IF(ISERROR(VLOOKUP($S$592,'TAR FIN'!$A$1:$O$115,15,0)),0,VLOOKUP($S$592,'TAR FIN'!$A$1:$O$115,15,0))</f>
        <v>0</v>
      </c>
      <c r="W592" s="6">
        <f>IF(ISERROR(VLOOKUP($T$592,'TAR FIN'!$A$1:$O$115,15,0)),0,VLOOKUP($T$592,'TAR FIN'!$A$1:$O$115,15,0))</f>
        <v>84.31</v>
      </c>
      <c r="X592" s="6">
        <f>IF(ISERROR(VLOOKUP($U$592,'TAR FIN'!$A$1:$O$115,15,0)),0,VLOOKUP($U$592,'TAR FIN'!$A$1:$O$115,15,0))</f>
        <v>168.06</v>
      </c>
      <c r="Y592" s="6"/>
      <c r="Z592" s="6">
        <f ca="1">('TUSD BE'!$AM$29+'TUSD BF'!$AM$29+'TUSD CVA'!$AM$29)*1</f>
        <v>113.43121292628391</v>
      </c>
      <c r="AA592" s="6">
        <f>('TE BE'!$AB$12+'TE BF'!$AB$12+'TE CVA'!$AB$12)*1</f>
        <v>218.6854278594964</v>
      </c>
      <c r="AB592" s="6">
        <f>$K$592*$V$592</f>
        <v>0</v>
      </c>
      <c r="AC592" s="6">
        <f>$M$592*$W$592</f>
        <v>4903.0480500000003</v>
      </c>
      <c r="AD592" s="6">
        <f>$O$592*$X$592</f>
        <v>9773.5293000000001</v>
      </c>
      <c r="AE592" s="6">
        <f>$K$592*$Y$592</f>
        <v>0</v>
      </c>
      <c r="AF592" s="6">
        <f ca="1">$M$592*$Z$592</f>
        <v>6596.5921877280407</v>
      </c>
      <c r="AG592" s="6">
        <f>$O$592*$AA$592</f>
        <v>12717.651057169014</v>
      </c>
    </row>
    <row r="593" spans="1:33" ht="11.25" customHeight="1" x14ac:dyDescent="0.25">
      <c r="A593" s="4" t="s">
        <v>21</v>
      </c>
      <c r="B593" s="4" t="s">
        <v>41</v>
      </c>
      <c r="C593" s="4" t="s">
        <v>44</v>
      </c>
      <c r="D593" s="4" t="s">
        <v>54</v>
      </c>
      <c r="E593" s="4" t="s">
        <v>25</v>
      </c>
      <c r="F593" s="4" t="s">
        <v>25</v>
      </c>
      <c r="G593" s="4" t="s">
        <v>25</v>
      </c>
      <c r="H593" s="4" t="s">
        <v>37</v>
      </c>
      <c r="I593" s="5">
        <v>44743</v>
      </c>
      <c r="J593" s="6">
        <v>0</v>
      </c>
      <c r="K593" s="6">
        <v>0</v>
      </c>
      <c r="L593" s="6">
        <v>72.296999999999997</v>
      </c>
      <c r="M593" s="6">
        <v>72.296999999999997</v>
      </c>
      <c r="N593" s="6">
        <v>72.296999999999997</v>
      </c>
      <c r="O593" s="6">
        <v>72.296999999999997</v>
      </c>
      <c r="P593" s="6">
        <v>0</v>
      </c>
      <c r="Q593" s="4" t="s">
        <v>26</v>
      </c>
      <c r="R593" s="4">
        <v>0</v>
      </c>
      <c r="S593" s="6">
        <v>0</v>
      </c>
      <c r="T593" s="6">
        <v>29</v>
      </c>
      <c r="U593" s="6">
        <v>75</v>
      </c>
      <c r="V593" s="6">
        <f>IF(ISERROR(VLOOKUP($S$593,'TAR FIN'!$A$1:$O$115,15,0)),0,VLOOKUP($S$593,'TAR FIN'!$A$1:$O$115,15,0))</f>
        <v>0</v>
      </c>
      <c r="W593" s="6">
        <f>IF(ISERROR(VLOOKUP($T$593,'TAR FIN'!$A$1:$O$115,15,0)),0,VLOOKUP($T$593,'TAR FIN'!$A$1:$O$115,15,0))</f>
        <v>84.31</v>
      </c>
      <c r="X593" s="6">
        <f>IF(ISERROR(VLOOKUP($U$593,'TAR FIN'!$A$1:$O$115,15,0)),0,VLOOKUP($U$593,'TAR FIN'!$A$1:$O$115,15,0))</f>
        <v>168.06</v>
      </c>
      <c r="Y593" s="6"/>
      <c r="Z593" s="6">
        <f ca="1">('TUSD BE'!$AM$29+'TUSD BF'!$AM$29+'TUSD CVA'!$AM$29)*1</f>
        <v>113.43121292628391</v>
      </c>
      <c r="AA593" s="6">
        <f>('TE BE'!$AB$12+'TE BF'!$AB$12+'TE CVA'!$AB$12)*1</f>
        <v>218.6854278594964</v>
      </c>
      <c r="AB593" s="6">
        <f>$K$593*$V$593</f>
        <v>0</v>
      </c>
      <c r="AC593" s="6">
        <f>$M$593*$W$593</f>
        <v>6095.3600699999997</v>
      </c>
      <c r="AD593" s="6">
        <f>$O$593*$X$593</f>
        <v>12150.233819999999</v>
      </c>
      <c r="AE593" s="6">
        <f>$K$593*$Y$593</f>
        <v>0</v>
      </c>
      <c r="AF593" s="6">
        <f ca="1">$M$593*$Z$593</f>
        <v>8200.7364009315479</v>
      </c>
      <c r="AG593" s="6">
        <f>$O$593*$AA$593</f>
        <v>15810.30037795801</v>
      </c>
    </row>
    <row r="594" spans="1:33" ht="11.25" customHeight="1" x14ac:dyDescent="0.25">
      <c r="A594" s="4" t="s">
        <v>21</v>
      </c>
      <c r="B594" s="4" t="s">
        <v>41</v>
      </c>
      <c r="C594" s="4" t="s">
        <v>44</v>
      </c>
      <c r="D594" s="4" t="s">
        <v>54</v>
      </c>
      <c r="E594" s="4" t="s">
        <v>25</v>
      </c>
      <c r="F594" s="4" t="s">
        <v>25</v>
      </c>
      <c r="G594" s="4" t="s">
        <v>25</v>
      </c>
      <c r="H594" s="4" t="s">
        <v>37</v>
      </c>
      <c r="I594" s="5">
        <v>44774</v>
      </c>
      <c r="J594" s="6">
        <v>0</v>
      </c>
      <c r="K594" s="6">
        <v>0</v>
      </c>
      <c r="L594" s="6">
        <v>38.909999999999997</v>
      </c>
      <c r="M594" s="6">
        <v>38.909999999999997</v>
      </c>
      <c r="N594" s="6">
        <v>38.909999999999997</v>
      </c>
      <c r="O594" s="6">
        <v>38.909999999999997</v>
      </c>
      <c r="P594" s="6">
        <v>0</v>
      </c>
      <c r="Q594" s="4" t="s">
        <v>26</v>
      </c>
      <c r="R594" s="4">
        <v>0</v>
      </c>
      <c r="S594" s="6">
        <v>0</v>
      </c>
      <c r="T594" s="6">
        <v>29</v>
      </c>
      <c r="U594" s="6">
        <v>75</v>
      </c>
      <c r="V594" s="6">
        <f>IF(ISERROR(VLOOKUP($S$594,'TAR FIN'!$A$1:$O$115,15,0)),0,VLOOKUP($S$594,'TAR FIN'!$A$1:$O$115,15,0))</f>
        <v>0</v>
      </c>
      <c r="W594" s="6">
        <f>IF(ISERROR(VLOOKUP($T$594,'TAR FIN'!$A$1:$O$115,15,0)),0,VLOOKUP($T$594,'TAR FIN'!$A$1:$O$115,15,0))</f>
        <v>84.31</v>
      </c>
      <c r="X594" s="6">
        <f>IF(ISERROR(VLOOKUP($U$594,'TAR FIN'!$A$1:$O$115,15,0)),0,VLOOKUP($U$594,'TAR FIN'!$A$1:$O$115,15,0))</f>
        <v>168.06</v>
      </c>
      <c r="Y594" s="6"/>
      <c r="Z594" s="6">
        <f ca="1">('TUSD BE'!$AM$29+'TUSD BF'!$AM$29+'TUSD CVA'!$AM$29)*1</f>
        <v>113.43121292628391</v>
      </c>
      <c r="AA594" s="6">
        <f>('TE BE'!$AB$12+'TE BF'!$AB$12+'TE CVA'!$AB$12)*1</f>
        <v>218.6854278594964</v>
      </c>
      <c r="AB594" s="6">
        <f>$K$594*$V$594</f>
        <v>0</v>
      </c>
      <c r="AC594" s="6">
        <f>$M$594*$W$594</f>
        <v>3280.5020999999997</v>
      </c>
      <c r="AD594" s="6">
        <f>$O$594*$X$594</f>
        <v>6539.2145999999993</v>
      </c>
      <c r="AE594" s="6">
        <f>$K$594*$Y$594</f>
        <v>0</v>
      </c>
      <c r="AF594" s="6">
        <f ca="1">$M$594*$Z$594</f>
        <v>4413.6084949617061</v>
      </c>
      <c r="AG594" s="6">
        <f>$O$594*$AA$594</f>
        <v>8509.0499980130044</v>
      </c>
    </row>
    <row r="595" spans="1:33" ht="11.25" customHeight="1" x14ac:dyDescent="0.25">
      <c r="A595" s="4" t="s">
        <v>21</v>
      </c>
      <c r="B595" s="4" t="s">
        <v>41</v>
      </c>
      <c r="C595" s="4" t="s">
        <v>44</v>
      </c>
      <c r="D595" s="4" t="s">
        <v>54</v>
      </c>
      <c r="E595" s="4" t="s">
        <v>25</v>
      </c>
      <c r="F595" s="4" t="s">
        <v>25</v>
      </c>
      <c r="G595" s="4" t="s">
        <v>25</v>
      </c>
      <c r="H595" s="4" t="s">
        <v>37</v>
      </c>
      <c r="I595" s="5">
        <v>44805</v>
      </c>
      <c r="J595" s="6">
        <v>0</v>
      </c>
      <c r="K595" s="6">
        <v>0</v>
      </c>
      <c r="L595" s="6">
        <v>41.789000000000001</v>
      </c>
      <c r="M595" s="6">
        <v>41.789000000000001</v>
      </c>
      <c r="N595" s="6">
        <v>41.789000000000001</v>
      </c>
      <c r="O595" s="6">
        <v>41.789000000000001</v>
      </c>
      <c r="P595" s="6">
        <v>0</v>
      </c>
      <c r="Q595" s="4" t="s">
        <v>26</v>
      </c>
      <c r="R595" s="4">
        <v>0</v>
      </c>
      <c r="S595" s="6">
        <v>0</v>
      </c>
      <c r="T595" s="6">
        <v>29</v>
      </c>
      <c r="U595" s="6">
        <v>75</v>
      </c>
      <c r="V595" s="6">
        <f>IF(ISERROR(VLOOKUP($S$595,'TAR FIN'!$A$1:$O$115,15,0)),0,VLOOKUP($S$595,'TAR FIN'!$A$1:$O$115,15,0))</f>
        <v>0</v>
      </c>
      <c r="W595" s="6">
        <f>IF(ISERROR(VLOOKUP($T$595,'TAR FIN'!$A$1:$O$115,15,0)),0,VLOOKUP($T$595,'TAR FIN'!$A$1:$O$115,15,0))</f>
        <v>84.31</v>
      </c>
      <c r="X595" s="6">
        <f>IF(ISERROR(VLOOKUP($U$595,'TAR FIN'!$A$1:$O$115,15,0)),0,VLOOKUP($U$595,'TAR FIN'!$A$1:$O$115,15,0))</f>
        <v>168.06</v>
      </c>
      <c r="Y595" s="6"/>
      <c r="Z595" s="6">
        <f ca="1">('TUSD BE'!$AM$29+'TUSD BF'!$AM$29+'TUSD CVA'!$AM$29)*1</f>
        <v>113.43121292628391</v>
      </c>
      <c r="AA595" s="6">
        <f>('TE BE'!$AB$12+'TE BF'!$AB$12+'TE CVA'!$AB$12)*1</f>
        <v>218.6854278594964</v>
      </c>
      <c r="AB595" s="6">
        <f>$K$595*$V$595</f>
        <v>0</v>
      </c>
      <c r="AC595" s="6">
        <f>$M$595*$W$595</f>
        <v>3523.2305900000001</v>
      </c>
      <c r="AD595" s="6">
        <f>$O$595*$X$595</f>
        <v>7023.0593400000007</v>
      </c>
      <c r="AE595" s="6">
        <f>$K$595*$Y$595</f>
        <v>0</v>
      </c>
      <c r="AF595" s="6">
        <f ca="1">$M$595*$Z$595</f>
        <v>4740.1769569764783</v>
      </c>
      <c r="AG595" s="6">
        <f>$O$595*$AA$595</f>
        <v>9138.6453448204957</v>
      </c>
    </row>
    <row r="596" spans="1:33" ht="11.25" customHeight="1" x14ac:dyDescent="0.25">
      <c r="A596" s="4" t="s">
        <v>21</v>
      </c>
      <c r="B596" s="4" t="s">
        <v>41</v>
      </c>
      <c r="C596" s="4" t="s">
        <v>44</v>
      </c>
      <c r="D596" s="4" t="s">
        <v>54</v>
      </c>
      <c r="E596" s="4" t="s">
        <v>25</v>
      </c>
      <c r="F596" s="4" t="s">
        <v>25</v>
      </c>
      <c r="G596" s="4" t="s">
        <v>25</v>
      </c>
      <c r="H596" s="4" t="s">
        <v>37</v>
      </c>
      <c r="I596" s="5">
        <v>44835</v>
      </c>
      <c r="J596" s="6">
        <v>0</v>
      </c>
      <c r="K596" s="6">
        <v>0</v>
      </c>
      <c r="L596" s="6">
        <v>77.007999999999996</v>
      </c>
      <c r="M596" s="6">
        <v>77.007999999999996</v>
      </c>
      <c r="N596" s="6">
        <v>77.007999999999996</v>
      </c>
      <c r="O596" s="6">
        <v>77.007999999999996</v>
      </c>
      <c r="P596" s="6">
        <v>0</v>
      </c>
      <c r="Q596" s="4" t="s">
        <v>26</v>
      </c>
      <c r="R596" s="4">
        <v>0</v>
      </c>
      <c r="S596" s="6">
        <v>0</v>
      </c>
      <c r="T596" s="6">
        <v>29</v>
      </c>
      <c r="U596" s="6">
        <v>75</v>
      </c>
      <c r="V596" s="6">
        <f>IF(ISERROR(VLOOKUP($S$596,'TAR FIN'!$A$1:$O$115,15,0)),0,VLOOKUP($S$596,'TAR FIN'!$A$1:$O$115,15,0))</f>
        <v>0</v>
      </c>
      <c r="W596" s="6">
        <f>IF(ISERROR(VLOOKUP($T$596,'TAR FIN'!$A$1:$O$115,15,0)),0,VLOOKUP($T$596,'TAR FIN'!$A$1:$O$115,15,0))</f>
        <v>84.31</v>
      </c>
      <c r="X596" s="6">
        <f>IF(ISERROR(VLOOKUP($U$596,'TAR FIN'!$A$1:$O$115,15,0)),0,VLOOKUP($U$596,'TAR FIN'!$A$1:$O$115,15,0))</f>
        <v>168.06</v>
      </c>
      <c r="Y596" s="6"/>
      <c r="Z596" s="6">
        <f ca="1">('TUSD BE'!$AM$29+'TUSD BF'!$AM$29+'TUSD CVA'!$AM$29)*1</f>
        <v>113.43121292628391</v>
      </c>
      <c r="AA596" s="6">
        <f>('TE BE'!$AB$12+'TE BF'!$AB$12+'TE CVA'!$AB$12)*1</f>
        <v>218.6854278594964</v>
      </c>
      <c r="AB596" s="6">
        <f>$K$596*$V$596</f>
        <v>0</v>
      </c>
      <c r="AC596" s="6">
        <f>$M$596*$W$596</f>
        <v>6492.5444799999996</v>
      </c>
      <c r="AD596" s="6">
        <f>$O$596*$X$596</f>
        <v>12941.964479999999</v>
      </c>
      <c r="AE596" s="6">
        <f>$K$596*$Y$596</f>
        <v>0</v>
      </c>
      <c r="AF596" s="6">
        <f ca="1">$M$596*$Z$596</f>
        <v>8735.1108450272714</v>
      </c>
      <c r="AG596" s="6">
        <f>$O$596*$AA$596</f>
        <v>16840.527428604099</v>
      </c>
    </row>
    <row r="597" spans="1:33" ht="11.25" customHeight="1" x14ac:dyDescent="0.25">
      <c r="A597" s="4" t="s">
        <v>59</v>
      </c>
      <c r="B597" s="4" t="s">
        <v>41</v>
      </c>
      <c r="C597" s="4" t="s">
        <v>44</v>
      </c>
      <c r="D597" s="4" t="s">
        <v>54</v>
      </c>
      <c r="E597" s="4" t="s">
        <v>25</v>
      </c>
      <c r="F597" s="4" t="s">
        <v>25</v>
      </c>
      <c r="G597" s="4" t="s">
        <v>25</v>
      </c>
      <c r="H597" s="4" t="s">
        <v>37</v>
      </c>
      <c r="I597" s="5">
        <v>44866</v>
      </c>
      <c r="J597" s="6">
        <v>0</v>
      </c>
      <c r="K597" s="6">
        <v>0</v>
      </c>
      <c r="L597" s="6">
        <v>77.007999999999996</v>
      </c>
      <c r="M597" s="6">
        <v>77.007999999999996</v>
      </c>
      <c r="N597" s="6">
        <v>77.007999999999996</v>
      </c>
      <c r="O597" s="6">
        <v>77.007999999999996</v>
      </c>
      <c r="P597" s="6">
        <v>0</v>
      </c>
      <c r="Q597" s="4" t="s">
        <v>26</v>
      </c>
      <c r="R597" s="4">
        <v>0</v>
      </c>
      <c r="S597" s="6">
        <v>0</v>
      </c>
      <c r="T597" s="6">
        <v>29</v>
      </c>
      <c r="U597" s="6">
        <v>75</v>
      </c>
      <c r="V597" s="6">
        <f>IF(ISERROR(VLOOKUP($S$597,'TAR FIN'!$A$1:$O$115,15,0)),0,VLOOKUP($S$597,'TAR FIN'!$A$1:$O$115,15,0))</f>
        <v>0</v>
      </c>
      <c r="W597" s="6">
        <f>IF(ISERROR(VLOOKUP($T$597,'TAR FIN'!$A$1:$O$115,15,0)),0,VLOOKUP($T$597,'TAR FIN'!$A$1:$O$115,15,0))</f>
        <v>84.31</v>
      </c>
      <c r="X597" s="6">
        <f>IF(ISERROR(VLOOKUP($U$597,'TAR FIN'!$A$1:$O$115,15,0)),0,VLOOKUP($U$597,'TAR FIN'!$A$1:$O$115,15,0))</f>
        <v>168.06</v>
      </c>
      <c r="Y597" s="6"/>
      <c r="Z597" s="6">
        <f ca="1">('TUSD BE'!$AM$29+'TUSD BF'!$AM$29+'TUSD CVA'!$AM$29)*1</f>
        <v>113.43121292628391</v>
      </c>
      <c r="AA597" s="6">
        <f>('TE BE'!$AB$12+'TE BF'!$AB$12+'TE CVA'!$AB$12)*1</f>
        <v>218.6854278594964</v>
      </c>
      <c r="AB597" s="6">
        <f>$K$597*$V$597</f>
        <v>0</v>
      </c>
      <c r="AC597" s="6">
        <f>$M$597*$W$597</f>
        <v>6492.5444799999996</v>
      </c>
      <c r="AD597" s="6">
        <f>$O$597*$X$597</f>
        <v>12941.964479999999</v>
      </c>
      <c r="AE597" s="6">
        <f>$K$597*$Y$597</f>
        <v>0</v>
      </c>
      <c r="AF597" s="6">
        <f ca="1">$M$597*$Z$597</f>
        <v>8735.1108450272714</v>
      </c>
      <c r="AG597" s="6">
        <f>$O$597*$AA$597</f>
        <v>16840.527428604099</v>
      </c>
    </row>
    <row r="598" spans="1:33" ht="11.25" customHeight="1" x14ac:dyDescent="0.25">
      <c r="A598" s="4" t="s">
        <v>21</v>
      </c>
      <c r="B598" s="4" t="s">
        <v>41</v>
      </c>
      <c r="C598" s="4" t="s">
        <v>44</v>
      </c>
      <c r="D598" s="4" t="s">
        <v>54</v>
      </c>
      <c r="E598" s="4" t="s">
        <v>25</v>
      </c>
      <c r="F598" s="4" t="s">
        <v>25</v>
      </c>
      <c r="G598" s="4" t="s">
        <v>25</v>
      </c>
      <c r="H598" s="4" t="s">
        <v>25</v>
      </c>
      <c r="I598" s="5">
        <v>44531</v>
      </c>
      <c r="J598" s="6">
        <v>300</v>
      </c>
      <c r="K598" s="6">
        <v>300</v>
      </c>
      <c r="L598" s="6">
        <v>0</v>
      </c>
      <c r="M598" s="6">
        <v>0</v>
      </c>
      <c r="N598" s="6">
        <v>0</v>
      </c>
      <c r="O598" s="6">
        <v>0</v>
      </c>
      <c r="P598" s="6">
        <v>1</v>
      </c>
      <c r="Q598" s="4" t="s">
        <v>26</v>
      </c>
      <c r="R598" s="4">
        <v>0</v>
      </c>
      <c r="S598" s="6">
        <v>27</v>
      </c>
      <c r="T598" s="6">
        <v>0</v>
      </c>
      <c r="U598" s="6">
        <v>0</v>
      </c>
      <c r="V598" s="6">
        <f>IF(ISERROR(VLOOKUP($S$598,'TAR FIN'!$A$1:$O$115,15,0)),0,VLOOKUP($S$598,'TAR FIN'!$A$1:$O$115,15,0))</f>
        <v>19.8</v>
      </c>
      <c r="W598" s="6">
        <f>IF(ISERROR(VLOOKUP($T$598,'TAR FIN'!$A$1:$O$115,15,0)),0,VLOOKUP($T$598,'TAR FIN'!$A$1:$O$115,15,0))</f>
        <v>0</v>
      </c>
      <c r="X598" s="6">
        <f>IF(ISERROR(VLOOKUP($U$598,'TAR FIN'!$A$1:$O$115,15,0)),0,VLOOKUP($U$598,'TAR FIN'!$A$1:$O$115,15,0))</f>
        <v>0</v>
      </c>
      <c r="Y598" s="6">
        <f ca="1">('TUSD BE'!$AM$27+'TUSD BF'!$AM$27+'TUSD CVA'!$AM$27)*1</f>
        <v>20.615214330225772</v>
      </c>
      <c r="Z598" s="6"/>
      <c r="AA598" s="6"/>
      <c r="AB598" s="6">
        <f>$K$598*$V$598</f>
        <v>5940</v>
      </c>
      <c r="AC598" s="6">
        <f>$M$598*$W$598</f>
        <v>0</v>
      </c>
      <c r="AD598" s="6">
        <f>$O$598*$X$598</f>
        <v>0</v>
      </c>
      <c r="AE598" s="6">
        <f ca="1">$K$598*$Y$598</f>
        <v>6184.5642990677316</v>
      </c>
      <c r="AF598" s="6">
        <f>$M$598*$Z$598</f>
        <v>0</v>
      </c>
      <c r="AG598" s="6">
        <f>$O$598*$AA$598</f>
        <v>0</v>
      </c>
    </row>
    <row r="599" spans="1:33" ht="11.25" customHeight="1" x14ac:dyDescent="0.25">
      <c r="A599" s="4" t="s">
        <v>21</v>
      </c>
      <c r="B599" s="4" t="s">
        <v>41</v>
      </c>
      <c r="C599" s="4" t="s">
        <v>44</v>
      </c>
      <c r="D599" s="4" t="s">
        <v>54</v>
      </c>
      <c r="E599" s="4" t="s">
        <v>25</v>
      </c>
      <c r="F599" s="4" t="s">
        <v>25</v>
      </c>
      <c r="G599" s="4" t="s">
        <v>25</v>
      </c>
      <c r="H599" s="4" t="s">
        <v>25</v>
      </c>
      <c r="I599" s="5">
        <v>44562</v>
      </c>
      <c r="J599" s="6">
        <v>300</v>
      </c>
      <c r="K599" s="6">
        <v>300</v>
      </c>
      <c r="L599" s="6">
        <v>0</v>
      </c>
      <c r="M599" s="6">
        <v>0</v>
      </c>
      <c r="N599" s="6">
        <v>0</v>
      </c>
      <c r="O599" s="6">
        <v>0</v>
      </c>
      <c r="P599" s="6">
        <v>1</v>
      </c>
      <c r="Q599" s="4" t="s">
        <v>26</v>
      </c>
      <c r="R599" s="4">
        <v>0</v>
      </c>
      <c r="S599" s="6">
        <v>27</v>
      </c>
      <c r="T599" s="6">
        <v>0</v>
      </c>
      <c r="U599" s="6">
        <v>0</v>
      </c>
      <c r="V599" s="6">
        <f>IF(ISERROR(VLOOKUP($S$599,'TAR FIN'!$A$1:$O$115,15,0)),0,VLOOKUP($S$599,'TAR FIN'!$A$1:$O$115,15,0))</f>
        <v>19.8</v>
      </c>
      <c r="W599" s="6">
        <f>IF(ISERROR(VLOOKUP($T$599,'TAR FIN'!$A$1:$O$115,15,0)),0,VLOOKUP($T$599,'TAR FIN'!$A$1:$O$115,15,0))</f>
        <v>0</v>
      </c>
      <c r="X599" s="6">
        <f>IF(ISERROR(VLOOKUP($U$599,'TAR FIN'!$A$1:$O$115,15,0)),0,VLOOKUP($U$599,'TAR FIN'!$A$1:$O$115,15,0))</f>
        <v>0</v>
      </c>
      <c r="Y599" s="6">
        <f ca="1">('TUSD BE'!$AM$27+'TUSD BF'!$AM$27+'TUSD CVA'!$AM$27)*1</f>
        <v>20.615214330225772</v>
      </c>
      <c r="Z599" s="6"/>
      <c r="AA599" s="6"/>
      <c r="AB599" s="6">
        <f>$K$599*$V$599</f>
        <v>5940</v>
      </c>
      <c r="AC599" s="6">
        <f>$M$599*$W$599</f>
        <v>0</v>
      </c>
      <c r="AD599" s="6">
        <f>$O$599*$X$599</f>
        <v>0</v>
      </c>
      <c r="AE599" s="6">
        <f ca="1">$K$599*$Y$599</f>
        <v>6184.5642990677316</v>
      </c>
      <c r="AF599" s="6">
        <f>$M$599*$Z$599</f>
        <v>0</v>
      </c>
      <c r="AG599" s="6">
        <f>$O$599*$AA$599</f>
        <v>0</v>
      </c>
    </row>
    <row r="600" spans="1:33" ht="11.25" customHeight="1" x14ac:dyDescent="0.25">
      <c r="A600" s="4" t="s">
        <v>21</v>
      </c>
      <c r="B600" s="4" t="s">
        <v>41</v>
      </c>
      <c r="C600" s="4" t="s">
        <v>44</v>
      </c>
      <c r="D600" s="4" t="s">
        <v>54</v>
      </c>
      <c r="E600" s="4" t="s">
        <v>25</v>
      </c>
      <c r="F600" s="4" t="s">
        <v>25</v>
      </c>
      <c r="G600" s="4" t="s">
        <v>25</v>
      </c>
      <c r="H600" s="4" t="s">
        <v>25</v>
      </c>
      <c r="I600" s="5">
        <v>44593</v>
      </c>
      <c r="J600" s="6">
        <v>300</v>
      </c>
      <c r="K600" s="6">
        <v>300</v>
      </c>
      <c r="L600" s="6">
        <v>0</v>
      </c>
      <c r="M600" s="6">
        <v>0</v>
      </c>
      <c r="N600" s="6">
        <v>0</v>
      </c>
      <c r="O600" s="6">
        <v>0</v>
      </c>
      <c r="P600" s="6">
        <v>1</v>
      </c>
      <c r="Q600" s="4" t="s">
        <v>26</v>
      </c>
      <c r="R600" s="4">
        <v>0</v>
      </c>
      <c r="S600" s="6">
        <v>27</v>
      </c>
      <c r="T600" s="6">
        <v>0</v>
      </c>
      <c r="U600" s="6">
        <v>0</v>
      </c>
      <c r="V600" s="6">
        <f>IF(ISERROR(VLOOKUP($S$600,'TAR FIN'!$A$1:$O$115,15,0)),0,VLOOKUP($S$600,'TAR FIN'!$A$1:$O$115,15,0))</f>
        <v>19.8</v>
      </c>
      <c r="W600" s="6">
        <f>IF(ISERROR(VLOOKUP($T$600,'TAR FIN'!$A$1:$O$115,15,0)),0,VLOOKUP($T$600,'TAR FIN'!$A$1:$O$115,15,0))</f>
        <v>0</v>
      </c>
      <c r="X600" s="6">
        <f>IF(ISERROR(VLOOKUP($U$600,'TAR FIN'!$A$1:$O$115,15,0)),0,VLOOKUP($U$600,'TAR FIN'!$A$1:$O$115,15,0))</f>
        <v>0</v>
      </c>
      <c r="Y600" s="6">
        <f ca="1">('TUSD BE'!$AM$27+'TUSD BF'!$AM$27+'TUSD CVA'!$AM$27)*1</f>
        <v>20.615214330225772</v>
      </c>
      <c r="Z600" s="6"/>
      <c r="AA600" s="6"/>
      <c r="AB600" s="6">
        <f>$K$600*$V$600</f>
        <v>5940</v>
      </c>
      <c r="AC600" s="6">
        <f>$M$600*$W$600</f>
        <v>0</v>
      </c>
      <c r="AD600" s="6">
        <f>$O$600*$X$600</f>
        <v>0</v>
      </c>
      <c r="AE600" s="6">
        <f ca="1">$K$600*$Y$600</f>
        <v>6184.5642990677316</v>
      </c>
      <c r="AF600" s="6">
        <f>$M$600*$Z$600</f>
        <v>0</v>
      </c>
      <c r="AG600" s="6">
        <f>$O$600*$AA$600</f>
        <v>0</v>
      </c>
    </row>
    <row r="601" spans="1:33" ht="11.25" customHeight="1" x14ac:dyDescent="0.25">
      <c r="A601" s="4" t="s">
        <v>21</v>
      </c>
      <c r="B601" s="4" t="s">
        <v>41</v>
      </c>
      <c r="C601" s="4" t="s">
        <v>44</v>
      </c>
      <c r="D601" s="4" t="s">
        <v>54</v>
      </c>
      <c r="E601" s="4" t="s">
        <v>25</v>
      </c>
      <c r="F601" s="4" t="s">
        <v>25</v>
      </c>
      <c r="G601" s="4" t="s">
        <v>25</v>
      </c>
      <c r="H601" s="4" t="s">
        <v>25</v>
      </c>
      <c r="I601" s="5">
        <v>44621</v>
      </c>
      <c r="J601" s="6">
        <v>300</v>
      </c>
      <c r="K601" s="6">
        <v>300</v>
      </c>
      <c r="L601" s="6">
        <v>0</v>
      </c>
      <c r="M601" s="6">
        <v>0</v>
      </c>
      <c r="N601" s="6">
        <v>0</v>
      </c>
      <c r="O601" s="6">
        <v>0</v>
      </c>
      <c r="P601" s="6">
        <v>1</v>
      </c>
      <c r="Q601" s="4" t="s">
        <v>26</v>
      </c>
      <c r="R601" s="4">
        <v>0</v>
      </c>
      <c r="S601" s="6">
        <v>27</v>
      </c>
      <c r="T601" s="6">
        <v>0</v>
      </c>
      <c r="U601" s="6">
        <v>0</v>
      </c>
      <c r="V601" s="6">
        <f>IF(ISERROR(VLOOKUP($S$601,'TAR FIN'!$A$1:$O$115,15,0)),0,VLOOKUP($S$601,'TAR FIN'!$A$1:$O$115,15,0))</f>
        <v>19.8</v>
      </c>
      <c r="W601" s="6">
        <f>IF(ISERROR(VLOOKUP($T$601,'TAR FIN'!$A$1:$O$115,15,0)),0,VLOOKUP($T$601,'TAR FIN'!$A$1:$O$115,15,0))</f>
        <v>0</v>
      </c>
      <c r="X601" s="6">
        <f>IF(ISERROR(VLOOKUP($U$601,'TAR FIN'!$A$1:$O$115,15,0)),0,VLOOKUP($U$601,'TAR FIN'!$A$1:$O$115,15,0))</f>
        <v>0</v>
      </c>
      <c r="Y601" s="6">
        <f ca="1">('TUSD BE'!$AM$27+'TUSD BF'!$AM$27+'TUSD CVA'!$AM$27)*1</f>
        <v>20.615214330225772</v>
      </c>
      <c r="Z601" s="6"/>
      <c r="AA601" s="6"/>
      <c r="AB601" s="6">
        <f>$K$601*$V$601</f>
        <v>5940</v>
      </c>
      <c r="AC601" s="6">
        <f>$M$601*$W$601</f>
        <v>0</v>
      </c>
      <c r="AD601" s="6">
        <f>$O$601*$X$601</f>
        <v>0</v>
      </c>
      <c r="AE601" s="6">
        <f ca="1">$K$601*$Y$601</f>
        <v>6184.5642990677316</v>
      </c>
      <c r="AF601" s="6">
        <f>$M$601*$Z$601</f>
        <v>0</v>
      </c>
      <c r="AG601" s="6">
        <f>$O$601*$AA$601</f>
        <v>0</v>
      </c>
    </row>
    <row r="602" spans="1:33" ht="11.25" customHeight="1" x14ac:dyDescent="0.25">
      <c r="A602" s="4" t="s">
        <v>21</v>
      </c>
      <c r="B602" s="4" t="s">
        <v>41</v>
      </c>
      <c r="C602" s="4" t="s">
        <v>44</v>
      </c>
      <c r="D602" s="4" t="s">
        <v>54</v>
      </c>
      <c r="E602" s="4" t="s">
        <v>25</v>
      </c>
      <c r="F602" s="4" t="s">
        <v>25</v>
      </c>
      <c r="G602" s="4" t="s">
        <v>25</v>
      </c>
      <c r="H602" s="4" t="s">
        <v>25</v>
      </c>
      <c r="I602" s="5">
        <v>44652</v>
      </c>
      <c r="J602" s="6">
        <v>300</v>
      </c>
      <c r="K602" s="6">
        <v>300</v>
      </c>
      <c r="L602" s="6">
        <v>0</v>
      </c>
      <c r="M602" s="6">
        <v>0</v>
      </c>
      <c r="N602" s="6">
        <v>0</v>
      </c>
      <c r="O602" s="6">
        <v>0</v>
      </c>
      <c r="P602" s="6">
        <v>1</v>
      </c>
      <c r="Q602" s="4" t="s">
        <v>26</v>
      </c>
      <c r="R602" s="4">
        <v>0</v>
      </c>
      <c r="S602" s="6">
        <v>27</v>
      </c>
      <c r="T602" s="6">
        <v>0</v>
      </c>
      <c r="U602" s="6">
        <v>0</v>
      </c>
      <c r="V602" s="6">
        <f>IF(ISERROR(VLOOKUP($S$602,'TAR FIN'!$A$1:$O$115,15,0)),0,VLOOKUP($S$602,'TAR FIN'!$A$1:$O$115,15,0))</f>
        <v>19.8</v>
      </c>
      <c r="W602" s="6">
        <f>IF(ISERROR(VLOOKUP($T$602,'TAR FIN'!$A$1:$O$115,15,0)),0,VLOOKUP($T$602,'TAR FIN'!$A$1:$O$115,15,0))</f>
        <v>0</v>
      </c>
      <c r="X602" s="6">
        <f>IF(ISERROR(VLOOKUP($U$602,'TAR FIN'!$A$1:$O$115,15,0)),0,VLOOKUP($U$602,'TAR FIN'!$A$1:$O$115,15,0))</f>
        <v>0</v>
      </c>
      <c r="Y602" s="6">
        <f ca="1">('TUSD BE'!$AM$27+'TUSD BF'!$AM$27+'TUSD CVA'!$AM$27)*1</f>
        <v>20.615214330225772</v>
      </c>
      <c r="Z602" s="6"/>
      <c r="AA602" s="6"/>
      <c r="AB602" s="6">
        <f>$K$602*$V$602</f>
        <v>5940</v>
      </c>
      <c r="AC602" s="6">
        <f>$M$602*$W$602</f>
        <v>0</v>
      </c>
      <c r="AD602" s="6">
        <f>$O$602*$X$602</f>
        <v>0</v>
      </c>
      <c r="AE602" s="6">
        <f ca="1">$K$602*$Y$602</f>
        <v>6184.5642990677316</v>
      </c>
      <c r="AF602" s="6">
        <f>$M$602*$Z$602</f>
        <v>0</v>
      </c>
      <c r="AG602" s="6">
        <f>$O$602*$AA$602</f>
        <v>0</v>
      </c>
    </row>
    <row r="603" spans="1:33" ht="11.25" customHeight="1" x14ac:dyDescent="0.25">
      <c r="A603" s="4" t="s">
        <v>21</v>
      </c>
      <c r="B603" s="4" t="s">
        <v>41</v>
      </c>
      <c r="C603" s="4" t="s">
        <v>44</v>
      </c>
      <c r="D603" s="4" t="s">
        <v>54</v>
      </c>
      <c r="E603" s="4" t="s">
        <v>25</v>
      </c>
      <c r="F603" s="4" t="s">
        <v>25</v>
      </c>
      <c r="G603" s="4" t="s">
        <v>25</v>
      </c>
      <c r="H603" s="4" t="s">
        <v>25</v>
      </c>
      <c r="I603" s="5">
        <v>44682</v>
      </c>
      <c r="J603" s="6">
        <v>300</v>
      </c>
      <c r="K603" s="6">
        <v>300</v>
      </c>
      <c r="L603" s="6">
        <v>0</v>
      </c>
      <c r="M603" s="6">
        <v>0</v>
      </c>
      <c r="N603" s="6">
        <v>0</v>
      </c>
      <c r="O603" s="6">
        <v>0</v>
      </c>
      <c r="P603" s="6">
        <v>1</v>
      </c>
      <c r="Q603" s="4" t="s">
        <v>26</v>
      </c>
      <c r="R603" s="4">
        <v>0</v>
      </c>
      <c r="S603" s="6">
        <v>27</v>
      </c>
      <c r="T603" s="6">
        <v>0</v>
      </c>
      <c r="U603" s="6">
        <v>0</v>
      </c>
      <c r="V603" s="6">
        <f>IF(ISERROR(VLOOKUP($S$603,'TAR FIN'!$A$1:$O$115,15,0)),0,VLOOKUP($S$603,'TAR FIN'!$A$1:$O$115,15,0))</f>
        <v>19.8</v>
      </c>
      <c r="W603" s="6">
        <f>IF(ISERROR(VLOOKUP($T$603,'TAR FIN'!$A$1:$O$115,15,0)),0,VLOOKUP($T$603,'TAR FIN'!$A$1:$O$115,15,0))</f>
        <v>0</v>
      </c>
      <c r="X603" s="6">
        <f>IF(ISERROR(VLOOKUP($U$603,'TAR FIN'!$A$1:$O$115,15,0)),0,VLOOKUP($U$603,'TAR FIN'!$A$1:$O$115,15,0))</f>
        <v>0</v>
      </c>
      <c r="Y603" s="6">
        <f ca="1">('TUSD BE'!$AM$27+'TUSD BF'!$AM$27+'TUSD CVA'!$AM$27)*1</f>
        <v>20.615214330225772</v>
      </c>
      <c r="Z603" s="6"/>
      <c r="AA603" s="6"/>
      <c r="AB603" s="6">
        <f>$K$603*$V$603</f>
        <v>5940</v>
      </c>
      <c r="AC603" s="6">
        <f>$M$603*$W$603</f>
        <v>0</v>
      </c>
      <c r="AD603" s="6">
        <f>$O$603*$X$603</f>
        <v>0</v>
      </c>
      <c r="AE603" s="6">
        <f ca="1">$K$603*$Y$603</f>
        <v>6184.5642990677316</v>
      </c>
      <c r="AF603" s="6">
        <f>$M$603*$Z$603</f>
        <v>0</v>
      </c>
      <c r="AG603" s="6">
        <f>$O$603*$AA$603</f>
        <v>0</v>
      </c>
    </row>
    <row r="604" spans="1:33" ht="11.25" customHeight="1" x14ac:dyDescent="0.25">
      <c r="A604" s="4" t="s">
        <v>21</v>
      </c>
      <c r="B604" s="4" t="s">
        <v>41</v>
      </c>
      <c r="C604" s="4" t="s">
        <v>44</v>
      </c>
      <c r="D604" s="4" t="s">
        <v>54</v>
      </c>
      <c r="E604" s="4" t="s">
        <v>25</v>
      </c>
      <c r="F604" s="4" t="s">
        <v>25</v>
      </c>
      <c r="G604" s="4" t="s">
        <v>25</v>
      </c>
      <c r="H604" s="4" t="s">
        <v>25</v>
      </c>
      <c r="I604" s="5">
        <v>44713</v>
      </c>
      <c r="J604" s="6">
        <v>300</v>
      </c>
      <c r="K604" s="6">
        <v>300</v>
      </c>
      <c r="L604" s="6">
        <v>0</v>
      </c>
      <c r="M604" s="6">
        <v>0</v>
      </c>
      <c r="N604" s="6">
        <v>0</v>
      </c>
      <c r="O604" s="6">
        <v>0</v>
      </c>
      <c r="P604" s="6">
        <v>1</v>
      </c>
      <c r="Q604" s="4" t="s">
        <v>26</v>
      </c>
      <c r="R604" s="4">
        <v>0</v>
      </c>
      <c r="S604" s="6">
        <v>27</v>
      </c>
      <c r="T604" s="6">
        <v>0</v>
      </c>
      <c r="U604" s="6">
        <v>0</v>
      </c>
      <c r="V604" s="6">
        <f>IF(ISERROR(VLOOKUP($S$604,'TAR FIN'!$A$1:$O$115,15,0)),0,VLOOKUP($S$604,'TAR FIN'!$A$1:$O$115,15,0))</f>
        <v>19.8</v>
      </c>
      <c r="W604" s="6">
        <f>IF(ISERROR(VLOOKUP($T$604,'TAR FIN'!$A$1:$O$115,15,0)),0,VLOOKUP($T$604,'TAR FIN'!$A$1:$O$115,15,0))</f>
        <v>0</v>
      </c>
      <c r="X604" s="6">
        <f>IF(ISERROR(VLOOKUP($U$604,'TAR FIN'!$A$1:$O$115,15,0)),0,VLOOKUP($U$604,'TAR FIN'!$A$1:$O$115,15,0))</f>
        <v>0</v>
      </c>
      <c r="Y604" s="6">
        <f ca="1">('TUSD BE'!$AM$27+'TUSD BF'!$AM$27+'TUSD CVA'!$AM$27)*1</f>
        <v>20.615214330225772</v>
      </c>
      <c r="Z604" s="6"/>
      <c r="AA604" s="6"/>
      <c r="AB604" s="6">
        <f>$K$604*$V$604</f>
        <v>5940</v>
      </c>
      <c r="AC604" s="6">
        <f>$M$604*$W$604</f>
        <v>0</v>
      </c>
      <c r="AD604" s="6">
        <f>$O$604*$X$604</f>
        <v>0</v>
      </c>
      <c r="AE604" s="6">
        <f ca="1">$K$604*$Y$604</f>
        <v>6184.5642990677316</v>
      </c>
      <c r="AF604" s="6">
        <f>$M$604*$Z$604</f>
        <v>0</v>
      </c>
      <c r="AG604" s="6">
        <f>$O$604*$AA$604</f>
        <v>0</v>
      </c>
    </row>
    <row r="605" spans="1:33" ht="11.25" customHeight="1" x14ac:dyDescent="0.25">
      <c r="A605" s="4" t="s">
        <v>21</v>
      </c>
      <c r="B605" s="4" t="s">
        <v>41</v>
      </c>
      <c r="C605" s="4" t="s">
        <v>44</v>
      </c>
      <c r="D605" s="4" t="s">
        <v>54</v>
      </c>
      <c r="E605" s="4" t="s">
        <v>25</v>
      </c>
      <c r="F605" s="4" t="s">
        <v>25</v>
      </c>
      <c r="G605" s="4" t="s">
        <v>25</v>
      </c>
      <c r="H605" s="4" t="s">
        <v>25</v>
      </c>
      <c r="I605" s="5">
        <v>44743</v>
      </c>
      <c r="J605" s="6">
        <v>300</v>
      </c>
      <c r="K605" s="6">
        <v>300</v>
      </c>
      <c r="L605" s="6">
        <v>0</v>
      </c>
      <c r="M605" s="6">
        <v>0</v>
      </c>
      <c r="N605" s="6">
        <v>0</v>
      </c>
      <c r="O605" s="6">
        <v>0</v>
      </c>
      <c r="P605" s="6">
        <v>1</v>
      </c>
      <c r="Q605" s="4" t="s">
        <v>26</v>
      </c>
      <c r="R605" s="4">
        <v>0</v>
      </c>
      <c r="S605" s="6">
        <v>27</v>
      </c>
      <c r="T605" s="6">
        <v>0</v>
      </c>
      <c r="U605" s="6">
        <v>0</v>
      </c>
      <c r="V605" s="6">
        <f>IF(ISERROR(VLOOKUP($S$605,'TAR FIN'!$A$1:$O$115,15,0)),0,VLOOKUP($S$605,'TAR FIN'!$A$1:$O$115,15,0))</f>
        <v>19.8</v>
      </c>
      <c r="W605" s="6">
        <f>IF(ISERROR(VLOOKUP($T$605,'TAR FIN'!$A$1:$O$115,15,0)),0,VLOOKUP($T$605,'TAR FIN'!$A$1:$O$115,15,0))</f>
        <v>0</v>
      </c>
      <c r="X605" s="6">
        <f>IF(ISERROR(VLOOKUP($U$605,'TAR FIN'!$A$1:$O$115,15,0)),0,VLOOKUP($U$605,'TAR FIN'!$A$1:$O$115,15,0))</f>
        <v>0</v>
      </c>
      <c r="Y605" s="6">
        <f ca="1">('TUSD BE'!$AM$27+'TUSD BF'!$AM$27+'TUSD CVA'!$AM$27)*1</f>
        <v>20.615214330225772</v>
      </c>
      <c r="Z605" s="6"/>
      <c r="AA605" s="6"/>
      <c r="AB605" s="6">
        <f>$K$605*$V$605</f>
        <v>5940</v>
      </c>
      <c r="AC605" s="6">
        <f>$M$605*$W$605</f>
        <v>0</v>
      </c>
      <c r="AD605" s="6">
        <f>$O$605*$X$605</f>
        <v>0</v>
      </c>
      <c r="AE605" s="6">
        <f ca="1">$K$605*$Y$605</f>
        <v>6184.5642990677316</v>
      </c>
      <c r="AF605" s="6">
        <f>$M$605*$Z$605</f>
        <v>0</v>
      </c>
      <c r="AG605" s="6">
        <f>$O$605*$AA$605</f>
        <v>0</v>
      </c>
    </row>
    <row r="606" spans="1:33" ht="11.25" customHeight="1" x14ac:dyDescent="0.25">
      <c r="A606" s="4" t="s">
        <v>21</v>
      </c>
      <c r="B606" s="4" t="s">
        <v>41</v>
      </c>
      <c r="C606" s="4" t="s">
        <v>44</v>
      </c>
      <c r="D606" s="4" t="s">
        <v>54</v>
      </c>
      <c r="E606" s="4" t="s">
        <v>25</v>
      </c>
      <c r="F606" s="4" t="s">
        <v>25</v>
      </c>
      <c r="G606" s="4" t="s">
        <v>25</v>
      </c>
      <c r="H606" s="4" t="s">
        <v>25</v>
      </c>
      <c r="I606" s="5">
        <v>44774</v>
      </c>
      <c r="J606" s="6">
        <v>300</v>
      </c>
      <c r="K606" s="6">
        <v>300</v>
      </c>
      <c r="L606" s="6">
        <v>0</v>
      </c>
      <c r="M606" s="6">
        <v>0</v>
      </c>
      <c r="N606" s="6">
        <v>0</v>
      </c>
      <c r="O606" s="6">
        <v>0</v>
      </c>
      <c r="P606" s="6">
        <v>1</v>
      </c>
      <c r="Q606" s="4" t="s">
        <v>26</v>
      </c>
      <c r="R606" s="4">
        <v>0</v>
      </c>
      <c r="S606" s="6">
        <v>27</v>
      </c>
      <c r="T606" s="6">
        <v>0</v>
      </c>
      <c r="U606" s="6">
        <v>0</v>
      </c>
      <c r="V606" s="6">
        <f>IF(ISERROR(VLOOKUP($S$606,'TAR FIN'!$A$1:$O$115,15,0)),0,VLOOKUP($S$606,'TAR FIN'!$A$1:$O$115,15,0))</f>
        <v>19.8</v>
      </c>
      <c r="W606" s="6">
        <f>IF(ISERROR(VLOOKUP($T$606,'TAR FIN'!$A$1:$O$115,15,0)),0,VLOOKUP($T$606,'TAR FIN'!$A$1:$O$115,15,0))</f>
        <v>0</v>
      </c>
      <c r="X606" s="6">
        <f>IF(ISERROR(VLOOKUP($U$606,'TAR FIN'!$A$1:$O$115,15,0)),0,VLOOKUP($U$606,'TAR FIN'!$A$1:$O$115,15,0))</f>
        <v>0</v>
      </c>
      <c r="Y606" s="6">
        <f ca="1">('TUSD BE'!$AM$27+'TUSD BF'!$AM$27+'TUSD CVA'!$AM$27)*1</f>
        <v>20.615214330225772</v>
      </c>
      <c r="Z606" s="6"/>
      <c r="AA606" s="6"/>
      <c r="AB606" s="6">
        <f>$K$606*$V$606</f>
        <v>5940</v>
      </c>
      <c r="AC606" s="6">
        <f>$M$606*$W$606</f>
        <v>0</v>
      </c>
      <c r="AD606" s="6">
        <f>$O$606*$X$606</f>
        <v>0</v>
      </c>
      <c r="AE606" s="6">
        <f ca="1">$K$606*$Y$606</f>
        <v>6184.5642990677316</v>
      </c>
      <c r="AF606" s="6">
        <f>$M$606*$Z$606</f>
        <v>0</v>
      </c>
      <c r="AG606" s="6">
        <f>$O$606*$AA$606</f>
        <v>0</v>
      </c>
    </row>
    <row r="607" spans="1:33" ht="11.25" customHeight="1" x14ac:dyDescent="0.25">
      <c r="A607" s="4" t="s">
        <v>21</v>
      </c>
      <c r="B607" s="4" t="s">
        <v>41</v>
      </c>
      <c r="C607" s="4" t="s">
        <v>44</v>
      </c>
      <c r="D607" s="4" t="s">
        <v>54</v>
      </c>
      <c r="E607" s="4" t="s">
        <v>25</v>
      </c>
      <c r="F607" s="4" t="s">
        <v>25</v>
      </c>
      <c r="G607" s="4" t="s">
        <v>25</v>
      </c>
      <c r="H607" s="4" t="s">
        <v>25</v>
      </c>
      <c r="I607" s="5">
        <v>44805</v>
      </c>
      <c r="J607" s="6">
        <v>300</v>
      </c>
      <c r="K607" s="6">
        <v>300</v>
      </c>
      <c r="L607" s="6">
        <v>0</v>
      </c>
      <c r="M607" s="6">
        <v>0</v>
      </c>
      <c r="N607" s="6">
        <v>0</v>
      </c>
      <c r="O607" s="6">
        <v>0</v>
      </c>
      <c r="P607" s="6">
        <v>1</v>
      </c>
      <c r="Q607" s="4" t="s">
        <v>26</v>
      </c>
      <c r="R607" s="4">
        <v>0</v>
      </c>
      <c r="S607" s="6">
        <v>27</v>
      </c>
      <c r="T607" s="6">
        <v>0</v>
      </c>
      <c r="U607" s="6">
        <v>0</v>
      </c>
      <c r="V607" s="6">
        <f>IF(ISERROR(VLOOKUP($S$607,'TAR FIN'!$A$1:$O$115,15,0)),0,VLOOKUP($S$607,'TAR FIN'!$A$1:$O$115,15,0))</f>
        <v>19.8</v>
      </c>
      <c r="W607" s="6">
        <f>IF(ISERROR(VLOOKUP($T$607,'TAR FIN'!$A$1:$O$115,15,0)),0,VLOOKUP($T$607,'TAR FIN'!$A$1:$O$115,15,0))</f>
        <v>0</v>
      </c>
      <c r="X607" s="6">
        <f>IF(ISERROR(VLOOKUP($U$607,'TAR FIN'!$A$1:$O$115,15,0)),0,VLOOKUP($U$607,'TAR FIN'!$A$1:$O$115,15,0))</f>
        <v>0</v>
      </c>
      <c r="Y607" s="6">
        <f ca="1">('TUSD BE'!$AM$27+'TUSD BF'!$AM$27+'TUSD CVA'!$AM$27)*1</f>
        <v>20.615214330225772</v>
      </c>
      <c r="Z607" s="6"/>
      <c r="AA607" s="6"/>
      <c r="AB607" s="6">
        <f>$K$607*$V$607</f>
        <v>5940</v>
      </c>
      <c r="AC607" s="6">
        <f>$M$607*$W$607</f>
        <v>0</v>
      </c>
      <c r="AD607" s="6">
        <f>$O$607*$X$607</f>
        <v>0</v>
      </c>
      <c r="AE607" s="6">
        <f ca="1">$K$607*$Y$607</f>
        <v>6184.5642990677316</v>
      </c>
      <c r="AF607" s="6">
        <f>$M$607*$Z$607</f>
        <v>0</v>
      </c>
      <c r="AG607" s="6">
        <f>$O$607*$AA$607</f>
        <v>0</v>
      </c>
    </row>
    <row r="608" spans="1:33" ht="11.25" customHeight="1" x14ac:dyDescent="0.25">
      <c r="A608" s="4" t="s">
        <v>21</v>
      </c>
      <c r="B608" s="4" t="s">
        <v>41</v>
      </c>
      <c r="C608" s="4" t="s">
        <v>44</v>
      </c>
      <c r="D608" s="4" t="s">
        <v>54</v>
      </c>
      <c r="E608" s="4" t="s">
        <v>25</v>
      </c>
      <c r="F608" s="4" t="s">
        <v>25</v>
      </c>
      <c r="G608" s="4" t="s">
        <v>25</v>
      </c>
      <c r="H608" s="4" t="s">
        <v>25</v>
      </c>
      <c r="I608" s="5">
        <v>44835</v>
      </c>
      <c r="J608" s="6">
        <v>300</v>
      </c>
      <c r="K608" s="6">
        <v>300</v>
      </c>
      <c r="L608" s="6">
        <v>0</v>
      </c>
      <c r="M608" s="6">
        <v>0</v>
      </c>
      <c r="N608" s="6">
        <v>0</v>
      </c>
      <c r="O608" s="6">
        <v>0</v>
      </c>
      <c r="P608" s="6">
        <v>1</v>
      </c>
      <c r="Q608" s="4" t="s">
        <v>26</v>
      </c>
      <c r="R608" s="4">
        <v>0</v>
      </c>
      <c r="S608" s="6">
        <v>27</v>
      </c>
      <c r="T608" s="6">
        <v>0</v>
      </c>
      <c r="U608" s="6">
        <v>0</v>
      </c>
      <c r="V608" s="6">
        <f>IF(ISERROR(VLOOKUP($S$608,'TAR FIN'!$A$1:$O$115,15,0)),0,VLOOKUP($S$608,'TAR FIN'!$A$1:$O$115,15,0))</f>
        <v>19.8</v>
      </c>
      <c r="W608" s="6">
        <f>IF(ISERROR(VLOOKUP($T$608,'TAR FIN'!$A$1:$O$115,15,0)),0,VLOOKUP($T$608,'TAR FIN'!$A$1:$O$115,15,0))</f>
        <v>0</v>
      </c>
      <c r="X608" s="6">
        <f>IF(ISERROR(VLOOKUP($U$608,'TAR FIN'!$A$1:$O$115,15,0)),0,VLOOKUP($U$608,'TAR FIN'!$A$1:$O$115,15,0))</f>
        <v>0</v>
      </c>
      <c r="Y608" s="6">
        <f ca="1">('TUSD BE'!$AM$27+'TUSD BF'!$AM$27+'TUSD CVA'!$AM$27)*1</f>
        <v>20.615214330225772</v>
      </c>
      <c r="Z608" s="6"/>
      <c r="AA608" s="6"/>
      <c r="AB608" s="6">
        <f>$K$608*$V$608</f>
        <v>5940</v>
      </c>
      <c r="AC608" s="6">
        <f>$M$608*$W$608</f>
        <v>0</v>
      </c>
      <c r="AD608" s="6">
        <f>$O$608*$X$608</f>
        <v>0</v>
      </c>
      <c r="AE608" s="6">
        <f ca="1">$K$608*$Y$608</f>
        <v>6184.5642990677316</v>
      </c>
      <c r="AF608" s="6">
        <f>$M$608*$Z$608</f>
        <v>0</v>
      </c>
      <c r="AG608" s="6">
        <f>$O$608*$AA$608</f>
        <v>0</v>
      </c>
    </row>
    <row r="609" spans="1:33" ht="11.25" customHeight="1" x14ac:dyDescent="0.25">
      <c r="A609" s="4" t="s">
        <v>59</v>
      </c>
      <c r="B609" s="4" t="s">
        <v>41</v>
      </c>
      <c r="C609" s="4" t="s">
        <v>44</v>
      </c>
      <c r="D609" s="4" t="s">
        <v>54</v>
      </c>
      <c r="E609" s="4" t="s">
        <v>25</v>
      </c>
      <c r="F609" s="4" t="s">
        <v>25</v>
      </c>
      <c r="G609" s="4" t="s">
        <v>25</v>
      </c>
      <c r="H609" s="4" t="s">
        <v>25</v>
      </c>
      <c r="I609" s="5">
        <v>44866</v>
      </c>
      <c r="J609" s="6">
        <v>300</v>
      </c>
      <c r="K609" s="6">
        <v>300</v>
      </c>
      <c r="L609" s="6">
        <v>0</v>
      </c>
      <c r="M609" s="6">
        <v>0</v>
      </c>
      <c r="N609" s="6">
        <v>0</v>
      </c>
      <c r="O609" s="6">
        <v>0</v>
      </c>
      <c r="P609" s="6">
        <v>1</v>
      </c>
      <c r="Q609" s="4" t="s">
        <v>26</v>
      </c>
      <c r="R609" s="4">
        <v>0</v>
      </c>
      <c r="S609" s="6">
        <v>27</v>
      </c>
      <c r="T609" s="6">
        <v>0</v>
      </c>
      <c r="U609" s="6">
        <v>0</v>
      </c>
      <c r="V609" s="6">
        <f>IF(ISERROR(VLOOKUP($S$609,'TAR FIN'!$A$1:$O$115,15,0)),0,VLOOKUP($S$609,'TAR FIN'!$A$1:$O$115,15,0))</f>
        <v>19.8</v>
      </c>
      <c r="W609" s="6">
        <f>IF(ISERROR(VLOOKUP($T$609,'TAR FIN'!$A$1:$O$115,15,0)),0,VLOOKUP($T$609,'TAR FIN'!$A$1:$O$115,15,0))</f>
        <v>0</v>
      </c>
      <c r="X609" s="6">
        <f>IF(ISERROR(VLOOKUP($U$609,'TAR FIN'!$A$1:$O$115,15,0)),0,VLOOKUP($U$609,'TAR FIN'!$A$1:$O$115,15,0))</f>
        <v>0</v>
      </c>
      <c r="Y609" s="6">
        <f ca="1">('TUSD BE'!$AM$27+'TUSD BF'!$AM$27+'TUSD CVA'!$AM$27)*1</f>
        <v>20.615214330225772</v>
      </c>
      <c r="Z609" s="6"/>
      <c r="AA609" s="6"/>
      <c r="AB609" s="6">
        <f>$K$609*$V$609</f>
        <v>5940</v>
      </c>
      <c r="AC609" s="6">
        <f>$M$609*$W$609</f>
        <v>0</v>
      </c>
      <c r="AD609" s="6">
        <f>$O$609*$X$609</f>
        <v>0</v>
      </c>
      <c r="AE609" s="6">
        <f ca="1">$K$609*$Y$609</f>
        <v>6184.5642990677316</v>
      </c>
      <c r="AF609" s="6">
        <f>$M$609*$Z$609</f>
        <v>0</v>
      </c>
      <c r="AG609" s="6">
        <f>$O$609*$AA$609</f>
        <v>0</v>
      </c>
    </row>
    <row r="610" spans="1:33" ht="11.25" customHeight="1" x14ac:dyDescent="0.25">
      <c r="A610" s="4" t="s">
        <v>21</v>
      </c>
      <c r="B610" s="4" t="s">
        <v>41</v>
      </c>
      <c r="C610" s="4" t="s">
        <v>44</v>
      </c>
      <c r="D610" s="4" t="s">
        <v>54</v>
      </c>
      <c r="E610" s="4" t="s">
        <v>25</v>
      </c>
      <c r="F610" s="4" t="s">
        <v>25</v>
      </c>
      <c r="G610" s="4" t="s">
        <v>25</v>
      </c>
      <c r="H610" s="4" t="s">
        <v>36</v>
      </c>
      <c r="I610" s="5">
        <v>44531</v>
      </c>
      <c r="J610" s="6">
        <v>0</v>
      </c>
      <c r="K610" s="6">
        <v>0</v>
      </c>
      <c r="L610" s="6">
        <v>2.4</v>
      </c>
      <c r="M610" s="6">
        <v>2.4</v>
      </c>
      <c r="N610" s="6">
        <v>2.4</v>
      </c>
      <c r="O610" s="6">
        <v>2.4</v>
      </c>
      <c r="P610" s="6">
        <v>0</v>
      </c>
      <c r="Q610" s="4" t="s">
        <v>26</v>
      </c>
      <c r="R610" s="4">
        <v>0</v>
      </c>
      <c r="S610" s="6">
        <v>0</v>
      </c>
      <c r="T610" s="6">
        <v>28</v>
      </c>
      <c r="U610" s="6">
        <v>74</v>
      </c>
      <c r="V610" s="6">
        <f>IF(ISERROR(VLOOKUP($S$610,'TAR FIN'!$A$1:$O$115,15,0)),0,VLOOKUP($S$610,'TAR FIN'!$A$1:$O$115,15,0))</f>
        <v>0</v>
      </c>
      <c r="W610" s="6">
        <f>IF(ISERROR(VLOOKUP($T$610,'TAR FIN'!$A$1:$O$115,15,0)),0,VLOOKUP($T$610,'TAR FIN'!$A$1:$O$115,15,0))</f>
        <v>1448.96</v>
      </c>
      <c r="X610" s="6">
        <f>IF(ISERROR(VLOOKUP($U$610,'TAR FIN'!$A$1:$O$115,15,0)),0,VLOOKUP($U$610,'TAR FIN'!$A$1:$O$115,15,0))</f>
        <v>270.3</v>
      </c>
      <c r="Y610" s="6"/>
      <c r="Z610" s="6">
        <f ca="1">('TUSD BE'!$AM$28+'TUSD BF'!$AM$28+'TUSD CVA'!$AM$28)*1</f>
        <v>1480.1280206491922</v>
      </c>
      <c r="AA610" s="6">
        <f>('TE BE'!$AB$11+'TE BF'!$AB$11+'TE CVA'!$AB$11)*1</f>
        <v>362.64398683254075</v>
      </c>
      <c r="AB610" s="6">
        <f>$K$610*$V$610</f>
        <v>0</v>
      </c>
      <c r="AC610" s="6">
        <f>$M$610*$W$610</f>
        <v>3477.5039999999999</v>
      </c>
      <c r="AD610" s="6">
        <f>$O$610*$X$610</f>
        <v>648.72</v>
      </c>
      <c r="AE610" s="6">
        <f>$K$610*$Y$610</f>
        <v>0</v>
      </c>
      <c r="AF610" s="6">
        <f ca="1">$M$610*$Z$610</f>
        <v>3552.3072495580614</v>
      </c>
      <c r="AG610" s="6">
        <f>$O$610*$AA$610</f>
        <v>870.34556839809773</v>
      </c>
    </row>
    <row r="611" spans="1:33" ht="11.25" customHeight="1" x14ac:dyDescent="0.25">
      <c r="A611" s="4" t="s">
        <v>21</v>
      </c>
      <c r="B611" s="4" t="s">
        <v>41</v>
      </c>
      <c r="C611" s="4" t="s">
        <v>44</v>
      </c>
      <c r="D611" s="4" t="s">
        <v>54</v>
      </c>
      <c r="E611" s="4" t="s">
        <v>25</v>
      </c>
      <c r="F611" s="4" t="s">
        <v>25</v>
      </c>
      <c r="G611" s="4" t="s">
        <v>25</v>
      </c>
      <c r="H611" s="4" t="s">
        <v>36</v>
      </c>
      <c r="I611" s="5">
        <v>44562</v>
      </c>
      <c r="J611" s="6">
        <v>0</v>
      </c>
      <c r="K611" s="6">
        <v>0</v>
      </c>
      <c r="L611" s="6">
        <v>3.3889999999999998</v>
      </c>
      <c r="M611" s="6">
        <v>3.3889999999999998</v>
      </c>
      <c r="N611" s="6">
        <v>3.3889999999999998</v>
      </c>
      <c r="O611" s="6">
        <v>3.3889999999999998</v>
      </c>
      <c r="P611" s="6">
        <v>0</v>
      </c>
      <c r="Q611" s="4" t="s">
        <v>26</v>
      </c>
      <c r="R611" s="4">
        <v>0</v>
      </c>
      <c r="S611" s="6">
        <v>0</v>
      </c>
      <c r="T611" s="6">
        <v>28</v>
      </c>
      <c r="U611" s="6">
        <v>74</v>
      </c>
      <c r="V611" s="6">
        <f>IF(ISERROR(VLOOKUP($S$611,'TAR FIN'!$A$1:$O$115,15,0)),0,VLOOKUP($S$611,'TAR FIN'!$A$1:$O$115,15,0))</f>
        <v>0</v>
      </c>
      <c r="W611" s="6">
        <f>IF(ISERROR(VLOOKUP($T$611,'TAR FIN'!$A$1:$O$115,15,0)),0,VLOOKUP($T$611,'TAR FIN'!$A$1:$O$115,15,0))</f>
        <v>1448.96</v>
      </c>
      <c r="X611" s="6">
        <f>IF(ISERROR(VLOOKUP($U$611,'TAR FIN'!$A$1:$O$115,15,0)),0,VLOOKUP($U$611,'TAR FIN'!$A$1:$O$115,15,0))</f>
        <v>270.3</v>
      </c>
      <c r="Y611" s="6"/>
      <c r="Z611" s="6">
        <f ca="1">('TUSD BE'!$AM$28+'TUSD BF'!$AM$28+'TUSD CVA'!$AM$28)*1</f>
        <v>1480.1280206491922</v>
      </c>
      <c r="AA611" s="6">
        <f>('TE BE'!$AB$11+'TE BF'!$AB$11+'TE CVA'!$AB$11)*1</f>
        <v>362.64398683254075</v>
      </c>
      <c r="AB611" s="6">
        <f>$K$611*$V$611</f>
        <v>0</v>
      </c>
      <c r="AC611" s="6">
        <f>$M$611*$W$611</f>
        <v>4910.5254399999994</v>
      </c>
      <c r="AD611" s="6">
        <f>$O$611*$X$611</f>
        <v>916.04669999999999</v>
      </c>
      <c r="AE611" s="6">
        <f>$K$611*$Y$611</f>
        <v>0</v>
      </c>
      <c r="AF611" s="6">
        <f ca="1">$M$611*$Z$611</f>
        <v>5016.1538619801122</v>
      </c>
      <c r="AG611" s="6">
        <f>$O$611*$AA$611</f>
        <v>1229.0004713754806</v>
      </c>
    </row>
    <row r="612" spans="1:33" ht="11.25" customHeight="1" x14ac:dyDescent="0.25">
      <c r="A612" s="4" t="s">
        <v>21</v>
      </c>
      <c r="B612" s="4" t="s">
        <v>41</v>
      </c>
      <c r="C612" s="4" t="s">
        <v>44</v>
      </c>
      <c r="D612" s="4" t="s">
        <v>54</v>
      </c>
      <c r="E612" s="4" t="s">
        <v>25</v>
      </c>
      <c r="F612" s="4" t="s">
        <v>25</v>
      </c>
      <c r="G612" s="4" t="s">
        <v>25</v>
      </c>
      <c r="H612" s="4" t="s">
        <v>36</v>
      </c>
      <c r="I612" s="5">
        <v>44593</v>
      </c>
      <c r="J612" s="6">
        <v>0</v>
      </c>
      <c r="K612" s="6">
        <v>0</v>
      </c>
      <c r="L612" s="6">
        <v>4.2880000000000003</v>
      </c>
      <c r="M612" s="6">
        <v>4.2880000000000003</v>
      </c>
      <c r="N612" s="6">
        <v>4.2880000000000003</v>
      </c>
      <c r="O612" s="6">
        <v>4.2880000000000003</v>
      </c>
      <c r="P612" s="6">
        <v>0</v>
      </c>
      <c r="Q612" s="4" t="s">
        <v>26</v>
      </c>
      <c r="R612" s="4">
        <v>0</v>
      </c>
      <c r="S612" s="6">
        <v>0</v>
      </c>
      <c r="T612" s="6">
        <v>28</v>
      </c>
      <c r="U612" s="6">
        <v>74</v>
      </c>
      <c r="V612" s="6">
        <f>IF(ISERROR(VLOOKUP($S$612,'TAR FIN'!$A$1:$O$115,15,0)),0,VLOOKUP($S$612,'TAR FIN'!$A$1:$O$115,15,0))</f>
        <v>0</v>
      </c>
      <c r="W612" s="6">
        <f>IF(ISERROR(VLOOKUP($T$612,'TAR FIN'!$A$1:$O$115,15,0)),0,VLOOKUP($T$612,'TAR FIN'!$A$1:$O$115,15,0))</f>
        <v>1448.96</v>
      </c>
      <c r="X612" s="6">
        <f>IF(ISERROR(VLOOKUP($U$612,'TAR FIN'!$A$1:$O$115,15,0)),0,VLOOKUP($U$612,'TAR FIN'!$A$1:$O$115,15,0))</f>
        <v>270.3</v>
      </c>
      <c r="Y612" s="6"/>
      <c r="Z612" s="6">
        <f ca="1">('TUSD BE'!$AM$28+'TUSD BF'!$AM$28+'TUSD CVA'!$AM$28)*1</f>
        <v>1480.1280206491922</v>
      </c>
      <c r="AA612" s="6">
        <f>('TE BE'!$AB$11+'TE BF'!$AB$11+'TE CVA'!$AB$11)*1</f>
        <v>362.64398683254075</v>
      </c>
      <c r="AB612" s="6">
        <f>$K$612*$V$612</f>
        <v>0</v>
      </c>
      <c r="AC612" s="6">
        <f>$M$612*$W$612</f>
        <v>6213.1404800000009</v>
      </c>
      <c r="AD612" s="6">
        <f>$O$612*$X$612</f>
        <v>1159.0464000000002</v>
      </c>
      <c r="AE612" s="6">
        <f>$K$612*$Y$612</f>
        <v>0</v>
      </c>
      <c r="AF612" s="6">
        <f ca="1">$M$612*$Z$612</f>
        <v>6346.7889525437367</v>
      </c>
      <c r="AG612" s="6">
        <f>$O$612*$AA$612</f>
        <v>1555.0174155379348</v>
      </c>
    </row>
    <row r="613" spans="1:33" ht="11.25" customHeight="1" x14ac:dyDescent="0.25">
      <c r="A613" s="4" t="s">
        <v>21</v>
      </c>
      <c r="B613" s="4" t="s">
        <v>41</v>
      </c>
      <c r="C613" s="4" t="s">
        <v>44</v>
      </c>
      <c r="D613" s="4" t="s">
        <v>54</v>
      </c>
      <c r="E613" s="4" t="s">
        <v>25</v>
      </c>
      <c r="F613" s="4" t="s">
        <v>25</v>
      </c>
      <c r="G613" s="4" t="s">
        <v>25</v>
      </c>
      <c r="H613" s="4" t="s">
        <v>36</v>
      </c>
      <c r="I613" s="5">
        <v>44621</v>
      </c>
      <c r="J613" s="6">
        <v>0</v>
      </c>
      <c r="K613" s="6">
        <v>0</v>
      </c>
      <c r="L613" s="6">
        <v>4.28</v>
      </c>
      <c r="M613" s="6">
        <v>4.28</v>
      </c>
      <c r="N613" s="6">
        <v>4.28</v>
      </c>
      <c r="O613" s="6">
        <v>4.28</v>
      </c>
      <c r="P613" s="6">
        <v>0</v>
      </c>
      <c r="Q613" s="4" t="s">
        <v>26</v>
      </c>
      <c r="R613" s="4">
        <v>0</v>
      </c>
      <c r="S613" s="6">
        <v>0</v>
      </c>
      <c r="T613" s="6">
        <v>28</v>
      </c>
      <c r="U613" s="6">
        <v>74</v>
      </c>
      <c r="V613" s="6">
        <f>IF(ISERROR(VLOOKUP($S$613,'TAR FIN'!$A$1:$O$115,15,0)),0,VLOOKUP($S$613,'TAR FIN'!$A$1:$O$115,15,0))</f>
        <v>0</v>
      </c>
      <c r="W613" s="6">
        <f>IF(ISERROR(VLOOKUP($T$613,'TAR FIN'!$A$1:$O$115,15,0)),0,VLOOKUP($T$613,'TAR FIN'!$A$1:$O$115,15,0))</f>
        <v>1448.96</v>
      </c>
      <c r="X613" s="6">
        <f>IF(ISERROR(VLOOKUP($U$613,'TAR FIN'!$A$1:$O$115,15,0)),0,VLOOKUP($U$613,'TAR FIN'!$A$1:$O$115,15,0))</f>
        <v>270.3</v>
      </c>
      <c r="Y613" s="6"/>
      <c r="Z613" s="6">
        <f ca="1">('TUSD BE'!$AM$28+'TUSD BF'!$AM$28+'TUSD CVA'!$AM$28)*1</f>
        <v>1480.1280206491922</v>
      </c>
      <c r="AA613" s="6">
        <f>('TE BE'!$AB$11+'TE BF'!$AB$11+'TE CVA'!$AB$11)*1</f>
        <v>362.64398683254075</v>
      </c>
      <c r="AB613" s="6">
        <f>$K$613*$V$613</f>
        <v>0</v>
      </c>
      <c r="AC613" s="6">
        <f>$M$613*$W$613</f>
        <v>6201.5488000000005</v>
      </c>
      <c r="AD613" s="6">
        <f>$O$613*$X$613</f>
        <v>1156.884</v>
      </c>
      <c r="AE613" s="6">
        <f>$K$613*$Y$613</f>
        <v>0</v>
      </c>
      <c r="AF613" s="6">
        <f ca="1">$M$613*$Z$613</f>
        <v>6334.9479283785431</v>
      </c>
      <c r="AG613" s="6">
        <f>$O$613*$AA$613</f>
        <v>1552.1162636432746</v>
      </c>
    </row>
    <row r="614" spans="1:33" ht="11.25" customHeight="1" x14ac:dyDescent="0.25">
      <c r="A614" s="4" t="s">
        <v>21</v>
      </c>
      <c r="B614" s="4" t="s">
        <v>41</v>
      </c>
      <c r="C614" s="4" t="s">
        <v>44</v>
      </c>
      <c r="D614" s="4" t="s">
        <v>54</v>
      </c>
      <c r="E614" s="4" t="s">
        <v>25</v>
      </c>
      <c r="F614" s="4" t="s">
        <v>25</v>
      </c>
      <c r="G614" s="4" t="s">
        <v>25</v>
      </c>
      <c r="H614" s="4" t="s">
        <v>36</v>
      </c>
      <c r="I614" s="5">
        <v>44652</v>
      </c>
      <c r="J614" s="6">
        <v>0</v>
      </c>
      <c r="K614" s="6">
        <v>0</v>
      </c>
      <c r="L614" s="6">
        <v>3.847</v>
      </c>
      <c r="M614" s="6">
        <v>3.847</v>
      </c>
      <c r="N614" s="6">
        <v>3.847</v>
      </c>
      <c r="O614" s="6">
        <v>3.847</v>
      </c>
      <c r="P614" s="6">
        <v>0</v>
      </c>
      <c r="Q614" s="4" t="s">
        <v>26</v>
      </c>
      <c r="R614" s="4">
        <v>0</v>
      </c>
      <c r="S614" s="6">
        <v>0</v>
      </c>
      <c r="T614" s="6">
        <v>28</v>
      </c>
      <c r="U614" s="6">
        <v>74</v>
      </c>
      <c r="V614" s="6">
        <f>IF(ISERROR(VLOOKUP($S$614,'TAR FIN'!$A$1:$O$115,15,0)),0,VLOOKUP($S$614,'TAR FIN'!$A$1:$O$115,15,0))</f>
        <v>0</v>
      </c>
      <c r="W614" s="6">
        <f>IF(ISERROR(VLOOKUP($T$614,'TAR FIN'!$A$1:$O$115,15,0)),0,VLOOKUP($T$614,'TAR FIN'!$A$1:$O$115,15,0))</f>
        <v>1448.96</v>
      </c>
      <c r="X614" s="6">
        <f>IF(ISERROR(VLOOKUP($U$614,'TAR FIN'!$A$1:$O$115,15,0)),0,VLOOKUP($U$614,'TAR FIN'!$A$1:$O$115,15,0))</f>
        <v>270.3</v>
      </c>
      <c r="Y614" s="6"/>
      <c r="Z614" s="6">
        <f ca="1">('TUSD BE'!$AM$28+'TUSD BF'!$AM$28+'TUSD CVA'!$AM$28)*1</f>
        <v>1480.1280206491922</v>
      </c>
      <c r="AA614" s="6">
        <f>('TE BE'!$AB$11+'TE BF'!$AB$11+'TE CVA'!$AB$11)*1</f>
        <v>362.64398683254075</v>
      </c>
      <c r="AB614" s="6">
        <f>$K$614*$V$614</f>
        <v>0</v>
      </c>
      <c r="AC614" s="6">
        <f>$M$614*$W$614</f>
        <v>5574.14912</v>
      </c>
      <c r="AD614" s="6">
        <f>$O$614*$X$614</f>
        <v>1039.8441</v>
      </c>
      <c r="AE614" s="6">
        <f>$K$614*$Y$614</f>
        <v>0</v>
      </c>
      <c r="AF614" s="6">
        <f ca="1">$M$614*$Z$614</f>
        <v>5694.0524954374423</v>
      </c>
      <c r="AG614" s="6">
        <f>$O$614*$AA$614</f>
        <v>1395.0914173447843</v>
      </c>
    </row>
    <row r="615" spans="1:33" ht="11.25" customHeight="1" x14ac:dyDescent="0.25">
      <c r="A615" s="4" t="s">
        <v>21</v>
      </c>
      <c r="B615" s="4" t="s">
        <v>41</v>
      </c>
      <c r="C615" s="4" t="s">
        <v>44</v>
      </c>
      <c r="D615" s="4" t="s">
        <v>54</v>
      </c>
      <c r="E615" s="4" t="s">
        <v>25</v>
      </c>
      <c r="F615" s="4" t="s">
        <v>25</v>
      </c>
      <c r="G615" s="4" t="s">
        <v>25</v>
      </c>
      <c r="H615" s="4" t="s">
        <v>36</v>
      </c>
      <c r="I615" s="5">
        <v>44682</v>
      </c>
      <c r="J615" s="6">
        <v>0</v>
      </c>
      <c r="K615" s="6">
        <v>0</v>
      </c>
      <c r="L615" s="6">
        <v>4.5060000000000002</v>
      </c>
      <c r="M615" s="6">
        <v>4.5060000000000002</v>
      </c>
      <c r="N615" s="6">
        <v>4.5060000000000002</v>
      </c>
      <c r="O615" s="6">
        <v>4.5060000000000002</v>
      </c>
      <c r="P615" s="6">
        <v>0</v>
      </c>
      <c r="Q615" s="4" t="s">
        <v>26</v>
      </c>
      <c r="R615" s="4">
        <v>0</v>
      </c>
      <c r="S615" s="6">
        <v>0</v>
      </c>
      <c r="T615" s="6">
        <v>28</v>
      </c>
      <c r="U615" s="6">
        <v>74</v>
      </c>
      <c r="V615" s="6">
        <f>IF(ISERROR(VLOOKUP($S$615,'TAR FIN'!$A$1:$O$115,15,0)),0,VLOOKUP($S$615,'TAR FIN'!$A$1:$O$115,15,0))</f>
        <v>0</v>
      </c>
      <c r="W615" s="6">
        <f>IF(ISERROR(VLOOKUP($T$615,'TAR FIN'!$A$1:$O$115,15,0)),0,VLOOKUP($T$615,'TAR FIN'!$A$1:$O$115,15,0))</f>
        <v>1448.96</v>
      </c>
      <c r="X615" s="6">
        <f>IF(ISERROR(VLOOKUP($U$615,'TAR FIN'!$A$1:$O$115,15,0)),0,VLOOKUP($U$615,'TAR FIN'!$A$1:$O$115,15,0))</f>
        <v>270.3</v>
      </c>
      <c r="Y615" s="6"/>
      <c r="Z615" s="6">
        <f ca="1">('TUSD BE'!$AM$28+'TUSD BF'!$AM$28+'TUSD CVA'!$AM$28)*1</f>
        <v>1480.1280206491922</v>
      </c>
      <c r="AA615" s="6">
        <f>('TE BE'!$AB$11+'TE BF'!$AB$11+'TE CVA'!$AB$11)*1</f>
        <v>362.64398683254075</v>
      </c>
      <c r="AB615" s="6">
        <f>$K$615*$V$615</f>
        <v>0</v>
      </c>
      <c r="AC615" s="6">
        <f>$M$615*$W$615</f>
        <v>6529.0137600000007</v>
      </c>
      <c r="AD615" s="6">
        <f>$O$615*$X$615</f>
        <v>1217.9718</v>
      </c>
      <c r="AE615" s="6">
        <f>$K$615*$Y$615</f>
        <v>0</v>
      </c>
      <c r="AF615" s="6">
        <f ca="1">$M$615*$Z$615</f>
        <v>6669.4568610452607</v>
      </c>
      <c r="AG615" s="6">
        <f>$O$615*$AA$615</f>
        <v>1634.0738046674287</v>
      </c>
    </row>
    <row r="616" spans="1:33" ht="11.25" customHeight="1" x14ac:dyDescent="0.25">
      <c r="A616" s="4" t="s">
        <v>21</v>
      </c>
      <c r="B616" s="4" t="s">
        <v>41</v>
      </c>
      <c r="C616" s="4" t="s">
        <v>44</v>
      </c>
      <c r="D616" s="4" t="s">
        <v>54</v>
      </c>
      <c r="E616" s="4" t="s">
        <v>25</v>
      </c>
      <c r="F616" s="4" t="s">
        <v>25</v>
      </c>
      <c r="G616" s="4" t="s">
        <v>25</v>
      </c>
      <c r="H616" s="4" t="s">
        <v>36</v>
      </c>
      <c r="I616" s="5">
        <v>44713</v>
      </c>
      <c r="J616" s="6">
        <v>0</v>
      </c>
      <c r="K616" s="6">
        <v>0</v>
      </c>
      <c r="L616" s="6">
        <v>4.3109999999999999</v>
      </c>
      <c r="M616" s="6">
        <v>4.3109999999999999</v>
      </c>
      <c r="N616" s="6">
        <v>4.3109999999999999</v>
      </c>
      <c r="O616" s="6">
        <v>4.3109999999999999</v>
      </c>
      <c r="P616" s="6">
        <v>0</v>
      </c>
      <c r="Q616" s="4" t="s">
        <v>26</v>
      </c>
      <c r="R616" s="4">
        <v>0</v>
      </c>
      <c r="S616" s="6">
        <v>0</v>
      </c>
      <c r="T616" s="6">
        <v>28</v>
      </c>
      <c r="U616" s="6">
        <v>74</v>
      </c>
      <c r="V616" s="6">
        <f>IF(ISERROR(VLOOKUP($S$616,'TAR FIN'!$A$1:$O$115,15,0)),0,VLOOKUP($S$616,'TAR FIN'!$A$1:$O$115,15,0))</f>
        <v>0</v>
      </c>
      <c r="W616" s="6">
        <f>IF(ISERROR(VLOOKUP($T$616,'TAR FIN'!$A$1:$O$115,15,0)),0,VLOOKUP($T$616,'TAR FIN'!$A$1:$O$115,15,0))</f>
        <v>1448.96</v>
      </c>
      <c r="X616" s="6">
        <f>IF(ISERROR(VLOOKUP($U$616,'TAR FIN'!$A$1:$O$115,15,0)),0,VLOOKUP($U$616,'TAR FIN'!$A$1:$O$115,15,0))</f>
        <v>270.3</v>
      </c>
      <c r="Y616" s="6"/>
      <c r="Z616" s="6">
        <f ca="1">('TUSD BE'!$AM$28+'TUSD BF'!$AM$28+'TUSD CVA'!$AM$28)*1</f>
        <v>1480.1280206491922</v>
      </c>
      <c r="AA616" s="6">
        <f>('TE BE'!$AB$11+'TE BF'!$AB$11+'TE CVA'!$AB$11)*1</f>
        <v>362.64398683254075</v>
      </c>
      <c r="AB616" s="6">
        <f>$K$616*$V$616</f>
        <v>0</v>
      </c>
      <c r="AC616" s="6">
        <f>$M$616*$W$616</f>
        <v>6246.4665599999998</v>
      </c>
      <c r="AD616" s="6">
        <f>$O$616*$X$616</f>
        <v>1165.2633000000001</v>
      </c>
      <c r="AE616" s="6">
        <f>$K$616*$Y$616</f>
        <v>0</v>
      </c>
      <c r="AF616" s="6">
        <f ca="1">$M$616*$Z$616</f>
        <v>6380.8318970186674</v>
      </c>
      <c r="AG616" s="6">
        <f>$O$616*$AA$616</f>
        <v>1563.3582272350832</v>
      </c>
    </row>
    <row r="617" spans="1:33" ht="11.25" customHeight="1" x14ac:dyDescent="0.25">
      <c r="A617" s="4" t="s">
        <v>21</v>
      </c>
      <c r="B617" s="4" t="s">
        <v>41</v>
      </c>
      <c r="C617" s="4" t="s">
        <v>44</v>
      </c>
      <c r="D617" s="4" t="s">
        <v>54</v>
      </c>
      <c r="E617" s="4" t="s">
        <v>25</v>
      </c>
      <c r="F617" s="4" t="s">
        <v>25</v>
      </c>
      <c r="G617" s="4" t="s">
        <v>25</v>
      </c>
      <c r="H617" s="4" t="s">
        <v>36</v>
      </c>
      <c r="I617" s="5">
        <v>44743</v>
      </c>
      <c r="J617" s="6">
        <v>0</v>
      </c>
      <c r="K617" s="6">
        <v>0</v>
      </c>
      <c r="L617" s="6">
        <v>4.4589999999999996</v>
      </c>
      <c r="M617" s="6">
        <v>4.4589999999999996</v>
      </c>
      <c r="N617" s="6">
        <v>4.4589999999999996</v>
      </c>
      <c r="O617" s="6">
        <v>4.4589999999999996</v>
      </c>
      <c r="P617" s="6">
        <v>0</v>
      </c>
      <c r="Q617" s="4" t="s">
        <v>26</v>
      </c>
      <c r="R617" s="4">
        <v>0</v>
      </c>
      <c r="S617" s="6">
        <v>0</v>
      </c>
      <c r="T617" s="6">
        <v>28</v>
      </c>
      <c r="U617" s="6">
        <v>74</v>
      </c>
      <c r="V617" s="6">
        <f>IF(ISERROR(VLOOKUP($S$617,'TAR FIN'!$A$1:$O$115,15,0)),0,VLOOKUP($S$617,'TAR FIN'!$A$1:$O$115,15,0))</f>
        <v>0</v>
      </c>
      <c r="W617" s="6">
        <f>IF(ISERROR(VLOOKUP($T$617,'TAR FIN'!$A$1:$O$115,15,0)),0,VLOOKUP($T$617,'TAR FIN'!$A$1:$O$115,15,0))</f>
        <v>1448.96</v>
      </c>
      <c r="X617" s="6">
        <f>IF(ISERROR(VLOOKUP($U$617,'TAR FIN'!$A$1:$O$115,15,0)),0,VLOOKUP($U$617,'TAR FIN'!$A$1:$O$115,15,0))</f>
        <v>270.3</v>
      </c>
      <c r="Y617" s="6"/>
      <c r="Z617" s="6">
        <f ca="1">('TUSD BE'!$AM$28+'TUSD BF'!$AM$28+'TUSD CVA'!$AM$28)*1</f>
        <v>1480.1280206491922</v>
      </c>
      <c r="AA617" s="6">
        <f>('TE BE'!$AB$11+'TE BF'!$AB$11+'TE CVA'!$AB$11)*1</f>
        <v>362.64398683254075</v>
      </c>
      <c r="AB617" s="6">
        <f>$K$617*$V$617</f>
        <v>0</v>
      </c>
      <c r="AC617" s="6">
        <f>$M$617*$W$617</f>
        <v>6460.9126399999996</v>
      </c>
      <c r="AD617" s="6">
        <f>$O$617*$X$617</f>
        <v>1205.2676999999999</v>
      </c>
      <c r="AE617" s="6">
        <f>$K$617*$Y$617</f>
        <v>0</v>
      </c>
      <c r="AF617" s="6">
        <f ca="1">$M$617*$Z$617</f>
        <v>6599.8908440747473</v>
      </c>
      <c r="AG617" s="6">
        <f>$O$617*$AA$617</f>
        <v>1617.029537286299</v>
      </c>
    </row>
    <row r="618" spans="1:33" ht="11.25" customHeight="1" x14ac:dyDescent="0.25">
      <c r="A618" s="4" t="s">
        <v>21</v>
      </c>
      <c r="B618" s="4" t="s">
        <v>41</v>
      </c>
      <c r="C618" s="4" t="s">
        <v>44</v>
      </c>
      <c r="D618" s="4" t="s">
        <v>54</v>
      </c>
      <c r="E618" s="4" t="s">
        <v>25</v>
      </c>
      <c r="F618" s="4" t="s">
        <v>25</v>
      </c>
      <c r="G618" s="4" t="s">
        <v>25</v>
      </c>
      <c r="H618" s="4" t="s">
        <v>36</v>
      </c>
      <c r="I618" s="5">
        <v>44774</v>
      </c>
      <c r="J618" s="6">
        <v>0</v>
      </c>
      <c r="K618" s="6">
        <v>0</v>
      </c>
      <c r="L618" s="6">
        <v>2.8759999999999999</v>
      </c>
      <c r="M618" s="6">
        <v>2.8759999999999999</v>
      </c>
      <c r="N618" s="6">
        <v>2.8759999999999999</v>
      </c>
      <c r="O618" s="6">
        <v>2.8759999999999999</v>
      </c>
      <c r="P618" s="6">
        <v>0</v>
      </c>
      <c r="Q618" s="4" t="s">
        <v>26</v>
      </c>
      <c r="R618" s="4">
        <v>0</v>
      </c>
      <c r="S618" s="6">
        <v>0</v>
      </c>
      <c r="T618" s="6">
        <v>28</v>
      </c>
      <c r="U618" s="6">
        <v>74</v>
      </c>
      <c r="V618" s="6">
        <f>IF(ISERROR(VLOOKUP($S$618,'TAR FIN'!$A$1:$O$115,15,0)),0,VLOOKUP($S$618,'TAR FIN'!$A$1:$O$115,15,0))</f>
        <v>0</v>
      </c>
      <c r="W618" s="6">
        <f>IF(ISERROR(VLOOKUP($T$618,'TAR FIN'!$A$1:$O$115,15,0)),0,VLOOKUP($T$618,'TAR FIN'!$A$1:$O$115,15,0))</f>
        <v>1448.96</v>
      </c>
      <c r="X618" s="6">
        <f>IF(ISERROR(VLOOKUP($U$618,'TAR FIN'!$A$1:$O$115,15,0)),0,VLOOKUP($U$618,'TAR FIN'!$A$1:$O$115,15,0))</f>
        <v>270.3</v>
      </c>
      <c r="Y618" s="6"/>
      <c r="Z618" s="6">
        <f ca="1">('TUSD BE'!$AM$28+'TUSD BF'!$AM$28+'TUSD CVA'!$AM$28)*1</f>
        <v>1480.1280206491922</v>
      </c>
      <c r="AA618" s="6">
        <f>('TE BE'!$AB$11+'TE BF'!$AB$11+'TE CVA'!$AB$11)*1</f>
        <v>362.64398683254075</v>
      </c>
      <c r="AB618" s="6">
        <f>$K$618*$V$618</f>
        <v>0</v>
      </c>
      <c r="AC618" s="6">
        <f>$M$618*$W$618</f>
        <v>4167.2089599999999</v>
      </c>
      <c r="AD618" s="6">
        <f>$O$618*$X$618</f>
        <v>777.38279999999997</v>
      </c>
      <c r="AE618" s="6">
        <f>$K$618*$Y$618</f>
        <v>0</v>
      </c>
      <c r="AF618" s="6">
        <f ca="1">$M$618*$Z$618</f>
        <v>4256.8481873870769</v>
      </c>
      <c r="AG618" s="6">
        <f>$O$618*$AA$618</f>
        <v>1042.9641061303871</v>
      </c>
    </row>
    <row r="619" spans="1:33" ht="11.25" customHeight="1" x14ac:dyDescent="0.25">
      <c r="A619" s="4" t="s">
        <v>21</v>
      </c>
      <c r="B619" s="4" t="s">
        <v>41</v>
      </c>
      <c r="C619" s="4" t="s">
        <v>44</v>
      </c>
      <c r="D619" s="4" t="s">
        <v>54</v>
      </c>
      <c r="E619" s="4" t="s">
        <v>25</v>
      </c>
      <c r="F619" s="4" t="s">
        <v>25</v>
      </c>
      <c r="G619" s="4" t="s">
        <v>25</v>
      </c>
      <c r="H619" s="4" t="s">
        <v>36</v>
      </c>
      <c r="I619" s="5">
        <v>44805</v>
      </c>
      <c r="J619" s="6">
        <v>0</v>
      </c>
      <c r="K619" s="6">
        <v>0</v>
      </c>
      <c r="L619" s="6">
        <v>3.0169999999999999</v>
      </c>
      <c r="M619" s="6">
        <v>3.0169999999999999</v>
      </c>
      <c r="N619" s="6">
        <v>3.0169999999999999</v>
      </c>
      <c r="O619" s="6">
        <v>3.0169999999999999</v>
      </c>
      <c r="P619" s="6">
        <v>0</v>
      </c>
      <c r="Q619" s="4" t="s">
        <v>26</v>
      </c>
      <c r="R619" s="4">
        <v>0</v>
      </c>
      <c r="S619" s="6">
        <v>0</v>
      </c>
      <c r="T619" s="6">
        <v>28</v>
      </c>
      <c r="U619" s="6">
        <v>74</v>
      </c>
      <c r="V619" s="6">
        <f>IF(ISERROR(VLOOKUP($S$619,'TAR FIN'!$A$1:$O$115,15,0)),0,VLOOKUP($S$619,'TAR FIN'!$A$1:$O$115,15,0))</f>
        <v>0</v>
      </c>
      <c r="W619" s="6">
        <f>IF(ISERROR(VLOOKUP($T$619,'TAR FIN'!$A$1:$O$115,15,0)),0,VLOOKUP($T$619,'TAR FIN'!$A$1:$O$115,15,0))</f>
        <v>1448.96</v>
      </c>
      <c r="X619" s="6">
        <f>IF(ISERROR(VLOOKUP($U$619,'TAR FIN'!$A$1:$O$115,15,0)),0,VLOOKUP($U$619,'TAR FIN'!$A$1:$O$115,15,0))</f>
        <v>270.3</v>
      </c>
      <c r="Y619" s="6"/>
      <c r="Z619" s="6">
        <f ca="1">('TUSD BE'!$AM$28+'TUSD BF'!$AM$28+'TUSD CVA'!$AM$28)*1</f>
        <v>1480.1280206491922</v>
      </c>
      <c r="AA619" s="6">
        <f>('TE BE'!$AB$11+'TE BF'!$AB$11+'TE CVA'!$AB$11)*1</f>
        <v>362.64398683254075</v>
      </c>
      <c r="AB619" s="6">
        <f>$K$619*$V$619</f>
        <v>0</v>
      </c>
      <c r="AC619" s="6">
        <f>$M$619*$W$619</f>
        <v>4371.5123199999998</v>
      </c>
      <c r="AD619" s="6">
        <f>$O$619*$X$619</f>
        <v>815.49509999999998</v>
      </c>
      <c r="AE619" s="6">
        <f>$K$619*$Y$619</f>
        <v>0</v>
      </c>
      <c r="AF619" s="6">
        <f ca="1">$M$619*$Z$619</f>
        <v>4465.5462382986125</v>
      </c>
      <c r="AG619" s="6">
        <f>$O$619*$AA$619</f>
        <v>1094.0969082737754</v>
      </c>
    </row>
    <row r="620" spans="1:33" ht="11.25" customHeight="1" x14ac:dyDescent="0.25">
      <c r="A620" s="4" t="s">
        <v>21</v>
      </c>
      <c r="B620" s="4" t="s">
        <v>41</v>
      </c>
      <c r="C620" s="4" t="s">
        <v>44</v>
      </c>
      <c r="D620" s="4" t="s">
        <v>54</v>
      </c>
      <c r="E620" s="4" t="s">
        <v>25</v>
      </c>
      <c r="F620" s="4" t="s">
        <v>25</v>
      </c>
      <c r="G620" s="4" t="s">
        <v>25</v>
      </c>
      <c r="H620" s="4" t="s">
        <v>36</v>
      </c>
      <c r="I620" s="5">
        <v>44835</v>
      </c>
      <c r="J620" s="6">
        <v>0</v>
      </c>
      <c r="K620" s="6">
        <v>0</v>
      </c>
      <c r="L620" s="6">
        <v>4.6980000000000004</v>
      </c>
      <c r="M620" s="6">
        <v>4.6980000000000004</v>
      </c>
      <c r="N620" s="6">
        <v>4.6980000000000004</v>
      </c>
      <c r="O620" s="6">
        <v>4.6980000000000004</v>
      </c>
      <c r="P620" s="6">
        <v>0</v>
      </c>
      <c r="Q620" s="4" t="s">
        <v>26</v>
      </c>
      <c r="R620" s="4">
        <v>0</v>
      </c>
      <c r="S620" s="6">
        <v>0</v>
      </c>
      <c r="T620" s="6">
        <v>28</v>
      </c>
      <c r="U620" s="6">
        <v>74</v>
      </c>
      <c r="V620" s="6">
        <f>IF(ISERROR(VLOOKUP($S$620,'TAR FIN'!$A$1:$O$115,15,0)),0,VLOOKUP($S$620,'TAR FIN'!$A$1:$O$115,15,0))</f>
        <v>0</v>
      </c>
      <c r="W620" s="6">
        <f>IF(ISERROR(VLOOKUP($T$620,'TAR FIN'!$A$1:$O$115,15,0)),0,VLOOKUP($T$620,'TAR FIN'!$A$1:$O$115,15,0))</f>
        <v>1448.96</v>
      </c>
      <c r="X620" s="6">
        <f>IF(ISERROR(VLOOKUP($U$620,'TAR FIN'!$A$1:$O$115,15,0)),0,VLOOKUP($U$620,'TAR FIN'!$A$1:$O$115,15,0))</f>
        <v>270.3</v>
      </c>
      <c r="Y620" s="6"/>
      <c r="Z620" s="6">
        <f ca="1">('TUSD BE'!$AM$28+'TUSD BF'!$AM$28+'TUSD CVA'!$AM$28)*1</f>
        <v>1480.1280206491922</v>
      </c>
      <c r="AA620" s="6">
        <f>('TE BE'!$AB$11+'TE BF'!$AB$11+'TE CVA'!$AB$11)*1</f>
        <v>362.64398683254075</v>
      </c>
      <c r="AB620" s="6">
        <f>$K$620*$V$620</f>
        <v>0</v>
      </c>
      <c r="AC620" s="6">
        <f>$M$620*$W$620</f>
        <v>6807.2140800000006</v>
      </c>
      <c r="AD620" s="6">
        <f>$O$620*$X$620</f>
        <v>1269.8694000000003</v>
      </c>
      <c r="AE620" s="6">
        <f>$K$620*$Y$620</f>
        <v>0</v>
      </c>
      <c r="AF620" s="6">
        <f ca="1">$M$620*$Z$620</f>
        <v>6953.6414410099051</v>
      </c>
      <c r="AG620" s="6">
        <f>$O$620*$AA$620</f>
        <v>1703.7014501392766</v>
      </c>
    </row>
    <row r="621" spans="1:33" ht="11.25" customHeight="1" x14ac:dyDescent="0.25">
      <c r="A621" s="4" t="s">
        <v>59</v>
      </c>
      <c r="B621" s="4" t="s">
        <v>41</v>
      </c>
      <c r="C621" s="4" t="s">
        <v>44</v>
      </c>
      <c r="D621" s="4" t="s">
        <v>54</v>
      </c>
      <c r="E621" s="4" t="s">
        <v>25</v>
      </c>
      <c r="F621" s="4" t="s">
        <v>25</v>
      </c>
      <c r="G621" s="4" t="s">
        <v>25</v>
      </c>
      <c r="H621" s="4" t="s">
        <v>36</v>
      </c>
      <c r="I621" s="5">
        <v>44866</v>
      </c>
      <c r="J621" s="6">
        <v>0</v>
      </c>
      <c r="K621" s="6">
        <v>0</v>
      </c>
      <c r="L621" s="6">
        <v>4.6980000000000004</v>
      </c>
      <c r="M621" s="6">
        <v>4.6980000000000004</v>
      </c>
      <c r="N621" s="6">
        <v>4.6980000000000004</v>
      </c>
      <c r="O621" s="6">
        <v>4.6980000000000004</v>
      </c>
      <c r="P621" s="6">
        <v>0</v>
      </c>
      <c r="Q621" s="4" t="s">
        <v>26</v>
      </c>
      <c r="R621" s="4">
        <v>0</v>
      </c>
      <c r="S621" s="6">
        <v>0</v>
      </c>
      <c r="T621" s="6">
        <v>28</v>
      </c>
      <c r="U621" s="6">
        <v>74</v>
      </c>
      <c r="V621" s="6">
        <f>IF(ISERROR(VLOOKUP($S$621,'TAR FIN'!$A$1:$O$115,15,0)),0,VLOOKUP($S$621,'TAR FIN'!$A$1:$O$115,15,0))</f>
        <v>0</v>
      </c>
      <c r="W621" s="6">
        <f>IF(ISERROR(VLOOKUP($T$621,'TAR FIN'!$A$1:$O$115,15,0)),0,VLOOKUP($T$621,'TAR FIN'!$A$1:$O$115,15,0))</f>
        <v>1448.96</v>
      </c>
      <c r="X621" s="6">
        <f>IF(ISERROR(VLOOKUP($U$621,'TAR FIN'!$A$1:$O$115,15,0)),0,VLOOKUP($U$621,'TAR FIN'!$A$1:$O$115,15,0))</f>
        <v>270.3</v>
      </c>
      <c r="Y621" s="6"/>
      <c r="Z621" s="6">
        <f ca="1">('TUSD BE'!$AM$28+'TUSD BF'!$AM$28+'TUSD CVA'!$AM$28)*1</f>
        <v>1480.1280206491922</v>
      </c>
      <c r="AA621" s="6">
        <f>('TE BE'!$AB$11+'TE BF'!$AB$11+'TE CVA'!$AB$11)*1</f>
        <v>362.64398683254075</v>
      </c>
      <c r="AB621" s="6">
        <f>$K$621*$V$621</f>
        <v>0</v>
      </c>
      <c r="AC621" s="6">
        <f>$M$621*$W$621</f>
        <v>6807.2140800000006</v>
      </c>
      <c r="AD621" s="6">
        <f>$O$621*$X$621</f>
        <v>1269.8694000000003</v>
      </c>
      <c r="AE621" s="6">
        <f>$K$621*$Y$621</f>
        <v>0</v>
      </c>
      <c r="AF621" s="6">
        <f ca="1">$M$621*$Z$621</f>
        <v>6953.6414410099051</v>
      </c>
      <c r="AG621" s="6">
        <f>$O$621*$AA$621</f>
        <v>1703.7014501392766</v>
      </c>
    </row>
    <row r="622" spans="1:33" ht="11.25" customHeight="1" x14ac:dyDescent="0.25">
      <c r="A622" s="4" t="s">
        <v>21</v>
      </c>
      <c r="B622" s="4" t="s">
        <v>41</v>
      </c>
      <c r="C622" s="4" t="s">
        <v>44</v>
      </c>
      <c r="D622" s="4" t="s">
        <v>40</v>
      </c>
      <c r="E622" s="4" t="s">
        <v>25</v>
      </c>
      <c r="F622" s="4" t="s">
        <v>60</v>
      </c>
      <c r="G622" s="4" t="s">
        <v>25</v>
      </c>
      <c r="H622" s="4" t="s">
        <v>37</v>
      </c>
      <c r="I622" s="5">
        <v>44531</v>
      </c>
      <c r="J622" s="6">
        <v>0</v>
      </c>
      <c r="K622" s="6">
        <v>0</v>
      </c>
      <c r="L622" s="6">
        <v>2450.3670000000002</v>
      </c>
      <c r="M622" s="6">
        <v>2450.3670000000002</v>
      </c>
      <c r="N622" s="6">
        <v>0</v>
      </c>
      <c r="O622" s="6">
        <v>0</v>
      </c>
      <c r="P622" s="6">
        <v>0</v>
      </c>
      <c r="Q622" s="4" t="s">
        <v>61</v>
      </c>
      <c r="R622" s="4">
        <v>0</v>
      </c>
      <c r="S622" s="6">
        <v>0</v>
      </c>
      <c r="T622" s="6">
        <v>29</v>
      </c>
      <c r="U622" s="6">
        <v>0</v>
      </c>
      <c r="V622" s="6">
        <f>IF(ISERROR(VLOOKUP($S$622,'TAR FIN'!$A$1:$O$115,15,0)),0,VLOOKUP($S$622,'TAR FIN'!$A$1:$O$115,15,0))</f>
        <v>0</v>
      </c>
      <c r="W622" s="6">
        <f>IF(ISERROR(VLOOKUP($T$622,'TAR FIN'!$A$1:$O$115,15,0)),0,VLOOKUP($T$622,'TAR FIN'!$A$1:$O$115,15,0))</f>
        <v>84.31</v>
      </c>
      <c r="X622" s="6">
        <f>IF(ISERROR(VLOOKUP($U$622,'TAR FIN'!$A$1:$O$115,15,0)),0,VLOOKUP($U$622,'TAR FIN'!$A$1:$O$115,15,0))</f>
        <v>0</v>
      </c>
      <c r="Y622" s="6"/>
      <c r="Z622" s="6">
        <f ca="1">('TUSD BE'!$AM$29+'TUSD BF'!$AM$29+'TUSD CVA'!$AM$29)*1</f>
        <v>113.43121292628391</v>
      </c>
      <c r="AA622" s="6"/>
      <c r="AB622" s="6">
        <f>$K$622*$V$622</f>
        <v>0</v>
      </c>
      <c r="AC622" s="6">
        <f>$M$622*$W$622</f>
        <v>206590.44177000003</v>
      </c>
      <c r="AD622" s="6">
        <f>$O$622*$X$622</f>
        <v>0</v>
      </c>
      <c r="AE622" s="6">
        <f>$K$622*$Y$622</f>
        <v>0</v>
      </c>
      <c r="AF622" s="6">
        <f ca="1">$M$622*$Z$622</f>
        <v>277948.10092453955</v>
      </c>
      <c r="AG622" s="6">
        <f>$O$622*$AA$622</f>
        <v>0</v>
      </c>
    </row>
    <row r="623" spans="1:33" ht="11.25" customHeight="1" x14ac:dyDescent="0.25">
      <c r="A623" s="4" t="s">
        <v>21</v>
      </c>
      <c r="B623" s="4" t="s">
        <v>41</v>
      </c>
      <c r="C623" s="4" t="s">
        <v>44</v>
      </c>
      <c r="D623" s="4" t="s">
        <v>40</v>
      </c>
      <c r="E623" s="4" t="s">
        <v>25</v>
      </c>
      <c r="F623" s="4" t="s">
        <v>60</v>
      </c>
      <c r="G623" s="4" t="s">
        <v>25</v>
      </c>
      <c r="H623" s="4" t="s">
        <v>37</v>
      </c>
      <c r="I623" s="5">
        <v>44562</v>
      </c>
      <c r="J623" s="6">
        <v>0</v>
      </c>
      <c r="K623" s="6">
        <v>0</v>
      </c>
      <c r="L623" s="6">
        <v>2744.922</v>
      </c>
      <c r="M623" s="6">
        <v>2744.922</v>
      </c>
      <c r="N623" s="6">
        <v>0</v>
      </c>
      <c r="O623" s="6">
        <v>0</v>
      </c>
      <c r="P623" s="6">
        <v>0</v>
      </c>
      <c r="Q623" s="4" t="s">
        <v>61</v>
      </c>
      <c r="R623" s="4">
        <v>0</v>
      </c>
      <c r="S623" s="6">
        <v>0</v>
      </c>
      <c r="T623" s="6">
        <v>29</v>
      </c>
      <c r="U623" s="6">
        <v>0</v>
      </c>
      <c r="V623" s="6">
        <f>IF(ISERROR(VLOOKUP($S$623,'TAR FIN'!$A$1:$O$115,15,0)),0,VLOOKUP($S$623,'TAR FIN'!$A$1:$O$115,15,0))</f>
        <v>0</v>
      </c>
      <c r="W623" s="6">
        <f>IF(ISERROR(VLOOKUP($T$623,'TAR FIN'!$A$1:$O$115,15,0)),0,VLOOKUP($T$623,'TAR FIN'!$A$1:$O$115,15,0))</f>
        <v>84.31</v>
      </c>
      <c r="X623" s="6">
        <f>IF(ISERROR(VLOOKUP($U$623,'TAR FIN'!$A$1:$O$115,15,0)),0,VLOOKUP($U$623,'TAR FIN'!$A$1:$O$115,15,0))</f>
        <v>0</v>
      </c>
      <c r="Y623" s="6"/>
      <c r="Z623" s="6">
        <f ca="1">('TUSD BE'!$AM$29+'TUSD BF'!$AM$29+'TUSD CVA'!$AM$29)*1</f>
        <v>113.43121292628391</v>
      </c>
      <c r="AA623" s="6"/>
      <c r="AB623" s="6">
        <f>$K$623*$V$623</f>
        <v>0</v>
      </c>
      <c r="AC623" s="6">
        <f>$M$623*$W$623</f>
        <v>231424.37382000001</v>
      </c>
      <c r="AD623" s="6">
        <f>$O$623*$X$623</f>
        <v>0</v>
      </c>
      <c r="AE623" s="6">
        <f>$K$623*$Y$623</f>
        <v>0</v>
      </c>
      <c r="AF623" s="6">
        <f ca="1">$M$623*$Z$623</f>
        <v>311359.8318480411</v>
      </c>
      <c r="AG623" s="6">
        <f>$O$623*$AA$623</f>
        <v>0</v>
      </c>
    </row>
    <row r="624" spans="1:33" ht="11.25" customHeight="1" x14ac:dyDescent="0.25">
      <c r="A624" s="4" t="s">
        <v>21</v>
      </c>
      <c r="B624" s="4" t="s">
        <v>41</v>
      </c>
      <c r="C624" s="4" t="s">
        <v>44</v>
      </c>
      <c r="D624" s="4" t="s">
        <v>40</v>
      </c>
      <c r="E624" s="4" t="s">
        <v>25</v>
      </c>
      <c r="F624" s="4" t="s">
        <v>60</v>
      </c>
      <c r="G624" s="4" t="s">
        <v>25</v>
      </c>
      <c r="H624" s="4" t="s">
        <v>37</v>
      </c>
      <c r="I624" s="5">
        <v>44593</v>
      </c>
      <c r="J624" s="6">
        <v>0</v>
      </c>
      <c r="K624" s="6">
        <v>0</v>
      </c>
      <c r="L624" s="6">
        <v>2716.1419999999998</v>
      </c>
      <c r="M624" s="6">
        <v>2716.1419999999998</v>
      </c>
      <c r="N624" s="6">
        <v>0</v>
      </c>
      <c r="O624" s="6">
        <v>0</v>
      </c>
      <c r="P624" s="6">
        <v>0</v>
      </c>
      <c r="Q624" s="4" t="s">
        <v>61</v>
      </c>
      <c r="R624" s="4">
        <v>0</v>
      </c>
      <c r="S624" s="6">
        <v>0</v>
      </c>
      <c r="T624" s="6">
        <v>29</v>
      </c>
      <c r="U624" s="6">
        <v>0</v>
      </c>
      <c r="V624" s="6">
        <f>IF(ISERROR(VLOOKUP($S$624,'TAR FIN'!$A$1:$O$115,15,0)),0,VLOOKUP($S$624,'TAR FIN'!$A$1:$O$115,15,0))</f>
        <v>0</v>
      </c>
      <c r="W624" s="6">
        <f>IF(ISERROR(VLOOKUP($T$624,'TAR FIN'!$A$1:$O$115,15,0)),0,VLOOKUP($T$624,'TAR FIN'!$A$1:$O$115,15,0))</f>
        <v>84.31</v>
      </c>
      <c r="X624" s="6">
        <f>IF(ISERROR(VLOOKUP($U$624,'TAR FIN'!$A$1:$O$115,15,0)),0,VLOOKUP($U$624,'TAR FIN'!$A$1:$O$115,15,0))</f>
        <v>0</v>
      </c>
      <c r="Y624" s="6"/>
      <c r="Z624" s="6">
        <f ca="1">('TUSD BE'!$AM$29+'TUSD BF'!$AM$29+'TUSD CVA'!$AM$29)*1</f>
        <v>113.43121292628391</v>
      </c>
      <c r="AA624" s="6"/>
      <c r="AB624" s="6">
        <f>$K$624*$V$624</f>
        <v>0</v>
      </c>
      <c r="AC624" s="6">
        <f>$M$624*$W$624</f>
        <v>228997.93201999998</v>
      </c>
      <c r="AD624" s="6">
        <f>$O$624*$X$624</f>
        <v>0</v>
      </c>
      <c r="AE624" s="6">
        <f>$K$624*$Y$624</f>
        <v>0</v>
      </c>
      <c r="AF624" s="6">
        <f ca="1">$M$624*$Z$624</f>
        <v>308095.28154002258</v>
      </c>
      <c r="AG624" s="6">
        <f>$O$624*$AA$624</f>
        <v>0</v>
      </c>
    </row>
    <row r="625" spans="1:33" ht="11.25" customHeight="1" x14ac:dyDescent="0.25">
      <c r="A625" s="4" t="s">
        <v>21</v>
      </c>
      <c r="B625" s="4" t="s">
        <v>41</v>
      </c>
      <c r="C625" s="4" t="s">
        <v>44</v>
      </c>
      <c r="D625" s="4" t="s">
        <v>40</v>
      </c>
      <c r="E625" s="4" t="s">
        <v>25</v>
      </c>
      <c r="F625" s="4" t="s">
        <v>60</v>
      </c>
      <c r="G625" s="4" t="s">
        <v>25</v>
      </c>
      <c r="H625" s="4" t="s">
        <v>37</v>
      </c>
      <c r="I625" s="5">
        <v>44621</v>
      </c>
      <c r="J625" s="6">
        <v>0</v>
      </c>
      <c r="K625" s="6">
        <v>0</v>
      </c>
      <c r="L625" s="6">
        <v>2189.94</v>
      </c>
      <c r="M625" s="6">
        <v>2189.94</v>
      </c>
      <c r="N625" s="6">
        <v>0</v>
      </c>
      <c r="O625" s="6">
        <v>0</v>
      </c>
      <c r="P625" s="6">
        <v>0</v>
      </c>
      <c r="Q625" s="4" t="s">
        <v>61</v>
      </c>
      <c r="R625" s="4">
        <v>0</v>
      </c>
      <c r="S625" s="6">
        <v>0</v>
      </c>
      <c r="T625" s="6">
        <v>29</v>
      </c>
      <c r="U625" s="6">
        <v>0</v>
      </c>
      <c r="V625" s="6">
        <f>IF(ISERROR(VLOOKUP($S$625,'TAR FIN'!$A$1:$O$115,15,0)),0,VLOOKUP($S$625,'TAR FIN'!$A$1:$O$115,15,0))</f>
        <v>0</v>
      </c>
      <c r="W625" s="6">
        <f>IF(ISERROR(VLOOKUP($T$625,'TAR FIN'!$A$1:$O$115,15,0)),0,VLOOKUP($T$625,'TAR FIN'!$A$1:$O$115,15,0))</f>
        <v>84.31</v>
      </c>
      <c r="X625" s="6">
        <f>IF(ISERROR(VLOOKUP($U$625,'TAR FIN'!$A$1:$O$115,15,0)),0,VLOOKUP($U$625,'TAR FIN'!$A$1:$O$115,15,0))</f>
        <v>0</v>
      </c>
      <c r="Y625" s="6"/>
      <c r="Z625" s="6">
        <f ca="1">('TUSD BE'!$AM$29+'TUSD BF'!$AM$29+'TUSD CVA'!$AM$29)*1</f>
        <v>113.43121292628391</v>
      </c>
      <c r="AA625" s="6"/>
      <c r="AB625" s="6">
        <f>$K$625*$V$625</f>
        <v>0</v>
      </c>
      <c r="AC625" s="6">
        <f>$M$625*$W$625</f>
        <v>184633.8414</v>
      </c>
      <c r="AD625" s="6">
        <f>$O$625*$X$625</f>
        <v>0</v>
      </c>
      <c r="AE625" s="6">
        <f>$K$625*$Y$625</f>
        <v>0</v>
      </c>
      <c r="AF625" s="6">
        <f ca="1">$M$625*$Z$625</f>
        <v>248407.55043578619</v>
      </c>
      <c r="AG625" s="6">
        <f>$O$625*$AA$625</f>
        <v>0</v>
      </c>
    </row>
    <row r="626" spans="1:33" ht="11.25" customHeight="1" x14ac:dyDescent="0.25">
      <c r="A626" s="4" t="s">
        <v>21</v>
      </c>
      <c r="B626" s="4" t="s">
        <v>41</v>
      </c>
      <c r="C626" s="4" t="s">
        <v>44</v>
      </c>
      <c r="D626" s="4" t="s">
        <v>40</v>
      </c>
      <c r="E626" s="4" t="s">
        <v>25</v>
      </c>
      <c r="F626" s="4" t="s">
        <v>60</v>
      </c>
      <c r="G626" s="4" t="s">
        <v>25</v>
      </c>
      <c r="H626" s="4" t="s">
        <v>37</v>
      </c>
      <c r="I626" s="5">
        <v>44652</v>
      </c>
      <c r="J626" s="6">
        <v>0</v>
      </c>
      <c r="K626" s="6">
        <v>0</v>
      </c>
      <c r="L626" s="6">
        <v>2757.8380000000002</v>
      </c>
      <c r="M626" s="6">
        <v>2757.8380000000002</v>
      </c>
      <c r="N626" s="6">
        <v>0</v>
      </c>
      <c r="O626" s="6">
        <v>0</v>
      </c>
      <c r="P626" s="6">
        <v>0</v>
      </c>
      <c r="Q626" s="4" t="s">
        <v>61</v>
      </c>
      <c r="R626" s="4">
        <v>0</v>
      </c>
      <c r="S626" s="6">
        <v>0</v>
      </c>
      <c r="T626" s="6">
        <v>29</v>
      </c>
      <c r="U626" s="6">
        <v>0</v>
      </c>
      <c r="V626" s="6">
        <f>IF(ISERROR(VLOOKUP($S$626,'TAR FIN'!$A$1:$O$115,15,0)),0,VLOOKUP($S$626,'TAR FIN'!$A$1:$O$115,15,0))</f>
        <v>0</v>
      </c>
      <c r="W626" s="6">
        <f>IF(ISERROR(VLOOKUP($T$626,'TAR FIN'!$A$1:$O$115,15,0)),0,VLOOKUP($T$626,'TAR FIN'!$A$1:$O$115,15,0))</f>
        <v>84.31</v>
      </c>
      <c r="X626" s="6">
        <f>IF(ISERROR(VLOOKUP($U$626,'TAR FIN'!$A$1:$O$115,15,0)),0,VLOOKUP($U$626,'TAR FIN'!$A$1:$O$115,15,0))</f>
        <v>0</v>
      </c>
      <c r="Y626" s="6"/>
      <c r="Z626" s="6">
        <f ca="1">('TUSD BE'!$AM$29+'TUSD BF'!$AM$29+'TUSD CVA'!$AM$29)*1</f>
        <v>113.43121292628391</v>
      </c>
      <c r="AA626" s="6"/>
      <c r="AB626" s="6">
        <f>$K$626*$V$626</f>
        <v>0</v>
      </c>
      <c r="AC626" s="6">
        <f>$M$626*$W$626</f>
        <v>232513.32178000003</v>
      </c>
      <c r="AD626" s="6">
        <f>$O$626*$X$626</f>
        <v>0</v>
      </c>
      <c r="AE626" s="6">
        <f>$K$626*$Y$626</f>
        <v>0</v>
      </c>
      <c r="AF626" s="6">
        <f ca="1">$M$626*$Z$626</f>
        <v>312824.90939419699</v>
      </c>
      <c r="AG626" s="6">
        <f>$O$626*$AA$626</f>
        <v>0</v>
      </c>
    </row>
    <row r="627" spans="1:33" ht="11.25" customHeight="1" x14ac:dyDescent="0.25">
      <c r="A627" s="4" t="s">
        <v>21</v>
      </c>
      <c r="B627" s="4" t="s">
        <v>41</v>
      </c>
      <c r="C627" s="4" t="s">
        <v>44</v>
      </c>
      <c r="D627" s="4" t="s">
        <v>40</v>
      </c>
      <c r="E627" s="4" t="s">
        <v>25</v>
      </c>
      <c r="F627" s="4" t="s">
        <v>60</v>
      </c>
      <c r="G627" s="4" t="s">
        <v>25</v>
      </c>
      <c r="H627" s="4" t="s">
        <v>37</v>
      </c>
      <c r="I627" s="5">
        <v>44682</v>
      </c>
      <c r="J627" s="6">
        <v>0</v>
      </c>
      <c r="K627" s="6">
        <v>0</v>
      </c>
      <c r="L627" s="6">
        <v>2743.1109999999999</v>
      </c>
      <c r="M627" s="6">
        <v>2743.1109999999999</v>
      </c>
      <c r="N627" s="6">
        <v>0</v>
      </c>
      <c r="O627" s="6">
        <v>0</v>
      </c>
      <c r="P627" s="6">
        <v>0</v>
      </c>
      <c r="Q627" s="4" t="s">
        <v>61</v>
      </c>
      <c r="R627" s="4">
        <v>0</v>
      </c>
      <c r="S627" s="6">
        <v>0</v>
      </c>
      <c r="T627" s="6">
        <v>29</v>
      </c>
      <c r="U627" s="6">
        <v>0</v>
      </c>
      <c r="V627" s="6">
        <f>IF(ISERROR(VLOOKUP($S$627,'TAR FIN'!$A$1:$O$115,15,0)),0,VLOOKUP($S$627,'TAR FIN'!$A$1:$O$115,15,0))</f>
        <v>0</v>
      </c>
      <c r="W627" s="6">
        <f>IF(ISERROR(VLOOKUP($T$627,'TAR FIN'!$A$1:$O$115,15,0)),0,VLOOKUP($T$627,'TAR FIN'!$A$1:$O$115,15,0))</f>
        <v>84.31</v>
      </c>
      <c r="X627" s="6">
        <f>IF(ISERROR(VLOOKUP($U$627,'TAR FIN'!$A$1:$O$115,15,0)),0,VLOOKUP($U$627,'TAR FIN'!$A$1:$O$115,15,0))</f>
        <v>0</v>
      </c>
      <c r="Y627" s="6"/>
      <c r="Z627" s="6">
        <f ca="1">('TUSD BE'!$AM$29+'TUSD BF'!$AM$29+'TUSD CVA'!$AM$29)*1</f>
        <v>113.43121292628391</v>
      </c>
      <c r="AA627" s="6"/>
      <c r="AB627" s="6">
        <f>$K$627*$V$627</f>
        <v>0</v>
      </c>
      <c r="AC627" s="6">
        <f>$M$627*$W$627</f>
        <v>231271.68841</v>
      </c>
      <c r="AD627" s="6">
        <f>$O$627*$X$627</f>
        <v>0</v>
      </c>
      <c r="AE627" s="6">
        <f>$K$627*$Y$627</f>
        <v>0</v>
      </c>
      <c r="AF627" s="6">
        <f ca="1">$M$627*$Z$627</f>
        <v>311154.40792143153</v>
      </c>
      <c r="AG627" s="6">
        <f>$O$627*$AA$627</f>
        <v>0</v>
      </c>
    </row>
    <row r="628" spans="1:33" ht="11.25" customHeight="1" x14ac:dyDescent="0.25">
      <c r="A628" s="4" t="s">
        <v>21</v>
      </c>
      <c r="B628" s="4" t="s">
        <v>41</v>
      </c>
      <c r="C628" s="4" t="s">
        <v>44</v>
      </c>
      <c r="D628" s="4" t="s">
        <v>40</v>
      </c>
      <c r="E628" s="4" t="s">
        <v>25</v>
      </c>
      <c r="F628" s="4" t="s">
        <v>60</v>
      </c>
      <c r="G628" s="4" t="s">
        <v>25</v>
      </c>
      <c r="H628" s="4" t="s">
        <v>37</v>
      </c>
      <c r="I628" s="5">
        <v>44713</v>
      </c>
      <c r="J628" s="6">
        <v>0</v>
      </c>
      <c r="K628" s="6">
        <v>0</v>
      </c>
      <c r="L628" s="6">
        <v>2862.6149999999998</v>
      </c>
      <c r="M628" s="6">
        <v>2862.6149999999998</v>
      </c>
      <c r="N628" s="6">
        <v>0</v>
      </c>
      <c r="O628" s="6">
        <v>0</v>
      </c>
      <c r="P628" s="6">
        <v>0</v>
      </c>
      <c r="Q628" s="4" t="s">
        <v>61</v>
      </c>
      <c r="R628" s="4">
        <v>0</v>
      </c>
      <c r="S628" s="6">
        <v>0</v>
      </c>
      <c r="T628" s="6">
        <v>29</v>
      </c>
      <c r="U628" s="6">
        <v>0</v>
      </c>
      <c r="V628" s="6">
        <f>IF(ISERROR(VLOOKUP($S$628,'TAR FIN'!$A$1:$O$115,15,0)),0,VLOOKUP($S$628,'TAR FIN'!$A$1:$O$115,15,0))</f>
        <v>0</v>
      </c>
      <c r="W628" s="6">
        <f>IF(ISERROR(VLOOKUP($T$628,'TAR FIN'!$A$1:$O$115,15,0)),0,VLOOKUP($T$628,'TAR FIN'!$A$1:$O$115,15,0))</f>
        <v>84.31</v>
      </c>
      <c r="X628" s="6">
        <f>IF(ISERROR(VLOOKUP($U$628,'TAR FIN'!$A$1:$O$115,15,0)),0,VLOOKUP($U$628,'TAR FIN'!$A$1:$O$115,15,0))</f>
        <v>0</v>
      </c>
      <c r="Y628" s="6"/>
      <c r="Z628" s="6">
        <f ca="1">('TUSD BE'!$AM$29+'TUSD BF'!$AM$29+'TUSD CVA'!$AM$29)*1</f>
        <v>113.43121292628391</v>
      </c>
      <c r="AA628" s="6"/>
      <c r="AB628" s="6">
        <f>$K$628*$V$628</f>
        <v>0</v>
      </c>
      <c r="AC628" s="6">
        <f>$M$628*$W$628</f>
        <v>241347.07064999998</v>
      </c>
      <c r="AD628" s="6">
        <f>$O$628*$X$628</f>
        <v>0</v>
      </c>
      <c r="AE628" s="6">
        <f>$K$628*$Y$628</f>
        <v>0</v>
      </c>
      <c r="AF628" s="6">
        <f ca="1">$M$628*$Z$628</f>
        <v>324709.89159097418</v>
      </c>
      <c r="AG628" s="6">
        <f>$O$628*$AA$628</f>
        <v>0</v>
      </c>
    </row>
    <row r="629" spans="1:33" ht="11.25" customHeight="1" x14ac:dyDescent="0.25">
      <c r="A629" s="4" t="s">
        <v>21</v>
      </c>
      <c r="B629" s="4" t="s">
        <v>41</v>
      </c>
      <c r="C629" s="4" t="s">
        <v>44</v>
      </c>
      <c r="D629" s="4" t="s">
        <v>40</v>
      </c>
      <c r="E629" s="4" t="s">
        <v>25</v>
      </c>
      <c r="F629" s="4" t="s">
        <v>60</v>
      </c>
      <c r="G629" s="4" t="s">
        <v>25</v>
      </c>
      <c r="H629" s="4" t="s">
        <v>37</v>
      </c>
      <c r="I629" s="5">
        <v>44743</v>
      </c>
      <c r="J629" s="6">
        <v>0</v>
      </c>
      <c r="K629" s="6">
        <v>0</v>
      </c>
      <c r="L629" s="6">
        <v>2650.5569999999998</v>
      </c>
      <c r="M629" s="6">
        <v>2650.5569999999998</v>
      </c>
      <c r="N629" s="6">
        <v>0</v>
      </c>
      <c r="O629" s="6">
        <v>0</v>
      </c>
      <c r="P629" s="6">
        <v>0</v>
      </c>
      <c r="Q629" s="4" t="s">
        <v>61</v>
      </c>
      <c r="R629" s="4">
        <v>0</v>
      </c>
      <c r="S629" s="6">
        <v>0</v>
      </c>
      <c r="T629" s="6">
        <v>29</v>
      </c>
      <c r="U629" s="6">
        <v>0</v>
      </c>
      <c r="V629" s="6">
        <f>IF(ISERROR(VLOOKUP($S$629,'TAR FIN'!$A$1:$O$115,15,0)),0,VLOOKUP($S$629,'TAR FIN'!$A$1:$O$115,15,0))</f>
        <v>0</v>
      </c>
      <c r="W629" s="6">
        <f>IF(ISERROR(VLOOKUP($T$629,'TAR FIN'!$A$1:$O$115,15,0)),0,VLOOKUP($T$629,'TAR FIN'!$A$1:$O$115,15,0))</f>
        <v>84.31</v>
      </c>
      <c r="X629" s="6">
        <f>IF(ISERROR(VLOOKUP($U$629,'TAR FIN'!$A$1:$O$115,15,0)),0,VLOOKUP($U$629,'TAR FIN'!$A$1:$O$115,15,0))</f>
        <v>0</v>
      </c>
      <c r="Y629" s="6"/>
      <c r="Z629" s="6">
        <f ca="1">('TUSD BE'!$AM$29+'TUSD BF'!$AM$29+'TUSD CVA'!$AM$29)*1</f>
        <v>113.43121292628391</v>
      </c>
      <c r="AA629" s="6"/>
      <c r="AB629" s="6">
        <f>$K$629*$V$629</f>
        <v>0</v>
      </c>
      <c r="AC629" s="6">
        <f>$M$629*$W$629</f>
        <v>223468.46067</v>
      </c>
      <c r="AD629" s="6">
        <f>$O$629*$X$629</f>
        <v>0</v>
      </c>
      <c r="AE629" s="6">
        <f>$K$629*$Y$629</f>
        <v>0</v>
      </c>
      <c r="AF629" s="6">
        <f ca="1">$M$629*$Z$629</f>
        <v>300655.89544025226</v>
      </c>
      <c r="AG629" s="6">
        <f>$O$629*$AA$629</f>
        <v>0</v>
      </c>
    </row>
    <row r="630" spans="1:33" ht="11.25" customHeight="1" x14ac:dyDescent="0.25">
      <c r="A630" s="4" t="s">
        <v>21</v>
      </c>
      <c r="B630" s="4" t="s">
        <v>41</v>
      </c>
      <c r="C630" s="4" t="s">
        <v>44</v>
      </c>
      <c r="D630" s="4" t="s">
        <v>40</v>
      </c>
      <c r="E630" s="4" t="s">
        <v>25</v>
      </c>
      <c r="F630" s="4" t="s">
        <v>60</v>
      </c>
      <c r="G630" s="4" t="s">
        <v>25</v>
      </c>
      <c r="H630" s="4" t="s">
        <v>37</v>
      </c>
      <c r="I630" s="5">
        <v>44774</v>
      </c>
      <c r="J630" s="6">
        <v>0</v>
      </c>
      <c r="K630" s="6">
        <v>0</v>
      </c>
      <c r="L630" s="6">
        <v>2895.6869999999999</v>
      </c>
      <c r="M630" s="6">
        <v>2895.6869999999999</v>
      </c>
      <c r="N630" s="6">
        <v>0</v>
      </c>
      <c r="O630" s="6">
        <v>0</v>
      </c>
      <c r="P630" s="6">
        <v>0</v>
      </c>
      <c r="Q630" s="4" t="s">
        <v>61</v>
      </c>
      <c r="R630" s="4">
        <v>0</v>
      </c>
      <c r="S630" s="6">
        <v>0</v>
      </c>
      <c r="T630" s="6">
        <v>29</v>
      </c>
      <c r="U630" s="6">
        <v>0</v>
      </c>
      <c r="V630" s="6">
        <f>IF(ISERROR(VLOOKUP($S$630,'TAR FIN'!$A$1:$O$115,15,0)),0,VLOOKUP($S$630,'TAR FIN'!$A$1:$O$115,15,0))</f>
        <v>0</v>
      </c>
      <c r="W630" s="6">
        <f>IF(ISERROR(VLOOKUP($T$630,'TAR FIN'!$A$1:$O$115,15,0)),0,VLOOKUP($T$630,'TAR FIN'!$A$1:$O$115,15,0))</f>
        <v>84.31</v>
      </c>
      <c r="X630" s="6">
        <f>IF(ISERROR(VLOOKUP($U$630,'TAR FIN'!$A$1:$O$115,15,0)),0,VLOOKUP($U$630,'TAR FIN'!$A$1:$O$115,15,0))</f>
        <v>0</v>
      </c>
      <c r="Y630" s="6"/>
      <c r="Z630" s="6">
        <f ca="1">('TUSD BE'!$AM$29+'TUSD BF'!$AM$29+'TUSD CVA'!$AM$29)*1</f>
        <v>113.43121292628391</v>
      </c>
      <c r="AA630" s="6"/>
      <c r="AB630" s="6">
        <f>$K$630*$V$630</f>
        <v>0</v>
      </c>
      <c r="AC630" s="6">
        <f>$M$630*$W$630</f>
        <v>244135.37096999999</v>
      </c>
      <c r="AD630" s="6">
        <f>$O$630*$X$630</f>
        <v>0</v>
      </c>
      <c r="AE630" s="6">
        <f>$K$630*$Y$630</f>
        <v>0</v>
      </c>
      <c r="AF630" s="6">
        <f ca="1">$M$630*$Z$630</f>
        <v>328461.28866487223</v>
      </c>
      <c r="AG630" s="6">
        <f>$O$630*$AA$630</f>
        <v>0</v>
      </c>
    </row>
    <row r="631" spans="1:33" ht="11.25" customHeight="1" x14ac:dyDescent="0.25">
      <c r="A631" s="4" t="s">
        <v>21</v>
      </c>
      <c r="B631" s="4" t="s">
        <v>41</v>
      </c>
      <c r="C631" s="4" t="s">
        <v>44</v>
      </c>
      <c r="D631" s="4" t="s">
        <v>40</v>
      </c>
      <c r="E631" s="4" t="s">
        <v>25</v>
      </c>
      <c r="F631" s="4" t="s">
        <v>60</v>
      </c>
      <c r="G631" s="4" t="s">
        <v>25</v>
      </c>
      <c r="H631" s="4" t="s">
        <v>37</v>
      </c>
      <c r="I631" s="5">
        <v>44805</v>
      </c>
      <c r="J631" s="6">
        <v>0</v>
      </c>
      <c r="K631" s="6">
        <v>0</v>
      </c>
      <c r="L631" s="6">
        <v>2887.0039999999999</v>
      </c>
      <c r="M631" s="6">
        <v>2887.0039999999999</v>
      </c>
      <c r="N631" s="6">
        <v>0</v>
      </c>
      <c r="O631" s="6">
        <v>0</v>
      </c>
      <c r="P631" s="6">
        <v>0</v>
      </c>
      <c r="Q631" s="4" t="s">
        <v>61</v>
      </c>
      <c r="R631" s="4">
        <v>0</v>
      </c>
      <c r="S631" s="6">
        <v>0</v>
      </c>
      <c r="T631" s="6">
        <v>29</v>
      </c>
      <c r="U631" s="6">
        <v>0</v>
      </c>
      <c r="V631" s="6">
        <f>IF(ISERROR(VLOOKUP($S$631,'TAR FIN'!$A$1:$O$115,15,0)),0,VLOOKUP($S$631,'TAR FIN'!$A$1:$O$115,15,0))</f>
        <v>0</v>
      </c>
      <c r="W631" s="6">
        <f>IF(ISERROR(VLOOKUP($T$631,'TAR FIN'!$A$1:$O$115,15,0)),0,VLOOKUP($T$631,'TAR FIN'!$A$1:$O$115,15,0))</f>
        <v>84.31</v>
      </c>
      <c r="X631" s="6">
        <f>IF(ISERROR(VLOOKUP($U$631,'TAR FIN'!$A$1:$O$115,15,0)),0,VLOOKUP($U$631,'TAR FIN'!$A$1:$O$115,15,0))</f>
        <v>0</v>
      </c>
      <c r="Y631" s="6"/>
      <c r="Z631" s="6">
        <f ca="1">('TUSD BE'!$AM$29+'TUSD BF'!$AM$29+'TUSD CVA'!$AM$29)*1</f>
        <v>113.43121292628391</v>
      </c>
      <c r="AA631" s="6"/>
      <c r="AB631" s="6">
        <f>$K$631*$V$631</f>
        <v>0</v>
      </c>
      <c r="AC631" s="6">
        <f>$M$631*$W$631</f>
        <v>243403.30723999999</v>
      </c>
      <c r="AD631" s="6">
        <f>$O$631*$X$631</f>
        <v>0</v>
      </c>
      <c r="AE631" s="6">
        <f>$K$631*$Y$631</f>
        <v>0</v>
      </c>
      <c r="AF631" s="6">
        <f ca="1">$M$631*$Z$631</f>
        <v>327476.36544303334</v>
      </c>
      <c r="AG631" s="6">
        <f>$O$631*$AA$631</f>
        <v>0</v>
      </c>
    </row>
    <row r="632" spans="1:33" ht="11.25" customHeight="1" x14ac:dyDescent="0.25">
      <c r="A632" s="4" t="s">
        <v>21</v>
      </c>
      <c r="B632" s="4" t="s">
        <v>41</v>
      </c>
      <c r="C632" s="4" t="s">
        <v>44</v>
      </c>
      <c r="D632" s="4" t="s">
        <v>40</v>
      </c>
      <c r="E632" s="4" t="s">
        <v>25</v>
      </c>
      <c r="F632" s="4" t="s">
        <v>60</v>
      </c>
      <c r="G632" s="4" t="s">
        <v>25</v>
      </c>
      <c r="H632" s="4" t="s">
        <v>37</v>
      </c>
      <c r="I632" s="5">
        <v>44835</v>
      </c>
      <c r="J632" s="6">
        <v>0</v>
      </c>
      <c r="K632" s="6">
        <v>0</v>
      </c>
      <c r="L632" s="6">
        <v>2789.5140000000001</v>
      </c>
      <c r="M632" s="6">
        <v>2789.5140000000001</v>
      </c>
      <c r="N632" s="6">
        <v>0</v>
      </c>
      <c r="O632" s="6">
        <v>0</v>
      </c>
      <c r="P632" s="6">
        <v>0</v>
      </c>
      <c r="Q632" s="4" t="s">
        <v>61</v>
      </c>
      <c r="R632" s="4">
        <v>0</v>
      </c>
      <c r="S632" s="6">
        <v>0</v>
      </c>
      <c r="T632" s="6">
        <v>29</v>
      </c>
      <c r="U632" s="6">
        <v>0</v>
      </c>
      <c r="V632" s="6">
        <f>IF(ISERROR(VLOOKUP($S$632,'TAR FIN'!$A$1:$O$115,15,0)),0,VLOOKUP($S$632,'TAR FIN'!$A$1:$O$115,15,0))</f>
        <v>0</v>
      </c>
      <c r="W632" s="6">
        <f>IF(ISERROR(VLOOKUP($T$632,'TAR FIN'!$A$1:$O$115,15,0)),0,VLOOKUP($T$632,'TAR FIN'!$A$1:$O$115,15,0))</f>
        <v>84.31</v>
      </c>
      <c r="X632" s="6">
        <f>IF(ISERROR(VLOOKUP($U$632,'TAR FIN'!$A$1:$O$115,15,0)),0,VLOOKUP($U$632,'TAR FIN'!$A$1:$O$115,15,0))</f>
        <v>0</v>
      </c>
      <c r="Y632" s="6"/>
      <c r="Z632" s="6">
        <f ca="1">('TUSD BE'!$AM$29+'TUSD BF'!$AM$29+'TUSD CVA'!$AM$29)*1</f>
        <v>113.43121292628391</v>
      </c>
      <c r="AA632" s="6"/>
      <c r="AB632" s="6">
        <f>$K$632*$V$632</f>
        <v>0</v>
      </c>
      <c r="AC632" s="6">
        <f>$M$632*$W$632</f>
        <v>235183.92534000002</v>
      </c>
      <c r="AD632" s="6">
        <f>$O$632*$X$632</f>
        <v>0</v>
      </c>
      <c r="AE632" s="6">
        <f>$K$632*$Y$632</f>
        <v>0</v>
      </c>
      <c r="AF632" s="6">
        <f ca="1">$M$632*$Z$632</f>
        <v>316417.95649484993</v>
      </c>
      <c r="AG632" s="6">
        <f>$O$632*$AA$632</f>
        <v>0</v>
      </c>
    </row>
    <row r="633" spans="1:33" ht="11.25" customHeight="1" x14ac:dyDescent="0.25">
      <c r="A633" s="4" t="s">
        <v>59</v>
      </c>
      <c r="B633" s="4" t="s">
        <v>41</v>
      </c>
      <c r="C633" s="4" t="s">
        <v>44</v>
      </c>
      <c r="D633" s="4" t="s">
        <v>40</v>
      </c>
      <c r="E633" s="4" t="s">
        <v>25</v>
      </c>
      <c r="F633" s="4" t="s">
        <v>60</v>
      </c>
      <c r="G633" s="4" t="s">
        <v>25</v>
      </c>
      <c r="H633" s="4" t="s">
        <v>37</v>
      </c>
      <c r="I633" s="5">
        <v>44866</v>
      </c>
      <c r="J633" s="6">
        <v>0</v>
      </c>
      <c r="K633" s="6">
        <v>0</v>
      </c>
      <c r="L633" s="6">
        <v>2789.5140000000001</v>
      </c>
      <c r="M633" s="6">
        <v>2789.5140000000001</v>
      </c>
      <c r="N633" s="6">
        <v>0</v>
      </c>
      <c r="O633" s="6">
        <v>0</v>
      </c>
      <c r="P633" s="6">
        <v>0</v>
      </c>
      <c r="Q633" s="4" t="s">
        <v>61</v>
      </c>
      <c r="R633" s="4">
        <v>0</v>
      </c>
      <c r="S633" s="6">
        <v>0</v>
      </c>
      <c r="T633" s="6">
        <v>29</v>
      </c>
      <c r="U633" s="6">
        <v>0</v>
      </c>
      <c r="V633" s="6">
        <f>IF(ISERROR(VLOOKUP($S$633,'TAR FIN'!$A$1:$O$115,15,0)),0,VLOOKUP($S$633,'TAR FIN'!$A$1:$O$115,15,0))</f>
        <v>0</v>
      </c>
      <c r="W633" s="6">
        <f>IF(ISERROR(VLOOKUP($T$633,'TAR FIN'!$A$1:$O$115,15,0)),0,VLOOKUP($T$633,'TAR FIN'!$A$1:$O$115,15,0))</f>
        <v>84.31</v>
      </c>
      <c r="X633" s="6">
        <f>IF(ISERROR(VLOOKUP($U$633,'TAR FIN'!$A$1:$O$115,15,0)),0,VLOOKUP($U$633,'TAR FIN'!$A$1:$O$115,15,0))</f>
        <v>0</v>
      </c>
      <c r="Y633" s="6"/>
      <c r="Z633" s="6">
        <f ca="1">('TUSD BE'!$AM$29+'TUSD BF'!$AM$29+'TUSD CVA'!$AM$29)*1</f>
        <v>113.43121292628391</v>
      </c>
      <c r="AA633" s="6"/>
      <c r="AB633" s="6">
        <f>$K$633*$V$633</f>
        <v>0</v>
      </c>
      <c r="AC633" s="6">
        <f>$M$633*$W$633</f>
        <v>235183.92534000002</v>
      </c>
      <c r="AD633" s="6">
        <f>$O$633*$X$633</f>
        <v>0</v>
      </c>
      <c r="AE633" s="6">
        <f>$K$633*$Y$633</f>
        <v>0</v>
      </c>
      <c r="AF633" s="6">
        <f ca="1">$M$633*$Z$633</f>
        <v>316417.95649484993</v>
      </c>
      <c r="AG633" s="6">
        <f>$O$633*$AA$633</f>
        <v>0</v>
      </c>
    </row>
    <row r="634" spans="1:33" ht="11.25" customHeight="1" x14ac:dyDescent="0.25">
      <c r="A634" s="4" t="s">
        <v>21</v>
      </c>
      <c r="B634" s="4" t="s">
        <v>41</v>
      </c>
      <c r="C634" s="4" t="s">
        <v>44</v>
      </c>
      <c r="D634" s="4" t="s">
        <v>40</v>
      </c>
      <c r="E634" s="4" t="s">
        <v>25</v>
      </c>
      <c r="F634" s="4" t="s">
        <v>60</v>
      </c>
      <c r="G634" s="4" t="s">
        <v>25</v>
      </c>
      <c r="H634" s="4" t="s">
        <v>25</v>
      </c>
      <c r="I634" s="5">
        <v>44531</v>
      </c>
      <c r="J634" s="6">
        <v>10411</v>
      </c>
      <c r="K634" s="6">
        <v>4047.7968000000001</v>
      </c>
      <c r="L634" s="6">
        <v>0</v>
      </c>
      <c r="M634" s="6">
        <v>0</v>
      </c>
      <c r="N634" s="6">
        <v>0</v>
      </c>
      <c r="O634" s="6">
        <v>0</v>
      </c>
      <c r="P634" s="6">
        <v>24</v>
      </c>
      <c r="Q634" s="4" t="s">
        <v>61</v>
      </c>
      <c r="R634" s="4">
        <v>0</v>
      </c>
      <c r="S634" s="6">
        <v>27</v>
      </c>
      <c r="T634" s="6">
        <v>0</v>
      </c>
      <c r="U634" s="6">
        <v>0</v>
      </c>
      <c r="V634" s="6">
        <f>IF(ISERROR(VLOOKUP($S$634,'TAR FIN'!$A$1:$O$115,15,0)),0,VLOOKUP($S$634,'TAR FIN'!$A$1:$O$115,15,0))</f>
        <v>19.8</v>
      </c>
      <c r="W634" s="6">
        <f>IF(ISERROR(VLOOKUP($T$634,'TAR FIN'!$A$1:$O$115,15,0)),0,VLOOKUP($T$634,'TAR FIN'!$A$1:$O$115,15,0))</f>
        <v>0</v>
      </c>
      <c r="X634" s="6">
        <f>IF(ISERROR(VLOOKUP($U$634,'TAR FIN'!$A$1:$O$115,15,0)),0,VLOOKUP($U$634,'TAR FIN'!$A$1:$O$115,15,0))</f>
        <v>0</v>
      </c>
      <c r="Y634" s="6">
        <f ca="1">('TUSD BE'!$AM$27+'TUSD BF'!$AM$27+'TUSD CVA'!$AM$27)*1</f>
        <v>20.615214330225772</v>
      </c>
      <c r="Z634" s="6"/>
      <c r="AA634" s="6"/>
      <c r="AB634" s="6">
        <f>$K$634*$V$634</f>
        <v>80146.376640000002</v>
      </c>
      <c r="AC634" s="6">
        <f>$M$634*$W$634</f>
        <v>0</v>
      </c>
      <c r="AD634" s="6">
        <f>$O$634*$X$634</f>
        <v>0</v>
      </c>
      <c r="AE634" s="6">
        <f ca="1">$K$634*$Y$634</f>
        <v>83446.198597202019</v>
      </c>
      <c r="AF634" s="6">
        <f>$M$634*$Z$634</f>
        <v>0</v>
      </c>
      <c r="AG634" s="6">
        <f>$O$634*$AA$634</f>
        <v>0</v>
      </c>
    </row>
    <row r="635" spans="1:33" ht="11.25" customHeight="1" x14ac:dyDescent="0.25">
      <c r="A635" s="4" t="s">
        <v>21</v>
      </c>
      <c r="B635" s="4" t="s">
        <v>41</v>
      </c>
      <c r="C635" s="4" t="s">
        <v>44</v>
      </c>
      <c r="D635" s="4" t="s">
        <v>40</v>
      </c>
      <c r="E635" s="4" t="s">
        <v>25</v>
      </c>
      <c r="F635" s="4" t="s">
        <v>60</v>
      </c>
      <c r="G635" s="4" t="s">
        <v>25</v>
      </c>
      <c r="H635" s="4" t="s">
        <v>25</v>
      </c>
      <c r="I635" s="5">
        <v>44562</v>
      </c>
      <c r="J635" s="6">
        <v>10420</v>
      </c>
      <c r="K635" s="6">
        <v>4182.5879999999997</v>
      </c>
      <c r="L635" s="6">
        <v>0</v>
      </c>
      <c r="M635" s="6">
        <v>0</v>
      </c>
      <c r="N635" s="6">
        <v>0</v>
      </c>
      <c r="O635" s="6">
        <v>0</v>
      </c>
      <c r="P635" s="6">
        <v>24</v>
      </c>
      <c r="Q635" s="4" t="s">
        <v>61</v>
      </c>
      <c r="R635" s="4">
        <v>0</v>
      </c>
      <c r="S635" s="6">
        <v>27</v>
      </c>
      <c r="T635" s="6">
        <v>0</v>
      </c>
      <c r="U635" s="6">
        <v>0</v>
      </c>
      <c r="V635" s="6">
        <f>IF(ISERROR(VLOOKUP($S$635,'TAR FIN'!$A$1:$O$115,15,0)),0,VLOOKUP($S$635,'TAR FIN'!$A$1:$O$115,15,0))</f>
        <v>19.8</v>
      </c>
      <c r="W635" s="6">
        <f>IF(ISERROR(VLOOKUP($T$635,'TAR FIN'!$A$1:$O$115,15,0)),0,VLOOKUP($T$635,'TAR FIN'!$A$1:$O$115,15,0))</f>
        <v>0</v>
      </c>
      <c r="X635" s="6">
        <f>IF(ISERROR(VLOOKUP($U$635,'TAR FIN'!$A$1:$O$115,15,0)),0,VLOOKUP($U$635,'TAR FIN'!$A$1:$O$115,15,0))</f>
        <v>0</v>
      </c>
      <c r="Y635" s="6">
        <f ca="1">('TUSD BE'!$AM$27+'TUSD BF'!$AM$27+'TUSD CVA'!$AM$27)*1</f>
        <v>20.615214330225772</v>
      </c>
      <c r="Z635" s="6"/>
      <c r="AA635" s="6"/>
      <c r="AB635" s="6">
        <f>$K$635*$V$635</f>
        <v>82815.242400000003</v>
      </c>
      <c r="AC635" s="6">
        <f>$M$635*$W$635</f>
        <v>0</v>
      </c>
      <c r="AD635" s="6">
        <f>$O$635*$X$635</f>
        <v>0</v>
      </c>
      <c r="AE635" s="6">
        <f ca="1">$K$635*$Y$635</f>
        <v>86224.948075030348</v>
      </c>
      <c r="AF635" s="6">
        <f>$M$635*$Z$635</f>
        <v>0</v>
      </c>
      <c r="AG635" s="6">
        <f>$O$635*$AA$635</f>
        <v>0</v>
      </c>
    </row>
    <row r="636" spans="1:33" ht="11.25" customHeight="1" x14ac:dyDescent="0.25">
      <c r="A636" s="4" t="s">
        <v>21</v>
      </c>
      <c r="B636" s="4" t="s">
        <v>41</v>
      </c>
      <c r="C636" s="4" t="s">
        <v>44</v>
      </c>
      <c r="D636" s="4" t="s">
        <v>40</v>
      </c>
      <c r="E636" s="4" t="s">
        <v>25</v>
      </c>
      <c r="F636" s="4" t="s">
        <v>60</v>
      </c>
      <c r="G636" s="4" t="s">
        <v>25</v>
      </c>
      <c r="H636" s="4" t="s">
        <v>25</v>
      </c>
      <c r="I636" s="5">
        <v>44593</v>
      </c>
      <c r="J636" s="6">
        <v>10412</v>
      </c>
      <c r="K636" s="6">
        <v>4457.3771999999999</v>
      </c>
      <c r="L636" s="6">
        <v>0</v>
      </c>
      <c r="M636" s="6">
        <v>0</v>
      </c>
      <c r="N636" s="6">
        <v>0</v>
      </c>
      <c r="O636" s="6">
        <v>0</v>
      </c>
      <c r="P636" s="6">
        <v>24</v>
      </c>
      <c r="Q636" s="4" t="s">
        <v>61</v>
      </c>
      <c r="R636" s="4">
        <v>0</v>
      </c>
      <c r="S636" s="6">
        <v>27</v>
      </c>
      <c r="T636" s="6">
        <v>0</v>
      </c>
      <c r="U636" s="6">
        <v>0</v>
      </c>
      <c r="V636" s="6">
        <f>IF(ISERROR(VLOOKUP($S$636,'TAR FIN'!$A$1:$O$115,15,0)),0,VLOOKUP($S$636,'TAR FIN'!$A$1:$O$115,15,0))</f>
        <v>19.8</v>
      </c>
      <c r="W636" s="6">
        <f>IF(ISERROR(VLOOKUP($T$636,'TAR FIN'!$A$1:$O$115,15,0)),0,VLOOKUP($T$636,'TAR FIN'!$A$1:$O$115,15,0))</f>
        <v>0</v>
      </c>
      <c r="X636" s="6">
        <f>IF(ISERROR(VLOOKUP($U$636,'TAR FIN'!$A$1:$O$115,15,0)),0,VLOOKUP($U$636,'TAR FIN'!$A$1:$O$115,15,0))</f>
        <v>0</v>
      </c>
      <c r="Y636" s="6">
        <f ca="1">('TUSD BE'!$AM$27+'TUSD BF'!$AM$27+'TUSD CVA'!$AM$27)*1</f>
        <v>20.615214330225772</v>
      </c>
      <c r="Z636" s="6"/>
      <c r="AA636" s="6"/>
      <c r="AB636" s="6">
        <f>$K$636*$V$636</f>
        <v>88256.06856</v>
      </c>
      <c r="AC636" s="6">
        <f>$M$636*$W$636</f>
        <v>0</v>
      </c>
      <c r="AD636" s="6">
        <f>$O$636*$X$636</f>
        <v>0</v>
      </c>
      <c r="AE636" s="6">
        <f ca="1">$K$636*$Y$636</f>
        <v>91889.786328661619</v>
      </c>
      <c r="AF636" s="6">
        <f>$M$636*$Z$636</f>
        <v>0</v>
      </c>
      <c r="AG636" s="6">
        <f>$O$636*$AA$636</f>
        <v>0</v>
      </c>
    </row>
    <row r="637" spans="1:33" ht="11.25" customHeight="1" x14ac:dyDescent="0.25">
      <c r="A637" s="4" t="s">
        <v>21</v>
      </c>
      <c r="B637" s="4" t="s">
        <v>41</v>
      </c>
      <c r="C637" s="4" t="s">
        <v>44</v>
      </c>
      <c r="D637" s="4" t="s">
        <v>40</v>
      </c>
      <c r="E637" s="4" t="s">
        <v>25</v>
      </c>
      <c r="F637" s="4" t="s">
        <v>60</v>
      </c>
      <c r="G637" s="4" t="s">
        <v>25</v>
      </c>
      <c r="H637" s="4" t="s">
        <v>25</v>
      </c>
      <c r="I637" s="5">
        <v>44621</v>
      </c>
      <c r="J637" s="6">
        <v>10391</v>
      </c>
      <c r="K637" s="6">
        <v>4422.4096</v>
      </c>
      <c r="L637" s="6">
        <v>0</v>
      </c>
      <c r="M637" s="6">
        <v>0</v>
      </c>
      <c r="N637" s="6">
        <v>0</v>
      </c>
      <c r="O637" s="6">
        <v>0</v>
      </c>
      <c r="P637" s="6">
        <v>24</v>
      </c>
      <c r="Q637" s="4" t="s">
        <v>61</v>
      </c>
      <c r="R637" s="4">
        <v>0</v>
      </c>
      <c r="S637" s="6">
        <v>27</v>
      </c>
      <c r="T637" s="6">
        <v>0</v>
      </c>
      <c r="U637" s="6">
        <v>0</v>
      </c>
      <c r="V637" s="6">
        <f>IF(ISERROR(VLOOKUP($S$637,'TAR FIN'!$A$1:$O$115,15,0)),0,VLOOKUP($S$637,'TAR FIN'!$A$1:$O$115,15,0))</f>
        <v>19.8</v>
      </c>
      <c r="W637" s="6">
        <f>IF(ISERROR(VLOOKUP($T$637,'TAR FIN'!$A$1:$O$115,15,0)),0,VLOOKUP($T$637,'TAR FIN'!$A$1:$O$115,15,0))</f>
        <v>0</v>
      </c>
      <c r="X637" s="6">
        <f>IF(ISERROR(VLOOKUP($U$637,'TAR FIN'!$A$1:$O$115,15,0)),0,VLOOKUP($U$637,'TAR FIN'!$A$1:$O$115,15,0))</f>
        <v>0</v>
      </c>
      <c r="Y637" s="6">
        <f ca="1">('TUSD BE'!$AM$27+'TUSD BF'!$AM$27+'TUSD CVA'!$AM$27)*1</f>
        <v>20.615214330225772</v>
      </c>
      <c r="Z637" s="6"/>
      <c r="AA637" s="6"/>
      <c r="AB637" s="6">
        <f>$K$637*$V$637</f>
        <v>87563.710080000004</v>
      </c>
      <c r="AC637" s="6">
        <f>$M$637*$W$637</f>
        <v>0</v>
      </c>
      <c r="AD637" s="6">
        <f>$O$637*$X$637</f>
        <v>0</v>
      </c>
      <c r="AE637" s="6">
        <f ca="1">$K$637*$Y$637</f>
        <v>91168.921760048019</v>
      </c>
      <c r="AF637" s="6">
        <f>$M$637*$Z$637</f>
        <v>0</v>
      </c>
      <c r="AG637" s="6">
        <f>$O$637*$AA$637</f>
        <v>0</v>
      </c>
    </row>
    <row r="638" spans="1:33" ht="11.25" customHeight="1" x14ac:dyDescent="0.25">
      <c r="A638" s="4" t="s">
        <v>21</v>
      </c>
      <c r="B638" s="4" t="s">
        <v>41</v>
      </c>
      <c r="C638" s="4" t="s">
        <v>44</v>
      </c>
      <c r="D638" s="4" t="s">
        <v>40</v>
      </c>
      <c r="E638" s="4" t="s">
        <v>25</v>
      </c>
      <c r="F638" s="4" t="s">
        <v>60</v>
      </c>
      <c r="G638" s="4" t="s">
        <v>25</v>
      </c>
      <c r="H638" s="4" t="s">
        <v>25</v>
      </c>
      <c r="I638" s="5">
        <v>44652</v>
      </c>
      <c r="J638" s="6">
        <v>10411</v>
      </c>
      <c r="K638" s="6">
        <v>5072.2392</v>
      </c>
      <c r="L638" s="6">
        <v>0</v>
      </c>
      <c r="M638" s="6">
        <v>0</v>
      </c>
      <c r="N638" s="6">
        <v>0</v>
      </c>
      <c r="O638" s="6">
        <v>0</v>
      </c>
      <c r="P638" s="6">
        <v>24</v>
      </c>
      <c r="Q638" s="4" t="s">
        <v>61</v>
      </c>
      <c r="R638" s="4">
        <v>0</v>
      </c>
      <c r="S638" s="6">
        <v>27</v>
      </c>
      <c r="T638" s="6">
        <v>0</v>
      </c>
      <c r="U638" s="6">
        <v>0</v>
      </c>
      <c r="V638" s="6">
        <f>IF(ISERROR(VLOOKUP($S$638,'TAR FIN'!$A$1:$O$115,15,0)),0,VLOOKUP($S$638,'TAR FIN'!$A$1:$O$115,15,0))</f>
        <v>19.8</v>
      </c>
      <c r="W638" s="6">
        <f>IF(ISERROR(VLOOKUP($T$638,'TAR FIN'!$A$1:$O$115,15,0)),0,VLOOKUP($T$638,'TAR FIN'!$A$1:$O$115,15,0))</f>
        <v>0</v>
      </c>
      <c r="X638" s="6">
        <f>IF(ISERROR(VLOOKUP($U$638,'TAR FIN'!$A$1:$O$115,15,0)),0,VLOOKUP($U$638,'TAR FIN'!$A$1:$O$115,15,0))</f>
        <v>0</v>
      </c>
      <c r="Y638" s="6">
        <f ca="1">('TUSD BE'!$AM$27+'TUSD BF'!$AM$27+'TUSD CVA'!$AM$27)*1</f>
        <v>20.615214330225772</v>
      </c>
      <c r="Z638" s="6"/>
      <c r="AA638" s="6"/>
      <c r="AB638" s="6">
        <f>$K$638*$V$638</f>
        <v>100430.33616000001</v>
      </c>
      <c r="AC638" s="6">
        <f>$M$638*$W$638</f>
        <v>0</v>
      </c>
      <c r="AD638" s="6">
        <f>$O$638*$X$638</f>
        <v>0</v>
      </c>
      <c r="AE638" s="6">
        <f ca="1">$K$638*$Y$638</f>
        <v>104565.29824217291</v>
      </c>
      <c r="AF638" s="6">
        <f>$M$638*$Z$638</f>
        <v>0</v>
      </c>
      <c r="AG638" s="6">
        <f>$O$638*$AA$638</f>
        <v>0</v>
      </c>
    </row>
    <row r="639" spans="1:33" ht="11.25" customHeight="1" x14ac:dyDescent="0.25">
      <c r="A639" s="4" t="s">
        <v>21</v>
      </c>
      <c r="B639" s="4" t="s">
        <v>41</v>
      </c>
      <c r="C639" s="4" t="s">
        <v>44</v>
      </c>
      <c r="D639" s="4" t="s">
        <v>40</v>
      </c>
      <c r="E639" s="4" t="s">
        <v>25</v>
      </c>
      <c r="F639" s="4" t="s">
        <v>60</v>
      </c>
      <c r="G639" s="4" t="s">
        <v>25</v>
      </c>
      <c r="H639" s="4" t="s">
        <v>25</v>
      </c>
      <c r="I639" s="5">
        <v>44682</v>
      </c>
      <c r="J639" s="6">
        <v>10423</v>
      </c>
      <c r="K639" s="6">
        <v>5010.3361000000004</v>
      </c>
      <c r="L639" s="6">
        <v>0</v>
      </c>
      <c r="M639" s="6">
        <v>0</v>
      </c>
      <c r="N639" s="6">
        <v>0</v>
      </c>
      <c r="O639" s="6">
        <v>0</v>
      </c>
      <c r="P639" s="6">
        <v>24</v>
      </c>
      <c r="Q639" s="4" t="s">
        <v>61</v>
      </c>
      <c r="R639" s="4">
        <v>0</v>
      </c>
      <c r="S639" s="6">
        <v>27</v>
      </c>
      <c r="T639" s="6">
        <v>0</v>
      </c>
      <c r="U639" s="6">
        <v>0</v>
      </c>
      <c r="V639" s="6">
        <f>IF(ISERROR(VLOOKUP($S$639,'TAR FIN'!$A$1:$O$115,15,0)),0,VLOOKUP($S$639,'TAR FIN'!$A$1:$O$115,15,0))</f>
        <v>19.8</v>
      </c>
      <c r="W639" s="6">
        <f>IF(ISERROR(VLOOKUP($T$639,'TAR FIN'!$A$1:$O$115,15,0)),0,VLOOKUP($T$639,'TAR FIN'!$A$1:$O$115,15,0))</f>
        <v>0</v>
      </c>
      <c r="X639" s="6">
        <f>IF(ISERROR(VLOOKUP($U$639,'TAR FIN'!$A$1:$O$115,15,0)),0,VLOOKUP($U$639,'TAR FIN'!$A$1:$O$115,15,0))</f>
        <v>0</v>
      </c>
      <c r="Y639" s="6">
        <f ca="1">('TUSD BE'!$AM$27+'TUSD BF'!$AM$27+'TUSD CVA'!$AM$27)*1</f>
        <v>20.615214330225772</v>
      </c>
      <c r="Z639" s="6"/>
      <c r="AA639" s="6"/>
      <c r="AB639" s="6">
        <f>$K$639*$V$639</f>
        <v>99204.654780000012</v>
      </c>
      <c r="AC639" s="6">
        <f>$M$639*$W$639</f>
        <v>0</v>
      </c>
      <c r="AD639" s="6">
        <f>$O$639*$X$639</f>
        <v>0</v>
      </c>
      <c r="AE639" s="6">
        <f ca="1">$K$639*$Y$639</f>
        <v>103289.15256796751</v>
      </c>
      <c r="AF639" s="6">
        <f>$M$639*$Z$639</f>
        <v>0</v>
      </c>
      <c r="AG639" s="6">
        <f>$O$639*$AA$639</f>
        <v>0</v>
      </c>
    </row>
    <row r="640" spans="1:33" ht="11.25" customHeight="1" x14ac:dyDescent="0.25">
      <c r="A640" s="4" t="s">
        <v>21</v>
      </c>
      <c r="B640" s="4" t="s">
        <v>41</v>
      </c>
      <c r="C640" s="4" t="s">
        <v>44</v>
      </c>
      <c r="D640" s="4" t="s">
        <v>40</v>
      </c>
      <c r="E640" s="4" t="s">
        <v>25</v>
      </c>
      <c r="F640" s="4" t="s">
        <v>60</v>
      </c>
      <c r="G640" s="4" t="s">
        <v>25</v>
      </c>
      <c r="H640" s="4" t="s">
        <v>25</v>
      </c>
      <c r="I640" s="5">
        <v>44713</v>
      </c>
      <c r="J640" s="6">
        <v>10016</v>
      </c>
      <c r="K640" s="6">
        <v>4800.6688000000004</v>
      </c>
      <c r="L640" s="6">
        <v>0</v>
      </c>
      <c r="M640" s="6">
        <v>0</v>
      </c>
      <c r="N640" s="6">
        <v>0</v>
      </c>
      <c r="O640" s="6">
        <v>0</v>
      </c>
      <c r="P640" s="6">
        <v>24</v>
      </c>
      <c r="Q640" s="4" t="s">
        <v>61</v>
      </c>
      <c r="R640" s="4">
        <v>0</v>
      </c>
      <c r="S640" s="6">
        <v>27</v>
      </c>
      <c r="T640" s="6">
        <v>0</v>
      </c>
      <c r="U640" s="6">
        <v>0</v>
      </c>
      <c r="V640" s="6">
        <f>IF(ISERROR(VLOOKUP($S$640,'TAR FIN'!$A$1:$O$115,15,0)),0,VLOOKUP($S$640,'TAR FIN'!$A$1:$O$115,15,0))</f>
        <v>19.8</v>
      </c>
      <c r="W640" s="6">
        <f>IF(ISERROR(VLOOKUP($T$640,'TAR FIN'!$A$1:$O$115,15,0)),0,VLOOKUP($T$640,'TAR FIN'!$A$1:$O$115,15,0))</f>
        <v>0</v>
      </c>
      <c r="X640" s="6">
        <f>IF(ISERROR(VLOOKUP($U$640,'TAR FIN'!$A$1:$O$115,15,0)),0,VLOOKUP($U$640,'TAR FIN'!$A$1:$O$115,15,0))</f>
        <v>0</v>
      </c>
      <c r="Y640" s="6">
        <f ca="1">('TUSD BE'!$AM$27+'TUSD BF'!$AM$27+'TUSD CVA'!$AM$27)*1</f>
        <v>20.615214330225772</v>
      </c>
      <c r="Z640" s="6"/>
      <c r="AA640" s="6"/>
      <c r="AB640" s="6">
        <f>$K$640*$V$640</f>
        <v>95053.242240000007</v>
      </c>
      <c r="AC640" s="6">
        <f>$M$640*$W$640</f>
        <v>0</v>
      </c>
      <c r="AD640" s="6">
        <f>$O$640*$X$640</f>
        <v>0</v>
      </c>
      <c r="AE640" s="6">
        <f ca="1">$K$640*$Y$640</f>
        <v>98966.816240427768</v>
      </c>
      <c r="AF640" s="6">
        <f>$M$640*$Z$640</f>
        <v>0</v>
      </c>
      <c r="AG640" s="6">
        <f>$O$640*$AA$640</f>
        <v>0</v>
      </c>
    </row>
    <row r="641" spans="1:33" ht="11.25" customHeight="1" x14ac:dyDescent="0.25">
      <c r="A641" s="4" t="s">
        <v>21</v>
      </c>
      <c r="B641" s="4" t="s">
        <v>41</v>
      </c>
      <c r="C641" s="4" t="s">
        <v>44</v>
      </c>
      <c r="D641" s="4" t="s">
        <v>40</v>
      </c>
      <c r="E641" s="4" t="s">
        <v>25</v>
      </c>
      <c r="F641" s="4" t="s">
        <v>60</v>
      </c>
      <c r="G641" s="4" t="s">
        <v>25</v>
      </c>
      <c r="H641" s="4" t="s">
        <v>25</v>
      </c>
      <c r="I641" s="5">
        <v>44743</v>
      </c>
      <c r="J641" s="6">
        <v>10022</v>
      </c>
      <c r="K641" s="6">
        <v>4855.6589999999997</v>
      </c>
      <c r="L641" s="6">
        <v>0</v>
      </c>
      <c r="M641" s="6">
        <v>0</v>
      </c>
      <c r="N641" s="6">
        <v>0</v>
      </c>
      <c r="O641" s="6">
        <v>0</v>
      </c>
      <c r="P641" s="6">
        <v>24</v>
      </c>
      <c r="Q641" s="4" t="s">
        <v>61</v>
      </c>
      <c r="R641" s="4">
        <v>0</v>
      </c>
      <c r="S641" s="6">
        <v>27</v>
      </c>
      <c r="T641" s="6">
        <v>0</v>
      </c>
      <c r="U641" s="6">
        <v>0</v>
      </c>
      <c r="V641" s="6">
        <f>IF(ISERROR(VLOOKUP($S$641,'TAR FIN'!$A$1:$O$115,15,0)),0,VLOOKUP($S$641,'TAR FIN'!$A$1:$O$115,15,0))</f>
        <v>19.8</v>
      </c>
      <c r="W641" s="6">
        <f>IF(ISERROR(VLOOKUP($T$641,'TAR FIN'!$A$1:$O$115,15,0)),0,VLOOKUP($T$641,'TAR FIN'!$A$1:$O$115,15,0))</f>
        <v>0</v>
      </c>
      <c r="X641" s="6">
        <f>IF(ISERROR(VLOOKUP($U$641,'TAR FIN'!$A$1:$O$115,15,0)),0,VLOOKUP($U$641,'TAR FIN'!$A$1:$O$115,15,0))</f>
        <v>0</v>
      </c>
      <c r="Y641" s="6">
        <f ca="1">('TUSD BE'!$AM$27+'TUSD BF'!$AM$27+'TUSD CVA'!$AM$27)*1</f>
        <v>20.615214330225772</v>
      </c>
      <c r="Z641" s="6"/>
      <c r="AA641" s="6"/>
      <c r="AB641" s="6">
        <f>$K$641*$V$641</f>
        <v>96142.04819999999</v>
      </c>
      <c r="AC641" s="6">
        <f>$M$641*$W$641</f>
        <v>0</v>
      </c>
      <c r="AD641" s="6">
        <f>$O$641*$X$641</f>
        <v>0</v>
      </c>
      <c r="AE641" s="6">
        <f ca="1">$K$641*$Y$641</f>
        <v>100100.45099948974</v>
      </c>
      <c r="AF641" s="6">
        <f>$M$641*$Z$641</f>
        <v>0</v>
      </c>
      <c r="AG641" s="6">
        <f>$O$641*$AA$641</f>
        <v>0</v>
      </c>
    </row>
    <row r="642" spans="1:33" ht="11.25" customHeight="1" x14ac:dyDescent="0.25">
      <c r="A642" s="4" t="s">
        <v>21</v>
      </c>
      <c r="B642" s="4" t="s">
        <v>41</v>
      </c>
      <c r="C642" s="4" t="s">
        <v>44</v>
      </c>
      <c r="D642" s="4" t="s">
        <v>40</v>
      </c>
      <c r="E642" s="4" t="s">
        <v>25</v>
      </c>
      <c r="F642" s="4" t="s">
        <v>60</v>
      </c>
      <c r="G642" s="4" t="s">
        <v>25</v>
      </c>
      <c r="H642" s="4" t="s">
        <v>25</v>
      </c>
      <c r="I642" s="5">
        <v>44774</v>
      </c>
      <c r="J642" s="6">
        <v>10030</v>
      </c>
      <c r="K642" s="6">
        <v>4800.3580000000002</v>
      </c>
      <c r="L642" s="6">
        <v>0</v>
      </c>
      <c r="M642" s="6">
        <v>0</v>
      </c>
      <c r="N642" s="6">
        <v>0</v>
      </c>
      <c r="O642" s="6">
        <v>0</v>
      </c>
      <c r="P642" s="6">
        <v>24</v>
      </c>
      <c r="Q642" s="4" t="s">
        <v>61</v>
      </c>
      <c r="R642" s="4">
        <v>0</v>
      </c>
      <c r="S642" s="6">
        <v>27</v>
      </c>
      <c r="T642" s="6">
        <v>0</v>
      </c>
      <c r="U642" s="6">
        <v>0</v>
      </c>
      <c r="V642" s="6">
        <f>IF(ISERROR(VLOOKUP($S$642,'TAR FIN'!$A$1:$O$115,15,0)),0,VLOOKUP($S$642,'TAR FIN'!$A$1:$O$115,15,0))</f>
        <v>19.8</v>
      </c>
      <c r="W642" s="6">
        <f>IF(ISERROR(VLOOKUP($T$642,'TAR FIN'!$A$1:$O$115,15,0)),0,VLOOKUP($T$642,'TAR FIN'!$A$1:$O$115,15,0))</f>
        <v>0</v>
      </c>
      <c r="X642" s="6">
        <f>IF(ISERROR(VLOOKUP($U$642,'TAR FIN'!$A$1:$O$115,15,0)),0,VLOOKUP($U$642,'TAR FIN'!$A$1:$O$115,15,0))</f>
        <v>0</v>
      </c>
      <c r="Y642" s="6">
        <f ca="1">('TUSD BE'!$AM$27+'TUSD BF'!$AM$27+'TUSD CVA'!$AM$27)*1</f>
        <v>20.615214330225772</v>
      </c>
      <c r="Z642" s="6"/>
      <c r="AA642" s="6"/>
      <c r="AB642" s="6">
        <f>$K$642*$V$642</f>
        <v>95047.088400000008</v>
      </c>
      <c r="AC642" s="6">
        <f>$M$642*$W$642</f>
        <v>0</v>
      </c>
      <c r="AD642" s="6">
        <f>$O$642*$X$642</f>
        <v>0</v>
      </c>
      <c r="AE642" s="6">
        <f ca="1">$K$642*$Y$642</f>
        <v>98960.409031813935</v>
      </c>
      <c r="AF642" s="6">
        <f>$M$642*$Z$642</f>
        <v>0</v>
      </c>
      <c r="AG642" s="6">
        <f>$O$642*$AA$642</f>
        <v>0</v>
      </c>
    </row>
    <row r="643" spans="1:33" ht="11.25" customHeight="1" x14ac:dyDescent="0.25">
      <c r="A643" s="4" t="s">
        <v>21</v>
      </c>
      <c r="B643" s="4" t="s">
        <v>41</v>
      </c>
      <c r="C643" s="4" t="s">
        <v>44</v>
      </c>
      <c r="D643" s="4" t="s">
        <v>40</v>
      </c>
      <c r="E643" s="4" t="s">
        <v>25</v>
      </c>
      <c r="F643" s="4" t="s">
        <v>60</v>
      </c>
      <c r="G643" s="4" t="s">
        <v>25</v>
      </c>
      <c r="H643" s="4" t="s">
        <v>25</v>
      </c>
      <c r="I643" s="5">
        <v>44805</v>
      </c>
      <c r="J643" s="6">
        <v>9994</v>
      </c>
      <c r="K643" s="6">
        <v>4837.0959999999995</v>
      </c>
      <c r="L643" s="6">
        <v>0</v>
      </c>
      <c r="M643" s="6">
        <v>0</v>
      </c>
      <c r="N643" s="6">
        <v>0</v>
      </c>
      <c r="O643" s="6">
        <v>0</v>
      </c>
      <c r="P643" s="6">
        <v>24</v>
      </c>
      <c r="Q643" s="4" t="s">
        <v>61</v>
      </c>
      <c r="R643" s="4">
        <v>0</v>
      </c>
      <c r="S643" s="6">
        <v>27</v>
      </c>
      <c r="T643" s="6">
        <v>0</v>
      </c>
      <c r="U643" s="6">
        <v>0</v>
      </c>
      <c r="V643" s="6">
        <f>IF(ISERROR(VLOOKUP($S$643,'TAR FIN'!$A$1:$O$115,15,0)),0,VLOOKUP($S$643,'TAR FIN'!$A$1:$O$115,15,0))</f>
        <v>19.8</v>
      </c>
      <c r="W643" s="6">
        <f>IF(ISERROR(VLOOKUP($T$643,'TAR FIN'!$A$1:$O$115,15,0)),0,VLOOKUP($T$643,'TAR FIN'!$A$1:$O$115,15,0))</f>
        <v>0</v>
      </c>
      <c r="X643" s="6">
        <f>IF(ISERROR(VLOOKUP($U$643,'TAR FIN'!$A$1:$O$115,15,0)),0,VLOOKUP($U$643,'TAR FIN'!$A$1:$O$115,15,0))</f>
        <v>0</v>
      </c>
      <c r="Y643" s="6">
        <f ca="1">('TUSD BE'!$AM$27+'TUSD BF'!$AM$27+'TUSD CVA'!$AM$27)*1</f>
        <v>20.615214330225772</v>
      </c>
      <c r="Z643" s="6"/>
      <c r="AA643" s="6"/>
      <c r="AB643" s="6">
        <f>$K$643*$V$643</f>
        <v>95774.500799999994</v>
      </c>
      <c r="AC643" s="6">
        <f>$M$643*$W$643</f>
        <v>0</v>
      </c>
      <c r="AD643" s="6">
        <f>$O$643*$X$643</f>
        <v>0</v>
      </c>
      <c r="AE643" s="6">
        <f ca="1">$K$643*$Y$643</f>
        <v>99717.770775877754</v>
      </c>
      <c r="AF643" s="6">
        <f>$M$643*$Z$643</f>
        <v>0</v>
      </c>
      <c r="AG643" s="6">
        <f>$O$643*$AA$643</f>
        <v>0</v>
      </c>
    </row>
    <row r="644" spans="1:33" ht="11.25" customHeight="1" x14ac:dyDescent="0.25">
      <c r="A644" s="4" t="s">
        <v>21</v>
      </c>
      <c r="B644" s="4" t="s">
        <v>41</v>
      </c>
      <c r="C644" s="4" t="s">
        <v>44</v>
      </c>
      <c r="D644" s="4" t="s">
        <v>40</v>
      </c>
      <c r="E644" s="4" t="s">
        <v>25</v>
      </c>
      <c r="F644" s="4" t="s">
        <v>60</v>
      </c>
      <c r="G644" s="4" t="s">
        <v>25</v>
      </c>
      <c r="H644" s="4" t="s">
        <v>25</v>
      </c>
      <c r="I644" s="5">
        <v>44835</v>
      </c>
      <c r="J644" s="6">
        <v>10210</v>
      </c>
      <c r="K644" s="6">
        <v>4988.6059999999998</v>
      </c>
      <c r="L644" s="6">
        <v>0</v>
      </c>
      <c r="M644" s="6">
        <v>0</v>
      </c>
      <c r="N644" s="6">
        <v>0</v>
      </c>
      <c r="O644" s="6">
        <v>0</v>
      </c>
      <c r="P644" s="6">
        <v>25</v>
      </c>
      <c r="Q644" s="4" t="s">
        <v>61</v>
      </c>
      <c r="R644" s="4">
        <v>0</v>
      </c>
      <c r="S644" s="6">
        <v>27</v>
      </c>
      <c r="T644" s="6">
        <v>0</v>
      </c>
      <c r="U644" s="6">
        <v>0</v>
      </c>
      <c r="V644" s="6">
        <f>IF(ISERROR(VLOOKUP($S$644,'TAR FIN'!$A$1:$O$115,15,0)),0,VLOOKUP($S$644,'TAR FIN'!$A$1:$O$115,15,0))</f>
        <v>19.8</v>
      </c>
      <c r="W644" s="6">
        <f>IF(ISERROR(VLOOKUP($T$644,'TAR FIN'!$A$1:$O$115,15,0)),0,VLOOKUP($T$644,'TAR FIN'!$A$1:$O$115,15,0))</f>
        <v>0</v>
      </c>
      <c r="X644" s="6">
        <f>IF(ISERROR(VLOOKUP($U$644,'TAR FIN'!$A$1:$O$115,15,0)),0,VLOOKUP($U$644,'TAR FIN'!$A$1:$O$115,15,0))</f>
        <v>0</v>
      </c>
      <c r="Y644" s="6">
        <f ca="1">('TUSD BE'!$AM$27+'TUSD BF'!$AM$27+'TUSD CVA'!$AM$27)*1</f>
        <v>20.615214330225772</v>
      </c>
      <c r="Z644" s="6"/>
      <c r="AA644" s="6"/>
      <c r="AB644" s="6">
        <f>$K$644*$V$644</f>
        <v>98774.398799999995</v>
      </c>
      <c r="AC644" s="6">
        <f>$M$644*$W$644</f>
        <v>0</v>
      </c>
      <c r="AD644" s="6">
        <f>$O$644*$X$644</f>
        <v>0</v>
      </c>
      <c r="AE644" s="6">
        <f ca="1">$K$644*$Y$644</f>
        <v>102841.18189905027</v>
      </c>
      <c r="AF644" s="6">
        <f>$M$644*$Z$644</f>
        <v>0</v>
      </c>
      <c r="AG644" s="6">
        <f>$O$644*$AA$644</f>
        <v>0</v>
      </c>
    </row>
    <row r="645" spans="1:33" ht="11.25" customHeight="1" x14ac:dyDescent="0.25">
      <c r="A645" s="4" t="s">
        <v>59</v>
      </c>
      <c r="B645" s="4" t="s">
        <v>41</v>
      </c>
      <c r="C645" s="4" t="s">
        <v>44</v>
      </c>
      <c r="D645" s="4" t="s">
        <v>40</v>
      </c>
      <c r="E645" s="4" t="s">
        <v>25</v>
      </c>
      <c r="F645" s="4" t="s">
        <v>60</v>
      </c>
      <c r="G645" s="4" t="s">
        <v>25</v>
      </c>
      <c r="H645" s="4" t="s">
        <v>25</v>
      </c>
      <c r="I645" s="5">
        <v>44866</v>
      </c>
      <c r="J645" s="6">
        <v>10210</v>
      </c>
      <c r="K645" s="6">
        <v>4988.6059999999998</v>
      </c>
      <c r="L645" s="6">
        <v>0</v>
      </c>
      <c r="M645" s="6">
        <v>0</v>
      </c>
      <c r="N645" s="6">
        <v>0</v>
      </c>
      <c r="O645" s="6">
        <v>0</v>
      </c>
      <c r="P645" s="6">
        <v>25</v>
      </c>
      <c r="Q645" s="4" t="s">
        <v>61</v>
      </c>
      <c r="R645" s="4">
        <v>0</v>
      </c>
      <c r="S645" s="6">
        <v>27</v>
      </c>
      <c r="T645" s="6">
        <v>0</v>
      </c>
      <c r="U645" s="6">
        <v>0</v>
      </c>
      <c r="V645" s="6">
        <f>IF(ISERROR(VLOOKUP($S$645,'TAR FIN'!$A$1:$O$115,15,0)),0,VLOOKUP($S$645,'TAR FIN'!$A$1:$O$115,15,0))</f>
        <v>19.8</v>
      </c>
      <c r="W645" s="6">
        <f>IF(ISERROR(VLOOKUP($T$645,'TAR FIN'!$A$1:$O$115,15,0)),0,VLOOKUP($T$645,'TAR FIN'!$A$1:$O$115,15,0))</f>
        <v>0</v>
      </c>
      <c r="X645" s="6">
        <f>IF(ISERROR(VLOOKUP($U$645,'TAR FIN'!$A$1:$O$115,15,0)),0,VLOOKUP($U$645,'TAR FIN'!$A$1:$O$115,15,0))</f>
        <v>0</v>
      </c>
      <c r="Y645" s="6">
        <f ca="1">('TUSD BE'!$AM$27+'TUSD BF'!$AM$27+'TUSD CVA'!$AM$27)*1</f>
        <v>20.615214330225772</v>
      </c>
      <c r="Z645" s="6"/>
      <c r="AA645" s="6"/>
      <c r="AB645" s="6">
        <f>$K$645*$V$645</f>
        <v>98774.398799999995</v>
      </c>
      <c r="AC645" s="6">
        <f>$M$645*$W$645</f>
        <v>0</v>
      </c>
      <c r="AD645" s="6">
        <f>$O$645*$X$645</f>
        <v>0</v>
      </c>
      <c r="AE645" s="6">
        <f ca="1">$K$645*$Y$645</f>
        <v>102841.18189905027</v>
      </c>
      <c r="AF645" s="6">
        <f>$M$645*$Z$645</f>
        <v>0</v>
      </c>
      <c r="AG645" s="6">
        <f>$O$645*$AA$645</f>
        <v>0</v>
      </c>
    </row>
    <row r="646" spans="1:33" ht="11.25" customHeight="1" x14ac:dyDescent="0.25">
      <c r="A646" s="4" t="s">
        <v>21</v>
      </c>
      <c r="B646" s="4" t="s">
        <v>41</v>
      </c>
      <c r="C646" s="4" t="s">
        <v>44</v>
      </c>
      <c r="D646" s="4" t="s">
        <v>40</v>
      </c>
      <c r="E646" s="4" t="s">
        <v>25</v>
      </c>
      <c r="F646" s="4" t="s">
        <v>60</v>
      </c>
      <c r="G646" s="4" t="s">
        <v>25</v>
      </c>
      <c r="H646" s="4" t="s">
        <v>36</v>
      </c>
      <c r="I646" s="5">
        <v>44531</v>
      </c>
      <c r="J646" s="6">
        <v>0</v>
      </c>
      <c r="K646" s="6">
        <v>0</v>
      </c>
      <c r="L646" s="6">
        <v>245.66200000000001</v>
      </c>
      <c r="M646" s="6">
        <v>97.748909800000007</v>
      </c>
      <c r="N646" s="6">
        <v>0</v>
      </c>
      <c r="O646" s="6">
        <v>0</v>
      </c>
      <c r="P646" s="6">
        <v>0</v>
      </c>
      <c r="Q646" s="4" t="s">
        <v>61</v>
      </c>
      <c r="R646" s="4">
        <v>0</v>
      </c>
      <c r="S646" s="6">
        <v>0</v>
      </c>
      <c r="T646" s="6">
        <v>28</v>
      </c>
      <c r="U646" s="6">
        <v>0</v>
      </c>
      <c r="V646" s="6">
        <f>IF(ISERROR(VLOOKUP($S$646,'TAR FIN'!$A$1:$O$115,15,0)),0,VLOOKUP($S$646,'TAR FIN'!$A$1:$O$115,15,0))</f>
        <v>0</v>
      </c>
      <c r="W646" s="6">
        <f>IF(ISERROR(VLOOKUP($T$646,'TAR FIN'!$A$1:$O$115,15,0)),0,VLOOKUP($T$646,'TAR FIN'!$A$1:$O$115,15,0))</f>
        <v>1448.96</v>
      </c>
      <c r="X646" s="6">
        <f>IF(ISERROR(VLOOKUP($U$646,'TAR FIN'!$A$1:$O$115,15,0)),0,VLOOKUP($U$646,'TAR FIN'!$A$1:$O$115,15,0))</f>
        <v>0</v>
      </c>
      <c r="Y646" s="6"/>
      <c r="Z646" s="6">
        <f ca="1">('TUSD BE'!$AM$28+'TUSD BF'!$AM$28+'TUSD CVA'!$AM$28)*1</f>
        <v>1480.1280206491922</v>
      </c>
      <c r="AA646" s="6"/>
      <c r="AB646" s="6">
        <f>$K$646*$V$646</f>
        <v>0</v>
      </c>
      <c r="AC646" s="6">
        <f>$M$646*$W$646</f>
        <v>141634.26034380801</v>
      </c>
      <c r="AD646" s="6">
        <f>$O$646*$X$646</f>
        <v>0</v>
      </c>
      <c r="AE646" s="6">
        <f>$K$646*$Y$646</f>
        <v>0</v>
      </c>
      <c r="AF646" s="6">
        <f ca="1">$M$646*$Z$646</f>
        <v>144680.90038289042</v>
      </c>
      <c r="AG646" s="6">
        <f>$O$646*$AA$646</f>
        <v>0</v>
      </c>
    </row>
    <row r="647" spans="1:33" ht="11.25" customHeight="1" x14ac:dyDescent="0.25">
      <c r="A647" s="4" t="s">
        <v>21</v>
      </c>
      <c r="B647" s="4" t="s">
        <v>41</v>
      </c>
      <c r="C647" s="4" t="s">
        <v>44</v>
      </c>
      <c r="D647" s="4" t="s">
        <v>40</v>
      </c>
      <c r="E647" s="4" t="s">
        <v>25</v>
      </c>
      <c r="F647" s="4" t="s">
        <v>60</v>
      </c>
      <c r="G647" s="4" t="s">
        <v>25</v>
      </c>
      <c r="H647" s="4" t="s">
        <v>36</v>
      </c>
      <c r="I647" s="5">
        <v>44562</v>
      </c>
      <c r="J647" s="6">
        <v>0</v>
      </c>
      <c r="K647" s="6">
        <v>0</v>
      </c>
      <c r="L647" s="6">
        <v>290.80900000000003</v>
      </c>
      <c r="M647" s="6">
        <v>132.0563669</v>
      </c>
      <c r="N647" s="6">
        <v>0</v>
      </c>
      <c r="O647" s="6">
        <v>0</v>
      </c>
      <c r="P647" s="6">
        <v>0</v>
      </c>
      <c r="Q647" s="4" t="s">
        <v>61</v>
      </c>
      <c r="R647" s="4">
        <v>0</v>
      </c>
      <c r="S647" s="6">
        <v>0</v>
      </c>
      <c r="T647" s="6">
        <v>28</v>
      </c>
      <c r="U647" s="6">
        <v>0</v>
      </c>
      <c r="V647" s="6">
        <f>IF(ISERROR(VLOOKUP($S$647,'TAR FIN'!$A$1:$O$115,15,0)),0,VLOOKUP($S$647,'TAR FIN'!$A$1:$O$115,15,0))</f>
        <v>0</v>
      </c>
      <c r="W647" s="6">
        <f>IF(ISERROR(VLOOKUP($T$647,'TAR FIN'!$A$1:$O$115,15,0)),0,VLOOKUP($T$647,'TAR FIN'!$A$1:$O$115,15,0))</f>
        <v>1448.96</v>
      </c>
      <c r="X647" s="6">
        <f>IF(ISERROR(VLOOKUP($U$647,'TAR FIN'!$A$1:$O$115,15,0)),0,VLOOKUP($U$647,'TAR FIN'!$A$1:$O$115,15,0))</f>
        <v>0</v>
      </c>
      <c r="Y647" s="6"/>
      <c r="Z647" s="6">
        <f ca="1">('TUSD BE'!$AM$28+'TUSD BF'!$AM$28+'TUSD CVA'!$AM$28)*1</f>
        <v>1480.1280206491922</v>
      </c>
      <c r="AA647" s="6"/>
      <c r="AB647" s="6">
        <f>$K$647*$V$647</f>
        <v>0</v>
      </c>
      <c r="AC647" s="6">
        <f>$M$647*$W$647</f>
        <v>191344.393383424</v>
      </c>
      <c r="AD647" s="6">
        <f>$O$647*$X$647</f>
        <v>0</v>
      </c>
      <c r="AE647" s="6">
        <f>$K$647*$Y$647</f>
        <v>0</v>
      </c>
      <c r="AF647" s="6">
        <f ca="1">$M$647*$Z$647</f>
        <v>195460.32895382051</v>
      </c>
      <c r="AG647" s="6">
        <f>$O$647*$AA$647</f>
        <v>0</v>
      </c>
    </row>
    <row r="648" spans="1:33" ht="11.25" customHeight="1" x14ac:dyDescent="0.25">
      <c r="A648" s="4" t="s">
        <v>21</v>
      </c>
      <c r="B648" s="4" t="s">
        <v>41</v>
      </c>
      <c r="C648" s="4" t="s">
        <v>44</v>
      </c>
      <c r="D648" s="4" t="s">
        <v>40</v>
      </c>
      <c r="E648" s="4" t="s">
        <v>25</v>
      </c>
      <c r="F648" s="4" t="s">
        <v>60</v>
      </c>
      <c r="G648" s="4" t="s">
        <v>25</v>
      </c>
      <c r="H648" s="4" t="s">
        <v>36</v>
      </c>
      <c r="I648" s="5">
        <v>44593</v>
      </c>
      <c r="J648" s="6">
        <v>0</v>
      </c>
      <c r="K648" s="6">
        <v>0</v>
      </c>
      <c r="L648" s="6">
        <v>257.99400000000003</v>
      </c>
      <c r="M648" s="6">
        <v>129.40979039999999</v>
      </c>
      <c r="N648" s="6">
        <v>0</v>
      </c>
      <c r="O648" s="6">
        <v>0</v>
      </c>
      <c r="P648" s="6">
        <v>0</v>
      </c>
      <c r="Q648" s="4" t="s">
        <v>61</v>
      </c>
      <c r="R648" s="4">
        <v>0</v>
      </c>
      <c r="S648" s="6">
        <v>0</v>
      </c>
      <c r="T648" s="6">
        <v>28</v>
      </c>
      <c r="U648" s="6">
        <v>0</v>
      </c>
      <c r="V648" s="6">
        <f>IF(ISERROR(VLOOKUP($S$648,'TAR FIN'!$A$1:$O$115,15,0)),0,VLOOKUP($S$648,'TAR FIN'!$A$1:$O$115,15,0))</f>
        <v>0</v>
      </c>
      <c r="W648" s="6">
        <f>IF(ISERROR(VLOOKUP($T$648,'TAR FIN'!$A$1:$O$115,15,0)),0,VLOOKUP($T$648,'TAR FIN'!$A$1:$O$115,15,0))</f>
        <v>1448.96</v>
      </c>
      <c r="X648" s="6">
        <f>IF(ISERROR(VLOOKUP($U$648,'TAR FIN'!$A$1:$O$115,15,0)),0,VLOOKUP($U$648,'TAR FIN'!$A$1:$O$115,15,0))</f>
        <v>0</v>
      </c>
      <c r="Y648" s="6"/>
      <c r="Z648" s="6">
        <f ca="1">('TUSD BE'!$AM$28+'TUSD BF'!$AM$28+'TUSD CVA'!$AM$28)*1</f>
        <v>1480.1280206491922</v>
      </c>
      <c r="AA648" s="6"/>
      <c r="AB648" s="6">
        <f>$K$648*$V$648</f>
        <v>0</v>
      </c>
      <c r="AC648" s="6">
        <f>$M$648*$W$648</f>
        <v>187509.60989798399</v>
      </c>
      <c r="AD648" s="6">
        <f>$O$648*$X$648</f>
        <v>0</v>
      </c>
      <c r="AE648" s="6">
        <f>$K$648*$Y$648</f>
        <v>0</v>
      </c>
      <c r="AF648" s="6">
        <f ca="1">$M$648*$Z$648</f>
        <v>191543.05691737882</v>
      </c>
      <c r="AG648" s="6">
        <f>$O$648*$AA$648</f>
        <v>0</v>
      </c>
    </row>
    <row r="649" spans="1:33" ht="11.25" customHeight="1" x14ac:dyDescent="0.25">
      <c r="A649" s="4" t="s">
        <v>21</v>
      </c>
      <c r="B649" s="4" t="s">
        <v>41</v>
      </c>
      <c r="C649" s="4" t="s">
        <v>44</v>
      </c>
      <c r="D649" s="4" t="s">
        <v>40</v>
      </c>
      <c r="E649" s="4" t="s">
        <v>25</v>
      </c>
      <c r="F649" s="4" t="s">
        <v>60</v>
      </c>
      <c r="G649" s="4" t="s">
        <v>25</v>
      </c>
      <c r="H649" s="4" t="s">
        <v>36</v>
      </c>
      <c r="I649" s="5">
        <v>44621</v>
      </c>
      <c r="J649" s="6">
        <v>0</v>
      </c>
      <c r="K649" s="6">
        <v>0</v>
      </c>
      <c r="L649" s="6">
        <v>236.024</v>
      </c>
      <c r="M649" s="6">
        <v>108.31141359999999</v>
      </c>
      <c r="N649" s="6">
        <v>0</v>
      </c>
      <c r="O649" s="6">
        <v>0</v>
      </c>
      <c r="P649" s="6">
        <v>0</v>
      </c>
      <c r="Q649" s="4" t="s">
        <v>61</v>
      </c>
      <c r="R649" s="4">
        <v>0</v>
      </c>
      <c r="S649" s="6">
        <v>0</v>
      </c>
      <c r="T649" s="6">
        <v>28</v>
      </c>
      <c r="U649" s="6">
        <v>0</v>
      </c>
      <c r="V649" s="6">
        <f>IF(ISERROR(VLOOKUP($S$649,'TAR FIN'!$A$1:$O$115,15,0)),0,VLOOKUP($S$649,'TAR FIN'!$A$1:$O$115,15,0))</f>
        <v>0</v>
      </c>
      <c r="W649" s="6">
        <f>IF(ISERROR(VLOOKUP($T$649,'TAR FIN'!$A$1:$O$115,15,0)),0,VLOOKUP($T$649,'TAR FIN'!$A$1:$O$115,15,0))</f>
        <v>1448.96</v>
      </c>
      <c r="X649" s="6">
        <f>IF(ISERROR(VLOOKUP($U$649,'TAR FIN'!$A$1:$O$115,15,0)),0,VLOOKUP($U$649,'TAR FIN'!$A$1:$O$115,15,0))</f>
        <v>0</v>
      </c>
      <c r="Y649" s="6"/>
      <c r="Z649" s="6">
        <f ca="1">('TUSD BE'!$AM$28+'TUSD BF'!$AM$28+'TUSD CVA'!$AM$28)*1</f>
        <v>1480.1280206491922</v>
      </c>
      <c r="AA649" s="6"/>
      <c r="AB649" s="6">
        <f>$K$649*$V$649</f>
        <v>0</v>
      </c>
      <c r="AC649" s="6">
        <f>$M$649*$W$649</f>
        <v>156938.905849856</v>
      </c>
      <c r="AD649" s="6">
        <f>$O$649*$X$649</f>
        <v>0</v>
      </c>
      <c r="AE649" s="6">
        <f>$K$649*$Y$649</f>
        <v>0</v>
      </c>
      <c r="AF649" s="6">
        <f ca="1">$M$649*$Z$649</f>
        <v>160314.75822548399</v>
      </c>
      <c r="AG649" s="6">
        <f>$O$649*$AA$649</f>
        <v>0</v>
      </c>
    </row>
    <row r="650" spans="1:33" ht="11.25" customHeight="1" x14ac:dyDescent="0.25">
      <c r="A650" s="4" t="s">
        <v>21</v>
      </c>
      <c r="B650" s="4" t="s">
        <v>41</v>
      </c>
      <c r="C650" s="4" t="s">
        <v>44</v>
      </c>
      <c r="D650" s="4" t="s">
        <v>40</v>
      </c>
      <c r="E650" s="4" t="s">
        <v>25</v>
      </c>
      <c r="F650" s="4" t="s">
        <v>60</v>
      </c>
      <c r="G650" s="4" t="s">
        <v>25</v>
      </c>
      <c r="H650" s="4" t="s">
        <v>36</v>
      </c>
      <c r="I650" s="5">
        <v>44652</v>
      </c>
      <c r="J650" s="6">
        <v>0</v>
      </c>
      <c r="K650" s="6">
        <v>0</v>
      </c>
      <c r="L650" s="6">
        <v>292.24799999999999</v>
      </c>
      <c r="M650" s="6">
        <v>136.8597384</v>
      </c>
      <c r="N650" s="6">
        <v>0</v>
      </c>
      <c r="O650" s="6">
        <v>0</v>
      </c>
      <c r="P650" s="6">
        <v>0</v>
      </c>
      <c r="Q650" s="4" t="s">
        <v>61</v>
      </c>
      <c r="R650" s="4">
        <v>0</v>
      </c>
      <c r="S650" s="6">
        <v>0</v>
      </c>
      <c r="T650" s="6">
        <v>28</v>
      </c>
      <c r="U650" s="6">
        <v>0</v>
      </c>
      <c r="V650" s="6">
        <f>IF(ISERROR(VLOOKUP($S$650,'TAR FIN'!$A$1:$O$115,15,0)),0,VLOOKUP($S$650,'TAR FIN'!$A$1:$O$115,15,0))</f>
        <v>0</v>
      </c>
      <c r="W650" s="6">
        <f>IF(ISERROR(VLOOKUP($T$650,'TAR FIN'!$A$1:$O$115,15,0)),0,VLOOKUP($T$650,'TAR FIN'!$A$1:$O$115,15,0))</f>
        <v>1448.96</v>
      </c>
      <c r="X650" s="6">
        <f>IF(ISERROR(VLOOKUP($U$650,'TAR FIN'!$A$1:$O$115,15,0)),0,VLOOKUP($U$650,'TAR FIN'!$A$1:$O$115,15,0))</f>
        <v>0</v>
      </c>
      <c r="Y650" s="6"/>
      <c r="Z650" s="6">
        <f ca="1">('TUSD BE'!$AM$28+'TUSD BF'!$AM$28+'TUSD CVA'!$AM$28)*1</f>
        <v>1480.1280206491922</v>
      </c>
      <c r="AA650" s="6"/>
      <c r="AB650" s="6">
        <f>$K$650*$V$650</f>
        <v>0</v>
      </c>
      <c r="AC650" s="6">
        <f>$M$650*$W$650</f>
        <v>198304.286552064</v>
      </c>
      <c r="AD650" s="6">
        <f>$O$650*$X$650</f>
        <v>0</v>
      </c>
      <c r="AE650" s="6">
        <f>$K$650*$Y$650</f>
        <v>0</v>
      </c>
      <c r="AF650" s="6">
        <f ca="1">$M$650*$Z$650</f>
        <v>202569.93370455824</v>
      </c>
      <c r="AG650" s="6">
        <f>$O$650*$AA$650</f>
        <v>0</v>
      </c>
    </row>
    <row r="651" spans="1:33" ht="11.25" customHeight="1" x14ac:dyDescent="0.25">
      <c r="A651" s="4" t="s">
        <v>21</v>
      </c>
      <c r="B651" s="4" t="s">
        <v>41</v>
      </c>
      <c r="C651" s="4" t="s">
        <v>44</v>
      </c>
      <c r="D651" s="4" t="s">
        <v>40</v>
      </c>
      <c r="E651" s="4" t="s">
        <v>25</v>
      </c>
      <c r="F651" s="4" t="s">
        <v>60</v>
      </c>
      <c r="G651" s="4" t="s">
        <v>25</v>
      </c>
      <c r="H651" s="4" t="s">
        <v>36</v>
      </c>
      <c r="I651" s="5">
        <v>44682</v>
      </c>
      <c r="J651" s="6">
        <v>0</v>
      </c>
      <c r="K651" s="6">
        <v>0</v>
      </c>
      <c r="L651" s="6">
        <v>261.45400000000001</v>
      </c>
      <c r="M651" s="6">
        <v>129.26285759999999</v>
      </c>
      <c r="N651" s="6">
        <v>0</v>
      </c>
      <c r="O651" s="6">
        <v>0</v>
      </c>
      <c r="P651" s="6">
        <v>0</v>
      </c>
      <c r="Q651" s="4" t="s">
        <v>61</v>
      </c>
      <c r="R651" s="4">
        <v>0</v>
      </c>
      <c r="S651" s="6">
        <v>0</v>
      </c>
      <c r="T651" s="6">
        <v>28</v>
      </c>
      <c r="U651" s="6">
        <v>0</v>
      </c>
      <c r="V651" s="6">
        <f>IF(ISERROR(VLOOKUP($S$651,'TAR FIN'!$A$1:$O$115,15,0)),0,VLOOKUP($S$651,'TAR FIN'!$A$1:$O$115,15,0))</f>
        <v>0</v>
      </c>
      <c r="W651" s="6">
        <f>IF(ISERROR(VLOOKUP($T$651,'TAR FIN'!$A$1:$O$115,15,0)),0,VLOOKUP($T$651,'TAR FIN'!$A$1:$O$115,15,0))</f>
        <v>1448.96</v>
      </c>
      <c r="X651" s="6">
        <f>IF(ISERROR(VLOOKUP($U$651,'TAR FIN'!$A$1:$O$115,15,0)),0,VLOOKUP($U$651,'TAR FIN'!$A$1:$O$115,15,0))</f>
        <v>0</v>
      </c>
      <c r="Y651" s="6"/>
      <c r="Z651" s="6">
        <f ca="1">('TUSD BE'!$AM$28+'TUSD BF'!$AM$28+'TUSD CVA'!$AM$28)*1</f>
        <v>1480.1280206491922</v>
      </c>
      <c r="AA651" s="6"/>
      <c r="AB651" s="6">
        <f>$K$651*$V$651</f>
        <v>0</v>
      </c>
      <c r="AC651" s="6">
        <f>$M$651*$W$651</f>
        <v>187296.710148096</v>
      </c>
      <c r="AD651" s="6">
        <f>$O$651*$X$651</f>
        <v>0</v>
      </c>
      <c r="AE651" s="6">
        <f>$K$651*$Y$651</f>
        <v>0</v>
      </c>
      <c r="AF651" s="6">
        <f ca="1">$M$651*$Z$651</f>
        <v>191325.57756294636</v>
      </c>
      <c r="AG651" s="6">
        <f>$O$651*$AA$651</f>
        <v>0</v>
      </c>
    </row>
    <row r="652" spans="1:33" ht="11.25" customHeight="1" x14ac:dyDescent="0.25">
      <c r="A652" s="4" t="s">
        <v>21</v>
      </c>
      <c r="B652" s="4" t="s">
        <v>41</v>
      </c>
      <c r="C652" s="4" t="s">
        <v>44</v>
      </c>
      <c r="D652" s="4" t="s">
        <v>40</v>
      </c>
      <c r="E652" s="4" t="s">
        <v>25</v>
      </c>
      <c r="F652" s="4" t="s">
        <v>60</v>
      </c>
      <c r="G652" s="4" t="s">
        <v>25</v>
      </c>
      <c r="H652" s="4" t="s">
        <v>36</v>
      </c>
      <c r="I652" s="5">
        <v>44713</v>
      </c>
      <c r="J652" s="6">
        <v>0</v>
      </c>
      <c r="K652" s="6">
        <v>0</v>
      </c>
      <c r="L652" s="6">
        <v>301.29399999999998</v>
      </c>
      <c r="M652" s="6">
        <v>153.11761079999999</v>
      </c>
      <c r="N652" s="6">
        <v>0</v>
      </c>
      <c r="O652" s="6">
        <v>0</v>
      </c>
      <c r="P652" s="6">
        <v>0</v>
      </c>
      <c r="Q652" s="4" t="s">
        <v>61</v>
      </c>
      <c r="R652" s="4">
        <v>0</v>
      </c>
      <c r="S652" s="6">
        <v>0</v>
      </c>
      <c r="T652" s="6">
        <v>28</v>
      </c>
      <c r="U652" s="6">
        <v>0</v>
      </c>
      <c r="V652" s="6">
        <f>IF(ISERROR(VLOOKUP($S$652,'TAR FIN'!$A$1:$O$115,15,0)),0,VLOOKUP($S$652,'TAR FIN'!$A$1:$O$115,15,0))</f>
        <v>0</v>
      </c>
      <c r="W652" s="6">
        <f>IF(ISERROR(VLOOKUP($T$652,'TAR FIN'!$A$1:$O$115,15,0)),0,VLOOKUP($T$652,'TAR FIN'!$A$1:$O$115,15,0))</f>
        <v>1448.96</v>
      </c>
      <c r="X652" s="6">
        <f>IF(ISERROR(VLOOKUP($U$652,'TAR FIN'!$A$1:$O$115,15,0)),0,VLOOKUP($U$652,'TAR FIN'!$A$1:$O$115,15,0))</f>
        <v>0</v>
      </c>
      <c r="Y652" s="6"/>
      <c r="Z652" s="6">
        <f ca="1">('TUSD BE'!$AM$28+'TUSD BF'!$AM$28+'TUSD CVA'!$AM$28)*1</f>
        <v>1480.1280206491922</v>
      </c>
      <c r="AA652" s="6"/>
      <c r="AB652" s="6">
        <f>$K$652*$V$652</f>
        <v>0</v>
      </c>
      <c r="AC652" s="6">
        <f>$M$652*$W$652</f>
        <v>221861.293344768</v>
      </c>
      <c r="AD652" s="6">
        <f>$O$652*$X$652</f>
        <v>0</v>
      </c>
      <c r="AE652" s="6">
        <f>$K$652*$Y$652</f>
        <v>0</v>
      </c>
      <c r="AF652" s="6">
        <f ca="1">$M$652*$Z$652</f>
        <v>226633.66619993738</v>
      </c>
      <c r="AG652" s="6">
        <f>$O$652*$AA$652</f>
        <v>0</v>
      </c>
    </row>
    <row r="653" spans="1:33" ht="11.25" customHeight="1" x14ac:dyDescent="0.25">
      <c r="A653" s="4" t="s">
        <v>21</v>
      </c>
      <c r="B653" s="4" t="s">
        <v>41</v>
      </c>
      <c r="C653" s="4" t="s">
        <v>44</v>
      </c>
      <c r="D653" s="4" t="s">
        <v>40</v>
      </c>
      <c r="E653" s="4" t="s">
        <v>25</v>
      </c>
      <c r="F653" s="4" t="s">
        <v>60</v>
      </c>
      <c r="G653" s="4" t="s">
        <v>25</v>
      </c>
      <c r="H653" s="4" t="s">
        <v>36</v>
      </c>
      <c r="I653" s="5">
        <v>44743</v>
      </c>
      <c r="J653" s="6">
        <v>0</v>
      </c>
      <c r="K653" s="6">
        <v>0</v>
      </c>
      <c r="L653" s="6">
        <v>268.952</v>
      </c>
      <c r="M653" s="6">
        <v>141.33427599999999</v>
      </c>
      <c r="N653" s="6">
        <v>0</v>
      </c>
      <c r="O653" s="6">
        <v>0</v>
      </c>
      <c r="P653" s="6">
        <v>0</v>
      </c>
      <c r="Q653" s="4" t="s">
        <v>61</v>
      </c>
      <c r="R653" s="4">
        <v>0</v>
      </c>
      <c r="S653" s="6">
        <v>0</v>
      </c>
      <c r="T653" s="6">
        <v>28</v>
      </c>
      <c r="U653" s="6">
        <v>0</v>
      </c>
      <c r="V653" s="6">
        <f>IF(ISERROR(VLOOKUP($S$653,'TAR FIN'!$A$1:$O$115,15,0)),0,VLOOKUP($S$653,'TAR FIN'!$A$1:$O$115,15,0))</f>
        <v>0</v>
      </c>
      <c r="W653" s="6">
        <f>IF(ISERROR(VLOOKUP($T$653,'TAR FIN'!$A$1:$O$115,15,0)),0,VLOOKUP($T$653,'TAR FIN'!$A$1:$O$115,15,0))</f>
        <v>1448.96</v>
      </c>
      <c r="X653" s="6">
        <f>IF(ISERROR(VLOOKUP($U$653,'TAR FIN'!$A$1:$O$115,15,0)),0,VLOOKUP($U$653,'TAR FIN'!$A$1:$O$115,15,0))</f>
        <v>0</v>
      </c>
      <c r="Y653" s="6"/>
      <c r="Z653" s="6">
        <f ca="1">('TUSD BE'!$AM$28+'TUSD BF'!$AM$28+'TUSD CVA'!$AM$28)*1</f>
        <v>1480.1280206491922</v>
      </c>
      <c r="AA653" s="6"/>
      <c r="AB653" s="6">
        <f>$K$653*$V$653</f>
        <v>0</v>
      </c>
      <c r="AC653" s="6">
        <f>$M$653*$W$653</f>
        <v>204787.71255296</v>
      </c>
      <c r="AD653" s="6">
        <f>$O$653*$X$653</f>
        <v>0</v>
      </c>
      <c r="AE653" s="6">
        <f>$K$653*$Y$653</f>
        <v>0</v>
      </c>
      <c r="AF653" s="6">
        <f ca="1">$M$653*$Z$653</f>
        <v>209192.82218576662</v>
      </c>
      <c r="AG653" s="6">
        <f>$O$653*$AA$653</f>
        <v>0</v>
      </c>
    </row>
    <row r="654" spans="1:33" ht="11.25" customHeight="1" x14ac:dyDescent="0.25">
      <c r="A654" s="4" t="s">
        <v>21</v>
      </c>
      <c r="B654" s="4" t="s">
        <v>41</v>
      </c>
      <c r="C654" s="4" t="s">
        <v>44</v>
      </c>
      <c r="D654" s="4" t="s">
        <v>40</v>
      </c>
      <c r="E654" s="4" t="s">
        <v>25</v>
      </c>
      <c r="F654" s="4" t="s">
        <v>60</v>
      </c>
      <c r="G654" s="4" t="s">
        <v>25</v>
      </c>
      <c r="H654" s="4" t="s">
        <v>36</v>
      </c>
      <c r="I654" s="5">
        <v>44774</v>
      </c>
      <c r="J654" s="6">
        <v>0</v>
      </c>
      <c r="K654" s="6">
        <v>0</v>
      </c>
      <c r="L654" s="6">
        <v>279.03699999999998</v>
      </c>
      <c r="M654" s="6">
        <v>149.53592829999999</v>
      </c>
      <c r="N654" s="6">
        <v>0</v>
      </c>
      <c r="O654" s="6">
        <v>0</v>
      </c>
      <c r="P654" s="6">
        <v>0</v>
      </c>
      <c r="Q654" s="4" t="s">
        <v>61</v>
      </c>
      <c r="R654" s="4">
        <v>0</v>
      </c>
      <c r="S654" s="6">
        <v>0</v>
      </c>
      <c r="T654" s="6">
        <v>28</v>
      </c>
      <c r="U654" s="6">
        <v>0</v>
      </c>
      <c r="V654" s="6">
        <f>IF(ISERROR(VLOOKUP($S$654,'TAR FIN'!$A$1:$O$115,15,0)),0,VLOOKUP($S$654,'TAR FIN'!$A$1:$O$115,15,0))</f>
        <v>0</v>
      </c>
      <c r="W654" s="6">
        <f>IF(ISERROR(VLOOKUP($T$654,'TAR FIN'!$A$1:$O$115,15,0)),0,VLOOKUP($T$654,'TAR FIN'!$A$1:$O$115,15,0))</f>
        <v>1448.96</v>
      </c>
      <c r="X654" s="6">
        <f>IF(ISERROR(VLOOKUP($U$654,'TAR FIN'!$A$1:$O$115,15,0)),0,VLOOKUP($U$654,'TAR FIN'!$A$1:$O$115,15,0))</f>
        <v>0</v>
      </c>
      <c r="Y654" s="6"/>
      <c r="Z654" s="6">
        <f ca="1">('TUSD BE'!$AM$28+'TUSD BF'!$AM$28+'TUSD CVA'!$AM$28)*1</f>
        <v>1480.1280206491922</v>
      </c>
      <c r="AA654" s="6"/>
      <c r="AB654" s="6">
        <f>$K$654*$V$654</f>
        <v>0</v>
      </c>
      <c r="AC654" s="6">
        <f>$M$654*$W$654</f>
        <v>216671.578669568</v>
      </c>
      <c r="AD654" s="6">
        <f>$O$654*$X$654</f>
        <v>0</v>
      </c>
      <c r="AE654" s="6">
        <f>$K$654*$Y$654</f>
        <v>0</v>
      </c>
      <c r="AF654" s="6">
        <f ca="1">$M$654*$Z$654</f>
        <v>221332.31757061853</v>
      </c>
      <c r="AG654" s="6">
        <f>$O$654*$AA$654</f>
        <v>0</v>
      </c>
    </row>
    <row r="655" spans="1:33" ht="11.25" customHeight="1" x14ac:dyDescent="0.25">
      <c r="A655" s="4" t="s">
        <v>21</v>
      </c>
      <c r="B655" s="4" t="s">
        <v>41</v>
      </c>
      <c r="C655" s="4" t="s">
        <v>44</v>
      </c>
      <c r="D655" s="4" t="s">
        <v>40</v>
      </c>
      <c r="E655" s="4" t="s">
        <v>25</v>
      </c>
      <c r="F655" s="4" t="s">
        <v>60</v>
      </c>
      <c r="G655" s="4" t="s">
        <v>25</v>
      </c>
      <c r="H655" s="4" t="s">
        <v>36</v>
      </c>
      <c r="I655" s="5">
        <v>44805</v>
      </c>
      <c r="J655" s="6">
        <v>0</v>
      </c>
      <c r="K655" s="6">
        <v>0</v>
      </c>
      <c r="L655" s="6">
        <v>328.87700000000001</v>
      </c>
      <c r="M655" s="6">
        <v>161.0839546</v>
      </c>
      <c r="N655" s="6">
        <v>0</v>
      </c>
      <c r="O655" s="6">
        <v>0</v>
      </c>
      <c r="P655" s="6">
        <v>0</v>
      </c>
      <c r="Q655" s="4" t="s">
        <v>61</v>
      </c>
      <c r="R655" s="4">
        <v>0</v>
      </c>
      <c r="S655" s="6">
        <v>0</v>
      </c>
      <c r="T655" s="6">
        <v>28</v>
      </c>
      <c r="U655" s="6">
        <v>0</v>
      </c>
      <c r="V655" s="6">
        <f>IF(ISERROR(VLOOKUP($S$655,'TAR FIN'!$A$1:$O$115,15,0)),0,VLOOKUP($S$655,'TAR FIN'!$A$1:$O$115,15,0))</f>
        <v>0</v>
      </c>
      <c r="W655" s="6">
        <f>IF(ISERROR(VLOOKUP($T$655,'TAR FIN'!$A$1:$O$115,15,0)),0,VLOOKUP($T$655,'TAR FIN'!$A$1:$O$115,15,0))</f>
        <v>1448.96</v>
      </c>
      <c r="X655" s="6">
        <f>IF(ISERROR(VLOOKUP($U$655,'TAR FIN'!$A$1:$O$115,15,0)),0,VLOOKUP($U$655,'TAR FIN'!$A$1:$O$115,15,0))</f>
        <v>0</v>
      </c>
      <c r="Y655" s="6"/>
      <c r="Z655" s="6">
        <f ca="1">('TUSD BE'!$AM$28+'TUSD BF'!$AM$28+'TUSD CVA'!$AM$28)*1</f>
        <v>1480.1280206491922</v>
      </c>
      <c r="AA655" s="6"/>
      <c r="AB655" s="6">
        <f>$K$655*$V$655</f>
        <v>0</v>
      </c>
      <c r="AC655" s="6">
        <f>$M$655*$W$655</f>
        <v>233404.20685721599</v>
      </c>
      <c r="AD655" s="6">
        <f>$O$655*$X$655</f>
        <v>0</v>
      </c>
      <c r="AE655" s="6">
        <f>$K$655*$Y$655</f>
        <v>0</v>
      </c>
      <c r="AF655" s="6">
        <f ca="1">$M$655*$Z$655</f>
        <v>238424.87488044234</v>
      </c>
      <c r="AG655" s="6">
        <f>$O$655*$AA$655</f>
        <v>0</v>
      </c>
    </row>
    <row r="656" spans="1:33" ht="11.25" customHeight="1" x14ac:dyDescent="0.25">
      <c r="A656" s="4" t="s">
        <v>21</v>
      </c>
      <c r="B656" s="4" t="s">
        <v>41</v>
      </c>
      <c r="C656" s="4" t="s">
        <v>44</v>
      </c>
      <c r="D656" s="4" t="s">
        <v>40</v>
      </c>
      <c r="E656" s="4" t="s">
        <v>25</v>
      </c>
      <c r="F656" s="4" t="s">
        <v>60</v>
      </c>
      <c r="G656" s="4" t="s">
        <v>25</v>
      </c>
      <c r="H656" s="4" t="s">
        <v>36</v>
      </c>
      <c r="I656" s="5">
        <v>44835</v>
      </c>
      <c r="J656" s="6">
        <v>0</v>
      </c>
      <c r="K656" s="6">
        <v>0</v>
      </c>
      <c r="L656" s="6">
        <v>299.41699999999997</v>
      </c>
      <c r="M656" s="6">
        <v>144.1992272</v>
      </c>
      <c r="N656" s="6">
        <v>0</v>
      </c>
      <c r="O656" s="6">
        <v>0</v>
      </c>
      <c r="P656" s="6">
        <v>0</v>
      </c>
      <c r="Q656" s="4" t="s">
        <v>61</v>
      </c>
      <c r="R656" s="4">
        <v>0</v>
      </c>
      <c r="S656" s="6">
        <v>0</v>
      </c>
      <c r="T656" s="6">
        <v>28</v>
      </c>
      <c r="U656" s="6">
        <v>0</v>
      </c>
      <c r="V656" s="6">
        <f>IF(ISERROR(VLOOKUP($S$656,'TAR FIN'!$A$1:$O$115,15,0)),0,VLOOKUP($S$656,'TAR FIN'!$A$1:$O$115,15,0))</f>
        <v>0</v>
      </c>
      <c r="W656" s="6">
        <f>IF(ISERROR(VLOOKUP($T$656,'TAR FIN'!$A$1:$O$115,15,0)),0,VLOOKUP($T$656,'TAR FIN'!$A$1:$O$115,15,0))</f>
        <v>1448.96</v>
      </c>
      <c r="X656" s="6">
        <f>IF(ISERROR(VLOOKUP($U$656,'TAR FIN'!$A$1:$O$115,15,0)),0,VLOOKUP($U$656,'TAR FIN'!$A$1:$O$115,15,0))</f>
        <v>0</v>
      </c>
      <c r="Y656" s="6"/>
      <c r="Z656" s="6">
        <f ca="1">('TUSD BE'!$AM$28+'TUSD BF'!$AM$28+'TUSD CVA'!$AM$28)*1</f>
        <v>1480.1280206491922</v>
      </c>
      <c r="AA656" s="6"/>
      <c r="AB656" s="6">
        <f>$K$656*$V$656</f>
        <v>0</v>
      </c>
      <c r="AC656" s="6">
        <f>$M$656*$W$656</f>
        <v>208938.91224371199</v>
      </c>
      <c r="AD656" s="6">
        <f>$O$656*$X$656</f>
        <v>0</v>
      </c>
      <c r="AE656" s="6">
        <f>$K$656*$Y$656</f>
        <v>0</v>
      </c>
      <c r="AF656" s="6">
        <f ca="1">$M$656*$Z$656</f>
        <v>213433.31673467916</v>
      </c>
      <c r="AG656" s="6">
        <f>$O$656*$AA$656</f>
        <v>0</v>
      </c>
    </row>
    <row r="657" spans="1:33" ht="11.25" customHeight="1" x14ac:dyDescent="0.25">
      <c r="A657" s="4" t="s">
        <v>59</v>
      </c>
      <c r="B657" s="4" t="s">
        <v>41</v>
      </c>
      <c r="C657" s="4" t="s">
        <v>44</v>
      </c>
      <c r="D657" s="4" t="s">
        <v>40</v>
      </c>
      <c r="E657" s="4" t="s">
        <v>25</v>
      </c>
      <c r="F657" s="4" t="s">
        <v>60</v>
      </c>
      <c r="G657" s="4" t="s">
        <v>25</v>
      </c>
      <c r="H657" s="4" t="s">
        <v>36</v>
      </c>
      <c r="I657" s="5">
        <v>44866</v>
      </c>
      <c r="J657" s="6">
        <v>0</v>
      </c>
      <c r="K657" s="6">
        <v>0</v>
      </c>
      <c r="L657" s="6">
        <v>299.41699999999997</v>
      </c>
      <c r="M657" s="6">
        <v>144.1992272</v>
      </c>
      <c r="N657" s="6">
        <v>0</v>
      </c>
      <c r="O657" s="6">
        <v>0</v>
      </c>
      <c r="P657" s="6">
        <v>0</v>
      </c>
      <c r="Q657" s="4" t="s">
        <v>61</v>
      </c>
      <c r="R657" s="4">
        <v>0</v>
      </c>
      <c r="S657" s="6">
        <v>0</v>
      </c>
      <c r="T657" s="6">
        <v>28</v>
      </c>
      <c r="U657" s="6">
        <v>0</v>
      </c>
      <c r="V657" s="6">
        <f>IF(ISERROR(VLOOKUP($S$657,'TAR FIN'!$A$1:$O$115,15,0)),0,VLOOKUP($S$657,'TAR FIN'!$A$1:$O$115,15,0))</f>
        <v>0</v>
      </c>
      <c r="W657" s="6">
        <f>IF(ISERROR(VLOOKUP($T$657,'TAR FIN'!$A$1:$O$115,15,0)),0,VLOOKUP($T$657,'TAR FIN'!$A$1:$O$115,15,0))</f>
        <v>1448.96</v>
      </c>
      <c r="X657" s="6">
        <f>IF(ISERROR(VLOOKUP($U$657,'TAR FIN'!$A$1:$O$115,15,0)),0,VLOOKUP($U$657,'TAR FIN'!$A$1:$O$115,15,0))</f>
        <v>0</v>
      </c>
      <c r="Y657" s="6"/>
      <c r="Z657" s="6">
        <f ca="1">('TUSD BE'!$AM$28+'TUSD BF'!$AM$28+'TUSD CVA'!$AM$28)*1</f>
        <v>1480.1280206491922</v>
      </c>
      <c r="AA657" s="6"/>
      <c r="AB657" s="6">
        <f>$K$657*$V$657</f>
        <v>0</v>
      </c>
      <c r="AC657" s="6">
        <f>$M$657*$W$657</f>
        <v>208938.91224371199</v>
      </c>
      <c r="AD657" s="6">
        <f>$O$657*$X$657</f>
        <v>0</v>
      </c>
      <c r="AE657" s="6">
        <f>$K$657*$Y$657</f>
        <v>0</v>
      </c>
      <c r="AF657" s="6">
        <f ca="1">$M$657*$Z$657</f>
        <v>213433.31673467916</v>
      </c>
      <c r="AG657" s="6">
        <f>$O$657*$AA$657</f>
        <v>0</v>
      </c>
    </row>
    <row r="658" spans="1:33" ht="11.25" customHeight="1" x14ac:dyDescent="0.25">
      <c r="A658" s="4" t="s">
        <v>21</v>
      </c>
      <c r="B658" s="4" t="s">
        <v>41</v>
      </c>
      <c r="C658" s="4" t="s">
        <v>44</v>
      </c>
      <c r="D658" s="4" t="s">
        <v>40</v>
      </c>
      <c r="E658" s="4" t="s">
        <v>25</v>
      </c>
      <c r="F658" s="4" t="s">
        <v>25</v>
      </c>
      <c r="G658" s="4" t="s">
        <v>25</v>
      </c>
      <c r="H658" s="4" t="s">
        <v>37</v>
      </c>
      <c r="I658" s="5">
        <v>44531</v>
      </c>
      <c r="J658" s="6">
        <v>0</v>
      </c>
      <c r="K658" s="6">
        <v>0</v>
      </c>
      <c r="L658" s="6">
        <v>1624.6969999999999</v>
      </c>
      <c r="M658" s="6">
        <v>1624.6969999999999</v>
      </c>
      <c r="N658" s="6">
        <v>1624.6969999999999</v>
      </c>
      <c r="O658" s="6">
        <v>1624.6969999999999</v>
      </c>
      <c r="P658" s="6">
        <v>0</v>
      </c>
      <c r="Q658" s="4" t="s">
        <v>26</v>
      </c>
      <c r="R658" s="4">
        <v>0</v>
      </c>
      <c r="S658" s="6">
        <v>0</v>
      </c>
      <c r="T658" s="6">
        <v>29</v>
      </c>
      <c r="U658" s="6">
        <v>75</v>
      </c>
      <c r="V658" s="6">
        <f>IF(ISERROR(VLOOKUP($S$658,'TAR FIN'!$A$1:$O$115,15,0)),0,VLOOKUP($S$658,'TAR FIN'!$A$1:$O$115,15,0))</f>
        <v>0</v>
      </c>
      <c r="W658" s="6">
        <f>IF(ISERROR(VLOOKUP($T$658,'TAR FIN'!$A$1:$O$115,15,0)),0,VLOOKUP($T$658,'TAR FIN'!$A$1:$O$115,15,0))</f>
        <v>84.31</v>
      </c>
      <c r="X658" s="6">
        <f>IF(ISERROR(VLOOKUP($U$658,'TAR FIN'!$A$1:$O$115,15,0)),0,VLOOKUP($U$658,'TAR FIN'!$A$1:$O$115,15,0))</f>
        <v>168.06</v>
      </c>
      <c r="Y658" s="6"/>
      <c r="Z658" s="6">
        <f ca="1">('TUSD BE'!$AM$29+'TUSD BF'!$AM$29+'TUSD CVA'!$AM$29)*1</f>
        <v>113.43121292628391</v>
      </c>
      <c r="AA658" s="6">
        <f>('TE BE'!$AB$12+'TE BF'!$AB$12+'TE CVA'!$AB$12)*1</f>
        <v>218.6854278594964</v>
      </c>
      <c r="AB658" s="6">
        <f>$K$658*$V$658</f>
        <v>0</v>
      </c>
      <c r="AC658" s="6">
        <f>$M$658*$W$658</f>
        <v>136978.20407000001</v>
      </c>
      <c r="AD658" s="6">
        <f>$O$658*$X$658</f>
        <v>273046.57782000001</v>
      </c>
      <c r="AE658" s="6">
        <f>$K$658*$Y$658</f>
        <v>0</v>
      </c>
      <c r="AF658" s="6">
        <f ca="1">$M$658*$Z$658</f>
        <v>184291.35134769467</v>
      </c>
      <c r="AG658" s="6">
        <f>$O$658*$AA$658</f>
        <v>355297.55858704017</v>
      </c>
    </row>
    <row r="659" spans="1:33" ht="11.25" customHeight="1" x14ac:dyDescent="0.25">
      <c r="A659" s="4" t="s">
        <v>28</v>
      </c>
      <c r="B659" s="4" t="s">
        <v>41</v>
      </c>
      <c r="C659" s="4" t="s">
        <v>44</v>
      </c>
      <c r="D659" s="4" t="s">
        <v>40</v>
      </c>
      <c r="E659" s="4" t="s">
        <v>25</v>
      </c>
      <c r="F659" s="4" t="s">
        <v>25</v>
      </c>
      <c r="G659" s="4" t="s">
        <v>25</v>
      </c>
      <c r="H659" s="4" t="s">
        <v>37</v>
      </c>
      <c r="I659" s="5">
        <v>44531</v>
      </c>
      <c r="J659" s="6">
        <v>0</v>
      </c>
      <c r="K659" s="6">
        <v>0</v>
      </c>
      <c r="L659" s="6">
        <v>214.81899999999999</v>
      </c>
      <c r="M659" s="6">
        <v>214.81899999999999</v>
      </c>
      <c r="N659" s="6">
        <v>214.81899999999999</v>
      </c>
      <c r="O659" s="6">
        <v>214.81899999999999</v>
      </c>
      <c r="P659" s="6">
        <v>0</v>
      </c>
      <c r="Q659" s="4" t="s">
        <v>26</v>
      </c>
      <c r="R659" s="4">
        <v>0</v>
      </c>
      <c r="S659" s="6">
        <v>0</v>
      </c>
      <c r="T659" s="6">
        <v>29</v>
      </c>
      <c r="U659" s="6">
        <v>75</v>
      </c>
      <c r="V659" s="6">
        <f>IF(ISERROR(VLOOKUP($S$659,'TAR FIN'!$A$1:$O$115,15,0)),0,VLOOKUP($S$659,'TAR FIN'!$A$1:$O$115,15,0))</f>
        <v>0</v>
      </c>
      <c r="W659" s="6">
        <f>IF(ISERROR(VLOOKUP($T$659,'TAR FIN'!$A$1:$O$115,15,0)),0,VLOOKUP($T$659,'TAR FIN'!$A$1:$O$115,15,0))</f>
        <v>84.31</v>
      </c>
      <c r="X659" s="6">
        <f>IF(ISERROR(VLOOKUP($U$659,'TAR FIN'!$A$1:$O$115,15,0)),0,VLOOKUP($U$659,'TAR FIN'!$A$1:$O$115,15,0))</f>
        <v>168.06</v>
      </c>
      <c r="Y659" s="6"/>
      <c r="Z659" s="6">
        <f ca="1">('TUSD BE'!$AM$29+'TUSD BF'!$AM$29+'TUSD CVA'!$AM$29)*1</f>
        <v>113.43121292628391</v>
      </c>
      <c r="AA659" s="6">
        <f>('TE BE'!$AB$12+'TE BF'!$AB$12+'TE CVA'!$AB$12)*1</f>
        <v>218.6854278594964</v>
      </c>
      <c r="AB659" s="6">
        <f>$K$659*$V$659</f>
        <v>0</v>
      </c>
      <c r="AC659" s="6">
        <f>$M$659*$W$659</f>
        <v>18111.389889999999</v>
      </c>
      <c r="AD659" s="6">
        <f>$O$659*$X$659</f>
        <v>36102.481139999996</v>
      </c>
      <c r="AE659" s="6">
        <f>$K$659*$Y$659</f>
        <v>0</v>
      </c>
      <c r="AF659" s="6">
        <f ca="1">$M$659*$Z$659</f>
        <v>24367.17972961138</v>
      </c>
      <c r="AG659" s="6">
        <f>$O$659*$AA$659</f>
        <v>46977.784927349152</v>
      </c>
    </row>
    <row r="660" spans="1:33" ht="11.25" customHeight="1" x14ac:dyDescent="0.25">
      <c r="A660" s="4" t="s">
        <v>30</v>
      </c>
      <c r="B660" s="4" t="s">
        <v>41</v>
      </c>
      <c r="C660" s="4" t="s">
        <v>44</v>
      </c>
      <c r="D660" s="4" t="s">
        <v>40</v>
      </c>
      <c r="E660" s="4" t="s">
        <v>25</v>
      </c>
      <c r="F660" s="4" t="s">
        <v>25</v>
      </c>
      <c r="G660" s="4" t="s">
        <v>25</v>
      </c>
      <c r="H660" s="4" t="s">
        <v>37</v>
      </c>
      <c r="I660" s="5">
        <v>44531</v>
      </c>
      <c r="J660" s="6">
        <v>0</v>
      </c>
      <c r="K660" s="6">
        <v>0</v>
      </c>
      <c r="L660" s="6">
        <v>38.246000000000002</v>
      </c>
      <c r="M660" s="6">
        <v>38.246000000000002</v>
      </c>
      <c r="N660" s="6">
        <v>38.246000000000002</v>
      </c>
      <c r="O660" s="6">
        <v>38.246000000000002</v>
      </c>
      <c r="P660" s="6">
        <v>0</v>
      </c>
      <c r="Q660" s="4" t="s">
        <v>26</v>
      </c>
      <c r="R660" s="4">
        <v>0</v>
      </c>
      <c r="S660" s="6">
        <v>0</v>
      </c>
      <c r="T660" s="6">
        <v>29</v>
      </c>
      <c r="U660" s="6">
        <v>75</v>
      </c>
      <c r="V660" s="6">
        <f>IF(ISERROR(VLOOKUP($S$660,'TAR FIN'!$A$1:$O$115,15,0)),0,VLOOKUP($S$660,'TAR FIN'!$A$1:$O$115,15,0))</f>
        <v>0</v>
      </c>
      <c r="W660" s="6">
        <f>IF(ISERROR(VLOOKUP($T$660,'TAR FIN'!$A$1:$O$115,15,0)),0,VLOOKUP($T$660,'TAR FIN'!$A$1:$O$115,15,0))</f>
        <v>84.31</v>
      </c>
      <c r="X660" s="6">
        <f>IF(ISERROR(VLOOKUP($U$660,'TAR FIN'!$A$1:$O$115,15,0)),0,VLOOKUP($U$660,'TAR FIN'!$A$1:$O$115,15,0))</f>
        <v>168.06</v>
      </c>
      <c r="Y660" s="6"/>
      <c r="Z660" s="6">
        <f ca="1">('TUSD BE'!$AM$29+'TUSD BF'!$AM$29+'TUSD CVA'!$AM$29)*1</f>
        <v>113.43121292628391</v>
      </c>
      <c r="AA660" s="6">
        <f>('TE BE'!$AB$12+'TE BF'!$AB$12+'TE CVA'!$AB$12)*1</f>
        <v>218.6854278594964</v>
      </c>
      <c r="AB660" s="6">
        <f>$K$660*$V$660</f>
        <v>0</v>
      </c>
      <c r="AC660" s="6">
        <f>$M$660*$W$660</f>
        <v>3224.5202600000002</v>
      </c>
      <c r="AD660" s="6">
        <f>$O$660*$X$660</f>
        <v>6427.6227600000002</v>
      </c>
      <c r="AE660" s="6">
        <f>$K$660*$Y$660</f>
        <v>0</v>
      </c>
      <c r="AF660" s="6">
        <f ca="1">$M$660*$Z$660</f>
        <v>4338.2901695786541</v>
      </c>
      <c r="AG660" s="6">
        <f>$O$660*$AA$660</f>
        <v>8363.8428739143001</v>
      </c>
    </row>
    <row r="661" spans="1:33" ht="11.25" customHeight="1" x14ac:dyDescent="0.25">
      <c r="A661" s="4" t="s">
        <v>21</v>
      </c>
      <c r="B661" s="4" t="s">
        <v>41</v>
      </c>
      <c r="C661" s="4" t="s">
        <v>44</v>
      </c>
      <c r="D661" s="4" t="s">
        <v>40</v>
      </c>
      <c r="E661" s="4" t="s">
        <v>25</v>
      </c>
      <c r="F661" s="4" t="s">
        <v>25</v>
      </c>
      <c r="G661" s="4" t="s">
        <v>25</v>
      </c>
      <c r="H661" s="4" t="s">
        <v>37</v>
      </c>
      <c r="I661" s="5">
        <v>44562</v>
      </c>
      <c r="J661" s="6">
        <v>0</v>
      </c>
      <c r="K661" s="6">
        <v>0</v>
      </c>
      <c r="L661" s="6">
        <v>1480.91</v>
      </c>
      <c r="M661" s="6">
        <v>1480.91</v>
      </c>
      <c r="N661" s="6">
        <v>1480.91</v>
      </c>
      <c r="O661" s="6">
        <v>1480.91</v>
      </c>
      <c r="P661" s="6">
        <v>0</v>
      </c>
      <c r="Q661" s="4" t="s">
        <v>26</v>
      </c>
      <c r="R661" s="4">
        <v>0</v>
      </c>
      <c r="S661" s="6">
        <v>0</v>
      </c>
      <c r="T661" s="6">
        <v>29</v>
      </c>
      <c r="U661" s="6">
        <v>75</v>
      </c>
      <c r="V661" s="6">
        <f>IF(ISERROR(VLOOKUP($S$661,'TAR FIN'!$A$1:$O$115,15,0)),0,VLOOKUP($S$661,'TAR FIN'!$A$1:$O$115,15,0))</f>
        <v>0</v>
      </c>
      <c r="W661" s="6">
        <f>IF(ISERROR(VLOOKUP($T$661,'TAR FIN'!$A$1:$O$115,15,0)),0,VLOOKUP($T$661,'TAR FIN'!$A$1:$O$115,15,0))</f>
        <v>84.31</v>
      </c>
      <c r="X661" s="6">
        <f>IF(ISERROR(VLOOKUP($U$661,'TAR FIN'!$A$1:$O$115,15,0)),0,VLOOKUP($U$661,'TAR FIN'!$A$1:$O$115,15,0))</f>
        <v>168.06</v>
      </c>
      <c r="Y661" s="6"/>
      <c r="Z661" s="6">
        <f ca="1">('TUSD BE'!$AM$29+'TUSD BF'!$AM$29+'TUSD CVA'!$AM$29)*1</f>
        <v>113.43121292628391</v>
      </c>
      <c r="AA661" s="6">
        <f>('TE BE'!$AB$12+'TE BF'!$AB$12+'TE CVA'!$AB$12)*1</f>
        <v>218.6854278594964</v>
      </c>
      <c r="AB661" s="6">
        <f>$K$661*$V$661</f>
        <v>0</v>
      </c>
      <c r="AC661" s="6">
        <f>$M$661*$W$661</f>
        <v>124855.52210000002</v>
      </c>
      <c r="AD661" s="6">
        <f>$O$661*$X$661</f>
        <v>248881.73460000003</v>
      </c>
      <c r="AE661" s="6">
        <f>$K$661*$Y$661</f>
        <v>0</v>
      </c>
      <c r="AF661" s="6">
        <f ca="1">$M$661*$Z$661</f>
        <v>167981.41753466311</v>
      </c>
      <c r="AG661" s="6">
        <f>$O$661*$AA$661</f>
        <v>323853.43697140686</v>
      </c>
    </row>
    <row r="662" spans="1:33" ht="11.25" customHeight="1" x14ac:dyDescent="0.25">
      <c r="A662" s="4" t="s">
        <v>27</v>
      </c>
      <c r="B662" s="4" t="s">
        <v>41</v>
      </c>
      <c r="C662" s="4" t="s">
        <v>44</v>
      </c>
      <c r="D662" s="4" t="s">
        <v>40</v>
      </c>
      <c r="E662" s="4" t="s">
        <v>25</v>
      </c>
      <c r="F662" s="4" t="s">
        <v>25</v>
      </c>
      <c r="G662" s="4" t="s">
        <v>25</v>
      </c>
      <c r="H662" s="4" t="s">
        <v>37</v>
      </c>
      <c r="I662" s="5">
        <v>44562</v>
      </c>
      <c r="J662" s="6">
        <v>0</v>
      </c>
      <c r="K662" s="6">
        <v>0</v>
      </c>
      <c r="L662" s="6">
        <v>-44.37</v>
      </c>
      <c r="M662" s="6">
        <v>-44.37</v>
      </c>
      <c r="N662" s="6">
        <v>-44.37</v>
      </c>
      <c r="O662" s="6">
        <v>-44.37</v>
      </c>
      <c r="P662" s="6">
        <v>0</v>
      </c>
      <c r="Q662" s="4" t="s">
        <v>26</v>
      </c>
      <c r="R662" s="4">
        <v>0</v>
      </c>
      <c r="S662" s="6">
        <v>0</v>
      </c>
      <c r="T662" s="6">
        <v>29</v>
      </c>
      <c r="U662" s="6">
        <v>75</v>
      </c>
      <c r="V662" s="6">
        <f>IF(ISERROR(VLOOKUP($S$662,'TAR FIN'!$A$1:$O$115,15,0)),0,VLOOKUP($S$662,'TAR FIN'!$A$1:$O$115,15,0))</f>
        <v>0</v>
      </c>
      <c r="W662" s="6">
        <f>IF(ISERROR(VLOOKUP($T$662,'TAR FIN'!$A$1:$O$115,15,0)),0,VLOOKUP($T$662,'TAR FIN'!$A$1:$O$115,15,0))</f>
        <v>84.31</v>
      </c>
      <c r="X662" s="6">
        <f>IF(ISERROR(VLOOKUP($U$662,'TAR FIN'!$A$1:$O$115,15,0)),0,VLOOKUP($U$662,'TAR FIN'!$A$1:$O$115,15,0))</f>
        <v>168.06</v>
      </c>
      <c r="Y662" s="6"/>
      <c r="Z662" s="6">
        <f ca="1">('TUSD BE'!$AM$29+'TUSD BF'!$AM$29+'TUSD CVA'!$AM$29)*1</f>
        <v>113.43121292628391</v>
      </c>
      <c r="AA662" s="6">
        <f>('TE BE'!$AB$12+'TE BF'!$AB$12+'TE CVA'!$AB$12)*1</f>
        <v>218.6854278594964</v>
      </c>
      <c r="AB662" s="6">
        <f>$K$662*$V$662</f>
        <v>0</v>
      </c>
      <c r="AC662" s="6">
        <f>$M$662*$W$662</f>
        <v>-3740.8346999999999</v>
      </c>
      <c r="AD662" s="6">
        <f>$O$662*$X$662</f>
        <v>-7456.8221999999996</v>
      </c>
      <c r="AE662" s="6">
        <f>$K$662*$Y$662</f>
        <v>0</v>
      </c>
      <c r="AF662" s="6">
        <f ca="1">$M$662*$Z$662</f>
        <v>-5032.942917539217</v>
      </c>
      <c r="AG662" s="6">
        <f>$O$662*$AA$662</f>
        <v>-9703.0724341258556</v>
      </c>
    </row>
    <row r="663" spans="1:33" ht="11.25" customHeight="1" x14ac:dyDescent="0.25">
      <c r="A663" s="4" t="s">
        <v>28</v>
      </c>
      <c r="B663" s="4" t="s">
        <v>41</v>
      </c>
      <c r="C663" s="4" t="s">
        <v>44</v>
      </c>
      <c r="D663" s="4" t="s">
        <v>40</v>
      </c>
      <c r="E663" s="4" t="s">
        <v>25</v>
      </c>
      <c r="F663" s="4" t="s">
        <v>25</v>
      </c>
      <c r="G663" s="4" t="s">
        <v>25</v>
      </c>
      <c r="H663" s="4" t="s">
        <v>37</v>
      </c>
      <c r="I663" s="5">
        <v>44562</v>
      </c>
      <c r="J663" s="6">
        <v>0</v>
      </c>
      <c r="K663" s="6">
        <v>0</v>
      </c>
      <c r="L663" s="6">
        <v>202.41800000000001</v>
      </c>
      <c r="M663" s="6">
        <v>202.41800000000001</v>
      </c>
      <c r="N663" s="6">
        <v>202.41800000000001</v>
      </c>
      <c r="O663" s="6">
        <v>202.41800000000001</v>
      </c>
      <c r="P663" s="6">
        <v>0</v>
      </c>
      <c r="Q663" s="4" t="s">
        <v>26</v>
      </c>
      <c r="R663" s="4">
        <v>0</v>
      </c>
      <c r="S663" s="6">
        <v>0</v>
      </c>
      <c r="T663" s="6">
        <v>29</v>
      </c>
      <c r="U663" s="6">
        <v>75</v>
      </c>
      <c r="V663" s="6">
        <f>IF(ISERROR(VLOOKUP($S$663,'TAR FIN'!$A$1:$O$115,15,0)),0,VLOOKUP($S$663,'TAR FIN'!$A$1:$O$115,15,0))</f>
        <v>0</v>
      </c>
      <c r="W663" s="6">
        <f>IF(ISERROR(VLOOKUP($T$663,'TAR FIN'!$A$1:$O$115,15,0)),0,VLOOKUP($T$663,'TAR FIN'!$A$1:$O$115,15,0))</f>
        <v>84.31</v>
      </c>
      <c r="X663" s="6">
        <f>IF(ISERROR(VLOOKUP($U$663,'TAR FIN'!$A$1:$O$115,15,0)),0,VLOOKUP($U$663,'TAR FIN'!$A$1:$O$115,15,0))</f>
        <v>168.06</v>
      </c>
      <c r="Y663" s="6"/>
      <c r="Z663" s="6">
        <f ca="1">('TUSD BE'!$AM$29+'TUSD BF'!$AM$29+'TUSD CVA'!$AM$29)*1</f>
        <v>113.43121292628391</v>
      </c>
      <c r="AA663" s="6">
        <f>('TE BE'!$AB$12+'TE BF'!$AB$12+'TE CVA'!$AB$12)*1</f>
        <v>218.6854278594964</v>
      </c>
      <c r="AB663" s="6">
        <f>$K$663*$V$663</f>
        <v>0</v>
      </c>
      <c r="AC663" s="6">
        <f>$M$663*$W$663</f>
        <v>17065.861580000001</v>
      </c>
      <c r="AD663" s="6">
        <f>$O$663*$X$663</f>
        <v>34018.369080000004</v>
      </c>
      <c r="AE663" s="6">
        <f>$K$663*$Y$663</f>
        <v>0</v>
      </c>
      <c r="AF663" s="6">
        <f ca="1">$M$663*$Z$663</f>
        <v>22960.519258112537</v>
      </c>
      <c r="AG663" s="6">
        <f>$O$663*$AA$663</f>
        <v>44265.866936463543</v>
      </c>
    </row>
    <row r="664" spans="1:33" ht="11.25" customHeight="1" x14ac:dyDescent="0.25">
      <c r="A664" s="4" t="s">
        <v>29</v>
      </c>
      <c r="B664" s="4" t="s">
        <v>41</v>
      </c>
      <c r="C664" s="4" t="s">
        <v>44</v>
      </c>
      <c r="D664" s="4" t="s">
        <v>40</v>
      </c>
      <c r="E664" s="4" t="s">
        <v>25</v>
      </c>
      <c r="F664" s="4" t="s">
        <v>25</v>
      </c>
      <c r="G664" s="4" t="s">
        <v>25</v>
      </c>
      <c r="H664" s="4" t="s">
        <v>37</v>
      </c>
      <c r="I664" s="5">
        <v>44562</v>
      </c>
      <c r="J664" s="6">
        <v>0</v>
      </c>
      <c r="K664" s="6">
        <v>0</v>
      </c>
      <c r="L664" s="6">
        <v>-36.68</v>
      </c>
      <c r="M664" s="6">
        <v>-36.68</v>
      </c>
      <c r="N664" s="6">
        <v>-36.68</v>
      </c>
      <c r="O664" s="6">
        <v>-36.68</v>
      </c>
      <c r="P664" s="6">
        <v>0</v>
      </c>
      <c r="Q664" s="4" t="s">
        <v>26</v>
      </c>
      <c r="R664" s="4">
        <v>0</v>
      </c>
      <c r="S664" s="6">
        <v>0</v>
      </c>
      <c r="T664" s="6">
        <v>29</v>
      </c>
      <c r="U664" s="6">
        <v>75</v>
      </c>
      <c r="V664" s="6">
        <f>IF(ISERROR(VLOOKUP($S$664,'TAR FIN'!$A$1:$O$115,15,0)),0,VLOOKUP($S$664,'TAR FIN'!$A$1:$O$115,15,0))</f>
        <v>0</v>
      </c>
      <c r="W664" s="6">
        <f>IF(ISERROR(VLOOKUP($T$664,'TAR FIN'!$A$1:$O$115,15,0)),0,VLOOKUP($T$664,'TAR FIN'!$A$1:$O$115,15,0))</f>
        <v>84.31</v>
      </c>
      <c r="X664" s="6">
        <f>IF(ISERROR(VLOOKUP($U$664,'TAR FIN'!$A$1:$O$115,15,0)),0,VLOOKUP($U$664,'TAR FIN'!$A$1:$O$115,15,0))</f>
        <v>168.06</v>
      </c>
      <c r="Y664" s="6"/>
      <c r="Z664" s="6">
        <f ca="1">('TUSD BE'!$AM$29+'TUSD BF'!$AM$29+'TUSD CVA'!$AM$29)*1</f>
        <v>113.43121292628391</v>
      </c>
      <c r="AA664" s="6">
        <f>('TE BE'!$AB$12+'TE BF'!$AB$12+'TE CVA'!$AB$12)*1</f>
        <v>218.6854278594964</v>
      </c>
      <c r="AB664" s="6">
        <f>$K$664*$V$664</f>
        <v>0</v>
      </c>
      <c r="AC664" s="6">
        <f>$M$664*$W$664</f>
        <v>-3092.4908</v>
      </c>
      <c r="AD664" s="6">
        <f>$O$664*$X$664</f>
        <v>-6164.4408000000003</v>
      </c>
      <c r="AE664" s="6">
        <f>$K$664*$Y$664</f>
        <v>0</v>
      </c>
      <c r="AF664" s="6">
        <f ca="1">$M$664*$Z$664</f>
        <v>-4160.6568901360934</v>
      </c>
      <c r="AG664" s="6">
        <f>$O$664*$AA$664</f>
        <v>-8021.3814938863279</v>
      </c>
    </row>
    <row r="665" spans="1:33" ht="11.25" customHeight="1" x14ac:dyDescent="0.25">
      <c r="A665" s="4" t="s">
        <v>30</v>
      </c>
      <c r="B665" s="4" t="s">
        <v>41</v>
      </c>
      <c r="C665" s="4" t="s">
        <v>44</v>
      </c>
      <c r="D665" s="4" t="s">
        <v>40</v>
      </c>
      <c r="E665" s="4" t="s">
        <v>25</v>
      </c>
      <c r="F665" s="4" t="s">
        <v>25</v>
      </c>
      <c r="G665" s="4" t="s">
        <v>25</v>
      </c>
      <c r="H665" s="4" t="s">
        <v>37</v>
      </c>
      <c r="I665" s="5">
        <v>44562</v>
      </c>
      <c r="J665" s="6">
        <v>0</v>
      </c>
      <c r="K665" s="6">
        <v>0</v>
      </c>
      <c r="L665" s="6">
        <v>27.314</v>
      </c>
      <c r="M665" s="6">
        <v>27.314</v>
      </c>
      <c r="N665" s="6">
        <v>27.314</v>
      </c>
      <c r="O665" s="6">
        <v>27.314</v>
      </c>
      <c r="P665" s="6">
        <v>0</v>
      </c>
      <c r="Q665" s="4" t="s">
        <v>26</v>
      </c>
      <c r="R665" s="4">
        <v>0</v>
      </c>
      <c r="S665" s="6">
        <v>0</v>
      </c>
      <c r="T665" s="6">
        <v>29</v>
      </c>
      <c r="U665" s="6">
        <v>75</v>
      </c>
      <c r="V665" s="6">
        <f>IF(ISERROR(VLOOKUP($S$665,'TAR FIN'!$A$1:$O$115,15,0)),0,VLOOKUP($S$665,'TAR FIN'!$A$1:$O$115,15,0))</f>
        <v>0</v>
      </c>
      <c r="W665" s="6">
        <f>IF(ISERROR(VLOOKUP($T$665,'TAR FIN'!$A$1:$O$115,15,0)),0,VLOOKUP($T$665,'TAR FIN'!$A$1:$O$115,15,0))</f>
        <v>84.31</v>
      </c>
      <c r="X665" s="6">
        <f>IF(ISERROR(VLOOKUP($U$665,'TAR FIN'!$A$1:$O$115,15,0)),0,VLOOKUP($U$665,'TAR FIN'!$A$1:$O$115,15,0))</f>
        <v>168.06</v>
      </c>
      <c r="Y665" s="6"/>
      <c r="Z665" s="6">
        <f ca="1">('TUSD BE'!$AM$29+'TUSD BF'!$AM$29+'TUSD CVA'!$AM$29)*1</f>
        <v>113.43121292628391</v>
      </c>
      <c r="AA665" s="6">
        <f>('TE BE'!$AB$12+'TE BF'!$AB$12+'TE CVA'!$AB$12)*1</f>
        <v>218.6854278594964</v>
      </c>
      <c r="AB665" s="6">
        <f>$K$665*$V$665</f>
        <v>0</v>
      </c>
      <c r="AC665" s="6">
        <f>$M$665*$W$665</f>
        <v>2302.8433399999999</v>
      </c>
      <c r="AD665" s="6">
        <f>$O$665*$X$665</f>
        <v>4590.39084</v>
      </c>
      <c r="AE665" s="6">
        <f>$K$665*$Y$665</f>
        <v>0</v>
      </c>
      <c r="AF665" s="6">
        <f ca="1">$M$665*$Z$665</f>
        <v>3098.2601498685185</v>
      </c>
      <c r="AG665" s="6">
        <f>$O$665*$AA$665</f>
        <v>5973.1737765542848</v>
      </c>
    </row>
    <row r="666" spans="1:33" ht="11.25" customHeight="1" x14ac:dyDescent="0.25">
      <c r="A666" s="4" t="s">
        <v>21</v>
      </c>
      <c r="B666" s="4" t="s">
        <v>41</v>
      </c>
      <c r="C666" s="4" t="s">
        <v>44</v>
      </c>
      <c r="D666" s="4" t="s">
        <v>40</v>
      </c>
      <c r="E666" s="4" t="s">
        <v>25</v>
      </c>
      <c r="F666" s="4" t="s">
        <v>25</v>
      </c>
      <c r="G666" s="4" t="s">
        <v>25</v>
      </c>
      <c r="H666" s="4" t="s">
        <v>37</v>
      </c>
      <c r="I666" s="5">
        <v>44593</v>
      </c>
      <c r="J666" s="6">
        <v>0</v>
      </c>
      <c r="K666" s="6">
        <v>0</v>
      </c>
      <c r="L666" s="6">
        <v>1531.6780000000001</v>
      </c>
      <c r="M666" s="6">
        <v>1531.6780000000001</v>
      </c>
      <c r="N666" s="6">
        <v>1531.6780000000001</v>
      </c>
      <c r="O666" s="6">
        <v>1531.6780000000001</v>
      </c>
      <c r="P666" s="6">
        <v>0</v>
      </c>
      <c r="Q666" s="4" t="s">
        <v>26</v>
      </c>
      <c r="R666" s="4">
        <v>0</v>
      </c>
      <c r="S666" s="6">
        <v>0</v>
      </c>
      <c r="T666" s="6">
        <v>29</v>
      </c>
      <c r="U666" s="6">
        <v>75</v>
      </c>
      <c r="V666" s="6">
        <f>IF(ISERROR(VLOOKUP($S$666,'TAR FIN'!$A$1:$O$115,15,0)),0,VLOOKUP($S$666,'TAR FIN'!$A$1:$O$115,15,0))</f>
        <v>0</v>
      </c>
      <c r="W666" s="6">
        <f>IF(ISERROR(VLOOKUP($T$666,'TAR FIN'!$A$1:$O$115,15,0)),0,VLOOKUP($T$666,'TAR FIN'!$A$1:$O$115,15,0))</f>
        <v>84.31</v>
      </c>
      <c r="X666" s="6">
        <f>IF(ISERROR(VLOOKUP($U$666,'TAR FIN'!$A$1:$O$115,15,0)),0,VLOOKUP($U$666,'TAR FIN'!$A$1:$O$115,15,0))</f>
        <v>168.06</v>
      </c>
      <c r="Y666" s="6"/>
      <c r="Z666" s="6">
        <f ca="1">('TUSD BE'!$AM$29+'TUSD BF'!$AM$29+'TUSD CVA'!$AM$29)*1</f>
        <v>113.43121292628391</v>
      </c>
      <c r="AA666" s="6">
        <f>('TE BE'!$AB$12+'TE BF'!$AB$12+'TE CVA'!$AB$12)*1</f>
        <v>218.6854278594964</v>
      </c>
      <c r="AB666" s="6">
        <f>$K$666*$V$666</f>
        <v>0</v>
      </c>
      <c r="AC666" s="6">
        <f>$M$666*$W$666</f>
        <v>129135.77218000001</v>
      </c>
      <c r="AD666" s="6">
        <f>$O$666*$X$666</f>
        <v>257413.80468000003</v>
      </c>
      <c r="AE666" s="6">
        <f>$K$666*$Y$666</f>
        <v>0</v>
      </c>
      <c r="AF666" s="6">
        <f ca="1">$M$666*$Z$666</f>
        <v>173740.09335250469</v>
      </c>
      <c r="AG666" s="6">
        <f>$O$666*$AA$666</f>
        <v>334955.65877297777</v>
      </c>
    </row>
    <row r="667" spans="1:33" ht="11.25" customHeight="1" x14ac:dyDescent="0.25">
      <c r="A667" s="4" t="s">
        <v>27</v>
      </c>
      <c r="B667" s="4" t="s">
        <v>41</v>
      </c>
      <c r="C667" s="4" t="s">
        <v>44</v>
      </c>
      <c r="D667" s="4" t="s">
        <v>40</v>
      </c>
      <c r="E667" s="4" t="s">
        <v>25</v>
      </c>
      <c r="F667" s="4" t="s">
        <v>25</v>
      </c>
      <c r="G667" s="4" t="s">
        <v>25</v>
      </c>
      <c r="H667" s="4" t="s">
        <v>37</v>
      </c>
      <c r="I667" s="5">
        <v>44593</v>
      </c>
      <c r="J667" s="6">
        <v>0</v>
      </c>
      <c r="K667" s="6">
        <v>0</v>
      </c>
      <c r="L667" s="6">
        <v>-44.417999999999999</v>
      </c>
      <c r="M667" s="6">
        <v>-44.417999999999999</v>
      </c>
      <c r="N667" s="6">
        <v>-44.417999999999999</v>
      </c>
      <c r="O667" s="6">
        <v>-44.417999999999999</v>
      </c>
      <c r="P667" s="6">
        <v>0</v>
      </c>
      <c r="Q667" s="4" t="s">
        <v>26</v>
      </c>
      <c r="R667" s="4">
        <v>0</v>
      </c>
      <c r="S667" s="6">
        <v>0</v>
      </c>
      <c r="T667" s="6">
        <v>29</v>
      </c>
      <c r="U667" s="6">
        <v>75</v>
      </c>
      <c r="V667" s="6">
        <f>IF(ISERROR(VLOOKUP($S$667,'TAR FIN'!$A$1:$O$115,15,0)),0,VLOOKUP($S$667,'TAR FIN'!$A$1:$O$115,15,0))</f>
        <v>0</v>
      </c>
      <c r="W667" s="6">
        <f>IF(ISERROR(VLOOKUP($T$667,'TAR FIN'!$A$1:$O$115,15,0)),0,VLOOKUP($T$667,'TAR FIN'!$A$1:$O$115,15,0))</f>
        <v>84.31</v>
      </c>
      <c r="X667" s="6">
        <f>IF(ISERROR(VLOOKUP($U$667,'TAR FIN'!$A$1:$O$115,15,0)),0,VLOOKUP($U$667,'TAR FIN'!$A$1:$O$115,15,0))</f>
        <v>168.06</v>
      </c>
      <c r="Y667" s="6"/>
      <c r="Z667" s="6">
        <f ca="1">('TUSD BE'!$AM$29+'TUSD BF'!$AM$29+'TUSD CVA'!$AM$29)*1</f>
        <v>113.43121292628391</v>
      </c>
      <c r="AA667" s="6">
        <f>('TE BE'!$AB$12+'TE BF'!$AB$12+'TE CVA'!$AB$12)*1</f>
        <v>218.6854278594964</v>
      </c>
      <c r="AB667" s="6">
        <f>$K$667*$V$667</f>
        <v>0</v>
      </c>
      <c r="AC667" s="6">
        <f>$M$667*$W$667</f>
        <v>-3744.8815800000002</v>
      </c>
      <c r="AD667" s="6">
        <f>$O$667*$X$667</f>
        <v>-7464.8890799999999</v>
      </c>
      <c r="AE667" s="6">
        <f>$K$667*$Y$667</f>
        <v>0</v>
      </c>
      <c r="AF667" s="6">
        <f ca="1">$M$667*$Z$667</f>
        <v>-5038.3876157596787</v>
      </c>
      <c r="AG667" s="6">
        <f>$O$667*$AA$667</f>
        <v>-9713.5693346631106</v>
      </c>
    </row>
    <row r="668" spans="1:33" ht="11.25" customHeight="1" x14ac:dyDescent="0.25">
      <c r="A668" s="4" t="s">
        <v>28</v>
      </c>
      <c r="B668" s="4" t="s">
        <v>41</v>
      </c>
      <c r="C668" s="4" t="s">
        <v>44</v>
      </c>
      <c r="D668" s="4" t="s">
        <v>40</v>
      </c>
      <c r="E668" s="4" t="s">
        <v>25</v>
      </c>
      <c r="F668" s="4" t="s">
        <v>25</v>
      </c>
      <c r="G668" s="4" t="s">
        <v>25</v>
      </c>
      <c r="H668" s="4" t="s">
        <v>37</v>
      </c>
      <c r="I668" s="5">
        <v>44593</v>
      </c>
      <c r="J668" s="6">
        <v>0</v>
      </c>
      <c r="K668" s="6">
        <v>0</v>
      </c>
      <c r="L668" s="6">
        <v>180.56899999999999</v>
      </c>
      <c r="M668" s="6">
        <v>180.56899999999999</v>
      </c>
      <c r="N668" s="6">
        <v>180.56899999999999</v>
      </c>
      <c r="O668" s="6">
        <v>180.56899999999999</v>
      </c>
      <c r="P668" s="6">
        <v>0</v>
      </c>
      <c r="Q668" s="4" t="s">
        <v>26</v>
      </c>
      <c r="R668" s="4">
        <v>0</v>
      </c>
      <c r="S668" s="6">
        <v>0</v>
      </c>
      <c r="T668" s="6">
        <v>29</v>
      </c>
      <c r="U668" s="6">
        <v>75</v>
      </c>
      <c r="V668" s="6">
        <f>IF(ISERROR(VLOOKUP($S$668,'TAR FIN'!$A$1:$O$115,15,0)),0,VLOOKUP($S$668,'TAR FIN'!$A$1:$O$115,15,0))</f>
        <v>0</v>
      </c>
      <c r="W668" s="6">
        <f>IF(ISERROR(VLOOKUP($T$668,'TAR FIN'!$A$1:$O$115,15,0)),0,VLOOKUP($T$668,'TAR FIN'!$A$1:$O$115,15,0))</f>
        <v>84.31</v>
      </c>
      <c r="X668" s="6">
        <f>IF(ISERROR(VLOOKUP($U$668,'TAR FIN'!$A$1:$O$115,15,0)),0,VLOOKUP($U$668,'TAR FIN'!$A$1:$O$115,15,0))</f>
        <v>168.06</v>
      </c>
      <c r="Y668" s="6"/>
      <c r="Z668" s="6">
        <f ca="1">('TUSD BE'!$AM$29+'TUSD BF'!$AM$29+'TUSD CVA'!$AM$29)*1</f>
        <v>113.43121292628391</v>
      </c>
      <c r="AA668" s="6">
        <f>('TE BE'!$AB$12+'TE BF'!$AB$12+'TE CVA'!$AB$12)*1</f>
        <v>218.6854278594964</v>
      </c>
      <c r="AB668" s="6">
        <f>$K$668*$V$668</f>
        <v>0</v>
      </c>
      <c r="AC668" s="6">
        <f>$M$668*$W$668</f>
        <v>15223.77239</v>
      </c>
      <c r="AD668" s="6">
        <f>$O$668*$X$668</f>
        <v>30346.42614</v>
      </c>
      <c r="AE668" s="6">
        <f>$K$668*$Y$668</f>
        <v>0</v>
      </c>
      <c r="AF668" s="6">
        <f ca="1">$M$668*$Z$668</f>
        <v>20482.160686886156</v>
      </c>
      <c r="AG668" s="6">
        <f>$O$668*$AA$668</f>
        <v>39487.809023161404</v>
      </c>
    </row>
    <row r="669" spans="1:33" ht="11.25" customHeight="1" x14ac:dyDescent="0.25">
      <c r="A669" s="4" t="s">
        <v>30</v>
      </c>
      <c r="B669" s="4" t="s">
        <v>41</v>
      </c>
      <c r="C669" s="4" t="s">
        <v>44</v>
      </c>
      <c r="D669" s="4" t="s">
        <v>40</v>
      </c>
      <c r="E669" s="4" t="s">
        <v>25</v>
      </c>
      <c r="F669" s="4" t="s">
        <v>25</v>
      </c>
      <c r="G669" s="4" t="s">
        <v>25</v>
      </c>
      <c r="H669" s="4" t="s">
        <v>37</v>
      </c>
      <c r="I669" s="5">
        <v>44593</v>
      </c>
      <c r="J669" s="6">
        <v>0</v>
      </c>
      <c r="K669" s="6">
        <v>0</v>
      </c>
      <c r="L669" s="6">
        <v>20.067</v>
      </c>
      <c r="M669" s="6">
        <v>20.067</v>
      </c>
      <c r="N669" s="6">
        <v>20.067</v>
      </c>
      <c r="O669" s="6">
        <v>20.067</v>
      </c>
      <c r="P669" s="6">
        <v>0</v>
      </c>
      <c r="Q669" s="4" t="s">
        <v>26</v>
      </c>
      <c r="R669" s="4">
        <v>0</v>
      </c>
      <c r="S669" s="6">
        <v>0</v>
      </c>
      <c r="T669" s="6">
        <v>29</v>
      </c>
      <c r="U669" s="6">
        <v>75</v>
      </c>
      <c r="V669" s="6">
        <f>IF(ISERROR(VLOOKUP($S$669,'TAR FIN'!$A$1:$O$115,15,0)),0,VLOOKUP($S$669,'TAR FIN'!$A$1:$O$115,15,0))</f>
        <v>0</v>
      </c>
      <c r="W669" s="6">
        <f>IF(ISERROR(VLOOKUP($T$669,'TAR FIN'!$A$1:$O$115,15,0)),0,VLOOKUP($T$669,'TAR FIN'!$A$1:$O$115,15,0))</f>
        <v>84.31</v>
      </c>
      <c r="X669" s="6">
        <f>IF(ISERROR(VLOOKUP($U$669,'TAR FIN'!$A$1:$O$115,15,0)),0,VLOOKUP($U$669,'TAR FIN'!$A$1:$O$115,15,0))</f>
        <v>168.06</v>
      </c>
      <c r="Y669" s="6"/>
      <c r="Z669" s="6">
        <f ca="1">('TUSD BE'!$AM$29+'TUSD BF'!$AM$29+'TUSD CVA'!$AM$29)*1</f>
        <v>113.43121292628391</v>
      </c>
      <c r="AA669" s="6">
        <f>('TE BE'!$AB$12+'TE BF'!$AB$12+'TE CVA'!$AB$12)*1</f>
        <v>218.6854278594964</v>
      </c>
      <c r="AB669" s="6">
        <f>$K$669*$V$669</f>
        <v>0</v>
      </c>
      <c r="AC669" s="6">
        <f>$M$669*$W$669</f>
        <v>1691.8487700000001</v>
      </c>
      <c r="AD669" s="6">
        <f>$O$669*$X$669</f>
        <v>3372.46002</v>
      </c>
      <c r="AE669" s="6">
        <f>$K$669*$Y$669</f>
        <v>0</v>
      </c>
      <c r="AF669" s="6">
        <f ca="1">$M$669*$Z$669</f>
        <v>2276.2241497917394</v>
      </c>
      <c r="AG669" s="6">
        <f>$O$669*$AA$669</f>
        <v>4388.3604808565142</v>
      </c>
    </row>
    <row r="670" spans="1:33" ht="11.25" customHeight="1" x14ac:dyDescent="0.25">
      <c r="A670" s="4" t="s">
        <v>21</v>
      </c>
      <c r="B670" s="4" t="s">
        <v>41</v>
      </c>
      <c r="C670" s="4" t="s">
        <v>44</v>
      </c>
      <c r="D670" s="4" t="s">
        <v>40</v>
      </c>
      <c r="E670" s="4" t="s">
        <v>25</v>
      </c>
      <c r="F670" s="4" t="s">
        <v>25</v>
      </c>
      <c r="G670" s="4" t="s">
        <v>25</v>
      </c>
      <c r="H670" s="4" t="s">
        <v>37</v>
      </c>
      <c r="I670" s="5">
        <v>44621</v>
      </c>
      <c r="J670" s="6">
        <v>0</v>
      </c>
      <c r="K670" s="6">
        <v>0</v>
      </c>
      <c r="L670" s="6">
        <v>1676.627</v>
      </c>
      <c r="M670" s="6">
        <v>1676.627</v>
      </c>
      <c r="N670" s="6">
        <v>1676.627</v>
      </c>
      <c r="O670" s="6">
        <v>1676.627</v>
      </c>
      <c r="P670" s="6">
        <v>0</v>
      </c>
      <c r="Q670" s="4" t="s">
        <v>26</v>
      </c>
      <c r="R670" s="4">
        <v>0</v>
      </c>
      <c r="S670" s="6">
        <v>0</v>
      </c>
      <c r="T670" s="6">
        <v>29</v>
      </c>
      <c r="U670" s="6">
        <v>75</v>
      </c>
      <c r="V670" s="6">
        <f>IF(ISERROR(VLOOKUP($S$670,'TAR FIN'!$A$1:$O$115,15,0)),0,VLOOKUP($S$670,'TAR FIN'!$A$1:$O$115,15,0))</f>
        <v>0</v>
      </c>
      <c r="W670" s="6">
        <f>IF(ISERROR(VLOOKUP($T$670,'TAR FIN'!$A$1:$O$115,15,0)),0,VLOOKUP($T$670,'TAR FIN'!$A$1:$O$115,15,0))</f>
        <v>84.31</v>
      </c>
      <c r="X670" s="6">
        <f>IF(ISERROR(VLOOKUP($U$670,'TAR FIN'!$A$1:$O$115,15,0)),0,VLOOKUP($U$670,'TAR FIN'!$A$1:$O$115,15,0))</f>
        <v>168.06</v>
      </c>
      <c r="Y670" s="6"/>
      <c r="Z670" s="6">
        <f ca="1">('TUSD BE'!$AM$29+'TUSD BF'!$AM$29+'TUSD CVA'!$AM$29)*1</f>
        <v>113.43121292628391</v>
      </c>
      <c r="AA670" s="6">
        <f>('TE BE'!$AB$12+'TE BF'!$AB$12+'TE CVA'!$AB$12)*1</f>
        <v>218.6854278594964</v>
      </c>
      <c r="AB670" s="6">
        <f>$K$670*$V$670</f>
        <v>0</v>
      </c>
      <c r="AC670" s="6">
        <f>$M$670*$W$670</f>
        <v>141356.42236999999</v>
      </c>
      <c r="AD670" s="6">
        <f>$O$670*$X$670</f>
        <v>281773.93361999997</v>
      </c>
      <c r="AE670" s="6">
        <f>$K$670*$Y$670</f>
        <v>0</v>
      </c>
      <c r="AF670" s="6">
        <f ca="1">$M$670*$Z$670</f>
        <v>190181.83423495659</v>
      </c>
      <c r="AG670" s="6">
        <f>$O$670*$AA$670</f>
        <v>366653.89285578387</v>
      </c>
    </row>
    <row r="671" spans="1:33" ht="11.25" customHeight="1" x14ac:dyDescent="0.25">
      <c r="A671" s="4" t="s">
        <v>27</v>
      </c>
      <c r="B671" s="4" t="s">
        <v>41</v>
      </c>
      <c r="C671" s="4" t="s">
        <v>44</v>
      </c>
      <c r="D671" s="4" t="s">
        <v>40</v>
      </c>
      <c r="E671" s="4" t="s">
        <v>25</v>
      </c>
      <c r="F671" s="4" t="s">
        <v>25</v>
      </c>
      <c r="G671" s="4" t="s">
        <v>25</v>
      </c>
      <c r="H671" s="4" t="s">
        <v>37</v>
      </c>
      <c r="I671" s="5">
        <v>44621</v>
      </c>
      <c r="J671" s="6">
        <v>0</v>
      </c>
      <c r="K671" s="6">
        <v>0</v>
      </c>
      <c r="L671" s="6">
        <v>-60.734999999999999</v>
      </c>
      <c r="M671" s="6">
        <v>-60.734999999999999</v>
      </c>
      <c r="N671" s="6">
        <v>-60.734999999999999</v>
      </c>
      <c r="O671" s="6">
        <v>-60.734999999999999</v>
      </c>
      <c r="P671" s="6">
        <v>0</v>
      </c>
      <c r="Q671" s="4" t="s">
        <v>26</v>
      </c>
      <c r="R671" s="4">
        <v>0</v>
      </c>
      <c r="S671" s="6">
        <v>0</v>
      </c>
      <c r="T671" s="6">
        <v>29</v>
      </c>
      <c r="U671" s="6">
        <v>75</v>
      </c>
      <c r="V671" s="6">
        <f>IF(ISERROR(VLOOKUP($S$671,'TAR FIN'!$A$1:$O$115,15,0)),0,VLOOKUP($S$671,'TAR FIN'!$A$1:$O$115,15,0))</f>
        <v>0</v>
      </c>
      <c r="W671" s="6">
        <f>IF(ISERROR(VLOOKUP($T$671,'TAR FIN'!$A$1:$O$115,15,0)),0,VLOOKUP($T$671,'TAR FIN'!$A$1:$O$115,15,0))</f>
        <v>84.31</v>
      </c>
      <c r="X671" s="6">
        <f>IF(ISERROR(VLOOKUP($U$671,'TAR FIN'!$A$1:$O$115,15,0)),0,VLOOKUP($U$671,'TAR FIN'!$A$1:$O$115,15,0))</f>
        <v>168.06</v>
      </c>
      <c r="Y671" s="6"/>
      <c r="Z671" s="6">
        <f ca="1">('TUSD BE'!$AM$29+'TUSD BF'!$AM$29+'TUSD CVA'!$AM$29)*1</f>
        <v>113.43121292628391</v>
      </c>
      <c r="AA671" s="6">
        <f>('TE BE'!$AB$12+'TE BF'!$AB$12+'TE CVA'!$AB$12)*1</f>
        <v>218.6854278594964</v>
      </c>
      <c r="AB671" s="6">
        <f>$K$671*$V$671</f>
        <v>0</v>
      </c>
      <c r="AC671" s="6">
        <f>$M$671*$W$671</f>
        <v>-5120.5678500000004</v>
      </c>
      <c r="AD671" s="6">
        <f>$O$671*$X$671</f>
        <v>-10207.124100000001</v>
      </c>
      <c r="AE671" s="6">
        <f>$K$671*$Y$671</f>
        <v>0</v>
      </c>
      <c r="AF671" s="6">
        <f ca="1">$M$671*$Z$671</f>
        <v>-6889.2447170778532</v>
      </c>
      <c r="AG671" s="6">
        <f>$O$671*$AA$671</f>
        <v>-13281.859461046513</v>
      </c>
    </row>
    <row r="672" spans="1:33" ht="11.25" customHeight="1" x14ac:dyDescent="0.25">
      <c r="A672" s="4" t="s">
        <v>28</v>
      </c>
      <c r="B672" s="4" t="s">
        <v>41</v>
      </c>
      <c r="C672" s="4" t="s">
        <v>44</v>
      </c>
      <c r="D672" s="4" t="s">
        <v>40</v>
      </c>
      <c r="E672" s="4" t="s">
        <v>25</v>
      </c>
      <c r="F672" s="4" t="s">
        <v>25</v>
      </c>
      <c r="G672" s="4" t="s">
        <v>25</v>
      </c>
      <c r="H672" s="4" t="s">
        <v>37</v>
      </c>
      <c r="I672" s="5">
        <v>44621</v>
      </c>
      <c r="J672" s="6">
        <v>0</v>
      </c>
      <c r="K672" s="6">
        <v>0</v>
      </c>
      <c r="L672" s="6">
        <v>192.47399999999999</v>
      </c>
      <c r="M672" s="6">
        <v>192.47399999999999</v>
      </c>
      <c r="N672" s="6">
        <v>192.47399999999999</v>
      </c>
      <c r="O672" s="6">
        <v>192.47399999999999</v>
      </c>
      <c r="P672" s="6">
        <v>0</v>
      </c>
      <c r="Q672" s="4" t="s">
        <v>26</v>
      </c>
      <c r="R672" s="4">
        <v>0</v>
      </c>
      <c r="S672" s="6">
        <v>0</v>
      </c>
      <c r="T672" s="6">
        <v>29</v>
      </c>
      <c r="U672" s="6">
        <v>75</v>
      </c>
      <c r="V672" s="6">
        <f>IF(ISERROR(VLOOKUP($S$672,'TAR FIN'!$A$1:$O$115,15,0)),0,VLOOKUP($S$672,'TAR FIN'!$A$1:$O$115,15,0))</f>
        <v>0</v>
      </c>
      <c r="W672" s="6">
        <f>IF(ISERROR(VLOOKUP($T$672,'TAR FIN'!$A$1:$O$115,15,0)),0,VLOOKUP($T$672,'TAR FIN'!$A$1:$O$115,15,0))</f>
        <v>84.31</v>
      </c>
      <c r="X672" s="6">
        <f>IF(ISERROR(VLOOKUP($U$672,'TAR FIN'!$A$1:$O$115,15,0)),0,VLOOKUP($U$672,'TAR FIN'!$A$1:$O$115,15,0))</f>
        <v>168.06</v>
      </c>
      <c r="Y672" s="6"/>
      <c r="Z672" s="6">
        <f ca="1">('TUSD BE'!$AM$29+'TUSD BF'!$AM$29+'TUSD CVA'!$AM$29)*1</f>
        <v>113.43121292628391</v>
      </c>
      <c r="AA672" s="6">
        <f>('TE BE'!$AB$12+'TE BF'!$AB$12+'TE CVA'!$AB$12)*1</f>
        <v>218.6854278594964</v>
      </c>
      <c r="AB672" s="6">
        <f>$K$672*$V$672</f>
        <v>0</v>
      </c>
      <c r="AC672" s="6">
        <f>$M$672*$W$672</f>
        <v>16227.48294</v>
      </c>
      <c r="AD672" s="6">
        <f>$O$672*$X$672</f>
        <v>32347.18044</v>
      </c>
      <c r="AE672" s="6">
        <f>$K$672*$Y$672</f>
        <v>0</v>
      </c>
      <c r="AF672" s="6">
        <f ca="1">$M$672*$Z$672</f>
        <v>21832.559276773569</v>
      </c>
      <c r="AG672" s="6">
        <f>$O$672*$AA$672</f>
        <v>42091.259041828707</v>
      </c>
    </row>
    <row r="673" spans="1:33" ht="11.25" customHeight="1" x14ac:dyDescent="0.25">
      <c r="A673" s="4" t="s">
        <v>30</v>
      </c>
      <c r="B673" s="4" t="s">
        <v>41</v>
      </c>
      <c r="C673" s="4" t="s">
        <v>44</v>
      </c>
      <c r="D673" s="4" t="s">
        <v>40</v>
      </c>
      <c r="E673" s="4" t="s">
        <v>25</v>
      </c>
      <c r="F673" s="4" t="s">
        <v>25</v>
      </c>
      <c r="G673" s="4" t="s">
        <v>25</v>
      </c>
      <c r="H673" s="4" t="s">
        <v>37</v>
      </c>
      <c r="I673" s="5">
        <v>44621</v>
      </c>
      <c r="J673" s="6">
        <v>0</v>
      </c>
      <c r="K673" s="6">
        <v>0</v>
      </c>
      <c r="L673" s="6">
        <v>34.091999999999999</v>
      </c>
      <c r="M673" s="6">
        <v>34.091999999999999</v>
      </c>
      <c r="N673" s="6">
        <v>34.091999999999999</v>
      </c>
      <c r="O673" s="6">
        <v>34.091999999999999</v>
      </c>
      <c r="P673" s="6">
        <v>0</v>
      </c>
      <c r="Q673" s="4" t="s">
        <v>26</v>
      </c>
      <c r="R673" s="4">
        <v>0</v>
      </c>
      <c r="S673" s="6">
        <v>0</v>
      </c>
      <c r="T673" s="6">
        <v>29</v>
      </c>
      <c r="U673" s="6">
        <v>75</v>
      </c>
      <c r="V673" s="6">
        <f>IF(ISERROR(VLOOKUP($S$673,'TAR FIN'!$A$1:$O$115,15,0)),0,VLOOKUP($S$673,'TAR FIN'!$A$1:$O$115,15,0))</f>
        <v>0</v>
      </c>
      <c r="W673" s="6">
        <f>IF(ISERROR(VLOOKUP($T$673,'TAR FIN'!$A$1:$O$115,15,0)),0,VLOOKUP($T$673,'TAR FIN'!$A$1:$O$115,15,0))</f>
        <v>84.31</v>
      </c>
      <c r="X673" s="6">
        <f>IF(ISERROR(VLOOKUP($U$673,'TAR FIN'!$A$1:$O$115,15,0)),0,VLOOKUP($U$673,'TAR FIN'!$A$1:$O$115,15,0))</f>
        <v>168.06</v>
      </c>
      <c r="Y673" s="6"/>
      <c r="Z673" s="6">
        <f ca="1">('TUSD BE'!$AM$29+'TUSD BF'!$AM$29+'TUSD CVA'!$AM$29)*1</f>
        <v>113.43121292628391</v>
      </c>
      <c r="AA673" s="6">
        <f>('TE BE'!$AB$12+'TE BF'!$AB$12+'TE CVA'!$AB$12)*1</f>
        <v>218.6854278594964</v>
      </c>
      <c r="AB673" s="6">
        <f>$K$673*$V$673</f>
        <v>0</v>
      </c>
      <c r="AC673" s="6">
        <f>$M$673*$W$673</f>
        <v>2874.2965199999999</v>
      </c>
      <c r="AD673" s="6">
        <f>$O$673*$X$673</f>
        <v>5729.5015199999998</v>
      </c>
      <c r="AE673" s="6">
        <f>$K$673*$Y$673</f>
        <v>0</v>
      </c>
      <c r="AF673" s="6">
        <f ca="1">$M$673*$Z$673</f>
        <v>3867.096911082871</v>
      </c>
      <c r="AG673" s="6">
        <f>$O$673*$AA$673</f>
        <v>7455.4236065859513</v>
      </c>
    </row>
    <row r="674" spans="1:33" ht="11.25" customHeight="1" x14ac:dyDescent="0.25">
      <c r="A674" s="4" t="s">
        <v>21</v>
      </c>
      <c r="B674" s="4" t="s">
        <v>41</v>
      </c>
      <c r="C674" s="4" t="s">
        <v>44</v>
      </c>
      <c r="D674" s="4" t="s">
        <v>40</v>
      </c>
      <c r="E674" s="4" t="s">
        <v>25</v>
      </c>
      <c r="F674" s="4" t="s">
        <v>25</v>
      </c>
      <c r="G674" s="4" t="s">
        <v>25</v>
      </c>
      <c r="H674" s="4" t="s">
        <v>37</v>
      </c>
      <c r="I674" s="5">
        <v>44652</v>
      </c>
      <c r="J674" s="6">
        <v>0</v>
      </c>
      <c r="K674" s="6">
        <v>0</v>
      </c>
      <c r="L674" s="6">
        <v>1502.6410000000001</v>
      </c>
      <c r="M674" s="6">
        <v>1502.6410000000001</v>
      </c>
      <c r="N674" s="6">
        <v>1502.6410000000001</v>
      </c>
      <c r="O674" s="6">
        <v>1502.6410000000001</v>
      </c>
      <c r="P674" s="6">
        <v>0</v>
      </c>
      <c r="Q674" s="4" t="s">
        <v>26</v>
      </c>
      <c r="R674" s="4">
        <v>0</v>
      </c>
      <c r="S674" s="6">
        <v>0</v>
      </c>
      <c r="T674" s="6">
        <v>29</v>
      </c>
      <c r="U674" s="6">
        <v>75</v>
      </c>
      <c r="V674" s="6">
        <f>IF(ISERROR(VLOOKUP($S$674,'TAR FIN'!$A$1:$O$115,15,0)),0,VLOOKUP($S$674,'TAR FIN'!$A$1:$O$115,15,0))</f>
        <v>0</v>
      </c>
      <c r="W674" s="6">
        <f>IF(ISERROR(VLOOKUP($T$674,'TAR FIN'!$A$1:$O$115,15,0)),0,VLOOKUP($T$674,'TAR FIN'!$A$1:$O$115,15,0))</f>
        <v>84.31</v>
      </c>
      <c r="X674" s="6">
        <f>IF(ISERROR(VLOOKUP($U$674,'TAR FIN'!$A$1:$O$115,15,0)),0,VLOOKUP($U$674,'TAR FIN'!$A$1:$O$115,15,0))</f>
        <v>168.06</v>
      </c>
      <c r="Y674" s="6"/>
      <c r="Z674" s="6">
        <f ca="1">('TUSD BE'!$AM$29+'TUSD BF'!$AM$29+'TUSD CVA'!$AM$29)*1</f>
        <v>113.43121292628391</v>
      </c>
      <c r="AA674" s="6">
        <f>('TE BE'!$AB$12+'TE BF'!$AB$12+'TE CVA'!$AB$12)*1</f>
        <v>218.6854278594964</v>
      </c>
      <c r="AB674" s="6">
        <f>$K$674*$V$674</f>
        <v>0</v>
      </c>
      <c r="AC674" s="6">
        <f>$M$674*$W$674</f>
        <v>126687.66271</v>
      </c>
      <c r="AD674" s="6">
        <f>$O$674*$X$674</f>
        <v>252533.84646000003</v>
      </c>
      <c r="AE674" s="6">
        <f>$K$674*$Y$674</f>
        <v>0</v>
      </c>
      <c r="AF674" s="6">
        <f ca="1">$M$674*$Z$674</f>
        <v>170446.39122276418</v>
      </c>
      <c r="AG674" s="6">
        <f>$O$674*$AA$674</f>
        <v>328605.69000422157</v>
      </c>
    </row>
    <row r="675" spans="1:33" ht="11.25" customHeight="1" x14ac:dyDescent="0.25">
      <c r="A675" s="4" t="s">
        <v>28</v>
      </c>
      <c r="B675" s="4" t="s">
        <v>41</v>
      </c>
      <c r="C675" s="4" t="s">
        <v>44</v>
      </c>
      <c r="D675" s="4" t="s">
        <v>40</v>
      </c>
      <c r="E675" s="4" t="s">
        <v>25</v>
      </c>
      <c r="F675" s="4" t="s">
        <v>25</v>
      </c>
      <c r="G675" s="4" t="s">
        <v>25</v>
      </c>
      <c r="H675" s="4" t="s">
        <v>37</v>
      </c>
      <c r="I675" s="5">
        <v>44652</v>
      </c>
      <c r="J675" s="6">
        <v>0</v>
      </c>
      <c r="K675" s="6">
        <v>0</v>
      </c>
      <c r="L675" s="6">
        <v>221.334</v>
      </c>
      <c r="M675" s="6">
        <v>221.334</v>
      </c>
      <c r="N675" s="6">
        <v>221.334</v>
      </c>
      <c r="O675" s="6">
        <v>221.334</v>
      </c>
      <c r="P675" s="6">
        <v>0</v>
      </c>
      <c r="Q675" s="4" t="s">
        <v>26</v>
      </c>
      <c r="R675" s="4">
        <v>0</v>
      </c>
      <c r="S675" s="6">
        <v>0</v>
      </c>
      <c r="T675" s="6">
        <v>29</v>
      </c>
      <c r="U675" s="6">
        <v>75</v>
      </c>
      <c r="V675" s="6">
        <f>IF(ISERROR(VLOOKUP($S$675,'TAR FIN'!$A$1:$O$115,15,0)),0,VLOOKUP($S$675,'TAR FIN'!$A$1:$O$115,15,0))</f>
        <v>0</v>
      </c>
      <c r="W675" s="6">
        <f>IF(ISERROR(VLOOKUP($T$675,'TAR FIN'!$A$1:$O$115,15,0)),0,VLOOKUP($T$675,'TAR FIN'!$A$1:$O$115,15,0))</f>
        <v>84.31</v>
      </c>
      <c r="X675" s="6">
        <f>IF(ISERROR(VLOOKUP($U$675,'TAR FIN'!$A$1:$O$115,15,0)),0,VLOOKUP($U$675,'TAR FIN'!$A$1:$O$115,15,0))</f>
        <v>168.06</v>
      </c>
      <c r="Y675" s="6"/>
      <c r="Z675" s="6">
        <f ca="1">('TUSD BE'!$AM$29+'TUSD BF'!$AM$29+'TUSD CVA'!$AM$29)*1</f>
        <v>113.43121292628391</v>
      </c>
      <c r="AA675" s="6">
        <f>('TE BE'!$AB$12+'TE BF'!$AB$12+'TE CVA'!$AB$12)*1</f>
        <v>218.6854278594964</v>
      </c>
      <c r="AB675" s="6">
        <f>$K$675*$V$675</f>
        <v>0</v>
      </c>
      <c r="AC675" s="6">
        <f>$M$675*$W$675</f>
        <v>18660.669539999999</v>
      </c>
      <c r="AD675" s="6">
        <f>$O$675*$X$675</f>
        <v>37197.392039999999</v>
      </c>
      <c r="AE675" s="6">
        <f>$K$675*$Y$675</f>
        <v>0</v>
      </c>
      <c r="AF675" s="6">
        <f ca="1">$M$675*$Z$675</f>
        <v>25106.184081826123</v>
      </c>
      <c r="AG675" s="6">
        <f>$O$675*$AA$675</f>
        <v>48402.520489853778</v>
      </c>
    </row>
    <row r="676" spans="1:33" ht="11.25" customHeight="1" x14ac:dyDescent="0.25">
      <c r="A676" s="4" t="s">
        <v>30</v>
      </c>
      <c r="B676" s="4" t="s">
        <v>41</v>
      </c>
      <c r="C676" s="4" t="s">
        <v>44</v>
      </c>
      <c r="D676" s="4" t="s">
        <v>40</v>
      </c>
      <c r="E676" s="4" t="s">
        <v>25</v>
      </c>
      <c r="F676" s="4" t="s">
        <v>25</v>
      </c>
      <c r="G676" s="4" t="s">
        <v>25</v>
      </c>
      <c r="H676" s="4" t="s">
        <v>37</v>
      </c>
      <c r="I676" s="5">
        <v>44652</v>
      </c>
      <c r="J676" s="6">
        <v>0</v>
      </c>
      <c r="K676" s="6">
        <v>0</v>
      </c>
      <c r="L676" s="6">
        <v>34.607999999999997</v>
      </c>
      <c r="M676" s="6">
        <v>34.607999999999997</v>
      </c>
      <c r="N676" s="6">
        <v>34.607999999999997</v>
      </c>
      <c r="O676" s="6">
        <v>34.607999999999997</v>
      </c>
      <c r="P676" s="6">
        <v>0</v>
      </c>
      <c r="Q676" s="4" t="s">
        <v>26</v>
      </c>
      <c r="R676" s="4">
        <v>0</v>
      </c>
      <c r="S676" s="6">
        <v>0</v>
      </c>
      <c r="T676" s="6">
        <v>29</v>
      </c>
      <c r="U676" s="6">
        <v>75</v>
      </c>
      <c r="V676" s="6">
        <f>IF(ISERROR(VLOOKUP($S$676,'TAR FIN'!$A$1:$O$115,15,0)),0,VLOOKUP($S$676,'TAR FIN'!$A$1:$O$115,15,0))</f>
        <v>0</v>
      </c>
      <c r="W676" s="6">
        <f>IF(ISERROR(VLOOKUP($T$676,'TAR FIN'!$A$1:$O$115,15,0)),0,VLOOKUP($T$676,'TAR FIN'!$A$1:$O$115,15,0))</f>
        <v>84.31</v>
      </c>
      <c r="X676" s="6">
        <f>IF(ISERROR(VLOOKUP($U$676,'TAR FIN'!$A$1:$O$115,15,0)),0,VLOOKUP($U$676,'TAR FIN'!$A$1:$O$115,15,0))</f>
        <v>168.06</v>
      </c>
      <c r="Y676" s="6"/>
      <c r="Z676" s="6">
        <f ca="1">('TUSD BE'!$AM$29+'TUSD BF'!$AM$29+'TUSD CVA'!$AM$29)*1</f>
        <v>113.43121292628391</v>
      </c>
      <c r="AA676" s="6">
        <f>('TE BE'!$AB$12+'TE BF'!$AB$12+'TE CVA'!$AB$12)*1</f>
        <v>218.6854278594964</v>
      </c>
      <c r="AB676" s="6">
        <f>$K$676*$V$676</f>
        <v>0</v>
      </c>
      <c r="AC676" s="6">
        <f>$M$676*$W$676</f>
        <v>2917.8004799999999</v>
      </c>
      <c r="AD676" s="6">
        <f>$O$676*$X$676</f>
        <v>5816.22048</v>
      </c>
      <c r="AE676" s="6">
        <f>$K$676*$Y$676</f>
        <v>0</v>
      </c>
      <c r="AF676" s="6">
        <f ca="1">$M$676*$Z$676</f>
        <v>3925.6274169528328</v>
      </c>
      <c r="AG676" s="6">
        <f>$O$676*$AA$676</f>
        <v>7568.2652873614506</v>
      </c>
    </row>
    <row r="677" spans="1:33" ht="11.25" customHeight="1" x14ac:dyDescent="0.25">
      <c r="A677" s="4" t="s">
        <v>21</v>
      </c>
      <c r="B677" s="4" t="s">
        <v>41</v>
      </c>
      <c r="C677" s="4" t="s">
        <v>44</v>
      </c>
      <c r="D677" s="4" t="s">
        <v>40</v>
      </c>
      <c r="E677" s="4" t="s">
        <v>25</v>
      </c>
      <c r="F677" s="4" t="s">
        <v>25</v>
      </c>
      <c r="G677" s="4" t="s">
        <v>25</v>
      </c>
      <c r="H677" s="4" t="s">
        <v>37</v>
      </c>
      <c r="I677" s="5">
        <v>44682</v>
      </c>
      <c r="J677" s="6">
        <v>0</v>
      </c>
      <c r="K677" s="6">
        <v>0</v>
      </c>
      <c r="L677" s="6">
        <v>1564.1120000000001</v>
      </c>
      <c r="M677" s="6">
        <v>1564.1120000000001</v>
      </c>
      <c r="N677" s="6">
        <v>1564.1120000000001</v>
      </c>
      <c r="O677" s="6">
        <v>1564.1120000000001</v>
      </c>
      <c r="P677" s="6">
        <v>0</v>
      </c>
      <c r="Q677" s="4" t="s">
        <v>26</v>
      </c>
      <c r="R677" s="4">
        <v>0</v>
      </c>
      <c r="S677" s="6">
        <v>0</v>
      </c>
      <c r="T677" s="6">
        <v>29</v>
      </c>
      <c r="U677" s="6">
        <v>75</v>
      </c>
      <c r="V677" s="6">
        <f>IF(ISERROR(VLOOKUP($S$677,'TAR FIN'!$A$1:$O$115,15,0)),0,VLOOKUP($S$677,'TAR FIN'!$A$1:$O$115,15,0))</f>
        <v>0</v>
      </c>
      <c r="W677" s="6">
        <f>IF(ISERROR(VLOOKUP($T$677,'TAR FIN'!$A$1:$O$115,15,0)),0,VLOOKUP($T$677,'TAR FIN'!$A$1:$O$115,15,0))</f>
        <v>84.31</v>
      </c>
      <c r="X677" s="6">
        <f>IF(ISERROR(VLOOKUP($U$677,'TAR FIN'!$A$1:$O$115,15,0)),0,VLOOKUP($U$677,'TAR FIN'!$A$1:$O$115,15,0))</f>
        <v>168.06</v>
      </c>
      <c r="Y677" s="6"/>
      <c r="Z677" s="6">
        <f ca="1">('TUSD BE'!$AM$29+'TUSD BF'!$AM$29+'TUSD CVA'!$AM$29)*1</f>
        <v>113.43121292628391</v>
      </c>
      <c r="AA677" s="6">
        <f>('TE BE'!$AB$12+'TE BF'!$AB$12+'TE CVA'!$AB$12)*1</f>
        <v>218.6854278594964</v>
      </c>
      <c r="AB677" s="6">
        <f>$K$677*$V$677</f>
        <v>0</v>
      </c>
      <c r="AC677" s="6">
        <f>$M$677*$W$677</f>
        <v>131870.28272000002</v>
      </c>
      <c r="AD677" s="6">
        <f>$O$677*$X$677</f>
        <v>262864.66272000002</v>
      </c>
      <c r="AE677" s="6">
        <f>$K$677*$Y$677</f>
        <v>0</v>
      </c>
      <c r="AF677" s="6">
        <f ca="1">$M$677*$Z$677</f>
        <v>177419.12131255577</v>
      </c>
      <c r="AG677" s="6">
        <f>$O$677*$AA$677</f>
        <v>342048.50194017263</v>
      </c>
    </row>
    <row r="678" spans="1:33" ht="11.25" customHeight="1" x14ac:dyDescent="0.25">
      <c r="A678" s="4" t="s">
        <v>28</v>
      </c>
      <c r="B678" s="4" t="s">
        <v>41</v>
      </c>
      <c r="C678" s="4" t="s">
        <v>44</v>
      </c>
      <c r="D678" s="4" t="s">
        <v>40</v>
      </c>
      <c r="E678" s="4" t="s">
        <v>25</v>
      </c>
      <c r="F678" s="4" t="s">
        <v>25</v>
      </c>
      <c r="G678" s="4" t="s">
        <v>25</v>
      </c>
      <c r="H678" s="4" t="s">
        <v>37</v>
      </c>
      <c r="I678" s="5">
        <v>44682</v>
      </c>
      <c r="J678" s="6">
        <v>0</v>
      </c>
      <c r="K678" s="6">
        <v>0</v>
      </c>
      <c r="L678" s="6">
        <v>212.94300000000001</v>
      </c>
      <c r="M678" s="6">
        <v>212.94300000000001</v>
      </c>
      <c r="N678" s="6">
        <v>212.94300000000001</v>
      </c>
      <c r="O678" s="6">
        <v>212.94300000000001</v>
      </c>
      <c r="P678" s="6">
        <v>0</v>
      </c>
      <c r="Q678" s="4" t="s">
        <v>26</v>
      </c>
      <c r="R678" s="4">
        <v>0</v>
      </c>
      <c r="S678" s="6">
        <v>0</v>
      </c>
      <c r="T678" s="6">
        <v>29</v>
      </c>
      <c r="U678" s="6">
        <v>75</v>
      </c>
      <c r="V678" s="6">
        <f>IF(ISERROR(VLOOKUP($S$678,'TAR FIN'!$A$1:$O$115,15,0)),0,VLOOKUP($S$678,'TAR FIN'!$A$1:$O$115,15,0))</f>
        <v>0</v>
      </c>
      <c r="W678" s="6">
        <f>IF(ISERROR(VLOOKUP($T$678,'TAR FIN'!$A$1:$O$115,15,0)),0,VLOOKUP($T$678,'TAR FIN'!$A$1:$O$115,15,0))</f>
        <v>84.31</v>
      </c>
      <c r="X678" s="6">
        <f>IF(ISERROR(VLOOKUP($U$678,'TAR FIN'!$A$1:$O$115,15,0)),0,VLOOKUP($U$678,'TAR FIN'!$A$1:$O$115,15,0))</f>
        <v>168.06</v>
      </c>
      <c r="Y678" s="6"/>
      <c r="Z678" s="6">
        <f ca="1">('TUSD BE'!$AM$29+'TUSD BF'!$AM$29+'TUSD CVA'!$AM$29)*1</f>
        <v>113.43121292628391</v>
      </c>
      <c r="AA678" s="6">
        <f>('TE BE'!$AB$12+'TE BF'!$AB$12+'TE CVA'!$AB$12)*1</f>
        <v>218.6854278594964</v>
      </c>
      <c r="AB678" s="6">
        <f>$K$678*$V$678</f>
        <v>0</v>
      </c>
      <c r="AC678" s="6">
        <f>$M$678*$W$678</f>
        <v>17953.224330000001</v>
      </c>
      <c r="AD678" s="6">
        <f>$O$678*$X$678</f>
        <v>35787.200580000004</v>
      </c>
      <c r="AE678" s="6">
        <f>$K$678*$Y$678</f>
        <v>0</v>
      </c>
      <c r="AF678" s="6">
        <f ca="1">$M$678*$Z$678</f>
        <v>24154.382774161673</v>
      </c>
      <c r="AG678" s="6">
        <f>$O$678*$AA$678</f>
        <v>46567.531064684743</v>
      </c>
    </row>
    <row r="679" spans="1:33" ht="11.25" customHeight="1" x14ac:dyDescent="0.25">
      <c r="A679" s="4" t="s">
        <v>30</v>
      </c>
      <c r="B679" s="4" t="s">
        <v>41</v>
      </c>
      <c r="C679" s="4" t="s">
        <v>44</v>
      </c>
      <c r="D679" s="4" t="s">
        <v>40</v>
      </c>
      <c r="E679" s="4" t="s">
        <v>25</v>
      </c>
      <c r="F679" s="4" t="s">
        <v>25</v>
      </c>
      <c r="G679" s="4" t="s">
        <v>25</v>
      </c>
      <c r="H679" s="4" t="s">
        <v>37</v>
      </c>
      <c r="I679" s="5">
        <v>44682</v>
      </c>
      <c r="J679" s="6">
        <v>0</v>
      </c>
      <c r="K679" s="6">
        <v>0</v>
      </c>
      <c r="L679" s="6">
        <v>39.668999999999997</v>
      </c>
      <c r="M679" s="6">
        <v>39.668999999999997</v>
      </c>
      <c r="N679" s="6">
        <v>39.668999999999997</v>
      </c>
      <c r="O679" s="6">
        <v>39.668999999999997</v>
      </c>
      <c r="P679" s="6">
        <v>0</v>
      </c>
      <c r="Q679" s="4" t="s">
        <v>26</v>
      </c>
      <c r="R679" s="4">
        <v>0</v>
      </c>
      <c r="S679" s="6">
        <v>0</v>
      </c>
      <c r="T679" s="6">
        <v>29</v>
      </c>
      <c r="U679" s="6">
        <v>75</v>
      </c>
      <c r="V679" s="6">
        <f>IF(ISERROR(VLOOKUP($S$679,'TAR FIN'!$A$1:$O$115,15,0)),0,VLOOKUP($S$679,'TAR FIN'!$A$1:$O$115,15,0))</f>
        <v>0</v>
      </c>
      <c r="W679" s="6">
        <f>IF(ISERROR(VLOOKUP($T$679,'TAR FIN'!$A$1:$O$115,15,0)),0,VLOOKUP($T$679,'TAR FIN'!$A$1:$O$115,15,0))</f>
        <v>84.31</v>
      </c>
      <c r="X679" s="6">
        <f>IF(ISERROR(VLOOKUP($U$679,'TAR FIN'!$A$1:$O$115,15,0)),0,VLOOKUP($U$679,'TAR FIN'!$A$1:$O$115,15,0))</f>
        <v>168.06</v>
      </c>
      <c r="Y679" s="6"/>
      <c r="Z679" s="6">
        <f ca="1">('TUSD BE'!$AM$29+'TUSD BF'!$AM$29+'TUSD CVA'!$AM$29)*1</f>
        <v>113.43121292628391</v>
      </c>
      <c r="AA679" s="6">
        <f>('TE BE'!$AB$12+'TE BF'!$AB$12+'TE CVA'!$AB$12)*1</f>
        <v>218.6854278594964</v>
      </c>
      <c r="AB679" s="6">
        <f>$K$679*$V$679</f>
        <v>0</v>
      </c>
      <c r="AC679" s="6">
        <f>$M$679*$W$679</f>
        <v>3344.4933899999996</v>
      </c>
      <c r="AD679" s="6">
        <f>$O$679*$X$679</f>
        <v>6666.7721399999991</v>
      </c>
      <c r="AE679" s="6">
        <f>$K$679*$Y$679</f>
        <v>0</v>
      </c>
      <c r="AF679" s="6">
        <f ca="1">$M$679*$Z$679</f>
        <v>4499.7027855727556</v>
      </c>
      <c r="AG679" s="6">
        <f>$O$679*$AA$679</f>
        <v>8675.0322377583616</v>
      </c>
    </row>
    <row r="680" spans="1:33" ht="11.25" customHeight="1" x14ac:dyDescent="0.25">
      <c r="A680" s="4" t="s">
        <v>21</v>
      </c>
      <c r="B680" s="4" t="s">
        <v>41</v>
      </c>
      <c r="C680" s="4" t="s">
        <v>44</v>
      </c>
      <c r="D680" s="4" t="s">
        <v>40</v>
      </c>
      <c r="E680" s="4" t="s">
        <v>25</v>
      </c>
      <c r="F680" s="4" t="s">
        <v>25</v>
      </c>
      <c r="G680" s="4" t="s">
        <v>25</v>
      </c>
      <c r="H680" s="4" t="s">
        <v>37</v>
      </c>
      <c r="I680" s="5">
        <v>44713</v>
      </c>
      <c r="J680" s="6">
        <v>0</v>
      </c>
      <c r="K680" s="6">
        <v>0</v>
      </c>
      <c r="L680" s="6">
        <v>1634.31</v>
      </c>
      <c r="M680" s="6">
        <v>1634.31</v>
      </c>
      <c r="N680" s="6">
        <v>1634.31</v>
      </c>
      <c r="O680" s="6">
        <v>1634.31</v>
      </c>
      <c r="P680" s="6">
        <v>0</v>
      </c>
      <c r="Q680" s="4" t="s">
        <v>26</v>
      </c>
      <c r="R680" s="4">
        <v>0</v>
      </c>
      <c r="S680" s="6">
        <v>0</v>
      </c>
      <c r="T680" s="6">
        <v>29</v>
      </c>
      <c r="U680" s="6">
        <v>75</v>
      </c>
      <c r="V680" s="6">
        <f>IF(ISERROR(VLOOKUP($S$680,'TAR FIN'!$A$1:$O$115,15,0)),0,VLOOKUP($S$680,'TAR FIN'!$A$1:$O$115,15,0))</f>
        <v>0</v>
      </c>
      <c r="W680" s="6">
        <f>IF(ISERROR(VLOOKUP($T$680,'TAR FIN'!$A$1:$O$115,15,0)),0,VLOOKUP($T$680,'TAR FIN'!$A$1:$O$115,15,0))</f>
        <v>84.31</v>
      </c>
      <c r="X680" s="6">
        <f>IF(ISERROR(VLOOKUP($U$680,'TAR FIN'!$A$1:$O$115,15,0)),0,VLOOKUP($U$680,'TAR FIN'!$A$1:$O$115,15,0))</f>
        <v>168.06</v>
      </c>
      <c r="Y680" s="6"/>
      <c r="Z680" s="6">
        <f ca="1">('TUSD BE'!$AM$29+'TUSD BF'!$AM$29+'TUSD CVA'!$AM$29)*1</f>
        <v>113.43121292628391</v>
      </c>
      <c r="AA680" s="6">
        <f>('TE BE'!$AB$12+'TE BF'!$AB$12+'TE CVA'!$AB$12)*1</f>
        <v>218.6854278594964</v>
      </c>
      <c r="AB680" s="6">
        <f>$K$680*$V$680</f>
        <v>0</v>
      </c>
      <c r="AC680" s="6">
        <f>$M$680*$W$680</f>
        <v>137788.67610000001</v>
      </c>
      <c r="AD680" s="6">
        <f>$O$680*$X$680</f>
        <v>274662.13860000001</v>
      </c>
      <c r="AE680" s="6">
        <f>$K$680*$Y$680</f>
        <v>0</v>
      </c>
      <c r="AF680" s="6">
        <f ca="1">$M$680*$Z$680</f>
        <v>185381.76559755503</v>
      </c>
      <c r="AG680" s="6">
        <f>$O$680*$AA$680</f>
        <v>357399.78160505358</v>
      </c>
    </row>
    <row r="681" spans="1:33" ht="11.25" customHeight="1" x14ac:dyDescent="0.25">
      <c r="A681" s="4" t="s">
        <v>27</v>
      </c>
      <c r="B681" s="4" t="s">
        <v>41</v>
      </c>
      <c r="C681" s="4" t="s">
        <v>44</v>
      </c>
      <c r="D681" s="4" t="s">
        <v>40</v>
      </c>
      <c r="E681" s="4" t="s">
        <v>25</v>
      </c>
      <c r="F681" s="4" t="s">
        <v>25</v>
      </c>
      <c r="G681" s="4" t="s">
        <v>25</v>
      </c>
      <c r="H681" s="4" t="s">
        <v>37</v>
      </c>
      <c r="I681" s="5">
        <v>44713</v>
      </c>
      <c r="J681" s="6">
        <v>0</v>
      </c>
      <c r="K681" s="6">
        <v>0</v>
      </c>
      <c r="L681" s="6">
        <v>-21.28</v>
      </c>
      <c r="M681" s="6">
        <v>-21.28</v>
      </c>
      <c r="N681" s="6">
        <v>-21.28</v>
      </c>
      <c r="O681" s="6">
        <v>-21.28</v>
      </c>
      <c r="P681" s="6">
        <v>0</v>
      </c>
      <c r="Q681" s="4" t="s">
        <v>26</v>
      </c>
      <c r="R681" s="4">
        <v>0</v>
      </c>
      <c r="S681" s="6">
        <v>0</v>
      </c>
      <c r="T681" s="6">
        <v>29</v>
      </c>
      <c r="U681" s="6">
        <v>75</v>
      </c>
      <c r="V681" s="6">
        <f>IF(ISERROR(VLOOKUP($S$681,'TAR FIN'!$A$1:$O$115,15,0)),0,VLOOKUP($S$681,'TAR FIN'!$A$1:$O$115,15,0))</f>
        <v>0</v>
      </c>
      <c r="W681" s="6">
        <f>IF(ISERROR(VLOOKUP($T$681,'TAR FIN'!$A$1:$O$115,15,0)),0,VLOOKUP($T$681,'TAR FIN'!$A$1:$O$115,15,0))</f>
        <v>84.31</v>
      </c>
      <c r="X681" s="6">
        <f>IF(ISERROR(VLOOKUP($U$681,'TAR FIN'!$A$1:$O$115,15,0)),0,VLOOKUP($U$681,'TAR FIN'!$A$1:$O$115,15,0))</f>
        <v>168.06</v>
      </c>
      <c r="Y681" s="6"/>
      <c r="Z681" s="6">
        <f ca="1">('TUSD BE'!$AM$29+'TUSD BF'!$AM$29+'TUSD CVA'!$AM$29)*1</f>
        <v>113.43121292628391</v>
      </c>
      <c r="AA681" s="6">
        <f>('TE BE'!$AB$12+'TE BF'!$AB$12+'TE CVA'!$AB$12)*1</f>
        <v>218.6854278594964</v>
      </c>
      <c r="AB681" s="6">
        <f>$K$681*$V$681</f>
        <v>0</v>
      </c>
      <c r="AC681" s="6">
        <f>$M$681*$W$681</f>
        <v>-1794.1168000000002</v>
      </c>
      <c r="AD681" s="6">
        <f>$O$681*$X$681</f>
        <v>-3576.3168000000001</v>
      </c>
      <c r="AE681" s="6">
        <f>$K$681*$Y$681</f>
        <v>0</v>
      </c>
      <c r="AF681" s="6">
        <f ca="1">$M$681*$Z$681</f>
        <v>-2413.8162110713215</v>
      </c>
      <c r="AG681" s="6">
        <f>$O$681*$AA$681</f>
        <v>-4653.6259048500833</v>
      </c>
    </row>
    <row r="682" spans="1:33" ht="11.25" customHeight="1" x14ac:dyDescent="0.25">
      <c r="A682" s="4" t="s">
        <v>28</v>
      </c>
      <c r="B682" s="4" t="s">
        <v>41</v>
      </c>
      <c r="C682" s="4" t="s">
        <v>44</v>
      </c>
      <c r="D682" s="4" t="s">
        <v>40</v>
      </c>
      <c r="E682" s="4" t="s">
        <v>25</v>
      </c>
      <c r="F682" s="4" t="s">
        <v>25</v>
      </c>
      <c r="G682" s="4" t="s">
        <v>25</v>
      </c>
      <c r="H682" s="4" t="s">
        <v>37</v>
      </c>
      <c r="I682" s="5">
        <v>44713</v>
      </c>
      <c r="J682" s="6">
        <v>0</v>
      </c>
      <c r="K682" s="6">
        <v>0</v>
      </c>
      <c r="L682" s="6">
        <v>198.49100000000001</v>
      </c>
      <c r="M682" s="6">
        <v>198.49100000000001</v>
      </c>
      <c r="N682" s="6">
        <v>198.49100000000001</v>
      </c>
      <c r="O682" s="6">
        <v>198.49100000000001</v>
      </c>
      <c r="P682" s="6">
        <v>0</v>
      </c>
      <c r="Q682" s="4" t="s">
        <v>26</v>
      </c>
      <c r="R682" s="4">
        <v>0</v>
      </c>
      <c r="S682" s="6">
        <v>0</v>
      </c>
      <c r="T682" s="6">
        <v>29</v>
      </c>
      <c r="U682" s="6">
        <v>75</v>
      </c>
      <c r="V682" s="6">
        <f>IF(ISERROR(VLOOKUP($S$682,'TAR FIN'!$A$1:$O$115,15,0)),0,VLOOKUP($S$682,'TAR FIN'!$A$1:$O$115,15,0))</f>
        <v>0</v>
      </c>
      <c r="W682" s="6">
        <f>IF(ISERROR(VLOOKUP($T$682,'TAR FIN'!$A$1:$O$115,15,0)),0,VLOOKUP($T$682,'TAR FIN'!$A$1:$O$115,15,0))</f>
        <v>84.31</v>
      </c>
      <c r="X682" s="6">
        <f>IF(ISERROR(VLOOKUP($U$682,'TAR FIN'!$A$1:$O$115,15,0)),0,VLOOKUP($U$682,'TAR FIN'!$A$1:$O$115,15,0))</f>
        <v>168.06</v>
      </c>
      <c r="Y682" s="6"/>
      <c r="Z682" s="6">
        <f ca="1">('TUSD BE'!$AM$29+'TUSD BF'!$AM$29+'TUSD CVA'!$AM$29)*1</f>
        <v>113.43121292628391</v>
      </c>
      <c r="AA682" s="6">
        <f>('TE BE'!$AB$12+'TE BF'!$AB$12+'TE CVA'!$AB$12)*1</f>
        <v>218.6854278594964</v>
      </c>
      <c r="AB682" s="6">
        <f>$K$682*$V$682</f>
        <v>0</v>
      </c>
      <c r="AC682" s="6">
        <f>$M$682*$W$682</f>
        <v>16734.77621</v>
      </c>
      <c r="AD682" s="6">
        <f>$O$682*$X$682</f>
        <v>33358.39746</v>
      </c>
      <c r="AE682" s="6">
        <f>$K$682*$Y$682</f>
        <v>0</v>
      </c>
      <c r="AF682" s="6">
        <f ca="1">$M$682*$Z$682</f>
        <v>22515.07488495102</v>
      </c>
      <c r="AG682" s="6">
        <f>$O$682*$AA$682</f>
        <v>43407.089261259302</v>
      </c>
    </row>
    <row r="683" spans="1:33" ht="11.25" customHeight="1" x14ac:dyDescent="0.25">
      <c r="A683" s="4" t="s">
        <v>30</v>
      </c>
      <c r="B683" s="4" t="s">
        <v>41</v>
      </c>
      <c r="C683" s="4" t="s">
        <v>44</v>
      </c>
      <c r="D683" s="4" t="s">
        <v>40</v>
      </c>
      <c r="E683" s="4" t="s">
        <v>25</v>
      </c>
      <c r="F683" s="4" t="s">
        <v>25</v>
      </c>
      <c r="G683" s="4" t="s">
        <v>25</v>
      </c>
      <c r="H683" s="4" t="s">
        <v>37</v>
      </c>
      <c r="I683" s="5">
        <v>44713</v>
      </c>
      <c r="J683" s="6">
        <v>0</v>
      </c>
      <c r="K683" s="6">
        <v>0</v>
      </c>
      <c r="L683" s="6">
        <v>53.67</v>
      </c>
      <c r="M683" s="6">
        <v>53.67</v>
      </c>
      <c r="N683" s="6">
        <v>53.67</v>
      </c>
      <c r="O683" s="6">
        <v>53.67</v>
      </c>
      <c r="P683" s="6">
        <v>0</v>
      </c>
      <c r="Q683" s="4" t="s">
        <v>26</v>
      </c>
      <c r="R683" s="4">
        <v>0</v>
      </c>
      <c r="S683" s="6">
        <v>0</v>
      </c>
      <c r="T683" s="6">
        <v>29</v>
      </c>
      <c r="U683" s="6">
        <v>75</v>
      </c>
      <c r="V683" s="6">
        <f>IF(ISERROR(VLOOKUP($S$683,'TAR FIN'!$A$1:$O$115,15,0)),0,VLOOKUP($S$683,'TAR FIN'!$A$1:$O$115,15,0))</f>
        <v>0</v>
      </c>
      <c r="W683" s="6">
        <f>IF(ISERROR(VLOOKUP($T$683,'TAR FIN'!$A$1:$O$115,15,0)),0,VLOOKUP($T$683,'TAR FIN'!$A$1:$O$115,15,0))</f>
        <v>84.31</v>
      </c>
      <c r="X683" s="6">
        <f>IF(ISERROR(VLOOKUP($U$683,'TAR FIN'!$A$1:$O$115,15,0)),0,VLOOKUP($U$683,'TAR FIN'!$A$1:$O$115,15,0))</f>
        <v>168.06</v>
      </c>
      <c r="Y683" s="6"/>
      <c r="Z683" s="6">
        <f ca="1">('TUSD BE'!$AM$29+'TUSD BF'!$AM$29+'TUSD CVA'!$AM$29)*1</f>
        <v>113.43121292628391</v>
      </c>
      <c r="AA683" s="6">
        <f>('TE BE'!$AB$12+'TE BF'!$AB$12+'TE CVA'!$AB$12)*1</f>
        <v>218.6854278594964</v>
      </c>
      <c r="AB683" s="6">
        <f>$K$683*$V$683</f>
        <v>0</v>
      </c>
      <c r="AC683" s="6">
        <f>$M$683*$W$683</f>
        <v>4524.9177</v>
      </c>
      <c r="AD683" s="6">
        <f>$O$683*$X$683</f>
        <v>9019.7802000000011</v>
      </c>
      <c r="AE683" s="6">
        <f>$K$683*$Y$683</f>
        <v>0</v>
      </c>
      <c r="AF683" s="6">
        <f ca="1">$M$683*$Z$683</f>
        <v>6087.8531977536577</v>
      </c>
      <c r="AG683" s="6">
        <f>$O$683*$AA$683</f>
        <v>11736.846913219171</v>
      </c>
    </row>
    <row r="684" spans="1:33" ht="11.25" customHeight="1" x14ac:dyDescent="0.25">
      <c r="A684" s="4" t="s">
        <v>21</v>
      </c>
      <c r="B684" s="4" t="s">
        <v>41</v>
      </c>
      <c r="C684" s="4" t="s">
        <v>44</v>
      </c>
      <c r="D684" s="4" t="s">
        <v>40</v>
      </c>
      <c r="E684" s="4" t="s">
        <v>25</v>
      </c>
      <c r="F684" s="4" t="s">
        <v>25</v>
      </c>
      <c r="G684" s="4" t="s">
        <v>25</v>
      </c>
      <c r="H684" s="4" t="s">
        <v>37</v>
      </c>
      <c r="I684" s="5">
        <v>44743</v>
      </c>
      <c r="J684" s="6">
        <v>0</v>
      </c>
      <c r="K684" s="6">
        <v>0</v>
      </c>
      <c r="L684" s="6">
        <v>1687.4780000000001</v>
      </c>
      <c r="M684" s="6">
        <v>1687.4780000000001</v>
      </c>
      <c r="N684" s="6">
        <v>1687.4780000000001</v>
      </c>
      <c r="O684" s="6">
        <v>1687.4780000000001</v>
      </c>
      <c r="P684" s="6">
        <v>0</v>
      </c>
      <c r="Q684" s="4" t="s">
        <v>26</v>
      </c>
      <c r="R684" s="4">
        <v>0</v>
      </c>
      <c r="S684" s="6">
        <v>0</v>
      </c>
      <c r="T684" s="6">
        <v>29</v>
      </c>
      <c r="U684" s="6">
        <v>75</v>
      </c>
      <c r="V684" s="6">
        <f>IF(ISERROR(VLOOKUP($S$684,'TAR FIN'!$A$1:$O$115,15,0)),0,VLOOKUP($S$684,'TAR FIN'!$A$1:$O$115,15,0))</f>
        <v>0</v>
      </c>
      <c r="W684" s="6">
        <f>IF(ISERROR(VLOOKUP($T$684,'TAR FIN'!$A$1:$O$115,15,0)),0,VLOOKUP($T$684,'TAR FIN'!$A$1:$O$115,15,0))</f>
        <v>84.31</v>
      </c>
      <c r="X684" s="6">
        <f>IF(ISERROR(VLOOKUP($U$684,'TAR FIN'!$A$1:$O$115,15,0)),0,VLOOKUP($U$684,'TAR FIN'!$A$1:$O$115,15,0))</f>
        <v>168.06</v>
      </c>
      <c r="Y684" s="6"/>
      <c r="Z684" s="6">
        <f ca="1">('TUSD BE'!$AM$29+'TUSD BF'!$AM$29+'TUSD CVA'!$AM$29)*1</f>
        <v>113.43121292628391</v>
      </c>
      <c r="AA684" s="6">
        <f>('TE BE'!$AB$12+'TE BF'!$AB$12+'TE CVA'!$AB$12)*1</f>
        <v>218.6854278594964</v>
      </c>
      <c r="AB684" s="6">
        <f>$K$684*$V$684</f>
        <v>0</v>
      </c>
      <c r="AC684" s="6">
        <f>$M$684*$W$684</f>
        <v>142271.27018000002</v>
      </c>
      <c r="AD684" s="6">
        <f>$O$684*$X$684</f>
        <v>283597.55268000002</v>
      </c>
      <c r="AE684" s="6">
        <f>$K$684*$Y$684</f>
        <v>0</v>
      </c>
      <c r="AF684" s="6">
        <f ca="1">$M$684*$Z$684</f>
        <v>191412.67632641972</v>
      </c>
      <c r="AG684" s="6">
        <f>$O$684*$AA$684</f>
        <v>369026.84843348729</v>
      </c>
    </row>
    <row r="685" spans="1:33" ht="11.25" customHeight="1" x14ac:dyDescent="0.25">
      <c r="A685" s="4" t="s">
        <v>28</v>
      </c>
      <c r="B685" s="4" t="s">
        <v>41</v>
      </c>
      <c r="C685" s="4" t="s">
        <v>44</v>
      </c>
      <c r="D685" s="4" t="s">
        <v>40</v>
      </c>
      <c r="E685" s="4" t="s">
        <v>25</v>
      </c>
      <c r="F685" s="4" t="s">
        <v>25</v>
      </c>
      <c r="G685" s="4" t="s">
        <v>25</v>
      </c>
      <c r="H685" s="4" t="s">
        <v>37</v>
      </c>
      <c r="I685" s="5">
        <v>44743</v>
      </c>
      <c r="J685" s="6">
        <v>0</v>
      </c>
      <c r="K685" s="6">
        <v>0</v>
      </c>
      <c r="L685" s="6">
        <v>216.63200000000001</v>
      </c>
      <c r="M685" s="6">
        <v>216.63200000000001</v>
      </c>
      <c r="N685" s="6">
        <v>216.63200000000001</v>
      </c>
      <c r="O685" s="6">
        <v>216.63200000000001</v>
      </c>
      <c r="P685" s="6">
        <v>0</v>
      </c>
      <c r="Q685" s="4" t="s">
        <v>26</v>
      </c>
      <c r="R685" s="4">
        <v>0</v>
      </c>
      <c r="S685" s="6">
        <v>0</v>
      </c>
      <c r="T685" s="6">
        <v>29</v>
      </c>
      <c r="U685" s="6">
        <v>75</v>
      </c>
      <c r="V685" s="6">
        <f>IF(ISERROR(VLOOKUP($S$685,'TAR FIN'!$A$1:$O$115,15,0)),0,VLOOKUP($S$685,'TAR FIN'!$A$1:$O$115,15,0))</f>
        <v>0</v>
      </c>
      <c r="W685" s="6">
        <f>IF(ISERROR(VLOOKUP($T$685,'TAR FIN'!$A$1:$O$115,15,0)),0,VLOOKUP($T$685,'TAR FIN'!$A$1:$O$115,15,0))</f>
        <v>84.31</v>
      </c>
      <c r="X685" s="6">
        <f>IF(ISERROR(VLOOKUP($U$685,'TAR FIN'!$A$1:$O$115,15,0)),0,VLOOKUP($U$685,'TAR FIN'!$A$1:$O$115,15,0))</f>
        <v>168.06</v>
      </c>
      <c r="Y685" s="6"/>
      <c r="Z685" s="6">
        <f ca="1">('TUSD BE'!$AM$29+'TUSD BF'!$AM$29+'TUSD CVA'!$AM$29)*1</f>
        <v>113.43121292628391</v>
      </c>
      <c r="AA685" s="6">
        <f>('TE BE'!$AB$12+'TE BF'!$AB$12+'TE CVA'!$AB$12)*1</f>
        <v>218.6854278594964</v>
      </c>
      <c r="AB685" s="6">
        <f>$K$685*$V$685</f>
        <v>0</v>
      </c>
      <c r="AC685" s="6">
        <f>$M$685*$W$685</f>
        <v>18264.243920000001</v>
      </c>
      <c r="AD685" s="6">
        <f>$O$685*$X$685</f>
        <v>36407.173920000001</v>
      </c>
      <c r="AE685" s="6">
        <f>$K$685*$Y$685</f>
        <v>0</v>
      </c>
      <c r="AF685" s="6">
        <f ca="1">$M$685*$Z$685</f>
        <v>24572.830518646737</v>
      </c>
      <c r="AG685" s="6">
        <f>$O$685*$AA$685</f>
        <v>47374.261608058427</v>
      </c>
    </row>
    <row r="686" spans="1:33" ht="11.25" customHeight="1" x14ac:dyDescent="0.25">
      <c r="A686" s="4" t="s">
        <v>30</v>
      </c>
      <c r="B686" s="4" t="s">
        <v>41</v>
      </c>
      <c r="C686" s="4" t="s">
        <v>44</v>
      </c>
      <c r="D686" s="4" t="s">
        <v>40</v>
      </c>
      <c r="E686" s="4" t="s">
        <v>25</v>
      </c>
      <c r="F686" s="4" t="s">
        <v>25</v>
      </c>
      <c r="G686" s="4" t="s">
        <v>25</v>
      </c>
      <c r="H686" s="4" t="s">
        <v>37</v>
      </c>
      <c r="I686" s="5">
        <v>44743</v>
      </c>
      <c r="J686" s="6">
        <v>0</v>
      </c>
      <c r="K686" s="6">
        <v>0</v>
      </c>
      <c r="L686" s="6">
        <v>51.313000000000002</v>
      </c>
      <c r="M686" s="6">
        <v>51.313000000000002</v>
      </c>
      <c r="N686" s="6">
        <v>51.313000000000002</v>
      </c>
      <c r="O686" s="6">
        <v>51.313000000000002</v>
      </c>
      <c r="P686" s="6">
        <v>0</v>
      </c>
      <c r="Q686" s="4" t="s">
        <v>26</v>
      </c>
      <c r="R686" s="4">
        <v>0</v>
      </c>
      <c r="S686" s="6">
        <v>0</v>
      </c>
      <c r="T686" s="6">
        <v>29</v>
      </c>
      <c r="U686" s="6">
        <v>75</v>
      </c>
      <c r="V686" s="6">
        <f>IF(ISERROR(VLOOKUP($S$686,'TAR FIN'!$A$1:$O$115,15,0)),0,VLOOKUP($S$686,'TAR FIN'!$A$1:$O$115,15,0))</f>
        <v>0</v>
      </c>
      <c r="W686" s="6">
        <f>IF(ISERROR(VLOOKUP($T$686,'TAR FIN'!$A$1:$O$115,15,0)),0,VLOOKUP($T$686,'TAR FIN'!$A$1:$O$115,15,0))</f>
        <v>84.31</v>
      </c>
      <c r="X686" s="6">
        <f>IF(ISERROR(VLOOKUP($U$686,'TAR FIN'!$A$1:$O$115,15,0)),0,VLOOKUP($U$686,'TAR FIN'!$A$1:$O$115,15,0))</f>
        <v>168.06</v>
      </c>
      <c r="Y686" s="6"/>
      <c r="Z686" s="6">
        <f ca="1">('TUSD BE'!$AM$29+'TUSD BF'!$AM$29+'TUSD CVA'!$AM$29)*1</f>
        <v>113.43121292628391</v>
      </c>
      <c r="AA686" s="6">
        <f>('TE BE'!$AB$12+'TE BF'!$AB$12+'TE CVA'!$AB$12)*1</f>
        <v>218.6854278594964</v>
      </c>
      <c r="AB686" s="6">
        <f>$K$686*$V$686</f>
        <v>0</v>
      </c>
      <c r="AC686" s="6">
        <f>$M$686*$W$686</f>
        <v>4326.1990300000007</v>
      </c>
      <c r="AD686" s="6">
        <f>$O$686*$X$686</f>
        <v>8623.6627800000006</v>
      </c>
      <c r="AE686" s="6">
        <f>$K$686*$Y$686</f>
        <v>0</v>
      </c>
      <c r="AF686" s="6">
        <f ca="1">$M$686*$Z$686</f>
        <v>5820.4958288864063</v>
      </c>
      <c r="AG686" s="6">
        <f>$O$686*$AA$686</f>
        <v>11221.405359754339</v>
      </c>
    </row>
    <row r="687" spans="1:33" ht="11.25" customHeight="1" x14ac:dyDescent="0.25">
      <c r="A687" s="4" t="s">
        <v>21</v>
      </c>
      <c r="B687" s="4" t="s">
        <v>41</v>
      </c>
      <c r="C687" s="4" t="s">
        <v>44</v>
      </c>
      <c r="D687" s="4" t="s">
        <v>40</v>
      </c>
      <c r="E687" s="4" t="s">
        <v>25</v>
      </c>
      <c r="F687" s="4" t="s">
        <v>25</v>
      </c>
      <c r="G687" s="4" t="s">
        <v>25</v>
      </c>
      <c r="H687" s="4" t="s">
        <v>37</v>
      </c>
      <c r="I687" s="5">
        <v>44774</v>
      </c>
      <c r="J687" s="6">
        <v>0</v>
      </c>
      <c r="K687" s="6">
        <v>0</v>
      </c>
      <c r="L687" s="6">
        <v>1675.807</v>
      </c>
      <c r="M687" s="6">
        <v>1675.807</v>
      </c>
      <c r="N687" s="6">
        <v>1675.807</v>
      </c>
      <c r="O687" s="6">
        <v>1675.807</v>
      </c>
      <c r="P687" s="6">
        <v>0</v>
      </c>
      <c r="Q687" s="4" t="s">
        <v>26</v>
      </c>
      <c r="R687" s="4">
        <v>0</v>
      </c>
      <c r="S687" s="6">
        <v>0</v>
      </c>
      <c r="T687" s="6">
        <v>29</v>
      </c>
      <c r="U687" s="6">
        <v>75</v>
      </c>
      <c r="V687" s="6">
        <f>IF(ISERROR(VLOOKUP($S$687,'TAR FIN'!$A$1:$O$115,15,0)),0,VLOOKUP($S$687,'TAR FIN'!$A$1:$O$115,15,0))</f>
        <v>0</v>
      </c>
      <c r="W687" s="6">
        <f>IF(ISERROR(VLOOKUP($T$687,'TAR FIN'!$A$1:$O$115,15,0)),0,VLOOKUP($T$687,'TAR FIN'!$A$1:$O$115,15,0))</f>
        <v>84.31</v>
      </c>
      <c r="X687" s="6">
        <f>IF(ISERROR(VLOOKUP($U$687,'TAR FIN'!$A$1:$O$115,15,0)),0,VLOOKUP($U$687,'TAR FIN'!$A$1:$O$115,15,0))</f>
        <v>168.06</v>
      </c>
      <c r="Y687" s="6"/>
      <c r="Z687" s="6">
        <f ca="1">('TUSD BE'!$AM$29+'TUSD BF'!$AM$29+'TUSD CVA'!$AM$29)*1</f>
        <v>113.43121292628391</v>
      </c>
      <c r="AA687" s="6">
        <f>('TE BE'!$AB$12+'TE BF'!$AB$12+'TE CVA'!$AB$12)*1</f>
        <v>218.6854278594964</v>
      </c>
      <c r="AB687" s="6">
        <f>$K$687*$V$687</f>
        <v>0</v>
      </c>
      <c r="AC687" s="6">
        <f>$M$687*$W$687</f>
        <v>141287.28817000001</v>
      </c>
      <c r="AD687" s="6">
        <f>$O$687*$X$687</f>
        <v>281636.12442000001</v>
      </c>
      <c r="AE687" s="6">
        <f>$K$687*$Y$687</f>
        <v>0</v>
      </c>
      <c r="AF687" s="6">
        <f ca="1">$M$687*$Z$687</f>
        <v>190088.82064035707</v>
      </c>
      <c r="AG687" s="6">
        <f>$O$687*$AA$687</f>
        <v>366474.57080493908</v>
      </c>
    </row>
    <row r="688" spans="1:33" ht="11.25" customHeight="1" x14ac:dyDescent="0.25">
      <c r="A688" s="4" t="s">
        <v>28</v>
      </c>
      <c r="B688" s="4" t="s">
        <v>41</v>
      </c>
      <c r="C688" s="4" t="s">
        <v>44</v>
      </c>
      <c r="D688" s="4" t="s">
        <v>40</v>
      </c>
      <c r="E688" s="4" t="s">
        <v>25</v>
      </c>
      <c r="F688" s="4" t="s">
        <v>25</v>
      </c>
      <c r="G688" s="4" t="s">
        <v>25</v>
      </c>
      <c r="H688" s="4" t="s">
        <v>37</v>
      </c>
      <c r="I688" s="5">
        <v>44774</v>
      </c>
      <c r="J688" s="6">
        <v>0</v>
      </c>
      <c r="K688" s="6">
        <v>0</v>
      </c>
      <c r="L688" s="6">
        <v>240.84200000000001</v>
      </c>
      <c r="M688" s="6">
        <v>240.84200000000001</v>
      </c>
      <c r="N688" s="6">
        <v>240.84200000000001</v>
      </c>
      <c r="O688" s="6">
        <v>240.84200000000001</v>
      </c>
      <c r="P688" s="6">
        <v>0</v>
      </c>
      <c r="Q688" s="4" t="s">
        <v>26</v>
      </c>
      <c r="R688" s="4">
        <v>0</v>
      </c>
      <c r="S688" s="6">
        <v>0</v>
      </c>
      <c r="T688" s="6">
        <v>29</v>
      </c>
      <c r="U688" s="6">
        <v>75</v>
      </c>
      <c r="V688" s="6">
        <f>IF(ISERROR(VLOOKUP($S$688,'TAR FIN'!$A$1:$O$115,15,0)),0,VLOOKUP($S$688,'TAR FIN'!$A$1:$O$115,15,0))</f>
        <v>0</v>
      </c>
      <c r="W688" s="6">
        <f>IF(ISERROR(VLOOKUP($T$688,'TAR FIN'!$A$1:$O$115,15,0)),0,VLOOKUP($T$688,'TAR FIN'!$A$1:$O$115,15,0))</f>
        <v>84.31</v>
      </c>
      <c r="X688" s="6">
        <f>IF(ISERROR(VLOOKUP($U$688,'TAR FIN'!$A$1:$O$115,15,0)),0,VLOOKUP($U$688,'TAR FIN'!$A$1:$O$115,15,0))</f>
        <v>168.06</v>
      </c>
      <c r="Y688" s="6"/>
      <c r="Z688" s="6">
        <f ca="1">('TUSD BE'!$AM$29+'TUSD BF'!$AM$29+'TUSD CVA'!$AM$29)*1</f>
        <v>113.43121292628391</v>
      </c>
      <c r="AA688" s="6">
        <f>('TE BE'!$AB$12+'TE BF'!$AB$12+'TE CVA'!$AB$12)*1</f>
        <v>218.6854278594964</v>
      </c>
      <c r="AB688" s="6">
        <f>$K$688*$V$688</f>
        <v>0</v>
      </c>
      <c r="AC688" s="6">
        <f>$M$688*$W$688</f>
        <v>20305.389020000002</v>
      </c>
      <c r="AD688" s="6">
        <f>$O$688*$X$688</f>
        <v>40475.906520000004</v>
      </c>
      <c r="AE688" s="6">
        <f>$K$688*$Y$688</f>
        <v>0</v>
      </c>
      <c r="AF688" s="6">
        <f ca="1">$M$688*$Z$688</f>
        <v>27319.00018359207</v>
      </c>
      <c r="AG688" s="6">
        <f>$O$688*$AA$688</f>
        <v>52668.635816536837</v>
      </c>
    </row>
    <row r="689" spans="1:33" ht="11.25" customHeight="1" x14ac:dyDescent="0.25">
      <c r="A689" s="4" t="s">
        <v>30</v>
      </c>
      <c r="B689" s="4" t="s">
        <v>41</v>
      </c>
      <c r="C689" s="4" t="s">
        <v>44</v>
      </c>
      <c r="D689" s="4" t="s">
        <v>40</v>
      </c>
      <c r="E689" s="4" t="s">
        <v>25</v>
      </c>
      <c r="F689" s="4" t="s">
        <v>25</v>
      </c>
      <c r="G689" s="4" t="s">
        <v>25</v>
      </c>
      <c r="H689" s="4" t="s">
        <v>37</v>
      </c>
      <c r="I689" s="5">
        <v>44774</v>
      </c>
      <c r="J689" s="6">
        <v>0</v>
      </c>
      <c r="K689" s="6">
        <v>0</v>
      </c>
      <c r="L689" s="6">
        <v>54.975999999999999</v>
      </c>
      <c r="M689" s="6">
        <v>54.975999999999999</v>
      </c>
      <c r="N689" s="6">
        <v>54.975999999999999</v>
      </c>
      <c r="O689" s="6">
        <v>54.975999999999999</v>
      </c>
      <c r="P689" s="6">
        <v>0</v>
      </c>
      <c r="Q689" s="4" t="s">
        <v>26</v>
      </c>
      <c r="R689" s="4">
        <v>0</v>
      </c>
      <c r="S689" s="6">
        <v>0</v>
      </c>
      <c r="T689" s="6">
        <v>29</v>
      </c>
      <c r="U689" s="6">
        <v>75</v>
      </c>
      <c r="V689" s="6">
        <f>IF(ISERROR(VLOOKUP($S$689,'TAR FIN'!$A$1:$O$115,15,0)),0,VLOOKUP($S$689,'TAR FIN'!$A$1:$O$115,15,0))</f>
        <v>0</v>
      </c>
      <c r="W689" s="6">
        <f>IF(ISERROR(VLOOKUP($T$689,'TAR FIN'!$A$1:$O$115,15,0)),0,VLOOKUP($T$689,'TAR FIN'!$A$1:$O$115,15,0))</f>
        <v>84.31</v>
      </c>
      <c r="X689" s="6">
        <f>IF(ISERROR(VLOOKUP($U$689,'TAR FIN'!$A$1:$O$115,15,0)),0,VLOOKUP($U$689,'TAR FIN'!$A$1:$O$115,15,0))</f>
        <v>168.06</v>
      </c>
      <c r="Y689" s="6"/>
      <c r="Z689" s="6">
        <f ca="1">('TUSD BE'!$AM$29+'TUSD BF'!$AM$29+'TUSD CVA'!$AM$29)*1</f>
        <v>113.43121292628391</v>
      </c>
      <c r="AA689" s="6">
        <f>('TE BE'!$AB$12+'TE BF'!$AB$12+'TE CVA'!$AB$12)*1</f>
        <v>218.6854278594964</v>
      </c>
      <c r="AB689" s="6">
        <f>$K$689*$V$689</f>
        <v>0</v>
      </c>
      <c r="AC689" s="6">
        <f>$M$689*$W$689</f>
        <v>4635.0265600000002</v>
      </c>
      <c r="AD689" s="6">
        <f>$O$689*$X$689</f>
        <v>9239.26656</v>
      </c>
      <c r="AE689" s="6">
        <f>$K$689*$Y$689</f>
        <v>0</v>
      </c>
      <c r="AF689" s="6">
        <f ca="1">$M$689*$Z$689</f>
        <v>6235.9943618353836</v>
      </c>
      <c r="AG689" s="6">
        <f>$O$689*$AA$689</f>
        <v>12022.450082003674</v>
      </c>
    </row>
    <row r="690" spans="1:33" ht="11.25" customHeight="1" x14ac:dyDescent="0.25">
      <c r="A690" s="4" t="s">
        <v>21</v>
      </c>
      <c r="B690" s="4" t="s">
        <v>41</v>
      </c>
      <c r="C690" s="4" t="s">
        <v>44</v>
      </c>
      <c r="D690" s="4" t="s">
        <v>40</v>
      </c>
      <c r="E690" s="4" t="s">
        <v>25</v>
      </c>
      <c r="F690" s="4" t="s">
        <v>25</v>
      </c>
      <c r="G690" s="4" t="s">
        <v>25</v>
      </c>
      <c r="H690" s="4" t="s">
        <v>37</v>
      </c>
      <c r="I690" s="5">
        <v>44805</v>
      </c>
      <c r="J690" s="6">
        <v>0</v>
      </c>
      <c r="K690" s="6">
        <v>0</v>
      </c>
      <c r="L690" s="6">
        <v>1623.4960000000001</v>
      </c>
      <c r="M690" s="6">
        <v>1623.4960000000001</v>
      </c>
      <c r="N690" s="6">
        <v>1623.4960000000001</v>
      </c>
      <c r="O690" s="6">
        <v>1623.4960000000001</v>
      </c>
      <c r="P690" s="6">
        <v>0</v>
      </c>
      <c r="Q690" s="4" t="s">
        <v>26</v>
      </c>
      <c r="R690" s="4">
        <v>0</v>
      </c>
      <c r="S690" s="6">
        <v>0</v>
      </c>
      <c r="T690" s="6">
        <v>29</v>
      </c>
      <c r="U690" s="6">
        <v>75</v>
      </c>
      <c r="V690" s="6">
        <f>IF(ISERROR(VLOOKUP($S$690,'TAR FIN'!$A$1:$O$115,15,0)),0,VLOOKUP($S$690,'TAR FIN'!$A$1:$O$115,15,0))</f>
        <v>0</v>
      </c>
      <c r="W690" s="6">
        <f>IF(ISERROR(VLOOKUP($T$690,'TAR FIN'!$A$1:$O$115,15,0)),0,VLOOKUP($T$690,'TAR FIN'!$A$1:$O$115,15,0))</f>
        <v>84.31</v>
      </c>
      <c r="X690" s="6">
        <f>IF(ISERROR(VLOOKUP($U$690,'TAR FIN'!$A$1:$O$115,15,0)),0,VLOOKUP($U$690,'TAR FIN'!$A$1:$O$115,15,0))</f>
        <v>168.06</v>
      </c>
      <c r="Y690" s="6"/>
      <c r="Z690" s="6">
        <f ca="1">('TUSD BE'!$AM$29+'TUSD BF'!$AM$29+'TUSD CVA'!$AM$29)*1</f>
        <v>113.43121292628391</v>
      </c>
      <c r="AA690" s="6">
        <f>('TE BE'!$AB$12+'TE BF'!$AB$12+'TE CVA'!$AB$12)*1</f>
        <v>218.6854278594964</v>
      </c>
      <c r="AB690" s="6">
        <f>$K$690*$V$690</f>
        <v>0</v>
      </c>
      <c r="AC690" s="6">
        <f>$M$690*$W$690</f>
        <v>136876.94776000001</v>
      </c>
      <c r="AD690" s="6">
        <f>$O$690*$X$690</f>
        <v>272844.73776000005</v>
      </c>
      <c r="AE690" s="6">
        <f>$K$690*$Y$690</f>
        <v>0</v>
      </c>
      <c r="AF690" s="6">
        <f ca="1">$M$690*$Z$690</f>
        <v>184155.12046097024</v>
      </c>
      <c r="AG690" s="6">
        <f>$O$690*$AA$690</f>
        <v>355034.91738818097</v>
      </c>
    </row>
    <row r="691" spans="1:33" ht="11.25" customHeight="1" x14ac:dyDescent="0.25">
      <c r="A691" s="4" t="s">
        <v>28</v>
      </c>
      <c r="B691" s="4" t="s">
        <v>41</v>
      </c>
      <c r="C691" s="4" t="s">
        <v>44</v>
      </c>
      <c r="D691" s="4" t="s">
        <v>40</v>
      </c>
      <c r="E691" s="4" t="s">
        <v>25</v>
      </c>
      <c r="F691" s="4" t="s">
        <v>25</v>
      </c>
      <c r="G691" s="4" t="s">
        <v>25</v>
      </c>
      <c r="H691" s="4" t="s">
        <v>37</v>
      </c>
      <c r="I691" s="5">
        <v>44805</v>
      </c>
      <c r="J691" s="6">
        <v>0</v>
      </c>
      <c r="K691" s="6">
        <v>0</v>
      </c>
      <c r="L691" s="6">
        <v>237.26900000000001</v>
      </c>
      <c r="M691" s="6">
        <v>237.26900000000001</v>
      </c>
      <c r="N691" s="6">
        <v>237.26900000000001</v>
      </c>
      <c r="O691" s="6">
        <v>237.26900000000001</v>
      </c>
      <c r="P691" s="6">
        <v>0</v>
      </c>
      <c r="Q691" s="4" t="s">
        <v>26</v>
      </c>
      <c r="R691" s="4">
        <v>0</v>
      </c>
      <c r="S691" s="6">
        <v>0</v>
      </c>
      <c r="T691" s="6">
        <v>29</v>
      </c>
      <c r="U691" s="6">
        <v>75</v>
      </c>
      <c r="V691" s="6">
        <f>IF(ISERROR(VLOOKUP($S$691,'TAR FIN'!$A$1:$O$115,15,0)),0,VLOOKUP($S$691,'TAR FIN'!$A$1:$O$115,15,0))</f>
        <v>0</v>
      </c>
      <c r="W691" s="6">
        <f>IF(ISERROR(VLOOKUP($T$691,'TAR FIN'!$A$1:$O$115,15,0)),0,VLOOKUP($T$691,'TAR FIN'!$A$1:$O$115,15,0))</f>
        <v>84.31</v>
      </c>
      <c r="X691" s="6">
        <f>IF(ISERROR(VLOOKUP($U$691,'TAR FIN'!$A$1:$O$115,15,0)),0,VLOOKUP($U$691,'TAR FIN'!$A$1:$O$115,15,0))</f>
        <v>168.06</v>
      </c>
      <c r="Y691" s="6"/>
      <c r="Z691" s="6">
        <f ca="1">('TUSD BE'!$AM$29+'TUSD BF'!$AM$29+'TUSD CVA'!$AM$29)*1</f>
        <v>113.43121292628391</v>
      </c>
      <c r="AA691" s="6">
        <f>('TE BE'!$AB$12+'TE BF'!$AB$12+'TE CVA'!$AB$12)*1</f>
        <v>218.6854278594964</v>
      </c>
      <c r="AB691" s="6">
        <f>$K$691*$V$691</f>
        <v>0</v>
      </c>
      <c r="AC691" s="6">
        <f>$M$691*$W$691</f>
        <v>20004.149390000002</v>
      </c>
      <c r="AD691" s="6">
        <f>$O$691*$X$691</f>
        <v>39875.428140000004</v>
      </c>
      <c r="AE691" s="6">
        <f>$K$691*$Y$691</f>
        <v>0</v>
      </c>
      <c r="AF691" s="6">
        <f ca="1">$M$691*$Z$691</f>
        <v>26913.710459806458</v>
      </c>
      <c r="AG691" s="6">
        <f>$O$691*$AA$691</f>
        <v>51887.272782794855</v>
      </c>
    </row>
    <row r="692" spans="1:33" ht="11.25" customHeight="1" x14ac:dyDescent="0.25">
      <c r="A692" s="4" t="s">
        <v>30</v>
      </c>
      <c r="B692" s="4" t="s">
        <v>41</v>
      </c>
      <c r="C692" s="4" t="s">
        <v>44</v>
      </c>
      <c r="D692" s="4" t="s">
        <v>40</v>
      </c>
      <c r="E692" s="4" t="s">
        <v>25</v>
      </c>
      <c r="F692" s="4" t="s">
        <v>25</v>
      </c>
      <c r="G692" s="4" t="s">
        <v>25</v>
      </c>
      <c r="H692" s="4" t="s">
        <v>37</v>
      </c>
      <c r="I692" s="5">
        <v>44805</v>
      </c>
      <c r="J692" s="6">
        <v>0</v>
      </c>
      <c r="K692" s="6">
        <v>0</v>
      </c>
      <c r="L692" s="6">
        <v>42.151000000000003</v>
      </c>
      <c r="M692" s="6">
        <v>42.151000000000003</v>
      </c>
      <c r="N692" s="6">
        <v>42.151000000000003</v>
      </c>
      <c r="O692" s="6">
        <v>42.151000000000003</v>
      </c>
      <c r="P692" s="6">
        <v>0</v>
      </c>
      <c r="Q692" s="4" t="s">
        <v>26</v>
      </c>
      <c r="R692" s="4">
        <v>0</v>
      </c>
      <c r="S692" s="6">
        <v>0</v>
      </c>
      <c r="T692" s="6">
        <v>29</v>
      </c>
      <c r="U692" s="6">
        <v>75</v>
      </c>
      <c r="V692" s="6">
        <f>IF(ISERROR(VLOOKUP($S$692,'TAR FIN'!$A$1:$O$115,15,0)),0,VLOOKUP($S$692,'TAR FIN'!$A$1:$O$115,15,0))</f>
        <v>0</v>
      </c>
      <c r="W692" s="6">
        <f>IF(ISERROR(VLOOKUP($T$692,'TAR FIN'!$A$1:$O$115,15,0)),0,VLOOKUP($T$692,'TAR FIN'!$A$1:$O$115,15,0))</f>
        <v>84.31</v>
      </c>
      <c r="X692" s="6">
        <f>IF(ISERROR(VLOOKUP($U$692,'TAR FIN'!$A$1:$O$115,15,0)),0,VLOOKUP($U$692,'TAR FIN'!$A$1:$O$115,15,0))</f>
        <v>168.06</v>
      </c>
      <c r="Y692" s="6"/>
      <c r="Z692" s="6">
        <f ca="1">('TUSD BE'!$AM$29+'TUSD BF'!$AM$29+'TUSD CVA'!$AM$29)*1</f>
        <v>113.43121292628391</v>
      </c>
      <c r="AA692" s="6">
        <f>('TE BE'!$AB$12+'TE BF'!$AB$12+'TE CVA'!$AB$12)*1</f>
        <v>218.6854278594964</v>
      </c>
      <c r="AB692" s="6">
        <f>$K$692*$V$692</f>
        <v>0</v>
      </c>
      <c r="AC692" s="6">
        <f>$M$692*$W$692</f>
        <v>3553.7508100000005</v>
      </c>
      <c r="AD692" s="6">
        <f>$O$692*$X$692</f>
        <v>7083.8970600000002</v>
      </c>
      <c r="AE692" s="6">
        <f>$K$692*$Y$692</f>
        <v>0</v>
      </c>
      <c r="AF692" s="6">
        <f ca="1">$M$692*$Z$692</f>
        <v>4781.2390560557933</v>
      </c>
      <c r="AG692" s="6">
        <f>$O$692*$AA$692</f>
        <v>9217.8094697056331</v>
      </c>
    </row>
    <row r="693" spans="1:33" ht="11.25" customHeight="1" x14ac:dyDescent="0.25">
      <c r="A693" s="4" t="s">
        <v>21</v>
      </c>
      <c r="B693" s="4" t="s">
        <v>41</v>
      </c>
      <c r="C693" s="4" t="s">
        <v>44</v>
      </c>
      <c r="D693" s="4" t="s">
        <v>40</v>
      </c>
      <c r="E693" s="4" t="s">
        <v>25</v>
      </c>
      <c r="F693" s="4" t="s">
        <v>25</v>
      </c>
      <c r="G693" s="4" t="s">
        <v>25</v>
      </c>
      <c r="H693" s="4" t="s">
        <v>37</v>
      </c>
      <c r="I693" s="5">
        <v>44835</v>
      </c>
      <c r="J693" s="6">
        <v>0</v>
      </c>
      <c r="K693" s="6">
        <v>0</v>
      </c>
      <c r="L693" s="6">
        <v>1670.6790000000001</v>
      </c>
      <c r="M693" s="6">
        <v>1670.6790000000001</v>
      </c>
      <c r="N693" s="6">
        <v>1670.6790000000001</v>
      </c>
      <c r="O693" s="6">
        <v>1670.6790000000001</v>
      </c>
      <c r="P693" s="6">
        <v>0</v>
      </c>
      <c r="Q693" s="4" t="s">
        <v>26</v>
      </c>
      <c r="R693" s="4">
        <v>0</v>
      </c>
      <c r="S693" s="6">
        <v>0</v>
      </c>
      <c r="T693" s="6">
        <v>29</v>
      </c>
      <c r="U693" s="6">
        <v>75</v>
      </c>
      <c r="V693" s="6">
        <f>IF(ISERROR(VLOOKUP($S$693,'TAR FIN'!$A$1:$O$115,15,0)),0,VLOOKUP($S$693,'TAR FIN'!$A$1:$O$115,15,0))</f>
        <v>0</v>
      </c>
      <c r="W693" s="6">
        <f>IF(ISERROR(VLOOKUP($T$693,'TAR FIN'!$A$1:$O$115,15,0)),0,VLOOKUP($T$693,'TAR FIN'!$A$1:$O$115,15,0))</f>
        <v>84.31</v>
      </c>
      <c r="X693" s="6">
        <f>IF(ISERROR(VLOOKUP($U$693,'TAR FIN'!$A$1:$O$115,15,0)),0,VLOOKUP($U$693,'TAR FIN'!$A$1:$O$115,15,0))</f>
        <v>168.06</v>
      </c>
      <c r="Y693" s="6"/>
      <c r="Z693" s="6">
        <f ca="1">('TUSD BE'!$AM$29+'TUSD BF'!$AM$29+'TUSD CVA'!$AM$29)*1</f>
        <v>113.43121292628391</v>
      </c>
      <c r="AA693" s="6">
        <f>('TE BE'!$AB$12+'TE BF'!$AB$12+'TE CVA'!$AB$12)*1</f>
        <v>218.6854278594964</v>
      </c>
      <c r="AB693" s="6">
        <f>$K$693*$V$693</f>
        <v>0</v>
      </c>
      <c r="AC693" s="6">
        <f>$M$693*$W$693</f>
        <v>140854.94649</v>
      </c>
      <c r="AD693" s="6">
        <f>$O$693*$X$693</f>
        <v>280774.31274000002</v>
      </c>
      <c r="AE693" s="6">
        <f>$K$693*$Y$693</f>
        <v>0</v>
      </c>
      <c r="AF693" s="6">
        <f ca="1">$M$693*$Z$693</f>
        <v>189507.14538047108</v>
      </c>
      <c r="AG693" s="6">
        <f>$O$693*$AA$693</f>
        <v>365353.15193087561</v>
      </c>
    </row>
    <row r="694" spans="1:33" ht="11.25" customHeight="1" x14ac:dyDescent="0.25">
      <c r="A694" s="4" t="s">
        <v>27</v>
      </c>
      <c r="B694" s="4" t="s">
        <v>41</v>
      </c>
      <c r="C694" s="4" t="s">
        <v>44</v>
      </c>
      <c r="D694" s="4" t="s">
        <v>40</v>
      </c>
      <c r="E694" s="4" t="s">
        <v>25</v>
      </c>
      <c r="F694" s="4" t="s">
        <v>25</v>
      </c>
      <c r="G694" s="4" t="s">
        <v>25</v>
      </c>
      <c r="H694" s="4" t="s">
        <v>37</v>
      </c>
      <c r="I694" s="5">
        <v>44835</v>
      </c>
      <c r="J694" s="6">
        <v>0</v>
      </c>
      <c r="K694" s="6">
        <v>0</v>
      </c>
      <c r="L694" s="6">
        <v>-28.119</v>
      </c>
      <c r="M694" s="6">
        <v>-28.119</v>
      </c>
      <c r="N694" s="6">
        <v>-28.119</v>
      </c>
      <c r="O694" s="6">
        <v>-28.119</v>
      </c>
      <c r="P694" s="6">
        <v>0</v>
      </c>
      <c r="Q694" s="4" t="s">
        <v>26</v>
      </c>
      <c r="R694" s="4">
        <v>0</v>
      </c>
      <c r="S694" s="6">
        <v>0</v>
      </c>
      <c r="T694" s="6">
        <v>29</v>
      </c>
      <c r="U694" s="6">
        <v>75</v>
      </c>
      <c r="V694" s="6">
        <f>IF(ISERROR(VLOOKUP($S$694,'TAR FIN'!$A$1:$O$115,15,0)),0,VLOOKUP($S$694,'TAR FIN'!$A$1:$O$115,15,0))</f>
        <v>0</v>
      </c>
      <c r="W694" s="6">
        <f>IF(ISERROR(VLOOKUP($T$694,'TAR FIN'!$A$1:$O$115,15,0)),0,VLOOKUP($T$694,'TAR FIN'!$A$1:$O$115,15,0))</f>
        <v>84.31</v>
      </c>
      <c r="X694" s="6">
        <f>IF(ISERROR(VLOOKUP($U$694,'TAR FIN'!$A$1:$O$115,15,0)),0,VLOOKUP($U$694,'TAR FIN'!$A$1:$O$115,15,0))</f>
        <v>168.06</v>
      </c>
      <c r="Y694" s="6"/>
      <c r="Z694" s="6">
        <f ca="1">('TUSD BE'!$AM$29+'TUSD BF'!$AM$29+'TUSD CVA'!$AM$29)*1</f>
        <v>113.43121292628391</v>
      </c>
      <c r="AA694" s="6">
        <f>('TE BE'!$AB$12+'TE BF'!$AB$12+'TE CVA'!$AB$12)*1</f>
        <v>218.6854278594964</v>
      </c>
      <c r="AB694" s="6">
        <f>$K$694*$V$694</f>
        <v>0</v>
      </c>
      <c r="AC694" s="6">
        <f>$M$694*$W$694</f>
        <v>-2370.7128900000002</v>
      </c>
      <c r="AD694" s="6">
        <f>$O$694*$X$694</f>
        <v>-4725.6791400000002</v>
      </c>
      <c r="AE694" s="6">
        <f>$K$694*$Y$694</f>
        <v>0</v>
      </c>
      <c r="AF694" s="6">
        <f ca="1">$M$694*$Z$694</f>
        <v>-3189.5722762741771</v>
      </c>
      <c r="AG694" s="6">
        <f>$O$694*$AA$694</f>
        <v>-6149.2155459811793</v>
      </c>
    </row>
    <row r="695" spans="1:33" ht="11.25" customHeight="1" x14ac:dyDescent="0.25">
      <c r="A695" s="4" t="s">
        <v>28</v>
      </c>
      <c r="B695" s="4" t="s">
        <v>41</v>
      </c>
      <c r="C695" s="4" t="s">
        <v>44</v>
      </c>
      <c r="D695" s="4" t="s">
        <v>40</v>
      </c>
      <c r="E695" s="4" t="s">
        <v>25</v>
      </c>
      <c r="F695" s="4" t="s">
        <v>25</v>
      </c>
      <c r="G695" s="4" t="s">
        <v>25</v>
      </c>
      <c r="H695" s="4" t="s">
        <v>37</v>
      </c>
      <c r="I695" s="5">
        <v>44835</v>
      </c>
      <c r="J695" s="6">
        <v>0</v>
      </c>
      <c r="K695" s="6">
        <v>0</v>
      </c>
      <c r="L695" s="6">
        <v>236.86600000000001</v>
      </c>
      <c r="M695" s="6">
        <v>236.86600000000001</v>
      </c>
      <c r="N695" s="6">
        <v>236.86600000000001</v>
      </c>
      <c r="O695" s="6">
        <v>236.86600000000001</v>
      </c>
      <c r="P695" s="6">
        <v>0</v>
      </c>
      <c r="Q695" s="4" t="s">
        <v>26</v>
      </c>
      <c r="R695" s="4">
        <v>0</v>
      </c>
      <c r="S695" s="6">
        <v>0</v>
      </c>
      <c r="T695" s="6">
        <v>29</v>
      </c>
      <c r="U695" s="6">
        <v>75</v>
      </c>
      <c r="V695" s="6">
        <f>IF(ISERROR(VLOOKUP($S$695,'TAR FIN'!$A$1:$O$115,15,0)),0,VLOOKUP($S$695,'TAR FIN'!$A$1:$O$115,15,0))</f>
        <v>0</v>
      </c>
      <c r="W695" s="6">
        <f>IF(ISERROR(VLOOKUP($T$695,'TAR FIN'!$A$1:$O$115,15,0)),0,VLOOKUP($T$695,'TAR FIN'!$A$1:$O$115,15,0))</f>
        <v>84.31</v>
      </c>
      <c r="X695" s="6">
        <f>IF(ISERROR(VLOOKUP($U$695,'TAR FIN'!$A$1:$O$115,15,0)),0,VLOOKUP($U$695,'TAR FIN'!$A$1:$O$115,15,0))</f>
        <v>168.06</v>
      </c>
      <c r="Y695" s="6"/>
      <c r="Z695" s="6">
        <f ca="1">('TUSD BE'!$AM$29+'TUSD BF'!$AM$29+'TUSD CVA'!$AM$29)*1</f>
        <v>113.43121292628391</v>
      </c>
      <c r="AA695" s="6">
        <f>('TE BE'!$AB$12+'TE BF'!$AB$12+'TE CVA'!$AB$12)*1</f>
        <v>218.6854278594964</v>
      </c>
      <c r="AB695" s="6">
        <f>$K$695*$V$695</f>
        <v>0</v>
      </c>
      <c r="AC695" s="6">
        <f>$M$695*$W$695</f>
        <v>19970.172460000002</v>
      </c>
      <c r="AD695" s="6">
        <f>$O$695*$X$695</f>
        <v>39807.699960000005</v>
      </c>
      <c r="AE695" s="6">
        <f>$K$695*$Y$695</f>
        <v>0</v>
      </c>
      <c r="AF695" s="6">
        <f ca="1">$M$695*$Z$695</f>
        <v>26867.997680997167</v>
      </c>
      <c r="AG695" s="6">
        <f>$O$695*$AA$695</f>
        <v>51799.142555367478</v>
      </c>
    </row>
    <row r="696" spans="1:33" ht="11.25" customHeight="1" x14ac:dyDescent="0.25">
      <c r="A696" s="4" t="s">
        <v>30</v>
      </c>
      <c r="B696" s="4" t="s">
        <v>41</v>
      </c>
      <c r="C696" s="4" t="s">
        <v>44</v>
      </c>
      <c r="D696" s="4" t="s">
        <v>40</v>
      </c>
      <c r="E696" s="4" t="s">
        <v>25</v>
      </c>
      <c r="F696" s="4" t="s">
        <v>25</v>
      </c>
      <c r="G696" s="4" t="s">
        <v>25</v>
      </c>
      <c r="H696" s="4" t="s">
        <v>37</v>
      </c>
      <c r="I696" s="5">
        <v>44835</v>
      </c>
      <c r="J696" s="6">
        <v>0</v>
      </c>
      <c r="K696" s="6">
        <v>0</v>
      </c>
      <c r="L696" s="6">
        <v>43.383000000000003</v>
      </c>
      <c r="M696" s="6">
        <v>43.383000000000003</v>
      </c>
      <c r="N696" s="6">
        <v>43.383000000000003</v>
      </c>
      <c r="O696" s="6">
        <v>43.383000000000003</v>
      </c>
      <c r="P696" s="6">
        <v>0</v>
      </c>
      <c r="Q696" s="4" t="s">
        <v>26</v>
      </c>
      <c r="R696" s="4">
        <v>0</v>
      </c>
      <c r="S696" s="6">
        <v>0</v>
      </c>
      <c r="T696" s="6">
        <v>29</v>
      </c>
      <c r="U696" s="6">
        <v>75</v>
      </c>
      <c r="V696" s="6">
        <f>IF(ISERROR(VLOOKUP($S$696,'TAR FIN'!$A$1:$O$115,15,0)),0,VLOOKUP($S$696,'TAR FIN'!$A$1:$O$115,15,0))</f>
        <v>0</v>
      </c>
      <c r="W696" s="6">
        <f>IF(ISERROR(VLOOKUP($T$696,'TAR FIN'!$A$1:$O$115,15,0)),0,VLOOKUP($T$696,'TAR FIN'!$A$1:$O$115,15,0))</f>
        <v>84.31</v>
      </c>
      <c r="X696" s="6">
        <f>IF(ISERROR(VLOOKUP($U$696,'TAR FIN'!$A$1:$O$115,15,0)),0,VLOOKUP($U$696,'TAR FIN'!$A$1:$O$115,15,0))</f>
        <v>168.06</v>
      </c>
      <c r="Y696" s="6"/>
      <c r="Z696" s="6">
        <f ca="1">('TUSD BE'!$AM$29+'TUSD BF'!$AM$29+'TUSD CVA'!$AM$29)*1</f>
        <v>113.43121292628391</v>
      </c>
      <c r="AA696" s="6">
        <f>('TE BE'!$AB$12+'TE BF'!$AB$12+'TE CVA'!$AB$12)*1</f>
        <v>218.6854278594964</v>
      </c>
      <c r="AB696" s="6">
        <f>$K$696*$V$696</f>
        <v>0</v>
      </c>
      <c r="AC696" s="6">
        <f>$M$696*$W$696</f>
        <v>3657.6207300000005</v>
      </c>
      <c r="AD696" s="6">
        <f>$O$696*$X$696</f>
        <v>7290.9469800000006</v>
      </c>
      <c r="AE696" s="6">
        <f>$K$696*$Y$696</f>
        <v>0</v>
      </c>
      <c r="AF696" s="6">
        <f ca="1">$M$696*$Z$696</f>
        <v>4920.9863103809748</v>
      </c>
      <c r="AG696" s="6">
        <f>$O$696*$AA$696</f>
        <v>9487.2299168285335</v>
      </c>
    </row>
    <row r="697" spans="1:33" ht="11.25" customHeight="1" x14ac:dyDescent="0.25">
      <c r="A697" s="4" t="s">
        <v>59</v>
      </c>
      <c r="B697" s="4" t="s">
        <v>41</v>
      </c>
      <c r="C697" s="4" t="s">
        <v>44</v>
      </c>
      <c r="D697" s="4" t="s">
        <v>40</v>
      </c>
      <c r="E697" s="4" t="s">
        <v>25</v>
      </c>
      <c r="F697" s="4" t="s">
        <v>25</v>
      </c>
      <c r="G697" s="4" t="s">
        <v>25</v>
      </c>
      <c r="H697" s="4" t="s">
        <v>37</v>
      </c>
      <c r="I697" s="5">
        <v>44866</v>
      </c>
      <c r="J697" s="6">
        <v>0</v>
      </c>
      <c r="K697" s="6">
        <v>0</v>
      </c>
      <c r="L697" s="6">
        <v>1670.6790000000001</v>
      </c>
      <c r="M697" s="6">
        <v>1670.6790000000001</v>
      </c>
      <c r="N697" s="6">
        <v>1670.6790000000001</v>
      </c>
      <c r="O697" s="6">
        <v>1670.6790000000001</v>
      </c>
      <c r="P697" s="6">
        <v>0</v>
      </c>
      <c r="Q697" s="4" t="s">
        <v>26</v>
      </c>
      <c r="R697" s="4">
        <v>0</v>
      </c>
      <c r="S697" s="6">
        <v>0</v>
      </c>
      <c r="T697" s="6">
        <v>29</v>
      </c>
      <c r="U697" s="6">
        <v>75</v>
      </c>
      <c r="V697" s="6">
        <f>IF(ISERROR(VLOOKUP($S$697,'TAR FIN'!$A$1:$O$115,15,0)),0,VLOOKUP($S$697,'TAR FIN'!$A$1:$O$115,15,0))</f>
        <v>0</v>
      </c>
      <c r="W697" s="6">
        <f>IF(ISERROR(VLOOKUP($T$697,'TAR FIN'!$A$1:$O$115,15,0)),0,VLOOKUP($T$697,'TAR FIN'!$A$1:$O$115,15,0))</f>
        <v>84.31</v>
      </c>
      <c r="X697" s="6">
        <f>IF(ISERROR(VLOOKUP($U$697,'TAR FIN'!$A$1:$O$115,15,0)),0,VLOOKUP($U$697,'TAR FIN'!$A$1:$O$115,15,0))</f>
        <v>168.06</v>
      </c>
      <c r="Y697" s="6"/>
      <c r="Z697" s="6">
        <f ca="1">('TUSD BE'!$AM$29+'TUSD BF'!$AM$29+'TUSD CVA'!$AM$29)*1</f>
        <v>113.43121292628391</v>
      </c>
      <c r="AA697" s="6">
        <f>('TE BE'!$AB$12+'TE BF'!$AB$12+'TE CVA'!$AB$12)*1</f>
        <v>218.6854278594964</v>
      </c>
      <c r="AB697" s="6">
        <f>$K$697*$V$697</f>
        <v>0</v>
      </c>
      <c r="AC697" s="6">
        <f>$M$697*$W$697</f>
        <v>140854.94649</v>
      </c>
      <c r="AD697" s="6">
        <f>$O$697*$X$697</f>
        <v>280774.31274000002</v>
      </c>
      <c r="AE697" s="6">
        <f>$K$697*$Y$697</f>
        <v>0</v>
      </c>
      <c r="AF697" s="6">
        <f ca="1">$M$697*$Z$697</f>
        <v>189507.14538047108</v>
      </c>
      <c r="AG697" s="6">
        <f>$O$697*$AA$697</f>
        <v>365353.15193087561</v>
      </c>
    </row>
    <row r="698" spans="1:33" ht="11.25" customHeight="1" x14ac:dyDescent="0.25">
      <c r="A698" s="4" t="s">
        <v>59</v>
      </c>
      <c r="B698" s="4" t="s">
        <v>41</v>
      </c>
      <c r="C698" s="4" t="s">
        <v>44</v>
      </c>
      <c r="D698" s="4" t="s">
        <v>40</v>
      </c>
      <c r="E698" s="4" t="s">
        <v>25</v>
      </c>
      <c r="F698" s="4" t="s">
        <v>25</v>
      </c>
      <c r="G698" s="4" t="s">
        <v>25</v>
      </c>
      <c r="H698" s="4" t="s">
        <v>37</v>
      </c>
      <c r="I698" s="5">
        <v>44866</v>
      </c>
      <c r="J698" s="6">
        <v>0</v>
      </c>
      <c r="K698" s="6">
        <v>0</v>
      </c>
      <c r="L698" s="6">
        <v>-28.119</v>
      </c>
      <c r="M698" s="6">
        <v>-28.119</v>
      </c>
      <c r="N698" s="6">
        <v>-28.119</v>
      </c>
      <c r="O698" s="6">
        <v>-28.119</v>
      </c>
      <c r="P698" s="6">
        <v>0</v>
      </c>
      <c r="Q698" s="4" t="s">
        <v>26</v>
      </c>
      <c r="R698" s="4">
        <v>0</v>
      </c>
      <c r="S698" s="6">
        <v>0</v>
      </c>
      <c r="T698" s="6">
        <v>29</v>
      </c>
      <c r="U698" s="6">
        <v>75</v>
      </c>
      <c r="V698" s="6">
        <f>IF(ISERROR(VLOOKUP($S$698,'TAR FIN'!$A$1:$O$115,15,0)),0,VLOOKUP($S$698,'TAR FIN'!$A$1:$O$115,15,0))</f>
        <v>0</v>
      </c>
      <c r="W698" s="6">
        <f>IF(ISERROR(VLOOKUP($T$698,'TAR FIN'!$A$1:$O$115,15,0)),0,VLOOKUP($T$698,'TAR FIN'!$A$1:$O$115,15,0))</f>
        <v>84.31</v>
      </c>
      <c r="X698" s="6">
        <f>IF(ISERROR(VLOOKUP($U$698,'TAR FIN'!$A$1:$O$115,15,0)),0,VLOOKUP($U$698,'TAR FIN'!$A$1:$O$115,15,0))</f>
        <v>168.06</v>
      </c>
      <c r="Y698" s="6"/>
      <c r="Z698" s="6">
        <f ca="1">('TUSD BE'!$AM$29+'TUSD BF'!$AM$29+'TUSD CVA'!$AM$29)*1</f>
        <v>113.43121292628391</v>
      </c>
      <c r="AA698" s="6">
        <f>('TE BE'!$AB$12+'TE BF'!$AB$12+'TE CVA'!$AB$12)*1</f>
        <v>218.6854278594964</v>
      </c>
      <c r="AB698" s="6">
        <f>$K$698*$V$698</f>
        <v>0</v>
      </c>
      <c r="AC698" s="6">
        <f>$M$698*$W$698</f>
        <v>-2370.7128900000002</v>
      </c>
      <c r="AD698" s="6">
        <f>$O$698*$X$698</f>
        <v>-4725.6791400000002</v>
      </c>
      <c r="AE698" s="6">
        <f>$K$698*$Y$698</f>
        <v>0</v>
      </c>
      <c r="AF698" s="6">
        <f ca="1">$M$698*$Z$698</f>
        <v>-3189.5722762741771</v>
      </c>
      <c r="AG698" s="6">
        <f>$O$698*$AA$698</f>
        <v>-6149.2155459811793</v>
      </c>
    </row>
    <row r="699" spans="1:33" ht="11.25" customHeight="1" x14ac:dyDescent="0.25">
      <c r="A699" s="4" t="s">
        <v>59</v>
      </c>
      <c r="B699" s="4" t="s">
        <v>41</v>
      </c>
      <c r="C699" s="4" t="s">
        <v>44</v>
      </c>
      <c r="D699" s="4" t="s">
        <v>40</v>
      </c>
      <c r="E699" s="4" t="s">
        <v>25</v>
      </c>
      <c r="F699" s="4" t="s">
        <v>25</v>
      </c>
      <c r="G699" s="4" t="s">
        <v>25</v>
      </c>
      <c r="H699" s="4" t="s">
        <v>37</v>
      </c>
      <c r="I699" s="5">
        <v>44866</v>
      </c>
      <c r="J699" s="6">
        <v>0</v>
      </c>
      <c r="K699" s="6">
        <v>0</v>
      </c>
      <c r="L699" s="6">
        <v>236.86600000000001</v>
      </c>
      <c r="M699" s="6">
        <v>236.86600000000001</v>
      </c>
      <c r="N699" s="6">
        <v>236.86600000000001</v>
      </c>
      <c r="O699" s="6">
        <v>236.86600000000001</v>
      </c>
      <c r="P699" s="6">
        <v>0</v>
      </c>
      <c r="Q699" s="4" t="s">
        <v>26</v>
      </c>
      <c r="R699" s="4">
        <v>0</v>
      </c>
      <c r="S699" s="6">
        <v>0</v>
      </c>
      <c r="T699" s="6">
        <v>29</v>
      </c>
      <c r="U699" s="6">
        <v>75</v>
      </c>
      <c r="V699" s="6">
        <f>IF(ISERROR(VLOOKUP($S$699,'TAR FIN'!$A$1:$O$115,15,0)),0,VLOOKUP($S$699,'TAR FIN'!$A$1:$O$115,15,0))</f>
        <v>0</v>
      </c>
      <c r="W699" s="6">
        <f>IF(ISERROR(VLOOKUP($T$699,'TAR FIN'!$A$1:$O$115,15,0)),0,VLOOKUP($T$699,'TAR FIN'!$A$1:$O$115,15,0))</f>
        <v>84.31</v>
      </c>
      <c r="X699" s="6">
        <f>IF(ISERROR(VLOOKUP($U$699,'TAR FIN'!$A$1:$O$115,15,0)),0,VLOOKUP($U$699,'TAR FIN'!$A$1:$O$115,15,0))</f>
        <v>168.06</v>
      </c>
      <c r="Y699" s="6"/>
      <c r="Z699" s="6">
        <f ca="1">('TUSD BE'!$AM$29+'TUSD BF'!$AM$29+'TUSD CVA'!$AM$29)*1</f>
        <v>113.43121292628391</v>
      </c>
      <c r="AA699" s="6">
        <f>('TE BE'!$AB$12+'TE BF'!$AB$12+'TE CVA'!$AB$12)*1</f>
        <v>218.6854278594964</v>
      </c>
      <c r="AB699" s="6">
        <f>$K$699*$V$699</f>
        <v>0</v>
      </c>
      <c r="AC699" s="6">
        <f>$M$699*$W$699</f>
        <v>19970.172460000002</v>
      </c>
      <c r="AD699" s="6">
        <f>$O$699*$X$699</f>
        <v>39807.699960000005</v>
      </c>
      <c r="AE699" s="6">
        <f>$K$699*$Y$699</f>
        <v>0</v>
      </c>
      <c r="AF699" s="6">
        <f ca="1">$M$699*$Z$699</f>
        <v>26867.997680997167</v>
      </c>
      <c r="AG699" s="6">
        <f>$O$699*$AA$699</f>
        <v>51799.142555367478</v>
      </c>
    </row>
    <row r="700" spans="1:33" ht="11.25" customHeight="1" x14ac:dyDescent="0.25">
      <c r="A700" s="4" t="s">
        <v>59</v>
      </c>
      <c r="B700" s="4" t="s">
        <v>41</v>
      </c>
      <c r="C700" s="4" t="s">
        <v>44</v>
      </c>
      <c r="D700" s="4" t="s">
        <v>40</v>
      </c>
      <c r="E700" s="4" t="s">
        <v>25</v>
      </c>
      <c r="F700" s="4" t="s">
        <v>25</v>
      </c>
      <c r="G700" s="4" t="s">
        <v>25</v>
      </c>
      <c r="H700" s="4" t="s">
        <v>37</v>
      </c>
      <c r="I700" s="5">
        <v>44866</v>
      </c>
      <c r="J700" s="6">
        <v>0</v>
      </c>
      <c r="K700" s="6">
        <v>0</v>
      </c>
      <c r="L700" s="6">
        <v>43.383000000000003</v>
      </c>
      <c r="M700" s="6">
        <v>43.383000000000003</v>
      </c>
      <c r="N700" s="6">
        <v>43.383000000000003</v>
      </c>
      <c r="O700" s="6">
        <v>43.383000000000003</v>
      </c>
      <c r="P700" s="6">
        <v>0</v>
      </c>
      <c r="Q700" s="4" t="s">
        <v>26</v>
      </c>
      <c r="R700" s="4">
        <v>0</v>
      </c>
      <c r="S700" s="6">
        <v>0</v>
      </c>
      <c r="T700" s="6">
        <v>29</v>
      </c>
      <c r="U700" s="6">
        <v>75</v>
      </c>
      <c r="V700" s="6">
        <f>IF(ISERROR(VLOOKUP($S$700,'TAR FIN'!$A$1:$O$115,15,0)),0,VLOOKUP($S$700,'TAR FIN'!$A$1:$O$115,15,0))</f>
        <v>0</v>
      </c>
      <c r="W700" s="6">
        <f>IF(ISERROR(VLOOKUP($T$700,'TAR FIN'!$A$1:$O$115,15,0)),0,VLOOKUP($T$700,'TAR FIN'!$A$1:$O$115,15,0))</f>
        <v>84.31</v>
      </c>
      <c r="X700" s="6">
        <f>IF(ISERROR(VLOOKUP($U$700,'TAR FIN'!$A$1:$O$115,15,0)),0,VLOOKUP($U$700,'TAR FIN'!$A$1:$O$115,15,0))</f>
        <v>168.06</v>
      </c>
      <c r="Y700" s="6"/>
      <c r="Z700" s="6">
        <f ca="1">('TUSD BE'!$AM$29+'TUSD BF'!$AM$29+'TUSD CVA'!$AM$29)*1</f>
        <v>113.43121292628391</v>
      </c>
      <c r="AA700" s="6">
        <f>('TE BE'!$AB$12+'TE BF'!$AB$12+'TE CVA'!$AB$12)*1</f>
        <v>218.6854278594964</v>
      </c>
      <c r="AB700" s="6">
        <f>$K$700*$V$700</f>
        <v>0</v>
      </c>
      <c r="AC700" s="6">
        <f>$M$700*$W$700</f>
        <v>3657.6207300000005</v>
      </c>
      <c r="AD700" s="6">
        <f>$O$700*$X$700</f>
        <v>7290.9469800000006</v>
      </c>
      <c r="AE700" s="6">
        <f>$K$700*$Y$700</f>
        <v>0</v>
      </c>
      <c r="AF700" s="6">
        <f ca="1">$M$700*$Z$700</f>
        <v>4920.9863103809748</v>
      </c>
      <c r="AG700" s="6">
        <f>$O$700*$AA$700</f>
        <v>9487.2299168285335</v>
      </c>
    </row>
    <row r="701" spans="1:33" ht="11.25" customHeight="1" x14ac:dyDescent="0.25">
      <c r="A701" s="4" t="s">
        <v>21</v>
      </c>
      <c r="B701" s="4" t="s">
        <v>41</v>
      </c>
      <c r="C701" s="4" t="s">
        <v>44</v>
      </c>
      <c r="D701" s="4" t="s">
        <v>40</v>
      </c>
      <c r="E701" s="4" t="s">
        <v>25</v>
      </c>
      <c r="F701" s="4" t="s">
        <v>25</v>
      </c>
      <c r="G701" s="4" t="s">
        <v>25</v>
      </c>
      <c r="H701" s="4" t="s">
        <v>25</v>
      </c>
      <c r="I701" s="5">
        <v>44531</v>
      </c>
      <c r="J701" s="6">
        <v>10912</v>
      </c>
      <c r="K701" s="6">
        <v>10912</v>
      </c>
      <c r="L701" s="6">
        <v>0</v>
      </c>
      <c r="M701" s="6">
        <v>0</v>
      </c>
      <c r="N701" s="6">
        <v>0</v>
      </c>
      <c r="O701" s="6">
        <v>0</v>
      </c>
      <c r="P701" s="6">
        <v>61</v>
      </c>
      <c r="Q701" s="4" t="s">
        <v>26</v>
      </c>
      <c r="R701" s="4">
        <v>0</v>
      </c>
      <c r="S701" s="6">
        <v>27</v>
      </c>
      <c r="T701" s="6">
        <v>0</v>
      </c>
      <c r="U701" s="6">
        <v>0</v>
      </c>
      <c r="V701" s="6">
        <f>IF(ISERROR(VLOOKUP($S$701,'TAR FIN'!$A$1:$O$115,15,0)),0,VLOOKUP($S$701,'TAR FIN'!$A$1:$O$115,15,0))</f>
        <v>19.8</v>
      </c>
      <c r="W701" s="6">
        <f>IF(ISERROR(VLOOKUP($T$701,'TAR FIN'!$A$1:$O$115,15,0)),0,VLOOKUP($T$701,'TAR FIN'!$A$1:$O$115,15,0))</f>
        <v>0</v>
      </c>
      <c r="X701" s="6">
        <f>IF(ISERROR(VLOOKUP($U$701,'TAR FIN'!$A$1:$O$115,15,0)),0,VLOOKUP($U$701,'TAR FIN'!$A$1:$O$115,15,0))</f>
        <v>0</v>
      </c>
      <c r="Y701" s="6">
        <f ca="1">('TUSD BE'!$AM$27+'TUSD BF'!$AM$27+'TUSD CVA'!$AM$27)*1</f>
        <v>20.615214330225772</v>
      </c>
      <c r="Z701" s="6"/>
      <c r="AA701" s="6"/>
      <c r="AB701" s="6">
        <f>$K$701*$V$701</f>
        <v>216057.60000000001</v>
      </c>
      <c r="AC701" s="6">
        <f>$M$701*$W$701</f>
        <v>0</v>
      </c>
      <c r="AD701" s="6">
        <f>$O$701*$X$701</f>
        <v>0</v>
      </c>
      <c r="AE701" s="6">
        <f ca="1">$K$701*$Y$701</f>
        <v>224953.21877142362</v>
      </c>
      <c r="AF701" s="6">
        <f>$M$701*$Z$701</f>
        <v>0</v>
      </c>
      <c r="AG701" s="6">
        <f>$O$701*$AA$701</f>
        <v>0</v>
      </c>
    </row>
    <row r="702" spans="1:33" ht="11.25" customHeight="1" x14ac:dyDescent="0.25">
      <c r="A702" s="4" t="s">
        <v>28</v>
      </c>
      <c r="B702" s="4" t="s">
        <v>41</v>
      </c>
      <c r="C702" s="4" t="s">
        <v>44</v>
      </c>
      <c r="D702" s="4" t="s">
        <v>40</v>
      </c>
      <c r="E702" s="4" t="s">
        <v>25</v>
      </c>
      <c r="F702" s="4" t="s">
        <v>25</v>
      </c>
      <c r="G702" s="4" t="s">
        <v>25</v>
      </c>
      <c r="H702" s="4" t="s">
        <v>25</v>
      </c>
      <c r="I702" s="5">
        <v>44531</v>
      </c>
      <c r="J702" s="6">
        <v>1596</v>
      </c>
      <c r="K702" s="6">
        <v>1596</v>
      </c>
      <c r="L702" s="6">
        <v>0</v>
      </c>
      <c r="M702" s="6">
        <v>0</v>
      </c>
      <c r="N702" s="6">
        <v>0</v>
      </c>
      <c r="O702" s="6">
        <v>0</v>
      </c>
      <c r="P702" s="6">
        <v>14</v>
      </c>
      <c r="Q702" s="4" t="s">
        <v>26</v>
      </c>
      <c r="R702" s="4">
        <v>0</v>
      </c>
      <c r="S702" s="6">
        <v>27</v>
      </c>
      <c r="T702" s="6">
        <v>0</v>
      </c>
      <c r="U702" s="6">
        <v>0</v>
      </c>
      <c r="V702" s="6">
        <f>IF(ISERROR(VLOOKUP($S$702,'TAR FIN'!$A$1:$O$115,15,0)),0,VLOOKUP($S$702,'TAR FIN'!$A$1:$O$115,15,0))</f>
        <v>19.8</v>
      </c>
      <c r="W702" s="6">
        <f>IF(ISERROR(VLOOKUP($T$702,'TAR FIN'!$A$1:$O$115,15,0)),0,VLOOKUP($T$702,'TAR FIN'!$A$1:$O$115,15,0))</f>
        <v>0</v>
      </c>
      <c r="X702" s="6">
        <f>IF(ISERROR(VLOOKUP($U$702,'TAR FIN'!$A$1:$O$115,15,0)),0,VLOOKUP($U$702,'TAR FIN'!$A$1:$O$115,15,0))</f>
        <v>0</v>
      </c>
      <c r="Y702" s="6">
        <f ca="1">('TUSD BE'!$AM$27+'TUSD BF'!$AM$27+'TUSD CVA'!$AM$27)*1</f>
        <v>20.615214330225772</v>
      </c>
      <c r="Z702" s="6"/>
      <c r="AA702" s="6"/>
      <c r="AB702" s="6">
        <f>$K$702*$V$702</f>
        <v>31600.800000000003</v>
      </c>
      <c r="AC702" s="6">
        <f>$M$702*$W$702</f>
        <v>0</v>
      </c>
      <c r="AD702" s="6">
        <f>$O$702*$X$702</f>
        <v>0</v>
      </c>
      <c r="AE702" s="6">
        <f ca="1">$K$702*$Y$702</f>
        <v>32901.882071040331</v>
      </c>
      <c r="AF702" s="6">
        <f>$M$702*$Z$702</f>
        <v>0</v>
      </c>
      <c r="AG702" s="6">
        <f>$O$702*$AA$702</f>
        <v>0</v>
      </c>
    </row>
    <row r="703" spans="1:33" ht="11.25" customHeight="1" x14ac:dyDescent="0.25">
      <c r="A703" s="4" t="s">
        <v>30</v>
      </c>
      <c r="B703" s="4" t="s">
        <v>41</v>
      </c>
      <c r="C703" s="4" t="s">
        <v>44</v>
      </c>
      <c r="D703" s="4" t="s">
        <v>40</v>
      </c>
      <c r="E703" s="4" t="s">
        <v>25</v>
      </c>
      <c r="F703" s="4" t="s">
        <v>25</v>
      </c>
      <c r="G703" s="4" t="s">
        <v>25</v>
      </c>
      <c r="H703" s="4" t="s">
        <v>25</v>
      </c>
      <c r="I703" s="5">
        <v>44531</v>
      </c>
      <c r="J703" s="6">
        <v>391</v>
      </c>
      <c r="K703" s="6">
        <v>391</v>
      </c>
      <c r="L703" s="6">
        <v>0</v>
      </c>
      <c r="M703" s="6">
        <v>0</v>
      </c>
      <c r="N703" s="6">
        <v>0</v>
      </c>
      <c r="O703" s="6">
        <v>0</v>
      </c>
      <c r="P703" s="6">
        <v>3</v>
      </c>
      <c r="Q703" s="4" t="s">
        <v>26</v>
      </c>
      <c r="R703" s="4">
        <v>0</v>
      </c>
      <c r="S703" s="6">
        <v>27</v>
      </c>
      <c r="T703" s="6">
        <v>0</v>
      </c>
      <c r="U703" s="6">
        <v>0</v>
      </c>
      <c r="V703" s="6">
        <f>IF(ISERROR(VLOOKUP($S$703,'TAR FIN'!$A$1:$O$115,15,0)),0,VLOOKUP($S$703,'TAR FIN'!$A$1:$O$115,15,0))</f>
        <v>19.8</v>
      </c>
      <c r="W703" s="6">
        <f>IF(ISERROR(VLOOKUP($T$703,'TAR FIN'!$A$1:$O$115,15,0)),0,VLOOKUP($T$703,'TAR FIN'!$A$1:$O$115,15,0))</f>
        <v>0</v>
      </c>
      <c r="X703" s="6">
        <f>IF(ISERROR(VLOOKUP($U$703,'TAR FIN'!$A$1:$O$115,15,0)),0,VLOOKUP($U$703,'TAR FIN'!$A$1:$O$115,15,0))</f>
        <v>0</v>
      </c>
      <c r="Y703" s="6">
        <f ca="1">('TUSD BE'!$AM$27+'TUSD BF'!$AM$27+'TUSD CVA'!$AM$27)*1</f>
        <v>20.615214330225772</v>
      </c>
      <c r="Z703" s="6"/>
      <c r="AA703" s="6"/>
      <c r="AB703" s="6">
        <f>$K$703*$V$703</f>
        <v>7741.8</v>
      </c>
      <c r="AC703" s="6">
        <f>$M$703*$W$703</f>
        <v>0</v>
      </c>
      <c r="AD703" s="6">
        <f>$O$703*$X$703</f>
        <v>0</v>
      </c>
      <c r="AE703" s="6">
        <f ca="1">$K$703*$Y$703</f>
        <v>8060.5488031182767</v>
      </c>
      <c r="AF703" s="6">
        <f>$M$703*$Z$703</f>
        <v>0</v>
      </c>
      <c r="AG703" s="6">
        <f>$O$703*$AA$703</f>
        <v>0</v>
      </c>
    </row>
    <row r="704" spans="1:33" ht="11.25" customHeight="1" x14ac:dyDescent="0.25">
      <c r="A704" s="4" t="s">
        <v>21</v>
      </c>
      <c r="B704" s="4" t="s">
        <v>41</v>
      </c>
      <c r="C704" s="4" t="s">
        <v>44</v>
      </c>
      <c r="D704" s="4" t="s">
        <v>40</v>
      </c>
      <c r="E704" s="4" t="s">
        <v>25</v>
      </c>
      <c r="F704" s="4" t="s">
        <v>25</v>
      </c>
      <c r="G704" s="4" t="s">
        <v>25</v>
      </c>
      <c r="H704" s="4" t="s">
        <v>25</v>
      </c>
      <c r="I704" s="5">
        <v>44562</v>
      </c>
      <c r="J704" s="6">
        <v>10468</v>
      </c>
      <c r="K704" s="6">
        <v>10468</v>
      </c>
      <c r="L704" s="6">
        <v>0</v>
      </c>
      <c r="M704" s="6">
        <v>0</v>
      </c>
      <c r="N704" s="6">
        <v>0</v>
      </c>
      <c r="O704" s="6">
        <v>0</v>
      </c>
      <c r="P704" s="6">
        <v>61</v>
      </c>
      <c r="Q704" s="4" t="s">
        <v>26</v>
      </c>
      <c r="R704" s="4">
        <v>0</v>
      </c>
      <c r="S704" s="6">
        <v>27</v>
      </c>
      <c r="T704" s="6">
        <v>0</v>
      </c>
      <c r="U704" s="6">
        <v>0</v>
      </c>
      <c r="V704" s="6">
        <f>IF(ISERROR(VLOOKUP($S$704,'TAR FIN'!$A$1:$O$115,15,0)),0,VLOOKUP($S$704,'TAR FIN'!$A$1:$O$115,15,0))</f>
        <v>19.8</v>
      </c>
      <c r="W704" s="6">
        <f>IF(ISERROR(VLOOKUP($T$704,'TAR FIN'!$A$1:$O$115,15,0)),0,VLOOKUP($T$704,'TAR FIN'!$A$1:$O$115,15,0))</f>
        <v>0</v>
      </c>
      <c r="X704" s="6">
        <f>IF(ISERROR(VLOOKUP($U$704,'TAR FIN'!$A$1:$O$115,15,0)),0,VLOOKUP($U$704,'TAR FIN'!$A$1:$O$115,15,0))</f>
        <v>0</v>
      </c>
      <c r="Y704" s="6">
        <f ca="1">('TUSD BE'!$AM$27+'TUSD BF'!$AM$27+'TUSD CVA'!$AM$27)*1</f>
        <v>20.615214330225772</v>
      </c>
      <c r="Z704" s="6"/>
      <c r="AA704" s="6"/>
      <c r="AB704" s="6">
        <f>$K$704*$V$704</f>
        <v>207266.4</v>
      </c>
      <c r="AC704" s="6">
        <f>$M$704*$W$704</f>
        <v>0</v>
      </c>
      <c r="AD704" s="6">
        <f>$O$704*$X$704</f>
        <v>0</v>
      </c>
      <c r="AE704" s="6">
        <f ca="1">$K$704*$Y$704</f>
        <v>215800.06360880338</v>
      </c>
      <c r="AF704" s="6">
        <f>$M$704*$Z$704</f>
        <v>0</v>
      </c>
      <c r="AG704" s="6">
        <f>$O$704*$AA$704</f>
        <v>0</v>
      </c>
    </row>
    <row r="705" spans="1:33" ht="11.25" customHeight="1" x14ac:dyDescent="0.25">
      <c r="A705" s="4" t="s">
        <v>28</v>
      </c>
      <c r="B705" s="4" t="s">
        <v>41</v>
      </c>
      <c r="C705" s="4" t="s">
        <v>44</v>
      </c>
      <c r="D705" s="4" t="s">
        <v>40</v>
      </c>
      <c r="E705" s="4" t="s">
        <v>25</v>
      </c>
      <c r="F705" s="4" t="s">
        <v>25</v>
      </c>
      <c r="G705" s="4" t="s">
        <v>25</v>
      </c>
      <c r="H705" s="4" t="s">
        <v>25</v>
      </c>
      <c r="I705" s="5">
        <v>44562</v>
      </c>
      <c r="J705" s="6">
        <v>1570</v>
      </c>
      <c r="K705" s="6">
        <v>1570</v>
      </c>
      <c r="L705" s="6">
        <v>0</v>
      </c>
      <c r="M705" s="6">
        <v>0</v>
      </c>
      <c r="N705" s="6">
        <v>0</v>
      </c>
      <c r="O705" s="6">
        <v>0</v>
      </c>
      <c r="P705" s="6">
        <v>15</v>
      </c>
      <c r="Q705" s="4" t="s">
        <v>26</v>
      </c>
      <c r="R705" s="4">
        <v>0</v>
      </c>
      <c r="S705" s="6">
        <v>27</v>
      </c>
      <c r="T705" s="6">
        <v>0</v>
      </c>
      <c r="U705" s="6">
        <v>0</v>
      </c>
      <c r="V705" s="6">
        <f>IF(ISERROR(VLOOKUP($S$705,'TAR FIN'!$A$1:$O$115,15,0)),0,VLOOKUP($S$705,'TAR FIN'!$A$1:$O$115,15,0))</f>
        <v>19.8</v>
      </c>
      <c r="W705" s="6">
        <f>IF(ISERROR(VLOOKUP($T$705,'TAR FIN'!$A$1:$O$115,15,0)),0,VLOOKUP($T$705,'TAR FIN'!$A$1:$O$115,15,0))</f>
        <v>0</v>
      </c>
      <c r="X705" s="6">
        <f>IF(ISERROR(VLOOKUP($U$705,'TAR FIN'!$A$1:$O$115,15,0)),0,VLOOKUP($U$705,'TAR FIN'!$A$1:$O$115,15,0))</f>
        <v>0</v>
      </c>
      <c r="Y705" s="6">
        <f ca="1">('TUSD BE'!$AM$27+'TUSD BF'!$AM$27+'TUSD CVA'!$AM$27)*1</f>
        <v>20.615214330225772</v>
      </c>
      <c r="Z705" s="6"/>
      <c r="AA705" s="6"/>
      <c r="AB705" s="6">
        <f>$K$705*$V$705</f>
        <v>31086</v>
      </c>
      <c r="AC705" s="6">
        <f>$M$705*$W$705</f>
        <v>0</v>
      </c>
      <c r="AD705" s="6">
        <f>$O$705*$X$705</f>
        <v>0</v>
      </c>
      <c r="AE705" s="6">
        <f ca="1">$K$705*$Y$705</f>
        <v>32365.886498454463</v>
      </c>
      <c r="AF705" s="6">
        <f>$M$705*$Z$705</f>
        <v>0</v>
      </c>
      <c r="AG705" s="6">
        <f>$O$705*$AA$705</f>
        <v>0</v>
      </c>
    </row>
    <row r="706" spans="1:33" ht="11.25" customHeight="1" x14ac:dyDescent="0.25">
      <c r="A706" s="4" t="s">
        <v>30</v>
      </c>
      <c r="B706" s="4" t="s">
        <v>41</v>
      </c>
      <c r="C706" s="4" t="s">
        <v>44</v>
      </c>
      <c r="D706" s="4" t="s">
        <v>40</v>
      </c>
      <c r="E706" s="4" t="s">
        <v>25</v>
      </c>
      <c r="F706" s="4" t="s">
        <v>25</v>
      </c>
      <c r="G706" s="4" t="s">
        <v>25</v>
      </c>
      <c r="H706" s="4" t="s">
        <v>25</v>
      </c>
      <c r="I706" s="5">
        <v>44562</v>
      </c>
      <c r="J706" s="6">
        <v>405</v>
      </c>
      <c r="K706" s="6">
        <v>405</v>
      </c>
      <c r="L706" s="6">
        <v>0</v>
      </c>
      <c r="M706" s="6">
        <v>0</v>
      </c>
      <c r="N706" s="6">
        <v>0</v>
      </c>
      <c r="O706" s="6">
        <v>0</v>
      </c>
      <c r="P706" s="6">
        <v>3</v>
      </c>
      <c r="Q706" s="4" t="s">
        <v>26</v>
      </c>
      <c r="R706" s="4">
        <v>0</v>
      </c>
      <c r="S706" s="6">
        <v>27</v>
      </c>
      <c r="T706" s="6">
        <v>0</v>
      </c>
      <c r="U706" s="6">
        <v>0</v>
      </c>
      <c r="V706" s="6">
        <f>IF(ISERROR(VLOOKUP($S$706,'TAR FIN'!$A$1:$O$115,15,0)),0,VLOOKUP($S$706,'TAR FIN'!$A$1:$O$115,15,0))</f>
        <v>19.8</v>
      </c>
      <c r="W706" s="6">
        <f>IF(ISERROR(VLOOKUP($T$706,'TAR FIN'!$A$1:$O$115,15,0)),0,VLOOKUP($T$706,'TAR FIN'!$A$1:$O$115,15,0))</f>
        <v>0</v>
      </c>
      <c r="X706" s="6">
        <f>IF(ISERROR(VLOOKUP($U$706,'TAR FIN'!$A$1:$O$115,15,0)),0,VLOOKUP($U$706,'TAR FIN'!$A$1:$O$115,15,0))</f>
        <v>0</v>
      </c>
      <c r="Y706" s="6">
        <f ca="1">('TUSD BE'!$AM$27+'TUSD BF'!$AM$27+'TUSD CVA'!$AM$27)*1</f>
        <v>20.615214330225772</v>
      </c>
      <c r="Z706" s="6"/>
      <c r="AA706" s="6"/>
      <c r="AB706" s="6">
        <f>$K$706*$V$706</f>
        <v>8019</v>
      </c>
      <c r="AC706" s="6">
        <f>$M$706*$W$706</f>
        <v>0</v>
      </c>
      <c r="AD706" s="6">
        <f>$O$706*$X$706</f>
        <v>0</v>
      </c>
      <c r="AE706" s="6">
        <f ca="1">$K$706*$Y$706</f>
        <v>8349.1618037414373</v>
      </c>
      <c r="AF706" s="6">
        <f>$M$706*$Z$706</f>
        <v>0</v>
      </c>
      <c r="AG706" s="6">
        <f>$O$706*$AA$706</f>
        <v>0</v>
      </c>
    </row>
    <row r="707" spans="1:33" ht="11.25" customHeight="1" x14ac:dyDescent="0.25">
      <c r="A707" s="4" t="s">
        <v>21</v>
      </c>
      <c r="B707" s="4" t="s">
        <v>41</v>
      </c>
      <c r="C707" s="4" t="s">
        <v>44</v>
      </c>
      <c r="D707" s="4" t="s">
        <v>40</v>
      </c>
      <c r="E707" s="4" t="s">
        <v>25</v>
      </c>
      <c r="F707" s="4" t="s">
        <v>25</v>
      </c>
      <c r="G707" s="4" t="s">
        <v>25</v>
      </c>
      <c r="H707" s="4" t="s">
        <v>25</v>
      </c>
      <c r="I707" s="5">
        <v>44593</v>
      </c>
      <c r="J707" s="6">
        <v>10588</v>
      </c>
      <c r="K707" s="6">
        <v>10588</v>
      </c>
      <c r="L707" s="6">
        <v>0</v>
      </c>
      <c r="M707" s="6">
        <v>0</v>
      </c>
      <c r="N707" s="6">
        <v>0</v>
      </c>
      <c r="O707" s="6">
        <v>0</v>
      </c>
      <c r="P707" s="6">
        <v>61</v>
      </c>
      <c r="Q707" s="4" t="s">
        <v>26</v>
      </c>
      <c r="R707" s="4">
        <v>0</v>
      </c>
      <c r="S707" s="6">
        <v>27</v>
      </c>
      <c r="T707" s="6">
        <v>0</v>
      </c>
      <c r="U707" s="6">
        <v>0</v>
      </c>
      <c r="V707" s="6">
        <f>IF(ISERROR(VLOOKUP($S$707,'TAR FIN'!$A$1:$O$115,15,0)),0,VLOOKUP($S$707,'TAR FIN'!$A$1:$O$115,15,0))</f>
        <v>19.8</v>
      </c>
      <c r="W707" s="6">
        <f>IF(ISERROR(VLOOKUP($T$707,'TAR FIN'!$A$1:$O$115,15,0)),0,VLOOKUP($T$707,'TAR FIN'!$A$1:$O$115,15,0))</f>
        <v>0</v>
      </c>
      <c r="X707" s="6">
        <f>IF(ISERROR(VLOOKUP($U$707,'TAR FIN'!$A$1:$O$115,15,0)),0,VLOOKUP($U$707,'TAR FIN'!$A$1:$O$115,15,0))</f>
        <v>0</v>
      </c>
      <c r="Y707" s="6">
        <f ca="1">('TUSD BE'!$AM$27+'TUSD BF'!$AM$27+'TUSD CVA'!$AM$27)*1</f>
        <v>20.615214330225772</v>
      </c>
      <c r="Z707" s="6"/>
      <c r="AA707" s="6"/>
      <c r="AB707" s="6">
        <f>$K$707*$V$707</f>
        <v>209642.4</v>
      </c>
      <c r="AC707" s="6">
        <f>$M$707*$W$707</f>
        <v>0</v>
      </c>
      <c r="AD707" s="6">
        <f>$O$707*$X$707</f>
        <v>0</v>
      </c>
      <c r="AE707" s="6">
        <f ca="1">$K$707*$Y$707</f>
        <v>218273.88932843046</v>
      </c>
      <c r="AF707" s="6">
        <f>$M$707*$Z$707</f>
        <v>0</v>
      </c>
      <c r="AG707" s="6">
        <f>$O$707*$AA$707</f>
        <v>0</v>
      </c>
    </row>
    <row r="708" spans="1:33" ht="11.25" customHeight="1" x14ac:dyDescent="0.25">
      <c r="A708" s="4" t="s">
        <v>27</v>
      </c>
      <c r="B708" s="4" t="s">
        <v>41</v>
      </c>
      <c r="C708" s="4" t="s">
        <v>44</v>
      </c>
      <c r="D708" s="4" t="s">
        <v>40</v>
      </c>
      <c r="E708" s="4" t="s">
        <v>25</v>
      </c>
      <c r="F708" s="4" t="s">
        <v>25</v>
      </c>
      <c r="G708" s="4" t="s">
        <v>25</v>
      </c>
      <c r="H708" s="4" t="s">
        <v>25</v>
      </c>
      <c r="I708" s="5">
        <v>44593</v>
      </c>
      <c r="J708" s="6">
        <v>-19</v>
      </c>
      <c r="K708" s="6">
        <v>-19</v>
      </c>
      <c r="L708" s="6">
        <v>0</v>
      </c>
      <c r="M708" s="6">
        <v>0</v>
      </c>
      <c r="N708" s="6">
        <v>0</v>
      </c>
      <c r="O708" s="6">
        <v>0</v>
      </c>
      <c r="P708" s="6">
        <v>-1</v>
      </c>
      <c r="Q708" s="4" t="s">
        <v>26</v>
      </c>
      <c r="R708" s="4">
        <v>0</v>
      </c>
      <c r="S708" s="6">
        <v>27</v>
      </c>
      <c r="T708" s="6">
        <v>0</v>
      </c>
      <c r="U708" s="6">
        <v>0</v>
      </c>
      <c r="V708" s="6">
        <f>IF(ISERROR(VLOOKUP($S$708,'TAR FIN'!$A$1:$O$115,15,0)),0,VLOOKUP($S$708,'TAR FIN'!$A$1:$O$115,15,0))</f>
        <v>19.8</v>
      </c>
      <c r="W708" s="6">
        <f>IF(ISERROR(VLOOKUP($T$708,'TAR FIN'!$A$1:$O$115,15,0)),0,VLOOKUP($T$708,'TAR FIN'!$A$1:$O$115,15,0))</f>
        <v>0</v>
      </c>
      <c r="X708" s="6">
        <f>IF(ISERROR(VLOOKUP($U$708,'TAR FIN'!$A$1:$O$115,15,0)),0,VLOOKUP($U$708,'TAR FIN'!$A$1:$O$115,15,0))</f>
        <v>0</v>
      </c>
      <c r="Y708" s="6">
        <f ca="1">('TUSD BE'!$AM$27+'TUSD BF'!$AM$27+'TUSD CVA'!$AM$27)*1</f>
        <v>20.615214330225772</v>
      </c>
      <c r="Z708" s="6"/>
      <c r="AA708" s="6"/>
      <c r="AB708" s="6">
        <f>$K$708*$V$708</f>
        <v>-376.2</v>
      </c>
      <c r="AC708" s="6">
        <f>$M$708*$W$708</f>
        <v>0</v>
      </c>
      <c r="AD708" s="6">
        <f>$O$708*$X$708</f>
        <v>0</v>
      </c>
      <c r="AE708" s="6">
        <f ca="1">$K$708*$Y$708</f>
        <v>-391.68907227428969</v>
      </c>
      <c r="AF708" s="6">
        <f>$M$708*$Z$708</f>
        <v>0</v>
      </c>
      <c r="AG708" s="6">
        <f>$O$708*$AA$708</f>
        <v>0</v>
      </c>
    </row>
    <row r="709" spans="1:33" ht="11.25" customHeight="1" x14ac:dyDescent="0.25">
      <c r="A709" s="4" t="s">
        <v>28</v>
      </c>
      <c r="B709" s="4" t="s">
        <v>41</v>
      </c>
      <c r="C709" s="4" t="s">
        <v>44</v>
      </c>
      <c r="D709" s="4" t="s">
        <v>40</v>
      </c>
      <c r="E709" s="4" t="s">
        <v>25</v>
      </c>
      <c r="F709" s="4" t="s">
        <v>25</v>
      </c>
      <c r="G709" s="4" t="s">
        <v>25</v>
      </c>
      <c r="H709" s="4" t="s">
        <v>25</v>
      </c>
      <c r="I709" s="5">
        <v>44593</v>
      </c>
      <c r="J709" s="6">
        <v>1489</v>
      </c>
      <c r="K709" s="6">
        <v>1489</v>
      </c>
      <c r="L709" s="6">
        <v>0</v>
      </c>
      <c r="M709" s="6">
        <v>0</v>
      </c>
      <c r="N709" s="6">
        <v>0</v>
      </c>
      <c r="O709" s="6">
        <v>0</v>
      </c>
      <c r="P709" s="6">
        <v>13</v>
      </c>
      <c r="Q709" s="4" t="s">
        <v>26</v>
      </c>
      <c r="R709" s="4">
        <v>0</v>
      </c>
      <c r="S709" s="6">
        <v>27</v>
      </c>
      <c r="T709" s="6">
        <v>0</v>
      </c>
      <c r="U709" s="6">
        <v>0</v>
      </c>
      <c r="V709" s="6">
        <f>IF(ISERROR(VLOOKUP($S$709,'TAR FIN'!$A$1:$O$115,15,0)),0,VLOOKUP($S$709,'TAR FIN'!$A$1:$O$115,15,0))</f>
        <v>19.8</v>
      </c>
      <c r="W709" s="6">
        <f>IF(ISERROR(VLOOKUP($T$709,'TAR FIN'!$A$1:$O$115,15,0)),0,VLOOKUP($T$709,'TAR FIN'!$A$1:$O$115,15,0))</f>
        <v>0</v>
      </c>
      <c r="X709" s="6">
        <f>IF(ISERROR(VLOOKUP($U$709,'TAR FIN'!$A$1:$O$115,15,0)),0,VLOOKUP($U$709,'TAR FIN'!$A$1:$O$115,15,0))</f>
        <v>0</v>
      </c>
      <c r="Y709" s="6">
        <f ca="1">('TUSD BE'!$AM$27+'TUSD BF'!$AM$27+'TUSD CVA'!$AM$27)*1</f>
        <v>20.615214330225772</v>
      </c>
      <c r="Z709" s="6"/>
      <c r="AA709" s="6"/>
      <c r="AB709" s="6">
        <f>$K$709*$V$709</f>
        <v>29482.2</v>
      </c>
      <c r="AC709" s="6">
        <f>$M$709*$W$709</f>
        <v>0</v>
      </c>
      <c r="AD709" s="6">
        <f>$O$709*$X$709</f>
        <v>0</v>
      </c>
      <c r="AE709" s="6">
        <f ca="1">$K$709*$Y$709</f>
        <v>30696.054137706175</v>
      </c>
      <c r="AF709" s="6">
        <f>$M$709*$Z$709</f>
        <v>0</v>
      </c>
      <c r="AG709" s="6">
        <f>$O$709*$AA$709</f>
        <v>0</v>
      </c>
    </row>
    <row r="710" spans="1:33" ht="11.25" customHeight="1" x14ac:dyDescent="0.25">
      <c r="A710" s="4" t="s">
        <v>30</v>
      </c>
      <c r="B710" s="4" t="s">
        <v>41</v>
      </c>
      <c r="C710" s="4" t="s">
        <v>44</v>
      </c>
      <c r="D710" s="4" t="s">
        <v>40</v>
      </c>
      <c r="E710" s="4" t="s">
        <v>25</v>
      </c>
      <c r="F710" s="4" t="s">
        <v>25</v>
      </c>
      <c r="G710" s="4" t="s">
        <v>25</v>
      </c>
      <c r="H710" s="4" t="s">
        <v>25</v>
      </c>
      <c r="I710" s="5">
        <v>44593</v>
      </c>
      <c r="J710" s="6">
        <v>401</v>
      </c>
      <c r="K710" s="6">
        <v>401</v>
      </c>
      <c r="L710" s="6">
        <v>0</v>
      </c>
      <c r="M710" s="6">
        <v>0</v>
      </c>
      <c r="N710" s="6">
        <v>0</v>
      </c>
      <c r="O710" s="6">
        <v>0</v>
      </c>
      <c r="P710" s="6">
        <v>3</v>
      </c>
      <c r="Q710" s="4" t="s">
        <v>26</v>
      </c>
      <c r="R710" s="4">
        <v>0</v>
      </c>
      <c r="S710" s="6">
        <v>27</v>
      </c>
      <c r="T710" s="6">
        <v>0</v>
      </c>
      <c r="U710" s="6">
        <v>0</v>
      </c>
      <c r="V710" s="6">
        <f>IF(ISERROR(VLOOKUP($S$710,'TAR FIN'!$A$1:$O$115,15,0)),0,VLOOKUP($S$710,'TAR FIN'!$A$1:$O$115,15,0))</f>
        <v>19.8</v>
      </c>
      <c r="W710" s="6">
        <f>IF(ISERROR(VLOOKUP($T$710,'TAR FIN'!$A$1:$O$115,15,0)),0,VLOOKUP($T$710,'TAR FIN'!$A$1:$O$115,15,0))</f>
        <v>0</v>
      </c>
      <c r="X710" s="6">
        <f>IF(ISERROR(VLOOKUP($U$710,'TAR FIN'!$A$1:$O$115,15,0)),0,VLOOKUP($U$710,'TAR FIN'!$A$1:$O$115,15,0))</f>
        <v>0</v>
      </c>
      <c r="Y710" s="6">
        <f ca="1">('TUSD BE'!$AM$27+'TUSD BF'!$AM$27+'TUSD CVA'!$AM$27)*1</f>
        <v>20.615214330225772</v>
      </c>
      <c r="Z710" s="6"/>
      <c r="AA710" s="6"/>
      <c r="AB710" s="6">
        <f>$K$710*$V$710</f>
        <v>7939.8</v>
      </c>
      <c r="AC710" s="6">
        <f>$M$710*$W$710</f>
        <v>0</v>
      </c>
      <c r="AD710" s="6">
        <f>$O$710*$X$710</f>
        <v>0</v>
      </c>
      <c r="AE710" s="6">
        <f ca="1">$K$710*$Y$710</f>
        <v>8266.7009464205348</v>
      </c>
      <c r="AF710" s="6">
        <f>$M$710*$Z$710</f>
        <v>0</v>
      </c>
      <c r="AG710" s="6">
        <f>$O$710*$AA$710</f>
        <v>0</v>
      </c>
    </row>
    <row r="711" spans="1:33" ht="11.25" customHeight="1" x14ac:dyDescent="0.25">
      <c r="A711" s="4" t="s">
        <v>21</v>
      </c>
      <c r="B711" s="4" t="s">
        <v>41</v>
      </c>
      <c r="C711" s="4" t="s">
        <v>44</v>
      </c>
      <c r="D711" s="4" t="s">
        <v>40</v>
      </c>
      <c r="E711" s="4" t="s">
        <v>25</v>
      </c>
      <c r="F711" s="4" t="s">
        <v>25</v>
      </c>
      <c r="G711" s="4" t="s">
        <v>25</v>
      </c>
      <c r="H711" s="4" t="s">
        <v>25</v>
      </c>
      <c r="I711" s="5">
        <v>44621</v>
      </c>
      <c r="J711" s="6">
        <v>10662</v>
      </c>
      <c r="K711" s="6">
        <v>10662</v>
      </c>
      <c r="L711" s="6">
        <v>0</v>
      </c>
      <c r="M711" s="6">
        <v>0</v>
      </c>
      <c r="N711" s="6">
        <v>0</v>
      </c>
      <c r="O711" s="6">
        <v>0</v>
      </c>
      <c r="P711" s="6">
        <v>61</v>
      </c>
      <c r="Q711" s="4" t="s">
        <v>26</v>
      </c>
      <c r="R711" s="4">
        <v>0</v>
      </c>
      <c r="S711" s="6">
        <v>27</v>
      </c>
      <c r="T711" s="6">
        <v>0</v>
      </c>
      <c r="U711" s="6">
        <v>0</v>
      </c>
      <c r="V711" s="6">
        <f>IF(ISERROR(VLOOKUP($S$711,'TAR FIN'!$A$1:$O$115,15,0)),0,VLOOKUP($S$711,'TAR FIN'!$A$1:$O$115,15,0))</f>
        <v>19.8</v>
      </c>
      <c r="W711" s="6">
        <f>IF(ISERROR(VLOOKUP($T$711,'TAR FIN'!$A$1:$O$115,15,0)),0,VLOOKUP($T$711,'TAR FIN'!$A$1:$O$115,15,0))</f>
        <v>0</v>
      </c>
      <c r="X711" s="6">
        <f>IF(ISERROR(VLOOKUP($U$711,'TAR FIN'!$A$1:$O$115,15,0)),0,VLOOKUP($U$711,'TAR FIN'!$A$1:$O$115,15,0))</f>
        <v>0</v>
      </c>
      <c r="Y711" s="6">
        <f ca="1">('TUSD BE'!$AM$27+'TUSD BF'!$AM$27+'TUSD CVA'!$AM$27)*1</f>
        <v>20.615214330225772</v>
      </c>
      <c r="Z711" s="6"/>
      <c r="AA711" s="6"/>
      <c r="AB711" s="6">
        <f>$K$711*$V$711</f>
        <v>211107.6</v>
      </c>
      <c r="AC711" s="6">
        <f>$M$711*$W$711</f>
        <v>0</v>
      </c>
      <c r="AD711" s="6">
        <f>$O$711*$X$711</f>
        <v>0</v>
      </c>
      <c r="AE711" s="6">
        <f ca="1">$K$711*$Y$711</f>
        <v>219799.41518886719</v>
      </c>
      <c r="AF711" s="6">
        <f>$M$711*$Z$711</f>
        <v>0</v>
      </c>
      <c r="AG711" s="6">
        <f>$O$711*$AA$711</f>
        <v>0</v>
      </c>
    </row>
    <row r="712" spans="1:33" ht="11.25" customHeight="1" x14ac:dyDescent="0.25">
      <c r="A712" s="4" t="s">
        <v>28</v>
      </c>
      <c r="B712" s="4" t="s">
        <v>41</v>
      </c>
      <c r="C712" s="4" t="s">
        <v>44</v>
      </c>
      <c r="D712" s="4" t="s">
        <v>40</v>
      </c>
      <c r="E712" s="4" t="s">
        <v>25</v>
      </c>
      <c r="F712" s="4" t="s">
        <v>25</v>
      </c>
      <c r="G712" s="4" t="s">
        <v>25</v>
      </c>
      <c r="H712" s="4" t="s">
        <v>25</v>
      </c>
      <c r="I712" s="5">
        <v>44621</v>
      </c>
      <c r="J712" s="6">
        <v>1585</v>
      </c>
      <c r="K712" s="6">
        <v>1585</v>
      </c>
      <c r="L712" s="6">
        <v>0</v>
      </c>
      <c r="M712" s="6">
        <v>0</v>
      </c>
      <c r="N712" s="6">
        <v>0</v>
      </c>
      <c r="O712" s="6">
        <v>0</v>
      </c>
      <c r="P712" s="6">
        <v>13</v>
      </c>
      <c r="Q712" s="4" t="s">
        <v>26</v>
      </c>
      <c r="R712" s="4">
        <v>0</v>
      </c>
      <c r="S712" s="6">
        <v>27</v>
      </c>
      <c r="T712" s="6">
        <v>0</v>
      </c>
      <c r="U712" s="6">
        <v>0</v>
      </c>
      <c r="V712" s="6">
        <f>IF(ISERROR(VLOOKUP($S$712,'TAR FIN'!$A$1:$O$115,15,0)),0,VLOOKUP($S$712,'TAR FIN'!$A$1:$O$115,15,0))</f>
        <v>19.8</v>
      </c>
      <c r="W712" s="6">
        <f>IF(ISERROR(VLOOKUP($T$712,'TAR FIN'!$A$1:$O$115,15,0)),0,VLOOKUP($T$712,'TAR FIN'!$A$1:$O$115,15,0))</f>
        <v>0</v>
      </c>
      <c r="X712" s="6">
        <f>IF(ISERROR(VLOOKUP($U$712,'TAR FIN'!$A$1:$O$115,15,0)),0,VLOOKUP($U$712,'TAR FIN'!$A$1:$O$115,15,0))</f>
        <v>0</v>
      </c>
      <c r="Y712" s="6">
        <f ca="1">('TUSD BE'!$AM$27+'TUSD BF'!$AM$27+'TUSD CVA'!$AM$27)*1</f>
        <v>20.615214330225772</v>
      </c>
      <c r="Z712" s="6"/>
      <c r="AA712" s="6"/>
      <c r="AB712" s="6">
        <f>$K$712*$V$712</f>
        <v>31383</v>
      </c>
      <c r="AC712" s="6">
        <f>$M$712*$W$712</f>
        <v>0</v>
      </c>
      <c r="AD712" s="6">
        <f>$O$712*$X$712</f>
        <v>0</v>
      </c>
      <c r="AE712" s="6">
        <f ca="1">$K$712*$Y$712</f>
        <v>32675.114713407849</v>
      </c>
      <c r="AF712" s="6">
        <f>$M$712*$Z$712</f>
        <v>0</v>
      </c>
      <c r="AG712" s="6">
        <f>$O$712*$AA$712</f>
        <v>0</v>
      </c>
    </row>
    <row r="713" spans="1:33" ht="11.25" customHeight="1" x14ac:dyDescent="0.25">
      <c r="A713" s="4" t="s">
        <v>30</v>
      </c>
      <c r="B713" s="4" t="s">
        <v>41</v>
      </c>
      <c r="C713" s="4" t="s">
        <v>44</v>
      </c>
      <c r="D713" s="4" t="s">
        <v>40</v>
      </c>
      <c r="E713" s="4" t="s">
        <v>25</v>
      </c>
      <c r="F713" s="4" t="s">
        <v>25</v>
      </c>
      <c r="G713" s="4" t="s">
        <v>25</v>
      </c>
      <c r="H713" s="4" t="s">
        <v>25</v>
      </c>
      <c r="I713" s="5">
        <v>44621</v>
      </c>
      <c r="J713" s="6">
        <v>407</v>
      </c>
      <c r="K713" s="6">
        <v>407</v>
      </c>
      <c r="L713" s="6">
        <v>0</v>
      </c>
      <c r="M713" s="6">
        <v>0</v>
      </c>
      <c r="N713" s="6">
        <v>0</v>
      </c>
      <c r="O713" s="6">
        <v>0</v>
      </c>
      <c r="P713" s="6">
        <v>3</v>
      </c>
      <c r="Q713" s="4" t="s">
        <v>26</v>
      </c>
      <c r="R713" s="4">
        <v>0</v>
      </c>
      <c r="S713" s="6">
        <v>27</v>
      </c>
      <c r="T713" s="6">
        <v>0</v>
      </c>
      <c r="U713" s="6">
        <v>0</v>
      </c>
      <c r="V713" s="6">
        <f>IF(ISERROR(VLOOKUP($S$713,'TAR FIN'!$A$1:$O$115,15,0)),0,VLOOKUP($S$713,'TAR FIN'!$A$1:$O$115,15,0))</f>
        <v>19.8</v>
      </c>
      <c r="W713" s="6">
        <f>IF(ISERROR(VLOOKUP($T$713,'TAR FIN'!$A$1:$O$115,15,0)),0,VLOOKUP($T$713,'TAR FIN'!$A$1:$O$115,15,0))</f>
        <v>0</v>
      </c>
      <c r="X713" s="6">
        <f>IF(ISERROR(VLOOKUP($U$713,'TAR FIN'!$A$1:$O$115,15,0)),0,VLOOKUP($U$713,'TAR FIN'!$A$1:$O$115,15,0))</f>
        <v>0</v>
      </c>
      <c r="Y713" s="6">
        <f ca="1">('TUSD BE'!$AM$27+'TUSD BF'!$AM$27+'TUSD CVA'!$AM$27)*1</f>
        <v>20.615214330225772</v>
      </c>
      <c r="Z713" s="6"/>
      <c r="AA713" s="6"/>
      <c r="AB713" s="6">
        <f>$K$713*$V$713</f>
        <v>8058.6</v>
      </c>
      <c r="AC713" s="6">
        <f>$M$713*$W$713</f>
        <v>0</v>
      </c>
      <c r="AD713" s="6">
        <f>$O$713*$X$713</f>
        <v>0</v>
      </c>
      <c r="AE713" s="6">
        <f ca="1">$K$713*$Y$713</f>
        <v>8390.3922324018895</v>
      </c>
      <c r="AF713" s="6">
        <f>$M$713*$Z$713</f>
        <v>0</v>
      </c>
      <c r="AG713" s="6">
        <f>$O$713*$AA$713</f>
        <v>0</v>
      </c>
    </row>
    <row r="714" spans="1:33" ht="11.25" customHeight="1" x14ac:dyDescent="0.25">
      <c r="A714" s="4" t="s">
        <v>21</v>
      </c>
      <c r="B714" s="4" t="s">
        <v>41</v>
      </c>
      <c r="C714" s="4" t="s">
        <v>44</v>
      </c>
      <c r="D714" s="4" t="s">
        <v>40</v>
      </c>
      <c r="E714" s="4" t="s">
        <v>25</v>
      </c>
      <c r="F714" s="4" t="s">
        <v>25</v>
      </c>
      <c r="G714" s="4" t="s">
        <v>25</v>
      </c>
      <c r="H714" s="4" t="s">
        <v>25</v>
      </c>
      <c r="I714" s="5">
        <v>44652</v>
      </c>
      <c r="J714" s="6">
        <v>10586</v>
      </c>
      <c r="K714" s="6">
        <v>10586</v>
      </c>
      <c r="L714" s="6">
        <v>0</v>
      </c>
      <c r="M714" s="6">
        <v>0</v>
      </c>
      <c r="N714" s="6">
        <v>0</v>
      </c>
      <c r="O714" s="6">
        <v>0</v>
      </c>
      <c r="P714" s="6">
        <v>60</v>
      </c>
      <c r="Q714" s="4" t="s">
        <v>26</v>
      </c>
      <c r="R714" s="4">
        <v>0</v>
      </c>
      <c r="S714" s="6">
        <v>27</v>
      </c>
      <c r="T714" s="6">
        <v>0</v>
      </c>
      <c r="U714" s="6">
        <v>0</v>
      </c>
      <c r="V714" s="6">
        <f>IF(ISERROR(VLOOKUP($S$714,'TAR FIN'!$A$1:$O$115,15,0)),0,VLOOKUP($S$714,'TAR FIN'!$A$1:$O$115,15,0))</f>
        <v>19.8</v>
      </c>
      <c r="W714" s="6">
        <f>IF(ISERROR(VLOOKUP($T$714,'TAR FIN'!$A$1:$O$115,15,0)),0,VLOOKUP($T$714,'TAR FIN'!$A$1:$O$115,15,0))</f>
        <v>0</v>
      </c>
      <c r="X714" s="6">
        <f>IF(ISERROR(VLOOKUP($U$714,'TAR FIN'!$A$1:$O$115,15,0)),0,VLOOKUP($U$714,'TAR FIN'!$A$1:$O$115,15,0))</f>
        <v>0</v>
      </c>
      <c r="Y714" s="6">
        <f ca="1">('TUSD BE'!$AM$27+'TUSD BF'!$AM$27+'TUSD CVA'!$AM$27)*1</f>
        <v>20.615214330225772</v>
      </c>
      <c r="Z714" s="6"/>
      <c r="AA714" s="6"/>
      <c r="AB714" s="6">
        <f>$K$714*$V$714</f>
        <v>209602.80000000002</v>
      </c>
      <c r="AC714" s="6">
        <f>$M$714*$W$714</f>
        <v>0</v>
      </c>
      <c r="AD714" s="6">
        <f>$O$714*$X$714</f>
        <v>0</v>
      </c>
      <c r="AE714" s="6">
        <f ca="1">$K$714*$Y$714</f>
        <v>218232.65889977003</v>
      </c>
      <c r="AF714" s="6">
        <f>$M$714*$Z$714</f>
        <v>0</v>
      </c>
      <c r="AG714" s="6">
        <f>$O$714*$AA$714</f>
        <v>0</v>
      </c>
    </row>
    <row r="715" spans="1:33" ht="11.25" customHeight="1" x14ac:dyDescent="0.25">
      <c r="A715" s="4" t="s">
        <v>28</v>
      </c>
      <c r="B715" s="4" t="s">
        <v>41</v>
      </c>
      <c r="C715" s="4" t="s">
        <v>44</v>
      </c>
      <c r="D715" s="4" t="s">
        <v>40</v>
      </c>
      <c r="E715" s="4" t="s">
        <v>25</v>
      </c>
      <c r="F715" s="4" t="s">
        <v>25</v>
      </c>
      <c r="G715" s="4" t="s">
        <v>25</v>
      </c>
      <c r="H715" s="4" t="s">
        <v>25</v>
      </c>
      <c r="I715" s="5">
        <v>44652</v>
      </c>
      <c r="J715" s="6">
        <v>1566</v>
      </c>
      <c r="K715" s="6">
        <v>1566</v>
      </c>
      <c r="L715" s="6">
        <v>0</v>
      </c>
      <c r="M715" s="6">
        <v>0</v>
      </c>
      <c r="N715" s="6">
        <v>0</v>
      </c>
      <c r="O715" s="6">
        <v>0</v>
      </c>
      <c r="P715" s="6">
        <v>13</v>
      </c>
      <c r="Q715" s="4" t="s">
        <v>26</v>
      </c>
      <c r="R715" s="4">
        <v>0</v>
      </c>
      <c r="S715" s="6">
        <v>27</v>
      </c>
      <c r="T715" s="6">
        <v>0</v>
      </c>
      <c r="U715" s="6">
        <v>0</v>
      </c>
      <c r="V715" s="6">
        <f>IF(ISERROR(VLOOKUP($S$715,'TAR FIN'!$A$1:$O$115,15,0)),0,VLOOKUP($S$715,'TAR FIN'!$A$1:$O$115,15,0))</f>
        <v>19.8</v>
      </c>
      <c r="W715" s="6">
        <f>IF(ISERROR(VLOOKUP($T$715,'TAR FIN'!$A$1:$O$115,15,0)),0,VLOOKUP($T$715,'TAR FIN'!$A$1:$O$115,15,0))</f>
        <v>0</v>
      </c>
      <c r="X715" s="6">
        <f>IF(ISERROR(VLOOKUP($U$715,'TAR FIN'!$A$1:$O$115,15,0)),0,VLOOKUP($U$715,'TAR FIN'!$A$1:$O$115,15,0))</f>
        <v>0</v>
      </c>
      <c r="Y715" s="6">
        <f ca="1">('TUSD BE'!$AM$27+'TUSD BF'!$AM$27+'TUSD CVA'!$AM$27)*1</f>
        <v>20.615214330225772</v>
      </c>
      <c r="Z715" s="6"/>
      <c r="AA715" s="6"/>
      <c r="AB715" s="6">
        <f>$K$715*$V$715</f>
        <v>31006.800000000003</v>
      </c>
      <c r="AC715" s="6">
        <f>$M$715*$W$715</f>
        <v>0</v>
      </c>
      <c r="AD715" s="6">
        <f>$O$715*$X$715</f>
        <v>0</v>
      </c>
      <c r="AE715" s="6">
        <f ca="1">$K$715*$Y$715</f>
        <v>32283.425641133559</v>
      </c>
      <c r="AF715" s="6">
        <f>$M$715*$Z$715</f>
        <v>0</v>
      </c>
      <c r="AG715" s="6">
        <f>$O$715*$AA$715</f>
        <v>0</v>
      </c>
    </row>
    <row r="716" spans="1:33" ht="11.25" customHeight="1" x14ac:dyDescent="0.25">
      <c r="A716" s="4" t="s">
        <v>30</v>
      </c>
      <c r="B716" s="4" t="s">
        <v>41</v>
      </c>
      <c r="C716" s="4" t="s">
        <v>44</v>
      </c>
      <c r="D716" s="4" t="s">
        <v>40</v>
      </c>
      <c r="E716" s="4" t="s">
        <v>25</v>
      </c>
      <c r="F716" s="4" t="s">
        <v>25</v>
      </c>
      <c r="G716" s="4" t="s">
        <v>25</v>
      </c>
      <c r="H716" s="4" t="s">
        <v>25</v>
      </c>
      <c r="I716" s="5">
        <v>44652</v>
      </c>
      <c r="J716" s="6">
        <v>406</v>
      </c>
      <c r="K716" s="6">
        <v>406</v>
      </c>
      <c r="L716" s="6">
        <v>0</v>
      </c>
      <c r="M716" s="6">
        <v>0</v>
      </c>
      <c r="N716" s="6">
        <v>0</v>
      </c>
      <c r="O716" s="6">
        <v>0</v>
      </c>
      <c r="P716" s="6">
        <v>3</v>
      </c>
      <c r="Q716" s="4" t="s">
        <v>26</v>
      </c>
      <c r="R716" s="4">
        <v>0</v>
      </c>
      <c r="S716" s="6">
        <v>27</v>
      </c>
      <c r="T716" s="6">
        <v>0</v>
      </c>
      <c r="U716" s="6">
        <v>0</v>
      </c>
      <c r="V716" s="6">
        <f>IF(ISERROR(VLOOKUP($S$716,'TAR FIN'!$A$1:$O$115,15,0)),0,VLOOKUP($S$716,'TAR FIN'!$A$1:$O$115,15,0))</f>
        <v>19.8</v>
      </c>
      <c r="W716" s="6">
        <f>IF(ISERROR(VLOOKUP($T$716,'TAR FIN'!$A$1:$O$115,15,0)),0,VLOOKUP($T$716,'TAR FIN'!$A$1:$O$115,15,0))</f>
        <v>0</v>
      </c>
      <c r="X716" s="6">
        <f>IF(ISERROR(VLOOKUP($U$716,'TAR FIN'!$A$1:$O$115,15,0)),0,VLOOKUP($U$716,'TAR FIN'!$A$1:$O$115,15,0))</f>
        <v>0</v>
      </c>
      <c r="Y716" s="6">
        <f ca="1">('TUSD BE'!$AM$27+'TUSD BF'!$AM$27+'TUSD CVA'!$AM$27)*1</f>
        <v>20.615214330225772</v>
      </c>
      <c r="Z716" s="6"/>
      <c r="AA716" s="6"/>
      <c r="AB716" s="6">
        <f>$K$716*$V$716</f>
        <v>8038.8</v>
      </c>
      <c r="AC716" s="6">
        <f>$M$716*$W$716</f>
        <v>0</v>
      </c>
      <c r="AD716" s="6">
        <f>$O$716*$X$716</f>
        <v>0</v>
      </c>
      <c r="AE716" s="6">
        <f ca="1">$K$716*$Y$716</f>
        <v>8369.7770180716634</v>
      </c>
      <c r="AF716" s="6">
        <f>$M$716*$Z$716</f>
        <v>0</v>
      </c>
      <c r="AG716" s="6">
        <f>$O$716*$AA$716</f>
        <v>0</v>
      </c>
    </row>
    <row r="717" spans="1:33" ht="11.25" customHeight="1" x14ac:dyDescent="0.25">
      <c r="A717" s="4" t="s">
        <v>21</v>
      </c>
      <c r="B717" s="4" t="s">
        <v>41</v>
      </c>
      <c r="C717" s="4" t="s">
        <v>44</v>
      </c>
      <c r="D717" s="4" t="s">
        <v>40</v>
      </c>
      <c r="E717" s="4" t="s">
        <v>25</v>
      </c>
      <c r="F717" s="4" t="s">
        <v>25</v>
      </c>
      <c r="G717" s="4" t="s">
        <v>25</v>
      </c>
      <c r="H717" s="4" t="s">
        <v>25</v>
      </c>
      <c r="I717" s="5">
        <v>44682</v>
      </c>
      <c r="J717" s="6">
        <v>10580</v>
      </c>
      <c r="K717" s="6">
        <v>10580</v>
      </c>
      <c r="L717" s="6">
        <v>0</v>
      </c>
      <c r="M717" s="6">
        <v>0</v>
      </c>
      <c r="N717" s="6">
        <v>0</v>
      </c>
      <c r="O717" s="6">
        <v>0</v>
      </c>
      <c r="P717" s="6">
        <v>61</v>
      </c>
      <c r="Q717" s="4" t="s">
        <v>26</v>
      </c>
      <c r="R717" s="4">
        <v>0</v>
      </c>
      <c r="S717" s="6">
        <v>27</v>
      </c>
      <c r="T717" s="6">
        <v>0</v>
      </c>
      <c r="U717" s="6">
        <v>0</v>
      </c>
      <c r="V717" s="6">
        <f>IF(ISERROR(VLOOKUP($S$717,'TAR FIN'!$A$1:$O$115,15,0)),0,VLOOKUP($S$717,'TAR FIN'!$A$1:$O$115,15,0))</f>
        <v>19.8</v>
      </c>
      <c r="W717" s="6">
        <f>IF(ISERROR(VLOOKUP($T$717,'TAR FIN'!$A$1:$O$115,15,0)),0,VLOOKUP($T$717,'TAR FIN'!$A$1:$O$115,15,0))</f>
        <v>0</v>
      </c>
      <c r="X717" s="6">
        <f>IF(ISERROR(VLOOKUP($U$717,'TAR FIN'!$A$1:$O$115,15,0)),0,VLOOKUP($U$717,'TAR FIN'!$A$1:$O$115,15,0))</f>
        <v>0</v>
      </c>
      <c r="Y717" s="6">
        <f ca="1">('TUSD BE'!$AM$27+'TUSD BF'!$AM$27+'TUSD CVA'!$AM$27)*1</f>
        <v>20.615214330225772</v>
      </c>
      <c r="Z717" s="6"/>
      <c r="AA717" s="6"/>
      <c r="AB717" s="6">
        <f>$K$717*$V$717</f>
        <v>209484</v>
      </c>
      <c r="AC717" s="6">
        <f>$M$717*$W$717</f>
        <v>0</v>
      </c>
      <c r="AD717" s="6">
        <f>$O$717*$X$717</f>
        <v>0</v>
      </c>
      <c r="AE717" s="6">
        <f ca="1">$K$717*$Y$717</f>
        <v>218108.96761378867</v>
      </c>
      <c r="AF717" s="6">
        <f>$M$717*$Z$717</f>
        <v>0</v>
      </c>
      <c r="AG717" s="6">
        <f>$O$717*$AA$717</f>
        <v>0</v>
      </c>
    </row>
    <row r="718" spans="1:33" ht="11.25" customHeight="1" x14ac:dyDescent="0.25">
      <c r="A718" s="4" t="s">
        <v>28</v>
      </c>
      <c r="B718" s="4" t="s">
        <v>41</v>
      </c>
      <c r="C718" s="4" t="s">
        <v>44</v>
      </c>
      <c r="D718" s="4" t="s">
        <v>40</v>
      </c>
      <c r="E718" s="4" t="s">
        <v>25</v>
      </c>
      <c r="F718" s="4" t="s">
        <v>25</v>
      </c>
      <c r="G718" s="4" t="s">
        <v>25</v>
      </c>
      <c r="H718" s="4" t="s">
        <v>25</v>
      </c>
      <c r="I718" s="5">
        <v>44682</v>
      </c>
      <c r="J718" s="6">
        <v>1521</v>
      </c>
      <c r="K718" s="6">
        <v>1521</v>
      </c>
      <c r="L718" s="6">
        <v>0</v>
      </c>
      <c r="M718" s="6">
        <v>0</v>
      </c>
      <c r="N718" s="6">
        <v>0</v>
      </c>
      <c r="O718" s="6">
        <v>0</v>
      </c>
      <c r="P718" s="6">
        <v>13</v>
      </c>
      <c r="Q718" s="4" t="s">
        <v>26</v>
      </c>
      <c r="R718" s="4">
        <v>0</v>
      </c>
      <c r="S718" s="6">
        <v>27</v>
      </c>
      <c r="T718" s="6">
        <v>0</v>
      </c>
      <c r="U718" s="6">
        <v>0</v>
      </c>
      <c r="V718" s="6">
        <f>IF(ISERROR(VLOOKUP($S$718,'TAR FIN'!$A$1:$O$115,15,0)),0,VLOOKUP($S$718,'TAR FIN'!$A$1:$O$115,15,0))</f>
        <v>19.8</v>
      </c>
      <c r="W718" s="6">
        <f>IF(ISERROR(VLOOKUP($T$718,'TAR FIN'!$A$1:$O$115,15,0)),0,VLOOKUP($T$718,'TAR FIN'!$A$1:$O$115,15,0))</f>
        <v>0</v>
      </c>
      <c r="X718" s="6">
        <f>IF(ISERROR(VLOOKUP($U$718,'TAR FIN'!$A$1:$O$115,15,0)),0,VLOOKUP($U$718,'TAR FIN'!$A$1:$O$115,15,0))</f>
        <v>0</v>
      </c>
      <c r="Y718" s="6">
        <f ca="1">('TUSD BE'!$AM$27+'TUSD BF'!$AM$27+'TUSD CVA'!$AM$27)*1</f>
        <v>20.615214330225772</v>
      </c>
      <c r="Z718" s="6"/>
      <c r="AA718" s="6"/>
      <c r="AB718" s="6">
        <f>$K$718*$V$718</f>
        <v>30115.8</v>
      </c>
      <c r="AC718" s="6">
        <f>$M$718*$W$718</f>
        <v>0</v>
      </c>
      <c r="AD718" s="6">
        <f>$O$718*$X$718</f>
        <v>0</v>
      </c>
      <c r="AE718" s="6">
        <f ca="1">$K$718*$Y$718</f>
        <v>31355.740996273398</v>
      </c>
      <c r="AF718" s="6">
        <f>$M$718*$Z$718</f>
        <v>0</v>
      </c>
      <c r="AG718" s="6">
        <f>$O$718*$AA$718</f>
        <v>0</v>
      </c>
    </row>
    <row r="719" spans="1:33" ht="11.25" customHeight="1" x14ac:dyDescent="0.25">
      <c r="A719" s="4" t="s">
        <v>30</v>
      </c>
      <c r="B719" s="4" t="s">
        <v>41</v>
      </c>
      <c r="C719" s="4" t="s">
        <v>44</v>
      </c>
      <c r="D719" s="4" t="s">
        <v>40</v>
      </c>
      <c r="E719" s="4" t="s">
        <v>25</v>
      </c>
      <c r="F719" s="4" t="s">
        <v>25</v>
      </c>
      <c r="G719" s="4" t="s">
        <v>25</v>
      </c>
      <c r="H719" s="4" t="s">
        <v>25</v>
      </c>
      <c r="I719" s="5">
        <v>44682</v>
      </c>
      <c r="J719" s="6">
        <v>401</v>
      </c>
      <c r="K719" s="6">
        <v>401</v>
      </c>
      <c r="L719" s="6">
        <v>0</v>
      </c>
      <c r="M719" s="6">
        <v>0</v>
      </c>
      <c r="N719" s="6">
        <v>0</v>
      </c>
      <c r="O719" s="6">
        <v>0</v>
      </c>
      <c r="P719" s="6">
        <v>3</v>
      </c>
      <c r="Q719" s="4" t="s">
        <v>26</v>
      </c>
      <c r="R719" s="4">
        <v>0</v>
      </c>
      <c r="S719" s="6">
        <v>27</v>
      </c>
      <c r="T719" s="6">
        <v>0</v>
      </c>
      <c r="U719" s="6">
        <v>0</v>
      </c>
      <c r="V719" s="6">
        <f>IF(ISERROR(VLOOKUP($S$719,'TAR FIN'!$A$1:$O$115,15,0)),0,VLOOKUP($S$719,'TAR FIN'!$A$1:$O$115,15,0))</f>
        <v>19.8</v>
      </c>
      <c r="W719" s="6">
        <f>IF(ISERROR(VLOOKUP($T$719,'TAR FIN'!$A$1:$O$115,15,0)),0,VLOOKUP($T$719,'TAR FIN'!$A$1:$O$115,15,0))</f>
        <v>0</v>
      </c>
      <c r="X719" s="6">
        <f>IF(ISERROR(VLOOKUP($U$719,'TAR FIN'!$A$1:$O$115,15,0)),0,VLOOKUP($U$719,'TAR FIN'!$A$1:$O$115,15,0))</f>
        <v>0</v>
      </c>
      <c r="Y719" s="6">
        <f ca="1">('TUSD BE'!$AM$27+'TUSD BF'!$AM$27+'TUSD CVA'!$AM$27)*1</f>
        <v>20.615214330225772</v>
      </c>
      <c r="Z719" s="6"/>
      <c r="AA719" s="6"/>
      <c r="AB719" s="6">
        <f>$K$719*$V$719</f>
        <v>7939.8</v>
      </c>
      <c r="AC719" s="6">
        <f>$M$719*$W$719</f>
        <v>0</v>
      </c>
      <c r="AD719" s="6">
        <f>$O$719*$X$719</f>
        <v>0</v>
      </c>
      <c r="AE719" s="6">
        <f ca="1">$K$719*$Y$719</f>
        <v>8266.7009464205348</v>
      </c>
      <c r="AF719" s="6">
        <f>$M$719*$Z$719</f>
        <v>0</v>
      </c>
      <c r="AG719" s="6">
        <f>$O$719*$AA$719</f>
        <v>0</v>
      </c>
    </row>
    <row r="720" spans="1:33" ht="11.25" customHeight="1" x14ac:dyDescent="0.25">
      <c r="A720" s="4" t="s">
        <v>21</v>
      </c>
      <c r="B720" s="4" t="s">
        <v>41</v>
      </c>
      <c r="C720" s="4" t="s">
        <v>44</v>
      </c>
      <c r="D720" s="4" t="s">
        <v>40</v>
      </c>
      <c r="E720" s="4" t="s">
        <v>25</v>
      </c>
      <c r="F720" s="4" t="s">
        <v>25</v>
      </c>
      <c r="G720" s="4" t="s">
        <v>25</v>
      </c>
      <c r="H720" s="4" t="s">
        <v>25</v>
      </c>
      <c r="I720" s="5">
        <v>44713</v>
      </c>
      <c r="J720" s="6">
        <v>10596</v>
      </c>
      <c r="K720" s="6">
        <v>10596</v>
      </c>
      <c r="L720" s="6">
        <v>0</v>
      </c>
      <c r="M720" s="6">
        <v>0</v>
      </c>
      <c r="N720" s="6">
        <v>0</v>
      </c>
      <c r="O720" s="6">
        <v>0</v>
      </c>
      <c r="P720" s="6">
        <v>62</v>
      </c>
      <c r="Q720" s="4" t="s">
        <v>26</v>
      </c>
      <c r="R720" s="4">
        <v>0</v>
      </c>
      <c r="S720" s="6">
        <v>27</v>
      </c>
      <c r="T720" s="6">
        <v>0</v>
      </c>
      <c r="U720" s="6">
        <v>0</v>
      </c>
      <c r="V720" s="6">
        <f>IF(ISERROR(VLOOKUP($S$720,'TAR FIN'!$A$1:$O$115,15,0)),0,VLOOKUP($S$720,'TAR FIN'!$A$1:$O$115,15,0))</f>
        <v>19.8</v>
      </c>
      <c r="W720" s="6">
        <f>IF(ISERROR(VLOOKUP($T$720,'TAR FIN'!$A$1:$O$115,15,0)),0,VLOOKUP($T$720,'TAR FIN'!$A$1:$O$115,15,0))</f>
        <v>0</v>
      </c>
      <c r="X720" s="6">
        <f>IF(ISERROR(VLOOKUP($U$720,'TAR FIN'!$A$1:$O$115,15,0)),0,VLOOKUP($U$720,'TAR FIN'!$A$1:$O$115,15,0))</f>
        <v>0</v>
      </c>
      <c r="Y720" s="6">
        <f ca="1">('TUSD BE'!$AM$27+'TUSD BF'!$AM$27+'TUSD CVA'!$AM$27)*1</f>
        <v>20.615214330225772</v>
      </c>
      <c r="Z720" s="6"/>
      <c r="AA720" s="6"/>
      <c r="AB720" s="6">
        <f>$K$720*$V$720</f>
        <v>209800.80000000002</v>
      </c>
      <c r="AC720" s="6">
        <f>$M$720*$W$720</f>
        <v>0</v>
      </c>
      <c r="AD720" s="6">
        <f>$O$720*$X$720</f>
        <v>0</v>
      </c>
      <c r="AE720" s="6">
        <f ca="1">$K$720*$Y$720</f>
        <v>218438.81104307229</v>
      </c>
      <c r="AF720" s="6">
        <f>$M$720*$Z$720</f>
        <v>0</v>
      </c>
      <c r="AG720" s="6">
        <f>$O$720*$AA$720</f>
        <v>0</v>
      </c>
    </row>
    <row r="721" spans="1:33" ht="11.25" customHeight="1" x14ac:dyDescent="0.25">
      <c r="A721" s="4" t="s">
        <v>27</v>
      </c>
      <c r="B721" s="4" t="s">
        <v>41</v>
      </c>
      <c r="C721" s="4" t="s">
        <v>44</v>
      </c>
      <c r="D721" s="4" t="s">
        <v>40</v>
      </c>
      <c r="E721" s="4" t="s">
        <v>25</v>
      </c>
      <c r="F721" s="4" t="s">
        <v>25</v>
      </c>
      <c r="G721" s="4" t="s">
        <v>25</v>
      </c>
      <c r="H721" s="4" t="s">
        <v>25</v>
      </c>
      <c r="I721" s="5">
        <v>44713</v>
      </c>
      <c r="J721" s="6">
        <v>-167</v>
      </c>
      <c r="K721" s="6">
        <v>-167</v>
      </c>
      <c r="L721" s="6">
        <v>0</v>
      </c>
      <c r="M721" s="6">
        <v>0</v>
      </c>
      <c r="N721" s="6">
        <v>0</v>
      </c>
      <c r="O721" s="6">
        <v>0</v>
      </c>
      <c r="P721" s="6">
        <v>-1</v>
      </c>
      <c r="Q721" s="4" t="s">
        <v>26</v>
      </c>
      <c r="R721" s="4">
        <v>0</v>
      </c>
      <c r="S721" s="6">
        <v>27</v>
      </c>
      <c r="T721" s="6">
        <v>0</v>
      </c>
      <c r="U721" s="6">
        <v>0</v>
      </c>
      <c r="V721" s="6">
        <f>IF(ISERROR(VLOOKUP($S$721,'TAR FIN'!$A$1:$O$115,15,0)),0,VLOOKUP($S$721,'TAR FIN'!$A$1:$O$115,15,0))</f>
        <v>19.8</v>
      </c>
      <c r="W721" s="6">
        <f>IF(ISERROR(VLOOKUP($T$721,'TAR FIN'!$A$1:$O$115,15,0)),0,VLOOKUP($T$721,'TAR FIN'!$A$1:$O$115,15,0))</f>
        <v>0</v>
      </c>
      <c r="X721" s="6">
        <f>IF(ISERROR(VLOOKUP($U$721,'TAR FIN'!$A$1:$O$115,15,0)),0,VLOOKUP($U$721,'TAR FIN'!$A$1:$O$115,15,0))</f>
        <v>0</v>
      </c>
      <c r="Y721" s="6">
        <f ca="1">('TUSD BE'!$AM$27+'TUSD BF'!$AM$27+'TUSD CVA'!$AM$27)*1</f>
        <v>20.615214330225772</v>
      </c>
      <c r="Z721" s="6"/>
      <c r="AA721" s="6"/>
      <c r="AB721" s="6">
        <f>$K$721*$V$721</f>
        <v>-3306.6</v>
      </c>
      <c r="AC721" s="6">
        <f>$M$721*$W$721</f>
        <v>0</v>
      </c>
      <c r="AD721" s="6">
        <f>$O$721*$X$721</f>
        <v>0</v>
      </c>
      <c r="AE721" s="6">
        <f ca="1">$K$721*$Y$721</f>
        <v>-3442.7407931477037</v>
      </c>
      <c r="AF721" s="6">
        <f>$M$721*$Z$721</f>
        <v>0</v>
      </c>
      <c r="AG721" s="6">
        <f>$O$721*$AA$721</f>
        <v>0</v>
      </c>
    </row>
    <row r="722" spans="1:33" ht="11.25" customHeight="1" x14ac:dyDescent="0.25">
      <c r="A722" s="4" t="s">
        <v>28</v>
      </c>
      <c r="B722" s="4" t="s">
        <v>41</v>
      </c>
      <c r="C722" s="4" t="s">
        <v>44</v>
      </c>
      <c r="D722" s="4" t="s">
        <v>40</v>
      </c>
      <c r="E722" s="4" t="s">
        <v>25</v>
      </c>
      <c r="F722" s="4" t="s">
        <v>25</v>
      </c>
      <c r="G722" s="4" t="s">
        <v>25</v>
      </c>
      <c r="H722" s="4" t="s">
        <v>25</v>
      </c>
      <c r="I722" s="5">
        <v>44713</v>
      </c>
      <c r="J722" s="6">
        <v>1520</v>
      </c>
      <c r="K722" s="6">
        <v>1520</v>
      </c>
      <c r="L722" s="6">
        <v>0</v>
      </c>
      <c r="M722" s="6">
        <v>0</v>
      </c>
      <c r="N722" s="6">
        <v>0</v>
      </c>
      <c r="O722" s="6">
        <v>0</v>
      </c>
      <c r="P722" s="6">
        <v>13</v>
      </c>
      <c r="Q722" s="4" t="s">
        <v>26</v>
      </c>
      <c r="R722" s="4">
        <v>0</v>
      </c>
      <c r="S722" s="6">
        <v>27</v>
      </c>
      <c r="T722" s="6">
        <v>0</v>
      </c>
      <c r="U722" s="6">
        <v>0</v>
      </c>
      <c r="V722" s="6">
        <f>IF(ISERROR(VLOOKUP($S$722,'TAR FIN'!$A$1:$O$115,15,0)),0,VLOOKUP($S$722,'TAR FIN'!$A$1:$O$115,15,0))</f>
        <v>19.8</v>
      </c>
      <c r="W722" s="6">
        <f>IF(ISERROR(VLOOKUP($T$722,'TAR FIN'!$A$1:$O$115,15,0)),0,VLOOKUP($T$722,'TAR FIN'!$A$1:$O$115,15,0))</f>
        <v>0</v>
      </c>
      <c r="X722" s="6">
        <f>IF(ISERROR(VLOOKUP($U$722,'TAR FIN'!$A$1:$O$115,15,0)),0,VLOOKUP($U$722,'TAR FIN'!$A$1:$O$115,15,0))</f>
        <v>0</v>
      </c>
      <c r="Y722" s="6">
        <f ca="1">('TUSD BE'!$AM$27+'TUSD BF'!$AM$27+'TUSD CVA'!$AM$27)*1</f>
        <v>20.615214330225772</v>
      </c>
      <c r="Z722" s="6"/>
      <c r="AA722" s="6"/>
      <c r="AB722" s="6">
        <f>$K$722*$V$722</f>
        <v>30096</v>
      </c>
      <c r="AC722" s="6">
        <f>$M$722*$W$722</f>
        <v>0</v>
      </c>
      <c r="AD722" s="6">
        <f>$O$722*$X$722</f>
        <v>0</v>
      </c>
      <c r="AE722" s="6">
        <f ca="1">$K$722*$Y$722</f>
        <v>31335.125781943174</v>
      </c>
      <c r="AF722" s="6">
        <f>$M$722*$Z$722</f>
        <v>0</v>
      </c>
      <c r="AG722" s="6">
        <f>$O$722*$AA$722</f>
        <v>0</v>
      </c>
    </row>
    <row r="723" spans="1:33" ht="11.25" customHeight="1" x14ac:dyDescent="0.25">
      <c r="A723" s="4" t="s">
        <v>30</v>
      </c>
      <c r="B723" s="4" t="s">
        <v>41</v>
      </c>
      <c r="C723" s="4" t="s">
        <v>44</v>
      </c>
      <c r="D723" s="4" t="s">
        <v>40</v>
      </c>
      <c r="E723" s="4" t="s">
        <v>25</v>
      </c>
      <c r="F723" s="4" t="s">
        <v>25</v>
      </c>
      <c r="G723" s="4" t="s">
        <v>25</v>
      </c>
      <c r="H723" s="4" t="s">
        <v>25</v>
      </c>
      <c r="I723" s="5">
        <v>44713</v>
      </c>
      <c r="J723" s="6">
        <v>419</v>
      </c>
      <c r="K723" s="6">
        <v>419</v>
      </c>
      <c r="L723" s="6">
        <v>0</v>
      </c>
      <c r="M723" s="6">
        <v>0</v>
      </c>
      <c r="N723" s="6">
        <v>0</v>
      </c>
      <c r="O723" s="6">
        <v>0</v>
      </c>
      <c r="P723" s="6">
        <v>3</v>
      </c>
      <c r="Q723" s="4" t="s">
        <v>26</v>
      </c>
      <c r="R723" s="4">
        <v>0</v>
      </c>
      <c r="S723" s="6">
        <v>27</v>
      </c>
      <c r="T723" s="6">
        <v>0</v>
      </c>
      <c r="U723" s="6">
        <v>0</v>
      </c>
      <c r="V723" s="6">
        <f>IF(ISERROR(VLOOKUP($S$723,'TAR FIN'!$A$1:$O$115,15,0)),0,VLOOKUP($S$723,'TAR FIN'!$A$1:$O$115,15,0))</f>
        <v>19.8</v>
      </c>
      <c r="W723" s="6">
        <f>IF(ISERROR(VLOOKUP($T$723,'TAR FIN'!$A$1:$O$115,15,0)),0,VLOOKUP($T$723,'TAR FIN'!$A$1:$O$115,15,0))</f>
        <v>0</v>
      </c>
      <c r="X723" s="6">
        <f>IF(ISERROR(VLOOKUP($U$723,'TAR FIN'!$A$1:$O$115,15,0)),0,VLOOKUP($U$723,'TAR FIN'!$A$1:$O$115,15,0))</f>
        <v>0</v>
      </c>
      <c r="Y723" s="6">
        <f ca="1">('TUSD BE'!$AM$27+'TUSD BF'!$AM$27+'TUSD CVA'!$AM$27)*1</f>
        <v>20.615214330225772</v>
      </c>
      <c r="Z723" s="6"/>
      <c r="AA723" s="6"/>
      <c r="AB723" s="6">
        <f>$K$723*$V$723</f>
        <v>8296.2000000000007</v>
      </c>
      <c r="AC723" s="6">
        <f>$M$723*$W$723</f>
        <v>0</v>
      </c>
      <c r="AD723" s="6">
        <f>$O$723*$X$723</f>
        <v>0</v>
      </c>
      <c r="AE723" s="6">
        <f ca="1">$K$723*$Y$723</f>
        <v>8637.7748043645988</v>
      </c>
      <c r="AF723" s="6">
        <f>$M$723*$Z$723</f>
        <v>0</v>
      </c>
      <c r="AG723" s="6">
        <f>$O$723*$AA$723</f>
        <v>0</v>
      </c>
    </row>
    <row r="724" spans="1:33" ht="11.25" customHeight="1" x14ac:dyDescent="0.25">
      <c r="A724" s="4" t="s">
        <v>21</v>
      </c>
      <c r="B724" s="4" t="s">
        <v>41</v>
      </c>
      <c r="C724" s="4" t="s">
        <v>44</v>
      </c>
      <c r="D724" s="4" t="s">
        <v>40</v>
      </c>
      <c r="E724" s="4" t="s">
        <v>25</v>
      </c>
      <c r="F724" s="4" t="s">
        <v>25</v>
      </c>
      <c r="G724" s="4" t="s">
        <v>25</v>
      </c>
      <c r="H724" s="4" t="s">
        <v>25</v>
      </c>
      <c r="I724" s="5">
        <v>44743</v>
      </c>
      <c r="J724" s="6">
        <v>10784</v>
      </c>
      <c r="K724" s="6">
        <v>10784</v>
      </c>
      <c r="L724" s="6">
        <v>0</v>
      </c>
      <c r="M724" s="6">
        <v>0</v>
      </c>
      <c r="N724" s="6">
        <v>0</v>
      </c>
      <c r="O724" s="6">
        <v>0</v>
      </c>
      <c r="P724" s="6">
        <v>63</v>
      </c>
      <c r="Q724" s="4" t="s">
        <v>26</v>
      </c>
      <c r="R724" s="4">
        <v>0</v>
      </c>
      <c r="S724" s="6">
        <v>27</v>
      </c>
      <c r="T724" s="6">
        <v>0</v>
      </c>
      <c r="U724" s="6">
        <v>0</v>
      </c>
      <c r="V724" s="6">
        <f>IF(ISERROR(VLOOKUP($S$724,'TAR FIN'!$A$1:$O$115,15,0)),0,VLOOKUP($S$724,'TAR FIN'!$A$1:$O$115,15,0))</f>
        <v>19.8</v>
      </c>
      <c r="W724" s="6">
        <f>IF(ISERROR(VLOOKUP($T$724,'TAR FIN'!$A$1:$O$115,15,0)),0,VLOOKUP($T$724,'TAR FIN'!$A$1:$O$115,15,0))</f>
        <v>0</v>
      </c>
      <c r="X724" s="6">
        <f>IF(ISERROR(VLOOKUP($U$724,'TAR FIN'!$A$1:$O$115,15,0)),0,VLOOKUP($U$724,'TAR FIN'!$A$1:$O$115,15,0))</f>
        <v>0</v>
      </c>
      <c r="Y724" s="6">
        <f ca="1">('TUSD BE'!$AM$27+'TUSD BF'!$AM$27+'TUSD CVA'!$AM$27)*1</f>
        <v>20.615214330225772</v>
      </c>
      <c r="Z724" s="6"/>
      <c r="AA724" s="6"/>
      <c r="AB724" s="6">
        <f>$K$724*$V$724</f>
        <v>213523.20000000001</v>
      </c>
      <c r="AC724" s="6">
        <f>$M$724*$W$724</f>
        <v>0</v>
      </c>
      <c r="AD724" s="6">
        <f>$O$724*$X$724</f>
        <v>0</v>
      </c>
      <c r="AE724" s="6">
        <f ca="1">$K$724*$Y$724</f>
        <v>222314.47133715471</v>
      </c>
      <c r="AF724" s="6">
        <f>$M$724*$Z$724</f>
        <v>0</v>
      </c>
      <c r="AG724" s="6">
        <f>$O$724*$AA$724</f>
        <v>0</v>
      </c>
    </row>
    <row r="725" spans="1:33" ht="11.25" customHeight="1" x14ac:dyDescent="0.25">
      <c r="A725" s="4" t="s">
        <v>28</v>
      </c>
      <c r="B725" s="4" t="s">
        <v>41</v>
      </c>
      <c r="C725" s="4" t="s">
        <v>44</v>
      </c>
      <c r="D725" s="4" t="s">
        <v>40</v>
      </c>
      <c r="E725" s="4" t="s">
        <v>25</v>
      </c>
      <c r="F725" s="4" t="s">
        <v>25</v>
      </c>
      <c r="G725" s="4" t="s">
        <v>25</v>
      </c>
      <c r="H725" s="4" t="s">
        <v>25</v>
      </c>
      <c r="I725" s="5">
        <v>44743</v>
      </c>
      <c r="J725" s="6">
        <v>1544</v>
      </c>
      <c r="K725" s="6">
        <v>1544</v>
      </c>
      <c r="L725" s="6">
        <v>0</v>
      </c>
      <c r="M725" s="6">
        <v>0</v>
      </c>
      <c r="N725" s="6">
        <v>0</v>
      </c>
      <c r="O725" s="6">
        <v>0</v>
      </c>
      <c r="P725" s="6">
        <v>13</v>
      </c>
      <c r="Q725" s="4" t="s">
        <v>26</v>
      </c>
      <c r="R725" s="4">
        <v>0</v>
      </c>
      <c r="S725" s="6">
        <v>27</v>
      </c>
      <c r="T725" s="6">
        <v>0</v>
      </c>
      <c r="U725" s="6">
        <v>0</v>
      </c>
      <c r="V725" s="6">
        <f>IF(ISERROR(VLOOKUP($S$725,'TAR FIN'!$A$1:$O$115,15,0)),0,VLOOKUP($S$725,'TAR FIN'!$A$1:$O$115,15,0))</f>
        <v>19.8</v>
      </c>
      <c r="W725" s="6">
        <f>IF(ISERROR(VLOOKUP($T$725,'TAR FIN'!$A$1:$O$115,15,0)),0,VLOOKUP($T$725,'TAR FIN'!$A$1:$O$115,15,0))</f>
        <v>0</v>
      </c>
      <c r="X725" s="6">
        <f>IF(ISERROR(VLOOKUP($U$725,'TAR FIN'!$A$1:$O$115,15,0)),0,VLOOKUP($U$725,'TAR FIN'!$A$1:$O$115,15,0))</f>
        <v>0</v>
      </c>
      <c r="Y725" s="6">
        <f ca="1">('TUSD BE'!$AM$27+'TUSD BF'!$AM$27+'TUSD CVA'!$AM$27)*1</f>
        <v>20.615214330225772</v>
      </c>
      <c r="Z725" s="6"/>
      <c r="AA725" s="6"/>
      <c r="AB725" s="6">
        <f>$K$725*$V$725</f>
        <v>30571.200000000001</v>
      </c>
      <c r="AC725" s="6">
        <f>$M$725*$W$725</f>
        <v>0</v>
      </c>
      <c r="AD725" s="6">
        <f>$O$725*$X$725</f>
        <v>0</v>
      </c>
      <c r="AE725" s="6">
        <f ca="1">$K$725*$Y$725</f>
        <v>31829.890925868593</v>
      </c>
      <c r="AF725" s="6">
        <f>$M$725*$Z$725</f>
        <v>0</v>
      </c>
      <c r="AG725" s="6">
        <f>$O$725*$AA$725</f>
        <v>0</v>
      </c>
    </row>
    <row r="726" spans="1:33" ht="11.25" customHeight="1" x14ac:dyDescent="0.25">
      <c r="A726" s="4" t="s">
        <v>30</v>
      </c>
      <c r="B726" s="4" t="s">
        <v>41</v>
      </c>
      <c r="C726" s="4" t="s">
        <v>44</v>
      </c>
      <c r="D726" s="4" t="s">
        <v>40</v>
      </c>
      <c r="E726" s="4" t="s">
        <v>25</v>
      </c>
      <c r="F726" s="4" t="s">
        <v>25</v>
      </c>
      <c r="G726" s="4" t="s">
        <v>25</v>
      </c>
      <c r="H726" s="4" t="s">
        <v>25</v>
      </c>
      <c r="I726" s="5">
        <v>44743</v>
      </c>
      <c r="J726" s="6">
        <v>410</v>
      </c>
      <c r="K726" s="6">
        <v>410</v>
      </c>
      <c r="L726" s="6">
        <v>0</v>
      </c>
      <c r="M726" s="6">
        <v>0</v>
      </c>
      <c r="N726" s="6">
        <v>0</v>
      </c>
      <c r="O726" s="6">
        <v>0</v>
      </c>
      <c r="P726" s="6">
        <v>3</v>
      </c>
      <c r="Q726" s="4" t="s">
        <v>26</v>
      </c>
      <c r="R726" s="4">
        <v>0</v>
      </c>
      <c r="S726" s="6">
        <v>27</v>
      </c>
      <c r="T726" s="6">
        <v>0</v>
      </c>
      <c r="U726" s="6">
        <v>0</v>
      </c>
      <c r="V726" s="6">
        <f>IF(ISERROR(VLOOKUP($S$726,'TAR FIN'!$A$1:$O$115,15,0)),0,VLOOKUP($S$726,'TAR FIN'!$A$1:$O$115,15,0))</f>
        <v>19.8</v>
      </c>
      <c r="W726" s="6">
        <f>IF(ISERROR(VLOOKUP($T$726,'TAR FIN'!$A$1:$O$115,15,0)),0,VLOOKUP($T$726,'TAR FIN'!$A$1:$O$115,15,0))</f>
        <v>0</v>
      </c>
      <c r="X726" s="6">
        <f>IF(ISERROR(VLOOKUP($U$726,'TAR FIN'!$A$1:$O$115,15,0)),0,VLOOKUP($U$726,'TAR FIN'!$A$1:$O$115,15,0))</f>
        <v>0</v>
      </c>
      <c r="Y726" s="6">
        <f ca="1">('TUSD BE'!$AM$27+'TUSD BF'!$AM$27+'TUSD CVA'!$AM$27)*1</f>
        <v>20.615214330225772</v>
      </c>
      <c r="Z726" s="6"/>
      <c r="AA726" s="6"/>
      <c r="AB726" s="6">
        <f>$K$726*$V$726</f>
        <v>8118</v>
      </c>
      <c r="AC726" s="6">
        <f>$M$726*$W$726</f>
        <v>0</v>
      </c>
      <c r="AD726" s="6">
        <f>$O$726*$X$726</f>
        <v>0</v>
      </c>
      <c r="AE726" s="6">
        <f ca="1">$K$726*$Y$726</f>
        <v>8452.2378753925659</v>
      </c>
      <c r="AF726" s="6">
        <f>$M$726*$Z$726</f>
        <v>0</v>
      </c>
      <c r="AG726" s="6">
        <f>$O$726*$AA$726</f>
        <v>0</v>
      </c>
    </row>
    <row r="727" spans="1:33" ht="11.25" customHeight="1" x14ac:dyDescent="0.25">
      <c r="A727" s="4" t="s">
        <v>21</v>
      </c>
      <c r="B727" s="4" t="s">
        <v>41</v>
      </c>
      <c r="C727" s="4" t="s">
        <v>44</v>
      </c>
      <c r="D727" s="4" t="s">
        <v>40</v>
      </c>
      <c r="E727" s="4" t="s">
        <v>25</v>
      </c>
      <c r="F727" s="4" t="s">
        <v>25</v>
      </c>
      <c r="G727" s="4" t="s">
        <v>25</v>
      </c>
      <c r="H727" s="4" t="s">
        <v>25</v>
      </c>
      <c r="I727" s="5">
        <v>44774</v>
      </c>
      <c r="J727" s="6">
        <v>11067</v>
      </c>
      <c r="K727" s="6">
        <v>11067</v>
      </c>
      <c r="L727" s="6">
        <v>0</v>
      </c>
      <c r="M727" s="6">
        <v>0</v>
      </c>
      <c r="N727" s="6">
        <v>0</v>
      </c>
      <c r="O727" s="6">
        <v>0</v>
      </c>
      <c r="P727" s="6">
        <v>65</v>
      </c>
      <c r="Q727" s="4" t="s">
        <v>26</v>
      </c>
      <c r="R727" s="4">
        <v>0</v>
      </c>
      <c r="S727" s="6">
        <v>27</v>
      </c>
      <c r="T727" s="6">
        <v>0</v>
      </c>
      <c r="U727" s="6">
        <v>0</v>
      </c>
      <c r="V727" s="6">
        <f>IF(ISERROR(VLOOKUP($S$727,'TAR FIN'!$A$1:$O$115,15,0)),0,VLOOKUP($S$727,'TAR FIN'!$A$1:$O$115,15,0))</f>
        <v>19.8</v>
      </c>
      <c r="W727" s="6">
        <f>IF(ISERROR(VLOOKUP($T$727,'TAR FIN'!$A$1:$O$115,15,0)),0,VLOOKUP($T$727,'TAR FIN'!$A$1:$O$115,15,0))</f>
        <v>0</v>
      </c>
      <c r="X727" s="6">
        <f>IF(ISERROR(VLOOKUP($U$727,'TAR FIN'!$A$1:$O$115,15,0)),0,VLOOKUP($U$727,'TAR FIN'!$A$1:$O$115,15,0))</f>
        <v>0</v>
      </c>
      <c r="Y727" s="6">
        <f ca="1">('TUSD BE'!$AM$27+'TUSD BF'!$AM$27+'TUSD CVA'!$AM$27)*1</f>
        <v>20.615214330225772</v>
      </c>
      <c r="Z727" s="6"/>
      <c r="AA727" s="6"/>
      <c r="AB727" s="6">
        <f>$K$727*$V$727</f>
        <v>219126.6</v>
      </c>
      <c r="AC727" s="6">
        <f>$M$727*$W$727</f>
        <v>0</v>
      </c>
      <c r="AD727" s="6">
        <f>$O$727*$X$727</f>
        <v>0</v>
      </c>
      <c r="AE727" s="6">
        <f ca="1">$K$727*$Y$727</f>
        <v>228148.57699260861</v>
      </c>
      <c r="AF727" s="6">
        <f>$M$727*$Z$727</f>
        <v>0</v>
      </c>
      <c r="AG727" s="6">
        <f>$O$727*$AA$727</f>
        <v>0</v>
      </c>
    </row>
    <row r="728" spans="1:33" ht="11.25" customHeight="1" x14ac:dyDescent="0.25">
      <c r="A728" s="4" t="s">
        <v>28</v>
      </c>
      <c r="B728" s="4" t="s">
        <v>41</v>
      </c>
      <c r="C728" s="4" t="s">
        <v>44</v>
      </c>
      <c r="D728" s="4" t="s">
        <v>40</v>
      </c>
      <c r="E728" s="4" t="s">
        <v>25</v>
      </c>
      <c r="F728" s="4" t="s">
        <v>25</v>
      </c>
      <c r="G728" s="4" t="s">
        <v>25</v>
      </c>
      <c r="H728" s="4" t="s">
        <v>25</v>
      </c>
      <c r="I728" s="5">
        <v>44774</v>
      </c>
      <c r="J728" s="6">
        <v>1577</v>
      </c>
      <c r="K728" s="6">
        <v>1577</v>
      </c>
      <c r="L728" s="6">
        <v>0</v>
      </c>
      <c r="M728" s="6">
        <v>0</v>
      </c>
      <c r="N728" s="6">
        <v>0</v>
      </c>
      <c r="O728" s="6">
        <v>0</v>
      </c>
      <c r="P728" s="6">
        <v>13</v>
      </c>
      <c r="Q728" s="4" t="s">
        <v>26</v>
      </c>
      <c r="R728" s="4">
        <v>0</v>
      </c>
      <c r="S728" s="6">
        <v>27</v>
      </c>
      <c r="T728" s="6">
        <v>0</v>
      </c>
      <c r="U728" s="6">
        <v>0</v>
      </c>
      <c r="V728" s="6">
        <f>IF(ISERROR(VLOOKUP($S$728,'TAR FIN'!$A$1:$O$115,15,0)),0,VLOOKUP($S$728,'TAR FIN'!$A$1:$O$115,15,0))</f>
        <v>19.8</v>
      </c>
      <c r="W728" s="6">
        <f>IF(ISERROR(VLOOKUP($T$728,'TAR FIN'!$A$1:$O$115,15,0)),0,VLOOKUP($T$728,'TAR FIN'!$A$1:$O$115,15,0))</f>
        <v>0</v>
      </c>
      <c r="X728" s="6">
        <f>IF(ISERROR(VLOOKUP($U$728,'TAR FIN'!$A$1:$O$115,15,0)),0,VLOOKUP($U$728,'TAR FIN'!$A$1:$O$115,15,0))</f>
        <v>0</v>
      </c>
      <c r="Y728" s="6">
        <f ca="1">('TUSD BE'!$AM$27+'TUSD BF'!$AM$27+'TUSD CVA'!$AM$27)*1</f>
        <v>20.615214330225772</v>
      </c>
      <c r="Z728" s="6"/>
      <c r="AA728" s="6"/>
      <c r="AB728" s="6">
        <f>$K$728*$V$728</f>
        <v>31224.600000000002</v>
      </c>
      <c r="AC728" s="6">
        <f>$M$728*$W$728</f>
        <v>0</v>
      </c>
      <c r="AD728" s="6">
        <f>$O$728*$X$728</f>
        <v>0</v>
      </c>
      <c r="AE728" s="6">
        <f ca="1">$K$728*$Y$728</f>
        <v>32510.192998766044</v>
      </c>
      <c r="AF728" s="6">
        <f>$M$728*$Z$728</f>
        <v>0</v>
      </c>
      <c r="AG728" s="6">
        <f>$O$728*$AA$728</f>
        <v>0</v>
      </c>
    </row>
    <row r="729" spans="1:33" ht="11.25" customHeight="1" x14ac:dyDescent="0.25">
      <c r="A729" s="4" t="s">
        <v>30</v>
      </c>
      <c r="B729" s="4" t="s">
        <v>41</v>
      </c>
      <c r="C729" s="4" t="s">
        <v>44</v>
      </c>
      <c r="D729" s="4" t="s">
        <v>40</v>
      </c>
      <c r="E729" s="4" t="s">
        <v>25</v>
      </c>
      <c r="F729" s="4" t="s">
        <v>25</v>
      </c>
      <c r="G729" s="4" t="s">
        <v>25</v>
      </c>
      <c r="H729" s="4" t="s">
        <v>25</v>
      </c>
      <c r="I729" s="5">
        <v>44774</v>
      </c>
      <c r="J729" s="6">
        <v>418</v>
      </c>
      <c r="K729" s="6">
        <v>418</v>
      </c>
      <c r="L729" s="6">
        <v>0</v>
      </c>
      <c r="M729" s="6">
        <v>0</v>
      </c>
      <c r="N729" s="6">
        <v>0</v>
      </c>
      <c r="O729" s="6">
        <v>0</v>
      </c>
      <c r="P729" s="6">
        <v>3</v>
      </c>
      <c r="Q729" s="4" t="s">
        <v>26</v>
      </c>
      <c r="R729" s="4">
        <v>0</v>
      </c>
      <c r="S729" s="6">
        <v>27</v>
      </c>
      <c r="T729" s="6">
        <v>0</v>
      </c>
      <c r="U729" s="6">
        <v>0</v>
      </c>
      <c r="V729" s="6">
        <f>IF(ISERROR(VLOOKUP($S$729,'TAR FIN'!$A$1:$O$115,15,0)),0,VLOOKUP($S$729,'TAR FIN'!$A$1:$O$115,15,0))</f>
        <v>19.8</v>
      </c>
      <c r="W729" s="6">
        <f>IF(ISERROR(VLOOKUP($T$729,'TAR FIN'!$A$1:$O$115,15,0)),0,VLOOKUP($T$729,'TAR FIN'!$A$1:$O$115,15,0))</f>
        <v>0</v>
      </c>
      <c r="X729" s="6">
        <f>IF(ISERROR(VLOOKUP($U$729,'TAR FIN'!$A$1:$O$115,15,0)),0,VLOOKUP($U$729,'TAR FIN'!$A$1:$O$115,15,0))</f>
        <v>0</v>
      </c>
      <c r="Y729" s="6">
        <f ca="1">('TUSD BE'!$AM$27+'TUSD BF'!$AM$27+'TUSD CVA'!$AM$27)*1</f>
        <v>20.615214330225772</v>
      </c>
      <c r="Z729" s="6"/>
      <c r="AA729" s="6"/>
      <c r="AB729" s="6">
        <f>$K$729*$V$729</f>
        <v>8276.4</v>
      </c>
      <c r="AC729" s="6">
        <f>$M$729*$W$729</f>
        <v>0</v>
      </c>
      <c r="AD729" s="6">
        <f>$O$729*$X$729</f>
        <v>0</v>
      </c>
      <c r="AE729" s="6">
        <f ca="1">$K$729*$Y$729</f>
        <v>8617.1595900343727</v>
      </c>
      <c r="AF729" s="6">
        <f>$M$729*$Z$729</f>
        <v>0</v>
      </c>
      <c r="AG729" s="6">
        <f>$O$729*$AA$729</f>
        <v>0</v>
      </c>
    </row>
    <row r="730" spans="1:33" ht="11.25" customHeight="1" x14ac:dyDescent="0.25">
      <c r="A730" s="4" t="s">
        <v>21</v>
      </c>
      <c r="B730" s="4" t="s">
        <v>41</v>
      </c>
      <c r="C730" s="4" t="s">
        <v>44</v>
      </c>
      <c r="D730" s="4" t="s">
        <v>40</v>
      </c>
      <c r="E730" s="4" t="s">
        <v>25</v>
      </c>
      <c r="F730" s="4" t="s">
        <v>25</v>
      </c>
      <c r="G730" s="4" t="s">
        <v>25</v>
      </c>
      <c r="H730" s="4" t="s">
        <v>25</v>
      </c>
      <c r="I730" s="5">
        <v>44805</v>
      </c>
      <c r="J730" s="6">
        <v>11220</v>
      </c>
      <c r="K730" s="6">
        <v>11220</v>
      </c>
      <c r="L730" s="6">
        <v>0</v>
      </c>
      <c r="M730" s="6">
        <v>0</v>
      </c>
      <c r="N730" s="6">
        <v>0</v>
      </c>
      <c r="O730" s="6">
        <v>0</v>
      </c>
      <c r="P730" s="6">
        <v>67</v>
      </c>
      <c r="Q730" s="4" t="s">
        <v>26</v>
      </c>
      <c r="R730" s="4">
        <v>0</v>
      </c>
      <c r="S730" s="6">
        <v>27</v>
      </c>
      <c r="T730" s="6">
        <v>0</v>
      </c>
      <c r="U730" s="6">
        <v>0</v>
      </c>
      <c r="V730" s="6">
        <f>IF(ISERROR(VLOOKUP($S$730,'TAR FIN'!$A$1:$O$115,15,0)),0,VLOOKUP($S$730,'TAR FIN'!$A$1:$O$115,15,0))</f>
        <v>19.8</v>
      </c>
      <c r="W730" s="6">
        <f>IF(ISERROR(VLOOKUP($T$730,'TAR FIN'!$A$1:$O$115,15,0)),0,VLOOKUP($T$730,'TAR FIN'!$A$1:$O$115,15,0))</f>
        <v>0</v>
      </c>
      <c r="X730" s="6">
        <f>IF(ISERROR(VLOOKUP($U$730,'TAR FIN'!$A$1:$O$115,15,0)),0,VLOOKUP($U$730,'TAR FIN'!$A$1:$O$115,15,0))</f>
        <v>0</v>
      </c>
      <c r="Y730" s="6">
        <f ca="1">('TUSD BE'!$AM$27+'TUSD BF'!$AM$27+'TUSD CVA'!$AM$27)*1</f>
        <v>20.615214330225772</v>
      </c>
      <c r="Z730" s="6"/>
      <c r="AA730" s="6"/>
      <c r="AB730" s="6">
        <f>$K$730*$V$730</f>
        <v>222156</v>
      </c>
      <c r="AC730" s="6">
        <f>$M$730*$W$730</f>
        <v>0</v>
      </c>
      <c r="AD730" s="6">
        <f>$O$730*$X$730</f>
        <v>0</v>
      </c>
      <c r="AE730" s="6">
        <f ca="1">$K$730*$Y$730</f>
        <v>231302.70478513316</v>
      </c>
      <c r="AF730" s="6">
        <f>$M$730*$Z$730</f>
        <v>0</v>
      </c>
      <c r="AG730" s="6">
        <f>$O$730*$AA$730</f>
        <v>0</v>
      </c>
    </row>
    <row r="731" spans="1:33" ht="11.25" customHeight="1" x14ac:dyDescent="0.25">
      <c r="A731" s="4" t="s">
        <v>28</v>
      </c>
      <c r="B731" s="4" t="s">
        <v>41</v>
      </c>
      <c r="C731" s="4" t="s">
        <v>44</v>
      </c>
      <c r="D731" s="4" t="s">
        <v>40</v>
      </c>
      <c r="E731" s="4" t="s">
        <v>25</v>
      </c>
      <c r="F731" s="4" t="s">
        <v>25</v>
      </c>
      <c r="G731" s="4" t="s">
        <v>25</v>
      </c>
      <c r="H731" s="4" t="s">
        <v>25</v>
      </c>
      <c r="I731" s="5">
        <v>44805</v>
      </c>
      <c r="J731" s="6">
        <v>1592</v>
      </c>
      <c r="K731" s="6">
        <v>1592</v>
      </c>
      <c r="L731" s="6">
        <v>0</v>
      </c>
      <c r="M731" s="6">
        <v>0</v>
      </c>
      <c r="N731" s="6">
        <v>0</v>
      </c>
      <c r="O731" s="6">
        <v>0</v>
      </c>
      <c r="P731" s="6">
        <v>13</v>
      </c>
      <c r="Q731" s="4" t="s">
        <v>26</v>
      </c>
      <c r="R731" s="4">
        <v>0</v>
      </c>
      <c r="S731" s="6">
        <v>27</v>
      </c>
      <c r="T731" s="6">
        <v>0</v>
      </c>
      <c r="U731" s="6">
        <v>0</v>
      </c>
      <c r="V731" s="6">
        <f>IF(ISERROR(VLOOKUP($S$731,'TAR FIN'!$A$1:$O$115,15,0)),0,VLOOKUP($S$731,'TAR FIN'!$A$1:$O$115,15,0))</f>
        <v>19.8</v>
      </c>
      <c r="W731" s="6">
        <f>IF(ISERROR(VLOOKUP($T$731,'TAR FIN'!$A$1:$O$115,15,0)),0,VLOOKUP($T$731,'TAR FIN'!$A$1:$O$115,15,0))</f>
        <v>0</v>
      </c>
      <c r="X731" s="6">
        <f>IF(ISERROR(VLOOKUP($U$731,'TAR FIN'!$A$1:$O$115,15,0)),0,VLOOKUP($U$731,'TAR FIN'!$A$1:$O$115,15,0))</f>
        <v>0</v>
      </c>
      <c r="Y731" s="6">
        <f ca="1">('TUSD BE'!$AM$27+'TUSD BF'!$AM$27+'TUSD CVA'!$AM$27)*1</f>
        <v>20.615214330225772</v>
      </c>
      <c r="Z731" s="6"/>
      <c r="AA731" s="6"/>
      <c r="AB731" s="6">
        <f>$K$731*$V$731</f>
        <v>31521.600000000002</v>
      </c>
      <c r="AC731" s="6">
        <f>$M$731*$W$731</f>
        <v>0</v>
      </c>
      <c r="AD731" s="6">
        <f>$O$731*$X$731</f>
        <v>0</v>
      </c>
      <c r="AE731" s="6">
        <f ca="1">$K$731*$Y$731</f>
        <v>32819.421213719426</v>
      </c>
      <c r="AF731" s="6">
        <f>$M$731*$Z$731</f>
        <v>0</v>
      </c>
      <c r="AG731" s="6">
        <f>$O$731*$AA$731</f>
        <v>0</v>
      </c>
    </row>
    <row r="732" spans="1:33" ht="11.25" customHeight="1" x14ac:dyDescent="0.25">
      <c r="A732" s="4" t="s">
        <v>30</v>
      </c>
      <c r="B732" s="4" t="s">
        <v>41</v>
      </c>
      <c r="C732" s="4" t="s">
        <v>44</v>
      </c>
      <c r="D732" s="4" t="s">
        <v>40</v>
      </c>
      <c r="E732" s="4" t="s">
        <v>25</v>
      </c>
      <c r="F732" s="4" t="s">
        <v>25</v>
      </c>
      <c r="G732" s="4" t="s">
        <v>25</v>
      </c>
      <c r="H732" s="4" t="s">
        <v>25</v>
      </c>
      <c r="I732" s="5">
        <v>44805</v>
      </c>
      <c r="J732" s="6">
        <v>425</v>
      </c>
      <c r="K732" s="6">
        <v>425</v>
      </c>
      <c r="L732" s="6">
        <v>0</v>
      </c>
      <c r="M732" s="6">
        <v>0</v>
      </c>
      <c r="N732" s="6">
        <v>0</v>
      </c>
      <c r="O732" s="6">
        <v>0</v>
      </c>
      <c r="P732" s="6">
        <v>3</v>
      </c>
      <c r="Q732" s="4" t="s">
        <v>26</v>
      </c>
      <c r="R732" s="4">
        <v>0</v>
      </c>
      <c r="S732" s="6">
        <v>27</v>
      </c>
      <c r="T732" s="6">
        <v>0</v>
      </c>
      <c r="U732" s="6">
        <v>0</v>
      </c>
      <c r="V732" s="6">
        <f>IF(ISERROR(VLOOKUP($S$732,'TAR FIN'!$A$1:$O$115,15,0)),0,VLOOKUP($S$732,'TAR FIN'!$A$1:$O$115,15,0))</f>
        <v>19.8</v>
      </c>
      <c r="W732" s="6">
        <f>IF(ISERROR(VLOOKUP($T$732,'TAR FIN'!$A$1:$O$115,15,0)),0,VLOOKUP($T$732,'TAR FIN'!$A$1:$O$115,15,0))</f>
        <v>0</v>
      </c>
      <c r="X732" s="6">
        <f>IF(ISERROR(VLOOKUP($U$732,'TAR FIN'!$A$1:$O$115,15,0)),0,VLOOKUP($U$732,'TAR FIN'!$A$1:$O$115,15,0))</f>
        <v>0</v>
      </c>
      <c r="Y732" s="6">
        <f ca="1">('TUSD BE'!$AM$27+'TUSD BF'!$AM$27+'TUSD CVA'!$AM$27)*1</f>
        <v>20.615214330225772</v>
      </c>
      <c r="Z732" s="6"/>
      <c r="AA732" s="6"/>
      <c r="AB732" s="6">
        <f>$K$732*$V$732</f>
        <v>8415</v>
      </c>
      <c r="AC732" s="6">
        <f>$M$732*$W$732</f>
        <v>0</v>
      </c>
      <c r="AD732" s="6">
        <f>$O$732*$X$732</f>
        <v>0</v>
      </c>
      <c r="AE732" s="6">
        <f ca="1">$K$732*$Y$732</f>
        <v>8761.4660903459535</v>
      </c>
      <c r="AF732" s="6">
        <f>$M$732*$Z$732</f>
        <v>0</v>
      </c>
      <c r="AG732" s="6">
        <f>$O$732*$AA$732</f>
        <v>0</v>
      </c>
    </row>
    <row r="733" spans="1:33" ht="11.25" customHeight="1" x14ac:dyDescent="0.25">
      <c r="A733" s="4" t="s">
        <v>21</v>
      </c>
      <c r="B733" s="4" t="s">
        <v>41</v>
      </c>
      <c r="C733" s="4" t="s">
        <v>44</v>
      </c>
      <c r="D733" s="4" t="s">
        <v>40</v>
      </c>
      <c r="E733" s="4" t="s">
        <v>25</v>
      </c>
      <c r="F733" s="4" t="s">
        <v>25</v>
      </c>
      <c r="G733" s="4" t="s">
        <v>25</v>
      </c>
      <c r="H733" s="4" t="s">
        <v>25</v>
      </c>
      <c r="I733" s="5">
        <v>44835</v>
      </c>
      <c r="J733" s="6">
        <v>11595</v>
      </c>
      <c r="K733" s="6">
        <v>11595</v>
      </c>
      <c r="L733" s="6">
        <v>0</v>
      </c>
      <c r="M733" s="6">
        <v>0</v>
      </c>
      <c r="N733" s="6">
        <v>0</v>
      </c>
      <c r="O733" s="6">
        <v>0</v>
      </c>
      <c r="P733" s="6">
        <v>69</v>
      </c>
      <c r="Q733" s="4" t="s">
        <v>26</v>
      </c>
      <c r="R733" s="4">
        <v>0</v>
      </c>
      <c r="S733" s="6">
        <v>27</v>
      </c>
      <c r="T733" s="6">
        <v>0</v>
      </c>
      <c r="U733" s="6">
        <v>0</v>
      </c>
      <c r="V733" s="6">
        <f>IF(ISERROR(VLOOKUP($S$733,'TAR FIN'!$A$1:$O$115,15,0)),0,VLOOKUP($S$733,'TAR FIN'!$A$1:$O$115,15,0))</f>
        <v>19.8</v>
      </c>
      <c r="W733" s="6">
        <f>IF(ISERROR(VLOOKUP($T$733,'TAR FIN'!$A$1:$O$115,15,0)),0,VLOOKUP($T$733,'TAR FIN'!$A$1:$O$115,15,0))</f>
        <v>0</v>
      </c>
      <c r="X733" s="6">
        <f>IF(ISERROR(VLOOKUP($U$733,'TAR FIN'!$A$1:$O$115,15,0)),0,VLOOKUP($U$733,'TAR FIN'!$A$1:$O$115,15,0))</f>
        <v>0</v>
      </c>
      <c r="Y733" s="6">
        <f ca="1">('TUSD BE'!$AM$27+'TUSD BF'!$AM$27+'TUSD CVA'!$AM$27)*1</f>
        <v>20.615214330225772</v>
      </c>
      <c r="Z733" s="6"/>
      <c r="AA733" s="6"/>
      <c r="AB733" s="6">
        <f>$K$733*$V$733</f>
        <v>229581</v>
      </c>
      <c r="AC733" s="6">
        <f>$M$733*$W$733</f>
        <v>0</v>
      </c>
      <c r="AD733" s="6">
        <f>$O$733*$X$733</f>
        <v>0</v>
      </c>
      <c r="AE733" s="6">
        <f ca="1">$K$733*$Y$733</f>
        <v>239033.41015896783</v>
      </c>
      <c r="AF733" s="6">
        <f>$M$733*$Z$733</f>
        <v>0</v>
      </c>
      <c r="AG733" s="6">
        <f>$O$733*$AA$733</f>
        <v>0</v>
      </c>
    </row>
    <row r="734" spans="1:33" ht="11.25" customHeight="1" x14ac:dyDescent="0.25">
      <c r="A734" s="4" t="s">
        <v>28</v>
      </c>
      <c r="B734" s="4" t="s">
        <v>41</v>
      </c>
      <c r="C734" s="4" t="s">
        <v>44</v>
      </c>
      <c r="D734" s="4" t="s">
        <v>40</v>
      </c>
      <c r="E734" s="4" t="s">
        <v>25</v>
      </c>
      <c r="F734" s="4" t="s">
        <v>25</v>
      </c>
      <c r="G734" s="4" t="s">
        <v>25</v>
      </c>
      <c r="H734" s="4" t="s">
        <v>25</v>
      </c>
      <c r="I734" s="5">
        <v>44835</v>
      </c>
      <c r="J734" s="6">
        <v>1571</v>
      </c>
      <c r="K734" s="6">
        <v>1571</v>
      </c>
      <c r="L734" s="6">
        <v>0</v>
      </c>
      <c r="M734" s="6">
        <v>0</v>
      </c>
      <c r="N734" s="6">
        <v>0</v>
      </c>
      <c r="O734" s="6">
        <v>0</v>
      </c>
      <c r="P734" s="6">
        <v>13</v>
      </c>
      <c r="Q734" s="4" t="s">
        <v>26</v>
      </c>
      <c r="R734" s="4">
        <v>0</v>
      </c>
      <c r="S734" s="6">
        <v>27</v>
      </c>
      <c r="T734" s="6">
        <v>0</v>
      </c>
      <c r="U734" s="6">
        <v>0</v>
      </c>
      <c r="V734" s="6">
        <f>IF(ISERROR(VLOOKUP($S$734,'TAR FIN'!$A$1:$O$115,15,0)),0,VLOOKUP($S$734,'TAR FIN'!$A$1:$O$115,15,0))</f>
        <v>19.8</v>
      </c>
      <c r="W734" s="6">
        <f>IF(ISERROR(VLOOKUP($T$734,'TAR FIN'!$A$1:$O$115,15,0)),0,VLOOKUP($T$734,'TAR FIN'!$A$1:$O$115,15,0))</f>
        <v>0</v>
      </c>
      <c r="X734" s="6">
        <f>IF(ISERROR(VLOOKUP($U$734,'TAR FIN'!$A$1:$O$115,15,0)),0,VLOOKUP($U$734,'TAR FIN'!$A$1:$O$115,15,0))</f>
        <v>0</v>
      </c>
      <c r="Y734" s="6">
        <f ca="1">('TUSD BE'!$AM$27+'TUSD BF'!$AM$27+'TUSD CVA'!$AM$27)*1</f>
        <v>20.615214330225772</v>
      </c>
      <c r="Z734" s="6"/>
      <c r="AA734" s="6"/>
      <c r="AB734" s="6">
        <f>$K$734*$V$734</f>
        <v>31105.800000000003</v>
      </c>
      <c r="AC734" s="6">
        <f>$M$734*$W$734</f>
        <v>0</v>
      </c>
      <c r="AD734" s="6">
        <f>$O$734*$X$734</f>
        <v>0</v>
      </c>
      <c r="AE734" s="6">
        <f ca="1">$K$734*$Y$734</f>
        <v>32386.501712784688</v>
      </c>
      <c r="AF734" s="6">
        <f>$M$734*$Z$734</f>
        <v>0</v>
      </c>
      <c r="AG734" s="6">
        <f>$O$734*$AA$734</f>
        <v>0</v>
      </c>
    </row>
    <row r="735" spans="1:33" ht="11.25" customHeight="1" x14ac:dyDescent="0.25">
      <c r="A735" s="4" t="s">
        <v>30</v>
      </c>
      <c r="B735" s="4" t="s">
        <v>41</v>
      </c>
      <c r="C735" s="4" t="s">
        <v>44</v>
      </c>
      <c r="D735" s="4" t="s">
        <v>40</v>
      </c>
      <c r="E735" s="4" t="s">
        <v>25</v>
      </c>
      <c r="F735" s="4" t="s">
        <v>25</v>
      </c>
      <c r="G735" s="4" t="s">
        <v>25</v>
      </c>
      <c r="H735" s="4" t="s">
        <v>25</v>
      </c>
      <c r="I735" s="5">
        <v>44835</v>
      </c>
      <c r="J735" s="6">
        <v>413</v>
      </c>
      <c r="K735" s="6">
        <v>413</v>
      </c>
      <c r="L735" s="6">
        <v>0</v>
      </c>
      <c r="M735" s="6">
        <v>0</v>
      </c>
      <c r="N735" s="6">
        <v>0</v>
      </c>
      <c r="O735" s="6">
        <v>0</v>
      </c>
      <c r="P735" s="6">
        <v>3</v>
      </c>
      <c r="Q735" s="4" t="s">
        <v>26</v>
      </c>
      <c r="R735" s="4">
        <v>0</v>
      </c>
      <c r="S735" s="6">
        <v>27</v>
      </c>
      <c r="T735" s="6">
        <v>0</v>
      </c>
      <c r="U735" s="6">
        <v>0</v>
      </c>
      <c r="V735" s="6">
        <f>IF(ISERROR(VLOOKUP($S$735,'TAR FIN'!$A$1:$O$115,15,0)),0,VLOOKUP($S$735,'TAR FIN'!$A$1:$O$115,15,0))</f>
        <v>19.8</v>
      </c>
      <c r="W735" s="6">
        <f>IF(ISERROR(VLOOKUP($T$735,'TAR FIN'!$A$1:$O$115,15,0)),0,VLOOKUP($T$735,'TAR FIN'!$A$1:$O$115,15,0))</f>
        <v>0</v>
      </c>
      <c r="X735" s="6">
        <f>IF(ISERROR(VLOOKUP($U$735,'TAR FIN'!$A$1:$O$115,15,0)),0,VLOOKUP($U$735,'TAR FIN'!$A$1:$O$115,15,0))</f>
        <v>0</v>
      </c>
      <c r="Y735" s="6">
        <f ca="1">('TUSD BE'!$AM$27+'TUSD BF'!$AM$27+'TUSD CVA'!$AM$27)*1</f>
        <v>20.615214330225772</v>
      </c>
      <c r="Z735" s="6"/>
      <c r="AA735" s="6"/>
      <c r="AB735" s="6">
        <f>$K$735*$V$735</f>
        <v>8177.4000000000005</v>
      </c>
      <c r="AC735" s="6">
        <f>$M$735*$W$735</f>
        <v>0</v>
      </c>
      <c r="AD735" s="6">
        <f>$O$735*$X$735</f>
        <v>0</v>
      </c>
      <c r="AE735" s="6">
        <f ca="1">$K$735*$Y$735</f>
        <v>8514.0835183832442</v>
      </c>
      <c r="AF735" s="6">
        <f>$M$735*$Z$735</f>
        <v>0</v>
      </c>
      <c r="AG735" s="6">
        <f>$O$735*$AA$735</f>
        <v>0</v>
      </c>
    </row>
    <row r="736" spans="1:33" ht="11.25" customHeight="1" x14ac:dyDescent="0.25">
      <c r="A736" s="4" t="s">
        <v>59</v>
      </c>
      <c r="B736" s="4" t="s">
        <v>41</v>
      </c>
      <c r="C736" s="4" t="s">
        <v>44</v>
      </c>
      <c r="D736" s="4" t="s">
        <v>40</v>
      </c>
      <c r="E736" s="4" t="s">
        <v>25</v>
      </c>
      <c r="F736" s="4" t="s">
        <v>25</v>
      </c>
      <c r="G736" s="4" t="s">
        <v>25</v>
      </c>
      <c r="H736" s="4" t="s">
        <v>25</v>
      </c>
      <c r="I736" s="5">
        <v>44866</v>
      </c>
      <c r="J736" s="6">
        <v>11595</v>
      </c>
      <c r="K736" s="6">
        <v>11595</v>
      </c>
      <c r="L736" s="6">
        <v>0</v>
      </c>
      <c r="M736" s="6">
        <v>0</v>
      </c>
      <c r="N736" s="6">
        <v>0</v>
      </c>
      <c r="O736" s="6">
        <v>0</v>
      </c>
      <c r="P736" s="6">
        <v>69</v>
      </c>
      <c r="Q736" s="4" t="s">
        <v>26</v>
      </c>
      <c r="R736" s="4">
        <v>0</v>
      </c>
      <c r="S736" s="6">
        <v>27</v>
      </c>
      <c r="T736" s="6">
        <v>0</v>
      </c>
      <c r="U736" s="6">
        <v>0</v>
      </c>
      <c r="V736" s="6">
        <f>IF(ISERROR(VLOOKUP($S$736,'TAR FIN'!$A$1:$O$115,15,0)),0,VLOOKUP($S$736,'TAR FIN'!$A$1:$O$115,15,0))</f>
        <v>19.8</v>
      </c>
      <c r="W736" s="6">
        <f>IF(ISERROR(VLOOKUP($T$736,'TAR FIN'!$A$1:$O$115,15,0)),0,VLOOKUP($T$736,'TAR FIN'!$A$1:$O$115,15,0))</f>
        <v>0</v>
      </c>
      <c r="X736" s="6">
        <f>IF(ISERROR(VLOOKUP($U$736,'TAR FIN'!$A$1:$O$115,15,0)),0,VLOOKUP($U$736,'TAR FIN'!$A$1:$O$115,15,0))</f>
        <v>0</v>
      </c>
      <c r="Y736" s="6">
        <f ca="1">('TUSD BE'!$AM$27+'TUSD BF'!$AM$27+'TUSD CVA'!$AM$27)*1</f>
        <v>20.615214330225772</v>
      </c>
      <c r="Z736" s="6"/>
      <c r="AA736" s="6"/>
      <c r="AB736" s="6">
        <f>$K$736*$V$736</f>
        <v>229581</v>
      </c>
      <c r="AC736" s="6">
        <f>$M$736*$W$736</f>
        <v>0</v>
      </c>
      <c r="AD736" s="6">
        <f>$O$736*$X$736</f>
        <v>0</v>
      </c>
      <c r="AE736" s="6">
        <f ca="1">$K$736*$Y$736</f>
        <v>239033.41015896783</v>
      </c>
      <c r="AF736" s="6">
        <f>$M$736*$Z$736</f>
        <v>0</v>
      </c>
      <c r="AG736" s="6">
        <f>$O$736*$AA$736</f>
        <v>0</v>
      </c>
    </row>
    <row r="737" spans="1:33" ht="11.25" customHeight="1" x14ac:dyDescent="0.25">
      <c r="A737" s="4" t="s">
        <v>59</v>
      </c>
      <c r="B737" s="4" t="s">
        <v>41</v>
      </c>
      <c r="C737" s="4" t="s">
        <v>44</v>
      </c>
      <c r="D737" s="4" t="s">
        <v>40</v>
      </c>
      <c r="E737" s="4" t="s">
        <v>25</v>
      </c>
      <c r="F737" s="4" t="s">
        <v>25</v>
      </c>
      <c r="G737" s="4" t="s">
        <v>25</v>
      </c>
      <c r="H737" s="4" t="s">
        <v>25</v>
      </c>
      <c r="I737" s="5">
        <v>44866</v>
      </c>
      <c r="J737" s="6">
        <v>1571</v>
      </c>
      <c r="K737" s="6">
        <v>1571</v>
      </c>
      <c r="L737" s="6">
        <v>0</v>
      </c>
      <c r="M737" s="6">
        <v>0</v>
      </c>
      <c r="N737" s="6">
        <v>0</v>
      </c>
      <c r="O737" s="6">
        <v>0</v>
      </c>
      <c r="P737" s="6">
        <v>13</v>
      </c>
      <c r="Q737" s="4" t="s">
        <v>26</v>
      </c>
      <c r="R737" s="4">
        <v>0</v>
      </c>
      <c r="S737" s="6">
        <v>27</v>
      </c>
      <c r="T737" s="6">
        <v>0</v>
      </c>
      <c r="U737" s="6">
        <v>0</v>
      </c>
      <c r="V737" s="6">
        <f>IF(ISERROR(VLOOKUP($S$737,'TAR FIN'!$A$1:$O$115,15,0)),0,VLOOKUP($S$737,'TAR FIN'!$A$1:$O$115,15,0))</f>
        <v>19.8</v>
      </c>
      <c r="W737" s="6">
        <f>IF(ISERROR(VLOOKUP($T$737,'TAR FIN'!$A$1:$O$115,15,0)),0,VLOOKUP($T$737,'TAR FIN'!$A$1:$O$115,15,0))</f>
        <v>0</v>
      </c>
      <c r="X737" s="6">
        <f>IF(ISERROR(VLOOKUP($U$737,'TAR FIN'!$A$1:$O$115,15,0)),0,VLOOKUP($U$737,'TAR FIN'!$A$1:$O$115,15,0))</f>
        <v>0</v>
      </c>
      <c r="Y737" s="6">
        <f ca="1">('TUSD BE'!$AM$27+'TUSD BF'!$AM$27+'TUSD CVA'!$AM$27)*1</f>
        <v>20.615214330225772</v>
      </c>
      <c r="Z737" s="6"/>
      <c r="AA737" s="6"/>
      <c r="AB737" s="6">
        <f>$K$737*$V$737</f>
        <v>31105.800000000003</v>
      </c>
      <c r="AC737" s="6">
        <f>$M$737*$W$737</f>
        <v>0</v>
      </c>
      <c r="AD737" s="6">
        <f>$O$737*$X$737</f>
        <v>0</v>
      </c>
      <c r="AE737" s="6">
        <f ca="1">$K$737*$Y$737</f>
        <v>32386.501712784688</v>
      </c>
      <c r="AF737" s="6">
        <f>$M$737*$Z$737</f>
        <v>0</v>
      </c>
      <c r="AG737" s="6">
        <f>$O$737*$AA$737</f>
        <v>0</v>
      </c>
    </row>
    <row r="738" spans="1:33" ht="11.25" customHeight="1" x14ac:dyDescent="0.25">
      <c r="A738" s="4" t="s">
        <v>59</v>
      </c>
      <c r="B738" s="4" t="s">
        <v>41</v>
      </c>
      <c r="C738" s="4" t="s">
        <v>44</v>
      </c>
      <c r="D738" s="4" t="s">
        <v>40</v>
      </c>
      <c r="E738" s="4" t="s">
        <v>25</v>
      </c>
      <c r="F738" s="4" t="s">
        <v>25</v>
      </c>
      <c r="G738" s="4" t="s">
        <v>25</v>
      </c>
      <c r="H738" s="4" t="s">
        <v>25</v>
      </c>
      <c r="I738" s="5">
        <v>44866</v>
      </c>
      <c r="J738" s="6">
        <v>413</v>
      </c>
      <c r="K738" s="6">
        <v>413</v>
      </c>
      <c r="L738" s="6">
        <v>0</v>
      </c>
      <c r="M738" s="6">
        <v>0</v>
      </c>
      <c r="N738" s="6">
        <v>0</v>
      </c>
      <c r="O738" s="6">
        <v>0</v>
      </c>
      <c r="P738" s="6">
        <v>3</v>
      </c>
      <c r="Q738" s="4" t="s">
        <v>26</v>
      </c>
      <c r="R738" s="4">
        <v>0</v>
      </c>
      <c r="S738" s="6">
        <v>27</v>
      </c>
      <c r="T738" s="6">
        <v>0</v>
      </c>
      <c r="U738" s="6">
        <v>0</v>
      </c>
      <c r="V738" s="6">
        <f>IF(ISERROR(VLOOKUP($S$738,'TAR FIN'!$A$1:$O$115,15,0)),0,VLOOKUP($S$738,'TAR FIN'!$A$1:$O$115,15,0))</f>
        <v>19.8</v>
      </c>
      <c r="W738" s="6">
        <f>IF(ISERROR(VLOOKUP($T$738,'TAR FIN'!$A$1:$O$115,15,0)),0,VLOOKUP($T$738,'TAR FIN'!$A$1:$O$115,15,0))</f>
        <v>0</v>
      </c>
      <c r="X738" s="6">
        <f>IF(ISERROR(VLOOKUP($U$738,'TAR FIN'!$A$1:$O$115,15,0)),0,VLOOKUP($U$738,'TAR FIN'!$A$1:$O$115,15,0))</f>
        <v>0</v>
      </c>
      <c r="Y738" s="6">
        <f ca="1">('TUSD BE'!$AM$27+'TUSD BF'!$AM$27+'TUSD CVA'!$AM$27)*1</f>
        <v>20.615214330225772</v>
      </c>
      <c r="Z738" s="6"/>
      <c r="AA738" s="6"/>
      <c r="AB738" s="6">
        <f>$K$738*$V$738</f>
        <v>8177.4000000000005</v>
      </c>
      <c r="AC738" s="6">
        <f>$M$738*$W$738</f>
        <v>0</v>
      </c>
      <c r="AD738" s="6">
        <f>$O$738*$X$738</f>
        <v>0</v>
      </c>
      <c r="AE738" s="6">
        <f ca="1">$K$738*$Y$738</f>
        <v>8514.0835183832442</v>
      </c>
      <c r="AF738" s="6">
        <f>$M$738*$Z$738</f>
        <v>0</v>
      </c>
      <c r="AG738" s="6">
        <f>$O$738*$AA$738</f>
        <v>0</v>
      </c>
    </row>
    <row r="739" spans="1:33" ht="11.25" customHeight="1" x14ac:dyDescent="0.25">
      <c r="A739" s="4" t="s">
        <v>21</v>
      </c>
      <c r="B739" s="4" t="s">
        <v>41</v>
      </c>
      <c r="C739" s="4" t="s">
        <v>44</v>
      </c>
      <c r="D739" s="4" t="s">
        <v>40</v>
      </c>
      <c r="E739" s="4" t="s">
        <v>25</v>
      </c>
      <c r="F739" s="4" t="s">
        <v>25</v>
      </c>
      <c r="G739" s="4" t="s">
        <v>25</v>
      </c>
      <c r="H739" s="4" t="s">
        <v>36</v>
      </c>
      <c r="I739" s="5">
        <v>44531</v>
      </c>
      <c r="J739" s="6">
        <v>0</v>
      </c>
      <c r="K739" s="6">
        <v>0</v>
      </c>
      <c r="L739" s="6">
        <v>73.027000000000001</v>
      </c>
      <c r="M739" s="6">
        <v>73.027000000000001</v>
      </c>
      <c r="N739" s="6">
        <v>73.027000000000001</v>
      </c>
      <c r="O739" s="6">
        <v>73.027000000000001</v>
      </c>
      <c r="P739" s="6">
        <v>0</v>
      </c>
      <c r="Q739" s="4" t="s">
        <v>26</v>
      </c>
      <c r="R739" s="4">
        <v>0</v>
      </c>
      <c r="S739" s="6">
        <v>0</v>
      </c>
      <c r="T739" s="6">
        <v>28</v>
      </c>
      <c r="U739" s="6">
        <v>74</v>
      </c>
      <c r="V739" s="6">
        <f>IF(ISERROR(VLOOKUP($S$739,'TAR FIN'!$A$1:$O$115,15,0)),0,VLOOKUP($S$739,'TAR FIN'!$A$1:$O$115,15,0))</f>
        <v>0</v>
      </c>
      <c r="W739" s="6">
        <f>IF(ISERROR(VLOOKUP($T$739,'TAR FIN'!$A$1:$O$115,15,0)),0,VLOOKUP($T$739,'TAR FIN'!$A$1:$O$115,15,0))</f>
        <v>1448.96</v>
      </c>
      <c r="X739" s="6">
        <f>IF(ISERROR(VLOOKUP($U$739,'TAR FIN'!$A$1:$O$115,15,0)),0,VLOOKUP($U$739,'TAR FIN'!$A$1:$O$115,15,0))</f>
        <v>270.3</v>
      </c>
      <c r="Y739" s="6"/>
      <c r="Z739" s="6">
        <f ca="1">('TUSD BE'!$AM$28+'TUSD BF'!$AM$28+'TUSD CVA'!$AM$28)*1</f>
        <v>1480.1280206491922</v>
      </c>
      <c r="AA739" s="6">
        <f>('TE BE'!$AB$11+'TE BF'!$AB$11+'TE CVA'!$AB$11)*1</f>
        <v>362.64398683254075</v>
      </c>
      <c r="AB739" s="6">
        <f>$K$739*$V$739</f>
        <v>0</v>
      </c>
      <c r="AC739" s="6">
        <f>$M$739*$W$739</f>
        <v>105813.20192000001</v>
      </c>
      <c r="AD739" s="6">
        <f>$O$739*$X$739</f>
        <v>19739.198100000001</v>
      </c>
      <c r="AE739" s="6">
        <f>$K$739*$Y$739</f>
        <v>0</v>
      </c>
      <c r="AF739" s="6">
        <f ca="1">$M$739*$Z$739</f>
        <v>108089.30896394856</v>
      </c>
      <c r="AG739" s="6">
        <f>$O$739*$AA$739</f>
        <v>26482.802426419952</v>
      </c>
    </row>
    <row r="740" spans="1:33" ht="11.25" customHeight="1" x14ac:dyDescent="0.25">
      <c r="A740" s="4" t="s">
        <v>28</v>
      </c>
      <c r="B740" s="4" t="s">
        <v>41</v>
      </c>
      <c r="C740" s="4" t="s">
        <v>44</v>
      </c>
      <c r="D740" s="4" t="s">
        <v>40</v>
      </c>
      <c r="E740" s="4" t="s">
        <v>25</v>
      </c>
      <c r="F740" s="4" t="s">
        <v>25</v>
      </c>
      <c r="G740" s="4" t="s">
        <v>25</v>
      </c>
      <c r="H740" s="4" t="s">
        <v>36</v>
      </c>
      <c r="I740" s="5">
        <v>44531</v>
      </c>
      <c r="J740" s="6">
        <v>0</v>
      </c>
      <c r="K740" s="6">
        <v>0</v>
      </c>
      <c r="L740" s="6">
        <v>4.4989999999999997</v>
      </c>
      <c r="M740" s="6">
        <v>4.4989999999999997</v>
      </c>
      <c r="N740" s="6">
        <v>4.4989999999999997</v>
      </c>
      <c r="O740" s="6">
        <v>4.4989999999999997</v>
      </c>
      <c r="P740" s="6">
        <v>0</v>
      </c>
      <c r="Q740" s="4" t="s">
        <v>26</v>
      </c>
      <c r="R740" s="4">
        <v>0</v>
      </c>
      <c r="S740" s="6">
        <v>0</v>
      </c>
      <c r="T740" s="6">
        <v>28</v>
      </c>
      <c r="U740" s="6">
        <v>74</v>
      </c>
      <c r="V740" s="6">
        <f>IF(ISERROR(VLOOKUP($S$740,'TAR FIN'!$A$1:$O$115,15,0)),0,VLOOKUP($S$740,'TAR FIN'!$A$1:$O$115,15,0))</f>
        <v>0</v>
      </c>
      <c r="W740" s="6">
        <f>IF(ISERROR(VLOOKUP($T$740,'TAR FIN'!$A$1:$O$115,15,0)),0,VLOOKUP($T$740,'TAR FIN'!$A$1:$O$115,15,0))</f>
        <v>1448.96</v>
      </c>
      <c r="X740" s="6">
        <f>IF(ISERROR(VLOOKUP($U$740,'TAR FIN'!$A$1:$O$115,15,0)),0,VLOOKUP($U$740,'TAR FIN'!$A$1:$O$115,15,0))</f>
        <v>270.3</v>
      </c>
      <c r="Y740" s="6"/>
      <c r="Z740" s="6">
        <f ca="1">('TUSD BE'!$AM$28+'TUSD BF'!$AM$28+'TUSD CVA'!$AM$28)*1</f>
        <v>1480.1280206491922</v>
      </c>
      <c r="AA740" s="6">
        <f>('TE BE'!$AB$11+'TE BF'!$AB$11+'TE CVA'!$AB$11)*1</f>
        <v>362.64398683254075</v>
      </c>
      <c r="AB740" s="6">
        <f>$K$740*$V$740</f>
        <v>0</v>
      </c>
      <c r="AC740" s="6">
        <f>$M$740*$W$740</f>
        <v>6518.87104</v>
      </c>
      <c r="AD740" s="6">
        <f>$O$740*$X$740</f>
        <v>1216.0797</v>
      </c>
      <c r="AE740" s="6">
        <f>$K$740*$Y$740</f>
        <v>0</v>
      </c>
      <c r="AF740" s="6">
        <f ca="1">$M$740*$Z$740</f>
        <v>6659.0959649007154</v>
      </c>
      <c r="AG740" s="6">
        <f>$O$740*$AA$740</f>
        <v>1631.5352967596007</v>
      </c>
    </row>
    <row r="741" spans="1:33" ht="11.25" customHeight="1" x14ac:dyDescent="0.25">
      <c r="A741" s="4" t="s">
        <v>30</v>
      </c>
      <c r="B741" s="4" t="s">
        <v>41</v>
      </c>
      <c r="C741" s="4" t="s">
        <v>44</v>
      </c>
      <c r="D741" s="4" t="s">
        <v>40</v>
      </c>
      <c r="E741" s="4" t="s">
        <v>25</v>
      </c>
      <c r="F741" s="4" t="s">
        <v>25</v>
      </c>
      <c r="G741" s="4" t="s">
        <v>25</v>
      </c>
      <c r="H741" s="4" t="s">
        <v>36</v>
      </c>
      <c r="I741" s="5">
        <v>44531</v>
      </c>
      <c r="J741" s="6">
        <v>0</v>
      </c>
      <c r="K741" s="6">
        <v>0</v>
      </c>
      <c r="L741" s="6">
        <v>1.5680000000000001</v>
      </c>
      <c r="M741" s="6">
        <v>1.5680000000000001</v>
      </c>
      <c r="N741" s="6">
        <v>1.5680000000000001</v>
      </c>
      <c r="O741" s="6">
        <v>1.5680000000000001</v>
      </c>
      <c r="P741" s="6">
        <v>0</v>
      </c>
      <c r="Q741" s="4" t="s">
        <v>26</v>
      </c>
      <c r="R741" s="4">
        <v>0</v>
      </c>
      <c r="S741" s="6">
        <v>0</v>
      </c>
      <c r="T741" s="6">
        <v>28</v>
      </c>
      <c r="U741" s="6">
        <v>74</v>
      </c>
      <c r="V741" s="6">
        <f>IF(ISERROR(VLOOKUP($S$741,'TAR FIN'!$A$1:$O$115,15,0)),0,VLOOKUP($S$741,'TAR FIN'!$A$1:$O$115,15,0))</f>
        <v>0</v>
      </c>
      <c r="W741" s="6">
        <f>IF(ISERROR(VLOOKUP($T$741,'TAR FIN'!$A$1:$O$115,15,0)),0,VLOOKUP($T$741,'TAR FIN'!$A$1:$O$115,15,0))</f>
        <v>1448.96</v>
      </c>
      <c r="X741" s="6">
        <f>IF(ISERROR(VLOOKUP($U$741,'TAR FIN'!$A$1:$O$115,15,0)),0,VLOOKUP($U$741,'TAR FIN'!$A$1:$O$115,15,0))</f>
        <v>270.3</v>
      </c>
      <c r="Y741" s="6"/>
      <c r="Z741" s="6">
        <f ca="1">('TUSD BE'!$AM$28+'TUSD BF'!$AM$28+'TUSD CVA'!$AM$28)*1</f>
        <v>1480.1280206491922</v>
      </c>
      <c r="AA741" s="6">
        <f>('TE BE'!$AB$11+'TE BF'!$AB$11+'TE CVA'!$AB$11)*1</f>
        <v>362.64398683254075</v>
      </c>
      <c r="AB741" s="6">
        <f>$K$741*$V$741</f>
        <v>0</v>
      </c>
      <c r="AC741" s="6">
        <f>$M$741*$W$741</f>
        <v>2271.9692800000003</v>
      </c>
      <c r="AD741" s="6">
        <f>$O$741*$X$741</f>
        <v>423.83040000000005</v>
      </c>
      <c r="AE741" s="6">
        <f>$K$741*$Y$741</f>
        <v>0</v>
      </c>
      <c r="AF741" s="6">
        <f ca="1">$M$741*$Z$741</f>
        <v>2320.8407363779334</v>
      </c>
      <c r="AG741" s="6">
        <f>$O$741*$AA$741</f>
        <v>568.62577135342394</v>
      </c>
    </row>
    <row r="742" spans="1:33" ht="11.25" customHeight="1" x14ac:dyDescent="0.25">
      <c r="A742" s="4" t="s">
        <v>21</v>
      </c>
      <c r="B742" s="4" t="s">
        <v>41</v>
      </c>
      <c r="C742" s="4" t="s">
        <v>44</v>
      </c>
      <c r="D742" s="4" t="s">
        <v>40</v>
      </c>
      <c r="E742" s="4" t="s">
        <v>25</v>
      </c>
      <c r="F742" s="4" t="s">
        <v>25</v>
      </c>
      <c r="G742" s="4" t="s">
        <v>25</v>
      </c>
      <c r="H742" s="4" t="s">
        <v>36</v>
      </c>
      <c r="I742" s="5">
        <v>44562</v>
      </c>
      <c r="J742" s="6">
        <v>0</v>
      </c>
      <c r="K742" s="6">
        <v>0</v>
      </c>
      <c r="L742" s="6">
        <v>75.141999999999996</v>
      </c>
      <c r="M742" s="6">
        <v>75.141999999999996</v>
      </c>
      <c r="N742" s="6">
        <v>75.141999999999996</v>
      </c>
      <c r="O742" s="6">
        <v>75.141999999999996</v>
      </c>
      <c r="P742" s="6">
        <v>0</v>
      </c>
      <c r="Q742" s="4" t="s">
        <v>26</v>
      </c>
      <c r="R742" s="4">
        <v>0</v>
      </c>
      <c r="S742" s="6">
        <v>0</v>
      </c>
      <c r="T742" s="6">
        <v>28</v>
      </c>
      <c r="U742" s="6">
        <v>74</v>
      </c>
      <c r="V742" s="6">
        <f>IF(ISERROR(VLOOKUP($S$742,'TAR FIN'!$A$1:$O$115,15,0)),0,VLOOKUP($S$742,'TAR FIN'!$A$1:$O$115,15,0))</f>
        <v>0</v>
      </c>
      <c r="W742" s="6">
        <f>IF(ISERROR(VLOOKUP($T$742,'TAR FIN'!$A$1:$O$115,15,0)),0,VLOOKUP($T$742,'TAR FIN'!$A$1:$O$115,15,0))</f>
        <v>1448.96</v>
      </c>
      <c r="X742" s="6">
        <f>IF(ISERROR(VLOOKUP($U$742,'TAR FIN'!$A$1:$O$115,15,0)),0,VLOOKUP($U$742,'TAR FIN'!$A$1:$O$115,15,0))</f>
        <v>270.3</v>
      </c>
      <c r="Y742" s="6"/>
      <c r="Z742" s="6">
        <f ca="1">('TUSD BE'!$AM$28+'TUSD BF'!$AM$28+'TUSD CVA'!$AM$28)*1</f>
        <v>1480.1280206491922</v>
      </c>
      <c r="AA742" s="6">
        <f>('TE BE'!$AB$11+'TE BF'!$AB$11+'TE CVA'!$AB$11)*1</f>
        <v>362.64398683254075</v>
      </c>
      <c r="AB742" s="6">
        <f>$K$742*$V$742</f>
        <v>0</v>
      </c>
      <c r="AC742" s="6">
        <f>$M$742*$W$742</f>
        <v>108877.75232</v>
      </c>
      <c r="AD742" s="6">
        <f>$O$742*$X$742</f>
        <v>20310.882600000001</v>
      </c>
      <c r="AE742" s="6">
        <f>$K$742*$Y$742</f>
        <v>0</v>
      </c>
      <c r="AF742" s="6">
        <f ca="1">$M$742*$Z$742</f>
        <v>111219.7797276216</v>
      </c>
      <c r="AG742" s="6">
        <f>$O$742*$AA$742</f>
        <v>27249.794458570774</v>
      </c>
    </row>
    <row r="743" spans="1:33" ht="11.25" customHeight="1" x14ac:dyDescent="0.25">
      <c r="A743" s="4" t="s">
        <v>27</v>
      </c>
      <c r="B743" s="4" t="s">
        <v>41</v>
      </c>
      <c r="C743" s="4" t="s">
        <v>44</v>
      </c>
      <c r="D743" s="4" t="s">
        <v>40</v>
      </c>
      <c r="E743" s="4" t="s">
        <v>25</v>
      </c>
      <c r="F743" s="4" t="s">
        <v>25</v>
      </c>
      <c r="G743" s="4" t="s">
        <v>25</v>
      </c>
      <c r="H743" s="4" t="s">
        <v>36</v>
      </c>
      <c r="I743" s="5">
        <v>44562</v>
      </c>
      <c r="J743" s="6">
        <v>0</v>
      </c>
      <c r="K743" s="6">
        <v>0</v>
      </c>
      <c r="L743" s="6">
        <v>-13.65</v>
      </c>
      <c r="M743" s="6">
        <v>-13.65</v>
      </c>
      <c r="N743" s="6">
        <v>-13.65</v>
      </c>
      <c r="O743" s="6">
        <v>-13.65</v>
      </c>
      <c r="P743" s="6">
        <v>0</v>
      </c>
      <c r="Q743" s="4" t="s">
        <v>26</v>
      </c>
      <c r="R743" s="4">
        <v>0</v>
      </c>
      <c r="S743" s="6">
        <v>0</v>
      </c>
      <c r="T743" s="6">
        <v>28</v>
      </c>
      <c r="U743" s="6">
        <v>74</v>
      </c>
      <c r="V743" s="6">
        <f>IF(ISERROR(VLOOKUP($S$743,'TAR FIN'!$A$1:$O$115,15,0)),0,VLOOKUP($S$743,'TAR FIN'!$A$1:$O$115,15,0))</f>
        <v>0</v>
      </c>
      <c r="W743" s="6">
        <f>IF(ISERROR(VLOOKUP($T$743,'TAR FIN'!$A$1:$O$115,15,0)),0,VLOOKUP($T$743,'TAR FIN'!$A$1:$O$115,15,0))</f>
        <v>1448.96</v>
      </c>
      <c r="X743" s="6">
        <f>IF(ISERROR(VLOOKUP($U$743,'TAR FIN'!$A$1:$O$115,15,0)),0,VLOOKUP($U$743,'TAR FIN'!$A$1:$O$115,15,0))</f>
        <v>270.3</v>
      </c>
      <c r="Y743" s="6"/>
      <c r="Z743" s="6">
        <f ca="1">('TUSD BE'!$AM$28+'TUSD BF'!$AM$28+'TUSD CVA'!$AM$28)*1</f>
        <v>1480.1280206491922</v>
      </c>
      <c r="AA743" s="6">
        <f>('TE BE'!$AB$11+'TE BF'!$AB$11+'TE CVA'!$AB$11)*1</f>
        <v>362.64398683254075</v>
      </c>
      <c r="AB743" s="6">
        <f>$K$743*$V$743</f>
        <v>0</v>
      </c>
      <c r="AC743" s="6">
        <f>$M$743*$W$743</f>
        <v>-19778.304</v>
      </c>
      <c r="AD743" s="6">
        <f>$O$743*$X$743</f>
        <v>-3689.5950000000003</v>
      </c>
      <c r="AE743" s="6">
        <f>$K$743*$Y$743</f>
        <v>0</v>
      </c>
      <c r="AF743" s="6">
        <f ca="1">$M$743*$Z$743</f>
        <v>-20203.747481861476</v>
      </c>
      <c r="AG743" s="6">
        <f>$O$743*$AA$743</f>
        <v>-4950.0904202641814</v>
      </c>
    </row>
    <row r="744" spans="1:33" ht="11.25" customHeight="1" x14ac:dyDescent="0.25">
      <c r="A744" s="4" t="s">
        <v>28</v>
      </c>
      <c r="B744" s="4" t="s">
        <v>41</v>
      </c>
      <c r="C744" s="4" t="s">
        <v>44</v>
      </c>
      <c r="D744" s="4" t="s">
        <v>40</v>
      </c>
      <c r="E744" s="4" t="s">
        <v>25</v>
      </c>
      <c r="F744" s="4" t="s">
        <v>25</v>
      </c>
      <c r="G744" s="4" t="s">
        <v>25</v>
      </c>
      <c r="H744" s="4" t="s">
        <v>36</v>
      </c>
      <c r="I744" s="5">
        <v>44562</v>
      </c>
      <c r="J744" s="6">
        <v>0</v>
      </c>
      <c r="K744" s="6">
        <v>0</v>
      </c>
      <c r="L744" s="6">
        <v>3.415</v>
      </c>
      <c r="M744" s="6">
        <v>3.415</v>
      </c>
      <c r="N744" s="6">
        <v>3.415</v>
      </c>
      <c r="O744" s="6">
        <v>3.415</v>
      </c>
      <c r="P744" s="6">
        <v>0</v>
      </c>
      <c r="Q744" s="4" t="s">
        <v>26</v>
      </c>
      <c r="R744" s="4">
        <v>0</v>
      </c>
      <c r="S744" s="6">
        <v>0</v>
      </c>
      <c r="T744" s="6">
        <v>28</v>
      </c>
      <c r="U744" s="6">
        <v>74</v>
      </c>
      <c r="V744" s="6">
        <f>IF(ISERROR(VLOOKUP($S$744,'TAR FIN'!$A$1:$O$115,15,0)),0,VLOOKUP($S$744,'TAR FIN'!$A$1:$O$115,15,0))</f>
        <v>0</v>
      </c>
      <c r="W744" s="6">
        <f>IF(ISERROR(VLOOKUP($T$744,'TAR FIN'!$A$1:$O$115,15,0)),0,VLOOKUP($T$744,'TAR FIN'!$A$1:$O$115,15,0))</f>
        <v>1448.96</v>
      </c>
      <c r="X744" s="6">
        <f>IF(ISERROR(VLOOKUP($U$744,'TAR FIN'!$A$1:$O$115,15,0)),0,VLOOKUP($U$744,'TAR FIN'!$A$1:$O$115,15,0))</f>
        <v>270.3</v>
      </c>
      <c r="Y744" s="6"/>
      <c r="Z744" s="6">
        <f ca="1">('TUSD BE'!$AM$28+'TUSD BF'!$AM$28+'TUSD CVA'!$AM$28)*1</f>
        <v>1480.1280206491922</v>
      </c>
      <c r="AA744" s="6">
        <f>('TE BE'!$AB$11+'TE BF'!$AB$11+'TE CVA'!$AB$11)*1</f>
        <v>362.64398683254075</v>
      </c>
      <c r="AB744" s="6">
        <f>$K$744*$V$744</f>
        <v>0</v>
      </c>
      <c r="AC744" s="6">
        <f>$M$744*$W$744</f>
        <v>4948.1984000000002</v>
      </c>
      <c r="AD744" s="6">
        <f>$O$744*$X$744</f>
        <v>923.07450000000006</v>
      </c>
      <c r="AE744" s="6">
        <f>$K$744*$Y$744</f>
        <v>0</v>
      </c>
      <c r="AF744" s="6">
        <f ca="1">$M$744*$Z$744</f>
        <v>5054.6371905169917</v>
      </c>
      <c r="AG744" s="6">
        <f>$O$744*$AA$744</f>
        <v>1238.4292150331266</v>
      </c>
    </row>
    <row r="745" spans="1:33" ht="11.25" customHeight="1" x14ac:dyDescent="0.25">
      <c r="A745" s="4" t="s">
        <v>30</v>
      </c>
      <c r="B745" s="4" t="s">
        <v>41</v>
      </c>
      <c r="C745" s="4" t="s">
        <v>44</v>
      </c>
      <c r="D745" s="4" t="s">
        <v>40</v>
      </c>
      <c r="E745" s="4" t="s">
        <v>25</v>
      </c>
      <c r="F745" s="4" t="s">
        <v>25</v>
      </c>
      <c r="G745" s="4" t="s">
        <v>25</v>
      </c>
      <c r="H745" s="4" t="s">
        <v>36</v>
      </c>
      <c r="I745" s="5">
        <v>44562</v>
      </c>
      <c r="J745" s="6">
        <v>0</v>
      </c>
      <c r="K745" s="6">
        <v>0</v>
      </c>
      <c r="L745" s="6">
        <v>1.8620000000000001</v>
      </c>
      <c r="M745" s="6">
        <v>1.8620000000000001</v>
      </c>
      <c r="N745" s="6">
        <v>1.8620000000000001</v>
      </c>
      <c r="O745" s="6">
        <v>1.8620000000000001</v>
      </c>
      <c r="P745" s="6">
        <v>0</v>
      </c>
      <c r="Q745" s="4" t="s">
        <v>26</v>
      </c>
      <c r="R745" s="4">
        <v>0</v>
      </c>
      <c r="S745" s="6">
        <v>0</v>
      </c>
      <c r="T745" s="6">
        <v>28</v>
      </c>
      <c r="U745" s="6">
        <v>74</v>
      </c>
      <c r="V745" s="6">
        <f>IF(ISERROR(VLOOKUP($S$745,'TAR FIN'!$A$1:$O$115,15,0)),0,VLOOKUP($S$745,'TAR FIN'!$A$1:$O$115,15,0))</f>
        <v>0</v>
      </c>
      <c r="W745" s="6">
        <f>IF(ISERROR(VLOOKUP($T$745,'TAR FIN'!$A$1:$O$115,15,0)),0,VLOOKUP($T$745,'TAR FIN'!$A$1:$O$115,15,0))</f>
        <v>1448.96</v>
      </c>
      <c r="X745" s="6">
        <f>IF(ISERROR(VLOOKUP($U$745,'TAR FIN'!$A$1:$O$115,15,0)),0,VLOOKUP($U$745,'TAR FIN'!$A$1:$O$115,15,0))</f>
        <v>270.3</v>
      </c>
      <c r="Y745" s="6"/>
      <c r="Z745" s="6">
        <f ca="1">('TUSD BE'!$AM$28+'TUSD BF'!$AM$28+'TUSD CVA'!$AM$28)*1</f>
        <v>1480.1280206491922</v>
      </c>
      <c r="AA745" s="6">
        <f>('TE BE'!$AB$11+'TE BF'!$AB$11+'TE CVA'!$AB$11)*1</f>
        <v>362.64398683254075</v>
      </c>
      <c r="AB745" s="6">
        <f>$K$745*$V$745</f>
        <v>0</v>
      </c>
      <c r="AC745" s="6">
        <f>$M$745*$W$745</f>
        <v>2697.9635200000002</v>
      </c>
      <c r="AD745" s="6">
        <f>$O$745*$X$745</f>
        <v>503.29860000000002</v>
      </c>
      <c r="AE745" s="6">
        <f>$K$745*$Y$745</f>
        <v>0</v>
      </c>
      <c r="AF745" s="6">
        <f ca="1">$M$745*$Z$745</f>
        <v>2755.9983744487959</v>
      </c>
      <c r="AG745" s="6">
        <f>$O$745*$AA$745</f>
        <v>675.24310348219092</v>
      </c>
    </row>
    <row r="746" spans="1:33" ht="11.25" customHeight="1" x14ac:dyDescent="0.25">
      <c r="A746" s="4" t="s">
        <v>21</v>
      </c>
      <c r="B746" s="4" t="s">
        <v>41</v>
      </c>
      <c r="C746" s="4" t="s">
        <v>44</v>
      </c>
      <c r="D746" s="4" t="s">
        <v>40</v>
      </c>
      <c r="E746" s="4" t="s">
        <v>25</v>
      </c>
      <c r="F746" s="4" t="s">
        <v>25</v>
      </c>
      <c r="G746" s="4" t="s">
        <v>25</v>
      </c>
      <c r="H746" s="4" t="s">
        <v>36</v>
      </c>
      <c r="I746" s="5">
        <v>44593</v>
      </c>
      <c r="J746" s="6">
        <v>0</v>
      </c>
      <c r="K746" s="6">
        <v>0</v>
      </c>
      <c r="L746" s="6">
        <v>61.329000000000001</v>
      </c>
      <c r="M746" s="6">
        <v>61.329000000000001</v>
      </c>
      <c r="N746" s="6">
        <v>61.329000000000001</v>
      </c>
      <c r="O746" s="6">
        <v>61.329000000000001</v>
      </c>
      <c r="P746" s="6">
        <v>0</v>
      </c>
      <c r="Q746" s="4" t="s">
        <v>26</v>
      </c>
      <c r="R746" s="4">
        <v>0</v>
      </c>
      <c r="S746" s="6">
        <v>0</v>
      </c>
      <c r="T746" s="6">
        <v>28</v>
      </c>
      <c r="U746" s="6">
        <v>74</v>
      </c>
      <c r="V746" s="6">
        <f>IF(ISERROR(VLOOKUP($S$746,'TAR FIN'!$A$1:$O$115,15,0)),0,VLOOKUP($S$746,'TAR FIN'!$A$1:$O$115,15,0))</f>
        <v>0</v>
      </c>
      <c r="W746" s="6">
        <f>IF(ISERROR(VLOOKUP($T$746,'TAR FIN'!$A$1:$O$115,15,0)),0,VLOOKUP($T$746,'TAR FIN'!$A$1:$O$115,15,0))</f>
        <v>1448.96</v>
      </c>
      <c r="X746" s="6">
        <f>IF(ISERROR(VLOOKUP($U$746,'TAR FIN'!$A$1:$O$115,15,0)),0,VLOOKUP($U$746,'TAR FIN'!$A$1:$O$115,15,0))</f>
        <v>270.3</v>
      </c>
      <c r="Y746" s="6"/>
      <c r="Z746" s="6">
        <f ca="1">('TUSD BE'!$AM$28+'TUSD BF'!$AM$28+'TUSD CVA'!$AM$28)*1</f>
        <v>1480.1280206491922</v>
      </c>
      <c r="AA746" s="6">
        <f>('TE BE'!$AB$11+'TE BF'!$AB$11+'TE CVA'!$AB$11)*1</f>
        <v>362.64398683254075</v>
      </c>
      <c r="AB746" s="6">
        <f>$K$746*$V$746</f>
        <v>0</v>
      </c>
      <c r="AC746" s="6">
        <f>$M$746*$W$746</f>
        <v>88863.26784</v>
      </c>
      <c r="AD746" s="6">
        <f>$O$746*$X$746</f>
        <v>16577.2287</v>
      </c>
      <c r="AE746" s="6">
        <f>$K$746*$Y$746</f>
        <v>0</v>
      </c>
      <c r="AF746" s="6">
        <f ca="1">$M$746*$Z$746</f>
        <v>90774.771378394304</v>
      </c>
      <c r="AG746" s="6">
        <f>$O$746*$AA$746</f>
        <v>22240.59306845289</v>
      </c>
    </row>
    <row r="747" spans="1:33" ht="11.25" customHeight="1" x14ac:dyDescent="0.25">
      <c r="A747" s="4" t="s">
        <v>27</v>
      </c>
      <c r="B747" s="4" t="s">
        <v>41</v>
      </c>
      <c r="C747" s="4" t="s">
        <v>44</v>
      </c>
      <c r="D747" s="4" t="s">
        <v>40</v>
      </c>
      <c r="E747" s="4" t="s">
        <v>25</v>
      </c>
      <c r="F747" s="4" t="s">
        <v>25</v>
      </c>
      <c r="G747" s="4" t="s">
        <v>25</v>
      </c>
      <c r="H747" s="4" t="s">
        <v>36</v>
      </c>
      <c r="I747" s="5">
        <v>44593</v>
      </c>
      <c r="J747" s="6">
        <v>0</v>
      </c>
      <c r="K747" s="6">
        <v>0</v>
      </c>
      <c r="L747" s="6">
        <v>-13.65</v>
      </c>
      <c r="M747" s="6">
        <v>-13.65</v>
      </c>
      <c r="N747" s="6">
        <v>-13.65</v>
      </c>
      <c r="O747" s="6">
        <v>-13.65</v>
      </c>
      <c r="P747" s="6">
        <v>0</v>
      </c>
      <c r="Q747" s="4" t="s">
        <v>26</v>
      </c>
      <c r="R747" s="4">
        <v>0</v>
      </c>
      <c r="S747" s="6">
        <v>0</v>
      </c>
      <c r="T747" s="6">
        <v>28</v>
      </c>
      <c r="U747" s="6">
        <v>74</v>
      </c>
      <c r="V747" s="6">
        <f>IF(ISERROR(VLOOKUP($S$747,'TAR FIN'!$A$1:$O$115,15,0)),0,VLOOKUP($S$747,'TAR FIN'!$A$1:$O$115,15,0))</f>
        <v>0</v>
      </c>
      <c r="W747" s="6">
        <f>IF(ISERROR(VLOOKUP($T$747,'TAR FIN'!$A$1:$O$115,15,0)),0,VLOOKUP($T$747,'TAR FIN'!$A$1:$O$115,15,0))</f>
        <v>1448.96</v>
      </c>
      <c r="X747" s="6">
        <f>IF(ISERROR(VLOOKUP($U$747,'TAR FIN'!$A$1:$O$115,15,0)),0,VLOOKUP($U$747,'TAR FIN'!$A$1:$O$115,15,0))</f>
        <v>270.3</v>
      </c>
      <c r="Y747" s="6"/>
      <c r="Z747" s="6">
        <f ca="1">('TUSD BE'!$AM$28+'TUSD BF'!$AM$28+'TUSD CVA'!$AM$28)*1</f>
        <v>1480.1280206491922</v>
      </c>
      <c r="AA747" s="6">
        <f>('TE BE'!$AB$11+'TE BF'!$AB$11+'TE CVA'!$AB$11)*1</f>
        <v>362.64398683254075</v>
      </c>
      <c r="AB747" s="6">
        <f>$K$747*$V$747</f>
        <v>0</v>
      </c>
      <c r="AC747" s="6">
        <f>$M$747*$W$747</f>
        <v>-19778.304</v>
      </c>
      <c r="AD747" s="6">
        <f>$O$747*$X$747</f>
        <v>-3689.5950000000003</v>
      </c>
      <c r="AE747" s="6">
        <f>$K$747*$Y$747</f>
        <v>0</v>
      </c>
      <c r="AF747" s="6">
        <f ca="1">$M$747*$Z$747</f>
        <v>-20203.747481861476</v>
      </c>
      <c r="AG747" s="6">
        <f>$O$747*$AA$747</f>
        <v>-4950.0904202641814</v>
      </c>
    </row>
    <row r="748" spans="1:33" ht="11.25" customHeight="1" x14ac:dyDescent="0.25">
      <c r="A748" s="4" t="s">
        <v>28</v>
      </c>
      <c r="B748" s="4" t="s">
        <v>41</v>
      </c>
      <c r="C748" s="4" t="s">
        <v>44</v>
      </c>
      <c r="D748" s="4" t="s">
        <v>40</v>
      </c>
      <c r="E748" s="4" t="s">
        <v>25</v>
      </c>
      <c r="F748" s="4" t="s">
        <v>25</v>
      </c>
      <c r="G748" s="4" t="s">
        <v>25</v>
      </c>
      <c r="H748" s="4" t="s">
        <v>36</v>
      </c>
      <c r="I748" s="5">
        <v>44593</v>
      </c>
      <c r="J748" s="6">
        <v>0</v>
      </c>
      <c r="K748" s="6">
        <v>0</v>
      </c>
      <c r="L748" s="6">
        <v>3.988</v>
      </c>
      <c r="M748" s="6">
        <v>3.988</v>
      </c>
      <c r="N748" s="6">
        <v>3.988</v>
      </c>
      <c r="O748" s="6">
        <v>3.988</v>
      </c>
      <c r="P748" s="6">
        <v>0</v>
      </c>
      <c r="Q748" s="4" t="s">
        <v>26</v>
      </c>
      <c r="R748" s="4">
        <v>0</v>
      </c>
      <c r="S748" s="6">
        <v>0</v>
      </c>
      <c r="T748" s="6">
        <v>28</v>
      </c>
      <c r="U748" s="6">
        <v>74</v>
      </c>
      <c r="V748" s="6">
        <f>IF(ISERROR(VLOOKUP($S$748,'TAR FIN'!$A$1:$O$115,15,0)),0,VLOOKUP($S$748,'TAR FIN'!$A$1:$O$115,15,0))</f>
        <v>0</v>
      </c>
      <c r="W748" s="6">
        <f>IF(ISERROR(VLOOKUP($T$748,'TAR FIN'!$A$1:$O$115,15,0)),0,VLOOKUP($T$748,'TAR FIN'!$A$1:$O$115,15,0))</f>
        <v>1448.96</v>
      </c>
      <c r="X748" s="6">
        <f>IF(ISERROR(VLOOKUP($U$748,'TAR FIN'!$A$1:$O$115,15,0)),0,VLOOKUP($U$748,'TAR FIN'!$A$1:$O$115,15,0))</f>
        <v>270.3</v>
      </c>
      <c r="Y748" s="6"/>
      <c r="Z748" s="6">
        <f ca="1">('TUSD BE'!$AM$28+'TUSD BF'!$AM$28+'TUSD CVA'!$AM$28)*1</f>
        <v>1480.1280206491922</v>
      </c>
      <c r="AA748" s="6">
        <f>('TE BE'!$AB$11+'TE BF'!$AB$11+'TE CVA'!$AB$11)*1</f>
        <v>362.64398683254075</v>
      </c>
      <c r="AB748" s="6">
        <f>$K$748*$V$748</f>
        <v>0</v>
      </c>
      <c r="AC748" s="6">
        <f>$M$748*$W$748</f>
        <v>5778.4524799999999</v>
      </c>
      <c r="AD748" s="6">
        <f>$O$748*$X$748</f>
        <v>1077.9564</v>
      </c>
      <c r="AE748" s="6">
        <f>$K$748*$Y$748</f>
        <v>0</v>
      </c>
      <c r="AF748" s="6">
        <f ca="1">$M$748*$Z$748</f>
        <v>5902.7505463489788</v>
      </c>
      <c r="AG748" s="6">
        <f>$O$748*$AA$748</f>
        <v>1446.2242194881726</v>
      </c>
    </row>
    <row r="749" spans="1:33" ht="11.25" customHeight="1" x14ac:dyDescent="0.25">
      <c r="A749" s="4" t="s">
        <v>30</v>
      </c>
      <c r="B749" s="4" t="s">
        <v>41</v>
      </c>
      <c r="C749" s="4" t="s">
        <v>44</v>
      </c>
      <c r="D749" s="4" t="s">
        <v>40</v>
      </c>
      <c r="E749" s="4" t="s">
        <v>25</v>
      </c>
      <c r="F749" s="4" t="s">
        <v>25</v>
      </c>
      <c r="G749" s="4" t="s">
        <v>25</v>
      </c>
      <c r="H749" s="4" t="s">
        <v>36</v>
      </c>
      <c r="I749" s="5">
        <v>44593</v>
      </c>
      <c r="J749" s="6">
        <v>0</v>
      </c>
      <c r="K749" s="6">
        <v>0</v>
      </c>
      <c r="L749" s="6">
        <v>2.4159999999999999</v>
      </c>
      <c r="M749" s="6">
        <v>2.4159999999999999</v>
      </c>
      <c r="N749" s="6">
        <v>2.4159999999999999</v>
      </c>
      <c r="O749" s="6">
        <v>2.4159999999999999</v>
      </c>
      <c r="P749" s="6">
        <v>0</v>
      </c>
      <c r="Q749" s="4" t="s">
        <v>26</v>
      </c>
      <c r="R749" s="4">
        <v>0</v>
      </c>
      <c r="S749" s="6">
        <v>0</v>
      </c>
      <c r="T749" s="6">
        <v>28</v>
      </c>
      <c r="U749" s="6">
        <v>74</v>
      </c>
      <c r="V749" s="6">
        <f>IF(ISERROR(VLOOKUP($S$749,'TAR FIN'!$A$1:$O$115,15,0)),0,VLOOKUP($S$749,'TAR FIN'!$A$1:$O$115,15,0))</f>
        <v>0</v>
      </c>
      <c r="W749" s="6">
        <f>IF(ISERROR(VLOOKUP($T$749,'TAR FIN'!$A$1:$O$115,15,0)),0,VLOOKUP($T$749,'TAR FIN'!$A$1:$O$115,15,0))</f>
        <v>1448.96</v>
      </c>
      <c r="X749" s="6">
        <f>IF(ISERROR(VLOOKUP($U$749,'TAR FIN'!$A$1:$O$115,15,0)),0,VLOOKUP($U$749,'TAR FIN'!$A$1:$O$115,15,0))</f>
        <v>270.3</v>
      </c>
      <c r="Y749" s="6"/>
      <c r="Z749" s="6">
        <f ca="1">('TUSD BE'!$AM$28+'TUSD BF'!$AM$28+'TUSD CVA'!$AM$28)*1</f>
        <v>1480.1280206491922</v>
      </c>
      <c r="AA749" s="6">
        <f>('TE BE'!$AB$11+'TE BF'!$AB$11+'TE CVA'!$AB$11)*1</f>
        <v>362.64398683254075</v>
      </c>
      <c r="AB749" s="6">
        <f>$K$749*$V$749</f>
        <v>0</v>
      </c>
      <c r="AC749" s="6">
        <f>$M$749*$W$749</f>
        <v>3500.6873599999999</v>
      </c>
      <c r="AD749" s="6">
        <f>$O$749*$X$749</f>
        <v>653.04480000000001</v>
      </c>
      <c r="AE749" s="6">
        <f>$K$749*$Y$749</f>
        <v>0</v>
      </c>
      <c r="AF749" s="6">
        <f ca="1">$M$749*$Z$749</f>
        <v>3575.9892978884482</v>
      </c>
      <c r="AG749" s="6">
        <f>$O$749*$AA$749</f>
        <v>876.14787218741844</v>
      </c>
    </row>
    <row r="750" spans="1:33" ht="11.25" customHeight="1" x14ac:dyDescent="0.25">
      <c r="A750" s="4" t="s">
        <v>21</v>
      </c>
      <c r="B750" s="4" t="s">
        <v>41</v>
      </c>
      <c r="C750" s="4" t="s">
        <v>44</v>
      </c>
      <c r="D750" s="4" t="s">
        <v>40</v>
      </c>
      <c r="E750" s="4" t="s">
        <v>25</v>
      </c>
      <c r="F750" s="4" t="s">
        <v>25</v>
      </c>
      <c r="G750" s="4" t="s">
        <v>25</v>
      </c>
      <c r="H750" s="4" t="s">
        <v>36</v>
      </c>
      <c r="I750" s="5">
        <v>44621</v>
      </c>
      <c r="J750" s="6">
        <v>0</v>
      </c>
      <c r="K750" s="6">
        <v>0</v>
      </c>
      <c r="L750" s="6">
        <v>68.128</v>
      </c>
      <c r="M750" s="6">
        <v>68.128</v>
      </c>
      <c r="N750" s="6">
        <v>68.128</v>
      </c>
      <c r="O750" s="6">
        <v>68.128</v>
      </c>
      <c r="P750" s="6">
        <v>0</v>
      </c>
      <c r="Q750" s="4" t="s">
        <v>26</v>
      </c>
      <c r="R750" s="4">
        <v>0</v>
      </c>
      <c r="S750" s="6">
        <v>0</v>
      </c>
      <c r="T750" s="6">
        <v>28</v>
      </c>
      <c r="U750" s="6">
        <v>74</v>
      </c>
      <c r="V750" s="6">
        <f>IF(ISERROR(VLOOKUP($S$750,'TAR FIN'!$A$1:$O$115,15,0)),0,VLOOKUP($S$750,'TAR FIN'!$A$1:$O$115,15,0))</f>
        <v>0</v>
      </c>
      <c r="W750" s="6">
        <f>IF(ISERROR(VLOOKUP($T$750,'TAR FIN'!$A$1:$O$115,15,0)),0,VLOOKUP($T$750,'TAR FIN'!$A$1:$O$115,15,0))</f>
        <v>1448.96</v>
      </c>
      <c r="X750" s="6">
        <f>IF(ISERROR(VLOOKUP($U$750,'TAR FIN'!$A$1:$O$115,15,0)),0,VLOOKUP($U$750,'TAR FIN'!$A$1:$O$115,15,0))</f>
        <v>270.3</v>
      </c>
      <c r="Y750" s="6"/>
      <c r="Z750" s="6">
        <f ca="1">('TUSD BE'!$AM$28+'TUSD BF'!$AM$28+'TUSD CVA'!$AM$28)*1</f>
        <v>1480.1280206491922</v>
      </c>
      <c r="AA750" s="6">
        <f>('TE BE'!$AB$11+'TE BF'!$AB$11+'TE CVA'!$AB$11)*1</f>
        <v>362.64398683254075</v>
      </c>
      <c r="AB750" s="6">
        <f>$K$750*$V$750</f>
        <v>0</v>
      </c>
      <c r="AC750" s="6">
        <f>$M$750*$W$750</f>
        <v>98714.746880000006</v>
      </c>
      <c r="AD750" s="6">
        <f>$O$750*$X$750</f>
        <v>18414.9984</v>
      </c>
      <c r="AE750" s="6">
        <f>$K$750*$Y$750</f>
        <v>0</v>
      </c>
      <c r="AF750" s="6">
        <f ca="1">$M$750*$Z$750</f>
        <v>100838.16179078816</v>
      </c>
      <c r="AG750" s="6">
        <f>$O$750*$AA$750</f>
        <v>24706.209534927337</v>
      </c>
    </row>
    <row r="751" spans="1:33" ht="11.25" customHeight="1" x14ac:dyDescent="0.25">
      <c r="A751" s="4" t="s">
        <v>28</v>
      </c>
      <c r="B751" s="4" t="s">
        <v>41</v>
      </c>
      <c r="C751" s="4" t="s">
        <v>44</v>
      </c>
      <c r="D751" s="4" t="s">
        <v>40</v>
      </c>
      <c r="E751" s="4" t="s">
        <v>25</v>
      </c>
      <c r="F751" s="4" t="s">
        <v>25</v>
      </c>
      <c r="G751" s="4" t="s">
        <v>25</v>
      </c>
      <c r="H751" s="4" t="s">
        <v>36</v>
      </c>
      <c r="I751" s="5">
        <v>44621</v>
      </c>
      <c r="J751" s="6">
        <v>0</v>
      </c>
      <c r="K751" s="6">
        <v>0</v>
      </c>
      <c r="L751" s="6">
        <v>3.9020000000000001</v>
      </c>
      <c r="M751" s="6">
        <v>3.9020000000000001</v>
      </c>
      <c r="N751" s="6">
        <v>3.9020000000000001</v>
      </c>
      <c r="O751" s="6">
        <v>3.9020000000000001</v>
      </c>
      <c r="P751" s="6">
        <v>0</v>
      </c>
      <c r="Q751" s="4" t="s">
        <v>26</v>
      </c>
      <c r="R751" s="4">
        <v>0</v>
      </c>
      <c r="S751" s="6">
        <v>0</v>
      </c>
      <c r="T751" s="6">
        <v>28</v>
      </c>
      <c r="U751" s="6">
        <v>74</v>
      </c>
      <c r="V751" s="6">
        <f>IF(ISERROR(VLOOKUP($S$751,'TAR FIN'!$A$1:$O$115,15,0)),0,VLOOKUP($S$751,'TAR FIN'!$A$1:$O$115,15,0))</f>
        <v>0</v>
      </c>
      <c r="W751" s="6">
        <f>IF(ISERROR(VLOOKUP($T$751,'TAR FIN'!$A$1:$O$115,15,0)),0,VLOOKUP($T$751,'TAR FIN'!$A$1:$O$115,15,0))</f>
        <v>1448.96</v>
      </c>
      <c r="X751" s="6">
        <f>IF(ISERROR(VLOOKUP($U$751,'TAR FIN'!$A$1:$O$115,15,0)),0,VLOOKUP($U$751,'TAR FIN'!$A$1:$O$115,15,0))</f>
        <v>270.3</v>
      </c>
      <c r="Y751" s="6"/>
      <c r="Z751" s="6">
        <f ca="1">('TUSD BE'!$AM$28+'TUSD BF'!$AM$28+'TUSD CVA'!$AM$28)*1</f>
        <v>1480.1280206491922</v>
      </c>
      <c r="AA751" s="6">
        <f>('TE BE'!$AB$11+'TE BF'!$AB$11+'TE CVA'!$AB$11)*1</f>
        <v>362.64398683254075</v>
      </c>
      <c r="AB751" s="6">
        <f>$K$751*$V$751</f>
        <v>0</v>
      </c>
      <c r="AC751" s="6">
        <f>$M$751*$W$751</f>
        <v>5653.8419200000008</v>
      </c>
      <c r="AD751" s="6">
        <f>$O$751*$X$751</f>
        <v>1054.7106000000001</v>
      </c>
      <c r="AE751" s="6">
        <f>$K$751*$Y$751</f>
        <v>0</v>
      </c>
      <c r="AF751" s="6">
        <f ca="1">$M$751*$Z$751</f>
        <v>5775.4595365731484</v>
      </c>
      <c r="AG751" s="6">
        <f>$O$751*$AA$751</f>
        <v>1415.0368366205741</v>
      </c>
    </row>
    <row r="752" spans="1:33" ht="11.25" customHeight="1" x14ac:dyDescent="0.25">
      <c r="A752" s="4" t="s">
        <v>30</v>
      </c>
      <c r="B752" s="4" t="s">
        <v>41</v>
      </c>
      <c r="C752" s="4" t="s">
        <v>44</v>
      </c>
      <c r="D752" s="4" t="s">
        <v>40</v>
      </c>
      <c r="E752" s="4" t="s">
        <v>25</v>
      </c>
      <c r="F752" s="4" t="s">
        <v>25</v>
      </c>
      <c r="G752" s="4" t="s">
        <v>25</v>
      </c>
      <c r="H752" s="4" t="s">
        <v>36</v>
      </c>
      <c r="I752" s="5">
        <v>44621</v>
      </c>
      <c r="J752" s="6">
        <v>0</v>
      </c>
      <c r="K752" s="6">
        <v>0</v>
      </c>
      <c r="L752" s="6">
        <v>1.67</v>
      </c>
      <c r="M752" s="6">
        <v>1.67</v>
      </c>
      <c r="N752" s="6">
        <v>1.67</v>
      </c>
      <c r="O752" s="6">
        <v>1.67</v>
      </c>
      <c r="P752" s="6">
        <v>0</v>
      </c>
      <c r="Q752" s="4" t="s">
        <v>26</v>
      </c>
      <c r="R752" s="4">
        <v>0</v>
      </c>
      <c r="S752" s="6">
        <v>0</v>
      </c>
      <c r="T752" s="6">
        <v>28</v>
      </c>
      <c r="U752" s="6">
        <v>74</v>
      </c>
      <c r="V752" s="6">
        <f>IF(ISERROR(VLOOKUP($S$752,'TAR FIN'!$A$1:$O$115,15,0)),0,VLOOKUP($S$752,'TAR FIN'!$A$1:$O$115,15,0))</f>
        <v>0</v>
      </c>
      <c r="W752" s="6">
        <f>IF(ISERROR(VLOOKUP($T$752,'TAR FIN'!$A$1:$O$115,15,0)),0,VLOOKUP($T$752,'TAR FIN'!$A$1:$O$115,15,0))</f>
        <v>1448.96</v>
      </c>
      <c r="X752" s="6">
        <f>IF(ISERROR(VLOOKUP($U$752,'TAR FIN'!$A$1:$O$115,15,0)),0,VLOOKUP($U$752,'TAR FIN'!$A$1:$O$115,15,0))</f>
        <v>270.3</v>
      </c>
      <c r="Y752" s="6"/>
      <c r="Z752" s="6">
        <f ca="1">('TUSD BE'!$AM$28+'TUSD BF'!$AM$28+'TUSD CVA'!$AM$28)*1</f>
        <v>1480.1280206491922</v>
      </c>
      <c r="AA752" s="6">
        <f>('TE BE'!$AB$11+'TE BF'!$AB$11+'TE CVA'!$AB$11)*1</f>
        <v>362.64398683254075</v>
      </c>
      <c r="AB752" s="6">
        <f>$K$752*$V$752</f>
        <v>0</v>
      </c>
      <c r="AC752" s="6">
        <f>$M$752*$W$752</f>
        <v>2419.7631999999999</v>
      </c>
      <c r="AD752" s="6">
        <f>$O$752*$X$752</f>
        <v>451.40100000000001</v>
      </c>
      <c r="AE752" s="6">
        <f>$K$752*$Y$752</f>
        <v>0</v>
      </c>
      <c r="AF752" s="6">
        <f ca="1">$M$752*$Z$752</f>
        <v>2471.813794484151</v>
      </c>
      <c r="AG752" s="6">
        <f>$O$752*$AA$752</f>
        <v>605.61545801034299</v>
      </c>
    </row>
    <row r="753" spans="1:33" ht="11.25" customHeight="1" x14ac:dyDescent="0.25">
      <c r="A753" s="4" t="s">
        <v>21</v>
      </c>
      <c r="B753" s="4" t="s">
        <v>41</v>
      </c>
      <c r="C753" s="4" t="s">
        <v>44</v>
      </c>
      <c r="D753" s="4" t="s">
        <v>40</v>
      </c>
      <c r="E753" s="4" t="s">
        <v>25</v>
      </c>
      <c r="F753" s="4" t="s">
        <v>25</v>
      </c>
      <c r="G753" s="4" t="s">
        <v>25</v>
      </c>
      <c r="H753" s="4" t="s">
        <v>36</v>
      </c>
      <c r="I753" s="5">
        <v>44652</v>
      </c>
      <c r="J753" s="6">
        <v>0</v>
      </c>
      <c r="K753" s="6">
        <v>0</v>
      </c>
      <c r="L753" s="6">
        <v>58.709000000000003</v>
      </c>
      <c r="M753" s="6">
        <v>58.709000000000003</v>
      </c>
      <c r="N753" s="6">
        <v>58.709000000000003</v>
      </c>
      <c r="O753" s="6">
        <v>58.709000000000003</v>
      </c>
      <c r="P753" s="6">
        <v>0</v>
      </c>
      <c r="Q753" s="4" t="s">
        <v>26</v>
      </c>
      <c r="R753" s="4">
        <v>0</v>
      </c>
      <c r="S753" s="6">
        <v>0</v>
      </c>
      <c r="T753" s="6">
        <v>28</v>
      </c>
      <c r="U753" s="6">
        <v>74</v>
      </c>
      <c r="V753" s="6">
        <f>IF(ISERROR(VLOOKUP($S$753,'TAR FIN'!$A$1:$O$115,15,0)),0,VLOOKUP($S$753,'TAR FIN'!$A$1:$O$115,15,0))</f>
        <v>0</v>
      </c>
      <c r="W753" s="6">
        <f>IF(ISERROR(VLOOKUP($T$753,'TAR FIN'!$A$1:$O$115,15,0)),0,VLOOKUP($T$753,'TAR FIN'!$A$1:$O$115,15,0))</f>
        <v>1448.96</v>
      </c>
      <c r="X753" s="6">
        <f>IF(ISERROR(VLOOKUP($U$753,'TAR FIN'!$A$1:$O$115,15,0)),0,VLOOKUP($U$753,'TAR FIN'!$A$1:$O$115,15,0))</f>
        <v>270.3</v>
      </c>
      <c r="Y753" s="6"/>
      <c r="Z753" s="6">
        <f ca="1">('TUSD BE'!$AM$28+'TUSD BF'!$AM$28+'TUSD CVA'!$AM$28)*1</f>
        <v>1480.1280206491922</v>
      </c>
      <c r="AA753" s="6">
        <f>('TE BE'!$AB$11+'TE BF'!$AB$11+'TE CVA'!$AB$11)*1</f>
        <v>362.64398683254075</v>
      </c>
      <c r="AB753" s="6">
        <f>$K$753*$V$753</f>
        <v>0</v>
      </c>
      <c r="AC753" s="6">
        <f>$M$753*$W$753</f>
        <v>85066.992640000011</v>
      </c>
      <c r="AD753" s="6">
        <f>$O$753*$X$753</f>
        <v>15869.042700000002</v>
      </c>
      <c r="AE753" s="6">
        <f>$K$753*$Y$753</f>
        <v>0</v>
      </c>
      <c r="AF753" s="6">
        <f ca="1">$M$753*$Z$753</f>
        <v>86896.835964293423</v>
      </c>
      <c r="AG753" s="6">
        <f>$O$753*$AA$753</f>
        <v>21290.465822951635</v>
      </c>
    </row>
    <row r="754" spans="1:33" ht="11.25" customHeight="1" x14ac:dyDescent="0.25">
      <c r="A754" s="4" t="s">
        <v>28</v>
      </c>
      <c r="B754" s="4" t="s">
        <v>41</v>
      </c>
      <c r="C754" s="4" t="s">
        <v>44</v>
      </c>
      <c r="D754" s="4" t="s">
        <v>40</v>
      </c>
      <c r="E754" s="4" t="s">
        <v>25</v>
      </c>
      <c r="F754" s="4" t="s">
        <v>25</v>
      </c>
      <c r="G754" s="4" t="s">
        <v>25</v>
      </c>
      <c r="H754" s="4" t="s">
        <v>36</v>
      </c>
      <c r="I754" s="5">
        <v>44652</v>
      </c>
      <c r="J754" s="6">
        <v>0</v>
      </c>
      <c r="K754" s="6">
        <v>0</v>
      </c>
      <c r="L754" s="6">
        <v>4.6589999999999998</v>
      </c>
      <c r="M754" s="6">
        <v>4.6589999999999998</v>
      </c>
      <c r="N754" s="6">
        <v>4.6589999999999998</v>
      </c>
      <c r="O754" s="6">
        <v>4.6589999999999998</v>
      </c>
      <c r="P754" s="6">
        <v>0</v>
      </c>
      <c r="Q754" s="4" t="s">
        <v>26</v>
      </c>
      <c r="R754" s="4">
        <v>0</v>
      </c>
      <c r="S754" s="6">
        <v>0</v>
      </c>
      <c r="T754" s="6">
        <v>28</v>
      </c>
      <c r="U754" s="6">
        <v>74</v>
      </c>
      <c r="V754" s="6">
        <f>IF(ISERROR(VLOOKUP($S$754,'TAR FIN'!$A$1:$O$115,15,0)),0,VLOOKUP($S$754,'TAR FIN'!$A$1:$O$115,15,0))</f>
        <v>0</v>
      </c>
      <c r="W754" s="6">
        <f>IF(ISERROR(VLOOKUP($T$754,'TAR FIN'!$A$1:$O$115,15,0)),0,VLOOKUP($T$754,'TAR FIN'!$A$1:$O$115,15,0))</f>
        <v>1448.96</v>
      </c>
      <c r="X754" s="6">
        <f>IF(ISERROR(VLOOKUP($U$754,'TAR FIN'!$A$1:$O$115,15,0)),0,VLOOKUP($U$754,'TAR FIN'!$A$1:$O$115,15,0))</f>
        <v>270.3</v>
      </c>
      <c r="Y754" s="6"/>
      <c r="Z754" s="6">
        <f ca="1">('TUSD BE'!$AM$28+'TUSD BF'!$AM$28+'TUSD CVA'!$AM$28)*1</f>
        <v>1480.1280206491922</v>
      </c>
      <c r="AA754" s="6">
        <f>('TE BE'!$AB$11+'TE BF'!$AB$11+'TE CVA'!$AB$11)*1</f>
        <v>362.64398683254075</v>
      </c>
      <c r="AB754" s="6">
        <f>$K$754*$V$754</f>
        <v>0</v>
      </c>
      <c r="AC754" s="6">
        <f>$M$754*$W$754</f>
        <v>6750.7046399999999</v>
      </c>
      <c r="AD754" s="6">
        <f>$O$754*$X$754</f>
        <v>1259.3277</v>
      </c>
      <c r="AE754" s="6">
        <f>$K$754*$Y$754</f>
        <v>0</v>
      </c>
      <c r="AF754" s="6">
        <f ca="1">$M$754*$Z$754</f>
        <v>6895.9164482045862</v>
      </c>
      <c r="AG754" s="6">
        <f>$O$754*$AA$754</f>
        <v>1689.5583346528072</v>
      </c>
    </row>
    <row r="755" spans="1:33" ht="11.25" customHeight="1" x14ac:dyDescent="0.25">
      <c r="A755" s="4" t="s">
        <v>30</v>
      </c>
      <c r="B755" s="4" t="s">
        <v>41</v>
      </c>
      <c r="C755" s="4" t="s">
        <v>44</v>
      </c>
      <c r="D755" s="4" t="s">
        <v>40</v>
      </c>
      <c r="E755" s="4" t="s">
        <v>25</v>
      </c>
      <c r="F755" s="4" t="s">
        <v>25</v>
      </c>
      <c r="G755" s="4" t="s">
        <v>25</v>
      </c>
      <c r="H755" s="4" t="s">
        <v>36</v>
      </c>
      <c r="I755" s="5">
        <v>44652</v>
      </c>
      <c r="J755" s="6">
        <v>0</v>
      </c>
      <c r="K755" s="6">
        <v>0</v>
      </c>
      <c r="L755" s="6">
        <v>1.516</v>
      </c>
      <c r="M755" s="6">
        <v>1.516</v>
      </c>
      <c r="N755" s="6">
        <v>1.516</v>
      </c>
      <c r="O755" s="6">
        <v>1.516</v>
      </c>
      <c r="P755" s="6">
        <v>0</v>
      </c>
      <c r="Q755" s="4" t="s">
        <v>26</v>
      </c>
      <c r="R755" s="4">
        <v>0</v>
      </c>
      <c r="S755" s="6">
        <v>0</v>
      </c>
      <c r="T755" s="6">
        <v>28</v>
      </c>
      <c r="U755" s="6">
        <v>74</v>
      </c>
      <c r="V755" s="6">
        <f>IF(ISERROR(VLOOKUP($S$755,'TAR FIN'!$A$1:$O$115,15,0)),0,VLOOKUP($S$755,'TAR FIN'!$A$1:$O$115,15,0))</f>
        <v>0</v>
      </c>
      <c r="W755" s="6">
        <f>IF(ISERROR(VLOOKUP($T$755,'TAR FIN'!$A$1:$O$115,15,0)),0,VLOOKUP($T$755,'TAR FIN'!$A$1:$O$115,15,0))</f>
        <v>1448.96</v>
      </c>
      <c r="X755" s="6">
        <f>IF(ISERROR(VLOOKUP($U$755,'TAR FIN'!$A$1:$O$115,15,0)),0,VLOOKUP($U$755,'TAR FIN'!$A$1:$O$115,15,0))</f>
        <v>270.3</v>
      </c>
      <c r="Y755" s="6"/>
      <c r="Z755" s="6">
        <f ca="1">('TUSD BE'!$AM$28+'TUSD BF'!$AM$28+'TUSD CVA'!$AM$28)*1</f>
        <v>1480.1280206491922</v>
      </c>
      <c r="AA755" s="6">
        <f>('TE BE'!$AB$11+'TE BF'!$AB$11+'TE CVA'!$AB$11)*1</f>
        <v>362.64398683254075</v>
      </c>
      <c r="AB755" s="6">
        <f>$K$755*$V$755</f>
        <v>0</v>
      </c>
      <c r="AC755" s="6">
        <f>$M$755*$W$755</f>
        <v>2196.62336</v>
      </c>
      <c r="AD755" s="6">
        <f>$O$755*$X$755</f>
        <v>409.77480000000003</v>
      </c>
      <c r="AE755" s="6">
        <f>$K$755*$Y$755</f>
        <v>0</v>
      </c>
      <c r="AF755" s="6">
        <f ca="1">$M$755*$Z$755</f>
        <v>2243.8740793041752</v>
      </c>
      <c r="AG755" s="6">
        <f>$O$755*$AA$755</f>
        <v>549.76828403813181</v>
      </c>
    </row>
    <row r="756" spans="1:33" ht="11.25" customHeight="1" x14ac:dyDescent="0.25">
      <c r="A756" s="4" t="s">
        <v>21</v>
      </c>
      <c r="B756" s="4" t="s">
        <v>41</v>
      </c>
      <c r="C756" s="4" t="s">
        <v>44</v>
      </c>
      <c r="D756" s="4" t="s">
        <v>40</v>
      </c>
      <c r="E756" s="4" t="s">
        <v>25</v>
      </c>
      <c r="F756" s="4" t="s">
        <v>25</v>
      </c>
      <c r="G756" s="4" t="s">
        <v>25</v>
      </c>
      <c r="H756" s="4" t="s">
        <v>36</v>
      </c>
      <c r="I756" s="5">
        <v>44682</v>
      </c>
      <c r="J756" s="6">
        <v>0</v>
      </c>
      <c r="K756" s="6">
        <v>0</v>
      </c>
      <c r="L756" s="6">
        <v>56.252000000000002</v>
      </c>
      <c r="M756" s="6">
        <v>56.252000000000002</v>
      </c>
      <c r="N756" s="6">
        <v>56.252000000000002</v>
      </c>
      <c r="O756" s="6">
        <v>56.252000000000002</v>
      </c>
      <c r="P756" s="6">
        <v>0</v>
      </c>
      <c r="Q756" s="4" t="s">
        <v>26</v>
      </c>
      <c r="R756" s="4">
        <v>0</v>
      </c>
      <c r="S756" s="6">
        <v>0</v>
      </c>
      <c r="T756" s="6">
        <v>28</v>
      </c>
      <c r="U756" s="6">
        <v>74</v>
      </c>
      <c r="V756" s="6">
        <f>IF(ISERROR(VLOOKUP($S$756,'TAR FIN'!$A$1:$O$115,15,0)),0,VLOOKUP($S$756,'TAR FIN'!$A$1:$O$115,15,0))</f>
        <v>0</v>
      </c>
      <c r="W756" s="6">
        <f>IF(ISERROR(VLOOKUP($T$756,'TAR FIN'!$A$1:$O$115,15,0)),0,VLOOKUP($T$756,'TAR FIN'!$A$1:$O$115,15,0))</f>
        <v>1448.96</v>
      </c>
      <c r="X756" s="6">
        <f>IF(ISERROR(VLOOKUP($U$756,'TAR FIN'!$A$1:$O$115,15,0)),0,VLOOKUP($U$756,'TAR FIN'!$A$1:$O$115,15,0))</f>
        <v>270.3</v>
      </c>
      <c r="Y756" s="6"/>
      <c r="Z756" s="6">
        <f ca="1">('TUSD BE'!$AM$28+'TUSD BF'!$AM$28+'TUSD CVA'!$AM$28)*1</f>
        <v>1480.1280206491922</v>
      </c>
      <c r="AA756" s="6">
        <f>('TE BE'!$AB$11+'TE BF'!$AB$11+'TE CVA'!$AB$11)*1</f>
        <v>362.64398683254075</v>
      </c>
      <c r="AB756" s="6">
        <f>$K$756*$V$756</f>
        <v>0</v>
      </c>
      <c r="AC756" s="6">
        <f>$M$756*$W$756</f>
        <v>81506.897920000003</v>
      </c>
      <c r="AD756" s="6">
        <f>$O$756*$X$756</f>
        <v>15204.915600000002</v>
      </c>
      <c r="AE756" s="6">
        <f>$K$756*$Y$756</f>
        <v>0</v>
      </c>
      <c r="AF756" s="6">
        <f ca="1">$M$756*$Z$756</f>
        <v>83260.161417558367</v>
      </c>
      <c r="AG756" s="6">
        <f>$O$756*$AA$756</f>
        <v>20399.449547304084</v>
      </c>
    </row>
    <row r="757" spans="1:33" ht="11.25" customHeight="1" x14ac:dyDescent="0.25">
      <c r="A757" s="4" t="s">
        <v>28</v>
      </c>
      <c r="B757" s="4" t="s">
        <v>41</v>
      </c>
      <c r="C757" s="4" t="s">
        <v>44</v>
      </c>
      <c r="D757" s="4" t="s">
        <v>40</v>
      </c>
      <c r="E757" s="4" t="s">
        <v>25</v>
      </c>
      <c r="F757" s="4" t="s">
        <v>25</v>
      </c>
      <c r="G757" s="4" t="s">
        <v>25</v>
      </c>
      <c r="H757" s="4" t="s">
        <v>36</v>
      </c>
      <c r="I757" s="5">
        <v>44682</v>
      </c>
      <c r="J757" s="6">
        <v>0</v>
      </c>
      <c r="K757" s="6">
        <v>0</v>
      </c>
      <c r="L757" s="6">
        <v>4.3360000000000003</v>
      </c>
      <c r="M757" s="6">
        <v>4.3360000000000003</v>
      </c>
      <c r="N757" s="6">
        <v>4.3360000000000003</v>
      </c>
      <c r="O757" s="6">
        <v>4.3360000000000003</v>
      </c>
      <c r="P757" s="6">
        <v>0</v>
      </c>
      <c r="Q757" s="4" t="s">
        <v>26</v>
      </c>
      <c r="R757" s="4">
        <v>0</v>
      </c>
      <c r="S757" s="6">
        <v>0</v>
      </c>
      <c r="T757" s="6">
        <v>28</v>
      </c>
      <c r="U757" s="6">
        <v>74</v>
      </c>
      <c r="V757" s="6">
        <f>IF(ISERROR(VLOOKUP($S$757,'TAR FIN'!$A$1:$O$115,15,0)),0,VLOOKUP($S$757,'TAR FIN'!$A$1:$O$115,15,0))</f>
        <v>0</v>
      </c>
      <c r="W757" s="6">
        <f>IF(ISERROR(VLOOKUP($T$757,'TAR FIN'!$A$1:$O$115,15,0)),0,VLOOKUP($T$757,'TAR FIN'!$A$1:$O$115,15,0))</f>
        <v>1448.96</v>
      </c>
      <c r="X757" s="6">
        <f>IF(ISERROR(VLOOKUP($U$757,'TAR FIN'!$A$1:$O$115,15,0)),0,VLOOKUP($U$757,'TAR FIN'!$A$1:$O$115,15,0))</f>
        <v>270.3</v>
      </c>
      <c r="Y757" s="6"/>
      <c r="Z757" s="6">
        <f ca="1">('TUSD BE'!$AM$28+'TUSD BF'!$AM$28+'TUSD CVA'!$AM$28)*1</f>
        <v>1480.1280206491922</v>
      </c>
      <c r="AA757" s="6">
        <f>('TE BE'!$AB$11+'TE BF'!$AB$11+'TE CVA'!$AB$11)*1</f>
        <v>362.64398683254075</v>
      </c>
      <c r="AB757" s="6">
        <f>$K$757*$V$757</f>
        <v>0</v>
      </c>
      <c r="AC757" s="6">
        <f>$M$757*$W$757</f>
        <v>6282.6905600000009</v>
      </c>
      <c r="AD757" s="6">
        <f>$O$757*$X$757</f>
        <v>1172.0208000000002</v>
      </c>
      <c r="AE757" s="6">
        <f>$K$757*$Y$757</f>
        <v>0</v>
      </c>
      <c r="AF757" s="6">
        <f ca="1">$M$757*$Z$757</f>
        <v>6417.8350975348976</v>
      </c>
      <c r="AG757" s="6">
        <f>$O$757*$AA$757</f>
        <v>1572.4243269058968</v>
      </c>
    </row>
    <row r="758" spans="1:33" ht="11.25" customHeight="1" x14ac:dyDescent="0.25">
      <c r="A758" s="4" t="s">
        <v>30</v>
      </c>
      <c r="B758" s="4" t="s">
        <v>41</v>
      </c>
      <c r="C758" s="4" t="s">
        <v>44</v>
      </c>
      <c r="D758" s="4" t="s">
        <v>40</v>
      </c>
      <c r="E758" s="4" t="s">
        <v>25</v>
      </c>
      <c r="F758" s="4" t="s">
        <v>25</v>
      </c>
      <c r="G758" s="4" t="s">
        <v>25</v>
      </c>
      <c r="H758" s="4" t="s">
        <v>36</v>
      </c>
      <c r="I758" s="5">
        <v>44682</v>
      </c>
      <c r="J758" s="6">
        <v>0</v>
      </c>
      <c r="K758" s="6">
        <v>0</v>
      </c>
      <c r="L758" s="6">
        <v>1.5629999999999999</v>
      </c>
      <c r="M758" s="6">
        <v>1.5629999999999999</v>
      </c>
      <c r="N758" s="6">
        <v>1.5629999999999999</v>
      </c>
      <c r="O758" s="6">
        <v>1.5629999999999999</v>
      </c>
      <c r="P758" s="6">
        <v>0</v>
      </c>
      <c r="Q758" s="4" t="s">
        <v>26</v>
      </c>
      <c r="R758" s="4">
        <v>0</v>
      </c>
      <c r="S758" s="6">
        <v>0</v>
      </c>
      <c r="T758" s="6">
        <v>28</v>
      </c>
      <c r="U758" s="6">
        <v>74</v>
      </c>
      <c r="V758" s="6">
        <f>IF(ISERROR(VLOOKUP($S$758,'TAR FIN'!$A$1:$O$115,15,0)),0,VLOOKUP($S$758,'TAR FIN'!$A$1:$O$115,15,0))</f>
        <v>0</v>
      </c>
      <c r="W758" s="6">
        <f>IF(ISERROR(VLOOKUP($T$758,'TAR FIN'!$A$1:$O$115,15,0)),0,VLOOKUP($T$758,'TAR FIN'!$A$1:$O$115,15,0))</f>
        <v>1448.96</v>
      </c>
      <c r="X758" s="6">
        <f>IF(ISERROR(VLOOKUP($U$758,'TAR FIN'!$A$1:$O$115,15,0)),0,VLOOKUP($U$758,'TAR FIN'!$A$1:$O$115,15,0))</f>
        <v>270.3</v>
      </c>
      <c r="Y758" s="6"/>
      <c r="Z758" s="6">
        <f ca="1">('TUSD BE'!$AM$28+'TUSD BF'!$AM$28+'TUSD CVA'!$AM$28)*1</f>
        <v>1480.1280206491922</v>
      </c>
      <c r="AA758" s="6">
        <f>('TE BE'!$AB$11+'TE BF'!$AB$11+'TE CVA'!$AB$11)*1</f>
        <v>362.64398683254075</v>
      </c>
      <c r="AB758" s="6">
        <f>$K$758*$V$758</f>
        <v>0</v>
      </c>
      <c r="AC758" s="6">
        <f>$M$758*$W$758</f>
        <v>2264.7244799999999</v>
      </c>
      <c r="AD758" s="6">
        <f>$O$758*$X$758</f>
        <v>422.47890000000001</v>
      </c>
      <c r="AE758" s="6">
        <f>$K$758*$Y$758</f>
        <v>0</v>
      </c>
      <c r="AF758" s="6">
        <f ca="1">$M$758*$Z$758</f>
        <v>2313.4400962746872</v>
      </c>
      <c r="AG758" s="6">
        <f>$O$758*$AA$758</f>
        <v>566.81255141926113</v>
      </c>
    </row>
    <row r="759" spans="1:33" ht="11.25" customHeight="1" x14ac:dyDescent="0.25">
      <c r="A759" s="4" t="s">
        <v>21</v>
      </c>
      <c r="B759" s="4" t="s">
        <v>41</v>
      </c>
      <c r="C759" s="4" t="s">
        <v>44</v>
      </c>
      <c r="D759" s="4" t="s">
        <v>40</v>
      </c>
      <c r="E759" s="4" t="s">
        <v>25</v>
      </c>
      <c r="F759" s="4" t="s">
        <v>25</v>
      </c>
      <c r="G759" s="4" t="s">
        <v>25</v>
      </c>
      <c r="H759" s="4" t="s">
        <v>36</v>
      </c>
      <c r="I759" s="5">
        <v>44713</v>
      </c>
      <c r="J759" s="6">
        <v>0</v>
      </c>
      <c r="K759" s="6">
        <v>0</v>
      </c>
      <c r="L759" s="6">
        <v>52.558</v>
      </c>
      <c r="M759" s="6">
        <v>52.558</v>
      </c>
      <c r="N759" s="6">
        <v>52.558</v>
      </c>
      <c r="O759" s="6">
        <v>52.558</v>
      </c>
      <c r="P759" s="6">
        <v>0</v>
      </c>
      <c r="Q759" s="4" t="s">
        <v>26</v>
      </c>
      <c r="R759" s="4">
        <v>0</v>
      </c>
      <c r="S759" s="6">
        <v>0</v>
      </c>
      <c r="T759" s="6">
        <v>28</v>
      </c>
      <c r="U759" s="6">
        <v>74</v>
      </c>
      <c r="V759" s="6">
        <f>IF(ISERROR(VLOOKUP($S$759,'TAR FIN'!$A$1:$O$115,15,0)),0,VLOOKUP($S$759,'TAR FIN'!$A$1:$O$115,15,0))</f>
        <v>0</v>
      </c>
      <c r="W759" s="6">
        <f>IF(ISERROR(VLOOKUP($T$759,'TAR FIN'!$A$1:$O$115,15,0)),0,VLOOKUP($T$759,'TAR FIN'!$A$1:$O$115,15,0))</f>
        <v>1448.96</v>
      </c>
      <c r="X759" s="6">
        <f>IF(ISERROR(VLOOKUP($U$759,'TAR FIN'!$A$1:$O$115,15,0)),0,VLOOKUP($U$759,'TAR FIN'!$A$1:$O$115,15,0))</f>
        <v>270.3</v>
      </c>
      <c r="Y759" s="6"/>
      <c r="Z759" s="6">
        <f ca="1">('TUSD BE'!$AM$28+'TUSD BF'!$AM$28+'TUSD CVA'!$AM$28)*1</f>
        <v>1480.1280206491922</v>
      </c>
      <c r="AA759" s="6">
        <f>('TE BE'!$AB$11+'TE BF'!$AB$11+'TE CVA'!$AB$11)*1</f>
        <v>362.64398683254075</v>
      </c>
      <c r="AB759" s="6">
        <f>$K$759*$V$759</f>
        <v>0</v>
      </c>
      <c r="AC759" s="6">
        <f>$M$759*$W$759</f>
        <v>76154.439679999996</v>
      </c>
      <c r="AD759" s="6">
        <f>$O$759*$X$759</f>
        <v>14206.4274</v>
      </c>
      <c r="AE759" s="6">
        <f>$K$759*$Y$759</f>
        <v>0</v>
      </c>
      <c r="AF759" s="6">
        <f ca="1">$M$759*$Z$759</f>
        <v>77792.568509280245</v>
      </c>
      <c r="AG759" s="6">
        <f>$O$759*$AA$759</f>
        <v>19059.842659944676</v>
      </c>
    </row>
    <row r="760" spans="1:33" ht="11.25" customHeight="1" x14ac:dyDescent="0.25">
      <c r="A760" s="4" t="s">
        <v>27</v>
      </c>
      <c r="B760" s="4" t="s">
        <v>41</v>
      </c>
      <c r="C760" s="4" t="s">
        <v>44</v>
      </c>
      <c r="D760" s="4" t="s">
        <v>40</v>
      </c>
      <c r="E760" s="4" t="s">
        <v>25</v>
      </c>
      <c r="F760" s="4" t="s">
        <v>25</v>
      </c>
      <c r="G760" s="4" t="s">
        <v>25</v>
      </c>
      <c r="H760" s="4" t="s">
        <v>36</v>
      </c>
      <c r="I760" s="5">
        <v>44713</v>
      </c>
      <c r="J760" s="6">
        <v>0</v>
      </c>
      <c r="K760" s="6">
        <v>0</v>
      </c>
      <c r="L760" s="6">
        <v>-1.1200000000000001</v>
      </c>
      <c r="M760" s="6">
        <v>-1.1200000000000001</v>
      </c>
      <c r="N760" s="6">
        <v>-1.1200000000000001</v>
      </c>
      <c r="O760" s="6">
        <v>-1.1200000000000001</v>
      </c>
      <c r="P760" s="6">
        <v>0</v>
      </c>
      <c r="Q760" s="4" t="s">
        <v>26</v>
      </c>
      <c r="R760" s="4">
        <v>0</v>
      </c>
      <c r="S760" s="6">
        <v>0</v>
      </c>
      <c r="T760" s="6">
        <v>28</v>
      </c>
      <c r="U760" s="6">
        <v>74</v>
      </c>
      <c r="V760" s="6">
        <f>IF(ISERROR(VLOOKUP($S$760,'TAR FIN'!$A$1:$O$115,15,0)),0,VLOOKUP($S$760,'TAR FIN'!$A$1:$O$115,15,0))</f>
        <v>0</v>
      </c>
      <c r="W760" s="6">
        <f>IF(ISERROR(VLOOKUP($T$760,'TAR FIN'!$A$1:$O$115,15,0)),0,VLOOKUP($T$760,'TAR FIN'!$A$1:$O$115,15,0))</f>
        <v>1448.96</v>
      </c>
      <c r="X760" s="6">
        <f>IF(ISERROR(VLOOKUP($U$760,'TAR FIN'!$A$1:$O$115,15,0)),0,VLOOKUP($U$760,'TAR FIN'!$A$1:$O$115,15,0))</f>
        <v>270.3</v>
      </c>
      <c r="Y760" s="6"/>
      <c r="Z760" s="6">
        <f ca="1">('TUSD BE'!$AM$28+'TUSD BF'!$AM$28+'TUSD CVA'!$AM$28)*1</f>
        <v>1480.1280206491922</v>
      </c>
      <c r="AA760" s="6">
        <f>('TE BE'!$AB$11+'TE BF'!$AB$11+'TE CVA'!$AB$11)*1</f>
        <v>362.64398683254075</v>
      </c>
      <c r="AB760" s="6">
        <f>$K$760*$V$760</f>
        <v>0</v>
      </c>
      <c r="AC760" s="6">
        <f>$M$760*$W$760</f>
        <v>-1622.8352000000002</v>
      </c>
      <c r="AD760" s="6">
        <f>$O$760*$X$760</f>
        <v>-302.73600000000005</v>
      </c>
      <c r="AE760" s="6">
        <f>$K$760*$Y$760</f>
        <v>0</v>
      </c>
      <c r="AF760" s="6">
        <f ca="1">$M$760*$Z$760</f>
        <v>-1657.7433831270955</v>
      </c>
      <c r="AG760" s="6">
        <f>$O$760*$AA$760</f>
        <v>-406.16126525244567</v>
      </c>
    </row>
    <row r="761" spans="1:33" ht="11.25" customHeight="1" x14ac:dyDescent="0.25">
      <c r="A761" s="4" t="s">
        <v>28</v>
      </c>
      <c r="B761" s="4" t="s">
        <v>41</v>
      </c>
      <c r="C761" s="4" t="s">
        <v>44</v>
      </c>
      <c r="D761" s="4" t="s">
        <v>40</v>
      </c>
      <c r="E761" s="4" t="s">
        <v>25</v>
      </c>
      <c r="F761" s="4" t="s">
        <v>25</v>
      </c>
      <c r="G761" s="4" t="s">
        <v>25</v>
      </c>
      <c r="H761" s="4" t="s">
        <v>36</v>
      </c>
      <c r="I761" s="5">
        <v>44713</v>
      </c>
      <c r="J761" s="6">
        <v>0</v>
      </c>
      <c r="K761" s="6">
        <v>0</v>
      </c>
      <c r="L761" s="6">
        <v>4.2329999999999997</v>
      </c>
      <c r="M761" s="6">
        <v>4.2329999999999997</v>
      </c>
      <c r="N761" s="6">
        <v>4.2329999999999997</v>
      </c>
      <c r="O761" s="6">
        <v>4.2329999999999997</v>
      </c>
      <c r="P761" s="6">
        <v>0</v>
      </c>
      <c r="Q761" s="4" t="s">
        <v>26</v>
      </c>
      <c r="R761" s="4">
        <v>0</v>
      </c>
      <c r="S761" s="6">
        <v>0</v>
      </c>
      <c r="T761" s="6">
        <v>28</v>
      </c>
      <c r="U761" s="6">
        <v>74</v>
      </c>
      <c r="V761" s="6">
        <f>IF(ISERROR(VLOOKUP($S$761,'TAR FIN'!$A$1:$O$115,15,0)),0,VLOOKUP($S$761,'TAR FIN'!$A$1:$O$115,15,0))</f>
        <v>0</v>
      </c>
      <c r="W761" s="6">
        <f>IF(ISERROR(VLOOKUP($T$761,'TAR FIN'!$A$1:$O$115,15,0)),0,VLOOKUP($T$761,'TAR FIN'!$A$1:$O$115,15,0))</f>
        <v>1448.96</v>
      </c>
      <c r="X761" s="6">
        <f>IF(ISERROR(VLOOKUP($U$761,'TAR FIN'!$A$1:$O$115,15,0)),0,VLOOKUP($U$761,'TAR FIN'!$A$1:$O$115,15,0))</f>
        <v>270.3</v>
      </c>
      <c r="Y761" s="6"/>
      <c r="Z761" s="6">
        <f ca="1">('TUSD BE'!$AM$28+'TUSD BF'!$AM$28+'TUSD CVA'!$AM$28)*1</f>
        <v>1480.1280206491922</v>
      </c>
      <c r="AA761" s="6">
        <f>('TE BE'!$AB$11+'TE BF'!$AB$11+'TE CVA'!$AB$11)*1</f>
        <v>362.64398683254075</v>
      </c>
      <c r="AB761" s="6">
        <f>$K$761*$V$761</f>
        <v>0</v>
      </c>
      <c r="AC761" s="6">
        <f>$M$761*$W$761</f>
        <v>6133.4476799999993</v>
      </c>
      <c r="AD761" s="6">
        <f>$O$761*$X$761</f>
        <v>1144.1798999999999</v>
      </c>
      <c r="AE761" s="6">
        <f>$K$761*$Y$761</f>
        <v>0</v>
      </c>
      <c r="AF761" s="6">
        <f ca="1">$M$761*$Z$761</f>
        <v>6265.3819114080297</v>
      </c>
      <c r="AG761" s="6">
        <f>$O$761*$AA$761</f>
        <v>1535.0719962621449</v>
      </c>
    </row>
    <row r="762" spans="1:33" ht="11.25" customHeight="1" x14ac:dyDescent="0.25">
      <c r="A762" s="4" t="s">
        <v>30</v>
      </c>
      <c r="B762" s="4" t="s">
        <v>41</v>
      </c>
      <c r="C762" s="4" t="s">
        <v>44</v>
      </c>
      <c r="D762" s="4" t="s">
        <v>40</v>
      </c>
      <c r="E762" s="4" t="s">
        <v>25</v>
      </c>
      <c r="F762" s="4" t="s">
        <v>25</v>
      </c>
      <c r="G762" s="4" t="s">
        <v>25</v>
      </c>
      <c r="H762" s="4" t="s">
        <v>36</v>
      </c>
      <c r="I762" s="5">
        <v>44713</v>
      </c>
      <c r="J762" s="6">
        <v>0</v>
      </c>
      <c r="K762" s="6">
        <v>0</v>
      </c>
      <c r="L762" s="6">
        <v>1.599</v>
      </c>
      <c r="M762" s="6">
        <v>1.599</v>
      </c>
      <c r="N762" s="6">
        <v>1.599</v>
      </c>
      <c r="O762" s="6">
        <v>1.599</v>
      </c>
      <c r="P762" s="6">
        <v>0</v>
      </c>
      <c r="Q762" s="4" t="s">
        <v>26</v>
      </c>
      <c r="R762" s="4">
        <v>0</v>
      </c>
      <c r="S762" s="6">
        <v>0</v>
      </c>
      <c r="T762" s="6">
        <v>28</v>
      </c>
      <c r="U762" s="6">
        <v>74</v>
      </c>
      <c r="V762" s="6">
        <f>IF(ISERROR(VLOOKUP($S$762,'TAR FIN'!$A$1:$O$115,15,0)),0,VLOOKUP($S$762,'TAR FIN'!$A$1:$O$115,15,0))</f>
        <v>0</v>
      </c>
      <c r="W762" s="6">
        <f>IF(ISERROR(VLOOKUP($T$762,'TAR FIN'!$A$1:$O$115,15,0)),0,VLOOKUP($T$762,'TAR FIN'!$A$1:$O$115,15,0))</f>
        <v>1448.96</v>
      </c>
      <c r="X762" s="6">
        <f>IF(ISERROR(VLOOKUP($U$762,'TAR FIN'!$A$1:$O$115,15,0)),0,VLOOKUP($U$762,'TAR FIN'!$A$1:$O$115,15,0))</f>
        <v>270.3</v>
      </c>
      <c r="Y762" s="6"/>
      <c r="Z762" s="6">
        <f ca="1">('TUSD BE'!$AM$28+'TUSD BF'!$AM$28+'TUSD CVA'!$AM$28)*1</f>
        <v>1480.1280206491922</v>
      </c>
      <c r="AA762" s="6">
        <f>('TE BE'!$AB$11+'TE BF'!$AB$11+'TE CVA'!$AB$11)*1</f>
        <v>362.64398683254075</v>
      </c>
      <c r="AB762" s="6">
        <f>$K$762*$V$762</f>
        <v>0</v>
      </c>
      <c r="AC762" s="6">
        <f>$M$762*$W$762</f>
        <v>2316.8870400000001</v>
      </c>
      <c r="AD762" s="6">
        <f>$O$762*$X$762</f>
        <v>432.2097</v>
      </c>
      <c r="AE762" s="6">
        <f>$K$762*$Y$762</f>
        <v>0</v>
      </c>
      <c r="AF762" s="6">
        <f ca="1">$M$762*$Z$762</f>
        <v>2366.7247050180581</v>
      </c>
      <c r="AG762" s="6">
        <f>$O$762*$AA$762</f>
        <v>579.86773494523266</v>
      </c>
    </row>
    <row r="763" spans="1:33" ht="11.25" customHeight="1" x14ac:dyDescent="0.25">
      <c r="A763" s="4" t="s">
        <v>21</v>
      </c>
      <c r="B763" s="4" t="s">
        <v>41</v>
      </c>
      <c r="C763" s="4" t="s">
        <v>44</v>
      </c>
      <c r="D763" s="4" t="s">
        <v>40</v>
      </c>
      <c r="E763" s="4" t="s">
        <v>25</v>
      </c>
      <c r="F763" s="4" t="s">
        <v>25</v>
      </c>
      <c r="G763" s="4" t="s">
        <v>25</v>
      </c>
      <c r="H763" s="4" t="s">
        <v>36</v>
      </c>
      <c r="I763" s="5">
        <v>44743</v>
      </c>
      <c r="J763" s="6">
        <v>0</v>
      </c>
      <c r="K763" s="6">
        <v>0</v>
      </c>
      <c r="L763" s="6">
        <v>56.893000000000001</v>
      </c>
      <c r="M763" s="6">
        <v>56.893000000000001</v>
      </c>
      <c r="N763" s="6">
        <v>56.893000000000001</v>
      </c>
      <c r="O763" s="6">
        <v>56.893000000000001</v>
      </c>
      <c r="P763" s="6">
        <v>0</v>
      </c>
      <c r="Q763" s="4" t="s">
        <v>26</v>
      </c>
      <c r="R763" s="4">
        <v>0</v>
      </c>
      <c r="S763" s="6">
        <v>0</v>
      </c>
      <c r="T763" s="6">
        <v>28</v>
      </c>
      <c r="U763" s="6">
        <v>74</v>
      </c>
      <c r="V763" s="6">
        <f>IF(ISERROR(VLOOKUP($S$763,'TAR FIN'!$A$1:$O$115,15,0)),0,VLOOKUP($S$763,'TAR FIN'!$A$1:$O$115,15,0))</f>
        <v>0</v>
      </c>
      <c r="W763" s="6">
        <f>IF(ISERROR(VLOOKUP($T$763,'TAR FIN'!$A$1:$O$115,15,0)),0,VLOOKUP($T$763,'TAR FIN'!$A$1:$O$115,15,0))</f>
        <v>1448.96</v>
      </c>
      <c r="X763" s="6">
        <f>IF(ISERROR(VLOOKUP($U$763,'TAR FIN'!$A$1:$O$115,15,0)),0,VLOOKUP($U$763,'TAR FIN'!$A$1:$O$115,15,0))</f>
        <v>270.3</v>
      </c>
      <c r="Y763" s="6"/>
      <c r="Z763" s="6">
        <f ca="1">('TUSD BE'!$AM$28+'TUSD BF'!$AM$28+'TUSD CVA'!$AM$28)*1</f>
        <v>1480.1280206491922</v>
      </c>
      <c r="AA763" s="6">
        <f>('TE BE'!$AB$11+'TE BF'!$AB$11+'TE CVA'!$AB$11)*1</f>
        <v>362.64398683254075</v>
      </c>
      <c r="AB763" s="6">
        <f>$K$763*$V$763</f>
        <v>0</v>
      </c>
      <c r="AC763" s="6">
        <f>$M$763*$W$763</f>
        <v>82435.681280000004</v>
      </c>
      <c r="AD763" s="6">
        <f>$O$763*$X$763</f>
        <v>15378.177900000001</v>
      </c>
      <c r="AE763" s="6">
        <f>$K$763*$Y$763</f>
        <v>0</v>
      </c>
      <c r="AF763" s="6">
        <f ca="1">$M$763*$Z$763</f>
        <v>84208.923478794488</v>
      </c>
      <c r="AG763" s="6">
        <f>$O$763*$AA$763</f>
        <v>20631.904342863741</v>
      </c>
    </row>
    <row r="764" spans="1:33" ht="11.25" customHeight="1" x14ac:dyDescent="0.25">
      <c r="A764" s="4" t="s">
        <v>28</v>
      </c>
      <c r="B764" s="4" t="s">
        <v>41</v>
      </c>
      <c r="C764" s="4" t="s">
        <v>44</v>
      </c>
      <c r="D764" s="4" t="s">
        <v>40</v>
      </c>
      <c r="E764" s="4" t="s">
        <v>25</v>
      </c>
      <c r="F764" s="4" t="s">
        <v>25</v>
      </c>
      <c r="G764" s="4" t="s">
        <v>25</v>
      </c>
      <c r="H764" s="4" t="s">
        <v>36</v>
      </c>
      <c r="I764" s="5">
        <v>44743</v>
      </c>
      <c r="J764" s="6">
        <v>0</v>
      </c>
      <c r="K764" s="6">
        <v>0</v>
      </c>
      <c r="L764" s="6">
        <v>4.8179999999999996</v>
      </c>
      <c r="M764" s="6">
        <v>4.8179999999999996</v>
      </c>
      <c r="N764" s="6">
        <v>4.8179999999999996</v>
      </c>
      <c r="O764" s="6">
        <v>4.8179999999999996</v>
      </c>
      <c r="P764" s="6">
        <v>0</v>
      </c>
      <c r="Q764" s="4" t="s">
        <v>26</v>
      </c>
      <c r="R764" s="4">
        <v>0</v>
      </c>
      <c r="S764" s="6">
        <v>0</v>
      </c>
      <c r="T764" s="6">
        <v>28</v>
      </c>
      <c r="U764" s="6">
        <v>74</v>
      </c>
      <c r="V764" s="6">
        <f>IF(ISERROR(VLOOKUP($S$764,'TAR FIN'!$A$1:$O$115,15,0)),0,VLOOKUP($S$764,'TAR FIN'!$A$1:$O$115,15,0))</f>
        <v>0</v>
      </c>
      <c r="W764" s="6">
        <f>IF(ISERROR(VLOOKUP($T$764,'TAR FIN'!$A$1:$O$115,15,0)),0,VLOOKUP($T$764,'TAR FIN'!$A$1:$O$115,15,0))</f>
        <v>1448.96</v>
      </c>
      <c r="X764" s="6">
        <f>IF(ISERROR(VLOOKUP($U$764,'TAR FIN'!$A$1:$O$115,15,0)),0,VLOOKUP($U$764,'TAR FIN'!$A$1:$O$115,15,0))</f>
        <v>270.3</v>
      </c>
      <c r="Y764" s="6"/>
      <c r="Z764" s="6">
        <f ca="1">('TUSD BE'!$AM$28+'TUSD BF'!$AM$28+'TUSD CVA'!$AM$28)*1</f>
        <v>1480.1280206491922</v>
      </c>
      <c r="AA764" s="6">
        <f>('TE BE'!$AB$11+'TE BF'!$AB$11+'TE CVA'!$AB$11)*1</f>
        <v>362.64398683254075</v>
      </c>
      <c r="AB764" s="6">
        <f>$K$764*$V$764</f>
        <v>0</v>
      </c>
      <c r="AC764" s="6">
        <f>$M$764*$W$764</f>
        <v>6981.0892799999992</v>
      </c>
      <c r="AD764" s="6">
        <f>$O$764*$X$764</f>
        <v>1302.3054</v>
      </c>
      <c r="AE764" s="6">
        <f>$K$764*$Y$764</f>
        <v>0</v>
      </c>
      <c r="AF764" s="6">
        <f ca="1">$M$764*$Z$764</f>
        <v>7131.2568034878077</v>
      </c>
      <c r="AG764" s="6">
        <f>$O$764*$AA$764</f>
        <v>1747.2187285591813</v>
      </c>
    </row>
    <row r="765" spans="1:33" ht="11.25" customHeight="1" x14ac:dyDescent="0.25">
      <c r="A765" s="4" t="s">
        <v>30</v>
      </c>
      <c r="B765" s="4" t="s">
        <v>41</v>
      </c>
      <c r="C765" s="4" t="s">
        <v>44</v>
      </c>
      <c r="D765" s="4" t="s">
        <v>40</v>
      </c>
      <c r="E765" s="4" t="s">
        <v>25</v>
      </c>
      <c r="F765" s="4" t="s">
        <v>25</v>
      </c>
      <c r="G765" s="4" t="s">
        <v>25</v>
      </c>
      <c r="H765" s="4" t="s">
        <v>36</v>
      </c>
      <c r="I765" s="5">
        <v>44743</v>
      </c>
      <c r="J765" s="6">
        <v>0</v>
      </c>
      <c r="K765" s="6">
        <v>0</v>
      </c>
      <c r="L765" s="6">
        <v>2.8719999999999999</v>
      </c>
      <c r="M765" s="6">
        <v>2.8719999999999999</v>
      </c>
      <c r="N765" s="6">
        <v>2.8719999999999999</v>
      </c>
      <c r="O765" s="6">
        <v>2.8719999999999999</v>
      </c>
      <c r="P765" s="6">
        <v>0</v>
      </c>
      <c r="Q765" s="4" t="s">
        <v>26</v>
      </c>
      <c r="R765" s="4">
        <v>0</v>
      </c>
      <c r="S765" s="6">
        <v>0</v>
      </c>
      <c r="T765" s="6">
        <v>28</v>
      </c>
      <c r="U765" s="6">
        <v>74</v>
      </c>
      <c r="V765" s="6">
        <f>IF(ISERROR(VLOOKUP($S$765,'TAR FIN'!$A$1:$O$115,15,0)),0,VLOOKUP($S$765,'TAR FIN'!$A$1:$O$115,15,0))</f>
        <v>0</v>
      </c>
      <c r="W765" s="6">
        <f>IF(ISERROR(VLOOKUP($T$765,'TAR FIN'!$A$1:$O$115,15,0)),0,VLOOKUP($T$765,'TAR FIN'!$A$1:$O$115,15,0))</f>
        <v>1448.96</v>
      </c>
      <c r="X765" s="6">
        <f>IF(ISERROR(VLOOKUP($U$765,'TAR FIN'!$A$1:$O$115,15,0)),0,VLOOKUP($U$765,'TAR FIN'!$A$1:$O$115,15,0))</f>
        <v>270.3</v>
      </c>
      <c r="Y765" s="6"/>
      <c r="Z765" s="6">
        <f ca="1">('TUSD BE'!$AM$28+'TUSD BF'!$AM$28+'TUSD CVA'!$AM$28)*1</f>
        <v>1480.1280206491922</v>
      </c>
      <c r="AA765" s="6">
        <f>('TE BE'!$AB$11+'TE BF'!$AB$11+'TE CVA'!$AB$11)*1</f>
        <v>362.64398683254075</v>
      </c>
      <c r="AB765" s="6">
        <f>$K$765*$V$765</f>
        <v>0</v>
      </c>
      <c r="AC765" s="6">
        <f>$M$765*$W$765</f>
        <v>4161.4131200000002</v>
      </c>
      <c r="AD765" s="6">
        <f>$O$765*$X$765</f>
        <v>776.30160000000001</v>
      </c>
      <c r="AE765" s="6">
        <f>$K$765*$Y$765</f>
        <v>0</v>
      </c>
      <c r="AF765" s="6">
        <f ca="1">$M$765*$Z$765</f>
        <v>4250.9276753044796</v>
      </c>
      <c r="AG765" s="6">
        <f>$O$765*$AA$765</f>
        <v>1041.5135301830569</v>
      </c>
    </row>
    <row r="766" spans="1:33" ht="11.25" customHeight="1" x14ac:dyDescent="0.25">
      <c r="A766" s="4" t="s">
        <v>21</v>
      </c>
      <c r="B766" s="4" t="s">
        <v>41</v>
      </c>
      <c r="C766" s="4" t="s">
        <v>44</v>
      </c>
      <c r="D766" s="4" t="s">
        <v>40</v>
      </c>
      <c r="E766" s="4" t="s">
        <v>25</v>
      </c>
      <c r="F766" s="4" t="s">
        <v>25</v>
      </c>
      <c r="G766" s="4" t="s">
        <v>25</v>
      </c>
      <c r="H766" s="4" t="s">
        <v>36</v>
      </c>
      <c r="I766" s="5">
        <v>44774</v>
      </c>
      <c r="J766" s="6">
        <v>0</v>
      </c>
      <c r="K766" s="6">
        <v>0</v>
      </c>
      <c r="L766" s="6">
        <v>57.814999999999998</v>
      </c>
      <c r="M766" s="6">
        <v>57.814999999999998</v>
      </c>
      <c r="N766" s="6">
        <v>57.814999999999998</v>
      </c>
      <c r="O766" s="6">
        <v>57.814999999999998</v>
      </c>
      <c r="P766" s="6">
        <v>0</v>
      </c>
      <c r="Q766" s="4" t="s">
        <v>26</v>
      </c>
      <c r="R766" s="4">
        <v>0</v>
      </c>
      <c r="S766" s="6">
        <v>0</v>
      </c>
      <c r="T766" s="6">
        <v>28</v>
      </c>
      <c r="U766" s="6">
        <v>74</v>
      </c>
      <c r="V766" s="6">
        <f>IF(ISERROR(VLOOKUP($S$766,'TAR FIN'!$A$1:$O$115,15,0)),0,VLOOKUP($S$766,'TAR FIN'!$A$1:$O$115,15,0))</f>
        <v>0</v>
      </c>
      <c r="W766" s="6">
        <f>IF(ISERROR(VLOOKUP($T$766,'TAR FIN'!$A$1:$O$115,15,0)),0,VLOOKUP($T$766,'TAR FIN'!$A$1:$O$115,15,0))</f>
        <v>1448.96</v>
      </c>
      <c r="X766" s="6">
        <f>IF(ISERROR(VLOOKUP($U$766,'TAR FIN'!$A$1:$O$115,15,0)),0,VLOOKUP($U$766,'TAR FIN'!$A$1:$O$115,15,0))</f>
        <v>270.3</v>
      </c>
      <c r="Y766" s="6"/>
      <c r="Z766" s="6">
        <f ca="1">('TUSD BE'!$AM$28+'TUSD BF'!$AM$28+'TUSD CVA'!$AM$28)*1</f>
        <v>1480.1280206491922</v>
      </c>
      <c r="AA766" s="6">
        <f>('TE BE'!$AB$11+'TE BF'!$AB$11+'TE CVA'!$AB$11)*1</f>
        <v>362.64398683254075</v>
      </c>
      <c r="AB766" s="6">
        <f>$K$766*$V$766</f>
        <v>0</v>
      </c>
      <c r="AC766" s="6">
        <f>$M$766*$W$766</f>
        <v>83771.622399999993</v>
      </c>
      <c r="AD766" s="6">
        <f>$O$766*$X$766</f>
        <v>15627.3945</v>
      </c>
      <c r="AE766" s="6">
        <f>$K$766*$Y$766</f>
        <v>0</v>
      </c>
      <c r="AF766" s="6">
        <f ca="1">$M$766*$Z$766</f>
        <v>85573.60151383304</v>
      </c>
      <c r="AG766" s="6">
        <f>$O$766*$AA$766</f>
        <v>20966.262098723342</v>
      </c>
    </row>
    <row r="767" spans="1:33" ht="11.25" customHeight="1" x14ac:dyDescent="0.25">
      <c r="A767" s="4" t="s">
        <v>28</v>
      </c>
      <c r="B767" s="4" t="s">
        <v>41</v>
      </c>
      <c r="C767" s="4" t="s">
        <v>44</v>
      </c>
      <c r="D767" s="4" t="s">
        <v>40</v>
      </c>
      <c r="E767" s="4" t="s">
        <v>25</v>
      </c>
      <c r="F767" s="4" t="s">
        <v>25</v>
      </c>
      <c r="G767" s="4" t="s">
        <v>25</v>
      </c>
      <c r="H767" s="4" t="s">
        <v>36</v>
      </c>
      <c r="I767" s="5">
        <v>44774</v>
      </c>
      <c r="J767" s="6">
        <v>0</v>
      </c>
      <c r="K767" s="6">
        <v>0</v>
      </c>
      <c r="L767" s="6">
        <v>5.4219999999999997</v>
      </c>
      <c r="M767" s="6">
        <v>5.4219999999999997</v>
      </c>
      <c r="N767" s="6">
        <v>5.4219999999999997</v>
      </c>
      <c r="O767" s="6">
        <v>5.4219999999999997</v>
      </c>
      <c r="P767" s="6">
        <v>0</v>
      </c>
      <c r="Q767" s="4" t="s">
        <v>26</v>
      </c>
      <c r="R767" s="4">
        <v>0</v>
      </c>
      <c r="S767" s="6">
        <v>0</v>
      </c>
      <c r="T767" s="6">
        <v>28</v>
      </c>
      <c r="U767" s="6">
        <v>74</v>
      </c>
      <c r="V767" s="6">
        <f>IF(ISERROR(VLOOKUP($S$767,'TAR FIN'!$A$1:$O$115,15,0)),0,VLOOKUP($S$767,'TAR FIN'!$A$1:$O$115,15,0))</f>
        <v>0</v>
      </c>
      <c r="W767" s="6">
        <f>IF(ISERROR(VLOOKUP($T$767,'TAR FIN'!$A$1:$O$115,15,0)),0,VLOOKUP($T$767,'TAR FIN'!$A$1:$O$115,15,0))</f>
        <v>1448.96</v>
      </c>
      <c r="X767" s="6">
        <f>IF(ISERROR(VLOOKUP($U$767,'TAR FIN'!$A$1:$O$115,15,0)),0,VLOOKUP($U$767,'TAR FIN'!$A$1:$O$115,15,0))</f>
        <v>270.3</v>
      </c>
      <c r="Y767" s="6"/>
      <c r="Z767" s="6">
        <f ca="1">('TUSD BE'!$AM$28+'TUSD BF'!$AM$28+'TUSD CVA'!$AM$28)*1</f>
        <v>1480.1280206491922</v>
      </c>
      <c r="AA767" s="6">
        <f>('TE BE'!$AB$11+'TE BF'!$AB$11+'TE CVA'!$AB$11)*1</f>
        <v>362.64398683254075</v>
      </c>
      <c r="AB767" s="6">
        <f>$K$767*$V$767</f>
        <v>0</v>
      </c>
      <c r="AC767" s="6">
        <f>$M$767*$W$767</f>
        <v>7856.2611200000001</v>
      </c>
      <c r="AD767" s="6">
        <f>$O$767*$X$767</f>
        <v>1465.5665999999999</v>
      </c>
      <c r="AE767" s="6">
        <f>$K$767*$Y$767</f>
        <v>0</v>
      </c>
      <c r="AF767" s="6">
        <f ca="1">$M$767*$Z$767</f>
        <v>8025.25412795992</v>
      </c>
      <c r="AG767" s="6">
        <f>$O$767*$AA$767</f>
        <v>1966.2556966060358</v>
      </c>
    </row>
    <row r="768" spans="1:33" ht="11.25" customHeight="1" x14ac:dyDescent="0.25">
      <c r="A768" s="4" t="s">
        <v>30</v>
      </c>
      <c r="B768" s="4" t="s">
        <v>41</v>
      </c>
      <c r="C768" s="4" t="s">
        <v>44</v>
      </c>
      <c r="D768" s="4" t="s">
        <v>40</v>
      </c>
      <c r="E768" s="4" t="s">
        <v>25</v>
      </c>
      <c r="F768" s="4" t="s">
        <v>25</v>
      </c>
      <c r="G768" s="4" t="s">
        <v>25</v>
      </c>
      <c r="H768" s="4" t="s">
        <v>36</v>
      </c>
      <c r="I768" s="5">
        <v>44774</v>
      </c>
      <c r="J768" s="6">
        <v>0</v>
      </c>
      <c r="K768" s="6">
        <v>0</v>
      </c>
      <c r="L768" s="6">
        <v>2.7450000000000001</v>
      </c>
      <c r="M768" s="6">
        <v>2.7450000000000001</v>
      </c>
      <c r="N768" s="6">
        <v>2.7450000000000001</v>
      </c>
      <c r="O768" s="6">
        <v>2.7450000000000001</v>
      </c>
      <c r="P768" s="6">
        <v>0</v>
      </c>
      <c r="Q768" s="4" t="s">
        <v>26</v>
      </c>
      <c r="R768" s="4">
        <v>0</v>
      </c>
      <c r="S768" s="6">
        <v>0</v>
      </c>
      <c r="T768" s="6">
        <v>28</v>
      </c>
      <c r="U768" s="6">
        <v>74</v>
      </c>
      <c r="V768" s="6">
        <f>IF(ISERROR(VLOOKUP($S$768,'TAR FIN'!$A$1:$O$115,15,0)),0,VLOOKUP($S$768,'TAR FIN'!$A$1:$O$115,15,0))</f>
        <v>0</v>
      </c>
      <c r="W768" s="6">
        <f>IF(ISERROR(VLOOKUP($T$768,'TAR FIN'!$A$1:$O$115,15,0)),0,VLOOKUP($T$768,'TAR FIN'!$A$1:$O$115,15,0))</f>
        <v>1448.96</v>
      </c>
      <c r="X768" s="6">
        <f>IF(ISERROR(VLOOKUP($U$768,'TAR FIN'!$A$1:$O$115,15,0)),0,VLOOKUP($U$768,'TAR FIN'!$A$1:$O$115,15,0))</f>
        <v>270.3</v>
      </c>
      <c r="Y768" s="6"/>
      <c r="Z768" s="6">
        <f ca="1">('TUSD BE'!$AM$28+'TUSD BF'!$AM$28+'TUSD CVA'!$AM$28)*1</f>
        <v>1480.1280206491922</v>
      </c>
      <c r="AA768" s="6">
        <f>('TE BE'!$AB$11+'TE BF'!$AB$11+'TE CVA'!$AB$11)*1</f>
        <v>362.64398683254075</v>
      </c>
      <c r="AB768" s="6">
        <f>$K$768*$V$768</f>
        <v>0</v>
      </c>
      <c r="AC768" s="6">
        <f>$M$768*$W$768</f>
        <v>3977.3952000000004</v>
      </c>
      <c r="AD768" s="6">
        <f>$O$768*$X$768</f>
        <v>741.97350000000006</v>
      </c>
      <c r="AE768" s="6">
        <f>$K$768*$Y$768</f>
        <v>0</v>
      </c>
      <c r="AF768" s="6">
        <f ca="1">$M$768*$Z$768</f>
        <v>4062.9514166820327</v>
      </c>
      <c r="AG768" s="6">
        <f>$O$768*$AA$768</f>
        <v>995.45774385532434</v>
      </c>
    </row>
    <row r="769" spans="1:33" ht="11.25" customHeight="1" x14ac:dyDescent="0.25">
      <c r="A769" s="4" t="s">
        <v>21</v>
      </c>
      <c r="B769" s="4" t="s">
        <v>41</v>
      </c>
      <c r="C769" s="4" t="s">
        <v>44</v>
      </c>
      <c r="D769" s="4" t="s">
        <v>40</v>
      </c>
      <c r="E769" s="4" t="s">
        <v>25</v>
      </c>
      <c r="F769" s="4" t="s">
        <v>25</v>
      </c>
      <c r="G769" s="4" t="s">
        <v>25</v>
      </c>
      <c r="H769" s="4" t="s">
        <v>36</v>
      </c>
      <c r="I769" s="5">
        <v>44805</v>
      </c>
      <c r="J769" s="6">
        <v>0</v>
      </c>
      <c r="K769" s="6">
        <v>0</v>
      </c>
      <c r="L769" s="6">
        <v>60.07</v>
      </c>
      <c r="M769" s="6">
        <v>60.07</v>
      </c>
      <c r="N769" s="6">
        <v>60.07</v>
      </c>
      <c r="O769" s="6">
        <v>60.07</v>
      </c>
      <c r="P769" s="6">
        <v>0</v>
      </c>
      <c r="Q769" s="4" t="s">
        <v>26</v>
      </c>
      <c r="R769" s="4">
        <v>0</v>
      </c>
      <c r="S769" s="6">
        <v>0</v>
      </c>
      <c r="T769" s="6">
        <v>28</v>
      </c>
      <c r="U769" s="6">
        <v>74</v>
      </c>
      <c r="V769" s="6">
        <f>IF(ISERROR(VLOOKUP($S$769,'TAR FIN'!$A$1:$O$115,15,0)),0,VLOOKUP($S$769,'TAR FIN'!$A$1:$O$115,15,0))</f>
        <v>0</v>
      </c>
      <c r="W769" s="6">
        <f>IF(ISERROR(VLOOKUP($T$769,'TAR FIN'!$A$1:$O$115,15,0)),0,VLOOKUP($T$769,'TAR FIN'!$A$1:$O$115,15,0))</f>
        <v>1448.96</v>
      </c>
      <c r="X769" s="6">
        <f>IF(ISERROR(VLOOKUP($U$769,'TAR FIN'!$A$1:$O$115,15,0)),0,VLOOKUP($U$769,'TAR FIN'!$A$1:$O$115,15,0))</f>
        <v>270.3</v>
      </c>
      <c r="Y769" s="6"/>
      <c r="Z769" s="6">
        <f ca="1">('TUSD BE'!$AM$28+'TUSD BF'!$AM$28+'TUSD CVA'!$AM$28)*1</f>
        <v>1480.1280206491922</v>
      </c>
      <c r="AA769" s="6">
        <f>('TE BE'!$AB$11+'TE BF'!$AB$11+'TE CVA'!$AB$11)*1</f>
        <v>362.64398683254075</v>
      </c>
      <c r="AB769" s="6">
        <f>$K$769*$V$769</f>
        <v>0</v>
      </c>
      <c r="AC769" s="6">
        <f>$M$769*$W$769</f>
        <v>87039.027199999997</v>
      </c>
      <c r="AD769" s="6">
        <f>$O$769*$X$769</f>
        <v>16236.921</v>
      </c>
      <c r="AE769" s="6">
        <f>$K$769*$Y$769</f>
        <v>0</v>
      </c>
      <c r="AF769" s="6">
        <f ca="1">$M$769*$Z$769</f>
        <v>88911.290200396979</v>
      </c>
      <c r="AG769" s="6">
        <f>$O$769*$AA$769</f>
        <v>21784.024289030724</v>
      </c>
    </row>
    <row r="770" spans="1:33" ht="11.25" customHeight="1" x14ac:dyDescent="0.25">
      <c r="A770" s="4" t="s">
        <v>28</v>
      </c>
      <c r="B770" s="4" t="s">
        <v>41</v>
      </c>
      <c r="C770" s="4" t="s">
        <v>44</v>
      </c>
      <c r="D770" s="4" t="s">
        <v>40</v>
      </c>
      <c r="E770" s="4" t="s">
        <v>25</v>
      </c>
      <c r="F770" s="4" t="s">
        <v>25</v>
      </c>
      <c r="G770" s="4" t="s">
        <v>25</v>
      </c>
      <c r="H770" s="4" t="s">
        <v>36</v>
      </c>
      <c r="I770" s="5">
        <v>44805</v>
      </c>
      <c r="J770" s="6">
        <v>0</v>
      </c>
      <c r="K770" s="6">
        <v>0</v>
      </c>
      <c r="L770" s="6">
        <v>5.1840000000000002</v>
      </c>
      <c r="M770" s="6">
        <v>5.1840000000000002</v>
      </c>
      <c r="N770" s="6">
        <v>5.1840000000000002</v>
      </c>
      <c r="O770" s="6">
        <v>5.1840000000000002</v>
      </c>
      <c r="P770" s="6">
        <v>0</v>
      </c>
      <c r="Q770" s="4" t="s">
        <v>26</v>
      </c>
      <c r="R770" s="4">
        <v>0</v>
      </c>
      <c r="S770" s="6">
        <v>0</v>
      </c>
      <c r="T770" s="6">
        <v>28</v>
      </c>
      <c r="U770" s="6">
        <v>74</v>
      </c>
      <c r="V770" s="6">
        <f>IF(ISERROR(VLOOKUP($S$770,'TAR FIN'!$A$1:$O$115,15,0)),0,VLOOKUP($S$770,'TAR FIN'!$A$1:$O$115,15,0))</f>
        <v>0</v>
      </c>
      <c r="W770" s="6">
        <f>IF(ISERROR(VLOOKUP($T$770,'TAR FIN'!$A$1:$O$115,15,0)),0,VLOOKUP($T$770,'TAR FIN'!$A$1:$O$115,15,0))</f>
        <v>1448.96</v>
      </c>
      <c r="X770" s="6">
        <f>IF(ISERROR(VLOOKUP($U$770,'TAR FIN'!$A$1:$O$115,15,0)),0,VLOOKUP($U$770,'TAR FIN'!$A$1:$O$115,15,0))</f>
        <v>270.3</v>
      </c>
      <c r="Y770" s="6"/>
      <c r="Z770" s="6">
        <f ca="1">('TUSD BE'!$AM$28+'TUSD BF'!$AM$28+'TUSD CVA'!$AM$28)*1</f>
        <v>1480.1280206491922</v>
      </c>
      <c r="AA770" s="6">
        <f>('TE BE'!$AB$11+'TE BF'!$AB$11+'TE CVA'!$AB$11)*1</f>
        <v>362.64398683254075</v>
      </c>
      <c r="AB770" s="6">
        <f>$K$770*$V$770</f>
        <v>0</v>
      </c>
      <c r="AC770" s="6">
        <f>$M$770*$W$770</f>
        <v>7511.4086400000006</v>
      </c>
      <c r="AD770" s="6">
        <f>$O$770*$X$770</f>
        <v>1401.2352000000001</v>
      </c>
      <c r="AE770" s="6">
        <f>$K$770*$Y$770</f>
        <v>0</v>
      </c>
      <c r="AF770" s="6">
        <f ca="1">$M$770*$Z$770</f>
        <v>7672.9836590454124</v>
      </c>
      <c r="AG770" s="6">
        <f>$O$770*$AA$770</f>
        <v>1879.9464277398913</v>
      </c>
    </row>
    <row r="771" spans="1:33" ht="11.25" customHeight="1" x14ac:dyDescent="0.25">
      <c r="A771" s="4" t="s">
        <v>30</v>
      </c>
      <c r="B771" s="4" t="s">
        <v>41</v>
      </c>
      <c r="C771" s="4" t="s">
        <v>44</v>
      </c>
      <c r="D771" s="4" t="s">
        <v>40</v>
      </c>
      <c r="E771" s="4" t="s">
        <v>25</v>
      </c>
      <c r="F771" s="4" t="s">
        <v>25</v>
      </c>
      <c r="G771" s="4" t="s">
        <v>25</v>
      </c>
      <c r="H771" s="4" t="s">
        <v>36</v>
      </c>
      <c r="I771" s="5">
        <v>44805</v>
      </c>
      <c r="J771" s="6">
        <v>0</v>
      </c>
      <c r="K771" s="6">
        <v>0</v>
      </c>
      <c r="L771" s="6">
        <v>2.657</v>
      </c>
      <c r="M771" s="6">
        <v>2.657</v>
      </c>
      <c r="N771" s="6">
        <v>2.657</v>
      </c>
      <c r="O771" s="6">
        <v>2.657</v>
      </c>
      <c r="P771" s="6">
        <v>0</v>
      </c>
      <c r="Q771" s="4" t="s">
        <v>26</v>
      </c>
      <c r="R771" s="4">
        <v>0</v>
      </c>
      <c r="S771" s="6">
        <v>0</v>
      </c>
      <c r="T771" s="6">
        <v>28</v>
      </c>
      <c r="U771" s="6">
        <v>74</v>
      </c>
      <c r="V771" s="6">
        <f>IF(ISERROR(VLOOKUP($S$771,'TAR FIN'!$A$1:$O$115,15,0)),0,VLOOKUP($S$771,'TAR FIN'!$A$1:$O$115,15,0))</f>
        <v>0</v>
      </c>
      <c r="W771" s="6">
        <f>IF(ISERROR(VLOOKUP($T$771,'TAR FIN'!$A$1:$O$115,15,0)),0,VLOOKUP($T$771,'TAR FIN'!$A$1:$O$115,15,0))</f>
        <v>1448.96</v>
      </c>
      <c r="X771" s="6">
        <f>IF(ISERROR(VLOOKUP($U$771,'TAR FIN'!$A$1:$O$115,15,0)),0,VLOOKUP($U$771,'TAR FIN'!$A$1:$O$115,15,0))</f>
        <v>270.3</v>
      </c>
      <c r="Y771" s="6"/>
      <c r="Z771" s="6">
        <f ca="1">('TUSD BE'!$AM$28+'TUSD BF'!$AM$28+'TUSD CVA'!$AM$28)*1</f>
        <v>1480.1280206491922</v>
      </c>
      <c r="AA771" s="6">
        <f>('TE BE'!$AB$11+'TE BF'!$AB$11+'TE CVA'!$AB$11)*1</f>
        <v>362.64398683254075</v>
      </c>
      <c r="AB771" s="6">
        <f>$K$771*$V$771</f>
        <v>0</v>
      </c>
      <c r="AC771" s="6">
        <f>$M$771*$W$771</f>
        <v>3849.88672</v>
      </c>
      <c r="AD771" s="6">
        <f>$O$771*$X$771</f>
        <v>718.18709999999999</v>
      </c>
      <c r="AE771" s="6">
        <f>$K$771*$Y$771</f>
        <v>0</v>
      </c>
      <c r="AF771" s="6">
        <f ca="1">$M$771*$Z$771</f>
        <v>3932.7001508649037</v>
      </c>
      <c r="AG771" s="6">
        <f>$O$771*$AA$771</f>
        <v>963.54507301406079</v>
      </c>
    </row>
    <row r="772" spans="1:33" ht="11.25" customHeight="1" x14ac:dyDescent="0.25">
      <c r="A772" s="4" t="s">
        <v>21</v>
      </c>
      <c r="B772" s="4" t="s">
        <v>41</v>
      </c>
      <c r="C772" s="4" t="s">
        <v>44</v>
      </c>
      <c r="D772" s="4" t="s">
        <v>40</v>
      </c>
      <c r="E772" s="4" t="s">
        <v>25</v>
      </c>
      <c r="F772" s="4" t="s">
        <v>25</v>
      </c>
      <c r="G772" s="4" t="s">
        <v>25</v>
      </c>
      <c r="H772" s="4" t="s">
        <v>36</v>
      </c>
      <c r="I772" s="5">
        <v>44835</v>
      </c>
      <c r="J772" s="6">
        <v>0</v>
      </c>
      <c r="K772" s="6">
        <v>0</v>
      </c>
      <c r="L772" s="6">
        <v>71</v>
      </c>
      <c r="M772" s="6">
        <v>71</v>
      </c>
      <c r="N772" s="6">
        <v>71</v>
      </c>
      <c r="O772" s="6">
        <v>71</v>
      </c>
      <c r="P772" s="6">
        <v>0</v>
      </c>
      <c r="Q772" s="4" t="s">
        <v>26</v>
      </c>
      <c r="R772" s="4">
        <v>0</v>
      </c>
      <c r="S772" s="6">
        <v>0</v>
      </c>
      <c r="T772" s="6">
        <v>28</v>
      </c>
      <c r="U772" s="6">
        <v>74</v>
      </c>
      <c r="V772" s="6">
        <f>IF(ISERROR(VLOOKUP($S$772,'TAR FIN'!$A$1:$O$115,15,0)),0,VLOOKUP($S$772,'TAR FIN'!$A$1:$O$115,15,0))</f>
        <v>0</v>
      </c>
      <c r="W772" s="6">
        <f>IF(ISERROR(VLOOKUP($T$772,'TAR FIN'!$A$1:$O$115,15,0)),0,VLOOKUP($T$772,'TAR FIN'!$A$1:$O$115,15,0))</f>
        <v>1448.96</v>
      </c>
      <c r="X772" s="6">
        <f>IF(ISERROR(VLOOKUP($U$772,'TAR FIN'!$A$1:$O$115,15,0)),0,VLOOKUP($U$772,'TAR FIN'!$A$1:$O$115,15,0))</f>
        <v>270.3</v>
      </c>
      <c r="Y772" s="6"/>
      <c r="Z772" s="6">
        <f ca="1">('TUSD BE'!$AM$28+'TUSD BF'!$AM$28+'TUSD CVA'!$AM$28)*1</f>
        <v>1480.1280206491922</v>
      </c>
      <c r="AA772" s="6">
        <f>('TE BE'!$AB$11+'TE BF'!$AB$11+'TE CVA'!$AB$11)*1</f>
        <v>362.64398683254075</v>
      </c>
      <c r="AB772" s="6">
        <f>$K$772*$V$772</f>
        <v>0</v>
      </c>
      <c r="AC772" s="6">
        <f>$M$772*$W$772</f>
        <v>102876.16</v>
      </c>
      <c r="AD772" s="6">
        <f>$O$772*$X$772</f>
        <v>19191.3</v>
      </c>
      <c r="AE772" s="6">
        <f>$K$772*$Y$772</f>
        <v>0</v>
      </c>
      <c r="AF772" s="6">
        <f ca="1">$M$772*$Z$772</f>
        <v>105089.08946609264</v>
      </c>
      <c r="AG772" s="6">
        <f>$O$772*$AA$772</f>
        <v>25747.723065110393</v>
      </c>
    </row>
    <row r="773" spans="1:33" ht="11.25" customHeight="1" x14ac:dyDescent="0.25">
      <c r="A773" s="4" t="s">
        <v>28</v>
      </c>
      <c r="B773" s="4" t="s">
        <v>41</v>
      </c>
      <c r="C773" s="4" t="s">
        <v>44</v>
      </c>
      <c r="D773" s="4" t="s">
        <v>40</v>
      </c>
      <c r="E773" s="4" t="s">
        <v>25</v>
      </c>
      <c r="F773" s="4" t="s">
        <v>25</v>
      </c>
      <c r="G773" s="4" t="s">
        <v>25</v>
      </c>
      <c r="H773" s="4" t="s">
        <v>36</v>
      </c>
      <c r="I773" s="5">
        <v>44835</v>
      </c>
      <c r="J773" s="6">
        <v>0</v>
      </c>
      <c r="K773" s="6">
        <v>0</v>
      </c>
      <c r="L773" s="6">
        <v>4.9000000000000004</v>
      </c>
      <c r="M773" s="6">
        <v>4.9000000000000004</v>
      </c>
      <c r="N773" s="6">
        <v>4.9000000000000004</v>
      </c>
      <c r="O773" s="6">
        <v>4.9000000000000004</v>
      </c>
      <c r="P773" s="6">
        <v>0</v>
      </c>
      <c r="Q773" s="4" t="s">
        <v>26</v>
      </c>
      <c r="R773" s="4">
        <v>0</v>
      </c>
      <c r="S773" s="6">
        <v>0</v>
      </c>
      <c r="T773" s="6">
        <v>28</v>
      </c>
      <c r="U773" s="6">
        <v>74</v>
      </c>
      <c r="V773" s="6">
        <f>IF(ISERROR(VLOOKUP($S$773,'TAR FIN'!$A$1:$O$115,15,0)),0,VLOOKUP($S$773,'TAR FIN'!$A$1:$O$115,15,0))</f>
        <v>0</v>
      </c>
      <c r="W773" s="6">
        <f>IF(ISERROR(VLOOKUP($T$773,'TAR FIN'!$A$1:$O$115,15,0)),0,VLOOKUP($T$773,'TAR FIN'!$A$1:$O$115,15,0))</f>
        <v>1448.96</v>
      </c>
      <c r="X773" s="6">
        <f>IF(ISERROR(VLOOKUP($U$773,'TAR FIN'!$A$1:$O$115,15,0)),0,VLOOKUP($U$773,'TAR FIN'!$A$1:$O$115,15,0))</f>
        <v>270.3</v>
      </c>
      <c r="Y773" s="6"/>
      <c r="Z773" s="6">
        <f ca="1">('TUSD BE'!$AM$28+'TUSD BF'!$AM$28+'TUSD CVA'!$AM$28)*1</f>
        <v>1480.1280206491922</v>
      </c>
      <c r="AA773" s="6">
        <f>('TE BE'!$AB$11+'TE BF'!$AB$11+'TE CVA'!$AB$11)*1</f>
        <v>362.64398683254075</v>
      </c>
      <c r="AB773" s="6">
        <f>$K$773*$V$773</f>
        <v>0</v>
      </c>
      <c r="AC773" s="6">
        <f>$M$773*$W$773</f>
        <v>7099.9040000000005</v>
      </c>
      <c r="AD773" s="6">
        <f>$O$773*$X$773</f>
        <v>1324.4700000000003</v>
      </c>
      <c r="AE773" s="6">
        <f>$K$773*$Y$773</f>
        <v>0</v>
      </c>
      <c r="AF773" s="6">
        <f ca="1">$M$773*$Z$773</f>
        <v>7252.6273011810426</v>
      </c>
      <c r="AG773" s="6">
        <f>$O$773*$AA$773</f>
        <v>1776.9555354794497</v>
      </c>
    </row>
    <row r="774" spans="1:33" ht="11.25" customHeight="1" x14ac:dyDescent="0.25">
      <c r="A774" s="4" t="s">
        <v>30</v>
      </c>
      <c r="B774" s="4" t="s">
        <v>41</v>
      </c>
      <c r="C774" s="4" t="s">
        <v>44</v>
      </c>
      <c r="D774" s="4" t="s">
        <v>40</v>
      </c>
      <c r="E774" s="4" t="s">
        <v>25</v>
      </c>
      <c r="F774" s="4" t="s">
        <v>25</v>
      </c>
      <c r="G774" s="4" t="s">
        <v>25</v>
      </c>
      <c r="H774" s="4" t="s">
        <v>36</v>
      </c>
      <c r="I774" s="5">
        <v>44835</v>
      </c>
      <c r="J774" s="6">
        <v>0</v>
      </c>
      <c r="K774" s="6">
        <v>0</v>
      </c>
      <c r="L774" s="6">
        <v>2.5640000000000001</v>
      </c>
      <c r="M774" s="6">
        <v>2.5640000000000001</v>
      </c>
      <c r="N774" s="6">
        <v>2.5640000000000001</v>
      </c>
      <c r="O774" s="6">
        <v>2.5640000000000001</v>
      </c>
      <c r="P774" s="6">
        <v>0</v>
      </c>
      <c r="Q774" s="4" t="s">
        <v>26</v>
      </c>
      <c r="R774" s="4">
        <v>0</v>
      </c>
      <c r="S774" s="6">
        <v>0</v>
      </c>
      <c r="T774" s="6">
        <v>28</v>
      </c>
      <c r="U774" s="6">
        <v>74</v>
      </c>
      <c r="V774" s="6">
        <f>IF(ISERROR(VLOOKUP($S$774,'TAR FIN'!$A$1:$O$115,15,0)),0,VLOOKUP($S$774,'TAR FIN'!$A$1:$O$115,15,0))</f>
        <v>0</v>
      </c>
      <c r="W774" s="6">
        <f>IF(ISERROR(VLOOKUP($T$774,'TAR FIN'!$A$1:$O$115,15,0)),0,VLOOKUP($T$774,'TAR FIN'!$A$1:$O$115,15,0))</f>
        <v>1448.96</v>
      </c>
      <c r="X774" s="6">
        <f>IF(ISERROR(VLOOKUP($U$774,'TAR FIN'!$A$1:$O$115,15,0)),0,VLOOKUP($U$774,'TAR FIN'!$A$1:$O$115,15,0))</f>
        <v>270.3</v>
      </c>
      <c r="Y774" s="6"/>
      <c r="Z774" s="6">
        <f ca="1">('TUSD BE'!$AM$28+'TUSD BF'!$AM$28+'TUSD CVA'!$AM$28)*1</f>
        <v>1480.1280206491922</v>
      </c>
      <c r="AA774" s="6">
        <f>('TE BE'!$AB$11+'TE BF'!$AB$11+'TE CVA'!$AB$11)*1</f>
        <v>362.64398683254075</v>
      </c>
      <c r="AB774" s="6">
        <f>$K$774*$V$774</f>
        <v>0</v>
      </c>
      <c r="AC774" s="6">
        <f>$M$774*$W$774</f>
        <v>3715.1334400000001</v>
      </c>
      <c r="AD774" s="6">
        <f>$O$774*$X$774</f>
        <v>693.04920000000004</v>
      </c>
      <c r="AE774" s="6">
        <f>$K$774*$Y$774</f>
        <v>0</v>
      </c>
      <c r="AF774" s="6">
        <f ca="1">$M$774*$Z$774</f>
        <v>3795.048244944529</v>
      </c>
      <c r="AG774" s="6">
        <f>$O$774*$AA$774</f>
        <v>929.81918223863454</v>
      </c>
    </row>
    <row r="775" spans="1:33" ht="11.25" customHeight="1" x14ac:dyDescent="0.25">
      <c r="A775" s="4" t="s">
        <v>59</v>
      </c>
      <c r="B775" s="4" t="s">
        <v>41</v>
      </c>
      <c r="C775" s="4" t="s">
        <v>44</v>
      </c>
      <c r="D775" s="4" t="s">
        <v>40</v>
      </c>
      <c r="E775" s="4" t="s">
        <v>25</v>
      </c>
      <c r="F775" s="4" t="s">
        <v>25</v>
      </c>
      <c r="G775" s="4" t="s">
        <v>25</v>
      </c>
      <c r="H775" s="4" t="s">
        <v>36</v>
      </c>
      <c r="I775" s="5">
        <v>44866</v>
      </c>
      <c r="J775" s="6">
        <v>0</v>
      </c>
      <c r="K775" s="6">
        <v>0</v>
      </c>
      <c r="L775" s="6">
        <v>71</v>
      </c>
      <c r="M775" s="6">
        <v>71</v>
      </c>
      <c r="N775" s="6">
        <v>71</v>
      </c>
      <c r="O775" s="6">
        <v>71</v>
      </c>
      <c r="P775" s="6">
        <v>0</v>
      </c>
      <c r="Q775" s="4" t="s">
        <v>26</v>
      </c>
      <c r="R775" s="4">
        <v>0</v>
      </c>
      <c r="S775" s="6">
        <v>0</v>
      </c>
      <c r="T775" s="6">
        <v>28</v>
      </c>
      <c r="U775" s="6">
        <v>74</v>
      </c>
      <c r="V775" s="6">
        <f>IF(ISERROR(VLOOKUP($S$775,'TAR FIN'!$A$1:$O$115,15,0)),0,VLOOKUP($S$775,'TAR FIN'!$A$1:$O$115,15,0))</f>
        <v>0</v>
      </c>
      <c r="W775" s="6">
        <f>IF(ISERROR(VLOOKUP($T$775,'TAR FIN'!$A$1:$O$115,15,0)),0,VLOOKUP($T$775,'TAR FIN'!$A$1:$O$115,15,0))</f>
        <v>1448.96</v>
      </c>
      <c r="X775" s="6">
        <f>IF(ISERROR(VLOOKUP($U$775,'TAR FIN'!$A$1:$O$115,15,0)),0,VLOOKUP($U$775,'TAR FIN'!$A$1:$O$115,15,0))</f>
        <v>270.3</v>
      </c>
      <c r="Y775" s="6"/>
      <c r="Z775" s="6">
        <f ca="1">('TUSD BE'!$AM$28+'TUSD BF'!$AM$28+'TUSD CVA'!$AM$28)*1</f>
        <v>1480.1280206491922</v>
      </c>
      <c r="AA775" s="6">
        <f>('TE BE'!$AB$11+'TE BF'!$AB$11+'TE CVA'!$AB$11)*1</f>
        <v>362.64398683254075</v>
      </c>
      <c r="AB775" s="6">
        <f>$K$775*$V$775</f>
        <v>0</v>
      </c>
      <c r="AC775" s="6">
        <f>$M$775*$W$775</f>
        <v>102876.16</v>
      </c>
      <c r="AD775" s="6">
        <f>$O$775*$X$775</f>
        <v>19191.3</v>
      </c>
      <c r="AE775" s="6">
        <f>$K$775*$Y$775</f>
        <v>0</v>
      </c>
      <c r="AF775" s="6">
        <f ca="1">$M$775*$Z$775</f>
        <v>105089.08946609264</v>
      </c>
      <c r="AG775" s="6">
        <f>$O$775*$AA$775</f>
        <v>25747.723065110393</v>
      </c>
    </row>
    <row r="776" spans="1:33" ht="11.25" customHeight="1" x14ac:dyDescent="0.25">
      <c r="A776" s="4" t="s">
        <v>59</v>
      </c>
      <c r="B776" s="4" t="s">
        <v>41</v>
      </c>
      <c r="C776" s="4" t="s">
        <v>44</v>
      </c>
      <c r="D776" s="4" t="s">
        <v>40</v>
      </c>
      <c r="E776" s="4" t="s">
        <v>25</v>
      </c>
      <c r="F776" s="4" t="s">
        <v>25</v>
      </c>
      <c r="G776" s="4" t="s">
        <v>25</v>
      </c>
      <c r="H776" s="4" t="s">
        <v>36</v>
      </c>
      <c r="I776" s="5">
        <v>44866</v>
      </c>
      <c r="J776" s="6">
        <v>0</v>
      </c>
      <c r="K776" s="6">
        <v>0</v>
      </c>
      <c r="L776" s="6">
        <v>4.9000000000000004</v>
      </c>
      <c r="M776" s="6">
        <v>4.9000000000000004</v>
      </c>
      <c r="N776" s="6">
        <v>4.9000000000000004</v>
      </c>
      <c r="O776" s="6">
        <v>4.9000000000000004</v>
      </c>
      <c r="P776" s="6">
        <v>0</v>
      </c>
      <c r="Q776" s="4" t="s">
        <v>26</v>
      </c>
      <c r="R776" s="4">
        <v>0</v>
      </c>
      <c r="S776" s="6">
        <v>0</v>
      </c>
      <c r="T776" s="6">
        <v>28</v>
      </c>
      <c r="U776" s="6">
        <v>74</v>
      </c>
      <c r="V776" s="6">
        <f>IF(ISERROR(VLOOKUP($S$776,'TAR FIN'!$A$1:$O$115,15,0)),0,VLOOKUP($S$776,'TAR FIN'!$A$1:$O$115,15,0))</f>
        <v>0</v>
      </c>
      <c r="W776" s="6">
        <f>IF(ISERROR(VLOOKUP($T$776,'TAR FIN'!$A$1:$O$115,15,0)),0,VLOOKUP($T$776,'TAR FIN'!$A$1:$O$115,15,0))</f>
        <v>1448.96</v>
      </c>
      <c r="X776" s="6">
        <f>IF(ISERROR(VLOOKUP($U$776,'TAR FIN'!$A$1:$O$115,15,0)),0,VLOOKUP($U$776,'TAR FIN'!$A$1:$O$115,15,0))</f>
        <v>270.3</v>
      </c>
      <c r="Y776" s="6"/>
      <c r="Z776" s="6">
        <f ca="1">('TUSD BE'!$AM$28+'TUSD BF'!$AM$28+'TUSD CVA'!$AM$28)*1</f>
        <v>1480.1280206491922</v>
      </c>
      <c r="AA776" s="6">
        <f>('TE BE'!$AB$11+'TE BF'!$AB$11+'TE CVA'!$AB$11)*1</f>
        <v>362.64398683254075</v>
      </c>
      <c r="AB776" s="6">
        <f>$K$776*$V$776</f>
        <v>0</v>
      </c>
      <c r="AC776" s="6">
        <f>$M$776*$W$776</f>
        <v>7099.9040000000005</v>
      </c>
      <c r="AD776" s="6">
        <f>$O$776*$X$776</f>
        <v>1324.4700000000003</v>
      </c>
      <c r="AE776" s="6">
        <f>$K$776*$Y$776</f>
        <v>0</v>
      </c>
      <c r="AF776" s="6">
        <f ca="1">$M$776*$Z$776</f>
        <v>7252.6273011810426</v>
      </c>
      <c r="AG776" s="6">
        <f>$O$776*$AA$776</f>
        <v>1776.9555354794497</v>
      </c>
    </row>
    <row r="777" spans="1:33" ht="11.25" customHeight="1" x14ac:dyDescent="0.25">
      <c r="A777" s="4" t="s">
        <v>59</v>
      </c>
      <c r="B777" s="4" t="s">
        <v>41</v>
      </c>
      <c r="C777" s="4" t="s">
        <v>44</v>
      </c>
      <c r="D777" s="4" t="s">
        <v>40</v>
      </c>
      <c r="E777" s="4" t="s">
        <v>25</v>
      </c>
      <c r="F777" s="4" t="s">
        <v>25</v>
      </c>
      <c r="G777" s="4" t="s">
        <v>25</v>
      </c>
      <c r="H777" s="4" t="s">
        <v>36</v>
      </c>
      <c r="I777" s="5">
        <v>44866</v>
      </c>
      <c r="J777" s="6">
        <v>0</v>
      </c>
      <c r="K777" s="6">
        <v>0</v>
      </c>
      <c r="L777" s="6">
        <v>2.5640000000000001</v>
      </c>
      <c r="M777" s="6">
        <v>2.5640000000000001</v>
      </c>
      <c r="N777" s="6">
        <v>2.5640000000000001</v>
      </c>
      <c r="O777" s="6">
        <v>2.5640000000000001</v>
      </c>
      <c r="P777" s="6">
        <v>0</v>
      </c>
      <c r="Q777" s="4" t="s">
        <v>26</v>
      </c>
      <c r="R777" s="4">
        <v>0</v>
      </c>
      <c r="S777" s="6">
        <v>0</v>
      </c>
      <c r="T777" s="6">
        <v>28</v>
      </c>
      <c r="U777" s="6">
        <v>74</v>
      </c>
      <c r="V777" s="6">
        <f>IF(ISERROR(VLOOKUP($S$777,'TAR FIN'!$A$1:$O$115,15,0)),0,VLOOKUP($S$777,'TAR FIN'!$A$1:$O$115,15,0))</f>
        <v>0</v>
      </c>
      <c r="W777" s="6">
        <f>IF(ISERROR(VLOOKUP($T$777,'TAR FIN'!$A$1:$O$115,15,0)),0,VLOOKUP($T$777,'TAR FIN'!$A$1:$O$115,15,0))</f>
        <v>1448.96</v>
      </c>
      <c r="X777" s="6">
        <f>IF(ISERROR(VLOOKUP($U$777,'TAR FIN'!$A$1:$O$115,15,0)),0,VLOOKUP($U$777,'TAR FIN'!$A$1:$O$115,15,0))</f>
        <v>270.3</v>
      </c>
      <c r="Y777" s="6"/>
      <c r="Z777" s="6">
        <f ca="1">('TUSD BE'!$AM$28+'TUSD BF'!$AM$28+'TUSD CVA'!$AM$28)*1</f>
        <v>1480.1280206491922</v>
      </c>
      <c r="AA777" s="6">
        <f>('TE BE'!$AB$11+'TE BF'!$AB$11+'TE CVA'!$AB$11)*1</f>
        <v>362.64398683254075</v>
      </c>
      <c r="AB777" s="6">
        <f>$K$777*$V$777</f>
        <v>0</v>
      </c>
      <c r="AC777" s="6">
        <f>$M$777*$W$777</f>
        <v>3715.1334400000001</v>
      </c>
      <c r="AD777" s="6">
        <f>$O$777*$X$777</f>
        <v>693.04920000000004</v>
      </c>
      <c r="AE777" s="6">
        <f>$K$777*$Y$777</f>
        <v>0</v>
      </c>
      <c r="AF777" s="6">
        <f ca="1">$M$777*$Z$777</f>
        <v>3795.048244944529</v>
      </c>
      <c r="AG777" s="6">
        <f>$O$777*$AA$777</f>
        <v>929.81918223863454</v>
      </c>
    </row>
    <row r="778" spans="1:33" ht="11.25" customHeight="1" x14ac:dyDescent="0.25">
      <c r="A778" s="4" t="s">
        <v>21</v>
      </c>
      <c r="B778" s="4" t="s">
        <v>41</v>
      </c>
      <c r="C778" s="4" t="s">
        <v>44</v>
      </c>
      <c r="D778" s="4" t="s">
        <v>48</v>
      </c>
      <c r="E778" s="4" t="s">
        <v>25</v>
      </c>
      <c r="F778" s="4" t="s">
        <v>25</v>
      </c>
      <c r="G778" s="4" t="s">
        <v>25</v>
      </c>
      <c r="H778" s="4" t="s">
        <v>37</v>
      </c>
      <c r="I778" s="5">
        <v>44531</v>
      </c>
      <c r="J778" s="6">
        <v>0</v>
      </c>
      <c r="K778" s="6">
        <v>0</v>
      </c>
      <c r="L778" s="6">
        <v>3499.0059999999999</v>
      </c>
      <c r="M778" s="6">
        <v>3499.0059999999999</v>
      </c>
      <c r="N778" s="6">
        <v>3499.0059999999999</v>
      </c>
      <c r="O778" s="6">
        <v>3499.0059999999999</v>
      </c>
      <c r="P778" s="6">
        <v>0</v>
      </c>
      <c r="Q778" s="4" t="s">
        <v>26</v>
      </c>
      <c r="R778" s="4">
        <v>0</v>
      </c>
      <c r="S778" s="6">
        <v>0</v>
      </c>
      <c r="T778" s="6">
        <v>29</v>
      </c>
      <c r="U778" s="6">
        <v>75</v>
      </c>
      <c r="V778" s="6">
        <f>IF(ISERROR(VLOOKUP($S$778,'TAR FIN'!$A$1:$O$115,15,0)),0,VLOOKUP($S$778,'TAR FIN'!$A$1:$O$115,15,0))</f>
        <v>0</v>
      </c>
      <c r="W778" s="6">
        <f>IF(ISERROR(VLOOKUP($T$778,'TAR FIN'!$A$1:$O$115,15,0)),0,VLOOKUP($T$778,'TAR FIN'!$A$1:$O$115,15,0))</f>
        <v>84.31</v>
      </c>
      <c r="X778" s="6">
        <f>IF(ISERROR(VLOOKUP($U$778,'TAR FIN'!$A$1:$O$115,15,0)),0,VLOOKUP($U$778,'TAR FIN'!$A$1:$O$115,15,0))</f>
        <v>168.06</v>
      </c>
      <c r="Y778" s="6"/>
      <c r="Z778" s="6">
        <f ca="1">('TUSD BE'!$AM$29+'TUSD BF'!$AM$29+'TUSD CVA'!$AM$29)*1</f>
        <v>113.43121292628391</v>
      </c>
      <c r="AA778" s="6">
        <f>('TE BE'!$AB$12+'TE BF'!$AB$12+'TE CVA'!$AB$12)*1</f>
        <v>218.6854278594964</v>
      </c>
      <c r="AB778" s="6">
        <f>$K$778*$V$778</f>
        <v>0</v>
      </c>
      <c r="AC778" s="6">
        <f>$M$778*$W$778</f>
        <v>295001.19585999998</v>
      </c>
      <c r="AD778" s="6">
        <f>$O$778*$X$778</f>
        <v>588042.94836000004</v>
      </c>
      <c r="AE778" s="6">
        <f>$K$778*$Y$778</f>
        <v>0</v>
      </c>
      <c r="AF778" s="6">
        <f ca="1">$M$778*$Z$778</f>
        <v>396896.49461634492</v>
      </c>
      <c r="AG778" s="6">
        <f>$O$778*$AA$778</f>
        <v>765181.62419294508</v>
      </c>
    </row>
    <row r="779" spans="1:33" ht="11.25" customHeight="1" x14ac:dyDescent="0.25">
      <c r="A779" s="4" t="s">
        <v>28</v>
      </c>
      <c r="B779" s="4" t="s">
        <v>41</v>
      </c>
      <c r="C779" s="4" t="s">
        <v>44</v>
      </c>
      <c r="D779" s="4" t="s">
        <v>48</v>
      </c>
      <c r="E779" s="4" t="s">
        <v>25</v>
      </c>
      <c r="F779" s="4" t="s">
        <v>25</v>
      </c>
      <c r="G779" s="4" t="s">
        <v>25</v>
      </c>
      <c r="H779" s="4" t="s">
        <v>37</v>
      </c>
      <c r="I779" s="5">
        <v>44531</v>
      </c>
      <c r="J779" s="6">
        <v>0</v>
      </c>
      <c r="K779" s="6">
        <v>0</v>
      </c>
      <c r="L779" s="6">
        <v>761.18</v>
      </c>
      <c r="M779" s="6">
        <v>761.18</v>
      </c>
      <c r="N779" s="6">
        <v>761.18</v>
      </c>
      <c r="O779" s="6">
        <v>761.18</v>
      </c>
      <c r="P779" s="6">
        <v>0</v>
      </c>
      <c r="Q779" s="4" t="s">
        <v>26</v>
      </c>
      <c r="R779" s="4">
        <v>0</v>
      </c>
      <c r="S779" s="6">
        <v>0</v>
      </c>
      <c r="T779" s="6">
        <v>29</v>
      </c>
      <c r="U779" s="6">
        <v>75</v>
      </c>
      <c r="V779" s="6">
        <f>IF(ISERROR(VLOOKUP($S$779,'TAR FIN'!$A$1:$O$115,15,0)),0,VLOOKUP($S$779,'TAR FIN'!$A$1:$O$115,15,0))</f>
        <v>0</v>
      </c>
      <c r="W779" s="6">
        <f>IF(ISERROR(VLOOKUP($T$779,'TAR FIN'!$A$1:$O$115,15,0)),0,VLOOKUP($T$779,'TAR FIN'!$A$1:$O$115,15,0))</f>
        <v>84.31</v>
      </c>
      <c r="X779" s="6">
        <f>IF(ISERROR(VLOOKUP($U$779,'TAR FIN'!$A$1:$O$115,15,0)),0,VLOOKUP($U$779,'TAR FIN'!$A$1:$O$115,15,0))</f>
        <v>168.06</v>
      </c>
      <c r="Y779" s="6"/>
      <c r="Z779" s="6">
        <f ca="1">('TUSD BE'!$AM$29+'TUSD BF'!$AM$29+'TUSD CVA'!$AM$29)*1</f>
        <v>113.43121292628391</v>
      </c>
      <c r="AA779" s="6">
        <f>('TE BE'!$AB$12+'TE BF'!$AB$12+'TE CVA'!$AB$12)*1</f>
        <v>218.6854278594964</v>
      </c>
      <c r="AB779" s="6">
        <f>$K$779*$V$779</f>
        <v>0</v>
      </c>
      <c r="AC779" s="6">
        <f>$M$779*$W$779</f>
        <v>64175.085800000001</v>
      </c>
      <c r="AD779" s="6">
        <f>$O$779*$X$779</f>
        <v>127923.9108</v>
      </c>
      <c r="AE779" s="6">
        <f>$K$779*$Y$779</f>
        <v>0</v>
      </c>
      <c r="AF779" s="6">
        <f ca="1">$M$779*$Z$779</f>
        <v>86341.570655228774</v>
      </c>
      <c r="AG779" s="6">
        <f>$O$779*$AA$779</f>
        <v>166458.97397809147</v>
      </c>
    </row>
    <row r="780" spans="1:33" ht="11.25" customHeight="1" x14ac:dyDescent="0.25">
      <c r="A780" s="4" t="s">
        <v>30</v>
      </c>
      <c r="B780" s="4" t="s">
        <v>41</v>
      </c>
      <c r="C780" s="4" t="s">
        <v>44</v>
      </c>
      <c r="D780" s="4" t="s">
        <v>48</v>
      </c>
      <c r="E780" s="4" t="s">
        <v>25</v>
      </c>
      <c r="F780" s="4" t="s">
        <v>25</v>
      </c>
      <c r="G780" s="4" t="s">
        <v>25</v>
      </c>
      <c r="H780" s="4" t="s">
        <v>37</v>
      </c>
      <c r="I780" s="5">
        <v>44531</v>
      </c>
      <c r="J780" s="6">
        <v>0</v>
      </c>
      <c r="K780" s="6">
        <v>0</v>
      </c>
      <c r="L780" s="6">
        <v>193.32</v>
      </c>
      <c r="M780" s="6">
        <v>193.32</v>
      </c>
      <c r="N780" s="6">
        <v>193.32</v>
      </c>
      <c r="O780" s="6">
        <v>193.32</v>
      </c>
      <c r="P780" s="6">
        <v>0</v>
      </c>
      <c r="Q780" s="4" t="s">
        <v>26</v>
      </c>
      <c r="R780" s="4">
        <v>0</v>
      </c>
      <c r="S780" s="6">
        <v>0</v>
      </c>
      <c r="T780" s="6">
        <v>29</v>
      </c>
      <c r="U780" s="6">
        <v>75</v>
      </c>
      <c r="V780" s="6">
        <f>IF(ISERROR(VLOOKUP($S$780,'TAR FIN'!$A$1:$O$115,15,0)),0,VLOOKUP($S$780,'TAR FIN'!$A$1:$O$115,15,0))</f>
        <v>0</v>
      </c>
      <c r="W780" s="6">
        <f>IF(ISERROR(VLOOKUP($T$780,'TAR FIN'!$A$1:$O$115,15,0)),0,VLOOKUP($T$780,'TAR FIN'!$A$1:$O$115,15,0))</f>
        <v>84.31</v>
      </c>
      <c r="X780" s="6">
        <f>IF(ISERROR(VLOOKUP($U$780,'TAR FIN'!$A$1:$O$115,15,0)),0,VLOOKUP($U$780,'TAR FIN'!$A$1:$O$115,15,0))</f>
        <v>168.06</v>
      </c>
      <c r="Y780" s="6"/>
      <c r="Z780" s="6">
        <f ca="1">('TUSD BE'!$AM$29+'TUSD BF'!$AM$29+'TUSD CVA'!$AM$29)*1</f>
        <v>113.43121292628391</v>
      </c>
      <c r="AA780" s="6">
        <f>('TE BE'!$AB$12+'TE BF'!$AB$12+'TE CVA'!$AB$12)*1</f>
        <v>218.6854278594964</v>
      </c>
      <c r="AB780" s="6">
        <f>$K$780*$V$780</f>
        <v>0</v>
      </c>
      <c r="AC780" s="6">
        <f>$M$780*$W$780</f>
        <v>16298.8092</v>
      </c>
      <c r="AD780" s="6">
        <f>$O$780*$X$780</f>
        <v>32489.359199999999</v>
      </c>
      <c r="AE780" s="6">
        <f>$K$780*$Y$780</f>
        <v>0</v>
      </c>
      <c r="AF780" s="6">
        <f ca="1">$M$780*$Z$780</f>
        <v>21928.522082909203</v>
      </c>
      <c r="AG780" s="6">
        <f>$O$780*$AA$780</f>
        <v>42276.266913797845</v>
      </c>
    </row>
    <row r="781" spans="1:33" ht="11.25" customHeight="1" x14ac:dyDescent="0.25">
      <c r="A781" s="4" t="s">
        <v>21</v>
      </c>
      <c r="B781" s="4" t="s">
        <v>41</v>
      </c>
      <c r="C781" s="4" t="s">
        <v>44</v>
      </c>
      <c r="D781" s="4" t="s">
        <v>48</v>
      </c>
      <c r="E781" s="4" t="s">
        <v>25</v>
      </c>
      <c r="F781" s="4" t="s">
        <v>25</v>
      </c>
      <c r="G781" s="4" t="s">
        <v>25</v>
      </c>
      <c r="H781" s="4" t="s">
        <v>37</v>
      </c>
      <c r="I781" s="5">
        <v>44562</v>
      </c>
      <c r="J781" s="6">
        <v>0</v>
      </c>
      <c r="K781" s="6">
        <v>0</v>
      </c>
      <c r="L781" s="6">
        <v>3464.9879999999998</v>
      </c>
      <c r="M781" s="6">
        <v>3464.9879999999998</v>
      </c>
      <c r="N781" s="6">
        <v>3464.9879999999998</v>
      </c>
      <c r="O781" s="6">
        <v>3464.9879999999998</v>
      </c>
      <c r="P781" s="6">
        <v>0</v>
      </c>
      <c r="Q781" s="4" t="s">
        <v>26</v>
      </c>
      <c r="R781" s="4">
        <v>0</v>
      </c>
      <c r="S781" s="6">
        <v>0</v>
      </c>
      <c r="T781" s="6">
        <v>29</v>
      </c>
      <c r="U781" s="6">
        <v>75</v>
      </c>
      <c r="V781" s="6">
        <f>IF(ISERROR(VLOOKUP($S$781,'TAR FIN'!$A$1:$O$115,15,0)),0,VLOOKUP($S$781,'TAR FIN'!$A$1:$O$115,15,0))</f>
        <v>0</v>
      </c>
      <c r="W781" s="6">
        <f>IF(ISERROR(VLOOKUP($T$781,'TAR FIN'!$A$1:$O$115,15,0)),0,VLOOKUP($T$781,'TAR FIN'!$A$1:$O$115,15,0))</f>
        <v>84.31</v>
      </c>
      <c r="X781" s="6">
        <f>IF(ISERROR(VLOOKUP($U$781,'TAR FIN'!$A$1:$O$115,15,0)),0,VLOOKUP($U$781,'TAR FIN'!$A$1:$O$115,15,0))</f>
        <v>168.06</v>
      </c>
      <c r="Y781" s="6"/>
      <c r="Z781" s="6">
        <f ca="1">('TUSD BE'!$AM$29+'TUSD BF'!$AM$29+'TUSD CVA'!$AM$29)*1</f>
        <v>113.43121292628391</v>
      </c>
      <c r="AA781" s="6">
        <f>('TE BE'!$AB$12+'TE BF'!$AB$12+'TE CVA'!$AB$12)*1</f>
        <v>218.6854278594964</v>
      </c>
      <c r="AB781" s="6">
        <f>$K$781*$V$781</f>
        <v>0</v>
      </c>
      <c r="AC781" s="6">
        <f>$M$781*$W$781</f>
        <v>292133.13828000001</v>
      </c>
      <c r="AD781" s="6">
        <f>$O$781*$X$781</f>
        <v>582325.88327999995</v>
      </c>
      <c r="AE781" s="6">
        <f>$K$781*$Y$781</f>
        <v>0</v>
      </c>
      <c r="AF781" s="6">
        <f ca="1">$M$781*$Z$781</f>
        <v>393037.79161501862</v>
      </c>
      <c r="AG781" s="6">
        <f>$O$781*$AA$781</f>
        <v>757742.38330802065</v>
      </c>
    </row>
    <row r="782" spans="1:33" ht="11.25" customHeight="1" x14ac:dyDescent="0.25">
      <c r="A782" s="4" t="s">
        <v>28</v>
      </c>
      <c r="B782" s="4" t="s">
        <v>41</v>
      </c>
      <c r="C782" s="4" t="s">
        <v>44</v>
      </c>
      <c r="D782" s="4" t="s">
        <v>48</v>
      </c>
      <c r="E782" s="4" t="s">
        <v>25</v>
      </c>
      <c r="F782" s="4" t="s">
        <v>25</v>
      </c>
      <c r="G782" s="4" t="s">
        <v>25</v>
      </c>
      <c r="H782" s="4" t="s">
        <v>37</v>
      </c>
      <c r="I782" s="5">
        <v>44562</v>
      </c>
      <c r="J782" s="6">
        <v>0</v>
      </c>
      <c r="K782" s="6">
        <v>0</v>
      </c>
      <c r="L782" s="6">
        <v>770.84</v>
      </c>
      <c r="M782" s="6">
        <v>770.84</v>
      </c>
      <c r="N782" s="6">
        <v>770.84</v>
      </c>
      <c r="O782" s="6">
        <v>770.84</v>
      </c>
      <c r="P782" s="6">
        <v>0</v>
      </c>
      <c r="Q782" s="4" t="s">
        <v>26</v>
      </c>
      <c r="R782" s="4">
        <v>0</v>
      </c>
      <c r="S782" s="6">
        <v>0</v>
      </c>
      <c r="T782" s="6">
        <v>29</v>
      </c>
      <c r="U782" s="6">
        <v>75</v>
      </c>
      <c r="V782" s="6">
        <f>IF(ISERROR(VLOOKUP($S$782,'TAR FIN'!$A$1:$O$115,15,0)),0,VLOOKUP($S$782,'TAR FIN'!$A$1:$O$115,15,0))</f>
        <v>0</v>
      </c>
      <c r="W782" s="6">
        <f>IF(ISERROR(VLOOKUP($T$782,'TAR FIN'!$A$1:$O$115,15,0)),0,VLOOKUP($T$782,'TAR FIN'!$A$1:$O$115,15,0))</f>
        <v>84.31</v>
      </c>
      <c r="X782" s="6">
        <f>IF(ISERROR(VLOOKUP($U$782,'TAR FIN'!$A$1:$O$115,15,0)),0,VLOOKUP($U$782,'TAR FIN'!$A$1:$O$115,15,0))</f>
        <v>168.06</v>
      </c>
      <c r="Y782" s="6"/>
      <c r="Z782" s="6">
        <f ca="1">('TUSD BE'!$AM$29+'TUSD BF'!$AM$29+'TUSD CVA'!$AM$29)*1</f>
        <v>113.43121292628391</v>
      </c>
      <c r="AA782" s="6">
        <f>('TE BE'!$AB$12+'TE BF'!$AB$12+'TE CVA'!$AB$12)*1</f>
        <v>218.6854278594964</v>
      </c>
      <c r="AB782" s="6">
        <f>$K$782*$V$782</f>
        <v>0</v>
      </c>
      <c r="AC782" s="6">
        <f>$M$782*$W$782</f>
        <v>64989.520400000001</v>
      </c>
      <c r="AD782" s="6">
        <f>$O$782*$X$782</f>
        <v>129547.37040000001</v>
      </c>
      <c r="AE782" s="6">
        <f>$K$782*$Y$782</f>
        <v>0</v>
      </c>
      <c r="AF782" s="6">
        <f ca="1">$M$782*$Z$782</f>
        <v>87437.316172096689</v>
      </c>
      <c r="AG782" s="6">
        <f>$O$782*$AA$782</f>
        <v>168571.47521121422</v>
      </c>
    </row>
    <row r="783" spans="1:33" ht="11.25" customHeight="1" x14ac:dyDescent="0.25">
      <c r="A783" s="4" t="s">
        <v>29</v>
      </c>
      <c r="B783" s="4" t="s">
        <v>41</v>
      </c>
      <c r="C783" s="4" t="s">
        <v>44</v>
      </c>
      <c r="D783" s="4" t="s">
        <v>48</v>
      </c>
      <c r="E783" s="4" t="s">
        <v>25</v>
      </c>
      <c r="F783" s="4" t="s">
        <v>25</v>
      </c>
      <c r="G783" s="4" t="s">
        <v>25</v>
      </c>
      <c r="H783" s="4" t="s">
        <v>37</v>
      </c>
      <c r="I783" s="5">
        <v>44562</v>
      </c>
      <c r="J783" s="6">
        <v>0</v>
      </c>
      <c r="K783" s="6">
        <v>0</v>
      </c>
      <c r="L783" s="6">
        <v>-16.920000000000002</v>
      </c>
      <c r="M783" s="6">
        <v>-16.920000000000002</v>
      </c>
      <c r="N783" s="6">
        <v>-16.920000000000002</v>
      </c>
      <c r="O783" s="6">
        <v>-16.920000000000002</v>
      </c>
      <c r="P783" s="6">
        <v>0</v>
      </c>
      <c r="Q783" s="4" t="s">
        <v>26</v>
      </c>
      <c r="R783" s="4">
        <v>0</v>
      </c>
      <c r="S783" s="6">
        <v>0</v>
      </c>
      <c r="T783" s="6">
        <v>29</v>
      </c>
      <c r="U783" s="6">
        <v>75</v>
      </c>
      <c r="V783" s="6">
        <f>IF(ISERROR(VLOOKUP($S$783,'TAR FIN'!$A$1:$O$115,15,0)),0,VLOOKUP($S$783,'TAR FIN'!$A$1:$O$115,15,0))</f>
        <v>0</v>
      </c>
      <c r="W783" s="6">
        <f>IF(ISERROR(VLOOKUP($T$783,'TAR FIN'!$A$1:$O$115,15,0)),0,VLOOKUP($T$783,'TAR FIN'!$A$1:$O$115,15,0))</f>
        <v>84.31</v>
      </c>
      <c r="X783" s="6">
        <f>IF(ISERROR(VLOOKUP($U$783,'TAR FIN'!$A$1:$O$115,15,0)),0,VLOOKUP($U$783,'TAR FIN'!$A$1:$O$115,15,0))</f>
        <v>168.06</v>
      </c>
      <c r="Y783" s="6"/>
      <c r="Z783" s="6">
        <f ca="1">('TUSD BE'!$AM$29+'TUSD BF'!$AM$29+'TUSD CVA'!$AM$29)*1</f>
        <v>113.43121292628391</v>
      </c>
      <c r="AA783" s="6">
        <f>('TE BE'!$AB$12+'TE BF'!$AB$12+'TE CVA'!$AB$12)*1</f>
        <v>218.6854278594964</v>
      </c>
      <c r="AB783" s="6">
        <f>$K$783*$V$783</f>
        <v>0</v>
      </c>
      <c r="AC783" s="6">
        <f>$M$783*$W$783</f>
        <v>-1426.5252000000003</v>
      </c>
      <c r="AD783" s="6">
        <f>$O$783*$X$783</f>
        <v>-2843.5752000000002</v>
      </c>
      <c r="AE783" s="6">
        <f>$K$783*$Y$783</f>
        <v>0</v>
      </c>
      <c r="AF783" s="6">
        <f ca="1">$M$783*$Z$783</f>
        <v>-1919.2561227127239</v>
      </c>
      <c r="AG783" s="6">
        <f>$O$783*$AA$783</f>
        <v>-3700.1574393826795</v>
      </c>
    </row>
    <row r="784" spans="1:33" ht="11.25" customHeight="1" x14ac:dyDescent="0.25">
      <c r="A784" s="4" t="s">
        <v>30</v>
      </c>
      <c r="B784" s="4" t="s">
        <v>41</v>
      </c>
      <c r="C784" s="4" t="s">
        <v>44</v>
      </c>
      <c r="D784" s="4" t="s">
        <v>48</v>
      </c>
      <c r="E784" s="4" t="s">
        <v>25</v>
      </c>
      <c r="F784" s="4" t="s">
        <v>25</v>
      </c>
      <c r="G784" s="4" t="s">
        <v>25</v>
      </c>
      <c r="H784" s="4" t="s">
        <v>37</v>
      </c>
      <c r="I784" s="5">
        <v>44562</v>
      </c>
      <c r="J784" s="6">
        <v>0</v>
      </c>
      <c r="K784" s="6">
        <v>0</v>
      </c>
      <c r="L784" s="6">
        <v>195.99199999999999</v>
      </c>
      <c r="M784" s="6">
        <v>195.99199999999999</v>
      </c>
      <c r="N784" s="6">
        <v>195.99199999999999</v>
      </c>
      <c r="O784" s="6">
        <v>195.99199999999999</v>
      </c>
      <c r="P784" s="6">
        <v>0</v>
      </c>
      <c r="Q784" s="4" t="s">
        <v>26</v>
      </c>
      <c r="R784" s="4">
        <v>0</v>
      </c>
      <c r="S784" s="6">
        <v>0</v>
      </c>
      <c r="T784" s="6">
        <v>29</v>
      </c>
      <c r="U784" s="6">
        <v>75</v>
      </c>
      <c r="V784" s="6">
        <f>IF(ISERROR(VLOOKUP($S$784,'TAR FIN'!$A$1:$O$115,15,0)),0,VLOOKUP($S$784,'TAR FIN'!$A$1:$O$115,15,0))</f>
        <v>0</v>
      </c>
      <c r="W784" s="6">
        <f>IF(ISERROR(VLOOKUP($T$784,'TAR FIN'!$A$1:$O$115,15,0)),0,VLOOKUP($T$784,'TAR FIN'!$A$1:$O$115,15,0))</f>
        <v>84.31</v>
      </c>
      <c r="X784" s="6">
        <f>IF(ISERROR(VLOOKUP($U$784,'TAR FIN'!$A$1:$O$115,15,0)),0,VLOOKUP($U$784,'TAR FIN'!$A$1:$O$115,15,0))</f>
        <v>168.06</v>
      </c>
      <c r="Y784" s="6"/>
      <c r="Z784" s="6">
        <f ca="1">('TUSD BE'!$AM$29+'TUSD BF'!$AM$29+'TUSD CVA'!$AM$29)*1</f>
        <v>113.43121292628391</v>
      </c>
      <c r="AA784" s="6">
        <f>('TE BE'!$AB$12+'TE BF'!$AB$12+'TE CVA'!$AB$12)*1</f>
        <v>218.6854278594964</v>
      </c>
      <c r="AB784" s="6">
        <f>$K$784*$V$784</f>
        <v>0</v>
      </c>
      <c r="AC784" s="6">
        <f>$M$784*$W$784</f>
        <v>16524.085520000001</v>
      </c>
      <c r="AD784" s="6">
        <f>$O$784*$X$784</f>
        <v>32938.415520000002</v>
      </c>
      <c r="AE784" s="6">
        <f>$K$784*$Y$784</f>
        <v>0</v>
      </c>
      <c r="AF784" s="6">
        <f ca="1">$M$784*$Z$784</f>
        <v>22231.610283848233</v>
      </c>
      <c r="AG784" s="6">
        <f>$O$784*$AA$784</f>
        <v>42860.594377038418</v>
      </c>
    </row>
    <row r="785" spans="1:33" ht="11.25" customHeight="1" x14ac:dyDescent="0.25">
      <c r="A785" s="4" t="s">
        <v>21</v>
      </c>
      <c r="B785" s="4" t="s">
        <v>41</v>
      </c>
      <c r="C785" s="4" t="s">
        <v>44</v>
      </c>
      <c r="D785" s="4" t="s">
        <v>48</v>
      </c>
      <c r="E785" s="4" t="s">
        <v>25</v>
      </c>
      <c r="F785" s="4" t="s">
        <v>25</v>
      </c>
      <c r="G785" s="4" t="s">
        <v>25</v>
      </c>
      <c r="H785" s="4" t="s">
        <v>37</v>
      </c>
      <c r="I785" s="5">
        <v>44593</v>
      </c>
      <c r="J785" s="6">
        <v>0</v>
      </c>
      <c r="K785" s="6">
        <v>0</v>
      </c>
      <c r="L785" s="6">
        <v>3102.578</v>
      </c>
      <c r="M785" s="6">
        <v>3102.578</v>
      </c>
      <c r="N785" s="6">
        <v>3102.578</v>
      </c>
      <c r="O785" s="6">
        <v>3102.578</v>
      </c>
      <c r="P785" s="6">
        <v>0</v>
      </c>
      <c r="Q785" s="4" t="s">
        <v>26</v>
      </c>
      <c r="R785" s="4">
        <v>0</v>
      </c>
      <c r="S785" s="6">
        <v>0</v>
      </c>
      <c r="T785" s="6">
        <v>29</v>
      </c>
      <c r="U785" s="6">
        <v>75</v>
      </c>
      <c r="V785" s="6">
        <f>IF(ISERROR(VLOOKUP($S$785,'TAR FIN'!$A$1:$O$115,15,0)),0,VLOOKUP($S$785,'TAR FIN'!$A$1:$O$115,15,0))</f>
        <v>0</v>
      </c>
      <c r="W785" s="6">
        <f>IF(ISERROR(VLOOKUP($T$785,'TAR FIN'!$A$1:$O$115,15,0)),0,VLOOKUP($T$785,'TAR FIN'!$A$1:$O$115,15,0))</f>
        <v>84.31</v>
      </c>
      <c r="X785" s="6">
        <f>IF(ISERROR(VLOOKUP($U$785,'TAR FIN'!$A$1:$O$115,15,0)),0,VLOOKUP($U$785,'TAR FIN'!$A$1:$O$115,15,0))</f>
        <v>168.06</v>
      </c>
      <c r="Y785" s="6"/>
      <c r="Z785" s="6">
        <f ca="1">('TUSD BE'!$AM$29+'TUSD BF'!$AM$29+'TUSD CVA'!$AM$29)*1</f>
        <v>113.43121292628391</v>
      </c>
      <c r="AA785" s="6">
        <f>('TE BE'!$AB$12+'TE BF'!$AB$12+'TE CVA'!$AB$12)*1</f>
        <v>218.6854278594964</v>
      </c>
      <c r="AB785" s="6">
        <f>$K$785*$V$785</f>
        <v>0</v>
      </c>
      <c r="AC785" s="6">
        <f>$M$785*$W$785</f>
        <v>261578.35118</v>
      </c>
      <c r="AD785" s="6">
        <f>$O$785*$X$785</f>
        <v>521419.25868000003</v>
      </c>
      <c r="AE785" s="6">
        <f>$K$785*$Y$785</f>
        <v>0</v>
      </c>
      <c r="AF785" s="6">
        <f ca="1">$M$785*$Z$785</f>
        <v>351929.18573840405</v>
      </c>
      <c r="AG785" s="6">
        <f>$O$785*$AA$785</f>
        <v>678488.5973974606</v>
      </c>
    </row>
    <row r="786" spans="1:33" ht="11.25" customHeight="1" x14ac:dyDescent="0.25">
      <c r="A786" s="4" t="s">
        <v>27</v>
      </c>
      <c r="B786" s="4" t="s">
        <v>41</v>
      </c>
      <c r="C786" s="4" t="s">
        <v>44</v>
      </c>
      <c r="D786" s="4" t="s">
        <v>48</v>
      </c>
      <c r="E786" s="4" t="s">
        <v>25</v>
      </c>
      <c r="F786" s="4" t="s">
        <v>25</v>
      </c>
      <c r="G786" s="4" t="s">
        <v>25</v>
      </c>
      <c r="H786" s="4" t="s">
        <v>37</v>
      </c>
      <c r="I786" s="5">
        <v>44593</v>
      </c>
      <c r="J786" s="6">
        <v>0</v>
      </c>
      <c r="K786" s="6">
        <v>0</v>
      </c>
      <c r="L786" s="6">
        <v>-0.89100000000000001</v>
      </c>
      <c r="M786" s="6">
        <v>-0.89100000000000001</v>
      </c>
      <c r="N786" s="6">
        <v>-0.89100000000000001</v>
      </c>
      <c r="O786" s="6">
        <v>-0.89100000000000001</v>
      </c>
      <c r="P786" s="6">
        <v>0</v>
      </c>
      <c r="Q786" s="4" t="s">
        <v>26</v>
      </c>
      <c r="R786" s="4">
        <v>0</v>
      </c>
      <c r="S786" s="6">
        <v>0</v>
      </c>
      <c r="T786" s="6">
        <v>29</v>
      </c>
      <c r="U786" s="6">
        <v>75</v>
      </c>
      <c r="V786" s="6">
        <f>IF(ISERROR(VLOOKUP($S$786,'TAR FIN'!$A$1:$O$115,15,0)),0,VLOOKUP($S$786,'TAR FIN'!$A$1:$O$115,15,0))</f>
        <v>0</v>
      </c>
      <c r="W786" s="6">
        <f>IF(ISERROR(VLOOKUP($T$786,'TAR FIN'!$A$1:$O$115,15,0)),0,VLOOKUP($T$786,'TAR FIN'!$A$1:$O$115,15,0))</f>
        <v>84.31</v>
      </c>
      <c r="X786" s="6">
        <f>IF(ISERROR(VLOOKUP($U$786,'TAR FIN'!$A$1:$O$115,15,0)),0,VLOOKUP($U$786,'TAR FIN'!$A$1:$O$115,15,0))</f>
        <v>168.06</v>
      </c>
      <c r="Y786" s="6"/>
      <c r="Z786" s="6">
        <f ca="1">('TUSD BE'!$AM$29+'TUSD BF'!$AM$29+'TUSD CVA'!$AM$29)*1</f>
        <v>113.43121292628391</v>
      </c>
      <c r="AA786" s="6">
        <f>('TE BE'!$AB$12+'TE BF'!$AB$12+'TE CVA'!$AB$12)*1</f>
        <v>218.6854278594964</v>
      </c>
      <c r="AB786" s="6">
        <f>$K$786*$V$786</f>
        <v>0</v>
      </c>
      <c r="AC786" s="6">
        <f>$M$786*$W$786</f>
        <v>-75.12021</v>
      </c>
      <c r="AD786" s="6">
        <f>$O$786*$X$786</f>
        <v>-149.74146000000002</v>
      </c>
      <c r="AE786" s="6">
        <f>$K$786*$Y$786</f>
        <v>0</v>
      </c>
      <c r="AF786" s="6">
        <f ca="1">$M$786*$Z$786</f>
        <v>-101.06721071731896</v>
      </c>
      <c r="AG786" s="6">
        <f>$O$786*$AA$786</f>
        <v>-194.8487162228113</v>
      </c>
    </row>
    <row r="787" spans="1:33" ht="11.25" customHeight="1" x14ac:dyDescent="0.25">
      <c r="A787" s="4" t="s">
        <v>28</v>
      </c>
      <c r="B787" s="4" t="s">
        <v>41</v>
      </c>
      <c r="C787" s="4" t="s">
        <v>44</v>
      </c>
      <c r="D787" s="4" t="s">
        <v>48</v>
      </c>
      <c r="E787" s="4" t="s">
        <v>25</v>
      </c>
      <c r="F787" s="4" t="s">
        <v>25</v>
      </c>
      <c r="G787" s="4" t="s">
        <v>25</v>
      </c>
      <c r="H787" s="4" t="s">
        <v>37</v>
      </c>
      <c r="I787" s="5">
        <v>44593</v>
      </c>
      <c r="J787" s="6">
        <v>0</v>
      </c>
      <c r="K787" s="6">
        <v>0</v>
      </c>
      <c r="L787" s="6">
        <v>644.56200000000001</v>
      </c>
      <c r="M787" s="6">
        <v>644.56200000000001</v>
      </c>
      <c r="N787" s="6">
        <v>644.56200000000001</v>
      </c>
      <c r="O787" s="6">
        <v>644.56200000000001</v>
      </c>
      <c r="P787" s="6">
        <v>0</v>
      </c>
      <c r="Q787" s="4" t="s">
        <v>26</v>
      </c>
      <c r="R787" s="4">
        <v>0</v>
      </c>
      <c r="S787" s="6">
        <v>0</v>
      </c>
      <c r="T787" s="6">
        <v>29</v>
      </c>
      <c r="U787" s="6">
        <v>75</v>
      </c>
      <c r="V787" s="6">
        <f>IF(ISERROR(VLOOKUP($S$787,'TAR FIN'!$A$1:$O$115,15,0)),0,VLOOKUP($S$787,'TAR FIN'!$A$1:$O$115,15,0))</f>
        <v>0</v>
      </c>
      <c r="W787" s="6">
        <f>IF(ISERROR(VLOOKUP($T$787,'TAR FIN'!$A$1:$O$115,15,0)),0,VLOOKUP($T$787,'TAR FIN'!$A$1:$O$115,15,0))</f>
        <v>84.31</v>
      </c>
      <c r="X787" s="6">
        <f>IF(ISERROR(VLOOKUP($U$787,'TAR FIN'!$A$1:$O$115,15,0)),0,VLOOKUP($U$787,'TAR FIN'!$A$1:$O$115,15,0))</f>
        <v>168.06</v>
      </c>
      <c r="Y787" s="6"/>
      <c r="Z787" s="6">
        <f ca="1">('TUSD BE'!$AM$29+'TUSD BF'!$AM$29+'TUSD CVA'!$AM$29)*1</f>
        <v>113.43121292628391</v>
      </c>
      <c r="AA787" s="6">
        <f>('TE BE'!$AB$12+'TE BF'!$AB$12+'TE CVA'!$AB$12)*1</f>
        <v>218.6854278594964</v>
      </c>
      <c r="AB787" s="6">
        <f>$K$787*$V$787</f>
        <v>0</v>
      </c>
      <c r="AC787" s="6">
        <f>$M$787*$W$787</f>
        <v>54343.022219999999</v>
      </c>
      <c r="AD787" s="6">
        <f>$O$787*$X$787</f>
        <v>108325.08972</v>
      </c>
      <c r="AE787" s="6">
        <f>$K$787*$Y$787</f>
        <v>0</v>
      </c>
      <c r="AF787" s="6">
        <f ca="1">$M$787*$Z$787</f>
        <v>73113.449466191407</v>
      </c>
      <c r="AG787" s="6">
        <f>$O$787*$AA$787</f>
        <v>140956.31675197271</v>
      </c>
    </row>
    <row r="788" spans="1:33" ht="11.25" customHeight="1" x14ac:dyDescent="0.25">
      <c r="A788" s="4" t="s">
        <v>30</v>
      </c>
      <c r="B788" s="4" t="s">
        <v>41</v>
      </c>
      <c r="C788" s="4" t="s">
        <v>44</v>
      </c>
      <c r="D788" s="4" t="s">
        <v>48</v>
      </c>
      <c r="E788" s="4" t="s">
        <v>25</v>
      </c>
      <c r="F788" s="4" t="s">
        <v>25</v>
      </c>
      <c r="G788" s="4" t="s">
        <v>25</v>
      </c>
      <c r="H788" s="4" t="s">
        <v>37</v>
      </c>
      <c r="I788" s="5">
        <v>44593</v>
      </c>
      <c r="J788" s="6">
        <v>0</v>
      </c>
      <c r="K788" s="6">
        <v>0</v>
      </c>
      <c r="L788" s="6">
        <v>178.59200000000001</v>
      </c>
      <c r="M788" s="6">
        <v>178.59200000000001</v>
      </c>
      <c r="N788" s="6">
        <v>178.59200000000001</v>
      </c>
      <c r="O788" s="6">
        <v>178.59200000000001</v>
      </c>
      <c r="P788" s="6">
        <v>0</v>
      </c>
      <c r="Q788" s="4" t="s">
        <v>26</v>
      </c>
      <c r="R788" s="4">
        <v>0</v>
      </c>
      <c r="S788" s="6">
        <v>0</v>
      </c>
      <c r="T788" s="6">
        <v>29</v>
      </c>
      <c r="U788" s="6">
        <v>75</v>
      </c>
      <c r="V788" s="6">
        <f>IF(ISERROR(VLOOKUP($S$788,'TAR FIN'!$A$1:$O$115,15,0)),0,VLOOKUP($S$788,'TAR FIN'!$A$1:$O$115,15,0))</f>
        <v>0</v>
      </c>
      <c r="W788" s="6">
        <f>IF(ISERROR(VLOOKUP($T$788,'TAR FIN'!$A$1:$O$115,15,0)),0,VLOOKUP($T$788,'TAR FIN'!$A$1:$O$115,15,0))</f>
        <v>84.31</v>
      </c>
      <c r="X788" s="6">
        <f>IF(ISERROR(VLOOKUP($U$788,'TAR FIN'!$A$1:$O$115,15,0)),0,VLOOKUP($U$788,'TAR FIN'!$A$1:$O$115,15,0))</f>
        <v>168.06</v>
      </c>
      <c r="Y788" s="6"/>
      <c r="Z788" s="6">
        <f ca="1">('TUSD BE'!$AM$29+'TUSD BF'!$AM$29+'TUSD CVA'!$AM$29)*1</f>
        <v>113.43121292628391</v>
      </c>
      <c r="AA788" s="6">
        <f>('TE BE'!$AB$12+'TE BF'!$AB$12+'TE CVA'!$AB$12)*1</f>
        <v>218.6854278594964</v>
      </c>
      <c r="AB788" s="6">
        <f>$K$788*$V$788</f>
        <v>0</v>
      </c>
      <c r="AC788" s="6">
        <f>$M$788*$W$788</f>
        <v>15057.091520000002</v>
      </c>
      <c r="AD788" s="6">
        <f>$O$788*$X$788</f>
        <v>30014.171520000004</v>
      </c>
      <c r="AE788" s="6">
        <f>$K$788*$Y$788</f>
        <v>0</v>
      </c>
      <c r="AF788" s="6">
        <f ca="1">$M$788*$Z$788</f>
        <v>20257.907178930898</v>
      </c>
      <c r="AG788" s="6">
        <f>$O$788*$AA$788</f>
        <v>39055.467932283187</v>
      </c>
    </row>
    <row r="789" spans="1:33" ht="11.25" customHeight="1" x14ac:dyDescent="0.25">
      <c r="A789" s="4" t="s">
        <v>21</v>
      </c>
      <c r="B789" s="4" t="s">
        <v>41</v>
      </c>
      <c r="C789" s="4" t="s">
        <v>44</v>
      </c>
      <c r="D789" s="4" t="s">
        <v>48</v>
      </c>
      <c r="E789" s="4" t="s">
        <v>25</v>
      </c>
      <c r="F789" s="4" t="s">
        <v>25</v>
      </c>
      <c r="G789" s="4" t="s">
        <v>25</v>
      </c>
      <c r="H789" s="4" t="s">
        <v>37</v>
      </c>
      <c r="I789" s="5">
        <v>44621</v>
      </c>
      <c r="J789" s="6">
        <v>0</v>
      </c>
      <c r="K789" s="6">
        <v>0</v>
      </c>
      <c r="L789" s="6">
        <v>3114.123</v>
      </c>
      <c r="M789" s="6">
        <v>3114.123</v>
      </c>
      <c r="N789" s="6">
        <v>3114.123</v>
      </c>
      <c r="O789" s="6">
        <v>3114.123</v>
      </c>
      <c r="P789" s="6">
        <v>0</v>
      </c>
      <c r="Q789" s="4" t="s">
        <v>26</v>
      </c>
      <c r="R789" s="4">
        <v>0</v>
      </c>
      <c r="S789" s="6">
        <v>0</v>
      </c>
      <c r="T789" s="6">
        <v>29</v>
      </c>
      <c r="U789" s="6">
        <v>75</v>
      </c>
      <c r="V789" s="6">
        <f>IF(ISERROR(VLOOKUP($S$789,'TAR FIN'!$A$1:$O$115,15,0)),0,VLOOKUP($S$789,'TAR FIN'!$A$1:$O$115,15,0))</f>
        <v>0</v>
      </c>
      <c r="W789" s="6">
        <f>IF(ISERROR(VLOOKUP($T$789,'TAR FIN'!$A$1:$O$115,15,0)),0,VLOOKUP($T$789,'TAR FIN'!$A$1:$O$115,15,0))</f>
        <v>84.31</v>
      </c>
      <c r="X789" s="6">
        <f>IF(ISERROR(VLOOKUP($U$789,'TAR FIN'!$A$1:$O$115,15,0)),0,VLOOKUP($U$789,'TAR FIN'!$A$1:$O$115,15,0))</f>
        <v>168.06</v>
      </c>
      <c r="Y789" s="6"/>
      <c r="Z789" s="6">
        <f ca="1">('TUSD BE'!$AM$29+'TUSD BF'!$AM$29+'TUSD CVA'!$AM$29)*1</f>
        <v>113.43121292628391</v>
      </c>
      <c r="AA789" s="6">
        <f>('TE BE'!$AB$12+'TE BF'!$AB$12+'TE CVA'!$AB$12)*1</f>
        <v>218.6854278594964</v>
      </c>
      <c r="AB789" s="6">
        <f>$K$789*$V$789</f>
        <v>0</v>
      </c>
      <c r="AC789" s="6">
        <f>$M$789*$W$789</f>
        <v>262551.71013000002</v>
      </c>
      <c r="AD789" s="6">
        <f>$O$789*$X$789</f>
        <v>523359.51138000004</v>
      </c>
      <c r="AE789" s="6">
        <f>$K$789*$Y$789</f>
        <v>0</v>
      </c>
      <c r="AF789" s="6">
        <f ca="1">$M$789*$Z$789</f>
        <v>353238.74909163802</v>
      </c>
      <c r="AG789" s="6">
        <f>$O$789*$AA$789</f>
        <v>681013.32066209847</v>
      </c>
    </row>
    <row r="790" spans="1:33" ht="11.25" customHeight="1" x14ac:dyDescent="0.25">
      <c r="A790" s="4" t="s">
        <v>28</v>
      </c>
      <c r="B790" s="4" t="s">
        <v>41</v>
      </c>
      <c r="C790" s="4" t="s">
        <v>44</v>
      </c>
      <c r="D790" s="4" t="s">
        <v>48</v>
      </c>
      <c r="E790" s="4" t="s">
        <v>25</v>
      </c>
      <c r="F790" s="4" t="s">
        <v>25</v>
      </c>
      <c r="G790" s="4" t="s">
        <v>25</v>
      </c>
      <c r="H790" s="4" t="s">
        <v>37</v>
      </c>
      <c r="I790" s="5">
        <v>44621</v>
      </c>
      <c r="J790" s="6">
        <v>0</v>
      </c>
      <c r="K790" s="6">
        <v>0</v>
      </c>
      <c r="L790" s="6">
        <v>564.41499999999996</v>
      </c>
      <c r="M790" s="6">
        <v>564.41499999999996</v>
      </c>
      <c r="N790" s="6">
        <v>564.41499999999996</v>
      </c>
      <c r="O790" s="6">
        <v>564.41499999999996</v>
      </c>
      <c r="P790" s="6">
        <v>0</v>
      </c>
      <c r="Q790" s="4" t="s">
        <v>26</v>
      </c>
      <c r="R790" s="4">
        <v>0</v>
      </c>
      <c r="S790" s="6">
        <v>0</v>
      </c>
      <c r="T790" s="6">
        <v>29</v>
      </c>
      <c r="U790" s="6">
        <v>75</v>
      </c>
      <c r="V790" s="6">
        <f>IF(ISERROR(VLOOKUP($S$790,'TAR FIN'!$A$1:$O$115,15,0)),0,VLOOKUP($S$790,'TAR FIN'!$A$1:$O$115,15,0))</f>
        <v>0</v>
      </c>
      <c r="W790" s="6">
        <f>IF(ISERROR(VLOOKUP($T$790,'TAR FIN'!$A$1:$O$115,15,0)),0,VLOOKUP($T$790,'TAR FIN'!$A$1:$O$115,15,0))</f>
        <v>84.31</v>
      </c>
      <c r="X790" s="6">
        <f>IF(ISERROR(VLOOKUP($U$790,'TAR FIN'!$A$1:$O$115,15,0)),0,VLOOKUP($U$790,'TAR FIN'!$A$1:$O$115,15,0))</f>
        <v>168.06</v>
      </c>
      <c r="Y790" s="6"/>
      <c r="Z790" s="6">
        <f ca="1">('TUSD BE'!$AM$29+'TUSD BF'!$AM$29+'TUSD CVA'!$AM$29)*1</f>
        <v>113.43121292628391</v>
      </c>
      <c r="AA790" s="6">
        <f>('TE BE'!$AB$12+'TE BF'!$AB$12+'TE CVA'!$AB$12)*1</f>
        <v>218.6854278594964</v>
      </c>
      <c r="AB790" s="6">
        <f>$K$790*$V$790</f>
        <v>0</v>
      </c>
      <c r="AC790" s="6">
        <f>$M$790*$W$790</f>
        <v>47585.828649999996</v>
      </c>
      <c r="AD790" s="6">
        <f>$O$790*$X$790</f>
        <v>94855.584900000002</v>
      </c>
      <c r="AE790" s="6">
        <f>$K$790*$Y$790</f>
        <v>0</v>
      </c>
      <c r="AF790" s="6">
        <f ca="1">$M$790*$Z$790</f>
        <v>64022.278043788523</v>
      </c>
      <c r="AG790" s="6">
        <f>$O$790*$AA$790</f>
        <v>123429.33576531765</v>
      </c>
    </row>
    <row r="791" spans="1:33" ht="11.25" customHeight="1" x14ac:dyDescent="0.25">
      <c r="A791" s="4" t="s">
        <v>30</v>
      </c>
      <c r="B791" s="4" t="s">
        <v>41</v>
      </c>
      <c r="C791" s="4" t="s">
        <v>44</v>
      </c>
      <c r="D791" s="4" t="s">
        <v>48</v>
      </c>
      <c r="E791" s="4" t="s">
        <v>25</v>
      </c>
      <c r="F791" s="4" t="s">
        <v>25</v>
      </c>
      <c r="G791" s="4" t="s">
        <v>25</v>
      </c>
      <c r="H791" s="4" t="s">
        <v>37</v>
      </c>
      <c r="I791" s="5">
        <v>44621</v>
      </c>
      <c r="J791" s="6">
        <v>0</v>
      </c>
      <c r="K791" s="6">
        <v>0</v>
      </c>
      <c r="L791" s="6">
        <v>281.52600000000001</v>
      </c>
      <c r="M791" s="6">
        <v>281.52600000000001</v>
      </c>
      <c r="N791" s="6">
        <v>281.52600000000001</v>
      </c>
      <c r="O791" s="6">
        <v>281.52600000000001</v>
      </c>
      <c r="P791" s="6">
        <v>0</v>
      </c>
      <c r="Q791" s="4" t="s">
        <v>26</v>
      </c>
      <c r="R791" s="4">
        <v>0</v>
      </c>
      <c r="S791" s="6">
        <v>0</v>
      </c>
      <c r="T791" s="6">
        <v>29</v>
      </c>
      <c r="U791" s="6">
        <v>75</v>
      </c>
      <c r="V791" s="6">
        <f>IF(ISERROR(VLOOKUP($S$791,'TAR FIN'!$A$1:$O$115,15,0)),0,VLOOKUP($S$791,'TAR FIN'!$A$1:$O$115,15,0))</f>
        <v>0</v>
      </c>
      <c r="W791" s="6">
        <f>IF(ISERROR(VLOOKUP($T$791,'TAR FIN'!$A$1:$O$115,15,0)),0,VLOOKUP($T$791,'TAR FIN'!$A$1:$O$115,15,0))</f>
        <v>84.31</v>
      </c>
      <c r="X791" s="6">
        <f>IF(ISERROR(VLOOKUP($U$791,'TAR FIN'!$A$1:$O$115,15,0)),0,VLOOKUP($U$791,'TAR FIN'!$A$1:$O$115,15,0))</f>
        <v>168.06</v>
      </c>
      <c r="Y791" s="6"/>
      <c r="Z791" s="6">
        <f ca="1">('TUSD BE'!$AM$29+'TUSD BF'!$AM$29+'TUSD CVA'!$AM$29)*1</f>
        <v>113.43121292628391</v>
      </c>
      <c r="AA791" s="6">
        <f>('TE BE'!$AB$12+'TE BF'!$AB$12+'TE CVA'!$AB$12)*1</f>
        <v>218.6854278594964</v>
      </c>
      <c r="AB791" s="6">
        <f>$K$791*$V$791</f>
        <v>0</v>
      </c>
      <c r="AC791" s="6">
        <f>$M$791*$W$791</f>
        <v>23735.457060000001</v>
      </c>
      <c r="AD791" s="6">
        <f>$O$791*$X$791</f>
        <v>47313.259560000006</v>
      </c>
      <c r="AE791" s="6">
        <f>$K$791*$Y$791</f>
        <v>0</v>
      </c>
      <c r="AF791" s="6">
        <f ca="1">$M$791*$Z$791</f>
        <v>31933.835650285004</v>
      </c>
      <c r="AG791" s="6">
        <f>$O$791*$AA$791</f>
        <v>61565.633763572587</v>
      </c>
    </row>
    <row r="792" spans="1:33" ht="11.25" customHeight="1" x14ac:dyDescent="0.25">
      <c r="A792" s="4" t="s">
        <v>21</v>
      </c>
      <c r="B792" s="4" t="s">
        <v>41</v>
      </c>
      <c r="C792" s="4" t="s">
        <v>44</v>
      </c>
      <c r="D792" s="4" t="s">
        <v>48</v>
      </c>
      <c r="E792" s="4" t="s">
        <v>25</v>
      </c>
      <c r="F792" s="4" t="s">
        <v>25</v>
      </c>
      <c r="G792" s="4" t="s">
        <v>25</v>
      </c>
      <c r="H792" s="4" t="s">
        <v>37</v>
      </c>
      <c r="I792" s="5">
        <v>44652</v>
      </c>
      <c r="J792" s="6">
        <v>0</v>
      </c>
      <c r="K792" s="6">
        <v>0</v>
      </c>
      <c r="L792" s="6">
        <v>3180.962</v>
      </c>
      <c r="M792" s="6">
        <v>3180.962</v>
      </c>
      <c r="N792" s="6">
        <v>3180.962</v>
      </c>
      <c r="O792" s="6">
        <v>3180.962</v>
      </c>
      <c r="P792" s="6">
        <v>0</v>
      </c>
      <c r="Q792" s="4" t="s">
        <v>26</v>
      </c>
      <c r="R792" s="4">
        <v>0</v>
      </c>
      <c r="S792" s="6">
        <v>0</v>
      </c>
      <c r="T792" s="6">
        <v>29</v>
      </c>
      <c r="U792" s="6">
        <v>75</v>
      </c>
      <c r="V792" s="6">
        <f>IF(ISERROR(VLOOKUP($S$792,'TAR FIN'!$A$1:$O$115,15,0)),0,VLOOKUP($S$792,'TAR FIN'!$A$1:$O$115,15,0))</f>
        <v>0</v>
      </c>
      <c r="W792" s="6">
        <f>IF(ISERROR(VLOOKUP($T$792,'TAR FIN'!$A$1:$O$115,15,0)),0,VLOOKUP($T$792,'TAR FIN'!$A$1:$O$115,15,0))</f>
        <v>84.31</v>
      </c>
      <c r="X792" s="6">
        <f>IF(ISERROR(VLOOKUP($U$792,'TAR FIN'!$A$1:$O$115,15,0)),0,VLOOKUP($U$792,'TAR FIN'!$A$1:$O$115,15,0))</f>
        <v>168.06</v>
      </c>
      <c r="Y792" s="6"/>
      <c r="Z792" s="6">
        <f ca="1">('TUSD BE'!$AM$29+'TUSD BF'!$AM$29+'TUSD CVA'!$AM$29)*1</f>
        <v>113.43121292628391</v>
      </c>
      <c r="AA792" s="6">
        <f>('TE BE'!$AB$12+'TE BF'!$AB$12+'TE CVA'!$AB$12)*1</f>
        <v>218.6854278594964</v>
      </c>
      <c r="AB792" s="6">
        <f>$K$792*$V$792</f>
        <v>0</v>
      </c>
      <c r="AC792" s="6">
        <f>$M$792*$W$792</f>
        <v>268186.90622</v>
      </c>
      <c r="AD792" s="6">
        <f>$O$792*$X$792</f>
        <v>534592.47372000001</v>
      </c>
      <c r="AE792" s="6">
        <f>$K$792*$Y$792</f>
        <v>0</v>
      </c>
      <c r="AF792" s="6">
        <f ca="1">$M$792*$Z$792</f>
        <v>360820.3779324179</v>
      </c>
      <c r="AG792" s="6">
        <f>$O$792*$AA$792</f>
        <v>695630.03597479942</v>
      </c>
    </row>
    <row r="793" spans="1:33" ht="11.25" customHeight="1" x14ac:dyDescent="0.25">
      <c r="A793" s="4" t="s">
        <v>28</v>
      </c>
      <c r="B793" s="4" t="s">
        <v>41</v>
      </c>
      <c r="C793" s="4" t="s">
        <v>44</v>
      </c>
      <c r="D793" s="4" t="s">
        <v>48</v>
      </c>
      <c r="E793" s="4" t="s">
        <v>25</v>
      </c>
      <c r="F793" s="4" t="s">
        <v>25</v>
      </c>
      <c r="G793" s="4" t="s">
        <v>25</v>
      </c>
      <c r="H793" s="4" t="s">
        <v>37</v>
      </c>
      <c r="I793" s="5">
        <v>44652</v>
      </c>
      <c r="J793" s="6">
        <v>0</v>
      </c>
      <c r="K793" s="6">
        <v>0</v>
      </c>
      <c r="L793" s="6">
        <v>625.65</v>
      </c>
      <c r="M793" s="6">
        <v>625.65</v>
      </c>
      <c r="N793" s="6">
        <v>625.65</v>
      </c>
      <c r="O793" s="6">
        <v>625.65</v>
      </c>
      <c r="P793" s="6">
        <v>0</v>
      </c>
      <c r="Q793" s="4" t="s">
        <v>26</v>
      </c>
      <c r="R793" s="4">
        <v>0</v>
      </c>
      <c r="S793" s="6">
        <v>0</v>
      </c>
      <c r="T793" s="6">
        <v>29</v>
      </c>
      <c r="U793" s="6">
        <v>75</v>
      </c>
      <c r="V793" s="6">
        <f>IF(ISERROR(VLOOKUP($S$793,'TAR FIN'!$A$1:$O$115,15,0)),0,VLOOKUP($S$793,'TAR FIN'!$A$1:$O$115,15,0))</f>
        <v>0</v>
      </c>
      <c r="W793" s="6">
        <f>IF(ISERROR(VLOOKUP($T$793,'TAR FIN'!$A$1:$O$115,15,0)),0,VLOOKUP($T$793,'TAR FIN'!$A$1:$O$115,15,0))</f>
        <v>84.31</v>
      </c>
      <c r="X793" s="6">
        <f>IF(ISERROR(VLOOKUP($U$793,'TAR FIN'!$A$1:$O$115,15,0)),0,VLOOKUP($U$793,'TAR FIN'!$A$1:$O$115,15,0))</f>
        <v>168.06</v>
      </c>
      <c r="Y793" s="6"/>
      <c r="Z793" s="6">
        <f ca="1">('TUSD BE'!$AM$29+'TUSD BF'!$AM$29+'TUSD CVA'!$AM$29)*1</f>
        <v>113.43121292628391</v>
      </c>
      <c r="AA793" s="6">
        <f>('TE BE'!$AB$12+'TE BF'!$AB$12+'TE CVA'!$AB$12)*1</f>
        <v>218.6854278594964</v>
      </c>
      <c r="AB793" s="6">
        <f>$K$793*$V$793</f>
        <v>0</v>
      </c>
      <c r="AC793" s="6">
        <f>$M$793*$W$793</f>
        <v>52748.551500000001</v>
      </c>
      <c r="AD793" s="6">
        <f>$O$793*$X$793</f>
        <v>105146.739</v>
      </c>
      <c r="AE793" s="6">
        <f>$K$793*$Y$793</f>
        <v>0</v>
      </c>
      <c r="AF793" s="6">
        <f ca="1">$M$793*$Z$793</f>
        <v>70968.238367329526</v>
      </c>
      <c r="AG793" s="6">
        <f>$O$793*$AA$793</f>
        <v>136820.53794029393</v>
      </c>
    </row>
    <row r="794" spans="1:33" ht="11.25" customHeight="1" x14ac:dyDescent="0.25">
      <c r="A794" s="4" t="s">
        <v>30</v>
      </c>
      <c r="B794" s="4" t="s">
        <v>41</v>
      </c>
      <c r="C794" s="4" t="s">
        <v>44</v>
      </c>
      <c r="D794" s="4" t="s">
        <v>48</v>
      </c>
      <c r="E794" s="4" t="s">
        <v>25</v>
      </c>
      <c r="F794" s="4" t="s">
        <v>25</v>
      </c>
      <c r="G794" s="4" t="s">
        <v>25</v>
      </c>
      <c r="H794" s="4" t="s">
        <v>37</v>
      </c>
      <c r="I794" s="5">
        <v>44652</v>
      </c>
      <c r="J794" s="6">
        <v>0</v>
      </c>
      <c r="K794" s="6">
        <v>0</v>
      </c>
      <c r="L794" s="6">
        <v>343.25599999999997</v>
      </c>
      <c r="M794" s="6">
        <v>343.25599999999997</v>
      </c>
      <c r="N794" s="6">
        <v>343.25599999999997</v>
      </c>
      <c r="O794" s="6">
        <v>343.25599999999997</v>
      </c>
      <c r="P794" s="6">
        <v>0</v>
      </c>
      <c r="Q794" s="4" t="s">
        <v>26</v>
      </c>
      <c r="R794" s="4">
        <v>0</v>
      </c>
      <c r="S794" s="6">
        <v>0</v>
      </c>
      <c r="T794" s="6">
        <v>29</v>
      </c>
      <c r="U794" s="6">
        <v>75</v>
      </c>
      <c r="V794" s="6">
        <f>IF(ISERROR(VLOOKUP($S$794,'TAR FIN'!$A$1:$O$115,15,0)),0,VLOOKUP($S$794,'TAR FIN'!$A$1:$O$115,15,0))</f>
        <v>0</v>
      </c>
      <c r="W794" s="6">
        <f>IF(ISERROR(VLOOKUP($T$794,'TAR FIN'!$A$1:$O$115,15,0)),0,VLOOKUP($T$794,'TAR FIN'!$A$1:$O$115,15,0))</f>
        <v>84.31</v>
      </c>
      <c r="X794" s="6">
        <f>IF(ISERROR(VLOOKUP($U$794,'TAR FIN'!$A$1:$O$115,15,0)),0,VLOOKUP($U$794,'TAR FIN'!$A$1:$O$115,15,0))</f>
        <v>168.06</v>
      </c>
      <c r="Y794" s="6"/>
      <c r="Z794" s="6">
        <f ca="1">('TUSD BE'!$AM$29+'TUSD BF'!$AM$29+'TUSD CVA'!$AM$29)*1</f>
        <v>113.43121292628391</v>
      </c>
      <c r="AA794" s="6">
        <f>('TE BE'!$AB$12+'TE BF'!$AB$12+'TE CVA'!$AB$12)*1</f>
        <v>218.6854278594964</v>
      </c>
      <c r="AB794" s="6">
        <f>$K$794*$V$794</f>
        <v>0</v>
      </c>
      <c r="AC794" s="6">
        <f>$M$794*$W$794</f>
        <v>28939.913359999999</v>
      </c>
      <c r="AD794" s="6">
        <f>$O$794*$X$794</f>
        <v>57687.603359999994</v>
      </c>
      <c r="AE794" s="6">
        <f>$K$794*$Y$794</f>
        <v>0</v>
      </c>
      <c r="AF794" s="6">
        <f ca="1">$M$794*$Z$794</f>
        <v>38935.944424224508</v>
      </c>
      <c r="AG794" s="6">
        <f>$O$794*$AA$794</f>
        <v>75065.085225339295</v>
      </c>
    </row>
    <row r="795" spans="1:33" ht="11.25" customHeight="1" x14ac:dyDescent="0.25">
      <c r="A795" s="4" t="s">
        <v>21</v>
      </c>
      <c r="B795" s="4" t="s">
        <v>41</v>
      </c>
      <c r="C795" s="4" t="s">
        <v>44</v>
      </c>
      <c r="D795" s="4" t="s">
        <v>48</v>
      </c>
      <c r="E795" s="4" t="s">
        <v>25</v>
      </c>
      <c r="F795" s="4" t="s">
        <v>25</v>
      </c>
      <c r="G795" s="4" t="s">
        <v>25</v>
      </c>
      <c r="H795" s="4" t="s">
        <v>37</v>
      </c>
      <c r="I795" s="5">
        <v>44682</v>
      </c>
      <c r="J795" s="6">
        <v>0</v>
      </c>
      <c r="K795" s="6">
        <v>0</v>
      </c>
      <c r="L795" s="6">
        <v>3566.4270000000001</v>
      </c>
      <c r="M795" s="6">
        <v>3566.4270000000001</v>
      </c>
      <c r="N795" s="6">
        <v>3566.4270000000001</v>
      </c>
      <c r="O795" s="6">
        <v>3566.4270000000001</v>
      </c>
      <c r="P795" s="6">
        <v>0</v>
      </c>
      <c r="Q795" s="4" t="s">
        <v>26</v>
      </c>
      <c r="R795" s="4">
        <v>0</v>
      </c>
      <c r="S795" s="6">
        <v>0</v>
      </c>
      <c r="T795" s="6">
        <v>29</v>
      </c>
      <c r="U795" s="6">
        <v>75</v>
      </c>
      <c r="V795" s="6">
        <f>IF(ISERROR(VLOOKUP($S$795,'TAR FIN'!$A$1:$O$115,15,0)),0,VLOOKUP($S$795,'TAR FIN'!$A$1:$O$115,15,0))</f>
        <v>0</v>
      </c>
      <c r="W795" s="6">
        <f>IF(ISERROR(VLOOKUP($T$795,'TAR FIN'!$A$1:$O$115,15,0)),0,VLOOKUP($T$795,'TAR FIN'!$A$1:$O$115,15,0))</f>
        <v>84.31</v>
      </c>
      <c r="X795" s="6">
        <f>IF(ISERROR(VLOOKUP($U$795,'TAR FIN'!$A$1:$O$115,15,0)),0,VLOOKUP($U$795,'TAR FIN'!$A$1:$O$115,15,0))</f>
        <v>168.06</v>
      </c>
      <c r="Y795" s="6"/>
      <c r="Z795" s="6">
        <f ca="1">('TUSD BE'!$AM$29+'TUSD BF'!$AM$29+'TUSD CVA'!$AM$29)*1</f>
        <v>113.43121292628391</v>
      </c>
      <c r="AA795" s="6">
        <f>('TE BE'!$AB$12+'TE BF'!$AB$12+'TE CVA'!$AB$12)*1</f>
        <v>218.6854278594964</v>
      </c>
      <c r="AB795" s="6">
        <f>$K$795*$V$795</f>
        <v>0</v>
      </c>
      <c r="AC795" s="6">
        <f>$M$795*$W$795</f>
        <v>300685.46037000004</v>
      </c>
      <c r="AD795" s="6">
        <f>$O$795*$X$795</f>
        <v>599373.72162000008</v>
      </c>
      <c r="AE795" s="6">
        <f>$K$795*$Y$795</f>
        <v>0</v>
      </c>
      <c r="AF795" s="6">
        <f ca="1">$M$795*$Z$795</f>
        <v>404544.14042304794</v>
      </c>
      <c r="AG795" s="6">
        <f>$O$795*$AA$795</f>
        <v>779925.61442466022</v>
      </c>
    </row>
    <row r="796" spans="1:33" ht="11.25" customHeight="1" x14ac:dyDescent="0.25">
      <c r="A796" s="4" t="s">
        <v>28</v>
      </c>
      <c r="B796" s="4" t="s">
        <v>41</v>
      </c>
      <c r="C796" s="4" t="s">
        <v>44</v>
      </c>
      <c r="D796" s="4" t="s">
        <v>48</v>
      </c>
      <c r="E796" s="4" t="s">
        <v>25</v>
      </c>
      <c r="F796" s="4" t="s">
        <v>25</v>
      </c>
      <c r="G796" s="4" t="s">
        <v>25</v>
      </c>
      <c r="H796" s="4" t="s">
        <v>37</v>
      </c>
      <c r="I796" s="5">
        <v>44682</v>
      </c>
      <c r="J796" s="6">
        <v>0</v>
      </c>
      <c r="K796" s="6">
        <v>0</v>
      </c>
      <c r="L796" s="6">
        <v>718.1</v>
      </c>
      <c r="M796" s="6">
        <v>718.1</v>
      </c>
      <c r="N796" s="6">
        <v>718.1</v>
      </c>
      <c r="O796" s="6">
        <v>718.1</v>
      </c>
      <c r="P796" s="6">
        <v>0</v>
      </c>
      <c r="Q796" s="4" t="s">
        <v>26</v>
      </c>
      <c r="R796" s="4">
        <v>0</v>
      </c>
      <c r="S796" s="6">
        <v>0</v>
      </c>
      <c r="T796" s="6">
        <v>29</v>
      </c>
      <c r="U796" s="6">
        <v>75</v>
      </c>
      <c r="V796" s="6">
        <f>IF(ISERROR(VLOOKUP($S$796,'TAR FIN'!$A$1:$O$115,15,0)),0,VLOOKUP($S$796,'TAR FIN'!$A$1:$O$115,15,0))</f>
        <v>0</v>
      </c>
      <c r="W796" s="6">
        <f>IF(ISERROR(VLOOKUP($T$796,'TAR FIN'!$A$1:$O$115,15,0)),0,VLOOKUP($T$796,'TAR FIN'!$A$1:$O$115,15,0))</f>
        <v>84.31</v>
      </c>
      <c r="X796" s="6">
        <f>IF(ISERROR(VLOOKUP($U$796,'TAR FIN'!$A$1:$O$115,15,0)),0,VLOOKUP($U$796,'TAR FIN'!$A$1:$O$115,15,0))</f>
        <v>168.06</v>
      </c>
      <c r="Y796" s="6"/>
      <c r="Z796" s="6">
        <f ca="1">('TUSD BE'!$AM$29+'TUSD BF'!$AM$29+'TUSD CVA'!$AM$29)*1</f>
        <v>113.43121292628391</v>
      </c>
      <c r="AA796" s="6">
        <f>('TE BE'!$AB$12+'TE BF'!$AB$12+'TE CVA'!$AB$12)*1</f>
        <v>218.6854278594964</v>
      </c>
      <c r="AB796" s="6">
        <f>$K$796*$V$796</f>
        <v>0</v>
      </c>
      <c r="AC796" s="6">
        <f>$M$796*$W$796</f>
        <v>60543.011000000006</v>
      </c>
      <c r="AD796" s="6">
        <f>$O$796*$X$796</f>
        <v>120683.886</v>
      </c>
      <c r="AE796" s="6">
        <f>$K$796*$Y$796</f>
        <v>0</v>
      </c>
      <c r="AF796" s="6">
        <f ca="1">$M$796*$Z$796</f>
        <v>81454.95400236448</v>
      </c>
      <c r="AG796" s="6">
        <f>$O$796*$AA$796</f>
        <v>157038.00574590437</v>
      </c>
    </row>
    <row r="797" spans="1:33" ht="11.25" customHeight="1" x14ac:dyDescent="0.25">
      <c r="A797" s="4" t="s">
        <v>30</v>
      </c>
      <c r="B797" s="4" t="s">
        <v>41</v>
      </c>
      <c r="C797" s="4" t="s">
        <v>44</v>
      </c>
      <c r="D797" s="4" t="s">
        <v>48</v>
      </c>
      <c r="E797" s="4" t="s">
        <v>25</v>
      </c>
      <c r="F797" s="4" t="s">
        <v>25</v>
      </c>
      <c r="G797" s="4" t="s">
        <v>25</v>
      </c>
      <c r="H797" s="4" t="s">
        <v>37</v>
      </c>
      <c r="I797" s="5">
        <v>44682</v>
      </c>
      <c r="J797" s="6">
        <v>0</v>
      </c>
      <c r="K797" s="6">
        <v>0</v>
      </c>
      <c r="L797" s="6">
        <v>363.03500000000003</v>
      </c>
      <c r="M797" s="6">
        <v>363.03500000000003</v>
      </c>
      <c r="N797" s="6">
        <v>363.03500000000003</v>
      </c>
      <c r="O797" s="6">
        <v>363.03500000000003</v>
      </c>
      <c r="P797" s="6">
        <v>0</v>
      </c>
      <c r="Q797" s="4" t="s">
        <v>26</v>
      </c>
      <c r="R797" s="4">
        <v>0</v>
      </c>
      <c r="S797" s="6">
        <v>0</v>
      </c>
      <c r="T797" s="6">
        <v>29</v>
      </c>
      <c r="U797" s="6">
        <v>75</v>
      </c>
      <c r="V797" s="6">
        <f>IF(ISERROR(VLOOKUP($S$797,'TAR FIN'!$A$1:$O$115,15,0)),0,VLOOKUP($S$797,'TAR FIN'!$A$1:$O$115,15,0))</f>
        <v>0</v>
      </c>
      <c r="W797" s="6">
        <f>IF(ISERROR(VLOOKUP($T$797,'TAR FIN'!$A$1:$O$115,15,0)),0,VLOOKUP($T$797,'TAR FIN'!$A$1:$O$115,15,0))</f>
        <v>84.31</v>
      </c>
      <c r="X797" s="6">
        <f>IF(ISERROR(VLOOKUP($U$797,'TAR FIN'!$A$1:$O$115,15,0)),0,VLOOKUP($U$797,'TAR FIN'!$A$1:$O$115,15,0))</f>
        <v>168.06</v>
      </c>
      <c r="Y797" s="6"/>
      <c r="Z797" s="6">
        <f ca="1">('TUSD BE'!$AM$29+'TUSD BF'!$AM$29+'TUSD CVA'!$AM$29)*1</f>
        <v>113.43121292628391</v>
      </c>
      <c r="AA797" s="6">
        <f>('TE BE'!$AB$12+'TE BF'!$AB$12+'TE CVA'!$AB$12)*1</f>
        <v>218.6854278594964</v>
      </c>
      <c r="AB797" s="6">
        <f>$K$797*$V$797</f>
        <v>0</v>
      </c>
      <c r="AC797" s="6">
        <f>$M$797*$W$797</f>
        <v>30607.480850000004</v>
      </c>
      <c r="AD797" s="6">
        <f>$O$797*$X$797</f>
        <v>61011.662100000009</v>
      </c>
      <c r="AE797" s="6">
        <f>$K$797*$Y$797</f>
        <v>0</v>
      </c>
      <c r="AF797" s="6">
        <f ca="1">$M$797*$Z$797</f>
        <v>41179.500384693478</v>
      </c>
      <c r="AG797" s="6">
        <f>$O$797*$AA$797</f>
        <v>79390.464302972279</v>
      </c>
    </row>
    <row r="798" spans="1:33" ht="11.25" customHeight="1" x14ac:dyDescent="0.25">
      <c r="A798" s="4" t="s">
        <v>21</v>
      </c>
      <c r="B798" s="4" t="s">
        <v>41</v>
      </c>
      <c r="C798" s="4" t="s">
        <v>44</v>
      </c>
      <c r="D798" s="4" t="s">
        <v>48</v>
      </c>
      <c r="E798" s="4" t="s">
        <v>25</v>
      </c>
      <c r="F798" s="4" t="s">
        <v>25</v>
      </c>
      <c r="G798" s="4" t="s">
        <v>25</v>
      </c>
      <c r="H798" s="4" t="s">
        <v>37</v>
      </c>
      <c r="I798" s="5">
        <v>44713</v>
      </c>
      <c r="J798" s="6">
        <v>0</v>
      </c>
      <c r="K798" s="6">
        <v>0</v>
      </c>
      <c r="L798" s="6">
        <v>3645.8620000000001</v>
      </c>
      <c r="M798" s="6">
        <v>3645.8620000000001</v>
      </c>
      <c r="N798" s="6">
        <v>3645.8620000000001</v>
      </c>
      <c r="O798" s="6">
        <v>3645.8620000000001</v>
      </c>
      <c r="P798" s="6">
        <v>0</v>
      </c>
      <c r="Q798" s="4" t="s">
        <v>26</v>
      </c>
      <c r="R798" s="4">
        <v>0</v>
      </c>
      <c r="S798" s="6">
        <v>0</v>
      </c>
      <c r="T798" s="6">
        <v>29</v>
      </c>
      <c r="U798" s="6">
        <v>75</v>
      </c>
      <c r="V798" s="6">
        <f>IF(ISERROR(VLOOKUP($S$798,'TAR FIN'!$A$1:$O$115,15,0)),0,VLOOKUP($S$798,'TAR FIN'!$A$1:$O$115,15,0))</f>
        <v>0</v>
      </c>
      <c r="W798" s="6">
        <f>IF(ISERROR(VLOOKUP($T$798,'TAR FIN'!$A$1:$O$115,15,0)),0,VLOOKUP($T$798,'TAR FIN'!$A$1:$O$115,15,0))</f>
        <v>84.31</v>
      </c>
      <c r="X798" s="6">
        <f>IF(ISERROR(VLOOKUP($U$798,'TAR FIN'!$A$1:$O$115,15,0)),0,VLOOKUP($U$798,'TAR FIN'!$A$1:$O$115,15,0))</f>
        <v>168.06</v>
      </c>
      <c r="Y798" s="6"/>
      <c r="Z798" s="6">
        <f ca="1">('TUSD BE'!$AM$29+'TUSD BF'!$AM$29+'TUSD CVA'!$AM$29)*1</f>
        <v>113.43121292628391</v>
      </c>
      <c r="AA798" s="6">
        <f>('TE BE'!$AB$12+'TE BF'!$AB$12+'TE CVA'!$AB$12)*1</f>
        <v>218.6854278594964</v>
      </c>
      <c r="AB798" s="6">
        <f>$K$798*$V$798</f>
        <v>0</v>
      </c>
      <c r="AC798" s="6">
        <f>$M$798*$W$798</f>
        <v>307382.62521999999</v>
      </c>
      <c r="AD798" s="6">
        <f>$O$798*$X$798</f>
        <v>612723.56772000005</v>
      </c>
      <c r="AE798" s="6">
        <f>$K$798*$Y$798</f>
        <v>0</v>
      </c>
      <c r="AF798" s="6">
        <f ca="1">$M$798*$Z$798</f>
        <v>413554.5488218473</v>
      </c>
      <c r="AG798" s="6">
        <f>$O$798*$AA$798</f>
        <v>797296.89138667926</v>
      </c>
    </row>
    <row r="799" spans="1:33" ht="11.25" customHeight="1" x14ac:dyDescent="0.25">
      <c r="A799" s="4" t="s">
        <v>28</v>
      </c>
      <c r="B799" s="4" t="s">
        <v>41</v>
      </c>
      <c r="C799" s="4" t="s">
        <v>44</v>
      </c>
      <c r="D799" s="4" t="s">
        <v>48</v>
      </c>
      <c r="E799" s="4" t="s">
        <v>25</v>
      </c>
      <c r="F799" s="4" t="s">
        <v>25</v>
      </c>
      <c r="G799" s="4" t="s">
        <v>25</v>
      </c>
      <c r="H799" s="4" t="s">
        <v>37</v>
      </c>
      <c r="I799" s="5">
        <v>44713</v>
      </c>
      <c r="J799" s="6">
        <v>0</v>
      </c>
      <c r="K799" s="6">
        <v>0</v>
      </c>
      <c r="L799" s="6">
        <v>751.67399999999998</v>
      </c>
      <c r="M799" s="6">
        <v>751.67399999999998</v>
      </c>
      <c r="N799" s="6">
        <v>751.67399999999998</v>
      </c>
      <c r="O799" s="6">
        <v>751.67399999999998</v>
      </c>
      <c r="P799" s="6">
        <v>0</v>
      </c>
      <c r="Q799" s="4" t="s">
        <v>26</v>
      </c>
      <c r="R799" s="4">
        <v>0</v>
      </c>
      <c r="S799" s="6">
        <v>0</v>
      </c>
      <c r="T799" s="6">
        <v>29</v>
      </c>
      <c r="U799" s="6">
        <v>75</v>
      </c>
      <c r="V799" s="6">
        <f>IF(ISERROR(VLOOKUP($S$799,'TAR FIN'!$A$1:$O$115,15,0)),0,VLOOKUP($S$799,'TAR FIN'!$A$1:$O$115,15,0))</f>
        <v>0</v>
      </c>
      <c r="W799" s="6">
        <f>IF(ISERROR(VLOOKUP($T$799,'TAR FIN'!$A$1:$O$115,15,0)),0,VLOOKUP($T$799,'TAR FIN'!$A$1:$O$115,15,0))</f>
        <v>84.31</v>
      </c>
      <c r="X799" s="6">
        <f>IF(ISERROR(VLOOKUP($U$799,'TAR FIN'!$A$1:$O$115,15,0)),0,VLOOKUP($U$799,'TAR FIN'!$A$1:$O$115,15,0))</f>
        <v>168.06</v>
      </c>
      <c r="Y799" s="6"/>
      <c r="Z799" s="6">
        <f ca="1">('TUSD BE'!$AM$29+'TUSD BF'!$AM$29+'TUSD CVA'!$AM$29)*1</f>
        <v>113.43121292628391</v>
      </c>
      <c r="AA799" s="6">
        <f>('TE BE'!$AB$12+'TE BF'!$AB$12+'TE CVA'!$AB$12)*1</f>
        <v>218.6854278594964</v>
      </c>
      <c r="AB799" s="6">
        <f>$K$799*$V$799</f>
        <v>0</v>
      </c>
      <c r="AC799" s="6">
        <f>$M$799*$W$799</f>
        <v>63373.634939999996</v>
      </c>
      <c r="AD799" s="6">
        <f>$O$799*$X$799</f>
        <v>126326.33244</v>
      </c>
      <c r="AE799" s="6">
        <f>$K$799*$Y$799</f>
        <v>0</v>
      </c>
      <c r="AF799" s="6">
        <f ca="1">$M$799*$Z$799</f>
        <v>85263.293545151522</v>
      </c>
      <c r="AG799" s="6">
        <f>$O$799*$AA$799</f>
        <v>164380.1503008591</v>
      </c>
    </row>
    <row r="800" spans="1:33" ht="11.25" customHeight="1" x14ac:dyDescent="0.25">
      <c r="A800" s="4" t="s">
        <v>30</v>
      </c>
      <c r="B800" s="4" t="s">
        <v>41</v>
      </c>
      <c r="C800" s="4" t="s">
        <v>44</v>
      </c>
      <c r="D800" s="4" t="s">
        <v>48</v>
      </c>
      <c r="E800" s="4" t="s">
        <v>25</v>
      </c>
      <c r="F800" s="4" t="s">
        <v>25</v>
      </c>
      <c r="G800" s="4" t="s">
        <v>25</v>
      </c>
      <c r="H800" s="4" t="s">
        <v>37</v>
      </c>
      <c r="I800" s="5">
        <v>44713</v>
      </c>
      <c r="J800" s="6">
        <v>0</v>
      </c>
      <c r="K800" s="6">
        <v>0</v>
      </c>
      <c r="L800" s="6">
        <v>285.596</v>
      </c>
      <c r="M800" s="6">
        <v>285.596</v>
      </c>
      <c r="N800" s="6">
        <v>285.596</v>
      </c>
      <c r="O800" s="6">
        <v>285.596</v>
      </c>
      <c r="P800" s="6">
        <v>0</v>
      </c>
      <c r="Q800" s="4" t="s">
        <v>26</v>
      </c>
      <c r="R800" s="4">
        <v>0</v>
      </c>
      <c r="S800" s="6">
        <v>0</v>
      </c>
      <c r="T800" s="6">
        <v>29</v>
      </c>
      <c r="U800" s="6">
        <v>75</v>
      </c>
      <c r="V800" s="6">
        <f>IF(ISERROR(VLOOKUP($S$800,'TAR FIN'!$A$1:$O$115,15,0)),0,VLOOKUP($S$800,'TAR FIN'!$A$1:$O$115,15,0))</f>
        <v>0</v>
      </c>
      <c r="W800" s="6">
        <f>IF(ISERROR(VLOOKUP($T$800,'TAR FIN'!$A$1:$O$115,15,0)),0,VLOOKUP($T$800,'TAR FIN'!$A$1:$O$115,15,0))</f>
        <v>84.31</v>
      </c>
      <c r="X800" s="6">
        <f>IF(ISERROR(VLOOKUP($U$800,'TAR FIN'!$A$1:$O$115,15,0)),0,VLOOKUP($U$800,'TAR FIN'!$A$1:$O$115,15,0))</f>
        <v>168.06</v>
      </c>
      <c r="Y800" s="6"/>
      <c r="Z800" s="6">
        <f ca="1">('TUSD BE'!$AM$29+'TUSD BF'!$AM$29+'TUSD CVA'!$AM$29)*1</f>
        <v>113.43121292628391</v>
      </c>
      <c r="AA800" s="6">
        <f>('TE BE'!$AB$12+'TE BF'!$AB$12+'TE CVA'!$AB$12)*1</f>
        <v>218.6854278594964</v>
      </c>
      <c r="AB800" s="6">
        <f>$K$800*$V$800</f>
        <v>0</v>
      </c>
      <c r="AC800" s="6">
        <f>$M$800*$W$800</f>
        <v>24078.598760000001</v>
      </c>
      <c r="AD800" s="6">
        <f>$O$800*$X$800</f>
        <v>47997.263760000002</v>
      </c>
      <c r="AE800" s="6">
        <f>$K$800*$Y$800</f>
        <v>0</v>
      </c>
      <c r="AF800" s="6">
        <f ca="1">$M$800*$Z$800</f>
        <v>32395.500686894979</v>
      </c>
      <c r="AG800" s="6">
        <f>$O$800*$AA$800</f>
        <v>62455.683454960737</v>
      </c>
    </row>
    <row r="801" spans="1:33" ht="11.25" customHeight="1" x14ac:dyDescent="0.25">
      <c r="A801" s="4" t="s">
        <v>21</v>
      </c>
      <c r="B801" s="4" t="s">
        <v>41</v>
      </c>
      <c r="C801" s="4" t="s">
        <v>44</v>
      </c>
      <c r="D801" s="4" t="s">
        <v>48</v>
      </c>
      <c r="E801" s="4" t="s">
        <v>25</v>
      </c>
      <c r="F801" s="4" t="s">
        <v>25</v>
      </c>
      <c r="G801" s="4" t="s">
        <v>25</v>
      </c>
      <c r="H801" s="4" t="s">
        <v>37</v>
      </c>
      <c r="I801" s="5">
        <v>44743</v>
      </c>
      <c r="J801" s="6">
        <v>0</v>
      </c>
      <c r="K801" s="6">
        <v>0</v>
      </c>
      <c r="L801" s="6">
        <v>3821.047</v>
      </c>
      <c r="M801" s="6">
        <v>3821.047</v>
      </c>
      <c r="N801" s="6">
        <v>3821.047</v>
      </c>
      <c r="O801" s="6">
        <v>3821.047</v>
      </c>
      <c r="P801" s="6">
        <v>0</v>
      </c>
      <c r="Q801" s="4" t="s">
        <v>26</v>
      </c>
      <c r="R801" s="4">
        <v>0</v>
      </c>
      <c r="S801" s="6">
        <v>0</v>
      </c>
      <c r="T801" s="6">
        <v>29</v>
      </c>
      <c r="U801" s="6">
        <v>75</v>
      </c>
      <c r="V801" s="6">
        <f>IF(ISERROR(VLOOKUP($S$801,'TAR FIN'!$A$1:$O$115,15,0)),0,VLOOKUP($S$801,'TAR FIN'!$A$1:$O$115,15,0))</f>
        <v>0</v>
      </c>
      <c r="W801" s="6">
        <f>IF(ISERROR(VLOOKUP($T$801,'TAR FIN'!$A$1:$O$115,15,0)),0,VLOOKUP($T$801,'TAR FIN'!$A$1:$O$115,15,0))</f>
        <v>84.31</v>
      </c>
      <c r="X801" s="6">
        <f>IF(ISERROR(VLOOKUP($U$801,'TAR FIN'!$A$1:$O$115,15,0)),0,VLOOKUP($U$801,'TAR FIN'!$A$1:$O$115,15,0))</f>
        <v>168.06</v>
      </c>
      <c r="Y801" s="6"/>
      <c r="Z801" s="6">
        <f ca="1">('TUSD BE'!$AM$29+'TUSD BF'!$AM$29+'TUSD CVA'!$AM$29)*1</f>
        <v>113.43121292628391</v>
      </c>
      <c r="AA801" s="6">
        <f>('TE BE'!$AB$12+'TE BF'!$AB$12+'TE CVA'!$AB$12)*1</f>
        <v>218.6854278594964</v>
      </c>
      <c r="AB801" s="6">
        <f>$K$801*$V$801</f>
        <v>0</v>
      </c>
      <c r="AC801" s="6">
        <f>$M$801*$W$801</f>
        <v>322152.47256999998</v>
      </c>
      <c r="AD801" s="6">
        <f>$O$801*$X$801</f>
        <v>642165.15882000001</v>
      </c>
      <c r="AE801" s="6">
        <f>$K$801*$Y$801</f>
        <v>0</v>
      </c>
      <c r="AF801" s="6">
        <f ca="1">$M$801*$Z$801</f>
        <v>433425.99585833831</v>
      </c>
      <c r="AG801" s="6">
        <f>$O$801*$AA$801</f>
        <v>835607.29806624516</v>
      </c>
    </row>
    <row r="802" spans="1:33" ht="11.25" customHeight="1" x14ac:dyDescent="0.25">
      <c r="A802" s="4" t="s">
        <v>28</v>
      </c>
      <c r="B802" s="4" t="s">
        <v>41</v>
      </c>
      <c r="C802" s="4" t="s">
        <v>44</v>
      </c>
      <c r="D802" s="4" t="s">
        <v>48</v>
      </c>
      <c r="E802" s="4" t="s">
        <v>25</v>
      </c>
      <c r="F802" s="4" t="s">
        <v>25</v>
      </c>
      <c r="G802" s="4" t="s">
        <v>25</v>
      </c>
      <c r="H802" s="4" t="s">
        <v>37</v>
      </c>
      <c r="I802" s="5">
        <v>44743</v>
      </c>
      <c r="J802" s="6">
        <v>0</v>
      </c>
      <c r="K802" s="6">
        <v>0</v>
      </c>
      <c r="L802" s="6">
        <v>780.7</v>
      </c>
      <c r="M802" s="6">
        <v>780.7</v>
      </c>
      <c r="N802" s="6">
        <v>780.7</v>
      </c>
      <c r="O802" s="6">
        <v>780.7</v>
      </c>
      <c r="P802" s="6">
        <v>0</v>
      </c>
      <c r="Q802" s="4" t="s">
        <v>26</v>
      </c>
      <c r="R802" s="4">
        <v>0</v>
      </c>
      <c r="S802" s="6">
        <v>0</v>
      </c>
      <c r="T802" s="6">
        <v>29</v>
      </c>
      <c r="U802" s="6">
        <v>75</v>
      </c>
      <c r="V802" s="6">
        <f>IF(ISERROR(VLOOKUP($S$802,'TAR FIN'!$A$1:$O$115,15,0)),0,VLOOKUP($S$802,'TAR FIN'!$A$1:$O$115,15,0))</f>
        <v>0</v>
      </c>
      <c r="W802" s="6">
        <f>IF(ISERROR(VLOOKUP($T$802,'TAR FIN'!$A$1:$O$115,15,0)),0,VLOOKUP($T$802,'TAR FIN'!$A$1:$O$115,15,0))</f>
        <v>84.31</v>
      </c>
      <c r="X802" s="6">
        <f>IF(ISERROR(VLOOKUP($U$802,'TAR FIN'!$A$1:$O$115,15,0)),0,VLOOKUP($U$802,'TAR FIN'!$A$1:$O$115,15,0))</f>
        <v>168.06</v>
      </c>
      <c r="Y802" s="6"/>
      <c r="Z802" s="6">
        <f ca="1">('TUSD BE'!$AM$29+'TUSD BF'!$AM$29+'TUSD CVA'!$AM$29)*1</f>
        <v>113.43121292628391</v>
      </c>
      <c r="AA802" s="6">
        <f>('TE BE'!$AB$12+'TE BF'!$AB$12+'TE CVA'!$AB$12)*1</f>
        <v>218.6854278594964</v>
      </c>
      <c r="AB802" s="6">
        <f>$K$802*$V$802</f>
        <v>0</v>
      </c>
      <c r="AC802" s="6">
        <f>$M$802*$W$802</f>
        <v>65820.81700000001</v>
      </c>
      <c r="AD802" s="6">
        <f>$O$802*$X$802</f>
        <v>131204.44200000001</v>
      </c>
      <c r="AE802" s="6">
        <f>$K$802*$Y$802</f>
        <v>0</v>
      </c>
      <c r="AF802" s="6">
        <f ca="1">$M$802*$Z$802</f>
        <v>88555.747931549849</v>
      </c>
      <c r="AG802" s="6">
        <f>$O$802*$AA$802</f>
        <v>170727.71352990885</v>
      </c>
    </row>
    <row r="803" spans="1:33" ht="11.25" customHeight="1" x14ac:dyDescent="0.25">
      <c r="A803" s="4" t="s">
        <v>30</v>
      </c>
      <c r="B803" s="4" t="s">
        <v>41</v>
      </c>
      <c r="C803" s="4" t="s">
        <v>44</v>
      </c>
      <c r="D803" s="4" t="s">
        <v>48</v>
      </c>
      <c r="E803" s="4" t="s">
        <v>25</v>
      </c>
      <c r="F803" s="4" t="s">
        <v>25</v>
      </c>
      <c r="G803" s="4" t="s">
        <v>25</v>
      </c>
      <c r="H803" s="4" t="s">
        <v>37</v>
      </c>
      <c r="I803" s="5">
        <v>44743</v>
      </c>
      <c r="J803" s="6">
        <v>0</v>
      </c>
      <c r="K803" s="6">
        <v>0</v>
      </c>
      <c r="L803" s="6">
        <v>409.12299999999999</v>
      </c>
      <c r="M803" s="6">
        <v>409.12299999999999</v>
      </c>
      <c r="N803" s="6">
        <v>409.12299999999999</v>
      </c>
      <c r="O803" s="6">
        <v>409.12299999999999</v>
      </c>
      <c r="P803" s="6">
        <v>0</v>
      </c>
      <c r="Q803" s="4" t="s">
        <v>26</v>
      </c>
      <c r="R803" s="4">
        <v>0</v>
      </c>
      <c r="S803" s="6">
        <v>0</v>
      </c>
      <c r="T803" s="6">
        <v>29</v>
      </c>
      <c r="U803" s="6">
        <v>75</v>
      </c>
      <c r="V803" s="6">
        <f>IF(ISERROR(VLOOKUP($S$803,'TAR FIN'!$A$1:$O$115,15,0)),0,VLOOKUP($S$803,'TAR FIN'!$A$1:$O$115,15,0))</f>
        <v>0</v>
      </c>
      <c r="W803" s="6">
        <f>IF(ISERROR(VLOOKUP($T$803,'TAR FIN'!$A$1:$O$115,15,0)),0,VLOOKUP($T$803,'TAR FIN'!$A$1:$O$115,15,0))</f>
        <v>84.31</v>
      </c>
      <c r="X803" s="6">
        <f>IF(ISERROR(VLOOKUP($U$803,'TAR FIN'!$A$1:$O$115,15,0)),0,VLOOKUP($U$803,'TAR FIN'!$A$1:$O$115,15,0))</f>
        <v>168.06</v>
      </c>
      <c r="Y803" s="6"/>
      <c r="Z803" s="6">
        <f ca="1">('TUSD BE'!$AM$29+'TUSD BF'!$AM$29+'TUSD CVA'!$AM$29)*1</f>
        <v>113.43121292628391</v>
      </c>
      <c r="AA803" s="6">
        <f>('TE BE'!$AB$12+'TE BF'!$AB$12+'TE CVA'!$AB$12)*1</f>
        <v>218.6854278594964</v>
      </c>
      <c r="AB803" s="6">
        <f>$K$803*$V$803</f>
        <v>0</v>
      </c>
      <c r="AC803" s="6">
        <f>$M$803*$W$803</f>
        <v>34493.160129999997</v>
      </c>
      <c r="AD803" s="6">
        <f>$O$803*$X$803</f>
        <v>68757.211379999993</v>
      </c>
      <c r="AE803" s="6">
        <f>$K$803*$Y$803</f>
        <v>0</v>
      </c>
      <c r="AF803" s="6">
        <f ca="1">$M$803*$Z$803</f>
        <v>46407.318126040052</v>
      </c>
      <c r="AG803" s="6">
        <f>$O$803*$AA$803</f>
        <v>89469.238302160738</v>
      </c>
    </row>
    <row r="804" spans="1:33" ht="11.25" customHeight="1" x14ac:dyDescent="0.25">
      <c r="A804" s="4" t="s">
        <v>21</v>
      </c>
      <c r="B804" s="4" t="s">
        <v>41</v>
      </c>
      <c r="C804" s="4" t="s">
        <v>44</v>
      </c>
      <c r="D804" s="4" t="s">
        <v>48</v>
      </c>
      <c r="E804" s="4" t="s">
        <v>25</v>
      </c>
      <c r="F804" s="4" t="s">
        <v>25</v>
      </c>
      <c r="G804" s="4" t="s">
        <v>25</v>
      </c>
      <c r="H804" s="4" t="s">
        <v>37</v>
      </c>
      <c r="I804" s="5">
        <v>44774</v>
      </c>
      <c r="J804" s="6">
        <v>0</v>
      </c>
      <c r="K804" s="6">
        <v>0</v>
      </c>
      <c r="L804" s="6">
        <v>4050.45</v>
      </c>
      <c r="M804" s="6">
        <v>4050.45</v>
      </c>
      <c r="N804" s="6">
        <v>4050.45</v>
      </c>
      <c r="O804" s="6">
        <v>4050.45</v>
      </c>
      <c r="P804" s="6">
        <v>0</v>
      </c>
      <c r="Q804" s="4" t="s">
        <v>26</v>
      </c>
      <c r="R804" s="4">
        <v>0</v>
      </c>
      <c r="S804" s="6">
        <v>0</v>
      </c>
      <c r="T804" s="6">
        <v>29</v>
      </c>
      <c r="U804" s="6">
        <v>75</v>
      </c>
      <c r="V804" s="6">
        <f>IF(ISERROR(VLOOKUP($S$804,'TAR FIN'!$A$1:$O$115,15,0)),0,VLOOKUP($S$804,'TAR FIN'!$A$1:$O$115,15,0))</f>
        <v>0</v>
      </c>
      <c r="W804" s="6">
        <f>IF(ISERROR(VLOOKUP($T$804,'TAR FIN'!$A$1:$O$115,15,0)),0,VLOOKUP($T$804,'TAR FIN'!$A$1:$O$115,15,0))</f>
        <v>84.31</v>
      </c>
      <c r="X804" s="6">
        <f>IF(ISERROR(VLOOKUP($U$804,'TAR FIN'!$A$1:$O$115,15,0)),0,VLOOKUP($U$804,'TAR FIN'!$A$1:$O$115,15,0))</f>
        <v>168.06</v>
      </c>
      <c r="Y804" s="6"/>
      <c r="Z804" s="6">
        <f ca="1">('TUSD BE'!$AM$29+'TUSD BF'!$AM$29+'TUSD CVA'!$AM$29)*1</f>
        <v>113.43121292628391</v>
      </c>
      <c r="AA804" s="6">
        <f>('TE BE'!$AB$12+'TE BF'!$AB$12+'TE CVA'!$AB$12)*1</f>
        <v>218.6854278594964</v>
      </c>
      <c r="AB804" s="6">
        <f>$K$804*$V$804</f>
        <v>0</v>
      </c>
      <c r="AC804" s="6">
        <f>$M$804*$W$804</f>
        <v>341493.43949999998</v>
      </c>
      <c r="AD804" s="6">
        <f>$O$804*$X$804</f>
        <v>680718.62699999998</v>
      </c>
      <c r="AE804" s="6">
        <f>$K$804*$Y$804</f>
        <v>0</v>
      </c>
      <c r="AF804" s="6">
        <f ca="1">$M$804*$Z$804</f>
        <v>459447.45639726665</v>
      </c>
      <c r="AG804" s="6">
        <f>$O$804*$AA$804</f>
        <v>885774.39127349714</v>
      </c>
    </row>
    <row r="805" spans="1:33" ht="11.25" customHeight="1" x14ac:dyDescent="0.25">
      <c r="A805" s="4" t="s">
        <v>28</v>
      </c>
      <c r="B805" s="4" t="s">
        <v>41</v>
      </c>
      <c r="C805" s="4" t="s">
        <v>44</v>
      </c>
      <c r="D805" s="4" t="s">
        <v>48</v>
      </c>
      <c r="E805" s="4" t="s">
        <v>25</v>
      </c>
      <c r="F805" s="4" t="s">
        <v>25</v>
      </c>
      <c r="G805" s="4" t="s">
        <v>25</v>
      </c>
      <c r="H805" s="4" t="s">
        <v>37</v>
      </c>
      <c r="I805" s="5">
        <v>44774</v>
      </c>
      <c r="J805" s="6">
        <v>0</v>
      </c>
      <c r="K805" s="6">
        <v>0</v>
      </c>
      <c r="L805" s="6">
        <v>819.779</v>
      </c>
      <c r="M805" s="6">
        <v>819.779</v>
      </c>
      <c r="N805" s="6">
        <v>819.779</v>
      </c>
      <c r="O805" s="6">
        <v>819.779</v>
      </c>
      <c r="P805" s="6">
        <v>0</v>
      </c>
      <c r="Q805" s="4" t="s">
        <v>26</v>
      </c>
      <c r="R805" s="4">
        <v>0</v>
      </c>
      <c r="S805" s="6">
        <v>0</v>
      </c>
      <c r="T805" s="6">
        <v>29</v>
      </c>
      <c r="U805" s="6">
        <v>75</v>
      </c>
      <c r="V805" s="6">
        <f>IF(ISERROR(VLOOKUP($S$805,'TAR FIN'!$A$1:$O$115,15,0)),0,VLOOKUP($S$805,'TAR FIN'!$A$1:$O$115,15,0))</f>
        <v>0</v>
      </c>
      <c r="W805" s="6">
        <f>IF(ISERROR(VLOOKUP($T$805,'TAR FIN'!$A$1:$O$115,15,0)),0,VLOOKUP($T$805,'TAR FIN'!$A$1:$O$115,15,0))</f>
        <v>84.31</v>
      </c>
      <c r="X805" s="6">
        <f>IF(ISERROR(VLOOKUP($U$805,'TAR FIN'!$A$1:$O$115,15,0)),0,VLOOKUP($U$805,'TAR FIN'!$A$1:$O$115,15,0))</f>
        <v>168.06</v>
      </c>
      <c r="Y805" s="6"/>
      <c r="Z805" s="6">
        <f ca="1">('TUSD BE'!$AM$29+'TUSD BF'!$AM$29+'TUSD CVA'!$AM$29)*1</f>
        <v>113.43121292628391</v>
      </c>
      <c r="AA805" s="6">
        <f>('TE BE'!$AB$12+'TE BF'!$AB$12+'TE CVA'!$AB$12)*1</f>
        <v>218.6854278594964</v>
      </c>
      <c r="AB805" s="6">
        <f>$K$805*$V$805</f>
        <v>0</v>
      </c>
      <c r="AC805" s="6">
        <f>$M$805*$W$805</f>
        <v>69115.567490000001</v>
      </c>
      <c r="AD805" s="6">
        <f>$O$805*$X$805</f>
        <v>137772.05874000001</v>
      </c>
      <c r="AE805" s="6">
        <f>$K$805*$Y$805</f>
        <v>0</v>
      </c>
      <c r="AF805" s="6">
        <f ca="1">$M$805*$Z$805</f>
        <v>92988.526301496095</v>
      </c>
      <c r="AG805" s="6">
        <f>$O$805*$AA$805</f>
        <v>179273.7213652301</v>
      </c>
    </row>
    <row r="806" spans="1:33" ht="11.25" customHeight="1" x14ac:dyDescent="0.25">
      <c r="A806" s="4" t="s">
        <v>29</v>
      </c>
      <c r="B806" s="4" t="s">
        <v>41</v>
      </c>
      <c r="C806" s="4" t="s">
        <v>44</v>
      </c>
      <c r="D806" s="4" t="s">
        <v>48</v>
      </c>
      <c r="E806" s="4" t="s">
        <v>25</v>
      </c>
      <c r="F806" s="4" t="s">
        <v>25</v>
      </c>
      <c r="G806" s="4" t="s">
        <v>25</v>
      </c>
      <c r="H806" s="4" t="s">
        <v>37</v>
      </c>
      <c r="I806" s="5">
        <v>44774</v>
      </c>
      <c r="J806" s="6">
        <v>0</v>
      </c>
      <c r="K806" s="6">
        <v>0</v>
      </c>
      <c r="L806" s="6">
        <v>3.9430000000000001</v>
      </c>
      <c r="M806" s="6">
        <v>3.9430000000000001</v>
      </c>
      <c r="N806" s="6">
        <v>3.9430000000000001</v>
      </c>
      <c r="O806" s="6">
        <v>3.9430000000000001</v>
      </c>
      <c r="P806" s="6">
        <v>0</v>
      </c>
      <c r="Q806" s="4" t="s">
        <v>26</v>
      </c>
      <c r="R806" s="4">
        <v>0</v>
      </c>
      <c r="S806" s="6">
        <v>0</v>
      </c>
      <c r="T806" s="6">
        <v>29</v>
      </c>
      <c r="U806" s="6">
        <v>75</v>
      </c>
      <c r="V806" s="6">
        <f>IF(ISERROR(VLOOKUP($S$806,'TAR FIN'!$A$1:$O$115,15,0)),0,VLOOKUP($S$806,'TAR FIN'!$A$1:$O$115,15,0))</f>
        <v>0</v>
      </c>
      <c r="W806" s="6">
        <f>IF(ISERROR(VLOOKUP($T$806,'TAR FIN'!$A$1:$O$115,15,0)),0,VLOOKUP($T$806,'TAR FIN'!$A$1:$O$115,15,0))</f>
        <v>84.31</v>
      </c>
      <c r="X806" s="6">
        <f>IF(ISERROR(VLOOKUP($U$806,'TAR FIN'!$A$1:$O$115,15,0)),0,VLOOKUP($U$806,'TAR FIN'!$A$1:$O$115,15,0))</f>
        <v>168.06</v>
      </c>
      <c r="Y806" s="6"/>
      <c r="Z806" s="6">
        <f ca="1">('TUSD BE'!$AM$29+'TUSD BF'!$AM$29+'TUSD CVA'!$AM$29)*1</f>
        <v>113.43121292628391</v>
      </c>
      <c r="AA806" s="6">
        <f>('TE BE'!$AB$12+'TE BF'!$AB$12+'TE CVA'!$AB$12)*1</f>
        <v>218.6854278594964</v>
      </c>
      <c r="AB806" s="6">
        <f>$K$806*$V$806</f>
        <v>0</v>
      </c>
      <c r="AC806" s="6">
        <f>$M$806*$W$806</f>
        <v>332.43432999999999</v>
      </c>
      <c r="AD806" s="6">
        <f>$O$806*$X$806</f>
        <v>662.66057999999998</v>
      </c>
      <c r="AE806" s="6">
        <f>$K$806*$Y$806</f>
        <v>0</v>
      </c>
      <c r="AF806" s="6">
        <f ca="1">$M$806*$Z$806</f>
        <v>447.25927256833745</v>
      </c>
      <c r="AG806" s="6">
        <f>$O$806*$AA$806</f>
        <v>862.27664204999428</v>
      </c>
    </row>
    <row r="807" spans="1:33" ht="11.25" customHeight="1" x14ac:dyDescent="0.25">
      <c r="A807" s="4" t="s">
        <v>30</v>
      </c>
      <c r="B807" s="4" t="s">
        <v>41</v>
      </c>
      <c r="C807" s="4" t="s">
        <v>44</v>
      </c>
      <c r="D807" s="4" t="s">
        <v>48</v>
      </c>
      <c r="E807" s="4" t="s">
        <v>25</v>
      </c>
      <c r="F807" s="4" t="s">
        <v>25</v>
      </c>
      <c r="G807" s="4" t="s">
        <v>25</v>
      </c>
      <c r="H807" s="4" t="s">
        <v>37</v>
      </c>
      <c r="I807" s="5">
        <v>44774</v>
      </c>
      <c r="J807" s="6">
        <v>0</v>
      </c>
      <c r="K807" s="6">
        <v>0</v>
      </c>
      <c r="L807" s="6">
        <v>463.59399999999999</v>
      </c>
      <c r="M807" s="6">
        <v>463.59399999999999</v>
      </c>
      <c r="N807" s="6">
        <v>463.59399999999999</v>
      </c>
      <c r="O807" s="6">
        <v>463.59399999999999</v>
      </c>
      <c r="P807" s="6">
        <v>0</v>
      </c>
      <c r="Q807" s="4" t="s">
        <v>26</v>
      </c>
      <c r="R807" s="4">
        <v>0</v>
      </c>
      <c r="S807" s="6">
        <v>0</v>
      </c>
      <c r="T807" s="6">
        <v>29</v>
      </c>
      <c r="U807" s="6">
        <v>75</v>
      </c>
      <c r="V807" s="6">
        <f>IF(ISERROR(VLOOKUP($S$807,'TAR FIN'!$A$1:$O$115,15,0)),0,VLOOKUP($S$807,'TAR FIN'!$A$1:$O$115,15,0))</f>
        <v>0</v>
      </c>
      <c r="W807" s="6">
        <f>IF(ISERROR(VLOOKUP($T$807,'TAR FIN'!$A$1:$O$115,15,0)),0,VLOOKUP($T$807,'TAR FIN'!$A$1:$O$115,15,0))</f>
        <v>84.31</v>
      </c>
      <c r="X807" s="6">
        <f>IF(ISERROR(VLOOKUP($U$807,'TAR FIN'!$A$1:$O$115,15,0)),0,VLOOKUP($U$807,'TAR FIN'!$A$1:$O$115,15,0))</f>
        <v>168.06</v>
      </c>
      <c r="Y807" s="6"/>
      <c r="Z807" s="6">
        <f ca="1">('TUSD BE'!$AM$29+'TUSD BF'!$AM$29+'TUSD CVA'!$AM$29)*1</f>
        <v>113.43121292628391</v>
      </c>
      <c r="AA807" s="6">
        <f>('TE BE'!$AB$12+'TE BF'!$AB$12+'TE CVA'!$AB$12)*1</f>
        <v>218.6854278594964</v>
      </c>
      <c r="AB807" s="6">
        <f>$K$807*$V$807</f>
        <v>0</v>
      </c>
      <c r="AC807" s="6">
        <f>$M$807*$W$807</f>
        <v>39085.610139999997</v>
      </c>
      <c r="AD807" s="6">
        <f>$O$807*$X$807</f>
        <v>77911.607640000002</v>
      </c>
      <c r="AE807" s="6">
        <f>$K$807*$Y$807</f>
        <v>0</v>
      </c>
      <c r="AF807" s="6">
        <f ca="1">$M$807*$Z$807</f>
        <v>52586.02972534766</v>
      </c>
      <c r="AG807" s="6">
        <f>$O$807*$AA$807</f>
        <v>101381.25224309537</v>
      </c>
    </row>
    <row r="808" spans="1:33" ht="11.25" customHeight="1" x14ac:dyDescent="0.25">
      <c r="A808" s="4" t="s">
        <v>21</v>
      </c>
      <c r="B808" s="4" t="s">
        <v>41</v>
      </c>
      <c r="C808" s="4" t="s">
        <v>44</v>
      </c>
      <c r="D808" s="4" t="s">
        <v>48</v>
      </c>
      <c r="E808" s="4" t="s">
        <v>25</v>
      </c>
      <c r="F808" s="4" t="s">
        <v>25</v>
      </c>
      <c r="G808" s="4" t="s">
        <v>25</v>
      </c>
      <c r="H808" s="4" t="s">
        <v>37</v>
      </c>
      <c r="I808" s="5">
        <v>44805</v>
      </c>
      <c r="J808" s="6">
        <v>0</v>
      </c>
      <c r="K808" s="6">
        <v>0</v>
      </c>
      <c r="L808" s="6">
        <v>4034.4540000000002</v>
      </c>
      <c r="M808" s="6">
        <v>4034.4540000000002</v>
      </c>
      <c r="N808" s="6">
        <v>4034.4540000000002</v>
      </c>
      <c r="O808" s="6">
        <v>4034.4540000000002</v>
      </c>
      <c r="P808" s="6">
        <v>0</v>
      </c>
      <c r="Q808" s="4" t="s">
        <v>26</v>
      </c>
      <c r="R808" s="4">
        <v>0</v>
      </c>
      <c r="S808" s="6">
        <v>0</v>
      </c>
      <c r="T808" s="6">
        <v>29</v>
      </c>
      <c r="U808" s="6">
        <v>75</v>
      </c>
      <c r="V808" s="6">
        <f>IF(ISERROR(VLOOKUP($S$808,'TAR FIN'!$A$1:$O$115,15,0)),0,VLOOKUP($S$808,'TAR FIN'!$A$1:$O$115,15,0))</f>
        <v>0</v>
      </c>
      <c r="W808" s="6">
        <f>IF(ISERROR(VLOOKUP($T$808,'TAR FIN'!$A$1:$O$115,15,0)),0,VLOOKUP($T$808,'TAR FIN'!$A$1:$O$115,15,0))</f>
        <v>84.31</v>
      </c>
      <c r="X808" s="6">
        <f>IF(ISERROR(VLOOKUP($U$808,'TAR FIN'!$A$1:$O$115,15,0)),0,VLOOKUP($U$808,'TAR FIN'!$A$1:$O$115,15,0))</f>
        <v>168.06</v>
      </c>
      <c r="Y808" s="6"/>
      <c r="Z808" s="6">
        <f ca="1">('TUSD BE'!$AM$29+'TUSD BF'!$AM$29+'TUSD CVA'!$AM$29)*1</f>
        <v>113.43121292628391</v>
      </c>
      <c r="AA808" s="6">
        <f>('TE BE'!$AB$12+'TE BF'!$AB$12+'TE CVA'!$AB$12)*1</f>
        <v>218.6854278594964</v>
      </c>
      <c r="AB808" s="6">
        <f>$K$808*$V$808</f>
        <v>0</v>
      </c>
      <c r="AC808" s="6">
        <f>$M$808*$W$808</f>
        <v>340144.81674000004</v>
      </c>
      <c r="AD808" s="6">
        <f>$O$808*$X$808</f>
        <v>678030.33924</v>
      </c>
      <c r="AE808" s="6">
        <f>$K$808*$Y$808</f>
        <v>0</v>
      </c>
      <c r="AF808" s="6">
        <f ca="1">$M$808*$Z$808</f>
        <v>457633.01071529783</v>
      </c>
      <c r="AG808" s="6">
        <f>$O$808*$AA$808</f>
        <v>882276.2991694567</v>
      </c>
    </row>
    <row r="809" spans="1:33" ht="11.25" customHeight="1" x14ac:dyDescent="0.25">
      <c r="A809" s="4" t="s">
        <v>28</v>
      </c>
      <c r="B809" s="4" t="s">
        <v>41</v>
      </c>
      <c r="C809" s="4" t="s">
        <v>44</v>
      </c>
      <c r="D809" s="4" t="s">
        <v>48</v>
      </c>
      <c r="E809" s="4" t="s">
        <v>25</v>
      </c>
      <c r="F809" s="4" t="s">
        <v>25</v>
      </c>
      <c r="G809" s="4" t="s">
        <v>25</v>
      </c>
      <c r="H809" s="4" t="s">
        <v>37</v>
      </c>
      <c r="I809" s="5">
        <v>44805</v>
      </c>
      <c r="J809" s="6">
        <v>0</v>
      </c>
      <c r="K809" s="6">
        <v>0</v>
      </c>
      <c r="L809" s="6">
        <v>808.67399999999998</v>
      </c>
      <c r="M809" s="6">
        <v>808.67399999999998</v>
      </c>
      <c r="N809" s="6">
        <v>808.67399999999998</v>
      </c>
      <c r="O809" s="6">
        <v>808.67399999999998</v>
      </c>
      <c r="P809" s="6">
        <v>0</v>
      </c>
      <c r="Q809" s="4" t="s">
        <v>26</v>
      </c>
      <c r="R809" s="4">
        <v>0</v>
      </c>
      <c r="S809" s="6">
        <v>0</v>
      </c>
      <c r="T809" s="6">
        <v>29</v>
      </c>
      <c r="U809" s="6">
        <v>75</v>
      </c>
      <c r="V809" s="6">
        <f>IF(ISERROR(VLOOKUP($S$809,'TAR FIN'!$A$1:$O$115,15,0)),0,VLOOKUP($S$809,'TAR FIN'!$A$1:$O$115,15,0))</f>
        <v>0</v>
      </c>
      <c r="W809" s="6">
        <f>IF(ISERROR(VLOOKUP($T$809,'TAR FIN'!$A$1:$O$115,15,0)),0,VLOOKUP($T$809,'TAR FIN'!$A$1:$O$115,15,0))</f>
        <v>84.31</v>
      </c>
      <c r="X809" s="6">
        <f>IF(ISERROR(VLOOKUP($U$809,'TAR FIN'!$A$1:$O$115,15,0)),0,VLOOKUP($U$809,'TAR FIN'!$A$1:$O$115,15,0))</f>
        <v>168.06</v>
      </c>
      <c r="Y809" s="6"/>
      <c r="Z809" s="6">
        <f ca="1">('TUSD BE'!$AM$29+'TUSD BF'!$AM$29+'TUSD CVA'!$AM$29)*1</f>
        <v>113.43121292628391</v>
      </c>
      <c r="AA809" s="6">
        <f>('TE BE'!$AB$12+'TE BF'!$AB$12+'TE CVA'!$AB$12)*1</f>
        <v>218.6854278594964</v>
      </c>
      <c r="AB809" s="6">
        <f>$K$809*$V$809</f>
        <v>0</v>
      </c>
      <c r="AC809" s="6">
        <f>$M$809*$W$809</f>
        <v>68179.304940000002</v>
      </c>
      <c r="AD809" s="6">
        <f>$O$809*$X$809</f>
        <v>135905.75244000001</v>
      </c>
      <c r="AE809" s="6">
        <f>$K$809*$Y$809</f>
        <v>0</v>
      </c>
      <c r="AF809" s="6">
        <f ca="1">$M$809*$Z$809</f>
        <v>91728.87268194971</v>
      </c>
      <c r="AG809" s="6">
        <f>$O$809*$AA$809</f>
        <v>176845.2196888504</v>
      </c>
    </row>
    <row r="810" spans="1:33" ht="11.25" customHeight="1" x14ac:dyDescent="0.25">
      <c r="A810" s="4" t="s">
        <v>30</v>
      </c>
      <c r="B810" s="4" t="s">
        <v>41</v>
      </c>
      <c r="C810" s="4" t="s">
        <v>44</v>
      </c>
      <c r="D810" s="4" t="s">
        <v>48</v>
      </c>
      <c r="E810" s="4" t="s">
        <v>25</v>
      </c>
      <c r="F810" s="4" t="s">
        <v>25</v>
      </c>
      <c r="G810" s="4" t="s">
        <v>25</v>
      </c>
      <c r="H810" s="4" t="s">
        <v>37</v>
      </c>
      <c r="I810" s="5">
        <v>44805</v>
      </c>
      <c r="J810" s="6">
        <v>0</v>
      </c>
      <c r="K810" s="6">
        <v>0</v>
      </c>
      <c r="L810" s="6">
        <v>461.13400000000001</v>
      </c>
      <c r="M810" s="6">
        <v>461.13400000000001</v>
      </c>
      <c r="N810" s="6">
        <v>461.13400000000001</v>
      </c>
      <c r="O810" s="6">
        <v>461.13400000000001</v>
      </c>
      <c r="P810" s="6">
        <v>0</v>
      </c>
      <c r="Q810" s="4" t="s">
        <v>26</v>
      </c>
      <c r="R810" s="4">
        <v>0</v>
      </c>
      <c r="S810" s="6">
        <v>0</v>
      </c>
      <c r="T810" s="6">
        <v>29</v>
      </c>
      <c r="U810" s="6">
        <v>75</v>
      </c>
      <c r="V810" s="6">
        <f>IF(ISERROR(VLOOKUP($S$810,'TAR FIN'!$A$1:$O$115,15,0)),0,VLOOKUP($S$810,'TAR FIN'!$A$1:$O$115,15,0))</f>
        <v>0</v>
      </c>
      <c r="W810" s="6">
        <f>IF(ISERROR(VLOOKUP($T$810,'TAR FIN'!$A$1:$O$115,15,0)),0,VLOOKUP($T$810,'TAR FIN'!$A$1:$O$115,15,0))</f>
        <v>84.31</v>
      </c>
      <c r="X810" s="6">
        <f>IF(ISERROR(VLOOKUP($U$810,'TAR FIN'!$A$1:$O$115,15,0)),0,VLOOKUP($U$810,'TAR FIN'!$A$1:$O$115,15,0))</f>
        <v>168.06</v>
      </c>
      <c r="Y810" s="6"/>
      <c r="Z810" s="6">
        <f ca="1">('TUSD BE'!$AM$29+'TUSD BF'!$AM$29+'TUSD CVA'!$AM$29)*1</f>
        <v>113.43121292628391</v>
      </c>
      <c r="AA810" s="6">
        <f>('TE BE'!$AB$12+'TE BF'!$AB$12+'TE CVA'!$AB$12)*1</f>
        <v>218.6854278594964</v>
      </c>
      <c r="AB810" s="6">
        <f>$K$810*$V$810</f>
        <v>0</v>
      </c>
      <c r="AC810" s="6">
        <f>$M$810*$W$810</f>
        <v>38878.207540000003</v>
      </c>
      <c r="AD810" s="6">
        <f>$O$810*$X$810</f>
        <v>77498.180040000007</v>
      </c>
      <c r="AE810" s="6">
        <f>$K$810*$Y$810</f>
        <v>0</v>
      </c>
      <c r="AF810" s="6">
        <f ca="1">$M$810*$Z$810</f>
        <v>52306.988941549003</v>
      </c>
      <c r="AG810" s="6">
        <f>$O$810*$AA$810</f>
        <v>100843.28609056101</v>
      </c>
    </row>
    <row r="811" spans="1:33" ht="11.25" customHeight="1" x14ac:dyDescent="0.25">
      <c r="A811" s="4" t="s">
        <v>21</v>
      </c>
      <c r="B811" s="4" t="s">
        <v>41</v>
      </c>
      <c r="C811" s="4" t="s">
        <v>44</v>
      </c>
      <c r="D811" s="4" t="s">
        <v>48</v>
      </c>
      <c r="E811" s="4" t="s">
        <v>25</v>
      </c>
      <c r="F811" s="4" t="s">
        <v>25</v>
      </c>
      <c r="G811" s="4" t="s">
        <v>25</v>
      </c>
      <c r="H811" s="4" t="s">
        <v>37</v>
      </c>
      <c r="I811" s="5">
        <v>44835</v>
      </c>
      <c r="J811" s="6">
        <v>0</v>
      </c>
      <c r="K811" s="6">
        <v>0</v>
      </c>
      <c r="L811" s="6">
        <v>4026.0149999999999</v>
      </c>
      <c r="M811" s="6">
        <v>4026.0149999999999</v>
      </c>
      <c r="N811" s="6">
        <v>4026.0149999999999</v>
      </c>
      <c r="O811" s="6">
        <v>4026.0149999999999</v>
      </c>
      <c r="P811" s="6">
        <v>0</v>
      </c>
      <c r="Q811" s="4" t="s">
        <v>26</v>
      </c>
      <c r="R811" s="4">
        <v>0</v>
      </c>
      <c r="S811" s="6">
        <v>0</v>
      </c>
      <c r="T811" s="6">
        <v>29</v>
      </c>
      <c r="U811" s="6">
        <v>75</v>
      </c>
      <c r="V811" s="6">
        <f>IF(ISERROR(VLOOKUP($S$811,'TAR FIN'!$A$1:$O$115,15,0)),0,VLOOKUP($S$811,'TAR FIN'!$A$1:$O$115,15,0))</f>
        <v>0</v>
      </c>
      <c r="W811" s="6">
        <f>IF(ISERROR(VLOOKUP($T$811,'TAR FIN'!$A$1:$O$115,15,0)),0,VLOOKUP($T$811,'TAR FIN'!$A$1:$O$115,15,0))</f>
        <v>84.31</v>
      </c>
      <c r="X811" s="6">
        <f>IF(ISERROR(VLOOKUP($U$811,'TAR FIN'!$A$1:$O$115,15,0)),0,VLOOKUP($U$811,'TAR FIN'!$A$1:$O$115,15,0))</f>
        <v>168.06</v>
      </c>
      <c r="Y811" s="6"/>
      <c r="Z811" s="6">
        <f ca="1">('TUSD BE'!$AM$29+'TUSD BF'!$AM$29+'TUSD CVA'!$AM$29)*1</f>
        <v>113.43121292628391</v>
      </c>
      <c r="AA811" s="6">
        <f>('TE BE'!$AB$12+'TE BF'!$AB$12+'TE CVA'!$AB$12)*1</f>
        <v>218.6854278594964</v>
      </c>
      <c r="AB811" s="6">
        <f>$K$811*$V$811</f>
        <v>0</v>
      </c>
      <c r="AC811" s="6">
        <f>$M$811*$W$811</f>
        <v>339433.32465000002</v>
      </c>
      <c r="AD811" s="6">
        <f>$O$811*$X$811</f>
        <v>676612.08089999994</v>
      </c>
      <c r="AE811" s="6">
        <f>$K$811*$Y$811</f>
        <v>0</v>
      </c>
      <c r="AF811" s="6">
        <f ca="1">$M$811*$Z$811</f>
        <v>456675.76470941288</v>
      </c>
      <c r="AG811" s="6">
        <f>$O$811*$AA$811</f>
        <v>880430.81284375035</v>
      </c>
    </row>
    <row r="812" spans="1:33" ht="11.25" customHeight="1" x14ac:dyDescent="0.25">
      <c r="A812" s="4" t="s">
        <v>28</v>
      </c>
      <c r="B812" s="4" t="s">
        <v>41</v>
      </c>
      <c r="C812" s="4" t="s">
        <v>44</v>
      </c>
      <c r="D812" s="4" t="s">
        <v>48</v>
      </c>
      <c r="E812" s="4" t="s">
        <v>25</v>
      </c>
      <c r="F812" s="4" t="s">
        <v>25</v>
      </c>
      <c r="G812" s="4" t="s">
        <v>25</v>
      </c>
      <c r="H812" s="4" t="s">
        <v>37</v>
      </c>
      <c r="I812" s="5">
        <v>44835</v>
      </c>
      <c r="J812" s="6">
        <v>0</v>
      </c>
      <c r="K812" s="6">
        <v>0</v>
      </c>
      <c r="L812" s="6">
        <v>876.84100000000001</v>
      </c>
      <c r="M812" s="6">
        <v>876.84100000000001</v>
      </c>
      <c r="N812" s="6">
        <v>876.84100000000001</v>
      </c>
      <c r="O812" s="6">
        <v>876.84100000000001</v>
      </c>
      <c r="P812" s="6">
        <v>0</v>
      </c>
      <c r="Q812" s="4" t="s">
        <v>26</v>
      </c>
      <c r="R812" s="4">
        <v>0</v>
      </c>
      <c r="S812" s="6">
        <v>0</v>
      </c>
      <c r="T812" s="6">
        <v>29</v>
      </c>
      <c r="U812" s="6">
        <v>75</v>
      </c>
      <c r="V812" s="6">
        <f>IF(ISERROR(VLOOKUP($S$812,'TAR FIN'!$A$1:$O$115,15,0)),0,VLOOKUP($S$812,'TAR FIN'!$A$1:$O$115,15,0))</f>
        <v>0</v>
      </c>
      <c r="W812" s="6">
        <f>IF(ISERROR(VLOOKUP($T$812,'TAR FIN'!$A$1:$O$115,15,0)),0,VLOOKUP($T$812,'TAR FIN'!$A$1:$O$115,15,0))</f>
        <v>84.31</v>
      </c>
      <c r="X812" s="6">
        <f>IF(ISERROR(VLOOKUP($U$812,'TAR FIN'!$A$1:$O$115,15,0)),0,VLOOKUP($U$812,'TAR FIN'!$A$1:$O$115,15,0))</f>
        <v>168.06</v>
      </c>
      <c r="Y812" s="6"/>
      <c r="Z812" s="6">
        <f ca="1">('TUSD BE'!$AM$29+'TUSD BF'!$AM$29+'TUSD CVA'!$AM$29)*1</f>
        <v>113.43121292628391</v>
      </c>
      <c r="AA812" s="6">
        <f>('TE BE'!$AB$12+'TE BF'!$AB$12+'TE CVA'!$AB$12)*1</f>
        <v>218.6854278594964</v>
      </c>
      <c r="AB812" s="6">
        <f>$K$812*$V$812</f>
        <v>0</v>
      </c>
      <c r="AC812" s="6">
        <f>$M$812*$W$812</f>
        <v>73926.46471</v>
      </c>
      <c r="AD812" s="6">
        <f>$O$812*$X$812</f>
        <v>147361.89846</v>
      </c>
      <c r="AE812" s="6">
        <f>$K$812*$Y$812</f>
        <v>0</v>
      </c>
      <c r="AF812" s="6">
        <f ca="1">$M$812*$Z$812</f>
        <v>99461.13817349571</v>
      </c>
      <c r="AG812" s="6">
        <f>$O$812*$AA$812</f>
        <v>191752.34924974869</v>
      </c>
    </row>
    <row r="813" spans="1:33" ht="11.25" customHeight="1" x14ac:dyDescent="0.25">
      <c r="A813" s="4" t="s">
        <v>30</v>
      </c>
      <c r="B813" s="4" t="s">
        <v>41</v>
      </c>
      <c r="C813" s="4" t="s">
        <v>44</v>
      </c>
      <c r="D813" s="4" t="s">
        <v>48</v>
      </c>
      <c r="E813" s="4" t="s">
        <v>25</v>
      </c>
      <c r="F813" s="4" t="s">
        <v>25</v>
      </c>
      <c r="G813" s="4" t="s">
        <v>25</v>
      </c>
      <c r="H813" s="4" t="s">
        <v>37</v>
      </c>
      <c r="I813" s="5">
        <v>44835</v>
      </c>
      <c r="J813" s="6">
        <v>0</v>
      </c>
      <c r="K813" s="6">
        <v>0</v>
      </c>
      <c r="L813" s="6">
        <v>507.697</v>
      </c>
      <c r="M813" s="6">
        <v>507.697</v>
      </c>
      <c r="N813" s="6">
        <v>507.697</v>
      </c>
      <c r="O813" s="6">
        <v>507.697</v>
      </c>
      <c r="P813" s="6">
        <v>0</v>
      </c>
      <c r="Q813" s="4" t="s">
        <v>26</v>
      </c>
      <c r="R813" s="4">
        <v>0</v>
      </c>
      <c r="S813" s="6">
        <v>0</v>
      </c>
      <c r="T813" s="6">
        <v>29</v>
      </c>
      <c r="U813" s="6">
        <v>75</v>
      </c>
      <c r="V813" s="6">
        <f>IF(ISERROR(VLOOKUP($S$813,'TAR FIN'!$A$1:$O$115,15,0)),0,VLOOKUP($S$813,'TAR FIN'!$A$1:$O$115,15,0))</f>
        <v>0</v>
      </c>
      <c r="W813" s="6">
        <f>IF(ISERROR(VLOOKUP($T$813,'TAR FIN'!$A$1:$O$115,15,0)),0,VLOOKUP($T$813,'TAR FIN'!$A$1:$O$115,15,0))</f>
        <v>84.31</v>
      </c>
      <c r="X813" s="6">
        <f>IF(ISERROR(VLOOKUP($U$813,'TAR FIN'!$A$1:$O$115,15,0)),0,VLOOKUP($U$813,'TAR FIN'!$A$1:$O$115,15,0))</f>
        <v>168.06</v>
      </c>
      <c r="Y813" s="6"/>
      <c r="Z813" s="6">
        <f ca="1">('TUSD BE'!$AM$29+'TUSD BF'!$AM$29+'TUSD CVA'!$AM$29)*1</f>
        <v>113.43121292628391</v>
      </c>
      <c r="AA813" s="6">
        <f>('TE BE'!$AB$12+'TE BF'!$AB$12+'TE CVA'!$AB$12)*1</f>
        <v>218.6854278594964</v>
      </c>
      <c r="AB813" s="6">
        <f>$K$813*$V$813</f>
        <v>0</v>
      </c>
      <c r="AC813" s="6">
        <f>$M$813*$W$813</f>
        <v>42803.934070000003</v>
      </c>
      <c r="AD813" s="6">
        <f>$O$813*$X$813</f>
        <v>85323.557820000002</v>
      </c>
      <c r="AE813" s="6">
        <f>$K$813*$Y$813</f>
        <v>0</v>
      </c>
      <c r="AF813" s="6">
        <f ca="1">$M$813*$Z$813</f>
        <v>57588.686509035557</v>
      </c>
      <c r="AG813" s="6">
        <f>$O$813*$AA$813</f>
        <v>111025.93566798275</v>
      </c>
    </row>
    <row r="814" spans="1:33" ht="11.25" customHeight="1" x14ac:dyDescent="0.25">
      <c r="A814" s="4" t="s">
        <v>59</v>
      </c>
      <c r="B814" s="4" t="s">
        <v>41</v>
      </c>
      <c r="C814" s="4" t="s">
        <v>44</v>
      </c>
      <c r="D814" s="4" t="s">
        <v>48</v>
      </c>
      <c r="E814" s="4" t="s">
        <v>25</v>
      </c>
      <c r="F814" s="4" t="s">
        <v>25</v>
      </c>
      <c r="G814" s="4" t="s">
        <v>25</v>
      </c>
      <c r="H814" s="4" t="s">
        <v>37</v>
      </c>
      <c r="I814" s="5">
        <v>44866</v>
      </c>
      <c r="J814" s="6">
        <v>0</v>
      </c>
      <c r="K814" s="6">
        <v>0</v>
      </c>
      <c r="L814" s="6">
        <v>4026.0149999999999</v>
      </c>
      <c r="M814" s="6">
        <v>4026.0149999999999</v>
      </c>
      <c r="N814" s="6">
        <v>4026.0149999999999</v>
      </c>
      <c r="O814" s="6">
        <v>4026.0149999999999</v>
      </c>
      <c r="P814" s="6">
        <v>0</v>
      </c>
      <c r="Q814" s="4" t="s">
        <v>26</v>
      </c>
      <c r="R814" s="4">
        <v>0</v>
      </c>
      <c r="S814" s="6">
        <v>0</v>
      </c>
      <c r="T814" s="6">
        <v>29</v>
      </c>
      <c r="U814" s="6">
        <v>75</v>
      </c>
      <c r="V814" s="6">
        <f>IF(ISERROR(VLOOKUP($S$814,'TAR FIN'!$A$1:$O$115,15,0)),0,VLOOKUP($S$814,'TAR FIN'!$A$1:$O$115,15,0))</f>
        <v>0</v>
      </c>
      <c r="W814" s="6">
        <f>IF(ISERROR(VLOOKUP($T$814,'TAR FIN'!$A$1:$O$115,15,0)),0,VLOOKUP($T$814,'TAR FIN'!$A$1:$O$115,15,0))</f>
        <v>84.31</v>
      </c>
      <c r="X814" s="6">
        <f>IF(ISERROR(VLOOKUP($U$814,'TAR FIN'!$A$1:$O$115,15,0)),0,VLOOKUP($U$814,'TAR FIN'!$A$1:$O$115,15,0))</f>
        <v>168.06</v>
      </c>
      <c r="Y814" s="6"/>
      <c r="Z814" s="6">
        <f ca="1">('TUSD BE'!$AM$29+'TUSD BF'!$AM$29+'TUSD CVA'!$AM$29)*1</f>
        <v>113.43121292628391</v>
      </c>
      <c r="AA814" s="6">
        <f>('TE BE'!$AB$12+'TE BF'!$AB$12+'TE CVA'!$AB$12)*1</f>
        <v>218.6854278594964</v>
      </c>
      <c r="AB814" s="6">
        <f>$K$814*$V$814</f>
        <v>0</v>
      </c>
      <c r="AC814" s="6">
        <f>$M$814*$W$814</f>
        <v>339433.32465000002</v>
      </c>
      <c r="AD814" s="6">
        <f>$O$814*$X$814</f>
        <v>676612.08089999994</v>
      </c>
      <c r="AE814" s="6">
        <f>$K$814*$Y$814</f>
        <v>0</v>
      </c>
      <c r="AF814" s="6">
        <f ca="1">$M$814*$Z$814</f>
        <v>456675.76470941288</v>
      </c>
      <c r="AG814" s="6">
        <f>$O$814*$AA$814</f>
        <v>880430.81284375035</v>
      </c>
    </row>
    <row r="815" spans="1:33" ht="11.25" customHeight="1" x14ac:dyDescent="0.25">
      <c r="A815" s="4" t="s">
        <v>59</v>
      </c>
      <c r="B815" s="4" t="s">
        <v>41</v>
      </c>
      <c r="C815" s="4" t="s">
        <v>44</v>
      </c>
      <c r="D815" s="4" t="s">
        <v>48</v>
      </c>
      <c r="E815" s="4" t="s">
        <v>25</v>
      </c>
      <c r="F815" s="4" t="s">
        <v>25</v>
      </c>
      <c r="G815" s="4" t="s">
        <v>25</v>
      </c>
      <c r="H815" s="4" t="s">
        <v>37</v>
      </c>
      <c r="I815" s="5">
        <v>44866</v>
      </c>
      <c r="J815" s="6">
        <v>0</v>
      </c>
      <c r="K815" s="6">
        <v>0</v>
      </c>
      <c r="L815" s="6">
        <v>876.84100000000001</v>
      </c>
      <c r="M815" s="6">
        <v>876.84100000000001</v>
      </c>
      <c r="N815" s="6">
        <v>876.84100000000001</v>
      </c>
      <c r="O815" s="6">
        <v>876.84100000000001</v>
      </c>
      <c r="P815" s="6">
        <v>0</v>
      </c>
      <c r="Q815" s="4" t="s">
        <v>26</v>
      </c>
      <c r="R815" s="4">
        <v>0</v>
      </c>
      <c r="S815" s="6">
        <v>0</v>
      </c>
      <c r="T815" s="6">
        <v>29</v>
      </c>
      <c r="U815" s="6">
        <v>75</v>
      </c>
      <c r="V815" s="6">
        <f>IF(ISERROR(VLOOKUP($S$815,'TAR FIN'!$A$1:$O$115,15,0)),0,VLOOKUP($S$815,'TAR FIN'!$A$1:$O$115,15,0))</f>
        <v>0</v>
      </c>
      <c r="W815" s="6">
        <f>IF(ISERROR(VLOOKUP($T$815,'TAR FIN'!$A$1:$O$115,15,0)),0,VLOOKUP($T$815,'TAR FIN'!$A$1:$O$115,15,0))</f>
        <v>84.31</v>
      </c>
      <c r="X815" s="6">
        <f>IF(ISERROR(VLOOKUP($U$815,'TAR FIN'!$A$1:$O$115,15,0)),0,VLOOKUP($U$815,'TAR FIN'!$A$1:$O$115,15,0))</f>
        <v>168.06</v>
      </c>
      <c r="Y815" s="6"/>
      <c r="Z815" s="6">
        <f ca="1">('TUSD BE'!$AM$29+'TUSD BF'!$AM$29+'TUSD CVA'!$AM$29)*1</f>
        <v>113.43121292628391</v>
      </c>
      <c r="AA815" s="6">
        <f>('TE BE'!$AB$12+'TE BF'!$AB$12+'TE CVA'!$AB$12)*1</f>
        <v>218.6854278594964</v>
      </c>
      <c r="AB815" s="6">
        <f>$K$815*$V$815</f>
        <v>0</v>
      </c>
      <c r="AC815" s="6">
        <f>$M$815*$W$815</f>
        <v>73926.46471</v>
      </c>
      <c r="AD815" s="6">
        <f>$O$815*$X$815</f>
        <v>147361.89846</v>
      </c>
      <c r="AE815" s="6">
        <f>$K$815*$Y$815</f>
        <v>0</v>
      </c>
      <c r="AF815" s="6">
        <f ca="1">$M$815*$Z$815</f>
        <v>99461.13817349571</v>
      </c>
      <c r="AG815" s="6">
        <f>$O$815*$AA$815</f>
        <v>191752.34924974869</v>
      </c>
    </row>
    <row r="816" spans="1:33" ht="11.25" customHeight="1" x14ac:dyDescent="0.25">
      <c r="A816" s="4" t="s">
        <v>59</v>
      </c>
      <c r="B816" s="4" t="s">
        <v>41</v>
      </c>
      <c r="C816" s="4" t="s">
        <v>44</v>
      </c>
      <c r="D816" s="4" t="s">
        <v>48</v>
      </c>
      <c r="E816" s="4" t="s">
        <v>25</v>
      </c>
      <c r="F816" s="4" t="s">
        <v>25</v>
      </c>
      <c r="G816" s="4" t="s">
        <v>25</v>
      </c>
      <c r="H816" s="4" t="s">
        <v>37</v>
      </c>
      <c r="I816" s="5">
        <v>44866</v>
      </c>
      <c r="J816" s="6">
        <v>0</v>
      </c>
      <c r="K816" s="6">
        <v>0</v>
      </c>
      <c r="L816" s="6">
        <v>507.697</v>
      </c>
      <c r="M816" s="6">
        <v>507.697</v>
      </c>
      <c r="N816" s="6">
        <v>507.697</v>
      </c>
      <c r="O816" s="6">
        <v>507.697</v>
      </c>
      <c r="P816" s="6">
        <v>0</v>
      </c>
      <c r="Q816" s="4" t="s">
        <v>26</v>
      </c>
      <c r="R816" s="4">
        <v>0</v>
      </c>
      <c r="S816" s="6">
        <v>0</v>
      </c>
      <c r="T816" s="6">
        <v>29</v>
      </c>
      <c r="U816" s="6">
        <v>75</v>
      </c>
      <c r="V816" s="6">
        <f>IF(ISERROR(VLOOKUP($S$816,'TAR FIN'!$A$1:$O$115,15,0)),0,VLOOKUP($S$816,'TAR FIN'!$A$1:$O$115,15,0))</f>
        <v>0</v>
      </c>
      <c r="W816" s="6">
        <f>IF(ISERROR(VLOOKUP($T$816,'TAR FIN'!$A$1:$O$115,15,0)),0,VLOOKUP($T$816,'TAR FIN'!$A$1:$O$115,15,0))</f>
        <v>84.31</v>
      </c>
      <c r="X816" s="6">
        <f>IF(ISERROR(VLOOKUP($U$816,'TAR FIN'!$A$1:$O$115,15,0)),0,VLOOKUP($U$816,'TAR FIN'!$A$1:$O$115,15,0))</f>
        <v>168.06</v>
      </c>
      <c r="Y816" s="6"/>
      <c r="Z816" s="6">
        <f ca="1">('TUSD BE'!$AM$29+'TUSD BF'!$AM$29+'TUSD CVA'!$AM$29)*1</f>
        <v>113.43121292628391</v>
      </c>
      <c r="AA816" s="6">
        <f>('TE BE'!$AB$12+'TE BF'!$AB$12+'TE CVA'!$AB$12)*1</f>
        <v>218.6854278594964</v>
      </c>
      <c r="AB816" s="6">
        <f>$K$816*$V$816</f>
        <v>0</v>
      </c>
      <c r="AC816" s="6">
        <f>$M$816*$W$816</f>
        <v>42803.934070000003</v>
      </c>
      <c r="AD816" s="6">
        <f>$O$816*$X$816</f>
        <v>85323.557820000002</v>
      </c>
      <c r="AE816" s="6">
        <f>$K$816*$Y$816</f>
        <v>0</v>
      </c>
      <c r="AF816" s="6">
        <f ca="1">$M$816*$Z$816</f>
        <v>57588.686509035557</v>
      </c>
      <c r="AG816" s="6">
        <f>$O$816*$AA$816</f>
        <v>111025.93566798275</v>
      </c>
    </row>
    <row r="817" spans="1:33" ht="11.25" customHeight="1" x14ac:dyDescent="0.25">
      <c r="A817" s="4" t="s">
        <v>21</v>
      </c>
      <c r="B817" s="4" t="s">
        <v>41</v>
      </c>
      <c r="C817" s="4" t="s">
        <v>44</v>
      </c>
      <c r="D817" s="4" t="s">
        <v>48</v>
      </c>
      <c r="E817" s="4" t="s">
        <v>25</v>
      </c>
      <c r="F817" s="4" t="s">
        <v>25</v>
      </c>
      <c r="G817" s="4" t="s">
        <v>25</v>
      </c>
      <c r="H817" s="4" t="s">
        <v>25</v>
      </c>
      <c r="I817" s="5">
        <v>44531</v>
      </c>
      <c r="J817" s="6">
        <v>27518</v>
      </c>
      <c r="K817" s="6">
        <v>27518</v>
      </c>
      <c r="L817" s="6">
        <v>0</v>
      </c>
      <c r="M817" s="6">
        <v>0</v>
      </c>
      <c r="N817" s="6">
        <v>0</v>
      </c>
      <c r="O817" s="6">
        <v>0</v>
      </c>
      <c r="P817" s="6">
        <v>257</v>
      </c>
      <c r="Q817" s="4" t="s">
        <v>26</v>
      </c>
      <c r="R817" s="4">
        <v>0</v>
      </c>
      <c r="S817" s="6">
        <v>27</v>
      </c>
      <c r="T817" s="6">
        <v>0</v>
      </c>
      <c r="U817" s="6">
        <v>0</v>
      </c>
      <c r="V817" s="6">
        <f>IF(ISERROR(VLOOKUP($S$817,'TAR FIN'!$A$1:$O$115,15,0)),0,VLOOKUP($S$817,'TAR FIN'!$A$1:$O$115,15,0))</f>
        <v>19.8</v>
      </c>
      <c r="W817" s="6">
        <f>IF(ISERROR(VLOOKUP($T$817,'TAR FIN'!$A$1:$O$115,15,0)),0,VLOOKUP($T$817,'TAR FIN'!$A$1:$O$115,15,0))</f>
        <v>0</v>
      </c>
      <c r="X817" s="6">
        <f>IF(ISERROR(VLOOKUP($U$817,'TAR FIN'!$A$1:$O$115,15,0)),0,VLOOKUP($U$817,'TAR FIN'!$A$1:$O$115,15,0))</f>
        <v>0</v>
      </c>
      <c r="Y817" s="6">
        <f ca="1">('TUSD BE'!$AM$27+'TUSD BF'!$AM$27+'TUSD CVA'!$AM$27)*1</f>
        <v>20.615214330225772</v>
      </c>
      <c r="Z817" s="6"/>
      <c r="AA817" s="6"/>
      <c r="AB817" s="6">
        <f>$K$817*$V$817</f>
        <v>544856.4</v>
      </c>
      <c r="AC817" s="6">
        <f>$M$817*$W$817</f>
        <v>0</v>
      </c>
      <c r="AD817" s="6">
        <f>$O$817*$X$817</f>
        <v>0</v>
      </c>
      <c r="AE817" s="6">
        <f ca="1">$K$817*$Y$817</f>
        <v>567289.46793915285</v>
      </c>
      <c r="AF817" s="6">
        <f>$M$817*$Z$817</f>
        <v>0</v>
      </c>
      <c r="AG817" s="6">
        <f>$O$817*$AA$817</f>
        <v>0</v>
      </c>
    </row>
    <row r="818" spans="1:33" ht="11.25" customHeight="1" x14ac:dyDescent="0.25">
      <c r="A818" s="4" t="s">
        <v>27</v>
      </c>
      <c r="B818" s="4" t="s">
        <v>41</v>
      </c>
      <c r="C818" s="4" t="s">
        <v>44</v>
      </c>
      <c r="D818" s="4" t="s">
        <v>48</v>
      </c>
      <c r="E818" s="4" t="s">
        <v>25</v>
      </c>
      <c r="F818" s="4" t="s">
        <v>25</v>
      </c>
      <c r="G818" s="4" t="s">
        <v>25</v>
      </c>
      <c r="H818" s="4" t="s">
        <v>25</v>
      </c>
      <c r="I818" s="5">
        <v>44531</v>
      </c>
      <c r="J818" s="6">
        <v>-230</v>
      </c>
      <c r="K818" s="6">
        <v>-230</v>
      </c>
      <c r="L818" s="6">
        <v>0</v>
      </c>
      <c r="M818" s="6">
        <v>0</v>
      </c>
      <c r="N818" s="6">
        <v>0</v>
      </c>
      <c r="O818" s="6">
        <v>0</v>
      </c>
      <c r="P818" s="6">
        <v>-1</v>
      </c>
      <c r="Q818" s="4" t="s">
        <v>26</v>
      </c>
      <c r="R818" s="4">
        <v>0</v>
      </c>
      <c r="S818" s="6">
        <v>27</v>
      </c>
      <c r="T818" s="6">
        <v>0</v>
      </c>
      <c r="U818" s="6">
        <v>0</v>
      </c>
      <c r="V818" s="6">
        <f>IF(ISERROR(VLOOKUP($S$818,'TAR FIN'!$A$1:$O$115,15,0)),0,VLOOKUP($S$818,'TAR FIN'!$A$1:$O$115,15,0))</f>
        <v>19.8</v>
      </c>
      <c r="W818" s="6">
        <f>IF(ISERROR(VLOOKUP($T$818,'TAR FIN'!$A$1:$O$115,15,0)),0,VLOOKUP($T$818,'TAR FIN'!$A$1:$O$115,15,0))</f>
        <v>0</v>
      </c>
      <c r="X818" s="6">
        <f>IF(ISERROR(VLOOKUP($U$818,'TAR FIN'!$A$1:$O$115,15,0)),0,VLOOKUP($U$818,'TAR FIN'!$A$1:$O$115,15,0))</f>
        <v>0</v>
      </c>
      <c r="Y818" s="6">
        <f ca="1">('TUSD BE'!$AM$27+'TUSD BF'!$AM$27+'TUSD CVA'!$AM$27)*1</f>
        <v>20.615214330225772</v>
      </c>
      <c r="Z818" s="6"/>
      <c r="AA818" s="6"/>
      <c r="AB818" s="6">
        <f>$K$818*$V$818</f>
        <v>-4554</v>
      </c>
      <c r="AC818" s="6">
        <f>$M$818*$W$818</f>
        <v>0</v>
      </c>
      <c r="AD818" s="6">
        <f>$O$818*$X$818</f>
        <v>0</v>
      </c>
      <c r="AE818" s="6">
        <f ca="1">$K$818*$Y$818</f>
        <v>-4741.4992959519277</v>
      </c>
      <c r="AF818" s="6">
        <f>$M$818*$Z$818</f>
        <v>0</v>
      </c>
      <c r="AG818" s="6">
        <f>$O$818*$AA$818</f>
        <v>0</v>
      </c>
    </row>
    <row r="819" spans="1:33" ht="11.25" customHeight="1" x14ac:dyDescent="0.25">
      <c r="A819" s="4" t="s">
        <v>28</v>
      </c>
      <c r="B819" s="4" t="s">
        <v>41</v>
      </c>
      <c r="C819" s="4" t="s">
        <v>44</v>
      </c>
      <c r="D819" s="4" t="s">
        <v>48</v>
      </c>
      <c r="E819" s="4" t="s">
        <v>25</v>
      </c>
      <c r="F819" s="4" t="s">
        <v>25</v>
      </c>
      <c r="G819" s="4" t="s">
        <v>25</v>
      </c>
      <c r="H819" s="4" t="s">
        <v>25</v>
      </c>
      <c r="I819" s="5">
        <v>44531</v>
      </c>
      <c r="J819" s="6">
        <v>6723</v>
      </c>
      <c r="K819" s="6">
        <v>6723</v>
      </c>
      <c r="L819" s="6">
        <v>0</v>
      </c>
      <c r="M819" s="6">
        <v>0</v>
      </c>
      <c r="N819" s="6">
        <v>0</v>
      </c>
      <c r="O819" s="6">
        <v>0</v>
      </c>
      <c r="P819" s="6">
        <v>71</v>
      </c>
      <c r="Q819" s="4" t="s">
        <v>26</v>
      </c>
      <c r="R819" s="4">
        <v>0</v>
      </c>
      <c r="S819" s="6">
        <v>27</v>
      </c>
      <c r="T819" s="6">
        <v>0</v>
      </c>
      <c r="U819" s="6">
        <v>0</v>
      </c>
      <c r="V819" s="6">
        <f>IF(ISERROR(VLOOKUP($S$819,'TAR FIN'!$A$1:$O$115,15,0)),0,VLOOKUP($S$819,'TAR FIN'!$A$1:$O$115,15,0))</f>
        <v>19.8</v>
      </c>
      <c r="W819" s="6">
        <f>IF(ISERROR(VLOOKUP($T$819,'TAR FIN'!$A$1:$O$115,15,0)),0,VLOOKUP($T$819,'TAR FIN'!$A$1:$O$115,15,0))</f>
        <v>0</v>
      </c>
      <c r="X819" s="6">
        <f>IF(ISERROR(VLOOKUP($U$819,'TAR FIN'!$A$1:$O$115,15,0)),0,VLOOKUP($U$819,'TAR FIN'!$A$1:$O$115,15,0))</f>
        <v>0</v>
      </c>
      <c r="Y819" s="6">
        <f ca="1">('TUSD BE'!$AM$27+'TUSD BF'!$AM$27+'TUSD CVA'!$AM$27)*1</f>
        <v>20.615214330225772</v>
      </c>
      <c r="Z819" s="6"/>
      <c r="AA819" s="6"/>
      <c r="AB819" s="6">
        <f>$K$819*$V$819</f>
        <v>133115.4</v>
      </c>
      <c r="AC819" s="6">
        <f>$M$819*$W$819</f>
        <v>0</v>
      </c>
      <c r="AD819" s="6">
        <f>$O$819*$X$819</f>
        <v>0</v>
      </c>
      <c r="AE819" s="6">
        <f ca="1">$K$819*$Y$819</f>
        <v>138596.08594210786</v>
      </c>
      <c r="AF819" s="6">
        <f>$M$819*$Z$819</f>
        <v>0</v>
      </c>
      <c r="AG819" s="6">
        <f>$O$819*$AA$819</f>
        <v>0</v>
      </c>
    </row>
    <row r="820" spans="1:33" ht="11.25" customHeight="1" x14ac:dyDescent="0.25">
      <c r="A820" s="4" t="s">
        <v>30</v>
      </c>
      <c r="B820" s="4" t="s">
        <v>41</v>
      </c>
      <c r="C820" s="4" t="s">
        <v>44</v>
      </c>
      <c r="D820" s="4" t="s">
        <v>48</v>
      </c>
      <c r="E820" s="4" t="s">
        <v>25</v>
      </c>
      <c r="F820" s="4" t="s">
        <v>25</v>
      </c>
      <c r="G820" s="4" t="s">
        <v>25</v>
      </c>
      <c r="H820" s="4" t="s">
        <v>25</v>
      </c>
      <c r="I820" s="5">
        <v>44531</v>
      </c>
      <c r="J820" s="6">
        <v>2430</v>
      </c>
      <c r="K820" s="6">
        <v>2430</v>
      </c>
      <c r="L820" s="6">
        <v>0</v>
      </c>
      <c r="M820" s="6">
        <v>0</v>
      </c>
      <c r="N820" s="6">
        <v>0</v>
      </c>
      <c r="O820" s="6">
        <v>0</v>
      </c>
      <c r="P820" s="6">
        <v>4</v>
      </c>
      <c r="Q820" s="4" t="s">
        <v>26</v>
      </c>
      <c r="R820" s="4">
        <v>0</v>
      </c>
      <c r="S820" s="6">
        <v>27</v>
      </c>
      <c r="T820" s="6">
        <v>0</v>
      </c>
      <c r="U820" s="6">
        <v>0</v>
      </c>
      <c r="V820" s="6">
        <f>IF(ISERROR(VLOOKUP($S$820,'TAR FIN'!$A$1:$O$115,15,0)),0,VLOOKUP($S$820,'TAR FIN'!$A$1:$O$115,15,0))</f>
        <v>19.8</v>
      </c>
      <c r="W820" s="6">
        <f>IF(ISERROR(VLOOKUP($T$820,'TAR FIN'!$A$1:$O$115,15,0)),0,VLOOKUP($T$820,'TAR FIN'!$A$1:$O$115,15,0))</f>
        <v>0</v>
      </c>
      <c r="X820" s="6">
        <f>IF(ISERROR(VLOOKUP($U$820,'TAR FIN'!$A$1:$O$115,15,0)),0,VLOOKUP($U$820,'TAR FIN'!$A$1:$O$115,15,0))</f>
        <v>0</v>
      </c>
      <c r="Y820" s="6">
        <f ca="1">('TUSD BE'!$AM$27+'TUSD BF'!$AM$27+'TUSD CVA'!$AM$27)*1</f>
        <v>20.615214330225772</v>
      </c>
      <c r="Z820" s="6"/>
      <c r="AA820" s="6"/>
      <c r="AB820" s="6">
        <f>$K$820*$V$820</f>
        <v>48114</v>
      </c>
      <c r="AC820" s="6">
        <f>$M$820*$W$820</f>
        <v>0</v>
      </c>
      <c r="AD820" s="6">
        <f>$O$820*$X$820</f>
        <v>0</v>
      </c>
      <c r="AE820" s="6">
        <f ca="1">$K$820*$Y$820</f>
        <v>50094.970822448624</v>
      </c>
      <c r="AF820" s="6">
        <f>$M$820*$Z$820</f>
        <v>0</v>
      </c>
      <c r="AG820" s="6">
        <f>$O$820*$AA$820</f>
        <v>0</v>
      </c>
    </row>
    <row r="821" spans="1:33" ht="11.25" customHeight="1" x14ac:dyDescent="0.25">
      <c r="A821" s="4" t="s">
        <v>21</v>
      </c>
      <c r="B821" s="4" t="s">
        <v>41</v>
      </c>
      <c r="C821" s="4" t="s">
        <v>44</v>
      </c>
      <c r="D821" s="4" t="s">
        <v>48</v>
      </c>
      <c r="E821" s="4" t="s">
        <v>25</v>
      </c>
      <c r="F821" s="4" t="s">
        <v>25</v>
      </c>
      <c r="G821" s="4" t="s">
        <v>25</v>
      </c>
      <c r="H821" s="4" t="s">
        <v>25</v>
      </c>
      <c r="I821" s="5">
        <v>44562</v>
      </c>
      <c r="J821" s="6">
        <v>27509</v>
      </c>
      <c r="K821" s="6">
        <v>27509</v>
      </c>
      <c r="L821" s="6">
        <v>0</v>
      </c>
      <c r="M821" s="6">
        <v>0</v>
      </c>
      <c r="N821" s="6">
        <v>0</v>
      </c>
      <c r="O821" s="6">
        <v>0</v>
      </c>
      <c r="P821" s="6">
        <v>257</v>
      </c>
      <c r="Q821" s="4" t="s">
        <v>26</v>
      </c>
      <c r="R821" s="4">
        <v>0</v>
      </c>
      <c r="S821" s="6">
        <v>27</v>
      </c>
      <c r="T821" s="6">
        <v>0</v>
      </c>
      <c r="U821" s="6">
        <v>0</v>
      </c>
      <c r="V821" s="6">
        <f>IF(ISERROR(VLOOKUP($S$821,'TAR FIN'!$A$1:$O$115,15,0)),0,VLOOKUP($S$821,'TAR FIN'!$A$1:$O$115,15,0))</f>
        <v>19.8</v>
      </c>
      <c r="W821" s="6">
        <f>IF(ISERROR(VLOOKUP($T$821,'TAR FIN'!$A$1:$O$115,15,0)),0,VLOOKUP($T$821,'TAR FIN'!$A$1:$O$115,15,0))</f>
        <v>0</v>
      </c>
      <c r="X821" s="6">
        <f>IF(ISERROR(VLOOKUP($U$821,'TAR FIN'!$A$1:$O$115,15,0)),0,VLOOKUP($U$821,'TAR FIN'!$A$1:$O$115,15,0))</f>
        <v>0</v>
      </c>
      <c r="Y821" s="6">
        <f ca="1">('TUSD BE'!$AM$27+'TUSD BF'!$AM$27+'TUSD CVA'!$AM$27)*1</f>
        <v>20.615214330225772</v>
      </c>
      <c r="Z821" s="6"/>
      <c r="AA821" s="6"/>
      <c r="AB821" s="6">
        <f>$K$821*$V$821</f>
        <v>544678.20000000007</v>
      </c>
      <c r="AC821" s="6">
        <f>$M$821*$W$821</f>
        <v>0</v>
      </c>
      <c r="AD821" s="6">
        <f>$O$821*$X$821</f>
        <v>0</v>
      </c>
      <c r="AE821" s="6">
        <f ca="1">$K$821*$Y$821</f>
        <v>567103.93101018074</v>
      </c>
      <c r="AF821" s="6">
        <f>$M$821*$Z$821</f>
        <v>0</v>
      </c>
      <c r="AG821" s="6">
        <f>$O$821*$AA$821</f>
        <v>0</v>
      </c>
    </row>
    <row r="822" spans="1:33" ht="11.25" customHeight="1" x14ac:dyDescent="0.25">
      <c r="A822" s="4" t="s">
        <v>28</v>
      </c>
      <c r="B822" s="4" t="s">
        <v>41</v>
      </c>
      <c r="C822" s="4" t="s">
        <v>44</v>
      </c>
      <c r="D822" s="4" t="s">
        <v>48</v>
      </c>
      <c r="E822" s="4" t="s">
        <v>25</v>
      </c>
      <c r="F822" s="4" t="s">
        <v>25</v>
      </c>
      <c r="G822" s="4" t="s">
        <v>25</v>
      </c>
      <c r="H822" s="4" t="s">
        <v>25</v>
      </c>
      <c r="I822" s="5">
        <v>44562</v>
      </c>
      <c r="J822" s="6">
        <v>6681</v>
      </c>
      <c r="K822" s="6">
        <v>6681</v>
      </c>
      <c r="L822" s="6">
        <v>0</v>
      </c>
      <c r="M822" s="6">
        <v>0</v>
      </c>
      <c r="N822" s="6">
        <v>0</v>
      </c>
      <c r="O822" s="6">
        <v>0</v>
      </c>
      <c r="P822" s="6">
        <v>72</v>
      </c>
      <c r="Q822" s="4" t="s">
        <v>26</v>
      </c>
      <c r="R822" s="4">
        <v>0</v>
      </c>
      <c r="S822" s="6">
        <v>27</v>
      </c>
      <c r="T822" s="6">
        <v>0</v>
      </c>
      <c r="U822" s="6">
        <v>0</v>
      </c>
      <c r="V822" s="6">
        <f>IF(ISERROR(VLOOKUP($S$822,'TAR FIN'!$A$1:$O$115,15,0)),0,VLOOKUP($S$822,'TAR FIN'!$A$1:$O$115,15,0))</f>
        <v>19.8</v>
      </c>
      <c r="W822" s="6">
        <f>IF(ISERROR(VLOOKUP($T$822,'TAR FIN'!$A$1:$O$115,15,0)),0,VLOOKUP($T$822,'TAR FIN'!$A$1:$O$115,15,0))</f>
        <v>0</v>
      </c>
      <c r="X822" s="6">
        <f>IF(ISERROR(VLOOKUP($U$822,'TAR FIN'!$A$1:$O$115,15,0)),0,VLOOKUP($U$822,'TAR FIN'!$A$1:$O$115,15,0))</f>
        <v>0</v>
      </c>
      <c r="Y822" s="6">
        <f ca="1">('TUSD BE'!$AM$27+'TUSD BF'!$AM$27+'TUSD CVA'!$AM$27)*1</f>
        <v>20.615214330225772</v>
      </c>
      <c r="Z822" s="6"/>
      <c r="AA822" s="6"/>
      <c r="AB822" s="6">
        <f>$K$822*$V$822</f>
        <v>132283.80000000002</v>
      </c>
      <c r="AC822" s="6">
        <f>$M$822*$W$822</f>
        <v>0</v>
      </c>
      <c r="AD822" s="6">
        <f>$O$822*$X$822</f>
        <v>0</v>
      </c>
      <c r="AE822" s="6">
        <f ca="1">$K$822*$Y$822</f>
        <v>137730.24694023837</v>
      </c>
      <c r="AF822" s="6">
        <f>$M$822*$Z$822</f>
        <v>0</v>
      </c>
      <c r="AG822" s="6">
        <f>$O$822*$AA$822</f>
        <v>0</v>
      </c>
    </row>
    <row r="823" spans="1:33" ht="11.25" customHeight="1" x14ac:dyDescent="0.25">
      <c r="A823" s="4" t="s">
        <v>29</v>
      </c>
      <c r="B823" s="4" t="s">
        <v>41</v>
      </c>
      <c r="C823" s="4" t="s">
        <v>44</v>
      </c>
      <c r="D823" s="4" t="s">
        <v>48</v>
      </c>
      <c r="E823" s="4" t="s">
        <v>25</v>
      </c>
      <c r="F823" s="4" t="s">
        <v>25</v>
      </c>
      <c r="G823" s="4" t="s">
        <v>25</v>
      </c>
      <c r="H823" s="4" t="s">
        <v>25</v>
      </c>
      <c r="I823" s="5">
        <v>44562</v>
      </c>
      <c r="J823" s="6">
        <v>-44</v>
      </c>
      <c r="K823" s="6">
        <v>-44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4" t="s">
        <v>26</v>
      </c>
      <c r="R823" s="4">
        <v>0</v>
      </c>
      <c r="S823" s="6">
        <v>27</v>
      </c>
      <c r="T823" s="6">
        <v>0</v>
      </c>
      <c r="U823" s="6">
        <v>0</v>
      </c>
      <c r="V823" s="6">
        <f>IF(ISERROR(VLOOKUP($S$823,'TAR FIN'!$A$1:$O$115,15,0)),0,VLOOKUP($S$823,'TAR FIN'!$A$1:$O$115,15,0))</f>
        <v>19.8</v>
      </c>
      <c r="W823" s="6">
        <f>IF(ISERROR(VLOOKUP($T$823,'TAR FIN'!$A$1:$O$115,15,0)),0,VLOOKUP($T$823,'TAR FIN'!$A$1:$O$115,15,0))</f>
        <v>0</v>
      </c>
      <c r="X823" s="6">
        <f>IF(ISERROR(VLOOKUP($U$823,'TAR FIN'!$A$1:$O$115,15,0)),0,VLOOKUP($U$823,'TAR FIN'!$A$1:$O$115,15,0))</f>
        <v>0</v>
      </c>
      <c r="Y823" s="6">
        <f ca="1">('TUSD BE'!$AM$27+'TUSD BF'!$AM$27+'TUSD CVA'!$AM$27)*1</f>
        <v>20.615214330225772</v>
      </c>
      <c r="Z823" s="6"/>
      <c r="AA823" s="6"/>
      <c r="AB823" s="6">
        <f>$K$823*$V$823</f>
        <v>-871.2</v>
      </c>
      <c r="AC823" s="6">
        <f>$M$823*$W$823</f>
        <v>0</v>
      </c>
      <c r="AD823" s="6">
        <f>$O$823*$X$823</f>
        <v>0</v>
      </c>
      <c r="AE823" s="6">
        <f ca="1">$K$823*$Y$823</f>
        <v>-907.06943052993392</v>
      </c>
      <c r="AF823" s="6">
        <f>$M$823*$Z$823</f>
        <v>0</v>
      </c>
      <c r="AG823" s="6">
        <f>$O$823*$AA$823</f>
        <v>0</v>
      </c>
    </row>
    <row r="824" spans="1:33" ht="11.25" customHeight="1" x14ac:dyDescent="0.25">
      <c r="A824" s="4" t="s">
        <v>30</v>
      </c>
      <c r="B824" s="4" t="s">
        <v>41</v>
      </c>
      <c r="C824" s="4" t="s">
        <v>44</v>
      </c>
      <c r="D824" s="4" t="s">
        <v>48</v>
      </c>
      <c r="E824" s="4" t="s">
        <v>25</v>
      </c>
      <c r="F824" s="4" t="s">
        <v>25</v>
      </c>
      <c r="G824" s="4" t="s">
        <v>25</v>
      </c>
      <c r="H824" s="4" t="s">
        <v>25</v>
      </c>
      <c r="I824" s="5">
        <v>44562</v>
      </c>
      <c r="J824" s="6">
        <v>2430</v>
      </c>
      <c r="K824" s="6">
        <v>2430</v>
      </c>
      <c r="L824" s="6">
        <v>0</v>
      </c>
      <c r="M824" s="6">
        <v>0</v>
      </c>
      <c r="N824" s="6">
        <v>0</v>
      </c>
      <c r="O824" s="6">
        <v>0</v>
      </c>
      <c r="P824" s="6">
        <v>4</v>
      </c>
      <c r="Q824" s="4" t="s">
        <v>26</v>
      </c>
      <c r="R824" s="4">
        <v>0</v>
      </c>
      <c r="S824" s="6">
        <v>27</v>
      </c>
      <c r="T824" s="6">
        <v>0</v>
      </c>
      <c r="U824" s="6">
        <v>0</v>
      </c>
      <c r="V824" s="6">
        <f>IF(ISERROR(VLOOKUP($S$824,'TAR FIN'!$A$1:$O$115,15,0)),0,VLOOKUP($S$824,'TAR FIN'!$A$1:$O$115,15,0))</f>
        <v>19.8</v>
      </c>
      <c r="W824" s="6">
        <f>IF(ISERROR(VLOOKUP($T$824,'TAR FIN'!$A$1:$O$115,15,0)),0,VLOOKUP($T$824,'TAR FIN'!$A$1:$O$115,15,0))</f>
        <v>0</v>
      </c>
      <c r="X824" s="6">
        <f>IF(ISERROR(VLOOKUP($U$824,'TAR FIN'!$A$1:$O$115,15,0)),0,VLOOKUP($U$824,'TAR FIN'!$A$1:$O$115,15,0))</f>
        <v>0</v>
      </c>
      <c r="Y824" s="6">
        <f ca="1">('TUSD BE'!$AM$27+'TUSD BF'!$AM$27+'TUSD CVA'!$AM$27)*1</f>
        <v>20.615214330225772</v>
      </c>
      <c r="Z824" s="6"/>
      <c r="AA824" s="6"/>
      <c r="AB824" s="6">
        <f>$K$824*$V$824</f>
        <v>48114</v>
      </c>
      <c r="AC824" s="6">
        <f>$M$824*$W$824</f>
        <v>0</v>
      </c>
      <c r="AD824" s="6">
        <f>$O$824*$X$824</f>
        <v>0</v>
      </c>
      <c r="AE824" s="6">
        <f ca="1">$K$824*$Y$824</f>
        <v>50094.970822448624</v>
      </c>
      <c r="AF824" s="6">
        <f>$M$824*$Z$824</f>
        <v>0</v>
      </c>
      <c r="AG824" s="6">
        <f>$O$824*$AA$824</f>
        <v>0</v>
      </c>
    </row>
    <row r="825" spans="1:33" ht="11.25" customHeight="1" x14ac:dyDescent="0.25">
      <c r="A825" s="4" t="s">
        <v>21</v>
      </c>
      <c r="B825" s="4" t="s">
        <v>41</v>
      </c>
      <c r="C825" s="4" t="s">
        <v>44</v>
      </c>
      <c r="D825" s="4" t="s">
        <v>48</v>
      </c>
      <c r="E825" s="4" t="s">
        <v>25</v>
      </c>
      <c r="F825" s="4" t="s">
        <v>25</v>
      </c>
      <c r="G825" s="4" t="s">
        <v>25</v>
      </c>
      <c r="H825" s="4" t="s">
        <v>25</v>
      </c>
      <c r="I825" s="5">
        <v>44593</v>
      </c>
      <c r="J825" s="6">
        <v>27379</v>
      </c>
      <c r="K825" s="6">
        <v>27379</v>
      </c>
      <c r="L825" s="6">
        <v>0</v>
      </c>
      <c r="M825" s="6">
        <v>0</v>
      </c>
      <c r="N825" s="6">
        <v>0</v>
      </c>
      <c r="O825" s="6">
        <v>0</v>
      </c>
      <c r="P825" s="6">
        <v>258</v>
      </c>
      <c r="Q825" s="4" t="s">
        <v>26</v>
      </c>
      <c r="R825" s="4">
        <v>0</v>
      </c>
      <c r="S825" s="6">
        <v>27</v>
      </c>
      <c r="T825" s="6">
        <v>0</v>
      </c>
      <c r="U825" s="6">
        <v>0</v>
      </c>
      <c r="V825" s="6">
        <f>IF(ISERROR(VLOOKUP($S$825,'TAR FIN'!$A$1:$O$115,15,0)),0,VLOOKUP($S$825,'TAR FIN'!$A$1:$O$115,15,0))</f>
        <v>19.8</v>
      </c>
      <c r="W825" s="6">
        <f>IF(ISERROR(VLOOKUP($T$825,'TAR FIN'!$A$1:$O$115,15,0)),0,VLOOKUP($T$825,'TAR FIN'!$A$1:$O$115,15,0))</f>
        <v>0</v>
      </c>
      <c r="X825" s="6">
        <f>IF(ISERROR(VLOOKUP($U$825,'TAR FIN'!$A$1:$O$115,15,0)),0,VLOOKUP($U$825,'TAR FIN'!$A$1:$O$115,15,0))</f>
        <v>0</v>
      </c>
      <c r="Y825" s="6">
        <f ca="1">('TUSD BE'!$AM$27+'TUSD BF'!$AM$27+'TUSD CVA'!$AM$27)*1</f>
        <v>20.615214330225772</v>
      </c>
      <c r="Z825" s="6"/>
      <c r="AA825" s="6"/>
      <c r="AB825" s="6">
        <f>$K$825*$V$825</f>
        <v>542104.20000000007</v>
      </c>
      <c r="AC825" s="6">
        <f>$M$825*$W$825</f>
        <v>0</v>
      </c>
      <c r="AD825" s="6">
        <f>$O$825*$X$825</f>
        <v>0</v>
      </c>
      <c r="AE825" s="6">
        <f ca="1">$K$825*$Y$825</f>
        <v>564423.95314725139</v>
      </c>
      <c r="AF825" s="6">
        <f>$M$825*$Z$825</f>
        <v>0</v>
      </c>
      <c r="AG825" s="6">
        <f>$O$825*$AA$825</f>
        <v>0</v>
      </c>
    </row>
    <row r="826" spans="1:33" ht="11.25" customHeight="1" x14ac:dyDescent="0.25">
      <c r="A826" s="4" t="s">
        <v>28</v>
      </c>
      <c r="B826" s="4" t="s">
        <v>41</v>
      </c>
      <c r="C826" s="4" t="s">
        <v>44</v>
      </c>
      <c r="D826" s="4" t="s">
        <v>48</v>
      </c>
      <c r="E826" s="4" t="s">
        <v>25</v>
      </c>
      <c r="F826" s="4" t="s">
        <v>25</v>
      </c>
      <c r="G826" s="4" t="s">
        <v>25</v>
      </c>
      <c r="H826" s="4" t="s">
        <v>25</v>
      </c>
      <c r="I826" s="5">
        <v>44593</v>
      </c>
      <c r="J826" s="6">
        <v>6436</v>
      </c>
      <c r="K826" s="6">
        <v>6436</v>
      </c>
      <c r="L826" s="6">
        <v>0</v>
      </c>
      <c r="M826" s="6">
        <v>0</v>
      </c>
      <c r="N826" s="6">
        <v>0</v>
      </c>
      <c r="O826" s="6">
        <v>0</v>
      </c>
      <c r="P826" s="6">
        <v>71</v>
      </c>
      <c r="Q826" s="4" t="s">
        <v>26</v>
      </c>
      <c r="R826" s="4">
        <v>0</v>
      </c>
      <c r="S826" s="6">
        <v>27</v>
      </c>
      <c r="T826" s="6">
        <v>0</v>
      </c>
      <c r="U826" s="6">
        <v>0</v>
      </c>
      <c r="V826" s="6">
        <f>IF(ISERROR(VLOOKUP($S$826,'TAR FIN'!$A$1:$O$115,15,0)),0,VLOOKUP($S$826,'TAR FIN'!$A$1:$O$115,15,0))</f>
        <v>19.8</v>
      </c>
      <c r="W826" s="6">
        <f>IF(ISERROR(VLOOKUP($T$826,'TAR FIN'!$A$1:$O$115,15,0)),0,VLOOKUP($T$826,'TAR FIN'!$A$1:$O$115,15,0))</f>
        <v>0</v>
      </c>
      <c r="X826" s="6">
        <f>IF(ISERROR(VLOOKUP($U$826,'TAR FIN'!$A$1:$O$115,15,0)),0,VLOOKUP($U$826,'TAR FIN'!$A$1:$O$115,15,0))</f>
        <v>0</v>
      </c>
      <c r="Y826" s="6">
        <f ca="1">('TUSD BE'!$AM$27+'TUSD BF'!$AM$27+'TUSD CVA'!$AM$27)*1</f>
        <v>20.615214330225772</v>
      </c>
      <c r="Z826" s="6"/>
      <c r="AA826" s="6"/>
      <c r="AB826" s="6">
        <f>$K$826*$V$826</f>
        <v>127432.8</v>
      </c>
      <c r="AC826" s="6">
        <f>$M$826*$W$826</f>
        <v>0</v>
      </c>
      <c r="AD826" s="6">
        <f>$O$826*$X$826</f>
        <v>0</v>
      </c>
      <c r="AE826" s="6">
        <f ca="1">$K$826*$Y$826</f>
        <v>132679.51942933307</v>
      </c>
      <c r="AF826" s="6">
        <f>$M$826*$Z$826</f>
        <v>0</v>
      </c>
      <c r="AG826" s="6">
        <f>$O$826*$AA$826</f>
        <v>0</v>
      </c>
    </row>
    <row r="827" spans="1:33" ht="11.25" customHeight="1" x14ac:dyDescent="0.25">
      <c r="A827" s="4" t="s">
        <v>30</v>
      </c>
      <c r="B827" s="4" t="s">
        <v>41</v>
      </c>
      <c r="C827" s="4" t="s">
        <v>44</v>
      </c>
      <c r="D827" s="4" t="s">
        <v>48</v>
      </c>
      <c r="E827" s="4" t="s">
        <v>25</v>
      </c>
      <c r="F827" s="4" t="s">
        <v>25</v>
      </c>
      <c r="G827" s="4" t="s">
        <v>25</v>
      </c>
      <c r="H827" s="4" t="s">
        <v>25</v>
      </c>
      <c r="I827" s="5">
        <v>44593</v>
      </c>
      <c r="J827" s="6">
        <v>2430</v>
      </c>
      <c r="K827" s="6">
        <v>2430</v>
      </c>
      <c r="L827" s="6">
        <v>0</v>
      </c>
      <c r="M827" s="6">
        <v>0</v>
      </c>
      <c r="N827" s="6">
        <v>0</v>
      </c>
      <c r="O827" s="6">
        <v>0</v>
      </c>
      <c r="P827" s="6">
        <v>4</v>
      </c>
      <c r="Q827" s="4" t="s">
        <v>26</v>
      </c>
      <c r="R827" s="4">
        <v>0</v>
      </c>
      <c r="S827" s="6">
        <v>27</v>
      </c>
      <c r="T827" s="6">
        <v>0</v>
      </c>
      <c r="U827" s="6">
        <v>0</v>
      </c>
      <c r="V827" s="6">
        <f>IF(ISERROR(VLOOKUP($S$827,'TAR FIN'!$A$1:$O$115,15,0)),0,VLOOKUP($S$827,'TAR FIN'!$A$1:$O$115,15,0))</f>
        <v>19.8</v>
      </c>
      <c r="W827" s="6">
        <f>IF(ISERROR(VLOOKUP($T$827,'TAR FIN'!$A$1:$O$115,15,0)),0,VLOOKUP($T$827,'TAR FIN'!$A$1:$O$115,15,0))</f>
        <v>0</v>
      </c>
      <c r="X827" s="6">
        <f>IF(ISERROR(VLOOKUP($U$827,'TAR FIN'!$A$1:$O$115,15,0)),0,VLOOKUP($U$827,'TAR FIN'!$A$1:$O$115,15,0))</f>
        <v>0</v>
      </c>
      <c r="Y827" s="6">
        <f ca="1">('TUSD BE'!$AM$27+'TUSD BF'!$AM$27+'TUSD CVA'!$AM$27)*1</f>
        <v>20.615214330225772</v>
      </c>
      <c r="Z827" s="6"/>
      <c r="AA827" s="6"/>
      <c r="AB827" s="6">
        <f>$K$827*$V$827</f>
        <v>48114</v>
      </c>
      <c r="AC827" s="6">
        <f>$M$827*$W$827</f>
        <v>0</v>
      </c>
      <c r="AD827" s="6">
        <f>$O$827*$X$827</f>
        <v>0</v>
      </c>
      <c r="AE827" s="6">
        <f ca="1">$K$827*$Y$827</f>
        <v>50094.970822448624</v>
      </c>
      <c r="AF827" s="6">
        <f>$M$827*$Z$827</f>
        <v>0</v>
      </c>
      <c r="AG827" s="6">
        <f>$O$827*$AA$827</f>
        <v>0</v>
      </c>
    </row>
    <row r="828" spans="1:33" ht="11.25" customHeight="1" x14ac:dyDescent="0.25">
      <c r="A828" s="4" t="s">
        <v>21</v>
      </c>
      <c r="B828" s="4" t="s">
        <v>41</v>
      </c>
      <c r="C828" s="4" t="s">
        <v>44</v>
      </c>
      <c r="D828" s="4" t="s">
        <v>48</v>
      </c>
      <c r="E828" s="4" t="s">
        <v>25</v>
      </c>
      <c r="F828" s="4" t="s">
        <v>25</v>
      </c>
      <c r="G828" s="4" t="s">
        <v>25</v>
      </c>
      <c r="H828" s="4" t="s">
        <v>25</v>
      </c>
      <c r="I828" s="5">
        <v>44621</v>
      </c>
      <c r="J828" s="6">
        <v>27584</v>
      </c>
      <c r="K828" s="6">
        <v>27584</v>
      </c>
      <c r="L828" s="6">
        <v>0</v>
      </c>
      <c r="M828" s="6">
        <v>0</v>
      </c>
      <c r="N828" s="6">
        <v>0</v>
      </c>
      <c r="O828" s="6">
        <v>0</v>
      </c>
      <c r="P828" s="6">
        <v>260</v>
      </c>
      <c r="Q828" s="4" t="s">
        <v>26</v>
      </c>
      <c r="R828" s="4">
        <v>0</v>
      </c>
      <c r="S828" s="6">
        <v>27</v>
      </c>
      <c r="T828" s="6">
        <v>0</v>
      </c>
      <c r="U828" s="6">
        <v>0</v>
      </c>
      <c r="V828" s="6">
        <f>IF(ISERROR(VLOOKUP($S$828,'TAR FIN'!$A$1:$O$115,15,0)),0,VLOOKUP($S$828,'TAR FIN'!$A$1:$O$115,15,0))</f>
        <v>19.8</v>
      </c>
      <c r="W828" s="6">
        <f>IF(ISERROR(VLOOKUP($T$828,'TAR FIN'!$A$1:$O$115,15,0)),0,VLOOKUP($T$828,'TAR FIN'!$A$1:$O$115,15,0))</f>
        <v>0</v>
      </c>
      <c r="X828" s="6">
        <f>IF(ISERROR(VLOOKUP($U$828,'TAR FIN'!$A$1:$O$115,15,0)),0,VLOOKUP($U$828,'TAR FIN'!$A$1:$O$115,15,0))</f>
        <v>0</v>
      </c>
      <c r="Y828" s="6">
        <f ca="1">('TUSD BE'!$AM$27+'TUSD BF'!$AM$27+'TUSD CVA'!$AM$27)*1</f>
        <v>20.615214330225772</v>
      </c>
      <c r="Z828" s="6"/>
      <c r="AA828" s="6"/>
      <c r="AB828" s="6">
        <f>$K$828*$V$828</f>
        <v>546163.20000000007</v>
      </c>
      <c r="AC828" s="6">
        <f>$M$828*$W$828</f>
        <v>0</v>
      </c>
      <c r="AD828" s="6">
        <f>$O$828*$X$828</f>
        <v>0</v>
      </c>
      <c r="AE828" s="6">
        <f ca="1">$K$828*$Y$828</f>
        <v>568650.07208494772</v>
      </c>
      <c r="AF828" s="6">
        <f>$M$828*$Z$828</f>
        <v>0</v>
      </c>
      <c r="AG828" s="6">
        <f>$O$828*$AA$828</f>
        <v>0</v>
      </c>
    </row>
    <row r="829" spans="1:33" ht="11.25" customHeight="1" x14ac:dyDescent="0.25">
      <c r="A829" s="4" t="s">
        <v>28</v>
      </c>
      <c r="B829" s="4" t="s">
        <v>41</v>
      </c>
      <c r="C829" s="4" t="s">
        <v>44</v>
      </c>
      <c r="D829" s="4" t="s">
        <v>48</v>
      </c>
      <c r="E829" s="4" t="s">
        <v>25</v>
      </c>
      <c r="F829" s="4" t="s">
        <v>25</v>
      </c>
      <c r="G829" s="4" t="s">
        <v>25</v>
      </c>
      <c r="H829" s="4" t="s">
        <v>25</v>
      </c>
      <c r="I829" s="5">
        <v>44621</v>
      </c>
      <c r="J829" s="6">
        <v>6421</v>
      </c>
      <c r="K829" s="6">
        <v>6421</v>
      </c>
      <c r="L829" s="6">
        <v>0</v>
      </c>
      <c r="M829" s="6">
        <v>0</v>
      </c>
      <c r="N829" s="6">
        <v>0</v>
      </c>
      <c r="O829" s="6">
        <v>0</v>
      </c>
      <c r="P829" s="6">
        <v>71</v>
      </c>
      <c r="Q829" s="4" t="s">
        <v>26</v>
      </c>
      <c r="R829" s="4">
        <v>0</v>
      </c>
      <c r="S829" s="6">
        <v>27</v>
      </c>
      <c r="T829" s="6">
        <v>0</v>
      </c>
      <c r="U829" s="6">
        <v>0</v>
      </c>
      <c r="V829" s="6">
        <f>IF(ISERROR(VLOOKUP($S$829,'TAR FIN'!$A$1:$O$115,15,0)),0,VLOOKUP($S$829,'TAR FIN'!$A$1:$O$115,15,0))</f>
        <v>19.8</v>
      </c>
      <c r="W829" s="6">
        <f>IF(ISERROR(VLOOKUP($T$829,'TAR FIN'!$A$1:$O$115,15,0)),0,VLOOKUP($T$829,'TAR FIN'!$A$1:$O$115,15,0))</f>
        <v>0</v>
      </c>
      <c r="X829" s="6">
        <f>IF(ISERROR(VLOOKUP($U$829,'TAR FIN'!$A$1:$O$115,15,0)),0,VLOOKUP($U$829,'TAR FIN'!$A$1:$O$115,15,0))</f>
        <v>0</v>
      </c>
      <c r="Y829" s="6">
        <f ca="1">('TUSD BE'!$AM$27+'TUSD BF'!$AM$27+'TUSD CVA'!$AM$27)*1</f>
        <v>20.615214330225772</v>
      </c>
      <c r="Z829" s="6"/>
      <c r="AA829" s="6"/>
      <c r="AB829" s="6">
        <f>$K$829*$V$829</f>
        <v>127135.8</v>
      </c>
      <c r="AC829" s="6">
        <f>$M$829*$W$829</f>
        <v>0</v>
      </c>
      <c r="AD829" s="6">
        <f>$O$829*$X$829</f>
        <v>0</v>
      </c>
      <c r="AE829" s="6">
        <f ca="1">$K$829*$Y$829</f>
        <v>132370.29121437969</v>
      </c>
      <c r="AF829" s="6">
        <f>$M$829*$Z$829</f>
        <v>0</v>
      </c>
      <c r="AG829" s="6">
        <f>$O$829*$AA$829</f>
        <v>0</v>
      </c>
    </row>
    <row r="830" spans="1:33" ht="11.25" customHeight="1" x14ac:dyDescent="0.25">
      <c r="A830" s="4" t="s">
        <v>30</v>
      </c>
      <c r="B830" s="4" t="s">
        <v>41</v>
      </c>
      <c r="C830" s="4" t="s">
        <v>44</v>
      </c>
      <c r="D830" s="4" t="s">
        <v>48</v>
      </c>
      <c r="E830" s="4" t="s">
        <v>25</v>
      </c>
      <c r="F830" s="4" t="s">
        <v>25</v>
      </c>
      <c r="G830" s="4" t="s">
        <v>25</v>
      </c>
      <c r="H830" s="4" t="s">
        <v>25</v>
      </c>
      <c r="I830" s="5">
        <v>44621</v>
      </c>
      <c r="J830" s="6">
        <v>2430</v>
      </c>
      <c r="K830" s="6">
        <v>2430</v>
      </c>
      <c r="L830" s="6">
        <v>0</v>
      </c>
      <c r="M830" s="6">
        <v>0</v>
      </c>
      <c r="N830" s="6">
        <v>0</v>
      </c>
      <c r="O830" s="6">
        <v>0</v>
      </c>
      <c r="P830" s="6">
        <v>4</v>
      </c>
      <c r="Q830" s="4" t="s">
        <v>26</v>
      </c>
      <c r="R830" s="4">
        <v>0</v>
      </c>
      <c r="S830" s="6">
        <v>27</v>
      </c>
      <c r="T830" s="6">
        <v>0</v>
      </c>
      <c r="U830" s="6">
        <v>0</v>
      </c>
      <c r="V830" s="6">
        <f>IF(ISERROR(VLOOKUP($S$830,'TAR FIN'!$A$1:$O$115,15,0)),0,VLOOKUP($S$830,'TAR FIN'!$A$1:$O$115,15,0))</f>
        <v>19.8</v>
      </c>
      <c r="W830" s="6">
        <f>IF(ISERROR(VLOOKUP($T$830,'TAR FIN'!$A$1:$O$115,15,0)),0,VLOOKUP($T$830,'TAR FIN'!$A$1:$O$115,15,0))</f>
        <v>0</v>
      </c>
      <c r="X830" s="6">
        <f>IF(ISERROR(VLOOKUP($U$830,'TAR FIN'!$A$1:$O$115,15,0)),0,VLOOKUP($U$830,'TAR FIN'!$A$1:$O$115,15,0))</f>
        <v>0</v>
      </c>
      <c r="Y830" s="6">
        <f ca="1">('TUSD BE'!$AM$27+'TUSD BF'!$AM$27+'TUSD CVA'!$AM$27)*1</f>
        <v>20.615214330225772</v>
      </c>
      <c r="Z830" s="6"/>
      <c r="AA830" s="6"/>
      <c r="AB830" s="6">
        <f>$K$830*$V$830</f>
        <v>48114</v>
      </c>
      <c r="AC830" s="6">
        <f>$M$830*$W$830</f>
        <v>0</v>
      </c>
      <c r="AD830" s="6">
        <f>$O$830*$X$830</f>
        <v>0</v>
      </c>
      <c r="AE830" s="6">
        <f ca="1">$K$830*$Y$830</f>
        <v>50094.970822448624</v>
      </c>
      <c r="AF830" s="6">
        <f>$M$830*$Z$830</f>
        <v>0</v>
      </c>
      <c r="AG830" s="6">
        <f>$O$830*$AA$830</f>
        <v>0</v>
      </c>
    </row>
    <row r="831" spans="1:33" ht="11.25" customHeight="1" x14ac:dyDescent="0.25">
      <c r="A831" s="4" t="s">
        <v>21</v>
      </c>
      <c r="B831" s="4" t="s">
        <v>41</v>
      </c>
      <c r="C831" s="4" t="s">
        <v>44</v>
      </c>
      <c r="D831" s="4" t="s">
        <v>48</v>
      </c>
      <c r="E831" s="4" t="s">
        <v>25</v>
      </c>
      <c r="F831" s="4" t="s">
        <v>25</v>
      </c>
      <c r="G831" s="4" t="s">
        <v>25</v>
      </c>
      <c r="H831" s="4" t="s">
        <v>25</v>
      </c>
      <c r="I831" s="5">
        <v>44652</v>
      </c>
      <c r="J831" s="6">
        <v>27537</v>
      </c>
      <c r="K831" s="6">
        <v>27537</v>
      </c>
      <c r="L831" s="6">
        <v>0</v>
      </c>
      <c r="M831" s="6">
        <v>0</v>
      </c>
      <c r="N831" s="6">
        <v>0</v>
      </c>
      <c r="O831" s="6">
        <v>0</v>
      </c>
      <c r="P831" s="6">
        <v>258</v>
      </c>
      <c r="Q831" s="4" t="s">
        <v>26</v>
      </c>
      <c r="R831" s="4">
        <v>0</v>
      </c>
      <c r="S831" s="6">
        <v>27</v>
      </c>
      <c r="T831" s="6">
        <v>0</v>
      </c>
      <c r="U831" s="6">
        <v>0</v>
      </c>
      <c r="V831" s="6">
        <f>IF(ISERROR(VLOOKUP($S$831,'TAR FIN'!$A$1:$O$115,15,0)),0,VLOOKUP($S$831,'TAR FIN'!$A$1:$O$115,15,0))</f>
        <v>19.8</v>
      </c>
      <c r="W831" s="6">
        <f>IF(ISERROR(VLOOKUP($T$831,'TAR FIN'!$A$1:$O$115,15,0)),0,VLOOKUP($T$831,'TAR FIN'!$A$1:$O$115,15,0))</f>
        <v>0</v>
      </c>
      <c r="X831" s="6">
        <f>IF(ISERROR(VLOOKUP($U$831,'TAR FIN'!$A$1:$O$115,15,0)),0,VLOOKUP($U$831,'TAR FIN'!$A$1:$O$115,15,0))</f>
        <v>0</v>
      </c>
      <c r="Y831" s="6">
        <f ca="1">('TUSD BE'!$AM$27+'TUSD BF'!$AM$27+'TUSD CVA'!$AM$27)*1</f>
        <v>20.615214330225772</v>
      </c>
      <c r="Z831" s="6"/>
      <c r="AA831" s="6"/>
      <c r="AB831" s="6">
        <f>$K$831*$V$831</f>
        <v>545232.6</v>
      </c>
      <c r="AC831" s="6">
        <f>$M$831*$W$831</f>
        <v>0</v>
      </c>
      <c r="AD831" s="6">
        <f>$O$831*$X$831</f>
        <v>0</v>
      </c>
      <c r="AE831" s="6">
        <f ca="1">$K$831*$Y$831</f>
        <v>567681.1570114271</v>
      </c>
      <c r="AF831" s="6">
        <f>$M$831*$Z$831</f>
        <v>0</v>
      </c>
      <c r="AG831" s="6">
        <f>$O$831*$AA$831</f>
        <v>0</v>
      </c>
    </row>
    <row r="832" spans="1:33" ht="11.25" customHeight="1" x14ac:dyDescent="0.25">
      <c r="A832" s="4" t="s">
        <v>28</v>
      </c>
      <c r="B832" s="4" t="s">
        <v>41</v>
      </c>
      <c r="C832" s="4" t="s">
        <v>44</v>
      </c>
      <c r="D832" s="4" t="s">
        <v>48</v>
      </c>
      <c r="E832" s="4" t="s">
        <v>25</v>
      </c>
      <c r="F832" s="4" t="s">
        <v>25</v>
      </c>
      <c r="G832" s="4" t="s">
        <v>25</v>
      </c>
      <c r="H832" s="4" t="s">
        <v>25</v>
      </c>
      <c r="I832" s="5">
        <v>44652</v>
      </c>
      <c r="J832" s="6">
        <v>6577</v>
      </c>
      <c r="K832" s="6">
        <v>6577</v>
      </c>
      <c r="L832" s="6">
        <v>0</v>
      </c>
      <c r="M832" s="6">
        <v>0</v>
      </c>
      <c r="N832" s="6">
        <v>0</v>
      </c>
      <c r="O832" s="6">
        <v>0</v>
      </c>
      <c r="P832" s="6">
        <v>71</v>
      </c>
      <c r="Q832" s="4" t="s">
        <v>26</v>
      </c>
      <c r="R832" s="4">
        <v>0</v>
      </c>
      <c r="S832" s="6">
        <v>27</v>
      </c>
      <c r="T832" s="6">
        <v>0</v>
      </c>
      <c r="U832" s="6">
        <v>0</v>
      </c>
      <c r="V832" s="6">
        <f>IF(ISERROR(VLOOKUP($S$832,'TAR FIN'!$A$1:$O$115,15,0)),0,VLOOKUP($S$832,'TAR FIN'!$A$1:$O$115,15,0))</f>
        <v>19.8</v>
      </c>
      <c r="W832" s="6">
        <f>IF(ISERROR(VLOOKUP($T$832,'TAR FIN'!$A$1:$O$115,15,0)),0,VLOOKUP($T$832,'TAR FIN'!$A$1:$O$115,15,0))</f>
        <v>0</v>
      </c>
      <c r="X832" s="6">
        <f>IF(ISERROR(VLOOKUP($U$832,'TAR FIN'!$A$1:$O$115,15,0)),0,VLOOKUP($U$832,'TAR FIN'!$A$1:$O$115,15,0))</f>
        <v>0</v>
      </c>
      <c r="Y832" s="6">
        <f ca="1">('TUSD BE'!$AM$27+'TUSD BF'!$AM$27+'TUSD CVA'!$AM$27)*1</f>
        <v>20.615214330225772</v>
      </c>
      <c r="Z832" s="6"/>
      <c r="AA832" s="6"/>
      <c r="AB832" s="6">
        <f>$K$832*$V$832</f>
        <v>130224.6</v>
      </c>
      <c r="AC832" s="6">
        <f>$M$832*$W$832</f>
        <v>0</v>
      </c>
      <c r="AD832" s="6">
        <f>$O$832*$X$832</f>
        <v>0</v>
      </c>
      <c r="AE832" s="6">
        <f ca="1">$K$832*$Y$832</f>
        <v>135586.2646498949</v>
      </c>
      <c r="AF832" s="6">
        <f>$M$832*$Z$832</f>
        <v>0</v>
      </c>
      <c r="AG832" s="6">
        <f>$O$832*$AA$832</f>
        <v>0</v>
      </c>
    </row>
    <row r="833" spans="1:33" ht="11.25" customHeight="1" x14ac:dyDescent="0.25">
      <c r="A833" s="4" t="s">
        <v>30</v>
      </c>
      <c r="B833" s="4" t="s">
        <v>41</v>
      </c>
      <c r="C833" s="4" t="s">
        <v>44</v>
      </c>
      <c r="D833" s="4" t="s">
        <v>48</v>
      </c>
      <c r="E833" s="4" t="s">
        <v>25</v>
      </c>
      <c r="F833" s="4" t="s">
        <v>25</v>
      </c>
      <c r="G833" s="4" t="s">
        <v>25</v>
      </c>
      <c r="H833" s="4" t="s">
        <v>25</v>
      </c>
      <c r="I833" s="5">
        <v>44652</v>
      </c>
      <c r="J833" s="6">
        <v>2430</v>
      </c>
      <c r="K833" s="6">
        <v>2430</v>
      </c>
      <c r="L833" s="6">
        <v>0</v>
      </c>
      <c r="M833" s="6">
        <v>0</v>
      </c>
      <c r="N833" s="6">
        <v>0</v>
      </c>
      <c r="O833" s="6">
        <v>0</v>
      </c>
      <c r="P833" s="6">
        <v>4</v>
      </c>
      <c r="Q833" s="4" t="s">
        <v>26</v>
      </c>
      <c r="R833" s="4">
        <v>0</v>
      </c>
      <c r="S833" s="6">
        <v>27</v>
      </c>
      <c r="T833" s="6">
        <v>0</v>
      </c>
      <c r="U833" s="6">
        <v>0</v>
      </c>
      <c r="V833" s="6">
        <f>IF(ISERROR(VLOOKUP($S$833,'TAR FIN'!$A$1:$O$115,15,0)),0,VLOOKUP($S$833,'TAR FIN'!$A$1:$O$115,15,0))</f>
        <v>19.8</v>
      </c>
      <c r="W833" s="6">
        <f>IF(ISERROR(VLOOKUP($T$833,'TAR FIN'!$A$1:$O$115,15,0)),0,VLOOKUP($T$833,'TAR FIN'!$A$1:$O$115,15,0))</f>
        <v>0</v>
      </c>
      <c r="X833" s="6">
        <f>IF(ISERROR(VLOOKUP($U$833,'TAR FIN'!$A$1:$O$115,15,0)),0,VLOOKUP($U$833,'TAR FIN'!$A$1:$O$115,15,0))</f>
        <v>0</v>
      </c>
      <c r="Y833" s="6">
        <f ca="1">('TUSD BE'!$AM$27+'TUSD BF'!$AM$27+'TUSD CVA'!$AM$27)*1</f>
        <v>20.615214330225772</v>
      </c>
      <c r="Z833" s="6"/>
      <c r="AA833" s="6"/>
      <c r="AB833" s="6">
        <f>$K$833*$V$833</f>
        <v>48114</v>
      </c>
      <c r="AC833" s="6">
        <f>$M$833*$W$833</f>
        <v>0</v>
      </c>
      <c r="AD833" s="6">
        <f>$O$833*$X$833</f>
        <v>0</v>
      </c>
      <c r="AE833" s="6">
        <f ca="1">$K$833*$Y$833</f>
        <v>50094.970822448624</v>
      </c>
      <c r="AF833" s="6">
        <f>$M$833*$Z$833</f>
        <v>0</v>
      </c>
      <c r="AG833" s="6">
        <f>$O$833*$AA$833</f>
        <v>0</v>
      </c>
    </row>
    <row r="834" spans="1:33" ht="11.25" customHeight="1" x14ac:dyDescent="0.25">
      <c r="A834" s="4" t="s">
        <v>21</v>
      </c>
      <c r="B834" s="4" t="s">
        <v>41</v>
      </c>
      <c r="C834" s="4" t="s">
        <v>44</v>
      </c>
      <c r="D834" s="4" t="s">
        <v>48</v>
      </c>
      <c r="E834" s="4" t="s">
        <v>25</v>
      </c>
      <c r="F834" s="4" t="s">
        <v>25</v>
      </c>
      <c r="G834" s="4" t="s">
        <v>25</v>
      </c>
      <c r="H834" s="4" t="s">
        <v>25</v>
      </c>
      <c r="I834" s="5">
        <v>44682</v>
      </c>
      <c r="J834" s="6">
        <v>27834</v>
      </c>
      <c r="K834" s="6">
        <v>27834</v>
      </c>
      <c r="L834" s="6">
        <v>0</v>
      </c>
      <c r="M834" s="6">
        <v>0</v>
      </c>
      <c r="N834" s="6">
        <v>0</v>
      </c>
      <c r="O834" s="6">
        <v>0</v>
      </c>
      <c r="P834" s="6">
        <v>258</v>
      </c>
      <c r="Q834" s="4" t="s">
        <v>26</v>
      </c>
      <c r="R834" s="4">
        <v>0</v>
      </c>
      <c r="S834" s="6">
        <v>27</v>
      </c>
      <c r="T834" s="6">
        <v>0</v>
      </c>
      <c r="U834" s="6">
        <v>0</v>
      </c>
      <c r="V834" s="6">
        <f>IF(ISERROR(VLOOKUP($S$834,'TAR FIN'!$A$1:$O$115,15,0)),0,VLOOKUP($S$834,'TAR FIN'!$A$1:$O$115,15,0))</f>
        <v>19.8</v>
      </c>
      <c r="W834" s="6">
        <f>IF(ISERROR(VLOOKUP($T$834,'TAR FIN'!$A$1:$O$115,15,0)),0,VLOOKUP($T$834,'TAR FIN'!$A$1:$O$115,15,0))</f>
        <v>0</v>
      </c>
      <c r="X834" s="6">
        <f>IF(ISERROR(VLOOKUP($U$834,'TAR FIN'!$A$1:$O$115,15,0)),0,VLOOKUP($U$834,'TAR FIN'!$A$1:$O$115,15,0))</f>
        <v>0</v>
      </c>
      <c r="Y834" s="6">
        <f ca="1">('TUSD BE'!$AM$27+'TUSD BF'!$AM$27+'TUSD CVA'!$AM$27)*1</f>
        <v>20.615214330225772</v>
      </c>
      <c r="Z834" s="6"/>
      <c r="AA834" s="6"/>
      <c r="AB834" s="6">
        <f>$K$834*$V$834</f>
        <v>551113.20000000007</v>
      </c>
      <c r="AC834" s="6">
        <f>$M$834*$W$834</f>
        <v>0</v>
      </c>
      <c r="AD834" s="6">
        <f>$O$834*$X$834</f>
        <v>0</v>
      </c>
      <c r="AE834" s="6">
        <f ca="1">$K$834*$Y$834</f>
        <v>573803.87566750415</v>
      </c>
      <c r="AF834" s="6">
        <f>$M$834*$Z$834</f>
        <v>0</v>
      </c>
      <c r="AG834" s="6">
        <f>$O$834*$AA$834</f>
        <v>0</v>
      </c>
    </row>
    <row r="835" spans="1:33" ht="11.25" customHeight="1" x14ac:dyDescent="0.25">
      <c r="A835" s="4" t="s">
        <v>28</v>
      </c>
      <c r="B835" s="4" t="s">
        <v>41</v>
      </c>
      <c r="C835" s="4" t="s">
        <v>44</v>
      </c>
      <c r="D835" s="4" t="s">
        <v>48</v>
      </c>
      <c r="E835" s="4" t="s">
        <v>25</v>
      </c>
      <c r="F835" s="4" t="s">
        <v>25</v>
      </c>
      <c r="G835" s="4" t="s">
        <v>25</v>
      </c>
      <c r="H835" s="4" t="s">
        <v>25</v>
      </c>
      <c r="I835" s="5">
        <v>44682</v>
      </c>
      <c r="J835" s="6">
        <v>6668</v>
      </c>
      <c r="K835" s="6">
        <v>6668</v>
      </c>
      <c r="L835" s="6">
        <v>0</v>
      </c>
      <c r="M835" s="6">
        <v>0</v>
      </c>
      <c r="N835" s="6">
        <v>0</v>
      </c>
      <c r="O835" s="6">
        <v>0</v>
      </c>
      <c r="P835" s="6">
        <v>72</v>
      </c>
      <c r="Q835" s="4" t="s">
        <v>26</v>
      </c>
      <c r="R835" s="4">
        <v>0</v>
      </c>
      <c r="S835" s="6">
        <v>27</v>
      </c>
      <c r="T835" s="6">
        <v>0</v>
      </c>
      <c r="U835" s="6">
        <v>0</v>
      </c>
      <c r="V835" s="6">
        <f>IF(ISERROR(VLOOKUP($S$835,'TAR FIN'!$A$1:$O$115,15,0)),0,VLOOKUP($S$835,'TAR FIN'!$A$1:$O$115,15,0))</f>
        <v>19.8</v>
      </c>
      <c r="W835" s="6">
        <f>IF(ISERROR(VLOOKUP($T$835,'TAR FIN'!$A$1:$O$115,15,0)),0,VLOOKUP($T$835,'TAR FIN'!$A$1:$O$115,15,0))</f>
        <v>0</v>
      </c>
      <c r="X835" s="6">
        <f>IF(ISERROR(VLOOKUP($U$835,'TAR FIN'!$A$1:$O$115,15,0)),0,VLOOKUP($U$835,'TAR FIN'!$A$1:$O$115,15,0))</f>
        <v>0</v>
      </c>
      <c r="Y835" s="6">
        <f ca="1">('TUSD BE'!$AM$27+'TUSD BF'!$AM$27+'TUSD CVA'!$AM$27)*1</f>
        <v>20.615214330225772</v>
      </c>
      <c r="Z835" s="6"/>
      <c r="AA835" s="6"/>
      <c r="AB835" s="6">
        <f>$K$835*$V$835</f>
        <v>132026.4</v>
      </c>
      <c r="AC835" s="6">
        <f>$M$835*$W$835</f>
        <v>0</v>
      </c>
      <c r="AD835" s="6">
        <f>$O$835*$X$835</f>
        <v>0</v>
      </c>
      <c r="AE835" s="6">
        <f ca="1">$K$835*$Y$835</f>
        <v>137462.24915394545</v>
      </c>
      <c r="AF835" s="6">
        <f>$M$835*$Z$835</f>
        <v>0</v>
      </c>
      <c r="AG835" s="6">
        <f>$O$835*$AA$835</f>
        <v>0</v>
      </c>
    </row>
    <row r="836" spans="1:33" ht="11.25" customHeight="1" x14ac:dyDescent="0.25">
      <c r="A836" s="4" t="s">
        <v>30</v>
      </c>
      <c r="B836" s="4" t="s">
        <v>41</v>
      </c>
      <c r="C836" s="4" t="s">
        <v>44</v>
      </c>
      <c r="D836" s="4" t="s">
        <v>48</v>
      </c>
      <c r="E836" s="4" t="s">
        <v>25</v>
      </c>
      <c r="F836" s="4" t="s">
        <v>25</v>
      </c>
      <c r="G836" s="4" t="s">
        <v>25</v>
      </c>
      <c r="H836" s="4" t="s">
        <v>25</v>
      </c>
      <c r="I836" s="5">
        <v>44682</v>
      </c>
      <c r="J836" s="6">
        <v>2430</v>
      </c>
      <c r="K836" s="6">
        <v>2430</v>
      </c>
      <c r="L836" s="6">
        <v>0</v>
      </c>
      <c r="M836" s="6">
        <v>0</v>
      </c>
      <c r="N836" s="6">
        <v>0</v>
      </c>
      <c r="O836" s="6">
        <v>0</v>
      </c>
      <c r="P836" s="6">
        <v>4</v>
      </c>
      <c r="Q836" s="4" t="s">
        <v>26</v>
      </c>
      <c r="R836" s="4">
        <v>0</v>
      </c>
      <c r="S836" s="6">
        <v>27</v>
      </c>
      <c r="T836" s="6">
        <v>0</v>
      </c>
      <c r="U836" s="6">
        <v>0</v>
      </c>
      <c r="V836" s="6">
        <f>IF(ISERROR(VLOOKUP($S$836,'TAR FIN'!$A$1:$O$115,15,0)),0,VLOOKUP($S$836,'TAR FIN'!$A$1:$O$115,15,0))</f>
        <v>19.8</v>
      </c>
      <c r="W836" s="6">
        <f>IF(ISERROR(VLOOKUP($T$836,'TAR FIN'!$A$1:$O$115,15,0)),0,VLOOKUP($T$836,'TAR FIN'!$A$1:$O$115,15,0))</f>
        <v>0</v>
      </c>
      <c r="X836" s="6">
        <f>IF(ISERROR(VLOOKUP($U$836,'TAR FIN'!$A$1:$O$115,15,0)),0,VLOOKUP($U$836,'TAR FIN'!$A$1:$O$115,15,0))</f>
        <v>0</v>
      </c>
      <c r="Y836" s="6">
        <f ca="1">('TUSD BE'!$AM$27+'TUSD BF'!$AM$27+'TUSD CVA'!$AM$27)*1</f>
        <v>20.615214330225772</v>
      </c>
      <c r="Z836" s="6"/>
      <c r="AA836" s="6"/>
      <c r="AB836" s="6">
        <f>$K$836*$V$836</f>
        <v>48114</v>
      </c>
      <c r="AC836" s="6">
        <f>$M$836*$W$836</f>
        <v>0</v>
      </c>
      <c r="AD836" s="6">
        <f>$O$836*$X$836</f>
        <v>0</v>
      </c>
      <c r="AE836" s="6">
        <f ca="1">$K$836*$Y$836</f>
        <v>50094.970822448624</v>
      </c>
      <c r="AF836" s="6">
        <f>$M$836*$Z$836</f>
        <v>0</v>
      </c>
      <c r="AG836" s="6">
        <f>$O$836*$AA$836</f>
        <v>0</v>
      </c>
    </row>
    <row r="837" spans="1:33" ht="11.25" customHeight="1" x14ac:dyDescent="0.25">
      <c r="A837" s="4" t="s">
        <v>21</v>
      </c>
      <c r="B837" s="4" t="s">
        <v>41</v>
      </c>
      <c r="C837" s="4" t="s">
        <v>44</v>
      </c>
      <c r="D837" s="4" t="s">
        <v>48</v>
      </c>
      <c r="E837" s="4" t="s">
        <v>25</v>
      </c>
      <c r="F837" s="4" t="s">
        <v>25</v>
      </c>
      <c r="G837" s="4" t="s">
        <v>25</v>
      </c>
      <c r="H837" s="4" t="s">
        <v>25</v>
      </c>
      <c r="I837" s="5">
        <v>44713</v>
      </c>
      <c r="J837" s="6">
        <v>27694</v>
      </c>
      <c r="K837" s="6">
        <v>27694</v>
      </c>
      <c r="L837" s="6">
        <v>0</v>
      </c>
      <c r="M837" s="6">
        <v>0</v>
      </c>
      <c r="N837" s="6">
        <v>0</v>
      </c>
      <c r="O837" s="6">
        <v>0</v>
      </c>
      <c r="P837" s="6">
        <v>258</v>
      </c>
      <c r="Q837" s="4" t="s">
        <v>26</v>
      </c>
      <c r="R837" s="4">
        <v>0</v>
      </c>
      <c r="S837" s="6">
        <v>27</v>
      </c>
      <c r="T837" s="6">
        <v>0</v>
      </c>
      <c r="U837" s="6">
        <v>0</v>
      </c>
      <c r="V837" s="6">
        <f>IF(ISERROR(VLOOKUP($S$837,'TAR FIN'!$A$1:$O$115,15,0)),0,VLOOKUP($S$837,'TAR FIN'!$A$1:$O$115,15,0))</f>
        <v>19.8</v>
      </c>
      <c r="W837" s="6">
        <f>IF(ISERROR(VLOOKUP($T$837,'TAR FIN'!$A$1:$O$115,15,0)),0,VLOOKUP($T$837,'TAR FIN'!$A$1:$O$115,15,0))</f>
        <v>0</v>
      </c>
      <c r="X837" s="6">
        <f>IF(ISERROR(VLOOKUP($U$837,'TAR FIN'!$A$1:$O$115,15,0)),0,VLOOKUP($U$837,'TAR FIN'!$A$1:$O$115,15,0))</f>
        <v>0</v>
      </c>
      <c r="Y837" s="6">
        <f ca="1">('TUSD BE'!$AM$27+'TUSD BF'!$AM$27+'TUSD CVA'!$AM$27)*1</f>
        <v>20.615214330225772</v>
      </c>
      <c r="Z837" s="6"/>
      <c r="AA837" s="6"/>
      <c r="AB837" s="6">
        <f>$K$837*$V$837</f>
        <v>548341.20000000007</v>
      </c>
      <c r="AC837" s="6">
        <f>$M$837*$W$837</f>
        <v>0</v>
      </c>
      <c r="AD837" s="6">
        <f>$O$837*$X$837</f>
        <v>0</v>
      </c>
      <c r="AE837" s="6">
        <f ca="1">$K$837*$Y$837</f>
        <v>570917.74566127255</v>
      </c>
      <c r="AF837" s="6">
        <f>$M$837*$Z$837</f>
        <v>0</v>
      </c>
      <c r="AG837" s="6">
        <f>$O$837*$AA$837</f>
        <v>0</v>
      </c>
    </row>
    <row r="838" spans="1:33" ht="11.25" customHeight="1" x14ac:dyDescent="0.25">
      <c r="A838" s="4" t="s">
        <v>28</v>
      </c>
      <c r="B838" s="4" t="s">
        <v>41</v>
      </c>
      <c r="C838" s="4" t="s">
        <v>44</v>
      </c>
      <c r="D838" s="4" t="s">
        <v>48</v>
      </c>
      <c r="E838" s="4" t="s">
        <v>25</v>
      </c>
      <c r="F838" s="4" t="s">
        <v>25</v>
      </c>
      <c r="G838" s="4" t="s">
        <v>25</v>
      </c>
      <c r="H838" s="4" t="s">
        <v>25</v>
      </c>
      <c r="I838" s="5">
        <v>44713</v>
      </c>
      <c r="J838" s="6">
        <v>6638</v>
      </c>
      <c r="K838" s="6">
        <v>6638</v>
      </c>
      <c r="L838" s="6">
        <v>0</v>
      </c>
      <c r="M838" s="6">
        <v>0</v>
      </c>
      <c r="N838" s="6">
        <v>0</v>
      </c>
      <c r="O838" s="6">
        <v>0</v>
      </c>
      <c r="P838" s="6">
        <v>72</v>
      </c>
      <c r="Q838" s="4" t="s">
        <v>26</v>
      </c>
      <c r="R838" s="4">
        <v>0</v>
      </c>
      <c r="S838" s="6">
        <v>27</v>
      </c>
      <c r="T838" s="6">
        <v>0</v>
      </c>
      <c r="U838" s="6">
        <v>0</v>
      </c>
      <c r="V838" s="6">
        <f>IF(ISERROR(VLOOKUP($S$838,'TAR FIN'!$A$1:$O$115,15,0)),0,VLOOKUP($S$838,'TAR FIN'!$A$1:$O$115,15,0))</f>
        <v>19.8</v>
      </c>
      <c r="W838" s="6">
        <f>IF(ISERROR(VLOOKUP($T$838,'TAR FIN'!$A$1:$O$115,15,0)),0,VLOOKUP($T$838,'TAR FIN'!$A$1:$O$115,15,0))</f>
        <v>0</v>
      </c>
      <c r="X838" s="6">
        <f>IF(ISERROR(VLOOKUP($U$838,'TAR FIN'!$A$1:$O$115,15,0)),0,VLOOKUP($U$838,'TAR FIN'!$A$1:$O$115,15,0))</f>
        <v>0</v>
      </c>
      <c r="Y838" s="6">
        <f ca="1">('TUSD BE'!$AM$27+'TUSD BF'!$AM$27+'TUSD CVA'!$AM$27)*1</f>
        <v>20.615214330225772</v>
      </c>
      <c r="Z838" s="6"/>
      <c r="AA838" s="6"/>
      <c r="AB838" s="6">
        <f>$K$838*$V$838</f>
        <v>131432.4</v>
      </c>
      <c r="AC838" s="6">
        <f>$M$838*$W$838</f>
        <v>0</v>
      </c>
      <c r="AD838" s="6">
        <f>$O$838*$X$838</f>
        <v>0</v>
      </c>
      <c r="AE838" s="6">
        <f ca="1">$K$838*$Y$838</f>
        <v>136843.79272403868</v>
      </c>
      <c r="AF838" s="6">
        <f>$M$838*$Z$838</f>
        <v>0</v>
      </c>
      <c r="AG838" s="6">
        <f>$O$838*$AA$838</f>
        <v>0</v>
      </c>
    </row>
    <row r="839" spans="1:33" ht="11.25" customHeight="1" x14ac:dyDescent="0.25">
      <c r="A839" s="4" t="s">
        <v>30</v>
      </c>
      <c r="B839" s="4" t="s">
        <v>41</v>
      </c>
      <c r="C839" s="4" t="s">
        <v>44</v>
      </c>
      <c r="D839" s="4" t="s">
        <v>48</v>
      </c>
      <c r="E839" s="4" t="s">
        <v>25</v>
      </c>
      <c r="F839" s="4" t="s">
        <v>25</v>
      </c>
      <c r="G839" s="4" t="s">
        <v>25</v>
      </c>
      <c r="H839" s="4" t="s">
        <v>25</v>
      </c>
      <c r="I839" s="5">
        <v>44713</v>
      </c>
      <c r="J839" s="6">
        <v>2430</v>
      </c>
      <c r="K839" s="6">
        <v>2430</v>
      </c>
      <c r="L839" s="6">
        <v>0</v>
      </c>
      <c r="M839" s="6">
        <v>0</v>
      </c>
      <c r="N839" s="6">
        <v>0</v>
      </c>
      <c r="O839" s="6">
        <v>0</v>
      </c>
      <c r="P839" s="6">
        <v>4</v>
      </c>
      <c r="Q839" s="4" t="s">
        <v>26</v>
      </c>
      <c r="R839" s="4">
        <v>0</v>
      </c>
      <c r="S839" s="6">
        <v>27</v>
      </c>
      <c r="T839" s="6">
        <v>0</v>
      </c>
      <c r="U839" s="6">
        <v>0</v>
      </c>
      <c r="V839" s="6">
        <f>IF(ISERROR(VLOOKUP($S$839,'TAR FIN'!$A$1:$O$115,15,0)),0,VLOOKUP($S$839,'TAR FIN'!$A$1:$O$115,15,0))</f>
        <v>19.8</v>
      </c>
      <c r="W839" s="6">
        <f>IF(ISERROR(VLOOKUP($T$839,'TAR FIN'!$A$1:$O$115,15,0)),0,VLOOKUP($T$839,'TAR FIN'!$A$1:$O$115,15,0))</f>
        <v>0</v>
      </c>
      <c r="X839" s="6">
        <f>IF(ISERROR(VLOOKUP($U$839,'TAR FIN'!$A$1:$O$115,15,0)),0,VLOOKUP($U$839,'TAR FIN'!$A$1:$O$115,15,0))</f>
        <v>0</v>
      </c>
      <c r="Y839" s="6">
        <f ca="1">('TUSD BE'!$AM$27+'TUSD BF'!$AM$27+'TUSD CVA'!$AM$27)*1</f>
        <v>20.615214330225772</v>
      </c>
      <c r="Z839" s="6"/>
      <c r="AA839" s="6"/>
      <c r="AB839" s="6">
        <f>$K$839*$V$839</f>
        <v>48114</v>
      </c>
      <c r="AC839" s="6">
        <f>$M$839*$W$839</f>
        <v>0</v>
      </c>
      <c r="AD839" s="6">
        <f>$O$839*$X$839</f>
        <v>0</v>
      </c>
      <c r="AE839" s="6">
        <f ca="1">$K$839*$Y$839</f>
        <v>50094.970822448624</v>
      </c>
      <c r="AF839" s="6">
        <f>$M$839*$Z$839</f>
        <v>0</v>
      </c>
      <c r="AG839" s="6">
        <f>$O$839*$AA$839</f>
        <v>0</v>
      </c>
    </row>
    <row r="840" spans="1:33" ht="11.25" customHeight="1" x14ac:dyDescent="0.25">
      <c r="A840" s="4" t="s">
        <v>21</v>
      </c>
      <c r="B840" s="4" t="s">
        <v>41</v>
      </c>
      <c r="C840" s="4" t="s">
        <v>44</v>
      </c>
      <c r="D840" s="4" t="s">
        <v>48</v>
      </c>
      <c r="E840" s="4" t="s">
        <v>25</v>
      </c>
      <c r="F840" s="4" t="s">
        <v>25</v>
      </c>
      <c r="G840" s="4" t="s">
        <v>25</v>
      </c>
      <c r="H840" s="4" t="s">
        <v>25</v>
      </c>
      <c r="I840" s="5">
        <v>44743</v>
      </c>
      <c r="J840" s="6">
        <v>28367</v>
      </c>
      <c r="K840" s="6">
        <v>28367</v>
      </c>
      <c r="L840" s="6">
        <v>0</v>
      </c>
      <c r="M840" s="6">
        <v>0</v>
      </c>
      <c r="N840" s="6">
        <v>0</v>
      </c>
      <c r="O840" s="6">
        <v>0</v>
      </c>
      <c r="P840" s="6">
        <v>258</v>
      </c>
      <c r="Q840" s="4" t="s">
        <v>26</v>
      </c>
      <c r="R840" s="4">
        <v>0</v>
      </c>
      <c r="S840" s="6">
        <v>27</v>
      </c>
      <c r="T840" s="6">
        <v>0</v>
      </c>
      <c r="U840" s="6">
        <v>0</v>
      </c>
      <c r="V840" s="6">
        <f>IF(ISERROR(VLOOKUP($S$840,'TAR FIN'!$A$1:$O$115,15,0)),0,VLOOKUP($S$840,'TAR FIN'!$A$1:$O$115,15,0))</f>
        <v>19.8</v>
      </c>
      <c r="W840" s="6">
        <f>IF(ISERROR(VLOOKUP($T$840,'TAR FIN'!$A$1:$O$115,15,0)),0,VLOOKUP($T$840,'TAR FIN'!$A$1:$O$115,15,0))</f>
        <v>0</v>
      </c>
      <c r="X840" s="6">
        <f>IF(ISERROR(VLOOKUP($U$840,'TAR FIN'!$A$1:$O$115,15,0)),0,VLOOKUP($U$840,'TAR FIN'!$A$1:$O$115,15,0))</f>
        <v>0</v>
      </c>
      <c r="Y840" s="6">
        <f ca="1">('TUSD BE'!$AM$27+'TUSD BF'!$AM$27+'TUSD CVA'!$AM$27)*1</f>
        <v>20.615214330225772</v>
      </c>
      <c r="Z840" s="6"/>
      <c r="AA840" s="6"/>
      <c r="AB840" s="6">
        <f>$K$840*$V$840</f>
        <v>561666.6</v>
      </c>
      <c r="AC840" s="6">
        <f>$M$840*$W$840</f>
        <v>0</v>
      </c>
      <c r="AD840" s="6">
        <f>$O$840*$X$840</f>
        <v>0</v>
      </c>
      <c r="AE840" s="6">
        <f ca="1">$K$840*$Y$840</f>
        <v>584791.78490551445</v>
      </c>
      <c r="AF840" s="6">
        <f>$M$840*$Z$840</f>
        <v>0</v>
      </c>
      <c r="AG840" s="6">
        <f>$O$840*$AA$840</f>
        <v>0</v>
      </c>
    </row>
    <row r="841" spans="1:33" ht="11.25" customHeight="1" x14ac:dyDescent="0.25">
      <c r="A841" s="4" t="s">
        <v>28</v>
      </c>
      <c r="B841" s="4" t="s">
        <v>41</v>
      </c>
      <c r="C841" s="4" t="s">
        <v>44</v>
      </c>
      <c r="D841" s="4" t="s">
        <v>48</v>
      </c>
      <c r="E841" s="4" t="s">
        <v>25</v>
      </c>
      <c r="F841" s="4" t="s">
        <v>25</v>
      </c>
      <c r="G841" s="4" t="s">
        <v>25</v>
      </c>
      <c r="H841" s="4" t="s">
        <v>25</v>
      </c>
      <c r="I841" s="5">
        <v>44743</v>
      </c>
      <c r="J841" s="6">
        <v>6632</v>
      </c>
      <c r="K841" s="6">
        <v>6632</v>
      </c>
      <c r="L841" s="6">
        <v>0</v>
      </c>
      <c r="M841" s="6">
        <v>0</v>
      </c>
      <c r="N841" s="6">
        <v>0</v>
      </c>
      <c r="O841" s="6">
        <v>0</v>
      </c>
      <c r="P841" s="6">
        <v>72</v>
      </c>
      <c r="Q841" s="4" t="s">
        <v>26</v>
      </c>
      <c r="R841" s="4">
        <v>0</v>
      </c>
      <c r="S841" s="6">
        <v>27</v>
      </c>
      <c r="T841" s="6">
        <v>0</v>
      </c>
      <c r="U841" s="6">
        <v>0</v>
      </c>
      <c r="V841" s="6">
        <f>IF(ISERROR(VLOOKUP($S$841,'TAR FIN'!$A$1:$O$115,15,0)),0,VLOOKUP($S$841,'TAR FIN'!$A$1:$O$115,15,0))</f>
        <v>19.8</v>
      </c>
      <c r="W841" s="6">
        <f>IF(ISERROR(VLOOKUP($T$841,'TAR FIN'!$A$1:$O$115,15,0)),0,VLOOKUP($T$841,'TAR FIN'!$A$1:$O$115,15,0))</f>
        <v>0</v>
      </c>
      <c r="X841" s="6">
        <f>IF(ISERROR(VLOOKUP($U$841,'TAR FIN'!$A$1:$O$115,15,0)),0,VLOOKUP($U$841,'TAR FIN'!$A$1:$O$115,15,0))</f>
        <v>0</v>
      </c>
      <c r="Y841" s="6">
        <f ca="1">('TUSD BE'!$AM$27+'TUSD BF'!$AM$27+'TUSD CVA'!$AM$27)*1</f>
        <v>20.615214330225772</v>
      </c>
      <c r="Z841" s="6"/>
      <c r="AA841" s="6"/>
      <c r="AB841" s="6">
        <f>$K$841*$V$841</f>
        <v>131313.60000000001</v>
      </c>
      <c r="AC841" s="6">
        <f>$M$841*$W$841</f>
        <v>0</v>
      </c>
      <c r="AD841" s="6">
        <f>$O$841*$X$841</f>
        <v>0</v>
      </c>
      <c r="AE841" s="6">
        <f ca="1">$K$841*$Y$841</f>
        <v>136720.10143805732</v>
      </c>
      <c r="AF841" s="6">
        <f>$M$841*$Z$841</f>
        <v>0</v>
      </c>
      <c r="AG841" s="6">
        <f>$O$841*$AA$841</f>
        <v>0</v>
      </c>
    </row>
    <row r="842" spans="1:33" ht="11.25" customHeight="1" x14ac:dyDescent="0.25">
      <c r="A842" s="4" t="s">
        <v>30</v>
      </c>
      <c r="B842" s="4" t="s">
        <v>41</v>
      </c>
      <c r="C842" s="4" t="s">
        <v>44</v>
      </c>
      <c r="D842" s="4" t="s">
        <v>48</v>
      </c>
      <c r="E842" s="4" t="s">
        <v>25</v>
      </c>
      <c r="F842" s="4" t="s">
        <v>25</v>
      </c>
      <c r="G842" s="4" t="s">
        <v>25</v>
      </c>
      <c r="H842" s="4" t="s">
        <v>25</v>
      </c>
      <c r="I842" s="5">
        <v>44743</v>
      </c>
      <c r="J842" s="6">
        <v>2430</v>
      </c>
      <c r="K842" s="6">
        <v>2430</v>
      </c>
      <c r="L842" s="6">
        <v>0</v>
      </c>
      <c r="M842" s="6">
        <v>0</v>
      </c>
      <c r="N842" s="6">
        <v>0</v>
      </c>
      <c r="O842" s="6">
        <v>0</v>
      </c>
      <c r="P842" s="6">
        <v>4</v>
      </c>
      <c r="Q842" s="4" t="s">
        <v>26</v>
      </c>
      <c r="R842" s="4">
        <v>0</v>
      </c>
      <c r="S842" s="6">
        <v>27</v>
      </c>
      <c r="T842" s="6">
        <v>0</v>
      </c>
      <c r="U842" s="6">
        <v>0</v>
      </c>
      <c r="V842" s="6">
        <f>IF(ISERROR(VLOOKUP($S$842,'TAR FIN'!$A$1:$O$115,15,0)),0,VLOOKUP($S$842,'TAR FIN'!$A$1:$O$115,15,0))</f>
        <v>19.8</v>
      </c>
      <c r="W842" s="6">
        <f>IF(ISERROR(VLOOKUP($T$842,'TAR FIN'!$A$1:$O$115,15,0)),0,VLOOKUP($T$842,'TAR FIN'!$A$1:$O$115,15,0))</f>
        <v>0</v>
      </c>
      <c r="X842" s="6">
        <f>IF(ISERROR(VLOOKUP($U$842,'TAR FIN'!$A$1:$O$115,15,0)),0,VLOOKUP($U$842,'TAR FIN'!$A$1:$O$115,15,0))</f>
        <v>0</v>
      </c>
      <c r="Y842" s="6">
        <f ca="1">('TUSD BE'!$AM$27+'TUSD BF'!$AM$27+'TUSD CVA'!$AM$27)*1</f>
        <v>20.615214330225772</v>
      </c>
      <c r="Z842" s="6"/>
      <c r="AA842" s="6"/>
      <c r="AB842" s="6">
        <f>$K$842*$V$842</f>
        <v>48114</v>
      </c>
      <c r="AC842" s="6">
        <f>$M$842*$W$842</f>
        <v>0</v>
      </c>
      <c r="AD842" s="6">
        <f>$O$842*$X$842</f>
        <v>0</v>
      </c>
      <c r="AE842" s="6">
        <f ca="1">$K$842*$Y$842</f>
        <v>50094.970822448624</v>
      </c>
      <c r="AF842" s="6">
        <f>$M$842*$Z$842</f>
        <v>0</v>
      </c>
      <c r="AG842" s="6">
        <f>$O$842*$AA$842</f>
        <v>0</v>
      </c>
    </row>
    <row r="843" spans="1:33" ht="11.25" customHeight="1" x14ac:dyDescent="0.25">
      <c r="A843" s="4" t="s">
        <v>21</v>
      </c>
      <c r="B843" s="4" t="s">
        <v>41</v>
      </c>
      <c r="C843" s="4" t="s">
        <v>44</v>
      </c>
      <c r="D843" s="4" t="s">
        <v>48</v>
      </c>
      <c r="E843" s="4" t="s">
        <v>25</v>
      </c>
      <c r="F843" s="4" t="s">
        <v>25</v>
      </c>
      <c r="G843" s="4" t="s">
        <v>25</v>
      </c>
      <c r="H843" s="4" t="s">
        <v>25</v>
      </c>
      <c r="I843" s="5">
        <v>44774</v>
      </c>
      <c r="J843" s="6">
        <v>28576</v>
      </c>
      <c r="K843" s="6">
        <v>28576</v>
      </c>
      <c r="L843" s="6">
        <v>0</v>
      </c>
      <c r="M843" s="6">
        <v>0</v>
      </c>
      <c r="N843" s="6">
        <v>0</v>
      </c>
      <c r="O843" s="6">
        <v>0</v>
      </c>
      <c r="P843" s="6">
        <v>257</v>
      </c>
      <c r="Q843" s="4" t="s">
        <v>26</v>
      </c>
      <c r="R843" s="4">
        <v>0</v>
      </c>
      <c r="S843" s="6">
        <v>27</v>
      </c>
      <c r="T843" s="6">
        <v>0</v>
      </c>
      <c r="U843" s="6">
        <v>0</v>
      </c>
      <c r="V843" s="6">
        <f>IF(ISERROR(VLOOKUP($S$843,'TAR FIN'!$A$1:$O$115,15,0)),0,VLOOKUP($S$843,'TAR FIN'!$A$1:$O$115,15,0))</f>
        <v>19.8</v>
      </c>
      <c r="W843" s="6">
        <f>IF(ISERROR(VLOOKUP($T$843,'TAR FIN'!$A$1:$O$115,15,0)),0,VLOOKUP($T$843,'TAR FIN'!$A$1:$O$115,15,0))</f>
        <v>0</v>
      </c>
      <c r="X843" s="6">
        <f>IF(ISERROR(VLOOKUP($U$843,'TAR FIN'!$A$1:$O$115,15,0)),0,VLOOKUP($U$843,'TAR FIN'!$A$1:$O$115,15,0))</f>
        <v>0</v>
      </c>
      <c r="Y843" s="6">
        <f ca="1">('TUSD BE'!$AM$27+'TUSD BF'!$AM$27+'TUSD CVA'!$AM$27)*1</f>
        <v>20.615214330225772</v>
      </c>
      <c r="Z843" s="6"/>
      <c r="AA843" s="6"/>
      <c r="AB843" s="6">
        <f>$K$843*$V$843</f>
        <v>565804.80000000005</v>
      </c>
      <c r="AC843" s="6">
        <f>$M$843*$W$843</f>
        <v>0</v>
      </c>
      <c r="AD843" s="6">
        <f>$O$843*$X$843</f>
        <v>0</v>
      </c>
      <c r="AE843" s="6">
        <f ca="1">$K$843*$Y$843</f>
        <v>589100.3647005317</v>
      </c>
      <c r="AF843" s="6">
        <f>$M$843*$Z$843</f>
        <v>0</v>
      </c>
      <c r="AG843" s="6">
        <f>$O$843*$AA$843</f>
        <v>0</v>
      </c>
    </row>
    <row r="844" spans="1:33" ht="11.25" customHeight="1" x14ac:dyDescent="0.25">
      <c r="A844" s="4" t="s">
        <v>28</v>
      </c>
      <c r="B844" s="4" t="s">
        <v>41</v>
      </c>
      <c r="C844" s="4" t="s">
        <v>44</v>
      </c>
      <c r="D844" s="4" t="s">
        <v>48</v>
      </c>
      <c r="E844" s="4" t="s">
        <v>25</v>
      </c>
      <c r="F844" s="4" t="s">
        <v>25</v>
      </c>
      <c r="G844" s="4" t="s">
        <v>25</v>
      </c>
      <c r="H844" s="4" t="s">
        <v>25</v>
      </c>
      <c r="I844" s="5">
        <v>44774</v>
      </c>
      <c r="J844" s="6">
        <v>6734</v>
      </c>
      <c r="K844" s="6">
        <v>6734</v>
      </c>
      <c r="L844" s="6">
        <v>0</v>
      </c>
      <c r="M844" s="6">
        <v>0</v>
      </c>
      <c r="N844" s="6">
        <v>0</v>
      </c>
      <c r="O844" s="6">
        <v>0</v>
      </c>
      <c r="P844" s="6">
        <v>72</v>
      </c>
      <c r="Q844" s="4" t="s">
        <v>26</v>
      </c>
      <c r="R844" s="4">
        <v>0</v>
      </c>
      <c r="S844" s="6">
        <v>27</v>
      </c>
      <c r="T844" s="6">
        <v>0</v>
      </c>
      <c r="U844" s="6">
        <v>0</v>
      </c>
      <c r="V844" s="6">
        <f>IF(ISERROR(VLOOKUP($S$844,'TAR FIN'!$A$1:$O$115,15,0)),0,VLOOKUP($S$844,'TAR FIN'!$A$1:$O$115,15,0))</f>
        <v>19.8</v>
      </c>
      <c r="W844" s="6">
        <f>IF(ISERROR(VLOOKUP($T$844,'TAR FIN'!$A$1:$O$115,15,0)),0,VLOOKUP($T$844,'TAR FIN'!$A$1:$O$115,15,0))</f>
        <v>0</v>
      </c>
      <c r="X844" s="6">
        <f>IF(ISERROR(VLOOKUP($U$844,'TAR FIN'!$A$1:$O$115,15,0)),0,VLOOKUP($U$844,'TAR FIN'!$A$1:$O$115,15,0))</f>
        <v>0</v>
      </c>
      <c r="Y844" s="6">
        <f ca="1">('TUSD BE'!$AM$27+'TUSD BF'!$AM$27+'TUSD CVA'!$AM$27)*1</f>
        <v>20.615214330225772</v>
      </c>
      <c r="Z844" s="6"/>
      <c r="AA844" s="6"/>
      <c r="AB844" s="6">
        <f>$K$844*$V$844</f>
        <v>133333.20000000001</v>
      </c>
      <c r="AC844" s="6">
        <f>$M$844*$W$844</f>
        <v>0</v>
      </c>
      <c r="AD844" s="6">
        <f>$O$844*$X$844</f>
        <v>0</v>
      </c>
      <c r="AE844" s="6">
        <f ca="1">$K$844*$Y$844</f>
        <v>138822.85329974035</v>
      </c>
      <c r="AF844" s="6">
        <f>$M$844*$Z$844</f>
        <v>0</v>
      </c>
      <c r="AG844" s="6">
        <f>$O$844*$AA$844</f>
        <v>0</v>
      </c>
    </row>
    <row r="845" spans="1:33" ht="11.25" customHeight="1" x14ac:dyDescent="0.25">
      <c r="A845" s="4" t="s">
        <v>30</v>
      </c>
      <c r="B845" s="4" t="s">
        <v>41</v>
      </c>
      <c r="C845" s="4" t="s">
        <v>44</v>
      </c>
      <c r="D845" s="4" t="s">
        <v>48</v>
      </c>
      <c r="E845" s="4" t="s">
        <v>25</v>
      </c>
      <c r="F845" s="4" t="s">
        <v>25</v>
      </c>
      <c r="G845" s="4" t="s">
        <v>25</v>
      </c>
      <c r="H845" s="4" t="s">
        <v>25</v>
      </c>
      <c r="I845" s="5">
        <v>44774</v>
      </c>
      <c r="J845" s="6">
        <v>2690</v>
      </c>
      <c r="K845" s="6">
        <v>2690</v>
      </c>
      <c r="L845" s="6">
        <v>0</v>
      </c>
      <c r="M845" s="6">
        <v>0</v>
      </c>
      <c r="N845" s="6">
        <v>0</v>
      </c>
      <c r="O845" s="6">
        <v>0</v>
      </c>
      <c r="P845" s="6">
        <v>5</v>
      </c>
      <c r="Q845" s="4" t="s">
        <v>26</v>
      </c>
      <c r="R845" s="4">
        <v>0</v>
      </c>
      <c r="S845" s="6">
        <v>27</v>
      </c>
      <c r="T845" s="6">
        <v>0</v>
      </c>
      <c r="U845" s="6">
        <v>0</v>
      </c>
      <c r="V845" s="6">
        <f>IF(ISERROR(VLOOKUP($S$845,'TAR FIN'!$A$1:$O$115,15,0)),0,VLOOKUP($S$845,'TAR FIN'!$A$1:$O$115,15,0))</f>
        <v>19.8</v>
      </c>
      <c r="W845" s="6">
        <f>IF(ISERROR(VLOOKUP($T$845,'TAR FIN'!$A$1:$O$115,15,0)),0,VLOOKUP($T$845,'TAR FIN'!$A$1:$O$115,15,0))</f>
        <v>0</v>
      </c>
      <c r="X845" s="6">
        <f>IF(ISERROR(VLOOKUP($U$845,'TAR FIN'!$A$1:$O$115,15,0)),0,VLOOKUP($U$845,'TAR FIN'!$A$1:$O$115,15,0))</f>
        <v>0</v>
      </c>
      <c r="Y845" s="6">
        <f ca="1">('TUSD BE'!$AM$27+'TUSD BF'!$AM$27+'TUSD CVA'!$AM$27)*1</f>
        <v>20.615214330225772</v>
      </c>
      <c r="Z845" s="6"/>
      <c r="AA845" s="6"/>
      <c r="AB845" s="6">
        <f>$K$845*$V$845</f>
        <v>53262</v>
      </c>
      <c r="AC845" s="6">
        <f>$M$845*$W$845</f>
        <v>0</v>
      </c>
      <c r="AD845" s="6">
        <f>$O$845*$X$845</f>
        <v>0</v>
      </c>
      <c r="AE845" s="6">
        <f ca="1">$K$845*$Y$845</f>
        <v>55454.926548307325</v>
      </c>
      <c r="AF845" s="6">
        <f>$M$845*$Z$845</f>
        <v>0</v>
      </c>
      <c r="AG845" s="6">
        <f>$O$845*$AA$845</f>
        <v>0</v>
      </c>
    </row>
    <row r="846" spans="1:33" ht="11.25" customHeight="1" x14ac:dyDescent="0.25">
      <c r="A846" s="4" t="s">
        <v>21</v>
      </c>
      <c r="B846" s="4" t="s">
        <v>41</v>
      </c>
      <c r="C846" s="4" t="s">
        <v>44</v>
      </c>
      <c r="D846" s="4" t="s">
        <v>48</v>
      </c>
      <c r="E846" s="4" t="s">
        <v>25</v>
      </c>
      <c r="F846" s="4" t="s">
        <v>25</v>
      </c>
      <c r="G846" s="4" t="s">
        <v>25</v>
      </c>
      <c r="H846" s="4" t="s">
        <v>25</v>
      </c>
      <c r="I846" s="5">
        <v>44805</v>
      </c>
      <c r="J846" s="6">
        <v>28221</v>
      </c>
      <c r="K846" s="6">
        <v>28221</v>
      </c>
      <c r="L846" s="6">
        <v>0</v>
      </c>
      <c r="M846" s="6">
        <v>0</v>
      </c>
      <c r="N846" s="6">
        <v>0</v>
      </c>
      <c r="O846" s="6">
        <v>0</v>
      </c>
      <c r="P846" s="6">
        <v>257</v>
      </c>
      <c r="Q846" s="4" t="s">
        <v>26</v>
      </c>
      <c r="R846" s="4">
        <v>0</v>
      </c>
      <c r="S846" s="6">
        <v>27</v>
      </c>
      <c r="T846" s="6">
        <v>0</v>
      </c>
      <c r="U846" s="6">
        <v>0</v>
      </c>
      <c r="V846" s="6">
        <f>IF(ISERROR(VLOOKUP($S$846,'TAR FIN'!$A$1:$O$115,15,0)),0,VLOOKUP($S$846,'TAR FIN'!$A$1:$O$115,15,0))</f>
        <v>19.8</v>
      </c>
      <c r="W846" s="6">
        <f>IF(ISERROR(VLOOKUP($T$846,'TAR FIN'!$A$1:$O$115,15,0)),0,VLOOKUP($T$846,'TAR FIN'!$A$1:$O$115,15,0))</f>
        <v>0</v>
      </c>
      <c r="X846" s="6">
        <f>IF(ISERROR(VLOOKUP($U$846,'TAR FIN'!$A$1:$O$115,15,0)),0,VLOOKUP($U$846,'TAR FIN'!$A$1:$O$115,15,0))</f>
        <v>0</v>
      </c>
      <c r="Y846" s="6">
        <f ca="1">('TUSD BE'!$AM$27+'TUSD BF'!$AM$27+'TUSD CVA'!$AM$27)*1</f>
        <v>20.615214330225772</v>
      </c>
      <c r="Z846" s="6"/>
      <c r="AA846" s="6"/>
      <c r="AB846" s="6">
        <f>$K$846*$V$846</f>
        <v>558775.80000000005</v>
      </c>
      <c r="AC846" s="6">
        <f>$M$846*$W$846</f>
        <v>0</v>
      </c>
      <c r="AD846" s="6">
        <f>$O$846*$X$846</f>
        <v>0</v>
      </c>
      <c r="AE846" s="6">
        <f ca="1">$K$846*$Y$846</f>
        <v>581781.96361330152</v>
      </c>
      <c r="AF846" s="6">
        <f>$M$846*$Z$846</f>
        <v>0</v>
      </c>
      <c r="AG846" s="6">
        <f>$O$846*$AA$846</f>
        <v>0</v>
      </c>
    </row>
    <row r="847" spans="1:33" ht="11.25" customHeight="1" x14ac:dyDescent="0.25">
      <c r="A847" s="4" t="s">
        <v>28</v>
      </c>
      <c r="B847" s="4" t="s">
        <v>41</v>
      </c>
      <c r="C847" s="4" t="s">
        <v>44</v>
      </c>
      <c r="D847" s="4" t="s">
        <v>48</v>
      </c>
      <c r="E847" s="4" t="s">
        <v>25</v>
      </c>
      <c r="F847" s="4" t="s">
        <v>25</v>
      </c>
      <c r="G847" s="4" t="s">
        <v>25</v>
      </c>
      <c r="H847" s="4" t="s">
        <v>25</v>
      </c>
      <c r="I847" s="5">
        <v>44805</v>
      </c>
      <c r="J847" s="6">
        <v>6774</v>
      </c>
      <c r="K847" s="6">
        <v>6774</v>
      </c>
      <c r="L847" s="6">
        <v>0</v>
      </c>
      <c r="M847" s="6">
        <v>0</v>
      </c>
      <c r="N847" s="6">
        <v>0</v>
      </c>
      <c r="O847" s="6">
        <v>0</v>
      </c>
      <c r="P847" s="6">
        <v>72</v>
      </c>
      <c r="Q847" s="4" t="s">
        <v>26</v>
      </c>
      <c r="R847" s="4">
        <v>0</v>
      </c>
      <c r="S847" s="6">
        <v>27</v>
      </c>
      <c r="T847" s="6">
        <v>0</v>
      </c>
      <c r="U847" s="6">
        <v>0</v>
      </c>
      <c r="V847" s="6">
        <f>IF(ISERROR(VLOOKUP($S$847,'TAR FIN'!$A$1:$O$115,15,0)),0,VLOOKUP($S$847,'TAR FIN'!$A$1:$O$115,15,0))</f>
        <v>19.8</v>
      </c>
      <c r="W847" s="6">
        <f>IF(ISERROR(VLOOKUP($T$847,'TAR FIN'!$A$1:$O$115,15,0)),0,VLOOKUP($T$847,'TAR FIN'!$A$1:$O$115,15,0))</f>
        <v>0</v>
      </c>
      <c r="X847" s="6">
        <f>IF(ISERROR(VLOOKUP($U$847,'TAR FIN'!$A$1:$O$115,15,0)),0,VLOOKUP($U$847,'TAR FIN'!$A$1:$O$115,15,0))</f>
        <v>0</v>
      </c>
      <c r="Y847" s="6">
        <f ca="1">('TUSD BE'!$AM$27+'TUSD BF'!$AM$27+'TUSD CVA'!$AM$27)*1</f>
        <v>20.615214330225772</v>
      </c>
      <c r="Z847" s="6"/>
      <c r="AA847" s="6"/>
      <c r="AB847" s="6">
        <f>$K$847*$V$847</f>
        <v>134125.20000000001</v>
      </c>
      <c r="AC847" s="6">
        <f>$M$847*$W$847</f>
        <v>0</v>
      </c>
      <c r="AD847" s="6">
        <f>$O$847*$X$847</f>
        <v>0</v>
      </c>
      <c r="AE847" s="6">
        <f ca="1">$K$847*$Y$847</f>
        <v>139647.46187294938</v>
      </c>
      <c r="AF847" s="6">
        <f>$M$847*$Z$847</f>
        <v>0</v>
      </c>
      <c r="AG847" s="6">
        <f>$O$847*$AA$847</f>
        <v>0</v>
      </c>
    </row>
    <row r="848" spans="1:33" ht="11.25" customHeight="1" x14ac:dyDescent="0.25">
      <c r="A848" s="4" t="s">
        <v>30</v>
      </c>
      <c r="B848" s="4" t="s">
        <v>41</v>
      </c>
      <c r="C848" s="4" t="s">
        <v>44</v>
      </c>
      <c r="D848" s="4" t="s">
        <v>48</v>
      </c>
      <c r="E848" s="4" t="s">
        <v>25</v>
      </c>
      <c r="F848" s="4" t="s">
        <v>25</v>
      </c>
      <c r="G848" s="4" t="s">
        <v>25</v>
      </c>
      <c r="H848" s="4" t="s">
        <v>25</v>
      </c>
      <c r="I848" s="5">
        <v>44805</v>
      </c>
      <c r="J848" s="6">
        <v>2701</v>
      </c>
      <c r="K848" s="6">
        <v>2701</v>
      </c>
      <c r="L848" s="6">
        <v>0</v>
      </c>
      <c r="M848" s="6">
        <v>0</v>
      </c>
      <c r="N848" s="6">
        <v>0</v>
      </c>
      <c r="O848" s="6">
        <v>0</v>
      </c>
      <c r="P848" s="6">
        <v>5</v>
      </c>
      <c r="Q848" s="4" t="s">
        <v>26</v>
      </c>
      <c r="R848" s="4">
        <v>0</v>
      </c>
      <c r="S848" s="6">
        <v>27</v>
      </c>
      <c r="T848" s="6">
        <v>0</v>
      </c>
      <c r="U848" s="6">
        <v>0</v>
      </c>
      <c r="V848" s="6">
        <f>IF(ISERROR(VLOOKUP($S$848,'TAR FIN'!$A$1:$O$115,15,0)),0,VLOOKUP($S$848,'TAR FIN'!$A$1:$O$115,15,0))</f>
        <v>19.8</v>
      </c>
      <c r="W848" s="6">
        <f>IF(ISERROR(VLOOKUP($T$848,'TAR FIN'!$A$1:$O$115,15,0)),0,VLOOKUP($T$848,'TAR FIN'!$A$1:$O$115,15,0))</f>
        <v>0</v>
      </c>
      <c r="X848" s="6">
        <f>IF(ISERROR(VLOOKUP($U$848,'TAR FIN'!$A$1:$O$115,15,0)),0,VLOOKUP($U$848,'TAR FIN'!$A$1:$O$115,15,0))</f>
        <v>0</v>
      </c>
      <c r="Y848" s="6">
        <f ca="1">('TUSD BE'!$AM$27+'TUSD BF'!$AM$27+'TUSD CVA'!$AM$27)*1</f>
        <v>20.615214330225772</v>
      </c>
      <c r="Z848" s="6"/>
      <c r="AA848" s="6"/>
      <c r="AB848" s="6">
        <f>$K$848*$V$848</f>
        <v>53479.8</v>
      </c>
      <c r="AC848" s="6">
        <f>$M$848*$W$848</f>
        <v>0</v>
      </c>
      <c r="AD848" s="6">
        <f>$O$848*$X$848</f>
        <v>0</v>
      </c>
      <c r="AE848" s="6">
        <f ca="1">$K$848*$Y$848</f>
        <v>55681.693905939814</v>
      </c>
      <c r="AF848" s="6">
        <f>$M$848*$Z$848</f>
        <v>0</v>
      </c>
      <c r="AG848" s="6">
        <f>$O$848*$AA$848</f>
        <v>0</v>
      </c>
    </row>
    <row r="849" spans="1:33" ht="11.25" customHeight="1" x14ac:dyDescent="0.25">
      <c r="A849" s="4" t="s">
        <v>21</v>
      </c>
      <c r="B849" s="4" t="s">
        <v>41</v>
      </c>
      <c r="C849" s="4" t="s">
        <v>44</v>
      </c>
      <c r="D849" s="4" t="s">
        <v>48</v>
      </c>
      <c r="E849" s="4" t="s">
        <v>25</v>
      </c>
      <c r="F849" s="4" t="s">
        <v>25</v>
      </c>
      <c r="G849" s="4" t="s">
        <v>25</v>
      </c>
      <c r="H849" s="4" t="s">
        <v>25</v>
      </c>
      <c r="I849" s="5">
        <v>44835</v>
      </c>
      <c r="J849" s="6">
        <v>28065</v>
      </c>
      <c r="K849" s="6">
        <v>28065</v>
      </c>
      <c r="L849" s="6">
        <v>0</v>
      </c>
      <c r="M849" s="6">
        <v>0</v>
      </c>
      <c r="N849" s="6">
        <v>0</v>
      </c>
      <c r="O849" s="6">
        <v>0</v>
      </c>
      <c r="P849" s="6">
        <v>255</v>
      </c>
      <c r="Q849" s="4" t="s">
        <v>26</v>
      </c>
      <c r="R849" s="4">
        <v>0</v>
      </c>
      <c r="S849" s="6">
        <v>27</v>
      </c>
      <c r="T849" s="6">
        <v>0</v>
      </c>
      <c r="U849" s="6">
        <v>0</v>
      </c>
      <c r="V849" s="6">
        <f>IF(ISERROR(VLOOKUP($S$849,'TAR FIN'!$A$1:$O$115,15,0)),0,VLOOKUP($S$849,'TAR FIN'!$A$1:$O$115,15,0))</f>
        <v>19.8</v>
      </c>
      <c r="W849" s="6">
        <f>IF(ISERROR(VLOOKUP($T$849,'TAR FIN'!$A$1:$O$115,15,0)),0,VLOOKUP($T$849,'TAR FIN'!$A$1:$O$115,15,0))</f>
        <v>0</v>
      </c>
      <c r="X849" s="6">
        <f>IF(ISERROR(VLOOKUP($U$849,'TAR FIN'!$A$1:$O$115,15,0)),0,VLOOKUP($U$849,'TAR FIN'!$A$1:$O$115,15,0))</f>
        <v>0</v>
      </c>
      <c r="Y849" s="6">
        <f ca="1">('TUSD BE'!$AM$27+'TUSD BF'!$AM$27+'TUSD CVA'!$AM$27)*1</f>
        <v>20.615214330225772</v>
      </c>
      <c r="Z849" s="6"/>
      <c r="AA849" s="6"/>
      <c r="AB849" s="6">
        <f>$K$849*$V$849</f>
        <v>555687</v>
      </c>
      <c r="AC849" s="6">
        <f>$M$849*$W$849</f>
        <v>0</v>
      </c>
      <c r="AD849" s="6">
        <f>$O$849*$X$849</f>
        <v>0</v>
      </c>
      <c r="AE849" s="6">
        <f ca="1">$K$849*$Y$849</f>
        <v>578565.99017778633</v>
      </c>
      <c r="AF849" s="6">
        <f>$M$849*$Z$849</f>
        <v>0</v>
      </c>
      <c r="AG849" s="6">
        <f>$O$849*$AA$849</f>
        <v>0</v>
      </c>
    </row>
    <row r="850" spans="1:33" ht="11.25" customHeight="1" x14ac:dyDescent="0.25">
      <c r="A850" s="4" t="s">
        <v>28</v>
      </c>
      <c r="B850" s="4" t="s">
        <v>41</v>
      </c>
      <c r="C850" s="4" t="s">
        <v>44</v>
      </c>
      <c r="D850" s="4" t="s">
        <v>48</v>
      </c>
      <c r="E850" s="4" t="s">
        <v>25</v>
      </c>
      <c r="F850" s="4" t="s">
        <v>25</v>
      </c>
      <c r="G850" s="4" t="s">
        <v>25</v>
      </c>
      <c r="H850" s="4" t="s">
        <v>25</v>
      </c>
      <c r="I850" s="5">
        <v>44835</v>
      </c>
      <c r="J850" s="6">
        <v>6952</v>
      </c>
      <c r="K850" s="6">
        <v>6952</v>
      </c>
      <c r="L850" s="6">
        <v>0</v>
      </c>
      <c r="M850" s="6">
        <v>0</v>
      </c>
      <c r="N850" s="6">
        <v>0</v>
      </c>
      <c r="O850" s="6">
        <v>0</v>
      </c>
      <c r="P850" s="6">
        <v>72</v>
      </c>
      <c r="Q850" s="4" t="s">
        <v>26</v>
      </c>
      <c r="R850" s="4">
        <v>0</v>
      </c>
      <c r="S850" s="6">
        <v>27</v>
      </c>
      <c r="T850" s="6">
        <v>0</v>
      </c>
      <c r="U850" s="6">
        <v>0</v>
      </c>
      <c r="V850" s="6">
        <f>IF(ISERROR(VLOOKUP($S$850,'TAR FIN'!$A$1:$O$115,15,0)),0,VLOOKUP($S$850,'TAR FIN'!$A$1:$O$115,15,0))</f>
        <v>19.8</v>
      </c>
      <c r="W850" s="6">
        <f>IF(ISERROR(VLOOKUP($T$850,'TAR FIN'!$A$1:$O$115,15,0)),0,VLOOKUP($T$850,'TAR FIN'!$A$1:$O$115,15,0))</f>
        <v>0</v>
      </c>
      <c r="X850" s="6">
        <f>IF(ISERROR(VLOOKUP($U$850,'TAR FIN'!$A$1:$O$115,15,0)),0,VLOOKUP($U$850,'TAR FIN'!$A$1:$O$115,15,0))</f>
        <v>0</v>
      </c>
      <c r="Y850" s="6">
        <f ca="1">('TUSD BE'!$AM$27+'TUSD BF'!$AM$27+'TUSD CVA'!$AM$27)*1</f>
        <v>20.615214330225772</v>
      </c>
      <c r="Z850" s="6"/>
      <c r="AA850" s="6"/>
      <c r="AB850" s="6">
        <f>$K$850*$V$850</f>
        <v>137649.60000000001</v>
      </c>
      <c r="AC850" s="6">
        <f>$M$850*$W$850</f>
        <v>0</v>
      </c>
      <c r="AD850" s="6">
        <f>$O$850*$X$850</f>
        <v>0</v>
      </c>
      <c r="AE850" s="6">
        <f ca="1">$K$850*$Y$850</f>
        <v>143316.97002372958</v>
      </c>
      <c r="AF850" s="6">
        <f>$M$850*$Z$850</f>
        <v>0</v>
      </c>
      <c r="AG850" s="6">
        <f>$O$850*$AA$850</f>
        <v>0</v>
      </c>
    </row>
    <row r="851" spans="1:33" ht="11.25" customHeight="1" x14ac:dyDescent="0.25">
      <c r="A851" s="4" t="s">
        <v>30</v>
      </c>
      <c r="B851" s="4" t="s">
        <v>41</v>
      </c>
      <c r="C851" s="4" t="s">
        <v>44</v>
      </c>
      <c r="D851" s="4" t="s">
        <v>48</v>
      </c>
      <c r="E851" s="4" t="s">
        <v>25</v>
      </c>
      <c r="F851" s="4" t="s">
        <v>25</v>
      </c>
      <c r="G851" s="4" t="s">
        <v>25</v>
      </c>
      <c r="H851" s="4" t="s">
        <v>25</v>
      </c>
      <c r="I851" s="5">
        <v>44835</v>
      </c>
      <c r="J851" s="6">
        <v>2910</v>
      </c>
      <c r="K851" s="6">
        <v>2910</v>
      </c>
      <c r="L851" s="6">
        <v>0</v>
      </c>
      <c r="M851" s="6">
        <v>0</v>
      </c>
      <c r="N851" s="6">
        <v>0</v>
      </c>
      <c r="O851" s="6">
        <v>0</v>
      </c>
      <c r="P851" s="6">
        <v>6</v>
      </c>
      <c r="Q851" s="4" t="s">
        <v>26</v>
      </c>
      <c r="R851" s="4">
        <v>0</v>
      </c>
      <c r="S851" s="6">
        <v>27</v>
      </c>
      <c r="T851" s="6">
        <v>0</v>
      </c>
      <c r="U851" s="6">
        <v>0</v>
      </c>
      <c r="V851" s="6">
        <f>IF(ISERROR(VLOOKUP($S$851,'TAR FIN'!$A$1:$O$115,15,0)),0,VLOOKUP($S$851,'TAR FIN'!$A$1:$O$115,15,0))</f>
        <v>19.8</v>
      </c>
      <c r="W851" s="6">
        <f>IF(ISERROR(VLOOKUP($T$851,'TAR FIN'!$A$1:$O$115,15,0)),0,VLOOKUP($T$851,'TAR FIN'!$A$1:$O$115,15,0))</f>
        <v>0</v>
      </c>
      <c r="X851" s="6">
        <f>IF(ISERROR(VLOOKUP($U$851,'TAR FIN'!$A$1:$O$115,15,0)),0,VLOOKUP($U$851,'TAR FIN'!$A$1:$O$115,15,0))</f>
        <v>0</v>
      </c>
      <c r="Y851" s="6">
        <f ca="1">('TUSD BE'!$AM$27+'TUSD BF'!$AM$27+'TUSD CVA'!$AM$27)*1</f>
        <v>20.615214330225772</v>
      </c>
      <c r="Z851" s="6"/>
      <c r="AA851" s="6"/>
      <c r="AB851" s="6">
        <f>$K$851*$V$851</f>
        <v>57618</v>
      </c>
      <c r="AC851" s="6">
        <f>$M$851*$W$851</f>
        <v>0</v>
      </c>
      <c r="AD851" s="6">
        <f>$O$851*$X$851</f>
        <v>0</v>
      </c>
      <c r="AE851" s="6">
        <f ca="1">$K$851*$Y$851</f>
        <v>59990.273700956997</v>
      </c>
      <c r="AF851" s="6">
        <f>$M$851*$Z$851</f>
        <v>0</v>
      </c>
      <c r="AG851" s="6">
        <f>$O$851*$AA$851</f>
        <v>0</v>
      </c>
    </row>
    <row r="852" spans="1:33" ht="11.25" customHeight="1" x14ac:dyDescent="0.25">
      <c r="A852" s="4" t="s">
        <v>59</v>
      </c>
      <c r="B852" s="4" t="s">
        <v>41</v>
      </c>
      <c r="C852" s="4" t="s">
        <v>44</v>
      </c>
      <c r="D852" s="4" t="s">
        <v>48</v>
      </c>
      <c r="E852" s="4" t="s">
        <v>25</v>
      </c>
      <c r="F852" s="4" t="s">
        <v>25</v>
      </c>
      <c r="G852" s="4" t="s">
        <v>25</v>
      </c>
      <c r="H852" s="4" t="s">
        <v>25</v>
      </c>
      <c r="I852" s="5">
        <v>44866</v>
      </c>
      <c r="J852" s="6">
        <v>28065</v>
      </c>
      <c r="K852" s="6">
        <v>28065</v>
      </c>
      <c r="L852" s="6">
        <v>0</v>
      </c>
      <c r="M852" s="6">
        <v>0</v>
      </c>
      <c r="N852" s="6">
        <v>0</v>
      </c>
      <c r="O852" s="6">
        <v>0</v>
      </c>
      <c r="P852" s="6">
        <v>255</v>
      </c>
      <c r="Q852" s="4" t="s">
        <v>26</v>
      </c>
      <c r="R852" s="4">
        <v>0</v>
      </c>
      <c r="S852" s="6">
        <v>27</v>
      </c>
      <c r="T852" s="6">
        <v>0</v>
      </c>
      <c r="U852" s="6">
        <v>0</v>
      </c>
      <c r="V852" s="6">
        <f>IF(ISERROR(VLOOKUP($S$852,'TAR FIN'!$A$1:$O$115,15,0)),0,VLOOKUP($S$852,'TAR FIN'!$A$1:$O$115,15,0))</f>
        <v>19.8</v>
      </c>
      <c r="W852" s="6">
        <f>IF(ISERROR(VLOOKUP($T$852,'TAR FIN'!$A$1:$O$115,15,0)),0,VLOOKUP($T$852,'TAR FIN'!$A$1:$O$115,15,0))</f>
        <v>0</v>
      </c>
      <c r="X852" s="6">
        <f>IF(ISERROR(VLOOKUP($U$852,'TAR FIN'!$A$1:$O$115,15,0)),0,VLOOKUP($U$852,'TAR FIN'!$A$1:$O$115,15,0))</f>
        <v>0</v>
      </c>
      <c r="Y852" s="6">
        <f ca="1">('TUSD BE'!$AM$27+'TUSD BF'!$AM$27+'TUSD CVA'!$AM$27)*1</f>
        <v>20.615214330225772</v>
      </c>
      <c r="Z852" s="6"/>
      <c r="AA852" s="6"/>
      <c r="AB852" s="6">
        <f>$K$852*$V$852</f>
        <v>555687</v>
      </c>
      <c r="AC852" s="6">
        <f>$M$852*$W$852</f>
        <v>0</v>
      </c>
      <c r="AD852" s="6">
        <f>$O$852*$X$852</f>
        <v>0</v>
      </c>
      <c r="AE852" s="6">
        <f ca="1">$K$852*$Y$852</f>
        <v>578565.99017778633</v>
      </c>
      <c r="AF852" s="6">
        <f>$M$852*$Z$852</f>
        <v>0</v>
      </c>
      <c r="AG852" s="6">
        <f>$O$852*$AA$852</f>
        <v>0</v>
      </c>
    </row>
    <row r="853" spans="1:33" ht="11.25" customHeight="1" x14ac:dyDescent="0.25">
      <c r="A853" s="4" t="s">
        <v>59</v>
      </c>
      <c r="B853" s="4" t="s">
        <v>41</v>
      </c>
      <c r="C853" s="4" t="s">
        <v>44</v>
      </c>
      <c r="D853" s="4" t="s">
        <v>48</v>
      </c>
      <c r="E853" s="4" t="s">
        <v>25</v>
      </c>
      <c r="F853" s="4" t="s">
        <v>25</v>
      </c>
      <c r="G853" s="4" t="s">
        <v>25</v>
      </c>
      <c r="H853" s="4" t="s">
        <v>25</v>
      </c>
      <c r="I853" s="5">
        <v>44866</v>
      </c>
      <c r="J853" s="6">
        <v>6952</v>
      </c>
      <c r="K853" s="6">
        <v>6952</v>
      </c>
      <c r="L853" s="6">
        <v>0</v>
      </c>
      <c r="M853" s="6">
        <v>0</v>
      </c>
      <c r="N853" s="6">
        <v>0</v>
      </c>
      <c r="O853" s="6">
        <v>0</v>
      </c>
      <c r="P853" s="6">
        <v>72</v>
      </c>
      <c r="Q853" s="4" t="s">
        <v>26</v>
      </c>
      <c r="R853" s="4">
        <v>0</v>
      </c>
      <c r="S853" s="6">
        <v>27</v>
      </c>
      <c r="T853" s="6">
        <v>0</v>
      </c>
      <c r="U853" s="6">
        <v>0</v>
      </c>
      <c r="V853" s="6">
        <f>IF(ISERROR(VLOOKUP($S$853,'TAR FIN'!$A$1:$O$115,15,0)),0,VLOOKUP($S$853,'TAR FIN'!$A$1:$O$115,15,0))</f>
        <v>19.8</v>
      </c>
      <c r="W853" s="6">
        <f>IF(ISERROR(VLOOKUP($T$853,'TAR FIN'!$A$1:$O$115,15,0)),0,VLOOKUP($T$853,'TAR FIN'!$A$1:$O$115,15,0))</f>
        <v>0</v>
      </c>
      <c r="X853" s="6">
        <f>IF(ISERROR(VLOOKUP($U$853,'TAR FIN'!$A$1:$O$115,15,0)),0,VLOOKUP($U$853,'TAR FIN'!$A$1:$O$115,15,0))</f>
        <v>0</v>
      </c>
      <c r="Y853" s="6">
        <f ca="1">('TUSD BE'!$AM$27+'TUSD BF'!$AM$27+'TUSD CVA'!$AM$27)*1</f>
        <v>20.615214330225772</v>
      </c>
      <c r="Z853" s="6"/>
      <c r="AA853" s="6"/>
      <c r="AB853" s="6">
        <f>$K$853*$V$853</f>
        <v>137649.60000000001</v>
      </c>
      <c r="AC853" s="6">
        <f>$M$853*$W$853</f>
        <v>0</v>
      </c>
      <c r="AD853" s="6">
        <f>$O$853*$X$853</f>
        <v>0</v>
      </c>
      <c r="AE853" s="6">
        <f ca="1">$K$853*$Y$853</f>
        <v>143316.97002372958</v>
      </c>
      <c r="AF853" s="6">
        <f>$M$853*$Z$853</f>
        <v>0</v>
      </c>
      <c r="AG853" s="6">
        <f>$O$853*$AA$853</f>
        <v>0</v>
      </c>
    </row>
    <row r="854" spans="1:33" ht="11.25" customHeight="1" x14ac:dyDescent="0.25">
      <c r="A854" s="4" t="s">
        <v>59</v>
      </c>
      <c r="B854" s="4" t="s">
        <v>41</v>
      </c>
      <c r="C854" s="4" t="s">
        <v>44</v>
      </c>
      <c r="D854" s="4" t="s">
        <v>48</v>
      </c>
      <c r="E854" s="4" t="s">
        <v>25</v>
      </c>
      <c r="F854" s="4" t="s">
        <v>25</v>
      </c>
      <c r="G854" s="4" t="s">
        <v>25</v>
      </c>
      <c r="H854" s="4" t="s">
        <v>25</v>
      </c>
      <c r="I854" s="5">
        <v>44866</v>
      </c>
      <c r="J854" s="6">
        <v>2910</v>
      </c>
      <c r="K854" s="6">
        <v>2910</v>
      </c>
      <c r="L854" s="6">
        <v>0</v>
      </c>
      <c r="M854" s="6">
        <v>0</v>
      </c>
      <c r="N854" s="6">
        <v>0</v>
      </c>
      <c r="O854" s="6">
        <v>0</v>
      </c>
      <c r="P854" s="6">
        <v>6</v>
      </c>
      <c r="Q854" s="4" t="s">
        <v>26</v>
      </c>
      <c r="R854" s="4">
        <v>0</v>
      </c>
      <c r="S854" s="6">
        <v>27</v>
      </c>
      <c r="T854" s="6">
        <v>0</v>
      </c>
      <c r="U854" s="6">
        <v>0</v>
      </c>
      <c r="V854" s="6">
        <f>IF(ISERROR(VLOOKUP($S$854,'TAR FIN'!$A$1:$O$115,15,0)),0,VLOOKUP($S$854,'TAR FIN'!$A$1:$O$115,15,0))</f>
        <v>19.8</v>
      </c>
      <c r="W854" s="6">
        <f>IF(ISERROR(VLOOKUP($T$854,'TAR FIN'!$A$1:$O$115,15,0)),0,VLOOKUP($T$854,'TAR FIN'!$A$1:$O$115,15,0))</f>
        <v>0</v>
      </c>
      <c r="X854" s="6">
        <f>IF(ISERROR(VLOOKUP($U$854,'TAR FIN'!$A$1:$O$115,15,0)),0,VLOOKUP($U$854,'TAR FIN'!$A$1:$O$115,15,0))</f>
        <v>0</v>
      </c>
      <c r="Y854" s="6">
        <f ca="1">('TUSD BE'!$AM$27+'TUSD BF'!$AM$27+'TUSD CVA'!$AM$27)*1</f>
        <v>20.615214330225772</v>
      </c>
      <c r="Z854" s="6"/>
      <c r="AA854" s="6"/>
      <c r="AB854" s="6">
        <f>$K$854*$V$854</f>
        <v>57618</v>
      </c>
      <c r="AC854" s="6">
        <f>$M$854*$W$854</f>
        <v>0</v>
      </c>
      <c r="AD854" s="6">
        <f>$O$854*$X$854</f>
        <v>0</v>
      </c>
      <c r="AE854" s="6">
        <f ca="1">$K$854*$Y$854</f>
        <v>59990.273700956997</v>
      </c>
      <c r="AF854" s="6">
        <f>$M$854*$Z$854</f>
        <v>0</v>
      </c>
      <c r="AG854" s="6">
        <f>$O$854*$AA$854</f>
        <v>0</v>
      </c>
    </row>
    <row r="855" spans="1:33" ht="11.25" customHeight="1" x14ac:dyDescent="0.25">
      <c r="A855" s="4" t="s">
        <v>21</v>
      </c>
      <c r="B855" s="4" t="s">
        <v>41</v>
      </c>
      <c r="C855" s="4" t="s">
        <v>44</v>
      </c>
      <c r="D855" s="4" t="s">
        <v>48</v>
      </c>
      <c r="E855" s="4" t="s">
        <v>25</v>
      </c>
      <c r="F855" s="4" t="s">
        <v>25</v>
      </c>
      <c r="G855" s="4" t="s">
        <v>25</v>
      </c>
      <c r="H855" s="4" t="s">
        <v>36</v>
      </c>
      <c r="I855" s="5">
        <v>44531</v>
      </c>
      <c r="J855" s="6">
        <v>0</v>
      </c>
      <c r="K855" s="6">
        <v>0</v>
      </c>
      <c r="L855" s="6">
        <v>243.60900000000001</v>
      </c>
      <c r="M855" s="6">
        <v>243.60900000000001</v>
      </c>
      <c r="N855" s="6">
        <v>243.60900000000001</v>
      </c>
      <c r="O855" s="6">
        <v>243.60900000000001</v>
      </c>
      <c r="P855" s="6">
        <v>0</v>
      </c>
      <c r="Q855" s="4" t="s">
        <v>26</v>
      </c>
      <c r="R855" s="4">
        <v>0</v>
      </c>
      <c r="S855" s="6">
        <v>0</v>
      </c>
      <c r="T855" s="6">
        <v>28</v>
      </c>
      <c r="U855" s="6">
        <v>74</v>
      </c>
      <c r="V855" s="6">
        <f>IF(ISERROR(VLOOKUP($S$855,'TAR FIN'!$A$1:$O$115,15,0)),0,VLOOKUP($S$855,'TAR FIN'!$A$1:$O$115,15,0))</f>
        <v>0</v>
      </c>
      <c r="W855" s="6">
        <f>IF(ISERROR(VLOOKUP($T$855,'TAR FIN'!$A$1:$O$115,15,0)),0,VLOOKUP($T$855,'TAR FIN'!$A$1:$O$115,15,0))</f>
        <v>1448.96</v>
      </c>
      <c r="X855" s="6">
        <f>IF(ISERROR(VLOOKUP($U$855,'TAR FIN'!$A$1:$O$115,15,0)),0,VLOOKUP($U$855,'TAR FIN'!$A$1:$O$115,15,0))</f>
        <v>270.3</v>
      </c>
      <c r="Y855" s="6"/>
      <c r="Z855" s="6">
        <f ca="1">('TUSD BE'!$AM$28+'TUSD BF'!$AM$28+'TUSD CVA'!$AM$28)*1</f>
        <v>1480.1280206491922</v>
      </c>
      <c r="AA855" s="6">
        <f>('TE BE'!$AB$11+'TE BF'!$AB$11+'TE CVA'!$AB$11)*1</f>
        <v>362.64398683254075</v>
      </c>
      <c r="AB855" s="6">
        <f>$K$855*$V$855</f>
        <v>0</v>
      </c>
      <c r="AC855" s="6">
        <f>$M$855*$W$855</f>
        <v>352979.69664000004</v>
      </c>
      <c r="AD855" s="6">
        <f>$O$855*$X$855</f>
        <v>65847.512700000007</v>
      </c>
      <c r="AE855" s="6">
        <f>$K$855*$Y$855</f>
        <v>0</v>
      </c>
      <c r="AF855" s="6">
        <f ca="1">$M$855*$Z$855</f>
        <v>360572.50698232907</v>
      </c>
      <c r="AG855" s="6">
        <f>$O$855*$AA$855</f>
        <v>88343.338988288422</v>
      </c>
    </row>
    <row r="856" spans="1:33" ht="11.25" customHeight="1" x14ac:dyDescent="0.25">
      <c r="A856" s="4" t="s">
        <v>28</v>
      </c>
      <c r="B856" s="4" t="s">
        <v>41</v>
      </c>
      <c r="C856" s="4" t="s">
        <v>44</v>
      </c>
      <c r="D856" s="4" t="s">
        <v>48</v>
      </c>
      <c r="E856" s="4" t="s">
        <v>25</v>
      </c>
      <c r="F856" s="4" t="s">
        <v>25</v>
      </c>
      <c r="G856" s="4" t="s">
        <v>25</v>
      </c>
      <c r="H856" s="4" t="s">
        <v>36</v>
      </c>
      <c r="I856" s="5">
        <v>44531</v>
      </c>
      <c r="J856" s="6">
        <v>0</v>
      </c>
      <c r="K856" s="6">
        <v>0</v>
      </c>
      <c r="L856" s="6">
        <v>63.03</v>
      </c>
      <c r="M856" s="6">
        <v>63.03</v>
      </c>
      <c r="N856" s="6">
        <v>63.03</v>
      </c>
      <c r="O856" s="6">
        <v>63.03</v>
      </c>
      <c r="P856" s="6">
        <v>0</v>
      </c>
      <c r="Q856" s="4" t="s">
        <v>26</v>
      </c>
      <c r="R856" s="4">
        <v>0</v>
      </c>
      <c r="S856" s="6">
        <v>0</v>
      </c>
      <c r="T856" s="6">
        <v>28</v>
      </c>
      <c r="U856" s="6">
        <v>74</v>
      </c>
      <c r="V856" s="6">
        <f>IF(ISERROR(VLOOKUP($S$856,'TAR FIN'!$A$1:$O$115,15,0)),0,VLOOKUP($S$856,'TAR FIN'!$A$1:$O$115,15,0))</f>
        <v>0</v>
      </c>
      <c r="W856" s="6">
        <f>IF(ISERROR(VLOOKUP($T$856,'TAR FIN'!$A$1:$O$115,15,0)),0,VLOOKUP($T$856,'TAR FIN'!$A$1:$O$115,15,0))</f>
        <v>1448.96</v>
      </c>
      <c r="X856" s="6">
        <f>IF(ISERROR(VLOOKUP($U$856,'TAR FIN'!$A$1:$O$115,15,0)),0,VLOOKUP($U$856,'TAR FIN'!$A$1:$O$115,15,0))</f>
        <v>270.3</v>
      </c>
      <c r="Y856" s="6"/>
      <c r="Z856" s="6">
        <f ca="1">('TUSD BE'!$AM$28+'TUSD BF'!$AM$28+'TUSD CVA'!$AM$28)*1</f>
        <v>1480.1280206491922</v>
      </c>
      <c r="AA856" s="6">
        <f>('TE BE'!$AB$11+'TE BF'!$AB$11+'TE CVA'!$AB$11)*1</f>
        <v>362.64398683254075</v>
      </c>
      <c r="AB856" s="6">
        <f>$K$856*$V$856</f>
        <v>0</v>
      </c>
      <c r="AC856" s="6">
        <f>$M$856*$W$856</f>
        <v>91327.948799999998</v>
      </c>
      <c r="AD856" s="6">
        <f>$O$856*$X$856</f>
        <v>17037.009000000002</v>
      </c>
      <c r="AE856" s="6">
        <f>$K$856*$Y$856</f>
        <v>0</v>
      </c>
      <c r="AF856" s="6">
        <f ca="1">$M$856*$Z$856</f>
        <v>93292.469141518581</v>
      </c>
      <c r="AG856" s="6">
        <f>$O$856*$AA$856</f>
        <v>22857.450490055046</v>
      </c>
    </row>
    <row r="857" spans="1:33" ht="11.25" customHeight="1" x14ac:dyDescent="0.25">
      <c r="A857" s="4" t="s">
        <v>30</v>
      </c>
      <c r="B857" s="4" t="s">
        <v>41</v>
      </c>
      <c r="C857" s="4" t="s">
        <v>44</v>
      </c>
      <c r="D857" s="4" t="s">
        <v>48</v>
      </c>
      <c r="E857" s="4" t="s">
        <v>25</v>
      </c>
      <c r="F857" s="4" t="s">
        <v>25</v>
      </c>
      <c r="G857" s="4" t="s">
        <v>25</v>
      </c>
      <c r="H857" s="4" t="s">
        <v>36</v>
      </c>
      <c r="I857" s="5">
        <v>44531</v>
      </c>
      <c r="J857" s="6">
        <v>0</v>
      </c>
      <c r="K857" s="6">
        <v>0</v>
      </c>
      <c r="L857" s="6">
        <v>23.442</v>
      </c>
      <c r="M857" s="6">
        <v>23.442</v>
      </c>
      <c r="N857" s="6">
        <v>23.442</v>
      </c>
      <c r="O857" s="6">
        <v>23.442</v>
      </c>
      <c r="P857" s="6">
        <v>0</v>
      </c>
      <c r="Q857" s="4" t="s">
        <v>26</v>
      </c>
      <c r="R857" s="4">
        <v>0</v>
      </c>
      <c r="S857" s="6">
        <v>0</v>
      </c>
      <c r="T857" s="6">
        <v>28</v>
      </c>
      <c r="U857" s="6">
        <v>74</v>
      </c>
      <c r="V857" s="6">
        <f>IF(ISERROR(VLOOKUP($S$857,'TAR FIN'!$A$1:$O$115,15,0)),0,VLOOKUP($S$857,'TAR FIN'!$A$1:$O$115,15,0))</f>
        <v>0</v>
      </c>
      <c r="W857" s="6">
        <f>IF(ISERROR(VLOOKUP($T$857,'TAR FIN'!$A$1:$O$115,15,0)),0,VLOOKUP($T$857,'TAR FIN'!$A$1:$O$115,15,0))</f>
        <v>1448.96</v>
      </c>
      <c r="X857" s="6">
        <f>IF(ISERROR(VLOOKUP($U$857,'TAR FIN'!$A$1:$O$115,15,0)),0,VLOOKUP($U$857,'TAR FIN'!$A$1:$O$115,15,0))</f>
        <v>270.3</v>
      </c>
      <c r="Y857" s="6"/>
      <c r="Z857" s="6">
        <f ca="1">('TUSD BE'!$AM$28+'TUSD BF'!$AM$28+'TUSD CVA'!$AM$28)*1</f>
        <v>1480.1280206491922</v>
      </c>
      <c r="AA857" s="6">
        <f>('TE BE'!$AB$11+'TE BF'!$AB$11+'TE CVA'!$AB$11)*1</f>
        <v>362.64398683254075</v>
      </c>
      <c r="AB857" s="6">
        <f>$K$857*$V$857</f>
        <v>0</v>
      </c>
      <c r="AC857" s="6">
        <f>$M$857*$W$857</f>
        <v>33966.520320000003</v>
      </c>
      <c r="AD857" s="6">
        <f>$O$857*$X$857</f>
        <v>6336.3726000000006</v>
      </c>
      <c r="AE857" s="6">
        <f>$K$857*$Y$857</f>
        <v>0</v>
      </c>
      <c r="AF857" s="6">
        <f ca="1">$M$857*$Z$857</f>
        <v>34697.161060058366</v>
      </c>
      <c r="AG857" s="6">
        <f>$O$857*$AA$857</f>
        <v>8501.1003393284209</v>
      </c>
    </row>
    <row r="858" spans="1:33" ht="11.25" customHeight="1" x14ac:dyDescent="0.25">
      <c r="A858" s="4" t="s">
        <v>21</v>
      </c>
      <c r="B858" s="4" t="s">
        <v>41</v>
      </c>
      <c r="C858" s="4" t="s">
        <v>44</v>
      </c>
      <c r="D858" s="4" t="s">
        <v>48</v>
      </c>
      <c r="E858" s="4" t="s">
        <v>25</v>
      </c>
      <c r="F858" s="4" t="s">
        <v>25</v>
      </c>
      <c r="G858" s="4" t="s">
        <v>25</v>
      </c>
      <c r="H858" s="4" t="s">
        <v>36</v>
      </c>
      <c r="I858" s="5">
        <v>44562</v>
      </c>
      <c r="J858" s="6">
        <v>0</v>
      </c>
      <c r="K858" s="6">
        <v>0</v>
      </c>
      <c r="L858" s="6">
        <v>241.51599999999999</v>
      </c>
      <c r="M858" s="6">
        <v>241.51599999999999</v>
      </c>
      <c r="N858" s="6">
        <v>241.51599999999999</v>
      </c>
      <c r="O858" s="6">
        <v>241.51599999999999</v>
      </c>
      <c r="P858" s="6">
        <v>0</v>
      </c>
      <c r="Q858" s="4" t="s">
        <v>26</v>
      </c>
      <c r="R858" s="4">
        <v>0</v>
      </c>
      <c r="S858" s="6">
        <v>0</v>
      </c>
      <c r="T858" s="6">
        <v>28</v>
      </c>
      <c r="U858" s="6">
        <v>74</v>
      </c>
      <c r="V858" s="6">
        <f>IF(ISERROR(VLOOKUP($S$858,'TAR FIN'!$A$1:$O$115,15,0)),0,VLOOKUP($S$858,'TAR FIN'!$A$1:$O$115,15,0))</f>
        <v>0</v>
      </c>
      <c r="W858" s="6">
        <f>IF(ISERROR(VLOOKUP($T$858,'TAR FIN'!$A$1:$O$115,15,0)),0,VLOOKUP($T$858,'TAR FIN'!$A$1:$O$115,15,0))</f>
        <v>1448.96</v>
      </c>
      <c r="X858" s="6">
        <f>IF(ISERROR(VLOOKUP($U$858,'TAR FIN'!$A$1:$O$115,15,0)),0,VLOOKUP($U$858,'TAR FIN'!$A$1:$O$115,15,0))</f>
        <v>270.3</v>
      </c>
      <c r="Y858" s="6"/>
      <c r="Z858" s="6">
        <f ca="1">('TUSD BE'!$AM$28+'TUSD BF'!$AM$28+'TUSD CVA'!$AM$28)*1</f>
        <v>1480.1280206491922</v>
      </c>
      <c r="AA858" s="6">
        <f>('TE BE'!$AB$11+'TE BF'!$AB$11+'TE CVA'!$AB$11)*1</f>
        <v>362.64398683254075</v>
      </c>
      <c r="AB858" s="6">
        <f>$K$858*$V$858</f>
        <v>0</v>
      </c>
      <c r="AC858" s="6">
        <f>$M$858*$W$858</f>
        <v>349947.02335999999</v>
      </c>
      <c r="AD858" s="6">
        <f>$O$858*$X$858</f>
        <v>65281.774799999999</v>
      </c>
      <c r="AE858" s="6">
        <f>$K$858*$Y$858</f>
        <v>0</v>
      </c>
      <c r="AF858" s="6">
        <f ca="1">$M$858*$Z$858</f>
        <v>357474.59903511027</v>
      </c>
      <c r="AG858" s="6">
        <f>$O$858*$AA$858</f>
        <v>87584.325123847913</v>
      </c>
    </row>
    <row r="859" spans="1:33" ht="11.25" customHeight="1" x14ac:dyDescent="0.25">
      <c r="A859" s="4" t="s">
        <v>28</v>
      </c>
      <c r="B859" s="4" t="s">
        <v>41</v>
      </c>
      <c r="C859" s="4" t="s">
        <v>44</v>
      </c>
      <c r="D859" s="4" t="s">
        <v>48</v>
      </c>
      <c r="E859" s="4" t="s">
        <v>25</v>
      </c>
      <c r="F859" s="4" t="s">
        <v>25</v>
      </c>
      <c r="G859" s="4" t="s">
        <v>25</v>
      </c>
      <c r="H859" s="4" t="s">
        <v>36</v>
      </c>
      <c r="I859" s="5">
        <v>44562</v>
      </c>
      <c r="J859" s="6">
        <v>0</v>
      </c>
      <c r="K859" s="6">
        <v>0</v>
      </c>
      <c r="L859" s="6">
        <v>63.674999999999997</v>
      </c>
      <c r="M859" s="6">
        <v>63.674999999999997</v>
      </c>
      <c r="N859" s="6">
        <v>63.674999999999997</v>
      </c>
      <c r="O859" s="6">
        <v>63.674999999999997</v>
      </c>
      <c r="P859" s="6">
        <v>0</v>
      </c>
      <c r="Q859" s="4" t="s">
        <v>26</v>
      </c>
      <c r="R859" s="4">
        <v>0</v>
      </c>
      <c r="S859" s="6">
        <v>0</v>
      </c>
      <c r="T859" s="6">
        <v>28</v>
      </c>
      <c r="U859" s="6">
        <v>74</v>
      </c>
      <c r="V859" s="6">
        <f>IF(ISERROR(VLOOKUP($S$859,'TAR FIN'!$A$1:$O$115,15,0)),0,VLOOKUP($S$859,'TAR FIN'!$A$1:$O$115,15,0))</f>
        <v>0</v>
      </c>
      <c r="W859" s="6">
        <f>IF(ISERROR(VLOOKUP($T$859,'TAR FIN'!$A$1:$O$115,15,0)),0,VLOOKUP($T$859,'TAR FIN'!$A$1:$O$115,15,0))</f>
        <v>1448.96</v>
      </c>
      <c r="X859" s="6">
        <f>IF(ISERROR(VLOOKUP($U$859,'TAR FIN'!$A$1:$O$115,15,0)),0,VLOOKUP($U$859,'TAR FIN'!$A$1:$O$115,15,0))</f>
        <v>270.3</v>
      </c>
      <c r="Y859" s="6"/>
      <c r="Z859" s="6">
        <f ca="1">('TUSD BE'!$AM$28+'TUSD BF'!$AM$28+'TUSD CVA'!$AM$28)*1</f>
        <v>1480.1280206491922</v>
      </c>
      <c r="AA859" s="6">
        <f>('TE BE'!$AB$11+'TE BF'!$AB$11+'TE CVA'!$AB$11)*1</f>
        <v>362.64398683254075</v>
      </c>
      <c r="AB859" s="6">
        <f>$K$859*$V$859</f>
        <v>0</v>
      </c>
      <c r="AC859" s="6">
        <f>$M$859*$W$859</f>
        <v>92262.527999999991</v>
      </c>
      <c r="AD859" s="6">
        <f>$O$859*$X$859</f>
        <v>17211.352500000001</v>
      </c>
      <c r="AE859" s="6">
        <f>$K$859*$Y$859</f>
        <v>0</v>
      </c>
      <c r="AF859" s="6">
        <f ca="1">$M$859*$Z$859</f>
        <v>94247.15171483731</v>
      </c>
      <c r="AG859" s="6">
        <f>$O$859*$AA$859</f>
        <v>23091.355861562031</v>
      </c>
    </row>
    <row r="860" spans="1:33" ht="11.25" customHeight="1" x14ac:dyDescent="0.25">
      <c r="A860" s="4" t="s">
        <v>29</v>
      </c>
      <c r="B860" s="4" t="s">
        <v>41</v>
      </c>
      <c r="C860" s="4" t="s">
        <v>44</v>
      </c>
      <c r="D860" s="4" t="s">
        <v>48</v>
      </c>
      <c r="E860" s="4" t="s">
        <v>25</v>
      </c>
      <c r="F860" s="4" t="s">
        <v>25</v>
      </c>
      <c r="G860" s="4" t="s">
        <v>25</v>
      </c>
      <c r="H860" s="4" t="s">
        <v>36</v>
      </c>
      <c r="I860" s="5">
        <v>44562</v>
      </c>
      <c r="J860" s="6">
        <v>0</v>
      </c>
      <c r="K860" s="6">
        <v>0</v>
      </c>
      <c r="L860" s="6">
        <v>-1.44</v>
      </c>
      <c r="M860" s="6">
        <v>-1.44</v>
      </c>
      <c r="N860" s="6">
        <v>-1.44</v>
      </c>
      <c r="O860" s="6">
        <v>-1.44</v>
      </c>
      <c r="P860" s="6">
        <v>0</v>
      </c>
      <c r="Q860" s="4" t="s">
        <v>26</v>
      </c>
      <c r="R860" s="4">
        <v>0</v>
      </c>
      <c r="S860" s="6">
        <v>0</v>
      </c>
      <c r="T860" s="6">
        <v>28</v>
      </c>
      <c r="U860" s="6">
        <v>74</v>
      </c>
      <c r="V860" s="6">
        <f>IF(ISERROR(VLOOKUP($S$860,'TAR FIN'!$A$1:$O$115,15,0)),0,VLOOKUP($S$860,'TAR FIN'!$A$1:$O$115,15,0))</f>
        <v>0</v>
      </c>
      <c r="W860" s="6">
        <f>IF(ISERROR(VLOOKUP($T$860,'TAR FIN'!$A$1:$O$115,15,0)),0,VLOOKUP($T$860,'TAR FIN'!$A$1:$O$115,15,0))</f>
        <v>1448.96</v>
      </c>
      <c r="X860" s="6">
        <f>IF(ISERROR(VLOOKUP($U$860,'TAR FIN'!$A$1:$O$115,15,0)),0,VLOOKUP($U$860,'TAR FIN'!$A$1:$O$115,15,0))</f>
        <v>270.3</v>
      </c>
      <c r="Y860" s="6"/>
      <c r="Z860" s="6">
        <f ca="1">('TUSD BE'!$AM$28+'TUSD BF'!$AM$28+'TUSD CVA'!$AM$28)*1</f>
        <v>1480.1280206491922</v>
      </c>
      <c r="AA860" s="6">
        <f>('TE BE'!$AB$11+'TE BF'!$AB$11+'TE CVA'!$AB$11)*1</f>
        <v>362.64398683254075</v>
      </c>
      <c r="AB860" s="6">
        <f>$K$860*$V$860</f>
        <v>0</v>
      </c>
      <c r="AC860" s="6">
        <f>$M$860*$W$860</f>
        <v>-2086.5023999999999</v>
      </c>
      <c r="AD860" s="6">
        <f>$O$860*$X$860</f>
        <v>-389.23200000000003</v>
      </c>
      <c r="AE860" s="6">
        <f>$K$860*$Y$860</f>
        <v>0</v>
      </c>
      <c r="AF860" s="6">
        <f ca="1">$M$860*$Z$860</f>
        <v>-2131.3843497348366</v>
      </c>
      <c r="AG860" s="6">
        <f>$O$860*$AA$860</f>
        <v>-522.20734103885866</v>
      </c>
    </row>
    <row r="861" spans="1:33" ht="11.25" customHeight="1" x14ac:dyDescent="0.25">
      <c r="A861" s="4" t="s">
        <v>30</v>
      </c>
      <c r="B861" s="4" t="s">
        <v>41</v>
      </c>
      <c r="C861" s="4" t="s">
        <v>44</v>
      </c>
      <c r="D861" s="4" t="s">
        <v>48</v>
      </c>
      <c r="E861" s="4" t="s">
        <v>25</v>
      </c>
      <c r="F861" s="4" t="s">
        <v>25</v>
      </c>
      <c r="G861" s="4" t="s">
        <v>25</v>
      </c>
      <c r="H861" s="4" t="s">
        <v>36</v>
      </c>
      <c r="I861" s="5">
        <v>44562</v>
      </c>
      <c r="J861" s="6">
        <v>0</v>
      </c>
      <c r="K861" s="6">
        <v>0</v>
      </c>
      <c r="L861" s="6">
        <v>21.686</v>
      </c>
      <c r="M861" s="6">
        <v>21.686</v>
      </c>
      <c r="N861" s="6">
        <v>21.686</v>
      </c>
      <c r="O861" s="6">
        <v>21.686</v>
      </c>
      <c r="P861" s="6">
        <v>0</v>
      </c>
      <c r="Q861" s="4" t="s">
        <v>26</v>
      </c>
      <c r="R861" s="4">
        <v>0</v>
      </c>
      <c r="S861" s="6">
        <v>0</v>
      </c>
      <c r="T861" s="6">
        <v>28</v>
      </c>
      <c r="U861" s="6">
        <v>74</v>
      </c>
      <c r="V861" s="6">
        <f>IF(ISERROR(VLOOKUP($S$861,'TAR FIN'!$A$1:$O$115,15,0)),0,VLOOKUP($S$861,'TAR FIN'!$A$1:$O$115,15,0))</f>
        <v>0</v>
      </c>
      <c r="W861" s="6">
        <f>IF(ISERROR(VLOOKUP($T$861,'TAR FIN'!$A$1:$O$115,15,0)),0,VLOOKUP($T$861,'TAR FIN'!$A$1:$O$115,15,0))</f>
        <v>1448.96</v>
      </c>
      <c r="X861" s="6">
        <f>IF(ISERROR(VLOOKUP($U$861,'TAR FIN'!$A$1:$O$115,15,0)),0,VLOOKUP($U$861,'TAR FIN'!$A$1:$O$115,15,0))</f>
        <v>270.3</v>
      </c>
      <c r="Y861" s="6"/>
      <c r="Z861" s="6">
        <f ca="1">('TUSD BE'!$AM$28+'TUSD BF'!$AM$28+'TUSD CVA'!$AM$28)*1</f>
        <v>1480.1280206491922</v>
      </c>
      <c r="AA861" s="6">
        <f>('TE BE'!$AB$11+'TE BF'!$AB$11+'TE CVA'!$AB$11)*1</f>
        <v>362.64398683254075</v>
      </c>
      <c r="AB861" s="6">
        <f>$K$861*$V$861</f>
        <v>0</v>
      </c>
      <c r="AC861" s="6">
        <f>$M$861*$W$861</f>
        <v>31422.146560000001</v>
      </c>
      <c r="AD861" s="6">
        <f>$O$861*$X$861</f>
        <v>5861.7258000000002</v>
      </c>
      <c r="AE861" s="6">
        <f>$K$861*$Y$861</f>
        <v>0</v>
      </c>
      <c r="AF861" s="6">
        <f ca="1">$M$861*$Z$861</f>
        <v>32098.056255798383</v>
      </c>
      <c r="AG861" s="6">
        <f>$O$861*$AA$861</f>
        <v>7864.297498450479</v>
      </c>
    </row>
    <row r="862" spans="1:33" ht="11.25" customHeight="1" x14ac:dyDescent="0.25">
      <c r="A862" s="4" t="s">
        <v>21</v>
      </c>
      <c r="B862" s="4" t="s">
        <v>41</v>
      </c>
      <c r="C862" s="4" t="s">
        <v>44</v>
      </c>
      <c r="D862" s="4" t="s">
        <v>48</v>
      </c>
      <c r="E862" s="4" t="s">
        <v>25</v>
      </c>
      <c r="F862" s="4" t="s">
        <v>25</v>
      </c>
      <c r="G862" s="4" t="s">
        <v>25</v>
      </c>
      <c r="H862" s="4" t="s">
        <v>36</v>
      </c>
      <c r="I862" s="5">
        <v>44593</v>
      </c>
      <c r="J862" s="6">
        <v>0</v>
      </c>
      <c r="K862" s="6">
        <v>0</v>
      </c>
      <c r="L862" s="6">
        <v>215.90700000000001</v>
      </c>
      <c r="M862" s="6">
        <v>215.90700000000001</v>
      </c>
      <c r="N862" s="6">
        <v>215.90700000000001</v>
      </c>
      <c r="O862" s="6">
        <v>215.90700000000001</v>
      </c>
      <c r="P862" s="6">
        <v>0</v>
      </c>
      <c r="Q862" s="4" t="s">
        <v>26</v>
      </c>
      <c r="R862" s="4">
        <v>0</v>
      </c>
      <c r="S862" s="6">
        <v>0</v>
      </c>
      <c r="T862" s="6">
        <v>28</v>
      </c>
      <c r="U862" s="6">
        <v>74</v>
      </c>
      <c r="V862" s="6">
        <f>IF(ISERROR(VLOOKUP($S$862,'TAR FIN'!$A$1:$O$115,15,0)),0,VLOOKUP($S$862,'TAR FIN'!$A$1:$O$115,15,0))</f>
        <v>0</v>
      </c>
      <c r="W862" s="6">
        <f>IF(ISERROR(VLOOKUP($T$862,'TAR FIN'!$A$1:$O$115,15,0)),0,VLOOKUP($T$862,'TAR FIN'!$A$1:$O$115,15,0))</f>
        <v>1448.96</v>
      </c>
      <c r="X862" s="6">
        <f>IF(ISERROR(VLOOKUP($U$862,'TAR FIN'!$A$1:$O$115,15,0)),0,VLOOKUP($U$862,'TAR FIN'!$A$1:$O$115,15,0))</f>
        <v>270.3</v>
      </c>
      <c r="Y862" s="6"/>
      <c r="Z862" s="6">
        <f ca="1">('TUSD BE'!$AM$28+'TUSD BF'!$AM$28+'TUSD CVA'!$AM$28)*1</f>
        <v>1480.1280206491922</v>
      </c>
      <c r="AA862" s="6">
        <f>('TE BE'!$AB$11+'TE BF'!$AB$11+'TE CVA'!$AB$11)*1</f>
        <v>362.64398683254075</v>
      </c>
      <c r="AB862" s="6">
        <f>$K$862*$V$862</f>
        <v>0</v>
      </c>
      <c r="AC862" s="6">
        <f>$M$862*$W$862</f>
        <v>312840.60672000004</v>
      </c>
      <c r="AD862" s="6">
        <f>$O$862*$X$862</f>
        <v>58359.662100000009</v>
      </c>
      <c r="AE862" s="6">
        <f>$K$862*$Y$862</f>
        <v>0</v>
      </c>
      <c r="AF862" s="6">
        <f ca="1">$M$862*$Z$862</f>
        <v>319570.00055430515</v>
      </c>
      <c r="AG862" s="6">
        <f>$O$862*$AA$862</f>
        <v>78297.375265053386</v>
      </c>
    </row>
    <row r="863" spans="1:33" ht="11.25" customHeight="1" x14ac:dyDescent="0.25">
      <c r="A863" s="4" t="s">
        <v>27</v>
      </c>
      <c r="B863" s="4" t="s">
        <v>41</v>
      </c>
      <c r="C863" s="4" t="s">
        <v>44</v>
      </c>
      <c r="D863" s="4" t="s">
        <v>48</v>
      </c>
      <c r="E863" s="4" t="s">
        <v>25</v>
      </c>
      <c r="F863" s="4" t="s">
        <v>25</v>
      </c>
      <c r="G863" s="4" t="s">
        <v>25</v>
      </c>
      <c r="H863" s="4" t="s">
        <v>36</v>
      </c>
      <c r="I863" s="5">
        <v>44593</v>
      </c>
      <c r="J863" s="6">
        <v>0</v>
      </c>
      <c r="K863" s="6">
        <v>0</v>
      </c>
      <c r="L863" s="6">
        <v>0.63</v>
      </c>
      <c r="M863" s="6">
        <v>0.63</v>
      </c>
      <c r="N863" s="6">
        <v>0.63</v>
      </c>
      <c r="O863" s="6">
        <v>0.63</v>
      </c>
      <c r="P863" s="6">
        <v>0</v>
      </c>
      <c r="Q863" s="4" t="s">
        <v>26</v>
      </c>
      <c r="R863" s="4">
        <v>0</v>
      </c>
      <c r="S863" s="6">
        <v>0</v>
      </c>
      <c r="T863" s="6">
        <v>28</v>
      </c>
      <c r="U863" s="6">
        <v>74</v>
      </c>
      <c r="V863" s="6">
        <f>IF(ISERROR(VLOOKUP($S$863,'TAR FIN'!$A$1:$O$115,15,0)),0,VLOOKUP($S$863,'TAR FIN'!$A$1:$O$115,15,0))</f>
        <v>0</v>
      </c>
      <c r="W863" s="6">
        <f>IF(ISERROR(VLOOKUP($T$863,'TAR FIN'!$A$1:$O$115,15,0)),0,VLOOKUP($T$863,'TAR FIN'!$A$1:$O$115,15,0))</f>
        <v>1448.96</v>
      </c>
      <c r="X863" s="6">
        <f>IF(ISERROR(VLOOKUP($U$863,'TAR FIN'!$A$1:$O$115,15,0)),0,VLOOKUP($U$863,'TAR FIN'!$A$1:$O$115,15,0))</f>
        <v>270.3</v>
      </c>
      <c r="Y863" s="6"/>
      <c r="Z863" s="6">
        <f ca="1">('TUSD BE'!$AM$28+'TUSD BF'!$AM$28+'TUSD CVA'!$AM$28)*1</f>
        <v>1480.1280206491922</v>
      </c>
      <c r="AA863" s="6">
        <f>('TE BE'!$AB$11+'TE BF'!$AB$11+'TE CVA'!$AB$11)*1</f>
        <v>362.64398683254075</v>
      </c>
      <c r="AB863" s="6">
        <f>$K$863*$V$863</f>
        <v>0</v>
      </c>
      <c r="AC863" s="6">
        <f>$M$863*$W$863</f>
        <v>912.84480000000008</v>
      </c>
      <c r="AD863" s="6">
        <f>$O$863*$X$863</f>
        <v>170.28900000000002</v>
      </c>
      <c r="AE863" s="6">
        <f>$K$863*$Y$863</f>
        <v>0</v>
      </c>
      <c r="AF863" s="6">
        <f ca="1">$M$863*$Z$863</f>
        <v>932.48065300899111</v>
      </c>
      <c r="AG863" s="6">
        <f>$O$863*$AA$863</f>
        <v>228.46571170450068</v>
      </c>
    </row>
    <row r="864" spans="1:33" ht="11.25" customHeight="1" x14ac:dyDescent="0.25">
      <c r="A864" s="4" t="s">
        <v>28</v>
      </c>
      <c r="B864" s="4" t="s">
        <v>41</v>
      </c>
      <c r="C864" s="4" t="s">
        <v>44</v>
      </c>
      <c r="D864" s="4" t="s">
        <v>48</v>
      </c>
      <c r="E864" s="4" t="s">
        <v>25</v>
      </c>
      <c r="F864" s="4" t="s">
        <v>25</v>
      </c>
      <c r="G864" s="4" t="s">
        <v>25</v>
      </c>
      <c r="H864" s="4" t="s">
        <v>36</v>
      </c>
      <c r="I864" s="5">
        <v>44593</v>
      </c>
      <c r="J864" s="6">
        <v>0</v>
      </c>
      <c r="K864" s="6">
        <v>0</v>
      </c>
      <c r="L864" s="6">
        <v>57.052999999999997</v>
      </c>
      <c r="M864" s="6">
        <v>57.052999999999997</v>
      </c>
      <c r="N864" s="6">
        <v>57.052999999999997</v>
      </c>
      <c r="O864" s="6">
        <v>57.052999999999997</v>
      </c>
      <c r="P864" s="6">
        <v>0</v>
      </c>
      <c r="Q864" s="4" t="s">
        <v>26</v>
      </c>
      <c r="R864" s="4">
        <v>0</v>
      </c>
      <c r="S864" s="6">
        <v>0</v>
      </c>
      <c r="T864" s="6">
        <v>28</v>
      </c>
      <c r="U864" s="6">
        <v>74</v>
      </c>
      <c r="V864" s="6">
        <f>IF(ISERROR(VLOOKUP($S$864,'TAR FIN'!$A$1:$O$115,15,0)),0,VLOOKUP($S$864,'TAR FIN'!$A$1:$O$115,15,0))</f>
        <v>0</v>
      </c>
      <c r="W864" s="6">
        <f>IF(ISERROR(VLOOKUP($T$864,'TAR FIN'!$A$1:$O$115,15,0)),0,VLOOKUP($T$864,'TAR FIN'!$A$1:$O$115,15,0))</f>
        <v>1448.96</v>
      </c>
      <c r="X864" s="6">
        <f>IF(ISERROR(VLOOKUP($U$864,'TAR FIN'!$A$1:$O$115,15,0)),0,VLOOKUP($U$864,'TAR FIN'!$A$1:$O$115,15,0))</f>
        <v>270.3</v>
      </c>
      <c r="Y864" s="6"/>
      <c r="Z864" s="6">
        <f ca="1">('TUSD BE'!$AM$28+'TUSD BF'!$AM$28+'TUSD CVA'!$AM$28)*1</f>
        <v>1480.1280206491922</v>
      </c>
      <c r="AA864" s="6">
        <f>('TE BE'!$AB$11+'TE BF'!$AB$11+'TE CVA'!$AB$11)*1</f>
        <v>362.64398683254075</v>
      </c>
      <c r="AB864" s="6">
        <f>$K$864*$V$864</f>
        <v>0</v>
      </c>
      <c r="AC864" s="6">
        <f>$M$864*$W$864</f>
        <v>82667.514880000002</v>
      </c>
      <c r="AD864" s="6">
        <f>$O$864*$X$864</f>
        <v>15421.4259</v>
      </c>
      <c r="AE864" s="6">
        <f>$K$864*$Y$864</f>
        <v>0</v>
      </c>
      <c r="AF864" s="6">
        <f ca="1">$M$864*$Z$864</f>
        <v>84445.743962098364</v>
      </c>
      <c r="AG864" s="6">
        <f>$O$864*$AA$864</f>
        <v>20689.927380756948</v>
      </c>
    </row>
    <row r="865" spans="1:33" ht="11.25" customHeight="1" x14ac:dyDescent="0.25">
      <c r="A865" s="4" t="s">
        <v>30</v>
      </c>
      <c r="B865" s="4" t="s">
        <v>41</v>
      </c>
      <c r="C865" s="4" t="s">
        <v>44</v>
      </c>
      <c r="D865" s="4" t="s">
        <v>48</v>
      </c>
      <c r="E865" s="4" t="s">
        <v>25</v>
      </c>
      <c r="F865" s="4" t="s">
        <v>25</v>
      </c>
      <c r="G865" s="4" t="s">
        <v>25</v>
      </c>
      <c r="H865" s="4" t="s">
        <v>36</v>
      </c>
      <c r="I865" s="5">
        <v>44593</v>
      </c>
      <c r="J865" s="6">
        <v>0</v>
      </c>
      <c r="K865" s="6">
        <v>0</v>
      </c>
      <c r="L865" s="6">
        <v>19.486000000000001</v>
      </c>
      <c r="M865" s="6">
        <v>19.486000000000001</v>
      </c>
      <c r="N865" s="6">
        <v>19.486000000000001</v>
      </c>
      <c r="O865" s="6">
        <v>19.486000000000001</v>
      </c>
      <c r="P865" s="6">
        <v>0</v>
      </c>
      <c r="Q865" s="4" t="s">
        <v>26</v>
      </c>
      <c r="R865" s="4">
        <v>0</v>
      </c>
      <c r="S865" s="6">
        <v>0</v>
      </c>
      <c r="T865" s="6">
        <v>28</v>
      </c>
      <c r="U865" s="6">
        <v>74</v>
      </c>
      <c r="V865" s="6">
        <f>IF(ISERROR(VLOOKUP($S$865,'TAR FIN'!$A$1:$O$115,15,0)),0,VLOOKUP($S$865,'TAR FIN'!$A$1:$O$115,15,0))</f>
        <v>0</v>
      </c>
      <c r="W865" s="6">
        <f>IF(ISERROR(VLOOKUP($T$865,'TAR FIN'!$A$1:$O$115,15,0)),0,VLOOKUP($T$865,'TAR FIN'!$A$1:$O$115,15,0))</f>
        <v>1448.96</v>
      </c>
      <c r="X865" s="6">
        <f>IF(ISERROR(VLOOKUP($U$865,'TAR FIN'!$A$1:$O$115,15,0)),0,VLOOKUP($U$865,'TAR FIN'!$A$1:$O$115,15,0))</f>
        <v>270.3</v>
      </c>
      <c r="Y865" s="6"/>
      <c r="Z865" s="6">
        <f ca="1">('TUSD BE'!$AM$28+'TUSD BF'!$AM$28+'TUSD CVA'!$AM$28)*1</f>
        <v>1480.1280206491922</v>
      </c>
      <c r="AA865" s="6">
        <f>('TE BE'!$AB$11+'TE BF'!$AB$11+'TE CVA'!$AB$11)*1</f>
        <v>362.64398683254075</v>
      </c>
      <c r="AB865" s="6">
        <f>$K$865*$V$865</f>
        <v>0</v>
      </c>
      <c r="AC865" s="6">
        <f>$M$865*$W$865</f>
        <v>28234.434560000002</v>
      </c>
      <c r="AD865" s="6">
        <f>$O$865*$X$865</f>
        <v>5267.0658000000003</v>
      </c>
      <c r="AE865" s="6">
        <f>$K$865*$Y$865</f>
        <v>0</v>
      </c>
      <c r="AF865" s="6">
        <f ca="1">$M$865*$Z$865</f>
        <v>28841.774610370161</v>
      </c>
      <c r="AG865" s="6">
        <f>$O$865*$AA$865</f>
        <v>7066.4807274188888</v>
      </c>
    </row>
    <row r="866" spans="1:33" ht="11.25" customHeight="1" x14ac:dyDescent="0.25">
      <c r="A866" s="4" t="s">
        <v>21</v>
      </c>
      <c r="B866" s="4" t="s">
        <v>41</v>
      </c>
      <c r="C866" s="4" t="s">
        <v>44</v>
      </c>
      <c r="D866" s="4" t="s">
        <v>48</v>
      </c>
      <c r="E866" s="4" t="s">
        <v>25</v>
      </c>
      <c r="F866" s="4" t="s">
        <v>25</v>
      </c>
      <c r="G866" s="4" t="s">
        <v>25</v>
      </c>
      <c r="H866" s="4" t="s">
        <v>36</v>
      </c>
      <c r="I866" s="5">
        <v>44621</v>
      </c>
      <c r="J866" s="6">
        <v>0</v>
      </c>
      <c r="K866" s="6">
        <v>0</v>
      </c>
      <c r="L866" s="6">
        <v>229.30199999999999</v>
      </c>
      <c r="M866" s="6">
        <v>229.30199999999999</v>
      </c>
      <c r="N866" s="6">
        <v>229.30199999999999</v>
      </c>
      <c r="O866" s="6">
        <v>229.30199999999999</v>
      </c>
      <c r="P866" s="6">
        <v>0</v>
      </c>
      <c r="Q866" s="4" t="s">
        <v>26</v>
      </c>
      <c r="R866" s="4">
        <v>0</v>
      </c>
      <c r="S866" s="6">
        <v>0</v>
      </c>
      <c r="T866" s="6">
        <v>28</v>
      </c>
      <c r="U866" s="6">
        <v>74</v>
      </c>
      <c r="V866" s="6">
        <f>IF(ISERROR(VLOOKUP($S$866,'TAR FIN'!$A$1:$O$115,15,0)),0,VLOOKUP($S$866,'TAR FIN'!$A$1:$O$115,15,0))</f>
        <v>0</v>
      </c>
      <c r="W866" s="6">
        <f>IF(ISERROR(VLOOKUP($T$866,'TAR FIN'!$A$1:$O$115,15,0)),0,VLOOKUP($T$866,'TAR FIN'!$A$1:$O$115,15,0))</f>
        <v>1448.96</v>
      </c>
      <c r="X866" s="6">
        <f>IF(ISERROR(VLOOKUP($U$866,'TAR FIN'!$A$1:$O$115,15,0)),0,VLOOKUP($U$866,'TAR FIN'!$A$1:$O$115,15,0))</f>
        <v>270.3</v>
      </c>
      <c r="Y866" s="6"/>
      <c r="Z866" s="6">
        <f ca="1">('TUSD BE'!$AM$28+'TUSD BF'!$AM$28+'TUSD CVA'!$AM$28)*1</f>
        <v>1480.1280206491922</v>
      </c>
      <c r="AA866" s="6">
        <f>('TE BE'!$AB$11+'TE BF'!$AB$11+'TE CVA'!$AB$11)*1</f>
        <v>362.64398683254075</v>
      </c>
      <c r="AB866" s="6">
        <f>$K$866*$V$866</f>
        <v>0</v>
      </c>
      <c r="AC866" s="6">
        <f>$M$866*$W$866</f>
        <v>332249.42592000001</v>
      </c>
      <c r="AD866" s="6">
        <f>$O$866*$X$866</f>
        <v>61980.330600000001</v>
      </c>
      <c r="AE866" s="6">
        <f>$K$866*$Y$866</f>
        <v>0</v>
      </c>
      <c r="AF866" s="6">
        <f ca="1">$M$866*$Z$866</f>
        <v>339396.31539090106</v>
      </c>
      <c r="AG866" s="6">
        <f>$O$866*$AA$866</f>
        <v>83154.99146867526</v>
      </c>
    </row>
    <row r="867" spans="1:33" ht="11.25" customHeight="1" x14ac:dyDescent="0.25">
      <c r="A867" s="4" t="s">
        <v>28</v>
      </c>
      <c r="B867" s="4" t="s">
        <v>41</v>
      </c>
      <c r="C867" s="4" t="s">
        <v>44</v>
      </c>
      <c r="D867" s="4" t="s">
        <v>48</v>
      </c>
      <c r="E867" s="4" t="s">
        <v>25</v>
      </c>
      <c r="F867" s="4" t="s">
        <v>25</v>
      </c>
      <c r="G867" s="4" t="s">
        <v>25</v>
      </c>
      <c r="H867" s="4" t="s">
        <v>36</v>
      </c>
      <c r="I867" s="5">
        <v>44621</v>
      </c>
      <c r="J867" s="6">
        <v>0</v>
      </c>
      <c r="K867" s="6">
        <v>0</v>
      </c>
      <c r="L867" s="6">
        <v>55.53</v>
      </c>
      <c r="M867" s="6">
        <v>55.53</v>
      </c>
      <c r="N867" s="6">
        <v>55.53</v>
      </c>
      <c r="O867" s="6">
        <v>55.53</v>
      </c>
      <c r="P867" s="6">
        <v>0</v>
      </c>
      <c r="Q867" s="4" t="s">
        <v>26</v>
      </c>
      <c r="R867" s="4">
        <v>0</v>
      </c>
      <c r="S867" s="6">
        <v>0</v>
      </c>
      <c r="T867" s="6">
        <v>28</v>
      </c>
      <c r="U867" s="6">
        <v>74</v>
      </c>
      <c r="V867" s="6">
        <f>IF(ISERROR(VLOOKUP($S$867,'TAR FIN'!$A$1:$O$115,15,0)),0,VLOOKUP($S$867,'TAR FIN'!$A$1:$O$115,15,0))</f>
        <v>0</v>
      </c>
      <c r="W867" s="6">
        <f>IF(ISERROR(VLOOKUP($T$867,'TAR FIN'!$A$1:$O$115,15,0)),0,VLOOKUP($T$867,'TAR FIN'!$A$1:$O$115,15,0))</f>
        <v>1448.96</v>
      </c>
      <c r="X867" s="6">
        <f>IF(ISERROR(VLOOKUP($U$867,'TAR FIN'!$A$1:$O$115,15,0)),0,VLOOKUP($U$867,'TAR FIN'!$A$1:$O$115,15,0))</f>
        <v>270.3</v>
      </c>
      <c r="Y867" s="6"/>
      <c r="Z867" s="6">
        <f ca="1">('TUSD BE'!$AM$28+'TUSD BF'!$AM$28+'TUSD CVA'!$AM$28)*1</f>
        <v>1480.1280206491922</v>
      </c>
      <c r="AA867" s="6">
        <f>('TE BE'!$AB$11+'TE BF'!$AB$11+'TE CVA'!$AB$11)*1</f>
        <v>362.64398683254075</v>
      </c>
      <c r="AB867" s="6">
        <f>$K$867*$V$867</f>
        <v>0</v>
      </c>
      <c r="AC867" s="6">
        <f>$M$867*$W$867</f>
        <v>80460.748800000001</v>
      </c>
      <c r="AD867" s="6">
        <f>$O$867*$X$867</f>
        <v>15009.759000000002</v>
      </c>
      <c r="AE867" s="6">
        <f>$K$867*$Y$867</f>
        <v>0</v>
      </c>
      <c r="AF867" s="6">
        <f ca="1">$M$867*$Z$867</f>
        <v>82191.508986649642</v>
      </c>
      <c r="AG867" s="6">
        <f>$O$867*$AA$867</f>
        <v>20137.620588810987</v>
      </c>
    </row>
    <row r="868" spans="1:33" ht="11.25" customHeight="1" x14ac:dyDescent="0.25">
      <c r="A868" s="4" t="s">
        <v>30</v>
      </c>
      <c r="B868" s="4" t="s">
        <v>41</v>
      </c>
      <c r="C868" s="4" t="s">
        <v>44</v>
      </c>
      <c r="D868" s="4" t="s">
        <v>48</v>
      </c>
      <c r="E868" s="4" t="s">
        <v>25</v>
      </c>
      <c r="F868" s="4" t="s">
        <v>25</v>
      </c>
      <c r="G868" s="4" t="s">
        <v>25</v>
      </c>
      <c r="H868" s="4" t="s">
        <v>36</v>
      </c>
      <c r="I868" s="5">
        <v>44621</v>
      </c>
      <c r="J868" s="6">
        <v>0</v>
      </c>
      <c r="K868" s="6">
        <v>0</v>
      </c>
      <c r="L868" s="6">
        <v>29.045000000000002</v>
      </c>
      <c r="M868" s="6">
        <v>29.045000000000002</v>
      </c>
      <c r="N868" s="6">
        <v>29.045000000000002</v>
      </c>
      <c r="O868" s="6">
        <v>29.045000000000002</v>
      </c>
      <c r="P868" s="6">
        <v>0</v>
      </c>
      <c r="Q868" s="4" t="s">
        <v>26</v>
      </c>
      <c r="R868" s="4">
        <v>0</v>
      </c>
      <c r="S868" s="6">
        <v>0</v>
      </c>
      <c r="T868" s="6">
        <v>28</v>
      </c>
      <c r="U868" s="6">
        <v>74</v>
      </c>
      <c r="V868" s="6">
        <f>IF(ISERROR(VLOOKUP($S$868,'TAR FIN'!$A$1:$O$115,15,0)),0,VLOOKUP($S$868,'TAR FIN'!$A$1:$O$115,15,0))</f>
        <v>0</v>
      </c>
      <c r="W868" s="6">
        <f>IF(ISERROR(VLOOKUP($T$868,'TAR FIN'!$A$1:$O$115,15,0)),0,VLOOKUP($T$868,'TAR FIN'!$A$1:$O$115,15,0))</f>
        <v>1448.96</v>
      </c>
      <c r="X868" s="6">
        <f>IF(ISERROR(VLOOKUP($U$868,'TAR FIN'!$A$1:$O$115,15,0)),0,VLOOKUP($U$868,'TAR FIN'!$A$1:$O$115,15,0))</f>
        <v>270.3</v>
      </c>
      <c r="Y868" s="6"/>
      <c r="Z868" s="6">
        <f ca="1">('TUSD BE'!$AM$28+'TUSD BF'!$AM$28+'TUSD CVA'!$AM$28)*1</f>
        <v>1480.1280206491922</v>
      </c>
      <c r="AA868" s="6">
        <f>('TE BE'!$AB$11+'TE BF'!$AB$11+'TE CVA'!$AB$11)*1</f>
        <v>362.64398683254075</v>
      </c>
      <c r="AB868" s="6">
        <f>$K$868*$V$868</f>
        <v>0</v>
      </c>
      <c r="AC868" s="6">
        <f>$M$868*$W$868</f>
        <v>42085.0432</v>
      </c>
      <c r="AD868" s="6">
        <f>$O$868*$X$868</f>
        <v>7850.8635000000004</v>
      </c>
      <c r="AE868" s="6">
        <f>$K$868*$Y$868</f>
        <v>0</v>
      </c>
      <c r="AF868" s="6">
        <f ca="1">$M$868*$Z$868</f>
        <v>42990.318359755787</v>
      </c>
      <c r="AG868" s="6">
        <f>$O$868*$AA$868</f>
        <v>10532.994597551147</v>
      </c>
    </row>
    <row r="869" spans="1:33" ht="11.25" customHeight="1" x14ac:dyDescent="0.25">
      <c r="A869" s="4" t="s">
        <v>21</v>
      </c>
      <c r="B869" s="4" t="s">
        <v>41</v>
      </c>
      <c r="C869" s="4" t="s">
        <v>44</v>
      </c>
      <c r="D869" s="4" t="s">
        <v>48</v>
      </c>
      <c r="E869" s="4" t="s">
        <v>25</v>
      </c>
      <c r="F869" s="4" t="s">
        <v>25</v>
      </c>
      <c r="G869" s="4" t="s">
        <v>25</v>
      </c>
      <c r="H869" s="4" t="s">
        <v>36</v>
      </c>
      <c r="I869" s="5">
        <v>44652</v>
      </c>
      <c r="J869" s="6">
        <v>0</v>
      </c>
      <c r="K869" s="6">
        <v>0</v>
      </c>
      <c r="L869" s="6">
        <v>216.7</v>
      </c>
      <c r="M869" s="6">
        <v>216.7</v>
      </c>
      <c r="N869" s="6">
        <v>216.7</v>
      </c>
      <c r="O869" s="6">
        <v>216.7</v>
      </c>
      <c r="P869" s="6">
        <v>0</v>
      </c>
      <c r="Q869" s="4" t="s">
        <v>26</v>
      </c>
      <c r="R869" s="4">
        <v>0</v>
      </c>
      <c r="S869" s="6">
        <v>0</v>
      </c>
      <c r="T869" s="6">
        <v>28</v>
      </c>
      <c r="U869" s="6">
        <v>74</v>
      </c>
      <c r="V869" s="6">
        <f>IF(ISERROR(VLOOKUP($S$869,'TAR FIN'!$A$1:$O$115,15,0)),0,VLOOKUP($S$869,'TAR FIN'!$A$1:$O$115,15,0))</f>
        <v>0</v>
      </c>
      <c r="W869" s="6">
        <f>IF(ISERROR(VLOOKUP($T$869,'TAR FIN'!$A$1:$O$115,15,0)),0,VLOOKUP($T$869,'TAR FIN'!$A$1:$O$115,15,0))</f>
        <v>1448.96</v>
      </c>
      <c r="X869" s="6">
        <f>IF(ISERROR(VLOOKUP($U$869,'TAR FIN'!$A$1:$O$115,15,0)),0,VLOOKUP($U$869,'TAR FIN'!$A$1:$O$115,15,0))</f>
        <v>270.3</v>
      </c>
      <c r="Y869" s="6"/>
      <c r="Z869" s="6">
        <f ca="1">('TUSD BE'!$AM$28+'TUSD BF'!$AM$28+'TUSD CVA'!$AM$28)*1</f>
        <v>1480.1280206491922</v>
      </c>
      <c r="AA869" s="6">
        <f>('TE BE'!$AB$11+'TE BF'!$AB$11+'TE CVA'!$AB$11)*1</f>
        <v>362.64398683254075</v>
      </c>
      <c r="AB869" s="6">
        <f>$K$869*$V$869</f>
        <v>0</v>
      </c>
      <c r="AC869" s="6">
        <f>$M$869*$W$869</f>
        <v>313989.63199999998</v>
      </c>
      <c r="AD869" s="6">
        <f>$O$869*$X$869</f>
        <v>58574.01</v>
      </c>
      <c r="AE869" s="6">
        <f>$K$869*$Y$869</f>
        <v>0</v>
      </c>
      <c r="AF869" s="6">
        <f ca="1">$M$869*$Z$869</f>
        <v>320743.74207467993</v>
      </c>
      <c r="AG869" s="6">
        <f>$O$869*$AA$869</f>
        <v>78584.951946611574</v>
      </c>
    </row>
    <row r="870" spans="1:33" ht="11.25" customHeight="1" x14ac:dyDescent="0.25">
      <c r="A870" s="4" t="s">
        <v>28</v>
      </c>
      <c r="B870" s="4" t="s">
        <v>41</v>
      </c>
      <c r="C870" s="4" t="s">
        <v>44</v>
      </c>
      <c r="D870" s="4" t="s">
        <v>48</v>
      </c>
      <c r="E870" s="4" t="s">
        <v>25</v>
      </c>
      <c r="F870" s="4" t="s">
        <v>25</v>
      </c>
      <c r="G870" s="4" t="s">
        <v>25</v>
      </c>
      <c r="H870" s="4" t="s">
        <v>36</v>
      </c>
      <c r="I870" s="5">
        <v>44652</v>
      </c>
      <c r="J870" s="6">
        <v>0</v>
      </c>
      <c r="K870" s="6">
        <v>0</v>
      </c>
      <c r="L870" s="6">
        <v>60.94</v>
      </c>
      <c r="M870" s="6">
        <v>60.94</v>
      </c>
      <c r="N870" s="6">
        <v>60.94</v>
      </c>
      <c r="O870" s="6">
        <v>60.94</v>
      </c>
      <c r="P870" s="6">
        <v>0</v>
      </c>
      <c r="Q870" s="4" t="s">
        <v>26</v>
      </c>
      <c r="R870" s="4">
        <v>0</v>
      </c>
      <c r="S870" s="6">
        <v>0</v>
      </c>
      <c r="T870" s="6">
        <v>28</v>
      </c>
      <c r="U870" s="6">
        <v>74</v>
      </c>
      <c r="V870" s="6">
        <f>IF(ISERROR(VLOOKUP($S$870,'TAR FIN'!$A$1:$O$115,15,0)),0,VLOOKUP($S$870,'TAR FIN'!$A$1:$O$115,15,0))</f>
        <v>0</v>
      </c>
      <c r="W870" s="6">
        <f>IF(ISERROR(VLOOKUP($T$870,'TAR FIN'!$A$1:$O$115,15,0)),0,VLOOKUP($T$870,'TAR FIN'!$A$1:$O$115,15,0))</f>
        <v>1448.96</v>
      </c>
      <c r="X870" s="6">
        <f>IF(ISERROR(VLOOKUP($U$870,'TAR FIN'!$A$1:$O$115,15,0)),0,VLOOKUP($U$870,'TAR FIN'!$A$1:$O$115,15,0))</f>
        <v>270.3</v>
      </c>
      <c r="Y870" s="6"/>
      <c r="Z870" s="6">
        <f ca="1">('TUSD BE'!$AM$28+'TUSD BF'!$AM$28+'TUSD CVA'!$AM$28)*1</f>
        <v>1480.1280206491922</v>
      </c>
      <c r="AA870" s="6">
        <f>('TE BE'!$AB$11+'TE BF'!$AB$11+'TE CVA'!$AB$11)*1</f>
        <v>362.64398683254075</v>
      </c>
      <c r="AB870" s="6">
        <f>$K$870*$V$870</f>
        <v>0</v>
      </c>
      <c r="AC870" s="6">
        <f>$M$870*$W$870</f>
        <v>88299.622399999993</v>
      </c>
      <c r="AD870" s="6">
        <f>$O$870*$X$870</f>
        <v>16472.081999999999</v>
      </c>
      <c r="AE870" s="6">
        <f>$K$870*$Y$870</f>
        <v>0</v>
      </c>
      <c r="AF870" s="6">
        <f ca="1">$M$870*$Z$870</f>
        <v>90199.001578361771</v>
      </c>
      <c r="AG870" s="6">
        <f>$O$870*$AA$870</f>
        <v>22099.524557575034</v>
      </c>
    </row>
    <row r="871" spans="1:33" ht="11.25" customHeight="1" x14ac:dyDescent="0.25">
      <c r="A871" s="4" t="s">
        <v>30</v>
      </c>
      <c r="B871" s="4" t="s">
        <v>41</v>
      </c>
      <c r="C871" s="4" t="s">
        <v>44</v>
      </c>
      <c r="D871" s="4" t="s">
        <v>48</v>
      </c>
      <c r="E871" s="4" t="s">
        <v>25</v>
      </c>
      <c r="F871" s="4" t="s">
        <v>25</v>
      </c>
      <c r="G871" s="4" t="s">
        <v>25</v>
      </c>
      <c r="H871" s="4" t="s">
        <v>36</v>
      </c>
      <c r="I871" s="5">
        <v>44652</v>
      </c>
      <c r="J871" s="6">
        <v>0</v>
      </c>
      <c r="K871" s="6">
        <v>0</v>
      </c>
      <c r="L871" s="6">
        <v>35.03</v>
      </c>
      <c r="M871" s="6">
        <v>35.03</v>
      </c>
      <c r="N871" s="6">
        <v>35.03</v>
      </c>
      <c r="O871" s="6">
        <v>35.03</v>
      </c>
      <c r="P871" s="6">
        <v>0</v>
      </c>
      <c r="Q871" s="4" t="s">
        <v>26</v>
      </c>
      <c r="R871" s="4">
        <v>0</v>
      </c>
      <c r="S871" s="6">
        <v>0</v>
      </c>
      <c r="T871" s="6">
        <v>28</v>
      </c>
      <c r="U871" s="6">
        <v>74</v>
      </c>
      <c r="V871" s="6">
        <f>IF(ISERROR(VLOOKUP($S$871,'TAR FIN'!$A$1:$O$115,15,0)),0,VLOOKUP($S$871,'TAR FIN'!$A$1:$O$115,15,0))</f>
        <v>0</v>
      </c>
      <c r="W871" s="6">
        <f>IF(ISERROR(VLOOKUP($T$871,'TAR FIN'!$A$1:$O$115,15,0)),0,VLOOKUP($T$871,'TAR FIN'!$A$1:$O$115,15,0))</f>
        <v>1448.96</v>
      </c>
      <c r="X871" s="6">
        <f>IF(ISERROR(VLOOKUP($U$871,'TAR FIN'!$A$1:$O$115,15,0)),0,VLOOKUP($U$871,'TAR FIN'!$A$1:$O$115,15,0))</f>
        <v>270.3</v>
      </c>
      <c r="Y871" s="6"/>
      <c r="Z871" s="6">
        <f ca="1">('TUSD BE'!$AM$28+'TUSD BF'!$AM$28+'TUSD CVA'!$AM$28)*1</f>
        <v>1480.1280206491922</v>
      </c>
      <c r="AA871" s="6">
        <f>('TE BE'!$AB$11+'TE BF'!$AB$11+'TE CVA'!$AB$11)*1</f>
        <v>362.64398683254075</v>
      </c>
      <c r="AB871" s="6">
        <f>$K$871*$V$871</f>
        <v>0</v>
      </c>
      <c r="AC871" s="6">
        <f>$M$871*$W$871</f>
        <v>50757.068800000001</v>
      </c>
      <c r="AD871" s="6">
        <f>$O$871*$X$871</f>
        <v>9468.6090000000004</v>
      </c>
      <c r="AE871" s="6">
        <f>$K$871*$Y$871</f>
        <v>0</v>
      </c>
      <c r="AF871" s="6">
        <f ca="1">$M$871*$Z$871</f>
        <v>51848.884563341206</v>
      </c>
      <c r="AG871" s="6">
        <f>$O$871*$AA$871</f>
        <v>12703.418858743902</v>
      </c>
    </row>
    <row r="872" spans="1:33" ht="11.25" customHeight="1" x14ac:dyDescent="0.25">
      <c r="A872" s="4" t="s">
        <v>21</v>
      </c>
      <c r="B872" s="4" t="s">
        <v>41</v>
      </c>
      <c r="C872" s="4" t="s">
        <v>44</v>
      </c>
      <c r="D872" s="4" t="s">
        <v>48</v>
      </c>
      <c r="E872" s="4" t="s">
        <v>25</v>
      </c>
      <c r="F872" s="4" t="s">
        <v>25</v>
      </c>
      <c r="G872" s="4" t="s">
        <v>25</v>
      </c>
      <c r="H872" s="4" t="s">
        <v>36</v>
      </c>
      <c r="I872" s="5">
        <v>44682</v>
      </c>
      <c r="J872" s="6">
        <v>0</v>
      </c>
      <c r="K872" s="6">
        <v>0</v>
      </c>
      <c r="L872" s="6">
        <v>233.56399999999999</v>
      </c>
      <c r="M872" s="6">
        <v>233.56399999999999</v>
      </c>
      <c r="N872" s="6">
        <v>233.56399999999999</v>
      </c>
      <c r="O872" s="6">
        <v>233.56399999999999</v>
      </c>
      <c r="P872" s="6">
        <v>0</v>
      </c>
      <c r="Q872" s="4" t="s">
        <v>26</v>
      </c>
      <c r="R872" s="4">
        <v>0</v>
      </c>
      <c r="S872" s="6">
        <v>0</v>
      </c>
      <c r="T872" s="6">
        <v>28</v>
      </c>
      <c r="U872" s="6">
        <v>74</v>
      </c>
      <c r="V872" s="6">
        <f>IF(ISERROR(VLOOKUP($S$872,'TAR FIN'!$A$1:$O$115,15,0)),0,VLOOKUP($S$872,'TAR FIN'!$A$1:$O$115,15,0))</f>
        <v>0</v>
      </c>
      <c r="W872" s="6">
        <f>IF(ISERROR(VLOOKUP($T$872,'TAR FIN'!$A$1:$O$115,15,0)),0,VLOOKUP($T$872,'TAR FIN'!$A$1:$O$115,15,0))</f>
        <v>1448.96</v>
      </c>
      <c r="X872" s="6">
        <f>IF(ISERROR(VLOOKUP($U$872,'TAR FIN'!$A$1:$O$115,15,0)),0,VLOOKUP($U$872,'TAR FIN'!$A$1:$O$115,15,0))</f>
        <v>270.3</v>
      </c>
      <c r="Y872" s="6"/>
      <c r="Z872" s="6">
        <f ca="1">('TUSD BE'!$AM$28+'TUSD BF'!$AM$28+'TUSD CVA'!$AM$28)*1</f>
        <v>1480.1280206491922</v>
      </c>
      <c r="AA872" s="6">
        <f>('TE BE'!$AB$11+'TE BF'!$AB$11+'TE CVA'!$AB$11)*1</f>
        <v>362.64398683254075</v>
      </c>
      <c r="AB872" s="6">
        <f>$K$872*$V$872</f>
        <v>0</v>
      </c>
      <c r="AC872" s="6">
        <f>$M$872*$W$872</f>
        <v>338424.89344000001</v>
      </c>
      <c r="AD872" s="6">
        <f>$O$872*$X$872</f>
        <v>63132.349200000004</v>
      </c>
      <c r="AE872" s="6">
        <f>$K$872*$Y$872</f>
        <v>0</v>
      </c>
      <c r="AF872" s="6">
        <f ca="1">$M$872*$Z$872</f>
        <v>345704.6210149079</v>
      </c>
      <c r="AG872" s="6">
        <f>$O$872*$AA$872</f>
        <v>84700.580140555539</v>
      </c>
    </row>
    <row r="873" spans="1:33" ht="11.25" customHeight="1" x14ac:dyDescent="0.25">
      <c r="A873" s="4" t="s">
        <v>28</v>
      </c>
      <c r="B873" s="4" t="s">
        <v>41</v>
      </c>
      <c r="C873" s="4" t="s">
        <v>44</v>
      </c>
      <c r="D873" s="4" t="s">
        <v>48</v>
      </c>
      <c r="E873" s="4" t="s">
        <v>25</v>
      </c>
      <c r="F873" s="4" t="s">
        <v>25</v>
      </c>
      <c r="G873" s="4" t="s">
        <v>25</v>
      </c>
      <c r="H873" s="4" t="s">
        <v>36</v>
      </c>
      <c r="I873" s="5">
        <v>44682</v>
      </c>
      <c r="J873" s="6">
        <v>0</v>
      </c>
      <c r="K873" s="6">
        <v>0</v>
      </c>
      <c r="L873" s="6">
        <v>62.045000000000002</v>
      </c>
      <c r="M873" s="6">
        <v>62.045000000000002</v>
      </c>
      <c r="N873" s="6">
        <v>62.045000000000002</v>
      </c>
      <c r="O873" s="6">
        <v>62.045000000000002</v>
      </c>
      <c r="P873" s="6">
        <v>0</v>
      </c>
      <c r="Q873" s="4" t="s">
        <v>26</v>
      </c>
      <c r="R873" s="4">
        <v>0</v>
      </c>
      <c r="S873" s="6">
        <v>0</v>
      </c>
      <c r="T873" s="6">
        <v>28</v>
      </c>
      <c r="U873" s="6">
        <v>74</v>
      </c>
      <c r="V873" s="6">
        <f>IF(ISERROR(VLOOKUP($S$873,'TAR FIN'!$A$1:$O$115,15,0)),0,VLOOKUP($S$873,'TAR FIN'!$A$1:$O$115,15,0))</f>
        <v>0</v>
      </c>
      <c r="W873" s="6">
        <f>IF(ISERROR(VLOOKUP($T$873,'TAR FIN'!$A$1:$O$115,15,0)),0,VLOOKUP($T$873,'TAR FIN'!$A$1:$O$115,15,0))</f>
        <v>1448.96</v>
      </c>
      <c r="X873" s="6">
        <f>IF(ISERROR(VLOOKUP($U$873,'TAR FIN'!$A$1:$O$115,15,0)),0,VLOOKUP($U$873,'TAR FIN'!$A$1:$O$115,15,0))</f>
        <v>270.3</v>
      </c>
      <c r="Y873" s="6"/>
      <c r="Z873" s="6">
        <f ca="1">('TUSD BE'!$AM$28+'TUSD BF'!$AM$28+'TUSD CVA'!$AM$28)*1</f>
        <v>1480.1280206491922</v>
      </c>
      <c r="AA873" s="6">
        <f>('TE BE'!$AB$11+'TE BF'!$AB$11+'TE CVA'!$AB$11)*1</f>
        <v>362.64398683254075</v>
      </c>
      <c r="AB873" s="6">
        <f>$K$873*$V$873</f>
        <v>0</v>
      </c>
      <c r="AC873" s="6">
        <f>$M$873*$W$873</f>
        <v>89900.723200000008</v>
      </c>
      <c r="AD873" s="6">
        <f>$O$873*$X$873</f>
        <v>16770.763500000001</v>
      </c>
      <c r="AE873" s="6">
        <f>$K$873*$Y$873</f>
        <v>0</v>
      </c>
      <c r="AF873" s="6">
        <f ca="1">$M$873*$Z$873</f>
        <v>91834.543041179131</v>
      </c>
      <c r="AG873" s="6">
        <f>$O$873*$AA$873</f>
        <v>22500.246163024993</v>
      </c>
    </row>
    <row r="874" spans="1:33" ht="11.25" customHeight="1" x14ac:dyDescent="0.25">
      <c r="A874" s="4" t="s">
        <v>30</v>
      </c>
      <c r="B874" s="4" t="s">
        <v>41</v>
      </c>
      <c r="C874" s="4" t="s">
        <v>44</v>
      </c>
      <c r="D874" s="4" t="s">
        <v>48</v>
      </c>
      <c r="E874" s="4" t="s">
        <v>25</v>
      </c>
      <c r="F874" s="4" t="s">
        <v>25</v>
      </c>
      <c r="G874" s="4" t="s">
        <v>25</v>
      </c>
      <c r="H874" s="4" t="s">
        <v>36</v>
      </c>
      <c r="I874" s="5">
        <v>44682</v>
      </c>
      <c r="J874" s="6">
        <v>0</v>
      </c>
      <c r="K874" s="6">
        <v>0</v>
      </c>
      <c r="L874" s="6">
        <v>37.502000000000002</v>
      </c>
      <c r="M874" s="6">
        <v>37.502000000000002</v>
      </c>
      <c r="N874" s="6">
        <v>37.502000000000002</v>
      </c>
      <c r="O874" s="6">
        <v>37.502000000000002</v>
      </c>
      <c r="P874" s="6">
        <v>0</v>
      </c>
      <c r="Q874" s="4" t="s">
        <v>26</v>
      </c>
      <c r="R874" s="4">
        <v>0</v>
      </c>
      <c r="S874" s="6">
        <v>0</v>
      </c>
      <c r="T874" s="6">
        <v>28</v>
      </c>
      <c r="U874" s="6">
        <v>74</v>
      </c>
      <c r="V874" s="6">
        <f>IF(ISERROR(VLOOKUP($S$874,'TAR FIN'!$A$1:$O$115,15,0)),0,VLOOKUP($S$874,'TAR FIN'!$A$1:$O$115,15,0))</f>
        <v>0</v>
      </c>
      <c r="W874" s="6">
        <f>IF(ISERROR(VLOOKUP($T$874,'TAR FIN'!$A$1:$O$115,15,0)),0,VLOOKUP($T$874,'TAR FIN'!$A$1:$O$115,15,0))</f>
        <v>1448.96</v>
      </c>
      <c r="X874" s="6">
        <f>IF(ISERROR(VLOOKUP($U$874,'TAR FIN'!$A$1:$O$115,15,0)),0,VLOOKUP($U$874,'TAR FIN'!$A$1:$O$115,15,0))</f>
        <v>270.3</v>
      </c>
      <c r="Y874" s="6"/>
      <c r="Z874" s="6">
        <f ca="1">('TUSD BE'!$AM$28+'TUSD BF'!$AM$28+'TUSD CVA'!$AM$28)*1</f>
        <v>1480.1280206491922</v>
      </c>
      <c r="AA874" s="6">
        <f>('TE BE'!$AB$11+'TE BF'!$AB$11+'TE CVA'!$AB$11)*1</f>
        <v>362.64398683254075</v>
      </c>
      <c r="AB874" s="6">
        <f>$K$874*$V$874</f>
        <v>0</v>
      </c>
      <c r="AC874" s="6">
        <f>$M$874*$W$874</f>
        <v>54338.897920000003</v>
      </c>
      <c r="AD874" s="6">
        <f>$O$874*$X$874</f>
        <v>10136.7906</v>
      </c>
      <c r="AE874" s="6">
        <f>$K$874*$Y$874</f>
        <v>0</v>
      </c>
      <c r="AF874" s="6">
        <f ca="1">$M$874*$Z$874</f>
        <v>55507.761030386013</v>
      </c>
      <c r="AG874" s="6">
        <f>$O$874*$AA$874</f>
        <v>13599.874794193944</v>
      </c>
    </row>
    <row r="875" spans="1:33" ht="11.25" customHeight="1" x14ac:dyDescent="0.25">
      <c r="A875" s="4" t="s">
        <v>21</v>
      </c>
      <c r="B875" s="4" t="s">
        <v>41</v>
      </c>
      <c r="C875" s="4" t="s">
        <v>44</v>
      </c>
      <c r="D875" s="4" t="s">
        <v>48</v>
      </c>
      <c r="E875" s="4" t="s">
        <v>25</v>
      </c>
      <c r="F875" s="4" t="s">
        <v>25</v>
      </c>
      <c r="G875" s="4" t="s">
        <v>25</v>
      </c>
      <c r="H875" s="4" t="s">
        <v>36</v>
      </c>
      <c r="I875" s="5">
        <v>44713</v>
      </c>
      <c r="J875" s="6">
        <v>0</v>
      </c>
      <c r="K875" s="6">
        <v>0</v>
      </c>
      <c r="L875" s="6">
        <v>243.77199999999999</v>
      </c>
      <c r="M875" s="6">
        <v>243.77199999999999</v>
      </c>
      <c r="N875" s="6">
        <v>243.77199999999999</v>
      </c>
      <c r="O875" s="6">
        <v>243.77199999999999</v>
      </c>
      <c r="P875" s="6">
        <v>0</v>
      </c>
      <c r="Q875" s="4" t="s">
        <v>26</v>
      </c>
      <c r="R875" s="4">
        <v>0</v>
      </c>
      <c r="S875" s="6">
        <v>0</v>
      </c>
      <c r="T875" s="6">
        <v>28</v>
      </c>
      <c r="U875" s="6">
        <v>74</v>
      </c>
      <c r="V875" s="6">
        <f>IF(ISERROR(VLOOKUP($S$875,'TAR FIN'!$A$1:$O$115,15,0)),0,VLOOKUP($S$875,'TAR FIN'!$A$1:$O$115,15,0))</f>
        <v>0</v>
      </c>
      <c r="W875" s="6">
        <f>IF(ISERROR(VLOOKUP($T$875,'TAR FIN'!$A$1:$O$115,15,0)),0,VLOOKUP($T$875,'TAR FIN'!$A$1:$O$115,15,0))</f>
        <v>1448.96</v>
      </c>
      <c r="X875" s="6">
        <f>IF(ISERROR(VLOOKUP($U$875,'TAR FIN'!$A$1:$O$115,15,0)),0,VLOOKUP($U$875,'TAR FIN'!$A$1:$O$115,15,0))</f>
        <v>270.3</v>
      </c>
      <c r="Y875" s="6"/>
      <c r="Z875" s="6">
        <f ca="1">('TUSD BE'!$AM$28+'TUSD BF'!$AM$28+'TUSD CVA'!$AM$28)*1</f>
        <v>1480.1280206491922</v>
      </c>
      <c r="AA875" s="6">
        <f>('TE BE'!$AB$11+'TE BF'!$AB$11+'TE CVA'!$AB$11)*1</f>
        <v>362.64398683254075</v>
      </c>
      <c r="AB875" s="6">
        <f>$K$875*$V$875</f>
        <v>0</v>
      </c>
      <c r="AC875" s="6">
        <f>$M$875*$W$875</f>
        <v>353215.87712000002</v>
      </c>
      <c r="AD875" s="6">
        <f>$O$875*$X$875</f>
        <v>65891.571599999996</v>
      </c>
      <c r="AE875" s="6">
        <f>$K$875*$Y$875</f>
        <v>0</v>
      </c>
      <c r="AF875" s="6">
        <f ca="1">$M$875*$Z$875</f>
        <v>360813.76784969488</v>
      </c>
      <c r="AG875" s="6">
        <f>$O$875*$AA$875</f>
        <v>88402.449958142126</v>
      </c>
    </row>
    <row r="876" spans="1:33" ht="11.25" customHeight="1" x14ac:dyDescent="0.25">
      <c r="A876" s="4" t="s">
        <v>28</v>
      </c>
      <c r="B876" s="4" t="s">
        <v>41</v>
      </c>
      <c r="C876" s="4" t="s">
        <v>44</v>
      </c>
      <c r="D876" s="4" t="s">
        <v>48</v>
      </c>
      <c r="E876" s="4" t="s">
        <v>25</v>
      </c>
      <c r="F876" s="4" t="s">
        <v>25</v>
      </c>
      <c r="G876" s="4" t="s">
        <v>25</v>
      </c>
      <c r="H876" s="4" t="s">
        <v>36</v>
      </c>
      <c r="I876" s="5">
        <v>44713</v>
      </c>
      <c r="J876" s="6">
        <v>0</v>
      </c>
      <c r="K876" s="6">
        <v>0</v>
      </c>
      <c r="L876" s="6">
        <v>63.884</v>
      </c>
      <c r="M876" s="6">
        <v>63.884</v>
      </c>
      <c r="N876" s="6">
        <v>63.884</v>
      </c>
      <c r="O876" s="6">
        <v>63.884</v>
      </c>
      <c r="P876" s="6">
        <v>0</v>
      </c>
      <c r="Q876" s="4" t="s">
        <v>26</v>
      </c>
      <c r="R876" s="4">
        <v>0</v>
      </c>
      <c r="S876" s="6">
        <v>0</v>
      </c>
      <c r="T876" s="6">
        <v>28</v>
      </c>
      <c r="U876" s="6">
        <v>74</v>
      </c>
      <c r="V876" s="6">
        <f>IF(ISERROR(VLOOKUP($S$876,'TAR FIN'!$A$1:$O$115,15,0)),0,VLOOKUP($S$876,'TAR FIN'!$A$1:$O$115,15,0))</f>
        <v>0</v>
      </c>
      <c r="W876" s="6">
        <f>IF(ISERROR(VLOOKUP($T$876,'TAR FIN'!$A$1:$O$115,15,0)),0,VLOOKUP($T$876,'TAR FIN'!$A$1:$O$115,15,0))</f>
        <v>1448.96</v>
      </c>
      <c r="X876" s="6">
        <f>IF(ISERROR(VLOOKUP($U$876,'TAR FIN'!$A$1:$O$115,15,0)),0,VLOOKUP($U$876,'TAR FIN'!$A$1:$O$115,15,0))</f>
        <v>270.3</v>
      </c>
      <c r="Y876" s="6"/>
      <c r="Z876" s="6">
        <f ca="1">('TUSD BE'!$AM$28+'TUSD BF'!$AM$28+'TUSD CVA'!$AM$28)*1</f>
        <v>1480.1280206491922</v>
      </c>
      <c r="AA876" s="6">
        <f>('TE BE'!$AB$11+'TE BF'!$AB$11+'TE CVA'!$AB$11)*1</f>
        <v>362.64398683254075</v>
      </c>
      <c r="AB876" s="6">
        <f>$K$876*$V$876</f>
        <v>0</v>
      </c>
      <c r="AC876" s="6">
        <f>$M$876*$W$876</f>
        <v>92565.360639999999</v>
      </c>
      <c r="AD876" s="6">
        <f>$O$876*$X$876</f>
        <v>17267.8452</v>
      </c>
      <c r="AE876" s="6">
        <f>$K$876*$Y$876</f>
        <v>0</v>
      </c>
      <c r="AF876" s="6">
        <f ca="1">$M$876*$Z$876</f>
        <v>94556.498471152998</v>
      </c>
      <c r="AG876" s="6">
        <f>$O$876*$AA$876</f>
        <v>23167.148454810034</v>
      </c>
    </row>
    <row r="877" spans="1:33" ht="11.25" customHeight="1" x14ac:dyDescent="0.25">
      <c r="A877" s="4" t="s">
        <v>30</v>
      </c>
      <c r="B877" s="4" t="s">
        <v>41</v>
      </c>
      <c r="C877" s="4" t="s">
        <v>44</v>
      </c>
      <c r="D877" s="4" t="s">
        <v>48</v>
      </c>
      <c r="E877" s="4" t="s">
        <v>25</v>
      </c>
      <c r="F877" s="4" t="s">
        <v>25</v>
      </c>
      <c r="G877" s="4" t="s">
        <v>25</v>
      </c>
      <c r="H877" s="4" t="s">
        <v>36</v>
      </c>
      <c r="I877" s="5">
        <v>44713</v>
      </c>
      <c r="J877" s="6">
        <v>0</v>
      </c>
      <c r="K877" s="6">
        <v>0</v>
      </c>
      <c r="L877" s="6">
        <v>30.835000000000001</v>
      </c>
      <c r="M877" s="6">
        <v>30.835000000000001</v>
      </c>
      <c r="N877" s="6">
        <v>30.835000000000001</v>
      </c>
      <c r="O877" s="6">
        <v>30.835000000000001</v>
      </c>
      <c r="P877" s="6">
        <v>0</v>
      </c>
      <c r="Q877" s="4" t="s">
        <v>26</v>
      </c>
      <c r="R877" s="4">
        <v>0</v>
      </c>
      <c r="S877" s="6">
        <v>0</v>
      </c>
      <c r="T877" s="6">
        <v>28</v>
      </c>
      <c r="U877" s="6">
        <v>74</v>
      </c>
      <c r="V877" s="6">
        <f>IF(ISERROR(VLOOKUP($S$877,'TAR FIN'!$A$1:$O$115,15,0)),0,VLOOKUP($S$877,'TAR FIN'!$A$1:$O$115,15,0))</f>
        <v>0</v>
      </c>
      <c r="W877" s="6">
        <f>IF(ISERROR(VLOOKUP($T$877,'TAR FIN'!$A$1:$O$115,15,0)),0,VLOOKUP($T$877,'TAR FIN'!$A$1:$O$115,15,0))</f>
        <v>1448.96</v>
      </c>
      <c r="X877" s="6">
        <f>IF(ISERROR(VLOOKUP($U$877,'TAR FIN'!$A$1:$O$115,15,0)),0,VLOOKUP($U$877,'TAR FIN'!$A$1:$O$115,15,0))</f>
        <v>270.3</v>
      </c>
      <c r="Y877" s="6"/>
      <c r="Z877" s="6">
        <f ca="1">('TUSD BE'!$AM$28+'TUSD BF'!$AM$28+'TUSD CVA'!$AM$28)*1</f>
        <v>1480.1280206491922</v>
      </c>
      <c r="AA877" s="6">
        <f>('TE BE'!$AB$11+'TE BF'!$AB$11+'TE CVA'!$AB$11)*1</f>
        <v>362.64398683254075</v>
      </c>
      <c r="AB877" s="6">
        <f>$K$877*$V$877</f>
        <v>0</v>
      </c>
      <c r="AC877" s="6">
        <f>$M$877*$W$877</f>
        <v>44678.681600000004</v>
      </c>
      <c r="AD877" s="6">
        <f>$O$877*$X$877</f>
        <v>8334.7005000000008</v>
      </c>
      <c r="AE877" s="6">
        <f>$K$877*$Y$877</f>
        <v>0</v>
      </c>
      <c r="AF877" s="6">
        <f ca="1">$M$877*$Z$877</f>
        <v>45639.747516717842</v>
      </c>
      <c r="AG877" s="6">
        <f>$O$877*$AA$877</f>
        <v>11182.127333981394</v>
      </c>
    </row>
    <row r="878" spans="1:33" ht="11.25" customHeight="1" x14ac:dyDescent="0.25">
      <c r="A878" s="4" t="s">
        <v>21</v>
      </c>
      <c r="B878" s="4" t="s">
        <v>41</v>
      </c>
      <c r="C878" s="4" t="s">
        <v>44</v>
      </c>
      <c r="D878" s="4" t="s">
        <v>48</v>
      </c>
      <c r="E878" s="4" t="s">
        <v>25</v>
      </c>
      <c r="F878" s="4" t="s">
        <v>25</v>
      </c>
      <c r="G878" s="4" t="s">
        <v>25</v>
      </c>
      <c r="H878" s="4" t="s">
        <v>36</v>
      </c>
      <c r="I878" s="5">
        <v>44743</v>
      </c>
      <c r="J878" s="6">
        <v>0</v>
      </c>
      <c r="K878" s="6">
        <v>0</v>
      </c>
      <c r="L878" s="6">
        <v>265.14</v>
      </c>
      <c r="M878" s="6">
        <v>265.14</v>
      </c>
      <c r="N878" s="6">
        <v>265.14</v>
      </c>
      <c r="O878" s="6">
        <v>265.14</v>
      </c>
      <c r="P878" s="6">
        <v>0</v>
      </c>
      <c r="Q878" s="4" t="s">
        <v>26</v>
      </c>
      <c r="R878" s="4">
        <v>0</v>
      </c>
      <c r="S878" s="6">
        <v>0</v>
      </c>
      <c r="T878" s="6">
        <v>28</v>
      </c>
      <c r="U878" s="6">
        <v>74</v>
      </c>
      <c r="V878" s="6">
        <f>IF(ISERROR(VLOOKUP($S$878,'TAR FIN'!$A$1:$O$115,15,0)),0,VLOOKUP($S$878,'TAR FIN'!$A$1:$O$115,15,0))</f>
        <v>0</v>
      </c>
      <c r="W878" s="6">
        <f>IF(ISERROR(VLOOKUP($T$878,'TAR FIN'!$A$1:$O$115,15,0)),0,VLOOKUP($T$878,'TAR FIN'!$A$1:$O$115,15,0))</f>
        <v>1448.96</v>
      </c>
      <c r="X878" s="6">
        <f>IF(ISERROR(VLOOKUP($U$878,'TAR FIN'!$A$1:$O$115,15,0)),0,VLOOKUP($U$878,'TAR FIN'!$A$1:$O$115,15,0))</f>
        <v>270.3</v>
      </c>
      <c r="Y878" s="6"/>
      <c r="Z878" s="6">
        <f ca="1">('TUSD BE'!$AM$28+'TUSD BF'!$AM$28+'TUSD CVA'!$AM$28)*1</f>
        <v>1480.1280206491922</v>
      </c>
      <c r="AA878" s="6">
        <f>('TE BE'!$AB$11+'TE BF'!$AB$11+'TE CVA'!$AB$11)*1</f>
        <v>362.64398683254075</v>
      </c>
      <c r="AB878" s="6">
        <f>$K$878*$V$878</f>
        <v>0</v>
      </c>
      <c r="AC878" s="6">
        <f>$M$878*$W$878</f>
        <v>384177.25439999998</v>
      </c>
      <c r="AD878" s="6">
        <f>$O$878*$X$878</f>
        <v>71667.342000000004</v>
      </c>
      <c r="AE878" s="6">
        <f>$K$878*$Y$878</f>
        <v>0</v>
      </c>
      <c r="AF878" s="6">
        <f ca="1">$M$878*$Z$878</f>
        <v>392441.1433949268</v>
      </c>
      <c r="AG878" s="6">
        <f>$O$878*$AA$878</f>
        <v>96151.426668779852</v>
      </c>
    </row>
    <row r="879" spans="1:33" ht="11.25" customHeight="1" x14ac:dyDescent="0.25">
      <c r="A879" s="4" t="s">
        <v>28</v>
      </c>
      <c r="B879" s="4" t="s">
        <v>41</v>
      </c>
      <c r="C879" s="4" t="s">
        <v>44</v>
      </c>
      <c r="D879" s="4" t="s">
        <v>48</v>
      </c>
      <c r="E879" s="4" t="s">
        <v>25</v>
      </c>
      <c r="F879" s="4" t="s">
        <v>25</v>
      </c>
      <c r="G879" s="4" t="s">
        <v>25</v>
      </c>
      <c r="H879" s="4" t="s">
        <v>36</v>
      </c>
      <c r="I879" s="5">
        <v>44743</v>
      </c>
      <c r="J879" s="6">
        <v>0</v>
      </c>
      <c r="K879" s="6">
        <v>0</v>
      </c>
      <c r="L879" s="6">
        <v>67.367000000000004</v>
      </c>
      <c r="M879" s="6">
        <v>67.367000000000004</v>
      </c>
      <c r="N879" s="6">
        <v>67.367000000000004</v>
      </c>
      <c r="O879" s="6">
        <v>67.367000000000004</v>
      </c>
      <c r="P879" s="6">
        <v>0</v>
      </c>
      <c r="Q879" s="4" t="s">
        <v>26</v>
      </c>
      <c r="R879" s="4">
        <v>0</v>
      </c>
      <c r="S879" s="6">
        <v>0</v>
      </c>
      <c r="T879" s="6">
        <v>28</v>
      </c>
      <c r="U879" s="6">
        <v>74</v>
      </c>
      <c r="V879" s="6">
        <f>IF(ISERROR(VLOOKUP($S$879,'TAR FIN'!$A$1:$O$115,15,0)),0,VLOOKUP($S$879,'TAR FIN'!$A$1:$O$115,15,0))</f>
        <v>0</v>
      </c>
      <c r="W879" s="6">
        <f>IF(ISERROR(VLOOKUP($T$879,'TAR FIN'!$A$1:$O$115,15,0)),0,VLOOKUP($T$879,'TAR FIN'!$A$1:$O$115,15,0))</f>
        <v>1448.96</v>
      </c>
      <c r="X879" s="6">
        <f>IF(ISERROR(VLOOKUP($U$879,'TAR FIN'!$A$1:$O$115,15,0)),0,VLOOKUP($U$879,'TAR FIN'!$A$1:$O$115,15,0))</f>
        <v>270.3</v>
      </c>
      <c r="Y879" s="6"/>
      <c r="Z879" s="6">
        <f ca="1">('TUSD BE'!$AM$28+'TUSD BF'!$AM$28+'TUSD CVA'!$AM$28)*1</f>
        <v>1480.1280206491922</v>
      </c>
      <c r="AA879" s="6">
        <f>('TE BE'!$AB$11+'TE BF'!$AB$11+'TE CVA'!$AB$11)*1</f>
        <v>362.64398683254075</v>
      </c>
      <c r="AB879" s="6">
        <f>$K$879*$V$879</f>
        <v>0</v>
      </c>
      <c r="AC879" s="6">
        <f>$M$879*$W$879</f>
        <v>97612.08832000001</v>
      </c>
      <c r="AD879" s="6">
        <f>$O$879*$X$879</f>
        <v>18209.3001</v>
      </c>
      <c r="AE879" s="6">
        <f>$K$879*$Y$879</f>
        <v>0</v>
      </c>
      <c r="AF879" s="6">
        <f ca="1">$M$879*$Z$879</f>
        <v>99711.784367074142</v>
      </c>
      <c r="AG879" s="6">
        <f>$O$879*$AA$879</f>
        <v>24430.237460947774</v>
      </c>
    </row>
    <row r="880" spans="1:33" ht="11.25" customHeight="1" x14ac:dyDescent="0.25">
      <c r="A880" s="4" t="s">
        <v>30</v>
      </c>
      <c r="B880" s="4" t="s">
        <v>41</v>
      </c>
      <c r="C880" s="4" t="s">
        <v>44</v>
      </c>
      <c r="D880" s="4" t="s">
        <v>48</v>
      </c>
      <c r="E880" s="4" t="s">
        <v>25</v>
      </c>
      <c r="F880" s="4" t="s">
        <v>25</v>
      </c>
      <c r="G880" s="4" t="s">
        <v>25</v>
      </c>
      <c r="H880" s="4" t="s">
        <v>36</v>
      </c>
      <c r="I880" s="5">
        <v>44743</v>
      </c>
      <c r="J880" s="6">
        <v>0</v>
      </c>
      <c r="K880" s="6">
        <v>0</v>
      </c>
      <c r="L880" s="6">
        <v>49.77</v>
      </c>
      <c r="M880" s="6">
        <v>49.77</v>
      </c>
      <c r="N880" s="6">
        <v>49.77</v>
      </c>
      <c r="O880" s="6">
        <v>49.77</v>
      </c>
      <c r="P880" s="6">
        <v>0</v>
      </c>
      <c r="Q880" s="4" t="s">
        <v>26</v>
      </c>
      <c r="R880" s="4">
        <v>0</v>
      </c>
      <c r="S880" s="6">
        <v>0</v>
      </c>
      <c r="T880" s="6">
        <v>28</v>
      </c>
      <c r="U880" s="6">
        <v>74</v>
      </c>
      <c r="V880" s="6">
        <f>IF(ISERROR(VLOOKUP($S$880,'TAR FIN'!$A$1:$O$115,15,0)),0,VLOOKUP($S$880,'TAR FIN'!$A$1:$O$115,15,0))</f>
        <v>0</v>
      </c>
      <c r="W880" s="6">
        <f>IF(ISERROR(VLOOKUP($T$880,'TAR FIN'!$A$1:$O$115,15,0)),0,VLOOKUP($T$880,'TAR FIN'!$A$1:$O$115,15,0))</f>
        <v>1448.96</v>
      </c>
      <c r="X880" s="6">
        <f>IF(ISERROR(VLOOKUP($U$880,'TAR FIN'!$A$1:$O$115,15,0)),0,VLOOKUP($U$880,'TAR FIN'!$A$1:$O$115,15,0))</f>
        <v>270.3</v>
      </c>
      <c r="Y880" s="6"/>
      <c r="Z880" s="6">
        <f ca="1">('TUSD BE'!$AM$28+'TUSD BF'!$AM$28+'TUSD CVA'!$AM$28)*1</f>
        <v>1480.1280206491922</v>
      </c>
      <c r="AA880" s="6">
        <f>('TE BE'!$AB$11+'TE BF'!$AB$11+'TE CVA'!$AB$11)*1</f>
        <v>362.64398683254075</v>
      </c>
      <c r="AB880" s="6">
        <f>$K$880*$V$880</f>
        <v>0</v>
      </c>
      <c r="AC880" s="6">
        <f>$M$880*$W$880</f>
        <v>72114.739200000011</v>
      </c>
      <c r="AD880" s="6">
        <f>$O$880*$X$880</f>
        <v>13452.831000000002</v>
      </c>
      <c r="AE880" s="6">
        <f>$K$880*$Y$880</f>
        <v>0</v>
      </c>
      <c r="AF880" s="6">
        <f ca="1">$M$880*$Z$880</f>
        <v>73665.971587710301</v>
      </c>
      <c r="AG880" s="6">
        <f>$O$880*$AA$880</f>
        <v>18048.791224655553</v>
      </c>
    </row>
    <row r="881" spans="1:33" ht="11.25" customHeight="1" x14ac:dyDescent="0.25">
      <c r="A881" s="4" t="s">
        <v>21</v>
      </c>
      <c r="B881" s="4" t="s">
        <v>41</v>
      </c>
      <c r="C881" s="4" t="s">
        <v>44</v>
      </c>
      <c r="D881" s="4" t="s">
        <v>48</v>
      </c>
      <c r="E881" s="4" t="s">
        <v>25</v>
      </c>
      <c r="F881" s="4" t="s">
        <v>25</v>
      </c>
      <c r="G881" s="4" t="s">
        <v>25</v>
      </c>
      <c r="H881" s="4" t="s">
        <v>36</v>
      </c>
      <c r="I881" s="5">
        <v>44774</v>
      </c>
      <c r="J881" s="6">
        <v>0</v>
      </c>
      <c r="K881" s="6">
        <v>0</v>
      </c>
      <c r="L881" s="6">
        <v>295.10300000000001</v>
      </c>
      <c r="M881" s="6">
        <v>295.10300000000001</v>
      </c>
      <c r="N881" s="6">
        <v>295.10300000000001</v>
      </c>
      <c r="O881" s="6">
        <v>295.10300000000001</v>
      </c>
      <c r="P881" s="6">
        <v>0</v>
      </c>
      <c r="Q881" s="4" t="s">
        <v>26</v>
      </c>
      <c r="R881" s="4">
        <v>0</v>
      </c>
      <c r="S881" s="6">
        <v>0</v>
      </c>
      <c r="T881" s="6">
        <v>28</v>
      </c>
      <c r="U881" s="6">
        <v>74</v>
      </c>
      <c r="V881" s="6">
        <f>IF(ISERROR(VLOOKUP($S$881,'TAR FIN'!$A$1:$O$115,15,0)),0,VLOOKUP($S$881,'TAR FIN'!$A$1:$O$115,15,0))</f>
        <v>0</v>
      </c>
      <c r="W881" s="6">
        <f>IF(ISERROR(VLOOKUP($T$881,'TAR FIN'!$A$1:$O$115,15,0)),0,VLOOKUP($T$881,'TAR FIN'!$A$1:$O$115,15,0))</f>
        <v>1448.96</v>
      </c>
      <c r="X881" s="6">
        <f>IF(ISERROR(VLOOKUP($U$881,'TAR FIN'!$A$1:$O$115,15,0)),0,VLOOKUP($U$881,'TAR FIN'!$A$1:$O$115,15,0))</f>
        <v>270.3</v>
      </c>
      <c r="Y881" s="6"/>
      <c r="Z881" s="6">
        <f ca="1">('TUSD BE'!$AM$28+'TUSD BF'!$AM$28+'TUSD CVA'!$AM$28)*1</f>
        <v>1480.1280206491922</v>
      </c>
      <c r="AA881" s="6">
        <f>('TE BE'!$AB$11+'TE BF'!$AB$11+'TE CVA'!$AB$11)*1</f>
        <v>362.64398683254075</v>
      </c>
      <c r="AB881" s="6">
        <f>$K$881*$V$881</f>
        <v>0</v>
      </c>
      <c r="AC881" s="6">
        <f>$M$881*$W$881</f>
        <v>427592.44288000005</v>
      </c>
      <c r="AD881" s="6">
        <f>$O$881*$X$881</f>
        <v>79766.34090000001</v>
      </c>
      <c r="AE881" s="6">
        <f>$K$881*$Y$881</f>
        <v>0</v>
      </c>
      <c r="AF881" s="6">
        <f ca="1">$M$881*$Z$881</f>
        <v>436790.21927763859</v>
      </c>
      <c r="AG881" s="6">
        <f>$O$881*$AA$881</f>
        <v>107017.32844624328</v>
      </c>
    </row>
    <row r="882" spans="1:33" ht="11.25" customHeight="1" x14ac:dyDescent="0.25">
      <c r="A882" s="4" t="s">
        <v>28</v>
      </c>
      <c r="B882" s="4" t="s">
        <v>41</v>
      </c>
      <c r="C882" s="4" t="s">
        <v>44</v>
      </c>
      <c r="D882" s="4" t="s">
        <v>48</v>
      </c>
      <c r="E882" s="4" t="s">
        <v>25</v>
      </c>
      <c r="F882" s="4" t="s">
        <v>25</v>
      </c>
      <c r="G882" s="4" t="s">
        <v>25</v>
      </c>
      <c r="H882" s="4" t="s">
        <v>36</v>
      </c>
      <c r="I882" s="5">
        <v>44774</v>
      </c>
      <c r="J882" s="6">
        <v>0</v>
      </c>
      <c r="K882" s="6">
        <v>0</v>
      </c>
      <c r="L882" s="6">
        <v>74.64</v>
      </c>
      <c r="M882" s="6">
        <v>74.64</v>
      </c>
      <c r="N882" s="6">
        <v>74.64</v>
      </c>
      <c r="O882" s="6">
        <v>74.64</v>
      </c>
      <c r="P882" s="6">
        <v>0</v>
      </c>
      <c r="Q882" s="4" t="s">
        <v>26</v>
      </c>
      <c r="R882" s="4">
        <v>0</v>
      </c>
      <c r="S882" s="6">
        <v>0</v>
      </c>
      <c r="T882" s="6">
        <v>28</v>
      </c>
      <c r="U882" s="6">
        <v>74</v>
      </c>
      <c r="V882" s="6">
        <f>IF(ISERROR(VLOOKUP($S$882,'TAR FIN'!$A$1:$O$115,15,0)),0,VLOOKUP($S$882,'TAR FIN'!$A$1:$O$115,15,0))</f>
        <v>0</v>
      </c>
      <c r="W882" s="6">
        <f>IF(ISERROR(VLOOKUP($T$882,'TAR FIN'!$A$1:$O$115,15,0)),0,VLOOKUP($T$882,'TAR FIN'!$A$1:$O$115,15,0))</f>
        <v>1448.96</v>
      </c>
      <c r="X882" s="6">
        <f>IF(ISERROR(VLOOKUP($U$882,'TAR FIN'!$A$1:$O$115,15,0)),0,VLOOKUP($U$882,'TAR FIN'!$A$1:$O$115,15,0))</f>
        <v>270.3</v>
      </c>
      <c r="Y882" s="6"/>
      <c r="Z882" s="6">
        <f ca="1">('TUSD BE'!$AM$28+'TUSD BF'!$AM$28+'TUSD CVA'!$AM$28)*1</f>
        <v>1480.1280206491922</v>
      </c>
      <c r="AA882" s="6">
        <f>('TE BE'!$AB$11+'TE BF'!$AB$11+'TE CVA'!$AB$11)*1</f>
        <v>362.64398683254075</v>
      </c>
      <c r="AB882" s="6">
        <f>$K$882*$V$882</f>
        <v>0</v>
      </c>
      <c r="AC882" s="6">
        <f>$M$882*$W$882</f>
        <v>108150.3744</v>
      </c>
      <c r="AD882" s="6">
        <f>$O$882*$X$882</f>
        <v>20175.192000000003</v>
      </c>
      <c r="AE882" s="6">
        <f>$K$882*$Y$882</f>
        <v>0</v>
      </c>
      <c r="AF882" s="6">
        <f ca="1">$M$882*$Z$882</f>
        <v>110476.7554612557</v>
      </c>
      <c r="AG882" s="6">
        <f>$O$882*$AA$882</f>
        <v>27067.747177180841</v>
      </c>
    </row>
    <row r="883" spans="1:33" ht="11.25" customHeight="1" x14ac:dyDescent="0.25">
      <c r="A883" s="4" t="s">
        <v>29</v>
      </c>
      <c r="B883" s="4" t="s">
        <v>41</v>
      </c>
      <c r="C883" s="4" t="s">
        <v>44</v>
      </c>
      <c r="D883" s="4" t="s">
        <v>48</v>
      </c>
      <c r="E883" s="4" t="s">
        <v>25</v>
      </c>
      <c r="F883" s="4" t="s">
        <v>25</v>
      </c>
      <c r="G883" s="4" t="s">
        <v>25</v>
      </c>
      <c r="H883" s="4" t="s">
        <v>36</v>
      </c>
      <c r="I883" s="5">
        <v>44774</v>
      </c>
      <c r="J883" s="6">
        <v>0</v>
      </c>
      <c r="K883" s="6">
        <v>0</v>
      </c>
      <c r="L883" s="6">
        <v>0.15</v>
      </c>
      <c r="M883" s="6">
        <v>0.15</v>
      </c>
      <c r="N883" s="6">
        <v>0.15</v>
      </c>
      <c r="O883" s="6">
        <v>0.15</v>
      </c>
      <c r="P883" s="6">
        <v>0</v>
      </c>
      <c r="Q883" s="4" t="s">
        <v>26</v>
      </c>
      <c r="R883" s="4">
        <v>0</v>
      </c>
      <c r="S883" s="6">
        <v>0</v>
      </c>
      <c r="T883" s="6">
        <v>28</v>
      </c>
      <c r="U883" s="6">
        <v>74</v>
      </c>
      <c r="V883" s="6">
        <f>IF(ISERROR(VLOOKUP($S$883,'TAR FIN'!$A$1:$O$115,15,0)),0,VLOOKUP($S$883,'TAR FIN'!$A$1:$O$115,15,0))</f>
        <v>0</v>
      </c>
      <c r="W883" s="6">
        <f>IF(ISERROR(VLOOKUP($T$883,'TAR FIN'!$A$1:$O$115,15,0)),0,VLOOKUP($T$883,'TAR FIN'!$A$1:$O$115,15,0))</f>
        <v>1448.96</v>
      </c>
      <c r="X883" s="6">
        <f>IF(ISERROR(VLOOKUP($U$883,'TAR FIN'!$A$1:$O$115,15,0)),0,VLOOKUP($U$883,'TAR FIN'!$A$1:$O$115,15,0))</f>
        <v>270.3</v>
      </c>
      <c r="Y883" s="6"/>
      <c r="Z883" s="6">
        <f ca="1">('TUSD BE'!$AM$28+'TUSD BF'!$AM$28+'TUSD CVA'!$AM$28)*1</f>
        <v>1480.1280206491922</v>
      </c>
      <c r="AA883" s="6">
        <f>('TE BE'!$AB$11+'TE BF'!$AB$11+'TE CVA'!$AB$11)*1</f>
        <v>362.64398683254075</v>
      </c>
      <c r="AB883" s="6">
        <f>$K$883*$V$883</f>
        <v>0</v>
      </c>
      <c r="AC883" s="6">
        <f>$M$883*$W$883</f>
        <v>217.34399999999999</v>
      </c>
      <c r="AD883" s="6">
        <f>$O$883*$X$883</f>
        <v>40.545000000000002</v>
      </c>
      <c r="AE883" s="6">
        <f>$K$883*$Y$883</f>
        <v>0</v>
      </c>
      <c r="AF883" s="6">
        <f ca="1">$M$883*$Z$883</f>
        <v>222.01920309737883</v>
      </c>
      <c r="AG883" s="6">
        <f>$O$883*$AA$883</f>
        <v>54.396598024881108</v>
      </c>
    </row>
    <row r="884" spans="1:33" ht="11.25" customHeight="1" x14ac:dyDescent="0.25">
      <c r="A884" s="4" t="s">
        <v>30</v>
      </c>
      <c r="B884" s="4" t="s">
        <v>41</v>
      </c>
      <c r="C884" s="4" t="s">
        <v>44</v>
      </c>
      <c r="D884" s="4" t="s">
        <v>48</v>
      </c>
      <c r="E884" s="4" t="s">
        <v>25</v>
      </c>
      <c r="F884" s="4" t="s">
        <v>25</v>
      </c>
      <c r="G884" s="4" t="s">
        <v>25</v>
      </c>
      <c r="H884" s="4" t="s">
        <v>36</v>
      </c>
      <c r="I884" s="5">
        <v>44774</v>
      </c>
      <c r="J884" s="6">
        <v>0</v>
      </c>
      <c r="K884" s="6">
        <v>0</v>
      </c>
      <c r="L884" s="6">
        <v>56.54</v>
      </c>
      <c r="M884" s="6">
        <v>56.54</v>
      </c>
      <c r="N884" s="6">
        <v>56.54</v>
      </c>
      <c r="O884" s="6">
        <v>56.54</v>
      </c>
      <c r="P884" s="6">
        <v>0</v>
      </c>
      <c r="Q884" s="4" t="s">
        <v>26</v>
      </c>
      <c r="R884" s="4">
        <v>0</v>
      </c>
      <c r="S884" s="6">
        <v>0</v>
      </c>
      <c r="T884" s="6">
        <v>28</v>
      </c>
      <c r="U884" s="6">
        <v>74</v>
      </c>
      <c r="V884" s="6">
        <f>IF(ISERROR(VLOOKUP($S$884,'TAR FIN'!$A$1:$O$115,15,0)),0,VLOOKUP($S$884,'TAR FIN'!$A$1:$O$115,15,0))</f>
        <v>0</v>
      </c>
      <c r="W884" s="6">
        <f>IF(ISERROR(VLOOKUP($T$884,'TAR FIN'!$A$1:$O$115,15,0)),0,VLOOKUP($T$884,'TAR FIN'!$A$1:$O$115,15,0))</f>
        <v>1448.96</v>
      </c>
      <c r="X884" s="6">
        <f>IF(ISERROR(VLOOKUP($U$884,'TAR FIN'!$A$1:$O$115,15,0)),0,VLOOKUP($U$884,'TAR FIN'!$A$1:$O$115,15,0))</f>
        <v>270.3</v>
      </c>
      <c r="Y884" s="6"/>
      <c r="Z884" s="6">
        <f ca="1">('TUSD BE'!$AM$28+'TUSD BF'!$AM$28+'TUSD CVA'!$AM$28)*1</f>
        <v>1480.1280206491922</v>
      </c>
      <c r="AA884" s="6">
        <f>('TE BE'!$AB$11+'TE BF'!$AB$11+'TE CVA'!$AB$11)*1</f>
        <v>362.64398683254075</v>
      </c>
      <c r="AB884" s="6">
        <f>$K$884*$V$884</f>
        <v>0</v>
      </c>
      <c r="AC884" s="6">
        <f>$M$884*$W$884</f>
        <v>81924.198399999994</v>
      </c>
      <c r="AD884" s="6">
        <f>$O$884*$X$884</f>
        <v>15282.762000000001</v>
      </c>
      <c r="AE884" s="6">
        <f>$K$884*$Y$884</f>
        <v>0</v>
      </c>
      <c r="AF884" s="6">
        <f ca="1">$M$884*$Z$884</f>
        <v>83686.438287505327</v>
      </c>
      <c r="AG884" s="6">
        <f>$O$884*$AA$884</f>
        <v>20503.891015511854</v>
      </c>
    </row>
    <row r="885" spans="1:33" ht="11.25" customHeight="1" x14ac:dyDescent="0.25">
      <c r="A885" s="4" t="s">
        <v>21</v>
      </c>
      <c r="B885" s="4" t="s">
        <v>41</v>
      </c>
      <c r="C885" s="4" t="s">
        <v>44</v>
      </c>
      <c r="D885" s="4" t="s">
        <v>48</v>
      </c>
      <c r="E885" s="4" t="s">
        <v>25</v>
      </c>
      <c r="F885" s="4" t="s">
        <v>25</v>
      </c>
      <c r="G885" s="4" t="s">
        <v>25</v>
      </c>
      <c r="H885" s="4" t="s">
        <v>36</v>
      </c>
      <c r="I885" s="5">
        <v>44805</v>
      </c>
      <c r="J885" s="6">
        <v>0</v>
      </c>
      <c r="K885" s="6">
        <v>0</v>
      </c>
      <c r="L885" s="6">
        <v>276.62200000000001</v>
      </c>
      <c r="M885" s="6">
        <v>276.62200000000001</v>
      </c>
      <c r="N885" s="6">
        <v>276.62200000000001</v>
      </c>
      <c r="O885" s="6">
        <v>276.62200000000001</v>
      </c>
      <c r="P885" s="6">
        <v>0</v>
      </c>
      <c r="Q885" s="4" t="s">
        <v>26</v>
      </c>
      <c r="R885" s="4">
        <v>0</v>
      </c>
      <c r="S885" s="6">
        <v>0</v>
      </c>
      <c r="T885" s="6">
        <v>28</v>
      </c>
      <c r="U885" s="6">
        <v>74</v>
      </c>
      <c r="V885" s="6">
        <f>IF(ISERROR(VLOOKUP($S$885,'TAR FIN'!$A$1:$O$115,15,0)),0,VLOOKUP($S$885,'TAR FIN'!$A$1:$O$115,15,0))</f>
        <v>0</v>
      </c>
      <c r="W885" s="6">
        <f>IF(ISERROR(VLOOKUP($T$885,'TAR FIN'!$A$1:$O$115,15,0)),0,VLOOKUP($T$885,'TAR FIN'!$A$1:$O$115,15,0))</f>
        <v>1448.96</v>
      </c>
      <c r="X885" s="6">
        <f>IF(ISERROR(VLOOKUP($U$885,'TAR FIN'!$A$1:$O$115,15,0)),0,VLOOKUP($U$885,'TAR FIN'!$A$1:$O$115,15,0))</f>
        <v>270.3</v>
      </c>
      <c r="Y885" s="6"/>
      <c r="Z885" s="6">
        <f ca="1">('TUSD BE'!$AM$28+'TUSD BF'!$AM$28+'TUSD CVA'!$AM$28)*1</f>
        <v>1480.1280206491922</v>
      </c>
      <c r="AA885" s="6">
        <f>('TE BE'!$AB$11+'TE BF'!$AB$11+'TE CVA'!$AB$11)*1</f>
        <v>362.64398683254075</v>
      </c>
      <c r="AB885" s="6">
        <f>$K$885*$V$885</f>
        <v>0</v>
      </c>
      <c r="AC885" s="6">
        <f>$M$885*$W$885</f>
        <v>400814.21312000003</v>
      </c>
      <c r="AD885" s="6">
        <f>$O$885*$X$885</f>
        <v>74770.926600000006</v>
      </c>
      <c r="AE885" s="6">
        <f>$K$885*$Y$885</f>
        <v>0</v>
      </c>
      <c r="AF885" s="6">
        <f ca="1">$M$885*$Z$885</f>
        <v>409435.97332802089</v>
      </c>
      <c r="AG885" s="6">
        <f>$O$885*$AA$885</f>
        <v>100315.30492559109</v>
      </c>
    </row>
    <row r="886" spans="1:33" ht="11.25" customHeight="1" x14ac:dyDescent="0.25">
      <c r="A886" s="4" t="s">
        <v>28</v>
      </c>
      <c r="B886" s="4" t="s">
        <v>41</v>
      </c>
      <c r="C886" s="4" t="s">
        <v>44</v>
      </c>
      <c r="D886" s="4" t="s">
        <v>48</v>
      </c>
      <c r="E886" s="4" t="s">
        <v>25</v>
      </c>
      <c r="F886" s="4" t="s">
        <v>25</v>
      </c>
      <c r="G886" s="4" t="s">
        <v>25</v>
      </c>
      <c r="H886" s="4" t="s">
        <v>36</v>
      </c>
      <c r="I886" s="5">
        <v>44805</v>
      </c>
      <c r="J886" s="6">
        <v>0</v>
      </c>
      <c r="K886" s="6">
        <v>0</v>
      </c>
      <c r="L886" s="6">
        <v>81.858999999999995</v>
      </c>
      <c r="M886" s="6">
        <v>81.858999999999995</v>
      </c>
      <c r="N886" s="6">
        <v>81.858999999999995</v>
      </c>
      <c r="O886" s="6">
        <v>81.858999999999995</v>
      </c>
      <c r="P886" s="6">
        <v>0</v>
      </c>
      <c r="Q886" s="4" t="s">
        <v>26</v>
      </c>
      <c r="R886" s="4">
        <v>0</v>
      </c>
      <c r="S886" s="6">
        <v>0</v>
      </c>
      <c r="T886" s="6">
        <v>28</v>
      </c>
      <c r="U886" s="6">
        <v>74</v>
      </c>
      <c r="V886" s="6">
        <f>IF(ISERROR(VLOOKUP($S$886,'TAR FIN'!$A$1:$O$115,15,0)),0,VLOOKUP($S$886,'TAR FIN'!$A$1:$O$115,15,0))</f>
        <v>0</v>
      </c>
      <c r="W886" s="6">
        <f>IF(ISERROR(VLOOKUP($T$886,'TAR FIN'!$A$1:$O$115,15,0)),0,VLOOKUP($T$886,'TAR FIN'!$A$1:$O$115,15,0))</f>
        <v>1448.96</v>
      </c>
      <c r="X886" s="6">
        <f>IF(ISERROR(VLOOKUP($U$886,'TAR FIN'!$A$1:$O$115,15,0)),0,VLOOKUP($U$886,'TAR FIN'!$A$1:$O$115,15,0))</f>
        <v>270.3</v>
      </c>
      <c r="Y886" s="6"/>
      <c r="Z886" s="6">
        <f ca="1">('TUSD BE'!$AM$28+'TUSD BF'!$AM$28+'TUSD CVA'!$AM$28)*1</f>
        <v>1480.1280206491922</v>
      </c>
      <c r="AA886" s="6">
        <f>('TE BE'!$AB$11+'TE BF'!$AB$11+'TE CVA'!$AB$11)*1</f>
        <v>362.64398683254075</v>
      </c>
      <c r="AB886" s="6">
        <f>$K$886*$V$886</f>
        <v>0</v>
      </c>
      <c r="AC886" s="6">
        <f>$M$886*$W$886</f>
        <v>118610.41664</v>
      </c>
      <c r="AD886" s="6">
        <f>$O$886*$X$886</f>
        <v>22126.487699999998</v>
      </c>
      <c r="AE886" s="6">
        <f>$K$886*$Y$886</f>
        <v>0</v>
      </c>
      <c r="AF886" s="6">
        <f ca="1">$M$886*$Z$886</f>
        <v>121161.79964232222</v>
      </c>
      <c r="AG886" s="6">
        <f>$O$886*$AA$886</f>
        <v>29685.674118124953</v>
      </c>
    </row>
    <row r="887" spans="1:33" ht="11.25" customHeight="1" x14ac:dyDescent="0.25">
      <c r="A887" s="4" t="s">
        <v>30</v>
      </c>
      <c r="B887" s="4" t="s">
        <v>41</v>
      </c>
      <c r="C887" s="4" t="s">
        <v>44</v>
      </c>
      <c r="D887" s="4" t="s">
        <v>48</v>
      </c>
      <c r="E887" s="4" t="s">
        <v>25</v>
      </c>
      <c r="F887" s="4" t="s">
        <v>25</v>
      </c>
      <c r="G887" s="4" t="s">
        <v>25</v>
      </c>
      <c r="H887" s="4" t="s">
        <v>36</v>
      </c>
      <c r="I887" s="5">
        <v>44805</v>
      </c>
      <c r="J887" s="6">
        <v>0</v>
      </c>
      <c r="K887" s="6">
        <v>0</v>
      </c>
      <c r="L887" s="6">
        <v>56.393999999999998</v>
      </c>
      <c r="M887" s="6">
        <v>56.393999999999998</v>
      </c>
      <c r="N887" s="6">
        <v>56.393999999999998</v>
      </c>
      <c r="O887" s="6">
        <v>56.393999999999998</v>
      </c>
      <c r="P887" s="6">
        <v>0</v>
      </c>
      <c r="Q887" s="4" t="s">
        <v>26</v>
      </c>
      <c r="R887" s="4">
        <v>0</v>
      </c>
      <c r="S887" s="6">
        <v>0</v>
      </c>
      <c r="T887" s="6">
        <v>28</v>
      </c>
      <c r="U887" s="6">
        <v>74</v>
      </c>
      <c r="V887" s="6">
        <f>IF(ISERROR(VLOOKUP($S$887,'TAR FIN'!$A$1:$O$115,15,0)),0,VLOOKUP($S$887,'TAR FIN'!$A$1:$O$115,15,0))</f>
        <v>0</v>
      </c>
      <c r="W887" s="6">
        <f>IF(ISERROR(VLOOKUP($T$887,'TAR FIN'!$A$1:$O$115,15,0)),0,VLOOKUP($T$887,'TAR FIN'!$A$1:$O$115,15,0))</f>
        <v>1448.96</v>
      </c>
      <c r="X887" s="6">
        <f>IF(ISERROR(VLOOKUP($U$887,'TAR FIN'!$A$1:$O$115,15,0)),0,VLOOKUP($U$887,'TAR FIN'!$A$1:$O$115,15,0))</f>
        <v>270.3</v>
      </c>
      <c r="Y887" s="6"/>
      <c r="Z887" s="6">
        <f ca="1">('TUSD BE'!$AM$28+'TUSD BF'!$AM$28+'TUSD CVA'!$AM$28)*1</f>
        <v>1480.1280206491922</v>
      </c>
      <c r="AA887" s="6">
        <f>('TE BE'!$AB$11+'TE BF'!$AB$11+'TE CVA'!$AB$11)*1</f>
        <v>362.64398683254075</v>
      </c>
      <c r="AB887" s="6">
        <f>$K$887*$V$887</f>
        <v>0</v>
      </c>
      <c r="AC887" s="6">
        <f>$M$887*$W$887</f>
        <v>81712.650240000003</v>
      </c>
      <c r="AD887" s="6">
        <f>$O$887*$X$887</f>
        <v>15243.298200000001</v>
      </c>
      <c r="AE887" s="6">
        <f>$K$887*$Y$887</f>
        <v>0</v>
      </c>
      <c r="AF887" s="6">
        <f ca="1">$M$887*$Z$887</f>
        <v>83470.339596490536</v>
      </c>
      <c r="AG887" s="6">
        <f>$O$887*$AA$887</f>
        <v>20450.944993434303</v>
      </c>
    </row>
    <row r="888" spans="1:33" ht="11.25" customHeight="1" x14ac:dyDescent="0.25">
      <c r="A888" s="4" t="s">
        <v>21</v>
      </c>
      <c r="B888" s="4" t="s">
        <v>41</v>
      </c>
      <c r="C888" s="4" t="s">
        <v>44</v>
      </c>
      <c r="D888" s="4" t="s">
        <v>48</v>
      </c>
      <c r="E888" s="4" t="s">
        <v>25</v>
      </c>
      <c r="F888" s="4" t="s">
        <v>25</v>
      </c>
      <c r="G888" s="4" t="s">
        <v>25</v>
      </c>
      <c r="H888" s="4" t="s">
        <v>36</v>
      </c>
      <c r="I888" s="5">
        <v>44835</v>
      </c>
      <c r="J888" s="6">
        <v>0</v>
      </c>
      <c r="K888" s="6">
        <v>0</v>
      </c>
      <c r="L888" s="6">
        <v>266.34300000000002</v>
      </c>
      <c r="M888" s="6">
        <v>266.34300000000002</v>
      </c>
      <c r="N888" s="6">
        <v>266.34300000000002</v>
      </c>
      <c r="O888" s="6">
        <v>266.34300000000002</v>
      </c>
      <c r="P888" s="6">
        <v>0</v>
      </c>
      <c r="Q888" s="4" t="s">
        <v>26</v>
      </c>
      <c r="R888" s="4">
        <v>0</v>
      </c>
      <c r="S888" s="6">
        <v>0</v>
      </c>
      <c r="T888" s="6">
        <v>28</v>
      </c>
      <c r="U888" s="6">
        <v>74</v>
      </c>
      <c r="V888" s="6">
        <f>IF(ISERROR(VLOOKUP($S$888,'TAR FIN'!$A$1:$O$115,15,0)),0,VLOOKUP($S$888,'TAR FIN'!$A$1:$O$115,15,0))</f>
        <v>0</v>
      </c>
      <c r="W888" s="6">
        <f>IF(ISERROR(VLOOKUP($T$888,'TAR FIN'!$A$1:$O$115,15,0)),0,VLOOKUP($T$888,'TAR FIN'!$A$1:$O$115,15,0))</f>
        <v>1448.96</v>
      </c>
      <c r="X888" s="6">
        <f>IF(ISERROR(VLOOKUP($U$888,'TAR FIN'!$A$1:$O$115,15,0)),0,VLOOKUP($U$888,'TAR FIN'!$A$1:$O$115,15,0))</f>
        <v>270.3</v>
      </c>
      <c r="Y888" s="6"/>
      <c r="Z888" s="6">
        <f ca="1">('TUSD BE'!$AM$28+'TUSD BF'!$AM$28+'TUSD CVA'!$AM$28)*1</f>
        <v>1480.1280206491922</v>
      </c>
      <c r="AA888" s="6">
        <f>('TE BE'!$AB$11+'TE BF'!$AB$11+'TE CVA'!$AB$11)*1</f>
        <v>362.64398683254075</v>
      </c>
      <c r="AB888" s="6">
        <f>$K$888*$V$888</f>
        <v>0</v>
      </c>
      <c r="AC888" s="6">
        <f>$M$888*$W$888</f>
        <v>385920.35328000004</v>
      </c>
      <c r="AD888" s="6">
        <f>$O$888*$X$888</f>
        <v>71992.512900000002</v>
      </c>
      <c r="AE888" s="6">
        <f>$K$888*$Y$888</f>
        <v>0</v>
      </c>
      <c r="AF888" s="6">
        <f ca="1">$M$888*$Z$888</f>
        <v>394221.73740376782</v>
      </c>
      <c r="AG888" s="6">
        <f>$O$888*$AA$888</f>
        <v>96587.687384939403</v>
      </c>
    </row>
    <row r="889" spans="1:33" ht="11.25" customHeight="1" x14ac:dyDescent="0.25">
      <c r="A889" s="4" t="s">
        <v>28</v>
      </c>
      <c r="B889" s="4" t="s">
        <v>41</v>
      </c>
      <c r="C889" s="4" t="s">
        <v>44</v>
      </c>
      <c r="D889" s="4" t="s">
        <v>48</v>
      </c>
      <c r="E889" s="4" t="s">
        <v>25</v>
      </c>
      <c r="F889" s="4" t="s">
        <v>25</v>
      </c>
      <c r="G889" s="4" t="s">
        <v>25</v>
      </c>
      <c r="H889" s="4" t="s">
        <v>36</v>
      </c>
      <c r="I889" s="5">
        <v>44835</v>
      </c>
      <c r="J889" s="6">
        <v>0</v>
      </c>
      <c r="K889" s="6">
        <v>0</v>
      </c>
      <c r="L889" s="6">
        <v>79.018000000000001</v>
      </c>
      <c r="M889" s="6">
        <v>79.018000000000001</v>
      </c>
      <c r="N889" s="6">
        <v>79.018000000000001</v>
      </c>
      <c r="O889" s="6">
        <v>79.018000000000001</v>
      </c>
      <c r="P889" s="6">
        <v>0</v>
      </c>
      <c r="Q889" s="4" t="s">
        <v>26</v>
      </c>
      <c r="R889" s="4">
        <v>0</v>
      </c>
      <c r="S889" s="6">
        <v>0</v>
      </c>
      <c r="T889" s="6">
        <v>28</v>
      </c>
      <c r="U889" s="6">
        <v>74</v>
      </c>
      <c r="V889" s="6">
        <f>IF(ISERROR(VLOOKUP($S$889,'TAR FIN'!$A$1:$O$115,15,0)),0,VLOOKUP($S$889,'TAR FIN'!$A$1:$O$115,15,0))</f>
        <v>0</v>
      </c>
      <c r="W889" s="6">
        <f>IF(ISERROR(VLOOKUP($T$889,'TAR FIN'!$A$1:$O$115,15,0)),0,VLOOKUP($T$889,'TAR FIN'!$A$1:$O$115,15,0))</f>
        <v>1448.96</v>
      </c>
      <c r="X889" s="6">
        <f>IF(ISERROR(VLOOKUP($U$889,'TAR FIN'!$A$1:$O$115,15,0)),0,VLOOKUP($U$889,'TAR FIN'!$A$1:$O$115,15,0))</f>
        <v>270.3</v>
      </c>
      <c r="Y889" s="6"/>
      <c r="Z889" s="6">
        <f ca="1">('TUSD BE'!$AM$28+'TUSD BF'!$AM$28+'TUSD CVA'!$AM$28)*1</f>
        <v>1480.1280206491922</v>
      </c>
      <c r="AA889" s="6">
        <f>('TE BE'!$AB$11+'TE BF'!$AB$11+'TE CVA'!$AB$11)*1</f>
        <v>362.64398683254075</v>
      </c>
      <c r="AB889" s="6">
        <f>$K$889*$V$889</f>
        <v>0</v>
      </c>
      <c r="AC889" s="6">
        <f>$M$889*$W$889</f>
        <v>114493.92128000001</v>
      </c>
      <c r="AD889" s="6">
        <f>$O$889*$X$889</f>
        <v>21358.565399999999</v>
      </c>
      <c r="AE889" s="6">
        <f>$K$889*$Y$889</f>
        <v>0</v>
      </c>
      <c r="AF889" s="6">
        <f ca="1">$M$889*$Z$889</f>
        <v>116956.75593565787</v>
      </c>
      <c r="AG889" s="6">
        <f>$O$889*$AA$889</f>
        <v>28655.402551533705</v>
      </c>
    </row>
    <row r="890" spans="1:33" ht="11.25" customHeight="1" x14ac:dyDescent="0.25">
      <c r="A890" s="4" t="s">
        <v>30</v>
      </c>
      <c r="B890" s="4" t="s">
        <v>41</v>
      </c>
      <c r="C890" s="4" t="s">
        <v>44</v>
      </c>
      <c r="D890" s="4" t="s">
        <v>48</v>
      </c>
      <c r="E890" s="4" t="s">
        <v>25</v>
      </c>
      <c r="F890" s="4" t="s">
        <v>25</v>
      </c>
      <c r="G890" s="4" t="s">
        <v>25</v>
      </c>
      <c r="H890" s="4" t="s">
        <v>36</v>
      </c>
      <c r="I890" s="5">
        <v>44835</v>
      </c>
      <c r="J890" s="6">
        <v>0</v>
      </c>
      <c r="K890" s="6">
        <v>0</v>
      </c>
      <c r="L890" s="6">
        <v>51.066000000000003</v>
      </c>
      <c r="M890" s="6">
        <v>51.066000000000003</v>
      </c>
      <c r="N890" s="6">
        <v>51.066000000000003</v>
      </c>
      <c r="O890" s="6">
        <v>51.066000000000003</v>
      </c>
      <c r="P890" s="6">
        <v>0</v>
      </c>
      <c r="Q890" s="4" t="s">
        <v>26</v>
      </c>
      <c r="R890" s="4">
        <v>0</v>
      </c>
      <c r="S890" s="6">
        <v>0</v>
      </c>
      <c r="T890" s="6">
        <v>28</v>
      </c>
      <c r="U890" s="6">
        <v>74</v>
      </c>
      <c r="V890" s="6">
        <f>IF(ISERROR(VLOOKUP($S$890,'TAR FIN'!$A$1:$O$115,15,0)),0,VLOOKUP($S$890,'TAR FIN'!$A$1:$O$115,15,0))</f>
        <v>0</v>
      </c>
      <c r="W890" s="6">
        <f>IF(ISERROR(VLOOKUP($T$890,'TAR FIN'!$A$1:$O$115,15,0)),0,VLOOKUP($T$890,'TAR FIN'!$A$1:$O$115,15,0))</f>
        <v>1448.96</v>
      </c>
      <c r="X890" s="6">
        <f>IF(ISERROR(VLOOKUP($U$890,'TAR FIN'!$A$1:$O$115,15,0)),0,VLOOKUP($U$890,'TAR FIN'!$A$1:$O$115,15,0))</f>
        <v>270.3</v>
      </c>
      <c r="Y890" s="6"/>
      <c r="Z890" s="6">
        <f ca="1">('TUSD BE'!$AM$28+'TUSD BF'!$AM$28+'TUSD CVA'!$AM$28)*1</f>
        <v>1480.1280206491922</v>
      </c>
      <c r="AA890" s="6">
        <f>('TE BE'!$AB$11+'TE BF'!$AB$11+'TE CVA'!$AB$11)*1</f>
        <v>362.64398683254075</v>
      </c>
      <c r="AB890" s="6">
        <f>$K$890*$V$890</f>
        <v>0</v>
      </c>
      <c r="AC890" s="6">
        <f>$M$890*$W$890</f>
        <v>73992.591360000006</v>
      </c>
      <c r="AD890" s="6">
        <f>$O$890*$X$890</f>
        <v>13803.139800000001</v>
      </c>
      <c r="AE890" s="6">
        <f>$K$890*$Y$890</f>
        <v>0</v>
      </c>
      <c r="AF890" s="6">
        <f ca="1">$M$890*$Z$890</f>
        <v>75584.217502471656</v>
      </c>
      <c r="AG890" s="6">
        <f>$O$890*$AA$890</f>
        <v>18518.777831590527</v>
      </c>
    </row>
    <row r="891" spans="1:33" ht="11.25" customHeight="1" x14ac:dyDescent="0.25">
      <c r="A891" s="4" t="s">
        <v>59</v>
      </c>
      <c r="B891" s="4" t="s">
        <v>41</v>
      </c>
      <c r="C891" s="4" t="s">
        <v>44</v>
      </c>
      <c r="D891" s="4" t="s">
        <v>48</v>
      </c>
      <c r="E891" s="4" t="s">
        <v>25</v>
      </c>
      <c r="F891" s="4" t="s">
        <v>25</v>
      </c>
      <c r="G891" s="4" t="s">
        <v>25</v>
      </c>
      <c r="H891" s="4" t="s">
        <v>36</v>
      </c>
      <c r="I891" s="5">
        <v>44866</v>
      </c>
      <c r="J891" s="6">
        <v>0</v>
      </c>
      <c r="K891" s="6">
        <v>0</v>
      </c>
      <c r="L891" s="6">
        <v>266.34300000000002</v>
      </c>
      <c r="M891" s="6">
        <v>266.34300000000002</v>
      </c>
      <c r="N891" s="6">
        <v>266.34300000000002</v>
      </c>
      <c r="O891" s="6">
        <v>266.34300000000002</v>
      </c>
      <c r="P891" s="6">
        <v>0</v>
      </c>
      <c r="Q891" s="4" t="s">
        <v>26</v>
      </c>
      <c r="R891" s="4">
        <v>0</v>
      </c>
      <c r="S891" s="6">
        <v>0</v>
      </c>
      <c r="T891" s="6">
        <v>28</v>
      </c>
      <c r="U891" s="6">
        <v>74</v>
      </c>
      <c r="V891" s="6">
        <f>IF(ISERROR(VLOOKUP($S$891,'TAR FIN'!$A$1:$O$115,15,0)),0,VLOOKUP($S$891,'TAR FIN'!$A$1:$O$115,15,0))</f>
        <v>0</v>
      </c>
      <c r="W891" s="6">
        <f>IF(ISERROR(VLOOKUP($T$891,'TAR FIN'!$A$1:$O$115,15,0)),0,VLOOKUP($T$891,'TAR FIN'!$A$1:$O$115,15,0))</f>
        <v>1448.96</v>
      </c>
      <c r="X891" s="6">
        <f>IF(ISERROR(VLOOKUP($U$891,'TAR FIN'!$A$1:$O$115,15,0)),0,VLOOKUP($U$891,'TAR FIN'!$A$1:$O$115,15,0))</f>
        <v>270.3</v>
      </c>
      <c r="Y891" s="6"/>
      <c r="Z891" s="6">
        <f ca="1">('TUSD BE'!$AM$28+'TUSD BF'!$AM$28+'TUSD CVA'!$AM$28)*1</f>
        <v>1480.1280206491922</v>
      </c>
      <c r="AA891" s="6">
        <f>('TE BE'!$AB$11+'TE BF'!$AB$11+'TE CVA'!$AB$11)*1</f>
        <v>362.64398683254075</v>
      </c>
      <c r="AB891" s="6">
        <f>$K$891*$V$891</f>
        <v>0</v>
      </c>
      <c r="AC891" s="6">
        <f>$M$891*$W$891</f>
        <v>385920.35328000004</v>
      </c>
      <c r="AD891" s="6">
        <f>$O$891*$X$891</f>
        <v>71992.512900000002</v>
      </c>
      <c r="AE891" s="6">
        <f>$K$891*$Y$891</f>
        <v>0</v>
      </c>
      <c r="AF891" s="6">
        <f ca="1">$M$891*$Z$891</f>
        <v>394221.73740376782</v>
      </c>
      <c r="AG891" s="6">
        <f>$O$891*$AA$891</f>
        <v>96587.687384939403</v>
      </c>
    </row>
    <row r="892" spans="1:33" ht="11.25" customHeight="1" x14ac:dyDescent="0.25">
      <c r="A892" s="4" t="s">
        <v>59</v>
      </c>
      <c r="B892" s="4" t="s">
        <v>41</v>
      </c>
      <c r="C892" s="4" t="s">
        <v>44</v>
      </c>
      <c r="D892" s="4" t="s">
        <v>48</v>
      </c>
      <c r="E892" s="4" t="s">
        <v>25</v>
      </c>
      <c r="F892" s="4" t="s">
        <v>25</v>
      </c>
      <c r="G892" s="4" t="s">
        <v>25</v>
      </c>
      <c r="H892" s="4" t="s">
        <v>36</v>
      </c>
      <c r="I892" s="5">
        <v>44866</v>
      </c>
      <c r="J892" s="6">
        <v>0</v>
      </c>
      <c r="K892" s="6">
        <v>0</v>
      </c>
      <c r="L892" s="6">
        <v>79.018000000000001</v>
      </c>
      <c r="M892" s="6">
        <v>79.018000000000001</v>
      </c>
      <c r="N892" s="6">
        <v>79.018000000000001</v>
      </c>
      <c r="O892" s="6">
        <v>79.018000000000001</v>
      </c>
      <c r="P892" s="6">
        <v>0</v>
      </c>
      <c r="Q892" s="4" t="s">
        <v>26</v>
      </c>
      <c r="R892" s="4">
        <v>0</v>
      </c>
      <c r="S892" s="6">
        <v>0</v>
      </c>
      <c r="T892" s="6">
        <v>28</v>
      </c>
      <c r="U892" s="6">
        <v>74</v>
      </c>
      <c r="V892" s="6">
        <f>IF(ISERROR(VLOOKUP($S$892,'TAR FIN'!$A$1:$O$115,15,0)),0,VLOOKUP($S$892,'TAR FIN'!$A$1:$O$115,15,0))</f>
        <v>0</v>
      </c>
      <c r="W892" s="6">
        <f>IF(ISERROR(VLOOKUP($T$892,'TAR FIN'!$A$1:$O$115,15,0)),0,VLOOKUP($T$892,'TAR FIN'!$A$1:$O$115,15,0))</f>
        <v>1448.96</v>
      </c>
      <c r="X892" s="6">
        <f>IF(ISERROR(VLOOKUP($U$892,'TAR FIN'!$A$1:$O$115,15,0)),0,VLOOKUP($U$892,'TAR FIN'!$A$1:$O$115,15,0))</f>
        <v>270.3</v>
      </c>
      <c r="Y892" s="6"/>
      <c r="Z892" s="6">
        <f ca="1">('TUSD BE'!$AM$28+'TUSD BF'!$AM$28+'TUSD CVA'!$AM$28)*1</f>
        <v>1480.1280206491922</v>
      </c>
      <c r="AA892" s="6">
        <f>('TE BE'!$AB$11+'TE BF'!$AB$11+'TE CVA'!$AB$11)*1</f>
        <v>362.64398683254075</v>
      </c>
      <c r="AB892" s="6">
        <f>$K$892*$V$892</f>
        <v>0</v>
      </c>
      <c r="AC892" s="6">
        <f>$M$892*$W$892</f>
        <v>114493.92128000001</v>
      </c>
      <c r="AD892" s="6">
        <f>$O$892*$X$892</f>
        <v>21358.565399999999</v>
      </c>
      <c r="AE892" s="6">
        <f>$K$892*$Y$892</f>
        <v>0</v>
      </c>
      <c r="AF892" s="6">
        <f ca="1">$M$892*$Z$892</f>
        <v>116956.75593565787</v>
      </c>
      <c r="AG892" s="6">
        <f>$O$892*$AA$892</f>
        <v>28655.402551533705</v>
      </c>
    </row>
    <row r="893" spans="1:33" ht="11.25" customHeight="1" x14ac:dyDescent="0.25">
      <c r="A893" s="4" t="s">
        <v>59</v>
      </c>
      <c r="B893" s="4" t="s">
        <v>41</v>
      </c>
      <c r="C893" s="4" t="s">
        <v>44</v>
      </c>
      <c r="D893" s="4" t="s">
        <v>48</v>
      </c>
      <c r="E893" s="4" t="s">
        <v>25</v>
      </c>
      <c r="F893" s="4" t="s">
        <v>25</v>
      </c>
      <c r="G893" s="4" t="s">
        <v>25</v>
      </c>
      <c r="H893" s="4" t="s">
        <v>36</v>
      </c>
      <c r="I893" s="5">
        <v>44866</v>
      </c>
      <c r="J893" s="6">
        <v>0</v>
      </c>
      <c r="K893" s="6">
        <v>0</v>
      </c>
      <c r="L893" s="6">
        <v>51.066000000000003</v>
      </c>
      <c r="M893" s="6">
        <v>51.066000000000003</v>
      </c>
      <c r="N893" s="6">
        <v>51.066000000000003</v>
      </c>
      <c r="O893" s="6">
        <v>51.066000000000003</v>
      </c>
      <c r="P893" s="6">
        <v>0</v>
      </c>
      <c r="Q893" s="4" t="s">
        <v>26</v>
      </c>
      <c r="R893" s="4">
        <v>0</v>
      </c>
      <c r="S893" s="6">
        <v>0</v>
      </c>
      <c r="T893" s="6">
        <v>28</v>
      </c>
      <c r="U893" s="6">
        <v>74</v>
      </c>
      <c r="V893" s="6">
        <f>IF(ISERROR(VLOOKUP($S$893,'TAR FIN'!$A$1:$O$115,15,0)),0,VLOOKUP($S$893,'TAR FIN'!$A$1:$O$115,15,0))</f>
        <v>0</v>
      </c>
      <c r="W893" s="6">
        <f>IF(ISERROR(VLOOKUP($T$893,'TAR FIN'!$A$1:$O$115,15,0)),0,VLOOKUP($T$893,'TAR FIN'!$A$1:$O$115,15,0))</f>
        <v>1448.96</v>
      </c>
      <c r="X893" s="6">
        <f>IF(ISERROR(VLOOKUP($U$893,'TAR FIN'!$A$1:$O$115,15,0)),0,VLOOKUP($U$893,'TAR FIN'!$A$1:$O$115,15,0))</f>
        <v>270.3</v>
      </c>
      <c r="Y893" s="6"/>
      <c r="Z893" s="6">
        <f ca="1">('TUSD BE'!$AM$28+'TUSD BF'!$AM$28+'TUSD CVA'!$AM$28)*1</f>
        <v>1480.1280206491922</v>
      </c>
      <c r="AA893" s="6">
        <f>('TE BE'!$AB$11+'TE BF'!$AB$11+'TE CVA'!$AB$11)*1</f>
        <v>362.64398683254075</v>
      </c>
      <c r="AB893" s="6">
        <f>$K$893*$V$893</f>
        <v>0</v>
      </c>
      <c r="AC893" s="6">
        <f>$M$893*$W$893</f>
        <v>73992.591360000006</v>
      </c>
      <c r="AD893" s="6">
        <f>$O$893*$X$893</f>
        <v>13803.139800000001</v>
      </c>
      <c r="AE893" s="6">
        <f>$K$893*$Y$893</f>
        <v>0</v>
      </c>
      <c r="AF893" s="6">
        <f ca="1">$M$893*$Z$893</f>
        <v>75584.217502471656</v>
      </c>
      <c r="AG893" s="6">
        <f>$O$893*$AA$893</f>
        <v>18518.777831590527</v>
      </c>
    </row>
    <row r="894" spans="1:33" ht="11.25" customHeight="1" x14ac:dyDescent="0.25">
      <c r="A894" s="4" t="s">
        <v>21</v>
      </c>
      <c r="B894" s="4" t="s">
        <v>41</v>
      </c>
      <c r="C894" s="4" t="s">
        <v>44</v>
      </c>
      <c r="D894" s="4" t="s">
        <v>47</v>
      </c>
      <c r="E894" s="4" t="s">
        <v>25</v>
      </c>
      <c r="F894" s="4" t="s">
        <v>25</v>
      </c>
      <c r="G894" s="4" t="s">
        <v>25</v>
      </c>
      <c r="H894" s="4" t="s">
        <v>37</v>
      </c>
      <c r="I894" s="5">
        <v>44743</v>
      </c>
      <c r="J894" s="6">
        <v>0</v>
      </c>
      <c r="K894" s="42">
        <v>0</v>
      </c>
      <c r="L894" s="6">
        <v>2.1999999999999999E-2</v>
      </c>
      <c r="M894" s="42">
        <v>2.1999999999999999E-2</v>
      </c>
      <c r="N894" s="6">
        <v>2.1999999999999999E-2</v>
      </c>
      <c r="O894" s="42">
        <v>2.1999999999999999E-2</v>
      </c>
      <c r="P894" s="6">
        <v>0</v>
      </c>
      <c r="Q894" s="4" t="s">
        <v>26</v>
      </c>
      <c r="R894" s="4">
        <v>0</v>
      </c>
      <c r="S894" s="6">
        <v>0</v>
      </c>
      <c r="T894" s="6">
        <v>29</v>
      </c>
      <c r="U894" s="6">
        <v>75</v>
      </c>
      <c r="V894" s="42">
        <f>IF(ISERROR(VLOOKUP($S$894,'TAR FIN'!$A$1:$O$115,15,0)),0,VLOOKUP($S$894,'TAR FIN'!$A$1:$O$115,15,0))</f>
        <v>0</v>
      </c>
      <c r="W894" s="42">
        <f>IF(ISERROR(VLOOKUP($T$894,'TAR FIN'!$A$1:$O$115,15,0)),0,VLOOKUP($T$894,'TAR FIN'!$A$1:$O$115,15,0))*(1-0.04)</f>
        <v>80.937600000000003</v>
      </c>
      <c r="X894" s="42">
        <f>IF(ISERROR(VLOOKUP($U$894,'TAR FIN'!$A$1:$O$115,15,0)),0,VLOOKUP($U$894,'TAR FIN'!$A$1:$O$115,15,0))*(1-0.04)</f>
        <v>161.33760000000001</v>
      </c>
      <c r="Y894" s="42"/>
      <c r="Z894" s="42">
        <f ca="1">('TUSD BE'!$AM$29+'TUSD BF'!$AM$29+'TUSD CVA'!$AM$29)*1*(1-0.02)</f>
        <v>111.16258866775823</v>
      </c>
      <c r="AA894" s="42">
        <f>('TE BE'!$AB$12+'TE BF'!$AB$12+'TE CVA'!$AB$12)*1*(1-0.02)</f>
        <v>214.31171930230647</v>
      </c>
      <c r="AB894" s="6">
        <f>$K$894*$V$894</f>
        <v>0</v>
      </c>
      <c r="AC894" s="6">
        <f>$M$894*$W$894</f>
        <v>1.7806272000000001</v>
      </c>
      <c r="AD894" s="6">
        <f>$O$894*$X$894</f>
        <v>3.5494271999999998</v>
      </c>
      <c r="AE894" s="6">
        <f>$K$894*$Y$894</f>
        <v>0</v>
      </c>
      <c r="AF894" s="6">
        <f ca="1">$M$894*$Z$894</f>
        <v>2.4455769506906808</v>
      </c>
      <c r="AG894" s="6">
        <f>$O$894*$AA$894</f>
        <v>4.7148578246507418</v>
      </c>
    </row>
    <row r="895" spans="1:33" ht="11.25" customHeight="1" x14ac:dyDescent="0.25">
      <c r="A895" s="4" t="s">
        <v>21</v>
      </c>
      <c r="B895" s="4" t="s">
        <v>41</v>
      </c>
      <c r="C895" s="4" t="s">
        <v>44</v>
      </c>
      <c r="D895" s="4" t="s">
        <v>47</v>
      </c>
      <c r="E895" s="4" t="s">
        <v>25</v>
      </c>
      <c r="F895" s="4" t="s">
        <v>25</v>
      </c>
      <c r="G895" s="4" t="s">
        <v>25</v>
      </c>
      <c r="H895" s="4" t="s">
        <v>37</v>
      </c>
      <c r="I895" s="5">
        <v>44774</v>
      </c>
      <c r="J895" s="6">
        <v>0</v>
      </c>
      <c r="K895" s="42">
        <v>0</v>
      </c>
      <c r="L895" s="6">
        <v>8.2000000000000003E-2</v>
      </c>
      <c r="M895" s="42">
        <v>8.2000000000000003E-2</v>
      </c>
      <c r="N895" s="6">
        <v>8.2000000000000003E-2</v>
      </c>
      <c r="O895" s="42">
        <v>8.2000000000000003E-2</v>
      </c>
      <c r="P895" s="6">
        <v>0</v>
      </c>
      <c r="Q895" s="4" t="s">
        <v>26</v>
      </c>
      <c r="R895" s="4">
        <v>0</v>
      </c>
      <c r="S895" s="6">
        <v>0</v>
      </c>
      <c r="T895" s="6">
        <v>29</v>
      </c>
      <c r="U895" s="6">
        <v>75</v>
      </c>
      <c r="V895" s="42">
        <f>IF(ISERROR(VLOOKUP($S$895,'TAR FIN'!$A$1:$O$115,15,0)),0,VLOOKUP($S$895,'TAR FIN'!$A$1:$O$115,15,0))</f>
        <v>0</v>
      </c>
      <c r="W895" s="42">
        <f>IF(ISERROR(VLOOKUP($T$895,'TAR FIN'!$A$1:$O$115,15,0)),0,VLOOKUP($T$895,'TAR FIN'!$A$1:$O$115,15,0))*(1-0.04)</f>
        <v>80.937600000000003</v>
      </c>
      <c r="X895" s="42">
        <f>IF(ISERROR(VLOOKUP($U$895,'TAR FIN'!$A$1:$O$115,15,0)),0,VLOOKUP($U$895,'TAR FIN'!$A$1:$O$115,15,0))*(1-0.04)</f>
        <v>161.33760000000001</v>
      </c>
      <c r="Y895" s="42"/>
      <c r="Z895" s="42">
        <f ca="1">('TUSD BE'!$AM$29+'TUSD BF'!$AM$29+'TUSD CVA'!$AM$29)*1*(1-0.02)</f>
        <v>111.16258866775823</v>
      </c>
      <c r="AA895" s="42">
        <f>('TE BE'!$AB$12+'TE BF'!$AB$12+'TE CVA'!$AB$12)*1*(1-0.02)</f>
        <v>214.31171930230647</v>
      </c>
      <c r="AB895" s="6">
        <f>$K$895*$V$895</f>
        <v>0</v>
      </c>
      <c r="AC895" s="6">
        <f>$M$895*$W$895</f>
        <v>6.6368832000000006</v>
      </c>
      <c r="AD895" s="6">
        <f>$O$895*$X$895</f>
        <v>13.229683200000002</v>
      </c>
      <c r="AE895" s="6">
        <f>$K$895*$Y$895</f>
        <v>0</v>
      </c>
      <c r="AF895" s="6">
        <f ca="1">$M$895*$Z$895</f>
        <v>9.1153322707561752</v>
      </c>
      <c r="AG895" s="6">
        <f>$O$895*$AA$895</f>
        <v>17.573560982789132</v>
      </c>
    </row>
    <row r="896" spans="1:33" ht="11.25" customHeight="1" x14ac:dyDescent="0.25">
      <c r="A896" s="4" t="s">
        <v>21</v>
      </c>
      <c r="B896" s="4" t="s">
        <v>41</v>
      </c>
      <c r="C896" s="4" t="s">
        <v>44</v>
      </c>
      <c r="D896" s="4" t="s">
        <v>47</v>
      </c>
      <c r="E896" s="4" t="s">
        <v>25</v>
      </c>
      <c r="F896" s="4" t="s">
        <v>25</v>
      </c>
      <c r="G896" s="4" t="s">
        <v>25</v>
      </c>
      <c r="H896" s="4" t="s">
        <v>37</v>
      </c>
      <c r="I896" s="5">
        <v>44805</v>
      </c>
      <c r="J896" s="6">
        <v>0</v>
      </c>
      <c r="K896" s="42">
        <v>0</v>
      </c>
      <c r="L896" s="6">
        <v>2E-3</v>
      </c>
      <c r="M896" s="42">
        <v>2E-3</v>
      </c>
      <c r="N896" s="6">
        <v>2E-3</v>
      </c>
      <c r="O896" s="42">
        <v>2E-3</v>
      </c>
      <c r="P896" s="6">
        <v>0</v>
      </c>
      <c r="Q896" s="4" t="s">
        <v>26</v>
      </c>
      <c r="R896" s="4">
        <v>0</v>
      </c>
      <c r="S896" s="6">
        <v>0</v>
      </c>
      <c r="T896" s="6">
        <v>29</v>
      </c>
      <c r="U896" s="6">
        <v>75</v>
      </c>
      <c r="V896" s="42">
        <f>IF(ISERROR(VLOOKUP($S$896,'TAR FIN'!$A$1:$O$115,15,0)),0,VLOOKUP($S$896,'TAR FIN'!$A$1:$O$115,15,0))</f>
        <v>0</v>
      </c>
      <c r="W896" s="42">
        <f>IF(ISERROR(VLOOKUP($T$896,'TAR FIN'!$A$1:$O$115,15,0)),0,VLOOKUP($T$896,'TAR FIN'!$A$1:$O$115,15,0))*(1-0.04)</f>
        <v>80.937600000000003</v>
      </c>
      <c r="X896" s="42">
        <f>IF(ISERROR(VLOOKUP($U$896,'TAR FIN'!$A$1:$O$115,15,0)),0,VLOOKUP($U$896,'TAR FIN'!$A$1:$O$115,15,0))*(1-0.04)</f>
        <v>161.33760000000001</v>
      </c>
      <c r="Y896" s="42"/>
      <c r="Z896" s="42">
        <f ca="1">('TUSD BE'!$AM$29+'TUSD BF'!$AM$29+'TUSD CVA'!$AM$29)*1*(1-0.02)</f>
        <v>111.16258866775823</v>
      </c>
      <c r="AA896" s="42">
        <f>('TE BE'!$AB$12+'TE BF'!$AB$12+'TE CVA'!$AB$12)*1*(1-0.02)</f>
        <v>214.31171930230647</v>
      </c>
      <c r="AB896" s="6">
        <f>$K$896*$V$896</f>
        <v>0</v>
      </c>
      <c r="AC896" s="6">
        <f>$M$896*$W$896</f>
        <v>0.1618752</v>
      </c>
      <c r="AD896" s="6">
        <f>$O$896*$X$896</f>
        <v>0.32267520000000005</v>
      </c>
      <c r="AE896" s="6">
        <f>$K$896*$Y$896</f>
        <v>0</v>
      </c>
      <c r="AF896" s="6">
        <f ca="1">$M$896*$Z$896</f>
        <v>0.22232517733551646</v>
      </c>
      <c r="AG896" s="6">
        <f>$O$896*$AA$896</f>
        <v>0.42862343860461294</v>
      </c>
    </row>
    <row r="897" spans="1:33" ht="11.25" customHeight="1" x14ac:dyDescent="0.25">
      <c r="A897" s="4" t="s">
        <v>21</v>
      </c>
      <c r="B897" s="4" t="s">
        <v>41</v>
      </c>
      <c r="C897" s="4" t="s">
        <v>44</v>
      </c>
      <c r="D897" s="4" t="s">
        <v>47</v>
      </c>
      <c r="E897" s="4" t="s">
        <v>25</v>
      </c>
      <c r="F897" s="4" t="s">
        <v>25</v>
      </c>
      <c r="G897" s="4" t="s">
        <v>25</v>
      </c>
      <c r="H897" s="4" t="s">
        <v>37</v>
      </c>
      <c r="I897" s="5">
        <v>44835</v>
      </c>
      <c r="J897" s="6">
        <v>0</v>
      </c>
      <c r="K897" s="42">
        <v>0</v>
      </c>
      <c r="L897" s="6">
        <v>1E-3</v>
      </c>
      <c r="M897" s="42">
        <v>1E-3</v>
      </c>
      <c r="N897" s="6">
        <v>1E-3</v>
      </c>
      <c r="O897" s="42">
        <v>1E-3</v>
      </c>
      <c r="P897" s="6">
        <v>0</v>
      </c>
      <c r="Q897" s="4" t="s">
        <v>26</v>
      </c>
      <c r="R897" s="4">
        <v>0</v>
      </c>
      <c r="S897" s="6">
        <v>0</v>
      </c>
      <c r="T897" s="6">
        <v>29</v>
      </c>
      <c r="U897" s="6">
        <v>75</v>
      </c>
      <c r="V897" s="42">
        <f>IF(ISERROR(VLOOKUP($S$897,'TAR FIN'!$A$1:$O$115,15,0)),0,VLOOKUP($S$897,'TAR FIN'!$A$1:$O$115,15,0))</f>
        <v>0</v>
      </c>
      <c r="W897" s="42">
        <f>IF(ISERROR(VLOOKUP($T$897,'TAR FIN'!$A$1:$O$115,15,0)),0,VLOOKUP($T$897,'TAR FIN'!$A$1:$O$115,15,0))*(1-0.04)</f>
        <v>80.937600000000003</v>
      </c>
      <c r="X897" s="42">
        <f>IF(ISERROR(VLOOKUP($U$897,'TAR FIN'!$A$1:$O$115,15,0)),0,VLOOKUP($U$897,'TAR FIN'!$A$1:$O$115,15,0))*(1-0.04)</f>
        <v>161.33760000000001</v>
      </c>
      <c r="Y897" s="42"/>
      <c r="Z897" s="42">
        <f ca="1">('TUSD BE'!$AM$29+'TUSD BF'!$AM$29+'TUSD CVA'!$AM$29)*1*(1-0.02)</f>
        <v>111.16258866775823</v>
      </c>
      <c r="AA897" s="42">
        <f>('TE BE'!$AB$12+'TE BF'!$AB$12+'TE CVA'!$AB$12)*1*(1-0.02)</f>
        <v>214.31171930230647</v>
      </c>
      <c r="AB897" s="6">
        <f>$K$897*$V$897</f>
        <v>0</v>
      </c>
      <c r="AC897" s="6">
        <f>$M$897*$W$897</f>
        <v>8.0937599999999998E-2</v>
      </c>
      <c r="AD897" s="6">
        <f>$O$897*$X$897</f>
        <v>0.16133760000000003</v>
      </c>
      <c r="AE897" s="6">
        <f>$K$897*$Y$897</f>
        <v>0</v>
      </c>
      <c r="AF897" s="6">
        <f ca="1">$M$897*$Z$897</f>
        <v>0.11116258866775823</v>
      </c>
      <c r="AG897" s="6">
        <f>$O$897*$AA$897</f>
        <v>0.21431171930230647</v>
      </c>
    </row>
    <row r="898" spans="1:33" ht="11.25" customHeight="1" x14ac:dyDescent="0.25">
      <c r="A898" s="4" t="s">
        <v>59</v>
      </c>
      <c r="B898" s="4" t="s">
        <v>41</v>
      </c>
      <c r="C898" s="4" t="s">
        <v>44</v>
      </c>
      <c r="D898" s="4" t="s">
        <v>47</v>
      </c>
      <c r="E898" s="4" t="s">
        <v>25</v>
      </c>
      <c r="F898" s="4" t="s">
        <v>25</v>
      </c>
      <c r="G898" s="4" t="s">
        <v>25</v>
      </c>
      <c r="H898" s="4" t="s">
        <v>37</v>
      </c>
      <c r="I898" s="5">
        <v>44866</v>
      </c>
      <c r="J898" s="6">
        <v>0</v>
      </c>
      <c r="K898" s="42">
        <v>0</v>
      </c>
      <c r="L898" s="6">
        <v>1E-3</v>
      </c>
      <c r="M898" s="42">
        <v>1E-3</v>
      </c>
      <c r="N898" s="6">
        <v>1E-3</v>
      </c>
      <c r="O898" s="42">
        <v>1E-3</v>
      </c>
      <c r="P898" s="6">
        <v>0</v>
      </c>
      <c r="Q898" s="4" t="s">
        <v>26</v>
      </c>
      <c r="R898" s="4">
        <v>0</v>
      </c>
      <c r="S898" s="6">
        <v>0</v>
      </c>
      <c r="T898" s="6">
        <v>29</v>
      </c>
      <c r="U898" s="6">
        <v>75</v>
      </c>
      <c r="V898" s="42">
        <f>IF(ISERROR(VLOOKUP($S$898,'TAR FIN'!$A$1:$O$115,15,0)),0,VLOOKUP($S$898,'TAR FIN'!$A$1:$O$115,15,0))</f>
        <v>0</v>
      </c>
      <c r="W898" s="42">
        <f>IF(ISERROR(VLOOKUP($T$898,'TAR FIN'!$A$1:$O$115,15,0)),0,VLOOKUP($T$898,'TAR FIN'!$A$1:$O$115,15,0))*(1-0.04)</f>
        <v>80.937600000000003</v>
      </c>
      <c r="X898" s="42">
        <f>IF(ISERROR(VLOOKUP($U$898,'TAR FIN'!$A$1:$O$115,15,0)),0,VLOOKUP($U$898,'TAR FIN'!$A$1:$O$115,15,0))*(1-0.04)</f>
        <v>161.33760000000001</v>
      </c>
      <c r="Y898" s="42"/>
      <c r="Z898" s="42">
        <f ca="1">('TUSD BE'!$AM$29+'TUSD BF'!$AM$29+'TUSD CVA'!$AM$29)*1*(1-0.02)</f>
        <v>111.16258866775823</v>
      </c>
      <c r="AA898" s="42">
        <f>('TE BE'!$AB$12+'TE BF'!$AB$12+'TE CVA'!$AB$12)*1*(1-0.02)</f>
        <v>214.31171930230647</v>
      </c>
      <c r="AB898" s="6">
        <f>$K$898*$V$898</f>
        <v>0</v>
      </c>
      <c r="AC898" s="6">
        <f>$M$898*$W$898</f>
        <v>8.0937599999999998E-2</v>
      </c>
      <c r="AD898" s="6">
        <f>$O$898*$X$898</f>
        <v>0.16133760000000003</v>
      </c>
      <c r="AE898" s="6">
        <f>$K$898*$Y$898</f>
        <v>0</v>
      </c>
      <c r="AF898" s="6">
        <f ca="1">$M$898*$Z$898</f>
        <v>0.11116258866775823</v>
      </c>
      <c r="AG898" s="6">
        <f>$O$898*$AA$898</f>
        <v>0.21431171930230647</v>
      </c>
    </row>
    <row r="899" spans="1:33" ht="11.25" customHeight="1" x14ac:dyDescent="0.25">
      <c r="A899" s="4" t="s">
        <v>21</v>
      </c>
      <c r="B899" s="4" t="s">
        <v>41</v>
      </c>
      <c r="C899" s="4" t="s">
        <v>44</v>
      </c>
      <c r="D899" s="4" t="s">
        <v>47</v>
      </c>
      <c r="E899" s="4" t="s">
        <v>25</v>
      </c>
      <c r="F899" s="4" t="s">
        <v>25</v>
      </c>
      <c r="G899" s="4" t="s">
        <v>25</v>
      </c>
      <c r="H899" s="4" t="s">
        <v>25</v>
      </c>
      <c r="I899" s="5">
        <v>44774</v>
      </c>
      <c r="J899" s="6">
        <v>15</v>
      </c>
      <c r="K899" s="42">
        <v>15</v>
      </c>
      <c r="L899" s="6">
        <v>0</v>
      </c>
      <c r="M899" s="42">
        <v>0</v>
      </c>
      <c r="N899" s="6">
        <v>0</v>
      </c>
      <c r="O899" s="42">
        <v>0</v>
      </c>
      <c r="P899" s="6">
        <v>1</v>
      </c>
      <c r="Q899" s="4" t="s">
        <v>26</v>
      </c>
      <c r="R899" s="4">
        <v>0</v>
      </c>
      <c r="S899" s="6">
        <v>27</v>
      </c>
      <c r="T899" s="6">
        <v>0</v>
      </c>
      <c r="U899" s="6">
        <v>0</v>
      </c>
      <c r="V899" s="42">
        <f>IF(ISERROR(VLOOKUP($S$899,'TAR FIN'!$A$1:$O$115,15,0)),0,VLOOKUP($S$899,'TAR FIN'!$A$1:$O$115,15,0))*(1-0.04)</f>
        <v>19.007999999999999</v>
      </c>
      <c r="W899" s="42">
        <f>IF(ISERROR(VLOOKUP($T$899,'TAR FIN'!$A$1:$O$115,15,0)),0,VLOOKUP($T$899,'TAR FIN'!$A$1:$O$115,15,0))</f>
        <v>0</v>
      </c>
      <c r="X899" s="42">
        <f>IF(ISERROR(VLOOKUP($U$899,'TAR FIN'!$A$1:$O$115,15,0)),0,VLOOKUP($U$899,'TAR FIN'!$A$1:$O$115,15,0))</f>
        <v>0</v>
      </c>
      <c r="Y899" s="42">
        <f ca="1">('TUSD BE'!$AM$27+'TUSD BF'!$AM$27+'TUSD CVA'!$AM$27)*1*(1-0.02)</f>
        <v>20.202910043621255</v>
      </c>
      <c r="Z899" s="42"/>
      <c r="AA899" s="42"/>
      <c r="AB899" s="6">
        <f>$K$899*$V$899</f>
        <v>285.12</v>
      </c>
      <c r="AC899" s="6">
        <f>$M$899*$W$899</f>
        <v>0</v>
      </c>
      <c r="AD899" s="6">
        <f>$O$899*$X$899</f>
        <v>0</v>
      </c>
      <c r="AE899" s="6">
        <f ca="1">$K$899*$Y$899</f>
        <v>303.04365065431881</v>
      </c>
      <c r="AF899" s="6">
        <f>$M$899*$Z$899</f>
        <v>0</v>
      </c>
      <c r="AG899" s="6">
        <f>$O$899*$AA$899</f>
        <v>0</v>
      </c>
    </row>
    <row r="900" spans="1:33" ht="11.25" customHeight="1" x14ac:dyDescent="0.25">
      <c r="A900" s="4" t="s">
        <v>21</v>
      </c>
      <c r="B900" s="4" t="s">
        <v>41</v>
      </c>
      <c r="C900" s="4" t="s">
        <v>44</v>
      </c>
      <c r="D900" s="4" t="s">
        <v>47</v>
      </c>
      <c r="E900" s="4" t="s">
        <v>25</v>
      </c>
      <c r="F900" s="4" t="s">
        <v>25</v>
      </c>
      <c r="G900" s="4" t="s">
        <v>25</v>
      </c>
      <c r="H900" s="4" t="s">
        <v>25</v>
      </c>
      <c r="I900" s="5">
        <v>44805</v>
      </c>
      <c r="J900" s="6">
        <v>1</v>
      </c>
      <c r="K900" s="42">
        <v>1</v>
      </c>
      <c r="L900" s="6">
        <v>0</v>
      </c>
      <c r="M900" s="42">
        <v>0</v>
      </c>
      <c r="N900" s="6">
        <v>0</v>
      </c>
      <c r="O900" s="42">
        <v>0</v>
      </c>
      <c r="P900" s="6">
        <v>1</v>
      </c>
      <c r="Q900" s="4" t="s">
        <v>26</v>
      </c>
      <c r="R900" s="4">
        <v>0</v>
      </c>
      <c r="S900" s="6">
        <v>27</v>
      </c>
      <c r="T900" s="6">
        <v>0</v>
      </c>
      <c r="U900" s="6">
        <v>0</v>
      </c>
      <c r="V900" s="42">
        <f>IF(ISERROR(VLOOKUP($S$900,'TAR FIN'!$A$1:$O$115,15,0)),0,VLOOKUP($S$900,'TAR FIN'!$A$1:$O$115,15,0))*(1-0.04)</f>
        <v>19.007999999999999</v>
      </c>
      <c r="W900" s="42">
        <f>IF(ISERROR(VLOOKUP($T$900,'TAR FIN'!$A$1:$O$115,15,0)),0,VLOOKUP($T$900,'TAR FIN'!$A$1:$O$115,15,0))</f>
        <v>0</v>
      </c>
      <c r="X900" s="42">
        <f>IF(ISERROR(VLOOKUP($U$900,'TAR FIN'!$A$1:$O$115,15,0)),0,VLOOKUP($U$900,'TAR FIN'!$A$1:$O$115,15,0))</f>
        <v>0</v>
      </c>
      <c r="Y900" s="42">
        <f ca="1">('TUSD BE'!$AM$27+'TUSD BF'!$AM$27+'TUSD CVA'!$AM$27)*1*(1-0.02)</f>
        <v>20.202910043621255</v>
      </c>
      <c r="Z900" s="42"/>
      <c r="AA900" s="42"/>
      <c r="AB900" s="6">
        <f>$K$900*$V$900</f>
        <v>19.007999999999999</v>
      </c>
      <c r="AC900" s="6">
        <f>$M$900*$W$900</f>
        <v>0</v>
      </c>
      <c r="AD900" s="6">
        <f>$O$900*$X$900</f>
        <v>0</v>
      </c>
      <c r="AE900" s="6">
        <f ca="1">$K$900*$Y$900</f>
        <v>20.202910043621255</v>
      </c>
      <c r="AF900" s="6">
        <f>$M$900*$Z$900</f>
        <v>0</v>
      </c>
      <c r="AG900" s="6">
        <f>$O$900*$AA$900</f>
        <v>0</v>
      </c>
    </row>
    <row r="901" spans="1:33" ht="11.25" customHeight="1" x14ac:dyDescent="0.25">
      <c r="A901" s="4" t="s">
        <v>21</v>
      </c>
      <c r="B901" s="4" t="s">
        <v>41</v>
      </c>
      <c r="C901" s="4" t="s">
        <v>44</v>
      </c>
      <c r="D901" s="4" t="s">
        <v>47</v>
      </c>
      <c r="E901" s="4" t="s">
        <v>25</v>
      </c>
      <c r="F901" s="4" t="s">
        <v>25</v>
      </c>
      <c r="G901" s="4" t="s">
        <v>25</v>
      </c>
      <c r="H901" s="4" t="s">
        <v>25</v>
      </c>
      <c r="I901" s="5">
        <v>44835</v>
      </c>
      <c r="J901" s="6">
        <v>1</v>
      </c>
      <c r="K901" s="42">
        <v>1</v>
      </c>
      <c r="L901" s="6">
        <v>0</v>
      </c>
      <c r="M901" s="42">
        <v>0</v>
      </c>
      <c r="N901" s="6">
        <v>0</v>
      </c>
      <c r="O901" s="42">
        <v>0</v>
      </c>
      <c r="P901" s="6">
        <v>1</v>
      </c>
      <c r="Q901" s="4" t="s">
        <v>26</v>
      </c>
      <c r="R901" s="4">
        <v>0</v>
      </c>
      <c r="S901" s="6">
        <v>27</v>
      </c>
      <c r="T901" s="6">
        <v>0</v>
      </c>
      <c r="U901" s="6">
        <v>0</v>
      </c>
      <c r="V901" s="42">
        <f>IF(ISERROR(VLOOKUP($S$901,'TAR FIN'!$A$1:$O$115,15,0)),0,VLOOKUP($S$901,'TAR FIN'!$A$1:$O$115,15,0))*(1-0.04)</f>
        <v>19.007999999999999</v>
      </c>
      <c r="W901" s="42">
        <f>IF(ISERROR(VLOOKUP($T$901,'TAR FIN'!$A$1:$O$115,15,0)),0,VLOOKUP($T$901,'TAR FIN'!$A$1:$O$115,15,0))</f>
        <v>0</v>
      </c>
      <c r="X901" s="42">
        <f>IF(ISERROR(VLOOKUP($U$901,'TAR FIN'!$A$1:$O$115,15,0)),0,VLOOKUP($U$901,'TAR FIN'!$A$1:$O$115,15,0))</f>
        <v>0</v>
      </c>
      <c r="Y901" s="42">
        <f ca="1">('TUSD BE'!$AM$27+'TUSD BF'!$AM$27+'TUSD CVA'!$AM$27)*1*(1-0.02)</f>
        <v>20.202910043621255</v>
      </c>
      <c r="Z901" s="42"/>
      <c r="AA901" s="42"/>
      <c r="AB901" s="6">
        <f>$K$901*$V$901</f>
        <v>19.007999999999999</v>
      </c>
      <c r="AC901" s="6">
        <f>$M$901*$W$901</f>
        <v>0</v>
      </c>
      <c r="AD901" s="6">
        <f>$O$901*$X$901</f>
        <v>0</v>
      </c>
      <c r="AE901" s="6">
        <f ca="1">$K$901*$Y$901</f>
        <v>20.202910043621255</v>
      </c>
      <c r="AF901" s="6">
        <f>$M$901*$Z$901</f>
        <v>0</v>
      </c>
      <c r="AG901" s="6">
        <f>$O$901*$AA$901</f>
        <v>0</v>
      </c>
    </row>
    <row r="902" spans="1:33" ht="11.25" customHeight="1" x14ac:dyDescent="0.25">
      <c r="A902" s="4" t="s">
        <v>59</v>
      </c>
      <c r="B902" s="4" t="s">
        <v>41</v>
      </c>
      <c r="C902" s="4" t="s">
        <v>44</v>
      </c>
      <c r="D902" s="4" t="s">
        <v>47</v>
      </c>
      <c r="E902" s="4" t="s">
        <v>25</v>
      </c>
      <c r="F902" s="4" t="s">
        <v>25</v>
      </c>
      <c r="G902" s="4" t="s">
        <v>25</v>
      </c>
      <c r="H902" s="4" t="s">
        <v>25</v>
      </c>
      <c r="I902" s="5">
        <v>44866</v>
      </c>
      <c r="J902" s="6">
        <v>1</v>
      </c>
      <c r="K902" s="42">
        <v>1</v>
      </c>
      <c r="L902" s="6">
        <v>0</v>
      </c>
      <c r="M902" s="42">
        <v>0</v>
      </c>
      <c r="N902" s="6">
        <v>0</v>
      </c>
      <c r="O902" s="42">
        <v>0</v>
      </c>
      <c r="P902" s="6">
        <v>1</v>
      </c>
      <c r="Q902" s="4" t="s">
        <v>26</v>
      </c>
      <c r="R902" s="4">
        <v>0</v>
      </c>
      <c r="S902" s="6">
        <v>27</v>
      </c>
      <c r="T902" s="6">
        <v>0</v>
      </c>
      <c r="U902" s="6">
        <v>0</v>
      </c>
      <c r="V902" s="42">
        <f>IF(ISERROR(VLOOKUP($S$902,'TAR FIN'!$A$1:$O$115,15,0)),0,VLOOKUP($S$902,'TAR FIN'!$A$1:$O$115,15,0))*(1-0.04)</f>
        <v>19.007999999999999</v>
      </c>
      <c r="W902" s="42">
        <f>IF(ISERROR(VLOOKUP($T$902,'TAR FIN'!$A$1:$O$115,15,0)),0,VLOOKUP($T$902,'TAR FIN'!$A$1:$O$115,15,0))</f>
        <v>0</v>
      </c>
      <c r="X902" s="42">
        <f>IF(ISERROR(VLOOKUP($U$902,'TAR FIN'!$A$1:$O$115,15,0)),0,VLOOKUP($U$902,'TAR FIN'!$A$1:$O$115,15,0))</f>
        <v>0</v>
      </c>
      <c r="Y902" s="42">
        <f ca="1">('TUSD BE'!$AM$27+'TUSD BF'!$AM$27+'TUSD CVA'!$AM$27)*1*(1-0.02)</f>
        <v>20.202910043621255</v>
      </c>
      <c r="Z902" s="42"/>
      <c r="AA902" s="42"/>
      <c r="AB902" s="6">
        <f>$K$902*$V$902</f>
        <v>19.007999999999999</v>
      </c>
      <c r="AC902" s="6">
        <f>$M$902*$W$902</f>
        <v>0</v>
      </c>
      <c r="AD902" s="6">
        <f>$O$902*$X$902</f>
        <v>0</v>
      </c>
      <c r="AE902" s="6">
        <f ca="1">$K$902*$Y$902</f>
        <v>20.202910043621255</v>
      </c>
      <c r="AF902" s="6">
        <f>$M$902*$Z$902</f>
        <v>0</v>
      </c>
      <c r="AG902" s="6">
        <f>$O$902*$AA$902</f>
        <v>0</v>
      </c>
    </row>
    <row r="903" spans="1:33" ht="11.25" customHeight="1" x14ac:dyDescent="0.25">
      <c r="A903" s="4" t="s">
        <v>27</v>
      </c>
      <c r="B903" s="4" t="s">
        <v>41</v>
      </c>
      <c r="C903" s="4" t="s">
        <v>44</v>
      </c>
      <c r="D903" s="4" t="s">
        <v>47</v>
      </c>
      <c r="E903" s="4" t="s">
        <v>25</v>
      </c>
      <c r="F903" s="4" t="s">
        <v>25</v>
      </c>
      <c r="G903" s="4" t="s">
        <v>25</v>
      </c>
      <c r="H903" s="4" t="s">
        <v>36</v>
      </c>
      <c r="I903" s="5">
        <v>44531</v>
      </c>
      <c r="J903" s="6">
        <v>0</v>
      </c>
      <c r="K903" s="42">
        <v>0</v>
      </c>
      <c r="L903" s="6">
        <v>-0.35899999999999999</v>
      </c>
      <c r="M903" s="42">
        <v>-0.35899999999999999</v>
      </c>
      <c r="N903" s="6">
        <v>-0.35899999999999999</v>
      </c>
      <c r="O903" s="42">
        <v>-0.35899999999999999</v>
      </c>
      <c r="P903" s="6">
        <v>0</v>
      </c>
      <c r="Q903" s="4" t="s">
        <v>26</v>
      </c>
      <c r="R903" s="4">
        <v>0</v>
      </c>
      <c r="S903" s="6">
        <v>0</v>
      </c>
      <c r="T903" s="6">
        <v>28</v>
      </c>
      <c r="U903" s="6">
        <v>74</v>
      </c>
      <c r="V903" s="42">
        <f>IF(ISERROR(VLOOKUP($S$903,'TAR FIN'!$A$1:$O$115,15,0)),0,VLOOKUP($S$903,'TAR FIN'!$A$1:$O$115,15,0))</f>
        <v>0</v>
      </c>
      <c r="W903" s="42">
        <f>IF(ISERROR(VLOOKUP($T$903,'TAR FIN'!$A$1:$O$115,15,0)),0,VLOOKUP($T$903,'TAR FIN'!$A$1:$O$115,15,0))*(1-0.04)</f>
        <v>1391.0016000000001</v>
      </c>
      <c r="X903" s="42">
        <f>IF(ISERROR(VLOOKUP($U$903,'TAR FIN'!$A$1:$O$115,15,0)),0,VLOOKUP($U$903,'TAR FIN'!$A$1:$O$115,15,0))*(1-0.04)</f>
        <v>259.488</v>
      </c>
      <c r="Y903" s="42"/>
      <c r="Z903" s="42">
        <f ca="1">('TUSD BE'!$AM$28+'TUSD BF'!$AM$28+'TUSD CVA'!$AM$28)*1*(1-0.02)</f>
        <v>1450.5254602362083</v>
      </c>
      <c r="AA903" s="42">
        <f>('TE BE'!$AB$11+'TE BF'!$AB$11+'TE CVA'!$AB$11)*1*(1-0.02)</f>
        <v>355.39110709588994</v>
      </c>
      <c r="AB903" s="6">
        <f>$K$903*$V$903</f>
        <v>0</v>
      </c>
      <c r="AC903" s="6">
        <f>$M$903*$W$903</f>
        <v>-499.36957439999998</v>
      </c>
      <c r="AD903" s="6">
        <f>$O$903*$X$903</f>
        <v>-93.15619199999999</v>
      </c>
      <c r="AE903" s="6">
        <f>$K$903*$Y$903</f>
        <v>0</v>
      </c>
      <c r="AF903" s="6">
        <f ca="1">$M$903*$Z$903</f>
        <v>-520.73864022479881</v>
      </c>
      <c r="AG903" s="6">
        <f>$O$903*$AA$903</f>
        <v>-127.58540744742449</v>
      </c>
    </row>
    <row r="904" spans="1:33" ht="11.25" customHeight="1" x14ac:dyDescent="0.25">
      <c r="A904" s="4" t="s">
        <v>21</v>
      </c>
      <c r="B904" s="4" t="s">
        <v>41</v>
      </c>
      <c r="C904" s="4" t="s">
        <v>44</v>
      </c>
      <c r="D904" s="4" t="s">
        <v>47</v>
      </c>
      <c r="E904" s="4" t="s">
        <v>25</v>
      </c>
      <c r="F904" s="4" t="s">
        <v>25</v>
      </c>
      <c r="G904" s="4" t="s">
        <v>25</v>
      </c>
      <c r="H904" s="4" t="s">
        <v>36</v>
      </c>
      <c r="I904" s="5">
        <v>44743</v>
      </c>
      <c r="J904" s="6">
        <v>0</v>
      </c>
      <c r="K904" s="42">
        <v>0</v>
      </c>
      <c r="L904" s="6">
        <v>2E-3</v>
      </c>
      <c r="M904" s="42">
        <v>2E-3</v>
      </c>
      <c r="N904" s="6">
        <v>2E-3</v>
      </c>
      <c r="O904" s="42">
        <v>2E-3</v>
      </c>
      <c r="P904" s="6">
        <v>0</v>
      </c>
      <c r="Q904" s="4" t="s">
        <v>26</v>
      </c>
      <c r="R904" s="4">
        <v>0</v>
      </c>
      <c r="S904" s="6">
        <v>0</v>
      </c>
      <c r="T904" s="6">
        <v>28</v>
      </c>
      <c r="U904" s="6">
        <v>74</v>
      </c>
      <c r="V904" s="42">
        <f>IF(ISERROR(VLOOKUP($S$904,'TAR FIN'!$A$1:$O$115,15,0)),0,VLOOKUP($S$904,'TAR FIN'!$A$1:$O$115,15,0))</f>
        <v>0</v>
      </c>
      <c r="W904" s="42">
        <f>IF(ISERROR(VLOOKUP($T$904,'TAR FIN'!$A$1:$O$115,15,0)),0,VLOOKUP($T$904,'TAR FIN'!$A$1:$O$115,15,0))*(1-0.04)</f>
        <v>1391.0016000000001</v>
      </c>
      <c r="X904" s="42">
        <f>IF(ISERROR(VLOOKUP($U$904,'TAR FIN'!$A$1:$O$115,15,0)),0,VLOOKUP($U$904,'TAR FIN'!$A$1:$O$115,15,0))*(1-0.04)</f>
        <v>259.488</v>
      </c>
      <c r="Y904" s="42"/>
      <c r="Z904" s="42">
        <f ca="1">('TUSD BE'!$AM$28+'TUSD BF'!$AM$28+'TUSD CVA'!$AM$28)*1*(1-0.02)</f>
        <v>1450.5254602362083</v>
      </c>
      <c r="AA904" s="42">
        <f>('TE BE'!$AB$11+'TE BF'!$AB$11+'TE CVA'!$AB$11)*1*(1-0.02)</f>
        <v>355.39110709588994</v>
      </c>
      <c r="AB904" s="6">
        <f>$K$904*$V$904</f>
        <v>0</v>
      </c>
      <c r="AC904" s="6">
        <f>$M$904*$W$904</f>
        <v>2.7820032000000001</v>
      </c>
      <c r="AD904" s="6">
        <f>$O$904*$X$904</f>
        <v>0.51897599999999999</v>
      </c>
      <c r="AE904" s="6">
        <f>$K$904*$Y$904</f>
        <v>0</v>
      </c>
      <c r="AF904" s="6">
        <f ca="1">$M$904*$Z$904</f>
        <v>2.9010509204724166</v>
      </c>
      <c r="AG904" s="6">
        <f>$O$904*$AA$904</f>
        <v>0.71078221419177989</v>
      </c>
    </row>
    <row r="905" spans="1:33" ht="11.25" customHeight="1" x14ac:dyDescent="0.25">
      <c r="A905" s="4" t="s">
        <v>21</v>
      </c>
      <c r="B905" s="4" t="s">
        <v>41</v>
      </c>
      <c r="C905" s="4" t="s">
        <v>44</v>
      </c>
      <c r="D905" s="4" t="s">
        <v>52</v>
      </c>
      <c r="E905" s="4" t="s">
        <v>53</v>
      </c>
      <c r="F905" s="4" t="s">
        <v>25</v>
      </c>
      <c r="G905" s="4" t="s">
        <v>25</v>
      </c>
      <c r="H905" s="4" t="s">
        <v>37</v>
      </c>
      <c r="I905" s="5">
        <v>44531</v>
      </c>
      <c r="J905" s="6">
        <v>0</v>
      </c>
      <c r="K905" s="42">
        <v>0</v>
      </c>
      <c r="L905" s="6">
        <v>2337.0320000000002</v>
      </c>
      <c r="M905" s="42">
        <v>2337.0320000000002</v>
      </c>
      <c r="N905" s="6">
        <v>2337.0320000000002</v>
      </c>
      <c r="O905" s="42">
        <v>2337.0320000000002</v>
      </c>
      <c r="P905" s="6">
        <v>0</v>
      </c>
      <c r="Q905" s="4" t="s">
        <v>26</v>
      </c>
      <c r="R905" s="4">
        <v>0</v>
      </c>
      <c r="S905" s="6">
        <v>0</v>
      </c>
      <c r="T905" s="6">
        <v>29</v>
      </c>
      <c r="U905" s="6">
        <v>75</v>
      </c>
      <c r="V905" s="42">
        <f>IF(ISERROR(VLOOKUP($S$905,'TAR FIN'!$A$1:$O$115,15,0)),0,VLOOKUP($S$905,'TAR FIN'!$A$1:$O$115,15,0))</f>
        <v>0</v>
      </c>
      <c r="W905" s="42">
        <f>IF(ISERROR(VLOOKUP($T$905,'TAR FIN'!$A$1:$O$115,15,0)),0,VLOOKUP($T$905,'TAR FIN'!$A$1:$O$115,15,0))*(1-0.06)</f>
        <v>79.251400000000004</v>
      </c>
      <c r="X905" s="42">
        <f>IF(ISERROR(VLOOKUP($U$905,'TAR FIN'!$A$1:$O$115,15,0)),0,VLOOKUP($U$905,'TAR FIN'!$A$1:$O$115,15,0))*(1-0.06)</f>
        <v>157.97639999999998</v>
      </c>
      <c r="Y905" s="42"/>
      <c r="Z905" s="42">
        <f ca="1">('TUSD BE'!$AM$29+'TUSD BF'!$AM$29+'TUSD CVA'!$AM$29)*1*(1-0.03)</f>
        <v>110.02827653849539</v>
      </c>
      <c r="AA905" s="42">
        <f>('TE BE'!$AB$12+'TE BF'!$AB$12+'TE CVA'!$AB$12)*1*(1-0.03)</f>
        <v>212.12486502371149</v>
      </c>
      <c r="AB905" s="6">
        <f>$K$905*$V$905</f>
        <v>0</v>
      </c>
      <c r="AC905" s="6">
        <f>$M$905*$W$905</f>
        <v>185213.05784480003</v>
      </c>
      <c r="AD905" s="6">
        <f>$O$905*$X$905</f>
        <v>369195.90204479999</v>
      </c>
      <c r="AE905" s="6">
        <f>$K$905*$Y$905</f>
        <v>0</v>
      </c>
      <c r="AF905" s="6">
        <f ca="1">$M$905*$Z$905</f>
        <v>257139.60317531298</v>
      </c>
      <c r="AG905" s="6">
        <f>$O$905*$AA$905</f>
        <v>495742.59755609452</v>
      </c>
    </row>
    <row r="906" spans="1:33" ht="11.25" customHeight="1" x14ac:dyDescent="0.25">
      <c r="A906" s="4" t="s">
        <v>28</v>
      </c>
      <c r="B906" s="4" t="s">
        <v>41</v>
      </c>
      <c r="C906" s="4" t="s">
        <v>44</v>
      </c>
      <c r="D906" s="4" t="s">
        <v>52</v>
      </c>
      <c r="E906" s="4" t="s">
        <v>53</v>
      </c>
      <c r="F906" s="4" t="s">
        <v>25</v>
      </c>
      <c r="G906" s="4" t="s">
        <v>25</v>
      </c>
      <c r="H906" s="4" t="s">
        <v>37</v>
      </c>
      <c r="I906" s="5">
        <v>44531</v>
      </c>
      <c r="J906" s="6">
        <v>0</v>
      </c>
      <c r="K906" s="42">
        <v>0</v>
      </c>
      <c r="L906" s="6">
        <v>325.91500000000002</v>
      </c>
      <c r="M906" s="42">
        <v>325.91500000000002</v>
      </c>
      <c r="N906" s="6">
        <v>325.91500000000002</v>
      </c>
      <c r="O906" s="42">
        <v>325.91500000000002</v>
      </c>
      <c r="P906" s="6">
        <v>0</v>
      </c>
      <c r="Q906" s="4" t="s">
        <v>26</v>
      </c>
      <c r="R906" s="4">
        <v>0</v>
      </c>
      <c r="S906" s="6">
        <v>0</v>
      </c>
      <c r="T906" s="6">
        <v>29</v>
      </c>
      <c r="U906" s="6">
        <v>75</v>
      </c>
      <c r="V906" s="42">
        <f>IF(ISERROR(VLOOKUP($S$906,'TAR FIN'!$A$1:$O$115,15,0)),0,VLOOKUP($S$906,'TAR FIN'!$A$1:$O$115,15,0))</f>
        <v>0</v>
      </c>
      <c r="W906" s="42">
        <f>IF(ISERROR(VLOOKUP($T$906,'TAR FIN'!$A$1:$O$115,15,0)),0,VLOOKUP($T$906,'TAR FIN'!$A$1:$O$115,15,0))*(1-0.06)</f>
        <v>79.251400000000004</v>
      </c>
      <c r="X906" s="42">
        <f>IF(ISERROR(VLOOKUP($U$906,'TAR FIN'!$A$1:$O$115,15,0)),0,VLOOKUP($U$906,'TAR FIN'!$A$1:$O$115,15,0))*(1-0.06)</f>
        <v>157.97639999999998</v>
      </c>
      <c r="Y906" s="42"/>
      <c r="Z906" s="42">
        <f ca="1">('TUSD BE'!$AM$29+'TUSD BF'!$AM$29+'TUSD CVA'!$AM$29)*1*(1-0.03)</f>
        <v>110.02827653849539</v>
      </c>
      <c r="AA906" s="42">
        <f>('TE BE'!$AB$12+'TE BF'!$AB$12+'TE CVA'!$AB$12)*1*(1-0.03)</f>
        <v>212.12486502371149</v>
      </c>
      <c r="AB906" s="6">
        <f>$K$906*$V$906</f>
        <v>0</v>
      </c>
      <c r="AC906" s="6">
        <f>$M$906*$W$906</f>
        <v>25829.220031000004</v>
      </c>
      <c r="AD906" s="6">
        <f>$O$906*$X$906</f>
        <v>51486.878405999996</v>
      </c>
      <c r="AE906" s="6">
        <f>$K$906*$Y$906</f>
        <v>0</v>
      </c>
      <c r="AF906" s="6">
        <f ca="1">$M$906*$Z$906</f>
        <v>35859.865748043725</v>
      </c>
      <c r="AG906" s="6">
        <f>$O$906*$AA$906</f>
        <v>69134.675384202928</v>
      </c>
    </row>
    <row r="907" spans="1:33" ht="11.25" customHeight="1" x14ac:dyDescent="0.25">
      <c r="A907" s="4" t="s">
        <v>21</v>
      </c>
      <c r="B907" s="4" t="s">
        <v>41</v>
      </c>
      <c r="C907" s="4" t="s">
        <v>44</v>
      </c>
      <c r="D907" s="4" t="s">
        <v>52</v>
      </c>
      <c r="E907" s="4" t="s">
        <v>53</v>
      </c>
      <c r="F907" s="4" t="s">
        <v>25</v>
      </c>
      <c r="G907" s="4" t="s">
        <v>25</v>
      </c>
      <c r="H907" s="4" t="s">
        <v>37</v>
      </c>
      <c r="I907" s="5">
        <v>44562</v>
      </c>
      <c r="J907" s="6">
        <v>0</v>
      </c>
      <c r="K907" s="42">
        <v>0</v>
      </c>
      <c r="L907" s="6">
        <v>2800.4690000000001</v>
      </c>
      <c r="M907" s="42">
        <v>2800.4690000000001</v>
      </c>
      <c r="N907" s="6">
        <v>2800.4690000000001</v>
      </c>
      <c r="O907" s="42">
        <v>2800.4690000000001</v>
      </c>
      <c r="P907" s="6">
        <v>0</v>
      </c>
      <c r="Q907" s="4" t="s">
        <v>26</v>
      </c>
      <c r="R907" s="4">
        <v>0</v>
      </c>
      <c r="S907" s="6">
        <v>0</v>
      </c>
      <c r="T907" s="6">
        <v>29</v>
      </c>
      <c r="U907" s="6">
        <v>75</v>
      </c>
      <c r="V907" s="42">
        <f>IF(ISERROR(VLOOKUP($S$907,'TAR FIN'!$A$1:$O$115,15,0)),0,VLOOKUP($S$907,'TAR FIN'!$A$1:$O$115,15,0))</f>
        <v>0</v>
      </c>
      <c r="W907" s="42">
        <f>IF(ISERROR(VLOOKUP($T$907,'TAR FIN'!$A$1:$O$115,15,0)),0,VLOOKUP($T$907,'TAR FIN'!$A$1:$O$115,15,0))*(1-0.06)</f>
        <v>79.251400000000004</v>
      </c>
      <c r="X907" s="42">
        <f>IF(ISERROR(VLOOKUP($U$907,'TAR FIN'!$A$1:$O$115,15,0)),0,VLOOKUP($U$907,'TAR FIN'!$A$1:$O$115,15,0))*(1-0.06)</f>
        <v>157.97639999999998</v>
      </c>
      <c r="Y907" s="42"/>
      <c r="Z907" s="42">
        <f ca="1">('TUSD BE'!$AM$29+'TUSD BF'!$AM$29+'TUSD CVA'!$AM$29)*1*(1-0.03)</f>
        <v>110.02827653849539</v>
      </c>
      <c r="AA907" s="42">
        <f>('TE BE'!$AB$12+'TE BF'!$AB$12+'TE CVA'!$AB$12)*1*(1-0.03)</f>
        <v>212.12486502371149</v>
      </c>
      <c r="AB907" s="6">
        <f>$K$907*$V$907</f>
        <v>0</v>
      </c>
      <c r="AC907" s="6">
        <f>$M$907*$W$907</f>
        <v>221941.08890660002</v>
      </c>
      <c r="AD907" s="6">
        <f>$O$907*$X$907</f>
        <v>442408.01093159994</v>
      </c>
      <c r="AE907" s="6">
        <f>$K$907*$Y$907</f>
        <v>0</v>
      </c>
      <c r="AF907" s="6">
        <f ca="1">$M$907*$Z$907</f>
        <v>308130.77756948367</v>
      </c>
      <c r="AG907" s="6">
        <f>$O$907*$AA$907</f>
        <v>594049.10862808826</v>
      </c>
    </row>
    <row r="908" spans="1:33" ht="11.25" customHeight="1" x14ac:dyDescent="0.25">
      <c r="A908" s="4" t="s">
        <v>28</v>
      </c>
      <c r="B908" s="4" t="s">
        <v>41</v>
      </c>
      <c r="C908" s="4" t="s">
        <v>44</v>
      </c>
      <c r="D908" s="4" t="s">
        <v>52</v>
      </c>
      <c r="E908" s="4" t="s">
        <v>53</v>
      </c>
      <c r="F908" s="4" t="s">
        <v>25</v>
      </c>
      <c r="G908" s="4" t="s">
        <v>25</v>
      </c>
      <c r="H908" s="4" t="s">
        <v>37</v>
      </c>
      <c r="I908" s="5">
        <v>44562</v>
      </c>
      <c r="J908" s="6">
        <v>0</v>
      </c>
      <c r="K908" s="42">
        <v>0</v>
      </c>
      <c r="L908" s="6">
        <v>348.46</v>
      </c>
      <c r="M908" s="42">
        <v>348.46</v>
      </c>
      <c r="N908" s="6">
        <v>348.46</v>
      </c>
      <c r="O908" s="42">
        <v>348.46</v>
      </c>
      <c r="P908" s="6">
        <v>0</v>
      </c>
      <c r="Q908" s="4" t="s">
        <v>26</v>
      </c>
      <c r="R908" s="4">
        <v>0</v>
      </c>
      <c r="S908" s="6">
        <v>0</v>
      </c>
      <c r="T908" s="6">
        <v>29</v>
      </c>
      <c r="U908" s="6">
        <v>75</v>
      </c>
      <c r="V908" s="42">
        <f>IF(ISERROR(VLOOKUP($S$908,'TAR FIN'!$A$1:$O$115,15,0)),0,VLOOKUP($S$908,'TAR FIN'!$A$1:$O$115,15,0))</f>
        <v>0</v>
      </c>
      <c r="W908" s="42">
        <f>IF(ISERROR(VLOOKUP($T$908,'TAR FIN'!$A$1:$O$115,15,0)),0,VLOOKUP($T$908,'TAR FIN'!$A$1:$O$115,15,0))*(1-0.06)</f>
        <v>79.251400000000004</v>
      </c>
      <c r="X908" s="42">
        <f>IF(ISERROR(VLOOKUP($U$908,'TAR FIN'!$A$1:$O$115,15,0)),0,VLOOKUP($U$908,'TAR FIN'!$A$1:$O$115,15,0))*(1-0.06)</f>
        <v>157.97639999999998</v>
      </c>
      <c r="Y908" s="42"/>
      <c r="Z908" s="42">
        <f ca="1">('TUSD BE'!$AM$29+'TUSD BF'!$AM$29+'TUSD CVA'!$AM$29)*1*(1-0.03)</f>
        <v>110.02827653849539</v>
      </c>
      <c r="AA908" s="42">
        <f>('TE BE'!$AB$12+'TE BF'!$AB$12+'TE CVA'!$AB$12)*1*(1-0.03)</f>
        <v>212.12486502371149</v>
      </c>
      <c r="AB908" s="6">
        <f>$K$908*$V$908</f>
        <v>0</v>
      </c>
      <c r="AC908" s="6">
        <f>$M$908*$W$908</f>
        <v>27615.942844000001</v>
      </c>
      <c r="AD908" s="6">
        <f>$O$908*$X$908</f>
        <v>55048.456343999991</v>
      </c>
      <c r="AE908" s="6">
        <f>$K$908*$Y$908</f>
        <v>0</v>
      </c>
      <c r="AF908" s="6">
        <f ca="1">$M$908*$Z$908</f>
        <v>38340.453242604104</v>
      </c>
      <c r="AG908" s="6">
        <f>$O$908*$AA$908</f>
        <v>73917.030466162498</v>
      </c>
    </row>
    <row r="909" spans="1:33" ht="11.25" customHeight="1" x14ac:dyDescent="0.25">
      <c r="A909" s="4" t="s">
        <v>21</v>
      </c>
      <c r="B909" s="4" t="s">
        <v>41</v>
      </c>
      <c r="C909" s="4" t="s">
        <v>44</v>
      </c>
      <c r="D909" s="4" t="s">
        <v>52</v>
      </c>
      <c r="E909" s="4" t="s">
        <v>53</v>
      </c>
      <c r="F909" s="4" t="s">
        <v>25</v>
      </c>
      <c r="G909" s="4" t="s">
        <v>25</v>
      </c>
      <c r="H909" s="4" t="s">
        <v>37</v>
      </c>
      <c r="I909" s="5">
        <v>44593</v>
      </c>
      <c r="J909" s="6">
        <v>0</v>
      </c>
      <c r="K909" s="42">
        <v>0</v>
      </c>
      <c r="L909" s="6">
        <v>2556.0419999999999</v>
      </c>
      <c r="M909" s="42">
        <v>2556.0419999999999</v>
      </c>
      <c r="N909" s="6">
        <v>2556.0419999999999</v>
      </c>
      <c r="O909" s="42">
        <v>2556.0419999999999</v>
      </c>
      <c r="P909" s="6">
        <v>0</v>
      </c>
      <c r="Q909" s="4" t="s">
        <v>26</v>
      </c>
      <c r="R909" s="4">
        <v>0</v>
      </c>
      <c r="S909" s="6">
        <v>0</v>
      </c>
      <c r="T909" s="6">
        <v>29</v>
      </c>
      <c r="U909" s="6">
        <v>75</v>
      </c>
      <c r="V909" s="42">
        <f>IF(ISERROR(VLOOKUP($S$909,'TAR FIN'!$A$1:$O$115,15,0)),0,VLOOKUP($S$909,'TAR FIN'!$A$1:$O$115,15,0))</f>
        <v>0</v>
      </c>
      <c r="W909" s="42">
        <f>IF(ISERROR(VLOOKUP($T$909,'TAR FIN'!$A$1:$O$115,15,0)),0,VLOOKUP($T$909,'TAR FIN'!$A$1:$O$115,15,0))*(1-0.06)</f>
        <v>79.251400000000004</v>
      </c>
      <c r="X909" s="42">
        <f>IF(ISERROR(VLOOKUP($U$909,'TAR FIN'!$A$1:$O$115,15,0)),0,VLOOKUP($U$909,'TAR FIN'!$A$1:$O$115,15,0))*(1-0.06)</f>
        <v>157.97639999999998</v>
      </c>
      <c r="Y909" s="42"/>
      <c r="Z909" s="42">
        <f ca="1">('TUSD BE'!$AM$29+'TUSD BF'!$AM$29+'TUSD CVA'!$AM$29)*1*(1-0.03)</f>
        <v>110.02827653849539</v>
      </c>
      <c r="AA909" s="42">
        <f>('TE BE'!$AB$12+'TE BF'!$AB$12+'TE CVA'!$AB$12)*1*(1-0.03)</f>
        <v>212.12486502371149</v>
      </c>
      <c r="AB909" s="6">
        <f>$K$909*$V$909</f>
        <v>0</v>
      </c>
      <c r="AC909" s="6">
        <f>$M$909*$W$909</f>
        <v>202569.90695880001</v>
      </c>
      <c r="AD909" s="6">
        <f>$O$909*$X$909</f>
        <v>403794.31340879994</v>
      </c>
      <c r="AE909" s="6">
        <f>$K$909*$Y$909</f>
        <v>0</v>
      </c>
      <c r="AF909" s="6">
        <f ca="1">$M$909*$Z$909</f>
        <v>281236.89602000883</v>
      </c>
      <c r="AG909" s="6">
        <f>$O$909*$AA$909</f>
        <v>542200.0642449375</v>
      </c>
    </row>
    <row r="910" spans="1:33" ht="11.25" customHeight="1" x14ac:dyDescent="0.25">
      <c r="A910" s="4" t="s">
        <v>28</v>
      </c>
      <c r="B910" s="4" t="s">
        <v>41</v>
      </c>
      <c r="C910" s="4" t="s">
        <v>44</v>
      </c>
      <c r="D910" s="4" t="s">
        <v>52</v>
      </c>
      <c r="E910" s="4" t="s">
        <v>53</v>
      </c>
      <c r="F910" s="4" t="s">
        <v>25</v>
      </c>
      <c r="G910" s="4" t="s">
        <v>25</v>
      </c>
      <c r="H910" s="4" t="s">
        <v>37</v>
      </c>
      <c r="I910" s="5">
        <v>44593</v>
      </c>
      <c r="J910" s="6">
        <v>0</v>
      </c>
      <c r="K910" s="42">
        <v>0</v>
      </c>
      <c r="L910" s="6">
        <v>328.28699999999998</v>
      </c>
      <c r="M910" s="42">
        <v>328.28699999999998</v>
      </c>
      <c r="N910" s="6">
        <v>328.28699999999998</v>
      </c>
      <c r="O910" s="42">
        <v>328.28699999999998</v>
      </c>
      <c r="P910" s="6">
        <v>0</v>
      </c>
      <c r="Q910" s="4" t="s">
        <v>26</v>
      </c>
      <c r="R910" s="4">
        <v>0</v>
      </c>
      <c r="S910" s="6">
        <v>0</v>
      </c>
      <c r="T910" s="6">
        <v>29</v>
      </c>
      <c r="U910" s="6">
        <v>75</v>
      </c>
      <c r="V910" s="42">
        <f>IF(ISERROR(VLOOKUP($S$910,'TAR FIN'!$A$1:$O$115,15,0)),0,VLOOKUP($S$910,'TAR FIN'!$A$1:$O$115,15,0))</f>
        <v>0</v>
      </c>
      <c r="W910" s="42">
        <f>IF(ISERROR(VLOOKUP($T$910,'TAR FIN'!$A$1:$O$115,15,0)),0,VLOOKUP($T$910,'TAR FIN'!$A$1:$O$115,15,0))*(1-0.06)</f>
        <v>79.251400000000004</v>
      </c>
      <c r="X910" s="42">
        <f>IF(ISERROR(VLOOKUP($U$910,'TAR FIN'!$A$1:$O$115,15,0)),0,VLOOKUP($U$910,'TAR FIN'!$A$1:$O$115,15,0))*(1-0.06)</f>
        <v>157.97639999999998</v>
      </c>
      <c r="Y910" s="42"/>
      <c r="Z910" s="42">
        <f ca="1">('TUSD BE'!$AM$29+'TUSD BF'!$AM$29+'TUSD CVA'!$AM$29)*1*(1-0.03)</f>
        <v>110.02827653849539</v>
      </c>
      <c r="AA910" s="42">
        <f>('TE BE'!$AB$12+'TE BF'!$AB$12+'TE CVA'!$AB$12)*1*(1-0.03)</f>
        <v>212.12486502371149</v>
      </c>
      <c r="AB910" s="6">
        <f>$K$910*$V$910</f>
        <v>0</v>
      </c>
      <c r="AC910" s="6">
        <f>$M$910*$W$910</f>
        <v>26017.204351799999</v>
      </c>
      <c r="AD910" s="6">
        <f>$O$910*$X$910</f>
        <v>51861.598426799988</v>
      </c>
      <c r="AE910" s="6">
        <f>$K$910*$Y$910</f>
        <v>0</v>
      </c>
      <c r="AF910" s="6">
        <f ca="1">$M$910*$Z$910</f>
        <v>36120.852819993037</v>
      </c>
      <c r="AG910" s="6">
        <f>$O$910*$AA$910</f>
        <v>69637.835564039167</v>
      </c>
    </row>
    <row r="911" spans="1:33" ht="11.25" customHeight="1" x14ac:dyDescent="0.25">
      <c r="A911" s="4" t="s">
        <v>21</v>
      </c>
      <c r="B911" s="4" t="s">
        <v>41</v>
      </c>
      <c r="C911" s="4" t="s">
        <v>44</v>
      </c>
      <c r="D911" s="4" t="s">
        <v>52</v>
      </c>
      <c r="E911" s="4" t="s">
        <v>53</v>
      </c>
      <c r="F911" s="4" t="s">
        <v>25</v>
      </c>
      <c r="G911" s="4" t="s">
        <v>25</v>
      </c>
      <c r="H911" s="4" t="s">
        <v>37</v>
      </c>
      <c r="I911" s="5">
        <v>44621</v>
      </c>
      <c r="J911" s="6">
        <v>0</v>
      </c>
      <c r="K911" s="42">
        <v>0</v>
      </c>
      <c r="L911" s="6">
        <v>2638.0169999999998</v>
      </c>
      <c r="M911" s="42">
        <v>2638.0169999999998</v>
      </c>
      <c r="N911" s="6">
        <v>2638.0169999999998</v>
      </c>
      <c r="O911" s="42">
        <v>2638.0169999999998</v>
      </c>
      <c r="P911" s="6">
        <v>0</v>
      </c>
      <c r="Q911" s="4" t="s">
        <v>26</v>
      </c>
      <c r="R911" s="4">
        <v>0</v>
      </c>
      <c r="S911" s="6">
        <v>0</v>
      </c>
      <c r="T911" s="6">
        <v>29</v>
      </c>
      <c r="U911" s="6">
        <v>75</v>
      </c>
      <c r="V911" s="42">
        <f>IF(ISERROR(VLOOKUP($S$911,'TAR FIN'!$A$1:$O$115,15,0)),0,VLOOKUP($S$911,'TAR FIN'!$A$1:$O$115,15,0))</f>
        <v>0</v>
      </c>
      <c r="W911" s="42">
        <f>IF(ISERROR(VLOOKUP($T$911,'TAR FIN'!$A$1:$O$115,15,0)),0,VLOOKUP($T$911,'TAR FIN'!$A$1:$O$115,15,0))*(1-0.06)</f>
        <v>79.251400000000004</v>
      </c>
      <c r="X911" s="42">
        <f>IF(ISERROR(VLOOKUP($U$911,'TAR FIN'!$A$1:$O$115,15,0)),0,VLOOKUP($U$911,'TAR FIN'!$A$1:$O$115,15,0))*(1-0.06)</f>
        <v>157.97639999999998</v>
      </c>
      <c r="Y911" s="42"/>
      <c r="Z911" s="42">
        <f ca="1">('TUSD BE'!$AM$29+'TUSD BF'!$AM$29+'TUSD CVA'!$AM$29)*1*(1-0.03)</f>
        <v>110.02827653849539</v>
      </c>
      <c r="AA911" s="42">
        <f>('TE BE'!$AB$12+'TE BF'!$AB$12+'TE CVA'!$AB$12)*1*(1-0.03)</f>
        <v>212.12486502371149</v>
      </c>
      <c r="AB911" s="6">
        <f>$K$911*$V$911</f>
        <v>0</v>
      </c>
      <c r="AC911" s="6">
        <f>$M$911*$W$911</f>
        <v>209066.54047380001</v>
      </c>
      <c r="AD911" s="6">
        <f>$O$911*$X$911</f>
        <v>416744.42879879993</v>
      </c>
      <c r="AE911" s="6">
        <f>$K$911*$Y$911</f>
        <v>0</v>
      </c>
      <c r="AF911" s="6">
        <f ca="1">$M$911*$Z$911</f>
        <v>290256.46398925199</v>
      </c>
      <c r="AG911" s="6">
        <f>$O$911*$AA$911</f>
        <v>559589.0000552563</v>
      </c>
    </row>
    <row r="912" spans="1:33" ht="11.25" customHeight="1" x14ac:dyDescent="0.25">
      <c r="A912" s="4" t="s">
        <v>28</v>
      </c>
      <c r="B912" s="4" t="s">
        <v>41</v>
      </c>
      <c r="C912" s="4" t="s">
        <v>44</v>
      </c>
      <c r="D912" s="4" t="s">
        <v>52</v>
      </c>
      <c r="E912" s="4" t="s">
        <v>53</v>
      </c>
      <c r="F912" s="4" t="s">
        <v>25</v>
      </c>
      <c r="G912" s="4" t="s">
        <v>25</v>
      </c>
      <c r="H912" s="4" t="s">
        <v>37</v>
      </c>
      <c r="I912" s="5">
        <v>44621</v>
      </c>
      <c r="J912" s="6">
        <v>0</v>
      </c>
      <c r="K912" s="42">
        <v>0</v>
      </c>
      <c r="L912" s="6">
        <v>324.35599999999999</v>
      </c>
      <c r="M912" s="42">
        <v>324.35599999999999</v>
      </c>
      <c r="N912" s="6">
        <v>324.35599999999999</v>
      </c>
      <c r="O912" s="42">
        <v>324.35599999999999</v>
      </c>
      <c r="P912" s="6">
        <v>0</v>
      </c>
      <c r="Q912" s="4" t="s">
        <v>26</v>
      </c>
      <c r="R912" s="4">
        <v>0</v>
      </c>
      <c r="S912" s="6">
        <v>0</v>
      </c>
      <c r="T912" s="6">
        <v>29</v>
      </c>
      <c r="U912" s="6">
        <v>75</v>
      </c>
      <c r="V912" s="42">
        <f>IF(ISERROR(VLOOKUP($S$912,'TAR FIN'!$A$1:$O$115,15,0)),0,VLOOKUP($S$912,'TAR FIN'!$A$1:$O$115,15,0))</f>
        <v>0</v>
      </c>
      <c r="W912" s="42">
        <f>IF(ISERROR(VLOOKUP($T$912,'TAR FIN'!$A$1:$O$115,15,0)),0,VLOOKUP($T$912,'TAR FIN'!$A$1:$O$115,15,0))*(1-0.06)</f>
        <v>79.251400000000004</v>
      </c>
      <c r="X912" s="42">
        <f>IF(ISERROR(VLOOKUP($U$912,'TAR FIN'!$A$1:$O$115,15,0)),0,VLOOKUP($U$912,'TAR FIN'!$A$1:$O$115,15,0))*(1-0.06)</f>
        <v>157.97639999999998</v>
      </c>
      <c r="Y912" s="42"/>
      <c r="Z912" s="42">
        <f ca="1">('TUSD BE'!$AM$29+'TUSD BF'!$AM$29+'TUSD CVA'!$AM$29)*1*(1-0.03)</f>
        <v>110.02827653849539</v>
      </c>
      <c r="AA912" s="42">
        <f>('TE BE'!$AB$12+'TE BF'!$AB$12+'TE CVA'!$AB$12)*1*(1-0.03)</f>
        <v>212.12486502371149</v>
      </c>
      <c r="AB912" s="6">
        <f>$K$912*$V$912</f>
        <v>0</v>
      </c>
      <c r="AC912" s="6">
        <f>$M$912*$W$912</f>
        <v>25705.667098400001</v>
      </c>
      <c r="AD912" s="6">
        <f>$O$912*$X$912</f>
        <v>51240.593198399991</v>
      </c>
      <c r="AE912" s="6">
        <f>$K$912*$Y$912</f>
        <v>0</v>
      </c>
      <c r="AF912" s="6">
        <f ca="1">$M$912*$Z$912</f>
        <v>35688.33166492021</v>
      </c>
      <c r="AG912" s="6">
        <f>$O$912*$AA$912</f>
        <v>68803.972719630969</v>
      </c>
    </row>
    <row r="913" spans="1:33" ht="11.25" customHeight="1" x14ac:dyDescent="0.25">
      <c r="A913" s="4" t="s">
        <v>21</v>
      </c>
      <c r="B913" s="4" t="s">
        <v>41</v>
      </c>
      <c r="C913" s="4" t="s">
        <v>44</v>
      </c>
      <c r="D913" s="4" t="s">
        <v>52</v>
      </c>
      <c r="E913" s="4" t="s">
        <v>53</v>
      </c>
      <c r="F913" s="4" t="s">
        <v>25</v>
      </c>
      <c r="G913" s="4" t="s">
        <v>25</v>
      </c>
      <c r="H913" s="4" t="s">
        <v>37</v>
      </c>
      <c r="I913" s="5">
        <v>44652</v>
      </c>
      <c r="J913" s="6">
        <v>0</v>
      </c>
      <c r="K913" s="42">
        <v>0</v>
      </c>
      <c r="L913" s="6">
        <v>2707.72</v>
      </c>
      <c r="M913" s="42">
        <v>2707.72</v>
      </c>
      <c r="N913" s="6">
        <v>2707.72</v>
      </c>
      <c r="O913" s="42">
        <v>2707.72</v>
      </c>
      <c r="P913" s="6">
        <v>0</v>
      </c>
      <c r="Q913" s="4" t="s">
        <v>26</v>
      </c>
      <c r="R913" s="4">
        <v>0</v>
      </c>
      <c r="S913" s="6">
        <v>0</v>
      </c>
      <c r="T913" s="6">
        <v>29</v>
      </c>
      <c r="U913" s="6">
        <v>75</v>
      </c>
      <c r="V913" s="42">
        <f>IF(ISERROR(VLOOKUP($S$913,'TAR FIN'!$A$1:$O$115,15,0)),0,VLOOKUP($S$913,'TAR FIN'!$A$1:$O$115,15,0))</f>
        <v>0</v>
      </c>
      <c r="W913" s="42">
        <f>IF(ISERROR(VLOOKUP($T$913,'TAR FIN'!$A$1:$O$115,15,0)),0,VLOOKUP($T$913,'TAR FIN'!$A$1:$O$115,15,0))*(1-0.06)</f>
        <v>79.251400000000004</v>
      </c>
      <c r="X913" s="42">
        <f>IF(ISERROR(VLOOKUP($U$913,'TAR FIN'!$A$1:$O$115,15,0)),0,VLOOKUP($U$913,'TAR FIN'!$A$1:$O$115,15,0))*(1-0.06)</f>
        <v>157.97639999999998</v>
      </c>
      <c r="Y913" s="42"/>
      <c r="Z913" s="42">
        <f ca="1">('TUSD BE'!$AM$29+'TUSD BF'!$AM$29+'TUSD CVA'!$AM$29)*1*(1-0.03)</f>
        <v>110.02827653849539</v>
      </c>
      <c r="AA913" s="42">
        <f>('TE BE'!$AB$12+'TE BF'!$AB$12+'TE CVA'!$AB$12)*1*(1-0.03)</f>
        <v>212.12486502371149</v>
      </c>
      <c r="AB913" s="6">
        <f>$K$913*$V$913</f>
        <v>0</v>
      </c>
      <c r="AC913" s="6">
        <f>$M$913*$W$913</f>
        <v>214590.60080799999</v>
      </c>
      <c r="AD913" s="6">
        <f>$O$913*$X$913</f>
        <v>427755.85780799994</v>
      </c>
      <c r="AE913" s="6">
        <f>$K$913*$Y$913</f>
        <v>0</v>
      </c>
      <c r="AF913" s="6">
        <f ca="1">$M$913*$Z$913</f>
        <v>297925.7649488147</v>
      </c>
      <c r="AG913" s="6">
        <f>$O$913*$AA$913</f>
        <v>574374.73952200403</v>
      </c>
    </row>
    <row r="914" spans="1:33" ht="11.25" customHeight="1" x14ac:dyDescent="0.25">
      <c r="A914" s="4" t="s">
        <v>28</v>
      </c>
      <c r="B914" s="4" t="s">
        <v>41</v>
      </c>
      <c r="C914" s="4" t="s">
        <v>44</v>
      </c>
      <c r="D914" s="4" t="s">
        <v>52</v>
      </c>
      <c r="E914" s="4" t="s">
        <v>53</v>
      </c>
      <c r="F914" s="4" t="s">
        <v>25</v>
      </c>
      <c r="G914" s="4" t="s">
        <v>25</v>
      </c>
      <c r="H914" s="4" t="s">
        <v>37</v>
      </c>
      <c r="I914" s="5">
        <v>44652</v>
      </c>
      <c r="J914" s="6">
        <v>0</v>
      </c>
      <c r="K914" s="42">
        <v>0</v>
      </c>
      <c r="L914" s="6">
        <v>341.45400000000001</v>
      </c>
      <c r="M914" s="42">
        <v>341.45400000000001</v>
      </c>
      <c r="N914" s="6">
        <v>341.45400000000001</v>
      </c>
      <c r="O914" s="42">
        <v>341.45400000000001</v>
      </c>
      <c r="P914" s="6">
        <v>0</v>
      </c>
      <c r="Q914" s="4" t="s">
        <v>26</v>
      </c>
      <c r="R914" s="4">
        <v>0</v>
      </c>
      <c r="S914" s="6">
        <v>0</v>
      </c>
      <c r="T914" s="6">
        <v>29</v>
      </c>
      <c r="U914" s="6">
        <v>75</v>
      </c>
      <c r="V914" s="42">
        <f>IF(ISERROR(VLOOKUP($S$914,'TAR FIN'!$A$1:$O$115,15,0)),0,VLOOKUP($S$914,'TAR FIN'!$A$1:$O$115,15,0))</f>
        <v>0</v>
      </c>
      <c r="W914" s="42">
        <f>IF(ISERROR(VLOOKUP($T$914,'TAR FIN'!$A$1:$O$115,15,0)),0,VLOOKUP($T$914,'TAR FIN'!$A$1:$O$115,15,0))*(1-0.06)</f>
        <v>79.251400000000004</v>
      </c>
      <c r="X914" s="42">
        <f>IF(ISERROR(VLOOKUP($U$914,'TAR FIN'!$A$1:$O$115,15,0)),0,VLOOKUP($U$914,'TAR FIN'!$A$1:$O$115,15,0))*(1-0.06)</f>
        <v>157.97639999999998</v>
      </c>
      <c r="Y914" s="42"/>
      <c r="Z914" s="42">
        <f ca="1">('TUSD BE'!$AM$29+'TUSD BF'!$AM$29+'TUSD CVA'!$AM$29)*1*(1-0.03)</f>
        <v>110.02827653849539</v>
      </c>
      <c r="AA914" s="42">
        <f>('TE BE'!$AB$12+'TE BF'!$AB$12+'TE CVA'!$AB$12)*1*(1-0.03)</f>
        <v>212.12486502371149</v>
      </c>
      <c r="AB914" s="6">
        <f>$K$914*$V$914</f>
        <v>0</v>
      </c>
      <c r="AC914" s="6">
        <f>$M$914*$W$914</f>
        <v>27060.707535600002</v>
      </c>
      <c r="AD914" s="6">
        <f>$O$914*$X$914</f>
        <v>53941.673685599999</v>
      </c>
      <c r="AE914" s="6">
        <f>$K$914*$Y$914</f>
        <v>0</v>
      </c>
      <c r="AF914" s="6">
        <f ca="1">$M$914*$Z$914</f>
        <v>37569.595137175405</v>
      </c>
      <c r="AG914" s="6">
        <f>$O$914*$AA$914</f>
        <v>72430.88366180638</v>
      </c>
    </row>
    <row r="915" spans="1:33" ht="11.25" customHeight="1" x14ac:dyDescent="0.25">
      <c r="A915" s="4" t="s">
        <v>21</v>
      </c>
      <c r="B915" s="4" t="s">
        <v>41</v>
      </c>
      <c r="C915" s="4" t="s">
        <v>44</v>
      </c>
      <c r="D915" s="4" t="s">
        <v>52</v>
      </c>
      <c r="E915" s="4" t="s">
        <v>53</v>
      </c>
      <c r="F915" s="4" t="s">
        <v>25</v>
      </c>
      <c r="G915" s="4" t="s">
        <v>25</v>
      </c>
      <c r="H915" s="4" t="s">
        <v>37</v>
      </c>
      <c r="I915" s="5">
        <v>44682</v>
      </c>
      <c r="J915" s="6">
        <v>0</v>
      </c>
      <c r="K915" s="42">
        <v>0</v>
      </c>
      <c r="L915" s="6">
        <v>2835.127</v>
      </c>
      <c r="M915" s="42">
        <v>2835.127</v>
      </c>
      <c r="N915" s="6">
        <v>2835.127</v>
      </c>
      <c r="O915" s="42">
        <v>2835.127</v>
      </c>
      <c r="P915" s="6">
        <v>0</v>
      </c>
      <c r="Q915" s="4" t="s">
        <v>26</v>
      </c>
      <c r="R915" s="4">
        <v>0</v>
      </c>
      <c r="S915" s="6">
        <v>0</v>
      </c>
      <c r="T915" s="6">
        <v>29</v>
      </c>
      <c r="U915" s="6">
        <v>75</v>
      </c>
      <c r="V915" s="42">
        <f>IF(ISERROR(VLOOKUP($S$915,'TAR FIN'!$A$1:$O$115,15,0)),0,VLOOKUP($S$915,'TAR FIN'!$A$1:$O$115,15,0))</f>
        <v>0</v>
      </c>
      <c r="W915" s="42">
        <f>IF(ISERROR(VLOOKUP($T$915,'TAR FIN'!$A$1:$O$115,15,0)),0,VLOOKUP($T$915,'TAR FIN'!$A$1:$O$115,15,0))*(1-0.06)</f>
        <v>79.251400000000004</v>
      </c>
      <c r="X915" s="42">
        <f>IF(ISERROR(VLOOKUP($U$915,'TAR FIN'!$A$1:$O$115,15,0)),0,VLOOKUP($U$915,'TAR FIN'!$A$1:$O$115,15,0))*(1-0.06)</f>
        <v>157.97639999999998</v>
      </c>
      <c r="Y915" s="42"/>
      <c r="Z915" s="42">
        <f ca="1">('TUSD BE'!$AM$29+'TUSD BF'!$AM$29+'TUSD CVA'!$AM$29)*1*(1-0.03)</f>
        <v>110.02827653849539</v>
      </c>
      <c r="AA915" s="42">
        <f>('TE BE'!$AB$12+'TE BF'!$AB$12+'TE CVA'!$AB$12)*1*(1-0.03)</f>
        <v>212.12486502371149</v>
      </c>
      <c r="AB915" s="6">
        <f>$K$915*$V$915</f>
        <v>0</v>
      </c>
      <c r="AC915" s="6">
        <f>$M$915*$W$915</f>
        <v>224687.78392780002</v>
      </c>
      <c r="AD915" s="6">
        <f>$O$915*$X$915</f>
        <v>447883.15700279997</v>
      </c>
      <c r="AE915" s="6">
        <f>$K$915*$Y$915</f>
        <v>0</v>
      </c>
      <c r="AF915" s="6">
        <f ca="1">$M$915*$Z$915</f>
        <v>311944.13757775479</v>
      </c>
      <c r="AG915" s="6">
        <f>$O$915*$AA$915</f>
        <v>601400.93220008013</v>
      </c>
    </row>
    <row r="916" spans="1:33" ht="11.25" customHeight="1" x14ac:dyDescent="0.25">
      <c r="A916" s="4" t="s">
        <v>28</v>
      </c>
      <c r="B916" s="4" t="s">
        <v>41</v>
      </c>
      <c r="C916" s="4" t="s">
        <v>44</v>
      </c>
      <c r="D916" s="4" t="s">
        <v>52</v>
      </c>
      <c r="E916" s="4" t="s">
        <v>53</v>
      </c>
      <c r="F916" s="4" t="s">
        <v>25</v>
      </c>
      <c r="G916" s="4" t="s">
        <v>25</v>
      </c>
      <c r="H916" s="4" t="s">
        <v>37</v>
      </c>
      <c r="I916" s="5">
        <v>44682</v>
      </c>
      <c r="J916" s="6">
        <v>0</v>
      </c>
      <c r="K916" s="42">
        <v>0</v>
      </c>
      <c r="L916" s="6">
        <v>347.22</v>
      </c>
      <c r="M916" s="42">
        <v>347.22</v>
      </c>
      <c r="N916" s="6">
        <v>347.22</v>
      </c>
      <c r="O916" s="42">
        <v>347.22</v>
      </c>
      <c r="P916" s="6">
        <v>0</v>
      </c>
      <c r="Q916" s="4" t="s">
        <v>26</v>
      </c>
      <c r="R916" s="4">
        <v>0</v>
      </c>
      <c r="S916" s="6">
        <v>0</v>
      </c>
      <c r="T916" s="6">
        <v>29</v>
      </c>
      <c r="U916" s="6">
        <v>75</v>
      </c>
      <c r="V916" s="42">
        <f>IF(ISERROR(VLOOKUP($S$916,'TAR FIN'!$A$1:$O$115,15,0)),0,VLOOKUP($S$916,'TAR FIN'!$A$1:$O$115,15,0))</f>
        <v>0</v>
      </c>
      <c r="W916" s="42">
        <f>IF(ISERROR(VLOOKUP($T$916,'TAR FIN'!$A$1:$O$115,15,0)),0,VLOOKUP($T$916,'TAR FIN'!$A$1:$O$115,15,0))*(1-0.06)</f>
        <v>79.251400000000004</v>
      </c>
      <c r="X916" s="42">
        <f>IF(ISERROR(VLOOKUP($U$916,'TAR FIN'!$A$1:$O$115,15,0)),0,VLOOKUP($U$916,'TAR FIN'!$A$1:$O$115,15,0))*(1-0.06)</f>
        <v>157.97639999999998</v>
      </c>
      <c r="Y916" s="42"/>
      <c r="Z916" s="42">
        <f ca="1">('TUSD BE'!$AM$29+'TUSD BF'!$AM$29+'TUSD CVA'!$AM$29)*1*(1-0.03)</f>
        <v>110.02827653849539</v>
      </c>
      <c r="AA916" s="42">
        <f>('TE BE'!$AB$12+'TE BF'!$AB$12+'TE CVA'!$AB$12)*1*(1-0.03)</f>
        <v>212.12486502371149</v>
      </c>
      <c r="AB916" s="6">
        <f>$K$916*$V$916</f>
        <v>0</v>
      </c>
      <c r="AC916" s="6">
        <f>$M$916*$W$916</f>
        <v>27517.671108000002</v>
      </c>
      <c r="AD916" s="6">
        <f>$O$916*$X$916</f>
        <v>54852.565607999997</v>
      </c>
      <c r="AE916" s="6">
        <f>$K$916*$Y$916</f>
        <v>0</v>
      </c>
      <c r="AF916" s="6">
        <f ca="1">$M$916*$Z$916</f>
        <v>38204.018179696373</v>
      </c>
      <c r="AG916" s="6">
        <f>$O$916*$AA$916</f>
        <v>73653.995633533108</v>
      </c>
    </row>
    <row r="917" spans="1:33" ht="11.25" customHeight="1" x14ac:dyDescent="0.25">
      <c r="A917" s="4" t="s">
        <v>21</v>
      </c>
      <c r="B917" s="4" t="s">
        <v>41</v>
      </c>
      <c r="C917" s="4" t="s">
        <v>44</v>
      </c>
      <c r="D917" s="4" t="s">
        <v>52</v>
      </c>
      <c r="E917" s="4" t="s">
        <v>53</v>
      </c>
      <c r="F917" s="4" t="s">
        <v>25</v>
      </c>
      <c r="G917" s="4" t="s">
        <v>25</v>
      </c>
      <c r="H917" s="4" t="s">
        <v>37</v>
      </c>
      <c r="I917" s="5">
        <v>44713</v>
      </c>
      <c r="J917" s="6">
        <v>0</v>
      </c>
      <c r="K917" s="42">
        <v>0</v>
      </c>
      <c r="L917" s="6">
        <v>2605.1640000000002</v>
      </c>
      <c r="M917" s="42">
        <v>2605.1640000000002</v>
      </c>
      <c r="N917" s="6">
        <v>2605.1640000000002</v>
      </c>
      <c r="O917" s="42">
        <v>2605.1640000000002</v>
      </c>
      <c r="P917" s="6">
        <v>0</v>
      </c>
      <c r="Q917" s="4" t="s">
        <v>26</v>
      </c>
      <c r="R917" s="4">
        <v>0</v>
      </c>
      <c r="S917" s="6">
        <v>0</v>
      </c>
      <c r="T917" s="6">
        <v>29</v>
      </c>
      <c r="U917" s="6">
        <v>75</v>
      </c>
      <c r="V917" s="42">
        <f>IF(ISERROR(VLOOKUP($S$917,'TAR FIN'!$A$1:$O$115,15,0)),0,VLOOKUP($S$917,'TAR FIN'!$A$1:$O$115,15,0))</f>
        <v>0</v>
      </c>
      <c r="W917" s="42">
        <f>IF(ISERROR(VLOOKUP($T$917,'TAR FIN'!$A$1:$O$115,15,0)),0,VLOOKUP($T$917,'TAR FIN'!$A$1:$O$115,15,0))*(1-0.06)</f>
        <v>79.251400000000004</v>
      </c>
      <c r="X917" s="42">
        <f>IF(ISERROR(VLOOKUP($U$917,'TAR FIN'!$A$1:$O$115,15,0)),0,VLOOKUP($U$917,'TAR FIN'!$A$1:$O$115,15,0))*(1-0.06)</f>
        <v>157.97639999999998</v>
      </c>
      <c r="Y917" s="42"/>
      <c r="Z917" s="42">
        <f ca="1">('TUSD BE'!$AM$29+'TUSD BF'!$AM$29+'TUSD CVA'!$AM$29)*1*(1-0.03)</f>
        <v>110.02827653849539</v>
      </c>
      <c r="AA917" s="42">
        <f>('TE BE'!$AB$12+'TE BF'!$AB$12+'TE CVA'!$AB$12)*1*(1-0.03)</f>
        <v>212.12486502371149</v>
      </c>
      <c r="AB917" s="6">
        <f>$K$917*$V$917</f>
        <v>0</v>
      </c>
      <c r="AC917" s="6">
        <f>$M$917*$W$917</f>
        <v>206462.89422960003</v>
      </c>
      <c r="AD917" s="6">
        <f>$O$917*$X$917</f>
        <v>411554.43012959999</v>
      </c>
      <c r="AE917" s="6">
        <f>$K$917*$Y$917</f>
        <v>0</v>
      </c>
      <c r="AF917" s="6">
        <f ca="1">$M$917*$Z$917</f>
        <v>286641.70502013282</v>
      </c>
      <c r="AG917" s="6">
        <f>$O$917*$AA$917</f>
        <v>552620.06186463241</v>
      </c>
    </row>
    <row r="918" spans="1:33" ht="11.25" customHeight="1" x14ac:dyDescent="0.25">
      <c r="A918" s="4" t="s">
        <v>28</v>
      </c>
      <c r="B918" s="4" t="s">
        <v>41</v>
      </c>
      <c r="C918" s="4" t="s">
        <v>44</v>
      </c>
      <c r="D918" s="4" t="s">
        <v>52</v>
      </c>
      <c r="E918" s="4" t="s">
        <v>53</v>
      </c>
      <c r="F918" s="4" t="s">
        <v>25</v>
      </c>
      <c r="G918" s="4" t="s">
        <v>25</v>
      </c>
      <c r="H918" s="4" t="s">
        <v>37</v>
      </c>
      <c r="I918" s="5">
        <v>44713</v>
      </c>
      <c r="J918" s="6">
        <v>0</v>
      </c>
      <c r="K918" s="42">
        <v>0</v>
      </c>
      <c r="L918" s="6">
        <v>350.101</v>
      </c>
      <c r="M918" s="42">
        <v>350.101</v>
      </c>
      <c r="N918" s="6">
        <v>350.101</v>
      </c>
      <c r="O918" s="42">
        <v>350.101</v>
      </c>
      <c r="P918" s="6">
        <v>0</v>
      </c>
      <c r="Q918" s="4" t="s">
        <v>26</v>
      </c>
      <c r="R918" s="4">
        <v>0</v>
      </c>
      <c r="S918" s="6">
        <v>0</v>
      </c>
      <c r="T918" s="6">
        <v>29</v>
      </c>
      <c r="U918" s="6">
        <v>75</v>
      </c>
      <c r="V918" s="42">
        <f>IF(ISERROR(VLOOKUP($S$918,'TAR FIN'!$A$1:$O$115,15,0)),0,VLOOKUP($S$918,'TAR FIN'!$A$1:$O$115,15,0))</f>
        <v>0</v>
      </c>
      <c r="W918" s="42">
        <f>IF(ISERROR(VLOOKUP($T$918,'TAR FIN'!$A$1:$O$115,15,0)),0,VLOOKUP($T$918,'TAR FIN'!$A$1:$O$115,15,0))*(1-0.06)</f>
        <v>79.251400000000004</v>
      </c>
      <c r="X918" s="42">
        <f>IF(ISERROR(VLOOKUP($U$918,'TAR FIN'!$A$1:$O$115,15,0)),0,VLOOKUP($U$918,'TAR FIN'!$A$1:$O$115,15,0))*(1-0.06)</f>
        <v>157.97639999999998</v>
      </c>
      <c r="Y918" s="42"/>
      <c r="Z918" s="42">
        <f ca="1">('TUSD BE'!$AM$29+'TUSD BF'!$AM$29+'TUSD CVA'!$AM$29)*1*(1-0.03)</f>
        <v>110.02827653849539</v>
      </c>
      <c r="AA918" s="42">
        <f>('TE BE'!$AB$12+'TE BF'!$AB$12+'TE CVA'!$AB$12)*1*(1-0.03)</f>
        <v>212.12486502371149</v>
      </c>
      <c r="AB918" s="6">
        <f>$K$918*$V$918</f>
        <v>0</v>
      </c>
      <c r="AC918" s="6">
        <f>$M$918*$W$918</f>
        <v>27745.9943914</v>
      </c>
      <c r="AD918" s="6">
        <f>$O$918*$X$918</f>
        <v>55307.695616399993</v>
      </c>
      <c r="AE918" s="6">
        <f>$K$918*$Y$918</f>
        <v>0</v>
      </c>
      <c r="AF918" s="6">
        <f ca="1">$M$918*$Z$918</f>
        <v>38521.009644403777</v>
      </c>
      <c r="AG918" s="6">
        <f>$O$918*$AA$918</f>
        <v>74265.127369666414</v>
      </c>
    </row>
    <row r="919" spans="1:33" ht="11.25" customHeight="1" x14ac:dyDescent="0.25">
      <c r="A919" s="4" t="s">
        <v>21</v>
      </c>
      <c r="B919" s="4" t="s">
        <v>41</v>
      </c>
      <c r="C919" s="4" t="s">
        <v>44</v>
      </c>
      <c r="D919" s="4" t="s">
        <v>52</v>
      </c>
      <c r="E919" s="4" t="s">
        <v>53</v>
      </c>
      <c r="F919" s="4" t="s">
        <v>25</v>
      </c>
      <c r="G919" s="4" t="s">
        <v>25</v>
      </c>
      <c r="H919" s="4" t="s">
        <v>37</v>
      </c>
      <c r="I919" s="5">
        <v>44743</v>
      </c>
      <c r="J919" s="6">
        <v>0</v>
      </c>
      <c r="K919" s="42">
        <v>0</v>
      </c>
      <c r="L919" s="6">
        <v>2857.5189999999998</v>
      </c>
      <c r="M919" s="42">
        <v>2857.5189999999998</v>
      </c>
      <c r="N919" s="6">
        <v>2857.5189999999998</v>
      </c>
      <c r="O919" s="42">
        <v>2857.5189999999998</v>
      </c>
      <c r="P919" s="6">
        <v>0</v>
      </c>
      <c r="Q919" s="4" t="s">
        <v>26</v>
      </c>
      <c r="R919" s="4">
        <v>0</v>
      </c>
      <c r="S919" s="6">
        <v>0</v>
      </c>
      <c r="T919" s="6">
        <v>29</v>
      </c>
      <c r="U919" s="6">
        <v>75</v>
      </c>
      <c r="V919" s="42">
        <f>IF(ISERROR(VLOOKUP($S$919,'TAR FIN'!$A$1:$O$115,15,0)),0,VLOOKUP($S$919,'TAR FIN'!$A$1:$O$115,15,0))</f>
        <v>0</v>
      </c>
      <c r="W919" s="42">
        <f>IF(ISERROR(VLOOKUP($T$919,'TAR FIN'!$A$1:$O$115,15,0)),0,VLOOKUP($T$919,'TAR FIN'!$A$1:$O$115,15,0))*(1-0.06)</f>
        <v>79.251400000000004</v>
      </c>
      <c r="X919" s="42">
        <f>IF(ISERROR(VLOOKUP($U$919,'TAR FIN'!$A$1:$O$115,15,0)),0,VLOOKUP($U$919,'TAR FIN'!$A$1:$O$115,15,0))*(1-0.06)</f>
        <v>157.97639999999998</v>
      </c>
      <c r="Y919" s="42"/>
      <c r="Z919" s="42">
        <f ca="1">('TUSD BE'!$AM$29+'TUSD BF'!$AM$29+'TUSD CVA'!$AM$29)*1*(1-0.03)</f>
        <v>110.02827653849539</v>
      </c>
      <c r="AA919" s="42">
        <f>('TE BE'!$AB$12+'TE BF'!$AB$12+'TE CVA'!$AB$12)*1*(1-0.03)</f>
        <v>212.12486502371149</v>
      </c>
      <c r="AB919" s="6">
        <f>$K$919*$V$919</f>
        <v>0</v>
      </c>
      <c r="AC919" s="6">
        <f>$M$919*$W$919</f>
        <v>226462.3812766</v>
      </c>
      <c r="AD919" s="6">
        <f>$O$919*$X$919</f>
        <v>451420.56455159991</v>
      </c>
      <c r="AE919" s="6">
        <f>$K$919*$Y$919</f>
        <v>0</v>
      </c>
      <c r="AF919" s="6">
        <f ca="1">$M$919*$Z$919</f>
        <v>314407.89074600476</v>
      </c>
      <c r="AG919" s="6">
        <f>$O$919*$AA$919</f>
        <v>606150.83217769105</v>
      </c>
    </row>
    <row r="920" spans="1:33" ht="11.25" customHeight="1" x14ac:dyDescent="0.25">
      <c r="A920" s="4" t="s">
        <v>27</v>
      </c>
      <c r="B920" s="4" t="s">
        <v>41</v>
      </c>
      <c r="C920" s="4" t="s">
        <v>44</v>
      </c>
      <c r="D920" s="4" t="s">
        <v>52</v>
      </c>
      <c r="E920" s="4" t="s">
        <v>53</v>
      </c>
      <c r="F920" s="4" t="s">
        <v>25</v>
      </c>
      <c r="G920" s="4" t="s">
        <v>25</v>
      </c>
      <c r="H920" s="4" t="s">
        <v>37</v>
      </c>
      <c r="I920" s="5">
        <v>44743</v>
      </c>
      <c r="J920" s="6">
        <v>0</v>
      </c>
      <c r="K920" s="42">
        <v>0</v>
      </c>
      <c r="L920" s="6">
        <v>-347.2</v>
      </c>
      <c r="M920" s="42">
        <v>-347.2</v>
      </c>
      <c r="N920" s="6">
        <v>-347.2</v>
      </c>
      <c r="O920" s="42">
        <v>-347.2</v>
      </c>
      <c r="P920" s="6">
        <v>0</v>
      </c>
      <c r="Q920" s="4" t="s">
        <v>26</v>
      </c>
      <c r="R920" s="4">
        <v>0</v>
      </c>
      <c r="S920" s="6">
        <v>0</v>
      </c>
      <c r="T920" s="6">
        <v>29</v>
      </c>
      <c r="U920" s="6">
        <v>75</v>
      </c>
      <c r="V920" s="42">
        <f>IF(ISERROR(VLOOKUP($S$920,'TAR FIN'!$A$1:$O$115,15,0)),0,VLOOKUP($S$920,'TAR FIN'!$A$1:$O$115,15,0))</f>
        <v>0</v>
      </c>
      <c r="W920" s="42">
        <f>IF(ISERROR(VLOOKUP($T$920,'TAR FIN'!$A$1:$O$115,15,0)),0,VLOOKUP($T$920,'TAR FIN'!$A$1:$O$115,15,0))*(1-0.06)</f>
        <v>79.251400000000004</v>
      </c>
      <c r="X920" s="42">
        <f>IF(ISERROR(VLOOKUP($U$920,'TAR FIN'!$A$1:$O$115,15,0)),0,VLOOKUP($U$920,'TAR FIN'!$A$1:$O$115,15,0))*(1-0.06)</f>
        <v>157.97639999999998</v>
      </c>
      <c r="Y920" s="42"/>
      <c r="Z920" s="42">
        <f ca="1">('TUSD BE'!$AM$29+'TUSD BF'!$AM$29+'TUSD CVA'!$AM$29)*1*(1-0.03)</f>
        <v>110.02827653849539</v>
      </c>
      <c r="AA920" s="42">
        <f>('TE BE'!$AB$12+'TE BF'!$AB$12+'TE CVA'!$AB$12)*1*(1-0.03)</f>
        <v>212.12486502371149</v>
      </c>
      <c r="AB920" s="6">
        <f>$K$920*$V$920</f>
        <v>0</v>
      </c>
      <c r="AC920" s="6">
        <f>$M$920*$W$920</f>
        <v>-27516.086080000001</v>
      </c>
      <c r="AD920" s="6">
        <f>$O$920*$X$920</f>
        <v>-54849.406079999993</v>
      </c>
      <c r="AE920" s="6">
        <f>$K$920*$Y$920</f>
        <v>0</v>
      </c>
      <c r="AF920" s="6">
        <f ca="1">$M$920*$Z$920</f>
        <v>-38201.8176141656</v>
      </c>
      <c r="AG920" s="6">
        <f>$O$920*$AA$920</f>
        <v>-73649.753136232626</v>
      </c>
    </row>
    <row r="921" spans="1:33" ht="11.25" customHeight="1" x14ac:dyDescent="0.25">
      <c r="A921" s="4" t="s">
        <v>28</v>
      </c>
      <c r="B921" s="4" t="s">
        <v>41</v>
      </c>
      <c r="C921" s="4" t="s">
        <v>44</v>
      </c>
      <c r="D921" s="4" t="s">
        <v>52</v>
      </c>
      <c r="E921" s="4" t="s">
        <v>53</v>
      </c>
      <c r="F921" s="4" t="s">
        <v>25</v>
      </c>
      <c r="G921" s="4" t="s">
        <v>25</v>
      </c>
      <c r="H921" s="4" t="s">
        <v>37</v>
      </c>
      <c r="I921" s="5">
        <v>44743</v>
      </c>
      <c r="J921" s="6">
        <v>0</v>
      </c>
      <c r="K921" s="42">
        <v>0</v>
      </c>
      <c r="L921" s="6">
        <v>345.75400000000002</v>
      </c>
      <c r="M921" s="42">
        <v>345.75400000000002</v>
      </c>
      <c r="N921" s="6">
        <v>345.75400000000002</v>
      </c>
      <c r="O921" s="42">
        <v>345.75400000000002</v>
      </c>
      <c r="P921" s="6">
        <v>0</v>
      </c>
      <c r="Q921" s="4" t="s">
        <v>26</v>
      </c>
      <c r="R921" s="4">
        <v>0</v>
      </c>
      <c r="S921" s="6">
        <v>0</v>
      </c>
      <c r="T921" s="6">
        <v>29</v>
      </c>
      <c r="U921" s="6">
        <v>75</v>
      </c>
      <c r="V921" s="42">
        <f>IF(ISERROR(VLOOKUP($S$921,'TAR FIN'!$A$1:$O$115,15,0)),0,VLOOKUP($S$921,'TAR FIN'!$A$1:$O$115,15,0))</f>
        <v>0</v>
      </c>
      <c r="W921" s="42">
        <f>IF(ISERROR(VLOOKUP($T$921,'TAR FIN'!$A$1:$O$115,15,0)),0,VLOOKUP($T$921,'TAR FIN'!$A$1:$O$115,15,0))*(1-0.06)</f>
        <v>79.251400000000004</v>
      </c>
      <c r="X921" s="42">
        <f>IF(ISERROR(VLOOKUP($U$921,'TAR FIN'!$A$1:$O$115,15,0)),0,VLOOKUP($U$921,'TAR FIN'!$A$1:$O$115,15,0))*(1-0.06)</f>
        <v>157.97639999999998</v>
      </c>
      <c r="Y921" s="42"/>
      <c r="Z921" s="42">
        <f ca="1">('TUSD BE'!$AM$29+'TUSD BF'!$AM$29+'TUSD CVA'!$AM$29)*1*(1-0.03)</f>
        <v>110.02827653849539</v>
      </c>
      <c r="AA921" s="42">
        <f>('TE BE'!$AB$12+'TE BF'!$AB$12+'TE CVA'!$AB$12)*1*(1-0.03)</f>
        <v>212.12486502371149</v>
      </c>
      <c r="AB921" s="6">
        <f>$K$921*$V$921</f>
        <v>0</v>
      </c>
      <c r="AC921" s="6">
        <f>$M$921*$W$921</f>
        <v>27401.488555600004</v>
      </c>
      <c r="AD921" s="6">
        <f>$O$921*$X$921</f>
        <v>54620.972205599996</v>
      </c>
      <c r="AE921" s="6">
        <f>$K$921*$Y$921</f>
        <v>0</v>
      </c>
      <c r="AF921" s="6">
        <f ca="1">$M$921*$Z$921</f>
        <v>38042.716726290935</v>
      </c>
      <c r="AG921" s="6">
        <f>$O$921*$AA$921</f>
        <v>73343.020581408346</v>
      </c>
    </row>
    <row r="922" spans="1:33" ht="11.25" customHeight="1" x14ac:dyDescent="0.25">
      <c r="A922" s="4" t="s">
        <v>21</v>
      </c>
      <c r="B922" s="4" t="s">
        <v>41</v>
      </c>
      <c r="C922" s="4" t="s">
        <v>44</v>
      </c>
      <c r="D922" s="4" t="s">
        <v>52</v>
      </c>
      <c r="E922" s="4" t="s">
        <v>53</v>
      </c>
      <c r="F922" s="4" t="s">
        <v>25</v>
      </c>
      <c r="G922" s="4" t="s">
        <v>25</v>
      </c>
      <c r="H922" s="4" t="s">
        <v>37</v>
      </c>
      <c r="I922" s="5">
        <v>44774</v>
      </c>
      <c r="J922" s="6">
        <v>0</v>
      </c>
      <c r="K922" s="42">
        <v>0</v>
      </c>
      <c r="L922" s="6">
        <v>2959.0990000000002</v>
      </c>
      <c r="M922" s="42">
        <v>2959.0990000000002</v>
      </c>
      <c r="N922" s="6">
        <v>2959.0990000000002</v>
      </c>
      <c r="O922" s="42">
        <v>2959.0990000000002</v>
      </c>
      <c r="P922" s="6">
        <v>0</v>
      </c>
      <c r="Q922" s="4" t="s">
        <v>26</v>
      </c>
      <c r="R922" s="4">
        <v>0</v>
      </c>
      <c r="S922" s="6">
        <v>0</v>
      </c>
      <c r="T922" s="6">
        <v>29</v>
      </c>
      <c r="U922" s="6">
        <v>75</v>
      </c>
      <c r="V922" s="42">
        <f>IF(ISERROR(VLOOKUP($S$922,'TAR FIN'!$A$1:$O$115,15,0)),0,VLOOKUP($S$922,'TAR FIN'!$A$1:$O$115,15,0))</f>
        <v>0</v>
      </c>
      <c r="W922" s="42">
        <f>IF(ISERROR(VLOOKUP($T$922,'TAR FIN'!$A$1:$O$115,15,0)),0,VLOOKUP($T$922,'TAR FIN'!$A$1:$O$115,15,0))*(1-0.06)</f>
        <v>79.251400000000004</v>
      </c>
      <c r="X922" s="42">
        <f>IF(ISERROR(VLOOKUP($U$922,'TAR FIN'!$A$1:$O$115,15,0)),0,VLOOKUP($U$922,'TAR FIN'!$A$1:$O$115,15,0))*(1-0.06)</f>
        <v>157.97639999999998</v>
      </c>
      <c r="Y922" s="42"/>
      <c r="Z922" s="42">
        <f ca="1">('TUSD BE'!$AM$29+'TUSD BF'!$AM$29+'TUSD CVA'!$AM$29)*1*(1-0.03)</f>
        <v>110.02827653849539</v>
      </c>
      <c r="AA922" s="42">
        <f>('TE BE'!$AB$12+'TE BF'!$AB$12+'TE CVA'!$AB$12)*1*(1-0.03)</f>
        <v>212.12486502371149</v>
      </c>
      <c r="AB922" s="6">
        <f>$K$922*$V$922</f>
        <v>0</v>
      </c>
      <c r="AC922" s="6">
        <f>$M$922*$W$922</f>
        <v>234512.73848860004</v>
      </c>
      <c r="AD922" s="6">
        <f>$O$922*$X$922</f>
        <v>467467.8072636</v>
      </c>
      <c r="AE922" s="6">
        <f>$K$922*$Y$922</f>
        <v>0</v>
      </c>
      <c r="AF922" s="6">
        <f ca="1">$M$922*$Z$922</f>
        <v>325584.56307678518</v>
      </c>
      <c r="AG922" s="6">
        <f>$O$922*$AA$922</f>
        <v>627698.47596679965</v>
      </c>
    </row>
    <row r="923" spans="1:33" ht="11.25" customHeight="1" x14ac:dyDescent="0.25">
      <c r="A923" s="4" t="s">
        <v>27</v>
      </c>
      <c r="B923" s="4" t="s">
        <v>41</v>
      </c>
      <c r="C923" s="4" t="s">
        <v>44</v>
      </c>
      <c r="D923" s="4" t="s">
        <v>52</v>
      </c>
      <c r="E923" s="4" t="s">
        <v>53</v>
      </c>
      <c r="F923" s="4" t="s">
        <v>25</v>
      </c>
      <c r="G923" s="4" t="s">
        <v>25</v>
      </c>
      <c r="H923" s="4" t="s">
        <v>37</v>
      </c>
      <c r="I923" s="5">
        <v>44774</v>
      </c>
      <c r="J923" s="6">
        <v>0</v>
      </c>
      <c r="K923" s="42">
        <v>0</v>
      </c>
      <c r="L923" s="6">
        <v>-74.131</v>
      </c>
      <c r="M923" s="42">
        <v>-74.131</v>
      </c>
      <c r="N923" s="6">
        <v>-74.131</v>
      </c>
      <c r="O923" s="42">
        <v>-74.131</v>
      </c>
      <c r="P923" s="6">
        <v>0</v>
      </c>
      <c r="Q923" s="4" t="s">
        <v>26</v>
      </c>
      <c r="R923" s="4">
        <v>0</v>
      </c>
      <c r="S923" s="6">
        <v>0</v>
      </c>
      <c r="T923" s="6">
        <v>29</v>
      </c>
      <c r="U923" s="6">
        <v>75</v>
      </c>
      <c r="V923" s="42">
        <f>IF(ISERROR(VLOOKUP($S$923,'TAR FIN'!$A$1:$O$115,15,0)),0,VLOOKUP($S$923,'TAR FIN'!$A$1:$O$115,15,0))</f>
        <v>0</v>
      </c>
      <c r="W923" s="42">
        <f>IF(ISERROR(VLOOKUP($T$923,'TAR FIN'!$A$1:$O$115,15,0)),0,VLOOKUP($T$923,'TAR FIN'!$A$1:$O$115,15,0))*(1-0.06)</f>
        <v>79.251400000000004</v>
      </c>
      <c r="X923" s="42">
        <f>IF(ISERROR(VLOOKUP($U$923,'TAR FIN'!$A$1:$O$115,15,0)),0,VLOOKUP($U$923,'TAR FIN'!$A$1:$O$115,15,0))*(1-0.06)</f>
        <v>157.97639999999998</v>
      </c>
      <c r="Y923" s="42"/>
      <c r="Z923" s="42">
        <f ca="1">('TUSD BE'!$AM$29+'TUSD BF'!$AM$29+'TUSD CVA'!$AM$29)*1*(1-0.03)</f>
        <v>110.02827653849539</v>
      </c>
      <c r="AA923" s="42">
        <f>('TE BE'!$AB$12+'TE BF'!$AB$12+'TE CVA'!$AB$12)*1*(1-0.03)</f>
        <v>212.12486502371149</v>
      </c>
      <c r="AB923" s="6">
        <f>$K$923*$V$923</f>
        <v>0</v>
      </c>
      <c r="AC923" s="6">
        <f>$M$923*$W$923</f>
        <v>-5874.9855334000003</v>
      </c>
      <c r="AD923" s="6">
        <f>$O$923*$X$923</f>
        <v>-11710.948508399999</v>
      </c>
      <c r="AE923" s="6">
        <f>$K$923*$Y$923</f>
        <v>0</v>
      </c>
      <c r="AF923" s="6">
        <f ca="1">$M$923*$Z$923</f>
        <v>-8156.5061680752015</v>
      </c>
      <c r="AG923" s="6">
        <f>$O$923*$AA$923</f>
        <v>-15725.028369072757</v>
      </c>
    </row>
    <row r="924" spans="1:33" ht="11.25" customHeight="1" x14ac:dyDescent="0.25">
      <c r="A924" s="4" t="s">
        <v>28</v>
      </c>
      <c r="B924" s="4" t="s">
        <v>41</v>
      </c>
      <c r="C924" s="4" t="s">
        <v>44</v>
      </c>
      <c r="D924" s="4" t="s">
        <v>52</v>
      </c>
      <c r="E924" s="4" t="s">
        <v>53</v>
      </c>
      <c r="F924" s="4" t="s">
        <v>25</v>
      </c>
      <c r="G924" s="4" t="s">
        <v>25</v>
      </c>
      <c r="H924" s="4" t="s">
        <v>37</v>
      </c>
      <c r="I924" s="5">
        <v>44774</v>
      </c>
      <c r="J924" s="6">
        <v>0</v>
      </c>
      <c r="K924" s="42">
        <v>0</v>
      </c>
      <c r="L924" s="6">
        <v>347.33</v>
      </c>
      <c r="M924" s="42">
        <v>347.33</v>
      </c>
      <c r="N924" s="6">
        <v>347.33</v>
      </c>
      <c r="O924" s="42">
        <v>347.33</v>
      </c>
      <c r="P924" s="6">
        <v>0</v>
      </c>
      <c r="Q924" s="4" t="s">
        <v>26</v>
      </c>
      <c r="R924" s="4">
        <v>0</v>
      </c>
      <c r="S924" s="6">
        <v>0</v>
      </c>
      <c r="T924" s="6">
        <v>29</v>
      </c>
      <c r="U924" s="6">
        <v>75</v>
      </c>
      <c r="V924" s="42">
        <f>IF(ISERROR(VLOOKUP($S$924,'TAR FIN'!$A$1:$O$115,15,0)),0,VLOOKUP($S$924,'TAR FIN'!$A$1:$O$115,15,0))</f>
        <v>0</v>
      </c>
      <c r="W924" s="42">
        <f>IF(ISERROR(VLOOKUP($T$924,'TAR FIN'!$A$1:$O$115,15,0)),0,VLOOKUP($T$924,'TAR FIN'!$A$1:$O$115,15,0))*(1-0.06)</f>
        <v>79.251400000000004</v>
      </c>
      <c r="X924" s="42">
        <f>IF(ISERROR(VLOOKUP($U$924,'TAR FIN'!$A$1:$O$115,15,0)),0,VLOOKUP($U$924,'TAR FIN'!$A$1:$O$115,15,0))*(1-0.06)</f>
        <v>157.97639999999998</v>
      </c>
      <c r="Y924" s="42"/>
      <c r="Z924" s="42">
        <f ca="1">('TUSD BE'!$AM$29+'TUSD BF'!$AM$29+'TUSD CVA'!$AM$29)*1*(1-0.03)</f>
        <v>110.02827653849539</v>
      </c>
      <c r="AA924" s="42">
        <f>('TE BE'!$AB$12+'TE BF'!$AB$12+'TE CVA'!$AB$12)*1*(1-0.03)</f>
        <v>212.12486502371149</v>
      </c>
      <c r="AB924" s="6">
        <f>$K$924*$V$924</f>
        <v>0</v>
      </c>
      <c r="AC924" s="6">
        <f>$M$924*$W$924</f>
        <v>27526.388761999999</v>
      </c>
      <c r="AD924" s="6">
        <f>$O$924*$X$924</f>
        <v>54869.943011999989</v>
      </c>
      <c r="AE924" s="6">
        <f>$K$924*$Y$924</f>
        <v>0</v>
      </c>
      <c r="AF924" s="6">
        <f ca="1">$M$924*$Z$924</f>
        <v>38216.121290115603</v>
      </c>
      <c r="AG924" s="6">
        <f>$O$924*$AA$924</f>
        <v>73677.329368685707</v>
      </c>
    </row>
    <row r="925" spans="1:33" ht="11.25" customHeight="1" x14ac:dyDescent="0.25">
      <c r="A925" s="4" t="s">
        <v>21</v>
      </c>
      <c r="B925" s="4" t="s">
        <v>41</v>
      </c>
      <c r="C925" s="4" t="s">
        <v>44</v>
      </c>
      <c r="D925" s="4" t="s">
        <v>52</v>
      </c>
      <c r="E925" s="4" t="s">
        <v>53</v>
      </c>
      <c r="F925" s="4" t="s">
        <v>25</v>
      </c>
      <c r="G925" s="4" t="s">
        <v>25</v>
      </c>
      <c r="H925" s="4" t="s">
        <v>37</v>
      </c>
      <c r="I925" s="5">
        <v>44805</v>
      </c>
      <c r="J925" s="6">
        <v>0</v>
      </c>
      <c r="K925" s="42">
        <v>0</v>
      </c>
      <c r="L925" s="6">
        <v>2789.5410000000002</v>
      </c>
      <c r="M925" s="42">
        <v>2789.5410000000002</v>
      </c>
      <c r="N925" s="6">
        <v>2789.5410000000002</v>
      </c>
      <c r="O925" s="42">
        <v>2789.5410000000002</v>
      </c>
      <c r="P925" s="6">
        <v>0</v>
      </c>
      <c r="Q925" s="4" t="s">
        <v>26</v>
      </c>
      <c r="R925" s="4">
        <v>0</v>
      </c>
      <c r="S925" s="6">
        <v>0</v>
      </c>
      <c r="T925" s="6">
        <v>29</v>
      </c>
      <c r="U925" s="6">
        <v>75</v>
      </c>
      <c r="V925" s="42">
        <f>IF(ISERROR(VLOOKUP($S$925,'TAR FIN'!$A$1:$O$115,15,0)),0,VLOOKUP($S$925,'TAR FIN'!$A$1:$O$115,15,0))</f>
        <v>0</v>
      </c>
      <c r="W925" s="42">
        <f>IF(ISERROR(VLOOKUP($T$925,'TAR FIN'!$A$1:$O$115,15,0)),0,VLOOKUP($T$925,'TAR FIN'!$A$1:$O$115,15,0))*(1-0.06)</f>
        <v>79.251400000000004</v>
      </c>
      <c r="X925" s="42">
        <f>IF(ISERROR(VLOOKUP($U$925,'TAR FIN'!$A$1:$O$115,15,0)),0,VLOOKUP($U$925,'TAR FIN'!$A$1:$O$115,15,0))*(1-0.06)</f>
        <v>157.97639999999998</v>
      </c>
      <c r="Y925" s="42"/>
      <c r="Z925" s="42">
        <f ca="1">('TUSD BE'!$AM$29+'TUSD BF'!$AM$29+'TUSD CVA'!$AM$29)*1*(1-0.03)</f>
        <v>110.02827653849539</v>
      </c>
      <c r="AA925" s="42">
        <f>('TE BE'!$AB$12+'TE BF'!$AB$12+'TE CVA'!$AB$12)*1*(1-0.03)</f>
        <v>212.12486502371149</v>
      </c>
      <c r="AB925" s="6">
        <f>$K$925*$V$925</f>
        <v>0</v>
      </c>
      <c r="AC925" s="6">
        <f>$M$925*$W$925</f>
        <v>221075.02960740004</v>
      </c>
      <c r="AD925" s="6">
        <f>$O$925*$X$925</f>
        <v>440681.64483239996</v>
      </c>
      <c r="AE925" s="6">
        <f>$K$925*$Y$925</f>
        <v>0</v>
      </c>
      <c r="AF925" s="6">
        <f ca="1">$M$925*$Z$925</f>
        <v>306928.38856347097</v>
      </c>
      <c r="AG925" s="6">
        <f>$O$925*$AA$925</f>
        <v>591731.0081031092</v>
      </c>
    </row>
    <row r="926" spans="1:33" ht="11.25" customHeight="1" x14ac:dyDescent="0.25">
      <c r="A926" s="4" t="s">
        <v>28</v>
      </c>
      <c r="B926" s="4" t="s">
        <v>41</v>
      </c>
      <c r="C926" s="4" t="s">
        <v>44</v>
      </c>
      <c r="D926" s="4" t="s">
        <v>52</v>
      </c>
      <c r="E926" s="4" t="s">
        <v>53</v>
      </c>
      <c r="F926" s="4" t="s">
        <v>25</v>
      </c>
      <c r="G926" s="4" t="s">
        <v>25</v>
      </c>
      <c r="H926" s="4" t="s">
        <v>37</v>
      </c>
      <c r="I926" s="5">
        <v>44805</v>
      </c>
      <c r="J926" s="6">
        <v>0</v>
      </c>
      <c r="K926" s="42">
        <v>0</v>
      </c>
      <c r="L926" s="6">
        <v>345.07299999999998</v>
      </c>
      <c r="M926" s="42">
        <v>345.07299999999998</v>
      </c>
      <c r="N926" s="6">
        <v>345.07299999999998</v>
      </c>
      <c r="O926" s="42">
        <v>345.07299999999998</v>
      </c>
      <c r="P926" s="6">
        <v>0</v>
      </c>
      <c r="Q926" s="4" t="s">
        <v>26</v>
      </c>
      <c r="R926" s="4">
        <v>0</v>
      </c>
      <c r="S926" s="6">
        <v>0</v>
      </c>
      <c r="T926" s="6">
        <v>29</v>
      </c>
      <c r="U926" s="6">
        <v>75</v>
      </c>
      <c r="V926" s="42">
        <f>IF(ISERROR(VLOOKUP($S$926,'TAR FIN'!$A$1:$O$115,15,0)),0,VLOOKUP($S$926,'TAR FIN'!$A$1:$O$115,15,0))</f>
        <v>0</v>
      </c>
      <c r="W926" s="42">
        <f>IF(ISERROR(VLOOKUP($T$926,'TAR FIN'!$A$1:$O$115,15,0)),0,VLOOKUP($T$926,'TAR FIN'!$A$1:$O$115,15,0))*(1-0.06)</f>
        <v>79.251400000000004</v>
      </c>
      <c r="X926" s="42">
        <f>IF(ISERROR(VLOOKUP($U$926,'TAR FIN'!$A$1:$O$115,15,0)),0,VLOOKUP($U$926,'TAR FIN'!$A$1:$O$115,15,0))*(1-0.06)</f>
        <v>157.97639999999998</v>
      </c>
      <c r="Y926" s="42"/>
      <c r="Z926" s="42">
        <f ca="1">('TUSD BE'!$AM$29+'TUSD BF'!$AM$29+'TUSD CVA'!$AM$29)*1*(1-0.03)</f>
        <v>110.02827653849539</v>
      </c>
      <c r="AA926" s="42">
        <f>('TE BE'!$AB$12+'TE BF'!$AB$12+'TE CVA'!$AB$12)*1*(1-0.03)</f>
        <v>212.12486502371149</v>
      </c>
      <c r="AB926" s="6">
        <f>$K$926*$V$926</f>
        <v>0</v>
      </c>
      <c r="AC926" s="6">
        <f>$M$926*$W$926</f>
        <v>27347.518352200001</v>
      </c>
      <c r="AD926" s="6">
        <f>$O$926*$X$926</f>
        <v>54513.390277199993</v>
      </c>
      <c r="AE926" s="6">
        <f>$K$926*$Y$926</f>
        <v>0</v>
      </c>
      <c r="AF926" s="6">
        <f ca="1">$M$926*$Z$926</f>
        <v>37967.787469968214</v>
      </c>
      <c r="AG926" s="6">
        <f>$O$926*$AA$926</f>
        <v>73198.563548327191</v>
      </c>
    </row>
    <row r="927" spans="1:33" ht="11.25" customHeight="1" x14ac:dyDescent="0.25">
      <c r="A927" s="4" t="s">
        <v>21</v>
      </c>
      <c r="B927" s="4" t="s">
        <v>41</v>
      </c>
      <c r="C927" s="4" t="s">
        <v>44</v>
      </c>
      <c r="D927" s="4" t="s">
        <v>52</v>
      </c>
      <c r="E927" s="4" t="s">
        <v>53</v>
      </c>
      <c r="F927" s="4" t="s">
        <v>25</v>
      </c>
      <c r="G927" s="4" t="s">
        <v>25</v>
      </c>
      <c r="H927" s="4" t="s">
        <v>37</v>
      </c>
      <c r="I927" s="5">
        <v>44835</v>
      </c>
      <c r="J927" s="6">
        <v>0</v>
      </c>
      <c r="K927" s="42">
        <v>0</v>
      </c>
      <c r="L927" s="6">
        <v>2803.8290000000002</v>
      </c>
      <c r="M927" s="42">
        <v>2803.8290000000002</v>
      </c>
      <c r="N927" s="6">
        <v>2803.8290000000002</v>
      </c>
      <c r="O927" s="42">
        <v>2803.8290000000002</v>
      </c>
      <c r="P927" s="6">
        <v>0</v>
      </c>
      <c r="Q927" s="4" t="s">
        <v>26</v>
      </c>
      <c r="R927" s="4">
        <v>0</v>
      </c>
      <c r="S927" s="6">
        <v>0</v>
      </c>
      <c r="T927" s="6">
        <v>29</v>
      </c>
      <c r="U927" s="6">
        <v>75</v>
      </c>
      <c r="V927" s="42">
        <f>IF(ISERROR(VLOOKUP($S$927,'TAR FIN'!$A$1:$O$115,15,0)),0,VLOOKUP($S$927,'TAR FIN'!$A$1:$O$115,15,0))</f>
        <v>0</v>
      </c>
      <c r="W927" s="42">
        <f>IF(ISERROR(VLOOKUP($T$927,'TAR FIN'!$A$1:$O$115,15,0)),0,VLOOKUP($T$927,'TAR FIN'!$A$1:$O$115,15,0))*(1-0.06)</f>
        <v>79.251400000000004</v>
      </c>
      <c r="X927" s="42">
        <f>IF(ISERROR(VLOOKUP($U$927,'TAR FIN'!$A$1:$O$115,15,0)),0,VLOOKUP($U$927,'TAR FIN'!$A$1:$O$115,15,0))*(1-0.06)</f>
        <v>157.97639999999998</v>
      </c>
      <c r="Y927" s="42"/>
      <c r="Z927" s="42">
        <f ca="1">('TUSD BE'!$AM$29+'TUSD BF'!$AM$29+'TUSD CVA'!$AM$29)*1*(1-0.03)</f>
        <v>110.02827653849539</v>
      </c>
      <c r="AA927" s="42">
        <f>('TE BE'!$AB$12+'TE BF'!$AB$12+'TE CVA'!$AB$12)*1*(1-0.03)</f>
        <v>212.12486502371149</v>
      </c>
      <c r="AB927" s="6">
        <f>$K$927*$V$927</f>
        <v>0</v>
      </c>
      <c r="AC927" s="6">
        <f>$M$927*$W$927</f>
        <v>222207.37361060001</v>
      </c>
      <c r="AD927" s="6">
        <f>$O$927*$X$927</f>
        <v>442938.8116356</v>
      </c>
      <c r="AE927" s="6">
        <f>$K$927*$Y$927</f>
        <v>0</v>
      </c>
      <c r="AF927" s="6">
        <f ca="1">$M$927*$Z$927</f>
        <v>308500.47257865302</v>
      </c>
      <c r="AG927" s="6">
        <f>$O$927*$AA$927</f>
        <v>594761.84817456803</v>
      </c>
    </row>
    <row r="928" spans="1:33" ht="11.25" customHeight="1" x14ac:dyDescent="0.25">
      <c r="A928" s="4" t="s">
        <v>28</v>
      </c>
      <c r="B928" s="4" t="s">
        <v>41</v>
      </c>
      <c r="C928" s="4" t="s">
        <v>44</v>
      </c>
      <c r="D928" s="4" t="s">
        <v>52</v>
      </c>
      <c r="E928" s="4" t="s">
        <v>53</v>
      </c>
      <c r="F928" s="4" t="s">
        <v>25</v>
      </c>
      <c r="G928" s="4" t="s">
        <v>25</v>
      </c>
      <c r="H928" s="4" t="s">
        <v>37</v>
      </c>
      <c r="I928" s="5">
        <v>44835</v>
      </c>
      <c r="J928" s="6">
        <v>0</v>
      </c>
      <c r="K928" s="42">
        <v>0</v>
      </c>
      <c r="L928" s="6">
        <v>387.18</v>
      </c>
      <c r="M928" s="42">
        <v>387.18</v>
      </c>
      <c r="N928" s="6">
        <v>387.18</v>
      </c>
      <c r="O928" s="42">
        <v>387.18</v>
      </c>
      <c r="P928" s="6">
        <v>0</v>
      </c>
      <c r="Q928" s="4" t="s">
        <v>26</v>
      </c>
      <c r="R928" s="4">
        <v>0</v>
      </c>
      <c r="S928" s="6">
        <v>0</v>
      </c>
      <c r="T928" s="6">
        <v>29</v>
      </c>
      <c r="U928" s="6">
        <v>75</v>
      </c>
      <c r="V928" s="42">
        <f>IF(ISERROR(VLOOKUP($S$928,'TAR FIN'!$A$1:$O$115,15,0)),0,VLOOKUP($S$928,'TAR FIN'!$A$1:$O$115,15,0))</f>
        <v>0</v>
      </c>
      <c r="W928" s="42">
        <f>IF(ISERROR(VLOOKUP($T$928,'TAR FIN'!$A$1:$O$115,15,0)),0,VLOOKUP($T$928,'TAR FIN'!$A$1:$O$115,15,0))*(1-0.06)</f>
        <v>79.251400000000004</v>
      </c>
      <c r="X928" s="42">
        <f>IF(ISERROR(VLOOKUP($U$928,'TAR FIN'!$A$1:$O$115,15,0)),0,VLOOKUP($U$928,'TAR FIN'!$A$1:$O$115,15,0))*(1-0.06)</f>
        <v>157.97639999999998</v>
      </c>
      <c r="Y928" s="42"/>
      <c r="Z928" s="42">
        <f ca="1">('TUSD BE'!$AM$29+'TUSD BF'!$AM$29+'TUSD CVA'!$AM$29)*1*(1-0.03)</f>
        <v>110.02827653849539</v>
      </c>
      <c r="AA928" s="42">
        <f>('TE BE'!$AB$12+'TE BF'!$AB$12+'TE CVA'!$AB$12)*1*(1-0.03)</f>
        <v>212.12486502371149</v>
      </c>
      <c r="AB928" s="6">
        <f>$K$928*$V$928</f>
        <v>0</v>
      </c>
      <c r="AC928" s="6">
        <f>$M$928*$W$928</f>
        <v>30684.557052000004</v>
      </c>
      <c r="AD928" s="6">
        <f>$O$928*$X$928</f>
        <v>61165.302551999994</v>
      </c>
      <c r="AE928" s="6">
        <f>$K$928*$Y$928</f>
        <v>0</v>
      </c>
      <c r="AF928" s="6">
        <f ca="1">$M$928*$Z$928</f>
        <v>42600.748110174645</v>
      </c>
      <c r="AG928" s="6">
        <f>$O$928*$AA$928</f>
        <v>82130.505239880615</v>
      </c>
    </row>
    <row r="929" spans="1:33" ht="11.25" customHeight="1" x14ac:dyDescent="0.25">
      <c r="A929" s="4" t="s">
        <v>59</v>
      </c>
      <c r="B929" s="4" t="s">
        <v>41</v>
      </c>
      <c r="C929" s="4" t="s">
        <v>44</v>
      </c>
      <c r="D929" s="4" t="s">
        <v>52</v>
      </c>
      <c r="E929" s="4" t="s">
        <v>53</v>
      </c>
      <c r="F929" s="4" t="s">
        <v>25</v>
      </c>
      <c r="G929" s="4" t="s">
        <v>25</v>
      </c>
      <c r="H929" s="4" t="s">
        <v>37</v>
      </c>
      <c r="I929" s="5">
        <v>44866</v>
      </c>
      <c r="J929" s="6">
        <v>0</v>
      </c>
      <c r="K929" s="42">
        <v>0</v>
      </c>
      <c r="L929" s="6">
        <v>2803.8290000000002</v>
      </c>
      <c r="M929" s="42">
        <v>2803.8290000000002</v>
      </c>
      <c r="N929" s="6">
        <v>2803.8290000000002</v>
      </c>
      <c r="O929" s="42">
        <v>2803.8290000000002</v>
      </c>
      <c r="P929" s="6">
        <v>0</v>
      </c>
      <c r="Q929" s="4" t="s">
        <v>26</v>
      </c>
      <c r="R929" s="4">
        <v>0</v>
      </c>
      <c r="S929" s="6">
        <v>0</v>
      </c>
      <c r="T929" s="6">
        <v>29</v>
      </c>
      <c r="U929" s="6">
        <v>75</v>
      </c>
      <c r="V929" s="42">
        <f>IF(ISERROR(VLOOKUP($S$929,'TAR FIN'!$A$1:$O$115,15,0)),0,VLOOKUP($S$929,'TAR FIN'!$A$1:$O$115,15,0))</f>
        <v>0</v>
      </c>
      <c r="W929" s="42">
        <f>IF(ISERROR(VLOOKUP($T$929,'TAR FIN'!$A$1:$O$115,15,0)),0,VLOOKUP($T$929,'TAR FIN'!$A$1:$O$115,15,0))*(1-0.06)</f>
        <v>79.251400000000004</v>
      </c>
      <c r="X929" s="42">
        <f>IF(ISERROR(VLOOKUP($U$929,'TAR FIN'!$A$1:$O$115,15,0)),0,VLOOKUP($U$929,'TAR FIN'!$A$1:$O$115,15,0))*(1-0.06)</f>
        <v>157.97639999999998</v>
      </c>
      <c r="Y929" s="42"/>
      <c r="Z929" s="42">
        <f ca="1">('TUSD BE'!$AM$29+'TUSD BF'!$AM$29+'TUSD CVA'!$AM$29)*1*(1-0.03)</f>
        <v>110.02827653849539</v>
      </c>
      <c r="AA929" s="42">
        <f>('TE BE'!$AB$12+'TE BF'!$AB$12+'TE CVA'!$AB$12)*1*(1-0.03)</f>
        <v>212.12486502371149</v>
      </c>
      <c r="AB929" s="6">
        <f>$K$929*$V$929</f>
        <v>0</v>
      </c>
      <c r="AC929" s="6">
        <f>$M$929*$W$929</f>
        <v>222207.37361060001</v>
      </c>
      <c r="AD929" s="6">
        <f>$O$929*$X$929</f>
        <v>442938.8116356</v>
      </c>
      <c r="AE929" s="6">
        <f>$K$929*$Y$929</f>
        <v>0</v>
      </c>
      <c r="AF929" s="6">
        <f ca="1">$M$929*$Z$929</f>
        <v>308500.47257865302</v>
      </c>
      <c r="AG929" s="6">
        <f>$O$929*$AA$929</f>
        <v>594761.84817456803</v>
      </c>
    </row>
    <row r="930" spans="1:33" ht="11.25" customHeight="1" x14ac:dyDescent="0.25">
      <c r="A930" s="4" t="s">
        <v>59</v>
      </c>
      <c r="B930" s="4" t="s">
        <v>41</v>
      </c>
      <c r="C930" s="4" t="s">
        <v>44</v>
      </c>
      <c r="D930" s="4" t="s">
        <v>52</v>
      </c>
      <c r="E930" s="4" t="s">
        <v>53</v>
      </c>
      <c r="F930" s="4" t="s">
        <v>25</v>
      </c>
      <c r="G930" s="4" t="s">
        <v>25</v>
      </c>
      <c r="H930" s="4" t="s">
        <v>37</v>
      </c>
      <c r="I930" s="5">
        <v>44866</v>
      </c>
      <c r="J930" s="6">
        <v>0</v>
      </c>
      <c r="K930" s="42">
        <v>0</v>
      </c>
      <c r="L930" s="6">
        <v>387.18</v>
      </c>
      <c r="M930" s="42">
        <v>387.18</v>
      </c>
      <c r="N930" s="6">
        <v>387.18</v>
      </c>
      <c r="O930" s="42">
        <v>387.18</v>
      </c>
      <c r="P930" s="6">
        <v>0</v>
      </c>
      <c r="Q930" s="4" t="s">
        <v>26</v>
      </c>
      <c r="R930" s="4">
        <v>0</v>
      </c>
      <c r="S930" s="6">
        <v>0</v>
      </c>
      <c r="T930" s="6">
        <v>29</v>
      </c>
      <c r="U930" s="6">
        <v>75</v>
      </c>
      <c r="V930" s="42">
        <f>IF(ISERROR(VLOOKUP($S$930,'TAR FIN'!$A$1:$O$115,15,0)),0,VLOOKUP($S$930,'TAR FIN'!$A$1:$O$115,15,0))</f>
        <v>0</v>
      </c>
      <c r="W930" s="42">
        <f>IF(ISERROR(VLOOKUP($T$930,'TAR FIN'!$A$1:$O$115,15,0)),0,VLOOKUP($T$930,'TAR FIN'!$A$1:$O$115,15,0))*(1-0.06)</f>
        <v>79.251400000000004</v>
      </c>
      <c r="X930" s="42">
        <f>IF(ISERROR(VLOOKUP($U$930,'TAR FIN'!$A$1:$O$115,15,0)),0,VLOOKUP($U$930,'TAR FIN'!$A$1:$O$115,15,0))*(1-0.06)</f>
        <v>157.97639999999998</v>
      </c>
      <c r="Y930" s="42"/>
      <c r="Z930" s="42">
        <f ca="1">('TUSD BE'!$AM$29+'TUSD BF'!$AM$29+'TUSD CVA'!$AM$29)*1*(1-0.03)</f>
        <v>110.02827653849539</v>
      </c>
      <c r="AA930" s="42">
        <f>('TE BE'!$AB$12+'TE BF'!$AB$12+'TE CVA'!$AB$12)*1*(1-0.03)</f>
        <v>212.12486502371149</v>
      </c>
      <c r="AB930" s="6">
        <f>$K$930*$V$930</f>
        <v>0</v>
      </c>
      <c r="AC930" s="6">
        <f>$M$930*$W$930</f>
        <v>30684.557052000004</v>
      </c>
      <c r="AD930" s="6">
        <f>$O$930*$X$930</f>
        <v>61165.302551999994</v>
      </c>
      <c r="AE930" s="6">
        <f>$K$930*$Y$930</f>
        <v>0</v>
      </c>
      <c r="AF930" s="6">
        <f ca="1">$M$930*$Z$930</f>
        <v>42600.748110174645</v>
      </c>
      <c r="AG930" s="6">
        <f>$O$930*$AA$930</f>
        <v>82130.505239880615</v>
      </c>
    </row>
    <row r="931" spans="1:33" ht="11.25" customHeight="1" x14ac:dyDescent="0.25">
      <c r="A931" s="4" t="s">
        <v>21</v>
      </c>
      <c r="B931" s="4" t="s">
        <v>41</v>
      </c>
      <c r="C931" s="4" t="s">
        <v>44</v>
      </c>
      <c r="D931" s="4" t="s">
        <v>52</v>
      </c>
      <c r="E931" s="4" t="s">
        <v>53</v>
      </c>
      <c r="F931" s="4" t="s">
        <v>25</v>
      </c>
      <c r="G931" s="4" t="s">
        <v>25</v>
      </c>
      <c r="H931" s="4" t="s">
        <v>25</v>
      </c>
      <c r="I931" s="5">
        <v>44531</v>
      </c>
      <c r="J931" s="6">
        <v>5681</v>
      </c>
      <c r="K931" s="43">
        <v>5681</v>
      </c>
      <c r="L931" s="6">
        <v>0</v>
      </c>
      <c r="M931" s="42">
        <v>0</v>
      </c>
      <c r="N931" s="6">
        <v>0</v>
      </c>
      <c r="O931" s="42">
        <v>0</v>
      </c>
      <c r="P931" s="6">
        <v>29</v>
      </c>
      <c r="Q931" s="4" t="s">
        <v>26</v>
      </c>
      <c r="R931" s="4">
        <v>0</v>
      </c>
      <c r="S931" s="6">
        <v>27</v>
      </c>
      <c r="T931" s="6">
        <v>0</v>
      </c>
      <c r="U931" s="6">
        <v>0</v>
      </c>
      <c r="V931" s="42">
        <f>IF(ISERROR(VLOOKUP($S$931,'TAR FIN'!$A$1:$O$115,15,0)),0,VLOOKUP($S$931,'TAR FIN'!$A$1:$O$115,15,0))*(1-0.06)</f>
        <v>18.611999999999998</v>
      </c>
      <c r="W931" s="42">
        <f>IF(ISERROR(VLOOKUP($T$931,'TAR FIN'!$A$1:$O$115,15,0)),0,VLOOKUP($T$931,'TAR FIN'!$A$1:$O$115,15,0))</f>
        <v>0</v>
      </c>
      <c r="X931" s="42">
        <f>IF(ISERROR(VLOOKUP($U$931,'TAR FIN'!$A$1:$O$115,15,0)),0,VLOOKUP($U$931,'TAR FIN'!$A$1:$O$115,15,0))</f>
        <v>0</v>
      </c>
      <c r="Y931" s="42">
        <f ca="1">('TUSD BE'!$AM$27+'TUSD BF'!$AM$27+'TUSD CVA'!$AM$27)*1*(1-0.03)</f>
        <v>19.996757900318997</v>
      </c>
      <c r="Z931" s="42"/>
      <c r="AA931" s="42"/>
      <c r="AB931" s="6">
        <f>$K$931*$V$931</f>
        <v>105734.772</v>
      </c>
      <c r="AC931" s="6">
        <f>$M$931*$W$931</f>
        <v>0</v>
      </c>
      <c r="AD931" s="6">
        <f>$O$931*$X$931</f>
        <v>0</v>
      </c>
      <c r="AE931" s="6">
        <f ca="1">$K$931*$Y$931</f>
        <v>113601.58163171222</v>
      </c>
      <c r="AF931" s="6">
        <f>$M$931*$Z$931</f>
        <v>0</v>
      </c>
      <c r="AG931" s="6">
        <f>$O$931*$AA$931</f>
        <v>0</v>
      </c>
    </row>
    <row r="932" spans="1:33" ht="11.25" customHeight="1" x14ac:dyDescent="0.25">
      <c r="A932" s="4" t="s">
        <v>28</v>
      </c>
      <c r="B932" s="4" t="s">
        <v>41</v>
      </c>
      <c r="C932" s="4" t="s">
        <v>44</v>
      </c>
      <c r="D932" s="4" t="s">
        <v>52</v>
      </c>
      <c r="E932" s="4" t="s">
        <v>53</v>
      </c>
      <c r="F932" s="4" t="s">
        <v>25</v>
      </c>
      <c r="G932" s="4" t="s">
        <v>25</v>
      </c>
      <c r="H932" s="4" t="s">
        <v>25</v>
      </c>
      <c r="I932" s="5">
        <v>44531</v>
      </c>
      <c r="J932" s="6">
        <v>979</v>
      </c>
      <c r="K932" s="43">
        <v>979</v>
      </c>
      <c r="L932" s="6">
        <v>0</v>
      </c>
      <c r="M932" s="42">
        <v>0</v>
      </c>
      <c r="N932" s="6">
        <v>0</v>
      </c>
      <c r="O932" s="42">
        <v>0</v>
      </c>
      <c r="P932" s="6">
        <v>10</v>
      </c>
      <c r="Q932" s="4" t="s">
        <v>26</v>
      </c>
      <c r="R932" s="4">
        <v>0</v>
      </c>
      <c r="S932" s="6">
        <v>27</v>
      </c>
      <c r="T932" s="6">
        <v>0</v>
      </c>
      <c r="U932" s="6">
        <v>0</v>
      </c>
      <c r="V932" s="42">
        <f>IF(ISERROR(VLOOKUP($S$932,'TAR FIN'!$A$1:$O$115,15,0)),0,VLOOKUP($S$932,'TAR FIN'!$A$1:$O$115,15,0))*(1-0.06)</f>
        <v>18.611999999999998</v>
      </c>
      <c r="W932" s="42">
        <f>IF(ISERROR(VLOOKUP($T$932,'TAR FIN'!$A$1:$O$115,15,0)),0,VLOOKUP($T$932,'TAR FIN'!$A$1:$O$115,15,0))</f>
        <v>0</v>
      </c>
      <c r="X932" s="42">
        <f>IF(ISERROR(VLOOKUP($U$932,'TAR FIN'!$A$1:$O$115,15,0)),0,VLOOKUP($U$932,'TAR FIN'!$A$1:$O$115,15,0))</f>
        <v>0</v>
      </c>
      <c r="Y932" s="42">
        <f ca="1">('TUSD BE'!$AM$27+'TUSD BF'!$AM$27+'TUSD CVA'!$AM$27)*1*(1-0.03)</f>
        <v>19.996757900318997</v>
      </c>
      <c r="Z932" s="42"/>
      <c r="AA932" s="42"/>
      <c r="AB932" s="6">
        <f>$K$932*$V$932</f>
        <v>18221.147999999997</v>
      </c>
      <c r="AC932" s="6">
        <f>$M$932*$W$932</f>
        <v>0</v>
      </c>
      <c r="AD932" s="6">
        <f>$O$932*$X$932</f>
        <v>0</v>
      </c>
      <c r="AE932" s="6">
        <f ca="1">$K$932*$Y$932</f>
        <v>19576.825984412299</v>
      </c>
      <c r="AF932" s="6">
        <f>$M$932*$Z$932</f>
        <v>0</v>
      </c>
      <c r="AG932" s="6">
        <f>$O$932*$AA$932</f>
        <v>0</v>
      </c>
    </row>
    <row r="933" spans="1:33" ht="11.25" customHeight="1" x14ac:dyDescent="0.25">
      <c r="A933" s="4" t="s">
        <v>21</v>
      </c>
      <c r="B933" s="4" t="s">
        <v>41</v>
      </c>
      <c r="C933" s="4" t="s">
        <v>44</v>
      </c>
      <c r="D933" s="4" t="s">
        <v>52</v>
      </c>
      <c r="E933" s="4" t="s">
        <v>53</v>
      </c>
      <c r="F933" s="4" t="s">
        <v>25</v>
      </c>
      <c r="G933" s="4" t="s">
        <v>25</v>
      </c>
      <c r="H933" s="4" t="s">
        <v>25</v>
      </c>
      <c r="I933" s="5">
        <v>44562</v>
      </c>
      <c r="J933" s="6">
        <v>6635</v>
      </c>
      <c r="K933" s="43">
        <v>6635</v>
      </c>
      <c r="L933" s="6">
        <v>0</v>
      </c>
      <c r="M933" s="42">
        <v>0</v>
      </c>
      <c r="N933" s="6">
        <v>0</v>
      </c>
      <c r="O933" s="42">
        <v>0</v>
      </c>
      <c r="P933" s="6">
        <v>29</v>
      </c>
      <c r="Q933" s="4" t="s">
        <v>26</v>
      </c>
      <c r="R933" s="4">
        <v>0</v>
      </c>
      <c r="S933" s="6">
        <v>27</v>
      </c>
      <c r="T933" s="6">
        <v>0</v>
      </c>
      <c r="U933" s="6">
        <v>0</v>
      </c>
      <c r="V933" s="42">
        <f>IF(ISERROR(VLOOKUP($S$933,'TAR FIN'!$A$1:$O$115,15,0)),0,VLOOKUP($S$933,'TAR FIN'!$A$1:$O$115,15,0))*(1-0.06)</f>
        <v>18.611999999999998</v>
      </c>
      <c r="W933" s="42">
        <f>IF(ISERROR(VLOOKUP($T$933,'TAR FIN'!$A$1:$O$115,15,0)),0,VLOOKUP($T$933,'TAR FIN'!$A$1:$O$115,15,0))</f>
        <v>0</v>
      </c>
      <c r="X933" s="42">
        <f>IF(ISERROR(VLOOKUP($U$933,'TAR FIN'!$A$1:$O$115,15,0)),0,VLOOKUP($U$933,'TAR FIN'!$A$1:$O$115,15,0))</f>
        <v>0</v>
      </c>
      <c r="Y933" s="42">
        <f ca="1">('TUSD BE'!$AM$27+'TUSD BF'!$AM$27+'TUSD CVA'!$AM$27)*1*(1-0.03)</f>
        <v>19.996757900318997</v>
      </c>
      <c r="Z933" s="42"/>
      <c r="AA933" s="42"/>
      <c r="AB933" s="6">
        <f>$K$933*$V$933</f>
        <v>123490.62</v>
      </c>
      <c r="AC933" s="6">
        <f>$M$933*$W$933</f>
        <v>0</v>
      </c>
      <c r="AD933" s="6">
        <f>$O$933*$X$933</f>
        <v>0</v>
      </c>
      <c r="AE933" s="6">
        <f ca="1">$K$933*$Y$933</f>
        <v>132678.48866861654</v>
      </c>
      <c r="AF933" s="6">
        <f>$M$933*$Z$933</f>
        <v>0</v>
      </c>
      <c r="AG933" s="6">
        <f>$O$933*$AA$933</f>
        <v>0</v>
      </c>
    </row>
    <row r="934" spans="1:33" ht="11.25" customHeight="1" x14ac:dyDescent="0.25">
      <c r="A934" s="4" t="s">
        <v>28</v>
      </c>
      <c r="B934" s="4" t="s">
        <v>41</v>
      </c>
      <c r="C934" s="4" t="s">
        <v>44</v>
      </c>
      <c r="D934" s="4" t="s">
        <v>52</v>
      </c>
      <c r="E934" s="4" t="s">
        <v>53</v>
      </c>
      <c r="F934" s="4" t="s">
        <v>25</v>
      </c>
      <c r="G934" s="4" t="s">
        <v>25</v>
      </c>
      <c r="H934" s="4" t="s">
        <v>25</v>
      </c>
      <c r="I934" s="5">
        <v>44562</v>
      </c>
      <c r="J934" s="6">
        <v>965</v>
      </c>
      <c r="K934" s="43">
        <v>965</v>
      </c>
      <c r="L934" s="6">
        <v>0</v>
      </c>
      <c r="M934" s="42">
        <v>0</v>
      </c>
      <c r="N934" s="6">
        <v>0</v>
      </c>
      <c r="O934" s="42">
        <v>0</v>
      </c>
      <c r="P934" s="6">
        <v>10</v>
      </c>
      <c r="Q934" s="4" t="s">
        <v>26</v>
      </c>
      <c r="R934" s="4">
        <v>0</v>
      </c>
      <c r="S934" s="6">
        <v>27</v>
      </c>
      <c r="T934" s="6">
        <v>0</v>
      </c>
      <c r="U934" s="6">
        <v>0</v>
      </c>
      <c r="V934" s="42">
        <f>IF(ISERROR(VLOOKUP($S$934,'TAR FIN'!$A$1:$O$115,15,0)),0,VLOOKUP($S$934,'TAR FIN'!$A$1:$O$115,15,0))*(1-0.06)</f>
        <v>18.611999999999998</v>
      </c>
      <c r="W934" s="42">
        <f>IF(ISERROR(VLOOKUP($T$934,'TAR FIN'!$A$1:$O$115,15,0)),0,VLOOKUP($T$934,'TAR FIN'!$A$1:$O$115,15,0))</f>
        <v>0</v>
      </c>
      <c r="X934" s="42">
        <f>IF(ISERROR(VLOOKUP($U$934,'TAR FIN'!$A$1:$O$115,15,0)),0,VLOOKUP($U$934,'TAR FIN'!$A$1:$O$115,15,0))</f>
        <v>0</v>
      </c>
      <c r="Y934" s="42">
        <f ca="1">('TUSD BE'!$AM$27+'TUSD BF'!$AM$27+'TUSD CVA'!$AM$27)*1*(1-0.03)</f>
        <v>19.996757900318997</v>
      </c>
      <c r="Z934" s="42"/>
      <c r="AA934" s="42"/>
      <c r="AB934" s="6">
        <f>$K$934*$V$934</f>
        <v>17960.579999999998</v>
      </c>
      <c r="AC934" s="6">
        <f>$M$934*$W$934</f>
        <v>0</v>
      </c>
      <c r="AD934" s="6">
        <f>$O$934*$X$934</f>
        <v>0</v>
      </c>
      <c r="AE934" s="6">
        <f ca="1">$K$934*$Y$934</f>
        <v>19296.871373807833</v>
      </c>
      <c r="AF934" s="6">
        <f>$M$934*$Z$934</f>
        <v>0</v>
      </c>
      <c r="AG934" s="6">
        <f>$O$934*$AA$934</f>
        <v>0</v>
      </c>
    </row>
    <row r="935" spans="1:33" ht="11.25" customHeight="1" x14ac:dyDescent="0.25">
      <c r="A935" s="4" t="s">
        <v>21</v>
      </c>
      <c r="B935" s="4" t="s">
        <v>41</v>
      </c>
      <c r="C935" s="4" t="s">
        <v>44</v>
      </c>
      <c r="D935" s="4" t="s">
        <v>52</v>
      </c>
      <c r="E935" s="4" t="s">
        <v>53</v>
      </c>
      <c r="F935" s="4" t="s">
        <v>25</v>
      </c>
      <c r="G935" s="4" t="s">
        <v>25</v>
      </c>
      <c r="H935" s="4" t="s">
        <v>25</v>
      </c>
      <c r="I935" s="5">
        <v>44593</v>
      </c>
      <c r="J935" s="6">
        <v>6429</v>
      </c>
      <c r="K935" s="43">
        <v>6429</v>
      </c>
      <c r="L935" s="6">
        <v>0</v>
      </c>
      <c r="M935" s="42">
        <v>0</v>
      </c>
      <c r="N935" s="6">
        <v>0</v>
      </c>
      <c r="O935" s="42">
        <v>0</v>
      </c>
      <c r="P935" s="6">
        <v>29</v>
      </c>
      <c r="Q935" s="4" t="s">
        <v>26</v>
      </c>
      <c r="R935" s="4">
        <v>0</v>
      </c>
      <c r="S935" s="6">
        <v>27</v>
      </c>
      <c r="T935" s="6">
        <v>0</v>
      </c>
      <c r="U935" s="6">
        <v>0</v>
      </c>
      <c r="V935" s="42">
        <f>IF(ISERROR(VLOOKUP($S$935,'TAR FIN'!$A$1:$O$115,15,0)),0,VLOOKUP($S$935,'TAR FIN'!$A$1:$O$115,15,0))*(1-0.06)</f>
        <v>18.611999999999998</v>
      </c>
      <c r="W935" s="42">
        <f>IF(ISERROR(VLOOKUP($T$935,'TAR FIN'!$A$1:$O$115,15,0)),0,VLOOKUP($T$935,'TAR FIN'!$A$1:$O$115,15,0))</f>
        <v>0</v>
      </c>
      <c r="X935" s="42">
        <f>IF(ISERROR(VLOOKUP($U$935,'TAR FIN'!$A$1:$O$115,15,0)),0,VLOOKUP($U$935,'TAR FIN'!$A$1:$O$115,15,0))</f>
        <v>0</v>
      </c>
      <c r="Y935" s="42">
        <f ca="1">('TUSD BE'!$AM$27+'TUSD BF'!$AM$27+'TUSD CVA'!$AM$27)*1*(1-0.03)</f>
        <v>19.996757900318997</v>
      </c>
      <c r="Z935" s="42"/>
      <c r="AA935" s="42"/>
      <c r="AB935" s="6">
        <f>$K$935*$V$935</f>
        <v>119656.548</v>
      </c>
      <c r="AC935" s="6">
        <f>$M$935*$W$935</f>
        <v>0</v>
      </c>
      <c r="AD935" s="6">
        <f>$O$935*$X$935</f>
        <v>0</v>
      </c>
      <c r="AE935" s="6">
        <f ca="1">$K$935*$Y$935</f>
        <v>128559.15654115083</v>
      </c>
      <c r="AF935" s="6">
        <f>$M$935*$Z$935</f>
        <v>0</v>
      </c>
      <c r="AG935" s="6">
        <f>$O$935*$AA$935</f>
        <v>0</v>
      </c>
    </row>
    <row r="936" spans="1:33" ht="11.25" customHeight="1" x14ac:dyDescent="0.25">
      <c r="A936" s="4" t="s">
        <v>28</v>
      </c>
      <c r="B936" s="4" t="s">
        <v>41</v>
      </c>
      <c r="C936" s="4" t="s">
        <v>44</v>
      </c>
      <c r="D936" s="4" t="s">
        <v>52</v>
      </c>
      <c r="E936" s="4" t="s">
        <v>53</v>
      </c>
      <c r="F936" s="4" t="s">
        <v>25</v>
      </c>
      <c r="G936" s="4" t="s">
        <v>25</v>
      </c>
      <c r="H936" s="4" t="s">
        <v>25</v>
      </c>
      <c r="I936" s="5">
        <v>44593</v>
      </c>
      <c r="J936" s="6">
        <v>970</v>
      </c>
      <c r="K936" s="43">
        <v>970</v>
      </c>
      <c r="L936" s="6">
        <v>0</v>
      </c>
      <c r="M936" s="42">
        <v>0</v>
      </c>
      <c r="N936" s="6">
        <v>0</v>
      </c>
      <c r="O936" s="42">
        <v>0</v>
      </c>
      <c r="P936" s="6">
        <v>10</v>
      </c>
      <c r="Q936" s="4" t="s">
        <v>26</v>
      </c>
      <c r="R936" s="4">
        <v>0</v>
      </c>
      <c r="S936" s="6">
        <v>27</v>
      </c>
      <c r="T936" s="6">
        <v>0</v>
      </c>
      <c r="U936" s="6">
        <v>0</v>
      </c>
      <c r="V936" s="42">
        <f>IF(ISERROR(VLOOKUP($S$936,'TAR FIN'!$A$1:$O$115,15,0)),0,VLOOKUP($S$936,'TAR FIN'!$A$1:$O$115,15,0))*(1-0.06)</f>
        <v>18.611999999999998</v>
      </c>
      <c r="W936" s="42">
        <f>IF(ISERROR(VLOOKUP($T$936,'TAR FIN'!$A$1:$O$115,15,0)),0,VLOOKUP($T$936,'TAR FIN'!$A$1:$O$115,15,0))</f>
        <v>0</v>
      </c>
      <c r="X936" s="42">
        <f>IF(ISERROR(VLOOKUP($U$936,'TAR FIN'!$A$1:$O$115,15,0)),0,VLOOKUP($U$936,'TAR FIN'!$A$1:$O$115,15,0))</f>
        <v>0</v>
      </c>
      <c r="Y936" s="42">
        <f ca="1">('TUSD BE'!$AM$27+'TUSD BF'!$AM$27+'TUSD CVA'!$AM$27)*1*(1-0.03)</f>
        <v>19.996757900318997</v>
      </c>
      <c r="Z936" s="42"/>
      <c r="AA936" s="42"/>
      <c r="AB936" s="6">
        <f>$K$936*$V$936</f>
        <v>18053.64</v>
      </c>
      <c r="AC936" s="6">
        <f>$M$936*$W$936</f>
        <v>0</v>
      </c>
      <c r="AD936" s="6">
        <f>$O$936*$X$936</f>
        <v>0</v>
      </c>
      <c r="AE936" s="6">
        <f ca="1">$K$936*$Y$936</f>
        <v>19396.855163309428</v>
      </c>
      <c r="AF936" s="6">
        <f>$M$936*$Z$936</f>
        <v>0</v>
      </c>
      <c r="AG936" s="6">
        <f>$O$936*$AA$936</f>
        <v>0</v>
      </c>
    </row>
    <row r="937" spans="1:33" ht="11.25" customHeight="1" x14ac:dyDescent="0.25">
      <c r="A937" s="4" t="s">
        <v>21</v>
      </c>
      <c r="B937" s="4" t="s">
        <v>41</v>
      </c>
      <c r="C937" s="4" t="s">
        <v>44</v>
      </c>
      <c r="D937" s="4" t="s">
        <v>52</v>
      </c>
      <c r="E937" s="4" t="s">
        <v>53</v>
      </c>
      <c r="F937" s="4" t="s">
        <v>25</v>
      </c>
      <c r="G937" s="4" t="s">
        <v>25</v>
      </c>
      <c r="H937" s="4" t="s">
        <v>25</v>
      </c>
      <c r="I937" s="5">
        <v>44621</v>
      </c>
      <c r="J937" s="6">
        <v>6431</v>
      </c>
      <c r="K937" s="43">
        <v>6431</v>
      </c>
      <c r="L937" s="6">
        <v>0</v>
      </c>
      <c r="M937" s="42">
        <v>0</v>
      </c>
      <c r="N937" s="6">
        <v>0</v>
      </c>
      <c r="O937" s="42">
        <v>0</v>
      </c>
      <c r="P937" s="6">
        <v>29</v>
      </c>
      <c r="Q937" s="4" t="s">
        <v>26</v>
      </c>
      <c r="R937" s="4">
        <v>0</v>
      </c>
      <c r="S937" s="6">
        <v>27</v>
      </c>
      <c r="T937" s="6">
        <v>0</v>
      </c>
      <c r="U937" s="6">
        <v>0</v>
      </c>
      <c r="V937" s="42">
        <f>IF(ISERROR(VLOOKUP($S$937,'TAR FIN'!$A$1:$O$115,15,0)),0,VLOOKUP($S$937,'TAR FIN'!$A$1:$O$115,15,0))*(1-0.06)</f>
        <v>18.611999999999998</v>
      </c>
      <c r="W937" s="42">
        <f>IF(ISERROR(VLOOKUP($T$937,'TAR FIN'!$A$1:$O$115,15,0)),0,VLOOKUP($T$937,'TAR FIN'!$A$1:$O$115,15,0))</f>
        <v>0</v>
      </c>
      <c r="X937" s="42">
        <f>IF(ISERROR(VLOOKUP($U$937,'TAR FIN'!$A$1:$O$115,15,0)),0,VLOOKUP($U$937,'TAR FIN'!$A$1:$O$115,15,0))</f>
        <v>0</v>
      </c>
      <c r="Y937" s="42">
        <f ca="1">('TUSD BE'!$AM$27+'TUSD BF'!$AM$27+'TUSD CVA'!$AM$27)*1*(1-0.03)</f>
        <v>19.996757900318997</v>
      </c>
      <c r="Z937" s="42"/>
      <c r="AA937" s="42"/>
      <c r="AB937" s="6">
        <f>$K$937*$V$937</f>
        <v>119693.77199999998</v>
      </c>
      <c r="AC937" s="6">
        <f>$M$937*$W$937</f>
        <v>0</v>
      </c>
      <c r="AD937" s="6">
        <f>$O$937*$X$937</f>
        <v>0</v>
      </c>
      <c r="AE937" s="6">
        <f ca="1">$K$937*$Y$937</f>
        <v>128599.15005695148</v>
      </c>
      <c r="AF937" s="6">
        <f>$M$937*$Z$937</f>
        <v>0</v>
      </c>
      <c r="AG937" s="6">
        <f>$O$937*$AA$937</f>
        <v>0</v>
      </c>
    </row>
    <row r="938" spans="1:33" ht="11.25" customHeight="1" x14ac:dyDescent="0.25">
      <c r="A938" s="4" t="s">
        <v>28</v>
      </c>
      <c r="B938" s="4" t="s">
        <v>41</v>
      </c>
      <c r="C938" s="4" t="s">
        <v>44</v>
      </c>
      <c r="D938" s="4" t="s">
        <v>52</v>
      </c>
      <c r="E938" s="4" t="s">
        <v>53</v>
      </c>
      <c r="F938" s="4" t="s">
        <v>25</v>
      </c>
      <c r="G938" s="4" t="s">
        <v>25</v>
      </c>
      <c r="H938" s="4" t="s">
        <v>25</v>
      </c>
      <c r="I938" s="5">
        <v>44621</v>
      </c>
      <c r="J938" s="6">
        <v>974</v>
      </c>
      <c r="K938" s="43">
        <v>974</v>
      </c>
      <c r="L938" s="6">
        <v>0</v>
      </c>
      <c r="M938" s="42">
        <v>0</v>
      </c>
      <c r="N938" s="6">
        <v>0</v>
      </c>
      <c r="O938" s="42">
        <v>0</v>
      </c>
      <c r="P938" s="6">
        <v>10</v>
      </c>
      <c r="Q938" s="4" t="s">
        <v>26</v>
      </c>
      <c r="R938" s="4">
        <v>0</v>
      </c>
      <c r="S938" s="6">
        <v>27</v>
      </c>
      <c r="T938" s="6">
        <v>0</v>
      </c>
      <c r="U938" s="6">
        <v>0</v>
      </c>
      <c r="V938" s="42">
        <f>IF(ISERROR(VLOOKUP($S$938,'TAR FIN'!$A$1:$O$115,15,0)),0,VLOOKUP($S$938,'TAR FIN'!$A$1:$O$115,15,0))*(1-0.06)</f>
        <v>18.611999999999998</v>
      </c>
      <c r="W938" s="42">
        <f>IF(ISERROR(VLOOKUP($T$938,'TAR FIN'!$A$1:$O$115,15,0)),0,VLOOKUP($T$938,'TAR FIN'!$A$1:$O$115,15,0))</f>
        <v>0</v>
      </c>
      <c r="X938" s="42">
        <f>IF(ISERROR(VLOOKUP($U$938,'TAR FIN'!$A$1:$O$115,15,0)),0,VLOOKUP($U$938,'TAR FIN'!$A$1:$O$115,15,0))</f>
        <v>0</v>
      </c>
      <c r="Y938" s="42">
        <f ca="1">('TUSD BE'!$AM$27+'TUSD BF'!$AM$27+'TUSD CVA'!$AM$27)*1*(1-0.03)</f>
        <v>19.996757900318997</v>
      </c>
      <c r="Z938" s="42"/>
      <c r="AA938" s="42"/>
      <c r="AB938" s="6">
        <f>$K$938*$V$938</f>
        <v>18128.088</v>
      </c>
      <c r="AC938" s="6">
        <f>$M$938*$W$938</f>
        <v>0</v>
      </c>
      <c r="AD938" s="6">
        <f>$O$938*$X$938</f>
        <v>0</v>
      </c>
      <c r="AE938" s="6">
        <f ca="1">$K$938*$Y$938</f>
        <v>19476.842194910703</v>
      </c>
      <c r="AF938" s="6">
        <f>$M$938*$Z$938</f>
        <v>0</v>
      </c>
      <c r="AG938" s="6">
        <f>$O$938*$AA$938</f>
        <v>0</v>
      </c>
    </row>
    <row r="939" spans="1:33" ht="11.25" customHeight="1" x14ac:dyDescent="0.25">
      <c r="A939" s="4" t="s">
        <v>21</v>
      </c>
      <c r="B939" s="4" t="s">
        <v>41</v>
      </c>
      <c r="C939" s="4" t="s">
        <v>44</v>
      </c>
      <c r="D939" s="4" t="s">
        <v>52</v>
      </c>
      <c r="E939" s="4" t="s">
        <v>53</v>
      </c>
      <c r="F939" s="4" t="s">
        <v>25</v>
      </c>
      <c r="G939" s="4" t="s">
        <v>25</v>
      </c>
      <c r="H939" s="4" t="s">
        <v>25</v>
      </c>
      <c r="I939" s="5">
        <v>44652</v>
      </c>
      <c r="J939" s="6">
        <v>6380</v>
      </c>
      <c r="K939" s="43">
        <v>6380</v>
      </c>
      <c r="L939" s="6">
        <v>0</v>
      </c>
      <c r="M939" s="42">
        <v>0</v>
      </c>
      <c r="N939" s="6">
        <v>0</v>
      </c>
      <c r="O939" s="42">
        <v>0</v>
      </c>
      <c r="P939" s="6">
        <v>29</v>
      </c>
      <c r="Q939" s="4" t="s">
        <v>26</v>
      </c>
      <c r="R939" s="4">
        <v>0</v>
      </c>
      <c r="S939" s="6">
        <v>27</v>
      </c>
      <c r="T939" s="6">
        <v>0</v>
      </c>
      <c r="U939" s="6">
        <v>0</v>
      </c>
      <c r="V939" s="42">
        <f>IF(ISERROR(VLOOKUP($S$939,'TAR FIN'!$A$1:$O$115,15,0)),0,VLOOKUP($S$939,'TAR FIN'!$A$1:$O$115,15,0))*(1-0.06)</f>
        <v>18.611999999999998</v>
      </c>
      <c r="W939" s="42">
        <f>IF(ISERROR(VLOOKUP($T$939,'TAR FIN'!$A$1:$O$115,15,0)),0,VLOOKUP($T$939,'TAR FIN'!$A$1:$O$115,15,0))</f>
        <v>0</v>
      </c>
      <c r="X939" s="42">
        <f>IF(ISERROR(VLOOKUP($U$939,'TAR FIN'!$A$1:$O$115,15,0)),0,VLOOKUP($U$939,'TAR FIN'!$A$1:$O$115,15,0))</f>
        <v>0</v>
      </c>
      <c r="Y939" s="42">
        <f ca="1">('TUSD BE'!$AM$27+'TUSD BF'!$AM$27+'TUSD CVA'!$AM$27)*1*(1-0.03)</f>
        <v>19.996757900318997</v>
      </c>
      <c r="Z939" s="42"/>
      <c r="AA939" s="42"/>
      <c r="AB939" s="6">
        <f>$K$939*$V$939</f>
        <v>118744.55999999998</v>
      </c>
      <c r="AC939" s="6">
        <f>$M$939*$W$939</f>
        <v>0</v>
      </c>
      <c r="AD939" s="6">
        <f>$O$939*$X$939</f>
        <v>0</v>
      </c>
      <c r="AE939" s="6">
        <f ca="1">$K$939*$Y$939</f>
        <v>127579.31540403519</v>
      </c>
      <c r="AF939" s="6">
        <f>$M$939*$Z$939</f>
        <v>0</v>
      </c>
      <c r="AG939" s="6">
        <f>$O$939*$AA$939</f>
        <v>0</v>
      </c>
    </row>
    <row r="940" spans="1:33" ht="11.25" customHeight="1" x14ac:dyDescent="0.25">
      <c r="A940" s="4" t="s">
        <v>28</v>
      </c>
      <c r="B940" s="4" t="s">
        <v>41</v>
      </c>
      <c r="C940" s="4" t="s">
        <v>44</v>
      </c>
      <c r="D940" s="4" t="s">
        <v>52</v>
      </c>
      <c r="E940" s="4" t="s">
        <v>53</v>
      </c>
      <c r="F940" s="4" t="s">
        <v>25</v>
      </c>
      <c r="G940" s="4" t="s">
        <v>25</v>
      </c>
      <c r="H940" s="4" t="s">
        <v>25</v>
      </c>
      <c r="I940" s="5">
        <v>44652</v>
      </c>
      <c r="J940" s="6">
        <v>1001</v>
      </c>
      <c r="K940" s="43">
        <v>1001</v>
      </c>
      <c r="L940" s="6">
        <v>0</v>
      </c>
      <c r="M940" s="42">
        <v>0</v>
      </c>
      <c r="N940" s="6">
        <v>0</v>
      </c>
      <c r="O940" s="42">
        <v>0</v>
      </c>
      <c r="P940" s="6">
        <v>10</v>
      </c>
      <c r="Q940" s="4" t="s">
        <v>26</v>
      </c>
      <c r="R940" s="4">
        <v>0</v>
      </c>
      <c r="S940" s="6">
        <v>27</v>
      </c>
      <c r="T940" s="6">
        <v>0</v>
      </c>
      <c r="U940" s="6">
        <v>0</v>
      </c>
      <c r="V940" s="42">
        <f>IF(ISERROR(VLOOKUP($S$940,'TAR FIN'!$A$1:$O$115,15,0)),0,VLOOKUP($S$940,'TAR FIN'!$A$1:$O$115,15,0))*(1-0.06)</f>
        <v>18.611999999999998</v>
      </c>
      <c r="W940" s="42">
        <f>IF(ISERROR(VLOOKUP($T$940,'TAR FIN'!$A$1:$O$115,15,0)),0,VLOOKUP($T$940,'TAR FIN'!$A$1:$O$115,15,0))</f>
        <v>0</v>
      </c>
      <c r="X940" s="42">
        <f>IF(ISERROR(VLOOKUP($U$940,'TAR FIN'!$A$1:$O$115,15,0)),0,VLOOKUP($U$940,'TAR FIN'!$A$1:$O$115,15,0))</f>
        <v>0</v>
      </c>
      <c r="Y940" s="42">
        <f ca="1">('TUSD BE'!$AM$27+'TUSD BF'!$AM$27+'TUSD CVA'!$AM$27)*1*(1-0.03)</f>
        <v>19.996757900318997</v>
      </c>
      <c r="Z940" s="42"/>
      <c r="AA940" s="42"/>
      <c r="AB940" s="6">
        <f>$K$940*$V$940</f>
        <v>18630.611999999997</v>
      </c>
      <c r="AC940" s="6">
        <f>$M$940*$W$940</f>
        <v>0</v>
      </c>
      <c r="AD940" s="6">
        <f>$O$940*$X$940</f>
        <v>0</v>
      </c>
      <c r="AE940" s="6">
        <f ca="1">$K$940*$Y$940</f>
        <v>20016.754658219317</v>
      </c>
      <c r="AF940" s="6">
        <f>$M$940*$Z$940</f>
        <v>0</v>
      </c>
      <c r="AG940" s="6">
        <f>$O$940*$AA$940</f>
        <v>0</v>
      </c>
    </row>
    <row r="941" spans="1:33" ht="11.25" customHeight="1" x14ac:dyDescent="0.25">
      <c r="A941" s="4" t="s">
        <v>21</v>
      </c>
      <c r="B941" s="4" t="s">
        <v>41</v>
      </c>
      <c r="C941" s="4" t="s">
        <v>44</v>
      </c>
      <c r="D941" s="4" t="s">
        <v>52</v>
      </c>
      <c r="E941" s="4" t="s">
        <v>53</v>
      </c>
      <c r="F941" s="4" t="s">
        <v>25</v>
      </c>
      <c r="G941" s="4" t="s">
        <v>25</v>
      </c>
      <c r="H941" s="4" t="s">
        <v>25</v>
      </c>
      <c r="I941" s="5">
        <v>44682</v>
      </c>
      <c r="J941" s="6">
        <v>6385</v>
      </c>
      <c r="K941" s="43">
        <v>6385</v>
      </c>
      <c r="L941" s="6">
        <v>0</v>
      </c>
      <c r="M941" s="42">
        <v>0</v>
      </c>
      <c r="N941" s="6">
        <v>0</v>
      </c>
      <c r="O941" s="42">
        <v>0</v>
      </c>
      <c r="P941" s="6">
        <v>29</v>
      </c>
      <c r="Q941" s="4" t="s">
        <v>26</v>
      </c>
      <c r="R941" s="4">
        <v>0</v>
      </c>
      <c r="S941" s="6">
        <v>27</v>
      </c>
      <c r="T941" s="6">
        <v>0</v>
      </c>
      <c r="U941" s="6">
        <v>0</v>
      </c>
      <c r="V941" s="42">
        <f>IF(ISERROR(VLOOKUP($S$941,'TAR FIN'!$A$1:$O$115,15,0)),0,VLOOKUP($S$941,'TAR FIN'!$A$1:$O$115,15,0))*(1-0.06)</f>
        <v>18.611999999999998</v>
      </c>
      <c r="W941" s="42">
        <f>IF(ISERROR(VLOOKUP($T$941,'TAR FIN'!$A$1:$O$115,15,0)),0,VLOOKUP($T$941,'TAR FIN'!$A$1:$O$115,15,0))</f>
        <v>0</v>
      </c>
      <c r="X941" s="42">
        <f>IF(ISERROR(VLOOKUP($U$941,'TAR FIN'!$A$1:$O$115,15,0)),0,VLOOKUP($U$941,'TAR FIN'!$A$1:$O$115,15,0))</f>
        <v>0</v>
      </c>
      <c r="Y941" s="42">
        <f ca="1">('TUSD BE'!$AM$27+'TUSD BF'!$AM$27+'TUSD CVA'!$AM$27)*1*(1-0.03)</f>
        <v>19.996757900318997</v>
      </c>
      <c r="Z941" s="42"/>
      <c r="AA941" s="42"/>
      <c r="AB941" s="6">
        <f>$K$941*$V$941</f>
        <v>118837.62</v>
      </c>
      <c r="AC941" s="6">
        <f>$M$941*$W$941</f>
        <v>0</v>
      </c>
      <c r="AD941" s="6">
        <f>$O$941*$X$941</f>
        <v>0</v>
      </c>
      <c r="AE941" s="6">
        <f ca="1">$K$941*$Y$941</f>
        <v>127679.29919353679</v>
      </c>
      <c r="AF941" s="6">
        <f>$M$941*$Z$941</f>
        <v>0</v>
      </c>
      <c r="AG941" s="6">
        <f>$O$941*$AA$941</f>
        <v>0</v>
      </c>
    </row>
    <row r="942" spans="1:33" ht="11.25" customHeight="1" x14ac:dyDescent="0.25">
      <c r="A942" s="4" t="s">
        <v>28</v>
      </c>
      <c r="B942" s="4" t="s">
        <v>41</v>
      </c>
      <c r="C942" s="4" t="s">
        <v>44</v>
      </c>
      <c r="D942" s="4" t="s">
        <v>52</v>
      </c>
      <c r="E942" s="4" t="s">
        <v>53</v>
      </c>
      <c r="F942" s="4" t="s">
        <v>25</v>
      </c>
      <c r="G942" s="4" t="s">
        <v>25</v>
      </c>
      <c r="H942" s="4" t="s">
        <v>25</v>
      </c>
      <c r="I942" s="5">
        <v>44682</v>
      </c>
      <c r="J942" s="6">
        <v>976</v>
      </c>
      <c r="K942" s="43">
        <v>976</v>
      </c>
      <c r="L942" s="6">
        <v>0</v>
      </c>
      <c r="M942" s="42">
        <v>0</v>
      </c>
      <c r="N942" s="6">
        <v>0</v>
      </c>
      <c r="O942" s="42">
        <v>0</v>
      </c>
      <c r="P942" s="6">
        <v>10</v>
      </c>
      <c r="Q942" s="4" t="s">
        <v>26</v>
      </c>
      <c r="R942" s="4">
        <v>0</v>
      </c>
      <c r="S942" s="6">
        <v>27</v>
      </c>
      <c r="T942" s="6">
        <v>0</v>
      </c>
      <c r="U942" s="6">
        <v>0</v>
      </c>
      <c r="V942" s="42">
        <f>IF(ISERROR(VLOOKUP($S$942,'TAR FIN'!$A$1:$O$115,15,0)),0,VLOOKUP($S$942,'TAR FIN'!$A$1:$O$115,15,0))*(1-0.06)</f>
        <v>18.611999999999998</v>
      </c>
      <c r="W942" s="42">
        <f>IF(ISERROR(VLOOKUP($T$942,'TAR FIN'!$A$1:$O$115,15,0)),0,VLOOKUP($T$942,'TAR FIN'!$A$1:$O$115,15,0))</f>
        <v>0</v>
      </c>
      <c r="X942" s="42">
        <f>IF(ISERROR(VLOOKUP($U$942,'TAR FIN'!$A$1:$O$115,15,0)),0,VLOOKUP($U$942,'TAR FIN'!$A$1:$O$115,15,0))</f>
        <v>0</v>
      </c>
      <c r="Y942" s="42">
        <f ca="1">('TUSD BE'!$AM$27+'TUSD BF'!$AM$27+'TUSD CVA'!$AM$27)*1*(1-0.03)</f>
        <v>19.996757900318997</v>
      </c>
      <c r="Z942" s="42"/>
      <c r="AA942" s="42"/>
      <c r="AB942" s="6">
        <f>$K$942*$V$942</f>
        <v>18165.311999999998</v>
      </c>
      <c r="AC942" s="6">
        <f>$M$942*$W$942</f>
        <v>0</v>
      </c>
      <c r="AD942" s="6">
        <f>$O$942*$X$942</f>
        <v>0</v>
      </c>
      <c r="AE942" s="6">
        <f ca="1">$K$942*$Y$942</f>
        <v>19516.835710711341</v>
      </c>
      <c r="AF942" s="6">
        <f>$M$942*$Z$942</f>
        <v>0</v>
      </c>
      <c r="AG942" s="6">
        <f>$O$942*$AA$942</f>
        <v>0</v>
      </c>
    </row>
    <row r="943" spans="1:33" ht="11.25" customHeight="1" x14ac:dyDescent="0.25">
      <c r="A943" s="4" t="s">
        <v>21</v>
      </c>
      <c r="B943" s="4" t="s">
        <v>41</v>
      </c>
      <c r="C943" s="4" t="s">
        <v>44</v>
      </c>
      <c r="D943" s="4" t="s">
        <v>52</v>
      </c>
      <c r="E943" s="4" t="s">
        <v>53</v>
      </c>
      <c r="F943" s="4" t="s">
        <v>25</v>
      </c>
      <c r="G943" s="4" t="s">
        <v>25</v>
      </c>
      <c r="H943" s="4" t="s">
        <v>25</v>
      </c>
      <c r="I943" s="5">
        <v>44713</v>
      </c>
      <c r="J943" s="6">
        <v>6466</v>
      </c>
      <c r="K943" s="43">
        <v>6466</v>
      </c>
      <c r="L943" s="6">
        <v>0</v>
      </c>
      <c r="M943" s="42">
        <v>0</v>
      </c>
      <c r="N943" s="6">
        <v>0</v>
      </c>
      <c r="O943" s="42">
        <v>0</v>
      </c>
      <c r="P943" s="6">
        <v>29</v>
      </c>
      <c r="Q943" s="4" t="s">
        <v>26</v>
      </c>
      <c r="R943" s="4">
        <v>0</v>
      </c>
      <c r="S943" s="6">
        <v>27</v>
      </c>
      <c r="T943" s="6">
        <v>0</v>
      </c>
      <c r="U943" s="6">
        <v>0</v>
      </c>
      <c r="V943" s="42">
        <f>IF(ISERROR(VLOOKUP($S$943,'TAR FIN'!$A$1:$O$115,15,0)),0,VLOOKUP($S$943,'TAR FIN'!$A$1:$O$115,15,0))*(1-0.06)</f>
        <v>18.611999999999998</v>
      </c>
      <c r="W943" s="42">
        <f>IF(ISERROR(VLOOKUP($T$943,'TAR FIN'!$A$1:$O$115,15,0)),0,VLOOKUP($T$943,'TAR FIN'!$A$1:$O$115,15,0))</f>
        <v>0</v>
      </c>
      <c r="X943" s="42">
        <f>IF(ISERROR(VLOOKUP($U$943,'TAR FIN'!$A$1:$O$115,15,0)),0,VLOOKUP($U$943,'TAR FIN'!$A$1:$O$115,15,0))</f>
        <v>0</v>
      </c>
      <c r="Y943" s="42">
        <f ca="1">('TUSD BE'!$AM$27+'TUSD BF'!$AM$27+'TUSD CVA'!$AM$27)*1*(1-0.03)</f>
        <v>19.996757900318997</v>
      </c>
      <c r="Z943" s="42"/>
      <c r="AA943" s="42"/>
      <c r="AB943" s="6">
        <f>$K$943*$V$943</f>
        <v>120345.192</v>
      </c>
      <c r="AC943" s="6">
        <f>$M$943*$W$943</f>
        <v>0</v>
      </c>
      <c r="AD943" s="6">
        <f>$O$943*$X$943</f>
        <v>0</v>
      </c>
      <c r="AE943" s="6">
        <f ca="1">$K$943*$Y$943</f>
        <v>129299.03658346263</v>
      </c>
      <c r="AF943" s="6">
        <f>$M$943*$Z$943</f>
        <v>0</v>
      </c>
      <c r="AG943" s="6">
        <f>$O$943*$AA$943</f>
        <v>0</v>
      </c>
    </row>
    <row r="944" spans="1:33" ht="11.25" customHeight="1" x14ac:dyDescent="0.25">
      <c r="A944" s="4" t="s">
        <v>28</v>
      </c>
      <c r="B944" s="4" t="s">
        <v>41</v>
      </c>
      <c r="C944" s="4" t="s">
        <v>44</v>
      </c>
      <c r="D944" s="4" t="s">
        <v>52</v>
      </c>
      <c r="E944" s="4" t="s">
        <v>53</v>
      </c>
      <c r="F944" s="4" t="s">
        <v>25</v>
      </c>
      <c r="G944" s="4" t="s">
        <v>25</v>
      </c>
      <c r="H944" s="4" t="s">
        <v>25</v>
      </c>
      <c r="I944" s="5">
        <v>44713</v>
      </c>
      <c r="J944" s="6">
        <v>972</v>
      </c>
      <c r="K944" s="43">
        <v>972</v>
      </c>
      <c r="L944" s="6">
        <v>0</v>
      </c>
      <c r="M944" s="42">
        <v>0</v>
      </c>
      <c r="N944" s="6">
        <v>0</v>
      </c>
      <c r="O944" s="42">
        <v>0</v>
      </c>
      <c r="P944" s="6">
        <v>10</v>
      </c>
      <c r="Q944" s="4" t="s">
        <v>26</v>
      </c>
      <c r="R944" s="4">
        <v>0</v>
      </c>
      <c r="S944" s="6">
        <v>27</v>
      </c>
      <c r="T944" s="6">
        <v>0</v>
      </c>
      <c r="U944" s="6">
        <v>0</v>
      </c>
      <c r="V944" s="42">
        <f>IF(ISERROR(VLOOKUP($S$944,'TAR FIN'!$A$1:$O$115,15,0)),0,VLOOKUP($S$944,'TAR FIN'!$A$1:$O$115,15,0))*(1-0.06)</f>
        <v>18.611999999999998</v>
      </c>
      <c r="W944" s="42">
        <f>IF(ISERROR(VLOOKUP($T$944,'TAR FIN'!$A$1:$O$115,15,0)),0,VLOOKUP($T$944,'TAR FIN'!$A$1:$O$115,15,0))</f>
        <v>0</v>
      </c>
      <c r="X944" s="42">
        <f>IF(ISERROR(VLOOKUP($U$944,'TAR FIN'!$A$1:$O$115,15,0)),0,VLOOKUP($U$944,'TAR FIN'!$A$1:$O$115,15,0))</f>
        <v>0</v>
      </c>
      <c r="Y944" s="42">
        <f ca="1">('TUSD BE'!$AM$27+'TUSD BF'!$AM$27+'TUSD CVA'!$AM$27)*1*(1-0.03)</f>
        <v>19.996757900318997</v>
      </c>
      <c r="Z944" s="42"/>
      <c r="AA944" s="42"/>
      <c r="AB944" s="6">
        <f>$K$944*$V$944</f>
        <v>18090.863999999998</v>
      </c>
      <c r="AC944" s="6">
        <f>$M$944*$W$944</f>
        <v>0</v>
      </c>
      <c r="AD944" s="6">
        <f>$O$944*$X$944</f>
        <v>0</v>
      </c>
      <c r="AE944" s="6">
        <f ca="1">$K$944*$Y$944</f>
        <v>19436.848679110066</v>
      </c>
      <c r="AF944" s="6">
        <f>$M$944*$Z$944</f>
        <v>0</v>
      </c>
      <c r="AG944" s="6">
        <f>$O$944*$AA$944</f>
        <v>0</v>
      </c>
    </row>
    <row r="945" spans="1:33" ht="11.25" customHeight="1" x14ac:dyDescent="0.25">
      <c r="A945" s="4" t="s">
        <v>21</v>
      </c>
      <c r="B945" s="4" t="s">
        <v>41</v>
      </c>
      <c r="C945" s="4" t="s">
        <v>44</v>
      </c>
      <c r="D945" s="4" t="s">
        <v>52</v>
      </c>
      <c r="E945" s="4" t="s">
        <v>53</v>
      </c>
      <c r="F945" s="4" t="s">
        <v>25</v>
      </c>
      <c r="G945" s="4" t="s">
        <v>25</v>
      </c>
      <c r="H945" s="4" t="s">
        <v>25</v>
      </c>
      <c r="I945" s="5">
        <v>44743</v>
      </c>
      <c r="J945" s="6">
        <v>6283</v>
      </c>
      <c r="K945" s="43">
        <v>6283</v>
      </c>
      <c r="L945" s="6">
        <v>0</v>
      </c>
      <c r="M945" s="42">
        <v>0</v>
      </c>
      <c r="N945" s="6">
        <v>0</v>
      </c>
      <c r="O945" s="42">
        <v>0</v>
      </c>
      <c r="P945" s="6">
        <v>30</v>
      </c>
      <c r="Q945" s="4" t="s">
        <v>26</v>
      </c>
      <c r="R945" s="4">
        <v>0</v>
      </c>
      <c r="S945" s="6">
        <v>27</v>
      </c>
      <c r="T945" s="6">
        <v>0</v>
      </c>
      <c r="U945" s="6">
        <v>0</v>
      </c>
      <c r="V945" s="42">
        <f>IF(ISERROR(VLOOKUP($S$945,'TAR FIN'!$A$1:$O$115,15,0)),0,VLOOKUP($S$945,'TAR FIN'!$A$1:$O$115,15,0))*(1-0.06)</f>
        <v>18.611999999999998</v>
      </c>
      <c r="W945" s="42">
        <f>IF(ISERROR(VLOOKUP($T$945,'TAR FIN'!$A$1:$O$115,15,0)),0,VLOOKUP($T$945,'TAR FIN'!$A$1:$O$115,15,0))</f>
        <v>0</v>
      </c>
      <c r="X945" s="42">
        <f>IF(ISERROR(VLOOKUP($U$945,'TAR FIN'!$A$1:$O$115,15,0)),0,VLOOKUP($U$945,'TAR FIN'!$A$1:$O$115,15,0))</f>
        <v>0</v>
      </c>
      <c r="Y945" s="42">
        <f ca="1">('TUSD BE'!$AM$27+'TUSD BF'!$AM$27+'TUSD CVA'!$AM$27)*1*(1-0.03)</f>
        <v>19.996757900318997</v>
      </c>
      <c r="Z945" s="42"/>
      <c r="AA945" s="42"/>
      <c r="AB945" s="6">
        <f>$K$945*$V$945</f>
        <v>116939.196</v>
      </c>
      <c r="AC945" s="6">
        <f>$M$945*$W$945</f>
        <v>0</v>
      </c>
      <c r="AD945" s="6">
        <f>$O$945*$X$945</f>
        <v>0</v>
      </c>
      <c r="AE945" s="6">
        <f ca="1">$K$945*$Y$945</f>
        <v>125639.62988770426</v>
      </c>
      <c r="AF945" s="6">
        <f>$M$945*$Z$945</f>
        <v>0</v>
      </c>
      <c r="AG945" s="6">
        <f>$O$945*$AA$945</f>
        <v>0</v>
      </c>
    </row>
    <row r="946" spans="1:33" ht="11.25" customHeight="1" x14ac:dyDescent="0.25">
      <c r="A946" s="4" t="s">
        <v>28</v>
      </c>
      <c r="B946" s="4" t="s">
        <v>41</v>
      </c>
      <c r="C946" s="4" t="s">
        <v>44</v>
      </c>
      <c r="D946" s="4" t="s">
        <v>52</v>
      </c>
      <c r="E946" s="4" t="s">
        <v>53</v>
      </c>
      <c r="F946" s="4" t="s">
        <v>25</v>
      </c>
      <c r="G946" s="4" t="s">
        <v>25</v>
      </c>
      <c r="H946" s="4" t="s">
        <v>25</v>
      </c>
      <c r="I946" s="5">
        <v>44743</v>
      </c>
      <c r="J946" s="6">
        <v>968</v>
      </c>
      <c r="K946" s="43">
        <v>968</v>
      </c>
      <c r="L946" s="6">
        <v>0</v>
      </c>
      <c r="M946" s="42">
        <v>0</v>
      </c>
      <c r="N946" s="6">
        <v>0</v>
      </c>
      <c r="O946" s="42">
        <v>0</v>
      </c>
      <c r="P946" s="6">
        <v>10</v>
      </c>
      <c r="Q946" s="4" t="s">
        <v>26</v>
      </c>
      <c r="R946" s="4">
        <v>0</v>
      </c>
      <c r="S946" s="6">
        <v>27</v>
      </c>
      <c r="T946" s="6">
        <v>0</v>
      </c>
      <c r="U946" s="6">
        <v>0</v>
      </c>
      <c r="V946" s="42">
        <f>IF(ISERROR(VLOOKUP($S$946,'TAR FIN'!$A$1:$O$115,15,0)),0,VLOOKUP($S$946,'TAR FIN'!$A$1:$O$115,15,0))*(1-0.06)</f>
        <v>18.611999999999998</v>
      </c>
      <c r="W946" s="42">
        <f>IF(ISERROR(VLOOKUP($T$946,'TAR FIN'!$A$1:$O$115,15,0)),0,VLOOKUP($T$946,'TAR FIN'!$A$1:$O$115,15,0))</f>
        <v>0</v>
      </c>
      <c r="X946" s="42">
        <f>IF(ISERROR(VLOOKUP($U$946,'TAR FIN'!$A$1:$O$115,15,0)),0,VLOOKUP($U$946,'TAR FIN'!$A$1:$O$115,15,0))</f>
        <v>0</v>
      </c>
      <c r="Y946" s="42">
        <f ca="1">('TUSD BE'!$AM$27+'TUSD BF'!$AM$27+'TUSD CVA'!$AM$27)*1*(1-0.03)</f>
        <v>19.996757900318997</v>
      </c>
      <c r="Z946" s="42"/>
      <c r="AA946" s="42"/>
      <c r="AB946" s="6">
        <f>$K$946*$V$946</f>
        <v>18016.415999999997</v>
      </c>
      <c r="AC946" s="6">
        <f>$M$946*$W$946</f>
        <v>0</v>
      </c>
      <c r="AD946" s="6">
        <f>$O$946*$X$946</f>
        <v>0</v>
      </c>
      <c r="AE946" s="6">
        <f ca="1">$K$946*$Y$946</f>
        <v>19356.861647508787</v>
      </c>
      <c r="AF946" s="6">
        <f>$M$946*$Z$946</f>
        <v>0</v>
      </c>
      <c r="AG946" s="6">
        <f>$O$946*$AA$946</f>
        <v>0</v>
      </c>
    </row>
    <row r="947" spans="1:33" ht="11.25" customHeight="1" x14ac:dyDescent="0.25">
      <c r="A947" s="4" t="s">
        <v>21</v>
      </c>
      <c r="B947" s="4" t="s">
        <v>41</v>
      </c>
      <c r="C947" s="4" t="s">
        <v>44</v>
      </c>
      <c r="D947" s="4" t="s">
        <v>52</v>
      </c>
      <c r="E947" s="4" t="s">
        <v>53</v>
      </c>
      <c r="F947" s="4" t="s">
        <v>25</v>
      </c>
      <c r="G947" s="4" t="s">
        <v>25</v>
      </c>
      <c r="H947" s="4" t="s">
        <v>25</v>
      </c>
      <c r="I947" s="5">
        <v>44774</v>
      </c>
      <c r="J947" s="6">
        <v>6345</v>
      </c>
      <c r="K947" s="43">
        <v>6345</v>
      </c>
      <c r="L947" s="6">
        <v>0</v>
      </c>
      <c r="M947" s="42">
        <v>0</v>
      </c>
      <c r="N947" s="6">
        <v>0</v>
      </c>
      <c r="O947" s="42">
        <v>0</v>
      </c>
      <c r="P947" s="6">
        <v>30</v>
      </c>
      <c r="Q947" s="4" t="s">
        <v>26</v>
      </c>
      <c r="R947" s="4">
        <v>0</v>
      </c>
      <c r="S947" s="6">
        <v>27</v>
      </c>
      <c r="T947" s="6">
        <v>0</v>
      </c>
      <c r="U947" s="6">
        <v>0</v>
      </c>
      <c r="V947" s="42">
        <f>IF(ISERROR(VLOOKUP($S$947,'TAR FIN'!$A$1:$O$115,15,0)),0,VLOOKUP($S$947,'TAR FIN'!$A$1:$O$115,15,0))*(1-0.06)</f>
        <v>18.611999999999998</v>
      </c>
      <c r="W947" s="42">
        <f>IF(ISERROR(VLOOKUP($T$947,'TAR FIN'!$A$1:$O$115,15,0)),0,VLOOKUP($T$947,'TAR FIN'!$A$1:$O$115,15,0))</f>
        <v>0</v>
      </c>
      <c r="X947" s="42">
        <f>IF(ISERROR(VLOOKUP($U$947,'TAR FIN'!$A$1:$O$115,15,0)),0,VLOOKUP($U$947,'TAR FIN'!$A$1:$O$115,15,0))</f>
        <v>0</v>
      </c>
      <c r="Y947" s="42">
        <f ca="1">('TUSD BE'!$AM$27+'TUSD BF'!$AM$27+'TUSD CVA'!$AM$27)*1*(1-0.03)</f>
        <v>19.996757900318997</v>
      </c>
      <c r="Z947" s="42"/>
      <c r="AA947" s="42"/>
      <c r="AB947" s="6">
        <f>$K$947*$V$947</f>
        <v>118093.13999999998</v>
      </c>
      <c r="AC947" s="6">
        <f>$M$947*$W$947</f>
        <v>0</v>
      </c>
      <c r="AD947" s="6">
        <f>$O$947*$X$947</f>
        <v>0</v>
      </c>
      <c r="AE947" s="6">
        <f ca="1">$K$947*$Y$947</f>
        <v>126879.42887752403</v>
      </c>
      <c r="AF947" s="6">
        <f>$M$947*$Z$947</f>
        <v>0</v>
      </c>
      <c r="AG947" s="6">
        <f>$O$947*$AA$947</f>
        <v>0</v>
      </c>
    </row>
    <row r="948" spans="1:33" ht="11.25" customHeight="1" x14ac:dyDescent="0.25">
      <c r="A948" s="4" t="s">
        <v>28</v>
      </c>
      <c r="B948" s="4" t="s">
        <v>41</v>
      </c>
      <c r="C948" s="4" t="s">
        <v>44</v>
      </c>
      <c r="D948" s="4" t="s">
        <v>52</v>
      </c>
      <c r="E948" s="4" t="s">
        <v>53</v>
      </c>
      <c r="F948" s="4" t="s">
        <v>25</v>
      </c>
      <c r="G948" s="4" t="s">
        <v>25</v>
      </c>
      <c r="H948" s="4" t="s">
        <v>25</v>
      </c>
      <c r="I948" s="5">
        <v>44774</v>
      </c>
      <c r="J948" s="6">
        <v>972</v>
      </c>
      <c r="K948" s="43">
        <v>972</v>
      </c>
      <c r="L948" s="6">
        <v>0</v>
      </c>
      <c r="M948" s="42">
        <v>0</v>
      </c>
      <c r="N948" s="6">
        <v>0</v>
      </c>
      <c r="O948" s="42">
        <v>0</v>
      </c>
      <c r="P948" s="6">
        <v>10</v>
      </c>
      <c r="Q948" s="4" t="s">
        <v>26</v>
      </c>
      <c r="R948" s="4">
        <v>0</v>
      </c>
      <c r="S948" s="6">
        <v>27</v>
      </c>
      <c r="T948" s="6">
        <v>0</v>
      </c>
      <c r="U948" s="6">
        <v>0</v>
      </c>
      <c r="V948" s="42">
        <f>IF(ISERROR(VLOOKUP($S$948,'TAR FIN'!$A$1:$O$115,15,0)),0,VLOOKUP($S$948,'TAR FIN'!$A$1:$O$115,15,0))*(1-0.06)</f>
        <v>18.611999999999998</v>
      </c>
      <c r="W948" s="42">
        <f>IF(ISERROR(VLOOKUP($T$948,'TAR FIN'!$A$1:$O$115,15,0)),0,VLOOKUP($T$948,'TAR FIN'!$A$1:$O$115,15,0))</f>
        <v>0</v>
      </c>
      <c r="X948" s="42">
        <f>IF(ISERROR(VLOOKUP($U$948,'TAR FIN'!$A$1:$O$115,15,0)),0,VLOOKUP($U$948,'TAR FIN'!$A$1:$O$115,15,0))</f>
        <v>0</v>
      </c>
      <c r="Y948" s="42">
        <f ca="1">('TUSD BE'!$AM$27+'TUSD BF'!$AM$27+'TUSD CVA'!$AM$27)*1*(1-0.03)</f>
        <v>19.996757900318997</v>
      </c>
      <c r="Z948" s="42"/>
      <c r="AA948" s="42"/>
      <c r="AB948" s="6">
        <f>$K$948*$V$948</f>
        <v>18090.863999999998</v>
      </c>
      <c r="AC948" s="6">
        <f>$M$948*$W$948</f>
        <v>0</v>
      </c>
      <c r="AD948" s="6">
        <f>$O$948*$X$948</f>
        <v>0</v>
      </c>
      <c r="AE948" s="6">
        <f ca="1">$K$948*$Y$948</f>
        <v>19436.848679110066</v>
      </c>
      <c r="AF948" s="6">
        <f>$M$948*$Z$948</f>
        <v>0</v>
      </c>
      <c r="AG948" s="6">
        <f>$O$948*$AA$948</f>
        <v>0</v>
      </c>
    </row>
    <row r="949" spans="1:33" ht="11.25" customHeight="1" x14ac:dyDescent="0.25">
      <c r="A949" s="4" t="s">
        <v>21</v>
      </c>
      <c r="B949" s="4" t="s">
        <v>41</v>
      </c>
      <c r="C949" s="4" t="s">
        <v>44</v>
      </c>
      <c r="D949" s="4" t="s">
        <v>52</v>
      </c>
      <c r="E949" s="4" t="s">
        <v>53</v>
      </c>
      <c r="F949" s="4" t="s">
        <v>25</v>
      </c>
      <c r="G949" s="4" t="s">
        <v>25</v>
      </c>
      <c r="H949" s="4" t="s">
        <v>25</v>
      </c>
      <c r="I949" s="5">
        <v>44805</v>
      </c>
      <c r="J949" s="6">
        <v>6631</v>
      </c>
      <c r="K949" s="43">
        <v>6631</v>
      </c>
      <c r="L949" s="6">
        <v>0</v>
      </c>
      <c r="M949" s="42">
        <v>0</v>
      </c>
      <c r="N949" s="6">
        <v>0</v>
      </c>
      <c r="O949" s="42">
        <v>0</v>
      </c>
      <c r="P949" s="6">
        <v>29</v>
      </c>
      <c r="Q949" s="4" t="s">
        <v>26</v>
      </c>
      <c r="R949" s="4">
        <v>0</v>
      </c>
      <c r="S949" s="6">
        <v>27</v>
      </c>
      <c r="T949" s="6">
        <v>0</v>
      </c>
      <c r="U949" s="6">
        <v>0</v>
      </c>
      <c r="V949" s="42">
        <f>IF(ISERROR(VLOOKUP($S$949,'TAR FIN'!$A$1:$O$115,15,0)),0,VLOOKUP($S$949,'TAR FIN'!$A$1:$O$115,15,0))*(1-0.06)</f>
        <v>18.611999999999998</v>
      </c>
      <c r="W949" s="42">
        <f>IF(ISERROR(VLOOKUP($T$949,'TAR FIN'!$A$1:$O$115,15,0)),0,VLOOKUP($T$949,'TAR FIN'!$A$1:$O$115,15,0))</f>
        <v>0</v>
      </c>
      <c r="X949" s="42">
        <f>IF(ISERROR(VLOOKUP($U$949,'TAR FIN'!$A$1:$O$115,15,0)),0,VLOOKUP($U$949,'TAR FIN'!$A$1:$O$115,15,0))</f>
        <v>0</v>
      </c>
      <c r="Y949" s="42">
        <f ca="1">('TUSD BE'!$AM$27+'TUSD BF'!$AM$27+'TUSD CVA'!$AM$27)*1*(1-0.03)</f>
        <v>19.996757900318997</v>
      </c>
      <c r="Z949" s="42"/>
      <c r="AA949" s="42"/>
      <c r="AB949" s="6">
        <f>$K$949*$V$949</f>
        <v>123416.17199999999</v>
      </c>
      <c r="AC949" s="6">
        <f>$M$949*$W$949</f>
        <v>0</v>
      </c>
      <c r="AD949" s="6">
        <f>$O$949*$X$949</f>
        <v>0</v>
      </c>
      <c r="AE949" s="6">
        <f ca="1">$K$949*$Y$949</f>
        <v>132598.50163701526</v>
      </c>
      <c r="AF949" s="6">
        <f>$M$949*$Z$949</f>
        <v>0</v>
      </c>
      <c r="AG949" s="6">
        <f>$O$949*$AA$949</f>
        <v>0</v>
      </c>
    </row>
    <row r="950" spans="1:33" ht="11.25" customHeight="1" x14ac:dyDescent="0.25">
      <c r="A950" s="4" t="s">
        <v>28</v>
      </c>
      <c r="B950" s="4" t="s">
        <v>41</v>
      </c>
      <c r="C950" s="4" t="s">
        <v>44</v>
      </c>
      <c r="D950" s="4" t="s">
        <v>52</v>
      </c>
      <c r="E950" s="4" t="s">
        <v>53</v>
      </c>
      <c r="F950" s="4" t="s">
        <v>25</v>
      </c>
      <c r="G950" s="4" t="s">
        <v>25</v>
      </c>
      <c r="H950" s="4" t="s">
        <v>25</v>
      </c>
      <c r="I950" s="5">
        <v>44805</v>
      </c>
      <c r="J950" s="6">
        <v>975</v>
      </c>
      <c r="K950" s="43">
        <v>975</v>
      </c>
      <c r="L950" s="6">
        <v>0</v>
      </c>
      <c r="M950" s="42">
        <v>0</v>
      </c>
      <c r="N950" s="6">
        <v>0</v>
      </c>
      <c r="O950" s="42">
        <v>0</v>
      </c>
      <c r="P950" s="6">
        <v>10</v>
      </c>
      <c r="Q950" s="4" t="s">
        <v>26</v>
      </c>
      <c r="R950" s="4">
        <v>0</v>
      </c>
      <c r="S950" s="6">
        <v>27</v>
      </c>
      <c r="T950" s="6">
        <v>0</v>
      </c>
      <c r="U950" s="6">
        <v>0</v>
      </c>
      <c r="V950" s="42">
        <f>IF(ISERROR(VLOOKUP($S$950,'TAR FIN'!$A$1:$O$115,15,0)),0,VLOOKUP($S$950,'TAR FIN'!$A$1:$O$115,15,0))*(1-0.06)</f>
        <v>18.611999999999998</v>
      </c>
      <c r="W950" s="42">
        <f>IF(ISERROR(VLOOKUP($T$950,'TAR FIN'!$A$1:$O$115,15,0)),0,VLOOKUP($T$950,'TAR FIN'!$A$1:$O$115,15,0))</f>
        <v>0</v>
      </c>
      <c r="X950" s="42">
        <f>IF(ISERROR(VLOOKUP($U$950,'TAR FIN'!$A$1:$O$115,15,0)),0,VLOOKUP($U$950,'TAR FIN'!$A$1:$O$115,15,0))</f>
        <v>0</v>
      </c>
      <c r="Y950" s="42">
        <f ca="1">('TUSD BE'!$AM$27+'TUSD BF'!$AM$27+'TUSD CVA'!$AM$27)*1*(1-0.03)</f>
        <v>19.996757900318997</v>
      </c>
      <c r="Z950" s="42"/>
      <c r="AA950" s="42"/>
      <c r="AB950" s="6">
        <f>$K$950*$V$950</f>
        <v>18146.699999999997</v>
      </c>
      <c r="AC950" s="6">
        <f>$M$950*$W$950</f>
        <v>0</v>
      </c>
      <c r="AD950" s="6">
        <f>$O$950*$X$950</f>
        <v>0</v>
      </c>
      <c r="AE950" s="6">
        <f ca="1">$K$950*$Y$950</f>
        <v>19496.83895281102</v>
      </c>
      <c r="AF950" s="6">
        <f>$M$950*$Z$950</f>
        <v>0</v>
      </c>
      <c r="AG950" s="6">
        <f>$O$950*$AA$950</f>
        <v>0</v>
      </c>
    </row>
    <row r="951" spans="1:33" ht="11.25" customHeight="1" x14ac:dyDescent="0.25">
      <c r="A951" s="4" t="s">
        <v>21</v>
      </c>
      <c r="B951" s="4" t="s">
        <v>41</v>
      </c>
      <c r="C951" s="4" t="s">
        <v>44</v>
      </c>
      <c r="D951" s="4" t="s">
        <v>52</v>
      </c>
      <c r="E951" s="4" t="s">
        <v>53</v>
      </c>
      <c r="F951" s="4" t="s">
        <v>25</v>
      </c>
      <c r="G951" s="4" t="s">
        <v>25</v>
      </c>
      <c r="H951" s="4" t="s">
        <v>25</v>
      </c>
      <c r="I951" s="5">
        <v>44835</v>
      </c>
      <c r="J951" s="6">
        <v>6695</v>
      </c>
      <c r="K951" s="43">
        <v>6695</v>
      </c>
      <c r="L951" s="6">
        <v>0</v>
      </c>
      <c r="M951" s="42">
        <v>0</v>
      </c>
      <c r="N951" s="6">
        <v>0</v>
      </c>
      <c r="O951" s="42">
        <v>0</v>
      </c>
      <c r="P951" s="6">
        <v>29</v>
      </c>
      <c r="Q951" s="4" t="s">
        <v>26</v>
      </c>
      <c r="R951" s="4">
        <v>0</v>
      </c>
      <c r="S951" s="6">
        <v>27</v>
      </c>
      <c r="T951" s="6">
        <v>0</v>
      </c>
      <c r="U951" s="6">
        <v>0</v>
      </c>
      <c r="V951" s="42">
        <f>IF(ISERROR(VLOOKUP($S$951,'TAR FIN'!$A$1:$O$115,15,0)),0,VLOOKUP($S$951,'TAR FIN'!$A$1:$O$115,15,0))*(1-0.06)</f>
        <v>18.611999999999998</v>
      </c>
      <c r="W951" s="42">
        <f>IF(ISERROR(VLOOKUP($T$951,'TAR FIN'!$A$1:$O$115,15,0)),0,VLOOKUP($T$951,'TAR FIN'!$A$1:$O$115,15,0))</f>
        <v>0</v>
      </c>
      <c r="X951" s="42">
        <f>IF(ISERROR(VLOOKUP($U$951,'TAR FIN'!$A$1:$O$115,15,0)),0,VLOOKUP($U$951,'TAR FIN'!$A$1:$O$115,15,0))</f>
        <v>0</v>
      </c>
      <c r="Y951" s="42">
        <f ca="1">('TUSD BE'!$AM$27+'TUSD BF'!$AM$27+'TUSD CVA'!$AM$27)*1*(1-0.03)</f>
        <v>19.996757900318997</v>
      </c>
      <c r="Z951" s="42"/>
      <c r="AA951" s="42"/>
      <c r="AB951" s="6">
        <f>$K$951*$V$951</f>
        <v>124607.33999999998</v>
      </c>
      <c r="AC951" s="6">
        <f>$M$951*$W$951</f>
        <v>0</v>
      </c>
      <c r="AD951" s="6">
        <f>$O$951*$X$951</f>
        <v>0</v>
      </c>
      <c r="AE951" s="6">
        <f ca="1">$K$951*$Y$951</f>
        <v>133878.29414263568</v>
      </c>
      <c r="AF951" s="6">
        <f>$M$951*$Z$951</f>
        <v>0</v>
      </c>
      <c r="AG951" s="6">
        <f>$O$951*$AA$951</f>
        <v>0</v>
      </c>
    </row>
    <row r="952" spans="1:33" ht="11.25" customHeight="1" x14ac:dyDescent="0.25">
      <c r="A952" s="4" t="s">
        <v>28</v>
      </c>
      <c r="B952" s="4" t="s">
        <v>41</v>
      </c>
      <c r="C952" s="4" t="s">
        <v>44</v>
      </c>
      <c r="D952" s="4" t="s">
        <v>52</v>
      </c>
      <c r="E952" s="4" t="s">
        <v>53</v>
      </c>
      <c r="F952" s="4" t="s">
        <v>25</v>
      </c>
      <c r="G952" s="4" t="s">
        <v>25</v>
      </c>
      <c r="H952" s="4" t="s">
        <v>25</v>
      </c>
      <c r="I952" s="5">
        <v>44835</v>
      </c>
      <c r="J952" s="6">
        <v>1139</v>
      </c>
      <c r="K952" s="43">
        <v>1139</v>
      </c>
      <c r="L952" s="6">
        <v>0</v>
      </c>
      <c r="M952" s="42">
        <v>0</v>
      </c>
      <c r="N952" s="6">
        <v>0</v>
      </c>
      <c r="O952" s="42">
        <v>0</v>
      </c>
      <c r="P952" s="6">
        <v>13</v>
      </c>
      <c r="Q952" s="4" t="s">
        <v>26</v>
      </c>
      <c r="R952" s="4">
        <v>0</v>
      </c>
      <c r="S952" s="6">
        <v>27</v>
      </c>
      <c r="T952" s="6">
        <v>0</v>
      </c>
      <c r="U952" s="6">
        <v>0</v>
      </c>
      <c r="V952" s="42">
        <f>IF(ISERROR(VLOOKUP($S$952,'TAR FIN'!$A$1:$O$115,15,0)),0,VLOOKUP($S$952,'TAR FIN'!$A$1:$O$115,15,0))*(1-0.06)</f>
        <v>18.611999999999998</v>
      </c>
      <c r="W952" s="42">
        <f>IF(ISERROR(VLOOKUP($T$952,'TAR FIN'!$A$1:$O$115,15,0)),0,VLOOKUP($T$952,'TAR FIN'!$A$1:$O$115,15,0))</f>
        <v>0</v>
      </c>
      <c r="X952" s="42">
        <f>IF(ISERROR(VLOOKUP($U$952,'TAR FIN'!$A$1:$O$115,15,0)),0,VLOOKUP($U$952,'TAR FIN'!$A$1:$O$115,15,0))</f>
        <v>0</v>
      </c>
      <c r="Y952" s="42">
        <f ca="1">('TUSD BE'!$AM$27+'TUSD BF'!$AM$27+'TUSD CVA'!$AM$27)*1*(1-0.03)</f>
        <v>19.996757900318997</v>
      </c>
      <c r="Z952" s="42"/>
      <c r="AA952" s="42"/>
      <c r="AB952" s="6">
        <f>$K$952*$V$952</f>
        <v>21199.067999999999</v>
      </c>
      <c r="AC952" s="6">
        <f>$M$952*$W$952</f>
        <v>0</v>
      </c>
      <c r="AD952" s="6">
        <f>$O$952*$X$952</f>
        <v>0</v>
      </c>
      <c r="AE952" s="6">
        <f ca="1">$K$952*$Y$952</f>
        <v>22776.307248463338</v>
      </c>
      <c r="AF952" s="6">
        <f>$M$952*$Z$952</f>
        <v>0</v>
      </c>
      <c r="AG952" s="6">
        <f>$O$952*$AA$952</f>
        <v>0</v>
      </c>
    </row>
    <row r="953" spans="1:33" ht="11.25" customHeight="1" x14ac:dyDescent="0.25">
      <c r="A953" s="4" t="s">
        <v>59</v>
      </c>
      <c r="B953" s="4" t="s">
        <v>41</v>
      </c>
      <c r="C953" s="4" t="s">
        <v>44</v>
      </c>
      <c r="D953" s="4" t="s">
        <v>52</v>
      </c>
      <c r="E953" s="4" t="s">
        <v>53</v>
      </c>
      <c r="F953" s="4" t="s">
        <v>25</v>
      </c>
      <c r="G953" s="4" t="s">
        <v>25</v>
      </c>
      <c r="H953" s="4" t="s">
        <v>25</v>
      </c>
      <c r="I953" s="5">
        <v>44866</v>
      </c>
      <c r="J953" s="6">
        <v>6695</v>
      </c>
      <c r="K953" s="43">
        <v>6695</v>
      </c>
      <c r="L953" s="6">
        <v>0</v>
      </c>
      <c r="M953" s="42">
        <v>0</v>
      </c>
      <c r="N953" s="6">
        <v>0</v>
      </c>
      <c r="O953" s="42">
        <v>0</v>
      </c>
      <c r="P953" s="6">
        <v>29</v>
      </c>
      <c r="Q953" s="4" t="s">
        <v>26</v>
      </c>
      <c r="R953" s="4">
        <v>0</v>
      </c>
      <c r="S953" s="6">
        <v>27</v>
      </c>
      <c r="T953" s="6">
        <v>0</v>
      </c>
      <c r="U953" s="6">
        <v>0</v>
      </c>
      <c r="V953" s="42">
        <f>IF(ISERROR(VLOOKUP($S$953,'TAR FIN'!$A$1:$O$115,15,0)),0,VLOOKUP($S$953,'TAR FIN'!$A$1:$O$115,15,0))*(1-0.06)</f>
        <v>18.611999999999998</v>
      </c>
      <c r="W953" s="42">
        <f>IF(ISERROR(VLOOKUP($T$953,'TAR FIN'!$A$1:$O$115,15,0)),0,VLOOKUP($T$953,'TAR FIN'!$A$1:$O$115,15,0))</f>
        <v>0</v>
      </c>
      <c r="X953" s="42">
        <f>IF(ISERROR(VLOOKUP($U$953,'TAR FIN'!$A$1:$O$115,15,0)),0,VLOOKUP($U$953,'TAR FIN'!$A$1:$O$115,15,0))</f>
        <v>0</v>
      </c>
      <c r="Y953" s="42">
        <f ca="1">('TUSD BE'!$AM$27+'TUSD BF'!$AM$27+'TUSD CVA'!$AM$27)*1*(1-0.03)</f>
        <v>19.996757900318997</v>
      </c>
      <c r="Z953" s="42"/>
      <c r="AA953" s="42"/>
      <c r="AB953" s="6">
        <f>$K$953*$V$953</f>
        <v>124607.33999999998</v>
      </c>
      <c r="AC953" s="6">
        <f>$M$953*$W$953</f>
        <v>0</v>
      </c>
      <c r="AD953" s="6">
        <f>$O$953*$X$953</f>
        <v>0</v>
      </c>
      <c r="AE953" s="6">
        <f ca="1">$K$953*$Y$953</f>
        <v>133878.29414263568</v>
      </c>
      <c r="AF953" s="6">
        <f>$M$953*$Z$953</f>
        <v>0</v>
      </c>
      <c r="AG953" s="6">
        <f>$O$953*$AA$953</f>
        <v>0</v>
      </c>
    </row>
    <row r="954" spans="1:33" ht="11.25" customHeight="1" x14ac:dyDescent="0.25">
      <c r="A954" s="4" t="s">
        <v>59</v>
      </c>
      <c r="B954" s="4" t="s">
        <v>41</v>
      </c>
      <c r="C954" s="4" t="s">
        <v>44</v>
      </c>
      <c r="D954" s="4" t="s">
        <v>52</v>
      </c>
      <c r="E954" s="4" t="s">
        <v>53</v>
      </c>
      <c r="F954" s="4" t="s">
        <v>25</v>
      </c>
      <c r="G954" s="4" t="s">
        <v>25</v>
      </c>
      <c r="H954" s="4" t="s">
        <v>25</v>
      </c>
      <c r="I954" s="5">
        <v>44866</v>
      </c>
      <c r="J954" s="6">
        <v>1139</v>
      </c>
      <c r="K954" s="43">
        <v>1139</v>
      </c>
      <c r="L954" s="6">
        <v>0</v>
      </c>
      <c r="M954" s="42">
        <v>0</v>
      </c>
      <c r="N954" s="6">
        <v>0</v>
      </c>
      <c r="O954" s="42">
        <v>0</v>
      </c>
      <c r="P954" s="6">
        <v>13</v>
      </c>
      <c r="Q954" s="4" t="s">
        <v>26</v>
      </c>
      <c r="R954" s="4">
        <v>0</v>
      </c>
      <c r="S954" s="6">
        <v>27</v>
      </c>
      <c r="T954" s="6">
        <v>0</v>
      </c>
      <c r="U954" s="6">
        <v>0</v>
      </c>
      <c r="V954" s="42">
        <f>IF(ISERROR(VLOOKUP($S$954,'TAR FIN'!$A$1:$O$115,15,0)),0,VLOOKUP($S$954,'TAR FIN'!$A$1:$O$115,15,0))*(1-0.06)</f>
        <v>18.611999999999998</v>
      </c>
      <c r="W954" s="42">
        <f>IF(ISERROR(VLOOKUP($T$954,'TAR FIN'!$A$1:$O$115,15,0)),0,VLOOKUP($T$954,'TAR FIN'!$A$1:$O$115,15,0))</f>
        <v>0</v>
      </c>
      <c r="X954" s="42">
        <f>IF(ISERROR(VLOOKUP($U$954,'TAR FIN'!$A$1:$O$115,15,0)),0,VLOOKUP($U$954,'TAR FIN'!$A$1:$O$115,15,0))</f>
        <v>0</v>
      </c>
      <c r="Y954" s="42">
        <f ca="1">('TUSD BE'!$AM$27+'TUSD BF'!$AM$27+'TUSD CVA'!$AM$27)*1*(1-0.03)</f>
        <v>19.996757900318997</v>
      </c>
      <c r="Z954" s="42"/>
      <c r="AA954" s="42"/>
      <c r="AB954" s="6">
        <f>$K$954*$V$954</f>
        <v>21199.067999999999</v>
      </c>
      <c r="AC954" s="6">
        <f>$M$954*$W$954</f>
        <v>0</v>
      </c>
      <c r="AD954" s="6">
        <f>$O$954*$X$954</f>
        <v>0</v>
      </c>
      <c r="AE954" s="6">
        <f ca="1">$K$954*$Y$954</f>
        <v>22776.307248463338</v>
      </c>
      <c r="AF954" s="6">
        <f>$M$954*$Z$954</f>
        <v>0</v>
      </c>
      <c r="AG954" s="6">
        <f>$O$954*$AA$954</f>
        <v>0</v>
      </c>
    </row>
    <row r="955" spans="1:33" ht="11.25" customHeight="1" x14ac:dyDescent="0.25">
      <c r="A955" s="4" t="s">
        <v>21</v>
      </c>
      <c r="B955" s="4" t="s">
        <v>41</v>
      </c>
      <c r="C955" s="4" t="s">
        <v>44</v>
      </c>
      <c r="D955" s="4" t="s">
        <v>52</v>
      </c>
      <c r="E955" s="4" t="s">
        <v>53</v>
      </c>
      <c r="F955" s="4" t="s">
        <v>25</v>
      </c>
      <c r="G955" s="4" t="s">
        <v>25</v>
      </c>
      <c r="H955" s="4" t="s">
        <v>36</v>
      </c>
      <c r="I955" s="5">
        <v>44531</v>
      </c>
      <c r="J955" s="6">
        <v>0</v>
      </c>
      <c r="K955" s="42">
        <v>0</v>
      </c>
      <c r="L955" s="6">
        <v>240.178</v>
      </c>
      <c r="M955" s="42">
        <v>240.178</v>
      </c>
      <c r="N955" s="6">
        <v>240.178</v>
      </c>
      <c r="O955" s="42">
        <v>240.178</v>
      </c>
      <c r="P955" s="6">
        <v>0</v>
      </c>
      <c r="Q955" s="4" t="s">
        <v>26</v>
      </c>
      <c r="R955" s="4">
        <v>0</v>
      </c>
      <c r="S955" s="6">
        <v>0</v>
      </c>
      <c r="T955" s="6">
        <v>28</v>
      </c>
      <c r="U955" s="6">
        <v>74</v>
      </c>
      <c r="V955" s="42">
        <f>IF(ISERROR(VLOOKUP($S$955,'TAR FIN'!$A$1:$O$115,15,0)),0,VLOOKUP($S$955,'TAR FIN'!$A$1:$O$115,15,0))</f>
        <v>0</v>
      </c>
      <c r="W955" s="42">
        <f>IF(ISERROR(VLOOKUP($T$955,'TAR FIN'!$A$1:$O$115,15,0)),0,VLOOKUP($T$955,'TAR FIN'!$A$1:$O$115,15,0))*(1-0.06)</f>
        <v>1362.0224000000001</v>
      </c>
      <c r="X955" s="42">
        <f>IF(ISERROR(VLOOKUP($U$955,'TAR FIN'!$A$1:$O$115,15,0)),0,VLOOKUP($U$955,'TAR FIN'!$A$1:$O$115,15,0))*(1-0.06)</f>
        <v>254.08199999999999</v>
      </c>
      <c r="Y955" s="42"/>
      <c r="Z955" s="42">
        <f ca="1">('TUSD BE'!$AM$28+'TUSD BF'!$AM$28+'TUSD CVA'!$AM$28)*1*(1-0.03)</f>
        <v>1435.7241800297163</v>
      </c>
      <c r="AA955" s="42">
        <f>('TE BE'!$AB$11+'TE BF'!$AB$11+'TE CVA'!$AB$11)*1*(1-0.03)</f>
        <v>351.76466722756453</v>
      </c>
      <c r="AB955" s="6">
        <f>$K$955*$V$955</f>
        <v>0</v>
      </c>
      <c r="AC955" s="6">
        <f>$M$955*$W$955</f>
        <v>327127.81598720001</v>
      </c>
      <c r="AD955" s="6">
        <f>$O$955*$X$955</f>
        <v>61024.906596000001</v>
      </c>
      <c r="AE955" s="6">
        <f>$K$955*$Y$955</f>
        <v>0</v>
      </c>
      <c r="AF955" s="6">
        <f ca="1">$M$955*$Z$955</f>
        <v>344829.36211117718</v>
      </c>
      <c r="AG955" s="6">
        <f>$O$955*$AA$955</f>
        <v>84486.134245381996</v>
      </c>
    </row>
    <row r="956" spans="1:33" ht="11.25" customHeight="1" x14ac:dyDescent="0.25">
      <c r="A956" s="4" t="s">
        <v>28</v>
      </c>
      <c r="B956" s="4" t="s">
        <v>41</v>
      </c>
      <c r="C956" s="4" t="s">
        <v>44</v>
      </c>
      <c r="D956" s="4" t="s">
        <v>52</v>
      </c>
      <c r="E956" s="4" t="s">
        <v>53</v>
      </c>
      <c r="F956" s="4" t="s">
        <v>25</v>
      </c>
      <c r="G956" s="4" t="s">
        <v>25</v>
      </c>
      <c r="H956" s="4" t="s">
        <v>36</v>
      </c>
      <c r="I956" s="5">
        <v>44531</v>
      </c>
      <c r="J956" s="6">
        <v>0</v>
      </c>
      <c r="K956" s="42">
        <v>0</v>
      </c>
      <c r="L956" s="6">
        <v>32.902000000000001</v>
      </c>
      <c r="M956" s="42">
        <v>32.902000000000001</v>
      </c>
      <c r="N956" s="6">
        <v>32.902000000000001</v>
      </c>
      <c r="O956" s="42">
        <v>32.902000000000001</v>
      </c>
      <c r="P956" s="6">
        <v>0</v>
      </c>
      <c r="Q956" s="4" t="s">
        <v>26</v>
      </c>
      <c r="R956" s="4">
        <v>0</v>
      </c>
      <c r="S956" s="6">
        <v>0</v>
      </c>
      <c r="T956" s="6">
        <v>28</v>
      </c>
      <c r="U956" s="6">
        <v>74</v>
      </c>
      <c r="V956" s="42">
        <f>IF(ISERROR(VLOOKUP($S$956,'TAR FIN'!$A$1:$O$115,15,0)),0,VLOOKUP($S$956,'TAR FIN'!$A$1:$O$115,15,0))</f>
        <v>0</v>
      </c>
      <c r="W956" s="42">
        <f>IF(ISERROR(VLOOKUP($T$956,'TAR FIN'!$A$1:$O$115,15,0)),0,VLOOKUP($T$956,'TAR FIN'!$A$1:$O$115,15,0))*(1-0.06)</f>
        <v>1362.0224000000001</v>
      </c>
      <c r="X956" s="42">
        <f>IF(ISERROR(VLOOKUP($U$956,'TAR FIN'!$A$1:$O$115,15,0)),0,VLOOKUP($U$956,'TAR FIN'!$A$1:$O$115,15,0))*(1-0.06)</f>
        <v>254.08199999999999</v>
      </c>
      <c r="Y956" s="42"/>
      <c r="Z956" s="42">
        <f ca="1">('TUSD BE'!$AM$28+'TUSD BF'!$AM$28+'TUSD CVA'!$AM$28)*1*(1-0.03)</f>
        <v>1435.7241800297163</v>
      </c>
      <c r="AA956" s="42">
        <f>('TE BE'!$AB$11+'TE BF'!$AB$11+'TE CVA'!$AB$11)*1*(1-0.03)</f>
        <v>351.76466722756453</v>
      </c>
      <c r="AB956" s="6">
        <f>$K$956*$V$956</f>
        <v>0</v>
      </c>
      <c r="AC956" s="6">
        <f>$M$956*$W$956</f>
        <v>44813.261004800006</v>
      </c>
      <c r="AD956" s="6">
        <f>$O$956*$X$956</f>
        <v>8359.8059639999992</v>
      </c>
      <c r="AE956" s="6">
        <f>$K$956*$Y$956</f>
        <v>0</v>
      </c>
      <c r="AF956" s="6">
        <f ca="1">$M$956*$Z$956</f>
        <v>47238.196971337726</v>
      </c>
      <c r="AG956" s="6">
        <f>$O$956*$AA$956</f>
        <v>11573.761081121329</v>
      </c>
    </row>
    <row r="957" spans="1:33" ht="11.25" customHeight="1" x14ac:dyDescent="0.25">
      <c r="A957" s="4" t="s">
        <v>21</v>
      </c>
      <c r="B957" s="4" t="s">
        <v>41</v>
      </c>
      <c r="C957" s="4" t="s">
        <v>44</v>
      </c>
      <c r="D957" s="4" t="s">
        <v>52</v>
      </c>
      <c r="E957" s="4" t="s">
        <v>53</v>
      </c>
      <c r="F957" s="4" t="s">
        <v>25</v>
      </c>
      <c r="G957" s="4" t="s">
        <v>25</v>
      </c>
      <c r="H957" s="4" t="s">
        <v>36</v>
      </c>
      <c r="I957" s="5">
        <v>44562</v>
      </c>
      <c r="J957" s="6">
        <v>0</v>
      </c>
      <c r="K957" s="42">
        <v>0</v>
      </c>
      <c r="L957" s="6">
        <v>277.27300000000002</v>
      </c>
      <c r="M957" s="42">
        <v>277.27300000000002</v>
      </c>
      <c r="N957" s="6">
        <v>277.27300000000002</v>
      </c>
      <c r="O957" s="42">
        <v>277.27300000000002</v>
      </c>
      <c r="P957" s="6">
        <v>0</v>
      </c>
      <c r="Q957" s="4" t="s">
        <v>26</v>
      </c>
      <c r="R957" s="4">
        <v>0</v>
      </c>
      <c r="S957" s="6">
        <v>0</v>
      </c>
      <c r="T957" s="6">
        <v>28</v>
      </c>
      <c r="U957" s="6">
        <v>74</v>
      </c>
      <c r="V957" s="42">
        <f>IF(ISERROR(VLOOKUP($S$957,'TAR FIN'!$A$1:$O$115,15,0)),0,VLOOKUP($S$957,'TAR FIN'!$A$1:$O$115,15,0))</f>
        <v>0</v>
      </c>
      <c r="W957" s="42">
        <f>IF(ISERROR(VLOOKUP($T$957,'TAR FIN'!$A$1:$O$115,15,0)),0,VLOOKUP($T$957,'TAR FIN'!$A$1:$O$115,15,0))*(1-0.06)</f>
        <v>1362.0224000000001</v>
      </c>
      <c r="X957" s="42">
        <f>IF(ISERROR(VLOOKUP($U$957,'TAR FIN'!$A$1:$O$115,15,0)),0,VLOOKUP($U$957,'TAR FIN'!$A$1:$O$115,15,0))*(1-0.06)</f>
        <v>254.08199999999999</v>
      </c>
      <c r="Y957" s="42"/>
      <c r="Z957" s="42">
        <f ca="1">('TUSD BE'!$AM$28+'TUSD BF'!$AM$28+'TUSD CVA'!$AM$28)*1*(1-0.03)</f>
        <v>1435.7241800297163</v>
      </c>
      <c r="AA957" s="42">
        <f>('TE BE'!$AB$11+'TE BF'!$AB$11+'TE CVA'!$AB$11)*1*(1-0.03)</f>
        <v>351.76466722756453</v>
      </c>
      <c r="AB957" s="6">
        <f>$K$957*$V$957</f>
        <v>0</v>
      </c>
      <c r="AC957" s="6">
        <f>$M$957*$W$957</f>
        <v>377652.03691520006</v>
      </c>
      <c r="AD957" s="6">
        <f>$O$957*$X$957</f>
        <v>70450.078386000008</v>
      </c>
      <c r="AE957" s="6">
        <f>$K$957*$Y$957</f>
        <v>0</v>
      </c>
      <c r="AF957" s="6">
        <f ca="1">$M$957*$Z$957</f>
        <v>398087.55056937959</v>
      </c>
      <c r="AG957" s="6">
        <f>$O$957*$AA$957</f>
        <v>97534.844576188509</v>
      </c>
    </row>
    <row r="958" spans="1:33" ht="11.25" customHeight="1" x14ac:dyDescent="0.25">
      <c r="A958" s="4" t="s">
        <v>28</v>
      </c>
      <c r="B958" s="4" t="s">
        <v>41</v>
      </c>
      <c r="C958" s="4" t="s">
        <v>44</v>
      </c>
      <c r="D958" s="4" t="s">
        <v>52</v>
      </c>
      <c r="E958" s="4" t="s">
        <v>53</v>
      </c>
      <c r="F958" s="4" t="s">
        <v>25</v>
      </c>
      <c r="G958" s="4" t="s">
        <v>25</v>
      </c>
      <c r="H958" s="4" t="s">
        <v>36</v>
      </c>
      <c r="I958" s="5">
        <v>44562</v>
      </c>
      <c r="J958" s="6">
        <v>0</v>
      </c>
      <c r="K958" s="42">
        <v>0</v>
      </c>
      <c r="L958" s="6">
        <v>35.567999999999998</v>
      </c>
      <c r="M958" s="42">
        <v>35.567999999999998</v>
      </c>
      <c r="N958" s="6">
        <v>35.567999999999998</v>
      </c>
      <c r="O958" s="42">
        <v>35.567999999999998</v>
      </c>
      <c r="P958" s="6">
        <v>0</v>
      </c>
      <c r="Q958" s="4" t="s">
        <v>26</v>
      </c>
      <c r="R958" s="4">
        <v>0</v>
      </c>
      <c r="S958" s="6">
        <v>0</v>
      </c>
      <c r="T958" s="6">
        <v>28</v>
      </c>
      <c r="U958" s="6">
        <v>74</v>
      </c>
      <c r="V958" s="42">
        <f>IF(ISERROR(VLOOKUP($S$958,'TAR FIN'!$A$1:$O$115,15,0)),0,VLOOKUP($S$958,'TAR FIN'!$A$1:$O$115,15,0))</f>
        <v>0</v>
      </c>
      <c r="W958" s="42">
        <f>IF(ISERROR(VLOOKUP($T$958,'TAR FIN'!$A$1:$O$115,15,0)),0,VLOOKUP($T$958,'TAR FIN'!$A$1:$O$115,15,0))*(1-0.06)</f>
        <v>1362.0224000000001</v>
      </c>
      <c r="X958" s="42">
        <f>IF(ISERROR(VLOOKUP($U$958,'TAR FIN'!$A$1:$O$115,15,0)),0,VLOOKUP($U$958,'TAR FIN'!$A$1:$O$115,15,0))*(1-0.06)</f>
        <v>254.08199999999999</v>
      </c>
      <c r="Y958" s="42"/>
      <c r="Z958" s="42">
        <f ca="1">('TUSD BE'!$AM$28+'TUSD BF'!$AM$28+'TUSD CVA'!$AM$28)*1*(1-0.03)</f>
        <v>1435.7241800297163</v>
      </c>
      <c r="AA958" s="42">
        <f>('TE BE'!$AB$11+'TE BF'!$AB$11+'TE CVA'!$AB$11)*1*(1-0.03)</f>
        <v>351.76466722756453</v>
      </c>
      <c r="AB958" s="6">
        <f>$K$958*$V$958</f>
        <v>0</v>
      </c>
      <c r="AC958" s="6">
        <f>$M$958*$W$958</f>
        <v>48444.412723200003</v>
      </c>
      <c r="AD958" s="6">
        <f>$O$958*$X$958</f>
        <v>9037.1885759999986</v>
      </c>
      <c r="AE958" s="6">
        <f>$K$958*$Y$958</f>
        <v>0</v>
      </c>
      <c r="AF958" s="6">
        <f ca="1">$M$958*$Z$958</f>
        <v>51065.83763529695</v>
      </c>
      <c r="AG958" s="6">
        <f>$O$958*$AA$958</f>
        <v>12511.565683950015</v>
      </c>
    </row>
    <row r="959" spans="1:33" ht="11.25" customHeight="1" x14ac:dyDescent="0.25">
      <c r="A959" s="4" t="s">
        <v>21</v>
      </c>
      <c r="B959" s="4" t="s">
        <v>41</v>
      </c>
      <c r="C959" s="4" t="s">
        <v>44</v>
      </c>
      <c r="D959" s="4" t="s">
        <v>52</v>
      </c>
      <c r="E959" s="4" t="s">
        <v>53</v>
      </c>
      <c r="F959" s="4" t="s">
        <v>25</v>
      </c>
      <c r="G959" s="4" t="s">
        <v>25</v>
      </c>
      <c r="H959" s="4" t="s">
        <v>36</v>
      </c>
      <c r="I959" s="5">
        <v>44593</v>
      </c>
      <c r="J959" s="6">
        <v>0</v>
      </c>
      <c r="K959" s="42">
        <v>0</v>
      </c>
      <c r="L959" s="6">
        <v>249.84299999999999</v>
      </c>
      <c r="M959" s="42">
        <v>249.84299999999999</v>
      </c>
      <c r="N959" s="6">
        <v>249.84299999999999</v>
      </c>
      <c r="O959" s="42">
        <v>249.84299999999999</v>
      </c>
      <c r="P959" s="6">
        <v>0</v>
      </c>
      <c r="Q959" s="4" t="s">
        <v>26</v>
      </c>
      <c r="R959" s="4">
        <v>0</v>
      </c>
      <c r="S959" s="6">
        <v>0</v>
      </c>
      <c r="T959" s="6">
        <v>28</v>
      </c>
      <c r="U959" s="6">
        <v>74</v>
      </c>
      <c r="V959" s="42">
        <f>IF(ISERROR(VLOOKUP($S$959,'TAR FIN'!$A$1:$O$115,15,0)),0,VLOOKUP($S$959,'TAR FIN'!$A$1:$O$115,15,0))</f>
        <v>0</v>
      </c>
      <c r="W959" s="42">
        <f>IF(ISERROR(VLOOKUP($T$959,'TAR FIN'!$A$1:$O$115,15,0)),0,VLOOKUP($T$959,'TAR FIN'!$A$1:$O$115,15,0))*(1-0.06)</f>
        <v>1362.0224000000001</v>
      </c>
      <c r="X959" s="42">
        <f>IF(ISERROR(VLOOKUP($U$959,'TAR FIN'!$A$1:$O$115,15,0)),0,VLOOKUP($U$959,'TAR FIN'!$A$1:$O$115,15,0))*(1-0.06)</f>
        <v>254.08199999999999</v>
      </c>
      <c r="Y959" s="42"/>
      <c r="Z959" s="42">
        <f ca="1">('TUSD BE'!$AM$28+'TUSD BF'!$AM$28+'TUSD CVA'!$AM$28)*1*(1-0.03)</f>
        <v>1435.7241800297163</v>
      </c>
      <c r="AA959" s="42">
        <f>('TE BE'!$AB$11+'TE BF'!$AB$11+'TE CVA'!$AB$11)*1*(1-0.03)</f>
        <v>351.76466722756453</v>
      </c>
      <c r="AB959" s="6">
        <f>$K$959*$V$959</f>
        <v>0</v>
      </c>
      <c r="AC959" s="6">
        <f>$M$959*$W$959</f>
        <v>340291.7624832</v>
      </c>
      <c r="AD959" s="6">
        <f>$O$959*$X$959</f>
        <v>63480.609125999996</v>
      </c>
      <c r="AE959" s="6">
        <f>$K$959*$Y$959</f>
        <v>0</v>
      </c>
      <c r="AF959" s="6">
        <f ca="1">$M$959*$Z$959</f>
        <v>358705.63631116442</v>
      </c>
      <c r="AG959" s="6">
        <f>$O$959*$AA$959</f>
        <v>87885.939754136401</v>
      </c>
    </row>
    <row r="960" spans="1:33" ht="11.25" customHeight="1" x14ac:dyDescent="0.25">
      <c r="A960" s="4" t="s">
        <v>27</v>
      </c>
      <c r="B960" s="4" t="s">
        <v>41</v>
      </c>
      <c r="C960" s="4" t="s">
        <v>44</v>
      </c>
      <c r="D960" s="4" t="s">
        <v>52</v>
      </c>
      <c r="E960" s="4" t="s">
        <v>53</v>
      </c>
      <c r="F960" s="4" t="s">
        <v>25</v>
      </c>
      <c r="G960" s="4" t="s">
        <v>25</v>
      </c>
      <c r="H960" s="4" t="s">
        <v>36</v>
      </c>
      <c r="I960" s="5">
        <v>44593</v>
      </c>
      <c r="J960" s="6">
        <v>0</v>
      </c>
      <c r="K960" s="42">
        <v>0</v>
      </c>
      <c r="L960" s="6">
        <v>-1E-3</v>
      </c>
      <c r="M960" s="42">
        <v>-1E-3</v>
      </c>
      <c r="N960" s="6">
        <v>-1E-3</v>
      </c>
      <c r="O960" s="42">
        <v>-1E-3</v>
      </c>
      <c r="P960" s="6">
        <v>0</v>
      </c>
      <c r="Q960" s="4" t="s">
        <v>26</v>
      </c>
      <c r="R960" s="4">
        <v>0</v>
      </c>
      <c r="S960" s="6">
        <v>0</v>
      </c>
      <c r="T960" s="6">
        <v>28</v>
      </c>
      <c r="U960" s="6">
        <v>74</v>
      </c>
      <c r="V960" s="42">
        <f>IF(ISERROR(VLOOKUP($S$960,'TAR FIN'!$A$1:$O$115,15,0)),0,VLOOKUP($S$960,'TAR FIN'!$A$1:$O$115,15,0))</f>
        <v>0</v>
      </c>
      <c r="W960" s="42">
        <f>IF(ISERROR(VLOOKUP($T$960,'TAR FIN'!$A$1:$O$115,15,0)),0,VLOOKUP($T$960,'TAR FIN'!$A$1:$O$115,15,0))*(1-0.06)</f>
        <v>1362.0224000000001</v>
      </c>
      <c r="X960" s="42">
        <f>IF(ISERROR(VLOOKUP($U$960,'TAR FIN'!$A$1:$O$115,15,0)),0,VLOOKUP($U$960,'TAR FIN'!$A$1:$O$115,15,0))*(1-0.06)</f>
        <v>254.08199999999999</v>
      </c>
      <c r="Y960" s="42"/>
      <c r="Z960" s="42">
        <f ca="1">('TUSD BE'!$AM$28+'TUSD BF'!$AM$28+'TUSD CVA'!$AM$28)*1*(1-0.03)</f>
        <v>1435.7241800297163</v>
      </c>
      <c r="AA960" s="42">
        <f>('TE BE'!$AB$11+'TE BF'!$AB$11+'TE CVA'!$AB$11)*1*(1-0.03)</f>
        <v>351.76466722756453</v>
      </c>
      <c r="AB960" s="6">
        <f>$K$960*$V$960</f>
        <v>0</v>
      </c>
      <c r="AC960" s="6">
        <f>$M$960*$W$960</f>
        <v>-1.3620224000000001</v>
      </c>
      <c r="AD960" s="6">
        <f>$O$960*$X$960</f>
        <v>-0.25408199999999997</v>
      </c>
      <c r="AE960" s="6">
        <f>$K$960*$Y$960</f>
        <v>0</v>
      </c>
      <c r="AF960" s="6">
        <f ca="1">$M$960*$Z$960</f>
        <v>-1.4357241800297162</v>
      </c>
      <c r="AG960" s="6">
        <f>$O$960*$AA$960</f>
        <v>-0.35176466722756455</v>
      </c>
    </row>
    <row r="961" spans="1:33" ht="11.25" customHeight="1" x14ac:dyDescent="0.25">
      <c r="A961" s="4" t="s">
        <v>28</v>
      </c>
      <c r="B961" s="4" t="s">
        <v>41</v>
      </c>
      <c r="C961" s="4" t="s">
        <v>44</v>
      </c>
      <c r="D961" s="4" t="s">
        <v>52</v>
      </c>
      <c r="E961" s="4" t="s">
        <v>53</v>
      </c>
      <c r="F961" s="4" t="s">
        <v>25</v>
      </c>
      <c r="G961" s="4" t="s">
        <v>25</v>
      </c>
      <c r="H961" s="4" t="s">
        <v>36</v>
      </c>
      <c r="I961" s="5">
        <v>44593</v>
      </c>
      <c r="J961" s="6">
        <v>0</v>
      </c>
      <c r="K961" s="42">
        <v>0</v>
      </c>
      <c r="L961" s="6">
        <v>33.691000000000003</v>
      </c>
      <c r="M961" s="42">
        <v>33.691000000000003</v>
      </c>
      <c r="N961" s="6">
        <v>33.691000000000003</v>
      </c>
      <c r="O961" s="42">
        <v>33.691000000000003</v>
      </c>
      <c r="P961" s="6">
        <v>0</v>
      </c>
      <c r="Q961" s="4" t="s">
        <v>26</v>
      </c>
      <c r="R961" s="4">
        <v>0</v>
      </c>
      <c r="S961" s="6">
        <v>0</v>
      </c>
      <c r="T961" s="6">
        <v>28</v>
      </c>
      <c r="U961" s="6">
        <v>74</v>
      </c>
      <c r="V961" s="42">
        <f>IF(ISERROR(VLOOKUP($S$961,'TAR FIN'!$A$1:$O$115,15,0)),0,VLOOKUP($S$961,'TAR FIN'!$A$1:$O$115,15,0))</f>
        <v>0</v>
      </c>
      <c r="W961" s="42">
        <f>IF(ISERROR(VLOOKUP($T$961,'TAR FIN'!$A$1:$O$115,15,0)),0,VLOOKUP($T$961,'TAR FIN'!$A$1:$O$115,15,0))*(1-0.06)</f>
        <v>1362.0224000000001</v>
      </c>
      <c r="X961" s="42">
        <f>IF(ISERROR(VLOOKUP($U$961,'TAR FIN'!$A$1:$O$115,15,0)),0,VLOOKUP($U$961,'TAR FIN'!$A$1:$O$115,15,0))*(1-0.06)</f>
        <v>254.08199999999999</v>
      </c>
      <c r="Y961" s="42"/>
      <c r="Z961" s="42">
        <f ca="1">('TUSD BE'!$AM$28+'TUSD BF'!$AM$28+'TUSD CVA'!$AM$28)*1*(1-0.03)</f>
        <v>1435.7241800297163</v>
      </c>
      <c r="AA961" s="42">
        <f>('TE BE'!$AB$11+'TE BF'!$AB$11+'TE CVA'!$AB$11)*1*(1-0.03)</f>
        <v>351.76466722756453</v>
      </c>
      <c r="AB961" s="6">
        <f>$K$961*$V$961</f>
        <v>0</v>
      </c>
      <c r="AC961" s="6">
        <f>$M$961*$W$961</f>
        <v>45887.896678400008</v>
      </c>
      <c r="AD961" s="6">
        <f>$O$961*$X$961</f>
        <v>8560.2766620000002</v>
      </c>
      <c r="AE961" s="6">
        <f>$K$961*$Y$961</f>
        <v>0</v>
      </c>
      <c r="AF961" s="6">
        <f ca="1">$M$961*$Z$961</f>
        <v>48370.983349381175</v>
      </c>
      <c r="AG961" s="6">
        <f>$O$961*$AA$961</f>
        <v>11851.303403563878</v>
      </c>
    </row>
    <row r="962" spans="1:33" ht="11.25" customHeight="1" x14ac:dyDescent="0.25">
      <c r="A962" s="4" t="s">
        <v>21</v>
      </c>
      <c r="B962" s="4" t="s">
        <v>41</v>
      </c>
      <c r="C962" s="4" t="s">
        <v>44</v>
      </c>
      <c r="D962" s="4" t="s">
        <v>52</v>
      </c>
      <c r="E962" s="4" t="s">
        <v>53</v>
      </c>
      <c r="F962" s="4" t="s">
        <v>25</v>
      </c>
      <c r="G962" s="4" t="s">
        <v>25</v>
      </c>
      <c r="H962" s="4" t="s">
        <v>36</v>
      </c>
      <c r="I962" s="5">
        <v>44621</v>
      </c>
      <c r="J962" s="6">
        <v>0</v>
      </c>
      <c r="K962" s="42">
        <v>0</v>
      </c>
      <c r="L962" s="6">
        <v>264.14299999999997</v>
      </c>
      <c r="M962" s="42">
        <v>264.14299999999997</v>
      </c>
      <c r="N962" s="6">
        <v>264.14299999999997</v>
      </c>
      <c r="O962" s="42">
        <v>264.14299999999997</v>
      </c>
      <c r="P962" s="6">
        <v>0</v>
      </c>
      <c r="Q962" s="4" t="s">
        <v>26</v>
      </c>
      <c r="R962" s="4">
        <v>0</v>
      </c>
      <c r="S962" s="6">
        <v>0</v>
      </c>
      <c r="T962" s="6">
        <v>28</v>
      </c>
      <c r="U962" s="6">
        <v>74</v>
      </c>
      <c r="V962" s="42">
        <f>IF(ISERROR(VLOOKUP($S$962,'TAR FIN'!$A$1:$O$115,15,0)),0,VLOOKUP($S$962,'TAR FIN'!$A$1:$O$115,15,0))</f>
        <v>0</v>
      </c>
      <c r="W962" s="42">
        <f>IF(ISERROR(VLOOKUP($T$962,'TAR FIN'!$A$1:$O$115,15,0)),0,VLOOKUP($T$962,'TAR FIN'!$A$1:$O$115,15,0))*(1-0.06)</f>
        <v>1362.0224000000001</v>
      </c>
      <c r="X962" s="42">
        <f>IF(ISERROR(VLOOKUP($U$962,'TAR FIN'!$A$1:$O$115,15,0)),0,VLOOKUP($U$962,'TAR FIN'!$A$1:$O$115,15,0))*(1-0.06)</f>
        <v>254.08199999999999</v>
      </c>
      <c r="Y962" s="42"/>
      <c r="Z962" s="42">
        <f ca="1">('TUSD BE'!$AM$28+'TUSD BF'!$AM$28+'TUSD CVA'!$AM$28)*1*(1-0.03)</f>
        <v>1435.7241800297163</v>
      </c>
      <c r="AA962" s="42">
        <f>('TE BE'!$AB$11+'TE BF'!$AB$11+'TE CVA'!$AB$11)*1*(1-0.03)</f>
        <v>351.76466722756453</v>
      </c>
      <c r="AB962" s="6">
        <f>$K$962*$V$962</f>
        <v>0</v>
      </c>
      <c r="AC962" s="6">
        <f>$M$962*$W$962</f>
        <v>359768.68280319998</v>
      </c>
      <c r="AD962" s="6">
        <f>$O$962*$X$962</f>
        <v>67113.981725999998</v>
      </c>
      <c r="AE962" s="6">
        <f>$K$962*$Y$962</f>
        <v>0</v>
      </c>
      <c r="AF962" s="6">
        <f ca="1">$M$962*$Z$962</f>
        <v>379236.49208558933</v>
      </c>
      <c r="AG962" s="6">
        <f>$O$962*$AA$962</f>
        <v>92916.174495490573</v>
      </c>
    </row>
    <row r="963" spans="1:33" ht="11.25" customHeight="1" x14ac:dyDescent="0.25">
      <c r="A963" s="4" t="s">
        <v>28</v>
      </c>
      <c r="B963" s="4" t="s">
        <v>41</v>
      </c>
      <c r="C963" s="4" t="s">
        <v>44</v>
      </c>
      <c r="D963" s="4" t="s">
        <v>52</v>
      </c>
      <c r="E963" s="4" t="s">
        <v>53</v>
      </c>
      <c r="F963" s="4" t="s">
        <v>25</v>
      </c>
      <c r="G963" s="4" t="s">
        <v>25</v>
      </c>
      <c r="H963" s="4" t="s">
        <v>36</v>
      </c>
      <c r="I963" s="5">
        <v>44621</v>
      </c>
      <c r="J963" s="6">
        <v>0</v>
      </c>
      <c r="K963" s="42">
        <v>0</v>
      </c>
      <c r="L963" s="6">
        <v>34.070999999999998</v>
      </c>
      <c r="M963" s="42">
        <v>34.070999999999998</v>
      </c>
      <c r="N963" s="6">
        <v>34.070999999999998</v>
      </c>
      <c r="O963" s="42">
        <v>34.070999999999998</v>
      </c>
      <c r="P963" s="6">
        <v>0</v>
      </c>
      <c r="Q963" s="4" t="s">
        <v>26</v>
      </c>
      <c r="R963" s="4">
        <v>0</v>
      </c>
      <c r="S963" s="6">
        <v>0</v>
      </c>
      <c r="T963" s="6">
        <v>28</v>
      </c>
      <c r="U963" s="6">
        <v>74</v>
      </c>
      <c r="V963" s="42">
        <f>IF(ISERROR(VLOOKUP($S$963,'TAR FIN'!$A$1:$O$115,15,0)),0,VLOOKUP($S$963,'TAR FIN'!$A$1:$O$115,15,0))</f>
        <v>0</v>
      </c>
      <c r="W963" s="42">
        <f>IF(ISERROR(VLOOKUP($T$963,'TAR FIN'!$A$1:$O$115,15,0)),0,VLOOKUP($T$963,'TAR FIN'!$A$1:$O$115,15,0))*(1-0.06)</f>
        <v>1362.0224000000001</v>
      </c>
      <c r="X963" s="42">
        <f>IF(ISERROR(VLOOKUP($U$963,'TAR FIN'!$A$1:$O$115,15,0)),0,VLOOKUP($U$963,'TAR FIN'!$A$1:$O$115,15,0))*(1-0.06)</f>
        <v>254.08199999999999</v>
      </c>
      <c r="Y963" s="42"/>
      <c r="Z963" s="42">
        <f ca="1">('TUSD BE'!$AM$28+'TUSD BF'!$AM$28+'TUSD CVA'!$AM$28)*1*(1-0.03)</f>
        <v>1435.7241800297163</v>
      </c>
      <c r="AA963" s="42">
        <f>('TE BE'!$AB$11+'TE BF'!$AB$11+'TE CVA'!$AB$11)*1*(1-0.03)</f>
        <v>351.76466722756453</v>
      </c>
      <c r="AB963" s="6">
        <f>$K$963*$V$963</f>
        <v>0</v>
      </c>
      <c r="AC963" s="6">
        <f>$M$963*$W$963</f>
        <v>46405.465190399998</v>
      </c>
      <c r="AD963" s="6">
        <f>$O$963*$X$963</f>
        <v>8656.8278219999993</v>
      </c>
      <c r="AE963" s="6">
        <f>$K$963*$Y$963</f>
        <v>0</v>
      </c>
      <c r="AF963" s="6">
        <f ca="1">$M$963*$Z$963</f>
        <v>48916.558537792458</v>
      </c>
      <c r="AG963" s="6">
        <f>$O$963*$AA$963</f>
        <v>11984.97397711035</v>
      </c>
    </row>
    <row r="964" spans="1:33" ht="11.25" customHeight="1" x14ac:dyDescent="0.25">
      <c r="A964" s="4" t="s">
        <v>21</v>
      </c>
      <c r="B964" s="4" t="s">
        <v>41</v>
      </c>
      <c r="C964" s="4" t="s">
        <v>44</v>
      </c>
      <c r="D964" s="4" t="s">
        <v>52</v>
      </c>
      <c r="E964" s="4" t="s">
        <v>53</v>
      </c>
      <c r="F964" s="4" t="s">
        <v>25</v>
      </c>
      <c r="G964" s="4" t="s">
        <v>25</v>
      </c>
      <c r="H964" s="4" t="s">
        <v>36</v>
      </c>
      <c r="I964" s="5">
        <v>44652</v>
      </c>
      <c r="J964" s="6">
        <v>0</v>
      </c>
      <c r="K964" s="42">
        <v>0</v>
      </c>
      <c r="L964" s="6">
        <v>251.489</v>
      </c>
      <c r="M964" s="42">
        <v>251.489</v>
      </c>
      <c r="N964" s="6">
        <v>251.489</v>
      </c>
      <c r="O964" s="42">
        <v>251.489</v>
      </c>
      <c r="P964" s="6">
        <v>0</v>
      </c>
      <c r="Q964" s="4" t="s">
        <v>26</v>
      </c>
      <c r="R964" s="4">
        <v>0</v>
      </c>
      <c r="S964" s="6">
        <v>0</v>
      </c>
      <c r="T964" s="6">
        <v>28</v>
      </c>
      <c r="U964" s="6">
        <v>74</v>
      </c>
      <c r="V964" s="42">
        <f>IF(ISERROR(VLOOKUP($S$964,'TAR FIN'!$A$1:$O$115,15,0)),0,VLOOKUP($S$964,'TAR FIN'!$A$1:$O$115,15,0))</f>
        <v>0</v>
      </c>
      <c r="W964" s="42">
        <f>IF(ISERROR(VLOOKUP($T$964,'TAR FIN'!$A$1:$O$115,15,0)),0,VLOOKUP($T$964,'TAR FIN'!$A$1:$O$115,15,0))*(1-0.06)</f>
        <v>1362.0224000000001</v>
      </c>
      <c r="X964" s="42">
        <f>IF(ISERROR(VLOOKUP($U$964,'TAR FIN'!$A$1:$O$115,15,0)),0,VLOOKUP($U$964,'TAR FIN'!$A$1:$O$115,15,0))*(1-0.06)</f>
        <v>254.08199999999999</v>
      </c>
      <c r="Y964" s="42"/>
      <c r="Z964" s="42">
        <f ca="1">('TUSD BE'!$AM$28+'TUSD BF'!$AM$28+'TUSD CVA'!$AM$28)*1*(1-0.03)</f>
        <v>1435.7241800297163</v>
      </c>
      <c r="AA964" s="42">
        <f>('TE BE'!$AB$11+'TE BF'!$AB$11+'TE CVA'!$AB$11)*1*(1-0.03)</f>
        <v>351.76466722756453</v>
      </c>
      <c r="AB964" s="6">
        <f>$K$964*$V$964</f>
        <v>0</v>
      </c>
      <c r="AC964" s="6">
        <f>$M$964*$W$964</f>
        <v>342533.65135360003</v>
      </c>
      <c r="AD964" s="6">
        <f>$O$964*$X$964</f>
        <v>63898.828097999998</v>
      </c>
      <c r="AE964" s="6">
        <f>$K$964*$Y$964</f>
        <v>0</v>
      </c>
      <c r="AF964" s="6">
        <f ca="1">$M$964*$Z$964</f>
        <v>361068.83831149334</v>
      </c>
      <c r="AG964" s="6">
        <f>$O$964*$AA$964</f>
        <v>88464.944396392981</v>
      </c>
    </row>
    <row r="965" spans="1:33" ht="11.25" customHeight="1" x14ac:dyDescent="0.25">
      <c r="A965" s="4" t="s">
        <v>28</v>
      </c>
      <c r="B965" s="4" t="s">
        <v>41</v>
      </c>
      <c r="C965" s="4" t="s">
        <v>44</v>
      </c>
      <c r="D965" s="4" t="s">
        <v>52</v>
      </c>
      <c r="E965" s="4" t="s">
        <v>53</v>
      </c>
      <c r="F965" s="4" t="s">
        <v>25</v>
      </c>
      <c r="G965" s="4" t="s">
        <v>25</v>
      </c>
      <c r="H965" s="4" t="s">
        <v>36</v>
      </c>
      <c r="I965" s="5">
        <v>44652</v>
      </c>
      <c r="J965" s="6">
        <v>0</v>
      </c>
      <c r="K965" s="42">
        <v>0</v>
      </c>
      <c r="L965" s="6">
        <v>33.68</v>
      </c>
      <c r="M965" s="42">
        <v>33.68</v>
      </c>
      <c r="N965" s="6">
        <v>33.68</v>
      </c>
      <c r="O965" s="42">
        <v>33.68</v>
      </c>
      <c r="P965" s="6">
        <v>0</v>
      </c>
      <c r="Q965" s="4" t="s">
        <v>26</v>
      </c>
      <c r="R965" s="4">
        <v>0</v>
      </c>
      <c r="S965" s="6">
        <v>0</v>
      </c>
      <c r="T965" s="6">
        <v>28</v>
      </c>
      <c r="U965" s="6">
        <v>74</v>
      </c>
      <c r="V965" s="42">
        <f>IF(ISERROR(VLOOKUP($S$965,'TAR FIN'!$A$1:$O$115,15,0)),0,VLOOKUP($S$965,'TAR FIN'!$A$1:$O$115,15,0))</f>
        <v>0</v>
      </c>
      <c r="W965" s="42">
        <f>IF(ISERROR(VLOOKUP($T$965,'TAR FIN'!$A$1:$O$115,15,0)),0,VLOOKUP($T$965,'TAR FIN'!$A$1:$O$115,15,0))*(1-0.06)</f>
        <v>1362.0224000000001</v>
      </c>
      <c r="X965" s="42">
        <f>IF(ISERROR(VLOOKUP($U$965,'TAR FIN'!$A$1:$O$115,15,0)),0,VLOOKUP($U$965,'TAR FIN'!$A$1:$O$115,15,0))*(1-0.06)</f>
        <v>254.08199999999999</v>
      </c>
      <c r="Y965" s="42"/>
      <c r="Z965" s="42">
        <f ca="1">('TUSD BE'!$AM$28+'TUSD BF'!$AM$28+'TUSD CVA'!$AM$28)*1*(1-0.03)</f>
        <v>1435.7241800297163</v>
      </c>
      <c r="AA965" s="42">
        <f>('TE BE'!$AB$11+'TE BF'!$AB$11+'TE CVA'!$AB$11)*1*(1-0.03)</f>
        <v>351.76466722756453</v>
      </c>
      <c r="AB965" s="6">
        <f>$K$965*$V$965</f>
        <v>0</v>
      </c>
      <c r="AC965" s="6">
        <f>$M$965*$W$965</f>
        <v>45872.914432000005</v>
      </c>
      <c r="AD965" s="6">
        <f>$O$965*$X$965</f>
        <v>8557.4817600000006</v>
      </c>
      <c r="AE965" s="6">
        <f>$K$965*$Y$965</f>
        <v>0</v>
      </c>
      <c r="AF965" s="6">
        <f ca="1">$M$965*$Z$965</f>
        <v>48355.190383400848</v>
      </c>
      <c r="AG965" s="6">
        <f>$O$965*$AA$965</f>
        <v>11847.433992224373</v>
      </c>
    </row>
    <row r="966" spans="1:33" ht="11.25" customHeight="1" x14ac:dyDescent="0.25">
      <c r="A966" s="4" t="s">
        <v>21</v>
      </c>
      <c r="B966" s="4" t="s">
        <v>41</v>
      </c>
      <c r="C966" s="4" t="s">
        <v>44</v>
      </c>
      <c r="D966" s="4" t="s">
        <v>52</v>
      </c>
      <c r="E966" s="4" t="s">
        <v>53</v>
      </c>
      <c r="F966" s="4" t="s">
        <v>25</v>
      </c>
      <c r="G966" s="4" t="s">
        <v>25</v>
      </c>
      <c r="H966" s="4" t="s">
        <v>36</v>
      </c>
      <c r="I966" s="5">
        <v>44682</v>
      </c>
      <c r="J966" s="6">
        <v>0</v>
      </c>
      <c r="K966" s="42">
        <v>0</v>
      </c>
      <c r="L966" s="6">
        <v>271.93599999999998</v>
      </c>
      <c r="M966" s="42">
        <v>271.93599999999998</v>
      </c>
      <c r="N966" s="6">
        <v>271.93599999999998</v>
      </c>
      <c r="O966" s="42">
        <v>271.93599999999998</v>
      </c>
      <c r="P966" s="6">
        <v>0</v>
      </c>
      <c r="Q966" s="4" t="s">
        <v>26</v>
      </c>
      <c r="R966" s="4">
        <v>0</v>
      </c>
      <c r="S966" s="6">
        <v>0</v>
      </c>
      <c r="T966" s="6">
        <v>28</v>
      </c>
      <c r="U966" s="6">
        <v>74</v>
      </c>
      <c r="V966" s="42">
        <f>IF(ISERROR(VLOOKUP($S$966,'TAR FIN'!$A$1:$O$115,15,0)),0,VLOOKUP($S$966,'TAR FIN'!$A$1:$O$115,15,0))</f>
        <v>0</v>
      </c>
      <c r="W966" s="42">
        <f>IF(ISERROR(VLOOKUP($T$966,'TAR FIN'!$A$1:$O$115,15,0)),0,VLOOKUP($T$966,'TAR FIN'!$A$1:$O$115,15,0))*(1-0.06)</f>
        <v>1362.0224000000001</v>
      </c>
      <c r="X966" s="42">
        <f>IF(ISERROR(VLOOKUP($U$966,'TAR FIN'!$A$1:$O$115,15,0)),0,VLOOKUP($U$966,'TAR FIN'!$A$1:$O$115,15,0))*(1-0.06)</f>
        <v>254.08199999999999</v>
      </c>
      <c r="Y966" s="42"/>
      <c r="Z966" s="42">
        <f ca="1">('TUSD BE'!$AM$28+'TUSD BF'!$AM$28+'TUSD CVA'!$AM$28)*1*(1-0.03)</f>
        <v>1435.7241800297163</v>
      </c>
      <c r="AA966" s="42">
        <f>('TE BE'!$AB$11+'TE BF'!$AB$11+'TE CVA'!$AB$11)*1*(1-0.03)</f>
        <v>351.76466722756453</v>
      </c>
      <c r="AB966" s="6">
        <f>$K$966*$V$966</f>
        <v>0</v>
      </c>
      <c r="AC966" s="6">
        <f>$M$966*$W$966</f>
        <v>370382.92336640001</v>
      </c>
      <c r="AD966" s="6">
        <f>$O$966*$X$966</f>
        <v>69094.042751999994</v>
      </c>
      <c r="AE966" s="6">
        <f>$K$966*$Y$966</f>
        <v>0</v>
      </c>
      <c r="AF966" s="6">
        <f ca="1">$M$966*$Z$966</f>
        <v>390425.09062056092</v>
      </c>
      <c r="AG966" s="6">
        <f>$O$966*$AA$966</f>
        <v>95657.47654719498</v>
      </c>
    </row>
    <row r="967" spans="1:33" ht="11.25" customHeight="1" x14ac:dyDescent="0.25">
      <c r="A967" s="4" t="s">
        <v>28</v>
      </c>
      <c r="B967" s="4" t="s">
        <v>41</v>
      </c>
      <c r="C967" s="4" t="s">
        <v>44</v>
      </c>
      <c r="D967" s="4" t="s">
        <v>52</v>
      </c>
      <c r="E967" s="4" t="s">
        <v>53</v>
      </c>
      <c r="F967" s="4" t="s">
        <v>25</v>
      </c>
      <c r="G967" s="4" t="s">
        <v>25</v>
      </c>
      <c r="H967" s="4" t="s">
        <v>36</v>
      </c>
      <c r="I967" s="5">
        <v>44682</v>
      </c>
      <c r="J967" s="6">
        <v>0</v>
      </c>
      <c r="K967" s="42">
        <v>0</v>
      </c>
      <c r="L967" s="6">
        <v>33.322000000000003</v>
      </c>
      <c r="M967" s="42">
        <v>33.322000000000003</v>
      </c>
      <c r="N967" s="6">
        <v>33.322000000000003</v>
      </c>
      <c r="O967" s="42">
        <v>33.322000000000003</v>
      </c>
      <c r="P967" s="6">
        <v>0</v>
      </c>
      <c r="Q967" s="4" t="s">
        <v>26</v>
      </c>
      <c r="R967" s="4">
        <v>0</v>
      </c>
      <c r="S967" s="6">
        <v>0</v>
      </c>
      <c r="T967" s="6">
        <v>28</v>
      </c>
      <c r="U967" s="6">
        <v>74</v>
      </c>
      <c r="V967" s="42">
        <f>IF(ISERROR(VLOOKUP($S$967,'TAR FIN'!$A$1:$O$115,15,0)),0,VLOOKUP($S$967,'TAR FIN'!$A$1:$O$115,15,0))</f>
        <v>0</v>
      </c>
      <c r="W967" s="42">
        <f>IF(ISERROR(VLOOKUP($T$967,'TAR FIN'!$A$1:$O$115,15,0)),0,VLOOKUP($T$967,'TAR FIN'!$A$1:$O$115,15,0))*(1-0.06)</f>
        <v>1362.0224000000001</v>
      </c>
      <c r="X967" s="42">
        <f>IF(ISERROR(VLOOKUP($U$967,'TAR FIN'!$A$1:$O$115,15,0)),0,VLOOKUP($U$967,'TAR FIN'!$A$1:$O$115,15,0))*(1-0.06)</f>
        <v>254.08199999999999</v>
      </c>
      <c r="Y967" s="42"/>
      <c r="Z967" s="42">
        <f ca="1">('TUSD BE'!$AM$28+'TUSD BF'!$AM$28+'TUSD CVA'!$AM$28)*1*(1-0.03)</f>
        <v>1435.7241800297163</v>
      </c>
      <c r="AA967" s="42">
        <f>('TE BE'!$AB$11+'TE BF'!$AB$11+'TE CVA'!$AB$11)*1*(1-0.03)</f>
        <v>351.76466722756453</v>
      </c>
      <c r="AB967" s="6">
        <f>$K$967*$V$967</f>
        <v>0</v>
      </c>
      <c r="AC967" s="6">
        <f>$M$967*$W$967</f>
        <v>45385.310412800005</v>
      </c>
      <c r="AD967" s="6">
        <f>$O$967*$X$967</f>
        <v>8466.5204040000008</v>
      </c>
      <c r="AE967" s="6">
        <f>$K$967*$Y$967</f>
        <v>0</v>
      </c>
      <c r="AF967" s="6">
        <f ca="1">$M$967*$Z$967</f>
        <v>47841.201126950211</v>
      </c>
      <c r="AG967" s="6">
        <f>$O$967*$AA$967</f>
        <v>11721.502241356906</v>
      </c>
    </row>
    <row r="968" spans="1:33" ht="11.25" customHeight="1" x14ac:dyDescent="0.25">
      <c r="A968" s="4" t="s">
        <v>21</v>
      </c>
      <c r="B968" s="4" t="s">
        <v>41</v>
      </c>
      <c r="C968" s="4" t="s">
        <v>44</v>
      </c>
      <c r="D968" s="4" t="s">
        <v>52</v>
      </c>
      <c r="E968" s="4" t="s">
        <v>53</v>
      </c>
      <c r="F968" s="4" t="s">
        <v>25</v>
      </c>
      <c r="G968" s="4" t="s">
        <v>25</v>
      </c>
      <c r="H968" s="4" t="s">
        <v>36</v>
      </c>
      <c r="I968" s="5">
        <v>44713</v>
      </c>
      <c r="J968" s="6">
        <v>0</v>
      </c>
      <c r="K968" s="42">
        <v>0</v>
      </c>
      <c r="L968" s="6">
        <v>258.11</v>
      </c>
      <c r="M968" s="42">
        <v>258.11</v>
      </c>
      <c r="N968" s="6">
        <v>258.11</v>
      </c>
      <c r="O968" s="42">
        <v>258.11</v>
      </c>
      <c r="P968" s="6">
        <v>0</v>
      </c>
      <c r="Q968" s="4" t="s">
        <v>26</v>
      </c>
      <c r="R968" s="4">
        <v>0</v>
      </c>
      <c r="S968" s="6">
        <v>0</v>
      </c>
      <c r="T968" s="6">
        <v>28</v>
      </c>
      <c r="U968" s="6">
        <v>74</v>
      </c>
      <c r="V968" s="42">
        <f>IF(ISERROR(VLOOKUP($S$968,'TAR FIN'!$A$1:$O$115,15,0)),0,VLOOKUP($S$968,'TAR FIN'!$A$1:$O$115,15,0))</f>
        <v>0</v>
      </c>
      <c r="W968" s="42">
        <f>IF(ISERROR(VLOOKUP($T$968,'TAR FIN'!$A$1:$O$115,15,0)),0,VLOOKUP($T$968,'TAR FIN'!$A$1:$O$115,15,0))*(1-0.06)</f>
        <v>1362.0224000000001</v>
      </c>
      <c r="X968" s="42">
        <f>IF(ISERROR(VLOOKUP($U$968,'TAR FIN'!$A$1:$O$115,15,0)),0,VLOOKUP($U$968,'TAR FIN'!$A$1:$O$115,15,0))*(1-0.06)</f>
        <v>254.08199999999999</v>
      </c>
      <c r="Y968" s="42"/>
      <c r="Z968" s="42">
        <f ca="1">('TUSD BE'!$AM$28+'TUSD BF'!$AM$28+'TUSD CVA'!$AM$28)*1*(1-0.03)</f>
        <v>1435.7241800297163</v>
      </c>
      <c r="AA968" s="42">
        <f>('TE BE'!$AB$11+'TE BF'!$AB$11+'TE CVA'!$AB$11)*1*(1-0.03)</f>
        <v>351.76466722756453</v>
      </c>
      <c r="AB968" s="6">
        <f>$K$968*$V$968</f>
        <v>0</v>
      </c>
      <c r="AC968" s="6">
        <f>$M$968*$W$968</f>
        <v>351551.60166400002</v>
      </c>
      <c r="AD968" s="6">
        <f>$O$968*$X$968</f>
        <v>65581.105020000003</v>
      </c>
      <c r="AE968" s="6">
        <f>$K$968*$Y$968</f>
        <v>0</v>
      </c>
      <c r="AF968" s="6">
        <f ca="1">$M$968*$Z$968</f>
        <v>370574.76810747012</v>
      </c>
      <c r="AG968" s="6">
        <f>$O$968*$AA$968</f>
        <v>90793.978258106683</v>
      </c>
    </row>
    <row r="969" spans="1:33" ht="11.25" customHeight="1" x14ac:dyDescent="0.25">
      <c r="A969" s="4" t="s">
        <v>28</v>
      </c>
      <c r="B969" s="4" t="s">
        <v>41</v>
      </c>
      <c r="C969" s="4" t="s">
        <v>44</v>
      </c>
      <c r="D969" s="4" t="s">
        <v>52</v>
      </c>
      <c r="E969" s="4" t="s">
        <v>53</v>
      </c>
      <c r="F969" s="4" t="s">
        <v>25</v>
      </c>
      <c r="G969" s="4" t="s">
        <v>25</v>
      </c>
      <c r="H969" s="4" t="s">
        <v>36</v>
      </c>
      <c r="I969" s="5">
        <v>44713</v>
      </c>
      <c r="J969" s="6">
        <v>0</v>
      </c>
      <c r="K969" s="42">
        <v>0</v>
      </c>
      <c r="L969" s="6">
        <v>35.677</v>
      </c>
      <c r="M969" s="42">
        <v>35.677</v>
      </c>
      <c r="N969" s="6">
        <v>35.677</v>
      </c>
      <c r="O969" s="42">
        <v>35.677</v>
      </c>
      <c r="P969" s="6">
        <v>0</v>
      </c>
      <c r="Q969" s="4" t="s">
        <v>26</v>
      </c>
      <c r="R969" s="4">
        <v>0</v>
      </c>
      <c r="S969" s="6">
        <v>0</v>
      </c>
      <c r="T969" s="6">
        <v>28</v>
      </c>
      <c r="U969" s="6">
        <v>74</v>
      </c>
      <c r="V969" s="42">
        <f>IF(ISERROR(VLOOKUP($S$969,'TAR FIN'!$A$1:$O$115,15,0)),0,VLOOKUP($S$969,'TAR FIN'!$A$1:$O$115,15,0))</f>
        <v>0</v>
      </c>
      <c r="W969" s="42">
        <f>IF(ISERROR(VLOOKUP($T$969,'TAR FIN'!$A$1:$O$115,15,0)),0,VLOOKUP($T$969,'TAR FIN'!$A$1:$O$115,15,0))*(1-0.06)</f>
        <v>1362.0224000000001</v>
      </c>
      <c r="X969" s="42">
        <f>IF(ISERROR(VLOOKUP($U$969,'TAR FIN'!$A$1:$O$115,15,0)),0,VLOOKUP($U$969,'TAR FIN'!$A$1:$O$115,15,0))*(1-0.06)</f>
        <v>254.08199999999999</v>
      </c>
      <c r="Y969" s="42"/>
      <c r="Z969" s="42">
        <f ca="1">('TUSD BE'!$AM$28+'TUSD BF'!$AM$28+'TUSD CVA'!$AM$28)*1*(1-0.03)</f>
        <v>1435.7241800297163</v>
      </c>
      <c r="AA969" s="42">
        <f>('TE BE'!$AB$11+'TE BF'!$AB$11+'TE CVA'!$AB$11)*1*(1-0.03)</f>
        <v>351.76466722756453</v>
      </c>
      <c r="AB969" s="6">
        <f>$K$969*$V$969</f>
        <v>0</v>
      </c>
      <c r="AC969" s="6">
        <f>$M$969*$W$969</f>
        <v>48592.873164800003</v>
      </c>
      <c r="AD969" s="6">
        <f>$O$969*$X$969</f>
        <v>9064.8835139999992</v>
      </c>
      <c r="AE969" s="6">
        <f>$K$969*$Y$969</f>
        <v>0</v>
      </c>
      <c r="AF969" s="6">
        <f ca="1">$M$969*$Z$969</f>
        <v>51222.331570920185</v>
      </c>
      <c r="AG969" s="6">
        <f>$O$969*$AA$969</f>
        <v>12549.90803267782</v>
      </c>
    </row>
    <row r="970" spans="1:33" ht="11.25" customHeight="1" x14ac:dyDescent="0.25">
      <c r="A970" s="4" t="s">
        <v>21</v>
      </c>
      <c r="B970" s="4" t="s">
        <v>41</v>
      </c>
      <c r="C970" s="4" t="s">
        <v>44</v>
      </c>
      <c r="D970" s="4" t="s">
        <v>52</v>
      </c>
      <c r="E970" s="4" t="s">
        <v>53</v>
      </c>
      <c r="F970" s="4" t="s">
        <v>25</v>
      </c>
      <c r="G970" s="4" t="s">
        <v>25</v>
      </c>
      <c r="H970" s="4" t="s">
        <v>36</v>
      </c>
      <c r="I970" s="5">
        <v>44743</v>
      </c>
      <c r="J970" s="6">
        <v>0</v>
      </c>
      <c r="K970" s="42">
        <v>0</v>
      </c>
      <c r="L970" s="6">
        <v>276.87799999999999</v>
      </c>
      <c r="M970" s="42">
        <v>276.87799999999999</v>
      </c>
      <c r="N970" s="6">
        <v>276.87799999999999</v>
      </c>
      <c r="O970" s="42">
        <v>276.87799999999999</v>
      </c>
      <c r="P970" s="6">
        <v>0</v>
      </c>
      <c r="Q970" s="4" t="s">
        <v>26</v>
      </c>
      <c r="R970" s="4">
        <v>0</v>
      </c>
      <c r="S970" s="6">
        <v>0</v>
      </c>
      <c r="T970" s="6">
        <v>28</v>
      </c>
      <c r="U970" s="6">
        <v>74</v>
      </c>
      <c r="V970" s="42">
        <f>IF(ISERROR(VLOOKUP($S$970,'TAR FIN'!$A$1:$O$115,15,0)),0,VLOOKUP($S$970,'TAR FIN'!$A$1:$O$115,15,0))</f>
        <v>0</v>
      </c>
      <c r="W970" s="42">
        <f>IF(ISERROR(VLOOKUP($T$970,'TAR FIN'!$A$1:$O$115,15,0)),0,VLOOKUP($T$970,'TAR FIN'!$A$1:$O$115,15,0))*(1-0.06)</f>
        <v>1362.0224000000001</v>
      </c>
      <c r="X970" s="42">
        <f>IF(ISERROR(VLOOKUP($U$970,'TAR FIN'!$A$1:$O$115,15,0)),0,VLOOKUP($U$970,'TAR FIN'!$A$1:$O$115,15,0))*(1-0.06)</f>
        <v>254.08199999999999</v>
      </c>
      <c r="Y970" s="42"/>
      <c r="Z970" s="42">
        <f ca="1">('TUSD BE'!$AM$28+'TUSD BF'!$AM$28+'TUSD CVA'!$AM$28)*1*(1-0.03)</f>
        <v>1435.7241800297163</v>
      </c>
      <c r="AA970" s="42">
        <f>('TE BE'!$AB$11+'TE BF'!$AB$11+'TE CVA'!$AB$11)*1*(1-0.03)</f>
        <v>351.76466722756453</v>
      </c>
      <c r="AB970" s="6">
        <f>$K$970*$V$970</f>
        <v>0</v>
      </c>
      <c r="AC970" s="6">
        <f>$M$970*$W$970</f>
        <v>377114.03806719999</v>
      </c>
      <c r="AD970" s="6">
        <f>$O$970*$X$970</f>
        <v>70349.715995999999</v>
      </c>
      <c r="AE970" s="6">
        <f>$K$970*$Y$970</f>
        <v>0</v>
      </c>
      <c r="AF970" s="6">
        <f ca="1">$M$970*$Z$970</f>
        <v>397520.43951826775</v>
      </c>
      <c r="AG970" s="6">
        <f>$O$970*$AA$970</f>
        <v>97395.897532633608</v>
      </c>
    </row>
    <row r="971" spans="1:33" ht="11.25" customHeight="1" x14ac:dyDescent="0.25">
      <c r="A971" s="4" t="s">
        <v>28</v>
      </c>
      <c r="B971" s="4" t="s">
        <v>41</v>
      </c>
      <c r="C971" s="4" t="s">
        <v>44</v>
      </c>
      <c r="D971" s="4" t="s">
        <v>52</v>
      </c>
      <c r="E971" s="4" t="s">
        <v>53</v>
      </c>
      <c r="F971" s="4" t="s">
        <v>25</v>
      </c>
      <c r="G971" s="4" t="s">
        <v>25</v>
      </c>
      <c r="H971" s="4" t="s">
        <v>36</v>
      </c>
      <c r="I971" s="5">
        <v>44743</v>
      </c>
      <c r="J971" s="6">
        <v>0</v>
      </c>
      <c r="K971" s="42">
        <v>0</v>
      </c>
      <c r="L971" s="6">
        <v>34.813000000000002</v>
      </c>
      <c r="M971" s="42">
        <v>34.813000000000002</v>
      </c>
      <c r="N971" s="6">
        <v>34.813000000000002</v>
      </c>
      <c r="O971" s="42">
        <v>34.813000000000002</v>
      </c>
      <c r="P971" s="6">
        <v>0</v>
      </c>
      <c r="Q971" s="4" t="s">
        <v>26</v>
      </c>
      <c r="R971" s="4">
        <v>0</v>
      </c>
      <c r="S971" s="6">
        <v>0</v>
      </c>
      <c r="T971" s="6">
        <v>28</v>
      </c>
      <c r="U971" s="6">
        <v>74</v>
      </c>
      <c r="V971" s="42">
        <f>IF(ISERROR(VLOOKUP($S$971,'TAR FIN'!$A$1:$O$115,15,0)),0,VLOOKUP($S$971,'TAR FIN'!$A$1:$O$115,15,0))</f>
        <v>0</v>
      </c>
      <c r="W971" s="42">
        <f>IF(ISERROR(VLOOKUP($T$971,'TAR FIN'!$A$1:$O$115,15,0)),0,VLOOKUP($T$971,'TAR FIN'!$A$1:$O$115,15,0))*(1-0.06)</f>
        <v>1362.0224000000001</v>
      </c>
      <c r="X971" s="42">
        <f>IF(ISERROR(VLOOKUP($U$971,'TAR FIN'!$A$1:$O$115,15,0)),0,VLOOKUP($U$971,'TAR FIN'!$A$1:$O$115,15,0))*(1-0.06)</f>
        <v>254.08199999999999</v>
      </c>
      <c r="Y971" s="42"/>
      <c r="Z971" s="42">
        <f ca="1">('TUSD BE'!$AM$28+'TUSD BF'!$AM$28+'TUSD CVA'!$AM$28)*1*(1-0.03)</f>
        <v>1435.7241800297163</v>
      </c>
      <c r="AA971" s="42">
        <f>('TE BE'!$AB$11+'TE BF'!$AB$11+'TE CVA'!$AB$11)*1*(1-0.03)</f>
        <v>351.76466722756453</v>
      </c>
      <c r="AB971" s="6">
        <f>$K$971*$V$971</f>
        <v>0</v>
      </c>
      <c r="AC971" s="6">
        <f>$M$971*$W$971</f>
        <v>47416.085811200006</v>
      </c>
      <c r="AD971" s="6">
        <f>$O$971*$X$971</f>
        <v>8845.3566659999997</v>
      </c>
      <c r="AE971" s="6">
        <f>$K$971*$Y$971</f>
        <v>0</v>
      </c>
      <c r="AF971" s="6">
        <f ca="1">$M$971*$Z$971</f>
        <v>49981.86587937452</v>
      </c>
      <c r="AG971" s="6">
        <f>$O$971*$AA$971</f>
        <v>12245.983360193204</v>
      </c>
    </row>
    <row r="972" spans="1:33" ht="11.25" customHeight="1" x14ac:dyDescent="0.25">
      <c r="A972" s="4" t="s">
        <v>21</v>
      </c>
      <c r="B972" s="4" t="s">
        <v>41</v>
      </c>
      <c r="C972" s="4" t="s">
        <v>44</v>
      </c>
      <c r="D972" s="4" t="s">
        <v>52</v>
      </c>
      <c r="E972" s="4" t="s">
        <v>53</v>
      </c>
      <c r="F972" s="4" t="s">
        <v>25</v>
      </c>
      <c r="G972" s="4" t="s">
        <v>25</v>
      </c>
      <c r="H972" s="4" t="s">
        <v>36</v>
      </c>
      <c r="I972" s="5">
        <v>44774</v>
      </c>
      <c r="J972" s="6">
        <v>0</v>
      </c>
      <c r="K972" s="42">
        <v>0</v>
      </c>
      <c r="L972" s="6">
        <v>298.75900000000001</v>
      </c>
      <c r="M972" s="42">
        <v>298.75900000000001</v>
      </c>
      <c r="N972" s="6">
        <v>298.75900000000001</v>
      </c>
      <c r="O972" s="42">
        <v>298.75900000000001</v>
      </c>
      <c r="P972" s="6">
        <v>0</v>
      </c>
      <c r="Q972" s="4" t="s">
        <v>26</v>
      </c>
      <c r="R972" s="4">
        <v>0</v>
      </c>
      <c r="S972" s="6">
        <v>0</v>
      </c>
      <c r="T972" s="6">
        <v>28</v>
      </c>
      <c r="U972" s="6">
        <v>74</v>
      </c>
      <c r="V972" s="42">
        <f>IF(ISERROR(VLOOKUP($S$972,'TAR FIN'!$A$1:$O$115,15,0)),0,VLOOKUP($S$972,'TAR FIN'!$A$1:$O$115,15,0))</f>
        <v>0</v>
      </c>
      <c r="W972" s="42">
        <f>IF(ISERROR(VLOOKUP($T$972,'TAR FIN'!$A$1:$O$115,15,0)),0,VLOOKUP($T$972,'TAR FIN'!$A$1:$O$115,15,0))*(1-0.06)</f>
        <v>1362.0224000000001</v>
      </c>
      <c r="X972" s="42">
        <f>IF(ISERROR(VLOOKUP($U$972,'TAR FIN'!$A$1:$O$115,15,0)),0,VLOOKUP($U$972,'TAR FIN'!$A$1:$O$115,15,0))*(1-0.06)</f>
        <v>254.08199999999999</v>
      </c>
      <c r="Y972" s="42"/>
      <c r="Z972" s="42">
        <f ca="1">('TUSD BE'!$AM$28+'TUSD BF'!$AM$28+'TUSD CVA'!$AM$28)*1*(1-0.03)</f>
        <v>1435.7241800297163</v>
      </c>
      <c r="AA972" s="42">
        <f>('TE BE'!$AB$11+'TE BF'!$AB$11+'TE CVA'!$AB$11)*1*(1-0.03)</f>
        <v>351.76466722756453</v>
      </c>
      <c r="AB972" s="6">
        <f>$K$972*$V$972</f>
        <v>0</v>
      </c>
      <c r="AC972" s="6">
        <f>$M$972*$W$972</f>
        <v>406916.45020160003</v>
      </c>
      <c r="AD972" s="6">
        <f>$O$972*$X$972</f>
        <v>75909.284238000007</v>
      </c>
      <c r="AE972" s="6">
        <f>$K$972*$Y$972</f>
        <v>0</v>
      </c>
      <c r="AF972" s="6">
        <f ca="1">$M$972*$Z$972</f>
        <v>428935.52030149801</v>
      </c>
      <c r="AG972" s="6">
        <f>$O$972*$AA$972</f>
        <v>105092.86021623996</v>
      </c>
    </row>
    <row r="973" spans="1:33" ht="11.25" customHeight="1" x14ac:dyDescent="0.25">
      <c r="A973" s="4" t="s">
        <v>27</v>
      </c>
      <c r="B973" s="4" t="s">
        <v>41</v>
      </c>
      <c r="C973" s="4" t="s">
        <v>44</v>
      </c>
      <c r="D973" s="4" t="s">
        <v>52</v>
      </c>
      <c r="E973" s="4" t="s">
        <v>53</v>
      </c>
      <c r="F973" s="4" t="s">
        <v>25</v>
      </c>
      <c r="G973" s="4" t="s">
        <v>25</v>
      </c>
      <c r="H973" s="4" t="s">
        <v>36</v>
      </c>
      <c r="I973" s="5">
        <v>44774</v>
      </c>
      <c r="J973" s="6">
        <v>0</v>
      </c>
      <c r="K973" s="42">
        <v>0</v>
      </c>
      <c r="L973" s="6">
        <v>-6.2350000000000003</v>
      </c>
      <c r="M973" s="42">
        <v>-6.2350000000000003</v>
      </c>
      <c r="N973" s="6">
        <v>-6.2350000000000003</v>
      </c>
      <c r="O973" s="42">
        <v>-6.2350000000000003</v>
      </c>
      <c r="P973" s="6">
        <v>0</v>
      </c>
      <c r="Q973" s="4" t="s">
        <v>26</v>
      </c>
      <c r="R973" s="4">
        <v>0</v>
      </c>
      <c r="S973" s="6">
        <v>0</v>
      </c>
      <c r="T973" s="6">
        <v>28</v>
      </c>
      <c r="U973" s="6">
        <v>74</v>
      </c>
      <c r="V973" s="42">
        <f>IF(ISERROR(VLOOKUP($S$973,'TAR FIN'!$A$1:$O$115,15,0)),0,VLOOKUP($S$973,'TAR FIN'!$A$1:$O$115,15,0))</f>
        <v>0</v>
      </c>
      <c r="W973" s="42">
        <f>IF(ISERROR(VLOOKUP($T$973,'TAR FIN'!$A$1:$O$115,15,0)),0,VLOOKUP($T$973,'TAR FIN'!$A$1:$O$115,15,0))*(1-0.06)</f>
        <v>1362.0224000000001</v>
      </c>
      <c r="X973" s="42">
        <f>IF(ISERROR(VLOOKUP($U$973,'TAR FIN'!$A$1:$O$115,15,0)),0,VLOOKUP($U$973,'TAR FIN'!$A$1:$O$115,15,0))*(1-0.06)</f>
        <v>254.08199999999999</v>
      </c>
      <c r="Y973" s="42"/>
      <c r="Z973" s="42">
        <f ca="1">('TUSD BE'!$AM$28+'TUSD BF'!$AM$28+'TUSD CVA'!$AM$28)*1*(1-0.03)</f>
        <v>1435.7241800297163</v>
      </c>
      <c r="AA973" s="42">
        <f>('TE BE'!$AB$11+'TE BF'!$AB$11+'TE CVA'!$AB$11)*1*(1-0.03)</f>
        <v>351.76466722756453</v>
      </c>
      <c r="AB973" s="6">
        <f>$K$973*$V$973</f>
        <v>0</v>
      </c>
      <c r="AC973" s="6">
        <f>$M$973*$W$973</f>
        <v>-8492.209664</v>
      </c>
      <c r="AD973" s="6">
        <f>$O$973*$X$973</f>
        <v>-1584.20127</v>
      </c>
      <c r="AE973" s="6">
        <f>$K$973*$Y$973</f>
        <v>0</v>
      </c>
      <c r="AF973" s="6">
        <f ca="1">$M$973*$Z$973</f>
        <v>-8951.7402624852821</v>
      </c>
      <c r="AG973" s="6">
        <f>$O$973*$AA$973</f>
        <v>-2193.252700163865</v>
      </c>
    </row>
    <row r="974" spans="1:33" ht="11.25" customHeight="1" x14ac:dyDescent="0.25">
      <c r="A974" s="4" t="s">
        <v>28</v>
      </c>
      <c r="B974" s="4" t="s">
        <v>41</v>
      </c>
      <c r="C974" s="4" t="s">
        <v>44</v>
      </c>
      <c r="D974" s="4" t="s">
        <v>52</v>
      </c>
      <c r="E974" s="4" t="s">
        <v>53</v>
      </c>
      <c r="F974" s="4" t="s">
        <v>25</v>
      </c>
      <c r="G974" s="4" t="s">
        <v>25</v>
      </c>
      <c r="H974" s="4" t="s">
        <v>36</v>
      </c>
      <c r="I974" s="5">
        <v>44774</v>
      </c>
      <c r="J974" s="6">
        <v>0</v>
      </c>
      <c r="K974" s="42">
        <v>0</v>
      </c>
      <c r="L974" s="6">
        <v>35.14</v>
      </c>
      <c r="M974" s="42">
        <v>35.14</v>
      </c>
      <c r="N974" s="6">
        <v>35.14</v>
      </c>
      <c r="O974" s="42">
        <v>35.14</v>
      </c>
      <c r="P974" s="6">
        <v>0</v>
      </c>
      <c r="Q974" s="4" t="s">
        <v>26</v>
      </c>
      <c r="R974" s="4">
        <v>0</v>
      </c>
      <c r="S974" s="6">
        <v>0</v>
      </c>
      <c r="T974" s="6">
        <v>28</v>
      </c>
      <c r="U974" s="6">
        <v>74</v>
      </c>
      <c r="V974" s="42">
        <f>IF(ISERROR(VLOOKUP($S$974,'TAR FIN'!$A$1:$O$115,15,0)),0,VLOOKUP($S$974,'TAR FIN'!$A$1:$O$115,15,0))</f>
        <v>0</v>
      </c>
      <c r="W974" s="42">
        <f>IF(ISERROR(VLOOKUP($T$974,'TAR FIN'!$A$1:$O$115,15,0)),0,VLOOKUP($T$974,'TAR FIN'!$A$1:$O$115,15,0))*(1-0.06)</f>
        <v>1362.0224000000001</v>
      </c>
      <c r="X974" s="42">
        <f>IF(ISERROR(VLOOKUP($U$974,'TAR FIN'!$A$1:$O$115,15,0)),0,VLOOKUP($U$974,'TAR FIN'!$A$1:$O$115,15,0))*(1-0.06)</f>
        <v>254.08199999999999</v>
      </c>
      <c r="Y974" s="42"/>
      <c r="Z974" s="42">
        <f ca="1">('TUSD BE'!$AM$28+'TUSD BF'!$AM$28+'TUSD CVA'!$AM$28)*1*(1-0.03)</f>
        <v>1435.7241800297163</v>
      </c>
      <c r="AA974" s="42">
        <f>('TE BE'!$AB$11+'TE BF'!$AB$11+'TE CVA'!$AB$11)*1*(1-0.03)</f>
        <v>351.76466722756453</v>
      </c>
      <c r="AB974" s="6">
        <f>$K$974*$V$974</f>
        <v>0</v>
      </c>
      <c r="AC974" s="6">
        <f>$M$974*$W$974</f>
        <v>47861.467135999999</v>
      </c>
      <c r="AD974" s="6">
        <f>$O$974*$X$974</f>
        <v>8928.4414799999995</v>
      </c>
      <c r="AE974" s="6">
        <f>$K$974*$Y$974</f>
        <v>0</v>
      </c>
      <c r="AF974" s="6">
        <f ca="1">$M$974*$Z$974</f>
        <v>50451.347686244233</v>
      </c>
      <c r="AG974" s="6">
        <f>$O$974*$AA$974</f>
        <v>12361.010406376618</v>
      </c>
    </row>
    <row r="975" spans="1:33" ht="11.25" customHeight="1" x14ac:dyDescent="0.25">
      <c r="A975" s="4" t="s">
        <v>21</v>
      </c>
      <c r="B975" s="4" t="s">
        <v>41</v>
      </c>
      <c r="C975" s="4" t="s">
        <v>44</v>
      </c>
      <c r="D975" s="4" t="s">
        <v>52</v>
      </c>
      <c r="E975" s="4" t="s">
        <v>53</v>
      </c>
      <c r="F975" s="4" t="s">
        <v>25</v>
      </c>
      <c r="G975" s="4" t="s">
        <v>25</v>
      </c>
      <c r="H975" s="4" t="s">
        <v>36</v>
      </c>
      <c r="I975" s="5">
        <v>44805</v>
      </c>
      <c r="J975" s="6">
        <v>0</v>
      </c>
      <c r="K975" s="42">
        <v>0</v>
      </c>
      <c r="L975" s="6">
        <v>283.12200000000001</v>
      </c>
      <c r="M975" s="42">
        <v>283.12200000000001</v>
      </c>
      <c r="N975" s="6">
        <v>283.12200000000001</v>
      </c>
      <c r="O975" s="42">
        <v>283.12200000000001</v>
      </c>
      <c r="P975" s="6">
        <v>0</v>
      </c>
      <c r="Q975" s="4" t="s">
        <v>26</v>
      </c>
      <c r="R975" s="4">
        <v>0</v>
      </c>
      <c r="S975" s="6">
        <v>0</v>
      </c>
      <c r="T975" s="6">
        <v>28</v>
      </c>
      <c r="U975" s="6">
        <v>74</v>
      </c>
      <c r="V975" s="42">
        <f>IF(ISERROR(VLOOKUP($S$975,'TAR FIN'!$A$1:$O$115,15,0)),0,VLOOKUP($S$975,'TAR FIN'!$A$1:$O$115,15,0))</f>
        <v>0</v>
      </c>
      <c r="W975" s="42">
        <f>IF(ISERROR(VLOOKUP($T$975,'TAR FIN'!$A$1:$O$115,15,0)),0,VLOOKUP($T$975,'TAR FIN'!$A$1:$O$115,15,0))*(1-0.06)</f>
        <v>1362.0224000000001</v>
      </c>
      <c r="X975" s="42">
        <f>IF(ISERROR(VLOOKUP($U$975,'TAR FIN'!$A$1:$O$115,15,0)),0,VLOOKUP($U$975,'TAR FIN'!$A$1:$O$115,15,0))*(1-0.06)</f>
        <v>254.08199999999999</v>
      </c>
      <c r="Y975" s="42"/>
      <c r="Z975" s="42">
        <f ca="1">('TUSD BE'!$AM$28+'TUSD BF'!$AM$28+'TUSD CVA'!$AM$28)*1*(1-0.03)</f>
        <v>1435.7241800297163</v>
      </c>
      <c r="AA975" s="42">
        <f>('TE BE'!$AB$11+'TE BF'!$AB$11+'TE CVA'!$AB$11)*1*(1-0.03)</f>
        <v>351.76466722756453</v>
      </c>
      <c r="AB975" s="6">
        <f>$K$975*$V$975</f>
        <v>0</v>
      </c>
      <c r="AC975" s="6">
        <f>$M$975*$W$975</f>
        <v>385618.50593280006</v>
      </c>
      <c r="AD975" s="6">
        <f>$O$975*$X$975</f>
        <v>71936.204003999999</v>
      </c>
      <c r="AE975" s="6">
        <f>$K$975*$Y$975</f>
        <v>0</v>
      </c>
      <c r="AF975" s="6">
        <f ca="1">$M$975*$Z$975</f>
        <v>406485.10129837337</v>
      </c>
      <c r="AG975" s="6">
        <f>$O$975*$AA$975</f>
        <v>99592.316114802525</v>
      </c>
    </row>
    <row r="976" spans="1:33" ht="11.25" customHeight="1" x14ac:dyDescent="0.25">
      <c r="A976" s="4" t="s">
        <v>28</v>
      </c>
      <c r="B976" s="4" t="s">
        <v>41</v>
      </c>
      <c r="C976" s="4" t="s">
        <v>44</v>
      </c>
      <c r="D976" s="4" t="s">
        <v>52</v>
      </c>
      <c r="E976" s="4" t="s">
        <v>53</v>
      </c>
      <c r="F976" s="4" t="s">
        <v>25</v>
      </c>
      <c r="G976" s="4" t="s">
        <v>25</v>
      </c>
      <c r="H976" s="4" t="s">
        <v>36</v>
      </c>
      <c r="I976" s="5">
        <v>44805</v>
      </c>
      <c r="J976" s="6">
        <v>0</v>
      </c>
      <c r="K976" s="42">
        <v>0</v>
      </c>
      <c r="L976" s="6">
        <v>35.819000000000003</v>
      </c>
      <c r="M976" s="42">
        <v>35.819000000000003</v>
      </c>
      <c r="N976" s="6">
        <v>35.819000000000003</v>
      </c>
      <c r="O976" s="42">
        <v>35.819000000000003</v>
      </c>
      <c r="P976" s="6">
        <v>0</v>
      </c>
      <c r="Q976" s="4" t="s">
        <v>26</v>
      </c>
      <c r="R976" s="4">
        <v>0</v>
      </c>
      <c r="S976" s="6">
        <v>0</v>
      </c>
      <c r="T976" s="6">
        <v>28</v>
      </c>
      <c r="U976" s="6">
        <v>74</v>
      </c>
      <c r="V976" s="42">
        <f>IF(ISERROR(VLOOKUP($S$976,'TAR FIN'!$A$1:$O$115,15,0)),0,VLOOKUP($S$976,'TAR FIN'!$A$1:$O$115,15,0))</f>
        <v>0</v>
      </c>
      <c r="W976" s="42">
        <f>IF(ISERROR(VLOOKUP($T$976,'TAR FIN'!$A$1:$O$115,15,0)),0,VLOOKUP($T$976,'TAR FIN'!$A$1:$O$115,15,0))*(1-0.06)</f>
        <v>1362.0224000000001</v>
      </c>
      <c r="X976" s="42">
        <f>IF(ISERROR(VLOOKUP($U$976,'TAR FIN'!$A$1:$O$115,15,0)),0,VLOOKUP($U$976,'TAR FIN'!$A$1:$O$115,15,0))*(1-0.06)</f>
        <v>254.08199999999999</v>
      </c>
      <c r="Y976" s="42"/>
      <c r="Z976" s="42">
        <f ca="1">('TUSD BE'!$AM$28+'TUSD BF'!$AM$28+'TUSD CVA'!$AM$28)*1*(1-0.03)</f>
        <v>1435.7241800297163</v>
      </c>
      <c r="AA976" s="42">
        <f>('TE BE'!$AB$11+'TE BF'!$AB$11+'TE CVA'!$AB$11)*1*(1-0.03)</f>
        <v>351.76466722756453</v>
      </c>
      <c r="AB976" s="6">
        <f>$K$976*$V$976</f>
        <v>0</v>
      </c>
      <c r="AC976" s="6">
        <f>$M$976*$W$976</f>
        <v>48786.280345600004</v>
      </c>
      <c r="AD976" s="6">
        <f>$O$976*$X$976</f>
        <v>9100.9631580000005</v>
      </c>
      <c r="AE976" s="6">
        <f>$K$976*$Y$976</f>
        <v>0</v>
      </c>
      <c r="AF976" s="6">
        <f ca="1">$M$976*$Z$976</f>
        <v>51426.204404484415</v>
      </c>
      <c r="AG976" s="6">
        <f>$O$976*$AA$976</f>
        <v>12599.858615424135</v>
      </c>
    </row>
    <row r="977" spans="1:33" ht="11.25" customHeight="1" x14ac:dyDescent="0.25">
      <c r="A977" s="4" t="s">
        <v>21</v>
      </c>
      <c r="B977" s="4" t="s">
        <v>41</v>
      </c>
      <c r="C977" s="4" t="s">
        <v>44</v>
      </c>
      <c r="D977" s="4" t="s">
        <v>52</v>
      </c>
      <c r="E977" s="4" t="s">
        <v>53</v>
      </c>
      <c r="F977" s="4" t="s">
        <v>25</v>
      </c>
      <c r="G977" s="4" t="s">
        <v>25</v>
      </c>
      <c r="H977" s="4" t="s">
        <v>36</v>
      </c>
      <c r="I977" s="5">
        <v>44835</v>
      </c>
      <c r="J977" s="6">
        <v>0</v>
      </c>
      <c r="K977" s="42">
        <v>0</v>
      </c>
      <c r="L977" s="6">
        <v>260.20999999999998</v>
      </c>
      <c r="M977" s="42">
        <v>260.20999999999998</v>
      </c>
      <c r="N977" s="6">
        <v>260.20999999999998</v>
      </c>
      <c r="O977" s="42">
        <v>260.20999999999998</v>
      </c>
      <c r="P977" s="6">
        <v>0</v>
      </c>
      <c r="Q977" s="4" t="s">
        <v>26</v>
      </c>
      <c r="R977" s="4">
        <v>0</v>
      </c>
      <c r="S977" s="6">
        <v>0</v>
      </c>
      <c r="T977" s="6">
        <v>28</v>
      </c>
      <c r="U977" s="6">
        <v>74</v>
      </c>
      <c r="V977" s="42">
        <f>IF(ISERROR(VLOOKUP($S$977,'TAR FIN'!$A$1:$O$115,15,0)),0,VLOOKUP($S$977,'TAR FIN'!$A$1:$O$115,15,0))</f>
        <v>0</v>
      </c>
      <c r="W977" s="42">
        <f>IF(ISERROR(VLOOKUP($T$977,'TAR FIN'!$A$1:$O$115,15,0)),0,VLOOKUP($T$977,'TAR FIN'!$A$1:$O$115,15,0))*(1-0.06)</f>
        <v>1362.0224000000001</v>
      </c>
      <c r="X977" s="42">
        <f>IF(ISERROR(VLOOKUP($U$977,'TAR FIN'!$A$1:$O$115,15,0)),0,VLOOKUP($U$977,'TAR FIN'!$A$1:$O$115,15,0))*(1-0.06)</f>
        <v>254.08199999999999</v>
      </c>
      <c r="Y977" s="42"/>
      <c r="Z977" s="42">
        <f ca="1">('TUSD BE'!$AM$28+'TUSD BF'!$AM$28+'TUSD CVA'!$AM$28)*1*(1-0.03)</f>
        <v>1435.7241800297163</v>
      </c>
      <c r="AA977" s="42">
        <f>('TE BE'!$AB$11+'TE BF'!$AB$11+'TE CVA'!$AB$11)*1*(1-0.03)</f>
        <v>351.76466722756453</v>
      </c>
      <c r="AB977" s="6">
        <f>$K$977*$V$977</f>
        <v>0</v>
      </c>
      <c r="AC977" s="6">
        <f>$M$977*$W$977</f>
        <v>354411.848704</v>
      </c>
      <c r="AD977" s="6">
        <f>$O$977*$X$977</f>
        <v>66114.677219999998</v>
      </c>
      <c r="AE977" s="6">
        <f>$K$977*$Y$977</f>
        <v>0</v>
      </c>
      <c r="AF977" s="6">
        <f ca="1">$M$977*$Z$977</f>
        <v>373589.78888553247</v>
      </c>
      <c r="AG977" s="6">
        <f>$O$977*$AA$977</f>
        <v>91532.684059284555</v>
      </c>
    </row>
    <row r="978" spans="1:33" ht="11.25" customHeight="1" x14ac:dyDescent="0.25">
      <c r="A978" s="4" t="s">
        <v>28</v>
      </c>
      <c r="B978" s="4" t="s">
        <v>41</v>
      </c>
      <c r="C978" s="4" t="s">
        <v>44</v>
      </c>
      <c r="D978" s="4" t="s">
        <v>52</v>
      </c>
      <c r="E978" s="4" t="s">
        <v>53</v>
      </c>
      <c r="F978" s="4" t="s">
        <v>25</v>
      </c>
      <c r="G978" s="4" t="s">
        <v>25</v>
      </c>
      <c r="H978" s="4" t="s">
        <v>36</v>
      </c>
      <c r="I978" s="5">
        <v>44835</v>
      </c>
      <c r="J978" s="6">
        <v>0</v>
      </c>
      <c r="K978" s="42">
        <v>0</v>
      </c>
      <c r="L978" s="6">
        <v>38.566000000000003</v>
      </c>
      <c r="M978" s="42">
        <v>38.566000000000003</v>
      </c>
      <c r="N978" s="6">
        <v>38.566000000000003</v>
      </c>
      <c r="O978" s="42">
        <v>38.566000000000003</v>
      </c>
      <c r="P978" s="6">
        <v>0</v>
      </c>
      <c r="Q978" s="4" t="s">
        <v>26</v>
      </c>
      <c r="R978" s="4">
        <v>0</v>
      </c>
      <c r="S978" s="6">
        <v>0</v>
      </c>
      <c r="T978" s="6">
        <v>28</v>
      </c>
      <c r="U978" s="6">
        <v>74</v>
      </c>
      <c r="V978" s="42">
        <f>IF(ISERROR(VLOOKUP($S$978,'TAR FIN'!$A$1:$O$115,15,0)),0,VLOOKUP($S$978,'TAR FIN'!$A$1:$O$115,15,0))</f>
        <v>0</v>
      </c>
      <c r="W978" s="42">
        <f>IF(ISERROR(VLOOKUP($T$978,'TAR FIN'!$A$1:$O$115,15,0)),0,VLOOKUP($T$978,'TAR FIN'!$A$1:$O$115,15,0))*(1-0.06)</f>
        <v>1362.0224000000001</v>
      </c>
      <c r="X978" s="42">
        <f>IF(ISERROR(VLOOKUP($U$978,'TAR FIN'!$A$1:$O$115,15,0)),0,VLOOKUP($U$978,'TAR FIN'!$A$1:$O$115,15,0))*(1-0.06)</f>
        <v>254.08199999999999</v>
      </c>
      <c r="Y978" s="42"/>
      <c r="Z978" s="42">
        <f ca="1">('TUSD BE'!$AM$28+'TUSD BF'!$AM$28+'TUSD CVA'!$AM$28)*1*(1-0.03)</f>
        <v>1435.7241800297163</v>
      </c>
      <c r="AA978" s="42">
        <f>('TE BE'!$AB$11+'TE BF'!$AB$11+'TE CVA'!$AB$11)*1*(1-0.03)</f>
        <v>351.76466722756453</v>
      </c>
      <c r="AB978" s="6">
        <f>$K$978*$V$978</f>
        <v>0</v>
      </c>
      <c r="AC978" s="6">
        <f>$M$978*$W$978</f>
        <v>52527.755878400007</v>
      </c>
      <c r="AD978" s="6">
        <f>$O$978*$X$978</f>
        <v>9798.9264120000007</v>
      </c>
      <c r="AE978" s="6">
        <f>$K$978*$Y$978</f>
        <v>0</v>
      </c>
      <c r="AF978" s="6">
        <f ca="1">$M$978*$Z$978</f>
        <v>55370.138727026046</v>
      </c>
      <c r="AG978" s="6">
        <f>$O$978*$AA$978</f>
        <v>13566.156156298255</v>
      </c>
    </row>
    <row r="979" spans="1:33" ht="11.25" customHeight="1" x14ac:dyDescent="0.25">
      <c r="A979" s="4" t="s">
        <v>59</v>
      </c>
      <c r="B979" s="4" t="s">
        <v>41</v>
      </c>
      <c r="C979" s="4" t="s">
        <v>44</v>
      </c>
      <c r="D979" s="4" t="s">
        <v>52</v>
      </c>
      <c r="E979" s="4" t="s">
        <v>53</v>
      </c>
      <c r="F979" s="4" t="s">
        <v>25</v>
      </c>
      <c r="G979" s="4" t="s">
        <v>25</v>
      </c>
      <c r="H979" s="4" t="s">
        <v>36</v>
      </c>
      <c r="I979" s="5">
        <v>44866</v>
      </c>
      <c r="J979" s="6">
        <v>0</v>
      </c>
      <c r="K979" s="42">
        <v>0</v>
      </c>
      <c r="L979" s="6">
        <v>260.20999999999998</v>
      </c>
      <c r="M979" s="42">
        <v>260.20999999999998</v>
      </c>
      <c r="N979" s="6">
        <v>260.20999999999998</v>
      </c>
      <c r="O979" s="42">
        <v>260.20999999999998</v>
      </c>
      <c r="P979" s="6">
        <v>0</v>
      </c>
      <c r="Q979" s="4" t="s">
        <v>26</v>
      </c>
      <c r="R979" s="4">
        <v>0</v>
      </c>
      <c r="S979" s="6">
        <v>0</v>
      </c>
      <c r="T979" s="6">
        <v>28</v>
      </c>
      <c r="U979" s="6">
        <v>74</v>
      </c>
      <c r="V979" s="42">
        <f>IF(ISERROR(VLOOKUP($S$979,'TAR FIN'!$A$1:$O$115,15,0)),0,VLOOKUP($S$979,'TAR FIN'!$A$1:$O$115,15,0))</f>
        <v>0</v>
      </c>
      <c r="W979" s="42">
        <f>IF(ISERROR(VLOOKUP($T$979,'TAR FIN'!$A$1:$O$115,15,0)),0,VLOOKUP($T$979,'TAR FIN'!$A$1:$O$115,15,0))*(1-0.06)</f>
        <v>1362.0224000000001</v>
      </c>
      <c r="X979" s="42">
        <f>IF(ISERROR(VLOOKUP($U$979,'TAR FIN'!$A$1:$O$115,15,0)),0,VLOOKUP($U$979,'TAR FIN'!$A$1:$O$115,15,0))*(1-0.06)</f>
        <v>254.08199999999999</v>
      </c>
      <c r="Y979" s="42"/>
      <c r="Z979" s="42">
        <f ca="1">('TUSD BE'!$AM$28+'TUSD BF'!$AM$28+'TUSD CVA'!$AM$28)*1*(1-0.03)</f>
        <v>1435.7241800297163</v>
      </c>
      <c r="AA979" s="42">
        <f>('TE BE'!$AB$11+'TE BF'!$AB$11+'TE CVA'!$AB$11)*1*(1-0.03)</f>
        <v>351.76466722756453</v>
      </c>
      <c r="AB979" s="6">
        <f>$K$979*$V$979</f>
        <v>0</v>
      </c>
      <c r="AC979" s="6">
        <f>$M$979*$W$979</f>
        <v>354411.848704</v>
      </c>
      <c r="AD979" s="6">
        <f>$O$979*$X$979</f>
        <v>66114.677219999998</v>
      </c>
      <c r="AE979" s="6">
        <f>$K$979*$Y$979</f>
        <v>0</v>
      </c>
      <c r="AF979" s="6">
        <f ca="1">$M$979*$Z$979</f>
        <v>373589.78888553247</v>
      </c>
      <c r="AG979" s="6">
        <f>$O$979*$AA$979</f>
        <v>91532.684059284555</v>
      </c>
    </row>
    <row r="980" spans="1:33" ht="11.25" customHeight="1" x14ac:dyDescent="0.25">
      <c r="A980" s="4" t="s">
        <v>59</v>
      </c>
      <c r="B980" s="4" t="s">
        <v>41</v>
      </c>
      <c r="C980" s="4" t="s">
        <v>44</v>
      </c>
      <c r="D980" s="4" t="s">
        <v>52</v>
      </c>
      <c r="E980" s="4" t="s">
        <v>53</v>
      </c>
      <c r="F980" s="4" t="s">
        <v>25</v>
      </c>
      <c r="G980" s="4" t="s">
        <v>25</v>
      </c>
      <c r="H980" s="4" t="s">
        <v>36</v>
      </c>
      <c r="I980" s="5">
        <v>44866</v>
      </c>
      <c r="J980" s="6">
        <v>0</v>
      </c>
      <c r="K980" s="42">
        <v>0</v>
      </c>
      <c r="L980" s="6">
        <v>38.566000000000003</v>
      </c>
      <c r="M980" s="42">
        <v>38.566000000000003</v>
      </c>
      <c r="N980" s="6">
        <v>38.566000000000003</v>
      </c>
      <c r="O980" s="42">
        <v>38.566000000000003</v>
      </c>
      <c r="P980" s="6">
        <v>0</v>
      </c>
      <c r="Q980" s="4" t="s">
        <v>26</v>
      </c>
      <c r="R980" s="4">
        <v>0</v>
      </c>
      <c r="S980" s="6">
        <v>0</v>
      </c>
      <c r="T980" s="6">
        <v>28</v>
      </c>
      <c r="U980" s="6">
        <v>74</v>
      </c>
      <c r="V980" s="42">
        <f>IF(ISERROR(VLOOKUP($S$980,'TAR FIN'!$A$1:$O$115,15,0)),0,VLOOKUP($S$980,'TAR FIN'!$A$1:$O$115,15,0))</f>
        <v>0</v>
      </c>
      <c r="W980" s="42">
        <f>IF(ISERROR(VLOOKUP($T$980,'TAR FIN'!$A$1:$O$115,15,0)),0,VLOOKUP($T$980,'TAR FIN'!$A$1:$O$115,15,0))*(1-0.06)</f>
        <v>1362.0224000000001</v>
      </c>
      <c r="X980" s="42">
        <f>IF(ISERROR(VLOOKUP($U$980,'TAR FIN'!$A$1:$O$115,15,0)),0,VLOOKUP($U$980,'TAR FIN'!$A$1:$O$115,15,0))*(1-0.06)</f>
        <v>254.08199999999999</v>
      </c>
      <c r="Y980" s="42"/>
      <c r="Z980" s="42">
        <f ca="1">('TUSD BE'!$AM$28+'TUSD BF'!$AM$28+'TUSD CVA'!$AM$28)*1*(1-0.03)</f>
        <v>1435.7241800297163</v>
      </c>
      <c r="AA980" s="42">
        <f>('TE BE'!$AB$11+'TE BF'!$AB$11+'TE CVA'!$AB$11)*1*(1-0.03)</f>
        <v>351.76466722756453</v>
      </c>
      <c r="AB980" s="6">
        <f>$K$980*$V$980</f>
        <v>0</v>
      </c>
      <c r="AC980" s="6">
        <f>$M$980*$W$980</f>
        <v>52527.755878400007</v>
      </c>
      <c r="AD980" s="6">
        <f>$O$980*$X$980</f>
        <v>9798.9264120000007</v>
      </c>
      <c r="AE980" s="6">
        <f>$K$980*$Y$980</f>
        <v>0</v>
      </c>
      <c r="AF980" s="6">
        <f ca="1">$M$980*$Z$980</f>
        <v>55370.138727026046</v>
      </c>
      <c r="AG980" s="6">
        <f>$O$980*$AA$980</f>
        <v>13566.156156298255</v>
      </c>
    </row>
    <row r="981" spans="1:33" ht="11.25" customHeight="1" x14ac:dyDescent="0.25">
      <c r="A981" s="4" t="s">
        <v>21</v>
      </c>
      <c r="B981" s="4" t="s">
        <v>22</v>
      </c>
      <c r="C981" s="4" t="s">
        <v>35</v>
      </c>
      <c r="D981" s="4" t="s">
        <v>24</v>
      </c>
      <c r="E981" s="4" t="s">
        <v>24</v>
      </c>
      <c r="F981" s="4" t="s">
        <v>25</v>
      </c>
      <c r="G981" s="4" t="s">
        <v>25</v>
      </c>
      <c r="H981" s="4" t="s">
        <v>37</v>
      </c>
      <c r="I981" s="5">
        <v>44531</v>
      </c>
      <c r="J981" s="6">
        <v>0</v>
      </c>
      <c r="K981" s="6">
        <v>0</v>
      </c>
      <c r="L981" s="6">
        <v>34.957000000000001</v>
      </c>
      <c r="M981" s="6">
        <v>34.957000000000001</v>
      </c>
      <c r="N981" s="6">
        <v>34.957000000000001</v>
      </c>
      <c r="O981" s="6">
        <v>34.957000000000001</v>
      </c>
      <c r="P981" s="6">
        <v>0</v>
      </c>
      <c r="Q981" s="4" t="s">
        <v>26</v>
      </c>
      <c r="R981" s="4">
        <v>0</v>
      </c>
      <c r="S981" s="6">
        <v>0</v>
      </c>
      <c r="T981" s="6">
        <v>38</v>
      </c>
      <c r="U981" s="6">
        <v>82</v>
      </c>
      <c r="V981" s="6">
        <f>IF(ISERROR(VLOOKUP($S$981,'TAR FIN'!$A$1:$O$115,15,0)),0,VLOOKUP($S$981,'TAR FIN'!$A$1:$O$115,15,0))</f>
        <v>0</v>
      </c>
      <c r="W981" s="6">
        <f>IF(ISERROR(VLOOKUP($T$981,'TAR FIN'!$A$1:$O$115,15,0)),0,VLOOKUP($T$981,'TAR FIN'!$A$1:$O$115,15,0))</f>
        <v>334.16</v>
      </c>
      <c r="X981" s="6">
        <f>IF(ISERROR(VLOOKUP($U$981,'TAR FIN'!$A$1:$O$115,15,0)),0,VLOOKUP($U$981,'TAR FIN'!$A$1:$O$115,15,0))</f>
        <v>168.06</v>
      </c>
      <c r="Y981" s="6"/>
      <c r="Z981" s="6">
        <f ca="1">('TUSD BE'!$AM$36+'TUSD BF'!$AM$36+'TUSD CVA'!$AM$36)*1</f>
        <v>373.7403500897916</v>
      </c>
      <c r="AA981" s="6">
        <f>('TE BE'!$AB$19+'TE BF'!$AB$19+'TE CVA'!$AB$19)*1</f>
        <v>218.6854278594964</v>
      </c>
      <c r="AB981" s="6">
        <f>$K$981*$V$981</f>
        <v>0</v>
      </c>
      <c r="AC981" s="6">
        <f>$M$981*$W$981</f>
        <v>11681.23112</v>
      </c>
      <c r="AD981" s="6">
        <f>$O$981*$X$981</f>
        <v>5874.8734199999999</v>
      </c>
      <c r="AE981" s="6">
        <f>$K$981*$Y$981</f>
        <v>0</v>
      </c>
      <c r="AF981" s="6">
        <f ca="1">$M$981*$Z$981</f>
        <v>13064.841418088845</v>
      </c>
      <c r="AG981" s="6">
        <f>$O$981*$AA$981</f>
        <v>7644.5865016844155</v>
      </c>
    </row>
    <row r="982" spans="1:33" ht="11.25" customHeight="1" x14ac:dyDescent="0.25">
      <c r="A982" s="4" t="s">
        <v>28</v>
      </c>
      <c r="B982" s="4" t="s">
        <v>22</v>
      </c>
      <c r="C982" s="4" t="s">
        <v>35</v>
      </c>
      <c r="D982" s="4" t="s">
        <v>24</v>
      </c>
      <c r="E982" s="4" t="s">
        <v>24</v>
      </c>
      <c r="F982" s="4" t="s">
        <v>25</v>
      </c>
      <c r="G982" s="4" t="s">
        <v>25</v>
      </c>
      <c r="H982" s="4" t="s">
        <v>37</v>
      </c>
      <c r="I982" s="5">
        <v>44531</v>
      </c>
      <c r="J982" s="6">
        <v>0</v>
      </c>
      <c r="K982" s="6">
        <v>0</v>
      </c>
      <c r="L982" s="6">
        <v>0.77900000000000003</v>
      </c>
      <c r="M982" s="6">
        <v>0.77900000000000003</v>
      </c>
      <c r="N982" s="6">
        <v>0.77900000000000003</v>
      </c>
      <c r="O982" s="6">
        <v>0.77900000000000003</v>
      </c>
      <c r="P982" s="6">
        <v>0</v>
      </c>
      <c r="Q982" s="4" t="s">
        <v>26</v>
      </c>
      <c r="R982" s="4">
        <v>0</v>
      </c>
      <c r="S982" s="6">
        <v>0</v>
      </c>
      <c r="T982" s="6">
        <v>38</v>
      </c>
      <c r="U982" s="6">
        <v>82</v>
      </c>
      <c r="V982" s="6">
        <f>IF(ISERROR(VLOOKUP($S$982,'TAR FIN'!$A$1:$O$115,15,0)),0,VLOOKUP($S$982,'TAR FIN'!$A$1:$O$115,15,0))</f>
        <v>0</v>
      </c>
      <c r="W982" s="6">
        <f>IF(ISERROR(VLOOKUP($T$982,'TAR FIN'!$A$1:$O$115,15,0)),0,VLOOKUP($T$982,'TAR FIN'!$A$1:$O$115,15,0))</f>
        <v>334.16</v>
      </c>
      <c r="X982" s="6">
        <f>IF(ISERROR(VLOOKUP($U$982,'TAR FIN'!$A$1:$O$115,15,0)),0,VLOOKUP($U$982,'TAR FIN'!$A$1:$O$115,15,0))</f>
        <v>168.06</v>
      </c>
      <c r="Y982" s="6"/>
      <c r="Z982" s="6">
        <f ca="1">('TUSD BE'!$AM$36+'TUSD BF'!$AM$36+'TUSD CVA'!$AM$36)*1</f>
        <v>373.7403500897916</v>
      </c>
      <c r="AA982" s="6">
        <f>('TE BE'!$AB$19+'TE BF'!$AB$19+'TE CVA'!$AB$19)*1</f>
        <v>218.6854278594964</v>
      </c>
      <c r="AB982" s="6">
        <f>$K$982*$V$982</f>
        <v>0</v>
      </c>
      <c r="AC982" s="6">
        <f>$M$982*$W$982</f>
        <v>260.31064000000003</v>
      </c>
      <c r="AD982" s="6">
        <f>$O$982*$X$982</f>
        <v>130.91874000000001</v>
      </c>
      <c r="AE982" s="6">
        <f>$K$982*$Y$982</f>
        <v>0</v>
      </c>
      <c r="AF982" s="6">
        <f ca="1">$M$982*$Z$982</f>
        <v>291.14373271994765</v>
      </c>
      <c r="AG982" s="6">
        <f>$O$982*$AA$982</f>
        <v>170.35594830254769</v>
      </c>
    </row>
    <row r="983" spans="1:33" ht="11.25" customHeight="1" x14ac:dyDescent="0.25">
      <c r="A983" s="4" t="s">
        <v>30</v>
      </c>
      <c r="B983" s="4" t="s">
        <v>22</v>
      </c>
      <c r="C983" s="4" t="s">
        <v>35</v>
      </c>
      <c r="D983" s="4" t="s">
        <v>24</v>
      </c>
      <c r="E983" s="4" t="s">
        <v>24</v>
      </c>
      <c r="F983" s="4" t="s">
        <v>25</v>
      </c>
      <c r="G983" s="4" t="s">
        <v>25</v>
      </c>
      <c r="H983" s="4" t="s">
        <v>37</v>
      </c>
      <c r="I983" s="5">
        <v>44531</v>
      </c>
      <c r="J983" s="6">
        <v>0</v>
      </c>
      <c r="K983" s="6">
        <v>0</v>
      </c>
      <c r="L983" s="6">
        <v>1.605</v>
      </c>
      <c r="M983" s="6">
        <v>1.605</v>
      </c>
      <c r="N983" s="6">
        <v>1.605</v>
      </c>
      <c r="O983" s="6">
        <v>1.605</v>
      </c>
      <c r="P983" s="6">
        <v>0</v>
      </c>
      <c r="Q983" s="4" t="s">
        <v>26</v>
      </c>
      <c r="R983" s="4">
        <v>0</v>
      </c>
      <c r="S983" s="6">
        <v>0</v>
      </c>
      <c r="T983" s="6">
        <v>38</v>
      </c>
      <c r="U983" s="6">
        <v>82</v>
      </c>
      <c r="V983" s="6">
        <f>IF(ISERROR(VLOOKUP($S$983,'TAR FIN'!$A$1:$O$115,15,0)),0,VLOOKUP($S$983,'TAR FIN'!$A$1:$O$115,15,0))</f>
        <v>0</v>
      </c>
      <c r="W983" s="6">
        <f>IF(ISERROR(VLOOKUP($T$983,'TAR FIN'!$A$1:$O$115,15,0)),0,VLOOKUP($T$983,'TAR FIN'!$A$1:$O$115,15,0))</f>
        <v>334.16</v>
      </c>
      <c r="X983" s="6">
        <f>IF(ISERROR(VLOOKUP($U$983,'TAR FIN'!$A$1:$O$115,15,0)),0,VLOOKUP($U$983,'TAR FIN'!$A$1:$O$115,15,0))</f>
        <v>168.06</v>
      </c>
      <c r="Y983" s="6"/>
      <c r="Z983" s="6">
        <f ca="1">('TUSD BE'!$AM$36+'TUSD BF'!$AM$36+'TUSD CVA'!$AM$36)*1</f>
        <v>373.7403500897916</v>
      </c>
      <c r="AA983" s="6">
        <f>('TE BE'!$AB$19+'TE BF'!$AB$19+'TE CVA'!$AB$19)*1</f>
        <v>218.6854278594964</v>
      </c>
      <c r="AB983" s="6">
        <f>$K$983*$V$983</f>
        <v>0</v>
      </c>
      <c r="AC983" s="6">
        <f>$M$983*$W$983</f>
        <v>536.32680000000005</v>
      </c>
      <c r="AD983" s="6">
        <f>$O$983*$X$983</f>
        <v>269.73630000000003</v>
      </c>
      <c r="AE983" s="6">
        <f>$K$983*$Y$983</f>
        <v>0</v>
      </c>
      <c r="AF983" s="6">
        <f ca="1">$M$983*$Z$983</f>
        <v>599.85326189411546</v>
      </c>
      <c r="AG983" s="6">
        <f>$O$983*$AA$983</f>
        <v>350.99011171449172</v>
      </c>
    </row>
    <row r="984" spans="1:33" ht="11.25" customHeight="1" x14ac:dyDescent="0.25">
      <c r="A984" s="4" t="s">
        <v>30</v>
      </c>
      <c r="B984" s="4" t="s">
        <v>22</v>
      </c>
      <c r="C984" s="4" t="s">
        <v>35</v>
      </c>
      <c r="D984" s="4" t="s">
        <v>24</v>
      </c>
      <c r="E984" s="4" t="s">
        <v>24</v>
      </c>
      <c r="F984" s="4" t="s">
        <v>25</v>
      </c>
      <c r="G984" s="4" t="s">
        <v>25</v>
      </c>
      <c r="H984" s="4" t="s">
        <v>37</v>
      </c>
      <c r="I984" s="5">
        <v>44531</v>
      </c>
      <c r="J984" s="6">
        <v>0</v>
      </c>
      <c r="K984" s="6">
        <v>0</v>
      </c>
      <c r="L984" s="6">
        <v>-0.35899999999999999</v>
      </c>
      <c r="M984" s="6">
        <v>-0.35899999999999999</v>
      </c>
      <c r="N984" s="6">
        <v>-0.35899999999999999</v>
      </c>
      <c r="O984" s="6">
        <v>-0.35899999999999999</v>
      </c>
      <c r="P984" s="6">
        <v>0</v>
      </c>
      <c r="Q984" s="4" t="s">
        <v>26</v>
      </c>
      <c r="R984" s="4">
        <v>0</v>
      </c>
      <c r="S984" s="6">
        <v>0</v>
      </c>
      <c r="T984" s="6">
        <v>38</v>
      </c>
      <c r="U984" s="6">
        <v>82</v>
      </c>
      <c r="V984" s="6">
        <f>IF(ISERROR(VLOOKUP($S$984,'TAR FIN'!$A$1:$O$115,15,0)),0,VLOOKUP($S$984,'TAR FIN'!$A$1:$O$115,15,0))</f>
        <v>0</v>
      </c>
      <c r="W984" s="6">
        <f>IF(ISERROR(VLOOKUP($T$984,'TAR FIN'!$A$1:$O$115,15,0)),0,VLOOKUP($T$984,'TAR FIN'!$A$1:$O$115,15,0))</f>
        <v>334.16</v>
      </c>
      <c r="X984" s="6">
        <f>IF(ISERROR(VLOOKUP($U$984,'TAR FIN'!$A$1:$O$115,15,0)),0,VLOOKUP($U$984,'TAR FIN'!$A$1:$O$115,15,0))</f>
        <v>168.06</v>
      </c>
      <c r="Y984" s="6"/>
      <c r="Z984" s="6">
        <f ca="1">('TUSD BE'!$AM$36+'TUSD BF'!$AM$36+'TUSD CVA'!$AM$36)*1</f>
        <v>373.7403500897916</v>
      </c>
      <c r="AA984" s="6">
        <f>('TE BE'!$AB$19+'TE BF'!$AB$19+'TE CVA'!$AB$19)*1</f>
        <v>218.6854278594964</v>
      </c>
      <c r="AB984" s="6">
        <f>$K$984*$V$984</f>
        <v>0</v>
      </c>
      <c r="AC984" s="6">
        <f>$M$984*$W$984</f>
        <v>-119.96344000000001</v>
      </c>
      <c r="AD984" s="6">
        <f>$O$984*$X$984</f>
        <v>-60.333539999999999</v>
      </c>
      <c r="AE984" s="6">
        <f>$K$984*$Y$984</f>
        <v>0</v>
      </c>
      <c r="AF984" s="6">
        <f ca="1">$M$984*$Z$984</f>
        <v>-134.17278568223517</v>
      </c>
      <c r="AG984" s="6">
        <f>$O$984*$AA$984</f>
        <v>-78.508068601559202</v>
      </c>
    </row>
    <row r="985" spans="1:33" ht="11.25" customHeight="1" x14ac:dyDescent="0.25">
      <c r="A985" s="4" t="s">
        <v>21</v>
      </c>
      <c r="B985" s="4" t="s">
        <v>22</v>
      </c>
      <c r="C985" s="4" t="s">
        <v>35</v>
      </c>
      <c r="D985" s="4" t="s">
        <v>24</v>
      </c>
      <c r="E985" s="4" t="s">
        <v>24</v>
      </c>
      <c r="F985" s="4" t="s">
        <v>25</v>
      </c>
      <c r="G985" s="4" t="s">
        <v>25</v>
      </c>
      <c r="H985" s="4" t="s">
        <v>37</v>
      </c>
      <c r="I985" s="5">
        <v>44562</v>
      </c>
      <c r="J985" s="6">
        <v>0</v>
      </c>
      <c r="K985" s="6">
        <v>0</v>
      </c>
      <c r="L985" s="6">
        <v>34.67</v>
      </c>
      <c r="M985" s="6">
        <v>34.67</v>
      </c>
      <c r="N985" s="6">
        <v>34.67</v>
      </c>
      <c r="O985" s="6">
        <v>34.67</v>
      </c>
      <c r="P985" s="6">
        <v>0</v>
      </c>
      <c r="Q985" s="4" t="s">
        <v>26</v>
      </c>
      <c r="R985" s="4">
        <v>0</v>
      </c>
      <c r="S985" s="6">
        <v>0</v>
      </c>
      <c r="T985" s="6">
        <v>38</v>
      </c>
      <c r="U985" s="6">
        <v>82</v>
      </c>
      <c r="V985" s="6">
        <f>IF(ISERROR(VLOOKUP($S$985,'TAR FIN'!$A$1:$O$115,15,0)),0,VLOOKUP($S$985,'TAR FIN'!$A$1:$O$115,15,0))</f>
        <v>0</v>
      </c>
      <c r="W985" s="6">
        <f>IF(ISERROR(VLOOKUP($T$985,'TAR FIN'!$A$1:$O$115,15,0)),0,VLOOKUP($T$985,'TAR FIN'!$A$1:$O$115,15,0))</f>
        <v>334.16</v>
      </c>
      <c r="X985" s="6">
        <f>IF(ISERROR(VLOOKUP($U$985,'TAR FIN'!$A$1:$O$115,15,0)),0,VLOOKUP($U$985,'TAR FIN'!$A$1:$O$115,15,0))</f>
        <v>168.06</v>
      </c>
      <c r="Y985" s="6"/>
      <c r="Z985" s="6">
        <f ca="1">('TUSD BE'!$AM$36+'TUSD BF'!$AM$36+'TUSD CVA'!$AM$36)*1</f>
        <v>373.7403500897916</v>
      </c>
      <c r="AA985" s="6">
        <f>('TE BE'!$AB$19+'TE BF'!$AB$19+'TE CVA'!$AB$19)*1</f>
        <v>218.6854278594964</v>
      </c>
      <c r="AB985" s="6">
        <f>$K$985*$V$985</f>
        <v>0</v>
      </c>
      <c r="AC985" s="6">
        <f>$M$985*$W$985</f>
        <v>11585.327200000002</v>
      </c>
      <c r="AD985" s="6">
        <f>$O$985*$X$985</f>
        <v>5826.6402000000007</v>
      </c>
      <c r="AE985" s="6">
        <f>$K$985*$Y$985</f>
        <v>0</v>
      </c>
      <c r="AF985" s="6">
        <f ca="1">$M$985*$Z$985</f>
        <v>12957.577937613076</v>
      </c>
      <c r="AG985" s="6">
        <f>$O$985*$AA$985</f>
        <v>7581.8237838887408</v>
      </c>
    </row>
    <row r="986" spans="1:33" ht="11.25" customHeight="1" x14ac:dyDescent="0.25">
      <c r="A986" s="4" t="s">
        <v>28</v>
      </c>
      <c r="B986" s="4" t="s">
        <v>22</v>
      </c>
      <c r="C986" s="4" t="s">
        <v>35</v>
      </c>
      <c r="D986" s="4" t="s">
        <v>24</v>
      </c>
      <c r="E986" s="4" t="s">
        <v>24</v>
      </c>
      <c r="F986" s="4" t="s">
        <v>25</v>
      </c>
      <c r="G986" s="4" t="s">
        <v>25</v>
      </c>
      <c r="H986" s="4" t="s">
        <v>37</v>
      </c>
      <c r="I986" s="5">
        <v>44562</v>
      </c>
      <c r="J986" s="6">
        <v>0</v>
      </c>
      <c r="K986" s="6">
        <v>0</v>
      </c>
      <c r="L986" s="6">
        <v>0.89900000000000002</v>
      </c>
      <c r="M986" s="6">
        <v>0.89900000000000002</v>
      </c>
      <c r="N986" s="6">
        <v>0.89900000000000002</v>
      </c>
      <c r="O986" s="6">
        <v>0.89900000000000002</v>
      </c>
      <c r="P986" s="6">
        <v>0</v>
      </c>
      <c r="Q986" s="4" t="s">
        <v>26</v>
      </c>
      <c r="R986" s="4">
        <v>0</v>
      </c>
      <c r="S986" s="6">
        <v>0</v>
      </c>
      <c r="T986" s="6">
        <v>38</v>
      </c>
      <c r="U986" s="6">
        <v>82</v>
      </c>
      <c r="V986" s="6">
        <f>IF(ISERROR(VLOOKUP($S$986,'TAR FIN'!$A$1:$O$115,15,0)),0,VLOOKUP($S$986,'TAR FIN'!$A$1:$O$115,15,0))</f>
        <v>0</v>
      </c>
      <c r="W986" s="6">
        <f>IF(ISERROR(VLOOKUP($T$986,'TAR FIN'!$A$1:$O$115,15,0)),0,VLOOKUP($T$986,'TAR FIN'!$A$1:$O$115,15,0))</f>
        <v>334.16</v>
      </c>
      <c r="X986" s="6">
        <f>IF(ISERROR(VLOOKUP($U$986,'TAR FIN'!$A$1:$O$115,15,0)),0,VLOOKUP($U$986,'TAR FIN'!$A$1:$O$115,15,0))</f>
        <v>168.06</v>
      </c>
      <c r="Y986" s="6"/>
      <c r="Z986" s="6">
        <f ca="1">('TUSD BE'!$AM$36+'TUSD BF'!$AM$36+'TUSD CVA'!$AM$36)*1</f>
        <v>373.7403500897916</v>
      </c>
      <c r="AA986" s="6">
        <f>('TE BE'!$AB$19+'TE BF'!$AB$19+'TE CVA'!$AB$19)*1</f>
        <v>218.6854278594964</v>
      </c>
      <c r="AB986" s="6">
        <f>$K$986*$V$986</f>
        <v>0</v>
      </c>
      <c r="AC986" s="6">
        <f>$M$986*$W$986</f>
        <v>300.40984000000003</v>
      </c>
      <c r="AD986" s="6">
        <f>$O$986*$X$986</f>
        <v>151.08593999999999</v>
      </c>
      <c r="AE986" s="6">
        <f>$K$986*$Y$986</f>
        <v>0</v>
      </c>
      <c r="AF986" s="6">
        <f ca="1">$M$986*$Z$986</f>
        <v>335.99257473072265</v>
      </c>
      <c r="AG986" s="6">
        <f>$O$986*$AA$986</f>
        <v>196.59819964568726</v>
      </c>
    </row>
    <row r="987" spans="1:33" ht="11.25" customHeight="1" x14ac:dyDescent="0.25">
      <c r="A987" s="4" t="s">
        <v>30</v>
      </c>
      <c r="B987" s="4" t="s">
        <v>22</v>
      </c>
      <c r="C987" s="4" t="s">
        <v>35</v>
      </c>
      <c r="D987" s="4" t="s">
        <v>24</v>
      </c>
      <c r="E987" s="4" t="s">
        <v>24</v>
      </c>
      <c r="F987" s="4" t="s">
        <v>25</v>
      </c>
      <c r="G987" s="4" t="s">
        <v>25</v>
      </c>
      <c r="H987" s="4" t="s">
        <v>37</v>
      </c>
      <c r="I987" s="5">
        <v>44562</v>
      </c>
      <c r="J987" s="6">
        <v>0</v>
      </c>
      <c r="K987" s="6">
        <v>0</v>
      </c>
      <c r="L987" s="6">
        <v>1.242</v>
      </c>
      <c r="M987" s="6">
        <v>1.242</v>
      </c>
      <c r="N987" s="6">
        <v>1.242</v>
      </c>
      <c r="O987" s="6">
        <v>1.242</v>
      </c>
      <c r="P987" s="6">
        <v>0</v>
      </c>
      <c r="Q987" s="4" t="s">
        <v>26</v>
      </c>
      <c r="R987" s="4">
        <v>0</v>
      </c>
      <c r="S987" s="6">
        <v>0</v>
      </c>
      <c r="T987" s="6">
        <v>38</v>
      </c>
      <c r="U987" s="6">
        <v>82</v>
      </c>
      <c r="V987" s="6">
        <f>IF(ISERROR(VLOOKUP($S$987,'TAR FIN'!$A$1:$O$115,15,0)),0,VLOOKUP($S$987,'TAR FIN'!$A$1:$O$115,15,0))</f>
        <v>0</v>
      </c>
      <c r="W987" s="6">
        <f>IF(ISERROR(VLOOKUP($T$987,'TAR FIN'!$A$1:$O$115,15,0)),0,VLOOKUP($T$987,'TAR FIN'!$A$1:$O$115,15,0))</f>
        <v>334.16</v>
      </c>
      <c r="X987" s="6">
        <f>IF(ISERROR(VLOOKUP($U$987,'TAR FIN'!$A$1:$O$115,15,0)),0,VLOOKUP($U$987,'TAR FIN'!$A$1:$O$115,15,0))</f>
        <v>168.06</v>
      </c>
      <c r="Y987" s="6"/>
      <c r="Z987" s="6">
        <f ca="1">('TUSD BE'!$AM$36+'TUSD BF'!$AM$36+'TUSD CVA'!$AM$36)*1</f>
        <v>373.7403500897916</v>
      </c>
      <c r="AA987" s="6">
        <f>('TE BE'!$AB$19+'TE BF'!$AB$19+'TE CVA'!$AB$19)*1</f>
        <v>218.6854278594964</v>
      </c>
      <c r="AB987" s="6">
        <f>$K$987*$V$987</f>
        <v>0</v>
      </c>
      <c r="AC987" s="6">
        <f>$M$987*$W$987</f>
        <v>415.02672000000001</v>
      </c>
      <c r="AD987" s="6">
        <f>$O$987*$X$987</f>
        <v>208.73052000000001</v>
      </c>
      <c r="AE987" s="6">
        <f>$K$987*$Y$987</f>
        <v>0</v>
      </c>
      <c r="AF987" s="6">
        <f ca="1">$M$987*$Z$987</f>
        <v>464.18551481152116</v>
      </c>
      <c r="AG987" s="6">
        <f>$O$987*$AA$987</f>
        <v>271.60730140149451</v>
      </c>
    </row>
    <row r="988" spans="1:33" ht="11.25" customHeight="1" x14ac:dyDescent="0.25">
      <c r="A988" s="4" t="s">
        <v>21</v>
      </c>
      <c r="B988" s="4" t="s">
        <v>22</v>
      </c>
      <c r="C988" s="4" t="s">
        <v>35</v>
      </c>
      <c r="D988" s="4" t="s">
        <v>24</v>
      </c>
      <c r="E988" s="4" t="s">
        <v>24</v>
      </c>
      <c r="F988" s="4" t="s">
        <v>25</v>
      </c>
      <c r="G988" s="4" t="s">
        <v>25</v>
      </c>
      <c r="H988" s="4" t="s">
        <v>37</v>
      </c>
      <c r="I988" s="5">
        <v>44593</v>
      </c>
      <c r="J988" s="6">
        <v>0</v>
      </c>
      <c r="K988" s="6">
        <v>0</v>
      </c>
      <c r="L988" s="6">
        <v>32.262</v>
      </c>
      <c r="M988" s="6">
        <v>32.262</v>
      </c>
      <c r="N988" s="6">
        <v>32.262</v>
      </c>
      <c r="O988" s="6">
        <v>32.262</v>
      </c>
      <c r="P988" s="6">
        <v>0</v>
      </c>
      <c r="Q988" s="4" t="s">
        <v>26</v>
      </c>
      <c r="R988" s="4">
        <v>0</v>
      </c>
      <c r="S988" s="6">
        <v>0</v>
      </c>
      <c r="T988" s="6">
        <v>38</v>
      </c>
      <c r="U988" s="6">
        <v>82</v>
      </c>
      <c r="V988" s="6">
        <f>IF(ISERROR(VLOOKUP($S$988,'TAR FIN'!$A$1:$O$115,15,0)),0,VLOOKUP($S$988,'TAR FIN'!$A$1:$O$115,15,0))</f>
        <v>0</v>
      </c>
      <c r="W988" s="6">
        <f>IF(ISERROR(VLOOKUP($T$988,'TAR FIN'!$A$1:$O$115,15,0)),0,VLOOKUP($T$988,'TAR FIN'!$A$1:$O$115,15,0))</f>
        <v>334.16</v>
      </c>
      <c r="X988" s="6">
        <f>IF(ISERROR(VLOOKUP($U$988,'TAR FIN'!$A$1:$O$115,15,0)),0,VLOOKUP($U$988,'TAR FIN'!$A$1:$O$115,15,0))</f>
        <v>168.06</v>
      </c>
      <c r="Y988" s="6"/>
      <c r="Z988" s="6">
        <f ca="1">('TUSD BE'!$AM$36+'TUSD BF'!$AM$36+'TUSD CVA'!$AM$36)*1</f>
        <v>373.7403500897916</v>
      </c>
      <c r="AA988" s="6">
        <f>('TE BE'!$AB$19+'TE BF'!$AB$19+'TE CVA'!$AB$19)*1</f>
        <v>218.6854278594964</v>
      </c>
      <c r="AB988" s="6">
        <f>$K$988*$V$988</f>
        <v>0</v>
      </c>
      <c r="AC988" s="6">
        <f>$M$988*$W$988</f>
        <v>10780.66992</v>
      </c>
      <c r="AD988" s="6">
        <f>$O$988*$X$988</f>
        <v>5421.95172</v>
      </c>
      <c r="AE988" s="6">
        <f>$K$988*$Y$988</f>
        <v>0</v>
      </c>
      <c r="AF988" s="6">
        <f ca="1">$M$988*$Z$988</f>
        <v>12057.611174596857</v>
      </c>
      <c r="AG988" s="6">
        <f>$O$988*$AA$988</f>
        <v>7055.2292736030731</v>
      </c>
    </row>
    <row r="989" spans="1:33" ht="11.25" customHeight="1" x14ac:dyDescent="0.25">
      <c r="A989" s="4" t="s">
        <v>27</v>
      </c>
      <c r="B989" s="4" t="s">
        <v>22</v>
      </c>
      <c r="C989" s="4" t="s">
        <v>35</v>
      </c>
      <c r="D989" s="4" t="s">
        <v>24</v>
      </c>
      <c r="E989" s="4" t="s">
        <v>24</v>
      </c>
      <c r="F989" s="4" t="s">
        <v>25</v>
      </c>
      <c r="G989" s="4" t="s">
        <v>25</v>
      </c>
      <c r="H989" s="4" t="s">
        <v>37</v>
      </c>
      <c r="I989" s="5">
        <v>44593</v>
      </c>
      <c r="J989" s="6">
        <v>0</v>
      </c>
      <c r="K989" s="6">
        <v>0</v>
      </c>
      <c r="L989" s="6">
        <v>0.35399999999999998</v>
      </c>
      <c r="M989" s="6">
        <v>0.35399999999999998</v>
      </c>
      <c r="N989" s="6">
        <v>0.35399999999999998</v>
      </c>
      <c r="O989" s="6">
        <v>0.35399999999999998</v>
      </c>
      <c r="P989" s="6">
        <v>0</v>
      </c>
      <c r="Q989" s="4" t="s">
        <v>26</v>
      </c>
      <c r="R989" s="4">
        <v>0</v>
      </c>
      <c r="S989" s="6">
        <v>0</v>
      </c>
      <c r="T989" s="6">
        <v>38</v>
      </c>
      <c r="U989" s="6">
        <v>82</v>
      </c>
      <c r="V989" s="6">
        <f>IF(ISERROR(VLOOKUP($S$989,'TAR FIN'!$A$1:$O$115,15,0)),0,VLOOKUP($S$989,'TAR FIN'!$A$1:$O$115,15,0))</f>
        <v>0</v>
      </c>
      <c r="W989" s="6">
        <f>IF(ISERROR(VLOOKUP($T$989,'TAR FIN'!$A$1:$O$115,15,0)),0,VLOOKUP($T$989,'TAR FIN'!$A$1:$O$115,15,0))</f>
        <v>334.16</v>
      </c>
      <c r="X989" s="6">
        <f>IF(ISERROR(VLOOKUP($U$989,'TAR FIN'!$A$1:$O$115,15,0)),0,VLOOKUP($U$989,'TAR FIN'!$A$1:$O$115,15,0))</f>
        <v>168.06</v>
      </c>
      <c r="Y989" s="6"/>
      <c r="Z989" s="6">
        <f ca="1">('TUSD BE'!$AM$36+'TUSD BF'!$AM$36+'TUSD CVA'!$AM$36)*1</f>
        <v>373.7403500897916</v>
      </c>
      <c r="AA989" s="6">
        <f>('TE BE'!$AB$19+'TE BF'!$AB$19+'TE CVA'!$AB$19)*1</f>
        <v>218.6854278594964</v>
      </c>
      <c r="AB989" s="6">
        <f>$K$989*$V$989</f>
        <v>0</v>
      </c>
      <c r="AC989" s="6">
        <f>$M$989*$W$989</f>
        <v>118.29264000000001</v>
      </c>
      <c r="AD989" s="6">
        <f>$O$989*$X$989</f>
        <v>59.49324</v>
      </c>
      <c r="AE989" s="6">
        <f>$K$989*$Y$989</f>
        <v>0</v>
      </c>
      <c r="AF989" s="6">
        <f ca="1">$M$989*$Z$989</f>
        <v>132.30408393178621</v>
      </c>
      <c r="AG989" s="6">
        <f>$O$989*$AA$989</f>
        <v>77.414641462261727</v>
      </c>
    </row>
    <row r="990" spans="1:33" ht="11.25" customHeight="1" x14ac:dyDescent="0.25">
      <c r="A990" s="4" t="s">
        <v>28</v>
      </c>
      <c r="B990" s="4" t="s">
        <v>22</v>
      </c>
      <c r="C990" s="4" t="s">
        <v>35</v>
      </c>
      <c r="D990" s="4" t="s">
        <v>24</v>
      </c>
      <c r="E990" s="4" t="s">
        <v>24</v>
      </c>
      <c r="F990" s="4" t="s">
        <v>25</v>
      </c>
      <c r="G990" s="4" t="s">
        <v>25</v>
      </c>
      <c r="H990" s="4" t="s">
        <v>37</v>
      </c>
      <c r="I990" s="5">
        <v>44593</v>
      </c>
      <c r="J990" s="6">
        <v>0</v>
      </c>
      <c r="K990" s="6">
        <v>0</v>
      </c>
      <c r="L990" s="6">
        <v>0.90300000000000002</v>
      </c>
      <c r="M990" s="6">
        <v>0.90300000000000002</v>
      </c>
      <c r="N990" s="6">
        <v>0.90300000000000002</v>
      </c>
      <c r="O990" s="6">
        <v>0.90300000000000002</v>
      </c>
      <c r="P990" s="6">
        <v>0</v>
      </c>
      <c r="Q990" s="4" t="s">
        <v>26</v>
      </c>
      <c r="R990" s="4">
        <v>0</v>
      </c>
      <c r="S990" s="6">
        <v>0</v>
      </c>
      <c r="T990" s="6">
        <v>38</v>
      </c>
      <c r="U990" s="6">
        <v>82</v>
      </c>
      <c r="V990" s="6">
        <f>IF(ISERROR(VLOOKUP($S$990,'TAR FIN'!$A$1:$O$115,15,0)),0,VLOOKUP($S$990,'TAR FIN'!$A$1:$O$115,15,0))</f>
        <v>0</v>
      </c>
      <c r="W990" s="6">
        <f>IF(ISERROR(VLOOKUP($T$990,'TAR FIN'!$A$1:$O$115,15,0)),0,VLOOKUP($T$990,'TAR FIN'!$A$1:$O$115,15,0))</f>
        <v>334.16</v>
      </c>
      <c r="X990" s="6">
        <f>IF(ISERROR(VLOOKUP($U$990,'TAR FIN'!$A$1:$O$115,15,0)),0,VLOOKUP($U$990,'TAR FIN'!$A$1:$O$115,15,0))</f>
        <v>168.06</v>
      </c>
      <c r="Y990" s="6"/>
      <c r="Z990" s="6">
        <f ca="1">('TUSD BE'!$AM$36+'TUSD BF'!$AM$36+'TUSD CVA'!$AM$36)*1</f>
        <v>373.7403500897916</v>
      </c>
      <c r="AA990" s="6">
        <f>('TE BE'!$AB$19+'TE BF'!$AB$19+'TE CVA'!$AB$19)*1</f>
        <v>218.6854278594964</v>
      </c>
      <c r="AB990" s="6">
        <f>$K$990*$V$990</f>
        <v>0</v>
      </c>
      <c r="AC990" s="6">
        <f>$M$990*$W$990</f>
        <v>301.74648000000002</v>
      </c>
      <c r="AD990" s="6">
        <f>$O$990*$X$990</f>
        <v>151.75818000000001</v>
      </c>
      <c r="AE990" s="6">
        <f>$K$990*$Y$990</f>
        <v>0</v>
      </c>
      <c r="AF990" s="6">
        <f ca="1">$M$990*$Z$990</f>
        <v>337.48753613108181</v>
      </c>
      <c r="AG990" s="6">
        <f>$O$990*$AA$990</f>
        <v>197.47294135712525</v>
      </c>
    </row>
    <row r="991" spans="1:33" ht="11.25" customHeight="1" x14ac:dyDescent="0.25">
      <c r="A991" s="4" t="s">
        <v>30</v>
      </c>
      <c r="B991" s="4" t="s">
        <v>22</v>
      </c>
      <c r="C991" s="4" t="s">
        <v>35</v>
      </c>
      <c r="D991" s="4" t="s">
        <v>24</v>
      </c>
      <c r="E991" s="4" t="s">
        <v>24</v>
      </c>
      <c r="F991" s="4" t="s">
        <v>25</v>
      </c>
      <c r="G991" s="4" t="s">
        <v>25</v>
      </c>
      <c r="H991" s="4" t="s">
        <v>37</v>
      </c>
      <c r="I991" s="5">
        <v>44593</v>
      </c>
      <c r="J991" s="6">
        <v>0</v>
      </c>
      <c r="K991" s="6">
        <v>0</v>
      </c>
      <c r="L991" s="6">
        <v>0.40500000000000003</v>
      </c>
      <c r="M991" s="6">
        <v>0.40500000000000003</v>
      </c>
      <c r="N991" s="6">
        <v>0.40500000000000003</v>
      </c>
      <c r="O991" s="6">
        <v>0.40500000000000003</v>
      </c>
      <c r="P991" s="6">
        <v>0</v>
      </c>
      <c r="Q991" s="4" t="s">
        <v>26</v>
      </c>
      <c r="R991" s="4">
        <v>0</v>
      </c>
      <c r="S991" s="6">
        <v>0</v>
      </c>
      <c r="T991" s="6">
        <v>38</v>
      </c>
      <c r="U991" s="6">
        <v>82</v>
      </c>
      <c r="V991" s="6">
        <f>IF(ISERROR(VLOOKUP($S$991,'TAR FIN'!$A$1:$O$115,15,0)),0,VLOOKUP($S$991,'TAR FIN'!$A$1:$O$115,15,0))</f>
        <v>0</v>
      </c>
      <c r="W991" s="6">
        <f>IF(ISERROR(VLOOKUP($T$991,'TAR FIN'!$A$1:$O$115,15,0)),0,VLOOKUP($T$991,'TAR FIN'!$A$1:$O$115,15,0))</f>
        <v>334.16</v>
      </c>
      <c r="X991" s="6">
        <f>IF(ISERROR(VLOOKUP($U$991,'TAR FIN'!$A$1:$O$115,15,0)),0,VLOOKUP($U$991,'TAR FIN'!$A$1:$O$115,15,0))</f>
        <v>168.06</v>
      </c>
      <c r="Y991" s="6"/>
      <c r="Z991" s="6">
        <f ca="1">('TUSD BE'!$AM$36+'TUSD BF'!$AM$36+'TUSD CVA'!$AM$36)*1</f>
        <v>373.7403500897916</v>
      </c>
      <c r="AA991" s="6">
        <f>('TE BE'!$AB$19+'TE BF'!$AB$19+'TE CVA'!$AB$19)*1</f>
        <v>218.6854278594964</v>
      </c>
      <c r="AB991" s="6">
        <f>$K$991*$V$991</f>
        <v>0</v>
      </c>
      <c r="AC991" s="6">
        <f>$M$991*$W$991</f>
        <v>135.33480000000003</v>
      </c>
      <c r="AD991" s="6">
        <f>$O$991*$X$991</f>
        <v>68.064300000000003</v>
      </c>
      <c r="AE991" s="6">
        <f>$K$991*$Y$991</f>
        <v>0</v>
      </c>
      <c r="AF991" s="6">
        <f ca="1">$M$991*$Z$991</f>
        <v>151.36484178636562</v>
      </c>
      <c r="AG991" s="6">
        <f>$O$991*$AA$991</f>
        <v>88.567598283096046</v>
      </c>
    </row>
    <row r="992" spans="1:33" ht="11.25" customHeight="1" x14ac:dyDescent="0.25">
      <c r="A992" s="4" t="s">
        <v>30</v>
      </c>
      <c r="B992" s="4" t="s">
        <v>22</v>
      </c>
      <c r="C992" s="4" t="s">
        <v>35</v>
      </c>
      <c r="D992" s="4" t="s">
        <v>24</v>
      </c>
      <c r="E992" s="4" t="s">
        <v>24</v>
      </c>
      <c r="F992" s="4" t="s">
        <v>25</v>
      </c>
      <c r="G992" s="4" t="s">
        <v>25</v>
      </c>
      <c r="H992" s="4" t="s">
        <v>37</v>
      </c>
      <c r="I992" s="5">
        <v>44593</v>
      </c>
      <c r="J992" s="6">
        <v>0</v>
      </c>
      <c r="K992" s="6">
        <v>0</v>
      </c>
      <c r="L992" s="6">
        <v>-0.32600000000000001</v>
      </c>
      <c r="M992" s="6">
        <v>-0.32600000000000001</v>
      </c>
      <c r="N992" s="6">
        <v>-0.32600000000000001</v>
      </c>
      <c r="O992" s="6">
        <v>-0.32600000000000001</v>
      </c>
      <c r="P992" s="6">
        <v>0</v>
      </c>
      <c r="Q992" s="4" t="s">
        <v>26</v>
      </c>
      <c r="R992" s="4">
        <v>0</v>
      </c>
      <c r="S992" s="6">
        <v>0</v>
      </c>
      <c r="T992" s="6">
        <v>38</v>
      </c>
      <c r="U992" s="6">
        <v>82</v>
      </c>
      <c r="V992" s="6">
        <f>IF(ISERROR(VLOOKUP($S$992,'TAR FIN'!$A$1:$O$115,15,0)),0,VLOOKUP($S$992,'TAR FIN'!$A$1:$O$115,15,0))</f>
        <v>0</v>
      </c>
      <c r="W992" s="6">
        <f>IF(ISERROR(VLOOKUP($T$992,'TAR FIN'!$A$1:$O$115,15,0)),0,VLOOKUP($T$992,'TAR FIN'!$A$1:$O$115,15,0))</f>
        <v>334.16</v>
      </c>
      <c r="X992" s="6">
        <f>IF(ISERROR(VLOOKUP($U$992,'TAR FIN'!$A$1:$O$115,15,0)),0,VLOOKUP($U$992,'TAR FIN'!$A$1:$O$115,15,0))</f>
        <v>168.06</v>
      </c>
      <c r="Y992" s="6"/>
      <c r="Z992" s="6">
        <f ca="1">('TUSD BE'!$AM$36+'TUSD BF'!$AM$36+'TUSD CVA'!$AM$36)*1</f>
        <v>373.7403500897916</v>
      </c>
      <c r="AA992" s="6">
        <f>('TE BE'!$AB$19+'TE BF'!$AB$19+'TE CVA'!$AB$19)*1</f>
        <v>218.6854278594964</v>
      </c>
      <c r="AB992" s="6">
        <f>$K$992*$V$992</f>
        <v>0</v>
      </c>
      <c r="AC992" s="6">
        <f>$M$992*$W$992</f>
        <v>-108.93616000000002</v>
      </c>
      <c r="AD992" s="6">
        <f>$O$992*$X$992</f>
        <v>-54.787560000000006</v>
      </c>
      <c r="AE992" s="6">
        <f>$K$992*$Y$992</f>
        <v>0</v>
      </c>
      <c r="AF992" s="6">
        <f ca="1">$M$992*$Z$992</f>
        <v>-121.83935412927207</v>
      </c>
      <c r="AG992" s="6">
        <f>$O$992*$AA$992</f>
        <v>-71.29144948219583</v>
      </c>
    </row>
    <row r="993" spans="1:33" ht="11.25" customHeight="1" x14ac:dyDescent="0.25">
      <c r="A993" s="4" t="s">
        <v>21</v>
      </c>
      <c r="B993" s="4" t="s">
        <v>22</v>
      </c>
      <c r="C993" s="4" t="s">
        <v>35</v>
      </c>
      <c r="D993" s="4" t="s">
        <v>24</v>
      </c>
      <c r="E993" s="4" t="s">
        <v>24</v>
      </c>
      <c r="F993" s="4" t="s">
        <v>25</v>
      </c>
      <c r="G993" s="4" t="s">
        <v>25</v>
      </c>
      <c r="H993" s="4" t="s">
        <v>37</v>
      </c>
      <c r="I993" s="5">
        <v>44621</v>
      </c>
      <c r="J993" s="6">
        <v>0</v>
      </c>
      <c r="K993" s="6">
        <v>0</v>
      </c>
      <c r="L993" s="6">
        <v>33.404000000000003</v>
      </c>
      <c r="M993" s="6">
        <v>33.404000000000003</v>
      </c>
      <c r="N993" s="6">
        <v>33.404000000000003</v>
      </c>
      <c r="O993" s="6">
        <v>33.404000000000003</v>
      </c>
      <c r="P993" s="6">
        <v>0</v>
      </c>
      <c r="Q993" s="4" t="s">
        <v>26</v>
      </c>
      <c r="R993" s="4">
        <v>0</v>
      </c>
      <c r="S993" s="6">
        <v>0</v>
      </c>
      <c r="T993" s="6">
        <v>38</v>
      </c>
      <c r="U993" s="6">
        <v>82</v>
      </c>
      <c r="V993" s="6">
        <f>IF(ISERROR(VLOOKUP($S$993,'TAR FIN'!$A$1:$O$115,15,0)),0,VLOOKUP($S$993,'TAR FIN'!$A$1:$O$115,15,0))</f>
        <v>0</v>
      </c>
      <c r="W993" s="6">
        <f>IF(ISERROR(VLOOKUP($T$993,'TAR FIN'!$A$1:$O$115,15,0)),0,VLOOKUP($T$993,'TAR FIN'!$A$1:$O$115,15,0))</f>
        <v>334.16</v>
      </c>
      <c r="X993" s="6">
        <f>IF(ISERROR(VLOOKUP($U$993,'TAR FIN'!$A$1:$O$115,15,0)),0,VLOOKUP($U$993,'TAR FIN'!$A$1:$O$115,15,0))</f>
        <v>168.06</v>
      </c>
      <c r="Y993" s="6"/>
      <c r="Z993" s="6">
        <f ca="1">('TUSD BE'!$AM$36+'TUSD BF'!$AM$36+'TUSD CVA'!$AM$36)*1</f>
        <v>373.7403500897916</v>
      </c>
      <c r="AA993" s="6">
        <f>('TE BE'!$AB$19+'TE BF'!$AB$19+'TE CVA'!$AB$19)*1</f>
        <v>218.6854278594964</v>
      </c>
      <c r="AB993" s="6">
        <f>$K$993*$V$993</f>
        <v>0</v>
      </c>
      <c r="AC993" s="6">
        <f>$M$993*$W$993</f>
        <v>11162.280640000003</v>
      </c>
      <c r="AD993" s="6">
        <f>$O$993*$X$993</f>
        <v>5613.8762400000005</v>
      </c>
      <c r="AE993" s="6">
        <f>$K$993*$Y$993</f>
        <v>0</v>
      </c>
      <c r="AF993" s="6">
        <f ca="1">$M$993*$Z$993</f>
        <v>12484.422654399401</v>
      </c>
      <c r="AG993" s="6">
        <f>$O$993*$AA$993</f>
        <v>7304.9680322186186</v>
      </c>
    </row>
    <row r="994" spans="1:33" ht="11.25" customHeight="1" x14ac:dyDescent="0.25">
      <c r="A994" s="4" t="s">
        <v>28</v>
      </c>
      <c r="B994" s="4" t="s">
        <v>22</v>
      </c>
      <c r="C994" s="4" t="s">
        <v>35</v>
      </c>
      <c r="D994" s="4" t="s">
        <v>24</v>
      </c>
      <c r="E994" s="4" t="s">
        <v>24</v>
      </c>
      <c r="F994" s="4" t="s">
        <v>25</v>
      </c>
      <c r="G994" s="4" t="s">
        <v>25</v>
      </c>
      <c r="H994" s="4" t="s">
        <v>37</v>
      </c>
      <c r="I994" s="5">
        <v>44621</v>
      </c>
      <c r="J994" s="6">
        <v>0</v>
      </c>
      <c r="K994" s="6">
        <v>0</v>
      </c>
      <c r="L994" s="6">
        <v>1.17</v>
      </c>
      <c r="M994" s="6">
        <v>1.17</v>
      </c>
      <c r="N994" s="6">
        <v>1.17</v>
      </c>
      <c r="O994" s="6">
        <v>1.17</v>
      </c>
      <c r="P994" s="6">
        <v>0</v>
      </c>
      <c r="Q994" s="4" t="s">
        <v>26</v>
      </c>
      <c r="R994" s="4">
        <v>0</v>
      </c>
      <c r="S994" s="6">
        <v>0</v>
      </c>
      <c r="T994" s="6">
        <v>38</v>
      </c>
      <c r="U994" s="6">
        <v>82</v>
      </c>
      <c r="V994" s="6">
        <f>IF(ISERROR(VLOOKUP($S$994,'TAR FIN'!$A$1:$O$115,15,0)),0,VLOOKUP($S$994,'TAR FIN'!$A$1:$O$115,15,0))</f>
        <v>0</v>
      </c>
      <c r="W994" s="6">
        <f>IF(ISERROR(VLOOKUP($T$994,'TAR FIN'!$A$1:$O$115,15,0)),0,VLOOKUP($T$994,'TAR FIN'!$A$1:$O$115,15,0))</f>
        <v>334.16</v>
      </c>
      <c r="X994" s="6">
        <f>IF(ISERROR(VLOOKUP($U$994,'TAR FIN'!$A$1:$O$115,15,0)),0,VLOOKUP($U$994,'TAR FIN'!$A$1:$O$115,15,0))</f>
        <v>168.06</v>
      </c>
      <c r="Y994" s="6"/>
      <c r="Z994" s="6">
        <f ca="1">('TUSD BE'!$AM$36+'TUSD BF'!$AM$36+'TUSD CVA'!$AM$36)*1</f>
        <v>373.7403500897916</v>
      </c>
      <c r="AA994" s="6">
        <f>('TE BE'!$AB$19+'TE BF'!$AB$19+'TE CVA'!$AB$19)*1</f>
        <v>218.6854278594964</v>
      </c>
      <c r="AB994" s="6">
        <f>$K$994*$V$994</f>
        <v>0</v>
      </c>
      <c r="AC994" s="6">
        <f>$M$994*$W$994</f>
        <v>390.96719999999999</v>
      </c>
      <c r="AD994" s="6">
        <f>$O$994*$X$994</f>
        <v>196.6302</v>
      </c>
      <c r="AE994" s="6">
        <f>$K$994*$Y$994</f>
        <v>0</v>
      </c>
      <c r="AF994" s="6">
        <f ca="1">$M$994*$Z$994</f>
        <v>437.27620960505612</v>
      </c>
      <c r="AG994" s="6">
        <f>$O$994*$AA$994</f>
        <v>255.86195059561078</v>
      </c>
    </row>
    <row r="995" spans="1:33" ht="11.25" customHeight="1" x14ac:dyDescent="0.25">
      <c r="A995" s="4" t="s">
        <v>30</v>
      </c>
      <c r="B995" s="4" t="s">
        <v>22</v>
      </c>
      <c r="C995" s="4" t="s">
        <v>35</v>
      </c>
      <c r="D995" s="4" t="s">
        <v>24</v>
      </c>
      <c r="E995" s="4" t="s">
        <v>24</v>
      </c>
      <c r="F995" s="4" t="s">
        <v>25</v>
      </c>
      <c r="G995" s="4" t="s">
        <v>25</v>
      </c>
      <c r="H995" s="4" t="s">
        <v>37</v>
      </c>
      <c r="I995" s="5">
        <v>44621</v>
      </c>
      <c r="J995" s="6">
        <v>0</v>
      </c>
      <c r="K995" s="6">
        <v>0</v>
      </c>
      <c r="L995" s="6">
        <v>0.188</v>
      </c>
      <c r="M995" s="6">
        <v>0.188</v>
      </c>
      <c r="N995" s="6">
        <v>0.188</v>
      </c>
      <c r="O995" s="6">
        <v>0.188</v>
      </c>
      <c r="P995" s="6">
        <v>0</v>
      </c>
      <c r="Q995" s="4" t="s">
        <v>26</v>
      </c>
      <c r="R995" s="4">
        <v>0</v>
      </c>
      <c r="S995" s="6">
        <v>0</v>
      </c>
      <c r="T995" s="6">
        <v>38</v>
      </c>
      <c r="U995" s="6">
        <v>82</v>
      </c>
      <c r="V995" s="6">
        <f>IF(ISERROR(VLOOKUP($S$995,'TAR FIN'!$A$1:$O$115,15,0)),0,VLOOKUP($S$995,'TAR FIN'!$A$1:$O$115,15,0))</f>
        <v>0</v>
      </c>
      <c r="W995" s="6">
        <f>IF(ISERROR(VLOOKUP($T$995,'TAR FIN'!$A$1:$O$115,15,0)),0,VLOOKUP($T$995,'TAR FIN'!$A$1:$O$115,15,0))</f>
        <v>334.16</v>
      </c>
      <c r="X995" s="6">
        <f>IF(ISERROR(VLOOKUP($U$995,'TAR FIN'!$A$1:$O$115,15,0)),0,VLOOKUP($U$995,'TAR FIN'!$A$1:$O$115,15,0))</f>
        <v>168.06</v>
      </c>
      <c r="Y995" s="6"/>
      <c r="Z995" s="6">
        <f ca="1">('TUSD BE'!$AM$36+'TUSD BF'!$AM$36+'TUSD CVA'!$AM$36)*1</f>
        <v>373.7403500897916</v>
      </c>
      <c r="AA995" s="6">
        <f>('TE BE'!$AB$19+'TE BF'!$AB$19+'TE CVA'!$AB$19)*1</f>
        <v>218.6854278594964</v>
      </c>
      <c r="AB995" s="6">
        <f>$K$995*$V$995</f>
        <v>0</v>
      </c>
      <c r="AC995" s="6">
        <f>$M$995*$W$995</f>
        <v>62.822080000000007</v>
      </c>
      <c r="AD995" s="6">
        <f>$O$995*$X$995</f>
        <v>31.595279999999999</v>
      </c>
      <c r="AE995" s="6">
        <f>$K$995*$Y$995</f>
        <v>0</v>
      </c>
      <c r="AF995" s="6">
        <f ca="1">$M$995*$Z$995</f>
        <v>70.263185816880821</v>
      </c>
      <c r="AG995" s="6">
        <f>$O$995*$AA$995</f>
        <v>41.112860437585326</v>
      </c>
    </row>
    <row r="996" spans="1:33" ht="11.25" customHeight="1" x14ac:dyDescent="0.25">
      <c r="A996" s="4" t="s">
        <v>21</v>
      </c>
      <c r="B996" s="4" t="s">
        <v>22</v>
      </c>
      <c r="C996" s="4" t="s">
        <v>35</v>
      </c>
      <c r="D996" s="4" t="s">
        <v>24</v>
      </c>
      <c r="E996" s="4" t="s">
        <v>24</v>
      </c>
      <c r="F996" s="4" t="s">
        <v>25</v>
      </c>
      <c r="G996" s="4" t="s">
        <v>25</v>
      </c>
      <c r="H996" s="4" t="s">
        <v>37</v>
      </c>
      <c r="I996" s="5">
        <v>44652</v>
      </c>
      <c r="J996" s="6">
        <v>0</v>
      </c>
      <c r="K996" s="6">
        <v>0</v>
      </c>
      <c r="L996" s="6">
        <v>34.1</v>
      </c>
      <c r="M996" s="6">
        <v>34.1</v>
      </c>
      <c r="N996" s="6">
        <v>34.1</v>
      </c>
      <c r="O996" s="6">
        <v>34.1</v>
      </c>
      <c r="P996" s="6">
        <v>0</v>
      </c>
      <c r="Q996" s="4" t="s">
        <v>26</v>
      </c>
      <c r="R996" s="4">
        <v>0</v>
      </c>
      <c r="S996" s="6">
        <v>0</v>
      </c>
      <c r="T996" s="6">
        <v>38</v>
      </c>
      <c r="U996" s="6">
        <v>82</v>
      </c>
      <c r="V996" s="6">
        <f>IF(ISERROR(VLOOKUP($S$996,'TAR FIN'!$A$1:$O$115,15,0)),0,VLOOKUP($S$996,'TAR FIN'!$A$1:$O$115,15,0))</f>
        <v>0</v>
      </c>
      <c r="W996" s="6">
        <f>IF(ISERROR(VLOOKUP($T$996,'TAR FIN'!$A$1:$O$115,15,0)),0,VLOOKUP($T$996,'TAR FIN'!$A$1:$O$115,15,0))</f>
        <v>334.16</v>
      </c>
      <c r="X996" s="6">
        <f>IF(ISERROR(VLOOKUP($U$996,'TAR FIN'!$A$1:$O$115,15,0)),0,VLOOKUP($U$996,'TAR FIN'!$A$1:$O$115,15,0))</f>
        <v>168.06</v>
      </c>
      <c r="Y996" s="6"/>
      <c r="Z996" s="6">
        <f ca="1">('TUSD BE'!$AM$36+'TUSD BF'!$AM$36+'TUSD CVA'!$AM$36)*1</f>
        <v>373.7403500897916</v>
      </c>
      <c r="AA996" s="6">
        <f>('TE BE'!$AB$19+'TE BF'!$AB$19+'TE CVA'!$AB$19)*1</f>
        <v>218.6854278594964</v>
      </c>
      <c r="AB996" s="6">
        <f>$K$996*$V$996</f>
        <v>0</v>
      </c>
      <c r="AC996" s="6">
        <f>$M$996*$W$996</f>
        <v>11394.856000000002</v>
      </c>
      <c r="AD996" s="6">
        <f>$O$996*$X$996</f>
        <v>5730.8460000000005</v>
      </c>
      <c r="AE996" s="6">
        <f>$K$996*$Y$996</f>
        <v>0</v>
      </c>
      <c r="AF996" s="6">
        <f ca="1">$M$996*$Z$996</f>
        <v>12744.545938061894</v>
      </c>
      <c r="AG996" s="6">
        <f>$O$996*$AA$996</f>
        <v>7457.1730900088278</v>
      </c>
    </row>
    <row r="997" spans="1:33" ht="11.25" customHeight="1" x14ac:dyDescent="0.25">
      <c r="A997" s="4" t="s">
        <v>27</v>
      </c>
      <c r="B997" s="4" t="s">
        <v>22</v>
      </c>
      <c r="C997" s="4" t="s">
        <v>35</v>
      </c>
      <c r="D997" s="4" t="s">
        <v>24</v>
      </c>
      <c r="E997" s="4" t="s">
        <v>24</v>
      </c>
      <c r="F997" s="4" t="s">
        <v>25</v>
      </c>
      <c r="G997" s="4" t="s">
        <v>25</v>
      </c>
      <c r="H997" s="4" t="s">
        <v>37</v>
      </c>
      <c r="I997" s="5">
        <v>44652</v>
      </c>
      <c r="J997" s="6">
        <v>0</v>
      </c>
      <c r="K997" s="6">
        <v>0</v>
      </c>
      <c r="L997" s="6">
        <v>5.5E-2</v>
      </c>
      <c r="M997" s="6">
        <v>5.5E-2</v>
      </c>
      <c r="N997" s="6">
        <v>5.5E-2</v>
      </c>
      <c r="O997" s="6">
        <v>5.5E-2</v>
      </c>
      <c r="P997" s="6">
        <v>0</v>
      </c>
      <c r="Q997" s="4" t="s">
        <v>26</v>
      </c>
      <c r="R997" s="4">
        <v>0</v>
      </c>
      <c r="S997" s="6">
        <v>0</v>
      </c>
      <c r="T997" s="6">
        <v>38</v>
      </c>
      <c r="U997" s="6">
        <v>82</v>
      </c>
      <c r="V997" s="6">
        <f>IF(ISERROR(VLOOKUP($S$997,'TAR FIN'!$A$1:$O$115,15,0)),0,VLOOKUP($S$997,'TAR FIN'!$A$1:$O$115,15,0))</f>
        <v>0</v>
      </c>
      <c r="W997" s="6">
        <f>IF(ISERROR(VLOOKUP($T$997,'TAR FIN'!$A$1:$O$115,15,0)),0,VLOOKUP($T$997,'TAR FIN'!$A$1:$O$115,15,0))</f>
        <v>334.16</v>
      </c>
      <c r="X997" s="6">
        <f>IF(ISERROR(VLOOKUP($U$997,'TAR FIN'!$A$1:$O$115,15,0)),0,VLOOKUP($U$997,'TAR FIN'!$A$1:$O$115,15,0))</f>
        <v>168.06</v>
      </c>
      <c r="Y997" s="6"/>
      <c r="Z997" s="6">
        <f ca="1">('TUSD BE'!$AM$36+'TUSD BF'!$AM$36+'TUSD CVA'!$AM$36)*1</f>
        <v>373.7403500897916</v>
      </c>
      <c r="AA997" s="6">
        <f>('TE BE'!$AB$19+'TE BF'!$AB$19+'TE CVA'!$AB$19)*1</f>
        <v>218.6854278594964</v>
      </c>
      <c r="AB997" s="6">
        <f>$K$997*$V$997</f>
        <v>0</v>
      </c>
      <c r="AC997" s="6">
        <f>$M$997*$W$997</f>
        <v>18.378800000000002</v>
      </c>
      <c r="AD997" s="6">
        <f>$O$997*$X$997</f>
        <v>9.2432999999999996</v>
      </c>
      <c r="AE997" s="6">
        <f>$K$997*$Y$997</f>
        <v>0</v>
      </c>
      <c r="AF997" s="6">
        <f ca="1">$M$997*$Z$997</f>
        <v>20.555719254938538</v>
      </c>
      <c r="AG997" s="6">
        <f>$O$997*$AA$997</f>
        <v>12.027698532272302</v>
      </c>
    </row>
    <row r="998" spans="1:33" ht="11.25" customHeight="1" x14ac:dyDescent="0.25">
      <c r="A998" s="4" t="s">
        <v>28</v>
      </c>
      <c r="B998" s="4" t="s">
        <v>22</v>
      </c>
      <c r="C998" s="4" t="s">
        <v>35</v>
      </c>
      <c r="D998" s="4" t="s">
        <v>24</v>
      </c>
      <c r="E998" s="4" t="s">
        <v>24</v>
      </c>
      <c r="F998" s="4" t="s">
        <v>25</v>
      </c>
      <c r="G998" s="4" t="s">
        <v>25</v>
      </c>
      <c r="H998" s="4" t="s">
        <v>37</v>
      </c>
      <c r="I998" s="5">
        <v>44652</v>
      </c>
      <c r="J998" s="6">
        <v>0</v>
      </c>
      <c r="K998" s="6">
        <v>0</v>
      </c>
      <c r="L998" s="6">
        <v>1.117</v>
      </c>
      <c r="M998" s="6">
        <v>1.117</v>
      </c>
      <c r="N998" s="6">
        <v>1.117</v>
      </c>
      <c r="O998" s="6">
        <v>1.117</v>
      </c>
      <c r="P998" s="6">
        <v>0</v>
      </c>
      <c r="Q998" s="4" t="s">
        <v>26</v>
      </c>
      <c r="R998" s="4">
        <v>0</v>
      </c>
      <c r="S998" s="6">
        <v>0</v>
      </c>
      <c r="T998" s="6">
        <v>38</v>
      </c>
      <c r="U998" s="6">
        <v>82</v>
      </c>
      <c r="V998" s="6">
        <f>IF(ISERROR(VLOOKUP($S$998,'TAR FIN'!$A$1:$O$115,15,0)),0,VLOOKUP($S$998,'TAR FIN'!$A$1:$O$115,15,0))</f>
        <v>0</v>
      </c>
      <c r="W998" s="6">
        <f>IF(ISERROR(VLOOKUP($T$998,'TAR FIN'!$A$1:$O$115,15,0)),0,VLOOKUP($T$998,'TAR FIN'!$A$1:$O$115,15,0))</f>
        <v>334.16</v>
      </c>
      <c r="X998" s="6">
        <f>IF(ISERROR(VLOOKUP($U$998,'TAR FIN'!$A$1:$O$115,15,0)),0,VLOOKUP($U$998,'TAR FIN'!$A$1:$O$115,15,0))</f>
        <v>168.06</v>
      </c>
      <c r="Y998" s="6"/>
      <c r="Z998" s="6">
        <f ca="1">('TUSD BE'!$AM$36+'TUSD BF'!$AM$36+'TUSD CVA'!$AM$36)*1</f>
        <v>373.7403500897916</v>
      </c>
      <c r="AA998" s="6">
        <f>('TE BE'!$AB$19+'TE BF'!$AB$19+'TE CVA'!$AB$19)*1</f>
        <v>218.6854278594964</v>
      </c>
      <c r="AB998" s="6">
        <f>$K$998*$V$998</f>
        <v>0</v>
      </c>
      <c r="AC998" s="6">
        <f>$M$998*$W$998</f>
        <v>373.25672000000003</v>
      </c>
      <c r="AD998" s="6">
        <f>$O$998*$X$998</f>
        <v>187.72301999999999</v>
      </c>
      <c r="AE998" s="6">
        <f>$K$998*$Y$998</f>
        <v>0</v>
      </c>
      <c r="AF998" s="6">
        <f ca="1">$M$998*$Z$998</f>
        <v>417.46797105029719</v>
      </c>
      <c r="AG998" s="6">
        <f>$O$998*$AA$998</f>
        <v>244.27162291905748</v>
      </c>
    </row>
    <row r="999" spans="1:33" ht="11.25" customHeight="1" x14ac:dyDescent="0.25">
      <c r="A999" s="4" t="s">
        <v>30</v>
      </c>
      <c r="B999" s="4" t="s">
        <v>22</v>
      </c>
      <c r="C999" s="4" t="s">
        <v>35</v>
      </c>
      <c r="D999" s="4" t="s">
        <v>24</v>
      </c>
      <c r="E999" s="4" t="s">
        <v>24</v>
      </c>
      <c r="F999" s="4" t="s">
        <v>25</v>
      </c>
      <c r="G999" s="4" t="s">
        <v>25</v>
      </c>
      <c r="H999" s="4" t="s">
        <v>37</v>
      </c>
      <c r="I999" s="5">
        <v>44652</v>
      </c>
      <c r="J999" s="6">
        <v>0</v>
      </c>
      <c r="K999" s="6">
        <v>0</v>
      </c>
      <c r="L999" s="6">
        <v>0.188</v>
      </c>
      <c r="M999" s="6">
        <v>0.188</v>
      </c>
      <c r="N999" s="6">
        <v>0.188</v>
      </c>
      <c r="O999" s="6">
        <v>0.188</v>
      </c>
      <c r="P999" s="6">
        <v>0</v>
      </c>
      <c r="Q999" s="4" t="s">
        <v>26</v>
      </c>
      <c r="R999" s="4">
        <v>0</v>
      </c>
      <c r="S999" s="6">
        <v>0</v>
      </c>
      <c r="T999" s="6">
        <v>38</v>
      </c>
      <c r="U999" s="6">
        <v>82</v>
      </c>
      <c r="V999" s="6">
        <f>IF(ISERROR(VLOOKUP($S$999,'TAR FIN'!$A$1:$O$115,15,0)),0,VLOOKUP($S$999,'TAR FIN'!$A$1:$O$115,15,0))</f>
        <v>0</v>
      </c>
      <c r="W999" s="6">
        <f>IF(ISERROR(VLOOKUP($T$999,'TAR FIN'!$A$1:$O$115,15,0)),0,VLOOKUP($T$999,'TAR FIN'!$A$1:$O$115,15,0))</f>
        <v>334.16</v>
      </c>
      <c r="X999" s="6">
        <f>IF(ISERROR(VLOOKUP($U$999,'TAR FIN'!$A$1:$O$115,15,0)),0,VLOOKUP($U$999,'TAR FIN'!$A$1:$O$115,15,0))</f>
        <v>168.06</v>
      </c>
      <c r="Y999" s="6"/>
      <c r="Z999" s="6">
        <f ca="1">('TUSD BE'!$AM$36+'TUSD BF'!$AM$36+'TUSD CVA'!$AM$36)*1</f>
        <v>373.7403500897916</v>
      </c>
      <c r="AA999" s="6">
        <f>('TE BE'!$AB$19+'TE BF'!$AB$19+'TE CVA'!$AB$19)*1</f>
        <v>218.6854278594964</v>
      </c>
      <c r="AB999" s="6">
        <f>$K$999*$V$999</f>
        <v>0</v>
      </c>
      <c r="AC999" s="6">
        <f>$M$999*$W$999</f>
        <v>62.822080000000007</v>
      </c>
      <c r="AD999" s="6">
        <f>$O$999*$X$999</f>
        <v>31.595279999999999</v>
      </c>
      <c r="AE999" s="6">
        <f>$K$999*$Y$999</f>
        <v>0</v>
      </c>
      <c r="AF999" s="6">
        <f ca="1">$M$999*$Z$999</f>
        <v>70.263185816880821</v>
      </c>
      <c r="AG999" s="6">
        <f>$O$999*$AA$999</f>
        <v>41.112860437585326</v>
      </c>
    </row>
    <row r="1000" spans="1:33" ht="11.25" customHeight="1" x14ac:dyDescent="0.25">
      <c r="A1000" s="4" t="s">
        <v>21</v>
      </c>
      <c r="B1000" s="4" t="s">
        <v>22</v>
      </c>
      <c r="C1000" s="4" t="s">
        <v>35</v>
      </c>
      <c r="D1000" s="4" t="s">
        <v>24</v>
      </c>
      <c r="E1000" s="4" t="s">
        <v>24</v>
      </c>
      <c r="F1000" s="4" t="s">
        <v>25</v>
      </c>
      <c r="G1000" s="4" t="s">
        <v>25</v>
      </c>
      <c r="H1000" s="4" t="s">
        <v>37</v>
      </c>
      <c r="I1000" s="5">
        <v>44682</v>
      </c>
      <c r="J1000" s="6">
        <v>0</v>
      </c>
      <c r="K1000" s="6">
        <v>0</v>
      </c>
      <c r="L1000" s="6">
        <v>41.506999999999998</v>
      </c>
      <c r="M1000" s="6">
        <v>41.506999999999998</v>
      </c>
      <c r="N1000" s="6">
        <v>41.506999999999998</v>
      </c>
      <c r="O1000" s="6">
        <v>41.506999999999998</v>
      </c>
      <c r="P1000" s="6">
        <v>0</v>
      </c>
      <c r="Q1000" s="4" t="s">
        <v>26</v>
      </c>
      <c r="R1000" s="4">
        <v>0</v>
      </c>
      <c r="S1000" s="6">
        <v>0</v>
      </c>
      <c r="T1000" s="6">
        <v>38</v>
      </c>
      <c r="U1000" s="6">
        <v>82</v>
      </c>
      <c r="V1000" s="6">
        <f>IF(ISERROR(VLOOKUP($S$1000,'TAR FIN'!$A$1:$O$115,15,0)),0,VLOOKUP($S$1000,'TAR FIN'!$A$1:$O$115,15,0))</f>
        <v>0</v>
      </c>
      <c r="W1000" s="6">
        <f>IF(ISERROR(VLOOKUP($T$1000,'TAR FIN'!$A$1:$O$115,15,0)),0,VLOOKUP($T$1000,'TAR FIN'!$A$1:$O$115,15,0))</f>
        <v>334.16</v>
      </c>
      <c r="X1000" s="6">
        <f>IF(ISERROR(VLOOKUP($U$1000,'TAR FIN'!$A$1:$O$115,15,0)),0,VLOOKUP($U$1000,'TAR FIN'!$A$1:$O$115,15,0))</f>
        <v>168.06</v>
      </c>
      <c r="Y1000" s="6"/>
      <c r="Z1000" s="6">
        <f ca="1">('TUSD BE'!$AM$36+'TUSD BF'!$AM$36+'TUSD CVA'!$AM$36)*1</f>
        <v>373.7403500897916</v>
      </c>
      <c r="AA1000" s="6">
        <f>('TE BE'!$AB$19+'TE BF'!$AB$19+'TE CVA'!$AB$19)*1</f>
        <v>218.6854278594964</v>
      </c>
      <c r="AB1000" s="6">
        <f>$K$1000*$V$1000</f>
        <v>0</v>
      </c>
      <c r="AC1000" s="6">
        <f>$M$1000*$W$1000</f>
        <v>13869.97912</v>
      </c>
      <c r="AD1000" s="6">
        <f>$O$1000*$X$1000</f>
        <v>6975.6664199999996</v>
      </c>
      <c r="AE1000" s="6">
        <f>$K$1000*$Y$1000</f>
        <v>0</v>
      </c>
      <c r="AF1000" s="6">
        <f ca="1">$M$1000*$Z$1000</f>
        <v>15512.840711176979</v>
      </c>
      <c r="AG1000" s="6">
        <f>$O$1000*$AA$1000</f>
        <v>9076.9760541641172</v>
      </c>
    </row>
    <row r="1001" spans="1:33" ht="11.25" customHeight="1" x14ac:dyDescent="0.25">
      <c r="A1001" s="4" t="s">
        <v>28</v>
      </c>
      <c r="B1001" s="4" t="s">
        <v>22</v>
      </c>
      <c r="C1001" s="4" t="s">
        <v>35</v>
      </c>
      <c r="D1001" s="4" t="s">
        <v>24</v>
      </c>
      <c r="E1001" s="4" t="s">
        <v>24</v>
      </c>
      <c r="F1001" s="4" t="s">
        <v>25</v>
      </c>
      <c r="G1001" s="4" t="s">
        <v>25</v>
      </c>
      <c r="H1001" s="4" t="s">
        <v>37</v>
      </c>
      <c r="I1001" s="5">
        <v>44682</v>
      </c>
      <c r="J1001" s="6">
        <v>0</v>
      </c>
      <c r="K1001" s="6">
        <v>0</v>
      </c>
      <c r="L1001" s="6">
        <v>1.042</v>
      </c>
      <c r="M1001" s="6">
        <v>1.042</v>
      </c>
      <c r="N1001" s="6">
        <v>1.042</v>
      </c>
      <c r="O1001" s="6">
        <v>1.042</v>
      </c>
      <c r="P1001" s="6">
        <v>0</v>
      </c>
      <c r="Q1001" s="4" t="s">
        <v>26</v>
      </c>
      <c r="R1001" s="4">
        <v>0</v>
      </c>
      <c r="S1001" s="6">
        <v>0</v>
      </c>
      <c r="T1001" s="6">
        <v>38</v>
      </c>
      <c r="U1001" s="6">
        <v>82</v>
      </c>
      <c r="V1001" s="6">
        <f>IF(ISERROR(VLOOKUP($S$1001,'TAR FIN'!$A$1:$O$115,15,0)),0,VLOOKUP($S$1001,'TAR FIN'!$A$1:$O$115,15,0))</f>
        <v>0</v>
      </c>
      <c r="W1001" s="6">
        <f>IF(ISERROR(VLOOKUP($T$1001,'TAR FIN'!$A$1:$O$115,15,0)),0,VLOOKUP($T$1001,'TAR FIN'!$A$1:$O$115,15,0))</f>
        <v>334.16</v>
      </c>
      <c r="X1001" s="6">
        <f>IF(ISERROR(VLOOKUP($U$1001,'TAR FIN'!$A$1:$O$115,15,0)),0,VLOOKUP($U$1001,'TAR FIN'!$A$1:$O$115,15,0))</f>
        <v>168.06</v>
      </c>
      <c r="Y1001" s="6"/>
      <c r="Z1001" s="6">
        <f ca="1">('TUSD BE'!$AM$36+'TUSD BF'!$AM$36+'TUSD CVA'!$AM$36)*1</f>
        <v>373.7403500897916</v>
      </c>
      <c r="AA1001" s="6">
        <f>('TE BE'!$AB$19+'TE BF'!$AB$19+'TE CVA'!$AB$19)*1</f>
        <v>218.6854278594964</v>
      </c>
      <c r="AB1001" s="6">
        <f>$K$1001*$V$1001</f>
        <v>0</v>
      </c>
      <c r="AC1001" s="6">
        <f>$M$1001*$W$1001</f>
        <v>348.19472000000002</v>
      </c>
      <c r="AD1001" s="6">
        <f>$O$1001*$X$1001</f>
        <v>175.11852000000002</v>
      </c>
      <c r="AE1001" s="6">
        <f>$K$1001*$Y$1001</f>
        <v>0</v>
      </c>
      <c r="AF1001" s="6">
        <f ca="1">$M$1001*$Z$1001</f>
        <v>389.43744479356286</v>
      </c>
      <c r="AG1001" s="6">
        <f>$O$1001*$AA$1001</f>
        <v>227.87021582959525</v>
      </c>
    </row>
    <row r="1002" spans="1:33" ht="11.25" customHeight="1" x14ac:dyDescent="0.25">
      <c r="A1002" s="4" t="s">
        <v>30</v>
      </c>
      <c r="B1002" s="4" t="s">
        <v>22</v>
      </c>
      <c r="C1002" s="4" t="s">
        <v>35</v>
      </c>
      <c r="D1002" s="4" t="s">
        <v>24</v>
      </c>
      <c r="E1002" s="4" t="s">
        <v>24</v>
      </c>
      <c r="F1002" s="4" t="s">
        <v>25</v>
      </c>
      <c r="G1002" s="4" t="s">
        <v>25</v>
      </c>
      <c r="H1002" s="4" t="s">
        <v>37</v>
      </c>
      <c r="I1002" s="5">
        <v>44682</v>
      </c>
      <c r="J1002" s="6">
        <v>0</v>
      </c>
      <c r="K1002" s="6">
        <v>0</v>
      </c>
      <c r="L1002" s="6">
        <v>0.316</v>
      </c>
      <c r="M1002" s="6">
        <v>0.316</v>
      </c>
      <c r="N1002" s="6">
        <v>0.316</v>
      </c>
      <c r="O1002" s="6">
        <v>0.316</v>
      </c>
      <c r="P1002" s="6">
        <v>0</v>
      </c>
      <c r="Q1002" s="4" t="s">
        <v>26</v>
      </c>
      <c r="R1002" s="4">
        <v>0</v>
      </c>
      <c r="S1002" s="6">
        <v>0</v>
      </c>
      <c r="T1002" s="6">
        <v>38</v>
      </c>
      <c r="U1002" s="6">
        <v>82</v>
      </c>
      <c r="V1002" s="6">
        <f>IF(ISERROR(VLOOKUP($S$1002,'TAR FIN'!$A$1:$O$115,15,0)),0,VLOOKUP($S$1002,'TAR FIN'!$A$1:$O$115,15,0))</f>
        <v>0</v>
      </c>
      <c r="W1002" s="6">
        <f>IF(ISERROR(VLOOKUP($T$1002,'TAR FIN'!$A$1:$O$115,15,0)),0,VLOOKUP($T$1002,'TAR FIN'!$A$1:$O$115,15,0))</f>
        <v>334.16</v>
      </c>
      <c r="X1002" s="6">
        <f>IF(ISERROR(VLOOKUP($U$1002,'TAR FIN'!$A$1:$O$115,15,0)),0,VLOOKUP($U$1002,'TAR FIN'!$A$1:$O$115,15,0))</f>
        <v>168.06</v>
      </c>
      <c r="Y1002" s="6"/>
      <c r="Z1002" s="6">
        <f ca="1">('TUSD BE'!$AM$36+'TUSD BF'!$AM$36+'TUSD CVA'!$AM$36)*1</f>
        <v>373.7403500897916</v>
      </c>
      <c r="AA1002" s="6">
        <f>('TE BE'!$AB$19+'TE BF'!$AB$19+'TE CVA'!$AB$19)*1</f>
        <v>218.6854278594964</v>
      </c>
      <c r="AB1002" s="6">
        <f>$K$1002*$V$1002</f>
        <v>0</v>
      </c>
      <c r="AC1002" s="6">
        <f>$M$1002*$W$1002</f>
        <v>105.59456000000002</v>
      </c>
      <c r="AD1002" s="6">
        <f>$O$1002*$X$1002</f>
        <v>53.106960000000001</v>
      </c>
      <c r="AE1002" s="6">
        <f>$K$1002*$Y$1002</f>
        <v>0</v>
      </c>
      <c r="AF1002" s="6">
        <f ca="1">$M$1002*$Z$1002</f>
        <v>118.10195062837415</v>
      </c>
      <c r="AG1002" s="6">
        <f>$O$1002*$AA$1002</f>
        <v>69.104595203600866</v>
      </c>
    </row>
    <row r="1003" spans="1:33" ht="11.25" customHeight="1" x14ac:dyDescent="0.25">
      <c r="A1003" s="4" t="s">
        <v>21</v>
      </c>
      <c r="B1003" s="4" t="s">
        <v>22</v>
      </c>
      <c r="C1003" s="4" t="s">
        <v>35</v>
      </c>
      <c r="D1003" s="4" t="s">
        <v>24</v>
      </c>
      <c r="E1003" s="4" t="s">
        <v>24</v>
      </c>
      <c r="F1003" s="4" t="s">
        <v>25</v>
      </c>
      <c r="G1003" s="4" t="s">
        <v>25</v>
      </c>
      <c r="H1003" s="4" t="s">
        <v>37</v>
      </c>
      <c r="I1003" s="5">
        <v>44713</v>
      </c>
      <c r="J1003" s="6">
        <v>0</v>
      </c>
      <c r="K1003" s="6">
        <v>0</v>
      </c>
      <c r="L1003" s="6">
        <v>36.055</v>
      </c>
      <c r="M1003" s="6">
        <v>36.055</v>
      </c>
      <c r="N1003" s="6">
        <v>36.055</v>
      </c>
      <c r="O1003" s="6">
        <v>36.055</v>
      </c>
      <c r="P1003" s="6">
        <v>0</v>
      </c>
      <c r="Q1003" s="4" t="s">
        <v>26</v>
      </c>
      <c r="R1003" s="4">
        <v>0</v>
      </c>
      <c r="S1003" s="6">
        <v>0</v>
      </c>
      <c r="T1003" s="6">
        <v>38</v>
      </c>
      <c r="U1003" s="6">
        <v>82</v>
      </c>
      <c r="V1003" s="6">
        <f>IF(ISERROR(VLOOKUP($S$1003,'TAR FIN'!$A$1:$O$115,15,0)),0,VLOOKUP($S$1003,'TAR FIN'!$A$1:$O$115,15,0))</f>
        <v>0</v>
      </c>
      <c r="W1003" s="6">
        <f>IF(ISERROR(VLOOKUP($T$1003,'TAR FIN'!$A$1:$O$115,15,0)),0,VLOOKUP($T$1003,'TAR FIN'!$A$1:$O$115,15,0))</f>
        <v>334.16</v>
      </c>
      <c r="X1003" s="6">
        <f>IF(ISERROR(VLOOKUP($U$1003,'TAR FIN'!$A$1:$O$115,15,0)),0,VLOOKUP($U$1003,'TAR FIN'!$A$1:$O$115,15,0))</f>
        <v>168.06</v>
      </c>
      <c r="Y1003" s="6"/>
      <c r="Z1003" s="6">
        <f ca="1">('TUSD BE'!$AM$36+'TUSD BF'!$AM$36+'TUSD CVA'!$AM$36)*1</f>
        <v>373.7403500897916</v>
      </c>
      <c r="AA1003" s="6">
        <f>('TE BE'!$AB$19+'TE BF'!$AB$19+'TE CVA'!$AB$19)*1</f>
        <v>218.6854278594964</v>
      </c>
      <c r="AB1003" s="6">
        <f>$K$1003*$V$1003</f>
        <v>0</v>
      </c>
      <c r="AC1003" s="6">
        <f>$M$1003*$W$1003</f>
        <v>12048.138800000001</v>
      </c>
      <c r="AD1003" s="6">
        <f>$O$1003*$X$1003</f>
        <v>6059.4032999999999</v>
      </c>
      <c r="AE1003" s="6">
        <f>$K$1003*$Y$1003</f>
        <v>0</v>
      </c>
      <c r="AF1003" s="6">
        <f ca="1">$M$1003*$Z$1003</f>
        <v>13475.208322487437</v>
      </c>
      <c r="AG1003" s="6">
        <f>$O$1003*$AA$1003</f>
        <v>7884.7031014741424</v>
      </c>
    </row>
    <row r="1004" spans="1:33" ht="11.25" customHeight="1" x14ac:dyDescent="0.25">
      <c r="A1004" s="4" t="s">
        <v>27</v>
      </c>
      <c r="B1004" s="4" t="s">
        <v>22</v>
      </c>
      <c r="C1004" s="4" t="s">
        <v>35</v>
      </c>
      <c r="D1004" s="4" t="s">
        <v>24</v>
      </c>
      <c r="E1004" s="4" t="s">
        <v>24</v>
      </c>
      <c r="F1004" s="4" t="s">
        <v>25</v>
      </c>
      <c r="G1004" s="4" t="s">
        <v>25</v>
      </c>
      <c r="H1004" s="4" t="s">
        <v>37</v>
      </c>
      <c r="I1004" s="5">
        <v>44713</v>
      </c>
      <c r="J1004" s="6">
        <v>0</v>
      </c>
      <c r="K1004" s="6">
        <v>0</v>
      </c>
      <c r="L1004" s="6">
        <v>-7.0999999999999994E-2</v>
      </c>
      <c r="M1004" s="6">
        <v>-7.0999999999999994E-2</v>
      </c>
      <c r="N1004" s="6">
        <v>-7.0999999999999994E-2</v>
      </c>
      <c r="O1004" s="6">
        <v>-7.0999999999999994E-2</v>
      </c>
      <c r="P1004" s="6">
        <v>0</v>
      </c>
      <c r="Q1004" s="4" t="s">
        <v>26</v>
      </c>
      <c r="R1004" s="4">
        <v>0</v>
      </c>
      <c r="S1004" s="6">
        <v>0</v>
      </c>
      <c r="T1004" s="6">
        <v>38</v>
      </c>
      <c r="U1004" s="6">
        <v>82</v>
      </c>
      <c r="V1004" s="6">
        <f>IF(ISERROR(VLOOKUP($S$1004,'TAR FIN'!$A$1:$O$115,15,0)),0,VLOOKUP($S$1004,'TAR FIN'!$A$1:$O$115,15,0))</f>
        <v>0</v>
      </c>
      <c r="W1004" s="6">
        <f>IF(ISERROR(VLOOKUP($T$1004,'TAR FIN'!$A$1:$O$115,15,0)),0,VLOOKUP($T$1004,'TAR FIN'!$A$1:$O$115,15,0))</f>
        <v>334.16</v>
      </c>
      <c r="X1004" s="6">
        <f>IF(ISERROR(VLOOKUP($U$1004,'TAR FIN'!$A$1:$O$115,15,0)),0,VLOOKUP($U$1004,'TAR FIN'!$A$1:$O$115,15,0))</f>
        <v>168.06</v>
      </c>
      <c r="Y1004" s="6"/>
      <c r="Z1004" s="6">
        <f ca="1">('TUSD BE'!$AM$36+'TUSD BF'!$AM$36+'TUSD CVA'!$AM$36)*1</f>
        <v>373.7403500897916</v>
      </c>
      <c r="AA1004" s="6">
        <f>('TE BE'!$AB$19+'TE BF'!$AB$19+'TE CVA'!$AB$19)*1</f>
        <v>218.6854278594964</v>
      </c>
      <c r="AB1004" s="6">
        <f>$K$1004*$V$1004</f>
        <v>0</v>
      </c>
      <c r="AC1004" s="6">
        <f>$M$1004*$W$1004</f>
        <v>-23.725359999999998</v>
      </c>
      <c r="AD1004" s="6">
        <f>$O$1004*$X$1004</f>
        <v>-11.932259999999999</v>
      </c>
      <c r="AE1004" s="6">
        <f>$K$1004*$Y$1004</f>
        <v>0</v>
      </c>
      <c r="AF1004" s="6">
        <f ca="1">$M$1004*$Z$1004</f>
        <v>-26.535564856375203</v>
      </c>
      <c r="AG1004" s="6">
        <f>$O$1004*$AA$1004</f>
        <v>-15.526665378024243</v>
      </c>
    </row>
    <row r="1005" spans="1:33" ht="11.25" customHeight="1" x14ac:dyDescent="0.25">
      <c r="A1005" s="4" t="s">
        <v>28</v>
      </c>
      <c r="B1005" s="4" t="s">
        <v>22</v>
      </c>
      <c r="C1005" s="4" t="s">
        <v>35</v>
      </c>
      <c r="D1005" s="4" t="s">
        <v>24</v>
      </c>
      <c r="E1005" s="4" t="s">
        <v>24</v>
      </c>
      <c r="F1005" s="4" t="s">
        <v>25</v>
      </c>
      <c r="G1005" s="4" t="s">
        <v>25</v>
      </c>
      <c r="H1005" s="4" t="s">
        <v>37</v>
      </c>
      <c r="I1005" s="5">
        <v>44713</v>
      </c>
      <c r="J1005" s="6">
        <v>0</v>
      </c>
      <c r="K1005" s="6">
        <v>0</v>
      </c>
      <c r="L1005" s="6">
        <v>0.94399999999999995</v>
      </c>
      <c r="M1005" s="6">
        <v>0.94399999999999995</v>
      </c>
      <c r="N1005" s="6">
        <v>0.94399999999999995</v>
      </c>
      <c r="O1005" s="6">
        <v>0.94399999999999995</v>
      </c>
      <c r="P1005" s="6">
        <v>0</v>
      </c>
      <c r="Q1005" s="4" t="s">
        <v>26</v>
      </c>
      <c r="R1005" s="4">
        <v>0</v>
      </c>
      <c r="S1005" s="6">
        <v>0</v>
      </c>
      <c r="T1005" s="6">
        <v>38</v>
      </c>
      <c r="U1005" s="6">
        <v>82</v>
      </c>
      <c r="V1005" s="6">
        <f>IF(ISERROR(VLOOKUP($S$1005,'TAR FIN'!$A$1:$O$115,15,0)),0,VLOOKUP($S$1005,'TAR FIN'!$A$1:$O$115,15,0))</f>
        <v>0</v>
      </c>
      <c r="W1005" s="6">
        <f>IF(ISERROR(VLOOKUP($T$1005,'TAR FIN'!$A$1:$O$115,15,0)),0,VLOOKUP($T$1005,'TAR FIN'!$A$1:$O$115,15,0))</f>
        <v>334.16</v>
      </c>
      <c r="X1005" s="6">
        <f>IF(ISERROR(VLOOKUP($U$1005,'TAR FIN'!$A$1:$O$115,15,0)),0,VLOOKUP($U$1005,'TAR FIN'!$A$1:$O$115,15,0))</f>
        <v>168.06</v>
      </c>
      <c r="Y1005" s="6"/>
      <c r="Z1005" s="6">
        <f ca="1">('TUSD BE'!$AM$36+'TUSD BF'!$AM$36+'TUSD CVA'!$AM$36)*1</f>
        <v>373.7403500897916</v>
      </c>
      <c r="AA1005" s="6">
        <f>('TE BE'!$AB$19+'TE BF'!$AB$19+'TE CVA'!$AB$19)*1</f>
        <v>218.6854278594964</v>
      </c>
      <c r="AB1005" s="6">
        <f>$K$1005*$V$1005</f>
        <v>0</v>
      </c>
      <c r="AC1005" s="6">
        <f>$M$1005*$W$1005</f>
        <v>315.44704000000002</v>
      </c>
      <c r="AD1005" s="6">
        <f>$O$1005*$X$1005</f>
        <v>158.64864</v>
      </c>
      <c r="AE1005" s="6">
        <f>$K$1005*$Y$1005</f>
        <v>0</v>
      </c>
      <c r="AF1005" s="6">
        <f ca="1">$M$1005*$Z$1005</f>
        <v>352.81089048476326</v>
      </c>
      <c r="AG1005" s="6">
        <f>$O$1005*$AA$1005</f>
        <v>206.43904389936458</v>
      </c>
    </row>
    <row r="1006" spans="1:33" ht="11.25" customHeight="1" x14ac:dyDescent="0.25">
      <c r="A1006" s="4" t="s">
        <v>21</v>
      </c>
      <c r="B1006" s="4" t="s">
        <v>22</v>
      </c>
      <c r="C1006" s="4" t="s">
        <v>35</v>
      </c>
      <c r="D1006" s="4" t="s">
        <v>24</v>
      </c>
      <c r="E1006" s="4" t="s">
        <v>24</v>
      </c>
      <c r="F1006" s="4" t="s">
        <v>25</v>
      </c>
      <c r="G1006" s="4" t="s">
        <v>25</v>
      </c>
      <c r="H1006" s="4" t="s">
        <v>37</v>
      </c>
      <c r="I1006" s="5">
        <v>44743</v>
      </c>
      <c r="J1006" s="6">
        <v>0</v>
      </c>
      <c r="K1006" s="6">
        <v>0</v>
      </c>
      <c r="L1006" s="6">
        <v>39.475000000000001</v>
      </c>
      <c r="M1006" s="6">
        <v>39.475000000000001</v>
      </c>
      <c r="N1006" s="6">
        <v>39.475000000000001</v>
      </c>
      <c r="O1006" s="6">
        <v>39.475000000000001</v>
      </c>
      <c r="P1006" s="6">
        <v>0</v>
      </c>
      <c r="Q1006" s="4" t="s">
        <v>26</v>
      </c>
      <c r="R1006" s="4">
        <v>0</v>
      </c>
      <c r="S1006" s="6">
        <v>0</v>
      </c>
      <c r="T1006" s="6">
        <v>38</v>
      </c>
      <c r="U1006" s="6">
        <v>82</v>
      </c>
      <c r="V1006" s="6">
        <f>IF(ISERROR(VLOOKUP($S$1006,'TAR FIN'!$A$1:$O$115,15,0)),0,VLOOKUP($S$1006,'TAR FIN'!$A$1:$O$115,15,0))</f>
        <v>0</v>
      </c>
      <c r="W1006" s="6">
        <f>IF(ISERROR(VLOOKUP($T$1006,'TAR FIN'!$A$1:$O$115,15,0)),0,VLOOKUP($T$1006,'TAR FIN'!$A$1:$O$115,15,0))</f>
        <v>334.16</v>
      </c>
      <c r="X1006" s="6">
        <f>IF(ISERROR(VLOOKUP($U$1006,'TAR FIN'!$A$1:$O$115,15,0)),0,VLOOKUP($U$1006,'TAR FIN'!$A$1:$O$115,15,0))</f>
        <v>168.06</v>
      </c>
      <c r="Y1006" s="6"/>
      <c r="Z1006" s="6">
        <f ca="1">('TUSD BE'!$AM$36+'TUSD BF'!$AM$36+'TUSD CVA'!$AM$36)*1</f>
        <v>373.7403500897916</v>
      </c>
      <c r="AA1006" s="6">
        <f>('TE BE'!$AB$19+'TE BF'!$AB$19+'TE CVA'!$AB$19)*1</f>
        <v>218.6854278594964</v>
      </c>
      <c r="AB1006" s="6">
        <f>$K$1006*$V$1006</f>
        <v>0</v>
      </c>
      <c r="AC1006" s="6">
        <f>$M$1006*$W$1006</f>
        <v>13190.966000000002</v>
      </c>
      <c r="AD1006" s="6">
        <f>$O$1006*$X$1006</f>
        <v>6634.1685000000007</v>
      </c>
      <c r="AE1006" s="6">
        <f>$K$1006*$Y$1006</f>
        <v>0</v>
      </c>
      <c r="AF1006" s="6">
        <f ca="1">$M$1006*$Z$1006</f>
        <v>14753.400319794524</v>
      </c>
      <c r="AG1006" s="6">
        <f>$O$1006*$AA$1006</f>
        <v>8632.6072647536203</v>
      </c>
    </row>
    <row r="1007" spans="1:33" ht="11.25" customHeight="1" x14ac:dyDescent="0.25">
      <c r="A1007" s="4" t="s">
        <v>28</v>
      </c>
      <c r="B1007" s="4" t="s">
        <v>22</v>
      </c>
      <c r="C1007" s="4" t="s">
        <v>35</v>
      </c>
      <c r="D1007" s="4" t="s">
        <v>24</v>
      </c>
      <c r="E1007" s="4" t="s">
        <v>24</v>
      </c>
      <c r="F1007" s="4" t="s">
        <v>25</v>
      </c>
      <c r="G1007" s="4" t="s">
        <v>25</v>
      </c>
      <c r="H1007" s="4" t="s">
        <v>37</v>
      </c>
      <c r="I1007" s="5">
        <v>44743</v>
      </c>
      <c r="J1007" s="6">
        <v>0</v>
      </c>
      <c r="K1007" s="6">
        <v>0</v>
      </c>
      <c r="L1007" s="6">
        <v>1.0509999999999999</v>
      </c>
      <c r="M1007" s="6">
        <v>1.0509999999999999</v>
      </c>
      <c r="N1007" s="6">
        <v>1.0509999999999999</v>
      </c>
      <c r="O1007" s="6">
        <v>1.0509999999999999</v>
      </c>
      <c r="P1007" s="6">
        <v>0</v>
      </c>
      <c r="Q1007" s="4" t="s">
        <v>26</v>
      </c>
      <c r="R1007" s="4">
        <v>0</v>
      </c>
      <c r="S1007" s="6">
        <v>0</v>
      </c>
      <c r="T1007" s="6">
        <v>38</v>
      </c>
      <c r="U1007" s="6">
        <v>82</v>
      </c>
      <c r="V1007" s="6">
        <f>IF(ISERROR(VLOOKUP($S$1007,'TAR FIN'!$A$1:$O$115,15,0)),0,VLOOKUP($S$1007,'TAR FIN'!$A$1:$O$115,15,0))</f>
        <v>0</v>
      </c>
      <c r="W1007" s="6">
        <f>IF(ISERROR(VLOOKUP($T$1007,'TAR FIN'!$A$1:$O$115,15,0)),0,VLOOKUP($T$1007,'TAR FIN'!$A$1:$O$115,15,0))</f>
        <v>334.16</v>
      </c>
      <c r="X1007" s="6">
        <f>IF(ISERROR(VLOOKUP($U$1007,'TAR FIN'!$A$1:$O$115,15,0)),0,VLOOKUP($U$1007,'TAR FIN'!$A$1:$O$115,15,0))</f>
        <v>168.06</v>
      </c>
      <c r="Y1007" s="6"/>
      <c r="Z1007" s="6">
        <f ca="1">('TUSD BE'!$AM$36+'TUSD BF'!$AM$36+'TUSD CVA'!$AM$36)*1</f>
        <v>373.7403500897916</v>
      </c>
      <c r="AA1007" s="6">
        <f>('TE BE'!$AB$19+'TE BF'!$AB$19+'TE CVA'!$AB$19)*1</f>
        <v>218.6854278594964</v>
      </c>
      <c r="AB1007" s="6">
        <f>$K$1007*$V$1007</f>
        <v>0</v>
      </c>
      <c r="AC1007" s="6">
        <f>$M$1007*$W$1007</f>
        <v>351.20215999999999</v>
      </c>
      <c r="AD1007" s="6">
        <f>$O$1007*$X$1007</f>
        <v>176.63105999999999</v>
      </c>
      <c r="AE1007" s="6">
        <f>$K$1007*$Y$1007</f>
        <v>0</v>
      </c>
      <c r="AF1007" s="6">
        <f ca="1">$M$1007*$Z$1007</f>
        <v>392.80110794437093</v>
      </c>
      <c r="AG1007" s="6">
        <f>$O$1007*$AA$1007</f>
        <v>229.83838468033071</v>
      </c>
    </row>
    <row r="1008" spans="1:33" ht="11.25" customHeight="1" x14ac:dyDescent="0.25">
      <c r="A1008" s="4" t="s">
        <v>30</v>
      </c>
      <c r="B1008" s="4" t="s">
        <v>22</v>
      </c>
      <c r="C1008" s="4" t="s">
        <v>35</v>
      </c>
      <c r="D1008" s="4" t="s">
        <v>24</v>
      </c>
      <c r="E1008" s="4" t="s">
        <v>24</v>
      </c>
      <c r="F1008" s="4" t="s">
        <v>25</v>
      </c>
      <c r="G1008" s="4" t="s">
        <v>25</v>
      </c>
      <c r="H1008" s="4" t="s">
        <v>37</v>
      </c>
      <c r="I1008" s="5">
        <v>44743</v>
      </c>
      <c r="J1008" s="6">
        <v>0</v>
      </c>
      <c r="K1008" s="6">
        <v>0</v>
      </c>
      <c r="L1008" s="6">
        <v>0.63</v>
      </c>
      <c r="M1008" s="6">
        <v>0.63</v>
      </c>
      <c r="N1008" s="6">
        <v>0.63</v>
      </c>
      <c r="O1008" s="6">
        <v>0.63</v>
      </c>
      <c r="P1008" s="6">
        <v>0</v>
      </c>
      <c r="Q1008" s="4" t="s">
        <v>26</v>
      </c>
      <c r="R1008" s="4">
        <v>0</v>
      </c>
      <c r="S1008" s="6">
        <v>0</v>
      </c>
      <c r="T1008" s="6">
        <v>38</v>
      </c>
      <c r="U1008" s="6">
        <v>82</v>
      </c>
      <c r="V1008" s="6">
        <f>IF(ISERROR(VLOOKUP($S$1008,'TAR FIN'!$A$1:$O$115,15,0)),0,VLOOKUP($S$1008,'TAR FIN'!$A$1:$O$115,15,0))</f>
        <v>0</v>
      </c>
      <c r="W1008" s="6">
        <f>IF(ISERROR(VLOOKUP($T$1008,'TAR FIN'!$A$1:$O$115,15,0)),0,VLOOKUP($T$1008,'TAR FIN'!$A$1:$O$115,15,0))</f>
        <v>334.16</v>
      </c>
      <c r="X1008" s="6">
        <f>IF(ISERROR(VLOOKUP($U$1008,'TAR FIN'!$A$1:$O$115,15,0)),0,VLOOKUP($U$1008,'TAR FIN'!$A$1:$O$115,15,0))</f>
        <v>168.06</v>
      </c>
      <c r="Y1008" s="6"/>
      <c r="Z1008" s="6">
        <f ca="1">('TUSD BE'!$AM$36+'TUSD BF'!$AM$36+'TUSD CVA'!$AM$36)*1</f>
        <v>373.7403500897916</v>
      </c>
      <c r="AA1008" s="6">
        <f>('TE BE'!$AB$19+'TE BF'!$AB$19+'TE CVA'!$AB$19)*1</f>
        <v>218.6854278594964</v>
      </c>
      <c r="AB1008" s="6">
        <f>$K$1008*$V$1008</f>
        <v>0</v>
      </c>
      <c r="AC1008" s="6">
        <f>$M$1008*$W$1008</f>
        <v>210.52080000000001</v>
      </c>
      <c r="AD1008" s="6">
        <f>$O$1008*$X$1008</f>
        <v>105.87780000000001</v>
      </c>
      <c r="AE1008" s="6">
        <f>$K$1008*$Y$1008</f>
        <v>0</v>
      </c>
      <c r="AF1008" s="6">
        <f ca="1">$M$1008*$Z$1008</f>
        <v>235.4564205565687</v>
      </c>
      <c r="AG1008" s="6">
        <f>$O$1008*$AA$1008</f>
        <v>137.77181955148274</v>
      </c>
    </row>
    <row r="1009" spans="1:33" ht="11.25" customHeight="1" x14ac:dyDescent="0.25">
      <c r="A1009" s="4" t="s">
        <v>21</v>
      </c>
      <c r="B1009" s="4" t="s">
        <v>22</v>
      </c>
      <c r="C1009" s="4" t="s">
        <v>35</v>
      </c>
      <c r="D1009" s="4" t="s">
        <v>24</v>
      </c>
      <c r="E1009" s="4" t="s">
        <v>24</v>
      </c>
      <c r="F1009" s="4" t="s">
        <v>25</v>
      </c>
      <c r="G1009" s="4" t="s">
        <v>25</v>
      </c>
      <c r="H1009" s="4" t="s">
        <v>37</v>
      </c>
      <c r="I1009" s="5">
        <v>44774</v>
      </c>
      <c r="J1009" s="6">
        <v>0</v>
      </c>
      <c r="K1009" s="6">
        <v>0</v>
      </c>
      <c r="L1009" s="6">
        <v>45.003</v>
      </c>
      <c r="M1009" s="6">
        <v>45.003</v>
      </c>
      <c r="N1009" s="6">
        <v>45.003</v>
      </c>
      <c r="O1009" s="6">
        <v>45.003</v>
      </c>
      <c r="P1009" s="6">
        <v>0</v>
      </c>
      <c r="Q1009" s="4" t="s">
        <v>26</v>
      </c>
      <c r="R1009" s="4">
        <v>0</v>
      </c>
      <c r="S1009" s="6">
        <v>0</v>
      </c>
      <c r="T1009" s="6">
        <v>38</v>
      </c>
      <c r="U1009" s="6">
        <v>82</v>
      </c>
      <c r="V1009" s="6">
        <f>IF(ISERROR(VLOOKUP($S$1009,'TAR FIN'!$A$1:$O$115,15,0)),0,VLOOKUP($S$1009,'TAR FIN'!$A$1:$O$115,15,0))</f>
        <v>0</v>
      </c>
      <c r="W1009" s="6">
        <f>IF(ISERROR(VLOOKUP($T$1009,'TAR FIN'!$A$1:$O$115,15,0)),0,VLOOKUP($T$1009,'TAR FIN'!$A$1:$O$115,15,0))</f>
        <v>334.16</v>
      </c>
      <c r="X1009" s="6">
        <f>IF(ISERROR(VLOOKUP($U$1009,'TAR FIN'!$A$1:$O$115,15,0)),0,VLOOKUP($U$1009,'TAR FIN'!$A$1:$O$115,15,0))</f>
        <v>168.06</v>
      </c>
      <c r="Y1009" s="6"/>
      <c r="Z1009" s="6">
        <f ca="1">('TUSD BE'!$AM$36+'TUSD BF'!$AM$36+'TUSD CVA'!$AM$36)*1</f>
        <v>373.7403500897916</v>
      </c>
      <c r="AA1009" s="6">
        <f>('TE BE'!$AB$19+'TE BF'!$AB$19+'TE CVA'!$AB$19)*1</f>
        <v>218.6854278594964</v>
      </c>
      <c r="AB1009" s="6">
        <f>$K$1009*$V$1009</f>
        <v>0</v>
      </c>
      <c r="AC1009" s="6">
        <f>$M$1009*$W$1009</f>
        <v>15038.202480000002</v>
      </c>
      <c r="AD1009" s="6">
        <f>$O$1009*$X$1009</f>
        <v>7563.2041799999997</v>
      </c>
      <c r="AE1009" s="6">
        <f>$K$1009*$Y$1009</f>
        <v>0</v>
      </c>
      <c r="AF1009" s="6">
        <f ca="1">$M$1009*$Z$1009</f>
        <v>16819.436975090892</v>
      </c>
      <c r="AG1009" s="6">
        <f>$O$1009*$AA$1009</f>
        <v>9841.5003099609166</v>
      </c>
    </row>
    <row r="1010" spans="1:33" ht="11.25" customHeight="1" x14ac:dyDescent="0.25">
      <c r="A1010" s="4" t="s">
        <v>27</v>
      </c>
      <c r="B1010" s="4" t="s">
        <v>22</v>
      </c>
      <c r="C1010" s="4" t="s">
        <v>35</v>
      </c>
      <c r="D1010" s="4" t="s">
        <v>24</v>
      </c>
      <c r="E1010" s="4" t="s">
        <v>24</v>
      </c>
      <c r="F1010" s="4" t="s">
        <v>25</v>
      </c>
      <c r="G1010" s="4" t="s">
        <v>25</v>
      </c>
      <c r="H1010" s="4" t="s">
        <v>37</v>
      </c>
      <c r="I1010" s="5">
        <v>44774</v>
      </c>
      <c r="J1010" s="6">
        <v>0</v>
      </c>
      <c r="K1010" s="6">
        <v>0</v>
      </c>
      <c r="L1010" s="6">
        <v>0.23599999999999999</v>
      </c>
      <c r="M1010" s="6">
        <v>0.23599999999999999</v>
      </c>
      <c r="N1010" s="6">
        <v>0.23599999999999999</v>
      </c>
      <c r="O1010" s="6">
        <v>0.23599999999999999</v>
      </c>
      <c r="P1010" s="6">
        <v>0</v>
      </c>
      <c r="Q1010" s="4" t="s">
        <v>26</v>
      </c>
      <c r="R1010" s="4">
        <v>0</v>
      </c>
      <c r="S1010" s="6">
        <v>0</v>
      </c>
      <c r="T1010" s="6">
        <v>38</v>
      </c>
      <c r="U1010" s="6">
        <v>82</v>
      </c>
      <c r="V1010" s="6">
        <f>IF(ISERROR(VLOOKUP($S$1010,'TAR FIN'!$A$1:$O$115,15,0)),0,VLOOKUP($S$1010,'TAR FIN'!$A$1:$O$115,15,0))</f>
        <v>0</v>
      </c>
      <c r="W1010" s="6">
        <f>IF(ISERROR(VLOOKUP($T$1010,'TAR FIN'!$A$1:$O$115,15,0)),0,VLOOKUP($T$1010,'TAR FIN'!$A$1:$O$115,15,0))</f>
        <v>334.16</v>
      </c>
      <c r="X1010" s="6">
        <f>IF(ISERROR(VLOOKUP($U$1010,'TAR FIN'!$A$1:$O$115,15,0)),0,VLOOKUP($U$1010,'TAR FIN'!$A$1:$O$115,15,0))</f>
        <v>168.06</v>
      </c>
      <c r="Y1010" s="6"/>
      <c r="Z1010" s="6">
        <f ca="1">('TUSD BE'!$AM$36+'TUSD BF'!$AM$36+'TUSD CVA'!$AM$36)*1</f>
        <v>373.7403500897916</v>
      </c>
      <c r="AA1010" s="6">
        <f>('TE BE'!$AB$19+'TE BF'!$AB$19+'TE CVA'!$AB$19)*1</f>
        <v>218.6854278594964</v>
      </c>
      <c r="AB1010" s="6">
        <f>$K$1010*$V$1010</f>
        <v>0</v>
      </c>
      <c r="AC1010" s="6">
        <f>$M$1010*$W$1010</f>
        <v>78.861760000000004</v>
      </c>
      <c r="AD1010" s="6">
        <f>$O$1010*$X$1010</f>
        <v>39.66216</v>
      </c>
      <c r="AE1010" s="6">
        <f>$K$1010*$Y$1010</f>
        <v>0</v>
      </c>
      <c r="AF1010" s="6">
        <f ca="1">$M$1010*$Z$1010</f>
        <v>88.202722621190816</v>
      </c>
      <c r="AG1010" s="6">
        <f>$O$1010*$AA$1010</f>
        <v>51.609760974841144</v>
      </c>
    </row>
    <row r="1011" spans="1:33" ht="11.25" customHeight="1" x14ac:dyDescent="0.25">
      <c r="A1011" s="4" t="s">
        <v>28</v>
      </c>
      <c r="B1011" s="4" t="s">
        <v>22</v>
      </c>
      <c r="C1011" s="4" t="s">
        <v>35</v>
      </c>
      <c r="D1011" s="4" t="s">
        <v>24</v>
      </c>
      <c r="E1011" s="4" t="s">
        <v>24</v>
      </c>
      <c r="F1011" s="4" t="s">
        <v>25</v>
      </c>
      <c r="G1011" s="4" t="s">
        <v>25</v>
      </c>
      <c r="H1011" s="4" t="s">
        <v>37</v>
      </c>
      <c r="I1011" s="5">
        <v>44774</v>
      </c>
      <c r="J1011" s="6">
        <v>0</v>
      </c>
      <c r="K1011" s="6">
        <v>0</v>
      </c>
      <c r="L1011" s="6">
        <v>1.0660000000000001</v>
      </c>
      <c r="M1011" s="6">
        <v>1.0660000000000001</v>
      </c>
      <c r="N1011" s="6">
        <v>1.0660000000000001</v>
      </c>
      <c r="O1011" s="6">
        <v>1.0660000000000001</v>
      </c>
      <c r="P1011" s="6">
        <v>0</v>
      </c>
      <c r="Q1011" s="4" t="s">
        <v>26</v>
      </c>
      <c r="R1011" s="4">
        <v>0</v>
      </c>
      <c r="S1011" s="6">
        <v>0</v>
      </c>
      <c r="T1011" s="6">
        <v>38</v>
      </c>
      <c r="U1011" s="6">
        <v>82</v>
      </c>
      <c r="V1011" s="6">
        <f>IF(ISERROR(VLOOKUP($S$1011,'TAR FIN'!$A$1:$O$115,15,0)),0,VLOOKUP($S$1011,'TAR FIN'!$A$1:$O$115,15,0))</f>
        <v>0</v>
      </c>
      <c r="W1011" s="6">
        <f>IF(ISERROR(VLOOKUP($T$1011,'TAR FIN'!$A$1:$O$115,15,0)),0,VLOOKUP($T$1011,'TAR FIN'!$A$1:$O$115,15,0))</f>
        <v>334.16</v>
      </c>
      <c r="X1011" s="6">
        <f>IF(ISERROR(VLOOKUP($U$1011,'TAR FIN'!$A$1:$O$115,15,0)),0,VLOOKUP($U$1011,'TAR FIN'!$A$1:$O$115,15,0))</f>
        <v>168.06</v>
      </c>
      <c r="Y1011" s="6"/>
      <c r="Z1011" s="6">
        <f ca="1">('TUSD BE'!$AM$36+'TUSD BF'!$AM$36+'TUSD CVA'!$AM$36)*1</f>
        <v>373.7403500897916</v>
      </c>
      <c r="AA1011" s="6">
        <f>('TE BE'!$AB$19+'TE BF'!$AB$19+'TE CVA'!$AB$19)*1</f>
        <v>218.6854278594964</v>
      </c>
      <c r="AB1011" s="6">
        <f>$K$1011*$V$1011</f>
        <v>0</v>
      </c>
      <c r="AC1011" s="6">
        <f>$M$1011*$W$1011</f>
        <v>356.21456000000006</v>
      </c>
      <c r="AD1011" s="6">
        <f>$O$1011*$X$1011</f>
        <v>179.15196</v>
      </c>
      <c r="AE1011" s="6">
        <f>$K$1011*$Y$1011</f>
        <v>0</v>
      </c>
      <c r="AF1011" s="6">
        <f ca="1">$M$1011*$Z$1011</f>
        <v>398.40721319571787</v>
      </c>
      <c r="AG1011" s="6">
        <f>$O$1011*$AA$1011</f>
        <v>233.11866609822317</v>
      </c>
    </row>
    <row r="1012" spans="1:33" ht="11.25" customHeight="1" x14ac:dyDescent="0.25">
      <c r="A1012" s="4" t="s">
        <v>30</v>
      </c>
      <c r="B1012" s="4" t="s">
        <v>22</v>
      </c>
      <c r="C1012" s="4" t="s">
        <v>35</v>
      </c>
      <c r="D1012" s="4" t="s">
        <v>24</v>
      </c>
      <c r="E1012" s="4" t="s">
        <v>24</v>
      </c>
      <c r="F1012" s="4" t="s">
        <v>25</v>
      </c>
      <c r="G1012" s="4" t="s">
        <v>25</v>
      </c>
      <c r="H1012" s="4" t="s">
        <v>37</v>
      </c>
      <c r="I1012" s="5">
        <v>44774</v>
      </c>
      <c r="J1012" s="6">
        <v>0</v>
      </c>
      <c r="K1012" s="6">
        <v>0</v>
      </c>
      <c r="L1012" s="6">
        <v>0.183</v>
      </c>
      <c r="M1012" s="6">
        <v>0.183</v>
      </c>
      <c r="N1012" s="6">
        <v>0.183</v>
      </c>
      <c r="O1012" s="6">
        <v>0.183</v>
      </c>
      <c r="P1012" s="6">
        <v>0</v>
      </c>
      <c r="Q1012" s="4" t="s">
        <v>26</v>
      </c>
      <c r="R1012" s="4">
        <v>0</v>
      </c>
      <c r="S1012" s="6">
        <v>0</v>
      </c>
      <c r="T1012" s="6">
        <v>38</v>
      </c>
      <c r="U1012" s="6">
        <v>82</v>
      </c>
      <c r="V1012" s="6">
        <f>IF(ISERROR(VLOOKUP($S$1012,'TAR FIN'!$A$1:$O$115,15,0)),0,VLOOKUP($S$1012,'TAR FIN'!$A$1:$O$115,15,0))</f>
        <v>0</v>
      </c>
      <c r="W1012" s="6">
        <f>IF(ISERROR(VLOOKUP($T$1012,'TAR FIN'!$A$1:$O$115,15,0)),0,VLOOKUP($T$1012,'TAR FIN'!$A$1:$O$115,15,0))</f>
        <v>334.16</v>
      </c>
      <c r="X1012" s="6">
        <f>IF(ISERROR(VLOOKUP($U$1012,'TAR FIN'!$A$1:$O$115,15,0)),0,VLOOKUP($U$1012,'TAR FIN'!$A$1:$O$115,15,0))</f>
        <v>168.06</v>
      </c>
      <c r="Y1012" s="6"/>
      <c r="Z1012" s="6">
        <f ca="1">('TUSD BE'!$AM$36+'TUSD BF'!$AM$36+'TUSD CVA'!$AM$36)*1</f>
        <v>373.7403500897916</v>
      </c>
      <c r="AA1012" s="6">
        <f>('TE BE'!$AB$19+'TE BF'!$AB$19+'TE CVA'!$AB$19)*1</f>
        <v>218.6854278594964</v>
      </c>
      <c r="AB1012" s="6">
        <f>$K$1012*$V$1012</f>
        <v>0</v>
      </c>
      <c r="AC1012" s="6">
        <f>$M$1012*$W$1012</f>
        <v>61.15128</v>
      </c>
      <c r="AD1012" s="6">
        <f>$O$1012*$X$1012</f>
        <v>30.75498</v>
      </c>
      <c r="AE1012" s="6">
        <f>$K$1012*$Y$1012</f>
        <v>0</v>
      </c>
      <c r="AF1012" s="6">
        <f ca="1">$M$1012*$Z$1012</f>
        <v>68.394484066431858</v>
      </c>
      <c r="AG1012" s="6">
        <f>$O$1012*$AA$1012</f>
        <v>40.019433298287844</v>
      </c>
    </row>
    <row r="1013" spans="1:33" ht="11.25" customHeight="1" x14ac:dyDescent="0.25">
      <c r="A1013" s="4" t="s">
        <v>21</v>
      </c>
      <c r="B1013" s="4" t="s">
        <v>22</v>
      </c>
      <c r="C1013" s="4" t="s">
        <v>35</v>
      </c>
      <c r="D1013" s="4" t="s">
        <v>24</v>
      </c>
      <c r="E1013" s="4" t="s">
        <v>24</v>
      </c>
      <c r="F1013" s="4" t="s">
        <v>25</v>
      </c>
      <c r="G1013" s="4" t="s">
        <v>25</v>
      </c>
      <c r="H1013" s="4" t="s">
        <v>37</v>
      </c>
      <c r="I1013" s="5">
        <v>44805</v>
      </c>
      <c r="J1013" s="6">
        <v>0</v>
      </c>
      <c r="K1013" s="6">
        <v>0</v>
      </c>
      <c r="L1013" s="6">
        <v>43.962000000000003</v>
      </c>
      <c r="M1013" s="6">
        <v>43.962000000000003</v>
      </c>
      <c r="N1013" s="6">
        <v>43.962000000000003</v>
      </c>
      <c r="O1013" s="6">
        <v>43.962000000000003</v>
      </c>
      <c r="P1013" s="6">
        <v>0</v>
      </c>
      <c r="Q1013" s="4" t="s">
        <v>26</v>
      </c>
      <c r="R1013" s="4">
        <v>0</v>
      </c>
      <c r="S1013" s="6">
        <v>0</v>
      </c>
      <c r="T1013" s="6">
        <v>38</v>
      </c>
      <c r="U1013" s="6">
        <v>82</v>
      </c>
      <c r="V1013" s="6">
        <f>IF(ISERROR(VLOOKUP($S$1013,'TAR FIN'!$A$1:$O$115,15,0)),0,VLOOKUP($S$1013,'TAR FIN'!$A$1:$O$115,15,0))</f>
        <v>0</v>
      </c>
      <c r="W1013" s="6">
        <f>IF(ISERROR(VLOOKUP($T$1013,'TAR FIN'!$A$1:$O$115,15,0)),0,VLOOKUP($T$1013,'TAR FIN'!$A$1:$O$115,15,0))</f>
        <v>334.16</v>
      </c>
      <c r="X1013" s="6">
        <f>IF(ISERROR(VLOOKUP($U$1013,'TAR FIN'!$A$1:$O$115,15,0)),0,VLOOKUP($U$1013,'TAR FIN'!$A$1:$O$115,15,0))</f>
        <v>168.06</v>
      </c>
      <c r="Y1013" s="6"/>
      <c r="Z1013" s="6">
        <f ca="1">('TUSD BE'!$AM$36+'TUSD BF'!$AM$36+'TUSD CVA'!$AM$36)*1</f>
        <v>373.7403500897916</v>
      </c>
      <c r="AA1013" s="6">
        <f>('TE BE'!$AB$19+'TE BF'!$AB$19+'TE CVA'!$AB$19)*1</f>
        <v>218.6854278594964</v>
      </c>
      <c r="AB1013" s="6">
        <f>$K$1013*$V$1013</f>
        <v>0</v>
      </c>
      <c r="AC1013" s="6">
        <f>$M$1013*$W$1013</f>
        <v>14690.341920000003</v>
      </c>
      <c r="AD1013" s="6">
        <f>$O$1013*$X$1013</f>
        <v>7388.2537200000006</v>
      </c>
      <c r="AE1013" s="6">
        <f>$K$1013*$Y$1013</f>
        <v>0</v>
      </c>
      <c r="AF1013" s="6">
        <f ca="1">$M$1013*$Z$1013</f>
        <v>16430.373270647418</v>
      </c>
      <c r="AG1013" s="6">
        <f>$O$1013*$AA$1013</f>
        <v>9613.8487795591809</v>
      </c>
    </row>
    <row r="1014" spans="1:33" ht="11.25" customHeight="1" x14ac:dyDescent="0.25">
      <c r="A1014" s="4" t="s">
        <v>27</v>
      </c>
      <c r="B1014" s="4" t="s">
        <v>22</v>
      </c>
      <c r="C1014" s="4" t="s">
        <v>35</v>
      </c>
      <c r="D1014" s="4" t="s">
        <v>24</v>
      </c>
      <c r="E1014" s="4" t="s">
        <v>24</v>
      </c>
      <c r="F1014" s="4" t="s">
        <v>25</v>
      </c>
      <c r="G1014" s="4" t="s">
        <v>25</v>
      </c>
      <c r="H1014" s="4" t="s">
        <v>37</v>
      </c>
      <c r="I1014" s="5">
        <v>44805</v>
      </c>
      <c r="J1014" s="6">
        <v>0</v>
      </c>
      <c r="K1014" s="6">
        <v>0</v>
      </c>
      <c r="L1014" s="6">
        <v>-1.2999999999999999E-2</v>
      </c>
      <c r="M1014" s="6">
        <v>-1.2999999999999999E-2</v>
      </c>
      <c r="N1014" s="6">
        <v>-1.2999999999999999E-2</v>
      </c>
      <c r="O1014" s="6">
        <v>-1.2999999999999999E-2</v>
      </c>
      <c r="P1014" s="6">
        <v>0</v>
      </c>
      <c r="Q1014" s="4" t="s">
        <v>26</v>
      </c>
      <c r="R1014" s="4">
        <v>0</v>
      </c>
      <c r="S1014" s="6">
        <v>0</v>
      </c>
      <c r="T1014" s="6">
        <v>38</v>
      </c>
      <c r="U1014" s="6">
        <v>82</v>
      </c>
      <c r="V1014" s="6">
        <f>IF(ISERROR(VLOOKUP($S$1014,'TAR FIN'!$A$1:$O$115,15,0)),0,VLOOKUP($S$1014,'TAR FIN'!$A$1:$O$115,15,0))</f>
        <v>0</v>
      </c>
      <c r="W1014" s="6">
        <f>IF(ISERROR(VLOOKUP($T$1014,'TAR FIN'!$A$1:$O$115,15,0)),0,VLOOKUP($T$1014,'TAR FIN'!$A$1:$O$115,15,0))</f>
        <v>334.16</v>
      </c>
      <c r="X1014" s="6">
        <f>IF(ISERROR(VLOOKUP($U$1014,'TAR FIN'!$A$1:$O$115,15,0)),0,VLOOKUP($U$1014,'TAR FIN'!$A$1:$O$115,15,0))</f>
        <v>168.06</v>
      </c>
      <c r="Y1014" s="6"/>
      <c r="Z1014" s="6">
        <f ca="1">('TUSD BE'!$AM$36+'TUSD BF'!$AM$36+'TUSD CVA'!$AM$36)*1</f>
        <v>373.7403500897916</v>
      </c>
      <c r="AA1014" s="6">
        <f>('TE BE'!$AB$19+'TE BF'!$AB$19+'TE CVA'!$AB$19)*1</f>
        <v>218.6854278594964</v>
      </c>
      <c r="AB1014" s="6">
        <f>$K$1014*$V$1014</f>
        <v>0</v>
      </c>
      <c r="AC1014" s="6">
        <f>$M$1014*$W$1014</f>
        <v>-4.3440799999999999</v>
      </c>
      <c r="AD1014" s="6">
        <f>$O$1014*$X$1014</f>
        <v>-2.1847799999999999</v>
      </c>
      <c r="AE1014" s="6">
        <f>$K$1014*$Y$1014</f>
        <v>0</v>
      </c>
      <c r="AF1014" s="6">
        <f ca="1">$M$1014*$Z$1014</f>
        <v>-4.8586245511672903</v>
      </c>
      <c r="AG1014" s="6">
        <f>$O$1014*$AA$1014</f>
        <v>-2.8429105621734529</v>
      </c>
    </row>
    <row r="1015" spans="1:33" ht="11.25" customHeight="1" x14ac:dyDescent="0.25">
      <c r="A1015" s="4" t="s">
        <v>28</v>
      </c>
      <c r="B1015" s="4" t="s">
        <v>22</v>
      </c>
      <c r="C1015" s="4" t="s">
        <v>35</v>
      </c>
      <c r="D1015" s="4" t="s">
        <v>24</v>
      </c>
      <c r="E1015" s="4" t="s">
        <v>24</v>
      </c>
      <c r="F1015" s="4" t="s">
        <v>25</v>
      </c>
      <c r="G1015" s="4" t="s">
        <v>25</v>
      </c>
      <c r="H1015" s="4" t="s">
        <v>37</v>
      </c>
      <c r="I1015" s="5">
        <v>44805</v>
      </c>
      <c r="J1015" s="6">
        <v>0</v>
      </c>
      <c r="K1015" s="6">
        <v>0</v>
      </c>
      <c r="L1015" s="6">
        <v>0.92800000000000005</v>
      </c>
      <c r="M1015" s="6">
        <v>0.92800000000000005</v>
      </c>
      <c r="N1015" s="6">
        <v>0.92800000000000005</v>
      </c>
      <c r="O1015" s="6">
        <v>0.92800000000000005</v>
      </c>
      <c r="P1015" s="6">
        <v>0</v>
      </c>
      <c r="Q1015" s="4" t="s">
        <v>26</v>
      </c>
      <c r="R1015" s="4">
        <v>0</v>
      </c>
      <c r="S1015" s="6">
        <v>0</v>
      </c>
      <c r="T1015" s="6">
        <v>38</v>
      </c>
      <c r="U1015" s="6">
        <v>82</v>
      </c>
      <c r="V1015" s="6">
        <f>IF(ISERROR(VLOOKUP($S$1015,'TAR FIN'!$A$1:$O$115,15,0)),0,VLOOKUP($S$1015,'TAR FIN'!$A$1:$O$115,15,0))</f>
        <v>0</v>
      </c>
      <c r="W1015" s="6">
        <f>IF(ISERROR(VLOOKUP($T$1015,'TAR FIN'!$A$1:$O$115,15,0)),0,VLOOKUP($T$1015,'TAR FIN'!$A$1:$O$115,15,0))</f>
        <v>334.16</v>
      </c>
      <c r="X1015" s="6">
        <f>IF(ISERROR(VLOOKUP($U$1015,'TAR FIN'!$A$1:$O$115,15,0)),0,VLOOKUP($U$1015,'TAR FIN'!$A$1:$O$115,15,0))</f>
        <v>168.06</v>
      </c>
      <c r="Y1015" s="6"/>
      <c r="Z1015" s="6">
        <f ca="1">('TUSD BE'!$AM$36+'TUSD BF'!$AM$36+'TUSD CVA'!$AM$36)*1</f>
        <v>373.7403500897916</v>
      </c>
      <c r="AA1015" s="6">
        <f>('TE BE'!$AB$19+'TE BF'!$AB$19+'TE CVA'!$AB$19)*1</f>
        <v>218.6854278594964</v>
      </c>
      <c r="AB1015" s="6">
        <f>$K$1015*$V$1015</f>
        <v>0</v>
      </c>
      <c r="AC1015" s="6">
        <f>$M$1015*$W$1015</f>
        <v>310.10048000000006</v>
      </c>
      <c r="AD1015" s="6">
        <f>$O$1015*$X$1015</f>
        <v>155.95968000000002</v>
      </c>
      <c r="AE1015" s="6">
        <f>$K$1015*$Y$1015</f>
        <v>0</v>
      </c>
      <c r="AF1015" s="6">
        <f ca="1">$M$1015*$Z$1015</f>
        <v>346.83104488332663</v>
      </c>
      <c r="AG1015" s="6">
        <f>$O$1015*$AA$1015</f>
        <v>202.94007705361267</v>
      </c>
    </row>
    <row r="1016" spans="1:33" ht="11.25" customHeight="1" x14ac:dyDescent="0.25">
      <c r="A1016" s="4" t="s">
        <v>30</v>
      </c>
      <c r="B1016" s="4" t="s">
        <v>22</v>
      </c>
      <c r="C1016" s="4" t="s">
        <v>35</v>
      </c>
      <c r="D1016" s="4" t="s">
        <v>24</v>
      </c>
      <c r="E1016" s="4" t="s">
        <v>24</v>
      </c>
      <c r="F1016" s="4" t="s">
        <v>25</v>
      </c>
      <c r="G1016" s="4" t="s">
        <v>25</v>
      </c>
      <c r="H1016" s="4" t="s">
        <v>37</v>
      </c>
      <c r="I1016" s="5">
        <v>44805</v>
      </c>
      <c r="J1016" s="6">
        <v>0</v>
      </c>
      <c r="K1016" s="6">
        <v>0</v>
      </c>
      <c r="L1016" s="6">
        <v>0.183</v>
      </c>
      <c r="M1016" s="6">
        <v>0.183</v>
      </c>
      <c r="N1016" s="6">
        <v>0.183</v>
      </c>
      <c r="O1016" s="6">
        <v>0.183</v>
      </c>
      <c r="P1016" s="6">
        <v>0</v>
      </c>
      <c r="Q1016" s="4" t="s">
        <v>26</v>
      </c>
      <c r="R1016" s="4">
        <v>0</v>
      </c>
      <c r="S1016" s="6">
        <v>0</v>
      </c>
      <c r="T1016" s="6">
        <v>38</v>
      </c>
      <c r="U1016" s="6">
        <v>82</v>
      </c>
      <c r="V1016" s="6">
        <f>IF(ISERROR(VLOOKUP($S$1016,'TAR FIN'!$A$1:$O$115,15,0)),0,VLOOKUP($S$1016,'TAR FIN'!$A$1:$O$115,15,0))</f>
        <v>0</v>
      </c>
      <c r="W1016" s="6">
        <f>IF(ISERROR(VLOOKUP($T$1016,'TAR FIN'!$A$1:$O$115,15,0)),0,VLOOKUP($T$1016,'TAR FIN'!$A$1:$O$115,15,0))</f>
        <v>334.16</v>
      </c>
      <c r="X1016" s="6">
        <f>IF(ISERROR(VLOOKUP($U$1016,'TAR FIN'!$A$1:$O$115,15,0)),0,VLOOKUP($U$1016,'TAR FIN'!$A$1:$O$115,15,0))</f>
        <v>168.06</v>
      </c>
      <c r="Y1016" s="6"/>
      <c r="Z1016" s="6">
        <f ca="1">('TUSD BE'!$AM$36+'TUSD BF'!$AM$36+'TUSD CVA'!$AM$36)*1</f>
        <v>373.7403500897916</v>
      </c>
      <c r="AA1016" s="6">
        <f>('TE BE'!$AB$19+'TE BF'!$AB$19+'TE CVA'!$AB$19)*1</f>
        <v>218.6854278594964</v>
      </c>
      <c r="AB1016" s="6">
        <f>$K$1016*$V$1016</f>
        <v>0</v>
      </c>
      <c r="AC1016" s="6">
        <f>$M$1016*$W$1016</f>
        <v>61.15128</v>
      </c>
      <c r="AD1016" s="6">
        <f>$O$1016*$X$1016</f>
        <v>30.75498</v>
      </c>
      <c r="AE1016" s="6">
        <f>$K$1016*$Y$1016</f>
        <v>0</v>
      </c>
      <c r="AF1016" s="6">
        <f ca="1">$M$1016*$Z$1016</f>
        <v>68.394484066431858</v>
      </c>
      <c r="AG1016" s="6">
        <f>$O$1016*$AA$1016</f>
        <v>40.019433298287844</v>
      </c>
    </row>
    <row r="1017" spans="1:33" ht="11.25" customHeight="1" x14ac:dyDescent="0.25">
      <c r="A1017" s="4" t="s">
        <v>21</v>
      </c>
      <c r="B1017" s="4" t="s">
        <v>22</v>
      </c>
      <c r="C1017" s="4" t="s">
        <v>35</v>
      </c>
      <c r="D1017" s="4" t="s">
        <v>24</v>
      </c>
      <c r="E1017" s="4" t="s">
        <v>24</v>
      </c>
      <c r="F1017" s="4" t="s">
        <v>25</v>
      </c>
      <c r="G1017" s="4" t="s">
        <v>25</v>
      </c>
      <c r="H1017" s="4" t="s">
        <v>37</v>
      </c>
      <c r="I1017" s="5">
        <v>44835</v>
      </c>
      <c r="J1017" s="6">
        <v>0</v>
      </c>
      <c r="K1017" s="6">
        <v>0</v>
      </c>
      <c r="L1017" s="6">
        <v>48.735999999999997</v>
      </c>
      <c r="M1017" s="6">
        <v>48.735999999999997</v>
      </c>
      <c r="N1017" s="6">
        <v>48.735999999999997</v>
      </c>
      <c r="O1017" s="6">
        <v>48.735999999999997</v>
      </c>
      <c r="P1017" s="6">
        <v>0</v>
      </c>
      <c r="Q1017" s="4" t="s">
        <v>26</v>
      </c>
      <c r="R1017" s="4">
        <v>0</v>
      </c>
      <c r="S1017" s="6">
        <v>0</v>
      </c>
      <c r="T1017" s="6">
        <v>38</v>
      </c>
      <c r="U1017" s="6">
        <v>82</v>
      </c>
      <c r="V1017" s="6">
        <f>IF(ISERROR(VLOOKUP($S$1017,'TAR FIN'!$A$1:$O$115,15,0)),0,VLOOKUP($S$1017,'TAR FIN'!$A$1:$O$115,15,0))</f>
        <v>0</v>
      </c>
      <c r="W1017" s="6">
        <f>IF(ISERROR(VLOOKUP($T$1017,'TAR FIN'!$A$1:$O$115,15,0)),0,VLOOKUP($T$1017,'TAR FIN'!$A$1:$O$115,15,0))</f>
        <v>334.16</v>
      </c>
      <c r="X1017" s="6">
        <f>IF(ISERROR(VLOOKUP($U$1017,'TAR FIN'!$A$1:$O$115,15,0)),0,VLOOKUP($U$1017,'TAR FIN'!$A$1:$O$115,15,0))</f>
        <v>168.06</v>
      </c>
      <c r="Y1017" s="6"/>
      <c r="Z1017" s="6">
        <f ca="1">('TUSD BE'!$AM$36+'TUSD BF'!$AM$36+'TUSD CVA'!$AM$36)*1</f>
        <v>373.7403500897916</v>
      </c>
      <c r="AA1017" s="6">
        <f>('TE BE'!$AB$19+'TE BF'!$AB$19+'TE CVA'!$AB$19)*1</f>
        <v>218.6854278594964</v>
      </c>
      <c r="AB1017" s="6">
        <f>$K$1017*$V$1017</f>
        <v>0</v>
      </c>
      <c r="AC1017" s="6">
        <f>$M$1017*$W$1017</f>
        <v>16285.62176</v>
      </c>
      <c r="AD1017" s="6">
        <f>$O$1017*$X$1017</f>
        <v>8190.5721599999997</v>
      </c>
      <c r="AE1017" s="6">
        <f>$K$1017*$Y$1017</f>
        <v>0</v>
      </c>
      <c r="AF1017" s="6">
        <f ca="1">$M$1017*$Z$1017</f>
        <v>18214.609701976082</v>
      </c>
      <c r="AG1017" s="6">
        <f>$O$1017*$AA$1017</f>
        <v>10657.853012160416</v>
      </c>
    </row>
    <row r="1018" spans="1:33" ht="11.25" customHeight="1" x14ac:dyDescent="0.25">
      <c r="A1018" s="4" t="s">
        <v>28</v>
      </c>
      <c r="B1018" s="4" t="s">
        <v>22</v>
      </c>
      <c r="C1018" s="4" t="s">
        <v>35</v>
      </c>
      <c r="D1018" s="4" t="s">
        <v>24</v>
      </c>
      <c r="E1018" s="4" t="s">
        <v>24</v>
      </c>
      <c r="F1018" s="4" t="s">
        <v>25</v>
      </c>
      <c r="G1018" s="4" t="s">
        <v>25</v>
      </c>
      <c r="H1018" s="4" t="s">
        <v>37</v>
      </c>
      <c r="I1018" s="5">
        <v>44835</v>
      </c>
      <c r="J1018" s="6">
        <v>0</v>
      </c>
      <c r="K1018" s="6">
        <v>0</v>
      </c>
      <c r="L1018" s="6">
        <v>1.05</v>
      </c>
      <c r="M1018" s="6">
        <v>1.05</v>
      </c>
      <c r="N1018" s="6">
        <v>1.05</v>
      </c>
      <c r="O1018" s="6">
        <v>1.05</v>
      </c>
      <c r="P1018" s="6">
        <v>0</v>
      </c>
      <c r="Q1018" s="4" t="s">
        <v>26</v>
      </c>
      <c r="R1018" s="4">
        <v>0</v>
      </c>
      <c r="S1018" s="6">
        <v>0</v>
      </c>
      <c r="T1018" s="6">
        <v>38</v>
      </c>
      <c r="U1018" s="6">
        <v>82</v>
      </c>
      <c r="V1018" s="6">
        <f>IF(ISERROR(VLOOKUP($S$1018,'TAR FIN'!$A$1:$O$115,15,0)),0,VLOOKUP($S$1018,'TAR FIN'!$A$1:$O$115,15,0))</f>
        <v>0</v>
      </c>
      <c r="W1018" s="6">
        <f>IF(ISERROR(VLOOKUP($T$1018,'TAR FIN'!$A$1:$O$115,15,0)),0,VLOOKUP($T$1018,'TAR FIN'!$A$1:$O$115,15,0))</f>
        <v>334.16</v>
      </c>
      <c r="X1018" s="6">
        <f>IF(ISERROR(VLOOKUP($U$1018,'TAR FIN'!$A$1:$O$115,15,0)),0,VLOOKUP($U$1018,'TAR FIN'!$A$1:$O$115,15,0))</f>
        <v>168.06</v>
      </c>
      <c r="Y1018" s="6"/>
      <c r="Z1018" s="6">
        <f ca="1">('TUSD BE'!$AM$36+'TUSD BF'!$AM$36+'TUSD CVA'!$AM$36)*1</f>
        <v>373.7403500897916</v>
      </c>
      <c r="AA1018" s="6">
        <f>('TE BE'!$AB$19+'TE BF'!$AB$19+'TE CVA'!$AB$19)*1</f>
        <v>218.6854278594964</v>
      </c>
      <c r="AB1018" s="6">
        <f>$K$1018*$V$1018</f>
        <v>0</v>
      </c>
      <c r="AC1018" s="6">
        <f>$M$1018*$W$1018</f>
        <v>350.86800000000005</v>
      </c>
      <c r="AD1018" s="6">
        <f>$O$1018*$X$1018</f>
        <v>176.46300000000002</v>
      </c>
      <c r="AE1018" s="6">
        <f>$K$1018*$Y$1018</f>
        <v>0</v>
      </c>
      <c r="AF1018" s="6">
        <f ca="1">$M$1018*$Z$1018</f>
        <v>392.42736759428118</v>
      </c>
      <c r="AG1018" s="6">
        <f>$O$1018*$AA$1018</f>
        <v>229.61969925247124</v>
      </c>
    </row>
    <row r="1019" spans="1:33" ht="11.25" customHeight="1" x14ac:dyDescent="0.25">
      <c r="A1019" s="4" t="s">
        <v>30</v>
      </c>
      <c r="B1019" s="4" t="s">
        <v>22</v>
      </c>
      <c r="C1019" s="4" t="s">
        <v>35</v>
      </c>
      <c r="D1019" s="4" t="s">
        <v>24</v>
      </c>
      <c r="E1019" s="4" t="s">
        <v>24</v>
      </c>
      <c r="F1019" s="4" t="s">
        <v>25</v>
      </c>
      <c r="G1019" s="4" t="s">
        <v>25</v>
      </c>
      <c r="H1019" s="4" t="s">
        <v>37</v>
      </c>
      <c r="I1019" s="5">
        <v>44835</v>
      </c>
      <c r="J1019" s="6">
        <v>0</v>
      </c>
      <c r="K1019" s="6">
        <v>0</v>
      </c>
      <c r="L1019" s="6">
        <v>0.44</v>
      </c>
      <c r="M1019" s="6">
        <v>0.44</v>
      </c>
      <c r="N1019" s="6">
        <v>0.44</v>
      </c>
      <c r="O1019" s="6">
        <v>0.44</v>
      </c>
      <c r="P1019" s="6">
        <v>0</v>
      </c>
      <c r="Q1019" s="4" t="s">
        <v>26</v>
      </c>
      <c r="R1019" s="4">
        <v>0</v>
      </c>
      <c r="S1019" s="6">
        <v>0</v>
      </c>
      <c r="T1019" s="6">
        <v>38</v>
      </c>
      <c r="U1019" s="6">
        <v>82</v>
      </c>
      <c r="V1019" s="6">
        <f>IF(ISERROR(VLOOKUP($S$1019,'TAR FIN'!$A$1:$O$115,15,0)),0,VLOOKUP($S$1019,'TAR FIN'!$A$1:$O$115,15,0))</f>
        <v>0</v>
      </c>
      <c r="W1019" s="6">
        <f>IF(ISERROR(VLOOKUP($T$1019,'TAR FIN'!$A$1:$O$115,15,0)),0,VLOOKUP($T$1019,'TAR FIN'!$A$1:$O$115,15,0))</f>
        <v>334.16</v>
      </c>
      <c r="X1019" s="6">
        <f>IF(ISERROR(VLOOKUP($U$1019,'TAR FIN'!$A$1:$O$115,15,0)),0,VLOOKUP($U$1019,'TAR FIN'!$A$1:$O$115,15,0))</f>
        <v>168.06</v>
      </c>
      <c r="Y1019" s="6"/>
      <c r="Z1019" s="6">
        <f ca="1">('TUSD BE'!$AM$36+'TUSD BF'!$AM$36+'TUSD CVA'!$AM$36)*1</f>
        <v>373.7403500897916</v>
      </c>
      <c r="AA1019" s="6">
        <f>('TE BE'!$AB$19+'TE BF'!$AB$19+'TE CVA'!$AB$19)*1</f>
        <v>218.6854278594964</v>
      </c>
      <c r="AB1019" s="6">
        <f>$K$1019*$V$1019</f>
        <v>0</v>
      </c>
      <c r="AC1019" s="6">
        <f>$M$1019*$W$1019</f>
        <v>147.03040000000001</v>
      </c>
      <c r="AD1019" s="6">
        <f>$O$1019*$X$1019</f>
        <v>73.946399999999997</v>
      </c>
      <c r="AE1019" s="6">
        <f>$K$1019*$Y$1019</f>
        <v>0</v>
      </c>
      <c r="AF1019" s="6">
        <f ca="1">$M$1019*$Z$1019</f>
        <v>164.4457540395083</v>
      </c>
      <c r="AG1019" s="6">
        <f>$O$1019*$AA$1019</f>
        <v>96.221588258178414</v>
      </c>
    </row>
    <row r="1020" spans="1:33" ht="11.25" customHeight="1" x14ac:dyDescent="0.25">
      <c r="A1020" s="4" t="s">
        <v>30</v>
      </c>
      <c r="B1020" s="4" t="s">
        <v>22</v>
      </c>
      <c r="C1020" s="4" t="s">
        <v>35</v>
      </c>
      <c r="D1020" s="4" t="s">
        <v>24</v>
      </c>
      <c r="E1020" s="4" t="s">
        <v>24</v>
      </c>
      <c r="F1020" s="4" t="s">
        <v>25</v>
      </c>
      <c r="G1020" s="4" t="s">
        <v>25</v>
      </c>
      <c r="H1020" s="4" t="s">
        <v>37</v>
      </c>
      <c r="I1020" s="5">
        <v>44835</v>
      </c>
      <c r="J1020" s="6">
        <v>0</v>
      </c>
      <c r="K1020" s="6">
        <v>0</v>
      </c>
      <c r="L1020" s="6">
        <v>-0.183</v>
      </c>
      <c r="M1020" s="6">
        <v>-0.183</v>
      </c>
      <c r="N1020" s="6">
        <v>-0.183</v>
      </c>
      <c r="O1020" s="6">
        <v>-0.183</v>
      </c>
      <c r="P1020" s="6">
        <v>0</v>
      </c>
      <c r="Q1020" s="4" t="s">
        <v>26</v>
      </c>
      <c r="R1020" s="4">
        <v>0</v>
      </c>
      <c r="S1020" s="6">
        <v>0</v>
      </c>
      <c r="T1020" s="6">
        <v>38</v>
      </c>
      <c r="U1020" s="6">
        <v>82</v>
      </c>
      <c r="V1020" s="6">
        <f>IF(ISERROR(VLOOKUP($S$1020,'TAR FIN'!$A$1:$O$115,15,0)),0,VLOOKUP($S$1020,'TAR FIN'!$A$1:$O$115,15,0))</f>
        <v>0</v>
      </c>
      <c r="W1020" s="6">
        <f>IF(ISERROR(VLOOKUP($T$1020,'TAR FIN'!$A$1:$O$115,15,0)),0,VLOOKUP($T$1020,'TAR FIN'!$A$1:$O$115,15,0))</f>
        <v>334.16</v>
      </c>
      <c r="X1020" s="6">
        <f>IF(ISERROR(VLOOKUP($U$1020,'TAR FIN'!$A$1:$O$115,15,0)),0,VLOOKUP($U$1020,'TAR FIN'!$A$1:$O$115,15,0))</f>
        <v>168.06</v>
      </c>
      <c r="Y1020" s="6"/>
      <c r="Z1020" s="6">
        <f ca="1">('TUSD BE'!$AM$36+'TUSD BF'!$AM$36+'TUSD CVA'!$AM$36)*1</f>
        <v>373.7403500897916</v>
      </c>
      <c r="AA1020" s="6">
        <f>('TE BE'!$AB$19+'TE BF'!$AB$19+'TE CVA'!$AB$19)*1</f>
        <v>218.6854278594964</v>
      </c>
      <c r="AB1020" s="6">
        <f>$K$1020*$V$1020</f>
        <v>0</v>
      </c>
      <c r="AC1020" s="6">
        <f>$M$1020*$W$1020</f>
        <v>-61.15128</v>
      </c>
      <c r="AD1020" s="6">
        <f>$O$1020*$X$1020</f>
        <v>-30.75498</v>
      </c>
      <c r="AE1020" s="6">
        <f>$K$1020*$Y$1020</f>
        <v>0</v>
      </c>
      <c r="AF1020" s="6">
        <f ca="1">$M$1020*$Z$1020</f>
        <v>-68.394484066431858</v>
      </c>
      <c r="AG1020" s="6">
        <f>$O$1020*$AA$1020</f>
        <v>-40.019433298287844</v>
      </c>
    </row>
    <row r="1021" spans="1:33" ht="11.25" customHeight="1" x14ac:dyDescent="0.25">
      <c r="A1021" s="4" t="s">
        <v>59</v>
      </c>
      <c r="B1021" s="4" t="s">
        <v>22</v>
      </c>
      <c r="C1021" s="4" t="s">
        <v>35</v>
      </c>
      <c r="D1021" s="4" t="s">
        <v>24</v>
      </c>
      <c r="E1021" s="4" t="s">
        <v>24</v>
      </c>
      <c r="F1021" s="4" t="s">
        <v>25</v>
      </c>
      <c r="G1021" s="4" t="s">
        <v>25</v>
      </c>
      <c r="H1021" s="4" t="s">
        <v>37</v>
      </c>
      <c r="I1021" s="5">
        <v>44866</v>
      </c>
      <c r="J1021" s="6">
        <v>0</v>
      </c>
      <c r="K1021" s="6">
        <v>0</v>
      </c>
      <c r="L1021" s="6">
        <v>48.735999999999997</v>
      </c>
      <c r="M1021" s="6">
        <v>48.735999999999997</v>
      </c>
      <c r="N1021" s="6">
        <v>48.735999999999997</v>
      </c>
      <c r="O1021" s="6">
        <v>48.735999999999997</v>
      </c>
      <c r="P1021" s="6">
        <v>0</v>
      </c>
      <c r="Q1021" s="4" t="s">
        <v>26</v>
      </c>
      <c r="R1021" s="4">
        <v>0</v>
      </c>
      <c r="S1021" s="6">
        <v>0</v>
      </c>
      <c r="T1021" s="6">
        <v>38</v>
      </c>
      <c r="U1021" s="6">
        <v>82</v>
      </c>
      <c r="V1021" s="6">
        <f>IF(ISERROR(VLOOKUP($S$1021,'TAR FIN'!$A$1:$O$115,15,0)),0,VLOOKUP($S$1021,'TAR FIN'!$A$1:$O$115,15,0))</f>
        <v>0</v>
      </c>
      <c r="W1021" s="6">
        <f>IF(ISERROR(VLOOKUP($T$1021,'TAR FIN'!$A$1:$O$115,15,0)),0,VLOOKUP($T$1021,'TAR FIN'!$A$1:$O$115,15,0))</f>
        <v>334.16</v>
      </c>
      <c r="X1021" s="6">
        <f>IF(ISERROR(VLOOKUP($U$1021,'TAR FIN'!$A$1:$O$115,15,0)),0,VLOOKUP($U$1021,'TAR FIN'!$A$1:$O$115,15,0))</f>
        <v>168.06</v>
      </c>
      <c r="Y1021" s="6"/>
      <c r="Z1021" s="6">
        <f ca="1">('TUSD BE'!$AM$36+'TUSD BF'!$AM$36+'TUSD CVA'!$AM$36)*1</f>
        <v>373.7403500897916</v>
      </c>
      <c r="AA1021" s="6">
        <f>('TE BE'!$AB$19+'TE BF'!$AB$19+'TE CVA'!$AB$19)*1</f>
        <v>218.6854278594964</v>
      </c>
      <c r="AB1021" s="6">
        <f>$K$1021*$V$1021</f>
        <v>0</v>
      </c>
      <c r="AC1021" s="6">
        <f>$M$1021*$W$1021</f>
        <v>16285.62176</v>
      </c>
      <c r="AD1021" s="6">
        <f>$O$1021*$X$1021</f>
        <v>8190.5721599999997</v>
      </c>
      <c r="AE1021" s="6">
        <f>$K$1021*$Y$1021</f>
        <v>0</v>
      </c>
      <c r="AF1021" s="6">
        <f ca="1">$M$1021*$Z$1021</f>
        <v>18214.609701976082</v>
      </c>
      <c r="AG1021" s="6">
        <f>$O$1021*$AA$1021</f>
        <v>10657.853012160416</v>
      </c>
    </row>
    <row r="1022" spans="1:33" ht="11.25" customHeight="1" x14ac:dyDescent="0.25">
      <c r="A1022" s="4" t="s">
        <v>59</v>
      </c>
      <c r="B1022" s="4" t="s">
        <v>22</v>
      </c>
      <c r="C1022" s="4" t="s">
        <v>35</v>
      </c>
      <c r="D1022" s="4" t="s">
        <v>24</v>
      </c>
      <c r="E1022" s="4" t="s">
        <v>24</v>
      </c>
      <c r="F1022" s="4" t="s">
        <v>25</v>
      </c>
      <c r="G1022" s="4" t="s">
        <v>25</v>
      </c>
      <c r="H1022" s="4" t="s">
        <v>37</v>
      </c>
      <c r="I1022" s="5">
        <v>44866</v>
      </c>
      <c r="J1022" s="6">
        <v>0</v>
      </c>
      <c r="K1022" s="6">
        <v>0</v>
      </c>
      <c r="L1022" s="6">
        <v>1.05</v>
      </c>
      <c r="M1022" s="6">
        <v>1.05</v>
      </c>
      <c r="N1022" s="6">
        <v>1.05</v>
      </c>
      <c r="O1022" s="6">
        <v>1.05</v>
      </c>
      <c r="P1022" s="6">
        <v>0</v>
      </c>
      <c r="Q1022" s="4" t="s">
        <v>26</v>
      </c>
      <c r="R1022" s="4">
        <v>0</v>
      </c>
      <c r="S1022" s="6">
        <v>0</v>
      </c>
      <c r="T1022" s="6">
        <v>38</v>
      </c>
      <c r="U1022" s="6">
        <v>82</v>
      </c>
      <c r="V1022" s="6">
        <f>IF(ISERROR(VLOOKUP($S$1022,'TAR FIN'!$A$1:$O$115,15,0)),0,VLOOKUP($S$1022,'TAR FIN'!$A$1:$O$115,15,0))</f>
        <v>0</v>
      </c>
      <c r="W1022" s="6">
        <f>IF(ISERROR(VLOOKUP($T$1022,'TAR FIN'!$A$1:$O$115,15,0)),0,VLOOKUP($T$1022,'TAR FIN'!$A$1:$O$115,15,0))</f>
        <v>334.16</v>
      </c>
      <c r="X1022" s="6">
        <f>IF(ISERROR(VLOOKUP($U$1022,'TAR FIN'!$A$1:$O$115,15,0)),0,VLOOKUP($U$1022,'TAR FIN'!$A$1:$O$115,15,0))</f>
        <v>168.06</v>
      </c>
      <c r="Y1022" s="6"/>
      <c r="Z1022" s="6">
        <f ca="1">('TUSD BE'!$AM$36+'TUSD BF'!$AM$36+'TUSD CVA'!$AM$36)*1</f>
        <v>373.7403500897916</v>
      </c>
      <c r="AA1022" s="6">
        <f>('TE BE'!$AB$19+'TE BF'!$AB$19+'TE CVA'!$AB$19)*1</f>
        <v>218.6854278594964</v>
      </c>
      <c r="AB1022" s="6">
        <f>$K$1022*$V$1022</f>
        <v>0</v>
      </c>
      <c r="AC1022" s="6">
        <f>$M$1022*$W$1022</f>
        <v>350.86800000000005</v>
      </c>
      <c r="AD1022" s="6">
        <f>$O$1022*$X$1022</f>
        <v>176.46300000000002</v>
      </c>
      <c r="AE1022" s="6">
        <f>$K$1022*$Y$1022</f>
        <v>0</v>
      </c>
      <c r="AF1022" s="6">
        <f ca="1">$M$1022*$Z$1022</f>
        <v>392.42736759428118</v>
      </c>
      <c r="AG1022" s="6">
        <f>$O$1022*$AA$1022</f>
        <v>229.61969925247124</v>
      </c>
    </row>
    <row r="1023" spans="1:33" ht="11.25" customHeight="1" x14ac:dyDescent="0.25">
      <c r="A1023" s="4" t="s">
        <v>59</v>
      </c>
      <c r="B1023" s="4" t="s">
        <v>22</v>
      </c>
      <c r="C1023" s="4" t="s">
        <v>35</v>
      </c>
      <c r="D1023" s="4" t="s">
        <v>24</v>
      </c>
      <c r="E1023" s="4" t="s">
        <v>24</v>
      </c>
      <c r="F1023" s="4" t="s">
        <v>25</v>
      </c>
      <c r="G1023" s="4" t="s">
        <v>25</v>
      </c>
      <c r="H1023" s="4" t="s">
        <v>37</v>
      </c>
      <c r="I1023" s="5">
        <v>44866</v>
      </c>
      <c r="J1023" s="6">
        <v>0</v>
      </c>
      <c r="K1023" s="6">
        <v>0</v>
      </c>
      <c r="L1023" s="6">
        <v>0.44</v>
      </c>
      <c r="M1023" s="6">
        <v>0.44</v>
      </c>
      <c r="N1023" s="6">
        <v>0.44</v>
      </c>
      <c r="O1023" s="6">
        <v>0.44</v>
      </c>
      <c r="P1023" s="6">
        <v>0</v>
      </c>
      <c r="Q1023" s="4" t="s">
        <v>26</v>
      </c>
      <c r="R1023" s="4">
        <v>0</v>
      </c>
      <c r="S1023" s="6">
        <v>0</v>
      </c>
      <c r="T1023" s="6">
        <v>38</v>
      </c>
      <c r="U1023" s="6">
        <v>82</v>
      </c>
      <c r="V1023" s="6">
        <f>IF(ISERROR(VLOOKUP($S$1023,'TAR FIN'!$A$1:$O$115,15,0)),0,VLOOKUP($S$1023,'TAR FIN'!$A$1:$O$115,15,0))</f>
        <v>0</v>
      </c>
      <c r="W1023" s="6">
        <f>IF(ISERROR(VLOOKUP($T$1023,'TAR FIN'!$A$1:$O$115,15,0)),0,VLOOKUP($T$1023,'TAR FIN'!$A$1:$O$115,15,0))</f>
        <v>334.16</v>
      </c>
      <c r="X1023" s="6">
        <f>IF(ISERROR(VLOOKUP($U$1023,'TAR FIN'!$A$1:$O$115,15,0)),0,VLOOKUP($U$1023,'TAR FIN'!$A$1:$O$115,15,0))</f>
        <v>168.06</v>
      </c>
      <c r="Y1023" s="6"/>
      <c r="Z1023" s="6">
        <f ca="1">('TUSD BE'!$AM$36+'TUSD BF'!$AM$36+'TUSD CVA'!$AM$36)*1</f>
        <v>373.7403500897916</v>
      </c>
      <c r="AA1023" s="6">
        <f>('TE BE'!$AB$19+'TE BF'!$AB$19+'TE CVA'!$AB$19)*1</f>
        <v>218.6854278594964</v>
      </c>
      <c r="AB1023" s="6">
        <f>$K$1023*$V$1023</f>
        <v>0</v>
      </c>
      <c r="AC1023" s="6">
        <f>$M$1023*$W$1023</f>
        <v>147.03040000000001</v>
      </c>
      <c r="AD1023" s="6">
        <f>$O$1023*$X$1023</f>
        <v>73.946399999999997</v>
      </c>
      <c r="AE1023" s="6">
        <f>$K$1023*$Y$1023</f>
        <v>0</v>
      </c>
      <c r="AF1023" s="6">
        <f ca="1">$M$1023*$Z$1023</f>
        <v>164.4457540395083</v>
      </c>
      <c r="AG1023" s="6">
        <f>$O$1023*$AA$1023</f>
        <v>96.221588258178414</v>
      </c>
    </row>
    <row r="1024" spans="1:33" ht="11.25" customHeight="1" x14ac:dyDescent="0.25">
      <c r="A1024" s="4" t="s">
        <v>59</v>
      </c>
      <c r="B1024" s="4" t="s">
        <v>22</v>
      </c>
      <c r="C1024" s="4" t="s">
        <v>35</v>
      </c>
      <c r="D1024" s="4" t="s">
        <v>24</v>
      </c>
      <c r="E1024" s="4" t="s">
        <v>24</v>
      </c>
      <c r="F1024" s="4" t="s">
        <v>25</v>
      </c>
      <c r="G1024" s="4" t="s">
        <v>25</v>
      </c>
      <c r="H1024" s="4" t="s">
        <v>37</v>
      </c>
      <c r="I1024" s="5">
        <v>44866</v>
      </c>
      <c r="J1024" s="6">
        <v>0</v>
      </c>
      <c r="K1024" s="6">
        <v>0</v>
      </c>
      <c r="L1024" s="6">
        <v>-0.183</v>
      </c>
      <c r="M1024" s="6">
        <v>-0.183</v>
      </c>
      <c r="N1024" s="6">
        <v>-0.183</v>
      </c>
      <c r="O1024" s="6">
        <v>-0.183</v>
      </c>
      <c r="P1024" s="6">
        <v>0</v>
      </c>
      <c r="Q1024" s="4" t="s">
        <v>26</v>
      </c>
      <c r="R1024" s="4">
        <v>0</v>
      </c>
      <c r="S1024" s="6">
        <v>0</v>
      </c>
      <c r="T1024" s="6">
        <v>38</v>
      </c>
      <c r="U1024" s="6">
        <v>82</v>
      </c>
      <c r="V1024" s="6">
        <f>IF(ISERROR(VLOOKUP($S$1024,'TAR FIN'!$A$1:$O$115,15,0)),0,VLOOKUP($S$1024,'TAR FIN'!$A$1:$O$115,15,0))</f>
        <v>0</v>
      </c>
      <c r="W1024" s="6">
        <f>IF(ISERROR(VLOOKUP($T$1024,'TAR FIN'!$A$1:$O$115,15,0)),0,VLOOKUP($T$1024,'TAR FIN'!$A$1:$O$115,15,0))</f>
        <v>334.16</v>
      </c>
      <c r="X1024" s="6">
        <f>IF(ISERROR(VLOOKUP($U$1024,'TAR FIN'!$A$1:$O$115,15,0)),0,VLOOKUP($U$1024,'TAR FIN'!$A$1:$O$115,15,0))</f>
        <v>168.06</v>
      </c>
      <c r="Y1024" s="6"/>
      <c r="Z1024" s="6">
        <f ca="1">('TUSD BE'!$AM$36+'TUSD BF'!$AM$36+'TUSD CVA'!$AM$36)*1</f>
        <v>373.7403500897916</v>
      </c>
      <c r="AA1024" s="6">
        <f>('TE BE'!$AB$19+'TE BF'!$AB$19+'TE CVA'!$AB$19)*1</f>
        <v>218.6854278594964</v>
      </c>
      <c r="AB1024" s="6">
        <f>$K$1024*$V$1024</f>
        <v>0</v>
      </c>
      <c r="AC1024" s="6">
        <f>$M$1024*$W$1024</f>
        <v>-61.15128</v>
      </c>
      <c r="AD1024" s="6">
        <f>$O$1024*$X$1024</f>
        <v>-30.75498</v>
      </c>
      <c r="AE1024" s="6">
        <f>$K$1024*$Y$1024</f>
        <v>0</v>
      </c>
      <c r="AF1024" s="6">
        <f ca="1">$M$1024*$Z$1024</f>
        <v>-68.394484066431858</v>
      </c>
      <c r="AG1024" s="6">
        <f>$O$1024*$AA$1024</f>
        <v>-40.019433298287844</v>
      </c>
    </row>
    <row r="1025" spans="1:33" ht="11.25" customHeight="1" x14ac:dyDescent="0.25">
      <c r="A1025" s="4" t="s">
        <v>21</v>
      </c>
      <c r="B1025" s="4" t="s">
        <v>22</v>
      </c>
      <c r="C1025" s="4" t="s">
        <v>35</v>
      </c>
      <c r="D1025" s="4" t="s">
        <v>24</v>
      </c>
      <c r="E1025" s="4" t="s">
        <v>24</v>
      </c>
      <c r="F1025" s="4" t="s">
        <v>25</v>
      </c>
      <c r="G1025" s="4" t="s">
        <v>25</v>
      </c>
      <c r="H1025" s="4" t="s">
        <v>38</v>
      </c>
      <c r="I1025" s="5">
        <v>44531</v>
      </c>
      <c r="J1025" s="6">
        <v>0</v>
      </c>
      <c r="K1025" s="6">
        <v>0</v>
      </c>
      <c r="L1025" s="6">
        <v>1.1459999999999999</v>
      </c>
      <c r="M1025" s="6">
        <v>1.1459999999999999</v>
      </c>
      <c r="N1025" s="6">
        <v>1.1459999999999999</v>
      </c>
      <c r="O1025" s="6">
        <v>1.1459999999999999</v>
      </c>
      <c r="P1025" s="6">
        <v>0</v>
      </c>
      <c r="Q1025" s="4" t="s">
        <v>26</v>
      </c>
      <c r="R1025" s="4">
        <v>0</v>
      </c>
      <c r="S1025" s="6">
        <v>0</v>
      </c>
      <c r="T1025" s="6">
        <v>37</v>
      </c>
      <c r="U1025" s="6">
        <v>81</v>
      </c>
      <c r="V1025" s="6">
        <f>IF(ISERROR(VLOOKUP($S$1025,'TAR FIN'!$A$1:$O$115,15,0)),0,VLOOKUP($S$1025,'TAR FIN'!$A$1:$O$115,15,0))</f>
        <v>0</v>
      </c>
      <c r="W1025" s="6">
        <f>IF(ISERROR(VLOOKUP($T$1025,'TAR FIN'!$A$1:$O$115,15,0)),0,VLOOKUP($T$1025,'TAR FIN'!$A$1:$O$115,15,0))</f>
        <v>774.97</v>
      </c>
      <c r="X1025" s="6">
        <f>IF(ISERROR(VLOOKUP($U$1025,'TAR FIN'!$A$1:$O$115,15,0)),0,VLOOKUP($U$1025,'TAR FIN'!$A$1:$O$115,15,0))</f>
        <v>168.06</v>
      </c>
      <c r="Y1025" s="6"/>
      <c r="Z1025" s="6">
        <f ca="1">('TUSD BE'!$AM$35+'TUSD BF'!$AM$35+'TUSD CVA'!$AM$35)*1</f>
        <v>811.26443827208175</v>
      </c>
      <c r="AA1025" s="6">
        <f>('TE BE'!$AB$18+'TE BF'!$AB$18+'TE CVA'!$AB$18)*1</f>
        <v>218.6854278594964</v>
      </c>
      <c r="AB1025" s="6">
        <f>$K$1025*$V$1025</f>
        <v>0</v>
      </c>
      <c r="AC1025" s="6">
        <f>$M$1025*$W$1025</f>
        <v>888.11561999999992</v>
      </c>
      <c r="AD1025" s="6">
        <f>$O$1025*$X$1025</f>
        <v>192.59675999999999</v>
      </c>
      <c r="AE1025" s="6">
        <f>$K$1025*$Y$1025</f>
        <v>0</v>
      </c>
      <c r="AF1025" s="6">
        <f ca="1">$M$1025*$Z$1025</f>
        <v>929.70904625980563</v>
      </c>
      <c r="AG1025" s="6">
        <f>$O$1025*$AA$1025</f>
        <v>250.61350032698286</v>
      </c>
    </row>
    <row r="1026" spans="1:33" ht="11.25" customHeight="1" x14ac:dyDescent="0.25">
      <c r="A1026" s="4" t="s">
        <v>28</v>
      </c>
      <c r="B1026" s="4" t="s">
        <v>22</v>
      </c>
      <c r="C1026" s="4" t="s">
        <v>35</v>
      </c>
      <c r="D1026" s="4" t="s">
        <v>24</v>
      </c>
      <c r="E1026" s="4" t="s">
        <v>24</v>
      </c>
      <c r="F1026" s="4" t="s">
        <v>25</v>
      </c>
      <c r="G1026" s="4" t="s">
        <v>25</v>
      </c>
      <c r="H1026" s="4" t="s">
        <v>38</v>
      </c>
      <c r="I1026" s="5">
        <v>44531</v>
      </c>
      <c r="J1026" s="6">
        <v>0</v>
      </c>
      <c r="K1026" s="6">
        <v>0</v>
      </c>
      <c r="L1026" s="6">
        <v>8.7999999999999995E-2</v>
      </c>
      <c r="M1026" s="6">
        <v>8.7999999999999995E-2</v>
      </c>
      <c r="N1026" s="6">
        <v>8.7999999999999995E-2</v>
      </c>
      <c r="O1026" s="6">
        <v>8.7999999999999995E-2</v>
      </c>
      <c r="P1026" s="6">
        <v>0</v>
      </c>
      <c r="Q1026" s="4" t="s">
        <v>26</v>
      </c>
      <c r="R1026" s="4">
        <v>0</v>
      </c>
      <c r="S1026" s="6">
        <v>0</v>
      </c>
      <c r="T1026" s="6">
        <v>37</v>
      </c>
      <c r="U1026" s="6">
        <v>81</v>
      </c>
      <c r="V1026" s="6">
        <f>IF(ISERROR(VLOOKUP($S$1026,'TAR FIN'!$A$1:$O$115,15,0)),0,VLOOKUP($S$1026,'TAR FIN'!$A$1:$O$115,15,0))</f>
        <v>0</v>
      </c>
      <c r="W1026" s="6">
        <f>IF(ISERROR(VLOOKUP($T$1026,'TAR FIN'!$A$1:$O$115,15,0)),0,VLOOKUP($T$1026,'TAR FIN'!$A$1:$O$115,15,0))</f>
        <v>774.97</v>
      </c>
      <c r="X1026" s="6">
        <f>IF(ISERROR(VLOOKUP($U$1026,'TAR FIN'!$A$1:$O$115,15,0)),0,VLOOKUP($U$1026,'TAR FIN'!$A$1:$O$115,15,0))</f>
        <v>168.06</v>
      </c>
      <c r="Y1026" s="6"/>
      <c r="Z1026" s="6">
        <f ca="1">('TUSD BE'!$AM$35+'TUSD BF'!$AM$35+'TUSD CVA'!$AM$35)*1</f>
        <v>811.26443827208175</v>
      </c>
      <c r="AA1026" s="6">
        <f>('TE BE'!$AB$18+'TE BF'!$AB$18+'TE CVA'!$AB$18)*1</f>
        <v>218.6854278594964</v>
      </c>
      <c r="AB1026" s="6">
        <f>$K$1026*$V$1026</f>
        <v>0</v>
      </c>
      <c r="AC1026" s="6">
        <f>$M$1026*$W$1026</f>
        <v>68.197360000000003</v>
      </c>
      <c r="AD1026" s="6">
        <f>$O$1026*$X$1026</f>
        <v>14.78928</v>
      </c>
      <c r="AE1026" s="6">
        <f>$K$1026*$Y$1026</f>
        <v>0</v>
      </c>
      <c r="AF1026" s="6">
        <f ca="1">$M$1026*$Z$1026</f>
        <v>71.391270567943195</v>
      </c>
      <c r="AG1026" s="6">
        <f>$O$1026*$AA$1026</f>
        <v>19.244317651635683</v>
      </c>
    </row>
    <row r="1027" spans="1:33" ht="11.25" customHeight="1" x14ac:dyDescent="0.25">
      <c r="A1027" s="4" t="s">
        <v>30</v>
      </c>
      <c r="B1027" s="4" t="s">
        <v>22</v>
      </c>
      <c r="C1027" s="4" t="s">
        <v>35</v>
      </c>
      <c r="D1027" s="4" t="s">
        <v>24</v>
      </c>
      <c r="E1027" s="4" t="s">
        <v>24</v>
      </c>
      <c r="F1027" s="4" t="s">
        <v>25</v>
      </c>
      <c r="G1027" s="4" t="s">
        <v>25</v>
      </c>
      <c r="H1027" s="4" t="s">
        <v>38</v>
      </c>
      <c r="I1027" s="5">
        <v>44531</v>
      </c>
      <c r="J1027" s="6">
        <v>0</v>
      </c>
      <c r="K1027" s="6">
        <v>0</v>
      </c>
      <c r="L1027" s="6">
        <v>5.8000000000000003E-2</v>
      </c>
      <c r="M1027" s="6">
        <v>5.8000000000000003E-2</v>
      </c>
      <c r="N1027" s="6">
        <v>5.8000000000000003E-2</v>
      </c>
      <c r="O1027" s="6">
        <v>5.8000000000000003E-2</v>
      </c>
      <c r="P1027" s="6">
        <v>0</v>
      </c>
      <c r="Q1027" s="4" t="s">
        <v>26</v>
      </c>
      <c r="R1027" s="4">
        <v>0</v>
      </c>
      <c r="S1027" s="6">
        <v>0</v>
      </c>
      <c r="T1027" s="6">
        <v>37</v>
      </c>
      <c r="U1027" s="6">
        <v>81</v>
      </c>
      <c r="V1027" s="6">
        <f>IF(ISERROR(VLOOKUP($S$1027,'TAR FIN'!$A$1:$O$115,15,0)),0,VLOOKUP($S$1027,'TAR FIN'!$A$1:$O$115,15,0))</f>
        <v>0</v>
      </c>
      <c r="W1027" s="6">
        <f>IF(ISERROR(VLOOKUP($T$1027,'TAR FIN'!$A$1:$O$115,15,0)),0,VLOOKUP($T$1027,'TAR FIN'!$A$1:$O$115,15,0))</f>
        <v>774.97</v>
      </c>
      <c r="X1027" s="6">
        <f>IF(ISERROR(VLOOKUP($U$1027,'TAR FIN'!$A$1:$O$115,15,0)),0,VLOOKUP($U$1027,'TAR FIN'!$A$1:$O$115,15,0))</f>
        <v>168.06</v>
      </c>
      <c r="Y1027" s="6"/>
      <c r="Z1027" s="6">
        <f ca="1">('TUSD BE'!$AM$35+'TUSD BF'!$AM$35+'TUSD CVA'!$AM$35)*1</f>
        <v>811.26443827208175</v>
      </c>
      <c r="AA1027" s="6">
        <f>('TE BE'!$AB$18+'TE BF'!$AB$18+'TE CVA'!$AB$18)*1</f>
        <v>218.6854278594964</v>
      </c>
      <c r="AB1027" s="6">
        <f>$K$1027*$V$1027</f>
        <v>0</v>
      </c>
      <c r="AC1027" s="6">
        <f>$M$1027*$W$1027</f>
        <v>44.948260000000005</v>
      </c>
      <c r="AD1027" s="6">
        <f>$O$1027*$X$1027</f>
        <v>9.7474800000000013</v>
      </c>
      <c r="AE1027" s="6">
        <f>$K$1027*$Y$1027</f>
        <v>0</v>
      </c>
      <c r="AF1027" s="6">
        <f ca="1">$M$1027*$Z$1027</f>
        <v>47.053337419780746</v>
      </c>
      <c r="AG1027" s="6">
        <f>$O$1027*$AA$1027</f>
        <v>12.683754815850792</v>
      </c>
    </row>
    <row r="1028" spans="1:33" ht="11.25" customHeight="1" x14ac:dyDescent="0.25">
      <c r="A1028" s="4" t="s">
        <v>30</v>
      </c>
      <c r="B1028" s="4" t="s">
        <v>22</v>
      </c>
      <c r="C1028" s="4" t="s">
        <v>35</v>
      </c>
      <c r="D1028" s="4" t="s">
        <v>24</v>
      </c>
      <c r="E1028" s="4" t="s">
        <v>24</v>
      </c>
      <c r="F1028" s="4" t="s">
        <v>25</v>
      </c>
      <c r="G1028" s="4" t="s">
        <v>25</v>
      </c>
      <c r="H1028" s="4" t="s">
        <v>38</v>
      </c>
      <c r="I1028" s="5">
        <v>44531</v>
      </c>
      <c r="J1028" s="6">
        <v>0</v>
      </c>
      <c r="K1028" s="6">
        <v>0</v>
      </c>
      <c r="L1028" s="6">
        <v>-2.5000000000000001E-2</v>
      </c>
      <c r="M1028" s="6">
        <v>-2.5000000000000001E-2</v>
      </c>
      <c r="N1028" s="6">
        <v>-2.5000000000000001E-2</v>
      </c>
      <c r="O1028" s="6">
        <v>-2.5000000000000001E-2</v>
      </c>
      <c r="P1028" s="6">
        <v>0</v>
      </c>
      <c r="Q1028" s="4" t="s">
        <v>26</v>
      </c>
      <c r="R1028" s="4">
        <v>0</v>
      </c>
      <c r="S1028" s="6">
        <v>0</v>
      </c>
      <c r="T1028" s="6">
        <v>37</v>
      </c>
      <c r="U1028" s="6">
        <v>81</v>
      </c>
      <c r="V1028" s="6">
        <f>IF(ISERROR(VLOOKUP($S$1028,'TAR FIN'!$A$1:$O$115,15,0)),0,VLOOKUP($S$1028,'TAR FIN'!$A$1:$O$115,15,0))</f>
        <v>0</v>
      </c>
      <c r="W1028" s="6">
        <f>IF(ISERROR(VLOOKUP($T$1028,'TAR FIN'!$A$1:$O$115,15,0)),0,VLOOKUP($T$1028,'TAR FIN'!$A$1:$O$115,15,0))</f>
        <v>774.97</v>
      </c>
      <c r="X1028" s="6">
        <f>IF(ISERROR(VLOOKUP($U$1028,'TAR FIN'!$A$1:$O$115,15,0)),0,VLOOKUP($U$1028,'TAR FIN'!$A$1:$O$115,15,0))</f>
        <v>168.06</v>
      </c>
      <c r="Y1028" s="6"/>
      <c r="Z1028" s="6">
        <f ca="1">('TUSD BE'!$AM$35+'TUSD BF'!$AM$35+'TUSD CVA'!$AM$35)*1</f>
        <v>811.26443827208175</v>
      </c>
      <c r="AA1028" s="6">
        <f>('TE BE'!$AB$18+'TE BF'!$AB$18+'TE CVA'!$AB$18)*1</f>
        <v>218.6854278594964</v>
      </c>
      <c r="AB1028" s="6">
        <f>$K$1028*$V$1028</f>
        <v>0</v>
      </c>
      <c r="AC1028" s="6">
        <f>$M$1028*$W$1028</f>
        <v>-19.374250000000004</v>
      </c>
      <c r="AD1028" s="6">
        <f>$O$1028*$X$1028</f>
        <v>-4.2015000000000002</v>
      </c>
      <c r="AE1028" s="6">
        <f>$K$1028*$Y$1028</f>
        <v>0</v>
      </c>
      <c r="AF1028" s="6">
        <f ca="1">$M$1028*$Z$1028</f>
        <v>-20.281610956802044</v>
      </c>
      <c r="AG1028" s="6">
        <f>$O$1028*$AA$1028</f>
        <v>-5.4671356964874107</v>
      </c>
    </row>
    <row r="1029" spans="1:33" ht="11.25" customHeight="1" x14ac:dyDescent="0.25">
      <c r="A1029" s="4" t="s">
        <v>21</v>
      </c>
      <c r="B1029" s="4" t="s">
        <v>22</v>
      </c>
      <c r="C1029" s="4" t="s">
        <v>35</v>
      </c>
      <c r="D1029" s="4" t="s">
        <v>24</v>
      </c>
      <c r="E1029" s="4" t="s">
        <v>24</v>
      </c>
      <c r="F1029" s="4" t="s">
        <v>25</v>
      </c>
      <c r="G1029" s="4" t="s">
        <v>25</v>
      </c>
      <c r="H1029" s="4" t="s">
        <v>38</v>
      </c>
      <c r="I1029" s="5">
        <v>44562</v>
      </c>
      <c r="J1029" s="6">
        <v>0</v>
      </c>
      <c r="K1029" s="6">
        <v>0</v>
      </c>
      <c r="L1029" s="6">
        <v>0.71799999999999997</v>
      </c>
      <c r="M1029" s="6">
        <v>0.71799999999999997</v>
      </c>
      <c r="N1029" s="6">
        <v>0.71799999999999997</v>
      </c>
      <c r="O1029" s="6">
        <v>0.71799999999999997</v>
      </c>
      <c r="P1029" s="6">
        <v>0</v>
      </c>
      <c r="Q1029" s="4" t="s">
        <v>26</v>
      </c>
      <c r="R1029" s="4">
        <v>0</v>
      </c>
      <c r="S1029" s="6">
        <v>0</v>
      </c>
      <c r="T1029" s="6">
        <v>37</v>
      </c>
      <c r="U1029" s="6">
        <v>81</v>
      </c>
      <c r="V1029" s="6">
        <f>IF(ISERROR(VLOOKUP($S$1029,'TAR FIN'!$A$1:$O$115,15,0)),0,VLOOKUP($S$1029,'TAR FIN'!$A$1:$O$115,15,0))</f>
        <v>0</v>
      </c>
      <c r="W1029" s="6">
        <f>IF(ISERROR(VLOOKUP($T$1029,'TAR FIN'!$A$1:$O$115,15,0)),0,VLOOKUP($T$1029,'TAR FIN'!$A$1:$O$115,15,0))</f>
        <v>774.97</v>
      </c>
      <c r="X1029" s="6">
        <f>IF(ISERROR(VLOOKUP($U$1029,'TAR FIN'!$A$1:$O$115,15,0)),0,VLOOKUP($U$1029,'TAR FIN'!$A$1:$O$115,15,0))</f>
        <v>168.06</v>
      </c>
      <c r="Y1029" s="6"/>
      <c r="Z1029" s="6">
        <f ca="1">('TUSD BE'!$AM$35+'TUSD BF'!$AM$35+'TUSD CVA'!$AM$35)*1</f>
        <v>811.26443827208175</v>
      </c>
      <c r="AA1029" s="6">
        <f>('TE BE'!$AB$18+'TE BF'!$AB$18+'TE CVA'!$AB$18)*1</f>
        <v>218.6854278594964</v>
      </c>
      <c r="AB1029" s="6">
        <f>$K$1029*$V$1029</f>
        <v>0</v>
      </c>
      <c r="AC1029" s="6">
        <f>$M$1029*$W$1029</f>
        <v>556.42845999999997</v>
      </c>
      <c r="AD1029" s="6">
        <f>$O$1029*$X$1029</f>
        <v>120.66708</v>
      </c>
      <c r="AE1029" s="6">
        <f>$K$1029*$Y$1029</f>
        <v>0</v>
      </c>
      <c r="AF1029" s="6">
        <f ca="1">$M$1029*$Z$1029</f>
        <v>582.48786667935462</v>
      </c>
      <c r="AG1029" s="6">
        <f>$O$1029*$AA$1029</f>
        <v>157.0161372031184</v>
      </c>
    </row>
    <row r="1030" spans="1:33" ht="11.25" customHeight="1" x14ac:dyDescent="0.25">
      <c r="A1030" s="4" t="s">
        <v>28</v>
      </c>
      <c r="B1030" s="4" t="s">
        <v>22</v>
      </c>
      <c r="C1030" s="4" t="s">
        <v>35</v>
      </c>
      <c r="D1030" s="4" t="s">
        <v>24</v>
      </c>
      <c r="E1030" s="4" t="s">
        <v>24</v>
      </c>
      <c r="F1030" s="4" t="s">
        <v>25</v>
      </c>
      <c r="G1030" s="4" t="s">
        <v>25</v>
      </c>
      <c r="H1030" s="4" t="s">
        <v>38</v>
      </c>
      <c r="I1030" s="5">
        <v>44562</v>
      </c>
      <c r="J1030" s="6">
        <v>0</v>
      </c>
      <c r="K1030" s="6">
        <v>0</v>
      </c>
      <c r="L1030" s="6">
        <v>4.7E-2</v>
      </c>
      <c r="M1030" s="6">
        <v>4.7E-2</v>
      </c>
      <c r="N1030" s="6">
        <v>4.7E-2</v>
      </c>
      <c r="O1030" s="6">
        <v>4.7E-2</v>
      </c>
      <c r="P1030" s="6">
        <v>0</v>
      </c>
      <c r="Q1030" s="4" t="s">
        <v>26</v>
      </c>
      <c r="R1030" s="4">
        <v>0</v>
      </c>
      <c r="S1030" s="6">
        <v>0</v>
      </c>
      <c r="T1030" s="6">
        <v>37</v>
      </c>
      <c r="U1030" s="6">
        <v>81</v>
      </c>
      <c r="V1030" s="6">
        <f>IF(ISERROR(VLOOKUP($S$1030,'TAR FIN'!$A$1:$O$115,15,0)),0,VLOOKUP($S$1030,'TAR FIN'!$A$1:$O$115,15,0))</f>
        <v>0</v>
      </c>
      <c r="W1030" s="6">
        <f>IF(ISERROR(VLOOKUP($T$1030,'TAR FIN'!$A$1:$O$115,15,0)),0,VLOOKUP($T$1030,'TAR FIN'!$A$1:$O$115,15,0))</f>
        <v>774.97</v>
      </c>
      <c r="X1030" s="6">
        <f>IF(ISERROR(VLOOKUP($U$1030,'TAR FIN'!$A$1:$O$115,15,0)),0,VLOOKUP($U$1030,'TAR FIN'!$A$1:$O$115,15,0))</f>
        <v>168.06</v>
      </c>
      <c r="Y1030" s="6"/>
      <c r="Z1030" s="6">
        <f ca="1">('TUSD BE'!$AM$35+'TUSD BF'!$AM$35+'TUSD CVA'!$AM$35)*1</f>
        <v>811.26443827208175</v>
      </c>
      <c r="AA1030" s="6">
        <f>('TE BE'!$AB$18+'TE BF'!$AB$18+'TE CVA'!$AB$18)*1</f>
        <v>218.6854278594964</v>
      </c>
      <c r="AB1030" s="6">
        <f>$K$1030*$V$1030</f>
        <v>0</v>
      </c>
      <c r="AC1030" s="6">
        <f>$M$1030*$W$1030</f>
        <v>36.423590000000004</v>
      </c>
      <c r="AD1030" s="6">
        <f>$O$1030*$X$1030</f>
        <v>7.8988199999999997</v>
      </c>
      <c r="AE1030" s="6">
        <f>$K$1030*$Y$1030</f>
        <v>0</v>
      </c>
      <c r="AF1030" s="6">
        <f ca="1">$M$1030*$Z$1030</f>
        <v>38.12942859878784</v>
      </c>
      <c r="AG1030" s="6">
        <f>$O$1030*$AA$1030</f>
        <v>10.278215109396331</v>
      </c>
    </row>
    <row r="1031" spans="1:33" ht="11.25" customHeight="1" x14ac:dyDescent="0.25">
      <c r="A1031" s="4" t="s">
        <v>30</v>
      </c>
      <c r="B1031" s="4" t="s">
        <v>22</v>
      </c>
      <c r="C1031" s="4" t="s">
        <v>35</v>
      </c>
      <c r="D1031" s="4" t="s">
        <v>24</v>
      </c>
      <c r="E1031" s="4" t="s">
        <v>24</v>
      </c>
      <c r="F1031" s="4" t="s">
        <v>25</v>
      </c>
      <c r="G1031" s="4" t="s">
        <v>25</v>
      </c>
      <c r="H1031" s="4" t="s">
        <v>38</v>
      </c>
      <c r="I1031" s="5">
        <v>44562</v>
      </c>
      <c r="J1031" s="6">
        <v>0</v>
      </c>
      <c r="K1031" s="6">
        <v>0</v>
      </c>
      <c r="L1031" s="6">
        <v>9.5000000000000001E-2</v>
      </c>
      <c r="M1031" s="6">
        <v>9.5000000000000001E-2</v>
      </c>
      <c r="N1031" s="6">
        <v>9.5000000000000001E-2</v>
      </c>
      <c r="O1031" s="6">
        <v>9.5000000000000001E-2</v>
      </c>
      <c r="P1031" s="6">
        <v>0</v>
      </c>
      <c r="Q1031" s="4" t="s">
        <v>26</v>
      </c>
      <c r="R1031" s="4">
        <v>0</v>
      </c>
      <c r="S1031" s="6">
        <v>0</v>
      </c>
      <c r="T1031" s="6">
        <v>37</v>
      </c>
      <c r="U1031" s="6">
        <v>81</v>
      </c>
      <c r="V1031" s="6">
        <f>IF(ISERROR(VLOOKUP($S$1031,'TAR FIN'!$A$1:$O$115,15,0)),0,VLOOKUP($S$1031,'TAR FIN'!$A$1:$O$115,15,0))</f>
        <v>0</v>
      </c>
      <c r="W1031" s="6">
        <f>IF(ISERROR(VLOOKUP($T$1031,'TAR FIN'!$A$1:$O$115,15,0)),0,VLOOKUP($T$1031,'TAR FIN'!$A$1:$O$115,15,0))</f>
        <v>774.97</v>
      </c>
      <c r="X1031" s="6">
        <f>IF(ISERROR(VLOOKUP($U$1031,'TAR FIN'!$A$1:$O$115,15,0)),0,VLOOKUP($U$1031,'TAR FIN'!$A$1:$O$115,15,0))</f>
        <v>168.06</v>
      </c>
      <c r="Y1031" s="6"/>
      <c r="Z1031" s="6">
        <f ca="1">('TUSD BE'!$AM$35+'TUSD BF'!$AM$35+'TUSD CVA'!$AM$35)*1</f>
        <v>811.26443827208175</v>
      </c>
      <c r="AA1031" s="6">
        <f>('TE BE'!$AB$18+'TE BF'!$AB$18+'TE CVA'!$AB$18)*1</f>
        <v>218.6854278594964</v>
      </c>
      <c r="AB1031" s="6">
        <f>$K$1031*$V$1031</f>
        <v>0</v>
      </c>
      <c r="AC1031" s="6">
        <f>$M$1031*$W$1031</f>
        <v>73.622150000000005</v>
      </c>
      <c r="AD1031" s="6">
        <f>$O$1031*$X$1031</f>
        <v>15.9657</v>
      </c>
      <c r="AE1031" s="6">
        <f>$K$1031*$Y$1031</f>
        <v>0</v>
      </c>
      <c r="AF1031" s="6">
        <f ca="1">$M$1031*$Z$1031</f>
        <v>77.070121635847769</v>
      </c>
      <c r="AG1031" s="6">
        <f>$O$1031*$AA$1031</f>
        <v>20.775115646652157</v>
      </c>
    </row>
    <row r="1032" spans="1:33" ht="11.25" customHeight="1" x14ac:dyDescent="0.25">
      <c r="A1032" s="4" t="s">
        <v>21</v>
      </c>
      <c r="B1032" s="4" t="s">
        <v>22</v>
      </c>
      <c r="C1032" s="4" t="s">
        <v>35</v>
      </c>
      <c r="D1032" s="4" t="s">
        <v>24</v>
      </c>
      <c r="E1032" s="4" t="s">
        <v>24</v>
      </c>
      <c r="F1032" s="4" t="s">
        <v>25</v>
      </c>
      <c r="G1032" s="4" t="s">
        <v>25</v>
      </c>
      <c r="H1032" s="4" t="s">
        <v>38</v>
      </c>
      <c r="I1032" s="5">
        <v>44593</v>
      </c>
      <c r="J1032" s="6">
        <v>0</v>
      </c>
      <c r="K1032" s="6">
        <v>0</v>
      </c>
      <c r="L1032" s="6">
        <v>0.71</v>
      </c>
      <c r="M1032" s="6">
        <v>0.71</v>
      </c>
      <c r="N1032" s="6">
        <v>0.71</v>
      </c>
      <c r="O1032" s="6">
        <v>0.71</v>
      </c>
      <c r="P1032" s="6">
        <v>0</v>
      </c>
      <c r="Q1032" s="4" t="s">
        <v>26</v>
      </c>
      <c r="R1032" s="4">
        <v>0</v>
      </c>
      <c r="S1032" s="6">
        <v>0</v>
      </c>
      <c r="T1032" s="6">
        <v>37</v>
      </c>
      <c r="U1032" s="6">
        <v>81</v>
      </c>
      <c r="V1032" s="6">
        <f>IF(ISERROR(VLOOKUP($S$1032,'TAR FIN'!$A$1:$O$115,15,0)),0,VLOOKUP($S$1032,'TAR FIN'!$A$1:$O$115,15,0))</f>
        <v>0</v>
      </c>
      <c r="W1032" s="6">
        <f>IF(ISERROR(VLOOKUP($T$1032,'TAR FIN'!$A$1:$O$115,15,0)),0,VLOOKUP($T$1032,'TAR FIN'!$A$1:$O$115,15,0))</f>
        <v>774.97</v>
      </c>
      <c r="X1032" s="6">
        <f>IF(ISERROR(VLOOKUP($U$1032,'TAR FIN'!$A$1:$O$115,15,0)),0,VLOOKUP($U$1032,'TAR FIN'!$A$1:$O$115,15,0))</f>
        <v>168.06</v>
      </c>
      <c r="Y1032" s="6"/>
      <c r="Z1032" s="6">
        <f ca="1">('TUSD BE'!$AM$35+'TUSD BF'!$AM$35+'TUSD CVA'!$AM$35)*1</f>
        <v>811.26443827208175</v>
      </c>
      <c r="AA1032" s="6">
        <f>('TE BE'!$AB$18+'TE BF'!$AB$18+'TE CVA'!$AB$18)*1</f>
        <v>218.6854278594964</v>
      </c>
      <c r="AB1032" s="6">
        <f>$K$1032*$V$1032</f>
        <v>0</v>
      </c>
      <c r="AC1032" s="6">
        <f>$M$1032*$W$1032</f>
        <v>550.2287</v>
      </c>
      <c r="AD1032" s="6">
        <f>$O$1032*$X$1032</f>
        <v>119.32259999999999</v>
      </c>
      <c r="AE1032" s="6">
        <f>$K$1032*$Y$1032</f>
        <v>0</v>
      </c>
      <c r="AF1032" s="6">
        <f ca="1">$M$1032*$Z$1032</f>
        <v>575.99775117317802</v>
      </c>
      <c r="AG1032" s="6">
        <f>$O$1032*$AA$1032</f>
        <v>155.26665378024245</v>
      </c>
    </row>
    <row r="1033" spans="1:33" ht="11.25" customHeight="1" x14ac:dyDescent="0.25">
      <c r="A1033" s="4" t="s">
        <v>27</v>
      </c>
      <c r="B1033" s="4" t="s">
        <v>22</v>
      </c>
      <c r="C1033" s="4" t="s">
        <v>35</v>
      </c>
      <c r="D1033" s="4" t="s">
        <v>24</v>
      </c>
      <c r="E1033" s="4" t="s">
        <v>24</v>
      </c>
      <c r="F1033" s="4" t="s">
        <v>25</v>
      </c>
      <c r="G1033" s="4" t="s">
        <v>25</v>
      </c>
      <c r="H1033" s="4" t="s">
        <v>38</v>
      </c>
      <c r="I1033" s="5">
        <v>44593</v>
      </c>
      <c r="J1033" s="6">
        <v>0</v>
      </c>
      <c r="K1033" s="6">
        <v>0</v>
      </c>
      <c r="L1033" s="6">
        <v>2.1000000000000001E-2</v>
      </c>
      <c r="M1033" s="6">
        <v>2.1000000000000001E-2</v>
      </c>
      <c r="N1033" s="6">
        <v>2.1000000000000001E-2</v>
      </c>
      <c r="O1033" s="6">
        <v>2.1000000000000001E-2</v>
      </c>
      <c r="P1033" s="6">
        <v>0</v>
      </c>
      <c r="Q1033" s="4" t="s">
        <v>26</v>
      </c>
      <c r="R1033" s="4">
        <v>0</v>
      </c>
      <c r="S1033" s="6">
        <v>0</v>
      </c>
      <c r="T1033" s="6">
        <v>37</v>
      </c>
      <c r="U1033" s="6">
        <v>81</v>
      </c>
      <c r="V1033" s="6">
        <f>IF(ISERROR(VLOOKUP($S$1033,'TAR FIN'!$A$1:$O$115,15,0)),0,VLOOKUP($S$1033,'TAR FIN'!$A$1:$O$115,15,0))</f>
        <v>0</v>
      </c>
      <c r="W1033" s="6">
        <f>IF(ISERROR(VLOOKUP($T$1033,'TAR FIN'!$A$1:$O$115,15,0)),0,VLOOKUP($T$1033,'TAR FIN'!$A$1:$O$115,15,0))</f>
        <v>774.97</v>
      </c>
      <c r="X1033" s="6">
        <f>IF(ISERROR(VLOOKUP($U$1033,'TAR FIN'!$A$1:$O$115,15,0)),0,VLOOKUP($U$1033,'TAR FIN'!$A$1:$O$115,15,0))</f>
        <v>168.06</v>
      </c>
      <c r="Y1033" s="6"/>
      <c r="Z1033" s="6">
        <f ca="1">('TUSD BE'!$AM$35+'TUSD BF'!$AM$35+'TUSD CVA'!$AM$35)*1</f>
        <v>811.26443827208175</v>
      </c>
      <c r="AA1033" s="6">
        <f>('TE BE'!$AB$18+'TE BF'!$AB$18+'TE CVA'!$AB$18)*1</f>
        <v>218.6854278594964</v>
      </c>
      <c r="AB1033" s="6">
        <f>$K$1033*$V$1033</f>
        <v>0</v>
      </c>
      <c r="AC1033" s="6">
        <f>$M$1033*$W$1033</f>
        <v>16.274370000000001</v>
      </c>
      <c r="AD1033" s="6">
        <f>$O$1033*$X$1033</f>
        <v>3.5292600000000003</v>
      </c>
      <c r="AE1033" s="6">
        <f>$K$1033*$Y$1033</f>
        <v>0</v>
      </c>
      <c r="AF1033" s="6">
        <f ca="1">$M$1033*$Z$1033</f>
        <v>17.036553203713719</v>
      </c>
      <c r="AG1033" s="6">
        <f>$O$1033*$AA$1033</f>
        <v>4.5923939850494246</v>
      </c>
    </row>
    <row r="1034" spans="1:33" ht="11.25" customHeight="1" x14ac:dyDescent="0.25">
      <c r="A1034" s="4" t="s">
        <v>28</v>
      </c>
      <c r="B1034" s="4" t="s">
        <v>22</v>
      </c>
      <c r="C1034" s="4" t="s">
        <v>35</v>
      </c>
      <c r="D1034" s="4" t="s">
        <v>24</v>
      </c>
      <c r="E1034" s="4" t="s">
        <v>24</v>
      </c>
      <c r="F1034" s="4" t="s">
        <v>25</v>
      </c>
      <c r="G1034" s="4" t="s">
        <v>25</v>
      </c>
      <c r="H1034" s="4" t="s">
        <v>38</v>
      </c>
      <c r="I1034" s="5">
        <v>44593</v>
      </c>
      <c r="J1034" s="6">
        <v>0</v>
      </c>
      <c r="K1034" s="6">
        <v>0</v>
      </c>
      <c r="L1034" s="6">
        <v>4.8000000000000001E-2</v>
      </c>
      <c r="M1034" s="6">
        <v>4.8000000000000001E-2</v>
      </c>
      <c r="N1034" s="6">
        <v>4.8000000000000001E-2</v>
      </c>
      <c r="O1034" s="6">
        <v>4.8000000000000001E-2</v>
      </c>
      <c r="P1034" s="6">
        <v>0</v>
      </c>
      <c r="Q1034" s="4" t="s">
        <v>26</v>
      </c>
      <c r="R1034" s="4">
        <v>0</v>
      </c>
      <c r="S1034" s="6">
        <v>0</v>
      </c>
      <c r="T1034" s="6">
        <v>37</v>
      </c>
      <c r="U1034" s="6">
        <v>81</v>
      </c>
      <c r="V1034" s="6">
        <f>IF(ISERROR(VLOOKUP($S$1034,'TAR FIN'!$A$1:$O$115,15,0)),0,VLOOKUP($S$1034,'TAR FIN'!$A$1:$O$115,15,0))</f>
        <v>0</v>
      </c>
      <c r="W1034" s="6">
        <f>IF(ISERROR(VLOOKUP($T$1034,'TAR FIN'!$A$1:$O$115,15,0)),0,VLOOKUP($T$1034,'TAR FIN'!$A$1:$O$115,15,0))</f>
        <v>774.97</v>
      </c>
      <c r="X1034" s="6">
        <f>IF(ISERROR(VLOOKUP($U$1034,'TAR FIN'!$A$1:$O$115,15,0)),0,VLOOKUP($U$1034,'TAR FIN'!$A$1:$O$115,15,0))</f>
        <v>168.06</v>
      </c>
      <c r="Y1034" s="6"/>
      <c r="Z1034" s="6">
        <f ca="1">('TUSD BE'!$AM$35+'TUSD BF'!$AM$35+'TUSD CVA'!$AM$35)*1</f>
        <v>811.26443827208175</v>
      </c>
      <c r="AA1034" s="6">
        <f>('TE BE'!$AB$18+'TE BF'!$AB$18+'TE CVA'!$AB$18)*1</f>
        <v>218.6854278594964</v>
      </c>
      <c r="AB1034" s="6">
        <f>$K$1034*$V$1034</f>
        <v>0</v>
      </c>
      <c r="AC1034" s="6">
        <f>$M$1034*$W$1034</f>
        <v>37.198560000000001</v>
      </c>
      <c r="AD1034" s="6">
        <f>$O$1034*$X$1034</f>
        <v>8.0668800000000012</v>
      </c>
      <c r="AE1034" s="6">
        <f>$K$1034*$Y$1034</f>
        <v>0</v>
      </c>
      <c r="AF1034" s="6">
        <f ca="1">$M$1034*$Z$1034</f>
        <v>38.940693037059923</v>
      </c>
      <c r="AG1034" s="6">
        <f>$O$1034*$AA$1034</f>
        <v>10.496900537255828</v>
      </c>
    </row>
    <row r="1035" spans="1:33" ht="11.25" customHeight="1" x14ac:dyDescent="0.25">
      <c r="A1035" s="4" t="s">
        <v>30</v>
      </c>
      <c r="B1035" s="4" t="s">
        <v>22</v>
      </c>
      <c r="C1035" s="4" t="s">
        <v>35</v>
      </c>
      <c r="D1035" s="4" t="s">
        <v>24</v>
      </c>
      <c r="E1035" s="4" t="s">
        <v>24</v>
      </c>
      <c r="F1035" s="4" t="s">
        <v>25</v>
      </c>
      <c r="G1035" s="4" t="s">
        <v>25</v>
      </c>
      <c r="H1035" s="4" t="s">
        <v>38</v>
      </c>
      <c r="I1035" s="5">
        <v>44593</v>
      </c>
      <c r="J1035" s="6">
        <v>0</v>
      </c>
      <c r="K1035" s="6">
        <v>0</v>
      </c>
      <c r="L1035" s="6">
        <v>-2.5000000000000001E-2</v>
      </c>
      <c r="M1035" s="6">
        <v>-2.5000000000000001E-2</v>
      </c>
      <c r="N1035" s="6">
        <v>-2.5000000000000001E-2</v>
      </c>
      <c r="O1035" s="6">
        <v>-2.5000000000000001E-2</v>
      </c>
      <c r="P1035" s="6">
        <v>0</v>
      </c>
      <c r="Q1035" s="4" t="s">
        <v>26</v>
      </c>
      <c r="R1035" s="4">
        <v>0</v>
      </c>
      <c r="S1035" s="6">
        <v>0</v>
      </c>
      <c r="T1035" s="6">
        <v>37</v>
      </c>
      <c r="U1035" s="6">
        <v>81</v>
      </c>
      <c r="V1035" s="6">
        <f>IF(ISERROR(VLOOKUP($S$1035,'TAR FIN'!$A$1:$O$115,15,0)),0,VLOOKUP($S$1035,'TAR FIN'!$A$1:$O$115,15,0))</f>
        <v>0</v>
      </c>
      <c r="W1035" s="6">
        <f>IF(ISERROR(VLOOKUP($T$1035,'TAR FIN'!$A$1:$O$115,15,0)),0,VLOOKUP($T$1035,'TAR FIN'!$A$1:$O$115,15,0))</f>
        <v>774.97</v>
      </c>
      <c r="X1035" s="6">
        <f>IF(ISERROR(VLOOKUP($U$1035,'TAR FIN'!$A$1:$O$115,15,0)),0,VLOOKUP($U$1035,'TAR FIN'!$A$1:$O$115,15,0))</f>
        <v>168.06</v>
      </c>
      <c r="Y1035" s="6"/>
      <c r="Z1035" s="6">
        <f ca="1">('TUSD BE'!$AM$35+'TUSD BF'!$AM$35+'TUSD CVA'!$AM$35)*1</f>
        <v>811.26443827208175</v>
      </c>
      <c r="AA1035" s="6">
        <f>('TE BE'!$AB$18+'TE BF'!$AB$18+'TE CVA'!$AB$18)*1</f>
        <v>218.6854278594964</v>
      </c>
      <c r="AB1035" s="6">
        <f>$K$1035*$V$1035</f>
        <v>0</v>
      </c>
      <c r="AC1035" s="6">
        <f>$M$1035*$W$1035</f>
        <v>-19.374250000000004</v>
      </c>
      <c r="AD1035" s="6">
        <f>$O$1035*$X$1035</f>
        <v>-4.2015000000000002</v>
      </c>
      <c r="AE1035" s="6">
        <f>$K$1035*$Y$1035</f>
        <v>0</v>
      </c>
      <c r="AF1035" s="6">
        <f ca="1">$M$1035*$Z$1035</f>
        <v>-20.281610956802044</v>
      </c>
      <c r="AG1035" s="6">
        <f>$O$1035*$AA$1035</f>
        <v>-5.4671356964874107</v>
      </c>
    </row>
    <row r="1036" spans="1:33" ht="11.25" customHeight="1" x14ac:dyDescent="0.25">
      <c r="A1036" s="4" t="s">
        <v>21</v>
      </c>
      <c r="B1036" s="4" t="s">
        <v>22</v>
      </c>
      <c r="C1036" s="4" t="s">
        <v>35</v>
      </c>
      <c r="D1036" s="4" t="s">
        <v>24</v>
      </c>
      <c r="E1036" s="4" t="s">
        <v>24</v>
      </c>
      <c r="F1036" s="4" t="s">
        <v>25</v>
      </c>
      <c r="G1036" s="4" t="s">
        <v>25</v>
      </c>
      <c r="H1036" s="4" t="s">
        <v>38</v>
      </c>
      <c r="I1036" s="5">
        <v>44621</v>
      </c>
      <c r="J1036" s="6">
        <v>0</v>
      </c>
      <c r="K1036" s="6">
        <v>0</v>
      </c>
      <c r="L1036" s="6">
        <v>2.0089999999999999</v>
      </c>
      <c r="M1036" s="6">
        <v>2.0089999999999999</v>
      </c>
      <c r="N1036" s="6">
        <v>2.0089999999999999</v>
      </c>
      <c r="O1036" s="6">
        <v>2.0089999999999999</v>
      </c>
      <c r="P1036" s="6">
        <v>0</v>
      </c>
      <c r="Q1036" s="4" t="s">
        <v>26</v>
      </c>
      <c r="R1036" s="4">
        <v>0</v>
      </c>
      <c r="S1036" s="6">
        <v>0</v>
      </c>
      <c r="T1036" s="6">
        <v>37</v>
      </c>
      <c r="U1036" s="6">
        <v>81</v>
      </c>
      <c r="V1036" s="6">
        <f>IF(ISERROR(VLOOKUP($S$1036,'TAR FIN'!$A$1:$O$115,15,0)),0,VLOOKUP($S$1036,'TAR FIN'!$A$1:$O$115,15,0))</f>
        <v>0</v>
      </c>
      <c r="W1036" s="6">
        <f>IF(ISERROR(VLOOKUP($T$1036,'TAR FIN'!$A$1:$O$115,15,0)),0,VLOOKUP($T$1036,'TAR FIN'!$A$1:$O$115,15,0))</f>
        <v>774.97</v>
      </c>
      <c r="X1036" s="6">
        <f>IF(ISERROR(VLOOKUP($U$1036,'TAR FIN'!$A$1:$O$115,15,0)),0,VLOOKUP($U$1036,'TAR FIN'!$A$1:$O$115,15,0))</f>
        <v>168.06</v>
      </c>
      <c r="Y1036" s="6"/>
      <c r="Z1036" s="6">
        <f ca="1">('TUSD BE'!$AM$35+'TUSD BF'!$AM$35+'TUSD CVA'!$AM$35)*1</f>
        <v>811.26443827208175</v>
      </c>
      <c r="AA1036" s="6">
        <f>('TE BE'!$AB$18+'TE BF'!$AB$18+'TE CVA'!$AB$18)*1</f>
        <v>218.6854278594964</v>
      </c>
      <c r="AB1036" s="6">
        <f>$K$1036*$V$1036</f>
        <v>0</v>
      </c>
      <c r="AC1036" s="6">
        <f>$M$1036*$W$1036</f>
        <v>1556.91473</v>
      </c>
      <c r="AD1036" s="6">
        <f>$O$1036*$X$1036</f>
        <v>337.63254000000001</v>
      </c>
      <c r="AE1036" s="6">
        <f>$K$1036*$Y$1036</f>
        <v>0</v>
      </c>
      <c r="AF1036" s="6">
        <f ca="1">$M$1036*$Z$1036</f>
        <v>1629.8302564886121</v>
      </c>
      <c r="AG1036" s="6">
        <f>$O$1036*$AA$1036</f>
        <v>439.33902456972822</v>
      </c>
    </row>
    <row r="1037" spans="1:33" ht="11.25" customHeight="1" x14ac:dyDescent="0.25">
      <c r="A1037" s="4" t="s">
        <v>28</v>
      </c>
      <c r="B1037" s="4" t="s">
        <v>22</v>
      </c>
      <c r="C1037" s="4" t="s">
        <v>35</v>
      </c>
      <c r="D1037" s="4" t="s">
        <v>24</v>
      </c>
      <c r="E1037" s="4" t="s">
        <v>24</v>
      </c>
      <c r="F1037" s="4" t="s">
        <v>25</v>
      </c>
      <c r="G1037" s="4" t="s">
        <v>25</v>
      </c>
      <c r="H1037" s="4" t="s">
        <v>38</v>
      </c>
      <c r="I1037" s="5">
        <v>44621</v>
      </c>
      <c r="J1037" s="6">
        <v>0</v>
      </c>
      <c r="K1037" s="6">
        <v>0</v>
      </c>
      <c r="L1037" s="6">
        <v>5.8999999999999997E-2</v>
      </c>
      <c r="M1037" s="6">
        <v>5.8999999999999997E-2</v>
      </c>
      <c r="N1037" s="6">
        <v>5.8999999999999997E-2</v>
      </c>
      <c r="O1037" s="6">
        <v>5.8999999999999997E-2</v>
      </c>
      <c r="P1037" s="6">
        <v>0</v>
      </c>
      <c r="Q1037" s="4" t="s">
        <v>26</v>
      </c>
      <c r="R1037" s="4">
        <v>0</v>
      </c>
      <c r="S1037" s="6">
        <v>0</v>
      </c>
      <c r="T1037" s="6">
        <v>37</v>
      </c>
      <c r="U1037" s="6">
        <v>81</v>
      </c>
      <c r="V1037" s="6">
        <f>IF(ISERROR(VLOOKUP($S$1037,'TAR FIN'!$A$1:$O$115,15,0)),0,VLOOKUP($S$1037,'TAR FIN'!$A$1:$O$115,15,0))</f>
        <v>0</v>
      </c>
      <c r="W1037" s="6">
        <f>IF(ISERROR(VLOOKUP($T$1037,'TAR FIN'!$A$1:$O$115,15,0)),0,VLOOKUP($T$1037,'TAR FIN'!$A$1:$O$115,15,0))</f>
        <v>774.97</v>
      </c>
      <c r="X1037" s="6">
        <f>IF(ISERROR(VLOOKUP($U$1037,'TAR FIN'!$A$1:$O$115,15,0)),0,VLOOKUP($U$1037,'TAR FIN'!$A$1:$O$115,15,0))</f>
        <v>168.06</v>
      </c>
      <c r="Y1037" s="6"/>
      <c r="Z1037" s="6">
        <f ca="1">('TUSD BE'!$AM$35+'TUSD BF'!$AM$35+'TUSD CVA'!$AM$35)*1</f>
        <v>811.26443827208175</v>
      </c>
      <c r="AA1037" s="6">
        <f>('TE BE'!$AB$18+'TE BF'!$AB$18+'TE CVA'!$AB$18)*1</f>
        <v>218.6854278594964</v>
      </c>
      <c r="AB1037" s="6">
        <f>$K$1037*$V$1037</f>
        <v>0</v>
      </c>
      <c r="AC1037" s="6">
        <f>$M$1037*$W$1037</f>
        <v>45.723230000000001</v>
      </c>
      <c r="AD1037" s="6">
        <f>$O$1037*$X$1037</f>
        <v>9.91554</v>
      </c>
      <c r="AE1037" s="6">
        <f>$K$1037*$Y$1037</f>
        <v>0</v>
      </c>
      <c r="AF1037" s="6">
        <f ca="1">$M$1037*$Z$1037</f>
        <v>47.864601858052822</v>
      </c>
      <c r="AG1037" s="6">
        <f>$O$1037*$AA$1037</f>
        <v>12.902440243710286</v>
      </c>
    </row>
    <row r="1038" spans="1:33" ht="11.25" customHeight="1" x14ac:dyDescent="0.25">
      <c r="A1038" s="4" t="s">
        <v>30</v>
      </c>
      <c r="B1038" s="4" t="s">
        <v>22</v>
      </c>
      <c r="C1038" s="4" t="s">
        <v>35</v>
      </c>
      <c r="D1038" s="4" t="s">
        <v>24</v>
      </c>
      <c r="E1038" s="4" t="s">
        <v>24</v>
      </c>
      <c r="F1038" s="4" t="s">
        <v>25</v>
      </c>
      <c r="G1038" s="4" t="s">
        <v>25</v>
      </c>
      <c r="H1038" s="4" t="s">
        <v>38</v>
      </c>
      <c r="I1038" s="5">
        <v>44621</v>
      </c>
      <c r="J1038" s="6">
        <v>0</v>
      </c>
      <c r="K1038" s="6">
        <v>0</v>
      </c>
      <c r="L1038" s="6">
        <v>1.0999999999999999E-2</v>
      </c>
      <c r="M1038" s="6">
        <v>1.0999999999999999E-2</v>
      </c>
      <c r="N1038" s="6">
        <v>1.0999999999999999E-2</v>
      </c>
      <c r="O1038" s="6">
        <v>1.0999999999999999E-2</v>
      </c>
      <c r="P1038" s="6">
        <v>0</v>
      </c>
      <c r="Q1038" s="4" t="s">
        <v>26</v>
      </c>
      <c r="R1038" s="4">
        <v>0</v>
      </c>
      <c r="S1038" s="6">
        <v>0</v>
      </c>
      <c r="T1038" s="6">
        <v>37</v>
      </c>
      <c r="U1038" s="6">
        <v>81</v>
      </c>
      <c r="V1038" s="6">
        <f>IF(ISERROR(VLOOKUP($S$1038,'TAR FIN'!$A$1:$O$115,15,0)),0,VLOOKUP($S$1038,'TAR FIN'!$A$1:$O$115,15,0))</f>
        <v>0</v>
      </c>
      <c r="W1038" s="6">
        <f>IF(ISERROR(VLOOKUP($T$1038,'TAR FIN'!$A$1:$O$115,15,0)),0,VLOOKUP($T$1038,'TAR FIN'!$A$1:$O$115,15,0))</f>
        <v>774.97</v>
      </c>
      <c r="X1038" s="6">
        <f>IF(ISERROR(VLOOKUP($U$1038,'TAR FIN'!$A$1:$O$115,15,0)),0,VLOOKUP($U$1038,'TAR FIN'!$A$1:$O$115,15,0))</f>
        <v>168.06</v>
      </c>
      <c r="Y1038" s="6"/>
      <c r="Z1038" s="6">
        <f ca="1">('TUSD BE'!$AM$35+'TUSD BF'!$AM$35+'TUSD CVA'!$AM$35)*1</f>
        <v>811.26443827208175</v>
      </c>
      <c r="AA1038" s="6">
        <f>('TE BE'!$AB$18+'TE BF'!$AB$18+'TE CVA'!$AB$18)*1</f>
        <v>218.6854278594964</v>
      </c>
      <c r="AB1038" s="6">
        <f>$K$1038*$V$1038</f>
        <v>0</v>
      </c>
      <c r="AC1038" s="6">
        <f>$M$1038*$W$1038</f>
        <v>8.5246700000000004</v>
      </c>
      <c r="AD1038" s="6">
        <f>$O$1038*$X$1038</f>
        <v>1.84866</v>
      </c>
      <c r="AE1038" s="6">
        <f>$K$1038*$Y$1038</f>
        <v>0</v>
      </c>
      <c r="AF1038" s="6">
        <f ca="1">$M$1038*$Z$1038</f>
        <v>8.9239088209928994</v>
      </c>
      <c r="AG1038" s="6">
        <f>$O$1038*$AA$1038</f>
        <v>2.4055397064544604</v>
      </c>
    </row>
    <row r="1039" spans="1:33" ht="11.25" customHeight="1" x14ac:dyDescent="0.25">
      <c r="A1039" s="4" t="s">
        <v>21</v>
      </c>
      <c r="B1039" s="4" t="s">
        <v>22</v>
      </c>
      <c r="C1039" s="4" t="s">
        <v>35</v>
      </c>
      <c r="D1039" s="4" t="s">
        <v>24</v>
      </c>
      <c r="E1039" s="4" t="s">
        <v>24</v>
      </c>
      <c r="F1039" s="4" t="s">
        <v>25</v>
      </c>
      <c r="G1039" s="4" t="s">
        <v>25</v>
      </c>
      <c r="H1039" s="4" t="s">
        <v>38</v>
      </c>
      <c r="I1039" s="5">
        <v>44652</v>
      </c>
      <c r="J1039" s="6">
        <v>0</v>
      </c>
      <c r="K1039" s="6">
        <v>0</v>
      </c>
      <c r="L1039" s="6">
        <v>1.0509999999999999</v>
      </c>
      <c r="M1039" s="6">
        <v>1.0509999999999999</v>
      </c>
      <c r="N1039" s="6">
        <v>1.0509999999999999</v>
      </c>
      <c r="O1039" s="6">
        <v>1.0509999999999999</v>
      </c>
      <c r="P1039" s="6">
        <v>0</v>
      </c>
      <c r="Q1039" s="4" t="s">
        <v>26</v>
      </c>
      <c r="R1039" s="4">
        <v>0</v>
      </c>
      <c r="S1039" s="6">
        <v>0</v>
      </c>
      <c r="T1039" s="6">
        <v>37</v>
      </c>
      <c r="U1039" s="6">
        <v>81</v>
      </c>
      <c r="V1039" s="6">
        <f>IF(ISERROR(VLOOKUP($S$1039,'TAR FIN'!$A$1:$O$115,15,0)),0,VLOOKUP($S$1039,'TAR FIN'!$A$1:$O$115,15,0))</f>
        <v>0</v>
      </c>
      <c r="W1039" s="6">
        <f>IF(ISERROR(VLOOKUP($T$1039,'TAR FIN'!$A$1:$O$115,15,0)),0,VLOOKUP($T$1039,'TAR FIN'!$A$1:$O$115,15,0))</f>
        <v>774.97</v>
      </c>
      <c r="X1039" s="6">
        <f>IF(ISERROR(VLOOKUP($U$1039,'TAR FIN'!$A$1:$O$115,15,0)),0,VLOOKUP($U$1039,'TAR FIN'!$A$1:$O$115,15,0))</f>
        <v>168.06</v>
      </c>
      <c r="Y1039" s="6"/>
      <c r="Z1039" s="6">
        <f ca="1">('TUSD BE'!$AM$35+'TUSD BF'!$AM$35+'TUSD CVA'!$AM$35)*1</f>
        <v>811.26443827208175</v>
      </c>
      <c r="AA1039" s="6">
        <f>('TE BE'!$AB$18+'TE BF'!$AB$18+'TE CVA'!$AB$18)*1</f>
        <v>218.6854278594964</v>
      </c>
      <c r="AB1039" s="6">
        <f>$K$1039*$V$1039</f>
        <v>0</v>
      </c>
      <c r="AC1039" s="6">
        <f>$M$1039*$W$1039</f>
        <v>814.49347</v>
      </c>
      <c r="AD1039" s="6">
        <f>$O$1039*$X$1039</f>
        <v>176.63105999999999</v>
      </c>
      <c r="AE1039" s="6">
        <f>$K$1039*$Y$1039</f>
        <v>0</v>
      </c>
      <c r="AF1039" s="6">
        <f ca="1">$M$1039*$Z$1039</f>
        <v>852.63892462395791</v>
      </c>
      <c r="AG1039" s="6">
        <f>$O$1039*$AA$1039</f>
        <v>229.83838468033071</v>
      </c>
    </row>
    <row r="1040" spans="1:33" ht="11.25" customHeight="1" x14ac:dyDescent="0.25">
      <c r="A1040" s="4" t="s">
        <v>28</v>
      </c>
      <c r="B1040" s="4" t="s">
        <v>22</v>
      </c>
      <c r="C1040" s="4" t="s">
        <v>35</v>
      </c>
      <c r="D1040" s="4" t="s">
        <v>24</v>
      </c>
      <c r="E1040" s="4" t="s">
        <v>24</v>
      </c>
      <c r="F1040" s="4" t="s">
        <v>25</v>
      </c>
      <c r="G1040" s="4" t="s">
        <v>25</v>
      </c>
      <c r="H1040" s="4" t="s">
        <v>38</v>
      </c>
      <c r="I1040" s="5">
        <v>44652</v>
      </c>
      <c r="J1040" s="6">
        <v>0</v>
      </c>
      <c r="K1040" s="6">
        <v>0</v>
      </c>
      <c r="L1040" s="6">
        <v>3.1E-2</v>
      </c>
      <c r="M1040" s="6">
        <v>3.1E-2</v>
      </c>
      <c r="N1040" s="6">
        <v>3.1E-2</v>
      </c>
      <c r="O1040" s="6">
        <v>3.1E-2</v>
      </c>
      <c r="P1040" s="6">
        <v>0</v>
      </c>
      <c r="Q1040" s="4" t="s">
        <v>26</v>
      </c>
      <c r="R1040" s="4">
        <v>0</v>
      </c>
      <c r="S1040" s="6">
        <v>0</v>
      </c>
      <c r="T1040" s="6">
        <v>37</v>
      </c>
      <c r="U1040" s="6">
        <v>81</v>
      </c>
      <c r="V1040" s="6">
        <f>IF(ISERROR(VLOOKUP($S$1040,'TAR FIN'!$A$1:$O$115,15,0)),0,VLOOKUP($S$1040,'TAR FIN'!$A$1:$O$115,15,0))</f>
        <v>0</v>
      </c>
      <c r="W1040" s="6">
        <f>IF(ISERROR(VLOOKUP($T$1040,'TAR FIN'!$A$1:$O$115,15,0)),0,VLOOKUP($T$1040,'TAR FIN'!$A$1:$O$115,15,0))</f>
        <v>774.97</v>
      </c>
      <c r="X1040" s="6">
        <f>IF(ISERROR(VLOOKUP($U$1040,'TAR FIN'!$A$1:$O$115,15,0)),0,VLOOKUP($U$1040,'TAR FIN'!$A$1:$O$115,15,0))</f>
        <v>168.06</v>
      </c>
      <c r="Y1040" s="6"/>
      <c r="Z1040" s="6">
        <f ca="1">('TUSD BE'!$AM$35+'TUSD BF'!$AM$35+'TUSD CVA'!$AM$35)*1</f>
        <v>811.26443827208175</v>
      </c>
      <c r="AA1040" s="6">
        <f>('TE BE'!$AB$18+'TE BF'!$AB$18+'TE CVA'!$AB$18)*1</f>
        <v>218.6854278594964</v>
      </c>
      <c r="AB1040" s="6">
        <f>$K$1040*$V$1040</f>
        <v>0</v>
      </c>
      <c r="AC1040" s="6">
        <f>$M$1040*$W$1040</f>
        <v>24.024070000000002</v>
      </c>
      <c r="AD1040" s="6">
        <f>$O$1040*$X$1040</f>
        <v>5.2098599999999999</v>
      </c>
      <c r="AE1040" s="6">
        <f>$K$1040*$Y$1040</f>
        <v>0</v>
      </c>
      <c r="AF1040" s="6">
        <f ca="1">$M$1040*$Z$1040</f>
        <v>25.149197586434536</v>
      </c>
      <c r="AG1040" s="6">
        <f>$O$1040*$AA$1040</f>
        <v>6.779248263644388</v>
      </c>
    </row>
    <row r="1041" spans="1:33" ht="11.25" customHeight="1" x14ac:dyDescent="0.25">
      <c r="A1041" s="4" t="s">
        <v>30</v>
      </c>
      <c r="B1041" s="4" t="s">
        <v>22</v>
      </c>
      <c r="C1041" s="4" t="s">
        <v>35</v>
      </c>
      <c r="D1041" s="4" t="s">
        <v>24</v>
      </c>
      <c r="E1041" s="4" t="s">
        <v>24</v>
      </c>
      <c r="F1041" s="4" t="s">
        <v>25</v>
      </c>
      <c r="G1041" s="4" t="s">
        <v>25</v>
      </c>
      <c r="H1041" s="4" t="s">
        <v>38</v>
      </c>
      <c r="I1041" s="5">
        <v>44652</v>
      </c>
      <c r="J1041" s="6">
        <v>0</v>
      </c>
      <c r="K1041" s="6">
        <v>0</v>
      </c>
      <c r="L1041" s="6">
        <v>1.0999999999999999E-2</v>
      </c>
      <c r="M1041" s="6">
        <v>1.0999999999999999E-2</v>
      </c>
      <c r="N1041" s="6">
        <v>1.0999999999999999E-2</v>
      </c>
      <c r="O1041" s="6">
        <v>1.0999999999999999E-2</v>
      </c>
      <c r="P1041" s="6">
        <v>0</v>
      </c>
      <c r="Q1041" s="4" t="s">
        <v>26</v>
      </c>
      <c r="R1041" s="4">
        <v>0</v>
      </c>
      <c r="S1041" s="6">
        <v>0</v>
      </c>
      <c r="T1041" s="6">
        <v>37</v>
      </c>
      <c r="U1041" s="6">
        <v>81</v>
      </c>
      <c r="V1041" s="6">
        <f>IF(ISERROR(VLOOKUP($S$1041,'TAR FIN'!$A$1:$O$115,15,0)),0,VLOOKUP($S$1041,'TAR FIN'!$A$1:$O$115,15,0))</f>
        <v>0</v>
      </c>
      <c r="W1041" s="6">
        <f>IF(ISERROR(VLOOKUP($T$1041,'TAR FIN'!$A$1:$O$115,15,0)),0,VLOOKUP($T$1041,'TAR FIN'!$A$1:$O$115,15,0))</f>
        <v>774.97</v>
      </c>
      <c r="X1041" s="6">
        <f>IF(ISERROR(VLOOKUP($U$1041,'TAR FIN'!$A$1:$O$115,15,0)),0,VLOOKUP($U$1041,'TAR FIN'!$A$1:$O$115,15,0))</f>
        <v>168.06</v>
      </c>
      <c r="Y1041" s="6"/>
      <c r="Z1041" s="6">
        <f ca="1">('TUSD BE'!$AM$35+'TUSD BF'!$AM$35+'TUSD CVA'!$AM$35)*1</f>
        <v>811.26443827208175</v>
      </c>
      <c r="AA1041" s="6">
        <f>('TE BE'!$AB$18+'TE BF'!$AB$18+'TE CVA'!$AB$18)*1</f>
        <v>218.6854278594964</v>
      </c>
      <c r="AB1041" s="6">
        <f>$K$1041*$V$1041</f>
        <v>0</v>
      </c>
      <c r="AC1041" s="6">
        <f>$M$1041*$W$1041</f>
        <v>8.5246700000000004</v>
      </c>
      <c r="AD1041" s="6">
        <f>$O$1041*$X$1041</f>
        <v>1.84866</v>
      </c>
      <c r="AE1041" s="6">
        <f>$K$1041*$Y$1041</f>
        <v>0</v>
      </c>
      <c r="AF1041" s="6">
        <f ca="1">$M$1041*$Z$1041</f>
        <v>8.9239088209928994</v>
      </c>
      <c r="AG1041" s="6">
        <f>$O$1041*$AA$1041</f>
        <v>2.4055397064544604</v>
      </c>
    </row>
    <row r="1042" spans="1:33" ht="11.25" customHeight="1" x14ac:dyDescent="0.25">
      <c r="A1042" s="4" t="s">
        <v>21</v>
      </c>
      <c r="B1042" s="4" t="s">
        <v>22</v>
      </c>
      <c r="C1042" s="4" t="s">
        <v>35</v>
      </c>
      <c r="D1042" s="4" t="s">
        <v>24</v>
      </c>
      <c r="E1042" s="4" t="s">
        <v>24</v>
      </c>
      <c r="F1042" s="4" t="s">
        <v>25</v>
      </c>
      <c r="G1042" s="4" t="s">
        <v>25</v>
      </c>
      <c r="H1042" s="4" t="s">
        <v>38</v>
      </c>
      <c r="I1042" s="5">
        <v>44682</v>
      </c>
      <c r="J1042" s="6">
        <v>0</v>
      </c>
      <c r="K1042" s="6">
        <v>0</v>
      </c>
      <c r="L1042" s="6">
        <v>1.29</v>
      </c>
      <c r="M1042" s="6">
        <v>1.29</v>
      </c>
      <c r="N1042" s="6">
        <v>1.29</v>
      </c>
      <c r="O1042" s="6">
        <v>1.29</v>
      </c>
      <c r="P1042" s="6">
        <v>0</v>
      </c>
      <c r="Q1042" s="4" t="s">
        <v>26</v>
      </c>
      <c r="R1042" s="4">
        <v>0</v>
      </c>
      <c r="S1042" s="6">
        <v>0</v>
      </c>
      <c r="T1042" s="6">
        <v>37</v>
      </c>
      <c r="U1042" s="6">
        <v>81</v>
      </c>
      <c r="V1042" s="6">
        <f>IF(ISERROR(VLOOKUP($S$1042,'TAR FIN'!$A$1:$O$115,15,0)),0,VLOOKUP($S$1042,'TAR FIN'!$A$1:$O$115,15,0))</f>
        <v>0</v>
      </c>
      <c r="W1042" s="6">
        <f>IF(ISERROR(VLOOKUP($T$1042,'TAR FIN'!$A$1:$O$115,15,0)),0,VLOOKUP($T$1042,'TAR FIN'!$A$1:$O$115,15,0))</f>
        <v>774.97</v>
      </c>
      <c r="X1042" s="6">
        <f>IF(ISERROR(VLOOKUP($U$1042,'TAR FIN'!$A$1:$O$115,15,0)),0,VLOOKUP($U$1042,'TAR FIN'!$A$1:$O$115,15,0))</f>
        <v>168.06</v>
      </c>
      <c r="Y1042" s="6"/>
      <c r="Z1042" s="6">
        <f ca="1">('TUSD BE'!$AM$35+'TUSD BF'!$AM$35+'TUSD CVA'!$AM$35)*1</f>
        <v>811.26443827208175</v>
      </c>
      <c r="AA1042" s="6">
        <f>('TE BE'!$AB$18+'TE BF'!$AB$18+'TE CVA'!$AB$18)*1</f>
        <v>218.6854278594964</v>
      </c>
      <c r="AB1042" s="6">
        <f>$K$1042*$V$1042</f>
        <v>0</v>
      </c>
      <c r="AC1042" s="6">
        <f>$M$1042*$W$1042</f>
        <v>999.71130000000005</v>
      </c>
      <c r="AD1042" s="6">
        <f>$O$1042*$X$1042</f>
        <v>216.79740000000001</v>
      </c>
      <c r="AE1042" s="6">
        <f>$K$1042*$Y$1042</f>
        <v>0</v>
      </c>
      <c r="AF1042" s="6">
        <f ca="1">$M$1042*$Z$1042</f>
        <v>1046.5311253709856</v>
      </c>
      <c r="AG1042" s="6">
        <f>$O$1042*$AA$1042</f>
        <v>282.10420193875035</v>
      </c>
    </row>
    <row r="1043" spans="1:33" ht="11.25" customHeight="1" x14ac:dyDescent="0.25">
      <c r="A1043" s="4" t="s">
        <v>28</v>
      </c>
      <c r="B1043" s="4" t="s">
        <v>22</v>
      </c>
      <c r="C1043" s="4" t="s">
        <v>35</v>
      </c>
      <c r="D1043" s="4" t="s">
        <v>24</v>
      </c>
      <c r="E1043" s="4" t="s">
        <v>24</v>
      </c>
      <c r="F1043" s="4" t="s">
        <v>25</v>
      </c>
      <c r="G1043" s="4" t="s">
        <v>25</v>
      </c>
      <c r="H1043" s="4" t="s">
        <v>38</v>
      </c>
      <c r="I1043" s="5">
        <v>44682</v>
      </c>
      <c r="J1043" s="6">
        <v>0</v>
      </c>
      <c r="K1043" s="6">
        <v>0</v>
      </c>
      <c r="L1043" s="6">
        <v>2.5999999999999999E-2</v>
      </c>
      <c r="M1043" s="6">
        <v>2.5999999999999999E-2</v>
      </c>
      <c r="N1043" s="6">
        <v>2.5999999999999999E-2</v>
      </c>
      <c r="O1043" s="6">
        <v>2.5999999999999999E-2</v>
      </c>
      <c r="P1043" s="6">
        <v>0</v>
      </c>
      <c r="Q1043" s="4" t="s">
        <v>26</v>
      </c>
      <c r="R1043" s="4">
        <v>0</v>
      </c>
      <c r="S1043" s="6">
        <v>0</v>
      </c>
      <c r="T1043" s="6">
        <v>37</v>
      </c>
      <c r="U1043" s="6">
        <v>81</v>
      </c>
      <c r="V1043" s="6">
        <f>IF(ISERROR(VLOOKUP($S$1043,'TAR FIN'!$A$1:$O$115,15,0)),0,VLOOKUP($S$1043,'TAR FIN'!$A$1:$O$115,15,0))</f>
        <v>0</v>
      </c>
      <c r="W1043" s="6">
        <f>IF(ISERROR(VLOOKUP($T$1043,'TAR FIN'!$A$1:$O$115,15,0)),0,VLOOKUP($T$1043,'TAR FIN'!$A$1:$O$115,15,0))</f>
        <v>774.97</v>
      </c>
      <c r="X1043" s="6">
        <f>IF(ISERROR(VLOOKUP($U$1043,'TAR FIN'!$A$1:$O$115,15,0)),0,VLOOKUP($U$1043,'TAR FIN'!$A$1:$O$115,15,0))</f>
        <v>168.06</v>
      </c>
      <c r="Y1043" s="6"/>
      <c r="Z1043" s="6">
        <f ca="1">('TUSD BE'!$AM$35+'TUSD BF'!$AM$35+'TUSD CVA'!$AM$35)*1</f>
        <v>811.26443827208175</v>
      </c>
      <c r="AA1043" s="6">
        <f>('TE BE'!$AB$18+'TE BF'!$AB$18+'TE CVA'!$AB$18)*1</f>
        <v>218.6854278594964</v>
      </c>
      <c r="AB1043" s="6">
        <f>$K$1043*$V$1043</f>
        <v>0</v>
      </c>
      <c r="AC1043" s="6">
        <f>$M$1043*$W$1043</f>
        <v>20.14922</v>
      </c>
      <c r="AD1043" s="6">
        <f>$O$1043*$X$1043</f>
        <v>4.3695599999999999</v>
      </c>
      <c r="AE1043" s="6">
        <f>$K$1043*$Y$1043</f>
        <v>0</v>
      </c>
      <c r="AF1043" s="6">
        <f ca="1">$M$1043*$Z$1043</f>
        <v>21.092875395074124</v>
      </c>
      <c r="AG1043" s="6">
        <f>$O$1043*$AA$1043</f>
        <v>5.6858211243469059</v>
      </c>
    </row>
    <row r="1044" spans="1:33" ht="11.25" customHeight="1" x14ac:dyDescent="0.25">
      <c r="A1044" s="4" t="s">
        <v>21</v>
      </c>
      <c r="B1044" s="4" t="s">
        <v>22</v>
      </c>
      <c r="C1044" s="4" t="s">
        <v>35</v>
      </c>
      <c r="D1044" s="4" t="s">
        <v>24</v>
      </c>
      <c r="E1044" s="4" t="s">
        <v>24</v>
      </c>
      <c r="F1044" s="4" t="s">
        <v>25</v>
      </c>
      <c r="G1044" s="4" t="s">
        <v>25</v>
      </c>
      <c r="H1044" s="4" t="s">
        <v>38</v>
      </c>
      <c r="I1044" s="5">
        <v>44713</v>
      </c>
      <c r="J1044" s="6">
        <v>0</v>
      </c>
      <c r="K1044" s="6">
        <v>0</v>
      </c>
      <c r="L1044" s="6">
        <v>1.468</v>
      </c>
      <c r="M1044" s="6">
        <v>1.468</v>
      </c>
      <c r="N1044" s="6">
        <v>1.468</v>
      </c>
      <c r="O1044" s="6">
        <v>1.468</v>
      </c>
      <c r="P1044" s="6">
        <v>0</v>
      </c>
      <c r="Q1044" s="4" t="s">
        <v>26</v>
      </c>
      <c r="R1044" s="4">
        <v>0</v>
      </c>
      <c r="S1044" s="6">
        <v>0</v>
      </c>
      <c r="T1044" s="6">
        <v>37</v>
      </c>
      <c r="U1044" s="6">
        <v>81</v>
      </c>
      <c r="V1044" s="6">
        <f>IF(ISERROR(VLOOKUP($S$1044,'TAR FIN'!$A$1:$O$115,15,0)),0,VLOOKUP($S$1044,'TAR FIN'!$A$1:$O$115,15,0))</f>
        <v>0</v>
      </c>
      <c r="W1044" s="6">
        <f>IF(ISERROR(VLOOKUP($T$1044,'TAR FIN'!$A$1:$O$115,15,0)),0,VLOOKUP($T$1044,'TAR FIN'!$A$1:$O$115,15,0))</f>
        <v>774.97</v>
      </c>
      <c r="X1044" s="6">
        <f>IF(ISERROR(VLOOKUP($U$1044,'TAR FIN'!$A$1:$O$115,15,0)),0,VLOOKUP($U$1044,'TAR FIN'!$A$1:$O$115,15,0))</f>
        <v>168.06</v>
      </c>
      <c r="Y1044" s="6"/>
      <c r="Z1044" s="6">
        <f ca="1">('TUSD BE'!$AM$35+'TUSD BF'!$AM$35+'TUSD CVA'!$AM$35)*1</f>
        <v>811.26443827208175</v>
      </c>
      <c r="AA1044" s="6">
        <f>('TE BE'!$AB$18+'TE BF'!$AB$18+'TE CVA'!$AB$18)*1</f>
        <v>218.6854278594964</v>
      </c>
      <c r="AB1044" s="6">
        <f>$K$1044*$V$1044</f>
        <v>0</v>
      </c>
      <c r="AC1044" s="6">
        <f>$M$1044*$W$1044</f>
        <v>1137.6559600000001</v>
      </c>
      <c r="AD1044" s="6">
        <f>$O$1044*$X$1044</f>
        <v>246.71207999999999</v>
      </c>
      <c r="AE1044" s="6">
        <f>$K$1044*$Y$1044</f>
        <v>0</v>
      </c>
      <c r="AF1044" s="6">
        <f ca="1">$M$1044*$Z$1044</f>
        <v>1190.9361953834159</v>
      </c>
      <c r="AG1044" s="6">
        <f>$O$1044*$AA$1044</f>
        <v>321.03020809774068</v>
      </c>
    </row>
    <row r="1045" spans="1:33" ht="11.25" customHeight="1" x14ac:dyDescent="0.25">
      <c r="A1045" s="4" t="s">
        <v>27</v>
      </c>
      <c r="B1045" s="4" t="s">
        <v>22</v>
      </c>
      <c r="C1045" s="4" t="s">
        <v>35</v>
      </c>
      <c r="D1045" s="4" t="s">
        <v>24</v>
      </c>
      <c r="E1045" s="4" t="s">
        <v>24</v>
      </c>
      <c r="F1045" s="4" t="s">
        <v>25</v>
      </c>
      <c r="G1045" s="4" t="s">
        <v>25</v>
      </c>
      <c r="H1045" s="4" t="s">
        <v>38</v>
      </c>
      <c r="I1045" s="5">
        <v>44713</v>
      </c>
      <c r="J1045" s="6">
        <v>0</v>
      </c>
      <c r="K1045" s="6">
        <v>0</v>
      </c>
      <c r="L1045" s="6">
        <v>-8.2000000000000003E-2</v>
      </c>
      <c r="M1045" s="6">
        <v>-8.2000000000000003E-2</v>
      </c>
      <c r="N1045" s="6">
        <v>-8.2000000000000003E-2</v>
      </c>
      <c r="O1045" s="6">
        <v>-8.2000000000000003E-2</v>
      </c>
      <c r="P1045" s="6">
        <v>0</v>
      </c>
      <c r="Q1045" s="4" t="s">
        <v>26</v>
      </c>
      <c r="R1045" s="4">
        <v>0</v>
      </c>
      <c r="S1045" s="6">
        <v>0</v>
      </c>
      <c r="T1045" s="6">
        <v>37</v>
      </c>
      <c r="U1045" s="6">
        <v>81</v>
      </c>
      <c r="V1045" s="6">
        <f>IF(ISERROR(VLOOKUP($S$1045,'TAR FIN'!$A$1:$O$115,15,0)),0,VLOOKUP($S$1045,'TAR FIN'!$A$1:$O$115,15,0))</f>
        <v>0</v>
      </c>
      <c r="W1045" s="6">
        <f>IF(ISERROR(VLOOKUP($T$1045,'TAR FIN'!$A$1:$O$115,15,0)),0,VLOOKUP($T$1045,'TAR FIN'!$A$1:$O$115,15,0))</f>
        <v>774.97</v>
      </c>
      <c r="X1045" s="6">
        <f>IF(ISERROR(VLOOKUP($U$1045,'TAR FIN'!$A$1:$O$115,15,0)),0,VLOOKUP($U$1045,'TAR FIN'!$A$1:$O$115,15,0))</f>
        <v>168.06</v>
      </c>
      <c r="Y1045" s="6"/>
      <c r="Z1045" s="6">
        <f ca="1">('TUSD BE'!$AM$35+'TUSD BF'!$AM$35+'TUSD CVA'!$AM$35)*1</f>
        <v>811.26443827208175</v>
      </c>
      <c r="AA1045" s="6">
        <f>('TE BE'!$AB$18+'TE BF'!$AB$18+'TE CVA'!$AB$18)*1</f>
        <v>218.6854278594964</v>
      </c>
      <c r="AB1045" s="6">
        <f>$K$1045*$V$1045</f>
        <v>0</v>
      </c>
      <c r="AC1045" s="6">
        <f>$M$1045*$W$1045</f>
        <v>-63.547540000000005</v>
      </c>
      <c r="AD1045" s="6">
        <f>$O$1045*$X$1045</f>
        <v>-13.78092</v>
      </c>
      <c r="AE1045" s="6">
        <f>$K$1045*$Y$1045</f>
        <v>0</v>
      </c>
      <c r="AF1045" s="6">
        <f ca="1">$M$1045*$Z$1045</f>
        <v>-66.523683938310711</v>
      </c>
      <c r="AG1045" s="6">
        <f>$O$1045*$AA$1045</f>
        <v>-17.932205084478706</v>
      </c>
    </row>
    <row r="1046" spans="1:33" ht="11.25" customHeight="1" x14ac:dyDescent="0.25">
      <c r="A1046" s="4" t="s">
        <v>28</v>
      </c>
      <c r="B1046" s="4" t="s">
        <v>22</v>
      </c>
      <c r="C1046" s="4" t="s">
        <v>35</v>
      </c>
      <c r="D1046" s="4" t="s">
        <v>24</v>
      </c>
      <c r="E1046" s="4" t="s">
        <v>24</v>
      </c>
      <c r="F1046" s="4" t="s">
        <v>25</v>
      </c>
      <c r="G1046" s="4" t="s">
        <v>25</v>
      </c>
      <c r="H1046" s="4" t="s">
        <v>38</v>
      </c>
      <c r="I1046" s="5">
        <v>44713</v>
      </c>
      <c r="J1046" s="6">
        <v>0</v>
      </c>
      <c r="K1046" s="6">
        <v>0</v>
      </c>
      <c r="L1046" s="6">
        <v>2.1999999999999999E-2</v>
      </c>
      <c r="M1046" s="6">
        <v>2.1999999999999999E-2</v>
      </c>
      <c r="N1046" s="6">
        <v>2.1999999999999999E-2</v>
      </c>
      <c r="O1046" s="6">
        <v>2.1999999999999999E-2</v>
      </c>
      <c r="P1046" s="6">
        <v>0</v>
      </c>
      <c r="Q1046" s="4" t="s">
        <v>26</v>
      </c>
      <c r="R1046" s="4">
        <v>0</v>
      </c>
      <c r="S1046" s="6">
        <v>0</v>
      </c>
      <c r="T1046" s="6">
        <v>37</v>
      </c>
      <c r="U1046" s="6">
        <v>81</v>
      </c>
      <c r="V1046" s="6">
        <f>IF(ISERROR(VLOOKUP($S$1046,'TAR FIN'!$A$1:$O$115,15,0)),0,VLOOKUP($S$1046,'TAR FIN'!$A$1:$O$115,15,0))</f>
        <v>0</v>
      </c>
      <c r="W1046" s="6">
        <f>IF(ISERROR(VLOOKUP($T$1046,'TAR FIN'!$A$1:$O$115,15,0)),0,VLOOKUP($T$1046,'TAR FIN'!$A$1:$O$115,15,0))</f>
        <v>774.97</v>
      </c>
      <c r="X1046" s="6">
        <f>IF(ISERROR(VLOOKUP($U$1046,'TAR FIN'!$A$1:$O$115,15,0)),0,VLOOKUP($U$1046,'TAR FIN'!$A$1:$O$115,15,0))</f>
        <v>168.06</v>
      </c>
      <c r="Y1046" s="6"/>
      <c r="Z1046" s="6">
        <f ca="1">('TUSD BE'!$AM$35+'TUSD BF'!$AM$35+'TUSD CVA'!$AM$35)*1</f>
        <v>811.26443827208175</v>
      </c>
      <c r="AA1046" s="6">
        <f>('TE BE'!$AB$18+'TE BF'!$AB$18+'TE CVA'!$AB$18)*1</f>
        <v>218.6854278594964</v>
      </c>
      <c r="AB1046" s="6">
        <f>$K$1046*$V$1046</f>
        <v>0</v>
      </c>
      <c r="AC1046" s="6">
        <f>$M$1046*$W$1046</f>
        <v>17.049340000000001</v>
      </c>
      <c r="AD1046" s="6">
        <f>$O$1046*$X$1046</f>
        <v>3.6973199999999999</v>
      </c>
      <c r="AE1046" s="6">
        <f>$K$1046*$Y$1046</f>
        <v>0</v>
      </c>
      <c r="AF1046" s="6">
        <f ca="1">$M$1046*$Z$1046</f>
        <v>17.847817641985799</v>
      </c>
      <c r="AG1046" s="6">
        <f>$O$1046*$AA$1046</f>
        <v>4.8110794129089207</v>
      </c>
    </row>
    <row r="1047" spans="1:33" ht="11.25" customHeight="1" x14ac:dyDescent="0.25">
      <c r="A1047" s="4" t="s">
        <v>21</v>
      </c>
      <c r="B1047" s="4" t="s">
        <v>22</v>
      </c>
      <c r="C1047" s="4" t="s">
        <v>35</v>
      </c>
      <c r="D1047" s="4" t="s">
        <v>24</v>
      </c>
      <c r="E1047" s="4" t="s">
        <v>24</v>
      </c>
      <c r="F1047" s="4" t="s">
        <v>25</v>
      </c>
      <c r="G1047" s="4" t="s">
        <v>25</v>
      </c>
      <c r="H1047" s="4" t="s">
        <v>38</v>
      </c>
      <c r="I1047" s="5">
        <v>44743</v>
      </c>
      <c r="J1047" s="6">
        <v>0</v>
      </c>
      <c r="K1047" s="6">
        <v>0</v>
      </c>
      <c r="L1047" s="6">
        <v>1.262</v>
      </c>
      <c r="M1047" s="6">
        <v>1.262</v>
      </c>
      <c r="N1047" s="6">
        <v>1.262</v>
      </c>
      <c r="O1047" s="6">
        <v>1.262</v>
      </c>
      <c r="P1047" s="6">
        <v>0</v>
      </c>
      <c r="Q1047" s="4" t="s">
        <v>26</v>
      </c>
      <c r="R1047" s="4">
        <v>0</v>
      </c>
      <c r="S1047" s="6">
        <v>0</v>
      </c>
      <c r="T1047" s="6">
        <v>37</v>
      </c>
      <c r="U1047" s="6">
        <v>81</v>
      </c>
      <c r="V1047" s="6">
        <f>IF(ISERROR(VLOOKUP($S$1047,'TAR FIN'!$A$1:$O$115,15,0)),0,VLOOKUP($S$1047,'TAR FIN'!$A$1:$O$115,15,0))</f>
        <v>0</v>
      </c>
      <c r="W1047" s="6">
        <f>IF(ISERROR(VLOOKUP($T$1047,'TAR FIN'!$A$1:$O$115,15,0)),0,VLOOKUP($T$1047,'TAR FIN'!$A$1:$O$115,15,0))</f>
        <v>774.97</v>
      </c>
      <c r="X1047" s="6">
        <f>IF(ISERROR(VLOOKUP($U$1047,'TAR FIN'!$A$1:$O$115,15,0)),0,VLOOKUP($U$1047,'TAR FIN'!$A$1:$O$115,15,0))</f>
        <v>168.06</v>
      </c>
      <c r="Y1047" s="6"/>
      <c r="Z1047" s="6">
        <f ca="1">('TUSD BE'!$AM$35+'TUSD BF'!$AM$35+'TUSD CVA'!$AM$35)*1</f>
        <v>811.26443827208175</v>
      </c>
      <c r="AA1047" s="6">
        <f>('TE BE'!$AB$18+'TE BF'!$AB$18+'TE CVA'!$AB$18)*1</f>
        <v>218.6854278594964</v>
      </c>
      <c r="AB1047" s="6">
        <f>$K$1047*$V$1047</f>
        <v>0</v>
      </c>
      <c r="AC1047" s="6">
        <f>$M$1047*$W$1047</f>
        <v>978.01214000000004</v>
      </c>
      <c r="AD1047" s="6">
        <f>$O$1047*$X$1047</f>
        <v>212.09172000000001</v>
      </c>
      <c r="AE1047" s="6">
        <f>$K$1047*$Y$1047</f>
        <v>0</v>
      </c>
      <c r="AF1047" s="6">
        <f ca="1">$M$1047*$Z$1047</f>
        <v>1023.8157210993671</v>
      </c>
      <c r="AG1047" s="6">
        <f>$O$1047*$AA$1047</f>
        <v>275.98100995868447</v>
      </c>
    </row>
    <row r="1048" spans="1:33" ht="11.25" customHeight="1" x14ac:dyDescent="0.25">
      <c r="A1048" s="4" t="s">
        <v>28</v>
      </c>
      <c r="B1048" s="4" t="s">
        <v>22</v>
      </c>
      <c r="C1048" s="4" t="s">
        <v>35</v>
      </c>
      <c r="D1048" s="4" t="s">
        <v>24</v>
      </c>
      <c r="E1048" s="4" t="s">
        <v>24</v>
      </c>
      <c r="F1048" s="4" t="s">
        <v>25</v>
      </c>
      <c r="G1048" s="4" t="s">
        <v>25</v>
      </c>
      <c r="H1048" s="4" t="s">
        <v>38</v>
      </c>
      <c r="I1048" s="5">
        <v>44743</v>
      </c>
      <c r="J1048" s="6">
        <v>0</v>
      </c>
      <c r="K1048" s="6">
        <v>0</v>
      </c>
      <c r="L1048" s="6">
        <v>0.03</v>
      </c>
      <c r="M1048" s="6">
        <v>0.03</v>
      </c>
      <c r="N1048" s="6">
        <v>0.03</v>
      </c>
      <c r="O1048" s="6">
        <v>0.03</v>
      </c>
      <c r="P1048" s="6">
        <v>0</v>
      </c>
      <c r="Q1048" s="4" t="s">
        <v>26</v>
      </c>
      <c r="R1048" s="4">
        <v>0</v>
      </c>
      <c r="S1048" s="6">
        <v>0</v>
      </c>
      <c r="T1048" s="6">
        <v>37</v>
      </c>
      <c r="U1048" s="6">
        <v>81</v>
      </c>
      <c r="V1048" s="6">
        <f>IF(ISERROR(VLOOKUP($S$1048,'TAR FIN'!$A$1:$O$115,15,0)),0,VLOOKUP($S$1048,'TAR FIN'!$A$1:$O$115,15,0))</f>
        <v>0</v>
      </c>
      <c r="W1048" s="6">
        <f>IF(ISERROR(VLOOKUP($T$1048,'TAR FIN'!$A$1:$O$115,15,0)),0,VLOOKUP($T$1048,'TAR FIN'!$A$1:$O$115,15,0))</f>
        <v>774.97</v>
      </c>
      <c r="X1048" s="6">
        <f>IF(ISERROR(VLOOKUP($U$1048,'TAR FIN'!$A$1:$O$115,15,0)),0,VLOOKUP($U$1048,'TAR FIN'!$A$1:$O$115,15,0))</f>
        <v>168.06</v>
      </c>
      <c r="Y1048" s="6"/>
      <c r="Z1048" s="6">
        <f ca="1">('TUSD BE'!$AM$35+'TUSD BF'!$AM$35+'TUSD CVA'!$AM$35)*1</f>
        <v>811.26443827208175</v>
      </c>
      <c r="AA1048" s="6">
        <f>('TE BE'!$AB$18+'TE BF'!$AB$18+'TE CVA'!$AB$18)*1</f>
        <v>218.6854278594964</v>
      </c>
      <c r="AB1048" s="6">
        <f>$K$1048*$V$1048</f>
        <v>0</v>
      </c>
      <c r="AC1048" s="6">
        <f>$M$1048*$W$1048</f>
        <v>23.249099999999999</v>
      </c>
      <c r="AD1048" s="6">
        <f>$O$1048*$X$1048</f>
        <v>5.0418000000000003</v>
      </c>
      <c r="AE1048" s="6">
        <f>$K$1048*$Y$1048</f>
        <v>0</v>
      </c>
      <c r="AF1048" s="6">
        <f ca="1">$M$1048*$Z$1048</f>
        <v>24.337933148162453</v>
      </c>
      <c r="AG1048" s="6">
        <f>$O$1048*$AA$1048</f>
        <v>6.560562835784892</v>
      </c>
    </row>
    <row r="1049" spans="1:33" ht="11.25" customHeight="1" x14ac:dyDescent="0.25">
      <c r="A1049" s="4" t="s">
        <v>30</v>
      </c>
      <c r="B1049" s="4" t="s">
        <v>22</v>
      </c>
      <c r="C1049" s="4" t="s">
        <v>35</v>
      </c>
      <c r="D1049" s="4" t="s">
        <v>24</v>
      </c>
      <c r="E1049" s="4" t="s">
        <v>24</v>
      </c>
      <c r="F1049" s="4" t="s">
        <v>25</v>
      </c>
      <c r="G1049" s="4" t="s">
        <v>25</v>
      </c>
      <c r="H1049" s="4" t="s">
        <v>38</v>
      </c>
      <c r="I1049" s="5">
        <v>44743</v>
      </c>
      <c r="J1049" s="6">
        <v>0</v>
      </c>
      <c r="K1049" s="6">
        <v>0</v>
      </c>
      <c r="L1049" s="6">
        <v>3.3000000000000002E-2</v>
      </c>
      <c r="M1049" s="6">
        <v>3.3000000000000002E-2</v>
      </c>
      <c r="N1049" s="6">
        <v>3.3000000000000002E-2</v>
      </c>
      <c r="O1049" s="6">
        <v>3.3000000000000002E-2</v>
      </c>
      <c r="P1049" s="6">
        <v>0</v>
      </c>
      <c r="Q1049" s="4" t="s">
        <v>26</v>
      </c>
      <c r="R1049" s="4">
        <v>0</v>
      </c>
      <c r="S1049" s="6">
        <v>0</v>
      </c>
      <c r="T1049" s="6">
        <v>37</v>
      </c>
      <c r="U1049" s="6">
        <v>81</v>
      </c>
      <c r="V1049" s="6">
        <f>IF(ISERROR(VLOOKUP($S$1049,'TAR FIN'!$A$1:$O$115,15,0)),0,VLOOKUP($S$1049,'TAR FIN'!$A$1:$O$115,15,0))</f>
        <v>0</v>
      </c>
      <c r="W1049" s="6">
        <f>IF(ISERROR(VLOOKUP($T$1049,'TAR FIN'!$A$1:$O$115,15,0)),0,VLOOKUP($T$1049,'TAR FIN'!$A$1:$O$115,15,0))</f>
        <v>774.97</v>
      </c>
      <c r="X1049" s="6">
        <f>IF(ISERROR(VLOOKUP($U$1049,'TAR FIN'!$A$1:$O$115,15,0)),0,VLOOKUP($U$1049,'TAR FIN'!$A$1:$O$115,15,0))</f>
        <v>168.06</v>
      </c>
      <c r="Y1049" s="6"/>
      <c r="Z1049" s="6">
        <f ca="1">('TUSD BE'!$AM$35+'TUSD BF'!$AM$35+'TUSD CVA'!$AM$35)*1</f>
        <v>811.26443827208175</v>
      </c>
      <c r="AA1049" s="6">
        <f>('TE BE'!$AB$18+'TE BF'!$AB$18+'TE CVA'!$AB$18)*1</f>
        <v>218.6854278594964</v>
      </c>
      <c r="AB1049" s="6">
        <f>$K$1049*$V$1049</f>
        <v>0</v>
      </c>
      <c r="AC1049" s="6">
        <f>$M$1049*$W$1049</f>
        <v>25.574010000000001</v>
      </c>
      <c r="AD1049" s="6">
        <f>$O$1049*$X$1049</f>
        <v>5.5459800000000001</v>
      </c>
      <c r="AE1049" s="6">
        <f>$K$1049*$Y$1049</f>
        <v>0</v>
      </c>
      <c r="AF1049" s="6">
        <f ca="1">$M$1049*$Z$1049</f>
        <v>26.771726462978698</v>
      </c>
      <c r="AG1049" s="6">
        <f>$O$1049*$AA$1049</f>
        <v>7.216619119363382</v>
      </c>
    </row>
    <row r="1050" spans="1:33" ht="11.25" customHeight="1" x14ac:dyDescent="0.25">
      <c r="A1050" s="4" t="s">
        <v>21</v>
      </c>
      <c r="B1050" s="4" t="s">
        <v>22</v>
      </c>
      <c r="C1050" s="4" t="s">
        <v>35</v>
      </c>
      <c r="D1050" s="4" t="s">
        <v>24</v>
      </c>
      <c r="E1050" s="4" t="s">
        <v>24</v>
      </c>
      <c r="F1050" s="4" t="s">
        <v>25</v>
      </c>
      <c r="G1050" s="4" t="s">
        <v>25</v>
      </c>
      <c r="H1050" s="4" t="s">
        <v>38</v>
      </c>
      <c r="I1050" s="5">
        <v>44774</v>
      </c>
      <c r="J1050" s="6">
        <v>0</v>
      </c>
      <c r="K1050" s="6">
        <v>0</v>
      </c>
      <c r="L1050" s="6">
        <v>1.6479999999999999</v>
      </c>
      <c r="M1050" s="6">
        <v>1.6479999999999999</v>
      </c>
      <c r="N1050" s="6">
        <v>1.6479999999999999</v>
      </c>
      <c r="O1050" s="6">
        <v>1.6479999999999999</v>
      </c>
      <c r="P1050" s="6">
        <v>0</v>
      </c>
      <c r="Q1050" s="4" t="s">
        <v>26</v>
      </c>
      <c r="R1050" s="4">
        <v>0</v>
      </c>
      <c r="S1050" s="6">
        <v>0</v>
      </c>
      <c r="T1050" s="6">
        <v>37</v>
      </c>
      <c r="U1050" s="6">
        <v>81</v>
      </c>
      <c r="V1050" s="6">
        <f>IF(ISERROR(VLOOKUP($S$1050,'TAR FIN'!$A$1:$O$115,15,0)),0,VLOOKUP($S$1050,'TAR FIN'!$A$1:$O$115,15,0))</f>
        <v>0</v>
      </c>
      <c r="W1050" s="6">
        <f>IF(ISERROR(VLOOKUP($T$1050,'TAR FIN'!$A$1:$O$115,15,0)),0,VLOOKUP($T$1050,'TAR FIN'!$A$1:$O$115,15,0))</f>
        <v>774.97</v>
      </c>
      <c r="X1050" s="6">
        <f>IF(ISERROR(VLOOKUP($U$1050,'TAR FIN'!$A$1:$O$115,15,0)),0,VLOOKUP($U$1050,'TAR FIN'!$A$1:$O$115,15,0))</f>
        <v>168.06</v>
      </c>
      <c r="Y1050" s="6"/>
      <c r="Z1050" s="6">
        <f ca="1">('TUSD BE'!$AM$35+'TUSD BF'!$AM$35+'TUSD CVA'!$AM$35)*1</f>
        <v>811.26443827208175</v>
      </c>
      <c r="AA1050" s="6">
        <f>('TE BE'!$AB$18+'TE BF'!$AB$18+'TE CVA'!$AB$18)*1</f>
        <v>218.6854278594964</v>
      </c>
      <c r="AB1050" s="6">
        <f>$K$1050*$V$1050</f>
        <v>0</v>
      </c>
      <c r="AC1050" s="6">
        <f>$M$1050*$W$1050</f>
        <v>1277.15056</v>
      </c>
      <c r="AD1050" s="6">
        <f>$O$1050*$X$1050</f>
        <v>276.96287999999998</v>
      </c>
      <c r="AE1050" s="6">
        <f>$K$1050*$Y$1050</f>
        <v>0</v>
      </c>
      <c r="AF1050" s="6">
        <f ca="1">$M$1050*$Z$1050</f>
        <v>1336.9637942723907</v>
      </c>
      <c r="AG1050" s="6">
        <f>$O$1050*$AA$1050</f>
        <v>360.39358511245007</v>
      </c>
    </row>
    <row r="1051" spans="1:33" ht="11.25" customHeight="1" x14ac:dyDescent="0.25">
      <c r="A1051" s="4" t="s">
        <v>27</v>
      </c>
      <c r="B1051" s="4" t="s">
        <v>22</v>
      </c>
      <c r="C1051" s="4" t="s">
        <v>35</v>
      </c>
      <c r="D1051" s="4" t="s">
        <v>24</v>
      </c>
      <c r="E1051" s="4" t="s">
        <v>24</v>
      </c>
      <c r="F1051" s="4" t="s">
        <v>25</v>
      </c>
      <c r="G1051" s="4" t="s">
        <v>25</v>
      </c>
      <c r="H1051" s="4" t="s">
        <v>38</v>
      </c>
      <c r="I1051" s="5">
        <v>44774</v>
      </c>
      <c r="J1051" s="6">
        <v>0</v>
      </c>
      <c r="K1051" s="6">
        <v>0</v>
      </c>
      <c r="L1051" s="6">
        <v>1.9E-2</v>
      </c>
      <c r="M1051" s="6">
        <v>1.9E-2</v>
      </c>
      <c r="N1051" s="6">
        <v>1.9E-2</v>
      </c>
      <c r="O1051" s="6">
        <v>1.9E-2</v>
      </c>
      <c r="P1051" s="6">
        <v>0</v>
      </c>
      <c r="Q1051" s="4" t="s">
        <v>26</v>
      </c>
      <c r="R1051" s="4">
        <v>0</v>
      </c>
      <c r="S1051" s="6">
        <v>0</v>
      </c>
      <c r="T1051" s="6">
        <v>37</v>
      </c>
      <c r="U1051" s="6">
        <v>81</v>
      </c>
      <c r="V1051" s="6">
        <f>IF(ISERROR(VLOOKUP($S$1051,'TAR FIN'!$A$1:$O$115,15,0)),0,VLOOKUP($S$1051,'TAR FIN'!$A$1:$O$115,15,0))</f>
        <v>0</v>
      </c>
      <c r="W1051" s="6">
        <f>IF(ISERROR(VLOOKUP($T$1051,'TAR FIN'!$A$1:$O$115,15,0)),0,VLOOKUP($T$1051,'TAR FIN'!$A$1:$O$115,15,0))</f>
        <v>774.97</v>
      </c>
      <c r="X1051" s="6">
        <f>IF(ISERROR(VLOOKUP($U$1051,'TAR FIN'!$A$1:$O$115,15,0)),0,VLOOKUP($U$1051,'TAR FIN'!$A$1:$O$115,15,0))</f>
        <v>168.06</v>
      </c>
      <c r="Y1051" s="6"/>
      <c r="Z1051" s="6">
        <f ca="1">('TUSD BE'!$AM$35+'TUSD BF'!$AM$35+'TUSD CVA'!$AM$35)*1</f>
        <v>811.26443827208175</v>
      </c>
      <c r="AA1051" s="6">
        <f>('TE BE'!$AB$18+'TE BF'!$AB$18+'TE CVA'!$AB$18)*1</f>
        <v>218.6854278594964</v>
      </c>
      <c r="AB1051" s="6">
        <f>$K$1051*$V$1051</f>
        <v>0</v>
      </c>
      <c r="AC1051" s="6">
        <f>$M$1051*$W$1051</f>
        <v>14.72443</v>
      </c>
      <c r="AD1051" s="6">
        <f>$O$1051*$X$1051</f>
        <v>3.1931400000000001</v>
      </c>
      <c r="AE1051" s="6">
        <f>$K$1051*$Y$1051</f>
        <v>0</v>
      </c>
      <c r="AF1051" s="6">
        <f ca="1">$M$1051*$Z$1051</f>
        <v>15.414024327169553</v>
      </c>
      <c r="AG1051" s="6">
        <f>$O$1051*$AA$1051</f>
        <v>4.1550231293304316</v>
      </c>
    </row>
    <row r="1052" spans="1:33" ht="11.25" customHeight="1" x14ac:dyDescent="0.25">
      <c r="A1052" s="4" t="s">
        <v>28</v>
      </c>
      <c r="B1052" s="4" t="s">
        <v>22</v>
      </c>
      <c r="C1052" s="4" t="s">
        <v>35</v>
      </c>
      <c r="D1052" s="4" t="s">
        <v>24</v>
      </c>
      <c r="E1052" s="4" t="s">
        <v>24</v>
      </c>
      <c r="F1052" s="4" t="s">
        <v>25</v>
      </c>
      <c r="G1052" s="4" t="s">
        <v>25</v>
      </c>
      <c r="H1052" s="4" t="s">
        <v>38</v>
      </c>
      <c r="I1052" s="5">
        <v>44774</v>
      </c>
      <c r="J1052" s="6">
        <v>0</v>
      </c>
      <c r="K1052" s="6">
        <v>0</v>
      </c>
      <c r="L1052" s="6">
        <v>3.1E-2</v>
      </c>
      <c r="M1052" s="6">
        <v>3.1E-2</v>
      </c>
      <c r="N1052" s="6">
        <v>3.1E-2</v>
      </c>
      <c r="O1052" s="6">
        <v>3.1E-2</v>
      </c>
      <c r="P1052" s="6">
        <v>0</v>
      </c>
      <c r="Q1052" s="4" t="s">
        <v>26</v>
      </c>
      <c r="R1052" s="4">
        <v>0</v>
      </c>
      <c r="S1052" s="6">
        <v>0</v>
      </c>
      <c r="T1052" s="6">
        <v>37</v>
      </c>
      <c r="U1052" s="6">
        <v>81</v>
      </c>
      <c r="V1052" s="6">
        <f>IF(ISERROR(VLOOKUP($S$1052,'TAR FIN'!$A$1:$O$115,15,0)),0,VLOOKUP($S$1052,'TAR FIN'!$A$1:$O$115,15,0))</f>
        <v>0</v>
      </c>
      <c r="W1052" s="6">
        <f>IF(ISERROR(VLOOKUP($T$1052,'TAR FIN'!$A$1:$O$115,15,0)),0,VLOOKUP($T$1052,'TAR FIN'!$A$1:$O$115,15,0))</f>
        <v>774.97</v>
      </c>
      <c r="X1052" s="6">
        <f>IF(ISERROR(VLOOKUP($U$1052,'TAR FIN'!$A$1:$O$115,15,0)),0,VLOOKUP($U$1052,'TAR FIN'!$A$1:$O$115,15,0))</f>
        <v>168.06</v>
      </c>
      <c r="Y1052" s="6"/>
      <c r="Z1052" s="6">
        <f ca="1">('TUSD BE'!$AM$35+'TUSD BF'!$AM$35+'TUSD CVA'!$AM$35)*1</f>
        <v>811.26443827208175</v>
      </c>
      <c r="AA1052" s="6">
        <f>('TE BE'!$AB$18+'TE BF'!$AB$18+'TE CVA'!$AB$18)*1</f>
        <v>218.6854278594964</v>
      </c>
      <c r="AB1052" s="6">
        <f>$K$1052*$V$1052</f>
        <v>0</v>
      </c>
      <c r="AC1052" s="6">
        <f>$M$1052*$W$1052</f>
        <v>24.024070000000002</v>
      </c>
      <c r="AD1052" s="6">
        <f>$O$1052*$X$1052</f>
        <v>5.2098599999999999</v>
      </c>
      <c r="AE1052" s="6">
        <f>$K$1052*$Y$1052</f>
        <v>0</v>
      </c>
      <c r="AF1052" s="6">
        <f ca="1">$M$1052*$Z$1052</f>
        <v>25.149197586434536</v>
      </c>
      <c r="AG1052" s="6">
        <f>$O$1052*$AA$1052</f>
        <v>6.779248263644388</v>
      </c>
    </row>
    <row r="1053" spans="1:33" ht="11.25" customHeight="1" x14ac:dyDescent="0.25">
      <c r="A1053" s="4" t="s">
        <v>30</v>
      </c>
      <c r="B1053" s="4" t="s">
        <v>22</v>
      </c>
      <c r="C1053" s="4" t="s">
        <v>35</v>
      </c>
      <c r="D1053" s="4" t="s">
        <v>24</v>
      </c>
      <c r="E1053" s="4" t="s">
        <v>24</v>
      </c>
      <c r="F1053" s="4" t="s">
        <v>25</v>
      </c>
      <c r="G1053" s="4" t="s">
        <v>25</v>
      </c>
      <c r="H1053" s="4" t="s">
        <v>38</v>
      </c>
      <c r="I1053" s="5">
        <v>44774</v>
      </c>
      <c r="J1053" s="6">
        <v>0</v>
      </c>
      <c r="K1053" s="6">
        <v>0</v>
      </c>
      <c r="L1053" s="6">
        <v>8.9999999999999993E-3</v>
      </c>
      <c r="M1053" s="6">
        <v>8.9999999999999993E-3</v>
      </c>
      <c r="N1053" s="6">
        <v>8.9999999999999993E-3</v>
      </c>
      <c r="O1053" s="6">
        <v>8.9999999999999993E-3</v>
      </c>
      <c r="P1053" s="6">
        <v>0</v>
      </c>
      <c r="Q1053" s="4" t="s">
        <v>26</v>
      </c>
      <c r="R1053" s="4">
        <v>0</v>
      </c>
      <c r="S1053" s="6">
        <v>0</v>
      </c>
      <c r="T1053" s="6">
        <v>37</v>
      </c>
      <c r="U1053" s="6">
        <v>81</v>
      </c>
      <c r="V1053" s="6">
        <f>IF(ISERROR(VLOOKUP($S$1053,'TAR FIN'!$A$1:$O$115,15,0)),0,VLOOKUP($S$1053,'TAR FIN'!$A$1:$O$115,15,0))</f>
        <v>0</v>
      </c>
      <c r="W1053" s="6">
        <f>IF(ISERROR(VLOOKUP($T$1053,'TAR FIN'!$A$1:$O$115,15,0)),0,VLOOKUP($T$1053,'TAR FIN'!$A$1:$O$115,15,0))</f>
        <v>774.97</v>
      </c>
      <c r="X1053" s="6">
        <f>IF(ISERROR(VLOOKUP($U$1053,'TAR FIN'!$A$1:$O$115,15,0)),0,VLOOKUP($U$1053,'TAR FIN'!$A$1:$O$115,15,0))</f>
        <v>168.06</v>
      </c>
      <c r="Y1053" s="6"/>
      <c r="Z1053" s="6">
        <f ca="1">('TUSD BE'!$AM$35+'TUSD BF'!$AM$35+'TUSD CVA'!$AM$35)*1</f>
        <v>811.26443827208175</v>
      </c>
      <c r="AA1053" s="6">
        <f>('TE BE'!$AB$18+'TE BF'!$AB$18+'TE CVA'!$AB$18)*1</f>
        <v>218.6854278594964</v>
      </c>
      <c r="AB1053" s="6">
        <f>$K$1053*$V$1053</f>
        <v>0</v>
      </c>
      <c r="AC1053" s="6">
        <f>$M$1053*$W$1053</f>
        <v>6.9747300000000001</v>
      </c>
      <c r="AD1053" s="6">
        <f>$O$1053*$X$1053</f>
        <v>1.51254</v>
      </c>
      <c r="AE1053" s="6">
        <f>$K$1053*$Y$1053</f>
        <v>0</v>
      </c>
      <c r="AF1053" s="6">
        <f ca="1">$M$1053*$Z$1053</f>
        <v>7.3013799444487351</v>
      </c>
      <c r="AG1053" s="6">
        <f>$O$1053*$AA$1053</f>
        <v>1.9681688507354675</v>
      </c>
    </row>
    <row r="1054" spans="1:33" ht="11.25" customHeight="1" x14ac:dyDescent="0.25">
      <c r="A1054" s="4" t="s">
        <v>21</v>
      </c>
      <c r="B1054" s="4" t="s">
        <v>22</v>
      </c>
      <c r="C1054" s="4" t="s">
        <v>35</v>
      </c>
      <c r="D1054" s="4" t="s">
        <v>24</v>
      </c>
      <c r="E1054" s="4" t="s">
        <v>24</v>
      </c>
      <c r="F1054" s="4" t="s">
        <v>25</v>
      </c>
      <c r="G1054" s="4" t="s">
        <v>25</v>
      </c>
      <c r="H1054" s="4" t="s">
        <v>38</v>
      </c>
      <c r="I1054" s="5">
        <v>44805</v>
      </c>
      <c r="J1054" s="6">
        <v>0</v>
      </c>
      <c r="K1054" s="6">
        <v>0</v>
      </c>
      <c r="L1054" s="6">
        <v>1.1519999999999999</v>
      </c>
      <c r="M1054" s="6">
        <v>1.1519999999999999</v>
      </c>
      <c r="N1054" s="6">
        <v>1.1519999999999999</v>
      </c>
      <c r="O1054" s="6">
        <v>1.1519999999999999</v>
      </c>
      <c r="P1054" s="6">
        <v>0</v>
      </c>
      <c r="Q1054" s="4" t="s">
        <v>26</v>
      </c>
      <c r="R1054" s="4">
        <v>0</v>
      </c>
      <c r="S1054" s="6">
        <v>0</v>
      </c>
      <c r="T1054" s="6">
        <v>37</v>
      </c>
      <c r="U1054" s="6">
        <v>81</v>
      </c>
      <c r="V1054" s="6">
        <f>IF(ISERROR(VLOOKUP($S$1054,'TAR FIN'!$A$1:$O$115,15,0)),0,VLOOKUP($S$1054,'TAR FIN'!$A$1:$O$115,15,0))</f>
        <v>0</v>
      </c>
      <c r="W1054" s="6">
        <f>IF(ISERROR(VLOOKUP($T$1054,'TAR FIN'!$A$1:$O$115,15,0)),0,VLOOKUP($T$1054,'TAR FIN'!$A$1:$O$115,15,0))</f>
        <v>774.97</v>
      </c>
      <c r="X1054" s="6">
        <f>IF(ISERROR(VLOOKUP($U$1054,'TAR FIN'!$A$1:$O$115,15,0)),0,VLOOKUP($U$1054,'TAR FIN'!$A$1:$O$115,15,0))</f>
        <v>168.06</v>
      </c>
      <c r="Y1054" s="6"/>
      <c r="Z1054" s="6">
        <f ca="1">('TUSD BE'!$AM$35+'TUSD BF'!$AM$35+'TUSD CVA'!$AM$35)*1</f>
        <v>811.26443827208175</v>
      </c>
      <c r="AA1054" s="6">
        <f>('TE BE'!$AB$18+'TE BF'!$AB$18+'TE CVA'!$AB$18)*1</f>
        <v>218.6854278594964</v>
      </c>
      <c r="AB1054" s="6">
        <f>$K$1054*$V$1054</f>
        <v>0</v>
      </c>
      <c r="AC1054" s="6">
        <f>$M$1054*$W$1054</f>
        <v>892.76544000000001</v>
      </c>
      <c r="AD1054" s="6">
        <f>$O$1054*$X$1054</f>
        <v>193.60512</v>
      </c>
      <c r="AE1054" s="6">
        <f>$K$1054*$Y$1054</f>
        <v>0</v>
      </c>
      <c r="AF1054" s="6">
        <f ca="1">$M$1054*$Z$1054</f>
        <v>934.57663288943809</v>
      </c>
      <c r="AG1054" s="6">
        <f>$O$1054*$AA$1054</f>
        <v>251.92561289413985</v>
      </c>
    </row>
    <row r="1055" spans="1:33" ht="11.25" customHeight="1" x14ac:dyDescent="0.25">
      <c r="A1055" s="4" t="s">
        <v>27</v>
      </c>
      <c r="B1055" s="4" t="s">
        <v>22</v>
      </c>
      <c r="C1055" s="4" t="s">
        <v>35</v>
      </c>
      <c r="D1055" s="4" t="s">
        <v>24</v>
      </c>
      <c r="E1055" s="4" t="s">
        <v>24</v>
      </c>
      <c r="F1055" s="4" t="s">
        <v>25</v>
      </c>
      <c r="G1055" s="4" t="s">
        <v>25</v>
      </c>
      <c r="H1055" s="4" t="s">
        <v>38</v>
      </c>
      <c r="I1055" s="5">
        <v>44805</v>
      </c>
      <c r="J1055" s="6">
        <v>0</v>
      </c>
      <c r="K1055" s="6">
        <v>0</v>
      </c>
      <c r="L1055" s="6">
        <v>8.0000000000000002E-3</v>
      </c>
      <c r="M1055" s="6">
        <v>8.0000000000000002E-3</v>
      </c>
      <c r="N1055" s="6">
        <v>8.0000000000000002E-3</v>
      </c>
      <c r="O1055" s="6">
        <v>8.0000000000000002E-3</v>
      </c>
      <c r="P1055" s="6">
        <v>0</v>
      </c>
      <c r="Q1055" s="4" t="s">
        <v>26</v>
      </c>
      <c r="R1055" s="4">
        <v>0</v>
      </c>
      <c r="S1055" s="6">
        <v>0</v>
      </c>
      <c r="T1055" s="6">
        <v>37</v>
      </c>
      <c r="U1055" s="6">
        <v>81</v>
      </c>
      <c r="V1055" s="6">
        <f>IF(ISERROR(VLOOKUP($S$1055,'TAR FIN'!$A$1:$O$115,15,0)),0,VLOOKUP($S$1055,'TAR FIN'!$A$1:$O$115,15,0))</f>
        <v>0</v>
      </c>
      <c r="W1055" s="6">
        <f>IF(ISERROR(VLOOKUP($T$1055,'TAR FIN'!$A$1:$O$115,15,0)),0,VLOOKUP($T$1055,'TAR FIN'!$A$1:$O$115,15,0))</f>
        <v>774.97</v>
      </c>
      <c r="X1055" s="6">
        <f>IF(ISERROR(VLOOKUP($U$1055,'TAR FIN'!$A$1:$O$115,15,0)),0,VLOOKUP($U$1055,'TAR FIN'!$A$1:$O$115,15,0))</f>
        <v>168.06</v>
      </c>
      <c r="Y1055" s="6"/>
      <c r="Z1055" s="6">
        <f ca="1">('TUSD BE'!$AM$35+'TUSD BF'!$AM$35+'TUSD CVA'!$AM$35)*1</f>
        <v>811.26443827208175</v>
      </c>
      <c r="AA1055" s="6">
        <f>('TE BE'!$AB$18+'TE BF'!$AB$18+'TE CVA'!$AB$18)*1</f>
        <v>218.6854278594964</v>
      </c>
      <c r="AB1055" s="6">
        <f>$K$1055*$V$1055</f>
        <v>0</v>
      </c>
      <c r="AC1055" s="6">
        <f>$M$1055*$W$1055</f>
        <v>6.1997600000000004</v>
      </c>
      <c r="AD1055" s="6">
        <f>$O$1055*$X$1055</f>
        <v>1.3444800000000001</v>
      </c>
      <c r="AE1055" s="6">
        <f>$K$1055*$Y$1055</f>
        <v>0</v>
      </c>
      <c r="AF1055" s="6">
        <f ca="1">$M$1055*$Z$1055</f>
        <v>6.4901155061766538</v>
      </c>
      <c r="AG1055" s="6">
        <f>$O$1055*$AA$1055</f>
        <v>1.7494834228759713</v>
      </c>
    </row>
    <row r="1056" spans="1:33" ht="11.25" customHeight="1" x14ac:dyDescent="0.25">
      <c r="A1056" s="4" t="s">
        <v>28</v>
      </c>
      <c r="B1056" s="4" t="s">
        <v>22</v>
      </c>
      <c r="C1056" s="4" t="s">
        <v>35</v>
      </c>
      <c r="D1056" s="4" t="s">
        <v>24</v>
      </c>
      <c r="E1056" s="4" t="s">
        <v>24</v>
      </c>
      <c r="F1056" s="4" t="s">
        <v>25</v>
      </c>
      <c r="G1056" s="4" t="s">
        <v>25</v>
      </c>
      <c r="H1056" s="4" t="s">
        <v>38</v>
      </c>
      <c r="I1056" s="5">
        <v>44805</v>
      </c>
      <c r="J1056" s="6">
        <v>0</v>
      </c>
      <c r="K1056" s="6">
        <v>0</v>
      </c>
      <c r="L1056" s="6">
        <v>2.5000000000000001E-2</v>
      </c>
      <c r="M1056" s="6">
        <v>2.5000000000000001E-2</v>
      </c>
      <c r="N1056" s="6">
        <v>2.5000000000000001E-2</v>
      </c>
      <c r="O1056" s="6">
        <v>2.5000000000000001E-2</v>
      </c>
      <c r="P1056" s="6">
        <v>0</v>
      </c>
      <c r="Q1056" s="4" t="s">
        <v>26</v>
      </c>
      <c r="R1056" s="4">
        <v>0</v>
      </c>
      <c r="S1056" s="6">
        <v>0</v>
      </c>
      <c r="T1056" s="6">
        <v>37</v>
      </c>
      <c r="U1056" s="6">
        <v>81</v>
      </c>
      <c r="V1056" s="6">
        <f>IF(ISERROR(VLOOKUP($S$1056,'TAR FIN'!$A$1:$O$115,15,0)),0,VLOOKUP($S$1056,'TAR FIN'!$A$1:$O$115,15,0))</f>
        <v>0</v>
      </c>
      <c r="W1056" s="6">
        <f>IF(ISERROR(VLOOKUP($T$1056,'TAR FIN'!$A$1:$O$115,15,0)),0,VLOOKUP($T$1056,'TAR FIN'!$A$1:$O$115,15,0))</f>
        <v>774.97</v>
      </c>
      <c r="X1056" s="6">
        <f>IF(ISERROR(VLOOKUP($U$1056,'TAR FIN'!$A$1:$O$115,15,0)),0,VLOOKUP($U$1056,'TAR FIN'!$A$1:$O$115,15,0))</f>
        <v>168.06</v>
      </c>
      <c r="Y1056" s="6"/>
      <c r="Z1056" s="6">
        <f ca="1">('TUSD BE'!$AM$35+'TUSD BF'!$AM$35+'TUSD CVA'!$AM$35)*1</f>
        <v>811.26443827208175</v>
      </c>
      <c r="AA1056" s="6">
        <f>('TE BE'!$AB$18+'TE BF'!$AB$18+'TE CVA'!$AB$18)*1</f>
        <v>218.6854278594964</v>
      </c>
      <c r="AB1056" s="6">
        <f>$K$1056*$V$1056</f>
        <v>0</v>
      </c>
      <c r="AC1056" s="6">
        <f>$M$1056*$W$1056</f>
        <v>19.374250000000004</v>
      </c>
      <c r="AD1056" s="6">
        <f>$O$1056*$X$1056</f>
        <v>4.2015000000000002</v>
      </c>
      <c r="AE1056" s="6">
        <f>$K$1056*$Y$1056</f>
        <v>0</v>
      </c>
      <c r="AF1056" s="6">
        <f ca="1">$M$1056*$Z$1056</f>
        <v>20.281610956802044</v>
      </c>
      <c r="AG1056" s="6">
        <f>$O$1056*$AA$1056</f>
        <v>5.4671356964874107</v>
      </c>
    </row>
    <row r="1057" spans="1:33" ht="11.25" customHeight="1" x14ac:dyDescent="0.25">
      <c r="A1057" s="4" t="s">
        <v>30</v>
      </c>
      <c r="B1057" s="4" t="s">
        <v>22</v>
      </c>
      <c r="C1057" s="4" t="s">
        <v>35</v>
      </c>
      <c r="D1057" s="4" t="s">
        <v>24</v>
      </c>
      <c r="E1057" s="4" t="s">
        <v>24</v>
      </c>
      <c r="F1057" s="4" t="s">
        <v>25</v>
      </c>
      <c r="G1057" s="4" t="s">
        <v>25</v>
      </c>
      <c r="H1057" s="4" t="s">
        <v>38</v>
      </c>
      <c r="I1057" s="5">
        <v>44805</v>
      </c>
      <c r="J1057" s="6">
        <v>0</v>
      </c>
      <c r="K1057" s="6">
        <v>0</v>
      </c>
      <c r="L1057" s="6">
        <v>8.9999999999999993E-3</v>
      </c>
      <c r="M1057" s="6">
        <v>8.9999999999999993E-3</v>
      </c>
      <c r="N1057" s="6">
        <v>8.9999999999999993E-3</v>
      </c>
      <c r="O1057" s="6">
        <v>8.9999999999999993E-3</v>
      </c>
      <c r="P1057" s="6">
        <v>0</v>
      </c>
      <c r="Q1057" s="4" t="s">
        <v>26</v>
      </c>
      <c r="R1057" s="4">
        <v>0</v>
      </c>
      <c r="S1057" s="6">
        <v>0</v>
      </c>
      <c r="T1057" s="6">
        <v>37</v>
      </c>
      <c r="U1057" s="6">
        <v>81</v>
      </c>
      <c r="V1057" s="6">
        <f>IF(ISERROR(VLOOKUP($S$1057,'TAR FIN'!$A$1:$O$115,15,0)),0,VLOOKUP($S$1057,'TAR FIN'!$A$1:$O$115,15,0))</f>
        <v>0</v>
      </c>
      <c r="W1057" s="6">
        <f>IF(ISERROR(VLOOKUP($T$1057,'TAR FIN'!$A$1:$O$115,15,0)),0,VLOOKUP($T$1057,'TAR FIN'!$A$1:$O$115,15,0))</f>
        <v>774.97</v>
      </c>
      <c r="X1057" s="6">
        <f>IF(ISERROR(VLOOKUP($U$1057,'TAR FIN'!$A$1:$O$115,15,0)),0,VLOOKUP($U$1057,'TAR FIN'!$A$1:$O$115,15,0))</f>
        <v>168.06</v>
      </c>
      <c r="Y1057" s="6"/>
      <c r="Z1057" s="6">
        <f ca="1">('TUSD BE'!$AM$35+'TUSD BF'!$AM$35+'TUSD CVA'!$AM$35)*1</f>
        <v>811.26443827208175</v>
      </c>
      <c r="AA1057" s="6">
        <f>('TE BE'!$AB$18+'TE BF'!$AB$18+'TE CVA'!$AB$18)*1</f>
        <v>218.6854278594964</v>
      </c>
      <c r="AB1057" s="6">
        <f>$K$1057*$V$1057</f>
        <v>0</v>
      </c>
      <c r="AC1057" s="6">
        <f>$M$1057*$W$1057</f>
        <v>6.9747300000000001</v>
      </c>
      <c r="AD1057" s="6">
        <f>$O$1057*$X$1057</f>
        <v>1.51254</v>
      </c>
      <c r="AE1057" s="6">
        <f>$K$1057*$Y$1057</f>
        <v>0</v>
      </c>
      <c r="AF1057" s="6">
        <f ca="1">$M$1057*$Z$1057</f>
        <v>7.3013799444487351</v>
      </c>
      <c r="AG1057" s="6">
        <f>$O$1057*$AA$1057</f>
        <v>1.9681688507354675</v>
      </c>
    </row>
    <row r="1058" spans="1:33" ht="11.25" customHeight="1" x14ac:dyDescent="0.25">
      <c r="A1058" s="4" t="s">
        <v>21</v>
      </c>
      <c r="B1058" s="4" t="s">
        <v>22</v>
      </c>
      <c r="C1058" s="4" t="s">
        <v>35</v>
      </c>
      <c r="D1058" s="4" t="s">
        <v>24</v>
      </c>
      <c r="E1058" s="4" t="s">
        <v>24</v>
      </c>
      <c r="F1058" s="4" t="s">
        <v>25</v>
      </c>
      <c r="G1058" s="4" t="s">
        <v>25</v>
      </c>
      <c r="H1058" s="4" t="s">
        <v>38</v>
      </c>
      <c r="I1058" s="5">
        <v>44835</v>
      </c>
      <c r="J1058" s="6">
        <v>0</v>
      </c>
      <c r="K1058" s="6">
        <v>0</v>
      </c>
      <c r="L1058" s="6">
        <v>1.903</v>
      </c>
      <c r="M1058" s="6">
        <v>1.903</v>
      </c>
      <c r="N1058" s="6">
        <v>1.903</v>
      </c>
      <c r="O1058" s="6">
        <v>1.903</v>
      </c>
      <c r="P1058" s="6">
        <v>0</v>
      </c>
      <c r="Q1058" s="4" t="s">
        <v>26</v>
      </c>
      <c r="R1058" s="4">
        <v>0</v>
      </c>
      <c r="S1058" s="6">
        <v>0</v>
      </c>
      <c r="T1058" s="6">
        <v>37</v>
      </c>
      <c r="U1058" s="6">
        <v>81</v>
      </c>
      <c r="V1058" s="6">
        <f>IF(ISERROR(VLOOKUP($S$1058,'TAR FIN'!$A$1:$O$115,15,0)),0,VLOOKUP($S$1058,'TAR FIN'!$A$1:$O$115,15,0))</f>
        <v>0</v>
      </c>
      <c r="W1058" s="6">
        <f>IF(ISERROR(VLOOKUP($T$1058,'TAR FIN'!$A$1:$O$115,15,0)),0,VLOOKUP($T$1058,'TAR FIN'!$A$1:$O$115,15,0))</f>
        <v>774.97</v>
      </c>
      <c r="X1058" s="6">
        <f>IF(ISERROR(VLOOKUP($U$1058,'TAR FIN'!$A$1:$O$115,15,0)),0,VLOOKUP($U$1058,'TAR FIN'!$A$1:$O$115,15,0))</f>
        <v>168.06</v>
      </c>
      <c r="Y1058" s="6"/>
      <c r="Z1058" s="6">
        <f ca="1">('TUSD BE'!$AM$35+'TUSD BF'!$AM$35+'TUSD CVA'!$AM$35)*1</f>
        <v>811.26443827208175</v>
      </c>
      <c r="AA1058" s="6">
        <f>('TE BE'!$AB$18+'TE BF'!$AB$18+'TE CVA'!$AB$18)*1</f>
        <v>218.6854278594964</v>
      </c>
      <c r="AB1058" s="6">
        <f>$K$1058*$V$1058</f>
        <v>0</v>
      </c>
      <c r="AC1058" s="6">
        <f>$M$1058*$W$1058</f>
        <v>1474.76791</v>
      </c>
      <c r="AD1058" s="6">
        <f>$O$1058*$X$1058</f>
        <v>319.81817999999998</v>
      </c>
      <c r="AE1058" s="6">
        <f>$K$1058*$Y$1058</f>
        <v>0</v>
      </c>
      <c r="AF1058" s="6">
        <f ca="1">$M$1058*$Z$1058</f>
        <v>1543.8362260317715</v>
      </c>
      <c r="AG1058" s="6">
        <f>$O$1058*$AA$1058</f>
        <v>416.15836921662168</v>
      </c>
    </row>
    <row r="1059" spans="1:33" ht="11.25" customHeight="1" x14ac:dyDescent="0.25">
      <c r="A1059" s="4" t="s">
        <v>28</v>
      </c>
      <c r="B1059" s="4" t="s">
        <v>22</v>
      </c>
      <c r="C1059" s="4" t="s">
        <v>35</v>
      </c>
      <c r="D1059" s="4" t="s">
        <v>24</v>
      </c>
      <c r="E1059" s="4" t="s">
        <v>24</v>
      </c>
      <c r="F1059" s="4" t="s">
        <v>25</v>
      </c>
      <c r="G1059" s="4" t="s">
        <v>25</v>
      </c>
      <c r="H1059" s="4" t="s">
        <v>38</v>
      </c>
      <c r="I1059" s="5">
        <v>44835</v>
      </c>
      <c r="J1059" s="6">
        <v>0</v>
      </c>
      <c r="K1059" s="6">
        <v>0</v>
      </c>
      <c r="L1059" s="6">
        <v>2.7E-2</v>
      </c>
      <c r="M1059" s="6">
        <v>2.7E-2</v>
      </c>
      <c r="N1059" s="6">
        <v>2.7E-2</v>
      </c>
      <c r="O1059" s="6">
        <v>2.7E-2</v>
      </c>
      <c r="P1059" s="6">
        <v>0</v>
      </c>
      <c r="Q1059" s="4" t="s">
        <v>26</v>
      </c>
      <c r="R1059" s="4">
        <v>0</v>
      </c>
      <c r="S1059" s="6">
        <v>0</v>
      </c>
      <c r="T1059" s="6">
        <v>37</v>
      </c>
      <c r="U1059" s="6">
        <v>81</v>
      </c>
      <c r="V1059" s="6">
        <f>IF(ISERROR(VLOOKUP($S$1059,'TAR FIN'!$A$1:$O$115,15,0)),0,VLOOKUP($S$1059,'TAR FIN'!$A$1:$O$115,15,0))</f>
        <v>0</v>
      </c>
      <c r="W1059" s="6">
        <f>IF(ISERROR(VLOOKUP($T$1059,'TAR FIN'!$A$1:$O$115,15,0)),0,VLOOKUP($T$1059,'TAR FIN'!$A$1:$O$115,15,0))</f>
        <v>774.97</v>
      </c>
      <c r="X1059" s="6">
        <f>IF(ISERROR(VLOOKUP($U$1059,'TAR FIN'!$A$1:$O$115,15,0)),0,VLOOKUP($U$1059,'TAR FIN'!$A$1:$O$115,15,0))</f>
        <v>168.06</v>
      </c>
      <c r="Y1059" s="6"/>
      <c r="Z1059" s="6">
        <f ca="1">('TUSD BE'!$AM$35+'TUSD BF'!$AM$35+'TUSD CVA'!$AM$35)*1</f>
        <v>811.26443827208175</v>
      </c>
      <c r="AA1059" s="6">
        <f>('TE BE'!$AB$18+'TE BF'!$AB$18+'TE CVA'!$AB$18)*1</f>
        <v>218.6854278594964</v>
      </c>
      <c r="AB1059" s="6">
        <f>$K$1059*$V$1059</f>
        <v>0</v>
      </c>
      <c r="AC1059" s="6">
        <f>$M$1059*$W$1059</f>
        <v>20.924189999999999</v>
      </c>
      <c r="AD1059" s="6">
        <f>$O$1059*$X$1059</f>
        <v>4.5376200000000004</v>
      </c>
      <c r="AE1059" s="6">
        <f>$K$1059*$Y$1059</f>
        <v>0</v>
      </c>
      <c r="AF1059" s="6">
        <f ca="1">$M$1059*$Z$1059</f>
        <v>21.904139833346207</v>
      </c>
      <c r="AG1059" s="6">
        <f>$O$1059*$AA$1059</f>
        <v>5.9045065522064029</v>
      </c>
    </row>
    <row r="1060" spans="1:33" ht="11.25" customHeight="1" x14ac:dyDescent="0.25">
      <c r="A1060" s="4" t="s">
        <v>30</v>
      </c>
      <c r="B1060" s="4" t="s">
        <v>22</v>
      </c>
      <c r="C1060" s="4" t="s">
        <v>35</v>
      </c>
      <c r="D1060" s="4" t="s">
        <v>24</v>
      </c>
      <c r="E1060" s="4" t="s">
        <v>24</v>
      </c>
      <c r="F1060" s="4" t="s">
        <v>25</v>
      </c>
      <c r="G1060" s="4" t="s">
        <v>25</v>
      </c>
      <c r="H1060" s="4" t="s">
        <v>38</v>
      </c>
      <c r="I1060" s="5">
        <v>44835</v>
      </c>
      <c r="J1060" s="6">
        <v>0</v>
      </c>
      <c r="K1060" s="6">
        <v>0</v>
      </c>
      <c r="L1060" s="6">
        <v>5.1999999999999998E-2</v>
      </c>
      <c r="M1060" s="6">
        <v>5.1999999999999998E-2</v>
      </c>
      <c r="N1060" s="6">
        <v>5.1999999999999998E-2</v>
      </c>
      <c r="O1060" s="6">
        <v>5.1999999999999998E-2</v>
      </c>
      <c r="P1060" s="6">
        <v>0</v>
      </c>
      <c r="Q1060" s="4" t="s">
        <v>26</v>
      </c>
      <c r="R1060" s="4">
        <v>0</v>
      </c>
      <c r="S1060" s="6">
        <v>0</v>
      </c>
      <c r="T1060" s="6">
        <v>37</v>
      </c>
      <c r="U1060" s="6">
        <v>81</v>
      </c>
      <c r="V1060" s="6">
        <f>IF(ISERROR(VLOOKUP($S$1060,'TAR FIN'!$A$1:$O$115,15,0)),0,VLOOKUP($S$1060,'TAR FIN'!$A$1:$O$115,15,0))</f>
        <v>0</v>
      </c>
      <c r="W1060" s="6">
        <f>IF(ISERROR(VLOOKUP($T$1060,'TAR FIN'!$A$1:$O$115,15,0)),0,VLOOKUP($T$1060,'TAR FIN'!$A$1:$O$115,15,0))</f>
        <v>774.97</v>
      </c>
      <c r="X1060" s="6">
        <f>IF(ISERROR(VLOOKUP($U$1060,'TAR FIN'!$A$1:$O$115,15,0)),0,VLOOKUP($U$1060,'TAR FIN'!$A$1:$O$115,15,0))</f>
        <v>168.06</v>
      </c>
      <c r="Y1060" s="6"/>
      <c r="Z1060" s="6">
        <f ca="1">('TUSD BE'!$AM$35+'TUSD BF'!$AM$35+'TUSD CVA'!$AM$35)*1</f>
        <v>811.26443827208175</v>
      </c>
      <c r="AA1060" s="6">
        <f>('TE BE'!$AB$18+'TE BF'!$AB$18+'TE CVA'!$AB$18)*1</f>
        <v>218.6854278594964</v>
      </c>
      <c r="AB1060" s="6">
        <f>$K$1060*$V$1060</f>
        <v>0</v>
      </c>
      <c r="AC1060" s="6">
        <f>$M$1060*$W$1060</f>
        <v>40.298439999999999</v>
      </c>
      <c r="AD1060" s="6">
        <f>$O$1060*$X$1060</f>
        <v>8.7391199999999998</v>
      </c>
      <c r="AE1060" s="6">
        <f>$K$1060*$Y$1060</f>
        <v>0</v>
      </c>
      <c r="AF1060" s="6">
        <f ca="1">$M$1060*$Z$1060</f>
        <v>42.185750790148248</v>
      </c>
      <c r="AG1060" s="6">
        <f>$O$1060*$AA$1060</f>
        <v>11.371642248693812</v>
      </c>
    </row>
    <row r="1061" spans="1:33" ht="11.25" customHeight="1" x14ac:dyDescent="0.25">
      <c r="A1061" s="4" t="s">
        <v>30</v>
      </c>
      <c r="B1061" s="4" t="s">
        <v>22</v>
      </c>
      <c r="C1061" s="4" t="s">
        <v>35</v>
      </c>
      <c r="D1061" s="4" t="s">
        <v>24</v>
      </c>
      <c r="E1061" s="4" t="s">
        <v>24</v>
      </c>
      <c r="F1061" s="4" t="s">
        <v>25</v>
      </c>
      <c r="G1061" s="4" t="s">
        <v>25</v>
      </c>
      <c r="H1061" s="4" t="s">
        <v>38</v>
      </c>
      <c r="I1061" s="5">
        <v>44835</v>
      </c>
      <c r="J1061" s="6">
        <v>0</v>
      </c>
      <c r="K1061" s="6">
        <v>0</v>
      </c>
      <c r="L1061" s="6">
        <v>-8.9999999999999993E-3</v>
      </c>
      <c r="M1061" s="6">
        <v>-8.9999999999999993E-3</v>
      </c>
      <c r="N1061" s="6">
        <v>-8.9999999999999993E-3</v>
      </c>
      <c r="O1061" s="6">
        <v>-8.9999999999999993E-3</v>
      </c>
      <c r="P1061" s="6">
        <v>0</v>
      </c>
      <c r="Q1061" s="4" t="s">
        <v>26</v>
      </c>
      <c r="R1061" s="4">
        <v>0</v>
      </c>
      <c r="S1061" s="6">
        <v>0</v>
      </c>
      <c r="T1061" s="6">
        <v>37</v>
      </c>
      <c r="U1061" s="6">
        <v>81</v>
      </c>
      <c r="V1061" s="6">
        <f>IF(ISERROR(VLOOKUP($S$1061,'TAR FIN'!$A$1:$O$115,15,0)),0,VLOOKUP($S$1061,'TAR FIN'!$A$1:$O$115,15,0))</f>
        <v>0</v>
      </c>
      <c r="W1061" s="6">
        <f>IF(ISERROR(VLOOKUP($T$1061,'TAR FIN'!$A$1:$O$115,15,0)),0,VLOOKUP($T$1061,'TAR FIN'!$A$1:$O$115,15,0))</f>
        <v>774.97</v>
      </c>
      <c r="X1061" s="6">
        <f>IF(ISERROR(VLOOKUP($U$1061,'TAR FIN'!$A$1:$O$115,15,0)),0,VLOOKUP($U$1061,'TAR FIN'!$A$1:$O$115,15,0))</f>
        <v>168.06</v>
      </c>
      <c r="Y1061" s="6"/>
      <c r="Z1061" s="6">
        <f ca="1">('TUSD BE'!$AM$35+'TUSD BF'!$AM$35+'TUSD CVA'!$AM$35)*1</f>
        <v>811.26443827208175</v>
      </c>
      <c r="AA1061" s="6">
        <f>('TE BE'!$AB$18+'TE BF'!$AB$18+'TE CVA'!$AB$18)*1</f>
        <v>218.6854278594964</v>
      </c>
      <c r="AB1061" s="6">
        <f>$K$1061*$V$1061</f>
        <v>0</v>
      </c>
      <c r="AC1061" s="6">
        <f>$M$1061*$W$1061</f>
        <v>-6.9747300000000001</v>
      </c>
      <c r="AD1061" s="6">
        <f>$O$1061*$X$1061</f>
        <v>-1.51254</v>
      </c>
      <c r="AE1061" s="6">
        <f>$K$1061*$Y$1061</f>
        <v>0</v>
      </c>
      <c r="AF1061" s="6">
        <f ca="1">$M$1061*$Z$1061</f>
        <v>-7.3013799444487351</v>
      </c>
      <c r="AG1061" s="6">
        <f>$O$1061*$AA$1061</f>
        <v>-1.9681688507354675</v>
      </c>
    </row>
    <row r="1062" spans="1:33" ht="11.25" customHeight="1" x14ac:dyDescent="0.25">
      <c r="A1062" s="4" t="s">
        <v>59</v>
      </c>
      <c r="B1062" s="4" t="s">
        <v>22</v>
      </c>
      <c r="C1062" s="4" t="s">
        <v>35</v>
      </c>
      <c r="D1062" s="4" t="s">
        <v>24</v>
      </c>
      <c r="E1062" s="4" t="s">
        <v>24</v>
      </c>
      <c r="F1062" s="4" t="s">
        <v>25</v>
      </c>
      <c r="G1062" s="4" t="s">
        <v>25</v>
      </c>
      <c r="H1062" s="4" t="s">
        <v>38</v>
      </c>
      <c r="I1062" s="5">
        <v>44866</v>
      </c>
      <c r="J1062" s="6">
        <v>0</v>
      </c>
      <c r="K1062" s="6">
        <v>0</v>
      </c>
      <c r="L1062" s="6">
        <v>1.903</v>
      </c>
      <c r="M1062" s="6">
        <v>1.903</v>
      </c>
      <c r="N1062" s="6">
        <v>1.903</v>
      </c>
      <c r="O1062" s="6">
        <v>1.903</v>
      </c>
      <c r="P1062" s="6">
        <v>0</v>
      </c>
      <c r="Q1062" s="4" t="s">
        <v>26</v>
      </c>
      <c r="R1062" s="4">
        <v>0</v>
      </c>
      <c r="S1062" s="6">
        <v>0</v>
      </c>
      <c r="T1062" s="6">
        <v>37</v>
      </c>
      <c r="U1062" s="6">
        <v>81</v>
      </c>
      <c r="V1062" s="6">
        <f>IF(ISERROR(VLOOKUP($S$1062,'TAR FIN'!$A$1:$O$115,15,0)),0,VLOOKUP($S$1062,'TAR FIN'!$A$1:$O$115,15,0))</f>
        <v>0</v>
      </c>
      <c r="W1062" s="6">
        <f>IF(ISERROR(VLOOKUP($T$1062,'TAR FIN'!$A$1:$O$115,15,0)),0,VLOOKUP($T$1062,'TAR FIN'!$A$1:$O$115,15,0))</f>
        <v>774.97</v>
      </c>
      <c r="X1062" s="6">
        <f>IF(ISERROR(VLOOKUP($U$1062,'TAR FIN'!$A$1:$O$115,15,0)),0,VLOOKUP($U$1062,'TAR FIN'!$A$1:$O$115,15,0))</f>
        <v>168.06</v>
      </c>
      <c r="Y1062" s="6"/>
      <c r="Z1062" s="6">
        <f ca="1">('TUSD BE'!$AM$35+'TUSD BF'!$AM$35+'TUSD CVA'!$AM$35)*1</f>
        <v>811.26443827208175</v>
      </c>
      <c r="AA1062" s="6">
        <f>('TE BE'!$AB$18+'TE BF'!$AB$18+'TE CVA'!$AB$18)*1</f>
        <v>218.6854278594964</v>
      </c>
      <c r="AB1062" s="6">
        <f>$K$1062*$V$1062</f>
        <v>0</v>
      </c>
      <c r="AC1062" s="6">
        <f>$M$1062*$W$1062</f>
        <v>1474.76791</v>
      </c>
      <c r="AD1062" s="6">
        <f>$O$1062*$X$1062</f>
        <v>319.81817999999998</v>
      </c>
      <c r="AE1062" s="6">
        <f>$K$1062*$Y$1062</f>
        <v>0</v>
      </c>
      <c r="AF1062" s="6">
        <f ca="1">$M$1062*$Z$1062</f>
        <v>1543.8362260317715</v>
      </c>
      <c r="AG1062" s="6">
        <f>$O$1062*$AA$1062</f>
        <v>416.15836921662168</v>
      </c>
    </row>
    <row r="1063" spans="1:33" ht="11.25" customHeight="1" x14ac:dyDescent="0.25">
      <c r="A1063" s="4" t="s">
        <v>59</v>
      </c>
      <c r="B1063" s="4" t="s">
        <v>22</v>
      </c>
      <c r="C1063" s="4" t="s">
        <v>35</v>
      </c>
      <c r="D1063" s="4" t="s">
        <v>24</v>
      </c>
      <c r="E1063" s="4" t="s">
        <v>24</v>
      </c>
      <c r="F1063" s="4" t="s">
        <v>25</v>
      </c>
      <c r="G1063" s="4" t="s">
        <v>25</v>
      </c>
      <c r="H1063" s="4" t="s">
        <v>38</v>
      </c>
      <c r="I1063" s="5">
        <v>44866</v>
      </c>
      <c r="J1063" s="6">
        <v>0</v>
      </c>
      <c r="K1063" s="6">
        <v>0</v>
      </c>
      <c r="L1063" s="6">
        <v>2.7E-2</v>
      </c>
      <c r="M1063" s="6">
        <v>2.7E-2</v>
      </c>
      <c r="N1063" s="6">
        <v>2.7E-2</v>
      </c>
      <c r="O1063" s="6">
        <v>2.7E-2</v>
      </c>
      <c r="P1063" s="6">
        <v>0</v>
      </c>
      <c r="Q1063" s="4" t="s">
        <v>26</v>
      </c>
      <c r="R1063" s="4">
        <v>0</v>
      </c>
      <c r="S1063" s="6">
        <v>0</v>
      </c>
      <c r="T1063" s="6">
        <v>37</v>
      </c>
      <c r="U1063" s="6">
        <v>81</v>
      </c>
      <c r="V1063" s="6">
        <f>IF(ISERROR(VLOOKUP($S$1063,'TAR FIN'!$A$1:$O$115,15,0)),0,VLOOKUP($S$1063,'TAR FIN'!$A$1:$O$115,15,0))</f>
        <v>0</v>
      </c>
      <c r="W1063" s="6">
        <f>IF(ISERROR(VLOOKUP($T$1063,'TAR FIN'!$A$1:$O$115,15,0)),0,VLOOKUP($T$1063,'TAR FIN'!$A$1:$O$115,15,0))</f>
        <v>774.97</v>
      </c>
      <c r="X1063" s="6">
        <f>IF(ISERROR(VLOOKUP($U$1063,'TAR FIN'!$A$1:$O$115,15,0)),0,VLOOKUP($U$1063,'TAR FIN'!$A$1:$O$115,15,0))</f>
        <v>168.06</v>
      </c>
      <c r="Y1063" s="6"/>
      <c r="Z1063" s="6">
        <f ca="1">('TUSD BE'!$AM$35+'TUSD BF'!$AM$35+'TUSD CVA'!$AM$35)*1</f>
        <v>811.26443827208175</v>
      </c>
      <c r="AA1063" s="6">
        <f>('TE BE'!$AB$18+'TE BF'!$AB$18+'TE CVA'!$AB$18)*1</f>
        <v>218.6854278594964</v>
      </c>
      <c r="AB1063" s="6">
        <f>$K$1063*$V$1063</f>
        <v>0</v>
      </c>
      <c r="AC1063" s="6">
        <f>$M$1063*$W$1063</f>
        <v>20.924189999999999</v>
      </c>
      <c r="AD1063" s="6">
        <f>$O$1063*$X$1063</f>
        <v>4.5376200000000004</v>
      </c>
      <c r="AE1063" s="6">
        <f>$K$1063*$Y$1063</f>
        <v>0</v>
      </c>
      <c r="AF1063" s="6">
        <f ca="1">$M$1063*$Z$1063</f>
        <v>21.904139833346207</v>
      </c>
      <c r="AG1063" s="6">
        <f>$O$1063*$AA$1063</f>
        <v>5.9045065522064029</v>
      </c>
    </row>
    <row r="1064" spans="1:33" ht="11.25" customHeight="1" x14ac:dyDescent="0.25">
      <c r="A1064" s="4" t="s">
        <v>59</v>
      </c>
      <c r="B1064" s="4" t="s">
        <v>22</v>
      </c>
      <c r="C1064" s="4" t="s">
        <v>35</v>
      </c>
      <c r="D1064" s="4" t="s">
        <v>24</v>
      </c>
      <c r="E1064" s="4" t="s">
        <v>24</v>
      </c>
      <c r="F1064" s="4" t="s">
        <v>25</v>
      </c>
      <c r="G1064" s="4" t="s">
        <v>25</v>
      </c>
      <c r="H1064" s="4" t="s">
        <v>38</v>
      </c>
      <c r="I1064" s="5">
        <v>44866</v>
      </c>
      <c r="J1064" s="6">
        <v>0</v>
      </c>
      <c r="K1064" s="6">
        <v>0</v>
      </c>
      <c r="L1064" s="6">
        <v>5.1999999999999998E-2</v>
      </c>
      <c r="M1064" s="6">
        <v>5.1999999999999998E-2</v>
      </c>
      <c r="N1064" s="6">
        <v>5.1999999999999998E-2</v>
      </c>
      <c r="O1064" s="6">
        <v>5.1999999999999998E-2</v>
      </c>
      <c r="P1064" s="6">
        <v>0</v>
      </c>
      <c r="Q1064" s="4" t="s">
        <v>26</v>
      </c>
      <c r="R1064" s="4">
        <v>0</v>
      </c>
      <c r="S1064" s="6">
        <v>0</v>
      </c>
      <c r="T1064" s="6">
        <v>37</v>
      </c>
      <c r="U1064" s="6">
        <v>81</v>
      </c>
      <c r="V1064" s="6">
        <f>IF(ISERROR(VLOOKUP($S$1064,'TAR FIN'!$A$1:$O$115,15,0)),0,VLOOKUP($S$1064,'TAR FIN'!$A$1:$O$115,15,0))</f>
        <v>0</v>
      </c>
      <c r="W1064" s="6">
        <f>IF(ISERROR(VLOOKUP($T$1064,'TAR FIN'!$A$1:$O$115,15,0)),0,VLOOKUP($T$1064,'TAR FIN'!$A$1:$O$115,15,0))</f>
        <v>774.97</v>
      </c>
      <c r="X1064" s="6">
        <f>IF(ISERROR(VLOOKUP($U$1064,'TAR FIN'!$A$1:$O$115,15,0)),0,VLOOKUP($U$1064,'TAR FIN'!$A$1:$O$115,15,0))</f>
        <v>168.06</v>
      </c>
      <c r="Y1064" s="6"/>
      <c r="Z1064" s="6">
        <f ca="1">('TUSD BE'!$AM$35+'TUSD BF'!$AM$35+'TUSD CVA'!$AM$35)*1</f>
        <v>811.26443827208175</v>
      </c>
      <c r="AA1064" s="6">
        <f>('TE BE'!$AB$18+'TE BF'!$AB$18+'TE CVA'!$AB$18)*1</f>
        <v>218.6854278594964</v>
      </c>
      <c r="AB1064" s="6">
        <f>$K$1064*$V$1064</f>
        <v>0</v>
      </c>
      <c r="AC1064" s="6">
        <f>$M$1064*$W$1064</f>
        <v>40.298439999999999</v>
      </c>
      <c r="AD1064" s="6">
        <f>$O$1064*$X$1064</f>
        <v>8.7391199999999998</v>
      </c>
      <c r="AE1064" s="6">
        <f>$K$1064*$Y$1064</f>
        <v>0</v>
      </c>
      <c r="AF1064" s="6">
        <f ca="1">$M$1064*$Z$1064</f>
        <v>42.185750790148248</v>
      </c>
      <c r="AG1064" s="6">
        <f>$O$1064*$AA$1064</f>
        <v>11.371642248693812</v>
      </c>
    </row>
    <row r="1065" spans="1:33" ht="11.25" customHeight="1" x14ac:dyDescent="0.25">
      <c r="A1065" s="4" t="s">
        <v>59</v>
      </c>
      <c r="B1065" s="4" t="s">
        <v>22</v>
      </c>
      <c r="C1065" s="4" t="s">
        <v>35</v>
      </c>
      <c r="D1065" s="4" t="s">
        <v>24</v>
      </c>
      <c r="E1065" s="4" t="s">
        <v>24</v>
      </c>
      <c r="F1065" s="4" t="s">
        <v>25</v>
      </c>
      <c r="G1065" s="4" t="s">
        <v>25</v>
      </c>
      <c r="H1065" s="4" t="s">
        <v>38</v>
      </c>
      <c r="I1065" s="5">
        <v>44866</v>
      </c>
      <c r="J1065" s="6">
        <v>0</v>
      </c>
      <c r="K1065" s="6">
        <v>0</v>
      </c>
      <c r="L1065" s="6">
        <v>-8.9999999999999993E-3</v>
      </c>
      <c r="M1065" s="6">
        <v>-8.9999999999999993E-3</v>
      </c>
      <c r="N1065" s="6">
        <v>-8.9999999999999993E-3</v>
      </c>
      <c r="O1065" s="6">
        <v>-8.9999999999999993E-3</v>
      </c>
      <c r="P1065" s="6">
        <v>0</v>
      </c>
      <c r="Q1065" s="4" t="s">
        <v>26</v>
      </c>
      <c r="R1065" s="4">
        <v>0</v>
      </c>
      <c r="S1065" s="6">
        <v>0</v>
      </c>
      <c r="T1065" s="6">
        <v>37</v>
      </c>
      <c r="U1065" s="6">
        <v>81</v>
      </c>
      <c r="V1065" s="6">
        <f>IF(ISERROR(VLOOKUP($S$1065,'TAR FIN'!$A$1:$O$115,15,0)),0,VLOOKUP($S$1065,'TAR FIN'!$A$1:$O$115,15,0))</f>
        <v>0</v>
      </c>
      <c r="W1065" s="6">
        <f>IF(ISERROR(VLOOKUP($T$1065,'TAR FIN'!$A$1:$O$115,15,0)),0,VLOOKUP($T$1065,'TAR FIN'!$A$1:$O$115,15,0))</f>
        <v>774.97</v>
      </c>
      <c r="X1065" s="6">
        <f>IF(ISERROR(VLOOKUP($U$1065,'TAR FIN'!$A$1:$O$115,15,0)),0,VLOOKUP($U$1065,'TAR FIN'!$A$1:$O$115,15,0))</f>
        <v>168.06</v>
      </c>
      <c r="Y1065" s="6"/>
      <c r="Z1065" s="6">
        <f ca="1">('TUSD BE'!$AM$35+'TUSD BF'!$AM$35+'TUSD CVA'!$AM$35)*1</f>
        <v>811.26443827208175</v>
      </c>
      <c r="AA1065" s="6">
        <f>('TE BE'!$AB$18+'TE BF'!$AB$18+'TE CVA'!$AB$18)*1</f>
        <v>218.6854278594964</v>
      </c>
      <c r="AB1065" s="6">
        <f>$K$1065*$V$1065</f>
        <v>0</v>
      </c>
      <c r="AC1065" s="6">
        <f>$M$1065*$W$1065</f>
        <v>-6.9747300000000001</v>
      </c>
      <c r="AD1065" s="6">
        <f>$O$1065*$X$1065</f>
        <v>-1.51254</v>
      </c>
      <c r="AE1065" s="6">
        <f>$K$1065*$Y$1065</f>
        <v>0</v>
      </c>
      <c r="AF1065" s="6">
        <f ca="1">$M$1065*$Z$1065</f>
        <v>-7.3013799444487351</v>
      </c>
      <c r="AG1065" s="6">
        <f>$O$1065*$AA$1065</f>
        <v>-1.9681688507354675</v>
      </c>
    </row>
    <row r="1066" spans="1:33" ht="11.25" customHeight="1" x14ac:dyDescent="0.25">
      <c r="A1066" s="4" t="s">
        <v>21</v>
      </c>
      <c r="B1066" s="4" t="s">
        <v>22</v>
      </c>
      <c r="C1066" s="4" t="s">
        <v>35</v>
      </c>
      <c r="D1066" s="4" t="s">
        <v>24</v>
      </c>
      <c r="E1066" s="4" t="s">
        <v>24</v>
      </c>
      <c r="F1066" s="4" t="s">
        <v>25</v>
      </c>
      <c r="G1066" s="4" t="s">
        <v>25</v>
      </c>
      <c r="H1066" s="4" t="s">
        <v>36</v>
      </c>
      <c r="I1066" s="5">
        <v>44531</v>
      </c>
      <c r="J1066" s="6">
        <v>0</v>
      </c>
      <c r="K1066" s="6">
        <v>0</v>
      </c>
      <c r="L1066" s="6">
        <v>3.5390000000000001</v>
      </c>
      <c r="M1066" s="6">
        <v>3.5390000000000001</v>
      </c>
      <c r="N1066" s="6">
        <v>3.5390000000000001</v>
      </c>
      <c r="O1066" s="6">
        <v>3.5390000000000001</v>
      </c>
      <c r="P1066" s="6">
        <v>0</v>
      </c>
      <c r="Q1066" s="4" t="s">
        <v>26</v>
      </c>
      <c r="R1066" s="4">
        <v>0</v>
      </c>
      <c r="S1066" s="6">
        <v>0</v>
      </c>
      <c r="T1066" s="6">
        <v>36</v>
      </c>
      <c r="U1066" s="6">
        <v>80</v>
      </c>
      <c r="V1066" s="6">
        <f>IF(ISERROR(VLOOKUP($S$1066,'TAR FIN'!$A$1:$O$115,15,0)),0,VLOOKUP($S$1066,'TAR FIN'!$A$1:$O$115,15,0))</f>
        <v>0</v>
      </c>
      <c r="W1066" s="6">
        <f>IF(ISERROR(VLOOKUP($T$1066,'TAR FIN'!$A$1:$O$115,15,0)),0,VLOOKUP($T$1066,'TAR FIN'!$A$1:$O$115,15,0))</f>
        <v>1215.78</v>
      </c>
      <c r="X1066" s="6">
        <f>IF(ISERROR(VLOOKUP($U$1066,'TAR FIN'!$A$1:$O$115,15,0)),0,VLOOKUP($U$1066,'TAR FIN'!$A$1:$O$115,15,0))</f>
        <v>270.3</v>
      </c>
      <c r="Y1066" s="6"/>
      <c r="Z1066" s="6">
        <f ca="1">('TUSD BE'!$AM$34+'TUSD BF'!$AM$34+'TUSD CVA'!$AM$34)*1</f>
        <v>1248.7884163269312</v>
      </c>
      <c r="AA1066" s="6">
        <f>('TE BE'!$AB$17+'TE BF'!$AB$17+'TE CVA'!$AB$17)*1</f>
        <v>362.64398683254075</v>
      </c>
      <c r="AB1066" s="6">
        <f>$K$1066*$V$1066</f>
        <v>0</v>
      </c>
      <c r="AC1066" s="6">
        <f>$M$1066*$W$1066</f>
        <v>4302.6454199999998</v>
      </c>
      <c r="AD1066" s="6">
        <f>$O$1066*$X$1066</f>
        <v>956.59170000000006</v>
      </c>
      <c r="AE1066" s="6">
        <f>$K$1066*$Y$1066</f>
        <v>0</v>
      </c>
      <c r="AF1066" s="6">
        <f ca="1">$M$1066*$Z$1066</f>
        <v>4419.4622053810099</v>
      </c>
      <c r="AG1066" s="6">
        <f>$O$1066*$AA$1066</f>
        <v>1283.3970694003617</v>
      </c>
    </row>
    <row r="1067" spans="1:33" ht="11.25" customHeight="1" x14ac:dyDescent="0.25">
      <c r="A1067" s="4" t="s">
        <v>28</v>
      </c>
      <c r="B1067" s="4" t="s">
        <v>22</v>
      </c>
      <c r="C1067" s="4" t="s">
        <v>35</v>
      </c>
      <c r="D1067" s="4" t="s">
        <v>24</v>
      </c>
      <c r="E1067" s="4" t="s">
        <v>24</v>
      </c>
      <c r="F1067" s="4" t="s">
        <v>25</v>
      </c>
      <c r="G1067" s="4" t="s">
        <v>25</v>
      </c>
      <c r="H1067" s="4" t="s">
        <v>36</v>
      </c>
      <c r="I1067" s="5">
        <v>44531</v>
      </c>
      <c r="J1067" s="6">
        <v>0</v>
      </c>
      <c r="K1067" s="6">
        <v>0</v>
      </c>
      <c r="L1067" s="6">
        <v>5.3999999999999999E-2</v>
      </c>
      <c r="M1067" s="6">
        <v>5.3999999999999999E-2</v>
      </c>
      <c r="N1067" s="6">
        <v>5.3999999999999999E-2</v>
      </c>
      <c r="O1067" s="6">
        <v>5.3999999999999999E-2</v>
      </c>
      <c r="P1067" s="6">
        <v>0</v>
      </c>
      <c r="Q1067" s="4" t="s">
        <v>26</v>
      </c>
      <c r="R1067" s="4">
        <v>0</v>
      </c>
      <c r="S1067" s="6">
        <v>0</v>
      </c>
      <c r="T1067" s="6">
        <v>36</v>
      </c>
      <c r="U1067" s="6">
        <v>80</v>
      </c>
      <c r="V1067" s="6">
        <f>IF(ISERROR(VLOOKUP($S$1067,'TAR FIN'!$A$1:$O$115,15,0)),0,VLOOKUP($S$1067,'TAR FIN'!$A$1:$O$115,15,0))</f>
        <v>0</v>
      </c>
      <c r="W1067" s="6">
        <f>IF(ISERROR(VLOOKUP($T$1067,'TAR FIN'!$A$1:$O$115,15,0)),0,VLOOKUP($T$1067,'TAR FIN'!$A$1:$O$115,15,0))</f>
        <v>1215.78</v>
      </c>
      <c r="X1067" s="6">
        <f>IF(ISERROR(VLOOKUP($U$1067,'TAR FIN'!$A$1:$O$115,15,0)),0,VLOOKUP($U$1067,'TAR FIN'!$A$1:$O$115,15,0))</f>
        <v>270.3</v>
      </c>
      <c r="Y1067" s="6"/>
      <c r="Z1067" s="6">
        <f ca="1">('TUSD BE'!$AM$34+'TUSD BF'!$AM$34+'TUSD CVA'!$AM$34)*1</f>
        <v>1248.7884163269312</v>
      </c>
      <c r="AA1067" s="6">
        <f>('TE BE'!$AB$17+'TE BF'!$AB$17+'TE CVA'!$AB$17)*1</f>
        <v>362.64398683254075</v>
      </c>
      <c r="AB1067" s="6">
        <f>$K$1067*$V$1067</f>
        <v>0</v>
      </c>
      <c r="AC1067" s="6">
        <f>$M$1067*$W$1067</f>
        <v>65.652119999999996</v>
      </c>
      <c r="AD1067" s="6">
        <f>$O$1067*$X$1067</f>
        <v>14.5962</v>
      </c>
      <c r="AE1067" s="6">
        <f>$K$1067*$Y$1067</f>
        <v>0</v>
      </c>
      <c r="AF1067" s="6">
        <f ca="1">$M$1067*$Z$1067</f>
        <v>67.43457448165428</v>
      </c>
      <c r="AG1067" s="6">
        <f>$O$1067*$AA$1067</f>
        <v>19.582775288957201</v>
      </c>
    </row>
    <row r="1068" spans="1:33" ht="11.25" customHeight="1" x14ac:dyDescent="0.25">
      <c r="A1068" s="4" t="s">
        <v>30</v>
      </c>
      <c r="B1068" s="4" t="s">
        <v>22</v>
      </c>
      <c r="C1068" s="4" t="s">
        <v>35</v>
      </c>
      <c r="D1068" s="4" t="s">
        <v>24</v>
      </c>
      <c r="E1068" s="4" t="s">
        <v>24</v>
      </c>
      <c r="F1068" s="4" t="s">
        <v>25</v>
      </c>
      <c r="G1068" s="4" t="s">
        <v>25</v>
      </c>
      <c r="H1068" s="4" t="s">
        <v>36</v>
      </c>
      <c r="I1068" s="5">
        <v>44531</v>
      </c>
      <c r="J1068" s="6">
        <v>0</v>
      </c>
      <c r="K1068" s="6">
        <v>0</v>
      </c>
      <c r="L1068" s="6">
        <v>0.27</v>
      </c>
      <c r="M1068" s="6">
        <v>0.27</v>
      </c>
      <c r="N1068" s="6">
        <v>0.27</v>
      </c>
      <c r="O1068" s="6">
        <v>0.27</v>
      </c>
      <c r="P1068" s="6">
        <v>0</v>
      </c>
      <c r="Q1068" s="4" t="s">
        <v>26</v>
      </c>
      <c r="R1068" s="4">
        <v>0</v>
      </c>
      <c r="S1068" s="6">
        <v>0</v>
      </c>
      <c r="T1068" s="6">
        <v>36</v>
      </c>
      <c r="U1068" s="6">
        <v>80</v>
      </c>
      <c r="V1068" s="6">
        <f>IF(ISERROR(VLOOKUP($S$1068,'TAR FIN'!$A$1:$O$115,15,0)),0,VLOOKUP($S$1068,'TAR FIN'!$A$1:$O$115,15,0))</f>
        <v>0</v>
      </c>
      <c r="W1068" s="6">
        <f>IF(ISERROR(VLOOKUP($T$1068,'TAR FIN'!$A$1:$O$115,15,0)),0,VLOOKUP($T$1068,'TAR FIN'!$A$1:$O$115,15,0))</f>
        <v>1215.78</v>
      </c>
      <c r="X1068" s="6">
        <f>IF(ISERROR(VLOOKUP($U$1068,'TAR FIN'!$A$1:$O$115,15,0)),0,VLOOKUP($U$1068,'TAR FIN'!$A$1:$O$115,15,0))</f>
        <v>270.3</v>
      </c>
      <c r="Y1068" s="6"/>
      <c r="Z1068" s="6">
        <f ca="1">('TUSD BE'!$AM$34+'TUSD BF'!$AM$34+'TUSD CVA'!$AM$34)*1</f>
        <v>1248.7884163269312</v>
      </c>
      <c r="AA1068" s="6">
        <f>('TE BE'!$AB$17+'TE BF'!$AB$17+'TE CVA'!$AB$17)*1</f>
        <v>362.64398683254075</v>
      </c>
      <c r="AB1068" s="6">
        <f>$K$1068*$V$1068</f>
        <v>0</v>
      </c>
      <c r="AC1068" s="6">
        <f>$M$1068*$W$1068</f>
        <v>328.26060000000001</v>
      </c>
      <c r="AD1068" s="6">
        <f>$O$1068*$X$1068</f>
        <v>72.981000000000009</v>
      </c>
      <c r="AE1068" s="6">
        <f>$K$1068*$Y$1068</f>
        <v>0</v>
      </c>
      <c r="AF1068" s="6">
        <f ca="1">$M$1068*$Z$1068</f>
        <v>337.17287240827142</v>
      </c>
      <c r="AG1068" s="6">
        <f>$O$1068*$AA$1068</f>
        <v>97.913876444786013</v>
      </c>
    </row>
    <row r="1069" spans="1:33" ht="11.25" customHeight="1" x14ac:dyDescent="0.25">
      <c r="A1069" s="4" t="s">
        <v>30</v>
      </c>
      <c r="B1069" s="4" t="s">
        <v>22</v>
      </c>
      <c r="C1069" s="4" t="s">
        <v>35</v>
      </c>
      <c r="D1069" s="4" t="s">
        <v>24</v>
      </c>
      <c r="E1069" s="4" t="s">
        <v>24</v>
      </c>
      <c r="F1069" s="4" t="s">
        <v>25</v>
      </c>
      <c r="G1069" s="4" t="s">
        <v>25</v>
      </c>
      <c r="H1069" s="4" t="s">
        <v>36</v>
      </c>
      <c r="I1069" s="5">
        <v>44531</v>
      </c>
      <c r="J1069" s="6">
        <v>0</v>
      </c>
      <c r="K1069" s="6">
        <v>0</v>
      </c>
      <c r="L1069" s="6">
        <v>-2.9000000000000001E-2</v>
      </c>
      <c r="M1069" s="6">
        <v>-2.9000000000000001E-2</v>
      </c>
      <c r="N1069" s="6">
        <v>-2.9000000000000001E-2</v>
      </c>
      <c r="O1069" s="6">
        <v>-2.9000000000000001E-2</v>
      </c>
      <c r="P1069" s="6">
        <v>0</v>
      </c>
      <c r="Q1069" s="4" t="s">
        <v>26</v>
      </c>
      <c r="R1069" s="4">
        <v>0</v>
      </c>
      <c r="S1069" s="6">
        <v>0</v>
      </c>
      <c r="T1069" s="6">
        <v>36</v>
      </c>
      <c r="U1069" s="6">
        <v>80</v>
      </c>
      <c r="V1069" s="6">
        <f>IF(ISERROR(VLOOKUP($S$1069,'TAR FIN'!$A$1:$O$115,15,0)),0,VLOOKUP($S$1069,'TAR FIN'!$A$1:$O$115,15,0))</f>
        <v>0</v>
      </c>
      <c r="W1069" s="6">
        <f>IF(ISERROR(VLOOKUP($T$1069,'TAR FIN'!$A$1:$O$115,15,0)),0,VLOOKUP($T$1069,'TAR FIN'!$A$1:$O$115,15,0))</f>
        <v>1215.78</v>
      </c>
      <c r="X1069" s="6">
        <f>IF(ISERROR(VLOOKUP($U$1069,'TAR FIN'!$A$1:$O$115,15,0)),0,VLOOKUP($U$1069,'TAR FIN'!$A$1:$O$115,15,0))</f>
        <v>270.3</v>
      </c>
      <c r="Y1069" s="6"/>
      <c r="Z1069" s="6">
        <f ca="1">('TUSD BE'!$AM$34+'TUSD BF'!$AM$34+'TUSD CVA'!$AM$34)*1</f>
        <v>1248.7884163269312</v>
      </c>
      <c r="AA1069" s="6">
        <f>('TE BE'!$AB$17+'TE BF'!$AB$17+'TE CVA'!$AB$17)*1</f>
        <v>362.64398683254075</v>
      </c>
      <c r="AB1069" s="6">
        <f>$K$1069*$V$1069</f>
        <v>0</v>
      </c>
      <c r="AC1069" s="6">
        <f>$M$1069*$W$1069</f>
        <v>-35.257620000000003</v>
      </c>
      <c r="AD1069" s="6">
        <f>$O$1069*$X$1069</f>
        <v>-7.8387000000000011</v>
      </c>
      <c r="AE1069" s="6">
        <f>$K$1069*$Y$1069</f>
        <v>0</v>
      </c>
      <c r="AF1069" s="6">
        <f ca="1">$M$1069*$Z$1069</f>
        <v>-36.214864073481003</v>
      </c>
      <c r="AG1069" s="6">
        <f>$O$1069*$AA$1069</f>
        <v>-10.516675618143681</v>
      </c>
    </row>
    <row r="1070" spans="1:33" ht="11.25" customHeight="1" x14ac:dyDescent="0.25">
      <c r="A1070" s="4" t="s">
        <v>21</v>
      </c>
      <c r="B1070" s="4" t="s">
        <v>22</v>
      </c>
      <c r="C1070" s="4" t="s">
        <v>35</v>
      </c>
      <c r="D1070" s="4" t="s">
        <v>24</v>
      </c>
      <c r="E1070" s="4" t="s">
        <v>24</v>
      </c>
      <c r="F1070" s="4" t="s">
        <v>25</v>
      </c>
      <c r="G1070" s="4" t="s">
        <v>25</v>
      </c>
      <c r="H1070" s="4" t="s">
        <v>36</v>
      </c>
      <c r="I1070" s="5">
        <v>44562</v>
      </c>
      <c r="J1070" s="6">
        <v>0</v>
      </c>
      <c r="K1070" s="6">
        <v>0</v>
      </c>
      <c r="L1070" s="6">
        <v>3.177</v>
      </c>
      <c r="M1070" s="6">
        <v>3.177</v>
      </c>
      <c r="N1070" s="6">
        <v>3.177</v>
      </c>
      <c r="O1070" s="6">
        <v>3.177</v>
      </c>
      <c r="P1070" s="6">
        <v>0</v>
      </c>
      <c r="Q1070" s="4" t="s">
        <v>26</v>
      </c>
      <c r="R1070" s="4">
        <v>0</v>
      </c>
      <c r="S1070" s="6">
        <v>0</v>
      </c>
      <c r="T1070" s="6">
        <v>36</v>
      </c>
      <c r="U1070" s="6">
        <v>80</v>
      </c>
      <c r="V1070" s="6">
        <f>IF(ISERROR(VLOOKUP($S$1070,'TAR FIN'!$A$1:$O$115,15,0)),0,VLOOKUP($S$1070,'TAR FIN'!$A$1:$O$115,15,0))</f>
        <v>0</v>
      </c>
      <c r="W1070" s="6">
        <f>IF(ISERROR(VLOOKUP($T$1070,'TAR FIN'!$A$1:$O$115,15,0)),0,VLOOKUP($T$1070,'TAR FIN'!$A$1:$O$115,15,0))</f>
        <v>1215.78</v>
      </c>
      <c r="X1070" s="6">
        <f>IF(ISERROR(VLOOKUP($U$1070,'TAR FIN'!$A$1:$O$115,15,0)),0,VLOOKUP($U$1070,'TAR FIN'!$A$1:$O$115,15,0))</f>
        <v>270.3</v>
      </c>
      <c r="Y1070" s="6"/>
      <c r="Z1070" s="6">
        <f ca="1">('TUSD BE'!$AM$34+'TUSD BF'!$AM$34+'TUSD CVA'!$AM$34)*1</f>
        <v>1248.7884163269312</v>
      </c>
      <c r="AA1070" s="6">
        <f>('TE BE'!$AB$17+'TE BF'!$AB$17+'TE CVA'!$AB$17)*1</f>
        <v>362.64398683254075</v>
      </c>
      <c r="AB1070" s="6">
        <f>$K$1070*$V$1070</f>
        <v>0</v>
      </c>
      <c r="AC1070" s="6">
        <f>$M$1070*$W$1070</f>
        <v>3862.5330599999998</v>
      </c>
      <c r="AD1070" s="6">
        <f>$O$1070*$X$1070</f>
        <v>858.74310000000003</v>
      </c>
      <c r="AE1070" s="6">
        <f>$K$1070*$Y$1070</f>
        <v>0</v>
      </c>
      <c r="AF1070" s="6">
        <f ca="1">$M$1070*$Z$1070</f>
        <v>3967.4007986706602</v>
      </c>
      <c r="AG1070" s="6">
        <f>$O$1070*$AA$1070</f>
        <v>1152.1199461669819</v>
      </c>
    </row>
    <row r="1071" spans="1:33" ht="11.25" customHeight="1" x14ac:dyDescent="0.25">
      <c r="A1071" s="4" t="s">
        <v>28</v>
      </c>
      <c r="B1071" s="4" t="s">
        <v>22</v>
      </c>
      <c r="C1071" s="4" t="s">
        <v>35</v>
      </c>
      <c r="D1071" s="4" t="s">
        <v>24</v>
      </c>
      <c r="E1071" s="4" t="s">
        <v>24</v>
      </c>
      <c r="F1071" s="4" t="s">
        <v>25</v>
      </c>
      <c r="G1071" s="4" t="s">
        <v>25</v>
      </c>
      <c r="H1071" s="4" t="s">
        <v>36</v>
      </c>
      <c r="I1071" s="5">
        <v>44562</v>
      </c>
      <c r="J1071" s="6">
        <v>0</v>
      </c>
      <c r="K1071" s="6">
        <v>0</v>
      </c>
      <c r="L1071" s="6">
        <v>6.6000000000000003E-2</v>
      </c>
      <c r="M1071" s="6">
        <v>6.6000000000000003E-2</v>
      </c>
      <c r="N1071" s="6">
        <v>6.6000000000000003E-2</v>
      </c>
      <c r="O1071" s="6">
        <v>6.6000000000000003E-2</v>
      </c>
      <c r="P1071" s="6">
        <v>0</v>
      </c>
      <c r="Q1071" s="4" t="s">
        <v>26</v>
      </c>
      <c r="R1071" s="4">
        <v>0</v>
      </c>
      <c r="S1071" s="6">
        <v>0</v>
      </c>
      <c r="T1071" s="6">
        <v>36</v>
      </c>
      <c r="U1071" s="6">
        <v>80</v>
      </c>
      <c r="V1071" s="6">
        <f>IF(ISERROR(VLOOKUP($S$1071,'TAR FIN'!$A$1:$O$115,15,0)),0,VLOOKUP($S$1071,'TAR FIN'!$A$1:$O$115,15,0))</f>
        <v>0</v>
      </c>
      <c r="W1071" s="6">
        <f>IF(ISERROR(VLOOKUP($T$1071,'TAR FIN'!$A$1:$O$115,15,0)),0,VLOOKUP($T$1071,'TAR FIN'!$A$1:$O$115,15,0))</f>
        <v>1215.78</v>
      </c>
      <c r="X1071" s="6">
        <f>IF(ISERROR(VLOOKUP($U$1071,'TAR FIN'!$A$1:$O$115,15,0)),0,VLOOKUP($U$1071,'TAR FIN'!$A$1:$O$115,15,0))</f>
        <v>270.3</v>
      </c>
      <c r="Y1071" s="6"/>
      <c r="Z1071" s="6">
        <f ca="1">('TUSD BE'!$AM$34+'TUSD BF'!$AM$34+'TUSD CVA'!$AM$34)*1</f>
        <v>1248.7884163269312</v>
      </c>
      <c r="AA1071" s="6">
        <f>('TE BE'!$AB$17+'TE BF'!$AB$17+'TE CVA'!$AB$17)*1</f>
        <v>362.64398683254075</v>
      </c>
      <c r="AB1071" s="6">
        <f>$K$1071*$V$1071</f>
        <v>0</v>
      </c>
      <c r="AC1071" s="6">
        <f>$M$1071*$W$1071</f>
        <v>80.241479999999996</v>
      </c>
      <c r="AD1071" s="6">
        <f>$O$1071*$X$1071</f>
        <v>17.8398</v>
      </c>
      <c r="AE1071" s="6">
        <f>$K$1071*$Y$1071</f>
        <v>0</v>
      </c>
      <c r="AF1071" s="6">
        <f ca="1">$M$1071*$Z$1071</f>
        <v>82.420035477577457</v>
      </c>
      <c r="AG1071" s="6">
        <f>$O$1071*$AA$1071</f>
        <v>23.934503130947689</v>
      </c>
    </row>
    <row r="1072" spans="1:33" ht="11.25" customHeight="1" x14ac:dyDescent="0.25">
      <c r="A1072" s="4" t="s">
        <v>30</v>
      </c>
      <c r="B1072" s="4" t="s">
        <v>22</v>
      </c>
      <c r="C1072" s="4" t="s">
        <v>35</v>
      </c>
      <c r="D1072" s="4" t="s">
        <v>24</v>
      </c>
      <c r="E1072" s="4" t="s">
        <v>24</v>
      </c>
      <c r="F1072" s="4" t="s">
        <v>25</v>
      </c>
      <c r="G1072" s="4" t="s">
        <v>25</v>
      </c>
      <c r="H1072" s="4" t="s">
        <v>36</v>
      </c>
      <c r="I1072" s="5">
        <v>44562</v>
      </c>
      <c r="J1072" s="6">
        <v>0</v>
      </c>
      <c r="K1072" s="6">
        <v>0</v>
      </c>
      <c r="L1072" s="6">
        <v>0.16700000000000001</v>
      </c>
      <c r="M1072" s="6">
        <v>0.16700000000000001</v>
      </c>
      <c r="N1072" s="6">
        <v>0.16700000000000001</v>
      </c>
      <c r="O1072" s="6">
        <v>0.16700000000000001</v>
      </c>
      <c r="P1072" s="6">
        <v>0</v>
      </c>
      <c r="Q1072" s="4" t="s">
        <v>26</v>
      </c>
      <c r="R1072" s="4">
        <v>0</v>
      </c>
      <c r="S1072" s="6">
        <v>0</v>
      </c>
      <c r="T1072" s="6">
        <v>36</v>
      </c>
      <c r="U1072" s="6">
        <v>80</v>
      </c>
      <c r="V1072" s="6">
        <f>IF(ISERROR(VLOOKUP($S$1072,'TAR FIN'!$A$1:$O$115,15,0)),0,VLOOKUP($S$1072,'TAR FIN'!$A$1:$O$115,15,0))</f>
        <v>0</v>
      </c>
      <c r="W1072" s="6">
        <f>IF(ISERROR(VLOOKUP($T$1072,'TAR FIN'!$A$1:$O$115,15,0)),0,VLOOKUP($T$1072,'TAR FIN'!$A$1:$O$115,15,0))</f>
        <v>1215.78</v>
      </c>
      <c r="X1072" s="6">
        <f>IF(ISERROR(VLOOKUP($U$1072,'TAR FIN'!$A$1:$O$115,15,0)),0,VLOOKUP($U$1072,'TAR FIN'!$A$1:$O$115,15,0))</f>
        <v>270.3</v>
      </c>
      <c r="Y1072" s="6"/>
      <c r="Z1072" s="6">
        <f ca="1">('TUSD BE'!$AM$34+'TUSD BF'!$AM$34+'TUSD CVA'!$AM$34)*1</f>
        <v>1248.7884163269312</v>
      </c>
      <c r="AA1072" s="6">
        <f>('TE BE'!$AB$17+'TE BF'!$AB$17+'TE CVA'!$AB$17)*1</f>
        <v>362.64398683254075</v>
      </c>
      <c r="AB1072" s="6">
        <f>$K$1072*$V$1072</f>
        <v>0</v>
      </c>
      <c r="AC1072" s="6">
        <f>$M$1072*$W$1072</f>
        <v>203.03525999999999</v>
      </c>
      <c r="AD1072" s="6">
        <f>$O$1072*$X$1072</f>
        <v>45.140100000000004</v>
      </c>
      <c r="AE1072" s="6">
        <f>$K$1072*$Y$1072</f>
        <v>0</v>
      </c>
      <c r="AF1072" s="6">
        <f ca="1">$M$1072*$Z$1072</f>
        <v>208.54766552659751</v>
      </c>
      <c r="AG1072" s="6">
        <f>$O$1072*$AA$1072</f>
        <v>60.561545801034306</v>
      </c>
    </row>
    <row r="1073" spans="1:33" ht="11.25" customHeight="1" x14ac:dyDescent="0.25">
      <c r="A1073" s="4" t="s">
        <v>21</v>
      </c>
      <c r="B1073" s="4" t="s">
        <v>22</v>
      </c>
      <c r="C1073" s="4" t="s">
        <v>35</v>
      </c>
      <c r="D1073" s="4" t="s">
        <v>24</v>
      </c>
      <c r="E1073" s="4" t="s">
        <v>24</v>
      </c>
      <c r="F1073" s="4" t="s">
        <v>25</v>
      </c>
      <c r="G1073" s="4" t="s">
        <v>25</v>
      </c>
      <c r="H1073" s="4" t="s">
        <v>36</v>
      </c>
      <c r="I1073" s="5">
        <v>44593</v>
      </c>
      <c r="J1073" s="6">
        <v>0</v>
      </c>
      <c r="K1073" s="6">
        <v>0</v>
      </c>
      <c r="L1073" s="6">
        <v>3.38</v>
      </c>
      <c r="M1073" s="6">
        <v>3.38</v>
      </c>
      <c r="N1073" s="6">
        <v>3.38</v>
      </c>
      <c r="O1073" s="6">
        <v>3.38</v>
      </c>
      <c r="P1073" s="6">
        <v>0</v>
      </c>
      <c r="Q1073" s="4" t="s">
        <v>26</v>
      </c>
      <c r="R1073" s="4">
        <v>0</v>
      </c>
      <c r="S1073" s="6">
        <v>0</v>
      </c>
      <c r="T1073" s="6">
        <v>36</v>
      </c>
      <c r="U1073" s="6">
        <v>80</v>
      </c>
      <c r="V1073" s="6">
        <f>IF(ISERROR(VLOOKUP($S$1073,'TAR FIN'!$A$1:$O$115,15,0)),0,VLOOKUP($S$1073,'TAR FIN'!$A$1:$O$115,15,0))</f>
        <v>0</v>
      </c>
      <c r="W1073" s="6">
        <f>IF(ISERROR(VLOOKUP($T$1073,'TAR FIN'!$A$1:$O$115,15,0)),0,VLOOKUP($T$1073,'TAR FIN'!$A$1:$O$115,15,0))</f>
        <v>1215.78</v>
      </c>
      <c r="X1073" s="6">
        <f>IF(ISERROR(VLOOKUP($U$1073,'TAR FIN'!$A$1:$O$115,15,0)),0,VLOOKUP($U$1073,'TAR FIN'!$A$1:$O$115,15,0))</f>
        <v>270.3</v>
      </c>
      <c r="Y1073" s="6"/>
      <c r="Z1073" s="6">
        <f ca="1">('TUSD BE'!$AM$34+'TUSD BF'!$AM$34+'TUSD CVA'!$AM$34)*1</f>
        <v>1248.7884163269312</v>
      </c>
      <c r="AA1073" s="6">
        <f>('TE BE'!$AB$17+'TE BF'!$AB$17+'TE CVA'!$AB$17)*1</f>
        <v>362.64398683254075</v>
      </c>
      <c r="AB1073" s="6">
        <f>$K$1073*$V$1073</f>
        <v>0</v>
      </c>
      <c r="AC1073" s="6">
        <f>$M$1073*$W$1073</f>
        <v>4109.3364000000001</v>
      </c>
      <c r="AD1073" s="6">
        <f>$O$1073*$X$1073</f>
        <v>913.61400000000003</v>
      </c>
      <c r="AE1073" s="6">
        <f>$K$1073*$Y$1073</f>
        <v>0</v>
      </c>
      <c r="AF1073" s="6">
        <f ca="1">$M$1073*$Z$1073</f>
        <v>4220.9048471850274</v>
      </c>
      <c r="AG1073" s="6">
        <f>$O$1073*$AA$1073</f>
        <v>1225.7366754939876</v>
      </c>
    </row>
    <row r="1074" spans="1:33" ht="11.25" customHeight="1" x14ac:dyDescent="0.25">
      <c r="A1074" s="4" t="s">
        <v>27</v>
      </c>
      <c r="B1074" s="4" t="s">
        <v>22</v>
      </c>
      <c r="C1074" s="4" t="s">
        <v>35</v>
      </c>
      <c r="D1074" s="4" t="s">
        <v>24</v>
      </c>
      <c r="E1074" s="4" t="s">
        <v>24</v>
      </c>
      <c r="F1074" s="4" t="s">
        <v>25</v>
      </c>
      <c r="G1074" s="4" t="s">
        <v>25</v>
      </c>
      <c r="H1074" s="4" t="s">
        <v>36</v>
      </c>
      <c r="I1074" s="5">
        <v>44593</v>
      </c>
      <c r="J1074" s="6">
        <v>0</v>
      </c>
      <c r="K1074" s="6">
        <v>0</v>
      </c>
      <c r="L1074" s="6">
        <v>2.4E-2</v>
      </c>
      <c r="M1074" s="6">
        <v>2.4E-2</v>
      </c>
      <c r="N1074" s="6">
        <v>2.4E-2</v>
      </c>
      <c r="O1074" s="6">
        <v>2.4E-2</v>
      </c>
      <c r="P1074" s="6">
        <v>0</v>
      </c>
      <c r="Q1074" s="4" t="s">
        <v>26</v>
      </c>
      <c r="R1074" s="4">
        <v>0</v>
      </c>
      <c r="S1074" s="6">
        <v>0</v>
      </c>
      <c r="T1074" s="6">
        <v>36</v>
      </c>
      <c r="U1074" s="6">
        <v>80</v>
      </c>
      <c r="V1074" s="6">
        <f>IF(ISERROR(VLOOKUP($S$1074,'TAR FIN'!$A$1:$O$115,15,0)),0,VLOOKUP($S$1074,'TAR FIN'!$A$1:$O$115,15,0))</f>
        <v>0</v>
      </c>
      <c r="W1074" s="6">
        <f>IF(ISERROR(VLOOKUP($T$1074,'TAR FIN'!$A$1:$O$115,15,0)),0,VLOOKUP($T$1074,'TAR FIN'!$A$1:$O$115,15,0))</f>
        <v>1215.78</v>
      </c>
      <c r="X1074" s="6">
        <f>IF(ISERROR(VLOOKUP($U$1074,'TAR FIN'!$A$1:$O$115,15,0)),0,VLOOKUP($U$1074,'TAR FIN'!$A$1:$O$115,15,0))</f>
        <v>270.3</v>
      </c>
      <c r="Y1074" s="6"/>
      <c r="Z1074" s="6">
        <f ca="1">('TUSD BE'!$AM$34+'TUSD BF'!$AM$34+'TUSD CVA'!$AM$34)*1</f>
        <v>1248.7884163269312</v>
      </c>
      <c r="AA1074" s="6">
        <f>('TE BE'!$AB$17+'TE BF'!$AB$17+'TE CVA'!$AB$17)*1</f>
        <v>362.64398683254075</v>
      </c>
      <c r="AB1074" s="6">
        <f>$K$1074*$V$1074</f>
        <v>0</v>
      </c>
      <c r="AC1074" s="6">
        <f>$M$1074*$W$1074</f>
        <v>29.178719999999998</v>
      </c>
      <c r="AD1074" s="6">
        <f>$O$1074*$X$1074</f>
        <v>6.4872000000000005</v>
      </c>
      <c r="AE1074" s="6">
        <f>$K$1074*$Y$1074</f>
        <v>0</v>
      </c>
      <c r="AF1074" s="6">
        <f ca="1">$M$1074*$Z$1074</f>
        <v>29.97092199184635</v>
      </c>
      <c r="AG1074" s="6">
        <f>$O$1074*$AA$1074</f>
        <v>8.7034556839809785</v>
      </c>
    </row>
    <row r="1075" spans="1:33" ht="11.25" customHeight="1" x14ac:dyDescent="0.25">
      <c r="A1075" s="4" t="s">
        <v>28</v>
      </c>
      <c r="B1075" s="4" t="s">
        <v>22</v>
      </c>
      <c r="C1075" s="4" t="s">
        <v>35</v>
      </c>
      <c r="D1075" s="4" t="s">
        <v>24</v>
      </c>
      <c r="E1075" s="4" t="s">
        <v>24</v>
      </c>
      <c r="F1075" s="4" t="s">
        <v>25</v>
      </c>
      <c r="G1075" s="4" t="s">
        <v>25</v>
      </c>
      <c r="H1075" s="4" t="s">
        <v>36</v>
      </c>
      <c r="I1075" s="5">
        <v>44593</v>
      </c>
      <c r="J1075" s="6">
        <v>0</v>
      </c>
      <c r="K1075" s="6">
        <v>0</v>
      </c>
      <c r="L1075" s="6">
        <v>6.6000000000000003E-2</v>
      </c>
      <c r="M1075" s="6">
        <v>6.6000000000000003E-2</v>
      </c>
      <c r="N1075" s="6">
        <v>6.6000000000000003E-2</v>
      </c>
      <c r="O1075" s="6">
        <v>6.6000000000000003E-2</v>
      </c>
      <c r="P1075" s="6">
        <v>0</v>
      </c>
      <c r="Q1075" s="4" t="s">
        <v>26</v>
      </c>
      <c r="R1075" s="4">
        <v>0</v>
      </c>
      <c r="S1075" s="6">
        <v>0</v>
      </c>
      <c r="T1075" s="6">
        <v>36</v>
      </c>
      <c r="U1075" s="6">
        <v>80</v>
      </c>
      <c r="V1075" s="6">
        <f>IF(ISERROR(VLOOKUP($S$1075,'TAR FIN'!$A$1:$O$115,15,0)),0,VLOOKUP($S$1075,'TAR FIN'!$A$1:$O$115,15,0))</f>
        <v>0</v>
      </c>
      <c r="W1075" s="6">
        <f>IF(ISERROR(VLOOKUP($T$1075,'TAR FIN'!$A$1:$O$115,15,0)),0,VLOOKUP($T$1075,'TAR FIN'!$A$1:$O$115,15,0))</f>
        <v>1215.78</v>
      </c>
      <c r="X1075" s="6">
        <f>IF(ISERROR(VLOOKUP($U$1075,'TAR FIN'!$A$1:$O$115,15,0)),0,VLOOKUP($U$1075,'TAR FIN'!$A$1:$O$115,15,0))</f>
        <v>270.3</v>
      </c>
      <c r="Y1075" s="6"/>
      <c r="Z1075" s="6">
        <f ca="1">('TUSD BE'!$AM$34+'TUSD BF'!$AM$34+'TUSD CVA'!$AM$34)*1</f>
        <v>1248.7884163269312</v>
      </c>
      <c r="AA1075" s="6">
        <f>('TE BE'!$AB$17+'TE BF'!$AB$17+'TE CVA'!$AB$17)*1</f>
        <v>362.64398683254075</v>
      </c>
      <c r="AB1075" s="6">
        <f>$K$1075*$V$1075</f>
        <v>0</v>
      </c>
      <c r="AC1075" s="6">
        <f>$M$1075*$W$1075</f>
        <v>80.241479999999996</v>
      </c>
      <c r="AD1075" s="6">
        <f>$O$1075*$X$1075</f>
        <v>17.8398</v>
      </c>
      <c r="AE1075" s="6">
        <f>$K$1075*$Y$1075</f>
        <v>0</v>
      </c>
      <c r="AF1075" s="6">
        <f ca="1">$M$1075*$Z$1075</f>
        <v>82.420035477577457</v>
      </c>
      <c r="AG1075" s="6">
        <f>$O$1075*$AA$1075</f>
        <v>23.934503130947689</v>
      </c>
    </row>
    <row r="1076" spans="1:33" ht="11.25" customHeight="1" x14ac:dyDescent="0.25">
      <c r="A1076" s="4" t="s">
        <v>30</v>
      </c>
      <c r="B1076" s="4" t="s">
        <v>22</v>
      </c>
      <c r="C1076" s="4" t="s">
        <v>35</v>
      </c>
      <c r="D1076" s="4" t="s">
        <v>24</v>
      </c>
      <c r="E1076" s="4" t="s">
        <v>24</v>
      </c>
      <c r="F1076" s="4" t="s">
        <v>25</v>
      </c>
      <c r="G1076" s="4" t="s">
        <v>25</v>
      </c>
      <c r="H1076" s="4" t="s">
        <v>36</v>
      </c>
      <c r="I1076" s="5">
        <v>44593</v>
      </c>
      <c r="J1076" s="6">
        <v>0</v>
      </c>
      <c r="K1076" s="6">
        <v>0</v>
      </c>
      <c r="L1076" s="6">
        <v>2.7E-2</v>
      </c>
      <c r="M1076" s="6">
        <v>2.7E-2</v>
      </c>
      <c r="N1076" s="6">
        <v>2.7E-2</v>
      </c>
      <c r="O1076" s="6">
        <v>2.7E-2</v>
      </c>
      <c r="P1076" s="6">
        <v>0</v>
      </c>
      <c r="Q1076" s="4" t="s">
        <v>26</v>
      </c>
      <c r="R1076" s="4">
        <v>0</v>
      </c>
      <c r="S1076" s="6">
        <v>0</v>
      </c>
      <c r="T1076" s="6">
        <v>36</v>
      </c>
      <c r="U1076" s="6">
        <v>80</v>
      </c>
      <c r="V1076" s="6">
        <f>IF(ISERROR(VLOOKUP($S$1076,'TAR FIN'!$A$1:$O$115,15,0)),0,VLOOKUP($S$1076,'TAR FIN'!$A$1:$O$115,15,0))</f>
        <v>0</v>
      </c>
      <c r="W1076" s="6">
        <f>IF(ISERROR(VLOOKUP($T$1076,'TAR FIN'!$A$1:$O$115,15,0)),0,VLOOKUP($T$1076,'TAR FIN'!$A$1:$O$115,15,0))</f>
        <v>1215.78</v>
      </c>
      <c r="X1076" s="6">
        <f>IF(ISERROR(VLOOKUP($U$1076,'TAR FIN'!$A$1:$O$115,15,0)),0,VLOOKUP($U$1076,'TAR FIN'!$A$1:$O$115,15,0))</f>
        <v>270.3</v>
      </c>
      <c r="Y1076" s="6"/>
      <c r="Z1076" s="6">
        <f ca="1">('TUSD BE'!$AM$34+'TUSD BF'!$AM$34+'TUSD CVA'!$AM$34)*1</f>
        <v>1248.7884163269312</v>
      </c>
      <c r="AA1076" s="6">
        <f>('TE BE'!$AB$17+'TE BF'!$AB$17+'TE CVA'!$AB$17)*1</f>
        <v>362.64398683254075</v>
      </c>
      <c r="AB1076" s="6">
        <f>$K$1076*$V$1076</f>
        <v>0</v>
      </c>
      <c r="AC1076" s="6">
        <f>$M$1076*$W$1076</f>
        <v>32.826059999999998</v>
      </c>
      <c r="AD1076" s="6">
        <f>$O$1076*$X$1076</f>
        <v>7.2980999999999998</v>
      </c>
      <c r="AE1076" s="6">
        <f>$K$1076*$Y$1076</f>
        <v>0</v>
      </c>
      <c r="AF1076" s="6">
        <f ca="1">$M$1076*$Z$1076</f>
        <v>33.71728724082714</v>
      </c>
      <c r="AG1076" s="6">
        <f>$O$1076*$AA$1076</f>
        <v>9.7913876444786005</v>
      </c>
    </row>
    <row r="1077" spans="1:33" ht="11.25" customHeight="1" x14ac:dyDescent="0.25">
      <c r="A1077" s="4" t="s">
        <v>30</v>
      </c>
      <c r="B1077" s="4" t="s">
        <v>22</v>
      </c>
      <c r="C1077" s="4" t="s">
        <v>35</v>
      </c>
      <c r="D1077" s="4" t="s">
        <v>24</v>
      </c>
      <c r="E1077" s="4" t="s">
        <v>24</v>
      </c>
      <c r="F1077" s="4" t="s">
        <v>25</v>
      </c>
      <c r="G1077" s="4" t="s">
        <v>25</v>
      </c>
      <c r="H1077" s="4" t="s">
        <v>36</v>
      </c>
      <c r="I1077" s="5">
        <v>44593</v>
      </c>
      <c r="J1077" s="6">
        <v>0</v>
      </c>
      <c r="K1077" s="6">
        <v>0</v>
      </c>
      <c r="L1077" s="6">
        <v>-2.9000000000000001E-2</v>
      </c>
      <c r="M1077" s="6">
        <v>-2.9000000000000001E-2</v>
      </c>
      <c r="N1077" s="6">
        <v>-2.9000000000000001E-2</v>
      </c>
      <c r="O1077" s="6">
        <v>-2.9000000000000001E-2</v>
      </c>
      <c r="P1077" s="6">
        <v>0</v>
      </c>
      <c r="Q1077" s="4" t="s">
        <v>26</v>
      </c>
      <c r="R1077" s="4">
        <v>0</v>
      </c>
      <c r="S1077" s="6">
        <v>0</v>
      </c>
      <c r="T1077" s="6">
        <v>36</v>
      </c>
      <c r="U1077" s="6">
        <v>80</v>
      </c>
      <c r="V1077" s="6">
        <f>IF(ISERROR(VLOOKUP($S$1077,'TAR FIN'!$A$1:$O$115,15,0)),0,VLOOKUP($S$1077,'TAR FIN'!$A$1:$O$115,15,0))</f>
        <v>0</v>
      </c>
      <c r="W1077" s="6">
        <f>IF(ISERROR(VLOOKUP($T$1077,'TAR FIN'!$A$1:$O$115,15,0)),0,VLOOKUP($T$1077,'TAR FIN'!$A$1:$O$115,15,0))</f>
        <v>1215.78</v>
      </c>
      <c r="X1077" s="6">
        <f>IF(ISERROR(VLOOKUP($U$1077,'TAR FIN'!$A$1:$O$115,15,0)),0,VLOOKUP($U$1077,'TAR FIN'!$A$1:$O$115,15,0))</f>
        <v>270.3</v>
      </c>
      <c r="Y1077" s="6"/>
      <c r="Z1077" s="6">
        <f ca="1">('TUSD BE'!$AM$34+'TUSD BF'!$AM$34+'TUSD CVA'!$AM$34)*1</f>
        <v>1248.7884163269312</v>
      </c>
      <c r="AA1077" s="6">
        <f>('TE BE'!$AB$17+'TE BF'!$AB$17+'TE CVA'!$AB$17)*1</f>
        <v>362.64398683254075</v>
      </c>
      <c r="AB1077" s="6">
        <f>$K$1077*$V$1077</f>
        <v>0</v>
      </c>
      <c r="AC1077" s="6">
        <f>$M$1077*$W$1077</f>
        <v>-35.257620000000003</v>
      </c>
      <c r="AD1077" s="6">
        <f>$O$1077*$X$1077</f>
        <v>-7.8387000000000011</v>
      </c>
      <c r="AE1077" s="6">
        <f>$K$1077*$Y$1077</f>
        <v>0</v>
      </c>
      <c r="AF1077" s="6">
        <f ca="1">$M$1077*$Z$1077</f>
        <v>-36.214864073481003</v>
      </c>
      <c r="AG1077" s="6">
        <f>$O$1077*$AA$1077</f>
        <v>-10.516675618143681</v>
      </c>
    </row>
    <row r="1078" spans="1:33" ht="11.25" customHeight="1" x14ac:dyDescent="0.25">
      <c r="A1078" s="4" t="s">
        <v>21</v>
      </c>
      <c r="B1078" s="4" t="s">
        <v>22</v>
      </c>
      <c r="C1078" s="4" t="s">
        <v>35</v>
      </c>
      <c r="D1078" s="4" t="s">
        <v>24</v>
      </c>
      <c r="E1078" s="4" t="s">
        <v>24</v>
      </c>
      <c r="F1078" s="4" t="s">
        <v>25</v>
      </c>
      <c r="G1078" s="4" t="s">
        <v>25</v>
      </c>
      <c r="H1078" s="4" t="s">
        <v>36</v>
      </c>
      <c r="I1078" s="5">
        <v>44621</v>
      </c>
      <c r="J1078" s="6">
        <v>0</v>
      </c>
      <c r="K1078" s="6">
        <v>0</v>
      </c>
      <c r="L1078" s="6">
        <v>7.8840000000000003</v>
      </c>
      <c r="M1078" s="6">
        <v>7.8840000000000003</v>
      </c>
      <c r="N1078" s="6">
        <v>7.8840000000000003</v>
      </c>
      <c r="O1078" s="6">
        <v>7.8840000000000003</v>
      </c>
      <c r="P1078" s="6">
        <v>0</v>
      </c>
      <c r="Q1078" s="4" t="s">
        <v>26</v>
      </c>
      <c r="R1078" s="4">
        <v>0</v>
      </c>
      <c r="S1078" s="6">
        <v>0</v>
      </c>
      <c r="T1078" s="6">
        <v>36</v>
      </c>
      <c r="U1078" s="6">
        <v>80</v>
      </c>
      <c r="V1078" s="6">
        <f>IF(ISERROR(VLOOKUP($S$1078,'TAR FIN'!$A$1:$O$115,15,0)),0,VLOOKUP($S$1078,'TAR FIN'!$A$1:$O$115,15,0))</f>
        <v>0</v>
      </c>
      <c r="W1078" s="6">
        <f>IF(ISERROR(VLOOKUP($T$1078,'TAR FIN'!$A$1:$O$115,15,0)),0,VLOOKUP($T$1078,'TAR FIN'!$A$1:$O$115,15,0))</f>
        <v>1215.78</v>
      </c>
      <c r="X1078" s="6">
        <f>IF(ISERROR(VLOOKUP($U$1078,'TAR FIN'!$A$1:$O$115,15,0)),0,VLOOKUP($U$1078,'TAR FIN'!$A$1:$O$115,15,0))</f>
        <v>270.3</v>
      </c>
      <c r="Y1078" s="6"/>
      <c r="Z1078" s="6">
        <f ca="1">('TUSD BE'!$AM$34+'TUSD BF'!$AM$34+'TUSD CVA'!$AM$34)*1</f>
        <v>1248.7884163269312</v>
      </c>
      <c r="AA1078" s="6">
        <f>('TE BE'!$AB$17+'TE BF'!$AB$17+'TE CVA'!$AB$17)*1</f>
        <v>362.64398683254075</v>
      </c>
      <c r="AB1078" s="6">
        <f>$K$1078*$V$1078</f>
        <v>0</v>
      </c>
      <c r="AC1078" s="6">
        <f>$M$1078*$W$1078</f>
        <v>9585.2095200000003</v>
      </c>
      <c r="AD1078" s="6">
        <f>$O$1078*$X$1078</f>
        <v>2131.0452</v>
      </c>
      <c r="AE1078" s="6">
        <f>$K$1078*$Y$1078</f>
        <v>0</v>
      </c>
      <c r="AF1078" s="6">
        <f ca="1">$M$1078*$Z$1078</f>
        <v>9845.4478743215259</v>
      </c>
      <c r="AG1078" s="6">
        <f>$O$1078*$AA$1078</f>
        <v>2859.0851921877515</v>
      </c>
    </row>
    <row r="1079" spans="1:33" ht="11.25" customHeight="1" x14ac:dyDescent="0.25">
      <c r="A1079" s="4" t="s">
        <v>28</v>
      </c>
      <c r="B1079" s="4" t="s">
        <v>22</v>
      </c>
      <c r="C1079" s="4" t="s">
        <v>35</v>
      </c>
      <c r="D1079" s="4" t="s">
        <v>24</v>
      </c>
      <c r="E1079" s="4" t="s">
        <v>24</v>
      </c>
      <c r="F1079" s="4" t="s">
        <v>25</v>
      </c>
      <c r="G1079" s="4" t="s">
        <v>25</v>
      </c>
      <c r="H1079" s="4" t="s">
        <v>36</v>
      </c>
      <c r="I1079" s="5">
        <v>44621</v>
      </c>
      <c r="J1079" s="6">
        <v>0</v>
      </c>
      <c r="K1079" s="6">
        <v>0</v>
      </c>
      <c r="L1079" s="6">
        <v>8.6999999999999994E-2</v>
      </c>
      <c r="M1079" s="6">
        <v>8.6999999999999994E-2</v>
      </c>
      <c r="N1079" s="6">
        <v>8.6999999999999994E-2</v>
      </c>
      <c r="O1079" s="6">
        <v>8.6999999999999994E-2</v>
      </c>
      <c r="P1079" s="6">
        <v>0</v>
      </c>
      <c r="Q1079" s="4" t="s">
        <v>26</v>
      </c>
      <c r="R1079" s="4">
        <v>0</v>
      </c>
      <c r="S1079" s="6">
        <v>0</v>
      </c>
      <c r="T1079" s="6">
        <v>36</v>
      </c>
      <c r="U1079" s="6">
        <v>80</v>
      </c>
      <c r="V1079" s="6">
        <f>IF(ISERROR(VLOOKUP($S$1079,'TAR FIN'!$A$1:$O$115,15,0)),0,VLOOKUP($S$1079,'TAR FIN'!$A$1:$O$115,15,0))</f>
        <v>0</v>
      </c>
      <c r="W1079" s="6">
        <f>IF(ISERROR(VLOOKUP($T$1079,'TAR FIN'!$A$1:$O$115,15,0)),0,VLOOKUP($T$1079,'TAR FIN'!$A$1:$O$115,15,0))</f>
        <v>1215.78</v>
      </c>
      <c r="X1079" s="6">
        <f>IF(ISERROR(VLOOKUP($U$1079,'TAR FIN'!$A$1:$O$115,15,0)),0,VLOOKUP($U$1079,'TAR FIN'!$A$1:$O$115,15,0))</f>
        <v>270.3</v>
      </c>
      <c r="Y1079" s="6"/>
      <c r="Z1079" s="6">
        <f ca="1">('TUSD BE'!$AM$34+'TUSD BF'!$AM$34+'TUSD CVA'!$AM$34)*1</f>
        <v>1248.7884163269312</v>
      </c>
      <c r="AA1079" s="6">
        <f>('TE BE'!$AB$17+'TE BF'!$AB$17+'TE CVA'!$AB$17)*1</f>
        <v>362.64398683254075</v>
      </c>
      <c r="AB1079" s="6">
        <f>$K$1079*$V$1079</f>
        <v>0</v>
      </c>
      <c r="AC1079" s="6">
        <f>$M$1079*$W$1079</f>
        <v>105.77285999999999</v>
      </c>
      <c r="AD1079" s="6">
        <f>$O$1079*$X$1079</f>
        <v>23.516099999999998</v>
      </c>
      <c r="AE1079" s="6">
        <f>$K$1079*$Y$1079</f>
        <v>0</v>
      </c>
      <c r="AF1079" s="6">
        <f ca="1">$M$1079*$Z$1079</f>
        <v>108.644592220443</v>
      </c>
      <c r="AG1079" s="6">
        <f>$O$1079*$AA$1079</f>
        <v>31.550026854431042</v>
      </c>
    </row>
    <row r="1080" spans="1:33" ht="11.25" customHeight="1" x14ac:dyDescent="0.25">
      <c r="A1080" s="4" t="s">
        <v>30</v>
      </c>
      <c r="B1080" s="4" t="s">
        <v>22</v>
      </c>
      <c r="C1080" s="4" t="s">
        <v>35</v>
      </c>
      <c r="D1080" s="4" t="s">
        <v>24</v>
      </c>
      <c r="E1080" s="4" t="s">
        <v>24</v>
      </c>
      <c r="F1080" s="4" t="s">
        <v>25</v>
      </c>
      <c r="G1080" s="4" t="s">
        <v>25</v>
      </c>
      <c r="H1080" s="4" t="s">
        <v>36</v>
      </c>
      <c r="I1080" s="5">
        <v>44621</v>
      </c>
      <c r="J1080" s="6">
        <v>0</v>
      </c>
      <c r="K1080" s="6">
        <v>0</v>
      </c>
      <c r="L1080" s="6">
        <v>3.5000000000000003E-2</v>
      </c>
      <c r="M1080" s="6">
        <v>3.5000000000000003E-2</v>
      </c>
      <c r="N1080" s="6">
        <v>3.5000000000000003E-2</v>
      </c>
      <c r="O1080" s="6">
        <v>3.5000000000000003E-2</v>
      </c>
      <c r="P1080" s="6">
        <v>0</v>
      </c>
      <c r="Q1080" s="4" t="s">
        <v>26</v>
      </c>
      <c r="R1080" s="4">
        <v>0</v>
      </c>
      <c r="S1080" s="6">
        <v>0</v>
      </c>
      <c r="T1080" s="6">
        <v>36</v>
      </c>
      <c r="U1080" s="6">
        <v>80</v>
      </c>
      <c r="V1080" s="6">
        <f>IF(ISERROR(VLOOKUP($S$1080,'TAR FIN'!$A$1:$O$115,15,0)),0,VLOOKUP($S$1080,'TAR FIN'!$A$1:$O$115,15,0))</f>
        <v>0</v>
      </c>
      <c r="W1080" s="6">
        <f>IF(ISERROR(VLOOKUP($T$1080,'TAR FIN'!$A$1:$O$115,15,0)),0,VLOOKUP($T$1080,'TAR FIN'!$A$1:$O$115,15,0))</f>
        <v>1215.78</v>
      </c>
      <c r="X1080" s="6">
        <f>IF(ISERROR(VLOOKUP($U$1080,'TAR FIN'!$A$1:$O$115,15,0)),0,VLOOKUP($U$1080,'TAR FIN'!$A$1:$O$115,15,0))</f>
        <v>270.3</v>
      </c>
      <c r="Y1080" s="6"/>
      <c r="Z1080" s="6">
        <f ca="1">('TUSD BE'!$AM$34+'TUSD BF'!$AM$34+'TUSD CVA'!$AM$34)*1</f>
        <v>1248.7884163269312</v>
      </c>
      <c r="AA1080" s="6">
        <f>('TE BE'!$AB$17+'TE BF'!$AB$17+'TE CVA'!$AB$17)*1</f>
        <v>362.64398683254075</v>
      </c>
      <c r="AB1080" s="6">
        <f>$K$1080*$V$1080</f>
        <v>0</v>
      </c>
      <c r="AC1080" s="6">
        <f>$M$1080*$W$1080</f>
        <v>42.552300000000002</v>
      </c>
      <c r="AD1080" s="6">
        <f>$O$1080*$X$1080</f>
        <v>9.4605000000000015</v>
      </c>
      <c r="AE1080" s="6">
        <f>$K$1080*$Y$1080</f>
        <v>0</v>
      </c>
      <c r="AF1080" s="6">
        <f ca="1">$M$1080*$Z$1080</f>
        <v>43.707594571442591</v>
      </c>
      <c r="AG1080" s="6">
        <f>$O$1080*$AA$1080</f>
        <v>12.692539539138927</v>
      </c>
    </row>
    <row r="1081" spans="1:33" ht="11.25" customHeight="1" x14ac:dyDescent="0.25">
      <c r="A1081" s="4" t="s">
        <v>21</v>
      </c>
      <c r="B1081" s="4" t="s">
        <v>22</v>
      </c>
      <c r="C1081" s="4" t="s">
        <v>35</v>
      </c>
      <c r="D1081" s="4" t="s">
        <v>24</v>
      </c>
      <c r="E1081" s="4" t="s">
        <v>24</v>
      </c>
      <c r="F1081" s="4" t="s">
        <v>25</v>
      </c>
      <c r="G1081" s="4" t="s">
        <v>25</v>
      </c>
      <c r="H1081" s="4" t="s">
        <v>36</v>
      </c>
      <c r="I1081" s="5">
        <v>44652</v>
      </c>
      <c r="J1081" s="6">
        <v>0</v>
      </c>
      <c r="K1081" s="6">
        <v>0</v>
      </c>
      <c r="L1081" s="6">
        <v>3.5920000000000001</v>
      </c>
      <c r="M1081" s="6">
        <v>3.5920000000000001</v>
      </c>
      <c r="N1081" s="6">
        <v>3.5920000000000001</v>
      </c>
      <c r="O1081" s="6">
        <v>3.5920000000000001</v>
      </c>
      <c r="P1081" s="6">
        <v>0</v>
      </c>
      <c r="Q1081" s="4" t="s">
        <v>26</v>
      </c>
      <c r="R1081" s="4">
        <v>0</v>
      </c>
      <c r="S1081" s="6">
        <v>0</v>
      </c>
      <c r="T1081" s="6">
        <v>36</v>
      </c>
      <c r="U1081" s="6">
        <v>80</v>
      </c>
      <c r="V1081" s="6">
        <f>IF(ISERROR(VLOOKUP($S$1081,'TAR FIN'!$A$1:$O$115,15,0)),0,VLOOKUP($S$1081,'TAR FIN'!$A$1:$O$115,15,0))</f>
        <v>0</v>
      </c>
      <c r="W1081" s="6">
        <f>IF(ISERROR(VLOOKUP($T$1081,'TAR FIN'!$A$1:$O$115,15,0)),0,VLOOKUP($T$1081,'TAR FIN'!$A$1:$O$115,15,0))</f>
        <v>1215.78</v>
      </c>
      <c r="X1081" s="6">
        <f>IF(ISERROR(VLOOKUP($U$1081,'TAR FIN'!$A$1:$O$115,15,0)),0,VLOOKUP($U$1081,'TAR FIN'!$A$1:$O$115,15,0))</f>
        <v>270.3</v>
      </c>
      <c r="Y1081" s="6"/>
      <c r="Z1081" s="6">
        <f ca="1">('TUSD BE'!$AM$34+'TUSD BF'!$AM$34+'TUSD CVA'!$AM$34)*1</f>
        <v>1248.7884163269312</v>
      </c>
      <c r="AA1081" s="6">
        <f>('TE BE'!$AB$17+'TE BF'!$AB$17+'TE CVA'!$AB$17)*1</f>
        <v>362.64398683254075</v>
      </c>
      <c r="AB1081" s="6">
        <f>$K$1081*$V$1081</f>
        <v>0</v>
      </c>
      <c r="AC1081" s="6">
        <f>$M$1081*$W$1081</f>
        <v>4367.08176</v>
      </c>
      <c r="AD1081" s="6">
        <f>$O$1081*$X$1081</f>
        <v>970.91760000000011</v>
      </c>
      <c r="AE1081" s="6">
        <f>$K$1081*$Y$1081</f>
        <v>0</v>
      </c>
      <c r="AF1081" s="6">
        <f ca="1">$M$1081*$Z$1081</f>
        <v>4485.6479914463371</v>
      </c>
      <c r="AG1081" s="6">
        <f>$O$1081*$AA$1081</f>
        <v>1302.6172007024863</v>
      </c>
    </row>
    <row r="1082" spans="1:33" ht="11.25" customHeight="1" x14ac:dyDescent="0.25">
      <c r="A1082" s="4" t="s">
        <v>27</v>
      </c>
      <c r="B1082" s="4" t="s">
        <v>22</v>
      </c>
      <c r="C1082" s="4" t="s">
        <v>35</v>
      </c>
      <c r="D1082" s="4" t="s">
        <v>24</v>
      </c>
      <c r="E1082" s="4" t="s">
        <v>24</v>
      </c>
      <c r="F1082" s="4" t="s">
        <v>25</v>
      </c>
      <c r="G1082" s="4" t="s">
        <v>25</v>
      </c>
      <c r="H1082" s="4" t="s">
        <v>36</v>
      </c>
      <c r="I1082" s="5">
        <v>44652</v>
      </c>
      <c r="J1082" s="6">
        <v>0</v>
      </c>
      <c r="K1082" s="6">
        <v>0</v>
      </c>
      <c r="L1082" s="6">
        <v>-2.59</v>
      </c>
      <c r="M1082" s="6">
        <v>-2.59</v>
      </c>
      <c r="N1082" s="6">
        <v>-2.59</v>
      </c>
      <c r="O1082" s="6">
        <v>-2.59</v>
      </c>
      <c r="P1082" s="6">
        <v>0</v>
      </c>
      <c r="Q1082" s="4" t="s">
        <v>26</v>
      </c>
      <c r="R1082" s="4">
        <v>0</v>
      </c>
      <c r="S1082" s="6">
        <v>0</v>
      </c>
      <c r="T1082" s="6">
        <v>36</v>
      </c>
      <c r="U1082" s="6">
        <v>80</v>
      </c>
      <c r="V1082" s="6">
        <f>IF(ISERROR(VLOOKUP($S$1082,'TAR FIN'!$A$1:$O$115,15,0)),0,VLOOKUP($S$1082,'TAR FIN'!$A$1:$O$115,15,0))</f>
        <v>0</v>
      </c>
      <c r="W1082" s="6">
        <f>IF(ISERROR(VLOOKUP($T$1082,'TAR FIN'!$A$1:$O$115,15,0)),0,VLOOKUP($T$1082,'TAR FIN'!$A$1:$O$115,15,0))</f>
        <v>1215.78</v>
      </c>
      <c r="X1082" s="6">
        <f>IF(ISERROR(VLOOKUP($U$1082,'TAR FIN'!$A$1:$O$115,15,0)),0,VLOOKUP($U$1082,'TAR FIN'!$A$1:$O$115,15,0))</f>
        <v>270.3</v>
      </c>
      <c r="Y1082" s="6"/>
      <c r="Z1082" s="6">
        <f ca="1">('TUSD BE'!$AM$34+'TUSD BF'!$AM$34+'TUSD CVA'!$AM$34)*1</f>
        <v>1248.7884163269312</v>
      </c>
      <c r="AA1082" s="6">
        <f>('TE BE'!$AB$17+'TE BF'!$AB$17+'TE CVA'!$AB$17)*1</f>
        <v>362.64398683254075</v>
      </c>
      <c r="AB1082" s="6">
        <f>$K$1082*$V$1082</f>
        <v>0</v>
      </c>
      <c r="AC1082" s="6">
        <f>$M$1082*$W$1082</f>
        <v>-3148.8701999999998</v>
      </c>
      <c r="AD1082" s="6">
        <f>$O$1082*$X$1082</f>
        <v>-700.077</v>
      </c>
      <c r="AE1082" s="6">
        <f>$K$1082*$Y$1082</f>
        <v>0</v>
      </c>
      <c r="AF1082" s="6">
        <f ca="1">$M$1082*$Z$1082</f>
        <v>-3234.3619982867517</v>
      </c>
      <c r="AG1082" s="6">
        <f>$O$1082*$AA$1082</f>
        <v>-939.24792589628044</v>
      </c>
    </row>
    <row r="1083" spans="1:33" ht="11.25" customHeight="1" x14ac:dyDescent="0.25">
      <c r="A1083" s="4" t="s">
        <v>28</v>
      </c>
      <c r="B1083" s="4" t="s">
        <v>22</v>
      </c>
      <c r="C1083" s="4" t="s">
        <v>35</v>
      </c>
      <c r="D1083" s="4" t="s">
        <v>24</v>
      </c>
      <c r="E1083" s="4" t="s">
        <v>24</v>
      </c>
      <c r="F1083" s="4" t="s">
        <v>25</v>
      </c>
      <c r="G1083" s="4" t="s">
        <v>25</v>
      </c>
      <c r="H1083" s="4" t="s">
        <v>36</v>
      </c>
      <c r="I1083" s="5">
        <v>44652</v>
      </c>
      <c r="J1083" s="6">
        <v>0</v>
      </c>
      <c r="K1083" s="6">
        <v>0</v>
      </c>
      <c r="L1083" s="6">
        <v>8.5000000000000006E-2</v>
      </c>
      <c r="M1083" s="6">
        <v>8.5000000000000006E-2</v>
      </c>
      <c r="N1083" s="6">
        <v>8.5000000000000006E-2</v>
      </c>
      <c r="O1083" s="6">
        <v>8.5000000000000006E-2</v>
      </c>
      <c r="P1083" s="6">
        <v>0</v>
      </c>
      <c r="Q1083" s="4" t="s">
        <v>26</v>
      </c>
      <c r="R1083" s="4">
        <v>0</v>
      </c>
      <c r="S1083" s="6">
        <v>0</v>
      </c>
      <c r="T1083" s="6">
        <v>36</v>
      </c>
      <c r="U1083" s="6">
        <v>80</v>
      </c>
      <c r="V1083" s="6">
        <f>IF(ISERROR(VLOOKUP($S$1083,'TAR FIN'!$A$1:$O$115,15,0)),0,VLOOKUP($S$1083,'TAR FIN'!$A$1:$O$115,15,0))</f>
        <v>0</v>
      </c>
      <c r="W1083" s="6">
        <f>IF(ISERROR(VLOOKUP($T$1083,'TAR FIN'!$A$1:$O$115,15,0)),0,VLOOKUP($T$1083,'TAR FIN'!$A$1:$O$115,15,0))</f>
        <v>1215.78</v>
      </c>
      <c r="X1083" s="6">
        <f>IF(ISERROR(VLOOKUP($U$1083,'TAR FIN'!$A$1:$O$115,15,0)),0,VLOOKUP($U$1083,'TAR FIN'!$A$1:$O$115,15,0))</f>
        <v>270.3</v>
      </c>
      <c r="Y1083" s="6"/>
      <c r="Z1083" s="6">
        <f ca="1">('TUSD BE'!$AM$34+'TUSD BF'!$AM$34+'TUSD CVA'!$AM$34)*1</f>
        <v>1248.7884163269312</v>
      </c>
      <c r="AA1083" s="6">
        <f>('TE BE'!$AB$17+'TE BF'!$AB$17+'TE CVA'!$AB$17)*1</f>
        <v>362.64398683254075</v>
      </c>
      <c r="AB1083" s="6">
        <f>$K$1083*$V$1083</f>
        <v>0</v>
      </c>
      <c r="AC1083" s="6">
        <f>$M$1083*$W$1083</f>
        <v>103.3413</v>
      </c>
      <c r="AD1083" s="6">
        <f>$O$1083*$X$1083</f>
        <v>22.975500000000004</v>
      </c>
      <c r="AE1083" s="6">
        <f>$K$1083*$Y$1083</f>
        <v>0</v>
      </c>
      <c r="AF1083" s="6">
        <f ca="1">$M$1083*$Z$1083</f>
        <v>106.14701538778915</v>
      </c>
      <c r="AG1083" s="6">
        <f>$O$1083*$AA$1083</f>
        <v>30.824738880765967</v>
      </c>
    </row>
    <row r="1084" spans="1:33" ht="11.25" customHeight="1" x14ac:dyDescent="0.25">
      <c r="A1084" s="4" t="s">
        <v>30</v>
      </c>
      <c r="B1084" s="4" t="s">
        <v>22</v>
      </c>
      <c r="C1084" s="4" t="s">
        <v>35</v>
      </c>
      <c r="D1084" s="4" t="s">
        <v>24</v>
      </c>
      <c r="E1084" s="4" t="s">
        <v>24</v>
      </c>
      <c r="F1084" s="4" t="s">
        <v>25</v>
      </c>
      <c r="G1084" s="4" t="s">
        <v>25</v>
      </c>
      <c r="H1084" s="4" t="s">
        <v>36</v>
      </c>
      <c r="I1084" s="5">
        <v>44652</v>
      </c>
      <c r="J1084" s="6">
        <v>0</v>
      </c>
      <c r="K1084" s="6">
        <v>0</v>
      </c>
      <c r="L1084" s="6">
        <v>3.5000000000000003E-2</v>
      </c>
      <c r="M1084" s="6">
        <v>3.5000000000000003E-2</v>
      </c>
      <c r="N1084" s="6">
        <v>3.5000000000000003E-2</v>
      </c>
      <c r="O1084" s="6">
        <v>3.5000000000000003E-2</v>
      </c>
      <c r="P1084" s="6">
        <v>0</v>
      </c>
      <c r="Q1084" s="4" t="s">
        <v>26</v>
      </c>
      <c r="R1084" s="4">
        <v>0</v>
      </c>
      <c r="S1084" s="6">
        <v>0</v>
      </c>
      <c r="T1084" s="6">
        <v>36</v>
      </c>
      <c r="U1084" s="6">
        <v>80</v>
      </c>
      <c r="V1084" s="6">
        <f>IF(ISERROR(VLOOKUP($S$1084,'TAR FIN'!$A$1:$O$115,15,0)),0,VLOOKUP($S$1084,'TAR FIN'!$A$1:$O$115,15,0))</f>
        <v>0</v>
      </c>
      <c r="W1084" s="6">
        <f>IF(ISERROR(VLOOKUP($T$1084,'TAR FIN'!$A$1:$O$115,15,0)),0,VLOOKUP($T$1084,'TAR FIN'!$A$1:$O$115,15,0))</f>
        <v>1215.78</v>
      </c>
      <c r="X1084" s="6">
        <f>IF(ISERROR(VLOOKUP($U$1084,'TAR FIN'!$A$1:$O$115,15,0)),0,VLOOKUP($U$1084,'TAR FIN'!$A$1:$O$115,15,0))</f>
        <v>270.3</v>
      </c>
      <c r="Y1084" s="6"/>
      <c r="Z1084" s="6">
        <f ca="1">('TUSD BE'!$AM$34+'TUSD BF'!$AM$34+'TUSD CVA'!$AM$34)*1</f>
        <v>1248.7884163269312</v>
      </c>
      <c r="AA1084" s="6">
        <f>('TE BE'!$AB$17+'TE BF'!$AB$17+'TE CVA'!$AB$17)*1</f>
        <v>362.64398683254075</v>
      </c>
      <c r="AB1084" s="6">
        <f>$K$1084*$V$1084</f>
        <v>0</v>
      </c>
      <c r="AC1084" s="6">
        <f>$M$1084*$W$1084</f>
        <v>42.552300000000002</v>
      </c>
      <c r="AD1084" s="6">
        <f>$O$1084*$X$1084</f>
        <v>9.4605000000000015</v>
      </c>
      <c r="AE1084" s="6">
        <f>$K$1084*$Y$1084</f>
        <v>0</v>
      </c>
      <c r="AF1084" s="6">
        <f ca="1">$M$1084*$Z$1084</f>
        <v>43.707594571442591</v>
      </c>
      <c r="AG1084" s="6">
        <f>$O$1084*$AA$1084</f>
        <v>12.692539539138927</v>
      </c>
    </row>
    <row r="1085" spans="1:33" ht="11.25" customHeight="1" x14ac:dyDescent="0.25">
      <c r="A1085" s="4" t="s">
        <v>21</v>
      </c>
      <c r="B1085" s="4" t="s">
        <v>22</v>
      </c>
      <c r="C1085" s="4" t="s">
        <v>35</v>
      </c>
      <c r="D1085" s="4" t="s">
        <v>24</v>
      </c>
      <c r="E1085" s="4" t="s">
        <v>24</v>
      </c>
      <c r="F1085" s="4" t="s">
        <v>25</v>
      </c>
      <c r="G1085" s="4" t="s">
        <v>25</v>
      </c>
      <c r="H1085" s="4" t="s">
        <v>36</v>
      </c>
      <c r="I1085" s="5">
        <v>44682</v>
      </c>
      <c r="J1085" s="6">
        <v>0</v>
      </c>
      <c r="K1085" s="6">
        <v>0</v>
      </c>
      <c r="L1085" s="6">
        <v>4.024</v>
      </c>
      <c r="M1085" s="6">
        <v>4.024</v>
      </c>
      <c r="N1085" s="6">
        <v>4.024</v>
      </c>
      <c r="O1085" s="6">
        <v>4.024</v>
      </c>
      <c r="P1085" s="6">
        <v>0</v>
      </c>
      <c r="Q1085" s="4" t="s">
        <v>26</v>
      </c>
      <c r="R1085" s="4">
        <v>0</v>
      </c>
      <c r="S1085" s="6">
        <v>0</v>
      </c>
      <c r="T1085" s="6">
        <v>36</v>
      </c>
      <c r="U1085" s="6">
        <v>80</v>
      </c>
      <c r="V1085" s="6">
        <f>IF(ISERROR(VLOOKUP($S$1085,'TAR FIN'!$A$1:$O$115,15,0)),0,VLOOKUP($S$1085,'TAR FIN'!$A$1:$O$115,15,0))</f>
        <v>0</v>
      </c>
      <c r="W1085" s="6">
        <f>IF(ISERROR(VLOOKUP($T$1085,'TAR FIN'!$A$1:$O$115,15,0)),0,VLOOKUP($T$1085,'TAR FIN'!$A$1:$O$115,15,0))</f>
        <v>1215.78</v>
      </c>
      <c r="X1085" s="6">
        <f>IF(ISERROR(VLOOKUP($U$1085,'TAR FIN'!$A$1:$O$115,15,0)),0,VLOOKUP($U$1085,'TAR FIN'!$A$1:$O$115,15,0))</f>
        <v>270.3</v>
      </c>
      <c r="Y1085" s="6"/>
      <c r="Z1085" s="6">
        <f ca="1">('TUSD BE'!$AM$34+'TUSD BF'!$AM$34+'TUSD CVA'!$AM$34)*1</f>
        <v>1248.7884163269312</v>
      </c>
      <c r="AA1085" s="6">
        <f>('TE BE'!$AB$17+'TE BF'!$AB$17+'TE CVA'!$AB$17)*1</f>
        <v>362.64398683254075</v>
      </c>
      <c r="AB1085" s="6">
        <f>$K$1085*$V$1085</f>
        <v>0</v>
      </c>
      <c r="AC1085" s="6">
        <f>$M$1085*$W$1085</f>
        <v>4892.2987199999998</v>
      </c>
      <c r="AD1085" s="6">
        <f>$O$1085*$X$1085</f>
        <v>1087.6872000000001</v>
      </c>
      <c r="AE1085" s="6">
        <f>$K$1085*$Y$1085</f>
        <v>0</v>
      </c>
      <c r="AF1085" s="6">
        <f ca="1">$M$1085*$Z$1085</f>
        <v>5025.1245872995714</v>
      </c>
      <c r="AG1085" s="6">
        <f>$O$1085*$AA$1085</f>
        <v>1459.279403014144</v>
      </c>
    </row>
    <row r="1086" spans="1:33" ht="11.25" customHeight="1" x14ac:dyDescent="0.25">
      <c r="A1086" s="4" t="s">
        <v>28</v>
      </c>
      <c r="B1086" s="4" t="s">
        <v>22</v>
      </c>
      <c r="C1086" s="4" t="s">
        <v>35</v>
      </c>
      <c r="D1086" s="4" t="s">
        <v>24</v>
      </c>
      <c r="E1086" s="4" t="s">
        <v>24</v>
      </c>
      <c r="F1086" s="4" t="s">
        <v>25</v>
      </c>
      <c r="G1086" s="4" t="s">
        <v>25</v>
      </c>
      <c r="H1086" s="4" t="s">
        <v>36</v>
      </c>
      <c r="I1086" s="5">
        <v>44682</v>
      </c>
      <c r="J1086" s="6">
        <v>0</v>
      </c>
      <c r="K1086" s="6">
        <v>0</v>
      </c>
      <c r="L1086" s="6">
        <v>7.4999999999999997E-2</v>
      </c>
      <c r="M1086" s="6">
        <v>7.4999999999999997E-2</v>
      </c>
      <c r="N1086" s="6">
        <v>7.4999999999999997E-2</v>
      </c>
      <c r="O1086" s="6">
        <v>7.4999999999999997E-2</v>
      </c>
      <c r="P1086" s="6">
        <v>0</v>
      </c>
      <c r="Q1086" s="4" t="s">
        <v>26</v>
      </c>
      <c r="R1086" s="4">
        <v>0</v>
      </c>
      <c r="S1086" s="6">
        <v>0</v>
      </c>
      <c r="T1086" s="6">
        <v>36</v>
      </c>
      <c r="U1086" s="6">
        <v>80</v>
      </c>
      <c r="V1086" s="6">
        <f>IF(ISERROR(VLOOKUP($S$1086,'TAR FIN'!$A$1:$O$115,15,0)),0,VLOOKUP($S$1086,'TAR FIN'!$A$1:$O$115,15,0))</f>
        <v>0</v>
      </c>
      <c r="W1086" s="6">
        <f>IF(ISERROR(VLOOKUP($T$1086,'TAR FIN'!$A$1:$O$115,15,0)),0,VLOOKUP($T$1086,'TAR FIN'!$A$1:$O$115,15,0))</f>
        <v>1215.78</v>
      </c>
      <c r="X1086" s="6">
        <f>IF(ISERROR(VLOOKUP($U$1086,'TAR FIN'!$A$1:$O$115,15,0)),0,VLOOKUP($U$1086,'TAR FIN'!$A$1:$O$115,15,0))</f>
        <v>270.3</v>
      </c>
      <c r="Y1086" s="6"/>
      <c r="Z1086" s="6">
        <f ca="1">('TUSD BE'!$AM$34+'TUSD BF'!$AM$34+'TUSD CVA'!$AM$34)*1</f>
        <v>1248.7884163269312</v>
      </c>
      <c r="AA1086" s="6">
        <f>('TE BE'!$AB$17+'TE BF'!$AB$17+'TE CVA'!$AB$17)*1</f>
        <v>362.64398683254075</v>
      </c>
      <c r="AB1086" s="6">
        <f>$K$1086*$V$1086</f>
        <v>0</v>
      </c>
      <c r="AC1086" s="6">
        <f>$M$1086*$W$1086</f>
        <v>91.183499999999995</v>
      </c>
      <c r="AD1086" s="6">
        <f>$O$1086*$X$1086</f>
        <v>20.272500000000001</v>
      </c>
      <c r="AE1086" s="6">
        <f>$K$1086*$Y$1086</f>
        <v>0</v>
      </c>
      <c r="AF1086" s="6">
        <f ca="1">$M$1086*$Z$1086</f>
        <v>93.65913122451984</v>
      </c>
      <c r="AG1086" s="6">
        <f>$O$1086*$AA$1086</f>
        <v>27.198299012440554</v>
      </c>
    </row>
    <row r="1087" spans="1:33" ht="11.25" customHeight="1" x14ac:dyDescent="0.25">
      <c r="A1087" s="4" t="s">
        <v>30</v>
      </c>
      <c r="B1087" s="4" t="s">
        <v>22</v>
      </c>
      <c r="C1087" s="4" t="s">
        <v>35</v>
      </c>
      <c r="D1087" s="4" t="s">
        <v>24</v>
      </c>
      <c r="E1087" s="4" t="s">
        <v>24</v>
      </c>
      <c r="F1087" s="4" t="s">
        <v>25</v>
      </c>
      <c r="G1087" s="4" t="s">
        <v>25</v>
      </c>
      <c r="H1087" s="4" t="s">
        <v>36</v>
      </c>
      <c r="I1087" s="5">
        <v>44682</v>
      </c>
      <c r="J1087" s="6">
        <v>0</v>
      </c>
      <c r="K1087" s="6">
        <v>0</v>
      </c>
      <c r="L1087" s="6">
        <v>2.5999999999999999E-2</v>
      </c>
      <c r="M1087" s="6">
        <v>2.5999999999999999E-2</v>
      </c>
      <c r="N1087" s="6">
        <v>2.5999999999999999E-2</v>
      </c>
      <c r="O1087" s="6">
        <v>2.5999999999999999E-2</v>
      </c>
      <c r="P1087" s="6">
        <v>0</v>
      </c>
      <c r="Q1087" s="4" t="s">
        <v>26</v>
      </c>
      <c r="R1087" s="4">
        <v>0</v>
      </c>
      <c r="S1087" s="6">
        <v>0</v>
      </c>
      <c r="T1087" s="6">
        <v>36</v>
      </c>
      <c r="U1087" s="6">
        <v>80</v>
      </c>
      <c r="V1087" s="6">
        <f>IF(ISERROR(VLOOKUP($S$1087,'TAR FIN'!$A$1:$O$115,15,0)),0,VLOOKUP($S$1087,'TAR FIN'!$A$1:$O$115,15,0))</f>
        <v>0</v>
      </c>
      <c r="W1087" s="6">
        <f>IF(ISERROR(VLOOKUP($T$1087,'TAR FIN'!$A$1:$O$115,15,0)),0,VLOOKUP($T$1087,'TAR FIN'!$A$1:$O$115,15,0))</f>
        <v>1215.78</v>
      </c>
      <c r="X1087" s="6">
        <f>IF(ISERROR(VLOOKUP($U$1087,'TAR FIN'!$A$1:$O$115,15,0)),0,VLOOKUP($U$1087,'TAR FIN'!$A$1:$O$115,15,0))</f>
        <v>270.3</v>
      </c>
      <c r="Y1087" s="6"/>
      <c r="Z1087" s="6">
        <f ca="1">('TUSD BE'!$AM$34+'TUSD BF'!$AM$34+'TUSD CVA'!$AM$34)*1</f>
        <v>1248.7884163269312</v>
      </c>
      <c r="AA1087" s="6">
        <f>('TE BE'!$AB$17+'TE BF'!$AB$17+'TE CVA'!$AB$17)*1</f>
        <v>362.64398683254075</v>
      </c>
      <c r="AB1087" s="6">
        <f>$K$1087*$V$1087</f>
        <v>0</v>
      </c>
      <c r="AC1087" s="6">
        <f>$M$1087*$W$1087</f>
        <v>31.610279999999999</v>
      </c>
      <c r="AD1087" s="6">
        <f>$O$1087*$X$1087</f>
        <v>7.0278</v>
      </c>
      <c r="AE1087" s="6">
        <f>$K$1087*$Y$1087</f>
        <v>0</v>
      </c>
      <c r="AF1087" s="6">
        <f ca="1">$M$1087*$Z$1087</f>
        <v>32.468498824500209</v>
      </c>
      <c r="AG1087" s="6">
        <f>$O$1087*$AA$1087</f>
        <v>9.4287436576460593</v>
      </c>
    </row>
    <row r="1088" spans="1:33" ht="11.25" customHeight="1" x14ac:dyDescent="0.25">
      <c r="A1088" s="4" t="s">
        <v>21</v>
      </c>
      <c r="B1088" s="4" t="s">
        <v>22</v>
      </c>
      <c r="C1088" s="4" t="s">
        <v>35</v>
      </c>
      <c r="D1088" s="4" t="s">
        <v>24</v>
      </c>
      <c r="E1088" s="4" t="s">
        <v>24</v>
      </c>
      <c r="F1088" s="4" t="s">
        <v>25</v>
      </c>
      <c r="G1088" s="4" t="s">
        <v>25</v>
      </c>
      <c r="H1088" s="4" t="s">
        <v>36</v>
      </c>
      <c r="I1088" s="5">
        <v>44713</v>
      </c>
      <c r="J1088" s="6">
        <v>0</v>
      </c>
      <c r="K1088" s="6">
        <v>0</v>
      </c>
      <c r="L1088" s="6">
        <v>3.6360000000000001</v>
      </c>
      <c r="M1088" s="6">
        <v>3.6360000000000001</v>
      </c>
      <c r="N1088" s="6">
        <v>3.6360000000000001</v>
      </c>
      <c r="O1088" s="6">
        <v>3.6360000000000001</v>
      </c>
      <c r="P1088" s="6">
        <v>0</v>
      </c>
      <c r="Q1088" s="4" t="s">
        <v>26</v>
      </c>
      <c r="R1088" s="4">
        <v>0</v>
      </c>
      <c r="S1088" s="6">
        <v>0</v>
      </c>
      <c r="T1088" s="6">
        <v>36</v>
      </c>
      <c r="U1088" s="6">
        <v>80</v>
      </c>
      <c r="V1088" s="6">
        <f>IF(ISERROR(VLOOKUP($S$1088,'TAR FIN'!$A$1:$O$115,15,0)),0,VLOOKUP($S$1088,'TAR FIN'!$A$1:$O$115,15,0))</f>
        <v>0</v>
      </c>
      <c r="W1088" s="6">
        <f>IF(ISERROR(VLOOKUP($T$1088,'TAR FIN'!$A$1:$O$115,15,0)),0,VLOOKUP($T$1088,'TAR FIN'!$A$1:$O$115,15,0))</f>
        <v>1215.78</v>
      </c>
      <c r="X1088" s="6">
        <f>IF(ISERROR(VLOOKUP($U$1088,'TAR FIN'!$A$1:$O$115,15,0)),0,VLOOKUP($U$1088,'TAR FIN'!$A$1:$O$115,15,0))</f>
        <v>270.3</v>
      </c>
      <c r="Y1088" s="6"/>
      <c r="Z1088" s="6">
        <f ca="1">('TUSD BE'!$AM$34+'TUSD BF'!$AM$34+'TUSD CVA'!$AM$34)*1</f>
        <v>1248.7884163269312</v>
      </c>
      <c r="AA1088" s="6">
        <f>('TE BE'!$AB$17+'TE BF'!$AB$17+'TE CVA'!$AB$17)*1</f>
        <v>362.64398683254075</v>
      </c>
      <c r="AB1088" s="6">
        <f>$K$1088*$V$1088</f>
        <v>0</v>
      </c>
      <c r="AC1088" s="6">
        <f>$M$1088*$W$1088</f>
        <v>4420.5760799999998</v>
      </c>
      <c r="AD1088" s="6">
        <f>$O$1088*$X$1088</f>
        <v>982.81080000000009</v>
      </c>
      <c r="AE1088" s="6">
        <f>$K$1088*$Y$1088</f>
        <v>0</v>
      </c>
      <c r="AF1088" s="6">
        <f ca="1">$M$1088*$Z$1088</f>
        <v>4540.5946817647218</v>
      </c>
      <c r="AG1088" s="6">
        <f>$O$1088*$AA$1088</f>
        <v>1318.5735361231182</v>
      </c>
    </row>
    <row r="1089" spans="1:33" ht="11.25" customHeight="1" x14ac:dyDescent="0.25">
      <c r="A1089" s="4" t="s">
        <v>27</v>
      </c>
      <c r="B1089" s="4" t="s">
        <v>22</v>
      </c>
      <c r="C1089" s="4" t="s">
        <v>35</v>
      </c>
      <c r="D1089" s="4" t="s">
        <v>24</v>
      </c>
      <c r="E1089" s="4" t="s">
        <v>24</v>
      </c>
      <c r="F1089" s="4" t="s">
        <v>25</v>
      </c>
      <c r="G1089" s="4" t="s">
        <v>25</v>
      </c>
      <c r="H1089" s="4" t="s">
        <v>36</v>
      </c>
      <c r="I1089" s="5">
        <v>44713</v>
      </c>
      <c r="J1089" s="6">
        <v>0</v>
      </c>
      <c r="K1089" s="6">
        <v>0</v>
      </c>
      <c r="L1089" s="6">
        <v>3.7999999999999999E-2</v>
      </c>
      <c r="M1089" s="6">
        <v>3.7999999999999999E-2</v>
      </c>
      <c r="N1089" s="6">
        <v>3.7999999999999999E-2</v>
      </c>
      <c r="O1089" s="6">
        <v>3.7999999999999999E-2</v>
      </c>
      <c r="P1089" s="6">
        <v>0</v>
      </c>
      <c r="Q1089" s="4" t="s">
        <v>26</v>
      </c>
      <c r="R1089" s="4">
        <v>0</v>
      </c>
      <c r="S1089" s="6">
        <v>0</v>
      </c>
      <c r="T1089" s="6">
        <v>36</v>
      </c>
      <c r="U1089" s="6">
        <v>80</v>
      </c>
      <c r="V1089" s="6">
        <f>IF(ISERROR(VLOOKUP($S$1089,'TAR FIN'!$A$1:$O$115,15,0)),0,VLOOKUP($S$1089,'TAR FIN'!$A$1:$O$115,15,0))</f>
        <v>0</v>
      </c>
      <c r="W1089" s="6">
        <f>IF(ISERROR(VLOOKUP($T$1089,'TAR FIN'!$A$1:$O$115,15,0)),0,VLOOKUP($T$1089,'TAR FIN'!$A$1:$O$115,15,0))</f>
        <v>1215.78</v>
      </c>
      <c r="X1089" s="6">
        <f>IF(ISERROR(VLOOKUP($U$1089,'TAR FIN'!$A$1:$O$115,15,0)),0,VLOOKUP($U$1089,'TAR FIN'!$A$1:$O$115,15,0))</f>
        <v>270.3</v>
      </c>
      <c r="Y1089" s="6"/>
      <c r="Z1089" s="6">
        <f ca="1">('TUSD BE'!$AM$34+'TUSD BF'!$AM$34+'TUSD CVA'!$AM$34)*1</f>
        <v>1248.7884163269312</v>
      </c>
      <c r="AA1089" s="6">
        <f>('TE BE'!$AB$17+'TE BF'!$AB$17+'TE CVA'!$AB$17)*1</f>
        <v>362.64398683254075</v>
      </c>
      <c r="AB1089" s="6">
        <f>$K$1089*$V$1089</f>
        <v>0</v>
      </c>
      <c r="AC1089" s="6">
        <f>$M$1089*$W$1089</f>
        <v>46.199639999999995</v>
      </c>
      <c r="AD1089" s="6">
        <f>$O$1089*$X$1089</f>
        <v>10.2714</v>
      </c>
      <c r="AE1089" s="6">
        <f>$K$1089*$Y$1089</f>
        <v>0</v>
      </c>
      <c r="AF1089" s="6">
        <f ca="1">$M$1089*$Z$1089</f>
        <v>47.453959820423385</v>
      </c>
      <c r="AG1089" s="6">
        <f>$O$1089*$AA$1089</f>
        <v>13.780471499636548</v>
      </c>
    </row>
    <row r="1090" spans="1:33" ht="11.25" customHeight="1" x14ac:dyDescent="0.25">
      <c r="A1090" s="4" t="s">
        <v>28</v>
      </c>
      <c r="B1090" s="4" t="s">
        <v>22</v>
      </c>
      <c r="C1090" s="4" t="s">
        <v>35</v>
      </c>
      <c r="D1090" s="4" t="s">
        <v>24</v>
      </c>
      <c r="E1090" s="4" t="s">
        <v>24</v>
      </c>
      <c r="F1090" s="4" t="s">
        <v>25</v>
      </c>
      <c r="G1090" s="4" t="s">
        <v>25</v>
      </c>
      <c r="H1090" s="4" t="s">
        <v>36</v>
      </c>
      <c r="I1090" s="5">
        <v>44713</v>
      </c>
      <c r="J1090" s="6">
        <v>0</v>
      </c>
      <c r="K1090" s="6">
        <v>0</v>
      </c>
      <c r="L1090" s="6">
        <v>7.0999999999999994E-2</v>
      </c>
      <c r="M1090" s="6">
        <v>7.0999999999999994E-2</v>
      </c>
      <c r="N1090" s="6">
        <v>7.0999999999999994E-2</v>
      </c>
      <c r="O1090" s="6">
        <v>7.0999999999999994E-2</v>
      </c>
      <c r="P1090" s="6">
        <v>0</v>
      </c>
      <c r="Q1090" s="4" t="s">
        <v>26</v>
      </c>
      <c r="R1090" s="4">
        <v>0</v>
      </c>
      <c r="S1090" s="6">
        <v>0</v>
      </c>
      <c r="T1090" s="6">
        <v>36</v>
      </c>
      <c r="U1090" s="6">
        <v>80</v>
      </c>
      <c r="V1090" s="6">
        <f>IF(ISERROR(VLOOKUP($S$1090,'TAR FIN'!$A$1:$O$115,15,0)),0,VLOOKUP($S$1090,'TAR FIN'!$A$1:$O$115,15,0))</f>
        <v>0</v>
      </c>
      <c r="W1090" s="6">
        <f>IF(ISERROR(VLOOKUP($T$1090,'TAR FIN'!$A$1:$O$115,15,0)),0,VLOOKUP($T$1090,'TAR FIN'!$A$1:$O$115,15,0))</f>
        <v>1215.78</v>
      </c>
      <c r="X1090" s="6">
        <f>IF(ISERROR(VLOOKUP($U$1090,'TAR FIN'!$A$1:$O$115,15,0)),0,VLOOKUP($U$1090,'TAR FIN'!$A$1:$O$115,15,0))</f>
        <v>270.3</v>
      </c>
      <c r="Y1090" s="6"/>
      <c r="Z1090" s="6">
        <f ca="1">('TUSD BE'!$AM$34+'TUSD BF'!$AM$34+'TUSD CVA'!$AM$34)*1</f>
        <v>1248.7884163269312</v>
      </c>
      <c r="AA1090" s="6">
        <f>('TE BE'!$AB$17+'TE BF'!$AB$17+'TE CVA'!$AB$17)*1</f>
        <v>362.64398683254075</v>
      </c>
      <c r="AB1090" s="6">
        <f>$K$1090*$V$1090</f>
        <v>0</v>
      </c>
      <c r="AC1090" s="6">
        <f>$M$1090*$W$1090</f>
        <v>86.320379999999986</v>
      </c>
      <c r="AD1090" s="6">
        <f>$O$1090*$X$1090</f>
        <v>19.191299999999998</v>
      </c>
      <c r="AE1090" s="6">
        <f>$K$1090*$Y$1090</f>
        <v>0</v>
      </c>
      <c r="AF1090" s="6">
        <f ca="1">$M$1090*$Z$1090</f>
        <v>88.6639775592121</v>
      </c>
      <c r="AG1090" s="6">
        <f>$O$1090*$AA$1090</f>
        <v>25.747723065110392</v>
      </c>
    </row>
    <row r="1091" spans="1:33" ht="11.25" customHeight="1" x14ac:dyDescent="0.25">
      <c r="A1091" s="4" t="s">
        <v>21</v>
      </c>
      <c r="B1091" s="4" t="s">
        <v>22</v>
      </c>
      <c r="C1091" s="4" t="s">
        <v>35</v>
      </c>
      <c r="D1091" s="4" t="s">
        <v>24</v>
      </c>
      <c r="E1091" s="4" t="s">
        <v>24</v>
      </c>
      <c r="F1091" s="4" t="s">
        <v>25</v>
      </c>
      <c r="G1091" s="4" t="s">
        <v>25</v>
      </c>
      <c r="H1091" s="4" t="s">
        <v>36</v>
      </c>
      <c r="I1091" s="5">
        <v>44743</v>
      </c>
      <c r="J1091" s="6">
        <v>0</v>
      </c>
      <c r="K1091" s="6">
        <v>0</v>
      </c>
      <c r="L1091" s="6">
        <v>3.9569999999999999</v>
      </c>
      <c r="M1091" s="6">
        <v>3.9569999999999999</v>
      </c>
      <c r="N1091" s="6">
        <v>3.9569999999999999</v>
      </c>
      <c r="O1091" s="6">
        <v>3.9569999999999999</v>
      </c>
      <c r="P1091" s="6">
        <v>0</v>
      </c>
      <c r="Q1091" s="4" t="s">
        <v>26</v>
      </c>
      <c r="R1091" s="4">
        <v>0</v>
      </c>
      <c r="S1091" s="6">
        <v>0</v>
      </c>
      <c r="T1091" s="6">
        <v>36</v>
      </c>
      <c r="U1091" s="6">
        <v>80</v>
      </c>
      <c r="V1091" s="6">
        <f>IF(ISERROR(VLOOKUP($S$1091,'TAR FIN'!$A$1:$O$115,15,0)),0,VLOOKUP($S$1091,'TAR FIN'!$A$1:$O$115,15,0))</f>
        <v>0</v>
      </c>
      <c r="W1091" s="6">
        <f>IF(ISERROR(VLOOKUP($T$1091,'TAR FIN'!$A$1:$O$115,15,0)),0,VLOOKUP($T$1091,'TAR FIN'!$A$1:$O$115,15,0))</f>
        <v>1215.78</v>
      </c>
      <c r="X1091" s="6">
        <f>IF(ISERROR(VLOOKUP($U$1091,'TAR FIN'!$A$1:$O$115,15,0)),0,VLOOKUP($U$1091,'TAR FIN'!$A$1:$O$115,15,0))</f>
        <v>270.3</v>
      </c>
      <c r="Y1091" s="6"/>
      <c r="Z1091" s="6">
        <f ca="1">('TUSD BE'!$AM$34+'TUSD BF'!$AM$34+'TUSD CVA'!$AM$34)*1</f>
        <v>1248.7884163269312</v>
      </c>
      <c r="AA1091" s="6">
        <f>('TE BE'!$AB$17+'TE BF'!$AB$17+'TE CVA'!$AB$17)*1</f>
        <v>362.64398683254075</v>
      </c>
      <c r="AB1091" s="6">
        <f>$K$1091*$V$1091</f>
        <v>0</v>
      </c>
      <c r="AC1091" s="6">
        <f>$M$1091*$W$1091</f>
        <v>4810.8414599999996</v>
      </c>
      <c r="AD1091" s="6">
        <f>$O$1091*$X$1091</f>
        <v>1069.5771</v>
      </c>
      <c r="AE1091" s="6">
        <f>$K$1091*$Y$1091</f>
        <v>0</v>
      </c>
      <c r="AF1091" s="6">
        <f ca="1">$M$1091*$Z$1091</f>
        <v>4941.4557634056664</v>
      </c>
      <c r="AG1091" s="6">
        <f>$O$1091*$AA$1091</f>
        <v>1434.9822558963638</v>
      </c>
    </row>
    <row r="1092" spans="1:33" ht="11.25" customHeight="1" x14ac:dyDescent="0.25">
      <c r="A1092" s="4" t="s">
        <v>28</v>
      </c>
      <c r="B1092" s="4" t="s">
        <v>22</v>
      </c>
      <c r="C1092" s="4" t="s">
        <v>35</v>
      </c>
      <c r="D1092" s="4" t="s">
        <v>24</v>
      </c>
      <c r="E1092" s="4" t="s">
        <v>24</v>
      </c>
      <c r="F1092" s="4" t="s">
        <v>25</v>
      </c>
      <c r="G1092" s="4" t="s">
        <v>25</v>
      </c>
      <c r="H1092" s="4" t="s">
        <v>36</v>
      </c>
      <c r="I1092" s="5">
        <v>44743</v>
      </c>
      <c r="J1092" s="6">
        <v>0</v>
      </c>
      <c r="K1092" s="6">
        <v>0</v>
      </c>
      <c r="L1092" s="6">
        <v>6.4000000000000001E-2</v>
      </c>
      <c r="M1092" s="6">
        <v>6.4000000000000001E-2</v>
      </c>
      <c r="N1092" s="6">
        <v>6.4000000000000001E-2</v>
      </c>
      <c r="O1092" s="6">
        <v>6.4000000000000001E-2</v>
      </c>
      <c r="P1092" s="6">
        <v>0</v>
      </c>
      <c r="Q1092" s="4" t="s">
        <v>26</v>
      </c>
      <c r="R1092" s="4">
        <v>0</v>
      </c>
      <c r="S1092" s="6">
        <v>0</v>
      </c>
      <c r="T1092" s="6">
        <v>36</v>
      </c>
      <c r="U1092" s="6">
        <v>80</v>
      </c>
      <c r="V1092" s="6">
        <f>IF(ISERROR(VLOOKUP($S$1092,'TAR FIN'!$A$1:$O$115,15,0)),0,VLOOKUP($S$1092,'TAR FIN'!$A$1:$O$115,15,0))</f>
        <v>0</v>
      </c>
      <c r="W1092" s="6">
        <f>IF(ISERROR(VLOOKUP($T$1092,'TAR FIN'!$A$1:$O$115,15,0)),0,VLOOKUP($T$1092,'TAR FIN'!$A$1:$O$115,15,0))</f>
        <v>1215.78</v>
      </c>
      <c r="X1092" s="6">
        <f>IF(ISERROR(VLOOKUP($U$1092,'TAR FIN'!$A$1:$O$115,15,0)),0,VLOOKUP($U$1092,'TAR FIN'!$A$1:$O$115,15,0))</f>
        <v>270.3</v>
      </c>
      <c r="Y1092" s="6"/>
      <c r="Z1092" s="6">
        <f ca="1">('TUSD BE'!$AM$34+'TUSD BF'!$AM$34+'TUSD CVA'!$AM$34)*1</f>
        <v>1248.7884163269312</v>
      </c>
      <c r="AA1092" s="6">
        <f>('TE BE'!$AB$17+'TE BF'!$AB$17+'TE CVA'!$AB$17)*1</f>
        <v>362.64398683254075</v>
      </c>
      <c r="AB1092" s="6">
        <f>$K$1092*$V$1092</f>
        <v>0</v>
      </c>
      <c r="AC1092" s="6">
        <f>$M$1092*$W$1092</f>
        <v>77.809920000000005</v>
      </c>
      <c r="AD1092" s="6">
        <f>$O$1092*$X$1092</f>
        <v>17.299200000000003</v>
      </c>
      <c r="AE1092" s="6">
        <f>$K$1092*$Y$1092</f>
        <v>0</v>
      </c>
      <c r="AF1092" s="6">
        <f ca="1">$M$1092*$Z$1092</f>
        <v>79.922458644923594</v>
      </c>
      <c r="AG1092" s="6">
        <f>$O$1092*$AA$1092</f>
        <v>23.209215157282607</v>
      </c>
    </row>
    <row r="1093" spans="1:33" ht="11.25" customHeight="1" x14ac:dyDescent="0.25">
      <c r="A1093" s="4" t="s">
        <v>30</v>
      </c>
      <c r="B1093" s="4" t="s">
        <v>22</v>
      </c>
      <c r="C1093" s="4" t="s">
        <v>35</v>
      </c>
      <c r="D1093" s="4" t="s">
        <v>24</v>
      </c>
      <c r="E1093" s="4" t="s">
        <v>24</v>
      </c>
      <c r="F1093" s="4" t="s">
        <v>25</v>
      </c>
      <c r="G1093" s="4" t="s">
        <v>25</v>
      </c>
      <c r="H1093" s="4" t="s">
        <v>36</v>
      </c>
      <c r="I1093" s="5">
        <v>44743</v>
      </c>
      <c r="J1093" s="6">
        <v>0</v>
      </c>
      <c r="K1093" s="6">
        <v>0</v>
      </c>
      <c r="L1093" s="6">
        <v>5.5E-2</v>
      </c>
      <c r="M1093" s="6">
        <v>5.5E-2</v>
      </c>
      <c r="N1093" s="6">
        <v>5.5E-2</v>
      </c>
      <c r="O1093" s="6">
        <v>5.5E-2</v>
      </c>
      <c r="P1093" s="6">
        <v>0</v>
      </c>
      <c r="Q1093" s="4" t="s">
        <v>26</v>
      </c>
      <c r="R1093" s="4">
        <v>0</v>
      </c>
      <c r="S1093" s="6">
        <v>0</v>
      </c>
      <c r="T1093" s="6">
        <v>36</v>
      </c>
      <c r="U1093" s="6">
        <v>80</v>
      </c>
      <c r="V1093" s="6">
        <f>IF(ISERROR(VLOOKUP($S$1093,'TAR FIN'!$A$1:$O$115,15,0)),0,VLOOKUP($S$1093,'TAR FIN'!$A$1:$O$115,15,0))</f>
        <v>0</v>
      </c>
      <c r="W1093" s="6">
        <f>IF(ISERROR(VLOOKUP($T$1093,'TAR FIN'!$A$1:$O$115,15,0)),0,VLOOKUP($T$1093,'TAR FIN'!$A$1:$O$115,15,0))</f>
        <v>1215.78</v>
      </c>
      <c r="X1093" s="6">
        <f>IF(ISERROR(VLOOKUP($U$1093,'TAR FIN'!$A$1:$O$115,15,0)),0,VLOOKUP($U$1093,'TAR FIN'!$A$1:$O$115,15,0))</f>
        <v>270.3</v>
      </c>
      <c r="Y1093" s="6"/>
      <c r="Z1093" s="6">
        <f ca="1">('TUSD BE'!$AM$34+'TUSD BF'!$AM$34+'TUSD CVA'!$AM$34)*1</f>
        <v>1248.7884163269312</v>
      </c>
      <c r="AA1093" s="6">
        <f>('TE BE'!$AB$17+'TE BF'!$AB$17+'TE CVA'!$AB$17)*1</f>
        <v>362.64398683254075</v>
      </c>
      <c r="AB1093" s="6">
        <f>$K$1093*$V$1093</f>
        <v>0</v>
      </c>
      <c r="AC1093" s="6">
        <f>$M$1093*$W$1093</f>
        <v>66.867900000000006</v>
      </c>
      <c r="AD1093" s="6">
        <f>$O$1093*$X$1093</f>
        <v>14.8665</v>
      </c>
      <c r="AE1093" s="6">
        <f>$K$1093*$Y$1093</f>
        <v>0</v>
      </c>
      <c r="AF1093" s="6">
        <f ca="1">$M$1093*$Z$1093</f>
        <v>68.683362897981212</v>
      </c>
      <c r="AG1093" s="6">
        <f>$O$1093*$AA$1093</f>
        <v>19.945419275789742</v>
      </c>
    </row>
    <row r="1094" spans="1:33" ht="11.25" customHeight="1" x14ac:dyDescent="0.25">
      <c r="A1094" s="4" t="s">
        <v>21</v>
      </c>
      <c r="B1094" s="4" t="s">
        <v>22</v>
      </c>
      <c r="C1094" s="4" t="s">
        <v>35</v>
      </c>
      <c r="D1094" s="4" t="s">
        <v>24</v>
      </c>
      <c r="E1094" s="4" t="s">
        <v>24</v>
      </c>
      <c r="F1094" s="4" t="s">
        <v>25</v>
      </c>
      <c r="G1094" s="4" t="s">
        <v>25</v>
      </c>
      <c r="H1094" s="4" t="s">
        <v>36</v>
      </c>
      <c r="I1094" s="5">
        <v>44774</v>
      </c>
      <c r="J1094" s="6">
        <v>0</v>
      </c>
      <c r="K1094" s="6">
        <v>0</v>
      </c>
      <c r="L1094" s="6">
        <v>4.5199999999999996</v>
      </c>
      <c r="M1094" s="6">
        <v>4.5199999999999996</v>
      </c>
      <c r="N1094" s="6">
        <v>4.5199999999999996</v>
      </c>
      <c r="O1094" s="6">
        <v>4.5199999999999996</v>
      </c>
      <c r="P1094" s="6">
        <v>0</v>
      </c>
      <c r="Q1094" s="4" t="s">
        <v>26</v>
      </c>
      <c r="R1094" s="4">
        <v>0</v>
      </c>
      <c r="S1094" s="6">
        <v>0</v>
      </c>
      <c r="T1094" s="6">
        <v>36</v>
      </c>
      <c r="U1094" s="6">
        <v>80</v>
      </c>
      <c r="V1094" s="6">
        <f>IF(ISERROR(VLOOKUP($S$1094,'TAR FIN'!$A$1:$O$115,15,0)),0,VLOOKUP($S$1094,'TAR FIN'!$A$1:$O$115,15,0))</f>
        <v>0</v>
      </c>
      <c r="W1094" s="6">
        <f>IF(ISERROR(VLOOKUP($T$1094,'TAR FIN'!$A$1:$O$115,15,0)),0,VLOOKUP($T$1094,'TAR FIN'!$A$1:$O$115,15,0))</f>
        <v>1215.78</v>
      </c>
      <c r="X1094" s="6">
        <f>IF(ISERROR(VLOOKUP($U$1094,'TAR FIN'!$A$1:$O$115,15,0)),0,VLOOKUP($U$1094,'TAR FIN'!$A$1:$O$115,15,0))</f>
        <v>270.3</v>
      </c>
      <c r="Y1094" s="6"/>
      <c r="Z1094" s="6">
        <f ca="1">('TUSD BE'!$AM$34+'TUSD BF'!$AM$34+'TUSD CVA'!$AM$34)*1</f>
        <v>1248.7884163269312</v>
      </c>
      <c r="AA1094" s="6">
        <f>('TE BE'!$AB$17+'TE BF'!$AB$17+'TE CVA'!$AB$17)*1</f>
        <v>362.64398683254075</v>
      </c>
      <c r="AB1094" s="6">
        <f>$K$1094*$V$1094</f>
        <v>0</v>
      </c>
      <c r="AC1094" s="6">
        <f>$M$1094*$W$1094</f>
        <v>5495.3255999999992</v>
      </c>
      <c r="AD1094" s="6">
        <f>$O$1094*$X$1094</f>
        <v>1221.7559999999999</v>
      </c>
      <c r="AE1094" s="6">
        <f>$K$1094*$Y$1094</f>
        <v>0</v>
      </c>
      <c r="AF1094" s="6">
        <f ca="1">$M$1094*$Z$1094</f>
        <v>5644.5236417977285</v>
      </c>
      <c r="AG1094" s="6">
        <f>$O$1094*$AA$1094</f>
        <v>1639.1508204830841</v>
      </c>
    </row>
    <row r="1095" spans="1:33" ht="11.25" customHeight="1" x14ac:dyDescent="0.25">
      <c r="A1095" s="4" t="s">
        <v>27</v>
      </c>
      <c r="B1095" s="4" t="s">
        <v>22</v>
      </c>
      <c r="C1095" s="4" t="s">
        <v>35</v>
      </c>
      <c r="D1095" s="4" t="s">
        <v>24</v>
      </c>
      <c r="E1095" s="4" t="s">
        <v>24</v>
      </c>
      <c r="F1095" s="4" t="s">
        <v>25</v>
      </c>
      <c r="G1095" s="4" t="s">
        <v>25</v>
      </c>
      <c r="H1095" s="4" t="s">
        <v>36</v>
      </c>
      <c r="I1095" s="5">
        <v>44774</v>
      </c>
      <c r="J1095" s="6">
        <v>0</v>
      </c>
      <c r="K1095" s="6">
        <v>0</v>
      </c>
      <c r="L1095" s="6">
        <v>1.7999999999999999E-2</v>
      </c>
      <c r="M1095" s="6">
        <v>1.7999999999999999E-2</v>
      </c>
      <c r="N1095" s="6">
        <v>1.7999999999999999E-2</v>
      </c>
      <c r="O1095" s="6">
        <v>1.7999999999999999E-2</v>
      </c>
      <c r="P1095" s="6">
        <v>0</v>
      </c>
      <c r="Q1095" s="4" t="s">
        <v>26</v>
      </c>
      <c r="R1095" s="4">
        <v>0</v>
      </c>
      <c r="S1095" s="6">
        <v>0</v>
      </c>
      <c r="T1095" s="6">
        <v>36</v>
      </c>
      <c r="U1095" s="6">
        <v>80</v>
      </c>
      <c r="V1095" s="6">
        <f>IF(ISERROR(VLOOKUP($S$1095,'TAR FIN'!$A$1:$O$115,15,0)),0,VLOOKUP($S$1095,'TAR FIN'!$A$1:$O$115,15,0))</f>
        <v>0</v>
      </c>
      <c r="W1095" s="6">
        <f>IF(ISERROR(VLOOKUP($T$1095,'TAR FIN'!$A$1:$O$115,15,0)),0,VLOOKUP($T$1095,'TAR FIN'!$A$1:$O$115,15,0))</f>
        <v>1215.78</v>
      </c>
      <c r="X1095" s="6">
        <f>IF(ISERROR(VLOOKUP($U$1095,'TAR FIN'!$A$1:$O$115,15,0)),0,VLOOKUP($U$1095,'TAR FIN'!$A$1:$O$115,15,0))</f>
        <v>270.3</v>
      </c>
      <c r="Y1095" s="6"/>
      <c r="Z1095" s="6">
        <f ca="1">('TUSD BE'!$AM$34+'TUSD BF'!$AM$34+'TUSD CVA'!$AM$34)*1</f>
        <v>1248.7884163269312</v>
      </c>
      <c r="AA1095" s="6">
        <f>('TE BE'!$AB$17+'TE BF'!$AB$17+'TE CVA'!$AB$17)*1</f>
        <v>362.64398683254075</v>
      </c>
      <c r="AB1095" s="6">
        <f>$K$1095*$V$1095</f>
        <v>0</v>
      </c>
      <c r="AC1095" s="6">
        <f>$M$1095*$W$1095</f>
        <v>21.884039999999999</v>
      </c>
      <c r="AD1095" s="6">
        <f>$O$1095*$X$1095</f>
        <v>4.8654000000000002</v>
      </c>
      <c r="AE1095" s="6">
        <f>$K$1095*$Y$1095</f>
        <v>0</v>
      </c>
      <c r="AF1095" s="6">
        <f ca="1">$M$1095*$Z$1095</f>
        <v>22.478191493884758</v>
      </c>
      <c r="AG1095" s="6">
        <f>$O$1095*$AA$1095</f>
        <v>6.5275917629857334</v>
      </c>
    </row>
    <row r="1096" spans="1:33" ht="11.25" customHeight="1" x14ac:dyDescent="0.25">
      <c r="A1096" s="4" t="s">
        <v>28</v>
      </c>
      <c r="B1096" s="4" t="s">
        <v>22</v>
      </c>
      <c r="C1096" s="4" t="s">
        <v>35</v>
      </c>
      <c r="D1096" s="4" t="s">
        <v>24</v>
      </c>
      <c r="E1096" s="4" t="s">
        <v>24</v>
      </c>
      <c r="F1096" s="4" t="s">
        <v>25</v>
      </c>
      <c r="G1096" s="4" t="s">
        <v>25</v>
      </c>
      <c r="H1096" s="4" t="s">
        <v>36</v>
      </c>
      <c r="I1096" s="5">
        <v>44774</v>
      </c>
      <c r="J1096" s="6">
        <v>0</v>
      </c>
      <c r="K1096" s="6">
        <v>0</v>
      </c>
      <c r="L1096" s="6">
        <v>9.7000000000000003E-2</v>
      </c>
      <c r="M1096" s="6">
        <v>9.7000000000000003E-2</v>
      </c>
      <c r="N1096" s="6">
        <v>9.7000000000000003E-2</v>
      </c>
      <c r="O1096" s="6">
        <v>9.7000000000000003E-2</v>
      </c>
      <c r="P1096" s="6">
        <v>0</v>
      </c>
      <c r="Q1096" s="4" t="s">
        <v>26</v>
      </c>
      <c r="R1096" s="4">
        <v>0</v>
      </c>
      <c r="S1096" s="6">
        <v>0</v>
      </c>
      <c r="T1096" s="6">
        <v>36</v>
      </c>
      <c r="U1096" s="6">
        <v>80</v>
      </c>
      <c r="V1096" s="6">
        <f>IF(ISERROR(VLOOKUP($S$1096,'TAR FIN'!$A$1:$O$115,15,0)),0,VLOOKUP($S$1096,'TAR FIN'!$A$1:$O$115,15,0))</f>
        <v>0</v>
      </c>
      <c r="W1096" s="6">
        <f>IF(ISERROR(VLOOKUP($T$1096,'TAR FIN'!$A$1:$O$115,15,0)),0,VLOOKUP($T$1096,'TAR FIN'!$A$1:$O$115,15,0))</f>
        <v>1215.78</v>
      </c>
      <c r="X1096" s="6">
        <f>IF(ISERROR(VLOOKUP($U$1096,'TAR FIN'!$A$1:$O$115,15,0)),0,VLOOKUP($U$1096,'TAR FIN'!$A$1:$O$115,15,0))</f>
        <v>270.3</v>
      </c>
      <c r="Y1096" s="6"/>
      <c r="Z1096" s="6">
        <f ca="1">('TUSD BE'!$AM$34+'TUSD BF'!$AM$34+'TUSD CVA'!$AM$34)*1</f>
        <v>1248.7884163269312</v>
      </c>
      <c r="AA1096" s="6">
        <f>('TE BE'!$AB$17+'TE BF'!$AB$17+'TE CVA'!$AB$17)*1</f>
        <v>362.64398683254075</v>
      </c>
      <c r="AB1096" s="6">
        <f>$K$1096*$V$1096</f>
        <v>0</v>
      </c>
      <c r="AC1096" s="6">
        <f>$M$1096*$W$1096</f>
        <v>117.93066</v>
      </c>
      <c r="AD1096" s="6">
        <f>$O$1096*$X$1096</f>
        <v>26.219100000000001</v>
      </c>
      <c r="AE1096" s="6">
        <f>$K$1096*$Y$1096</f>
        <v>0</v>
      </c>
      <c r="AF1096" s="6">
        <f ca="1">$M$1096*$Z$1096</f>
        <v>121.13247638371233</v>
      </c>
      <c r="AG1096" s="6">
        <f>$O$1096*$AA$1096</f>
        <v>35.176466722756452</v>
      </c>
    </row>
    <row r="1097" spans="1:33" ht="11.25" customHeight="1" x14ac:dyDescent="0.25">
      <c r="A1097" s="4" t="s">
        <v>30</v>
      </c>
      <c r="B1097" s="4" t="s">
        <v>22</v>
      </c>
      <c r="C1097" s="4" t="s">
        <v>35</v>
      </c>
      <c r="D1097" s="4" t="s">
        <v>24</v>
      </c>
      <c r="E1097" s="4" t="s">
        <v>24</v>
      </c>
      <c r="F1097" s="4" t="s">
        <v>25</v>
      </c>
      <c r="G1097" s="4" t="s">
        <v>25</v>
      </c>
      <c r="H1097" s="4" t="s">
        <v>36</v>
      </c>
      <c r="I1097" s="5">
        <v>44774</v>
      </c>
      <c r="J1097" s="6">
        <v>0</v>
      </c>
      <c r="K1097" s="6">
        <v>0</v>
      </c>
      <c r="L1097" s="6">
        <v>0.01</v>
      </c>
      <c r="M1097" s="6">
        <v>0.01</v>
      </c>
      <c r="N1097" s="6">
        <v>0.01</v>
      </c>
      <c r="O1097" s="6">
        <v>0.01</v>
      </c>
      <c r="P1097" s="6">
        <v>0</v>
      </c>
      <c r="Q1097" s="4" t="s">
        <v>26</v>
      </c>
      <c r="R1097" s="4">
        <v>0</v>
      </c>
      <c r="S1097" s="6">
        <v>0</v>
      </c>
      <c r="T1097" s="6">
        <v>36</v>
      </c>
      <c r="U1097" s="6">
        <v>80</v>
      </c>
      <c r="V1097" s="6">
        <f>IF(ISERROR(VLOOKUP($S$1097,'TAR FIN'!$A$1:$O$115,15,0)),0,VLOOKUP($S$1097,'TAR FIN'!$A$1:$O$115,15,0))</f>
        <v>0</v>
      </c>
      <c r="W1097" s="6">
        <f>IF(ISERROR(VLOOKUP($T$1097,'TAR FIN'!$A$1:$O$115,15,0)),0,VLOOKUP($T$1097,'TAR FIN'!$A$1:$O$115,15,0))</f>
        <v>1215.78</v>
      </c>
      <c r="X1097" s="6">
        <f>IF(ISERROR(VLOOKUP($U$1097,'TAR FIN'!$A$1:$O$115,15,0)),0,VLOOKUP($U$1097,'TAR FIN'!$A$1:$O$115,15,0))</f>
        <v>270.3</v>
      </c>
      <c r="Y1097" s="6"/>
      <c r="Z1097" s="6">
        <f ca="1">('TUSD BE'!$AM$34+'TUSD BF'!$AM$34+'TUSD CVA'!$AM$34)*1</f>
        <v>1248.7884163269312</v>
      </c>
      <c r="AA1097" s="6">
        <f>('TE BE'!$AB$17+'TE BF'!$AB$17+'TE CVA'!$AB$17)*1</f>
        <v>362.64398683254075</v>
      </c>
      <c r="AB1097" s="6">
        <f>$K$1097*$V$1097</f>
        <v>0</v>
      </c>
      <c r="AC1097" s="6">
        <f>$M$1097*$W$1097</f>
        <v>12.1578</v>
      </c>
      <c r="AD1097" s="6">
        <f>$O$1097*$X$1097</f>
        <v>2.7030000000000003</v>
      </c>
      <c r="AE1097" s="6">
        <f>$K$1097*$Y$1097</f>
        <v>0</v>
      </c>
      <c r="AF1097" s="6">
        <f ca="1">$M$1097*$Z$1097</f>
        <v>12.487884163269312</v>
      </c>
      <c r="AG1097" s="6">
        <f>$O$1097*$AA$1097</f>
        <v>3.6264398683254075</v>
      </c>
    </row>
    <row r="1098" spans="1:33" ht="11.25" customHeight="1" x14ac:dyDescent="0.25">
      <c r="A1098" s="4" t="s">
        <v>21</v>
      </c>
      <c r="B1098" s="4" t="s">
        <v>22</v>
      </c>
      <c r="C1098" s="4" t="s">
        <v>35</v>
      </c>
      <c r="D1098" s="4" t="s">
        <v>24</v>
      </c>
      <c r="E1098" s="4" t="s">
        <v>24</v>
      </c>
      <c r="F1098" s="4" t="s">
        <v>25</v>
      </c>
      <c r="G1098" s="4" t="s">
        <v>25</v>
      </c>
      <c r="H1098" s="4" t="s">
        <v>36</v>
      </c>
      <c r="I1098" s="5">
        <v>44805</v>
      </c>
      <c r="J1098" s="6">
        <v>0</v>
      </c>
      <c r="K1098" s="6">
        <v>0</v>
      </c>
      <c r="L1098" s="6">
        <v>5.4770000000000003</v>
      </c>
      <c r="M1098" s="6">
        <v>5.4770000000000003</v>
      </c>
      <c r="N1098" s="6">
        <v>5.4770000000000003</v>
      </c>
      <c r="O1098" s="6">
        <v>5.4770000000000003</v>
      </c>
      <c r="P1098" s="6">
        <v>0</v>
      </c>
      <c r="Q1098" s="4" t="s">
        <v>26</v>
      </c>
      <c r="R1098" s="4">
        <v>0</v>
      </c>
      <c r="S1098" s="6">
        <v>0</v>
      </c>
      <c r="T1098" s="6">
        <v>36</v>
      </c>
      <c r="U1098" s="6">
        <v>80</v>
      </c>
      <c r="V1098" s="6">
        <f>IF(ISERROR(VLOOKUP($S$1098,'TAR FIN'!$A$1:$O$115,15,0)),0,VLOOKUP($S$1098,'TAR FIN'!$A$1:$O$115,15,0))</f>
        <v>0</v>
      </c>
      <c r="W1098" s="6">
        <f>IF(ISERROR(VLOOKUP($T$1098,'TAR FIN'!$A$1:$O$115,15,0)),0,VLOOKUP($T$1098,'TAR FIN'!$A$1:$O$115,15,0))</f>
        <v>1215.78</v>
      </c>
      <c r="X1098" s="6">
        <f>IF(ISERROR(VLOOKUP($U$1098,'TAR FIN'!$A$1:$O$115,15,0)),0,VLOOKUP($U$1098,'TAR FIN'!$A$1:$O$115,15,0))</f>
        <v>270.3</v>
      </c>
      <c r="Y1098" s="6"/>
      <c r="Z1098" s="6">
        <f ca="1">('TUSD BE'!$AM$34+'TUSD BF'!$AM$34+'TUSD CVA'!$AM$34)*1</f>
        <v>1248.7884163269312</v>
      </c>
      <c r="AA1098" s="6">
        <f>('TE BE'!$AB$17+'TE BF'!$AB$17+'TE CVA'!$AB$17)*1</f>
        <v>362.64398683254075</v>
      </c>
      <c r="AB1098" s="6">
        <f>$K$1098*$V$1098</f>
        <v>0</v>
      </c>
      <c r="AC1098" s="6">
        <f>$M$1098*$W$1098</f>
        <v>6658.8270600000005</v>
      </c>
      <c r="AD1098" s="6">
        <f>$O$1098*$X$1098</f>
        <v>1480.4331000000002</v>
      </c>
      <c r="AE1098" s="6">
        <f>$K$1098*$Y$1098</f>
        <v>0</v>
      </c>
      <c r="AF1098" s="6">
        <f ca="1">$M$1098*$Z$1098</f>
        <v>6839.6141562226021</v>
      </c>
      <c r="AG1098" s="6">
        <f>$O$1098*$AA$1098</f>
        <v>1986.2011158818259</v>
      </c>
    </row>
    <row r="1099" spans="1:33" ht="11.25" customHeight="1" x14ac:dyDescent="0.25">
      <c r="A1099" s="4" t="s">
        <v>27</v>
      </c>
      <c r="B1099" s="4" t="s">
        <v>22</v>
      </c>
      <c r="C1099" s="4" t="s">
        <v>35</v>
      </c>
      <c r="D1099" s="4" t="s">
        <v>24</v>
      </c>
      <c r="E1099" s="4" t="s">
        <v>24</v>
      </c>
      <c r="F1099" s="4" t="s">
        <v>25</v>
      </c>
      <c r="G1099" s="4" t="s">
        <v>25</v>
      </c>
      <c r="H1099" s="4" t="s">
        <v>36</v>
      </c>
      <c r="I1099" s="5">
        <v>44805</v>
      </c>
      <c r="J1099" s="6">
        <v>0</v>
      </c>
      <c r="K1099" s="6">
        <v>0</v>
      </c>
      <c r="L1099" s="6">
        <v>-1E-3</v>
      </c>
      <c r="M1099" s="6">
        <v>-1E-3</v>
      </c>
      <c r="N1099" s="6">
        <v>-1E-3</v>
      </c>
      <c r="O1099" s="6">
        <v>-1E-3</v>
      </c>
      <c r="P1099" s="6">
        <v>0</v>
      </c>
      <c r="Q1099" s="4" t="s">
        <v>26</v>
      </c>
      <c r="R1099" s="4">
        <v>0</v>
      </c>
      <c r="S1099" s="6">
        <v>0</v>
      </c>
      <c r="T1099" s="6">
        <v>36</v>
      </c>
      <c r="U1099" s="6">
        <v>80</v>
      </c>
      <c r="V1099" s="6">
        <f>IF(ISERROR(VLOOKUP($S$1099,'TAR FIN'!$A$1:$O$115,15,0)),0,VLOOKUP($S$1099,'TAR FIN'!$A$1:$O$115,15,0))</f>
        <v>0</v>
      </c>
      <c r="W1099" s="6">
        <f>IF(ISERROR(VLOOKUP($T$1099,'TAR FIN'!$A$1:$O$115,15,0)),0,VLOOKUP($T$1099,'TAR FIN'!$A$1:$O$115,15,0))</f>
        <v>1215.78</v>
      </c>
      <c r="X1099" s="6">
        <f>IF(ISERROR(VLOOKUP($U$1099,'TAR FIN'!$A$1:$O$115,15,0)),0,VLOOKUP($U$1099,'TAR FIN'!$A$1:$O$115,15,0))</f>
        <v>270.3</v>
      </c>
      <c r="Y1099" s="6"/>
      <c r="Z1099" s="6">
        <f ca="1">('TUSD BE'!$AM$34+'TUSD BF'!$AM$34+'TUSD CVA'!$AM$34)*1</f>
        <v>1248.7884163269312</v>
      </c>
      <c r="AA1099" s="6">
        <f>('TE BE'!$AB$17+'TE BF'!$AB$17+'TE CVA'!$AB$17)*1</f>
        <v>362.64398683254075</v>
      </c>
      <c r="AB1099" s="6">
        <f>$K$1099*$V$1099</f>
        <v>0</v>
      </c>
      <c r="AC1099" s="6">
        <f>$M$1099*$W$1099</f>
        <v>-1.2157800000000001</v>
      </c>
      <c r="AD1099" s="6">
        <f>$O$1099*$X$1099</f>
        <v>-0.27030000000000004</v>
      </c>
      <c r="AE1099" s="6">
        <f>$K$1099*$Y$1099</f>
        <v>0</v>
      </c>
      <c r="AF1099" s="6">
        <f ca="1">$M$1099*$Z$1099</f>
        <v>-1.2487884163269312</v>
      </c>
      <c r="AG1099" s="6">
        <f>$O$1099*$AA$1099</f>
        <v>-0.36264398683254073</v>
      </c>
    </row>
    <row r="1100" spans="1:33" ht="11.25" customHeight="1" x14ac:dyDescent="0.25">
      <c r="A1100" s="4" t="s">
        <v>28</v>
      </c>
      <c r="B1100" s="4" t="s">
        <v>22</v>
      </c>
      <c r="C1100" s="4" t="s">
        <v>35</v>
      </c>
      <c r="D1100" s="4" t="s">
        <v>24</v>
      </c>
      <c r="E1100" s="4" t="s">
        <v>24</v>
      </c>
      <c r="F1100" s="4" t="s">
        <v>25</v>
      </c>
      <c r="G1100" s="4" t="s">
        <v>25</v>
      </c>
      <c r="H1100" s="4" t="s">
        <v>36</v>
      </c>
      <c r="I1100" s="5">
        <v>44805</v>
      </c>
      <c r="J1100" s="6">
        <v>0</v>
      </c>
      <c r="K1100" s="6">
        <v>0</v>
      </c>
      <c r="L1100" s="6">
        <v>7.0000000000000007E-2</v>
      </c>
      <c r="M1100" s="6">
        <v>7.0000000000000007E-2</v>
      </c>
      <c r="N1100" s="6">
        <v>7.0000000000000007E-2</v>
      </c>
      <c r="O1100" s="6">
        <v>7.0000000000000007E-2</v>
      </c>
      <c r="P1100" s="6">
        <v>0</v>
      </c>
      <c r="Q1100" s="4" t="s">
        <v>26</v>
      </c>
      <c r="R1100" s="4">
        <v>0</v>
      </c>
      <c r="S1100" s="6">
        <v>0</v>
      </c>
      <c r="T1100" s="6">
        <v>36</v>
      </c>
      <c r="U1100" s="6">
        <v>80</v>
      </c>
      <c r="V1100" s="6">
        <f>IF(ISERROR(VLOOKUP($S$1100,'TAR FIN'!$A$1:$O$115,15,0)),0,VLOOKUP($S$1100,'TAR FIN'!$A$1:$O$115,15,0))</f>
        <v>0</v>
      </c>
      <c r="W1100" s="6">
        <f>IF(ISERROR(VLOOKUP($T$1100,'TAR FIN'!$A$1:$O$115,15,0)),0,VLOOKUP($T$1100,'TAR FIN'!$A$1:$O$115,15,0))</f>
        <v>1215.78</v>
      </c>
      <c r="X1100" s="6">
        <f>IF(ISERROR(VLOOKUP($U$1100,'TAR FIN'!$A$1:$O$115,15,0)),0,VLOOKUP($U$1100,'TAR FIN'!$A$1:$O$115,15,0))</f>
        <v>270.3</v>
      </c>
      <c r="Y1100" s="6"/>
      <c r="Z1100" s="6">
        <f ca="1">('TUSD BE'!$AM$34+'TUSD BF'!$AM$34+'TUSD CVA'!$AM$34)*1</f>
        <v>1248.7884163269312</v>
      </c>
      <c r="AA1100" s="6">
        <f>('TE BE'!$AB$17+'TE BF'!$AB$17+'TE CVA'!$AB$17)*1</f>
        <v>362.64398683254075</v>
      </c>
      <c r="AB1100" s="6">
        <f>$K$1100*$V$1100</f>
        <v>0</v>
      </c>
      <c r="AC1100" s="6">
        <f>$M$1100*$W$1100</f>
        <v>85.104600000000005</v>
      </c>
      <c r="AD1100" s="6">
        <f>$O$1100*$X$1100</f>
        <v>18.921000000000003</v>
      </c>
      <c r="AE1100" s="6">
        <f>$K$1100*$Y$1100</f>
        <v>0</v>
      </c>
      <c r="AF1100" s="6">
        <f ca="1">$M$1100*$Z$1100</f>
        <v>87.415189142885183</v>
      </c>
      <c r="AG1100" s="6">
        <f>$O$1100*$AA$1100</f>
        <v>25.385079078277855</v>
      </c>
    </row>
    <row r="1101" spans="1:33" ht="11.25" customHeight="1" x14ac:dyDescent="0.25">
      <c r="A1101" s="4" t="s">
        <v>30</v>
      </c>
      <c r="B1101" s="4" t="s">
        <v>22</v>
      </c>
      <c r="C1101" s="4" t="s">
        <v>35</v>
      </c>
      <c r="D1101" s="4" t="s">
        <v>24</v>
      </c>
      <c r="E1101" s="4" t="s">
        <v>24</v>
      </c>
      <c r="F1101" s="4" t="s">
        <v>25</v>
      </c>
      <c r="G1101" s="4" t="s">
        <v>25</v>
      </c>
      <c r="H1101" s="4" t="s">
        <v>36</v>
      </c>
      <c r="I1101" s="5">
        <v>44805</v>
      </c>
      <c r="J1101" s="6">
        <v>0</v>
      </c>
      <c r="K1101" s="6">
        <v>0</v>
      </c>
      <c r="L1101" s="6">
        <v>0.01</v>
      </c>
      <c r="M1101" s="6">
        <v>0.01</v>
      </c>
      <c r="N1101" s="6">
        <v>0.01</v>
      </c>
      <c r="O1101" s="6">
        <v>0.01</v>
      </c>
      <c r="P1101" s="6">
        <v>0</v>
      </c>
      <c r="Q1101" s="4" t="s">
        <v>26</v>
      </c>
      <c r="R1101" s="4">
        <v>0</v>
      </c>
      <c r="S1101" s="6">
        <v>0</v>
      </c>
      <c r="T1101" s="6">
        <v>36</v>
      </c>
      <c r="U1101" s="6">
        <v>80</v>
      </c>
      <c r="V1101" s="6">
        <f>IF(ISERROR(VLOOKUP($S$1101,'TAR FIN'!$A$1:$O$115,15,0)),0,VLOOKUP($S$1101,'TAR FIN'!$A$1:$O$115,15,0))</f>
        <v>0</v>
      </c>
      <c r="W1101" s="6">
        <f>IF(ISERROR(VLOOKUP($T$1101,'TAR FIN'!$A$1:$O$115,15,0)),0,VLOOKUP($T$1101,'TAR FIN'!$A$1:$O$115,15,0))</f>
        <v>1215.78</v>
      </c>
      <c r="X1101" s="6">
        <f>IF(ISERROR(VLOOKUP($U$1101,'TAR FIN'!$A$1:$O$115,15,0)),0,VLOOKUP($U$1101,'TAR FIN'!$A$1:$O$115,15,0))</f>
        <v>270.3</v>
      </c>
      <c r="Y1101" s="6"/>
      <c r="Z1101" s="6">
        <f ca="1">('TUSD BE'!$AM$34+'TUSD BF'!$AM$34+'TUSD CVA'!$AM$34)*1</f>
        <v>1248.7884163269312</v>
      </c>
      <c r="AA1101" s="6">
        <f>('TE BE'!$AB$17+'TE BF'!$AB$17+'TE CVA'!$AB$17)*1</f>
        <v>362.64398683254075</v>
      </c>
      <c r="AB1101" s="6">
        <f>$K$1101*$V$1101</f>
        <v>0</v>
      </c>
      <c r="AC1101" s="6">
        <f>$M$1101*$W$1101</f>
        <v>12.1578</v>
      </c>
      <c r="AD1101" s="6">
        <f>$O$1101*$X$1101</f>
        <v>2.7030000000000003</v>
      </c>
      <c r="AE1101" s="6">
        <f>$K$1101*$Y$1101</f>
        <v>0</v>
      </c>
      <c r="AF1101" s="6">
        <f ca="1">$M$1101*$Z$1101</f>
        <v>12.487884163269312</v>
      </c>
      <c r="AG1101" s="6">
        <f>$O$1101*$AA$1101</f>
        <v>3.6264398683254075</v>
      </c>
    </row>
    <row r="1102" spans="1:33" ht="11.25" customHeight="1" x14ac:dyDescent="0.25">
      <c r="A1102" s="4" t="s">
        <v>21</v>
      </c>
      <c r="B1102" s="4" t="s">
        <v>22</v>
      </c>
      <c r="C1102" s="4" t="s">
        <v>35</v>
      </c>
      <c r="D1102" s="4" t="s">
        <v>24</v>
      </c>
      <c r="E1102" s="4" t="s">
        <v>24</v>
      </c>
      <c r="F1102" s="4" t="s">
        <v>25</v>
      </c>
      <c r="G1102" s="4" t="s">
        <v>25</v>
      </c>
      <c r="H1102" s="4" t="s">
        <v>36</v>
      </c>
      <c r="I1102" s="5">
        <v>44835</v>
      </c>
      <c r="J1102" s="6">
        <v>0</v>
      </c>
      <c r="K1102" s="6">
        <v>0</v>
      </c>
      <c r="L1102" s="6">
        <v>4.5709999999999997</v>
      </c>
      <c r="M1102" s="6">
        <v>4.5709999999999997</v>
      </c>
      <c r="N1102" s="6">
        <v>4.5709999999999997</v>
      </c>
      <c r="O1102" s="6">
        <v>4.5709999999999997</v>
      </c>
      <c r="P1102" s="6">
        <v>0</v>
      </c>
      <c r="Q1102" s="4" t="s">
        <v>26</v>
      </c>
      <c r="R1102" s="4">
        <v>0</v>
      </c>
      <c r="S1102" s="6">
        <v>0</v>
      </c>
      <c r="T1102" s="6">
        <v>36</v>
      </c>
      <c r="U1102" s="6">
        <v>80</v>
      </c>
      <c r="V1102" s="6">
        <f>IF(ISERROR(VLOOKUP($S$1102,'TAR FIN'!$A$1:$O$115,15,0)),0,VLOOKUP($S$1102,'TAR FIN'!$A$1:$O$115,15,0))</f>
        <v>0</v>
      </c>
      <c r="W1102" s="6">
        <f>IF(ISERROR(VLOOKUP($T$1102,'TAR FIN'!$A$1:$O$115,15,0)),0,VLOOKUP($T$1102,'TAR FIN'!$A$1:$O$115,15,0))</f>
        <v>1215.78</v>
      </c>
      <c r="X1102" s="6">
        <f>IF(ISERROR(VLOOKUP($U$1102,'TAR FIN'!$A$1:$O$115,15,0)),0,VLOOKUP($U$1102,'TAR FIN'!$A$1:$O$115,15,0))</f>
        <v>270.3</v>
      </c>
      <c r="Y1102" s="6"/>
      <c r="Z1102" s="6">
        <f ca="1">('TUSD BE'!$AM$34+'TUSD BF'!$AM$34+'TUSD CVA'!$AM$34)*1</f>
        <v>1248.7884163269312</v>
      </c>
      <c r="AA1102" s="6">
        <f>('TE BE'!$AB$17+'TE BF'!$AB$17+'TE CVA'!$AB$17)*1</f>
        <v>362.64398683254075</v>
      </c>
      <c r="AB1102" s="6">
        <f>$K$1102*$V$1102</f>
        <v>0</v>
      </c>
      <c r="AC1102" s="6">
        <f>$M$1102*$W$1102</f>
        <v>5557.3303799999994</v>
      </c>
      <c r="AD1102" s="6">
        <f>$O$1102*$X$1102</f>
        <v>1235.5413000000001</v>
      </c>
      <c r="AE1102" s="6">
        <f>$K$1102*$Y$1102</f>
        <v>0</v>
      </c>
      <c r="AF1102" s="6">
        <f ca="1">$M$1102*$Z$1102</f>
        <v>5708.2118510304017</v>
      </c>
      <c r="AG1102" s="6">
        <f>$O$1102*$AA$1102</f>
        <v>1657.6456638115437</v>
      </c>
    </row>
    <row r="1103" spans="1:33" ht="11.25" customHeight="1" x14ac:dyDescent="0.25">
      <c r="A1103" s="4" t="s">
        <v>28</v>
      </c>
      <c r="B1103" s="4" t="s">
        <v>22</v>
      </c>
      <c r="C1103" s="4" t="s">
        <v>35</v>
      </c>
      <c r="D1103" s="4" t="s">
        <v>24</v>
      </c>
      <c r="E1103" s="4" t="s">
        <v>24</v>
      </c>
      <c r="F1103" s="4" t="s">
        <v>25</v>
      </c>
      <c r="G1103" s="4" t="s">
        <v>25</v>
      </c>
      <c r="H1103" s="4" t="s">
        <v>36</v>
      </c>
      <c r="I1103" s="5">
        <v>44835</v>
      </c>
      <c r="J1103" s="6">
        <v>0</v>
      </c>
      <c r="K1103" s="6">
        <v>0</v>
      </c>
      <c r="L1103" s="6">
        <v>7.6999999999999999E-2</v>
      </c>
      <c r="M1103" s="6">
        <v>7.6999999999999999E-2</v>
      </c>
      <c r="N1103" s="6">
        <v>7.6999999999999999E-2</v>
      </c>
      <c r="O1103" s="6">
        <v>7.6999999999999999E-2</v>
      </c>
      <c r="P1103" s="6">
        <v>0</v>
      </c>
      <c r="Q1103" s="4" t="s">
        <v>26</v>
      </c>
      <c r="R1103" s="4">
        <v>0</v>
      </c>
      <c r="S1103" s="6">
        <v>0</v>
      </c>
      <c r="T1103" s="6">
        <v>36</v>
      </c>
      <c r="U1103" s="6">
        <v>80</v>
      </c>
      <c r="V1103" s="6">
        <f>IF(ISERROR(VLOOKUP($S$1103,'TAR FIN'!$A$1:$O$115,15,0)),0,VLOOKUP($S$1103,'TAR FIN'!$A$1:$O$115,15,0))</f>
        <v>0</v>
      </c>
      <c r="W1103" s="6">
        <f>IF(ISERROR(VLOOKUP($T$1103,'TAR FIN'!$A$1:$O$115,15,0)),0,VLOOKUP($T$1103,'TAR FIN'!$A$1:$O$115,15,0))</f>
        <v>1215.78</v>
      </c>
      <c r="X1103" s="6">
        <f>IF(ISERROR(VLOOKUP($U$1103,'TAR FIN'!$A$1:$O$115,15,0)),0,VLOOKUP($U$1103,'TAR FIN'!$A$1:$O$115,15,0))</f>
        <v>270.3</v>
      </c>
      <c r="Y1103" s="6"/>
      <c r="Z1103" s="6">
        <f ca="1">('TUSD BE'!$AM$34+'TUSD BF'!$AM$34+'TUSD CVA'!$AM$34)*1</f>
        <v>1248.7884163269312</v>
      </c>
      <c r="AA1103" s="6">
        <f>('TE BE'!$AB$17+'TE BF'!$AB$17+'TE CVA'!$AB$17)*1</f>
        <v>362.64398683254075</v>
      </c>
      <c r="AB1103" s="6">
        <f>$K$1103*$V$1103</f>
        <v>0</v>
      </c>
      <c r="AC1103" s="6">
        <f>$M$1103*$W$1103</f>
        <v>93.61506</v>
      </c>
      <c r="AD1103" s="6">
        <f>$O$1103*$X$1103</f>
        <v>20.813100000000002</v>
      </c>
      <c r="AE1103" s="6">
        <f>$K$1103*$Y$1103</f>
        <v>0</v>
      </c>
      <c r="AF1103" s="6">
        <f ca="1">$M$1103*$Z$1103</f>
        <v>96.156708057173702</v>
      </c>
      <c r="AG1103" s="6">
        <f>$O$1103*$AA$1103</f>
        <v>27.923586986105636</v>
      </c>
    </row>
    <row r="1104" spans="1:33" ht="11.25" customHeight="1" x14ac:dyDescent="0.25">
      <c r="A1104" s="4" t="s">
        <v>30</v>
      </c>
      <c r="B1104" s="4" t="s">
        <v>22</v>
      </c>
      <c r="C1104" s="4" t="s">
        <v>35</v>
      </c>
      <c r="D1104" s="4" t="s">
        <v>24</v>
      </c>
      <c r="E1104" s="4" t="s">
        <v>24</v>
      </c>
      <c r="F1104" s="4" t="s">
        <v>25</v>
      </c>
      <c r="G1104" s="4" t="s">
        <v>25</v>
      </c>
      <c r="H1104" s="4" t="s">
        <v>36</v>
      </c>
      <c r="I1104" s="5">
        <v>44835</v>
      </c>
      <c r="J1104" s="6">
        <v>0</v>
      </c>
      <c r="K1104" s="6">
        <v>0</v>
      </c>
      <c r="L1104" s="6">
        <v>0.09</v>
      </c>
      <c r="M1104" s="6">
        <v>0.09</v>
      </c>
      <c r="N1104" s="6">
        <v>0.09</v>
      </c>
      <c r="O1104" s="6">
        <v>0.09</v>
      </c>
      <c r="P1104" s="6">
        <v>0</v>
      </c>
      <c r="Q1104" s="4" t="s">
        <v>26</v>
      </c>
      <c r="R1104" s="4">
        <v>0</v>
      </c>
      <c r="S1104" s="6">
        <v>0</v>
      </c>
      <c r="T1104" s="6">
        <v>36</v>
      </c>
      <c r="U1104" s="6">
        <v>80</v>
      </c>
      <c r="V1104" s="6">
        <f>IF(ISERROR(VLOOKUP($S$1104,'TAR FIN'!$A$1:$O$115,15,0)),0,VLOOKUP($S$1104,'TAR FIN'!$A$1:$O$115,15,0))</f>
        <v>0</v>
      </c>
      <c r="W1104" s="6">
        <f>IF(ISERROR(VLOOKUP($T$1104,'TAR FIN'!$A$1:$O$115,15,0)),0,VLOOKUP($T$1104,'TAR FIN'!$A$1:$O$115,15,0))</f>
        <v>1215.78</v>
      </c>
      <c r="X1104" s="6">
        <f>IF(ISERROR(VLOOKUP($U$1104,'TAR FIN'!$A$1:$O$115,15,0)),0,VLOOKUP($U$1104,'TAR FIN'!$A$1:$O$115,15,0))</f>
        <v>270.3</v>
      </c>
      <c r="Y1104" s="6"/>
      <c r="Z1104" s="6">
        <f ca="1">('TUSD BE'!$AM$34+'TUSD BF'!$AM$34+'TUSD CVA'!$AM$34)*1</f>
        <v>1248.7884163269312</v>
      </c>
      <c r="AA1104" s="6">
        <f>('TE BE'!$AB$17+'TE BF'!$AB$17+'TE CVA'!$AB$17)*1</f>
        <v>362.64398683254075</v>
      </c>
      <c r="AB1104" s="6">
        <f>$K$1104*$V$1104</f>
        <v>0</v>
      </c>
      <c r="AC1104" s="6">
        <f>$M$1104*$W$1104</f>
        <v>109.42019999999999</v>
      </c>
      <c r="AD1104" s="6">
        <f>$O$1104*$X$1104</f>
        <v>24.327000000000002</v>
      </c>
      <c r="AE1104" s="6">
        <f>$K$1104*$Y$1104</f>
        <v>0</v>
      </c>
      <c r="AF1104" s="6">
        <f ca="1">$M$1104*$Z$1104</f>
        <v>112.3909574694238</v>
      </c>
      <c r="AG1104" s="6">
        <f>$O$1104*$AA$1104</f>
        <v>32.637958814928666</v>
      </c>
    </row>
    <row r="1105" spans="1:33" ht="11.25" customHeight="1" x14ac:dyDescent="0.25">
      <c r="A1105" s="4" t="s">
        <v>30</v>
      </c>
      <c r="B1105" s="4" t="s">
        <v>22</v>
      </c>
      <c r="C1105" s="4" t="s">
        <v>35</v>
      </c>
      <c r="D1105" s="4" t="s">
        <v>24</v>
      </c>
      <c r="E1105" s="4" t="s">
        <v>24</v>
      </c>
      <c r="F1105" s="4" t="s">
        <v>25</v>
      </c>
      <c r="G1105" s="4" t="s">
        <v>25</v>
      </c>
      <c r="H1105" s="4" t="s">
        <v>36</v>
      </c>
      <c r="I1105" s="5">
        <v>44835</v>
      </c>
      <c r="J1105" s="6">
        <v>0</v>
      </c>
      <c r="K1105" s="6">
        <v>0</v>
      </c>
      <c r="L1105" s="6">
        <v>-0.01</v>
      </c>
      <c r="M1105" s="6">
        <v>-0.01</v>
      </c>
      <c r="N1105" s="6">
        <v>-0.01</v>
      </c>
      <c r="O1105" s="6">
        <v>-0.01</v>
      </c>
      <c r="P1105" s="6">
        <v>0</v>
      </c>
      <c r="Q1105" s="4" t="s">
        <v>26</v>
      </c>
      <c r="R1105" s="4">
        <v>0</v>
      </c>
      <c r="S1105" s="6">
        <v>0</v>
      </c>
      <c r="T1105" s="6">
        <v>36</v>
      </c>
      <c r="U1105" s="6">
        <v>80</v>
      </c>
      <c r="V1105" s="6">
        <f>IF(ISERROR(VLOOKUP($S$1105,'TAR FIN'!$A$1:$O$115,15,0)),0,VLOOKUP($S$1105,'TAR FIN'!$A$1:$O$115,15,0))</f>
        <v>0</v>
      </c>
      <c r="W1105" s="6">
        <f>IF(ISERROR(VLOOKUP($T$1105,'TAR FIN'!$A$1:$O$115,15,0)),0,VLOOKUP($T$1105,'TAR FIN'!$A$1:$O$115,15,0))</f>
        <v>1215.78</v>
      </c>
      <c r="X1105" s="6">
        <f>IF(ISERROR(VLOOKUP($U$1105,'TAR FIN'!$A$1:$O$115,15,0)),0,VLOOKUP($U$1105,'TAR FIN'!$A$1:$O$115,15,0))</f>
        <v>270.3</v>
      </c>
      <c r="Y1105" s="6"/>
      <c r="Z1105" s="6">
        <f ca="1">('TUSD BE'!$AM$34+'TUSD BF'!$AM$34+'TUSD CVA'!$AM$34)*1</f>
        <v>1248.7884163269312</v>
      </c>
      <c r="AA1105" s="6">
        <f>('TE BE'!$AB$17+'TE BF'!$AB$17+'TE CVA'!$AB$17)*1</f>
        <v>362.64398683254075</v>
      </c>
      <c r="AB1105" s="6">
        <f>$K$1105*$V$1105</f>
        <v>0</v>
      </c>
      <c r="AC1105" s="6">
        <f>$M$1105*$W$1105</f>
        <v>-12.1578</v>
      </c>
      <c r="AD1105" s="6">
        <f>$O$1105*$X$1105</f>
        <v>-2.7030000000000003</v>
      </c>
      <c r="AE1105" s="6">
        <f>$K$1105*$Y$1105</f>
        <v>0</v>
      </c>
      <c r="AF1105" s="6">
        <f ca="1">$M$1105*$Z$1105</f>
        <v>-12.487884163269312</v>
      </c>
      <c r="AG1105" s="6">
        <f>$O$1105*$AA$1105</f>
        <v>-3.6264398683254075</v>
      </c>
    </row>
    <row r="1106" spans="1:33" ht="11.25" customHeight="1" x14ac:dyDescent="0.25">
      <c r="A1106" s="4" t="s">
        <v>59</v>
      </c>
      <c r="B1106" s="4" t="s">
        <v>22</v>
      </c>
      <c r="C1106" s="4" t="s">
        <v>35</v>
      </c>
      <c r="D1106" s="4" t="s">
        <v>24</v>
      </c>
      <c r="E1106" s="4" t="s">
        <v>24</v>
      </c>
      <c r="F1106" s="4" t="s">
        <v>25</v>
      </c>
      <c r="G1106" s="4" t="s">
        <v>25</v>
      </c>
      <c r="H1106" s="4" t="s">
        <v>36</v>
      </c>
      <c r="I1106" s="5">
        <v>44866</v>
      </c>
      <c r="J1106" s="6">
        <v>0</v>
      </c>
      <c r="K1106" s="6">
        <v>0</v>
      </c>
      <c r="L1106" s="6">
        <v>4.5709999999999997</v>
      </c>
      <c r="M1106" s="6">
        <v>4.5709999999999997</v>
      </c>
      <c r="N1106" s="6">
        <v>4.5709999999999997</v>
      </c>
      <c r="O1106" s="6">
        <v>4.5709999999999997</v>
      </c>
      <c r="P1106" s="6">
        <v>0</v>
      </c>
      <c r="Q1106" s="4" t="s">
        <v>26</v>
      </c>
      <c r="R1106" s="4">
        <v>0</v>
      </c>
      <c r="S1106" s="6">
        <v>0</v>
      </c>
      <c r="T1106" s="6">
        <v>36</v>
      </c>
      <c r="U1106" s="6">
        <v>80</v>
      </c>
      <c r="V1106" s="6">
        <f>IF(ISERROR(VLOOKUP($S$1106,'TAR FIN'!$A$1:$O$115,15,0)),0,VLOOKUP($S$1106,'TAR FIN'!$A$1:$O$115,15,0))</f>
        <v>0</v>
      </c>
      <c r="W1106" s="6">
        <f>IF(ISERROR(VLOOKUP($T$1106,'TAR FIN'!$A$1:$O$115,15,0)),0,VLOOKUP($T$1106,'TAR FIN'!$A$1:$O$115,15,0))</f>
        <v>1215.78</v>
      </c>
      <c r="X1106" s="6">
        <f>IF(ISERROR(VLOOKUP($U$1106,'TAR FIN'!$A$1:$O$115,15,0)),0,VLOOKUP($U$1106,'TAR FIN'!$A$1:$O$115,15,0))</f>
        <v>270.3</v>
      </c>
      <c r="Y1106" s="6"/>
      <c r="Z1106" s="6">
        <f ca="1">('TUSD BE'!$AM$34+'TUSD BF'!$AM$34+'TUSD CVA'!$AM$34)*1</f>
        <v>1248.7884163269312</v>
      </c>
      <c r="AA1106" s="6">
        <f>('TE BE'!$AB$17+'TE BF'!$AB$17+'TE CVA'!$AB$17)*1</f>
        <v>362.64398683254075</v>
      </c>
      <c r="AB1106" s="6">
        <f>$K$1106*$V$1106</f>
        <v>0</v>
      </c>
      <c r="AC1106" s="6">
        <f>$M$1106*$W$1106</f>
        <v>5557.3303799999994</v>
      </c>
      <c r="AD1106" s="6">
        <f>$O$1106*$X$1106</f>
        <v>1235.5413000000001</v>
      </c>
      <c r="AE1106" s="6">
        <f>$K$1106*$Y$1106</f>
        <v>0</v>
      </c>
      <c r="AF1106" s="6">
        <f ca="1">$M$1106*$Z$1106</f>
        <v>5708.2118510304017</v>
      </c>
      <c r="AG1106" s="6">
        <f>$O$1106*$AA$1106</f>
        <v>1657.6456638115437</v>
      </c>
    </row>
    <row r="1107" spans="1:33" ht="11.25" customHeight="1" x14ac:dyDescent="0.25">
      <c r="A1107" s="4" t="s">
        <v>59</v>
      </c>
      <c r="B1107" s="4" t="s">
        <v>22</v>
      </c>
      <c r="C1107" s="4" t="s">
        <v>35</v>
      </c>
      <c r="D1107" s="4" t="s">
        <v>24</v>
      </c>
      <c r="E1107" s="4" t="s">
        <v>24</v>
      </c>
      <c r="F1107" s="4" t="s">
        <v>25</v>
      </c>
      <c r="G1107" s="4" t="s">
        <v>25</v>
      </c>
      <c r="H1107" s="4" t="s">
        <v>36</v>
      </c>
      <c r="I1107" s="5">
        <v>44866</v>
      </c>
      <c r="J1107" s="6">
        <v>0</v>
      </c>
      <c r="K1107" s="6">
        <v>0</v>
      </c>
      <c r="L1107" s="6">
        <v>7.6999999999999999E-2</v>
      </c>
      <c r="M1107" s="6">
        <v>7.6999999999999999E-2</v>
      </c>
      <c r="N1107" s="6">
        <v>7.6999999999999999E-2</v>
      </c>
      <c r="O1107" s="6">
        <v>7.6999999999999999E-2</v>
      </c>
      <c r="P1107" s="6">
        <v>0</v>
      </c>
      <c r="Q1107" s="4" t="s">
        <v>26</v>
      </c>
      <c r="R1107" s="4">
        <v>0</v>
      </c>
      <c r="S1107" s="6">
        <v>0</v>
      </c>
      <c r="T1107" s="6">
        <v>36</v>
      </c>
      <c r="U1107" s="6">
        <v>80</v>
      </c>
      <c r="V1107" s="6">
        <f>IF(ISERROR(VLOOKUP($S$1107,'TAR FIN'!$A$1:$O$115,15,0)),0,VLOOKUP($S$1107,'TAR FIN'!$A$1:$O$115,15,0))</f>
        <v>0</v>
      </c>
      <c r="W1107" s="6">
        <f>IF(ISERROR(VLOOKUP($T$1107,'TAR FIN'!$A$1:$O$115,15,0)),0,VLOOKUP($T$1107,'TAR FIN'!$A$1:$O$115,15,0))</f>
        <v>1215.78</v>
      </c>
      <c r="X1107" s="6">
        <f>IF(ISERROR(VLOOKUP($U$1107,'TAR FIN'!$A$1:$O$115,15,0)),0,VLOOKUP($U$1107,'TAR FIN'!$A$1:$O$115,15,0))</f>
        <v>270.3</v>
      </c>
      <c r="Y1107" s="6"/>
      <c r="Z1107" s="6">
        <f ca="1">('TUSD BE'!$AM$34+'TUSD BF'!$AM$34+'TUSD CVA'!$AM$34)*1</f>
        <v>1248.7884163269312</v>
      </c>
      <c r="AA1107" s="6">
        <f>('TE BE'!$AB$17+'TE BF'!$AB$17+'TE CVA'!$AB$17)*1</f>
        <v>362.64398683254075</v>
      </c>
      <c r="AB1107" s="6">
        <f>$K$1107*$V$1107</f>
        <v>0</v>
      </c>
      <c r="AC1107" s="6">
        <f>$M$1107*$W$1107</f>
        <v>93.61506</v>
      </c>
      <c r="AD1107" s="6">
        <f>$O$1107*$X$1107</f>
        <v>20.813100000000002</v>
      </c>
      <c r="AE1107" s="6">
        <f>$K$1107*$Y$1107</f>
        <v>0</v>
      </c>
      <c r="AF1107" s="6">
        <f ca="1">$M$1107*$Z$1107</f>
        <v>96.156708057173702</v>
      </c>
      <c r="AG1107" s="6">
        <f>$O$1107*$AA$1107</f>
        <v>27.923586986105636</v>
      </c>
    </row>
    <row r="1108" spans="1:33" ht="11.25" customHeight="1" x14ac:dyDescent="0.25">
      <c r="A1108" s="4" t="s">
        <v>59</v>
      </c>
      <c r="B1108" s="4" t="s">
        <v>22</v>
      </c>
      <c r="C1108" s="4" t="s">
        <v>35</v>
      </c>
      <c r="D1108" s="4" t="s">
        <v>24</v>
      </c>
      <c r="E1108" s="4" t="s">
        <v>24</v>
      </c>
      <c r="F1108" s="4" t="s">
        <v>25</v>
      </c>
      <c r="G1108" s="4" t="s">
        <v>25</v>
      </c>
      <c r="H1108" s="4" t="s">
        <v>36</v>
      </c>
      <c r="I1108" s="5">
        <v>44866</v>
      </c>
      <c r="J1108" s="6">
        <v>0</v>
      </c>
      <c r="K1108" s="6">
        <v>0</v>
      </c>
      <c r="L1108" s="6">
        <v>0.09</v>
      </c>
      <c r="M1108" s="6">
        <v>0.09</v>
      </c>
      <c r="N1108" s="6">
        <v>0.09</v>
      </c>
      <c r="O1108" s="6">
        <v>0.09</v>
      </c>
      <c r="P1108" s="6">
        <v>0</v>
      </c>
      <c r="Q1108" s="4" t="s">
        <v>26</v>
      </c>
      <c r="R1108" s="4">
        <v>0</v>
      </c>
      <c r="S1108" s="6">
        <v>0</v>
      </c>
      <c r="T1108" s="6">
        <v>36</v>
      </c>
      <c r="U1108" s="6">
        <v>80</v>
      </c>
      <c r="V1108" s="6">
        <f>IF(ISERROR(VLOOKUP($S$1108,'TAR FIN'!$A$1:$O$115,15,0)),0,VLOOKUP($S$1108,'TAR FIN'!$A$1:$O$115,15,0))</f>
        <v>0</v>
      </c>
      <c r="W1108" s="6">
        <f>IF(ISERROR(VLOOKUP($T$1108,'TAR FIN'!$A$1:$O$115,15,0)),0,VLOOKUP($T$1108,'TAR FIN'!$A$1:$O$115,15,0))</f>
        <v>1215.78</v>
      </c>
      <c r="X1108" s="6">
        <f>IF(ISERROR(VLOOKUP($U$1108,'TAR FIN'!$A$1:$O$115,15,0)),0,VLOOKUP($U$1108,'TAR FIN'!$A$1:$O$115,15,0))</f>
        <v>270.3</v>
      </c>
      <c r="Y1108" s="6"/>
      <c r="Z1108" s="6">
        <f ca="1">('TUSD BE'!$AM$34+'TUSD BF'!$AM$34+'TUSD CVA'!$AM$34)*1</f>
        <v>1248.7884163269312</v>
      </c>
      <c r="AA1108" s="6">
        <f>('TE BE'!$AB$17+'TE BF'!$AB$17+'TE CVA'!$AB$17)*1</f>
        <v>362.64398683254075</v>
      </c>
      <c r="AB1108" s="6">
        <f>$K$1108*$V$1108</f>
        <v>0</v>
      </c>
      <c r="AC1108" s="6">
        <f>$M$1108*$W$1108</f>
        <v>109.42019999999999</v>
      </c>
      <c r="AD1108" s="6">
        <f>$O$1108*$X$1108</f>
        <v>24.327000000000002</v>
      </c>
      <c r="AE1108" s="6">
        <f>$K$1108*$Y$1108</f>
        <v>0</v>
      </c>
      <c r="AF1108" s="6">
        <f ca="1">$M$1108*$Z$1108</f>
        <v>112.3909574694238</v>
      </c>
      <c r="AG1108" s="6">
        <f>$O$1108*$AA$1108</f>
        <v>32.637958814928666</v>
      </c>
    </row>
    <row r="1109" spans="1:33" ht="11.25" customHeight="1" x14ac:dyDescent="0.25">
      <c r="A1109" s="4" t="s">
        <v>59</v>
      </c>
      <c r="B1109" s="4" t="s">
        <v>22</v>
      </c>
      <c r="C1109" s="4" t="s">
        <v>35</v>
      </c>
      <c r="D1109" s="4" t="s">
        <v>24</v>
      </c>
      <c r="E1109" s="4" t="s">
        <v>24</v>
      </c>
      <c r="F1109" s="4" t="s">
        <v>25</v>
      </c>
      <c r="G1109" s="4" t="s">
        <v>25</v>
      </c>
      <c r="H1109" s="4" t="s">
        <v>36</v>
      </c>
      <c r="I1109" s="5">
        <v>44866</v>
      </c>
      <c r="J1109" s="6">
        <v>0</v>
      </c>
      <c r="K1109" s="6">
        <v>0</v>
      </c>
      <c r="L1109" s="6">
        <v>-0.01</v>
      </c>
      <c r="M1109" s="6">
        <v>-0.01</v>
      </c>
      <c r="N1109" s="6">
        <v>-0.01</v>
      </c>
      <c r="O1109" s="6">
        <v>-0.01</v>
      </c>
      <c r="P1109" s="6">
        <v>0</v>
      </c>
      <c r="Q1109" s="4" t="s">
        <v>26</v>
      </c>
      <c r="R1109" s="4">
        <v>0</v>
      </c>
      <c r="S1109" s="6">
        <v>0</v>
      </c>
      <c r="T1109" s="6">
        <v>36</v>
      </c>
      <c r="U1109" s="6">
        <v>80</v>
      </c>
      <c r="V1109" s="6">
        <f>IF(ISERROR(VLOOKUP($S$1109,'TAR FIN'!$A$1:$O$115,15,0)),0,VLOOKUP($S$1109,'TAR FIN'!$A$1:$O$115,15,0))</f>
        <v>0</v>
      </c>
      <c r="W1109" s="6">
        <f>IF(ISERROR(VLOOKUP($T$1109,'TAR FIN'!$A$1:$O$115,15,0)),0,VLOOKUP($T$1109,'TAR FIN'!$A$1:$O$115,15,0))</f>
        <v>1215.78</v>
      </c>
      <c r="X1109" s="6">
        <f>IF(ISERROR(VLOOKUP($U$1109,'TAR FIN'!$A$1:$O$115,15,0)),0,VLOOKUP($U$1109,'TAR FIN'!$A$1:$O$115,15,0))</f>
        <v>270.3</v>
      </c>
      <c r="Y1109" s="6"/>
      <c r="Z1109" s="6">
        <f ca="1">('TUSD BE'!$AM$34+'TUSD BF'!$AM$34+'TUSD CVA'!$AM$34)*1</f>
        <v>1248.7884163269312</v>
      </c>
      <c r="AA1109" s="6">
        <f>('TE BE'!$AB$17+'TE BF'!$AB$17+'TE CVA'!$AB$17)*1</f>
        <v>362.64398683254075</v>
      </c>
      <c r="AB1109" s="6">
        <f>$K$1109*$V$1109</f>
        <v>0</v>
      </c>
      <c r="AC1109" s="6">
        <f>$M$1109*$W$1109</f>
        <v>-12.1578</v>
      </c>
      <c r="AD1109" s="6">
        <f>$O$1109*$X$1109</f>
        <v>-2.7030000000000003</v>
      </c>
      <c r="AE1109" s="6">
        <f>$K$1109*$Y$1109</f>
        <v>0</v>
      </c>
      <c r="AF1109" s="6">
        <f ca="1">$M$1109*$Z$1109</f>
        <v>-12.487884163269312</v>
      </c>
      <c r="AG1109" s="6">
        <f>$O$1109*$AA$1109</f>
        <v>-3.6264398683254075</v>
      </c>
    </row>
    <row r="1110" spans="1:33" ht="11.25" customHeight="1" x14ac:dyDescent="0.25">
      <c r="A1110" s="4" t="s">
        <v>21</v>
      </c>
      <c r="B1110" s="4" t="s">
        <v>22</v>
      </c>
      <c r="C1110" s="4" t="s">
        <v>23</v>
      </c>
      <c r="D1110" s="4" t="s">
        <v>24</v>
      </c>
      <c r="E1110" s="4" t="s">
        <v>24</v>
      </c>
      <c r="F1110" s="4" t="s">
        <v>25</v>
      </c>
      <c r="G1110" s="4" t="s">
        <v>25</v>
      </c>
      <c r="H1110" s="4" t="s">
        <v>25</v>
      </c>
      <c r="I1110" s="5">
        <v>44531</v>
      </c>
      <c r="J1110" s="6">
        <v>0</v>
      </c>
      <c r="K1110" s="6">
        <v>0</v>
      </c>
      <c r="L1110" s="6">
        <v>30655.42</v>
      </c>
      <c r="M1110" s="6">
        <v>30655.42</v>
      </c>
      <c r="N1110" s="6">
        <v>30655.42</v>
      </c>
      <c r="O1110" s="6">
        <v>30655.42</v>
      </c>
      <c r="P1110" s="6">
        <v>133989</v>
      </c>
      <c r="Q1110" s="4" t="s">
        <v>26</v>
      </c>
      <c r="R1110" s="4">
        <v>0</v>
      </c>
      <c r="S1110" s="6">
        <v>0</v>
      </c>
      <c r="T1110" s="6">
        <v>39</v>
      </c>
      <c r="U1110" s="6">
        <v>83</v>
      </c>
      <c r="V1110" s="6">
        <f>IF(ISERROR(VLOOKUP($S$1110,'TAR FIN'!$A$1:$O$115,15,0)),0,VLOOKUP($S$1110,'TAR FIN'!$A$1:$O$115,15,0))</f>
        <v>0</v>
      </c>
      <c r="W1110" s="6">
        <f>IF(ISERROR(VLOOKUP($T$1110,'TAR FIN'!$A$1:$O$115,15,0)),0,VLOOKUP($T$1110,'TAR FIN'!$A$1:$O$115,15,0))</f>
        <v>463.6</v>
      </c>
      <c r="X1110" s="6">
        <f>IF(ISERROR(VLOOKUP($U$1110,'TAR FIN'!$A$1:$O$115,15,0)),0,VLOOKUP($U$1110,'TAR FIN'!$A$1:$O$115,15,0))</f>
        <v>176.58</v>
      </c>
      <c r="Y1110" s="6"/>
      <c r="Z1110" s="6">
        <f ca="1">('TUSD BE'!$AM$37+'TUSD BF'!$AM$37+'TUSD CVA'!$AM$37)*1</f>
        <v>502.21976924570083</v>
      </c>
      <c r="AA1110" s="6">
        <f>('TE BE'!$AB$20+'TE BF'!$AB$20+'TE CVA'!$AB$20)*1</f>
        <v>230.68197444058345</v>
      </c>
      <c r="AB1110" s="6">
        <f>$K$1110*$V$1110</f>
        <v>0</v>
      </c>
      <c r="AC1110" s="6">
        <f>$M$1110*$W$1110</f>
        <v>14211852.711999999</v>
      </c>
      <c r="AD1110" s="6">
        <f>$O$1110*$X$1110</f>
        <v>5413134.0636</v>
      </c>
      <c r="AE1110" s="6">
        <f>$K$1110*$Y$1110</f>
        <v>0</v>
      </c>
      <c r="AF1110" s="6">
        <f ca="1">$M$1110*$Z$1110</f>
        <v>15395757.95853004</v>
      </c>
      <c r="AG1110" s="6">
        <f>$O$1110*$AA$1110</f>
        <v>7071652.8129053498</v>
      </c>
    </row>
    <row r="1111" spans="1:33" ht="11.25" customHeight="1" x14ac:dyDescent="0.25">
      <c r="A1111" s="4" t="s">
        <v>27</v>
      </c>
      <c r="B1111" s="4" t="s">
        <v>22</v>
      </c>
      <c r="C1111" s="4" t="s">
        <v>23</v>
      </c>
      <c r="D1111" s="4" t="s">
        <v>24</v>
      </c>
      <c r="E1111" s="4" t="s">
        <v>24</v>
      </c>
      <c r="F1111" s="4" t="s">
        <v>25</v>
      </c>
      <c r="G1111" s="4" t="s">
        <v>25</v>
      </c>
      <c r="H1111" s="4" t="s">
        <v>25</v>
      </c>
      <c r="I1111" s="5">
        <v>44531</v>
      </c>
      <c r="J1111" s="6">
        <v>0</v>
      </c>
      <c r="K1111" s="6">
        <v>0</v>
      </c>
      <c r="L1111" s="6">
        <v>-413.428</v>
      </c>
      <c r="M1111" s="6">
        <v>-413.428</v>
      </c>
      <c r="N1111" s="6">
        <v>-413.428</v>
      </c>
      <c r="O1111" s="6">
        <v>-413.428</v>
      </c>
      <c r="P1111" s="6">
        <v>-230</v>
      </c>
      <c r="Q1111" s="4" t="s">
        <v>26</v>
      </c>
      <c r="R1111" s="4">
        <v>0</v>
      </c>
      <c r="S1111" s="6">
        <v>0</v>
      </c>
      <c r="T1111" s="6">
        <v>39</v>
      </c>
      <c r="U1111" s="6">
        <v>83</v>
      </c>
      <c r="V1111" s="6">
        <f>IF(ISERROR(VLOOKUP($S$1111,'TAR FIN'!$A$1:$O$115,15,0)),0,VLOOKUP($S$1111,'TAR FIN'!$A$1:$O$115,15,0))</f>
        <v>0</v>
      </c>
      <c r="W1111" s="6">
        <f>IF(ISERROR(VLOOKUP($T$1111,'TAR FIN'!$A$1:$O$115,15,0)),0,VLOOKUP($T$1111,'TAR FIN'!$A$1:$O$115,15,0))</f>
        <v>463.6</v>
      </c>
      <c r="X1111" s="6">
        <f>IF(ISERROR(VLOOKUP($U$1111,'TAR FIN'!$A$1:$O$115,15,0)),0,VLOOKUP($U$1111,'TAR FIN'!$A$1:$O$115,15,0))</f>
        <v>176.58</v>
      </c>
      <c r="Y1111" s="6"/>
      <c r="Z1111" s="6">
        <f ca="1">('TUSD BE'!$AM$37+'TUSD BF'!$AM$37+'TUSD CVA'!$AM$37)*1</f>
        <v>502.21976924570083</v>
      </c>
      <c r="AA1111" s="6">
        <f>('TE BE'!$AB$20+'TE BF'!$AB$20+'TE CVA'!$AB$20)*1</f>
        <v>230.68197444058345</v>
      </c>
      <c r="AB1111" s="6">
        <f>$K$1111*$V$1111</f>
        <v>0</v>
      </c>
      <c r="AC1111" s="6">
        <f>$M$1111*$W$1111</f>
        <v>-191665.22080000001</v>
      </c>
      <c r="AD1111" s="6">
        <f>$O$1111*$X$1111</f>
        <v>-73003.116240000003</v>
      </c>
      <c r="AE1111" s="6">
        <f>$K$1111*$Y$1111</f>
        <v>0</v>
      </c>
      <c r="AF1111" s="6">
        <f ca="1">$M$1111*$Z$1111</f>
        <v>-207631.71475971161</v>
      </c>
      <c r="AG1111" s="6">
        <f>$O$1111*$AA$1111</f>
        <v>-95370.387329021527</v>
      </c>
    </row>
    <row r="1112" spans="1:33" ht="11.25" customHeight="1" x14ac:dyDescent="0.25">
      <c r="A1112" s="4" t="s">
        <v>28</v>
      </c>
      <c r="B1112" s="4" t="s">
        <v>22</v>
      </c>
      <c r="C1112" s="4" t="s">
        <v>23</v>
      </c>
      <c r="D1112" s="4" t="s">
        <v>24</v>
      </c>
      <c r="E1112" s="4" t="s">
        <v>24</v>
      </c>
      <c r="F1112" s="4" t="s">
        <v>25</v>
      </c>
      <c r="G1112" s="4" t="s">
        <v>25</v>
      </c>
      <c r="H1112" s="4" t="s">
        <v>25</v>
      </c>
      <c r="I1112" s="5">
        <v>44531</v>
      </c>
      <c r="J1112" s="6">
        <v>0</v>
      </c>
      <c r="K1112" s="6">
        <v>0</v>
      </c>
      <c r="L1112" s="6">
        <v>6382.9449999999997</v>
      </c>
      <c r="M1112" s="6">
        <v>6382.9449999999997</v>
      </c>
      <c r="N1112" s="6">
        <v>6382.9449999999997</v>
      </c>
      <c r="O1112" s="6">
        <v>6382.9449999999997</v>
      </c>
      <c r="P1112" s="6">
        <v>34548</v>
      </c>
      <c r="Q1112" s="4" t="s">
        <v>26</v>
      </c>
      <c r="R1112" s="4">
        <v>0</v>
      </c>
      <c r="S1112" s="6">
        <v>0</v>
      </c>
      <c r="T1112" s="6">
        <v>39</v>
      </c>
      <c r="U1112" s="6">
        <v>83</v>
      </c>
      <c r="V1112" s="6">
        <f>IF(ISERROR(VLOOKUP($S$1112,'TAR FIN'!$A$1:$O$115,15,0)),0,VLOOKUP($S$1112,'TAR FIN'!$A$1:$O$115,15,0))</f>
        <v>0</v>
      </c>
      <c r="W1112" s="6">
        <f>IF(ISERROR(VLOOKUP($T$1112,'TAR FIN'!$A$1:$O$115,15,0)),0,VLOOKUP($T$1112,'TAR FIN'!$A$1:$O$115,15,0))</f>
        <v>463.6</v>
      </c>
      <c r="X1112" s="6">
        <f>IF(ISERROR(VLOOKUP($U$1112,'TAR FIN'!$A$1:$O$115,15,0)),0,VLOOKUP($U$1112,'TAR FIN'!$A$1:$O$115,15,0))</f>
        <v>176.58</v>
      </c>
      <c r="Y1112" s="6"/>
      <c r="Z1112" s="6">
        <f ca="1">('TUSD BE'!$AM$37+'TUSD BF'!$AM$37+'TUSD CVA'!$AM$37)*1</f>
        <v>502.21976924570083</v>
      </c>
      <c r="AA1112" s="6">
        <f>('TE BE'!$AB$20+'TE BF'!$AB$20+'TE CVA'!$AB$20)*1</f>
        <v>230.68197444058345</v>
      </c>
      <c r="AB1112" s="6">
        <f>$K$1112*$V$1112</f>
        <v>0</v>
      </c>
      <c r="AC1112" s="6">
        <f>$M$1112*$W$1112</f>
        <v>2959133.3020000001</v>
      </c>
      <c r="AD1112" s="6">
        <f>$O$1112*$X$1112</f>
        <v>1127100.4281000001</v>
      </c>
      <c r="AE1112" s="6">
        <f>$K$1112*$Y$1112</f>
        <v>0</v>
      </c>
      <c r="AF1112" s="6">
        <f ca="1">$M$1112*$Z$1112</f>
        <v>3205641.1650079996</v>
      </c>
      <c r="AG1112" s="6">
        <f>$O$1112*$AA$1112</f>
        <v>1472430.3553456499</v>
      </c>
    </row>
    <row r="1113" spans="1:33" ht="11.25" customHeight="1" x14ac:dyDescent="0.25">
      <c r="A1113" s="4" t="s">
        <v>29</v>
      </c>
      <c r="B1113" s="4" t="s">
        <v>22</v>
      </c>
      <c r="C1113" s="4" t="s">
        <v>23</v>
      </c>
      <c r="D1113" s="4" t="s">
        <v>24</v>
      </c>
      <c r="E1113" s="4" t="s">
        <v>24</v>
      </c>
      <c r="F1113" s="4" t="s">
        <v>25</v>
      </c>
      <c r="G1113" s="4" t="s">
        <v>25</v>
      </c>
      <c r="H1113" s="4" t="s">
        <v>25</v>
      </c>
      <c r="I1113" s="5">
        <v>44531</v>
      </c>
      <c r="J1113" s="6">
        <v>0</v>
      </c>
      <c r="K1113" s="6">
        <v>0</v>
      </c>
      <c r="L1113" s="6">
        <v>-6.4370000000000003</v>
      </c>
      <c r="M1113" s="6">
        <v>-6.4370000000000003</v>
      </c>
      <c r="N1113" s="6">
        <v>-6.4370000000000003</v>
      </c>
      <c r="O1113" s="6">
        <v>-6.4370000000000003</v>
      </c>
      <c r="P1113" s="6">
        <v>-23</v>
      </c>
      <c r="Q1113" s="4" t="s">
        <v>26</v>
      </c>
      <c r="R1113" s="4">
        <v>0</v>
      </c>
      <c r="S1113" s="6">
        <v>0</v>
      </c>
      <c r="T1113" s="6">
        <v>39</v>
      </c>
      <c r="U1113" s="6">
        <v>83</v>
      </c>
      <c r="V1113" s="6">
        <f>IF(ISERROR(VLOOKUP($S$1113,'TAR FIN'!$A$1:$O$115,15,0)),0,VLOOKUP($S$1113,'TAR FIN'!$A$1:$O$115,15,0))</f>
        <v>0</v>
      </c>
      <c r="W1113" s="6">
        <f>IF(ISERROR(VLOOKUP($T$1113,'TAR FIN'!$A$1:$O$115,15,0)),0,VLOOKUP($T$1113,'TAR FIN'!$A$1:$O$115,15,0))</f>
        <v>463.6</v>
      </c>
      <c r="X1113" s="6">
        <f>IF(ISERROR(VLOOKUP($U$1113,'TAR FIN'!$A$1:$O$115,15,0)),0,VLOOKUP($U$1113,'TAR FIN'!$A$1:$O$115,15,0))</f>
        <v>176.58</v>
      </c>
      <c r="Y1113" s="6"/>
      <c r="Z1113" s="6">
        <f ca="1">('TUSD BE'!$AM$37+'TUSD BF'!$AM$37+'TUSD CVA'!$AM$37)*1</f>
        <v>502.21976924570083</v>
      </c>
      <c r="AA1113" s="6">
        <f>('TE BE'!$AB$20+'TE BF'!$AB$20+'TE CVA'!$AB$20)*1</f>
        <v>230.68197444058345</v>
      </c>
      <c r="AB1113" s="6">
        <f>$K$1113*$V$1113</f>
        <v>0</v>
      </c>
      <c r="AC1113" s="6">
        <f>$M$1113*$W$1113</f>
        <v>-2984.1932000000002</v>
      </c>
      <c r="AD1113" s="6">
        <f>$O$1113*$X$1113</f>
        <v>-1136.6454600000002</v>
      </c>
      <c r="AE1113" s="6">
        <f>$K$1113*$Y$1113</f>
        <v>0</v>
      </c>
      <c r="AF1113" s="6">
        <f ca="1">$M$1113*$Z$1113</f>
        <v>-3232.7886546345762</v>
      </c>
      <c r="AG1113" s="6">
        <f>$O$1113*$AA$1113</f>
        <v>-1484.8998694740358</v>
      </c>
    </row>
    <row r="1114" spans="1:33" ht="11.25" customHeight="1" x14ac:dyDescent="0.25">
      <c r="A1114" s="4" t="s">
        <v>30</v>
      </c>
      <c r="B1114" s="4" t="s">
        <v>22</v>
      </c>
      <c r="C1114" s="4" t="s">
        <v>23</v>
      </c>
      <c r="D1114" s="4" t="s">
        <v>24</v>
      </c>
      <c r="E1114" s="4" t="s">
        <v>24</v>
      </c>
      <c r="F1114" s="4" t="s">
        <v>25</v>
      </c>
      <c r="G1114" s="4" t="s">
        <v>25</v>
      </c>
      <c r="H1114" s="4" t="s">
        <v>25</v>
      </c>
      <c r="I1114" s="5">
        <v>44531</v>
      </c>
      <c r="J1114" s="6">
        <v>0</v>
      </c>
      <c r="K1114" s="6">
        <v>0</v>
      </c>
      <c r="L1114" s="6">
        <v>418.59699999999998</v>
      </c>
      <c r="M1114" s="6">
        <v>418.59699999999998</v>
      </c>
      <c r="N1114" s="6">
        <v>418.59699999999998</v>
      </c>
      <c r="O1114" s="6">
        <v>418.59699999999998</v>
      </c>
      <c r="P1114" s="6">
        <v>1994</v>
      </c>
      <c r="Q1114" s="4" t="s">
        <v>26</v>
      </c>
      <c r="R1114" s="4">
        <v>0</v>
      </c>
      <c r="S1114" s="6">
        <v>0</v>
      </c>
      <c r="T1114" s="6">
        <v>39</v>
      </c>
      <c r="U1114" s="6">
        <v>83</v>
      </c>
      <c r="V1114" s="6">
        <f>IF(ISERROR(VLOOKUP($S$1114,'TAR FIN'!$A$1:$O$115,15,0)),0,VLOOKUP($S$1114,'TAR FIN'!$A$1:$O$115,15,0))</f>
        <v>0</v>
      </c>
      <c r="W1114" s="6">
        <f>IF(ISERROR(VLOOKUP($T$1114,'TAR FIN'!$A$1:$O$115,15,0)),0,VLOOKUP($T$1114,'TAR FIN'!$A$1:$O$115,15,0))</f>
        <v>463.6</v>
      </c>
      <c r="X1114" s="6">
        <f>IF(ISERROR(VLOOKUP($U$1114,'TAR FIN'!$A$1:$O$115,15,0)),0,VLOOKUP($U$1114,'TAR FIN'!$A$1:$O$115,15,0))</f>
        <v>176.58</v>
      </c>
      <c r="Y1114" s="6"/>
      <c r="Z1114" s="6">
        <f ca="1">('TUSD BE'!$AM$37+'TUSD BF'!$AM$37+'TUSD CVA'!$AM$37)*1</f>
        <v>502.21976924570083</v>
      </c>
      <c r="AA1114" s="6">
        <f>('TE BE'!$AB$20+'TE BF'!$AB$20+'TE CVA'!$AB$20)*1</f>
        <v>230.68197444058345</v>
      </c>
      <c r="AB1114" s="6">
        <f>$K$1114*$V$1114</f>
        <v>0</v>
      </c>
      <c r="AC1114" s="6">
        <f>$M$1114*$W$1114</f>
        <v>194061.5692</v>
      </c>
      <c r="AD1114" s="6">
        <f>$O$1114*$X$1114</f>
        <v>73915.858260000008</v>
      </c>
      <c r="AE1114" s="6">
        <f>$K$1114*$Y$1114</f>
        <v>0</v>
      </c>
      <c r="AF1114" s="6">
        <f ca="1">$M$1114*$Z$1114</f>
        <v>210227.68874694261</v>
      </c>
      <c r="AG1114" s="6">
        <f>$O$1114*$AA$1114</f>
        <v>96562.782454904911</v>
      </c>
    </row>
    <row r="1115" spans="1:33" ht="11.25" customHeight="1" x14ac:dyDescent="0.25">
      <c r="A1115" s="4" t="s">
        <v>30</v>
      </c>
      <c r="B1115" s="4" t="s">
        <v>22</v>
      </c>
      <c r="C1115" s="4" t="s">
        <v>23</v>
      </c>
      <c r="D1115" s="4" t="s">
        <v>24</v>
      </c>
      <c r="E1115" s="4" t="s">
        <v>24</v>
      </c>
      <c r="F1115" s="4" t="s">
        <v>25</v>
      </c>
      <c r="G1115" s="4" t="s">
        <v>25</v>
      </c>
      <c r="H1115" s="4" t="s">
        <v>25</v>
      </c>
      <c r="I1115" s="5">
        <v>44531</v>
      </c>
      <c r="J1115" s="6">
        <v>0</v>
      </c>
      <c r="K1115" s="6">
        <v>0</v>
      </c>
      <c r="L1115" s="6">
        <v>-1.048</v>
      </c>
      <c r="M1115" s="6">
        <v>-1.048</v>
      </c>
      <c r="N1115" s="6">
        <v>-1.048</v>
      </c>
      <c r="O1115" s="6">
        <v>-1.048</v>
      </c>
      <c r="P1115" s="6">
        <v>1</v>
      </c>
      <c r="Q1115" s="4" t="s">
        <v>26</v>
      </c>
      <c r="R1115" s="4">
        <v>0</v>
      </c>
      <c r="S1115" s="6">
        <v>0</v>
      </c>
      <c r="T1115" s="6">
        <v>39</v>
      </c>
      <c r="U1115" s="6">
        <v>83</v>
      </c>
      <c r="V1115" s="6">
        <f>IF(ISERROR(VLOOKUP($S$1115,'TAR FIN'!$A$1:$O$115,15,0)),0,VLOOKUP($S$1115,'TAR FIN'!$A$1:$O$115,15,0))</f>
        <v>0</v>
      </c>
      <c r="W1115" s="6">
        <f>IF(ISERROR(VLOOKUP($T$1115,'TAR FIN'!$A$1:$O$115,15,0)),0,VLOOKUP($T$1115,'TAR FIN'!$A$1:$O$115,15,0))</f>
        <v>463.6</v>
      </c>
      <c r="X1115" s="6">
        <f>IF(ISERROR(VLOOKUP($U$1115,'TAR FIN'!$A$1:$O$115,15,0)),0,VLOOKUP($U$1115,'TAR FIN'!$A$1:$O$115,15,0))</f>
        <v>176.58</v>
      </c>
      <c r="Y1115" s="6"/>
      <c r="Z1115" s="6">
        <f ca="1">('TUSD BE'!$AM$37+'TUSD BF'!$AM$37+'TUSD CVA'!$AM$37)*1</f>
        <v>502.21976924570083</v>
      </c>
      <c r="AA1115" s="6">
        <f>('TE BE'!$AB$20+'TE BF'!$AB$20+'TE CVA'!$AB$20)*1</f>
        <v>230.68197444058345</v>
      </c>
      <c r="AB1115" s="6">
        <f>$K$1115*$V$1115</f>
        <v>0</v>
      </c>
      <c r="AC1115" s="6">
        <f>$M$1115*$W$1115</f>
        <v>-485.85280000000006</v>
      </c>
      <c r="AD1115" s="6">
        <f>$O$1115*$X$1115</f>
        <v>-185.05584000000002</v>
      </c>
      <c r="AE1115" s="6">
        <f>$K$1115*$Y$1115</f>
        <v>0</v>
      </c>
      <c r="AF1115" s="6">
        <f ca="1">$M$1115*$Z$1115</f>
        <v>-526.32631816949447</v>
      </c>
      <c r="AG1115" s="6">
        <f>$O$1115*$AA$1115</f>
        <v>-241.75470921373147</v>
      </c>
    </row>
    <row r="1116" spans="1:33" ht="11.25" customHeight="1" x14ac:dyDescent="0.25">
      <c r="A1116" s="4" t="s">
        <v>21</v>
      </c>
      <c r="B1116" s="4" t="s">
        <v>22</v>
      </c>
      <c r="C1116" s="4" t="s">
        <v>23</v>
      </c>
      <c r="D1116" s="4" t="s">
        <v>24</v>
      </c>
      <c r="E1116" s="4" t="s">
        <v>24</v>
      </c>
      <c r="F1116" s="4" t="s">
        <v>25</v>
      </c>
      <c r="G1116" s="4" t="s">
        <v>25</v>
      </c>
      <c r="H1116" s="4" t="s">
        <v>25</v>
      </c>
      <c r="I1116" s="5">
        <v>44562</v>
      </c>
      <c r="J1116" s="6">
        <v>0</v>
      </c>
      <c r="K1116" s="6">
        <v>0</v>
      </c>
      <c r="L1116" s="6">
        <v>30760.47</v>
      </c>
      <c r="M1116" s="6">
        <v>30760.47</v>
      </c>
      <c r="N1116" s="6">
        <v>30760.47</v>
      </c>
      <c r="O1116" s="6">
        <v>30760.47</v>
      </c>
      <c r="P1116" s="6">
        <v>133493</v>
      </c>
      <c r="Q1116" s="4" t="s">
        <v>26</v>
      </c>
      <c r="R1116" s="4">
        <v>0</v>
      </c>
      <c r="S1116" s="6">
        <v>0</v>
      </c>
      <c r="T1116" s="6">
        <v>39</v>
      </c>
      <c r="U1116" s="6">
        <v>83</v>
      </c>
      <c r="V1116" s="6">
        <f>IF(ISERROR(VLOOKUP($S$1116,'TAR FIN'!$A$1:$O$115,15,0)),0,VLOOKUP($S$1116,'TAR FIN'!$A$1:$O$115,15,0))</f>
        <v>0</v>
      </c>
      <c r="W1116" s="6">
        <f>IF(ISERROR(VLOOKUP($T$1116,'TAR FIN'!$A$1:$O$115,15,0)),0,VLOOKUP($T$1116,'TAR FIN'!$A$1:$O$115,15,0))</f>
        <v>463.6</v>
      </c>
      <c r="X1116" s="6">
        <f>IF(ISERROR(VLOOKUP($U$1116,'TAR FIN'!$A$1:$O$115,15,0)),0,VLOOKUP($U$1116,'TAR FIN'!$A$1:$O$115,15,0))</f>
        <v>176.58</v>
      </c>
      <c r="Y1116" s="6"/>
      <c r="Z1116" s="6">
        <f ca="1">('TUSD BE'!$AM$37+'TUSD BF'!$AM$37+'TUSD CVA'!$AM$37)*1</f>
        <v>502.21976924570083</v>
      </c>
      <c r="AA1116" s="6">
        <f>('TE BE'!$AB$20+'TE BF'!$AB$20+'TE CVA'!$AB$20)*1</f>
        <v>230.68197444058345</v>
      </c>
      <c r="AB1116" s="6">
        <f>$K$1116*$V$1116</f>
        <v>0</v>
      </c>
      <c r="AC1116" s="6">
        <f>$M$1116*$W$1116</f>
        <v>14260553.892000001</v>
      </c>
      <c r="AD1116" s="6">
        <f>$O$1116*$X$1116</f>
        <v>5431683.7926000003</v>
      </c>
      <c r="AE1116" s="6">
        <f>$K$1116*$Y$1116</f>
        <v>0</v>
      </c>
      <c r="AF1116" s="6">
        <f ca="1">$M$1116*$Z$1116</f>
        <v>15448516.145289304</v>
      </c>
      <c r="AG1116" s="6">
        <f>$O$1116*$AA$1116</f>
        <v>7095885.9543203339</v>
      </c>
    </row>
    <row r="1117" spans="1:33" ht="11.25" customHeight="1" x14ac:dyDescent="0.25">
      <c r="A1117" s="4" t="s">
        <v>27</v>
      </c>
      <c r="B1117" s="4" t="s">
        <v>22</v>
      </c>
      <c r="C1117" s="4" t="s">
        <v>23</v>
      </c>
      <c r="D1117" s="4" t="s">
        <v>24</v>
      </c>
      <c r="E1117" s="4" t="s">
        <v>24</v>
      </c>
      <c r="F1117" s="4" t="s">
        <v>25</v>
      </c>
      <c r="G1117" s="4" t="s">
        <v>25</v>
      </c>
      <c r="H1117" s="4" t="s">
        <v>25</v>
      </c>
      <c r="I1117" s="5">
        <v>44562</v>
      </c>
      <c r="J1117" s="6">
        <v>0</v>
      </c>
      <c r="K1117" s="6">
        <v>0</v>
      </c>
      <c r="L1117" s="6">
        <v>-214.81299999999999</v>
      </c>
      <c r="M1117" s="6">
        <v>-214.81299999999999</v>
      </c>
      <c r="N1117" s="6">
        <v>-214.81299999999999</v>
      </c>
      <c r="O1117" s="6">
        <v>-214.81299999999999</v>
      </c>
      <c r="P1117" s="6">
        <v>-87</v>
      </c>
      <c r="Q1117" s="4" t="s">
        <v>26</v>
      </c>
      <c r="R1117" s="4">
        <v>0</v>
      </c>
      <c r="S1117" s="6">
        <v>0</v>
      </c>
      <c r="T1117" s="6">
        <v>39</v>
      </c>
      <c r="U1117" s="6">
        <v>83</v>
      </c>
      <c r="V1117" s="6">
        <f>IF(ISERROR(VLOOKUP($S$1117,'TAR FIN'!$A$1:$O$115,15,0)),0,VLOOKUP($S$1117,'TAR FIN'!$A$1:$O$115,15,0))</f>
        <v>0</v>
      </c>
      <c r="W1117" s="6">
        <f>IF(ISERROR(VLOOKUP($T$1117,'TAR FIN'!$A$1:$O$115,15,0)),0,VLOOKUP($T$1117,'TAR FIN'!$A$1:$O$115,15,0))</f>
        <v>463.6</v>
      </c>
      <c r="X1117" s="6">
        <f>IF(ISERROR(VLOOKUP($U$1117,'TAR FIN'!$A$1:$O$115,15,0)),0,VLOOKUP($U$1117,'TAR FIN'!$A$1:$O$115,15,0))</f>
        <v>176.58</v>
      </c>
      <c r="Y1117" s="6"/>
      <c r="Z1117" s="6">
        <f ca="1">('TUSD BE'!$AM$37+'TUSD BF'!$AM$37+'TUSD CVA'!$AM$37)*1</f>
        <v>502.21976924570083</v>
      </c>
      <c r="AA1117" s="6">
        <f>('TE BE'!$AB$20+'TE BF'!$AB$20+'TE CVA'!$AB$20)*1</f>
        <v>230.68197444058345</v>
      </c>
      <c r="AB1117" s="6">
        <f>$K$1117*$V$1117</f>
        <v>0</v>
      </c>
      <c r="AC1117" s="6">
        <f>$M$1117*$W$1117</f>
        <v>-99587.306800000006</v>
      </c>
      <c r="AD1117" s="6">
        <f>$O$1117*$X$1117</f>
        <v>-37931.679539999997</v>
      </c>
      <c r="AE1117" s="6">
        <f>$K$1117*$Y$1117</f>
        <v>0</v>
      </c>
      <c r="AF1117" s="6">
        <f ca="1">$M$1117*$Z$1117</f>
        <v>-107883.33529097673</v>
      </c>
      <c r="AG1117" s="6">
        <f>$O$1117*$AA$1117</f>
        <v>-49553.486975505046</v>
      </c>
    </row>
    <row r="1118" spans="1:33" ht="11.25" customHeight="1" x14ac:dyDescent="0.25">
      <c r="A1118" s="4" t="s">
        <v>28</v>
      </c>
      <c r="B1118" s="4" t="s">
        <v>22</v>
      </c>
      <c r="C1118" s="4" t="s">
        <v>23</v>
      </c>
      <c r="D1118" s="4" t="s">
        <v>24</v>
      </c>
      <c r="E1118" s="4" t="s">
        <v>24</v>
      </c>
      <c r="F1118" s="4" t="s">
        <v>25</v>
      </c>
      <c r="G1118" s="4" t="s">
        <v>25</v>
      </c>
      <c r="H1118" s="4" t="s">
        <v>25</v>
      </c>
      <c r="I1118" s="5">
        <v>44562</v>
      </c>
      <c r="J1118" s="6">
        <v>0</v>
      </c>
      <c r="K1118" s="6">
        <v>0</v>
      </c>
      <c r="L1118" s="6">
        <v>6518.5770000000002</v>
      </c>
      <c r="M1118" s="6">
        <v>6518.5770000000002</v>
      </c>
      <c r="N1118" s="6">
        <v>6518.5770000000002</v>
      </c>
      <c r="O1118" s="6">
        <v>6518.5770000000002</v>
      </c>
      <c r="P1118" s="6">
        <v>34580</v>
      </c>
      <c r="Q1118" s="4" t="s">
        <v>26</v>
      </c>
      <c r="R1118" s="4">
        <v>0</v>
      </c>
      <c r="S1118" s="6">
        <v>0</v>
      </c>
      <c r="T1118" s="6">
        <v>39</v>
      </c>
      <c r="U1118" s="6">
        <v>83</v>
      </c>
      <c r="V1118" s="6">
        <f>IF(ISERROR(VLOOKUP($S$1118,'TAR FIN'!$A$1:$O$115,15,0)),0,VLOOKUP($S$1118,'TAR FIN'!$A$1:$O$115,15,0))</f>
        <v>0</v>
      </c>
      <c r="W1118" s="6">
        <f>IF(ISERROR(VLOOKUP($T$1118,'TAR FIN'!$A$1:$O$115,15,0)),0,VLOOKUP($T$1118,'TAR FIN'!$A$1:$O$115,15,0))</f>
        <v>463.6</v>
      </c>
      <c r="X1118" s="6">
        <f>IF(ISERROR(VLOOKUP($U$1118,'TAR FIN'!$A$1:$O$115,15,0)),0,VLOOKUP($U$1118,'TAR FIN'!$A$1:$O$115,15,0))</f>
        <v>176.58</v>
      </c>
      <c r="Y1118" s="6"/>
      <c r="Z1118" s="6">
        <f ca="1">('TUSD BE'!$AM$37+'TUSD BF'!$AM$37+'TUSD CVA'!$AM$37)*1</f>
        <v>502.21976924570083</v>
      </c>
      <c r="AA1118" s="6">
        <f>('TE BE'!$AB$20+'TE BF'!$AB$20+'TE CVA'!$AB$20)*1</f>
        <v>230.68197444058345</v>
      </c>
      <c r="AB1118" s="6">
        <f>$K$1118*$V$1118</f>
        <v>0</v>
      </c>
      <c r="AC1118" s="6">
        <f>$M$1118*$W$1118</f>
        <v>3022012.2972000004</v>
      </c>
      <c r="AD1118" s="6">
        <f>$O$1118*$X$1118</f>
        <v>1151050.32666</v>
      </c>
      <c r="AE1118" s="6">
        <f>$K$1118*$Y$1118</f>
        <v>0</v>
      </c>
      <c r="AF1118" s="6">
        <f ca="1">$M$1118*$Z$1118</f>
        <v>3273758.2367503331</v>
      </c>
      <c r="AG1118" s="6">
        <f>$O$1118*$AA$1118</f>
        <v>1503718.2129029753</v>
      </c>
    </row>
    <row r="1119" spans="1:33" ht="11.25" customHeight="1" x14ac:dyDescent="0.25">
      <c r="A1119" s="4" t="s">
        <v>29</v>
      </c>
      <c r="B1119" s="4" t="s">
        <v>22</v>
      </c>
      <c r="C1119" s="4" t="s">
        <v>23</v>
      </c>
      <c r="D1119" s="4" t="s">
        <v>24</v>
      </c>
      <c r="E1119" s="4" t="s">
        <v>24</v>
      </c>
      <c r="F1119" s="4" t="s">
        <v>25</v>
      </c>
      <c r="G1119" s="4" t="s">
        <v>25</v>
      </c>
      <c r="H1119" s="4" t="s">
        <v>25</v>
      </c>
      <c r="I1119" s="5">
        <v>44562</v>
      </c>
      <c r="J1119" s="6">
        <v>0</v>
      </c>
      <c r="K1119" s="6">
        <v>0</v>
      </c>
      <c r="L1119" s="6">
        <v>-27.465</v>
      </c>
      <c r="M1119" s="6">
        <v>-27.465</v>
      </c>
      <c r="N1119" s="6">
        <v>-27.465</v>
      </c>
      <c r="O1119" s="6">
        <v>-27.465</v>
      </c>
      <c r="P1119" s="6">
        <v>-22</v>
      </c>
      <c r="Q1119" s="4" t="s">
        <v>26</v>
      </c>
      <c r="R1119" s="4">
        <v>0</v>
      </c>
      <c r="S1119" s="6">
        <v>0</v>
      </c>
      <c r="T1119" s="6">
        <v>39</v>
      </c>
      <c r="U1119" s="6">
        <v>83</v>
      </c>
      <c r="V1119" s="6">
        <f>IF(ISERROR(VLOOKUP($S$1119,'TAR FIN'!$A$1:$O$115,15,0)),0,VLOOKUP($S$1119,'TAR FIN'!$A$1:$O$115,15,0))</f>
        <v>0</v>
      </c>
      <c r="W1119" s="6">
        <f>IF(ISERROR(VLOOKUP($T$1119,'TAR FIN'!$A$1:$O$115,15,0)),0,VLOOKUP($T$1119,'TAR FIN'!$A$1:$O$115,15,0))</f>
        <v>463.6</v>
      </c>
      <c r="X1119" s="6">
        <f>IF(ISERROR(VLOOKUP($U$1119,'TAR FIN'!$A$1:$O$115,15,0)),0,VLOOKUP($U$1119,'TAR FIN'!$A$1:$O$115,15,0))</f>
        <v>176.58</v>
      </c>
      <c r="Y1119" s="6"/>
      <c r="Z1119" s="6">
        <f ca="1">('TUSD BE'!$AM$37+'TUSD BF'!$AM$37+'TUSD CVA'!$AM$37)*1</f>
        <v>502.21976924570083</v>
      </c>
      <c r="AA1119" s="6">
        <f>('TE BE'!$AB$20+'TE BF'!$AB$20+'TE CVA'!$AB$20)*1</f>
        <v>230.68197444058345</v>
      </c>
      <c r="AB1119" s="6">
        <f>$K$1119*$V$1119</f>
        <v>0</v>
      </c>
      <c r="AC1119" s="6">
        <f>$M$1119*$W$1119</f>
        <v>-12732.774000000001</v>
      </c>
      <c r="AD1119" s="6">
        <f>$O$1119*$X$1119</f>
        <v>-4849.7697000000007</v>
      </c>
      <c r="AE1119" s="6">
        <f>$K$1119*$Y$1119</f>
        <v>0</v>
      </c>
      <c r="AF1119" s="6">
        <f ca="1">$M$1119*$Z$1119</f>
        <v>-13793.465962333174</v>
      </c>
      <c r="AG1119" s="6">
        <f>$O$1119*$AA$1119</f>
        <v>-6335.6804280106244</v>
      </c>
    </row>
    <row r="1120" spans="1:33" ht="11.25" customHeight="1" x14ac:dyDescent="0.25">
      <c r="A1120" s="4" t="s">
        <v>30</v>
      </c>
      <c r="B1120" s="4" t="s">
        <v>22</v>
      </c>
      <c r="C1120" s="4" t="s">
        <v>23</v>
      </c>
      <c r="D1120" s="4" t="s">
        <v>24</v>
      </c>
      <c r="E1120" s="4" t="s">
        <v>24</v>
      </c>
      <c r="F1120" s="4" t="s">
        <v>25</v>
      </c>
      <c r="G1120" s="4" t="s">
        <v>25</v>
      </c>
      <c r="H1120" s="4" t="s">
        <v>25</v>
      </c>
      <c r="I1120" s="5">
        <v>44562</v>
      </c>
      <c r="J1120" s="6">
        <v>0</v>
      </c>
      <c r="K1120" s="6">
        <v>0</v>
      </c>
      <c r="L1120" s="6">
        <v>422.48399999999998</v>
      </c>
      <c r="M1120" s="6">
        <v>422.48399999999998</v>
      </c>
      <c r="N1120" s="6">
        <v>422.48399999999998</v>
      </c>
      <c r="O1120" s="6">
        <v>422.48399999999998</v>
      </c>
      <c r="P1120" s="6">
        <v>2193</v>
      </c>
      <c r="Q1120" s="4" t="s">
        <v>26</v>
      </c>
      <c r="R1120" s="4">
        <v>0</v>
      </c>
      <c r="S1120" s="6">
        <v>0</v>
      </c>
      <c r="T1120" s="6">
        <v>39</v>
      </c>
      <c r="U1120" s="6">
        <v>83</v>
      </c>
      <c r="V1120" s="6">
        <f>IF(ISERROR(VLOOKUP($S$1120,'TAR FIN'!$A$1:$O$115,15,0)),0,VLOOKUP($S$1120,'TAR FIN'!$A$1:$O$115,15,0))</f>
        <v>0</v>
      </c>
      <c r="W1120" s="6">
        <f>IF(ISERROR(VLOOKUP($T$1120,'TAR FIN'!$A$1:$O$115,15,0)),0,VLOOKUP($T$1120,'TAR FIN'!$A$1:$O$115,15,0))</f>
        <v>463.6</v>
      </c>
      <c r="X1120" s="6">
        <f>IF(ISERROR(VLOOKUP($U$1120,'TAR FIN'!$A$1:$O$115,15,0)),0,VLOOKUP($U$1120,'TAR FIN'!$A$1:$O$115,15,0))</f>
        <v>176.58</v>
      </c>
      <c r="Y1120" s="6"/>
      <c r="Z1120" s="6">
        <f ca="1">('TUSD BE'!$AM$37+'TUSD BF'!$AM$37+'TUSD CVA'!$AM$37)*1</f>
        <v>502.21976924570083</v>
      </c>
      <c r="AA1120" s="6">
        <f>('TE BE'!$AB$20+'TE BF'!$AB$20+'TE CVA'!$AB$20)*1</f>
        <v>230.68197444058345</v>
      </c>
      <c r="AB1120" s="6">
        <f>$K$1120*$V$1120</f>
        <v>0</v>
      </c>
      <c r="AC1120" s="6">
        <f>$M$1120*$W$1120</f>
        <v>195863.58240000001</v>
      </c>
      <c r="AD1120" s="6">
        <f>$O$1120*$X$1120</f>
        <v>74602.224719999998</v>
      </c>
      <c r="AE1120" s="6">
        <f>$K$1120*$Y$1120</f>
        <v>0</v>
      </c>
      <c r="AF1120" s="6">
        <f ca="1">$M$1120*$Z$1120</f>
        <v>212179.81699000066</v>
      </c>
      <c r="AG1120" s="6">
        <f>$O$1120*$AA$1120</f>
        <v>97459.443289555449</v>
      </c>
    </row>
    <row r="1121" spans="1:33" ht="11.25" customHeight="1" x14ac:dyDescent="0.25">
      <c r="A1121" s="4" t="s">
        <v>30</v>
      </c>
      <c r="B1121" s="4" t="s">
        <v>22</v>
      </c>
      <c r="C1121" s="4" t="s">
        <v>23</v>
      </c>
      <c r="D1121" s="4" t="s">
        <v>24</v>
      </c>
      <c r="E1121" s="4" t="s">
        <v>24</v>
      </c>
      <c r="F1121" s="4" t="s">
        <v>25</v>
      </c>
      <c r="G1121" s="4" t="s">
        <v>25</v>
      </c>
      <c r="H1121" s="4" t="s">
        <v>25</v>
      </c>
      <c r="I1121" s="5">
        <v>44562</v>
      </c>
      <c r="J1121" s="6">
        <v>0</v>
      </c>
      <c r="K1121" s="6">
        <v>0</v>
      </c>
      <c r="L1121" s="6">
        <v>-3.302</v>
      </c>
      <c r="M1121" s="6">
        <v>-3.302</v>
      </c>
      <c r="N1121" s="6">
        <v>-3.302</v>
      </c>
      <c r="O1121" s="6">
        <v>-3.302</v>
      </c>
      <c r="P1121" s="6">
        <v>0</v>
      </c>
      <c r="Q1121" s="4" t="s">
        <v>26</v>
      </c>
      <c r="R1121" s="4">
        <v>0</v>
      </c>
      <c r="S1121" s="6">
        <v>0</v>
      </c>
      <c r="T1121" s="6">
        <v>39</v>
      </c>
      <c r="U1121" s="6">
        <v>83</v>
      </c>
      <c r="V1121" s="6">
        <f>IF(ISERROR(VLOOKUP($S$1121,'TAR FIN'!$A$1:$O$115,15,0)),0,VLOOKUP($S$1121,'TAR FIN'!$A$1:$O$115,15,0))</f>
        <v>0</v>
      </c>
      <c r="W1121" s="6">
        <f>IF(ISERROR(VLOOKUP($T$1121,'TAR FIN'!$A$1:$O$115,15,0)),0,VLOOKUP($T$1121,'TAR FIN'!$A$1:$O$115,15,0))</f>
        <v>463.6</v>
      </c>
      <c r="X1121" s="6">
        <f>IF(ISERROR(VLOOKUP($U$1121,'TAR FIN'!$A$1:$O$115,15,0)),0,VLOOKUP($U$1121,'TAR FIN'!$A$1:$O$115,15,0))</f>
        <v>176.58</v>
      </c>
      <c r="Y1121" s="6"/>
      <c r="Z1121" s="6">
        <f ca="1">('TUSD BE'!$AM$37+'TUSD BF'!$AM$37+'TUSD CVA'!$AM$37)*1</f>
        <v>502.21976924570083</v>
      </c>
      <c r="AA1121" s="6">
        <f>('TE BE'!$AB$20+'TE BF'!$AB$20+'TE CVA'!$AB$20)*1</f>
        <v>230.68197444058345</v>
      </c>
      <c r="AB1121" s="6">
        <f>$K$1121*$V$1121</f>
        <v>0</v>
      </c>
      <c r="AC1121" s="6">
        <f>$M$1121*$W$1121</f>
        <v>-1530.8072000000002</v>
      </c>
      <c r="AD1121" s="6">
        <f>$O$1121*$X$1121</f>
        <v>-583.06716000000006</v>
      </c>
      <c r="AE1121" s="6">
        <f>$K$1121*$Y$1121</f>
        <v>0</v>
      </c>
      <c r="AF1121" s="6">
        <f ca="1">$M$1121*$Z$1121</f>
        <v>-1658.3296780493042</v>
      </c>
      <c r="AG1121" s="6">
        <f>$O$1121*$AA$1121</f>
        <v>-761.71187960280656</v>
      </c>
    </row>
    <row r="1122" spans="1:33" ht="11.25" customHeight="1" x14ac:dyDescent="0.25">
      <c r="A1122" s="4" t="s">
        <v>21</v>
      </c>
      <c r="B1122" s="4" t="s">
        <v>22</v>
      </c>
      <c r="C1122" s="4" t="s">
        <v>23</v>
      </c>
      <c r="D1122" s="4" t="s">
        <v>24</v>
      </c>
      <c r="E1122" s="4" t="s">
        <v>24</v>
      </c>
      <c r="F1122" s="4" t="s">
        <v>25</v>
      </c>
      <c r="G1122" s="4" t="s">
        <v>25</v>
      </c>
      <c r="H1122" s="4" t="s">
        <v>25</v>
      </c>
      <c r="I1122" s="5">
        <v>44593</v>
      </c>
      <c r="J1122" s="6">
        <v>0</v>
      </c>
      <c r="K1122" s="6">
        <v>0</v>
      </c>
      <c r="L1122" s="6">
        <v>27789.001</v>
      </c>
      <c r="M1122" s="6">
        <v>27789.001</v>
      </c>
      <c r="N1122" s="6">
        <v>27789.001</v>
      </c>
      <c r="O1122" s="6">
        <v>27789.001</v>
      </c>
      <c r="P1122" s="6">
        <v>129769</v>
      </c>
      <c r="Q1122" s="4" t="s">
        <v>26</v>
      </c>
      <c r="R1122" s="4">
        <v>0</v>
      </c>
      <c r="S1122" s="6">
        <v>0</v>
      </c>
      <c r="T1122" s="6">
        <v>39</v>
      </c>
      <c r="U1122" s="6">
        <v>83</v>
      </c>
      <c r="V1122" s="6">
        <f>IF(ISERROR(VLOOKUP($S$1122,'TAR FIN'!$A$1:$O$115,15,0)),0,VLOOKUP($S$1122,'TAR FIN'!$A$1:$O$115,15,0))</f>
        <v>0</v>
      </c>
      <c r="W1122" s="6">
        <f>IF(ISERROR(VLOOKUP($T$1122,'TAR FIN'!$A$1:$O$115,15,0)),0,VLOOKUP($T$1122,'TAR FIN'!$A$1:$O$115,15,0))</f>
        <v>463.6</v>
      </c>
      <c r="X1122" s="6">
        <f>IF(ISERROR(VLOOKUP($U$1122,'TAR FIN'!$A$1:$O$115,15,0)),0,VLOOKUP($U$1122,'TAR FIN'!$A$1:$O$115,15,0))</f>
        <v>176.58</v>
      </c>
      <c r="Y1122" s="6"/>
      <c r="Z1122" s="6">
        <f ca="1">('TUSD BE'!$AM$37+'TUSD BF'!$AM$37+'TUSD CVA'!$AM$37)*1</f>
        <v>502.21976924570083</v>
      </c>
      <c r="AA1122" s="6">
        <f>('TE BE'!$AB$20+'TE BF'!$AB$20+'TE CVA'!$AB$20)*1</f>
        <v>230.68197444058345</v>
      </c>
      <c r="AB1122" s="6">
        <f>$K$1122*$V$1122</f>
        <v>0</v>
      </c>
      <c r="AC1122" s="6">
        <f>$M$1122*$W$1122</f>
        <v>12882980.863600001</v>
      </c>
      <c r="AD1122" s="6">
        <f>$O$1122*$X$1122</f>
        <v>4906981.7965800008</v>
      </c>
      <c r="AE1122" s="6">
        <f>$K$1122*$Y$1122</f>
        <v>0</v>
      </c>
      <c r="AF1122" s="6">
        <f ca="1">$M$1122*$Z$1122</f>
        <v>13956185.669788551</v>
      </c>
      <c r="AG1122" s="6">
        <f>$O$1122*$AA$1122</f>
        <v>6410421.6184113482</v>
      </c>
    </row>
    <row r="1123" spans="1:33" ht="11.25" customHeight="1" x14ac:dyDescent="0.25">
      <c r="A1123" s="4" t="s">
        <v>27</v>
      </c>
      <c r="B1123" s="4" t="s">
        <v>22</v>
      </c>
      <c r="C1123" s="4" t="s">
        <v>23</v>
      </c>
      <c r="D1123" s="4" t="s">
        <v>24</v>
      </c>
      <c r="E1123" s="4" t="s">
        <v>24</v>
      </c>
      <c r="F1123" s="4" t="s">
        <v>25</v>
      </c>
      <c r="G1123" s="4" t="s">
        <v>25</v>
      </c>
      <c r="H1123" s="4" t="s">
        <v>25</v>
      </c>
      <c r="I1123" s="5">
        <v>44593</v>
      </c>
      <c r="J1123" s="6">
        <v>0</v>
      </c>
      <c r="K1123" s="6">
        <v>0</v>
      </c>
      <c r="L1123" s="6">
        <v>-222.50200000000001</v>
      </c>
      <c r="M1123" s="6">
        <v>-222.50200000000001</v>
      </c>
      <c r="N1123" s="6">
        <v>-222.50200000000001</v>
      </c>
      <c r="O1123" s="6">
        <v>-222.50200000000001</v>
      </c>
      <c r="P1123" s="6">
        <v>-96</v>
      </c>
      <c r="Q1123" s="4" t="s">
        <v>26</v>
      </c>
      <c r="R1123" s="4">
        <v>0</v>
      </c>
      <c r="S1123" s="6">
        <v>0</v>
      </c>
      <c r="T1123" s="6">
        <v>39</v>
      </c>
      <c r="U1123" s="6">
        <v>83</v>
      </c>
      <c r="V1123" s="6">
        <f>IF(ISERROR(VLOOKUP($S$1123,'TAR FIN'!$A$1:$O$115,15,0)),0,VLOOKUP($S$1123,'TAR FIN'!$A$1:$O$115,15,0))</f>
        <v>0</v>
      </c>
      <c r="W1123" s="6">
        <f>IF(ISERROR(VLOOKUP($T$1123,'TAR FIN'!$A$1:$O$115,15,0)),0,VLOOKUP($T$1123,'TAR FIN'!$A$1:$O$115,15,0))</f>
        <v>463.6</v>
      </c>
      <c r="X1123" s="6">
        <f>IF(ISERROR(VLOOKUP($U$1123,'TAR FIN'!$A$1:$O$115,15,0)),0,VLOOKUP($U$1123,'TAR FIN'!$A$1:$O$115,15,0))</f>
        <v>176.58</v>
      </c>
      <c r="Y1123" s="6"/>
      <c r="Z1123" s="6">
        <f ca="1">('TUSD BE'!$AM$37+'TUSD BF'!$AM$37+'TUSD CVA'!$AM$37)*1</f>
        <v>502.21976924570083</v>
      </c>
      <c r="AA1123" s="6">
        <f>('TE BE'!$AB$20+'TE BF'!$AB$20+'TE CVA'!$AB$20)*1</f>
        <v>230.68197444058345</v>
      </c>
      <c r="AB1123" s="6">
        <f>$K$1123*$V$1123</f>
        <v>0</v>
      </c>
      <c r="AC1123" s="6">
        <f>$M$1123*$W$1123</f>
        <v>-103151.92720000001</v>
      </c>
      <c r="AD1123" s="6">
        <f>$O$1123*$X$1123</f>
        <v>-39289.403160000002</v>
      </c>
      <c r="AE1123" s="6">
        <f>$K$1123*$Y$1123</f>
        <v>0</v>
      </c>
      <c r="AF1123" s="6">
        <f ca="1">$M$1123*$Z$1123</f>
        <v>-111744.90309670693</v>
      </c>
      <c r="AG1123" s="6">
        <f>$O$1123*$AA$1123</f>
        <v>-51327.200676978697</v>
      </c>
    </row>
    <row r="1124" spans="1:33" ht="11.25" customHeight="1" x14ac:dyDescent="0.25">
      <c r="A1124" s="4" t="s">
        <v>28</v>
      </c>
      <c r="B1124" s="4" t="s">
        <v>22</v>
      </c>
      <c r="C1124" s="4" t="s">
        <v>23</v>
      </c>
      <c r="D1124" s="4" t="s">
        <v>24</v>
      </c>
      <c r="E1124" s="4" t="s">
        <v>24</v>
      </c>
      <c r="F1124" s="4" t="s">
        <v>25</v>
      </c>
      <c r="G1124" s="4" t="s">
        <v>25</v>
      </c>
      <c r="H1124" s="4" t="s">
        <v>25</v>
      </c>
      <c r="I1124" s="5">
        <v>44593</v>
      </c>
      <c r="J1124" s="6">
        <v>0</v>
      </c>
      <c r="K1124" s="6">
        <v>0</v>
      </c>
      <c r="L1124" s="6">
        <v>5879.2740000000003</v>
      </c>
      <c r="M1124" s="6">
        <v>5879.2740000000003</v>
      </c>
      <c r="N1124" s="6">
        <v>5879.2740000000003</v>
      </c>
      <c r="O1124" s="6">
        <v>5879.2740000000003</v>
      </c>
      <c r="P1124" s="6">
        <v>33868</v>
      </c>
      <c r="Q1124" s="4" t="s">
        <v>26</v>
      </c>
      <c r="R1124" s="4">
        <v>0</v>
      </c>
      <c r="S1124" s="6">
        <v>0</v>
      </c>
      <c r="T1124" s="6">
        <v>39</v>
      </c>
      <c r="U1124" s="6">
        <v>83</v>
      </c>
      <c r="V1124" s="6">
        <f>IF(ISERROR(VLOOKUP($S$1124,'TAR FIN'!$A$1:$O$115,15,0)),0,VLOOKUP($S$1124,'TAR FIN'!$A$1:$O$115,15,0))</f>
        <v>0</v>
      </c>
      <c r="W1124" s="6">
        <f>IF(ISERROR(VLOOKUP($T$1124,'TAR FIN'!$A$1:$O$115,15,0)),0,VLOOKUP($T$1124,'TAR FIN'!$A$1:$O$115,15,0))</f>
        <v>463.6</v>
      </c>
      <c r="X1124" s="6">
        <f>IF(ISERROR(VLOOKUP($U$1124,'TAR FIN'!$A$1:$O$115,15,0)),0,VLOOKUP($U$1124,'TAR FIN'!$A$1:$O$115,15,0))</f>
        <v>176.58</v>
      </c>
      <c r="Y1124" s="6"/>
      <c r="Z1124" s="6">
        <f ca="1">('TUSD BE'!$AM$37+'TUSD BF'!$AM$37+'TUSD CVA'!$AM$37)*1</f>
        <v>502.21976924570083</v>
      </c>
      <c r="AA1124" s="6">
        <f>('TE BE'!$AB$20+'TE BF'!$AB$20+'TE CVA'!$AB$20)*1</f>
        <v>230.68197444058345</v>
      </c>
      <c r="AB1124" s="6">
        <f>$K$1124*$V$1124</f>
        <v>0</v>
      </c>
      <c r="AC1124" s="6">
        <f>$M$1124*$W$1124</f>
        <v>2725631.4264000002</v>
      </c>
      <c r="AD1124" s="6">
        <f>$O$1124*$X$1124</f>
        <v>1038162.2029200002</v>
      </c>
      <c r="AE1124" s="6">
        <f>$K$1124*$Y$1124</f>
        <v>0</v>
      </c>
      <c r="AF1124" s="6">
        <f ca="1">$M$1124*$Z$1124</f>
        <v>2952687.6316122487</v>
      </c>
      <c r="AG1124" s="6">
        <f>$O$1124*$AA$1124</f>
        <v>1356242.5345971868</v>
      </c>
    </row>
    <row r="1125" spans="1:33" ht="11.25" customHeight="1" x14ac:dyDescent="0.25">
      <c r="A1125" s="4" t="s">
        <v>29</v>
      </c>
      <c r="B1125" s="4" t="s">
        <v>22</v>
      </c>
      <c r="C1125" s="4" t="s">
        <v>23</v>
      </c>
      <c r="D1125" s="4" t="s">
        <v>24</v>
      </c>
      <c r="E1125" s="4" t="s">
        <v>24</v>
      </c>
      <c r="F1125" s="4" t="s">
        <v>25</v>
      </c>
      <c r="G1125" s="4" t="s">
        <v>25</v>
      </c>
      <c r="H1125" s="4" t="s">
        <v>25</v>
      </c>
      <c r="I1125" s="5">
        <v>44593</v>
      </c>
      <c r="J1125" s="6">
        <v>0</v>
      </c>
      <c r="K1125" s="6">
        <v>0</v>
      </c>
      <c r="L1125" s="6">
        <v>-48.142000000000003</v>
      </c>
      <c r="M1125" s="6">
        <v>-48.142000000000003</v>
      </c>
      <c r="N1125" s="6">
        <v>-48.142000000000003</v>
      </c>
      <c r="O1125" s="6">
        <v>-48.142000000000003</v>
      </c>
      <c r="P1125" s="6">
        <v>-10</v>
      </c>
      <c r="Q1125" s="4" t="s">
        <v>26</v>
      </c>
      <c r="R1125" s="4">
        <v>0</v>
      </c>
      <c r="S1125" s="6">
        <v>0</v>
      </c>
      <c r="T1125" s="6">
        <v>39</v>
      </c>
      <c r="U1125" s="6">
        <v>83</v>
      </c>
      <c r="V1125" s="6">
        <f>IF(ISERROR(VLOOKUP($S$1125,'TAR FIN'!$A$1:$O$115,15,0)),0,VLOOKUP($S$1125,'TAR FIN'!$A$1:$O$115,15,0))</f>
        <v>0</v>
      </c>
      <c r="W1125" s="6">
        <f>IF(ISERROR(VLOOKUP($T$1125,'TAR FIN'!$A$1:$O$115,15,0)),0,VLOOKUP($T$1125,'TAR FIN'!$A$1:$O$115,15,0))</f>
        <v>463.6</v>
      </c>
      <c r="X1125" s="6">
        <f>IF(ISERROR(VLOOKUP($U$1125,'TAR FIN'!$A$1:$O$115,15,0)),0,VLOOKUP($U$1125,'TAR FIN'!$A$1:$O$115,15,0))</f>
        <v>176.58</v>
      </c>
      <c r="Y1125" s="6"/>
      <c r="Z1125" s="6">
        <f ca="1">('TUSD BE'!$AM$37+'TUSD BF'!$AM$37+'TUSD CVA'!$AM$37)*1</f>
        <v>502.21976924570083</v>
      </c>
      <c r="AA1125" s="6">
        <f>('TE BE'!$AB$20+'TE BF'!$AB$20+'TE CVA'!$AB$20)*1</f>
        <v>230.68197444058345</v>
      </c>
      <c r="AB1125" s="6">
        <f>$K$1125*$V$1125</f>
        <v>0</v>
      </c>
      <c r="AC1125" s="6">
        <f>$M$1125*$W$1125</f>
        <v>-22318.631200000003</v>
      </c>
      <c r="AD1125" s="6">
        <f>$O$1125*$X$1125</f>
        <v>-8500.9143600000007</v>
      </c>
      <c r="AE1125" s="6">
        <f>$K$1125*$Y$1125</f>
        <v>0</v>
      </c>
      <c r="AF1125" s="6">
        <f ca="1">$M$1125*$Z$1125</f>
        <v>-24177.86413102653</v>
      </c>
      <c r="AG1125" s="6">
        <f>$O$1125*$AA$1125</f>
        <v>-11105.491613518569</v>
      </c>
    </row>
    <row r="1126" spans="1:33" ht="11.25" customHeight="1" x14ac:dyDescent="0.25">
      <c r="A1126" s="4" t="s">
        <v>30</v>
      </c>
      <c r="B1126" s="4" t="s">
        <v>22</v>
      </c>
      <c r="C1126" s="4" t="s">
        <v>23</v>
      </c>
      <c r="D1126" s="4" t="s">
        <v>24</v>
      </c>
      <c r="E1126" s="4" t="s">
        <v>24</v>
      </c>
      <c r="F1126" s="4" t="s">
        <v>25</v>
      </c>
      <c r="G1126" s="4" t="s">
        <v>25</v>
      </c>
      <c r="H1126" s="4" t="s">
        <v>25</v>
      </c>
      <c r="I1126" s="5">
        <v>44593</v>
      </c>
      <c r="J1126" s="6">
        <v>0</v>
      </c>
      <c r="K1126" s="6">
        <v>0</v>
      </c>
      <c r="L1126" s="6">
        <v>406.58800000000002</v>
      </c>
      <c r="M1126" s="6">
        <v>406.58800000000002</v>
      </c>
      <c r="N1126" s="6">
        <v>406.58800000000002</v>
      </c>
      <c r="O1126" s="6">
        <v>406.58800000000002</v>
      </c>
      <c r="P1126" s="6">
        <v>2397</v>
      </c>
      <c r="Q1126" s="4" t="s">
        <v>26</v>
      </c>
      <c r="R1126" s="4">
        <v>0</v>
      </c>
      <c r="S1126" s="6">
        <v>0</v>
      </c>
      <c r="T1126" s="6">
        <v>39</v>
      </c>
      <c r="U1126" s="6">
        <v>83</v>
      </c>
      <c r="V1126" s="6">
        <f>IF(ISERROR(VLOOKUP($S$1126,'TAR FIN'!$A$1:$O$115,15,0)),0,VLOOKUP($S$1126,'TAR FIN'!$A$1:$O$115,15,0))</f>
        <v>0</v>
      </c>
      <c r="W1126" s="6">
        <f>IF(ISERROR(VLOOKUP($T$1126,'TAR FIN'!$A$1:$O$115,15,0)),0,VLOOKUP($T$1126,'TAR FIN'!$A$1:$O$115,15,0))</f>
        <v>463.6</v>
      </c>
      <c r="X1126" s="6">
        <f>IF(ISERROR(VLOOKUP($U$1126,'TAR FIN'!$A$1:$O$115,15,0)),0,VLOOKUP($U$1126,'TAR FIN'!$A$1:$O$115,15,0))</f>
        <v>176.58</v>
      </c>
      <c r="Y1126" s="6"/>
      <c r="Z1126" s="6">
        <f ca="1">('TUSD BE'!$AM$37+'TUSD BF'!$AM$37+'TUSD CVA'!$AM$37)*1</f>
        <v>502.21976924570083</v>
      </c>
      <c r="AA1126" s="6">
        <f>('TE BE'!$AB$20+'TE BF'!$AB$20+'TE CVA'!$AB$20)*1</f>
        <v>230.68197444058345</v>
      </c>
      <c r="AB1126" s="6">
        <f>$K$1126*$V$1126</f>
        <v>0</v>
      </c>
      <c r="AC1126" s="6">
        <f>$M$1126*$W$1126</f>
        <v>188494.19680000001</v>
      </c>
      <c r="AD1126" s="6">
        <f>$O$1126*$X$1126</f>
        <v>71795.309040000007</v>
      </c>
      <c r="AE1126" s="6">
        <f>$K$1126*$Y$1126</f>
        <v>0</v>
      </c>
      <c r="AF1126" s="6">
        <f ca="1">$M$1126*$Z$1126</f>
        <v>204196.53153807102</v>
      </c>
      <c r="AG1126" s="6">
        <f>$O$1126*$AA$1126</f>
        <v>93792.522623847952</v>
      </c>
    </row>
    <row r="1127" spans="1:33" ht="11.25" customHeight="1" x14ac:dyDescent="0.25">
      <c r="A1127" s="4" t="s">
        <v>30</v>
      </c>
      <c r="B1127" s="4" t="s">
        <v>22</v>
      </c>
      <c r="C1127" s="4" t="s">
        <v>23</v>
      </c>
      <c r="D1127" s="4" t="s">
        <v>24</v>
      </c>
      <c r="E1127" s="4" t="s">
        <v>24</v>
      </c>
      <c r="F1127" s="4" t="s">
        <v>25</v>
      </c>
      <c r="G1127" s="4" t="s">
        <v>25</v>
      </c>
      <c r="H1127" s="4" t="s">
        <v>25</v>
      </c>
      <c r="I1127" s="5">
        <v>44593</v>
      </c>
      <c r="J1127" s="6">
        <v>0</v>
      </c>
      <c r="K1127" s="6">
        <v>0</v>
      </c>
      <c r="L1127" s="6">
        <v>-0.66800000000000004</v>
      </c>
      <c r="M1127" s="6">
        <v>-0.66800000000000004</v>
      </c>
      <c r="N1127" s="6">
        <v>-0.66800000000000004</v>
      </c>
      <c r="O1127" s="6">
        <v>-0.66800000000000004</v>
      </c>
      <c r="P1127" s="6">
        <v>1</v>
      </c>
      <c r="Q1127" s="4" t="s">
        <v>26</v>
      </c>
      <c r="R1127" s="4">
        <v>0</v>
      </c>
      <c r="S1127" s="6">
        <v>0</v>
      </c>
      <c r="T1127" s="6">
        <v>39</v>
      </c>
      <c r="U1127" s="6">
        <v>83</v>
      </c>
      <c r="V1127" s="6">
        <f>IF(ISERROR(VLOOKUP($S$1127,'TAR FIN'!$A$1:$O$115,15,0)),0,VLOOKUP($S$1127,'TAR FIN'!$A$1:$O$115,15,0))</f>
        <v>0</v>
      </c>
      <c r="W1127" s="6">
        <f>IF(ISERROR(VLOOKUP($T$1127,'TAR FIN'!$A$1:$O$115,15,0)),0,VLOOKUP($T$1127,'TAR FIN'!$A$1:$O$115,15,0))</f>
        <v>463.6</v>
      </c>
      <c r="X1127" s="6">
        <f>IF(ISERROR(VLOOKUP($U$1127,'TAR FIN'!$A$1:$O$115,15,0)),0,VLOOKUP($U$1127,'TAR FIN'!$A$1:$O$115,15,0))</f>
        <v>176.58</v>
      </c>
      <c r="Y1127" s="6"/>
      <c r="Z1127" s="6">
        <f ca="1">('TUSD BE'!$AM$37+'TUSD BF'!$AM$37+'TUSD CVA'!$AM$37)*1</f>
        <v>502.21976924570083</v>
      </c>
      <c r="AA1127" s="6">
        <f>('TE BE'!$AB$20+'TE BF'!$AB$20+'TE CVA'!$AB$20)*1</f>
        <v>230.68197444058345</v>
      </c>
      <c r="AB1127" s="6">
        <f>$K$1127*$V$1127</f>
        <v>0</v>
      </c>
      <c r="AC1127" s="6">
        <f>$M$1127*$W$1127</f>
        <v>-309.68480000000005</v>
      </c>
      <c r="AD1127" s="6">
        <f>$O$1127*$X$1127</f>
        <v>-117.95544000000001</v>
      </c>
      <c r="AE1127" s="6">
        <f>$K$1127*$Y$1127</f>
        <v>0</v>
      </c>
      <c r="AF1127" s="6">
        <f ca="1">$M$1127*$Z$1127</f>
        <v>-335.48280585612815</v>
      </c>
      <c r="AG1127" s="6">
        <f>$O$1127*$AA$1127</f>
        <v>-154.09555892630976</v>
      </c>
    </row>
    <row r="1128" spans="1:33" ht="11.25" customHeight="1" x14ac:dyDescent="0.25">
      <c r="A1128" s="4" t="s">
        <v>21</v>
      </c>
      <c r="B1128" s="4" t="s">
        <v>22</v>
      </c>
      <c r="C1128" s="4" t="s">
        <v>23</v>
      </c>
      <c r="D1128" s="4" t="s">
        <v>24</v>
      </c>
      <c r="E1128" s="4" t="s">
        <v>24</v>
      </c>
      <c r="F1128" s="4" t="s">
        <v>25</v>
      </c>
      <c r="G1128" s="4" t="s">
        <v>25</v>
      </c>
      <c r="H1128" s="4" t="s">
        <v>25</v>
      </c>
      <c r="I1128" s="5">
        <v>44621</v>
      </c>
      <c r="J1128" s="6">
        <v>0</v>
      </c>
      <c r="K1128" s="6">
        <v>0</v>
      </c>
      <c r="L1128" s="6">
        <v>28575.54</v>
      </c>
      <c r="M1128" s="6">
        <v>28575.54</v>
      </c>
      <c r="N1128" s="6">
        <v>28575.54</v>
      </c>
      <c r="O1128" s="6">
        <v>28575.54</v>
      </c>
      <c r="P1128" s="6">
        <v>133975</v>
      </c>
      <c r="Q1128" s="4" t="s">
        <v>26</v>
      </c>
      <c r="R1128" s="4">
        <v>0</v>
      </c>
      <c r="S1128" s="6">
        <v>0</v>
      </c>
      <c r="T1128" s="6">
        <v>39</v>
      </c>
      <c r="U1128" s="6">
        <v>83</v>
      </c>
      <c r="V1128" s="6">
        <f>IF(ISERROR(VLOOKUP($S$1128,'TAR FIN'!$A$1:$O$115,15,0)),0,VLOOKUP($S$1128,'TAR FIN'!$A$1:$O$115,15,0))</f>
        <v>0</v>
      </c>
      <c r="W1128" s="6">
        <f>IF(ISERROR(VLOOKUP($T$1128,'TAR FIN'!$A$1:$O$115,15,0)),0,VLOOKUP($T$1128,'TAR FIN'!$A$1:$O$115,15,0))</f>
        <v>463.6</v>
      </c>
      <c r="X1128" s="6">
        <f>IF(ISERROR(VLOOKUP($U$1128,'TAR FIN'!$A$1:$O$115,15,0)),0,VLOOKUP($U$1128,'TAR FIN'!$A$1:$O$115,15,0))</f>
        <v>176.58</v>
      </c>
      <c r="Y1128" s="6"/>
      <c r="Z1128" s="6">
        <f ca="1">('TUSD BE'!$AM$37+'TUSD BF'!$AM$37+'TUSD CVA'!$AM$37)*1</f>
        <v>502.21976924570083</v>
      </c>
      <c r="AA1128" s="6">
        <f>('TE BE'!$AB$20+'TE BF'!$AB$20+'TE CVA'!$AB$20)*1</f>
        <v>230.68197444058345</v>
      </c>
      <c r="AB1128" s="6">
        <f>$K$1128*$V$1128</f>
        <v>0</v>
      </c>
      <c r="AC1128" s="6">
        <f>$M$1128*$W$1128</f>
        <v>13247620.344000001</v>
      </c>
      <c r="AD1128" s="6">
        <f>$O$1128*$X$1128</f>
        <v>5045868.8532000007</v>
      </c>
      <c r="AE1128" s="6">
        <f>$K$1128*$Y$1128</f>
        <v>0</v>
      </c>
      <c r="AF1128" s="6">
        <f ca="1">$M$1128*$Z$1128</f>
        <v>14351201.104871294</v>
      </c>
      <c r="AG1128" s="6">
        <f>$O$1128*$AA$1128</f>
        <v>6591861.9879058702</v>
      </c>
    </row>
    <row r="1129" spans="1:33" ht="11.25" customHeight="1" x14ac:dyDescent="0.25">
      <c r="A1129" s="4" t="s">
        <v>27</v>
      </c>
      <c r="B1129" s="4" t="s">
        <v>22</v>
      </c>
      <c r="C1129" s="4" t="s">
        <v>23</v>
      </c>
      <c r="D1129" s="4" t="s">
        <v>24</v>
      </c>
      <c r="E1129" s="4" t="s">
        <v>24</v>
      </c>
      <c r="F1129" s="4" t="s">
        <v>25</v>
      </c>
      <c r="G1129" s="4" t="s">
        <v>25</v>
      </c>
      <c r="H1129" s="4" t="s">
        <v>25</v>
      </c>
      <c r="I1129" s="5">
        <v>44621</v>
      </c>
      <c r="J1129" s="6">
        <v>0</v>
      </c>
      <c r="K1129" s="6">
        <v>0</v>
      </c>
      <c r="L1129" s="6">
        <v>-403.17599999999999</v>
      </c>
      <c r="M1129" s="6">
        <v>-403.17599999999999</v>
      </c>
      <c r="N1129" s="6">
        <v>-403.17599999999999</v>
      </c>
      <c r="O1129" s="6">
        <v>-403.17599999999999</v>
      </c>
      <c r="P1129" s="6">
        <v>-99</v>
      </c>
      <c r="Q1129" s="4" t="s">
        <v>26</v>
      </c>
      <c r="R1129" s="4">
        <v>0</v>
      </c>
      <c r="S1129" s="6">
        <v>0</v>
      </c>
      <c r="T1129" s="6">
        <v>39</v>
      </c>
      <c r="U1129" s="6">
        <v>83</v>
      </c>
      <c r="V1129" s="6">
        <f>IF(ISERROR(VLOOKUP($S$1129,'TAR FIN'!$A$1:$O$115,15,0)),0,VLOOKUP($S$1129,'TAR FIN'!$A$1:$O$115,15,0))</f>
        <v>0</v>
      </c>
      <c r="W1129" s="6">
        <f>IF(ISERROR(VLOOKUP($T$1129,'TAR FIN'!$A$1:$O$115,15,0)),0,VLOOKUP($T$1129,'TAR FIN'!$A$1:$O$115,15,0))</f>
        <v>463.6</v>
      </c>
      <c r="X1129" s="6">
        <f>IF(ISERROR(VLOOKUP($U$1129,'TAR FIN'!$A$1:$O$115,15,0)),0,VLOOKUP($U$1129,'TAR FIN'!$A$1:$O$115,15,0))</f>
        <v>176.58</v>
      </c>
      <c r="Y1129" s="6"/>
      <c r="Z1129" s="6">
        <f ca="1">('TUSD BE'!$AM$37+'TUSD BF'!$AM$37+'TUSD CVA'!$AM$37)*1</f>
        <v>502.21976924570083</v>
      </c>
      <c r="AA1129" s="6">
        <f>('TE BE'!$AB$20+'TE BF'!$AB$20+'TE CVA'!$AB$20)*1</f>
        <v>230.68197444058345</v>
      </c>
      <c r="AB1129" s="6">
        <f>$K$1129*$V$1129</f>
        <v>0</v>
      </c>
      <c r="AC1129" s="6">
        <f>$M$1129*$W$1129</f>
        <v>-186912.39360000001</v>
      </c>
      <c r="AD1129" s="6">
        <f>$O$1129*$X$1129</f>
        <v>-71192.818079999997</v>
      </c>
      <c r="AE1129" s="6">
        <f>$K$1129*$Y$1129</f>
        <v>0</v>
      </c>
      <c r="AF1129" s="6">
        <f ca="1">$M$1129*$Z$1129</f>
        <v>-202482.95768540466</v>
      </c>
      <c r="AG1129" s="6">
        <f>$O$1129*$AA$1129</f>
        <v>-93005.435727056669</v>
      </c>
    </row>
    <row r="1130" spans="1:33" ht="11.25" customHeight="1" x14ac:dyDescent="0.25">
      <c r="A1130" s="4" t="s">
        <v>28</v>
      </c>
      <c r="B1130" s="4" t="s">
        <v>22</v>
      </c>
      <c r="C1130" s="4" t="s">
        <v>23</v>
      </c>
      <c r="D1130" s="4" t="s">
        <v>24</v>
      </c>
      <c r="E1130" s="4" t="s">
        <v>24</v>
      </c>
      <c r="F1130" s="4" t="s">
        <v>25</v>
      </c>
      <c r="G1130" s="4" t="s">
        <v>25</v>
      </c>
      <c r="H1130" s="4" t="s">
        <v>25</v>
      </c>
      <c r="I1130" s="5">
        <v>44621</v>
      </c>
      <c r="J1130" s="6">
        <v>0</v>
      </c>
      <c r="K1130" s="6">
        <v>0</v>
      </c>
      <c r="L1130" s="6">
        <v>6118.0789999999997</v>
      </c>
      <c r="M1130" s="6">
        <v>6118.0789999999997</v>
      </c>
      <c r="N1130" s="6">
        <v>6118.0789999999997</v>
      </c>
      <c r="O1130" s="6">
        <v>6118.0789999999997</v>
      </c>
      <c r="P1130" s="6">
        <v>35004</v>
      </c>
      <c r="Q1130" s="4" t="s">
        <v>26</v>
      </c>
      <c r="R1130" s="4">
        <v>0</v>
      </c>
      <c r="S1130" s="6">
        <v>0</v>
      </c>
      <c r="T1130" s="6">
        <v>39</v>
      </c>
      <c r="U1130" s="6">
        <v>83</v>
      </c>
      <c r="V1130" s="6">
        <f>IF(ISERROR(VLOOKUP($S$1130,'TAR FIN'!$A$1:$O$115,15,0)),0,VLOOKUP($S$1130,'TAR FIN'!$A$1:$O$115,15,0))</f>
        <v>0</v>
      </c>
      <c r="W1130" s="6">
        <f>IF(ISERROR(VLOOKUP($T$1130,'TAR FIN'!$A$1:$O$115,15,0)),0,VLOOKUP($T$1130,'TAR FIN'!$A$1:$O$115,15,0))</f>
        <v>463.6</v>
      </c>
      <c r="X1130" s="6">
        <f>IF(ISERROR(VLOOKUP($U$1130,'TAR FIN'!$A$1:$O$115,15,0)),0,VLOOKUP($U$1130,'TAR FIN'!$A$1:$O$115,15,0))</f>
        <v>176.58</v>
      </c>
      <c r="Y1130" s="6"/>
      <c r="Z1130" s="6">
        <f ca="1">('TUSD BE'!$AM$37+'TUSD BF'!$AM$37+'TUSD CVA'!$AM$37)*1</f>
        <v>502.21976924570083</v>
      </c>
      <c r="AA1130" s="6">
        <f>('TE BE'!$AB$20+'TE BF'!$AB$20+'TE CVA'!$AB$20)*1</f>
        <v>230.68197444058345</v>
      </c>
      <c r="AB1130" s="6">
        <f>$K$1130*$V$1130</f>
        <v>0</v>
      </c>
      <c r="AC1130" s="6">
        <f>$M$1130*$W$1130</f>
        <v>2836341.4243999999</v>
      </c>
      <c r="AD1130" s="6">
        <f>$O$1130*$X$1130</f>
        <v>1080330.3898199999</v>
      </c>
      <c r="AE1130" s="6">
        <f>$K$1130*$Y$1130</f>
        <v>0</v>
      </c>
      <c r="AF1130" s="6">
        <f ca="1">$M$1130*$Z$1130</f>
        <v>3072620.2236069678</v>
      </c>
      <c r="AG1130" s="6">
        <f>$O$1130*$AA$1130</f>
        <v>1411330.5435034703</v>
      </c>
    </row>
    <row r="1131" spans="1:33" ht="11.25" customHeight="1" x14ac:dyDescent="0.25">
      <c r="A1131" s="4" t="s">
        <v>29</v>
      </c>
      <c r="B1131" s="4" t="s">
        <v>22</v>
      </c>
      <c r="C1131" s="4" t="s">
        <v>23</v>
      </c>
      <c r="D1131" s="4" t="s">
        <v>24</v>
      </c>
      <c r="E1131" s="4" t="s">
        <v>24</v>
      </c>
      <c r="F1131" s="4" t="s">
        <v>25</v>
      </c>
      <c r="G1131" s="4" t="s">
        <v>25</v>
      </c>
      <c r="H1131" s="4" t="s">
        <v>25</v>
      </c>
      <c r="I1131" s="5">
        <v>44621</v>
      </c>
      <c r="J1131" s="6">
        <v>0</v>
      </c>
      <c r="K1131" s="6">
        <v>0</v>
      </c>
      <c r="L1131" s="6">
        <v>-10.265000000000001</v>
      </c>
      <c r="M1131" s="6">
        <v>-10.265000000000001</v>
      </c>
      <c r="N1131" s="6">
        <v>-10.265000000000001</v>
      </c>
      <c r="O1131" s="6">
        <v>-10.265000000000001</v>
      </c>
      <c r="P1131" s="6">
        <v>-10</v>
      </c>
      <c r="Q1131" s="4" t="s">
        <v>26</v>
      </c>
      <c r="R1131" s="4">
        <v>0</v>
      </c>
      <c r="S1131" s="6">
        <v>0</v>
      </c>
      <c r="T1131" s="6">
        <v>39</v>
      </c>
      <c r="U1131" s="6">
        <v>83</v>
      </c>
      <c r="V1131" s="6">
        <f>IF(ISERROR(VLOOKUP($S$1131,'TAR FIN'!$A$1:$O$115,15,0)),0,VLOOKUP($S$1131,'TAR FIN'!$A$1:$O$115,15,0))</f>
        <v>0</v>
      </c>
      <c r="W1131" s="6">
        <f>IF(ISERROR(VLOOKUP($T$1131,'TAR FIN'!$A$1:$O$115,15,0)),0,VLOOKUP($T$1131,'TAR FIN'!$A$1:$O$115,15,0))</f>
        <v>463.6</v>
      </c>
      <c r="X1131" s="6">
        <f>IF(ISERROR(VLOOKUP($U$1131,'TAR FIN'!$A$1:$O$115,15,0)),0,VLOOKUP($U$1131,'TAR FIN'!$A$1:$O$115,15,0))</f>
        <v>176.58</v>
      </c>
      <c r="Y1131" s="6"/>
      <c r="Z1131" s="6">
        <f ca="1">('TUSD BE'!$AM$37+'TUSD BF'!$AM$37+'TUSD CVA'!$AM$37)*1</f>
        <v>502.21976924570083</v>
      </c>
      <c r="AA1131" s="6">
        <f>('TE BE'!$AB$20+'TE BF'!$AB$20+'TE CVA'!$AB$20)*1</f>
        <v>230.68197444058345</v>
      </c>
      <c r="AB1131" s="6">
        <f>$K$1131*$V$1131</f>
        <v>0</v>
      </c>
      <c r="AC1131" s="6">
        <f>$M$1131*$W$1131</f>
        <v>-4758.8540000000003</v>
      </c>
      <c r="AD1131" s="6">
        <f>$O$1131*$X$1131</f>
        <v>-1812.5937000000001</v>
      </c>
      <c r="AE1131" s="6">
        <f>$K$1131*$Y$1131</f>
        <v>0</v>
      </c>
      <c r="AF1131" s="6">
        <f ca="1">$M$1131*$Z$1131</f>
        <v>-5155.2859313071194</v>
      </c>
      <c r="AG1131" s="6">
        <f>$O$1131*$AA$1131</f>
        <v>-2367.9504676325892</v>
      </c>
    </row>
    <row r="1132" spans="1:33" ht="11.25" customHeight="1" x14ac:dyDescent="0.25">
      <c r="A1132" s="4" t="s">
        <v>30</v>
      </c>
      <c r="B1132" s="4" t="s">
        <v>22</v>
      </c>
      <c r="C1132" s="4" t="s">
        <v>23</v>
      </c>
      <c r="D1132" s="4" t="s">
        <v>24</v>
      </c>
      <c r="E1132" s="4" t="s">
        <v>24</v>
      </c>
      <c r="F1132" s="4" t="s">
        <v>25</v>
      </c>
      <c r="G1132" s="4" t="s">
        <v>25</v>
      </c>
      <c r="H1132" s="4" t="s">
        <v>25</v>
      </c>
      <c r="I1132" s="5">
        <v>44621</v>
      </c>
      <c r="J1132" s="6">
        <v>0</v>
      </c>
      <c r="K1132" s="6">
        <v>0</v>
      </c>
      <c r="L1132" s="6">
        <v>440.83600000000001</v>
      </c>
      <c r="M1132" s="6">
        <v>440.83600000000001</v>
      </c>
      <c r="N1132" s="6">
        <v>440.83600000000001</v>
      </c>
      <c r="O1132" s="6">
        <v>440.83600000000001</v>
      </c>
      <c r="P1132" s="6">
        <v>2651</v>
      </c>
      <c r="Q1132" s="4" t="s">
        <v>26</v>
      </c>
      <c r="R1132" s="4">
        <v>0</v>
      </c>
      <c r="S1132" s="6">
        <v>0</v>
      </c>
      <c r="T1132" s="6">
        <v>39</v>
      </c>
      <c r="U1132" s="6">
        <v>83</v>
      </c>
      <c r="V1132" s="6">
        <f>IF(ISERROR(VLOOKUP($S$1132,'TAR FIN'!$A$1:$O$115,15,0)),0,VLOOKUP($S$1132,'TAR FIN'!$A$1:$O$115,15,0))</f>
        <v>0</v>
      </c>
      <c r="W1132" s="6">
        <f>IF(ISERROR(VLOOKUP($T$1132,'TAR FIN'!$A$1:$O$115,15,0)),0,VLOOKUP($T$1132,'TAR FIN'!$A$1:$O$115,15,0))</f>
        <v>463.6</v>
      </c>
      <c r="X1132" s="6">
        <f>IF(ISERROR(VLOOKUP($U$1132,'TAR FIN'!$A$1:$O$115,15,0)),0,VLOOKUP($U$1132,'TAR FIN'!$A$1:$O$115,15,0))</f>
        <v>176.58</v>
      </c>
      <c r="Y1132" s="6"/>
      <c r="Z1132" s="6">
        <f ca="1">('TUSD BE'!$AM$37+'TUSD BF'!$AM$37+'TUSD CVA'!$AM$37)*1</f>
        <v>502.21976924570083</v>
      </c>
      <c r="AA1132" s="6">
        <f>('TE BE'!$AB$20+'TE BF'!$AB$20+'TE CVA'!$AB$20)*1</f>
        <v>230.68197444058345</v>
      </c>
      <c r="AB1132" s="6">
        <f>$K$1132*$V$1132</f>
        <v>0</v>
      </c>
      <c r="AC1132" s="6">
        <f>$M$1132*$W$1132</f>
        <v>204371.56960000002</v>
      </c>
      <c r="AD1132" s="6">
        <f>$O$1132*$X$1132</f>
        <v>77842.820880000014</v>
      </c>
      <c r="AE1132" s="6">
        <f>$K$1132*$Y$1132</f>
        <v>0</v>
      </c>
      <c r="AF1132" s="6">
        <f ca="1">$M$1132*$Z$1132</f>
        <v>221396.55419519776</v>
      </c>
      <c r="AG1132" s="6">
        <f>$O$1132*$AA$1132</f>
        <v>101692.91888448905</v>
      </c>
    </row>
    <row r="1133" spans="1:33" ht="11.25" customHeight="1" x14ac:dyDescent="0.25">
      <c r="A1133" s="4" t="s">
        <v>30</v>
      </c>
      <c r="B1133" s="4" t="s">
        <v>22</v>
      </c>
      <c r="C1133" s="4" t="s">
        <v>23</v>
      </c>
      <c r="D1133" s="4" t="s">
        <v>24</v>
      </c>
      <c r="E1133" s="4" t="s">
        <v>24</v>
      </c>
      <c r="F1133" s="4" t="s">
        <v>25</v>
      </c>
      <c r="G1133" s="4" t="s">
        <v>25</v>
      </c>
      <c r="H1133" s="4" t="s">
        <v>25</v>
      </c>
      <c r="I1133" s="5">
        <v>44621</v>
      </c>
      <c r="J1133" s="6">
        <v>0</v>
      </c>
      <c r="K1133" s="6">
        <v>0</v>
      </c>
      <c r="L1133" s="6">
        <v>-0.84699999999999998</v>
      </c>
      <c r="M1133" s="6">
        <v>-0.84699999999999998</v>
      </c>
      <c r="N1133" s="6">
        <v>-0.84699999999999998</v>
      </c>
      <c r="O1133" s="6">
        <v>-0.84699999999999998</v>
      </c>
      <c r="P1133" s="6">
        <v>0</v>
      </c>
      <c r="Q1133" s="4" t="s">
        <v>26</v>
      </c>
      <c r="R1133" s="4">
        <v>0</v>
      </c>
      <c r="S1133" s="6">
        <v>0</v>
      </c>
      <c r="T1133" s="6">
        <v>39</v>
      </c>
      <c r="U1133" s="6">
        <v>83</v>
      </c>
      <c r="V1133" s="6">
        <f>IF(ISERROR(VLOOKUP($S$1133,'TAR FIN'!$A$1:$O$115,15,0)),0,VLOOKUP($S$1133,'TAR FIN'!$A$1:$O$115,15,0))</f>
        <v>0</v>
      </c>
      <c r="W1133" s="6">
        <f>IF(ISERROR(VLOOKUP($T$1133,'TAR FIN'!$A$1:$O$115,15,0)),0,VLOOKUP($T$1133,'TAR FIN'!$A$1:$O$115,15,0))</f>
        <v>463.6</v>
      </c>
      <c r="X1133" s="6">
        <f>IF(ISERROR(VLOOKUP($U$1133,'TAR FIN'!$A$1:$O$115,15,0)),0,VLOOKUP($U$1133,'TAR FIN'!$A$1:$O$115,15,0))</f>
        <v>176.58</v>
      </c>
      <c r="Y1133" s="6"/>
      <c r="Z1133" s="6">
        <f ca="1">('TUSD BE'!$AM$37+'TUSD BF'!$AM$37+'TUSD CVA'!$AM$37)*1</f>
        <v>502.21976924570083</v>
      </c>
      <c r="AA1133" s="6">
        <f>('TE BE'!$AB$20+'TE BF'!$AB$20+'TE CVA'!$AB$20)*1</f>
        <v>230.68197444058345</v>
      </c>
      <c r="AB1133" s="6">
        <f>$K$1133*$V$1133</f>
        <v>0</v>
      </c>
      <c r="AC1133" s="6">
        <f>$M$1133*$W$1133</f>
        <v>-392.66919999999999</v>
      </c>
      <c r="AD1133" s="6">
        <f>$O$1133*$X$1133</f>
        <v>-149.56326000000001</v>
      </c>
      <c r="AE1133" s="6">
        <f>$K$1133*$Y$1133</f>
        <v>0</v>
      </c>
      <c r="AF1133" s="6">
        <f ca="1">$M$1133*$Z$1133</f>
        <v>-425.38014455110857</v>
      </c>
      <c r="AG1133" s="6">
        <f>$O$1133*$AA$1133</f>
        <v>-195.38763235117418</v>
      </c>
    </row>
    <row r="1134" spans="1:33" ht="11.25" customHeight="1" x14ac:dyDescent="0.25">
      <c r="A1134" s="4" t="s">
        <v>21</v>
      </c>
      <c r="B1134" s="4" t="s">
        <v>22</v>
      </c>
      <c r="C1134" s="4" t="s">
        <v>23</v>
      </c>
      <c r="D1134" s="4" t="s">
        <v>24</v>
      </c>
      <c r="E1134" s="4" t="s">
        <v>24</v>
      </c>
      <c r="F1134" s="4" t="s">
        <v>25</v>
      </c>
      <c r="G1134" s="4" t="s">
        <v>25</v>
      </c>
      <c r="H1134" s="4" t="s">
        <v>25</v>
      </c>
      <c r="I1134" s="5">
        <v>44652</v>
      </c>
      <c r="J1134" s="6">
        <v>0</v>
      </c>
      <c r="K1134" s="6">
        <v>0</v>
      </c>
      <c r="L1134" s="6">
        <v>28132.199000000001</v>
      </c>
      <c r="M1134" s="6">
        <v>28132.199000000001</v>
      </c>
      <c r="N1134" s="6">
        <v>28132.199000000001</v>
      </c>
      <c r="O1134" s="6">
        <v>28132.199000000001</v>
      </c>
      <c r="P1134" s="6">
        <v>132356</v>
      </c>
      <c r="Q1134" s="4" t="s">
        <v>26</v>
      </c>
      <c r="R1134" s="4">
        <v>0</v>
      </c>
      <c r="S1134" s="6">
        <v>0</v>
      </c>
      <c r="T1134" s="6">
        <v>39</v>
      </c>
      <c r="U1134" s="6">
        <v>83</v>
      </c>
      <c r="V1134" s="6">
        <f>IF(ISERROR(VLOOKUP($S$1134,'TAR FIN'!$A$1:$O$115,15,0)),0,VLOOKUP($S$1134,'TAR FIN'!$A$1:$O$115,15,0))</f>
        <v>0</v>
      </c>
      <c r="W1134" s="6">
        <f>IF(ISERROR(VLOOKUP($T$1134,'TAR FIN'!$A$1:$O$115,15,0)),0,VLOOKUP($T$1134,'TAR FIN'!$A$1:$O$115,15,0))</f>
        <v>463.6</v>
      </c>
      <c r="X1134" s="6">
        <f>IF(ISERROR(VLOOKUP($U$1134,'TAR FIN'!$A$1:$O$115,15,0)),0,VLOOKUP($U$1134,'TAR FIN'!$A$1:$O$115,15,0))</f>
        <v>176.58</v>
      </c>
      <c r="Y1134" s="6"/>
      <c r="Z1134" s="6">
        <f ca="1">('TUSD BE'!$AM$37+'TUSD BF'!$AM$37+'TUSD CVA'!$AM$37)*1</f>
        <v>502.21976924570083</v>
      </c>
      <c r="AA1134" s="6">
        <f>('TE BE'!$AB$20+'TE BF'!$AB$20+'TE CVA'!$AB$20)*1</f>
        <v>230.68197444058345</v>
      </c>
      <c r="AB1134" s="6">
        <f>$K$1134*$V$1134</f>
        <v>0</v>
      </c>
      <c r="AC1134" s="6">
        <f>$M$1134*$W$1134</f>
        <v>13042087.456400001</v>
      </c>
      <c r="AD1134" s="6">
        <f>$O$1134*$X$1134</f>
        <v>4967583.6994200004</v>
      </c>
      <c r="AE1134" s="6">
        <f>$K$1134*$Y$1134</f>
        <v>0</v>
      </c>
      <c r="AF1134" s="6">
        <f ca="1">$M$1134*$Z$1134</f>
        <v>14128546.490154136</v>
      </c>
      <c r="AG1134" s="6">
        <f>$O$1134*$AA$1134</f>
        <v>6489591.2106754072</v>
      </c>
    </row>
    <row r="1135" spans="1:33" ht="11.25" customHeight="1" x14ac:dyDescent="0.25">
      <c r="A1135" s="4" t="s">
        <v>27</v>
      </c>
      <c r="B1135" s="4" t="s">
        <v>22</v>
      </c>
      <c r="C1135" s="4" t="s">
        <v>23</v>
      </c>
      <c r="D1135" s="4" t="s">
        <v>24</v>
      </c>
      <c r="E1135" s="4" t="s">
        <v>24</v>
      </c>
      <c r="F1135" s="4" t="s">
        <v>25</v>
      </c>
      <c r="G1135" s="4" t="s">
        <v>25</v>
      </c>
      <c r="H1135" s="4" t="s">
        <v>25</v>
      </c>
      <c r="I1135" s="5">
        <v>44652</v>
      </c>
      <c r="J1135" s="6">
        <v>0</v>
      </c>
      <c r="K1135" s="6">
        <v>0</v>
      </c>
      <c r="L1135" s="6">
        <v>-319.399</v>
      </c>
      <c r="M1135" s="6">
        <v>-319.399</v>
      </c>
      <c r="N1135" s="6">
        <v>-319.399</v>
      </c>
      <c r="O1135" s="6">
        <v>-319.399</v>
      </c>
      <c r="P1135" s="6">
        <v>-190</v>
      </c>
      <c r="Q1135" s="4" t="s">
        <v>26</v>
      </c>
      <c r="R1135" s="4">
        <v>0</v>
      </c>
      <c r="S1135" s="6">
        <v>0</v>
      </c>
      <c r="T1135" s="6">
        <v>39</v>
      </c>
      <c r="U1135" s="6">
        <v>83</v>
      </c>
      <c r="V1135" s="6">
        <f>IF(ISERROR(VLOOKUP($S$1135,'TAR FIN'!$A$1:$O$115,15,0)),0,VLOOKUP($S$1135,'TAR FIN'!$A$1:$O$115,15,0))</f>
        <v>0</v>
      </c>
      <c r="W1135" s="6">
        <f>IF(ISERROR(VLOOKUP($T$1135,'TAR FIN'!$A$1:$O$115,15,0)),0,VLOOKUP($T$1135,'TAR FIN'!$A$1:$O$115,15,0))</f>
        <v>463.6</v>
      </c>
      <c r="X1135" s="6">
        <f>IF(ISERROR(VLOOKUP($U$1135,'TAR FIN'!$A$1:$O$115,15,0)),0,VLOOKUP($U$1135,'TAR FIN'!$A$1:$O$115,15,0))</f>
        <v>176.58</v>
      </c>
      <c r="Y1135" s="6"/>
      <c r="Z1135" s="6">
        <f ca="1">('TUSD BE'!$AM$37+'TUSD BF'!$AM$37+'TUSD CVA'!$AM$37)*1</f>
        <v>502.21976924570083</v>
      </c>
      <c r="AA1135" s="6">
        <f>('TE BE'!$AB$20+'TE BF'!$AB$20+'TE CVA'!$AB$20)*1</f>
        <v>230.68197444058345</v>
      </c>
      <c r="AB1135" s="6">
        <f>$K$1135*$V$1135</f>
        <v>0</v>
      </c>
      <c r="AC1135" s="6">
        <f>$M$1135*$W$1135</f>
        <v>-148073.37640000001</v>
      </c>
      <c r="AD1135" s="6">
        <f>$O$1135*$X$1135</f>
        <v>-56399.475420000002</v>
      </c>
      <c r="AE1135" s="6">
        <f>$K$1135*$Y$1135</f>
        <v>0</v>
      </c>
      <c r="AF1135" s="6">
        <f ca="1">$M$1135*$Z$1135</f>
        <v>-160408.4920773076</v>
      </c>
      <c r="AG1135" s="6">
        <f>$O$1135*$AA$1135</f>
        <v>-73679.59195434791</v>
      </c>
    </row>
    <row r="1136" spans="1:33" ht="11.25" customHeight="1" x14ac:dyDescent="0.25">
      <c r="A1136" s="4" t="s">
        <v>28</v>
      </c>
      <c r="B1136" s="4" t="s">
        <v>22</v>
      </c>
      <c r="C1136" s="4" t="s">
        <v>23</v>
      </c>
      <c r="D1136" s="4" t="s">
        <v>24</v>
      </c>
      <c r="E1136" s="4" t="s">
        <v>24</v>
      </c>
      <c r="F1136" s="4" t="s">
        <v>25</v>
      </c>
      <c r="G1136" s="4" t="s">
        <v>25</v>
      </c>
      <c r="H1136" s="4" t="s">
        <v>25</v>
      </c>
      <c r="I1136" s="5">
        <v>44652</v>
      </c>
      <c r="J1136" s="6">
        <v>0</v>
      </c>
      <c r="K1136" s="6">
        <v>0</v>
      </c>
      <c r="L1136" s="6">
        <v>6118.0929999999998</v>
      </c>
      <c r="M1136" s="6">
        <v>6118.0929999999998</v>
      </c>
      <c r="N1136" s="6">
        <v>6118.0929999999998</v>
      </c>
      <c r="O1136" s="6">
        <v>6118.0929999999998</v>
      </c>
      <c r="P1136" s="6">
        <v>34744</v>
      </c>
      <c r="Q1136" s="4" t="s">
        <v>26</v>
      </c>
      <c r="R1136" s="4">
        <v>0</v>
      </c>
      <c r="S1136" s="6">
        <v>0</v>
      </c>
      <c r="T1136" s="6">
        <v>39</v>
      </c>
      <c r="U1136" s="6">
        <v>83</v>
      </c>
      <c r="V1136" s="6">
        <f>IF(ISERROR(VLOOKUP($S$1136,'TAR FIN'!$A$1:$O$115,15,0)),0,VLOOKUP($S$1136,'TAR FIN'!$A$1:$O$115,15,0))</f>
        <v>0</v>
      </c>
      <c r="W1136" s="6">
        <f>IF(ISERROR(VLOOKUP($T$1136,'TAR FIN'!$A$1:$O$115,15,0)),0,VLOOKUP($T$1136,'TAR FIN'!$A$1:$O$115,15,0))</f>
        <v>463.6</v>
      </c>
      <c r="X1136" s="6">
        <f>IF(ISERROR(VLOOKUP($U$1136,'TAR FIN'!$A$1:$O$115,15,0)),0,VLOOKUP($U$1136,'TAR FIN'!$A$1:$O$115,15,0))</f>
        <v>176.58</v>
      </c>
      <c r="Y1136" s="6"/>
      <c r="Z1136" s="6">
        <f ca="1">('TUSD BE'!$AM$37+'TUSD BF'!$AM$37+'TUSD CVA'!$AM$37)*1</f>
        <v>502.21976924570083</v>
      </c>
      <c r="AA1136" s="6">
        <f>('TE BE'!$AB$20+'TE BF'!$AB$20+'TE CVA'!$AB$20)*1</f>
        <v>230.68197444058345</v>
      </c>
      <c r="AB1136" s="6">
        <f>$K$1136*$V$1136</f>
        <v>0</v>
      </c>
      <c r="AC1136" s="6">
        <f>$M$1136*$W$1136</f>
        <v>2836347.9147999999</v>
      </c>
      <c r="AD1136" s="6">
        <f>$O$1136*$X$1136</f>
        <v>1080332.86194</v>
      </c>
      <c r="AE1136" s="6">
        <f>$K$1136*$Y$1136</f>
        <v>0</v>
      </c>
      <c r="AF1136" s="6">
        <f ca="1">$M$1136*$Z$1136</f>
        <v>3072627.2546837376</v>
      </c>
      <c r="AG1136" s="6">
        <f>$O$1136*$AA$1136</f>
        <v>1411333.7730511124</v>
      </c>
    </row>
    <row r="1137" spans="1:33" ht="11.25" customHeight="1" x14ac:dyDescent="0.25">
      <c r="A1137" s="4" t="s">
        <v>29</v>
      </c>
      <c r="B1137" s="4" t="s">
        <v>22</v>
      </c>
      <c r="C1137" s="4" t="s">
        <v>23</v>
      </c>
      <c r="D1137" s="4" t="s">
        <v>24</v>
      </c>
      <c r="E1137" s="4" t="s">
        <v>24</v>
      </c>
      <c r="F1137" s="4" t="s">
        <v>25</v>
      </c>
      <c r="G1137" s="4" t="s">
        <v>25</v>
      </c>
      <c r="H1137" s="4" t="s">
        <v>25</v>
      </c>
      <c r="I1137" s="5">
        <v>44652</v>
      </c>
      <c r="J1137" s="6">
        <v>0</v>
      </c>
      <c r="K1137" s="6">
        <v>0</v>
      </c>
      <c r="L1137" s="6">
        <v>-24.042000000000002</v>
      </c>
      <c r="M1137" s="6">
        <v>-24.042000000000002</v>
      </c>
      <c r="N1137" s="6">
        <v>-24.042000000000002</v>
      </c>
      <c r="O1137" s="6">
        <v>-24.042000000000002</v>
      </c>
      <c r="P1137" s="6">
        <v>-141</v>
      </c>
      <c r="Q1137" s="4" t="s">
        <v>26</v>
      </c>
      <c r="R1137" s="4">
        <v>0</v>
      </c>
      <c r="S1137" s="6">
        <v>0</v>
      </c>
      <c r="T1137" s="6">
        <v>39</v>
      </c>
      <c r="U1137" s="6">
        <v>83</v>
      </c>
      <c r="V1137" s="6">
        <f>IF(ISERROR(VLOOKUP($S$1137,'TAR FIN'!$A$1:$O$115,15,0)),0,VLOOKUP($S$1137,'TAR FIN'!$A$1:$O$115,15,0))</f>
        <v>0</v>
      </c>
      <c r="W1137" s="6">
        <f>IF(ISERROR(VLOOKUP($T$1137,'TAR FIN'!$A$1:$O$115,15,0)),0,VLOOKUP($T$1137,'TAR FIN'!$A$1:$O$115,15,0))</f>
        <v>463.6</v>
      </c>
      <c r="X1137" s="6">
        <f>IF(ISERROR(VLOOKUP($U$1137,'TAR FIN'!$A$1:$O$115,15,0)),0,VLOOKUP($U$1137,'TAR FIN'!$A$1:$O$115,15,0))</f>
        <v>176.58</v>
      </c>
      <c r="Y1137" s="6"/>
      <c r="Z1137" s="6">
        <f ca="1">('TUSD BE'!$AM$37+'TUSD BF'!$AM$37+'TUSD CVA'!$AM$37)*1</f>
        <v>502.21976924570083</v>
      </c>
      <c r="AA1137" s="6">
        <f>('TE BE'!$AB$20+'TE BF'!$AB$20+'TE CVA'!$AB$20)*1</f>
        <v>230.68197444058345</v>
      </c>
      <c r="AB1137" s="6">
        <f>$K$1137*$V$1137</f>
        <v>0</v>
      </c>
      <c r="AC1137" s="6">
        <f>$M$1137*$W$1137</f>
        <v>-11145.871200000001</v>
      </c>
      <c r="AD1137" s="6">
        <f>$O$1137*$X$1137</f>
        <v>-4245.3363600000002</v>
      </c>
      <c r="AE1137" s="6">
        <f>$K$1137*$Y$1137</f>
        <v>0</v>
      </c>
      <c r="AF1137" s="6">
        <f ca="1">$M$1137*$Z$1137</f>
        <v>-12074.36769220514</v>
      </c>
      <c r="AG1137" s="6">
        <f>$O$1137*$AA$1137</f>
        <v>-5546.056029500508</v>
      </c>
    </row>
    <row r="1138" spans="1:33" ht="11.25" customHeight="1" x14ac:dyDescent="0.25">
      <c r="A1138" s="4" t="s">
        <v>30</v>
      </c>
      <c r="B1138" s="4" t="s">
        <v>22</v>
      </c>
      <c r="C1138" s="4" t="s">
        <v>23</v>
      </c>
      <c r="D1138" s="4" t="s">
        <v>24</v>
      </c>
      <c r="E1138" s="4" t="s">
        <v>24</v>
      </c>
      <c r="F1138" s="4" t="s">
        <v>25</v>
      </c>
      <c r="G1138" s="4" t="s">
        <v>25</v>
      </c>
      <c r="H1138" s="4" t="s">
        <v>25</v>
      </c>
      <c r="I1138" s="5">
        <v>44652</v>
      </c>
      <c r="J1138" s="6">
        <v>0</v>
      </c>
      <c r="K1138" s="6">
        <v>0</v>
      </c>
      <c r="L1138" s="6">
        <v>444.483</v>
      </c>
      <c r="M1138" s="6">
        <v>444.483</v>
      </c>
      <c r="N1138" s="6">
        <v>444.483</v>
      </c>
      <c r="O1138" s="6">
        <v>444.483</v>
      </c>
      <c r="P1138" s="6">
        <v>2851</v>
      </c>
      <c r="Q1138" s="4" t="s">
        <v>26</v>
      </c>
      <c r="R1138" s="4">
        <v>0</v>
      </c>
      <c r="S1138" s="6">
        <v>0</v>
      </c>
      <c r="T1138" s="6">
        <v>39</v>
      </c>
      <c r="U1138" s="6">
        <v>83</v>
      </c>
      <c r="V1138" s="6">
        <f>IF(ISERROR(VLOOKUP($S$1138,'TAR FIN'!$A$1:$O$115,15,0)),0,VLOOKUP($S$1138,'TAR FIN'!$A$1:$O$115,15,0))</f>
        <v>0</v>
      </c>
      <c r="W1138" s="6">
        <f>IF(ISERROR(VLOOKUP($T$1138,'TAR FIN'!$A$1:$O$115,15,0)),0,VLOOKUP($T$1138,'TAR FIN'!$A$1:$O$115,15,0))</f>
        <v>463.6</v>
      </c>
      <c r="X1138" s="6">
        <f>IF(ISERROR(VLOOKUP($U$1138,'TAR FIN'!$A$1:$O$115,15,0)),0,VLOOKUP($U$1138,'TAR FIN'!$A$1:$O$115,15,0))</f>
        <v>176.58</v>
      </c>
      <c r="Y1138" s="6"/>
      <c r="Z1138" s="6">
        <f ca="1">('TUSD BE'!$AM$37+'TUSD BF'!$AM$37+'TUSD CVA'!$AM$37)*1</f>
        <v>502.21976924570083</v>
      </c>
      <c r="AA1138" s="6">
        <f>('TE BE'!$AB$20+'TE BF'!$AB$20+'TE CVA'!$AB$20)*1</f>
        <v>230.68197444058345</v>
      </c>
      <c r="AB1138" s="6">
        <f>$K$1138*$V$1138</f>
        <v>0</v>
      </c>
      <c r="AC1138" s="6">
        <f>$M$1138*$W$1138</f>
        <v>206062.31880000001</v>
      </c>
      <c r="AD1138" s="6">
        <f>$O$1138*$X$1138</f>
        <v>78486.808140000008</v>
      </c>
      <c r="AE1138" s="6">
        <f>$K$1138*$Y$1138</f>
        <v>0</v>
      </c>
      <c r="AF1138" s="6">
        <f ca="1">$M$1138*$Z$1138</f>
        <v>223228.14969363683</v>
      </c>
      <c r="AG1138" s="6">
        <f>$O$1138*$AA$1138</f>
        <v>102534.21604527385</v>
      </c>
    </row>
    <row r="1139" spans="1:33" ht="11.25" customHeight="1" x14ac:dyDescent="0.25">
      <c r="A1139" s="4" t="s">
        <v>30</v>
      </c>
      <c r="B1139" s="4" t="s">
        <v>22</v>
      </c>
      <c r="C1139" s="4" t="s">
        <v>23</v>
      </c>
      <c r="D1139" s="4" t="s">
        <v>24</v>
      </c>
      <c r="E1139" s="4" t="s">
        <v>24</v>
      </c>
      <c r="F1139" s="4" t="s">
        <v>25</v>
      </c>
      <c r="G1139" s="4" t="s">
        <v>25</v>
      </c>
      <c r="H1139" s="4" t="s">
        <v>25</v>
      </c>
      <c r="I1139" s="5">
        <v>44652</v>
      </c>
      <c r="J1139" s="6">
        <v>0</v>
      </c>
      <c r="K1139" s="6">
        <v>0</v>
      </c>
      <c r="L1139" s="6">
        <v>-0.71399999999999997</v>
      </c>
      <c r="M1139" s="6">
        <v>-0.71399999999999997</v>
      </c>
      <c r="N1139" s="6">
        <v>-0.71399999999999997</v>
      </c>
      <c r="O1139" s="6">
        <v>-0.71399999999999997</v>
      </c>
      <c r="P1139" s="6">
        <v>0</v>
      </c>
      <c r="Q1139" s="4" t="s">
        <v>26</v>
      </c>
      <c r="R1139" s="4">
        <v>0</v>
      </c>
      <c r="S1139" s="6">
        <v>0</v>
      </c>
      <c r="T1139" s="6">
        <v>39</v>
      </c>
      <c r="U1139" s="6">
        <v>83</v>
      </c>
      <c r="V1139" s="6">
        <f>IF(ISERROR(VLOOKUP($S$1139,'TAR FIN'!$A$1:$O$115,15,0)),0,VLOOKUP($S$1139,'TAR FIN'!$A$1:$O$115,15,0))</f>
        <v>0</v>
      </c>
      <c r="W1139" s="6">
        <f>IF(ISERROR(VLOOKUP($T$1139,'TAR FIN'!$A$1:$O$115,15,0)),0,VLOOKUP($T$1139,'TAR FIN'!$A$1:$O$115,15,0))</f>
        <v>463.6</v>
      </c>
      <c r="X1139" s="6">
        <f>IF(ISERROR(VLOOKUP($U$1139,'TAR FIN'!$A$1:$O$115,15,0)),0,VLOOKUP($U$1139,'TAR FIN'!$A$1:$O$115,15,0))</f>
        <v>176.58</v>
      </c>
      <c r="Y1139" s="6"/>
      <c r="Z1139" s="6">
        <f ca="1">('TUSD BE'!$AM$37+'TUSD BF'!$AM$37+'TUSD CVA'!$AM$37)*1</f>
        <v>502.21976924570083</v>
      </c>
      <c r="AA1139" s="6">
        <f>('TE BE'!$AB$20+'TE BF'!$AB$20+'TE CVA'!$AB$20)*1</f>
        <v>230.68197444058345</v>
      </c>
      <c r="AB1139" s="6">
        <f>$K$1139*$V$1139</f>
        <v>0</v>
      </c>
      <c r="AC1139" s="6">
        <f>$M$1139*$W$1139</f>
        <v>-331.0104</v>
      </c>
      <c r="AD1139" s="6">
        <f>$O$1139*$X$1139</f>
        <v>-126.07812</v>
      </c>
      <c r="AE1139" s="6">
        <f>$K$1139*$Y$1139</f>
        <v>0</v>
      </c>
      <c r="AF1139" s="6">
        <f ca="1">$M$1139*$Z$1139</f>
        <v>-358.58491524143039</v>
      </c>
      <c r="AG1139" s="6">
        <f>$O$1139*$AA$1139</f>
        <v>-164.70692975057656</v>
      </c>
    </row>
    <row r="1140" spans="1:33" ht="11.25" customHeight="1" x14ac:dyDescent="0.25">
      <c r="A1140" s="4" t="s">
        <v>21</v>
      </c>
      <c r="B1140" s="4" t="s">
        <v>22</v>
      </c>
      <c r="C1140" s="4" t="s">
        <v>23</v>
      </c>
      <c r="D1140" s="4" t="s">
        <v>24</v>
      </c>
      <c r="E1140" s="4" t="s">
        <v>24</v>
      </c>
      <c r="F1140" s="4" t="s">
        <v>25</v>
      </c>
      <c r="G1140" s="4" t="s">
        <v>25</v>
      </c>
      <c r="H1140" s="4" t="s">
        <v>25</v>
      </c>
      <c r="I1140" s="5">
        <v>44682</v>
      </c>
      <c r="J1140" s="6">
        <v>0</v>
      </c>
      <c r="K1140" s="6">
        <v>0</v>
      </c>
      <c r="L1140" s="6">
        <v>30054.797999999999</v>
      </c>
      <c r="M1140" s="6">
        <v>30054.797999999999</v>
      </c>
      <c r="N1140" s="6">
        <v>30054.797999999999</v>
      </c>
      <c r="O1140" s="6">
        <v>30054.797999999999</v>
      </c>
      <c r="P1140" s="6">
        <v>133517</v>
      </c>
      <c r="Q1140" s="4" t="s">
        <v>26</v>
      </c>
      <c r="R1140" s="4">
        <v>0</v>
      </c>
      <c r="S1140" s="6">
        <v>0</v>
      </c>
      <c r="T1140" s="6">
        <v>39</v>
      </c>
      <c r="U1140" s="6">
        <v>83</v>
      </c>
      <c r="V1140" s="6">
        <f>IF(ISERROR(VLOOKUP($S$1140,'TAR FIN'!$A$1:$O$115,15,0)),0,VLOOKUP($S$1140,'TAR FIN'!$A$1:$O$115,15,0))</f>
        <v>0</v>
      </c>
      <c r="W1140" s="6">
        <f>IF(ISERROR(VLOOKUP($T$1140,'TAR FIN'!$A$1:$O$115,15,0)),0,VLOOKUP($T$1140,'TAR FIN'!$A$1:$O$115,15,0))</f>
        <v>463.6</v>
      </c>
      <c r="X1140" s="6">
        <f>IF(ISERROR(VLOOKUP($U$1140,'TAR FIN'!$A$1:$O$115,15,0)),0,VLOOKUP($U$1140,'TAR FIN'!$A$1:$O$115,15,0))</f>
        <v>176.58</v>
      </c>
      <c r="Y1140" s="6"/>
      <c r="Z1140" s="6">
        <f ca="1">('TUSD BE'!$AM$37+'TUSD BF'!$AM$37+'TUSD CVA'!$AM$37)*1</f>
        <v>502.21976924570083</v>
      </c>
      <c r="AA1140" s="6">
        <f>('TE BE'!$AB$20+'TE BF'!$AB$20+'TE CVA'!$AB$20)*1</f>
        <v>230.68197444058345</v>
      </c>
      <c r="AB1140" s="6">
        <f>$K$1140*$V$1140</f>
        <v>0</v>
      </c>
      <c r="AC1140" s="6">
        <f>$M$1140*$W$1140</f>
        <v>13933404.3528</v>
      </c>
      <c r="AD1140" s="6">
        <f>$O$1140*$X$1140</f>
        <v>5307076.2308400003</v>
      </c>
      <c r="AE1140" s="6">
        <f>$K$1140*$Y$1140</f>
        <v>0</v>
      </c>
      <c r="AF1140" s="6">
        <f ca="1">$M$1140*$Z$1140</f>
        <v>15094113.716286151</v>
      </c>
      <c r="AG1140" s="6">
        <f>$O$1140*$AA$1140</f>
        <v>6933100.1440528985</v>
      </c>
    </row>
    <row r="1141" spans="1:33" ht="11.25" customHeight="1" x14ac:dyDescent="0.25">
      <c r="A1141" s="4" t="s">
        <v>27</v>
      </c>
      <c r="B1141" s="4" t="s">
        <v>22</v>
      </c>
      <c r="C1141" s="4" t="s">
        <v>23</v>
      </c>
      <c r="D1141" s="4" t="s">
        <v>24</v>
      </c>
      <c r="E1141" s="4" t="s">
        <v>24</v>
      </c>
      <c r="F1141" s="4" t="s">
        <v>25</v>
      </c>
      <c r="G1141" s="4" t="s">
        <v>25</v>
      </c>
      <c r="H1141" s="4" t="s">
        <v>25</v>
      </c>
      <c r="I1141" s="5">
        <v>44682</v>
      </c>
      <c r="J1141" s="6">
        <v>0</v>
      </c>
      <c r="K1141" s="6">
        <v>0</v>
      </c>
      <c r="L1141" s="6">
        <v>-453.137</v>
      </c>
      <c r="M1141" s="6">
        <v>-453.137</v>
      </c>
      <c r="N1141" s="6">
        <v>-453.137</v>
      </c>
      <c r="O1141" s="6">
        <v>-453.137</v>
      </c>
      <c r="P1141" s="6">
        <v>-85</v>
      </c>
      <c r="Q1141" s="4" t="s">
        <v>26</v>
      </c>
      <c r="R1141" s="4">
        <v>0</v>
      </c>
      <c r="S1141" s="6">
        <v>0</v>
      </c>
      <c r="T1141" s="6">
        <v>39</v>
      </c>
      <c r="U1141" s="6">
        <v>83</v>
      </c>
      <c r="V1141" s="6">
        <f>IF(ISERROR(VLOOKUP($S$1141,'TAR FIN'!$A$1:$O$115,15,0)),0,VLOOKUP($S$1141,'TAR FIN'!$A$1:$O$115,15,0))</f>
        <v>0</v>
      </c>
      <c r="W1141" s="6">
        <f>IF(ISERROR(VLOOKUP($T$1141,'TAR FIN'!$A$1:$O$115,15,0)),0,VLOOKUP($T$1141,'TAR FIN'!$A$1:$O$115,15,0))</f>
        <v>463.6</v>
      </c>
      <c r="X1141" s="6">
        <f>IF(ISERROR(VLOOKUP($U$1141,'TAR FIN'!$A$1:$O$115,15,0)),0,VLOOKUP($U$1141,'TAR FIN'!$A$1:$O$115,15,0))</f>
        <v>176.58</v>
      </c>
      <c r="Y1141" s="6"/>
      <c r="Z1141" s="6">
        <f ca="1">('TUSD BE'!$AM$37+'TUSD BF'!$AM$37+'TUSD CVA'!$AM$37)*1</f>
        <v>502.21976924570083</v>
      </c>
      <c r="AA1141" s="6">
        <f>('TE BE'!$AB$20+'TE BF'!$AB$20+'TE CVA'!$AB$20)*1</f>
        <v>230.68197444058345</v>
      </c>
      <c r="AB1141" s="6">
        <f>$K$1141*$V$1141</f>
        <v>0</v>
      </c>
      <c r="AC1141" s="6">
        <f>$M$1141*$W$1141</f>
        <v>-210074.3132</v>
      </c>
      <c r="AD1141" s="6">
        <f>$O$1141*$X$1141</f>
        <v>-80014.931460000007</v>
      </c>
      <c r="AE1141" s="6">
        <f>$K$1141*$Y$1141</f>
        <v>0</v>
      </c>
      <c r="AF1141" s="6">
        <f ca="1">$M$1141*$Z$1141</f>
        <v>-227574.35957668914</v>
      </c>
      <c r="AG1141" s="6">
        <f>$O$1141*$AA$1141</f>
        <v>-104530.53785208266</v>
      </c>
    </row>
    <row r="1142" spans="1:33" ht="11.25" customHeight="1" x14ac:dyDescent="0.25">
      <c r="A1142" s="4" t="s">
        <v>28</v>
      </c>
      <c r="B1142" s="4" t="s">
        <v>22</v>
      </c>
      <c r="C1142" s="4" t="s">
        <v>23</v>
      </c>
      <c r="D1142" s="4" t="s">
        <v>24</v>
      </c>
      <c r="E1142" s="4" t="s">
        <v>24</v>
      </c>
      <c r="F1142" s="4" t="s">
        <v>25</v>
      </c>
      <c r="G1142" s="4" t="s">
        <v>25</v>
      </c>
      <c r="H1142" s="4" t="s">
        <v>25</v>
      </c>
      <c r="I1142" s="5">
        <v>44682</v>
      </c>
      <c r="J1142" s="6">
        <v>0</v>
      </c>
      <c r="K1142" s="6">
        <v>0</v>
      </c>
      <c r="L1142" s="6">
        <v>6349.5680000000002</v>
      </c>
      <c r="M1142" s="6">
        <v>6349.5680000000002</v>
      </c>
      <c r="N1142" s="6">
        <v>6349.5680000000002</v>
      </c>
      <c r="O1142" s="6">
        <v>6349.5680000000002</v>
      </c>
      <c r="P1142" s="6">
        <v>35309</v>
      </c>
      <c r="Q1142" s="4" t="s">
        <v>26</v>
      </c>
      <c r="R1142" s="4">
        <v>0</v>
      </c>
      <c r="S1142" s="6">
        <v>0</v>
      </c>
      <c r="T1142" s="6">
        <v>39</v>
      </c>
      <c r="U1142" s="6">
        <v>83</v>
      </c>
      <c r="V1142" s="6">
        <f>IF(ISERROR(VLOOKUP($S$1142,'TAR FIN'!$A$1:$O$115,15,0)),0,VLOOKUP($S$1142,'TAR FIN'!$A$1:$O$115,15,0))</f>
        <v>0</v>
      </c>
      <c r="W1142" s="6">
        <f>IF(ISERROR(VLOOKUP($T$1142,'TAR FIN'!$A$1:$O$115,15,0)),0,VLOOKUP($T$1142,'TAR FIN'!$A$1:$O$115,15,0))</f>
        <v>463.6</v>
      </c>
      <c r="X1142" s="6">
        <f>IF(ISERROR(VLOOKUP($U$1142,'TAR FIN'!$A$1:$O$115,15,0)),0,VLOOKUP($U$1142,'TAR FIN'!$A$1:$O$115,15,0))</f>
        <v>176.58</v>
      </c>
      <c r="Y1142" s="6"/>
      <c r="Z1142" s="6">
        <f ca="1">('TUSD BE'!$AM$37+'TUSD BF'!$AM$37+'TUSD CVA'!$AM$37)*1</f>
        <v>502.21976924570083</v>
      </c>
      <c r="AA1142" s="6">
        <f>('TE BE'!$AB$20+'TE BF'!$AB$20+'TE CVA'!$AB$20)*1</f>
        <v>230.68197444058345</v>
      </c>
      <c r="AB1142" s="6">
        <f>$K$1142*$V$1142</f>
        <v>0</v>
      </c>
      <c r="AC1142" s="6">
        <f>$M$1142*$W$1142</f>
        <v>2943659.7248000004</v>
      </c>
      <c r="AD1142" s="6">
        <f>$O$1142*$X$1142</f>
        <v>1121206.71744</v>
      </c>
      <c r="AE1142" s="6">
        <f>$K$1142*$Y$1142</f>
        <v>0</v>
      </c>
      <c r="AF1142" s="6">
        <f ca="1">$M$1142*$Z$1142</f>
        <v>3188878.5757698864</v>
      </c>
      <c r="AG1142" s="6">
        <f>$O$1142*$AA$1142</f>
        <v>1464730.8830847465</v>
      </c>
    </row>
    <row r="1143" spans="1:33" ht="11.25" customHeight="1" x14ac:dyDescent="0.25">
      <c r="A1143" s="4" t="s">
        <v>29</v>
      </c>
      <c r="B1143" s="4" t="s">
        <v>22</v>
      </c>
      <c r="C1143" s="4" t="s">
        <v>23</v>
      </c>
      <c r="D1143" s="4" t="s">
        <v>24</v>
      </c>
      <c r="E1143" s="4" t="s">
        <v>24</v>
      </c>
      <c r="F1143" s="4" t="s">
        <v>25</v>
      </c>
      <c r="G1143" s="4" t="s">
        <v>25</v>
      </c>
      <c r="H1143" s="4" t="s">
        <v>25</v>
      </c>
      <c r="I1143" s="5">
        <v>44682</v>
      </c>
      <c r="J1143" s="6">
        <v>0</v>
      </c>
      <c r="K1143" s="6">
        <v>0</v>
      </c>
      <c r="L1143" s="6">
        <v>-15.249000000000001</v>
      </c>
      <c r="M1143" s="6">
        <v>-15.249000000000001</v>
      </c>
      <c r="N1143" s="6">
        <v>-15.249000000000001</v>
      </c>
      <c r="O1143" s="6">
        <v>-15.249000000000001</v>
      </c>
      <c r="P1143" s="6">
        <v>-15</v>
      </c>
      <c r="Q1143" s="4" t="s">
        <v>26</v>
      </c>
      <c r="R1143" s="4">
        <v>0</v>
      </c>
      <c r="S1143" s="6">
        <v>0</v>
      </c>
      <c r="T1143" s="6">
        <v>39</v>
      </c>
      <c r="U1143" s="6">
        <v>83</v>
      </c>
      <c r="V1143" s="6">
        <f>IF(ISERROR(VLOOKUP($S$1143,'TAR FIN'!$A$1:$O$115,15,0)),0,VLOOKUP($S$1143,'TAR FIN'!$A$1:$O$115,15,0))</f>
        <v>0</v>
      </c>
      <c r="W1143" s="6">
        <f>IF(ISERROR(VLOOKUP($T$1143,'TAR FIN'!$A$1:$O$115,15,0)),0,VLOOKUP($T$1143,'TAR FIN'!$A$1:$O$115,15,0))</f>
        <v>463.6</v>
      </c>
      <c r="X1143" s="6">
        <f>IF(ISERROR(VLOOKUP($U$1143,'TAR FIN'!$A$1:$O$115,15,0)),0,VLOOKUP($U$1143,'TAR FIN'!$A$1:$O$115,15,0))</f>
        <v>176.58</v>
      </c>
      <c r="Y1143" s="6"/>
      <c r="Z1143" s="6">
        <f ca="1">('TUSD BE'!$AM$37+'TUSD BF'!$AM$37+'TUSD CVA'!$AM$37)*1</f>
        <v>502.21976924570083</v>
      </c>
      <c r="AA1143" s="6">
        <f>('TE BE'!$AB$20+'TE BF'!$AB$20+'TE CVA'!$AB$20)*1</f>
        <v>230.68197444058345</v>
      </c>
      <c r="AB1143" s="6">
        <f>$K$1143*$V$1143</f>
        <v>0</v>
      </c>
      <c r="AC1143" s="6">
        <f>$M$1143*$W$1143</f>
        <v>-7069.4364000000005</v>
      </c>
      <c r="AD1143" s="6">
        <f>$O$1143*$X$1143</f>
        <v>-2692.6684200000004</v>
      </c>
      <c r="AE1143" s="6">
        <f>$K$1143*$Y$1143</f>
        <v>0</v>
      </c>
      <c r="AF1143" s="6">
        <f ca="1">$M$1143*$Z$1143</f>
        <v>-7658.3492612276923</v>
      </c>
      <c r="AG1143" s="6">
        <f>$O$1143*$AA$1143</f>
        <v>-3517.6694282444569</v>
      </c>
    </row>
    <row r="1144" spans="1:33" ht="11.25" customHeight="1" x14ac:dyDescent="0.25">
      <c r="A1144" s="4" t="s">
        <v>30</v>
      </c>
      <c r="B1144" s="4" t="s">
        <v>22</v>
      </c>
      <c r="C1144" s="4" t="s">
        <v>23</v>
      </c>
      <c r="D1144" s="4" t="s">
        <v>24</v>
      </c>
      <c r="E1144" s="4" t="s">
        <v>24</v>
      </c>
      <c r="F1144" s="4" t="s">
        <v>25</v>
      </c>
      <c r="G1144" s="4" t="s">
        <v>25</v>
      </c>
      <c r="H1144" s="4" t="s">
        <v>25</v>
      </c>
      <c r="I1144" s="5">
        <v>44682</v>
      </c>
      <c r="J1144" s="6">
        <v>0</v>
      </c>
      <c r="K1144" s="6">
        <v>0</v>
      </c>
      <c r="L1144" s="6">
        <v>490.12200000000001</v>
      </c>
      <c r="M1144" s="6">
        <v>490.12200000000001</v>
      </c>
      <c r="N1144" s="6">
        <v>490.12200000000001</v>
      </c>
      <c r="O1144" s="6">
        <v>490.12200000000001</v>
      </c>
      <c r="P1144" s="6">
        <v>3028</v>
      </c>
      <c r="Q1144" s="4" t="s">
        <v>26</v>
      </c>
      <c r="R1144" s="4">
        <v>0</v>
      </c>
      <c r="S1144" s="6">
        <v>0</v>
      </c>
      <c r="T1144" s="6">
        <v>39</v>
      </c>
      <c r="U1144" s="6">
        <v>83</v>
      </c>
      <c r="V1144" s="6">
        <f>IF(ISERROR(VLOOKUP($S$1144,'TAR FIN'!$A$1:$O$115,15,0)),0,VLOOKUP($S$1144,'TAR FIN'!$A$1:$O$115,15,0))</f>
        <v>0</v>
      </c>
      <c r="W1144" s="6">
        <f>IF(ISERROR(VLOOKUP($T$1144,'TAR FIN'!$A$1:$O$115,15,0)),0,VLOOKUP($T$1144,'TAR FIN'!$A$1:$O$115,15,0))</f>
        <v>463.6</v>
      </c>
      <c r="X1144" s="6">
        <f>IF(ISERROR(VLOOKUP($U$1144,'TAR FIN'!$A$1:$O$115,15,0)),0,VLOOKUP($U$1144,'TAR FIN'!$A$1:$O$115,15,0))</f>
        <v>176.58</v>
      </c>
      <c r="Y1144" s="6"/>
      <c r="Z1144" s="6">
        <f ca="1">('TUSD BE'!$AM$37+'TUSD BF'!$AM$37+'TUSD CVA'!$AM$37)*1</f>
        <v>502.21976924570083</v>
      </c>
      <c r="AA1144" s="6">
        <f>('TE BE'!$AB$20+'TE BF'!$AB$20+'TE CVA'!$AB$20)*1</f>
        <v>230.68197444058345</v>
      </c>
      <c r="AB1144" s="6">
        <f>$K$1144*$V$1144</f>
        <v>0</v>
      </c>
      <c r="AC1144" s="6">
        <f>$M$1144*$W$1144</f>
        <v>227220.55920000002</v>
      </c>
      <c r="AD1144" s="6">
        <f>$O$1144*$X$1144</f>
        <v>86545.742760000008</v>
      </c>
      <c r="AE1144" s="6">
        <f>$K$1144*$Y$1144</f>
        <v>0</v>
      </c>
      <c r="AF1144" s="6">
        <f ca="1">$M$1144*$Z$1144</f>
        <v>246148.95774224139</v>
      </c>
      <c r="AG1144" s="6">
        <f>$O$1144*$AA$1144</f>
        <v>113062.31067676764</v>
      </c>
    </row>
    <row r="1145" spans="1:33" ht="11.25" customHeight="1" x14ac:dyDescent="0.25">
      <c r="A1145" s="4" t="s">
        <v>30</v>
      </c>
      <c r="B1145" s="4" t="s">
        <v>22</v>
      </c>
      <c r="C1145" s="4" t="s">
        <v>23</v>
      </c>
      <c r="D1145" s="4" t="s">
        <v>24</v>
      </c>
      <c r="E1145" s="4" t="s">
        <v>24</v>
      </c>
      <c r="F1145" s="4" t="s">
        <v>25</v>
      </c>
      <c r="G1145" s="4" t="s">
        <v>25</v>
      </c>
      <c r="H1145" s="4" t="s">
        <v>25</v>
      </c>
      <c r="I1145" s="5">
        <v>44682</v>
      </c>
      <c r="J1145" s="6">
        <v>0</v>
      </c>
      <c r="K1145" s="6">
        <v>0</v>
      </c>
      <c r="L1145" s="6">
        <v>-1.135</v>
      </c>
      <c r="M1145" s="6">
        <v>-1.135</v>
      </c>
      <c r="N1145" s="6">
        <v>-1.135</v>
      </c>
      <c r="O1145" s="6">
        <v>-1.135</v>
      </c>
      <c r="P1145" s="6">
        <v>0</v>
      </c>
      <c r="Q1145" s="4" t="s">
        <v>26</v>
      </c>
      <c r="R1145" s="4">
        <v>0</v>
      </c>
      <c r="S1145" s="6">
        <v>0</v>
      </c>
      <c r="T1145" s="6">
        <v>39</v>
      </c>
      <c r="U1145" s="6">
        <v>83</v>
      </c>
      <c r="V1145" s="6">
        <f>IF(ISERROR(VLOOKUP($S$1145,'TAR FIN'!$A$1:$O$115,15,0)),0,VLOOKUP($S$1145,'TAR FIN'!$A$1:$O$115,15,0))</f>
        <v>0</v>
      </c>
      <c r="W1145" s="6">
        <f>IF(ISERROR(VLOOKUP($T$1145,'TAR FIN'!$A$1:$O$115,15,0)),0,VLOOKUP($T$1145,'TAR FIN'!$A$1:$O$115,15,0))</f>
        <v>463.6</v>
      </c>
      <c r="X1145" s="6">
        <f>IF(ISERROR(VLOOKUP($U$1145,'TAR FIN'!$A$1:$O$115,15,0)),0,VLOOKUP($U$1145,'TAR FIN'!$A$1:$O$115,15,0))</f>
        <v>176.58</v>
      </c>
      <c r="Y1145" s="6"/>
      <c r="Z1145" s="6">
        <f ca="1">('TUSD BE'!$AM$37+'TUSD BF'!$AM$37+'TUSD CVA'!$AM$37)*1</f>
        <v>502.21976924570083</v>
      </c>
      <c r="AA1145" s="6">
        <f>('TE BE'!$AB$20+'TE BF'!$AB$20+'TE CVA'!$AB$20)*1</f>
        <v>230.68197444058345</v>
      </c>
      <c r="AB1145" s="6">
        <f>$K$1145*$V$1145</f>
        <v>0</v>
      </c>
      <c r="AC1145" s="6">
        <f>$M$1145*$W$1145</f>
        <v>-526.18600000000004</v>
      </c>
      <c r="AD1145" s="6">
        <f>$O$1145*$X$1145</f>
        <v>-200.41830000000002</v>
      </c>
      <c r="AE1145" s="6">
        <f>$K$1145*$Y$1145</f>
        <v>0</v>
      </c>
      <c r="AF1145" s="6">
        <f ca="1">$M$1145*$Z$1145</f>
        <v>-570.01943809387046</v>
      </c>
      <c r="AG1145" s="6">
        <f>$O$1145*$AA$1145</f>
        <v>-261.8240409900622</v>
      </c>
    </row>
    <row r="1146" spans="1:33" ht="11.25" customHeight="1" x14ac:dyDescent="0.25">
      <c r="A1146" s="4" t="s">
        <v>21</v>
      </c>
      <c r="B1146" s="4" t="s">
        <v>22</v>
      </c>
      <c r="C1146" s="4" t="s">
        <v>23</v>
      </c>
      <c r="D1146" s="4" t="s">
        <v>24</v>
      </c>
      <c r="E1146" s="4" t="s">
        <v>24</v>
      </c>
      <c r="F1146" s="4" t="s">
        <v>25</v>
      </c>
      <c r="G1146" s="4" t="s">
        <v>25</v>
      </c>
      <c r="H1146" s="4" t="s">
        <v>25</v>
      </c>
      <c r="I1146" s="5">
        <v>44713</v>
      </c>
      <c r="J1146" s="6">
        <v>0</v>
      </c>
      <c r="K1146" s="6">
        <v>0</v>
      </c>
      <c r="L1146" s="6">
        <v>26486.691999999999</v>
      </c>
      <c r="M1146" s="6">
        <v>26486.691999999999</v>
      </c>
      <c r="N1146" s="6">
        <v>26486.691999999999</v>
      </c>
      <c r="O1146" s="6">
        <v>26486.691999999999</v>
      </c>
      <c r="P1146" s="6">
        <v>132648</v>
      </c>
      <c r="Q1146" s="4" t="s">
        <v>26</v>
      </c>
      <c r="R1146" s="4">
        <v>0</v>
      </c>
      <c r="S1146" s="6">
        <v>0</v>
      </c>
      <c r="T1146" s="6">
        <v>39</v>
      </c>
      <c r="U1146" s="6">
        <v>83</v>
      </c>
      <c r="V1146" s="6">
        <f>IF(ISERROR(VLOOKUP($S$1146,'TAR FIN'!$A$1:$O$115,15,0)),0,VLOOKUP($S$1146,'TAR FIN'!$A$1:$O$115,15,0))</f>
        <v>0</v>
      </c>
      <c r="W1146" s="6">
        <f>IF(ISERROR(VLOOKUP($T$1146,'TAR FIN'!$A$1:$O$115,15,0)),0,VLOOKUP($T$1146,'TAR FIN'!$A$1:$O$115,15,0))</f>
        <v>463.6</v>
      </c>
      <c r="X1146" s="6">
        <f>IF(ISERROR(VLOOKUP($U$1146,'TAR FIN'!$A$1:$O$115,15,0)),0,VLOOKUP($U$1146,'TAR FIN'!$A$1:$O$115,15,0))</f>
        <v>176.58</v>
      </c>
      <c r="Y1146" s="6"/>
      <c r="Z1146" s="6">
        <f ca="1">('TUSD BE'!$AM$37+'TUSD BF'!$AM$37+'TUSD CVA'!$AM$37)*1</f>
        <v>502.21976924570083</v>
      </c>
      <c r="AA1146" s="6">
        <f>('TE BE'!$AB$20+'TE BF'!$AB$20+'TE CVA'!$AB$20)*1</f>
        <v>230.68197444058345</v>
      </c>
      <c r="AB1146" s="6">
        <f>$K$1146*$V$1146</f>
        <v>0</v>
      </c>
      <c r="AC1146" s="6">
        <f>$M$1146*$W$1146</f>
        <v>12279230.4112</v>
      </c>
      <c r="AD1146" s="6">
        <f>$O$1146*$X$1146</f>
        <v>4677020.0733599998</v>
      </c>
      <c r="AE1146" s="6">
        <f>$K$1146*$Y$1146</f>
        <v>0</v>
      </c>
      <c r="AF1146" s="6">
        <f ca="1">$M$1146*$Z$1146</f>
        <v>13302140.344321949</v>
      </c>
      <c r="AG1146" s="6">
        <f>$O$1146*$AA$1146</f>
        <v>6110002.4069596054</v>
      </c>
    </row>
    <row r="1147" spans="1:33" ht="11.25" customHeight="1" x14ac:dyDescent="0.25">
      <c r="A1147" s="4" t="s">
        <v>27</v>
      </c>
      <c r="B1147" s="4" t="s">
        <v>22</v>
      </c>
      <c r="C1147" s="4" t="s">
        <v>23</v>
      </c>
      <c r="D1147" s="4" t="s">
        <v>24</v>
      </c>
      <c r="E1147" s="4" t="s">
        <v>24</v>
      </c>
      <c r="F1147" s="4" t="s">
        <v>25</v>
      </c>
      <c r="G1147" s="4" t="s">
        <v>25</v>
      </c>
      <c r="H1147" s="4" t="s">
        <v>25</v>
      </c>
      <c r="I1147" s="5">
        <v>44713</v>
      </c>
      <c r="J1147" s="6">
        <v>0</v>
      </c>
      <c r="K1147" s="6">
        <v>0</v>
      </c>
      <c r="L1147" s="6">
        <v>-250.642</v>
      </c>
      <c r="M1147" s="6">
        <v>-250.642</v>
      </c>
      <c r="N1147" s="6">
        <v>-250.642</v>
      </c>
      <c r="O1147" s="6">
        <v>-250.642</v>
      </c>
      <c r="P1147" s="6">
        <v>-54</v>
      </c>
      <c r="Q1147" s="4" t="s">
        <v>26</v>
      </c>
      <c r="R1147" s="4">
        <v>0</v>
      </c>
      <c r="S1147" s="6">
        <v>0</v>
      </c>
      <c r="T1147" s="6">
        <v>39</v>
      </c>
      <c r="U1147" s="6">
        <v>83</v>
      </c>
      <c r="V1147" s="6">
        <f>IF(ISERROR(VLOOKUP($S$1147,'TAR FIN'!$A$1:$O$115,15,0)),0,VLOOKUP($S$1147,'TAR FIN'!$A$1:$O$115,15,0))</f>
        <v>0</v>
      </c>
      <c r="W1147" s="6">
        <f>IF(ISERROR(VLOOKUP($T$1147,'TAR FIN'!$A$1:$O$115,15,0)),0,VLOOKUP($T$1147,'TAR FIN'!$A$1:$O$115,15,0))</f>
        <v>463.6</v>
      </c>
      <c r="X1147" s="6">
        <f>IF(ISERROR(VLOOKUP($U$1147,'TAR FIN'!$A$1:$O$115,15,0)),0,VLOOKUP($U$1147,'TAR FIN'!$A$1:$O$115,15,0))</f>
        <v>176.58</v>
      </c>
      <c r="Y1147" s="6"/>
      <c r="Z1147" s="6">
        <f ca="1">('TUSD BE'!$AM$37+'TUSD BF'!$AM$37+'TUSD CVA'!$AM$37)*1</f>
        <v>502.21976924570083</v>
      </c>
      <c r="AA1147" s="6">
        <f>('TE BE'!$AB$20+'TE BF'!$AB$20+'TE CVA'!$AB$20)*1</f>
        <v>230.68197444058345</v>
      </c>
      <c r="AB1147" s="6">
        <f>$K$1147*$V$1147</f>
        <v>0</v>
      </c>
      <c r="AC1147" s="6">
        <f>$M$1147*$W$1147</f>
        <v>-116197.6312</v>
      </c>
      <c r="AD1147" s="6">
        <f>$O$1147*$X$1147</f>
        <v>-44258.36436</v>
      </c>
      <c r="AE1147" s="6">
        <f>$K$1147*$Y$1147</f>
        <v>0</v>
      </c>
      <c r="AF1147" s="6">
        <f ca="1">$M$1147*$Z$1147</f>
        <v>-125877.36740328095</v>
      </c>
      <c r="AG1147" s="6">
        <f>$O$1147*$AA$1147</f>
        <v>-57818.591437736715</v>
      </c>
    </row>
    <row r="1148" spans="1:33" ht="11.25" customHeight="1" x14ac:dyDescent="0.25">
      <c r="A1148" s="4" t="s">
        <v>28</v>
      </c>
      <c r="B1148" s="4" t="s">
        <v>22</v>
      </c>
      <c r="C1148" s="4" t="s">
        <v>23</v>
      </c>
      <c r="D1148" s="4" t="s">
        <v>24</v>
      </c>
      <c r="E1148" s="4" t="s">
        <v>24</v>
      </c>
      <c r="F1148" s="4" t="s">
        <v>25</v>
      </c>
      <c r="G1148" s="4" t="s">
        <v>25</v>
      </c>
      <c r="H1148" s="4" t="s">
        <v>25</v>
      </c>
      <c r="I1148" s="5">
        <v>44713</v>
      </c>
      <c r="J1148" s="6">
        <v>0</v>
      </c>
      <c r="K1148" s="6">
        <v>0</v>
      </c>
      <c r="L1148" s="6">
        <v>6019.8919999999998</v>
      </c>
      <c r="M1148" s="6">
        <v>6019.8919999999998</v>
      </c>
      <c r="N1148" s="6">
        <v>6019.8919999999998</v>
      </c>
      <c r="O1148" s="6">
        <v>6019.8919999999998</v>
      </c>
      <c r="P1148" s="6">
        <v>35387</v>
      </c>
      <c r="Q1148" s="4" t="s">
        <v>26</v>
      </c>
      <c r="R1148" s="4">
        <v>0</v>
      </c>
      <c r="S1148" s="6">
        <v>0</v>
      </c>
      <c r="T1148" s="6">
        <v>39</v>
      </c>
      <c r="U1148" s="6">
        <v>83</v>
      </c>
      <c r="V1148" s="6">
        <f>IF(ISERROR(VLOOKUP($S$1148,'TAR FIN'!$A$1:$O$115,15,0)),0,VLOOKUP($S$1148,'TAR FIN'!$A$1:$O$115,15,0))</f>
        <v>0</v>
      </c>
      <c r="W1148" s="6">
        <f>IF(ISERROR(VLOOKUP($T$1148,'TAR FIN'!$A$1:$O$115,15,0)),0,VLOOKUP($T$1148,'TAR FIN'!$A$1:$O$115,15,0))</f>
        <v>463.6</v>
      </c>
      <c r="X1148" s="6">
        <f>IF(ISERROR(VLOOKUP($U$1148,'TAR FIN'!$A$1:$O$115,15,0)),0,VLOOKUP($U$1148,'TAR FIN'!$A$1:$O$115,15,0))</f>
        <v>176.58</v>
      </c>
      <c r="Y1148" s="6"/>
      <c r="Z1148" s="6">
        <f ca="1">('TUSD BE'!$AM$37+'TUSD BF'!$AM$37+'TUSD CVA'!$AM$37)*1</f>
        <v>502.21976924570083</v>
      </c>
      <c r="AA1148" s="6">
        <f>('TE BE'!$AB$20+'TE BF'!$AB$20+'TE CVA'!$AB$20)*1</f>
        <v>230.68197444058345</v>
      </c>
      <c r="AB1148" s="6">
        <f>$K$1148*$V$1148</f>
        <v>0</v>
      </c>
      <c r="AC1148" s="6">
        <f>$M$1148*$W$1148</f>
        <v>2790821.9312</v>
      </c>
      <c r="AD1148" s="6">
        <f>$O$1148*$X$1148</f>
        <v>1062992.52936</v>
      </c>
      <c r="AE1148" s="6">
        <f>$K$1148*$Y$1148</f>
        <v>0</v>
      </c>
      <c r="AF1148" s="6">
        <f ca="1">$M$1148*$Z$1148</f>
        <v>3023308.7711240402</v>
      </c>
      <c r="AG1148" s="6">
        <f>$O$1148*$AA$1148</f>
        <v>1388680.5724790727</v>
      </c>
    </row>
    <row r="1149" spans="1:33" ht="11.25" customHeight="1" x14ac:dyDescent="0.25">
      <c r="A1149" s="4" t="s">
        <v>29</v>
      </c>
      <c r="B1149" s="4" t="s">
        <v>22</v>
      </c>
      <c r="C1149" s="4" t="s">
        <v>23</v>
      </c>
      <c r="D1149" s="4" t="s">
        <v>24</v>
      </c>
      <c r="E1149" s="4" t="s">
        <v>24</v>
      </c>
      <c r="F1149" s="4" t="s">
        <v>25</v>
      </c>
      <c r="G1149" s="4" t="s">
        <v>25</v>
      </c>
      <c r="H1149" s="4" t="s">
        <v>25</v>
      </c>
      <c r="I1149" s="5">
        <v>44713</v>
      </c>
      <c r="J1149" s="6">
        <v>0</v>
      </c>
      <c r="K1149" s="6">
        <v>0</v>
      </c>
      <c r="L1149" s="6">
        <v>-14.943</v>
      </c>
      <c r="M1149" s="6">
        <v>-14.943</v>
      </c>
      <c r="N1149" s="6">
        <v>-14.943</v>
      </c>
      <c r="O1149" s="6">
        <v>-14.943</v>
      </c>
      <c r="P1149" s="6">
        <v>-44</v>
      </c>
      <c r="Q1149" s="4" t="s">
        <v>26</v>
      </c>
      <c r="R1149" s="4">
        <v>0</v>
      </c>
      <c r="S1149" s="6">
        <v>0</v>
      </c>
      <c r="T1149" s="6">
        <v>39</v>
      </c>
      <c r="U1149" s="6">
        <v>83</v>
      </c>
      <c r="V1149" s="6">
        <f>IF(ISERROR(VLOOKUP($S$1149,'TAR FIN'!$A$1:$O$115,15,0)),0,VLOOKUP($S$1149,'TAR FIN'!$A$1:$O$115,15,0))</f>
        <v>0</v>
      </c>
      <c r="W1149" s="6">
        <f>IF(ISERROR(VLOOKUP($T$1149,'TAR FIN'!$A$1:$O$115,15,0)),0,VLOOKUP($T$1149,'TAR FIN'!$A$1:$O$115,15,0))</f>
        <v>463.6</v>
      </c>
      <c r="X1149" s="6">
        <f>IF(ISERROR(VLOOKUP($U$1149,'TAR FIN'!$A$1:$O$115,15,0)),0,VLOOKUP($U$1149,'TAR FIN'!$A$1:$O$115,15,0))</f>
        <v>176.58</v>
      </c>
      <c r="Y1149" s="6"/>
      <c r="Z1149" s="6">
        <f ca="1">('TUSD BE'!$AM$37+'TUSD BF'!$AM$37+'TUSD CVA'!$AM$37)*1</f>
        <v>502.21976924570083</v>
      </c>
      <c r="AA1149" s="6">
        <f>('TE BE'!$AB$20+'TE BF'!$AB$20+'TE CVA'!$AB$20)*1</f>
        <v>230.68197444058345</v>
      </c>
      <c r="AB1149" s="6">
        <f>$K$1149*$V$1149</f>
        <v>0</v>
      </c>
      <c r="AC1149" s="6">
        <f>$M$1149*$W$1149</f>
        <v>-6927.5748000000003</v>
      </c>
      <c r="AD1149" s="6">
        <f>$O$1149*$X$1149</f>
        <v>-2638.6349399999999</v>
      </c>
      <c r="AE1149" s="6">
        <f>$K$1149*$Y$1149</f>
        <v>0</v>
      </c>
      <c r="AF1149" s="6">
        <f ca="1">$M$1149*$Z$1149</f>
        <v>-7504.670011838507</v>
      </c>
      <c r="AG1149" s="6">
        <f>$O$1149*$AA$1149</f>
        <v>-3447.0807440656386</v>
      </c>
    </row>
    <row r="1150" spans="1:33" ht="11.25" customHeight="1" x14ac:dyDescent="0.25">
      <c r="A1150" s="4" t="s">
        <v>30</v>
      </c>
      <c r="B1150" s="4" t="s">
        <v>22</v>
      </c>
      <c r="C1150" s="4" t="s">
        <v>23</v>
      </c>
      <c r="D1150" s="4" t="s">
        <v>24</v>
      </c>
      <c r="E1150" s="4" t="s">
        <v>24</v>
      </c>
      <c r="F1150" s="4" t="s">
        <v>25</v>
      </c>
      <c r="G1150" s="4" t="s">
        <v>25</v>
      </c>
      <c r="H1150" s="4" t="s">
        <v>25</v>
      </c>
      <c r="I1150" s="5">
        <v>44713</v>
      </c>
      <c r="J1150" s="6">
        <v>0</v>
      </c>
      <c r="K1150" s="6">
        <v>0</v>
      </c>
      <c r="L1150" s="6">
        <v>434.46499999999997</v>
      </c>
      <c r="M1150" s="6">
        <v>434.46499999999997</v>
      </c>
      <c r="N1150" s="6">
        <v>434.46499999999997</v>
      </c>
      <c r="O1150" s="6">
        <v>434.46499999999997</v>
      </c>
      <c r="P1150" s="6">
        <v>3214</v>
      </c>
      <c r="Q1150" s="4" t="s">
        <v>26</v>
      </c>
      <c r="R1150" s="4">
        <v>0</v>
      </c>
      <c r="S1150" s="6">
        <v>0</v>
      </c>
      <c r="T1150" s="6">
        <v>39</v>
      </c>
      <c r="U1150" s="6">
        <v>83</v>
      </c>
      <c r="V1150" s="6">
        <f>IF(ISERROR(VLOOKUP($S$1150,'TAR FIN'!$A$1:$O$115,15,0)),0,VLOOKUP($S$1150,'TAR FIN'!$A$1:$O$115,15,0))</f>
        <v>0</v>
      </c>
      <c r="W1150" s="6">
        <f>IF(ISERROR(VLOOKUP($T$1150,'TAR FIN'!$A$1:$O$115,15,0)),0,VLOOKUP($T$1150,'TAR FIN'!$A$1:$O$115,15,0))</f>
        <v>463.6</v>
      </c>
      <c r="X1150" s="6">
        <f>IF(ISERROR(VLOOKUP($U$1150,'TAR FIN'!$A$1:$O$115,15,0)),0,VLOOKUP($U$1150,'TAR FIN'!$A$1:$O$115,15,0))</f>
        <v>176.58</v>
      </c>
      <c r="Y1150" s="6"/>
      <c r="Z1150" s="6">
        <f ca="1">('TUSD BE'!$AM$37+'TUSD BF'!$AM$37+'TUSD CVA'!$AM$37)*1</f>
        <v>502.21976924570083</v>
      </c>
      <c r="AA1150" s="6">
        <f>('TE BE'!$AB$20+'TE BF'!$AB$20+'TE CVA'!$AB$20)*1</f>
        <v>230.68197444058345</v>
      </c>
      <c r="AB1150" s="6">
        <f>$K$1150*$V$1150</f>
        <v>0</v>
      </c>
      <c r="AC1150" s="6">
        <f>$M$1150*$W$1150</f>
        <v>201417.97399999999</v>
      </c>
      <c r="AD1150" s="6">
        <f>$O$1150*$X$1150</f>
        <v>76717.829700000002</v>
      </c>
      <c r="AE1150" s="6">
        <f>$K$1150*$Y$1150</f>
        <v>0</v>
      </c>
      <c r="AF1150" s="6">
        <f ca="1">$M$1150*$Z$1150</f>
        <v>218196.91204533339</v>
      </c>
      <c r="AG1150" s="6">
        <f>$O$1150*$AA$1150</f>
        <v>100223.24402532808</v>
      </c>
    </row>
    <row r="1151" spans="1:33" ht="11.25" customHeight="1" x14ac:dyDescent="0.25">
      <c r="A1151" s="4" t="s">
        <v>21</v>
      </c>
      <c r="B1151" s="4" t="s">
        <v>22</v>
      </c>
      <c r="C1151" s="4" t="s">
        <v>23</v>
      </c>
      <c r="D1151" s="4" t="s">
        <v>24</v>
      </c>
      <c r="E1151" s="4" t="s">
        <v>24</v>
      </c>
      <c r="F1151" s="4" t="s">
        <v>25</v>
      </c>
      <c r="G1151" s="4" t="s">
        <v>25</v>
      </c>
      <c r="H1151" s="4" t="s">
        <v>25</v>
      </c>
      <c r="I1151" s="5">
        <v>44743</v>
      </c>
      <c r="J1151" s="6">
        <v>0</v>
      </c>
      <c r="K1151" s="6">
        <v>0</v>
      </c>
      <c r="L1151" s="6">
        <v>30012.208999999999</v>
      </c>
      <c r="M1151" s="6">
        <v>30012.208999999999</v>
      </c>
      <c r="N1151" s="6">
        <v>30012.208999999999</v>
      </c>
      <c r="O1151" s="6">
        <v>30012.208999999999</v>
      </c>
      <c r="P1151" s="6">
        <v>131923</v>
      </c>
      <c r="Q1151" s="4" t="s">
        <v>26</v>
      </c>
      <c r="R1151" s="4">
        <v>0</v>
      </c>
      <c r="S1151" s="6">
        <v>0</v>
      </c>
      <c r="T1151" s="6">
        <v>39</v>
      </c>
      <c r="U1151" s="6">
        <v>83</v>
      </c>
      <c r="V1151" s="6">
        <f>IF(ISERROR(VLOOKUP($S$1151,'TAR FIN'!$A$1:$O$115,15,0)),0,VLOOKUP($S$1151,'TAR FIN'!$A$1:$O$115,15,0))</f>
        <v>0</v>
      </c>
      <c r="W1151" s="6">
        <f>IF(ISERROR(VLOOKUP($T$1151,'TAR FIN'!$A$1:$O$115,15,0)),0,VLOOKUP($T$1151,'TAR FIN'!$A$1:$O$115,15,0))</f>
        <v>463.6</v>
      </c>
      <c r="X1151" s="6">
        <f>IF(ISERROR(VLOOKUP($U$1151,'TAR FIN'!$A$1:$O$115,15,0)),0,VLOOKUP($U$1151,'TAR FIN'!$A$1:$O$115,15,0))</f>
        <v>176.58</v>
      </c>
      <c r="Y1151" s="6"/>
      <c r="Z1151" s="6">
        <f ca="1">('TUSD BE'!$AM$37+'TUSD BF'!$AM$37+'TUSD CVA'!$AM$37)*1</f>
        <v>502.21976924570083</v>
      </c>
      <c r="AA1151" s="6">
        <f>('TE BE'!$AB$20+'TE BF'!$AB$20+'TE CVA'!$AB$20)*1</f>
        <v>230.68197444058345</v>
      </c>
      <c r="AB1151" s="6">
        <f>$K$1151*$V$1151</f>
        <v>0</v>
      </c>
      <c r="AC1151" s="6">
        <f>$M$1151*$W$1151</f>
        <v>13913660.092399999</v>
      </c>
      <c r="AD1151" s="6">
        <f>$O$1151*$X$1151</f>
        <v>5299555.86522</v>
      </c>
      <c r="AE1151" s="6">
        <f>$K$1151*$Y$1151</f>
        <v>0</v>
      </c>
      <c r="AF1151" s="6">
        <f ca="1">$M$1151*$Z$1151</f>
        <v>15072724.678533746</v>
      </c>
      <c r="AG1151" s="6">
        <f>$O$1151*$AA$1151</f>
        <v>6923275.629443448</v>
      </c>
    </row>
    <row r="1152" spans="1:33" ht="11.25" customHeight="1" x14ac:dyDescent="0.25">
      <c r="A1152" s="4" t="s">
        <v>27</v>
      </c>
      <c r="B1152" s="4" t="s">
        <v>22</v>
      </c>
      <c r="C1152" s="4" t="s">
        <v>23</v>
      </c>
      <c r="D1152" s="4" t="s">
        <v>24</v>
      </c>
      <c r="E1152" s="4" t="s">
        <v>24</v>
      </c>
      <c r="F1152" s="4" t="s">
        <v>25</v>
      </c>
      <c r="G1152" s="4" t="s">
        <v>25</v>
      </c>
      <c r="H1152" s="4" t="s">
        <v>25</v>
      </c>
      <c r="I1152" s="5">
        <v>44743</v>
      </c>
      <c r="J1152" s="6">
        <v>0</v>
      </c>
      <c r="K1152" s="6">
        <v>0</v>
      </c>
      <c r="L1152" s="6">
        <v>-194.23400000000001</v>
      </c>
      <c r="M1152" s="6">
        <v>-194.23400000000001</v>
      </c>
      <c r="N1152" s="6">
        <v>-194.23400000000001</v>
      </c>
      <c r="O1152" s="6">
        <v>-194.23400000000001</v>
      </c>
      <c r="P1152" s="6">
        <v>-98</v>
      </c>
      <c r="Q1152" s="4" t="s">
        <v>26</v>
      </c>
      <c r="R1152" s="4">
        <v>0</v>
      </c>
      <c r="S1152" s="6">
        <v>0</v>
      </c>
      <c r="T1152" s="6">
        <v>39</v>
      </c>
      <c r="U1152" s="6">
        <v>83</v>
      </c>
      <c r="V1152" s="6">
        <f>IF(ISERROR(VLOOKUP($S$1152,'TAR FIN'!$A$1:$O$115,15,0)),0,VLOOKUP($S$1152,'TAR FIN'!$A$1:$O$115,15,0))</f>
        <v>0</v>
      </c>
      <c r="W1152" s="6">
        <f>IF(ISERROR(VLOOKUP($T$1152,'TAR FIN'!$A$1:$O$115,15,0)),0,VLOOKUP($T$1152,'TAR FIN'!$A$1:$O$115,15,0))</f>
        <v>463.6</v>
      </c>
      <c r="X1152" s="6">
        <f>IF(ISERROR(VLOOKUP($U$1152,'TAR FIN'!$A$1:$O$115,15,0)),0,VLOOKUP($U$1152,'TAR FIN'!$A$1:$O$115,15,0))</f>
        <v>176.58</v>
      </c>
      <c r="Y1152" s="6"/>
      <c r="Z1152" s="6">
        <f ca="1">('TUSD BE'!$AM$37+'TUSD BF'!$AM$37+'TUSD CVA'!$AM$37)*1</f>
        <v>502.21976924570083</v>
      </c>
      <c r="AA1152" s="6">
        <f>('TE BE'!$AB$20+'TE BF'!$AB$20+'TE CVA'!$AB$20)*1</f>
        <v>230.68197444058345</v>
      </c>
      <c r="AB1152" s="6">
        <f>$K$1152*$V$1152</f>
        <v>0</v>
      </c>
      <c r="AC1152" s="6">
        <f>$M$1152*$W$1152</f>
        <v>-90046.882400000002</v>
      </c>
      <c r="AD1152" s="6">
        <f>$O$1152*$X$1152</f>
        <v>-34297.839720000004</v>
      </c>
      <c r="AE1152" s="6">
        <f>$K$1152*$Y$1152</f>
        <v>0</v>
      </c>
      <c r="AF1152" s="6">
        <f ca="1">$M$1152*$Z$1152</f>
        <v>-97548.154659669453</v>
      </c>
      <c r="AG1152" s="6">
        <f>$O$1152*$AA$1152</f>
        <v>-44806.28262349229</v>
      </c>
    </row>
    <row r="1153" spans="1:33" ht="11.25" customHeight="1" x14ac:dyDescent="0.25">
      <c r="A1153" s="4" t="s">
        <v>28</v>
      </c>
      <c r="B1153" s="4" t="s">
        <v>22</v>
      </c>
      <c r="C1153" s="4" t="s">
        <v>23</v>
      </c>
      <c r="D1153" s="4" t="s">
        <v>24</v>
      </c>
      <c r="E1153" s="4" t="s">
        <v>24</v>
      </c>
      <c r="F1153" s="4" t="s">
        <v>25</v>
      </c>
      <c r="G1153" s="4" t="s">
        <v>25</v>
      </c>
      <c r="H1153" s="4" t="s">
        <v>25</v>
      </c>
      <c r="I1153" s="5">
        <v>44743</v>
      </c>
      <c r="J1153" s="6">
        <v>0</v>
      </c>
      <c r="K1153" s="6">
        <v>0</v>
      </c>
      <c r="L1153" s="6">
        <v>6532.9340000000002</v>
      </c>
      <c r="M1153" s="6">
        <v>6532.9340000000002</v>
      </c>
      <c r="N1153" s="6">
        <v>6532.9340000000002</v>
      </c>
      <c r="O1153" s="6">
        <v>6532.9340000000002</v>
      </c>
      <c r="P1153" s="6">
        <v>34970</v>
      </c>
      <c r="Q1153" s="4" t="s">
        <v>26</v>
      </c>
      <c r="R1153" s="4">
        <v>0</v>
      </c>
      <c r="S1153" s="6">
        <v>0</v>
      </c>
      <c r="T1153" s="6">
        <v>39</v>
      </c>
      <c r="U1153" s="6">
        <v>83</v>
      </c>
      <c r="V1153" s="6">
        <f>IF(ISERROR(VLOOKUP($S$1153,'TAR FIN'!$A$1:$O$115,15,0)),0,VLOOKUP($S$1153,'TAR FIN'!$A$1:$O$115,15,0))</f>
        <v>0</v>
      </c>
      <c r="W1153" s="6">
        <f>IF(ISERROR(VLOOKUP($T$1153,'TAR FIN'!$A$1:$O$115,15,0)),0,VLOOKUP($T$1153,'TAR FIN'!$A$1:$O$115,15,0))</f>
        <v>463.6</v>
      </c>
      <c r="X1153" s="6">
        <f>IF(ISERROR(VLOOKUP($U$1153,'TAR FIN'!$A$1:$O$115,15,0)),0,VLOOKUP($U$1153,'TAR FIN'!$A$1:$O$115,15,0))</f>
        <v>176.58</v>
      </c>
      <c r="Y1153" s="6"/>
      <c r="Z1153" s="6">
        <f ca="1">('TUSD BE'!$AM$37+'TUSD BF'!$AM$37+'TUSD CVA'!$AM$37)*1</f>
        <v>502.21976924570083</v>
      </c>
      <c r="AA1153" s="6">
        <f>('TE BE'!$AB$20+'TE BF'!$AB$20+'TE CVA'!$AB$20)*1</f>
        <v>230.68197444058345</v>
      </c>
      <c r="AB1153" s="6">
        <f>$K$1153*$V$1153</f>
        <v>0</v>
      </c>
      <c r="AC1153" s="6">
        <f>$M$1153*$W$1153</f>
        <v>3028668.2024000003</v>
      </c>
      <c r="AD1153" s="6">
        <f>$O$1153*$X$1153</f>
        <v>1153585.4857200002</v>
      </c>
      <c r="AE1153" s="6">
        <f>$K$1153*$Y$1153</f>
        <v>0</v>
      </c>
      <c r="AF1153" s="6">
        <f ca="1">$M$1153*$Z$1153</f>
        <v>3280968.6059773932</v>
      </c>
      <c r="AG1153" s="6">
        <f>$O$1153*$AA$1153</f>
        <v>1507030.1140100185</v>
      </c>
    </row>
    <row r="1154" spans="1:33" ht="11.25" customHeight="1" x14ac:dyDescent="0.25">
      <c r="A1154" s="4" t="s">
        <v>29</v>
      </c>
      <c r="B1154" s="4" t="s">
        <v>22</v>
      </c>
      <c r="C1154" s="4" t="s">
        <v>23</v>
      </c>
      <c r="D1154" s="4" t="s">
        <v>24</v>
      </c>
      <c r="E1154" s="4" t="s">
        <v>24</v>
      </c>
      <c r="F1154" s="4" t="s">
        <v>25</v>
      </c>
      <c r="G1154" s="4" t="s">
        <v>25</v>
      </c>
      <c r="H1154" s="4" t="s">
        <v>25</v>
      </c>
      <c r="I1154" s="5">
        <v>44743</v>
      </c>
      <c r="J1154" s="6">
        <v>0</v>
      </c>
      <c r="K1154" s="6">
        <v>0</v>
      </c>
      <c r="L1154" s="6">
        <v>-19.97</v>
      </c>
      <c r="M1154" s="6">
        <v>-19.97</v>
      </c>
      <c r="N1154" s="6">
        <v>-19.97</v>
      </c>
      <c r="O1154" s="6">
        <v>-19.97</v>
      </c>
      <c r="P1154" s="6">
        <v>-41</v>
      </c>
      <c r="Q1154" s="4" t="s">
        <v>26</v>
      </c>
      <c r="R1154" s="4">
        <v>0</v>
      </c>
      <c r="S1154" s="6">
        <v>0</v>
      </c>
      <c r="T1154" s="6">
        <v>39</v>
      </c>
      <c r="U1154" s="6">
        <v>83</v>
      </c>
      <c r="V1154" s="6">
        <f>IF(ISERROR(VLOOKUP($S$1154,'TAR FIN'!$A$1:$O$115,15,0)),0,VLOOKUP($S$1154,'TAR FIN'!$A$1:$O$115,15,0))</f>
        <v>0</v>
      </c>
      <c r="W1154" s="6">
        <f>IF(ISERROR(VLOOKUP($T$1154,'TAR FIN'!$A$1:$O$115,15,0)),0,VLOOKUP($T$1154,'TAR FIN'!$A$1:$O$115,15,0))</f>
        <v>463.6</v>
      </c>
      <c r="X1154" s="6">
        <f>IF(ISERROR(VLOOKUP($U$1154,'TAR FIN'!$A$1:$O$115,15,0)),0,VLOOKUP($U$1154,'TAR FIN'!$A$1:$O$115,15,0))</f>
        <v>176.58</v>
      </c>
      <c r="Y1154" s="6"/>
      <c r="Z1154" s="6">
        <f ca="1">('TUSD BE'!$AM$37+'TUSD BF'!$AM$37+'TUSD CVA'!$AM$37)*1</f>
        <v>502.21976924570083</v>
      </c>
      <c r="AA1154" s="6">
        <f>('TE BE'!$AB$20+'TE BF'!$AB$20+'TE CVA'!$AB$20)*1</f>
        <v>230.68197444058345</v>
      </c>
      <c r="AB1154" s="6">
        <f>$K$1154*$V$1154</f>
        <v>0</v>
      </c>
      <c r="AC1154" s="6">
        <f>$M$1154*$W$1154</f>
        <v>-9258.0920000000006</v>
      </c>
      <c r="AD1154" s="6">
        <f>$O$1154*$X$1154</f>
        <v>-3526.3026</v>
      </c>
      <c r="AE1154" s="6">
        <f>$K$1154*$Y$1154</f>
        <v>0</v>
      </c>
      <c r="AF1154" s="6">
        <f ca="1">$M$1154*$Z$1154</f>
        <v>-10029.328791836646</v>
      </c>
      <c r="AG1154" s="6">
        <f>$O$1154*$AA$1154</f>
        <v>-4606.7190295784512</v>
      </c>
    </row>
    <row r="1155" spans="1:33" ht="11.25" customHeight="1" x14ac:dyDescent="0.25">
      <c r="A1155" s="4" t="s">
        <v>30</v>
      </c>
      <c r="B1155" s="4" t="s">
        <v>22</v>
      </c>
      <c r="C1155" s="4" t="s">
        <v>23</v>
      </c>
      <c r="D1155" s="4" t="s">
        <v>24</v>
      </c>
      <c r="E1155" s="4" t="s">
        <v>24</v>
      </c>
      <c r="F1155" s="4" t="s">
        <v>25</v>
      </c>
      <c r="G1155" s="4" t="s">
        <v>25</v>
      </c>
      <c r="H1155" s="4" t="s">
        <v>25</v>
      </c>
      <c r="I1155" s="5">
        <v>44743</v>
      </c>
      <c r="J1155" s="6">
        <v>0</v>
      </c>
      <c r="K1155" s="6">
        <v>0</v>
      </c>
      <c r="L1155" s="6">
        <v>449.67599999999999</v>
      </c>
      <c r="M1155" s="6">
        <v>449.67599999999999</v>
      </c>
      <c r="N1155" s="6">
        <v>449.67599999999999</v>
      </c>
      <c r="O1155" s="6">
        <v>449.67599999999999</v>
      </c>
      <c r="P1155" s="6">
        <v>3326</v>
      </c>
      <c r="Q1155" s="4" t="s">
        <v>26</v>
      </c>
      <c r="R1155" s="4">
        <v>0</v>
      </c>
      <c r="S1155" s="6">
        <v>0</v>
      </c>
      <c r="T1155" s="6">
        <v>39</v>
      </c>
      <c r="U1155" s="6">
        <v>83</v>
      </c>
      <c r="V1155" s="6">
        <f>IF(ISERROR(VLOOKUP($S$1155,'TAR FIN'!$A$1:$O$115,15,0)),0,VLOOKUP($S$1155,'TAR FIN'!$A$1:$O$115,15,0))</f>
        <v>0</v>
      </c>
      <c r="W1155" s="6">
        <f>IF(ISERROR(VLOOKUP($T$1155,'TAR FIN'!$A$1:$O$115,15,0)),0,VLOOKUP($T$1155,'TAR FIN'!$A$1:$O$115,15,0))</f>
        <v>463.6</v>
      </c>
      <c r="X1155" s="6">
        <f>IF(ISERROR(VLOOKUP($U$1155,'TAR FIN'!$A$1:$O$115,15,0)),0,VLOOKUP($U$1155,'TAR FIN'!$A$1:$O$115,15,0))</f>
        <v>176.58</v>
      </c>
      <c r="Y1155" s="6"/>
      <c r="Z1155" s="6">
        <f ca="1">('TUSD BE'!$AM$37+'TUSD BF'!$AM$37+'TUSD CVA'!$AM$37)*1</f>
        <v>502.21976924570083</v>
      </c>
      <c r="AA1155" s="6">
        <f>('TE BE'!$AB$20+'TE BF'!$AB$20+'TE CVA'!$AB$20)*1</f>
        <v>230.68197444058345</v>
      </c>
      <c r="AB1155" s="6">
        <f>$K$1155*$V$1155</f>
        <v>0</v>
      </c>
      <c r="AC1155" s="6">
        <f>$M$1155*$W$1155</f>
        <v>208469.7936</v>
      </c>
      <c r="AD1155" s="6">
        <f>$O$1155*$X$1155</f>
        <v>79403.788079999998</v>
      </c>
      <c r="AE1155" s="6">
        <f>$K$1155*$Y$1155</f>
        <v>0</v>
      </c>
      <c r="AF1155" s="6">
        <f ca="1">$M$1155*$Z$1155</f>
        <v>225836.17695532975</v>
      </c>
      <c r="AG1155" s="6">
        <f>$O$1155*$AA$1155</f>
        <v>103732.1475385438</v>
      </c>
    </row>
    <row r="1156" spans="1:33" ht="11.25" customHeight="1" x14ac:dyDescent="0.25">
      <c r="A1156" s="4" t="s">
        <v>30</v>
      </c>
      <c r="B1156" s="4" t="s">
        <v>22</v>
      </c>
      <c r="C1156" s="4" t="s">
        <v>23</v>
      </c>
      <c r="D1156" s="4" t="s">
        <v>24</v>
      </c>
      <c r="E1156" s="4" t="s">
        <v>24</v>
      </c>
      <c r="F1156" s="4" t="s">
        <v>25</v>
      </c>
      <c r="G1156" s="4" t="s">
        <v>25</v>
      </c>
      <c r="H1156" s="4" t="s">
        <v>25</v>
      </c>
      <c r="I1156" s="5">
        <v>44743</v>
      </c>
      <c r="J1156" s="6">
        <v>0</v>
      </c>
      <c r="K1156" s="6">
        <v>0</v>
      </c>
      <c r="L1156" s="6">
        <v>-0.7</v>
      </c>
      <c r="M1156" s="6">
        <v>-0.7</v>
      </c>
      <c r="N1156" s="6">
        <v>-0.7</v>
      </c>
      <c r="O1156" s="6">
        <v>-0.7</v>
      </c>
      <c r="P1156" s="6">
        <v>0</v>
      </c>
      <c r="Q1156" s="4" t="s">
        <v>26</v>
      </c>
      <c r="R1156" s="4">
        <v>0</v>
      </c>
      <c r="S1156" s="6">
        <v>0</v>
      </c>
      <c r="T1156" s="6">
        <v>39</v>
      </c>
      <c r="U1156" s="6">
        <v>83</v>
      </c>
      <c r="V1156" s="6">
        <f>IF(ISERROR(VLOOKUP($S$1156,'TAR FIN'!$A$1:$O$115,15,0)),0,VLOOKUP($S$1156,'TAR FIN'!$A$1:$O$115,15,0))</f>
        <v>0</v>
      </c>
      <c r="W1156" s="6">
        <f>IF(ISERROR(VLOOKUP($T$1156,'TAR FIN'!$A$1:$O$115,15,0)),0,VLOOKUP($T$1156,'TAR FIN'!$A$1:$O$115,15,0))</f>
        <v>463.6</v>
      </c>
      <c r="X1156" s="6">
        <f>IF(ISERROR(VLOOKUP($U$1156,'TAR FIN'!$A$1:$O$115,15,0)),0,VLOOKUP($U$1156,'TAR FIN'!$A$1:$O$115,15,0))</f>
        <v>176.58</v>
      </c>
      <c r="Y1156" s="6"/>
      <c r="Z1156" s="6">
        <f ca="1">('TUSD BE'!$AM$37+'TUSD BF'!$AM$37+'TUSD CVA'!$AM$37)*1</f>
        <v>502.21976924570083</v>
      </c>
      <c r="AA1156" s="6">
        <f>('TE BE'!$AB$20+'TE BF'!$AB$20+'TE CVA'!$AB$20)*1</f>
        <v>230.68197444058345</v>
      </c>
      <c r="AB1156" s="6">
        <f>$K$1156*$V$1156</f>
        <v>0</v>
      </c>
      <c r="AC1156" s="6">
        <f>$M$1156*$W$1156</f>
        <v>-324.52</v>
      </c>
      <c r="AD1156" s="6">
        <f>$O$1156*$X$1156</f>
        <v>-123.60599999999999</v>
      </c>
      <c r="AE1156" s="6">
        <f>$K$1156*$Y$1156</f>
        <v>0</v>
      </c>
      <c r="AF1156" s="6">
        <f ca="1">$M$1156*$Z$1156</f>
        <v>-351.55383847199056</v>
      </c>
      <c r="AG1156" s="6">
        <f>$O$1156*$AA$1156</f>
        <v>-161.47738210840839</v>
      </c>
    </row>
    <row r="1157" spans="1:33" ht="11.25" customHeight="1" x14ac:dyDescent="0.25">
      <c r="A1157" s="4" t="s">
        <v>21</v>
      </c>
      <c r="B1157" s="4" t="s">
        <v>22</v>
      </c>
      <c r="C1157" s="4" t="s">
        <v>23</v>
      </c>
      <c r="D1157" s="4" t="s">
        <v>24</v>
      </c>
      <c r="E1157" s="4" t="s">
        <v>24</v>
      </c>
      <c r="F1157" s="4" t="s">
        <v>25</v>
      </c>
      <c r="G1157" s="4" t="s">
        <v>25</v>
      </c>
      <c r="H1157" s="4" t="s">
        <v>25</v>
      </c>
      <c r="I1157" s="5">
        <v>44774</v>
      </c>
      <c r="J1157" s="6">
        <v>0</v>
      </c>
      <c r="K1157" s="6">
        <v>0</v>
      </c>
      <c r="L1157" s="6">
        <v>31998.149000000001</v>
      </c>
      <c r="M1157" s="6">
        <v>31998.149000000001</v>
      </c>
      <c r="N1157" s="6">
        <v>31998.149000000001</v>
      </c>
      <c r="O1157" s="6">
        <v>31998.149000000001</v>
      </c>
      <c r="P1157" s="6">
        <v>131591</v>
      </c>
      <c r="Q1157" s="4" t="s">
        <v>26</v>
      </c>
      <c r="R1157" s="4">
        <v>0</v>
      </c>
      <c r="S1157" s="6">
        <v>0</v>
      </c>
      <c r="T1157" s="6">
        <v>39</v>
      </c>
      <c r="U1157" s="6">
        <v>83</v>
      </c>
      <c r="V1157" s="6">
        <f>IF(ISERROR(VLOOKUP($S$1157,'TAR FIN'!$A$1:$O$115,15,0)),0,VLOOKUP($S$1157,'TAR FIN'!$A$1:$O$115,15,0))</f>
        <v>0</v>
      </c>
      <c r="W1157" s="6">
        <f>IF(ISERROR(VLOOKUP($T$1157,'TAR FIN'!$A$1:$O$115,15,0)),0,VLOOKUP($T$1157,'TAR FIN'!$A$1:$O$115,15,0))</f>
        <v>463.6</v>
      </c>
      <c r="X1157" s="6">
        <f>IF(ISERROR(VLOOKUP($U$1157,'TAR FIN'!$A$1:$O$115,15,0)),0,VLOOKUP($U$1157,'TAR FIN'!$A$1:$O$115,15,0))</f>
        <v>176.58</v>
      </c>
      <c r="Y1157" s="6"/>
      <c r="Z1157" s="6">
        <f ca="1">('TUSD BE'!$AM$37+'TUSD BF'!$AM$37+'TUSD CVA'!$AM$37)*1</f>
        <v>502.21976924570083</v>
      </c>
      <c r="AA1157" s="6">
        <f>('TE BE'!$AB$20+'TE BF'!$AB$20+'TE CVA'!$AB$20)*1</f>
        <v>230.68197444058345</v>
      </c>
      <c r="AB1157" s="6">
        <f>$K$1157*$V$1157</f>
        <v>0</v>
      </c>
      <c r="AC1157" s="6">
        <f>$M$1157*$W$1157</f>
        <v>14834341.876400001</v>
      </c>
      <c r="AD1157" s="6">
        <f>$O$1157*$X$1157</f>
        <v>5650233.1504200008</v>
      </c>
      <c r="AE1157" s="6">
        <f>$K$1157*$Y$1157</f>
        <v>0</v>
      </c>
      <c r="AF1157" s="6">
        <f ca="1">$M$1157*$Z$1157</f>
        <v>16070103.007069554</v>
      </c>
      <c r="AG1157" s="6">
        <f>$O$1157*$AA$1157</f>
        <v>7381396.1897639809</v>
      </c>
    </row>
    <row r="1158" spans="1:33" ht="11.25" customHeight="1" x14ac:dyDescent="0.25">
      <c r="A1158" s="4" t="s">
        <v>27</v>
      </c>
      <c r="B1158" s="4" t="s">
        <v>22</v>
      </c>
      <c r="C1158" s="4" t="s">
        <v>23</v>
      </c>
      <c r="D1158" s="4" t="s">
        <v>24</v>
      </c>
      <c r="E1158" s="4" t="s">
        <v>24</v>
      </c>
      <c r="F1158" s="4" t="s">
        <v>25</v>
      </c>
      <c r="G1158" s="4" t="s">
        <v>25</v>
      </c>
      <c r="H1158" s="4" t="s">
        <v>25</v>
      </c>
      <c r="I1158" s="5">
        <v>44774</v>
      </c>
      <c r="J1158" s="6">
        <v>0</v>
      </c>
      <c r="K1158" s="6">
        <v>0</v>
      </c>
      <c r="L1158" s="6">
        <v>-261.45800000000003</v>
      </c>
      <c r="M1158" s="6">
        <v>-261.45800000000003</v>
      </c>
      <c r="N1158" s="6">
        <v>-261.45800000000003</v>
      </c>
      <c r="O1158" s="6">
        <v>-261.45800000000003</v>
      </c>
      <c r="P1158" s="6">
        <v>-185</v>
      </c>
      <c r="Q1158" s="4" t="s">
        <v>26</v>
      </c>
      <c r="R1158" s="4">
        <v>0</v>
      </c>
      <c r="S1158" s="6">
        <v>0</v>
      </c>
      <c r="T1158" s="6">
        <v>39</v>
      </c>
      <c r="U1158" s="6">
        <v>83</v>
      </c>
      <c r="V1158" s="6">
        <f>IF(ISERROR(VLOOKUP($S$1158,'TAR FIN'!$A$1:$O$115,15,0)),0,VLOOKUP($S$1158,'TAR FIN'!$A$1:$O$115,15,0))</f>
        <v>0</v>
      </c>
      <c r="W1158" s="6">
        <f>IF(ISERROR(VLOOKUP($T$1158,'TAR FIN'!$A$1:$O$115,15,0)),0,VLOOKUP($T$1158,'TAR FIN'!$A$1:$O$115,15,0))</f>
        <v>463.6</v>
      </c>
      <c r="X1158" s="6">
        <f>IF(ISERROR(VLOOKUP($U$1158,'TAR FIN'!$A$1:$O$115,15,0)),0,VLOOKUP($U$1158,'TAR FIN'!$A$1:$O$115,15,0))</f>
        <v>176.58</v>
      </c>
      <c r="Y1158" s="6"/>
      <c r="Z1158" s="6">
        <f ca="1">('TUSD BE'!$AM$37+'TUSD BF'!$AM$37+'TUSD CVA'!$AM$37)*1</f>
        <v>502.21976924570083</v>
      </c>
      <c r="AA1158" s="6">
        <f>('TE BE'!$AB$20+'TE BF'!$AB$20+'TE CVA'!$AB$20)*1</f>
        <v>230.68197444058345</v>
      </c>
      <c r="AB1158" s="6">
        <f>$K$1158*$V$1158</f>
        <v>0</v>
      </c>
      <c r="AC1158" s="6">
        <f>$M$1158*$W$1158</f>
        <v>-121211.92880000002</v>
      </c>
      <c r="AD1158" s="6">
        <f>$O$1158*$X$1158</f>
        <v>-46168.25364000001</v>
      </c>
      <c r="AE1158" s="6">
        <f>$K$1158*$Y$1158</f>
        <v>0</v>
      </c>
      <c r="AF1158" s="6">
        <f ca="1">$M$1158*$Z$1158</f>
        <v>-131309.37642744248</v>
      </c>
      <c r="AG1158" s="6">
        <f>$O$1158*$AA$1158</f>
        <v>-60313.647673286076</v>
      </c>
    </row>
    <row r="1159" spans="1:33" ht="11.25" customHeight="1" x14ac:dyDescent="0.25">
      <c r="A1159" s="4" t="s">
        <v>28</v>
      </c>
      <c r="B1159" s="4" t="s">
        <v>22</v>
      </c>
      <c r="C1159" s="4" t="s">
        <v>23</v>
      </c>
      <c r="D1159" s="4" t="s">
        <v>24</v>
      </c>
      <c r="E1159" s="4" t="s">
        <v>24</v>
      </c>
      <c r="F1159" s="4" t="s">
        <v>25</v>
      </c>
      <c r="G1159" s="4" t="s">
        <v>25</v>
      </c>
      <c r="H1159" s="4" t="s">
        <v>25</v>
      </c>
      <c r="I1159" s="5">
        <v>44774</v>
      </c>
      <c r="J1159" s="6">
        <v>0</v>
      </c>
      <c r="K1159" s="6">
        <v>0</v>
      </c>
      <c r="L1159" s="6">
        <v>6825.2389999999996</v>
      </c>
      <c r="M1159" s="6">
        <v>6825.2389999999996</v>
      </c>
      <c r="N1159" s="6">
        <v>6825.2389999999996</v>
      </c>
      <c r="O1159" s="6">
        <v>6825.2389999999996</v>
      </c>
      <c r="P1159" s="6">
        <v>35303</v>
      </c>
      <c r="Q1159" s="4" t="s">
        <v>26</v>
      </c>
      <c r="R1159" s="4">
        <v>0</v>
      </c>
      <c r="S1159" s="6">
        <v>0</v>
      </c>
      <c r="T1159" s="6">
        <v>39</v>
      </c>
      <c r="U1159" s="6">
        <v>83</v>
      </c>
      <c r="V1159" s="6">
        <f>IF(ISERROR(VLOOKUP($S$1159,'TAR FIN'!$A$1:$O$115,15,0)),0,VLOOKUP($S$1159,'TAR FIN'!$A$1:$O$115,15,0))</f>
        <v>0</v>
      </c>
      <c r="W1159" s="6">
        <f>IF(ISERROR(VLOOKUP($T$1159,'TAR FIN'!$A$1:$O$115,15,0)),0,VLOOKUP($T$1159,'TAR FIN'!$A$1:$O$115,15,0))</f>
        <v>463.6</v>
      </c>
      <c r="X1159" s="6">
        <f>IF(ISERROR(VLOOKUP($U$1159,'TAR FIN'!$A$1:$O$115,15,0)),0,VLOOKUP($U$1159,'TAR FIN'!$A$1:$O$115,15,0))</f>
        <v>176.58</v>
      </c>
      <c r="Y1159" s="6"/>
      <c r="Z1159" s="6">
        <f ca="1">('TUSD BE'!$AM$37+'TUSD BF'!$AM$37+'TUSD CVA'!$AM$37)*1</f>
        <v>502.21976924570083</v>
      </c>
      <c r="AA1159" s="6">
        <f>('TE BE'!$AB$20+'TE BF'!$AB$20+'TE CVA'!$AB$20)*1</f>
        <v>230.68197444058345</v>
      </c>
      <c r="AB1159" s="6">
        <f>$K$1159*$V$1159</f>
        <v>0</v>
      </c>
      <c r="AC1159" s="6">
        <f>$M$1159*$W$1159</f>
        <v>3164180.8004000001</v>
      </c>
      <c r="AD1159" s="6">
        <f>$O$1159*$X$1159</f>
        <v>1205200.7026200001</v>
      </c>
      <c r="AE1159" s="6">
        <f>$K$1159*$Y$1159</f>
        <v>0</v>
      </c>
      <c r="AF1159" s="6">
        <f ca="1">$M$1159*$Z$1159</f>
        <v>3427769.9556267578</v>
      </c>
      <c r="AG1159" s="6">
        <f>$O$1159*$AA$1159</f>
        <v>1574459.6085488731</v>
      </c>
    </row>
    <row r="1160" spans="1:33" ht="11.25" customHeight="1" x14ac:dyDescent="0.25">
      <c r="A1160" s="4" t="s">
        <v>29</v>
      </c>
      <c r="B1160" s="4" t="s">
        <v>22</v>
      </c>
      <c r="C1160" s="4" t="s">
        <v>23</v>
      </c>
      <c r="D1160" s="4" t="s">
        <v>24</v>
      </c>
      <c r="E1160" s="4" t="s">
        <v>24</v>
      </c>
      <c r="F1160" s="4" t="s">
        <v>25</v>
      </c>
      <c r="G1160" s="4" t="s">
        <v>25</v>
      </c>
      <c r="H1160" s="4" t="s">
        <v>25</v>
      </c>
      <c r="I1160" s="5">
        <v>44774</v>
      </c>
      <c r="J1160" s="6">
        <v>0</v>
      </c>
      <c r="K1160" s="6">
        <v>0</v>
      </c>
      <c r="L1160" s="6">
        <v>-27.99</v>
      </c>
      <c r="M1160" s="6">
        <v>-27.99</v>
      </c>
      <c r="N1160" s="6">
        <v>-27.99</v>
      </c>
      <c r="O1160" s="6">
        <v>-27.99</v>
      </c>
      <c r="P1160" s="6">
        <v>-12</v>
      </c>
      <c r="Q1160" s="4" t="s">
        <v>26</v>
      </c>
      <c r="R1160" s="4">
        <v>0</v>
      </c>
      <c r="S1160" s="6">
        <v>0</v>
      </c>
      <c r="T1160" s="6">
        <v>39</v>
      </c>
      <c r="U1160" s="6">
        <v>83</v>
      </c>
      <c r="V1160" s="6">
        <f>IF(ISERROR(VLOOKUP($S$1160,'TAR FIN'!$A$1:$O$115,15,0)),0,VLOOKUP($S$1160,'TAR FIN'!$A$1:$O$115,15,0))</f>
        <v>0</v>
      </c>
      <c r="W1160" s="6">
        <f>IF(ISERROR(VLOOKUP($T$1160,'TAR FIN'!$A$1:$O$115,15,0)),0,VLOOKUP($T$1160,'TAR FIN'!$A$1:$O$115,15,0))</f>
        <v>463.6</v>
      </c>
      <c r="X1160" s="6">
        <f>IF(ISERROR(VLOOKUP($U$1160,'TAR FIN'!$A$1:$O$115,15,0)),0,VLOOKUP($U$1160,'TAR FIN'!$A$1:$O$115,15,0))</f>
        <v>176.58</v>
      </c>
      <c r="Y1160" s="6"/>
      <c r="Z1160" s="6">
        <f ca="1">('TUSD BE'!$AM$37+'TUSD BF'!$AM$37+'TUSD CVA'!$AM$37)*1</f>
        <v>502.21976924570083</v>
      </c>
      <c r="AA1160" s="6">
        <f>('TE BE'!$AB$20+'TE BF'!$AB$20+'TE CVA'!$AB$20)*1</f>
        <v>230.68197444058345</v>
      </c>
      <c r="AB1160" s="6">
        <f>$K$1160*$V$1160</f>
        <v>0</v>
      </c>
      <c r="AC1160" s="6">
        <f>$M$1160*$W$1160</f>
        <v>-12976.164000000001</v>
      </c>
      <c r="AD1160" s="6">
        <f>$O$1160*$X$1160</f>
        <v>-4942.4741999999997</v>
      </c>
      <c r="AE1160" s="6">
        <f>$K$1160*$Y$1160</f>
        <v>0</v>
      </c>
      <c r="AF1160" s="6">
        <f ca="1">$M$1160*$Z$1160</f>
        <v>-14057.131341187165</v>
      </c>
      <c r="AG1160" s="6">
        <f>$O$1160*$AA$1160</f>
        <v>-6456.7884645919303</v>
      </c>
    </row>
    <row r="1161" spans="1:33" ht="11.25" customHeight="1" x14ac:dyDescent="0.25">
      <c r="A1161" s="4" t="s">
        <v>30</v>
      </c>
      <c r="B1161" s="4" t="s">
        <v>22</v>
      </c>
      <c r="C1161" s="4" t="s">
        <v>23</v>
      </c>
      <c r="D1161" s="4" t="s">
        <v>24</v>
      </c>
      <c r="E1161" s="4" t="s">
        <v>24</v>
      </c>
      <c r="F1161" s="4" t="s">
        <v>25</v>
      </c>
      <c r="G1161" s="4" t="s">
        <v>25</v>
      </c>
      <c r="H1161" s="4" t="s">
        <v>25</v>
      </c>
      <c r="I1161" s="5">
        <v>44774</v>
      </c>
      <c r="J1161" s="6">
        <v>0</v>
      </c>
      <c r="K1161" s="6">
        <v>0</v>
      </c>
      <c r="L1161" s="6">
        <v>539.40200000000004</v>
      </c>
      <c r="M1161" s="6">
        <v>539.40200000000004</v>
      </c>
      <c r="N1161" s="6">
        <v>539.40200000000004</v>
      </c>
      <c r="O1161" s="6">
        <v>539.40200000000004</v>
      </c>
      <c r="P1161" s="6">
        <v>3477</v>
      </c>
      <c r="Q1161" s="4" t="s">
        <v>26</v>
      </c>
      <c r="R1161" s="4">
        <v>0</v>
      </c>
      <c r="S1161" s="6">
        <v>0</v>
      </c>
      <c r="T1161" s="6">
        <v>39</v>
      </c>
      <c r="U1161" s="6">
        <v>83</v>
      </c>
      <c r="V1161" s="6">
        <f>IF(ISERROR(VLOOKUP($S$1161,'TAR FIN'!$A$1:$O$115,15,0)),0,VLOOKUP($S$1161,'TAR FIN'!$A$1:$O$115,15,0))</f>
        <v>0</v>
      </c>
      <c r="W1161" s="6">
        <f>IF(ISERROR(VLOOKUP($T$1161,'TAR FIN'!$A$1:$O$115,15,0)),0,VLOOKUP($T$1161,'TAR FIN'!$A$1:$O$115,15,0))</f>
        <v>463.6</v>
      </c>
      <c r="X1161" s="6">
        <f>IF(ISERROR(VLOOKUP($U$1161,'TAR FIN'!$A$1:$O$115,15,0)),0,VLOOKUP($U$1161,'TAR FIN'!$A$1:$O$115,15,0))</f>
        <v>176.58</v>
      </c>
      <c r="Y1161" s="6"/>
      <c r="Z1161" s="6">
        <f ca="1">('TUSD BE'!$AM$37+'TUSD BF'!$AM$37+'TUSD CVA'!$AM$37)*1</f>
        <v>502.21976924570083</v>
      </c>
      <c r="AA1161" s="6">
        <f>('TE BE'!$AB$20+'TE BF'!$AB$20+'TE CVA'!$AB$20)*1</f>
        <v>230.68197444058345</v>
      </c>
      <c r="AB1161" s="6">
        <f>$K$1161*$V$1161</f>
        <v>0</v>
      </c>
      <c r="AC1161" s="6">
        <f>$M$1161*$W$1161</f>
        <v>250066.76720000003</v>
      </c>
      <c r="AD1161" s="6">
        <f>$O$1161*$X$1161</f>
        <v>95247.605160000021</v>
      </c>
      <c r="AE1161" s="6">
        <f>$K$1161*$Y$1161</f>
        <v>0</v>
      </c>
      <c r="AF1161" s="6">
        <f ca="1">$M$1161*$Z$1161</f>
        <v>270898.34797066957</v>
      </c>
      <c r="AG1161" s="6">
        <f>$O$1161*$AA$1161</f>
        <v>124430.3183771996</v>
      </c>
    </row>
    <row r="1162" spans="1:33" ht="11.25" customHeight="1" x14ac:dyDescent="0.25">
      <c r="A1162" s="4" t="s">
        <v>30</v>
      </c>
      <c r="B1162" s="4" t="s">
        <v>22</v>
      </c>
      <c r="C1162" s="4" t="s">
        <v>23</v>
      </c>
      <c r="D1162" s="4" t="s">
        <v>24</v>
      </c>
      <c r="E1162" s="4" t="s">
        <v>24</v>
      </c>
      <c r="F1162" s="4" t="s">
        <v>25</v>
      </c>
      <c r="G1162" s="4" t="s">
        <v>25</v>
      </c>
      <c r="H1162" s="4" t="s">
        <v>25</v>
      </c>
      <c r="I1162" s="5">
        <v>44774</v>
      </c>
      <c r="J1162" s="6">
        <v>0</v>
      </c>
      <c r="K1162" s="6">
        <v>0</v>
      </c>
      <c r="L1162" s="6">
        <v>-1.9419999999999999</v>
      </c>
      <c r="M1162" s="6">
        <v>-1.9419999999999999</v>
      </c>
      <c r="N1162" s="6">
        <v>-1.9419999999999999</v>
      </c>
      <c r="O1162" s="6">
        <v>-1.9419999999999999</v>
      </c>
      <c r="P1162" s="6">
        <v>0</v>
      </c>
      <c r="Q1162" s="4" t="s">
        <v>26</v>
      </c>
      <c r="R1162" s="4">
        <v>0</v>
      </c>
      <c r="S1162" s="6">
        <v>0</v>
      </c>
      <c r="T1162" s="6">
        <v>39</v>
      </c>
      <c r="U1162" s="6">
        <v>83</v>
      </c>
      <c r="V1162" s="6">
        <f>IF(ISERROR(VLOOKUP($S$1162,'TAR FIN'!$A$1:$O$115,15,0)),0,VLOOKUP($S$1162,'TAR FIN'!$A$1:$O$115,15,0))</f>
        <v>0</v>
      </c>
      <c r="W1162" s="6">
        <f>IF(ISERROR(VLOOKUP($T$1162,'TAR FIN'!$A$1:$O$115,15,0)),0,VLOOKUP($T$1162,'TAR FIN'!$A$1:$O$115,15,0))</f>
        <v>463.6</v>
      </c>
      <c r="X1162" s="6">
        <f>IF(ISERROR(VLOOKUP($U$1162,'TAR FIN'!$A$1:$O$115,15,0)),0,VLOOKUP($U$1162,'TAR FIN'!$A$1:$O$115,15,0))</f>
        <v>176.58</v>
      </c>
      <c r="Y1162" s="6"/>
      <c r="Z1162" s="6">
        <f ca="1">('TUSD BE'!$AM$37+'TUSD BF'!$AM$37+'TUSD CVA'!$AM$37)*1</f>
        <v>502.21976924570083</v>
      </c>
      <c r="AA1162" s="6">
        <f>('TE BE'!$AB$20+'TE BF'!$AB$20+'TE CVA'!$AB$20)*1</f>
        <v>230.68197444058345</v>
      </c>
      <c r="AB1162" s="6">
        <f>$K$1162*$V$1162</f>
        <v>0</v>
      </c>
      <c r="AC1162" s="6">
        <f>$M$1162*$W$1162</f>
        <v>-900.31119999999999</v>
      </c>
      <c r="AD1162" s="6">
        <f>$O$1162*$X$1162</f>
        <v>-342.91836000000001</v>
      </c>
      <c r="AE1162" s="6">
        <f>$K$1162*$Y$1162</f>
        <v>0</v>
      </c>
      <c r="AF1162" s="6">
        <f ca="1">$M$1162*$Z$1162</f>
        <v>-975.31079187515104</v>
      </c>
      <c r="AG1162" s="6">
        <f>$O$1162*$AA$1162</f>
        <v>-447.98439436361303</v>
      </c>
    </row>
    <row r="1163" spans="1:33" ht="11.25" customHeight="1" x14ac:dyDescent="0.25">
      <c r="A1163" s="4" t="s">
        <v>21</v>
      </c>
      <c r="B1163" s="4" t="s">
        <v>22</v>
      </c>
      <c r="C1163" s="4" t="s">
        <v>23</v>
      </c>
      <c r="D1163" s="4" t="s">
        <v>24</v>
      </c>
      <c r="E1163" s="4" t="s">
        <v>24</v>
      </c>
      <c r="F1163" s="4" t="s">
        <v>25</v>
      </c>
      <c r="G1163" s="4" t="s">
        <v>25</v>
      </c>
      <c r="H1163" s="4" t="s">
        <v>25</v>
      </c>
      <c r="I1163" s="5">
        <v>44805</v>
      </c>
      <c r="J1163" s="6">
        <v>0</v>
      </c>
      <c r="K1163" s="6">
        <v>0</v>
      </c>
      <c r="L1163" s="6">
        <v>30533.635999999999</v>
      </c>
      <c r="M1163" s="6">
        <v>30533.635999999999</v>
      </c>
      <c r="N1163" s="6">
        <v>30533.635999999999</v>
      </c>
      <c r="O1163" s="6">
        <v>30533.635999999999</v>
      </c>
      <c r="P1163" s="6">
        <v>130877</v>
      </c>
      <c r="Q1163" s="4" t="s">
        <v>26</v>
      </c>
      <c r="R1163" s="4">
        <v>0</v>
      </c>
      <c r="S1163" s="6">
        <v>0</v>
      </c>
      <c r="T1163" s="6">
        <v>39</v>
      </c>
      <c r="U1163" s="6">
        <v>83</v>
      </c>
      <c r="V1163" s="6">
        <f>IF(ISERROR(VLOOKUP($S$1163,'TAR FIN'!$A$1:$O$115,15,0)),0,VLOOKUP($S$1163,'TAR FIN'!$A$1:$O$115,15,0))</f>
        <v>0</v>
      </c>
      <c r="W1163" s="6">
        <f>IF(ISERROR(VLOOKUP($T$1163,'TAR FIN'!$A$1:$O$115,15,0)),0,VLOOKUP($T$1163,'TAR FIN'!$A$1:$O$115,15,0))</f>
        <v>463.6</v>
      </c>
      <c r="X1163" s="6">
        <f>IF(ISERROR(VLOOKUP($U$1163,'TAR FIN'!$A$1:$O$115,15,0)),0,VLOOKUP($U$1163,'TAR FIN'!$A$1:$O$115,15,0))</f>
        <v>176.58</v>
      </c>
      <c r="Y1163" s="6"/>
      <c r="Z1163" s="6">
        <f ca="1">('TUSD BE'!$AM$37+'TUSD BF'!$AM$37+'TUSD CVA'!$AM$37)*1</f>
        <v>502.21976924570083</v>
      </c>
      <c r="AA1163" s="6">
        <f>('TE BE'!$AB$20+'TE BF'!$AB$20+'TE CVA'!$AB$20)*1</f>
        <v>230.68197444058345</v>
      </c>
      <c r="AB1163" s="6">
        <f>$K$1163*$V$1163</f>
        <v>0</v>
      </c>
      <c r="AC1163" s="6">
        <f>$M$1163*$W$1163</f>
        <v>14155393.649599999</v>
      </c>
      <c r="AD1163" s="6">
        <f>$O$1163*$X$1163</f>
        <v>5391629.4448800003</v>
      </c>
      <c r="AE1163" s="6">
        <f>$K$1163*$Y$1163</f>
        <v>0</v>
      </c>
      <c r="AF1163" s="6">
        <f ca="1">$M$1163*$Z$1163</f>
        <v>15334595.626152223</v>
      </c>
      <c r="AG1163" s="6">
        <f>$O$1163*$AA$1163</f>
        <v>7043559.4393300787</v>
      </c>
    </row>
    <row r="1164" spans="1:33" ht="11.25" customHeight="1" x14ac:dyDescent="0.25">
      <c r="A1164" s="4" t="s">
        <v>27</v>
      </c>
      <c r="B1164" s="4" t="s">
        <v>22</v>
      </c>
      <c r="C1164" s="4" t="s">
        <v>23</v>
      </c>
      <c r="D1164" s="4" t="s">
        <v>24</v>
      </c>
      <c r="E1164" s="4" t="s">
        <v>24</v>
      </c>
      <c r="F1164" s="4" t="s">
        <v>25</v>
      </c>
      <c r="G1164" s="4" t="s">
        <v>25</v>
      </c>
      <c r="H1164" s="4" t="s">
        <v>25</v>
      </c>
      <c r="I1164" s="5">
        <v>44805</v>
      </c>
      <c r="J1164" s="6">
        <v>0</v>
      </c>
      <c r="K1164" s="6">
        <v>0</v>
      </c>
      <c r="L1164" s="6">
        <v>-208.626</v>
      </c>
      <c r="M1164" s="6">
        <v>-208.626</v>
      </c>
      <c r="N1164" s="6">
        <v>-208.626</v>
      </c>
      <c r="O1164" s="6">
        <v>-208.626</v>
      </c>
      <c r="P1164" s="6">
        <v>-91</v>
      </c>
      <c r="Q1164" s="4" t="s">
        <v>26</v>
      </c>
      <c r="R1164" s="4">
        <v>0</v>
      </c>
      <c r="S1164" s="6">
        <v>0</v>
      </c>
      <c r="T1164" s="6">
        <v>39</v>
      </c>
      <c r="U1164" s="6">
        <v>83</v>
      </c>
      <c r="V1164" s="6">
        <f>IF(ISERROR(VLOOKUP($S$1164,'TAR FIN'!$A$1:$O$115,15,0)),0,VLOOKUP($S$1164,'TAR FIN'!$A$1:$O$115,15,0))</f>
        <v>0</v>
      </c>
      <c r="W1164" s="6">
        <f>IF(ISERROR(VLOOKUP($T$1164,'TAR FIN'!$A$1:$O$115,15,0)),0,VLOOKUP($T$1164,'TAR FIN'!$A$1:$O$115,15,0))</f>
        <v>463.6</v>
      </c>
      <c r="X1164" s="6">
        <f>IF(ISERROR(VLOOKUP($U$1164,'TAR FIN'!$A$1:$O$115,15,0)),0,VLOOKUP($U$1164,'TAR FIN'!$A$1:$O$115,15,0))</f>
        <v>176.58</v>
      </c>
      <c r="Y1164" s="6"/>
      <c r="Z1164" s="6">
        <f ca="1">('TUSD BE'!$AM$37+'TUSD BF'!$AM$37+'TUSD CVA'!$AM$37)*1</f>
        <v>502.21976924570083</v>
      </c>
      <c r="AA1164" s="6">
        <f>('TE BE'!$AB$20+'TE BF'!$AB$20+'TE CVA'!$AB$20)*1</f>
        <v>230.68197444058345</v>
      </c>
      <c r="AB1164" s="6">
        <f>$K$1164*$V$1164</f>
        <v>0</v>
      </c>
      <c r="AC1164" s="6">
        <f>$M$1164*$W$1164</f>
        <v>-96719.013600000006</v>
      </c>
      <c r="AD1164" s="6">
        <f>$O$1164*$X$1164</f>
        <v>-36839.179080000002</v>
      </c>
      <c r="AE1164" s="6">
        <f>$K$1164*$Y$1164</f>
        <v>0</v>
      </c>
      <c r="AF1164" s="6">
        <f ca="1">$M$1164*$Z$1164</f>
        <v>-104776.10157865359</v>
      </c>
      <c r="AG1164" s="6">
        <f>$O$1164*$AA$1164</f>
        <v>-48126.257599641162</v>
      </c>
    </row>
    <row r="1165" spans="1:33" ht="11.25" customHeight="1" x14ac:dyDescent="0.25">
      <c r="A1165" s="4" t="s">
        <v>28</v>
      </c>
      <c r="B1165" s="4" t="s">
        <v>22</v>
      </c>
      <c r="C1165" s="4" t="s">
        <v>23</v>
      </c>
      <c r="D1165" s="4" t="s">
        <v>24</v>
      </c>
      <c r="E1165" s="4" t="s">
        <v>24</v>
      </c>
      <c r="F1165" s="4" t="s">
        <v>25</v>
      </c>
      <c r="G1165" s="4" t="s">
        <v>25</v>
      </c>
      <c r="H1165" s="4" t="s">
        <v>25</v>
      </c>
      <c r="I1165" s="5">
        <v>44805</v>
      </c>
      <c r="J1165" s="6">
        <v>0</v>
      </c>
      <c r="K1165" s="6">
        <v>0</v>
      </c>
      <c r="L1165" s="6">
        <v>6924.7370000000001</v>
      </c>
      <c r="M1165" s="6">
        <v>6924.7370000000001</v>
      </c>
      <c r="N1165" s="6">
        <v>6924.7370000000001</v>
      </c>
      <c r="O1165" s="6">
        <v>6924.7370000000001</v>
      </c>
      <c r="P1165" s="6">
        <v>35543</v>
      </c>
      <c r="Q1165" s="4" t="s">
        <v>26</v>
      </c>
      <c r="R1165" s="4">
        <v>0</v>
      </c>
      <c r="S1165" s="6">
        <v>0</v>
      </c>
      <c r="T1165" s="6">
        <v>39</v>
      </c>
      <c r="U1165" s="6">
        <v>83</v>
      </c>
      <c r="V1165" s="6">
        <f>IF(ISERROR(VLOOKUP($S$1165,'TAR FIN'!$A$1:$O$115,15,0)),0,VLOOKUP($S$1165,'TAR FIN'!$A$1:$O$115,15,0))</f>
        <v>0</v>
      </c>
      <c r="W1165" s="6">
        <f>IF(ISERROR(VLOOKUP($T$1165,'TAR FIN'!$A$1:$O$115,15,0)),0,VLOOKUP($T$1165,'TAR FIN'!$A$1:$O$115,15,0))</f>
        <v>463.6</v>
      </c>
      <c r="X1165" s="6">
        <f>IF(ISERROR(VLOOKUP($U$1165,'TAR FIN'!$A$1:$O$115,15,0)),0,VLOOKUP($U$1165,'TAR FIN'!$A$1:$O$115,15,0))</f>
        <v>176.58</v>
      </c>
      <c r="Y1165" s="6"/>
      <c r="Z1165" s="6">
        <f ca="1">('TUSD BE'!$AM$37+'TUSD BF'!$AM$37+'TUSD CVA'!$AM$37)*1</f>
        <v>502.21976924570083</v>
      </c>
      <c r="AA1165" s="6">
        <f>('TE BE'!$AB$20+'TE BF'!$AB$20+'TE CVA'!$AB$20)*1</f>
        <v>230.68197444058345</v>
      </c>
      <c r="AB1165" s="6">
        <f>$K$1165*$V$1165</f>
        <v>0</v>
      </c>
      <c r="AC1165" s="6">
        <f>$M$1165*$W$1165</f>
        <v>3210308.0732</v>
      </c>
      <c r="AD1165" s="6">
        <f>$O$1165*$X$1165</f>
        <v>1222770.0594600001</v>
      </c>
      <c r="AE1165" s="6">
        <f>$K$1165*$Y$1165</f>
        <v>0</v>
      </c>
      <c r="AF1165" s="6">
        <f ca="1">$M$1165*$Z$1165</f>
        <v>3477739.8182271668</v>
      </c>
      <c r="AG1165" s="6">
        <f>$O$1165*$AA$1165</f>
        <v>1597412.0036417625</v>
      </c>
    </row>
    <row r="1166" spans="1:33" ht="11.25" customHeight="1" x14ac:dyDescent="0.25">
      <c r="A1166" s="4" t="s">
        <v>29</v>
      </c>
      <c r="B1166" s="4" t="s">
        <v>22</v>
      </c>
      <c r="C1166" s="4" t="s">
        <v>23</v>
      </c>
      <c r="D1166" s="4" t="s">
        <v>24</v>
      </c>
      <c r="E1166" s="4" t="s">
        <v>24</v>
      </c>
      <c r="F1166" s="4" t="s">
        <v>25</v>
      </c>
      <c r="G1166" s="4" t="s">
        <v>25</v>
      </c>
      <c r="H1166" s="4" t="s">
        <v>25</v>
      </c>
      <c r="I1166" s="5">
        <v>44805</v>
      </c>
      <c r="J1166" s="6">
        <v>0</v>
      </c>
      <c r="K1166" s="6">
        <v>0</v>
      </c>
      <c r="L1166" s="6">
        <v>-29.780999999999999</v>
      </c>
      <c r="M1166" s="6">
        <v>-29.780999999999999</v>
      </c>
      <c r="N1166" s="6">
        <v>-29.780999999999999</v>
      </c>
      <c r="O1166" s="6">
        <v>-29.780999999999999</v>
      </c>
      <c r="P1166" s="6">
        <v>-24</v>
      </c>
      <c r="Q1166" s="4" t="s">
        <v>26</v>
      </c>
      <c r="R1166" s="4">
        <v>0</v>
      </c>
      <c r="S1166" s="6">
        <v>0</v>
      </c>
      <c r="T1166" s="6">
        <v>39</v>
      </c>
      <c r="U1166" s="6">
        <v>83</v>
      </c>
      <c r="V1166" s="6">
        <f>IF(ISERROR(VLOOKUP($S$1166,'TAR FIN'!$A$1:$O$115,15,0)),0,VLOOKUP($S$1166,'TAR FIN'!$A$1:$O$115,15,0))</f>
        <v>0</v>
      </c>
      <c r="W1166" s="6">
        <f>IF(ISERROR(VLOOKUP($T$1166,'TAR FIN'!$A$1:$O$115,15,0)),0,VLOOKUP($T$1166,'TAR FIN'!$A$1:$O$115,15,0))</f>
        <v>463.6</v>
      </c>
      <c r="X1166" s="6">
        <f>IF(ISERROR(VLOOKUP($U$1166,'TAR FIN'!$A$1:$O$115,15,0)),0,VLOOKUP($U$1166,'TAR FIN'!$A$1:$O$115,15,0))</f>
        <v>176.58</v>
      </c>
      <c r="Y1166" s="6"/>
      <c r="Z1166" s="6">
        <f ca="1">('TUSD BE'!$AM$37+'TUSD BF'!$AM$37+'TUSD CVA'!$AM$37)*1</f>
        <v>502.21976924570083</v>
      </c>
      <c r="AA1166" s="6">
        <f>('TE BE'!$AB$20+'TE BF'!$AB$20+'TE CVA'!$AB$20)*1</f>
        <v>230.68197444058345</v>
      </c>
      <c r="AB1166" s="6">
        <f>$K$1166*$V$1166</f>
        <v>0</v>
      </c>
      <c r="AC1166" s="6">
        <f>$M$1166*$W$1166</f>
        <v>-13806.471600000001</v>
      </c>
      <c r="AD1166" s="6">
        <f>$O$1166*$X$1166</f>
        <v>-5258.7289799999999</v>
      </c>
      <c r="AE1166" s="6">
        <f>$K$1166*$Y$1166</f>
        <v>0</v>
      </c>
      <c r="AF1166" s="6">
        <f ca="1">$M$1166*$Z$1166</f>
        <v>-14956.606947906215</v>
      </c>
      <c r="AG1166" s="6">
        <f>$O$1166*$AA$1166</f>
        <v>-6869.9398808150154</v>
      </c>
    </row>
    <row r="1167" spans="1:33" ht="11.25" customHeight="1" x14ac:dyDescent="0.25">
      <c r="A1167" s="4" t="s">
        <v>30</v>
      </c>
      <c r="B1167" s="4" t="s">
        <v>22</v>
      </c>
      <c r="C1167" s="4" t="s">
        <v>23</v>
      </c>
      <c r="D1167" s="4" t="s">
        <v>24</v>
      </c>
      <c r="E1167" s="4" t="s">
        <v>24</v>
      </c>
      <c r="F1167" s="4" t="s">
        <v>25</v>
      </c>
      <c r="G1167" s="4" t="s">
        <v>25</v>
      </c>
      <c r="H1167" s="4" t="s">
        <v>25</v>
      </c>
      <c r="I1167" s="5">
        <v>44805</v>
      </c>
      <c r="J1167" s="6">
        <v>0</v>
      </c>
      <c r="K1167" s="6">
        <v>0</v>
      </c>
      <c r="L1167" s="6">
        <v>461.31099999999998</v>
      </c>
      <c r="M1167" s="6">
        <v>461.31099999999998</v>
      </c>
      <c r="N1167" s="6">
        <v>461.31099999999998</v>
      </c>
      <c r="O1167" s="6">
        <v>461.31099999999998</v>
      </c>
      <c r="P1167" s="6">
        <v>3574</v>
      </c>
      <c r="Q1167" s="4" t="s">
        <v>26</v>
      </c>
      <c r="R1167" s="4">
        <v>0</v>
      </c>
      <c r="S1167" s="6">
        <v>0</v>
      </c>
      <c r="T1167" s="6">
        <v>39</v>
      </c>
      <c r="U1167" s="6">
        <v>83</v>
      </c>
      <c r="V1167" s="6">
        <f>IF(ISERROR(VLOOKUP($S$1167,'TAR FIN'!$A$1:$O$115,15,0)),0,VLOOKUP($S$1167,'TAR FIN'!$A$1:$O$115,15,0))</f>
        <v>0</v>
      </c>
      <c r="W1167" s="6">
        <f>IF(ISERROR(VLOOKUP($T$1167,'TAR FIN'!$A$1:$O$115,15,0)),0,VLOOKUP($T$1167,'TAR FIN'!$A$1:$O$115,15,0))</f>
        <v>463.6</v>
      </c>
      <c r="X1167" s="6">
        <f>IF(ISERROR(VLOOKUP($U$1167,'TAR FIN'!$A$1:$O$115,15,0)),0,VLOOKUP($U$1167,'TAR FIN'!$A$1:$O$115,15,0))</f>
        <v>176.58</v>
      </c>
      <c r="Y1167" s="6"/>
      <c r="Z1167" s="6">
        <f ca="1">('TUSD BE'!$AM$37+'TUSD BF'!$AM$37+'TUSD CVA'!$AM$37)*1</f>
        <v>502.21976924570083</v>
      </c>
      <c r="AA1167" s="6">
        <f>('TE BE'!$AB$20+'TE BF'!$AB$20+'TE CVA'!$AB$20)*1</f>
        <v>230.68197444058345</v>
      </c>
      <c r="AB1167" s="6">
        <f>$K$1167*$V$1167</f>
        <v>0</v>
      </c>
      <c r="AC1167" s="6">
        <f>$M$1167*$W$1167</f>
        <v>213863.77960000001</v>
      </c>
      <c r="AD1167" s="6">
        <f>$O$1167*$X$1167</f>
        <v>81458.29638</v>
      </c>
      <c r="AE1167" s="6">
        <f>$K$1167*$Y$1167</f>
        <v>0</v>
      </c>
      <c r="AF1167" s="6">
        <f ca="1">$M$1167*$Z$1167</f>
        <v>231679.50397050349</v>
      </c>
      <c r="AG1167" s="6">
        <f>$O$1167*$AA$1167</f>
        <v>106416.13231115998</v>
      </c>
    </row>
    <row r="1168" spans="1:33" ht="11.25" customHeight="1" x14ac:dyDescent="0.25">
      <c r="A1168" s="4" t="s">
        <v>30</v>
      </c>
      <c r="B1168" s="4" t="s">
        <v>22</v>
      </c>
      <c r="C1168" s="4" t="s">
        <v>23</v>
      </c>
      <c r="D1168" s="4" t="s">
        <v>24</v>
      </c>
      <c r="E1168" s="4" t="s">
        <v>24</v>
      </c>
      <c r="F1168" s="4" t="s">
        <v>25</v>
      </c>
      <c r="G1168" s="4" t="s">
        <v>25</v>
      </c>
      <c r="H1168" s="4" t="s">
        <v>25</v>
      </c>
      <c r="I1168" s="5">
        <v>44805</v>
      </c>
      <c r="J1168" s="6">
        <v>0</v>
      </c>
      <c r="K1168" s="6">
        <v>0</v>
      </c>
      <c r="L1168" s="6">
        <v>-3.335</v>
      </c>
      <c r="M1168" s="6">
        <v>-3.335</v>
      </c>
      <c r="N1168" s="6">
        <v>-3.335</v>
      </c>
      <c r="O1168" s="6">
        <v>-3.335</v>
      </c>
      <c r="P1168" s="6">
        <v>0</v>
      </c>
      <c r="Q1168" s="4" t="s">
        <v>26</v>
      </c>
      <c r="R1168" s="4">
        <v>0</v>
      </c>
      <c r="S1168" s="6">
        <v>0</v>
      </c>
      <c r="T1168" s="6">
        <v>39</v>
      </c>
      <c r="U1168" s="6">
        <v>83</v>
      </c>
      <c r="V1168" s="6">
        <f>IF(ISERROR(VLOOKUP($S$1168,'TAR FIN'!$A$1:$O$115,15,0)),0,VLOOKUP($S$1168,'TAR FIN'!$A$1:$O$115,15,0))</f>
        <v>0</v>
      </c>
      <c r="W1168" s="6">
        <f>IF(ISERROR(VLOOKUP($T$1168,'TAR FIN'!$A$1:$O$115,15,0)),0,VLOOKUP($T$1168,'TAR FIN'!$A$1:$O$115,15,0))</f>
        <v>463.6</v>
      </c>
      <c r="X1168" s="6">
        <f>IF(ISERROR(VLOOKUP($U$1168,'TAR FIN'!$A$1:$O$115,15,0)),0,VLOOKUP($U$1168,'TAR FIN'!$A$1:$O$115,15,0))</f>
        <v>176.58</v>
      </c>
      <c r="Y1168" s="6"/>
      <c r="Z1168" s="6">
        <f ca="1">('TUSD BE'!$AM$37+'TUSD BF'!$AM$37+'TUSD CVA'!$AM$37)*1</f>
        <v>502.21976924570083</v>
      </c>
      <c r="AA1168" s="6">
        <f>('TE BE'!$AB$20+'TE BF'!$AB$20+'TE CVA'!$AB$20)*1</f>
        <v>230.68197444058345</v>
      </c>
      <c r="AB1168" s="6">
        <f>$K$1168*$V$1168</f>
        <v>0</v>
      </c>
      <c r="AC1168" s="6">
        <f>$M$1168*$W$1168</f>
        <v>-1546.106</v>
      </c>
      <c r="AD1168" s="6">
        <f>$O$1168*$X$1168</f>
        <v>-588.89430000000004</v>
      </c>
      <c r="AE1168" s="6">
        <f>$K$1168*$Y$1168</f>
        <v>0</v>
      </c>
      <c r="AF1168" s="6">
        <f ca="1">$M$1168*$Z$1168</f>
        <v>-1674.9029304344122</v>
      </c>
      <c r="AG1168" s="6">
        <f>$O$1168*$AA$1168</f>
        <v>-769.32438475934578</v>
      </c>
    </row>
    <row r="1169" spans="1:33" ht="11.25" customHeight="1" x14ac:dyDescent="0.25">
      <c r="A1169" s="4" t="s">
        <v>21</v>
      </c>
      <c r="B1169" s="4" t="s">
        <v>22</v>
      </c>
      <c r="C1169" s="4" t="s">
        <v>23</v>
      </c>
      <c r="D1169" s="4" t="s">
        <v>24</v>
      </c>
      <c r="E1169" s="4" t="s">
        <v>24</v>
      </c>
      <c r="F1169" s="4" t="s">
        <v>25</v>
      </c>
      <c r="G1169" s="4" t="s">
        <v>25</v>
      </c>
      <c r="H1169" s="4" t="s">
        <v>25</v>
      </c>
      <c r="I1169" s="5">
        <v>44835</v>
      </c>
      <c r="J1169" s="6">
        <v>0</v>
      </c>
      <c r="K1169" s="6">
        <v>0</v>
      </c>
      <c r="L1169" s="6">
        <v>33206.495999999999</v>
      </c>
      <c r="M1169" s="6">
        <v>33206.495999999999</v>
      </c>
      <c r="N1169" s="6">
        <v>33206.495999999999</v>
      </c>
      <c r="O1169" s="6">
        <v>33206.495999999999</v>
      </c>
      <c r="P1169" s="6">
        <v>130320</v>
      </c>
      <c r="Q1169" s="4" t="s">
        <v>26</v>
      </c>
      <c r="R1169" s="4">
        <v>0</v>
      </c>
      <c r="S1169" s="6">
        <v>0</v>
      </c>
      <c r="T1169" s="6">
        <v>39</v>
      </c>
      <c r="U1169" s="6">
        <v>83</v>
      </c>
      <c r="V1169" s="6">
        <f>IF(ISERROR(VLOOKUP($S$1169,'TAR FIN'!$A$1:$O$115,15,0)),0,VLOOKUP($S$1169,'TAR FIN'!$A$1:$O$115,15,0))</f>
        <v>0</v>
      </c>
      <c r="W1169" s="6">
        <f>IF(ISERROR(VLOOKUP($T$1169,'TAR FIN'!$A$1:$O$115,15,0)),0,VLOOKUP($T$1169,'TAR FIN'!$A$1:$O$115,15,0))</f>
        <v>463.6</v>
      </c>
      <c r="X1169" s="6">
        <f>IF(ISERROR(VLOOKUP($U$1169,'TAR FIN'!$A$1:$O$115,15,0)),0,VLOOKUP($U$1169,'TAR FIN'!$A$1:$O$115,15,0))</f>
        <v>176.58</v>
      </c>
      <c r="Y1169" s="6"/>
      <c r="Z1169" s="6">
        <f ca="1">('TUSD BE'!$AM$37+'TUSD BF'!$AM$37+'TUSD CVA'!$AM$37)*1</f>
        <v>502.21976924570083</v>
      </c>
      <c r="AA1169" s="6">
        <f>('TE BE'!$AB$20+'TE BF'!$AB$20+'TE CVA'!$AB$20)*1</f>
        <v>230.68197444058345</v>
      </c>
      <c r="AB1169" s="6">
        <f>$K$1169*$V$1169</f>
        <v>0</v>
      </c>
      <c r="AC1169" s="6">
        <f>$M$1169*$W$1169</f>
        <v>15394531.545600001</v>
      </c>
      <c r="AD1169" s="6">
        <f>$O$1169*$X$1169</f>
        <v>5863603.0636800006</v>
      </c>
      <c r="AE1169" s="6">
        <f>$K$1169*$Y$1169</f>
        <v>0</v>
      </c>
      <c r="AF1169" s="6">
        <f ca="1">$M$1169*$Z$1169</f>
        <v>16676958.758578287</v>
      </c>
      <c r="AG1169" s="6">
        <f>$O$1169*$AA$1169</f>
        <v>7660140.0615333365</v>
      </c>
    </row>
    <row r="1170" spans="1:33" ht="11.25" customHeight="1" x14ac:dyDescent="0.25">
      <c r="A1170" s="4" t="s">
        <v>27</v>
      </c>
      <c r="B1170" s="4" t="s">
        <v>22</v>
      </c>
      <c r="C1170" s="4" t="s">
        <v>23</v>
      </c>
      <c r="D1170" s="4" t="s">
        <v>24</v>
      </c>
      <c r="E1170" s="4" t="s">
        <v>24</v>
      </c>
      <c r="F1170" s="4" t="s">
        <v>25</v>
      </c>
      <c r="G1170" s="4" t="s">
        <v>25</v>
      </c>
      <c r="H1170" s="4" t="s">
        <v>25</v>
      </c>
      <c r="I1170" s="5">
        <v>44835</v>
      </c>
      <c r="J1170" s="6">
        <v>0</v>
      </c>
      <c r="K1170" s="6">
        <v>0</v>
      </c>
      <c r="L1170" s="6">
        <v>-360.21800000000002</v>
      </c>
      <c r="M1170" s="6">
        <v>-360.21800000000002</v>
      </c>
      <c r="N1170" s="6">
        <v>-360.21800000000002</v>
      </c>
      <c r="O1170" s="6">
        <v>-360.21800000000002</v>
      </c>
      <c r="P1170" s="6">
        <v>-69</v>
      </c>
      <c r="Q1170" s="4" t="s">
        <v>26</v>
      </c>
      <c r="R1170" s="4">
        <v>0</v>
      </c>
      <c r="S1170" s="6">
        <v>0</v>
      </c>
      <c r="T1170" s="6">
        <v>39</v>
      </c>
      <c r="U1170" s="6">
        <v>83</v>
      </c>
      <c r="V1170" s="6">
        <f>IF(ISERROR(VLOOKUP($S$1170,'TAR FIN'!$A$1:$O$115,15,0)),0,VLOOKUP($S$1170,'TAR FIN'!$A$1:$O$115,15,0))</f>
        <v>0</v>
      </c>
      <c r="W1170" s="6">
        <f>IF(ISERROR(VLOOKUP($T$1170,'TAR FIN'!$A$1:$O$115,15,0)),0,VLOOKUP($T$1170,'TAR FIN'!$A$1:$O$115,15,0))</f>
        <v>463.6</v>
      </c>
      <c r="X1170" s="6">
        <f>IF(ISERROR(VLOOKUP($U$1170,'TAR FIN'!$A$1:$O$115,15,0)),0,VLOOKUP($U$1170,'TAR FIN'!$A$1:$O$115,15,0))</f>
        <v>176.58</v>
      </c>
      <c r="Y1170" s="6"/>
      <c r="Z1170" s="6">
        <f ca="1">('TUSD BE'!$AM$37+'TUSD BF'!$AM$37+'TUSD CVA'!$AM$37)*1</f>
        <v>502.21976924570083</v>
      </c>
      <c r="AA1170" s="6">
        <f>('TE BE'!$AB$20+'TE BF'!$AB$20+'TE CVA'!$AB$20)*1</f>
        <v>230.68197444058345</v>
      </c>
      <c r="AB1170" s="6">
        <f>$K$1170*$V$1170</f>
        <v>0</v>
      </c>
      <c r="AC1170" s="6">
        <f>$M$1170*$W$1170</f>
        <v>-166997.06480000002</v>
      </c>
      <c r="AD1170" s="6">
        <f>$O$1170*$X$1170</f>
        <v>-63607.294440000005</v>
      </c>
      <c r="AE1170" s="6">
        <f>$K$1170*$Y$1170</f>
        <v>0</v>
      </c>
      <c r="AF1170" s="6">
        <f ca="1">$M$1170*$Z$1170</f>
        <v>-180908.60083814786</v>
      </c>
      <c r="AG1170" s="6">
        <f>$O$1170*$AA$1170</f>
        <v>-83095.799469038087</v>
      </c>
    </row>
    <row r="1171" spans="1:33" ht="11.25" customHeight="1" x14ac:dyDescent="0.25">
      <c r="A1171" s="4" t="s">
        <v>28</v>
      </c>
      <c r="B1171" s="4" t="s">
        <v>22</v>
      </c>
      <c r="C1171" s="4" t="s">
        <v>23</v>
      </c>
      <c r="D1171" s="4" t="s">
        <v>24</v>
      </c>
      <c r="E1171" s="4" t="s">
        <v>24</v>
      </c>
      <c r="F1171" s="4" t="s">
        <v>25</v>
      </c>
      <c r="G1171" s="4" t="s">
        <v>25</v>
      </c>
      <c r="H1171" s="4" t="s">
        <v>25</v>
      </c>
      <c r="I1171" s="5">
        <v>44835</v>
      </c>
      <c r="J1171" s="6">
        <v>0</v>
      </c>
      <c r="K1171" s="6">
        <v>0</v>
      </c>
      <c r="L1171" s="6">
        <v>7299.8609999999999</v>
      </c>
      <c r="M1171" s="6">
        <v>7299.8609999999999</v>
      </c>
      <c r="N1171" s="6">
        <v>7299.8609999999999</v>
      </c>
      <c r="O1171" s="6">
        <v>7299.8609999999999</v>
      </c>
      <c r="P1171" s="6">
        <v>35403</v>
      </c>
      <c r="Q1171" s="4" t="s">
        <v>26</v>
      </c>
      <c r="R1171" s="4">
        <v>0</v>
      </c>
      <c r="S1171" s="6">
        <v>0</v>
      </c>
      <c r="T1171" s="6">
        <v>39</v>
      </c>
      <c r="U1171" s="6">
        <v>83</v>
      </c>
      <c r="V1171" s="6">
        <f>IF(ISERROR(VLOOKUP($S$1171,'TAR FIN'!$A$1:$O$115,15,0)),0,VLOOKUP($S$1171,'TAR FIN'!$A$1:$O$115,15,0))</f>
        <v>0</v>
      </c>
      <c r="W1171" s="6">
        <f>IF(ISERROR(VLOOKUP($T$1171,'TAR FIN'!$A$1:$O$115,15,0)),0,VLOOKUP($T$1171,'TAR FIN'!$A$1:$O$115,15,0))</f>
        <v>463.6</v>
      </c>
      <c r="X1171" s="6">
        <f>IF(ISERROR(VLOOKUP($U$1171,'TAR FIN'!$A$1:$O$115,15,0)),0,VLOOKUP($U$1171,'TAR FIN'!$A$1:$O$115,15,0))</f>
        <v>176.58</v>
      </c>
      <c r="Y1171" s="6"/>
      <c r="Z1171" s="6">
        <f ca="1">('TUSD BE'!$AM$37+'TUSD BF'!$AM$37+'TUSD CVA'!$AM$37)*1</f>
        <v>502.21976924570083</v>
      </c>
      <c r="AA1171" s="6">
        <f>('TE BE'!$AB$20+'TE BF'!$AB$20+'TE CVA'!$AB$20)*1</f>
        <v>230.68197444058345</v>
      </c>
      <c r="AB1171" s="6">
        <f>$K$1171*$V$1171</f>
        <v>0</v>
      </c>
      <c r="AC1171" s="6">
        <f>$M$1171*$W$1171</f>
        <v>3384215.5596000003</v>
      </c>
      <c r="AD1171" s="6">
        <f>$O$1171*$X$1171</f>
        <v>1289009.4553800002</v>
      </c>
      <c r="AE1171" s="6">
        <f>$K$1171*$Y$1171</f>
        <v>0</v>
      </c>
      <c r="AF1171" s="6">
        <f ca="1">$M$1171*$Z$1171</f>
        <v>3666134.5069456911</v>
      </c>
      <c r="AG1171" s="6">
        <f>$O$1171*$AA$1171</f>
        <v>1683946.348621812</v>
      </c>
    </row>
    <row r="1172" spans="1:33" ht="11.25" customHeight="1" x14ac:dyDescent="0.25">
      <c r="A1172" s="4" t="s">
        <v>29</v>
      </c>
      <c r="B1172" s="4" t="s">
        <v>22</v>
      </c>
      <c r="C1172" s="4" t="s">
        <v>23</v>
      </c>
      <c r="D1172" s="4" t="s">
        <v>24</v>
      </c>
      <c r="E1172" s="4" t="s">
        <v>24</v>
      </c>
      <c r="F1172" s="4" t="s">
        <v>25</v>
      </c>
      <c r="G1172" s="4" t="s">
        <v>25</v>
      </c>
      <c r="H1172" s="4" t="s">
        <v>25</v>
      </c>
      <c r="I1172" s="5">
        <v>44835</v>
      </c>
      <c r="J1172" s="6">
        <v>0</v>
      </c>
      <c r="K1172" s="6">
        <v>0</v>
      </c>
      <c r="L1172" s="6">
        <v>-29.329000000000001</v>
      </c>
      <c r="M1172" s="6">
        <v>-29.329000000000001</v>
      </c>
      <c r="N1172" s="6">
        <v>-29.329000000000001</v>
      </c>
      <c r="O1172" s="6">
        <v>-29.329000000000001</v>
      </c>
      <c r="P1172" s="6">
        <v>-86</v>
      </c>
      <c r="Q1172" s="4" t="s">
        <v>26</v>
      </c>
      <c r="R1172" s="4">
        <v>0</v>
      </c>
      <c r="S1172" s="6">
        <v>0</v>
      </c>
      <c r="T1172" s="6">
        <v>39</v>
      </c>
      <c r="U1172" s="6">
        <v>83</v>
      </c>
      <c r="V1172" s="6">
        <f>IF(ISERROR(VLOOKUP($S$1172,'TAR FIN'!$A$1:$O$115,15,0)),0,VLOOKUP($S$1172,'TAR FIN'!$A$1:$O$115,15,0))</f>
        <v>0</v>
      </c>
      <c r="W1172" s="6">
        <f>IF(ISERROR(VLOOKUP($T$1172,'TAR FIN'!$A$1:$O$115,15,0)),0,VLOOKUP($T$1172,'TAR FIN'!$A$1:$O$115,15,0))</f>
        <v>463.6</v>
      </c>
      <c r="X1172" s="6">
        <f>IF(ISERROR(VLOOKUP($U$1172,'TAR FIN'!$A$1:$O$115,15,0)),0,VLOOKUP($U$1172,'TAR FIN'!$A$1:$O$115,15,0))</f>
        <v>176.58</v>
      </c>
      <c r="Y1172" s="6"/>
      <c r="Z1172" s="6">
        <f ca="1">('TUSD BE'!$AM$37+'TUSD BF'!$AM$37+'TUSD CVA'!$AM$37)*1</f>
        <v>502.21976924570083</v>
      </c>
      <c r="AA1172" s="6">
        <f>('TE BE'!$AB$20+'TE BF'!$AB$20+'TE CVA'!$AB$20)*1</f>
        <v>230.68197444058345</v>
      </c>
      <c r="AB1172" s="6">
        <f>$K$1172*$V$1172</f>
        <v>0</v>
      </c>
      <c r="AC1172" s="6">
        <f>$M$1172*$W$1172</f>
        <v>-13596.924400000002</v>
      </c>
      <c r="AD1172" s="6">
        <f>$O$1172*$X$1172</f>
        <v>-5178.9148200000009</v>
      </c>
      <c r="AE1172" s="6">
        <f>$K$1172*$Y$1172</f>
        <v>0</v>
      </c>
      <c r="AF1172" s="6">
        <f ca="1">$M$1172*$Z$1172</f>
        <v>-14729.60361220716</v>
      </c>
      <c r="AG1172" s="6">
        <f>$O$1172*$AA$1172</f>
        <v>-6765.6716283678725</v>
      </c>
    </row>
    <row r="1173" spans="1:33" ht="11.25" customHeight="1" x14ac:dyDescent="0.25">
      <c r="A1173" s="4" t="s">
        <v>30</v>
      </c>
      <c r="B1173" s="4" t="s">
        <v>22</v>
      </c>
      <c r="C1173" s="4" t="s">
        <v>23</v>
      </c>
      <c r="D1173" s="4" t="s">
        <v>24</v>
      </c>
      <c r="E1173" s="4" t="s">
        <v>24</v>
      </c>
      <c r="F1173" s="4" t="s">
        <v>25</v>
      </c>
      <c r="G1173" s="4" t="s">
        <v>25</v>
      </c>
      <c r="H1173" s="4" t="s">
        <v>25</v>
      </c>
      <c r="I1173" s="5">
        <v>44835</v>
      </c>
      <c r="J1173" s="6">
        <v>0</v>
      </c>
      <c r="K1173" s="6">
        <v>0</v>
      </c>
      <c r="L1173" s="6">
        <v>545.10400000000004</v>
      </c>
      <c r="M1173" s="6">
        <v>545.10400000000004</v>
      </c>
      <c r="N1173" s="6">
        <v>545.10400000000004</v>
      </c>
      <c r="O1173" s="6">
        <v>545.10400000000004</v>
      </c>
      <c r="P1173" s="6">
        <v>3684</v>
      </c>
      <c r="Q1173" s="4" t="s">
        <v>26</v>
      </c>
      <c r="R1173" s="4">
        <v>0</v>
      </c>
      <c r="S1173" s="6">
        <v>0</v>
      </c>
      <c r="T1173" s="6">
        <v>39</v>
      </c>
      <c r="U1173" s="6">
        <v>83</v>
      </c>
      <c r="V1173" s="6">
        <f>IF(ISERROR(VLOOKUP($S$1173,'TAR FIN'!$A$1:$O$115,15,0)),0,VLOOKUP($S$1173,'TAR FIN'!$A$1:$O$115,15,0))</f>
        <v>0</v>
      </c>
      <c r="W1173" s="6">
        <f>IF(ISERROR(VLOOKUP($T$1173,'TAR FIN'!$A$1:$O$115,15,0)),0,VLOOKUP($T$1173,'TAR FIN'!$A$1:$O$115,15,0))</f>
        <v>463.6</v>
      </c>
      <c r="X1173" s="6">
        <f>IF(ISERROR(VLOOKUP($U$1173,'TAR FIN'!$A$1:$O$115,15,0)),0,VLOOKUP($U$1173,'TAR FIN'!$A$1:$O$115,15,0))</f>
        <v>176.58</v>
      </c>
      <c r="Y1173" s="6"/>
      <c r="Z1173" s="6">
        <f ca="1">('TUSD BE'!$AM$37+'TUSD BF'!$AM$37+'TUSD CVA'!$AM$37)*1</f>
        <v>502.21976924570083</v>
      </c>
      <c r="AA1173" s="6">
        <f>('TE BE'!$AB$20+'TE BF'!$AB$20+'TE CVA'!$AB$20)*1</f>
        <v>230.68197444058345</v>
      </c>
      <c r="AB1173" s="6">
        <f>$K$1173*$V$1173</f>
        <v>0</v>
      </c>
      <c r="AC1173" s="6">
        <f>$M$1173*$W$1173</f>
        <v>252710.21440000003</v>
      </c>
      <c r="AD1173" s="6">
        <f>$O$1173*$X$1173</f>
        <v>96254.464320000014</v>
      </c>
      <c r="AE1173" s="6">
        <f>$K$1173*$Y$1173</f>
        <v>0</v>
      </c>
      <c r="AF1173" s="6">
        <f ca="1">$M$1173*$Z$1173</f>
        <v>273762.00509490853</v>
      </c>
      <c r="AG1173" s="6">
        <f>$O$1173*$AA$1173</f>
        <v>125745.6669954598</v>
      </c>
    </row>
    <row r="1174" spans="1:33" ht="11.25" customHeight="1" x14ac:dyDescent="0.25">
      <c r="A1174" s="4" t="s">
        <v>30</v>
      </c>
      <c r="B1174" s="4" t="s">
        <v>22</v>
      </c>
      <c r="C1174" s="4" t="s">
        <v>23</v>
      </c>
      <c r="D1174" s="4" t="s">
        <v>24</v>
      </c>
      <c r="E1174" s="4" t="s">
        <v>24</v>
      </c>
      <c r="F1174" s="4" t="s">
        <v>25</v>
      </c>
      <c r="G1174" s="4" t="s">
        <v>25</v>
      </c>
      <c r="H1174" s="4" t="s">
        <v>25</v>
      </c>
      <c r="I1174" s="5">
        <v>44835</v>
      </c>
      <c r="J1174" s="6">
        <v>0</v>
      </c>
      <c r="K1174" s="6">
        <v>0</v>
      </c>
      <c r="L1174" s="6">
        <v>-0.80200000000000005</v>
      </c>
      <c r="M1174" s="6">
        <v>-0.80200000000000005</v>
      </c>
      <c r="N1174" s="6">
        <v>-0.80200000000000005</v>
      </c>
      <c r="O1174" s="6">
        <v>-0.80200000000000005</v>
      </c>
      <c r="P1174" s="6">
        <v>1</v>
      </c>
      <c r="Q1174" s="4" t="s">
        <v>26</v>
      </c>
      <c r="R1174" s="4">
        <v>0</v>
      </c>
      <c r="S1174" s="6">
        <v>0</v>
      </c>
      <c r="T1174" s="6">
        <v>39</v>
      </c>
      <c r="U1174" s="6">
        <v>83</v>
      </c>
      <c r="V1174" s="6">
        <f>IF(ISERROR(VLOOKUP($S$1174,'TAR FIN'!$A$1:$O$115,15,0)),0,VLOOKUP($S$1174,'TAR FIN'!$A$1:$O$115,15,0))</f>
        <v>0</v>
      </c>
      <c r="W1174" s="6">
        <f>IF(ISERROR(VLOOKUP($T$1174,'TAR FIN'!$A$1:$O$115,15,0)),0,VLOOKUP($T$1174,'TAR FIN'!$A$1:$O$115,15,0))</f>
        <v>463.6</v>
      </c>
      <c r="X1174" s="6">
        <f>IF(ISERROR(VLOOKUP($U$1174,'TAR FIN'!$A$1:$O$115,15,0)),0,VLOOKUP($U$1174,'TAR FIN'!$A$1:$O$115,15,0))</f>
        <v>176.58</v>
      </c>
      <c r="Y1174" s="6"/>
      <c r="Z1174" s="6">
        <f ca="1">('TUSD BE'!$AM$37+'TUSD BF'!$AM$37+'TUSD CVA'!$AM$37)*1</f>
        <v>502.21976924570083</v>
      </c>
      <c r="AA1174" s="6">
        <f>('TE BE'!$AB$20+'TE BF'!$AB$20+'TE CVA'!$AB$20)*1</f>
        <v>230.68197444058345</v>
      </c>
      <c r="AB1174" s="6">
        <f>$K$1174*$V$1174</f>
        <v>0</v>
      </c>
      <c r="AC1174" s="6">
        <f>$M$1174*$W$1174</f>
        <v>-371.80720000000002</v>
      </c>
      <c r="AD1174" s="6">
        <f>$O$1174*$X$1174</f>
        <v>-141.61716000000001</v>
      </c>
      <c r="AE1174" s="6">
        <f>$K$1174*$Y$1174</f>
        <v>0</v>
      </c>
      <c r="AF1174" s="6">
        <f ca="1">$M$1174*$Z$1174</f>
        <v>-402.78025493505208</v>
      </c>
      <c r="AG1174" s="6">
        <f>$O$1174*$AA$1174</f>
        <v>-185.00694350134793</v>
      </c>
    </row>
    <row r="1175" spans="1:33" ht="11.25" customHeight="1" x14ac:dyDescent="0.25">
      <c r="A1175" s="4" t="s">
        <v>59</v>
      </c>
      <c r="B1175" s="4" t="s">
        <v>22</v>
      </c>
      <c r="C1175" s="4" t="s">
        <v>23</v>
      </c>
      <c r="D1175" s="4" t="s">
        <v>24</v>
      </c>
      <c r="E1175" s="4" t="s">
        <v>24</v>
      </c>
      <c r="F1175" s="4" t="s">
        <v>25</v>
      </c>
      <c r="G1175" s="4" t="s">
        <v>25</v>
      </c>
      <c r="H1175" s="4" t="s">
        <v>25</v>
      </c>
      <c r="I1175" s="5">
        <v>44866</v>
      </c>
      <c r="J1175" s="6">
        <v>0</v>
      </c>
      <c r="K1175" s="6">
        <v>0</v>
      </c>
      <c r="L1175" s="6">
        <v>33206.495999999999</v>
      </c>
      <c r="M1175" s="6">
        <v>33206.495999999999</v>
      </c>
      <c r="N1175" s="6">
        <v>33206.495999999999</v>
      </c>
      <c r="O1175" s="6">
        <v>33206.495999999999</v>
      </c>
      <c r="P1175" s="6">
        <v>130320</v>
      </c>
      <c r="Q1175" s="4" t="s">
        <v>26</v>
      </c>
      <c r="R1175" s="4">
        <v>0</v>
      </c>
      <c r="S1175" s="6">
        <v>0</v>
      </c>
      <c r="T1175" s="6">
        <v>39</v>
      </c>
      <c r="U1175" s="6">
        <v>83</v>
      </c>
      <c r="V1175" s="6">
        <f>IF(ISERROR(VLOOKUP($S$1175,'TAR FIN'!$A$1:$O$115,15,0)),0,VLOOKUP($S$1175,'TAR FIN'!$A$1:$O$115,15,0))</f>
        <v>0</v>
      </c>
      <c r="W1175" s="6">
        <f>IF(ISERROR(VLOOKUP($T$1175,'TAR FIN'!$A$1:$O$115,15,0)),0,VLOOKUP($T$1175,'TAR FIN'!$A$1:$O$115,15,0))</f>
        <v>463.6</v>
      </c>
      <c r="X1175" s="6">
        <f>IF(ISERROR(VLOOKUP($U$1175,'TAR FIN'!$A$1:$O$115,15,0)),0,VLOOKUP($U$1175,'TAR FIN'!$A$1:$O$115,15,0))</f>
        <v>176.58</v>
      </c>
      <c r="Y1175" s="6"/>
      <c r="Z1175" s="6">
        <f ca="1">('TUSD BE'!$AM$37+'TUSD BF'!$AM$37+'TUSD CVA'!$AM$37)*1</f>
        <v>502.21976924570083</v>
      </c>
      <c r="AA1175" s="6">
        <f>('TE BE'!$AB$20+'TE BF'!$AB$20+'TE CVA'!$AB$20)*1</f>
        <v>230.68197444058345</v>
      </c>
      <c r="AB1175" s="6">
        <f>$K$1175*$V$1175</f>
        <v>0</v>
      </c>
      <c r="AC1175" s="6">
        <f>$M$1175*$W$1175</f>
        <v>15394531.545600001</v>
      </c>
      <c r="AD1175" s="6">
        <f>$O$1175*$X$1175</f>
        <v>5863603.0636800006</v>
      </c>
      <c r="AE1175" s="6">
        <f>$K$1175*$Y$1175</f>
        <v>0</v>
      </c>
      <c r="AF1175" s="6">
        <f ca="1">$M$1175*$Z$1175</f>
        <v>16676958.758578287</v>
      </c>
      <c r="AG1175" s="6">
        <f>$O$1175*$AA$1175</f>
        <v>7660140.0615333365</v>
      </c>
    </row>
    <row r="1176" spans="1:33" ht="11.25" customHeight="1" x14ac:dyDescent="0.25">
      <c r="A1176" s="4" t="s">
        <v>59</v>
      </c>
      <c r="B1176" s="4" t="s">
        <v>22</v>
      </c>
      <c r="C1176" s="4" t="s">
        <v>23</v>
      </c>
      <c r="D1176" s="4" t="s">
        <v>24</v>
      </c>
      <c r="E1176" s="4" t="s">
        <v>24</v>
      </c>
      <c r="F1176" s="4" t="s">
        <v>25</v>
      </c>
      <c r="G1176" s="4" t="s">
        <v>25</v>
      </c>
      <c r="H1176" s="4" t="s">
        <v>25</v>
      </c>
      <c r="I1176" s="5">
        <v>44866</v>
      </c>
      <c r="J1176" s="6">
        <v>0</v>
      </c>
      <c r="K1176" s="6">
        <v>0</v>
      </c>
      <c r="L1176" s="6">
        <v>-360.21800000000002</v>
      </c>
      <c r="M1176" s="6">
        <v>-360.21800000000002</v>
      </c>
      <c r="N1176" s="6">
        <v>-360.21800000000002</v>
      </c>
      <c r="O1176" s="6">
        <v>-360.21800000000002</v>
      </c>
      <c r="P1176" s="6">
        <v>-69</v>
      </c>
      <c r="Q1176" s="4" t="s">
        <v>26</v>
      </c>
      <c r="R1176" s="4">
        <v>0</v>
      </c>
      <c r="S1176" s="6">
        <v>0</v>
      </c>
      <c r="T1176" s="6">
        <v>39</v>
      </c>
      <c r="U1176" s="6">
        <v>83</v>
      </c>
      <c r="V1176" s="6">
        <f>IF(ISERROR(VLOOKUP($S$1176,'TAR FIN'!$A$1:$O$115,15,0)),0,VLOOKUP($S$1176,'TAR FIN'!$A$1:$O$115,15,0))</f>
        <v>0</v>
      </c>
      <c r="W1176" s="6">
        <f>IF(ISERROR(VLOOKUP($T$1176,'TAR FIN'!$A$1:$O$115,15,0)),0,VLOOKUP($T$1176,'TAR FIN'!$A$1:$O$115,15,0))</f>
        <v>463.6</v>
      </c>
      <c r="X1176" s="6">
        <f>IF(ISERROR(VLOOKUP($U$1176,'TAR FIN'!$A$1:$O$115,15,0)),0,VLOOKUP($U$1176,'TAR FIN'!$A$1:$O$115,15,0))</f>
        <v>176.58</v>
      </c>
      <c r="Y1176" s="6"/>
      <c r="Z1176" s="6">
        <f ca="1">('TUSD BE'!$AM$37+'TUSD BF'!$AM$37+'TUSD CVA'!$AM$37)*1</f>
        <v>502.21976924570083</v>
      </c>
      <c r="AA1176" s="6">
        <f>('TE BE'!$AB$20+'TE BF'!$AB$20+'TE CVA'!$AB$20)*1</f>
        <v>230.68197444058345</v>
      </c>
      <c r="AB1176" s="6">
        <f>$K$1176*$V$1176</f>
        <v>0</v>
      </c>
      <c r="AC1176" s="6">
        <f>$M$1176*$W$1176</f>
        <v>-166997.06480000002</v>
      </c>
      <c r="AD1176" s="6">
        <f>$O$1176*$X$1176</f>
        <v>-63607.294440000005</v>
      </c>
      <c r="AE1176" s="6">
        <f>$K$1176*$Y$1176</f>
        <v>0</v>
      </c>
      <c r="AF1176" s="6">
        <f ca="1">$M$1176*$Z$1176</f>
        <v>-180908.60083814786</v>
      </c>
      <c r="AG1176" s="6">
        <f>$O$1176*$AA$1176</f>
        <v>-83095.799469038087</v>
      </c>
    </row>
    <row r="1177" spans="1:33" ht="11.25" customHeight="1" x14ac:dyDescent="0.25">
      <c r="A1177" s="4" t="s">
        <v>59</v>
      </c>
      <c r="B1177" s="4" t="s">
        <v>22</v>
      </c>
      <c r="C1177" s="4" t="s">
        <v>23</v>
      </c>
      <c r="D1177" s="4" t="s">
        <v>24</v>
      </c>
      <c r="E1177" s="4" t="s">
        <v>24</v>
      </c>
      <c r="F1177" s="4" t="s">
        <v>25</v>
      </c>
      <c r="G1177" s="4" t="s">
        <v>25</v>
      </c>
      <c r="H1177" s="4" t="s">
        <v>25</v>
      </c>
      <c r="I1177" s="5">
        <v>44866</v>
      </c>
      <c r="J1177" s="6">
        <v>0</v>
      </c>
      <c r="K1177" s="6">
        <v>0</v>
      </c>
      <c r="L1177" s="6">
        <v>7299.8609999999999</v>
      </c>
      <c r="M1177" s="6">
        <v>7299.8609999999999</v>
      </c>
      <c r="N1177" s="6">
        <v>7299.8609999999999</v>
      </c>
      <c r="O1177" s="6">
        <v>7299.8609999999999</v>
      </c>
      <c r="P1177" s="6">
        <v>35403</v>
      </c>
      <c r="Q1177" s="4" t="s">
        <v>26</v>
      </c>
      <c r="R1177" s="4">
        <v>0</v>
      </c>
      <c r="S1177" s="6">
        <v>0</v>
      </c>
      <c r="T1177" s="6">
        <v>39</v>
      </c>
      <c r="U1177" s="6">
        <v>83</v>
      </c>
      <c r="V1177" s="6">
        <f>IF(ISERROR(VLOOKUP($S$1177,'TAR FIN'!$A$1:$O$115,15,0)),0,VLOOKUP($S$1177,'TAR FIN'!$A$1:$O$115,15,0))</f>
        <v>0</v>
      </c>
      <c r="W1177" s="6">
        <f>IF(ISERROR(VLOOKUP($T$1177,'TAR FIN'!$A$1:$O$115,15,0)),0,VLOOKUP($T$1177,'TAR FIN'!$A$1:$O$115,15,0))</f>
        <v>463.6</v>
      </c>
      <c r="X1177" s="6">
        <f>IF(ISERROR(VLOOKUP($U$1177,'TAR FIN'!$A$1:$O$115,15,0)),0,VLOOKUP($U$1177,'TAR FIN'!$A$1:$O$115,15,0))</f>
        <v>176.58</v>
      </c>
      <c r="Y1177" s="6"/>
      <c r="Z1177" s="6">
        <f ca="1">('TUSD BE'!$AM$37+'TUSD BF'!$AM$37+'TUSD CVA'!$AM$37)*1</f>
        <v>502.21976924570083</v>
      </c>
      <c r="AA1177" s="6">
        <f>('TE BE'!$AB$20+'TE BF'!$AB$20+'TE CVA'!$AB$20)*1</f>
        <v>230.68197444058345</v>
      </c>
      <c r="AB1177" s="6">
        <f>$K$1177*$V$1177</f>
        <v>0</v>
      </c>
      <c r="AC1177" s="6">
        <f>$M$1177*$W$1177</f>
        <v>3384215.5596000003</v>
      </c>
      <c r="AD1177" s="6">
        <f>$O$1177*$X$1177</f>
        <v>1289009.4553800002</v>
      </c>
      <c r="AE1177" s="6">
        <f>$K$1177*$Y$1177</f>
        <v>0</v>
      </c>
      <c r="AF1177" s="6">
        <f ca="1">$M$1177*$Z$1177</f>
        <v>3666134.5069456911</v>
      </c>
      <c r="AG1177" s="6">
        <f>$O$1177*$AA$1177</f>
        <v>1683946.348621812</v>
      </c>
    </row>
    <row r="1178" spans="1:33" ht="11.25" customHeight="1" x14ac:dyDescent="0.25">
      <c r="A1178" s="4" t="s">
        <v>59</v>
      </c>
      <c r="B1178" s="4" t="s">
        <v>22</v>
      </c>
      <c r="C1178" s="4" t="s">
        <v>23</v>
      </c>
      <c r="D1178" s="4" t="s">
        <v>24</v>
      </c>
      <c r="E1178" s="4" t="s">
        <v>24</v>
      </c>
      <c r="F1178" s="4" t="s">
        <v>25</v>
      </c>
      <c r="G1178" s="4" t="s">
        <v>25</v>
      </c>
      <c r="H1178" s="4" t="s">
        <v>25</v>
      </c>
      <c r="I1178" s="5">
        <v>44866</v>
      </c>
      <c r="J1178" s="6">
        <v>0</v>
      </c>
      <c r="K1178" s="6">
        <v>0</v>
      </c>
      <c r="L1178" s="6">
        <v>-29.329000000000001</v>
      </c>
      <c r="M1178" s="6">
        <v>-29.329000000000001</v>
      </c>
      <c r="N1178" s="6">
        <v>-29.329000000000001</v>
      </c>
      <c r="O1178" s="6">
        <v>-29.329000000000001</v>
      </c>
      <c r="P1178" s="6">
        <v>-86</v>
      </c>
      <c r="Q1178" s="4" t="s">
        <v>26</v>
      </c>
      <c r="R1178" s="4">
        <v>0</v>
      </c>
      <c r="S1178" s="6">
        <v>0</v>
      </c>
      <c r="T1178" s="6">
        <v>39</v>
      </c>
      <c r="U1178" s="6">
        <v>83</v>
      </c>
      <c r="V1178" s="6">
        <f>IF(ISERROR(VLOOKUP($S$1178,'TAR FIN'!$A$1:$O$115,15,0)),0,VLOOKUP($S$1178,'TAR FIN'!$A$1:$O$115,15,0))</f>
        <v>0</v>
      </c>
      <c r="W1178" s="6">
        <f>IF(ISERROR(VLOOKUP($T$1178,'TAR FIN'!$A$1:$O$115,15,0)),0,VLOOKUP($T$1178,'TAR FIN'!$A$1:$O$115,15,0))</f>
        <v>463.6</v>
      </c>
      <c r="X1178" s="6">
        <f>IF(ISERROR(VLOOKUP($U$1178,'TAR FIN'!$A$1:$O$115,15,0)),0,VLOOKUP($U$1178,'TAR FIN'!$A$1:$O$115,15,0))</f>
        <v>176.58</v>
      </c>
      <c r="Y1178" s="6"/>
      <c r="Z1178" s="6">
        <f ca="1">('TUSD BE'!$AM$37+'TUSD BF'!$AM$37+'TUSD CVA'!$AM$37)*1</f>
        <v>502.21976924570083</v>
      </c>
      <c r="AA1178" s="6">
        <f>('TE BE'!$AB$20+'TE BF'!$AB$20+'TE CVA'!$AB$20)*1</f>
        <v>230.68197444058345</v>
      </c>
      <c r="AB1178" s="6">
        <f>$K$1178*$V$1178</f>
        <v>0</v>
      </c>
      <c r="AC1178" s="6">
        <f>$M$1178*$W$1178</f>
        <v>-13596.924400000002</v>
      </c>
      <c r="AD1178" s="6">
        <f>$O$1178*$X$1178</f>
        <v>-5178.9148200000009</v>
      </c>
      <c r="AE1178" s="6">
        <f>$K$1178*$Y$1178</f>
        <v>0</v>
      </c>
      <c r="AF1178" s="6">
        <f ca="1">$M$1178*$Z$1178</f>
        <v>-14729.60361220716</v>
      </c>
      <c r="AG1178" s="6">
        <f>$O$1178*$AA$1178</f>
        <v>-6765.6716283678725</v>
      </c>
    </row>
    <row r="1179" spans="1:33" ht="11.25" customHeight="1" x14ac:dyDescent="0.25">
      <c r="A1179" s="4" t="s">
        <v>59</v>
      </c>
      <c r="B1179" s="4" t="s">
        <v>22</v>
      </c>
      <c r="C1179" s="4" t="s">
        <v>23</v>
      </c>
      <c r="D1179" s="4" t="s">
        <v>24</v>
      </c>
      <c r="E1179" s="4" t="s">
        <v>24</v>
      </c>
      <c r="F1179" s="4" t="s">
        <v>25</v>
      </c>
      <c r="G1179" s="4" t="s">
        <v>25</v>
      </c>
      <c r="H1179" s="4" t="s">
        <v>25</v>
      </c>
      <c r="I1179" s="5">
        <v>44866</v>
      </c>
      <c r="J1179" s="6">
        <v>0</v>
      </c>
      <c r="K1179" s="6">
        <v>0</v>
      </c>
      <c r="L1179" s="6">
        <v>545.10400000000004</v>
      </c>
      <c r="M1179" s="6">
        <v>545.10400000000004</v>
      </c>
      <c r="N1179" s="6">
        <v>545.10400000000004</v>
      </c>
      <c r="O1179" s="6">
        <v>545.10400000000004</v>
      </c>
      <c r="P1179" s="6">
        <v>3684</v>
      </c>
      <c r="Q1179" s="4" t="s">
        <v>26</v>
      </c>
      <c r="R1179" s="4">
        <v>0</v>
      </c>
      <c r="S1179" s="6">
        <v>0</v>
      </c>
      <c r="T1179" s="6">
        <v>39</v>
      </c>
      <c r="U1179" s="6">
        <v>83</v>
      </c>
      <c r="V1179" s="6">
        <f>IF(ISERROR(VLOOKUP($S$1179,'TAR FIN'!$A$1:$O$115,15,0)),0,VLOOKUP($S$1179,'TAR FIN'!$A$1:$O$115,15,0))</f>
        <v>0</v>
      </c>
      <c r="W1179" s="6">
        <f>IF(ISERROR(VLOOKUP($T$1179,'TAR FIN'!$A$1:$O$115,15,0)),0,VLOOKUP($T$1179,'TAR FIN'!$A$1:$O$115,15,0))</f>
        <v>463.6</v>
      </c>
      <c r="X1179" s="6">
        <f>IF(ISERROR(VLOOKUP($U$1179,'TAR FIN'!$A$1:$O$115,15,0)),0,VLOOKUP($U$1179,'TAR FIN'!$A$1:$O$115,15,0))</f>
        <v>176.58</v>
      </c>
      <c r="Y1179" s="6"/>
      <c r="Z1179" s="6">
        <f ca="1">('TUSD BE'!$AM$37+'TUSD BF'!$AM$37+'TUSD CVA'!$AM$37)*1</f>
        <v>502.21976924570083</v>
      </c>
      <c r="AA1179" s="6">
        <f>('TE BE'!$AB$20+'TE BF'!$AB$20+'TE CVA'!$AB$20)*1</f>
        <v>230.68197444058345</v>
      </c>
      <c r="AB1179" s="6">
        <f>$K$1179*$V$1179</f>
        <v>0</v>
      </c>
      <c r="AC1179" s="6">
        <f>$M$1179*$W$1179</f>
        <v>252710.21440000003</v>
      </c>
      <c r="AD1179" s="6">
        <f>$O$1179*$X$1179</f>
        <v>96254.464320000014</v>
      </c>
      <c r="AE1179" s="6">
        <f>$K$1179*$Y$1179</f>
        <v>0</v>
      </c>
      <c r="AF1179" s="6">
        <f ca="1">$M$1179*$Z$1179</f>
        <v>273762.00509490853</v>
      </c>
      <c r="AG1179" s="6">
        <f>$O$1179*$AA$1179</f>
        <v>125745.6669954598</v>
      </c>
    </row>
    <row r="1180" spans="1:33" ht="11.25" customHeight="1" x14ac:dyDescent="0.25">
      <c r="A1180" s="4" t="s">
        <v>59</v>
      </c>
      <c r="B1180" s="4" t="s">
        <v>22</v>
      </c>
      <c r="C1180" s="4" t="s">
        <v>23</v>
      </c>
      <c r="D1180" s="4" t="s">
        <v>24</v>
      </c>
      <c r="E1180" s="4" t="s">
        <v>24</v>
      </c>
      <c r="F1180" s="4" t="s">
        <v>25</v>
      </c>
      <c r="G1180" s="4" t="s">
        <v>25</v>
      </c>
      <c r="H1180" s="4" t="s">
        <v>25</v>
      </c>
      <c r="I1180" s="5">
        <v>44866</v>
      </c>
      <c r="J1180" s="6">
        <v>0</v>
      </c>
      <c r="K1180" s="6">
        <v>0</v>
      </c>
      <c r="L1180" s="6">
        <v>-0.80200000000000005</v>
      </c>
      <c r="M1180" s="6">
        <v>-0.80200000000000005</v>
      </c>
      <c r="N1180" s="6">
        <v>-0.80200000000000005</v>
      </c>
      <c r="O1180" s="6">
        <v>-0.80200000000000005</v>
      </c>
      <c r="P1180" s="6">
        <v>1</v>
      </c>
      <c r="Q1180" s="4" t="s">
        <v>26</v>
      </c>
      <c r="R1180" s="4">
        <v>0</v>
      </c>
      <c r="S1180" s="6">
        <v>0</v>
      </c>
      <c r="T1180" s="6">
        <v>39</v>
      </c>
      <c r="U1180" s="6">
        <v>83</v>
      </c>
      <c r="V1180" s="6">
        <f>IF(ISERROR(VLOOKUP($S$1180,'TAR FIN'!$A$1:$O$115,15,0)),0,VLOOKUP($S$1180,'TAR FIN'!$A$1:$O$115,15,0))</f>
        <v>0</v>
      </c>
      <c r="W1180" s="6">
        <f>IF(ISERROR(VLOOKUP($T$1180,'TAR FIN'!$A$1:$O$115,15,0)),0,VLOOKUP($T$1180,'TAR FIN'!$A$1:$O$115,15,0))</f>
        <v>463.6</v>
      </c>
      <c r="X1180" s="6">
        <f>IF(ISERROR(VLOOKUP($U$1180,'TAR FIN'!$A$1:$O$115,15,0)),0,VLOOKUP($U$1180,'TAR FIN'!$A$1:$O$115,15,0))</f>
        <v>176.58</v>
      </c>
      <c r="Y1180" s="6"/>
      <c r="Z1180" s="6">
        <f ca="1">('TUSD BE'!$AM$37+'TUSD BF'!$AM$37+'TUSD CVA'!$AM$37)*1</f>
        <v>502.21976924570083</v>
      </c>
      <c r="AA1180" s="6">
        <f>('TE BE'!$AB$20+'TE BF'!$AB$20+'TE CVA'!$AB$20)*1</f>
        <v>230.68197444058345</v>
      </c>
      <c r="AB1180" s="6">
        <f>$K$1180*$V$1180</f>
        <v>0</v>
      </c>
      <c r="AC1180" s="6">
        <f>$M$1180*$W$1180</f>
        <v>-371.80720000000002</v>
      </c>
      <c r="AD1180" s="6">
        <f>$O$1180*$X$1180</f>
        <v>-141.61716000000001</v>
      </c>
      <c r="AE1180" s="6">
        <f>$K$1180*$Y$1180</f>
        <v>0</v>
      </c>
      <c r="AF1180" s="6">
        <f ca="1">$M$1180*$Z$1180</f>
        <v>-402.78025493505208</v>
      </c>
      <c r="AG1180" s="6">
        <f>$O$1180*$AA$1180</f>
        <v>-185.00694350134793</v>
      </c>
    </row>
    <row r="1181" spans="1:33" ht="11.25" customHeight="1" x14ac:dyDescent="0.25">
      <c r="A1181" s="4" t="s">
        <v>21</v>
      </c>
      <c r="B1181" s="4" t="s">
        <v>22</v>
      </c>
      <c r="C1181" s="4" t="s">
        <v>23</v>
      </c>
      <c r="D1181" s="4" t="s">
        <v>24</v>
      </c>
      <c r="E1181" s="4" t="s">
        <v>31</v>
      </c>
      <c r="F1181" s="4" t="s">
        <v>25</v>
      </c>
      <c r="G1181" s="4" t="s">
        <v>25</v>
      </c>
      <c r="H1181" s="4" t="s">
        <v>25</v>
      </c>
      <c r="I1181" s="5">
        <v>44531</v>
      </c>
      <c r="J1181" s="6">
        <v>0</v>
      </c>
      <c r="K1181" s="6">
        <v>0</v>
      </c>
      <c r="L1181" s="6">
        <v>1084.356</v>
      </c>
      <c r="M1181" s="6">
        <v>1084.356</v>
      </c>
      <c r="N1181" s="6">
        <v>1084.356</v>
      </c>
      <c r="O1181" s="6">
        <v>1084.356</v>
      </c>
      <c r="P1181" s="6">
        <v>2464</v>
      </c>
      <c r="Q1181" s="4" t="s">
        <v>26</v>
      </c>
      <c r="R1181" s="4">
        <v>0</v>
      </c>
      <c r="S1181" s="6">
        <v>0</v>
      </c>
      <c r="T1181" s="6">
        <v>40</v>
      </c>
      <c r="U1181" s="6">
        <v>84</v>
      </c>
      <c r="V1181" s="6">
        <f>IF(ISERROR(VLOOKUP($S$1181,'TAR FIN'!$A$1:$O$115,15,0)),0,VLOOKUP($S$1181,'TAR FIN'!$A$1:$O$115,15,0))</f>
        <v>0</v>
      </c>
      <c r="W1181" s="6">
        <f>IF(ISERROR(VLOOKUP($T$1181,'TAR FIN'!$A$1:$O$115,15,0)),0,VLOOKUP($T$1181,'TAR FIN'!$A$1:$O$115,15,0))</f>
        <v>141.44</v>
      </c>
      <c r="X1181" s="6">
        <f>IF(ISERROR(VLOOKUP($U$1181,'TAR FIN'!$A$1:$O$115,15,0)),0,VLOOKUP($U$1181,'TAR FIN'!$A$1:$O$115,15,0))</f>
        <v>61.8</v>
      </c>
      <c r="Y1181" s="6"/>
      <c r="Z1181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181" s="6">
        <f>('TE BE'!$AB$21+'TE BF'!$AB$21+'TE CVA'!$AB$21)*(1-CUSTOS!$M$34)</f>
        <v>80.738691054204196</v>
      </c>
      <c r="AB1181" s="6">
        <f>$K$1181*$V$1181</f>
        <v>0</v>
      </c>
      <c r="AC1181" s="6">
        <f>$M$1181*$W$1181</f>
        <v>153371.31263999999</v>
      </c>
      <c r="AD1181" s="6">
        <f>$O$1181*$X$1181</f>
        <v>67013.200799999991</v>
      </c>
      <c r="AE1181" s="6">
        <f>$K$1181*$Y$1181</f>
        <v>0</v>
      </c>
      <c r="AF1181" s="6">
        <f ca="1">$M$1181*$Z$1181</f>
        <v>159466.34727887003</v>
      </c>
      <c r="AG1181" s="6">
        <f>$O$1181*$AA$1181</f>
        <v>87549.484076772642</v>
      </c>
    </row>
    <row r="1182" spans="1:33" ht="11.25" customHeight="1" x14ac:dyDescent="0.25">
      <c r="A1182" s="4" t="s">
        <v>27</v>
      </c>
      <c r="B1182" s="4" t="s">
        <v>22</v>
      </c>
      <c r="C1182" s="4" t="s">
        <v>23</v>
      </c>
      <c r="D1182" s="4" t="s">
        <v>24</v>
      </c>
      <c r="E1182" s="4" t="s">
        <v>31</v>
      </c>
      <c r="F1182" s="4" t="s">
        <v>25</v>
      </c>
      <c r="G1182" s="4" t="s">
        <v>25</v>
      </c>
      <c r="H1182" s="4" t="s">
        <v>25</v>
      </c>
      <c r="I1182" s="5">
        <v>44531</v>
      </c>
      <c r="J1182" s="6">
        <v>0</v>
      </c>
      <c r="K1182" s="6">
        <v>0</v>
      </c>
      <c r="L1182" s="6">
        <v>-4.7779999999999996</v>
      </c>
      <c r="M1182" s="6">
        <v>-4.7779999999999996</v>
      </c>
      <c r="N1182" s="6">
        <v>-4.7779999999999996</v>
      </c>
      <c r="O1182" s="6">
        <v>-4.7779999999999996</v>
      </c>
      <c r="P1182" s="6">
        <v>109</v>
      </c>
      <c r="Q1182" s="4" t="s">
        <v>26</v>
      </c>
      <c r="R1182" s="4">
        <v>0</v>
      </c>
      <c r="S1182" s="6">
        <v>0</v>
      </c>
      <c r="T1182" s="6">
        <v>40</v>
      </c>
      <c r="U1182" s="6">
        <v>84</v>
      </c>
      <c r="V1182" s="6">
        <f>IF(ISERROR(VLOOKUP($S$1182,'TAR FIN'!$A$1:$O$115,15,0)),0,VLOOKUP($S$1182,'TAR FIN'!$A$1:$O$115,15,0))</f>
        <v>0</v>
      </c>
      <c r="W1182" s="6">
        <f>IF(ISERROR(VLOOKUP($T$1182,'TAR FIN'!$A$1:$O$115,15,0)),0,VLOOKUP($T$1182,'TAR FIN'!$A$1:$O$115,15,0))</f>
        <v>141.44</v>
      </c>
      <c r="X1182" s="6">
        <f>IF(ISERROR(VLOOKUP($U$1182,'TAR FIN'!$A$1:$O$115,15,0)),0,VLOOKUP($U$1182,'TAR FIN'!$A$1:$O$115,15,0))</f>
        <v>61.8</v>
      </c>
      <c r="Y1182" s="6"/>
      <c r="Z1182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182" s="6">
        <f>('TE BE'!$AB$21+'TE BF'!$AB$21+'TE CVA'!$AB$21)*(1-CUSTOS!$M$34)</f>
        <v>80.738691054204196</v>
      </c>
      <c r="AB1182" s="6">
        <f>$K$1182*$V$1182</f>
        <v>0</v>
      </c>
      <c r="AC1182" s="6">
        <f>$M$1182*$W$1182</f>
        <v>-675.80031999999994</v>
      </c>
      <c r="AD1182" s="6">
        <f>$O$1182*$X$1182</f>
        <v>-295.28039999999999</v>
      </c>
      <c r="AE1182" s="6">
        <f>$K$1182*$Y$1182</f>
        <v>0</v>
      </c>
      <c r="AF1182" s="6">
        <f ca="1">$M$1182*$Z$1182</f>
        <v>-702.65688325461474</v>
      </c>
      <c r="AG1182" s="6">
        <f>$O$1182*$AA$1182</f>
        <v>-385.76946585698761</v>
      </c>
    </row>
    <row r="1183" spans="1:33" ht="11.25" customHeight="1" x14ac:dyDescent="0.25">
      <c r="A1183" s="4" t="s">
        <v>28</v>
      </c>
      <c r="B1183" s="4" t="s">
        <v>22</v>
      </c>
      <c r="C1183" s="4" t="s">
        <v>23</v>
      </c>
      <c r="D1183" s="4" t="s">
        <v>24</v>
      </c>
      <c r="E1183" s="4" t="s">
        <v>31</v>
      </c>
      <c r="F1183" s="4" t="s">
        <v>25</v>
      </c>
      <c r="G1183" s="4" t="s">
        <v>25</v>
      </c>
      <c r="H1183" s="4" t="s">
        <v>25</v>
      </c>
      <c r="I1183" s="5">
        <v>44531</v>
      </c>
      <c r="J1183" s="6">
        <v>0</v>
      </c>
      <c r="K1183" s="6">
        <v>0</v>
      </c>
      <c r="L1183" s="6">
        <v>580.52</v>
      </c>
      <c r="M1183" s="6">
        <v>580.52</v>
      </c>
      <c r="N1183" s="6">
        <v>580.52</v>
      </c>
      <c r="O1183" s="6">
        <v>580.52</v>
      </c>
      <c r="P1183" s="6">
        <v>1686</v>
      </c>
      <c r="Q1183" s="4" t="s">
        <v>26</v>
      </c>
      <c r="R1183" s="4">
        <v>0</v>
      </c>
      <c r="S1183" s="6">
        <v>0</v>
      </c>
      <c r="T1183" s="6">
        <v>40</v>
      </c>
      <c r="U1183" s="6">
        <v>84</v>
      </c>
      <c r="V1183" s="6">
        <f>IF(ISERROR(VLOOKUP($S$1183,'TAR FIN'!$A$1:$O$115,15,0)),0,VLOOKUP($S$1183,'TAR FIN'!$A$1:$O$115,15,0))</f>
        <v>0</v>
      </c>
      <c r="W1183" s="6">
        <f>IF(ISERROR(VLOOKUP($T$1183,'TAR FIN'!$A$1:$O$115,15,0)),0,VLOOKUP($T$1183,'TAR FIN'!$A$1:$O$115,15,0))</f>
        <v>141.44</v>
      </c>
      <c r="X1183" s="6">
        <f>IF(ISERROR(VLOOKUP($U$1183,'TAR FIN'!$A$1:$O$115,15,0)),0,VLOOKUP($U$1183,'TAR FIN'!$A$1:$O$115,15,0))</f>
        <v>61.8</v>
      </c>
      <c r="Y1183" s="6"/>
      <c r="Z1183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183" s="6">
        <f>('TE BE'!$AB$21+'TE BF'!$AB$21+'TE CVA'!$AB$21)*(1-CUSTOS!$M$34)</f>
        <v>80.738691054204196</v>
      </c>
      <c r="AB1183" s="6">
        <f>$K$1183*$V$1183</f>
        <v>0</v>
      </c>
      <c r="AC1183" s="6">
        <f>$M$1183*$W$1183</f>
        <v>82108.748800000001</v>
      </c>
      <c r="AD1183" s="6">
        <f>$O$1183*$X$1183</f>
        <v>35876.135999999999</v>
      </c>
      <c r="AE1183" s="6">
        <f>$K$1183*$Y$1183</f>
        <v>0</v>
      </c>
      <c r="AF1183" s="6">
        <f ca="1">$M$1183*$Z$1183</f>
        <v>85371.781889277729</v>
      </c>
      <c r="AG1183" s="6">
        <f>$O$1183*$AA$1183</f>
        <v>46870.424930786619</v>
      </c>
    </row>
    <row r="1184" spans="1:33" ht="11.25" customHeight="1" x14ac:dyDescent="0.25">
      <c r="A1184" s="4" t="s">
        <v>29</v>
      </c>
      <c r="B1184" s="4" t="s">
        <v>22</v>
      </c>
      <c r="C1184" s="4" t="s">
        <v>23</v>
      </c>
      <c r="D1184" s="4" t="s">
        <v>24</v>
      </c>
      <c r="E1184" s="4" t="s">
        <v>31</v>
      </c>
      <c r="F1184" s="4" t="s">
        <v>25</v>
      </c>
      <c r="G1184" s="4" t="s">
        <v>25</v>
      </c>
      <c r="H1184" s="4" t="s">
        <v>25</v>
      </c>
      <c r="I1184" s="5">
        <v>44531</v>
      </c>
      <c r="J1184" s="6">
        <v>0</v>
      </c>
      <c r="K1184" s="6">
        <v>0</v>
      </c>
      <c r="L1184" s="6">
        <v>2.4940000000000002</v>
      </c>
      <c r="M1184" s="6">
        <v>2.4940000000000002</v>
      </c>
      <c r="N1184" s="6">
        <v>2.4940000000000002</v>
      </c>
      <c r="O1184" s="6">
        <v>2.4940000000000002</v>
      </c>
      <c r="P1184" s="6">
        <v>39</v>
      </c>
      <c r="Q1184" s="4" t="s">
        <v>26</v>
      </c>
      <c r="R1184" s="4">
        <v>0</v>
      </c>
      <c r="S1184" s="6">
        <v>0</v>
      </c>
      <c r="T1184" s="6">
        <v>40</v>
      </c>
      <c r="U1184" s="6">
        <v>84</v>
      </c>
      <c r="V1184" s="6">
        <f>IF(ISERROR(VLOOKUP($S$1184,'TAR FIN'!$A$1:$O$115,15,0)),0,VLOOKUP($S$1184,'TAR FIN'!$A$1:$O$115,15,0))</f>
        <v>0</v>
      </c>
      <c r="W1184" s="6">
        <f>IF(ISERROR(VLOOKUP($T$1184,'TAR FIN'!$A$1:$O$115,15,0)),0,VLOOKUP($T$1184,'TAR FIN'!$A$1:$O$115,15,0))</f>
        <v>141.44</v>
      </c>
      <c r="X1184" s="6">
        <f>IF(ISERROR(VLOOKUP($U$1184,'TAR FIN'!$A$1:$O$115,15,0)),0,VLOOKUP($U$1184,'TAR FIN'!$A$1:$O$115,15,0))</f>
        <v>61.8</v>
      </c>
      <c r="Y1184" s="6"/>
      <c r="Z1184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184" s="6">
        <f>('TE BE'!$AB$21+'TE BF'!$AB$21+'TE CVA'!$AB$21)*(1-CUSTOS!$M$34)</f>
        <v>80.738691054204196</v>
      </c>
      <c r="AB1184" s="6">
        <f>$K$1184*$V$1184</f>
        <v>0</v>
      </c>
      <c r="AC1184" s="6">
        <f>$M$1184*$W$1184</f>
        <v>352.75136000000003</v>
      </c>
      <c r="AD1184" s="6">
        <f>$O$1184*$X$1184</f>
        <v>154.1292</v>
      </c>
      <c r="AE1184" s="6">
        <f>$K$1184*$Y$1184</f>
        <v>0</v>
      </c>
      <c r="AF1184" s="6">
        <f ca="1">$M$1184*$Z$1184</f>
        <v>366.76983399686259</v>
      </c>
      <c r="AG1184" s="6">
        <f>$O$1184*$AA$1184</f>
        <v>201.36229548918527</v>
      </c>
    </row>
    <row r="1185" spans="1:33" ht="11.25" customHeight="1" x14ac:dyDescent="0.25">
      <c r="A1185" s="4" t="s">
        <v>30</v>
      </c>
      <c r="B1185" s="4" t="s">
        <v>22</v>
      </c>
      <c r="C1185" s="4" t="s">
        <v>23</v>
      </c>
      <c r="D1185" s="4" t="s">
        <v>24</v>
      </c>
      <c r="E1185" s="4" t="s">
        <v>31</v>
      </c>
      <c r="F1185" s="4" t="s">
        <v>25</v>
      </c>
      <c r="G1185" s="4" t="s">
        <v>25</v>
      </c>
      <c r="H1185" s="4" t="s">
        <v>25</v>
      </c>
      <c r="I1185" s="5">
        <v>44531</v>
      </c>
      <c r="J1185" s="6">
        <v>0</v>
      </c>
      <c r="K1185" s="6">
        <v>0</v>
      </c>
      <c r="L1185" s="6">
        <v>0.87</v>
      </c>
      <c r="M1185" s="6">
        <v>0.87</v>
      </c>
      <c r="N1185" s="6">
        <v>0.87</v>
      </c>
      <c r="O1185" s="6">
        <v>0.87</v>
      </c>
      <c r="P1185" s="6">
        <v>0</v>
      </c>
      <c r="Q1185" s="4" t="s">
        <v>26</v>
      </c>
      <c r="R1185" s="4">
        <v>0</v>
      </c>
      <c r="S1185" s="6">
        <v>0</v>
      </c>
      <c r="T1185" s="6">
        <v>40</v>
      </c>
      <c r="U1185" s="6">
        <v>84</v>
      </c>
      <c r="V1185" s="6">
        <f>IF(ISERROR(VLOOKUP($S$1185,'TAR FIN'!$A$1:$O$115,15,0)),0,VLOOKUP($S$1185,'TAR FIN'!$A$1:$O$115,15,0))</f>
        <v>0</v>
      </c>
      <c r="W1185" s="6">
        <f>IF(ISERROR(VLOOKUP($T$1185,'TAR FIN'!$A$1:$O$115,15,0)),0,VLOOKUP($T$1185,'TAR FIN'!$A$1:$O$115,15,0))</f>
        <v>141.44</v>
      </c>
      <c r="X1185" s="6">
        <f>IF(ISERROR(VLOOKUP($U$1185,'TAR FIN'!$A$1:$O$115,15,0)),0,VLOOKUP($U$1185,'TAR FIN'!$A$1:$O$115,15,0))</f>
        <v>61.8</v>
      </c>
      <c r="Y1185" s="6"/>
      <c r="Z1185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185" s="6">
        <f>('TE BE'!$AB$21+'TE BF'!$AB$21+'TE CVA'!$AB$21)*(1-CUSTOS!$M$34)</f>
        <v>80.738691054204196</v>
      </c>
      <c r="AB1185" s="6">
        <f>$K$1185*$V$1185</f>
        <v>0</v>
      </c>
      <c r="AC1185" s="6">
        <f>$M$1185*$W$1185</f>
        <v>123.05279999999999</v>
      </c>
      <c r="AD1185" s="6">
        <f>$O$1185*$X$1185</f>
        <v>53.765999999999998</v>
      </c>
      <c r="AE1185" s="6">
        <f>$K$1185*$Y$1185</f>
        <v>0</v>
      </c>
      <c r="AF1185" s="6">
        <f ca="1">$M$1185*$Z$1185</f>
        <v>127.94296534774274</v>
      </c>
      <c r="AG1185" s="6">
        <f>$O$1185*$AA$1185</f>
        <v>70.242661217157647</v>
      </c>
    </row>
    <row r="1186" spans="1:33" ht="11.25" customHeight="1" x14ac:dyDescent="0.25">
      <c r="A1186" s="4" t="s">
        <v>30</v>
      </c>
      <c r="B1186" s="4" t="s">
        <v>22</v>
      </c>
      <c r="C1186" s="4" t="s">
        <v>23</v>
      </c>
      <c r="D1186" s="4" t="s">
        <v>24</v>
      </c>
      <c r="E1186" s="4" t="s">
        <v>31</v>
      </c>
      <c r="F1186" s="4" t="s">
        <v>25</v>
      </c>
      <c r="G1186" s="4" t="s">
        <v>25</v>
      </c>
      <c r="H1186" s="4" t="s">
        <v>25</v>
      </c>
      <c r="I1186" s="5">
        <v>44531</v>
      </c>
      <c r="J1186" s="6">
        <v>0</v>
      </c>
      <c r="K1186" s="6">
        <v>0</v>
      </c>
      <c r="L1186" s="6">
        <v>0.33900000000000002</v>
      </c>
      <c r="M1186" s="6">
        <v>0.33900000000000002</v>
      </c>
      <c r="N1186" s="6">
        <v>0.33900000000000002</v>
      </c>
      <c r="O1186" s="6">
        <v>0.33900000000000002</v>
      </c>
      <c r="P1186" s="6">
        <v>1</v>
      </c>
      <c r="Q1186" s="4" t="s">
        <v>26</v>
      </c>
      <c r="R1186" s="4">
        <v>0</v>
      </c>
      <c r="S1186" s="6">
        <v>0</v>
      </c>
      <c r="T1186" s="6">
        <v>40</v>
      </c>
      <c r="U1186" s="6">
        <v>84</v>
      </c>
      <c r="V1186" s="6">
        <f>IF(ISERROR(VLOOKUP($S$1186,'TAR FIN'!$A$1:$O$115,15,0)),0,VLOOKUP($S$1186,'TAR FIN'!$A$1:$O$115,15,0))</f>
        <v>0</v>
      </c>
      <c r="W1186" s="6">
        <f>IF(ISERROR(VLOOKUP($T$1186,'TAR FIN'!$A$1:$O$115,15,0)),0,VLOOKUP($T$1186,'TAR FIN'!$A$1:$O$115,15,0))</f>
        <v>141.44</v>
      </c>
      <c r="X1186" s="6">
        <f>IF(ISERROR(VLOOKUP($U$1186,'TAR FIN'!$A$1:$O$115,15,0)),0,VLOOKUP($U$1186,'TAR FIN'!$A$1:$O$115,15,0))</f>
        <v>61.8</v>
      </c>
      <c r="Y1186" s="6"/>
      <c r="Z1186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186" s="6">
        <f>('TE BE'!$AB$21+'TE BF'!$AB$21+'TE CVA'!$AB$21)*(1-CUSTOS!$M$34)</f>
        <v>80.738691054204196</v>
      </c>
      <c r="AB1186" s="6">
        <f>$K$1186*$V$1186</f>
        <v>0</v>
      </c>
      <c r="AC1186" s="6">
        <f>$M$1186*$W$1186</f>
        <v>47.948160000000001</v>
      </c>
      <c r="AD1186" s="6">
        <f>$O$1186*$X$1186</f>
        <v>20.950199999999999</v>
      </c>
      <c r="AE1186" s="6">
        <f>$K$1186*$Y$1186</f>
        <v>0</v>
      </c>
      <c r="AF1186" s="6">
        <f ca="1">$M$1186*$Z$1186</f>
        <v>49.85363822170666</v>
      </c>
      <c r="AG1186" s="6">
        <f>$O$1186*$AA$1186</f>
        <v>27.370416267375223</v>
      </c>
    </row>
    <row r="1187" spans="1:33" ht="11.25" customHeight="1" x14ac:dyDescent="0.25">
      <c r="A1187" s="4" t="s">
        <v>21</v>
      </c>
      <c r="B1187" s="4" t="s">
        <v>22</v>
      </c>
      <c r="C1187" s="4" t="s">
        <v>23</v>
      </c>
      <c r="D1187" s="4" t="s">
        <v>24</v>
      </c>
      <c r="E1187" s="4" t="s">
        <v>31</v>
      </c>
      <c r="F1187" s="4" t="s">
        <v>25</v>
      </c>
      <c r="G1187" s="4" t="s">
        <v>25</v>
      </c>
      <c r="H1187" s="4" t="s">
        <v>25</v>
      </c>
      <c r="I1187" s="5">
        <v>44562</v>
      </c>
      <c r="J1187" s="6">
        <v>0</v>
      </c>
      <c r="K1187" s="6">
        <v>0</v>
      </c>
      <c r="L1187" s="6">
        <v>1094.567</v>
      </c>
      <c r="M1187" s="6">
        <v>1094.567</v>
      </c>
      <c r="N1187" s="6">
        <v>1094.567</v>
      </c>
      <c r="O1187" s="6">
        <v>1094.567</v>
      </c>
      <c r="P1187" s="6">
        <v>2408</v>
      </c>
      <c r="Q1187" s="4" t="s">
        <v>26</v>
      </c>
      <c r="R1187" s="4">
        <v>0</v>
      </c>
      <c r="S1187" s="6">
        <v>0</v>
      </c>
      <c r="T1187" s="6">
        <v>40</v>
      </c>
      <c r="U1187" s="6">
        <v>84</v>
      </c>
      <c r="V1187" s="6">
        <f>IF(ISERROR(VLOOKUP($S$1187,'TAR FIN'!$A$1:$O$115,15,0)),0,VLOOKUP($S$1187,'TAR FIN'!$A$1:$O$115,15,0))</f>
        <v>0</v>
      </c>
      <c r="W1187" s="6">
        <f>IF(ISERROR(VLOOKUP($T$1187,'TAR FIN'!$A$1:$O$115,15,0)),0,VLOOKUP($T$1187,'TAR FIN'!$A$1:$O$115,15,0))</f>
        <v>141.44</v>
      </c>
      <c r="X1187" s="6">
        <f>IF(ISERROR(VLOOKUP($U$1187,'TAR FIN'!$A$1:$O$115,15,0)),0,VLOOKUP($U$1187,'TAR FIN'!$A$1:$O$115,15,0))</f>
        <v>61.8</v>
      </c>
      <c r="Y1187" s="6"/>
      <c r="Z1187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187" s="6">
        <f>('TE BE'!$AB$21+'TE BF'!$AB$21+'TE CVA'!$AB$21)*(1-CUSTOS!$M$34)</f>
        <v>80.738691054204196</v>
      </c>
      <c r="AB1187" s="6">
        <f>$K$1187*$V$1187</f>
        <v>0</v>
      </c>
      <c r="AC1187" s="6">
        <f>$M$1187*$W$1187</f>
        <v>154815.55648</v>
      </c>
      <c r="AD1187" s="6">
        <f>$O$1187*$X$1187</f>
        <v>67644.24059999999</v>
      </c>
      <c r="AE1187" s="6">
        <f>$K$1187*$Y$1187</f>
        <v>0</v>
      </c>
      <c r="AF1187" s="6">
        <f ca="1">$M$1187*$Z$1187</f>
        <v>160967.98592158937</v>
      </c>
      <c r="AG1187" s="6">
        <f>$O$1187*$AA$1187</f>
        <v>88373.906851127118</v>
      </c>
    </row>
    <row r="1188" spans="1:33" ht="11.25" customHeight="1" x14ac:dyDescent="0.25">
      <c r="A1188" s="4" t="s">
        <v>27</v>
      </c>
      <c r="B1188" s="4" t="s">
        <v>22</v>
      </c>
      <c r="C1188" s="4" t="s">
        <v>23</v>
      </c>
      <c r="D1188" s="4" t="s">
        <v>24</v>
      </c>
      <c r="E1188" s="4" t="s">
        <v>31</v>
      </c>
      <c r="F1188" s="4" t="s">
        <v>25</v>
      </c>
      <c r="G1188" s="4" t="s">
        <v>25</v>
      </c>
      <c r="H1188" s="4" t="s">
        <v>25</v>
      </c>
      <c r="I1188" s="5">
        <v>44562</v>
      </c>
      <c r="J1188" s="6">
        <v>0</v>
      </c>
      <c r="K1188" s="6">
        <v>0</v>
      </c>
      <c r="L1188" s="6">
        <v>25.379000000000001</v>
      </c>
      <c r="M1188" s="6">
        <v>25.379000000000001</v>
      </c>
      <c r="N1188" s="6">
        <v>25.379000000000001</v>
      </c>
      <c r="O1188" s="6">
        <v>25.379000000000001</v>
      </c>
      <c r="P1188" s="6">
        <v>165</v>
      </c>
      <c r="Q1188" s="4" t="s">
        <v>26</v>
      </c>
      <c r="R1188" s="4">
        <v>0</v>
      </c>
      <c r="S1188" s="6">
        <v>0</v>
      </c>
      <c r="T1188" s="6">
        <v>40</v>
      </c>
      <c r="U1188" s="6">
        <v>84</v>
      </c>
      <c r="V1188" s="6">
        <f>IF(ISERROR(VLOOKUP($S$1188,'TAR FIN'!$A$1:$O$115,15,0)),0,VLOOKUP($S$1188,'TAR FIN'!$A$1:$O$115,15,0))</f>
        <v>0</v>
      </c>
      <c r="W1188" s="6">
        <f>IF(ISERROR(VLOOKUP($T$1188,'TAR FIN'!$A$1:$O$115,15,0)),0,VLOOKUP($T$1188,'TAR FIN'!$A$1:$O$115,15,0))</f>
        <v>141.44</v>
      </c>
      <c r="X1188" s="6">
        <f>IF(ISERROR(VLOOKUP($U$1188,'TAR FIN'!$A$1:$O$115,15,0)),0,VLOOKUP($U$1188,'TAR FIN'!$A$1:$O$115,15,0))</f>
        <v>61.8</v>
      </c>
      <c r="Y1188" s="6"/>
      <c r="Z1188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188" s="6">
        <f>('TE BE'!$AB$21+'TE BF'!$AB$21+'TE CVA'!$AB$21)*(1-CUSTOS!$M$34)</f>
        <v>80.738691054204196</v>
      </c>
      <c r="AB1188" s="6">
        <f>$K$1188*$V$1188</f>
        <v>0</v>
      </c>
      <c r="AC1188" s="6">
        <f>$M$1188*$W$1188</f>
        <v>3589.6057599999999</v>
      </c>
      <c r="AD1188" s="6">
        <f>$O$1188*$X$1188</f>
        <v>1568.4222</v>
      </c>
      <c r="AE1188" s="6">
        <f>$K$1188*$Y$1188</f>
        <v>0</v>
      </c>
      <c r="AF1188" s="6">
        <f ca="1">$M$1188*$Z$1188</f>
        <v>3732.2580661613374</v>
      </c>
      <c r="AG1188" s="6">
        <f>$O$1188*$AA$1188</f>
        <v>2049.0672402646483</v>
      </c>
    </row>
    <row r="1189" spans="1:33" ht="11.25" customHeight="1" x14ac:dyDescent="0.25">
      <c r="A1189" s="4" t="s">
        <v>28</v>
      </c>
      <c r="B1189" s="4" t="s">
        <v>22</v>
      </c>
      <c r="C1189" s="4" t="s">
        <v>23</v>
      </c>
      <c r="D1189" s="4" t="s">
        <v>24</v>
      </c>
      <c r="E1189" s="4" t="s">
        <v>31</v>
      </c>
      <c r="F1189" s="4" t="s">
        <v>25</v>
      </c>
      <c r="G1189" s="4" t="s">
        <v>25</v>
      </c>
      <c r="H1189" s="4" t="s">
        <v>25</v>
      </c>
      <c r="I1189" s="5">
        <v>44562</v>
      </c>
      <c r="J1189" s="6">
        <v>0</v>
      </c>
      <c r="K1189" s="6">
        <v>0</v>
      </c>
      <c r="L1189" s="6">
        <v>585.21799999999996</v>
      </c>
      <c r="M1189" s="6">
        <v>585.21799999999996</v>
      </c>
      <c r="N1189" s="6">
        <v>585.21799999999996</v>
      </c>
      <c r="O1189" s="6">
        <v>585.21799999999996</v>
      </c>
      <c r="P1189" s="6">
        <v>1685</v>
      </c>
      <c r="Q1189" s="4" t="s">
        <v>26</v>
      </c>
      <c r="R1189" s="4">
        <v>0</v>
      </c>
      <c r="S1189" s="6">
        <v>0</v>
      </c>
      <c r="T1189" s="6">
        <v>40</v>
      </c>
      <c r="U1189" s="6">
        <v>84</v>
      </c>
      <c r="V1189" s="6">
        <f>IF(ISERROR(VLOOKUP($S$1189,'TAR FIN'!$A$1:$O$115,15,0)),0,VLOOKUP($S$1189,'TAR FIN'!$A$1:$O$115,15,0))</f>
        <v>0</v>
      </c>
      <c r="W1189" s="6">
        <f>IF(ISERROR(VLOOKUP($T$1189,'TAR FIN'!$A$1:$O$115,15,0)),0,VLOOKUP($T$1189,'TAR FIN'!$A$1:$O$115,15,0))</f>
        <v>141.44</v>
      </c>
      <c r="X1189" s="6">
        <f>IF(ISERROR(VLOOKUP($U$1189,'TAR FIN'!$A$1:$O$115,15,0)),0,VLOOKUP($U$1189,'TAR FIN'!$A$1:$O$115,15,0))</f>
        <v>61.8</v>
      </c>
      <c r="Y1189" s="6"/>
      <c r="Z1189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189" s="6">
        <f>('TE BE'!$AB$21+'TE BF'!$AB$21+'TE CVA'!$AB$21)*(1-CUSTOS!$M$34)</f>
        <v>80.738691054204196</v>
      </c>
      <c r="AB1189" s="6">
        <f>$K$1189*$V$1189</f>
        <v>0</v>
      </c>
      <c r="AC1189" s="6">
        <f>$M$1189*$W$1189</f>
        <v>82773.233919999999</v>
      </c>
      <c r="AD1189" s="6">
        <f>$O$1189*$X$1189</f>
        <v>36166.472399999999</v>
      </c>
      <c r="AE1189" s="6">
        <f>$K$1189*$Y$1189</f>
        <v>0</v>
      </c>
      <c r="AF1189" s="6">
        <f ca="1">$M$1189*$Z$1189</f>
        <v>86062.673902155526</v>
      </c>
      <c r="AG1189" s="6">
        <f>$O$1189*$AA$1189</f>
        <v>47249.735301359266</v>
      </c>
    </row>
    <row r="1190" spans="1:33" ht="11.25" customHeight="1" x14ac:dyDescent="0.25">
      <c r="A1190" s="4" t="s">
        <v>29</v>
      </c>
      <c r="B1190" s="4" t="s">
        <v>22</v>
      </c>
      <c r="C1190" s="4" t="s">
        <v>23</v>
      </c>
      <c r="D1190" s="4" t="s">
        <v>24</v>
      </c>
      <c r="E1190" s="4" t="s">
        <v>31</v>
      </c>
      <c r="F1190" s="4" t="s">
        <v>25</v>
      </c>
      <c r="G1190" s="4" t="s">
        <v>25</v>
      </c>
      <c r="H1190" s="4" t="s">
        <v>25</v>
      </c>
      <c r="I1190" s="5">
        <v>44562</v>
      </c>
      <c r="J1190" s="6">
        <v>0</v>
      </c>
      <c r="K1190" s="6">
        <v>0</v>
      </c>
      <c r="L1190" s="6">
        <v>4.0890000000000004</v>
      </c>
      <c r="M1190" s="6">
        <v>4.0890000000000004</v>
      </c>
      <c r="N1190" s="6">
        <v>4.0890000000000004</v>
      </c>
      <c r="O1190" s="6">
        <v>4.0890000000000004</v>
      </c>
      <c r="P1190" s="6">
        <v>46</v>
      </c>
      <c r="Q1190" s="4" t="s">
        <v>26</v>
      </c>
      <c r="R1190" s="4">
        <v>0</v>
      </c>
      <c r="S1190" s="6">
        <v>0</v>
      </c>
      <c r="T1190" s="6">
        <v>40</v>
      </c>
      <c r="U1190" s="6">
        <v>84</v>
      </c>
      <c r="V1190" s="6">
        <f>IF(ISERROR(VLOOKUP($S$1190,'TAR FIN'!$A$1:$O$115,15,0)),0,VLOOKUP($S$1190,'TAR FIN'!$A$1:$O$115,15,0))</f>
        <v>0</v>
      </c>
      <c r="W1190" s="6">
        <f>IF(ISERROR(VLOOKUP($T$1190,'TAR FIN'!$A$1:$O$115,15,0)),0,VLOOKUP($T$1190,'TAR FIN'!$A$1:$O$115,15,0))</f>
        <v>141.44</v>
      </c>
      <c r="X1190" s="6">
        <f>IF(ISERROR(VLOOKUP($U$1190,'TAR FIN'!$A$1:$O$115,15,0)),0,VLOOKUP($U$1190,'TAR FIN'!$A$1:$O$115,15,0))</f>
        <v>61.8</v>
      </c>
      <c r="Y1190" s="6"/>
      <c r="Z1190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190" s="6">
        <f>('TE BE'!$AB$21+'TE BF'!$AB$21+'TE CVA'!$AB$21)*(1-CUSTOS!$M$34)</f>
        <v>80.738691054204196</v>
      </c>
      <c r="AB1190" s="6">
        <f>$K$1190*$V$1190</f>
        <v>0</v>
      </c>
      <c r="AC1190" s="6">
        <f>$M$1190*$W$1190</f>
        <v>578.34816000000001</v>
      </c>
      <c r="AD1190" s="6">
        <f>$O$1190*$X$1190</f>
        <v>252.70020000000002</v>
      </c>
      <c r="AE1190" s="6">
        <f>$K$1190*$Y$1190</f>
        <v>0</v>
      </c>
      <c r="AF1190" s="6">
        <f ca="1">$M$1190*$Z$1190</f>
        <v>601.33193713439096</v>
      </c>
      <c r="AG1190" s="6">
        <f>$O$1190*$AA$1190</f>
        <v>330.14050772064098</v>
      </c>
    </row>
    <row r="1191" spans="1:33" ht="11.25" customHeight="1" x14ac:dyDescent="0.25">
      <c r="A1191" s="4" t="s">
        <v>30</v>
      </c>
      <c r="B1191" s="4" t="s">
        <v>22</v>
      </c>
      <c r="C1191" s="4" t="s">
        <v>23</v>
      </c>
      <c r="D1191" s="4" t="s">
        <v>24</v>
      </c>
      <c r="E1191" s="4" t="s">
        <v>31</v>
      </c>
      <c r="F1191" s="4" t="s">
        <v>25</v>
      </c>
      <c r="G1191" s="4" t="s">
        <v>25</v>
      </c>
      <c r="H1191" s="4" t="s">
        <v>25</v>
      </c>
      <c r="I1191" s="5">
        <v>44562</v>
      </c>
      <c r="J1191" s="6">
        <v>0</v>
      </c>
      <c r="K1191" s="6">
        <v>0</v>
      </c>
      <c r="L1191" s="6">
        <v>1.02</v>
      </c>
      <c r="M1191" s="6">
        <v>1.02</v>
      </c>
      <c r="N1191" s="6">
        <v>1.02</v>
      </c>
      <c r="O1191" s="6">
        <v>1.02</v>
      </c>
      <c r="P1191" s="6">
        <v>0</v>
      </c>
      <c r="Q1191" s="4" t="s">
        <v>26</v>
      </c>
      <c r="R1191" s="4">
        <v>0</v>
      </c>
      <c r="S1191" s="6">
        <v>0</v>
      </c>
      <c r="T1191" s="6">
        <v>40</v>
      </c>
      <c r="U1191" s="6">
        <v>84</v>
      </c>
      <c r="V1191" s="6">
        <f>IF(ISERROR(VLOOKUP($S$1191,'TAR FIN'!$A$1:$O$115,15,0)),0,VLOOKUP($S$1191,'TAR FIN'!$A$1:$O$115,15,0))</f>
        <v>0</v>
      </c>
      <c r="W1191" s="6">
        <f>IF(ISERROR(VLOOKUP($T$1191,'TAR FIN'!$A$1:$O$115,15,0)),0,VLOOKUP($T$1191,'TAR FIN'!$A$1:$O$115,15,0))</f>
        <v>141.44</v>
      </c>
      <c r="X1191" s="6">
        <f>IF(ISERROR(VLOOKUP($U$1191,'TAR FIN'!$A$1:$O$115,15,0)),0,VLOOKUP($U$1191,'TAR FIN'!$A$1:$O$115,15,0))</f>
        <v>61.8</v>
      </c>
      <c r="Y1191" s="6"/>
      <c r="Z1191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191" s="6">
        <f>('TE BE'!$AB$21+'TE BF'!$AB$21+'TE CVA'!$AB$21)*(1-CUSTOS!$M$34)</f>
        <v>80.738691054204196</v>
      </c>
      <c r="AB1191" s="6">
        <f>$K$1191*$V$1191</f>
        <v>0</v>
      </c>
      <c r="AC1191" s="6">
        <f>$M$1191*$W$1191</f>
        <v>144.2688</v>
      </c>
      <c r="AD1191" s="6">
        <f>$O$1191*$X$1191</f>
        <v>63.036000000000001</v>
      </c>
      <c r="AE1191" s="6">
        <f>$K$1191*$Y$1191</f>
        <v>0</v>
      </c>
      <c r="AF1191" s="6">
        <f ca="1">$M$1191*$Z$1191</f>
        <v>150.00209730425013</v>
      </c>
      <c r="AG1191" s="6">
        <f>$O$1191*$AA$1191</f>
        <v>82.353464875288282</v>
      </c>
    </row>
    <row r="1192" spans="1:33" ht="11.25" customHeight="1" x14ac:dyDescent="0.25">
      <c r="A1192" s="4" t="s">
        <v>30</v>
      </c>
      <c r="B1192" s="4" t="s">
        <v>22</v>
      </c>
      <c r="C1192" s="4" t="s">
        <v>23</v>
      </c>
      <c r="D1192" s="4" t="s">
        <v>24</v>
      </c>
      <c r="E1192" s="4" t="s">
        <v>31</v>
      </c>
      <c r="F1192" s="4" t="s">
        <v>25</v>
      </c>
      <c r="G1192" s="4" t="s">
        <v>25</v>
      </c>
      <c r="H1192" s="4" t="s">
        <v>25</v>
      </c>
      <c r="I1192" s="5">
        <v>44562</v>
      </c>
      <c r="J1192" s="6">
        <v>0</v>
      </c>
      <c r="K1192" s="6">
        <v>0</v>
      </c>
      <c r="L1192" s="6">
        <v>0.20200000000000001</v>
      </c>
      <c r="M1192" s="6">
        <v>0.20200000000000001</v>
      </c>
      <c r="N1192" s="6">
        <v>0.20200000000000001</v>
      </c>
      <c r="O1192" s="6">
        <v>0.20200000000000001</v>
      </c>
      <c r="P1192" s="6">
        <v>1</v>
      </c>
      <c r="Q1192" s="4" t="s">
        <v>26</v>
      </c>
      <c r="R1192" s="4">
        <v>0</v>
      </c>
      <c r="S1192" s="6">
        <v>0</v>
      </c>
      <c r="T1192" s="6">
        <v>40</v>
      </c>
      <c r="U1192" s="6">
        <v>84</v>
      </c>
      <c r="V1192" s="6">
        <f>IF(ISERROR(VLOOKUP($S$1192,'TAR FIN'!$A$1:$O$115,15,0)),0,VLOOKUP($S$1192,'TAR FIN'!$A$1:$O$115,15,0))</f>
        <v>0</v>
      </c>
      <c r="W1192" s="6">
        <f>IF(ISERROR(VLOOKUP($T$1192,'TAR FIN'!$A$1:$O$115,15,0)),0,VLOOKUP($T$1192,'TAR FIN'!$A$1:$O$115,15,0))</f>
        <v>141.44</v>
      </c>
      <c r="X1192" s="6">
        <f>IF(ISERROR(VLOOKUP($U$1192,'TAR FIN'!$A$1:$O$115,15,0)),0,VLOOKUP($U$1192,'TAR FIN'!$A$1:$O$115,15,0))</f>
        <v>61.8</v>
      </c>
      <c r="Y1192" s="6"/>
      <c r="Z1192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192" s="6">
        <f>('TE BE'!$AB$21+'TE BF'!$AB$21+'TE CVA'!$AB$21)*(1-CUSTOS!$M$34)</f>
        <v>80.738691054204196</v>
      </c>
      <c r="AB1192" s="6">
        <f>$K$1192*$V$1192</f>
        <v>0</v>
      </c>
      <c r="AC1192" s="6">
        <f>$M$1192*$W$1192</f>
        <v>28.570880000000002</v>
      </c>
      <c r="AD1192" s="6">
        <f>$O$1192*$X$1192</f>
        <v>12.483600000000001</v>
      </c>
      <c r="AE1192" s="6">
        <f>$K$1192*$Y$1192</f>
        <v>0</v>
      </c>
      <c r="AF1192" s="6">
        <f ca="1">$M$1192*$Z$1192</f>
        <v>29.706297701429929</v>
      </c>
      <c r="AG1192" s="6">
        <f>$O$1192*$AA$1192</f>
        <v>16.309215592949247</v>
      </c>
    </row>
    <row r="1193" spans="1:33" ht="11.25" customHeight="1" x14ac:dyDescent="0.25">
      <c r="A1193" s="4" t="s">
        <v>21</v>
      </c>
      <c r="B1193" s="4" t="s">
        <v>22</v>
      </c>
      <c r="C1193" s="4" t="s">
        <v>23</v>
      </c>
      <c r="D1193" s="4" t="s">
        <v>24</v>
      </c>
      <c r="E1193" s="4" t="s">
        <v>31</v>
      </c>
      <c r="F1193" s="4" t="s">
        <v>25</v>
      </c>
      <c r="G1193" s="4" t="s">
        <v>25</v>
      </c>
      <c r="H1193" s="4" t="s">
        <v>25</v>
      </c>
      <c r="I1193" s="5">
        <v>44593</v>
      </c>
      <c r="J1193" s="6">
        <v>0</v>
      </c>
      <c r="K1193" s="6">
        <v>0</v>
      </c>
      <c r="L1193" s="6">
        <v>1200.49</v>
      </c>
      <c r="M1193" s="6">
        <v>1200.49</v>
      </c>
      <c r="N1193" s="6">
        <v>1200.49</v>
      </c>
      <c r="O1193" s="6">
        <v>1200.49</v>
      </c>
      <c r="P1193" s="6">
        <v>2787</v>
      </c>
      <c r="Q1193" s="4" t="s">
        <v>26</v>
      </c>
      <c r="R1193" s="4">
        <v>0</v>
      </c>
      <c r="S1193" s="6">
        <v>0</v>
      </c>
      <c r="T1193" s="6">
        <v>40</v>
      </c>
      <c r="U1193" s="6">
        <v>84</v>
      </c>
      <c r="V1193" s="6">
        <f>IF(ISERROR(VLOOKUP($S$1193,'TAR FIN'!$A$1:$O$115,15,0)),0,VLOOKUP($S$1193,'TAR FIN'!$A$1:$O$115,15,0))</f>
        <v>0</v>
      </c>
      <c r="W1193" s="6">
        <f>IF(ISERROR(VLOOKUP($T$1193,'TAR FIN'!$A$1:$O$115,15,0)),0,VLOOKUP($T$1193,'TAR FIN'!$A$1:$O$115,15,0))</f>
        <v>141.44</v>
      </c>
      <c r="X1193" s="6">
        <f>IF(ISERROR(VLOOKUP($U$1193,'TAR FIN'!$A$1:$O$115,15,0)),0,VLOOKUP($U$1193,'TAR FIN'!$A$1:$O$115,15,0))</f>
        <v>61.8</v>
      </c>
      <c r="Y1193" s="6"/>
      <c r="Z1193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193" s="6">
        <f>('TE BE'!$AB$21+'TE BF'!$AB$21+'TE CVA'!$AB$21)*(1-CUSTOS!$M$34)</f>
        <v>80.738691054204196</v>
      </c>
      <c r="AB1193" s="6">
        <f>$K$1193*$V$1193</f>
        <v>0</v>
      </c>
      <c r="AC1193" s="6">
        <f>$M$1193*$W$1193</f>
        <v>169797.30559999999</v>
      </c>
      <c r="AD1193" s="6">
        <f>$O$1193*$X$1193</f>
        <v>74190.281999999992</v>
      </c>
      <c r="AE1193" s="6">
        <f>$K$1193*$Y$1193</f>
        <v>0</v>
      </c>
      <c r="AF1193" s="6">
        <f ca="1">$M$1193*$Z$1193</f>
        <v>176545.11548311688</v>
      </c>
      <c r="AG1193" s="6">
        <f>$O$1193*$AA$1193</f>
        <v>96925.991223661593</v>
      </c>
    </row>
    <row r="1194" spans="1:33" ht="11.25" customHeight="1" x14ac:dyDescent="0.25">
      <c r="A1194" s="4" t="s">
        <v>27</v>
      </c>
      <c r="B1194" s="4" t="s">
        <v>22</v>
      </c>
      <c r="C1194" s="4" t="s">
        <v>23</v>
      </c>
      <c r="D1194" s="4" t="s">
        <v>24</v>
      </c>
      <c r="E1194" s="4" t="s">
        <v>31</v>
      </c>
      <c r="F1194" s="4" t="s">
        <v>25</v>
      </c>
      <c r="G1194" s="4" t="s">
        <v>25</v>
      </c>
      <c r="H1194" s="4" t="s">
        <v>25</v>
      </c>
      <c r="I1194" s="5">
        <v>44593</v>
      </c>
      <c r="J1194" s="6">
        <v>0</v>
      </c>
      <c r="K1194" s="6">
        <v>0</v>
      </c>
      <c r="L1194" s="6">
        <v>0.39100000000000001</v>
      </c>
      <c r="M1194" s="6">
        <v>0.39100000000000001</v>
      </c>
      <c r="N1194" s="6">
        <v>0.39100000000000001</v>
      </c>
      <c r="O1194" s="6">
        <v>0.39100000000000001</v>
      </c>
      <c r="P1194" s="6">
        <v>56</v>
      </c>
      <c r="Q1194" s="4" t="s">
        <v>26</v>
      </c>
      <c r="R1194" s="4">
        <v>0</v>
      </c>
      <c r="S1194" s="6">
        <v>0</v>
      </c>
      <c r="T1194" s="6">
        <v>40</v>
      </c>
      <c r="U1194" s="6">
        <v>84</v>
      </c>
      <c r="V1194" s="6">
        <f>IF(ISERROR(VLOOKUP($S$1194,'TAR FIN'!$A$1:$O$115,15,0)),0,VLOOKUP($S$1194,'TAR FIN'!$A$1:$O$115,15,0))</f>
        <v>0</v>
      </c>
      <c r="W1194" s="6">
        <f>IF(ISERROR(VLOOKUP($T$1194,'TAR FIN'!$A$1:$O$115,15,0)),0,VLOOKUP($T$1194,'TAR FIN'!$A$1:$O$115,15,0))</f>
        <v>141.44</v>
      </c>
      <c r="X1194" s="6">
        <f>IF(ISERROR(VLOOKUP($U$1194,'TAR FIN'!$A$1:$O$115,15,0)),0,VLOOKUP($U$1194,'TAR FIN'!$A$1:$O$115,15,0))</f>
        <v>61.8</v>
      </c>
      <c r="Y1194" s="6"/>
      <c r="Z1194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194" s="6">
        <f>('TE BE'!$AB$21+'TE BF'!$AB$21+'TE CVA'!$AB$21)*(1-CUSTOS!$M$34)</f>
        <v>80.738691054204196</v>
      </c>
      <c r="AB1194" s="6">
        <f>$K$1194*$V$1194</f>
        <v>0</v>
      </c>
      <c r="AC1194" s="6">
        <f>$M$1194*$W$1194</f>
        <v>55.303040000000003</v>
      </c>
      <c r="AD1194" s="6">
        <f>$O$1194*$X$1194</f>
        <v>24.163799999999998</v>
      </c>
      <c r="AE1194" s="6">
        <f>$K$1194*$Y$1194</f>
        <v>0</v>
      </c>
      <c r="AF1194" s="6">
        <f ca="1">$M$1194*$Z$1194</f>
        <v>57.500803966629213</v>
      </c>
      <c r="AG1194" s="6">
        <f>$O$1194*$AA$1194</f>
        <v>31.568828202193842</v>
      </c>
    </row>
    <row r="1195" spans="1:33" ht="11.25" customHeight="1" x14ac:dyDescent="0.25">
      <c r="A1195" s="4" t="s">
        <v>28</v>
      </c>
      <c r="B1195" s="4" t="s">
        <v>22</v>
      </c>
      <c r="C1195" s="4" t="s">
        <v>23</v>
      </c>
      <c r="D1195" s="4" t="s">
        <v>24</v>
      </c>
      <c r="E1195" s="4" t="s">
        <v>31</v>
      </c>
      <c r="F1195" s="4" t="s">
        <v>25</v>
      </c>
      <c r="G1195" s="4" t="s">
        <v>25</v>
      </c>
      <c r="H1195" s="4" t="s">
        <v>25</v>
      </c>
      <c r="I1195" s="5">
        <v>44593</v>
      </c>
      <c r="J1195" s="6">
        <v>0</v>
      </c>
      <c r="K1195" s="6">
        <v>0</v>
      </c>
      <c r="L1195" s="6">
        <v>609.83699999999999</v>
      </c>
      <c r="M1195" s="6">
        <v>609.83699999999999</v>
      </c>
      <c r="N1195" s="6">
        <v>609.83699999999999</v>
      </c>
      <c r="O1195" s="6">
        <v>609.83699999999999</v>
      </c>
      <c r="P1195" s="6">
        <v>1822</v>
      </c>
      <c r="Q1195" s="4" t="s">
        <v>26</v>
      </c>
      <c r="R1195" s="4">
        <v>0</v>
      </c>
      <c r="S1195" s="6">
        <v>0</v>
      </c>
      <c r="T1195" s="6">
        <v>40</v>
      </c>
      <c r="U1195" s="6">
        <v>84</v>
      </c>
      <c r="V1195" s="6">
        <f>IF(ISERROR(VLOOKUP($S$1195,'TAR FIN'!$A$1:$O$115,15,0)),0,VLOOKUP($S$1195,'TAR FIN'!$A$1:$O$115,15,0))</f>
        <v>0</v>
      </c>
      <c r="W1195" s="6">
        <f>IF(ISERROR(VLOOKUP($T$1195,'TAR FIN'!$A$1:$O$115,15,0)),0,VLOOKUP($T$1195,'TAR FIN'!$A$1:$O$115,15,0))</f>
        <v>141.44</v>
      </c>
      <c r="X1195" s="6">
        <f>IF(ISERROR(VLOOKUP($U$1195,'TAR FIN'!$A$1:$O$115,15,0)),0,VLOOKUP($U$1195,'TAR FIN'!$A$1:$O$115,15,0))</f>
        <v>61.8</v>
      </c>
      <c r="Y1195" s="6"/>
      <c r="Z1195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195" s="6">
        <f>('TE BE'!$AB$21+'TE BF'!$AB$21+'TE CVA'!$AB$21)*(1-CUSTOS!$M$34)</f>
        <v>80.738691054204196</v>
      </c>
      <c r="AB1195" s="6">
        <f>$K$1195*$V$1195</f>
        <v>0</v>
      </c>
      <c r="AC1195" s="6">
        <f>$M$1195*$W$1195</f>
        <v>86255.345279999994</v>
      </c>
      <c r="AD1195" s="6">
        <f>$O$1195*$X$1195</f>
        <v>37687.926599999999</v>
      </c>
      <c r="AE1195" s="6">
        <f>$K$1195*$Y$1195</f>
        <v>0</v>
      </c>
      <c r="AF1195" s="6">
        <f ca="1">$M$1195*$Z$1195</f>
        <v>89683.165699737234</v>
      </c>
      <c r="AG1195" s="6">
        <f>$O$1195*$AA$1195</f>
        <v>49237.44113642272</v>
      </c>
    </row>
    <row r="1196" spans="1:33" ht="11.25" customHeight="1" x14ac:dyDescent="0.25">
      <c r="A1196" s="4" t="s">
        <v>29</v>
      </c>
      <c r="B1196" s="4" t="s">
        <v>22</v>
      </c>
      <c r="C1196" s="4" t="s">
        <v>23</v>
      </c>
      <c r="D1196" s="4" t="s">
        <v>24</v>
      </c>
      <c r="E1196" s="4" t="s">
        <v>31</v>
      </c>
      <c r="F1196" s="4" t="s">
        <v>25</v>
      </c>
      <c r="G1196" s="4" t="s">
        <v>25</v>
      </c>
      <c r="H1196" s="4" t="s">
        <v>25</v>
      </c>
      <c r="I1196" s="5">
        <v>44593</v>
      </c>
      <c r="J1196" s="6">
        <v>0</v>
      </c>
      <c r="K1196" s="6">
        <v>0</v>
      </c>
      <c r="L1196" s="6">
        <v>-0.86899999999999999</v>
      </c>
      <c r="M1196" s="6">
        <v>-0.86899999999999999</v>
      </c>
      <c r="N1196" s="6">
        <v>-0.86899999999999999</v>
      </c>
      <c r="O1196" s="6">
        <v>-0.86899999999999999</v>
      </c>
      <c r="P1196" s="6">
        <v>8</v>
      </c>
      <c r="Q1196" s="4" t="s">
        <v>26</v>
      </c>
      <c r="R1196" s="4">
        <v>0</v>
      </c>
      <c r="S1196" s="6">
        <v>0</v>
      </c>
      <c r="T1196" s="6">
        <v>40</v>
      </c>
      <c r="U1196" s="6">
        <v>84</v>
      </c>
      <c r="V1196" s="6">
        <f>IF(ISERROR(VLOOKUP($S$1196,'TAR FIN'!$A$1:$O$115,15,0)),0,VLOOKUP($S$1196,'TAR FIN'!$A$1:$O$115,15,0))</f>
        <v>0</v>
      </c>
      <c r="W1196" s="6">
        <f>IF(ISERROR(VLOOKUP($T$1196,'TAR FIN'!$A$1:$O$115,15,0)),0,VLOOKUP($T$1196,'TAR FIN'!$A$1:$O$115,15,0))</f>
        <v>141.44</v>
      </c>
      <c r="X1196" s="6">
        <f>IF(ISERROR(VLOOKUP($U$1196,'TAR FIN'!$A$1:$O$115,15,0)),0,VLOOKUP($U$1196,'TAR FIN'!$A$1:$O$115,15,0))</f>
        <v>61.8</v>
      </c>
      <c r="Y1196" s="6"/>
      <c r="Z1196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196" s="6">
        <f>('TE BE'!$AB$21+'TE BF'!$AB$21+'TE CVA'!$AB$21)*(1-CUSTOS!$M$34)</f>
        <v>80.738691054204196</v>
      </c>
      <c r="AB1196" s="6">
        <f>$K$1196*$V$1196</f>
        <v>0</v>
      </c>
      <c r="AC1196" s="6">
        <f>$M$1196*$W$1196</f>
        <v>-122.91136</v>
      </c>
      <c r="AD1196" s="6">
        <f>$O$1196*$X$1196</f>
        <v>-53.7042</v>
      </c>
      <c r="AE1196" s="6">
        <f>$K$1196*$Y$1196</f>
        <v>0</v>
      </c>
      <c r="AF1196" s="6">
        <f ca="1">$M$1196*$Z$1196</f>
        <v>-127.7959044680327</v>
      </c>
      <c r="AG1196" s="6">
        <f>$O$1196*$AA$1196</f>
        <v>-70.161922526103453</v>
      </c>
    </row>
    <row r="1197" spans="1:33" ht="11.25" customHeight="1" x14ac:dyDescent="0.25">
      <c r="A1197" s="4" t="s">
        <v>30</v>
      </c>
      <c r="B1197" s="4" t="s">
        <v>22</v>
      </c>
      <c r="C1197" s="4" t="s">
        <v>23</v>
      </c>
      <c r="D1197" s="4" t="s">
        <v>24</v>
      </c>
      <c r="E1197" s="4" t="s">
        <v>31</v>
      </c>
      <c r="F1197" s="4" t="s">
        <v>25</v>
      </c>
      <c r="G1197" s="4" t="s">
        <v>25</v>
      </c>
      <c r="H1197" s="4" t="s">
        <v>25</v>
      </c>
      <c r="I1197" s="5">
        <v>44593</v>
      </c>
      <c r="J1197" s="6">
        <v>0</v>
      </c>
      <c r="K1197" s="6">
        <v>0</v>
      </c>
      <c r="L1197" s="6">
        <v>1.17</v>
      </c>
      <c r="M1197" s="6">
        <v>1.17</v>
      </c>
      <c r="N1197" s="6">
        <v>1.17</v>
      </c>
      <c r="O1197" s="6">
        <v>1.17</v>
      </c>
      <c r="P1197" s="6">
        <v>0</v>
      </c>
      <c r="Q1197" s="4" t="s">
        <v>26</v>
      </c>
      <c r="R1197" s="4">
        <v>0</v>
      </c>
      <c r="S1197" s="6">
        <v>0</v>
      </c>
      <c r="T1197" s="6">
        <v>40</v>
      </c>
      <c r="U1197" s="6">
        <v>84</v>
      </c>
      <c r="V1197" s="6">
        <f>IF(ISERROR(VLOOKUP($S$1197,'TAR FIN'!$A$1:$O$115,15,0)),0,VLOOKUP($S$1197,'TAR FIN'!$A$1:$O$115,15,0))</f>
        <v>0</v>
      </c>
      <c r="W1197" s="6">
        <f>IF(ISERROR(VLOOKUP($T$1197,'TAR FIN'!$A$1:$O$115,15,0)),0,VLOOKUP($T$1197,'TAR FIN'!$A$1:$O$115,15,0))</f>
        <v>141.44</v>
      </c>
      <c r="X1197" s="6">
        <f>IF(ISERROR(VLOOKUP($U$1197,'TAR FIN'!$A$1:$O$115,15,0)),0,VLOOKUP($U$1197,'TAR FIN'!$A$1:$O$115,15,0))</f>
        <v>61.8</v>
      </c>
      <c r="Y1197" s="6"/>
      <c r="Z1197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197" s="6">
        <f>('TE BE'!$AB$21+'TE BF'!$AB$21+'TE CVA'!$AB$21)*(1-CUSTOS!$M$34)</f>
        <v>80.738691054204196</v>
      </c>
      <c r="AB1197" s="6">
        <f>$K$1197*$V$1197</f>
        <v>0</v>
      </c>
      <c r="AC1197" s="6">
        <f>$M$1197*$W$1197</f>
        <v>165.48479999999998</v>
      </c>
      <c r="AD1197" s="6">
        <f>$O$1197*$X$1197</f>
        <v>72.305999999999997</v>
      </c>
      <c r="AE1197" s="6">
        <f>$K$1197*$Y$1197</f>
        <v>0</v>
      </c>
      <c r="AF1197" s="6">
        <f ca="1">$M$1197*$Z$1197</f>
        <v>172.06122926075747</v>
      </c>
      <c r="AG1197" s="6">
        <f>$O$1197*$AA$1197</f>
        <v>94.464268533418903</v>
      </c>
    </row>
    <row r="1198" spans="1:33" ht="11.25" customHeight="1" x14ac:dyDescent="0.25">
      <c r="A1198" s="4" t="s">
        <v>30</v>
      </c>
      <c r="B1198" s="4" t="s">
        <v>22</v>
      </c>
      <c r="C1198" s="4" t="s">
        <v>23</v>
      </c>
      <c r="D1198" s="4" t="s">
        <v>24</v>
      </c>
      <c r="E1198" s="4" t="s">
        <v>31</v>
      </c>
      <c r="F1198" s="4" t="s">
        <v>25</v>
      </c>
      <c r="G1198" s="4" t="s">
        <v>25</v>
      </c>
      <c r="H1198" s="4" t="s">
        <v>25</v>
      </c>
      <c r="I1198" s="5">
        <v>44593</v>
      </c>
      <c r="J1198" s="6">
        <v>0</v>
      </c>
      <c r="K1198" s="6">
        <v>0</v>
      </c>
      <c r="L1198" s="6">
        <v>0.24099999999999999</v>
      </c>
      <c r="M1198" s="6">
        <v>0.24099999999999999</v>
      </c>
      <c r="N1198" s="6">
        <v>0.24099999999999999</v>
      </c>
      <c r="O1198" s="6">
        <v>0.24099999999999999</v>
      </c>
      <c r="P1198" s="6">
        <v>1</v>
      </c>
      <c r="Q1198" s="4" t="s">
        <v>26</v>
      </c>
      <c r="R1198" s="4">
        <v>0</v>
      </c>
      <c r="S1198" s="6">
        <v>0</v>
      </c>
      <c r="T1198" s="6">
        <v>40</v>
      </c>
      <c r="U1198" s="6">
        <v>84</v>
      </c>
      <c r="V1198" s="6">
        <f>IF(ISERROR(VLOOKUP($S$1198,'TAR FIN'!$A$1:$O$115,15,0)),0,VLOOKUP($S$1198,'TAR FIN'!$A$1:$O$115,15,0))</f>
        <v>0</v>
      </c>
      <c r="W1198" s="6">
        <f>IF(ISERROR(VLOOKUP($T$1198,'TAR FIN'!$A$1:$O$115,15,0)),0,VLOOKUP($T$1198,'TAR FIN'!$A$1:$O$115,15,0))</f>
        <v>141.44</v>
      </c>
      <c r="X1198" s="6">
        <f>IF(ISERROR(VLOOKUP($U$1198,'TAR FIN'!$A$1:$O$115,15,0)),0,VLOOKUP($U$1198,'TAR FIN'!$A$1:$O$115,15,0))</f>
        <v>61.8</v>
      </c>
      <c r="Y1198" s="6"/>
      <c r="Z1198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198" s="6">
        <f>('TE BE'!$AB$21+'TE BF'!$AB$21+'TE CVA'!$AB$21)*(1-CUSTOS!$M$34)</f>
        <v>80.738691054204196</v>
      </c>
      <c r="AB1198" s="6">
        <f>$K$1198*$V$1198</f>
        <v>0</v>
      </c>
      <c r="AC1198" s="6">
        <f>$M$1198*$W$1198</f>
        <v>34.087040000000002</v>
      </c>
      <c r="AD1198" s="6">
        <f>$O$1198*$X$1198</f>
        <v>14.893799999999999</v>
      </c>
      <c r="AE1198" s="6">
        <f>$K$1198*$Y$1198</f>
        <v>0</v>
      </c>
      <c r="AF1198" s="6">
        <f ca="1">$M$1198*$Z$1198</f>
        <v>35.441672010121842</v>
      </c>
      <c r="AG1198" s="6">
        <f>$O$1198*$AA$1198</f>
        <v>19.45802454406321</v>
      </c>
    </row>
    <row r="1199" spans="1:33" ht="11.25" customHeight="1" x14ac:dyDescent="0.25">
      <c r="A1199" s="4" t="s">
        <v>21</v>
      </c>
      <c r="B1199" s="4" t="s">
        <v>22</v>
      </c>
      <c r="C1199" s="4" t="s">
        <v>23</v>
      </c>
      <c r="D1199" s="4" t="s">
        <v>24</v>
      </c>
      <c r="E1199" s="4" t="s">
        <v>31</v>
      </c>
      <c r="F1199" s="4" t="s">
        <v>25</v>
      </c>
      <c r="G1199" s="4" t="s">
        <v>25</v>
      </c>
      <c r="H1199" s="4" t="s">
        <v>25</v>
      </c>
      <c r="I1199" s="5">
        <v>44621</v>
      </c>
      <c r="J1199" s="6">
        <v>0</v>
      </c>
      <c r="K1199" s="6">
        <v>0</v>
      </c>
      <c r="L1199" s="6">
        <v>1246.335</v>
      </c>
      <c r="M1199" s="6">
        <v>1246.335</v>
      </c>
      <c r="N1199" s="6">
        <v>1246.335</v>
      </c>
      <c r="O1199" s="6">
        <v>1246.335</v>
      </c>
      <c r="P1199" s="6">
        <v>2714</v>
      </c>
      <c r="Q1199" s="4" t="s">
        <v>26</v>
      </c>
      <c r="R1199" s="4">
        <v>0</v>
      </c>
      <c r="S1199" s="6">
        <v>0</v>
      </c>
      <c r="T1199" s="6">
        <v>40</v>
      </c>
      <c r="U1199" s="6">
        <v>84</v>
      </c>
      <c r="V1199" s="6">
        <f>IF(ISERROR(VLOOKUP($S$1199,'TAR FIN'!$A$1:$O$115,15,0)),0,VLOOKUP($S$1199,'TAR FIN'!$A$1:$O$115,15,0))</f>
        <v>0</v>
      </c>
      <c r="W1199" s="6">
        <f>IF(ISERROR(VLOOKUP($T$1199,'TAR FIN'!$A$1:$O$115,15,0)),0,VLOOKUP($T$1199,'TAR FIN'!$A$1:$O$115,15,0))</f>
        <v>141.44</v>
      </c>
      <c r="X1199" s="6">
        <f>IF(ISERROR(VLOOKUP($U$1199,'TAR FIN'!$A$1:$O$115,15,0)),0,VLOOKUP($U$1199,'TAR FIN'!$A$1:$O$115,15,0))</f>
        <v>61.8</v>
      </c>
      <c r="Y1199" s="6"/>
      <c r="Z1199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199" s="6">
        <f>('TE BE'!$AB$21+'TE BF'!$AB$21+'TE CVA'!$AB$21)*(1-CUSTOS!$M$34)</f>
        <v>80.738691054204196</v>
      </c>
      <c r="AB1199" s="6">
        <f>$K$1199*$V$1199</f>
        <v>0</v>
      </c>
      <c r="AC1199" s="6">
        <f>$M$1199*$W$1199</f>
        <v>176281.62239999999</v>
      </c>
      <c r="AD1199" s="6">
        <f>$O$1199*$X$1199</f>
        <v>77023.502999999997</v>
      </c>
      <c r="AE1199" s="6">
        <f>$K$1199*$Y$1199</f>
        <v>0</v>
      </c>
      <c r="AF1199" s="6">
        <f ca="1">$M$1199*$Z$1199</f>
        <v>183287.12151342409</v>
      </c>
      <c r="AG1199" s="6">
        <f>$O$1199*$AA$1199</f>
        <v>100627.45651504159</v>
      </c>
    </row>
    <row r="1200" spans="1:33" ht="11.25" customHeight="1" x14ac:dyDescent="0.25">
      <c r="A1200" s="4" t="s">
        <v>27</v>
      </c>
      <c r="B1200" s="4" t="s">
        <v>22</v>
      </c>
      <c r="C1200" s="4" t="s">
        <v>23</v>
      </c>
      <c r="D1200" s="4" t="s">
        <v>24</v>
      </c>
      <c r="E1200" s="4" t="s">
        <v>31</v>
      </c>
      <c r="F1200" s="4" t="s">
        <v>25</v>
      </c>
      <c r="G1200" s="4" t="s">
        <v>25</v>
      </c>
      <c r="H1200" s="4" t="s">
        <v>25</v>
      </c>
      <c r="I1200" s="5">
        <v>44621</v>
      </c>
      <c r="J1200" s="6">
        <v>0</v>
      </c>
      <c r="K1200" s="6">
        <v>0</v>
      </c>
      <c r="L1200" s="6">
        <v>-6.5339999999999998</v>
      </c>
      <c r="M1200" s="6">
        <v>-6.5339999999999998</v>
      </c>
      <c r="N1200" s="6">
        <v>-6.5339999999999998</v>
      </c>
      <c r="O1200" s="6">
        <v>-6.5339999999999998</v>
      </c>
      <c r="P1200" s="6">
        <v>32</v>
      </c>
      <c r="Q1200" s="4" t="s">
        <v>26</v>
      </c>
      <c r="R1200" s="4">
        <v>0</v>
      </c>
      <c r="S1200" s="6">
        <v>0</v>
      </c>
      <c r="T1200" s="6">
        <v>40</v>
      </c>
      <c r="U1200" s="6">
        <v>84</v>
      </c>
      <c r="V1200" s="6">
        <f>IF(ISERROR(VLOOKUP($S$1200,'TAR FIN'!$A$1:$O$115,15,0)),0,VLOOKUP($S$1200,'TAR FIN'!$A$1:$O$115,15,0))</f>
        <v>0</v>
      </c>
      <c r="W1200" s="6">
        <f>IF(ISERROR(VLOOKUP($T$1200,'TAR FIN'!$A$1:$O$115,15,0)),0,VLOOKUP($T$1200,'TAR FIN'!$A$1:$O$115,15,0))</f>
        <v>141.44</v>
      </c>
      <c r="X1200" s="6">
        <f>IF(ISERROR(VLOOKUP($U$1200,'TAR FIN'!$A$1:$O$115,15,0)),0,VLOOKUP($U$1200,'TAR FIN'!$A$1:$O$115,15,0))</f>
        <v>61.8</v>
      </c>
      <c r="Y1200" s="6"/>
      <c r="Z1200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00" s="6">
        <f>('TE BE'!$AB$21+'TE BF'!$AB$21+'TE CVA'!$AB$21)*(1-CUSTOS!$M$34)</f>
        <v>80.738691054204196</v>
      </c>
      <c r="AB1200" s="6">
        <f>$K$1200*$V$1200</f>
        <v>0</v>
      </c>
      <c r="AC1200" s="6">
        <f>$M$1200*$W$1200</f>
        <v>-924.16895999999997</v>
      </c>
      <c r="AD1200" s="6">
        <f>$O$1200*$X$1200</f>
        <v>-403.80119999999999</v>
      </c>
      <c r="AE1200" s="6">
        <f>$K$1200*$Y$1200</f>
        <v>0</v>
      </c>
      <c r="AF1200" s="6">
        <f ca="1">$M$1200*$Z$1200</f>
        <v>-960.895788025461</v>
      </c>
      <c r="AG1200" s="6">
        <f>$O$1200*$AA$1200</f>
        <v>-527.54660734817026</v>
      </c>
    </row>
    <row r="1201" spans="1:33" ht="11.25" customHeight="1" x14ac:dyDescent="0.25">
      <c r="A1201" s="4" t="s">
        <v>28</v>
      </c>
      <c r="B1201" s="4" t="s">
        <v>22</v>
      </c>
      <c r="C1201" s="4" t="s">
        <v>23</v>
      </c>
      <c r="D1201" s="4" t="s">
        <v>24</v>
      </c>
      <c r="E1201" s="4" t="s">
        <v>31</v>
      </c>
      <c r="F1201" s="4" t="s">
        <v>25</v>
      </c>
      <c r="G1201" s="4" t="s">
        <v>25</v>
      </c>
      <c r="H1201" s="4" t="s">
        <v>25</v>
      </c>
      <c r="I1201" s="5">
        <v>44621</v>
      </c>
      <c r="J1201" s="6">
        <v>0</v>
      </c>
      <c r="K1201" s="6">
        <v>0</v>
      </c>
      <c r="L1201" s="6">
        <v>618.73599999999999</v>
      </c>
      <c r="M1201" s="6">
        <v>618.73599999999999</v>
      </c>
      <c r="N1201" s="6">
        <v>618.73599999999999</v>
      </c>
      <c r="O1201" s="6">
        <v>618.73599999999999</v>
      </c>
      <c r="P1201" s="6">
        <v>1837</v>
      </c>
      <c r="Q1201" s="4" t="s">
        <v>26</v>
      </c>
      <c r="R1201" s="4">
        <v>0</v>
      </c>
      <c r="S1201" s="6">
        <v>0</v>
      </c>
      <c r="T1201" s="6">
        <v>40</v>
      </c>
      <c r="U1201" s="6">
        <v>84</v>
      </c>
      <c r="V1201" s="6">
        <f>IF(ISERROR(VLOOKUP($S$1201,'TAR FIN'!$A$1:$O$115,15,0)),0,VLOOKUP($S$1201,'TAR FIN'!$A$1:$O$115,15,0))</f>
        <v>0</v>
      </c>
      <c r="W1201" s="6">
        <f>IF(ISERROR(VLOOKUP($T$1201,'TAR FIN'!$A$1:$O$115,15,0)),0,VLOOKUP($T$1201,'TAR FIN'!$A$1:$O$115,15,0))</f>
        <v>141.44</v>
      </c>
      <c r="X1201" s="6">
        <f>IF(ISERROR(VLOOKUP($U$1201,'TAR FIN'!$A$1:$O$115,15,0)),0,VLOOKUP($U$1201,'TAR FIN'!$A$1:$O$115,15,0))</f>
        <v>61.8</v>
      </c>
      <c r="Y1201" s="6"/>
      <c r="Z1201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01" s="6">
        <f>('TE BE'!$AB$21+'TE BF'!$AB$21+'TE CVA'!$AB$21)*(1-CUSTOS!$M$34)</f>
        <v>80.738691054204196</v>
      </c>
      <c r="AB1201" s="6">
        <f>$K$1201*$V$1201</f>
        <v>0</v>
      </c>
      <c r="AC1201" s="6">
        <f>$M$1201*$W$1201</f>
        <v>87514.019839999994</v>
      </c>
      <c r="AD1201" s="6">
        <f>$O$1201*$X$1201</f>
        <v>38237.8848</v>
      </c>
      <c r="AE1201" s="6">
        <f>$K$1201*$Y$1201</f>
        <v>0</v>
      </c>
      <c r="AF1201" s="6">
        <f ca="1">$M$1201*$Z$1201</f>
        <v>90991.860468276966</v>
      </c>
      <c r="AG1201" s="6">
        <f>$O$1201*$AA$1201</f>
        <v>49955.934748114087</v>
      </c>
    </row>
    <row r="1202" spans="1:33" ht="11.25" customHeight="1" x14ac:dyDescent="0.25">
      <c r="A1202" s="4" t="s">
        <v>29</v>
      </c>
      <c r="B1202" s="4" t="s">
        <v>22</v>
      </c>
      <c r="C1202" s="4" t="s">
        <v>23</v>
      </c>
      <c r="D1202" s="4" t="s">
        <v>24</v>
      </c>
      <c r="E1202" s="4" t="s">
        <v>31</v>
      </c>
      <c r="F1202" s="4" t="s">
        <v>25</v>
      </c>
      <c r="G1202" s="4" t="s">
        <v>25</v>
      </c>
      <c r="H1202" s="4" t="s">
        <v>25</v>
      </c>
      <c r="I1202" s="5">
        <v>44621</v>
      </c>
      <c r="J1202" s="6">
        <v>0</v>
      </c>
      <c r="K1202" s="6">
        <v>0</v>
      </c>
      <c r="L1202" s="6">
        <v>3.1789999999999998</v>
      </c>
      <c r="M1202" s="6">
        <v>3.1789999999999998</v>
      </c>
      <c r="N1202" s="6">
        <v>3.1789999999999998</v>
      </c>
      <c r="O1202" s="6">
        <v>3.1789999999999998</v>
      </c>
      <c r="P1202" s="6">
        <v>51</v>
      </c>
      <c r="Q1202" s="4" t="s">
        <v>26</v>
      </c>
      <c r="R1202" s="4">
        <v>0</v>
      </c>
      <c r="S1202" s="6">
        <v>0</v>
      </c>
      <c r="T1202" s="6">
        <v>40</v>
      </c>
      <c r="U1202" s="6">
        <v>84</v>
      </c>
      <c r="V1202" s="6">
        <f>IF(ISERROR(VLOOKUP($S$1202,'TAR FIN'!$A$1:$O$115,15,0)),0,VLOOKUP($S$1202,'TAR FIN'!$A$1:$O$115,15,0))</f>
        <v>0</v>
      </c>
      <c r="W1202" s="6">
        <f>IF(ISERROR(VLOOKUP($T$1202,'TAR FIN'!$A$1:$O$115,15,0)),0,VLOOKUP($T$1202,'TAR FIN'!$A$1:$O$115,15,0))</f>
        <v>141.44</v>
      </c>
      <c r="X1202" s="6">
        <f>IF(ISERROR(VLOOKUP($U$1202,'TAR FIN'!$A$1:$O$115,15,0)),0,VLOOKUP($U$1202,'TAR FIN'!$A$1:$O$115,15,0))</f>
        <v>61.8</v>
      </c>
      <c r="Y1202" s="6"/>
      <c r="Z1202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02" s="6">
        <f>('TE BE'!$AB$21+'TE BF'!$AB$21+'TE CVA'!$AB$21)*(1-CUSTOS!$M$34)</f>
        <v>80.738691054204196</v>
      </c>
      <c r="AB1202" s="6">
        <f>$K$1202*$V$1202</f>
        <v>0</v>
      </c>
      <c r="AC1202" s="6">
        <f>$M$1202*$W$1202</f>
        <v>449.63775999999996</v>
      </c>
      <c r="AD1202" s="6">
        <f>$O$1202*$X$1202</f>
        <v>196.46219999999997</v>
      </c>
      <c r="AE1202" s="6">
        <f>$K$1202*$Y$1202</f>
        <v>0</v>
      </c>
      <c r="AF1202" s="6">
        <f ca="1">$M$1202*$Z$1202</f>
        <v>467.50653659824616</v>
      </c>
      <c r="AG1202" s="6">
        <f>$O$1202*$AA$1202</f>
        <v>256.66829886131512</v>
      </c>
    </row>
    <row r="1203" spans="1:33" ht="11.25" customHeight="1" x14ac:dyDescent="0.25">
      <c r="A1203" s="4" t="s">
        <v>30</v>
      </c>
      <c r="B1203" s="4" t="s">
        <v>22</v>
      </c>
      <c r="C1203" s="4" t="s">
        <v>23</v>
      </c>
      <c r="D1203" s="4" t="s">
        <v>24</v>
      </c>
      <c r="E1203" s="4" t="s">
        <v>31</v>
      </c>
      <c r="F1203" s="4" t="s">
        <v>25</v>
      </c>
      <c r="G1203" s="4" t="s">
        <v>25</v>
      </c>
      <c r="H1203" s="4" t="s">
        <v>25</v>
      </c>
      <c r="I1203" s="5">
        <v>44621</v>
      </c>
      <c r="J1203" s="6">
        <v>0</v>
      </c>
      <c r="K1203" s="6">
        <v>0</v>
      </c>
      <c r="L1203" s="6">
        <v>1.29</v>
      </c>
      <c r="M1203" s="6">
        <v>1.29</v>
      </c>
      <c r="N1203" s="6">
        <v>1.29</v>
      </c>
      <c r="O1203" s="6">
        <v>1.29</v>
      </c>
      <c r="P1203" s="6">
        <v>0</v>
      </c>
      <c r="Q1203" s="4" t="s">
        <v>26</v>
      </c>
      <c r="R1203" s="4">
        <v>0</v>
      </c>
      <c r="S1203" s="6">
        <v>0</v>
      </c>
      <c r="T1203" s="6">
        <v>40</v>
      </c>
      <c r="U1203" s="6">
        <v>84</v>
      </c>
      <c r="V1203" s="6">
        <f>IF(ISERROR(VLOOKUP($S$1203,'TAR FIN'!$A$1:$O$115,15,0)),0,VLOOKUP($S$1203,'TAR FIN'!$A$1:$O$115,15,0))</f>
        <v>0</v>
      </c>
      <c r="W1203" s="6">
        <f>IF(ISERROR(VLOOKUP($T$1203,'TAR FIN'!$A$1:$O$115,15,0)),0,VLOOKUP($T$1203,'TAR FIN'!$A$1:$O$115,15,0))</f>
        <v>141.44</v>
      </c>
      <c r="X1203" s="6">
        <f>IF(ISERROR(VLOOKUP($U$1203,'TAR FIN'!$A$1:$O$115,15,0)),0,VLOOKUP($U$1203,'TAR FIN'!$A$1:$O$115,15,0))</f>
        <v>61.8</v>
      </c>
      <c r="Y1203" s="6"/>
      <c r="Z1203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03" s="6">
        <f>('TE BE'!$AB$21+'TE BF'!$AB$21+'TE CVA'!$AB$21)*(1-CUSTOS!$M$34)</f>
        <v>80.738691054204196</v>
      </c>
      <c r="AB1203" s="6">
        <f>$K$1203*$V$1203</f>
        <v>0</v>
      </c>
      <c r="AC1203" s="6">
        <f>$M$1203*$W$1203</f>
        <v>182.45760000000001</v>
      </c>
      <c r="AD1203" s="6">
        <f>$O$1203*$X$1203</f>
        <v>79.721999999999994</v>
      </c>
      <c r="AE1203" s="6">
        <f>$K$1203*$Y$1203</f>
        <v>0</v>
      </c>
      <c r="AF1203" s="6">
        <f ca="1">$M$1203*$Z$1203</f>
        <v>189.7085348259634</v>
      </c>
      <c r="AG1203" s="6">
        <f>$O$1203*$AA$1203</f>
        <v>104.15291145992342</v>
      </c>
    </row>
    <row r="1204" spans="1:33" ht="11.25" customHeight="1" x14ac:dyDescent="0.25">
      <c r="A1204" s="4" t="s">
        <v>21</v>
      </c>
      <c r="B1204" s="4" t="s">
        <v>22</v>
      </c>
      <c r="C1204" s="4" t="s">
        <v>23</v>
      </c>
      <c r="D1204" s="4" t="s">
        <v>24</v>
      </c>
      <c r="E1204" s="4" t="s">
        <v>31</v>
      </c>
      <c r="F1204" s="4" t="s">
        <v>25</v>
      </c>
      <c r="G1204" s="4" t="s">
        <v>25</v>
      </c>
      <c r="H1204" s="4" t="s">
        <v>25</v>
      </c>
      <c r="I1204" s="5">
        <v>44652</v>
      </c>
      <c r="J1204" s="6">
        <v>0</v>
      </c>
      <c r="K1204" s="6">
        <v>0</v>
      </c>
      <c r="L1204" s="6">
        <v>1293.701</v>
      </c>
      <c r="M1204" s="6">
        <v>1293.701</v>
      </c>
      <c r="N1204" s="6">
        <v>1293.701</v>
      </c>
      <c r="O1204" s="6">
        <v>1293.701</v>
      </c>
      <c r="P1204" s="6">
        <v>2880</v>
      </c>
      <c r="Q1204" s="4" t="s">
        <v>26</v>
      </c>
      <c r="R1204" s="4">
        <v>0</v>
      </c>
      <c r="S1204" s="6">
        <v>0</v>
      </c>
      <c r="T1204" s="6">
        <v>40</v>
      </c>
      <c r="U1204" s="6">
        <v>84</v>
      </c>
      <c r="V1204" s="6">
        <f>IF(ISERROR(VLOOKUP($S$1204,'TAR FIN'!$A$1:$O$115,15,0)),0,VLOOKUP($S$1204,'TAR FIN'!$A$1:$O$115,15,0))</f>
        <v>0</v>
      </c>
      <c r="W1204" s="6">
        <f>IF(ISERROR(VLOOKUP($T$1204,'TAR FIN'!$A$1:$O$115,15,0)),0,VLOOKUP($T$1204,'TAR FIN'!$A$1:$O$115,15,0))</f>
        <v>141.44</v>
      </c>
      <c r="X1204" s="6">
        <f>IF(ISERROR(VLOOKUP($U$1204,'TAR FIN'!$A$1:$O$115,15,0)),0,VLOOKUP($U$1204,'TAR FIN'!$A$1:$O$115,15,0))</f>
        <v>61.8</v>
      </c>
      <c r="Y1204" s="6"/>
      <c r="Z1204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04" s="6">
        <f>('TE BE'!$AB$21+'TE BF'!$AB$21+'TE CVA'!$AB$21)*(1-CUSTOS!$M$34)</f>
        <v>80.738691054204196</v>
      </c>
      <c r="AB1204" s="6">
        <f>$K$1204*$V$1204</f>
        <v>0</v>
      </c>
      <c r="AC1204" s="6">
        <f>$M$1204*$W$1204</f>
        <v>182981.06943999999</v>
      </c>
      <c r="AD1204" s="6">
        <f>$O$1204*$X$1204</f>
        <v>79950.721799999999</v>
      </c>
      <c r="AE1204" s="6">
        <f>$K$1204*$Y$1204</f>
        <v>0</v>
      </c>
      <c r="AF1204" s="6">
        <f ca="1">$M$1204*$Z$1204</f>
        <v>190252.80714177029</v>
      </c>
      <c r="AG1204" s="6">
        <f>$O$1204*$AA$1204</f>
        <v>104451.72535551502</v>
      </c>
    </row>
    <row r="1205" spans="1:33" ht="11.25" customHeight="1" x14ac:dyDescent="0.25">
      <c r="A1205" s="4" t="s">
        <v>27</v>
      </c>
      <c r="B1205" s="4" t="s">
        <v>22</v>
      </c>
      <c r="C1205" s="4" t="s">
        <v>23</v>
      </c>
      <c r="D1205" s="4" t="s">
        <v>24</v>
      </c>
      <c r="E1205" s="4" t="s">
        <v>31</v>
      </c>
      <c r="F1205" s="4" t="s">
        <v>25</v>
      </c>
      <c r="G1205" s="4" t="s">
        <v>25</v>
      </c>
      <c r="H1205" s="4" t="s">
        <v>25</v>
      </c>
      <c r="I1205" s="5">
        <v>44652</v>
      </c>
      <c r="J1205" s="6">
        <v>0</v>
      </c>
      <c r="K1205" s="6">
        <v>0</v>
      </c>
      <c r="L1205" s="6">
        <v>-1.2669999999999999</v>
      </c>
      <c r="M1205" s="6">
        <v>-1.2669999999999999</v>
      </c>
      <c r="N1205" s="6">
        <v>-1.2669999999999999</v>
      </c>
      <c r="O1205" s="6">
        <v>-1.2669999999999999</v>
      </c>
      <c r="P1205" s="6">
        <v>41</v>
      </c>
      <c r="Q1205" s="4" t="s">
        <v>26</v>
      </c>
      <c r="R1205" s="4">
        <v>0</v>
      </c>
      <c r="S1205" s="6">
        <v>0</v>
      </c>
      <c r="T1205" s="6">
        <v>40</v>
      </c>
      <c r="U1205" s="6">
        <v>84</v>
      </c>
      <c r="V1205" s="6">
        <f>IF(ISERROR(VLOOKUP($S$1205,'TAR FIN'!$A$1:$O$115,15,0)),0,VLOOKUP($S$1205,'TAR FIN'!$A$1:$O$115,15,0))</f>
        <v>0</v>
      </c>
      <c r="W1205" s="6">
        <f>IF(ISERROR(VLOOKUP($T$1205,'TAR FIN'!$A$1:$O$115,15,0)),0,VLOOKUP($T$1205,'TAR FIN'!$A$1:$O$115,15,0))</f>
        <v>141.44</v>
      </c>
      <c r="X1205" s="6">
        <f>IF(ISERROR(VLOOKUP($U$1205,'TAR FIN'!$A$1:$O$115,15,0)),0,VLOOKUP($U$1205,'TAR FIN'!$A$1:$O$115,15,0))</f>
        <v>61.8</v>
      </c>
      <c r="Y1205" s="6"/>
      <c r="Z1205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05" s="6">
        <f>('TE BE'!$AB$21+'TE BF'!$AB$21+'TE CVA'!$AB$21)*(1-CUSTOS!$M$34)</f>
        <v>80.738691054204196</v>
      </c>
      <c r="AB1205" s="6">
        <f>$K$1205*$V$1205</f>
        <v>0</v>
      </c>
      <c r="AC1205" s="6">
        <f>$M$1205*$W$1205</f>
        <v>-179.20447999999999</v>
      </c>
      <c r="AD1205" s="6">
        <f>$O$1205*$X$1205</f>
        <v>-78.300599999999989</v>
      </c>
      <c r="AE1205" s="6">
        <f>$K$1205*$Y$1205</f>
        <v>0</v>
      </c>
      <c r="AF1205" s="6">
        <f ca="1">$M$1205*$Z$1205</f>
        <v>-186.32613459263223</v>
      </c>
      <c r="AG1205" s="6">
        <f>$O$1205*$AA$1205</f>
        <v>-102.29592156567671</v>
      </c>
    </row>
    <row r="1206" spans="1:33" ht="11.25" customHeight="1" x14ac:dyDescent="0.25">
      <c r="A1206" s="4" t="s">
        <v>28</v>
      </c>
      <c r="B1206" s="4" t="s">
        <v>22</v>
      </c>
      <c r="C1206" s="4" t="s">
        <v>23</v>
      </c>
      <c r="D1206" s="4" t="s">
        <v>24</v>
      </c>
      <c r="E1206" s="4" t="s">
        <v>31</v>
      </c>
      <c r="F1206" s="4" t="s">
        <v>25</v>
      </c>
      <c r="G1206" s="4" t="s">
        <v>25</v>
      </c>
      <c r="H1206" s="4" t="s">
        <v>25</v>
      </c>
      <c r="I1206" s="5">
        <v>44652</v>
      </c>
      <c r="J1206" s="6">
        <v>0</v>
      </c>
      <c r="K1206" s="6">
        <v>0</v>
      </c>
      <c r="L1206" s="6">
        <v>629.86800000000005</v>
      </c>
      <c r="M1206" s="6">
        <v>629.86800000000005</v>
      </c>
      <c r="N1206" s="6">
        <v>629.86800000000005</v>
      </c>
      <c r="O1206" s="6">
        <v>629.86800000000005</v>
      </c>
      <c r="P1206" s="6">
        <v>1817</v>
      </c>
      <c r="Q1206" s="4" t="s">
        <v>26</v>
      </c>
      <c r="R1206" s="4">
        <v>0</v>
      </c>
      <c r="S1206" s="6">
        <v>0</v>
      </c>
      <c r="T1206" s="6">
        <v>40</v>
      </c>
      <c r="U1206" s="6">
        <v>84</v>
      </c>
      <c r="V1206" s="6">
        <f>IF(ISERROR(VLOOKUP($S$1206,'TAR FIN'!$A$1:$O$115,15,0)),0,VLOOKUP($S$1206,'TAR FIN'!$A$1:$O$115,15,0))</f>
        <v>0</v>
      </c>
      <c r="W1206" s="6">
        <f>IF(ISERROR(VLOOKUP($T$1206,'TAR FIN'!$A$1:$O$115,15,0)),0,VLOOKUP($T$1206,'TAR FIN'!$A$1:$O$115,15,0))</f>
        <v>141.44</v>
      </c>
      <c r="X1206" s="6">
        <f>IF(ISERROR(VLOOKUP($U$1206,'TAR FIN'!$A$1:$O$115,15,0)),0,VLOOKUP($U$1206,'TAR FIN'!$A$1:$O$115,15,0))</f>
        <v>61.8</v>
      </c>
      <c r="Y1206" s="6"/>
      <c r="Z1206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06" s="6">
        <f>('TE BE'!$AB$21+'TE BF'!$AB$21+'TE CVA'!$AB$21)*(1-CUSTOS!$M$34)</f>
        <v>80.738691054204196</v>
      </c>
      <c r="AB1206" s="6">
        <f>$K$1206*$V$1206</f>
        <v>0</v>
      </c>
      <c r="AC1206" s="6">
        <f>$M$1206*$W$1206</f>
        <v>89088.529920000001</v>
      </c>
      <c r="AD1206" s="6">
        <f>$O$1206*$X$1206</f>
        <v>38925.842400000001</v>
      </c>
      <c r="AE1206" s="6">
        <f>$K$1206*$Y$1206</f>
        <v>0</v>
      </c>
      <c r="AF1206" s="6">
        <f ca="1">$M$1206*$Z$1206</f>
        <v>92628.942181209233</v>
      </c>
      <c r="AG1206" s="6">
        <f>$O$1206*$AA$1206</f>
        <v>50854.717856929492</v>
      </c>
    </row>
    <row r="1207" spans="1:33" ht="11.25" customHeight="1" x14ac:dyDescent="0.25">
      <c r="A1207" s="4" t="s">
        <v>29</v>
      </c>
      <c r="B1207" s="4" t="s">
        <v>22</v>
      </c>
      <c r="C1207" s="4" t="s">
        <v>23</v>
      </c>
      <c r="D1207" s="4" t="s">
        <v>24</v>
      </c>
      <c r="E1207" s="4" t="s">
        <v>31</v>
      </c>
      <c r="F1207" s="4" t="s">
        <v>25</v>
      </c>
      <c r="G1207" s="4" t="s">
        <v>25</v>
      </c>
      <c r="H1207" s="4" t="s">
        <v>25</v>
      </c>
      <c r="I1207" s="5">
        <v>44652</v>
      </c>
      <c r="J1207" s="6">
        <v>0</v>
      </c>
      <c r="K1207" s="6">
        <v>0</v>
      </c>
      <c r="L1207" s="6">
        <v>0.79700000000000004</v>
      </c>
      <c r="M1207" s="6">
        <v>0.79700000000000004</v>
      </c>
      <c r="N1207" s="6">
        <v>0.79700000000000004</v>
      </c>
      <c r="O1207" s="6">
        <v>0.79700000000000004</v>
      </c>
      <c r="P1207" s="6">
        <v>99</v>
      </c>
      <c r="Q1207" s="4" t="s">
        <v>26</v>
      </c>
      <c r="R1207" s="4">
        <v>0</v>
      </c>
      <c r="S1207" s="6">
        <v>0</v>
      </c>
      <c r="T1207" s="6">
        <v>40</v>
      </c>
      <c r="U1207" s="6">
        <v>84</v>
      </c>
      <c r="V1207" s="6">
        <f>IF(ISERROR(VLOOKUP($S$1207,'TAR FIN'!$A$1:$O$115,15,0)),0,VLOOKUP($S$1207,'TAR FIN'!$A$1:$O$115,15,0))</f>
        <v>0</v>
      </c>
      <c r="W1207" s="6">
        <f>IF(ISERROR(VLOOKUP($T$1207,'TAR FIN'!$A$1:$O$115,15,0)),0,VLOOKUP($T$1207,'TAR FIN'!$A$1:$O$115,15,0))</f>
        <v>141.44</v>
      </c>
      <c r="X1207" s="6">
        <f>IF(ISERROR(VLOOKUP($U$1207,'TAR FIN'!$A$1:$O$115,15,0)),0,VLOOKUP($U$1207,'TAR FIN'!$A$1:$O$115,15,0))</f>
        <v>61.8</v>
      </c>
      <c r="Y1207" s="6"/>
      <c r="Z1207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07" s="6">
        <f>('TE BE'!$AB$21+'TE BF'!$AB$21+'TE CVA'!$AB$21)*(1-CUSTOS!$M$34)</f>
        <v>80.738691054204196</v>
      </c>
      <c r="AB1207" s="6">
        <f>$K$1207*$V$1207</f>
        <v>0</v>
      </c>
      <c r="AC1207" s="6">
        <f>$M$1207*$W$1207</f>
        <v>112.72768000000001</v>
      </c>
      <c r="AD1207" s="6">
        <f>$O$1207*$X$1207</f>
        <v>49.254600000000003</v>
      </c>
      <c r="AE1207" s="6">
        <f>$K$1207*$Y$1207</f>
        <v>0</v>
      </c>
      <c r="AF1207" s="6">
        <f ca="1">$M$1207*$Z$1207</f>
        <v>117.20752112890916</v>
      </c>
      <c r="AG1207" s="6">
        <f>$O$1207*$AA$1207</f>
        <v>64.348736770200745</v>
      </c>
    </row>
    <row r="1208" spans="1:33" ht="11.25" customHeight="1" x14ac:dyDescent="0.25">
      <c r="A1208" s="4" t="s">
        <v>30</v>
      </c>
      <c r="B1208" s="4" t="s">
        <v>22</v>
      </c>
      <c r="C1208" s="4" t="s">
        <v>23</v>
      </c>
      <c r="D1208" s="4" t="s">
        <v>24</v>
      </c>
      <c r="E1208" s="4" t="s">
        <v>31</v>
      </c>
      <c r="F1208" s="4" t="s">
        <v>25</v>
      </c>
      <c r="G1208" s="4" t="s">
        <v>25</v>
      </c>
      <c r="H1208" s="4" t="s">
        <v>25</v>
      </c>
      <c r="I1208" s="5">
        <v>44652</v>
      </c>
      <c r="J1208" s="6">
        <v>0</v>
      </c>
      <c r="K1208" s="6">
        <v>0</v>
      </c>
      <c r="L1208" s="6">
        <v>1.41</v>
      </c>
      <c r="M1208" s="6">
        <v>1.41</v>
      </c>
      <c r="N1208" s="6">
        <v>1.41</v>
      </c>
      <c r="O1208" s="6">
        <v>1.41</v>
      </c>
      <c r="P1208" s="6">
        <v>0</v>
      </c>
      <c r="Q1208" s="4" t="s">
        <v>26</v>
      </c>
      <c r="R1208" s="4">
        <v>0</v>
      </c>
      <c r="S1208" s="6">
        <v>0</v>
      </c>
      <c r="T1208" s="6">
        <v>40</v>
      </c>
      <c r="U1208" s="6">
        <v>84</v>
      </c>
      <c r="V1208" s="6">
        <f>IF(ISERROR(VLOOKUP($S$1208,'TAR FIN'!$A$1:$O$115,15,0)),0,VLOOKUP($S$1208,'TAR FIN'!$A$1:$O$115,15,0))</f>
        <v>0</v>
      </c>
      <c r="W1208" s="6">
        <f>IF(ISERROR(VLOOKUP($T$1208,'TAR FIN'!$A$1:$O$115,15,0)),0,VLOOKUP($T$1208,'TAR FIN'!$A$1:$O$115,15,0))</f>
        <v>141.44</v>
      </c>
      <c r="X1208" s="6">
        <f>IF(ISERROR(VLOOKUP($U$1208,'TAR FIN'!$A$1:$O$115,15,0)),0,VLOOKUP($U$1208,'TAR FIN'!$A$1:$O$115,15,0))</f>
        <v>61.8</v>
      </c>
      <c r="Y1208" s="6"/>
      <c r="Z1208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08" s="6">
        <f>('TE BE'!$AB$21+'TE BF'!$AB$21+'TE CVA'!$AB$21)*(1-CUSTOS!$M$34)</f>
        <v>80.738691054204196</v>
      </c>
      <c r="AB1208" s="6">
        <f>$K$1208*$V$1208</f>
        <v>0</v>
      </c>
      <c r="AC1208" s="6">
        <f>$M$1208*$W$1208</f>
        <v>199.43039999999999</v>
      </c>
      <c r="AD1208" s="6">
        <f>$O$1208*$X$1208</f>
        <v>87.137999999999991</v>
      </c>
      <c r="AE1208" s="6">
        <f>$K$1208*$Y$1208</f>
        <v>0</v>
      </c>
      <c r="AF1208" s="6">
        <f ca="1">$M$1208*$Z$1208</f>
        <v>207.35584039116927</v>
      </c>
      <c r="AG1208" s="6">
        <f>$O$1208*$AA$1208</f>
        <v>113.84155438642792</v>
      </c>
    </row>
    <row r="1209" spans="1:33" ht="11.25" customHeight="1" x14ac:dyDescent="0.25">
      <c r="A1209" s="4" t="s">
        <v>21</v>
      </c>
      <c r="B1209" s="4" t="s">
        <v>22</v>
      </c>
      <c r="C1209" s="4" t="s">
        <v>23</v>
      </c>
      <c r="D1209" s="4" t="s">
        <v>24</v>
      </c>
      <c r="E1209" s="4" t="s">
        <v>31</v>
      </c>
      <c r="F1209" s="4" t="s">
        <v>25</v>
      </c>
      <c r="G1209" s="4" t="s">
        <v>25</v>
      </c>
      <c r="H1209" s="4" t="s">
        <v>25</v>
      </c>
      <c r="I1209" s="5">
        <v>44682</v>
      </c>
      <c r="J1209" s="6">
        <v>0</v>
      </c>
      <c r="K1209" s="6">
        <v>0</v>
      </c>
      <c r="L1209" s="6">
        <v>1272.3420000000001</v>
      </c>
      <c r="M1209" s="6">
        <v>1272.3420000000001</v>
      </c>
      <c r="N1209" s="6">
        <v>1272.3420000000001</v>
      </c>
      <c r="O1209" s="6">
        <v>1272.3420000000001</v>
      </c>
      <c r="P1209" s="6">
        <v>2882</v>
      </c>
      <c r="Q1209" s="4" t="s">
        <v>26</v>
      </c>
      <c r="R1209" s="4">
        <v>0</v>
      </c>
      <c r="S1209" s="6">
        <v>0</v>
      </c>
      <c r="T1209" s="6">
        <v>40</v>
      </c>
      <c r="U1209" s="6">
        <v>84</v>
      </c>
      <c r="V1209" s="6">
        <f>IF(ISERROR(VLOOKUP($S$1209,'TAR FIN'!$A$1:$O$115,15,0)),0,VLOOKUP($S$1209,'TAR FIN'!$A$1:$O$115,15,0))</f>
        <v>0</v>
      </c>
      <c r="W1209" s="6">
        <f>IF(ISERROR(VLOOKUP($T$1209,'TAR FIN'!$A$1:$O$115,15,0)),0,VLOOKUP($T$1209,'TAR FIN'!$A$1:$O$115,15,0))</f>
        <v>141.44</v>
      </c>
      <c r="X1209" s="6">
        <f>IF(ISERROR(VLOOKUP($U$1209,'TAR FIN'!$A$1:$O$115,15,0)),0,VLOOKUP($U$1209,'TAR FIN'!$A$1:$O$115,15,0))</f>
        <v>61.8</v>
      </c>
      <c r="Y1209" s="6"/>
      <c r="Z1209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09" s="6">
        <f>('TE BE'!$AB$21+'TE BF'!$AB$21+'TE CVA'!$AB$21)*(1-CUSTOS!$M$34)</f>
        <v>80.738691054204196</v>
      </c>
      <c r="AB1209" s="6">
        <f>$K$1209*$V$1209</f>
        <v>0</v>
      </c>
      <c r="AC1209" s="6">
        <f>$M$1209*$W$1209</f>
        <v>179960.05248000001</v>
      </c>
      <c r="AD1209" s="6">
        <f>$O$1209*$X$1209</f>
        <v>78630.7356</v>
      </c>
      <c r="AE1209" s="6">
        <f>$K$1209*$Y$1209</f>
        <v>0</v>
      </c>
      <c r="AF1209" s="6">
        <f ca="1">$M$1209*$Z$1209</f>
        <v>187111.73381204336</v>
      </c>
      <c r="AG1209" s="6">
        <f>$O$1209*$AA$1209</f>
        <v>102727.22765328828</v>
      </c>
    </row>
    <row r="1210" spans="1:33" ht="11.25" customHeight="1" x14ac:dyDescent="0.25">
      <c r="A1210" s="4" t="s">
        <v>27</v>
      </c>
      <c r="B1210" s="4" t="s">
        <v>22</v>
      </c>
      <c r="C1210" s="4" t="s">
        <v>23</v>
      </c>
      <c r="D1210" s="4" t="s">
        <v>24</v>
      </c>
      <c r="E1210" s="4" t="s">
        <v>31</v>
      </c>
      <c r="F1210" s="4" t="s">
        <v>25</v>
      </c>
      <c r="G1210" s="4" t="s">
        <v>25</v>
      </c>
      <c r="H1210" s="4" t="s">
        <v>25</v>
      </c>
      <c r="I1210" s="5">
        <v>44682</v>
      </c>
      <c r="J1210" s="6">
        <v>0</v>
      </c>
      <c r="K1210" s="6">
        <v>0</v>
      </c>
      <c r="L1210" s="6">
        <v>-5.1760000000000002</v>
      </c>
      <c r="M1210" s="6">
        <v>-5.1760000000000002</v>
      </c>
      <c r="N1210" s="6">
        <v>-5.1760000000000002</v>
      </c>
      <c r="O1210" s="6">
        <v>-5.1760000000000002</v>
      </c>
      <c r="P1210" s="6">
        <v>23</v>
      </c>
      <c r="Q1210" s="4" t="s">
        <v>26</v>
      </c>
      <c r="R1210" s="4">
        <v>0</v>
      </c>
      <c r="S1210" s="6">
        <v>0</v>
      </c>
      <c r="T1210" s="6">
        <v>40</v>
      </c>
      <c r="U1210" s="6">
        <v>84</v>
      </c>
      <c r="V1210" s="6">
        <f>IF(ISERROR(VLOOKUP($S$1210,'TAR FIN'!$A$1:$O$115,15,0)),0,VLOOKUP($S$1210,'TAR FIN'!$A$1:$O$115,15,0))</f>
        <v>0</v>
      </c>
      <c r="W1210" s="6">
        <f>IF(ISERROR(VLOOKUP($T$1210,'TAR FIN'!$A$1:$O$115,15,0)),0,VLOOKUP($T$1210,'TAR FIN'!$A$1:$O$115,15,0))</f>
        <v>141.44</v>
      </c>
      <c r="X1210" s="6">
        <f>IF(ISERROR(VLOOKUP($U$1210,'TAR FIN'!$A$1:$O$115,15,0)),0,VLOOKUP($U$1210,'TAR FIN'!$A$1:$O$115,15,0))</f>
        <v>61.8</v>
      </c>
      <c r="Y1210" s="6"/>
      <c r="Z1210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10" s="6">
        <f>('TE BE'!$AB$21+'TE BF'!$AB$21+'TE CVA'!$AB$21)*(1-CUSTOS!$M$34)</f>
        <v>80.738691054204196</v>
      </c>
      <c r="AB1210" s="6">
        <f>$K$1210*$V$1210</f>
        <v>0</v>
      </c>
      <c r="AC1210" s="6">
        <f>$M$1210*$W$1210</f>
        <v>-732.09343999999999</v>
      </c>
      <c r="AD1210" s="6">
        <f>$O$1210*$X$1210</f>
        <v>-319.8768</v>
      </c>
      <c r="AE1210" s="6">
        <f>$K$1210*$Y$1210</f>
        <v>0</v>
      </c>
      <c r="AF1210" s="6">
        <f ca="1">$M$1210*$Z$1210</f>
        <v>-761.18711337921434</v>
      </c>
      <c r="AG1210" s="6">
        <f>$O$1210*$AA$1210</f>
        <v>-417.90346489656093</v>
      </c>
    </row>
    <row r="1211" spans="1:33" ht="11.25" customHeight="1" x14ac:dyDescent="0.25">
      <c r="A1211" s="4" t="s">
        <v>28</v>
      </c>
      <c r="B1211" s="4" t="s">
        <v>22</v>
      </c>
      <c r="C1211" s="4" t="s">
        <v>23</v>
      </c>
      <c r="D1211" s="4" t="s">
        <v>24</v>
      </c>
      <c r="E1211" s="4" t="s">
        <v>31</v>
      </c>
      <c r="F1211" s="4" t="s">
        <v>25</v>
      </c>
      <c r="G1211" s="4" t="s">
        <v>25</v>
      </c>
      <c r="H1211" s="4" t="s">
        <v>25</v>
      </c>
      <c r="I1211" s="5">
        <v>44682</v>
      </c>
      <c r="J1211" s="6">
        <v>0</v>
      </c>
      <c r="K1211" s="6">
        <v>0</v>
      </c>
      <c r="L1211" s="6">
        <v>621.33199999999999</v>
      </c>
      <c r="M1211" s="6">
        <v>621.33199999999999</v>
      </c>
      <c r="N1211" s="6">
        <v>621.33199999999999</v>
      </c>
      <c r="O1211" s="6">
        <v>621.33199999999999</v>
      </c>
      <c r="P1211" s="6">
        <v>1815</v>
      </c>
      <c r="Q1211" s="4" t="s">
        <v>26</v>
      </c>
      <c r="R1211" s="4">
        <v>0</v>
      </c>
      <c r="S1211" s="6">
        <v>0</v>
      </c>
      <c r="T1211" s="6">
        <v>40</v>
      </c>
      <c r="U1211" s="6">
        <v>84</v>
      </c>
      <c r="V1211" s="6">
        <f>IF(ISERROR(VLOOKUP($S$1211,'TAR FIN'!$A$1:$O$115,15,0)),0,VLOOKUP($S$1211,'TAR FIN'!$A$1:$O$115,15,0))</f>
        <v>0</v>
      </c>
      <c r="W1211" s="6">
        <f>IF(ISERROR(VLOOKUP($T$1211,'TAR FIN'!$A$1:$O$115,15,0)),0,VLOOKUP($T$1211,'TAR FIN'!$A$1:$O$115,15,0))</f>
        <v>141.44</v>
      </c>
      <c r="X1211" s="6">
        <f>IF(ISERROR(VLOOKUP($U$1211,'TAR FIN'!$A$1:$O$115,15,0)),0,VLOOKUP($U$1211,'TAR FIN'!$A$1:$O$115,15,0))</f>
        <v>61.8</v>
      </c>
      <c r="Y1211" s="6"/>
      <c r="Z1211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11" s="6">
        <f>('TE BE'!$AB$21+'TE BF'!$AB$21+'TE CVA'!$AB$21)*(1-CUSTOS!$M$34)</f>
        <v>80.738691054204196</v>
      </c>
      <c r="AB1211" s="6">
        <f>$K$1211*$V$1211</f>
        <v>0</v>
      </c>
      <c r="AC1211" s="6">
        <f>$M$1211*$W$1211</f>
        <v>87881.198080000002</v>
      </c>
      <c r="AD1211" s="6">
        <f>$O$1211*$X$1211</f>
        <v>38398.317599999995</v>
      </c>
      <c r="AE1211" s="6">
        <f>$K$1211*$Y$1211</f>
        <v>0</v>
      </c>
      <c r="AF1211" s="6">
        <f ca="1">$M$1211*$Z$1211</f>
        <v>91373.630512004253</v>
      </c>
      <c r="AG1211" s="6">
        <f>$O$1211*$AA$1211</f>
        <v>50165.532390090804</v>
      </c>
    </row>
    <row r="1212" spans="1:33" ht="11.25" customHeight="1" x14ac:dyDescent="0.25">
      <c r="A1212" s="4" t="s">
        <v>29</v>
      </c>
      <c r="B1212" s="4" t="s">
        <v>22</v>
      </c>
      <c r="C1212" s="4" t="s">
        <v>23</v>
      </c>
      <c r="D1212" s="4" t="s">
        <v>24</v>
      </c>
      <c r="E1212" s="4" t="s">
        <v>31</v>
      </c>
      <c r="F1212" s="4" t="s">
        <v>25</v>
      </c>
      <c r="G1212" s="4" t="s">
        <v>25</v>
      </c>
      <c r="H1212" s="4" t="s">
        <v>25</v>
      </c>
      <c r="I1212" s="5">
        <v>44682</v>
      </c>
      <c r="J1212" s="6">
        <v>0</v>
      </c>
      <c r="K1212" s="6">
        <v>0</v>
      </c>
      <c r="L1212" s="6">
        <v>4.4800000000000004</v>
      </c>
      <c r="M1212" s="6">
        <v>4.4800000000000004</v>
      </c>
      <c r="N1212" s="6">
        <v>4.4800000000000004</v>
      </c>
      <c r="O1212" s="6">
        <v>4.4800000000000004</v>
      </c>
      <c r="P1212" s="6">
        <v>112</v>
      </c>
      <c r="Q1212" s="4" t="s">
        <v>26</v>
      </c>
      <c r="R1212" s="4">
        <v>0</v>
      </c>
      <c r="S1212" s="6">
        <v>0</v>
      </c>
      <c r="T1212" s="6">
        <v>40</v>
      </c>
      <c r="U1212" s="6">
        <v>84</v>
      </c>
      <c r="V1212" s="6">
        <f>IF(ISERROR(VLOOKUP($S$1212,'TAR FIN'!$A$1:$O$115,15,0)),0,VLOOKUP($S$1212,'TAR FIN'!$A$1:$O$115,15,0))</f>
        <v>0</v>
      </c>
      <c r="W1212" s="6">
        <f>IF(ISERROR(VLOOKUP($T$1212,'TAR FIN'!$A$1:$O$115,15,0)),0,VLOOKUP($T$1212,'TAR FIN'!$A$1:$O$115,15,0))</f>
        <v>141.44</v>
      </c>
      <c r="X1212" s="6">
        <f>IF(ISERROR(VLOOKUP($U$1212,'TAR FIN'!$A$1:$O$115,15,0)),0,VLOOKUP($U$1212,'TAR FIN'!$A$1:$O$115,15,0))</f>
        <v>61.8</v>
      </c>
      <c r="Y1212" s="6"/>
      <c r="Z1212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12" s="6">
        <f>('TE BE'!$AB$21+'TE BF'!$AB$21+'TE CVA'!$AB$21)*(1-CUSTOS!$M$34)</f>
        <v>80.738691054204196</v>
      </c>
      <c r="AB1212" s="6">
        <f>$K$1212*$V$1212</f>
        <v>0</v>
      </c>
      <c r="AC1212" s="6">
        <f>$M$1212*$W$1212</f>
        <v>633.65120000000002</v>
      </c>
      <c r="AD1212" s="6">
        <f>$O$1212*$X$1212</f>
        <v>276.86400000000003</v>
      </c>
      <c r="AE1212" s="6">
        <f>$K$1212*$Y$1212</f>
        <v>0</v>
      </c>
      <c r="AF1212" s="6">
        <f ca="1">$M$1212*$Z$1212</f>
        <v>658.83274110102025</v>
      </c>
      <c r="AG1212" s="6">
        <f>$O$1212*$AA$1212</f>
        <v>361.70933592283484</v>
      </c>
    </row>
    <row r="1213" spans="1:33" ht="11.25" customHeight="1" x14ac:dyDescent="0.25">
      <c r="A1213" s="4" t="s">
        <v>30</v>
      </c>
      <c r="B1213" s="4" t="s">
        <v>22</v>
      </c>
      <c r="C1213" s="4" t="s">
        <v>23</v>
      </c>
      <c r="D1213" s="4" t="s">
        <v>24</v>
      </c>
      <c r="E1213" s="4" t="s">
        <v>31</v>
      </c>
      <c r="F1213" s="4" t="s">
        <v>25</v>
      </c>
      <c r="G1213" s="4" t="s">
        <v>25</v>
      </c>
      <c r="H1213" s="4" t="s">
        <v>25</v>
      </c>
      <c r="I1213" s="5">
        <v>44682</v>
      </c>
      <c r="J1213" s="6">
        <v>0</v>
      </c>
      <c r="K1213" s="6">
        <v>0</v>
      </c>
      <c r="L1213" s="6">
        <v>1.38</v>
      </c>
      <c r="M1213" s="6">
        <v>1.38</v>
      </c>
      <c r="N1213" s="6">
        <v>1.38</v>
      </c>
      <c r="O1213" s="6">
        <v>1.38</v>
      </c>
      <c r="P1213" s="6">
        <v>0</v>
      </c>
      <c r="Q1213" s="4" t="s">
        <v>26</v>
      </c>
      <c r="R1213" s="4">
        <v>0</v>
      </c>
      <c r="S1213" s="6">
        <v>0</v>
      </c>
      <c r="T1213" s="6">
        <v>40</v>
      </c>
      <c r="U1213" s="6">
        <v>84</v>
      </c>
      <c r="V1213" s="6">
        <f>IF(ISERROR(VLOOKUP($S$1213,'TAR FIN'!$A$1:$O$115,15,0)),0,VLOOKUP($S$1213,'TAR FIN'!$A$1:$O$115,15,0))</f>
        <v>0</v>
      </c>
      <c r="W1213" s="6">
        <f>IF(ISERROR(VLOOKUP($T$1213,'TAR FIN'!$A$1:$O$115,15,0)),0,VLOOKUP($T$1213,'TAR FIN'!$A$1:$O$115,15,0))</f>
        <v>141.44</v>
      </c>
      <c r="X1213" s="6">
        <f>IF(ISERROR(VLOOKUP($U$1213,'TAR FIN'!$A$1:$O$115,15,0)),0,VLOOKUP($U$1213,'TAR FIN'!$A$1:$O$115,15,0))</f>
        <v>61.8</v>
      </c>
      <c r="Y1213" s="6"/>
      <c r="Z1213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13" s="6">
        <f>('TE BE'!$AB$21+'TE BF'!$AB$21+'TE CVA'!$AB$21)*(1-CUSTOS!$M$34)</f>
        <v>80.738691054204196</v>
      </c>
      <c r="AB1213" s="6">
        <f>$K$1213*$V$1213</f>
        <v>0</v>
      </c>
      <c r="AC1213" s="6">
        <f>$M$1213*$W$1213</f>
        <v>195.18719999999999</v>
      </c>
      <c r="AD1213" s="6">
        <f>$O$1213*$X$1213</f>
        <v>85.283999999999992</v>
      </c>
      <c r="AE1213" s="6">
        <f>$K$1213*$Y$1213</f>
        <v>0</v>
      </c>
      <c r="AF1213" s="6">
        <f ca="1">$M$1213*$Z$1213</f>
        <v>202.94401399986779</v>
      </c>
      <c r="AG1213" s="6">
        <f>$O$1213*$AA$1213</f>
        <v>111.41939365480178</v>
      </c>
    </row>
    <row r="1214" spans="1:33" ht="11.25" customHeight="1" x14ac:dyDescent="0.25">
      <c r="A1214" s="4" t="s">
        <v>21</v>
      </c>
      <c r="B1214" s="4" t="s">
        <v>22</v>
      </c>
      <c r="C1214" s="4" t="s">
        <v>23</v>
      </c>
      <c r="D1214" s="4" t="s">
        <v>24</v>
      </c>
      <c r="E1214" s="4" t="s">
        <v>31</v>
      </c>
      <c r="F1214" s="4" t="s">
        <v>25</v>
      </c>
      <c r="G1214" s="4" t="s">
        <v>25</v>
      </c>
      <c r="H1214" s="4" t="s">
        <v>25</v>
      </c>
      <c r="I1214" s="5">
        <v>44713</v>
      </c>
      <c r="J1214" s="6">
        <v>0</v>
      </c>
      <c r="K1214" s="6">
        <v>0</v>
      </c>
      <c r="L1214" s="6">
        <v>1297.2560000000001</v>
      </c>
      <c r="M1214" s="6">
        <v>1297.2560000000001</v>
      </c>
      <c r="N1214" s="6">
        <v>1297.2560000000001</v>
      </c>
      <c r="O1214" s="6">
        <v>1297.2560000000001</v>
      </c>
      <c r="P1214" s="6">
        <v>3032</v>
      </c>
      <c r="Q1214" s="4" t="s">
        <v>26</v>
      </c>
      <c r="R1214" s="4">
        <v>0</v>
      </c>
      <c r="S1214" s="6">
        <v>0</v>
      </c>
      <c r="T1214" s="6">
        <v>40</v>
      </c>
      <c r="U1214" s="6">
        <v>84</v>
      </c>
      <c r="V1214" s="6">
        <f>IF(ISERROR(VLOOKUP($S$1214,'TAR FIN'!$A$1:$O$115,15,0)),0,VLOOKUP($S$1214,'TAR FIN'!$A$1:$O$115,15,0))</f>
        <v>0</v>
      </c>
      <c r="W1214" s="6">
        <f>IF(ISERROR(VLOOKUP($T$1214,'TAR FIN'!$A$1:$O$115,15,0)),0,VLOOKUP($T$1214,'TAR FIN'!$A$1:$O$115,15,0))</f>
        <v>141.44</v>
      </c>
      <c r="X1214" s="6">
        <f>IF(ISERROR(VLOOKUP($U$1214,'TAR FIN'!$A$1:$O$115,15,0)),0,VLOOKUP($U$1214,'TAR FIN'!$A$1:$O$115,15,0))</f>
        <v>61.8</v>
      </c>
      <c r="Y1214" s="6"/>
      <c r="Z1214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14" s="6">
        <f>('TE BE'!$AB$21+'TE BF'!$AB$21+'TE CVA'!$AB$21)*(1-CUSTOS!$M$34)</f>
        <v>80.738691054204196</v>
      </c>
      <c r="AB1214" s="6">
        <f>$K$1214*$V$1214</f>
        <v>0</v>
      </c>
      <c r="AC1214" s="6">
        <f>$M$1214*$W$1214</f>
        <v>183483.88864000002</v>
      </c>
      <c r="AD1214" s="6">
        <f>$O$1214*$X$1214</f>
        <v>80170.420800000007</v>
      </c>
      <c r="AE1214" s="6">
        <f>$K$1214*$Y$1214</f>
        <v>0</v>
      </c>
      <c r="AF1214" s="6">
        <f ca="1">$M$1214*$Z$1214</f>
        <v>190775.60856913953</v>
      </c>
      <c r="AG1214" s="6">
        <f>$O$1214*$AA$1214</f>
        <v>104738.75140221273</v>
      </c>
    </row>
    <row r="1215" spans="1:33" ht="11.25" customHeight="1" x14ac:dyDescent="0.25">
      <c r="A1215" s="4" t="s">
        <v>27</v>
      </c>
      <c r="B1215" s="4" t="s">
        <v>22</v>
      </c>
      <c r="C1215" s="4" t="s">
        <v>23</v>
      </c>
      <c r="D1215" s="4" t="s">
        <v>24</v>
      </c>
      <c r="E1215" s="4" t="s">
        <v>31</v>
      </c>
      <c r="F1215" s="4" t="s">
        <v>25</v>
      </c>
      <c r="G1215" s="4" t="s">
        <v>25</v>
      </c>
      <c r="H1215" s="4" t="s">
        <v>25</v>
      </c>
      <c r="I1215" s="5">
        <v>44713</v>
      </c>
      <c r="J1215" s="6">
        <v>0</v>
      </c>
      <c r="K1215" s="6">
        <v>0</v>
      </c>
      <c r="L1215" s="6">
        <v>6.46</v>
      </c>
      <c r="M1215" s="6">
        <v>6.46</v>
      </c>
      <c r="N1215" s="6">
        <v>6.46</v>
      </c>
      <c r="O1215" s="6">
        <v>6.46</v>
      </c>
      <c r="P1215" s="6">
        <v>48</v>
      </c>
      <c r="Q1215" s="4" t="s">
        <v>26</v>
      </c>
      <c r="R1215" s="4">
        <v>0</v>
      </c>
      <c r="S1215" s="6">
        <v>0</v>
      </c>
      <c r="T1215" s="6">
        <v>40</v>
      </c>
      <c r="U1215" s="6">
        <v>84</v>
      </c>
      <c r="V1215" s="6">
        <f>IF(ISERROR(VLOOKUP($S$1215,'TAR FIN'!$A$1:$O$115,15,0)),0,VLOOKUP($S$1215,'TAR FIN'!$A$1:$O$115,15,0))</f>
        <v>0</v>
      </c>
      <c r="W1215" s="6">
        <f>IF(ISERROR(VLOOKUP($T$1215,'TAR FIN'!$A$1:$O$115,15,0)),0,VLOOKUP($T$1215,'TAR FIN'!$A$1:$O$115,15,0))</f>
        <v>141.44</v>
      </c>
      <c r="X1215" s="6">
        <f>IF(ISERROR(VLOOKUP($U$1215,'TAR FIN'!$A$1:$O$115,15,0)),0,VLOOKUP($U$1215,'TAR FIN'!$A$1:$O$115,15,0))</f>
        <v>61.8</v>
      </c>
      <c r="Y1215" s="6"/>
      <c r="Z1215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15" s="6">
        <f>('TE BE'!$AB$21+'TE BF'!$AB$21+'TE CVA'!$AB$21)*(1-CUSTOS!$M$34)</f>
        <v>80.738691054204196</v>
      </c>
      <c r="AB1215" s="6">
        <f>$K$1215*$V$1215</f>
        <v>0</v>
      </c>
      <c r="AC1215" s="6">
        <f>$M$1215*$W$1215</f>
        <v>913.70240000000001</v>
      </c>
      <c r="AD1215" s="6">
        <f>$O$1215*$X$1215</f>
        <v>399.22799999999995</v>
      </c>
      <c r="AE1215" s="6">
        <f>$K$1215*$Y$1215</f>
        <v>0</v>
      </c>
      <c r="AF1215" s="6">
        <f ca="1">$M$1215*$Z$1215</f>
        <v>950.01328292691744</v>
      </c>
      <c r="AG1215" s="6">
        <f>$O$1215*$AA$1215</f>
        <v>521.57194421015913</v>
      </c>
    </row>
    <row r="1216" spans="1:33" ht="11.25" customHeight="1" x14ac:dyDescent="0.25">
      <c r="A1216" s="4" t="s">
        <v>28</v>
      </c>
      <c r="B1216" s="4" t="s">
        <v>22</v>
      </c>
      <c r="C1216" s="4" t="s">
        <v>23</v>
      </c>
      <c r="D1216" s="4" t="s">
        <v>24</v>
      </c>
      <c r="E1216" s="4" t="s">
        <v>31</v>
      </c>
      <c r="F1216" s="4" t="s">
        <v>25</v>
      </c>
      <c r="G1216" s="4" t="s">
        <v>25</v>
      </c>
      <c r="H1216" s="4" t="s">
        <v>25</v>
      </c>
      <c r="I1216" s="5">
        <v>44713</v>
      </c>
      <c r="J1216" s="6">
        <v>0</v>
      </c>
      <c r="K1216" s="6">
        <v>0</v>
      </c>
      <c r="L1216" s="6">
        <v>629.74400000000003</v>
      </c>
      <c r="M1216" s="6">
        <v>629.74400000000003</v>
      </c>
      <c r="N1216" s="6">
        <v>629.74400000000003</v>
      </c>
      <c r="O1216" s="6">
        <v>629.74400000000003</v>
      </c>
      <c r="P1216" s="6">
        <v>1821</v>
      </c>
      <c r="Q1216" s="4" t="s">
        <v>26</v>
      </c>
      <c r="R1216" s="4">
        <v>0</v>
      </c>
      <c r="S1216" s="6">
        <v>0</v>
      </c>
      <c r="T1216" s="6">
        <v>40</v>
      </c>
      <c r="U1216" s="6">
        <v>84</v>
      </c>
      <c r="V1216" s="6">
        <f>IF(ISERROR(VLOOKUP($S$1216,'TAR FIN'!$A$1:$O$115,15,0)),0,VLOOKUP($S$1216,'TAR FIN'!$A$1:$O$115,15,0))</f>
        <v>0</v>
      </c>
      <c r="W1216" s="6">
        <f>IF(ISERROR(VLOOKUP($T$1216,'TAR FIN'!$A$1:$O$115,15,0)),0,VLOOKUP($T$1216,'TAR FIN'!$A$1:$O$115,15,0))</f>
        <v>141.44</v>
      </c>
      <c r="X1216" s="6">
        <f>IF(ISERROR(VLOOKUP($U$1216,'TAR FIN'!$A$1:$O$115,15,0)),0,VLOOKUP($U$1216,'TAR FIN'!$A$1:$O$115,15,0))</f>
        <v>61.8</v>
      </c>
      <c r="Y1216" s="6"/>
      <c r="Z1216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16" s="6">
        <f>('TE BE'!$AB$21+'TE BF'!$AB$21+'TE CVA'!$AB$21)*(1-CUSTOS!$M$34)</f>
        <v>80.738691054204196</v>
      </c>
      <c r="AB1216" s="6">
        <f>$K$1216*$V$1216</f>
        <v>0</v>
      </c>
      <c r="AC1216" s="6">
        <f>$M$1216*$W$1216</f>
        <v>89070.99136</v>
      </c>
      <c r="AD1216" s="6">
        <f>$O$1216*$X$1216</f>
        <v>38918.179199999999</v>
      </c>
      <c r="AE1216" s="6">
        <f>$K$1216*$Y$1216</f>
        <v>0</v>
      </c>
      <c r="AF1216" s="6">
        <f ca="1">$M$1216*$Z$1216</f>
        <v>92610.706632125191</v>
      </c>
      <c r="AG1216" s="6">
        <f>$O$1216*$AA$1216</f>
        <v>50844.706259238767</v>
      </c>
    </row>
    <row r="1217" spans="1:33" ht="11.25" customHeight="1" x14ac:dyDescent="0.25">
      <c r="A1217" s="4" t="s">
        <v>29</v>
      </c>
      <c r="B1217" s="4" t="s">
        <v>22</v>
      </c>
      <c r="C1217" s="4" t="s">
        <v>23</v>
      </c>
      <c r="D1217" s="4" t="s">
        <v>24</v>
      </c>
      <c r="E1217" s="4" t="s">
        <v>31</v>
      </c>
      <c r="F1217" s="4" t="s">
        <v>25</v>
      </c>
      <c r="G1217" s="4" t="s">
        <v>25</v>
      </c>
      <c r="H1217" s="4" t="s">
        <v>25</v>
      </c>
      <c r="I1217" s="5">
        <v>44713</v>
      </c>
      <c r="J1217" s="6">
        <v>0</v>
      </c>
      <c r="K1217" s="6">
        <v>0</v>
      </c>
      <c r="L1217" s="6">
        <v>1.1140000000000001</v>
      </c>
      <c r="M1217" s="6">
        <v>1.1140000000000001</v>
      </c>
      <c r="N1217" s="6">
        <v>1.1140000000000001</v>
      </c>
      <c r="O1217" s="6">
        <v>1.1140000000000001</v>
      </c>
      <c r="P1217" s="6">
        <v>10</v>
      </c>
      <c r="Q1217" s="4" t="s">
        <v>26</v>
      </c>
      <c r="R1217" s="4">
        <v>0</v>
      </c>
      <c r="S1217" s="6">
        <v>0</v>
      </c>
      <c r="T1217" s="6">
        <v>40</v>
      </c>
      <c r="U1217" s="6">
        <v>84</v>
      </c>
      <c r="V1217" s="6">
        <f>IF(ISERROR(VLOOKUP($S$1217,'TAR FIN'!$A$1:$O$115,15,0)),0,VLOOKUP($S$1217,'TAR FIN'!$A$1:$O$115,15,0))</f>
        <v>0</v>
      </c>
      <c r="W1217" s="6">
        <f>IF(ISERROR(VLOOKUP($T$1217,'TAR FIN'!$A$1:$O$115,15,0)),0,VLOOKUP($T$1217,'TAR FIN'!$A$1:$O$115,15,0))</f>
        <v>141.44</v>
      </c>
      <c r="X1217" s="6">
        <f>IF(ISERROR(VLOOKUP($U$1217,'TAR FIN'!$A$1:$O$115,15,0)),0,VLOOKUP($U$1217,'TAR FIN'!$A$1:$O$115,15,0))</f>
        <v>61.8</v>
      </c>
      <c r="Y1217" s="6"/>
      <c r="Z1217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17" s="6">
        <f>('TE BE'!$AB$21+'TE BF'!$AB$21+'TE CVA'!$AB$21)*(1-CUSTOS!$M$34)</f>
        <v>80.738691054204196</v>
      </c>
      <c r="AB1217" s="6">
        <f>$K$1217*$V$1217</f>
        <v>0</v>
      </c>
      <c r="AC1217" s="6">
        <f>$M$1217*$W$1217</f>
        <v>157.56416000000002</v>
      </c>
      <c r="AD1217" s="6">
        <f>$O$1217*$X$1217</f>
        <v>68.845200000000006</v>
      </c>
      <c r="AE1217" s="6">
        <f>$K$1217*$Y$1217</f>
        <v>0</v>
      </c>
      <c r="AF1217" s="6">
        <f ca="1">$M$1217*$Z$1217</f>
        <v>163.82581999699474</v>
      </c>
      <c r="AG1217" s="6">
        <f>$O$1217*$AA$1217</f>
        <v>89.942901834383477</v>
      </c>
    </row>
    <row r="1218" spans="1:33" ht="11.25" customHeight="1" x14ac:dyDescent="0.25">
      <c r="A1218" s="4" t="s">
        <v>30</v>
      </c>
      <c r="B1218" s="4" t="s">
        <v>22</v>
      </c>
      <c r="C1218" s="4" t="s">
        <v>23</v>
      </c>
      <c r="D1218" s="4" t="s">
        <v>24</v>
      </c>
      <c r="E1218" s="4" t="s">
        <v>31</v>
      </c>
      <c r="F1218" s="4" t="s">
        <v>25</v>
      </c>
      <c r="G1218" s="4" t="s">
        <v>25</v>
      </c>
      <c r="H1218" s="4" t="s">
        <v>25</v>
      </c>
      <c r="I1218" s="5">
        <v>44713</v>
      </c>
      <c r="J1218" s="6">
        <v>0</v>
      </c>
      <c r="K1218" s="6">
        <v>0</v>
      </c>
      <c r="L1218" s="6">
        <v>1.44</v>
      </c>
      <c r="M1218" s="6">
        <v>1.44</v>
      </c>
      <c r="N1218" s="6">
        <v>1.44</v>
      </c>
      <c r="O1218" s="6">
        <v>1.44</v>
      </c>
      <c r="P1218" s="6">
        <v>0</v>
      </c>
      <c r="Q1218" s="4" t="s">
        <v>26</v>
      </c>
      <c r="R1218" s="4">
        <v>0</v>
      </c>
      <c r="S1218" s="6">
        <v>0</v>
      </c>
      <c r="T1218" s="6">
        <v>40</v>
      </c>
      <c r="U1218" s="6">
        <v>84</v>
      </c>
      <c r="V1218" s="6">
        <f>IF(ISERROR(VLOOKUP($S$1218,'TAR FIN'!$A$1:$O$115,15,0)),0,VLOOKUP($S$1218,'TAR FIN'!$A$1:$O$115,15,0))</f>
        <v>0</v>
      </c>
      <c r="W1218" s="6">
        <f>IF(ISERROR(VLOOKUP($T$1218,'TAR FIN'!$A$1:$O$115,15,0)),0,VLOOKUP($T$1218,'TAR FIN'!$A$1:$O$115,15,0))</f>
        <v>141.44</v>
      </c>
      <c r="X1218" s="6">
        <f>IF(ISERROR(VLOOKUP($U$1218,'TAR FIN'!$A$1:$O$115,15,0)),0,VLOOKUP($U$1218,'TAR FIN'!$A$1:$O$115,15,0))</f>
        <v>61.8</v>
      </c>
      <c r="Y1218" s="6"/>
      <c r="Z1218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18" s="6">
        <f>('TE BE'!$AB$21+'TE BF'!$AB$21+'TE CVA'!$AB$21)*(1-CUSTOS!$M$34)</f>
        <v>80.738691054204196</v>
      </c>
      <c r="AB1218" s="6">
        <f>$K$1218*$V$1218</f>
        <v>0</v>
      </c>
      <c r="AC1218" s="6">
        <f>$M$1218*$W$1218</f>
        <v>203.67359999999999</v>
      </c>
      <c r="AD1218" s="6">
        <f>$O$1218*$X$1218</f>
        <v>88.99199999999999</v>
      </c>
      <c r="AE1218" s="6">
        <f>$K$1218*$Y$1218</f>
        <v>0</v>
      </c>
      <c r="AF1218" s="6">
        <f ca="1">$M$1218*$Z$1218</f>
        <v>211.76766678247074</v>
      </c>
      <c r="AG1218" s="6">
        <f>$O$1218*$AA$1218</f>
        <v>116.26371511805404</v>
      </c>
    </row>
    <row r="1219" spans="1:33" ht="11.25" customHeight="1" x14ac:dyDescent="0.25">
      <c r="A1219" s="4" t="s">
        <v>21</v>
      </c>
      <c r="B1219" s="4" t="s">
        <v>22</v>
      </c>
      <c r="C1219" s="4" t="s">
        <v>23</v>
      </c>
      <c r="D1219" s="4" t="s">
        <v>24</v>
      </c>
      <c r="E1219" s="4" t="s">
        <v>31</v>
      </c>
      <c r="F1219" s="4" t="s">
        <v>25</v>
      </c>
      <c r="G1219" s="4" t="s">
        <v>25</v>
      </c>
      <c r="H1219" s="4" t="s">
        <v>25</v>
      </c>
      <c r="I1219" s="5">
        <v>44743</v>
      </c>
      <c r="J1219" s="6">
        <v>0</v>
      </c>
      <c r="K1219" s="6">
        <v>0</v>
      </c>
      <c r="L1219" s="6">
        <v>1337.239</v>
      </c>
      <c r="M1219" s="6">
        <v>1337.239</v>
      </c>
      <c r="N1219" s="6">
        <v>1337.239</v>
      </c>
      <c r="O1219" s="6">
        <v>1337.239</v>
      </c>
      <c r="P1219" s="6">
        <v>3072</v>
      </c>
      <c r="Q1219" s="4" t="s">
        <v>26</v>
      </c>
      <c r="R1219" s="4">
        <v>0</v>
      </c>
      <c r="S1219" s="6">
        <v>0</v>
      </c>
      <c r="T1219" s="6">
        <v>40</v>
      </c>
      <c r="U1219" s="6">
        <v>84</v>
      </c>
      <c r="V1219" s="6">
        <f>IF(ISERROR(VLOOKUP($S$1219,'TAR FIN'!$A$1:$O$115,15,0)),0,VLOOKUP($S$1219,'TAR FIN'!$A$1:$O$115,15,0))</f>
        <v>0</v>
      </c>
      <c r="W1219" s="6">
        <f>IF(ISERROR(VLOOKUP($T$1219,'TAR FIN'!$A$1:$O$115,15,0)),0,VLOOKUP($T$1219,'TAR FIN'!$A$1:$O$115,15,0))</f>
        <v>141.44</v>
      </c>
      <c r="X1219" s="6">
        <f>IF(ISERROR(VLOOKUP($U$1219,'TAR FIN'!$A$1:$O$115,15,0)),0,VLOOKUP($U$1219,'TAR FIN'!$A$1:$O$115,15,0))</f>
        <v>61.8</v>
      </c>
      <c r="Y1219" s="6"/>
      <c r="Z1219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19" s="6">
        <f>('TE BE'!$AB$21+'TE BF'!$AB$21+'TE CVA'!$AB$21)*(1-CUSTOS!$M$34)</f>
        <v>80.738691054204196</v>
      </c>
      <c r="AB1219" s="6">
        <f>$K$1219*$V$1219</f>
        <v>0</v>
      </c>
      <c r="AC1219" s="6">
        <f>$M$1219*$W$1219</f>
        <v>189139.08416</v>
      </c>
      <c r="AD1219" s="6">
        <f>$O$1219*$X$1219</f>
        <v>82641.370200000005</v>
      </c>
      <c r="AE1219" s="6">
        <f>$K$1219*$Y$1219</f>
        <v>0</v>
      </c>
      <c r="AF1219" s="6">
        <f ca="1">$M$1219*$Z$1219</f>
        <v>196655.54372258642</v>
      </c>
      <c r="AG1219" s="6">
        <f>$O$1219*$AA$1219</f>
        <v>107966.92648663296</v>
      </c>
    </row>
    <row r="1220" spans="1:33" ht="11.25" customHeight="1" x14ac:dyDescent="0.25">
      <c r="A1220" s="4" t="s">
        <v>27</v>
      </c>
      <c r="B1220" s="4" t="s">
        <v>22</v>
      </c>
      <c r="C1220" s="4" t="s">
        <v>23</v>
      </c>
      <c r="D1220" s="4" t="s">
        <v>24</v>
      </c>
      <c r="E1220" s="4" t="s">
        <v>31</v>
      </c>
      <c r="F1220" s="4" t="s">
        <v>25</v>
      </c>
      <c r="G1220" s="4" t="s">
        <v>25</v>
      </c>
      <c r="H1220" s="4" t="s">
        <v>25</v>
      </c>
      <c r="I1220" s="5">
        <v>44743</v>
      </c>
      <c r="J1220" s="6">
        <v>0</v>
      </c>
      <c r="K1220" s="6">
        <v>0</v>
      </c>
      <c r="L1220" s="6">
        <v>10.766</v>
      </c>
      <c r="M1220" s="6">
        <v>10.766</v>
      </c>
      <c r="N1220" s="6">
        <v>10.766</v>
      </c>
      <c r="O1220" s="6">
        <v>10.766</v>
      </c>
      <c r="P1220" s="6">
        <v>61</v>
      </c>
      <c r="Q1220" s="4" t="s">
        <v>26</v>
      </c>
      <c r="R1220" s="4">
        <v>0</v>
      </c>
      <c r="S1220" s="6">
        <v>0</v>
      </c>
      <c r="T1220" s="6">
        <v>40</v>
      </c>
      <c r="U1220" s="6">
        <v>84</v>
      </c>
      <c r="V1220" s="6">
        <f>IF(ISERROR(VLOOKUP($S$1220,'TAR FIN'!$A$1:$O$115,15,0)),0,VLOOKUP($S$1220,'TAR FIN'!$A$1:$O$115,15,0))</f>
        <v>0</v>
      </c>
      <c r="W1220" s="6">
        <f>IF(ISERROR(VLOOKUP($T$1220,'TAR FIN'!$A$1:$O$115,15,0)),0,VLOOKUP($T$1220,'TAR FIN'!$A$1:$O$115,15,0))</f>
        <v>141.44</v>
      </c>
      <c r="X1220" s="6">
        <f>IF(ISERROR(VLOOKUP($U$1220,'TAR FIN'!$A$1:$O$115,15,0)),0,VLOOKUP($U$1220,'TAR FIN'!$A$1:$O$115,15,0))</f>
        <v>61.8</v>
      </c>
      <c r="Y1220" s="6"/>
      <c r="Z1220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20" s="6">
        <f>('TE BE'!$AB$21+'TE BF'!$AB$21+'TE CVA'!$AB$21)*(1-CUSTOS!$M$34)</f>
        <v>80.738691054204196</v>
      </c>
      <c r="AB1220" s="6">
        <f>$K$1220*$V$1220</f>
        <v>0</v>
      </c>
      <c r="AC1220" s="6">
        <f>$M$1220*$W$1220</f>
        <v>1522.7430400000001</v>
      </c>
      <c r="AD1220" s="6">
        <f>$O$1220*$X$1220</f>
        <v>665.33879999999999</v>
      </c>
      <c r="AE1220" s="6">
        <f>$K$1220*$Y$1220</f>
        <v>0</v>
      </c>
      <c r="AF1220" s="6">
        <f ca="1">$M$1220*$Z$1220</f>
        <v>1583.257430958389</v>
      </c>
      <c r="AG1220" s="6">
        <f>$O$1220*$AA$1220</f>
        <v>869.23274788956235</v>
      </c>
    </row>
    <row r="1221" spans="1:33" ht="11.25" customHeight="1" x14ac:dyDescent="0.25">
      <c r="A1221" s="4" t="s">
        <v>28</v>
      </c>
      <c r="B1221" s="4" t="s">
        <v>22</v>
      </c>
      <c r="C1221" s="4" t="s">
        <v>23</v>
      </c>
      <c r="D1221" s="4" t="s">
        <v>24</v>
      </c>
      <c r="E1221" s="4" t="s">
        <v>31</v>
      </c>
      <c r="F1221" s="4" t="s">
        <v>25</v>
      </c>
      <c r="G1221" s="4" t="s">
        <v>25</v>
      </c>
      <c r="H1221" s="4" t="s">
        <v>25</v>
      </c>
      <c r="I1221" s="5">
        <v>44743</v>
      </c>
      <c r="J1221" s="6">
        <v>0</v>
      </c>
      <c r="K1221" s="6">
        <v>0</v>
      </c>
      <c r="L1221" s="6">
        <v>650.20100000000002</v>
      </c>
      <c r="M1221" s="6">
        <v>650.20100000000002</v>
      </c>
      <c r="N1221" s="6">
        <v>650.20100000000002</v>
      </c>
      <c r="O1221" s="6">
        <v>650.20100000000002</v>
      </c>
      <c r="P1221" s="6">
        <v>1741</v>
      </c>
      <c r="Q1221" s="4" t="s">
        <v>26</v>
      </c>
      <c r="R1221" s="4">
        <v>0</v>
      </c>
      <c r="S1221" s="6">
        <v>0</v>
      </c>
      <c r="T1221" s="6">
        <v>40</v>
      </c>
      <c r="U1221" s="6">
        <v>84</v>
      </c>
      <c r="V1221" s="6">
        <f>IF(ISERROR(VLOOKUP($S$1221,'TAR FIN'!$A$1:$O$115,15,0)),0,VLOOKUP($S$1221,'TAR FIN'!$A$1:$O$115,15,0))</f>
        <v>0</v>
      </c>
      <c r="W1221" s="6">
        <f>IF(ISERROR(VLOOKUP($T$1221,'TAR FIN'!$A$1:$O$115,15,0)),0,VLOOKUP($T$1221,'TAR FIN'!$A$1:$O$115,15,0))</f>
        <v>141.44</v>
      </c>
      <c r="X1221" s="6">
        <f>IF(ISERROR(VLOOKUP($U$1221,'TAR FIN'!$A$1:$O$115,15,0)),0,VLOOKUP($U$1221,'TAR FIN'!$A$1:$O$115,15,0))</f>
        <v>61.8</v>
      </c>
      <c r="Y1221" s="6"/>
      <c r="Z1221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21" s="6">
        <f>('TE BE'!$AB$21+'TE BF'!$AB$21+'TE CVA'!$AB$21)*(1-CUSTOS!$M$34)</f>
        <v>80.738691054204196</v>
      </c>
      <c r="AB1221" s="6">
        <f>$K$1221*$V$1221</f>
        <v>0</v>
      </c>
      <c r="AC1221" s="6">
        <f>$M$1221*$W$1221</f>
        <v>91964.429440000007</v>
      </c>
      <c r="AD1221" s="6">
        <f>$O$1221*$X$1221</f>
        <v>40182.421799999996</v>
      </c>
      <c r="AE1221" s="6">
        <f>$K$1221*$Y$1221</f>
        <v>0</v>
      </c>
      <c r="AF1221" s="6">
        <f ca="1">$M$1221*$Z$1221</f>
        <v>95619.131048353665</v>
      </c>
      <c r="AG1221" s="6">
        <f>$O$1221*$AA$1221</f>
        <v>52496.377662134626</v>
      </c>
    </row>
    <row r="1222" spans="1:33" ht="11.25" customHeight="1" x14ac:dyDescent="0.25">
      <c r="A1222" s="4" t="s">
        <v>29</v>
      </c>
      <c r="B1222" s="4" t="s">
        <v>22</v>
      </c>
      <c r="C1222" s="4" t="s">
        <v>23</v>
      </c>
      <c r="D1222" s="4" t="s">
        <v>24</v>
      </c>
      <c r="E1222" s="4" t="s">
        <v>31</v>
      </c>
      <c r="F1222" s="4" t="s">
        <v>25</v>
      </c>
      <c r="G1222" s="4" t="s">
        <v>25</v>
      </c>
      <c r="H1222" s="4" t="s">
        <v>25</v>
      </c>
      <c r="I1222" s="5">
        <v>44743</v>
      </c>
      <c r="J1222" s="6">
        <v>0</v>
      </c>
      <c r="K1222" s="6">
        <v>0</v>
      </c>
      <c r="L1222" s="6">
        <v>0.53400000000000003</v>
      </c>
      <c r="M1222" s="6">
        <v>0.53400000000000003</v>
      </c>
      <c r="N1222" s="6">
        <v>0.53400000000000003</v>
      </c>
      <c r="O1222" s="6">
        <v>0.53400000000000003</v>
      </c>
      <c r="P1222" s="6">
        <v>15</v>
      </c>
      <c r="Q1222" s="4" t="s">
        <v>26</v>
      </c>
      <c r="R1222" s="4">
        <v>0</v>
      </c>
      <c r="S1222" s="6">
        <v>0</v>
      </c>
      <c r="T1222" s="6">
        <v>40</v>
      </c>
      <c r="U1222" s="6">
        <v>84</v>
      </c>
      <c r="V1222" s="6">
        <f>IF(ISERROR(VLOOKUP($S$1222,'TAR FIN'!$A$1:$O$115,15,0)),0,VLOOKUP($S$1222,'TAR FIN'!$A$1:$O$115,15,0))</f>
        <v>0</v>
      </c>
      <c r="W1222" s="6">
        <f>IF(ISERROR(VLOOKUP($T$1222,'TAR FIN'!$A$1:$O$115,15,0)),0,VLOOKUP($T$1222,'TAR FIN'!$A$1:$O$115,15,0))</f>
        <v>141.44</v>
      </c>
      <c r="X1222" s="6">
        <f>IF(ISERROR(VLOOKUP($U$1222,'TAR FIN'!$A$1:$O$115,15,0)),0,VLOOKUP($U$1222,'TAR FIN'!$A$1:$O$115,15,0))</f>
        <v>61.8</v>
      </c>
      <c r="Y1222" s="6"/>
      <c r="Z1222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22" s="6">
        <f>('TE BE'!$AB$21+'TE BF'!$AB$21+'TE CVA'!$AB$21)*(1-CUSTOS!$M$34)</f>
        <v>80.738691054204196</v>
      </c>
      <c r="AB1222" s="6">
        <f>$K$1222*$V$1222</f>
        <v>0</v>
      </c>
      <c r="AC1222" s="6">
        <f>$M$1222*$W$1222</f>
        <v>75.528959999999998</v>
      </c>
      <c r="AD1222" s="6">
        <f>$O$1222*$X$1222</f>
        <v>33.001199999999997</v>
      </c>
      <c r="AE1222" s="6">
        <f>$K$1222*$Y$1222</f>
        <v>0</v>
      </c>
      <c r="AF1222" s="6">
        <f ca="1">$M$1222*$Z$1222</f>
        <v>78.530509765166244</v>
      </c>
      <c r="AG1222" s="6">
        <f>$O$1222*$AA$1222</f>
        <v>43.114461022945044</v>
      </c>
    </row>
    <row r="1223" spans="1:33" ht="11.25" customHeight="1" x14ac:dyDescent="0.25">
      <c r="A1223" s="4" t="s">
        <v>30</v>
      </c>
      <c r="B1223" s="4" t="s">
        <v>22</v>
      </c>
      <c r="C1223" s="4" t="s">
        <v>23</v>
      </c>
      <c r="D1223" s="4" t="s">
        <v>24</v>
      </c>
      <c r="E1223" s="4" t="s">
        <v>31</v>
      </c>
      <c r="F1223" s="4" t="s">
        <v>25</v>
      </c>
      <c r="G1223" s="4" t="s">
        <v>25</v>
      </c>
      <c r="H1223" s="4" t="s">
        <v>25</v>
      </c>
      <c r="I1223" s="5">
        <v>44743</v>
      </c>
      <c r="J1223" s="6">
        <v>0</v>
      </c>
      <c r="K1223" s="6">
        <v>0</v>
      </c>
      <c r="L1223" s="6">
        <v>1.56</v>
      </c>
      <c r="M1223" s="6">
        <v>1.56</v>
      </c>
      <c r="N1223" s="6">
        <v>1.56</v>
      </c>
      <c r="O1223" s="6">
        <v>1.56</v>
      </c>
      <c r="P1223" s="6">
        <v>0</v>
      </c>
      <c r="Q1223" s="4" t="s">
        <v>26</v>
      </c>
      <c r="R1223" s="4">
        <v>0</v>
      </c>
      <c r="S1223" s="6">
        <v>0</v>
      </c>
      <c r="T1223" s="6">
        <v>40</v>
      </c>
      <c r="U1223" s="6">
        <v>84</v>
      </c>
      <c r="V1223" s="6">
        <f>IF(ISERROR(VLOOKUP($S$1223,'TAR FIN'!$A$1:$O$115,15,0)),0,VLOOKUP($S$1223,'TAR FIN'!$A$1:$O$115,15,0))</f>
        <v>0</v>
      </c>
      <c r="W1223" s="6">
        <f>IF(ISERROR(VLOOKUP($T$1223,'TAR FIN'!$A$1:$O$115,15,0)),0,VLOOKUP($T$1223,'TAR FIN'!$A$1:$O$115,15,0))</f>
        <v>141.44</v>
      </c>
      <c r="X1223" s="6">
        <f>IF(ISERROR(VLOOKUP($U$1223,'TAR FIN'!$A$1:$O$115,15,0)),0,VLOOKUP($U$1223,'TAR FIN'!$A$1:$O$115,15,0))</f>
        <v>61.8</v>
      </c>
      <c r="Y1223" s="6"/>
      <c r="Z1223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23" s="6">
        <f>('TE BE'!$AB$21+'TE BF'!$AB$21+'TE CVA'!$AB$21)*(1-CUSTOS!$M$34)</f>
        <v>80.738691054204196</v>
      </c>
      <c r="AB1223" s="6">
        <f>$K$1223*$V$1223</f>
        <v>0</v>
      </c>
      <c r="AC1223" s="6">
        <f>$M$1223*$W$1223</f>
        <v>220.6464</v>
      </c>
      <c r="AD1223" s="6">
        <f>$O$1223*$X$1223</f>
        <v>96.408000000000001</v>
      </c>
      <c r="AE1223" s="6">
        <f>$K$1223*$Y$1223</f>
        <v>0</v>
      </c>
      <c r="AF1223" s="6">
        <f ca="1">$M$1223*$Z$1223</f>
        <v>229.41497234767667</v>
      </c>
      <c r="AG1223" s="6">
        <f>$O$1223*$AA$1223</f>
        <v>125.95235804455855</v>
      </c>
    </row>
    <row r="1224" spans="1:33" ht="11.25" customHeight="1" x14ac:dyDescent="0.25">
      <c r="A1224" s="4" t="s">
        <v>21</v>
      </c>
      <c r="B1224" s="4" t="s">
        <v>22</v>
      </c>
      <c r="C1224" s="4" t="s">
        <v>23</v>
      </c>
      <c r="D1224" s="4" t="s">
        <v>24</v>
      </c>
      <c r="E1224" s="4" t="s">
        <v>31</v>
      </c>
      <c r="F1224" s="4" t="s">
        <v>25</v>
      </c>
      <c r="G1224" s="4" t="s">
        <v>25</v>
      </c>
      <c r="H1224" s="4" t="s">
        <v>25</v>
      </c>
      <c r="I1224" s="5">
        <v>44774</v>
      </c>
      <c r="J1224" s="6">
        <v>0</v>
      </c>
      <c r="K1224" s="6">
        <v>0</v>
      </c>
      <c r="L1224" s="6">
        <v>1083.0219999999999</v>
      </c>
      <c r="M1224" s="6">
        <v>1083.0219999999999</v>
      </c>
      <c r="N1224" s="6">
        <v>1083.0219999999999</v>
      </c>
      <c r="O1224" s="6">
        <v>1083.0219999999999</v>
      </c>
      <c r="P1224" s="6">
        <v>2005</v>
      </c>
      <c r="Q1224" s="4" t="s">
        <v>26</v>
      </c>
      <c r="R1224" s="4">
        <v>0</v>
      </c>
      <c r="S1224" s="6">
        <v>0</v>
      </c>
      <c r="T1224" s="6">
        <v>40</v>
      </c>
      <c r="U1224" s="6">
        <v>84</v>
      </c>
      <c r="V1224" s="6">
        <f>IF(ISERROR(VLOOKUP($S$1224,'TAR FIN'!$A$1:$O$115,15,0)),0,VLOOKUP($S$1224,'TAR FIN'!$A$1:$O$115,15,0))</f>
        <v>0</v>
      </c>
      <c r="W1224" s="6">
        <f>IF(ISERROR(VLOOKUP($T$1224,'TAR FIN'!$A$1:$O$115,15,0)),0,VLOOKUP($T$1224,'TAR FIN'!$A$1:$O$115,15,0))</f>
        <v>141.44</v>
      </c>
      <c r="X1224" s="6">
        <f>IF(ISERROR(VLOOKUP($U$1224,'TAR FIN'!$A$1:$O$115,15,0)),0,VLOOKUP($U$1224,'TAR FIN'!$A$1:$O$115,15,0))</f>
        <v>61.8</v>
      </c>
      <c r="Y1224" s="6"/>
      <c r="Z1224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24" s="6">
        <f>('TE BE'!$AB$21+'TE BF'!$AB$21+'TE CVA'!$AB$21)*(1-CUSTOS!$M$34)</f>
        <v>80.738691054204196</v>
      </c>
      <c r="AB1224" s="6">
        <f>$K$1224*$V$1224</f>
        <v>0</v>
      </c>
      <c r="AC1224" s="6">
        <f>$M$1224*$W$1224</f>
        <v>153182.63167999999</v>
      </c>
      <c r="AD1224" s="6">
        <f>$O$1224*$X$1224</f>
        <v>66930.75959999999</v>
      </c>
      <c r="AE1224" s="6">
        <f>$K$1224*$Y$1224</f>
        <v>0</v>
      </c>
      <c r="AF1224" s="6">
        <f ca="1">$M$1224*$Z$1224</f>
        <v>159270.16806533682</v>
      </c>
      <c r="AG1224" s="6">
        <f>$O$1224*$AA$1224</f>
        <v>87441.778662906334</v>
      </c>
    </row>
    <row r="1225" spans="1:33" ht="11.25" customHeight="1" x14ac:dyDescent="0.25">
      <c r="A1225" s="4" t="s">
        <v>27</v>
      </c>
      <c r="B1225" s="4" t="s">
        <v>22</v>
      </c>
      <c r="C1225" s="4" t="s">
        <v>23</v>
      </c>
      <c r="D1225" s="4" t="s">
        <v>24</v>
      </c>
      <c r="E1225" s="4" t="s">
        <v>31</v>
      </c>
      <c r="F1225" s="4" t="s">
        <v>25</v>
      </c>
      <c r="G1225" s="4" t="s">
        <v>25</v>
      </c>
      <c r="H1225" s="4" t="s">
        <v>25</v>
      </c>
      <c r="I1225" s="5">
        <v>44774</v>
      </c>
      <c r="J1225" s="6">
        <v>0</v>
      </c>
      <c r="K1225" s="6">
        <v>0</v>
      </c>
      <c r="L1225" s="6">
        <v>6.1360000000000001</v>
      </c>
      <c r="M1225" s="6">
        <v>6.1360000000000001</v>
      </c>
      <c r="N1225" s="6">
        <v>6.1360000000000001</v>
      </c>
      <c r="O1225" s="6">
        <v>6.1360000000000001</v>
      </c>
      <c r="P1225" s="6">
        <v>31</v>
      </c>
      <c r="Q1225" s="4" t="s">
        <v>26</v>
      </c>
      <c r="R1225" s="4">
        <v>0</v>
      </c>
      <c r="S1225" s="6">
        <v>0</v>
      </c>
      <c r="T1225" s="6">
        <v>40</v>
      </c>
      <c r="U1225" s="6">
        <v>84</v>
      </c>
      <c r="V1225" s="6">
        <f>IF(ISERROR(VLOOKUP($S$1225,'TAR FIN'!$A$1:$O$115,15,0)),0,VLOOKUP($S$1225,'TAR FIN'!$A$1:$O$115,15,0))</f>
        <v>0</v>
      </c>
      <c r="W1225" s="6">
        <f>IF(ISERROR(VLOOKUP($T$1225,'TAR FIN'!$A$1:$O$115,15,0)),0,VLOOKUP($T$1225,'TAR FIN'!$A$1:$O$115,15,0))</f>
        <v>141.44</v>
      </c>
      <c r="X1225" s="6">
        <f>IF(ISERROR(VLOOKUP($U$1225,'TAR FIN'!$A$1:$O$115,15,0)),0,VLOOKUP($U$1225,'TAR FIN'!$A$1:$O$115,15,0))</f>
        <v>61.8</v>
      </c>
      <c r="Y1225" s="6"/>
      <c r="Z1225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25" s="6">
        <f>('TE BE'!$AB$21+'TE BF'!$AB$21+'TE CVA'!$AB$21)*(1-CUSTOS!$M$34)</f>
        <v>80.738691054204196</v>
      </c>
      <c r="AB1225" s="6">
        <f>$K$1225*$V$1225</f>
        <v>0</v>
      </c>
      <c r="AC1225" s="6">
        <f>$M$1225*$W$1225</f>
        <v>867.87584000000004</v>
      </c>
      <c r="AD1225" s="6">
        <f>$O$1225*$X$1225</f>
        <v>379.20479999999998</v>
      </c>
      <c r="AE1225" s="6">
        <f>$K$1225*$Y$1225</f>
        <v>0</v>
      </c>
      <c r="AF1225" s="6">
        <f ca="1">$M$1225*$Z$1225</f>
        <v>902.36555790086152</v>
      </c>
      <c r="AG1225" s="6">
        <f>$O$1225*$AA$1225</f>
        <v>495.41260830859693</v>
      </c>
    </row>
    <row r="1226" spans="1:33" ht="11.25" customHeight="1" x14ac:dyDescent="0.25">
      <c r="A1226" s="4" t="s">
        <v>28</v>
      </c>
      <c r="B1226" s="4" t="s">
        <v>22</v>
      </c>
      <c r="C1226" s="4" t="s">
        <v>23</v>
      </c>
      <c r="D1226" s="4" t="s">
        <v>24</v>
      </c>
      <c r="E1226" s="4" t="s">
        <v>31</v>
      </c>
      <c r="F1226" s="4" t="s">
        <v>25</v>
      </c>
      <c r="G1226" s="4" t="s">
        <v>25</v>
      </c>
      <c r="H1226" s="4" t="s">
        <v>25</v>
      </c>
      <c r="I1226" s="5">
        <v>44774</v>
      </c>
      <c r="J1226" s="6">
        <v>0</v>
      </c>
      <c r="K1226" s="6">
        <v>0</v>
      </c>
      <c r="L1226" s="6">
        <v>916.375</v>
      </c>
      <c r="M1226" s="6">
        <v>916.375</v>
      </c>
      <c r="N1226" s="6">
        <v>916.375</v>
      </c>
      <c r="O1226" s="6">
        <v>916.375</v>
      </c>
      <c r="P1226" s="6">
        <v>2596</v>
      </c>
      <c r="Q1226" s="4" t="s">
        <v>26</v>
      </c>
      <c r="R1226" s="4">
        <v>0</v>
      </c>
      <c r="S1226" s="6">
        <v>0</v>
      </c>
      <c r="T1226" s="6">
        <v>40</v>
      </c>
      <c r="U1226" s="6">
        <v>84</v>
      </c>
      <c r="V1226" s="6">
        <f>IF(ISERROR(VLOOKUP($S$1226,'TAR FIN'!$A$1:$O$115,15,0)),0,VLOOKUP($S$1226,'TAR FIN'!$A$1:$O$115,15,0))</f>
        <v>0</v>
      </c>
      <c r="W1226" s="6">
        <f>IF(ISERROR(VLOOKUP($T$1226,'TAR FIN'!$A$1:$O$115,15,0)),0,VLOOKUP($T$1226,'TAR FIN'!$A$1:$O$115,15,0))</f>
        <v>141.44</v>
      </c>
      <c r="X1226" s="6">
        <f>IF(ISERROR(VLOOKUP($U$1226,'TAR FIN'!$A$1:$O$115,15,0)),0,VLOOKUP($U$1226,'TAR FIN'!$A$1:$O$115,15,0))</f>
        <v>61.8</v>
      </c>
      <c r="Y1226" s="6"/>
      <c r="Z1226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26" s="6">
        <f>('TE BE'!$AB$21+'TE BF'!$AB$21+'TE CVA'!$AB$21)*(1-CUSTOS!$M$34)</f>
        <v>80.738691054204196</v>
      </c>
      <c r="AB1226" s="6">
        <f>$K$1226*$V$1226</f>
        <v>0</v>
      </c>
      <c r="AC1226" s="6">
        <f>$M$1226*$W$1226</f>
        <v>129612.08</v>
      </c>
      <c r="AD1226" s="6">
        <f>$O$1226*$X$1226</f>
        <v>56631.974999999999</v>
      </c>
      <c r="AE1226" s="6">
        <f>$K$1226*$Y$1226</f>
        <v>0</v>
      </c>
      <c r="AF1226" s="6">
        <f ca="1">$M$1226*$Z$1226</f>
        <v>134762.91364429626</v>
      </c>
      <c r="AG1226" s="6">
        <f>$O$1226*$AA$1226</f>
        <v>73986.918014796363</v>
      </c>
    </row>
    <row r="1227" spans="1:33" ht="11.25" customHeight="1" x14ac:dyDescent="0.25">
      <c r="A1227" s="4" t="s">
        <v>29</v>
      </c>
      <c r="B1227" s="4" t="s">
        <v>22</v>
      </c>
      <c r="C1227" s="4" t="s">
        <v>23</v>
      </c>
      <c r="D1227" s="4" t="s">
        <v>24</v>
      </c>
      <c r="E1227" s="4" t="s">
        <v>31</v>
      </c>
      <c r="F1227" s="4" t="s">
        <v>25</v>
      </c>
      <c r="G1227" s="4" t="s">
        <v>25</v>
      </c>
      <c r="H1227" s="4" t="s">
        <v>25</v>
      </c>
      <c r="I1227" s="5">
        <v>44774</v>
      </c>
      <c r="J1227" s="6">
        <v>0</v>
      </c>
      <c r="K1227" s="6">
        <v>0</v>
      </c>
      <c r="L1227" s="6">
        <v>2.6059999999999999</v>
      </c>
      <c r="M1227" s="6">
        <v>2.6059999999999999</v>
      </c>
      <c r="N1227" s="6">
        <v>2.6059999999999999</v>
      </c>
      <c r="O1227" s="6">
        <v>2.6059999999999999</v>
      </c>
      <c r="P1227" s="6">
        <v>30</v>
      </c>
      <c r="Q1227" s="4" t="s">
        <v>26</v>
      </c>
      <c r="R1227" s="4">
        <v>0</v>
      </c>
      <c r="S1227" s="6">
        <v>0</v>
      </c>
      <c r="T1227" s="6">
        <v>40</v>
      </c>
      <c r="U1227" s="6">
        <v>84</v>
      </c>
      <c r="V1227" s="6">
        <f>IF(ISERROR(VLOOKUP($S$1227,'TAR FIN'!$A$1:$O$115,15,0)),0,VLOOKUP($S$1227,'TAR FIN'!$A$1:$O$115,15,0))</f>
        <v>0</v>
      </c>
      <c r="W1227" s="6">
        <f>IF(ISERROR(VLOOKUP($T$1227,'TAR FIN'!$A$1:$O$115,15,0)),0,VLOOKUP($T$1227,'TAR FIN'!$A$1:$O$115,15,0))</f>
        <v>141.44</v>
      </c>
      <c r="X1227" s="6">
        <f>IF(ISERROR(VLOOKUP($U$1227,'TAR FIN'!$A$1:$O$115,15,0)),0,VLOOKUP($U$1227,'TAR FIN'!$A$1:$O$115,15,0))</f>
        <v>61.8</v>
      </c>
      <c r="Y1227" s="6"/>
      <c r="Z1227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27" s="6">
        <f>('TE BE'!$AB$21+'TE BF'!$AB$21+'TE CVA'!$AB$21)*(1-CUSTOS!$M$34)</f>
        <v>80.738691054204196</v>
      </c>
      <c r="AB1227" s="6">
        <f>$K$1227*$V$1227</f>
        <v>0</v>
      </c>
      <c r="AC1227" s="6">
        <f>$M$1227*$W$1227</f>
        <v>368.59263999999996</v>
      </c>
      <c r="AD1227" s="6">
        <f>$O$1227*$X$1227</f>
        <v>161.05079999999998</v>
      </c>
      <c r="AE1227" s="6">
        <f>$K$1227*$Y$1227</f>
        <v>0</v>
      </c>
      <c r="AF1227" s="6">
        <f ca="1">$M$1227*$Z$1227</f>
        <v>383.24065252438805</v>
      </c>
      <c r="AG1227" s="6">
        <f>$O$1227*$AA$1227</f>
        <v>210.40502888725612</v>
      </c>
    </row>
    <row r="1228" spans="1:33" ht="11.25" customHeight="1" x14ac:dyDescent="0.25">
      <c r="A1228" s="4" t="s">
        <v>30</v>
      </c>
      <c r="B1228" s="4" t="s">
        <v>22</v>
      </c>
      <c r="C1228" s="4" t="s">
        <v>23</v>
      </c>
      <c r="D1228" s="4" t="s">
        <v>24</v>
      </c>
      <c r="E1228" s="4" t="s">
        <v>31</v>
      </c>
      <c r="F1228" s="4" t="s">
        <v>25</v>
      </c>
      <c r="G1228" s="4" t="s">
        <v>25</v>
      </c>
      <c r="H1228" s="4" t="s">
        <v>25</v>
      </c>
      <c r="I1228" s="5">
        <v>44774</v>
      </c>
      <c r="J1228" s="6">
        <v>0</v>
      </c>
      <c r="K1228" s="6">
        <v>0</v>
      </c>
      <c r="L1228" s="6">
        <v>1.62</v>
      </c>
      <c r="M1228" s="6">
        <v>1.62</v>
      </c>
      <c r="N1228" s="6">
        <v>1.62</v>
      </c>
      <c r="O1228" s="6">
        <v>1.62</v>
      </c>
      <c r="P1228" s="6">
        <v>0</v>
      </c>
      <c r="Q1228" s="4" t="s">
        <v>26</v>
      </c>
      <c r="R1228" s="4">
        <v>0</v>
      </c>
      <c r="S1228" s="6">
        <v>0</v>
      </c>
      <c r="T1228" s="6">
        <v>40</v>
      </c>
      <c r="U1228" s="6">
        <v>84</v>
      </c>
      <c r="V1228" s="6">
        <f>IF(ISERROR(VLOOKUP($S$1228,'TAR FIN'!$A$1:$O$115,15,0)),0,VLOOKUP($S$1228,'TAR FIN'!$A$1:$O$115,15,0))</f>
        <v>0</v>
      </c>
      <c r="W1228" s="6">
        <f>IF(ISERROR(VLOOKUP($T$1228,'TAR FIN'!$A$1:$O$115,15,0)),0,VLOOKUP($T$1228,'TAR FIN'!$A$1:$O$115,15,0))</f>
        <v>141.44</v>
      </c>
      <c r="X1228" s="6">
        <f>IF(ISERROR(VLOOKUP($U$1228,'TAR FIN'!$A$1:$O$115,15,0)),0,VLOOKUP($U$1228,'TAR FIN'!$A$1:$O$115,15,0))</f>
        <v>61.8</v>
      </c>
      <c r="Y1228" s="6"/>
      <c r="Z1228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28" s="6">
        <f>('TE BE'!$AB$21+'TE BF'!$AB$21+'TE CVA'!$AB$21)*(1-CUSTOS!$M$34)</f>
        <v>80.738691054204196</v>
      </c>
      <c r="AB1228" s="6">
        <f>$K$1228*$V$1228</f>
        <v>0</v>
      </c>
      <c r="AC1228" s="6">
        <f>$M$1228*$W$1228</f>
        <v>229.1328</v>
      </c>
      <c r="AD1228" s="6">
        <f>$O$1228*$X$1228</f>
        <v>100.116</v>
      </c>
      <c r="AE1228" s="6">
        <f>$K$1228*$Y$1228</f>
        <v>0</v>
      </c>
      <c r="AF1228" s="6">
        <f ca="1">$M$1228*$Z$1228</f>
        <v>238.23862513027962</v>
      </c>
      <c r="AG1228" s="6">
        <f>$O$1228*$AA$1228</f>
        <v>130.79667950781081</v>
      </c>
    </row>
    <row r="1229" spans="1:33" ht="11.25" customHeight="1" x14ac:dyDescent="0.25">
      <c r="A1229" s="4" t="s">
        <v>30</v>
      </c>
      <c r="B1229" s="4" t="s">
        <v>22</v>
      </c>
      <c r="C1229" s="4" t="s">
        <v>23</v>
      </c>
      <c r="D1229" s="4" t="s">
        <v>24</v>
      </c>
      <c r="E1229" s="4" t="s">
        <v>31</v>
      </c>
      <c r="F1229" s="4" t="s">
        <v>25</v>
      </c>
      <c r="G1229" s="4" t="s">
        <v>25</v>
      </c>
      <c r="H1229" s="4" t="s">
        <v>25</v>
      </c>
      <c r="I1229" s="5">
        <v>44774</v>
      </c>
      <c r="J1229" s="6">
        <v>0</v>
      </c>
      <c r="K1229" s="6">
        <v>0</v>
      </c>
      <c r="L1229" s="6">
        <v>0.624</v>
      </c>
      <c r="M1229" s="6">
        <v>0.624</v>
      </c>
      <c r="N1229" s="6">
        <v>0.624</v>
      </c>
      <c r="O1229" s="6">
        <v>0.624</v>
      </c>
      <c r="P1229" s="6">
        <v>1</v>
      </c>
      <c r="Q1229" s="4" t="s">
        <v>26</v>
      </c>
      <c r="R1229" s="4">
        <v>0</v>
      </c>
      <c r="S1229" s="6">
        <v>0</v>
      </c>
      <c r="T1229" s="6">
        <v>40</v>
      </c>
      <c r="U1229" s="6">
        <v>84</v>
      </c>
      <c r="V1229" s="6">
        <f>IF(ISERROR(VLOOKUP($S$1229,'TAR FIN'!$A$1:$O$115,15,0)),0,VLOOKUP($S$1229,'TAR FIN'!$A$1:$O$115,15,0))</f>
        <v>0</v>
      </c>
      <c r="W1229" s="6">
        <f>IF(ISERROR(VLOOKUP($T$1229,'TAR FIN'!$A$1:$O$115,15,0)),0,VLOOKUP($T$1229,'TAR FIN'!$A$1:$O$115,15,0))</f>
        <v>141.44</v>
      </c>
      <c r="X1229" s="6">
        <f>IF(ISERROR(VLOOKUP($U$1229,'TAR FIN'!$A$1:$O$115,15,0)),0,VLOOKUP($U$1229,'TAR FIN'!$A$1:$O$115,15,0))</f>
        <v>61.8</v>
      </c>
      <c r="Y1229" s="6"/>
      <c r="Z1229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29" s="6">
        <f>('TE BE'!$AB$21+'TE BF'!$AB$21+'TE CVA'!$AB$21)*(1-CUSTOS!$M$34)</f>
        <v>80.738691054204196</v>
      </c>
      <c r="AB1229" s="6">
        <f>$K$1229*$V$1229</f>
        <v>0</v>
      </c>
      <c r="AC1229" s="6">
        <f>$M$1229*$W$1229</f>
        <v>88.258560000000003</v>
      </c>
      <c r="AD1229" s="6">
        <f>$O$1229*$X$1229</f>
        <v>38.563199999999995</v>
      </c>
      <c r="AE1229" s="6">
        <f>$K$1229*$Y$1229</f>
        <v>0</v>
      </c>
      <c r="AF1229" s="6">
        <f ca="1">$M$1229*$Z$1229</f>
        <v>91.765988939070667</v>
      </c>
      <c r="AG1229" s="6">
        <f>$O$1229*$AA$1229</f>
        <v>50.380943217823422</v>
      </c>
    </row>
    <row r="1230" spans="1:33" ht="11.25" customHeight="1" x14ac:dyDescent="0.25">
      <c r="A1230" s="4" t="s">
        <v>21</v>
      </c>
      <c r="B1230" s="4" t="s">
        <v>22</v>
      </c>
      <c r="C1230" s="4" t="s">
        <v>23</v>
      </c>
      <c r="D1230" s="4" t="s">
        <v>24</v>
      </c>
      <c r="E1230" s="4" t="s">
        <v>31</v>
      </c>
      <c r="F1230" s="4" t="s">
        <v>25</v>
      </c>
      <c r="G1230" s="4" t="s">
        <v>25</v>
      </c>
      <c r="H1230" s="4" t="s">
        <v>25</v>
      </c>
      <c r="I1230" s="5">
        <v>44805</v>
      </c>
      <c r="J1230" s="6">
        <v>0</v>
      </c>
      <c r="K1230" s="6">
        <v>0</v>
      </c>
      <c r="L1230" s="6">
        <v>1373.327</v>
      </c>
      <c r="M1230" s="6">
        <v>1373.327</v>
      </c>
      <c r="N1230" s="6">
        <v>1373.327</v>
      </c>
      <c r="O1230" s="6">
        <v>1373.327</v>
      </c>
      <c r="P1230" s="6">
        <v>2934</v>
      </c>
      <c r="Q1230" s="4" t="s">
        <v>26</v>
      </c>
      <c r="R1230" s="4">
        <v>0</v>
      </c>
      <c r="S1230" s="6">
        <v>0</v>
      </c>
      <c r="T1230" s="6">
        <v>40</v>
      </c>
      <c r="U1230" s="6">
        <v>84</v>
      </c>
      <c r="V1230" s="6">
        <f>IF(ISERROR(VLOOKUP($S$1230,'TAR FIN'!$A$1:$O$115,15,0)),0,VLOOKUP($S$1230,'TAR FIN'!$A$1:$O$115,15,0))</f>
        <v>0</v>
      </c>
      <c r="W1230" s="6">
        <f>IF(ISERROR(VLOOKUP($T$1230,'TAR FIN'!$A$1:$O$115,15,0)),0,VLOOKUP($T$1230,'TAR FIN'!$A$1:$O$115,15,0))</f>
        <v>141.44</v>
      </c>
      <c r="X1230" s="6">
        <f>IF(ISERROR(VLOOKUP($U$1230,'TAR FIN'!$A$1:$O$115,15,0)),0,VLOOKUP($U$1230,'TAR FIN'!$A$1:$O$115,15,0))</f>
        <v>61.8</v>
      </c>
      <c r="Y1230" s="6"/>
      <c r="Z1230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30" s="6">
        <f>('TE BE'!$AB$21+'TE BF'!$AB$21+'TE CVA'!$AB$21)*(1-CUSTOS!$M$34)</f>
        <v>80.738691054204196</v>
      </c>
      <c r="AB1230" s="6">
        <f>$K$1230*$V$1230</f>
        <v>0</v>
      </c>
      <c r="AC1230" s="6">
        <f>$M$1230*$W$1230</f>
        <v>194243.37088</v>
      </c>
      <c r="AD1230" s="6">
        <f>$O$1230*$X$1230</f>
        <v>84871.608599999992</v>
      </c>
      <c r="AE1230" s="6">
        <f>$K$1230*$Y$1230</f>
        <v>0</v>
      </c>
      <c r="AF1230" s="6">
        <f ca="1">$M$1230*$Z$1230</f>
        <v>201962.67674956264</v>
      </c>
      <c r="AG1230" s="6">
        <f>$O$1230*$AA$1230</f>
        <v>110880.62436939709</v>
      </c>
    </row>
    <row r="1231" spans="1:33" ht="11.25" customHeight="1" x14ac:dyDescent="0.25">
      <c r="A1231" s="4" t="s">
        <v>27</v>
      </c>
      <c r="B1231" s="4" t="s">
        <v>22</v>
      </c>
      <c r="C1231" s="4" t="s">
        <v>23</v>
      </c>
      <c r="D1231" s="4" t="s">
        <v>24</v>
      </c>
      <c r="E1231" s="4" t="s">
        <v>31</v>
      </c>
      <c r="F1231" s="4" t="s">
        <v>25</v>
      </c>
      <c r="G1231" s="4" t="s">
        <v>25</v>
      </c>
      <c r="H1231" s="4" t="s">
        <v>25</v>
      </c>
      <c r="I1231" s="5">
        <v>44805</v>
      </c>
      <c r="J1231" s="6">
        <v>0</v>
      </c>
      <c r="K1231" s="6">
        <v>0</v>
      </c>
      <c r="L1231" s="6">
        <v>2.96</v>
      </c>
      <c r="M1231" s="6">
        <v>2.96</v>
      </c>
      <c r="N1231" s="6">
        <v>2.96</v>
      </c>
      <c r="O1231" s="6">
        <v>2.96</v>
      </c>
      <c r="P1231" s="6">
        <v>19</v>
      </c>
      <c r="Q1231" s="4" t="s">
        <v>26</v>
      </c>
      <c r="R1231" s="4">
        <v>0</v>
      </c>
      <c r="S1231" s="6">
        <v>0</v>
      </c>
      <c r="T1231" s="6">
        <v>40</v>
      </c>
      <c r="U1231" s="6">
        <v>84</v>
      </c>
      <c r="V1231" s="6">
        <f>IF(ISERROR(VLOOKUP($S$1231,'TAR FIN'!$A$1:$O$115,15,0)),0,VLOOKUP($S$1231,'TAR FIN'!$A$1:$O$115,15,0))</f>
        <v>0</v>
      </c>
      <c r="W1231" s="6">
        <f>IF(ISERROR(VLOOKUP($T$1231,'TAR FIN'!$A$1:$O$115,15,0)),0,VLOOKUP($T$1231,'TAR FIN'!$A$1:$O$115,15,0))</f>
        <v>141.44</v>
      </c>
      <c r="X1231" s="6">
        <f>IF(ISERROR(VLOOKUP($U$1231,'TAR FIN'!$A$1:$O$115,15,0)),0,VLOOKUP($U$1231,'TAR FIN'!$A$1:$O$115,15,0))</f>
        <v>61.8</v>
      </c>
      <c r="Y1231" s="6"/>
      <c r="Z1231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31" s="6">
        <f>('TE BE'!$AB$21+'TE BF'!$AB$21+'TE CVA'!$AB$21)*(1-CUSTOS!$M$34)</f>
        <v>80.738691054204196</v>
      </c>
      <c r="AB1231" s="6">
        <f>$K$1231*$V$1231</f>
        <v>0</v>
      </c>
      <c r="AC1231" s="6">
        <f>$M$1231*$W$1231</f>
        <v>418.66239999999999</v>
      </c>
      <c r="AD1231" s="6">
        <f>$O$1231*$X$1231</f>
        <v>182.928</v>
      </c>
      <c r="AE1231" s="6">
        <f>$K$1231*$Y$1231</f>
        <v>0</v>
      </c>
      <c r="AF1231" s="6">
        <f ca="1">$M$1231*$Z$1231</f>
        <v>435.30020394174545</v>
      </c>
      <c r="AG1231" s="6">
        <f>$O$1231*$AA$1231</f>
        <v>238.98652552044442</v>
      </c>
    </row>
    <row r="1232" spans="1:33" ht="11.25" customHeight="1" x14ac:dyDescent="0.25">
      <c r="A1232" s="4" t="s">
        <v>28</v>
      </c>
      <c r="B1232" s="4" t="s">
        <v>22</v>
      </c>
      <c r="C1232" s="4" t="s">
        <v>23</v>
      </c>
      <c r="D1232" s="4" t="s">
        <v>24</v>
      </c>
      <c r="E1232" s="4" t="s">
        <v>31</v>
      </c>
      <c r="F1232" s="4" t="s">
        <v>25</v>
      </c>
      <c r="G1232" s="4" t="s">
        <v>25</v>
      </c>
      <c r="H1232" s="4" t="s">
        <v>25</v>
      </c>
      <c r="I1232" s="5">
        <v>44805</v>
      </c>
      <c r="J1232" s="6">
        <v>0</v>
      </c>
      <c r="K1232" s="6">
        <v>0</v>
      </c>
      <c r="L1232" s="6">
        <v>658.04600000000005</v>
      </c>
      <c r="M1232" s="6">
        <v>658.04600000000005</v>
      </c>
      <c r="N1232" s="6">
        <v>658.04600000000005</v>
      </c>
      <c r="O1232" s="6">
        <v>658.04600000000005</v>
      </c>
      <c r="P1232" s="6">
        <v>1671</v>
      </c>
      <c r="Q1232" s="4" t="s">
        <v>26</v>
      </c>
      <c r="R1232" s="4">
        <v>0</v>
      </c>
      <c r="S1232" s="6">
        <v>0</v>
      </c>
      <c r="T1232" s="6">
        <v>40</v>
      </c>
      <c r="U1232" s="6">
        <v>84</v>
      </c>
      <c r="V1232" s="6">
        <f>IF(ISERROR(VLOOKUP($S$1232,'TAR FIN'!$A$1:$O$115,15,0)),0,VLOOKUP($S$1232,'TAR FIN'!$A$1:$O$115,15,0))</f>
        <v>0</v>
      </c>
      <c r="W1232" s="6">
        <f>IF(ISERROR(VLOOKUP($T$1232,'TAR FIN'!$A$1:$O$115,15,0)),0,VLOOKUP($T$1232,'TAR FIN'!$A$1:$O$115,15,0))</f>
        <v>141.44</v>
      </c>
      <c r="X1232" s="6">
        <f>IF(ISERROR(VLOOKUP($U$1232,'TAR FIN'!$A$1:$O$115,15,0)),0,VLOOKUP($U$1232,'TAR FIN'!$A$1:$O$115,15,0))</f>
        <v>61.8</v>
      </c>
      <c r="Y1232" s="6"/>
      <c r="Z1232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32" s="6">
        <f>('TE BE'!$AB$21+'TE BF'!$AB$21+'TE CVA'!$AB$21)*(1-CUSTOS!$M$34)</f>
        <v>80.738691054204196</v>
      </c>
      <c r="AB1232" s="6">
        <f>$K$1232*$V$1232</f>
        <v>0</v>
      </c>
      <c r="AC1232" s="6">
        <f>$M$1232*$W$1232</f>
        <v>93074.026240000007</v>
      </c>
      <c r="AD1232" s="6">
        <f>$O$1232*$X$1232</f>
        <v>40667.2428</v>
      </c>
      <c r="AE1232" s="6">
        <f>$K$1232*$Y$1232</f>
        <v>0</v>
      </c>
      <c r="AF1232" s="6">
        <f ca="1">$M$1232*$Z$1232</f>
        <v>96772.823649679005</v>
      </c>
      <c r="AG1232" s="6">
        <f>$O$1232*$AA$1232</f>
        <v>53129.772693454855</v>
      </c>
    </row>
    <row r="1233" spans="1:33" ht="11.25" customHeight="1" x14ac:dyDescent="0.25">
      <c r="A1233" s="4" t="s">
        <v>29</v>
      </c>
      <c r="B1233" s="4" t="s">
        <v>22</v>
      </c>
      <c r="C1233" s="4" t="s">
        <v>23</v>
      </c>
      <c r="D1233" s="4" t="s">
        <v>24</v>
      </c>
      <c r="E1233" s="4" t="s">
        <v>31</v>
      </c>
      <c r="F1233" s="4" t="s">
        <v>25</v>
      </c>
      <c r="G1233" s="4" t="s">
        <v>25</v>
      </c>
      <c r="H1233" s="4" t="s">
        <v>25</v>
      </c>
      <c r="I1233" s="5">
        <v>44805</v>
      </c>
      <c r="J1233" s="6">
        <v>0</v>
      </c>
      <c r="K1233" s="6">
        <v>0</v>
      </c>
      <c r="L1233" s="6">
        <v>-0.13900000000000001</v>
      </c>
      <c r="M1233" s="6">
        <v>-0.13900000000000001</v>
      </c>
      <c r="N1233" s="6">
        <v>-0.13900000000000001</v>
      </c>
      <c r="O1233" s="6">
        <v>-0.13900000000000001</v>
      </c>
      <c r="P1233" s="6">
        <v>2</v>
      </c>
      <c r="Q1233" s="4" t="s">
        <v>26</v>
      </c>
      <c r="R1233" s="4">
        <v>0</v>
      </c>
      <c r="S1233" s="6">
        <v>0</v>
      </c>
      <c r="T1233" s="6">
        <v>40</v>
      </c>
      <c r="U1233" s="6">
        <v>84</v>
      </c>
      <c r="V1233" s="6">
        <f>IF(ISERROR(VLOOKUP($S$1233,'TAR FIN'!$A$1:$O$115,15,0)),0,VLOOKUP($S$1233,'TAR FIN'!$A$1:$O$115,15,0))</f>
        <v>0</v>
      </c>
      <c r="W1233" s="6">
        <f>IF(ISERROR(VLOOKUP($T$1233,'TAR FIN'!$A$1:$O$115,15,0)),0,VLOOKUP($T$1233,'TAR FIN'!$A$1:$O$115,15,0))</f>
        <v>141.44</v>
      </c>
      <c r="X1233" s="6">
        <f>IF(ISERROR(VLOOKUP($U$1233,'TAR FIN'!$A$1:$O$115,15,0)),0,VLOOKUP($U$1233,'TAR FIN'!$A$1:$O$115,15,0))</f>
        <v>61.8</v>
      </c>
      <c r="Y1233" s="6"/>
      <c r="Z1233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33" s="6">
        <f>('TE BE'!$AB$21+'TE BF'!$AB$21+'TE CVA'!$AB$21)*(1-CUSTOS!$M$34)</f>
        <v>80.738691054204196</v>
      </c>
      <c r="AB1233" s="6">
        <f>$K$1233*$V$1233</f>
        <v>0</v>
      </c>
      <c r="AC1233" s="6">
        <f>$M$1233*$W$1233</f>
        <v>-19.660160000000001</v>
      </c>
      <c r="AD1233" s="6">
        <f>$O$1233*$X$1233</f>
        <v>-8.5902000000000012</v>
      </c>
      <c r="AE1233" s="6">
        <f>$K$1233*$Y$1233</f>
        <v>0</v>
      </c>
      <c r="AF1233" s="6">
        <f ca="1">$M$1233*$Z$1233</f>
        <v>-20.441462279696832</v>
      </c>
      <c r="AG1233" s="6">
        <f>$O$1233*$AA$1233</f>
        <v>-11.222678056534384</v>
      </c>
    </row>
    <row r="1234" spans="1:33" ht="11.25" customHeight="1" x14ac:dyDescent="0.25">
      <c r="A1234" s="4" t="s">
        <v>30</v>
      </c>
      <c r="B1234" s="4" t="s">
        <v>22</v>
      </c>
      <c r="C1234" s="4" t="s">
        <v>23</v>
      </c>
      <c r="D1234" s="4" t="s">
        <v>24</v>
      </c>
      <c r="E1234" s="4" t="s">
        <v>31</v>
      </c>
      <c r="F1234" s="4" t="s">
        <v>25</v>
      </c>
      <c r="G1234" s="4" t="s">
        <v>25</v>
      </c>
      <c r="H1234" s="4" t="s">
        <v>25</v>
      </c>
      <c r="I1234" s="5">
        <v>44805</v>
      </c>
      <c r="J1234" s="6">
        <v>0</v>
      </c>
      <c r="K1234" s="6">
        <v>0</v>
      </c>
      <c r="L1234" s="6">
        <v>1.86</v>
      </c>
      <c r="M1234" s="6">
        <v>1.86</v>
      </c>
      <c r="N1234" s="6">
        <v>1.86</v>
      </c>
      <c r="O1234" s="6">
        <v>1.86</v>
      </c>
      <c r="P1234" s="6">
        <v>0</v>
      </c>
      <c r="Q1234" s="4" t="s">
        <v>26</v>
      </c>
      <c r="R1234" s="4">
        <v>0</v>
      </c>
      <c r="S1234" s="6">
        <v>0</v>
      </c>
      <c r="T1234" s="6">
        <v>40</v>
      </c>
      <c r="U1234" s="6">
        <v>84</v>
      </c>
      <c r="V1234" s="6">
        <f>IF(ISERROR(VLOOKUP($S$1234,'TAR FIN'!$A$1:$O$115,15,0)),0,VLOOKUP($S$1234,'TAR FIN'!$A$1:$O$115,15,0))</f>
        <v>0</v>
      </c>
      <c r="W1234" s="6">
        <f>IF(ISERROR(VLOOKUP($T$1234,'TAR FIN'!$A$1:$O$115,15,0)),0,VLOOKUP($T$1234,'TAR FIN'!$A$1:$O$115,15,0))</f>
        <v>141.44</v>
      </c>
      <c r="X1234" s="6">
        <f>IF(ISERROR(VLOOKUP($U$1234,'TAR FIN'!$A$1:$O$115,15,0)),0,VLOOKUP($U$1234,'TAR FIN'!$A$1:$O$115,15,0))</f>
        <v>61.8</v>
      </c>
      <c r="Y1234" s="6"/>
      <c r="Z1234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34" s="6">
        <f>('TE BE'!$AB$21+'TE BF'!$AB$21+'TE CVA'!$AB$21)*(1-CUSTOS!$M$34)</f>
        <v>80.738691054204196</v>
      </c>
      <c r="AB1234" s="6">
        <f>$K$1234*$V$1234</f>
        <v>0</v>
      </c>
      <c r="AC1234" s="6">
        <f>$M$1234*$W$1234</f>
        <v>263.07839999999999</v>
      </c>
      <c r="AD1234" s="6">
        <f>$O$1234*$X$1234</f>
        <v>114.94800000000001</v>
      </c>
      <c r="AE1234" s="6">
        <f>$K$1234*$Y$1234</f>
        <v>0</v>
      </c>
      <c r="AF1234" s="6">
        <f ca="1">$M$1234*$Z$1234</f>
        <v>273.53323626069141</v>
      </c>
      <c r="AG1234" s="6">
        <f>$O$1234*$AA$1234</f>
        <v>150.17396536081981</v>
      </c>
    </row>
    <row r="1235" spans="1:33" ht="11.25" customHeight="1" x14ac:dyDescent="0.25">
      <c r="A1235" s="4" t="s">
        <v>21</v>
      </c>
      <c r="B1235" s="4" t="s">
        <v>22</v>
      </c>
      <c r="C1235" s="4" t="s">
        <v>23</v>
      </c>
      <c r="D1235" s="4" t="s">
        <v>24</v>
      </c>
      <c r="E1235" s="4" t="s">
        <v>31</v>
      </c>
      <c r="F1235" s="4" t="s">
        <v>25</v>
      </c>
      <c r="G1235" s="4" t="s">
        <v>25</v>
      </c>
      <c r="H1235" s="4" t="s">
        <v>25</v>
      </c>
      <c r="I1235" s="5">
        <v>44835</v>
      </c>
      <c r="J1235" s="6">
        <v>0</v>
      </c>
      <c r="K1235" s="6">
        <v>0</v>
      </c>
      <c r="L1235" s="6">
        <v>1398.9880000000001</v>
      </c>
      <c r="M1235" s="6">
        <v>1398.9880000000001</v>
      </c>
      <c r="N1235" s="6">
        <v>1398.9880000000001</v>
      </c>
      <c r="O1235" s="6">
        <v>1398.9880000000001</v>
      </c>
      <c r="P1235" s="6">
        <v>2757</v>
      </c>
      <c r="Q1235" s="4" t="s">
        <v>26</v>
      </c>
      <c r="R1235" s="4">
        <v>0</v>
      </c>
      <c r="S1235" s="6">
        <v>0</v>
      </c>
      <c r="T1235" s="6">
        <v>40</v>
      </c>
      <c r="U1235" s="6">
        <v>84</v>
      </c>
      <c r="V1235" s="6">
        <f>IF(ISERROR(VLOOKUP($S$1235,'TAR FIN'!$A$1:$O$115,15,0)),0,VLOOKUP($S$1235,'TAR FIN'!$A$1:$O$115,15,0))</f>
        <v>0</v>
      </c>
      <c r="W1235" s="6">
        <f>IF(ISERROR(VLOOKUP($T$1235,'TAR FIN'!$A$1:$O$115,15,0)),0,VLOOKUP($T$1235,'TAR FIN'!$A$1:$O$115,15,0))</f>
        <v>141.44</v>
      </c>
      <c r="X1235" s="6">
        <f>IF(ISERROR(VLOOKUP($U$1235,'TAR FIN'!$A$1:$O$115,15,0)),0,VLOOKUP($U$1235,'TAR FIN'!$A$1:$O$115,15,0))</f>
        <v>61.8</v>
      </c>
      <c r="Y1235" s="6"/>
      <c r="Z1235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35" s="6">
        <f>('TE BE'!$AB$21+'TE BF'!$AB$21+'TE CVA'!$AB$21)*(1-CUSTOS!$M$34)</f>
        <v>80.738691054204196</v>
      </c>
      <c r="AB1235" s="6">
        <f>$K$1235*$V$1235</f>
        <v>0</v>
      </c>
      <c r="AC1235" s="6">
        <f>$M$1235*$W$1235</f>
        <v>197872.86272</v>
      </c>
      <c r="AD1235" s="6">
        <f>$O$1235*$X$1235</f>
        <v>86457.458400000003</v>
      </c>
      <c r="AE1235" s="6">
        <f>$K$1235*$Y$1235</f>
        <v>0</v>
      </c>
      <c r="AF1235" s="6">
        <f ca="1">$M$1235*$Z$1235</f>
        <v>205736.40598380222</v>
      </c>
      <c r="AG1235" s="6">
        <f>$O$1235*$AA$1235</f>
        <v>112952.45992053903</v>
      </c>
    </row>
    <row r="1236" spans="1:33" ht="11.25" customHeight="1" x14ac:dyDescent="0.25">
      <c r="A1236" s="4" t="s">
        <v>27</v>
      </c>
      <c r="B1236" s="4" t="s">
        <v>22</v>
      </c>
      <c r="C1236" s="4" t="s">
        <v>23</v>
      </c>
      <c r="D1236" s="4" t="s">
        <v>24</v>
      </c>
      <c r="E1236" s="4" t="s">
        <v>31</v>
      </c>
      <c r="F1236" s="4" t="s">
        <v>25</v>
      </c>
      <c r="G1236" s="4" t="s">
        <v>25</v>
      </c>
      <c r="H1236" s="4" t="s">
        <v>25</v>
      </c>
      <c r="I1236" s="5">
        <v>44835</v>
      </c>
      <c r="J1236" s="6">
        <v>0</v>
      </c>
      <c r="K1236" s="6">
        <v>0</v>
      </c>
      <c r="L1236" s="6">
        <v>3.2320000000000002</v>
      </c>
      <c r="M1236" s="6">
        <v>3.2320000000000002</v>
      </c>
      <c r="N1236" s="6">
        <v>3.2320000000000002</v>
      </c>
      <c r="O1236" s="6">
        <v>3.2320000000000002</v>
      </c>
      <c r="P1236" s="6">
        <v>39</v>
      </c>
      <c r="Q1236" s="4" t="s">
        <v>26</v>
      </c>
      <c r="R1236" s="4">
        <v>0</v>
      </c>
      <c r="S1236" s="6">
        <v>0</v>
      </c>
      <c r="T1236" s="6">
        <v>40</v>
      </c>
      <c r="U1236" s="6">
        <v>84</v>
      </c>
      <c r="V1236" s="6">
        <f>IF(ISERROR(VLOOKUP($S$1236,'TAR FIN'!$A$1:$O$115,15,0)),0,VLOOKUP($S$1236,'TAR FIN'!$A$1:$O$115,15,0))</f>
        <v>0</v>
      </c>
      <c r="W1236" s="6">
        <f>IF(ISERROR(VLOOKUP($T$1236,'TAR FIN'!$A$1:$O$115,15,0)),0,VLOOKUP($T$1236,'TAR FIN'!$A$1:$O$115,15,0))</f>
        <v>141.44</v>
      </c>
      <c r="X1236" s="6">
        <f>IF(ISERROR(VLOOKUP($U$1236,'TAR FIN'!$A$1:$O$115,15,0)),0,VLOOKUP($U$1236,'TAR FIN'!$A$1:$O$115,15,0))</f>
        <v>61.8</v>
      </c>
      <c r="Y1236" s="6"/>
      <c r="Z1236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36" s="6">
        <f>('TE BE'!$AB$21+'TE BF'!$AB$21+'TE CVA'!$AB$21)*(1-CUSTOS!$M$34)</f>
        <v>80.738691054204196</v>
      </c>
      <c r="AB1236" s="6">
        <f>$K$1236*$V$1236</f>
        <v>0</v>
      </c>
      <c r="AC1236" s="6">
        <f>$M$1236*$W$1236</f>
        <v>457.13408000000004</v>
      </c>
      <c r="AD1236" s="6">
        <f>$O$1236*$X$1236</f>
        <v>199.73760000000001</v>
      </c>
      <c r="AE1236" s="6">
        <f>$K$1236*$Y$1236</f>
        <v>0</v>
      </c>
      <c r="AF1236" s="6">
        <f ca="1">$M$1236*$Z$1236</f>
        <v>475.30076322287886</v>
      </c>
      <c r="AG1236" s="6">
        <f>$O$1236*$AA$1236</f>
        <v>260.94744948718795</v>
      </c>
    </row>
    <row r="1237" spans="1:33" ht="11.25" customHeight="1" x14ac:dyDescent="0.25">
      <c r="A1237" s="4" t="s">
        <v>28</v>
      </c>
      <c r="B1237" s="4" t="s">
        <v>22</v>
      </c>
      <c r="C1237" s="4" t="s">
        <v>23</v>
      </c>
      <c r="D1237" s="4" t="s">
        <v>24</v>
      </c>
      <c r="E1237" s="4" t="s">
        <v>31</v>
      </c>
      <c r="F1237" s="4" t="s">
        <v>25</v>
      </c>
      <c r="G1237" s="4" t="s">
        <v>25</v>
      </c>
      <c r="H1237" s="4" t="s">
        <v>25</v>
      </c>
      <c r="I1237" s="5">
        <v>44835</v>
      </c>
      <c r="J1237" s="6">
        <v>0</v>
      </c>
      <c r="K1237" s="6">
        <v>0</v>
      </c>
      <c r="L1237" s="6">
        <v>674.40800000000002</v>
      </c>
      <c r="M1237" s="6">
        <v>674.40800000000002</v>
      </c>
      <c r="N1237" s="6">
        <v>674.40800000000002</v>
      </c>
      <c r="O1237" s="6">
        <v>674.40800000000002</v>
      </c>
      <c r="P1237" s="6">
        <v>1569</v>
      </c>
      <c r="Q1237" s="4" t="s">
        <v>26</v>
      </c>
      <c r="R1237" s="4">
        <v>0</v>
      </c>
      <c r="S1237" s="6">
        <v>0</v>
      </c>
      <c r="T1237" s="6">
        <v>40</v>
      </c>
      <c r="U1237" s="6">
        <v>84</v>
      </c>
      <c r="V1237" s="6">
        <f>IF(ISERROR(VLOOKUP($S$1237,'TAR FIN'!$A$1:$O$115,15,0)),0,VLOOKUP($S$1237,'TAR FIN'!$A$1:$O$115,15,0))</f>
        <v>0</v>
      </c>
      <c r="W1237" s="6">
        <f>IF(ISERROR(VLOOKUP($T$1237,'TAR FIN'!$A$1:$O$115,15,0)),0,VLOOKUP($T$1237,'TAR FIN'!$A$1:$O$115,15,0))</f>
        <v>141.44</v>
      </c>
      <c r="X1237" s="6">
        <f>IF(ISERROR(VLOOKUP($U$1237,'TAR FIN'!$A$1:$O$115,15,0)),0,VLOOKUP($U$1237,'TAR FIN'!$A$1:$O$115,15,0))</f>
        <v>61.8</v>
      </c>
      <c r="Y1237" s="6"/>
      <c r="Z1237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37" s="6">
        <f>('TE BE'!$AB$21+'TE BF'!$AB$21+'TE CVA'!$AB$21)*(1-CUSTOS!$M$34)</f>
        <v>80.738691054204196</v>
      </c>
      <c r="AB1237" s="6">
        <f>$K$1237*$V$1237</f>
        <v>0</v>
      </c>
      <c r="AC1237" s="6">
        <f>$M$1237*$W$1237</f>
        <v>95388.267519999994</v>
      </c>
      <c r="AD1237" s="6">
        <f>$O$1237*$X$1237</f>
        <v>41678.414400000001</v>
      </c>
      <c r="AE1237" s="6">
        <f>$K$1237*$Y$1237</f>
        <v>0</v>
      </c>
      <c r="AF1237" s="6">
        <f ca="1">$M$1237*$Z$1237</f>
        <v>99179.033763494823</v>
      </c>
      <c r="AG1237" s="6">
        <f>$O$1237*$AA$1237</f>
        <v>54450.819156483747</v>
      </c>
    </row>
    <row r="1238" spans="1:33" ht="11.25" customHeight="1" x14ac:dyDescent="0.25">
      <c r="A1238" s="4" t="s">
        <v>29</v>
      </c>
      <c r="B1238" s="4" t="s">
        <v>22</v>
      </c>
      <c r="C1238" s="4" t="s">
        <v>23</v>
      </c>
      <c r="D1238" s="4" t="s">
        <v>24</v>
      </c>
      <c r="E1238" s="4" t="s">
        <v>31</v>
      </c>
      <c r="F1238" s="4" t="s">
        <v>25</v>
      </c>
      <c r="G1238" s="4" t="s">
        <v>25</v>
      </c>
      <c r="H1238" s="4" t="s">
        <v>25</v>
      </c>
      <c r="I1238" s="5">
        <v>44835</v>
      </c>
      <c r="J1238" s="6">
        <v>0</v>
      </c>
      <c r="K1238" s="6">
        <v>0</v>
      </c>
      <c r="L1238" s="6">
        <v>0.439</v>
      </c>
      <c r="M1238" s="6">
        <v>0.439</v>
      </c>
      <c r="N1238" s="6">
        <v>0.439</v>
      </c>
      <c r="O1238" s="6">
        <v>0.439</v>
      </c>
      <c r="P1238" s="6">
        <v>49</v>
      </c>
      <c r="Q1238" s="4" t="s">
        <v>26</v>
      </c>
      <c r="R1238" s="4">
        <v>0</v>
      </c>
      <c r="S1238" s="6">
        <v>0</v>
      </c>
      <c r="T1238" s="6">
        <v>40</v>
      </c>
      <c r="U1238" s="6">
        <v>84</v>
      </c>
      <c r="V1238" s="6">
        <f>IF(ISERROR(VLOOKUP($S$1238,'TAR FIN'!$A$1:$O$115,15,0)),0,VLOOKUP($S$1238,'TAR FIN'!$A$1:$O$115,15,0))</f>
        <v>0</v>
      </c>
      <c r="W1238" s="6">
        <f>IF(ISERROR(VLOOKUP($T$1238,'TAR FIN'!$A$1:$O$115,15,0)),0,VLOOKUP($T$1238,'TAR FIN'!$A$1:$O$115,15,0))</f>
        <v>141.44</v>
      </c>
      <c r="X1238" s="6">
        <f>IF(ISERROR(VLOOKUP($U$1238,'TAR FIN'!$A$1:$O$115,15,0)),0,VLOOKUP($U$1238,'TAR FIN'!$A$1:$O$115,15,0))</f>
        <v>61.8</v>
      </c>
      <c r="Y1238" s="6"/>
      <c r="Z1238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38" s="6">
        <f>('TE BE'!$AB$21+'TE BF'!$AB$21+'TE CVA'!$AB$21)*(1-CUSTOS!$M$34)</f>
        <v>80.738691054204196</v>
      </c>
      <c r="AB1238" s="6">
        <f>$K$1238*$V$1238</f>
        <v>0</v>
      </c>
      <c r="AC1238" s="6">
        <f>$M$1238*$W$1238</f>
        <v>62.09216</v>
      </c>
      <c r="AD1238" s="6">
        <f>$O$1238*$X$1238</f>
        <v>27.130199999999999</v>
      </c>
      <c r="AE1238" s="6">
        <f>$K$1238*$Y$1238</f>
        <v>0</v>
      </c>
      <c r="AF1238" s="6">
        <f ca="1">$M$1238*$Z$1238</f>
        <v>64.559726192711565</v>
      </c>
      <c r="AG1238" s="6">
        <f>$O$1238*$AA$1238</f>
        <v>35.44428537279564</v>
      </c>
    </row>
    <row r="1239" spans="1:33" ht="11.25" customHeight="1" x14ac:dyDescent="0.25">
      <c r="A1239" s="4" t="s">
        <v>30</v>
      </c>
      <c r="B1239" s="4" t="s">
        <v>22</v>
      </c>
      <c r="C1239" s="4" t="s">
        <v>23</v>
      </c>
      <c r="D1239" s="4" t="s">
        <v>24</v>
      </c>
      <c r="E1239" s="4" t="s">
        <v>31</v>
      </c>
      <c r="F1239" s="4" t="s">
        <v>25</v>
      </c>
      <c r="G1239" s="4" t="s">
        <v>25</v>
      </c>
      <c r="H1239" s="4" t="s">
        <v>25</v>
      </c>
      <c r="I1239" s="5">
        <v>44835</v>
      </c>
      <c r="J1239" s="6">
        <v>0</v>
      </c>
      <c r="K1239" s="6">
        <v>0</v>
      </c>
      <c r="L1239" s="6">
        <v>1.95</v>
      </c>
      <c r="M1239" s="6">
        <v>1.95</v>
      </c>
      <c r="N1239" s="6">
        <v>1.95</v>
      </c>
      <c r="O1239" s="6">
        <v>1.95</v>
      </c>
      <c r="P1239" s="6">
        <v>0</v>
      </c>
      <c r="Q1239" s="4" t="s">
        <v>26</v>
      </c>
      <c r="R1239" s="4">
        <v>0</v>
      </c>
      <c r="S1239" s="6">
        <v>0</v>
      </c>
      <c r="T1239" s="6">
        <v>40</v>
      </c>
      <c r="U1239" s="6">
        <v>84</v>
      </c>
      <c r="V1239" s="6">
        <f>IF(ISERROR(VLOOKUP($S$1239,'TAR FIN'!$A$1:$O$115,15,0)),0,VLOOKUP($S$1239,'TAR FIN'!$A$1:$O$115,15,0))</f>
        <v>0</v>
      </c>
      <c r="W1239" s="6">
        <f>IF(ISERROR(VLOOKUP($T$1239,'TAR FIN'!$A$1:$O$115,15,0)),0,VLOOKUP($T$1239,'TAR FIN'!$A$1:$O$115,15,0))</f>
        <v>141.44</v>
      </c>
      <c r="X1239" s="6">
        <f>IF(ISERROR(VLOOKUP($U$1239,'TAR FIN'!$A$1:$O$115,15,0)),0,VLOOKUP($U$1239,'TAR FIN'!$A$1:$O$115,15,0))</f>
        <v>61.8</v>
      </c>
      <c r="Y1239" s="6"/>
      <c r="Z1239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39" s="6">
        <f>('TE BE'!$AB$21+'TE BF'!$AB$21+'TE CVA'!$AB$21)*(1-CUSTOS!$M$34)</f>
        <v>80.738691054204196</v>
      </c>
      <c r="AB1239" s="6">
        <f>$K$1239*$V$1239</f>
        <v>0</v>
      </c>
      <c r="AC1239" s="6">
        <f>$M$1239*$W$1239</f>
        <v>275.80799999999999</v>
      </c>
      <c r="AD1239" s="6">
        <f>$O$1239*$X$1239</f>
        <v>120.50999999999999</v>
      </c>
      <c r="AE1239" s="6">
        <f>$K$1239*$Y$1239</f>
        <v>0</v>
      </c>
      <c r="AF1239" s="6">
        <f ca="1">$M$1239*$Z$1239</f>
        <v>286.76871543459583</v>
      </c>
      <c r="AG1239" s="6">
        <f>$O$1239*$AA$1239</f>
        <v>157.44044755569817</v>
      </c>
    </row>
    <row r="1240" spans="1:33" ht="11.25" customHeight="1" x14ac:dyDescent="0.25">
      <c r="A1240" s="4" t="s">
        <v>59</v>
      </c>
      <c r="B1240" s="4" t="s">
        <v>22</v>
      </c>
      <c r="C1240" s="4" t="s">
        <v>23</v>
      </c>
      <c r="D1240" s="4" t="s">
        <v>24</v>
      </c>
      <c r="E1240" s="4" t="s">
        <v>31</v>
      </c>
      <c r="F1240" s="4" t="s">
        <v>25</v>
      </c>
      <c r="G1240" s="4" t="s">
        <v>25</v>
      </c>
      <c r="H1240" s="4" t="s">
        <v>25</v>
      </c>
      <c r="I1240" s="5">
        <v>44866</v>
      </c>
      <c r="J1240" s="6">
        <v>0</v>
      </c>
      <c r="K1240" s="6">
        <v>0</v>
      </c>
      <c r="L1240" s="6">
        <v>1398.9880000000001</v>
      </c>
      <c r="M1240" s="6">
        <v>1398.9880000000001</v>
      </c>
      <c r="N1240" s="6">
        <v>1398.9880000000001</v>
      </c>
      <c r="O1240" s="6">
        <v>1398.9880000000001</v>
      </c>
      <c r="P1240" s="6">
        <v>2757</v>
      </c>
      <c r="Q1240" s="4" t="s">
        <v>26</v>
      </c>
      <c r="R1240" s="4">
        <v>0</v>
      </c>
      <c r="S1240" s="6">
        <v>0</v>
      </c>
      <c r="T1240" s="6">
        <v>40</v>
      </c>
      <c r="U1240" s="6">
        <v>84</v>
      </c>
      <c r="V1240" s="6">
        <f>IF(ISERROR(VLOOKUP($S$1240,'TAR FIN'!$A$1:$O$115,15,0)),0,VLOOKUP($S$1240,'TAR FIN'!$A$1:$O$115,15,0))</f>
        <v>0</v>
      </c>
      <c r="W1240" s="6">
        <f>IF(ISERROR(VLOOKUP($T$1240,'TAR FIN'!$A$1:$O$115,15,0)),0,VLOOKUP($T$1240,'TAR FIN'!$A$1:$O$115,15,0))</f>
        <v>141.44</v>
      </c>
      <c r="X1240" s="6">
        <f>IF(ISERROR(VLOOKUP($U$1240,'TAR FIN'!$A$1:$O$115,15,0)),0,VLOOKUP($U$1240,'TAR FIN'!$A$1:$O$115,15,0))</f>
        <v>61.8</v>
      </c>
      <c r="Y1240" s="6"/>
      <c r="Z1240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40" s="6">
        <f>('TE BE'!$AB$21+'TE BF'!$AB$21+'TE CVA'!$AB$21)*(1-CUSTOS!$M$34)</f>
        <v>80.738691054204196</v>
      </c>
      <c r="AB1240" s="6">
        <f>$K$1240*$V$1240</f>
        <v>0</v>
      </c>
      <c r="AC1240" s="6">
        <f>$M$1240*$W$1240</f>
        <v>197872.86272</v>
      </c>
      <c r="AD1240" s="6">
        <f>$O$1240*$X$1240</f>
        <v>86457.458400000003</v>
      </c>
      <c r="AE1240" s="6">
        <f>$K$1240*$Y$1240</f>
        <v>0</v>
      </c>
      <c r="AF1240" s="6">
        <f ca="1">$M$1240*$Z$1240</f>
        <v>205736.40598380222</v>
      </c>
      <c r="AG1240" s="6">
        <f>$O$1240*$AA$1240</f>
        <v>112952.45992053903</v>
      </c>
    </row>
    <row r="1241" spans="1:33" ht="11.25" customHeight="1" x14ac:dyDescent="0.25">
      <c r="A1241" s="4" t="s">
        <v>59</v>
      </c>
      <c r="B1241" s="4" t="s">
        <v>22</v>
      </c>
      <c r="C1241" s="4" t="s">
        <v>23</v>
      </c>
      <c r="D1241" s="4" t="s">
        <v>24</v>
      </c>
      <c r="E1241" s="4" t="s">
        <v>31</v>
      </c>
      <c r="F1241" s="4" t="s">
        <v>25</v>
      </c>
      <c r="G1241" s="4" t="s">
        <v>25</v>
      </c>
      <c r="H1241" s="4" t="s">
        <v>25</v>
      </c>
      <c r="I1241" s="5">
        <v>44866</v>
      </c>
      <c r="J1241" s="6">
        <v>0</v>
      </c>
      <c r="K1241" s="6">
        <v>0</v>
      </c>
      <c r="L1241" s="6">
        <v>3.2320000000000002</v>
      </c>
      <c r="M1241" s="6">
        <v>3.2320000000000002</v>
      </c>
      <c r="N1241" s="6">
        <v>3.2320000000000002</v>
      </c>
      <c r="O1241" s="6">
        <v>3.2320000000000002</v>
      </c>
      <c r="P1241" s="6">
        <v>39</v>
      </c>
      <c r="Q1241" s="4" t="s">
        <v>26</v>
      </c>
      <c r="R1241" s="4">
        <v>0</v>
      </c>
      <c r="S1241" s="6">
        <v>0</v>
      </c>
      <c r="T1241" s="6">
        <v>40</v>
      </c>
      <c r="U1241" s="6">
        <v>84</v>
      </c>
      <c r="V1241" s="6">
        <f>IF(ISERROR(VLOOKUP($S$1241,'TAR FIN'!$A$1:$O$115,15,0)),0,VLOOKUP($S$1241,'TAR FIN'!$A$1:$O$115,15,0))</f>
        <v>0</v>
      </c>
      <c r="W1241" s="6">
        <f>IF(ISERROR(VLOOKUP($T$1241,'TAR FIN'!$A$1:$O$115,15,0)),0,VLOOKUP($T$1241,'TAR FIN'!$A$1:$O$115,15,0))</f>
        <v>141.44</v>
      </c>
      <c r="X1241" s="6">
        <f>IF(ISERROR(VLOOKUP($U$1241,'TAR FIN'!$A$1:$O$115,15,0)),0,VLOOKUP($U$1241,'TAR FIN'!$A$1:$O$115,15,0))</f>
        <v>61.8</v>
      </c>
      <c r="Y1241" s="6"/>
      <c r="Z1241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41" s="6">
        <f>('TE BE'!$AB$21+'TE BF'!$AB$21+'TE CVA'!$AB$21)*(1-CUSTOS!$M$34)</f>
        <v>80.738691054204196</v>
      </c>
      <c r="AB1241" s="6">
        <f>$K$1241*$V$1241</f>
        <v>0</v>
      </c>
      <c r="AC1241" s="6">
        <f>$M$1241*$W$1241</f>
        <v>457.13408000000004</v>
      </c>
      <c r="AD1241" s="6">
        <f>$O$1241*$X$1241</f>
        <v>199.73760000000001</v>
      </c>
      <c r="AE1241" s="6">
        <f>$K$1241*$Y$1241</f>
        <v>0</v>
      </c>
      <c r="AF1241" s="6">
        <f ca="1">$M$1241*$Z$1241</f>
        <v>475.30076322287886</v>
      </c>
      <c r="AG1241" s="6">
        <f>$O$1241*$AA$1241</f>
        <v>260.94744948718795</v>
      </c>
    </row>
    <row r="1242" spans="1:33" ht="11.25" customHeight="1" x14ac:dyDescent="0.25">
      <c r="A1242" s="4" t="s">
        <v>59</v>
      </c>
      <c r="B1242" s="4" t="s">
        <v>22</v>
      </c>
      <c r="C1242" s="4" t="s">
        <v>23</v>
      </c>
      <c r="D1242" s="4" t="s">
        <v>24</v>
      </c>
      <c r="E1242" s="4" t="s">
        <v>31</v>
      </c>
      <c r="F1242" s="4" t="s">
        <v>25</v>
      </c>
      <c r="G1242" s="4" t="s">
        <v>25</v>
      </c>
      <c r="H1242" s="4" t="s">
        <v>25</v>
      </c>
      <c r="I1242" s="5">
        <v>44866</v>
      </c>
      <c r="J1242" s="6">
        <v>0</v>
      </c>
      <c r="K1242" s="6">
        <v>0</v>
      </c>
      <c r="L1242" s="6">
        <v>674.40800000000002</v>
      </c>
      <c r="M1242" s="6">
        <v>674.40800000000002</v>
      </c>
      <c r="N1242" s="6">
        <v>674.40800000000002</v>
      </c>
      <c r="O1242" s="6">
        <v>674.40800000000002</v>
      </c>
      <c r="P1242" s="6">
        <v>1569</v>
      </c>
      <c r="Q1242" s="4" t="s">
        <v>26</v>
      </c>
      <c r="R1242" s="4">
        <v>0</v>
      </c>
      <c r="S1242" s="6">
        <v>0</v>
      </c>
      <c r="T1242" s="6">
        <v>40</v>
      </c>
      <c r="U1242" s="6">
        <v>84</v>
      </c>
      <c r="V1242" s="6">
        <f>IF(ISERROR(VLOOKUP($S$1242,'TAR FIN'!$A$1:$O$115,15,0)),0,VLOOKUP($S$1242,'TAR FIN'!$A$1:$O$115,15,0))</f>
        <v>0</v>
      </c>
      <c r="W1242" s="6">
        <f>IF(ISERROR(VLOOKUP($T$1242,'TAR FIN'!$A$1:$O$115,15,0)),0,VLOOKUP($T$1242,'TAR FIN'!$A$1:$O$115,15,0))</f>
        <v>141.44</v>
      </c>
      <c r="X1242" s="6">
        <f>IF(ISERROR(VLOOKUP($U$1242,'TAR FIN'!$A$1:$O$115,15,0)),0,VLOOKUP($U$1242,'TAR FIN'!$A$1:$O$115,15,0))</f>
        <v>61.8</v>
      </c>
      <c r="Y1242" s="6"/>
      <c r="Z1242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42" s="6">
        <f>('TE BE'!$AB$21+'TE BF'!$AB$21+'TE CVA'!$AB$21)*(1-CUSTOS!$M$34)</f>
        <v>80.738691054204196</v>
      </c>
      <c r="AB1242" s="6">
        <f>$K$1242*$V$1242</f>
        <v>0</v>
      </c>
      <c r="AC1242" s="6">
        <f>$M$1242*$W$1242</f>
        <v>95388.267519999994</v>
      </c>
      <c r="AD1242" s="6">
        <f>$O$1242*$X$1242</f>
        <v>41678.414400000001</v>
      </c>
      <c r="AE1242" s="6">
        <f>$K$1242*$Y$1242</f>
        <v>0</v>
      </c>
      <c r="AF1242" s="6">
        <f ca="1">$M$1242*$Z$1242</f>
        <v>99179.033763494823</v>
      </c>
      <c r="AG1242" s="6">
        <f>$O$1242*$AA$1242</f>
        <v>54450.819156483747</v>
      </c>
    </row>
    <row r="1243" spans="1:33" ht="11.25" customHeight="1" x14ac:dyDescent="0.25">
      <c r="A1243" s="4" t="s">
        <v>59</v>
      </c>
      <c r="B1243" s="4" t="s">
        <v>22</v>
      </c>
      <c r="C1243" s="4" t="s">
        <v>23</v>
      </c>
      <c r="D1243" s="4" t="s">
        <v>24</v>
      </c>
      <c r="E1243" s="4" t="s">
        <v>31</v>
      </c>
      <c r="F1243" s="4" t="s">
        <v>25</v>
      </c>
      <c r="G1243" s="4" t="s">
        <v>25</v>
      </c>
      <c r="H1243" s="4" t="s">
        <v>25</v>
      </c>
      <c r="I1243" s="5">
        <v>44866</v>
      </c>
      <c r="J1243" s="6">
        <v>0</v>
      </c>
      <c r="K1243" s="6">
        <v>0</v>
      </c>
      <c r="L1243" s="6">
        <v>0.439</v>
      </c>
      <c r="M1243" s="6">
        <v>0.439</v>
      </c>
      <c r="N1243" s="6">
        <v>0.439</v>
      </c>
      <c r="O1243" s="6">
        <v>0.439</v>
      </c>
      <c r="P1243" s="6">
        <v>49</v>
      </c>
      <c r="Q1243" s="4" t="s">
        <v>26</v>
      </c>
      <c r="R1243" s="4">
        <v>0</v>
      </c>
      <c r="S1243" s="6">
        <v>0</v>
      </c>
      <c r="T1243" s="6">
        <v>40</v>
      </c>
      <c r="U1243" s="6">
        <v>84</v>
      </c>
      <c r="V1243" s="6">
        <f>IF(ISERROR(VLOOKUP($S$1243,'TAR FIN'!$A$1:$O$115,15,0)),0,VLOOKUP($S$1243,'TAR FIN'!$A$1:$O$115,15,0))</f>
        <v>0</v>
      </c>
      <c r="W1243" s="6">
        <f>IF(ISERROR(VLOOKUP($T$1243,'TAR FIN'!$A$1:$O$115,15,0)),0,VLOOKUP($T$1243,'TAR FIN'!$A$1:$O$115,15,0))</f>
        <v>141.44</v>
      </c>
      <c r="X1243" s="6">
        <f>IF(ISERROR(VLOOKUP($U$1243,'TAR FIN'!$A$1:$O$115,15,0)),0,VLOOKUP($U$1243,'TAR FIN'!$A$1:$O$115,15,0))</f>
        <v>61.8</v>
      </c>
      <c r="Y1243" s="6"/>
      <c r="Z1243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43" s="6">
        <f>('TE BE'!$AB$21+'TE BF'!$AB$21+'TE CVA'!$AB$21)*(1-CUSTOS!$M$34)</f>
        <v>80.738691054204196</v>
      </c>
      <c r="AB1243" s="6">
        <f>$K$1243*$V$1243</f>
        <v>0</v>
      </c>
      <c r="AC1243" s="6">
        <f>$M$1243*$W$1243</f>
        <v>62.09216</v>
      </c>
      <c r="AD1243" s="6">
        <f>$O$1243*$X$1243</f>
        <v>27.130199999999999</v>
      </c>
      <c r="AE1243" s="6">
        <f>$K$1243*$Y$1243</f>
        <v>0</v>
      </c>
      <c r="AF1243" s="6">
        <f ca="1">$M$1243*$Z$1243</f>
        <v>64.559726192711565</v>
      </c>
      <c r="AG1243" s="6">
        <f>$O$1243*$AA$1243</f>
        <v>35.44428537279564</v>
      </c>
    </row>
    <row r="1244" spans="1:33" ht="11.25" customHeight="1" x14ac:dyDescent="0.25">
      <c r="A1244" s="4" t="s">
        <v>59</v>
      </c>
      <c r="B1244" s="4" t="s">
        <v>22</v>
      </c>
      <c r="C1244" s="4" t="s">
        <v>23</v>
      </c>
      <c r="D1244" s="4" t="s">
        <v>24</v>
      </c>
      <c r="E1244" s="4" t="s">
        <v>31</v>
      </c>
      <c r="F1244" s="4" t="s">
        <v>25</v>
      </c>
      <c r="G1244" s="4" t="s">
        <v>25</v>
      </c>
      <c r="H1244" s="4" t="s">
        <v>25</v>
      </c>
      <c r="I1244" s="5">
        <v>44866</v>
      </c>
      <c r="J1244" s="6">
        <v>0</v>
      </c>
      <c r="K1244" s="6">
        <v>0</v>
      </c>
      <c r="L1244" s="6">
        <v>1.95</v>
      </c>
      <c r="M1244" s="6">
        <v>1.95</v>
      </c>
      <c r="N1244" s="6">
        <v>1.95</v>
      </c>
      <c r="O1244" s="6">
        <v>1.95</v>
      </c>
      <c r="P1244" s="6">
        <v>0</v>
      </c>
      <c r="Q1244" s="4" t="s">
        <v>26</v>
      </c>
      <c r="R1244" s="4">
        <v>0</v>
      </c>
      <c r="S1244" s="6">
        <v>0</v>
      </c>
      <c r="T1244" s="6">
        <v>40</v>
      </c>
      <c r="U1244" s="6">
        <v>84</v>
      </c>
      <c r="V1244" s="6">
        <f>IF(ISERROR(VLOOKUP($S$1244,'TAR FIN'!$A$1:$O$115,15,0)),0,VLOOKUP($S$1244,'TAR FIN'!$A$1:$O$115,15,0))</f>
        <v>0</v>
      </c>
      <c r="W1244" s="6">
        <f>IF(ISERROR(VLOOKUP($T$1244,'TAR FIN'!$A$1:$O$115,15,0)),0,VLOOKUP($T$1244,'TAR FIN'!$A$1:$O$115,15,0))</f>
        <v>141.44</v>
      </c>
      <c r="X1244" s="6">
        <f>IF(ISERROR(VLOOKUP($U$1244,'TAR FIN'!$A$1:$O$115,15,0)),0,VLOOKUP($U$1244,'TAR FIN'!$A$1:$O$115,15,0))</f>
        <v>61.8</v>
      </c>
      <c r="Y1244" s="6"/>
      <c r="Z1244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1244" s="6">
        <f>('TE BE'!$AB$21+'TE BF'!$AB$21+'TE CVA'!$AB$21)*(1-CUSTOS!$M$34)</f>
        <v>80.738691054204196</v>
      </c>
      <c r="AB1244" s="6">
        <f>$K$1244*$V$1244</f>
        <v>0</v>
      </c>
      <c r="AC1244" s="6">
        <f>$M$1244*$W$1244</f>
        <v>275.80799999999999</v>
      </c>
      <c r="AD1244" s="6">
        <f>$O$1244*$X$1244</f>
        <v>120.50999999999999</v>
      </c>
      <c r="AE1244" s="6">
        <f>$K$1244*$Y$1244</f>
        <v>0</v>
      </c>
      <c r="AF1244" s="6">
        <f ca="1">$M$1244*$Z$1244</f>
        <v>286.76871543459583</v>
      </c>
      <c r="AG1244" s="6">
        <f>$O$1244*$AA$1244</f>
        <v>157.44044755569817</v>
      </c>
    </row>
    <row r="1245" spans="1:33" ht="11.25" customHeight="1" x14ac:dyDescent="0.25">
      <c r="A1245" s="4" t="s">
        <v>21</v>
      </c>
      <c r="B1245" s="4" t="s">
        <v>22</v>
      </c>
      <c r="C1245" s="4" t="s">
        <v>23</v>
      </c>
      <c r="D1245" s="4" t="s">
        <v>24</v>
      </c>
      <c r="E1245" s="4" t="s">
        <v>32</v>
      </c>
      <c r="F1245" s="4" t="s">
        <v>25</v>
      </c>
      <c r="G1245" s="4" t="s">
        <v>25</v>
      </c>
      <c r="H1245" s="4" t="s">
        <v>25</v>
      </c>
      <c r="I1245" s="5">
        <v>44531</v>
      </c>
      <c r="J1245" s="6">
        <v>0</v>
      </c>
      <c r="K1245" s="6">
        <v>0</v>
      </c>
      <c r="L1245" s="6">
        <v>2133.8649999999998</v>
      </c>
      <c r="M1245" s="6">
        <v>2133.8649999999998</v>
      </c>
      <c r="N1245" s="6">
        <v>2133.8649999999998</v>
      </c>
      <c r="O1245" s="6">
        <v>2133.8649999999998</v>
      </c>
      <c r="P1245" s="6">
        <v>8045</v>
      </c>
      <c r="Q1245" s="4" t="s">
        <v>26</v>
      </c>
      <c r="R1245" s="4">
        <v>0</v>
      </c>
      <c r="S1245" s="6">
        <v>0</v>
      </c>
      <c r="T1245" s="6">
        <v>41</v>
      </c>
      <c r="U1245" s="6">
        <v>85</v>
      </c>
      <c r="V1245" s="6">
        <f>IF(ISERROR(VLOOKUP($S$1245,'TAR FIN'!$A$1:$O$115,15,0)),0,VLOOKUP($S$1245,'TAR FIN'!$A$1:$O$115,15,0))</f>
        <v>0</v>
      </c>
      <c r="W1245" s="6">
        <f>IF(ISERROR(VLOOKUP($T$1245,'TAR FIN'!$A$1:$O$115,15,0)),0,VLOOKUP($T$1245,'TAR FIN'!$A$1:$O$115,15,0))</f>
        <v>242.47</v>
      </c>
      <c r="X1245" s="6">
        <f>IF(ISERROR(VLOOKUP($U$1245,'TAR FIN'!$A$1:$O$115,15,0)),0,VLOOKUP($U$1245,'TAR FIN'!$A$1:$O$115,15,0))</f>
        <v>105.95</v>
      </c>
      <c r="Y1245" s="6"/>
      <c r="Z1245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45" s="6">
        <f>('TE BE'!$AB$22+'TE BF'!$AB$22+'TE CVA'!$AB$22)*(1-CUSTOS!$M$35)</f>
        <v>138.40918466435005</v>
      </c>
      <c r="AB1245" s="6">
        <f>$K$1245*$V$1245</f>
        <v>0</v>
      </c>
      <c r="AC1245" s="6">
        <f>$M$1245*$W$1245</f>
        <v>517398.24654999992</v>
      </c>
      <c r="AD1245" s="6">
        <f>$O$1245*$X$1245</f>
        <v>226082.99674999999</v>
      </c>
      <c r="AE1245" s="6">
        <f>$K$1245*$Y$1245</f>
        <v>0</v>
      </c>
      <c r="AF1245" s="6">
        <f ca="1">$M$1245*$Z$1245</f>
        <v>537956.68128425826</v>
      </c>
      <c r="AG1245" s="6">
        <f>$O$1245*$AA$1245</f>
        <v>295346.51483379328</v>
      </c>
    </row>
    <row r="1246" spans="1:33" ht="11.25" customHeight="1" x14ac:dyDescent="0.25">
      <c r="A1246" s="4" t="s">
        <v>27</v>
      </c>
      <c r="B1246" s="4" t="s">
        <v>22</v>
      </c>
      <c r="C1246" s="4" t="s">
        <v>23</v>
      </c>
      <c r="D1246" s="4" t="s">
        <v>24</v>
      </c>
      <c r="E1246" s="4" t="s">
        <v>32</v>
      </c>
      <c r="F1246" s="4" t="s">
        <v>25</v>
      </c>
      <c r="G1246" s="4" t="s">
        <v>25</v>
      </c>
      <c r="H1246" s="4" t="s">
        <v>25</v>
      </c>
      <c r="I1246" s="5">
        <v>44531</v>
      </c>
      <c r="J1246" s="6">
        <v>0</v>
      </c>
      <c r="K1246" s="6">
        <v>0</v>
      </c>
      <c r="L1246" s="6">
        <v>-29.978000000000002</v>
      </c>
      <c r="M1246" s="6">
        <v>-29.978000000000002</v>
      </c>
      <c r="N1246" s="6">
        <v>-29.978000000000002</v>
      </c>
      <c r="O1246" s="6">
        <v>-29.978000000000002</v>
      </c>
      <c r="P1246" s="6">
        <v>-33</v>
      </c>
      <c r="Q1246" s="4" t="s">
        <v>26</v>
      </c>
      <c r="R1246" s="4">
        <v>0</v>
      </c>
      <c r="S1246" s="6">
        <v>0</v>
      </c>
      <c r="T1246" s="6">
        <v>41</v>
      </c>
      <c r="U1246" s="6">
        <v>85</v>
      </c>
      <c r="V1246" s="6">
        <f>IF(ISERROR(VLOOKUP($S$1246,'TAR FIN'!$A$1:$O$115,15,0)),0,VLOOKUP($S$1246,'TAR FIN'!$A$1:$O$115,15,0))</f>
        <v>0</v>
      </c>
      <c r="W1246" s="6">
        <f>IF(ISERROR(VLOOKUP($T$1246,'TAR FIN'!$A$1:$O$115,15,0)),0,VLOOKUP($T$1246,'TAR FIN'!$A$1:$O$115,15,0))</f>
        <v>242.47</v>
      </c>
      <c r="X1246" s="6">
        <f>IF(ISERROR(VLOOKUP($U$1246,'TAR FIN'!$A$1:$O$115,15,0)),0,VLOOKUP($U$1246,'TAR FIN'!$A$1:$O$115,15,0))</f>
        <v>105.95</v>
      </c>
      <c r="Y1246" s="6"/>
      <c r="Z1246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46" s="6">
        <f>('TE BE'!$AB$22+'TE BF'!$AB$22+'TE CVA'!$AB$22)*(1-CUSTOS!$M$35)</f>
        <v>138.40918466435005</v>
      </c>
      <c r="AB1246" s="6">
        <f>$K$1246*$V$1246</f>
        <v>0</v>
      </c>
      <c r="AC1246" s="6">
        <f>$M$1246*$W$1246</f>
        <v>-7268.76566</v>
      </c>
      <c r="AD1246" s="6">
        <f>$O$1246*$X$1246</f>
        <v>-3176.1691000000001</v>
      </c>
      <c r="AE1246" s="6">
        <f>$K$1246*$Y$1246</f>
        <v>0</v>
      </c>
      <c r="AF1246" s="6">
        <f ca="1">$M$1246*$Z$1246</f>
        <v>-7557.5846604820345</v>
      </c>
      <c r="AG1246" s="6">
        <f>$O$1246*$AA$1246</f>
        <v>-4149.2305378678857</v>
      </c>
    </row>
    <row r="1247" spans="1:33" ht="11.25" customHeight="1" x14ac:dyDescent="0.25">
      <c r="A1247" s="4" t="s">
        <v>28</v>
      </c>
      <c r="B1247" s="4" t="s">
        <v>22</v>
      </c>
      <c r="C1247" s="4" t="s">
        <v>23</v>
      </c>
      <c r="D1247" s="4" t="s">
        <v>24</v>
      </c>
      <c r="E1247" s="4" t="s">
        <v>32</v>
      </c>
      <c r="F1247" s="4" t="s">
        <v>25</v>
      </c>
      <c r="G1247" s="4" t="s">
        <v>25</v>
      </c>
      <c r="H1247" s="4" t="s">
        <v>25</v>
      </c>
      <c r="I1247" s="5">
        <v>44531</v>
      </c>
      <c r="J1247" s="6">
        <v>0</v>
      </c>
      <c r="K1247" s="6">
        <v>0</v>
      </c>
      <c r="L1247" s="6">
        <v>1049.431</v>
      </c>
      <c r="M1247" s="6">
        <v>1049.431</v>
      </c>
      <c r="N1247" s="6">
        <v>1049.431</v>
      </c>
      <c r="O1247" s="6">
        <v>1049.431</v>
      </c>
      <c r="P1247" s="6">
        <v>6694</v>
      </c>
      <c r="Q1247" s="4" t="s">
        <v>26</v>
      </c>
      <c r="R1247" s="4">
        <v>0</v>
      </c>
      <c r="S1247" s="6">
        <v>0</v>
      </c>
      <c r="T1247" s="6">
        <v>41</v>
      </c>
      <c r="U1247" s="6">
        <v>85</v>
      </c>
      <c r="V1247" s="6">
        <f>IF(ISERROR(VLOOKUP($S$1247,'TAR FIN'!$A$1:$O$115,15,0)),0,VLOOKUP($S$1247,'TAR FIN'!$A$1:$O$115,15,0))</f>
        <v>0</v>
      </c>
      <c r="W1247" s="6">
        <f>IF(ISERROR(VLOOKUP($T$1247,'TAR FIN'!$A$1:$O$115,15,0)),0,VLOOKUP($T$1247,'TAR FIN'!$A$1:$O$115,15,0))</f>
        <v>242.47</v>
      </c>
      <c r="X1247" s="6">
        <f>IF(ISERROR(VLOOKUP($U$1247,'TAR FIN'!$A$1:$O$115,15,0)),0,VLOOKUP($U$1247,'TAR FIN'!$A$1:$O$115,15,0))</f>
        <v>105.95</v>
      </c>
      <c r="Y1247" s="6"/>
      <c r="Z1247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47" s="6">
        <f>('TE BE'!$AB$22+'TE BF'!$AB$22+'TE CVA'!$AB$22)*(1-CUSTOS!$M$35)</f>
        <v>138.40918466435005</v>
      </c>
      <c r="AB1247" s="6">
        <f>$K$1247*$V$1247</f>
        <v>0</v>
      </c>
      <c r="AC1247" s="6">
        <f>$M$1247*$W$1247</f>
        <v>254455.53457000002</v>
      </c>
      <c r="AD1247" s="6">
        <f>$O$1247*$X$1247</f>
        <v>111187.21445000001</v>
      </c>
      <c r="AE1247" s="6">
        <f>$K$1247*$Y$1247</f>
        <v>0</v>
      </c>
      <c r="AF1247" s="6">
        <f ca="1">$M$1247*$Z$1247</f>
        <v>264566.13609427988</v>
      </c>
      <c r="AG1247" s="6">
        <f>$O$1247*$AA$1247</f>
        <v>145250.88907149356</v>
      </c>
    </row>
    <row r="1248" spans="1:33" ht="11.25" customHeight="1" x14ac:dyDescent="0.25">
      <c r="A1248" s="4" t="s">
        <v>29</v>
      </c>
      <c r="B1248" s="4" t="s">
        <v>22</v>
      </c>
      <c r="C1248" s="4" t="s">
        <v>23</v>
      </c>
      <c r="D1248" s="4" t="s">
        <v>24</v>
      </c>
      <c r="E1248" s="4" t="s">
        <v>32</v>
      </c>
      <c r="F1248" s="4" t="s">
        <v>25</v>
      </c>
      <c r="G1248" s="4" t="s">
        <v>25</v>
      </c>
      <c r="H1248" s="4" t="s">
        <v>25</v>
      </c>
      <c r="I1248" s="5">
        <v>44531</v>
      </c>
      <c r="J1248" s="6">
        <v>0</v>
      </c>
      <c r="K1248" s="6">
        <v>0</v>
      </c>
      <c r="L1248" s="6">
        <v>-1.8089999999999999</v>
      </c>
      <c r="M1248" s="6">
        <v>-1.8089999999999999</v>
      </c>
      <c r="N1248" s="6">
        <v>-1.8089999999999999</v>
      </c>
      <c r="O1248" s="6">
        <v>-1.8089999999999999</v>
      </c>
      <c r="P1248" s="6">
        <v>-34</v>
      </c>
      <c r="Q1248" s="4" t="s">
        <v>26</v>
      </c>
      <c r="R1248" s="4">
        <v>0</v>
      </c>
      <c r="S1248" s="6">
        <v>0</v>
      </c>
      <c r="T1248" s="6">
        <v>41</v>
      </c>
      <c r="U1248" s="6">
        <v>85</v>
      </c>
      <c r="V1248" s="6">
        <f>IF(ISERROR(VLOOKUP($S$1248,'TAR FIN'!$A$1:$O$115,15,0)),0,VLOOKUP($S$1248,'TAR FIN'!$A$1:$O$115,15,0))</f>
        <v>0</v>
      </c>
      <c r="W1248" s="6">
        <f>IF(ISERROR(VLOOKUP($T$1248,'TAR FIN'!$A$1:$O$115,15,0)),0,VLOOKUP($T$1248,'TAR FIN'!$A$1:$O$115,15,0))</f>
        <v>242.47</v>
      </c>
      <c r="X1248" s="6">
        <f>IF(ISERROR(VLOOKUP($U$1248,'TAR FIN'!$A$1:$O$115,15,0)),0,VLOOKUP($U$1248,'TAR FIN'!$A$1:$O$115,15,0))</f>
        <v>105.95</v>
      </c>
      <c r="Y1248" s="6"/>
      <c r="Z1248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48" s="6">
        <f>('TE BE'!$AB$22+'TE BF'!$AB$22+'TE CVA'!$AB$22)*(1-CUSTOS!$M$35)</f>
        <v>138.40918466435005</v>
      </c>
      <c r="AB1248" s="6">
        <f>$K$1248*$V$1248</f>
        <v>0</v>
      </c>
      <c r="AC1248" s="6">
        <f>$M$1248*$W$1248</f>
        <v>-438.62822999999997</v>
      </c>
      <c r="AD1248" s="6">
        <f>$O$1248*$X$1248</f>
        <v>-191.66354999999999</v>
      </c>
      <c r="AE1248" s="6">
        <f>$K$1248*$Y$1248</f>
        <v>0</v>
      </c>
      <c r="AF1248" s="6">
        <f ca="1">$M$1248*$Z$1248</f>
        <v>-456.0567966779638</v>
      </c>
      <c r="AG1248" s="6">
        <f>$O$1248*$AA$1248</f>
        <v>-250.38221505780922</v>
      </c>
    </row>
    <row r="1249" spans="1:33" ht="11.25" customHeight="1" x14ac:dyDescent="0.25">
      <c r="A1249" s="4" t="s">
        <v>30</v>
      </c>
      <c r="B1249" s="4" t="s">
        <v>22</v>
      </c>
      <c r="C1249" s="4" t="s">
        <v>23</v>
      </c>
      <c r="D1249" s="4" t="s">
        <v>24</v>
      </c>
      <c r="E1249" s="4" t="s">
        <v>32</v>
      </c>
      <c r="F1249" s="4" t="s">
        <v>25</v>
      </c>
      <c r="G1249" s="4" t="s">
        <v>25</v>
      </c>
      <c r="H1249" s="4" t="s">
        <v>25</v>
      </c>
      <c r="I1249" s="5">
        <v>44531</v>
      </c>
      <c r="J1249" s="6">
        <v>0</v>
      </c>
      <c r="K1249" s="6">
        <v>0</v>
      </c>
      <c r="L1249" s="6">
        <v>1.46</v>
      </c>
      <c r="M1249" s="6">
        <v>1.46</v>
      </c>
      <c r="N1249" s="6">
        <v>1.46</v>
      </c>
      <c r="O1249" s="6">
        <v>1.46</v>
      </c>
      <c r="P1249" s="6">
        <v>0</v>
      </c>
      <c r="Q1249" s="4" t="s">
        <v>26</v>
      </c>
      <c r="R1249" s="4">
        <v>0</v>
      </c>
      <c r="S1249" s="6">
        <v>0</v>
      </c>
      <c r="T1249" s="6">
        <v>41</v>
      </c>
      <c r="U1249" s="6">
        <v>85</v>
      </c>
      <c r="V1249" s="6">
        <f>IF(ISERROR(VLOOKUP($S$1249,'TAR FIN'!$A$1:$O$115,15,0)),0,VLOOKUP($S$1249,'TAR FIN'!$A$1:$O$115,15,0))</f>
        <v>0</v>
      </c>
      <c r="W1249" s="6">
        <f>IF(ISERROR(VLOOKUP($T$1249,'TAR FIN'!$A$1:$O$115,15,0)),0,VLOOKUP($T$1249,'TAR FIN'!$A$1:$O$115,15,0))</f>
        <v>242.47</v>
      </c>
      <c r="X1249" s="6">
        <f>IF(ISERROR(VLOOKUP($U$1249,'TAR FIN'!$A$1:$O$115,15,0)),0,VLOOKUP($U$1249,'TAR FIN'!$A$1:$O$115,15,0))</f>
        <v>105.95</v>
      </c>
      <c r="Y1249" s="6"/>
      <c r="Z1249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49" s="6">
        <f>('TE BE'!$AB$22+'TE BF'!$AB$22+'TE CVA'!$AB$22)*(1-CUSTOS!$M$35)</f>
        <v>138.40918466435005</v>
      </c>
      <c r="AB1249" s="6">
        <f>$K$1249*$V$1249</f>
        <v>0</v>
      </c>
      <c r="AC1249" s="6">
        <f>$M$1249*$W$1249</f>
        <v>354.00619999999998</v>
      </c>
      <c r="AD1249" s="6">
        <f>$O$1249*$X$1249</f>
        <v>154.68700000000001</v>
      </c>
      <c r="AE1249" s="6">
        <f>$K$1249*$Y$1249</f>
        <v>0</v>
      </c>
      <c r="AF1249" s="6">
        <f ca="1">$M$1249*$Z$1249</f>
        <v>368.07237321715155</v>
      </c>
      <c r="AG1249" s="6">
        <f>$O$1249*$AA$1249</f>
        <v>202.07740960995108</v>
      </c>
    </row>
    <row r="1250" spans="1:33" ht="11.25" customHeight="1" x14ac:dyDescent="0.25">
      <c r="A1250" s="4" t="s">
        <v>30</v>
      </c>
      <c r="B1250" s="4" t="s">
        <v>22</v>
      </c>
      <c r="C1250" s="4" t="s">
        <v>23</v>
      </c>
      <c r="D1250" s="4" t="s">
        <v>24</v>
      </c>
      <c r="E1250" s="4" t="s">
        <v>32</v>
      </c>
      <c r="F1250" s="4" t="s">
        <v>25</v>
      </c>
      <c r="G1250" s="4" t="s">
        <v>25</v>
      </c>
      <c r="H1250" s="4" t="s">
        <v>25</v>
      </c>
      <c r="I1250" s="5">
        <v>44531</v>
      </c>
      <c r="J1250" s="6">
        <v>0</v>
      </c>
      <c r="K1250" s="6">
        <v>0</v>
      </c>
      <c r="L1250" s="6">
        <v>-7.0000000000000007E-2</v>
      </c>
      <c r="M1250" s="6">
        <v>-7.0000000000000007E-2</v>
      </c>
      <c r="N1250" s="6">
        <v>-7.0000000000000007E-2</v>
      </c>
      <c r="O1250" s="6">
        <v>-7.0000000000000007E-2</v>
      </c>
      <c r="P1250" s="6">
        <v>0</v>
      </c>
      <c r="Q1250" s="4" t="s">
        <v>26</v>
      </c>
      <c r="R1250" s="4">
        <v>0</v>
      </c>
      <c r="S1250" s="6">
        <v>0</v>
      </c>
      <c r="T1250" s="6">
        <v>41</v>
      </c>
      <c r="U1250" s="6">
        <v>85</v>
      </c>
      <c r="V1250" s="6">
        <f>IF(ISERROR(VLOOKUP($S$1250,'TAR FIN'!$A$1:$O$115,15,0)),0,VLOOKUP($S$1250,'TAR FIN'!$A$1:$O$115,15,0))</f>
        <v>0</v>
      </c>
      <c r="W1250" s="6">
        <f>IF(ISERROR(VLOOKUP($T$1250,'TAR FIN'!$A$1:$O$115,15,0)),0,VLOOKUP($T$1250,'TAR FIN'!$A$1:$O$115,15,0))</f>
        <v>242.47</v>
      </c>
      <c r="X1250" s="6">
        <f>IF(ISERROR(VLOOKUP($U$1250,'TAR FIN'!$A$1:$O$115,15,0)),0,VLOOKUP($U$1250,'TAR FIN'!$A$1:$O$115,15,0))</f>
        <v>105.95</v>
      </c>
      <c r="Y1250" s="6"/>
      <c r="Z1250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50" s="6">
        <f>('TE BE'!$AB$22+'TE BF'!$AB$22+'TE CVA'!$AB$22)*(1-CUSTOS!$M$35)</f>
        <v>138.40918466435005</v>
      </c>
      <c r="AB1250" s="6">
        <f>$K$1250*$V$1250</f>
        <v>0</v>
      </c>
      <c r="AC1250" s="6">
        <f>$M$1250*$W$1250</f>
        <v>-16.972900000000003</v>
      </c>
      <c r="AD1250" s="6">
        <f>$O$1250*$X$1250</f>
        <v>-7.416500000000001</v>
      </c>
      <c r="AE1250" s="6">
        <f>$K$1250*$Y$1250</f>
        <v>0</v>
      </c>
      <c r="AF1250" s="6">
        <f ca="1">$M$1250*$Z$1250</f>
        <v>-17.647305565205897</v>
      </c>
      <c r="AG1250" s="6">
        <f>$O$1250*$AA$1250</f>
        <v>-9.6886429265045049</v>
      </c>
    </row>
    <row r="1251" spans="1:33" ht="11.25" customHeight="1" x14ac:dyDescent="0.25">
      <c r="A1251" s="4" t="s">
        <v>21</v>
      </c>
      <c r="B1251" s="4" t="s">
        <v>22</v>
      </c>
      <c r="C1251" s="4" t="s">
        <v>23</v>
      </c>
      <c r="D1251" s="4" t="s">
        <v>24</v>
      </c>
      <c r="E1251" s="4" t="s">
        <v>32</v>
      </c>
      <c r="F1251" s="4" t="s">
        <v>25</v>
      </c>
      <c r="G1251" s="4" t="s">
        <v>25</v>
      </c>
      <c r="H1251" s="4" t="s">
        <v>25</v>
      </c>
      <c r="I1251" s="5">
        <v>44562</v>
      </c>
      <c r="J1251" s="6">
        <v>0</v>
      </c>
      <c r="K1251" s="6">
        <v>0</v>
      </c>
      <c r="L1251" s="6">
        <v>2159.6320000000001</v>
      </c>
      <c r="M1251" s="6">
        <v>2159.6320000000001</v>
      </c>
      <c r="N1251" s="6">
        <v>2159.6320000000001</v>
      </c>
      <c r="O1251" s="6">
        <v>2159.6320000000001</v>
      </c>
      <c r="P1251" s="6">
        <v>8160</v>
      </c>
      <c r="Q1251" s="4" t="s">
        <v>26</v>
      </c>
      <c r="R1251" s="4">
        <v>0</v>
      </c>
      <c r="S1251" s="6">
        <v>0</v>
      </c>
      <c r="T1251" s="6">
        <v>41</v>
      </c>
      <c r="U1251" s="6">
        <v>85</v>
      </c>
      <c r="V1251" s="6">
        <f>IF(ISERROR(VLOOKUP($S$1251,'TAR FIN'!$A$1:$O$115,15,0)),0,VLOOKUP($S$1251,'TAR FIN'!$A$1:$O$115,15,0))</f>
        <v>0</v>
      </c>
      <c r="W1251" s="6">
        <f>IF(ISERROR(VLOOKUP($T$1251,'TAR FIN'!$A$1:$O$115,15,0)),0,VLOOKUP($T$1251,'TAR FIN'!$A$1:$O$115,15,0))</f>
        <v>242.47</v>
      </c>
      <c r="X1251" s="6">
        <f>IF(ISERROR(VLOOKUP($U$1251,'TAR FIN'!$A$1:$O$115,15,0)),0,VLOOKUP($U$1251,'TAR FIN'!$A$1:$O$115,15,0))</f>
        <v>105.95</v>
      </c>
      <c r="Y1251" s="6"/>
      <c r="Z1251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51" s="6">
        <f>('TE BE'!$AB$22+'TE BF'!$AB$22+'TE CVA'!$AB$22)*(1-CUSTOS!$M$35)</f>
        <v>138.40918466435005</v>
      </c>
      <c r="AB1251" s="6">
        <f>$K$1251*$V$1251</f>
        <v>0</v>
      </c>
      <c r="AC1251" s="6">
        <f>$M$1251*$W$1251</f>
        <v>523645.97104000003</v>
      </c>
      <c r="AD1251" s="6">
        <f>$O$1251*$X$1251</f>
        <v>228813.0104</v>
      </c>
      <c r="AE1251" s="6">
        <f>$K$1251*$Y$1251</f>
        <v>0</v>
      </c>
      <c r="AF1251" s="6">
        <f ca="1">$M$1251*$Z$1251</f>
        <v>544452.65446281061</v>
      </c>
      <c r="AG1251" s="6">
        <f>$O$1251*$AA$1251</f>
        <v>298912.90429503965</v>
      </c>
    </row>
    <row r="1252" spans="1:33" ht="11.25" customHeight="1" x14ac:dyDescent="0.25">
      <c r="A1252" s="4" t="s">
        <v>27</v>
      </c>
      <c r="B1252" s="4" t="s">
        <v>22</v>
      </c>
      <c r="C1252" s="4" t="s">
        <v>23</v>
      </c>
      <c r="D1252" s="4" t="s">
        <v>24</v>
      </c>
      <c r="E1252" s="4" t="s">
        <v>32</v>
      </c>
      <c r="F1252" s="4" t="s">
        <v>25</v>
      </c>
      <c r="G1252" s="4" t="s">
        <v>25</v>
      </c>
      <c r="H1252" s="4" t="s">
        <v>25</v>
      </c>
      <c r="I1252" s="5">
        <v>44562</v>
      </c>
      <c r="J1252" s="6">
        <v>0</v>
      </c>
      <c r="K1252" s="6">
        <v>0</v>
      </c>
      <c r="L1252" s="6">
        <v>-11.404</v>
      </c>
      <c r="M1252" s="6">
        <v>-11.404</v>
      </c>
      <c r="N1252" s="6">
        <v>-11.404</v>
      </c>
      <c r="O1252" s="6">
        <v>-11.404</v>
      </c>
      <c r="P1252" s="6">
        <v>-36</v>
      </c>
      <c r="Q1252" s="4" t="s">
        <v>26</v>
      </c>
      <c r="R1252" s="4">
        <v>0</v>
      </c>
      <c r="S1252" s="6">
        <v>0</v>
      </c>
      <c r="T1252" s="6">
        <v>41</v>
      </c>
      <c r="U1252" s="6">
        <v>85</v>
      </c>
      <c r="V1252" s="6">
        <f>IF(ISERROR(VLOOKUP($S$1252,'TAR FIN'!$A$1:$O$115,15,0)),0,VLOOKUP($S$1252,'TAR FIN'!$A$1:$O$115,15,0))</f>
        <v>0</v>
      </c>
      <c r="W1252" s="6">
        <f>IF(ISERROR(VLOOKUP($T$1252,'TAR FIN'!$A$1:$O$115,15,0)),0,VLOOKUP($T$1252,'TAR FIN'!$A$1:$O$115,15,0))</f>
        <v>242.47</v>
      </c>
      <c r="X1252" s="6">
        <f>IF(ISERROR(VLOOKUP($U$1252,'TAR FIN'!$A$1:$O$115,15,0)),0,VLOOKUP($U$1252,'TAR FIN'!$A$1:$O$115,15,0))</f>
        <v>105.95</v>
      </c>
      <c r="Y1252" s="6"/>
      <c r="Z1252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52" s="6">
        <f>('TE BE'!$AB$22+'TE BF'!$AB$22+'TE CVA'!$AB$22)*(1-CUSTOS!$M$35)</f>
        <v>138.40918466435005</v>
      </c>
      <c r="AB1252" s="6">
        <f>$K$1252*$V$1252</f>
        <v>0</v>
      </c>
      <c r="AC1252" s="6">
        <f>$M$1252*$W$1252</f>
        <v>-2765.12788</v>
      </c>
      <c r="AD1252" s="6">
        <f>$O$1252*$X$1252</f>
        <v>-1208.2538</v>
      </c>
      <c r="AE1252" s="6">
        <f>$K$1252*$Y$1252</f>
        <v>0</v>
      </c>
      <c r="AF1252" s="6">
        <f ca="1">$M$1252*$Z$1252</f>
        <v>-2874.998180937258</v>
      </c>
      <c r="AG1252" s="6">
        <f>$O$1252*$AA$1252</f>
        <v>-1578.418341912248</v>
      </c>
    </row>
    <row r="1253" spans="1:33" ht="11.25" customHeight="1" x14ac:dyDescent="0.25">
      <c r="A1253" s="4" t="s">
        <v>28</v>
      </c>
      <c r="B1253" s="4" t="s">
        <v>22</v>
      </c>
      <c r="C1253" s="4" t="s">
        <v>23</v>
      </c>
      <c r="D1253" s="4" t="s">
        <v>24</v>
      </c>
      <c r="E1253" s="4" t="s">
        <v>32</v>
      </c>
      <c r="F1253" s="4" t="s">
        <v>25</v>
      </c>
      <c r="G1253" s="4" t="s">
        <v>25</v>
      </c>
      <c r="H1253" s="4" t="s">
        <v>25</v>
      </c>
      <c r="I1253" s="5">
        <v>44562</v>
      </c>
      <c r="J1253" s="6">
        <v>0</v>
      </c>
      <c r="K1253" s="6">
        <v>0</v>
      </c>
      <c r="L1253" s="6">
        <v>1060.7249999999999</v>
      </c>
      <c r="M1253" s="6">
        <v>1060.7249999999999</v>
      </c>
      <c r="N1253" s="6">
        <v>1060.7249999999999</v>
      </c>
      <c r="O1253" s="6">
        <v>1060.7249999999999</v>
      </c>
      <c r="P1253" s="6">
        <v>6694</v>
      </c>
      <c r="Q1253" s="4" t="s">
        <v>26</v>
      </c>
      <c r="R1253" s="4">
        <v>0</v>
      </c>
      <c r="S1253" s="6">
        <v>0</v>
      </c>
      <c r="T1253" s="6">
        <v>41</v>
      </c>
      <c r="U1253" s="6">
        <v>85</v>
      </c>
      <c r="V1253" s="6">
        <f>IF(ISERROR(VLOOKUP($S$1253,'TAR FIN'!$A$1:$O$115,15,0)),0,VLOOKUP($S$1253,'TAR FIN'!$A$1:$O$115,15,0))</f>
        <v>0</v>
      </c>
      <c r="W1253" s="6">
        <f>IF(ISERROR(VLOOKUP($T$1253,'TAR FIN'!$A$1:$O$115,15,0)),0,VLOOKUP($T$1253,'TAR FIN'!$A$1:$O$115,15,0))</f>
        <v>242.47</v>
      </c>
      <c r="X1253" s="6">
        <f>IF(ISERROR(VLOOKUP($U$1253,'TAR FIN'!$A$1:$O$115,15,0)),0,VLOOKUP($U$1253,'TAR FIN'!$A$1:$O$115,15,0))</f>
        <v>105.95</v>
      </c>
      <c r="Y1253" s="6"/>
      <c r="Z1253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53" s="6">
        <f>('TE BE'!$AB$22+'TE BF'!$AB$22+'TE CVA'!$AB$22)*(1-CUSTOS!$M$35)</f>
        <v>138.40918466435005</v>
      </c>
      <c r="AB1253" s="6">
        <f>$K$1253*$V$1253</f>
        <v>0</v>
      </c>
      <c r="AC1253" s="6">
        <f>$M$1253*$W$1253</f>
        <v>257193.99074999997</v>
      </c>
      <c r="AD1253" s="6">
        <f>$O$1253*$X$1253</f>
        <v>112383.81374999999</v>
      </c>
      <c r="AE1253" s="6">
        <f>$K$1253*$Y$1253</f>
        <v>0</v>
      </c>
      <c r="AF1253" s="6">
        <f ca="1">$M$1253*$Z$1253</f>
        <v>267413.40279504319</v>
      </c>
      <c r="AG1253" s="6">
        <f>$O$1253*$AA$1253</f>
        <v>146814.0824030927</v>
      </c>
    </row>
    <row r="1254" spans="1:33" ht="11.25" customHeight="1" x14ac:dyDescent="0.25">
      <c r="A1254" s="4" t="s">
        <v>29</v>
      </c>
      <c r="B1254" s="4" t="s">
        <v>22</v>
      </c>
      <c r="C1254" s="4" t="s">
        <v>23</v>
      </c>
      <c r="D1254" s="4" t="s">
        <v>24</v>
      </c>
      <c r="E1254" s="4" t="s">
        <v>32</v>
      </c>
      <c r="F1254" s="4" t="s">
        <v>25</v>
      </c>
      <c r="G1254" s="4" t="s">
        <v>25</v>
      </c>
      <c r="H1254" s="4" t="s">
        <v>25</v>
      </c>
      <c r="I1254" s="5">
        <v>44562</v>
      </c>
      <c r="J1254" s="6">
        <v>0</v>
      </c>
      <c r="K1254" s="6">
        <v>0</v>
      </c>
      <c r="L1254" s="6">
        <v>-2.4180000000000001</v>
      </c>
      <c r="M1254" s="6">
        <v>-2.4180000000000001</v>
      </c>
      <c r="N1254" s="6">
        <v>-2.4180000000000001</v>
      </c>
      <c r="O1254" s="6">
        <v>-2.4180000000000001</v>
      </c>
      <c r="P1254" s="6">
        <v>-37</v>
      </c>
      <c r="Q1254" s="4" t="s">
        <v>26</v>
      </c>
      <c r="R1254" s="4">
        <v>0</v>
      </c>
      <c r="S1254" s="6">
        <v>0</v>
      </c>
      <c r="T1254" s="6">
        <v>41</v>
      </c>
      <c r="U1254" s="6">
        <v>85</v>
      </c>
      <c r="V1254" s="6">
        <f>IF(ISERROR(VLOOKUP($S$1254,'TAR FIN'!$A$1:$O$115,15,0)),0,VLOOKUP($S$1254,'TAR FIN'!$A$1:$O$115,15,0))</f>
        <v>0</v>
      </c>
      <c r="W1254" s="6">
        <f>IF(ISERROR(VLOOKUP($T$1254,'TAR FIN'!$A$1:$O$115,15,0)),0,VLOOKUP($T$1254,'TAR FIN'!$A$1:$O$115,15,0))</f>
        <v>242.47</v>
      </c>
      <c r="X1254" s="6">
        <f>IF(ISERROR(VLOOKUP($U$1254,'TAR FIN'!$A$1:$O$115,15,0)),0,VLOOKUP($U$1254,'TAR FIN'!$A$1:$O$115,15,0))</f>
        <v>105.95</v>
      </c>
      <c r="Y1254" s="6"/>
      <c r="Z1254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54" s="6">
        <f>('TE BE'!$AB$22+'TE BF'!$AB$22+'TE CVA'!$AB$22)*(1-CUSTOS!$M$35)</f>
        <v>138.40918466435005</v>
      </c>
      <c r="AB1254" s="6">
        <f>$K$1254*$V$1254</f>
        <v>0</v>
      </c>
      <c r="AC1254" s="6">
        <f>$M$1254*$W$1254</f>
        <v>-586.29246000000001</v>
      </c>
      <c r="AD1254" s="6">
        <f>$O$1254*$X$1254</f>
        <v>-256.18710000000004</v>
      </c>
      <c r="AE1254" s="6">
        <f>$K$1254*$Y$1254</f>
        <v>0</v>
      </c>
      <c r="AF1254" s="6">
        <f ca="1">$M$1254*$Z$1254</f>
        <v>-609.58835509525511</v>
      </c>
      <c r="AG1254" s="6">
        <f>$O$1254*$AA$1254</f>
        <v>-334.67340851839845</v>
      </c>
    </row>
    <row r="1255" spans="1:33" ht="11.25" customHeight="1" x14ac:dyDescent="0.25">
      <c r="A1255" s="4" t="s">
        <v>30</v>
      </c>
      <c r="B1255" s="4" t="s">
        <v>22</v>
      </c>
      <c r="C1255" s="4" t="s">
        <v>23</v>
      </c>
      <c r="D1255" s="4" t="s">
        <v>24</v>
      </c>
      <c r="E1255" s="4" t="s">
        <v>32</v>
      </c>
      <c r="F1255" s="4" t="s">
        <v>25</v>
      </c>
      <c r="G1255" s="4" t="s">
        <v>25</v>
      </c>
      <c r="H1255" s="4" t="s">
        <v>25</v>
      </c>
      <c r="I1255" s="5">
        <v>44562</v>
      </c>
      <c r="J1255" s="6">
        <v>0</v>
      </c>
      <c r="K1255" s="6">
        <v>0</v>
      </c>
      <c r="L1255" s="6">
        <v>1.5229999999999999</v>
      </c>
      <c r="M1255" s="6">
        <v>1.5229999999999999</v>
      </c>
      <c r="N1255" s="6">
        <v>1.5229999999999999</v>
      </c>
      <c r="O1255" s="6">
        <v>1.5229999999999999</v>
      </c>
      <c r="P1255" s="6">
        <v>0</v>
      </c>
      <c r="Q1255" s="4" t="s">
        <v>26</v>
      </c>
      <c r="R1255" s="4">
        <v>0</v>
      </c>
      <c r="S1255" s="6">
        <v>0</v>
      </c>
      <c r="T1255" s="6">
        <v>41</v>
      </c>
      <c r="U1255" s="6">
        <v>85</v>
      </c>
      <c r="V1255" s="6">
        <f>IF(ISERROR(VLOOKUP($S$1255,'TAR FIN'!$A$1:$O$115,15,0)),0,VLOOKUP($S$1255,'TAR FIN'!$A$1:$O$115,15,0))</f>
        <v>0</v>
      </c>
      <c r="W1255" s="6">
        <f>IF(ISERROR(VLOOKUP($T$1255,'TAR FIN'!$A$1:$O$115,15,0)),0,VLOOKUP($T$1255,'TAR FIN'!$A$1:$O$115,15,0))</f>
        <v>242.47</v>
      </c>
      <c r="X1255" s="6">
        <f>IF(ISERROR(VLOOKUP($U$1255,'TAR FIN'!$A$1:$O$115,15,0)),0,VLOOKUP($U$1255,'TAR FIN'!$A$1:$O$115,15,0))</f>
        <v>105.95</v>
      </c>
      <c r="Y1255" s="6"/>
      <c r="Z1255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55" s="6">
        <f>('TE BE'!$AB$22+'TE BF'!$AB$22+'TE CVA'!$AB$22)*(1-CUSTOS!$M$35)</f>
        <v>138.40918466435005</v>
      </c>
      <c r="AB1255" s="6">
        <f>$K$1255*$V$1255</f>
        <v>0</v>
      </c>
      <c r="AC1255" s="6">
        <f>$M$1255*$W$1255</f>
        <v>369.28180999999995</v>
      </c>
      <c r="AD1255" s="6">
        <f>$O$1255*$X$1255</f>
        <v>161.36185</v>
      </c>
      <c r="AE1255" s="6">
        <f>$K$1255*$Y$1255</f>
        <v>0</v>
      </c>
      <c r="AF1255" s="6">
        <f ca="1">$M$1255*$Z$1255</f>
        <v>383.95494822583686</v>
      </c>
      <c r="AG1255" s="6">
        <f>$O$1255*$AA$1255</f>
        <v>210.79718824380512</v>
      </c>
    </row>
    <row r="1256" spans="1:33" ht="11.25" customHeight="1" x14ac:dyDescent="0.25">
      <c r="A1256" s="4" t="s">
        <v>30</v>
      </c>
      <c r="B1256" s="4" t="s">
        <v>22</v>
      </c>
      <c r="C1256" s="4" t="s">
        <v>23</v>
      </c>
      <c r="D1256" s="4" t="s">
        <v>24</v>
      </c>
      <c r="E1256" s="4" t="s">
        <v>32</v>
      </c>
      <c r="F1256" s="4" t="s">
        <v>25</v>
      </c>
      <c r="G1256" s="4" t="s">
        <v>25</v>
      </c>
      <c r="H1256" s="4" t="s">
        <v>25</v>
      </c>
      <c r="I1256" s="5">
        <v>44562</v>
      </c>
      <c r="J1256" s="6">
        <v>0</v>
      </c>
      <c r="K1256" s="6">
        <v>0</v>
      </c>
      <c r="L1256" s="6">
        <v>-7.0000000000000007E-2</v>
      </c>
      <c r="M1256" s="6">
        <v>-7.0000000000000007E-2</v>
      </c>
      <c r="N1256" s="6">
        <v>-7.0000000000000007E-2</v>
      </c>
      <c r="O1256" s="6">
        <v>-7.0000000000000007E-2</v>
      </c>
      <c r="P1256" s="6">
        <v>0</v>
      </c>
      <c r="Q1256" s="4" t="s">
        <v>26</v>
      </c>
      <c r="R1256" s="4">
        <v>0</v>
      </c>
      <c r="S1256" s="6">
        <v>0</v>
      </c>
      <c r="T1256" s="6">
        <v>41</v>
      </c>
      <c r="U1256" s="6">
        <v>85</v>
      </c>
      <c r="V1256" s="6">
        <f>IF(ISERROR(VLOOKUP($S$1256,'TAR FIN'!$A$1:$O$115,15,0)),0,VLOOKUP($S$1256,'TAR FIN'!$A$1:$O$115,15,0))</f>
        <v>0</v>
      </c>
      <c r="W1256" s="6">
        <f>IF(ISERROR(VLOOKUP($T$1256,'TAR FIN'!$A$1:$O$115,15,0)),0,VLOOKUP($T$1256,'TAR FIN'!$A$1:$O$115,15,0))</f>
        <v>242.47</v>
      </c>
      <c r="X1256" s="6">
        <f>IF(ISERROR(VLOOKUP($U$1256,'TAR FIN'!$A$1:$O$115,15,0)),0,VLOOKUP($U$1256,'TAR FIN'!$A$1:$O$115,15,0))</f>
        <v>105.95</v>
      </c>
      <c r="Y1256" s="6"/>
      <c r="Z1256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56" s="6">
        <f>('TE BE'!$AB$22+'TE BF'!$AB$22+'TE CVA'!$AB$22)*(1-CUSTOS!$M$35)</f>
        <v>138.40918466435005</v>
      </c>
      <c r="AB1256" s="6">
        <f>$K$1256*$V$1256</f>
        <v>0</v>
      </c>
      <c r="AC1256" s="6">
        <f>$M$1256*$W$1256</f>
        <v>-16.972900000000003</v>
      </c>
      <c r="AD1256" s="6">
        <f>$O$1256*$X$1256</f>
        <v>-7.416500000000001</v>
      </c>
      <c r="AE1256" s="6">
        <f>$K$1256*$Y$1256</f>
        <v>0</v>
      </c>
      <c r="AF1256" s="6">
        <f ca="1">$M$1256*$Z$1256</f>
        <v>-17.647305565205897</v>
      </c>
      <c r="AG1256" s="6">
        <f>$O$1256*$AA$1256</f>
        <v>-9.6886429265045049</v>
      </c>
    </row>
    <row r="1257" spans="1:33" ht="11.25" customHeight="1" x14ac:dyDescent="0.25">
      <c r="A1257" s="4" t="s">
        <v>21</v>
      </c>
      <c r="B1257" s="4" t="s">
        <v>22</v>
      </c>
      <c r="C1257" s="4" t="s">
        <v>23</v>
      </c>
      <c r="D1257" s="4" t="s">
        <v>24</v>
      </c>
      <c r="E1257" s="4" t="s">
        <v>32</v>
      </c>
      <c r="F1257" s="4" t="s">
        <v>25</v>
      </c>
      <c r="G1257" s="4" t="s">
        <v>25</v>
      </c>
      <c r="H1257" s="4" t="s">
        <v>25</v>
      </c>
      <c r="I1257" s="5">
        <v>44593</v>
      </c>
      <c r="J1257" s="6">
        <v>0</v>
      </c>
      <c r="K1257" s="6">
        <v>0</v>
      </c>
      <c r="L1257" s="6">
        <v>2301.9749999999999</v>
      </c>
      <c r="M1257" s="6">
        <v>2301.9749999999999</v>
      </c>
      <c r="N1257" s="6">
        <v>2301.9749999999999</v>
      </c>
      <c r="O1257" s="6">
        <v>2301.9749999999999</v>
      </c>
      <c r="P1257" s="6">
        <v>10619</v>
      </c>
      <c r="Q1257" s="4" t="s">
        <v>26</v>
      </c>
      <c r="R1257" s="4">
        <v>0</v>
      </c>
      <c r="S1257" s="6">
        <v>0</v>
      </c>
      <c r="T1257" s="6">
        <v>41</v>
      </c>
      <c r="U1257" s="6">
        <v>85</v>
      </c>
      <c r="V1257" s="6">
        <f>IF(ISERROR(VLOOKUP($S$1257,'TAR FIN'!$A$1:$O$115,15,0)),0,VLOOKUP($S$1257,'TAR FIN'!$A$1:$O$115,15,0))</f>
        <v>0</v>
      </c>
      <c r="W1257" s="6">
        <f>IF(ISERROR(VLOOKUP($T$1257,'TAR FIN'!$A$1:$O$115,15,0)),0,VLOOKUP($T$1257,'TAR FIN'!$A$1:$O$115,15,0))</f>
        <v>242.47</v>
      </c>
      <c r="X1257" s="6">
        <f>IF(ISERROR(VLOOKUP($U$1257,'TAR FIN'!$A$1:$O$115,15,0)),0,VLOOKUP($U$1257,'TAR FIN'!$A$1:$O$115,15,0))</f>
        <v>105.95</v>
      </c>
      <c r="Y1257" s="6"/>
      <c r="Z1257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57" s="6">
        <f>('TE BE'!$AB$22+'TE BF'!$AB$22+'TE CVA'!$AB$22)*(1-CUSTOS!$M$35)</f>
        <v>138.40918466435005</v>
      </c>
      <c r="AB1257" s="6">
        <f>$K$1257*$V$1257</f>
        <v>0</v>
      </c>
      <c r="AC1257" s="6">
        <f>$M$1257*$W$1257</f>
        <v>558159.87824999995</v>
      </c>
      <c r="AD1257" s="6">
        <f>$O$1257*$X$1257</f>
        <v>243894.25125</v>
      </c>
      <c r="AE1257" s="6">
        <f>$K$1257*$Y$1257</f>
        <v>0</v>
      </c>
      <c r="AF1257" s="6">
        <f ca="1">$M$1257*$Z$1257</f>
        <v>580337.9461209263</v>
      </c>
      <c r="AG1257" s="6">
        <f>$O$1257*$AA$1257</f>
        <v>318614.48286771722</v>
      </c>
    </row>
    <row r="1258" spans="1:33" ht="11.25" customHeight="1" x14ac:dyDescent="0.25">
      <c r="A1258" s="4" t="s">
        <v>27</v>
      </c>
      <c r="B1258" s="4" t="s">
        <v>22</v>
      </c>
      <c r="C1258" s="4" t="s">
        <v>23</v>
      </c>
      <c r="D1258" s="4" t="s">
        <v>24</v>
      </c>
      <c r="E1258" s="4" t="s">
        <v>32</v>
      </c>
      <c r="F1258" s="4" t="s">
        <v>25</v>
      </c>
      <c r="G1258" s="4" t="s">
        <v>25</v>
      </c>
      <c r="H1258" s="4" t="s">
        <v>25</v>
      </c>
      <c r="I1258" s="5">
        <v>44593</v>
      </c>
      <c r="J1258" s="6">
        <v>0</v>
      </c>
      <c r="K1258" s="6">
        <v>0</v>
      </c>
      <c r="L1258" s="6">
        <v>-11.833</v>
      </c>
      <c r="M1258" s="6">
        <v>-11.833</v>
      </c>
      <c r="N1258" s="6">
        <v>-11.833</v>
      </c>
      <c r="O1258" s="6">
        <v>-11.833</v>
      </c>
      <c r="P1258" s="6">
        <v>-11</v>
      </c>
      <c r="Q1258" s="4" t="s">
        <v>26</v>
      </c>
      <c r="R1258" s="4">
        <v>0</v>
      </c>
      <c r="S1258" s="6">
        <v>0</v>
      </c>
      <c r="T1258" s="6">
        <v>41</v>
      </c>
      <c r="U1258" s="6">
        <v>85</v>
      </c>
      <c r="V1258" s="6">
        <f>IF(ISERROR(VLOOKUP($S$1258,'TAR FIN'!$A$1:$O$115,15,0)),0,VLOOKUP($S$1258,'TAR FIN'!$A$1:$O$115,15,0))</f>
        <v>0</v>
      </c>
      <c r="W1258" s="6">
        <f>IF(ISERROR(VLOOKUP($T$1258,'TAR FIN'!$A$1:$O$115,15,0)),0,VLOOKUP($T$1258,'TAR FIN'!$A$1:$O$115,15,0))</f>
        <v>242.47</v>
      </c>
      <c r="X1258" s="6">
        <f>IF(ISERROR(VLOOKUP($U$1258,'TAR FIN'!$A$1:$O$115,15,0)),0,VLOOKUP($U$1258,'TAR FIN'!$A$1:$O$115,15,0))</f>
        <v>105.95</v>
      </c>
      <c r="Y1258" s="6"/>
      <c r="Z1258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58" s="6">
        <f>('TE BE'!$AB$22+'TE BF'!$AB$22+'TE CVA'!$AB$22)*(1-CUSTOS!$M$35)</f>
        <v>138.40918466435005</v>
      </c>
      <c r="AB1258" s="6">
        <f>$K$1258*$V$1258</f>
        <v>0</v>
      </c>
      <c r="AC1258" s="6">
        <f>$M$1258*$W$1258</f>
        <v>-2869.1475100000002</v>
      </c>
      <c r="AD1258" s="6">
        <f>$O$1258*$X$1258</f>
        <v>-1253.7063500000002</v>
      </c>
      <c r="AE1258" s="6">
        <f>$K$1258*$Y$1258</f>
        <v>0</v>
      </c>
      <c r="AF1258" s="6">
        <f ca="1">$M$1258*$Z$1258</f>
        <v>-2983.1509536154481</v>
      </c>
      <c r="AG1258" s="6">
        <f>$O$1258*$AA$1258</f>
        <v>-1637.7958821332543</v>
      </c>
    </row>
    <row r="1259" spans="1:33" ht="11.25" customHeight="1" x14ac:dyDescent="0.25">
      <c r="A1259" s="4" t="s">
        <v>28</v>
      </c>
      <c r="B1259" s="4" t="s">
        <v>22</v>
      </c>
      <c r="C1259" s="4" t="s">
        <v>23</v>
      </c>
      <c r="D1259" s="4" t="s">
        <v>24</v>
      </c>
      <c r="E1259" s="4" t="s">
        <v>32</v>
      </c>
      <c r="F1259" s="4" t="s">
        <v>25</v>
      </c>
      <c r="G1259" s="4" t="s">
        <v>25</v>
      </c>
      <c r="H1259" s="4" t="s">
        <v>25</v>
      </c>
      <c r="I1259" s="5">
        <v>44593</v>
      </c>
      <c r="J1259" s="6">
        <v>0</v>
      </c>
      <c r="K1259" s="6">
        <v>0</v>
      </c>
      <c r="L1259" s="6">
        <v>1070.5719999999999</v>
      </c>
      <c r="M1259" s="6">
        <v>1070.5719999999999</v>
      </c>
      <c r="N1259" s="6">
        <v>1070.5719999999999</v>
      </c>
      <c r="O1259" s="6">
        <v>1070.5719999999999</v>
      </c>
      <c r="P1259" s="6">
        <v>7907</v>
      </c>
      <c r="Q1259" s="4" t="s">
        <v>26</v>
      </c>
      <c r="R1259" s="4">
        <v>0</v>
      </c>
      <c r="S1259" s="6">
        <v>0</v>
      </c>
      <c r="T1259" s="6">
        <v>41</v>
      </c>
      <c r="U1259" s="6">
        <v>85</v>
      </c>
      <c r="V1259" s="6">
        <f>IF(ISERROR(VLOOKUP($S$1259,'TAR FIN'!$A$1:$O$115,15,0)),0,VLOOKUP($S$1259,'TAR FIN'!$A$1:$O$115,15,0))</f>
        <v>0</v>
      </c>
      <c r="W1259" s="6">
        <f>IF(ISERROR(VLOOKUP($T$1259,'TAR FIN'!$A$1:$O$115,15,0)),0,VLOOKUP($T$1259,'TAR FIN'!$A$1:$O$115,15,0))</f>
        <v>242.47</v>
      </c>
      <c r="X1259" s="6">
        <f>IF(ISERROR(VLOOKUP($U$1259,'TAR FIN'!$A$1:$O$115,15,0)),0,VLOOKUP($U$1259,'TAR FIN'!$A$1:$O$115,15,0))</f>
        <v>105.95</v>
      </c>
      <c r="Y1259" s="6"/>
      <c r="Z1259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59" s="6">
        <f>('TE BE'!$AB$22+'TE BF'!$AB$22+'TE CVA'!$AB$22)*(1-CUSTOS!$M$35)</f>
        <v>138.40918466435005</v>
      </c>
      <c r="AB1259" s="6">
        <f>$K$1259*$V$1259</f>
        <v>0</v>
      </c>
      <c r="AC1259" s="6">
        <f>$M$1259*$W$1259</f>
        <v>259581.59283999997</v>
      </c>
      <c r="AD1259" s="6">
        <f>$O$1259*$X$1259</f>
        <v>113427.10339999999</v>
      </c>
      <c r="AE1259" s="6">
        <f>$K$1259*$Y$1259</f>
        <v>0</v>
      </c>
      <c r="AF1259" s="6">
        <f ca="1">$M$1259*$Z$1259</f>
        <v>269895.87447933725</v>
      </c>
      <c r="AG1259" s="6">
        <f>$O$1259*$AA$1259</f>
        <v>148176.99764448256</v>
      </c>
    </row>
    <row r="1260" spans="1:33" ht="11.25" customHeight="1" x14ac:dyDescent="0.25">
      <c r="A1260" s="4" t="s">
        <v>29</v>
      </c>
      <c r="B1260" s="4" t="s">
        <v>22</v>
      </c>
      <c r="C1260" s="4" t="s">
        <v>23</v>
      </c>
      <c r="D1260" s="4" t="s">
        <v>24</v>
      </c>
      <c r="E1260" s="4" t="s">
        <v>32</v>
      </c>
      <c r="F1260" s="4" t="s">
        <v>25</v>
      </c>
      <c r="G1260" s="4" t="s">
        <v>25</v>
      </c>
      <c r="H1260" s="4" t="s">
        <v>25</v>
      </c>
      <c r="I1260" s="5">
        <v>44593</v>
      </c>
      <c r="J1260" s="6">
        <v>0</v>
      </c>
      <c r="K1260" s="6">
        <v>0</v>
      </c>
      <c r="L1260" s="6">
        <v>-1.7230000000000001</v>
      </c>
      <c r="M1260" s="6">
        <v>-1.7230000000000001</v>
      </c>
      <c r="N1260" s="6">
        <v>-1.7230000000000001</v>
      </c>
      <c r="O1260" s="6">
        <v>-1.7230000000000001</v>
      </c>
      <c r="P1260" s="6">
        <v>-3</v>
      </c>
      <c r="Q1260" s="4" t="s">
        <v>26</v>
      </c>
      <c r="R1260" s="4">
        <v>0</v>
      </c>
      <c r="S1260" s="6">
        <v>0</v>
      </c>
      <c r="T1260" s="6">
        <v>41</v>
      </c>
      <c r="U1260" s="6">
        <v>85</v>
      </c>
      <c r="V1260" s="6">
        <f>IF(ISERROR(VLOOKUP($S$1260,'TAR FIN'!$A$1:$O$115,15,0)),0,VLOOKUP($S$1260,'TAR FIN'!$A$1:$O$115,15,0))</f>
        <v>0</v>
      </c>
      <c r="W1260" s="6">
        <f>IF(ISERROR(VLOOKUP($T$1260,'TAR FIN'!$A$1:$O$115,15,0)),0,VLOOKUP($T$1260,'TAR FIN'!$A$1:$O$115,15,0))</f>
        <v>242.47</v>
      </c>
      <c r="X1260" s="6">
        <f>IF(ISERROR(VLOOKUP($U$1260,'TAR FIN'!$A$1:$O$115,15,0)),0,VLOOKUP($U$1260,'TAR FIN'!$A$1:$O$115,15,0))</f>
        <v>105.95</v>
      </c>
      <c r="Y1260" s="6"/>
      <c r="Z1260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60" s="6">
        <f>('TE BE'!$AB$22+'TE BF'!$AB$22+'TE CVA'!$AB$22)*(1-CUSTOS!$M$35)</f>
        <v>138.40918466435005</v>
      </c>
      <c r="AB1260" s="6">
        <f>$K$1260*$V$1260</f>
        <v>0</v>
      </c>
      <c r="AC1260" s="6">
        <f>$M$1260*$W$1260</f>
        <v>-417.77581000000004</v>
      </c>
      <c r="AD1260" s="6">
        <f>$O$1260*$X$1260</f>
        <v>-182.55185</v>
      </c>
      <c r="AE1260" s="6">
        <f>$K$1260*$Y$1260</f>
        <v>0</v>
      </c>
      <c r="AF1260" s="6">
        <f ca="1">$M$1260*$Z$1260</f>
        <v>-434.37582126928231</v>
      </c>
      <c r="AG1260" s="6">
        <f>$O$1260*$AA$1260</f>
        <v>-238.47902517667515</v>
      </c>
    </row>
    <row r="1261" spans="1:33" ht="11.25" customHeight="1" x14ac:dyDescent="0.25">
      <c r="A1261" s="4" t="s">
        <v>30</v>
      </c>
      <c r="B1261" s="4" t="s">
        <v>22</v>
      </c>
      <c r="C1261" s="4" t="s">
        <v>23</v>
      </c>
      <c r="D1261" s="4" t="s">
        <v>24</v>
      </c>
      <c r="E1261" s="4" t="s">
        <v>32</v>
      </c>
      <c r="F1261" s="4" t="s">
        <v>25</v>
      </c>
      <c r="G1261" s="4" t="s">
        <v>25</v>
      </c>
      <c r="H1261" s="4" t="s">
        <v>25</v>
      </c>
      <c r="I1261" s="5">
        <v>44593</v>
      </c>
      <c r="J1261" s="6">
        <v>0</v>
      </c>
      <c r="K1261" s="6">
        <v>0</v>
      </c>
      <c r="L1261" s="6">
        <v>1.607</v>
      </c>
      <c r="M1261" s="6">
        <v>1.607</v>
      </c>
      <c r="N1261" s="6">
        <v>1.607</v>
      </c>
      <c r="O1261" s="6">
        <v>1.607</v>
      </c>
      <c r="P1261" s="6">
        <v>0</v>
      </c>
      <c r="Q1261" s="4" t="s">
        <v>26</v>
      </c>
      <c r="R1261" s="4">
        <v>0</v>
      </c>
      <c r="S1261" s="6">
        <v>0</v>
      </c>
      <c r="T1261" s="6">
        <v>41</v>
      </c>
      <c r="U1261" s="6">
        <v>85</v>
      </c>
      <c r="V1261" s="6">
        <f>IF(ISERROR(VLOOKUP($S$1261,'TAR FIN'!$A$1:$O$115,15,0)),0,VLOOKUP($S$1261,'TAR FIN'!$A$1:$O$115,15,0))</f>
        <v>0</v>
      </c>
      <c r="W1261" s="6">
        <f>IF(ISERROR(VLOOKUP($T$1261,'TAR FIN'!$A$1:$O$115,15,0)),0,VLOOKUP($T$1261,'TAR FIN'!$A$1:$O$115,15,0))</f>
        <v>242.47</v>
      </c>
      <c r="X1261" s="6">
        <f>IF(ISERROR(VLOOKUP($U$1261,'TAR FIN'!$A$1:$O$115,15,0)),0,VLOOKUP($U$1261,'TAR FIN'!$A$1:$O$115,15,0))</f>
        <v>105.95</v>
      </c>
      <c r="Y1261" s="6"/>
      <c r="Z1261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61" s="6">
        <f>('TE BE'!$AB$22+'TE BF'!$AB$22+'TE CVA'!$AB$22)*(1-CUSTOS!$M$35)</f>
        <v>138.40918466435005</v>
      </c>
      <c r="AB1261" s="6">
        <f>$K$1261*$V$1261</f>
        <v>0</v>
      </c>
      <c r="AC1261" s="6">
        <f>$M$1261*$W$1261</f>
        <v>389.64929000000001</v>
      </c>
      <c r="AD1261" s="6">
        <f>$O$1261*$X$1261</f>
        <v>170.26165</v>
      </c>
      <c r="AE1261" s="6">
        <f>$K$1261*$Y$1261</f>
        <v>0</v>
      </c>
      <c r="AF1261" s="6">
        <f ca="1">$M$1261*$Z$1261</f>
        <v>405.13171490408394</v>
      </c>
      <c r="AG1261" s="6">
        <f>$O$1261*$AA$1261</f>
        <v>222.42355975561054</v>
      </c>
    </row>
    <row r="1262" spans="1:33" ht="11.25" customHeight="1" x14ac:dyDescent="0.25">
      <c r="A1262" s="4" t="s">
        <v>30</v>
      </c>
      <c r="B1262" s="4" t="s">
        <v>22</v>
      </c>
      <c r="C1262" s="4" t="s">
        <v>23</v>
      </c>
      <c r="D1262" s="4" t="s">
        <v>24</v>
      </c>
      <c r="E1262" s="4" t="s">
        <v>32</v>
      </c>
      <c r="F1262" s="4" t="s">
        <v>25</v>
      </c>
      <c r="G1262" s="4" t="s">
        <v>25</v>
      </c>
      <c r="H1262" s="4" t="s">
        <v>25</v>
      </c>
      <c r="I1262" s="5">
        <v>44593</v>
      </c>
      <c r="J1262" s="6">
        <v>0</v>
      </c>
      <c r="K1262" s="6">
        <v>0</v>
      </c>
      <c r="L1262" s="6">
        <v>-7.0000000000000007E-2</v>
      </c>
      <c r="M1262" s="6">
        <v>-7.0000000000000007E-2</v>
      </c>
      <c r="N1262" s="6">
        <v>-7.0000000000000007E-2</v>
      </c>
      <c r="O1262" s="6">
        <v>-7.0000000000000007E-2</v>
      </c>
      <c r="P1262" s="6">
        <v>0</v>
      </c>
      <c r="Q1262" s="4" t="s">
        <v>26</v>
      </c>
      <c r="R1262" s="4">
        <v>0</v>
      </c>
      <c r="S1262" s="6">
        <v>0</v>
      </c>
      <c r="T1262" s="6">
        <v>41</v>
      </c>
      <c r="U1262" s="6">
        <v>85</v>
      </c>
      <c r="V1262" s="6">
        <f>IF(ISERROR(VLOOKUP($S$1262,'TAR FIN'!$A$1:$O$115,15,0)),0,VLOOKUP($S$1262,'TAR FIN'!$A$1:$O$115,15,0))</f>
        <v>0</v>
      </c>
      <c r="W1262" s="6">
        <f>IF(ISERROR(VLOOKUP($T$1262,'TAR FIN'!$A$1:$O$115,15,0)),0,VLOOKUP($T$1262,'TAR FIN'!$A$1:$O$115,15,0))</f>
        <v>242.47</v>
      </c>
      <c r="X1262" s="6">
        <f>IF(ISERROR(VLOOKUP($U$1262,'TAR FIN'!$A$1:$O$115,15,0)),0,VLOOKUP($U$1262,'TAR FIN'!$A$1:$O$115,15,0))</f>
        <v>105.95</v>
      </c>
      <c r="Y1262" s="6"/>
      <c r="Z1262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62" s="6">
        <f>('TE BE'!$AB$22+'TE BF'!$AB$22+'TE CVA'!$AB$22)*(1-CUSTOS!$M$35)</f>
        <v>138.40918466435005</v>
      </c>
      <c r="AB1262" s="6">
        <f>$K$1262*$V$1262</f>
        <v>0</v>
      </c>
      <c r="AC1262" s="6">
        <f>$M$1262*$W$1262</f>
        <v>-16.972900000000003</v>
      </c>
      <c r="AD1262" s="6">
        <f>$O$1262*$X$1262</f>
        <v>-7.416500000000001</v>
      </c>
      <c r="AE1262" s="6">
        <f>$K$1262*$Y$1262</f>
        <v>0</v>
      </c>
      <c r="AF1262" s="6">
        <f ca="1">$M$1262*$Z$1262</f>
        <v>-17.647305565205897</v>
      </c>
      <c r="AG1262" s="6">
        <f>$O$1262*$AA$1262</f>
        <v>-9.6886429265045049</v>
      </c>
    </row>
    <row r="1263" spans="1:33" ht="11.25" customHeight="1" x14ac:dyDescent="0.25">
      <c r="A1263" s="4" t="s">
        <v>21</v>
      </c>
      <c r="B1263" s="4" t="s">
        <v>22</v>
      </c>
      <c r="C1263" s="4" t="s">
        <v>23</v>
      </c>
      <c r="D1263" s="4" t="s">
        <v>24</v>
      </c>
      <c r="E1263" s="4" t="s">
        <v>32</v>
      </c>
      <c r="F1263" s="4" t="s">
        <v>25</v>
      </c>
      <c r="G1263" s="4" t="s">
        <v>25</v>
      </c>
      <c r="H1263" s="4" t="s">
        <v>25</v>
      </c>
      <c r="I1263" s="5">
        <v>44621</v>
      </c>
      <c r="J1263" s="6">
        <v>0</v>
      </c>
      <c r="K1263" s="6">
        <v>0</v>
      </c>
      <c r="L1263" s="6">
        <v>2431.069</v>
      </c>
      <c r="M1263" s="6">
        <v>2431.069</v>
      </c>
      <c r="N1263" s="6">
        <v>2431.069</v>
      </c>
      <c r="O1263" s="6">
        <v>2431.069</v>
      </c>
      <c r="P1263" s="6">
        <v>10017</v>
      </c>
      <c r="Q1263" s="4" t="s">
        <v>26</v>
      </c>
      <c r="R1263" s="4">
        <v>0</v>
      </c>
      <c r="S1263" s="6">
        <v>0</v>
      </c>
      <c r="T1263" s="6">
        <v>41</v>
      </c>
      <c r="U1263" s="6">
        <v>85</v>
      </c>
      <c r="V1263" s="6">
        <f>IF(ISERROR(VLOOKUP($S$1263,'TAR FIN'!$A$1:$O$115,15,0)),0,VLOOKUP($S$1263,'TAR FIN'!$A$1:$O$115,15,0))</f>
        <v>0</v>
      </c>
      <c r="W1263" s="6">
        <f>IF(ISERROR(VLOOKUP($T$1263,'TAR FIN'!$A$1:$O$115,15,0)),0,VLOOKUP($T$1263,'TAR FIN'!$A$1:$O$115,15,0))</f>
        <v>242.47</v>
      </c>
      <c r="X1263" s="6">
        <f>IF(ISERROR(VLOOKUP($U$1263,'TAR FIN'!$A$1:$O$115,15,0)),0,VLOOKUP($U$1263,'TAR FIN'!$A$1:$O$115,15,0))</f>
        <v>105.95</v>
      </c>
      <c r="Y1263" s="6"/>
      <c r="Z1263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63" s="6">
        <f>('TE BE'!$AB$22+'TE BF'!$AB$22+'TE CVA'!$AB$22)*(1-CUSTOS!$M$35)</f>
        <v>138.40918466435005</v>
      </c>
      <c r="AB1263" s="6">
        <f>$K$1263*$V$1263</f>
        <v>0</v>
      </c>
      <c r="AC1263" s="6">
        <f>$M$1263*$W$1263</f>
        <v>589461.30042999994</v>
      </c>
      <c r="AD1263" s="6">
        <f>$O$1263*$X$1263</f>
        <v>257571.76055000001</v>
      </c>
      <c r="AE1263" s="6">
        <f>$K$1263*$Y$1263</f>
        <v>0</v>
      </c>
      <c r="AF1263" s="6">
        <f ca="1">$M$1263*$Z$1263</f>
        <v>612883.10704427911</v>
      </c>
      <c r="AG1263" s="6">
        <f>$O$1263*$AA$1263</f>
        <v>336482.27815277682</v>
      </c>
    </row>
    <row r="1264" spans="1:33" ht="11.25" customHeight="1" x14ac:dyDescent="0.25">
      <c r="A1264" s="4" t="s">
        <v>27</v>
      </c>
      <c r="B1264" s="4" t="s">
        <v>22</v>
      </c>
      <c r="C1264" s="4" t="s">
        <v>23</v>
      </c>
      <c r="D1264" s="4" t="s">
        <v>24</v>
      </c>
      <c r="E1264" s="4" t="s">
        <v>32</v>
      </c>
      <c r="F1264" s="4" t="s">
        <v>25</v>
      </c>
      <c r="G1264" s="4" t="s">
        <v>25</v>
      </c>
      <c r="H1264" s="4" t="s">
        <v>25</v>
      </c>
      <c r="I1264" s="5">
        <v>44621</v>
      </c>
      <c r="J1264" s="6">
        <v>0</v>
      </c>
      <c r="K1264" s="6">
        <v>0</v>
      </c>
      <c r="L1264" s="6">
        <v>-18.042999999999999</v>
      </c>
      <c r="M1264" s="6">
        <v>-18.042999999999999</v>
      </c>
      <c r="N1264" s="6">
        <v>-18.042999999999999</v>
      </c>
      <c r="O1264" s="6">
        <v>-18.042999999999999</v>
      </c>
      <c r="P1264" s="6">
        <v>-5</v>
      </c>
      <c r="Q1264" s="4" t="s">
        <v>26</v>
      </c>
      <c r="R1264" s="4">
        <v>0</v>
      </c>
      <c r="S1264" s="6">
        <v>0</v>
      </c>
      <c r="T1264" s="6">
        <v>41</v>
      </c>
      <c r="U1264" s="6">
        <v>85</v>
      </c>
      <c r="V1264" s="6">
        <f>IF(ISERROR(VLOOKUP($S$1264,'TAR FIN'!$A$1:$O$115,15,0)),0,VLOOKUP($S$1264,'TAR FIN'!$A$1:$O$115,15,0))</f>
        <v>0</v>
      </c>
      <c r="W1264" s="6">
        <f>IF(ISERROR(VLOOKUP($T$1264,'TAR FIN'!$A$1:$O$115,15,0)),0,VLOOKUP($T$1264,'TAR FIN'!$A$1:$O$115,15,0))</f>
        <v>242.47</v>
      </c>
      <c r="X1264" s="6">
        <f>IF(ISERROR(VLOOKUP($U$1264,'TAR FIN'!$A$1:$O$115,15,0)),0,VLOOKUP($U$1264,'TAR FIN'!$A$1:$O$115,15,0))</f>
        <v>105.95</v>
      </c>
      <c r="Y1264" s="6"/>
      <c r="Z1264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64" s="6">
        <f>('TE BE'!$AB$22+'TE BF'!$AB$22+'TE CVA'!$AB$22)*(1-CUSTOS!$M$35)</f>
        <v>138.40918466435005</v>
      </c>
      <c r="AB1264" s="6">
        <f>$K$1264*$V$1264</f>
        <v>0</v>
      </c>
      <c r="AC1264" s="6">
        <f>$M$1264*$W$1264</f>
        <v>-4374.8862099999997</v>
      </c>
      <c r="AD1264" s="6">
        <f>$O$1264*$X$1264</f>
        <v>-1911.6558499999999</v>
      </c>
      <c r="AE1264" s="6">
        <f>$K$1264*$Y$1264</f>
        <v>0</v>
      </c>
      <c r="AF1264" s="6">
        <f ca="1">$M$1264*$Z$1264</f>
        <v>-4548.719061614428</v>
      </c>
      <c r="AG1264" s="6">
        <f>$O$1264*$AA$1264</f>
        <v>-2497.3169188988677</v>
      </c>
    </row>
    <row r="1265" spans="1:33" ht="11.25" customHeight="1" x14ac:dyDescent="0.25">
      <c r="A1265" s="4" t="s">
        <v>28</v>
      </c>
      <c r="B1265" s="4" t="s">
        <v>22</v>
      </c>
      <c r="C1265" s="4" t="s">
        <v>23</v>
      </c>
      <c r="D1265" s="4" t="s">
        <v>24</v>
      </c>
      <c r="E1265" s="4" t="s">
        <v>32</v>
      </c>
      <c r="F1265" s="4" t="s">
        <v>25</v>
      </c>
      <c r="G1265" s="4" t="s">
        <v>25</v>
      </c>
      <c r="H1265" s="4" t="s">
        <v>25</v>
      </c>
      <c r="I1265" s="5">
        <v>44621</v>
      </c>
      <c r="J1265" s="6">
        <v>0</v>
      </c>
      <c r="K1265" s="6">
        <v>0</v>
      </c>
      <c r="L1265" s="6">
        <v>1100.816</v>
      </c>
      <c r="M1265" s="6">
        <v>1100.816</v>
      </c>
      <c r="N1265" s="6">
        <v>1100.816</v>
      </c>
      <c r="O1265" s="6">
        <v>1100.816</v>
      </c>
      <c r="P1265" s="6">
        <v>7501</v>
      </c>
      <c r="Q1265" s="4" t="s">
        <v>26</v>
      </c>
      <c r="R1265" s="4">
        <v>0</v>
      </c>
      <c r="S1265" s="6">
        <v>0</v>
      </c>
      <c r="T1265" s="6">
        <v>41</v>
      </c>
      <c r="U1265" s="6">
        <v>85</v>
      </c>
      <c r="V1265" s="6">
        <f>IF(ISERROR(VLOOKUP($S$1265,'TAR FIN'!$A$1:$O$115,15,0)),0,VLOOKUP($S$1265,'TAR FIN'!$A$1:$O$115,15,0))</f>
        <v>0</v>
      </c>
      <c r="W1265" s="6">
        <f>IF(ISERROR(VLOOKUP($T$1265,'TAR FIN'!$A$1:$O$115,15,0)),0,VLOOKUP($T$1265,'TAR FIN'!$A$1:$O$115,15,0))</f>
        <v>242.47</v>
      </c>
      <c r="X1265" s="6">
        <f>IF(ISERROR(VLOOKUP($U$1265,'TAR FIN'!$A$1:$O$115,15,0)),0,VLOOKUP($U$1265,'TAR FIN'!$A$1:$O$115,15,0))</f>
        <v>105.95</v>
      </c>
      <c r="Y1265" s="6"/>
      <c r="Z1265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65" s="6">
        <f>('TE BE'!$AB$22+'TE BF'!$AB$22+'TE CVA'!$AB$22)*(1-CUSTOS!$M$35)</f>
        <v>138.40918466435005</v>
      </c>
      <c r="AB1265" s="6">
        <f>$K$1265*$V$1265</f>
        <v>0</v>
      </c>
      <c r="AC1265" s="6">
        <f>$M$1265*$W$1265</f>
        <v>266914.85551999998</v>
      </c>
      <c r="AD1265" s="6">
        <f>$O$1265*$X$1265</f>
        <v>116631.45520000001</v>
      </c>
      <c r="AE1265" s="6">
        <f>$K$1265*$Y$1265</f>
        <v>0</v>
      </c>
      <c r="AF1265" s="6">
        <f ca="1">$M$1265*$Z$1265</f>
        <v>277520.51890096709</v>
      </c>
      <c r="AG1265" s="6">
        <f>$O$1265*$AA$1265</f>
        <v>152363.04502547116</v>
      </c>
    </row>
    <row r="1266" spans="1:33" ht="11.25" customHeight="1" x14ac:dyDescent="0.25">
      <c r="A1266" s="4" t="s">
        <v>29</v>
      </c>
      <c r="B1266" s="4" t="s">
        <v>22</v>
      </c>
      <c r="C1266" s="4" t="s">
        <v>23</v>
      </c>
      <c r="D1266" s="4" t="s">
        <v>24</v>
      </c>
      <c r="E1266" s="4" t="s">
        <v>32</v>
      </c>
      <c r="F1266" s="4" t="s">
        <v>25</v>
      </c>
      <c r="G1266" s="4" t="s">
        <v>25</v>
      </c>
      <c r="H1266" s="4" t="s">
        <v>25</v>
      </c>
      <c r="I1266" s="5">
        <v>44621</v>
      </c>
      <c r="J1266" s="6">
        <v>0</v>
      </c>
      <c r="K1266" s="6">
        <v>0</v>
      </c>
      <c r="L1266" s="6">
        <v>-2.6819999999999999</v>
      </c>
      <c r="M1266" s="6">
        <v>-2.6819999999999999</v>
      </c>
      <c r="N1266" s="6">
        <v>-2.6819999999999999</v>
      </c>
      <c r="O1266" s="6">
        <v>-2.6819999999999999</v>
      </c>
      <c r="P1266" s="6">
        <v>-31</v>
      </c>
      <c r="Q1266" s="4" t="s">
        <v>26</v>
      </c>
      <c r="R1266" s="4">
        <v>0</v>
      </c>
      <c r="S1266" s="6">
        <v>0</v>
      </c>
      <c r="T1266" s="6">
        <v>41</v>
      </c>
      <c r="U1266" s="6">
        <v>85</v>
      </c>
      <c r="V1266" s="6">
        <f>IF(ISERROR(VLOOKUP($S$1266,'TAR FIN'!$A$1:$O$115,15,0)),0,VLOOKUP($S$1266,'TAR FIN'!$A$1:$O$115,15,0))</f>
        <v>0</v>
      </c>
      <c r="W1266" s="6">
        <f>IF(ISERROR(VLOOKUP($T$1266,'TAR FIN'!$A$1:$O$115,15,0)),0,VLOOKUP($T$1266,'TAR FIN'!$A$1:$O$115,15,0))</f>
        <v>242.47</v>
      </c>
      <c r="X1266" s="6">
        <f>IF(ISERROR(VLOOKUP($U$1266,'TAR FIN'!$A$1:$O$115,15,0)),0,VLOOKUP($U$1266,'TAR FIN'!$A$1:$O$115,15,0))</f>
        <v>105.95</v>
      </c>
      <c r="Y1266" s="6"/>
      <c r="Z1266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66" s="6">
        <f>('TE BE'!$AB$22+'TE BF'!$AB$22+'TE CVA'!$AB$22)*(1-CUSTOS!$M$35)</f>
        <v>138.40918466435005</v>
      </c>
      <c r="AB1266" s="6">
        <f>$K$1266*$V$1266</f>
        <v>0</v>
      </c>
      <c r="AC1266" s="6">
        <f>$M$1266*$W$1266</f>
        <v>-650.30453999999997</v>
      </c>
      <c r="AD1266" s="6">
        <f>$O$1266*$X$1266</f>
        <v>-284.15789999999998</v>
      </c>
      <c r="AE1266" s="6">
        <f>$K$1266*$Y$1266</f>
        <v>0</v>
      </c>
      <c r="AF1266" s="6">
        <f ca="1">$M$1266*$Z$1266</f>
        <v>-676.14390751260305</v>
      </c>
      <c r="AG1266" s="6">
        <f>$O$1266*$AA$1266</f>
        <v>-371.21343326978683</v>
      </c>
    </row>
    <row r="1267" spans="1:33" ht="11.25" customHeight="1" x14ac:dyDescent="0.25">
      <c r="A1267" s="4" t="s">
        <v>30</v>
      </c>
      <c r="B1267" s="4" t="s">
        <v>22</v>
      </c>
      <c r="C1267" s="4" t="s">
        <v>23</v>
      </c>
      <c r="D1267" s="4" t="s">
        <v>24</v>
      </c>
      <c r="E1267" s="4" t="s">
        <v>32</v>
      </c>
      <c r="F1267" s="4" t="s">
        <v>25</v>
      </c>
      <c r="G1267" s="4" t="s">
        <v>25</v>
      </c>
      <c r="H1267" s="4" t="s">
        <v>25</v>
      </c>
      <c r="I1267" s="5">
        <v>44621</v>
      </c>
      <c r="J1267" s="6">
        <v>0</v>
      </c>
      <c r="K1267" s="6">
        <v>0</v>
      </c>
      <c r="L1267" s="6">
        <v>1.8180000000000001</v>
      </c>
      <c r="M1267" s="6">
        <v>1.8180000000000001</v>
      </c>
      <c r="N1267" s="6">
        <v>1.8180000000000001</v>
      </c>
      <c r="O1267" s="6">
        <v>1.8180000000000001</v>
      </c>
      <c r="P1267" s="6">
        <v>1</v>
      </c>
      <c r="Q1267" s="4" t="s">
        <v>26</v>
      </c>
      <c r="R1267" s="4">
        <v>0</v>
      </c>
      <c r="S1267" s="6">
        <v>0</v>
      </c>
      <c r="T1267" s="6">
        <v>41</v>
      </c>
      <c r="U1267" s="6">
        <v>85</v>
      </c>
      <c r="V1267" s="6">
        <f>IF(ISERROR(VLOOKUP($S$1267,'TAR FIN'!$A$1:$O$115,15,0)),0,VLOOKUP($S$1267,'TAR FIN'!$A$1:$O$115,15,0))</f>
        <v>0</v>
      </c>
      <c r="W1267" s="6">
        <f>IF(ISERROR(VLOOKUP($T$1267,'TAR FIN'!$A$1:$O$115,15,0)),0,VLOOKUP($T$1267,'TAR FIN'!$A$1:$O$115,15,0))</f>
        <v>242.47</v>
      </c>
      <c r="X1267" s="6">
        <f>IF(ISERROR(VLOOKUP($U$1267,'TAR FIN'!$A$1:$O$115,15,0)),0,VLOOKUP($U$1267,'TAR FIN'!$A$1:$O$115,15,0))</f>
        <v>105.95</v>
      </c>
      <c r="Y1267" s="6"/>
      <c r="Z1267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67" s="6">
        <f>('TE BE'!$AB$22+'TE BF'!$AB$22+'TE CVA'!$AB$22)*(1-CUSTOS!$M$35)</f>
        <v>138.40918466435005</v>
      </c>
      <c r="AB1267" s="6">
        <f>$K$1267*$V$1267</f>
        <v>0</v>
      </c>
      <c r="AC1267" s="6">
        <f>$M$1267*$W$1267</f>
        <v>440.81046000000003</v>
      </c>
      <c r="AD1267" s="6">
        <f>$O$1267*$X$1267</f>
        <v>192.61710000000002</v>
      </c>
      <c r="AE1267" s="6">
        <f>$K$1267*$Y$1267</f>
        <v>0</v>
      </c>
      <c r="AF1267" s="6">
        <f ca="1">$M$1267*$Z$1267</f>
        <v>458.32573596491886</v>
      </c>
      <c r="AG1267" s="6">
        <f>$O$1267*$AA$1267</f>
        <v>251.62789771978839</v>
      </c>
    </row>
    <row r="1268" spans="1:33" ht="11.25" customHeight="1" x14ac:dyDescent="0.25">
      <c r="A1268" s="4" t="s">
        <v>21</v>
      </c>
      <c r="B1268" s="4" t="s">
        <v>22</v>
      </c>
      <c r="C1268" s="4" t="s">
        <v>23</v>
      </c>
      <c r="D1268" s="4" t="s">
        <v>24</v>
      </c>
      <c r="E1268" s="4" t="s">
        <v>32</v>
      </c>
      <c r="F1268" s="4" t="s">
        <v>25</v>
      </c>
      <c r="G1268" s="4" t="s">
        <v>25</v>
      </c>
      <c r="H1268" s="4" t="s">
        <v>25</v>
      </c>
      <c r="I1268" s="5">
        <v>44652</v>
      </c>
      <c r="J1268" s="6">
        <v>0</v>
      </c>
      <c r="K1268" s="6">
        <v>0</v>
      </c>
      <c r="L1268" s="6">
        <v>2521.8629999999998</v>
      </c>
      <c r="M1268" s="6">
        <v>2521.8629999999998</v>
      </c>
      <c r="N1268" s="6">
        <v>2521.8629999999998</v>
      </c>
      <c r="O1268" s="6">
        <v>2521.8629999999998</v>
      </c>
      <c r="P1268" s="6">
        <v>10413</v>
      </c>
      <c r="Q1268" s="4" t="s">
        <v>26</v>
      </c>
      <c r="R1268" s="4">
        <v>0</v>
      </c>
      <c r="S1268" s="6">
        <v>0</v>
      </c>
      <c r="T1268" s="6">
        <v>41</v>
      </c>
      <c r="U1268" s="6">
        <v>85</v>
      </c>
      <c r="V1268" s="6">
        <f>IF(ISERROR(VLOOKUP($S$1268,'TAR FIN'!$A$1:$O$115,15,0)),0,VLOOKUP($S$1268,'TAR FIN'!$A$1:$O$115,15,0))</f>
        <v>0</v>
      </c>
      <c r="W1268" s="6">
        <f>IF(ISERROR(VLOOKUP($T$1268,'TAR FIN'!$A$1:$O$115,15,0)),0,VLOOKUP($T$1268,'TAR FIN'!$A$1:$O$115,15,0))</f>
        <v>242.47</v>
      </c>
      <c r="X1268" s="6">
        <f>IF(ISERROR(VLOOKUP($U$1268,'TAR FIN'!$A$1:$O$115,15,0)),0,VLOOKUP($U$1268,'TAR FIN'!$A$1:$O$115,15,0))</f>
        <v>105.95</v>
      </c>
      <c r="Y1268" s="6"/>
      <c r="Z1268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68" s="6">
        <f>('TE BE'!$AB$22+'TE BF'!$AB$22+'TE CVA'!$AB$22)*(1-CUSTOS!$M$35)</f>
        <v>138.40918466435005</v>
      </c>
      <c r="AB1268" s="6">
        <f>$K$1268*$V$1268</f>
        <v>0</v>
      </c>
      <c r="AC1268" s="6">
        <f>$M$1268*$W$1268</f>
        <v>611476.12160999991</v>
      </c>
      <c r="AD1268" s="6">
        <f>$O$1268*$X$1268</f>
        <v>267191.38484999997</v>
      </c>
      <c r="AE1268" s="6">
        <f>$K$1268*$Y$1268</f>
        <v>0</v>
      </c>
      <c r="AF1268" s="6">
        <f ca="1">$M$1268*$Z$1268</f>
        <v>635772.67077981192</v>
      </c>
      <c r="AG1268" s="6">
        <f>$O$1268*$AA$1268</f>
        <v>349049.00166519178</v>
      </c>
    </row>
    <row r="1269" spans="1:33" ht="11.25" customHeight="1" x14ac:dyDescent="0.25">
      <c r="A1269" s="4" t="s">
        <v>27</v>
      </c>
      <c r="B1269" s="4" t="s">
        <v>22</v>
      </c>
      <c r="C1269" s="4" t="s">
        <v>23</v>
      </c>
      <c r="D1269" s="4" t="s">
        <v>24</v>
      </c>
      <c r="E1269" s="4" t="s">
        <v>32</v>
      </c>
      <c r="F1269" s="4" t="s">
        <v>25</v>
      </c>
      <c r="G1269" s="4" t="s">
        <v>25</v>
      </c>
      <c r="H1269" s="4" t="s">
        <v>25</v>
      </c>
      <c r="I1269" s="5">
        <v>44652</v>
      </c>
      <c r="J1269" s="6">
        <v>0</v>
      </c>
      <c r="K1269" s="6">
        <v>0</v>
      </c>
      <c r="L1269" s="6">
        <v>-9.798</v>
      </c>
      <c r="M1269" s="6">
        <v>-9.798</v>
      </c>
      <c r="N1269" s="6">
        <v>-9.798</v>
      </c>
      <c r="O1269" s="6">
        <v>-9.798</v>
      </c>
      <c r="P1269" s="6">
        <v>-7</v>
      </c>
      <c r="Q1269" s="4" t="s">
        <v>26</v>
      </c>
      <c r="R1269" s="4">
        <v>0</v>
      </c>
      <c r="S1269" s="6">
        <v>0</v>
      </c>
      <c r="T1269" s="6">
        <v>41</v>
      </c>
      <c r="U1269" s="6">
        <v>85</v>
      </c>
      <c r="V1269" s="6">
        <f>IF(ISERROR(VLOOKUP($S$1269,'TAR FIN'!$A$1:$O$115,15,0)),0,VLOOKUP($S$1269,'TAR FIN'!$A$1:$O$115,15,0))</f>
        <v>0</v>
      </c>
      <c r="W1269" s="6">
        <f>IF(ISERROR(VLOOKUP($T$1269,'TAR FIN'!$A$1:$O$115,15,0)),0,VLOOKUP($T$1269,'TAR FIN'!$A$1:$O$115,15,0))</f>
        <v>242.47</v>
      </c>
      <c r="X1269" s="6">
        <f>IF(ISERROR(VLOOKUP($U$1269,'TAR FIN'!$A$1:$O$115,15,0)),0,VLOOKUP($U$1269,'TAR FIN'!$A$1:$O$115,15,0))</f>
        <v>105.95</v>
      </c>
      <c r="Y1269" s="6"/>
      <c r="Z1269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69" s="6">
        <f>('TE BE'!$AB$22+'TE BF'!$AB$22+'TE CVA'!$AB$22)*(1-CUSTOS!$M$35)</f>
        <v>138.40918466435005</v>
      </c>
      <c r="AB1269" s="6">
        <f>$K$1269*$V$1269</f>
        <v>0</v>
      </c>
      <c r="AC1269" s="6">
        <f>$M$1269*$W$1269</f>
        <v>-2375.7210599999999</v>
      </c>
      <c r="AD1269" s="6">
        <f>$O$1269*$X$1269</f>
        <v>-1038.0980999999999</v>
      </c>
      <c r="AE1269" s="6">
        <f>$K$1269*$Y$1269</f>
        <v>0</v>
      </c>
      <c r="AF1269" s="6">
        <f ca="1">$M$1269*$Z$1269</f>
        <v>-2470.1185703983911</v>
      </c>
      <c r="AG1269" s="6">
        <f>$O$1269*$AA$1269</f>
        <v>-1356.1331913413019</v>
      </c>
    </row>
    <row r="1270" spans="1:33" ht="11.25" customHeight="1" x14ac:dyDescent="0.25">
      <c r="A1270" s="4" t="s">
        <v>28</v>
      </c>
      <c r="B1270" s="4" t="s">
        <v>22</v>
      </c>
      <c r="C1270" s="4" t="s">
        <v>23</v>
      </c>
      <c r="D1270" s="4" t="s">
        <v>24</v>
      </c>
      <c r="E1270" s="4" t="s">
        <v>32</v>
      </c>
      <c r="F1270" s="4" t="s">
        <v>25</v>
      </c>
      <c r="G1270" s="4" t="s">
        <v>25</v>
      </c>
      <c r="H1270" s="4" t="s">
        <v>25</v>
      </c>
      <c r="I1270" s="5">
        <v>44652</v>
      </c>
      <c r="J1270" s="6">
        <v>0</v>
      </c>
      <c r="K1270" s="6">
        <v>0</v>
      </c>
      <c r="L1270" s="6">
        <v>1131.9100000000001</v>
      </c>
      <c r="M1270" s="6">
        <v>1131.9100000000001</v>
      </c>
      <c r="N1270" s="6">
        <v>1131.9100000000001</v>
      </c>
      <c r="O1270" s="6">
        <v>1131.9100000000001</v>
      </c>
      <c r="P1270" s="6">
        <v>7524</v>
      </c>
      <c r="Q1270" s="4" t="s">
        <v>26</v>
      </c>
      <c r="R1270" s="4">
        <v>0</v>
      </c>
      <c r="S1270" s="6">
        <v>0</v>
      </c>
      <c r="T1270" s="6">
        <v>41</v>
      </c>
      <c r="U1270" s="6">
        <v>85</v>
      </c>
      <c r="V1270" s="6">
        <f>IF(ISERROR(VLOOKUP($S$1270,'TAR FIN'!$A$1:$O$115,15,0)),0,VLOOKUP($S$1270,'TAR FIN'!$A$1:$O$115,15,0))</f>
        <v>0</v>
      </c>
      <c r="W1270" s="6">
        <f>IF(ISERROR(VLOOKUP($T$1270,'TAR FIN'!$A$1:$O$115,15,0)),0,VLOOKUP($T$1270,'TAR FIN'!$A$1:$O$115,15,0))</f>
        <v>242.47</v>
      </c>
      <c r="X1270" s="6">
        <f>IF(ISERROR(VLOOKUP($U$1270,'TAR FIN'!$A$1:$O$115,15,0)),0,VLOOKUP($U$1270,'TAR FIN'!$A$1:$O$115,15,0))</f>
        <v>105.95</v>
      </c>
      <c r="Y1270" s="6"/>
      <c r="Z1270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70" s="6">
        <f>('TE BE'!$AB$22+'TE BF'!$AB$22+'TE CVA'!$AB$22)*(1-CUSTOS!$M$35)</f>
        <v>138.40918466435005</v>
      </c>
      <c r="AB1270" s="6">
        <f>$K$1270*$V$1270</f>
        <v>0</v>
      </c>
      <c r="AC1270" s="6">
        <f>$M$1270*$W$1270</f>
        <v>274454.21770000004</v>
      </c>
      <c r="AD1270" s="6">
        <f>$O$1270*$X$1270</f>
        <v>119925.86450000001</v>
      </c>
      <c r="AE1270" s="6">
        <f>$K$1270*$Y$1270</f>
        <v>0</v>
      </c>
      <c r="AF1270" s="6">
        <f ca="1">$M$1270*$Z$1270</f>
        <v>285359.45203303156</v>
      </c>
      <c r="AG1270" s="6">
        <f>$O$1270*$AA$1270</f>
        <v>156666.74021342449</v>
      </c>
    </row>
    <row r="1271" spans="1:33" ht="11.25" customHeight="1" x14ac:dyDescent="0.25">
      <c r="A1271" s="4" t="s">
        <v>29</v>
      </c>
      <c r="B1271" s="4" t="s">
        <v>22</v>
      </c>
      <c r="C1271" s="4" t="s">
        <v>23</v>
      </c>
      <c r="D1271" s="4" t="s">
        <v>24</v>
      </c>
      <c r="E1271" s="4" t="s">
        <v>32</v>
      </c>
      <c r="F1271" s="4" t="s">
        <v>25</v>
      </c>
      <c r="G1271" s="4" t="s">
        <v>25</v>
      </c>
      <c r="H1271" s="4" t="s">
        <v>25</v>
      </c>
      <c r="I1271" s="5">
        <v>44652</v>
      </c>
      <c r="J1271" s="6">
        <v>0</v>
      </c>
      <c r="K1271" s="6">
        <v>0</v>
      </c>
      <c r="L1271" s="6">
        <v>-6.3710000000000004</v>
      </c>
      <c r="M1271" s="6">
        <v>-6.3710000000000004</v>
      </c>
      <c r="N1271" s="6">
        <v>-6.3710000000000004</v>
      </c>
      <c r="O1271" s="6">
        <v>-6.3710000000000004</v>
      </c>
      <c r="P1271" s="6">
        <v>-108</v>
      </c>
      <c r="Q1271" s="4" t="s">
        <v>26</v>
      </c>
      <c r="R1271" s="4">
        <v>0</v>
      </c>
      <c r="S1271" s="6">
        <v>0</v>
      </c>
      <c r="T1271" s="6">
        <v>41</v>
      </c>
      <c r="U1271" s="6">
        <v>85</v>
      </c>
      <c r="V1271" s="6">
        <f>IF(ISERROR(VLOOKUP($S$1271,'TAR FIN'!$A$1:$O$115,15,0)),0,VLOOKUP($S$1271,'TAR FIN'!$A$1:$O$115,15,0))</f>
        <v>0</v>
      </c>
      <c r="W1271" s="6">
        <f>IF(ISERROR(VLOOKUP($T$1271,'TAR FIN'!$A$1:$O$115,15,0)),0,VLOOKUP($T$1271,'TAR FIN'!$A$1:$O$115,15,0))</f>
        <v>242.47</v>
      </c>
      <c r="X1271" s="6">
        <f>IF(ISERROR(VLOOKUP($U$1271,'TAR FIN'!$A$1:$O$115,15,0)),0,VLOOKUP($U$1271,'TAR FIN'!$A$1:$O$115,15,0))</f>
        <v>105.95</v>
      </c>
      <c r="Y1271" s="6"/>
      <c r="Z1271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71" s="6">
        <f>('TE BE'!$AB$22+'TE BF'!$AB$22+'TE CVA'!$AB$22)*(1-CUSTOS!$M$35)</f>
        <v>138.40918466435005</v>
      </c>
      <c r="AB1271" s="6">
        <f>$K$1271*$V$1271</f>
        <v>0</v>
      </c>
      <c r="AC1271" s="6">
        <f>$M$1271*$W$1271</f>
        <v>-1544.77637</v>
      </c>
      <c r="AD1271" s="6">
        <f>$O$1271*$X$1271</f>
        <v>-675.00745000000006</v>
      </c>
      <c r="AE1271" s="6">
        <f>$K$1271*$Y$1271</f>
        <v>0</v>
      </c>
      <c r="AF1271" s="6">
        <f ca="1">$M$1271*$Z$1271</f>
        <v>-1606.156910798954</v>
      </c>
      <c r="AG1271" s="6">
        <f>$O$1271*$AA$1271</f>
        <v>-881.80491549657427</v>
      </c>
    </row>
    <row r="1272" spans="1:33" ht="11.25" customHeight="1" x14ac:dyDescent="0.25">
      <c r="A1272" s="4" t="s">
        <v>30</v>
      </c>
      <c r="B1272" s="4" t="s">
        <v>22</v>
      </c>
      <c r="C1272" s="4" t="s">
        <v>23</v>
      </c>
      <c r="D1272" s="4" t="s">
        <v>24</v>
      </c>
      <c r="E1272" s="4" t="s">
        <v>32</v>
      </c>
      <c r="F1272" s="4" t="s">
        <v>25</v>
      </c>
      <c r="G1272" s="4" t="s">
        <v>25</v>
      </c>
      <c r="H1272" s="4" t="s">
        <v>25</v>
      </c>
      <c r="I1272" s="5">
        <v>44652</v>
      </c>
      <c r="J1272" s="6">
        <v>0</v>
      </c>
      <c r="K1272" s="6">
        <v>0</v>
      </c>
      <c r="L1272" s="6">
        <v>1.722</v>
      </c>
      <c r="M1272" s="6">
        <v>1.722</v>
      </c>
      <c r="N1272" s="6">
        <v>1.722</v>
      </c>
      <c r="O1272" s="6">
        <v>1.722</v>
      </c>
      <c r="P1272" s="6">
        <v>1</v>
      </c>
      <c r="Q1272" s="4" t="s">
        <v>26</v>
      </c>
      <c r="R1272" s="4">
        <v>0</v>
      </c>
      <c r="S1272" s="6">
        <v>0</v>
      </c>
      <c r="T1272" s="6">
        <v>41</v>
      </c>
      <c r="U1272" s="6">
        <v>85</v>
      </c>
      <c r="V1272" s="6">
        <f>IF(ISERROR(VLOOKUP($S$1272,'TAR FIN'!$A$1:$O$115,15,0)),0,VLOOKUP($S$1272,'TAR FIN'!$A$1:$O$115,15,0))</f>
        <v>0</v>
      </c>
      <c r="W1272" s="6">
        <f>IF(ISERROR(VLOOKUP($T$1272,'TAR FIN'!$A$1:$O$115,15,0)),0,VLOOKUP($T$1272,'TAR FIN'!$A$1:$O$115,15,0))</f>
        <v>242.47</v>
      </c>
      <c r="X1272" s="6">
        <f>IF(ISERROR(VLOOKUP($U$1272,'TAR FIN'!$A$1:$O$115,15,0)),0,VLOOKUP($U$1272,'TAR FIN'!$A$1:$O$115,15,0))</f>
        <v>105.95</v>
      </c>
      <c r="Y1272" s="6"/>
      <c r="Z1272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72" s="6">
        <f>('TE BE'!$AB$22+'TE BF'!$AB$22+'TE CVA'!$AB$22)*(1-CUSTOS!$M$35)</f>
        <v>138.40918466435005</v>
      </c>
      <c r="AB1272" s="6">
        <f>$K$1272*$V$1272</f>
        <v>0</v>
      </c>
      <c r="AC1272" s="6">
        <f>$M$1272*$W$1272</f>
        <v>417.53334000000001</v>
      </c>
      <c r="AD1272" s="6">
        <f>$O$1272*$X$1272</f>
        <v>182.44589999999999</v>
      </c>
      <c r="AE1272" s="6">
        <f>$K$1272*$Y$1272</f>
        <v>0</v>
      </c>
      <c r="AF1272" s="6">
        <f ca="1">$M$1272*$Z$1272</f>
        <v>434.12371690406508</v>
      </c>
      <c r="AG1272" s="6">
        <f>$O$1272*$AA$1272</f>
        <v>238.34061599201078</v>
      </c>
    </row>
    <row r="1273" spans="1:33" ht="11.25" customHeight="1" x14ac:dyDescent="0.25">
      <c r="A1273" s="4" t="s">
        <v>21</v>
      </c>
      <c r="B1273" s="4" t="s">
        <v>22</v>
      </c>
      <c r="C1273" s="4" t="s">
        <v>23</v>
      </c>
      <c r="D1273" s="4" t="s">
        <v>24</v>
      </c>
      <c r="E1273" s="4" t="s">
        <v>32</v>
      </c>
      <c r="F1273" s="4" t="s">
        <v>25</v>
      </c>
      <c r="G1273" s="4" t="s">
        <v>25</v>
      </c>
      <c r="H1273" s="4" t="s">
        <v>25</v>
      </c>
      <c r="I1273" s="5">
        <v>44682</v>
      </c>
      <c r="J1273" s="6">
        <v>0</v>
      </c>
      <c r="K1273" s="6">
        <v>0</v>
      </c>
      <c r="L1273" s="6">
        <v>2471.2730000000001</v>
      </c>
      <c r="M1273" s="6">
        <v>2471.2730000000001</v>
      </c>
      <c r="N1273" s="6">
        <v>2471.2730000000001</v>
      </c>
      <c r="O1273" s="6">
        <v>2471.2730000000001</v>
      </c>
      <c r="P1273" s="6">
        <v>10459</v>
      </c>
      <c r="Q1273" s="4" t="s">
        <v>26</v>
      </c>
      <c r="R1273" s="4">
        <v>0</v>
      </c>
      <c r="S1273" s="6">
        <v>0</v>
      </c>
      <c r="T1273" s="6">
        <v>41</v>
      </c>
      <c r="U1273" s="6">
        <v>85</v>
      </c>
      <c r="V1273" s="6">
        <f>IF(ISERROR(VLOOKUP($S$1273,'TAR FIN'!$A$1:$O$115,15,0)),0,VLOOKUP($S$1273,'TAR FIN'!$A$1:$O$115,15,0))</f>
        <v>0</v>
      </c>
      <c r="W1273" s="6">
        <f>IF(ISERROR(VLOOKUP($T$1273,'TAR FIN'!$A$1:$O$115,15,0)),0,VLOOKUP($T$1273,'TAR FIN'!$A$1:$O$115,15,0))</f>
        <v>242.47</v>
      </c>
      <c r="X1273" s="6">
        <f>IF(ISERROR(VLOOKUP($U$1273,'TAR FIN'!$A$1:$O$115,15,0)),0,VLOOKUP($U$1273,'TAR FIN'!$A$1:$O$115,15,0))</f>
        <v>105.95</v>
      </c>
      <c r="Y1273" s="6"/>
      <c r="Z1273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73" s="6">
        <f>('TE BE'!$AB$22+'TE BF'!$AB$22+'TE CVA'!$AB$22)*(1-CUSTOS!$M$35)</f>
        <v>138.40918466435005</v>
      </c>
      <c r="AB1273" s="6">
        <f>$K$1273*$V$1273</f>
        <v>0</v>
      </c>
      <c r="AC1273" s="6">
        <f>$M$1273*$W$1273</f>
        <v>599209.56431000005</v>
      </c>
      <c r="AD1273" s="6">
        <f>$O$1273*$X$1273</f>
        <v>261831.37435000003</v>
      </c>
      <c r="AE1273" s="6">
        <f>$K$1273*$Y$1273</f>
        <v>0</v>
      </c>
      <c r="AF1273" s="6">
        <f ca="1">$M$1273*$Z$1273</f>
        <v>623018.71094347246</v>
      </c>
      <c r="AG1273" s="6">
        <f>$O$1273*$AA$1273</f>
        <v>342046.88101302239</v>
      </c>
    </row>
    <row r="1274" spans="1:33" ht="11.25" customHeight="1" x14ac:dyDescent="0.25">
      <c r="A1274" s="4" t="s">
        <v>27</v>
      </c>
      <c r="B1274" s="4" t="s">
        <v>22</v>
      </c>
      <c r="C1274" s="4" t="s">
        <v>23</v>
      </c>
      <c r="D1274" s="4" t="s">
        <v>24</v>
      </c>
      <c r="E1274" s="4" t="s">
        <v>32</v>
      </c>
      <c r="F1274" s="4" t="s">
        <v>25</v>
      </c>
      <c r="G1274" s="4" t="s">
        <v>25</v>
      </c>
      <c r="H1274" s="4" t="s">
        <v>25</v>
      </c>
      <c r="I1274" s="5">
        <v>44682</v>
      </c>
      <c r="J1274" s="6">
        <v>0</v>
      </c>
      <c r="K1274" s="6">
        <v>0</v>
      </c>
      <c r="L1274" s="6">
        <v>-10.853</v>
      </c>
      <c r="M1274" s="6">
        <v>-10.853</v>
      </c>
      <c r="N1274" s="6">
        <v>-10.853</v>
      </c>
      <c r="O1274" s="6">
        <v>-10.853</v>
      </c>
      <c r="P1274" s="6">
        <v>-3</v>
      </c>
      <c r="Q1274" s="4" t="s">
        <v>26</v>
      </c>
      <c r="R1274" s="4">
        <v>0</v>
      </c>
      <c r="S1274" s="6">
        <v>0</v>
      </c>
      <c r="T1274" s="6">
        <v>41</v>
      </c>
      <c r="U1274" s="6">
        <v>85</v>
      </c>
      <c r="V1274" s="6">
        <f>IF(ISERROR(VLOOKUP($S$1274,'TAR FIN'!$A$1:$O$115,15,0)),0,VLOOKUP($S$1274,'TAR FIN'!$A$1:$O$115,15,0))</f>
        <v>0</v>
      </c>
      <c r="W1274" s="6">
        <f>IF(ISERROR(VLOOKUP($T$1274,'TAR FIN'!$A$1:$O$115,15,0)),0,VLOOKUP($T$1274,'TAR FIN'!$A$1:$O$115,15,0))</f>
        <v>242.47</v>
      </c>
      <c r="X1274" s="6">
        <f>IF(ISERROR(VLOOKUP($U$1274,'TAR FIN'!$A$1:$O$115,15,0)),0,VLOOKUP($U$1274,'TAR FIN'!$A$1:$O$115,15,0))</f>
        <v>105.95</v>
      </c>
      <c r="Y1274" s="6"/>
      <c r="Z1274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74" s="6">
        <f>('TE BE'!$AB$22+'TE BF'!$AB$22+'TE CVA'!$AB$22)*(1-CUSTOS!$M$35)</f>
        <v>138.40918466435005</v>
      </c>
      <c r="AB1274" s="6">
        <f>$K$1274*$V$1274</f>
        <v>0</v>
      </c>
      <c r="AC1274" s="6">
        <f>$M$1274*$W$1274</f>
        <v>-2631.52691</v>
      </c>
      <c r="AD1274" s="6">
        <f>$O$1274*$X$1274</f>
        <v>-1149.87535</v>
      </c>
      <c r="AE1274" s="6">
        <f>$K$1274*$Y$1274</f>
        <v>0</v>
      </c>
      <c r="AF1274" s="6">
        <f ca="1">$M$1274*$Z$1274</f>
        <v>-2736.0886757025655</v>
      </c>
      <c r="AG1274" s="6">
        <f>$O$1274*$AA$1274</f>
        <v>-1502.154881162191</v>
      </c>
    </row>
    <row r="1275" spans="1:33" ht="11.25" customHeight="1" x14ac:dyDescent="0.25">
      <c r="A1275" s="4" t="s">
        <v>28</v>
      </c>
      <c r="B1275" s="4" t="s">
        <v>22</v>
      </c>
      <c r="C1275" s="4" t="s">
        <v>23</v>
      </c>
      <c r="D1275" s="4" t="s">
        <v>24</v>
      </c>
      <c r="E1275" s="4" t="s">
        <v>32</v>
      </c>
      <c r="F1275" s="4" t="s">
        <v>25</v>
      </c>
      <c r="G1275" s="4" t="s">
        <v>25</v>
      </c>
      <c r="H1275" s="4" t="s">
        <v>25</v>
      </c>
      <c r="I1275" s="5">
        <v>44682</v>
      </c>
      <c r="J1275" s="6">
        <v>0</v>
      </c>
      <c r="K1275" s="6">
        <v>0</v>
      </c>
      <c r="L1275" s="6">
        <v>1102.3599999999999</v>
      </c>
      <c r="M1275" s="6">
        <v>1102.3599999999999</v>
      </c>
      <c r="N1275" s="6">
        <v>1102.3599999999999</v>
      </c>
      <c r="O1275" s="6">
        <v>1102.3599999999999</v>
      </c>
      <c r="P1275" s="6">
        <v>7805</v>
      </c>
      <c r="Q1275" s="4" t="s">
        <v>26</v>
      </c>
      <c r="R1275" s="4">
        <v>0</v>
      </c>
      <c r="S1275" s="6">
        <v>0</v>
      </c>
      <c r="T1275" s="6">
        <v>41</v>
      </c>
      <c r="U1275" s="6">
        <v>85</v>
      </c>
      <c r="V1275" s="6">
        <f>IF(ISERROR(VLOOKUP($S$1275,'TAR FIN'!$A$1:$O$115,15,0)),0,VLOOKUP($S$1275,'TAR FIN'!$A$1:$O$115,15,0))</f>
        <v>0</v>
      </c>
      <c r="W1275" s="6">
        <f>IF(ISERROR(VLOOKUP($T$1275,'TAR FIN'!$A$1:$O$115,15,0)),0,VLOOKUP($T$1275,'TAR FIN'!$A$1:$O$115,15,0))</f>
        <v>242.47</v>
      </c>
      <c r="X1275" s="6">
        <f>IF(ISERROR(VLOOKUP($U$1275,'TAR FIN'!$A$1:$O$115,15,0)),0,VLOOKUP($U$1275,'TAR FIN'!$A$1:$O$115,15,0))</f>
        <v>105.95</v>
      </c>
      <c r="Y1275" s="6"/>
      <c r="Z1275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75" s="6">
        <f>('TE BE'!$AB$22+'TE BF'!$AB$22+'TE CVA'!$AB$22)*(1-CUSTOS!$M$35)</f>
        <v>138.40918466435005</v>
      </c>
      <c r="AB1275" s="6">
        <f>$K$1275*$V$1275</f>
        <v>0</v>
      </c>
      <c r="AC1275" s="6">
        <f>$M$1275*$W$1275</f>
        <v>267289.2292</v>
      </c>
      <c r="AD1275" s="6">
        <f>$O$1275*$X$1275</f>
        <v>116795.04199999999</v>
      </c>
      <c r="AE1275" s="6">
        <f>$K$1275*$Y$1275</f>
        <v>0</v>
      </c>
      <c r="AF1275" s="6">
        <f ca="1">$M$1275*$Z$1275</f>
        <v>277909.76804086246</v>
      </c>
      <c r="AG1275" s="6">
        <f>$O$1275*$AA$1275</f>
        <v>152576.74880659292</v>
      </c>
    </row>
    <row r="1276" spans="1:33" ht="11.25" customHeight="1" x14ac:dyDescent="0.25">
      <c r="A1276" s="4" t="s">
        <v>29</v>
      </c>
      <c r="B1276" s="4" t="s">
        <v>22</v>
      </c>
      <c r="C1276" s="4" t="s">
        <v>23</v>
      </c>
      <c r="D1276" s="4" t="s">
        <v>24</v>
      </c>
      <c r="E1276" s="4" t="s">
        <v>32</v>
      </c>
      <c r="F1276" s="4" t="s">
        <v>25</v>
      </c>
      <c r="G1276" s="4" t="s">
        <v>25</v>
      </c>
      <c r="H1276" s="4" t="s">
        <v>25</v>
      </c>
      <c r="I1276" s="5">
        <v>44682</v>
      </c>
      <c r="J1276" s="6">
        <v>0</v>
      </c>
      <c r="K1276" s="6">
        <v>0</v>
      </c>
      <c r="L1276" s="6">
        <v>-3.1150000000000002</v>
      </c>
      <c r="M1276" s="6">
        <v>-3.1150000000000002</v>
      </c>
      <c r="N1276" s="6">
        <v>-3.1150000000000002</v>
      </c>
      <c r="O1276" s="6">
        <v>-3.1150000000000002</v>
      </c>
      <c r="P1276" s="6">
        <v>-99</v>
      </c>
      <c r="Q1276" s="4" t="s">
        <v>26</v>
      </c>
      <c r="R1276" s="4">
        <v>0</v>
      </c>
      <c r="S1276" s="6">
        <v>0</v>
      </c>
      <c r="T1276" s="6">
        <v>41</v>
      </c>
      <c r="U1276" s="6">
        <v>85</v>
      </c>
      <c r="V1276" s="6">
        <f>IF(ISERROR(VLOOKUP($S$1276,'TAR FIN'!$A$1:$O$115,15,0)),0,VLOOKUP($S$1276,'TAR FIN'!$A$1:$O$115,15,0))</f>
        <v>0</v>
      </c>
      <c r="W1276" s="6">
        <f>IF(ISERROR(VLOOKUP($T$1276,'TAR FIN'!$A$1:$O$115,15,0)),0,VLOOKUP($T$1276,'TAR FIN'!$A$1:$O$115,15,0))</f>
        <v>242.47</v>
      </c>
      <c r="X1276" s="6">
        <f>IF(ISERROR(VLOOKUP($U$1276,'TAR FIN'!$A$1:$O$115,15,0)),0,VLOOKUP($U$1276,'TAR FIN'!$A$1:$O$115,15,0))</f>
        <v>105.95</v>
      </c>
      <c r="Y1276" s="6"/>
      <c r="Z1276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76" s="6">
        <f>('TE BE'!$AB$22+'TE BF'!$AB$22+'TE CVA'!$AB$22)*(1-CUSTOS!$M$35)</f>
        <v>138.40918466435005</v>
      </c>
      <c r="AB1276" s="6">
        <f>$K$1276*$V$1276</f>
        <v>0</v>
      </c>
      <c r="AC1276" s="6">
        <f>$M$1276*$W$1276</f>
        <v>-755.29405000000008</v>
      </c>
      <c r="AD1276" s="6">
        <f>$O$1276*$X$1276</f>
        <v>-330.03425000000004</v>
      </c>
      <c r="AE1276" s="6">
        <f>$K$1276*$Y$1276</f>
        <v>0</v>
      </c>
      <c r="AF1276" s="6">
        <f ca="1">$M$1276*$Z$1276</f>
        <v>-785.30509765166244</v>
      </c>
      <c r="AG1276" s="6">
        <f>$O$1276*$AA$1276</f>
        <v>-431.14461022945045</v>
      </c>
    </row>
    <row r="1277" spans="1:33" ht="11.25" customHeight="1" x14ac:dyDescent="0.25">
      <c r="A1277" s="4" t="s">
        <v>30</v>
      </c>
      <c r="B1277" s="4" t="s">
        <v>22</v>
      </c>
      <c r="C1277" s="4" t="s">
        <v>23</v>
      </c>
      <c r="D1277" s="4" t="s">
        <v>24</v>
      </c>
      <c r="E1277" s="4" t="s">
        <v>32</v>
      </c>
      <c r="F1277" s="4" t="s">
        <v>25</v>
      </c>
      <c r="G1277" s="4" t="s">
        <v>25</v>
      </c>
      <c r="H1277" s="4" t="s">
        <v>25</v>
      </c>
      <c r="I1277" s="5">
        <v>44682</v>
      </c>
      <c r="J1277" s="6">
        <v>0</v>
      </c>
      <c r="K1277" s="6">
        <v>0</v>
      </c>
      <c r="L1277" s="6">
        <v>1.6970000000000001</v>
      </c>
      <c r="M1277" s="6">
        <v>1.6970000000000001</v>
      </c>
      <c r="N1277" s="6">
        <v>1.6970000000000001</v>
      </c>
      <c r="O1277" s="6">
        <v>1.6970000000000001</v>
      </c>
      <c r="P1277" s="6">
        <v>1</v>
      </c>
      <c r="Q1277" s="4" t="s">
        <v>26</v>
      </c>
      <c r="R1277" s="4">
        <v>0</v>
      </c>
      <c r="S1277" s="6">
        <v>0</v>
      </c>
      <c r="T1277" s="6">
        <v>41</v>
      </c>
      <c r="U1277" s="6">
        <v>85</v>
      </c>
      <c r="V1277" s="6">
        <f>IF(ISERROR(VLOOKUP($S$1277,'TAR FIN'!$A$1:$O$115,15,0)),0,VLOOKUP($S$1277,'TAR FIN'!$A$1:$O$115,15,0))</f>
        <v>0</v>
      </c>
      <c r="W1277" s="6">
        <f>IF(ISERROR(VLOOKUP($T$1277,'TAR FIN'!$A$1:$O$115,15,0)),0,VLOOKUP($T$1277,'TAR FIN'!$A$1:$O$115,15,0))</f>
        <v>242.47</v>
      </c>
      <c r="X1277" s="6">
        <f>IF(ISERROR(VLOOKUP($U$1277,'TAR FIN'!$A$1:$O$115,15,0)),0,VLOOKUP($U$1277,'TAR FIN'!$A$1:$O$115,15,0))</f>
        <v>105.95</v>
      </c>
      <c r="Y1277" s="6"/>
      <c r="Z1277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77" s="6">
        <f>('TE BE'!$AB$22+'TE BF'!$AB$22+'TE CVA'!$AB$22)*(1-CUSTOS!$M$35)</f>
        <v>138.40918466435005</v>
      </c>
      <c r="AB1277" s="6">
        <f>$K$1277*$V$1277</f>
        <v>0</v>
      </c>
      <c r="AC1277" s="6">
        <f>$M$1277*$W$1277</f>
        <v>411.47158999999999</v>
      </c>
      <c r="AD1277" s="6">
        <f>$O$1277*$X$1277</f>
        <v>179.79715000000002</v>
      </c>
      <c r="AE1277" s="6">
        <f>$K$1277*$Y$1277</f>
        <v>0</v>
      </c>
      <c r="AF1277" s="6">
        <f ca="1">$M$1277*$Z$1277</f>
        <v>427.82110777363442</v>
      </c>
      <c r="AG1277" s="6">
        <f>$O$1277*$AA$1277</f>
        <v>234.88038637540205</v>
      </c>
    </row>
    <row r="1278" spans="1:33" ht="11.25" customHeight="1" x14ac:dyDescent="0.25">
      <c r="A1278" s="4" t="s">
        <v>21</v>
      </c>
      <c r="B1278" s="4" t="s">
        <v>22</v>
      </c>
      <c r="C1278" s="4" t="s">
        <v>23</v>
      </c>
      <c r="D1278" s="4" t="s">
        <v>24</v>
      </c>
      <c r="E1278" s="4" t="s">
        <v>32</v>
      </c>
      <c r="F1278" s="4" t="s">
        <v>25</v>
      </c>
      <c r="G1278" s="4" t="s">
        <v>25</v>
      </c>
      <c r="H1278" s="4" t="s">
        <v>25</v>
      </c>
      <c r="I1278" s="5">
        <v>44713</v>
      </c>
      <c r="J1278" s="6">
        <v>0</v>
      </c>
      <c r="K1278" s="6">
        <v>0</v>
      </c>
      <c r="L1278" s="6">
        <v>2481.6579999999999</v>
      </c>
      <c r="M1278" s="6">
        <v>2481.6579999999999</v>
      </c>
      <c r="N1278" s="6">
        <v>2481.6579999999999</v>
      </c>
      <c r="O1278" s="6">
        <v>2481.6579999999999</v>
      </c>
      <c r="P1278" s="6">
        <v>11949</v>
      </c>
      <c r="Q1278" s="4" t="s">
        <v>26</v>
      </c>
      <c r="R1278" s="4">
        <v>0</v>
      </c>
      <c r="S1278" s="6">
        <v>0</v>
      </c>
      <c r="T1278" s="6">
        <v>41</v>
      </c>
      <c r="U1278" s="6">
        <v>85</v>
      </c>
      <c r="V1278" s="6">
        <f>IF(ISERROR(VLOOKUP($S$1278,'TAR FIN'!$A$1:$O$115,15,0)),0,VLOOKUP($S$1278,'TAR FIN'!$A$1:$O$115,15,0))</f>
        <v>0</v>
      </c>
      <c r="W1278" s="6">
        <f>IF(ISERROR(VLOOKUP($T$1278,'TAR FIN'!$A$1:$O$115,15,0)),0,VLOOKUP($T$1278,'TAR FIN'!$A$1:$O$115,15,0))</f>
        <v>242.47</v>
      </c>
      <c r="X1278" s="6">
        <f>IF(ISERROR(VLOOKUP($U$1278,'TAR FIN'!$A$1:$O$115,15,0)),0,VLOOKUP($U$1278,'TAR FIN'!$A$1:$O$115,15,0))</f>
        <v>105.95</v>
      </c>
      <c r="Y1278" s="6"/>
      <c r="Z1278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78" s="6">
        <f>('TE BE'!$AB$22+'TE BF'!$AB$22+'TE CVA'!$AB$22)*(1-CUSTOS!$M$35)</f>
        <v>138.40918466435005</v>
      </c>
      <c r="AB1278" s="6">
        <f>$K$1278*$V$1278</f>
        <v>0</v>
      </c>
      <c r="AC1278" s="6">
        <f>$M$1278*$W$1278</f>
        <v>601727.61525999999</v>
      </c>
      <c r="AD1278" s="6">
        <f>$O$1278*$X$1278</f>
        <v>262931.66509999998</v>
      </c>
      <c r="AE1278" s="6">
        <f>$K$1278*$Y$1278</f>
        <v>0</v>
      </c>
      <c r="AF1278" s="6">
        <f ca="1">$M$1278*$Z$1278</f>
        <v>625636.8147762533</v>
      </c>
      <c r="AG1278" s="6">
        <f>$O$1278*$AA$1278</f>
        <v>343484.26039576158</v>
      </c>
    </row>
    <row r="1279" spans="1:33" ht="11.25" customHeight="1" x14ac:dyDescent="0.25">
      <c r="A1279" s="4" t="s">
        <v>27</v>
      </c>
      <c r="B1279" s="4" t="s">
        <v>22</v>
      </c>
      <c r="C1279" s="4" t="s">
        <v>23</v>
      </c>
      <c r="D1279" s="4" t="s">
        <v>24</v>
      </c>
      <c r="E1279" s="4" t="s">
        <v>32</v>
      </c>
      <c r="F1279" s="4" t="s">
        <v>25</v>
      </c>
      <c r="G1279" s="4" t="s">
        <v>25</v>
      </c>
      <c r="H1279" s="4" t="s">
        <v>25</v>
      </c>
      <c r="I1279" s="5">
        <v>44713</v>
      </c>
      <c r="J1279" s="6">
        <v>0</v>
      </c>
      <c r="K1279" s="6">
        <v>0</v>
      </c>
      <c r="L1279" s="6">
        <v>-4.3730000000000002</v>
      </c>
      <c r="M1279" s="6">
        <v>-4.3730000000000002</v>
      </c>
      <c r="N1279" s="6">
        <v>-4.3730000000000002</v>
      </c>
      <c r="O1279" s="6">
        <v>-4.3730000000000002</v>
      </c>
      <c r="P1279" s="6">
        <v>-11</v>
      </c>
      <c r="Q1279" s="4" t="s">
        <v>26</v>
      </c>
      <c r="R1279" s="4">
        <v>0</v>
      </c>
      <c r="S1279" s="6">
        <v>0</v>
      </c>
      <c r="T1279" s="6">
        <v>41</v>
      </c>
      <c r="U1279" s="6">
        <v>85</v>
      </c>
      <c r="V1279" s="6">
        <f>IF(ISERROR(VLOOKUP($S$1279,'TAR FIN'!$A$1:$O$115,15,0)),0,VLOOKUP($S$1279,'TAR FIN'!$A$1:$O$115,15,0))</f>
        <v>0</v>
      </c>
      <c r="W1279" s="6">
        <f>IF(ISERROR(VLOOKUP($T$1279,'TAR FIN'!$A$1:$O$115,15,0)),0,VLOOKUP($T$1279,'TAR FIN'!$A$1:$O$115,15,0))</f>
        <v>242.47</v>
      </c>
      <c r="X1279" s="6">
        <f>IF(ISERROR(VLOOKUP($U$1279,'TAR FIN'!$A$1:$O$115,15,0)),0,VLOOKUP($U$1279,'TAR FIN'!$A$1:$O$115,15,0))</f>
        <v>105.95</v>
      </c>
      <c r="Y1279" s="6"/>
      <c r="Z1279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79" s="6">
        <f>('TE BE'!$AB$22+'TE BF'!$AB$22+'TE CVA'!$AB$22)*(1-CUSTOS!$M$35)</f>
        <v>138.40918466435005</v>
      </c>
      <c r="AB1279" s="6">
        <f>$K$1279*$V$1279</f>
        <v>0</v>
      </c>
      <c r="AC1279" s="6">
        <f>$M$1279*$W$1279</f>
        <v>-1060.32131</v>
      </c>
      <c r="AD1279" s="6">
        <f>$O$1279*$X$1279</f>
        <v>-463.31935000000004</v>
      </c>
      <c r="AE1279" s="6">
        <f>$K$1279*$Y$1279</f>
        <v>0</v>
      </c>
      <c r="AF1279" s="6">
        <f ca="1">$M$1279*$Z$1279</f>
        <v>-1102.4523890949342</v>
      </c>
      <c r="AG1279" s="6">
        <f>$O$1279*$AA$1279</f>
        <v>-605.26336453720285</v>
      </c>
    </row>
    <row r="1280" spans="1:33" ht="11.25" customHeight="1" x14ac:dyDescent="0.25">
      <c r="A1280" s="4" t="s">
        <v>28</v>
      </c>
      <c r="B1280" s="4" t="s">
        <v>22</v>
      </c>
      <c r="C1280" s="4" t="s">
        <v>23</v>
      </c>
      <c r="D1280" s="4" t="s">
        <v>24</v>
      </c>
      <c r="E1280" s="4" t="s">
        <v>32</v>
      </c>
      <c r="F1280" s="4" t="s">
        <v>25</v>
      </c>
      <c r="G1280" s="4" t="s">
        <v>25</v>
      </c>
      <c r="H1280" s="4" t="s">
        <v>25</v>
      </c>
      <c r="I1280" s="5">
        <v>44713</v>
      </c>
      <c r="J1280" s="6">
        <v>0</v>
      </c>
      <c r="K1280" s="6">
        <v>0</v>
      </c>
      <c r="L1280" s="6">
        <v>1104.2239999999999</v>
      </c>
      <c r="M1280" s="6">
        <v>1104.2239999999999</v>
      </c>
      <c r="N1280" s="6">
        <v>1104.2239999999999</v>
      </c>
      <c r="O1280" s="6">
        <v>1104.2239999999999</v>
      </c>
      <c r="P1280" s="6">
        <v>8313</v>
      </c>
      <c r="Q1280" s="4" t="s">
        <v>26</v>
      </c>
      <c r="R1280" s="4">
        <v>0</v>
      </c>
      <c r="S1280" s="6">
        <v>0</v>
      </c>
      <c r="T1280" s="6">
        <v>41</v>
      </c>
      <c r="U1280" s="6">
        <v>85</v>
      </c>
      <c r="V1280" s="6">
        <f>IF(ISERROR(VLOOKUP($S$1280,'TAR FIN'!$A$1:$O$115,15,0)),0,VLOOKUP($S$1280,'TAR FIN'!$A$1:$O$115,15,0))</f>
        <v>0</v>
      </c>
      <c r="W1280" s="6">
        <f>IF(ISERROR(VLOOKUP($T$1280,'TAR FIN'!$A$1:$O$115,15,0)),0,VLOOKUP($T$1280,'TAR FIN'!$A$1:$O$115,15,0))</f>
        <v>242.47</v>
      </c>
      <c r="X1280" s="6">
        <f>IF(ISERROR(VLOOKUP($U$1280,'TAR FIN'!$A$1:$O$115,15,0)),0,VLOOKUP($U$1280,'TAR FIN'!$A$1:$O$115,15,0))</f>
        <v>105.95</v>
      </c>
      <c r="Y1280" s="6"/>
      <c r="Z1280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80" s="6">
        <f>('TE BE'!$AB$22+'TE BF'!$AB$22+'TE CVA'!$AB$22)*(1-CUSTOS!$M$35)</f>
        <v>138.40918466435005</v>
      </c>
      <c r="AB1280" s="6">
        <f>$K$1280*$V$1280</f>
        <v>0</v>
      </c>
      <c r="AC1280" s="6">
        <f>$M$1280*$W$1280</f>
        <v>267741.19328000001</v>
      </c>
      <c r="AD1280" s="6">
        <f>$O$1280*$X$1280</f>
        <v>116992.5328</v>
      </c>
      <c r="AE1280" s="6">
        <f>$K$1280*$Y$1280</f>
        <v>0</v>
      </c>
      <c r="AF1280" s="6">
        <f ca="1">$M$1280*$Z$1280</f>
        <v>278379.69057762733</v>
      </c>
      <c r="AG1280" s="6">
        <f>$O$1280*$AA$1280</f>
        <v>152834.74352680726</v>
      </c>
    </row>
    <row r="1281" spans="1:33" ht="11.25" customHeight="1" x14ac:dyDescent="0.25">
      <c r="A1281" s="4" t="s">
        <v>29</v>
      </c>
      <c r="B1281" s="4" t="s">
        <v>22</v>
      </c>
      <c r="C1281" s="4" t="s">
        <v>23</v>
      </c>
      <c r="D1281" s="4" t="s">
        <v>24</v>
      </c>
      <c r="E1281" s="4" t="s">
        <v>32</v>
      </c>
      <c r="F1281" s="4" t="s">
        <v>25</v>
      </c>
      <c r="G1281" s="4" t="s">
        <v>25</v>
      </c>
      <c r="H1281" s="4" t="s">
        <v>25</v>
      </c>
      <c r="I1281" s="5">
        <v>44713</v>
      </c>
      <c r="J1281" s="6">
        <v>0</v>
      </c>
      <c r="K1281" s="6">
        <v>0</v>
      </c>
      <c r="L1281" s="6">
        <v>-0.39600000000000002</v>
      </c>
      <c r="M1281" s="6">
        <v>-0.39600000000000002</v>
      </c>
      <c r="N1281" s="6">
        <v>-0.39600000000000002</v>
      </c>
      <c r="O1281" s="6">
        <v>-0.39600000000000002</v>
      </c>
      <c r="P1281" s="6">
        <v>-7</v>
      </c>
      <c r="Q1281" s="4" t="s">
        <v>26</v>
      </c>
      <c r="R1281" s="4">
        <v>0</v>
      </c>
      <c r="S1281" s="6">
        <v>0</v>
      </c>
      <c r="T1281" s="6">
        <v>41</v>
      </c>
      <c r="U1281" s="6">
        <v>85</v>
      </c>
      <c r="V1281" s="6">
        <f>IF(ISERROR(VLOOKUP($S$1281,'TAR FIN'!$A$1:$O$115,15,0)),0,VLOOKUP($S$1281,'TAR FIN'!$A$1:$O$115,15,0))</f>
        <v>0</v>
      </c>
      <c r="W1281" s="6">
        <f>IF(ISERROR(VLOOKUP($T$1281,'TAR FIN'!$A$1:$O$115,15,0)),0,VLOOKUP($T$1281,'TAR FIN'!$A$1:$O$115,15,0))</f>
        <v>242.47</v>
      </c>
      <c r="X1281" s="6">
        <f>IF(ISERROR(VLOOKUP($U$1281,'TAR FIN'!$A$1:$O$115,15,0)),0,VLOOKUP($U$1281,'TAR FIN'!$A$1:$O$115,15,0))</f>
        <v>105.95</v>
      </c>
      <c r="Y1281" s="6"/>
      <c r="Z1281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81" s="6">
        <f>('TE BE'!$AB$22+'TE BF'!$AB$22+'TE CVA'!$AB$22)*(1-CUSTOS!$M$35)</f>
        <v>138.40918466435005</v>
      </c>
      <c r="AB1281" s="6">
        <f>$K$1281*$V$1281</f>
        <v>0</v>
      </c>
      <c r="AC1281" s="6">
        <f>$M$1281*$W$1281</f>
        <v>-96.01812000000001</v>
      </c>
      <c r="AD1281" s="6">
        <f>$O$1281*$X$1281</f>
        <v>-41.956200000000003</v>
      </c>
      <c r="AE1281" s="6">
        <f>$K$1281*$Y$1281</f>
        <v>0</v>
      </c>
      <c r="AF1281" s="6">
        <f ca="1">$M$1281*$Z$1281</f>
        <v>-99.833328626021938</v>
      </c>
      <c r="AG1281" s="6">
        <f>$O$1281*$AA$1281</f>
        <v>-54.810037127082623</v>
      </c>
    </row>
    <row r="1282" spans="1:33" ht="11.25" customHeight="1" x14ac:dyDescent="0.25">
      <c r="A1282" s="4" t="s">
        <v>30</v>
      </c>
      <c r="B1282" s="4" t="s">
        <v>22</v>
      </c>
      <c r="C1282" s="4" t="s">
        <v>23</v>
      </c>
      <c r="D1282" s="4" t="s">
        <v>24</v>
      </c>
      <c r="E1282" s="4" t="s">
        <v>32</v>
      </c>
      <c r="F1282" s="4" t="s">
        <v>25</v>
      </c>
      <c r="G1282" s="4" t="s">
        <v>25</v>
      </c>
      <c r="H1282" s="4" t="s">
        <v>25</v>
      </c>
      <c r="I1282" s="5">
        <v>44713</v>
      </c>
      <c r="J1282" s="6">
        <v>0</v>
      </c>
      <c r="K1282" s="6">
        <v>0</v>
      </c>
      <c r="L1282" s="6">
        <v>1.655</v>
      </c>
      <c r="M1282" s="6">
        <v>1.655</v>
      </c>
      <c r="N1282" s="6">
        <v>1.655</v>
      </c>
      <c r="O1282" s="6">
        <v>1.655</v>
      </c>
      <c r="P1282" s="6">
        <v>1</v>
      </c>
      <c r="Q1282" s="4" t="s">
        <v>26</v>
      </c>
      <c r="R1282" s="4">
        <v>0</v>
      </c>
      <c r="S1282" s="6">
        <v>0</v>
      </c>
      <c r="T1282" s="6">
        <v>41</v>
      </c>
      <c r="U1282" s="6">
        <v>85</v>
      </c>
      <c r="V1282" s="6">
        <f>IF(ISERROR(VLOOKUP($S$1282,'TAR FIN'!$A$1:$O$115,15,0)),0,VLOOKUP($S$1282,'TAR FIN'!$A$1:$O$115,15,0))</f>
        <v>0</v>
      </c>
      <c r="W1282" s="6">
        <f>IF(ISERROR(VLOOKUP($T$1282,'TAR FIN'!$A$1:$O$115,15,0)),0,VLOOKUP($T$1282,'TAR FIN'!$A$1:$O$115,15,0))</f>
        <v>242.47</v>
      </c>
      <c r="X1282" s="6">
        <f>IF(ISERROR(VLOOKUP($U$1282,'TAR FIN'!$A$1:$O$115,15,0)),0,VLOOKUP($U$1282,'TAR FIN'!$A$1:$O$115,15,0))</f>
        <v>105.95</v>
      </c>
      <c r="Y1282" s="6"/>
      <c r="Z1282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82" s="6">
        <f>('TE BE'!$AB$22+'TE BF'!$AB$22+'TE CVA'!$AB$22)*(1-CUSTOS!$M$35)</f>
        <v>138.40918466435005</v>
      </c>
      <c r="AB1282" s="6">
        <f>$K$1282*$V$1282</f>
        <v>0</v>
      </c>
      <c r="AC1282" s="6">
        <f>$M$1282*$W$1282</f>
        <v>401.28784999999999</v>
      </c>
      <c r="AD1282" s="6">
        <f>$O$1282*$X$1282</f>
        <v>175.34725</v>
      </c>
      <c r="AE1282" s="6">
        <f>$K$1282*$Y$1282</f>
        <v>0</v>
      </c>
      <c r="AF1282" s="6">
        <f ca="1">$M$1282*$Z$1282</f>
        <v>417.23272443451083</v>
      </c>
      <c r="AG1282" s="6">
        <f>$O$1282*$AA$1282</f>
        <v>229.06720061949935</v>
      </c>
    </row>
    <row r="1283" spans="1:33" ht="11.25" customHeight="1" x14ac:dyDescent="0.25">
      <c r="A1283" s="4" t="s">
        <v>21</v>
      </c>
      <c r="B1283" s="4" t="s">
        <v>22</v>
      </c>
      <c r="C1283" s="4" t="s">
        <v>23</v>
      </c>
      <c r="D1283" s="4" t="s">
        <v>24</v>
      </c>
      <c r="E1283" s="4" t="s">
        <v>32</v>
      </c>
      <c r="F1283" s="4" t="s">
        <v>25</v>
      </c>
      <c r="G1283" s="4" t="s">
        <v>25</v>
      </c>
      <c r="H1283" s="4" t="s">
        <v>25</v>
      </c>
      <c r="I1283" s="5">
        <v>44743</v>
      </c>
      <c r="J1283" s="6">
        <v>0</v>
      </c>
      <c r="K1283" s="6">
        <v>0</v>
      </c>
      <c r="L1283" s="6">
        <v>2615.866</v>
      </c>
      <c r="M1283" s="6">
        <v>2615.866</v>
      </c>
      <c r="N1283" s="6">
        <v>2615.866</v>
      </c>
      <c r="O1283" s="6">
        <v>2615.866</v>
      </c>
      <c r="P1283" s="6">
        <v>10528</v>
      </c>
      <c r="Q1283" s="4" t="s">
        <v>26</v>
      </c>
      <c r="R1283" s="4">
        <v>0</v>
      </c>
      <c r="S1283" s="6">
        <v>0</v>
      </c>
      <c r="T1283" s="6">
        <v>41</v>
      </c>
      <c r="U1283" s="6">
        <v>85</v>
      </c>
      <c r="V1283" s="6">
        <f>IF(ISERROR(VLOOKUP($S$1283,'TAR FIN'!$A$1:$O$115,15,0)),0,VLOOKUP($S$1283,'TAR FIN'!$A$1:$O$115,15,0))</f>
        <v>0</v>
      </c>
      <c r="W1283" s="6">
        <f>IF(ISERROR(VLOOKUP($T$1283,'TAR FIN'!$A$1:$O$115,15,0)),0,VLOOKUP($T$1283,'TAR FIN'!$A$1:$O$115,15,0))</f>
        <v>242.47</v>
      </c>
      <c r="X1283" s="6">
        <f>IF(ISERROR(VLOOKUP($U$1283,'TAR FIN'!$A$1:$O$115,15,0)),0,VLOOKUP($U$1283,'TAR FIN'!$A$1:$O$115,15,0))</f>
        <v>105.95</v>
      </c>
      <c r="Y1283" s="6"/>
      <c r="Z1283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83" s="6">
        <f>('TE BE'!$AB$22+'TE BF'!$AB$22+'TE CVA'!$AB$22)*(1-CUSTOS!$M$35)</f>
        <v>138.40918466435005</v>
      </c>
      <c r="AB1283" s="6">
        <f>$K$1283*$V$1283</f>
        <v>0</v>
      </c>
      <c r="AC1283" s="6">
        <f>$M$1283*$W$1283</f>
        <v>634269.02902000002</v>
      </c>
      <c r="AD1283" s="6">
        <f>$O$1283*$X$1283</f>
        <v>277151.00270000001</v>
      </c>
      <c r="AE1283" s="6">
        <f>$K$1283*$Y$1283</f>
        <v>0</v>
      </c>
      <c r="AF1283" s="6">
        <f ca="1">$M$1283*$Z$1283</f>
        <v>659471.23742332694</v>
      </c>
      <c r="AG1283" s="6">
        <f>$O$1283*$AA$1283</f>
        <v>362059.8802511947</v>
      </c>
    </row>
    <row r="1284" spans="1:33" ht="11.25" customHeight="1" x14ac:dyDescent="0.25">
      <c r="A1284" s="4" t="s">
        <v>27</v>
      </c>
      <c r="B1284" s="4" t="s">
        <v>22</v>
      </c>
      <c r="C1284" s="4" t="s">
        <v>23</v>
      </c>
      <c r="D1284" s="4" t="s">
        <v>24</v>
      </c>
      <c r="E1284" s="4" t="s">
        <v>32</v>
      </c>
      <c r="F1284" s="4" t="s">
        <v>25</v>
      </c>
      <c r="G1284" s="4" t="s">
        <v>25</v>
      </c>
      <c r="H1284" s="4" t="s">
        <v>25</v>
      </c>
      <c r="I1284" s="5">
        <v>44743</v>
      </c>
      <c r="J1284" s="6">
        <v>0</v>
      </c>
      <c r="K1284" s="6">
        <v>0</v>
      </c>
      <c r="L1284" s="6">
        <v>-4.8159999999999998</v>
      </c>
      <c r="M1284" s="6">
        <v>-4.8159999999999998</v>
      </c>
      <c r="N1284" s="6">
        <v>-4.8159999999999998</v>
      </c>
      <c r="O1284" s="6">
        <v>-4.8159999999999998</v>
      </c>
      <c r="P1284" s="6">
        <v>-9</v>
      </c>
      <c r="Q1284" s="4" t="s">
        <v>26</v>
      </c>
      <c r="R1284" s="4">
        <v>0</v>
      </c>
      <c r="S1284" s="6">
        <v>0</v>
      </c>
      <c r="T1284" s="6">
        <v>41</v>
      </c>
      <c r="U1284" s="6">
        <v>85</v>
      </c>
      <c r="V1284" s="6">
        <f>IF(ISERROR(VLOOKUP($S$1284,'TAR FIN'!$A$1:$O$115,15,0)),0,VLOOKUP($S$1284,'TAR FIN'!$A$1:$O$115,15,0))</f>
        <v>0</v>
      </c>
      <c r="W1284" s="6">
        <f>IF(ISERROR(VLOOKUP($T$1284,'TAR FIN'!$A$1:$O$115,15,0)),0,VLOOKUP($T$1284,'TAR FIN'!$A$1:$O$115,15,0))</f>
        <v>242.47</v>
      </c>
      <c r="X1284" s="6">
        <f>IF(ISERROR(VLOOKUP($U$1284,'TAR FIN'!$A$1:$O$115,15,0)),0,VLOOKUP($U$1284,'TAR FIN'!$A$1:$O$115,15,0))</f>
        <v>105.95</v>
      </c>
      <c r="Y1284" s="6"/>
      <c r="Z1284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84" s="6">
        <f>('TE BE'!$AB$22+'TE BF'!$AB$22+'TE CVA'!$AB$22)*(1-CUSTOS!$M$35)</f>
        <v>138.40918466435005</v>
      </c>
      <c r="AB1284" s="6">
        <f>$K$1284*$V$1284</f>
        <v>0</v>
      </c>
      <c r="AC1284" s="6">
        <f>$M$1284*$W$1284</f>
        <v>-1167.73552</v>
      </c>
      <c r="AD1284" s="6">
        <f>$O$1284*$X$1284</f>
        <v>-510.2552</v>
      </c>
      <c r="AE1284" s="6">
        <f>$K$1284*$Y$1284</f>
        <v>0</v>
      </c>
      <c r="AF1284" s="6">
        <f ca="1">$M$1284*$Z$1284</f>
        <v>-1214.1346228861657</v>
      </c>
      <c r="AG1284" s="6">
        <f>$O$1284*$AA$1284</f>
        <v>-666.57863334350986</v>
      </c>
    </row>
    <row r="1285" spans="1:33" ht="11.25" customHeight="1" x14ac:dyDescent="0.25">
      <c r="A1285" s="4" t="s">
        <v>28</v>
      </c>
      <c r="B1285" s="4" t="s">
        <v>22</v>
      </c>
      <c r="C1285" s="4" t="s">
        <v>23</v>
      </c>
      <c r="D1285" s="4" t="s">
        <v>24</v>
      </c>
      <c r="E1285" s="4" t="s">
        <v>32</v>
      </c>
      <c r="F1285" s="4" t="s">
        <v>25</v>
      </c>
      <c r="G1285" s="4" t="s">
        <v>25</v>
      </c>
      <c r="H1285" s="4" t="s">
        <v>25</v>
      </c>
      <c r="I1285" s="5">
        <v>44743</v>
      </c>
      <c r="J1285" s="6">
        <v>0</v>
      </c>
      <c r="K1285" s="6">
        <v>0</v>
      </c>
      <c r="L1285" s="6">
        <v>1186.0730000000001</v>
      </c>
      <c r="M1285" s="6">
        <v>1186.0730000000001</v>
      </c>
      <c r="N1285" s="6">
        <v>1186.0730000000001</v>
      </c>
      <c r="O1285" s="6">
        <v>1186.0730000000001</v>
      </c>
      <c r="P1285" s="6">
        <v>7615</v>
      </c>
      <c r="Q1285" s="4" t="s">
        <v>26</v>
      </c>
      <c r="R1285" s="4">
        <v>0</v>
      </c>
      <c r="S1285" s="6">
        <v>0</v>
      </c>
      <c r="T1285" s="6">
        <v>41</v>
      </c>
      <c r="U1285" s="6">
        <v>85</v>
      </c>
      <c r="V1285" s="6">
        <f>IF(ISERROR(VLOOKUP($S$1285,'TAR FIN'!$A$1:$O$115,15,0)),0,VLOOKUP($S$1285,'TAR FIN'!$A$1:$O$115,15,0))</f>
        <v>0</v>
      </c>
      <c r="W1285" s="6">
        <f>IF(ISERROR(VLOOKUP($T$1285,'TAR FIN'!$A$1:$O$115,15,0)),0,VLOOKUP($T$1285,'TAR FIN'!$A$1:$O$115,15,0))</f>
        <v>242.47</v>
      </c>
      <c r="X1285" s="6">
        <f>IF(ISERROR(VLOOKUP($U$1285,'TAR FIN'!$A$1:$O$115,15,0)),0,VLOOKUP($U$1285,'TAR FIN'!$A$1:$O$115,15,0))</f>
        <v>105.95</v>
      </c>
      <c r="Y1285" s="6"/>
      <c r="Z1285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85" s="6">
        <f>('TE BE'!$AB$22+'TE BF'!$AB$22+'TE CVA'!$AB$22)*(1-CUSTOS!$M$35)</f>
        <v>138.40918466435005</v>
      </c>
      <c r="AB1285" s="6">
        <f>$K$1285*$V$1285</f>
        <v>0</v>
      </c>
      <c r="AC1285" s="6">
        <f>$M$1285*$W$1285</f>
        <v>287587.12031000003</v>
      </c>
      <c r="AD1285" s="6">
        <f>$O$1285*$X$1285</f>
        <v>125664.43435000001</v>
      </c>
      <c r="AE1285" s="6">
        <f>$K$1285*$Y$1285</f>
        <v>0</v>
      </c>
      <c r="AF1285" s="6">
        <f ca="1">$M$1285*$Z$1285</f>
        <v>299014.18076629221</v>
      </c>
      <c r="AG1285" s="6">
        <f>$O$1285*$AA$1285</f>
        <v>164163.39688239968</v>
      </c>
    </row>
    <row r="1286" spans="1:33" ht="11.25" customHeight="1" x14ac:dyDescent="0.25">
      <c r="A1286" s="4" t="s">
        <v>29</v>
      </c>
      <c r="B1286" s="4" t="s">
        <v>22</v>
      </c>
      <c r="C1286" s="4" t="s">
        <v>23</v>
      </c>
      <c r="D1286" s="4" t="s">
        <v>24</v>
      </c>
      <c r="E1286" s="4" t="s">
        <v>32</v>
      </c>
      <c r="F1286" s="4" t="s">
        <v>25</v>
      </c>
      <c r="G1286" s="4" t="s">
        <v>25</v>
      </c>
      <c r="H1286" s="4" t="s">
        <v>25</v>
      </c>
      <c r="I1286" s="5">
        <v>44743</v>
      </c>
      <c r="J1286" s="6">
        <v>0</v>
      </c>
      <c r="K1286" s="6">
        <v>0</v>
      </c>
      <c r="L1286" s="6">
        <v>-0.629</v>
      </c>
      <c r="M1286" s="6">
        <v>-0.629</v>
      </c>
      <c r="N1286" s="6">
        <v>-0.629</v>
      </c>
      <c r="O1286" s="6">
        <v>-0.629</v>
      </c>
      <c r="P1286" s="6">
        <v>-10</v>
      </c>
      <c r="Q1286" s="4" t="s">
        <v>26</v>
      </c>
      <c r="R1286" s="4">
        <v>0</v>
      </c>
      <c r="S1286" s="6">
        <v>0</v>
      </c>
      <c r="T1286" s="6">
        <v>41</v>
      </c>
      <c r="U1286" s="6">
        <v>85</v>
      </c>
      <c r="V1286" s="6">
        <f>IF(ISERROR(VLOOKUP($S$1286,'TAR FIN'!$A$1:$O$115,15,0)),0,VLOOKUP($S$1286,'TAR FIN'!$A$1:$O$115,15,0))</f>
        <v>0</v>
      </c>
      <c r="W1286" s="6">
        <f>IF(ISERROR(VLOOKUP($T$1286,'TAR FIN'!$A$1:$O$115,15,0)),0,VLOOKUP($T$1286,'TAR FIN'!$A$1:$O$115,15,0))</f>
        <v>242.47</v>
      </c>
      <c r="X1286" s="6">
        <f>IF(ISERROR(VLOOKUP($U$1286,'TAR FIN'!$A$1:$O$115,15,0)),0,VLOOKUP($U$1286,'TAR FIN'!$A$1:$O$115,15,0))</f>
        <v>105.95</v>
      </c>
      <c r="Y1286" s="6"/>
      <c r="Z1286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86" s="6">
        <f>('TE BE'!$AB$22+'TE BF'!$AB$22+'TE CVA'!$AB$22)*(1-CUSTOS!$M$35)</f>
        <v>138.40918466435005</v>
      </c>
      <c r="AB1286" s="6">
        <f>$K$1286*$V$1286</f>
        <v>0</v>
      </c>
      <c r="AC1286" s="6">
        <f>$M$1286*$W$1286</f>
        <v>-152.51363000000001</v>
      </c>
      <c r="AD1286" s="6">
        <f>$O$1286*$X$1286</f>
        <v>-66.64255</v>
      </c>
      <c r="AE1286" s="6">
        <f>$K$1286*$Y$1286</f>
        <v>0</v>
      </c>
      <c r="AF1286" s="6">
        <f ca="1">$M$1286*$Z$1286</f>
        <v>-158.57364572163584</v>
      </c>
      <c r="AG1286" s="6">
        <f>$O$1286*$AA$1286</f>
        <v>-87.059377153876184</v>
      </c>
    </row>
    <row r="1287" spans="1:33" ht="11.25" customHeight="1" x14ac:dyDescent="0.25">
      <c r="A1287" s="4" t="s">
        <v>30</v>
      </c>
      <c r="B1287" s="4" t="s">
        <v>22</v>
      </c>
      <c r="C1287" s="4" t="s">
        <v>23</v>
      </c>
      <c r="D1287" s="4" t="s">
        <v>24</v>
      </c>
      <c r="E1287" s="4" t="s">
        <v>32</v>
      </c>
      <c r="F1287" s="4" t="s">
        <v>25</v>
      </c>
      <c r="G1287" s="4" t="s">
        <v>25</v>
      </c>
      <c r="H1287" s="4" t="s">
        <v>25</v>
      </c>
      <c r="I1287" s="5">
        <v>44743</v>
      </c>
      <c r="J1287" s="6">
        <v>0</v>
      </c>
      <c r="K1287" s="6">
        <v>0</v>
      </c>
      <c r="L1287" s="6">
        <v>1.877</v>
      </c>
      <c r="M1287" s="6">
        <v>1.877</v>
      </c>
      <c r="N1287" s="6">
        <v>1.877</v>
      </c>
      <c r="O1287" s="6">
        <v>1.877</v>
      </c>
      <c r="P1287" s="6">
        <v>1</v>
      </c>
      <c r="Q1287" s="4" t="s">
        <v>26</v>
      </c>
      <c r="R1287" s="4">
        <v>0</v>
      </c>
      <c r="S1287" s="6">
        <v>0</v>
      </c>
      <c r="T1287" s="6">
        <v>41</v>
      </c>
      <c r="U1287" s="6">
        <v>85</v>
      </c>
      <c r="V1287" s="6">
        <f>IF(ISERROR(VLOOKUP($S$1287,'TAR FIN'!$A$1:$O$115,15,0)),0,VLOOKUP($S$1287,'TAR FIN'!$A$1:$O$115,15,0))</f>
        <v>0</v>
      </c>
      <c r="W1287" s="6">
        <f>IF(ISERROR(VLOOKUP($T$1287,'TAR FIN'!$A$1:$O$115,15,0)),0,VLOOKUP($T$1287,'TAR FIN'!$A$1:$O$115,15,0))</f>
        <v>242.47</v>
      </c>
      <c r="X1287" s="6">
        <f>IF(ISERROR(VLOOKUP($U$1287,'TAR FIN'!$A$1:$O$115,15,0)),0,VLOOKUP($U$1287,'TAR FIN'!$A$1:$O$115,15,0))</f>
        <v>105.95</v>
      </c>
      <c r="Y1287" s="6"/>
      <c r="Z1287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87" s="6">
        <f>('TE BE'!$AB$22+'TE BF'!$AB$22+'TE CVA'!$AB$22)*(1-CUSTOS!$M$35)</f>
        <v>138.40918466435005</v>
      </c>
      <c r="AB1287" s="6">
        <f>$K$1287*$V$1287</f>
        <v>0</v>
      </c>
      <c r="AC1287" s="6">
        <f>$M$1287*$W$1287</f>
        <v>455.11619000000002</v>
      </c>
      <c r="AD1287" s="6">
        <f>$O$1287*$X$1287</f>
        <v>198.86815000000001</v>
      </c>
      <c r="AE1287" s="6">
        <f>$K$1287*$Y$1287</f>
        <v>0</v>
      </c>
      <c r="AF1287" s="6">
        <f ca="1">$M$1287*$Z$1287</f>
        <v>473.19989351273529</v>
      </c>
      <c r="AG1287" s="6">
        <f>$O$1287*$AA$1287</f>
        <v>259.79403961498502</v>
      </c>
    </row>
    <row r="1288" spans="1:33" ht="11.25" customHeight="1" x14ac:dyDescent="0.25">
      <c r="A1288" s="4" t="s">
        <v>21</v>
      </c>
      <c r="B1288" s="4" t="s">
        <v>22</v>
      </c>
      <c r="C1288" s="4" t="s">
        <v>23</v>
      </c>
      <c r="D1288" s="4" t="s">
        <v>24</v>
      </c>
      <c r="E1288" s="4" t="s">
        <v>32</v>
      </c>
      <c r="F1288" s="4" t="s">
        <v>25</v>
      </c>
      <c r="G1288" s="4" t="s">
        <v>25</v>
      </c>
      <c r="H1288" s="4" t="s">
        <v>25</v>
      </c>
      <c r="I1288" s="5">
        <v>44774</v>
      </c>
      <c r="J1288" s="6">
        <v>0</v>
      </c>
      <c r="K1288" s="6">
        <v>0</v>
      </c>
      <c r="L1288" s="6">
        <v>2214.701</v>
      </c>
      <c r="M1288" s="6">
        <v>2214.701</v>
      </c>
      <c r="N1288" s="6">
        <v>2214.701</v>
      </c>
      <c r="O1288" s="6">
        <v>2214.701</v>
      </c>
      <c r="P1288" s="6">
        <v>6120</v>
      </c>
      <c r="Q1288" s="4" t="s">
        <v>26</v>
      </c>
      <c r="R1288" s="4">
        <v>0</v>
      </c>
      <c r="S1288" s="6">
        <v>0</v>
      </c>
      <c r="T1288" s="6">
        <v>41</v>
      </c>
      <c r="U1288" s="6">
        <v>85</v>
      </c>
      <c r="V1288" s="6">
        <f>IF(ISERROR(VLOOKUP($S$1288,'TAR FIN'!$A$1:$O$115,15,0)),0,VLOOKUP($S$1288,'TAR FIN'!$A$1:$O$115,15,0))</f>
        <v>0</v>
      </c>
      <c r="W1288" s="6">
        <f>IF(ISERROR(VLOOKUP($T$1288,'TAR FIN'!$A$1:$O$115,15,0)),0,VLOOKUP($T$1288,'TAR FIN'!$A$1:$O$115,15,0))</f>
        <v>242.47</v>
      </c>
      <c r="X1288" s="6">
        <f>IF(ISERROR(VLOOKUP($U$1288,'TAR FIN'!$A$1:$O$115,15,0)),0,VLOOKUP($U$1288,'TAR FIN'!$A$1:$O$115,15,0))</f>
        <v>105.95</v>
      </c>
      <c r="Y1288" s="6"/>
      <c r="Z1288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88" s="6">
        <f>('TE BE'!$AB$22+'TE BF'!$AB$22+'TE CVA'!$AB$22)*(1-CUSTOS!$M$35)</f>
        <v>138.40918466435005</v>
      </c>
      <c r="AB1288" s="6">
        <f>$K$1288*$V$1288</f>
        <v>0</v>
      </c>
      <c r="AC1288" s="6">
        <f>$M$1288*$W$1288</f>
        <v>536998.55146999995</v>
      </c>
      <c r="AD1288" s="6">
        <f>$O$1288*$X$1288</f>
        <v>234647.57095000002</v>
      </c>
      <c r="AE1288" s="6">
        <f>$K$1288*$Y$1288</f>
        <v>0</v>
      </c>
      <c r="AF1288" s="6">
        <f ca="1">$M$1288*$Z$1288</f>
        <v>558335.78975095809</v>
      </c>
      <c r="AG1288" s="6">
        <f>$O$1288*$AA$1288</f>
        <v>306534.95968532073</v>
      </c>
    </row>
    <row r="1289" spans="1:33" ht="11.25" customHeight="1" x14ac:dyDescent="0.25">
      <c r="A1289" s="4" t="s">
        <v>27</v>
      </c>
      <c r="B1289" s="4" t="s">
        <v>22</v>
      </c>
      <c r="C1289" s="4" t="s">
        <v>23</v>
      </c>
      <c r="D1289" s="4" t="s">
        <v>24</v>
      </c>
      <c r="E1289" s="4" t="s">
        <v>32</v>
      </c>
      <c r="F1289" s="4" t="s">
        <v>25</v>
      </c>
      <c r="G1289" s="4" t="s">
        <v>25</v>
      </c>
      <c r="H1289" s="4" t="s">
        <v>25</v>
      </c>
      <c r="I1289" s="5">
        <v>44774</v>
      </c>
      <c r="J1289" s="6">
        <v>0</v>
      </c>
      <c r="K1289" s="6">
        <v>0</v>
      </c>
      <c r="L1289" s="6">
        <v>-2.077</v>
      </c>
      <c r="M1289" s="6">
        <v>-2.077</v>
      </c>
      <c r="N1289" s="6">
        <v>-2.077</v>
      </c>
      <c r="O1289" s="6">
        <v>-2.077</v>
      </c>
      <c r="P1289" s="6">
        <v>-4</v>
      </c>
      <c r="Q1289" s="4" t="s">
        <v>26</v>
      </c>
      <c r="R1289" s="4">
        <v>0</v>
      </c>
      <c r="S1289" s="6">
        <v>0</v>
      </c>
      <c r="T1289" s="6">
        <v>41</v>
      </c>
      <c r="U1289" s="6">
        <v>85</v>
      </c>
      <c r="V1289" s="6">
        <f>IF(ISERROR(VLOOKUP($S$1289,'TAR FIN'!$A$1:$O$115,15,0)),0,VLOOKUP($S$1289,'TAR FIN'!$A$1:$O$115,15,0))</f>
        <v>0</v>
      </c>
      <c r="W1289" s="6">
        <f>IF(ISERROR(VLOOKUP($T$1289,'TAR FIN'!$A$1:$O$115,15,0)),0,VLOOKUP($T$1289,'TAR FIN'!$A$1:$O$115,15,0))</f>
        <v>242.47</v>
      </c>
      <c r="X1289" s="6">
        <f>IF(ISERROR(VLOOKUP($U$1289,'TAR FIN'!$A$1:$O$115,15,0)),0,VLOOKUP($U$1289,'TAR FIN'!$A$1:$O$115,15,0))</f>
        <v>105.95</v>
      </c>
      <c r="Y1289" s="6"/>
      <c r="Z1289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89" s="6">
        <f>('TE BE'!$AB$22+'TE BF'!$AB$22+'TE CVA'!$AB$22)*(1-CUSTOS!$M$35)</f>
        <v>138.40918466435005</v>
      </c>
      <c r="AB1289" s="6">
        <f>$K$1289*$V$1289</f>
        <v>0</v>
      </c>
      <c r="AC1289" s="6">
        <f>$M$1289*$W$1289</f>
        <v>-503.61018999999999</v>
      </c>
      <c r="AD1289" s="6">
        <f>$O$1289*$X$1289</f>
        <v>-220.05815000000001</v>
      </c>
      <c r="AE1289" s="6">
        <f>$K$1289*$Y$1289</f>
        <v>0</v>
      </c>
      <c r="AF1289" s="6">
        <f ca="1">$M$1289*$Z$1289</f>
        <v>-523.62076655618068</v>
      </c>
      <c r="AG1289" s="6">
        <f>$O$1289*$AA$1289</f>
        <v>-287.47587654785502</v>
      </c>
    </row>
    <row r="1290" spans="1:33" ht="11.25" customHeight="1" x14ac:dyDescent="0.25">
      <c r="A1290" s="4" t="s">
        <v>28</v>
      </c>
      <c r="B1290" s="4" t="s">
        <v>22</v>
      </c>
      <c r="C1290" s="4" t="s">
        <v>23</v>
      </c>
      <c r="D1290" s="4" t="s">
        <v>24</v>
      </c>
      <c r="E1290" s="4" t="s">
        <v>32</v>
      </c>
      <c r="F1290" s="4" t="s">
        <v>25</v>
      </c>
      <c r="G1290" s="4" t="s">
        <v>25</v>
      </c>
      <c r="H1290" s="4" t="s">
        <v>25</v>
      </c>
      <c r="I1290" s="5">
        <v>44774</v>
      </c>
      <c r="J1290" s="6">
        <v>0</v>
      </c>
      <c r="K1290" s="6">
        <v>0</v>
      </c>
      <c r="L1290" s="6">
        <v>1644.7819999999999</v>
      </c>
      <c r="M1290" s="6">
        <v>1644.7819999999999</v>
      </c>
      <c r="N1290" s="6">
        <v>1644.7819999999999</v>
      </c>
      <c r="O1290" s="6">
        <v>1644.7819999999999</v>
      </c>
      <c r="P1290" s="6">
        <v>11294</v>
      </c>
      <c r="Q1290" s="4" t="s">
        <v>26</v>
      </c>
      <c r="R1290" s="4">
        <v>0</v>
      </c>
      <c r="S1290" s="6">
        <v>0</v>
      </c>
      <c r="T1290" s="6">
        <v>41</v>
      </c>
      <c r="U1290" s="6">
        <v>85</v>
      </c>
      <c r="V1290" s="6">
        <f>IF(ISERROR(VLOOKUP($S$1290,'TAR FIN'!$A$1:$O$115,15,0)),0,VLOOKUP($S$1290,'TAR FIN'!$A$1:$O$115,15,0))</f>
        <v>0</v>
      </c>
      <c r="W1290" s="6">
        <f>IF(ISERROR(VLOOKUP($T$1290,'TAR FIN'!$A$1:$O$115,15,0)),0,VLOOKUP($T$1290,'TAR FIN'!$A$1:$O$115,15,0))</f>
        <v>242.47</v>
      </c>
      <c r="X1290" s="6">
        <f>IF(ISERROR(VLOOKUP($U$1290,'TAR FIN'!$A$1:$O$115,15,0)),0,VLOOKUP($U$1290,'TAR FIN'!$A$1:$O$115,15,0))</f>
        <v>105.95</v>
      </c>
      <c r="Y1290" s="6"/>
      <c r="Z1290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90" s="6">
        <f>('TE BE'!$AB$22+'TE BF'!$AB$22+'TE CVA'!$AB$22)*(1-CUSTOS!$M$35)</f>
        <v>138.40918466435005</v>
      </c>
      <c r="AB1290" s="6">
        <f>$K$1290*$V$1290</f>
        <v>0</v>
      </c>
      <c r="AC1290" s="6">
        <f>$M$1290*$W$1290</f>
        <v>398810.29154000001</v>
      </c>
      <c r="AD1290" s="6">
        <f>$O$1290*$X$1290</f>
        <v>174264.65289999999</v>
      </c>
      <c r="AE1290" s="6">
        <f>$K$1290*$Y$1290</f>
        <v>0</v>
      </c>
      <c r="AF1290" s="6">
        <f ca="1">$M$1290*$Z$1290</f>
        <v>414656.7220307212</v>
      </c>
      <c r="AG1290" s="6">
        <f>$O$1290*$AA$1290</f>
        <v>227652.93557059899</v>
      </c>
    </row>
    <row r="1291" spans="1:33" ht="11.25" customHeight="1" x14ac:dyDescent="0.25">
      <c r="A1291" s="4" t="s">
        <v>29</v>
      </c>
      <c r="B1291" s="4" t="s">
        <v>22</v>
      </c>
      <c r="C1291" s="4" t="s">
        <v>23</v>
      </c>
      <c r="D1291" s="4" t="s">
        <v>24</v>
      </c>
      <c r="E1291" s="4" t="s">
        <v>32</v>
      </c>
      <c r="F1291" s="4" t="s">
        <v>25</v>
      </c>
      <c r="G1291" s="4" t="s">
        <v>25</v>
      </c>
      <c r="H1291" s="4" t="s">
        <v>25</v>
      </c>
      <c r="I1291" s="5">
        <v>44774</v>
      </c>
      <c r="J1291" s="6">
        <v>0</v>
      </c>
      <c r="K1291" s="6">
        <v>0</v>
      </c>
      <c r="L1291" s="6">
        <v>-1.8680000000000001</v>
      </c>
      <c r="M1291" s="6">
        <v>-1.8680000000000001</v>
      </c>
      <c r="N1291" s="6">
        <v>-1.8680000000000001</v>
      </c>
      <c r="O1291" s="6">
        <v>-1.8680000000000001</v>
      </c>
      <c r="P1291" s="6">
        <v>-14</v>
      </c>
      <c r="Q1291" s="4" t="s">
        <v>26</v>
      </c>
      <c r="R1291" s="4">
        <v>0</v>
      </c>
      <c r="S1291" s="6">
        <v>0</v>
      </c>
      <c r="T1291" s="6">
        <v>41</v>
      </c>
      <c r="U1291" s="6">
        <v>85</v>
      </c>
      <c r="V1291" s="6">
        <f>IF(ISERROR(VLOOKUP($S$1291,'TAR FIN'!$A$1:$O$115,15,0)),0,VLOOKUP($S$1291,'TAR FIN'!$A$1:$O$115,15,0))</f>
        <v>0</v>
      </c>
      <c r="W1291" s="6">
        <f>IF(ISERROR(VLOOKUP($T$1291,'TAR FIN'!$A$1:$O$115,15,0)),0,VLOOKUP($T$1291,'TAR FIN'!$A$1:$O$115,15,0))</f>
        <v>242.47</v>
      </c>
      <c r="X1291" s="6">
        <f>IF(ISERROR(VLOOKUP($U$1291,'TAR FIN'!$A$1:$O$115,15,0)),0,VLOOKUP($U$1291,'TAR FIN'!$A$1:$O$115,15,0))</f>
        <v>105.95</v>
      </c>
      <c r="Y1291" s="6"/>
      <c r="Z1291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91" s="6">
        <f>('TE BE'!$AB$22+'TE BF'!$AB$22+'TE CVA'!$AB$22)*(1-CUSTOS!$M$35)</f>
        <v>138.40918466435005</v>
      </c>
      <c r="AB1291" s="6">
        <f>$K$1291*$V$1291</f>
        <v>0</v>
      </c>
      <c r="AC1291" s="6">
        <f>$M$1291*$W$1291</f>
        <v>-452.93396000000001</v>
      </c>
      <c r="AD1291" s="6">
        <f>$O$1291*$X$1291</f>
        <v>-197.91460000000001</v>
      </c>
      <c r="AE1291" s="6">
        <f>$K$1291*$Y$1291</f>
        <v>0</v>
      </c>
      <c r="AF1291" s="6">
        <f ca="1">$M$1291*$Z$1291</f>
        <v>-470.93095422578023</v>
      </c>
      <c r="AG1291" s="6">
        <f>$O$1291*$AA$1291</f>
        <v>-258.54835695300591</v>
      </c>
    </row>
    <row r="1292" spans="1:33" ht="11.25" customHeight="1" x14ac:dyDescent="0.25">
      <c r="A1292" s="4" t="s">
        <v>30</v>
      </c>
      <c r="B1292" s="4" t="s">
        <v>22</v>
      </c>
      <c r="C1292" s="4" t="s">
        <v>23</v>
      </c>
      <c r="D1292" s="4" t="s">
        <v>24</v>
      </c>
      <c r="E1292" s="4" t="s">
        <v>32</v>
      </c>
      <c r="F1292" s="4" t="s">
        <v>25</v>
      </c>
      <c r="G1292" s="4" t="s">
        <v>25</v>
      </c>
      <c r="H1292" s="4" t="s">
        <v>25</v>
      </c>
      <c r="I1292" s="5">
        <v>44774</v>
      </c>
      <c r="J1292" s="6">
        <v>0</v>
      </c>
      <c r="K1292" s="6">
        <v>0</v>
      </c>
      <c r="L1292" s="6">
        <v>2.0299999999999998</v>
      </c>
      <c r="M1292" s="6">
        <v>2.0299999999999998</v>
      </c>
      <c r="N1292" s="6">
        <v>2.0299999999999998</v>
      </c>
      <c r="O1292" s="6">
        <v>2.0299999999999998</v>
      </c>
      <c r="P1292" s="6">
        <v>0</v>
      </c>
      <c r="Q1292" s="4" t="s">
        <v>26</v>
      </c>
      <c r="R1292" s="4">
        <v>0</v>
      </c>
      <c r="S1292" s="6">
        <v>0</v>
      </c>
      <c r="T1292" s="6">
        <v>41</v>
      </c>
      <c r="U1292" s="6">
        <v>85</v>
      </c>
      <c r="V1292" s="6">
        <f>IF(ISERROR(VLOOKUP($S$1292,'TAR FIN'!$A$1:$O$115,15,0)),0,VLOOKUP($S$1292,'TAR FIN'!$A$1:$O$115,15,0))</f>
        <v>0</v>
      </c>
      <c r="W1292" s="6">
        <f>IF(ISERROR(VLOOKUP($T$1292,'TAR FIN'!$A$1:$O$115,15,0)),0,VLOOKUP($T$1292,'TAR FIN'!$A$1:$O$115,15,0))</f>
        <v>242.47</v>
      </c>
      <c r="X1292" s="6">
        <f>IF(ISERROR(VLOOKUP($U$1292,'TAR FIN'!$A$1:$O$115,15,0)),0,VLOOKUP($U$1292,'TAR FIN'!$A$1:$O$115,15,0))</f>
        <v>105.95</v>
      </c>
      <c r="Y1292" s="6"/>
      <c r="Z1292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92" s="6">
        <f>('TE BE'!$AB$22+'TE BF'!$AB$22+'TE CVA'!$AB$22)*(1-CUSTOS!$M$35)</f>
        <v>138.40918466435005</v>
      </c>
      <c r="AB1292" s="6">
        <f>$K$1292*$V$1292</f>
        <v>0</v>
      </c>
      <c r="AC1292" s="6">
        <f>$M$1292*$W$1292</f>
        <v>492.21409999999997</v>
      </c>
      <c r="AD1292" s="6">
        <f>$O$1292*$X$1292</f>
        <v>215.07849999999999</v>
      </c>
      <c r="AE1292" s="6">
        <f>$K$1292*$Y$1292</f>
        <v>0</v>
      </c>
      <c r="AF1292" s="6">
        <f ca="1">$M$1292*$Z$1292</f>
        <v>511.77186139097097</v>
      </c>
      <c r="AG1292" s="6">
        <f>$O$1292*$AA$1292</f>
        <v>280.97064486863059</v>
      </c>
    </row>
    <row r="1293" spans="1:33" ht="11.25" customHeight="1" x14ac:dyDescent="0.25">
      <c r="A1293" s="4" t="s">
        <v>30</v>
      </c>
      <c r="B1293" s="4" t="s">
        <v>22</v>
      </c>
      <c r="C1293" s="4" t="s">
        <v>23</v>
      </c>
      <c r="D1293" s="4" t="s">
        <v>24</v>
      </c>
      <c r="E1293" s="4" t="s">
        <v>32</v>
      </c>
      <c r="F1293" s="4" t="s">
        <v>25</v>
      </c>
      <c r="G1293" s="4" t="s">
        <v>25</v>
      </c>
      <c r="H1293" s="4" t="s">
        <v>25</v>
      </c>
      <c r="I1293" s="5">
        <v>44774</v>
      </c>
      <c r="J1293" s="6">
        <v>0</v>
      </c>
      <c r="K1293" s="6">
        <v>0</v>
      </c>
      <c r="L1293" s="6">
        <v>-0.02</v>
      </c>
      <c r="M1293" s="6">
        <v>-0.02</v>
      </c>
      <c r="N1293" s="6">
        <v>-0.02</v>
      </c>
      <c r="O1293" s="6">
        <v>-0.02</v>
      </c>
      <c r="P1293" s="6">
        <v>0</v>
      </c>
      <c r="Q1293" s="4" t="s">
        <v>26</v>
      </c>
      <c r="R1293" s="4">
        <v>0</v>
      </c>
      <c r="S1293" s="6">
        <v>0</v>
      </c>
      <c r="T1293" s="6">
        <v>41</v>
      </c>
      <c r="U1293" s="6">
        <v>85</v>
      </c>
      <c r="V1293" s="6">
        <f>IF(ISERROR(VLOOKUP($S$1293,'TAR FIN'!$A$1:$O$115,15,0)),0,VLOOKUP($S$1293,'TAR FIN'!$A$1:$O$115,15,0))</f>
        <v>0</v>
      </c>
      <c r="W1293" s="6">
        <f>IF(ISERROR(VLOOKUP($T$1293,'TAR FIN'!$A$1:$O$115,15,0)),0,VLOOKUP($T$1293,'TAR FIN'!$A$1:$O$115,15,0))</f>
        <v>242.47</v>
      </c>
      <c r="X1293" s="6">
        <f>IF(ISERROR(VLOOKUP($U$1293,'TAR FIN'!$A$1:$O$115,15,0)),0,VLOOKUP($U$1293,'TAR FIN'!$A$1:$O$115,15,0))</f>
        <v>105.95</v>
      </c>
      <c r="Y1293" s="6"/>
      <c r="Z1293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93" s="6">
        <f>('TE BE'!$AB$22+'TE BF'!$AB$22+'TE CVA'!$AB$22)*(1-CUSTOS!$M$35)</f>
        <v>138.40918466435005</v>
      </c>
      <c r="AB1293" s="6">
        <f>$K$1293*$V$1293</f>
        <v>0</v>
      </c>
      <c r="AC1293" s="6">
        <f>$M$1293*$W$1293</f>
        <v>-4.8494000000000002</v>
      </c>
      <c r="AD1293" s="6">
        <f>$O$1293*$X$1293</f>
        <v>-2.1190000000000002</v>
      </c>
      <c r="AE1293" s="6">
        <f>$K$1293*$Y$1293</f>
        <v>0</v>
      </c>
      <c r="AF1293" s="6">
        <f ca="1">$M$1293*$Z$1293</f>
        <v>-5.042087304344542</v>
      </c>
      <c r="AG1293" s="6">
        <f>$O$1293*$AA$1293</f>
        <v>-2.7681836932870012</v>
      </c>
    </row>
    <row r="1294" spans="1:33" ht="11.25" customHeight="1" x14ac:dyDescent="0.25">
      <c r="A1294" s="4" t="s">
        <v>21</v>
      </c>
      <c r="B1294" s="4" t="s">
        <v>22</v>
      </c>
      <c r="C1294" s="4" t="s">
        <v>23</v>
      </c>
      <c r="D1294" s="4" t="s">
        <v>24</v>
      </c>
      <c r="E1294" s="4" t="s">
        <v>32</v>
      </c>
      <c r="F1294" s="4" t="s">
        <v>25</v>
      </c>
      <c r="G1294" s="4" t="s">
        <v>25</v>
      </c>
      <c r="H1294" s="4" t="s">
        <v>25</v>
      </c>
      <c r="I1294" s="5">
        <v>44805</v>
      </c>
      <c r="J1294" s="6">
        <v>0</v>
      </c>
      <c r="K1294" s="6">
        <v>0</v>
      </c>
      <c r="L1294" s="6">
        <v>2698.616</v>
      </c>
      <c r="M1294" s="6">
        <v>2698.616</v>
      </c>
      <c r="N1294" s="6">
        <v>2698.616</v>
      </c>
      <c r="O1294" s="6">
        <v>2698.616</v>
      </c>
      <c r="P1294" s="6">
        <v>10741</v>
      </c>
      <c r="Q1294" s="4" t="s">
        <v>26</v>
      </c>
      <c r="R1294" s="4">
        <v>0</v>
      </c>
      <c r="S1294" s="6">
        <v>0</v>
      </c>
      <c r="T1294" s="6">
        <v>41</v>
      </c>
      <c r="U1294" s="6">
        <v>85</v>
      </c>
      <c r="V1294" s="6">
        <f>IF(ISERROR(VLOOKUP($S$1294,'TAR FIN'!$A$1:$O$115,15,0)),0,VLOOKUP($S$1294,'TAR FIN'!$A$1:$O$115,15,0))</f>
        <v>0</v>
      </c>
      <c r="W1294" s="6">
        <f>IF(ISERROR(VLOOKUP($T$1294,'TAR FIN'!$A$1:$O$115,15,0)),0,VLOOKUP($T$1294,'TAR FIN'!$A$1:$O$115,15,0))</f>
        <v>242.47</v>
      </c>
      <c r="X1294" s="6">
        <f>IF(ISERROR(VLOOKUP($U$1294,'TAR FIN'!$A$1:$O$115,15,0)),0,VLOOKUP($U$1294,'TAR FIN'!$A$1:$O$115,15,0))</f>
        <v>105.95</v>
      </c>
      <c r="Y1294" s="6"/>
      <c r="Z1294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94" s="6">
        <f>('TE BE'!$AB$22+'TE BF'!$AB$22+'TE CVA'!$AB$22)*(1-CUSTOS!$M$35)</f>
        <v>138.40918466435005</v>
      </c>
      <c r="AB1294" s="6">
        <f>$K$1294*$V$1294</f>
        <v>0</v>
      </c>
      <c r="AC1294" s="6">
        <f>$M$1294*$W$1294</f>
        <v>654333.42151999997</v>
      </c>
      <c r="AD1294" s="6">
        <f>$O$1294*$X$1294</f>
        <v>285918.3652</v>
      </c>
      <c r="AE1294" s="6">
        <f>$K$1294*$Y$1294</f>
        <v>0</v>
      </c>
      <c r="AF1294" s="6">
        <f ca="1">$M$1294*$Z$1294</f>
        <v>680332.87364505255</v>
      </c>
      <c r="AG1294" s="6">
        <f>$O$1294*$AA$1294</f>
        <v>373513.24028216966</v>
      </c>
    </row>
    <row r="1295" spans="1:33" ht="11.25" customHeight="1" x14ac:dyDescent="0.25">
      <c r="A1295" s="4" t="s">
        <v>27</v>
      </c>
      <c r="B1295" s="4" t="s">
        <v>22</v>
      </c>
      <c r="C1295" s="4" t="s">
        <v>23</v>
      </c>
      <c r="D1295" s="4" t="s">
        <v>24</v>
      </c>
      <c r="E1295" s="4" t="s">
        <v>32</v>
      </c>
      <c r="F1295" s="4" t="s">
        <v>25</v>
      </c>
      <c r="G1295" s="4" t="s">
        <v>25</v>
      </c>
      <c r="H1295" s="4" t="s">
        <v>25</v>
      </c>
      <c r="I1295" s="5">
        <v>44805</v>
      </c>
      <c r="J1295" s="6">
        <v>0</v>
      </c>
      <c r="K1295" s="6">
        <v>0</v>
      </c>
      <c r="L1295" s="6">
        <v>-4.7080000000000002</v>
      </c>
      <c r="M1295" s="6">
        <v>-4.7080000000000002</v>
      </c>
      <c r="N1295" s="6">
        <v>-4.7080000000000002</v>
      </c>
      <c r="O1295" s="6">
        <v>-4.7080000000000002</v>
      </c>
      <c r="P1295" s="6">
        <v>0</v>
      </c>
      <c r="Q1295" s="4" t="s">
        <v>26</v>
      </c>
      <c r="R1295" s="4">
        <v>0</v>
      </c>
      <c r="S1295" s="6">
        <v>0</v>
      </c>
      <c r="T1295" s="6">
        <v>41</v>
      </c>
      <c r="U1295" s="6">
        <v>85</v>
      </c>
      <c r="V1295" s="6">
        <f>IF(ISERROR(VLOOKUP($S$1295,'TAR FIN'!$A$1:$O$115,15,0)),0,VLOOKUP($S$1295,'TAR FIN'!$A$1:$O$115,15,0))</f>
        <v>0</v>
      </c>
      <c r="W1295" s="6">
        <f>IF(ISERROR(VLOOKUP($T$1295,'TAR FIN'!$A$1:$O$115,15,0)),0,VLOOKUP($T$1295,'TAR FIN'!$A$1:$O$115,15,0))</f>
        <v>242.47</v>
      </c>
      <c r="X1295" s="6">
        <f>IF(ISERROR(VLOOKUP($U$1295,'TAR FIN'!$A$1:$O$115,15,0)),0,VLOOKUP($U$1295,'TAR FIN'!$A$1:$O$115,15,0))</f>
        <v>105.95</v>
      </c>
      <c r="Y1295" s="6"/>
      <c r="Z1295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95" s="6">
        <f>('TE BE'!$AB$22+'TE BF'!$AB$22+'TE CVA'!$AB$22)*(1-CUSTOS!$M$35)</f>
        <v>138.40918466435005</v>
      </c>
      <c r="AB1295" s="6">
        <f>$K$1295*$V$1295</f>
        <v>0</v>
      </c>
      <c r="AC1295" s="6">
        <f>$M$1295*$W$1295</f>
        <v>-1141.5487600000001</v>
      </c>
      <c r="AD1295" s="6">
        <f>$O$1295*$X$1295</f>
        <v>-498.81260000000003</v>
      </c>
      <c r="AE1295" s="6">
        <f>$K$1295*$Y$1295</f>
        <v>0</v>
      </c>
      <c r="AF1295" s="6">
        <f ca="1">$M$1295*$Z$1295</f>
        <v>-1186.9073514427052</v>
      </c>
      <c r="AG1295" s="6">
        <f>$O$1295*$AA$1295</f>
        <v>-651.63044139976012</v>
      </c>
    </row>
    <row r="1296" spans="1:33" ht="11.25" customHeight="1" x14ac:dyDescent="0.25">
      <c r="A1296" s="4" t="s">
        <v>28</v>
      </c>
      <c r="B1296" s="4" t="s">
        <v>22</v>
      </c>
      <c r="C1296" s="4" t="s">
        <v>23</v>
      </c>
      <c r="D1296" s="4" t="s">
        <v>24</v>
      </c>
      <c r="E1296" s="4" t="s">
        <v>32</v>
      </c>
      <c r="F1296" s="4" t="s">
        <v>25</v>
      </c>
      <c r="G1296" s="4" t="s">
        <v>25</v>
      </c>
      <c r="H1296" s="4" t="s">
        <v>25</v>
      </c>
      <c r="I1296" s="5">
        <v>44805</v>
      </c>
      <c r="J1296" s="6">
        <v>0</v>
      </c>
      <c r="K1296" s="6">
        <v>0</v>
      </c>
      <c r="L1296" s="6">
        <v>1204.258</v>
      </c>
      <c r="M1296" s="6">
        <v>1204.258</v>
      </c>
      <c r="N1296" s="6">
        <v>1204.258</v>
      </c>
      <c r="O1296" s="6">
        <v>1204.258</v>
      </c>
      <c r="P1296" s="6">
        <v>7781</v>
      </c>
      <c r="Q1296" s="4" t="s">
        <v>26</v>
      </c>
      <c r="R1296" s="4">
        <v>0</v>
      </c>
      <c r="S1296" s="6">
        <v>0</v>
      </c>
      <c r="T1296" s="6">
        <v>41</v>
      </c>
      <c r="U1296" s="6">
        <v>85</v>
      </c>
      <c r="V1296" s="6">
        <f>IF(ISERROR(VLOOKUP($S$1296,'TAR FIN'!$A$1:$O$115,15,0)),0,VLOOKUP($S$1296,'TAR FIN'!$A$1:$O$115,15,0))</f>
        <v>0</v>
      </c>
      <c r="W1296" s="6">
        <f>IF(ISERROR(VLOOKUP($T$1296,'TAR FIN'!$A$1:$O$115,15,0)),0,VLOOKUP($T$1296,'TAR FIN'!$A$1:$O$115,15,0))</f>
        <v>242.47</v>
      </c>
      <c r="X1296" s="6">
        <f>IF(ISERROR(VLOOKUP($U$1296,'TAR FIN'!$A$1:$O$115,15,0)),0,VLOOKUP($U$1296,'TAR FIN'!$A$1:$O$115,15,0))</f>
        <v>105.95</v>
      </c>
      <c r="Y1296" s="6"/>
      <c r="Z1296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96" s="6">
        <f>('TE BE'!$AB$22+'TE BF'!$AB$22+'TE CVA'!$AB$22)*(1-CUSTOS!$M$35)</f>
        <v>138.40918466435005</v>
      </c>
      <c r="AB1296" s="6">
        <f>$K$1296*$V$1296</f>
        <v>0</v>
      </c>
      <c r="AC1296" s="6">
        <f>$M$1296*$W$1296</f>
        <v>291996.43726000004</v>
      </c>
      <c r="AD1296" s="6">
        <f>$O$1296*$X$1296</f>
        <v>127591.13510000001</v>
      </c>
      <c r="AE1296" s="6">
        <f>$K$1296*$Y$1296</f>
        <v>0</v>
      </c>
      <c r="AF1296" s="6">
        <f ca="1">$M$1296*$Z$1296</f>
        <v>303598.69864776748</v>
      </c>
      <c r="AG1296" s="6">
        <f>$O$1296*$AA$1296</f>
        <v>166680.36790552086</v>
      </c>
    </row>
    <row r="1297" spans="1:33" ht="11.25" customHeight="1" x14ac:dyDescent="0.25">
      <c r="A1297" s="4" t="s">
        <v>29</v>
      </c>
      <c r="B1297" s="4" t="s">
        <v>22</v>
      </c>
      <c r="C1297" s="4" t="s">
        <v>23</v>
      </c>
      <c r="D1297" s="4" t="s">
        <v>24</v>
      </c>
      <c r="E1297" s="4" t="s">
        <v>32</v>
      </c>
      <c r="F1297" s="4" t="s">
        <v>25</v>
      </c>
      <c r="G1297" s="4" t="s">
        <v>25</v>
      </c>
      <c r="H1297" s="4" t="s">
        <v>25</v>
      </c>
      <c r="I1297" s="5">
        <v>44805</v>
      </c>
      <c r="J1297" s="6">
        <v>0</v>
      </c>
      <c r="K1297" s="6">
        <v>0</v>
      </c>
      <c r="L1297" s="6">
        <v>-0.36</v>
      </c>
      <c r="M1297" s="6">
        <v>-0.36</v>
      </c>
      <c r="N1297" s="6">
        <v>-0.36</v>
      </c>
      <c r="O1297" s="6">
        <v>-0.36</v>
      </c>
      <c r="P1297" s="6">
        <v>-4</v>
      </c>
      <c r="Q1297" s="4" t="s">
        <v>26</v>
      </c>
      <c r="R1297" s="4">
        <v>0</v>
      </c>
      <c r="S1297" s="6">
        <v>0</v>
      </c>
      <c r="T1297" s="6">
        <v>41</v>
      </c>
      <c r="U1297" s="6">
        <v>85</v>
      </c>
      <c r="V1297" s="6">
        <f>IF(ISERROR(VLOOKUP($S$1297,'TAR FIN'!$A$1:$O$115,15,0)),0,VLOOKUP($S$1297,'TAR FIN'!$A$1:$O$115,15,0))</f>
        <v>0</v>
      </c>
      <c r="W1297" s="6">
        <f>IF(ISERROR(VLOOKUP($T$1297,'TAR FIN'!$A$1:$O$115,15,0)),0,VLOOKUP($T$1297,'TAR FIN'!$A$1:$O$115,15,0))</f>
        <v>242.47</v>
      </c>
      <c r="X1297" s="6">
        <f>IF(ISERROR(VLOOKUP($U$1297,'TAR FIN'!$A$1:$O$115,15,0)),0,VLOOKUP($U$1297,'TAR FIN'!$A$1:$O$115,15,0))</f>
        <v>105.95</v>
      </c>
      <c r="Y1297" s="6"/>
      <c r="Z1297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97" s="6">
        <f>('TE BE'!$AB$22+'TE BF'!$AB$22+'TE CVA'!$AB$22)*(1-CUSTOS!$M$35)</f>
        <v>138.40918466435005</v>
      </c>
      <c r="AB1297" s="6">
        <f>$K$1297*$V$1297</f>
        <v>0</v>
      </c>
      <c r="AC1297" s="6">
        <f>$M$1297*$W$1297</f>
        <v>-87.289199999999994</v>
      </c>
      <c r="AD1297" s="6">
        <f>$O$1297*$X$1297</f>
        <v>-38.142000000000003</v>
      </c>
      <c r="AE1297" s="6">
        <f>$K$1297*$Y$1297</f>
        <v>0</v>
      </c>
      <c r="AF1297" s="6">
        <f ca="1">$M$1297*$Z$1297</f>
        <v>-90.757571478201754</v>
      </c>
      <c r="AG1297" s="6">
        <f>$O$1297*$AA$1297</f>
        <v>-49.827306479166019</v>
      </c>
    </row>
    <row r="1298" spans="1:33" ht="11.25" customHeight="1" x14ac:dyDescent="0.25">
      <c r="A1298" s="4" t="s">
        <v>30</v>
      </c>
      <c r="B1298" s="4" t="s">
        <v>22</v>
      </c>
      <c r="C1298" s="4" t="s">
        <v>23</v>
      </c>
      <c r="D1298" s="4" t="s">
        <v>24</v>
      </c>
      <c r="E1298" s="4" t="s">
        <v>32</v>
      </c>
      <c r="F1298" s="4" t="s">
        <v>25</v>
      </c>
      <c r="G1298" s="4" t="s">
        <v>25</v>
      </c>
      <c r="H1298" s="4" t="s">
        <v>25</v>
      </c>
      <c r="I1298" s="5">
        <v>44805</v>
      </c>
      <c r="J1298" s="6">
        <v>0</v>
      </c>
      <c r="K1298" s="6">
        <v>0</v>
      </c>
      <c r="L1298" s="6">
        <v>2.3959999999999999</v>
      </c>
      <c r="M1298" s="6">
        <v>2.3959999999999999</v>
      </c>
      <c r="N1298" s="6">
        <v>2.3959999999999999</v>
      </c>
      <c r="O1298" s="6">
        <v>2.3959999999999999</v>
      </c>
      <c r="P1298" s="6">
        <v>2</v>
      </c>
      <c r="Q1298" s="4" t="s">
        <v>26</v>
      </c>
      <c r="R1298" s="4">
        <v>0</v>
      </c>
      <c r="S1298" s="6">
        <v>0</v>
      </c>
      <c r="T1298" s="6">
        <v>41</v>
      </c>
      <c r="U1298" s="6">
        <v>85</v>
      </c>
      <c r="V1298" s="6">
        <f>IF(ISERROR(VLOOKUP($S$1298,'TAR FIN'!$A$1:$O$115,15,0)),0,VLOOKUP($S$1298,'TAR FIN'!$A$1:$O$115,15,0))</f>
        <v>0</v>
      </c>
      <c r="W1298" s="6">
        <f>IF(ISERROR(VLOOKUP($T$1298,'TAR FIN'!$A$1:$O$115,15,0)),0,VLOOKUP($T$1298,'TAR FIN'!$A$1:$O$115,15,0))</f>
        <v>242.47</v>
      </c>
      <c r="X1298" s="6">
        <f>IF(ISERROR(VLOOKUP($U$1298,'TAR FIN'!$A$1:$O$115,15,0)),0,VLOOKUP($U$1298,'TAR FIN'!$A$1:$O$115,15,0))</f>
        <v>105.95</v>
      </c>
      <c r="Y1298" s="6"/>
      <c r="Z1298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98" s="6">
        <f>('TE BE'!$AB$22+'TE BF'!$AB$22+'TE CVA'!$AB$22)*(1-CUSTOS!$M$35)</f>
        <v>138.40918466435005</v>
      </c>
      <c r="AB1298" s="6">
        <f>$K$1298*$V$1298</f>
        <v>0</v>
      </c>
      <c r="AC1298" s="6">
        <f>$M$1298*$W$1298</f>
        <v>580.95812000000001</v>
      </c>
      <c r="AD1298" s="6">
        <f>$O$1298*$X$1298</f>
        <v>253.8562</v>
      </c>
      <c r="AE1298" s="6">
        <f>$K$1298*$Y$1298</f>
        <v>0</v>
      </c>
      <c r="AF1298" s="6">
        <f ca="1">$M$1298*$Z$1298</f>
        <v>604.04205906047605</v>
      </c>
      <c r="AG1298" s="6">
        <f>$O$1298*$AA$1298</f>
        <v>331.62840645578268</v>
      </c>
    </row>
    <row r="1299" spans="1:33" ht="11.25" customHeight="1" x14ac:dyDescent="0.25">
      <c r="A1299" s="4" t="s">
        <v>21</v>
      </c>
      <c r="B1299" s="4" t="s">
        <v>22</v>
      </c>
      <c r="C1299" s="4" t="s">
        <v>23</v>
      </c>
      <c r="D1299" s="4" t="s">
        <v>24</v>
      </c>
      <c r="E1299" s="4" t="s">
        <v>32</v>
      </c>
      <c r="F1299" s="4" t="s">
        <v>25</v>
      </c>
      <c r="G1299" s="4" t="s">
        <v>25</v>
      </c>
      <c r="H1299" s="4" t="s">
        <v>25</v>
      </c>
      <c r="I1299" s="5">
        <v>44835</v>
      </c>
      <c r="J1299" s="6">
        <v>0</v>
      </c>
      <c r="K1299" s="6">
        <v>0</v>
      </c>
      <c r="L1299" s="6">
        <v>2802.288</v>
      </c>
      <c r="M1299" s="6">
        <v>2802.288</v>
      </c>
      <c r="N1299" s="6">
        <v>2802.288</v>
      </c>
      <c r="O1299" s="6">
        <v>2802.288</v>
      </c>
      <c r="P1299" s="6">
        <v>9559</v>
      </c>
      <c r="Q1299" s="4" t="s">
        <v>26</v>
      </c>
      <c r="R1299" s="4">
        <v>0</v>
      </c>
      <c r="S1299" s="6">
        <v>0</v>
      </c>
      <c r="T1299" s="6">
        <v>41</v>
      </c>
      <c r="U1299" s="6">
        <v>85</v>
      </c>
      <c r="V1299" s="6">
        <f>IF(ISERROR(VLOOKUP($S$1299,'TAR FIN'!$A$1:$O$115,15,0)),0,VLOOKUP($S$1299,'TAR FIN'!$A$1:$O$115,15,0))</f>
        <v>0</v>
      </c>
      <c r="W1299" s="6">
        <f>IF(ISERROR(VLOOKUP($T$1299,'TAR FIN'!$A$1:$O$115,15,0)),0,VLOOKUP($T$1299,'TAR FIN'!$A$1:$O$115,15,0))</f>
        <v>242.47</v>
      </c>
      <c r="X1299" s="6">
        <f>IF(ISERROR(VLOOKUP($U$1299,'TAR FIN'!$A$1:$O$115,15,0)),0,VLOOKUP($U$1299,'TAR FIN'!$A$1:$O$115,15,0))</f>
        <v>105.95</v>
      </c>
      <c r="Y1299" s="6"/>
      <c r="Z1299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299" s="6">
        <f>('TE BE'!$AB$22+'TE BF'!$AB$22+'TE CVA'!$AB$22)*(1-CUSTOS!$M$35)</f>
        <v>138.40918466435005</v>
      </c>
      <c r="AB1299" s="6">
        <f>$K$1299*$V$1299</f>
        <v>0</v>
      </c>
      <c r="AC1299" s="6">
        <f>$M$1299*$W$1299</f>
        <v>679470.77136000001</v>
      </c>
      <c r="AD1299" s="6">
        <f>$O$1299*$X$1299</f>
        <v>296902.41360000003</v>
      </c>
      <c r="AE1299" s="6">
        <f>$K$1299*$Y$1299</f>
        <v>0</v>
      </c>
      <c r="AF1299" s="6">
        <f ca="1">$M$1299*$Z$1299</f>
        <v>706469.03739585285</v>
      </c>
      <c r="AG1299" s="6">
        <f>$O$1299*$AA$1299</f>
        <v>387862.39727469219</v>
      </c>
    </row>
    <row r="1300" spans="1:33" ht="11.25" customHeight="1" x14ac:dyDescent="0.25">
      <c r="A1300" s="4" t="s">
        <v>27</v>
      </c>
      <c r="B1300" s="4" t="s">
        <v>22</v>
      </c>
      <c r="C1300" s="4" t="s">
        <v>23</v>
      </c>
      <c r="D1300" s="4" t="s">
        <v>24</v>
      </c>
      <c r="E1300" s="4" t="s">
        <v>32</v>
      </c>
      <c r="F1300" s="4" t="s">
        <v>25</v>
      </c>
      <c r="G1300" s="4" t="s">
        <v>25</v>
      </c>
      <c r="H1300" s="4" t="s">
        <v>25</v>
      </c>
      <c r="I1300" s="5">
        <v>44835</v>
      </c>
      <c r="J1300" s="6">
        <v>0</v>
      </c>
      <c r="K1300" s="6">
        <v>0</v>
      </c>
      <c r="L1300" s="6">
        <v>-7.4139999999999997</v>
      </c>
      <c r="M1300" s="6">
        <v>-7.4139999999999997</v>
      </c>
      <c r="N1300" s="6">
        <v>-7.4139999999999997</v>
      </c>
      <c r="O1300" s="6">
        <v>-7.4139999999999997</v>
      </c>
      <c r="P1300" s="6">
        <v>-3</v>
      </c>
      <c r="Q1300" s="4" t="s">
        <v>26</v>
      </c>
      <c r="R1300" s="4">
        <v>0</v>
      </c>
      <c r="S1300" s="6">
        <v>0</v>
      </c>
      <c r="T1300" s="6">
        <v>41</v>
      </c>
      <c r="U1300" s="6">
        <v>85</v>
      </c>
      <c r="V1300" s="6">
        <f>IF(ISERROR(VLOOKUP($S$1300,'TAR FIN'!$A$1:$O$115,15,0)),0,VLOOKUP($S$1300,'TAR FIN'!$A$1:$O$115,15,0))</f>
        <v>0</v>
      </c>
      <c r="W1300" s="6">
        <f>IF(ISERROR(VLOOKUP($T$1300,'TAR FIN'!$A$1:$O$115,15,0)),0,VLOOKUP($T$1300,'TAR FIN'!$A$1:$O$115,15,0))</f>
        <v>242.47</v>
      </c>
      <c r="X1300" s="6">
        <f>IF(ISERROR(VLOOKUP($U$1300,'TAR FIN'!$A$1:$O$115,15,0)),0,VLOOKUP($U$1300,'TAR FIN'!$A$1:$O$115,15,0))</f>
        <v>105.95</v>
      </c>
      <c r="Y1300" s="6"/>
      <c r="Z1300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300" s="6">
        <f>('TE BE'!$AB$22+'TE BF'!$AB$22+'TE CVA'!$AB$22)*(1-CUSTOS!$M$35)</f>
        <v>138.40918466435005</v>
      </c>
      <c r="AB1300" s="6">
        <f>$K$1300*$V$1300</f>
        <v>0</v>
      </c>
      <c r="AC1300" s="6">
        <f>$M$1300*$W$1300</f>
        <v>-1797.6725799999999</v>
      </c>
      <c r="AD1300" s="6">
        <f>$O$1300*$X$1300</f>
        <v>-785.51329999999996</v>
      </c>
      <c r="AE1300" s="6">
        <f>$K$1300*$Y$1300</f>
        <v>0</v>
      </c>
      <c r="AF1300" s="6">
        <f ca="1">$M$1300*$Z$1300</f>
        <v>-1869.1017637205216</v>
      </c>
      <c r="AG1300" s="6">
        <f>$O$1300*$AA$1300</f>
        <v>-1026.1656951014913</v>
      </c>
    </row>
    <row r="1301" spans="1:33" ht="11.25" customHeight="1" x14ac:dyDescent="0.25">
      <c r="A1301" s="4" t="s">
        <v>28</v>
      </c>
      <c r="B1301" s="4" t="s">
        <v>22</v>
      </c>
      <c r="C1301" s="4" t="s">
        <v>23</v>
      </c>
      <c r="D1301" s="4" t="s">
        <v>24</v>
      </c>
      <c r="E1301" s="4" t="s">
        <v>32</v>
      </c>
      <c r="F1301" s="4" t="s">
        <v>25</v>
      </c>
      <c r="G1301" s="4" t="s">
        <v>25</v>
      </c>
      <c r="H1301" s="4" t="s">
        <v>25</v>
      </c>
      <c r="I1301" s="5">
        <v>44835</v>
      </c>
      <c r="J1301" s="6">
        <v>0</v>
      </c>
      <c r="K1301" s="6">
        <v>0</v>
      </c>
      <c r="L1301" s="6">
        <v>1254.0550000000001</v>
      </c>
      <c r="M1301" s="6">
        <v>1254.0550000000001</v>
      </c>
      <c r="N1301" s="6">
        <v>1254.0550000000001</v>
      </c>
      <c r="O1301" s="6">
        <v>1254.0550000000001</v>
      </c>
      <c r="P1301" s="6">
        <v>7651</v>
      </c>
      <c r="Q1301" s="4" t="s">
        <v>26</v>
      </c>
      <c r="R1301" s="4">
        <v>0</v>
      </c>
      <c r="S1301" s="6">
        <v>0</v>
      </c>
      <c r="T1301" s="6">
        <v>41</v>
      </c>
      <c r="U1301" s="6">
        <v>85</v>
      </c>
      <c r="V1301" s="6">
        <f>IF(ISERROR(VLOOKUP($S$1301,'TAR FIN'!$A$1:$O$115,15,0)),0,VLOOKUP($S$1301,'TAR FIN'!$A$1:$O$115,15,0))</f>
        <v>0</v>
      </c>
      <c r="W1301" s="6">
        <f>IF(ISERROR(VLOOKUP($T$1301,'TAR FIN'!$A$1:$O$115,15,0)),0,VLOOKUP($T$1301,'TAR FIN'!$A$1:$O$115,15,0))</f>
        <v>242.47</v>
      </c>
      <c r="X1301" s="6">
        <f>IF(ISERROR(VLOOKUP($U$1301,'TAR FIN'!$A$1:$O$115,15,0)),0,VLOOKUP($U$1301,'TAR FIN'!$A$1:$O$115,15,0))</f>
        <v>105.95</v>
      </c>
      <c r="Y1301" s="6"/>
      <c r="Z1301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301" s="6">
        <f>('TE BE'!$AB$22+'TE BF'!$AB$22+'TE CVA'!$AB$22)*(1-CUSTOS!$M$35)</f>
        <v>138.40918466435005</v>
      </c>
      <c r="AB1301" s="6">
        <f>$K$1301*$V$1301</f>
        <v>0</v>
      </c>
      <c r="AC1301" s="6">
        <f>$M$1301*$W$1301</f>
        <v>304070.71585000004</v>
      </c>
      <c r="AD1301" s="6">
        <f>$O$1301*$X$1301</f>
        <v>132867.12725000002</v>
      </c>
      <c r="AE1301" s="6">
        <f>$K$1301*$Y$1301</f>
        <v>0</v>
      </c>
      <c r="AF1301" s="6">
        <f ca="1">$M$1301*$Z$1301</f>
        <v>316152.73972248973</v>
      </c>
      <c r="AG1301" s="6">
        <f>$O$1301*$AA$1301</f>
        <v>173572.73007425151</v>
      </c>
    </row>
    <row r="1302" spans="1:33" ht="11.25" customHeight="1" x14ac:dyDescent="0.25">
      <c r="A1302" s="4" t="s">
        <v>29</v>
      </c>
      <c r="B1302" s="4" t="s">
        <v>22</v>
      </c>
      <c r="C1302" s="4" t="s">
        <v>23</v>
      </c>
      <c r="D1302" s="4" t="s">
        <v>24</v>
      </c>
      <c r="E1302" s="4" t="s">
        <v>32</v>
      </c>
      <c r="F1302" s="4" t="s">
        <v>25</v>
      </c>
      <c r="G1302" s="4" t="s">
        <v>25</v>
      </c>
      <c r="H1302" s="4" t="s">
        <v>25</v>
      </c>
      <c r="I1302" s="5">
        <v>44835</v>
      </c>
      <c r="J1302" s="6">
        <v>0</v>
      </c>
      <c r="K1302" s="6">
        <v>0</v>
      </c>
      <c r="L1302" s="6">
        <v>-3.7069999999999999</v>
      </c>
      <c r="M1302" s="6">
        <v>-3.7069999999999999</v>
      </c>
      <c r="N1302" s="6">
        <v>-3.7069999999999999</v>
      </c>
      <c r="O1302" s="6">
        <v>-3.7069999999999999</v>
      </c>
      <c r="P1302" s="6">
        <v>-4</v>
      </c>
      <c r="Q1302" s="4" t="s">
        <v>26</v>
      </c>
      <c r="R1302" s="4">
        <v>0</v>
      </c>
      <c r="S1302" s="6">
        <v>0</v>
      </c>
      <c r="T1302" s="6">
        <v>41</v>
      </c>
      <c r="U1302" s="6">
        <v>85</v>
      </c>
      <c r="V1302" s="6">
        <f>IF(ISERROR(VLOOKUP($S$1302,'TAR FIN'!$A$1:$O$115,15,0)),0,VLOOKUP($S$1302,'TAR FIN'!$A$1:$O$115,15,0))</f>
        <v>0</v>
      </c>
      <c r="W1302" s="6">
        <f>IF(ISERROR(VLOOKUP($T$1302,'TAR FIN'!$A$1:$O$115,15,0)),0,VLOOKUP($T$1302,'TAR FIN'!$A$1:$O$115,15,0))</f>
        <v>242.47</v>
      </c>
      <c r="X1302" s="6">
        <f>IF(ISERROR(VLOOKUP($U$1302,'TAR FIN'!$A$1:$O$115,15,0)),0,VLOOKUP($U$1302,'TAR FIN'!$A$1:$O$115,15,0))</f>
        <v>105.95</v>
      </c>
      <c r="Y1302" s="6"/>
      <c r="Z1302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302" s="6">
        <f>('TE BE'!$AB$22+'TE BF'!$AB$22+'TE CVA'!$AB$22)*(1-CUSTOS!$M$35)</f>
        <v>138.40918466435005</v>
      </c>
      <c r="AB1302" s="6">
        <f>$K$1302*$V$1302</f>
        <v>0</v>
      </c>
      <c r="AC1302" s="6">
        <f>$M$1302*$W$1302</f>
        <v>-898.83628999999996</v>
      </c>
      <c r="AD1302" s="6">
        <f>$O$1302*$X$1302</f>
        <v>-392.75664999999998</v>
      </c>
      <c r="AE1302" s="6">
        <f>$K$1302*$Y$1302</f>
        <v>0</v>
      </c>
      <c r="AF1302" s="6">
        <f ca="1">$M$1302*$Z$1302</f>
        <v>-934.5508818602608</v>
      </c>
      <c r="AG1302" s="6">
        <f>$O$1302*$AA$1302</f>
        <v>-513.08284755074567</v>
      </c>
    </row>
    <row r="1303" spans="1:33" ht="11.25" customHeight="1" x14ac:dyDescent="0.25">
      <c r="A1303" s="4" t="s">
        <v>30</v>
      </c>
      <c r="B1303" s="4" t="s">
        <v>22</v>
      </c>
      <c r="C1303" s="4" t="s">
        <v>23</v>
      </c>
      <c r="D1303" s="4" t="s">
        <v>24</v>
      </c>
      <c r="E1303" s="4" t="s">
        <v>32</v>
      </c>
      <c r="F1303" s="4" t="s">
        <v>25</v>
      </c>
      <c r="G1303" s="4" t="s">
        <v>25</v>
      </c>
      <c r="H1303" s="4" t="s">
        <v>25</v>
      </c>
      <c r="I1303" s="5">
        <v>44835</v>
      </c>
      <c r="J1303" s="6">
        <v>0</v>
      </c>
      <c r="K1303" s="6">
        <v>0</v>
      </c>
      <c r="L1303" s="6">
        <v>2.5870000000000002</v>
      </c>
      <c r="M1303" s="6">
        <v>2.5870000000000002</v>
      </c>
      <c r="N1303" s="6">
        <v>2.5870000000000002</v>
      </c>
      <c r="O1303" s="6">
        <v>2.5870000000000002</v>
      </c>
      <c r="P1303" s="6">
        <v>0</v>
      </c>
      <c r="Q1303" s="4" t="s">
        <v>26</v>
      </c>
      <c r="R1303" s="4">
        <v>0</v>
      </c>
      <c r="S1303" s="6">
        <v>0</v>
      </c>
      <c r="T1303" s="6">
        <v>41</v>
      </c>
      <c r="U1303" s="6">
        <v>85</v>
      </c>
      <c r="V1303" s="6">
        <f>IF(ISERROR(VLOOKUP($S$1303,'TAR FIN'!$A$1:$O$115,15,0)),0,VLOOKUP($S$1303,'TAR FIN'!$A$1:$O$115,15,0))</f>
        <v>0</v>
      </c>
      <c r="W1303" s="6">
        <f>IF(ISERROR(VLOOKUP($T$1303,'TAR FIN'!$A$1:$O$115,15,0)),0,VLOOKUP($T$1303,'TAR FIN'!$A$1:$O$115,15,0))</f>
        <v>242.47</v>
      </c>
      <c r="X1303" s="6">
        <f>IF(ISERROR(VLOOKUP($U$1303,'TAR FIN'!$A$1:$O$115,15,0)),0,VLOOKUP($U$1303,'TAR FIN'!$A$1:$O$115,15,0))</f>
        <v>105.95</v>
      </c>
      <c r="Y1303" s="6"/>
      <c r="Z1303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303" s="6">
        <f>('TE BE'!$AB$22+'TE BF'!$AB$22+'TE CVA'!$AB$22)*(1-CUSTOS!$M$35)</f>
        <v>138.40918466435005</v>
      </c>
      <c r="AB1303" s="6">
        <f>$K$1303*$V$1303</f>
        <v>0</v>
      </c>
      <c r="AC1303" s="6">
        <f>$M$1303*$W$1303</f>
        <v>627.26989000000003</v>
      </c>
      <c r="AD1303" s="6">
        <f>$O$1303*$X$1303</f>
        <v>274.09265000000005</v>
      </c>
      <c r="AE1303" s="6">
        <f>$K$1303*$Y$1303</f>
        <v>0</v>
      </c>
      <c r="AF1303" s="6">
        <f ca="1">$M$1303*$Z$1303</f>
        <v>652.19399281696656</v>
      </c>
      <c r="AG1303" s="6">
        <f>$O$1303*$AA$1303</f>
        <v>358.06456072667362</v>
      </c>
    </row>
    <row r="1304" spans="1:33" ht="11.25" customHeight="1" x14ac:dyDescent="0.25">
      <c r="A1304" s="4" t="s">
        <v>59</v>
      </c>
      <c r="B1304" s="4" t="s">
        <v>22</v>
      </c>
      <c r="C1304" s="4" t="s">
        <v>23</v>
      </c>
      <c r="D1304" s="4" t="s">
        <v>24</v>
      </c>
      <c r="E1304" s="4" t="s">
        <v>32</v>
      </c>
      <c r="F1304" s="4" t="s">
        <v>25</v>
      </c>
      <c r="G1304" s="4" t="s">
        <v>25</v>
      </c>
      <c r="H1304" s="4" t="s">
        <v>25</v>
      </c>
      <c r="I1304" s="5">
        <v>44866</v>
      </c>
      <c r="J1304" s="6">
        <v>0</v>
      </c>
      <c r="K1304" s="6">
        <v>0</v>
      </c>
      <c r="L1304" s="6">
        <v>2802.288</v>
      </c>
      <c r="M1304" s="6">
        <v>2802.288</v>
      </c>
      <c r="N1304" s="6">
        <v>2802.288</v>
      </c>
      <c r="O1304" s="6">
        <v>2802.288</v>
      </c>
      <c r="P1304" s="6">
        <v>9559</v>
      </c>
      <c r="Q1304" s="4" t="s">
        <v>26</v>
      </c>
      <c r="R1304" s="4">
        <v>0</v>
      </c>
      <c r="S1304" s="6">
        <v>0</v>
      </c>
      <c r="T1304" s="6">
        <v>41</v>
      </c>
      <c r="U1304" s="6">
        <v>85</v>
      </c>
      <c r="V1304" s="6">
        <f>IF(ISERROR(VLOOKUP($S$1304,'TAR FIN'!$A$1:$O$115,15,0)),0,VLOOKUP($S$1304,'TAR FIN'!$A$1:$O$115,15,0))</f>
        <v>0</v>
      </c>
      <c r="W1304" s="6">
        <f>IF(ISERROR(VLOOKUP($T$1304,'TAR FIN'!$A$1:$O$115,15,0)),0,VLOOKUP($T$1304,'TAR FIN'!$A$1:$O$115,15,0))</f>
        <v>242.47</v>
      </c>
      <c r="X1304" s="6">
        <f>IF(ISERROR(VLOOKUP($U$1304,'TAR FIN'!$A$1:$O$115,15,0)),0,VLOOKUP($U$1304,'TAR FIN'!$A$1:$O$115,15,0))</f>
        <v>105.95</v>
      </c>
      <c r="Y1304" s="6"/>
      <c r="Z1304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304" s="6">
        <f>('TE BE'!$AB$22+'TE BF'!$AB$22+'TE CVA'!$AB$22)*(1-CUSTOS!$M$35)</f>
        <v>138.40918466435005</v>
      </c>
      <c r="AB1304" s="6">
        <f>$K$1304*$V$1304</f>
        <v>0</v>
      </c>
      <c r="AC1304" s="6">
        <f>$M$1304*$W$1304</f>
        <v>679470.77136000001</v>
      </c>
      <c r="AD1304" s="6">
        <f>$O$1304*$X$1304</f>
        <v>296902.41360000003</v>
      </c>
      <c r="AE1304" s="6">
        <f>$K$1304*$Y$1304</f>
        <v>0</v>
      </c>
      <c r="AF1304" s="6">
        <f ca="1">$M$1304*$Z$1304</f>
        <v>706469.03739585285</v>
      </c>
      <c r="AG1304" s="6">
        <f>$O$1304*$AA$1304</f>
        <v>387862.39727469219</v>
      </c>
    </row>
    <row r="1305" spans="1:33" ht="11.25" customHeight="1" x14ac:dyDescent="0.25">
      <c r="A1305" s="4" t="s">
        <v>59</v>
      </c>
      <c r="B1305" s="4" t="s">
        <v>22</v>
      </c>
      <c r="C1305" s="4" t="s">
        <v>23</v>
      </c>
      <c r="D1305" s="4" t="s">
        <v>24</v>
      </c>
      <c r="E1305" s="4" t="s">
        <v>32</v>
      </c>
      <c r="F1305" s="4" t="s">
        <v>25</v>
      </c>
      <c r="G1305" s="4" t="s">
        <v>25</v>
      </c>
      <c r="H1305" s="4" t="s">
        <v>25</v>
      </c>
      <c r="I1305" s="5">
        <v>44866</v>
      </c>
      <c r="J1305" s="6">
        <v>0</v>
      </c>
      <c r="K1305" s="6">
        <v>0</v>
      </c>
      <c r="L1305" s="6">
        <v>-7.4139999999999997</v>
      </c>
      <c r="M1305" s="6">
        <v>-7.4139999999999997</v>
      </c>
      <c r="N1305" s="6">
        <v>-7.4139999999999997</v>
      </c>
      <c r="O1305" s="6">
        <v>-7.4139999999999997</v>
      </c>
      <c r="P1305" s="6">
        <v>-3</v>
      </c>
      <c r="Q1305" s="4" t="s">
        <v>26</v>
      </c>
      <c r="R1305" s="4">
        <v>0</v>
      </c>
      <c r="S1305" s="6">
        <v>0</v>
      </c>
      <c r="T1305" s="6">
        <v>41</v>
      </c>
      <c r="U1305" s="6">
        <v>85</v>
      </c>
      <c r="V1305" s="6">
        <f>IF(ISERROR(VLOOKUP($S$1305,'TAR FIN'!$A$1:$O$115,15,0)),0,VLOOKUP($S$1305,'TAR FIN'!$A$1:$O$115,15,0))</f>
        <v>0</v>
      </c>
      <c r="W1305" s="6">
        <f>IF(ISERROR(VLOOKUP($T$1305,'TAR FIN'!$A$1:$O$115,15,0)),0,VLOOKUP($T$1305,'TAR FIN'!$A$1:$O$115,15,0))</f>
        <v>242.47</v>
      </c>
      <c r="X1305" s="6">
        <f>IF(ISERROR(VLOOKUP($U$1305,'TAR FIN'!$A$1:$O$115,15,0)),0,VLOOKUP($U$1305,'TAR FIN'!$A$1:$O$115,15,0))</f>
        <v>105.95</v>
      </c>
      <c r="Y1305" s="6"/>
      <c r="Z1305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305" s="6">
        <f>('TE BE'!$AB$22+'TE BF'!$AB$22+'TE CVA'!$AB$22)*(1-CUSTOS!$M$35)</f>
        <v>138.40918466435005</v>
      </c>
      <c r="AB1305" s="6">
        <f>$K$1305*$V$1305</f>
        <v>0</v>
      </c>
      <c r="AC1305" s="6">
        <f>$M$1305*$W$1305</f>
        <v>-1797.6725799999999</v>
      </c>
      <c r="AD1305" s="6">
        <f>$O$1305*$X$1305</f>
        <v>-785.51329999999996</v>
      </c>
      <c r="AE1305" s="6">
        <f>$K$1305*$Y$1305</f>
        <v>0</v>
      </c>
      <c r="AF1305" s="6">
        <f ca="1">$M$1305*$Z$1305</f>
        <v>-1869.1017637205216</v>
      </c>
      <c r="AG1305" s="6">
        <f>$O$1305*$AA$1305</f>
        <v>-1026.1656951014913</v>
      </c>
    </row>
    <row r="1306" spans="1:33" ht="11.25" customHeight="1" x14ac:dyDescent="0.25">
      <c r="A1306" s="4" t="s">
        <v>59</v>
      </c>
      <c r="B1306" s="4" t="s">
        <v>22</v>
      </c>
      <c r="C1306" s="4" t="s">
        <v>23</v>
      </c>
      <c r="D1306" s="4" t="s">
        <v>24</v>
      </c>
      <c r="E1306" s="4" t="s">
        <v>32</v>
      </c>
      <c r="F1306" s="4" t="s">
        <v>25</v>
      </c>
      <c r="G1306" s="4" t="s">
        <v>25</v>
      </c>
      <c r="H1306" s="4" t="s">
        <v>25</v>
      </c>
      <c r="I1306" s="5">
        <v>44866</v>
      </c>
      <c r="J1306" s="6">
        <v>0</v>
      </c>
      <c r="K1306" s="6">
        <v>0</v>
      </c>
      <c r="L1306" s="6">
        <v>1254.0550000000001</v>
      </c>
      <c r="M1306" s="6">
        <v>1254.0550000000001</v>
      </c>
      <c r="N1306" s="6">
        <v>1254.0550000000001</v>
      </c>
      <c r="O1306" s="6">
        <v>1254.0550000000001</v>
      </c>
      <c r="P1306" s="6">
        <v>7651</v>
      </c>
      <c r="Q1306" s="4" t="s">
        <v>26</v>
      </c>
      <c r="R1306" s="4">
        <v>0</v>
      </c>
      <c r="S1306" s="6">
        <v>0</v>
      </c>
      <c r="T1306" s="6">
        <v>41</v>
      </c>
      <c r="U1306" s="6">
        <v>85</v>
      </c>
      <c r="V1306" s="6">
        <f>IF(ISERROR(VLOOKUP($S$1306,'TAR FIN'!$A$1:$O$115,15,0)),0,VLOOKUP($S$1306,'TAR FIN'!$A$1:$O$115,15,0))</f>
        <v>0</v>
      </c>
      <c r="W1306" s="6">
        <f>IF(ISERROR(VLOOKUP($T$1306,'TAR FIN'!$A$1:$O$115,15,0)),0,VLOOKUP($T$1306,'TAR FIN'!$A$1:$O$115,15,0))</f>
        <v>242.47</v>
      </c>
      <c r="X1306" s="6">
        <f>IF(ISERROR(VLOOKUP($U$1306,'TAR FIN'!$A$1:$O$115,15,0)),0,VLOOKUP($U$1306,'TAR FIN'!$A$1:$O$115,15,0))</f>
        <v>105.95</v>
      </c>
      <c r="Y1306" s="6"/>
      <c r="Z1306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306" s="6">
        <f>('TE BE'!$AB$22+'TE BF'!$AB$22+'TE CVA'!$AB$22)*(1-CUSTOS!$M$35)</f>
        <v>138.40918466435005</v>
      </c>
      <c r="AB1306" s="6">
        <f>$K$1306*$V$1306</f>
        <v>0</v>
      </c>
      <c r="AC1306" s="6">
        <f>$M$1306*$W$1306</f>
        <v>304070.71585000004</v>
      </c>
      <c r="AD1306" s="6">
        <f>$O$1306*$X$1306</f>
        <v>132867.12725000002</v>
      </c>
      <c r="AE1306" s="6">
        <f>$K$1306*$Y$1306</f>
        <v>0</v>
      </c>
      <c r="AF1306" s="6">
        <f ca="1">$M$1306*$Z$1306</f>
        <v>316152.73972248973</v>
      </c>
      <c r="AG1306" s="6">
        <f>$O$1306*$AA$1306</f>
        <v>173572.73007425151</v>
      </c>
    </row>
    <row r="1307" spans="1:33" ht="11.25" customHeight="1" x14ac:dyDescent="0.25">
      <c r="A1307" s="4" t="s">
        <v>59</v>
      </c>
      <c r="B1307" s="4" t="s">
        <v>22</v>
      </c>
      <c r="C1307" s="4" t="s">
        <v>23</v>
      </c>
      <c r="D1307" s="4" t="s">
        <v>24</v>
      </c>
      <c r="E1307" s="4" t="s">
        <v>32</v>
      </c>
      <c r="F1307" s="4" t="s">
        <v>25</v>
      </c>
      <c r="G1307" s="4" t="s">
        <v>25</v>
      </c>
      <c r="H1307" s="4" t="s">
        <v>25</v>
      </c>
      <c r="I1307" s="5">
        <v>44866</v>
      </c>
      <c r="J1307" s="6">
        <v>0</v>
      </c>
      <c r="K1307" s="6">
        <v>0</v>
      </c>
      <c r="L1307" s="6">
        <v>-3.7069999999999999</v>
      </c>
      <c r="M1307" s="6">
        <v>-3.7069999999999999</v>
      </c>
      <c r="N1307" s="6">
        <v>-3.7069999999999999</v>
      </c>
      <c r="O1307" s="6">
        <v>-3.7069999999999999</v>
      </c>
      <c r="P1307" s="6">
        <v>-4</v>
      </c>
      <c r="Q1307" s="4" t="s">
        <v>26</v>
      </c>
      <c r="R1307" s="4">
        <v>0</v>
      </c>
      <c r="S1307" s="6">
        <v>0</v>
      </c>
      <c r="T1307" s="6">
        <v>41</v>
      </c>
      <c r="U1307" s="6">
        <v>85</v>
      </c>
      <c r="V1307" s="6">
        <f>IF(ISERROR(VLOOKUP($S$1307,'TAR FIN'!$A$1:$O$115,15,0)),0,VLOOKUP($S$1307,'TAR FIN'!$A$1:$O$115,15,0))</f>
        <v>0</v>
      </c>
      <c r="W1307" s="6">
        <f>IF(ISERROR(VLOOKUP($T$1307,'TAR FIN'!$A$1:$O$115,15,0)),0,VLOOKUP($T$1307,'TAR FIN'!$A$1:$O$115,15,0))</f>
        <v>242.47</v>
      </c>
      <c r="X1307" s="6">
        <f>IF(ISERROR(VLOOKUP($U$1307,'TAR FIN'!$A$1:$O$115,15,0)),0,VLOOKUP($U$1307,'TAR FIN'!$A$1:$O$115,15,0))</f>
        <v>105.95</v>
      </c>
      <c r="Y1307" s="6"/>
      <c r="Z1307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307" s="6">
        <f>('TE BE'!$AB$22+'TE BF'!$AB$22+'TE CVA'!$AB$22)*(1-CUSTOS!$M$35)</f>
        <v>138.40918466435005</v>
      </c>
      <c r="AB1307" s="6">
        <f>$K$1307*$V$1307</f>
        <v>0</v>
      </c>
      <c r="AC1307" s="6">
        <f>$M$1307*$W$1307</f>
        <v>-898.83628999999996</v>
      </c>
      <c r="AD1307" s="6">
        <f>$O$1307*$X$1307</f>
        <v>-392.75664999999998</v>
      </c>
      <c r="AE1307" s="6">
        <f>$K$1307*$Y$1307</f>
        <v>0</v>
      </c>
      <c r="AF1307" s="6">
        <f ca="1">$M$1307*$Z$1307</f>
        <v>-934.5508818602608</v>
      </c>
      <c r="AG1307" s="6">
        <f>$O$1307*$AA$1307</f>
        <v>-513.08284755074567</v>
      </c>
    </row>
    <row r="1308" spans="1:33" ht="11.25" customHeight="1" x14ac:dyDescent="0.25">
      <c r="A1308" s="4" t="s">
        <v>59</v>
      </c>
      <c r="B1308" s="4" t="s">
        <v>22</v>
      </c>
      <c r="C1308" s="4" t="s">
        <v>23</v>
      </c>
      <c r="D1308" s="4" t="s">
        <v>24</v>
      </c>
      <c r="E1308" s="4" t="s">
        <v>32</v>
      </c>
      <c r="F1308" s="4" t="s">
        <v>25</v>
      </c>
      <c r="G1308" s="4" t="s">
        <v>25</v>
      </c>
      <c r="H1308" s="4" t="s">
        <v>25</v>
      </c>
      <c r="I1308" s="5">
        <v>44866</v>
      </c>
      <c r="J1308" s="6">
        <v>0</v>
      </c>
      <c r="K1308" s="6">
        <v>0</v>
      </c>
      <c r="L1308" s="6">
        <v>2.5870000000000002</v>
      </c>
      <c r="M1308" s="6">
        <v>2.5870000000000002</v>
      </c>
      <c r="N1308" s="6">
        <v>2.5870000000000002</v>
      </c>
      <c r="O1308" s="6">
        <v>2.5870000000000002</v>
      </c>
      <c r="P1308" s="6">
        <v>0</v>
      </c>
      <c r="Q1308" s="4" t="s">
        <v>26</v>
      </c>
      <c r="R1308" s="4">
        <v>0</v>
      </c>
      <c r="S1308" s="6">
        <v>0</v>
      </c>
      <c r="T1308" s="6">
        <v>41</v>
      </c>
      <c r="U1308" s="6">
        <v>85</v>
      </c>
      <c r="V1308" s="6">
        <f>IF(ISERROR(VLOOKUP($S$1308,'TAR FIN'!$A$1:$O$115,15,0)),0,VLOOKUP($S$1308,'TAR FIN'!$A$1:$O$115,15,0))</f>
        <v>0</v>
      </c>
      <c r="W1308" s="6">
        <f>IF(ISERROR(VLOOKUP($T$1308,'TAR FIN'!$A$1:$O$115,15,0)),0,VLOOKUP($T$1308,'TAR FIN'!$A$1:$O$115,15,0))</f>
        <v>242.47</v>
      </c>
      <c r="X1308" s="6">
        <f>IF(ISERROR(VLOOKUP($U$1308,'TAR FIN'!$A$1:$O$115,15,0)),0,VLOOKUP($U$1308,'TAR FIN'!$A$1:$O$115,15,0))</f>
        <v>105.95</v>
      </c>
      <c r="Y1308" s="6"/>
      <c r="Z1308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1308" s="6">
        <f>('TE BE'!$AB$22+'TE BF'!$AB$22+'TE CVA'!$AB$22)*(1-CUSTOS!$M$35)</f>
        <v>138.40918466435005</v>
      </c>
      <c r="AB1308" s="6">
        <f>$K$1308*$V$1308</f>
        <v>0</v>
      </c>
      <c r="AC1308" s="6">
        <f>$M$1308*$W$1308</f>
        <v>627.26989000000003</v>
      </c>
      <c r="AD1308" s="6">
        <f>$O$1308*$X$1308</f>
        <v>274.09265000000005</v>
      </c>
      <c r="AE1308" s="6">
        <f>$K$1308*$Y$1308</f>
        <v>0</v>
      </c>
      <c r="AF1308" s="6">
        <f ca="1">$M$1308*$Z$1308</f>
        <v>652.19399281696656</v>
      </c>
      <c r="AG1308" s="6">
        <f>$O$1308*$AA$1308</f>
        <v>358.06456072667362</v>
      </c>
    </row>
    <row r="1309" spans="1:33" ht="11.25" customHeight="1" x14ac:dyDescent="0.25">
      <c r="A1309" s="4" t="s">
        <v>21</v>
      </c>
      <c r="B1309" s="4" t="s">
        <v>22</v>
      </c>
      <c r="C1309" s="4" t="s">
        <v>23</v>
      </c>
      <c r="D1309" s="4" t="s">
        <v>24</v>
      </c>
      <c r="E1309" s="4" t="s">
        <v>33</v>
      </c>
      <c r="F1309" s="4" t="s">
        <v>25</v>
      </c>
      <c r="G1309" s="4" t="s">
        <v>25</v>
      </c>
      <c r="H1309" s="4" t="s">
        <v>25</v>
      </c>
      <c r="I1309" s="5">
        <v>44531</v>
      </c>
      <c r="J1309" s="6">
        <v>0</v>
      </c>
      <c r="K1309" s="6">
        <v>0</v>
      </c>
      <c r="L1309" s="6">
        <v>1946.9680000000001</v>
      </c>
      <c r="M1309" s="6">
        <v>1946.9680000000001</v>
      </c>
      <c r="N1309" s="6">
        <v>1946.9680000000001</v>
      </c>
      <c r="O1309" s="6">
        <v>1946.9680000000001</v>
      </c>
      <c r="P1309" s="6">
        <v>17173</v>
      </c>
      <c r="Q1309" s="4" t="s">
        <v>26</v>
      </c>
      <c r="R1309" s="4">
        <v>0</v>
      </c>
      <c r="S1309" s="6">
        <v>0</v>
      </c>
      <c r="T1309" s="6">
        <v>42</v>
      </c>
      <c r="U1309" s="6">
        <v>86</v>
      </c>
      <c r="V1309" s="6">
        <f>IF(ISERROR(VLOOKUP($S$1309,'TAR FIN'!$A$1:$O$115,15,0)),0,VLOOKUP($S$1309,'TAR FIN'!$A$1:$O$115,15,0))</f>
        <v>0</v>
      </c>
      <c r="W1309" s="6">
        <f>IF(ISERROR(VLOOKUP($T$1309,'TAR FIN'!$A$1:$O$115,15,0)),0,VLOOKUP($T$1309,'TAR FIN'!$A$1:$O$115,15,0))</f>
        <v>363.71</v>
      </c>
      <c r="X1309" s="6">
        <f>IF(ISERROR(VLOOKUP($U$1309,'TAR FIN'!$A$1:$O$115,15,0)),0,VLOOKUP($U$1309,'TAR FIN'!$A$1:$O$115,15,0))</f>
        <v>158.91999999999999</v>
      </c>
      <c r="Y1309" s="6"/>
      <c r="Z1309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09" s="6">
        <f>('TE BE'!$AB$23+'TE BF'!$AB$23+'TE CVA'!$AB$23)*(1-CUSTOS!$M$36)</f>
        <v>207.6137769965251</v>
      </c>
      <c r="AB1309" s="6">
        <f>$K$1309*$V$1309</f>
        <v>0</v>
      </c>
      <c r="AC1309" s="6">
        <f>$M$1309*$W$1309</f>
        <v>708131.73127999995</v>
      </c>
      <c r="AD1309" s="6">
        <f>$O$1309*$X$1309</f>
        <v>309412.15456</v>
      </c>
      <c r="AE1309" s="6">
        <f>$K$1309*$Y$1309</f>
        <v>0</v>
      </c>
      <c r="AF1309" s="6">
        <f ca="1">$M$1309*$Z$1309</f>
        <v>736258.69760738139</v>
      </c>
      <c r="AG1309" s="6">
        <f>$O$1309*$AA$1309</f>
        <v>404217.38017137052</v>
      </c>
    </row>
    <row r="1310" spans="1:33" ht="11.25" customHeight="1" x14ac:dyDescent="0.25">
      <c r="A1310" s="4" t="s">
        <v>27</v>
      </c>
      <c r="B1310" s="4" t="s">
        <v>22</v>
      </c>
      <c r="C1310" s="4" t="s">
        <v>23</v>
      </c>
      <c r="D1310" s="4" t="s">
        <v>24</v>
      </c>
      <c r="E1310" s="4" t="s">
        <v>33</v>
      </c>
      <c r="F1310" s="4" t="s">
        <v>25</v>
      </c>
      <c r="G1310" s="4" t="s">
        <v>25</v>
      </c>
      <c r="H1310" s="4" t="s">
        <v>25</v>
      </c>
      <c r="I1310" s="5">
        <v>44531</v>
      </c>
      <c r="J1310" s="6">
        <v>0</v>
      </c>
      <c r="K1310" s="6">
        <v>0</v>
      </c>
      <c r="L1310" s="6">
        <v>-29.727</v>
      </c>
      <c r="M1310" s="6">
        <v>-29.727</v>
      </c>
      <c r="N1310" s="6">
        <v>-29.727</v>
      </c>
      <c r="O1310" s="6">
        <v>-29.727</v>
      </c>
      <c r="P1310" s="6">
        <v>-55</v>
      </c>
      <c r="Q1310" s="4" t="s">
        <v>26</v>
      </c>
      <c r="R1310" s="4">
        <v>0</v>
      </c>
      <c r="S1310" s="6">
        <v>0</v>
      </c>
      <c r="T1310" s="6">
        <v>42</v>
      </c>
      <c r="U1310" s="6">
        <v>86</v>
      </c>
      <c r="V1310" s="6">
        <f>IF(ISERROR(VLOOKUP($S$1310,'TAR FIN'!$A$1:$O$115,15,0)),0,VLOOKUP($S$1310,'TAR FIN'!$A$1:$O$115,15,0))</f>
        <v>0</v>
      </c>
      <c r="W1310" s="6">
        <f>IF(ISERROR(VLOOKUP($T$1310,'TAR FIN'!$A$1:$O$115,15,0)),0,VLOOKUP($T$1310,'TAR FIN'!$A$1:$O$115,15,0))</f>
        <v>363.71</v>
      </c>
      <c r="X1310" s="6">
        <f>IF(ISERROR(VLOOKUP($U$1310,'TAR FIN'!$A$1:$O$115,15,0)),0,VLOOKUP($U$1310,'TAR FIN'!$A$1:$O$115,15,0))</f>
        <v>158.91999999999999</v>
      </c>
      <c r="Y1310" s="6"/>
      <c r="Z1310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10" s="6">
        <f>('TE BE'!$AB$23+'TE BF'!$AB$23+'TE CVA'!$AB$23)*(1-CUSTOS!$M$36)</f>
        <v>207.6137769965251</v>
      </c>
      <c r="AB1310" s="6">
        <f>$K$1310*$V$1310</f>
        <v>0</v>
      </c>
      <c r="AC1310" s="6">
        <f>$M$1310*$W$1310</f>
        <v>-10812.007169999999</v>
      </c>
      <c r="AD1310" s="6">
        <f>$O$1310*$X$1310</f>
        <v>-4724.2148399999996</v>
      </c>
      <c r="AE1310" s="6">
        <f>$K$1310*$Y$1310</f>
        <v>0</v>
      </c>
      <c r="AF1310" s="6">
        <f ca="1">$M$1310*$Z$1310</f>
        <v>-11241.459697218766</v>
      </c>
      <c r="AG1310" s="6">
        <f>$O$1310*$AA$1310</f>
        <v>-6171.7347487757015</v>
      </c>
    </row>
    <row r="1311" spans="1:33" ht="11.25" customHeight="1" x14ac:dyDescent="0.25">
      <c r="A1311" s="4" t="s">
        <v>28</v>
      </c>
      <c r="B1311" s="4" t="s">
        <v>22</v>
      </c>
      <c r="C1311" s="4" t="s">
        <v>23</v>
      </c>
      <c r="D1311" s="4" t="s">
        <v>24</v>
      </c>
      <c r="E1311" s="4" t="s">
        <v>33</v>
      </c>
      <c r="F1311" s="4" t="s">
        <v>25</v>
      </c>
      <c r="G1311" s="4" t="s">
        <v>25</v>
      </c>
      <c r="H1311" s="4" t="s">
        <v>25</v>
      </c>
      <c r="I1311" s="5">
        <v>44531</v>
      </c>
      <c r="J1311" s="6">
        <v>0</v>
      </c>
      <c r="K1311" s="6">
        <v>0</v>
      </c>
      <c r="L1311" s="6">
        <v>679.99</v>
      </c>
      <c r="M1311" s="6">
        <v>679.99</v>
      </c>
      <c r="N1311" s="6">
        <v>679.99</v>
      </c>
      <c r="O1311" s="6">
        <v>679.99</v>
      </c>
      <c r="P1311" s="6">
        <v>8647</v>
      </c>
      <c r="Q1311" s="4" t="s">
        <v>26</v>
      </c>
      <c r="R1311" s="4">
        <v>0</v>
      </c>
      <c r="S1311" s="6">
        <v>0</v>
      </c>
      <c r="T1311" s="6">
        <v>42</v>
      </c>
      <c r="U1311" s="6">
        <v>86</v>
      </c>
      <c r="V1311" s="6">
        <f>IF(ISERROR(VLOOKUP($S$1311,'TAR FIN'!$A$1:$O$115,15,0)),0,VLOOKUP($S$1311,'TAR FIN'!$A$1:$O$115,15,0))</f>
        <v>0</v>
      </c>
      <c r="W1311" s="6">
        <f>IF(ISERROR(VLOOKUP($T$1311,'TAR FIN'!$A$1:$O$115,15,0)),0,VLOOKUP($T$1311,'TAR FIN'!$A$1:$O$115,15,0))</f>
        <v>363.71</v>
      </c>
      <c r="X1311" s="6">
        <f>IF(ISERROR(VLOOKUP($U$1311,'TAR FIN'!$A$1:$O$115,15,0)),0,VLOOKUP($U$1311,'TAR FIN'!$A$1:$O$115,15,0))</f>
        <v>158.91999999999999</v>
      </c>
      <c r="Y1311" s="6"/>
      <c r="Z1311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11" s="6">
        <f>('TE BE'!$AB$23+'TE BF'!$AB$23+'TE CVA'!$AB$23)*(1-CUSTOS!$M$36)</f>
        <v>207.6137769965251</v>
      </c>
      <c r="AB1311" s="6">
        <f>$K$1311*$V$1311</f>
        <v>0</v>
      </c>
      <c r="AC1311" s="6">
        <f>$M$1311*$W$1311</f>
        <v>247319.1629</v>
      </c>
      <c r="AD1311" s="6">
        <f>$O$1311*$X$1311</f>
        <v>108064.01079999999</v>
      </c>
      <c r="AE1311" s="6">
        <f>$K$1311*$Y$1311</f>
        <v>0</v>
      </c>
      <c r="AF1311" s="6">
        <f ca="1">$M$1311*$Z$1311</f>
        <v>257142.67095609341</v>
      </c>
      <c r="AG1311" s="6">
        <f>$O$1311*$AA$1311</f>
        <v>141175.29221986711</v>
      </c>
    </row>
    <row r="1312" spans="1:33" ht="11.25" customHeight="1" x14ac:dyDescent="0.25">
      <c r="A1312" s="4" t="s">
        <v>29</v>
      </c>
      <c r="B1312" s="4" t="s">
        <v>22</v>
      </c>
      <c r="C1312" s="4" t="s">
        <v>23</v>
      </c>
      <c r="D1312" s="4" t="s">
        <v>24</v>
      </c>
      <c r="E1312" s="4" t="s">
        <v>33</v>
      </c>
      <c r="F1312" s="4" t="s">
        <v>25</v>
      </c>
      <c r="G1312" s="4" t="s">
        <v>25</v>
      </c>
      <c r="H1312" s="4" t="s">
        <v>25</v>
      </c>
      <c r="I1312" s="5">
        <v>44531</v>
      </c>
      <c r="J1312" s="6">
        <v>0</v>
      </c>
      <c r="K1312" s="6">
        <v>0</v>
      </c>
      <c r="L1312" s="6">
        <v>-0.59099999999999997</v>
      </c>
      <c r="M1312" s="6">
        <v>-0.59099999999999997</v>
      </c>
      <c r="N1312" s="6">
        <v>-0.59099999999999997</v>
      </c>
      <c r="O1312" s="6">
        <v>-0.59099999999999997</v>
      </c>
      <c r="P1312" s="6">
        <v>-7</v>
      </c>
      <c r="Q1312" s="4" t="s">
        <v>26</v>
      </c>
      <c r="R1312" s="4">
        <v>0</v>
      </c>
      <c r="S1312" s="6">
        <v>0</v>
      </c>
      <c r="T1312" s="6">
        <v>42</v>
      </c>
      <c r="U1312" s="6">
        <v>86</v>
      </c>
      <c r="V1312" s="6">
        <f>IF(ISERROR(VLOOKUP($S$1312,'TAR FIN'!$A$1:$O$115,15,0)),0,VLOOKUP($S$1312,'TAR FIN'!$A$1:$O$115,15,0))</f>
        <v>0</v>
      </c>
      <c r="W1312" s="6">
        <f>IF(ISERROR(VLOOKUP($T$1312,'TAR FIN'!$A$1:$O$115,15,0)),0,VLOOKUP($T$1312,'TAR FIN'!$A$1:$O$115,15,0))</f>
        <v>363.71</v>
      </c>
      <c r="X1312" s="6">
        <f>IF(ISERROR(VLOOKUP($U$1312,'TAR FIN'!$A$1:$O$115,15,0)),0,VLOOKUP($U$1312,'TAR FIN'!$A$1:$O$115,15,0))</f>
        <v>158.91999999999999</v>
      </c>
      <c r="Y1312" s="6"/>
      <c r="Z1312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12" s="6">
        <f>('TE BE'!$AB$23+'TE BF'!$AB$23+'TE CVA'!$AB$23)*(1-CUSTOS!$M$36)</f>
        <v>207.6137769965251</v>
      </c>
      <c r="AB1312" s="6">
        <f>$K$1312*$V$1312</f>
        <v>0</v>
      </c>
      <c r="AC1312" s="6">
        <f>$M$1312*$W$1312</f>
        <v>-214.95260999999996</v>
      </c>
      <c r="AD1312" s="6">
        <f>$O$1312*$X$1312</f>
        <v>-93.921719999999993</v>
      </c>
      <c r="AE1312" s="6">
        <f>$K$1312*$Y$1312</f>
        <v>0</v>
      </c>
      <c r="AF1312" s="6">
        <f ca="1">$M$1312*$Z$1312</f>
        <v>-223.49051976507184</v>
      </c>
      <c r="AG1312" s="6">
        <f>$O$1312*$AA$1312</f>
        <v>-122.69974220494633</v>
      </c>
    </row>
    <row r="1313" spans="1:33" ht="11.25" customHeight="1" x14ac:dyDescent="0.25">
      <c r="A1313" s="4" t="s">
        <v>30</v>
      </c>
      <c r="B1313" s="4" t="s">
        <v>22</v>
      </c>
      <c r="C1313" s="4" t="s">
        <v>23</v>
      </c>
      <c r="D1313" s="4" t="s">
        <v>24</v>
      </c>
      <c r="E1313" s="4" t="s">
        <v>33</v>
      </c>
      <c r="F1313" s="4" t="s">
        <v>25</v>
      </c>
      <c r="G1313" s="4" t="s">
        <v>25</v>
      </c>
      <c r="H1313" s="4" t="s">
        <v>25</v>
      </c>
      <c r="I1313" s="5">
        <v>44531</v>
      </c>
      <c r="J1313" s="6">
        <v>0</v>
      </c>
      <c r="K1313" s="6">
        <v>0</v>
      </c>
      <c r="L1313" s="6">
        <v>1.887</v>
      </c>
      <c r="M1313" s="6">
        <v>1.887</v>
      </c>
      <c r="N1313" s="6">
        <v>1.887</v>
      </c>
      <c r="O1313" s="6">
        <v>1.887</v>
      </c>
      <c r="P1313" s="6">
        <v>1</v>
      </c>
      <c r="Q1313" s="4" t="s">
        <v>26</v>
      </c>
      <c r="R1313" s="4">
        <v>0</v>
      </c>
      <c r="S1313" s="6">
        <v>0</v>
      </c>
      <c r="T1313" s="6">
        <v>42</v>
      </c>
      <c r="U1313" s="6">
        <v>86</v>
      </c>
      <c r="V1313" s="6">
        <f>IF(ISERROR(VLOOKUP($S$1313,'TAR FIN'!$A$1:$O$115,15,0)),0,VLOOKUP($S$1313,'TAR FIN'!$A$1:$O$115,15,0))</f>
        <v>0</v>
      </c>
      <c r="W1313" s="6">
        <f>IF(ISERROR(VLOOKUP($T$1313,'TAR FIN'!$A$1:$O$115,15,0)),0,VLOOKUP($T$1313,'TAR FIN'!$A$1:$O$115,15,0))</f>
        <v>363.71</v>
      </c>
      <c r="X1313" s="6">
        <f>IF(ISERROR(VLOOKUP($U$1313,'TAR FIN'!$A$1:$O$115,15,0)),0,VLOOKUP($U$1313,'TAR FIN'!$A$1:$O$115,15,0))</f>
        <v>158.91999999999999</v>
      </c>
      <c r="Y1313" s="6"/>
      <c r="Z1313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13" s="6">
        <f>('TE BE'!$AB$23+'TE BF'!$AB$23+'TE CVA'!$AB$23)*(1-CUSTOS!$M$36)</f>
        <v>207.6137769965251</v>
      </c>
      <c r="AB1313" s="6">
        <f>$K$1313*$V$1313</f>
        <v>0</v>
      </c>
      <c r="AC1313" s="6">
        <f>$M$1313*$W$1313</f>
        <v>686.32076999999992</v>
      </c>
      <c r="AD1313" s="6">
        <f>$O$1313*$X$1313</f>
        <v>299.88203999999996</v>
      </c>
      <c r="AE1313" s="6">
        <f>$K$1313*$Y$1313</f>
        <v>0</v>
      </c>
      <c r="AF1313" s="6">
        <f ca="1">$M$1313*$Z$1313</f>
        <v>713.58140574736137</v>
      </c>
      <c r="AG1313" s="6">
        <f>$O$1313*$AA$1313</f>
        <v>391.76719719244289</v>
      </c>
    </row>
    <row r="1314" spans="1:33" ht="11.25" customHeight="1" x14ac:dyDescent="0.25">
      <c r="A1314" s="4" t="s">
        <v>30</v>
      </c>
      <c r="B1314" s="4" t="s">
        <v>22</v>
      </c>
      <c r="C1314" s="4" t="s">
        <v>23</v>
      </c>
      <c r="D1314" s="4" t="s">
        <v>24</v>
      </c>
      <c r="E1314" s="4" t="s">
        <v>33</v>
      </c>
      <c r="F1314" s="4" t="s">
        <v>25</v>
      </c>
      <c r="G1314" s="4" t="s">
        <v>25</v>
      </c>
      <c r="H1314" s="4" t="s">
        <v>25</v>
      </c>
      <c r="I1314" s="5">
        <v>44531</v>
      </c>
      <c r="J1314" s="6">
        <v>0</v>
      </c>
      <c r="K1314" s="6">
        <v>0</v>
      </c>
      <c r="L1314" s="6">
        <v>-0.12</v>
      </c>
      <c r="M1314" s="6">
        <v>-0.12</v>
      </c>
      <c r="N1314" s="6">
        <v>-0.12</v>
      </c>
      <c r="O1314" s="6">
        <v>-0.12</v>
      </c>
      <c r="P1314" s="6">
        <v>0</v>
      </c>
      <c r="Q1314" s="4" t="s">
        <v>26</v>
      </c>
      <c r="R1314" s="4">
        <v>0</v>
      </c>
      <c r="S1314" s="6">
        <v>0</v>
      </c>
      <c r="T1314" s="6">
        <v>42</v>
      </c>
      <c r="U1314" s="6">
        <v>86</v>
      </c>
      <c r="V1314" s="6">
        <f>IF(ISERROR(VLOOKUP($S$1314,'TAR FIN'!$A$1:$O$115,15,0)),0,VLOOKUP($S$1314,'TAR FIN'!$A$1:$O$115,15,0))</f>
        <v>0</v>
      </c>
      <c r="W1314" s="6">
        <f>IF(ISERROR(VLOOKUP($T$1314,'TAR FIN'!$A$1:$O$115,15,0)),0,VLOOKUP($T$1314,'TAR FIN'!$A$1:$O$115,15,0))</f>
        <v>363.71</v>
      </c>
      <c r="X1314" s="6">
        <f>IF(ISERROR(VLOOKUP($U$1314,'TAR FIN'!$A$1:$O$115,15,0)),0,VLOOKUP($U$1314,'TAR FIN'!$A$1:$O$115,15,0))</f>
        <v>158.91999999999999</v>
      </c>
      <c r="Y1314" s="6"/>
      <c r="Z1314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14" s="6">
        <f>('TE BE'!$AB$23+'TE BF'!$AB$23+'TE CVA'!$AB$23)*(1-CUSTOS!$M$36)</f>
        <v>207.6137769965251</v>
      </c>
      <c r="AB1314" s="6">
        <f>$K$1314*$V$1314</f>
        <v>0</v>
      </c>
      <c r="AC1314" s="6">
        <f>$M$1314*$W$1314</f>
        <v>-43.645199999999996</v>
      </c>
      <c r="AD1314" s="6">
        <f>$O$1314*$X$1314</f>
        <v>-19.070399999999999</v>
      </c>
      <c r="AE1314" s="6">
        <f>$K$1314*$Y$1314</f>
        <v>0</v>
      </c>
      <c r="AF1314" s="6">
        <f ca="1">$M$1314*$Z$1314</f>
        <v>-45.378785739100877</v>
      </c>
      <c r="AG1314" s="6">
        <f>$O$1314*$AA$1314</f>
        <v>-24.913653239583013</v>
      </c>
    </row>
    <row r="1315" spans="1:33" ht="11.25" customHeight="1" x14ac:dyDescent="0.25">
      <c r="A1315" s="4" t="s">
        <v>21</v>
      </c>
      <c r="B1315" s="4" t="s">
        <v>22</v>
      </c>
      <c r="C1315" s="4" t="s">
        <v>23</v>
      </c>
      <c r="D1315" s="4" t="s">
        <v>24</v>
      </c>
      <c r="E1315" s="4" t="s">
        <v>33</v>
      </c>
      <c r="F1315" s="4" t="s">
        <v>25</v>
      </c>
      <c r="G1315" s="4" t="s">
        <v>25</v>
      </c>
      <c r="H1315" s="4" t="s">
        <v>25</v>
      </c>
      <c r="I1315" s="5">
        <v>44562</v>
      </c>
      <c r="J1315" s="6">
        <v>0</v>
      </c>
      <c r="K1315" s="6">
        <v>0</v>
      </c>
      <c r="L1315" s="6">
        <v>1980.35</v>
      </c>
      <c r="M1315" s="6">
        <v>1980.35</v>
      </c>
      <c r="N1315" s="6">
        <v>1980.35</v>
      </c>
      <c r="O1315" s="6">
        <v>1980.35</v>
      </c>
      <c r="P1315" s="6">
        <v>17131</v>
      </c>
      <c r="Q1315" s="4" t="s">
        <v>26</v>
      </c>
      <c r="R1315" s="4">
        <v>0</v>
      </c>
      <c r="S1315" s="6">
        <v>0</v>
      </c>
      <c r="T1315" s="6">
        <v>42</v>
      </c>
      <c r="U1315" s="6">
        <v>86</v>
      </c>
      <c r="V1315" s="6">
        <f>IF(ISERROR(VLOOKUP($S$1315,'TAR FIN'!$A$1:$O$115,15,0)),0,VLOOKUP($S$1315,'TAR FIN'!$A$1:$O$115,15,0))</f>
        <v>0</v>
      </c>
      <c r="W1315" s="6">
        <f>IF(ISERROR(VLOOKUP($T$1315,'TAR FIN'!$A$1:$O$115,15,0)),0,VLOOKUP($T$1315,'TAR FIN'!$A$1:$O$115,15,0))</f>
        <v>363.71</v>
      </c>
      <c r="X1315" s="6">
        <f>IF(ISERROR(VLOOKUP($U$1315,'TAR FIN'!$A$1:$O$115,15,0)),0,VLOOKUP($U$1315,'TAR FIN'!$A$1:$O$115,15,0))</f>
        <v>158.91999999999999</v>
      </c>
      <c r="Y1315" s="6"/>
      <c r="Z1315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15" s="6">
        <f>('TE BE'!$AB$23+'TE BF'!$AB$23+'TE CVA'!$AB$23)*(1-CUSTOS!$M$36)</f>
        <v>207.6137769965251</v>
      </c>
      <c r="AB1315" s="6">
        <f>$K$1315*$V$1315</f>
        <v>0</v>
      </c>
      <c r="AC1315" s="6">
        <f>$M$1315*$W$1315</f>
        <v>720273.09849999996</v>
      </c>
      <c r="AD1315" s="6">
        <f>$O$1315*$X$1315</f>
        <v>314717.22199999995</v>
      </c>
      <c r="AE1315" s="6">
        <f>$K$1315*$Y$1315</f>
        <v>0</v>
      </c>
      <c r="AF1315" s="6">
        <f ca="1">$M$1315*$Z$1315</f>
        <v>748882.31948690349</v>
      </c>
      <c r="AG1315" s="6">
        <f>$O$1315*$AA$1315</f>
        <v>411147.94327506848</v>
      </c>
    </row>
    <row r="1316" spans="1:33" ht="11.25" customHeight="1" x14ac:dyDescent="0.25">
      <c r="A1316" s="4" t="s">
        <v>27</v>
      </c>
      <c r="B1316" s="4" t="s">
        <v>22</v>
      </c>
      <c r="C1316" s="4" t="s">
        <v>23</v>
      </c>
      <c r="D1316" s="4" t="s">
        <v>24</v>
      </c>
      <c r="E1316" s="4" t="s">
        <v>33</v>
      </c>
      <c r="F1316" s="4" t="s">
        <v>25</v>
      </c>
      <c r="G1316" s="4" t="s">
        <v>25</v>
      </c>
      <c r="H1316" s="4" t="s">
        <v>25</v>
      </c>
      <c r="I1316" s="5">
        <v>44562</v>
      </c>
      <c r="J1316" s="6">
        <v>0</v>
      </c>
      <c r="K1316" s="6">
        <v>0</v>
      </c>
      <c r="L1316" s="6">
        <v>-11.058999999999999</v>
      </c>
      <c r="M1316" s="6">
        <v>-11.058999999999999</v>
      </c>
      <c r="N1316" s="6">
        <v>-11.058999999999999</v>
      </c>
      <c r="O1316" s="6">
        <v>-11.058999999999999</v>
      </c>
      <c r="P1316" s="6">
        <v>-81</v>
      </c>
      <c r="Q1316" s="4" t="s">
        <v>26</v>
      </c>
      <c r="R1316" s="4">
        <v>0</v>
      </c>
      <c r="S1316" s="6">
        <v>0</v>
      </c>
      <c r="T1316" s="6">
        <v>42</v>
      </c>
      <c r="U1316" s="6">
        <v>86</v>
      </c>
      <c r="V1316" s="6">
        <f>IF(ISERROR(VLOOKUP($S$1316,'TAR FIN'!$A$1:$O$115,15,0)),0,VLOOKUP($S$1316,'TAR FIN'!$A$1:$O$115,15,0))</f>
        <v>0</v>
      </c>
      <c r="W1316" s="6">
        <f>IF(ISERROR(VLOOKUP($T$1316,'TAR FIN'!$A$1:$O$115,15,0)),0,VLOOKUP($T$1316,'TAR FIN'!$A$1:$O$115,15,0))</f>
        <v>363.71</v>
      </c>
      <c r="X1316" s="6">
        <f>IF(ISERROR(VLOOKUP($U$1316,'TAR FIN'!$A$1:$O$115,15,0)),0,VLOOKUP($U$1316,'TAR FIN'!$A$1:$O$115,15,0))</f>
        <v>158.91999999999999</v>
      </c>
      <c r="Y1316" s="6"/>
      <c r="Z1316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16" s="6">
        <f>('TE BE'!$AB$23+'TE BF'!$AB$23+'TE CVA'!$AB$23)*(1-CUSTOS!$M$36)</f>
        <v>207.6137769965251</v>
      </c>
      <c r="AB1316" s="6">
        <f>$K$1316*$V$1316</f>
        <v>0</v>
      </c>
      <c r="AC1316" s="6">
        <f>$M$1316*$W$1316</f>
        <v>-4022.2688899999994</v>
      </c>
      <c r="AD1316" s="6">
        <f>$O$1316*$X$1316</f>
        <v>-1757.4962799999998</v>
      </c>
      <c r="AE1316" s="6">
        <f>$K$1316*$Y$1316</f>
        <v>0</v>
      </c>
      <c r="AF1316" s="6">
        <f ca="1">$M$1316*$Z$1316</f>
        <v>-4182.033262405972</v>
      </c>
      <c r="AG1316" s="6">
        <f>$O$1316*$AA$1316</f>
        <v>-2296.0007598045709</v>
      </c>
    </row>
    <row r="1317" spans="1:33" ht="11.25" customHeight="1" x14ac:dyDescent="0.25">
      <c r="A1317" s="4" t="s">
        <v>28</v>
      </c>
      <c r="B1317" s="4" t="s">
        <v>22</v>
      </c>
      <c r="C1317" s="4" t="s">
        <v>23</v>
      </c>
      <c r="D1317" s="4" t="s">
        <v>24</v>
      </c>
      <c r="E1317" s="4" t="s">
        <v>33</v>
      </c>
      <c r="F1317" s="4" t="s">
        <v>25</v>
      </c>
      <c r="G1317" s="4" t="s">
        <v>25</v>
      </c>
      <c r="H1317" s="4" t="s">
        <v>25</v>
      </c>
      <c r="I1317" s="5">
        <v>44562</v>
      </c>
      <c r="J1317" s="6">
        <v>0</v>
      </c>
      <c r="K1317" s="6">
        <v>0</v>
      </c>
      <c r="L1317" s="6">
        <v>698.64099999999996</v>
      </c>
      <c r="M1317" s="6">
        <v>698.64099999999996</v>
      </c>
      <c r="N1317" s="6">
        <v>698.64099999999996</v>
      </c>
      <c r="O1317" s="6">
        <v>698.64099999999996</v>
      </c>
      <c r="P1317" s="6">
        <v>8716</v>
      </c>
      <c r="Q1317" s="4" t="s">
        <v>26</v>
      </c>
      <c r="R1317" s="4">
        <v>0</v>
      </c>
      <c r="S1317" s="6">
        <v>0</v>
      </c>
      <c r="T1317" s="6">
        <v>42</v>
      </c>
      <c r="U1317" s="6">
        <v>86</v>
      </c>
      <c r="V1317" s="6">
        <f>IF(ISERROR(VLOOKUP($S$1317,'TAR FIN'!$A$1:$O$115,15,0)),0,VLOOKUP($S$1317,'TAR FIN'!$A$1:$O$115,15,0))</f>
        <v>0</v>
      </c>
      <c r="W1317" s="6">
        <f>IF(ISERROR(VLOOKUP($T$1317,'TAR FIN'!$A$1:$O$115,15,0)),0,VLOOKUP($T$1317,'TAR FIN'!$A$1:$O$115,15,0))</f>
        <v>363.71</v>
      </c>
      <c r="X1317" s="6">
        <f>IF(ISERROR(VLOOKUP($U$1317,'TAR FIN'!$A$1:$O$115,15,0)),0,VLOOKUP($U$1317,'TAR FIN'!$A$1:$O$115,15,0))</f>
        <v>158.91999999999999</v>
      </c>
      <c r="Y1317" s="6"/>
      <c r="Z1317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17" s="6">
        <f>('TE BE'!$AB$23+'TE BF'!$AB$23+'TE CVA'!$AB$23)*(1-CUSTOS!$M$36)</f>
        <v>207.6137769965251</v>
      </c>
      <c r="AB1317" s="6">
        <f>$K$1317*$V$1317</f>
        <v>0</v>
      </c>
      <c r="AC1317" s="6">
        <f>$M$1317*$W$1317</f>
        <v>254102.71810999996</v>
      </c>
      <c r="AD1317" s="6">
        <f>$O$1317*$X$1317</f>
        <v>111028.02771999998</v>
      </c>
      <c r="AE1317" s="6">
        <f>$K$1317*$Y$1317</f>
        <v>0</v>
      </c>
      <c r="AF1317" s="6">
        <f ca="1">$M$1317*$Z$1317</f>
        <v>264195.66872959316</v>
      </c>
      <c r="AG1317" s="6">
        <f>$O$1317*$AA$1317</f>
        <v>145047.49677462928</v>
      </c>
    </row>
    <row r="1318" spans="1:33" ht="11.25" customHeight="1" x14ac:dyDescent="0.25">
      <c r="A1318" s="4" t="s">
        <v>29</v>
      </c>
      <c r="B1318" s="4" t="s">
        <v>22</v>
      </c>
      <c r="C1318" s="4" t="s">
        <v>23</v>
      </c>
      <c r="D1318" s="4" t="s">
        <v>24</v>
      </c>
      <c r="E1318" s="4" t="s">
        <v>33</v>
      </c>
      <c r="F1318" s="4" t="s">
        <v>25</v>
      </c>
      <c r="G1318" s="4" t="s">
        <v>25</v>
      </c>
      <c r="H1318" s="4" t="s">
        <v>25</v>
      </c>
      <c r="I1318" s="5">
        <v>44562</v>
      </c>
      <c r="J1318" s="6">
        <v>0</v>
      </c>
      <c r="K1318" s="6">
        <v>0</v>
      </c>
      <c r="L1318" s="6">
        <v>-0.83499999999999996</v>
      </c>
      <c r="M1318" s="6">
        <v>-0.83499999999999996</v>
      </c>
      <c r="N1318" s="6">
        <v>-0.83499999999999996</v>
      </c>
      <c r="O1318" s="6">
        <v>-0.83499999999999996</v>
      </c>
      <c r="P1318" s="6">
        <v>-15</v>
      </c>
      <c r="Q1318" s="4" t="s">
        <v>26</v>
      </c>
      <c r="R1318" s="4">
        <v>0</v>
      </c>
      <c r="S1318" s="6">
        <v>0</v>
      </c>
      <c r="T1318" s="6">
        <v>42</v>
      </c>
      <c r="U1318" s="6">
        <v>86</v>
      </c>
      <c r="V1318" s="6">
        <f>IF(ISERROR(VLOOKUP($S$1318,'TAR FIN'!$A$1:$O$115,15,0)),0,VLOOKUP($S$1318,'TAR FIN'!$A$1:$O$115,15,0))</f>
        <v>0</v>
      </c>
      <c r="W1318" s="6">
        <f>IF(ISERROR(VLOOKUP($T$1318,'TAR FIN'!$A$1:$O$115,15,0)),0,VLOOKUP($T$1318,'TAR FIN'!$A$1:$O$115,15,0))</f>
        <v>363.71</v>
      </c>
      <c r="X1318" s="6">
        <f>IF(ISERROR(VLOOKUP($U$1318,'TAR FIN'!$A$1:$O$115,15,0)),0,VLOOKUP($U$1318,'TAR FIN'!$A$1:$O$115,15,0))</f>
        <v>158.91999999999999</v>
      </c>
      <c r="Y1318" s="6"/>
      <c r="Z1318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18" s="6">
        <f>('TE BE'!$AB$23+'TE BF'!$AB$23+'TE CVA'!$AB$23)*(1-CUSTOS!$M$36)</f>
        <v>207.6137769965251</v>
      </c>
      <c r="AB1318" s="6">
        <f>$K$1318*$V$1318</f>
        <v>0</v>
      </c>
      <c r="AC1318" s="6">
        <f>$M$1318*$W$1318</f>
        <v>-303.69784999999996</v>
      </c>
      <c r="AD1318" s="6">
        <f>$O$1318*$X$1318</f>
        <v>-132.69819999999999</v>
      </c>
      <c r="AE1318" s="6">
        <f>$K$1318*$Y$1318</f>
        <v>0</v>
      </c>
      <c r="AF1318" s="6">
        <f ca="1">$M$1318*$Z$1318</f>
        <v>-315.76071743457697</v>
      </c>
      <c r="AG1318" s="6">
        <f>$O$1318*$AA$1318</f>
        <v>-173.35750379209844</v>
      </c>
    </row>
    <row r="1319" spans="1:33" ht="11.25" customHeight="1" x14ac:dyDescent="0.25">
      <c r="A1319" s="4" t="s">
        <v>30</v>
      </c>
      <c r="B1319" s="4" t="s">
        <v>22</v>
      </c>
      <c r="C1319" s="4" t="s">
        <v>23</v>
      </c>
      <c r="D1319" s="4" t="s">
        <v>24</v>
      </c>
      <c r="E1319" s="4" t="s">
        <v>33</v>
      </c>
      <c r="F1319" s="4" t="s">
        <v>25</v>
      </c>
      <c r="G1319" s="4" t="s">
        <v>25</v>
      </c>
      <c r="H1319" s="4" t="s">
        <v>25</v>
      </c>
      <c r="I1319" s="5">
        <v>44562</v>
      </c>
      <c r="J1319" s="6">
        <v>0</v>
      </c>
      <c r="K1319" s="6">
        <v>0</v>
      </c>
      <c r="L1319" s="6">
        <v>1.1519999999999999</v>
      </c>
      <c r="M1319" s="6">
        <v>1.1519999999999999</v>
      </c>
      <c r="N1319" s="6">
        <v>1.1519999999999999</v>
      </c>
      <c r="O1319" s="6">
        <v>1.1519999999999999</v>
      </c>
      <c r="P1319" s="6">
        <v>4</v>
      </c>
      <c r="Q1319" s="4" t="s">
        <v>26</v>
      </c>
      <c r="R1319" s="4">
        <v>0</v>
      </c>
      <c r="S1319" s="6">
        <v>0</v>
      </c>
      <c r="T1319" s="6">
        <v>42</v>
      </c>
      <c r="U1319" s="6">
        <v>86</v>
      </c>
      <c r="V1319" s="6">
        <f>IF(ISERROR(VLOOKUP($S$1319,'TAR FIN'!$A$1:$O$115,15,0)),0,VLOOKUP($S$1319,'TAR FIN'!$A$1:$O$115,15,0))</f>
        <v>0</v>
      </c>
      <c r="W1319" s="6">
        <f>IF(ISERROR(VLOOKUP($T$1319,'TAR FIN'!$A$1:$O$115,15,0)),0,VLOOKUP($T$1319,'TAR FIN'!$A$1:$O$115,15,0))</f>
        <v>363.71</v>
      </c>
      <c r="X1319" s="6">
        <f>IF(ISERROR(VLOOKUP($U$1319,'TAR FIN'!$A$1:$O$115,15,0)),0,VLOOKUP($U$1319,'TAR FIN'!$A$1:$O$115,15,0))</f>
        <v>158.91999999999999</v>
      </c>
      <c r="Y1319" s="6"/>
      <c r="Z1319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19" s="6">
        <f>('TE BE'!$AB$23+'TE BF'!$AB$23+'TE CVA'!$AB$23)*(1-CUSTOS!$M$36)</f>
        <v>207.6137769965251</v>
      </c>
      <c r="AB1319" s="6">
        <f>$K$1319*$V$1319</f>
        <v>0</v>
      </c>
      <c r="AC1319" s="6">
        <f>$M$1319*$W$1319</f>
        <v>418.99391999999995</v>
      </c>
      <c r="AD1319" s="6">
        <f>$O$1319*$X$1319</f>
        <v>183.07583999999997</v>
      </c>
      <c r="AE1319" s="6">
        <f>$K$1319*$Y$1319</f>
        <v>0</v>
      </c>
      <c r="AF1319" s="6">
        <f ca="1">$M$1319*$Z$1319</f>
        <v>435.63634309536843</v>
      </c>
      <c r="AG1319" s="6">
        <f>$O$1319*$AA$1319</f>
        <v>239.17107109999691</v>
      </c>
    </row>
    <row r="1320" spans="1:33" ht="11.25" customHeight="1" x14ac:dyDescent="0.25">
      <c r="A1320" s="4" t="s">
        <v>30</v>
      </c>
      <c r="B1320" s="4" t="s">
        <v>22</v>
      </c>
      <c r="C1320" s="4" t="s">
        <v>23</v>
      </c>
      <c r="D1320" s="4" t="s">
        <v>24</v>
      </c>
      <c r="E1320" s="4" t="s">
        <v>33</v>
      </c>
      <c r="F1320" s="4" t="s">
        <v>25</v>
      </c>
      <c r="G1320" s="4" t="s">
        <v>25</v>
      </c>
      <c r="H1320" s="4" t="s">
        <v>25</v>
      </c>
      <c r="I1320" s="5">
        <v>44562</v>
      </c>
      <c r="J1320" s="6">
        <v>0</v>
      </c>
      <c r="K1320" s="6">
        <v>0</v>
      </c>
      <c r="L1320" s="6">
        <v>-0.12</v>
      </c>
      <c r="M1320" s="6">
        <v>-0.12</v>
      </c>
      <c r="N1320" s="6">
        <v>-0.12</v>
      </c>
      <c r="O1320" s="6">
        <v>-0.12</v>
      </c>
      <c r="P1320" s="6">
        <v>0</v>
      </c>
      <c r="Q1320" s="4" t="s">
        <v>26</v>
      </c>
      <c r="R1320" s="4">
        <v>0</v>
      </c>
      <c r="S1320" s="6">
        <v>0</v>
      </c>
      <c r="T1320" s="6">
        <v>42</v>
      </c>
      <c r="U1320" s="6">
        <v>86</v>
      </c>
      <c r="V1320" s="6">
        <f>IF(ISERROR(VLOOKUP($S$1320,'TAR FIN'!$A$1:$O$115,15,0)),0,VLOOKUP($S$1320,'TAR FIN'!$A$1:$O$115,15,0))</f>
        <v>0</v>
      </c>
      <c r="W1320" s="6">
        <f>IF(ISERROR(VLOOKUP($T$1320,'TAR FIN'!$A$1:$O$115,15,0)),0,VLOOKUP($T$1320,'TAR FIN'!$A$1:$O$115,15,0))</f>
        <v>363.71</v>
      </c>
      <c r="X1320" s="6">
        <f>IF(ISERROR(VLOOKUP($U$1320,'TAR FIN'!$A$1:$O$115,15,0)),0,VLOOKUP($U$1320,'TAR FIN'!$A$1:$O$115,15,0))</f>
        <v>158.91999999999999</v>
      </c>
      <c r="Y1320" s="6"/>
      <c r="Z1320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20" s="6">
        <f>('TE BE'!$AB$23+'TE BF'!$AB$23+'TE CVA'!$AB$23)*(1-CUSTOS!$M$36)</f>
        <v>207.6137769965251</v>
      </c>
      <c r="AB1320" s="6">
        <f>$K$1320*$V$1320</f>
        <v>0</v>
      </c>
      <c r="AC1320" s="6">
        <f>$M$1320*$W$1320</f>
        <v>-43.645199999999996</v>
      </c>
      <c r="AD1320" s="6">
        <f>$O$1320*$X$1320</f>
        <v>-19.070399999999999</v>
      </c>
      <c r="AE1320" s="6">
        <f>$K$1320*$Y$1320</f>
        <v>0</v>
      </c>
      <c r="AF1320" s="6">
        <f ca="1">$M$1320*$Z$1320</f>
        <v>-45.378785739100877</v>
      </c>
      <c r="AG1320" s="6">
        <f>$O$1320*$AA$1320</f>
        <v>-24.913653239583013</v>
      </c>
    </row>
    <row r="1321" spans="1:33" ht="11.25" customHeight="1" x14ac:dyDescent="0.25">
      <c r="A1321" s="4" t="s">
        <v>21</v>
      </c>
      <c r="B1321" s="4" t="s">
        <v>22</v>
      </c>
      <c r="C1321" s="4" t="s">
        <v>23</v>
      </c>
      <c r="D1321" s="4" t="s">
        <v>24</v>
      </c>
      <c r="E1321" s="4" t="s">
        <v>33</v>
      </c>
      <c r="F1321" s="4" t="s">
        <v>25</v>
      </c>
      <c r="G1321" s="4" t="s">
        <v>25</v>
      </c>
      <c r="H1321" s="4" t="s">
        <v>25</v>
      </c>
      <c r="I1321" s="5">
        <v>44593</v>
      </c>
      <c r="J1321" s="6">
        <v>0</v>
      </c>
      <c r="K1321" s="6">
        <v>0</v>
      </c>
      <c r="L1321" s="6">
        <v>1915.366</v>
      </c>
      <c r="M1321" s="6">
        <v>1915.366</v>
      </c>
      <c r="N1321" s="6">
        <v>1915.366</v>
      </c>
      <c r="O1321" s="6">
        <v>1915.366</v>
      </c>
      <c r="P1321" s="6">
        <v>18658</v>
      </c>
      <c r="Q1321" s="4" t="s">
        <v>26</v>
      </c>
      <c r="R1321" s="4">
        <v>0</v>
      </c>
      <c r="S1321" s="6">
        <v>0</v>
      </c>
      <c r="T1321" s="6">
        <v>42</v>
      </c>
      <c r="U1321" s="6">
        <v>86</v>
      </c>
      <c r="V1321" s="6">
        <f>IF(ISERROR(VLOOKUP($S$1321,'TAR FIN'!$A$1:$O$115,15,0)),0,VLOOKUP($S$1321,'TAR FIN'!$A$1:$O$115,15,0))</f>
        <v>0</v>
      </c>
      <c r="W1321" s="6">
        <f>IF(ISERROR(VLOOKUP($T$1321,'TAR FIN'!$A$1:$O$115,15,0)),0,VLOOKUP($T$1321,'TAR FIN'!$A$1:$O$115,15,0))</f>
        <v>363.71</v>
      </c>
      <c r="X1321" s="6">
        <f>IF(ISERROR(VLOOKUP($U$1321,'TAR FIN'!$A$1:$O$115,15,0)),0,VLOOKUP($U$1321,'TAR FIN'!$A$1:$O$115,15,0))</f>
        <v>158.91999999999999</v>
      </c>
      <c r="Y1321" s="6"/>
      <c r="Z1321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21" s="6">
        <f>('TE BE'!$AB$23+'TE BF'!$AB$23+'TE CVA'!$AB$23)*(1-CUSTOS!$M$36)</f>
        <v>207.6137769965251</v>
      </c>
      <c r="AB1321" s="6">
        <f>$K$1321*$V$1321</f>
        <v>0</v>
      </c>
      <c r="AC1321" s="6">
        <f>$M$1321*$W$1321</f>
        <v>696637.76785999991</v>
      </c>
      <c r="AD1321" s="6">
        <f>$O$1321*$X$1321</f>
        <v>304389.96471999999</v>
      </c>
      <c r="AE1321" s="6">
        <f>$K$1321*$Y$1321</f>
        <v>0</v>
      </c>
      <c r="AF1321" s="6">
        <f ca="1">$M$1321*$Z$1321</f>
        <v>724308.1943829892</v>
      </c>
      <c r="AG1321" s="6">
        <f>$O$1321*$AA$1321</f>
        <v>397656.36959072627</v>
      </c>
    </row>
    <row r="1322" spans="1:33" ht="11.25" customHeight="1" x14ac:dyDescent="0.25">
      <c r="A1322" s="4" t="s">
        <v>27</v>
      </c>
      <c r="B1322" s="4" t="s">
        <v>22</v>
      </c>
      <c r="C1322" s="4" t="s">
        <v>23</v>
      </c>
      <c r="D1322" s="4" t="s">
        <v>24</v>
      </c>
      <c r="E1322" s="4" t="s">
        <v>33</v>
      </c>
      <c r="F1322" s="4" t="s">
        <v>25</v>
      </c>
      <c r="G1322" s="4" t="s">
        <v>25</v>
      </c>
      <c r="H1322" s="4" t="s">
        <v>25</v>
      </c>
      <c r="I1322" s="5">
        <v>44593</v>
      </c>
      <c r="J1322" s="6">
        <v>0</v>
      </c>
      <c r="K1322" s="6">
        <v>0</v>
      </c>
      <c r="L1322" s="6">
        <v>-12.904</v>
      </c>
      <c r="M1322" s="6">
        <v>-12.904</v>
      </c>
      <c r="N1322" s="6">
        <v>-12.904</v>
      </c>
      <c r="O1322" s="6">
        <v>-12.904</v>
      </c>
      <c r="P1322" s="6">
        <v>-22</v>
      </c>
      <c r="Q1322" s="4" t="s">
        <v>26</v>
      </c>
      <c r="R1322" s="4">
        <v>0</v>
      </c>
      <c r="S1322" s="6">
        <v>0</v>
      </c>
      <c r="T1322" s="6">
        <v>42</v>
      </c>
      <c r="U1322" s="6">
        <v>86</v>
      </c>
      <c r="V1322" s="6">
        <f>IF(ISERROR(VLOOKUP($S$1322,'TAR FIN'!$A$1:$O$115,15,0)),0,VLOOKUP($S$1322,'TAR FIN'!$A$1:$O$115,15,0))</f>
        <v>0</v>
      </c>
      <c r="W1322" s="6">
        <f>IF(ISERROR(VLOOKUP($T$1322,'TAR FIN'!$A$1:$O$115,15,0)),0,VLOOKUP($T$1322,'TAR FIN'!$A$1:$O$115,15,0))</f>
        <v>363.71</v>
      </c>
      <c r="X1322" s="6">
        <f>IF(ISERROR(VLOOKUP($U$1322,'TAR FIN'!$A$1:$O$115,15,0)),0,VLOOKUP($U$1322,'TAR FIN'!$A$1:$O$115,15,0))</f>
        <v>158.91999999999999</v>
      </c>
      <c r="Y1322" s="6"/>
      <c r="Z1322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22" s="6">
        <f>('TE BE'!$AB$23+'TE BF'!$AB$23+'TE CVA'!$AB$23)*(1-CUSTOS!$M$36)</f>
        <v>207.6137769965251</v>
      </c>
      <c r="AB1322" s="6">
        <f>$K$1322*$V$1322</f>
        <v>0</v>
      </c>
      <c r="AC1322" s="6">
        <f>$M$1322*$W$1322</f>
        <v>-4693.3138399999998</v>
      </c>
      <c r="AD1322" s="6">
        <f>$O$1322*$X$1322</f>
        <v>-2050.7036799999996</v>
      </c>
      <c r="AE1322" s="6">
        <f>$K$1322*$Y$1322</f>
        <v>0</v>
      </c>
      <c r="AF1322" s="6">
        <f ca="1">$M$1322*$Z$1322</f>
        <v>-4879.7320931446484</v>
      </c>
      <c r="AG1322" s="6">
        <f>$O$1322*$AA$1322</f>
        <v>-2679.0481783631599</v>
      </c>
    </row>
    <row r="1323" spans="1:33" ht="11.25" customHeight="1" x14ac:dyDescent="0.25">
      <c r="A1323" s="4" t="s">
        <v>28</v>
      </c>
      <c r="B1323" s="4" t="s">
        <v>22</v>
      </c>
      <c r="C1323" s="4" t="s">
        <v>23</v>
      </c>
      <c r="D1323" s="4" t="s">
        <v>24</v>
      </c>
      <c r="E1323" s="4" t="s">
        <v>33</v>
      </c>
      <c r="F1323" s="4" t="s">
        <v>25</v>
      </c>
      <c r="G1323" s="4" t="s">
        <v>25</v>
      </c>
      <c r="H1323" s="4" t="s">
        <v>25</v>
      </c>
      <c r="I1323" s="5">
        <v>44593</v>
      </c>
      <c r="J1323" s="6">
        <v>0</v>
      </c>
      <c r="K1323" s="6">
        <v>0</v>
      </c>
      <c r="L1323" s="6">
        <v>631.60599999999999</v>
      </c>
      <c r="M1323" s="6">
        <v>631.60599999999999</v>
      </c>
      <c r="N1323" s="6">
        <v>631.60599999999999</v>
      </c>
      <c r="O1323" s="6">
        <v>631.60599999999999</v>
      </c>
      <c r="P1323" s="6">
        <v>8574</v>
      </c>
      <c r="Q1323" s="4" t="s">
        <v>26</v>
      </c>
      <c r="R1323" s="4">
        <v>0</v>
      </c>
      <c r="S1323" s="6">
        <v>0</v>
      </c>
      <c r="T1323" s="6">
        <v>42</v>
      </c>
      <c r="U1323" s="6">
        <v>86</v>
      </c>
      <c r="V1323" s="6">
        <f>IF(ISERROR(VLOOKUP($S$1323,'TAR FIN'!$A$1:$O$115,15,0)),0,VLOOKUP($S$1323,'TAR FIN'!$A$1:$O$115,15,0))</f>
        <v>0</v>
      </c>
      <c r="W1323" s="6">
        <f>IF(ISERROR(VLOOKUP($T$1323,'TAR FIN'!$A$1:$O$115,15,0)),0,VLOOKUP($T$1323,'TAR FIN'!$A$1:$O$115,15,0))</f>
        <v>363.71</v>
      </c>
      <c r="X1323" s="6">
        <f>IF(ISERROR(VLOOKUP($U$1323,'TAR FIN'!$A$1:$O$115,15,0)),0,VLOOKUP($U$1323,'TAR FIN'!$A$1:$O$115,15,0))</f>
        <v>158.91999999999999</v>
      </c>
      <c r="Y1323" s="6"/>
      <c r="Z1323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23" s="6">
        <f>('TE BE'!$AB$23+'TE BF'!$AB$23+'TE CVA'!$AB$23)*(1-CUSTOS!$M$36)</f>
        <v>207.6137769965251</v>
      </c>
      <c r="AB1323" s="6">
        <f>$K$1323*$V$1323</f>
        <v>0</v>
      </c>
      <c r="AC1323" s="6">
        <f>$M$1323*$W$1323</f>
        <v>229721.41825999998</v>
      </c>
      <c r="AD1323" s="6">
        <f>$O$1323*$X$1323</f>
        <v>100374.82552</v>
      </c>
      <c r="AE1323" s="6">
        <f>$K$1323*$Y$1323</f>
        <v>0</v>
      </c>
      <c r="AF1323" s="6">
        <f ca="1">$M$1323*$Z$1323</f>
        <v>238845.94454608794</v>
      </c>
      <c r="AG1323" s="6">
        <f>$O$1323*$AA$1323</f>
        <v>131130.10723366722</v>
      </c>
    </row>
    <row r="1324" spans="1:33" ht="11.25" customHeight="1" x14ac:dyDescent="0.25">
      <c r="A1324" s="4" t="s">
        <v>29</v>
      </c>
      <c r="B1324" s="4" t="s">
        <v>22</v>
      </c>
      <c r="C1324" s="4" t="s">
        <v>23</v>
      </c>
      <c r="D1324" s="4" t="s">
        <v>24</v>
      </c>
      <c r="E1324" s="4" t="s">
        <v>33</v>
      </c>
      <c r="F1324" s="4" t="s">
        <v>25</v>
      </c>
      <c r="G1324" s="4" t="s">
        <v>25</v>
      </c>
      <c r="H1324" s="4" t="s">
        <v>25</v>
      </c>
      <c r="I1324" s="5">
        <v>44593</v>
      </c>
      <c r="J1324" s="6">
        <v>0</v>
      </c>
      <c r="K1324" s="6">
        <v>0</v>
      </c>
      <c r="L1324" s="6">
        <v>-1.839</v>
      </c>
      <c r="M1324" s="6">
        <v>-1.839</v>
      </c>
      <c r="N1324" s="6">
        <v>-1.839</v>
      </c>
      <c r="O1324" s="6">
        <v>-1.839</v>
      </c>
      <c r="P1324" s="6">
        <v>-2</v>
      </c>
      <c r="Q1324" s="4" t="s">
        <v>26</v>
      </c>
      <c r="R1324" s="4">
        <v>0</v>
      </c>
      <c r="S1324" s="6">
        <v>0</v>
      </c>
      <c r="T1324" s="6">
        <v>42</v>
      </c>
      <c r="U1324" s="6">
        <v>86</v>
      </c>
      <c r="V1324" s="6">
        <f>IF(ISERROR(VLOOKUP($S$1324,'TAR FIN'!$A$1:$O$115,15,0)),0,VLOOKUP($S$1324,'TAR FIN'!$A$1:$O$115,15,0))</f>
        <v>0</v>
      </c>
      <c r="W1324" s="6">
        <f>IF(ISERROR(VLOOKUP($T$1324,'TAR FIN'!$A$1:$O$115,15,0)),0,VLOOKUP($T$1324,'TAR FIN'!$A$1:$O$115,15,0))</f>
        <v>363.71</v>
      </c>
      <c r="X1324" s="6">
        <f>IF(ISERROR(VLOOKUP($U$1324,'TAR FIN'!$A$1:$O$115,15,0)),0,VLOOKUP($U$1324,'TAR FIN'!$A$1:$O$115,15,0))</f>
        <v>158.91999999999999</v>
      </c>
      <c r="Y1324" s="6"/>
      <c r="Z1324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24" s="6">
        <f>('TE BE'!$AB$23+'TE BF'!$AB$23+'TE CVA'!$AB$23)*(1-CUSTOS!$M$36)</f>
        <v>207.6137769965251</v>
      </c>
      <c r="AB1324" s="6">
        <f>$K$1324*$V$1324</f>
        <v>0</v>
      </c>
      <c r="AC1324" s="6">
        <f>$M$1324*$W$1324</f>
        <v>-668.86268999999993</v>
      </c>
      <c r="AD1324" s="6">
        <f>$O$1324*$X$1324</f>
        <v>-292.25387999999998</v>
      </c>
      <c r="AE1324" s="6">
        <f>$K$1324*$Y$1324</f>
        <v>0</v>
      </c>
      <c r="AF1324" s="6">
        <f ca="1">$M$1324*$Z$1324</f>
        <v>-695.42989145172101</v>
      </c>
      <c r="AG1324" s="6">
        <f>$O$1324*$AA$1324</f>
        <v>-381.80173589660967</v>
      </c>
    </row>
    <row r="1325" spans="1:33" ht="11.25" customHeight="1" x14ac:dyDescent="0.25">
      <c r="A1325" s="4" t="s">
        <v>30</v>
      </c>
      <c r="B1325" s="4" t="s">
        <v>22</v>
      </c>
      <c r="C1325" s="4" t="s">
        <v>23</v>
      </c>
      <c r="D1325" s="4" t="s">
        <v>24</v>
      </c>
      <c r="E1325" s="4" t="s">
        <v>33</v>
      </c>
      <c r="F1325" s="4" t="s">
        <v>25</v>
      </c>
      <c r="G1325" s="4" t="s">
        <v>25</v>
      </c>
      <c r="H1325" s="4" t="s">
        <v>25</v>
      </c>
      <c r="I1325" s="5">
        <v>44593</v>
      </c>
      <c r="J1325" s="6">
        <v>0</v>
      </c>
      <c r="K1325" s="6">
        <v>0</v>
      </c>
      <c r="L1325" s="6">
        <v>1.286</v>
      </c>
      <c r="M1325" s="6">
        <v>1.286</v>
      </c>
      <c r="N1325" s="6">
        <v>1.286</v>
      </c>
      <c r="O1325" s="6">
        <v>1.286</v>
      </c>
      <c r="P1325" s="6">
        <v>5</v>
      </c>
      <c r="Q1325" s="4" t="s">
        <v>26</v>
      </c>
      <c r="R1325" s="4">
        <v>0</v>
      </c>
      <c r="S1325" s="6">
        <v>0</v>
      </c>
      <c r="T1325" s="6">
        <v>42</v>
      </c>
      <c r="U1325" s="6">
        <v>86</v>
      </c>
      <c r="V1325" s="6">
        <f>IF(ISERROR(VLOOKUP($S$1325,'TAR FIN'!$A$1:$O$115,15,0)),0,VLOOKUP($S$1325,'TAR FIN'!$A$1:$O$115,15,0))</f>
        <v>0</v>
      </c>
      <c r="W1325" s="6">
        <f>IF(ISERROR(VLOOKUP($T$1325,'TAR FIN'!$A$1:$O$115,15,0)),0,VLOOKUP($T$1325,'TAR FIN'!$A$1:$O$115,15,0))</f>
        <v>363.71</v>
      </c>
      <c r="X1325" s="6">
        <f>IF(ISERROR(VLOOKUP($U$1325,'TAR FIN'!$A$1:$O$115,15,0)),0,VLOOKUP($U$1325,'TAR FIN'!$A$1:$O$115,15,0))</f>
        <v>158.91999999999999</v>
      </c>
      <c r="Y1325" s="6"/>
      <c r="Z1325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25" s="6">
        <f>('TE BE'!$AB$23+'TE BF'!$AB$23+'TE CVA'!$AB$23)*(1-CUSTOS!$M$36)</f>
        <v>207.6137769965251</v>
      </c>
      <c r="AB1325" s="6">
        <f>$K$1325*$V$1325</f>
        <v>0</v>
      </c>
      <c r="AC1325" s="6">
        <f>$M$1325*$W$1325</f>
        <v>467.73106000000001</v>
      </c>
      <c r="AD1325" s="6">
        <f>$O$1325*$X$1325</f>
        <v>204.37111999999999</v>
      </c>
      <c r="AE1325" s="6">
        <f>$K$1325*$Y$1325</f>
        <v>0</v>
      </c>
      <c r="AF1325" s="6">
        <f ca="1">$M$1325*$Z$1325</f>
        <v>486.30932050403112</v>
      </c>
      <c r="AG1325" s="6">
        <f>$O$1325*$AA$1325</f>
        <v>266.99131721753128</v>
      </c>
    </row>
    <row r="1326" spans="1:33" ht="11.25" customHeight="1" x14ac:dyDescent="0.25">
      <c r="A1326" s="4" t="s">
        <v>30</v>
      </c>
      <c r="B1326" s="4" t="s">
        <v>22</v>
      </c>
      <c r="C1326" s="4" t="s">
        <v>23</v>
      </c>
      <c r="D1326" s="4" t="s">
        <v>24</v>
      </c>
      <c r="E1326" s="4" t="s">
        <v>33</v>
      </c>
      <c r="F1326" s="4" t="s">
        <v>25</v>
      </c>
      <c r="G1326" s="4" t="s">
        <v>25</v>
      </c>
      <c r="H1326" s="4" t="s">
        <v>25</v>
      </c>
      <c r="I1326" s="5">
        <v>44593</v>
      </c>
      <c r="J1326" s="6">
        <v>0</v>
      </c>
      <c r="K1326" s="6">
        <v>0</v>
      </c>
      <c r="L1326" s="6">
        <v>-0.12</v>
      </c>
      <c r="M1326" s="6">
        <v>-0.12</v>
      </c>
      <c r="N1326" s="6">
        <v>-0.12</v>
      </c>
      <c r="O1326" s="6">
        <v>-0.12</v>
      </c>
      <c r="P1326" s="6">
        <v>0</v>
      </c>
      <c r="Q1326" s="4" t="s">
        <v>26</v>
      </c>
      <c r="R1326" s="4">
        <v>0</v>
      </c>
      <c r="S1326" s="6">
        <v>0</v>
      </c>
      <c r="T1326" s="6">
        <v>42</v>
      </c>
      <c r="U1326" s="6">
        <v>86</v>
      </c>
      <c r="V1326" s="6">
        <f>IF(ISERROR(VLOOKUP($S$1326,'TAR FIN'!$A$1:$O$115,15,0)),0,VLOOKUP($S$1326,'TAR FIN'!$A$1:$O$115,15,0))</f>
        <v>0</v>
      </c>
      <c r="W1326" s="6">
        <f>IF(ISERROR(VLOOKUP($T$1326,'TAR FIN'!$A$1:$O$115,15,0)),0,VLOOKUP($T$1326,'TAR FIN'!$A$1:$O$115,15,0))</f>
        <v>363.71</v>
      </c>
      <c r="X1326" s="6">
        <f>IF(ISERROR(VLOOKUP($U$1326,'TAR FIN'!$A$1:$O$115,15,0)),0,VLOOKUP($U$1326,'TAR FIN'!$A$1:$O$115,15,0))</f>
        <v>158.91999999999999</v>
      </c>
      <c r="Y1326" s="6"/>
      <c r="Z1326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26" s="6">
        <f>('TE BE'!$AB$23+'TE BF'!$AB$23+'TE CVA'!$AB$23)*(1-CUSTOS!$M$36)</f>
        <v>207.6137769965251</v>
      </c>
      <c r="AB1326" s="6">
        <f>$K$1326*$V$1326</f>
        <v>0</v>
      </c>
      <c r="AC1326" s="6">
        <f>$M$1326*$W$1326</f>
        <v>-43.645199999999996</v>
      </c>
      <c r="AD1326" s="6">
        <f>$O$1326*$X$1326</f>
        <v>-19.070399999999999</v>
      </c>
      <c r="AE1326" s="6">
        <f>$K$1326*$Y$1326</f>
        <v>0</v>
      </c>
      <c r="AF1326" s="6">
        <f ca="1">$M$1326*$Z$1326</f>
        <v>-45.378785739100877</v>
      </c>
      <c r="AG1326" s="6">
        <f>$O$1326*$AA$1326</f>
        <v>-24.913653239583013</v>
      </c>
    </row>
    <row r="1327" spans="1:33" ht="11.25" customHeight="1" x14ac:dyDescent="0.25">
      <c r="A1327" s="4" t="s">
        <v>21</v>
      </c>
      <c r="B1327" s="4" t="s">
        <v>22</v>
      </c>
      <c r="C1327" s="4" t="s">
        <v>23</v>
      </c>
      <c r="D1327" s="4" t="s">
        <v>24</v>
      </c>
      <c r="E1327" s="4" t="s">
        <v>33</v>
      </c>
      <c r="F1327" s="4" t="s">
        <v>25</v>
      </c>
      <c r="G1327" s="4" t="s">
        <v>25</v>
      </c>
      <c r="H1327" s="4" t="s">
        <v>25</v>
      </c>
      <c r="I1327" s="5">
        <v>44621</v>
      </c>
      <c r="J1327" s="6">
        <v>0</v>
      </c>
      <c r="K1327" s="6">
        <v>0</v>
      </c>
      <c r="L1327" s="6">
        <v>2132.096</v>
      </c>
      <c r="M1327" s="6">
        <v>2132.096</v>
      </c>
      <c r="N1327" s="6">
        <v>2132.096</v>
      </c>
      <c r="O1327" s="6">
        <v>2132.096</v>
      </c>
      <c r="P1327" s="6">
        <v>19774</v>
      </c>
      <c r="Q1327" s="4" t="s">
        <v>26</v>
      </c>
      <c r="R1327" s="4">
        <v>0</v>
      </c>
      <c r="S1327" s="6">
        <v>0</v>
      </c>
      <c r="T1327" s="6">
        <v>42</v>
      </c>
      <c r="U1327" s="6">
        <v>86</v>
      </c>
      <c r="V1327" s="6">
        <f>IF(ISERROR(VLOOKUP($S$1327,'TAR FIN'!$A$1:$O$115,15,0)),0,VLOOKUP($S$1327,'TAR FIN'!$A$1:$O$115,15,0))</f>
        <v>0</v>
      </c>
      <c r="W1327" s="6">
        <f>IF(ISERROR(VLOOKUP($T$1327,'TAR FIN'!$A$1:$O$115,15,0)),0,VLOOKUP($T$1327,'TAR FIN'!$A$1:$O$115,15,0))</f>
        <v>363.71</v>
      </c>
      <c r="X1327" s="6">
        <f>IF(ISERROR(VLOOKUP($U$1327,'TAR FIN'!$A$1:$O$115,15,0)),0,VLOOKUP($U$1327,'TAR FIN'!$A$1:$O$115,15,0))</f>
        <v>158.91999999999999</v>
      </c>
      <c r="Y1327" s="6"/>
      <c r="Z1327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27" s="6">
        <f>('TE BE'!$AB$23+'TE BF'!$AB$23+'TE CVA'!$AB$23)*(1-CUSTOS!$M$36)</f>
        <v>207.6137769965251</v>
      </c>
      <c r="AB1327" s="6">
        <f>$K$1327*$V$1327</f>
        <v>0</v>
      </c>
      <c r="AC1327" s="6">
        <f>$M$1327*$W$1327</f>
        <v>775464.63615999999</v>
      </c>
      <c r="AD1327" s="6">
        <f>$O$1327*$X$1327</f>
        <v>338832.69631999999</v>
      </c>
      <c r="AE1327" s="6">
        <f>$K$1327*$Y$1327</f>
        <v>0</v>
      </c>
      <c r="AF1327" s="6">
        <f ca="1">$M$1327*$Z$1327</f>
        <v>806266.06299328362</v>
      </c>
      <c r="AG1327" s="6">
        <f>$O$1327*$AA$1327</f>
        <v>442652.50347918319</v>
      </c>
    </row>
    <row r="1328" spans="1:33" ht="11.25" customHeight="1" x14ac:dyDescent="0.25">
      <c r="A1328" s="4" t="s">
        <v>27</v>
      </c>
      <c r="B1328" s="4" t="s">
        <v>22</v>
      </c>
      <c r="C1328" s="4" t="s">
        <v>23</v>
      </c>
      <c r="D1328" s="4" t="s">
        <v>24</v>
      </c>
      <c r="E1328" s="4" t="s">
        <v>33</v>
      </c>
      <c r="F1328" s="4" t="s">
        <v>25</v>
      </c>
      <c r="G1328" s="4" t="s">
        <v>25</v>
      </c>
      <c r="H1328" s="4" t="s">
        <v>25</v>
      </c>
      <c r="I1328" s="5">
        <v>44621</v>
      </c>
      <c r="J1328" s="6">
        <v>0</v>
      </c>
      <c r="K1328" s="6">
        <v>0</v>
      </c>
      <c r="L1328" s="6">
        <v>-17.984000000000002</v>
      </c>
      <c r="M1328" s="6">
        <v>-17.984000000000002</v>
      </c>
      <c r="N1328" s="6">
        <v>-17.984000000000002</v>
      </c>
      <c r="O1328" s="6">
        <v>-17.984000000000002</v>
      </c>
      <c r="P1328" s="6">
        <v>-5</v>
      </c>
      <c r="Q1328" s="4" t="s">
        <v>26</v>
      </c>
      <c r="R1328" s="4">
        <v>0</v>
      </c>
      <c r="S1328" s="6">
        <v>0</v>
      </c>
      <c r="T1328" s="6">
        <v>42</v>
      </c>
      <c r="U1328" s="6">
        <v>86</v>
      </c>
      <c r="V1328" s="6">
        <f>IF(ISERROR(VLOOKUP($S$1328,'TAR FIN'!$A$1:$O$115,15,0)),0,VLOOKUP($S$1328,'TAR FIN'!$A$1:$O$115,15,0))</f>
        <v>0</v>
      </c>
      <c r="W1328" s="6">
        <f>IF(ISERROR(VLOOKUP($T$1328,'TAR FIN'!$A$1:$O$115,15,0)),0,VLOOKUP($T$1328,'TAR FIN'!$A$1:$O$115,15,0))</f>
        <v>363.71</v>
      </c>
      <c r="X1328" s="6">
        <f>IF(ISERROR(VLOOKUP($U$1328,'TAR FIN'!$A$1:$O$115,15,0)),0,VLOOKUP($U$1328,'TAR FIN'!$A$1:$O$115,15,0))</f>
        <v>158.91999999999999</v>
      </c>
      <c r="Y1328" s="6"/>
      <c r="Z1328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28" s="6">
        <f>('TE BE'!$AB$23+'TE BF'!$AB$23+'TE CVA'!$AB$23)*(1-CUSTOS!$M$36)</f>
        <v>207.6137769965251</v>
      </c>
      <c r="AB1328" s="6">
        <f>$K$1328*$V$1328</f>
        <v>0</v>
      </c>
      <c r="AC1328" s="6">
        <f>$M$1328*$W$1328</f>
        <v>-6540.9606400000002</v>
      </c>
      <c r="AD1328" s="6">
        <f>$O$1328*$X$1328</f>
        <v>-2858.01728</v>
      </c>
      <c r="AE1328" s="6">
        <f>$K$1328*$Y$1328</f>
        <v>0</v>
      </c>
      <c r="AF1328" s="6">
        <f ca="1">$M$1328*$Z$1328</f>
        <v>-6800.7673560999192</v>
      </c>
      <c r="AG1328" s="6">
        <f>$O$1328*$AA$1328</f>
        <v>-3733.7261655055077</v>
      </c>
    </row>
    <row r="1329" spans="1:33" ht="11.25" customHeight="1" x14ac:dyDescent="0.25">
      <c r="A1329" s="4" t="s">
        <v>28</v>
      </c>
      <c r="B1329" s="4" t="s">
        <v>22</v>
      </c>
      <c r="C1329" s="4" t="s">
        <v>23</v>
      </c>
      <c r="D1329" s="4" t="s">
        <v>24</v>
      </c>
      <c r="E1329" s="4" t="s">
        <v>33</v>
      </c>
      <c r="F1329" s="4" t="s">
        <v>25</v>
      </c>
      <c r="G1329" s="4" t="s">
        <v>25</v>
      </c>
      <c r="H1329" s="4" t="s">
        <v>25</v>
      </c>
      <c r="I1329" s="5">
        <v>44621</v>
      </c>
      <c r="J1329" s="6">
        <v>0</v>
      </c>
      <c r="K1329" s="6">
        <v>0</v>
      </c>
      <c r="L1329" s="6">
        <v>690.65200000000004</v>
      </c>
      <c r="M1329" s="6">
        <v>690.65200000000004</v>
      </c>
      <c r="N1329" s="6">
        <v>690.65200000000004</v>
      </c>
      <c r="O1329" s="6">
        <v>690.65200000000004</v>
      </c>
      <c r="P1329" s="6">
        <v>8988</v>
      </c>
      <c r="Q1329" s="4" t="s">
        <v>26</v>
      </c>
      <c r="R1329" s="4">
        <v>0</v>
      </c>
      <c r="S1329" s="6">
        <v>0</v>
      </c>
      <c r="T1329" s="6">
        <v>42</v>
      </c>
      <c r="U1329" s="6">
        <v>86</v>
      </c>
      <c r="V1329" s="6">
        <f>IF(ISERROR(VLOOKUP($S$1329,'TAR FIN'!$A$1:$O$115,15,0)),0,VLOOKUP($S$1329,'TAR FIN'!$A$1:$O$115,15,0))</f>
        <v>0</v>
      </c>
      <c r="W1329" s="6">
        <f>IF(ISERROR(VLOOKUP($T$1329,'TAR FIN'!$A$1:$O$115,15,0)),0,VLOOKUP($T$1329,'TAR FIN'!$A$1:$O$115,15,0))</f>
        <v>363.71</v>
      </c>
      <c r="X1329" s="6">
        <f>IF(ISERROR(VLOOKUP($U$1329,'TAR FIN'!$A$1:$O$115,15,0)),0,VLOOKUP($U$1329,'TAR FIN'!$A$1:$O$115,15,0))</f>
        <v>158.91999999999999</v>
      </c>
      <c r="Y1329" s="6"/>
      <c r="Z1329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29" s="6">
        <f>('TE BE'!$AB$23+'TE BF'!$AB$23+'TE CVA'!$AB$23)*(1-CUSTOS!$M$36)</f>
        <v>207.6137769965251</v>
      </c>
      <c r="AB1329" s="6">
        <f>$K$1329*$V$1329</f>
        <v>0</v>
      </c>
      <c r="AC1329" s="6">
        <f>$M$1329*$W$1329</f>
        <v>251197.03891999999</v>
      </c>
      <c r="AD1329" s="6">
        <f>$O$1329*$X$1329</f>
        <v>109758.41584</v>
      </c>
      <c r="AE1329" s="6">
        <f>$K$1329*$Y$1329</f>
        <v>0</v>
      </c>
      <c r="AF1329" s="6">
        <f ca="1">$M$1329*$Z$1329</f>
        <v>261174.57606901252</v>
      </c>
      <c r="AG1329" s="6">
        <f>$O$1329*$AA$1329</f>
        <v>143388.87031020407</v>
      </c>
    </row>
    <row r="1330" spans="1:33" ht="11.25" customHeight="1" x14ac:dyDescent="0.25">
      <c r="A1330" s="4" t="s">
        <v>29</v>
      </c>
      <c r="B1330" s="4" t="s">
        <v>22</v>
      </c>
      <c r="C1330" s="4" t="s">
        <v>23</v>
      </c>
      <c r="D1330" s="4" t="s">
        <v>24</v>
      </c>
      <c r="E1330" s="4" t="s">
        <v>33</v>
      </c>
      <c r="F1330" s="4" t="s">
        <v>25</v>
      </c>
      <c r="G1330" s="4" t="s">
        <v>25</v>
      </c>
      <c r="H1330" s="4" t="s">
        <v>25</v>
      </c>
      <c r="I1330" s="5">
        <v>44621</v>
      </c>
      <c r="J1330" s="6">
        <v>0</v>
      </c>
      <c r="K1330" s="6">
        <v>0</v>
      </c>
      <c r="L1330" s="6">
        <v>-1.0860000000000001</v>
      </c>
      <c r="M1330" s="6">
        <v>-1.0860000000000001</v>
      </c>
      <c r="N1330" s="6">
        <v>-1.0860000000000001</v>
      </c>
      <c r="O1330" s="6">
        <v>-1.0860000000000001</v>
      </c>
      <c r="P1330" s="6">
        <v>-14</v>
      </c>
      <c r="Q1330" s="4" t="s">
        <v>26</v>
      </c>
      <c r="R1330" s="4">
        <v>0</v>
      </c>
      <c r="S1330" s="6">
        <v>0</v>
      </c>
      <c r="T1330" s="6">
        <v>42</v>
      </c>
      <c r="U1330" s="6">
        <v>86</v>
      </c>
      <c r="V1330" s="6">
        <f>IF(ISERROR(VLOOKUP($S$1330,'TAR FIN'!$A$1:$O$115,15,0)),0,VLOOKUP($S$1330,'TAR FIN'!$A$1:$O$115,15,0))</f>
        <v>0</v>
      </c>
      <c r="W1330" s="6">
        <f>IF(ISERROR(VLOOKUP($T$1330,'TAR FIN'!$A$1:$O$115,15,0)),0,VLOOKUP($T$1330,'TAR FIN'!$A$1:$O$115,15,0))</f>
        <v>363.71</v>
      </c>
      <c r="X1330" s="6">
        <f>IF(ISERROR(VLOOKUP($U$1330,'TAR FIN'!$A$1:$O$115,15,0)),0,VLOOKUP($U$1330,'TAR FIN'!$A$1:$O$115,15,0))</f>
        <v>158.91999999999999</v>
      </c>
      <c r="Y1330" s="6"/>
      <c r="Z1330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30" s="6">
        <f>('TE BE'!$AB$23+'TE BF'!$AB$23+'TE CVA'!$AB$23)*(1-CUSTOS!$M$36)</f>
        <v>207.6137769965251</v>
      </c>
      <c r="AB1330" s="6">
        <f>$K$1330*$V$1330</f>
        <v>0</v>
      </c>
      <c r="AC1330" s="6">
        <f>$M$1330*$W$1330</f>
        <v>-394.98905999999999</v>
      </c>
      <c r="AD1330" s="6">
        <f>$O$1330*$X$1330</f>
        <v>-172.58712</v>
      </c>
      <c r="AE1330" s="6">
        <f>$K$1330*$Y$1330</f>
        <v>0</v>
      </c>
      <c r="AF1330" s="6">
        <f ca="1">$M$1330*$Z$1330</f>
        <v>-410.678010938863</v>
      </c>
      <c r="AG1330" s="6">
        <f>$O$1330*$AA$1330</f>
        <v>-225.46856181822628</v>
      </c>
    </row>
    <row r="1331" spans="1:33" ht="11.25" customHeight="1" x14ac:dyDescent="0.25">
      <c r="A1331" s="4" t="s">
        <v>30</v>
      </c>
      <c r="B1331" s="4" t="s">
        <v>22</v>
      </c>
      <c r="C1331" s="4" t="s">
        <v>23</v>
      </c>
      <c r="D1331" s="4" t="s">
        <v>24</v>
      </c>
      <c r="E1331" s="4" t="s">
        <v>33</v>
      </c>
      <c r="F1331" s="4" t="s">
        <v>25</v>
      </c>
      <c r="G1331" s="4" t="s">
        <v>25</v>
      </c>
      <c r="H1331" s="4" t="s">
        <v>25</v>
      </c>
      <c r="I1331" s="5">
        <v>44621</v>
      </c>
      <c r="J1331" s="6">
        <v>0</v>
      </c>
      <c r="K1331" s="6">
        <v>0</v>
      </c>
      <c r="L1331" s="6">
        <v>1.1200000000000001</v>
      </c>
      <c r="M1331" s="6">
        <v>1.1200000000000001</v>
      </c>
      <c r="N1331" s="6">
        <v>1.1200000000000001</v>
      </c>
      <c r="O1331" s="6">
        <v>1.1200000000000001</v>
      </c>
      <c r="P1331" s="6">
        <v>5</v>
      </c>
      <c r="Q1331" s="4" t="s">
        <v>26</v>
      </c>
      <c r="R1331" s="4">
        <v>0</v>
      </c>
      <c r="S1331" s="6">
        <v>0</v>
      </c>
      <c r="T1331" s="6">
        <v>42</v>
      </c>
      <c r="U1331" s="6">
        <v>86</v>
      </c>
      <c r="V1331" s="6">
        <f>IF(ISERROR(VLOOKUP($S$1331,'TAR FIN'!$A$1:$O$115,15,0)),0,VLOOKUP($S$1331,'TAR FIN'!$A$1:$O$115,15,0))</f>
        <v>0</v>
      </c>
      <c r="W1331" s="6">
        <f>IF(ISERROR(VLOOKUP($T$1331,'TAR FIN'!$A$1:$O$115,15,0)),0,VLOOKUP($T$1331,'TAR FIN'!$A$1:$O$115,15,0))</f>
        <v>363.71</v>
      </c>
      <c r="X1331" s="6">
        <f>IF(ISERROR(VLOOKUP($U$1331,'TAR FIN'!$A$1:$O$115,15,0)),0,VLOOKUP($U$1331,'TAR FIN'!$A$1:$O$115,15,0))</f>
        <v>158.91999999999999</v>
      </c>
      <c r="Y1331" s="6"/>
      <c r="Z1331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31" s="6">
        <f>('TE BE'!$AB$23+'TE BF'!$AB$23+'TE CVA'!$AB$23)*(1-CUSTOS!$M$36)</f>
        <v>207.6137769965251</v>
      </c>
      <c r="AB1331" s="6">
        <f>$K$1331*$V$1331</f>
        <v>0</v>
      </c>
      <c r="AC1331" s="6">
        <f>$M$1331*$W$1331</f>
        <v>407.35520000000002</v>
      </c>
      <c r="AD1331" s="6">
        <f>$O$1331*$X$1331</f>
        <v>177.99039999999999</v>
      </c>
      <c r="AE1331" s="6">
        <f>$K$1331*$Y$1331</f>
        <v>0</v>
      </c>
      <c r="AF1331" s="6">
        <f ca="1">$M$1331*$Z$1331</f>
        <v>423.5353335649416</v>
      </c>
      <c r="AG1331" s="6">
        <f>$O$1331*$AA$1331</f>
        <v>232.52743023610813</v>
      </c>
    </row>
    <row r="1332" spans="1:33" ht="11.25" customHeight="1" x14ac:dyDescent="0.25">
      <c r="A1332" s="4" t="s">
        <v>21</v>
      </c>
      <c r="B1332" s="4" t="s">
        <v>22</v>
      </c>
      <c r="C1332" s="4" t="s">
        <v>23</v>
      </c>
      <c r="D1332" s="4" t="s">
        <v>24</v>
      </c>
      <c r="E1332" s="4" t="s">
        <v>33</v>
      </c>
      <c r="F1332" s="4" t="s">
        <v>25</v>
      </c>
      <c r="G1332" s="4" t="s">
        <v>25</v>
      </c>
      <c r="H1332" s="4" t="s">
        <v>25</v>
      </c>
      <c r="I1332" s="5">
        <v>44652</v>
      </c>
      <c r="J1332" s="6">
        <v>0</v>
      </c>
      <c r="K1332" s="6">
        <v>0</v>
      </c>
      <c r="L1332" s="6">
        <v>2202.0889999999999</v>
      </c>
      <c r="M1332" s="6">
        <v>2202.0889999999999</v>
      </c>
      <c r="N1332" s="6">
        <v>2202.0889999999999</v>
      </c>
      <c r="O1332" s="6">
        <v>2202.0889999999999</v>
      </c>
      <c r="P1332" s="6">
        <v>20561</v>
      </c>
      <c r="Q1332" s="4" t="s">
        <v>26</v>
      </c>
      <c r="R1332" s="4">
        <v>0</v>
      </c>
      <c r="S1332" s="6">
        <v>0</v>
      </c>
      <c r="T1332" s="6">
        <v>42</v>
      </c>
      <c r="U1332" s="6">
        <v>86</v>
      </c>
      <c r="V1332" s="6">
        <f>IF(ISERROR(VLOOKUP($S$1332,'TAR FIN'!$A$1:$O$115,15,0)),0,VLOOKUP($S$1332,'TAR FIN'!$A$1:$O$115,15,0))</f>
        <v>0</v>
      </c>
      <c r="W1332" s="6">
        <f>IF(ISERROR(VLOOKUP($T$1332,'TAR FIN'!$A$1:$O$115,15,0)),0,VLOOKUP($T$1332,'TAR FIN'!$A$1:$O$115,15,0))</f>
        <v>363.71</v>
      </c>
      <c r="X1332" s="6">
        <f>IF(ISERROR(VLOOKUP($U$1332,'TAR FIN'!$A$1:$O$115,15,0)),0,VLOOKUP($U$1332,'TAR FIN'!$A$1:$O$115,15,0))</f>
        <v>158.91999999999999</v>
      </c>
      <c r="Y1332" s="6"/>
      <c r="Z1332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32" s="6">
        <f>('TE BE'!$AB$23+'TE BF'!$AB$23+'TE CVA'!$AB$23)*(1-CUSTOS!$M$36)</f>
        <v>207.6137769965251</v>
      </c>
      <c r="AB1332" s="6">
        <f>$K$1332*$V$1332</f>
        <v>0</v>
      </c>
      <c r="AC1332" s="6">
        <f>$M$1332*$W$1332</f>
        <v>800921.79018999997</v>
      </c>
      <c r="AD1332" s="6">
        <f>$O$1332*$X$1332</f>
        <v>349955.98387999996</v>
      </c>
      <c r="AE1332" s="6">
        <f>$K$1332*$Y$1332</f>
        <v>0</v>
      </c>
      <c r="AF1332" s="6">
        <f ca="1">$M$1332*$Z$1332</f>
        <v>832734.3742452577</v>
      </c>
      <c r="AG1332" s="6">
        <f>$O$1332*$AA$1332</f>
        <v>457184.01457250095</v>
      </c>
    </row>
    <row r="1333" spans="1:33" ht="11.25" customHeight="1" x14ac:dyDescent="0.25">
      <c r="A1333" s="4" t="s">
        <v>27</v>
      </c>
      <c r="B1333" s="4" t="s">
        <v>22</v>
      </c>
      <c r="C1333" s="4" t="s">
        <v>23</v>
      </c>
      <c r="D1333" s="4" t="s">
        <v>24</v>
      </c>
      <c r="E1333" s="4" t="s">
        <v>33</v>
      </c>
      <c r="F1333" s="4" t="s">
        <v>25</v>
      </c>
      <c r="G1333" s="4" t="s">
        <v>25</v>
      </c>
      <c r="H1333" s="4" t="s">
        <v>25</v>
      </c>
      <c r="I1333" s="5">
        <v>44652</v>
      </c>
      <c r="J1333" s="6">
        <v>0</v>
      </c>
      <c r="K1333" s="6">
        <v>0</v>
      </c>
      <c r="L1333" s="6">
        <v>-10.914999999999999</v>
      </c>
      <c r="M1333" s="6">
        <v>-10.914999999999999</v>
      </c>
      <c r="N1333" s="6">
        <v>-10.914999999999999</v>
      </c>
      <c r="O1333" s="6">
        <v>-10.914999999999999</v>
      </c>
      <c r="P1333" s="6">
        <v>-7</v>
      </c>
      <c r="Q1333" s="4" t="s">
        <v>26</v>
      </c>
      <c r="R1333" s="4">
        <v>0</v>
      </c>
      <c r="S1333" s="6">
        <v>0</v>
      </c>
      <c r="T1333" s="6">
        <v>42</v>
      </c>
      <c r="U1333" s="6">
        <v>86</v>
      </c>
      <c r="V1333" s="6">
        <f>IF(ISERROR(VLOOKUP($S$1333,'TAR FIN'!$A$1:$O$115,15,0)),0,VLOOKUP($S$1333,'TAR FIN'!$A$1:$O$115,15,0))</f>
        <v>0</v>
      </c>
      <c r="W1333" s="6">
        <f>IF(ISERROR(VLOOKUP($T$1333,'TAR FIN'!$A$1:$O$115,15,0)),0,VLOOKUP($T$1333,'TAR FIN'!$A$1:$O$115,15,0))</f>
        <v>363.71</v>
      </c>
      <c r="X1333" s="6">
        <f>IF(ISERROR(VLOOKUP($U$1333,'TAR FIN'!$A$1:$O$115,15,0)),0,VLOOKUP($U$1333,'TAR FIN'!$A$1:$O$115,15,0))</f>
        <v>158.91999999999999</v>
      </c>
      <c r="Y1333" s="6"/>
      <c r="Z1333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33" s="6">
        <f>('TE BE'!$AB$23+'TE BF'!$AB$23+'TE CVA'!$AB$23)*(1-CUSTOS!$M$36)</f>
        <v>207.6137769965251</v>
      </c>
      <c r="AB1333" s="6">
        <f>$K$1333*$V$1333</f>
        <v>0</v>
      </c>
      <c r="AC1333" s="6">
        <f>$M$1333*$W$1333</f>
        <v>-3969.8946499999993</v>
      </c>
      <c r="AD1333" s="6">
        <f>$O$1333*$X$1333</f>
        <v>-1734.6117999999997</v>
      </c>
      <c r="AE1333" s="6">
        <f>$K$1333*$Y$1333</f>
        <v>0</v>
      </c>
      <c r="AF1333" s="6">
        <f ca="1">$M$1333*$Z$1333</f>
        <v>-4127.5787195190505</v>
      </c>
      <c r="AG1333" s="6">
        <f>$O$1333*$AA$1333</f>
        <v>-2266.1043759170711</v>
      </c>
    </row>
    <row r="1334" spans="1:33" ht="11.25" customHeight="1" x14ac:dyDescent="0.25">
      <c r="A1334" s="4" t="s">
        <v>28</v>
      </c>
      <c r="B1334" s="4" t="s">
        <v>22</v>
      </c>
      <c r="C1334" s="4" t="s">
        <v>23</v>
      </c>
      <c r="D1334" s="4" t="s">
        <v>24</v>
      </c>
      <c r="E1334" s="4" t="s">
        <v>33</v>
      </c>
      <c r="F1334" s="4" t="s">
        <v>25</v>
      </c>
      <c r="G1334" s="4" t="s">
        <v>25</v>
      </c>
      <c r="H1334" s="4" t="s">
        <v>25</v>
      </c>
      <c r="I1334" s="5">
        <v>44652</v>
      </c>
      <c r="J1334" s="6">
        <v>0</v>
      </c>
      <c r="K1334" s="6">
        <v>0</v>
      </c>
      <c r="L1334" s="6">
        <v>715.89200000000005</v>
      </c>
      <c r="M1334" s="6">
        <v>715.89200000000005</v>
      </c>
      <c r="N1334" s="6">
        <v>715.89200000000005</v>
      </c>
      <c r="O1334" s="6">
        <v>715.89200000000005</v>
      </c>
      <c r="P1334" s="6">
        <v>9310</v>
      </c>
      <c r="Q1334" s="4" t="s">
        <v>26</v>
      </c>
      <c r="R1334" s="4">
        <v>0</v>
      </c>
      <c r="S1334" s="6">
        <v>0</v>
      </c>
      <c r="T1334" s="6">
        <v>42</v>
      </c>
      <c r="U1334" s="6">
        <v>86</v>
      </c>
      <c r="V1334" s="6">
        <f>IF(ISERROR(VLOOKUP($S$1334,'TAR FIN'!$A$1:$O$115,15,0)),0,VLOOKUP($S$1334,'TAR FIN'!$A$1:$O$115,15,0))</f>
        <v>0</v>
      </c>
      <c r="W1334" s="6">
        <f>IF(ISERROR(VLOOKUP($T$1334,'TAR FIN'!$A$1:$O$115,15,0)),0,VLOOKUP($T$1334,'TAR FIN'!$A$1:$O$115,15,0))</f>
        <v>363.71</v>
      </c>
      <c r="X1334" s="6">
        <f>IF(ISERROR(VLOOKUP($U$1334,'TAR FIN'!$A$1:$O$115,15,0)),0,VLOOKUP($U$1334,'TAR FIN'!$A$1:$O$115,15,0))</f>
        <v>158.91999999999999</v>
      </c>
      <c r="Y1334" s="6"/>
      <c r="Z1334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34" s="6">
        <f>('TE BE'!$AB$23+'TE BF'!$AB$23+'TE CVA'!$AB$23)*(1-CUSTOS!$M$36)</f>
        <v>207.6137769965251</v>
      </c>
      <c r="AB1334" s="6">
        <f>$K$1334*$V$1334</f>
        <v>0</v>
      </c>
      <c r="AC1334" s="6">
        <f>$M$1334*$W$1334</f>
        <v>260377.07932000002</v>
      </c>
      <c r="AD1334" s="6">
        <f>$O$1334*$X$1334</f>
        <v>113769.55664</v>
      </c>
      <c r="AE1334" s="6">
        <f>$K$1334*$Y$1334</f>
        <v>0</v>
      </c>
      <c r="AF1334" s="6">
        <f ca="1">$M$1334*$Z$1334</f>
        <v>270719.24733613676</v>
      </c>
      <c r="AG1334" s="6">
        <f>$O$1334*$AA$1334</f>
        <v>148629.04204159637</v>
      </c>
    </row>
    <row r="1335" spans="1:33" ht="11.25" customHeight="1" x14ac:dyDescent="0.25">
      <c r="A1335" s="4" t="s">
        <v>29</v>
      </c>
      <c r="B1335" s="4" t="s">
        <v>22</v>
      </c>
      <c r="C1335" s="4" t="s">
        <v>23</v>
      </c>
      <c r="D1335" s="4" t="s">
        <v>24</v>
      </c>
      <c r="E1335" s="4" t="s">
        <v>33</v>
      </c>
      <c r="F1335" s="4" t="s">
        <v>25</v>
      </c>
      <c r="G1335" s="4" t="s">
        <v>25</v>
      </c>
      <c r="H1335" s="4" t="s">
        <v>25</v>
      </c>
      <c r="I1335" s="5">
        <v>44652</v>
      </c>
      <c r="J1335" s="6">
        <v>0</v>
      </c>
      <c r="K1335" s="6">
        <v>0</v>
      </c>
      <c r="L1335" s="6">
        <v>-1.1240000000000001</v>
      </c>
      <c r="M1335" s="6">
        <v>-1.1240000000000001</v>
      </c>
      <c r="N1335" s="6">
        <v>-1.1240000000000001</v>
      </c>
      <c r="O1335" s="6">
        <v>-1.1240000000000001</v>
      </c>
      <c r="P1335" s="6">
        <v>-42</v>
      </c>
      <c r="Q1335" s="4" t="s">
        <v>26</v>
      </c>
      <c r="R1335" s="4">
        <v>0</v>
      </c>
      <c r="S1335" s="6">
        <v>0</v>
      </c>
      <c r="T1335" s="6">
        <v>42</v>
      </c>
      <c r="U1335" s="6">
        <v>86</v>
      </c>
      <c r="V1335" s="6">
        <f>IF(ISERROR(VLOOKUP($S$1335,'TAR FIN'!$A$1:$O$115,15,0)),0,VLOOKUP($S$1335,'TAR FIN'!$A$1:$O$115,15,0))</f>
        <v>0</v>
      </c>
      <c r="W1335" s="6">
        <f>IF(ISERROR(VLOOKUP($T$1335,'TAR FIN'!$A$1:$O$115,15,0)),0,VLOOKUP($T$1335,'TAR FIN'!$A$1:$O$115,15,0))</f>
        <v>363.71</v>
      </c>
      <c r="X1335" s="6">
        <f>IF(ISERROR(VLOOKUP($U$1335,'TAR FIN'!$A$1:$O$115,15,0)),0,VLOOKUP($U$1335,'TAR FIN'!$A$1:$O$115,15,0))</f>
        <v>158.91999999999999</v>
      </c>
      <c r="Y1335" s="6"/>
      <c r="Z1335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35" s="6">
        <f>('TE BE'!$AB$23+'TE BF'!$AB$23+'TE CVA'!$AB$23)*(1-CUSTOS!$M$36)</f>
        <v>207.6137769965251</v>
      </c>
      <c r="AB1335" s="6">
        <f>$K$1335*$V$1335</f>
        <v>0</v>
      </c>
      <c r="AC1335" s="6">
        <f>$M$1335*$W$1335</f>
        <v>-408.81004000000001</v>
      </c>
      <c r="AD1335" s="6">
        <f>$O$1335*$X$1335</f>
        <v>-178.62608</v>
      </c>
      <c r="AE1335" s="6">
        <f>$K$1335*$Y$1335</f>
        <v>0</v>
      </c>
      <c r="AF1335" s="6">
        <f ca="1">$M$1335*$Z$1335</f>
        <v>-425.04795975624495</v>
      </c>
      <c r="AG1335" s="6">
        <f>$O$1335*$AA$1335</f>
        <v>-233.35788534409423</v>
      </c>
    </row>
    <row r="1336" spans="1:33" ht="11.25" customHeight="1" x14ac:dyDescent="0.25">
      <c r="A1336" s="4" t="s">
        <v>30</v>
      </c>
      <c r="B1336" s="4" t="s">
        <v>22</v>
      </c>
      <c r="C1336" s="4" t="s">
        <v>23</v>
      </c>
      <c r="D1336" s="4" t="s">
        <v>24</v>
      </c>
      <c r="E1336" s="4" t="s">
        <v>33</v>
      </c>
      <c r="F1336" s="4" t="s">
        <v>25</v>
      </c>
      <c r="G1336" s="4" t="s">
        <v>25</v>
      </c>
      <c r="H1336" s="4" t="s">
        <v>25</v>
      </c>
      <c r="I1336" s="5">
        <v>44652</v>
      </c>
      <c r="J1336" s="6">
        <v>0</v>
      </c>
      <c r="K1336" s="6">
        <v>0</v>
      </c>
      <c r="L1336" s="6">
        <v>1.546</v>
      </c>
      <c r="M1336" s="6">
        <v>1.546</v>
      </c>
      <c r="N1336" s="6">
        <v>1.546</v>
      </c>
      <c r="O1336" s="6">
        <v>1.546</v>
      </c>
      <c r="P1336" s="6">
        <v>7</v>
      </c>
      <c r="Q1336" s="4" t="s">
        <v>26</v>
      </c>
      <c r="R1336" s="4">
        <v>0</v>
      </c>
      <c r="S1336" s="6">
        <v>0</v>
      </c>
      <c r="T1336" s="6">
        <v>42</v>
      </c>
      <c r="U1336" s="6">
        <v>86</v>
      </c>
      <c r="V1336" s="6">
        <f>IF(ISERROR(VLOOKUP($S$1336,'TAR FIN'!$A$1:$O$115,15,0)),0,VLOOKUP($S$1336,'TAR FIN'!$A$1:$O$115,15,0))</f>
        <v>0</v>
      </c>
      <c r="W1336" s="6">
        <f>IF(ISERROR(VLOOKUP($T$1336,'TAR FIN'!$A$1:$O$115,15,0)),0,VLOOKUP($T$1336,'TAR FIN'!$A$1:$O$115,15,0))</f>
        <v>363.71</v>
      </c>
      <c r="X1336" s="6">
        <f>IF(ISERROR(VLOOKUP($U$1336,'TAR FIN'!$A$1:$O$115,15,0)),0,VLOOKUP($U$1336,'TAR FIN'!$A$1:$O$115,15,0))</f>
        <v>158.91999999999999</v>
      </c>
      <c r="Y1336" s="6"/>
      <c r="Z1336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36" s="6">
        <f>('TE BE'!$AB$23+'TE BF'!$AB$23+'TE CVA'!$AB$23)*(1-CUSTOS!$M$36)</f>
        <v>207.6137769965251</v>
      </c>
      <c r="AB1336" s="6">
        <f>$K$1336*$V$1336</f>
        <v>0</v>
      </c>
      <c r="AC1336" s="6">
        <f>$M$1336*$W$1336</f>
        <v>562.29566</v>
      </c>
      <c r="AD1336" s="6">
        <f>$O$1336*$X$1336</f>
        <v>245.69031999999999</v>
      </c>
      <c r="AE1336" s="6">
        <f>$K$1336*$Y$1336</f>
        <v>0</v>
      </c>
      <c r="AF1336" s="6">
        <f ca="1">$M$1336*$Z$1336</f>
        <v>584.63002293874968</v>
      </c>
      <c r="AG1336" s="6">
        <f>$O$1336*$AA$1336</f>
        <v>320.97089923662782</v>
      </c>
    </row>
    <row r="1337" spans="1:33" ht="11.25" customHeight="1" x14ac:dyDescent="0.25">
      <c r="A1337" s="4" t="s">
        <v>21</v>
      </c>
      <c r="B1337" s="4" t="s">
        <v>22</v>
      </c>
      <c r="C1337" s="4" t="s">
        <v>23</v>
      </c>
      <c r="D1337" s="4" t="s">
        <v>24</v>
      </c>
      <c r="E1337" s="4" t="s">
        <v>33</v>
      </c>
      <c r="F1337" s="4" t="s">
        <v>25</v>
      </c>
      <c r="G1337" s="4" t="s">
        <v>25</v>
      </c>
      <c r="H1337" s="4" t="s">
        <v>25</v>
      </c>
      <c r="I1337" s="5">
        <v>44682</v>
      </c>
      <c r="J1337" s="6">
        <v>0</v>
      </c>
      <c r="K1337" s="6">
        <v>0</v>
      </c>
      <c r="L1337" s="6">
        <v>2136.712</v>
      </c>
      <c r="M1337" s="6">
        <v>2136.712</v>
      </c>
      <c r="N1337" s="6">
        <v>2136.712</v>
      </c>
      <c r="O1337" s="6">
        <v>2136.712</v>
      </c>
      <c r="P1337" s="6">
        <v>19961</v>
      </c>
      <c r="Q1337" s="4" t="s">
        <v>26</v>
      </c>
      <c r="R1337" s="4">
        <v>0</v>
      </c>
      <c r="S1337" s="6">
        <v>0</v>
      </c>
      <c r="T1337" s="6">
        <v>42</v>
      </c>
      <c r="U1337" s="6">
        <v>86</v>
      </c>
      <c r="V1337" s="6">
        <f>IF(ISERROR(VLOOKUP($S$1337,'TAR FIN'!$A$1:$O$115,15,0)),0,VLOOKUP($S$1337,'TAR FIN'!$A$1:$O$115,15,0))</f>
        <v>0</v>
      </c>
      <c r="W1337" s="6">
        <f>IF(ISERROR(VLOOKUP($T$1337,'TAR FIN'!$A$1:$O$115,15,0)),0,VLOOKUP($T$1337,'TAR FIN'!$A$1:$O$115,15,0))</f>
        <v>363.71</v>
      </c>
      <c r="X1337" s="6">
        <f>IF(ISERROR(VLOOKUP($U$1337,'TAR FIN'!$A$1:$O$115,15,0)),0,VLOOKUP($U$1337,'TAR FIN'!$A$1:$O$115,15,0))</f>
        <v>158.91999999999999</v>
      </c>
      <c r="Y1337" s="6"/>
      <c r="Z1337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37" s="6">
        <f>('TE BE'!$AB$23+'TE BF'!$AB$23+'TE CVA'!$AB$23)*(1-CUSTOS!$M$36)</f>
        <v>207.6137769965251</v>
      </c>
      <c r="AB1337" s="6">
        <f>$K$1337*$V$1337</f>
        <v>0</v>
      </c>
      <c r="AC1337" s="6">
        <f>$M$1337*$W$1337</f>
        <v>777143.52151999995</v>
      </c>
      <c r="AD1337" s="6">
        <f>$O$1337*$X$1337</f>
        <v>339566.27103999996</v>
      </c>
      <c r="AE1337" s="6">
        <f>$K$1337*$Y$1337</f>
        <v>0</v>
      </c>
      <c r="AF1337" s="6">
        <f ca="1">$M$1337*$Z$1337</f>
        <v>808011.63361804769</v>
      </c>
      <c r="AG1337" s="6">
        <f>$O$1337*$AA$1337</f>
        <v>443610.84867379913</v>
      </c>
    </row>
    <row r="1338" spans="1:33" ht="11.25" customHeight="1" x14ac:dyDescent="0.25">
      <c r="A1338" s="4" t="s">
        <v>27</v>
      </c>
      <c r="B1338" s="4" t="s">
        <v>22</v>
      </c>
      <c r="C1338" s="4" t="s">
        <v>23</v>
      </c>
      <c r="D1338" s="4" t="s">
        <v>24</v>
      </c>
      <c r="E1338" s="4" t="s">
        <v>33</v>
      </c>
      <c r="F1338" s="4" t="s">
        <v>25</v>
      </c>
      <c r="G1338" s="4" t="s">
        <v>25</v>
      </c>
      <c r="H1338" s="4" t="s">
        <v>25</v>
      </c>
      <c r="I1338" s="5">
        <v>44682</v>
      </c>
      <c r="J1338" s="6">
        <v>0</v>
      </c>
      <c r="K1338" s="6">
        <v>0</v>
      </c>
      <c r="L1338" s="6">
        <v>-11.265000000000001</v>
      </c>
      <c r="M1338" s="6">
        <v>-11.265000000000001</v>
      </c>
      <c r="N1338" s="6">
        <v>-11.265000000000001</v>
      </c>
      <c r="O1338" s="6">
        <v>-11.265000000000001</v>
      </c>
      <c r="P1338" s="6">
        <v>-6</v>
      </c>
      <c r="Q1338" s="4" t="s">
        <v>26</v>
      </c>
      <c r="R1338" s="4">
        <v>0</v>
      </c>
      <c r="S1338" s="6">
        <v>0</v>
      </c>
      <c r="T1338" s="6">
        <v>42</v>
      </c>
      <c r="U1338" s="6">
        <v>86</v>
      </c>
      <c r="V1338" s="6">
        <f>IF(ISERROR(VLOOKUP($S$1338,'TAR FIN'!$A$1:$O$115,15,0)),0,VLOOKUP($S$1338,'TAR FIN'!$A$1:$O$115,15,0))</f>
        <v>0</v>
      </c>
      <c r="W1338" s="6">
        <f>IF(ISERROR(VLOOKUP($T$1338,'TAR FIN'!$A$1:$O$115,15,0)),0,VLOOKUP($T$1338,'TAR FIN'!$A$1:$O$115,15,0))</f>
        <v>363.71</v>
      </c>
      <c r="X1338" s="6">
        <f>IF(ISERROR(VLOOKUP($U$1338,'TAR FIN'!$A$1:$O$115,15,0)),0,VLOOKUP($U$1338,'TAR FIN'!$A$1:$O$115,15,0))</f>
        <v>158.91999999999999</v>
      </c>
      <c r="Y1338" s="6"/>
      <c r="Z1338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38" s="6">
        <f>('TE BE'!$AB$23+'TE BF'!$AB$23+'TE CVA'!$AB$23)*(1-CUSTOS!$M$36)</f>
        <v>207.6137769965251</v>
      </c>
      <c r="AB1338" s="6">
        <f>$K$1338*$V$1338</f>
        <v>0</v>
      </c>
      <c r="AC1338" s="6">
        <f>$M$1338*$W$1338</f>
        <v>-4097.1931500000001</v>
      </c>
      <c r="AD1338" s="6">
        <f>$O$1338*$X$1338</f>
        <v>-1790.2338</v>
      </c>
      <c r="AE1338" s="6">
        <f>$K$1338*$Y$1338</f>
        <v>0</v>
      </c>
      <c r="AF1338" s="6">
        <f ca="1">$M$1338*$Z$1338</f>
        <v>-4259.9335112580957</v>
      </c>
      <c r="AG1338" s="6">
        <f>$O$1338*$AA$1338</f>
        <v>-2338.7691978658554</v>
      </c>
    </row>
    <row r="1339" spans="1:33" ht="11.25" customHeight="1" x14ac:dyDescent="0.25">
      <c r="A1339" s="4" t="s">
        <v>28</v>
      </c>
      <c r="B1339" s="4" t="s">
        <v>22</v>
      </c>
      <c r="C1339" s="4" t="s">
        <v>23</v>
      </c>
      <c r="D1339" s="4" t="s">
        <v>24</v>
      </c>
      <c r="E1339" s="4" t="s">
        <v>33</v>
      </c>
      <c r="F1339" s="4" t="s">
        <v>25</v>
      </c>
      <c r="G1339" s="4" t="s">
        <v>25</v>
      </c>
      <c r="H1339" s="4" t="s">
        <v>25</v>
      </c>
      <c r="I1339" s="5">
        <v>44682</v>
      </c>
      <c r="J1339" s="6">
        <v>0</v>
      </c>
      <c r="K1339" s="6">
        <v>0</v>
      </c>
      <c r="L1339" s="6">
        <v>669.12400000000002</v>
      </c>
      <c r="M1339" s="6">
        <v>669.12400000000002</v>
      </c>
      <c r="N1339" s="6">
        <v>669.12400000000002</v>
      </c>
      <c r="O1339" s="6">
        <v>669.12400000000002</v>
      </c>
      <c r="P1339" s="6">
        <v>8927</v>
      </c>
      <c r="Q1339" s="4" t="s">
        <v>26</v>
      </c>
      <c r="R1339" s="4">
        <v>0</v>
      </c>
      <c r="S1339" s="6">
        <v>0</v>
      </c>
      <c r="T1339" s="6">
        <v>42</v>
      </c>
      <c r="U1339" s="6">
        <v>86</v>
      </c>
      <c r="V1339" s="6">
        <f>IF(ISERROR(VLOOKUP($S$1339,'TAR FIN'!$A$1:$O$115,15,0)),0,VLOOKUP($S$1339,'TAR FIN'!$A$1:$O$115,15,0))</f>
        <v>0</v>
      </c>
      <c r="W1339" s="6">
        <f>IF(ISERROR(VLOOKUP($T$1339,'TAR FIN'!$A$1:$O$115,15,0)),0,VLOOKUP($T$1339,'TAR FIN'!$A$1:$O$115,15,0))</f>
        <v>363.71</v>
      </c>
      <c r="X1339" s="6">
        <f>IF(ISERROR(VLOOKUP($U$1339,'TAR FIN'!$A$1:$O$115,15,0)),0,VLOOKUP($U$1339,'TAR FIN'!$A$1:$O$115,15,0))</f>
        <v>158.91999999999999</v>
      </c>
      <c r="Y1339" s="6"/>
      <c r="Z1339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39" s="6">
        <f>('TE BE'!$AB$23+'TE BF'!$AB$23+'TE CVA'!$AB$23)*(1-CUSTOS!$M$36)</f>
        <v>207.6137769965251</v>
      </c>
      <c r="AB1339" s="6">
        <f>$K$1339*$V$1339</f>
        <v>0</v>
      </c>
      <c r="AC1339" s="6">
        <f>$M$1339*$W$1339</f>
        <v>243367.09003999998</v>
      </c>
      <c r="AD1339" s="6">
        <f>$O$1339*$X$1339</f>
        <v>106337.18608</v>
      </c>
      <c r="AE1339" s="6">
        <f>$K$1339*$Y$1339</f>
        <v>0</v>
      </c>
      <c r="AF1339" s="6">
        <f ca="1">$M$1339*$Z$1339</f>
        <v>253033.62190741784</v>
      </c>
      <c r="AG1339" s="6">
        <f>$O$1339*$AA$1339</f>
        <v>138919.36091902287</v>
      </c>
    </row>
    <row r="1340" spans="1:33" ht="11.25" customHeight="1" x14ac:dyDescent="0.25">
      <c r="A1340" s="4" t="s">
        <v>29</v>
      </c>
      <c r="B1340" s="4" t="s">
        <v>22</v>
      </c>
      <c r="C1340" s="4" t="s">
        <v>23</v>
      </c>
      <c r="D1340" s="4" t="s">
        <v>24</v>
      </c>
      <c r="E1340" s="4" t="s">
        <v>33</v>
      </c>
      <c r="F1340" s="4" t="s">
        <v>25</v>
      </c>
      <c r="G1340" s="4" t="s">
        <v>25</v>
      </c>
      <c r="H1340" s="4" t="s">
        <v>25</v>
      </c>
      <c r="I1340" s="5">
        <v>44682</v>
      </c>
      <c r="J1340" s="6">
        <v>0</v>
      </c>
      <c r="K1340" s="6">
        <v>0</v>
      </c>
      <c r="L1340" s="6">
        <v>-1.2549999999999999</v>
      </c>
      <c r="M1340" s="6">
        <v>-1.2549999999999999</v>
      </c>
      <c r="N1340" s="6">
        <v>-1.2549999999999999</v>
      </c>
      <c r="O1340" s="6">
        <v>-1.2549999999999999</v>
      </c>
      <c r="P1340" s="6">
        <v>-6</v>
      </c>
      <c r="Q1340" s="4" t="s">
        <v>26</v>
      </c>
      <c r="R1340" s="4">
        <v>0</v>
      </c>
      <c r="S1340" s="6">
        <v>0</v>
      </c>
      <c r="T1340" s="6">
        <v>42</v>
      </c>
      <c r="U1340" s="6">
        <v>86</v>
      </c>
      <c r="V1340" s="6">
        <f>IF(ISERROR(VLOOKUP($S$1340,'TAR FIN'!$A$1:$O$115,15,0)),0,VLOOKUP($S$1340,'TAR FIN'!$A$1:$O$115,15,0))</f>
        <v>0</v>
      </c>
      <c r="W1340" s="6">
        <f>IF(ISERROR(VLOOKUP($T$1340,'TAR FIN'!$A$1:$O$115,15,0)),0,VLOOKUP($T$1340,'TAR FIN'!$A$1:$O$115,15,0))</f>
        <v>363.71</v>
      </c>
      <c r="X1340" s="6">
        <f>IF(ISERROR(VLOOKUP($U$1340,'TAR FIN'!$A$1:$O$115,15,0)),0,VLOOKUP($U$1340,'TAR FIN'!$A$1:$O$115,15,0))</f>
        <v>158.91999999999999</v>
      </c>
      <c r="Y1340" s="6"/>
      <c r="Z1340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40" s="6">
        <f>('TE BE'!$AB$23+'TE BF'!$AB$23+'TE CVA'!$AB$23)*(1-CUSTOS!$M$36)</f>
        <v>207.6137769965251</v>
      </c>
      <c r="AB1340" s="6">
        <f>$K$1340*$V$1340</f>
        <v>0</v>
      </c>
      <c r="AC1340" s="6">
        <f>$M$1340*$W$1340</f>
        <v>-456.45604999999995</v>
      </c>
      <c r="AD1340" s="6">
        <f>$O$1340*$X$1340</f>
        <v>-199.44459999999998</v>
      </c>
      <c r="AE1340" s="6">
        <f>$K$1340*$Y$1340</f>
        <v>0</v>
      </c>
      <c r="AF1340" s="6">
        <f ca="1">$M$1340*$Z$1340</f>
        <v>-474.58646752143</v>
      </c>
      <c r="AG1340" s="6">
        <f>$O$1340*$AA$1340</f>
        <v>-260.55529013063898</v>
      </c>
    </row>
    <row r="1341" spans="1:33" ht="11.25" customHeight="1" x14ac:dyDescent="0.25">
      <c r="A1341" s="4" t="s">
        <v>30</v>
      </c>
      <c r="B1341" s="4" t="s">
        <v>22</v>
      </c>
      <c r="C1341" s="4" t="s">
        <v>23</v>
      </c>
      <c r="D1341" s="4" t="s">
        <v>24</v>
      </c>
      <c r="E1341" s="4" t="s">
        <v>33</v>
      </c>
      <c r="F1341" s="4" t="s">
        <v>25</v>
      </c>
      <c r="G1341" s="4" t="s">
        <v>25</v>
      </c>
      <c r="H1341" s="4" t="s">
        <v>25</v>
      </c>
      <c r="I1341" s="5">
        <v>44682</v>
      </c>
      <c r="J1341" s="6">
        <v>0</v>
      </c>
      <c r="K1341" s="6">
        <v>0</v>
      </c>
      <c r="L1341" s="6">
        <v>1.0049999999999999</v>
      </c>
      <c r="M1341" s="6">
        <v>1.0049999999999999</v>
      </c>
      <c r="N1341" s="6">
        <v>1.0049999999999999</v>
      </c>
      <c r="O1341" s="6">
        <v>1.0049999999999999</v>
      </c>
      <c r="P1341" s="6">
        <v>5</v>
      </c>
      <c r="Q1341" s="4" t="s">
        <v>26</v>
      </c>
      <c r="R1341" s="4">
        <v>0</v>
      </c>
      <c r="S1341" s="6">
        <v>0</v>
      </c>
      <c r="T1341" s="6">
        <v>42</v>
      </c>
      <c r="U1341" s="6">
        <v>86</v>
      </c>
      <c r="V1341" s="6">
        <f>IF(ISERROR(VLOOKUP($S$1341,'TAR FIN'!$A$1:$O$115,15,0)),0,VLOOKUP($S$1341,'TAR FIN'!$A$1:$O$115,15,0))</f>
        <v>0</v>
      </c>
      <c r="W1341" s="6">
        <f>IF(ISERROR(VLOOKUP($T$1341,'TAR FIN'!$A$1:$O$115,15,0)),0,VLOOKUP($T$1341,'TAR FIN'!$A$1:$O$115,15,0))</f>
        <v>363.71</v>
      </c>
      <c r="X1341" s="6">
        <f>IF(ISERROR(VLOOKUP($U$1341,'TAR FIN'!$A$1:$O$115,15,0)),0,VLOOKUP($U$1341,'TAR FIN'!$A$1:$O$115,15,0))</f>
        <v>158.91999999999999</v>
      </c>
      <c r="Y1341" s="6"/>
      <c r="Z1341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41" s="6">
        <f>('TE BE'!$AB$23+'TE BF'!$AB$23+'TE CVA'!$AB$23)*(1-CUSTOS!$M$36)</f>
        <v>207.6137769965251</v>
      </c>
      <c r="AB1341" s="6">
        <f>$K$1341*$V$1341</f>
        <v>0</v>
      </c>
      <c r="AC1341" s="6">
        <f>$M$1341*$W$1341</f>
        <v>365.52854999999994</v>
      </c>
      <c r="AD1341" s="6">
        <f>$O$1341*$X$1341</f>
        <v>159.71459999999996</v>
      </c>
      <c r="AE1341" s="6">
        <f>$K$1341*$Y$1341</f>
        <v>0</v>
      </c>
      <c r="AF1341" s="6">
        <f ca="1">$M$1341*$Z$1341</f>
        <v>380.04733056496985</v>
      </c>
      <c r="AG1341" s="6">
        <f>$O$1341*$AA$1341</f>
        <v>208.65184588150771</v>
      </c>
    </row>
    <row r="1342" spans="1:33" ht="11.25" customHeight="1" x14ac:dyDescent="0.25">
      <c r="A1342" s="4" t="s">
        <v>21</v>
      </c>
      <c r="B1342" s="4" t="s">
        <v>22</v>
      </c>
      <c r="C1342" s="4" t="s">
        <v>23</v>
      </c>
      <c r="D1342" s="4" t="s">
        <v>24</v>
      </c>
      <c r="E1342" s="4" t="s">
        <v>33</v>
      </c>
      <c r="F1342" s="4" t="s">
        <v>25</v>
      </c>
      <c r="G1342" s="4" t="s">
        <v>25</v>
      </c>
      <c r="H1342" s="4" t="s">
        <v>25</v>
      </c>
      <c r="I1342" s="5">
        <v>44713</v>
      </c>
      <c r="J1342" s="6">
        <v>0</v>
      </c>
      <c r="K1342" s="6">
        <v>0</v>
      </c>
      <c r="L1342" s="6">
        <v>1966.913</v>
      </c>
      <c r="M1342" s="6">
        <v>1966.913</v>
      </c>
      <c r="N1342" s="6">
        <v>1966.913</v>
      </c>
      <c r="O1342" s="6">
        <v>1966.913</v>
      </c>
      <c r="P1342" s="6">
        <v>20598</v>
      </c>
      <c r="Q1342" s="4" t="s">
        <v>26</v>
      </c>
      <c r="R1342" s="4">
        <v>0</v>
      </c>
      <c r="S1342" s="6">
        <v>0</v>
      </c>
      <c r="T1342" s="6">
        <v>42</v>
      </c>
      <c r="U1342" s="6">
        <v>86</v>
      </c>
      <c r="V1342" s="6">
        <f>IF(ISERROR(VLOOKUP($S$1342,'TAR FIN'!$A$1:$O$115,15,0)),0,VLOOKUP($S$1342,'TAR FIN'!$A$1:$O$115,15,0))</f>
        <v>0</v>
      </c>
      <c r="W1342" s="6">
        <f>IF(ISERROR(VLOOKUP($T$1342,'TAR FIN'!$A$1:$O$115,15,0)),0,VLOOKUP($T$1342,'TAR FIN'!$A$1:$O$115,15,0))</f>
        <v>363.71</v>
      </c>
      <c r="X1342" s="6">
        <f>IF(ISERROR(VLOOKUP($U$1342,'TAR FIN'!$A$1:$O$115,15,0)),0,VLOOKUP($U$1342,'TAR FIN'!$A$1:$O$115,15,0))</f>
        <v>158.91999999999999</v>
      </c>
      <c r="Y1342" s="6"/>
      <c r="Z1342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42" s="6">
        <f>('TE BE'!$AB$23+'TE BF'!$AB$23+'TE CVA'!$AB$23)*(1-CUSTOS!$M$36)</f>
        <v>207.6137769965251</v>
      </c>
      <c r="AB1342" s="6">
        <f>$K$1342*$V$1342</f>
        <v>0</v>
      </c>
      <c r="AC1342" s="6">
        <f>$M$1342*$W$1342</f>
        <v>715385.92722999991</v>
      </c>
      <c r="AD1342" s="6">
        <f>$O$1342*$X$1342</f>
        <v>312581.81396</v>
      </c>
      <c r="AE1342" s="6">
        <f>$K$1342*$Y$1342</f>
        <v>0</v>
      </c>
      <c r="AF1342" s="6">
        <f ca="1">$M$1342*$Z$1342</f>
        <v>743801.02995376778</v>
      </c>
      <c r="AG1342" s="6">
        <f>$O$1342*$AA$1342</f>
        <v>408358.2369535662</v>
      </c>
    </row>
    <row r="1343" spans="1:33" ht="11.25" customHeight="1" x14ac:dyDescent="0.25">
      <c r="A1343" s="4" t="s">
        <v>27</v>
      </c>
      <c r="B1343" s="4" t="s">
        <v>22</v>
      </c>
      <c r="C1343" s="4" t="s">
        <v>23</v>
      </c>
      <c r="D1343" s="4" t="s">
        <v>24</v>
      </c>
      <c r="E1343" s="4" t="s">
        <v>33</v>
      </c>
      <c r="F1343" s="4" t="s">
        <v>25</v>
      </c>
      <c r="G1343" s="4" t="s">
        <v>25</v>
      </c>
      <c r="H1343" s="4" t="s">
        <v>25</v>
      </c>
      <c r="I1343" s="5">
        <v>44713</v>
      </c>
      <c r="J1343" s="6">
        <v>0</v>
      </c>
      <c r="K1343" s="6">
        <v>0</v>
      </c>
      <c r="L1343" s="6">
        <v>-4.7759999999999998</v>
      </c>
      <c r="M1343" s="6">
        <v>-4.7759999999999998</v>
      </c>
      <c r="N1343" s="6">
        <v>-4.7759999999999998</v>
      </c>
      <c r="O1343" s="6">
        <v>-4.7759999999999998</v>
      </c>
      <c r="P1343" s="6">
        <v>-12</v>
      </c>
      <c r="Q1343" s="4" t="s">
        <v>26</v>
      </c>
      <c r="R1343" s="4">
        <v>0</v>
      </c>
      <c r="S1343" s="6">
        <v>0</v>
      </c>
      <c r="T1343" s="6">
        <v>42</v>
      </c>
      <c r="U1343" s="6">
        <v>86</v>
      </c>
      <c r="V1343" s="6">
        <f>IF(ISERROR(VLOOKUP($S$1343,'TAR FIN'!$A$1:$O$115,15,0)),0,VLOOKUP($S$1343,'TAR FIN'!$A$1:$O$115,15,0))</f>
        <v>0</v>
      </c>
      <c r="W1343" s="6">
        <f>IF(ISERROR(VLOOKUP($T$1343,'TAR FIN'!$A$1:$O$115,15,0)),0,VLOOKUP($T$1343,'TAR FIN'!$A$1:$O$115,15,0))</f>
        <v>363.71</v>
      </c>
      <c r="X1343" s="6">
        <f>IF(ISERROR(VLOOKUP($U$1343,'TAR FIN'!$A$1:$O$115,15,0)),0,VLOOKUP($U$1343,'TAR FIN'!$A$1:$O$115,15,0))</f>
        <v>158.91999999999999</v>
      </c>
      <c r="Y1343" s="6"/>
      <c r="Z1343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43" s="6">
        <f>('TE BE'!$AB$23+'TE BF'!$AB$23+'TE CVA'!$AB$23)*(1-CUSTOS!$M$36)</f>
        <v>207.6137769965251</v>
      </c>
      <c r="AB1343" s="6">
        <f>$K$1343*$V$1343</f>
        <v>0</v>
      </c>
      <c r="AC1343" s="6">
        <f>$M$1343*$W$1343</f>
        <v>-1737.0789599999998</v>
      </c>
      <c r="AD1343" s="6">
        <f>$O$1343*$X$1343</f>
        <v>-759.00191999999993</v>
      </c>
      <c r="AE1343" s="6">
        <f>$K$1343*$Y$1343</f>
        <v>0</v>
      </c>
      <c r="AF1343" s="6">
        <f ca="1">$M$1343*$Z$1343</f>
        <v>-1806.075672416215</v>
      </c>
      <c r="AG1343" s="6">
        <f>$O$1343*$AA$1343</f>
        <v>-991.56339893540382</v>
      </c>
    </row>
    <row r="1344" spans="1:33" ht="11.25" customHeight="1" x14ac:dyDescent="0.25">
      <c r="A1344" s="4" t="s">
        <v>28</v>
      </c>
      <c r="B1344" s="4" t="s">
        <v>22</v>
      </c>
      <c r="C1344" s="4" t="s">
        <v>23</v>
      </c>
      <c r="D1344" s="4" t="s">
        <v>24</v>
      </c>
      <c r="E1344" s="4" t="s">
        <v>33</v>
      </c>
      <c r="F1344" s="4" t="s">
        <v>25</v>
      </c>
      <c r="G1344" s="4" t="s">
        <v>25</v>
      </c>
      <c r="H1344" s="4" t="s">
        <v>25</v>
      </c>
      <c r="I1344" s="5">
        <v>44713</v>
      </c>
      <c r="J1344" s="6">
        <v>0</v>
      </c>
      <c r="K1344" s="6">
        <v>0</v>
      </c>
      <c r="L1344" s="6">
        <v>631.46799999999996</v>
      </c>
      <c r="M1344" s="6">
        <v>631.46799999999996</v>
      </c>
      <c r="N1344" s="6">
        <v>631.46799999999996</v>
      </c>
      <c r="O1344" s="6">
        <v>631.46799999999996</v>
      </c>
      <c r="P1344" s="6">
        <v>8796</v>
      </c>
      <c r="Q1344" s="4" t="s">
        <v>26</v>
      </c>
      <c r="R1344" s="4">
        <v>0</v>
      </c>
      <c r="S1344" s="6">
        <v>0</v>
      </c>
      <c r="T1344" s="6">
        <v>42</v>
      </c>
      <c r="U1344" s="6">
        <v>86</v>
      </c>
      <c r="V1344" s="6">
        <f>IF(ISERROR(VLOOKUP($S$1344,'TAR FIN'!$A$1:$O$115,15,0)),0,VLOOKUP($S$1344,'TAR FIN'!$A$1:$O$115,15,0))</f>
        <v>0</v>
      </c>
      <c r="W1344" s="6">
        <f>IF(ISERROR(VLOOKUP($T$1344,'TAR FIN'!$A$1:$O$115,15,0)),0,VLOOKUP($T$1344,'TAR FIN'!$A$1:$O$115,15,0))</f>
        <v>363.71</v>
      </c>
      <c r="X1344" s="6">
        <f>IF(ISERROR(VLOOKUP($U$1344,'TAR FIN'!$A$1:$O$115,15,0)),0,VLOOKUP($U$1344,'TAR FIN'!$A$1:$O$115,15,0))</f>
        <v>158.91999999999999</v>
      </c>
      <c r="Y1344" s="6"/>
      <c r="Z1344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44" s="6">
        <f>('TE BE'!$AB$23+'TE BF'!$AB$23+'TE CVA'!$AB$23)*(1-CUSTOS!$M$36)</f>
        <v>207.6137769965251</v>
      </c>
      <c r="AB1344" s="6">
        <f>$K$1344*$V$1344</f>
        <v>0</v>
      </c>
      <c r="AC1344" s="6">
        <f>$M$1344*$W$1344</f>
        <v>229671.22627999997</v>
      </c>
      <c r="AD1344" s="6">
        <f>$O$1344*$X$1344</f>
        <v>100352.89455999999</v>
      </c>
      <c r="AE1344" s="6">
        <f>$K$1344*$Y$1344</f>
        <v>0</v>
      </c>
      <c r="AF1344" s="6">
        <f ca="1">$M$1344*$Z$1344</f>
        <v>238793.75894248794</v>
      </c>
      <c r="AG1344" s="6">
        <f>$O$1344*$AA$1344</f>
        <v>131101.45653244172</v>
      </c>
    </row>
    <row r="1345" spans="1:33" ht="11.25" customHeight="1" x14ac:dyDescent="0.25">
      <c r="A1345" s="4" t="s">
        <v>29</v>
      </c>
      <c r="B1345" s="4" t="s">
        <v>22</v>
      </c>
      <c r="C1345" s="4" t="s">
        <v>23</v>
      </c>
      <c r="D1345" s="4" t="s">
        <v>24</v>
      </c>
      <c r="E1345" s="4" t="s">
        <v>33</v>
      </c>
      <c r="F1345" s="4" t="s">
        <v>25</v>
      </c>
      <c r="G1345" s="4" t="s">
        <v>25</v>
      </c>
      <c r="H1345" s="4" t="s">
        <v>25</v>
      </c>
      <c r="I1345" s="5">
        <v>44713</v>
      </c>
      <c r="J1345" s="6">
        <v>0</v>
      </c>
      <c r="K1345" s="6">
        <v>0</v>
      </c>
      <c r="L1345" s="6">
        <v>-0.307</v>
      </c>
      <c r="M1345" s="6">
        <v>-0.307</v>
      </c>
      <c r="N1345" s="6">
        <v>-0.307</v>
      </c>
      <c r="O1345" s="6">
        <v>-0.307</v>
      </c>
      <c r="P1345" s="6">
        <v>-1</v>
      </c>
      <c r="Q1345" s="4" t="s">
        <v>26</v>
      </c>
      <c r="R1345" s="4">
        <v>0</v>
      </c>
      <c r="S1345" s="6">
        <v>0</v>
      </c>
      <c r="T1345" s="6">
        <v>42</v>
      </c>
      <c r="U1345" s="6">
        <v>86</v>
      </c>
      <c r="V1345" s="6">
        <f>IF(ISERROR(VLOOKUP($S$1345,'TAR FIN'!$A$1:$O$115,15,0)),0,VLOOKUP($S$1345,'TAR FIN'!$A$1:$O$115,15,0))</f>
        <v>0</v>
      </c>
      <c r="W1345" s="6">
        <f>IF(ISERROR(VLOOKUP($T$1345,'TAR FIN'!$A$1:$O$115,15,0)),0,VLOOKUP($T$1345,'TAR FIN'!$A$1:$O$115,15,0))</f>
        <v>363.71</v>
      </c>
      <c r="X1345" s="6">
        <f>IF(ISERROR(VLOOKUP($U$1345,'TAR FIN'!$A$1:$O$115,15,0)),0,VLOOKUP($U$1345,'TAR FIN'!$A$1:$O$115,15,0))</f>
        <v>158.91999999999999</v>
      </c>
      <c r="Y1345" s="6"/>
      <c r="Z1345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45" s="6">
        <f>('TE BE'!$AB$23+'TE BF'!$AB$23+'TE CVA'!$AB$23)*(1-CUSTOS!$M$36)</f>
        <v>207.6137769965251</v>
      </c>
      <c r="AB1345" s="6">
        <f>$K$1345*$V$1345</f>
        <v>0</v>
      </c>
      <c r="AC1345" s="6">
        <f>$M$1345*$W$1345</f>
        <v>-111.65897</v>
      </c>
      <c r="AD1345" s="6">
        <f>$O$1345*$X$1345</f>
        <v>-48.788439999999994</v>
      </c>
      <c r="AE1345" s="6">
        <f>$K$1345*$Y$1345</f>
        <v>0</v>
      </c>
      <c r="AF1345" s="6">
        <f ca="1">$M$1345*$Z$1345</f>
        <v>-116.09406018253308</v>
      </c>
      <c r="AG1345" s="6">
        <f>$O$1345*$AA$1345</f>
        <v>-63.737429537933203</v>
      </c>
    </row>
    <row r="1346" spans="1:33" ht="11.25" customHeight="1" x14ac:dyDescent="0.25">
      <c r="A1346" s="4" t="s">
        <v>30</v>
      </c>
      <c r="B1346" s="4" t="s">
        <v>22</v>
      </c>
      <c r="C1346" s="4" t="s">
        <v>23</v>
      </c>
      <c r="D1346" s="4" t="s">
        <v>24</v>
      </c>
      <c r="E1346" s="4" t="s">
        <v>33</v>
      </c>
      <c r="F1346" s="4" t="s">
        <v>25</v>
      </c>
      <c r="G1346" s="4" t="s">
        <v>25</v>
      </c>
      <c r="H1346" s="4" t="s">
        <v>25</v>
      </c>
      <c r="I1346" s="5">
        <v>44713</v>
      </c>
      <c r="J1346" s="6">
        <v>0</v>
      </c>
      <c r="K1346" s="6">
        <v>0</v>
      </c>
      <c r="L1346" s="6">
        <v>0.88500000000000001</v>
      </c>
      <c r="M1346" s="6">
        <v>0.88500000000000001</v>
      </c>
      <c r="N1346" s="6">
        <v>0.88500000000000001</v>
      </c>
      <c r="O1346" s="6">
        <v>0.88500000000000001</v>
      </c>
      <c r="P1346" s="6">
        <v>10</v>
      </c>
      <c r="Q1346" s="4" t="s">
        <v>26</v>
      </c>
      <c r="R1346" s="4">
        <v>0</v>
      </c>
      <c r="S1346" s="6">
        <v>0</v>
      </c>
      <c r="T1346" s="6">
        <v>42</v>
      </c>
      <c r="U1346" s="6">
        <v>86</v>
      </c>
      <c r="V1346" s="6">
        <f>IF(ISERROR(VLOOKUP($S$1346,'TAR FIN'!$A$1:$O$115,15,0)),0,VLOOKUP($S$1346,'TAR FIN'!$A$1:$O$115,15,0))</f>
        <v>0</v>
      </c>
      <c r="W1346" s="6">
        <f>IF(ISERROR(VLOOKUP($T$1346,'TAR FIN'!$A$1:$O$115,15,0)),0,VLOOKUP($T$1346,'TAR FIN'!$A$1:$O$115,15,0))</f>
        <v>363.71</v>
      </c>
      <c r="X1346" s="6">
        <f>IF(ISERROR(VLOOKUP($U$1346,'TAR FIN'!$A$1:$O$115,15,0)),0,VLOOKUP($U$1346,'TAR FIN'!$A$1:$O$115,15,0))</f>
        <v>158.91999999999999</v>
      </c>
      <c r="Y1346" s="6"/>
      <c r="Z1346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46" s="6">
        <f>('TE BE'!$AB$23+'TE BF'!$AB$23+'TE CVA'!$AB$23)*(1-CUSTOS!$M$36)</f>
        <v>207.6137769965251</v>
      </c>
      <c r="AB1346" s="6">
        <f>$K$1346*$V$1346</f>
        <v>0</v>
      </c>
      <c r="AC1346" s="6">
        <f>$M$1346*$W$1346</f>
        <v>321.88335000000001</v>
      </c>
      <c r="AD1346" s="6">
        <f>$O$1346*$X$1346</f>
        <v>140.64419999999998</v>
      </c>
      <c r="AE1346" s="6">
        <f>$K$1346*$Y$1346</f>
        <v>0</v>
      </c>
      <c r="AF1346" s="6">
        <f ca="1">$M$1346*$Z$1346</f>
        <v>334.66854482586899</v>
      </c>
      <c r="AG1346" s="6">
        <f>$O$1346*$AA$1346</f>
        <v>183.73819264192471</v>
      </c>
    </row>
    <row r="1347" spans="1:33" ht="11.25" customHeight="1" x14ac:dyDescent="0.25">
      <c r="A1347" s="4" t="s">
        <v>21</v>
      </c>
      <c r="B1347" s="4" t="s">
        <v>22</v>
      </c>
      <c r="C1347" s="4" t="s">
        <v>23</v>
      </c>
      <c r="D1347" s="4" t="s">
        <v>24</v>
      </c>
      <c r="E1347" s="4" t="s">
        <v>33</v>
      </c>
      <c r="F1347" s="4" t="s">
        <v>25</v>
      </c>
      <c r="G1347" s="4" t="s">
        <v>25</v>
      </c>
      <c r="H1347" s="4" t="s">
        <v>25</v>
      </c>
      <c r="I1347" s="5">
        <v>44743</v>
      </c>
      <c r="J1347" s="6">
        <v>0</v>
      </c>
      <c r="K1347" s="6">
        <v>0</v>
      </c>
      <c r="L1347" s="6">
        <v>2318.8159999999998</v>
      </c>
      <c r="M1347" s="6">
        <v>2318.8159999999998</v>
      </c>
      <c r="N1347" s="6">
        <v>2318.8159999999998</v>
      </c>
      <c r="O1347" s="6">
        <v>2318.8159999999998</v>
      </c>
      <c r="P1347" s="6">
        <v>21029</v>
      </c>
      <c r="Q1347" s="4" t="s">
        <v>26</v>
      </c>
      <c r="R1347" s="4">
        <v>0</v>
      </c>
      <c r="S1347" s="6">
        <v>0</v>
      </c>
      <c r="T1347" s="6">
        <v>42</v>
      </c>
      <c r="U1347" s="6">
        <v>86</v>
      </c>
      <c r="V1347" s="6">
        <f>IF(ISERROR(VLOOKUP($S$1347,'TAR FIN'!$A$1:$O$115,15,0)),0,VLOOKUP($S$1347,'TAR FIN'!$A$1:$O$115,15,0))</f>
        <v>0</v>
      </c>
      <c r="W1347" s="6">
        <f>IF(ISERROR(VLOOKUP($T$1347,'TAR FIN'!$A$1:$O$115,15,0)),0,VLOOKUP($T$1347,'TAR FIN'!$A$1:$O$115,15,0))</f>
        <v>363.71</v>
      </c>
      <c r="X1347" s="6">
        <f>IF(ISERROR(VLOOKUP($U$1347,'TAR FIN'!$A$1:$O$115,15,0)),0,VLOOKUP($U$1347,'TAR FIN'!$A$1:$O$115,15,0))</f>
        <v>158.91999999999999</v>
      </c>
      <c r="Y1347" s="6"/>
      <c r="Z1347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47" s="6">
        <f>('TE BE'!$AB$23+'TE BF'!$AB$23+'TE CVA'!$AB$23)*(1-CUSTOS!$M$36)</f>
        <v>207.6137769965251</v>
      </c>
      <c r="AB1347" s="6">
        <f>$K$1347*$V$1347</f>
        <v>0</v>
      </c>
      <c r="AC1347" s="6">
        <f>$M$1347*$W$1347</f>
        <v>843376.56735999987</v>
      </c>
      <c r="AD1347" s="6">
        <f>$O$1347*$X$1347</f>
        <v>368506.23871999996</v>
      </c>
      <c r="AE1347" s="6">
        <f>$K$1347*$Y$1347</f>
        <v>0</v>
      </c>
      <c r="AF1347" s="6">
        <f ca="1">$M$1347*$Z$1347</f>
        <v>876875.45360332448</v>
      </c>
      <c r="AG1347" s="6">
        <f>$O$1347*$AA$1347</f>
        <v>481418.14791997429</v>
      </c>
    </row>
    <row r="1348" spans="1:33" ht="11.25" customHeight="1" x14ac:dyDescent="0.25">
      <c r="A1348" s="4" t="s">
        <v>27</v>
      </c>
      <c r="B1348" s="4" t="s">
        <v>22</v>
      </c>
      <c r="C1348" s="4" t="s">
        <v>23</v>
      </c>
      <c r="D1348" s="4" t="s">
        <v>24</v>
      </c>
      <c r="E1348" s="4" t="s">
        <v>33</v>
      </c>
      <c r="F1348" s="4" t="s">
        <v>25</v>
      </c>
      <c r="G1348" s="4" t="s">
        <v>25</v>
      </c>
      <c r="H1348" s="4" t="s">
        <v>25</v>
      </c>
      <c r="I1348" s="5">
        <v>44743</v>
      </c>
      <c r="J1348" s="6">
        <v>0</v>
      </c>
      <c r="K1348" s="6">
        <v>0</v>
      </c>
      <c r="L1348" s="6">
        <v>-4.03</v>
      </c>
      <c r="M1348" s="6">
        <v>-4.03</v>
      </c>
      <c r="N1348" s="6">
        <v>-4.03</v>
      </c>
      <c r="O1348" s="6">
        <v>-4.03</v>
      </c>
      <c r="P1348" s="6">
        <v>-20</v>
      </c>
      <c r="Q1348" s="4" t="s">
        <v>26</v>
      </c>
      <c r="R1348" s="4">
        <v>0</v>
      </c>
      <c r="S1348" s="6">
        <v>0</v>
      </c>
      <c r="T1348" s="6">
        <v>42</v>
      </c>
      <c r="U1348" s="6">
        <v>86</v>
      </c>
      <c r="V1348" s="6">
        <f>IF(ISERROR(VLOOKUP($S$1348,'TAR FIN'!$A$1:$O$115,15,0)),0,VLOOKUP($S$1348,'TAR FIN'!$A$1:$O$115,15,0))</f>
        <v>0</v>
      </c>
      <c r="W1348" s="6">
        <f>IF(ISERROR(VLOOKUP($T$1348,'TAR FIN'!$A$1:$O$115,15,0)),0,VLOOKUP($T$1348,'TAR FIN'!$A$1:$O$115,15,0))</f>
        <v>363.71</v>
      </c>
      <c r="X1348" s="6">
        <f>IF(ISERROR(VLOOKUP($U$1348,'TAR FIN'!$A$1:$O$115,15,0)),0,VLOOKUP($U$1348,'TAR FIN'!$A$1:$O$115,15,0))</f>
        <v>158.91999999999999</v>
      </c>
      <c r="Y1348" s="6"/>
      <c r="Z1348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48" s="6">
        <f>('TE BE'!$AB$23+'TE BF'!$AB$23+'TE CVA'!$AB$23)*(1-CUSTOS!$M$36)</f>
        <v>207.6137769965251</v>
      </c>
      <c r="AB1348" s="6">
        <f>$K$1348*$V$1348</f>
        <v>0</v>
      </c>
      <c r="AC1348" s="6">
        <f>$M$1348*$W$1348</f>
        <v>-1465.7512999999999</v>
      </c>
      <c r="AD1348" s="6">
        <f>$O$1348*$X$1348</f>
        <v>-640.44759999999997</v>
      </c>
      <c r="AE1348" s="6">
        <f>$K$1348*$Y$1348</f>
        <v>0</v>
      </c>
      <c r="AF1348" s="6">
        <f ca="1">$M$1348*$Z$1348</f>
        <v>-1523.9708877381381</v>
      </c>
      <c r="AG1348" s="6">
        <f>$O$1348*$AA$1348</f>
        <v>-836.68352129599623</v>
      </c>
    </row>
    <row r="1349" spans="1:33" ht="11.25" customHeight="1" x14ac:dyDescent="0.25">
      <c r="A1349" s="4" t="s">
        <v>28</v>
      </c>
      <c r="B1349" s="4" t="s">
        <v>22</v>
      </c>
      <c r="C1349" s="4" t="s">
        <v>23</v>
      </c>
      <c r="D1349" s="4" t="s">
        <v>24</v>
      </c>
      <c r="E1349" s="4" t="s">
        <v>33</v>
      </c>
      <c r="F1349" s="4" t="s">
        <v>25</v>
      </c>
      <c r="G1349" s="4" t="s">
        <v>25</v>
      </c>
      <c r="H1349" s="4" t="s">
        <v>25</v>
      </c>
      <c r="I1349" s="5">
        <v>44743</v>
      </c>
      <c r="J1349" s="6">
        <v>0</v>
      </c>
      <c r="K1349" s="6">
        <v>0</v>
      </c>
      <c r="L1349" s="6">
        <v>761.06799999999998</v>
      </c>
      <c r="M1349" s="6">
        <v>761.06799999999998</v>
      </c>
      <c r="N1349" s="6">
        <v>761.06799999999998</v>
      </c>
      <c r="O1349" s="6">
        <v>761.06799999999998</v>
      </c>
      <c r="P1349" s="6">
        <v>9648</v>
      </c>
      <c r="Q1349" s="4" t="s">
        <v>26</v>
      </c>
      <c r="R1349" s="4">
        <v>0</v>
      </c>
      <c r="S1349" s="6">
        <v>0</v>
      </c>
      <c r="T1349" s="6">
        <v>42</v>
      </c>
      <c r="U1349" s="6">
        <v>86</v>
      </c>
      <c r="V1349" s="6">
        <f>IF(ISERROR(VLOOKUP($S$1349,'TAR FIN'!$A$1:$O$115,15,0)),0,VLOOKUP($S$1349,'TAR FIN'!$A$1:$O$115,15,0))</f>
        <v>0</v>
      </c>
      <c r="W1349" s="6">
        <f>IF(ISERROR(VLOOKUP($T$1349,'TAR FIN'!$A$1:$O$115,15,0)),0,VLOOKUP($T$1349,'TAR FIN'!$A$1:$O$115,15,0))</f>
        <v>363.71</v>
      </c>
      <c r="X1349" s="6">
        <f>IF(ISERROR(VLOOKUP($U$1349,'TAR FIN'!$A$1:$O$115,15,0)),0,VLOOKUP($U$1349,'TAR FIN'!$A$1:$O$115,15,0))</f>
        <v>158.91999999999999</v>
      </c>
      <c r="Y1349" s="6"/>
      <c r="Z1349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49" s="6">
        <f>('TE BE'!$AB$23+'TE BF'!$AB$23+'TE CVA'!$AB$23)*(1-CUSTOS!$M$36)</f>
        <v>207.6137769965251</v>
      </c>
      <c r="AB1349" s="6">
        <f>$K$1349*$V$1349</f>
        <v>0</v>
      </c>
      <c r="AC1349" s="6">
        <f>$M$1349*$W$1349</f>
        <v>276808.04227999999</v>
      </c>
      <c r="AD1349" s="6">
        <f>$O$1349*$X$1349</f>
        <v>120948.92655999999</v>
      </c>
      <c r="AE1349" s="6">
        <f>$K$1349*$Y$1349</f>
        <v>0</v>
      </c>
      <c r="AF1349" s="6">
        <f ca="1">$M$1349*$Z$1349</f>
        <v>287802.84754071693</v>
      </c>
      <c r="AG1349" s="6">
        <f>$O$1349*$AA$1349</f>
        <v>158008.20203119135</v>
      </c>
    </row>
    <row r="1350" spans="1:33" ht="11.25" customHeight="1" x14ac:dyDescent="0.25">
      <c r="A1350" s="4" t="s">
        <v>29</v>
      </c>
      <c r="B1350" s="4" t="s">
        <v>22</v>
      </c>
      <c r="C1350" s="4" t="s">
        <v>23</v>
      </c>
      <c r="D1350" s="4" t="s">
        <v>24</v>
      </c>
      <c r="E1350" s="4" t="s">
        <v>33</v>
      </c>
      <c r="F1350" s="4" t="s">
        <v>25</v>
      </c>
      <c r="G1350" s="4" t="s">
        <v>25</v>
      </c>
      <c r="H1350" s="4" t="s">
        <v>25</v>
      </c>
      <c r="I1350" s="5">
        <v>44743</v>
      </c>
      <c r="J1350" s="6">
        <v>0</v>
      </c>
      <c r="K1350" s="6">
        <v>0</v>
      </c>
      <c r="L1350" s="6">
        <v>-0.58199999999999996</v>
      </c>
      <c r="M1350" s="6">
        <v>-0.58199999999999996</v>
      </c>
      <c r="N1350" s="6">
        <v>-0.58199999999999996</v>
      </c>
      <c r="O1350" s="6">
        <v>-0.58199999999999996</v>
      </c>
      <c r="P1350" s="6">
        <v>-1</v>
      </c>
      <c r="Q1350" s="4" t="s">
        <v>26</v>
      </c>
      <c r="R1350" s="4">
        <v>0</v>
      </c>
      <c r="S1350" s="6">
        <v>0</v>
      </c>
      <c r="T1350" s="6">
        <v>42</v>
      </c>
      <c r="U1350" s="6">
        <v>86</v>
      </c>
      <c r="V1350" s="6">
        <f>IF(ISERROR(VLOOKUP($S$1350,'TAR FIN'!$A$1:$O$115,15,0)),0,VLOOKUP($S$1350,'TAR FIN'!$A$1:$O$115,15,0))</f>
        <v>0</v>
      </c>
      <c r="W1350" s="6">
        <f>IF(ISERROR(VLOOKUP($T$1350,'TAR FIN'!$A$1:$O$115,15,0)),0,VLOOKUP($T$1350,'TAR FIN'!$A$1:$O$115,15,0))</f>
        <v>363.71</v>
      </c>
      <c r="X1350" s="6">
        <f>IF(ISERROR(VLOOKUP($U$1350,'TAR FIN'!$A$1:$O$115,15,0)),0,VLOOKUP($U$1350,'TAR FIN'!$A$1:$O$115,15,0))</f>
        <v>158.91999999999999</v>
      </c>
      <c r="Y1350" s="6"/>
      <c r="Z1350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50" s="6">
        <f>('TE BE'!$AB$23+'TE BF'!$AB$23+'TE CVA'!$AB$23)*(1-CUSTOS!$M$36)</f>
        <v>207.6137769965251</v>
      </c>
      <c r="AB1350" s="6">
        <f>$K$1350*$V$1350</f>
        <v>0</v>
      </c>
      <c r="AC1350" s="6">
        <f>$M$1350*$W$1350</f>
        <v>-211.67921999999999</v>
      </c>
      <c r="AD1350" s="6">
        <f>$O$1350*$X$1350</f>
        <v>-92.491439999999983</v>
      </c>
      <c r="AE1350" s="6">
        <f>$K$1350*$Y$1350</f>
        <v>0</v>
      </c>
      <c r="AF1350" s="6">
        <f ca="1">$M$1350*$Z$1350</f>
        <v>-220.08711083463925</v>
      </c>
      <c r="AG1350" s="6">
        <f>$O$1350*$AA$1350</f>
        <v>-120.8312182119776</v>
      </c>
    </row>
    <row r="1351" spans="1:33" ht="11.25" customHeight="1" x14ac:dyDescent="0.25">
      <c r="A1351" s="4" t="s">
        <v>30</v>
      </c>
      <c r="B1351" s="4" t="s">
        <v>22</v>
      </c>
      <c r="C1351" s="4" t="s">
        <v>23</v>
      </c>
      <c r="D1351" s="4" t="s">
        <v>24</v>
      </c>
      <c r="E1351" s="4" t="s">
        <v>33</v>
      </c>
      <c r="F1351" s="4" t="s">
        <v>25</v>
      </c>
      <c r="G1351" s="4" t="s">
        <v>25</v>
      </c>
      <c r="H1351" s="4" t="s">
        <v>25</v>
      </c>
      <c r="I1351" s="5">
        <v>44743</v>
      </c>
      <c r="J1351" s="6">
        <v>0</v>
      </c>
      <c r="K1351" s="6">
        <v>0</v>
      </c>
      <c r="L1351" s="6">
        <v>1.5429999999999999</v>
      </c>
      <c r="M1351" s="6">
        <v>1.5429999999999999</v>
      </c>
      <c r="N1351" s="6">
        <v>1.5429999999999999</v>
      </c>
      <c r="O1351" s="6">
        <v>1.5429999999999999</v>
      </c>
      <c r="P1351" s="6">
        <v>7</v>
      </c>
      <c r="Q1351" s="4" t="s">
        <v>26</v>
      </c>
      <c r="R1351" s="4">
        <v>0</v>
      </c>
      <c r="S1351" s="6">
        <v>0</v>
      </c>
      <c r="T1351" s="6">
        <v>42</v>
      </c>
      <c r="U1351" s="6">
        <v>86</v>
      </c>
      <c r="V1351" s="6">
        <f>IF(ISERROR(VLOOKUP($S$1351,'TAR FIN'!$A$1:$O$115,15,0)),0,VLOOKUP($S$1351,'TAR FIN'!$A$1:$O$115,15,0))</f>
        <v>0</v>
      </c>
      <c r="W1351" s="6">
        <f>IF(ISERROR(VLOOKUP($T$1351,'TAR FIN'!$A$1:$O$115,15,0)),0,VLOOKUP($T$1351,'TAR FIN'!$A$1:$O$115,15,0))</f>
        <v>363.71</v>
      </c>
      <c r="X1351" s="6">
        <f>IF(ISERROR(VLOOKUP($U$1351,'TAR FIN'!$A$1:$O$115,15,0)),0,VLOOKUP($U$1351,'TAR FIN'!$A$1:$O$115,15,0))</f>
        <v>158.91999999999999</v>
      </c>
      <c r="Y1351" s="6"/>
      <c r="Z1351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51" s="6">
        <f>('TE BE'!$AB$23+'TE BF'!$AB$23+'TE CVA'!$AB$23)*(1-CUSTOS!$M$36)</f>
        <v>207.6137769965251</v>
      </c>
      <c r="AB1351" s="6">
        <f>$K$1351*$V$1351</f>
        <v>0</v>
      </c>
      <c r="AC1351" s="6">
        <f>$M$1351*$W$1351</f>
        <v>561.20452999999998</v>
      </c>
      <c r="AD1351" s="6">
        <f>$O$1351*$X$1351</f>
        <v>245.21355999999997</v>
      </c>
      <c r="AE1351" s="6">
        <f>$K$1351*$Y$1351</f>
        <v>0</v>
      </c>
      <c r="AF1351" s="6">
        <f ca="1">$M$1351*$Z$1351</f>
        <v>583.49555329527209</v>
      </c>
      <c r="AG1351" s="6">
        <f>$O$1351*$AA$1351</f>
        <v>320.3480579056382</v>
      </c>
    </row>
    <row r="1352" spans="1:33" ht="11.25" customHeight="1" x14ac:dyDescent="0.25">
      <c r="A1352" s="4" t="s">
        <v>21</v>
      </c>
      <c r="B1352" s="4" t="s">
        <v>22</v>
      </c>
      <c r="C1352" s="4" t="s">
        <v>23</v>
      </c>
      <c r="D1352" s="4" t="s">
        <v>24</v>
      </c>
      <c r="E1352" s="4" t="s">
        <v>33</v>
      </c>
      <c r="F1352" s="4" t="s">
        <v>25</v>
      </c>
      <c r="G1352" s="4" t="s">
        <v>25</v>
      </c>
      <c r="H1352" s="4" t="s">
        <v>25</v>
      </c>
      <c r="I1352" s="5">
        <v>44774</v>
      </c>
      <c r="J1352" s="6">
        <v>0</v>
      </c>
      <c r="K1352" s="6">
        <v>0</v>
      </c>
      <c r="L1352" s="6">
        <v>2242.2280000000001</v>
      </c>
      <c r="M1352" s="6">
        <v>2242.2280000000001</v>
      </c>
      <c r="N1352" s="6">
        <v>2242.2280000000001</v>
      </c>
      <c r="O1352" s="6">
        <v>2242.2280000000001</v>
      </c>
      <c r="P1352" s="6">
        <v>17330</v>
      </c>
      <c r="Q1352" s="4" t="s">
        <v>26</v>
      </c>
      <c r="R1352" s="4">
        <v>0</v>
      </c>
      <c r="S1352" s="6">
        <v>0</v>
      </c>
      <c r="T1352" s="6">
        <v>42</v>
      </c>
      <c r="U1352" s="6">
        <v>86</v>
      </c>
      <c r="V1352" s="6">
        <f>IF(ISERROR(VLOOKUP($S$1352,'TAR FIN'!$A$1:$O$115,15,0)),0,VLOOKUP($S$1352,'TAR FIN'!$A$1:$O$115,15,0))</f>
        <v>0</v>
      </c>
      <c r="W1352" s="6">
        <f>IF(ISERROR(VLOOKUP($T$1352,'TAR FIN'!$A$1:$O$115,15,0)),0,VLOOKUP($T$1352,'TAR FIN'!$A$1:$O$115,15,0))</f>
        <v>363.71</v>
      </c>
      <c r="X1352" s="6">
        <f>IF(ISERROR(VLOOKUP($U$1352,'TAR FIN'!$A$1:$O$115,15,0)),0,VLOOKUP($U$1352,'TAR FIN'!$A$1:$O$115,15,0))</f>
        <v>158.91999999999999</v>
      </c>
      <c r="Y1352" s="6"/>
      <c r="Z1352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52" s="6">
        <f>('TE BE'!$AB$23+'TE BF'!$AB$23+'TE CVA'!$AB$23)*(1-CUSTOS!$M$36)</f>
        <v>207.6137769965251</v>
      </c>
      <c r="AB1352" s="6">
        <f>$K$1352*$V$1352</f>
        <v>0</v>
      </c>
      <c r="AC1352" s="6">
        <f>$M$1352*$W$1352</f>
        <v>815520.74587999994</v>
      </c>
      <c r="AD1352" s="6">
        <f>$O$1352*$X$1352</f>
        <v>356334.87375999999</v>
      </c>
      <c r="AE1352" s="6">
        <f>$K$1352*$Y$1352</f>
        <v>0</v>
      </c>
      <c r="AF1352" s="6">
        <f ca="1">$M$1352*$Z$1352</f>
        <v>847913.19991843915</v>
      </c>
      <c r="AG1352" s="6">
        <f>$O$1352*$AA$1352</f>
        <v>465517.42396736448</v>
      </c>
    </row>
    <row r="1353" spans="1:33" ht="11.25" customHeight="1" x14ac:dyDescent="0.25">
      <c r="A1353" s="4" t="s">
        <v>27</v>
      </c>
      <c r="B1353" s="4" t="s">
        <v>22</v>
      </c>
      <c r="C1353" s="4" t="s">
        <v>23</v>
      </c>
      <c r="D1353" s="4" t="s">
        <v>24</v>
      </c>
      <c r="E1353" s="4" t="s">
        <v>33</v>
      </c>
      <c r="F1353" s="4" t="s">
        <v>25</v>
      </c>
      <c r="G1353" s="4" t="s">
        <v>25</v>
      </c>
      <c r="H1353" s="4" t="s">
        <v>25</v>
      </c>
      <c r="I1353" s="5">
        <v>44774</v>
      </c>
      <c r="J1353" s="6">
        <v>0</v>
      </c>
      <c r="K1353" s="6">
        <v>0</v>
      </c>
      <c r="L1353" s="6">
        <v>-1.9630000000000001</v>
      </c>
      <c r="M1353" s="6">
        <v>-1.9630000000000001</v>
      </c>
      <c r="N1353" s="6">
        <v>-1.9630000000000001</v>
      </c>
      <c r="O1353" s="6">
        <v>-1.9630000000000001</v>
      </c>
      <c r="P1353" s="6">
        <v>-16</v>
      </c>
      <c r="Q1353" s="4" t="s">
        <v>26</v>
      </c>
      <c r="R1353" s="4">
        <v>0</v>
      </c>
      <c r="S1353" s="6">
        <v>0</v>
      </c>
      <c r="T1353" s="6">
        <v>42</v>
      </c>
      <c r="U1353" s="6">
        <v>86</v>
      </c>
      <c r="V1353" s="6">
        <f>IF(ISERROR(VLOOKUP($S$1353,'TAR FIN'!$A$1:$O$115,15,0)),0,VLOOKUP($S$1353,'TAR FIN'!$A$1:$O$115,15,0))</f>
        <v>0</v>
      </c>
      <c r="W1353" s="6">
        <f>IF(ISERROR(VLOOKUP($T$1353,'TAR FIN'!$A$1:$O$115,15,0)),0,VLOOKUP($T$1353,'TAR FIN'!$A$1:$O$115,15,0))</f>
        <v>363.71</v>
      </c>
      <c r="X1353" s="6">
        <f>IF(ISERROR(VLOOKUP($U$1353,'TAR FIN'!$A$1:$O$115,15,0)),0,VLOOKUP($U$1353,'TAR FIN'!$A$1:$O$115,15,0))</f>
        <v>158.91999999999999</v>
      </c>
      <c r="Y1353" s="6"/>
      <c r="Z1353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53" s="6">
        <f>('TE BE'!$AB$23+'TE BF'!$AB$23+'TE CVA'!$AB$23)*(1-CUSTOS!$M$36)</f>
        <v>207.6137769965251</v>
      </c>
      <c r="AB1353" s="6">
        <f>$K$1353*$V$1353</f>
        <v>0</v>
      </c>
      <c r="AC1353" s="6">
        <f>$M$1353*$W$1353</f>
        <v>-713.96272999999997</v>
      </c>
      <c r="AD1353" s="6">
        <f>$O$1353*$X$1353</f>
        <v>-311.95995999999997</v>
      </c>
      <c r="AE1353" s="6">
        <f>$K$1353*$Y$1353</f>
        <v>0</v>
      </c>
      <c r="AF1353" s="6">
        <f ca="1">$M$1353*$Z$1353</f>
        <v>-742.32130338212528</v>
      </c>
      <c r="AG1353" s="6">
        <f>$O$1353*$AA$1353</f>
        <v>-407.5458442441788</v>
      </c>
    </row>
    <row r="1354" spans="1:33" ht="11.25" customHeight="1" x14ac:dyDescent="0.25">
      <c r="A1354" s="4" t="s">
        <v>28</v>
      </c>
      <c r="B1354" s="4" t="s">
        <v>22</v>
      </c>
      <c r="C1354" s="4" t="s">
        <v>23</v>
      </c>
      <c r="D1354" s="4" t="s">
        <v>24</v>
      </c>
      <c r="E1354" s="4" t="s">
        <v>33</v>
      </c>
      <c r="F1354" s="4" t="s">
        <v>25</v>
      </c>
      <c r="G1354" s="4" t="s">
        <v>25</v>
      </c>
      <c r="H1354" s="4" t="s">
        <v>25</v>
      </c>
      <c r="I1354" s="5">
        <v>44774</v>
      </c>
      <c r="J1354" s="6">
        <v>0</v>
      </c>
      <c r="K1354" s="6">
        <v>0</v>
      </c>
      <c r="L1354" s="6">
        <v>1030.547</v>
      </c>
      <c r="M1354" s="6">
        <v>1030.547</v>
      </c>
      <c r="N1354" s="6">
        <v>1030.547</v>
      </c>
      <c r="O1354" s="6">
        <v>1030.547</v>
      </c>
      <c r="P1354" s="6">
        <v>13096</v>
      </c>
      <c r="Q1354" s="4" t="s">
        <v>26</v>
      </c>
      <c r="R1354" s="4">
        <v>0</v>
      </c>
      <c r="S1354" s="6">
        <v>0</v>
      </c>
      <c r="T1354" s="6">
        <v>42</v>
      </c>
      <c r="U1354" s="6">
        <v>86</v>
      </c>
      <c r="V1354" s="6">
        <f>IF(ISERROR(VLOOKUP($S$1354,'TAR FIN'!$A$1:$O$115,15,0)),0,VLOOKUP($S$1354,'TAR FIN'!$A$1:$O$115,15,0))</f>
        <v>0</v>
      </c>
      <c r="W1354" s="6">
        <f>IF(ISERROR(VLOOKUP($T$1354,'TAR FIN'!$A$1:$O$115,15,0)),0,VLOOKUP($T$1354,'TAR FIN'!$A$1:$O$115,15,0))</f>
        <v>363.71</v>
      </c>
      <c r="X1354" s="6">
        <f>IF(ISERROR(VLOOKUP($U$1354,'TAR FIN'!$A$1:$O$115,15,0)),0,VLOOKUP($U$1354,'TAR FIN'!$A$1:$O$115,15,0))</f>
        <v>158.91999999999999</v>
      </c>
      <c r="Y1354" s="6"/>
      <c r="Z1354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54" s="6">
        <f>('TE BE'!$AB$23+'TE BF'!$AB$23+'TE CVA'!$AB$23)*(1-CUSTOS!$M$36)</f>
        <v>207.6137769965251</v>
      </c>
      <c r="AB1354" s="6">
        <f>$K$1354*$V$1354</f>
        <v>0</v>
      </c>
      <c r="AC1354" s="6">
        <f>$M$1354*$W$1354</f>
        <v>374820.24936999998</v>
      </c>
      <c r="AD1354" s="6">
        <f>$O$1354*$X$1354</f>
        <v>163774.52924</v>
      </c>
      <c r="AE1354" s="6">
        <f>$K$1354*$Y$1354</f>
        <v>0</v>
      </c>
      <c r="AF1354" s="6">
        <f ca="1">$M$1354*$Z$1354</f>
        <v>389708.09589227661</v>
      </c>
      <c r="AG1354" s="6">
        <f>$O$1354*$AA$1354</f>
        <v>213955.75504243796</v>
      </c>
    </row>
    <row r="1355" spans="1:33" ht="11.25" customHeight="1" x14ac:dyDescent="0.25">
      <c r="A1355" s="4" t="s">
        <v>29</v>
      </c>
      <c r="B1355" s="4" t="s">
        <v>22</v>
      </c>
      <c r="C1355" s="4" t="s">
        <v>23</v>
      </c>
      <c r="D1355" s="4" t="s">
        <v>24</v>
      </c>
      <c r="E1355" s="4" t="s">
        <v>33</v>
      </c>
      <c r="F1355" s="4" t="s">
        <v>25</v>
      </c>
      <c r="G1355" s="4" t="s">
        <v>25</v>
      </c>
      <c r="H1355" s="4" t="s">
        <v>25</v>
      </c>
      <c r="I1355" s="5">
        <v>44774</v>
      </c>
      <c r="J1355" s="6">
        <v>0</v>
      </c>
      <c r="K1355" s="6">
        <v>0</v>
      </c>
      <c r="L1355" s="6">
        <v>-2.016</v>
      </c>
      <c r="M1355" s="6">
        <v>-2.016</v>
      </c>
      <c r="N1355" s="6">
        <v>-2.016</v>
      </c>
      <c r="O1355" s="6">
        <v>-2.016</v>
      </c>
      <c r="P1355" s="6">
        <v>-8</v>
      </c>
      <c r="Q1355" s="4" t="s">
        <v>26</v>
      </c>
      <c r="R1355" s="4">
        <v>0</v>
      </c>
      <c r="S1355" s="6">
        <v>0</v>
      </c>
      <c r="T1355" s="6">
        <v>42</v>
      </c>
      <c r="U1355" s="6">
        <v>86</v>
      </c>
      <c r="V1355" s="6">
        <f>IF(ISERROR(VLOOKUP($S$1355,'TAR FIN'!$A$1:$O$115,15,0)),0,VLOOKUP($S$1355,'TAR FIN'!$A$1:$O$115,15,0))</f>
        <v>0</v>
      </c>
      <c r="W1355" s="6">
        <f>IF(ISERROR(VLOOKUP($T$1355,'TAR FIN'!$A$1:$O$115,15,0)),0,VLOOKUP($T$1355,'TAR FIN'!$A$1:$O$115,15,0))</f>
        <v>363.71</v>
      </c>
      <c r="X1355" s="6">
        <f>IF(ISERROR(VLOOKUP($U$1355,'TAR FIN'!$A$1:$O$115,15,0)),0,VLOOKUP($U$1355,'TAR FIN'!$A$1:$O$115,15,0))</f>
        <v>158.91999999999999</v>
      </c>
      <c r="Y1355" s="6"/>
      <c r="Z1355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55" s="6">
        <f>('TE BE'!$AB$23+'TE BF'!$AB$23+'TE CVA'!$AB$23)*(1-CUSTOS!$M$36)</f>
        <v>207.6137769965251</v>
      </c>
      <c r="AB1355" s="6">
        <f>$K$1355*$V$1355</f>
        <v>0</v>
      </c>
      <c r="AC1355" s="6">
        <f>$M$1355*$W$1355</f>
        <v>-733.23935999999992</v>
      </c>
      <c r="AD1355" s="6">
        <f>$O$1355*$X$1355</f>
        <v>-320.38271999999995</v>
      </c>
      <c r="AE1355" s="6">
        <f>$K$1355*$Y$1355</f>
        <v>0</v>
      </c>
      <c r="AF1355" s="6">
        <f ca="1">$M$1355*$Z$1355</f>
        <v>-762.36360041689477</v>
      </c>
      <c r="AG1355" s="6">
        <f>$O$1355*$AA$1355</f>
        <v>-418.5493744249946</v>
      </c>
    </row>
    <row r="1356" spans="1:33" ht="11.25" customHeight="1" x14ac:dyDescent="0.25">
      <c r="A1356" s="4" t="s">
        <v>30</v>
      </c>
      <c r="B1356" s="4" t="s">
        <v>22</v>
      </c>
      <c r="C1356" s="4" t="s">
        <v>23</v>
      </c>
      <c r="D1356" s="4" t="s">
        <v>24</v>
      </c>
      <c r="E1356" s="4" t="s">
        <v>33</v>
      </c>
      <c r="F1356" s="4" t="s">
        <v>25</v>
      </c>
      <c r="G1356" s="4" t="s">
        <v>25</v>
      </c>
      <c r="H1356" s="4" t="s">
        <v>25</v>
      </c>
      <c r="I1356" s="5">
        <v>44774</v>
      </c>
      <c r="J1356" s="6">
        <v>0</v>
      </c>
      <c r="K1356" s="6">
        <v>0</v>
      </c>
      <c r="L1356" s="6">
        <v>1.619</v>
      </c>
      <c r="M1356" s="6">
        <v>1.619</v>
      </c>
      <c r="N1356" s="6">
        <v>1.619</v>
      </c>
      <c r="O1356" s="6">
        <v>1.619</v>
      </c>
      <c r="P1356" s="6">
        <v>9</v>
      </c>
      <c r="Q1356" s="4" t="s">
        <v>26</v>
      </c>
      <c r="R1356" s="4">
        <v>0</v>
      </c>
      <c r="S1356" s="6">
        <v>0</v>
      </c>
      <c r="T1356" s="6">
        <v>42</v>
      </c>
      <c r="U1356" s="6">
        <v>86</v>
      </c>
      <c r="V1356" s="6">
        <f>IF(ISERROR(VLOOKUP($S$1356,'TAR FIN'!$A$1:$O$115,15,0)),0,VLOOKUP($S$1356,'TAR FIN'!$A$1:$O$115,15,0))</f>
        <v>0</v>
      </c>
      <c r="W1356" s="6">
        <f>IF(ISERROR(VLOOKUP($T$1356,'TAR FIN'!$A$1:$O$115,15,0)),0,VLOOKUP($T$1356,'TAR FIN'!$A$1:$O$115,15,0))</f>
        <v>363.71</v>
      </c>
      <c r="X1356" s="6">
        <f>IF(ISERROR(VLOOKUP($U$1356,'TAR FIN'!$A$1:$O$115,15,0)),0,VLOOKUP($U$1356,'TAR FIN'!$A$1:$O$115,15,0))</f>
        <v>158.91999999999999</v>
      </c>
      <c r="Y1356" s="6"/>
      <c r="Z1356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56" s="6">
        <f>('TE BE'!$AB$23+'TE BF'!$AB$23+'TE CVA'!$AB$23)*(1-CUSTOS!$M$36)</f>
        <v>207.6137769965251</v>
      </c>
      <c r="AB1356" s="6">
        <f>$K$1356*$V$1356</f>
        <v>0</v>
      </c>
      <c r="AC1356" s="6">
        <f>$M$1356*$W$1356</f>
        <v>588.84649000000002</v>
      </c>
      <c r="AD1356" s="6">
        <f>$O$1356*$X$1356</f>
        <v>257.29147999999998</v>
      </c>
      <c r="AE1356" s="6">
        <f>$K$1356*$Y$1356</f>
        <v>0</v>
      </c>
      <c r="AF1356" s="6">
        <f ca="1">$M$1356*$Z$1356</f>
        <v>612.235450930036</v>
      </c>
      <c r="AG1356" s="6">
        <f>$O$1356*$AA$1356</f>
        <v>336.12670495737416</v>
      </c>
    </row>
    <row r="1357" spans="1:33" ht="11.25" customHeight="1" x14ac:dyDescent="0.25">
      <c r="A1357" s="4" t="s">
        <v>21</v>
      </c>
      <c r="B1357" s="4" t="s">
        <v>22</v>
      </c>
      <c r="C1357" s="4" t="s">
        <v>23</v>
      </c>
      <c r="D1357" s="4" t="s">
        <v>24</v>
      </c>
      <c r="E1357" s="4" t="s">
        <v>33</v>
      </c>
      <c r="F1357" s="4" t="s">
        <v>25</v>
      </c>
      <c r="G1357" s="4" t="s">
        <v>25</v>
      </c>
      <c r="H1357" s="4" t="s">
        <v>25</v>
      </c>
      <c r="I1357" s="5">
        <v>44805</v>
      </c>
      <c r="J1357" s="6">
        <v>0</v>
      </c>
      <c r="K1357" s="6">
        <v>0</v>
      </c>
      <c r="L1357" s="6">
        <v>2420.0030000000002</v>
      </c>
      <c r="M1357" s="6">
        <v>2420.0030000000002</v>
      </c>
      <c r="N1357" s="6">
        <v>2420.0030000000002</v>
      </c>
      <c r="O1357" s="6">
        <v>2420.0030000000002</v>
      </c>
      <c r="P1357" s="6">
        <v>21267</v>
      </c>
      <c r="Q1357" s="4" t="s">
        <v>26</v>
      </c>
      <c r="R1357" s="4">
        <v>0</v>
      </c>
      <c r="S1357" s="6">
        <v>0</v>
      </c>
      <c r="T1357" s="6">
        <v>42</v>
      </c>
      <c r="U1357" s="6">
        <v>86</v>
      </c>
      <c r="V1357" s="6">
        <f>IF(ISERROR(VLOOKUP($S$1357,'TAR FIN'!$A$1:$O$115,15,0)),0,VLOOKUP($S$1357,'TAR FIN'!$A$1:$O$115,15,0))</f>
        <v>0</v>
      </c>
      <c r="W1357" s="6">
        <f>IF(ISERROR(VLOOKUP($T$1357,'TAR FIN'!$A$1:$O$115,15,0)),0,VLOOKUP($T$1357,'TAR FIN'!$A$1:$O$115,15,0))</f>
        <v>363.71</v>
      </c>
      <c r="X1357" s="6">
        <f>IF(ISERROR(VLOOKUP($U$1357,'TAR FIN'!$A$1:$O$115,15,0)),0,VLOOKUP($U$1357,'TAR FIN'!$A$1:$O$115,15,0))</f>
        <v>158.91999999999999</v>
      </c>
      <c r="Y1357" s="6"/>
      <c r="Z1357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57" s="6">
        <f>('TE BE'!$AB$23+'TE BF'!$AB$23+'TE CVA'!$AB$23)*(1-CUSTOS!$M$36)</f>
        <v>207.6137769965251</v>
      </c>
      <c r="AB1357" s="6">
        <f>$K$1357*$V$1357</f>
        <v>0</v>
      </c>
      <c r="AC1357" s="6">
        <f>$M$1357*$W$1357</f>
        <v>880179.29113000003</v>
      </c>
      <c r="AD1357" s="6">
        <f>$O$1357*$X$1357</f>
        <v>384586.87676000001</v>
      </c>
      <c r="AE1357" s="6">
        <f>$K$1357*$Y$1357</f>
        <v>0</v>
      </c>
      <c r="AF1357" s="6">
        <f ca="1">$M$1357*$Z$1357</f>
        <v>915139.98020817793</v>
      </c>
      <c r="AG1357" s="6">
        <f>$O$1357*$AA$1357</f>
        <v>502425.96317292179</v>
      </c>
    </row>
    <row r="1358" spans="1:33" ht="11.25" customHeight="1" x14ac:dyDescent="0.25">
      <c r="A1358" s="4" t="s">
        <v>27</v>
      </c>
      <c r="B1358" s="4" t="s">
        <v>22</v>
      </c>
      <c r="C1358" s="4" t="s">
        <v>23</v>
      </c>
      <c r="D1358" s="4" t="s">
        <v>24</v>
      </c>
      <c r="E1358" s="4" t="s">
        <v>33</v>
      </c>
      <c r="F1358" s="4" t="s">
        <v>25</v>
      </c>
      <c r="G1358" s="4" t="s">
        <v>25</v>
      </c>
      <c r="H1358" s="4" t="s">
        <v>25</v>
      </c>
      <c r="I1358" s="5">
        <v>44805</v>
      </c>
      <c r="J1358" s="6">
        <v>0</v>
      </c>
      <c r="K1358" s="6">
        <v>0</v>
      </c>
      <c r="L1358" s="6">
        <v>-5.4390000000000001</v>
      </c>
      <c r="M1358" s="6">
        <v>-5.4390000000000001</v>
      </c>
      <c r="N1358" s="6">
        <v>-5.4390000000000001</v>
      </c>
      <c r="O1358" s="6">
        <v>-5.4390000000000001</v>
      </c>
      <c r="P1358" s="6">
        <v>-3</v>
      </c>
      <c r="Q1358" s="4" t="s">
        <v>26</v>
      </c>
      <c r="R1358" s="4">
        <v>0</v>
      </c>
      <c r="S1358" s="6">
        <v>0</v>
      </c>
      <c r="T1358" s="6">
        <v>42</v>
      </c>
      <c r="U1358" s="6">
        <v>86</v>
      </c>
      <c r="V1358" s="6">
        <f>IF(ISERROR(VLOOKUP($S$1358,'TAR FIN'!$A$1:$O$115,15,0)),0,VLOOKUP($S$1358,'TAR FIN'!$A$1:$O$115,15,0))</f>
        <v>0</v>
      </c>
      <c r="W1358" s="6">
        <f>IF(ISERROR(VLOOKUP($T$1358,'TAR FIN'!$A$1:$O$115,15,0)),0,VLOOKUP($T$1358,'TAR FIN'!$A$1:$O$115,15,0))</f>
        <v>363.71</v>
      </c>
      <c r="X1358" s="6">
        <f>IF(ISERROR(VLOOKUP($U$1358,'TAR FIN'!$A$1:$O$115,15,0)),0,VLOOKUP($U$1358,'TAR FIN'!$A$1:$O$115,15,0))</f>
        <v>158.91999999999999</v>
      </c>
      <c r="Y1358" s="6"/>
      <c r="Z1358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58" s="6">
        <f>('TE BE'!$AB$23+'TE BF'!$AB$23+'TE CVA'!$AB$23)*(1-CUSTOS!$M$36)</f>
        <v>207.6137769965251</v>
      </c>
      <c r="AB1358" s="6">
        <f>$K$1358*$V$1358</f>
        <v>0</v>
      </c>
      <c r="AC1358" s="6">
        <f>$M$1358*$W$1358</f>
        <v>-1978.2186899999999</v>
      </c>
      <c r="AD1358" s="6">
        <f>$O$1358*$X$1358</f>
        <v>-864.36587999999995</v>
      </c>
      <c r="AE1358" s="6">
        <f>$K$1358*$Y$1358</f>
        <v>0</v>
      </c>
      <c r="AF1358" s="6">
        <f ca="1">$M$1358*$Z$1358</f>
        <v>-2056.7934636247473</v>
      </c>
      <c r="AG1358" s="6">
        <f>$O$1358*$AA$1358</f>
        <v>-1129.2113330841</v>
      </c>
    </row>
    <row r="1359" spans="1:33" ht="11.25" customHeight="1" x14ac:dyDescent="0.25">
      <c r="A1359" s="4" t="s">
        <v>28</v>
      </c>
      <c r="B1359" s="4" t="s">
        <v>22</v>
      </c>
      <c r="C1359" s="4" t="s">
        <v>23</v>
      </c>
      <c r="D1359" s="4" t="s">
        <v>24</v>
      </c>
      <c r="E1359" s="4" t="s">
        <v>33</v>
      </c>
      <c r="F1359" s="4" t="s">
        <v>25</v>
      </c>
      <c r="G1359" s="4" t="s">
        <v>25</v>
      </c>
      <c r="H1359" s="4" t="s">
        <v>25</v>
      </c>
      <c r="I1359" s="5">
        <v>44805</v>
      </c>
      <c r="J1359" s="6">
        <v>0</v>
      </c>
      <c r="K1359" s="6">
        <v>0</v>
      </c>
      <c r="L1359" s="6">
        <v>785.86599999999999</v>
      </c>
      <c r="M1359" s="6">
        <v>785.86599999999999</v>
      </c>
      <c r="N1359" s="6">
        <v>785.86599999999999</v>
      </c>
      <c r="O1359" s="6">
        <v>785.86599999999999</v>
      </c>
      <c r="P1359" s="6">
        <v>9611</v>
      </c>
      <c r="Q1359" s="4" t="s">
        <v>26</v>
      </c>
      <c r="R1359" s="4">
        <v>0</v>
      </c>
      <c r="S1359" s="6">
        <v>0</v>
      </c>
      <c r="T1359" s="6">
        <v>42</v>
      </c>
      <c r="U1359" s="6">
        <v>86</v>
      </c>
      <c r="V1359" s="6">
        <f>IF(ISERROR(VLOOKUP($S$1359,'TAR FIN'!$A$1:$O$115,15,0)),0,VLOOKUP($S$1359,'TAR FIN'!$A$1:$O$115,15,0))</f>
        <v>0</v>
      </c>
      <c r="W1359" s="6">
        <f>IF(ISERROR(VLOOKUP($T$1359,'TAR FIN'!$A$1:$O$115,15,0)),0,VLOOKUP($T$1359,'TAR FIN'!$A$1:$O$115,15,0))</f>
        <v>363.71</v>
      </c>
      <c r="X1359" s="6">
        <f>IF(ISERROR(VLOOKUP($U$1359,'TAR FIN'!$A$1:$O$115,15,0)),0,VLOOKUP($U$1359,'TAR FIN'!$A$1:$O$115,15,0))</f>
        <v>158.91999999999999</v>
      </c>
      <c r="Y1359" s="6"/>
      <c r="Z1359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59" s="6">
        <f>('TE BE'!$AB$23+'TE BF'!$AB$23+'TE CVA'!$AB$23)*(1-CUSTOS!$M$36)</f>
        <v>207.6137769965251</v>
      </c>
      <c r="AB1359" s="6">
        <f>$K$1359*$V$1359</f>
        <v>0</v>
      </c>
      <c r="AC1359" s="6">
        <f>$M$1359*$W$1359</f>
        <v>285827.32285999996</v>
      </c>
      <c r="AD1359" s="6">
        <f>$O$1359*$X$1359</f>
        <v>124889.82471999999</v>
      </c>
      <c r="AE1359" s="6">
        <f>$K$1359*$Y$1359</f>
        <v>0</v>
      </c>
      <c r="AF1359" s="6">
        <f ca="1">$M$1359*$Z$1359</f>
        <v>297180.37361370208</v>
      </c>
      <c r="AG1359" s="6">
        <f>$O$1359*$AA$1359</f>
        <v>163156.60847315119</v>
      </c>
    </row>
    <row r="1360" spans="1:33" ht="11.25" customHeight="1" x14ac:dyDescent="0.25">
      <c r="A1360" s="4" t="s">
        <v>29</v>
      </c>
      <c r="B1360" s="4" t="s">
        <v>22</v>
      </c>
      <c r="C1360" s="4" t="s">
        <v>23</v>
      </c>
      <c r="D1360" s="4" t="s">
        <v>24</v>
      </c>
      <c r="E1360" s="4" t="s">
        <v>33</v>
      </c>
      <c r="F1360" s="4" t="s">
        <v>25</v>
      </c>
      <c r="G1360" s="4" t="s">
        <v>25</v>
      </c>
      <c r="H1360" s="4" t="s">
        <v>25</v>
      </c>
      <c r="I1360" s="5">
        <v>44805</v>
      </c>
      <c r="J1360" s="6">
        <v>0</v>
      </c>
      <c r="K1360" s="6">
        <v>0</v>
      </c>
      <c r="L1360" s="6">
        <v>-0.48</v>
      </c>
      <c r="M1360" s="6">
        <v>-0.48</v>
      </c>
      <c r="N1360" s="6">
        <v>-0.48</v>
      </c>
      <c r="O1360" s="6">
        <v>-0.48</v>
      </c>
      <c r="P1360" s="6">
        <v>0</v>
      </c>
      <c r="Q1360" s="4" t="s">
        <v>26</v>
      </c>
      <c r="R1360" s="4">
        <v>0</v>
      </c>
      <c r="S1360" s="6">
        <v>0</v>
      </c>
      <c r="T1360" s="6">
        <v>42</v>
      </c>
      <c r="U1360" s="6">
        <v>86</v>
      </c>
      <c r="V1360" s="6">
        <f>IF(ISERROR(VLOOKUP($S$1360,'TAR FIN'!$A$1:$O$115,15,0)),0,VLOOKUP($S$1360,'TAR FIN'!$A$1:$O$115,15,0))</f>
        <v>0</v>
      </c>
      <c r="W1360" s="6">
        <f>IF(ISERROR(VLOOKUP($T$1360,'TAR FIN'!$A$1:$O$115,15,0)),0,VLOOKUP($T$1360,'TAR FIN'!$A$1:$O$115,15,0))</f>
        <v>363.71</v>
      </c>
      <c r="X1360" s="6">
        <f>IF(ISERROR(VLOOKUP($U$1360,'TAR FIN'!$A$1:$O$115,15,0)),0,VLOOKUP($U$1360,'TAR FIN'!$A$1:$O$115,15,0))</f>
        <v>158.91999999999999</v>
      </c>
      <c r="Y1360" s="6"/>
      <c r="Z1360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60" s="6">
        <f>('TE BE'!$AB$23+'TE BF'!$AB$23+'TE CVA'!$AB$23)*(1-CUSTOS!$M$36)</f>
        <v>207.6137769965251</v>
      </c>
      <c r="AB1360" s="6">
        <f>$K$1360*$V$1360</f>
        <v>0</v>
      </c>
      <c r="AC1360" s="6">
        <f>$M$1360*$W$1360</f>
        <v>-174.58079999999998</v>
      </c>
      <c r="AD1360" s="6">
        <f>$O$1360*$X$1360</f>
        <v>-76.281599999999997</v>
      </c>
      <c r="AE1360" s="6">
        <f>$K$1360*$Y$1360</f>
        <v>0</v>
      </c>
      <c r="AF1360" s="6">
        <f ca="1">$M$1360*$Z$1360</f>
        <v>-181.51514295640351</v>
      </c>
      <c r="AG1360" s="6">
        <f>$O$1360*$AA$1360</f>
        <v>-99.654612958332052</v>
      </c>
    </row>
    <row r="1361" spans="1:33" ht="11.25" customHeight="1" x14ac:dyDescent="0.25">
      <c r="A1361" s="4" t="s">
        <v>30</v>
      </c>
      <c r="B1361" s="4" t="s">
        <v>22</v>
      </c>
      <c r="C1361" s="4" t="s">
        <v>23</v>
      </c>
      <c r="D1361" s="4" t="s">
        <v>24</v>
      </c>
      <c r="E1361" s="4" t="s">
        <v>33</v>
      </c>
      <c r="F1361" s="4" t="s">
        <v>25</v>
      </c>
      <c r="G1361" s="4" t="s">
        <v>25</v>
      </c>
      <c r="H1361" s="4" t="s">
        <v>25</v>
      </c>
      <c r="I1361" s="5">
        <v>44805</v>
      </c>
      <c r="J1361" s="6">
        <v>0</v>
      </c>
      <c r="K1361" s="6">
        <v>0</v>
      </c>
      <c r="L1361" s="6">
        <v>1.736</v>
      </c>
      <c r="M1361" s="6">
        <v>1.736</v>
      </c>
      <c r="N1361" s="6">
        <v>1.736</v>
      </c>
      <c r="O1361" s="6">
        <v>1.736</v>
      </c>
      <c r="P1361" s="6">
        <v>7</v>
      </c>
      <c r="Q1361" s="4" t="s">
        <v>26</v>
      </c>
      <c r="R1361" s="4">
        <v>0</v>
      </c>
      <c r="S1361" s="6">
        <v>0</v>
      </c>
      <c r="T1361" s="6">
        <v>42</v>
      </c>
      <c r="U1361" s="6">
        <v>86</v>
      </c>
      <c r="V1361" s="6">
        <f>IF(ISERROR(VLOOKUP($S$1361,'TAR FIN'!$A$1:$O$115,15,0)),0,VLOOKUP($S$1361,'TAR FIN'!$A$1:$O$115,15,0))</f>
        <v>0</v>
      </c>
      <c r="W1361" s="6">
        <f>IF(ISERROR(VLOOKUP($T$1361,'TAR FIN'!$A$1:$O$115,15,0)),0,VLOOKUP($T$1361,'TAR FIN'!$A$1:$O$115,15,0))</f>
        <v>363.71</v>
      </c>
      <c r="X1361" s="6">
        <f>IF(ISERROR(VLOOKUP($U$1361,'TAR FIN'!$A$1:$O$115,15,0)),0,VLOOKUP($U$1361,'TAR FIN'!$A$1:$O$115,15,0))</f>
        <v>158.91999999999999</v>
      </c>
      <c r="Y1361" s="6"/>
      <c r="Z1361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61" s="6">
        <f>('TE BE'!$AB$23+'TE BF'!$AB$23+'TE CVA'!$AB$23)*(1-CUSTOS!$M$36)</f>
        <v>207.6137769965251</v>
      </c>
      <c r="AB1361" s="6">
        <f>$K$1361*$V$1361</f>
        <v>0</v>
      </c>
      <c r="AC1361" s="6">
        <f>$M$1361*$W$1361</f>
        <v>631.40055999999993</v>
      </c>
      <c r="AD1361" s="6">
        <f>$O$1361*$X$1361</f>
        <v>275.88511999999997</v>
      </c>
      <c r="AE1361" s="6">
        <f>$K$1361*$Y$1361</f>
        <v>0</v>
      </c>
      <c r="AF1361" s="6">
        <f ca="1">$M$1361*$Z$1361</f>
        <v>656.47976702565938</v>
      </c>
      <c r="AG1361" s="6">
        <f>$O$1361*$AA$1361</f>
        <v>360.41751686596757</v>
      </c>
    </row>
    <row r="1362" spans="1:33" ht="11.25" customHeight="1" x14ac:dyDescent="0.25">
      <c r="A1362" s="4" t="s">
        <v>21</v>
      </c>
      <c r="B1362" s="4" t="s">
        <v>22</v>
      </c>
      <c r="C1362" s="4" t="s">
        <v>23</v>
      </c>
      <c r="D1362" s="4" t="s">
        <v>24</v>
      </c>
      <c r="E1362" s="4" t="s">
        <v>33</v>
      </c>
      <c r="F1362" s="4" t="s">
        <v>25</v>
      </c>
      <c r="G1362" s="4" t="s">
        <v>25</v>
      </c>
      <c r="H1362" s="4" t="s">
        <v>25</v>
      </c>
      <c r="I1362" s="5">
        <v>44835</v>
      </c>
      <c r="J1362" s="6">
        <v>0</v>
      </c>
      <c r="K1362" s="6">
        <v>0</v>
      </c>
      <c r="L1362" s="6">
        <v>2705.0569999999998</v>
      </c>
      <c r="M1362" s="6">
        <v>2705.0569999999998</v>
      </c>
      <c r="N1362" s="6">
        <v>2705.0569999999998</v>
      </c>
      <c r="O1362" s="6">
        <v>2705.0569999999998</v>
      </c>
      <c r="P1362" s="6">
        <v>21473</v>
      </c>
      <c r="Q1362" s="4" t="s">
        <v>26</v>
      </c>
      <c r="R1362" s="4">
        <v>0</v>
      </c>
      <c r="S1362" s="6">
        <v>0</v>
      </c>
      <c r="T1362" s="6">
        <v>42</v>
      </c>
      <c r="U1362" s="6">
        <v>86</v>
      </c>
      <c r="V1362" s="6">
        <f>IF(ISERROR(VLOOKUP($S$1362,'TAR FIN'!$A$1:$O$115,15,0)),0,VLOOKUP($S$1362,'TAR FIN'!$A$1:$O$115,15,0))</f>
        <v>0</v>
      </c>
      <c r="W1362" s="6">
        <f>IF(ISERROR(VLOOKUP($T$1362,'TAR FIN'!$A$1:$O$115,15,0)),0,VLOOKUP($T$1362,'TAR FIN'!$A$1:$O$115,15,0))</f>
        <v>363.71</v>
      </c>
      <c r="X1362" s="6">
        <f>IF(ISERROR(VLOOKUP($U$1362,'TAR FIN'!$A$1:$O$115,15,0)),0,VLOOKUP($U$1362,'TAR FIN'!$A$1:$O$115,15,0))</f>
        <v>158.91999999999999</v>
      </c>
      <c r="Y1362" s="6"/>
      <c r="Z1362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62" s="6">
        <f>('TE BE'!$AB$23+'TE BF'!$AB$23+'TE CVA'!$AB$23)*(1-CUSTOS!$M$36)</f>
        <v>207.6137769965251</v>
      </c>
      <c r="AB1362" s="6">
        <f>$K$1362*$V$1362</f>
        <v>0</v>
      </c>
      <c r="AC1362" s="6">
        <f>$M$1362*$W$1362</f>
        <v>983856.28146999981</v>
      </c>
      <c r="AD1362" s="6">
        <f>$O$1362*$X$1362</f>
        <v>429887.65843999991</v>
      </c>
      <c r="AE1362" s="6">
        <f>$K$1362*$Y$1362</f>
        <v>0</v>
      </c>
      <c r="AF1362" s="6">
        <f ca="1">$M$1362*$Z$1362</f>
        <v>1022935.0167921251</v>
      </c>
      <c r="AG1362" s="6">
        <f>$O$1362*$AA$1362</f>
        <v>561607.10076088912</v>
      </c>
    </row>
    <row r="1363" spans="1:33" ht="11.25" customHeight="1" x14ac:dyDescent="0.25">
      <c r="A1363" s="4" t="s">
        <v>27</v>
      </c>
      <c r="B1363" s="4" t="s">
        <v>22</v>
      </c>
      <c r="C1363" s="4" t="s">
        <v>23</v>
      </c>
      <c r="D1363" s="4" t="s">
        <v>24</v>
      </c>
      <c r="E1363" s="4" t="s">
        <v>33</v>
      </c>
      <c r="F1363" s="4" t="s">
        <v>25</v>
      </c>
      <c r="G1363" s="4" t="s">
        <v>25</v>
      </c>
      <c r="H1363" s="4" t="s">
        <v>25</v>
      </c>
      <c r="I1363" s="5">
        <v>44835</v>
      </c>
      <c r="J1363" s="6">
        <v>0</v>
      </c>
      <c r="K1363" s="6">
        <v>0</v>
      </c>
      <c r="L1363" s="6">
        <v>-8.7959999999999994</v>
      </c>
      <c r="M1363" s="6">
        <v>-8.7959999999999994</v>
      </c>
      <c r="N1363" s="6">
        <v>-8.7959999999999994</v>
      </c>
      <c r="O1363" s="6">
        <v>-8.7959999999999994</v>
      </c>
      <c r="P1363" s="6">
        <v>-7</v>
      </c>
      <c r="Q1363" s="4" t="s">
        <v>26</v>
      </c>
      <c r="R1363" s="4">
        <v>0</v>
      </c>
      <c r="S1363" s="6">
        <v>0</v>
      </c>
      <c r="T1363" s="6">
        <v>42</v>
      </c>
      <c r="U1363" s="6">
        <v>86</v>
      </c>
      <c r="V1363" s="6">
        <f>IF(ISERROR(VLOOKUP($S$1363,'TAR FIN'!$A$1:$O$115,15,0)),0,VLOOKUP($S$1363,'TAR FIN'!$A$1:$O$115,15,0))</f>
        <v>0</v>
      </c>
      <c r="W1363" s="6">
        <f>IF(ISERROR(VLOOKUP($T$1363,'TAR FIN'!$A$1:$O$115,15,0)),0,VLOOKUP($T$1363,'TAR FIN'!$A$1:$O$115,15,0))</f>
        <v>363.71</v>
      </c>
      <c r="X1363" s="6">
        <f>IF(ISERROR(VLOOKUP($U$1363,'TAR FIN'!$A$1:$O$115,15,0)),0,VLOOKUP($U$1363,'TAR FIN'!$A$1:$O$115,15,0))</f>
        <v>158.91999999999999</v>
      </c>
      <c r="Y1363" s="6"/>
      <c r="Z1363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63" s="6">
        <f>('TE BE'!$AB$23+'TE BF'!$AB$23+'TE CVA'!$AB$23)*(1-CUSTOS!$M$36)</f>
        <v>207.6137769965251</v>
      </c>
      <c r="AB1363" s="6">
        <f>$K$1363*$V$1363</f>
        <v>0</v>
      </c>
      <c r="AC1363" s="6">
        <f>$M$1363*$W$1363</f>
        <v>-3199.1931599999998</v>
      </c>
      <c r="AD1363" s="6">
        <f>$O$1363*$X$1363</f>
        <v>-1397.8603199999998</v>
      </c>
      <c r="AE1363" s="6">
        <f>$K$1363*$Y$1363</f>
        <v>0</v>
      </c>
      <c r="AF1363" s="6">
        <f ca="1">$M$1363*$Z$1363</f>
        <v>-3326.2649946760944</v>
      </c>
      <c r="AG1363" s="6">
        <f>$O$1363*$AA$1363</f>
        <v>-1826.1707824614348</v>
      </c>
    </row>
    <row r="1364" spans="1:33" ht="11.25" customHeight="1" x14ac:dyDescent="0.25">
      <c r="A1364" s="4" t="s">
        <v>28</v>
      </c>
      <c r="B1364" s="4" t="s">
        <v>22</v>
      </c>
      <c r="C1364" s="4" t="s">
        <v>23</v>
      </c>
      <c r="D1364" s="4" t="s">
        <v>24</v>
      </c>
      <c r="E1364" s="4" t="s">
        <v>33</v>
      </c>
      <c r="F1364" s="4" t="s">
        <v>25</v>
      </c>
      <c r="G1364" s="4" t="s">
        <v>25</v>
      </c>
      <c r="H1364" s="4" t="s">
        <v>25</v>
      </c>
      <c r="I1364" s="5">
        <v>44835</v>
      </c>
      <c r="J1364" s="6">
        <v>0</v>
      </c>
      <c r="K1364" s="6">
        <v>0</v>
      </c>
      <c r="L1364" s="6">
        <v>864.66600000000005</v>
      </c>
      <c r="M1364" s="6">
        <v>864.66600000000005</v>
      </c>
      <c r="N1364" s="6">
        <v>864.66600000000005</v>
      </c>
      <c r="O1364" s="6">
        <v>864.66600000000005</v>
      </c>
      <c r="P1364" s="6">
        <v>9951</v>
      </c>
      <c r="Q1364" s="4" t="s">
        <v>26</v>
      </c>
      <c r="R1364" s="4">
        <v>0</v>
      </c>
      <c r="S1364" s="6">
        <v>0</v>
      </c>
      <c r="T1364" s="6">
        <v>42</v>
      </c>
      <c r="U1364" s="6">
        <v>86</v>
      </c>
      <c r="V1364" s="6">
        <f>IF(ISERROR(VLOOKUP($S$1364,'TAR FIN'!$A$1:$O$115,15,0)),0,VLOOKUP($S$1364,'TAR FIN'!$A$1:$O$115,15,0))</f>
        <v>0</v>
      </c>
      <c r="W1364" s="6">
        <f>IF(ISERROR(VLOOKUP($T$1364,'TAR FIN'!$A$1:$O$115,15,0)),0,VLOOKUP($T$1364,'TAR FIN'!$A$1:$O$115,15,0))</f>
        <v>363.71</v>
      </c>
      <c r="X1364" s="6">
        <f>IF(ISERROR(VLOOKUP($U$1364,'TAR FIN'!$A$1:$O$115,15,0)),0,VLOOKUP($U$1364,'TAR FIN'!$A$1:$O$115,15,0))</f>
        <v>158.91999999999999</v>
      </c>
      <c r="Y1364" s="6"/>
      <c r="Z1364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64" s="6">
        <f>('TE BE'!$AB$23+'TE BF'!$AB$23+'TE CVA'!$AB$23)*(1-CUSTOS!$M$36)</f>
        <v>207.6137769965251</v>
      </c>
      <c r="AB1364" s="6">
        <f>$K$1364*$V$1364</f>
        <v>0</v>
      </c>
      <c r="AC1364" s="6">
        <f>$M$1364*$W$1364</f>
        <v>314487.67086000001</v>
      </c>
      <c r="AD1364" s="6">
        <f>$O$1364*$X$1364</f>
        <v>137412.72072000001</v>
      </c>
      <c r="AE1364" s="6">
        <f>$K$1364*$Y$1364</f>
        <v>0</v>
      </c>
      <c r="AF1364" s="6">
        <f ca="1">$M$1364*$Z$1364</f>
        <v>326979.10958237835</v>
      </c>
      <c r="AG1364" s="6">
        <f>$O$1364*$AA$1364</f>
        <v>179516.57410047739</v>
      </c>
    </row>
    <row r="1365" spans="1:33" ht="11.25" customHeight="1" x14ac:dyDescent="0.25">
      <c r="A1365" s="4" t="s">
        <v>29</v>
      </c>
      <c r="B1365" s="4" t="s">
        <v>22</v>
      </c>
      <c r="C1365" s="4" t="s">
        <v>23</v>
      </c>
      <c r="D1365" s="4" t="s">
        <v>24</v>
      </c>
      <c r="E1365" s="4" t="s">
        <v>33</v>
      </c>
      <c r="F1365" s="4" t="s">
        <v>25</v>
      </c>
      <c r="G1365" s="4" t="s">
        <v>25</v>
      </c>
      <c r="H1365" s="4" t="s">
        <v>25</v>
      </c>
      <c r="I1365" s="5">
        <v>44835</v>
      </c>
      <c r="J1365" s="6">
        <v>0</v>
      </c>
      <c r="K1365" s="6">
        <v>0</v>
      </c>
      <c r="L1365" s="6">
        <v>-6.1689999999999996</v>
      </c>
      <c r="M1365" s="6">
        <v>-6.1689999999999996</v>
      </c>
      <c r="N1365" s="6">
        <v>-6.1689999999999996</v>
      </c>
      <c r="O1365" s="6">
        <v>-6.1689999999999996</v>
      </c>
      <c r="P1365" s="6">
        <v>0</v>
      </c>
      <c r="Q1365" s="4" t="s">
        <v>26</v>
      </c>
      <c r="R1365" s="4">
        <v>0</v>
      </c>
      <c r="S1365" s="6">
        <v>0</v>
      </c>
      <c r="T1365" s="6">
        <v>42</v>
      </c>
      <c r="U1365" s="6">
        <v>86</v>
      </c>
      <c r="V1365" s="6">
        <f>IF(ISERROR(VLOOKUP($S$1365,'TAR FIN'!$A$1:$O$115,15,0)),0,VLOOKUP($S$1365,'TAR FIN'!$A$1:$O$115,15,0))</f>
        <v>0</v>
      </c>
      <c r="W1365" s="6">
        <f>IF(ISERROR(VLOOKUP($T$1365,'TAR FIN'!$A$1:$O$115,15,0)),0,VLOOKUP($T$1365,'TAR FIN'!$A$1:$O$115,15,0))</f>
        <v>363.71</v>
      </c>
      <c r="X1365" s="6">
        <f>IF(ISERROR(VLOOKUP($U$1365,'TAR FIN'!$A$1:$O$115,15,0)),0,VLOOKUP($U$1365,'TAR FIN'!$A$1:$O$115,15,0))</f>
        <v>158.91999999999999</v>
      </c>
      <c r="Y1365" s="6"/>
      <c r="Z1365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65" s="6">
        <f>('TE BE'!$AB$23+'TE BF'!$AB$23+'TE CVA'!$AB$23)*(1-CUSTOS!$M$36)</f>
        <v>207.6137769965251</v>
      </c>
      <c r="AB1365" s="6">
        <f>$K$1365*$V$1365</f>
        <v>0</v>
      </c>
      <c r="AC1365" s="6">
        <f>$M$1365*$W$1365</f>
        <v>-2243.7269899999997</v>
      </c>
      <c r="AD1365" s="6">
        <f>$O$1365*$X$1365</f>
        <v>-980.37747999999988</v>
      </c>
      <c r="AE1365" s="6">
        <f>$K$1365*$Y$1365</f>
        <v>0</v>
      </c>
      <c r="AF1365" s="6">
        <f ca="1">$M$1365*$Z$1365</f>
        <v>-2332.8477435376108</v>
      </c>
      <c r="AG1365" s="6">
        <f>$O$1365*$AA$1365</f>
        <v>-1280.7693902915632</v>
      </c>
    </row>
    <row r="1366" spans="1:33" ht="11.25" customHeight="1" x14ac:dyDescent="0.25">
      <c r="A1366" s="4" t="s">
        <v>30</v>
      </c>
      <c r="B1366" s="4" t="s">
        <v>22</v>
      </c>
      <c r="C1366" s="4" t="s">
        <v>23</v>
      </c>
      <c r="D1366" s="4" t="s">
        <v>24</v>
      </c>
      <c r="E1366" s="4" t="s">
        <v>33</v>
      </c>
      <c r="F1366" s="4" t="s">
        <v>25</v>
      </c>
      <c r="G1366" s="4" t="s">
        <v>25</v>
      </c>
      <c r="H1366" s="4" t="s">
        <v>25</v>
      </c>
      <c r="I1366" s="5">
        <v>44835</v>
      </c>
      <c r="J1366" s="6">
        <v>0</v>
      </c>
      <c r="K1366" s="6">
        <v>0</v>
      </c>
      <c r="L1366" s="6">
        <v>2.1469999999999998</v>
      </c>
      <c r="M1366" s="6">
        <v>2.1469999999999998</v>
      </c>
      <c r="N1366" s="6">
        <v>2.1469999999999998</v>
      </c>
      <c r="O1366" s="6">
        <v>2.1469999999999998</v>
      </c>
      <c r="P1366" s="6">
        <v>5</v>
      </c>
      <c r="Q1366" s="4" t="s">
        <v>26</v>
      </c>
      <c r="R1366" s="4">
        <v>0</v>
      </c>
      <c r="S1366" s="6">
        <v>0</v>
      </c>
      <c r="T1366" s="6">
        <v>42</v>
      </c>
      <c r="U1366" s="6">
        <v>86</v>
      </c>
      <c r="V1366" s="6">
        <f>IF(ISERROR(VLOOKUP($S$1366,'TAR FIN'!$A$1:$O$115,15,0)),0,VLOOKUP($S$1366,'TAR FIN'!$A$1:$O$115,15,0))</f>
        <v>0</v>
      </c>
      <c r="W1366" s="6">
        <f>IF(ISERROR(VLOOKUP($T$1366,'TAR FIN'!$A$1:$O$115,15,0)),0,VLOOKUP($T$1366,'TAR FIN'!$A$1:$O$115,15,0))</f>
        <v>363.71</v>
      </c>
      <c r="X1366" s="6">
        <f>IF(ISERROR(VLOOKUP($U$1366,'TAR FIN'!$A$1:$O$115,15,0)),0,VLOOKUP($U$1366,'TAR FIN'!$A$1:$O$115,15,0))</f>
        <v>158.91999999999999</v>
      </c>
      <c r="Y1366" s="6"/>
      <c r="Z1366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66" s="6">
        <f>('TE BE'!$AB$23+'TE BF'!$AB$23+'TE CVA'!$AB$23)*(1-CUSTOS!$M$36)</f>
        <v>207.6137769965251</v>
      </c>
      <c r="AB1366" s="6">
        <f>$K$1366*$V$1366</f>
        <v>0</v>
      </c>
      <c r="AC1366" s="6">
        <f>$M$1366*$W$1366</f>
        <v>780.88536999999985</v>
      </c>
      <c r="AD1366" s="6">
        <f>$O$1366*$X$1366</f>
        <v>341.20123999999993</v>
      </c>
      <c r="AE1366" s="6">
        <f>$K$1366*$Y$1366</f>
        <v>0</v>
      </c>
      <c r="AF1366" s="6">
        <f ca="1">$M$1366*$Z$1366</f>
        <v>811.90210818207981</v>
      </c>
      <c r="AG1366" s="6">
        <f>$O$1366*$AA$1366</f>
        <v>445.74677921153938</v>
      </c>
    </row>
    <row r="1367" spans="1:33" ht="11.25" customHeight="1" x14ac:dyDescent="0.25">
      <c r="A1367" s="4" t="s">
        <v>59</v>
      </c>
      <c r="B1367" s="4" t="s">
        <v>22</v>
      </c>
      <c r="C1367" s="4" t="s">
        <v>23</v>
      </c>
      <c r="D1367" s="4" t="s">
        <v>24</v>
      </c>
      <c r="E1367" s="4" t="s">
        <v>33</v>
      </c>
      <c r="F1367" s="4" t="s">
        <v>25</v>
      </c>
      <c r="G1367" s="4" t="s">
        <v>25</v>
      </c>
      <c r="H1367" s="4" t="s">
        <v>25</v>
      </c>
      <c r="I1367" s="5">
        <v>44866</v>
      </c>
      <c r="J1367" s="6">
        <v>0</v>
      </c>
      <c r="K1367" s="6">
        <v>0</v>
      </c>
      <c r="L1367" s="6">
        <v>2705.0569999999998</v>
      </c>
      <c r="M1367" s="6">
        <v>2705.0569999999998</v>
      </c>
      <c r="N1367" s="6">
        <v>2705.0569999999998</v>
      </c>
      <c r="O1367" s="6">
        <v>2705.0569999999998</v>
      </c>
      <c r="P1367" s="6">
        <v>21473</v>
      </c>
      <c r="Q1367" s="4" t="s">
        <v>26</v>
      </c>
      <c r="R1367" s="4">
        <v>0</v>
      </c>
      <c r="S1367" s="6">
        <v>0</v>
      </c>
      <c r="T1367" s="6">
        <v>42</v>
      </c>
      <c r="U1367" s="6">
        <v>86</v>
      </c>
      <c r="V1367" s="6">
        <f>IF(ISERROR(VLOOKUP($S$1367,'TAR FIN'!$A$1:$O$115,15,0)),0,VLOOKUP($S$1367,'TAR FIN'!$A$1:$O$115,15,0))</f>
        <v>0</v>
      </c>
      <c r="W1367" s="6">
        <f>IF(ISERROR(VLOOKUP($T$1367,'TAR FIN'!$A$1:$O$115,15,0)),0,VLOOKUP($T$1367,'TAR FIN'!$A$1:$O$115,15,0))</f>
        <v>363.71</v>
      </c>
      <c r="X1367" s="6">
        <f>IF(ISERROR(VLOOKUP($U$1367,'TAR FIN'!$A$1:$O$115,15,0)),0,VLOOKUP($U$1367,'TAR FIN'!$A$1:$O$115,15,0))</f>
        <v>158.91999999999999</v>
      </c>
      <c r="Y1367" s="6"/>
      <c r="Z1367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67" s="6">
        <f>('TE BE'!$AB$23+'TE BF'!$AB$23+'TE CVA'!$AB$23)*(1-CUSTOS!$M$36)</f>
        <v>207.6137769965251</v>
      </c>
      <c r="AB1367" s="6">
        <f>$K$1367*$V$1367</f>
        <v>0</v>
      </c>
      <c r="AC1367" s="6">
        <f>$M$1367*$W$1367</f>
        <v>983856.28146999981</v>
      </c>
      <c r="AD1367" s="6">
        <f>$O$1367*$X$1367</f>
        <v>429887.65843999991</v>
      </c>
      <c r="AE1367" s="6">
        <f>$K$1367*$Y$1367</f>
        <v>0</v>
      </c>
      <c r="AF1367" s="6">
        <f ca="1">$M$1367*$Z$1367</f>
        <v>1022935.0167921251</v>
      </c>
      <c r="AG1367" s="6">
        <f>$O$1367*$AA$1367</f>
        <v>561607.10076088912</v>
      </c>
    </row>
    <row r="1368" spans="1:33" ht="11.25" customHeight="1" x14ac:dyDescent="0.25">
      <c r="A1368" s="4" t="s">
        <v>59</v>
      </c>
      <c r="B1368" s="4" t="s">
        <v>22</v>
      </c>
      <c r="C1368" s="4" t="s">
        <v>23</v>
      </c>
      <c r="D1368" s="4" t="s">
        <v>24</v>
      </c>
      <c r="E1368" s="4" t="s">
        <v>33</v>
      </c>
      <c r="F1368" s="4" t="s">
        <v>25</v>
      </c>
      <c r="G1368" s="4" t="s">
        <v>25</v>
      </c>
      <c r="H1368" s="4" t="s">
        <v>25</v>
      </c>
      <c r="I1368" s="5">
        <v>44866</v>
      </c>
      <c r="J1368" s="6">
        <v>0</v>
      </c>
      <c r="K1368" s="6">
        <v>0</v>
      </c>
      <c r="L1368" s="6">
        <v>-8.7959999999999994</v>
      </c>
      <c r="M1368" s="6">
        <v>-8.7959999999999994</v>
      </c>
      <c r="N1368" s="6">
        <v>-8.7959999999999994</v>
      </c>
      <c r="O1368" s="6">
        <v>-8.7959999999999994</v>
      </c>
      <c r="P1368" s="6">
        <v>-7</v>
      </c>
      <c r="Q1368" s="4" t="s">
        <v>26</v>
      </c>
      <c r="R1368" s="4">
        <v>0</v>
      </c>
      <c r="S1368" s="6">
        <v>0</v>
      </c>
      <c r="T1368" s="6">
        <v>42</v>
      </c>
      <c r="U1368" s="6">
        <v>86</v>
      </c>
      <c r="V1368" s="6">
        <f>IF(ISERROR(VLOOKUP($S$1368,'TAR FIN'!$A$1:$O$115,15,0)),0,VLOOKUP($S$1368,'TAR FIN'!$A$1:$O$115,15,0))</f>
        <v>0</v>
      </c>
      <c r="W1368" s="6">
        <f>IF(ISERROR(VLOOKUP($T$1368,'TAR FIN'!$A$1:$O$115,15,0)),0,VLOOKUP($T$1368,'TAR FIN'!$A$1:$O$115,15,0))</f>
        <v>363.71</v>
      </c>
      <c r="X1368" s="6">
        <f>IF(ISERROR(VLOOKUP($U$1368,'TAR FIN'!$A$1:$O$115,15,0)),0,VLOOKUP($U$1368,'TAR FIN'!$A$1:$O$115,15,0))</f>
        <v>158.91999999999999</v>
      </c>
      <c r="Y1368" s="6"/>
      <c r="Z1368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68" s="6">
        <f>('TE BE'!$AB$23+'TE BF'!$AB$23+'TE CVA'!$AB$23)*(1-CUSTOS!$M$36)</f>
        <v>207.6137769965251</v>
      </c>
      <c r="AB1368" s="6">
        <f>$K$1368*$V$1368</f>
        <v>0</v>
      </c>
      <c r="AC1368" s="6">
        <f>$M$1368*$W$1368</f>
        <v>-3199.1931599999998</v>
      </c>
      <c r="AD1368" s="6">
        <f>$O$1368*$X$1368</f>
        <v>-1397.8603199999998</v>
      </c>
      <c r="AE1368" s="6">
        <f>$K$1368*$Y$1368</f>
        <v>0</v>
      </c>
      <c r="AF1368" s="6">
        <f ca="1">$M$1368*$Z$1368</f>
        <v>-3326.2649946760944</v>
      </c>
      <c r="AG1368" s="6">
        <f>$O$1368*$AA$1368</f>
        <v>-1826.1707824614348</v>
      </c>
    </row>
    <row r="1369" spans="1:33" ht="11.25" customHeight="1" x14ac:dyDescent="0.25">
      <c r="A1369" s="4" t="s">
        <v>59</v>
      </c>
      <c r="B1369" s="4" t="s">
        <v>22</v>
      </c>
      <c r="C1369" s="4" t="s">
        <v>23</v>
      </c>
      <c r="D1369" s="4" t="s">
        <v>24</v>
      </c>
      <c r="E1369" s="4" t="s">
        <v>33</v>
      </c>
      <c r="F1369" s="4" t="s">
        <v>25</v>
      </c>
      <c r="G1369" s="4" t="s">
        <v>25</v>
      </c>
      <c r="H1369" s="4" t="s">
        <v>25</v>
      </c>
      <c r="I1369" s="5">
        <v>44866</v>
      </c>
      <c r="J1369" s="6">
        <v>0</v>
      </c>
      <c r="K1369" s="6">
        <v>0</v>
      </c>
      <c r="L1369" s="6">
        <v>864.66600000000005</v>
      </c>
      <c r="M1369" s="6">
        <v>864.66600000000005</v>
      </c>
      <c r="N1369" s="6">
        <v>864.66600000000005</v>
      </c>
      <c r="O1369" s="6">
        <v>864.66600000000005</v>
      </c>
      <c r="P1369" s="6">
        <v>9951</v>
      </c>
      <c r="Q1369" s="4" t="s">
        <v>26</v>
      </c>
      <c r="R1369" s="4">
        <v>0</v>
      </c>
      <c r="S1369" s="6">
        <v>0</v>
      </c>
      <c r="T1369" s="6">
        <v>42</v>
      </c>
      <c r="U1369" s="6">
        <v>86</v>
      </c>
      <c r="V1369" s="6">
        <f>IF(ISERROR(VLOOKUP($S$1369,'TAR FIN'!$A$1:$O$115,15,0)),0,VLOOKUP($S$1369,'TAR FIN'!$A$1:$O$115,15,0))</f>
        <v>0</v>
      </c>
      <c r="W1369" s="6">
        <f>IF(ISERROR(VLOOKUP($T$1369,'TAR FIN'!$A$1:$O$115,15,0)),0,VLOOKUP($T$1369,'TAR FIN'!$A$1:$O$115,15,0))</f>
        <v>363.71</v>
      </c>
      <c r="X1369" s="6">
        <f>IF(ISERROR(VLOOKUP($U$1369,'TAR FIN'!$A$1:$O$115,15,0)),0,VLOOKUP($U$1369,'TAR FIN'!$A$1:$O$115,15,0))</f>
        <v>158.91999999999999</v>
      </c>
      <c r="Y1369" s="6"/>
      <c r="Z1369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69" s="6">
        <f>('TE BE'!$AB$23+'TE BF'!$AB$23+'TE CVA'!$AB$23)*(1-CUSTOS!$M$36)</f>
        <v>207.6137769965251</v>
      </c>
      <c r="AB1369" s="6">
        <f>$K$1369*$V$1369</f>
        <v>0</v>
      </c>
      <c r="AC1369" s="6">
        <f>$M$1369*$W$1369</f>
        <v>314487.67086000001</v>
      </c>
      <c r="AD1369" s="6">
        <f>$O$1369*$X$1369</f>
        <v>137412.72072000001</v>
      </c>
      <c r="AE1369" s="6">
        <f>$K$1369*$Y$1369</f>
        <v>0</v>
      </c>
      <c r="AF1369" s="6">
        <f ca="1">$M$1369*$Z$1369</f>
        <v>326979.10958237835</v>
      </c>
      <c r="AG1369" s="6">
        <f>$O$1369*$AA$1369</f>
        <v>179516.57410047739</v>
      </c>
    </row>
    <row r="1370" spans="1:33" ht="11.25" customHeight="1" x14ac:dyDescent="0.25">
      <c r="A1370" s="4" t="s">
        <v>59</v>
      </c>
      <c r="B1370" s="4" t="s">
        <v>22</v>
      </c>
      <c r="C1370" s="4" t="s">
        <v>23</v>
      </c>
      <c r="D1370" s="4" t="s">
        <v>24</v>
      </c>
      <c r="E1370" s="4" t="s">
        <v>33</v>
      </c>
      <c r="F1370" s="4" t="s">
        <v>25</v>
      </c>
      <c r="G1370" s="4" t="s">
        <v>25</v>
      </c>
      <c r="H1370" s="4" t="s">
        <v>25</v>
      </c>
      <c r="I1370" s="5">
        <v>44866</v>
      </c>
      <c r="J1370" s="6">
        <v>0</v>
      </c>
      <c r="K1370" s="6">
        <v>0</v>
      </c>
      <c r="L1370" s="6">
        <v>-6.1689999999999996</v>
      </c>
      <c r="M1370" s="6">
        <v>-6.1689999999999996</v>
      </c>
      <c r="N1370" s="6">
        <v>-6.1689999999999996</v>
      </c>
      <c r="O1370" s="6">
        <v>-6.1689999999999996</v>
      </c>
      <c r="P1370" s="6">
        <v>0</v>
      </c>
      <c r="Q1370" s="4" t="s">
        <v>26</v>
      </c>
      <c r="R1370" s="4">
        <v>0</v>
      </c>
      <c r="S1370" s="6">
        <v>0</v>
      </c>
      <c r="T1370" s="6">
        <v>42</v>
      </c>
      <c r="U1370" s="6">
        <v>86</v>
      </c>
      <c r="V1370" s="6">
        <f>IF(ISERROR(VLOOKUP($S$1370,'TAR FIN'!$A$1:$O$115,15,0)),0,VLOOKUP($S$1370,'TAR FIN'!$A$1:$O$115,15,0))</f>
        <v>0</v>
      </c>
      <c r="W1370" s="6">
        <f>IF(ISERROR(VLOOKUP($T$1370,'TAR FIN'!$A$1:$O$115,15,0)),0,VLOOKUP($T$1370,'TAR FIN'!$A$1:$O$115,15,0))</f>
        <v>363.71</v>
      </c>
      <c r="X1370" s="6">
        <f>IF(ISERROR(VLOOKUP($U$1370,'TAR FIN'!$A$1:$O$115,15,0)),0,VLOOKUP($U$1370,'TAR FIN'!$A$1:$O$115,15,0))</f>
        <v>158.91999999999999</v>
      </c>
      <c r="Y1370" s="6"/>
      <c r="Z1370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70" s="6">
        <f>('TE BE'!$AB$23+'TE BF'!$AB$23+'TE CVA'!$AB$23)*(1-CUSTOS!$M$36)</f>
        <v>207.6137769965251</v>
      </c>
      <c r="AB1370" s="6">
        <f>$K$1370*$V$1370</f>
        <v>0</v>
      </c>
      <c r="AC1370" s="6">
        <f>$M$1370*$W$1370</f>
        <v>-2243.7269899999997</v>
      </c>
      <c r="AD1370" s="6">
        <f>$O$1370*$X$1370</f>
        <v>-980.37747999999988</v>
      </c>
      <c r="AE1370" s="6">
        <f>$K$1370*$Y$1370</f>
        <v>0</v>
      </c>
      <c r="AF1370" s="6">
        <f ca="1">$M$1370*$Z$1370</f>
        <v>-2332.8477435376108</v>
      </c>
      <c r="AG1370" s="6">
        <f>$O$1370*$AA$1370</f>
        <v>-1280.7693902915632</v>
      </c>
    </row>
    <row r="1371" spans="1:33" ht="11.25" customHeight="1" x14ac:dyDescent="0.25">
      <c r="A1371" s="4" t="s">
        <v>59</v>
      </c>
      <c r="B1371" s="4" t="s">
        <v>22</v>
      </c>
      <c r="C1371" s="4" t="s">
        <v>23</v>
      </c>
      <c r="D1371" s="4" t="s">
        <v>24</v>
      </c>
      <c r="E1371" s="4" t="s">
        <v>33</v>
      </c>
      <c r="F1371" s="4" t="s">
        <v>25</v>
      </c>
      <c r="G1371" s="4" t="s">
        <v>25</v>
      </c>
      <c r="H1371" s="4" t="s">
        <v>25</v>
      </c>
      <c r="I1371" s="5">
        <v>44866</v>
      </c>
      <c r="J1371" s="6">
        <v>0</v>
      </c>
      <c r="K1371" s="6">
        <v>0</v>
      </c>
      <c r="L1371" s="6">
        <v>2.1469999999999998</v>
      </c>
      <c r="M1371" s="6">
        <v>2.1469999999999998</v>
      </c>
      <c r="N1371" s="6">
        <v>2.1469999999999998</v>
      </c>
      <c r="O1371" s="6">
        <v>2.1469999999999998</v>
      </c>
      <c r="P1371" s="6">
        <v>5</v>
      </c>
      <c r="Q1371" s="4" t="s">
        <v>26</v>
      </c>
      <c r="R1371" s="4">
        <v>0</v>
      </c>
      <c r="S1371" s="6">
        <v>0</v>
      </c>
      <c r="T1371" s="6">
        <v>42</v>
      </c>
      <c r="U1371" s="6">
        <v>86</v>
      </c>
      <c r="V1371" s="6">
        <f>IF(ISERROR(VLOOKUP($S$1371,'TAR FIN'!$A$1:$O$115,15,0)),0,VLOOKUP($S$1371,'TAR FIN'!$A$1:$O$115,15,0))</f>
        <v>0</v>
      </c>
      <c r="W1371" s="6">
        <f>IF(ISERROR(VLOOKUP($T$1371,'TAR FIN'!$A$1:$O$115,15,0)),0,VLOOKUP($T$1371,'TAR FIN'!$A$1:$O$115,15,0))</f>
        <v>363.71</v>
      </c>
      <c r="X1371" s="6">
        <f>IF(ISERROR(VLOOKUP($U$1371,'TAR FIN'!$A$1:$O$115,15,0)),0,VLOOKUP($U$1371,'TAR FIN'!$A$1:$O$115,15,0))</f>
        <v>158.91999999999999</v>
      </c>
      <c r="Y1371" s="6"/>
      <c r="Z1371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1371" s="6">
        <f>('TE BE'!$AB$23+'TE BF'!$AB$23+'TE CVA'!$AB$23)*(1-CUSTOS!$M$36)</f>
        <v>207.6137769965251</v>
      </c>
      <c r="AB1371" s="6">
        <f>$K$1371*$V$1371</f>
        <v>0</v>
      </c>
      <c r="AC1371" s="6">
        <f>$M$1371*$W$1371</f>
        <v>780.88536999999985</v>
      </c>
      <c r="AD1371" s="6">
        <f>$O$1371*$X$1371</f>
        <v>341.20123999999993</v>
      </c>
      <c r="AE1371" s="6">
        <f>$K$1371*$Y$1371</f>
        <v>0</v>
      </c>
      <c r="AF1371" s="6">
        <f ca="1">$M$1371*$Z$1371</f>
        <v>811.90210818207981</v>
      </c>
      <c r="AG1371" s="6">
        <f>$O$1371*$AA$1371</f>
        <v>445.74677921153938</v>
      </c>
    </row>
    <row r="1372" spans="1:33" ht="11.25" customHeight="1" x14ac:dyDescent="0.25">
      <c r="A1372" s="4" t="s">
        <v>21</v>
      </c>
      <c r="B1372" s="4" t="s">
        <v>22</v>
      </c>
      <c r="C1372" s="4" t="s">
        <v>23</v>
      </c>
      <c r="D1372" s="4" t="s">
        <v>24</v>
      </c>
      <c r="E1372" s="4" t="s">
        <v>34</v>
      </c>
      <c r="F1372" s="4" t="s">
        <v>25</v>
      </c>
      <c r="G1372" s="4" t="s">
        <v>25</v>
      </c>
      <c r="H1372" s="4" t="s">
        <v>25</v>
      </c>
      <c r="I1372" s="5">
        <v>44531</v>
      </c>
      <c r="J1372" s="6">
        <v>0</v>
      </c>
      <c r="K1372" s="6">
        <v>0</v>
      </c>
      <c r="L1372" s="6">
        <v>1049.191</v>
      </c>
      <c r="M1372" s="6">
        <v>1049.191</v>
      </c>
      <c r="N1372" s="6">
        <v>1049.191</v>
      </c>
      <c r="O1372" s="6">
        <v>1049.191</v>
      </c>
      <c r="P1372" s="6">
        <v>8530</v>
      </c>
      <c r="Q1372" s="4" t="s">
        <v>26</v>
      </c>
      <c r="R1372" s="4">
        <v>0</v>
      </c>
      <c r="S1372" s="6">
        <v>0</v>
      </c>
      <c r="T1372" s="6">
        <v>43</v>
      </c>
      <c r="U1372" s="6">
        <v>87</v>
      </c>
      <c r="V1372" s="6">
        <f>IF(ISERROR(VLOOKUP($S$1372,'TAR FIN'!$A$1:$O$115,15,0)),0,VLOOKUP($S$1372,'TAR FIN'!$A$1:$O$115,15,0))</f>
        <v>0</v>
      </c>
      <c r="W1372" s="6">
        <f>IF(ISERROR(VLOOKUP($T$1372,'TAR FIN'!$A$1:$O$115,15,0)),0,VLOOKUP($T$1372,'TAR FIN'!$A$1:$O$115,15,0))</f>
        <v>404.12</v>
      </c>
      <c r="X1372" s="6">
        <f>IF(ISERROR(VLOOKUP($U$1372,'TAR FIN'!$A$1:$O$115,15,0)),0,VLOOKUP($U$1372,'TAR FIN'!$A$1:$O$115,15,0))</f>
        <v>176.58</v>
      </c>
      <c r="Y1372" s="6"/>
      <c r="Z1372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372" s="6">
        <f>('TE BE'!$AB$24+'TE BF'!$AB$24+'TE CVA'!$AB$24)*(1-CUSTOS!$M$37)</f>
        <v>230.68197444058345</v>
      </c>
      <c r="AB1372" s="6">
        <f>$K$1372*$V$1372</f>
        <v>0</v>
      </c>
      <c r="AC1372" s="6">
        <f>$M$1372*$W$1372</f>
        <v>423999.06692000001</v>
      </c>
      <c r="AD1372" s="6">
        <f>$O$1372*$X$1372</f>
        <v>185266.14678000001</v>
      </c>
      <c r="AE1372" s="6">
        <f>$K$1372*$Y$1372</f>
        <v>0</v>
      </c>
      <c r="AF1372" s="6">
        <f ca="1">$M$1372*$Z$1372</f>
        <v>440842.71841104625</v>
      </c>
      <c r="AG1372" s="6">
        <f>$O$1372*$AA$1372</f>
        <v>242029.45144529018</v>
      </c>
    </row>
    <row r="1373" spans="1:33" ht="11.25" customHeight="1" x14ac:dyDescent="0.25">
      <c r="A1373" s="4" t="s">
        <v>27</v>
      </c>
      <c r="B1373" s="4" t="s">
        <v>22</v>
      </c>
      <c r="C1373" s="4" t="s">
        <v>23</v>
      </c>
      <c r="D1373" s="4" t="s">
        <v>24</v>
      </c>
      <c r="E1373" s="4" t="s">
        <v>34</v>
      </c>
      <c r="F1373" s="4" t="s">
        <v>25</v>
      </c>
      <c r="G1373" s="4" t="s">
        <v>25</v>
      </c>
      <c r="H1373" s="4" t="s">
        <v>25</v>
      </c>
      <c r="I1373" s="5">
        <v>44531</v>
      </c>
      <c r="J1373" s="6">
        <v>0</v>
      </c>
      <c r="K1373" s="6">
        <v>0</v>
      </c>
      <c r="L1373" s="6">
        <v>-42.261000000000003</v>
      </c>
      <c r="M1373" s="6">
        <v>-42.261000000000003</v>
      </c>
      <c r="N1373" s="6">
        <v>-42.261000000000003</v>
      </c>
      <c r="O1373" s="6">
        <v>-42.261000000000003</v>
      </c>
      <c r="P1373" s="6">
        <v>-91</v>
      </c>
      <c r="Q1373" s="4" t="s">
        <v>26</v>
      </c>
      <c r="R1373" s="4">
        <v>0</v>
      </c>
      <c r="S1373" s="6">
        <v>0</v>
      </c>
      <c r="T1373" s="6">
        <v>43</v>
      </c>
      <c r="U1373" s="6">
        <v>87</v>
      </c>
      <c r="V1373" s="6">
        <f>IF(ISERROR(VLOOKUP($S$1373,'TAR FIN'!$A$1:$O$115,15,0)),0,VLOOKUP($S$1373,'TAR FIN'!$A$1:$O$115,15,0))</f>
        <v>0</v>
      </c>
      <c r="W1373" s="6">
        <f>IF(ISERROR(VLOOKUP($T$1373,'TAR FIN'!$A$1:$O$115,15,0)),0,VLOOKUP($T$1373,'TAR FIN'!$A$1:$O$115,15,0))</f>
        <v>404.12</v>
      </c>
      <c r="X1373" s="6">
        <f>IF(ISERROR(VLOOKUP($U$1373,'TAR FIN'!$A$1:$O$115,15,0)),0,VLOOKUP($U$1373,'TAR FIN'!$A$1:$O$115,15,0))</f>
        <v>176.58</v>
      </c>
      <c r="Y1373" s="6"/>
      <c r="Z1373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373" s="6">
        <f>('TE BE'!$AB$24+'TE BF'!$AB$24+'TE CVA'!$AB$24)*(1-CUSTOS!$M$37)</f>
        <v>230.68197444058345</v>
      </c>
      <c r="AB1373" s="6">
        <f>$K$1373*$V$1373</f>
        <v>0</v>
      </c>
      <c r="AC1373" s="6">
        <f>$M$1373*$W$1373</f>
        <v>-17078.515320000002</v>
      </c>
      <c r="AD1373" s="6">
        <f>$O$1373*$X$1373</f>
        <v>-7462.4473800000014</v>
      </c>
      <c r="AE1373" s="6">
        <f>$K$1373*$Y$1373</f>
        <v>0</v>
      </c>
      <c r="AF1373" s="6">
        <f ca="1">$M$1373*$Z$1373</f>
        <v>-17756.970964075394</v>
      </c>
      <c r="AG1373" s="6">
        <f>$O$1373*$AA$1373</f>
        <v>-9748.8509218334984</v>
      </c>
    </row>
    <row r="1374" spans="1:33" ht="11.25" customHeight="1" x14ac:dyDescent="0.25">
      <c r="A1374" s="4" t="s">
        <v>28</v>
      </c>
      <c r="B1374" s="4" t="s">
        <v>22</v>
      </c>
      <c r="C1374" s="4" t="s">
        <v>23</v>
      </c>
      <c r="D1374" s="4" t="s">
        <v>24</v>
      </c>
      <c r="E1374" s="4" t="s">
        <v>34</v>
      </c>
      <c r="F1374" s="4" t="s">
        <v>25</v>
      </c>
      <c r="G1374" s="4" t="s">
        <v>25</v>
      </c>
      <c r="H1374" s="4" t="s">
        <v>25</v>
      </c>
      <c r="I1374" s="5">
        <v>44531</v>
      </c>
      <c r="J1374" s="6">
        <v>0</v>
      </c>
      <c r="K1374" s="6">
        <v>0</v>
      </c>
      <c r="L1374" s="6">
        <v>269.61799999999999</v>
      </c>
      <c r="M1374" s="6">
        <v>269.61799999999999</v>
      </c>
      <c r="N1374" s="6">
        <v>269.61799999999999</v>
      </c>
      <c r="O1374" s="6">
        <v>269.61799999999999</v>
      </c>
      <c r="P1374" s="6">
        <v>2565</v>
      </c>
      <c r="Q1374" s="4" t="s">
        <v>26</v>
      </c>
      <c r="R1374" s="4">
        <v>0</v>
      </c>
      <c r="S1374" s="6">
        <v>0</v>
      </c>
      <c r="T1374" s="6">
        <v>43</v>
      </c>
      <c r="U1374" s="6">
        <v>87</v>
      </c>
      <c r="V1374" s="6">
        <f>IF(ISERROR(VLOOKUP($S$1374,'TAR FIN'!$A$1:$O$115,15,0)),0,VLOOKUP($S$1374,'TAR FIN'!$A$1:$O$115,15,0))</f>
        <v>0</v>
      </c>
      <c r="W1374" s="6">
        <f>IF(ISERROR(VLOOKUP($T$1374,'TAR FIN'!$A$1:$O$115,15,0)),0,VLOOKUP($T$1374,'TAR FIN'!$A$1:$O$115,15,0))</f>
        <v>404.12</v>
      </c>
      <c r="X1374" s="6">
        <f>IF(ISERROR(VLOOKUP($U$1374,'TAR FIN'!$A$1:$O$115,15,0)),0,VLOOKUP($U$1374,'TAR FIN'!$A$1:$O$115,15,0))</f>
        <v>176.58</v>
      </c>
      <c r="Y1374" s="6"/>
      <c r="Z1374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374" s="6">
        <f>('TE BE'!$AB$24+'TE BF'!$AB$24+'TE CVA'!$AB$24)*(1-CUSTOS!$M$37)</f>
        <v>230.68197444058345</v>
      </c>
      <c r="AB1374" s="6">
        <f>$K$1374*$V$1374</f>
        <v>0</v>
      </c>
      <c r="AC1374" s="6">
        <f>$M$1374*$W$1374</f>
        <v>108958.02615999999</v>
      </c>
      <c r="AD1374" s="6">
        <f>$O$1374*$X$1374</f>
        <v>47609.146440000004</v>
      </c>
      <c r="AE1374" s="6">
        <f>$K$1374*$Y$1374</f>
        <v>0</v>
      </c>
      <c r="AF1374" s="6">
        <f ca="1">$M$1374*$Z$1374</f>
        <v>113286.45790189723</v>
      </c>
      <c r="AG1374" s="6">
        <f>$O$1374*$AA$1374</f>
        <v>62196.012584721226</v>
      </c>
    </row>
    <row r="1375" spans="1:33" ht="11.25" customHeight="1" x14ac:dyDescent="0.25">
      <c r="A1375" s="4" t="s">
        <v>29</v>
      </c>
      <c r="B1375" s="4" t="s">
        <v>22</v>
      </c>
      <c r="C1375" s="4" t="s">
        <v>23</v>
      </c>
      <c r="D1375" s="4" t="s">
        <v>24</v>
      </c>
      <c r="E1375" s="4" t="s">
        <v>34</v>
      </c>
      <c r="F1375" s="4" t="s">
        <v>25</v>
      </c>
      <c r="G1375" s="4" t="s">
        <v>25</v>
      </c>
      <c r="H1375" s="4" t="s">
        <v>25</v>
      </c>
      <c r="I1375" s="5">
        <v>44531</v>
      </c>
      <c r="J1375" s="6">
        <v>0</v>
      </c>
      <c r="K1375" s="6">
        <v>0</v>
      </c>
      <c r="L1375" s="6">
        <v>-0.51400000000000001</v>
      </c>
      <c r="M1375" s="6">
        <v>-0.51400000000000001</v>
      </c>
      <c r="N1375" s="6">
        <v>-0.51400000000000001</v>
      </c>
      <c r="O1375" s="6">
        <v>-0.51400000000000001</v>
      </c>
      <c r="P1375" s="6">
        <v>-4</v>
      </c>
      <c r="Q1375" s="4" t="s">
        <v>26</v>
      </c>
      <c r="R1375" s="4">
        <v>0</v>
      </c>
      <c r="S1375" s="6">
        <v>0</v>
      </c>
      <c r="T1375" s="6">
        <v>43</v>
      </c>
      <c r="U1375" s="6">
        <v>87</v>
      </c>
      <c r="V1375" s="6">
        <f>IF(ISERROR(VLOOKUP($S$1375,'TAR FIN'!$A$1:$O$115,15,0)),0,VLOOKUP($S$1375,'TAR FIN'!$A$1:$O$115,15,0))</f>
        <v>0</v>
      </c>
      <c r="W1375" s="6">
        <f>IF(ISERROR(VLOOKUP($T$1375,'TAR FIN'!$A$1:$O$115,15,0)),0,VLOOKUP($T$1375,'TAR FIN'!$A$1:$O$115,15,0))</f>
        <v>404.12</v>
      </c>
      <c r="X1375" s="6">
        <f>IF(ISERROR(VLOOKUP($U$1375,'TAR FIN'!$A$1:$O$115,15,0)),0,VLOOKUP($U$1375,'TAR FIN'!$A$1:$O$115,15,0))</f>
        <v>176.58</v>
      </c>
      <c r="Y1375" s="6"/>
      <c r="Z1375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375" s="6">
        <f>('TE BE'!$AB$24+'TE BF'!$AB$24+'TE CVA'!$AB$24)*(1-CUSTOS!$M$37)</f>
        <v>230.68197444058345</v>
      </c>
      <c r="AB1375" s="6">
        <f>$K$1375*$V$1375</f>
        <v>0</v>
      </c>
      <c r="AC1375" s="6">
        <f>$M$1375*$W$1375</f>
        <v>-207.71768</v>
      </c>
      <c r="AD1375" s="6">
        <f>$O$1375*$X$1375</f>
        <v>-90.76212000000001</v>
      </c>
      <c r="AE1375" s="6">
        <f>$K$1375*$Y$1375</f>
        <v>0</v>
      </c>
      <c r="AF1375" s="6">
        <f ca="1">$M$1375*$Z$1375</f>
        <v>-215.96940620275791</v>
      </c>
      <c r="AG1375" s="6">
        <f>$O$1375*$AA$1375</f>
        <v>-118.57053486245989</v>
      </c>
    </row>
    <row r="1376" spans="1:33" ht="11.25" customHeight="1" x14ac:dyDescent="0.25">
      <c r="A1376" s="4" t="s">
        <v>30</v>
      </c>
      <c r="B1376" s="4" t="s">
        <v>22</v>
      </c>
      <c r="C1376" s="4" t="s">
        <v>23</v>
      </c>
      <c r="D1376" s="4" t="s">
        <v>24</v>
      </c>
      <c r="E1376" s="4" t="s">
        <v>34</v>
      </c>
      <c r="F1376" s="4" t="s">
        <v>25</v>
      </c>
      <c r="G1376" s="4" t="s">
        <v>25</v>
      </c>
      <c r="H1376" s="4" t="s">
        <v>25</v>
      </c>
      <c r="I1376" s="5">
        <v>44531</v>
      </c>
      <c r="J1376" s="6">
        <v>0</v>
      </c>
      <c r="K1376" s="6">
        <v>0</v>
      </c>
      <c r="L1376" s="6">
        <v>4.2859999999999996</v>
      </c>
      <c r="M1376" s="6">
        <v>4.2859999999999996</v>
      </c>
      <c r="N1376" s="6">
        <v>4.2859999999999996</v>
      </c>
      <c r="O1376" s="6">
        <v>4.2859999999999996</v>
      </c>
      <c r="P1376" s="6">
        <v>28</v>
      </c>
      <c r="Q1376" s="4" t="s">
        <v>26</v>
      </c>
      <c r="R1376" s="4">
        <v>0</v>
      </c>
      <c r="S1376" s="6">
        <v>0</v>
      </c>
      <c r="T1376" s="6">
        <v>43</v>
      </c>
      <c r="U1376" s="6">
        <v>87</v>
      </c>
      <c r="V1376" s="6">
        <f>IF(ISERROR(VLOOKUP($S$1376,'TAR FIN'!$A$1:$O$115,15,0)),0,VLOOKUP($S$1376,'TAR FIN'!$A$1:$O$115,15,0))</f>
        <v>0</v>
      </c>
      <c r="W1376" s="6">
        <f>IF(ISERROR(VLOOKUP($T$1376,'TAR FIN'!$A$1:$O$115,15,0)),0,VLOOKUP($T$1376,'TAR FIN'!$A$1:$O$115,15,0))</f>
        <v>404.12</v>
      </c>
      <c r="X1376" s="6">
        <f>IF(ISERROR(VLOOKUP($U$1376,'TAR FIN'!$A$1:$O$115,15,0)),0,VLOOKUP($U$1376,'TAR FIN'!$A$1:$O$115,15,0))</f>
        <v>176.58</v>
      </c>
      <c r="Y1376" s="6"/>
      <c r="Z1376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376" s="6">
        <f>('TE BE'!$AB$24+'TE BF'!$AB$24+'TE CVA'!$AB$24)*(1-CUSTOS!$M$37)</f>
        <v>230.68197444058345</v>
      </c>
      <c r="AB1376" s="6">
        <f>$K$1376*$V$1376</f>
        <v>0</v>
      </c>
      <c r="AC1376" s="6">
        <f>$M$1376*$W$1376</f>
        <v>1732.0583199999999</v>
      </c>
      <c r="AD1376" s="6">
        <f>$O$1376*$X$1376</f>
        <v>756.82187999999996</v>
      </c>
      <c r="AE1376" s="6">
        <f>$K$1376*$Y$1376</f>
        <v>0</v>
      </c>
      <c r="AF1376" s="6">
        <f ca="1">$M$1376*$Z$1376</f>
        <v>1800.8655155350589</v>
      </c>
      <c r="AG1376" s="6">
        <f>$O$1376*$AA$1376</f>
        <v>988.70294245234061</v>
      </c>
    </row>
    <row r="1377" spans="1:33" ht="11.25" customHeight="1" x14ac:dyDescent="0.25">
      <c r="A1377" s="4" t="s">
        <v>30</v>
      </c>
      <c r="B1377" s="4" t="s">
        <v>22</v>
      </c>
      <c r="C1377" s="4" t="s">
        <v>23</v>
      </c>
      <c r="D1377" s="4" t="s">
        <v>24</v>
      </c>
      <c r="E1377" s="4" t="s">
        <v>34</v>
      </c>
      <c r="F1377" s="4" t="s">
        <v>25</v>
      </c>
      <c r="G1377" s="4" t="s">
        <v>25</v>
      </c>
      <c r="H1377" s="4" t="s">
        <v>25</v>
      </c>
      <c r="I1377" s="5">
        <v>44531</v>
      </c>
      <c r="J1377" s="6">
        <v>0</v>
      </c>
      <c r="K1377" s="6">
        <v>0</v>
      </c>
      <c r="L1377" s="6">
        <v>-2.1970000000000001</v>
      </c>
      <c r="M1377" s="6">
        <v>-2.1970000000000001</v>
      </c>
      <c r="N1377" s="6">
        <v>-2.1970000000000001</v>
      </c>
      <c r="O1377" s="6">
        <v>-2.1970000000000001</v>
      </c>
      <c r="P1377" s="6">
        <v>-1</v>
      </c>
      <c r="Q1377" s="4" t="s">
        <v>26</v>
      </c>
      <c r="R1377" s="4">
        <v>0</v>
      </c>
      <c r="S1377" s="6">
        <v>0</v>
      </c>
      <c r="T1377" s="6">
        <v>43</v>
      </c>
      <c r="U1377" s="6">
        <v>87</v>
      </c>
      <c r="V1377" s="6">
        <f>IF(ISERROR(VLOOKUP($S$1377,'TAR FIN'!$A$1:$O$115,15,0)),0,VLOOKUP($S$1377,'TAR FIN'!$A$1:$O$115,15,0))</f>
        <v>0</v>
      </c>
      <c r="W1377" s="6">
        <f>IF(ISERROR(VLOOKUP($T$1377,'TAR FIN'!$A$1:$O$115,15,0)),0,VLOOKUP($T$1377,'TAR FIN'!$A$1:$O$115,15,0))</f>
        <v>404.12</v>
      </c>
      <c r="X1377" s="6">
        <f>IF(ISERROR(VLOOKUP($U$1377,'TAR FIN'!$A$1:$O$115,15,0)),0,VLOOKUP($U$1377,'TAR FIN'!$A$1:$O$115,15,0))</f>
        <v>176.58</v>
      </c>
      <c r="Y1377" s="6"/>
      <c r="Z1377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377" s="6">
        <f>('TE BE'!$AB$24+'TE BF'!$AB$24+'TE CVA'!$AB$24)*(1-CUSTOS!$M$37)</f>
        <v>230.68197444058345</v>
      </c>
      <c r="AB1377" s="6">
        <f>$K$1377*$V$1377</f>
        <v>0</v>
      </c>
      <c r="AC1377" s="6">
        <f>$M$1377*$W$1377</f>
        <v>-887.85164000000009</v>
      </c>
      <c r="AD1377" s="6">
        <f>$O$1377*$X$1377</f>
        <v>-387.94626000000005</v>
      </c>
      <c r="AE1377" s="6">
        <f>$K$1377*$Y$1377</f>
        <v>0</v>
      </c>
      <c r="AF1377" s="6">
        <f ca="1">$M$1377*$Z$1377</f>
        <v>-923.12215063707993</v>
      </c>
      <c r="AG1377" s="6">
        <f>$O$1377*$AA$1377</f>
        <v>-506.80829784596182</v>
      </c>
    </row>
    <row r="1378" spans="1:33" ht="11.25" customHeight="1" x14ac:dyDescent="0.25">
      <c r="A1378" s="4" t="s">
        <v>21</v>
      </c>
      <c r="B1378" s="4" t="s">
        <v>22</v>
      </c>
      <c r="C1378" s="4" t="s">
        <v>23</v>
      </c>
      <c r="D1378" s="4" t="s">
        <v>24</v>
      </c>
      <c r="E1378" s="4" t="s">
        <v>34</v>
      </c>
      <c r="F1378" s="4" t="s">
        <v>25</v>
      </c>
      <c r="G1378" s="4" t="s">
        <v>25</v>
      </c>
      <c r="H1378" s="4" t="s">
        <v>25</v>
      </c>
      <c r="I1378" s="5">
        <v>44562</v>
      </c>
      <c r="J1378" s="6">
        <v>0</v>
      </c>
      <c r="K1378" s="6">
        <v>0</v>
      </c>
      <c r="L1378" s="6">
        <v>1096.509</v>
      </c>
      <c r="M1378" s="6">
        <v>1096.509</v>
      </c>
      <c r="N1378" s="6">
        <v>1096.509</v>
      </c>
      <c r="O1378" s="6">
        <v>1096.509</v>
      </c>
      <c r="P1378" s="6">
        <v>8858</v>
      </c>
      <c r="Q1378" s="4" t="s">
        <v>26</v>
      </c>
      <c r="R1378" s="4">
        <v>0</v>
      </c>
      <c r="S1378" s="6">
        <v>0</v>
      </c>
      <c r="T1378" s="6">
        <v>43</v>
      </c>
      <c r="U1378" s="6">
        <v>87</v>
      </c>
      <c r="V1378" s="6">
        <f>IF(ISERROR(VLOOKUP($S$1378,'TAR FIN'!$A$1:$O$115,15,0)),0,VLOOKUP($S$1378,'TAR FIN'!$A$1:$O$115,15,0))</f>
        <v>0</v>
      </c>
      <c r="W1378" s="6">
        <f>IF(ISERROR(VLOOKUP($T$1378,'TAR FIN'!$A$1:$O$115,15,0)),0,VLOOKUP($T$1378,'TAR FIN'!$A$1:$O$115,15,0))</f>
        <v>404.12</v>
      </c>
      <c r="X1378" s="6">
        <f>IF(ISERROR(VLOOKUP($U$1378,'TAR FIN'!$A$1:$O$115,15,0)),0,VLOOKUP($U$1378,'TAR FIN'!$A$1:$O$115,15,0))</f>
        <v>176.58</v>
      </c>
      <c r="Y1378" s="6"/>
      <c r="Z1378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378" s="6">
        <f>('TE BE'!$AB$24+'TE BF'!$AB$24+'TE CVA'!$AB$24)*(1-CUSTOS!$M$37)</f>
        <v>230.68197444058345</v>
      </c>
      <c r="AB1378" s="6">
        <f>$K$1378*$V$1378</f>
        <v>0</v>
      </c>
      <c r="AC1378" s="6">
        <f>$M$1378*$W$1378</f>
        <v>443121.21708000003</v>
      </c>
      <c r="AD1378" s="6">
        <f>$O$1378*$X$1378</f>
        <v>193621.55922000002</v>
      </c>
      <c r="AE1378" s="6">
        <f>$K$1378*$Y$1378</f>
        <v>0</v>
      </c>
      <c r="AF1378" s="6">
        <f ca="1">$M$1378*$Z$1378</f>
        <v>460724.50899996079</v>
      </c>
      <c r="AG1378" s="6">
        <f>$O$1378*$AA$1378</f>
        <v>252944.86111186972</v>
      </c>
    </row>
    <row r="1379" spans="1:33" ht="11.25" customHeight="1" x14ac:dyDescent="0.25">
      <c r="A1379" s="4" t="s">
        <v>27</v>
      </c>
      <c r="B1379" s="4" t="s">
        <v>22</v>
      </c>
      <c r="C1379" s="4" t="s">
        <v>23</v>
      </c>
      <c r="D1379" s="4" t="s">
        <v>24</v>
      </c>
      <c r="E1379" s="4" t="s">
        <v>34</v>
      </c>
      <c r="F1379" s="4" t="s">
        <v>25</v>
      </c>
      <c r="G1379" s="4" t="s">
        <v>25</v>
      </c>
      <c r="H1379" s="4" t="s">
        <v>25</v>
      </c>
      <c r="I1379" s="5">
        <v>44562</v>
      </c>
      <c r="J1379" s="6">
        <v>0</v>
      </c>
      <c r="K1379" s="6">
        <v>0</v>
      </c>
      <c r="L1379" s="6">
        <v>-17.289000000000001</v>
      </c>
      <c r="M1379" s="6">
        <v>-17.289000000000001</v>
      </c>
      <c r="N1379" s="6">
        <v>-17.289000000000001</v>
      </c>
      <c r="O1379" s="6">
        <v>-17.289000000000001</v>
      </c>
      <c r="P1379" s="6">
        <v>-52</v>
      </c>
      <c r="Q1379" s="4" t="s">
        <v>26</v>
      </c>
      <c r="R1379" s="4">
        <v>0</v>
      </c>
      <c r="S1379" s="6">
        <v>0</v>
      </c>
      <c r="T1379" s="6">
        <v>43</v>
      </c>
      <c r="U1379" s="6">
        <v>87</v>
      </c>
      <c r="V1379" s="6">
        <f>IF(ISERROR(VLOOKUP($S$1379,'TAR FIN'!$A$1:$O$115,15,0)),0,VLOOKUP($S$1379,'TAR FIN'!$A$1:$O$115,15,0))</f>
        <v>0</v>
      </c>
      <c r="W1379" s="6">
        <f>IF(ISERROR(VLOOKUP($T$1379,'TAR FIN'!$A$1:$O$115,15,0)),0,VLOOKUP($T$1379,'TAR FIN'!$A$1:$O$115,15,0))</f>
        <v>404.12</v>
      </c>
      <c r="X1379" s="6">
        <f>IF(ISERROR(VLOOKUP($U$1379,'TAR FIN'!$A$1:$O$115,15,0)),0,VLOOKUP($U$1379,'TAR FIN'!$A$1:$O$115,15,0))</f>
        <v>176.58</v>
      </c>
      <c r="Y1379" s="6"/>
      <c r="Z1379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379" s="6">
        <f>('TE BE'!$AB$24+'TE BF'!$AB$24+'TE CVA'!$AB$24)*(1-CUSTOS!$M$37)</f>
        <v>230.68197444058345</v>
      </c>
      <c r="AB1379" s="6">
        <f>$K$1379*$V$1379</f>
        <v>0</v>
      </c>
      <c r="AC1379" s="6">
        <f>$M$1379*$W$1379</f>
        <v>-6986.8306800000009</v>
      </c>
      <c r="AD1379" s="6">
        <f>$O$1379*$X$1379</f>
        <v>-3052.8916200000003</v>
      </c>
      <c r="AE1379" s="6">
        <f>$K$1379*$Y$1379</f>
        <v>0</v>
      </c>
      <c r="AF1379" s="6">
        <f ca="1">$M$1379*$Z$1379</f>
        <v>-7264.3872837343997</v>
      </c>
      <c r="AG1379" s="6">
        <f>$O$1379*$AA$1379</f>
        <v>-3988.2606561032476</v>
      </c>
    </row>
    <row r="1380" spans="1:33" ht="11.25" customHeight="1" x14ac:dyDescent="0.25">
      <c r="A1380" s="4" t="s">
        <v>28</v>
      </c>
      <c r="B1380" s="4" t="s">
        <v>22</v>
      </c>
      <c r="C1380" s="4" t="s">
        <v>23</v>
      </c>
      <c r="D1380" s="4" t="s">
        <v>24</v>
      </c>
      <c r="E1380" s="4" t="s">
        <v>34</v>
      </c>
      <c r="F1380" s="4" t="s">
        <v>25</v>
      </c>
      <c r="G1380" s="4" t="s">
        <v>25</v>
      </c>
      <c r="H1380" s="4" t="s">
        <v>25</v>
      </c>
      <c r="I1380" s="5">
        <v>44562</v>
      </c>
      <c r="J1380" s="6">
        <v>0</v>
      </c>
      <c r="K1380" s="6">
        <v>0</v>
      </c>
      <c r="L1380" s="6">
        <v>281.786</v>
      </c>
      <c r="M1380" s="6">
        <v>281.786</v>
      </c>
      <c r="N1380" s="6">
        <v>281.786</v>
      </c>
      <c r="O1380" s="6">
        <v>281.786</v>
      </c>
      <c r="P1380" s="6">
        <v>2654</v>
      </c>
      <c r="Q1380" s="4" t="s">
        <v>26</v>
      </c>
      <c r="R1380" s="4">
        <v>0</v>
      </c>
      <c r="S1380" s="6">
        <v>0</v>
      </c>
      <c r="T1380" s="6">
        <v>43</v>
      </c>
      <c r="U1380" s="6">
        <v>87</v>
      </c>
      <c r="V1380" s="6">
        <f>IF(ISERROR(VLOOKUP($S$1380,'TAR FIN'!$A$1:$O$115,15,0)),0,VLOOKUP($S$1380,'TAR FIN'!$A$1:$O$115,15,0))</f>
        <v>0</v>
      </c>
      <c r="W1380" s="6">
        <f>IF(ISERROR(VLOOKUP($T$1380,'TAR FIN'!$A$1:$O$115,15,0)),0,VLOOKUP($T$1380,'TAR FIN'!$A$1:$O$115,15,0))</f>
        <v>404.12</v>
      </c>
      <c r="X1380" s="6">
        <f>IF(ISERROR(VLOOKUP($U$1380,'TAR FIN'!$A$1:$O$115,15,0)),0,VLOOKUP($U$1380,'TAR FIN'!$A$1:$O$115,15,0))</f>
        <v>176.58</v>
      </c>
      <c r="Y1380" s="6"/>
      <c r="Z1380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380" s="6">
        <f>('TE BE'!$AB$24+'TE BF'!$AB$24+'TE CVA'!$AB$24)*(1-CUSTOS!$M$37)</f>
        <v>230.68197444058345</v>
      </c>
      <c r="AB1380" s="6">
        <f>$K$1380*$V$1380</f>
        <v>0</v>
      </c>
      <c r="AC1380" s="6">
        <f>$M$1380*$W$1380</f>
        <v>113875.35832</v>
      </c>
      <c r="AD1380" s="6">
        <f>$O$1380*$X$1380</f>
        <v>49757.77188</v>
      </c>
      <c r="AE1380" s="6">
        <f>$K$1380*$Y$1380</f>
        <v>0</v>
      </c>
      <c r="AF1380" s="6">
        <f ca="1">$M$1380*$Z$1380</f>
        <v>118399.1344285026</v>
      </c>
      <c r="AG1380" s="6">
        <f>$O$1380*$AA$1380</f>
        <v>65002.950849714245</v>
      </c>
    </row>
    <row r="1381" spans="1:33" ht="11.25" customHeight="1" x14ac:dyDescent="0.25">
      <c r="A1381" s="4" t="s">
        <v>29</v>
      </c>
      <c r="B1381" s="4" t="s">
        <v>22</v>
      </c>
      <c r="C1381" s="4" t="s">
        <v>23</v>
      </c>
      <c r="D1381" s="4" t="s">
        <v>24</v>
      </c>
      <c r="E1381" s="4" t="s">
        <v>34</v>
      </c>
      <c r="F1381" s="4" t="s">
        <v>25</v>
      </c>
      <c r="G1381" s="4" t="s">
        <v>25</v>
      </c>
      <c r="H1381" s="4" t="s">
        <v>25</v>
      </c>
      <c r="I1381" s="5">
        <v>44562</v>
      </c>
      <c r="J1381" s="6">
        <v>0</v>
      </c>
      <c r="K1381" s="6">
        <v>0</v>
      </c>
      <c r="L1381" s="6">
        <v>-4.2779999999999996</v>
      </c>
      <c r="M1381" s="6">
        <v>-4.2779999999999996</v>
      </c>
      <c r="N1381" s="6">
        <v>-4.2779999999999996</v>
      </c>
      <c r="O1381" s="6">
        <v>-4.2779999999999996</v>
      </c>
      <c r="P1381" s="6">
        <v>-5</v>
      </c>
      <c r="Q1381" s="4" t="s">
        <v>26</v>
      </c>
      <c r="R1381" s="4">
        <v>0</v>
      </c>
      <c r="S1381" s="6">
        <v>0</v>
      </c>
      <c r="T1381" s="6">
        <v>43</v>
      </c>
      <c r="U1381" s="6">
        <v>87</v>
      </c>
      <c r="V1381" s="6">
        <f>IF(ISERROR(VLOOKUP($S$1381,'TAR FIN'!$A$1:$O$115,15,0)),0,VLOOKUP($S$1381,'TAR FIN'!$A$1:$O$115,15,0))</f>
        <v>0</v>
      </c>
      <c r="W1381" s="6">
        <f>IF(ISERROR(VLOOKUP($T$1381,'TAR FIN'!$A$1:$O$115,15,0)),0,VLOOKUP($T$1381,'TAR FIN'!$A$1:$O$115,15,0))</f>
        <v>404.12</v>
      </c>
      <c r="X1381" s="6">
        <f>IF(ISERROR(VLOOKUP($U$1381,'TAR FIN'!$A$1:$O$115,15,0)),0,VLOOKUP($U$1381,'TAR FIN'!$A$1:$O$115,15,0))</f>
        <v>176.58</v>
      </c>
      <c r="Y1381" s="6"/>
      <c r="Z1381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381" s="6">
        <f>('TE BE'!$AB$24+'TE BF'!$AB$24+'TE CVA'!$AB$24)*(1-CUSTOS!$M$37)</f>
        <v>230.68197444058345</v>
      </c>
      <c r="AB1381" s="6">
        <f>$K$1381*$V$1381</f>
        <v>0</v>
      </c>
      <c r="AC1381" s="6">
        <f>$M$1381*$W$1381</f>
        <v>-1728.8253599999998</v>
      </c>
      <c r="AD1381" s="6">
        <f>$O$1381*$X$1381</f>
        <v>-755.40923999999995</v>
      </c>
      <c r="AE1381" s="6">
        <f>$K$1381*$Y$1381</f>
        <v>0</v>
      </c>
      <c r="AF1381" s="6">
        <f ca="1">$M$1381*$Z$1381</f>
        <v>-1797.5041239988291</v>
      </c>
      <c r="AG1381" s="6">
        <f>$O$1381*$AA$1381</f>
        <v>-986.85748665681592</v>
      </c>
    </row>
    <row r="1382" spans="1:33" ht="11.25" customHeight="1" x14ac:dyDescent="0.25">
      <c r="A1382" s="4" t="s">
        <v>30</v>
      </c>
      <c r="B1382" s="4" t="s">
        <v>22</v>
      </c>
      <c r="C1382" s="4" t="s">
        <v>23</v>
      </c>
      <c r="D1382" s="4" t="s">
        <v>24</v>
      </c>
      <c r="E1382" s="4" t="s">
        <v>34</v>
      </c>
      <c r="F1382" s="4" t="s">
        <v>25</v>
      </c>
      <c r="G1382" s="4" t="s">
        <v>25</v>
      </c>
      <c r="H1382" s="4" t="s">
        <v>25</v>
      </c>
      <c r="I1382" s="5">
        <v>44562</v>
      </c>
      <c r="J1382" s="6">
        <v>0</v>
      </c>
      <c r="K1382" s="6">
        <v>0</v>
      </c>
      <c r="L1382" s="6">
        <v>3.492</v>
      </c>
      <c r="M1382" s="6">
        <v>3.492</v>
      </c>
      <c r="N1382" s="6">
        <v>3.492</v>
      </c>
      <c r="O1382" s="6">
        <v>3.492</v>
      </c>
      <c r="P1382" s="6">
        <v>30</v>
      </c>
      <c r="Q1382" s="4" t="s">
        <v>26</v>
      </c>
      <c r="R1382" s="4">
        <v>0</v>
      </c>
      <c r="S1382" s="6">
        <v>0</v>
      </c>
      <c r="T1382" s="6">
        <v>43</v>
      </c>
      <c r="U1382" s="6">
        <v>87</v>
      </c>
      <c r="V1382" s="6">
        <f>IF(ISERROR(VLOOKUP($S$1382,'TAR FIN'!$A$1:$O$115,15,0)),0,VLOOKUP($S$1382,'TAR FIN'!$A$1:$O$115,15,0))</f>
        <v>0</v>
      </c>
      <c r="W1382" s="6">
        <f>IF(ISERROR(VLOOKUP($T$1382,'TAR FIN'!$A$1:$O$115,15,0)),0,VLOOKUP($T$1382,'TAR FIN'!$A$1:$O$115,15,0))</f>
        <v>404.12</v>
      </c>
      <c r="X1382" s="6">
        <f>IF(ISERROR(VLOOKUP($U$1382,'TAR FIN'!$A$1:$O$115,15,0)),0,VLOOKUP($U$1382,'TAR FIN'!$A$1:$O$115,15,0))</f>
        <v>176.58</v>
      </c>
      <c r="Y1382" s="6"/>
      <c r="Z1382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382" s="6">
        <f>('TE BE'!$AB$24+'TE BF'!$AB$24+'TE CVA'!$AB$24)*(1-CUSTOS!$M$37)</f>
        <v>230.68197444058345</v>
      </c>
      <c r="AB1382" s="6">
        <f>$K$1382*$V$1382</f>
        <v>0</v>
      </c>
      <c r="AC1382" s="6">
        <f>$M$1382*$W$1382</f>
        <v>1411.18704</v>
      </c>
      <c r="AD1382" s="6">
        <f>$O$1382*$X$1382</f>
        <v>616.61736000000008</v>
      </c>
      <c r="AE1382" s="6">
        <f>$K$1382*$Y$1382</f>
        <v>0</v>
      </c>
      <c r="AF1382" s="6">
        <f ca="1">$M$1382*$Z$1382</f>
        <v>1467.2474055642617</v>
      </c>
      <c r="AG1382" s="6">
        <f>$O$1382*$AA$1382</f>
        <v>805.54145474651739</v>
      </c>
    </row>
    <row r="1383" spans="1:33" ht="11.25" customHeight="1" x14ac:dyDescent="0.25">
      <c r="A1383" s="4" t="s">
        <v>30</v>
      </c>
      <c r="B1383" s="4" t="s">
        <v>22</v>
      </c>
      <c r="C1383" s="4" t="s">
        <v>23</v>
      </c>
      <c r="D1383" s="4" t="s">
        <v>24</v>
      </c>
      <c r="E1383" s="4" t="s">
        <v>34</v>
      </c>
      <c r="F1383" s="4" t="s">
        <v>25</v>
      </c>
      <c r="G1383" s="4" t="s">
        <v>25</v>
      </c>
      <c r="H1383" s="4" t="s">
        <v>25</v>
      </c>
      <c r="I1383" s="5">
        <v>44562</v>
      </c>
      <c r="J1383" s="6">
        <v>0</v>
      </c>
      <c r="K1383" s="6">
        <v>0</v>
      </c>
      <c r="L1383" s="6">
        <v>-0.03</v>
      </c>
      <c r="M1383" s="6">
        <v>-0.03</v>
      </c>
      <c r="N1383" s="6">
        <v>-0.03</v>
      </c>
      <c r="O1383" s="6">
        <v>-0.03</v>
      </c>
      <c r="P1383" s="6">
        <v>-1</v>
      </c>
      <c r="Q1383" s="4" t="s">
        <v>26</v>
      </c>
      <c r="R1383" s="4">
        <v>0</v>
      </c>
      <c r="S1383" s="6">
        <v>0</v>
      </c>
      <c r="T1383" s="6">
        <v>43</v>
      </c>
      <c r="U1383" s="6">
        <v>87</v>
      </c>
      <c r="V1383" s="6">
        <f>IF(ISERROR(VLOOKUP($S$1383,'TAR FIN'!$A$1:$O$115,15,0)),0,VLOOKUP($S$1383,'TAR FIN'!$A$1:$O$115,15,0))</f>
        <v>0</v>
      </c>
      <c r="W1383" s="6">
        <f>IF(ISERROR(VLOOKUP($T$1383,'TAR FIN'!$A$1:$O$115,15,0)),0,VLOOKUP($T$1383,'TAR FIN'!$A$1:$O$115,15,0))</f>
        <v>404.12</v>
      </c>
      <c r="X1383" s="6">
        <f>IF(ISERROR(VLOOKUP($U$1383,'TAR FIN'!$A$1:$O$115,15,0)),0,VLOOKUP($U$1383,'TAR FIN'!$A$1:$O$115,15,0))</f>
        <v>176.58</v>
      </c>
      <c r="Y1383" s="6"/>
      <c r="Z1383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383" s="6">
        <f>('TE BE'!$AB$24+'TE BF'!$AB$24+'TE CVA'!$AB$24)*(1-CUSTOS!$M$37)</f>
        <v>230.68197444058345</v>
      </c>
      <c r="AB1383" s="6">
        <f>$K$1383*$V$1383</f>
        <v>0</v>
      </c>
      <c r="AC1383" s="6">
        <f>$M$1383*$W$1383</f>
        <v>-12.1236</v>
      </c>
      <c r="AD1383" s="6">
        <f>$O$1383*$X$1383</f>
        <v>-5.2974000000000006</v>
      </c>
      <c r="AE1383" s="6">
        <f>$K$1383*$Y$1383</f>
        <v>0</v>
      </c>
      <c r="AF1383" s="6">
        <f ca="1">$M$1383*$Z$1383</f>
        <v>-12.605218260861355</v>
      </c>
      <c r="AG1383" s="6">
        <f>$O$1383*$AA$1383</f>
        <v>-6.9204592332175032</v>
      </c>
    </row>
    <row r="1384" spans="1:33" ht="11.25" customHeight="1" x14ac:dyDescent="0.25">
      <c r="A1384" s="4" t="s">
        <v>21</v>
      </c>
      <c r="B1384" s="4" t="s">
        <v>22</v>
      </c>
      <c r="C1384" s="4" t="s">
        <v>23</v>
      </c>
      <c r="D1384" s="4" t="s">
        <v>24</v>
      </c>
      <c r="E1384" s="4" t="s">
        <v>34</v>
      </c>
      <c r="F1384" s="4" t="s">
        <v>25</v>
      </c>
      <c r="G1384" s="4" t="s">
        <v>25</v>
      </c>
      <c r="H1384" s="4" t="s">
        <v>25</v>
      </c>
      <c r="I1384" s="5">
        <v>44593</v>
      </c>
      <c r="J1384" s="6">
        <v>0</v>
      </c>
      <c r="K1384" s="6">
        <v>0</v>
      </c>
      <c r="L1384" s="6">
        <v>990.79200000000003</v>
      </c>
      <c r="M1384" s="6">
        <v>990.79200000000003</v>
      </c>
      <c r="N1384" s="6">
        <v>990.79200000000003</v>
      </c>
      <c r="O1384" s="6">
        <v>990.79200000000003</v>
      </c>
      <c r="P1384" s="6">
        <v>8031</v>
      </c>
      <c r="Q1384" s="4" t="s">
        <v>26</v>
      </c>
      <c r="R1384" s="4">
        <v>0</v>
      </c>
      <c r="S1384" s="6">
        <v>0</v>
      </c>
      <c r="T1384" s="6">
        <v>43</v>
      </c>
      <c r="U1384" s="6">
        <v>87</v>
      </c>
      <c r="V1384" s="6">
        <f>IF(ISERROR(VLOOKUP($S$1384,'TAR FIN'!$A$1:$O$115,15,0)),0,VLOOKUP($S$1384,'TAR FIN'!$A$1:$O$115,15,0))</f>
        <v>0</v>
      </c>
      <c r="W1384" s="6">
        <f>IF(ISERROR(VLOOKUP($T$1384,'TAR FIN'!$A$1:$O$115,15,0)),0,VLOOKUP($T$1384,'TAR FIN'!$A$1:$O$115,15,0))</f>
        <v>404.12</v>
      </c>
      <c r="X1384" s="6">
        <f>IF(ISERROR(VLOOKUP($U$1384,'TAR FIN'!$A$1:$O$115,15,0)),0,VLOOKUP($U$1384,'TAR FIN'!$A$1:$O$115,15,0))</f>
        <v>176.58</v>
      </c>
      <c r="Y1384" s="6"/>
      <c r="Z1384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384" s="6">
        <f>('TE BE'!$AB$24+'TE BF'!$AB$24+'TE CVA'!$AB$24)*(1-CUSTOS!$M$37)</f>
        <v>230.68197444058345</v>
      </c>
      <c r="AB1384" s="6">
        <f>$K$1384*$V$1384</f>
        <v>0</v>
      </c>
      <c r="AC1384" s="6">
        <f>$M$1384*$W$1384</f>
        <v>400398.86304000003</v>
      </c>
      <c r="AD1384" s="6">
        <f>$O$1384*$X$1384</f>
        <v>174954.05136000001</v>
      </c>
      <c r="AE1384" s="6">
        <f>$K$1384*$Y$1384</f>
        <v>0</v>
      </c>
      <c r="AF1384" s="6">
        <f ca="1">$M$1384*$Z$1384</f>
        <v>416304.98037051148</v>
      </c>
      <c r="AG1384" s="6">
        <f>$O$1384*$AA$1384</f>
        <v>228557.85481993455</v>
      </c>
    </row>
    <row r="1385" spans="1:33" ht="11.25" customHeight="1" x14ac:dyDescent="0.25">
      <c r="A1385" s="4" t="s">
        <v>27</v>
      </c>
      <c r="B1385" s="4" t="s">
        <v>22</v>
      </c>
      <c r="C1385" s="4" t="s">
        <v>23</v>
      </c>
      <c r="D1385" s="4" t="s">
        <v>24</v>
      </c>
      <c r="E1385" s="4" t="s">
        <v>34</v>
      </c>
      <c r="F1385" s="4" t="s">
        <v>25</v>
      </c>
      <c r="G1385" s="4" t="s">
        <v>25</v>
      </c>
      <c r="H1385" s="4" t="s">
        <v>25</v>
      </c>
      <c r="I1385" s="5">
        <v>44593</v>
      </c>
      <c r="J1385" s="6">
        <v>0</v>
      </c>
      <c r="K1385" s="6">
        <v>0</v>
      </c>
      <c r="L1385" s="6">
        <v>-3.859</v>
      </c>
      <c r="M1385" s="6">
        <v>-3.859</v>
      </c>
      <c r="N1385" s="6">
        <v>-3.859</v>
      </c>
      <c r="O1385" s="6">
        <v>-3.859</v>
      </c>
      <c r="P1385" s="6">
        <v>-40</v>
      </c>
      <c r="Q1385" s="4" t="s">
        <v>26</v>
      </c>
      <c r="R1385" s="4">
        <v>0</v>
      </c>
      <c r="S1385" s="6">
        <v>0</v>
      </c>
      <c r="T1385" s="6">
        <v>43</v>
      </c>
      <c r="U1385" s="6">
        <v>87</v>
      </c>
      <c r="V1385" s="6">
        <f>IF(ISERROR(VLOOKUP($S$1385,'TAR FIN'!$A$1:$O$115,15,0)),0,VLOOKUP($S$1385,'TAR FIN'!$A$1:$O$115,15,0))</f>
        <v>0</v>
      </c>
      <c r="W1385" s="6">
        <f>IF(ISERROR(VLOOKUP($T$1385,'TAR FIN'!$A$1:$O$115,15,0)),0,VLOOKUP($T$1385,'TAR FIN'!$A$1:$O$115,15,0))</f>
        <v>404.12</v>
      </c>
      <c r="X1385" s="6">
        <f>IF(ISERROR(VLOOKUP($U$1385,'TAR FIN'!$A$1:$O$115,15,0)),0,VLOOKUP($U$1385,'TAR FIN'!$A$1:$O$115,15,0))</f>
        <v>176.58</v>
      </c>
      <c r="Y1385" s="6"/>
      <c r="Z1385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385" s="6">
        <f>('TE BE'!$AB$24+'TE BF'!$AB$24+'TE CVA'!$AB$24)*(1-CUSTOS!$M$37)</f>
        <v>230.68197444058345</v>
      </c>
      <c r="AB1385" s="6">
        <f>$K$1385*$V$1385</f>
        <v>0</v>
      </c>
      <c r="AC1385" s="6">
        <f>$M$1385*$W$1385</f>
        <v>-1559.49908</v>
      </c>
      <c r="AD1385" s="6">
        <f>$O$1385*$X$1385</f>
        <v>-681.42222000000004</v>
      </c>
      <c r="AE1385" s="6">
        <f>$K$1385*$Y$1385</f>
        <v>0</v>
      </c>
      <c r="AF1385" s="6">
        <f ca="1">$M$1385*$Z$1385</f>
        <v>-1621.451242288799</v>
      </c>
      <c r="AG1385" s="6">
        <f>$O$1385*$AA$1385</f>
        <v>-890.20173936621154</v>
      </c>
    </row>
    <row r="1386" spans="1:33" ht="11.25" customHeight="1" x14ac:dyDescent="0.25">
      <c r="A1386" s="4" t="s">
        <v>28</v>
      </c>
      <c r="B1386" s="4" t="s">
        <v>22</v>
      </c>
      <c r="C1386" s="4" t="s">
        <v>23</v>
      </c>
      <c r="D1386" s="4" t="s">
        <v>24</v>
      </c>
      <c r="E1386" s="4" t="s">
        <v>34</v>
      </c>
      <c r="F1386" s="4" t="s">
        <v>25</v>
      </c>
      <c r="G1386" s="4" t="s">
        <v>25</v>
      </c>
      <c r="H1386" s="4" t="s">
        <v>25</v>
      </c>
      <c r="I1386" s="5">
        <v>44593</v>
      </c>
      <c r="J1386" s="6">
        <v>0</v>
      </c>
      <c r="K1386" s="6">
        <v>0</v>
      </c>
      <c r="L1386" s="6">
        <v>227.375</v>
      </c>
      <c r="M1386" s="6">
        <v>227.375</v>
      </c>
      <c r="N1386" s="6">
        <v>227.375</v>
      </c>
      <c r="O1386" s="6">
        <v>227.375</v>
      </c>
      <c r="P1386" s="6">
        <v>2266</v>
      </c>
      <c r="Q1386" s="4" t="s">
        <v>26</v>
      </c>
      <c r="R1386" s="4">
        <v>0</v>
      </c>
      <c r="S1386" s="6">
        <v>0</v>
      </c>
      <c r="T1386" s="6">
        <v>43</v>
      </c>
      <c r="U1386" s="6">
        <v>87</v>
      </c>
      <c r="V1386" s="6">
        <f>IF(ISERROR(VLOOKUP($S$1386,'TAR FIN'!$A$1:$O$115,15,0)),0,VLOOKUP($S$1386,'TAR FIN'!$A$1:$O$115,15,0))</f>
        <v>0</v>
      </c>
      <c r="W1386" s="6">
        <f>IF(ISERROR(VLOOKUP($T$1386,'TAR FIN'!$A$1:$O$115,15,0)),0,VLOOKUP($T$1386,'TAR FIN'!$A$1:$O$115,15,0))</f>
        <v>404.12</v>
      </c>
      <c r="X1386" s="6">
        <f>IF(ISERROR(VLOOKUP($U$1386,'TAR FIN'!$A$1:$O$115,15,0)),0,VLOOKUP($U$1386,'TAR FIN'!$A$1:$O$115,15,0))</f>
        <v>176.58</v>
      </c>
      <c r="Y1386" s="6"/>
      <c r="Z1386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386" s="6">
        <f>('TE BE'!$AB$24+'TE BF'!$AB$24+'TE CVA'!$AB$24)*(1-CUSTOS!$M$37)</f>
        <v>230.68197444058345</v>
      </c>
      <c r="AB1386" s="6">
        <f>$K$1386*$V$1386</f>
        <v>0</v>
      </c>
      <c r="AC1386" s="6">
        <f>$M$1386*$W$1386</f>
        <v>91886.785000000003</v>
      </c>
      <c r="AD1386" s="6">
        <f>$O$1386*$X$1386</f>
        <v>40149.877500000002</v>
      </c>
      <c r="AE1386" s="6">
        <f>$K$1386*$Y$1386</f>
        <v>0</v>
      </c>
      <c r="AF1386" s="6">
        <f ca="1">$M$1386*$Z$1386</f>
        <v>95537.05006877835</v>
      </c>
      <c r="AG1386" s="6">
        <f>$O$1386*$AA$1386</f>
        <v>52451.313938427658</v>
      </c>
    </row>
    <row r="1387" spans="1:33" ht="11.25" customHeight="1" x14ac:dyDescent="0.25">
      <c r="A1387" s="4" t="s">
        <v>29</v>
      </c>
      <c r="B1387" s="4" t="s">
        <v>22</v>
      </c>
      <c r="C1387" s="4" t="s">
        <v>23</v>
      </c>
      <c r="D1387" s="4" t="s">
        <v>24</v>
      </c>
      <c r="E1387" s="4" t="s">
        <v>34</v>
      </c>
      <c r="F1387" s="4" t="s">
        <v>25</v>
      </c>
      <c r="G1387" s="4" t="s">
        <v>25</v>
      </c>
      <c r="H1387" s="4" t="s">
        <v>25</v>
      </c>
      <c r="I1387" s="5">
        <v>44593</v>
      </c>
      <c r="J1387" s="6">
        <v>0</v>
      </c>
      <c r="K1387" s="6">
        <v>0</v>
      </c>
      <c r="L1387" s="6">
        <v>-14.207000000000001</v>
      </c>
      <c r="M1387" s="6">
        <v>-14.207000000000001</v>
      </c>
      <c r="N1387" s="6">
        <v>-14.207000000000001</v>
      </c>
      <c r="O1387" s="6">
        <v>-14.207000000000001</v>
      </c>
      <c r="P1387" s="6">
        <v>-5</v>
      </c>
      <c r="Q1387" s="4" t="s">
        <v>26</v>
      </c>
      <c r="R1387" s="4">
        <v>0</v>
      </c>
      <c r="S1387" s="6">
        <v>0</v>
      </c>
      <c r="T1387" s="6">
        <v>43</v>
      </c>
      <c r="U1387" s="6">
        <v>87</v>
      </c>
      <c r="V1387" s="6">
        <f>IF(ISERROR(VLOOKUP($S$1387,'TAR FIN'!$A$1:$O$115,15,0)),0,VLOOKUP($S$1387,'TAR FIN'!$A$1:$O$115,15,0))</f>
        <v>0</v>
      </c>
      <c r="W1387" s="6">
        <f>IF(ISERROR(VLOOKUP($T$1387,'TAR FIN'!$A$1:$O$115,15,0)),0,VLOOKUP($T$1387,'TAR FIN'!$A$1:$O$115,15,0))</f>
        <v>404.12</v>
      </c>
      <c r="X1387" s="6">
        <f>IF(ISERROR(VLOOKUP($U$1387,'TAR FIN'!$A$1:$O$115,15,0)),0,VLOOKUP($U$1387,'TAR FIN'!$A$1:$O$115,15,0))</f>
        <v>176.58</v>
      </c>
      <c r="Y1387" s="6"/>
      <c r="Z1387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387" s="6">
        <f>('TE BE'!$AB$24+'TE BF'!$AB$24+'TE CVA'!$AB$24)*(1-CUSTOS!$M$37)</f>
        <v>230.68197444058345</v>
      </c>
      <c r="AB1387" s="6">
        <f>$K$1387*$V$1387</f>
        <v>0</v>
      </c>
      <c r="AC1387" s="6">
        <f>$M$1387*$W$1387</f>
        <v>-5741.33284</v>
      </c>
      <c r="AD1387" s="6">
        <f>$O$1387*$X$1387</f>
        <v>-2508.6720600000003</v>
      </c>
      <c r="AE1387" s="6">
        <f>$K$1387*$Y$1387</f>
        <v>0</v>
      </c>
      <c r="AF1387" s="6">
        <f ca="1">$M$1387*$Z$1387</f>
        <v>-5969.4111944019096</v>
      </c>
      <c r="AG1387" s="6">
        <f>$O$1387*$AA$1387</f>
        <v>-3277.2988108773693</v>
      </c>
    </row>
    <row r="1388" spans="1:33" ht="11.25" customHeight="1" x14ac:dyDescent="0.25">
      <c r="A1388" s="4" t="s">
        <v>30</v>
      </c>
      <c r="B1388" s="4" t="s">
        <v>22</v>
      </c>
      <c r="C1388" s="4" t="s">
        <v>23</v>
      </c>
      <c r="D1388" s="4" t="s">
        <v>24</v>
      </c>
      <c r="E1388" s="4" t="s">
        <v>34</v>
      </c>
      <c r="F1388" s="4" t="s">
        <v>25</v>
      </c>
      <c r="G1388" s="4" t="s">
        <v>25</v>
      </c>
      <c r="H1388" s="4" t="s">
        <v>25</v>
      </c>
      <c r="I1388" s="5">
        <v>44593</v>
      </c>
      <c r="J1388" s="6">
        <v>0</v>
      </c>
      <c r="K1388" s="6">
        <v>0</v>
      </c>
      <c r="L1388" s="6">
        <v>2.3650000000000002</v>
      </c>
      <c r="M1388" s="6">
        <v>2.3650000000000002</v>
      </c>
      <c r="N1388" s="6">
        <v>2.3650000000000002</v>
      </c>
      <c r="O1388" s="6">
        <v>2.3650000000000002</v>
      </c>
      <c r="P1388" s="6">
        <v>34</v>
      </c>
      <c r="Q1388" s="4" t="s">
        <v>26</v>
      </c>
      <c r="R1388" s="4">
        <v>0</v>
      </c>
      <c r="S1388" s="6">
        <v>0</v>
      </c>
      <c r="T1388" s="6">
        <v>43</v>
      </c>
      <c r="U1388" s="6">
        <v>87</v>
      </c>
      <c r="V1388" s="6">
        <f>IF(ISERROR(VLOOKUP($S$1388,'TAR FIN'!$A$1:$O$115,15,0)),0,VLOOKUP($S$1388,'TAR FIN'!$A$1:$O$115,15,0))</f>
        <v>0</v>
      </c>
      <c r="W1388" s="6">
        <f>IF(ISERROR(VLOOKUP($T$1388,'TAR FIN'!$A$1:$O$115,15,0)),0,VLOOKUP($T$1388,'TAR FIN'!$A$1:$O$115,15,0))</f>
        <v>404.12</v>
      </c>
      <c r="X1388" s="6">
        <f>IF(ISERROR(VLOOKUP($U$1388,'TAR FIN'!$A$1:$O$115,15,0)),0,VLOOKUP($U$1388,'TAR FIN'!$A$1:$O$115,15,0))</f>
        <v>176.58</v>
      </c>
      <c r="Y1388" s="6"/>
      <c r="Z1388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388" s="6">
        <f>('TE BE'!$AB$24+'TE BF'!$AB$24+'TE CVA'!$AB$24)*(1-CUSTOS!$M$37)</f>
        <v>230.68197444058345</v>
      </c>
      <c r="AB1388" s="6">
        <f>$K$1388*$V$1388</f>
        <v>0</v>
      </c>
      <c r="AC1388" s="6">
        <f>$M$1388*$W$1388</f>
        <v>955.74380000000008</v>
      </c>
      <c r="AD1388" s="6">
        <f>$O$1388*$X$1388</f>
        <v>417.61170000000004</v>
      </c>
      <c r="AE1388" s="6">
        <f>$K$1388*$Y$1388</f>
        <v>0</v>
      </c>
      <c r="AF1388" s="6">
        <f ca="1">$M$1388*$Z$1388</f>
        <v>993.71137289790363</v>
      </c>
      <c r="AG1388" s="6">
        <f>$O$1388*$AA$1388</f>
        <v>545.56286955197993</v>
      </c>
    </row>
    <row r="1389" spans="1:33" ht="11.25" customHeight="1" x14ac:dyDescent="0.25">
      <c r="A1389" s="4" t="s">
        <v>30</v>
      </c>
      <c r="B1389" s="4" t="s">
        <v>22</v>
      </c>
      <c r="C1389" s="4" t="s">
        <v>23</v>
      </c>
      <c r="D1389" s="4" t="s">
        <v>24</v>
      </c>
      <c r="E1389" s="4" t="s">
        <v>34</v>
      </c>
      <c r="F1389" s="4" t="s">
        <v>25</v>
      </c>
      <c r="G1389" s="4" t="s">
        <v>25</v>
      </c>
      <c r="H1389" s="4" t="s">
        <v>25</v>
      </c>
      <c r="I1389" s="5">
        <v>44593</v>
      </c>
      <c r="J1389" s="6">
        <v>0</v>
      </c>
      <c r="K1389" s="6">
        <v>0</v>
      </c>
      <c r="L1389" s="6">
        <v>-2.9000000000000001E-2</v>
      </c>
      <c r="M1389" s="6">
        <v>-2.9000000000000001E-2</v>
      </c>
      <c r="N1389" s="6">
        <v>-2.9000000000000001E-2</v>
      </c>
      <c r="O1389" s="6">
        <v>-2.9000000000000001E-2</v>
      </c>
      <c r="P1389" s="6">
        <v>-1</v>
      </c>
      <c r="Q1389" s="4" t="s">
        <v>26</v>
      </c>
      <c r="R1389" s="4">
        <v>0</v>
      </c>
      <c r="S1389" s="6">
        <v>0</v>
      </c>
      <c r="T1389" s="6">
        <v>43</v>
      </c>
      <c r="U1389" s="6">
        <v>87</v>
      </c>
      <c r="V1389" s="6">
        <f>IF(ISERROR(VLOOKUP($S$1389,'TAR FIN'!$A$1:$O$115,15,0)),0,VLOOKUP($S$1389,'TAR FIN'!$A$1:$O$115,15,0))</f>
        <v>0</v>
      </c>
      <c r="W1389" s="6">
        <f>IF(ISERROR(VLOOKUP($T$1389,'TAR FIN'!$A$1:$O$115,15,0)),0,VLOOKUP($T$1389,'TAR FIN'!$A$1:$O$115,15,0))</f>
        <v>404.12</v>
      </c>
      <c r="X1389" s="6">
        <f>IF(ISERROR(VLOOKUP($U$1389,'TAR FIN'!$A$1:$O$115,15,0)),0,VLOOKUP($U$1389,'TAR FIN'!$A$1:$O$115,15,0))</f>
        <v>176.58</v>
      </c>
      <c r="Y1389" s="6"/>
      <c r="Z1389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389" s="6">
        <f>('TE BE'!$AB$24+'TE BF'!$AB$24+'TE CVA'!$AB$24)*(1-CUSTOS!$M$37)</f>
        <v>230.68197444058345</v>
      </c>
      <c r="AB1389" s="6">
        <f>$K$1389*$V$1389</f>
        <v>0</v>
      </c>
      <c r="AC1389" s="6">
        <f>$M$1389*$W$1389</f>
        <v>-11.719480000000001</v>
      </c>
      <c r="AD1389" s="6">
        <f>$O$1389*$X$1389</f>
        <v>-5.120820000000001</v>
      </c>
      <c r="AE1389" s="6">
        <f>$K$1389*$Y$1389</f>
        <v>0</v>
      </c>
      <c r="AF1389" s="6">
        <f ca="1">$M$1389*$Z$1389</f>
        <v>-12.185044318832643</v>
      </c>
      <c r="AG1389" s="6">
        <f>$O$1389*$AA$1389</f>
        <v>-6.6897772587769202</v>
      </c>
    </row>
    <row r="1390" spans="1:33" ht="11.25" customHeight="1" x14ac:dyDescent="0.25">
      <c r="A1390" s="4" t="s">
        <v>21</v>
      </c>
      <c r="B1390" s="4" t="s">
        <v>22</v>
      </c>
      <c r="C1390" s="4" t="s">
        <v>23</v>
      </c>
      <c r="D1390" s="4" t="s">
        <v>24</v>
      </c>
      <c r="E1390" s="4" t="s">
        <v>34</v>
      </c>
      <c r="F1390" s="4" t="s">
        <v>25</v>
      </c>
      <c r="G1390" s="4" t="s">
        <v>25</v>
      </c>
      <c r="H1390" s="4" t="s">
        <v>25</v>
      </c>
      <c r="I1390" s="5">
        <v>44621</v>
      </c>
      <c r="J1390" s="6">
        <v>0</v>
      </c>
      <c r="K1390" s="6">
        <v>0</v>
      </c>
      <c r="L1390" s="6">
        <v>1061.9000000000001</v>
      </c>
      <c r="M1390" s="6">
        <v>1061.9000000000001</v>
      </c>
      <c r="N1390" s="6">
        <v>1061.9000000000001</v>
      </c>
      <c r="O1390" s="6">
        <v>1061.9000000000001</v>
      </c>
      <c r="P1390" s="6">
        <v>9110</v>
      </c>
      <c r="Q1390" s="4" t="s">
        <v>26</v>
      </c>
      <c r="R1390" s="4">
        <v>0</v>
      </c>
      <c r="S1390" s="6">
        <v>0</v>
      </c>
      <c r="T1390" s="6">
        <v>43</v>
      </c>
      <c r="U1390" s="6">
        <v>87</v>
      </c>
      <c r="V1390" s="6">
        <f>IF(ISERROR(VLOOKUP($S$1390,'TAR FIN'!$A$1:$O$115,15,0)),0,VLOOKUP($S$1390,'TAR FIN'!$A$1:$O$115,15,0))</f>
        <v>0</v>
      </c>
      <c r="W1390" s="6">
        <f>IF(ISERROR(VLOOKUP($T$1390,'TAR FIN'!$A$1:$O$115,15,0)),0,VLOOKUP($T$1390,'TAR FIN'!$A$1:$O$115,15,0))</f>
        <v>404.12</v>
      </c>
      <c r="X1390" s="6">
        <f>IF(ISERROR(VLOOKUP($U$1390,'TAR FIN'!$A$1:$O$115,15,0)),0,VLOOKUP($U$1390,'TAR FIN'!$A$1:$O$115,15,0))</f>
        <v>176.58</v>
      </c>
      <c r="Y1390" s="6"/>
      <c r="Z1390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390" s="6">
        <f>('TE BE'!$AB$24+'TE BF'!$AB$24+'TE CVA'!$AB$24)*(1-CUSTOS!$M$37)</f>
        <v>230.68197444058345</v>
      </c>
      <c r="AB1390" s="6">
        <f>$K$1390*$V$1390</f>
        <v>0</v>
      </c>
      <c r="AC1390" s="6">
        <f>$M$1390*$W$1390</f>
        <v>429135.02800000005</v>
      </c>
      <c r="AD1390" s="6">
        <f>$O$1390*$X$1390</f>
        <v>187510.30200000003</v>
      </c>
      <c r="AE1390" s="6">
        <f>$K$1390*$Y$1390</f>
        <v>0</v>
      </c>
      <c r="AF1390" s="6">
        <f ca="1">$M$1390*$Z$1390</f>
        <v>446182.70904028916</v>
      </c>
      <c r="AG1390" s="6">
        <f>$O$1390*$AA$1390</f>
        <v>244961.18865845559</v>
      </c>
    </row>
    <row r="1391" spans="1:33" ht="11.25" customHeight="1" x14ac:dyDescent="0.25">
      <c r="A1391" s="4" t="s">
        <v>27</v>
      </c>
      <c r="B1391" s="4" t="s">
        <v>22</v>
      </c>
      <c r="C1391" s="4" t="s">
        <v>23</v>
      </c>
      <c r="D1391" s="4" t="s">
        <v>24</v>
      </c>
      <c r="E1391" s="4" t="s">
        <v>34</v>
      </c>
      <c r="F1391" s="4" t="s">
        <v>25</v>
      </c>
      <c r="G1391" s="4" t="s">
        <v>25</v>
      </c>
      <c r="H1391" s="4" t="s">
        <v>25</v>
      </c>
      <c r="I1391" s="5">
        <v>44621</v>
      </c>
      <c r="J1391" s="6">
        <v>0</v>
      </c>
      <c r="K1391" s="6">
        <v>0</v>
      </c>
      <c r="L1391" s="6">
        <v>-5.4640000000000004</v>
      </c>
      <c r="M1391" s="6">
        <v>-5.4640000000000004</v>
      </c>
      <c r="N1391" s="6">
        <v>-5.4640000000000004</v>
      </c>
      <c r="O1391" s="6">
        <v>-5.4640000000000004</v>
      </c>
      <c r="P1391" s="6">
        <v>-23</v>
      </c>
      <c r="Q1391" s="4" t="s">
        <v>26</v>
      </c>
      <c r="R1391" s="4">
        <v>0</v>
      </c>
      <c r="S1391" s="6">
        <v>0</v>
      </c>
      <c r="T1391" s="6">
        <v>43</v>
      </c>
      <c r="U1391" s="6">
        <v>87</v>
      </c>
      <c r="V1391" s="6">
        <f>IF(ISERROR(VLOOKUP($S$1391,'TAR FIN'!$A$1:$O$115,15,0)),0,VLOOKUP($S$1391,'TAR FIN'!$A$1:$O$115,15,0))</f>
        <v>0</v>
      </c>
      <c r="W1391" s="6">
        <f>IF(ISERROR(VLOOKUP($T$1391,'TAR FIN'!$A$1:$O$115,15,0)),0,VLOOKUP($T$1391,'TAR FIN'!$A$1:$O$115,15,0))</f>
        <v>404.12</v>
      </c>
      <c r="X1391" s="6">
        <f>IF(ISERROR(VLOOKUP($U$1391,'TAR FIN'!$A$1:$O$115,15,0)),0,VLOOKUP($U$1391,'TAR FIN'!$A$1:$O$115,15,0))</f>
        <v>176.58</v>
      </c>
      <c r="Y1391" s="6"/>
      <c r="Z1391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391" s="6">
        <f>('TE BE'!$AB$24+'TE BF'!$AB$24+'TE CVA'!$AB$24)*(1-CUSTOS!$M$37)</f>
        <v>230.68197444058345</v>
      </c>
      <c r="AB1391" s="6">
        <f>$K$1391*$V$1391</f>
        <v>0</v>
      </c>
      <c r="AC1391" s="6">
        <f>$M$1391*$W$1391</f>
        <v>-2208.11168</v>
      </c>
      <c r="AD1391" s="6">
        <f>$O$1391*$X$1391</f>
        <v>-964.83312000000012</v>
      </c>
      <c r="AE1391" s="6">
        <f>$K$1391*$Y$1391</f>
        <v>0</v>
      </c>
      <c r="AF1391" s="6">
        <f ca="1">$M$1391*$Z$1391</f>
        <v>-2295.8304192448818</v>
      </c>
      <c r="AG1391" s="6">
        <f>$O$1391*$AA$1391</f>
        <v>-1260.4463083433479</v>
      </c>
    </row>
    <row r="1392" spans="1:33" ht="11.25" customHeight="1" x14ac:dyDescent="0.25">
      <c r="A1392" s="4" t="s">
        <v>28</v>
      </c>
      <c r="B1392" s="4" t="s">
        <v>22</v>
      </c>
      <c r="C1392" s="4" t="s">
        <v>23</v>
      </c>
      <c r="D1392" s="4" t="s">
        <v>24</v>
      </c>
      <c r="E1392" s="4" t="s">
        <v>34</v>
      </c>
      <c r="F1392" s="4" t="s">
        <v>25</v>
      </c>
      <c r="G1392" s="4" t="s">
        <v>25</v>
      </c>
      <c r="H1392" s="4" t="s">
        <v>25</v>
      </c>
      <c r="I1392" s="5">
        <v>44621</v>
      </c>
      <c r="J1392" s="6">
        <v>0</v>
      </c>
      <c r="K1392" s="6">
        <v>0</v>
      </c>
      <c r="L1392" s="6">
        <v>257.94900000000001</v>
      </c>
      <c r="M1392" s="6">
        <v>257.94900000000001</v>
      </c>
      <c r="N1392" s="6">
        <v>257.94900000000001</v>
      </c>
      <c r="O1392" s="6">
        <v>257.94900000000001</v>
      </c>
      <c r="P1392" s="6">
        <v>2548</v>
      </c>
      <c r="Q1392" s="4" t="s">
        <v>26</v>
      </c>
      <c r="R1392" s="4">
        <v>0</v>
      </c>
      <c r="S1392" s="6">
        <v>0</v>
      </c>
      <c r="T1392" s="6">
        <v>43</v>
      </c>
      <c r="U1392" s="6">
        <v>87</v>
      </c>
      <c r="V1392" s="6">
        <f>IF(ISERROR(VLOOKUP($S$1392,'TAR FIN'!$A$1:$O$115,15,0)),0,VLOOKUP($S$1392,'TAR FIN'!$A$1:$O$115,15,0))</f>
        <v>0</v>
      </c>
      <c r="W1392" s="6">
        <f>IF(ISERROR(VLOOKUP($T$1392,'TAR FIN'!$A$1:$O$115,15,0)),0,VLOOKUP($T$1392,'TAR FIN'!$A$1:$O$115,15,0))</f>
        <v>404.12</v>
      </c>
      <c r="X1392" s="6">
        <f>IF(ISERROR(VLOOKUP($U$1392,'TAR FIN'!$A$1:$O$115,15,0)),0,VLOOKUP($U$1392,'TAR FIN'!$A$1:$O$115,15,0))</f>
        <v>176.58</v>
      </c>
      <c r="Y1392" s="6"/>
      <c r="Z1392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392" s="6">
        <f>('TE BE'!$AB$24+'TE BF'!$AB$24+'TE CVA'!$AB$24)*(1-CUSTOS!$M$37)</f>
        <v>230.68197444058345</v>
      </c>
      <c r="AB1392" s="6">
        <f>$K$1392*$V$1392</f>
        <v>0</v>
      </c>
      <c r="AC1392" s="6">
        <f>$M$1392*$W$1392</f>
        <v>104242.34988000001</v>
      </c>
      <c r="AD1392" s="6">
        <f>$O$1392*$X$1392</f>
        <v>45548.634420000002</v>
      </c>
      <c r="AE1392" s="6">
        <f>$K$1392*$Y$1392</f>
        <v>0</v>
      </c>
      <c r="AF1392" s="6">
        <f ca="1">$M$1392*$Z$1392</f>
        <v>108383.44817236419</v>
      </c>
      <c r="AG1392" s="6">
        <f>$O$1392*$AA$1392</f>
        <v>59504.184624974063</v>
      </c>
    </row>
    <row r="1393" spans="1:33" ht="11.25" customHeight="1" x14ac:dyDescent="0.25">
      <c r="A1393" s="4" t="s">
        <v>29</v>
      </c>
      <c r="B1393" s="4" t="s">
        <v>22</v>
      </c>
      <c r="C1393" s="4" t="s">
        <v>23</v>
      </c>
      <c r="D1393" s="4" t="s">
        <v>24</v>
      </c>
      <c r="E1393" s="4" t="s">
        <v>34</v>
      </c>
      <c r="F1393" s="4" t="s">
        <v>25</v>
      </c>
      <c r="G1393" s="4" t="s">
        <v>25</v>
      </c>
      <c r="H1393" s="4" t="s">
        <v>25</v>
      </c>
      <c r="I1393" s="5">
        <v>44621</v>
      </c>
      <c r="J1393" s="6">
        <v>0</v>
      </c>
      <c r="K1393" s="6">
        <v>0</v>
      </c>
      <c r="L1393" s="6">
        <v>-0.50700000000000001</v>
      </c>
      <c r="M1393" s="6">
        <v>-0.50700000000000001</v>
      </c>
      <c r="N1393" s="6">
        <v>-0.50700000000000001</v>
      </c>
      <c r="O1393" s="6">
        <v>-0.50700000000000001</v>
      </c>
      <c r="P1393" s="6">
        <v>-6</v>
      </c>
      <c r="Q1393" s="4" t="s">
        <v>26</v>
      </c>
      <c r="R1393" s="4">
        <v>0</v>
      </c>
      <c r="S1393" s="6">
        <v>0</v>
      </c>
      <c r="T1393" s="6">
        <v>43</v>
      </c>
      <c r="U1393" s="6">
        <v>87</v>
      </c>
      <c r="V1393" s="6">
        <f>IF(ISERROR(VLOOKUP($S$1393,'TAR FIN'!$A$1:$O$115,15,0)),0,VLOOKUP($S$1393,'TAR FIN'!$A$1:$O$115,15,0))</f>
        <v>0</v>
      </c>
      <c r="W1393" s="6">
        <f>IF(ISERROR(VLOOKUP($T$1393,'TAR FIN'!$A$1:$O$115,15,0)),0,VLOOKUP($T$1393,'TAR FIN'!$A$1:$O$115,15,0))</f>
        <v>404.12</v>
      </c>
      <c r="X1393" s="6">
        <f>IF(ISERROR(VLOOKUP($U$1393,'TAR FIN'!$A$1:$O$115,15,0)),0,VLOOKUP($U$1393,'TAR FIN'!$A$1:$O$115,15,0))</f>
        <v>176.58</v>
      </c>
      <c r="Y1393" s="6"/>
      <c r="Z1393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393" s="6">
        <f>('TE BE'!$AB$24+'TE BF'!$AB$24+'TE CVA'!$AB$24)*(1-CUSTOS!$M$37)</f>
        <v>230.68197444058345</v>
      </c>
      <c r="AB1393" s="6">
        <f>$K$1393*$V$1393</f>
        <v>0</v>
      </c>
      <c r="AC1393" s="6">
        <f>$M$1393*$W$1393</f>
        <v>-204.88884000000002</v>
      </c>
      <c r="AD1393" s="6">
        <f>$O$1393*$X$1393</f>
        <v>-89.526060000000001</v>
      </c>
      <c r="AE1393" s="6">
        <f>$K$1393*$Y$1393</f>
        <v>0</v>
      </c>
      <c r="AF1393" s="6">
        <f ca="1">$M$1393*$Z$1393</f>
        <v>-213.02818860855692</v>
      </c>
      <c r="AG1393" s="6">
        <f>$O$1393*$AA$1393</f>
        <v>-116.95576104137581</v>
      </c>
    </row>
    <row r="1394" spans="1:33" ht="11.25" customHeight="1" x14ac:dyDescent="0.25">
      <c r="A1394" s="4" t="s">
        <v>30</v>
      </c>
      <c r="B1394" s="4" t="s">
        <v>22</v>
      </c>
      <c r="C1394" s="4" t="s">
        <v>23</v>
      </c>
      <c r="D1394" s="4" t="s">
        <v>24</v>
      </c>
      <c r="E1394" s="4" t="s">
        <v>34</v>
      </c>
      <c r="F1394" s="4" t="s">
        <v>25</v>
      </c>
      <c r="G1394" s="4" t="s">
        <v>25</v>
      </c>
      <c r="H1394" s="4" t="s">
        <v>25</v>
      </c>
      <c r="I1394" s="5">
        <v>44621</v>
      </c>
      <c r="J1394" s="6">
        <v>0</v>
      </c>
      <c r="K1394" s="6">
        <v>0</v>
      </c>
      <c r="L1394" s="6">
        <v>2.5219999999999998</v>
      </c>
      <c r="M1394" s="6">
        <v>2.5219999999999998</v>
      </c>
      <c r="N1394" s="6">
        <v>2.5219999999999998</v>
      </c>
      <c r="O1394" s="6">
        <v>2.5219999999999998</v>
      </c>
      <c r="P1394" s="6">
        <v>37</v>
      </c>
      <c r="Q1394" s="4" t="s">
        <v>26</v>
      </c>
      <c r="R1394" s="4">
        <v>0</v>
      </c>
      <c r="S1394" s="6">
        <v>0</v>
      </c>
      <c r="T1394" s="6">
        <v>43</v>
      </c>
      <c r="U1394" s="6">
        <v>87</v>
      </c>
      <c r="V1394" s="6">
        <f>IF(ISERROR(VLOOKUP($S$1394,'TAR FIN'!$A$1:$O$115,15,0)),0,VLOOKUP($S$1394,'TAR FIN'!$A$1:$O$115,15,0))</f>
        <v>0</v>
      </c>
      <c r="W1394" s="6">
        <f>IF(ISERROR(VLOOKUP($T$1394,'TAR FIN'!$A$1:$O$115,15,0)),0,VLOOKUP($T$1394,'TAR FIN'!$A$1:$O$115,15,0))</f>
        <v>404.12</v>
      </c>
      <c r="X1394" s="6">
        <f>IF(ISERROR(VLOOKUP($U$1394,'TAR FIN'!$A$1:$O$115,15,0)),0,VLOOKUP($U$1394,'TAR FIN'!$A$1:$O$115,15,0))</f>
        <v>176.58</v>
      </c>
      <c r="Y1394" s="6"/>
      <c r="Z1394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394" s="6">
        <f>('TE BE'!$AB$24+'TE BF'!$AB$24+'TE CVA'!$AB$24)*(1-CUSTOS!$M$37)</f>
        <v>230.68197444058345</v>
      </c>
      <c r="AB1394" s="6">
        <f>$K$1394*$V$1394</f>
        <v>0</v>
      </c>
      <c r="AC1394" s="6">
        <f>$M$1394*$W$1394</f>
        <v>1019.1906399999999</v>
      </c>
      <c r="AD1394" s="6">
        <f>$O$1394*$X$1394</f>
        <v>445.33476000000002</v>
      </c>
      <c r="AE1394" s="6">
        <f>$K$1394*$Y$1394</f>
        <v>0</v>
      </c>
      <c r="AF1394" s="6">
        <f ca="1">$M$1394*$Z$1394</f>
        <v>1059.6786817964112</v>
      </c>
      <c r="AG1394" s="6">
        <f>$O$1394*$AA$1394</f>
        <v>581.77993953915143</v>
      </c>
    </row>
    <row r="1395" spans="1:33" ht="11.25" customHeight="1" x14ac:dyDescent="0.25">
      <c r="A1395" s="4" t="s">
        <v>21</v>
      </c>
      <c r="B1395" s="4" t="s">
        <v>22</v>
      </c>
      <c r="C1395" s="4" t="s">
        <v>23</v>
      </c>
      <c r="D1395" s="4" t="s">
        <v>24</v>
      </c>
      <c r="E1395" s="4" t="s">
        <v>34</v>
      </c>
      <c r="F1395" s="4" t="s">
        <v>25</v>
      </c>
      <c r="G1395" s="4" t="s">
        <v>25</v>
      </c>
      <c r="H1395" s="4" t="s">
        <v>25</v>
      </c>
      <c r="I1395" s="5">
        <v>44652</v>
      </c>
      <c r="J1395" s="6">
        <v>0</v>
      </c>
      <c r="K1395" s="6">
        <v>0</v>
      </c>
      <c r="L1395" s="6">
        <v>1132.326</v>
      </c>
      <c r="M1395" s="6">
        <v>1132.326</v>
      </c>
      <c r="N1395" s="6">
        <v>1132.326</v>
      </c>
      <c r="O1395" s="6">
        <v>1132.326</v>
      </c>
      <c r="P1395" s="6">
        <v>9345</v>
      </c>
      <c r="Q1395" s="4" t="s">
        <v>26</v>
      </c>
      <c r="R1395" s="4">
        <v>0</v>
      </c>
      <c r="S1395" s="6">
        <v>0</v>
      </c>
      <c r="T1395" s="6">
        <v>43</v>
      </c>
      <c r="U1395" s="6">
        <v>87</v>
      </c>
      <c r="V1395" s="6">
        <f>IF(ISERROR(VLOOKUP($S$1395,'TAR FIN'!$A$1:$O$115,15,0)),0,VLOOKUP($S$1395,'TAR FIN'!$A$1:$O$115,15,0))</f>
        <v>0</v>
      </c>
      <c r="W1395" s="6">
        <f>IF(ISERROR(VLOOKUP($T$1395,'TAR FIN'!$A$1:$O$115,15,0)),0,VLOOKUP($T$1395,'TAR FIN'!$A$1:$O$115,15,0))</f>
        <v>404.12</v>
      </c>
      <c r="X1395" s="6">
        <f>IF(ISERROR(VLOOKUP($U$1395,'TAR FIN'!$A$1:$O$115,15,0)),0,VLOOKUP($U$1395,'TAR FIN'!$A$1:$O$115,15,0))</f>
        <v>176.58</v>
      </c>
      <c r="Y1395" s="6"/>
      <c r="Z1395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395" s="6">
        <f>('TE BE'!$AB$24+'TE BF'!$AB$24+'TE CVA'!$AB$24)*(1-CUSTOS!$M$37)</f>
        <v>230.68197444058345</v>
      </c>
      <c r="AB1395" s="6">
        <f>$K$1395*$V$1395</f>
        <v>0</v>
      </c>
      <c r="AC1395" s="6">
        <f>$M$1395*$W$1395</f>
        <v>457595.58312000002</v>
      </c>
      <c r="AD1395" s="6">
        <f>$O$1395*$X$1395</f>
        <v>199946.12508000003</v>
      </c>
      <c r="AE1395" s="6">
        <f>$K$1395*$Y$1395</f>
        <v>0</v>
      </c>
      <c r="AF1395" s="6">
        <f ca="1">$M$1395*$Z$1395</f>
        <v>475773.8790816032</v>
      </c>
      <c r="AG1395" s="6">
        <f>$O$1395*$AA$1395</f>
        <v>261207.19739040811</v>
      </c>
    </row>
    <row r="1396" spans="1:33" ht="11.25" customHeight="1" x14ac:dyDescent="0.25">
      <c r="A1396" s="4" t="s">
        <v>27</v>
      </c>
      <c r="B1396" s="4" t="s">
        <v>22</v>
      </c>
      <c r="C1396" s="4" t="s">
        <v>23</v>
      </c>
      <c r="D1396" s="4" t="s">
        <v>24</v>
      </c>
      <c r="E1396" s="4" t="s">
        <v>34</v>
      </c>
      <c r="F1396" s="4" t="s">
        <v>25</v>
      </c>
      <c r="G1396" s="4" t="s">
        <v>25</v>
      </c>
      <c r="H1396" s="4" t="s">
        <v>25</v>
      </c>
      <c r="I1396" s="5">
        <v>44652</v>
      </c>
      <c r="J1396" s="6">
        <v>0</v>
      </c>
      <c r="K1396" s="6">
        <v>0</v>
      </c>
      <c r="L1396" s="6">
        <v>2.7719999999999998</v>
      </c>
      <c r="M1396" s="6">
        <v>2.7719999999999998</v>
      </c>
      <c r="N1396" s="6">
        <v>2.7719999999999998</v>
      </c>
      <c r="O1396" s="6">
        <v>2.7719999999999998</v>
      </c>
      <c r="P1396" s="6">
        <v>-34</v>
      </c>
      <c r="Q1396" s="4" t="s">
        <v>26</v>
      </c>
      <c r="R1396" s="4">
        <v>0</v>
      </c>
      <c r="S1396" s="6">
        <v>0</v>
      </c>
      <c r="T1396" s="6">
        <v>43</v>
      </c>
      <c r="U1396" s="6">
        <v>87</v>
      </c>
      <c r="V1396" s="6">
        <f>IF(ISERROR(VLOOKUP($S$1396,'TAR FIN'!$A$1:$O$115,15,0)),0,VLOOKUP($S$1396,'TAR FIN'!$A$1:$O$115,15,0))</f>
        <v>0</v>
      </c>
      <c r="W1396" s="6">
        <f>IF(ISERROR(VLOOKUP($T$1396,'TAR FIN'!$A$1:$O$115,15,0)),0,VLOOKUP($T$1396,'TAR FIN'!$A$1:$O$115,15,0))</f>
        <v>404.12</v>
      </c>
      <c r="X1396" s="6">
        <f>IF(ISERROR(VLOOKUP($U$1396,'TAR FIN'!$A$1:$O$115,15,0)),0,VLOOKUP($U$1396,'TAR FIN'!$A$1:$O$115,15,0))</f>
        <v>176.58</v>
      </c>
      <c r="Y1396" s="6"/>
      <c r="Z1396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396" s="6">
        <f>('TE BE'!$AB$24+'TE BF'!$AB$24+'TE CVA'!$AB$24)*(1-CUSTOS!$M$37)</f>
        <v>230.68197444058345</v>
      </c>
      <c r="AB1396" s="6">
        <f>$K$1396*$V$1396</f>
        <v>0</v>
      </c>
      <c r="AC1396" s="6">
        <f>$M$1396*$W$1396</f>
        <v>1120.22064</v>
      </c>
      <c r="AD1396" s="6">
        <f>$O$1396*$X$1396</f>
        <v>489.47976</v>
      </c>
      <c r="AE1396" s="6">
        <f>$K$1396*$Y$1396</f>
        <v>0</v>
      </c>
      <c r="AF1396" s="6">
        <f ca="1">$M$1396*$Z$1396</f>
        <v>1164.7221673035892</v>
      </c>
      <c r="AG1396" s="6">
        <f>$O$1396*$AA$1396</f>
        <v>639.45043314929728</v>
      </c>
    </row>
    <row r="1397" spans="1:33" ht="11.25" customHeight="1" x14ac:dyDescent="0.25">
      <c r="A1397" s="4" t="s">
        <v>28</v>
      </c>
      <c r="B1397" s="4" t="s">
        <v>22</v>
      </c>
      <c r="C1397" s="4" t="s">
        <v>23</v>
      </c>
      <c r="D1397" s="4" t="s">
        <v>24</v>
      </c>
      <c r="E1397" s="4" t="s">
        <v>34</v>
      </c>
      <c r="F1397" s="4" t="s">
        <v>25</v>
      </c>
      <c r="G1397" s="4" t="s">
        <v>25</v>
      </c>
      <c r="H1397" s="4" t="s">
        <v>25</v>
      </c>
      <c r="I1397" s="5">
        <v>44652</v>
      </c>
      <c r="J1397" s="6">
        <v>0</v>
      </c>
      <c r="K1397" s="6">
        <v>0</v>
      </c>
      <c r="L1397" s="6">
        <v>269.14</v>
      </c>
      <c r="M1397" s="6">
        <v>269.14</v>
      </c>
      <c r="N1397" s="6">
        <v>269.14</v>
      </c>
      <c r="O1397" s="6">
        <v>269.14</v>
      </c>
      <c r="P1397" s="6">
        <v>2632</v>
      </c>
      <c r="Q1397" s="4" t="s">
        <v>26</v>
      </c>
      <c r="R1397" s="4">
        <v>0</v>
      </c>
      <c r="S1397" s="6">
        <v>0</v>
      </c>
      <c r="T1397" s="6">
        <v>43</v>
      </c>
      <c r="U1397" s="6">
        <v>87</v>
      </c>
      <c r="V1397" s="6">
        <f>IF(ISERROR(VLOOKUP($S$1397,'TAR FIN'!$A$1:$O$115,15,0)),0,VLOOKUP($S$1397,'TAR FIN'!$A$1:$O$115,15,0))</f>
        <v>0</v>
      </c>
      <c r="W1397" s="6">
        <f>IF(ISERROR(VLOOKUP($T$1397,'TAR FIN'!$A$1:$O$115,15,0)),0,VLOOKUP($T$1397,'TAR FIN'!$A$1:$O$115,15,0))</f>
        <v>404.12</v>
      </c>
      <c r="X1397" s="6">
        <f>IF(ISERROR(VLOOKUP($U$1397,'TAR FIN'!$A$1:$O$115,15,0)),0,VLOOKUP($U$1397,'TAR FIN'!$A$1:$O$115,15,0))</f>
        <v>176.58</v>
      </c>
      <c r="Y1397" s="6"/>
      <c r="Z1397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397" s="6">
        <f>('TE BE'!$AB$24+'TE BF'!$AB$24+'TE CVA'!$AB$24)*(1-CUSTOS!$M$37)</f>
        <v>230.68197444058345</v>
      </c>
      <c r="AB1397" s="6">
        <f>$K$1397*$V$1397</f>
        <v>0</v>
      </c>
      <c r="AC1397" s="6">
        <f>$M$1397*$W$1397</f>
        <v>108764.85679999999</v>
      </c>
      <c r="AD1397" s="6">
        <f>$O$1397*$X$1397</f>
        <v>47524.741200000004</v>
      </c>
      <c r="AE1397" s="6">
        <f>$K$1397*$Y$1397</f>
        <v>0</v>
      </c>
      <c r="AF1397" s="6">
        <f ca="1">$M$1397*$Z$1397</f>
        <v>113085.6147576075</v>
      </c>
      <c r="AG1397" s="6">
        <f>$O$1397*$AA$1397</f>
        <v>62085.746600938626</v>
      </c>
    </row>
    <row r="1398" spans="1:33" ht="11.25" customHeight="1" x14ac:dyDescent="0.25">
      <c r="A1398" s="4" t="s">
        <v>29</v>
      </c>
      <c r="B1398" s="4" t="s">
        <v>22</v>
      </c>
      <c r="C1398" s="4" t="s">
        <v>23</v>
      </c>
      <c r="D1398" s="4" t="s">
        <v>24</v>
      </c>
      <c r="E1398" s="4" t="s">
        <v>34</v>
      </c>
      <c r="F1398" s="4" t="s">
        <v>25</v>
      </c>
      <c r="G1398" s="4" t="s">
        <v>25</v>
      </c>
      <c r="H1398" s="4" t="s">
        <v>25</v>
      </c>
      <c r="I1398" s="5">
        <v>44652</v>
      </c>
      <c r="J1398" s="6">
        <v>0</v>
      </c>
      <c r="K1398" s="6">
        <v>0</v>
      </c>
      <c r="L1398" s="6">
        <v>-1.2090000000000001</v>
      </c>
      <c r="M1398" s="6">
        <v>-1.2090000000000001</v>
      </c>
      <c r="N1398" s="6">
        <v>-1.2090000000000001</v>
      </c>
      <c r="O1398" s="6">
        <v>-1.2090000000000001</v>
      </c>
      <c r="P1398" s="6">
        <v>-14</v>
      </c>
      <c r="Q1398" s="4" t="s">
        <v>26</v>
      </c>
      <c r="R1398" s="4">
        <v>0</v>
      </c>
      <c r="S1398" s="6">
        <v>0</v>
      </c>
      <c r="T1398" s="6">
        <v>43</v>
      </c>
      <c r="U1398" s="6">
        <v>87</v>
      </c>
      <c r="V1398" s="6">
        <f>IF(ISERROR(VLOOKUP($S$1398,'TAR FIN'!$A$1:$O$115,15,0)),0,VLOOKUP($S$1398,'TAR FIN'!$A$1:$O$115,15,0))</f>
        <v>0</v>
      </c>
      <c r="W1398" s="6">
        <f>IF(ISERROR(VLOOKUP($T$1398,'TAR FIN'!$A$1:$O$115,15,0)),0,VLOOKUP($T$1398,'TAR FIN'!$A$1:$O$115,15,0))</f>
        <v>404.12</v>
      </c>
      <c r="X1398" s="6">
        <f>IF(ISERROR(VLOOKUP($U$1398,'TAR FIN'!$A$1:$O$115,15,0)),0,VLOOKUP($U$1398,'TAR FIN'!$A$1:$O$115,15,0))</f>
        <v>176.58</v>
      </c>
      <c r="Y1398" s="6"/>
      <c r="Z1398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398" s="6">
        <f>('TE BE'!$AB$24+'TE BF'!$AB$24+'TE CVA'!$AB$24)*(1-CUSTOS!$M$37)</f>
        <v>230.68197444058345</v>
      </c>
      <c r="AB1398" s="6">
        <f>$K$1398*$V$1398</f>
        <v>0</v>
      </c>
      <c r="AC1398" s="6">
        <f>$M$1398*$W$1398</f>
        <v>-488.58108000000004</v>
      </c>
      <c r="AD1398" s="6">
        <f>$O$1398*$X$1398</f>
        <v>-213.48522000000003</v>
      </c>
      <c r="AE1398" s="6">
        <f>$K$1398*$Y$1398</f>
        <v>0</v>
      </c>
      <c r="AF1398" s="6">
        <f ca="1">$M$1398*$Z$1398</f>
        <v>-507.99029591271267</v>
      </c>
      <c r="AG1398" s="6">
        <f>$O$1398*$AA$1398</f>
        <v>-278.89450709866543</v>
      </c>
    </row>
    <row r="1399" spans="1:33" ht="11.25" customHeight="1" x14ac:dyDescent="0.25">
      <c r="A1399" s="4" t="s">
        <v>30</v>
      </c>
      <c r="B1399" s="4" t="s">
        <v>22</v>
      </c>
      <c r="C1399" s="4" t="s">
        <v>23</v>
      </c>
      <c r="D1399" s="4" t="s">
        <v>24</v>
      </c>
      <c r="E1399" s="4" t="s">
        <v>34</v>
      </c>
      <c r="F1399" s="4" t="s">
        <v>25</v>
      </c>
      <c r="G1399" s="4" t="s">
        <v>25</v>
      </c>
      <c r="H1399" s="4" t="s">
        <v>25</v>
      </c>
      <c r="I1399" s="5">
        <v>44652</v>
      </c>
      <c r="J1399" s="6">
        <v>0</v>
      </c>
      <c r="K1399" s="6">
        <v>0</v>
      </c>
      <c r="L1399" s="6">
        <v>1.9550000000000001</v>
      </c>
      <c r="M1399" s="6">
        <v>1.9550000000000001</v>
      </c>
      <c r="N1399" s="6">
        <v>1.9550000000000001</v>
      </c>
      <c r="O1399" s="6">
        <v>1.9550000000000001</v>
      </c>
      <c r="P1399" s="6">
        <v>39</v>
      </c>
      <c r="Q1399" s="4" t="s">
        <v>26</v>
      </c>
      <c r="R1399" s="4">
        <v>0</v>
      </c>
      <c r="S1399" s="6">
        <v>0</v>
      </c>
      <c r="T1399" s="6">
        <v>43</v>
      </c>
      <c r="U1399" s="6">
        <v>87</v>
      </c>
      <c r="V1399" s="6">
        <f>IF(ISERROR(VLOOKUP($S$1399,'TAR FIN'!$A$1:$O$115,15,0)),0,VLOOKUP($S$1399,'TAR FIN'!$A$1:$O$115,15,0))</f>
        <v>0</v>
      </c>
      <c r="W1399" s="6">
        <f>IF(ISERROR(VLOOKUP($T$1399,'TAR FIN'!$A$1:$O$115,15,0)),0,VLOOKUP($T$1399,'TAR FIN'!$A$1:$O$115,15,0))</f>
        <v>404.12</v>
      </c>
      <c r="X1399" s="6">
        <f>IF(ISERROR(VLOOKUP($U$1399,'TAR FIN'!$A$1:$O$115,15,0)),0,VLOOKUP($U$1399,'TAR FIN'!$A$1:$O$115,15,0))</f>
        <v>176.58</v>
      </c>
      <c r="Y1399" s="6"/>
      <c r="Z1399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399" s="6">
        <f>('TE BE'!$AB$24+'TE BF'!$AB$24+'TE CVA'!$AB$24)*(1-CUSTOS!$M$37)</f>
        <v>230.68197444058345</v>
      </c>
      <c r="AB1399" s="6">
        <f>$K$1399*$V$1399</f>
        <v>0</v>
      </c>
      <c r="AC1399" s="6">
        <f>$M$1399*$W$1399</f>
        <v>790.05460000000005</v>
      </c>
      <c r="AD1399" s="6">
        <f>$O$1399*$X$1399</f>
        <v>345.21390000000002</v>
      </c>
      <c r="AE1399" s="6">
        <f>$K$1399*$Y$1399</f>
        <v>0</v>
      </c>
      <c r="AF1399" s="6">
        <f ca="1">$M$1399*$Z$1399</f>
        <v>821.44005666613168</v>
      </c>
      <c r="AG1399" s="6">
        <f>$O$1399*$AA$1399</f>
        <v>450.98326003134065</v>
      </c>
    </row>
    <row r="1400" spans="1:33" ht="11.25" customHeight="1" x14ac:dyDescent="0.25">
      <c r="A1400" s="4" t="s">
        <v>21</v>
      </c>
      <c r="B1400" s="4" t="s">
        <v>22</v>
      </c>
      <c r="C1400" s="4" t="s">
        <v>23</v>
      </c>
      <c r="D1400" s="4" t="s">
        <v>24</v>
      </c>
      <c r="E1400" s="4" t="s">
        <v>34</v>
      </c>
      <c r="F1400" s="4" t="s">
        <v>25</v>
      </c>
      <c r="G1400" s="4" t="s">
        <v>25</v>
      </c>
      <c r="H1400" s="4" t="s">
        <v>25</v>
      </c>
      <c r="I1400" s="5">
        <v>44682</v>
      </c>
      <c r="J1400" s="6">
        <v>0</v>
      </c>
      <c r="K1400" s="6">
        <v>0</v>
      </c>
      <c r="L1400" s="6">
        <v>1108.713</v>
      </c>
      <c r="M1400" s="6">
        <v>1108.713</v>
      </c>
      <c r="N1400" s="6">
        <v>1108.713</v>
      </c>
      <c r="O1400" s="6">
        <v>1108.713</v>
      </c>
      <c r="P1400" s="6">
        <v>9125</v>
      </c>
      <c r="Q1400" s="4" t="s">
        <v>26</v>
      </c>
      <c r="R1400" s="4">
        <v>0</v>
      </c>
      <c r="S1400" s="6">
        <v>0</v>
      </c>
      <c r="T1400" s="6">
        <v>43</v>
      </c>
      <c r="U1400" s="6">
        <v>87</v>
      </c>
      <c r="V1400" s="6">
        <f>IF(ISERROR(VLOOKUP($S$1400,'TAR FIN'!$A$1:$O$115,15,0)),0,VLOOKUP($S$1400,'TAR FIN'!$A$1:$O$115,15,0))</f>
        <v>0</v>
      </c>
      <c r="W1400" s="6">
        <f>IF(ISERROR(VLOOKUP($T$1400,'TAR FIN'!$A$1:$O$115,15,0)),0,VLOOKUP($T$1400,'TAR FIN'!$A$1:$O$115,15,0))</f>
        <v>404.12</v>
      </c>
      <c r="X1400" s="6">
        <f>IF(ISERROR(VLOOKUP($U$1400,'TAR FIN'!$A$1:$O$115,15,0)),0,VLOOKUP($U$1400,'TAR FIN'!$A$1:$O$115,15,0))</f>
        <v>176.58</v>
      </c>
      <c r="Y1400" s="6"/>
      <c r="Z1400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400" s="6">
        <f>('TE BE'!$AB$24+'TE BF'!$AB$24+'TE CVA'!$AB$24)*(1-CUSTOS!$M$37)</f>
        <v>230.68197444058345</v>
      </c>
      <c r="AB1400" s="6">
        <f>$K$1400*$V$1400</f>
        <v>0</v>
      </c>
      <c r="AC1400" s="6">
        <f>$M$1400*$W$1400</f>
        <v>448053.09755999997</v>
      </c>
      <c r="AD1400" s="6">
        <f>$O$1400*$X$1400</f>
        <v>195776.54154000001</v>
      </c>
      <c r="AE1400" s="6">
        <f>$K$1400*$Y$1400</f>
        <v>0</v>
      </c>
      <c r="AF1400" s="6">
        <f ca="1">$M$1400*$Z$1400</f>
        <v>465852.31178847916</v>
      </c>
      <c r="AG1400" s="6">
        <f>$O$1400*$AA$1400</f>
        <v>255760.10392794257</v>
      </c>
    </row>
    <row r="1401" spans="1:33" ht="11.25" customHeight="1" x14ac:dyDescent="0.25">
      <c r="A1401" s="4" t="s">
        <v>27</v>
      </c>
      <c r="B1401" s="4" t="s">
        <v>22</v>
      </c>
      <c r="C1401" s="4" t="s">
        <v>23</v>
      </c>
      <c r="D1401" s="4" t="s">
        <v>24</v>
      </c>
      <c r="E1401" s="4" t="s">
        <v>34</v>
      </c>
      <c r="F1401" s="4" t="s">
        <v>25</v>
      </c>
      <c r="G1401" s="4" t="s">
        <v>25</v>
      </c>
      <c r="H1401" s="4" t="s">
        <v>25</v>
      </c>
      <c r="I1401" s="5">
        <v>44682</v>
      </c>
      <c r="J1401" s="6">
        <v>0</v>
      </c>
      <c r="K1401" s="6">
        <v>0</v>
      </c>
      <c r="L1401" s="6">
        <v>3.0230000000000001</v>
      </c>
      <c r="M1401" s="6">
        <v>3.0230000000000001</v>
      </c>
      <c r="N1401" s="6">
        <v>3.0230000000000001</v>
      </c>
      <c r="O1401" s="6">
        <v>3.0230000000000001</v>
      </c>
      <c r="P1401" s="6">
        <v>-18</v>
      </c>
      <c r="Q1401" s="4" t="s">
        <v>26</v>
      </c>
      <c r="R1401" s="4">
        <v>0</v>
      </c>
      <c r="S1401" s="6">
        <v>0</v>
      </c>
      <c r="T1401" s="6">
        <v>43</v>
      </c>
      <c r="U1401" s="6">
        <v>87</v>
      </c>
      <c r="V1401" s="6">
        <f>IF(ISERROR(VLOOKUP($S$1401,'TAR FIN'!$A$1:$O$115,15,0)),0,VLOOKUP($S$1401,'TAR FIN'!$A$1:$O$115,15,0))</f>
        <v>0</v>
      </c>
      <c r="W1401" s="6">
        <f>IF(ISERROR(VLOOKUP($T$1401,'TAR FIN'!$A$1:$O$115,15,0)),0,VLOOKUP($T$1401,'TAR FIN'!$A$1:$O$115,15,0))</f>
        <v>404.12</v>
      </c>
      <c r="X1401" s="6">
        <f>IF(ISERROR(VLOOKUP($U$1401,'TAR FIN'!$A$1:$O$115,15,0)),0,VLOOKUP($U$1401,'TAR FIN'!$A$1:$O$115,15,0))</f>
        <v>176.58</v>
      </c>
      <c r="Y1401" s="6"/>
      <c r="Z1401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401" s="6">
        <f>('TE BE'!$AB$24+'TE BF'!$AB$24+'TE CVA'!$AB$24)*(1-CUSTOS!$M$37)</f>
        <v>230.68197444058345</v>
      </c>
      <c r="AB1401" s="6">
        <f>$K$1401*$V$1401</f>
        <v>0</v>
      </c>
      <c r="AC1401" s="6">
        <f>$M$1401*$W$1401</f>
        <v>1221.6547600000001</v>
      </c>
      <c r="AD1401" s="6">
        <f>$O$1401*$X$1401</f>
        <v>533.8013400000001</v>
      </c>
      <c r="AE1401" s="6">
        <f>$K$1401*$Y$1401</f>
        <v>0</v>
      </c>
      <c r="AF1401" s="6">
        <f ca="1">$M$1401*$Z$1401</f>
        <v>1270.1858267527959</v>
      </c>
      <c r="AG1401" s="6">
        <f>$O$1401*$AA$1401</f>
        <v>697.35160873388384</v>
      </c>
    </row>
    <row r="1402" spans="1:33" ht="11.25" customHeight="1" x14ac:dyDescent="0.25">
      <c r="A1402" s="4" t="s">
        <v>28</v>
      </c>
      <c r="B1402" s="4" t="s">
        <v>22</v>
      </c>
      <c r="C1402" s="4" t="s">
        <v>23</v>
      </c>
      <c r="D1402" s="4" t="s">
        <v>24</v>
      </c>
      <c r="E1402" s="4" t="s">
        <v>34</v>
      </c>
      <c r="F1402" s="4" t="s">
        <v>25</v>
      </c>
      <c r="G1402" s="4" t="s">
        <v>25</v>
      </c>
      <c r="H1402" s="4" t="s">
        <v>25</v>
      </c>
      <c r="I1402" s="5">
        <v>44682</v>
      </c>
      <c r="J1402" s="6">
        <v>0</v>
      </c>
      <c r="K1402" s="6">
        <v>0</v>
      </c>
      <c r="L1402" s="6">
        <v>238.76499999999999</v>
      </c>
      <c r="M1402" s="6">
        <v>238.76499999999999</v>
      </c>
      <c r="N1402" s="6">
        <v>238.76499999999999</v>
      </c>
      <c r="O1402" s="6">
        <v>238.76499999999999</v>
      </c>
      <c r="P1402" s="6">
        <v>2296</v>
      </c>
      <c r="Q1402" s="4" t="s">
        <v>26</v>
      </c>
      <c r="R1402" s="4">
        <v>0</v>
      </c>
      <c r="S1402" s="6">
        <v>0</v>
      </c>
      <c r="T1402" s="6">
        <v>43</v>
      </c>
      <c r="U1402" s="6">
        <v>87</v>
      </c>
      <c r="V1402" s="6">
        <f>IF(ISERROR(VLOOKUP($S$1402,'TAR FIN'!$A$1:$O$115,15,0)),0,VLOOKUP($S$1402,'TAR FIN'!$A$1:$O$115,15,0))</f>
        <v>0</v>
      </c>
      <c r="W1402" s="6">
        <f>IF(ISERROR(VLOOKUP($T$1402,'TAR FIN'!$A$1:$O$115,15,0)),0,VLOOKUP($T$1402,'TAR FIN'!$A$1:$O$115,15,0))</f>
        <v>404.12</v>
      </c>
      <c r="X1402" s="6">
        <f>IF(ISERROR(VLOOKUP($U$1402,'TAR FIN'!$A$1:$O$115,15,0)),0,VLOOKUP($U$1402,'TAR FIN'!$A$1:$O$115,15,0))</f>
        <v>176.58</v>
      </c>
      <c r="Y1402" s="6"/>
      <c r="Z1402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402" s="6">
        <f>('TE BE'!$AB$24+'TE BF'!$AB$24+'TE CVA'!$AB$24)*(1-CUSTOS!$M$37)</f>
        <v>230.68197444058345</v>
      </c>
      <c r="AB1402" s="6">
        <f>$K$1402*$V$1402</f>
        <v>0</v>
      </c>
      <c r="AC1402" s="6">
        <f>$M$1402*$W$1402</f>
        <v>96489.71179999999</v>
      </c>
      <c r="AD1402" s="6">
        <f>$O$1402*$X$1402</f>
        <v>42161.123700000004</v>
      </c>
      <c r="AE1402" s="6">
        <f>$K$1402*$Y$1402</f>
        <v>0</v>
      </c>
      <c r="AF1402" s="6">
        <f ca="1">$M$1402*$Z$1402</f>
        <v>100322.83126848537</v>
      </c>
      <c r="AG1402" s="6">
        <f>$O$1402*$AA$1402</f>
        <v>55078.7816273059</v>
      </c>
    </row>
    <row r="1403" spans="1:33" ht="11.25" customHeight="1" x14ac:dyDescent="0.25">
      <c r="A1403" s="4" t="s">
        <v>29</v>
      </c>
      <c r="B1403" s="4" t="s">
        <v>22</v>
      </c>
      <c r="C1403" s="4" t="s">
        <v>23</v>
      </c>
      <c r="D1403" s="4" t="s">
        <v>24</v>
      </c>
      <c r="E1403" s="4" t="s">
        <v>34</v>
      </c>
      <c r="F1403" s="4" t="s">
        <v>25</v>
      </c>
      <c r="G1403" s="4" t="s">
        <v>25</v>
      </c>
      <c r="H1403" s="4" t="s">
        <v>25</v>
      </c>
      <c r="I1403" s="5">
        <v>44682</v>
      </c>
      <c r="J1403" s="6">
        <v>0</v>
      </c>
      <c r="K1403" s="6">
        <v>0</v>
      </c>
      <c r="L1403" s="6">
        <v>-6.2050000000000001</v>
      </c>
      <c r="M1403" s="6">
        <v>-6.2050000000000001</v>
      </c>
      <c r="N1403" s="6">
        <v>-6.2050000000000001</v>
      </c>
      <c r="O1403" s="6">
        <v>-6.2050000000000001</v>
      </c>
      <c r="P1403" s="6">
        <v>-8</v>
      </c>
      <c r="Q1403" s="4" t="s">
        <v>26</v>
      </c>
      <c r="R1403" s="4">
        <v>0</v>
      </c>
      <c r="S1403" s="6">
        <v>0</v>
      </c>
      <c r="T1403" s="6">
        <v>43</v>
      </c>
      <c r="U1403" s="6">
        <v>87</v>
      </c>
      <c r="V1403" s="6">
        <f>IF(ISERROR(VLOOKUP($S$1403,'TAR FIN'!$A$1:$O$115,15,0)),0,VLOOKUP($S$1403,'TAR FIN'!$A$1:$O$115,15,0))</f>
        <v>0</v>
      </c>
      <c r="W1403" s="6">
        <f>IF(ISERROR(VLOOKUP($T$1403,'TAR FIN'!$A$1:$O$115,15,0)),0,VLOOKUP($T$1403,'TAR FIN'!$A$1:$O$115,15,0))</f>
        <v>404.12</v>
      </c>
      <c r="X1403" s="6">
        <f>IF(ISERROR(VLOOKUP($U$1403,'TAR FIN'!$A$1:$O$115,15,0)),0,VLOOKUP($U$1403,'TAR FIN'!$A$1:$O$115,15,0))</f>
        <v>176.58</v>
      </c>
      <c r="Y1403" s="6"/>
      <c r="Z1403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403" s="6">
        <f>('TE BE'!$AB$24+'TE BF'!$AB$24+'TE CVA'!$AB$24)*(1-CUSTOS!$M$37)</f>
        <v>230.68197444058345</v>
      </c>
      <c r="AB1403" s="6">
        <f>$K$1403*$V$1403</f>
        <v>0</v>
      </c>
      <c r="AC1403" s="6">
        <f>$M$1403*$W$1403</f>
        <v>-2507.5646000000002</v>
      </c>
      <c r="AD1403" s="6">
        <f>$O$1403*$X$1403</f>
        <v>-1095.6789000000001</v>
      </c>
      <c r="AE1403" s="6">
        <f>$K$1403*$Y$1403</f>
        <v>0</v>
      </c>
      <c r="AF1403" s="6">
        <f ca="1">$M$1403*$Z$1403</f>
        <v>-2607.179310288157</v>
      </c>
      <c r="AG1403" s="6">
        <f>$O$1403*$AA$1403</f>
        <v>-1431.3816514038203</v>
      </c>
    </row>
    <row r="1404" spans="1:33" ht="11.25" customHeight="1" x14ac:dyDescent="0.25">
      <c r="A1404" s="4" t="s">
        <v>30</v>
      </c>
      <c r="B1404" s="4" t="s">
        <v>22</v>
      </c>
      <c r="C1404" s="4" t="s">
        <v>23</v>
      </c>
      <c r="D1404" s="4" t="s">
        <v>24</v>
      </c>
      <c r="E1404" s="4" t="s">
        <v>34</v>
      </c>
      <c r="F1404" s="4" t="s">
        <v>25</v>
      </c>
      <c r="G1404" s="4" t="s">
        <v>25</v>
      </c>
      <c r="H1404" s="4" t="s">
        <v>25</v>
      </c>
      <c r="I1404" s="5">
        <v>44682</v>
      </c>
      <c r="J1404" s="6">
        <v>0</v>
      </c>
      <c r="K1404" s="6">
        <v>0</v>
      </c>
      <c r="L1404" s="6">
        <v>2.3730000000000002</v>
      </c>
      <c r="M1404" s="6">
        <v>2.3730000000000002</v>
      </c>
      <c r="N1404" s="6">
        <v>2.3730000000000002</v>
      </c>
      <c r="O1404" s="6">
        <v>2.3730000000000002</v>
      </c>
      <c r="P1404" s="6">
        <v>40</v>
      </c>
      <c r="Q1404" s="4" t="s">
        <v>26</v>
      </c>
      <c r="R1404" s="4">
        <v>0</v>
      </c>
      <c r="S1404" s="6">
        <v>0</v>
      </c>
      <c r="T1404" s="6">
        <v>43</v>
      </c>
      <c r="U1404" s="6">
        <v>87</v>
      </c>
      <c r="V1404" s="6">
        <f>IF(ISERROR(VLOOKUP($S$1404,'TAR FIN'!$A$1:$O$115,15,0)),0,VLOOKUP($S$1404,'TAR FIN'!$A$1:$O$115,15,0))</f>
        <v>0</v>
      </c>
      <c r="W1404" s="6">
        <f>IF(ISERROR(VLOOKUP($T$1404,'TAR FIN'!$A$1:$O$115,15,0)),0,VLOOKUP($T$1404,'TAR FIN'!$A$1:$O$115,15,0))</f>
        <v>404.12</v>
      </c>
      <c r="X1404" s="6">
        <f>IF(ISERROR(VLOOKUP($U$1404,'TAR FIN'!$A$1:$O$115,15,0)),0,VLOOKUP($U$1404,'TAR FIN'!$A$1:$O$115,15,0))</f>
        <v>176.58</v>
      </c>
      <c r="Y1404" s="6"/>
      <c r="Z1404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404" s="6">
        <f>('TE BE'!$AB$24+'TE BF'!$AB$24+'TE CVA'!$AB$24)*(1-CUSTOS!$M$37)</f>
        <v>230.68197444058345</v>
      </c>
      <c r="AB1404" s="6">
        <f>$K$1404*$V$1404</f>
        <v>0</v>
      </c>
      <c r="AC1404" s="6">
        <f>$M$1404*$W$1404</f>
        <v>958.97676000000013</v>
      </c>
      <c r="AD1404" s="6">
        <f>$O$1404*$X$1404</f>
        <v>419.02434000000005</v>
      </c>
      <c r="AE1404" s="6">
        <f>$K$1404*$Y$1404</f>
        <v>0</v>
      </c>
      <c r="AF1404" s="6">
        <f ca="1">$M$1404*$Z$1404</f>
        <v>997.07276443413332</v>
      </c>
      <c r="AG1404" s="6">
        <f>$O$1404*$AA$1404</f>
        <v>547.40832534750461</v>
      </c>
    </row>
    <row r="1405" spans="1:33" ht="11.25" customHeight="1" x14ac:dyDescent="0.25">
      <c r="A1405" s="4" t="s">
        <v>21</v>
      </c>
      <c r="B1405" s="4" t="s">
        <v>22</v>
      </c>
      <c r="C1405" s="4" t="s">
        <v>23</v>
      </c>
      <c r="D1405" s="4" t="s">
        <v>24</v>
      </c>
      <c r="E1405" s="4" t="s">
        <v>34</v>
      </c>
      <c r="F1405" s="4" t="s">
        <v>25</v>
      </c>
      <c r="G1405" s="4" t="s">
        <v>25</v>
      </c>
      <c r="H1405" s="4" t="s">
        <v>25</v>
      </c>
      <c r="I1405" s="5">
        <v>44713</v>
      </c>
      <c r="J1405" s="6">
        <v>0</v>
      </c>
      <c r="K1405" s="6">
        <v>0</v>
      </c>
      <c r="L1405" s="6">
        <v>862.18299999999999</v>
      </c>
      <c r="M1405" s="6">
        <v>862.18299999999999</v>
      </c>
      <c r="N1405" s="6">
        <v>862.18299999999999</v>
      </c>
      <c r="O1405" s="6">
        <v>862.18299999999999</v>
      </c>
      <c r="P1405" s="6">
        <v>7680</v>
      </c>
      <c r="Q1405" s="4" t="s">
        <v>26</v>
      </c>
      <c r="R1405" s="4">
        <v>0</v>
      </c>
      <c r="S1405" s="6">
        <v>0</v>
      </c>
      <c r="T1405" s="6">
        <v>43</v>
      </c>
      <c r="U1405" s="6">
        <v>87</v>
      </c>
      <c r="V1405" s="6">
        <f>IF(ISERROR(VLOOKUP($S$1405,'TAR FIN'!$A$1:$O$115,15,0)),0,VLOOKUP($S$1405,'TAR FIN'!$A$1:$O$115,15,0))</f>
        <v>0</v>
      </c>
      <c r="W1405" s="6">
        <f>IF(ISERROR(VLOOKUP($T$1405,'TAR FIN'!$A$1:$O$115,15,0)),0,VLOOKUP($T$1405,'TAR FIN'!$A$1:$O$115,15,0))</f>
        <v>404.12</v>
      </c>
      <c r="X1405" s="6">
        <f>IF(ISERROR(VLOOKUP($U$1405,'TAR FIN'!$A$1:$O$115,15,0)),0,VLOOKUP($U$1405,'TAR FIN'!$A$1:$O$115,15,0))</f>
        <v>176.58</v>
      </c>
      <c r="Y1405" s="6"/>
      <c r="Z1405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405" s="6">
        <f>('TE BE'!$AB$24+'TE BF'!$AB$24+'TE CVA'!$AB$24)*(1-CUSTOS!$M$37)</f>
        <v>230.68197444058345</v>
      </c>
      <c r="AB1405" s="6">
        <f>$K$1405*$V$1405</f>
        <v>0</v>
      </c>
      <c r="AC1405" s="6">
        <f>$M$1405*$W$1405</f>
        <v>348425.39396000002</v>
      </c>
      <c r="AD1405" s="6">
        <f>$O$1405*$X$1405</f>
        <v>152244.27414000002</v>
      </c>
      <c r="AE1405" s="6">
        <f>$K$1405*$Y$1405</f>
        <v>0</v>
      </c>
      <c r="AF1405" s="6">
        <f ca="1">$M$1405*$Z$1405</f>
        <v>362266.82986014086</v>
      </c>
      <c r="AG1405" s="6">
        <f>$O$1405*$AA$1405</f>
        <v>198890.07676910557</v>
      </c>
    </row>
    <row r="1406" spans="1:33" ht="11.25" customHeight="1" x14ac:dyDescent="0.25">
      <c r="A1406" s="4" t="s">
        <v>27</v>
      </c>
      <c r="B1406" s="4" t="s">
        <v>22</v>
      </c>
      <c r="C1406" s="4" t="s">
        <v>23</v>
      </c>
      <c r="D1406" s="4" t="s">
        <v>24</v>
      </c>
      <c r="E1406" s="4" t="s">
        <v>34</v>
      </c>
      <c r="F1406" s="4" t="s">
        <v>25</v>
      </c>
      <c r="G1406" s="4" t="s">
        <v>25</v>
      </c>
      <c r="H1406" s="4" t="s">
        <v>25</v>
      </c>
      <c r="I1406" s="5">
        <v>44713</v>
      </c>
      <c r="J1406" s="6">
        <v>0</v>
      </c>
      <c r="K1406" s="6">
        <v>0</v>
      </c>
      <c r="L1406" s="6">
        <v>-39.286000000000001</v>
      </c>
      <c r="M1406" s="6">
        <v>-39.286000000000001</v>
      </c>
      <c r="N1406" s="6">
        <v>-39.286000000000001</v>
      </c>
      <c r="O1406" s="6">
        <v>-39.286000000000001</v>
      </c>
      <c r="P1406" s="6">
        <v>-24</v>
      </c>
      <c r="Q1406" s="4" t="s">
        <v>26</v>
      </c>
      <c r="R1406" s="4">
        <v>0</v>
      </c>
      <c r="S1406" s="6">
        <v>0</v>
      </c>
      <c r="T1406" s="6">
        <v>43</v>
      </c>
      <c r="U1406" s="6">
        <v>87</v>
      </c>
      <c r="V1406" s="6">
        <f>IF(ISERROR(VLOOKUP($S$1406,'TAR FIN'!$A$1:$O$115,15,0)),0,VLOOKUP($S$1406,'TAR FIN'!$A$1:$O$115,15,0))</f>
        <v>0</v>
      </c>
      <c r="W1406" s="6">
        <f>IF(ISERROR(VLOOKUP($T$1406,'TAR FIN'!$A$1:$O$115,15,0)),0,VLOOKUP($T$1406,'TAR FIN'!$A$1:$O$115,15,0))</f>
        <v>404.12</v>
      </c>
      <c r="X1406" s="6">
        <f>IF(ISERROR(VLOOKUP($U$1406,'TAR FIN'!$A$1:$O$115,15,0)),0,VLOOKUP($U$1406,'TAR FIN'!$A$1:$O$115,15,0))</f>
        <v>176.58</v>
      </c>
      <c r="Y1406" s="6"/>
      <c r="Z1406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406" s="6">
        <f>('TE BE'!$AB$24+'TE BF'!$AB$24+'TE CVA'!$AB$24)*(1-CUSTOS!$M$37)</f>
        <v>230.68197444058345</v>
      </c>
      <c r="AB1406" s="6">
        <f>$K$1406*$V$1406</f>
        <v>0</v>
      </c>
      <c r="AC1406" s="6">
        <f>$M$1406*$W$1406</f>
        <v>-15876.258320000001</v>
      </c>
      <c r="AD1406" s="6">
        <f>$O$1406*$X$1406</f>
        <v>-6937.1218800000006</v>
      </c>
      <c r="AE1406" s="6">
        <f>$K$1406*$Y$1406</f>
        <v>0</v>
      </c>
      <c r="AF1406" s="6">
        <f ca="1">$M$1406*$Z$1406</f>
        <v>-16506.953486539973</v>
      </c>
      <c r="AG1406" s="6">
        <f>$O$1406*$AA$1406</f>
        <v>-9062.5720478727617</v>
      </c>
    </row>
    <row r="1407" spans="1:33" ht="11.25" customHeight="1" x14ac:dyDescent="0.25">
      <c r="A1407" s="4" t="s">
        <v>28</v>
      </c>
      <c r="B1407" s="4" t="s">
        <v>22</v>
      </c>
      <c r="C1407" s="4" t="s">
        <v>23</v>
      </c>
      <c r="D1407" s="4" t="s">
        <v>24</v>
      </c>
      <c r="E1407" s="4" t="s">
        <v>34</v>
      </c>
      <c r="F1407" s="4" t="s">
        <v>25</v>
      </c>
      <c r="G1407" s="4" t="s">
        <v>25</v>
      </c>
      <c r="H1407" s="4" t="s">
        <v>25</v>
      </c>
      <c r="I1407" s="5">
        <v>44713</v>
      </c>
      <c r="J1407" s="6">
        <v>0</v>
      </c>
      <c r="K1407" s="6">
        <v>0</v>
      </c>
      <c r="L1407" s="6">
        <v>197.06899999999999</v>
      </c>
      <c r="M1407" s="6">
        <v>197.06899999999999</v>
      </c>
      <c r="N1407" s="6">
        <v>197.06899999999999</v>
      </c>
      <c r="O1407" s="6">
        <v>197.06899999999999</v>
      </c>
      <c r="P1407" s="6">
        <v>2066</v>
      </c>
      <c r="Q1407" s="4" t="s">
        <v>26</v>
      </c>
      <c r="R1407" s="4">
        <v>0</v>
      </c>
      <c r="S1407" s="6">
        <v>0</v>
      </c>
      <c r="T1407" s="6">
        <v>43</v>
      </c>
      <c r="U1407" s="6">
        <v>87</v>
      </c>
      <c r="V1407" s="6">
        <f>IF(ISERROR(VLOOKUP($S$1407,'TAR FIN'!$A$1:$O$115,15,0)),0,VLOOKUP($S$1407,'TAR FIN'!$A$1:$O$115,15,0))</f>
        <v>0</v>
      </c>
      <c r="W1407" s="6">
        <f>IF(ISERROR(VLOOKUP($T$1407,'TAR FIN'!$A$1:$O$115,15,0)),0,VLOOKUP($T$1407,'TAR FIN'!$A$1:$O$115,15,0))</f>
        <v>404.12</v>
      </c>
      <c r="X1407" s="6">
        <f>IF(ISERROR(VLOOKUP($U$1407,'TAR FIN'!$A$1:$O$115,15,0)),0,VLOOKUP($U$1407,'TAR FIN'!$A$1:$O$115,15,0))</f>
        <v>176.58</v>
      </c>
      <c r="Y1407" s="6"/>
      <c r="Z1407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407" s="6">
        <f>('TE BE'!$AB$24+'TE BF'!$AB$24+'TE CVA'!$AB$24)*(1-CUSTOS!$M$37)</f>
        <v>230.68197444058345</v>
      </c>
      <c r="AB1407" s="6">
        <f>$K$1407*$V$1407</f>
        <v>0</v>
      </c>
      <c r="AC1407" s="6">
        <f>$M$1407*$W$1407</f>
        <v>79639.524279999998</v>
      </c>
      <c r="AD1407" s="6">
        <f>$O$1407*$X$1407</f>
        <v>34798.444020000003</v>
      </c>
      <c r="AE1407" s="6">
        <f>$K$1407*$Y$1407</f>
        <v>0</v>
      </c>
      <c r="AF1407" s="6">
        <f ca="1">$M$1407*$Z$1407</f>
        <v>82803.258581656206</v>
      </c>
      <c r="AG1407" s="6">
        <f>$O$1407*$AA$1407</f>
        <v>45460.266021031333</v>
      </c>
    </row>
    <row r="1408" spans="1:33" ht="11.25" customHeight="1" x14ac:dyDescent="0.25">
      <c r="A1408" s="4" t="s">
        <v>29</v>
      </c>
      <c r="B1408" s="4" t="s">
        <v>22</v>
      </c>
      <c r="C1408" s="4" t="s">
        <v>23</v>
      </c>
      <c r="D1408" s="4" t="s">
        <v>24</v>
      </c>
      <c r="E1408" s="4" t="s">
        <v>34</v>
      </c>
      <c r="F1408" s="4" t="s">
        <v>25</v>
      </c>
      <c r="G1408" s="4" t="s">
        <v>25</v>
      </c>
      <c r="H1408" s="4" t="s">
        <v>25</v>
      </c>
      <c r="I1408" s="5">
        <v>44713</v>
      </c>
      <c r="J1408" s="6">
        <v>0</v>
      </c>
      <c r="K1408" s="6">
        <v>0</v>
      </c>
      <c r="L1408" s="6">
        <v>-4.6539999999999999</v>
      </c>
      <c r="M1408" s="6">
        <v>-4.6539999999999999</v>
      </c>
      <c r="N1408" s="6">
        <v>-4.6539999999999999</v>
      </c>
      <c r="O1408" s="6">
        <v>-4.6539999999999999</v>
      </c>
      <c r="P1408" s="6">
        <v>-2</v>
      </c>
      <c r="Q1408" s="4" t="s">
        <v>26</v>
      </c>
      <c r="R1408" s="4">
        <v>0</v>
      </c>
      <c r="S1408" s="6">
        <v>0</v>
      </c>
      <c r="T1408" s="6">
        <v>43</v>
      </c>
      <c r="U1408" s="6">
        <v>87</v>
      </c>
      <c r="V1408" s="6">
        <f>IF(ISERROR(VLOOKUP($S$1408,'TAR FIN'!$A$1:$O$115,15,0)),0,VLOOKUP($S$1408,'TAR FIN'!$A$1:$O$115,15,0))</f>
        <v>0</v>
      </c>
      <c r="W1408" s="6">
        <f>IF(ISERROR(VLOOKUP($T$1408,'TAR FIN'!$A$1:$O$115,15,0)),0,VLOOKUP($T$1408,'TAR FIN'!$A$1:$O$115,15,0))</f>
        <v>404.12</v>
      </c>
      <c r="X1408" s="6">
        <f>IF(ISERROR(VLOOKUP($U$1408,'TAR FIN'!$A$1:$O$115,15,0)),0,VLOOKUP($U$1408,'TAR FIN'!$A$1:$O$115,15,0))</f>
        <v>176.58</v>
      </c>
      <c r="Y1408" s="6"/>
      <c r="Z1408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408" s="6">
        <f>('TE BE'!$AB$24+'TE BF'!$AB$24+'TE CVA'!$AB$24)*(1-CUSTOS!$M$37)</f>
        <v>230.68197444058345</v>
      </c>
      <c r="AB1408" s="6">
        <f>$K$1408*$V$1408</f>
        <v>0</v>
      </c>
      <c r="AC1408" s="6">
        <f>$M$1408*$W$1408</f>
        <v>-1880.77448</v>
      </c>
      <c r="AD1408" s="6">
        <f>$O$1408*$X$1408</f>
        <v>-821.8033200000001</v>
      </c>
      <c r="AE1408" s="6">
        <f>$K$1408*$Y$1408</f>
        <v>0</v>
      </c>
      <c r="AF1408" s="6">
        <f ca="1">$M$1408*$Z$1408</f>
        <v>-1955.4895262016248</v>
      </c>
      <c r="AG1408" s="6">
        <f>$O$1408*$AA$1408</f>
        <v>-1073.5939090464753</v>
      </c>
    </row>
    <row r="1409" spans="1:33" ht="11.25" customHeight="1" x14ac:dyDescent="0.25">
      <c r="A1409" s="4" t="s">
        <v>30</v>
      </c>
      <c r="B1409" s="4" t="s">
        <v>22</v>
      </c>
      <c r="C1409" s="4" t="s">
        <v>23</v>
      </c>
      <c r="D1409" s="4" t="s">
        <v>24</v>
      </c>
      <c r="E1409" s="4" t="s">
        <v>34</v>
      </c>
      <c r="F1409" s="4" t="s">
        <v>25</v>
      </c>
      <c r="G1409" s="4" t="s">
        <v>25</v>
      </c>
      <c r="H1409" s="4" t="s">
        <v>25</v>
      </c>
      <c r="I1409" s="5">
        <v>44713</v>
      </c>
      <c r="J1409" s="6">
        <v>0</v>
      </c>
      <c r="K1409" s="6">
        <v>0</v>
      </c>
      <c r="L1409" s="6">
        <v>2.633</v>
      </c>
      <c r="M1409" s="6">
        <v>2.633</v>
      </c>
      <c r="N1409" s="6">
        <v>2.633</v>
      </c>
      <c r="O1409" s="6">
        <v>2.633</v>
      </c>
      <c r="P1409" s="6">
        <v>37</v>
      </c>
      <c r="Q1409" s="4" t="s">
        <v>26</v>
      </c>
      <c r="R1409" s="4">
        <v>0</v>
      </c>
      <c r="S1409" s="6">
        <v>0</v>
      </c>
      <c r="T1409" s="6">
        <v>43</v>
      </c>
      <c r="U1409" s="6">
        <v>87</v>
      </c>
      <c r="V1409" s="6">
        <f>IF(ISERROR(VLOOKUP($S$1409,'TAR FIN'!$A$1:$O$115,15,0)),0,VLOOKUP($S$1409,'TAR FIN'!$A$1:$O$115,15,0))</f>
        <v>0</v>
      </c>
      <c r="W1409" s="6">
        <f>IF(ISERROR(VLOOKUP($T$1409,'TAR FIN'!$A$1:$O$115,15,0)),0,VLOOKUP($T$1409,'TAR FIN'!$A$1:$O$115,15,0))</f>
        <v>404.12</v>
      </c>
      <c r="X1409" s="6">
        <f>IF(ISERROR(VLOOKUP($U$1409,'TAR FIN'!$A$1:$O$115,15,0)),0,VLOOKUP($U$1409,'TAR FIN'!$A$1:$O$115,15,0))</f>
        <v>176.58</v>
      </c>
      <c r="Y1409" s="6"/>
      <c r="Z1409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409" s="6">
        <f>('TE BE'!$AB$24+'TE BF'!$AB$24+'TE CVA'!$AB$24)*(1-CUSTOS!$M$37)</f>
        <v>230.68197444058345</v>
      </c>
      <c r="AB1409" s="6">
        <f>$K$1409*$V$1409</f>
        <v>0</v>
      </c>
      <c r="AC1409" s="6">
        <f>$M$1409*$W$1409</f>
        <v>1064.0479600000001</v>
      </c>
      <c r="AD1409" s="6">
        <f>$O$1409*$X$1409</f>
        <v>464.93514000000005</v>
      </c>
      <c r="AE1409" s="6">
        <f>$K$1409*$Y$1409</f>
        <v>0</v>
      </c>
      <c r="AF1409" s="6">
        <f ca="1">$M$1409*$Z$1409</f>
        <v>1106.3179893615984</v>
      </c>
      <c r="AG1409" s="6">
        <f>$O$1409*$AA$1409</f>
        <v>607.38563870205621</v>
      </c>
    </row>
    <row r="1410" spans="1:33" ht="11.25" customHeight="1" x14ac:dyDescent="0.25">
      <c r="A1410" s="4" t="s">
        <v>21</v>
      </c>
      <c r="B1410" s="4" t="s">
        <v>22</v>
      </c>
      <c r="C1410" s="4" t="s">
        <v>23</v>
      </c>
      <c r="D1410" s="4" t="s">
        <v>24</v>
      </c>
      <c r="E1410" s="4" t="s">
        <v>34</v>
      </c>
      <c r="F1410" s="4" t="s">
        <v>25</v>
      </c>
      <c r="G1410" s="4" t="s">
        <v>25</v>
      </c>
      <c r="H1410" s="4" t="s">
        <v>25</v>
      </c>
      <c r="I1410" s="5">
        <v>44743</v>
      </c>
      <c r="J1410" s="6">
        <v>0</v>
      </c>
      <c r="K1410" s="6">
        <v>0</v>
      </c>
      <c r="L1410" s="6">
        <v>1246.318</v>
      </c>
      <c r="M1410" s="6">
        <v>1246.318</v>
      </c>
      <c r="N1410" s="6">
        <v>1246.318</v>
      </c>
      <c r="O1410" s="6">
        <v>1246.318</v>
      </c>
      <c r="P1410" s="6">
        <v>9969</v>
      </c>
      <c r="Q1410" s="4" t="s">
        <v>26</v>
      </c>
      <c r="R1410" s="4">
        <v>0</v>
      </c>
      <c r="S1410" s="6">
        <v>0</v>
      </c>
      <c r="T1410" s="6">
        <v>43</v>
      </c>
      <c r="U1410" s="6">
        <v>87</v>
      </c>
      <c r="V1410" s="6">
        <f>IF(ISERROR(VLOOKUP($S$1410,'TAR FIN'!$A$1:$O$115,15,0)),0,VLOOKUP($S$1410,'TAR FIN'!$A$1:$O$115,15,0))</f>
        <v>0</v>
      </c>
      <c r="W1410" s="6">
        <f>IF(ISERROR(VLOOKUP($T$1410,'TAR FIN'!$A$1:$O$115,15,0)),0,VLOOKUP($T$1410,'TAR FIN'!$A$1:$O$115,15,0))</f>
        <v>404.12</v>
      </c>
      <c r="X1410" s="6">
        <f>IF(ISERROR(VLOOKUP($U$1410,'TAR FIN'!$A$1:$O$115,15,0)),0,VLOOKUP($U$1410,'TAR FIN'!$A$1:$O$115,15,0))</f>
        <v>176.58</v>
      </c>
      <c r="Y1410" s="6"/>
      <c r="Z1410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410" s="6">
        <f>('TE BE'!$AB$24+'TE BF'!$AB$24+'TE CVA'!$AB$24)*(1-CUSTOS!$M$37)</f>
        <v>230.68197444058345</v>
      </c>
      <c r="AB1410" s="6">
        <f>$K$1410*$V$1410</f>
        <v>0</v>
      </c>
      <c r="AC1410" s="6">
        <f>$M$1410*$W$1410</f>
        <v>503662.03016000002</v>
      </c>
      <c r="AD1410" s="6">
        <f>$O$1410*$X$1410</f>
        <v>220074.83244</v>
      </c>
      <c r="AE1410" s="6">
        <f>$K$1410*$Y$1410</f>
        <v>0</v>
      </c>
      <c r="AF1410" s="6">
        <f ca="1">$M$1410*$Z$1410</f>
        <v>523670.34708134009</v>
      </c>
      <c r="AG1410" s="6">
        <f>$O$1410*$AA$1410</f>
        <v>287503.09702083905</v>
      </c>
    </row>
    <row r="1411" spans="1:33" ht="11.25" customHeight="1" x14ac:dyDescent="0.25">
      <c r="A1411" s="4" t="s">
        <v>27</v>
      </c>
      <c r="B1411" s="4" t="s">
        <v>22</v>
      </c>
      <c r="C1411" s="4" t="s">
        <v>23</v>
      </c>
      <c r="D1411" s="4" t="s">
        <v>24</v>
      </c>
      <c r="E1411" s="4" t="s">
        <v>34</v>
      </c>
      <c r="F1411" s="4" t="s">
        <v>25</v>
      </c>
      <c r="G1411" s="4" t="s">
        <v>25</v>
      </c>
      <c r="H1411" s="4" t="s">
        <v>25</v>
      </c>
      <c r="I1411" s="5">
        <v>44743</v>
      </c>
      <c r="J1411" s="6">
        <v>0</v>
      </c>
      <c r="K1411" s="6">
        <v>0</v>
      </c>
      <c r="L1411" s="6">
        <v>-28.143000000000001</v>
      </c>
      <c r="M1411" s="6">
        <v>-28.143000000000001</v>
      </c>
      <c r="N1411" s="6">
        <v>-28.143000000000001</v>
      </c>
      <c r="O1411" s="6">
        <v>-28.143000000000001</v>
      </c>
      <c r="P1411" s="6">
        <v>-28</v>
      </c>
      <c r="Q1411" s="4" t="s">
        <v>26</v>
      </c>
      <c r="R1411" s="4">
        <v>0</v>
      </c>
      <c r="S1411" s="6">
        <v>0</v>
      </c>
      <c r="T1411" s="6">
        <v>43</v>
      </c>
      <c r="U1411" s="6">
        <v>87</v>
      </c>
      <c r="V1411" s="6">
        <f>IF(ISERROR(VLOOKUP($S$1411,'TAR FIN'!$A$1:$O$115,15,0)),0,VLOOKUP($S$1411,'TAR FIN'!$A$1:$O$115,15,0))</f>
        <v>0</v>
      </c>
      <c r="W1411" s="6">
        <f>IF(ISERROR(VLOOKUP($T$1411,'TAR FIN'!$A$1:$O$115,15,0)),0,VLOOKUP($T$1411,'TAR FIN'!$A$1:$O$115,15,0))</f>
        <v>404.12</v>
      </c>
      <c r="X1411" s="6">
        <f>IF(ISERROR(VLOOKUP($U$1411,'TAR FIN'!$A$1:$O$115,15,0)),0,VLOOKUP($U$1411,'TAR FIN'!$A$1:$O$115,15,0))</f>
        <v>176.58</v>
      </c>
      <c r="Y1411" s="6"/>
      <c r="Z1411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411" s="6">
        <f>('TE BE'!$AB$24+'TE BF'!$AB$24+'TE CVA'!$AB$24)*(1-CUSTOS!$M$37)</f>
        <v>230.68197444058345</v>
      </c>
      <c r="AB1411" s="6">
        <f>$K$1411*$V$1411</f>
        <v>0</v>
      </c>
      <c r="AC1411" s="6">
        <f>$M$1411*$W$1411</f>
        <v>-11373.149160000001</v>
      </c>
      <c r="AD1411" s="6">
        <f>$O$1411*$X$1411</f>
        <v>-4969.4909400000006</v>
      </c>
      <c r="AE1411" s="6">
        <f>$K$1411*$Y$1411</f>
        <v>0</v>
      </c>
      <c r="AF1411" s="6">
        <f ca="1">$M$1411*$Z$1411</f>
        <v>-11824.955250514038</v>
      </c>
      <c r="AG1411" s="6">
        <f>$O$1411*$AA$1411</f>
        <v>-6492.0828066813401</v>
      </c>
    </row>
    <row r="1412" spans="1:33" ht="11.25" customHeight="1" x14ac:dyDescent="0.25">
      <c r="A1412" s="4" t="s">
        <v>28</v>
      </c>
      <c r="B1412" s="4" t="s">
        <v>22</v>
      </c>
      <c r="C1412" s="4" t="s">
        <v>23</v>
      </c>
      <c r="D1412" s="4" t="s">
        <v>24</v>
      </c>
      <c r="E1412" s="4" t="s">
        <v>34</v>
      </c>
      <c r="F1412" s="4" t="s">
        <v>25</v>
      </c>
      <c r="G1412" s="4" t="s">
        <v>25</v>
      </c>
      <c r="H1412" s="4" t="s">
        <v>25</v>
      </c>
      <c r="I1412" s="5">
        <v>44743</v>
      </c>
      <c r="J1412" s="6">
        <v>0</v>
      </c>
      <c r="K1412" s="6">
        <v>0</v>
      </c>
      <c r="L1412" s="6">
        <v>281.52499999999998</v>
      </c>
      <c r="M1412" s="6">
        <v>281.52499999999998</v>
      </c>
      <c r="N1412" s="6">
        <v>281.52499999999998</v>
      </c>
      <c r="O1412" s="6">
        <v>281.52499999999998</v>
      </c>
      <c r="P1412" s="6">
        <v>2679</v>
      </c>
      <c r="Q1412" s="4" t="s">
        <v>26</v>
      </c>
      <c r="R1412" s="4">
        <v>0</v>
      </c>
      <c r="S1412" s="6">
        <v>0</v>
      </c>
      <c r="T1412" s="6">
        <v>43</v>
      </c>
      <c r="U1412" s="6">
        <v>87</v>
      </c>
      <c r="V1412" s="6">
        <f>IF(ISERROR(VLOOKUP($S$1412,'TAR FIN'!$A$1:$O$115,15,0)),0,VLOOKUP($S$1412,'TAR FIN'!$A$1:$O$115,15,0))</f>
        <v>0</v>
      </c>
      <c r="W1412" s="6">
        <f>IF(ISERROR(VLOOKUP($T$1412,'TAR FIN'!$A$1:$O$115,15,0)),0,VLOOKUP($T$1412,'TAR FIN'!$A$1:$O$115,15,0))</f>
        <v>404.12</v>
      </c>
      <c r="X1412" s="6">
        <f>IF(ISERROR(VLOOKUP($U$1412,'TAR FIN'!$A$1:$O$115,15,0)),0,VLOOKUP($U$1412,'TAR FIN'!$A$1:$O$115,15,0))</f>
        <v>176.58</v>
      </c>
      <c r="Y1412" s="6"/>
      <c r="Z1412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412" s="6">
        <f>('TE BE'!$AB$24+'TE BF'!$AB$24+'TE CVA'!$AB$24)*(1-CUSTOS!$M$37)</f>
        <v>230.68197444058345</v>
      </c>
      <c r="AB1412" s="6">
        <f>$K$1412*$V$1412</f>
        <v>0</v>
      </c>
      <c r="AC1412" s="6">
        <f>$M$1412*$W$1412</f>
        <v>113769.88299999999</v>
      </c>
      <c r="AD1412" s="6">
        <f>$O$1412*$X$1412</f>
        <v>49711.684500000003</v>
      </c>
      <c r="AE1412" s="6">
        <f>$K$1412*$Y$1412</f>
        <v>0</v>
      </c>
      <c r="AF1412" s="6">
        <f ca="1">$M$1412*$Z$1412</f>
        <v>118289.4690296331</v>
      </c>
      <c r="AG1412" s="6">
        <f>$O$1412*$AA$1412</f>
        <v>64942.742854385251</v>
      </c>
    </row>
    <row r="1413" spans="1:33" ht="11.25" customHeight="1" x14ac:dyDescent="0.25">
      <c r="A1413" s="4" t="s">
        <v>29</v>
      </c>
      <c r="B1413" s="4" t="s">
        <v>22</v>
      </c>
      <c r="C1413" s="4" t="s">
        <v>23</v>
      </c>
      <c r="D1413" s="4" t="s">
        <v>24</v>
      </c>
      <c r="E1413" s="4" t="s">
        <v>34</v>
      </c>
      <c r="F1413" s="4" t="s">
        <v>25</v>
      </c>
      <c r="G1413" s="4" t="s">
        <v>25</v>
      </c>
      <c r="H1413" s="4" t="s">
        <v>25</v>
      </c>
      <c r="I1413" s="5">
        <v>44743</v>
      </c>
      <c r="J1413" s="6">
        <v>0</v>
      </c>
      <c r="K1413" s="6">
        <v>0</v>
      </c>
      <c r="L1413" s="6">
        <v>-5.6539999999999999</v>
      </c>
      <c r="M1413" s="6">
        <v>-5.6539999999999999</v>
      </c>
      <c r="N1413" s="6">
        <v>-5.6539999999999999</v>
      </c>
      <c r="O1413" s="6">
        <v>-5.6539999999999999</v>
      </c>
      <c r="P1413" s="6">
        <v>-4</v>
      </c>
      <c r="Q1413" s="4" t="s">
        <v>26</v>
      </c>
      <c r="R1413" s="4">
        <v>0</v>
      </c>
      <c r="S1413" s="6">
        <v>0</v>
      </c>
      <c r="T1413" s="6">
        <v>43</v>
      </c>
      <c r="U1413" s="6">
        <v>87</v>
      </c>
      <c r="V1413" s="6">
        <f>IF(ISERROR(VLOOKUP($S$1413,'TAR FIN'!$A$1:$O$115,15,0)),0,VLOOKUP($S$1413,'TAR FIN'!$A$1:$O$115,15,0))</f>
        <v>0</v>
      </c>
      <c r="W1413" s="6">
        <f>IF(ISERROR(VLOOKUP($T$1413,'TAR FIN'!$A$1:$O$115,15,0)),0,VLOOKUP($T$1413,'TAR FIN'!$A$1:$O$115,15,0))</f>
        <v>404.12</v>
      </c>
      <c r="X1413" s="6">
        <f>IF(ISERROR(VLOOKUP($U$1413,'TAR FIN'!$A$1:$O$115,15,0)),0,VLOOKUP($U$1413,'TAR FIN'!$A$1:$O$115,15,0))</f>
        <v>176.58</v>
      </c>
      <c r="Y1413" s="6"/>
      <c r="Z1413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413" s="6">
        <f>('TE BE'!$AB$24+'TE BF'!$AB$24+'TE CVA'!$AB$24)*(1-CUSTOS!$M$37)</f>
        <v>230.68197444058345</v>
      </c>
      <c r="AB1413" s="6">
        <f>$K$1413*$V$1413</f>
        <v>0</v>
      </c>
      <c r="AC1413" s="6">
        <f>$M$1413*$W$1413</f>
        <v>-2284.8944799999999</v>
      </c>
      <c r="AD1413" s="6">
        <f>$O$1413*$X$1413</f>
        <v>-998.38332000000003</v>
      </c>
      <c r="AE1413" s="6">
        <f>$K$1413*$Y$1413</f>
        <v>0</v>
      </c>
      <c r="AF1413" s="6">
        <f ca="1">$M$1413*$Z$1413</f>
        <v>-2375.6634682303365</v>
      </c>
      <c r="AG1413" s="6">
        <f>$O$1413*$AA$1413</f>
        <v>-1304.2758834870588</v>
      </c>
    </row>
    <row r="1414" spans="1:33" ht="11.25" customHeight="1" x14ac:dyDescent="0.25">
      <c r="A1414" s="4" t="s">
        <v>30</v>
      </c>
      <c r="B1414" s="4" t="s">
        <v>22</v>
      </c>
      <c r="C1414" s="4" t="s">
        <v>23</v>
      </c>
      <c r="D1414" s="4" t="s">
        <v>24</v>
      </c>
      <c r="E1414" s="4" t="s">
        <v>34</v>
      </c>
      <c r="F1414" s="4" t="s">
        <v>25</v>
      </c>
      <c r="G1414" s="4" t="s">
        <v>25</v>
      </c>
      <c r="H1414" s="4" t="s">
        <v>25</v>
      </c>
      <c r="I1414" s="5">
        <v>44743</v>
      </c>
      <c r="J1414" s="6">
        <v>0</v>
      </c>
      <c r="K1414" s="6">
        <v>0</v>
      </c>
      <c r="L1414" s="6">
        <v>2.7109999999999999</v>
      </c>
      <c r="M1414" s="6">
        <v>2.7109999999999999</v>
      </c>
      <c r="N1414" s="6">
        <v>2.7109999999999999</v>
      </c>
      <c r="O1414" s="6">
        <v>2.7109999999999999</v>
      </c>
      <c r="P1414" s="6">
        <v>44</v>
      </c>
      <c r="Q1414" s="4" t="s">
        <v>26</v>
      </c>
      <c r="R1414" s="4">
        <v>0</v>
      </c>
      <c r="S1414" s="6">
        <v>0</v>
      </c>
      <c r="T1414" s="6">
        <v>43</v>
      </c>
      <c r="U1414" s="6">
        <v>87</v>
      </c>
      <c r="V1414" s="6">
        <f>IF(ISERROR(VLOOKUP($S$1414,'TAR FIN'!$A$1:$O$115,15,0)),0,VLOOKUP($S$1414,'TAR FIN'!$A$1:$O$115,15,0))</f>
        <v>0</v>
      </c>
      <c r="W1414" s="6">
        <f>IF(ISERROR(VLOOKUP($T$1414,'TAR FIN'!$A$1:$O$115,15,0)),0,VLOOKUP($T$1414,'TAR FIN'!$A$1:$O$115,15,0))</f>
        <v>404.12</v>
      </c>
      <c r="X1414" s="6">
        <f>IF(ISERROR(VLOOKUP($U$1414,'TAR FIN'!$A$1:$O$115,15,0)),0,VLOOKUP($U$1414,'TAR FIN'!$A$1:$O$115,15,0))</f>
        <v>176.58</v>
      </c>
      <c r="Y1414" s="6"/>
      <c r="Z1414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414" s="6">
        <f>('TE BE'!$AB$24+'TE BF'!$AB$24+'TE CVA'!$AB$24)*(1-CUSTOS!$M$37)</f>
        <v>230.68197444058345</v>
      </c>
      <c r="AB1414" s="6">
        <f>$K$1414*$V$1414</f>
        <v>0</v>
      </c>
      <c r="AC1414" s="6">
        <f>$M$1414*$W$1414</f>
        <v>1095.5693200000001</v>
      </c>
      <c r="AD1414" s="6">
        <f>$O$1414*$X$1414</f>
        <v>478.70838000000003</v>
      </c>
      <c r="AE1414" s="6">
        <f>$K$1414*$Y$1414</f>
        <v>0</v>
      </c>
      <c r="AF1414" s="6">
        <f ca="1">$M$1414*$Z$1414</f>
        <v>1139.0915568398377</v>
      </c>
      <c r="AG1414" s="6">
        <f>$O$1414*$AA$1414</f>
        <v>625.37883270842167</v>
      </c>
    </row>
    <row r="1415" spans="1:33" ht="11.25" customHeight="1" x14ac:dyDescent="0.25">
      <c r="A1415" s="4" t="s">
        <v>21</v>
      </c>
      <c r="B1415" s="4" t="s">
        <v>22</v>
      </c>
      <c r="C1415" s="4" t="s">
        <v>23</v>
      </c>
      <c r="D1415" s="4" t="s">
        <v>24</v>
      </c>
      <c r="E1415" s="4" t="s">
        <v>34</v>
      </c>
      <c r="F1415" s="4" t="s">
        <v>25</v>
      </c>
      <c r="G1415" s="4" t="s">
        <v>25</v>
      </c>
      <c r="H1415" s="4" t="s">
        <v>25</v>
      </c>
      <c r="I1415" s="5">
        <v>44774</v>
      </c>
      <c r="J1415" s="6">
        <v>0</v>
      </c>
      <c r="K1415" s="6">
        <v>0</v>
      </c>
      <c r="L1415" s="6">
        <v>1378.7329999999999</v>
      </c>
      <c r="M1415" s="6">
        <v>1378.7329999999999</v>
      </c>
      <c r="N1415" s="6">
        <v>1378.7329999999999</v>
      </c>
      <c r="O1415" s="6">
        <v>1378.7329999999999</v>
      </c>
      <c r="P1415" s="6">
        <v>10564</v>
      </c>
      <c r="Q1415" s="4" t="s">
        <v>26</v>
      </c>
      <c r="R1415" s="4">
        <v>0</v>
      </c>
      <c r="S1415" s="6">
        <v>0</v>
      </c>
      <c r="T1415" s="6">
        <v>43</v>
      </c>
      <c r="U1415" s="6">
        <v>87</v>
      </c>
      <c r="V1415" s="6">
        <f>IF(ISERROR(VLOOKUP($S$1415,'TAR FIN'!$A$1:$O$115,15,0)),0,VLOOKUP($S$1415,'TAR FIN'!$A$1:$O$115,15,0))</f>
        <v>0</v>
      </c>
      <c r="W1415" s="6">
        <f>IF(ISERROR(VLOOKUP($T$1415,'TAR FIN'!$A$1:$O$115,15,0)),0,VLOOKUP($T$1415,'TAR FIN'!$A$1:$O$115,15,0))</f>
        <v>404.12</v>
      </c>
      <c r="X1415" s="6">
        <f>IF(ISERROR(VLOOKUP($U$1415,'TAR FIN'!$A$1:$O$115,15,0)),0,VLOOKUP($U$1415,'TAR FIN'!$A$1:$O$115,15,0))</f>
        <v>176.58</v>
      </c>
      <c r="Y1415" s="6"/>
      <c r="Z1415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415" s="6">
        <f>('TE BE'!$AB$24+'TE BF'!$AB$24+'TE CVA'!$AB$24)*(1-CUSTOS!$M$37)</f>
        <v>230.68197444058345</v>
      </c>
      <c r="AB1415" s="6">
        <f>$K$1415*$V$1415</f>
        <v>0</v>
      </c>
      <c r="AC1415" s="6">
        <f>$M$1415*$W$1415</f>
        <v>557173.57996</v>
      </c>
      <c r="AD1415" s="6">
        <f>$O$1415*$X$1415</f>
        <v>243456.67314</v>
      </c>
      <c r="AE1415" s="6">
        <f>$K$1415*$Y$1415</f>
        <v>0</v>
      </c>
      <c r="AF1415" s="6">
        <f ca="1">$M$1415*$Z$1415</f>
        <v>579307.67961507197</v>
      </c>
      <c r="AG1415" s="6">
        <f>$O$1415*$AA$1415</f>
        <v>318048.85066638893</v>
      </c>
    </row>
    <row r="1416" spans="1:33" ht="11.25" customHeight="1" x14ac:dyDescent="0.25">
      <c r="A1416" s="4" t="s">
        <v>27</v>
      </c>
      <c r="B1416" s="4" t="s">
        <v>22</v>
      </c>
      <c r="C1416" s="4" t="s">
        <v>23</v>
      </c>
      <c r="D1416" s="4" t="s">
        <v>24</v>
      </c>
      <c r="E1416" s="4" t="s">
        <v>34</v>
      </c>
      <c r="F1416" s="4" t="s">
        <v>25</v>
      </c>
      <c r="G1416" s="4" t="s">
        <v>25</v>
      </c>
      <c r="H1416" s="4" t="s">
        <v>25</v>
      </c>
      <c r="I1416" s="5">
        <v>44774</v>
      </c>
      <c r="J1416" s="6">
        <v>0</v>
      </c>
      <c r="K1416" s="6">
        <v>0</v>
      </c>
      <c r="L1416" s="6">
        <v>-17.792000000000002</v>
      </c>
      <c r="M1416" s="6">
        <v>-17.792000000000002</v>
      </c>
      <c r="N1416" s="6">
        <v>-17.792000000000002</v>
      </c>
      <c r="O1416" s="6">
        <v>-17.792000000000002</v>
      </c>
      <c r="P1416" s="6">
        <v>-11</v>
      </c>
      <c r="Q1416" s="4" t="s">
        <v>26</v>
      </c>
      <c r="R1416" s="4">
        <v>0</v>
      </c>
      <c r="S1416" s="6">
        <v>0</v>
      </c>
      <c r="T1416" s="6">
        <v>43</v>
      </c>
      <c r="U1416" s="6">
        <v>87</v>
      </c>
      <c r="V1416" s="6">
        <f>IF(ISERROR(VLOOKUP($S$1416,'TAR FIN'!$A$1:$O$115,15,0)),0,VLOOKUP($S$1416,'TAR FIN'!$A$1:$O$115,15,0))</f>
        <v>0</v>
      </c>
      <c r="W1416" s="6">
        <f>IF(ISERROR(VLOOKUP($T$1416,'TAR FIN'!$A$1:$O$115,15,0)),0,VLOOKUP($T$1416,'TAR FIN'!$A$1:$O$115,15,0))</f>
        <v>404.12</v>
      </c>
      <c r="X1416" s="6">
        <f>IF(ISERROR(VLOOKUP($U$1416,'TAR FIN'!$A$1:$O$115,15,0)),0,VLOOKUP($U$1416,'TAR FIN'!$A$1:$O$115,15,0))</f>
        <v>176.58</v>
      </c>
      <c r="Y1416" s="6"/>
      <c r="Z1416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416" s="6">
        <f>('TE BE'!$AB$24+'TE BF'!$AB$24+'TE CVA'!$AB$24)*(1-CUSTOS!$M$37)</f>
        <v>230.68197444058345</v>
      </c>
      <c r="AB1416" s="6">
        <f>$K$1416*$V$1416</f>
        <v>0</v>
      </c>
      <c r="AC1416" s="6">
        <f>$M$1416*$W$1416</f>
        <v>-7190.1030400000009</v>
      </c>
      <c r="AD1416" s="6">
        <f>$O$1416*$X$1416</f>
        <v>-3141.7113600000007</v>
      </c>
      <c r="AE1416" s="6">
        <f>$K$1416*$Y$1416</f>
        <v>0</v>
      </c>
      <c r="AF1416" s="6">
        <f ca="1">$M$1416*$Z$1416</f>
        <v>-7475.7347765748418</v>
      </c>
      <c r="AG1416" s="6">
        <f>$O$1416*$AA$1416</f>
        <v>-4104.2936892468606</v>
      </c>
    </row>
    <row r="1417" spans="1:33" ht="11.25" customHeight="1" x14ac:dyDescent="0.25">
      <c r="A1417" s="4" t="s">
        <v>28</v>
      </c>
      <c r="B1417" s="4" t="s">
        <v>22</v>
      </c>
      <c r="C1417" s="4" t="s">
        <v>23</v>
      </c>
      <c r="D1417" s="4" t="s">
        <v>24</v>
      </c>
      <c r="E1417" s="4" t="s">
        <v>34</v>
      </c>
      <c r="F1417" s="4" t="s">
        <v>25</v>
      </c>
      <c r="G1417" s="4" t="s">
        <v>25</v>
      </c>
      <c r="H1417" s="4" t="s">
        <v>25</v>
      </c>
      <c r="I1417" s="5">
        <v>44774</v>
      </c>
      <c r="J1417" s="6">
        <v>0</v>
      </c>
      <c r="K1417" s="6">
        <v>0</v>
      </c>
      <c r="L1417" s="6">
        <v>424.41399999999999</v>
      </c>
      <c r="M1417" s="6">
        <v>424.41399999999999</v>
      </c>
      <c r="N1417" s="6">
        <v>424.41399999999999</v>
      </c>
      <c r="O1417" s="6">
        <v>424.41399999999999</v>
      </c>
      <c r="P1417" s="6">
        <v>3671</v>
      </c>
      <c r="Q1417" s="4" t="s">
        <v>26</v>
      </c>
      <c r="R1417" s="4">
        <v>0</v>
      </c>
      <c r="S1417" s="6">
        <v>0</v>
      </c>
      <c r="T1417" s="6">
        <v>43</v>
      </c>
      <c r="U1417" s="6">
        <v>87</v>
      </c>
      <c r="V1417" s="6">
        <f>IF(ISERROR(VLOOKUP($S$1417,'TAR FIN'!$A$1:$O$115,15,0)),0,VLOOKUP($S$1417,'TAR FIN'!$A$1:$O$115,15,0))</f>
        <v>0</v>
      </c>
      <c r="W1417" s="6">
        <f>IF(ISERROR(VLOOKUP($T$1417,'TAR FIN'!$A$1:$O$115,15,0)),0,VLOOKUP($T$1417,'TAR FIN'!$A$1:$O$115,15,0))</f>
        <v>404.12</v>
      </c>
      <c r="X1417" s="6">
        <f>IF(ISERROR(VLOOKUP($U$1417,'TAR FIN'!$A$1:$O$115,15,0)),0,VLOOKUP($U$1417,'TAR FIN'!$A$1:$O$115,15,0))</f>
        <v>176.58</v>
      </c>
      <c r="Y1417" s="6"/>
      <c r="Z1417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417" s="6">
        <f>('TE BE'!$AB$24+'TE BF'!$AB$24+'TE CVA'!$AB$24)*(1-CUSTOS!$M$37)</f>
        <v>230.68197444058345</v>
      </c>
      <c r="AB1417" s="6">
        <f>$K$1417*$V$1417</f>
        <v>0</v>
      </c>
      <c r="AC1417" s="6">
        <f>$M$1417*$W$1417</f>
        <v>171514.18568</v>
      </c>
      <c r="AD1417" s="6">
        <f>$O$1417*$X$1417</f>
        <v>74943.024120000002</v>
      </c>
      <c r="AE1417" s="6">
        <f>$K$1417*$Y$1417</f>
        <v>0</v>
      </c>
      <c r="AF1417" s="6">
        <f ca="1">$M$1417*$Z$1417</f>
        <v>178327.7034321737</v>
      </c>
      <c r="AG1417" s="6">
        <f>$O$1417*$AA$1417</f>
        <v>97904.659500225782</v>
      </c>
    </row>
    <row r="1418" spans="1:33" ht="11.25" customHeight="1" x14ac:dyDescent="0.25">
      <c r="A1418" s="4" t="s">
        <v>29</v>
      </c>
      <c r="B1418" s="4" t="s">
        <v>22</v>
      </c>
      <c r="C1418" s="4" t="s">
        <v>23</v>
      </c>
      <c r="D1418" s="4" t="s">
        <v>24</v>
      </c>
      <c r="E1418" s="4" t="s">
        <v>34</v>
      </c>
      <c r="F1418" s="4" t="s">
        <v>25</v>
      </c>
      <c r="G1418" s="4" t="s">
        <v>25</v>
      </c>
      <c r="H1418" s="4" t="s">
        <v>25</v>
      </c>
      <c r="I1418" s="5">
        <v>44774</v>
      </c>
      <c r="J1418" s="6">
        <v>0</v>
      </c>
      <c r="K1418" s="6">
        <v>0</v>
      </c>
      <c r="L1418" s="6">
        <v>-8.952</v>
      </c>
      <c r="M1418" s="6">
        <v>-8.952</v>
      </c>
      <c r="N1418" s="6">
        <v>-8.952</v>
      </c>
      <c r="O1418" s="6">
        <v>-8.952</v>
      </c>
      <c r="P1418" s="6">
        <v>-12</v>
      </c>
      <c r="Q1418" s="4" t="s">
        <v>26</v>
      </c>
      <c r="R1418" s="4">
        <v>0</v>
      </c>
      <c r="S1418" s="6">
        <v>0</v>
      </c>
      <c r="T1418" s="6">
        <v>43</v>
      </c>
      <c r="U1418" s="6">
        <v>87</v>
      </c>
      <c r="V1418" s="6">
        <f>IF(ISERROR(VLOOKUP($S$1418,'TAR FIN'!$A$1:$O$115,15,0)),0,VLOOKUP($S$1418,'TAR FIN'!$A$1:$O$115,15,0))</f>
        <v>0</v>
      </c>
      <c r="W1418" s="6">
        <f>IF(ISERROR(VLOOKUP($T$1418,'TAR FIN'!$A$1:$O$115,15,0)),0,VLOOKUP($T$1418,'TAR FIN'!$A$1:$O$115,15,0))</f>
        <v>404.12</v>
      </c>
      <c r="X1418" s="6">
        <f>IF(ISERROR(VLOOKUP($U$1418,'TAR FIN'!$A$1:$O$115,15,0)),0,VLOOKUP($U$1418,'TAR FIN'!$A$1:$O$115,15,0))</f>
        <v>176.58</v>
      </c>
      <c r="Y1418" s="6"/>
      <c r="Z1418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418" s="6">
        <f>('TE BE'!$AB$24+'TE BF'!$AB$24+'TE CVA'!$AB$24)*(1-CUSTOS!$M$37)</f>
        <v>230.68197444058345</v>
      </c>
      <c r="AB1418" s="6">
        <f>$K$1418*$V$1418</f>
        <v>0</v>
      </c>
      <c r="AC1418" s="6">
        <f>$M$1418*$W$1418</f>
        <v>-3617.6822400000001</v>
      </c>
      <c r="AD1418" s="6">
        <f>$O$1418*$X$1418</f>
        <v>-1580.7441600000002</v>
      </c>
      <c r="AE1418" s="6">
        <f>$K$1418*$Y$1418</f>
        <v>0</v>
      </c>
      <c r="AF1418" s="6">
        <f ca="1">$M$1418*$Z$1418</f>
        <v>-3761.3971290410286</v>
      </c>
      <c r="AG1418" s="6">
        <f>$O$1418*$AA$1418</f>
        <v>-2065.0650351921031</v>
      </c>
    </row>
    <row r="1419" spans="1:33" ht="11.25" customHeight="1" x14ac:dyDescent="0.25">
      <c r="A1419" s="4" t="s">
        <v>30</v>
      </c>
      <c r="B1419" s="4" t="s">
        <v>22</v>
      </c>
      <c r="C1419" s="4" t="s">
        <v>23</v>
      </c>
      <c r="D1419" s="4" t="s">
        <v>24</v>
      </c>
      <c r="E1419" s="4" t="s">
        <v>34</v>
      </c>
      <c r="F1419" s="4" t="s">
        <v>25</v>
      </c>
      <c r="G1419" s="4" t="s">
        <v>25</v>
      </c>
      <c r="H1419" s="4" t="s">
        <v>25</v>
      </c>
      <c r="I1419" s="5">
        <v>44774</v>
      </c>
      <c r="J1419" s="6">
        <v>0</v>
      </c>
      <c r="K1419" s="6">
        <v>0</v>
      </c>
      <c r="L1419" s="6">
        <v>5.4349999999999996</v>
      </c>
      <c r="M1419" s="6">
        <v>5.4349999999999996</v>
      </c>
      <c r="N1419" s="6">
        <v>5.4349999999999996</v>
      </c>
      <c r="O1419" s="6">
        <v>5.4349999999999996</v>
      </c>
      <c r="P1419" s="6">
        <v>45</v>
      </c>
      <c r="Q1419" s="4" t="s">
        <v>26</v>
      </c>
      <c r="R1419" s="4">
        <v>0</v>
      </c>
      <c r="S1419" s="6">
        <v>0</v>
      </c>
      <c r="T1419" s="6">
        <v>43</v>
      </c>
      <c r="U1419" s="6">
        <v>87</v>
      </c>
      <c r="V1419" s="6">
        <f>IF(ISERROR(VLOOKUP($S$1419,'TAR FIN'!$A$1:$O$115,15,0)),0,VLOOKUP($S$1419,'TAR FIN'!$A$1:$O$115,15,0))</f>
        <v>0</v>
      </c>
      <c r="W1419" s="6">
        <f>IF(ISERROR(VLOOKUP($T$1419,'TAR FIN'!$A$1:$O$115,15,0)),0,VLOOKUP($T$1419,'TAR FIN'!$A$1:$O$115,15,0))</f>
        <v>404.12</v>
      </c>
      <c r="X1419" s="6">
        <f>IF(ISERROR(VLOOKUP($U$1419,'TAR FIN'!$A$1:$O$115,15,0)),0,VLOOKUP($U$1419,'TAR FIN'!$A$1:$O$115,15,0))</f>
        <v>176.58</v>
      </c>
      <c r="Y1419" s="6"/>
      <c r="Z1419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419" s="6">
        <f>('TE BE'!$AB$24+'TE BF'!$AB$24+'TE CVA'!$AB$24)*(1-CUSTOS!$M$37)</f>
        <v>230.68197444058345</v>
      </c>
      <c r="AB1419" s="6">
        <f>$K$1419*$V$1419</f>
        <v>0</v>
      </c>
      <c r="AC1419" s="6">
        <f>$M$1419*$W$1419</f>
        <v>2196.3921999999998</v>
      </c>
      <c r="AD1419" s="6">
        <f>$O$1419*$X$1419</f>
        <v>959.71230000000003</v>
      </c>
      <c r="AE1419" s="6">
        <f>$K$1419*$Y$1419</f>
        <v>0</v>
      </c>
      <c r="AF1419" s="6">
        <f ca="1">$M$1419*$Z$1419</f>
        <v>2283.6453749260486</v>
      </c>
      <c r="AG1419" s="6">
        <f>$O$1419*$AA$1419</f>
        <v>1253.756531084571</v>
      </c>
    </row>
    <row r="1420" spans="1:33" ht="11.25" customHeight="1" x14ac:dyDescent="0.25">
      <c r="A1420" s="4" t="s">
        <v>21</v>
      </c>
      <c r="B1420" s="4" t="s">
        <v>22</v>
      </c>
      <c r="C1420" s="4" t="s">
        <v>23</v>
      </c>
      <c r="D1420" s="4" t="s">
        <v>24</v>
      </c>
      <c r="E1420" s="4" t="s">
        <v>34</v>
      </c>
      <c r="F1420" s="4" t="s">
        <v>25</v>
      </c>
      <c r="G1420" s="4" t="s">
        <v>25</v>
      </c>
      <c r="H1420" s="4" t="s">
        <v>25</v>
      </c>
      <c r="I1420" s="5">
        <v>44805</v>
      </c>
      <c r="J1420" s="6">
        <v>0</v>
      </c>
      <c r="K1420" s="6">
        <v>0</v>
      </c>
      <c r="L1420" s="6">
        <v>1355.74</v>
      </c>
      <c r="M1420" s="6">
        <v>1355.74</v>
      </c>
      <c r="N1420" s="6">
        <v>1355.74</v>
      </c>
      <c r="O1420" s="6">
        <v>1355.74</v>
      </c>
      <c r="P1420" s="6">
        <v>10852</v>
      </c>
      <c r="Q1420" s="4" t="s">
        <v>26</v>
      </c>
      <c r="R1420" s="4">
        <v>0</v>
      </c>
      <c r="S1420" s="6">
        <v>0</v>
      </c>
      <c r="T1420" s="6">
        <v>43</v>
      </c>
      <c r="U1420" s="6">
        <v>87</v>
      </c>
      <c r="V1420" s="6">
        <f>IF(ISERROR(VLOOKUP($S$1420,'TAR FIN'!$A$1:$O$115,15,0)),0,VLOOKUP($S$1420,'TAR FIN'!$A$1:$O$115,15,0))</f>
        <v>0</v>
      </c>
      <c r="W1420" s="6">
        <f>IF(ISERROR(VLOOKUP($T$1420,'TAR FIN'!$A$1:$O$115,15,0)),0,VLOOKUP($T$1420,'TAR FIN'!$A$1:$O$115,15,0))</f>
        <v>404.12</v>
      </c>
      <c r="X1420" s="6">
        <f>IF(ISERROR(VLOOKUP($U$1420,'TAR FIN'!$A$1:$O$115,15,0)),0,VLOOKUP($U$1420,'TAR FIN'!$A$1:$O$115,15,0))</f>
        <v>176.58</v>
      </c>
      <c r="Y1420" s="6"/>
      <c r="Z1420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420" s="6">
        <f>('TE BE'!$AB$24+'TE BF'!$AB$24+'TE CVA'!$AB$24)*(1-CUSTOS!$M$37)</f>
        <v>230.68197444058345</v>
      </c>
      <c r="AB1420" s="6">
        <f>$K$1420*$V$1420</f>
        <v>0</v>
      </c>
      <c r="AC1420" s="6">
        <f>$M$1420*$W$1420</f>
        <v>547881.64879999997</v>
      </c>
      <c r="AD1420" s="6">
        <f>$O$1420*$X$1420</f>
        <v>239396.56920000003</v>
      </c>
      <c r="AE1420" s="6">
        <f>$K$1420*$Y$1420</f>
        <v>0</v>
      </c>
      <c r="AF1420" s="6">
        <f ca="1">$M$1420*$Z$1420</f>
        <v>569646.6201660058</v>
      </c>
      <c r="AG1420" s="6">
        <f>$O$1420*$AA$1420</f>
        <v>312744.78002807661</v>
      </c>
    </row>
    <row r="1421" spans="1:33" ht="11.25" customHeight="1" x14ac:dyDescent="0.25">
      <c r="A1421" s="4" t="s">
        <v>27</v>
      </c>
      <c r="B1421" s="4" t="s">
        <v>22</v>
      </c>
      <c r="C1421" s="4" t="s">
        <v>23</v>
      </c>
      <c r="D1421" s="4" t="s">
        <v>24</v>
      </c>
      <c r="E1421" s="4" t="s">
        <v>34</v>
      </c>
      <c r="F1421" s="4" t="s">
        <v>25</v>
      </c>
      <c r="G1421" s="4" t="s">
        <v>25</v>
      </c>
      <c r="H1421" s="4" t="s">
        <v>25</v>
      </c>
      <c r="I1421" s="5">
        <v>44805</v>
      </c>
      <c r="J1421" s="6">
        <v>0</v>
      </c>
      <c r="K1421" s="6">
        <v>0</v>
      </c>
      <c r="L1421" s="6">
        <v>-15.724</v>
      </c>
      <c r="M1421" s="6">
        <v>-15.724</v>
      </c>
      <c r="N1421" s="6">
        <v>-15.724</v>
      </c>
      <c r="O1421" s="6">
        <v>-15.724</v>
      </c>
      <c r="P1421" s="6">
        <v>-18</v>
      </c>
      <c r="Q1421" s="4" t="s">
        <v>26</v>
      </c>
      <c r="R1421" s="4">
        <v>0</v>
      </c>
      <c r="S1421" s="6">
        <v>0</v>
      </c>
      <c r="T1421" s="6">
        <v>43</v>
      </c>
      <c r="U1421" s="6">
        <v>87</v>
      </c>
      <c r="V1421" s="6">
        <f>IF(ISERROR(VLOOKUP($S$1421,'TAR FIN'!$A$1:$O$115,15,0)),0,VLOOKUP($S$1421,'TAR FIN'!$A$1:$O$115,15,0))</f>
        <v>0</v>
      </c>
      <c r="W1421" s="6">
        <f>IF(ISERROR(VLOOKUP($T$1421,'TAR FIN'!$A$1:$O$115,15,0)),0,VLOOKUP($T$1421,'TAR FIN'!$A$1:$O$115,15,0))</f>
        <v>404.12</v>
      </c>
      <c r="X1421" s="6">
        <f>IF(ISERROR(VLOOKUP($U$1421,'TAR FIN'!$A$1:$O$115,15,0)),0,VLOOKUP($U$1421,'TAR FIN'!$A$1:$O$115,15,0))</f>
        <v>176.58</v>
      </c>
      <c r="Y1421" s="6"/>
      <c r="Z1421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421" s="6">
        <f>('TE BE'!$AB$24+'TE BF'!$AB$24+'TE CVA'!$AB$24)*(1-CUSTOS!$M$37)</f>
        <v>230.68197444058345</v>
      </c>
      <c r="AB1421" s="6">
        <f>$K$1421*$V$1421</f>
        <v>0</v>
      </c>
      <c r="AC1421" s="6">
        <f>$M$1421*$W$1421</f>
        <v>-6354.3828800000001</v>
      </c>
      <c r="AD1421" s="6">
        <f>$O$1421*$X$1421</f>
        <v>-2776.5439200000001</v>
      </c>
      <c r="AE1421" s="6">
        <f>$K$1421*$Y$1421</f>
        <v>0</v>
      </c>
      <c r="AF1421" s="6">
        <f ca="1">$M$1421*$Z$1421</f>
        <v>-6606.8150644594652</v>
      </c>
      <c r="AG1421" s="6">
        <f>$O$1421*$AA$1421</f>
        <v>-3627.2433661037339</v>
      </c>
    </row>
    <row r="1422" spans="1:33" ht="11.25" customHeight="1" x14ac:dyDescent="0.25">
      <c r="A1422" s="4" t="s">
        <v>28</v>
      </c>
      <c r="B1422" s="4" t="s">
        <v>22</v>
      </c>
      <c r="C1422" s="4" t="s">
        <v>23</v>
      </c>
      <c r="D1422" s="4" t="s">
        <v>24</v>
      </c>
      <c r="E1422" s="4" t="s">
        <v>34</v>
      </c>
      <c r="F1422" s="4" t="s">
        <v>25</v>
      </c>
      <c r="G1422" s="4" t="s">
        <v>25</v>
      </c>
      <c r="H1422" s="4" t="s">
        <v>25</v>
      </c>
      <c r="I1422" s="5">
        <v>44805</v>
      </c>
      <c r="J1422" s="6">
        <v>0</v>
      </c>
      <c r="K1422" s="6">
        <v>0</v>
      </c>
      <c r="L1422" s="6">
        <v>344.08600000000001</v>
      </c>
      <c r="M1422" s="6">
        <v>344.08600000000001</v>
      </c>
      <c r="N1422" s="6">
        <v>344.08600000000001</v>
      </c>
      <c r="O1422" s="6">
        <v>344.08600000000001</v>
      </c>
      <c r="P1422" s="6">
        <v>2879</v>
      </c>
      <c r="Q1422" s="4" t="s">
        <v>26</v>
      </c>
      <c r="R1422" s="4">
        <v>0</v>
      </c>
      <c r="S1422" s="6">
        <v>0</v>
      </c>
      <c r="T1422" s="6">
        <v>43</v>
      </c>
      <c r="U1422" s="6">
        <v>87</v>
      </c>
      <c r="V1422" s="6">
        <f>IF(ISERROR(VLOOKUP($S$1422,'TAR FIN'!$A$1:$O$115,15,0)),0,VLOOKUP($S$1422,'TAR FIN'!$A$1:$O$115,15,0))</f>
        <v>0</v>
      </c>
      <c r="W1422" s="6">
        <f>IF(ISERROR(VLOOKUP($T$1422,'TAR FIN'!$A$1:$O$115,15,0)),0,VLOOKUP($T$1422,'TAR FIN'!$A$1:$O$115,15,0))</f>
        <v>404.12</v>
      </c>
      <c r="X1422" s="6">
        <f>IF(ISERROR(VLOOKUP($U$1422,'TAR FIN'!$A$1:$O$115,15,0)),0,VLOOKUP($U$1422,'TAR FIN'!$A$1:$O$115,15,0))</f>
        <v>176.58</v>
      </c>
      <c r="Y1422" s="6"/>
      <c r="Z1422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422" s="6">
        <f>('TE BE'!$AB$24+'TE BF'!$AB$24+'TE CVA'!$AB$24)*(1-CUSTOS!$M$37)</f>
        <v>230.68197444058345</v>
      </c>
      <c r="AB1422" s="6">
        <f>$K$1422*$V$1422</f>
        <v>0</v>
      </c>
      <c r="AC1422" s="6">
        <f>$M$1422*$W$1422</f>
        <v>139052.03432000001</v>
      </c>
      <c r="AD1422" s="6">
        <f>$O$1422*$X$1422</f>
        <v>60758.705880000009</v>
      </c>
      <c r="AE1422" s="6">
        <f>$K$1422*$Y$1422</f>
        <v>0</v>
      </c>
      <c r="AF1422" s="6">
        <f ca="1">$M$1422*$Z$1422</f>
        <v>144575.97101689136</v>
      </c>
      <c r="AG1422" s="6">
        <f>$O$1422*$AA$1422</f>
        <v>79374.437857362602</v>
      </c>
    </row>
    <row r="1423" spans="1:33" ht="11.25" customHeight="1" x14ac:dyDescent="0.25">
      <c r="A1423" s="4" t="s">
        <v>29</v>
      </c>
      <c r="B1423" s="4" t="s">
        <v>22</v>
      </c>
      <c r="C1423" s="4" t="s">
        <v>23</v>
      </c>
      <c r="D1423" s="4" t="s">
        <v>24</v>
      </c>
      <c r="E1423" s="4" t="s">
        <v>34</v>
      </c>
      <c r="F1423" s="4" t="s">
        <v>25</v>
      </c>
      <c r="G1423" s="4" t="s">
        <v>25</v>
      </c>
      <c r="H1423" s="4" t="s">
        <v>25</v>
      </c>
      <c r="I1423" s="5">
        <v>44805</v>
      </c>
      <c r="J1423" s="6">
        <v>0</v>
      </c>
      <c r="K1423" s="6">
        <v>0</v>
      </c>
      <c r="L1423" s="6">
        <v>-4.3019999999999996</v>
      </c>
      <c r="M1423" s="6">
        <v>-4.3019999999999996</v>
      </c>
      <c r="N1423" s="6">
        <v>-4.3019999999999996</v>
      </c>
      <c r="O1423" s="6">
        <v>-4.3019999999999996</v>
      </c>
      <c r="P1423" s="6">
        <v>-4</v>
      </c>
      <c r="Q1423" s="4" t="s">
        <v>26</v>
      </c>
      <c r="R1423" s="4">
        <v>0</v>
      </c>
      <c r="S1423" s="6">
        <v>0</v>
      </c>
      <c r="T1423" s="6">
        <v>43</v>
      </c>
      <c r="U1423" s="6">
        <v>87</v>
      </c>
      <c r="V1423" s="6">
        <f>IF(ISERROR(VLOOKUP($S$1423,'TAR FIN'!$A$1:$O$115,15,0)),0,VLOOKUP($S$1423,'TAR FIN'!$A$1:$O$115,15,0))</f>
        <v>0</v>
      </c>
      <c r="W1423" s="6">
        <f>IF(ISERROR(VLOOKUP($T$1423,'TAR FIN'!$A$1:$O$115,15,0)),0,VLOOKUP($T$1423,'TAR FIN'!$A$1:$O$115,15,0))</f>
        <v>404.12</v>
      </c>
      <c r="X1423" s="6">
        <f>IF(ISERROR(VLOOKUP($U$1423,'TAR FIN'!$A$1:$O$115,15,0)),0,VLOOKUP($U$1423,'TAR FIN'!$A$1:$O$115,15,0))</f>
        <v>176.58</v>
      </c>
      <c r="Y1423" s="6"/>
      <c r="Z1423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423" s="6">
        <f>('TE BE'!$AB$24+'TE BF'!$AB$24+'TE CVA'!$AB$24)*(1-CUSTOS!$M$37)</f>
        <v>230.68197444058345</v>
      </c>
      <c r="AB1423" s="6">
        <f>$K$1423*$V$1423</f>
        <v>0</v>
      </c>
      <c r="AC1423" s="6">
        <f>$M$1423*$W$1423</f>
        <v>-1738.52424</v>
      </c>
      <c r="AD1423" s="6">
        <f>$O$1423*$X$1423</f>
        <v>-759.64715999999999</v>
      </c>
      <c r="AE1423" s="6">
        <f>$K$1423*$Y$1423</f>
        <v>0</v>
      </c>
      <c r="AF1423" s="6">
        <f ca="1">$M$1423*$Z$1423</f>
        <v>-1807.5882986075183</v>
      </c>
      <c r="AG1423" s="6">
        <f>$O$1423*$AA$1423</f>
        <v>-992.39385404338987</v>
      </c>
    </row>
    <row r="1424" spans="1:33" ht="11.25" customHeight="1" x14ac:dyDescent="0.25">
      <c r="A1424" s="4" t="s">
        <v>30</v>
      </c>
      <c r="B1424" s="4" t="s">
        <v>22</v>
      </c>
      <c r="C1424" s="4" t="s">
        <v>23</v>
      </c>
      <c r="D1424" s="4" t="s">
        <v>24</v>
      </c>
      <c r="E1424" s="4" t="s">
        <v>34</v>
      </c>
      <c r="F1424" s="4" t="s">
        <v>25</v>
      </c>
      <c r="G1424" s="4" t="s">
        <v>25</v>
      </c>
      <c r="H1424" s="4" t="s">
        <v>25</v>
      </c>
      <c r="I1424" s="5">
        <v>44805</v>
      </c>
      <c r="J1424" s="6">
        <v>0</v>
      </c>
      <c r="K1424" s="6">
        <v>0</v>
      </c>
      <c r="L1424" s="6">
        <v>7.8170000000000002</v>
      </c>
      <c r="M1424" s="6">
        <v>7.8170000000000002</v>
      </c>
      <c r="N1424" s="6">
        <v>7.8170000000000002</v>
      </c>
      <c r="O1424" s="6">
        <v>7.8170000000000002</v>
      </c>
      <c r="P1424" s="6">
        <v>53</v>
      </c>
      <c r="Q1424" s="4" t="s">
        <v>26</v>
      </c>
      <c r="R1424" s="4">
        <v>0</v>
      </c>
      <c r="S1424" s="6">
        <v>0</v>
      </c>
      <c r="T1424" s="6">
        <v>43</v>
      </c>
      <c r="U1424" s="6">
        <v>87</v>
      </c>
      <c r="V1424" s="6">
        <f>IF(ISERROR(VLOOKUP($S$1424,'TAR FIN'!$A$1:$O$115,15,0)),0,VLOOKUP($S$1424,'TAR FIN'!$A$1:$O$115,15,0))</f>
        <v>0</v>
      </c>
      <c r="W1424" s="6">
        <f>IF(ISERROR(VLOOKUP($T$1424,'TAR FIN'!$A$1:$O$115,15,0)),0,VLOOKUP($T$1424,'TAR FIN'!$A$1:$O$115,15,0))</f>
        <v>404.12</v>
      </c>
      <c r="X1424" s="6">
        <f>IF(ISERROR(VLOOKUP($U$1424,'TAR FIN'!$A$1:$O$115,15,0)),0,VLOOKUP($U$1424,'TAR FIN'!$A$1:$O$115,15,0))</f>
        <v>176.58</v>
      </c>
      <c r="Y1424" s="6"/>
      <c r="Z1424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424" s="6">
        <f>('TE BE'!$AB$24+'TE BF'!$AB$24+'TE CVA'!$AB$24)*(1-CUSTOS!$M$37)</f>
        <v>230.68197444058345</v>
      </c>
      <c r="AB1424" s="6">
        <f>$K$1424*$V$1424</f>
        <v>0</v>
      </c>
      <c r="AC1424" s="6">
        <f>$M$1424*$W$1424</f>
        <v>3159.0060400000002</v>
      </c>
      <c r="AD1424" s="6">
        <f>$O$1424*$X$1424</f>
        <v>1380.3258600000001</v>
      </c>
      <c r="AE1424" s="6">
        <f>$K$1424*$Y$1424</f>
        <v>0</v>
      </c>
      <c r="AF1424" s="6">
        <f ca="1">$M$1424*$Z$1424</f>
        <v>3284.4997048384407</v>
      </c>
      <c r="AG1424" s="6">
        <f>$O$1424*$AA$1424</f>
        <v>1803.2409942020408</v>
      </c>
    </row>
    <row r="1425" spans="1:33" ht="11.25" customHeight="1" x14ac:dyDescent="0.25">
      <c r="A1425" s="4" t="s">
        <v>21</v>
      </c>
      <c r="B1425" s="4" t="s">
        <v>22</v>
      </c>
      <c r="C1425" s="4" t="s">
        <v>23</v>
      </c>
      <c r="D1425" s="4" t="s">
        <v>24</v>
      </c>
      <c r="E1425" s="4" t="s">
        <v>34</v>
      </c>
      <c r="F1425" s="4" t="s">
        <v>25</v>
      </c>
      <c r="G1425" s="4" t="s">
        <v>25</v>
      </c>
      <c r="H1425" s="4" t="s">
        <v>25</v>
      </c>
      <c r="I1425" s="5">
        <v>44835</v>
      </c>
      <c r="J1425" s="6">
        <v>0</v>
      </c>
      <c r="K1425" s="6">
        <v>0</v>
      </c>
      <c r="L1425" s="6">
        <v>1772.847</v>
      </c>
      <c r="M1425" s="6">
        <v>1772.847</v>
      </c>
      <c r="N1425" s="6">
        <v>1772.847</v>
      </c>
      <c r="O1425" s="6">
        <v>1772.847</v>
      </c>
      <c r="P1425" s="6">
        <v>12858</v>
      </c>
      <c r="Q1425" s="4" t="s">
        <v>26</v>
      </c>
      <c r="R1425" s="4">
        <v>0</v>
      </c>
      <c r="S1425" s="6">
        <v>0</v>
      </c>
      <c r="T1425" s="6">
        <v>43</v>
      </c>
      <c r="U1425" s="6">
        <v>87</v>
      </c>
      <c r="V1425" s="6">
        <f>IF(ISERROR(VLOOKUP($S$1425,'TAR FIN'!$A$1:$O$115,15,0)),0,VLOOKUP($S$1425,'TAR FIN'!$A$1:$O$115,15,0))</f>
        <v>0</v>
      </c>
      <c r="W1425" s="6">
        <f>IF(ISERROR(VLOOKUP($T$1425,'TAR FIN'!$A$1:$O$115,15,0)),0,VLOOKUP($T$1425,'TAR FIN'!$A$1:$O$115,15,0))</f>
        <v>404.12</v>
      </c>
      <c r="X1425" s="6">
        <f>IF(ISERROR(VLOOKUP($U$1425,'TAR FIN'!$A$1:$O$115,15,0)),0,VLOOKUP($U$1425,'TAR FIN'!$A$1:$O$115,15,0))</f>
        <v>176.58</v>
      </c>
      <c r="Y1425" s="6"/>
      <c r="Z1425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425" s="6">
        <f>('TE BE'!$AB$24+'TE BF'!$AB$24+'TE CVA'!$AB$24)*(1-CUSTOS!$M$37)</f>
        <v>230.68197444058345</v>
      </c>
      <c r="AB1425" s="6">
        <f>$K$1425*$V$1425</f>
        <v>0</v>
      </c>
      <c r="AC1425" s="6">
        <f>$M$1425*$W$1425</f>
        <v>716442.92963999999</v>
      </c>
      <c r="AD1425" s="6">
        <f>$O$1425*$X$1425</f>
        <v>313049.32326000003</v>
      </c>
      <c r="AE1425" s="6">
        <f>$K$1425*$Y$1425</f>
        <v>0</v>
      </c>
      <c r="AF1425" s="6">
        <f ca="1">$M$1425*$Z$1425</f>
        <v>744904.11260377569</v>
      </c>
      <c r="AG1425" s="6">
        <f>$O$1425*$AA$1425</f>
        <v>408963.84634106501</v>
      </c>
    </row>
    <row r="1426" spans="1:33" ht="11.25" customHeight="1" x14ac:dyDescent="0.25">
      <c r="A1426" s="4" t="s">
        <v>27</v>
      </c>
      <c r="B1426" s="4" t="s">
        <v>22</v>
      </c>
      <c r="C1426" s="4" t="s">
        <v>23</v>
      </c>
      <c r="D1426" s="4" t="s">
        <v>24</v>
      </c>
      <c r="E1426" s="4" t="s">
        <v>34</v>
      </c>
      <c r="F1426" s="4" t="s">
        <v>25</v>
      </c>
      <c r="G1426" s="4" t="s">
        <v>25</v>
      </c>
      <c r="H1426" s="4" t="s">
        <v>25</v>
      </c>
      <c r="I1426" s="5">
        <v>44835</v>
      </c>
      <c r="J1426" s="6">
        <v>0</v>
      </c>
      <c r="K1426" s="6">
        <v>0</v>
      </c>
      <c r="L1426" s="6">
        <v>-13.37</v>
      </c>
      <c r="M1426" s="6">
        <v>-13.37</v>
      </c>
      <c r="N1426" s="6">
        <v>-13.37</v>
      </c>
      <c r="O1426" s="6">
        <v>-13.37</v>
      </c>
      <c r="P1426" s="6">
        <v>-33</v>
      </c>
      <c r="Q1426" s="4" t="s">
        <v>26</v>
      </c>
      <c r="R1426" s="4">
        <v>0</v>
      </c>
      <c r="S1426" s="6">
        <v>0</v>
      </c>
      <c r="T1426" s="6">
        <v>43</v>
      </c>
      <c r="U1426" s="6">
        <v>87</v>
      </c>
      <c r="V1426" s="6">
        <f>IF(ISERROR(VLOOKUP($S$1426,'TAR FIN'!$A$1:$O$115,15,0)),0,VLOOKUP($S$1426,'TAR FIN'!$A$1:$O$115,15,0))</f>
        <v>0</v>
      </c>
      <c r="W1426" s="6">
        <f>IF(ISERROR(VLOOKUP($T$1426,'TAR FIN'!$A$1:$O$115,15,0)),0,VLOOKUP($T$1426,'TAR FIN'!$A$1:$O$115,15,0))</f>
        <v>404.12</v>
      </c>
      <c r="X1426" s="6">
        <f>IF(ISERROR(VLOOKUP($U$1426,'TAR FIN'!$A$1:$O$115,15,0)),0,VLOOKUP($U$1426,'TAR FIN'!$A$1:$O$115,15,0))</f>
        <v>176.58</v>
      </c>
      <c r="Y1426" s="6"/>
      <c r="Z1426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426" s="6">
        <f>('TE BE'!$AB$24+'TE BF'!$AB$24+'TE CVA'!$AB$24)*(1-CUSTOS!$M$37)</f>
        <v>230.68197444058345</v>
      </c>
      <c r="AB1426" s="6">
        <f>$K$1426*$V$1426</f>
        <v>0</v>
      </c>
      <c r="AC1426" s="6">
        <f>$M$1426*$W$1426</f>
        <v>-5403.0843999999997</v>
      </c>
      <c r="AD1426" s="6">
        <f>$O$1426*$X$1426</f>
        <v>-2360.8746000000001</v>
      </c>
      <c r="AE1426" s="6">
        <f>$K$1426*$Y$1426</f>
        <v>0</v>
      </c>
      <c r="AF1426" s="6">
        <f ca="1">$M$1426*$Z$1426</f>
        <v>-5617.7256049238767</v>
      </c>
      <c r="AG1426" s="6">
        <f>$O$1426*$AA$1426</f>
        <v>-3084.2179982706007</v>
      </c>
    </row>
    <row r="1427" spans="1:33" ht="11.25" customHeight="1" x14ac:dyDescent="0.25">
      <c r="A1427" s="4" t="s">
        <v>28</v>
      </c>
      <c r="B1427" s="4" t="s">
        <v>22</v>
      </c>
      <c r="C1427" s="4" t="s">
        <v>23</v>
      </c>
      <c r="D1427" s="4" t="s">
        <v>24</v>
      </c>
      <c r="E1427" s="4" t="s">
        <v>34</v>
      </c>
      <c r="F1427" s="4" t="s">
        <v>25</v>
      </c>
      <c r="G1427" s="4" t="s">
        <v>25</v>
      </c>
      <c r="H1427" s="4" t="s">
        <v>25</v>
      </c>
      <c r="I1427" s="5">
        <v>44835</v>
      </c>
      <c r="J1427" s="6">
        <v>0</v>
      </c>
      <c r="K1427" s="6">
        <v>0</v>
      </c>
      <c r="L1427" s="6">
        <v>391.74</v>
      </c>
      <c r="M1427" s="6">
        <v>391.74</v>
      </c>
      <c r="N1427" s="6">
        <v>391.74</v>
      </c>
      <c r="O1427" s="6">
        <v>391.74</v>
      </c>
      <c r="P1427" s="6">
        <v>3327</v>
      </c>
      <c r="Q1427" s="4" t="s">
        <v>26</v>
      </c>
      <c r="R1427" s="4">
        <v>0</v>
      </c>
      <c r="S1427" s="6">
        <v>0</v>
      </c>
      <c r="T1427" s="6">
        <v>43</v>
      </c>
      <c r="U1427" s="6">
        <v>87</v>
      </c>
      <c r="V1427" s="6">
        <f>IF(ISERROR(VLOOKUP($S$1427,'TAR FIN'!$A$1:$O$115,15,0)),0,VLOOKUP($S$1427,'TAR FIN'!$A$1:$O$115,15,0))</f>
        <v>0</v>
      </c>
      <c r="W1427" s="6">
        <f>IF(ISERROR(VLOOKUP($T$1427,'TAR FIN'!$A$1:$O$115,15,0)),0,VLOOKUP($T$1427,'TAR FIN'!$A$1:$O$115,15,0))</f>
        <v>404.12</v>
      </c>
      <c r="X1427" s="6">
        <f>IF(ISERROR(VLOOKUP($U$1427,'TAR FIN'!$A$1:$O$115,15,0)),0,VLOOKUP($U$1427,'TAR FIN'!$A$1:$O$115,15,0))</f>
        <v>176.58</v>
      </c>
      <c r="Y1427" s="6"/>
      <c r="Z1427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427" s="6">
        <f>('TE BE'!$AB$24+'TE BF'!$AB$24+'TE CVA'!$AB$24)*(1-CUSTOS!$M$37)</f>
        <v>230.68197444058345</v>
      </c>
      <c r="AB1427" s="6">
        <f>$K$1427*$V$1427</f>
        <v>0</v>
      </c>
      <c r="AC1427" s="6">
        <f>$M$1427*$W$1427</f>
        <v>158309.9688</v>
      </c>
      <c r="AD1427" s="6">
        <f>$O$1427*$X$1427</f>
        <v>69173.449200000003</v>
      </c>
      <c r="AE1427" s="6">
        <f>$K$1427*$Y$1427</f>
        <v>0</v>
      </c>
      <c r="AF1427" s="6">
        <f ca="1">$M$1427*$Z$1427</f>
        <v>164598.9400503276</v>
      </c>
      <c r="AG1427" s="6">
        <f>$O$1427*$AA$1427</f>
        <v>90367.356667354165</v>
      </c>
    </row>
    <row r="1428" spans="1:33" ht="11.25" customHeight="1" x14ac:dyDescent="0.25">
      <c r="A1428" s="4" t="s">
        <v>29</v>
      </c>
      <c r="B1428" s="4" t="s">
        <v>22</v>
      </c>
      <c r="C1428" s="4" t="s">
        <v>23</v>
      </c>
      <c r="D1428" s="4" t="s">
        <v>24</v>
      </c>
      <c r="E1428" s="4" t="s">
        <v>34</v>
      </c>
      <c r="F1428" s="4" t="s">
        <v>25</v>
      </c>
      <c r="G1428" s="4" t="s">
        <v>25</v>
      </c>
      <c r="H1428" s="4" t="s">
        <v>25</v>
      </c>
      <c r="I1428" s="5">
        <v>44835</v>
      </c>
      <c r="J1428" s="6">
        <v>0</v>
      </c>
      <c r="K1428" s="6">
        <v>0</v>
      </c>
      <c r="L1428" s="6">
        <v>-46.872</v>
      </c>
      <c r="M1428" s="6">
        <v>-46.872</v>
      </c>
      <c r="N1428" s="6">
        <v>-46.872</v>
      </c>
      <c r="O1428" s="6">
        <v>-46.872</v>
      </c>
      <c r="P1428" s="6">
        <v>-52</v>
      </c>
      <c r="Q1428" s="4" t="s">
        <v>26</v>
      </c>
      <c r="R1428" s="4">
        <v>0</v>
      </c>
      <c r="S1428" s="6">
        <v>0</v>
      </c>
      <c r="T1428" s="6">
        <v>43</v>
      </c>
      <c r="U1428" s="6">
        <v>87</v>
      </c>
      <c r="V1428" s="6">
        <f>IF(ISERROR(VLOOKUP($S$1428,'TAR FIN'!$A$1:$O$115,15,0)),0,VLOOKUP($S$1428,'TAR FIN'!$A$1:$O$115,15,0))</f>
        <v>0</v>
      </c>
      <c r="W1428" s="6">
        <f>IF(ISERROR(VLOOKUP($T$1428,'TAR FIN'!$A$1:$O$115,15,0)),0,VLOOKUP($T$1428,'TAR FIN'!$A$1:$O$115,15,0))</f>
        <v>404.12</v>
      </c>
      <c r="X1428" s="6">
        <f>IF(ISERROR(VLOOKUP($U$1428,'TAR FIN'!$A$1:$O$115,15,0)),0,VLOOKUP($U$1428,'TAR FIN'!$A$1:$O$115,15,0))</f>
        <v>176.58</v>
      </c>
      <c r="Y1428" s="6"/>
      <c r="Z1428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428" s="6">
        <f>('TE BE'!$AB$24+'TE BF'!$AB$24+'TE CVA'!$AB$24)*(1-CUSTOS!$M$37)</f>
        <v>230.68197444058345</v>
      </c>
      <c r="AB1428" s="6">
        <f>$K$1428*$V$1428</f>
        <v>0</v>
      </c>
      <c r="AC1428" s="6">
        <f>$M$1428*$W$1428</f>
        <v>-18941.912639999999</v>
      </c>
      <c r="AD1428" s="6">
        <f>$O$1428*$X$1428</f>
        <v>-8276.6577600000001</v>
      </c>
      <c r="AE1428" s="6">
        <f>$K$1428*$Y$1428</f>
        <v>0</v>
      </c>
      <c r="AF1428" s="6">
        <f ca="1">$M$1428*$Z$1428</f>
        <v>-19694.393010769782</v>
      </c>
      <c r="AG1428" s="6">
        <f>$O$1428*$AA$1428</f>
        <v>-10812.525505979027</v>
      </c>
    </row>
    <row r="1429" spans="1:33" ht="11.25" customHeight="1" x14ac:dyDescent="0.25">
      <c r="A1429" s="4" t="s">
        <v>30</v>
      </c>
      <c r="B1429" s="4" t="s">
        <v>22</v>
      </c>
      <c r="C1429" s="4" t="s">
        <v>23</v>
      </c>
      <c r="D1429" s="4" t="s">
        <v>24</v>
      </c>
      <c r="E1429" s="4" t="s">
        <v>34</v>
      </c>
      <c r="F1429" s="4" t="s">
        <v>25</v>
      </c>
      <c r="G1429" s="4" t="s">
        <v>25</v>
      </c>
      <c r="H1429" s="4" t="s">
        <v>25</v>
      </c>
      <c r="I1429" s="5">
        <v>44835</v>
      </c>
      <c r="J1429" s="6">
        <v>0</v>
      </c>
      <c r="K1429" s="6">
        <v>0</v>
      </c>
      <c r="L1429" s="6">
        <v>10.426</v>
      </c>
      <c r="M1429" s="6">
        <v>10.426</v>
      </c>
      <c r="N1429" s="6">
        <v>10.426</v>
      </c>
      <c r="O1429" s="6">
        <v>10.426</v>
      </c>
      <c r="P1429" s="6">
        <v>60</v>
      </c>
      <c r="Q1429" s="4" t="s">
        <v>26</v>
      </c>
      <c r="R1429" s="4">
        <v>0</v>
      </c>
      <c r="S1429" s="6">
        <v>0</v>
      </c>
      <c r="T1429" s="6">
        <v>43</v>
      </c>
      <c r="U1429" s="6">
        <v>87</v>
      </c>
      <c r="V1429" s="6">
        <f>IF(ISERROR(VLOOKUP($S$1429,'TAR FIN'!$A$1:$O$115,15,0)),0,VLOOKUP($S$1429,'TAR FIN'!$A$1:$O$115,15,0))</f>
        <v>0</v>
      </c>
      <c r="W1429" s="6">
        <f>IF(ISERROR(VLOOKUP($T$1429,'TAR FIN'!$A$1:$O$115,15,0)),0,VLOOKUP($T$1429,'TAR FIN'!$A$1:$O$115,15,0))</f>
        <v>404.12</v>
      </c>
      <c r="X1429" s="6">
        <f>IF(ISERROR(VLOOKUP($U$1429,'TAR FIN'!$A$1:$O$115,15,0)),0,VLOOKUP($U$1429,'TAR FIN'!$A$1:$O$115,15,0))</f>
        <v>176.58</v>
      </c>
      <c r="Y1429" s="6"/>
      <c r="Z1429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429" s="6">
        <f>('TE BE'!$AB$24+'TE BF'!$AB$24+'TE CVA'!$AB$24)*(1-CUSTOS!$M$37)</f>
        <v>230.68197444058345</v>
      </c>
      <c r="AB1429" s="6">
        <f>$K$1429*$V$1429</f>
        <v>0</v>
      </c>
      <c r="AC1429" s="6">
        <f>$M$1429*$W$1429</f>
        <v>4213.3551200000002</v>
      </c>
      <c r="AD1429" s="6">
        <f>$O$1429*$X$1429</f>
        <v>1841.0230800000002</v>
      </c>
      <c r="AE1429" s="6">
        <f>$K$1429*$Y$1429</f>
        <v>0</v>
      </c>
      <c r="AF1429" s="6">
        <f ca="1">$M$1429*$Z$1429</f>
        <v>4380.7335195913502</v>
      </c>
      <c r="AG1429" s="6">
        <f>$O$1429*$AA$1429</f>
        <v>2405.0902655175232</v>
      </c>
    </row>
    <row r="1430" spans="1:33" ht="11.25" customHeight="1" x14ac:dyDescent="0.25">
      <c r="A1430" s="4" t="s">
        <v>59</v>
      </c>
      <c r="B1430" s="4" t="s">
        <v>22</v>
      </c>
      <c r="C1430" s="4" t="s">
        <v>23</v>
      </c>
      <c r="D1430" s="4" t="s">
        <v>24</v>
      </c>
      <c r="E1430" s="4" t="s">
        <v>34</v>
      </c>
      <c r="F1430" s="4" t="s">
        <v>25</v>
      </c>
      <c r="G1430" s="4" t="s">
        <v>25</v>
      </c>
      <c r="H1430" s="4" t="s">
        <v>25</v>
      </c>
      <c r="I1430" s="5">
        <v>44866</v>
      </c>
      <c r="J1430" s="6">
        <v>0</v>
      </c>
      <c r="K1430" s="6">
        <v>0</v>
      </c>
      <c r="L1430" s="6">
        <v>1772.847</v>
      </c>
      <c r="M1430" s="6">
        <v>1772.847</v>
      </c>
      <c r="N1430" s="6">
        <v>1772.847</v>
      </c>
      <c r="O1430" s="6">
        <v>1772.847</v>
      </c>
      <c r="P1430" s="6">
        <v>12858</v>
      </c>
      <c r="Q1430" s="4" t="s">
        <v>26</v>
      </c>
      <c r="R1430" s="4">
        <v>0</v>
      </c>
      <c r="S1430" s="6">
        <v>0</v>
      </c>
      <c r="T1430" s="6">
        <v>43</v>
      </c>
      <c r="U1430" s="6">
        <v>87</v>
      </c>
      <c r="V1430" s="6">
        <f>IF(ISERROR(VLOOKUP($S$1430,'TAR FIN'!$A$1:$O$115,15,0)),0,VLOOKUP($S$1430,'TAR FIN'!$A$1:$O$115,15,0))</f>
        <v>0</v>
      </c>
      <c r="W1430" s="6">
        <f>IF(ISERROR(VLOOKUP($T$1430,'TAR FIN'!$A$1:$O$115,15,0)),0,VLOOKUP($T$1430,'TAR FIN'!$A$1:$O$115,15,0))</f>
        <v>404.12</v>
      </c>
      <c r="X1430" s="6">
        <f>IF(ISERROR(VLOOKUP($U$1430,'TAR FIN'!$A$1:$O$115,15,0)),0,VLOOKUP($U$1430,'TAR FIN'!$A$1:$O$115,15,0))</f>
        <v>176.58</v>
      </c>
      <c r="Y1430" s="6"/>
      <c r="Z1430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430" s="6">
        <f>('TE BE'!$AB$24+'TE BF'!$AB$24+'TE CVA'!$AB$24)*(1-CUSTOS!$M$37)</f>
        <v>230.68197444058345</v>
      </c>
      <c r="AB1430" s="6">
        <f>$K$1430*$V$1430</f>
        <v>0</v>
      </c>
      <c r="AC1430" s="6">
        <f>$M$1430*$W$1430</f>
        <v>716442.92963999999</v>
      </c>
      <c r="AD1430" s="6">
        <f>$O$1430*$X$1430</f>
        <v>313049.32326000003</v>
      </c>
      <c r="AE1430" s="6">
        <f>$K$1430*$Y$1430</f>
        <v>0</v>
      </c>
      <c r="AF1430" s="6">
        <f ca="1">$M$1430*$Z$1430</f>
        <v>744904.11260377569</v>
      </c>
      <c r="AG1430" s="6">
        <f>$O$1430*$AA$1430</f>
        <v>408963.84634106501</v>
      </c>
    </row>
    <row r="1431" spans="1:33" ht="11.25" customHeight="1" x14ac:dyDescent="0.25">
      <c r="A1431" s="4" t="s">
        <v>59</v>
      </c>
      <c r="B1431" s="4" t="s">
        <v>22</v>
      </c>
      <c r="C1431" s="4" t="s">
        <v>23</v>
      </c>
      <c r="D1431" s="4" t="s">
        <v>24</v>
      </c>
      <c r="E1431" s="4" t="s">
        <v>34</v>
      </c>
      <c r="F1431" s="4" t="s">
        <v>25</v>
      </c>
      <c r="G1431" s="4" t="s">
        <v>25</v>
      </c>
      <c r="H1431" s="4" t="s">
        <v>25</v>
      </c>
      <c r="I1431" s="5">
        <v>44866</v>
      </c>
      <c r="J1431" s="6">
        <v>0</v>
      </c>
      <c r="K1431" s="6">
        <v>0</v>
      </c>
      <c r="L1431" s="6">
        <v>-13.37</v>
      </c>
      <c r="M1431" s="6">
        <v>-13.37</v>
      </c>
      <c r="N1431" s="6">
        <v>-13.37</v>
      </c>
      <c r="O1431" s="6">
        <v>-13.37</v>
      </c>
      <c r="P1431" s="6">
        <v>-33</v>
      </c>
      <c r="Q1431" s="4" t="s">
        <v>26</v>
      </c>
      <c r="R1431" s="4">
        <v>0</v>
      </c>
      <c r="S1431" s="6">
        <v>0</v>
      </c>
      <c r="T1431" s="6">
        <v>43</v>
      </c>
      <c r="U1431" s="6">
        <v>87</v>
      </c>
      <c r="V1431" s="6">
        <f>IF(ISERROR(VLOOKUP($S$1431,'TAR FIN'!$A$1:$O$115,15,0)),0,VLOOKUP($S$1431,'TAR FIN'!$A$1:$O$115,15,0))</f>
        <v>0</v>
      </c>
      <c r="W1431" s="6">
        <f>IF(ISERROR(VLOOKUP($T$1431,'TAR FIN'!$A$1:$O$115,15,0)),0,VLOOKUP($T$1431,'TAR FIN'!$A$1:$O$115,15,0))</f>
        <v>404.12</v>
      </c>
      <c r="X1431" s="6">
        <f>IF(ISERROR(VLOOKUP($U$1431,'TAR FIN'!$A$1:$O$115,15,0)),0,VLOOKUP($U$1431,'TAR FIN'!$A$1:$O$115,15,0))</f>
        <v>176.58</v>
      </c>
      <c r="Y1431" s="6"/>
      <c r="Z1431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431" s="6">
        <f>('TE BE'!$AB$24+'TE BF'!$AB$24+'TE CVA'!$AB$24)*(1-CUSTOS!$M$37)</f>
        <v>230.68197444058345</v>
      </c>
      <c r="AB1431" s="6">
        <f>$K$1431*$V$1431</f>
        <v>0</v>
      </c>
      <c r="AC1431" s="6">
        <f>$M$1431*$W$1431</f>
        <v>-5403.0843999999997</v>
      </c>
      <c r="AD1431" s="6">
        <f>$O$1431*$X$1431</f>
        <v>-2360.8746000000001</v>
      </c>
      <c r="AE1431" s="6">
        <f>$K$1431*$Y$1431</f>
        <v>0</v>
      </c>
      <c r="AF1431" s="6">
        <f ca="1">$M$1431*$Z$1431</f>
        <v>-5617.7256049238767</v>
      </c>
      <c r="AG1431" s="6">
        <f>$O$1431*$AA$1431</f>
        <v>-3084.2179982706007</v>
      </c>
    </row>
    <row r="1432" spans="1:33" ht="11.25" customHeight="1" x14ac:dyDescent="0.25">
      <c r="A1432" s="4" t="s">
        <v>59</v>
      </c>
      <c r="B1432" s="4" t="s">
        <v>22</v>
      </c>
      <c r="C1432" s="4" t="s">
        <v>23</v>
      </c>
      <c r="D1432" s="4" t="s">
        <v>24</v>
      </c>
      <c r="E1432" s="4" t="s">
        <v>34</v>
      </c>
      <c r="F1432" s="4" t="s">
        <v>25</v>
      </c>
      <c r="G1432" s="4" t="s">
        <v>25</v>
      </c>
      <c r="H1432" s="4" t="s">
        <v>25</v>
      </c>
      <c r="I1432" s="5">
        <v>44866</v>
      </c>
      <c r="J1432" s="6">
        <v>0</v>
      </c>
      <c r="K1432" s="6">
        <v>0</v>
      </c>
      <c r="L1432" s="6">
        <v>391.74</v>
      </c>
      <c r="M1432" s="6">
        <v>391.74</v>
      </c>
      <c r="N1432" s="6">
        <v>391.74</v>
      </c>
      <c r="O1432" s="6">
        <v>391.74</v>
      </c>
      <c r="P1432" s="6">
        <v>3327</v>
      </c>
      <c r="Q1432" s="4" t="s">
        <v>26</v>
      </c>
      <c r="R1432" s="4">
        <v>0</v>
      </c>
      <c r="S1432" s="6">
        <v>0</v>
      </c>
      <c r="T1432" s="6">
        <v>43</v>
      </c>
      <c r="U1432" s="6">
        <v>87</v>
      </c>
      <c r="V1432" s="6">
        <f>IF(ISERROR(VLOOKUP($S$1432,'TAR FIN'!$A$1:$O$115,15,0)),0,VLOOKUP($S$1432,'TAR FIN'!$A$1:$O$115,15,0))</f>
        <v>0</v>
      </c>
      <c r="W1432" s="6">
        <f>IF(ISERROR(VLOOKUP($T$1432,'TAR FIN'!$A$1:$O$115,15,0)),0,VLOOKUP($T$1432,'TAR FIN'!$A$1:$O$115,15,0))</f>
        <v>404.12</v>
      </c>
      <c r="X1432" s="6">
        <f>IF(ISERROR(VLOOKUP($U$1432,'TAR FIN'!$A$1:$O$115,15,0)),0,VLOOKUP($U$1432,'TAR FIN'!$A$1:$O$115,15,0))</f>
        <v>176.58</v>
      </c>
      <c r="Y1432" s="6"/>
      <c r="Z1432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432" s="6">
        <f>('TE BE'!$AB$24+'TE BF'!$AB$24+'TE CVA'!$AB$24)*(1-CUSTOS!$M$37)</f>
        <v>230.68197444058345</v>
      </c>
      <c r="AB1432" s="6">
        <f>$K$1432*$V$1432</f>
        <v>0</v>
      </c>
      <c r="AC1432" s="6">
        <f>$M$1432*$W$1432</f>
        <v>158309.9688</v>
      </c>
      <c r="AD1432" s="6">
        <f>$O$1432*$X$1432</f>
        <v>69173.449200000003</v>
      </c>
      <c r="AE1432" s="6">
        <f>$K$1432*$Y$1432</f>
        <v>0</v>
      </c>
      <c r="AF1432" s="6">
        <f ca="1">$M$1432*$Z$1432</f>
        <v>164598.9400503276</v>
      </c>
      <c r="AG1432" s="6">
        <f>$O$1432*$AA$1432</f>
        <v>90367.356667354165</v>
      </c>
    </row>
    <row r="1433" spans="1:33" ht="11.25" customHeight="1" x14ac:dyDescent="0.25">
      <c r="A1433" s="4" t="s">
        <v>59</v>
      </c>
      <c r="B1433" s="4" t="s">
        <v>22</v>
      </c>
      <c r="C1433" s="4" t="s">
        <v>23</v>
      </c>
      <c r="D1433" s="4" t="s">
        <v>24</v>
      </c>
      <c r="E1433" s="4" t="s">
        <v>34</v>
      </c>
      <c r="F1433" s="4" t="s">
        <v>25</v>
      </c>
      <c r="G1433" s="4" t="s">
        <v>25</v>
      </c>
      <c r="H1433" s="4" t="s">
        <v>25</v>
      </c>
      <c r="I1433" s="5">
        <v>44866</v>
      </c>
      <c r="J1433" s="6">
        <v>0</v>
      </c>
      <c r="K1433" s="6">
        <v>0</v>
      </c>
      <c r="L1433" s="6">
        <v>-46.872</v>
      </c>
      <c r="M1433" s="6">
        <v>-46.872</v>
      </c>
      <c r="N1433" s="6">
        <v>-46.872</v>
      </c>
      <c r="O1433" s="6">
        <v>-46.872</v>
      </c>
      <c r="P1433" s="6">
        <v>-52</v>
      </c>
      <c r="Q1433" s="4" t="s">
        <v>26</v>
      </c>
      <c r="R1433" s="4">
        <v>0</v>
      </c>
      <c r="S1433" s="6">
        <v>0</v>
      </c>
      <c r="T1433" s="6">
        <v>43</v>
      </c>
      <c r="U1433" s="6">
        <v>87</v>
      </c>
      <c r="V1433" s="6">
        <f>IF(ISERROR(VLOOKUP($S$1433,'TAR FIN'!$A$1:$O$115,15,0)),0,VLOOKUP($S$1433,'TAR FIN'!$A$1:$O$115,15,0))</f>
        <v>0</v>
      </c>
      <c r="W1433" s="6">
        <f>IF(ISERROR(VLOOKUP($T$1433,'TAR FIN'!$A$1:$O$115,15,0)),0,VLOOKUP($T$1433,'TAR FIN'!$A$1:$O$115,15,0))</f>
        <v>404.12</v>
      </c>
      <c r="X1433" s="6">
        <f>IF(ISERROR(VLOOKUP($U$1433,'TAR FIN'!$A$1:$O$115,15,0)),0,VLOOKUP($U$1433,'TAR FIN'!$A$1:$O$115,15,0))</f>
        <v>176.58</v>
      </c>
      <c r="Y1433" s="6"/>
      <c r="Z1433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433" s="6">
        <f>('TE BE'!$AB$24+'TE BF'!$AB$24+'TE CVA'!$AB$24)*(1-CUSTOS!$M$37)</f>
        <v>230.68197444058345</v>
      </c>
      <c r="AB1433" s="6">
        <f>$K$1433*$V$1433</f>
        <v>0</v>
      </c>
      <c r="AC1433" s="6">
        <f>$M$1433*$W$1433</f>
        <v>-18941.912639999999</v>
      </c>
      <c r="AD1433" s="6">
        <f>$O$1433*$X$1433</f>
        <v>-8276.6577600000001</v>
      </c>
      <c r="AE1433" s="6">
        <f>$K$1433*$Y$1433</f>
        <v>0</v>
      </c>
      <c r="AF1433" s="6">
        <f ca="1">$M$1433*$Z$1433</f>
        <v>-19694.393010769782</v>
      </c>
      <c r="AG1433" s="6">
        <f>$O$1433*$AA$1433</f>
        <v>-10812.525505979027</v>
      </c>
    </row>
    <row r="1434" spans="1:33" ht="11.25" customHeight="1" x14ac:dyDescent="0.25">
      <c r="A1434" s="4" t="s">
        <v>59</v>
      </c>
      <c r="B1434" s="4" t="s">
        <v>22</v>
      </c>
      <c r="C1434" s="4" t="s">
        <v>23</v>
      </c>
      <c r="D1434" s="4" t="s">
        <v>24</v>
      </c>
      <c r="E1434" s="4" t="s">
        <v>34</v>
      </c>
      <c r="F1434" s="4" t="s">
        <v>25</v>
      </c>
      <c r="G1434" s="4" t="s">
        <v>25</v>
      </c>
      <c r="H1434" s="4" t="s">
        <v>25</v>
      </c>
      <c r="I1434" s="5">
        <v>44866</v>
      </c>
      <c r="J1434" s="6">
        <v>0</v>
      </c>
      <c r="K1434" s="6">
        <v>0</v>
      </c>
      <c r="L1434" s="6">
        <v>10.426</v>
      </c>
      <c r="M1434" s="6">
        <v>10.426</v>
      </c>
      <c r="N1434" s="6">
        <v>10.426</v>
      </c>
      <c r="O1434" s="6">
        <v>10.426</v>
      </c>
      <c r="P1434" s="6">
        <v>60</v>
      </c>
      <c r="Q1434" s="4" t="s">
        <v>26</v>
      </c>
      <c r="R1434" s="4">
        <v>0</v>
      </c>
      <c r="S1434" s="6">
        <v>0</v>
      </c>
      <c r="T1434" s="6">
        <v>43</v>
      </c>
      <c r="U1434" s="6">
        <v>87</v>
      </c>
      <c r="V1434" s="6">
        <f>IF(ISERROR(VLOOKUP($S$1434,'TAR FIN'!$A$1:$O$115,15,0)),0,VLOOKUP($S$1434,'TAR FIN'!$A$1:$O$115,15,0))</f>
        <v>0</v>
      </c>
      <c r="W1434" s="6">
        <f>IF(ISERROR(VLOOKUP($T$1434,'TAR FIN'!$A$1:$O$115,15,0)),0,VLOOKUP($T$1434,'TAR FIN'!$A$1:$O$115,15,0))</f>
        <v>404.12</v>
      </c>
      <c r="X1434" s="6">
        <f>IF(ISERROR(VLOOKUP($U$1434,'TAR FIN'!$A$1:$O$115,15,0)),0,VLOOKUP($U$1434,'TAR FIN'!$A$1:$O$115,15,0))</f>
        <v>176.58</v>
      </c>
      <c r="Y1434" s="6"/>
      <c r="Z1434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1434" s="6">
        <f>('TE BE'!$AB$24+'TE BF'!$AB$24+'TE CVA'!$AB$24)*(1-CUSTOS!$M$37)</f>
        <v>230.68197444058345</v>
      </c>
      <c r="AB1434" s="6">
        <f>$K$1434*$V$1434</f>
        <v>0</v>
      </c>
      <c r="AC1434" s="6">
        <f>$M$1434*$W$1434</f>
        <v>4213.3551200000002</v>
      </c>
      <c r="AD1434" s="6">
        <f>$O$1434*$X$1434</f>
        <v>1841.0230800000002</v>
      </c>
      <c r="AE1434" s="6">
        <f>$K$1434*$Y$1434</f>
        <v>0</v>
      </c>
      <c r="AF1434" s="6">
        <f ca="1">$M$1434*$Z$1434</f>
        <v>4380.7335195913502</v>
      </c>
      <c r="AG1434" s="6">
        <f>$O$1434*$AA$1434</f>
        <v>2405.0902655175232</v>
      </c>
    </row>
    <row r="1435" spans="1:33" ht="11.25" customHeight="1" x14ac:dyDescent="0.25">
      <c r="A1435" s="4" t="s">
        <v>21</v>
      </c>
      <c r="B1435" s="4" t="s">
        <v>46</v>
      </c>
      <c r="C1435" s="4" t="s">
        <v>35</v>
      </c>
      <c r="D1435" s="4" t="s">
        <v>47</v>
      </c>
      <c r="E1435" s="4" t="s">
        <v>25</v>
      </c>
      <c r="F1435" s="4" t="s">
        <v>25</v>
      </c>
      <c r="G1435" s="4" t="s">
        <v>25</v>
      </c>
      <c r="H1435" s="4" t="s">
        <v>37</v>
      </c>
      <c r="I1435" s="5">
        <v>44531</v>
      </c>
      <c r="J1435" s="6">
        <v>0</v>
      </c>
      <c r="K1435" s="6">
        <v>0</v>
      </c>
      <c r="L1435" s="6">
        <v>5.8879999999999999</v>
      </c>
      <c r="M1435" s="6">
        <v>5.8879999999999999</v>
      </c>
      <c r="N1435" s="6">
        <v>5.8879999999999999</v>
      </c>
      <c r="O1435" s="6">
        <v>5.8879999999999999</v>
      </c>
      <c r="P1435" s="6">
        <v>0</v>
      </c>
      <c r="Q1435" s="4" t="s">
        <v>26</v>
      </c>
      <c r="R1435" s="4">
        <v>0</v>
      </c>
      <c r="S1435" s="6">
        <v>0</v>
      </c>
      <c r="T1435" s="6">
        <v>51</v>
      </c>
      <c r="U1435" s="6">
        <v>95</v>
      </c>
      <c r="V1435" s="6">
        <f>IF(ISERROR(VLOOKUP($S$1435,'TAR FIN'!$A$1:$O$115,15,0)),0,VLOOKUP($S$1435,'TAR FIN'!$A$1:$O$115,15,0))</f>
        <v>0</v>
      </c>
      <c r="W1435" s="6">
        <f>IF(ISERROR(VLOOKUP($T$1435,'TAR FIN'!$A$1:$O$115,15,0)),0,VLOOKUP($T$1435,'TAR FIN'!$A$1:$O$115,15,0))</f>
        <v>287.89999999999998</v>
      </c>
      <c r="X1435" s="6">
        <f>IF(ISERROR(VLOOKUP($U$1435,'TAR FIN'!$A$1:$O$115,15,0)),0,VLOOKUP($U$1435,'TAR FIN'!$A$1:$O$115,15,0))</f>
        <v>147.88999999999999</v>
      </c>
      <c r="Y1435" s="6"/>
      <c r="Z1435" s="6">
        <f ca="1">('TUSD BE'!$AM$49+'TUSD BF'!$AM$49+'TUSD CVA'!$AM$49)*(1-CUSTOS!$M$38)</f>
        <v>344.78762314316725</v>
      </c>
      <c r="AA1435" s="6">
        <f>('TE BE'!$AB$32+'TE BF'!$AB$32+'TE CVA'!$AB$32)*(1-CUSTOS!$M$38)</f>
        <v>205.56430218792661</v>
      </c>
      <c r="AB1435" s="6">
        <f>$K$1435*$V$1435</f>
        <v>0</v>
      </c>
      <c r="AC1435" s="6">
        <f>$M$1435*$W$1435</f>
        <v>1695.1551999999999</v>
      </c>
      <c r="AD1435" s="6">
        <f>$O$1435*$X$1435</f>
        <v>870.77631999999994</v>
      </c>
      <c r="AE1435" s="6">
        <f>$K$1435*$Y$1435</f>
        <v>0</v>
      </c>
      <c r="AF1435" s="6">
        <f ca="1">$M$1435*$Z$1435</f>
        <v>2030.1095250669687</v>
      </c>
      <c r="AG1435" s="6">
        <f>$O$1435*$AA$1435</f>
        <v>1210.3626112825118</v>
      </c>
    </row>
    <row r="1436" spans="1:33" ht="11.25" customHeight="1" x14ac:dyDescent="0.25">
      <c r="A1436" s="4" t="s">
        <v>28</v>
      </c>
      <c r="B1436" s="4" t="s">
        <v>46</v>
      </c>
      <c r="C1436" s="4" t="s">
        <v>35</v>
      </c>
      <c r="D1436" s="4" t="s">
        <v>47</v>
      </c>
      <c r="E1436" s="4" t="s">
        <v>25</v>
      </c>
      <c r="F1436" s="4" t="s">
        <v>25</v>
      </c>
      <c r="G1436" s="4" t="s">
        <v>25</v>
      </c>
      <c r="H1436" s="4" t="s">
        <v>37</v>
      </c>
      <c r="I1436" s="5">
        <v>44531</v>
      </c>
      <c r="J1436" s="6">
        <v>0</v>
      </c>
      <c r="K1436" s="6">
        <v>0</v>
      </c>
      <c r="L1436" s="6">
        <v>1.2999999999999999E-2</v>
      </c>
      <c r="M1436" s="6">
        <v>1.2999999999999999E-2</v>
      </c>
      <c r="N1436" s="6">
        <v>1.2999999999999999E-2</v>
      </c>
      <c r="O1436" s="6">
        <v>1.2999999999999999E-2</v>
      </c>
      <c r="P1436" s="6">
        <v>0</v>
      </c>
      <c r="Q1436" s="4" t="s">
        <v>26</v>
      </c>
      <c r="R1436" s="4">
        <v>0</v>
      </c>
      <c r="S1436" s="6">
        <v>0</v>
      </c>
      <c r="T1436" s="6">
        <v>51</v>
      </c>
      <c r="U1436" s="6">
        <v>95</v>
      </c>
      <c r="V1436" s="6">
        <f>IF(ISERROR(VLOOKUP($S$1436,'TAR FIN'!$A$1:$O$115,15,0)),0,VLOOKUP($S$1436,'TAR FIN'!$A$1:$O$115,15,0))</f>
        <v>0</v>
      </c>
      <c r="W1436" s="6">
        <f>IF(ISERROR(VLOOKUP($T$1436,'TAR FIN'!$A$1:$O$115,15,0)),0,VLOOKUP($T$1436,'TAR FIN'!$A$1:$O$115,15,0))</f>
        <v>287.89999999999998</v>
      </c>
      <c r="X1436" s="6">
        <f>IF(ISERROR(VLOOKUP($U$1436,'TAR FIN'!$A$1:$O$115,15,0)),0,VLOOKUP($U$1436,'TAR FIN'!$A$1:$O$115,15,0))</f>
        <v>147.88999999999999</v>
      </c>
      <c r="Y1436" s="6"/>
      <c r="Z1436" s="6">
        <f ca="1">('TUSD BE'!$AM$49+'TUSD BF'!$AM$49+'TUSD CVA'!$AM$49)*(1-CUSTOS!$M$38)</f>
        <v>344.78762314316725</v>
      </c>
      <c r="AA1436" s="6">
        <f>('TE BE'!$AB$32+'TE BF'!$AB$32+'TE CVA'!$AB$32)*(1-CUSTOS!$M$38)</f>
        <v>205.56430218792661</v>
      </c>
      <c r="AB1436" s="6">
        <f>$K$1436*$V$1436</f>
        <v>0</v>
      </c>
      <c r="AC1436" s="6">
        <f>$M$1436*$W$1436</f>
        <v>3.7426999999999997</v>
      </c>
      <c r="AD1436" s="6">
        <f>$O$1436*$X$1436</f>
        <v>1.9225699999999997</v>
      </c>
      <c r="AE1436" s="6">
        <f>$K$1436*$Y$1436</f>
        <v>0</v>
      </c>
      <c r="AF1436" s="6">
        <f ca="1">$M$1436*$Z$1436</f>
        <v>4.4822391008611744</v>
      </c>
      <c r="AG1436" s="6">
        <f>$O$1436*$AA$1436</f>
        <v>2.6723359284430459</v>
      </c>
    </row>
    <row r="1437" spans="1:33" ht="11.25" customHeight="1" x14ac:dyDescent="0.25">
      <c r="A1437" s="4" t="s">
        <v>21</v>
      </c>
      <c r="B1437" s="4" t="s">
        <v>46</v>
      </c>
      <c r="C1437" s="4" t="s">
        <v>35</v>
      </c>
      <c r="D1437" s="4" t="s">
        <v>47</v>
      </c>
      <c r="E1437" s="4" t="s">
        <v>25</v>
      </c>
      <c r="F1437" s="4" t="s">
        <v>25</v>
      </c>
      <c r="G1437" s="4" t="s">
        <v>25</v>
      </c>
      <c r="H1437" s="4" t="s">
        <v>37</v>
      </c>
      <c r="I1437" s="5">
        <v>44562</v>
      </c>
      <c r="J1437" s="6">
        <v>0</v>
      </c>
      <c r="K1437" s="6">
        <v>0</v>
      </c>
      <c r="L1437" s="6">
        <v>6.4119999999999999</v>
      </c>
      <c r="M1437" s="6">
        <v>6.4119999999999999</v>
      </c>
      <c r="N1437" s="6">
        <v>6.4119999999999999</v>
      </c>
      <c r="O1437" s="6">
        <v>6.4119999999999999</v>
      </c>
      <c r="P1437" s="6">
        <v>0</v>
      </c>
      <c r="Q1437" s="4" t="s">
        <v>26</v>
      </c>
      <c r="R1437" s="4">
        <v>0</v>
      </c>
      <c r="S1437" s="6">
        <v>0</v>
      </c>
      <c r="T1437" s="6">
        <v>51</v>
      </c>
      <c r="U1437" s="6">
        <v>95</v>
      </c>
      <c r="V1437" s="6">
        <f>IF(ISERROR(VLOOKUP($S$1437,'TAR FIN'!$A$1:$O$115,15,0)),0,VLOOKUP($S$1437,'TAR FIN'!$A$1:$O$115,15,0))</f>
        <v>0</v>
      </c>
      <c r="W1437" s="6">
        <f>IF(ISERROR(VLOOKUP($T$1437,'TAR FIN'!$A$1:$O$115,15,0)),0,VLOOKUP($T$1437,'TAR FIN'!$A$1:$O$115,15,0))</f>
        <v>287.89999999999998</v>
      </c>
      <c r="X1437" s="6">
        <f>IF(ISERROR(VLOOKUP($U$1437,'TAR FIN'!$A$1:$O$115,15,0)),0,VLOOKUP($U$1437,'TAR FIN'!$A$1:$O$115,15,0))</f>
        <v>147.88999999999999</v>
      </c>
      <c r="Y1437" s="6"/>
      <c r="Z1437" s="6">
        <f ca="1">('TUSD BE'!$AM$49+'TUSD BF'!$AM$49+'TUSD CVA'!$AM$49)*(1-CUSTOS!$M$38)</f>
        <v>344.78762314316725</v>
      </c>
      <c r="AA1437" s="6">
        <f>('TE BE'!$AB$32+'TE BF'!$AB$32+'TE CVA'!$AB$32)*(1-CUSTOS!$M$38)</f>
        <v>205.56430218792661</v>
      </c>
      <c r="AB1437" s="6">
        <f>$K$1437*$V$1437</f>
        <v>0</v>
      </c>
      <c r="AC1437" s="6">
        <f>$M$1437*$W$1437</f>
        <v>1846.0147999999999</v>
      </c>
      <c r="AD1437" s="6">
        <f>$O$1437*$X$1437</f>
        <v>948.27067999999986</v>
      </c>
      <c r="AE1437" s="6">
        <f>$K$1437*$Y$1437</f>
        <v>0</v>
      </c>
      <c r="AF1437" s="6">
        <f ca="1">$M$1437*$Z$1437</f>
        <v>2210.7782395939885</v>
      </c>
      <c r="AG1437" s="6">
        <f>$O$1437*$AA$1437</f>
        <v>1318.0783056289854</v>
      </c>
    </row>
    <row r="1438" spans="1:33" ht="11.25" customHeight="1" x14ac:dyDescent="0.25">
      <c r="A1438" s="4" t="s">
        <v>28</v>
      </c>
      <c r="B1438" s="4" t="s">
        <v>46</v>
      </c>
      <c r="C1438" s="4" t="s">
        <v>35</v>
      </c>
      <c r="D1438" s="4" t="s">
        <v>47</v>
      </c>
      <c r="E1438" s="4" t="s">
        <v>25</v>
      </c>
      <c r="F1438" s="4" t="s">
        <v>25</v>
      </c>
      <c r="G1438" s="4" t="s">
        <v>25</v>
      </c>
      <c r="H1438" s="4" t="s">
        <v>37</v>
      </c>
      <c r="I1438" s="5">
        <v>44562</v>
      </c>
      <c r="J1438" s="6">
        <v>0</v>
      </c>
      <c r="K1438" s="6">
        <v>0</v>
      </c>
      <c r="L1438" s="6">
        <v>0.223</v>
      </c>
      <c r="M1438" s="6">
        <v>0.223</v>
      </c>
      <c r="N1438" s="6">
        <v>0.223</v>
      </c>
      <c r="O1438" s="6">
        <v>0.223</v>
      </c>
      <c r="P1438" s="6">
        <v>0</v>
      </c>
      <c r="Q1438" s="4" t="s">
        <v>26</v>
      </c>
      <c r="R1438" s="4">
        <v>0</v>
      </c>
      <c r="S1438" s="6">
        <v>0</v>
      </c>
      <c r="T1438" s="6">
        <v>51</v>
      </c>
      <c r="U1438" s="6">
        <v>95</v>
      </c>
      <c r="V1438" s="6">
        <f>IF(ISERROR(VLOOKUP($S$1438,'TAR FIN'!$A$1:$O$115,15,0)),0,VLOOKUP($S$1438,'TAR FIN'!$A$1:$O$115,15,0))</f>
        <v>0</v>
      </c>
      <c r="W1438" s="6">
        <f>IF(ISERROR(VLOOKUP($T$1438,'TAR FIN'!$A$1:$O$115,15,0)),0,VLOOKUP($T$1438,'TAR FIN'!$A$1:$O$115,15,0))</f>
        <v>287.89999999999998</v>
      </c>
      <c r="X1438" s="6">
        <f>IF(ISERROR(VLOOKUP($U$1438,'TAR FIN'!$A$1:$O$115,15,0)),0,VLOOKUP($U$1438,'TAR FIN'!$A$1:$O$115,15,0))</f>
        <v>147.88999999999999</v>
      </c>
      <c r="Y1438" s="6"/>
      <c r="Z1438" s="6">
        <f ca="1">('TUSD BE'!$AM$49+'TUSD BF'!$AM$49+'TUSD CVA'!$AM$49)*(1-CUSTOS!$M$38)</f>
        <v>344.78762314316725</v>
      </c>
      <c r="AA1438" s="6">
        <f>('TE BE'!$AB$32+'TE BF'!$AB$32+'TE CVA'!$AB$32)*(1-CUSTOS!$M$38)</f>
        <v>205.56430218792661</v>
      </c>
      <c r="AB1438" s="6">
        <f>$K$1438*$V$1438</f>
        <v>0</v>
      </c>
      <c r="AC1438" s="6">
        <f>$M$1438*$W$1438</f>
        <v>64.201700000000002</v>
      </c>
      <c r="AD1438" s="6">
        <f>$O$1438*$X$1438</f>
        <v>32.979469999999999</v>
      </c>
      <c r="AE1438" s="6">
        <f>$K$1438*$Y$1438</f>
        <v>0</v>
      </c>
      <c r="AF1438" s="6">
        <f ca="1">$M$1438*$Z$1438</f>
        <v>76.887639960926293</v>
      </c>
      <c r="AG1438" s="6">
        <f>$O$1438*$AA$1438</f>
        <v>45.840839387907636</v>
      </c>
    </row>
    <row r="1439" spans="1:33" ht="11.25" customHeight="1" x14ac:dyDescent="0.25">
      <c r="A1439" s="4" t="s">
        <v>21</v>
      </c>
      <c r="B1439" s="4" t="s">
        <v>46</v>
      </c>
      <c r="C1439" s="4" t="s">
        <v>35</v>
      </c>
      <c r="D1439" s="4" t="s">
        <v>47</v>
      </c>
      <c r="E1439" s="4" t="s">
        <v>25</v>
      </c>
      <c r="F1439" s="4" t="s">
        <v>25</v>
      </c>
      <c r="G1439" s="4" t="s">
        <v>25</v>
      </c>
      <c r="H1439" s="4" t="s">
        <v>37</v>
      </c>
      <c r="I1439" s="5">
        <v>44593</v>
      </c>
      <c r="J1439" s="6">
        <v>0</v>
      </c>
      <c r="K1439" s="6">
        <v>0</v>
      </c>
      <c r="L1439" s="6">
        <v>5.51</v>
      </c>
      <c r="M1439" s="6">
        <v>5.51</v>
      </c>
      <c r="N1439" s="6">
        <v>5.51</v>
      </c>
      <c r="O1439" s="6">
        <v>5.51</v>
      </c>
      <c r="P1439" s="6">
        <v>0</v>
      </c>
      <c r="Q1439" s="4" t="s">
        <v>26</v>
      </c>
      <c r="R1439" s="4">
        <v>0</v>
      </c>
      <c r="S1439" s="6">
        <v>0</v>
      </c>
      <c r="T1439" s="6">
        <v>51</v>
      </c>
      <c r="U1439" s="6">
        <v>95</v>
      </c>
      <c r="V1439" s="6">
        <f>IF(ISERROR(VLOOKUP($S$1439,'TAR FIN'!$A$1:$O$115,15,0)),0,VLOOKUP($S$1439,'TAR FIN'!$A$1:$O$115,15,0))</f>
        <v>0</v>
      </c>
      <c r="W1439" s="6">
        <f>IF(ISERROR(VLOOKUP($T$1439,'TAR FIN'!$A$1:$O$115,15,0)),0,VLOOKUP($T$1439,'TAR FIN'!$A$1:$O$115,15,0))</f>
        <v>287.89999999999998</v>
      </c>
      <c r="X1439" s="6">
        <f>IF(ISERROR(VLOOKUP($U$1439,'TAR FIN'!$A$1:$O$115,15,0)),0,VLOOKUP($U$1439,'TAR FIN'!$A$1:$O$115,15,0))</f>
        <v>147.88999999999999</v>
      </c>
      <c r="Y1439" s="6"/>
      <c r="Z1439" s="6">
        <f ca="1">('TUSD BE'!$AM$49+'TUSD BF'!$AM$49+'TUSD CVA'!$AM$49)*(1-CUSTOS!$M$38)</f>
        <v>344.78762314316725</v>
      </c>
      <c r="AA1439" s="6">
        <f>('TE BE'!$AB$32+'TE BF'!$AB$32+'TE CVA'!$AB$32)*(1-CUSTOS!$M$38)</f>
        <v>205.56430218792661</v>
      </c>
      <c r="AB1439" s="6">
        <f>$K$1439*$V$1439</f>
        <v>0</v>
      </c>
      <c r="AC1439" s="6">
        <f>$M$1439*$W$1439</f>
        <v>1586.3289999999997</v>
      </c>
      <c r="AD1439" s="6">
        <f>$O$1439*$X$1439</f>
        <v>814.87389999999994</v>
      </c>
      <c r="AE1439" s="6">
        <f>$K$1439*$Y$1439</f>
        <v>0</v>
      </c>
      <c r="AF1439" s="6">
        <f ca="1">$M$1439*$Z$1439</f>
        <v>1899.7798035188514</v>
      </c>
      <c r="AG1439" s="6">
        <f>$O$1439*$AA$1439</f>
        <v>1132.6593050554757</v>
      </c>
    </row>
    <row r="1440" spans="1:33" ht="11.25" customHeight="1" x14ac:dyDescent="0.25">
      <c r="A1440" s="4" t="s">
        <v>28</v>
      </c>
      <c r="B1440" s="4" t="s">
        <v>46</v>
      </c>
      <c r="C1440" s="4" t="s">
        <v>35</v>
      </c>
      <c r="D1440" s="4" t="s">
        <v>47</v>
      </c>
      <c r="E1440" s="4" t="s">
        <v>25</v>
      </c>
      <c r="F1440" s="4" t="s">
        <v>25</v>
      </c>
      <c r="G1440" s="4" t="s">
        <v>25</v>
      </c>
      <c r="H1440" s="4" t="s">
        <v>37</v>
      </c>
      <c r="I1440" s="5">
        <v>44593</v>
      </c>
      <c r="J1440" s="6">
        <v>0</v>
      </c>
      <c r="K1440" s="6">
        <v>0</v>
      </c>
      <c r="L1440" s="6">
        <v>0.25</v>
      </c>
      <c r="M1440" s="6">
        <v>0.25</v>
      </c>
      <c r="N1440" s="6">
        <v>0.25</v>
      </c>
      <c r="O1440" s="6">
        <v>0.25</v>
      </c>
      <c r="P1440" s="6">
        <v>0</v>
      </c>
      <c r="Q1440" s="4" t="s">
        <v>26</v>
      </c>
      <c r="R1440" s="4">
        <v>0</v>
      </c>
      <c r="S1440" s="6">
        <v>0</v>
      </c>
      <c r="T1440" s="6">
        <v>51</v>
      </c>
      <c r="U1440" s="6">
        <v>95</v>
      </c>
      <c r="V1440" s="6">
        <f>IF(ISERROR(VLOOKUP($S$1440,'TAR FIN'!$A$1:$O$115,15,0)),0,VLOOKUP($S$1440,'TAR FIN'!$A$1:$O$115,15,0))</f>
        <v>0</v>
      </c>
      <c r="W1440" s="6">
        <f>IF(ISERROR(VLOOKUP($T$1440,'TAR FIN'!$A$1:$O$115,15,0)),0,VLOOKUP($T$1440,'TAR FIN'!$A$1:$O$115,15,0))</f>
        <v>287.89999999999998</v>
      </c>
      <c r="X1440" s="6">
        <f>IF(ISERROR(VLOOKUP($U$1440,'TAR FIN'!$A$1:$O$115,15,0)),0,VLOOKUP($U$1440,'TAR FIN'!$A$1:$O$115,15,0))</f>
        <v>147.88999999999999</v>
      </c>
      <c r="Y1440" s="6"/>
      <c r="Z1440" s="6">
        <f ca="1">('TUSD BE'!$AM$49+'TUSD BF'!$AM$49+'TUSD CVA'!$AM$49)*(1-CUSTOS!$M$38)</f>
        <v>344.78762314316725</v>
      </c>
      <c r="AA1440" s="6">
        <f>('TE BE'!$AB$32+'TE BF'!$AB$32+'TE CVA'!$AB$32)*(1-CUSTOS!$M$38)</f>
        <v>205.56430218792661</v>
      </c>
      <c r="AB1440" s="6">
        <f>$K$1440*$V$1440</f>
        <v>0</v>
      </c>
      <c r="AC1440" s="6">
        <f>$M$1440*$W$1440</f>
        <v>71.974999999999994</v>
      </c>
      <c r="AD1440" s="6">
        <f>$O$1440*$X$1440</f>
        <v>36.972499999999997</v>
      </c>
      <c r="AE1440" s="6">
        <f>$K$1440*$Y$1440</f>
        <v>0</v>
      </c>
      <c r="AF1440" s="6">
        <f ca="1">$M$1440*$Z$1440</f>
        <v>86.196905785791813</v>
      </c>
      <c r="AG1440" s="6">
        <f>$O$1440*$AA$1440</f>
        <v>51.391075546981654</v>
      </c>
    </row>
    <row r="1441" spans="1:33" ht="11.25" customHeight="1" x14ac:dyDescent="0.25">
      <c r="A1441" s="4" t="s">
        <v>21</v>
      </c>
      <c r="B1441" s="4" t="s">
        <v>46</v>
      </c>
      <c r="C1441" s="4" t="s">
        <v>35</v>
      </c>
      <c r="D1441" s="4" t="s">
        <v>47</v>
      </c>
      <c r="E1441" s="4" t="s">
        <v>25</v>
      </c>
      <c r="F1441" s="4" t="s">
        <v>25</v>
      </c>
      <c r="G1441" s="4" t="s">
        <v>25</v>
      </c>
      <c r="H1441" s="4" t="s">
        <v>37</v>
      </c>
      <c r="I1441" s="5">
        <v>44621</v>
      </c>
      <c r="J1441" s="6">
        <v>0</v>
      </c>
      <c r="K1441" s="6">
        <v>0</v>
      </c>
      <c r="L1441" s="6">
        <v>5.5250000000000004</v>
      </c>
      <c r="M1441" s="6">
        <v>5.5250000000000004</v>
      </c>
      <c r="N1441" s="6">
        <v>5.5250000000000004</v>
      </c>
      <c r="O1441" s="6">
        <v>5.5250000000000004</v>
      </c>
      <c r="P1441" s="6">
        <v>0</v>
      </c>
      <c r="Q1441" s="4" t="s">
        <v>26</v>
      </c>
      <c r="R1441" s="4">
        <v>0</v>
      </c>
      <c r="S1441" s="6">
        <v>0</v>
      </c>
      <c r="T1441" s="6">
        <v>51</v>
      </c>
      <c r="U1441" s="6">
        <v>95</v>
      </c>
      <c r="V1441" s="6">
        <f>IF(ISERROR(VLOOKUP($S$1441,'TAR FIN'!$A$1:$O$115,15,0)),0,VLOOKUP($S$1441,'TAR FIN'!$A$1:$O$115,15,0))</f>
        <v>0</v>
      </c>
      <c r="W1441" s="6">
        <f>IF(ISERROR(VLOOKUP($T$1441,'TAR FIN'!$A$1:$O$115,15,0)),0,VLOOKUP($T$1441,'TAR FIN'!$A$1:$O$115,15,0))</f>
        <v>287.89999999999998</v>
      </c>
      <c r="X1441" s="6">
        <f>IF(ISERROR(VLOOKUP($U$1441,'TAR FIN'!$A$1:$O$115,15,0)),0,VLOOKUP($U$1441,'TAR FIN'!$A$1:$O$115,15,0))</f>
        <v>147.88999999999999</v>
      </c>
      <c r="Y1441" s="6"/>
      <c r="Z1441" s="6">
        <f ca="1">('TUSD BE'!$AM$49+'TUSD BF'!$AM$49+'TUSD CVA'!$AM$49)*(1-CUSTOS!$M$38)</f>
        <v>344.78762314316725</v>
      </c>
      <c r="AA1441" s="6">
        <f>('TE BE'!$AB$32+'TE BF'!$AB$32+'TE CVA'!$AB$32)*(1-CUSTOS!$M$38)</f>
        <v>205.56430218792661</v>
      </c>
      <c r="AB1441" s="6">
        <f>$K$1441*$V$1441</f>
        <v>0</v>
      </c>
      <c r="AC1441" s="6">
        <f>$M$1441*$W$1441</f>
        <v>1590.6475</v>
      </c>
      <c r="AD1441" s="6">
        <f>$O$1441*$X$1441</f>
        <v>817.09224999999992</v>
      </c>
      <c r="AE1441" s="6">
        <f>$K$1441*$Y$1441</f>
        <v>0</v>
      </c>
      <c r="AF1441" s="6">
        <f ca="1">$M$1441*$Z$1441</f>
        <v>1904.9516178659992</v>
      </c>
      <c r="AG1441" s="6">
        <f>$O$1441*$AA$1441</f>
        <v>1135.7427695882945</v>
      </c>
    </row>
    <row r="1442" spans="1:33" ht="11.25" customHeight="1" x14ac:dyDescent="0.25">
      <c r="A1442" s="4" t="s">
        <v>21</v>
      </c>
      <c r="B1442" s="4" t="s">
        <v>46</v>
      </c>
      <c r="C1442" s="4" t="s">
        <v>35</v>
      </c>
      <c r="D1442" s="4" t="s">
        <v>47</v>
      </c>
      <c r="E1442" s="4" t="s">
        <v>25</v>
      </c>
      <c r="F1442" s="4" t="s">
        <v>25</v>
      </c>
      <c r="G1442" s="4" t="s">
        <v>25</v>
      </c>
      <c r="H1442" s="4" t="s">
        <v>37</v>
      </c>
      <c r="I1442" s="5">
        <v>44652</v>
      </c>
      <c r="J1442" s="6">
        <v>0</v>
      </c>
      <c r="K1442" s="6">
        <v>0</v>
      </c>
      <c r="L1442" s="6">
        <v>4.8090000000000002</v>
      </c>
      <c r="M1442" s="6">
        <v>4.8090000000000002</v>
      </c>
      <c r="N1442" s="6">
        <v>4.8090000000000002</v>
      </c>
      <c r="O1442" s="6">
        <v>4.8090000000000002</v>
      </c>
      <c r="P1442" s="6">
        <v>0</v>
      </c>
      <c r="Q1442" s="4" t="s">
        <v>26</v>
      </c>
      <c r="R1442" s="4">
        <v>0</v>
      </c>
      <c r="S1442" s="6">
        <v>0</v>
      </c>
      <c r="T1442" s="6">
        <v>51</v>
      </c>
      <c r="U1442" s="6">
        <v>95</v>
      </c>
      <c r="V1442" s="6">
        <f>IF(ISERROR(VLOOKUP($S$1442,'TAR FIN'!$A$1:$O$115,15,0)),0,VLOOKUP($S$1442,'TAR FIN'!$A$1:$O$115,15,0))</f>
        <v>0</v>
      </c>
      <c r="W1442" s="6">
        <f>IF(ISERROR(VLOOKUP($T$1442,'TAR FIN'!$A$1:$O$115,15,0)),0,VLOOKUP($T$1442,'TAR FIN'!$A$1:$O$115,15,0))</f>
        <v>287.89999999999998</v>
      </c>
      <c r="X1442" s="6">
        <f>IF(ISERROR(VLOOKUP($U$1442,'TAR FIN'!$A$1:$O$115,15,0)),0,VLOOKUP($U$1442,'TAR FIN'!$A$1:$O$115,15,0))</f>
        <v>147.88999999999999</v>
      </c>
      <c r="Y1442" s="6"/>
      <c r="Z1442" s="6">
        <f ca="1">('TUSD BE'!$AM$49+'TUSD BF'!$AM$49+'TUSD CVA'!$AM$49)*(1-CUSTOS!$M$38)</f>
        <v>344.78762314316725</v>
      </c>
      <c r="AA1442" s="6">
        <f>('TE BE'!$AB$32+'TE BF'!$AB$32+'TE CVA'!$AB$32)*(1-CUSTOS!$M$38)</f>
        <v>205.56430218792661</v>
      </c>
      <c r="AB1442" s="6">
        <f>$K$1442*$V$1442</f>
        <v>0</v>
      </c>
      <c r="AC1442" s="6">
        <f>$M$1442*$W$1442</f>
        <v>1384.5110999999999</v>
      </c>
      <c r="AD1442" s="6">
        <f>$O$1442*$X$1442</f>
        <v>711.20300999999995</v>
      </c>
      <c r="AE1442" s="6">
        <f>$K$1442*$Y$1442</f>
        <v>0</v>
      </c>
      <c r="AF1442" s="6">
        <f ca="1">$M$1442*$Z$1442</f>
        <v>1658.0836796954914</v>
      </c>
      <c r="AG1442" s="6">
        <f>$O$1442*$AA$1442</f>
        <v>988.5587292217391</v>
      </c>
    </row>
    <row r="1443" spans="1:33" ht="11.25" customHeight="1" x14ac:dyDescent="0.25">
      <c r="A1443" s="4" t="s">
        <v>21</v>
      </c>
      <c r="B1443" s="4" t="s">
        <v>46</v>
      </c>
      <c r="C1443" s="4" t="s">
        <v>35</v>
      </c>
      <c r="D1443" s="4" t="s">
        <v>47</v>
      </c>
      <c r="E1443" s="4" t="s">
        <v>25</v>
      </c>
      <c r="F1443" s="4" t="s">
        <v>25</v>
      </c>
      <c r="G1443" s="4" t="s">
        <v>25</v>
      </c>
      <c r="H1443" s="4" t="s">
        <v>37</v>
      </c>
      <c r="I1443" s="5">
        <v>44682</v>
      </c>
      <c r="J1443" s="6">
        <v>0</v>
      </c>
      <c r="K1443" s="6">
        <v>0</v>
      </c>
      <c r="L1443" s="6">
        <v>6.3789999999999996</v>
      </c>
      <c r="M1443" s="6">
        <v>6.3789999999999996</v>
      </c>
      <c r="N1443" s="6">
        <v>6.3789999999999996</v>
      </c>
      <c r="O1443" s="6">
        <v>6.3789999999999996</v>
      </c>
      <c r="P1443" s="6">
        <v>0</v>
      </c>
      <c r="Q1443" s="4" t="s">
        <v>26</v>
      </c>
      <c r="R1443" s="4">
        <v>0</v>
      </c>
      <c r="S1443" s="6">
        <v>0</v>
      </c>
      <c r="T1443" s="6">
        <v>51</v>
      </c>
      <c r="U1443" s="6">
        <v>95</v>
      </c>
      <c r="V1443" s="6">
        <f>IF(ISERROR(VLOOKUP($S$1443,'TAR FIN'!$A$1:$O$115,15,0)),0,VLOOKUP($S$1443,'TAR FIN'!$A$1:$O$115,15,0))</f>
        <v>0</v>
      </c>
      <c r="W1443" s="6">
        <f>IF(ISERROR(VLOOKUP($T$1443,'TAR FIN'!$A$1:$O$115,15,0)),0,VLOOKUP($T$1443,'TAR FIN'!$A$1:$O$115,15,0))</f>
        <v>287.89999999999998</v>
      </c>
      <c r="X1443" s="6">
        <f>IF(ISERROR(VLOOKUP($U$1443,'TAR FIN'!$A$1:$O$115,15,0)),0,VLOOKUP($U$1443,'TAR FIN'!$A$1:$O$115,15,0))</f>
        <v>147.88999999999999</v>
      </c>
      <c r="Y1443" s="6"/>
      <c r="Z1443" s="6">
        <f ca="1">('TUSD BE'!$AM$49+'TUSD BF'!$AM$49+'TUSD CVA'!$AM$49)*(1-CUSTOS!$M$38)</f>
        <v>344.78762314316725</v>
      </c>
      <c r="AA1443" s="6">
        <f>('TE BE'!$AB$32+'TE BF'!$AB$32+'TE CVA'!$AB$32)*(1-CUSTOS!$M$38)</f>
        <v>205.56430218792661</v>
      </c>
      <c r="AB1443" s="6">
        <f>$K$1443*$V$1443</f>
        <v>0</v>
      </c>
      <c r="AC1443" s="6">
        <f>$M$1443*$W$1443</f>
        <v>1836.5140999999996</v>
      </c>
      <c r="AD1443" s="6">
        <f>$O$1443*$X$1443</f>
        <v>943.39030999999989</v>
      </c>
      <c r="AE1443" s="6">
        <f>$K$1443*$Y$1443</f>
        <v>0</v>
      </c>
      <c r="AF1443" s="6">
        <f ca="1">$M$1443*$Z$1443</f>
        <v>2199.4002480302638</v>
      </c>
      <c r="AG1443" s="6">
        <f>$O$1443*$AA$1443</f>
        <v>1311.2946836567837</v>
      </c>
    </row>
    <row r="1444" spans="1:33" ht="11.25" customHeight="1" x14ac:dyDescent="0.25">
      <c r="A1444" s="4" t="s">
        <v>21</v>
      </c>
      <c r="B1444" s="4" t="s">
        <v>46</v>
      </c>
      <c r="C1444" s="4" t="s">
        <v>35</v>
      </c>
      <c r="D1444" s="4" t="s">
        <v>47</v>
      </c>
      <c r="E1444" s="4" t="s">
        <v>25</v>
      </c>
      <c r="F1444" s="4" t="s">
        <v>25</v>
      </c>
      <c r="G1444" s="4" t="s">
        <v>25</v>
      </c>
      <c r="H1444" s="4" t="s">
        <v>37</v>
      </c>
      <c r="I1444" s="5">
        <v>44713</v>
      </c>
      <c r="J1444" s="6">
        <v>0</v>
      </c>
      <c r="K1444" s="6">
        <v>0</v>
      </c>
      <c r="L1444" s="6">
        <v>5.6680000000000001</v>
      </c>
      <c r="M1444" s="6">
        <v>5.6680000000000001</v>
      </c>
      <c r="N1444" s="6">
        <v>5.6680000000000001</v>
      </c>
      <c r="O1444" s="6">
        <v>5.6680000000000001</v>
      </c>
      <c r="P1444" s="6">
        <v>0</v>
      </c>
      <c r="Q1444" s="4" t="s">
        <v>26</v>
      </c>
      <c r="R1444" s="4">
        <v>0</v>
      </c>
      <c r="S1444" s="6">
        <v>0</v>
      </c>
      <c r="T1444" s="6">
        <v>51</v>
      </c>
      <c r="U1444" s="6">
        <v>95</v>
      </c>
      <c r="V1444" s="6">
        <f>IF(ISERROR(VLOOKUP($S$1444,'TAR FIN'!$A$1:$O$115,15,0)),0,VLOOKUP($S$1444,'TAR FIN'!$A$1:$O$115,15,0))</f>
        <v>0</v>
      </c>
      <c r="W1444" s="6">
        <f>IF(ISERROR(VLOOKUP($T$1444,'TAR FIN'!$A$1:$O$115,15,0)),0,VLOOKUP($T$1444,'TAR FIN'!$A$1:$O$115,15,0))</f>
        <v>287.89999999999998</v>
      </c>
      <c r="X1444" s="6">
        <f>IF(ISERROR(VLOOKUP($U$1444,'TAR FIN'!$A$1:$O$115,15,0)),0,VLOOKUP($U$1444,'TAR FIN'!$A$1:$O$115,15,0))</f>
        <v>147.88999999999999</v>
      </c>
      <c r="Y1444" s="6"/>
      <c r="Z1444" s="6">
        <f ca="1">('TUSD BE'!$AM$49+'TUSD BF'!$AM$49+'TUSD CVA'!$AM$49)*(1-CUSTOS!$M$38)</f>
        <v>344.78762314316725</v>
      </c>
      <c r="AA1444" s="6">
        <f>('TE BE'!$AB$32+'TE BF'!$AB$32+'TE CVA'!$AB$32)*(1-CUSTOS!$M$38)</f>
        <v>205.56430218792661</v>
      </c>
      <c r="AB1444" s="6">
        <f>$K$1444*$V$1444</f>
        <v>0</v>
      </c>
      <c r="AC1444" s="6">
        <f>$M$1444*$W$1444</f>
        <v>1631.8172</v>
      </c>
      <c r="AD1444" s="6">
        <f>$O$1444*$X$1444</f>
        <v>838.24051999999995</v>
      </c>
      <c r="AE1444" s="6">
        <f>$K$1444*$Y$1444</f>
        <v>0</v>
      </c>
      <c r="AF1444" s="6">
        <f ca="1">$M$1444*$Z$1444</f>
        <v>1954.256247975472</v>
      </c>
      <c r="AG1444" s="6">
        <f>$O$1444*$AA$1444</f>
        <v>1165.1384648011681</v>
      </c>
    </row>
    <row r="1445" spans="1:33" ht="11.25" customHeight="1" x14ac:dyDescent="0.25">
      <c r="A1445" s="4" t="s">
        <v>21</v>
      </c>
      <c r="B1445" s="4" t="s">
        <v>46</v>
      </c>
      <c r="C1445" s="4" t="s">
        <v>35</v>
      </c>
      <c r="D1445" s="4" t="s">
        <v>47</v>
      </c>
      <c r="E1445" s="4" t="s">
        <v>25</v>
      </c>
      <c r="F1445" s="4" t="s">
        <v>25</v>
      </c>
      <c r="G1445" s="4" t="s">
        <v>25</v>
      </c>
      <c r="H1445" s="4" t="s">
        <v>37</v>
      </c>
      <c r="I1445" s="5">
        <v>44743</v>
      </c>
      <c r="J1445" s="6">
        <v>0</v>
      </c>
      <c r="K1445" s="6">
        <v>0</v>
      </c>
      <c r="L1445" s="6">
        <v>5.7770000000000001</v>
      </c>
      <c r="M1445" s="6">
        <v>5.7770000000000001</v>
      </c>
      <c r="N1445" s="6">
        <v>5.7770000000000001</v>
      </c>
      <c r="O1445" s="6">
        <v>5.7770000000000001</v>
      </c>
      <c r="P1445" s="6">
        <v>0</v>
      </c>
      <c r="Q1445" s="4" t="s">
        <v>26</v>
      </c>
      <c r="R1445" s="4">
        <v>0</v>
      </c>
      <c r="S1445" s="6">
        <v>0</v>
      </c>
      <c r="T1445" s="6">
        <v>51</v>
      </c>
      <c r="U1445" s="6">
        <v>95</v>
      </c>
      <c r="V1445" s="6">
        <f>IF(ISERROR(VLOOKUP($S$1445,'TAR FIN'!$A$1:$O$115,15,0)),0,VLOOKUP($S$1445,'TAR FIN'!$A$1:$O$115,15,0))</f>
        <v>0</v>
      </c>
      <c r="W1445" s="6">
        <f>IF(ISERROR(VLOOKUP($T$1445,'TAR FIN'!$A$1:$O$115,15,0)),0,VLOOKUP($T$1445,'TAR FIN'!$A$1:$O$115,15,0))</f>
        <v>287.89999999999998</v>
      </c>
      <c r="X1445" s="6">
        <f>IF(ISERROR(VLOOKUP($U$1445,'TAR FIN'!$A$1:$O$115,15,0)),0,VLOOKUP($U$1445,'TAR FIN'!$A$1:$O$115,15,0))</f>
        <v>147.88999999999999</v>
      </c>
      <c r="Y1445" s="6"/>
      <c r="Z1445" s="6">
        <f ca="1">('TUSD BE'!$AM$49+'TUSD BF'!$AM$49+'TUSD CVA'!$AM$49)*(1-CUSTOS!$M$38)</f>
        <v>344.78762314316725</v>
      </c>
      <c r="AA1445" s="6">
        <f>('TE BE'!$AB$32+'TE BF'!$AB$32+'TE CVA'!$AB$32)*(1-CUSTOS!$M$38)</f>
        <v>205.56430218792661</v>
      </c>
      <c r="AB1445" s="6">
        <f>$K$1445*$V$1445</f>
        <v>0</v>
      </c>
      <c r="AC1445" s="6">
        <f>$M$1445*$W$1445</f>
        <v>1663.1983</v>
      </c>
      <c r="AD1445" s="6">
        <f>$O$1445*$X$1445</f>
        <v>854.36052999999993</v>
      </c>
      <c r="AE1445" s="6">
        <f>$K$1445*$Y$1445</f>
        <v>0</v>
      </c>
      <c r="AF1445" s="6">
        <f ca="1">$M$1445*$Z$1445</f>
        <v>1991.8380988980773</v>
      </c>
      <c r="AG1445" s="6">
        <f>$O$1445*$AA$1445</f>
        <v>1187.5449737396521</v>
      </c>
    </row>
    <row r="1446" spans="1:33" ht="11.25" customHeight="1" x14ac:dyDescent="0.25">
      <c r="A1446" s="4" t="s">
        <v>21</v>
      </c>
      <c r="B1446" s="4" t="s">
        <v>46</v>
      </c>
      <c r="C1446" s="4" t="s">
        <v>35</v>
      </c>
      <c r="D1446" s="4" t="s">
        <v>47</v>
      </c>
      <c r="E1446" s="4" t="s">
        <v>25</v>
      </c>
      <c r="F1446" s="4" t="s">
        <v>25</v>
      </c>
      <c r="G1446" s="4" t="s">
        <v>25</v>
      </c>
      <c r="H1446" s="4" t="s">
        <v>37</v>
      </c>
      <c r="I1446" s="5">
        <v>44774</v>
      </c>
      <c r="J1446" s="6">
        <v>0</v>
      </c>
      <c r="K1446" s="6">
        <v>0</v>
      </c>
      <c r="L1446" s="6">
        <v>7.75</v>
      </c>
      <c r="M1446" s="6">
        <v>7.75</v>
      </c>
      <c r="N1446" s="6">
        <v>7.75</v>
      </c>
      <c r="O1446" s="6">
        <v>7.75</v>
      </c>
      <c r="P1446" s="6">
        <v>0</v>
      </c>
      <c r="Q1446" s="4" t="s">
        <v>26</v>
      </c>
      <c r="R1446" s="4">
        <v>0</v>
      </c>
      <c r="S1446" s="6">
        <v>0</v>
      </c>
      <c r="T1446" s="6">
        <v>51</v>
      </c>
      <c r="U1446" s="6">
        <v>95</v>
      </c>
      <c r="V1446" s="6">
        <f>IF(ISERROR(VLOOKUP($S$1446,'TAR FIN'!$A$1:$O$115,15,0)),0,VLOOKUP($S$1446,'TAR FIN'!$A$1:$O$115,15,0))</f>
        <v>0</v>
      </c>
      <c r="W1446" s="6">
        <f>IF(ISERROR(VLOOKUP($T$1446,'TAR FIN'!$A$1:$O$115,15,0)),0,VLOOKUP($T$1446,'TAR FIN'!$A$1:$O$115,15,0))</f>
        <v>287.89999999999998</v>
      </c>
      <c r="X1446" s="6">
        <f>IF(ISERROR(VLOOKUP($U$1446,'TAR FIN'!$A$1:$O$115,15,0)),0,VLOOKUP($U$1446,'TAR FIN'!$A$1:$O$115,15,0))</f>
        <v>147.88999999999999</v>
      </c>
      <c r="Y1446" s="6"/>
      <c r="Z1446" s="6">
        <f ca="1">('TUSD BE'!$AM$49+'TUSD BF'!$AM$49+'TUSD CVA'!$AM$49)*(1-CUSTOS!$M$38)</f>
        <v>344.78762314316725</v>
      </c>
      <c r="AA1446" s="6">
        <f>('TE BE'!$AB$32+'TE BF'!$AB$32+'TE CVA'!$AB$32)*(1-CUSTOS!$M$38)</f>
        <v>205.56430218792661</v>
      </c>
      <c r="AB1446" s="6">
        <f>$K$1446*$V$1446</f>
        <v>0</v>
      </c>
      <c r="AC1446" s="6">
        <f>$M$1446*$W$1446</f>
        <v>2231.2249999999999</v>
      </c>
      <c r="AD1446" s="6">
        <f>$O$1446*$X$1446</f>
        <v>1146.1474999999998</v>
      </c>
      <c r="AE1446" s="6">
        <f>$K$1446*$Y$1446</f>
        <v>0</v>
      </c>
      <c r="AF1446" s="6">
        <f ca="1">$M$1446*$Z$1446</f>
        <v>2672.1040793595462</v>
      </c>
      <c r="AG1446" s="6">
        <f>$O$1446*$AA$1446</f>
        <v>1593.1233419564312</v>
      </c>
    </row>
    <row r="1447" spans="1:33" ht="11.25" customHeight="1" x14ac:dyDescent="0.25">
      <c r="A1447" s="4" t="s">
        <v>21</v>
      </c>
      <c r="B1447" s="4" t="s">
        <v>46</v>
      </c>
      <c r="C1447" s="4" t="s">
        <v>35</v>
      </c>
      <c r="D1447" s="4" t="s">
        <v>47</v>
      </c>
      <c r="E1447" s="4" t="s">
        <v>25</v>
      </c>
      <c r="F1447" s="4" t="s">
        <v>25</v>
      </c>
      <c r="G1447" s="4" t="s">
        <v>25</v>
      </c>
      <c r="H1447" s="4" t="s">
        <v>37</v>
      </c>
      <c r="I1447" s="5">
        <v>44805</v>
      </c>
      <c r="J1447" s="6">
        <v>0</v>
      </c>
      <c r="K1447" s="6">
        <v>0</v>
      </c>
      <c r="L1447" s="6">
        <v>6.0750000000000002</v>
      </c>
      <c r="M1447" s="6">
        <v>6.0750000000000002</v>
      </c>
      <c r="N1447" s="6">
        <v>6.0750000000000002</v>
      </c>
      <c r="O1447" s="6">
        <v>6.0750000000000002</v>
      </c>
      <c r="P1447" s="6">
        <v>0</v>
      </c>
      <c r="Q1447" s="4" t="s">
        <v>26</v>
      </c>
      <c r="R1447" s="4">
        <v>0</v>
      </c>
      <c r="S1447" s="6">
        <v>0</v>
      </c>
      <c r="T1447" s="6">
        <v>51</v>
      </c>
      <c r="U1447" s="6">
        <v>95</v>
      </c>
      <c r="V1447" s="6">
        <f>IF(ISERROR(VLOOKUP($S$1447,'TAR FIN'!$A$1:$O$115,15,0)),0,VLOOKUP($S$1447,'TAR FIN'!$A$1:$O$115,15,0))</f>
        <v>0</v>
      </c>
      <c r="W1447" s="6">
        <f>IF(ISERROR(VLOOKUP($T$1447,'TAR FIN'!$A$1:$O$115,15,0)),0,VLOOKUP($T$1447,'TAR FIN'!$A$1:$O$115,15,0))</f>
        <v>287.89999999999998</v>
      </c>
      <c r="X1447" s="6">
        <f>IF(ISERROR(VLOOKUP($U$1447,'TAR FIN'!$A$1:$O$115,15,0)),0,VLOOKUP($U$1447,'TAR FIN'!$A$1:$O$115,15,0))</f>
        <v>147.88999999999999</v>
      </c>
      <c r="Y1447" s="6"/>
      <c r="Z1447" s="6">
        <f ca="1">('TUSD BE'!$AM$49+'TUSD BF'!$AM$49+'TUSD CVA'!$AM$49)*(1-CUSTOS!$M$38)</f>
        <v>344.78762314316725</v>
      </c>
      <c r="AA1447" s="6">
        <f>('TE BE'!$AB$32+'TE BF'!$AB$32+'TE CVA'!$AB$32)*(1-CUSTOS!$M$38)</f>
        <v>205.56430218792661</v>
      </c>
      <c r="AB1447" s="6">
        <f>$K$1447*$V$1447</f>
        <v>0</v>
      </c>
      <c r="AC1447" s="6">
        <f>$M$1447*$W$1447</f>
        <v>1748.9924999999998</v>
      </c>
      <c r="AD1447" s="6">
        <f>$O$1447*$X$1447</f>
        <v>898.43174999999997</v>
      </c>
      <c r="AE1447" s="6">
        <f>$K$1447*$Y$1447</f>
        <v>0</v>
      </c>
      <c r="AF1447" s="6">
        <f ca="1">$M$1447*$Z$1447</f>
        <v>2094.5848105947412</v>
      </c>
      <c r="AG1447" s="6">
        <f>$O$1447*$AA$1447</f>
        <v>1248.8031357916543</v>
      </c>
    </row>
    <row r="1448" spans="1:33" ht="11.25" customHeight="1" x14ac:dyDescent="0.25">
      <c r="A1448" s="4" t="s">
        <v>21</v>
      </c>
      <c r="B1448" s="4" t="s">
        <v>46</v>
      </c>
      <c r="C1448" s="4" t="s">
        <v>35</v>
      </c>
      <c r="D1448" s="4" t="s">
        <v>47</v>
      </c>
      <c r="E1448" s="4" t="s">
        <v>25</v>
      </c>
      <c r="F1448" s="4" t="s">
        <v>25</v>
      </c>
      <c r="G1448" s="4" t="s">
        <v>25</v>
      </c>
      <c r="H1448" s="4" t="s">
        <v>37</v>
      </c>
      <c r="I1448" s="5">
        <v>44835</v>
      </c>
      <c r="J1448" s="6">
        <v>0</v>
      </c>
      <c r="K1448" s="6">
        <v>0</v>
      </c>
      <c r="L1448" s="6">
        <v>6.5540000000000003</v>
      </c>
      <c r="M1448" s="6">
        <v>6.5540000000000003</v>
      </c>
      <c r="N1448" s="6">
        <v>6.5540000000000003</v>
      </c>
      <c r="O1448" s="6">
        <v>6.5540000000000003</v>
      </c>
      <c r="P1448" s="6">
        <v>0</v>
      </c>
      <c r="Q1448" s="4" t="s">
        <v>26</v>
      </c>
      <c r="R1448" s="4">
        <v>0</v>
      </c>
      <c r="S1448" s="6">
        <v>0</v>
      </c>
      <c r="T1448" s="6">
        <v>51</v>
      </c>
      <c r="U1448" s="6">
        <v>95</v>
      </c>
      <c r="V1448" s="6">
        <f>IF(ISERROR(VLOOKUP($S$1448,'TAR FIN'!$A$1:$O$115,15,0)),0,VLOOKUP($S$1448,'TAR FIN'!$A$1:$O$115,15,0))</f>
        <v>0</v>
      </c>
      <c r="W1448" s="6">
        <f>IF(ISERROR(VLOOKUP($T$1448,'TAR FIN'!$A$1:$O$115,15,0)),0,VLOOKUP($T$1448,'TAR FIN'!$A$1:$O$115,15,0))</f>
        <v>287.89999999999998</v>
      </c>
      <c r="X1448" s="6">
        <f>IF(ISERROR(VLOOKUP($U$1448,'TAR FIN'!$A$1:$O$115,15,0)),0,VLOOKUP($U$1448,'TAR FIN'!$A$1:$O$115,15,0))</f>
        <v>147.88999999999999</v>
      </c>
      <c r="Y1448" s="6"/>
      <c r="Z1448" s="6">
        <f ca="1">('TUSD BE'!$AM$49+'TUSD BF'!$AM$49+'TUSD CVA'!$AM$49)*(1-CUSTOS!$M$38)</f>
        <v>344.78762314316725</v>
      </c>
      <c r="AA1448" s="6">
        <f>('TE BE'!$AB$32+'TE BF'!$AB$32+'TE CVA'!$AB$32)*(1-CUSTOS!$M$38)</f>
        <v>205.56430218792661</v>
      </c>
      <c r="AB1448" s="6">
        <f>$K$1448*$V$1448</f>
        <v>0</v>
      </c>
      <c r="AC1448" s="6">
        <f>$M$1448*$W$1448</f>
        <v>1886.8966</v>
      </c>
      <c r="AD1448" s="6">
        <f>$O$1448*$X$1448</f>
        <v>969.27105999999992</v>
      </c>
      <c r="AE1448" s="6">
        <f>$K$1448*$Y$1448</f>
        <v>0</v>
      </c>
      <c r="AF1448" s="6">
        <f ca="1">$M$1448*$Z$1448</f>
        <v>2259.7380820803182</v>
      </c>
      <c r="AG1448" s="6">
        <f>$O$1448*$AA$1448</f>
        <v>1347.268436539671</v>
      </c>
    </row>
    <row r="1449" spans="1:33" ht="11.25" customHeight="1" x14ac:dyDescent="0.25">
      <c r="A1449" s="4" t="s">
        <v>59</v>
      </c>
      <c r="B1449" s="4" t="s">
        <v>46</v>
      </c>
      <c r="C1449" s="4" t="s">
        <v>35</v>
      </c>
      <c r="D1449" s="4" t="s">
        <v>47</v>
      </c>
      <c r="E1449" s="4" t="s">
        <v>25</v>
      </c>
      <c r="F1449" s="4" t="s">
        <v>25</v>
      </c>
      <c r="G1449" s="4" t="s">
        <v>25</v>
      </c>
      <c r="H1449" s="4" t="s">
        <v>37</v>
      </c>
      <c r="I1449" s="5">
        <v>44866</v>
      </c>
      <c r="J1449" s="6">
        <v>0</v>
      </c>
      <c r="K1449" s="6">
        <v>0</v>
      </c>
      <c r="L1449" s="6">
        <v>6.5540000000000003</v>
      </c>
      <c r="M1449" s="6">
        <v>6.5540000000000003</v>
      </c>
      <c r="N1449" s="6">
        <v>6.5540000000000003</v>
      </c>
      <c r="O1449" s="6">
        <v>6.5540000000000003</v>
      </c>
      <c r="P1449" s="6">
        <v>0</v>
      </c>
      <c r="Q1449" s="4" t="s">
        <v>26</v>
      </c>
      <c r="R1449" s="4">
        <v>0</v>
      </c>
      <c r="S1449" s="6">
        <v>0</v>
      </c>
      <c r="T1449" s="6">
        <v>51</v>
      </c>
      <c r="U1449" s="6">
        <v>95</v>
      </c>
      <c r="V1449" s="6">
        <f>IF(ISERROR(VLOOKUP($S$1449,'TAR FIN'!$A$1:$O$115,15,0)),0,VLOOKUP($S$1449,'TAR FIN'!$A$1:$O$115,15,0))</f>
        <v>0</v>
      </c>
      <c r="W1449" s="6">
        <f>IF(ISERROR(VLOOKUP($T$1449,'TAR FIN'!$A$1:$O$115,15,0)),0,VLOOKUP($T$1449,'TAR FIN'!$A$1:$O$115,15,0))</f>
        <v>287.89999999999998</v>
      </c>
      <c r="X1449" s="6">
        <f>IF(ISERROR(VLOOKUP($U$1449,'TAR FIN'!$A$1:$O$115,15,0)),0,VLOOKUP($U$1449,'TAR FIN'!$A$1:$O$115,15,0))</f>
        <v>147.88999999999999</v>
      </c>
      <c r="Y1449" s="6"/>
      <c r="Z1449" s="6">
        <f ca="1">('TUSD BE'!$AM$49+'TUSD BF'!$AM$49+'TUSD CVA'!$AM$49)*(1-CUSTOS!$M$38)</f>
        <v>344.78762314316725</v>
      </c>
      <c r="AA1449" s="6">
        <f>('TE BE'!$AB$32+'TE BF'!$AB$32+'TE CVA'!$AB$32)*(1-CUSTOS!$M$38)</f>
        <v>205.56430218792661</v>
      </c>
      <c r="AB1449" s="6">
        <f>$K$1449*$V$1449</f>
        <v>0</v>
      </c>
      <c r="AC1449" s="6">
        <f>$M$1449*$W$1449</f>
        <v>1886.8966</v>
      </c>
      <c r="AD1449" s="6">
        <f>$O$1449*$X$1449</f>
        <v>969.27105999999992</v>
      </c>
      <c r="AE1449" s="6">
        <f>$K$1449*$Y$1449</f>
        <v>0</v>
      </c>
      <c r="AF1449" s="6">
        <f ca="1">$M$1449*$Z$1449</f>
        <v>2259.7380820803182</v>
      </c>
      <c r="AG1449" s="6">
        <f>$O$1449*$AA$1449</f>
        <v>1347.268436539671</v>
      </c>
    </row>
    <row r="1450" spans="1:33" ht="11.25" customHeight="1" x14ac:dyDescent="0.25">
      <c r="A1450" s="4" t="s">
        <v>21</v>
      </c>
      <c r="B1450" s="4" t="s">
        <v>46</v>
      </c>
      <c r="C1450" s="4" t="s">
        <v>35</v>
      </c>
      <c r="D1450" s="4" t="s">
        <v>47</v>
      </c>
      <c r="E1450" s="4" t="s">
        <v>25</v>
      </c>
      <c r="F1450" s="4" t="s">
        <v>25</v>
      </c>
      <c r="G1450" s="4" t="s">
        <v>25</v>
      </c>
      <c r="H1450" s="4" t="s">
        <v>38</v>
      </c>
      <c r="I1450" s="5">
        <v>44531</v>
      </c>
      <c r="J1450" s="6">
        <v>0</v>
      </c>
      <c r="K1450" s="6">
        <v>0</v>
      </c>
      <c r="L1450" s="6">
        <v>3.6999999999999998E-2</v>
      </c>
      <c r="M1450" s="6">
        <v>3.6999999999999998E-2</v>
      </c>
      <c r="N1450" s="6">
        <v>3.6999999999999998E-2</v>
      </c>
      <c r="O1450" s="6">
        <v>3.6999999999999998E-2</v>
      </c>
      <c r="P1450" s="6">
        <v>0</v>
      </c>
      <c r="Q1450" s="4" t="s">
        <v>26</v>
      </c>
      <c r="R1450" s="4">
        <v>0</v>
      </c>
      <c r="S1450" s="6">
        <v>0</v>
      </c>
      <c r="T1450" s="6">
        <v>50</v>
      </c>
      <c r="U1450" s="6">
        <v>94</v>
      </c>
      <c r="V1450" s="6">
        <f>IF(ISERROR(VLOOKUP($S$1450,'TAR FIN'!$A$1:$O$115,15,0)),0,VLOOKUP($S$1450,'TAR FIN'!$A$1:$O$115,15,0))</f>
        <v>0</v>
      </c>
      <c r="W1450" s="6">
        <f>IF(ISERROR(VLOOKUP($T$1450,'TAR FIN'!$A$1:$O$115,15,0)),0,VLOOKUP($T$1450,'TAR FIN'!$A$1:$O$115,15,0))</f>
        <v>663.5</v>
      </c>
      <c r="X1450" s="6">
        <f>IF(ISERROR(VLOOKUP($U$1450,'TAR FIN'!$A$1:$O$115,15,0)),0,VLOOKUP($U$1450,'TAR FIN'!$A$1:$O$115,15,0))</f>
        <v>147.88999999999999</v>
      </c>
      <c r="Y1450" s="6"/>
      <c r="Z1450" s="6">
        <f ca="1">('TUSD BE'!$AM$48+'TUSD BF'!$AM$48+'TUSD CVA'!$AM$48)*(1-CUSTOS!$M$38)</f>
        <v>743.00402372921542</v>
      </c>
      <c r="AA1450" s="6">
        <f>('TE BE'!$AB$31+'TE BF'!$AB$31+'TE CVA'!$AB$31)*(1-CUSTOS!$M$38)</f>
        <v>205.56430218792661</v>
      </c>
      <c r="AB1450" s="6">
        <f>$K$1450*$V$1450</f>
        <v>0</v>
      </c>
      <c r="AC1450" s="6">
        <f>$M$1450*$W$1450</f>
        <v>24.549499999999998</v>
      </c>
      <c r="AD1450" s="6">
        <f>$O$1450*$X$1450</f>
        <v>5.4719299999999995</v>
      </c>
      <c r="AE1450" s="6">
        <f>$K$1450*$Y$1450</f>
        <v>0</v>
      </c>
      <c r="AF1450" s="6">
        <f ca="1">$M$1450*$Z$1450</f>
        <v>27.491148877980969</v>
      </c>
      <c r="AG1450" s="6">
        <f>$O$1450*$AA$1450</f>
        <v>7.6058791809532842</v>
      </c>
    </row>
    <row r="1451" spans="1:33" ht="11.25" customHeight="1" x14ac:dyDescent="0.25">
      <c r="A1451" s="4" t="s">
        <v>28</v>
      </c>
      <c r="B1451" s="4" t="s">
        <v>46</v>
      </c>
      <c r="C1451" s="4" t="s">
        <v>35</v>
      </c>
      <c r="D1451" s="4" t="s">
        <v>47</v>
      </c>
      <c r="E1451" s="4" t="s">
        <v>25</v>
      </c>
      <c r="F1451" s="4" t="s">
        <v>25</v>
      </c>
      <c r="G1451" s="4" t="s">
        <v>25</v>
      </c>
      <c r="H1451" s="4" t="s">
        <v>38</v>
      </c>
      <c r="I1451" s="5">
        <v>44531</v>
      </c>
      <c r="J1451" s="6">
        <v>0</v>
      </c>
      <c r="K1451" s="6">
        <v>0</v>
      </c>
      <c r="L1451" s="6">
        <v>1E-3</v>
      </c>
      <c r="M1451" s="6">
        <v>1E-3</v>
      </c>
      <c r="N1451" s="6">
        <v>1E-3</v>
      </c>
      <c r="O1451" s="6">
        <v>1E-3</v>
      </c>
      <c r="P1451" s="6">
        <v>0</v>
      </c>
      <c r="Q1451" s="4" t="s">
        <v>26</v>
      </c>
      <c r="R1451" s="4">
        <v>0</v>
      </c>
      <c r="S1451" s="6">
        <v>0</v>
      </c>
      <c r="T1451" s="6">
        <v>50</v>
      </c>
      <c r="U1451" s="6">
        <v>94</v>
      </c>
      <c r="V1451" s="6">
        <f>IF(ISERROR(VLOOKUP($S$1451,'TAR FIN'!$A$1:$O$115,15,0)),0,VLOOKUP($S$1451,'TAR FIN'!$A$1:$O$115,15,0))</f>
        <v>0</v>
      </c>
      <c r="W1451" s="6">
        <f>IF(ISERROR(VLOOKUP($T$1451,'TAR FIN'!$A$1:$O$115,15,0)),0,VLOOKUP($T$1451,'TAR FIN'!$A$1:$O$115,15,0))</f>
        <v>663.5</v>
      </c>
      <c r="X1451" s="6">
        <f>IF(ISERROR(VLOOKUP($U$1451,'TAR FIN'!$A$1:$O$115,15,0)),0,VLOOKUP($U$1451,'TAR FIN'!$A$1:$O$115,15,0))</f>
        <v>147.88999999999999</v>
      </c>
      <c r="Y1451" s="6"/>
      <c r="Z1451" s="6">
        <f ca="1">('TUSD BE'!$AM$48+'TUSD BF'!$AM$48+'TUSD CVA'!$AM$48)*(1-CUSTOS!$M$38)</f>
        <v>743.00402372921542</v>
      </c>
      <c r="AA1451" s="6">
        <f>('TE BE'!$AB$31+'TE BF'!$AB$31+'TE CVA'!$AB$31)*(1-CUSTOS!$M$38)</f>
        <v>205.56430218792661</v>
      </c>
      <c r="AB1451" s="6">
        <f>$K$1451*$V$1451</f>
        <v>0</v>
      </c>
      <c r="AC1451" s="6">
        <f>$M$1451*$W$1451</f>
        <v>0.66349999999999998</v>
      </c>
      <c r="AD1451" s="6">
        <f>$O$1451*$X$1451</f>
        <v>0.14788999999999999</v>
      </c>
      <c r="AE1451" s="6">
        <f>$K$1451*$Y$1451</f>
        <v>0</v>
      </c>
      <c r="AF1451" s="6">
        <f ca="1">$M$1451*$Z$1451</f>
        <v>0.74300402372921548</v>
      </c>
      <c r="AG1451" s="6">
        <f>$O$1451*$AA$1451</f>
        <v>0.20556430218792662</v>
      </c>
    </row>
    <row r="1452" spans="1:33" ht="11.25" customHeight="1" x14ac:dyDescent="0.25">
      <c r="A1452" s="4" t="s">
        <v>21</v>
      </c>
      <c r="B1452" s="4" t="s">
        <v>46</v>
      </c>
      <c r="C1452" s="4" t="s">
        <v>35</v>
      </c>
      <c r="D1452" s="4" t="s">
        <v>47</v>
      </c>
      <c r="E1452" s="4" t="s">
        <v>25</v>
      </c>
      <c r="F1452" s="4" t="s">
        <v>25</v>
      </c>
      <c r="G1452" s="4" t="s">
        <v>25</v>
      </c>
      <c r="H1452" s="4" t="s">
        <v>38</v>
      </c>
      <c r="I1452" s="5">
        <v>44562</v>
      </c>
      <c r="J1452" s="6">
        <v>0</v>
      </c>
      <c r="K1452" s="6">
        <v>0</v>
      </c>
      <c r="L1452" s="6">
        <v>5.5E-2</v>
      </c>
      <c r="M1452" s="6">
        <v>5.5E-2</v>
      </c>
      <c r="N1452" s="6">
        <v>5.5E-2</v>
      </c>
      <c r="O1452" s="6">
        <v>5.5E-2</v>
      </c>
      <c r="P1452" s="6">
        <v>0</v>
      </c>
      <c r="Q1452" s="4" t="s">
        <v>26</v>
      </c>
      <c r="R1452" s="4">
        <v>0</v>
      </c>
      <c r="S1452" s="6">
        <v>0</v>
      </c>
      <c r="T1452" s="6">
        <v>50</v>
      </c>
      <c r="U1452" s="6">
        <v>94</v>
      </c>
      <c r="V1452" s="6">
        <f>IF(ISERROR(VLOOKUP($S$1452,'TAR FIN'!$A$1:$O$115,15,0)),0,VLOOKUP($S$1452,'TAR FIN'!$A$1:$O$115,15,0))</f>
        <v>0</v>
      </c>
      <c r="W1452" s="6">
        <f>IF(ISERROR(VLOOKUP($T$1452,'TAR FIN'!$A$1:$O$115,15,0)),0,VLOOKUP($T$1452,'TAR FIN'!$A$1:$O$115,15,0))</f>
        <v>663.5</v>
      </c>
      <c r="X1452" s="6">
        <f>IF(ISERROR(VLOOKUP($U$1452,'TAR FIN'!$A$1:$O$115,15,0)),0,VLOOKUP($U$1452,'TAR FIN'!$A$1:$O$115,15,0))</f>
        <v>147.88999999999999</v>
      </c>
      <c r="Y1452" s="6"/>
      <c r="Z1452" s="6">
        <f ca="1">('TUSD BE'!$AM$48+'TUSD BF'!$AM$48+'TUSD CVA'!$AM$48)*(1-CUSTOS!$M$38)</f>
        <v>743.00402372921542</v>
      </c>
      <c r="AA1452" s="6">
        <f>('TE BE'!$AB$31+'TE BF'!$AB$31+'TE CVA'!$AB$31)*(1-CUSTOS!$M$38)</f>
        <v>205.56430218792661</v>
      </c>
      <c r="AB1452" s="6">
        <f>$K$1452*$V$1452</f>
        <v>0</v>
      </c>
      <c r="AC1452" s="6">
        <f>$M$1452*$W$1452</f>
        <v>36.4925</v>
      </c>
      <c r="AD1452" s="6">
        <f>$O$1452*$X$1452</f>
        <v>8.1339499999999987</v>
      </c>
      <c r="AE1452" s="6">
        <f>$K$1452*$Y$1452</f>
        <v>0</v>
      </c>
      <c r="AF1452" s="6">
        <f ca="1">$M$1452*$Z$1452</f>
        <v>40.86522130510685</v>
      </c>
      <c r="AG1452" s="6">
        <f>$O$1452*$AA$1452</f>
        <v>11.306036620335965</v>
      </c>
    </row>
    <row r="1453" spans="1:33" ht="11.25" customHeight="1" x14ac:dyDescent="0.25">
      <c r="A1453" s="4" t="s">
        <v>28</v>
      </c>
      <c r="B1453" s="4" t="s">
        <v>46</v>
      </c>
      <c r="C1453" s="4" t="s">
        <v>35</v>
      </c>
      <c r="D1453" s="4" t="s">
        <v>47</v>
      </c>
      <c r="E1453" s="4" t="s">
        <v>25</v>
      </c>
      <c r="F1453" s="4" t="s">
        <v>25</v>
      </c>
      <c r="G1453" s="4" t="s">
        <v>25</v>
      </c>
      <c r="H1453" s="4" t="s">
        <v>38</v>
      </c>
      <c r="I1453" s="5">
        <v>44562</v>
      </c>
      <c r="J1453" s="6">
        <v>0</v>
      </c>
      <c r="K1453" s="6">
        <v>0</v>
      </c>
      <c r="L1453" s="6">
        <v>0.01</v>
      </c>
      <c r="M1453" s="6">
        <v>0.01</v>
      </c>
      <c r="N1453" s="6">
        <v>0.01</v>
      </c>
      <c r="O1453" s="6">
        <v>0.01</v>
      </c>
      <c r="P1453" s="6">
        <v>0</v>
      </c>
      <c r="Q1453" s="4" t="s">
        <v>26</v>
      </c>
      <c r="R1453" s="4">
        <v>0</v>
      </c>
      <c r="S1453" s="6">
        <v>0</v>
      </c>
      <c r="T1453" s="6">
        <v>50</v>
      </c>
      <c r="U1453" s="6">
        <v>94</v>
      </c>
      <c r="V1453" s="6">
        <f>IF(ISERROR(VLOOKUP($S$1453,'TAR FIN'!$A$1:$O$115,15,0)),0,VLOOKUP($S$1453,'TAR FIN'!$A$1:$O$115,15,0))</f>
        <v>0</v>
      </c>
      <c r="W1453" s="6">
        <f>IF(ISERROR(VLOOKUP($T$1453,'TAR FIN'!$A$1:$O$115,15,0)),0,VLOOKUP($T$1453,'TAR FIN'!$A$1:$O$115,15,0))</f>
        <v>663.5</v>
      </c>
      <c r="X1453" s="6">
        <f>IF(ISERROR(VLOOKUP($U$1453,'TAR FIN'!$A$1:$O$115,15,0)),0,VLOOKUP($U$1453,'TAR FIN'!$A$1:$O$115,15,0))</f>
        <v>147.88999999999999</v>
      </c>
      <c r="Y1453" s="6"/>
      <c r="Z1453" s="6">
        <f ca="1">('TUSD BE'!$AM$48+'TUSD BF'!$AM$48+'TUSD CVA'!$AM$48)*(1-CUSTOS!$M$38)</f>
        <v>743.00402372921542</v>
      </c>
      <c r="AA1453" s="6">
        <f>('TE BE'!$AB$31+'TE BF'!$AB$31+'TE CVA'!$AB$31)*(1-CUSTOS!$M$38)</f>
        <v>205.56430218792661</v>
      </c>
      <c r="AB1453" s="6">
        <f>$K$1453*$V$1453</f>
        <v>0</v>
      </c>
      <c r="AC1453" s="6">
        <f>$M$1453*$W$1453</f>
        <v>6.6349999999999998</v>
      </c>
      <c r="AD1453" s="6">
        <f>$O$1453*$X$1453</f>
        <v>1.4788999999999999</v>
      </c>
      <c r="AE1453" s="6">
        <f>$K$1453*$Y$1453</f>
        <v>0</v>
      </c>
      <c r="AF1453" s="6">
        <f ca="1">$M$1453*$Z$1453</f>
        <v>7.4300402372921539</v>
      </c>
      <c r="AG1453" s="6">
        <f>$O$1453*$AA$1453</f>
        <v>2.0556430218792663</v>
      </c>
    </row>
    <row r="1454" spans="1:33" ht="11.25" customHeight="1" x14ac:dyDescent="0.25">
      <c r="A1454" s="4" t="s">
        <v>21</v>
      </c>
      <c r="B1454" s="4" t="s">
        <v>46</v>
      </c>
      <c r="C1454" s="4" t="s">
        <v>35</v>
      </c>
      <c r="D1454" s="4" t="s">
        <v>47</v>
      </c>
      <c r="E1454" s="4" t="s">
        <v>25</v>
      </c>
      <c r="F1454" s="4" t="s">
        <v>25</v>
      </c>
      <c r="G1454" s="4" t="s">
        <v>25</v>
      </c>
      <c r="H1454" s="4" t="s">
        <v>38</v>
      </c>
      <c r="I1454" s="5">
        <v>44593</v>
      </c>
      <c r="J1454" s="6">
        <v>0</v>
      </c>
      <c r="K1454" s="6">
        <v>0</v>
      </c>
      <c r="L1454" s="6">
        <v>3.5000000000000003E-2</v>
      </c>
      <c r="M1454" s="6">
        <v>3.5000000000000003E-2</v>
      </c>
      <c r="N1454" s="6">
        <v>3.5000000000000003E-2</v>
      </c>
      <c r="O1454" s="6">
        <v>3.5000000000000003E-2</v>
      </c>
      <c r="P1454" s="6">
        <v>0</v>
      </c>
      <c r="Q1454" s="4" t="s">
        <v>26</v>
      </c>
      <c r="R1454" s="4">
        <v>0</v>
      </c>
      <c r="S1454" s="6">
        <v>0</v>
      </c>
      <c r="T1454" s="6">
        <v>50</v>
      </c>
      <c r="U1454" s="6">
        <v>94</v>
      </c>
      <c r="V1454" s="6">
        <f>IF(ISERROR(VLOOKUP($S$1454,'TAR FIN'!$A$1:$O$115,15,0)),0,VLOOKUP($S$1454,'TAR FIN'!$A$1:$O$115,15,0))</f>
        <v>0</v>
      </c>
      <c r="W1454" s="6">
        <f>IF(ISERROR(VLOOKUP($T$1454,'TAR FIN'!$A$1:$O$115,15,0)),0,VLOOKUP($T$1454,'TAR FIN'!$A$1:$O$115,15,0))</f>
        <v>663.5</v>
      </c>
      <c r="X1454" s="6">
        <f>IF(ISERROR(VLOOKUP($U$1454,'TAR FIN'!$A$1:$O$115,15,0)),0,VLOOKUP($U$1454,'TAR FIN'!$A$1:$O$115,15,0))</f>
        <v>147.88999999999999</v>
      </c>
      <c r="Y1454" s="6"/>
      <c r="Z1454" s="6">
        <f ca="1">('TUSD BE'!$AM$48+'TUSD BF'!$AM$48+'TUSD CVA'!$AM$48)*(1-CUSTOS!$M$38)</f>
        <v>743.00402372921542</v>
      </c>
      <c r="AA1454" s="6">
        <f>('TE BE'!$AB$31+'TE BF'!$AB$31+'TE CVA'!$AB$31)*(1-CUSTOS!$M$38)</f>
        <v>205.56430218792661</v>
      </c>
      <c r="AB1454" s="6">
        <f>$K$1454*$V$1454</f>
        <v>0</v>
      </c>
      <c r="AC1454" s="6">
        <f>$M$1454*$W$1454</f>
        <v>23.222500000000004</v>
      </c>
      <c r="AD1454" s="6">
        <f>$O$1454*$X$1454</f>
        <v>5.1761499999999998</v>
      </c>
      <c r="AE1454" s="6">
        <f>$K$1454*$Y$1454</f>
        <v>0</v>
      </c>
      <c r="AF1454" s="6">
        <f ca="1">$M$1454*$Z$1454</f>
        <v>26.005140830522542</v>
      </c>
      <c r="AG1454" s="6">
        <f>$O$1454*$AA$1454</f>
        <v>7.194750576577432</v>
      </c>
    </row>
    <row r="1455" spans="1:33" ht="11.25" customHeight="1" x14ac:dyDescent="0.25">
      <c r="A1455" s="4" t="s">
        <v>28</v>
      </c>
      <c r="B1455" s="4" t="s">
        <v>46</v>
      </c>
      <c r="C1455" s="4" t="s">
        <v>35</v>
      </c>
      <c r="D1455" s="4" t="s">
        <v>47</v>
      </c>
      <c r="E1455" s="4" t="s">
        <v>25</v>
      </c>
      <c r="F1455" s="4" t="s">
        <v>25</v>
      </c>
      <c r="G1455" s="4" t="s">
        <v>25</v>
      </c>
      <c r="H1455" s="4" t="s">
        <v>38</v>
      </c>
      <c r="I1455" s="5">
        <v>44593</v>
      </c>
      <c r="J1455" s="6">
        <v>0</v>
      </c>
      <c r="K1455" s="6">
        <v>0</v>
      </c>
      <c r="L1455" s="6">
        <v>1.4999999999999999E-2</v>
      </c>
      <c r="M1455" s="6">
        <v>1.4999999999999999E-2</v>
      </c>
      <c r="N1455" s="6">
        <v>1.4999999999999999E-2</v>
      </c>
      <c r="O1455" s="6">
        <v>1.4999999999999999E-2</v>
      </c>
      <c r="P1455" s="6">
        <v>0</v>
      </c>
      <c r="Q1455" s="4" t="s">
        <v>26</v>
      </c>
      <c r="R1455" s="4">
        <v>0</v>
      </c>
      <c r="S1455" s="6">
        <v>0</v>
      </c>
      <c r="T1455" s="6">
        <v>50</v>
      </c>
      <c r="U1455" s="6">
        <v>94</v>
      </c>
      <c r="V1455" s="6">
        <f>IF(ISERROR(VLOOKUP($S$1455,'TAR FIN'!$A$1:$O$115,15,0)),0,VLOOKUP($S$1455,'TAR FIN'!$A$1:$O$115,15,0))</f>
        <v>0</v>
      </c>
      <c r="W1455" s="6">
        <f>IF(ISERROR(VLOOKUP($T$1455,'TAR FIN'!$A$1:$O$115,15,0)),0,VLOOKUP($T$1455,'TAR FIN'!$A$1:$O$115,15,0))</f>
        <v>663.5</v>
      </c>
      <c r="X1455" s="6">
        <f>IF(ISERROR(VLOOKUP($U$1455,'TAR FIN'!$A$1:$O$115,15,0)),0,VLOOKUP($U$1455,'TAR FIN'!$A$1:$O$115,15,0))</f>
        <v>147.88999999999999</v>
      </c>
      <c r="Y1455" s="6"/>
      <c r="Z1455" s="6">
        <f ca="1">('TUSD BE'!$AM$48+'TUSD BF'!$AM$48+'TUSD CVA'!$AM$48)*(1-CUSTOS!$M$38)</f>
        <v>743.00402372921542</v>
      </c>
      <c r="AA1455" s="6">
        <f>('TE BE'!$AB$31+'TE BF'!$AB$31+'TE CVA'!$AB$31)*(1-CUSTOS!$M$38)</f>
        <v>205.56430218792661</v>
      </c>
      <c r="AB1455" s="6">
        <f>$K$1455*$V$1455</f>
        <v>0</v>
      </c>
      <c r="AC1455" s="6">
        <f>$M$1455*$W$1455</f>
        <v>9.9524999999999988</v>
      </c>
      <c r="AD1455" s="6">
        <f>$O$1455*$X$1455</f>
        <v>2.2183499999999996</v>
      </c>
      <c r="AE1455" s="6">
        <f>$K$1455*$Y$1455</f>
        <v>0</v>
      </c>
      <c r="AF1455" s="6">
        <f ca="1">$M$1455*$Z$1455</f>
        <v>11.145060355938231</v>
      </c>
      <c r="AG1455" s="6">
        <f>$O$1455*$AA$1455</f>
        <v>3.083464532818899</v>
      </c>
    </row>
    <row r="1456" spans="1:33" ht="11.25" customHeight="1" x14ac:dyDescent="0.25">
      <c r="A1456" s="4" t="s">
        <v>21</v>
      </c>
      <c r="B1456" s="4" t="s">
        <v>46</v>
      </c>
      <c r="C1456" s="4" t="s">
        <v>35</v>
      </c>
      <c r="D1456" s="4" t="s">
        <v>47</v>
      </c>
      <c r="E1456" s="4" t="s">
        <v>25</v>
      </c>
      <c r="F1456" s="4" t="s">
        <v>25</v>
      </c>
      <c r="G1456" s="4" t="s">
        <v>25</v>
      </c>
      <c r="H1456" s="4" t="s">
        <v>38</v>
      </c>
      <c r="I1456" s="5">
        <v>44621</v>
      </c>
      <c r="J1456" s="6">
        <v>0</v>
      </c>
      <c r="K1456" s="6">
        <v>0</v>
      </c>
      <c r="L1456" s="6">
        <v>3.6999999999999998E-2</v>
      </c>
      <c r="M1456" s="6">
        <v>3.6999999999999998E-2</v>
      </c>
      <c r="N1456" s="6">
        <v>3.6999999999999998E-2</v>
      </c>
      <c r="O1456" s="6">
        <v>3.6999999999999998E-2</v>
      </c>
      <c r="P1456" s="6">
        <v>0</v>
      </c>
      <c r="Q1456" s="4" t="s">
        <v>26</v>
      </c>
      <c r="R1456" s="4">
        <v>0</v>
      </c>
      <c r="S1456" s="6">
        <v>0</v>
      </c>
      <c r="T1456" s="6">
        <v>50</v>
      </c>
      <c r="U1456" s="6">
        <v>94</v>
      </c>
      <c r="V1456" s="6">
        <f>IF(ISERROR(VLOOKUP($S$1456,'TAR FIN'!$A$1:$O$115,15,0)),0,VLOOKUP($S$1456,'TAR FIN'!$A$1:$O$115,15,0))</f>
        <v>0</v>
      </c>
      <c r="W1456" s="6">
        <f>IF(ISERROR(VLOOKUP($T$1456,'TAR FIN'!$A$1:$O$115,15,0)),0,VLOOKUP($T$1456,'TAR FIN'!$A$1:$O$115,15,0))</f>
        <v>663.5</v>
      </c>
      <c r="X1456" s="6">
        <f>IF(ISERROR(VLOOKUP($U$1456,'TAR FIN'!$A$1:$O$115,15,0)),0,VLOOKUP($U$1456,'TAR FIN'!$A$1:$O$115,15,0))</f>
        <v>147.88999999999999</v>
      </c>
      <c r="Y1456" s="6"/>
      <c r="Z1456" s="6">
        <f ca="1">('TUSD BE'!$AM$48+'TUSD BF'!$AM$48+'TUSD CVA'!$AM$48)*(1-CUSTOS!$M$38)</f>
        <v>743.00402372921542</v>
      </c>
      <c r="AA1456" s="6">
        <f>('TE BE'!$AB$31+'TE BF'!$AB$31+'TE CVA'!$AB$31)*(1-CUSTOS!$M$38)</f>
        <v>205.56430218792661</v>
      </c>
      <c r="AB1456" s="6">
        <f>$K$1456*$V$1456</f>
        <v>0</v>
      </c>
      <c r="AC1456" s="6">
        <f>$M$1456*$W$1456</f>
        <v>24.549499999999998</v>
      </c>
      <c r="AD1456" s="6">
        <f>$O$1456*$X$1456</f>
        <v>5.4719299999999995</v>
      </c>
      <c r="AE1456" s="6">
        <f>$K$1456*$Y$1456</f>
        <v>0</v>
      </c>
      <c r="AF1456" s="6">
        <f ca="1">$M$1456*$Z$1456</f>
        <v>27.491148877980969</v>
      </c>
      <c r="AG1456" s="6">
        <f>$O$1456*$AA$1456</f>
        <v>7.6058791809532842</v>
      </c>
    </row>
    <row r="1457" spans="1:33" ht="11.25" customHeight="1" x14ac:dyDescent="0.25">
      <c r="A1457" s="4" t="s">
        <v>21</v>
      </c>
      <c r="B1457" s="4" t="s">
        <v>46</v>
      </c>
      <c r="C1457" s="4" t="s">
        <v>35</v>
      </c>
      <c r="D1457" s="4" t="s">
        <v>47</v>
      </c>
      <c r="E1457" s="4" t="s">
        <v>25</v>
      </c>
      <c r="F1457" s="4" t="s">
        <v>25</v>
      </c>
      <c r="G1457" s="4" t="s">
        <v>25</v>
      </c>
      <c r="H1457" s="4" t="s">
        <v>38</v>
      </c>
      <c r="I1457" s="5">
        <v>44652</v>
      </c>
      <c r="J1457" s="6">
        <v>0</v>
      </c>
      <c r="K1457" s="6">
        <v>0</v>
      </c>
      <c r="L1457" s="6">
        <v>3.7999999999999999E-2</v>
      </c>
      <c r="M1457" s="6">
        <v>3.7999999999999999E-2</v>
      </c>
      <c r="N1457" s="6">
        <v>3.7999999999999999E-2</v>
      </c>
      <c r="O1457" s="6">
        <v>3.7999999999999999E-2</v>
      </c>
      <c r="P1457" s="6">
        <v>0</v>
      </c>
      <c r="Q1457" s="4" t="s">
        <v>26</v>
      </c>
      <c r="R1457" s="4">
        <v>0</v>
      </c>
      <c r="S1457" s="6">
        <v>0</v>
      </c>
      <c r="T1457" s="6">
        <v>50</v>
      </c>
      <c r="U1457" s="6">
        <v>94</v>
      </c>
      <c r="V1457" s="6">
        <f>IF(ISERROR(VLOOKUP($S$1457,'TAR FIN'!$A$1:$O$115,15,0)),0,VLOOKUP($S$1457,'TAR FIN'!$A$1:$O$115,15,0))</f>
        <v>0</v>
      </c>
      <c r="W1457" s="6">
        <f>IF(ISERROR(VLOOKUP($T$1457,'TAR FIN'!$A$1:$O$115,15,0)),0,VLOOKUP($T$1457,'TAR FIN'!$A$1:$O$115,15,0))</f>
        <v>663.5</v>
      </c>
      <c r="X1457" s="6">
        <f>IF(ISERROR(VLOOKUP($U$1457,'TAR FIN'!$A$1:$O$115,15,0)),0,VLOOKUP($U$1457,'TAR FIN'!$A$1:$O$115,15,0))</f>
        <v>147.88999999999999</v>
      </c>
      <c r="Y1457" s="6"/>
      <c r="Z1457" s="6">
        <f ca="1">('TUSD BE'!$AM$48+'TUSD BF'!$AM$48+'TUSD CVA'!$AM$48)*(1-CUSTOS!$M$38)</f>
        <v>743.00402372921542</v>
      </c>
      <c r="AA1457" s="6">
        <f>('TE BE'!$AB$31+'TE BF'!$AB$31+'TE CVA'!$AB$31)*(1-CUSTOS!$M$38)</f>
        <v>205.56430218792661</v>
      </c>
      <c r="AB1457" s="6">
        <f>$K$1457*$V$1457</f>
        <v>0</v>
      </c>
      <c r="AC1457" s="6">
        <f>$M$1457*$W$1457</f>
        <v>25.213000000000001</v>
      </c>
      <c r="AD1457" s="6">
        <f>$O$1457*$X$1457</f>
        <v>5.6198199999999989</v>
      </c>
      <c r="AE1457" s="6">
        <f>$K$1457*$Y$1457</f>
        <v>0</v>
      </c>
      <c r="AF1457" s="6">
        <f ca="1">$M$1457*$Z$1457</f>
        <v>28.234152901710186</v>
      </c>
      <c r="AG1457" s="6">
        <f>$O$1457*$AA$1457</f>
        <v>7.8114434831412112</v>
      </c>
    </row>
    <row r="1458" spans="1:33" ht="11.25" customHeight="1" x14ac:dyDescent="0.25">
      <c r="A1458" s="4" t="s">
        <v>21</v>
      </c>
      <c r="B1458" s="4" t="s">
        <v>46</v>
      </c>
      <c r="C1458" s="4" t="s">
        <v>35</v>
      </c>
      <c r="D1458" s="4" t="s">
        <v>47</v>
      </c>
      <c r="E1458" s="4" t="s">
        <v>25</v>
      </c>
      <c r="F1458" s="4" t="s">
        <v>25</v>
      </c>
      <c r="G1458" s="4" t="s">
        <v>25</v>
      </c>
      <c r="H1458" s="4" t="s">
        <v>38</v>
      </c>
      <c r="I1458" s="5">
        <v>44682</v>
      </c>
      <c r="J1458" s="6">
        <v>0</v>
      </c>
      <c r="K1458" s="6">
        <v>0</v>
      </c>
      <c r="L1458" s="6">
        <v>3.1E-2</v>
      </c>
      <c r="M1458" s="6">
        <v>3.1E-2</v>
      </c>
      <c r="N1458" s="6">
        <v>3.1E-2</v>
      </c>
      <c r="O1458" s="6">
        <v>3.1E-2</v>
      </c>
      <c r="P1458" s="6">
        <v>0</v>
      </c>
      <c r="Q1458" s="4" t="s">
        <v>26</v>
      </c>
      <c r="R1458" s="4">
        <v>0</v>
      </c>
      <c r="S1458" s="6">
        <v>0</v>
      </c>
      <c r="T1458" s="6">
        <v>50</v>
      </c>
      <c r="U1458" s="6">
        <v>94</v>
      </c>
      <c r="V1458" s="6">
        <f>IF(ISERROR(VLOOKUP($S$1458,'TAR FIN'!$A$1:$O$115,15,0)),0,VLOOKUP($S$1458,'TAR FIN'!$A$1:$O$115,15,0))</f>
        <v>0</v>
      </c>
      <c r="W1458" s="6">
        <f>IF(ISERROR(VLOOKUP($T$1458,'TAR FIN'!$A$1:$O$115,15,0)),0,VLOOKUP($T$1458,'TAR FIN'!$A$1:$O$115,15,0))</f>
        <v>663.5</v>
      </c>
      <c r="X1458" s="6">
        <f>IF(ISERROR(VLOOKUP($U$1458,'TAR FIN'!$A$1:$O$115,15,0)),0,VLOOKUP($U$1458,'TAR FIN'!$A$1:$O$115,15,0))</f>
        <v>147.88999999999999</v>
      </c>
      <c r="Y1458" s="6"/>
      <c r="Z1458" s="6">
        <f ca="1">('TUSD BE'!$AM$48+'TUSD BF'!$AM$48+'TUSD CVA'!$AM$48)*(1-CUSTOS!$M$38)</f>
        <v>743.00402372921542</v>
      </c>
      <c r="AA1458" s="6">
        <f>('TE BE'!$AB$31+'TE BF'!$AB$31+'TE CVA'!$AB$31)*(1-CUSTOS!$M$38)</f>
        <v>205.56430218792661</v>
      </c>
      <c r="AB1458" s="6">
        <f>$K$1458*$V$1458</f>
        <v>0</v>
      </c>
      <c r="AC1458" s="6">
        <f>$M$1458*$W$1458</f>
        <v>20.5685</v>
      </c>
      <c r="AD1458" s="6">
        <f>$O$1458*$X$1458</f>
        <v>4.5845899999999995</v>
      </c>
      <c r="AE1458" s="6">
        <f>$K$1458*$Y$1458</f>
        <v>0</v>
      </c>
      <c r="AF1458" s="6">
        <f ca="1">$M$1458*$Z$1458</f>
        <v>23.033124735605679</v>
      </c>
      <c r="AG1458" s="6">
        <f>$O$1458*$AA$1458</f>
        <v>6.372493367825725</v>
      </c>
    </row>
    <row r="1459" spans="1:33" ht="11.25" customHeight="1" x14ac:dyDescent="0.25">
      <c r="A1459" s="4" t="s">
        <v>21</v>
      </c>
      <c r="B1459" s="4" t="s">
        <v>46</v>
      </c>
      <c r="C1459" s="4" t="s">
        <v>35</v>
      </c>
      <c r="D1459" s="4" t="s">
        <v>47</v>
      </c>
      <c r="E1459" s="4" t="s">
        <v>25</v>
      </c>
      <c r="F1459" s="4" t="s">
        <v>25</v>
      </c>
      <c r="G1459" s="4" t="s">
        <v>25</v>
      </c>
      <c r="H1459" s="4" t="s">
        <v>38</v>
      </c>
      <c r="I1459" s="5">
        <v>44713</v>
      </c>
      <c r="J1459" s="6">
        <v>0</v>
      </c>
      <c r="K1459" s="6">
        <v>0</v>
      </c>
      <c r="L1459" s="6">
        <v>3.6999999999999998E-2</v>
      </c>
      <c r="M1459" s="6">
        <v>3.6999999999999998E-2</v>
      </c>
      <c r="N1459" s="6">
        <v>3.6999999999999998E-2</v>
      </c>
      <c r="O1459" s="6">
        <v>3.6999999999999998E-2</v>
      </c>
      <c r="P1459" s="6">
        <v>0</v>
      </c>
      <c r="Q1459" s="4" t="s">
        <v>26</v>
      </c>
      <c r="R1459" s="4">
        <v>0</v>
      </c>
      <c r="S1459" s="6">
        <v>0</v>
      </c>
      <c r="T1459" s="6">
        <v>50</v>
      </c>
      <c r="U1459" s="6">
        <v>94</v>
      </c>
      <c r="V1459" s="6">
        <f>IF(ISERROR(VLOOKUP($S$1459,'TAR FIN'!$A$1:$O$115,15,0)),0,VLOOKUP($S$1459,'TAR FIN'!$A$1:$O$115,15,0))</f>
        <v>0</v>
      </c>
      <c r="W1459" s="6">
        <f>IF(ISERROR(VLOOKUP($T$1459,'TAR FIN'!$A$1:$O$115,15,0)),0,VLOOKUP($T$1459,'TAR FIN'!$A$1:$O$115,15,0))</f>
        <v>663.5</v>
      </c>
      <c r="X1459" s="6">
        <f>IF(ISERROR(VLOOKUP($U$1459,'TAR FIN'!$A$1:$O$115,15,0)),0,VLOOKUP($U$1459,'TAR FIN'!$A$1:$O$115,15,0))</f>
        <v>147.88999999999999</v>
      </c>
      <c r="Y1459" s="6"/>
      <c r="Z1459" s="6">
        <f ca="1">('TUSD BE'!$AM$48+'TUSD BF'!$AM$48+'TUSD CVA'!$AM$48)*(1-CUSTOS!$M$38)</f>
        <v>743.00402372921542</v>
      </c>
      <c r="AA1459" s="6">
        <f>('TE BE'!$AB$31+'TE BF'!$AB$31+'TE CVA'!$AB$31)*(1-CUSTOS!$M$38)</f>
        <v>205.56430218792661</v>
      </c>
      <c r="AB1459" s="6">
        <f>$K$1459*$V$1459</f>
        <v>0</v>
      </c>
      <c r="AC1459" s="6">
        <f>$M$1459*$W$1459</f>
        <v>24.549499999999998</v>
      </c>
      <c r="AD1459" s="6">
        <f>$O$1459*$X$1459</f>
        <v>5.4719299999999995</v>
      </c>
      <c r="AE1459" s="6">
        <f>$K$1459*$Y$1459</f>
        <v>0</v>
      </c>
      <c r="AF1459" s="6">
        <f ca="1">$M$1459*$Z$1459</f>
        <v>27.491148877980969</v>
      </c>
      <c r="AG1459" s="6">
        <f>$O$1459*$AA$1459</f>
        <v>7.6058791809532842</v>
      </c>
    </row>
    <row r="1460" spans="1:33" ht="11.25" customHeight="1" x14ac:dyDescent="0.25">
      <c r="A1460" s="4" t="s">
        <v>21</v>
      </c>
      <c r="B1460" s="4" t="s">
        <v>46</v>
      </c>
      <c r="C1460" s="4" t="s">
        <v>35</v>
      </c>
      <c r="D1460" s="4" t="s">
        <v>47</v>
      </c>
      <c r="E1460" s="4" t="s">
        <v>25</v>
      </c>
      <c r="F1460" s="4" t="s">
        <v>25</v>
      </c>
      <c r="G1460" s="4" t="s">
        <v>25</v>
      </c>
      <c r="H1460" s="4" t="s">
        <v>38</v>
      </c>
      <c r="I1460" s="5">
        <v>44743</v>
      </c>
      <c r="J1460" s="6">
        <v>0</v>
      </c>
      <c r="K1460" s="6">
        <v>0</v>
      </c>
      <c r="L1460" s="6">
        <v>5.1999999999999998E-2</v>
      </c>
      <c r="M1460" s="6">
        <v>5.1999999999999998E-2</v>
      </c>
      <c r="N1460" s="6">
        <v>5.1999999999999998E-2</v>
      </c>
      <c r="O1460" s="6">
        <v>5.1999999999999998E-2</v>
      </c>
      <c r="P1460" s="6">
        <v>0</v>
      </c>
      <c r="Q1460" s="4" t="s">
        <v>26</v>
      </c>
      <c r="R1460" s="4">
        <v>0</v>
      </c>
      <c r="S1460" s="6">
        <v>0</v>
      </c>
      <c r="T1460" s="6">
        <v>50</v>
      </c>
      <c r="U1460" s="6">
        <v>94</v>
      </c>
      <c r="V1460" s="6">
        <f>IF(ISERROR(VLOOKUP($S$1460,'TAR FIN'!$A$1:$O$115,15,0)),0,VLOOKUP($S$1460,'TAR FIN'!$A$1:$O$115,15,0))</f>
        <v>0</v>
      </c>
      <c r="W1460" s="6">
        <f>IF(ISERROR(VLOOKUP($T$1460,'TAR FIN'!$A$1:$O$115,15,0)),0,VLOOKUP($T$1460,'TAR FIN'!$A$1:$O$115,15,0))</f>
        <v>663.5</v>
      </c>
      <c r="X1460" s="6">
        <f>IF(ISERROR(VLOOKUP($U$1460,'TAR FIN'!$A$1:$O$115,15,0)),0,VLOOKUP($U$1460,'TAR FIN'!$A$1:$O$115,15,0))</f>
        <v>147.88999999999999</v>
      </c>
      <c r="Y1460" s="6"/>
      <c r="Z1460" s="6">
        <f ca="1">('TUSD BE'!$AM$48+'TUSD BF'!$AM$48+'TUSD CVA'!$AM$48)*(1-CUSTOS!$M$38)</f>
        <v>743.00402372921542</v>
      </c>
      <c r="AA1460" s="6">
        <f>('TE BE'!$AB$31+'TE BF'!$AB$31+'TE CVA'!$AB$31)*(1-CUSTOS!$M$38)</f>
        <v>205.56430218792661</v>
      </c>
      <c r="AB1460" s="6">
        <f>$K$1460*$V$1460</f>
        <v>0</v>
      </c>
      <c r="AC1460" s="6">
        <f>$M$1460*$W$1460</f>
        <v>34.501999999999995</v>
      </c>
      <c r="AD1460" s="6">
        <f>$O$1460*$X$1460</f>
        <v>7.6902799999999987</v>
      </c>
      <c r="AE1460" s="6">
        <f>$K$1460*$Y$1460</f>
        <v>0</v>
      </c>
      <c r="AF1460" s="6">
        <f ca="1">$M$1460*$Z$1460</f>
        <v>38.636209233919203</v>
      </c>
      <c r="AG1460" s="6">
        <f>$O$1460*$AA$1460</f>
        <v>10.689343713772184</v>
      </c>
    </row>
    <row r="1461" spans="1:33" ht="11.25" customHeight="1" x14ac:dyDescent="0.25">
      <c r="A1461" s="4" t="s">
        <v>21</v>
      </c>
      <c r="B1461" s="4" t="s">
        <v>46</v>
      </c>
      <c r="C1461" s="4" t="s">
        <v>35</v>
      </c>
      <c r="D1461" s="4" t="s">
        <v>47</v>
      </c>
      <c r="E1461" s="4" t="s">
        <v>25</v>
      </c>
      <c r="F1461" s="4" t="s">
        <v>25</v>
      </c>
      <c r="G1461" s="4" t="s">
        <v>25</v>
      </c>
      <c r="H1461" s="4" t="s">
        <v>38</v>
      </c>
      <c r="I1461" s="5">
        <v>44774</v>
      </c>
      <c r="J1461" s="6">
        <v>0</v>
      </c>
      <c r="K1461" s="6">
        <v>0</v>
      </c>
      <c r="L1461" s="6">
        <v>5.5E-2</v>
      </c>
      <c r="M1461" s="6">
        <v>5.5E-2</v>
      </c>
      <c r="N1461" s="6">
        <v>5.5E-2</v>
      </c>
      <c r="O1461" s="6">
        <v>5.5E-2</v>
      </c>
      <c r="P1461" s="6">
        <v>0</v>
      </c>
      <c r="Q1461" s="4" t="s">
        <v>26</v>
      </c>
      <c r="R1461" s="4">
        <v>0</v>
      </c>
      <c r="S1461" s="6">
        <v>0</v>
      </c>
      <c r="T1461" s="6">
        <v>50</v>
      </c>
      <c r="U1461" s="6">
        <v>94</v>
      </c>
      <c r="V1461" s="6">
        <f>IF(ISERROR(VLOOKUP($S$1461,'TAR FIN'!$A$1:$O$115,15,0)),0,VLOOKUP($S$1461,'TAR FIN'!$A$1:$O$115,15,0))</f>
        <v>0</v>
      </c>
      <c r="W1461" s="6">
        <f>IF(ISERROR(VLOOKUP($T$1461,'TAR FIN'!$A$1:$O$115,15,0)),0,VLOOKUP($T$1461,'TAR FIN'!$A$1:$O$115,15,0))</f>
        <v>663.5</v>
      </c>
      <c r="X1461" s="6">
        <f>IF(ISERROR(VLOOKUP($U$1461,'TAR FIN'!$A$1:$O$115,15,0)),0,VLOOKUP($U$1461,'TAR FIN'!$A$1:$O$115,15,0))</f>
        <v>147.88999999999999</v>
      </c>
      <c r="Y1461" s="6"/>
      <c r="Z1461" s="6">
        <f ca="1">('TUSD BE'!$AM$48+'TUSD BF'!$AM$48+'TUSD CVA'!$AM$48)*(1-CUSTOS!$M$38)</f>
        <v>743.00402372921542</v>
      </c>
      <c r="AA1461" s="6">
        <f>('TE BE'!$AB$31+'TE BF'!$AB$31+'TE CVA'!$AB$31)*(1-CUSTOS!$M$38)</f>
        <v>205.56430218792661</v>
      </c>
      <c r="AB1461" s="6">
        <f>$K$1461*$V$1461</f>
        <v>0</v>
      </c>
      <c r="AC1461" s="6">
        <f>$M$1461*$W$1461</f>
        <v>36.4925</v>
      </c>
      <c r="AD1461" s="6">
        <f>$O$1461*$X$1461</f>
        <v>8.1339499999999987</v>
      </c>
      <c r="AE1461" s="6">
        <f>$K$1461*$Y$1461</f>
        <v>0</v>
      </c>
      <c r="AF1461" s="6">
        <f ca="1">$M$1461*$Z$1461</f>
        <v>40.86522130510685</v>
      </c>
      <c r="AG1461" s="6">
        <f>$O$1461*$AA$1461</f>
        <v>11.306036620335965</v>
      </c>
    </row>
    <row r="1462" spans="1:33" ht="11.25" customHeight="1" x14ac:dyDescent="0.25">
      <c r="A1462" s="4" t="s">
        <v>21</v>
      </c>
      <c r="B1462" s="4" t="s">
        <v>46</v>
      </c>
      <c r="C1462" s="4" t="s">
        <v>35</v>
      </c>
      <c r="D1462" s="4" t="s">
        <v>47</v>
      </c>
      <c r="E1462" s="4" t="s">
        <v>25</v>
      </c>
      <c r="F1462" s="4" t="s">
        <v>25</v>
      </c>
      <c r="G1462" s="4" t="s">
        <v>25</v>
      </c>
      <c r="H1462" s="4" t="s">
        <v>38</v>
      </c>
      <c r="I1462" s="5">
        <v>44805</v>
      </c>
      <c r="J1462" s="6">
        <v>0</v>
      </c>
      <c r="K1462" s="6">
        <v>0</v>
      </c>
      <c r="L1462" s="6">
        <v>4.5999999999999999E-2</v>
      </c>
      <c r="M1462" s="6">
        <v>4.5999999999999999E-2</v>
      </c>
      <c r="N1462" s="6">
        <v>4.5999999999999999E-2</v>
      </c>
      <c r="O1462" s="6">
        <v>4.5999999999999999E-2</v>
      </c>
      <c r="P1462" s="6">
        <v>0</v>
      </c>
      <c r="Q1462" s="4" t="s">
        <v>26</v>
      </c>
      <c r="R1462" s="4">
        <v>0</v>
      </c>
      <c r="S1462" s="6">
        <v>0</v>
      </c>
      <c r="T1462" s="6">
        <v>50</v>
      </c>
      <c r="U1462" s="6">
        <v>94</v>
      </c>
      <c r="V1462" s="6">
        <f>IF(ISERROR(VLOOKUP($S$1462,'TAR FIN'!$A$1:$O$115,15,0)),0,VLOOKUP($S$1462,'TAR FIN'!$A$1:$O$115,15,0))</f>
        <v>0</v>
      </c>
      <c r="W1462" s="6">
        <f>IF(ISERROR(VLOOKUP($T$1462,'TAR FIN'!$A$1:$O$115,15,0)),0,VLOOKUP($T$1462,'TAR FIN'!$A$1:$O$115,15,0))</f>
        <v>663.5</v>
      </c>
      <c r="X1462" s="6">
        <f>IF(ISERROR(VLOOKUP($U$1462,'TAR FIN'!$A$1:$O$115,15,0)),0,VLOOKUP($U$1462,'TAR FIN'!$A$1:$O$115,15,0))</f>
        <v>147.88999999999999</v>
      </c>
      <c r="Y1462" s="6"/>
      <c r="Z1462" s="6">
        <f ca="1">('TUSD BE'!$AM$48+'TUSD BF'!$AM$48+'TUSD CVA'!$AM$48)*(1-CUSTOS!$M$38)</f>
        <v>743.00402372921542</v>
      </c>
      <c r="AA1462" s="6">
        <f>('TE BE'!$AB$31+'TE BF'!$AB$31+'TE CVA'!$AB$31)*(1-CUSTOS!$M$38)</f>
        <v>205.56430218792661</v>
      </c>
      <c r="AB1462" s="6">
        <f>$K$1462*$V$1462</f>
        <v>0</v>
      </c>
      <c r="AC1462" s="6">
        <f>$M$1462*$W$1462</f>
        <v>30.521000000000001</v>
      </c>
      <c r="AD1462" s="6">
        <f>$O$1462*$X$1462</f>
        <v>6.8029399999999995</v>
      </c>
      <c r="AE1462" s="6">
        <f>$K$1462*$Y$1462</f>
        <v>0</v>
      </c>
      <c r="AF1462" s="6">
        <f ca="1">$M$1462*$Z$1462</f>
        <v>34.178185091543909</v>
      </c>
      <c r="AG1462" s="6">
        <f>$O$1462*$AA$1462</f>
        <v>9.4559579006446235</v>
      </c>
    </row>
    <row r="1463" spans="1:33" ht="11.25" customHeight="1" x14ac:dyDescent="0.25">
      <c r="A1463" s="4" t="s">
        <v>21</v>
      </c>
      <c r="B1463" s="4" t="s">
        <v>46</v>
      </c>
      <c r="C1463" s="4" t="s">
        <v>35</v>
      </c>
      <c r="D1463" s="4" t="s">
        <v>47</v>
      </c>
      <c r="E1463" s="4" t="s">
        <v>25</v>
      </c>
      <c r="F1463" s="4" t="s">
        <v>25</v>
      </c>
      <c r="G1463" s="4" t="s">
        <v>25</v>
      </c>
      <c r="H1463" s="4" t="s">
        <v>38</v>
      </c>
      <c r="I1463" s="5">
        <v>44835</v>
      </c>
      <c r="J1463" s="6">
        <v>0</v>
      </c>
      <c r="K1463" s="6">
        <v>0</v>
      </c>
      <c r="L1463" s="6">
        <v>4.9000000000000002E-2</v>
      </c>
      <c r="M1463" s="6">
        <v>4.9000000000000002E-2</v>
      </c>
      <c r="N1463" s="6">
        <v>4.9000000000000002E-2</v>
      </c>
      <c r="O1463" s="6">
        <v>4.9000000000000002E-2</v>
      </c>
      <c r="P1463" s="6">
        <v>0</v>
      </c>
      <c r="Q1463" s="4" t="s">
        <v>26</v>
      </c>
      <c r="R1463" s="4">
        <v>0</v>
      </c>
      <c r="S1463" s="6">
        <v>0</v>
      </c>
      <c r="T1463" s="6">
        <v>50</v>
      </c>
      <c r="U1463" s="6">
        <v>94</v>
      </c>
      <c r="V1463" s="6">
        <f>IF(ISERROR(VLOOKUP($S$1463,'TAR FIN'!$A$1:$O$115,15,0)),0,VLOOKUP($S$1463,'TAR FIN'!$A$1:$O$115,15,0))</f>
        <v>0</v>
      </c>
      <c r="W1463" s="6">
        <f>IF(ISERROR(VLOOKUP($T$1463,'TAR FIN'!$A$1:$O$115,15,0)),0,VLOOKUP($T$1463,'TAR FIN'!$A$1:$O$115,15,0))</f>
        <v>663.5</v>
      </c>
      <c r="X1463" s="6">
        <f>IF(ISERROR(VLOOKUP($U$1463,'TAR FIN'!$A$1:$O$115,15,0)),0,VLOOKUP($U$1463,'TAR FIN'!$A$1:$O$115,15,0))</f>
        <v>147.88999999999999</v>
      </c>
      <c r="Y1463" s="6"/>
      <c r="Z1463" s="6">
        <f ca="1">('TUSD BE'!$AM$48+'TUSD BF'!$AM$48+'TUSD CVA'!$AM$48)*(1-CUSTOS!$M$38)</f>
        <v>743.00402372921542</v>
      </c>
      <c r="AA1463" s="6">
        <f>('TE BE'!$AB$31+'TE BF'!$AB$31+'TE CVA'!$AB$31)*(1-CUSTOS!$M$38)</f>
        <v>205.56430218792661</v>
      </c>
      <c r="AB1463" s="6">
        <f>$K$1463*$V$1463</f>
        <v>0</v>
      </c>
      <c r="AC1463" s="6">
        <f>$M$1463*$W$1463</f>
        <v>32.511499999999998</v>
      </c>
      <c r="AD1463" s="6">
        <f>$O$1463*$X$1463</f>
        <v>7.2466099999999996</v>
      </c>
      <c r="AE1463" s="6">
        <f>$K$1463*$Y$1463</f>
        <v>0</v>
      </c>
      <c r="AF1463" s="6">
        <f ca="1">$M$1463*$Z$1463</f>
        <v>36.407197162731556</v>
      </c>
      <c r="AG1463" s="6">
        <f>$O$1463*$AA$1463</f>
        <v>10.072650807208404</v>
      </c>
    </row>
    <row r="1464" spans="1:33" ht="11.25" customHeight="1" x14ac:dyDescent="0.25">
      <c r="A1464" s="4" t="s">
        <v>59</v>
      </c>
      <c r="B1464" s="4" t="s">
        <v>46</v>
      </c>
      <c r="C1464" s="4" t="s">
        <v>35</v>
      </c>
      <c r="D1464" s="4" t="s">
        <v>47</v>
      </c>
      <c r="E1464" s="4" t="s">
        <v>25</v>
      </c>
      <c r="F1464" s="4" t="s">
        <v>25</v>
      </c>
      <c r="G1464" s="4" t="s">
        <v>25</v>
      </c>
      <c r="H1464" s="4" t="s">
        <v>38</v>
      </c>
      <c r="I1464" s="5">
        <v>44866</v>
      </c>
      <c r="J1464" s="6">
        <v>0</v>
      </c>
      <c r="K1464" s="6">
        <v>0</v>
      </c>
      <c r="L1464" s="6">
        <v>4.9000000000000002E-2</v>
      </c>
      <c r="M1464" s="6">
        <v>4.9000000000000002E-2</v>
      </c>
      <c r="N1464" s="6">
        <v>4.9000000000000002E-2</v>
      </c>
      <c r="O1464" s="6">
        <v>4.9000000000000002E-2</v>
      </c>
      <c r="P1464" s="6">
        <v>0</v>
      </c>
      <c r="Q1464" s="4" t="s">
        <v>26</v>
      </c>
      <c r="R1464" s="4">
        <v>0</v>
      </c>
      <c r="S1464" s="6">
        <v>0</v>
      </c>
      <c r="T1464" s="6">
        <v>50</v>
      </c>
      <c r="U1464" s="6">
        <v>94</v>
      </c>
      <c r="V1464" s="6">
        <f>IF(ISERROR(VLOOKUP($S$1464,'TAR FIN'!$A$1:$O$115,15,0)),0,VLOOKUP($S$1464,'TAR FIN'!$A$1:$O$115,15,0))</f>
        <v>0</v>
      </c>
      <c r="W1464" s="6">
        <f>IF(ISERROR(VLOOKUP($T$1464,'TAR FIN'!$A$1:$O$115,15,0)),0,VLOOKUP($T$1464,'TAR FIN'!$A$1:$O$115,15,0))</f>
        <v>663.5</v>
      </c>
      <c r="X1464" s="6">
        <f>IF(ISERROR(VLOOKUP($U$1464,'TAR FIN'!$A$1:$O$115,15,0)),0,VLOOKUP($U$1464,'TAR FIN'!$A$1:$O$115,15,0))</f>
        <v>147.88999999999999</v>
      </c>
      <c r="Y1464" s="6"/>
      <c r="Z1464" s="6">
        <f ca="1">('TUSD BE'!$AM$48+'TUSD BF'!$AM$48+'TUSD CVA'!$AM$48)*(1-CUSTOS!$M$38)</f>
        <v>743.00402372921542</v>
      </c>
      <c r="AA1464" s="6">
        <f>('TE BE'!$AB$31+'TE BF'!$AB$31+'TE CVA'!$AB$31)*(1-CUSTOS!$M$38)</f>
        <v>205.56430218792661</v>
      </c>
      <c r="AB1464" s="6">
        <f>$K$1464*$V$1464</f>
        <v>0</v>
      </c>
      <c r="AC1464" s="6">
        <f>$M$1464*$W$1464</f>
        <v>32.511499999999998</v>
      </c>
      <c r="AD1464" s="6">
        <f>$O$1464*$X$1464</f>
        <v>7.2466099999999996</v>
      </c>
      <c r="AE1464" s="6">
        <f>$K$1464*$Y$1464</f>
        <v>0</v>
      </c>
      <c r="AF1464" s="6">
        <f ca="1">$M$1464*$Z$1464</f>
        <v>36.407197162731556</v>
      </c>
      <c r="AG1464" s="6">
        <f>$O$1464*$AA$1464</f>
        <v>10.072650807208404</v>
      </c>
    </row>
    <row r="1465" spans="1:33" ht="11.25" customHeight="1" x14ac:dyDescent="0.25">
      <c r="A1465" s="4" t="s">
        <v>21</v>
      </c>
      <c r="B1465" s="4" t="s">
        <v>46</v>
      </c>
      <c r="C1465" s="4" t="s">
        <v>35</v>
      </c>
      <c r="D1465" s="4" t="s">
        <v>47</v>
      </c>
      <c r="E1465" s="4" t="s">
        <v>25</v>
      </c>
      <c r="F1465" s="4" t="s">
        <v>25</v>
      </c>
      <c r="G1465" s="4" t="s">
        <v>25</v>
      </c>
      <c r="H1465" s="4" t="s">
        <v>36</v>
      </c>
      <c r="I1465" s="5">
        <v>44531</v>
      </c>
      <c r="J1465" s="6">
        <v>0</v>
      </c>
      <c r="K1465" s="6">
        <v>0</v>
      </c>
      <c r="L1465" s="6">
        <v>0.29199999999999998</v>
      </c>
      <c r="M1465" s="6">
        <v>0.29199999999999998</v>
      </c>
      <c r="N1465" s="6">
        <v>0.29199999999999998</v>
      </c>
      <c r="O1465" s="6">
        <v>0.29199999999999998</v>
      </c>
      <c r="P1465" s="6">
        <v>0</v>
      </c>
      <c r="Q1465" s="4" t="s">
        <v>26</v>
      </c>
      <c r="R1465" s="4">
        <v>0</v>
      </c>
      <c r="S1465" s="6">
        <v>0</v>
      </c>
      <c r="T1465" s="6">
        <v>49</v>
      </c>
      <c r="U1465" s="6">
        <v>93</v>
      </c>
      <c r="V1465" s="6">
        <f>IF(ISERROR(VLOOKUP($S$1465,'TAR FIN'!$A$1:$O$115,15,0)),0,VLOOKUP($S$1465,'TAR FIN'!$A$1:$O$115,15,0))</f>
        <v>0</v>
      </c>
      <c r="W1465" s="6">
        <f>IF(ISERROR(VLOOKUP($T$1465,'TAR FIN'!$A$1:$O$115,15,0)),0,VLOOKUP($T$1465,'TAR FIN'!$A$1:$O$115,15,0))</f>
        <v>1039.0999999999999</v>
      </c>
      <c r="X1465" s="6">
        <f>IF(ISERROR(VLOOKUP($U$1465,'TAR FIN'!$A$1:$O$115,15,0)),0,VLOOKUP($U$1465,'TAR FIN'!$A$1:$O$115,15,0))</f>
        <v>237.87</v>
      </c>
      <c r="Y1465" s="6"/>
      <c r="Z1465" s="6">
        <f ca="1">('TUSD BE'!$AM$47+'TUSD BF'!$AM$47+'TUSD CVA'!$AM$47)*(1-CUSTOS!$M$38)</f>
        <v>1141.2204051948077</v>
      </c>
      <c r="AA1465" s="6">
        <f>('TE BE'!$AB$30+'TE BF'!$AB$30+'TE CVA'!$AB$30)*(1-CUSTOS!$M$38)</f>
        <v>340.88534762258826</v>
      </c>
      <c r="AB1465" s="6">
        <f>$K$1465*$V$1465</f>
        <v>0</v>
      </c>
      <c r="AC1465" s="6">
        <f>$M$1465*$W$1465</f>
        <v>303.41719999999998</v>
      </c>
      <c r="AD1465" s="6">
        <f>$O$1465*$X$1465</f>
        <v>69.458039999999997</v>
      </c>
      <c r="AE1465" s="6">
        <f>$K$1465*$Y$1465</f>
        <v>0</v>
      </c>
      <c r="AF1465" s="6">
        <f ca="1">$M$1465*$Z$1465</f>
        <v>333.23635831688381</v>
      </c>
      <c r="AG1465" s="6">
        <f>$O$1465*$AA$1465</f>
        <v>99.538521505795771</v>
      </c>
    </row>
    <row r="1466" spans="1:33" ht="11.25" customHeight="1" x14ac:dyDescent="0.25">
      <c r="A1466" s="4" t="s">
        <v>28</v>
      </c>
      <c r="B1466" s="4" t="s">
        <v>46</v>
      </c>
      <c r="C1466" s="4" t="s">
        <v>35</v>
      </c>
      <c r="D1466" s="4" t="s">
        <v>47</v>
      </c>
      <c r="E1466" s="4" t="s">
        <v>25</v>
      </c>
      <c r="F1466" s="4" t="s">
        <v>25</v>
      </c>
      <c r="G1466" s="4" t="s">
        <v>25</v>
      </c>
      <c r="H1466" s="4" t="s">
        <v>36</v>
      </c>
      <c r="I1466" s="5">
        <v>44531</v>
      </c>
      <c r="J1466" s="6">
        <v>0</v>
      </c>
      <c r="K1466" s="6">
        <v>0</v>
      </c>
      <c r="L1466" s="6">
        <v>1E-3</v>
      </c>
      <c r="M1466" s="6">
        <v>1E-3</v>
      </c>
      <c r="N1466" s="6">
        <v>1E-3</v>
      </c>
      <c r="O1466" s="6">
        <v>1E-3</v>
      </c>
      <c r="P1466" s="6">
        <v>0</v>
      </c>
      <c r="Q1466" s="4" t="s">
        <v>26</v>
      </c>
      <c r="R1466" s="4">
        <v>0</v>
      </c>
      <c r="S1466" s="6">
        <v>0</v>
      </c>
      <c r="T1466" s="6">
        <v>49</v>
      </c>
      <c r="U1466" s="6">
        <v>93</v>
      </c>
      <c r="V1466" s="6">
        <f>IF(ISERROR(VLOOKUP($S$1466,'TAR FIN'!$A$1:$O$115,15,0)),0,VLOOKUP($S$1466,'TAR FIN'!$A$1:$O$115,15,0))</f>
        <v>0</v>
      </c>
      <c r="W1466" s="6">
        <f>IF(ISERROR(VLOOKUP($T$1466,'TAR FIN'!$A$1:$O$115,15,0)),0,VLOOKUP($T$1466,'TAR FIN'!$A$1:$O$115,15,0))</f>
        <v>1039.0999999999999</v>
      </c>
      <c r="X1466" s="6">
        <f>IF(ISERROR(VLOOKUP($U$1466,'TAR FIN'!$A$1:$O$115,15,0)),0,VLOOKUP($U$1466,'TAR FIN'!$A$1:$O$115,15,0))</f>
        <v>237.87</v>
      </c>
      <c r="Y1466" s="6"/>
      <c r="Z1466" s="6">
        <f ca="1">('TUSD BE'!$AM$47+'TUSD BF'!$AM$47+'TUSD CVA'!$AM$47)*(1-CUSTOS!$M$38)</f>
        <v>1141.2204051948077</v>
      </c>
      <c r="AA1466" s="6">
        <f>('TE BE'!$AB$30+'TE BF'!$AB$30+'TE CVA'!$AB$30)*(1-CUSTOS!$M$38)</f>
        <v>340.88534762258826</v>
      </c>
      <c r="AB1466" s="6">
        <f>$K$1466*$V$1466</f>
        <v>0</v>
      </c>
      <c r="AC1466" s="6">
        <f>$M$1466*$W$1466</f>
        <v>1.0390999999999999</v>
      </c>
      <c r="AD1466" s="6">
        <f>$O$1466*$X$1466</f>
        <v>0.23787</v>
      </c>
      <c r="AE1466" s="6">
        <f>$K$1466*$Y$1466</f>
        <v>0</v>
      </c>
      <c r="AF1466" s="6">
        <f ca="1">$M$1466*$Z$1466</f>
        <v>1.1412204051948076</v>
      </c>
      <c r="AG1466" s="6">
        <f>$O$1466*$AA$1466</f>
        <v>0.34088534762258826</v>
      </c>
    </row>
    <row r="1467" spans="1:33" ht="11.25" customHeight="1" x14ac:dyDescent="0.25">
      <c r="A1467" s="4" t="s">
        <v>21</v>
      </c>
      <c r="B1467" s="4" t="s">
        <v>46</v>
      </c>
      <c r="C1467" s="4" t="s">
        <v>35</v>
      </c>
      <c r="D1467" s="4" t="s">
        <v>47</v>
      </c>
      <c r="E1467" s="4" t="s">
        <v>25</v>
      </c>
      <c r="F1467" s="4" t="s">
        <v>25</v>
      </c>
      <c r="G1467" s="4" t="s">
        <v>25</v>
      </c>
      <c r="H1467" s="4" t="s">
        <v>36</v>
      </c>
      <c r="I1467" s="5">
        <v>44562</v>
      </c>
      <c r="J1467" s="6">
        <v>0</v>
      </c>
      <c r="K1467" s="6">
        <v>0</v>
      </c>
      <c r="L1467" s="6">
        <v>0.29599999999999999</v>
      </c>
      <c r="M1467" s="6">
        <v>0.29599999999999999</v>
      </c>
      <c r="N1467" s="6">
        <v>0.29599999999999999</v>
      </c>
      <c r="O1467" s="6">
        <v>0.29599999999999999</v>
      </c>
      <c r="P1467" s="6">
        <v>0</v>
      </c>
      <c r="Q1467" s="4" t="s">
        <v>26</v>
      </c>
      <c r="R1467" s="4">
        <v>0</v>
      </c>
      <c r="S1467" s="6">
        <v>0</v>
      </c>
      <c r="T1467" s="6">
        <v>49</v>
      </c>
      <c r="U1467" s="6">
        <v>93</v>
      </c>
      <c r="V1467" s="6">
        <f>IF(ISERROR(VLOOKUP($S$1467,'TAR FIN'!$A$1:$O$115,15,0)),0,VLOOKUP($S$1467,'TAR FIN'!$A$1:$O$115,15,0))</f>
        <v>0</v>
      </c>
      <c r="W1467" s="6">
        <f>IF(ISERROR(VLOOKUP($T$1467,'TAR FIN'!$A$1:$O$115,15,0)),0,VLOOKUP($T$1467,'TAR FIN'!$A$1:$O$115,15,0))</f>
        <v>1039.0999999999999</v>
      </c>
      <c r="X1467" s="6">
        <f>IF(ISERROR(VLOOKUP($U$1467,'TAR FIN'!$A$1:$O$115,15,0)),0,VLOOKUP($U$1467,'TAR FIN'!$A$1:$O$115,15,0))</f>
        <v>237.87</v>
      </c>
      <c r="Y1467" s="6"/>
      <c r="Z1467" s="6">
        <f ca="1">('TUSD BE'!$AM$47+'TUSD BF'!$AM$47+'TUSD CVA'!$AM$47)*(1-CUSTOS!$M$38)</f>
        <v>1141.2204051948077</v>
      </c>
      <c r="AA1467" s="6">
        <f>('TE BE'!$AB$30+'TE BF'!$AB$30+'TE CVA'!$AB$30)*(1-CUSTOS!$M$38)</f>
        <v>340.88534762258826</v>
      </c>
      <c r="AB1467" s="6">
        <f>$K$1467*$V$1467</f>
        <v>0</v>
      </c>
      <c r="AC1467" s="6">
        <f>$M$1467*$W$1467</f>
        <v>307.57359999999994</v>
      </c>
      <c r="AD1467" s="6">
        <f>$O$1467*$X$1467</f>
        <v>70.409520000000001</v>
      </c>
      <c r="AE1467" s="6">
        <f>$K$1467*$Y$1467</f>
        <v>0</v>
      </c>
      <c r="AF1467" s="6">
        <f ca="1">$M$1467*$Z$1467</f>
        <v>337.80123993766307</v>
      </c>
      <c r="AG1467" s="6">
        <f>$O$1467*$AA$1467</f>
        <v>100.90206289628613</v>
      </c>
    </row>
    <row r="1468" spans="1:33" ht="11.25" customHeight="1" x14ac:dyDescent="0.25">
      <c r="A1468" s="4" t="s">
        <v>28</v>
      </c>
      <c r="B1468" s="4" t="s">
        <v>46</v>
      </c>
      <c r="C1468" s="4" t="s">
        <v>35</v>
      </c>
      <c r="D1468" s="4" t="s">
        <v>47</v>
      </c>
      <c r="E1468" s="4" t="s">
        <v>25</v>
      </c>
      <c r="F1468" s="4" t="s">
        <v>25</v>
      </c>
      <c r="G1468" s="4" t="s">
        <v>25</v>
      </c>
      <c r="H1468" s="4" t="s">
        <v>36</v>
      </c>
      <c r="I1468" s="5">
        <v>44562</v>
      </c>
      <c r="J1468" s="6">
        <v>0</v>
      </c>
      <c r="K1468" s="6">
        <v>0</v>
      </c>
      <c r="L1468" s="6">
        <v>1.2999999999999999E-2</v>
      </c>
      <c r="M1468" s="6">
        <v>1.2999999999999999E-2</v>
      </c>
      <c r="N1468" s="6">
        <v>1.2999999999999999E-2</v>
      </c>
      <c r="O1468" s="6">
        <v>1.2999999999999999E-2</v>
      </c>
      <c r="P1468" s="6">
        <v>0</v>
      </c>
      <c r="Q1468" s="4" t="s">
        <v>26</v>
      </c>
      <c r="R1468" s="4">
        <v>0</v>
      </c>
      <c r="S1468" s="6">
        <v>0</v>
      </c>
      <c r="T1468" s="6">
        <v>49</v>
      </c>
      <c r="U1468" s="6">
        <v>93</v>
      </c>
      <c r="V1468" s="6">
        <f>IF(ISERROR(VLOOKUP($S$1468,'TAR FIN'!$A$1:$O$115,15,0)),0,VLOOKUP($S$1468,'TAR FIN'!$A$1:$O$115,15,0))</f>
        <v>0</v>
      </c>
      <c r="W1468" s="6">
        <f>IF(ISERROR(VLOOKUP($T$1468,'TAR FIN'!$A$1:$O$115,15,0)),0,VLOOKUP($T$1468,'TAR FIN'!$A$1:$O$115,15,0))</f>
        <v>1039.0999999999999</v>
      </c>
      <c r="X1468" s="6">
        <f>IF(ISERROR(VLOOKUP($U$1468,'TAR FIN'!$A$1:$O$115,15,0)),0,VLOOKUP($U$1468,'TAR FIN'!$A$1:$O$115,15,0))</f>
        <v>237.87</v>
      </c>
      <c r="Y1468" s="6"/>
      <c r="Z1468" s="6">
        <f ca="1">('TUSD BE'!$AM$47+'TUSD BF'!$AM$47+'TUSD CVA'!$AM$47)*(1-CUSTOS!$M$38)</f>
        <v>1141.2204051948077</v>
      </c>
      <c r="AA1468" s="6">
        <f>('TE BE'!$AB$30+'TE BF'!$AB$30+'TE CVA'!$AB$30)*(1-CUSTOS!$M$38)</f>
        <v>340.88534762258826</v>
      </c>
      <c r="AB1468" s="6">
        <f>$K$1468*$V$1468</f>
        <v>0</v>
      </c>
      <c r="AC1468" s="6">
        <f>$M$1468*$W$1468</f>
        <v>13.508299999999998</v>
      </c>
      <c r="AD1468" s="6">
        <f>$O$1468*$X$1468</f>
        <v>3.0923099999999999</v>
      </c>
      <c r="AE1468" s="6">
        <f>$K$1468*$Y$1468</f>
        <v>0</v>
      </c>
      <c r="AF1468" s="6">
        <f ca="1">$M$1468*$Z$1468</f>
        <v>14.835865267532499</v>
      </c>
      <c r="AG1468" s="6">
        <f>$O$1468*$AA$1468</f>
        <v>4.4315095190936473</v>
      </c>
    </row>
    <row r="1469" spans="1:33" ht="11.25" customHeight="1" x14ac:dyDescent="0.25">
      <c r="A1469" s="4" t="s">
        <v>21</v>
      </c>
      <c r="B1469" s="4" t="s">
        <v>46</v>
      </c>
      <c r="C1469" s="4" t="s">
        <v>35</v>
      </c>
      <c r="D1469" s="4" t="s">
        <v>47</v>
      </c>
      <c r="E1469" s="4" t="s">
        <v>25</v>
      </c>
      <c r="F1469" s="4" t="s">
        <v>25</v>
      </c>
      <c r="G1469" s="4" t="s">
        <v>25</v>
      </c>
      <c r="H1469" s="4" t="s">
        <v>36</v>
      </c>
      <c r="I1469" s="5">
        <v>44593</v>
      </c>
      <c r="J1469" s="6">
        <v>0</v>
      </c>
      <c r="K1469" s="6">
        <v>0</v>
      </c>
      <c r="L1469" s="6">
        <v>0.315</v>
      </c>
      <c r="M1469" s="6">
        <v>0.315</v>
      </c>
      <c r="N1469" s="6">
        <v>0.315</v>
      </c>
      <c r="O1469" s="6">
        <v>0.315</v>
      </c>
      <c r="P1469" s="6">
        <v>0</v>
      </c>
      <c r="Q1469" s="4" t="s">
        <v>26</v>
      </c>
      <c r="R1469" s="4">
        <v>0</v>
      </c>
      <c r="S1469" s="6">
        <v>0</v>
      </c>
      <c r="T1469" s="6">
        <v>49</v>
      </c>
      <c r="U1469" s="6">
        <v>93</v>
      </c>
      <c r="V1469" s="6">
        <f>IF(ISERROR(VLOOKUP($S$1469,'TAR FIN'!$A$1:$O$115,15,0)),0,VLOOKUP($S$1469,'TAR FIN'!$A$1:$O$115,15,0))</f>
        <v>0</v>
      </c>
      <c r="W1469" s="6">
        <f>IF(ISERROR(VLOOKUP($T$1469,'TAR FIN'!$A$1:$O$115,15,0)),0,VLOOKUP($T$1469,'TAR FIN'!$A$1:$O$115,15,0))</f>
        <v>1039.0999999999999</v>
      </c>
      <c r="X1469" s="6">
        <f>IF(ISERROR(VLOOKUP($U$1469,'TAR FIN'!$A$1:$O$115,15,0)),0,VLOOKUP($U$1469,'TAR FIN'!$A$1:$O$115,15,0))</f>
        <v>237.87</v>
      </c>
      <c r="Y1469" s="6"/>
      <c r="Z1469" s="6">
        <f ca="1">('TUSD BE'!$AM$47+'TUSD BF'!$AM$47+'TUSD CVA'!$AM$47)*(1-CUSTOS!$M$38)</f>
        <v>1141.2204051948077</v>
      </c>
      <c r="AA1469" s="6">
        <f>('TE BE'!$AB$30+'TE BF'!$AB$30+'TE CVA'!$AB$30)*(1-CUSTOS!$M$38)</f>
        <v>340.88534762258826</v>
      </c>
      <c r="AB1469" s="6">
        <f>$K$1469*$V$1469</f>
        <v>0</v>
      </c>
      <c r="AC1469" s="6">
        <f>$M$1469*$W$1469</f>
        <v>327.31649999999996</v>
      </c>
      <c r="AD1469" s="6">
        <f>$O$1469*$X$1469</f>
        <v>74.929050000000004</v>
      </c>
      <c r="AE1469" s="6">
        <f>$K$1469*$Y$1469</f>
        <v>0</v>
      </c>
      <c r="AF1469" s="6">
        <f ca="1">$M$1469*$Z$1469</f>
        <v>359.48442763636439</v>
      </c>
      <c r="AG1469" s="6">
        <f>$O$1469*$AA$1469</f>
        <v>107.37888450111529</v>
      </c>
    </row>
    <row r="1470" spans="1:33" ht="11.25" customHeight="1" x14ac:dyDescent="0.25">
      <c r="A1470" s="4" t="s">
        <v>28</v>
      </c>
      <c r="B1470" s="4" t="s">
        <v>46</v>
      </c>
      <c r="C1470" s="4" t="s">
        <v>35</v>
      </c>
      <c r="D1470" s="4" t="s">
        <v>47</v>
      </c>
      <c r="E1470" s="4" t="s">
        <v>25</v>
      </c>
      <c r="F1470" s="4" t="s">
        <v>25</v>
      </c>
      <c r="G1470" s="4" t="s">
        <v>25</v>
      </c>
      <c r="H1470" s="4" t="s">
        <v>36</v>
      </c>
      <c r="I1470" s="5">
        <v>44593</v>
      </c>
      <c r="J1470" s="6">
        <v>0</v>
      </c>
      <c r="K1470" s="6">
        <v>0</v>
      </c>
      <c r="L1470" s="6">
        <v>1.7999999999999999E-2</v>
      </c>
      <c r="M1470" s="6">
        <v>1.7999999999999999E-2</v>
      </c>
      <c r="N1470" s="6">
        <v>1.7999999999999999E-2</v>
      </c>
      <c r="O1470" s="6">
        <v>1.7999999999999999E-2</v>
      </c>
      <c r="P1470" s="6">
        <v>0</v>
      </c>
      <c r="Q1470" s="4" t="s">
        <v>26</v>
      </c>
      <c r="R1470" s="4">
        <v>0</v>
      </c>
      <c r="S1470" s="6">
        <v>0</v>
      </c>
      <c r="T1470" s="6">
        <v>49</v>
      </c>
      <c r="U1470" s="6">
        <v>93</v>
      </c>
      <c r="V1470" s="6">
        <f>IF(ISERROR(VLOOKUP($S$1470,'TAR FIN'!$A$1:$O$115,15,0)),0,VLOOKUP($S$1470,'TAR FIN'!$A$1:$O$115,15,0))</f>
        <v>0</v>
      </c>
      <c r="W1470" s="6">
        <f>IF(ISERROR(VLOOKUP($T$1470,'TAR FIN'!$A$1:$O$115,15,0)),0,VLOOKUP($T$1470,'TAR FIN'!$A$1:$O$115,15,0))</f>
        <v>1039.0999999999999</v>
      </c>
      <c r="X1470" s="6">
        <f>IF(ISERROR(VLOOKUP($U$1470,'TAR FIN'!$A$1:$O$115,15,0)),0,VLOOKUP($U$1470,'TAR FIN'!$A$1:$O$115,15,0))</f>
        <v>237.87</v>
      </c>
      <c r="Y1470" s="6"/>
      <c r="Z1470" s="6">
        <f ca="1">('TUSD BE'!$AM$47+'TUSD BF'!$AM$47+'TUSD CVA'!$AM$47)*(1-CUSTOS!$M$38)</f>
        <v>1141.2204051948077</v>
      </c>
      <c r="AA1470" s="6">
        <f>('TE BE'!$AB$30+'TE BF'!$AB$30+'TE CVA'!$AB$30)*(1-CUSTOS!$M$38)</f>
        <v>340.88534762258826</v>
      </c>
      <c r="AB1470" s="6">
        <f>$K$1470*$V$1470</f>
        <v>0</v>
      </c>
      <c r="AC1470" s="6">
        <f>$M$1470*$W$1470</f>
        <v>18.703799999999998</v>
      </c>
      <c r="AD1470" s="6">
        <f>$O$1470*$X$1470</f>
        <v>4.2816599999999996</v>
      </c>
      <c r="AE1470" s="6">
        <f>$K$1470*$Y$1470</f>
        <v>0</v>
      </c>
      <c r="AF1470" s="6">
        <f ca="1">$M$1470*$Z$1470</f>
        <v>20.541967293506538</v>
      </c>
      <c r="AG1470" s="6">
        <f>$O$1470*$AA$1470</f>
        <v>6.1359362572065885</v>
      </c>
    </row>
    <row r="1471" spans="1:33" ht="11.25" customHeight="1" x14ac:dyDescent="0.25">
      <c r="A1471" s="4" t="s">
        <v>21</v>
      </c>
      <c r="B1471" s="4" t="s">
        <v>46</v>
      </c>
      <c r="C1471" s="4" t="s">
        <v>35</v>
      </c>
      <c r="D1471" s="4" t="s">
        <v>47</v>
      </c>
      <c r="E1471" s="4" t="s">
        <v>25</v>
      </c>
      <c r="F1471" s="4" t="s">
        <v>25</v>
      </c>
      <c r="G1471" s="4" t="s">
        <v>25</v>
      </c>
      <c r="H1471" s="4" t="s">
        <v>36</v>
      </c>
      <c r="I1471" s="5">
        <v>44621</v>
      </c>
      <c r="J1471" s="6">
        <v>0</v>
      </c>
      <c r="K1471" s="6">
        <v>0</v>
      </c>
      <c r="L1471" s="6">
        <v>0.23400000000000001</v>
      </c>
      <c r="M1471" s="6">
        <v>0.23400000000000001</v>
      </c>
      <c r="N1471" s="6">
        <v>0.23400000000000001</v>
      </c>
      <c r="O1471" s="6">
        <v>0.23400000000000001</v>
      </c>
      <c r="P1471" s="6">
        <v>0</v>
      </c>
      <c r="Q1471" s="4" t="s">
        <v>26</v>
      </c>
      <c r="R1471" s="4">
        <v>0</v>
      </c>
      <c r="S1471" s="6">
        <v>0</v>
      </c>
      <c r="T1471" s="6">
        <v>49</v>
      </c>
      <c r="U1471" s="6">
        <v>93</v>
      </c>
      <c r="V1471" s="6">
        <f>IF(ISERROR(VLOOKUP($S$1471,'TAR FIN'!$A$1:$O$115,15,0)),0,VLOOKUP($S$1471,'TAR FIN'!$A$1:$O$115,15,0))</f>
        <v>0</v>
      </c>
      <c r="W1471" s="6">
        <f>IF(ISERROR(VLOOKUP($T$1471,'TAR FIN'!$A$1:$O$115,15,0)),0,VLOOKUP($T$1471,'TAR FIN'!$A$1:$O$115,15,0))</f>
        <v>1039.0999999999999</v>
      </c>
      <c r="X1471" s="6">
        <f>IF(ISERROR(VLOOKUP($U$1471,'TAR FIN'!$A$1:$O$115,15,0)),0,VLOOKUP($U$1471,'TAR FIN'!$A$1:$O$115,15,0))</f>
        <v>237.87</v>
      </c>
      <c r="Y1471" s="6"/>
      <c r="Z1471" s="6">
        <f ca="1">('TUSD BE'!$AM$47+'TUSD BF'!$AM$47+'TUSD CVA'!$AM$47)*(1-CUSTOS!$M$38)</f>
        <v>1141.2204051948077</v>
      </c>
      <c r="AA1471" s="6">
        <f>('TE BE'!$AB$30+'TE BF'!$AB$30+'TE CVA'!$AB$30)*(1-CUSTOS!$M$38)</f>
        <v>340.88534762258826</v>
      </c>
      <c r="AB1471" s="6">
        <f>$K$1471*$V$1471</f>
        <v>0</v>
      </c>
      <c r="AC1471" s="6">
        <f>$M$1471*$W$1471</f>
        <v>243.14939999999999</v>
      </c>
      <c r="AD1471" s="6">
        <f>$O$1471*$X$1471</f>
        <v>55.661580000000008</v>
      </c>
      <c r="AE1471" s="6">
        <f>$K$1471*$Y$1471</f>
        <v>0</v>
      </c>
      <c r="AF1471" s="6">
        <f ca="1">$M$1471*$Z$1471</f>
        <v>267.04557481558498</v>
      </c>
      <c r="AG1471" s="6">
        <f>$O$1471*$AA$1471</f>
        <v>79.767171343685661</v>
      </c>
    </row>
    <row r="1472" spans="1:33" ht="11.25" customHeight="1" x14ac:dyDescent="0.25">
      <c r="A1472" s="4" t="s">
        <v>21</v>
      </c>
      <c r="B1472" s="4" t="s">
        <v>46</v>
      </c>
      <c r="C1472" s="4" t="s">
        <v>35</v>
      </c>
      <c r="D1472" s="4" t="s">
        <v>47</v>
      </c>
      <c r="E1472" s="4" t="s">
        <v>25</v>
      </c>
      <c r="F1472" s="4" t="s">
        <v>25</v>
      </c>
      <c r="G1472" s="4" t="s">
        <v>25</v>
      </c>
      <c r="H1472" s="4" t="s">
        <v>36</v>
      </c>
      <c r="I1472" s="5">
        <v>44652</v>
      </c>
      <c r="J1472" s="6">
        <v>0</v>
      </c>
      <c r="K1472" s="6">
        <v>0</v>
      </c>
      <c r="L1472" s="6">
        <v>0.26700000000000002</v>
      </c>
      <c r="M1472" s="6">
        <v>0.26700000000000002</v>
      </c>
      <c r="N1472" s="6">
        <v>0.26700000000000002</v>
      </c>
      <c r="O1472" s="6">
        <v>0.26700000000000002</v>
      </c>
      <c r="P1472" s="6">
        <v>0</v>
      </c>
      <c r="Q1472" s="4" t="s">
        <v>26</v>
      </c>
      <c r="R1472" s="4">
        <v>0</v>
      </c>
      <c r="S1472" s="6">
        <v>0</v>
      </c>
      <c r="T1472" s="6">
        <v>49</v>
      </c>
      <c r="U1472" s="6">
        <v>93</v>
      </c>
      <c r="V1472" s="6">
        <f>IF(ISERROR(VLOOKUP($S$1472,'TAR FIN'!$A$1:$O$115,15,0)),0,VLOOKUP($S$1472,'TAR FIN'!$A$1:$O$115,15,0))</f>
        <v>0</v>
      </c>
      <c r="W1472" s="6">
        <f>IF(ISERROR(VLOOKUP($T$1472,'TAR FIN'!$A$1:$O$115,15,0)),0,VLOOKUP($T$1472,'TAR FIN'!$A$1:$O$115,15,0))</f>
        <v>1039.0999999999999</v>
      </c>
      <c r="X1472" s="6">
        <f>IF(ISERROR(VLOOKUP($U$1472,'TAR FIN'!$A$1:$O$115,15,0)),0,VLOOKUP($U$1472,'TAR FIN'!$A$1:$O$115,15,0))</f>
        <v>237.87</v>
      </c>
      <c r="Y1472" s="6"/>
      <c r="Z1472" s="6">
        <f ca="1">('TUSD BE'!$AM$47+'TUSD BF'!$AM$47+'TUSD CVA'!$AM$47)*(1-CUSTOS!$M$38)</f>
        <v>1141.2204051948077</v>
      </c>
      <c r="AA1472" s="6">
        <f>('TE BE'!$AB$30+'TE BF'!$AB$30+'TE CVA'!$AB$30)*(1-CUSTOS!$M$38)</f>
        <v>340.88534762258826</v>
      </c>
      <c r="AB1472" s="6">
        <f>$K$1472*$V$1472</f>
        <v>0</v>
      </c>
      <c r="AC1472" s="6">
        <f>$M$1472*$W$1472</f>
        <v>277.43970000000002</v>
      </c>
      <c r="AD1472" s="6">
        <f>$O$1472*$X$1472</f>
        <v>63.511290000000002</v>
      </c>
      <c r="AE1472" s="6">
        <f>$K$1472*$Y$1472</f>
        <v>0</v>
      </c>
      <c r="AF1472" s="6">
        <f ca="1">$M$1472*$Z$1472</f>
        <v>304.70584818701366</v>
      </c>
      <c r="AG1472" s="6">
        <f>$O$1472*$AA$1472</f>
        <v>91.01638781523107</v>
      </c>
    </row>
    <row r="1473" spans="1:33" ht="11.25" customHeight="1" x14ac:dyDescent="0.25">
      <c r="A1473" s="4" t="s">
        <v>21</v>
      </c>
      <c r="B1473" s="4" t="s">
        <v>46</v>
      </c>
      <c r="C1473" s="4" t="s">
        <v>35</v>
      </c>
      <c r="D1473" s="4" t="s">
        <v>47</v>
      </c>
      <c r="E1473" s="4" t="s">
        <v>25</v>
      </c>
      <c r="F1473" s="4" t="s">
        <v>25</v>
      </c>
      <c r="G1473" s="4" t="s">
        <v>25</v>
      </c>
      <c r="H1473" s="4" t="s">
        <v>36</v>
      </c>
      <c r="I1473" s="5">
        <v>44682</v>
      </c>
      <c r="J1473" s="6">
        <v>0</v>
      </c>
      <c r="K1473" s="6">
        <v>0</v>
      </c>
      <c r="L1473" s="6">
        <v>0.34200000000000003</v>
      </c>
      <c r="M1473" s="6">
        <v>0.34200000000000003</v>
      </c>
      <c r="N1473" s="6">
        <v>0.34200000000000003</v>
      </c>
      <c r="O1473" s="6">
        <v>0.34200000000000003</v>
      </c>
      <c r="P1473" s="6">
        <v>0</v>
      </c>
      <c r="Q1473" s="4" t="s">
        <v>26</v>
      </c>
      <c r="R1473" s="4">
        <v>0</v>
      </c>
      <c r="S1473" s="6">
        <v>0</v>
      </c>
      <c r="T1473" s="6">
        <v>49</v>
      </c>
      <c r="U1473" s="6">
        <v>93</v>
      </c>
      <c r="V1473" s="6">
        <f>IF(ISERROR(VLOOKUP($S$1473,'TAR FIN'!$A$1:$O$115,15,0)),0,VLOOKUP($S$1473,'TAR FIN'!$A$1:$O$115,15,0))</f>
        <v>0</v>
      </c>
      <c r="W1473" s="6">
        <f>IF(ISERROR(VLOOKUP($T$1473,'TAR FIN'!$A$1:$O$115,15,0)),0,VLOOKUP($T$1473,'TAR FIN'!$A$1:$O$115,15,0))</f>
        <v>1039.0999999999999</v>
      </c>
      <c r="X1473" s="6">
        <f>IF(ISERROR(VLOOKUP($U$1473,'TAR FIN'!$A$1:$O$115,15,0)),0,VLOOKUP($U$1473,'TAR FIN'!$A$1:$O$115,15,0))</f>
        <v>237.87</v>
      </c>
      <c r="Y1473" s="6"/>
      <c r="Z1473" s="6">
        <f ca="1">('TUSD BE'!$AM$47+'TUSD BF'!$AM$47+'TUSD CVA'!$AM$47)*(1-CUSTOS!$M$38)</f>
        <v>1141.2204051948077</v>
      </c>
      <c r="AA1473" s="6">
        <f>('TE BE'!$AB$30+'TE BF'!$AB$30+'TE CVA'!$AB$30)*(1-CUSTOS!$M$38)</f>
        <v>340.88534762258826</v>
      </c>
      <c r="AB1473" s="6">
        <f>$K$1473*$V$1473</f>
        <v>0</v>
      </c>
      <c r="AC1473" s="6">
        <f>$M$1473*$W$1473</f>
        <v>355.37220000000002</v>
      </c>
      <c r="AD1473" s="6">
        <f>$O$1473*$X$1473</f>
        <v>81.351540000000014</v>
      </c>
      <c r="AE1473" s="6">
        <f>$K$1473*$Y$1473</f>
        <v>0</v>
      </c>
      <c r="AF1473" s="6">
        <f ca="1">$M$1473*$Z$1473</f>
        <v>390.29737857662423</v>
      </c>
      <c r="AG1473" s="6">
        <f>$O$1473*$AA$1473</f>
        <v>116.58278888692519</v>
      </c>
    </row>
    <row r="1474" spans="1:33" ht="11.25" customHeight="1" x14ac:dyDescent="0.25">
      <c r="A1474" s="4" t="s">
        <v>21</v>
      </c>
      <c r="B1474" s="4" t="s">
        <v>46</v>
      </c>
      <c r="C1474" s="4" t="s">
        <v>35</v>
      </c>
      <c r="D1474" s="4" t="s">
        <v>47</v>
      </c>
      <c r="E1474" s="4" t="s">
        <v>25</v>
      </c>
      <c r="F1474" s="4" t="s">
        <v>25</v>
      </c>
      <c r="G1474" s="4" t="s">
        <v>25</v>
      </c>
      <c r="H1474" s="4" t="s">
        <v>36</v>
      </c>
      <c r="I1474" s="5">
        <v>44713</v>
      </c>
      <c r="J1474" s="6">
        <v>0</v>
      </c>
      <c r="K1474" s="6">
        <v>0</v>
      </c>
      <c r="L1474" s="6">
        <v>0.26200000000000001</v>
      </c>
      <c r="M1474" s="6">
        <v>0.26200000000000001</v>
      </c>
      <c r="N1474" s="6">
        <v>0.26200000000000001</v>
      </c>
      <c r="O1474" s="6">
        <v>0.26200000000000001</v>
      </c>
      <c r="P1474" s="6">
        <v>0</v>
      </c>
      <c r="Q1474" s="4" t="s">
        <v>26</v>
      </c>
      <c r="R1474" s="4">
        <v>0</v>
      </c>
      <c r="S1474" s="6">
        <v>0</v>
      </c>
      <c r="T1474" s="6">
        <v>49</v>
      </c>
      <c r="U1474" s="6">
        <v>93</v>
      </c>
      <c r="V1474" s="6">
        <f>IF(ISERROR(VLOOKUP($S$1474,'TAR FIN'!$A$1:$O$115,15,0)),0,VLOOKUP($S$1474,'TAR FIN'!$A$1:$O$115,15,0))</f>
        <v>0</v>
      </c>
      <c r="W1474" s="6">
        <f>IF(ISERROR(VLOOKUP($T$1474,'TAR FIN'!$A$1:$O$115,15,0)),0,VLOOKUP($T$1474,'TAR FIN'!$A$1:$O$115,15,0))</f>
        <v>1039.0999999999999</v>
      </c>
      <c r="X1474" s="6">
        <f>IF(ISERROR(VLOOKUP($U$1474,'TAR FIN'!$A$1:$O$115,15,0)),0,VLOOKUP($U$1474,'TAR FIN'!$A$1:$O$115,15,0))</f>
        <v>237.87</v>
      </c>
      <c r="Y1474" s="6"/>
      <c r="Z1474" s="6">
        <f ca="1">('TUSD BE'!$AM$47+'TUSD BF'!$AM$47+'TUSD CVA'!$AM$47)*(1-CUSTOS!$M$38)</f>
        <v>1141.2204051948077</v>
      </c>
      <c r="AA1474" s="6">
        <f>('TE BE'!$AB$30+'TE BF'!$AB$30+'TE CVA'!$AB$30)*(1-CUSTOS!$M$38)</f>
        <v>340.88534762258826</v>
      </c>
      <c r="AB1474" s="6">
        <f>$K$1474*$V$1474</f>
        <v>0</v>
      </c>
      <c r="AC1474" s="6">
        <f>$M$1474*$W$1474</f>
        <v>272.24419999999998</v>
      </c>
      <c r="AD1474" s="6">
        <f>$O$1474*$X$1474</f>
        <v>62.321940000000005</v>
      </c>
      <c r="AE1474" s="6">
        <f>$K$1474*$Y$1474</f>
        <v>0</v>
      </c>
      <c r="AF1474" s="6">
        <f ca="1">$M$1474*$Z$1474</f>
        <v>298.99974616103964</v>
      </c>
      <c r="AG1474" s="6">
        <f>$O$1474*$AA$1474</f>
        <v>89.311961077118127</v>
      </c>
    </row>
    <row r="1475" spans="1:33" ht="11.25" customHeight="1" x14ac:dyDescent="0.25">
      <c r="A1475" s="4" t="s">
        <v>21</v>
      </c>
      <c r="B1475" s="4" t="s">
        <v>46</v>
      </c>
      <c r="C1475" s="4" t="s">
        <v>35</v>
      </c>
      <c r="D1475" s="4" t="s">
        <v>47</v>
      </c>
      <c r="E1475" s="4" t="s">
        <v>25</v>
      </c>
      <c r="F1475" s="4" t="s">
        <v>25</v>
      </c>
      <c r="G1475" s="4" t="s">
        <v>25</v>
      </c>
      <c r="H1475" s="4" t="s">
        <v>36</v>
      </c>
      <c r="I1475" s="5">
        <v>44743</v>
      </c>
      <c r="J1475" s="6">
        <v>0</v>
      </c>
      <c r="K1475" s="6">
        <v>0</v>
      </c>
      <c r="L1475" s="6">
        <v>0.24</v>
      </c>
      <c r="M1475" s="6">
        <v>0.24</v>
      </c>
      <c r="N1475" s="6">
        <v>0.24</v>
      </c>
      <c r="O1475" s="6">
        <v>0.24</v>
      </c>
      <c r="P1475" s="6">
        <v>0</v>
      </c>
      <c r="Q1475" s="4" t="s">
        <v>26</v>
      </c>
      <c r="R1475" s="4">
        <v>0</v>
      </c>
      <c r="S1475" s="6">
        <v>0</v>
      </c>
      <c r="T1475" s="6">
        <v>49</v>
      </c>
      <c r="U1475" s="6">
        <v>93</v>
      </c>
      <c r="V1475" s="6">
        <f>IF(ISERROR(VLOOKUP($S$1475,'TAR FIN'!$A$1:$O$115,15,0)),0,VLOOKUP($S$1475,'TAR FIN'!$A$1:$O$115,15,0))</f>
        <v>0</v>
      </c>
      <c r="W1475" s="6">
        <f>IF(ISERROR(VLOOKUP($T$1475,'TAR FIN'!$A$1:$O$115,15,0)),0,VLOOKUP($T$1475,'TAR FIN'!$A$1:$O$115,15,0))</f>
        <v>1039.0999999999999</v>
      </c>
      <c r="X1475" s="6">
        <f>IF(ISERROR(VLOOKUP($U$1475,'TAR FIN'!$A$1:$O$115,15,0)),0,VLOOKUP($U$1475,'TAR FIN'!$A$1:$O$115,15,0))</f>
        <v>237.87</v>
      </c>
      <c r="Y1475" s="6"/>
      <c r="Z1475" s="6">
        <f ca="1">('TUSD BE'!$AM$47+'TUSD BF'!$AM$47+'TUSD CVA'!$AM$47)*(1-CUSTOS!$M$38)</f>
        <v>1141.2204051948077</v>
      </c>
      <c r="AA1475" s="6">
        <f>('TE BE'!$AB$30+'TE BF'!$AB$30+'TE CVA'!$AB$30)*(1-CUSTOS!$M$38)</f>
        <v>340.88534762258826</v>
      </c>
      <c r="AB1475" s="6">
        <f>$K$1475*$V$1475</f>
        <v>0</v>
      </c>
      <c r="AC1475" s="6">
        <f>$M$1475*$W$1475</f>
        <v>249.38399999999996</v>
      </c>
      <c r="AD1475" s="6">
        <f>$O$1475*$X$1475</f>
        <v>57.088799999999999</v>
      </c>
      <c r="AE1475" s="6">
        <f>$K$1475*$Y$1475</f>
        <v>0</v>
      </c>
      <c r="AF1475" s="6">
        <f ca="1">$M$1475*$Z$1475</f>
        <v>273.89289724675382</v>
      </c>
      <c r="AG1475" s="6">
        <f>$O$1475*$AA$1475</f>
        <v>81.812483429421178</v>
      </c>
    </row>
    <row r="1476" spans="1:33" ht="11.25" customHeight="1" x14ac:dyDescent="0.25">
      <c r="A1476" s="4" t="s">
        <v>21</v>
      </c>
      <c r="B1476" s="4" t="s">
        <v>46</v>
      </c>
      <c r="C1476" s="4" t="s">
        <v>35</v>
      </c>
      <c r="D1476" s="4" t="s">
        <v>47</v>
      </c>
      <c r="E1476" s="4" t="s">
        <v>25</v>
      </c>
      <c r="F1476" s="4" t="s">
        <v>25</v>
      </c>
      <c r="G1476" s="4" t="s">
        <v>25</v>
      </c>
      <c r="H1476" s="4" t="s">
        <v>36</v>
      </c>
      <c r="I1476" s="5">
        <v>44774</v>
      </c>
      <c r="J1476" s="6">
        <v>0</v>
      </c>
      <c r="K1476" s="6">
        <v>0</v>
      </c>
      <c r="L1476" s="6">
        <v>0.29899999999999999</v>
      </c>
      <c r="M1476" s="6">
        <v>0.29899999999999999</v>
      </c>
      <c r="N1476" s="6">
        <v>0.29899999999999999</v>
      </c>
      <c r="O1476" s="6">
        <v>0.29899999999999999</v>
      </c>
      <c r="P1476" s="6">
        <v>0</v>
      </c>
      <c r="Q1476" s="4" t="s">
        <v>26</v>
      </c>
      <c r="R1476" s="4">
        <v>0</v>
      </c>
      <c r="S1476" s="6">
        <v>0</v>
      </c>
      <c r="T1476" s="6">
        <v>49</v>
      </c>
      <c r="U1476" s="6">
        <v>93</v>
      </c>
      <c r="V1476" s="6">
        <f>IF(ISERROR(VLOOKUP($S$1476,'TAR FIN'!$A$1:$O$115,15,0)),0,VLOOKUP($S$1476,'TAR FIN'!$A$1:$O$115,15,0))</f>
        <v>0</v>
      </c>
      <c r="W1476" s="6">
        <f>IF(ISERROR(VLOOKUP($T$1476,'TAR FIN'!$A$1:$O$115,15,0)),0,VLOOKUP($T$1476,'TAR FIN'!$A$1:$O$115,15,0))</f>
        <v>1039.0999999999999</v>
      </c>
      <c r="X1476" s="6">
        <f>IF(ISERROR(VLOOKUP($U$1476,'TAR FIN'!$A$1:$O$115,15,0)),0,VLOOKUP($U$1476,'TAR FIN'!$A$1:$O$115,15,0))</f>
        <v>237.87</v>
      </c>
      <c r="Y1476" s="6"/>
      <c r="Z1476" s="6">
        <f ca="1">('TUSD BE'!$AM$47+'TUSD BF'!$AM$47+'TUSD CVA'!$AM$47)*(1-CUSTOS!$M$38)</f>
        <v>1141.2204051948077</v>
      </c>
      <c r="AA1476" s="6">
        <f>('TE BE'!$AB$30+'TE BF'!$AB$30+'TE CVA'!$AB$30)*(1-CUSTOS!$M$38)</f>
        <v>340.88534762258826</v>
      </c>
      <c r="AB1476" s="6">
        <f>$K$1476*$V$1476</f>
        <v>0</v>
      </c>
      <c r="AC1476" s="6">
        <f>$M$1476*$W$1476</f>
        <v>310.69089999999994</v>
      </c>
      <c r="AD1476" s="6">
        <f>$O$1476*$X$1476</f>
        <v>71.123130000000003</v>
      </c>
      <c r="AE1476" s="6">
        <f>$K$1476*$Y$1476</f>
        <v>0</v>
      </c>
      <c r="AF1476" s="6">
        <f ca="1">$M$1476*$Z$1476</f>
        <v>341.22490115324746</v>
      </c>
      <c r="AG1476" s="6">
        <f>$O$1476*$AA$1476</f>
        <v>101.92471893915389</v>
      </c>
    </row>
    <row r="1477" spans="1:33" ht="11.25" customHeight="1" x14ac:dyDescent="0.25">
      <c r="A1477" s="4" t="s">
        <v>21</v>
      </c>
      <c r="B1477" s="4" t="s">
        <v>46</v>
      </c>
      <c r="C1477" s="4" t="s">
        <v>35</v>
      </c>
      <c r="D1477" s="4" t="s">
        <v>47</v>
      </c>
      <c r="E1477" s="4" t="s">
        <v>25</v>
      </c>
      <c r="F1477" s="4" t="s">
        <v>25</v>
      </c>
      <c r="G1477" s="4" t="s">
        <v>25</v>
      </c>
      <c r="H1477" s="4" t="s">
        <v>36</v>
      </c>
      <c r="I1477" s="5">
        <v>44805</v>
      </c>
      <c r="J1477" s="6">
        <v>0</v>
      </c>
      <c r="K1477" s="6">
        <v>0</v>
      </c>
      <c r="L1477" s="6">
        <v>0.23599999999999999</v>
      </c>
      <c r="M1477" s="6">
        <v>0.23599999999999999</v>
      </c>
      <c r="N1477" s="6">
        <v>0.23599999999999999</v>
      </c>
      <c r="O1477" s="6">
        <v>0.23599999999999999</v>
      </c>
      <c r="P1477" s="6">
        <v>0</v>
      </c>
      <c r="Q1477" s="4" t="s">
        <v>26</v>
      </c>
      <c r="R1477" s="4">
        <v>0</v>
      </c>
      <c r="S1477" s="6">
        <v>0</v>
      </c>
      <c r="T1477" s="6">
        <v>49</v>
      </c>
      <c r="U1477" s="6">
        <v>93</v>
      </c>
      <c r="V1477" s="6">
        <f>IF(ISERROR(VLOOKUP($S$1477,'TAR FIN'!$A$1:$O$115,15,0)),0,VLOOKUP($S$1477,'TAR FIN'!$A$1:$O$115,15,0))</f>
        <v>0</v>
      </c>
      <c r="W1477" s="6">
        <f>IF(ISERROR(VLOOKUP($T$1477,'TAR FIN'!$A$1:$O$115,15,0)),0,VLOOKUP($T$1477,'TAR FIN'!$A$1:$O$115,15,0))</f>
        <v>1039.0999999999999</v>
      </c>
      <c r="X1477" s="6">
        <f>IF(ISERROR(VLOOKUP($U$1477,'TAR FIN'!$A$1:$O$115,15,0)),0,VLOOKUP($U$1477,'TAR FIN'!$A$1:$O$115,15,0))</f>
        <v>237.87</v>
      </c>
      <c r="Y1477" s="6"/>
      <c r="Z1477" s="6">
        <f ca="1">('TUSD BE'!$AM$47+'TUSD BF'!$AM$47+'TUSD CVA'!$AM$47)*(1-CUSTOS!$M$38)</f>
        <v>1141.2204051948077</v>
      </c>
      <c r="AA1477" s="6">
        <f>('TE BE'!$AB$30+'TE BF'!$AB$30+'TE CVA'!$AB$30)*(1-CUSTOS!$M$38)</f>
        <v>340.88534762258826</v>
      </c>
      <c r="AB1477" s="6">
        <f>$K$1477*$V$1477</f>
        <v>0</v>
      </c>
      <c r="AC1477" s="6">
        <f>$M$1477*$W$1477</f>
        <v>245.22759999999997</v>
      </c>
      <c r="AD1477" s="6">
        <f>$O$1477*$X$1477</f>
        <v>56.137319999999995</v>
      </c>
      <c r="AE1477" s="6">
        <f>$K$1477*$Y$1477</f>
        <v>0</v>
      </c>
      <c r="AF1477" s="6">
        <f ca="1">$M$1477*$Z$1477</f>
        <v>269.32801562597461</v>
      </c>
      <c r="AG1477" s="6">
        <f>$O$1477*$AA$1477</f>
        <v>80.448942038930824</v>
      </c>
    </row>
    <row r="1478" spans="1:33" ht="11.25" customHeight="1" x14ac:dyDescent="0.25">
      <c r="A1478" s="4" t="s">
        <v>21</v>
      </c>
      <c r="B1478" s="4" t="s">
        <v>46</v>
      </c>
      <c r="C1478" s="4" t="s">
        <v>35</v>
      </c>
      <c r="D1478" s="4" t="s">
        <v>47</v>
      </c>
      <c r="E1478" s="4" t="s">
        <v>25</v>
      </c>
      <c r="F1478" s="4" t="s">
        <v>25</v>
      </c>
      <c r="G1478" s="4" t="s">
        <v>25</v>
      </c>
      <c r="H1478" s="4" t="s">
        <v>36</v>
      </c>
      <c r="I1478" s="5">
        <v>44835</v>
      </c>
      <c r="J1478" s="6">
        <v>0</v>
      </c>
      <c r="K1478" s="6">
        <v>0</v>
      </c>
      <c r="L1478" s="6">
        <v>0.309</v>
      </c>
      <c r="M1478" s="6">
        <v>0.309</v>
      </c>
      <c r="N1478" s="6">
        <v>0.309</v>
      </c>
      <c r="O1478" s="6">
        <v>0.309</v>
      </c>
      <c r="P1478" s="6">
        <v>0</v>
      </c>
      <c r="Q1478" s="4" t="s">
        <v>26</v>
      </c>
      <c r="R1478" s="4">
        <v>0</v>
      </c>
      <c r="S1478" s="6">
        <v>0</v>
      </c>
      <c r="T1478" s="6">
        <v>49</v>
      </c>
      <c r="U1478" s="6">
        <v>93</v>
      </c>
      <c r="V1478" s="6">
        <f>IF(ISERROR(VLOOKUP($S$1478,'TAR FIN'!$A$1:$O$115,15,0)),0,VLOOKUP($S$1478,'TAR FIN'!$A$1:$O$115,15,0))</f>
        <v>0</v>
      </c>
      <c r="W1478" s="6">
        <f>IF(ISERROR(VLOOKUP($T$1478,'TAR FIN'!$A$1:$O$115,15,0)),0,VLOOKUP($T$1478,'TAR FIN'!$A$1:$O$115,15,0))</f>
        <v>1039.0999999999999</v>
      </c>
      <c r="X1478" s="6">
        <f>IF(ISERROR(VLOOKUP($U$1478,'TAR FIN'!$A$1:$O$115,15,0)),0,VLOOKUP($U$1478,'TAR FIN'!$A$1:$O$115,15,0))</f>
        <v>237.87</v>
      </c>
      <c r="Y1478" s="6"/>
      <c r="Z1478" s="6">
        <f ca="1">('TUSD BE'!$AM$47+'TUSD BF'!$AM$47+'TUSD CVA'!$AM$47)*(1-CUSTOS!$M$38)</f>
        <v>1141.2204051948077</v>
      </c>
      <c r="AA1478" s="6">
        <f>('TE BE'!$AB$30+'TE BF'!$AB$30+'TE CVA'!$AB$30)*(1-CUSTOS!$M$38)</f>
        <v>340.88534762258826</v>
      </c>
      <c r="AB1478" s="6">
        <f>$K$1478*$V$1478</f>
        <v>0</v>
      </c>
      <c r="AC1478" s="6">
        <f>$M$1478*$W$1478</f>
        <v>321.08189999999996</v>
      </c>
      <c r="AD1478" s="6">
        <f>$O$1478*$X$1478</f>
        <v>73.501829999999998</v>
      </c>
      <c r="AE1478" s="6">
        <f>$K$1478*$Y$1478</f>
        <v>0</v>
      </c>
      <c r="AF1478" s="6">
        <f ca="1">$M$1478*$Z$1478</f>
        <v>352.63710520519555</v>
      </c>
      <c r="AG1478" s="6">
        <f>$O$1478*$AA$1478</f>
        <v>105.33357241537978</v>
      </c>
    </row>
    <row r="1479" spans="1:33" ht="11.25" customHeight="1" x14ac:dyDescent="0.25">
      <c r="A1479" s="4" t="s">
        <v>59</v>
      </c>
      <c r="B1479" s="4" t="s">
        <v>46</v>
      </c>
      <c r="C1479" s="4" t="s">
        <v>35</v>
      </c>
      <c r="D1479" s="4" t="s">
        <v>47</v>
      </c>
      <c r="E1479" s="4" t="s">
        <v>25</v>
      </c>
      <c r="F1479" s="4" t="s">
        <v>25</v>
      </c>
      <c r="G1479" s="4" t="s">
        <v>25</v>
      </c>
      <c r="H1479" s="4" t="s">
        <v>36</v>
      </c>
      <c r="I1479" s="5">
        <v>44866</v>
      </c>
      <c r="J1479" s="6">
        <v>0</v>
      </c>
      <c r="K1479" s="6">
        <v>0</v>
      </c>
      <c r="L1479" s="6">
        <v>0.309</v>
      </c>
      <c r="M1479" s="6">
        <v>0.309</v>
      </c>
      <c r="N1479" s="6">
        <v>0.309</v>
      </c>
      <c r="O1479" s="6">
        <v>0.309</v>
      </c>
      <c r="P1479" s="6">
        <v>0</v>
      </c>
      <c r="Q1479" s="4" t="s">
        <v>26</v>
      </c>
      <c r="R1479" s="4">
        <v>0</v>
      </c>
      <c r="S1479" s="6">
        <v>0</v>
      </c>
      <c r="T1479" s="6">
        <v>49</v>
      </c>
      <c r="U1479" s="6">
        <v>93</v>
      </c>
      <c r="V1479" s="6">
        <f>IF(ISERROR(VLOOKUP($S$1479,'TAR FIN'!$A$1:$O$115,15,0)),0,VLOOKUP($S$1479,'TAR FIN'!$A$1:$O$115,15,0))</f>
        <v>0</v>
      </c>
      <c r="W1479" s="6">
        <f>IF(ISERROR(VLOOKUP($T$1479,'TAR FIN'!$A$1:$O$115,15,0)),0,VLOOKUP($T$1479,'TAR FIN'!$A$1:$O$115,15,0))</f>
        <v>1039.0999999999999</v>
      </c>
      <c r="X1479" s="6">
        <f>IF(ISERROR(VLOOKUP($U$1479,'TAR FIN'!$A$1:$O$115,15,0)),0,VLOOKUP($U$1479,'TAR FIN'!$A$1:$O$115,15,0))</f>
        <v>237.87</v>
      </c>
      <c r="Y1479" s="6"/>
      <c r="Z1479" s="6">
        <f ca="1">('TUSD BE'!$AM$47+'TUSD BF'!$AM$47+'TUSD CVA'!$AM$47)*(1-CUSTOS!$M$38)</f>
        <v>1141.2204051948077</v>
      </c>
      <c r="AA1479" s="6">
        <f>('TE BE'!$AB$30+'TE BF'!$AB$30+'TE CVA'!$AB$30)*(1-CUSTOS!$M$38)</f>
        <v>340.88534762258826</v>
      </c>
      <c r="AB1479" s="6">
        <f>$K$1479*$V$1479</f>
        <v>0</v>
      </c>
      <c r="AC1479" s="6">
        <f>$M$1479*$W$1479</f>
        <v>321.08189999999996</v>
      </c>
      <c r="AD1479" s="6">
        <f>$O$1479*$X$1479</f>
        <v>73.501829999999998</v>
      </c>
      <c r="AE1479" s="6">
        <f>$K$1479*$Y$1479</f>
        <v>0</v>
      </c>
      <c r="AF1479" s="6">
        <f ca="1">$M$1479*$Z$1479</f>
        <v>352.63710520519555</v>
      </c>
      <c r="AG1479" s="6">
        <f>$O$1479*$AA$1479</f>
        <v>105.33357241537978</v>
      </c>
    </row>
    <row r="1480" spans="1:33" ht="11.25" customHeight="1" x14ac:dyDescent="0.25">
      <c r="A1480" s="4" t="s">
        <v>21</v>
      </c>
      <c r="B1480" s="4" t="s">
        <v>46</v>
      </c>
      <c r="C1480" s="4" t="s">
        <v>23</v>
      </c>
      <c r="D1480" s="4" t="s">
        <v>47</v>
      </c>
      <c r="E1480" s="4" t="s">
        <v>55</v>
      </c>
      <c r="F1480" s="4" t="s">
        <v>56</v>
      </c>
      <c r="G1480" s="4" t="s">
        <v>25</v>
      </c>
      <c r="H1480" s="4" t="s">
        <v>25</v>
      </c>
      <c r="I1480" s="5">
        <v>44531</v>
      </c>
      <c r="J1480" s="6">
        <v>0</v>
      </c>
      <c r="K1480" s="6">
        <v>0</v>
      </c>
      <c r="L1480" s="6">
        <v>3.9769999999999999</v>
      </c>
      <c r="M1480" s="6">
        <v>3.9769999999999999</v>
      </c>
      <c r="N1480" s="6">
        <v>3.9769999999999999</v>
      </c>
      <c r="O1480" s="6">
        <v>3.9769999999999999</v>
      </c>
      <c r="P1480" s="6">
        <v>0</v>
      </c>
      <c r="Q1480" s="4" t="s">
        <v>26</v>
      </c>
      <c r="R1480" s="4">
        <v>0</v>
      </c>
      <c r="S1480" s="6">
        <v>0</v>
      </c>
      <c r="T1480" s="6">
        <v>52</v>
      </c>
      <c r="U1480" s="6">
        <v>96</v>
      </c>
      <c r="V1480" s="6">
        <f>IF(ISERROR(VLOOKUP($S$1480,'TAR FIN'!$A$1:$O$115,15,0)),0,VLOOKUP($S$1480,'TAR FIN'!$A$1:$O$115,15,0))</f>
        <v>0</v>
      </c>
      <c r="W1480" s="6">
        <f>IF(ISERROR(VLOOKUP($T$1480,'TAR FIN'!$A$1:$O$115,15,0)),0,VLOOKUP($T$1480,'TAR FIN'!$A$1:$O$115,15,0))</f>
        <v>407.97</v>
      </c>
      <c r="X1480" s="6">
        <f>IF(ISERROR(VLOOKUP($U$1480,'TAR FIN'!$A$1:$O$115,15,0)),0,VLOOKUP($U$1480,'TAR FIN'!$A$1:$O$115,15,0))</f>
        <v>155.38999999999999</v>
      </c>
      <c r="Y1480" s="6"/>
      <c r="Z1480" s="6">
        <f ca="1">('TUSD BE'!$AM$50+'TUSD BF'!$AM$50+'TUSD CVA'!$AM$50)*(1-CUSTOS!$M$38)</f>
        <v>472.08658309095875</v>
      </c>
      <c r="AA1480" s="6">
        <f>('TE BE'!$AB$33+'TE BF'!$AB$33+'TE CVA'!$AB$33)*(1-CUSTOS!$M$38)</f>
        <v>216.84105597414842</v>
      </c>
      <c r="AB1480" s="6">
        <f>$K$1480*$V$1480</f>
        <v>0</v>
      </c>
      <c r="AC1480" s="6">
        <f>$M$1480*$W$1480</f>
        <v>1622.4966899999999</v>
      </c>
      <c r="AD1480" s="6">
        <f>$O$1480*$X$1480</f>
        <v>617.98602999999991</v>
      </c>
      <c r="AE1480" s="6">
        <f>$K$1480*$Y$1480</f>
        <v>0</v>
      </c>
      <c r="AF1480" s="6">
        <f ca="1">$M$1480*$Z$1480</f>
        <v>1877.4883409527429</v>
      </c>
      <c r="AG1480" s="6">
        <f>$O$1480*$AA$1480</f>
        <v>862.37687960918822</v>
      </c>
    </row>
    <row r="1481" spans="1:33" ht="11.25" customHeight="1" x14ac:dyDescent="0.25">
      <c r="A1481" s="4" t="s">
        <v>28</v>
      </c>
      <c r="B1481" s="4" t="s">
        <v>46</v>
      </c>
      <c r="C1481" s="4" t="s">
        <v>23</v>
      </c>
      <c r="D1481" s="4" t="s">
        <v>47</v>
      </c>
      <c r="E1481" s="4" t="s">
        <v>55</v>
      </c>
      <c r="F1481" s="4" t="s">
        <v>56</v>
      </c>
      <c r="G1481" s="4" t="s">
        <v>25</v>
      </c>
      <c r="H1481" s="4" t="s">
        <v>25</v>
      </c>
      <c r="I1481" s="5">
        <v>44531</v>
      </c>
      <c r="J1481" s="6">
        <v>0</v>
      </c>
      <c r="K1481" s="6">
        <v>0</v>
      </c>
      <c r="L1481" s="6">
        <v>6.8330000000000002</v>
      </c>
      <c r="M1481" s="6">
        <v>6.8330000000000002</v>
      </c>
      <c r="N1481" s="6">
        <v>6.8330000000000002</v>
      </c>
      <c r="O1481" s="6">
        <v>6.8330000000000002</v>
      </c>
      <c r="P1481" s="6">
        <v>0</v>
      </c>
      <c r="Q1481" s="4" t="s">
        <v>26</v>
      </c>
      <c r="R1481" s="4">
        <v>0</v>
      </c>
      <c r="S1481" s="6">
        <v>0</v>
      </c>
      <c r="T1481" s="6">
        <v>52</v>
      </c>
      <c r="U1481" s="6">
        <v>96</v>
      </c>
      <c r="V1481" s="6">
        <f>IF(ISERROR(VLOOKUP($S$1481,'TAR FIN'!$A$1:$O$115,15,0)),0,VLOOKUP($S$1481,'TAR FIN'!$A$1:$O$115,15,0))</f>
        <v>0</v>
      </c>
      <c r="W1481" s="6">
        <f>IF(ISERROR(VLOOKUP($T$1481,'TAR FIN'!$A$1:$O$115,15,0)),0,VLOOKUP($T$1481,'TAR FIN'!$A$1:$O$115,15,0))</f>
        <v>407.97</v>
      </c>
      <c r="X1481" s="6">
        <f>IF(ISERROR(VLOOKUP($U$1481,'TAR FIN'!$A$1:$O$115,15,0)),0,VLOOKUP($U$1481,'TAR FIN'!$A$1:$O$115,15,0))</f>
        <v>155.38999999999999</v>
      </c>
      <c r="Y1481" s="6"/>
      <c r="Z1481" s="6">
        <f ca="1">('TUSD BE'!$AM$50+'TUSD BF'!$AM$50+'TUSD CVA'!$AM$50)*(1-CUSTOS!$M$38)</f>
        <v>472.08658309095875</v>
      </c>
      <c r="AA1481" s="6">
        <f>('TE BE'!$AB$33+'TE BF'!$AB$33+'TE CVA'!$AB$33)*(1-CUSTOS!$M$38)</f>
        <v>216.84105597414842</v>
      </c>
      <c r="AB1481" s="6">
        <f>$K$1481*$V$1481</f>
        <v>0</v>
      </c>
      <c r="AC1481" s="6">
        <f>$M$1481*$W$1481</f>
        <v>2787.6590100000003</v>
      </c>
      <c r="AD1481" s="6">
        <f>$O$1481*$X$1481</f>
        <v>1061.7798699999998</v>
      </c>
      <c r="AE1481" s="6">
        <f>$K$1481*$Y$1481</f>
        <v>0</v>
      </c>
      <c r="AF1481" s="6">
        <f ca="1">$M$1481*$Z$1481</f>
        <v>3225.7676222605214</v>
      </c>
      <c r="AG1481" s="6">
        <f>$O$1481*$AA$1481</f>
        <v>1481.6749354713561</v>
      </c>
    </row>
    <row r="1482" spans="1:33" ht="11.25" customHeight="1" x14ac:dyDescent="0.25">
      <c r="A1482" s="4" t="s">
        <v>29</v>
      </c>
      <c r="B1482" s="4" t="s">
        <v>46</v>
      </c>
      <c r="C1482" s="4" t="s">
        <v>23</v>
      </c>
      <c r="D1482" s="4" t="s">
        <v>47</v>
      </c>
      <c r="E1482" s="4" t="s">
        <v>55</v>
      </c>
      <c r="F1482" s="4" t="s">
        <v>56</v>
      </c>
      <c r="G1482" s="4" t="s">
        <v>25</v>
      </c>
      <c r="H1482" s="4" t="s">
        <v>25</v>
      </c>
      <c r="I1482" s="5">
        <v>44531</v>
      </c>
      <c r="J1482" s="6">
        <v>0</v>
      </c>
      <c r="K1482" s="6">
        <v>0</v>
      </c>
      <c r="L1482" s="6">
        <v>0.05</v>
      </c>
      <c r="M1482" s="6">
        <v>0.05</v>
      </c>
      <c r="N1482" s="6">
        <v>0.05</v>
      </c>
      <c r="O1482" s="6">
        <v>0.05</v>
      </c>
      <c r="P1482" s="6">
        <v>0</v>
      </c>
      <c r="Q1482" s="4" t="s">
        <v>26</v>
      </c>
      <c r="R1482" s="4">
        <v>0</v>
      </c>
      <c r="S1482" s="6">
        <v>0</v>
      </c>
      <c r="T1482" s="6">
        <v>52</v>
      </c>
      <c r="U1482" s="6">
        <v>96</v>
      </c>
      <c r="V1482" s="6">
        <f>IF(ISERROR(VLOOKUP($S$1482,'TAR FIN'!$A$1:$O$115,15,0)),0,VLOOKUP($S$1482,'TAR FIN'!$A$1:$O$115,15,0))</f>
        <v>0</v>
      </c>
      <c r="W1482" s="6">
        <f>IF(ISERROR(VLOOKUP($T$1482,'TAR FIN'!$A$1:$O$115,15,0)),0,VLOOKUP($T$1482,'TAR FIN'!$A$1:$O$115,15,0))</f>
        <v>407.97</v>
      </c>
      <c r="X1482" s="6">
        <f>IF(ISERROR(VLOOKUP($U$1482,'TAR FIN'!$A$1:$O$115,15,0)),0,VLOOKUP($U$1482,'TAR FIN'!$A$1:$O$115,15,0))</f>
        <v>155.38999999999999</v>
      </c>
      <c r="Y1482" s="6"/>
      <c r="Z1482" s="6">
        <f ca="1">('TUSD BE'!$AM$50+'TUSD BF'!$AM$50+'TUSD CVA'!$AM$50)*(1-CUSTOS!$M$38)</f>
        <v>472.08658309095875</v>
      </c>
      <c r="AA1482" s="6">
        <f>('TE BE'!$AB$33+'TE BF'!$AB$33+'TE CVA'!$AB$33)*(1-CUSTOS!$M$38)</f>
        <v>216.84105597414842</v>
      </c>
      <c r="AB1482" s="6">
        <f>$K$1482*$V$1482</f>
        <v>0</v>
      </c>
      <c r="AC1482" s="6">
        <f>$M$1482*$W$1482</f>
        <v>20.398500000000002</v>
      </c>
      <c r="AD1482" s="6">
        <f>$O$1482*$X$1482</f>
        <v>7.7694999999999999</v>
      </c>
      <c r="AE1482" s="6">
        <f>$K$1482*$Y$1482</f>
        <v>0</v>
      </c>
      <c r="AF1482" s="6">
        <f ca="1">$M$1482*$Z$1482</f>
        <v>23.604329154547941</v>
      </c>
      <c r="AG1482" s="6">
        <f>$O$1482*$AA$1482</f>
        <v>10.842052798707421</v>
      </c>
    </row>
    <row r="1483" spans="1:33" ht="11.25" customHeight="1" x14ac:dyDescent="0.25">
      <c r="A1483" s="4" t="s">
        <v>21</v>
      </c>
      <c r="B1483" s="4" t="s">
        <v>46</v>
      </c>
      <c r="C1483" s="4" t="s">
        <v>23</v>
      </c>
      <c r="D1483" s="4" t="s">
        <v>47</v>
      </c>
      <c r="E1483" s="4" t="s">
        <v>55</v>
      </c>
      <c r="F1483" s="4" t="s">
        <v>56</v>
      </c>
      <c r="G1483" s="4" t="s">
        <v>25</v>
      </c>
      <c r="H1483" s="4" t="s">
        <v>25</v>
      </c>
      <c r="I1483" s="5">
        <v>44562</v>
      </c>
      <c r="J1483" s="6">
        <v>0</v>
      </c>
      <c r="K1483" s="6">
        <v>0</v>
      </c>
      <c r="L1483" s="6">
        <v>3.988</v>
      </c>
      <c r="M1483" s="6">
        <v>3.988</v>
      </c>
      <c r="N1483" s="6">
        <v>3.988</v>
      </c>
      <c r="O1483" s="6">
        <v>3.988</v>
      </c>
      <c r="P1483" s="6">
        <v>0</v>
      </c>
      <c r="Q1483" s="4" t="s">
        <v>26</v>
      </c>
      <c r="R1483" s="4">
        <v>0</v>
      </c>
      <c r="S1483" s="6">
        <v>0</v>
      </c>
      <c r="T1483" s="6">
        <v>52</v>
      </c>
      <c r="U1483" s="6">
        <v>96</v>
      </c>
      <c r="V1483" s="6">
        <f>IF(ISERROR(VLOOKUP($S$1483,'TAR FIN'!$A$1:$O$115,15,0)),0,VLOOKUP($S$1483,'TAR FIN'!$A$1:$O$115,15,0))</f>
        <v>0</v>
      </c>
      <c r="W1483" s="6">
        <f>IF(ISERROR(VLOOKUP($T$1483,'TAR FIN'!$A$1:$O$115,15,0)),0,VLOOKUP($T$1483,'TAR FIN'!$A$1:$O$115,15,0))</f>
        <v>407.97</v>
      </c>
      <c r="X1483" s="6">
        <f>IF(ISERROR(VLOOKUP($U$1483,'TAR FIN'!$A$1:$O$115,15,0)),0,VLOOKUP($U$1483,'TAR FIN'!$A$1:$O$115,15,0))</f>
        <v>155.38999999999999</v>
      </c>
      <c r="Y1483" s="6"/>
      <c r="Z1483" s="6">
        <f ca="1">('TUSD BE'!$AM$50+'TUSD BF'!$AM$50+'TUSD CVA'!$AM$50)*(1-CUSTOS!$M$38)</f>
        <v>472.08658309095875</v>
      </c>
      <c r="AA1483" s="6">
        <f>('TE BE'!$AB$33+'TE BF'!$AB$33+'TE CVA'!$AB$33)*(1-CUSTOS!$M$38)</f>
        <v>216.84105597414842</v>
      </c>
      <c r="AB1483" s="6">
        <f>$K$1483*$V$1483</f>
        <v>0</v>
      </c>
      <c r="AC1483" s="6">
        <f>$M$1483*$W$1483</f>
        <v>1626.9843600000002</v>
      </c>
      <c r="AD1483" s="6">
        <f>$O$1483*$X$1483</f>
        <v>619.69531999999992</v>
      </c>
      <c r="AE1483" s="6">
        <f>$K$1483*$Y$1483</f>
        <v>0</v>
      </c>
      <c r="AF1483" s="6">
        <f ca="1">$M$1483*$Z$1483</f>
        <v>1882.6812933667436</v>
      </c>
      <c r="AG1483" s="6">
        <f>$O$1483*$AA$1483</f>
        <v>864.7621312249039</v>
      </c>
    </row>
    <row r="1484" spans="1:33" ht="11.25" customHeight="1" x14ac:dyDescent="0.25">
      <c r="A1484" s="4" t="s">
        <v>28</v>
      </c>
      <c r="B1484" s="4" t="s">
        <v>46</v>
      </c>
      <c r="C1484" s="4" t="s">
        <v>23</v>
      </c>
      <c r="D1484" s="4" t="s">
        <v>47</v>
      </c>
      <c r="E1484" s="4" t="s">
        <v>55</v>
      </c>
      <c r="F1484" s="4" t="s">
        <v>56</v>
      </c>
      <c r="G1484" s="4" t="s">
        <v>25</v>
      </c>
      <c r="H1484" s="4" t="s">
        <v>25</v>
      </c>
      <c r="I1484" s="5">
        <v>44562</v>
      </c>
      <c r="J1484" s="6">
        <v>0</v>
      </c>
      <c r="K1484" s="6">
        <v>0</v>
      </c>
      <c r="L1484" s="6">
        <v>0.13700000000000001</v>
      </c>
      <c r="M1484" s="6">
        <v>0.13700000000000001</v>
      </c>
      <c r="N1484" s="6">
        <v>0.13700000000000001</v>
      </c>
      <c r="O1484" s="6">
        <v>0.13700000000000001</v>
      </c>
      <c r="P1484" s="6">
        <v>0</v>
      </c>
      <c r="Q1484" s="4" t="s">
        <v>26</v>
      </c>
      <c r="R1484" s="4">
        <v>0</v>
      </c>
      <c r="S1484" s="6">
        <v>0</v>
      </c>
      <c r="T1484" s="6">
        <v>52</v>
      </c>
      <c r="U1484" s="6">
        <v>96</v>
      </c>
      <c r="V1484" s="6">
        <f>IF(ISERROR(VLOOKUP($S$1484,'TAR FIN'!$A$1:$O$115,15,0)),0,VLOOKUP($S$1484,'TAR FIN'!$A$1:$O$115,15,0))</f>
        <v>0</v>
      </c>
      <c r="W1484" s="6">
        <f>IF(ISERROR(VLOOKUP($T$1484,'TAR FIN'!$A$1:$O$115,15,0)),0,VLOOKUP($T$1484,'TAR FIN'!$A$1:$O$115,15,0))</f>
        <v>407.97</v>
      </c>
      <c r="X1484" s="6">
        <f>IF(ISERROR(VLOOKUP($U$1484,'TAR FIN'!$A$1:$O$115,15,0)),0,VLOOKUP($U$1484,'TAR FIN'!$A$1:$O$115,15,0))</f>
        <v>155.38999999999999</v>
      </c>
      <c r="Y1484" s="6"/>
      <c r="Z1484" s="6">
        <f ca="1">('TUSD BE'!$AM$50+'TUSD BF'!$AM$50+'TUSD CVA'!$AM$50)*(1-CUSTOS!$M$38)</f>
        <v>472.08658309095875</v>
      </c>
      <c r="AA1484" s="6">
        <f>('TE BE'!$AB$33+'TE BF'!$AB$33+'TE CVA'!$AB$33)*(1-CUSTOS!$M$38)</f>
        <v>216.84105597414842</v>
      </c>
      <c r="AB1484" s="6">
        <f>$K$1484*$V$1484</f>
        <v>0</v>
      </c>
      <c r="AC1484" s="6">
        <f>$M$1484*$W$1484</f>
        <v>55.891890000000011</v>
      </c>
      <c r="AD1484" s="6">
        <f>$O$1484*$X$1484</f>
        <v>21.288429999999998</v>
      </c>
      <c r="AE1484" s="6">
        <f>$K$1484*$Y$1484</f>
        <v>0</v>
      </c>
      <c r="AF1484" s="6">
        <f ca="1">$M$1484*$Z$1484</f>
        <v>64.675861883461351</v>
      </c>
      <c r="AG1484" s="6">
        <f>$O$1484*$AA$1484</f>
        <v>29.707224668458334</v>
      </c>
    </row>
    <row r="1485" spans="1:33" ht="11.25" customHeight="1" x14ac:dyDescent="0.25">
      <c r="A1485" s="4" t="s">
        <v>29</v>
      </c>
      <c r="B1485" s="4" t="s">
        <v>46</v>
      </c>
      <c r="C1485" s="4" t="s">
        <v>23</v>
      </c>
      <c r="D1485" s="4" t="s">
        <v>47</v>
      </c>
      <c r="E1485" s="4" t="s">
        <v>55</v>
      </c>
      <c r="F1485" s="4" t="s">
        <v>56</v>
      </c>
      <c r="G1485" s="4" t="s">
        <v>25</v>
      </c>
      <c r="H1485" s="4" t="s">
        <v>25</v>
      </c>
      <c r="I1485" s="5">
        <v>44562</v>
      </c>
      <c r="J1485" s="6">
        <v>0</v>
      </c>
      <c r="K1485" s="6">
        <v>0</v>
      </c>
      <c r="L1485" s="6">
        <v>-6.13</v>
      </c>
      <c r="M1485" s="6">
        <v>-6.13</v>
      </c>
      <c r="N1485" s="6">
        <v>-6.13</v>
      </c>
      <c r="O1485" s="6">
        <v>-6.13</v>
      </c>
      <c r="P1485" s="6">
        <v>0</v>
      </c>
      <c r="Q1485" s="4" t="s">
        <v>26</v>
      </c>
      <c r="R1485" s="4">
        <v>0</v>
      </c>
      <c r="S1485" s="6">
        <v>0</v>
      </c>
      <c r="T1485" s="6">
        <v>52</v>
      </c>
      <c r="U1485" s="6">
        <v>96</v>
      </c>
      <c r="V1485" s="6">
        <f>IF(ISERROR(VLOOKUP($S$1485,'TAR FIN'!$A$1:$O$115,15,0)),0,VLOOKUP($S$1485,'TAR FIN'!$A$1:$O$115,15,0))</f>
        <v>0</v>
      </c>
      <c r="W1485" s="6">
        <f>IF(ISERROR(VLOOKUP($T$1485,'TAR FIN'!$A$1:$O$115,15,0)),0,VLOOKUP($T$1485,'TAR FIN'!$A$1:$O$115,15,0))</f>
        <v>407.97</v>
      </c>
      <c r="X1485" s="6">
        <f>IF(ISERROR(VLOOKUP($U$1485,'TAR FIN'!$A$1:$O$115,15,0)),0,VLOOKUP($U$1485,'TAR FIN'!$A$1:$O$115,15,0))</f>
        <v>155.38999999999999</v>
      </c>
      <c r="Y1485" s="6"/>
      <c r="Z1485" s="6">
        <f ca="1">('TUSD BE'!$AM$50+'TUSD BF'!$AM$50+'TUSD CVA'!$AM$50)*(1-CUSTOS!$M$38)</f>
        <v>472.08658309095875</v>
      </c>
      <c r="AA1485" s="6">
        <f>('TE BE'!$AB$33+'TE BF'!$AB$33+'TE CVA'!$AB$33)*(1-CUSTOS!$M$38)</f>
        <v>216.84105597414842</v>
      </c>
      <c r="AB1485" s="6">
        <f>$K$1485*$V$1485</f>
        <v>0</v>
      </c>
      <c r="AC1485" s="6">
        <f>$M$1485*$W$1485</f>
        <v>-2500.8561</v>
      </c>
      <c r="AD1485" s="6">
        <f>$O$1485*$X$1485</f>
        <v>-952.5406999999999</v>
      </c>
      <c r="AE1485" s="6">
        <f>$K$1485*$Y$1485</f>
        <v>0</v>
      </c>
      <c r="AF1485" s="6">
        <f ca="1">$M$1485*$Z$1485</f>
        <v>-2893.8907543475771</v>
      </c>
      <c r="AG1485" s="6">
        <f>$O$1485*$AA$1485</f>
        <v>-1329.2356731215298</v>
      </c>
    </row>
    <row r="1486" spans="1:33" ht="11.25" customHeight="1" x14ac:dyDescent="0.25">
      <c r="A1486" s="4" t="s">
        <v>21</v>
      </c>
      <c r="B1486" s="4" t="s">
        <v>46</v>
      </c>
      <c r="C1486" s="4" t="s">
        <v>23</v>
      </c>
      <c r="D1486" s="4" t="s">
        <v>47</v>
      </c>
      <c r="E1486" s="4" t="s">
        <v>55</v>
      </c>
      <c r="F1486" s="4" t="s">
        <v>56</v>
      </c>
      <c r="G1486" s="4" t="s">
        <v>25</v>
      </c>
      <c r="H1486" s="4" t="s">
        <v>25</v>
      </c>
      <c r="I1486" s="5">
        <v>44593</v>
      </c>
      <c r="J1486" s="6">
        <v>0</v>
      </c>
      <c r="K1486" s="6">
        <v>0</v>
      </c>
      <c r="L1486" s="6">
        <v>4.5960000000000001</v>
      </c>
      <c r="M1486" s="6">
        <v>4.5960000000000001</v>
      </c>
      <c r="N1486" s="6">
        <v>4.5960000000000001</v>
      </c>
      <c r="O1486" s="6">
        <v>4.5960000000000001</v>
      </c>
      <c r="P1486" s="6">
        <v>0</v>
      </c>
      <c r="Q1486" s="4" t="s">
        <v>26</v>
      </c>
      <c r="R1486" s="4">
        <v>0</v>
      </c>
      <c r="S1486" s="6">
        <v>0</v>
      </c>
      <c r="T1486" s="6">
        <v>52</v>
      </c>
      <c r="U1486" s="6">
        <v>96</v>
      </c>
      <c r="V1486" s="6">
        <f>IF(ISERROR(VLOOKUP($S$1486,'TAR FIN'!$A$1:$O$115,15,0)),0,VLOOKUP($S$1486,'TAR FIN'!$A$1:$O$115,15,0))</f>
        <v>0</v>
      </c>
      <c r="W1486" s="6">
        <f>IF(ISERROR(VLOOKUP($T$1486,'TAR FIN'!$A$1:$O$115,15,0)),0,VLOOKUP($T$1486,'TAR FIN'!$A$1:$O$115,15,0))</f>
        <v>407.97</v>
      </c>
      <c r="X1486" s="6">
        <f>IF(ISERROR(VLOOKUP($U$1486,'TAR FIN'!$A$1:$O$115,15,0)),0,VLOOKUP($U$1486,'TAR FIN'!$A$1:$O$115,15,0))</f>
        <v>155.38999999999999</v>
      </c>
      <c r="Y1486" s="6"/>
      <c r="Z1486" s="6">
        <f ca="1">('TUSD BE'!$AM$50+'TUSD BF'!$AM$50+'TUSD CVA'!$AM$50)*(1-CUSTOS!$M$38)</f>
        <v>472.08658309095875</v>
      </c>
      <c r="AA1486" s="6">
        <f>('TE BE'!$AB$33+'TE BF'!$AB$33+'TE CVA'!$AB$33)*(1-CUSTOS!$M$38)</f>
        <v>216.84105597414842</v>
      </c>
      <c r="AB1486" s="6">
        <f>$K$1486*$V$1486</f>
        <v>0</v>
      </c>
      <c r="AC1486" s="6">
        <f>$M$1486*$W$1486</f>
        <v>1875.0301200000001</v>
      </c>
      <c r="AD1486" s="6">
        <f>$O$1486*$X$1486</f>
        <v>714.17243999999994</v>
      </c>
      <c r="AE1486" s="6">
        <f>$K$1486*$Y$1486</f>
        <v>0</v>
      </c>
      <c r="AF1486" s="6">
        <f ca="1">$M$1486*$Z$1486</f>
        <v>2169.7099358860464</v>
      </c>
      <c r="AG1486" s="6">
        <f>$O$1486*$AA$1486</f>
        <v>996.60149325718612</v>
      </c>
    </row>
    <row r="1487" spans="1:33" ht="11.25" customHeight="1" x14ac:dyDescent="0.25">
      <c r="A1487" s="4" t="s">
        <v>28</v>
      </c>
      <c r="B1487" s="4" t="s">
        <v>46</v>
      </c>
      <c r="C1487" s="4" t="s">
        <v>23</v>
      </c>
      <c r="D1487" s="4" t="s">
        <v>47</v>
      </c>
      <c r="E1487" s="4" t="s">
        <v>55</v>
      </c>
      <c r="F1487" s="4" t="s">
        <v>56</v>
      </c>
      <c r="G1487" s="4" t="s">
        <v>25</v>
      </c>
      <c r="H1487" s="4" t="s">
        <v>25</v>
      </c>
      <c r="I1487" s="5">
        <v>44593</v>
      </c>
      <c r="J1487" s="6">
        <v>0</v>
      </c>
      <c r="K1487" s="6">
        <v>0</v>
      </c>
      <c r="L1487" s="6">
        <v>0.128</v>
      </c>
      <c r="M1487" s="6">
        <v>0.128</v>
      </c>
      <c r="N1487" s="6">
        <v>0.128</v>
      </c>
      <c r="O1487" s="6">
        <v>0.128</v>
      </c>
      <c r="P1487" s="6">
        <v>0</v>
      </c>
      <c r="Q1487" s="4" t="s">
        <v>26</v>
      </c>
      <c r="R1487" s="4">
        <v>0</v>
      </c>
      <c r="S1487" s="6">
        <v>0</v>
      </c>
      <c r="T1487" s="6">
        <v>52</v>
      </c>
      <c r="U1487" s="6">
        <v>96</v>
      </c>
      <c r="V1487" s="6">
        <f>IF(ISERROR(VLOOKUP($S$1487,'TAR FIN'!$A$1:$O$115,15,0)),0,VLOOKUP($S$1487,'TAR FIN'!$A$1:$O$115,15,0))</f>
        <v>0</v>
      </c>
      <c r="W1487" s="6">
        <f>IF(ISERROR(VLOOKUP($T$1487,'TAR FIN'!$A$1:$O$115,15,0)),0,VLOOKUP($T$1487,'TAR FIN'!$A$1:$O$115,15,0))</f>
        <v>407.97</v>
      </c>
      <c r="X1487" s="6">
        <f>IF(ISERROR(VLOOKUP($U$1487,'TAR FIN'!$A$1:$O$115,15,0)),0,VLOOKUP($U$1487,'TAR FIN'!$A$1:$O$115,15,0))</f>
        <v>155.38999999999999</v>
      </c>
      <c r="Y1487" s="6"/>
      <c r="Z1487" s="6">
        <f ca="1">('TUSD BE'!$AM$50+'TUSD BF'!$AM$50+'TUSD CVA'!$AM$50)*(1-CUSTOS!$M$38)</f>
        <v>472.08658309095875</v>
      </c>
      <c r="AA1487" s="6">
        <f>('TE BE'!$AB$33+'TE BF'!$AB$33+'TE CVA'!$AB$33)*(1-CUSTOS!$M$38)</f>
        <v>216.84105597414842</v>
      </c>
      <c r="AB1487" s="6">
        <f>$K$1487*$V$1487</f>
        <v>0</v>
      </c>
      <c r="AC1487" s="6">
        <f>$M$1487*$W$1487</f>
        <v>52.220160000000007</v>
      </c>
      <c r="AD1487" s="6">
        <f>$O$1487*$X$1487</f>
        <v>19.88992</v>
      </c>
      <c r="AE1487" s="6">
        <f>$K$1487*$Y$1487</f>
        <v>0</v>
      </c>
      <c r="AF1487" s="6">
        <f ca="1">$M$1487*$Z$1487</f>
        <v>60.427082635642719</v>
      </c>
      <c r="AG1487" s="6">
        <f>$O$1487*$AA$1487</f>
        <v>27.755655164690999</v>
      </c>
    </row>
    <row r="1488" spans="1:33" ht="11.25" customHeight="1" x14ac:dyDescent="0.25">
      <c r="A1488" s="4" t="s">
        <v>29</v>
      </c>
      <c r="B1488" s="4" t="s">
        <v>46</v>
      </c>
      <c r="C1488" s="4" t="s">
        <v>23</v>
      </c>
      <c r="D1488" s="4" t="s">
        <v>47</v>
      </c>
      <c r="E1488" s="4" t="s">
        <v>55</v>
      </c>
      <c r="F1488" s="4" t="s">
        <v>56</v>
      </c>
      <c r="G1488" s="4" t="s">
        <v>25</v>
      </c>
      <c r="H1488" s="4" t="s">
        <v>25</v>
      </c>
      <c r="I1488" s="5">
        <v>44593</v>
      </c>
      <c r="J1488" s="6">
        <v>0</v>
      </c>
      <c r="K1488" s="6">
        <v>0</v>
      </c>
      <c r="L1488" s="6">
        <v>-4.6050000000000004</v>
      </c>
      <c r="M1488" s="6">
        <v>-4.6050000000000004</v>
      </c>
      <c r="N1488" s="6">
        <v>-4.6050000000000004</v>
      </c>
      <c r="O1488" s="6">
        <v>-4.6050000000000004</v>
      </c>
      <c r="P1488" s="6">
        <v>0</v>
      </c>
      <c r="Q1488" s="4" t="s">
        <v>26</v>
      </c>
      <c r="R1488" s="4">
        <v>0</v>
      </c>
      <c r="S1488" s="6">
        <v>0</v>
      </c>
      <c r="T1488" s="6">
        <v>52</v>
      </c>
      <c r="U1488" s="6">
        <v>96</v>
      </c>
      <c r="V1488" s="6">
        <f>IF(ISERROR(VLOOKUP($S$1488,'TAR FIN'!$A$1:$O$115,15,0)),0,VLOOKUP($S$1488,'TAR FIN'!$A$1:$O$115,15,0))</f>
        <v>0</v>
      </c>
      <c r="W1488" s="6">
        <f>IF(ISERROR(VLOOKUP($T$1488,'TAR FIN'!$A$1:$O$115,15,0)),0,VLOOKUP($T$1488,'TAR FIN'!$A$1:$O$115,15,0))</f>
        <v>407.97</v>
      </c>
      <c r="X1488" s="6">
        <f>IF(ISERROR(VLOOKUP($U$1488,'TAR FIN'!$A$1:$O$115,15,0)),0,VLOOKUP($U$1488,'TAR FIN'!$A$1:$O$115,15,0))</f>
        <v>155.38999999999999</v>
      </c>
      <c r="Y1488" s="6"/>
      <c r="Z1488" s="6">
        <f ca="1">('TUSD BE'!$AM$50+'TUSD BF'!$AM$50+'TUSD CVA'!$AM$50)*(1-CUSTOS!$M$38)</f>
        <v>472.08658309095875</v>
      </c>
      <c r="AA1488" s="6">
        <f>('TE BE'!$AB$33+'TE BF'!$AB$33+'TE CVA'!$AB$33)*(1-CUSTOS!$M$38)</f>
        <v>216.84105597414842</v>
      </c>
      <c r="AB1488" s="6">
        <f>$K$1488*$V$1488</f>
        <v>0</v>
      </c>
      <c r="AC1488" s="6">
        <f>$M$1488*$W$1488</f>
        <v>-1878.7018500000004</v>
      </c>
      <c r="AD1488" s="6">
        <f>$O$1488*$X$1488</f>
        <v>-715.57095000000004</v>
      </c>
      <c r="AE1488" s="6">
        <f>$K$1488*$Y$1488</f>
        <v>0</v>
      </c>
      <c r="AF1488" s="6">
        <f ca="1">$M$1488*$Z$1488</f>
        <v>-2173.9587151338651</v>
      </c>
      <c r="AG1488" s="6">
        <f>$O$1488*$AA$1488</f>
        <v>-998.55306276095359</v>
      </c>
    </row>
    <row r="1489" spans="1:33" ht="11.25" customHeight="1" x14ac:dyDescent="0.25">
      <c r="A1489" s="4" t="s">
        <v>21</v>
      </c>
      <c r="B1489" s="4" t="s">
        <v>46</v>
      </c>
      <c r="C1489" s="4" t="s">
        <v>23</v>
      </c>
      <c r="D1489" s="4" t="s">
        <v>47</v>
      </c>
      <c r="E1489" s="4" t="s">
        <v>55</v>
      </c>
      <c r="F1489" s="4" t="s">
        <v>56</v>
      </c>
      <c r="G1489" s="4" t="s">
        <v>25</v>
      </c>
      <c r="H1489" s="4" t="s">
        <v>25</v>
      </c>
      <c r="I1489" s="5">
        <v>44621</v>
      </c>
      <c r="J1489" s="6">
        <v>0</v>
      </c>
      <c r="K1489" s="6">
        <v>0</v>
      </c>
      <c r="L1489" s="6">
        <v>5.0549999999999997</v>
      </c>
      <c r="M1489" s="6">
        <v>5.0549999999999997</v>
      </c>
      <c r="N1489" s="6">
        <v>5.0549999999999997</v>
      </c>
      <c r="O1489" s="6">
        <v>5.0549999999999997</v>
      </c>
      <c r="P1489" s="6">
        <v>0</v>
      </c>
      <c r="Q1489" s="4" t="s">
        <v>26</v>
      </c>
      <c r="R1489" s="4">
        <v>0</v>
      </c>
      <c r="S1489" s="6">
        <v>0</v>
      </c>
      <c r="T1489" s="6">
        <v>52</v>
      </c>
      <c r="U1489" s="6">
        <v>96</v>
      </c>
      <c r="V1489" s="6">
        <f>IF(ISERROR(VLOOKUP($S$1489,'TAR FIN'!$A$1:$O$115,15,0)),0,VLOOKUP($S$1489,'TAR FIN'!$A$1:$O$115,15,0))</f>
        <v>0</v>
      </c>
      <c r="W1489" s="6">
        <f>IF(ISERROR(VLOOKUP($T$1489,'TAR FIN'!$A$1:$O$115,15,0)),0,VLOOKUP($T$1489,'TAR FIN'!$A$1:$O$115,15,0))</f>
        <v>407.97</v>
      </c>
      <c r="X1489" s="6">
        <f>IF(ISERROR(VLOOKUP($U$1489,'TAR FIN'!$A$1:$O$115,15,0)),0,VLOOKUP($U$1489,'TAR FIN'!$A$1:$O$115,15,0))</f>
        <v>155.38999999999999</v>
      </c>
      <c r="Y1489" s="6"/>
      <c r="Z1489" s="6">
        <f ca="1">('TUSD BE'!$AM$50+'TUSD BF'!$AM$50+'TUSD CVA'!$AM$50)*(1-CUSTOS!$M$38)</f>
        <v>472.08658309095875</v>
      </c>
      <c r="AA1489" s="6">
        <f>('TE BE'!$AB$33+'TE BF'!$AB$33+'TE CVA'!$AB$33)*(1-CUSTOS!$M$38)</f>
        <v>216.84105597414842</v>
      </c>
      <c r="AB1489" s="6">
        <f>$K$1489*$V$1489</f>
        <v>0</v>
      </c>
      <c r="AC1489" s="6">
        <f>$M$1489*$W$1489</f>
        <v>2062.2883499999998</v>
      </c>
      <c r="AD1489" s="6">
        <f>$O$1489*$X$1489</f>
        <v>785.49644999999987</v>
      </c>
      <c r="AE1489" s="6">
        <f>$K$1489*$Y$1489</f>
        <v>0</v>
      </c>
      <c r="AF1489" s="6">
        <f ca="1">$M$1489*$Z$1489</f>
        <v>2386.3976775247966</v>
      </c>
      <c r="AG1489" s="6">
        <f>$O$1489*$AA$1489</f>
        <v>1096.1315379493201</v>
      </c>
    </row>
    <row r="1490" spans="1:33" ht="11.25" customHeight="1" x14ac:dyDescent="0.25">
      <c r="A1490" s="4" t="s">
        <v>28</v>
      </c>
      <c r="B1490" s="4" t="s">
        <v>46</v>
      </c>
      <c r="C1490" s="4" t="s">
        <v>23</v>
      </c>
      <c r="D1490" s="4" t="s">
        <v>47</v>
      </c>
      <c r="E1490" s="4" t="s">
        <v>55</v>
      </c>
      <c r="F1490" s="4" t="s">
        <v>56</v>
      </c>
      <c r="G1490" s="4" t="s">
        <v>25</v>
      </c>
      <c r="H1490" s="4" t="s">
        <v>25</v>
      </c>
      <c r="I1490" s="5">
        <v>44621</v>
      </c>
      <c r="J1490" s="6">
        <v>0</v>
      </c>
      <c r="K1490" s="6">
        <v>0</v>
      </c>
      <c r="L1490" s="6">
        <v>1.7999999999999999E-2</v>
      </c>
      <c r="M1490" s="6">
        <v>1.7999999999999999E-2</v>
      </c>
      <c r="N1490" s="6">
        <v>1.7999999999999999E-2</v>
      </c>
      <c r="O1490" s="6">
        <v>1.7999999999999999E-2</v>
      </c>
      <c r="P1490" s="6">
        <v>0</v>
      </c>
      <c r="Q1490" s="4" t="s">
        <v>26</v>
      </c>
      <c r="R1490" s="4">
        <v>0</v>
      </c>
      <c r="S1490" s="6">
        <v>0</v>
      </c>
      <c r="T1490" s="6">
        <v>52</v>
      </c>
      <c r="U1490" s="6">
        <v>96</v>
      </c>
      <c r="V1490" s="6">
        <f>IF(ISERROR(VLOOKUP($S$1490,'TAR FIN'!$A$1:$O$115,15,0)),0,VLOOKUP($S$1490,'TAR FIN'!$A$1:$O$115,15,0))</f>
        <v>0</v>
      </c>
      <c r="W1490" s="6">
        <f>IF(ISERROR(VLOOKUP($T$1490,'TAR FIN'!$A$1:$O$115,15,0)),0,VLOOKUP($T$1490,'TAR FIN'!$A$1:$O$115,15,0))</f>
        <v>407.97</v>
      </c>
      <c r="X1490" s="6">
        <f>IF(ISERROR(VLOOKUP($U$1490,'TAR FIN'!$A$1:$O$115,15,0)),0,VLOOKUP($U$1490,'TAR FIN'!$A$1:$O$115,15,0))</f>
        <v>155.38999999999999</v>
      </c>
      <c r="Y1490" s="6"/>
      <c r="Z1490" s="6">
        <f ca="1">('TUSD BE'!$AM$50+'TUSD BF'!$AM$50+'TUSD CVA'!$AM$50)*(1-CUSTOS!$M$38)</f>
        <v>472.08658309095875</v>
      </c>
      <c r="AA1490" s="6">
        <f>('TE BE'!$AB$33+'TE BF'!$AB$33+'TE CVA'!$AB$33)*(1-CUSTOS!$M$38)</f>
        <v>216.84105597414842</v>
      </c>
      <c r="AB1490" s="6">
        <f>$K$1490*$V$1490</f>
        <v>0</v>
      </c>
      <c r="AC1490" s="6">
        <f>$M$1490*$W$1490</f>
        <v>7.3434600000000003</v>
      </c>
      <c r="AD1490" s="6">
        <f>$O$1490*$X$1490</f>
        <v>2.7970199999999994</v>
      </c>
      <c r="AE1490" s="6">
        <f>$K$1490*$Y$1490</f>
        <v>0</v>
      </c>
      <c r="AF1490" s="6">
        <f ca="1">$M$1490*$Z$1490</f>
        <v>8.4975584956372572</v>
      </c>
      <c r="AG1490" s="6">
        <f>$O$1490*$AA$1490</f>
        <v>3.903139007534671</v>
      </c>
    </row>
    <row r="1491" spans="1:33" ht="11.25" customHeight="1" x14ac:dyDescent="0.25">
      <c r="A1491" s="4" t="s">
        <v>21</v>
      </c>
      <c r="B1491" s="4" t="s">
        <v>46</v>
      </c>
      <c r="C1491" s="4" t="s">
        <v>23</v>
      </c>
      <c r="D1491" s="4" t="s">
        <v>47</v>
      </c>
      <c r="E1491" s="4" t="s">
        <v>55</v>
      </c>
      <c r="F1491" s="4" t="s">
        <v>56</v>
      </c>
      <c r="G1491" s="4" t="s">
        <v>25</v>
      </c>
      <c r="H1491" s="4" t="s">
        <v>25</v>
      </c>
      <c r="I1491" s="5">
        <v>44652</v>
      </c>
      <c r="J1491" s="6">
        <v>0</v>
      </c>
      <c r="K1491" s="6">
        <v>0</v>
      </c>
      <c r="L1491" s="6">
        <v>3.76</v>
      </c>
      <c r="M1491" s="6">
        <v>3.76</v>
      </c>
      <c r="N1491" s="6">
        <v>3.76</v>
      </c>
      <c r="O1491" s="6">
        <v>3.76</v>
      </c>
      <c r="P1491" s="6">
        <v>0</v>
      </c>
      <c r="Q1491" s="4" t="s">
        <v>26</v>
      </c>
      <c r="R1491" s="4">
        <v>0</v>
      </c>
      <c r="S1491" s="6">
        <v>0</v>
      </c>
      <c r="T1491" s="6">
        <v>52</v>
      </c>
      <c r="U1491" s="6">
        <v>96</v>
      </c>
      <c r="V1491" s="6">
        <f>IF(ISERROR(VLOOKUP($S$1491,'TAR FIN'!$A$1:$O$115,15,0)),0,VLOOKUP($S$1491,'TAR FIN'!$A$1:$O$115,15,0))</f>
        <v>0</v>
      </c>
      <c r="W1491" s="6">
        <f>IF(ISERROR(VLOOKUP($T$1491,'TAR FIN'!$A$1:$O$115,15,0)),0,VLOOKUP($T$1491,'TAR FIN'!$A$1:$O$115,15,0))</f>
        <v>407.97</v>
      </c>
      <c r="X1491" s="6">
        <f>IF(ISERROR(VLOOKUP($U$1491,'TAR FIN'!$A$1:$O$115,15,0)),0,VLOOKUP($U$1491,'TAR FIN'!$A$1:$O$115,15,0))</f>
        <v>155.38999999999999</v>
      </c>
      <c r="Y1491" s="6"/>
      <c r="Z1491" s="6">
        <f ca="1">('TUSD BE'!$AM$50+'TUSD BF'!$AM$50+'TUSD CVA'!$AM$50)*(1-CUSTOS!$M$38)</f>
        <v>472.08658309095875</v>
      </c>
      <c r="AA1491" s="6">
        <f>('TE BE'!$AB$33+'TE BF'!$AB$33+'TE CVA'!$AB$33)*(1-CUSTOS!$M$38)</f>
        <v>216.84105597414842</v>
      </c>
      <c r="AB1491" s="6">
        <f>$K$1491*$V$1491</f>
        <v>0</v>
      </c>
      <c r="AC1491" s="6">
        <f>$M$1491*$W$1491</f>
        <v>1533.9672</v>
      </c>
      <c r="AD1491" s="6">
        <f>$O$1491*$X$1491</f>
        <v>584.26639999999986</v>
      </c>
      <c r="AE1491" s="6">
        <f>$K$1491*$Y$1491</f>
        <v>0</v>
      </c>
      <c r="AF1491" s="6">
        <f ca="1">$M$1491*$Z$1491</f>
        <v>1775.0455524220049</v>
      </c>
      <c r="AG1491" s="6">
        <f>$O$1491*$AA$1491</f>
        <v>815.32237046279795</v>
      </c>
    </row>
    <row r="1492" spans="1:33" ht="11.25" customHeight="1" x14ac:dyDescent="0.25">
      <c r="A1492" s="4" t="s">
        <v>27</v>
      </c>
      <c r="B1492" s="4" t="s">
        <v>46</v>
      </c>
      <c r="C1492" s="4" t="s">
        <v>23</v>
      </c>
      <c r="D1492" s="4" t="s">
        <v>47</v>
      </c>
      <c r="E1492" s="4" t="s">
        <v>55</v>
      </c>
      <c r="F1492" s="4" t="s">
        <v>56</v>
      </c>
      <c r="G1492" s="4" t="s">
        <v>25</v>
      </c>
      <c r="H1492" s="4" t="s">
        <v>25</v>
      </c>
      <c r="I1492" s="5">
        <v>44652</v>
      </c>
      <c r="J1492" s="6">
        <v>0</v>
      </c>
      <c r="K1492" s="6">
        <v>0</v>
      </c>
      <c r="L1492" s="6">
        <v>-12.438000000000001</v>
      </c>
      <c r="M1492" s="6">
        <v>-12.438000000000001</v>
      </c>
      <c r="N1492" s="6">
        <v>-12.438000000000001</v>
      </c>
      <c r="O1492" s="6">
        <v>-12.438000000000001</v>
      </c>
      <c r="P1492" s="6">
        <v>0</v>
      </c>
      <c r="Q1492" s="4" t="s">
        <v>26</v>
      </c>
      <c r="R1492" s="4">
        <v>0</v>
      </c>
      <c r="S1492" s="6">
        <v>0</v>
      </c>
      <c r="T1492" s="6">
        <v>52</v>
      </c>
      <c r="U1492" s="6">
        <v>96</v>
      </c>
      <c r="V1492" s="6">
        <f>IF(ISERROR(VLOOKUP($S$1492,'TAR FIN'!$A$1:$O$115,15,0)),0,VLOOKUP($S$1492,'TAR FIN'!$A$1:$O$115,15,0))</f>
        <v>0</v>
      </c>
      <c r="W1492" s="6">
        <f>IF(ISERROR(VLOOKUP($T$1492,'TAR FIN'!$A$1:$O$115,15,0)),0,VLOOKUP($T$1492,'TAR FIN'!$A$1:$O$115,15,0))</f>
        <v>407.97</v>
      </c>
      <c r="X1492" s="6">
        <f>IF(ISERROR(VLOOKUP($U$1492,'TAR FIN'!$A$1:$O$115,15,0)),0,VLOOKUP($U$1492,'TAR FIN'!$A$1:$O$115,15,0))</f>
        <v>155.38999999999999</v>
      </c>
      <c r="Y1492" s="6"/>
      <c r="Z1492" s="6">
        <f ca="1">('TUSD BE'!$AM$50+'TUSD BF'!$AM$50+'TUSD CVA'!$AM$50)*(1-CUSTOS!$M$38)</f>
        <v>472.08658309095875</v>
      </c>
      <c r="AA1492" s="6">
        <f>('TE BE'!$AB$33+'TE BF'!$AB$33+'TE CVA'!$AB$33)*(1-CUSTOS!$M$38)</f>
        <v>216.84105597414842</v>
      </c>
      <c r="AB1492" s="6">
        <f>$K$1492*$V$1492</f>
        <v>0</v>
      </c>
      <c r="AC1492" s="6">
        <f>$M$1492*$W$1492</f>
        <v>-5074.3308600000009</v>
      </c>
      <c r="AD1492" s="6">
        <f>$O$1492*$X$1492</f>
        <v>-1932.74082</v>
      </c>
      <c r="AE1492" s="6">
        <f>$K$1492*$Y$1492</f>
        <v>0</v>
      </c>
      <c r="AF1492" s="6">
        <f ca="1">$M$1492*$Z$1492</f>
        <v>-5871.8129204853449</v>
      </c>
      <c r="AG1492" s="6">
        <f>$O$1492*$AA$1492</f>
        <v>-2697.0690542064581</v>
      </c>
    </row>
    <row r="1493" spans="1:33" ht="11.25" customHeight="1" x14ac:dyDescent="0.25">
      <c r="A1493" s="4" t="s">
        <v>28</v>
      </c>
      <c r="B1493" s="4" t="s">
        <v>46</v>
      </c>
      <c r="C1493" s="4" t="s">
        <v>23</v>
      </c>
      <c r="D1493" s="4" t="s">
        <v>47</v>
      </c>
      <c r="E1493" s="4" t="s">
        <v>55</v>
      </c>
      <c r="F1493" s="4" t="s">
        <v>56</v>
      </c>
      <c r="G1493" s="4" t="s">
        <v>25</v>
      </c>
      <c r="H1493" s="4" t="s">
        <v>25</v>
      </c>
      <c r="I1493" s="5">
        <v>44652</v>
      </c>
      <c r="J1493" s="6">
        <v>0</v>
      </c>
      <c r="K1493" s="6">
        <v>0</v>
      </c>
      <c r="L1493" s="6">
        <v>0.57199999999999995</v>
      </c>
      <c r="M1493" s="6">
        <v>0.57199999999999995</v>
      </c>
      <c r="N1493" s="6">
        <v>0.57199999999999995</v>
      </c>
      <c r="O1493" s="6">
        <v>0.57199999999999995</v>
      </c>
      <c r="P1493" s="6">
        <v>0</v>
      </c>
      <c r="Q1493" s="4" t="s">
        <v>26</v>
      </c>
      <c r="R1493" s="4">
        <v>0</v>
      </c>
      <c r="S1493" s="6">
        <v>0</v>
      </c>
      <c r="T1493" s="6">
        <v>52</v>
      </c>
      <c r="U1493" s="6">
        <v>96</v>
      </c>
      <c r="V1493" s="6">
        <f>IF(ISERROR(VLOOKUP($S$1493,'TAR FIN'!$A$1:$O$115,15,0)),0,VLOOKUP($S$1493,'TAR FIN'!$A$1:$O$115,15,0))</f>
        <v>0</v>
      </c>
      <c r="W1493" s="6">
        <f>IF(ISERROR(VLOOKUP($T$1493,'TAR FIN'!$A$1:$O$115,15,0)),0,VLOOKUP($T$1493,'TAR FIN'!$A$1:$O$115,15,0))</f>
        <v>407.97</v>
      </c>
      <c r="X1493" s="6">
        <f>IF(ISERROR(VLOOKUP($U$1493,'TAR FIN'!$A$1:$O$115,15,0)),0,VLOOKUP($U$1493,'TAR FIN'!$A$1:$O$115,15,0))</f>
        <v>155.38999999999999</v>
      </c>
      <c r="Y1493" s="6"/>
      <c r="Z1493" s="6">
        <f ca="1">('TUSD BE'!$AM$50+'TUSD BF'!$AM$50+'TUSD CVA'!$AM$50)*(1-CUSTOS!$M$38)</f>
        <v>472.08658309095875</v>
      </c>
      <c r="AA1493" s="6">
        <f>('TE BE'!$AB$33+'TE BF'!$AB$33+'TE CVA'!$AB$33)*(1-CUSTOS!$M$38)</f>
        <v>216.84105597414842</v>
      </c>
      <c r="AB1493" s="6">
        <f>$K$1493*$V$1493</f>
        <v>0</v>
      </c>
      <c r="AC1493" s="6">
        <f>$M$1493*$W$1493</f>
        <v>233.35883999999999</v>
      </c>
      <c r="AD1493" s="6">
        <f>$O$1493*$X$1493</f>
        <v>88.883079999999978</v>
      </c>
      <c r="AE1493" s="6">
        <f>$K$1493*$Y$1493</f>
        <v>0</v>
      </c>
      <c r="AF1493" s="6">
        <f ca="1">$M$1493*$Z$1493</f>
        <v>270.03352552802841</v>
      </c>
      <c r="AG1493" s="6">
        <f>$O$1493*$AA$1493</f>
        <v>124.03308401721289</v>
      </c>
    </row>
    <row r="1494" spans="1:33" ht="11.25" customHeight="1" x14ac:dyDescent="0.25">
      <c r="A1494" s="4" t="s">
        <v>21</v>
      </c>
      <c r="B1494" s="4" t="s">
        <v>46</v>
      </c>
      <c r="C1494" s="4" t="s">
        <v>23</v>
      </c>
      <c r="D1494" s="4" t="s">
        <v>47</v>
      </c>
      <c r="E1494" s="4" t="s">
        <v>55</v>
      </c>
      <c r="F1494" s="4" t="s">
        <v>56</v>
      </c>
      <c r="G1494" s="4" t="s">
        <v>25</v>
      </c>
      <c r="H1494" s="4" t="s">
        <v>25</v>
      </c>
      <c r="I1494" s="5">
        <v>44682</v>
      </c>
      <c r="J1494" s="6">
        <v>0</v>
      </c>
      <c r="K1494" s="6">
        <v>0</v>
      </c>
      <c r="L1494" s="6">
        <v>15.972</v>
      </c>
      <c r="M1494" s="6">
        <v>15.972</v>
      </c>
      <c r="N1494" s="6">
        <v>15.972</v>
      </c>
      <c r="O1494" s="6">
        <v>15.972</v>
      </c>
      <c r="P1494" s="6">
        <v>0</v>
      </c>
      <c r="Q1494" s="4" t="s">
        <v>26</v>
      </c>
      <c r="R1494" s="4">
        <v>0</v>
      </c>
      <c r="S1494" s="6">
        <v>0</v>
      </c>
      <c r="T1494" s="6">
        <v>52</v>
      </c>
      <c r="U1494" s="6">
        <v>96</v>
      </c>
      <c r="V1494" s="6">
        <f>IF(ISERROR(VLOOKUP($S$1494,'TAR FIN'!$A$1:$O$115,15,0)),0,VLOOKUP($S$1494,'TAR FIN'!$A$1:$O$115,15,0))</f>
        <v>0</v>
      </c>
      <c r="W1494" s="6">
        <f>IF(ISERROR(VLOOKUP($T$1494,'TAR FIN'!$A$1:$O$115,15,0)),0,VLOOKUP($T$1494,'TAR FIN'!$A$1:$O$115,15,0))</f>
        <v>407.97</v>
      </c>
      <c r="X1494" s="6">
        <f>IF(ISERROR(VLOOKUP($U$1494,'TAR FIN'!$A$1:$O$115,15,0)),0,VLOOKUP($U$1494,'TAR FIN'!$A$1:$O$115,15,0))</f>
        <v>155.38999999999999</v>
      </c>
      <c r="Y1494" s="6"/>
      <c r="Z1494" s="6">
        <f ca="1">('TUSD BE'!$AM$50+'TUSD BF'!$AM$50+'TUSD CVA'!$AM$50)*(1-CUSTOS!$M$38)</f>
        <v>472.08658309095875</v>
      </c>
      <c r="AA1494" s="6">
        <f>('TE BE'!$AB$33+'TE BF'!$AB$33+'TE CVA'!$AB$33)*(1-CUSTOS!$M$38)</f>
        <v>216.84105597414842</v>
      </c>
      <c r="AB1494" s="6">
        <f>$K$1494*$V$1494</f>
        <v>0</v>
      </c>
      <c r="AC1494" s="6">
        <f>$M$1494*$W$1494</f>
        <v>6516.0968400000002</v>
      </c>
      <c r="AD1494" s="6">
        <f>$O$1494*$X$1494</f>
        <v>2481.8890799999999</v>
      </c>
      <c r="AE1494" s="6">
        <f>$K$1494*$Y$1494</f>
        <v>0</v>
      </c>
      <c r="AF1494" s="6">
        <f ca="1">$M$1494*$Z$1494</f>
        <v>7540.1669051287927</v>
      </c>
      <c r="AG1494" s="6">
        <f>$O$1494*$AA$1494</f>
        <v>3463.3853460190985</v>
      </c>
    </row>
    <row r="1495" spans="1:33" ht="11.25" customHeight="1" x14ac:dyDescent="0.25">
      <c r="A1495" s="4" t="s">
        <v>27</v>
      </c>
      <c r="B1495" s="4" t="s">
        <v>46</v>
      </c>
      <c r="C1495" s="4" t="s">
        <v>23</v>
      </c>
      <c r="D1495" s="4" t="s">
        <v>47</v>
      </c>
      <c r="E1495" s="4" t="s">
        <v>55</v>
      </c>
      <c r="F1495" s="4" t="s">
        <v>56</v>
      </c>
      <c r="G1495" s="4" t="s">
        <v>25</v>
      </c>
      <c r="H1495" s="4" t="s">
        <v>25</v>
      </c>
      <c r="I1495" s="5">
        <v>44682</v>
      </c>
      <c r="J1495" s="6">
        <v>0</v>
      </c>
      <c r="K1495" s="6">
        <v>0</v>
      </c>
      <c r="L1495" s="6">
        <v>-0.25700000000000001</v>
      </c>
      <c r="M1495" s="6">
        <v>-0.25700000000000001</v>
      </c>
      <c r="N1495" s="6">
        <v>-0.25700000000000001</v>
      </c>
      <c r="O1495" s="6">
        <v>-0.25700000000000001</v>
      </c>
      <c r="P1495" s="6">
        <v>0</v>
      </c>
      <c r="Q1495" s="4" t="s">
        <v>26</v>
      </c>
      <c r="R1495" s="4">
        <v>0</v>
      </c>
      <c r="S1495" s="6">
        <v>0</v>
      </c>
      <c r="T1495" s="6">
        <v>52</v>
      </c>
      <c r="U1495" s="6">
        <v>96</v>
      </c>
      <c r="V1495" s="6">
        <f>IF(ISERROR(VLOOKUP($S$1495,'TAR FIN'!$A$1:$O$115,15,0)),0,VLOOKUP($S$1495,'TAR FIN'!$A$1:$O$115,15,0))</f>
        <v>0</v>
      </c>
      <c r="W1495" s="6">
        <f>IF(ISERROR(VLOOKUP($T$1495,'TAR FIN'!$A$1:$O$115,15,0)),0,VLOOKUP($T$1495,'TAR FIN'!$A$1:$O$115,15,0))</f>
        <v>407.97</v>
      </c>
      <c r="X1495" s="6">
        <f>IF(ISERROR(VLOOKUP($U$1495,'TAR FIN'!$A$1:$O$115,15,0)),0,VLOOKUP($U$1495,'TAR FIN'!$A$1:$O$115,15,0))</f>
        <v>155.38999999999999</v>
      </c>
      <c r="Y1495" s="6"/>
      <c r="Z1495" s="6">
        <f ca="1">('TUSD BE'!$AM$50+'TUSD BF'!$AM$50+'TUSD CVA'!$AM$50)*(1-CUSTOS!$M$38)</f>
        <v>472.08658309095875</v>
      </c>
      <c r="AA1495" s="6">
        <f>('TE BE'!$AB$33+'TE BF'!$AB$33+'TE CVA'!$AB$33)*(1-CUSTOS!$M$38)</f>
        <v>216.84105597414842</v>
      </c>
      <c r="AB1495" s="6">
        <f>$K$1495*$V$1495</f>
        <v>0</v>
      </c>
      <c r="AC1495" s="6">
        <f>$M$1495*$W$1495</f>
        <v>-104.84829000000001</v>
      </c>
      <c r="AD1495" s="6">
        <f>$O$1495*$X$1495</f>
        <v>-39.935229999999997</v>
      </c>
      <c r="AE1495" s="6">
        <f>$K$1495*$Y$1495</f>
        <v>0</v>
      </c>
      <c r="AF1495" s="6">
        <f ca="1">$M$1495*$Z$1495</f>
        <v>-121.32625185437641</v>
      </c>
      <c r="AG1495" s="6">
        <f>$O$1495*$AA$1495</f>
        <v>-55.728151385356142</v>
      </c>
    </row>
    <row r="1496" spans="1:33" ht="11.25" customHeight="1" x14ac:dyDescent="0.25">
      <c r="A1496" s="4" t="s">
        <v>28</v>
      </c>
      <c r="B1496" s="4" t="s">
        <v>46</v>
      </c>
      <c r="C1496" s="4" t="s">
        <v>23</v>
      </c>
      <c r="D1496" s="4" t="s">
        <v>47</v>
      </c>
      <c r="E1496" s="4" t="s">
        <v>55</v>
      </c>
      <c r="F1496" s="4" t="s">
        <v>56</v>
      </c>
      <c r="G1496" s="4" t="s">
        <v>25</v>
      </c>
      <c r="H1496" s="4" t="s">
        <v>25</v>
      </c>
      <c r="I1496" s="5">
        <v>44682</v>
      </c>
      <c r="J1496" s="6">
        <v>0</v>
      </c>
      <c r="K1496" s="6">
        <v>0</v>
      </c>
      <c r="L1496" s="6">
        <v>2.573</v>
      </c>
      <c r="M1496" s="6">
        <v>2.573</v>
      </c>
      <c r="N1496" s="6">
        <v>2.573</v>
      </c>
      <c r="O1496" s="6">
        <v>2.573</v>
      </c>
      <c r="P1496" s="6">
        <v>0</v>
      </c>
      <c r="Q1496" s="4" t="s">
        <v>26</v>
      </c>
      <c r="R1496" s="4">
        <v>0</v>
      </c>
      <c r="S1496" s="6">
        <v>0</v>
      </c>
      <c r="T1496" s="6">
        <v>52</v>
      </c>
      <c r="U1496" s="6">
        <v>96</v>
      </c>
      <c r="V1496" s="6">
        <f>IF(ISERROR(VLOOKUP($S$1496,'TAR FIN'!$A$1:$O$115,15,0)),0,VLOOKUP($S$1496,'TAR FIN'!$A$1:$O$115,15,0))</f>
        <v>0</v>
      </c>
      <c r="W1496" s="6">
        <f>IF(ISERROR(VLOOKUP($T$1496,'TAR FIN'!$A$1:$O$115,15,0)),0,VLOOKUP($T$1496,'TAR FIN'!$A$1:$O$115,15,0))</f>
        <v>407.97</v>
      </c>
      <c r="X1496" s="6">
        <f>IF(ISERROR(VLOOKUP($U$1496,'TAR FIN'!$A$1:$O$115,15,0)),0,VLOOKUP($U$1496,'TAR FIN'!$A$1:$O$115,15,0))</f>
        <v>155.38999999999999</v>
      </c>
      <c r="Y1496" s="6"/>
      <c r="Z1496" s="6">
        <f ca="1">('TUSD BE'!$AM$50+'TUSD BF'!$AM$50+'TUSD CVA'!$AM$50)*(1-CUSTOS!$M$38)</f>
        <v>472.08658309095875</v>
      </c>
      <c r="AA1496" s="6">
        <f>('TE BE'!$AB$33+'TE BF'!$AB$33+'TE CVA'!$AB$33)*(1-CUSTOS!$M$38)</f>
        <v>216.84105597414842</v>
      </c>
      <c r="AB1496" s="6">
        <f>$K$1496*$V$1496</f>
        <v>0</v>
      </c>
      <c r="AC1496" s="6">
        <f>$M$1496*$W$1496</f>
        <v>1049.7068100000001</v>
      </c>
      <c r="AD1496" s="6">
        <f>$O$1496*$X$1496</f>
        <v>399.81846999999993</v>
      </c>
      <c r="AE1496" s="6">
        <f>$K$1496*$Y$1496</f>
        <v>0</v>
      </c>
      <c r="AF1496" s="6">
        <f ca="1">$M$1496*$Z$1496</f>
        <v>1214.6787782930369</v>
      </c>
      <c r="AG1496" s="6">
        <f>$O$1496*$AA$1496</f>
        <v>557.93203702148389</v>
      </c>
    </row>
    <row r="1497" spans="1:33" ht="11.25" customHeight="1" x14ac:dyDescent="0.25">
      <c r="A1497" s="4" t="s">
        <v>21</v>
      </c>
      <c r="B1497" s="4" t="s">
        <v>46</v>
      </c>
      <c r="C1497" s="4" t="s">
        <v>23</v>
      </c>
      <c r="D1497" s="4" t="s">
        <v>47</v>
      </c>
      <c r="E1497" s="4" t="s">
        <v>55</v>
      </c>
      <c r="F1497" s="4" t="s">
        <v>56</v>
      </c>
      <c r="G1497" s="4" t="s">
        <v>25</v>
      </c>
      <c r="H1497" s="4" t="s">
        <v>25</v>
      </c>
      <c r="I1497" s="5">
        <v>44713</v>
      </c>
      <c r="J1497" s="6">
        <v>0</v>
      </c>
      <c r="K1497" s="6">
        <v>0</v>
      </c>
      <c r="L1497" s="6">
        <v>9.6989999999999998</v>
      </c>
      <c r="M1497" s="6">
        <v>9.6989999999999998</v>
      </c>
      <c r="N1497" s="6">
        <v>9.6989999999999998</v>
      </c>
      <c r="O1497" s="6">
        <v>9.6989999999999998</v>
      </c>
      <c r="P1497" s="6">
        <v>0</v>
      </c>
      <c r="Q1497" s="4" t="s">
        <v>26</v>
      </c>
      <c r="R1497" s="4">
        <v>0</v>
      </c>
      <c r="S1497" s="6">
        <v>0</v>
      </c>
      <c r="T1497" s="6">
        <v>52</v>
      </c>
      <c r="U1497" s="6">
        <v>96</v>
      </c>
      <c r="V1497" s="6">
        <f>IF(ISERROR(VLOOKUP($S$1497,'TAR FIN'!$A$1:$O$115,15,0)),0,VLOOKUP($S$1497,'TAR FIN'!$A$1:$O$115,15,0))</f>
        <v>0</v>
      </c>
      <c r="W1497" s="6">
        <f>IF(ISERROR(VLOOKUP($T$1497,'TAR FIN'!$A$1:$O$115,15,0)),0,VLOOKUP($T$1497,'TAR FIN'!$A$1:$O$115,15,0))</f>
        <v>407.97</v>
      </c>
      <c r="X1497" s="6">
        <f>IF(ISERROR(VLOOKUP($U$1497,'TAR FIN'!$A$1:$O$115,15,0)),0,VLOOKUP($U$1497,'TAR FIN'!$A$1:$O$115,15,0))</f>
        <v>155.38999999999999</v>
      </c>
      <c r="Y1497" s="6"/>
      <c r="Z1497" s="6">
        <f ca="1">('TUSD BE'!$AM$50+'TUSD BF'!$AM$50+'TUSD CVA'!$AM$50)*(1-CUSTOS!$M$38)</f>
        <v>472.08658309095875</v>
      </c>
      <c r="AA1497" s="6">
        <f>('TE BE'!$AB$33+'TE BF'!$AB$33+'TE CVA'!$AB$33)*(1-CUSTOS!$M$38)</f>
        <v>216.84105597414842</v>
      </c>
      <c r="AB1497" s="6">
        <f>$K$1497*$V$1497</f>
        <v>0</v>
      </c>
      <c r="AC1497" s="6">
        <f>$M$1497*$W$1497</f>
        <v>3956.90103</v>
      </c>
      <c r="AD1497" s="6">
        <f>$O$1497*$X$1497</f>
        <v>1507.1276099999998</v>
      </c>
      <c r="AE1497" s="6">
        <f>$K$1497*$Y$1497</f>
        <v>0</v>
      </c>
      <c r="AF1497" s="6">
        <f ca="1">$M$1497*$Z$1497</f>
        <v>4578.7677693992091</v>
      </c>
      <c r="AG1497" s="6">
        <f>$O$1497*$AA$1497</f>
        <v>2103.1414018932655</v>
      </c>
    </row>
    <row r="1498" spans="1:33" ht="11.25" customHeight="1" x14ac:dyDescent="0.25">
      <c r="A1498" s="4" t="s">
        <v>27</v>
      </c>
      <c r="B1498" s="4" t="s">
        <v>46</v>
      </c>
      <c r="C1498" s="4" t="s">
        <v>23</v>
      </c>
      <c r="D1498" s="4" t="s">
        <v>47</v>
      </c>
      <c r="E1498" s="4" t="s">
        <v>55</v>
      </c>
      <c r="F1498" s="4" t="s">
        <v>56</v>
      </c>
      <c r="G1498" s="4" t="s">
        <v>25</v>
      </c>
      <c r="H1498" s="4" t="s">
        <v>25</v>
      </c>
      <c r="I1498" s="5">
        <v>44713</v>
      </c>
      <c r="J1498" s="6">
        <v>0</v>
      </c>
      <c r="K1498" s="6">
        <v>0</v>
      </c>
      <c r="L1498" s="6">
        <v>-7.1219999999999999</v>
      </c>
      <c r="M1498" s="6">
        <v>-7.1219999999999999</v>
      </c>
      <c r="N1498" s="6">
        <v>-7.1219999999999999</v>
      </c>
      <c r="O1498" s="6">
        <v>-7.1219999999999999</v>
      </c>
      <c r="P1498" s="6">
        <v>0</v>
      </c>
      <c r="Q1498" s="4" t="s">
        <v>26</v>
      </c>
      <c r="R1498" s="4">
        <v>0</v>
      </c>
      <c r="S1498" s="6">
        <v>0</v>
      </c>
      <c r="T1498" s="6">
        <v>52</v>
      </c>
      <c r="U1498" s="6">
        <v>96</v>
      </c>
      <c r="V1498" s="6">
        <f>IF(ISERROR(VLOOKUP($S$1498,'TAR FIN'!$A$1:$O$115,15,0)),0,VLOOKUP($S$1498,'TAR FIN'!$A$1:$O$115,15,0))</f>
        <v>0</v>
      </c>
      <c r="W1498" s="6">
        <f>IF(ISERROR(VLOOKUP($T$1498,'TAR FIN'!$A$1:$O$115,15,0)),0,VLOOKUP($T$1498,'TAR FIN'!$A$1:$O$115,15,0))</f>
        <v>407.97</v>
      </c>
      <c r="X1498" s="6">
        <f>IF(ISERROR(VLOOKUP($U$1498,'TAR FIN'!$A$1:$O$115,15,0)),0,VLOOKUP($U$1498,'TAR FIN'!$A$1:$O$115,15,0))</f>
        <v>155.38999999999999</v>
      </c>
      <c r="Y1498" s="6"/>
      <c r="Z1498" s="6">
        <f ca="1">('TUSD BE'!$AM$50+'TUSD BF'!$AM$50+'TUSD CVA'!$AM$50)*(1-CUSTOS!$M$38)</f>
        <v>472.08658309095875</v>
      </c>
      <c r="AA1498" s="6">
        <f>('TE BE'!$AB$33+'TE BF'!$AB$33+'TE CVA'!$AB$33)*(1-CUSTOS!$M$38)</f>
        <v>216.84105597414842</v>
      </c>
      <c r="AB1498" s="6">
        <f>$K$1498*$V$1498</f>
        <v>0</v>
      </c>
      <c r="AC1498" s="6">
        <f>$M$1498*$W$1498</f>
        <v>-2905.5623399999999</v>
      </c>
      <c r="AD1498" s="6">
        <f>$O$1498*$X$1498</f>
        <v>-1106.6875799999998</v>
      </c>
      <c r="AE1498" s="6">
        <f>$K$1498*$Y$1498</f>
        <v>0</v>
      </c>
      <c r="AF1498" s="6">
        <f ca="1">$M$1498*$Z$1498</f>
        <v>-3362.2006447738081</v>
      </c>
      <c r="AG1498" s="6">
        <f>$O$1498*$AA$1498</f>
        <v>-1544.342000647885</v>
      </c>
    </row>
    <row r="1499" spans="1:33" ht="11.25" customHeight="1" x14ac:dyDescent="0.25">
      <c r="A1499" s="4" t="s">
        <v>28</v>
      </c>
      <c r="B1499" s="4" t="s">
        <v>46</v>
      </c>
      <c r="C1499" s="4" t="s">
        <v>23</v>
      </c>
      <c r="D1499" s="4" t="s">
        <v>47</v>
      </c>
      <c r="E1499" s="4" t="s">
        <v>55</v>
      </c>
      <c r="F1499" s="4" t="s">
        <v>56</v>
      </c>
      <c r="G1499" s="4" t="s">
        <v>25</v>
      </c>
      <c r="H1499" s="4" t="s">
        <v>25</v>
      </c>
      <c r="I1499" s="5">
        <v>44713</v>
      </c>
      <c r="J1499" s="6">
        <v>0</v>
      </c>
      <c r="K1499" s="6">
        <v>0</v>
      </c>
      <c r="L1499" s="6">
        <v>1.0009999999999999</v>
      </c>
      <c r="M1499" s="6">
        <v>1.0009999999999999</v>
      </c>
      <c r="N1499" s="6">
        <v>1.0009999999999999</v>
      </c>
      <c r="O1499" s="6">
        <v>1.0009999999999999</v>
      </c>
      <c r="P1499" s="6">
        <v>0</v>
      </c>
      <c r="Q1499" s="4" t="s">
        <v>26</v>
      </c>
      <c r="R1499" s="4">
        <v>0</v>
      </c>
      <c r="S1499" s="6">
        <v>0</v>
      </c>
      <c r="T1499" s="6">
        <v>52</v>
      </c>
      <c r="U1499" s="6">
        <v>96</v>
      </c>
      <c r="V1499" s="6">
        <f>IF(ISERROR(VLOOKUP($S$1499,'TAR FIN'!$A$1:$O$115,15,0)),0,VLOOKUP($S$1499,'TAR FIN'!$A$1:$O$115,15,0))</f>
        <v>0</v>
      </c>
      <c r="W1499" s="6">
        <f>IF(ISERROR(VLOOKUP($T$1499,'TAR FIN'!$A$1:$O$115,15,0)),0,VLOOKUP($T$1499,'TAR FIN'!$A$1:$O$115,15,0))</f>
        <v>407.97</v>
      </c>
      <c r="X1499" s="6">
        <f>IF(ISERROR(VLOOKUP($U$1499,'TAR FIN'!$A$1:$O$115,15,0)),0,VLOOKUP($U$1499,'TAR FIN'!$A$1:$O$115,15,0))</f>
        <v>155.38999999999999</v>
      </c>
      <c r="Y1499" s="6"/>
      <c r="Z1499" s="6">
        <f ca="1">('TUSD BE'!$AM$50+'TUSD BF'!$AM$50+'TUSD CVA'!$AM$50)*(1-CUSTOS!$M$38)</f>
        <v>472.08658309095875</v>
      </c>
      <c r="AA1499" s="6">
        <f>('TE BE'!$AB$33+'TE BF'!$AB$33+'TE CVA'!$AB$33)*(1-CUSTOS!$M$38)</f>
        <v>216.84105597414842</v>
      </c>
      <c r="AB1499" s="6">
        <f>$K$1499*$V$1499</f>
        <v>0</v>
      </c>
      <c r="AC1499" s="6">
        <f>$M$1499*$W$1499</f>
        <v>408.37797</v>
      </c>
      <c r="AD1499" s="6">
        <f>$O$1499*$X$1499</f>
        <v>155.54538999999997</v>
      </c>
      <c r="AE1499" s="6">
        <f>$K$1499*$Y$1499</f>
        <v>0</v>
      </c>
      <c r="AF1499" s="6">
        <f ca="1">$M$1499*$Z$1499</f>
        <v>472.55866967404967</v>
      </c>
      <c r="AG1499" s="6">
        <f>$O$1499*$AA$1499</f>
        <v>217.05789703012255</v>
      </c>
    </row>
    <row r="1500" spans="1:33" ht="11.25" customHeight="1" x14ac:dyDescent="0.25">
      <c r="A1500" s="4" t="s">
        <v>21</v>
      </c>
      <c r="B1500" s="4" t="s">
        <v>46</v>
      </c>
      <c r="C1500" s="4" t="s">
        <v>23</v>
      </c>
      <c r="D1500" s="4" t="s">
        <v>47</v>
      </c>
      <c r="E1500" s="4" t="s">
        <v>55</v>
      </c>
      <c r="F1500" s="4" t="s">
        <v>56</v>
      </c>
      <c r="G1500" s="4" t="s">
        <v>25</v>
      </c>
      <c r="H1500" s="4" t="s">
        <v>25</v>
      </c>
      <c r="I1500" s="5">
        <v>44743</v>
      </c>
      <c r="J1500" s="6">
        <v>0</v>
      </c>
      <c r="K1500" s="6">
        <v>0</v>
      </c>
      <c r="L1500" s="6">
        <v>3.0059999999999998</v>
      </c>
      <c r="M1500" s="6">
        <v>3.0059999999999998</v>
      </c>
      <c r="N1500" s="6">
        <v>3.0059999999999998</v>
      </c>
      <c r="O1500" s="6">
        <v>3.0059999999999998</v>
      </c>
      <c r="P1500" s="6">
        <v>0</v>
      </c>
      <c r="Q1500" s="4" t="s">
        <v>26</v>
      </c>
      <c r="R1500" s="4">
        <v>0</v>
      </c>
      <c r="S1500" s="6">
        <v>0</v>
      </c>
      <c r="T1500" s="6">
        <v>52</v>
      </c>
      <c r="U1500" s="6">
        <v>96</v>
      </c>
      <c r="V1500" s="6">
        <f>IF(ISERROR(VLOOKUP($S$1500,'TAR FIN'!$A$1:$O$115,15,0)),0,VLOOKUP($S$1500,'TAR FIN'!$A$1:$O$115,15,0))</f>
        <v>0</v>
      </c>
      <c r="W1500" s="6">
        <f>IF(ISERROR(VLOOKUP($T$1500,'TAR FIN'!$A$1:$O$115,15,0)),0,VLOOKUP($T$1500,'TAR FIN'!$A$1:$O$115,15,0))</f>
        <v>407.97</v>
      </c>
      <c r="X1500" s="6">
        <f>IF(ISERROR(VLOOKUP($U$1500,'TAR FIN'!$A$1:$O$115,15,0)),0,VLOOKUP($U$1500,'TAR FIN'!$A$1:$O$115,15,0))</f>
        <v>155.38999999999999</v>
      </c>
      <c r="Y1500" s="6"/>
      <c r="Z1500" s="6">
        <f ca="1">('TUSD BE'!$AM$50+'TUSD BF'!$AM$50+'TUSD CVA'!$AM$50)*(1-CUSTOS!$M$38)</f>
        <v>472.08658309095875</v>
      </c>
      <c r="AA1500" s="6">
        <f>('TE BE'!$AB$33+'TE BF'!$AB$33+'TE CVA'!$AB$33)*(1-CUSTOS!$M$38)</f>
        <v>216.84105597414842</v>
      </c>
      <c r="AB1500" s="6">
        <f>$K$1500*$V$1500</f>
        <v>0</v>
      </c>
      <c r="AC1500" s="6">
        <f>$M$1500*$W$1500</f>
        <v>1226.3578199999999</v>
      </c>
      <c r="AD1500" s="6">
        <f>$O$1500*$X$1500</f>
        <v>467.10233999999991</v>
      </c>
      <c r="AE1500" s="6">
        <f>$K$1500*$Y$1500</f>
        <v>0</v>
      </c>
      <c r="AF1500" s="6">
        <f ca="1">$M$1500*$Z$1500</f>
        <v>1419.0922687714219</v>
      </c>
      <c r="AG1500" s="6">
        <f>$O$1500*$AA$1500</f>
        <v>651.82421425829011</v>
      </c>
    </row>
    <row r="1501" spans="1:33" ht="11.25" customHeight="1" x14ac:dyDescent="0.25">
      <c r="A1501" s="4" t="s">
        <v>28</v>
      </c>
      <c r="B1501" s="4" t="s">
        <v>46</v>
      </c>
      <c r="C1501" s="4" t="s">
        <v>23</v>
      </c>
      <c r="D1501" s="4" t="s">
        <v>47</v>
      </c>
      <c r="E1501" s="4" t="s">
        <v>55</v>
      </c>
      <c r="F1501" s="4" t="s">
        <v>56</v>
      </c>
      <c r="G1501" s="4" t="s">
        <v>25</v>
      </c>
      <c r="H1501" s="4" t="s">
        <v>25</v>
      </c>
      <c r="I1501" s="5">
        <v>44743</v>
      </c>
      <c r="J1501" s="6">
        <v>0</v>
      </c>
      <c r="K1501" s="6">
        <v>0</v>
      </c>
      <c r="L1501" s="6">
        <v>1.712</v>
      </c>
      <c r="M1501" s="6">
        <v>1.712</v>
      </c>
      <c r="N1501" s="6">
        <v>1.712</v>
      </c>
      <c r="O1501" s="6">
        <v>1.712</v>
      </c>
      <c r="P1501" s="6">
        <v>0</v>
      </c>
      <c r="Q1501" s="4" t="s">
        <v>26</v>
      </c>
      <c r="R1501" s="4">
        <v>0</v>
      </c>
      <c r="S1501" s="6">
        <v>0</v>
      </c>
      <c r="T1501" s="6">
        <v>52</v>
      </c>
      <c r="U1501" s="6">
        <v>96</v>
      </c>
      <c r="V1501" s="6">
        <f>IF(ISERROR(VLOOKUP($S$1501,'TAR FIN'!$A$1:$O$115,15,0)),0,VLOOKUP($S$1501,'TAR FIN'!$A$1:$O$115,15,0))</f>
        <v>0</v>
      </c>
      <c r="W1501" s="6">
        <f>IF(ISERROR(VLOOKUP($T$1501,'TAR FIN'!$A$1:$O$115,15,0)),0,VLOOKUP($T$1501,'TAR FIN'!$A$1:$O$115,15,0))</f>
        <v>407.97</v>
      </c>
      <c r="X1501" s="6">
        <f>IF(ISERROR(VLOOKUP($U$1501,'TAR FIN'!$A$1:$O$115,15,0)),0,VLOOKUP($U$1501,'TAR FIN'!$A$1:$O$115,15,0))</f>
        <v>155.38999999999999</v>
      </c>
      <c r="Y1501" s="6"/>
      <c r="Z1501" s="6">
        <f ca="1">('TUSD BE'!$AM$50+'TUSD BF'!$AM$50+'TUSD CVA'!$AM$50)*(1-CUSTOS!$M$38)</f>
        <v>472.08658309095875</v>
      </c>
      <c r="AA1501" s="6">
        <f>('TE BE'!$AB$33+'TE BF'!$AB$33+'TE CVA'!$AB$33)*(1-CUSTOS!$M$38)</f>
        <v>216.84105597414842</v>
      </c>
      <c r="AB1501" s="6">
        <f>$K$1501*$V$1501</f>
        <v>0</v>
      </c>
      <c r="AC1501" s="6">
        <f>$M$1501*$W$1501</f>
        <v>698.44464000000005</v>
      </c>
      <c r="AD1501" s="6">
        <f>$O$1501*$X$1501</f>
        <v>266.02767999999998</v>
      </c>
      <c r="AE1501" s="6">
        <f>$K$1501*$Y$1501</f>
        <v>0</v>
      </c>
      <c r="AF1501" s="6">
        <f ca="1">$M$1501*$Z$1501</f>
        <v>808.21223025172139</v>
      </c>
      <c r="AG1501" s="6">
        <f>$O$1501*$AA$1501</f>
        <v>371.23188782774207</v>
      </c>
    </row>
    <row r="1502" spans="1:33" ht="11.25" customHeight="1" x14ac:dyDescent="0.25">
      <c r="A1502" s="4" t="s">
        <v>21</v>
      </c>
      <c r="B1502" s="4" t="s">
        <v>46</v>
      </c>
      <c r="C1502" s="4" t="s">
        <v>23</v>
      </c>
      <c r="D1502" s="4" t="s">
        <v>47</v>
      </c>
      <c r="E1502" s="4" t="s">
        <v>55</v>
      </c>
      <c r="F1502" s="4" t="s">
        <v>56</v>
      </c>
      <c r="G1502" s="4" t="s">
        <v>25</v>
      </c>
      <c r="H1502" s="4" t="s">
        <v>25</v>
      </c>
      <c r="I1502" s="5">
        <v>44774</v>
      </c>
      <c r="J1502" s="6">
        <v>0</v>
      </c>
      <c r="K1502" s="6">
        <v>0</v>
      </c>
      <c r="L1502" s="6">
        <v>1.7569999999999999</v>
      </c>
      <c r="M1502" s="6">
        <v>1.7569999999999999</v>
      </c>
      <c r="N1502" s="6">
        <v>1.7569999999999999</v>
      </c>
      <c r="O1502" s="6">
        <v>1.7569999999999999</v>
      </c>
      <c r="P1502" s="6">
        <v>0</v>
      </c>
      <c r="Q1502" s="4" t="s">
        <v>26</v>
      </c>
      <c r="R1502" s="4">
        <v>0</v>
      </c>
      <c r="S1502" s="6">
        <v>0</v>
      </c>
      <c r="T1502" s="6">
        <v>52</v>
      </c>
      <c r="U1502" s="6">
        <v>96</v>
      </c>
      <c r="V1502" s="6">
        <f>IF(ISERROR(VLOOKUP($S$1502,'TAR FIN'!$A$1:$O$115,15,0)),0,VLOOKUP($S$1502,'TAR FIN'!$A$1:$O$115,15,0))</f>
        <v>0</v>
      </c>
      <c r="W1502" s="6">
        <f>IF(ISERROR(VLOOKUP($T$1502,'TAR FIN'!$A$1:$O$115,15,0)),0,VLOOKUP($T$1502,'TAR FIN'!$A$1:$O$115,15,0))</f>
        <v>407.97</v>
      </c>
      <c r="X1502" s="6">
        <f>IF(ISERROR(VLOOKUP($U$1502,'TAR FIN'!$A$1:$O$115,15,0)),0,VLOOKUP($U$1502,'TAR FIN'!$A$1:$O$115,15,0))</f>
        <v>155.38999999999999</v>
      </c>
      <c r="Y1502" s="6"/>
      <c r="Z1502" s="6">
        <f ca="1">('TUSD BE'!$AM$50+'TUSD BF'!$AM$50+'TUSD CVA'!$AM$50)*(1-CUSTOS!$M$38)</f>
        <v>472.08658309095875</v>
      </c>
      <c r="AA1502" s="6">
        <f>('TE BE'!$AB$33+'TE BF'!$AB$33+'TE CVA'!$AB$33)*(1-CUSTOS!$M$38)</f>
        <v>216.84105597414842</v>
      </c>
      <c r="AB1502" s="6">
        <f>$K$1502*$V$1502</f>
        <v>0</v>
      </c>
      <c r="AC1502" s="6">
        <f>$M$1502*$W$1502</f>
        <v>716.80329000000006</v>
      </c>
      <c r="AD1502" s="6">
        <f>$O$1502*$X$1502</f>
        <v>273.02022999999997</v>
      </c>
      <c r="AE1502" s="6">
        <f>$K$1502*$Y$1502</f>
        <v>0</v>
      </c>
      <c r="AF1502" s="6">
        <f ca="1">$M$1502*$Z$1502</f>
        <v>829.45612649081443</v>
      </c>
      <c r="AG1502" s="6">
        <f>$O$1502*$AA$1502</f>
        <v>380.98973534657875</v>
      </c>
    </row>
    <row r="1503" spans="1:33" ht="11.25" customHeight="1" x14ac:dyDescent="0.25">
      <c r="A1503" s="4" t="s">
        <v>28</v>
      </c>
      <c r="B1503" s="4" t="s">
        <v>46</v>
      </c>
      <c r="C1503" s="4" t="s">
        <v>23</v>
      </c>
      <c r="D1503" s="4" t="s">
        <v>47</v>
      </c>
      <c r="E1503" s="4" t="s">
        <v>55</v>
      </c>
      <c r="F1503" s="4" t="s">
        <v>56</v>
      </c>
      <c r="G1503" s="4" t="s">
        <v>25</v>
      </c>
      <c r="H1503" s="4" t="s">
        <v>25</v>
      </c>
      <c r="I1503" s="5">
        <v>44774</v>
      </c>
      <c r="J1503" s="6">
        <v>0</v>
      </c>
      <c r="K1503" s="6">
        <v>0</v>
      </c>
      <c r="L1503" s="6">
        <v>2.359</v>
      </c>
      <c r="M1503" s="6">
        <v>2.359</v>
      </c>
      <c r="N1503" s="6">
        <v>2.359</v>
      </c>
      <c r="O1503" s="6">
        <v>2.359</v>
      </c>
      <c r="P1503" s="6">
        <v>0</v>
      </c>
      <c r="Q1503" s="4" t="s">
        <v>26</v>
      </c>
      <c r="R1503" s="4">
        <v>0</v>
      </c>
      <c r="S1503" s="6">
        <v>0</v>
      </c>
      <c r="T1503" s="6">
        <v>52</v>
      </c>
      <c r="U1503" s="6">
        <v>96</v>
      </c>
      <c r="V1503" s="6">
        <f>IF(ISERROR(VLOOKUP($S$1503,'TAR FIN'!$A$1:$O$115,15,0)),0,VLOOKUP($S$1503,'TAR FIN'!$A$1:$O$115,15,0))</f>
        <v>0</v>
      </c>
      <c r="W1503" s="6">
        <f>IF(ISERROR(VLOOKUP($T$1503,'TAR FIN'!$A$1:$O$115,15,0)),0,VLOOKUP($T$1503,'TAR FIN'!$A$1:$O$115,15,0))</f>
        <v>407.97</v>
      </c>
      <c r="X1503" s="6">
        <f>IF(ISERROR(VLOOKUP($U$1503,'TAR FIN'!$A$1:$O$115,15,0)),0,VLOOKUP($U$1503,'TAR FIN'!$A$1:$O$115,15,0))</f>
        <v>155.38999999999999</v>
      </c>
      <c r="Y1503" s="6"/>
      <c r="Z1503" s="6">
        <f ca="1">('TUSD BE'!$AM$50+'TUSD BF'!$AM$50+'TUSD CVA'!$AM$50)*(1-CUSTOS!$M$38)</f>
        <v>472.08658309095875</v>
      </c>
      <c r="AA1503" s="6">
        <f>('TE BE'!$AB$33+'TE BF'!$AB$33+'TE CVA'!$AB$33)*(1-CUSTOS!$M$38)</f>
        <v>216.84105597414842</v>
      </c>
      <c r="AB1503" s="6">
        <f>$K$1503*$V$1503</f>
        <v>0</v>
      </c>
      <c r="AC1503" s="6">
        <f>$M$1503*$W$1503</f>
        <v>962.40123000000006</v>
      </c>
      <c r="AD1503" s="6">
        <f>$O$1503*$X$1503</f>
        <v>366.56500999999997</v>
      </c>
      <c r="AE1503" s="6">
        <f>$K$1503*$Y$1503</f>
        <v>0</v>
      </c>
      <c r="AF1503" s="6">
        <f ca="1">$M$1503*$Z$1503</f>
        <v>1113.6522495115717</v>
      </c>
      <c r="AG1503" s="6">
        <f>$O$1503*$AA$1503</f>
        <v>511.52805104301609</v>
      </c>
    </row>
    <row r="1504" spans="1:33" ht="11.25" customHeight="1" x14ac:dyDescent="0.25">
      <c r="A1504" s="4" t="s">
        <v>21</v>
      </c>
      <c r="B1504" s="4" t="s">
        <v>46</v>
      </c>
      <c r="C1504" s="4" t="s">
        <v>23</v>
      </c>
      <c r="D1504" s="4" t="s">
        <v>47</v>
      </c>
      <c r="E1504" s="4" t="s">
        <v>55</v>
      </c>
      <c r="F1504" s="4" t="s">
        <v>56</v>
      </c>
      <c r="G1504" s="4" t="s">
        <v>25</v>
      </c>
      <c r="H1504" s="4" t="s">
        <v>25</v>
      </c>
      <c r="I1504" s="5">
        <v>44805</v>
      </c>
      <c r="J1504" s="6">
        <v>0</v>
      </c>
      <c r="K1504" s="6">
        <v>0</v>
      </c>
      <c r="L1504" s="6">
        <v>4.3470000000000004</v>
      </c>
      <c r="M1504" s="6">
        <v>4.3470000000000004</v>
      </c>
      <c r="N1504" s="6">
        <v>4.3470000000000004</v>
      </c>
      <c r="O1504" s="6">
        <v>4.3470000000000004</v>
      </c>
      <c r="P1504" s="6">
        <v>0</v>
      </c>
      <c r="Q1504" s="4" t="s">
        <v>26</v>
      </c>
      <c r="R1504" s="4">
        <v>0</v>
      </c>
      <c r="S1504" s="6">
        <v>0</v>
      </c>
      <c r="T1504" s="6">
        <v>52</v>
      </c>
      <c r="U1504" s="6">
        <v>96</v>
      </c>
      <c r="V1504" s="6">
        <f>IF(ISERROR(VLOOKUP($S$1504,'TAR FIN'!$A$1:$O$115,15,0)),0,VLOOKUP($S$1504,'TAR FIN'!$A$1:$O$115,15,0))</f>
        <v>0</v>
      </c>
      <c r="W1504" s="6">
        <f>IF(ISERROR(VLOOKUP($T$1504,'TAR FIN'!$A$1:$O$115,15,0)),0,VLOOKUP($T$1504,'TAR FIN'!$A$1:$O$115,15,0))</f>
        <v>407.97</v>
      </c>
      <c r="X1504" s="6">
        <f>IF(ISERROR(VLOOKUP($U$1504,'TAR FIN'!$A$1:$O$115,15,0)),0,VLOOKUP($U$1504,'TAR FIN'!$A$1:$O$115,15,0))</f>
        <v>155.38999999999999</v>
      </c>
      <c r="Y1504" s="6"/>
      <c r="Z1504" s="6">
        <f ca="1">('TUSD BE'!$AM$50+'TUSD BF'!$AM$50+'TUSD CVA'!$AM$50)*(1-CUSTOS!$M$38)</f>
        <v>472.08658309095875</v>
      </c>
      <c r="AA1504" s="6">
        <f>('TE BE'!$AB$33+'TE BF'!$AB$33+'TE CVA'!$AB$33)*(1-CUSTOS!$M$38)</f>
        <v>216.84105597414842</v>
      </c>
      <c r="AB1504" s="6">
        <f>$K$1504*$V$1504</f>
        <v>0</v>
      </c>
      <c r="AC1504" s="6">
        <f>$M$1504*$W$1504</f>
        <v>1773.4455900000003</v>
      </c>
      <c r="AD1504" s="6">
        <f>$O$1504*$X$1504</f>
        <v>675.48032999999998</v>
      </c>
      <c r="AE1504" s="6">
        <f>$K$1504*$Y$1504</f>
        <v>0</v>
      </c>
      <c r="AF1504" s="6">
        <f ca="1">$M$1504*$Z$1504</f>
        <v>2052.1603766963981</v>
      </c>
      <c r="AG1504" s="6">
        <f>$O$1504*$AA$1504</f>
        <v>942.60807031962327</v>
      </c>
    </row>
    <row r="1505" spans="1:33" ht="11.25" customHeight="1" x14ac:dyDescent="0.25">
      <c r="A1505" s="4" t="s">
        <v>28</v>
      </c>
      <c r="B1505" s="4" t="s">
        <v>46</v>
      </c>
      <c r="C1505" s="4" t="s">
        <v>23</v>
      </c>
      <c r="D1505" s="4" t="s">
        <v>47</v>
      </c>
      <c r="E1505" s="4" t="s">
        <v>55</v>
      </c>
      <c r="F1505" s="4" t="s">
        <v>56</v>
      </c>
      <c r="G1505" s="4" t="s">
        <v>25</v>
      </c>
      <c r="H1505" s="4" t="s">
        <v>25</v>
      </c>
      <c r="I1505" s="5">
        <v>44805</v>
      </c>
      <c r="J1505" s="6">
        <v>0</v>
      </c>
      <c r="K1505" s="6">
        <v>0</v>
      </c>
      <c r="L1505" s="6">
        <v>2.4380000000000002</v>
      </c>
      <c r="M1505" s="6">
        <v>2.4380000000000002</v>
      </c>
      <c r="N1505" s="6">
        <v>2.4380000000000002</v>
      </c>
      <c r="O1505" s="6">
        <v>2.4380000000000002</v>
      </c>
      <c r="P1505" s="6">
        <v>0</v>
      </c>
      <c r="Q1505" s="4" t="s">
        <v>26</v>
      </c>
      <c r="R1505" s="4">
        <v>0</v>
      </c>
      <c r="S1505" s="6">
        <v>0</v>
      </c>
      <c r="T1505" s="6">
        <v>52</v>
      </c>
      <c r="U1505" s="6">
        <v>96</v>
      </c>
      <c r="V1505" s="6">
        <f>IF(ISERROR(VLOOKUP($S$1505,'TAR FIN'!$A$1:$O$115,15,0)),0,VLOOKUP($S$1505,'TAR FIN'!$A$1:$O$115,15,0))</f>
        <v>0</v>
      </c>
      <c r="W1505" s="6">
        <f>IF(ISERROR(VLOOKUP($T$1505,'TAR FIN'!$A$1:$O$115,15,0)),0,VLOOKUP($T$1505,'TAR FIN'!$A$1:$O$115,15,0))</f>
        <v>407.97</v>
      </c>
      <c r="X1505" s="6">
        <f>IF(ISERROR(VLOOKUP($U$1505,'TAR FIN'!$A$1:$O$115,15,0)),0,VLOOKUP($U$1505,'TAR FIN'!$A$1:$O$115,15,0))</f>
        <v>155.38999999999999</v>
      </c>
      <c r="Y1505" s="6"/>
      <c r="Z1505" s="6">
        <f ca="1">('TUSD BE'!$AM$50+'TUSD BF'!$AM$50+'TUSD CVA'!$AM$50)*(1-CUSTOS!$M$38)</f>
        <v>472.08658309095875</v>
      </c>
      <c r="AA1505" s="6">
        <f>('TE BE'!$AB$33+'TE BF'!$AB$33+'TE CVA'!$AB$33)*(1-CUSTOS!$M$38)</f>
        <v>216.84105597414842</v>
      </c>
      <c r="AB1505" s="6">
        <f>$K$1505*$V$1505</f>
        <v>0</v>
      </c>
      <c r="AC1505" s="6">
        <f>$M$1505*$W$1505</f>
        <v>994.6308600000001</v>
      </c>
      <c r="AD1505" s="6">
        <f>$O$1505*$X$1505</f>
        <v>378.84082000000001</v>
      </c>
      <c r="AE1505" s="6">
        <f>$K$1505*$Y$1505</f>
        <v>0</v>
      </c>
      <c r="AF1505" s="6">
        <f ca="1">$M$1505*$Z$1505</f>
        <v>1150.9470895757574</v>
      </c>
      <c r="AG1505" s="6">
        <f>$O$1505*$AA$1505</f>
        <v>528.65849446497384</v>
      </c>
    </row>
    <row r="1506" spans="1:33" ht="11.25" customHeight="1" x14ac:dyDescent="0.25">
      <c r="A1506" s="4" t="s">
        <v>21</v>
      </c>
      <c r="B1506" s="4" t="s">
        <v>46</v>
      </c>
      <c r="C1506" s="4" t="s">
        <v>23</v>
      </c>
      <c r="D1506" s="4" t="s">
        <v>47</v>
      </c>
      <c r="E1506" s="4" t="s">
        <v>55</v>
      </c>
      <c r="F1506" s="4" t="s">
        <v>56</v>
      </c>
      <c r="G1506" s="4" t="s">
        <v>25</v>
      </c>
      <c r="H1506" s="4" t="s">
        <v>25</v>
      </c>
      <c r="I1506" s="5">
        <v>44835</v>
      </c>
      <c r="J1506" s="6">
        <v>0</v>
      </c>
      <c r="K1506" s="6">
        <v>0</v>
      </c>
      <c r="L1506" s="6">
        <v>7.6920000000000002</v>
      </c>
      <c r="M1506" s="6">
        <v>7.6920000000000002</v>
      </c>
      <c r="N1506" s="6">
        <v>7.6920000000000002</v>
      </c>
      <c r="O1506" s="6">
        <v>7.6920000000000002</v>
      </c>
      <c r="P1506" s="6">
        <v>0</v>
      </c>
      <c r="Q1506" s="4" t="s">
        <v>26</v>
      </c>
      <c r="R1506" s="4">
        <v>0</v>
      </c>
      <c r="S1506" s="6">
        <v>0</v>
      </c>
      <c r="T1506" s="6">
        <v>52</v>
      </c>
      <c r="U1506" s="6">
        <v>96</v>
      </c>
      <c r="V1506" s="6">
        <f>IF(ISERROR(VLOOKUP($S$1506,'TAR FIN'!$A$1:$O$115,15,0)),0,VLOOKUP($S$1506,'TAR FIN'!$A$1:$O$115,15,0))</f>
        <v>0</v>
      </c>
      <c r="W1506" s="6">
        <f>IF(ISERROR(VLOOKUP($T$1506,'TAR FIN'!$A$1:$O$115,15,0)),0,VLOOKUP($T$1506,'TAR FIN'!$A$1:$O$115,15,0))</f>
        <v>407.97</v>
      </c>
      <c r="X1506" s="6">
        <f>IF(ISERROR(VLOOKUP($U$1506,'TAR FIN'!$A$1:$O$115,15,0)),0,VLOOKUP($U$1506,'TAR FIN'!$A$1:$O$115,15,0))</f>
        <v>155.38999999999999</v>
      </c>
      <c r="Y1506" s="6"/>
      <c r="Z1506" s="6">
        <f ca="1">('TUSD BE'!$AM$50+'TUSD BF'!$AM$50+'TUSD CVA'!$AM$50)*(1-CUSTOS!$M$38)</f>
        <v>472.08658309095875</v>
      </c>
      <c r="AA1506" s="6">
        <f>('TE BE'!$AB$33+'TE BF'!$AB$33+'TE CVA'!$AB$33)*(1-CUSTOS!$M$38)</f>
        <v>216.84105597414842</v>
      </c>
      <c r="AB1506" s="6">
        <f>$K$1506*$V$1506</f>
        <v>0</v>
      </c>
      <c r="AC1506" s="6">
        <f>$M$1506*$W$1506</f>
        <v>3138.1052400000003</v>
      </c>
      <c r="AD1506" s="6">
        <f>$O$1506*$X$1506</f>
        <v>1195.2598799999998</v>
      </c>
      <c r="AE1506" s="6">
        <f>$K$1506*$Y$1506</f>
        <v>0</v>
      </c>
      <c r="AF1506" s="6">
        <f ca="1">$M$1506*$Z$1506</f>
        <v>3631.2899971356546</v>
      </c>
      <c r="AG1506" s="6">
        <f>$O$1506*$AA$1506</f>
        <v>1667.9414025531496</v>
      </c>
    </row>
    <row r="1507" spans="1:33" ht="11.25" customHeight="1" x14ac:dyDescent="0.25">
      <c r="A1507" s="4" t="s">
        <v>28</v>
      </c>
      <c r="B1507" s="4" t="s">
        <v>46</v>
      </c>
      <c r="C1507" s="4" t="s">
        <v>23</v>
      </c>
      <c r="D1507" s="4" t="s">
        <v>47</v>
      </c>
      <c r="E1507" s="4" t="s">
        <v>55</v>
      </c>
      <c r="F1507" s="4" t="s">
        <v>56</v>
      </c>
      <c r="G1507" s="4" t="s">
        <v>25</v>
      </c>
      <c r="H1507" s="4" t="s">
        <v>25</v>
      </c>
      <c r="I1507" s="5">
        <v>44835</v>
      </c>
      <c r="J1507" s="6">
        <v>0</v>
      </c>
      <c r="K1507" s="6">
        <v>0</v>
      </c>
      <c r="L1507" s="6">
        <v>3.1509999999999998</v>
      </c>
      <c r="M1507" s="6">
        <v>3.1509999999999998</v>
      </c>
      <c r="N1507" s="6">
        <v>3.1509999999999998</v>
      </c>
      <c r="O1507" s="6">
        <v>3.1509999999999998</v>
      </c>
      <c r="P1507" s="6">
        <v>0</v>
      </c>
      <c r="Q1507" s="4" t="s">
        <v>26</v>
      </c>
      <c r="R1507" s="4">
        <v>0</v>
      </c>
      <c r="S1507" s="6">
        <v>0</v>
      </c>
      <c r="T1507" s="6">
        <v>52</v>
      </c>
      <c r="U1507" s="6">
        <v>96</v>
      </c>
      <c r="V1507" s="6">
        <f>IF(ISERROR(VLOOKUP($S$1507,'TAR FIN'!$A$1:$O$115,15,0)),0,VLOOKUP($S$1507,'TAR FIN'!$A$1:$O$115,15,0))</f>
        <v>0</v>
      </c>
      <c r="W1507" s="6">
        <f>IF(ISERROR(VLOOKUP($T$1507,'TAR FIN'!$A$1:$O$115,15,0)),0,VLOOKUP($T$1507,'TAR FIN'!$A$1:$O$115,15,0))</f>
        <v>407.97</v>
      </c>
      <c r="X1507" s="6">
        <f>IF(ISERROR(VLOOKUP($U$1507,'TAR FIN'!$A$1:$O$115,15,0)),0,VLOOKUP($U$1507,'TAR FIN'!$A$1:$O$115,15,0))</f>
        <v>155.38999999999999</v>
      </c>
      <c r="Y1507" s="6"/>
      <c r="Z1507" s="6">
        <f ca="1">('TUSD BE'!$AM$50+'TUSD BF'!$AM$50+'TUSD CVA'!$AM$50)*(1-CUSTOS!$M$38)</f>
        <v>472.08658309095875</v>
      </c>
      <c r="AA1507" s="6">
        <f>('TE BE'!$AB$33+'TE BF'!$AB$33+'TE CVA'!$AB$33)*(1-CUSTOS!$M$38)</f>
        <v>216.84105597414842</v>
      </c>
      <c r="AB1507" s="6">
        <f>$K$1507*$V$1507</f>
        <v>0</v>
      </c>
      <c r="AC1507" s="6">
        <f>$M$1507*$W$1507</f>
        <v>1285.5134700000001</v>
      </c>
      <c r="AD1507" s="6">
        <f>$O$1507*$X$1507</f>
        <v>489.63388999999995</v>
      </c>
      <c r="AE1507" s="6">
        <f>$K$1507*$Y$1507</f>
        <v>0</v>
      </c>
      <c r="AF1507" s="6">
        <f ca="1">$M$1507*$Z$1507</f>
        <v>1487.5448233196109</v>
      </c>
      <c r="AG1507" s="6">
        <f>$O$1507*$AA$1507</f>
        <v>683.26616737454162</v>
      </c>
    </row>
    <row r="1508" spans="1:33" ht="11.25" customHeight="1" x14ac:dyDescent="0.25">
      <c r="A1508" s="4" t="s">
        <v>59</v>
      </c>
      <c r="B1508" s="4" t="s">
        <v>46</v>
      </c>
      <c r="C1508" s="4" t="s">
        <v>23</v>
      </c>
      <c r="D1508" s="4" t="s">
        <v>47</v>
      </c>
      <c r="E1508" s="4" t="s">
        <v>55</v>
      </c>
      <c r="F1508" s="4" t="s">
        <v>56</v>
      </c>
      <c r="G1508" s="4" t="s">
        <v>25</v>
      </c>
      <c r="H1508" s="4" t="s">
        <v>25</v>
      </c>
      <c r="I1508" s="5">
        <v>44866</v>
      </c>
      <c r="J1508" s="6">
        <v>0</v>
      </c>
      <c r="K1508" s="6">
        <v>0</v>
      </c>
      <c r="L1508" s="6">
        <v>7.6920000000000002</v>
      </c>
      <c r="M1508" s="6">
        <v>7.6920000000000002</v>
      </c>
      <c r="N1508" s="6">
        <v>7.6920000000000002</v>
      </c>
      <c r="O1508" s="6">
        <v>7.6920000000000002</v>
      </c>
      <c r="P1508" s="6">
        <v>0</v>
      </c>
      <c r="Q1508" s="4" t="s">
        <v>26</v>
      </c>
      <c r="R1508" s="4">
        <v>0</v>
      </c>
      <c r="S1508" s="6">
        <v>0</v>
      </c>
      <c r="T1508" s="6">
        <v>52</v>
      </c>
      <c r="U1508" s="6">
        <v>96</v>
      </c>
      <c r="V1508" s="6">
        <f>IF(ISERROR(VLOOKUP($S$1508,'TAR FIN'!$A$1:$O$115,15,0)),0,VLOOKUP($S$1508,'TAR FIN'!$A$1:$O$115,15,0))</f>
        <v>0</v>
      </c>
      <c r="W1508" s="6">
        <f>IF(ISERROR(VLOOKUP($T$1508,'TAR FIN'!$A$1:$O$115,15,0)),0,VLOOKUP($T$1508,'TAR FIN'!$A$1:$O$115,15,0))</f>
        <v>407.97</v>
      </c>
      <c r="X1508" s="6">
        <f>IF(ISERROR(VLOOKUP($U$1508,'TAR FIN'!$A$1:$O$115,15,0)),0,VLOOKUP($U$1508,'TAR FIN'!$A$1:$O$115,15,0))</f>
        <v>155.38999999999999</v>
      </c>
      <c r="Y1508" s="6"/>
      <c r="Z1508" s="6">
        <f ca="1">('TUSD BE'!$AM$50+'TUSD BF'!$AM$50+'TUSD CVA'!$AM$50)*(1-CUSTOS!$M$38)</f>
        <v>472.08658309095875</v>
      </c>
      <c r="AA1508" s="6">
        <f>('TE BE'!$AB$33+'TE BF'!$AB$33+'TE CVA'!$AB$33)*(1-CUSTOS!$M$38)</f>
        <v>216.84105597414842</v>
      </c>
      <c r="AB1508" s="6">
        <f>$K$1508*$V$1508</f>
        <v>0</v>
      </c>
      <c r="AC1508" s="6">
        <f>$M$1508*$W$1508</f>
        <v>3138.1052400000003</v>
      </c>
      <c r="AD1508" s="6">
        <f>$O$1508*$X$1508</f>
        <v>1195.2598799999998</v>
      </c>
      <c r="AE1508" s="6">
        <f>$K$1508*$Y$1508</f>
        <v>0</v>
      </c>
      <c r="AF1508" s="6">
        <f ca="1">$M$1508*$Z$1508</f>
        <v>3631.2899971356546</v>
      </c>
      <c r="AG1508" s="6">
        <f>$O$1508*$AA$1508</f>
        <v>1667.9414025531496</v>
      </c>
    </row>
    <row r="1509" spans="1:33" ht="11.25" customHeight="1" x14ac:dyDescent="0.25">
      <c r="A1509" s="4" t="s">
        <v>59</v>
      </c>
      <c r="B1509" s="4" t="s">
        <v>46</v>
      </c>
      <c r="C1509" s="4" t="s">
        <v>23</v>
      </c>
      <c r="D1509" s="4" t="s">
        <v>47</v>
      </c>
      <c r="E1509" s="4" t="s">
        <v>55</v>
      </c>
      <c r="F1509" s="4" t="s">
        <v>56</v>
      </c>
      <c r="G1509" s="4" t="s">
        <v>25</v>
      </c>
      <c r="H1509" s="4" t="s">
        <v>25</v>
      </c>
      <c r="I1509" s="5">
        <v>44866</v>
      </c>
      <c r="J1509" s="6">
        <v>0</v>
      </c>
      <c r="K1509" s="6">
        <v>0</v>
      </c>
      <c r="L1509" s="6">
        <v>3.1509999999999998</v>
      </c>
      <c r="M1509" s="6">
        <v>3.1509999999999998</v>
      </c>
      <c r="N1509" s="6">
        <v>3.1509999999999998</v>
      </c>
      <c r="O1509" s="6">
        <v>3.1509999999999998</v>
      </c>
      <c r="P1509" s="6">
        <v>0</v>
      </c>
      <c r="Q1509" s="4" t="s">
        <v>26</v>
      </c>
      <c r="R1509" s="4">
        <v>0</v>
      </c>
      <c r="S1509" s="6">
        <v>0</v>
      </c>
      <c r="T1509" s="6">
        <v>52</v>
      </c>
      <c r="U1509" s="6">
        <v>96</v>
      </c>
      <c r="V1509" s="6">
        <f>IF(ISERROR(VLOOKUP($S$1509,'TAR FIN'!$A$1:$O$115,15,0)),0,VLOOKUP($S$1509,'TAR FIN'!$A$1:$O$115,15,0))</f>
        <v>0</v>
      </c>
      <c r="W1509" s="6">
        <f>IF(ISERROR(VLOOKUP($T$1509,'TAR FIN'!$A$1:$O$115,15,0)),0,VLOOKUP($T$1509,'TAR FIN'!$A$1:$O$115,15,0))</f>
        <v>407.97</v>
      </c>
      <c r="X1509" s="6">
        <f>IF(ISERROR(VLOOKUP($U$1509,'TAR FIN'!$A$1:$O$115,15,0)),0,VLOOKUP($U$1509,'TAR FIN'!$A$1:$O$115,15,0))</f>
        <v>155.38999999999999</v>
      </c>
      <c r="Y1509" s="6"/>
      <c r="Z1509" s="6">
        <f ca="1">('TUSD BE'!$AM$50+'TUSD BF'!$AM$50+'TUSD CVA'!$AM$50)*(1-CUSTOS!$M$38)</f>
        <v>472.08658309095875</v>
      </c>
      <c r="AA1509" s="6">
        <f>('TE BE'!$AB$33+'TE BF'!$AB$33+'TE CVA'!$AB$33)*(1-CUSTOS!$M$38)</f>
        <v>216.84105597414842</v>
      </c>
      <c r="AB1509" s="6">
        <f>$K$1509*$V$1509</f>
        <v>0</v>
      </c>
      <c r="AC1509" s="6">
        <f>$M$1509*$W$1509</f>
        <v>1285.5134700000001</v>
      </c>
      <c r="AD1509" s="6">
        <f>$O$1509*$X$1509</f>
        <v>489.63388999999995</v>
      </c>
      <c r="AE1509" s="6">
        <f>$K$1509*$Y$1509</f>
        <v>0</v>
      </c>
      <c r="AF1509" s="6">
        <f ca="1">$M$1509*$Z$1509</f>
        <v>1487.5448233196109</v>
      </c>
      <c r="AG1509" s="6">
        <f>$O$1509*$AA$1509</f>
        <v>683.26616737454162</v>
      </c>
    </row>
    <row r="1510" spans="1:33" ht="11.25" customHeight="1" x14ac:dyDescent="0.25">
      <c r="A1510" s="4" t="s">
        <v>21</v>
      </c>
      <c r="B1510" s="4" t="s">
        <v>46</v>
      </c>
      <c r="C1510" s="4" t="s">
        <v>23</v>
      </c>
      <c r="D1510" s="4" t="s">
        <v>47</v>
      </c>
      <c r="E1510" s="4" t="s">
        <v>55</v>
      </c>
      <c r="F1510" s="4" t="s">
        <v>57</v>
      </c>
      <c r="G1510" s="4" t="s">
        <v>25</v>
      </c>
      <c r="H1510" s="4" t="s">
        <v>25</v>
      </c>
      <c r="I1510" s="5">
        <v>44531</v>
      </c>
      <c r="J1510" s="6">
        <v>0</v>
      </c>
      <c r="K1510" s="6">
        <v>0</v>
      </c>
      <c r="L1510" s="6">
        <v>1.8819999999999999</v>
      </c>
      <c r="M1510" s="6">
        <v>0.62105999999999995</v>
      </c>
      <c r="N1510" s="6">
        <v>1.8819999999999999</v>
      </c>
      <c r="O1510" s="6">
        <v>0.62105999999999995</v>
      </c>
      <c r="P1510" s="6">
        <v>0</v>
      </c>
      <c r="Q1510" s="4" t="s">
        <v>26</v>
      </c>
      <c r="R1510" s="4">
        <v>0</v>
      </c>
      <c r="S1510" s="6">
        <v>0</v>
      </c>
      <c r="T1510" s="6">
        <v>52</v>
      </c>
      <c r="U1510" s="6">
        <v>96</v>
      </c>
      <c r="V1510" s="6">
        <f>IF(ISERROR(VLOOKUP($S$1510,'TAR FIN'!$A$1:$O$115,15,0)),0,VLOOKUP($S$1510,'TAR FIN'!$A$1:$O$115,15,0))</f>
        <v>0</v>
      </c>
      <c r="W1510" s="6">
        <f>IF(ISERROR(VLOOKUP($T$1510,'TAR FIN'!$A$1:$O$115,15,0)),0,VLOOKUP($T$1510,'TAR FIN'!$A$1:$O$115,15,0))</f>
        <v>407.97</v>
      </c>
      <c r="X1510" s="6">
        <f>IF(ISERROR(VLOOKUP($U$1510,'TAR FIN'!$A$1:$O$115,15,0)),0,VLOOKUP($U$1510,'TAR FIN'!$A$1:$O$115,15,0))</f>
        <v>155.38999999999999</v>
      </c>
      <c r="Y1510" s="6"/>
      <c r="Z1510" s="6">
        <f ca="1">('TUSD BE'!$AM$50+'TUSD BF'!$AM$50+'TUSD CVA'!$AM$50)*(1-CUSTOS!$M$38)</f>
        <v>472.08658309095875</v>
      </c>
      <c r="AA1510" s="6">
        <f>('TE BE'!$AB$33+'TE BF'!$AB$33+'TE CVA'!$AB$33)*(1-CUSTOS!$M$38)</f>
        <v>216.84105597414842</v>
      </c>
      <c r="AB1510" s="6">
        <f>$K$1510*$V$1510</f>
        <v>0</v>
      </c>
      <c r="AC1510" s="6">
        <f>$M$1510*$W$1510</f>
        <v>253.3738482</v>
      </c>
      <c r="AD1510" s="6">
        <f>$O$1510*$X$1510</f>
        <v>96.506513399999989</v>
      </c>
      <c r="AE1510" s="6">
        <f>$K$1510*$Y$1510</f>
        <v>0</v>
      </c>
      <c r="AF1510" s="6">
        <f ca="1">$M$1510*$Z$1510</f>
        <v>293.1940932944708</v>
      </c>
      <c r="AG1510" s="6">
        <f>$O$1510*$AA$1510</f>
        <v>134.67130622330461</v>
      </c>
    </row>
    <row r="1511" spans="1:33" ht="11.25" customHeight="1" x14ac:dyDescent="0.25">
      <c r="A1511" s="4" t="s">
        <v>28</v>
      </c>
      <c r="B1511" s="4" t="s">
        <v>46</v>
      </c>
      <c r="C1511" s="4" t="s">
        <v>23</v>
      </c>
      <c r="D1511" s="4" t="s">
        <v>47</v>
      </c>
      <c r="E1511" s="4" t="s">
        <v>55</v>
      </c>
      <c r="F1511" s="4" t="s">
        <v>57</v>
      </c>
      <c r="G1511" s="4" t="s">
        <v>25</v>
      </c>
      <c r="H1511" s="4" t="s">
        <v>25</v>
      </c>
      <c r="I1511" s="5">
        <v>44531</v>
      </c>
      <c r="J1511" s="6">
        <v>0</v>
      </c>
      <c r="K1511" s="6">
        <v>0</v>
      </c>
      <c r="L1511" s="6">
        <v>1.224</v>
      </c>
      <c r="M1511" s="6">
        <v>0.40392</v>
      </c>
      <c r="N1511" s="6">
        <v>1.224</v>
      </c>
      <c r="O1511" s="6">
        <v>0.40392</v>
      </c>
      <c r="P1511" s="6">
        <v>0</v>
      </c>
      <c r="Q1511" s="4" t="s">
        <v>26</v>
      </c>
      <c r="R1511" s="4">
        <v>0</v>
      </c>
      <c r="S1511" s="6">
        <v>0</v>
      </c>
      <c r="T1511" s="6">
        <v>52</v>
      </c>
      <c r="U1511" s="6">
        <v>96</v>
      </c>
      <c r="V1511" s="6">
        <f>IF(ISERROR(VLOOKUP($S$1511,'TAR FIN'!$A$1:$O$115,15,0)),0,VLOOKUP($S$1511,'TAR FIN'!$A$1:$O$115,15,0))</f>
        <v>0</v>
      </c>
      <c r="W1511" s="6">
        <f>IF(ISERROR(VLOOKUP($T$1511,'TAR FIN'!$A$1:$O$115,15,0)),0,VLOOKUP($T$1511,'TAR FIN'!$A$1:$O$115,15,0))</f>
        <v>407.97</v>
      </c>
      <c r="X1511" s="6">
        <f>IF(ISERROR(VLOOKUP($U$1511,'TAR FIN'!$A$1:$O$115,15,0)),0,VLOOKUP($U$1511,'TAR FIN'!$A$1:$O$115,15,0))</f>
        <v>155.38999999999999</v>
      </c>
      <c r="Y1511" s="6"/>
      <c r="Z1511" s="6">
        <f ca="1">('TUSD BE'!$AM$50+'TUSD BF'!$AM$50+'TUSD CVA'!$AM$50)*(1-CUSTOS!$M$38)</f>
        <v>472.08658309095875</v>
      </c>
      <c r="AA1511" s="6">
        <f>('TE BE'!$AB$33+'TE BF'!$AB$33+'TE CVA'!$AB$33)*(1-CUSTOS!$M$38)</f>
        <v>216.84105597414842</v>
      </c>
      <c r="AB1511" s="6">
        <f>$K$1511*$V$1511</f>
        <v>0</v>
      </c>
      <c r="AC1511" s="6">
        <f>$M$1511*$W$1511</f>
        <v>164.78724240000003</v>
      </c>
      <c r="AD1511" s="6">
        <f>$O$1511*$X$1511</f>
        <v>62.765128799999992</v>
      </c>
      <c r="AE1511" s="6">
        <f>$K$1511*$Y$1511</f>
        <v>0</v>
      </c>
      <c r="AF1511" s="6">
        <f ca="1">$M$1511*$Z$1511</f>
        <v>190.68521264210005</v>
      </c>
      <c r="AG1511" s="6">
        <f>$O$1511*$AA$1511</f>
        <v>87.586439329078033</v>
      </c>
    </row>
    <row r="1512" spans="1:33" ht="11.25" customHeight="1" x14ac:dyDescent="0.25">
      <c r="A1512" s="4" t="s">
        <v>21</v>
      </c>
      <c r="B1512" s="4" t="s">
        <v>46</v>
      </c>
      <c r="C1512" s="4" t="s">
        <v>23</v>
      </c>
      <c r="D1512" s="4" t="s">
        <v>47</v>
      </c>
      <c r="E1512" s="4" t="s">
        <v>55</v>
      </c>
      <c r="F1512" s="4" t="s">
        <v>57</v>
      </c>
      <c r="G1512" s="4" t="s">
        <v>25</v>
      </c>
      <c r="H1512" s="4" t="s">
        <v>25</v>
      </c>
      <c r="I1512" s="5">
        <v>44562</v>
      </c>
      <c r="J1512" s="6">
        <v>0</v>
      </c>
      <c r="K1512" s="6">
        <v>0</v>
      </c>
      <c r="L1512" s="6">
        <v>1.351</v>
      </c>
      <c r="M1512" s="6">
        <v>0.44583</v>
      </c>
      <c r="N1512" s="6">
        <v>1.351</v>
      </c>
      <c r="O1512" s="6">
        <v>0.44583</v>
      </c>
      <c r="P1512" s="6">
        <v>0</v>
      </c>
      <c r="Q1512" s="4" t="s">
        <v>26</v>
      </c>
      <c r="R1512" s="4">
        <v>0</v>
      </c>
      <c r="S1512" s="6">
        <v>0</v>
      </c>
      <c r="T1512" s="6">
        <v>52</v>
      </c>
      <c r="U1512" s="6">
        <v>96</v>
      </c>
      <c r="V1512" s="6">
        <f>IF(ISERROR(VLOOKUP($S$1512,'TAR FIN'!$A$1:$O$115,15,0)),0,VLOOKUP($S$1512,'TAR FIN'!$A$1:$O$115,15,0))</f>
        <v>0</v>
      </c>
      <c r="W1512" s="6">
        <f>IF(ISERROR(VLOOKUP($T$1512,'TAR FIN'!$A$1:$O$115,15,0)),0,VLOOKUP($T$1512,'TAR FIN'!$A$1:$O$115,15,0))</f>
        <v>407.97</v>
      </c>
      <c r="X1512" s="6">
        <f>IF(ISERROR(VLOOKUP($U$1512,'TAR FIN'!$A$1:$O$115,15,0)),0,VLOOKUP($U$1512,'TAR FIN'!$A$1:$O$115,15,0))</f>
        <v>155.38999999999999</v>
      </c>
      <c r="Y1512" s="6"/>
      <c r="Z1512" s="6">
        <f ca="1">('TUSD BE'!$AM$50+'TUSD BF'!$AM$50+'TUSD CVA'!$AM$50)*(1-CUSTOS!$M$38)</f>
        <v>472.08658309095875</v>
      </c>
      <c r="AA1512" s="6">
        <f>('TE BE'!$AB$33+'TE BF'!$AB$33+'TE CVA'!$AB$33)*(1-CUSTOS!$M$38)</f>
        <v>216.84105597414842</v>
      </c>
      <c r="AB1512" s="6">
        <f>$K$1512*$V$1512</f>
        <v>0</v>
      </c>
      <c r="AC1512" s="6">
        <f>$M$1512*$W$1512</f>
        <v>181.88526510000003</v>
      </c>
      <c r="AD1512" s="6">
        <f>$O$1512*$X$1512</f>
        <v>69.277523699999989</v>
      </c>
      <c r="AE1512" s="6">
        <f>$K$1512*$Y$1512</f>
        <v>0</v>
      </c>
      <c r="AF1512" s="6">
        <f ca="1">$M$1512*$Z$1512</f>
        <v>210.47036133944215</v>
      </c>
      <c r="AG1512" s="6">
        <f>$O$1512*$AA$1512</f>
        <v>96.67424798495459</v>
      </c>
    </row>
    <row r="1513" spans="1:33" ht="11.25" customHeight="1" x14ac:dyDescent="0.25">
      <c r="A1513" s="4" t="s">
        <v>28</v>
      </c>
      <c r="B1513" s="4" t="s">
        <v>46</v>
      </c>
      <c r="C1513" s="4" t="s">
        <v>23</v>
      </c>
      <c r="D1513" s="4" t="s">
        <v>47</v>
      </c>
      <c r="E1513" s="4" t="s">
        <v>55</v>
      </c>
      <c r="F1513" s="4" t="s">
        <v>57</v>
      </c>
      <c r="G1513" s="4" t="s">
        <v>25</v>
      </c>
      <c r="H1513" s="4" t="s">
        <v>25</v>
      </c>
      <c r="I1513" s="5">
        <v>44562</v>
      </c>
      <c r="J1513" s="6">
        <v>0</v>
      </c>
      <c r="K1513" s="6">
        <v>0</v>
      </c>
      <c r="L1513" s="6">
        <v>3.8969999999999998</v>
      </c>
      <c r="M1513" s="6">
        <v>1.2860100000000001</v>
      </c>
      <c r="N1513" s="6">
        <v>3.8969999999999998</v>
      </c>
      <c r="O1513" s="6">
        <v>1.2860100000000001</v>
      </c>
      <c r="P1513" s="6">
        <v>0</v>
      </c>
      <c r="Q1513" s="4" t="s">
        <v>26</v>
      </c>
      <c r="R1513" s="4">
        <v>0</v>
      </c>
      <c r="S1513" s="6">
        <v>0</v>
      </c>
      <c r="T1513" s="6">
        <v>52</v>
      </c>
      <c r="U1513" s="6">
        <v>96</v>
      </c>
      <c r="V1513" s="6">
        <f>IF(ISERROR(VLOOKUP($S$1513,'TAR FIN'!$A$1:$O$115,15,0)),0,VLOOKUP($S$1513,'TAR FIN'!$A$1:$O$115,15,0))</f>
        <v>0</v>
      </c>
      <c r="W1513" s="6">
        <f>IF(ISERROR(VLOOKUP($T$1513,'TAR FIN'!$A$1:$O$115,15,0)),0,VLOOKUP($T$1513,'TAR FIN'!$A$1:$O$115,15,0))</f>
        <v>407.97</v>
      </c>
      <c r="X1513" s="6">
        <f>IF(ISERROR(VLOOKUP($U$1513,'TAR FIN'!$A$1:$O$115,15,0)),0,VLOOKUP($U$1513,'TAR FIN'!$A$1:$O$115,15,0))</f>
        <v>155.38999999999999</v>
      </c>
      <c r="Y1513" s="6"/>
      <c r="Z1513" s="6">
        <f ca="1">('TUSD BE'!$AM$50+'TUSD BF'!$AM$50+'TUSD CVA'!$AM$50)*(1-CUSTOS!$M$38)</f>
        <v>472.08658309095875</v>
      </c>
      <c r="AA1513" s="6">
        <f>('TE BE'!$AB$33+'TE BF'!$AB$33+'TE CVA'!$AB$33)*(1-CUSTOS!$M$38)</f>
        <v>216.84105597414842</v>
      </c>
      <c r="AB1513" s="6">
        <f>$K$1513*$V$1513</f>
        <v>0</v>
      </c>
      <c r="AC1513" s="6">
        <f>$M$1513*$W$1513</f>
        <v>524.65349970000011</v>
      </c>
      <c r="AD1513" s="6">
        <f>$O$1513*$X$1513</f>
        <v>199.83309389999999</v>
      </c>
      <c r="AE1513" s="6">
        <f>$K$1513*$Y$1513</f>
        <v>0</v>
      </c>
      <c r="AF1513" s="6">
        <f ca="1">$M$1513*$Z$1513</f>
        <v>607.10806672080389</v>
      </c>
      <c r="AG1513" s="6">
        <f>$O$1513*$AA$1513</f>
        <v>278.8597663933146</v>
      </c>
    </row>
    <row r="1514" spans="1:33" ht="11.25" customHeight="1" x14ac:dyDescent="0.25">
      <c r="A1514" s="4" t="s">
        <v>29</v>
      </c>
      <c r="B1514" s="4" t="s">
        <v>46</v>
      </c>
      <c r="C1514" s="4" t="s">
        <v>23</v>
      </c>
      <c r="D1514" s="4" t="s">
        <v>47</v>
      </c>
      <c r="E1514" s="4" t="s">
        <v>55</v>
      </c>
      <c r="F1514" s="4" t="s">
        <v>57</v>
      </c>
      <c r="G1514" s="4" t="s">
        <v>25</v>
      </c>
      <c r="H1514" s="4" t="s">
        <v>25</v>
      </c>
      <c r="I1514" s="5">
        <v>44562</v>
      </c>
      <c r="J1514" s="6">
        <v>0</v>
      </c>
      <c r="K1514" s="6">
        <v>0</v>
      </c>
      <c r="L1514" s="6">
        <v>0.48799999999999999</v>
      </c>
      <c r="M1514" s="6">
        <v>0.16103999999999999</v>
      </c>
      <c r="N1514" s="6">
        <v>0.48799999999999999</v>
      </c>
      <c r="O1514" s="6">
        <v>0.16103999999999999</v>
      </c>
      <c r="P1514" s="6">
        <v>0</v>
      </c>
      <c r="Q1514" s="4" t="s">
        <v>26</v>
      </c>
      <c r="R1514" s="4">
        <v>0</v>
      </c>
      <c r="S1514" s="6">
        <v>0</v>
      </c>
      <c r="T1514" s="6">
        <v>52</v>
      </c>
      <c r="U1514" s="6">
        <v>96</v>
      </c>
      <c r="V1514" s="6">
        <f>IF(ISERROR(VLOOKUP($S$1514,'TAR FIN'!$A$1:$O$115,15,0)),0,VLOOKUP($S$1514,'TAR FIN'!$A$1:$O$115,15,0))</f>
        <v>0</v>
      </c>
      <c r="W1514" s="6">
        <f>IF(ISERROR(VLOOKUP($T$1514,'TAR FIN'!$A$1:$O$115,15,0)),0,VLOOKUP($T$1514,'TAR FIN'!$A$1:$O$115,15,0))</f>
        <v>407.97</v>
      </c>
      <c r="X1514" s="6">
        <f>IF(ISERROR(VLOOKUP($U$1514,'TAR FIN'!$A$1:$O$115,15,0)),0,VLOOKUP($U$1514,'TAR FIN'!$A$1:$O$115,15,0))</f>
        <v>155.38999999999999</v>
      </c>
      <c r="Y1514" s="6"/>
      <c r="Z1514" s="6">
        <f ca="1">('TUSD BE'!$AM$50+'TUSD BF'!$AM$50+'TUSD CVA'!$AM$50)*(1-CUSTOS!$M$38)</f>
        <v>472.08658309095875</v>
      </c>
      <c r="AA1514" s="6">
        <f>('TE BE'!$AB$33+'TE BF'!$AB$33+'TE CVA'!$AB$33)*(1-CUSTOS!$M$38)</f>
        <v>216.84105597414842</v>
      </c>
      <c r="AB1514" s="6">
        <f>$K$1514*$V$1514</f>
        <v>0</v>
      </c>
      <c r="AC1514" s="6">
        <f>$M$1514*$W$1514</f>
        <v>65.699488799999997</v>
      </c>
      <c r="AD1514" s="6">
        <f>$O$1514*$X$1514</f>
        <v>25.024005599999995</v>
      </c>
      <c r="AE1514" s="6">
        <f>$K$1514*$Y$1514</f>
        <v>0</v>
      </c>
      <c r="AF1514" s="6">
        <f ca="1">$M$1514*$Z$1514</f>
        <v>76.024823340967998</v>
      </c>
      <c r="AG1514" s="6">
        <f>$O$1514*$AA$1514</f>
        <v>34.920083654076862</v>
      </c>
    </row>
    <row r="1515" spans="1:33" ht="11.25" customHeight="1" x14ac:dyDescent="0.25">
      <c r="A1515" s="4" t="s">
        <v>21</v>
      </c>
      <c r="B1515" s="4" t="s">
        <v>46</v>
      </c>
      <c r="C1515" s="4" t="s">
        <v>23</v>
      </c>
      <c r="D1515" s="4" t="s">
        <v>47</v>
      </c>
      <c r="E1515" s="4" t="s">
        <v>55</v>
      </c>
      <c r="F1515" s="4" t="s">
        <v>57</v>
      </c>
      <c r="G1515" s="4" t="s">
        <v>25</v>
      </c>
      <c r="H1515" s="4" t="s">
        <v>25</v>
      </c>
      <c r="I1515" s="5">
        <v>44593</v>
      </c>
      <c r="J1515" s="6">
        <v>0</v>
      </c>
      <c r="K1515" s="6">
        <v>0</v>
      </c>
      <c r="L1515" s="6">
        <v>1.948</v>
      </c>
      <c r="M1515" s="6">
        <v>0.64283999999999997</v>
      </c>
      <c r="N1515" s="6">
        <v>1.948</v>
      </c>
      <c r="O1515" s="6">
        <v>0.64283999999999997</v>
      </c>
      <c r="P1515" s="6">
        <v>0</v>
      </c>
      <c r="Q1515" s="4" t="s">
        <v>26</v>
      </c>
      <c r="R1515" s="4">
        <v>0</v>
      </c>
      <c r="S1515" s="6">
        <v>0</v>
      </c>
      <c r="T1515" s="6">
        <v>52</v>
      </c>
      <c r="U1515" s="6">
        <v>96</v>
      </c>
      <c r="V1515" s="6">
        <f>IF(ISERROR(VLOOKUP($S$1515,'TAR FIN'!$A$1:$O$115,15,0)),0,VLOOKUP($S$1515,'TAR FIN'!$A$1:$O$115,15,0))</f>
        <v>0</v>
      </c>
      <c r="W1515" s="6">
        <f>IF(ISERROR(VLOOKUP($T$1515,'TAR FIN'!$A$1:$O$115,15,0)),0,VLOOKUP($T$1515,'TAR FIN'!$A$1:$O$115,15,0))</f>
        <v>407.97</v>
      </c>
      <c r="X1515" s="6">
        <f>IF(ISERROR(VLOOKUP($U$1515,'TAR FIN'!$A$1:$O$115,15,0)),0,VLOOKUP($U$1515,'TAR FIN'!$A$1:$O$115,15,0))</f>
        <v>155.38999999999999</v>
      </c>
      <c r="Y1515" s="6"/>
      <c r="Z1515" s="6">
        <f ca="1">('TUSD BE'!$AM$50+'TUSD BF'!$AM$50+'TUSD CVA'!$AM$50)*(1-CUSTOS!$M$38)</f>
        <v>472.08658309095875</v>
      </c>
      <c r="AA1515" s="6">
        <f>('TE BE'!$AB$33+'TE BF'!$AB$33+'TE CVA'!$AB$33)*(1-CUSTOS!$M$38)</f>
        <v>216.84105597414842</v>
      </c>
      <c r="AB1515" s="6">
        <f>$K$1515*$V$1515</f>
        <v>0</v>
      </c>
      <c r="AC1515" s="6">
        <f>$M$1515*$W$1515</f>
        <v>262.25943480000001</v>
      </c>
      <c r="AD1515" s="6">
        <f>$O$1515*$X$1515</f>
        <v>99.890907599999991</v>
      </c>
      <c r="AE1515" s="6">
        <f>$K$1515*$Y$1515</f>
        <v>0</v>
      </c>
      <c r="AF1515" s="6">
        <f ca="1">$M$1515*$Z$1515</f>
        <v>303.47613907419191</v>
      </c>
      <c r="AG1515" s="6">
        <f>$O$1515*$AA$1515</f>
        <v>139.39410442242155</v>
      </c>
    </row>
    <row r="1516" spans="1:33" ht="11.25" customHeight="1" x14ac:dyDescent="0.25">
      <c r="A1516" s="4" t="s">
        <v>28</v>
      </c>
      <c r="B1516" s="4" t="s">
        <v>46</v>
      </c>
      <c r="C1516" s="4" t="s">
        <v>23</v>
      </c>
      <c r="D1516" s="4" t="s">
        <v>47</v>
      </c>
      <c r="E1516" s="4" t="s">
        <v>55</v>
      </c>
      <c r="F1516" s="4" t="s">
        <v>57</v>
      </c>
      <c r="G1516" s="4" t="s">
        <v>25</v>
      </c>
      <c r="H1516" s="4" t="s">
        <v>25</v>
      </c>
      <c r="I1516" s="5">
        <v>44593</v>
      </c>
      <c r="J1516" s="6">
        <v>0</v>
      </c>
      <c r="K1516" s="6">
        <v>0</v>
      </c>
      <c r="L1516" s="6">
        <v>1.242</v>
      </c>
      <c r="M1516" s="6">
        <v>0.40986</v>
      </c>
      <c r="N1516" s="6">
        <v>1.242</v>
      </c>
      <c r="O1516" s="6">
        <v>0.40986</v>
      </c>
      <c r="P1516" s="6">
        <v>0</v>
      </c>
      <c r="Q1516" s="4" t="s">
        <v>26</v>
      </c>
      <c r="R1516" s="4">
        <v>0</v>
      </c>
      <c r="S1516" s="6">
        <v>0</v>
      </c>
      <c r="T1516" s="6">
        <v>52</v>
      </c>
      <c r="U1516" s="6">
        <v>96</v>
      </c>
      <c r="V1516" s="6">
        <f>IF(ISERROR(VLOOKUP($S$1516,'TAR FIN'!$A$1:$O$115,15,0)),0,VLOOKUP($S$1516,'TAR FIN'!$A$1:$O$115,15,0))</f>
        <v>0</v>
      </c>
      <c r="W1516" s="6">
        <f>IF(ISERROR(VLOOKUP($T$1516,'TAR FIN'!$A$1:$O$115,15,0)),0,VLOOKUP($T$1516,'TAR FIN'!$A$1:$O$115,15,0))</f>
        <v>407.97</v>
      </c>
      <c r="X1516" s="6">
        <f>IF(ISERROR(VLOOKUP($U$1516,'TAR FIN'!$A$1:$O$115,15,0)),0,VLOOKUP($U$1516,'TAR FIN'!$A$1:$O$115,15,0))</f>
        <v>155.38999999999999</v>
      </c>
      <c r="Y1516" s="6"/>
      <c r="Z1516" s="6">
        <f ca="1">('TUSD BE'!$AM$50+'TUSD BF'!$AM$50+'TUSD CVA'!$AM$50)*(1-CUSTOS!$M$38)</f>
        <v>472.08658309095875</v>
      </c>
      <c r="AA1516" s="6">
        <f>('TE BE'!$AB$33+'TE BF'!$AB$33+'TE CVA'!$AB$33)*(1-CUSTOS!$M$38)</f>
        <v>216.84105597414842</v>
      </c>
      <c r="AB1516" s="6">
        <f>$K$1516*$V$1516</f>
        <v>0</v>
      </c>
      <c r="AC1516" s="6">
        <f>$M$1516*$W$1516</f>
        <v>167.2105842</v>
      </c>
      <c r="AD1516" s="6">
        <f>$O$1516*$X$1516</f>
        <v>63.688145399999996</v>
      </c>
      <c r="AE1516" s="6">
        <f>$K$1516*$Y$1516</f>
        <v>0</v>
      </c>
      <c r="AF1516" s="6">
        <f ca="1">$M$1516*$Z$1516</f>
        <v>193.48940694566036</v>
      </c>
      <c r="AG1516" s="6">
        <f>$O$1516*$AA$1516</f>
        <v>88.874475201564465</v>
      </c>
    </row>
    <row r="1517" spans="1:33" ht="11.25" customHeight="1" x14ac:dyDescent="0.25">
      <c r="A1517" s="4" t="s">
        <v>29</v>
      </c>
      <c r="B1517" s="4" t="s">
        <v>46</v>
      </c>
      <c r="C1517" s="4" t="s">
        <v>23</v>
      </c>
      <c r="D1517" s="4" t="s">
        <v>47</v>
      </c>
      <c r="E1517" s="4" t="s">
        <v>55</v>
      </c>
      <c r="F1517" s="4" t="s">
        <v>57</v>
      </c>
      <c r="G1517" s="4" t="s">
        <v>25</v>
      </c>
      <c r="H1517" s="4" t="s">
        <v>25</v>
      </c>
      <c r="I1517" s="5">
        <v>44593</v>
      </c>
      <c r="J1517" s="6">
        <v>0</v>
      </c>
      <c r="K1517" s="6">
        <v>0</v>
      </c>
      <c r="L1517" s="6">
        <v>4.5549999999999997</v>
      </c>
      <c r="M1517" s="6">
        <v>1.50315</v>
      </c>
      <c r="N1517" s="6">
        <v>4.5549999999999997</v>
      </c>
      <c r="O1517" s="6">
        <v>1.50315</v>
      </c>
      <c r="P1517" s="6">
        <v>0</v>
      </c>
      <c r="Q1517" s="4" t="s">
        <v>26</v>
      </c>
      <c r="R1517" s="4">
        <v>0</v>
      </c>
      <c r="S1517" s="6">
        <v>0</v>
      </c>
      <c r="T1517" s="6">
        <v>52</v>
      </c>
      <c r="U1517" s="6">
        <v>96</v>
      </c>
      <c r="V1517" s="6">
        <f>IF(ISERROR(VLOOKUP($S$1517,'TAR FIN'!$A$1:$O$115,15,0)),0,VLOOKUP($S$1517,'TAR FIN'!$A$1:$O$115,15,0))</f>
        <v>0</v>
      </c>
      <c r="W1517" s="6">
        <f>IF(ISERROR(VLOOKUP($T$1517,'TAR FIN'!$A$1:$O$115,15,0)),0,VLOOKUP($T$1517,'TAR FIN'!$A$1:$O$115,15,0))</f>
        <v>407.97</v>
      </c>
      <c r="X1517" s="6">
        <f>IF(ISERROR(VLOOKUP($U$1517,'TAR FIN'!$A$1:$O$115,15,0)),0,VLOOKUP($U$1517,'TAR FIN'!$A$1:$O$115,15,0))</f>
        <v>155.38999999999999</v>
      </c>
      <c r="Y1517" s="6"/>
      <c r="Z1517" s="6">
        <f ca="1">('TUSD BE'!$AM$50+'TUSD BF'!$AM$50+'TUSD CVA'!$AM$50)*(1-CUSTOS!$M$38)</f>
        <v>472.08658309095875</v>
      </c>
      <c r="AA1517" s="6">
        <f>('TE BE'!$AB$33+'TE BF'!$AB$33+'TE CVA'!$AB$33)*(1-CUSTOS!$M$38)</f>
        <v>216.84105597414842</v>
      </c>
      <c r="AB1517" s="6">
        <f>$K$1517*$V$1517</f>
        <v>0</v>
      </c>
      <c r="AC1517" s="6">
        <f>$M$1517*$W$1517</f>
        <v>613.24010550000003</v>
      </c>
      <c r="AD1517" s="6">
        <f>$O$1517*$X$1517</f>
        <v>233.57447849999997</v>
      </c>
      <c r="AE1517" s="6">
        <f>$K$1517*$Y$1517</f>
        <v>0</v>
      </c>
      <c r="AF1517" s="6">
        <f ca="1">$M$1517*$Z$1517</f>
        <v>709.61694737317464</v>
      </c>
      <c r="AG1517" s="6">
        <f>$O$1517*$AA$1517</f>
        <v>325.94463328754119</v>
      </c>
    </row>
    <row r="1518" spans="1:33" ht="11.25" customHeight="1" x14ac:dyDescent="0.25">
      <c r="A1518" s="4" t="s">
        <v>21</v>
      </c>
      <c r="B1518" s="4" t="s">
        <v>46</v>
      </c>
      <c r="C1518" s="4" t="s">
        <v>23</v>
      </c>
      <c r="D1518" s="4" t="s">
        <v>47</v>
      </c>
      <c r="E1518" s="4" t="s">
        <v>55</v>
      </c>
      <c r="F1518" s="4" t="s">
        <v>57</v>
      </c>
      <c r="G1518" s="4" t="s">
        <v>25</v>
      </c>
      <c r="H1518" s="4" t="s">
        <v>25</v>
      </c>
      <c r="I1518" s="5">
        <v>44621</v>
      </c>
      <c r="J1518" s="6">
        <v>0</v>
      </c>
      <c r="K1518" s="6">
        <v>0</v>
      </c>
      <c r="L1518" s="6">
        <v>1.423</v>
      </c>
      <c r="M1518" s="6">
        <v>0.46959000000000001</v>
      </c>
      <c r="N1518" s="6">
        <v>1.423</v>
      </c>
      <c r="O1518" s="6">
        <v>0.46959000000000001</v>
      </c>
      <c r="P1518" s="6">
        <v>0</v>
      </c>
      <c r="Q1518" s="4" t="s">
        <v>26</v>
      </c>
      <c r="R1518" s="4">
        <v>0</v>
      </c>
      <c r="S1518" s="6">
        <v>0</v>
      </c>
      <c r="T1518" s="6">
        <v>52</v>
      </c>
      <c r="U1518" s="6">
        <v>96</v>
      </c>
      <c r="V1518" s="6">
        <f>IF(ISERROR(VLOOKUP($S$1518,'TAR FIN'!$A$1:$O$115,15,0)),0,VLOOKUP($S$1518,'TAR FIN'!$A$1:$O$115,15,0))</f>
        <v>0</v>
      </c>
      <c r="W1518" s="6">
        <f>IF(ISERROR(VLOOKUP($T$1518,'TAR FIN'!$A$1:$O$115,15,0)),0,VLOOKUP($T$1518,'TAR FIN'!$A$1:$O$115,15,0))</f>
        <v>407.97</v>
      </c>
      <c r="X1518" s="6">
        <f>IF(ISERROR(VLOOKUP($U$1518,'TAR FIN'!$A$1:$O$115,15,0)),0,VLOOKUP($U$1518,'TAR FIN'!$A$1:$O$115,15,0))</f>
        <v>155.38999999999999</v>
      </c>
      <c r="Y1518" s="6"/>
      <c r="Z1518" s="6">
        <f ca="1">('TUSD BE'!$AM$50+'TUSD BF'!$AM$50+'TUSD CVA'!$AM$50)*(1-CUSTOS!$M$38)</f>
        <v>472.08658309095875</v>
      </c>
      <c r="AA1518" s="6">
        <f>('TE BE'!$AB$33+'TE BF'!$AB$33+'TE CVA'!$AB$33)*(1-CUSTOS!$M$38)</f>
        <v>216.84105597414842</v>
      </c>
      <c r="AB1518" s="6">
        <f>$K$1518*$V$1518</f>
        <v>0</v>
      </c>
      <c r="AC1518" s="6">
        <f>$M$1518*$W$1518</f>
        <v>191.57863230000001</v>
      </c>
      <c r="AD1518" s="6">
        <f>$O$1518*$X$1518</f>
        <v>72.969590099999991</v>
      </c>
      <c r="AE1518" s="6">
        <f>$K$1518*$Y$1518</f>
        <v>0</v>
      </c>
      <c r="AF1518" s="6">
        <f ca="1">$M$1518*$Z$1518</f>
        <v>221.68713855368333</v>
      </c>
      <c r="AG1518" s="6">
        <f>$O$1518*$AA$1518</f>
        <v>101.82639147490036</v>
      </c>
    </row>
    <row r="1519" spans="1:33" ht="11.25" customHeight="1" x14ac:dyDescent="0.25">
      <c r="A1519" s="4" t="s">
        <v>28</v>
      </c>
      <c r="B1519" s="4" t="s">
        <v>46</v>
      </c>
      <c r="C1519" s="4" t="s">
        <v>23</v>
      </c>
      <c r="D1519" s="4" t="s">
        <v>47</v>
      </c>
      <c r="E1519" s="4" t="s">
        <v>55</v>
      </c>
      <c r="F1519" s="4" t="s">
        <v>57</v>
      </c>
      <c r="G1519" s="4" t="s">
        <v>25</v>
      </c>
      <c r="H1519" s="4" t="s">
        <v>25</v>
      </c>
      <c r="I1519" s="5">
        <v>44621</v>
      </c>
      <c r="J1519" s="6">
        <v>0</v>
      </c>
      <c r="K1519" s="6">
        <v>0</v>
      </c>
      <c r="L1519" s="6">
        <v>0.879</v>
      </c>
      <c r="M1519" s="6">
        <v>0.29006999999999999</v>
      </c>
      <c r="N1519" s="6">
        <v>0.879</v>
      </c>
      <c r="O1519" s="6">
        <v>0.29006999999999999</v>
      </c>
      <c r="P1519" s="6">
        <v>0</v>
      </c>
      <c r="Q1519" s="4" t="s">
        <v>26</v>
      </c>
      <c r="R1519" s="4">
        <v>0</v>
      </c>
      <c r="S1519" s="6">
        <v>0</v>
      </c>
      <c r="T1519" s="6">
        <v>52</v>
      </c>
      <c r="U1519" s="6">
        <v>96</v>
      </c>
      <c r="V1519" s="6">
        <f>IF(ISERROR(VLOOKUP($S$1519,'TAR FIN'!$A$1:$O$115,15,0)),0,VLOOKUP($S$1519,'TAR FIN'!$A$1:$O$115,15,0))</f>
        <v>0</v>
      </c>
      <c r="W1519" s="6">
        <f>IF(ISERROR(VLOOKUP($T$1519,'TAR FIN'!$A$1:$O$115,15,0)),0,VLOOKUP($T$1519,'TAR FIN'!$A$1:$O$115,15,0))</f>
        <v>407.97</v>
      </c>
      <c r="X1519" s="6">
        <f>IF(ISERROR(VLOOKUP($U$1519,'TAR FIN'!$A$1:$O$115,15,0)),0,VLOOKUP($U$1519,'TAR FIN'!$A$1:$O$115,15,0))</f>
        <v>155.38999999999999</v>
      </c>
      <c r="Y1519" s="6"/>
      <c r="Z1519" s="6">
        <f ca="1">('TUSD BE'!$AM$50+'TUSD BF'!$AM$50+'TUSD CVA'!$AM$50)*(1-CUSTOS!$M$38)</f>
        <v>472.08658309095875</v>
      </c>
      <c r="AA1519" s="6">
        <f>('TE BE'!$AB$33+'TE BF'!$AB$33+'TE CVA'!$AB$33)*(1-CUSTOS!$M$38)</f>
        <v>216.84105597414842</v>
      </c>
      <c r="AB1519" s="6">
        <f>$K$1519*$V$1519</f>
        <v>0</v>
      </c>
      <c r="AC1519" s="6">
        <f>$M$1519*$W$1519</f>
        <v>118.33985790000001</v>
      </c>
      <c r="AD1519" s="6">
        <f>$O$1519*$X$1519</f>
        <v>45.073977299999996</v>
      </c>
      <c r="AE1519" s="6">
        <f>$K$1519*$Y$1519</f>
        <v>0</v>
      </c>
      <c r="AF1519" s="6">
        <f ca="1">$M$1519*$Z$1519</f>
        <v>136.93815515719442</v>
      </c>
      <c r="AG1519" s="6">
        <f>$O$1519*$AA$1519</f>
        <v>62.899085106421232</v>
      </c>
    </row>
    <row r="1520" spans="1:33" ht="11.25" customHeight="1" x14ac:dyDescent="0.25">
      <c r="A1520" s="4" t="s">
        <v>21</v>
      </c>
      <c r="B1520" s="4" t="s">
        <v>46</v>
      </c>
      <c r="C1520" s="4" t="s">
        <v>23</v>
      </c>
      <c r="D1520" s="4" t="s">
        <v>47</v>
      </c>
      <c r="E1520" s="4" t="s">
        <v>55</v>
      </c>
      <c r="F1520" s="4" t="s">
        <v>57</v>
      </c>
      <c r="G1520" s="4" t="s">
        <v>25</v>
      </c>
      <c r="H1520" s="4" t="s">
        <v>25</v>
      </c>
      <c r="I1520" s="5">
        <v>44652</v>
      </c>
      <c r="J1520" s="6">
        <v>0</v>
      </c>
      <c r="K1520" s="6">
        <v>0</v>
      </c>
      <c r="L1520" s="6">
        <v>1.024</v>
      </c>
      <c r="M1520" s="6">
        <v>0.33792</v>
      </c>
      <c r="N1520" s="6">
        <v>1.024</v>
      </c>
      <c r="O1520" s="6">
        <v>0.33792</v>
      </c>
      <c r="P1520" s="6">
        <v>0</v>
      </c>
      <c r="Q1520" s="4" t="s">
        <v>26</v>
      </c>
      <c r="R1520" s="4">
        <v>0</v>
      </c>
      <c r="S1520" s="6">
        <v>0</v>
      </c>
      <c r="T1520" s="6">
        <v>52</v>
      </c>
      <c r="U1520" s="6">
        <v>96</v>
      </c>
      <c r="V1520" s="6">
        <f>IF(ISERROR(VLOOKUP($S$1520,'TAR FIN'!$A$1:$O$115,15,0)),0,VLOOKUP($S$1520,'TAR FIN'!$A$1:$O$115,15,0))</f>
        <v>0</v>
      </c>
      <c r="W1520" s="6">
        <f>IF(ISERROR(VLOOKUP($T$1520,'TAR FIN'!$A$1:$O$115,15,0)),0,VLOOKUP($T$1520,'TAR FIN'!$A$1:$O$115,15,0))</f>
        <v>407.97</v>
      </c>
      <c r="X1520" s="6">
        <f>IF(ISERROR(VLOOKUP($U$1520,'TAR FIN'!$A$1:$O$115,15,0)),0,VLOOKUP($U$1520,'TAR FIN'!$A$1:$O$115,15,0))</f>
        <v>155.38999999999999</v>
      </c>
      <c r="Y1520" s="6"/>
      <c r="Z1520" s="6">
        <f ca="1">('TUSD BE'!$AM$50+'TUSD BF'!$AM$50+'TUSD CVA'!$AM$50)*(1-CUSTOS!$M$38)</f>
        <v>472.08658309095875</v>
      </c>
      <c r="AA1520" s="6">
        <f>('TE BE'!$AB$33+'TE BF'!$AB$33+'TE CVA'!$AB$33)*(1-CUSTOS!$M$38)</f>
        <v>216.84105597414842</v>
      </c>
      <c r="AB1520" s="6">
        <f>$K$1520*$V$1520</f>
        <v>0</v>
      </c>
      <c r="AC1520" s="6">
        <f>$M$1520*$W$1520</f>
        <v>137.8612224</v>
      </c>
      <c r="AD1520" s="6">
        <f>$O$1520*$X$1520</f>
        <v>52.509388799999996</v>
      </c>
      <c r="AE1520" s="6">
        <f>$K$1520*$Y$1520</f>
        <v>0</v>
      </c>
      <c r="AF1520" s="6">
        <f ca="1">$M$1520*$Z$1520</f>
        <v>159.52749815809679</v>
      </c>
      <c r="AG1520" s="6">
        <f>$O$1520*$AA$1520</f>
        <v>73.274929634784229</v>
      </c>
    </row>
    <row r="1521" spans="1:33" ht="11.25" customHeight="1" x14ac:dyDescent="0.25">
      <c r="A1521" s="4" t="s">
        <v>27</v>
      </c>
      <c r="B1521" s="4" t="s">
        <v>46</v>
      </c>
      <c r="C1521" s="4" t="s">
        <v>23</v>
      </c>
      <c r="D1521" s="4" t="s">
        <v>47</v>
      </c>
      <c r="E1521" s="4" t="s">
        <v>55</v>
      </c>
      <c r="F1521" s="4" t="s">
        <v>57</v>
      </c>
      <c r="G1521" s="4" t="s">
        <v>25</v>
      </c>
      <c r="H1521" s="4" t="s">
        <v>25</v>
      </c>
      <c r="I1521" s="5">
        <v>44652</v>
      </c>
      <c r="J1521" s="6">
        <v>0</v>
      </c>
      <c r="K1521" s="6">
        <v>0</v>
      </c>
      <c r="L1521" s="6">
        <v>-8.6999999999999994E-2</v>
      </c>
      <c r="M1521" s="6">
        <v>-2.8709999999999999E-2</v>
      </c>
      <c r="N1521" s="6">
        <v>-8.6999999999999994E-2</v>
      </c>
      <c r="O1521" s="6">
        <v>-2.8709999999999999E-2</v>
      </c>
      <c r="P1521" s="6">
        <v>0</v>
      </c>
      <c r="Q1521" s="4" t="s">
        <v>26</v>
      </c>
      <c r="R1521" s="4">
        <v>0</v>
      </c>
      <c r="S1521" s="6">
        <v>0</v>
      </c>
      <c r="T1521" s="6">
        <v>52</v>
      </c>
      <c r="U1521" s="6">
        <v>96</v>
      </c>
      <c r="V1521" s="6">
        <f>IF(ISERROR(VLOOKUP($S$1521,'TAR FIN'!$A$1:$O$115,15,0)),0,VLOOKUP($S$1521,'TAR FIN'!$A$1:$O$115,15,0))</f>
        <v>0</v>
      </c>
      <c r="W1521" s="6">
        <f>IF(ISERROR(VLOOKUP($T$1521,'TAR FIN'!$A$1:$O$115,15,0)),0,VLOOKUP($T$1521,'TAR FIN'!$A$1:$O$115,15,0))</f>
        <v>407.97</v>
      </c>
      <c r="X1521" s="6">
        <f>IF(ISERROR(VLOOKUP($U$1521,'TAR FIN'!$A$1:$O$115,15,0)),0,VLOOKUP($U$1521,'TAR FIN'!$A$1:$O$115,15,0))</f>
        <v>155.38999999999999</v>
      </c>
      <c r="Y1521" s="6"/>
      <c r="Z1521" s="6">
        <f ca="1">('TUSD BE'!$AM$50+'TUSD BF'!$AM$50+'TUSD CVA'!$AM$50)*(1-CUSTOS!$M$38)</f>
        <v>472.08658309095875</v>
      </c>
      <c r="AA1521" s="6">
        <f>('TE BE'!$AB$33+'TE BF'!$AB$33+'TE CVA'!$AB$33)*(1-CUSTOS!$M$38)</f>
        <v>216.84105597414842</v>
      </c>
      <c r="AB1521" s="6">
        <f>$K$1521*$V$1521</f>
        <v>0</v>
      </c>
      <c r="AC1521" s="6">
        <f>$M$1521*$W$1521</f>
        <v>-11.7128187</v>
      </c>
      <c r="AD1521" s="6">
        <f>$O$1521*$X$1521</f>
        <v>-4.4612468999999999</v>
      </c>
      <c r="AE1521" s="6">
        <f>$K$1521*$Y$1521</f>
        <v>0</v>
      </c>
      <c r="AF1521" s="6">
        <f ca="1">$M$1521*$Z$1521</f>
        <v>-13.553605800541426</v>
      </c>
      <c r="AG1521" s="6">
        <f>$O$1521*$AA$1521</f>
        <v>-6.2255067170178009</v>
      </c>
    </row>
    <row r="1522" spans="1:33" ht="11.25" customHeight="1" x14ac:dyDescent="0.25">
      <c r="A1522" s="4" t="s">
        <v>28</v>
      </c>
      <c r="B1522" s="4" t="s">
        <v>46</v>
      </c>
      <c r="C1522" s="4" t="s">
        <v>23</v>
      </c>
      <c r="D1522" s="4" t="s">
        <v>47</v>
      </c>
      <c r="E1522" s="4" t="s">
        <v>55</v>
      </c>
      <c r="F1522" s="4" t="s">
        <v>57</v>
      </c>
      <c r="G1522" s="4" t="s">
        <v>25</v>
      </c>
      <c r="H1522" s="4" t="s">
        <v>25</v>
      </c>
      <c r="I1522" s="5">
        <v>44652</v>
      </c>
      <c r="J1522" s="6">
        <v>0</v>
      </c>
      <c r="K1522" s="6">
        <v>0</v>
      </c>
      <c r="L1522" s="6">
        <v>0.90600000000000003</v>
      </c>
      <c r="M1522" s="6">
        <v>0.29898000000000002</v>
      </c>
      <c r="N1522" s="6">
        <v>0.90600000000000003</v>
      </c>
      <c r="O1522" s="6">
        <v>0.29898000000000002</v>
      </c>
      <c r="P1522" s="6">
        <v>0</v>
      </c>
      <c r="Q1522" s="4" t="s">
        <v>26</v>
      </c>
      <c r="R1522" s="4">
        <v>0</v>
      </c>
      <c r="S1522" s="6">
        <v>0</v>
      </c>
      <c r="T1522" s="6">
        <v>52</v>
      </c>
      <c r="U1522" s="6">
        <v>96</v>
      </c>
      <c r="V1522" s="6">
        <f>IF(ISERROR(VLOOKUP($S$1522,'TAR FIN'!$A$1:$O$115,15,0)),0,VLOOKUP($S$1522,'TAR FIN'!$A$1:$O$115,15,0))</f>
        <v>0</v>
      </c>
      <c r="W1522" s="6">
        <f>IF(ISERROR(VLOOKUP($T$1522,'TAR FIN'!$A$1:$O$115,15,0)),0,VLOOKUP($T$1522,'TAR FIN'!$A$1:$O$115,15,0))</f>
        <v>407.97</v>
      </c>
      <c r="X1522" s="6">
        <f>IF(ISERROR(VLOOKUP($U$1522,'TAR FIN'!$A$1:$O$115,15,0)),0,VLOOKUP($U$1522,'TAR FIN'!$A$1:$O$115,15,0))</f>
        <v>155.38999999999999</v>
      </c>
      <c r="Y1522" s="6"/>
      <c r="Z1522" s="6">
        <f ca="1">('TUSD BE'!$AM$50+'TUSD BF'!$AM$50+'TUSD CVA'!$AM$50)*(1-CUSTOS!$M$38)</f>
        <v>472.08658309095875</v>
      </c>
      <c r="AA1522" s="6">
        <f>('TE BE'!$AB$33+'TE BF'!$AB$33+'TE CVA'!$AB$33)*(1-CUSTOS!$M$38)</f>
        <v>216.84105597414842</v>
      </c>
      <c r="AB1522" s="6">
        <f>$K$1522*$V$1522</f>
        <v>0</v>
      </c>
      <c r="AC1522" s="6">
        <f>$M$1522*$W$1522</f>
        <v>121.97487060000002</v>
      </c>
      <c r="AD1522" s="6">
        <f>$O$1522*$X$1522</f>
        <v>46.458502199999998</v>
      </c>
      <c r="AE1522" s="6">
        <f>$K$1522*$Y$1522</f>
        <v>0</v>
      </c>
      <c r="AF1522" s="6">
        <f ca="1">$M$1522*$Z$1522</f>
        <v>141.14444661253486</v>
      </c>
      <c r="AG1522" s="6">
        <f>$O$1522*$AA$1522</f>
        <v>64.831138915150902</v>
      </c>
    </row>
    <row r="1523" spans="1:33" ht="11.25" customHeight="1" x14ac:dyDescent="0.25">
      <c r="A1523" s="4" t="s">
        <v>21</v>
      </c>
      <c r="B1523" s="4" t="s">
        <v>46</v>
      </c>
      <c r="C1523" s="4" t="s">
        <v>23</v>
      </c>
      <c r="D1523" s="4" t="s">
        <v>47</v>
      </c>
      <c r="E1523" s="4" t="s">
        <v>55</v>
      </c>
      <c r="F1523" s="4" t="s">
        <v>57</v>
      </c>
      <c r="G1523" s="4" t="s">
        <v>25</v>
      </c>
      <c r="H1523" s="4" t="s">
        <v>25</v>
      </c>
      <c r="I1523" s="5">
        <v>44682</v>
      </c>
      <c r="J1523" s="6">
        <v>0</v>
      </c>
      <c r="K1523" s="6">
        <v>0</v>
      </c>
      <c r="L1523" s="6">
        <v>2.7010000000000001</v>
      </c>
      <c r="M1523" s="6">
        <v>0.89132999999999996</v>
      </c>
      <c r="N1523" s="6">
        <v>2.7010000000000001</v>
      </c>
      <c r="O1523" s="6">
        <v>0.89132999999999996</v>
      </c>
      <c r="P1523" s="6">
        <v>0</v>
      </c>
      <c r="Q1523" s="4" t="s">
        <v>26</v>
      </c>
      <c r="R1523" s="4">
        <v>0</v>
      </c>
      <c r="S1523" s="6">
        <v>0</v>
      </c>
      <c r="T1523" s="6">
        <v>52</v>
      </c>
      <c r="U1523" s="6">
        <v>96</v>
      </c>
      <c r="V1523" s="6">
        <f>IF(ISERROR(VLOOKUP($S$1523,'TAR FIN'!$A$1:$O$115,15,0)),0,VLOOKUP($S$1523,'TAR FIN'!$A$1:$O$115,15,0))</f>
        <v>0</v>
      </c>
      <c r="W1523" s="6">
        <f>IF(ISERROR(VLOOKUP($T$1523,'TAR FIN'!$A$1:$O$115,15,0)),0,VLOOKUP($T$1523,'TAR FIN'!$A$1:$O$115,15,0))</f>
        <v>407.97</v>
      </c>
      <c r="X1523" s="6">
        <f>IF(ISERROR(VLOOKUP($U$1523,'TAR FIN'!$A$1:$O$115,15,0)),0,VLOOKUP($U$1523,'TAR FIN'!$A$1:$O$115,15,0))</f>
        <v>155.38999999999999</v>
      </c>
      <c r="Y1523" s="6"/>
      <c r="Z1523" s="6">
        <f ca="1">('TUSD BE'!$AM$50+'TUSD BF'!$AM$50+'TUSD CVA'!$AM$50)*(1-CUSTOS!$M$38)</f>
        <v>472.08658309095875</v>
      </c>
      <c r="AA1523" s="6">
        <f>('TE BE'!$AB$33+'TE BF'!$AB$33+'TE CVA'!$AB$33)*(1-CUSTOS!$M$38)</f>
        <v>216.84105597414842</v>
      </c>
      <c r="AB1523" s="6">
        <f>$K$1523*$V$1523</f>
        <v>0</v>
      </c>
      <c r="AC1523" s="6">
        <f>$M$1523*$W$1523</f>
        <v>363.63590010000001</v>
      </c>
      <c r="AD1523" s="6">
        <f>$O$1523*$X$1523</f>
        <v>138.50376869999999</v>
      </c>
      <c r="AE1523" s="6">
        <f>$K$1523*$Y$1523</f>
        <v>0</v>
      </c>
      <c r="AF1523" s="6">
        <f ca="1">$M$1523*$Z$1523</f>
        <v>420.78493410646422</v>
      </c>
      <c r="AG1523" s="6">
        <f>$O$1523*$AA$1523</f>
        <v>193.27693842143771</v>
      </c>
    </row>
    <row r="1524" spans="1:33" ht="11.25" customHeight="1" x14ac:dyDescent="0.25">
      <c r="A1524" s="4" t="s">
        <v>27</v>
      </c>
      <c r="B1524" s="4" t="s">
        <v>46</v>
      </c>
      <c r="C1524" s="4" t="s">
        <v>23</v>
      </c>
      <c r="D1524" s="4" t="s">
        <v>47</v>
      </c>
      <c r="E1524" s="4" t="s">
        <v>55</v>
      </c>
      <c r="F1524" s="4" t="s">
        <v>57</v>
      </c>
      <c r="G1524" s="4" t="s">
        <v>25</v>
      </c>
      <c r="H1524" s="4" t="s">
        <v>25</v>
      </c>
      <c r="I1524" s="5">
        <v>44682</v>
      </c>
      <c r="J1524" s="6">
        <v>0</v>
      </c>
      <c r="K1524" s="6">
        <v>0</v>
      </c>
      <c r="L1524" s="6">
        <v>-0.23799999999999999</v>
      </c>
      <c r="M1524" s="6">
        <v>-7.8539999999999999E-2</v>
      </c>
      <c r="N1524" s="6">
        <v>-0.23799999999999999</v>
      </c>
      <c r="O1524" s="6">
        <v>-7.8539999999999999E-2</v>
      </c>
      <c r="P1524" s="6">
        <v>0</v>
      </c>
      <c r="Q1524" s="4" t="s">
        <v>26</v>
      </c>
      <c r="R1524" s="4">
        <v>0</v>
      </c>
      <c r="S1524" s="6">
        <v>0</v>
      </c>
      <c r="T1524" s="6">
        <v>52</v>
      </c>
      <c r="U1524" s="6">
        <v>96</v>
      </c>
      <c r="V1524" s="6">
        <f>IF(ISERROR(VLOOKUP($S$1524,'TAR FIN'!$A$1:$O$115,15,0)),0,VLOOKUP($S$1524,'TAR FIN'!$A$1:$O$115,15,0))</f>
        <v>0</v>
      </c>
      <c r="W1524" s="6">
        <f>IF(ISERROR(VLOOKUP($T$1524,'TAR FIN'!$A$1:$O$115,15,0)),0,VLOOKUP($T$1524,'TAR FIN'!$A$1:$O$115,15,0))</f>
        <v>407.97</v>
      </c>
      <c r="X1524" s="6">
        <f>IF(ISERROR(VLOOKUP($U$1524,'TAR FIN'!$A$1:$O$115,15,0)),0,VLOOKUP($U$1524,'TAR FIN'!$A$1:$O$115,15,0))</f>
        <v>155.38999999999999</v>
      </c>
      <c r="Y1524" s="6"/>
      <c r="Z1524" s="6">
        <f ca="1">('TUSD BE'!$AM$50+'TUSD BF'!$AM$50+'TUSD CVA'!$AM$50)*(1-CUSTOS!$M$38)</f>
        <v>472.08658309095875</v>
      </c>
      <c r="AA1524" s="6">
        <f>('TE BE'!$AB$33+'TE BF'!$AB$33+'TE CVA'!$AB$33)*(1-CUSTOS!$M$38)</f>
        <v>216.84105597414842</v>
      </c>
      <c r="AB1524" s="6">
        <f>$K$1524*$V$1524</f>
        <v>0</v>
      </c>
      <c r="AC1524" s="6">
        <f>$M$1524*$W$1524</f>
        <v>-32.041963800000005</v>
      </c>
      <c r="AD1524" s="6">
        <f>$O$1524*$X$1524</f>
        <v>-12.204330599999999</v>
      </c>
      <c r="AE1524" s="6">
        <f>$K$1524*$Y$1524</f>
        <v>0</v>
      </c>
      <c r="AF1524" s="6">
        <f ca="1">$M$1524*$Z$1524</f>
        <v>-37.077680235963903</v>
      </c>
      <c r="AG1524" s="6">
        <f>$O$1524*$AA$1524</f>
        <v>-17.030696536209618</v>
      </c>
    </row>
    <row r="1525" spans="1:33" ht="11.25" customHeight="1" x14ac:dyDescent="0.25">
      <c r="A1525" s="4" t="s">
        <v>28</v>
      </c>
      <c r="B1525" s="4" t="s">
        <v>46</v>
      </c>
      <c r="C1525" s="4" t="s">
        <v>23</v>
      </c>
      <c r="D1525" s="4" t="s">
        <v>47</v>
      </c>
      <c r="E1525" s="4" t="s">
        <v>55</v>
      </c>
      <c r="F1525" s="4" t="s">
        <v>57</v>
      </c>
      <c r="G1525" s="4" t="s">
        <v>25</v>
      </c>
      <c r="H1525" s="4" t="s">
        <v>25</v>
      </c>
      <c r="I1525" s="5">
        <v>44682</v>
      </c>
      <c r="J1525" s="6">
        <v>0</v>
      </c>
      <c r="K1525" s="6">
        <v>0</v>
      </c>
      <c r="L1525" s="6">
        <v>0.95699999999999996</v>
      </c>
      <c r="M1525" s="6">
        <v>0.31580999999999998</v>
      </c>
      <c r="N1525" s="6">
        <v>0.95699999999999996</v>
      </c>
      <c r="O1525" s="6">
        <v>0.31580999999999998</v>
      </c>
      <c r="P1525" s="6">
        <v>0</v>
      </c>
      <c r="Q1525" s="4" t="s">
        <v>26</v>
      </c>
      <c r="R1525" s="4">
        <v>0</v>
      </c>
      <c r="S1525" s="6">
        <v>0</v>
      </c>
      <c r="T1525" s="6">
        <v>52</v>
      </c>
      <c r="U1525" s="6">
        <v>96</v>
      </c>
      <c r="V1525" s="6">
        <f>IF(ISERROR(VLOOKUP($S$1525,'TAR FIN'!$A$1:$O$115,15,0)),0,VLOOKUP($S$1525,'TAR FIN'!$A$1:$O$115,15,0))</f>
        <v>0</v>
      </c>
      <c r="W1525" s="6">
        <f>IF(ISERROR(VLOOKUP($T$1525,'TAR FIN'!$A$1:$O$115,15,0)),0,VLOOKUP($T$1525,'TAR FIN'!$A$1:$O$115,15,0))</f>
        <v>407.97</v>
      </c>
      <c r="X1525" s="6">
        <f>IF(ISERROR(VLOOKUP($U$1525,'TAR FIN'!$A$1:$O$115,15,0)),0,VLOOKUP($U$1525,'TAR FIN'!$A$1:$O$115,15,0))</f>
        <v>155.38999999999999</v>
      </c>
      <c r="Y1525" s="6"/>
      <c r="Z1525" s="6">
        <f ca="1">('TUSD BE'!$AM$50+'TUSD BF'!$AM$50+'TUSD CVA'!$AM$50)*(1-CUSTOS!$M$38)</f>
        <v>472.08658309095875</v>
      </c>
      <c r="AA1525" s="6">
        <f>('TE BE'!$AB$33+'TE BF'!$AB$33+'TE CVA'!$AB$33)*(1-CUSTOS!$M$38)</f>
        <v>216.84105597414842</v>
      </c>
      <c r="AB1525" s="6">
        <f>$K$1525*$V$1525</f>
        <v>0</v>
      </c>
      <c r="AC1525" s="6">
        <f>$M$1525*$W$1525</f>
        <v>128.84100570000001</v>
      </c>
      <c r="AD1525" s="6">
        <f>$O$1525*$X$1525</f>
        <v>49.073715899999989</v>
      </c>
      <c r="AE1525" s="6">
        <f>$K$1525*$Y$1525</f>
        <v>0</v>
      </c>
      <c r="AF1525" s="6">
        <f ca="1">$M$1525*$Z$1525</f>
        <v>149.08966380595567</v>
      </c>
      <c r="AG1525" s="6">
        <f>$O$1525*$AA$1525</f>
        <v>68.480573887195803</v>
      </c>
    </row>
    <row r="1526" spans="1:33" ht="11.25" customHeight="1" x14ac:dyDescent="0.25">
      <c r="A1526" s="4" t="s">
        <v>21</v>
      </c>
      <c r="B1526" s="4" t="s">
        <v>46</v>
      </c>
      <c r="C1526" s="4" t="s">
        <v>23</v>
      </c>
      <c r="D1526" s="4" t="s">
        <v>47</v>
      </c>
      <c r="E1526" s="4" t="s">
        <v>55</v>
      </c>
      <c r="F1526" s="4" t="s">
        <v>57</v>
      </c>
      <c r="G1526" s="4" t="s">
        <v>25</v>
      </c>
      <c r="H1526" s="4" t="s">
        <v>25</v>
      </c>
      <c r="I1526" s="5">
        <v>44713</v>
      </c>
      <c r="J1526" s="6">
        <v>0</v>
      </c>
      <c r="K1526" s="6">
        <v>0</v>
      </c>
      <c r="L1526" s="6">
        <v>3.1280000000000001</v>
      </c>
      <c r="M1526" s="6">
        <v>1.03224</v>
      </c>
      <c r="N1526" s="6">
        <v>3.1280000000000001</v>
      </c>
      <c r="O1526" s="6">
        <v>1.03224</v>
      </c>
      <c r="P1526" s="6">
        <v>0</v>
      </c>
      <c r="Q1526" s="4" t="s">
        <v>26</v>
      </c>
      <c r="R1526" s="4">
        <v>0</v>
      </c>
      <c r="S1526" s="6">
        <v>0</v>
      </c>
      <c r="T1526" s="6">
        <v>52</v>
      </c>
      <c r="U1526" s="6">
        <v>96</v>
      </c>
      <c r="V1526" s="6">
        <f>IF(ISERROR(VLOOKUP($S$1526,'TAR FIN'!$A$1:$O$115,15,0)),0,VLOOKUP($S$1526,'TAR FIN'!$A$1:$O$115,15,0))</f>
        <v>0</v>
      </c>
      <c r="W1526" s="6">
        <f>IF(ISERROR(VLOOKUP($T$1526,'TAR FIN'!$A$1:$O$115,15,0)),0,VLOOKUP($T$1526,'TAR FIN'!$A$1:$O$115,15,0))</f>
        <v>407.97</v>
      </c>
      <c r="X1526" s="6">
        <f>IF(ISERROR(VLOOKUP($U$1526,'TAR FIN'!$A$1:$O$115,15,0)),0,VLOOKUP($U$1526,'TAR FIN'!$A$1:$O$115,15,0))</f>
        <v>155.38999999999999</v>
      </c>
      <c r="Y1526" s="6"/>
      <c r="Z1526" s="6">
        <f ca="1">('TUSD BE'!$AM$50+'TUSD BF'!$AM$50+'TUSD CVA'!$AM$50)*(1-CUSTOS!$M$38)</f>
        <v>472.08658309095875</v>
      </c>
      <c r="AA1526" s="6">
        <f>('TE BE'!$AB$33+'TE BF'!$AB$33+'TE CVA'!$AB$33)*(1-CUSTOS!$M$38)</f>
        <v>216.84105597414842</v>
      </c>
      <c r="AB1526" s="6">
        <f>$K$1526*$V$1526</f>
        <v>0</v>
      </c>
      <c r="AC1526" s="6">
        <f>$M$1526*$W$1526</f>
        <v>421.12295280000006</v>
      </c>
      <c r="AD1526" s="6">
        <f>$O$1526*$X$1526</f>
        <v>160.3997736</v>
      </c>
      <c r="AE1526" s="6">
        <f>$K$1526*$Y$1526</f>
        <v>0</v>
      </c>
      <c r="AF1526" s="6">
        <f ca="1">$M$1526*$Z$1526</f>
        <v>487.30665452981128</v>
      </c>
      <c r="AG1526" s="6">
        <f>$O$1526*$AA$1526</f>
        <v>223.83201161875496</v>
      </c>
    </row>
    <row r="1527" spans="1:33" ht="11.25" customHeight="1" x14ac:dyDescent="0.25">
      <c r="A1527" s="4" t="s">
        <v>28</v>
      </c>
      <c r="B1527" s="4" t="s">
        <v>46</v>
      </c>
      <c r="C1527" s="4" t="s">
        <v>23</v>
      </c>
      <c r="D1527" s="4" t="s">
        <v>47</v>
      </c>
      <c r="E1527" s="4" t="s">
        <v>55</v>
      </c>
      <c r="F1527" s="4" t="s">
        <v>57</v>
      </c>
      <c r="G1527" s="4" t="s">
        <v>25</v>
      </c>
      <c r="H1527" s="4" t="s">
        <v>25</v>
      </c>
      <c r="I1527" s="5">
        <v>44713</v>
      </c>
      <c r="J1527" s="6">
        <v>0</v>
      </c>
      <c r="K1527" s="6">
        <v>0</v>
      </c>
      <c r="L1527" s="6">
        <v>1.5840000000000001</v>
      </c>
      <c r="M1527" s="6">
        <v>0.52271999999999996</v>
      </c>
      <c r="N1527" s="6">
        <v>1.5840000000000001</v>
      </c>
      <c r="O1527" s="6">
        <v>0.52271999999999996</v>
      </c>
      <c r="P1527" s="6">
        <v>0</v>
      </c>
      <c r="Q1527" s="4" t="s">
        <v>26</v>
      </c>
      <c r="R1527" s="4">
        <v>0</v>
      </c>
      <c r="S1527" s="6">
        <v>0</v>
      </c>
      <c r="T1527" s="6">
        <v>52</v>
      </c>
      <c r="U1527" s="6">
        <v>96</v>
      </c>
      <c r="V1527" s="6">
        <f>IF(ISERROR(VLOOKUP($S$1527,'TAR FIN'!$A$1:$O$115,15,0)),0,VLOOKUP($S$1527,'TAR FIN'!$A$1:$O$115,15,0))</f>
        <v>0</v>
      </c>
      <c r="W1527" s="6">
        <f>IF(ISERROR(VLOOKUP($T$1527,'TAR FIN'!$A$1:$O$115,15,0)),0,VLOOKUP($T$1527,'TAR FIN'!$A$1:$O$115,15,0))</f>
        <v>407.97</v>
      </c>
      <c r="X1527" s="6">
        <f>IF(ISERROR(VLOOKUP($U$1527,'TAR FIN'!$A$1:$O$115,15,0)),0,VLOOKUP($U$1527,'TAR FIN'!$A$1:$O$115,15,0))</f>
        <v>155.38999999999999</v>
      </c>
      <c r="Y1527" s="6"/>
      <c r="Z1527" s="6">
        <f ca="1">('TUSD BE'!$AM$50+'TUSD BF'!$AM$50+'TUSD CVA'!$AM$50)*(1-CUSTOS!$M$38)</f>
        <v>472.08658309095875</v>
      </c>
      <c r="AA1527" s="6">
        <f>('TE BE'!$AB$33+'TE BF'!$AB$33+'TE CVA'!$AB$33)*(1-CUSTOS!$M$38)</f>
        <v>216.84105597414842</v>
      </c>
      <c r="AB1527" s="6">
        <f>$K$1527*$V$1527</f>
        <v>0</v>
      </c>
      <c r="AC1527" s="6">
        <f>$M$1527*$W$1527</f>
        <v>213.2540784</v>
      </c>
      <c r="AD1527" s="6">
        <f>$O$1527*$X$1527</f>
        <v>81.225460799999993</v>
      </c>
      <c r="AE1527" s="6">
        <f>$K$1527*$Y$1527</f>
        <v>0</v>
      </c>
      <c r="AF1527" s="6">
        <f ca="1">$M$1527*$Z$1527</f>
        <v>246.76909871330594</v>
      </c>
      <c r="AG1527" s="6">
        <f>$O$1527*$AA$1527</f>
        <v>113.34715677880685</v>
      </c>
    </row>
    <row r="1528" spans="1:33" ht="11.25" customHeight="1" x14ac:dyDescent="0.25">
      <c r="A1528" s="4" t="s">
        <v>21</v>
      </c>
      <c r="B1528" s="4" t="s">
        <v>46</v>
      </c>
      <c r="C1528" s="4" t="s">
        <v>23</v>
      </c>
      <c r="D1528" s="4" t="s">
        <v>47</v>
      </c>
      <c r="E1528" s="4" t="s">
        <v>55</v>
      </c>
      <c r="F1528" s="4" t="s">
        <v>57</v>
      </c>
      <c r="G1528" s="4" t="s">
        <v>25</v>
      </c>
      <c r="H1528" s="4" t="s">
        <v>25</v>
      </c>
      <c r="I1528" s="5">
        <v>44743</v>
      </c>
      <c r="J1528" s="6">
        <v>0</v>
      </c>
      <c r="K1528" s="6">
        <v>0</v>
      </c>
      <c r="L1528" s="6">
        <v>6.5789999999999997</v>
      </c>
      <c r="M1528" s="6">
        <v>2.1710699999999998</v>
      </c>
      <c r="N1528" s="6">
        <v>6.5789999999999997</v>
      </c>
      <c r="O1528" s="6">
        <v>2.1710699999999998</v>
      </c>
      <c r="P1528" s="6">
        <v>0</v>
      </c>
      <c r="Q1528" s="4" t="s">
        <v>26</v>
      </c>
      <c r="R1528" s="4">
        <v>0</v>
      </c>
      <c r="S1528" s="6">
        <v>0</v>
      </c>
      <c r="T1528" s="6">
        <v>52</v>
      </c>
      <c r="U1528" s="6">
        <v>96</v>
      </c>
      <c r="V1528" s="6">
        <f>IF(ISERROR(VLOOKUP($S$1528,'TAR FIN'!$A$1:$O$115,15,0)),0,VLOOKUP($S$1528,'TAR FIN'!$A$1:$O$115,15,0))</f>
        <v>0</v>
      </c>
      <c r="W1528" s="6">
        <f>IF(ISERROR(VLOOKUP($T$1528,'TAR FIN'!$A$1:$O$115,15,0)),0,VLOOKUP($T$1528,'TAR FIN'!$A$1:$O$115,15,0))</f>
        <v>407.97</v>
      </c>
      <c r="X1528" s="6">
        <f>IF(ISERROR(VLOOKUP($U$1528,'TAR FIN'!$A$1:$O$115,15,0)),0,VLOOKUP($U$1528,'TAR FIN'!$A$1:$O$115,15,0))</f>
        <v>155.38999999999999</v>
      </c>
      <c r="Y1528" s="6"/>
      <c r="Z1528" s="6">
        <f ca="1">('TUSD BE'!$AM$50+'TUSD BF'!$AM$50+'TUSD CVA'!$AM$50)*(1-CUSTOS!$M$38)</f>
        <v>472.08658309095875</v>
      </c>
      <c r="AA1528" s="6">
        <f>('TE BE'!$AB$33+'TE BF'!$AB$33+'TE CVA'!$AB$33)*(1-CUSTOS!$M$38)</f>
        <v>216.84105597414842</v>
      </c>
      <c r="AB1528" s="6">
        <f>$K$1528*$V$1528</f>
        <v>0</v>
      </c>
      <c r="AC1528" s="6">
        <f>$M$1528*$W$1528</f>
        <v>885.73142789999997</v>
      </c>
      <c r="AD1528" s="6">
        <f>$O$1528*$X$1528</f>
        <v>337.36256729999997</v>
      </c>
      <c r="AE1528" s="6">
        <f>$K$1528*$Y$1528</f>
        <v>0</v>
      </c>
      <c r="AF1528" s="6">
        <f ca="1">$M$1528*$Z$1528</f>
        <v>1024.9330179512876</v>
      </c>
      <c r="AG1528" s="6">
        <f>$O$1528*$AA$1528</f>
        <v>470.77711139379437</v>
      </c>
    </row>
    <row r="1529" spans="1:33" ht="11.25" customHeight="1" x14ac:dyDescent="0.25">
      <c r="A1529" s="4" t="s">
        <v>28</v>
      </c>
      <c r="B1529" s="4" t="s">
        <v>46</v>
      </c>
      <c r="C1529" s="4" t="s">
        <v>23</v>
      </c>
      <c r="D1529" s="4" t="s">
        <v>47</v>
      </c>
      <c r="E1529" s="4" t="s">
        <v>55</v>
      </c>
      <c r="F1529" s="4" t="s">
        <v>57</v>
      </c>
      <c r="G1529" s="4" t="s">
        <v>25</v>
      </c>
      <c r="H1529" s="4" t="s">
        <v>25</v>
      </c>
      <c r="I1529" s="5">
        <v>44743</v>
      </c>
      <c r="J1529" s="6">
        <v>0</v>
      </c>
      <c r="K1529" s="6">
        <v>0</v>
      </c>
      <c r="L1529" s="6">
        <v>1.6679999999999999</v>
      </c>
      <c r="M1529" s="6">
        <v>0.55044000000000004</v>
      </c>
      <c r="N1529" s="6">
        <v>1.6679999999999999</v>
      </c>
      <c r="O1529" s="6">
        <v>0.55044000000000004</v>
      </c>
      <c r="P1529" s="6">
        <v>0</v>
      </c>
      <c r="Q1529" s="4" t="s">
        <v>26</v>
      </c>
      <c r="R1529" s="4">
        <v>0</v>
      </c>
      <c r="S1529" s="6">
        <v>0</v>
      </c>
      <c r="T1529" s="6">
        <v>52</v>
      </c>
      <c r="U1529" s="6">
        <v>96</v>
      </c>
      <c r="V1529" s="6">
        <f>IF(ISERROR(VLOOKUP($S$1529,'TAR FIN'!$A$1:$O$115,15,0)),0,VLOOKUP($S$1529,'TAR FIN'!$A$1:$O$115,15,0))</f>
        <v>0</v>
      </c>
      <c r="W1529" s="6">
        <f>IF(ISERROR(VLOOKUP($T$1529,'TAR FIN'!$A$1:$O$115,15,0)),0,VLOOKUP($T$1529,'TAR FIN'!$A$1:$O$115,15,0))</f>
        <v>407.97</v>
      </c>
      <c r="X1529" s="6">
        <f>IF(ISERROR(VLOOKUP($U$1529,'TAR FIN'!$A$1:$O$115,15,0)),0,VLOOKUP($U$1529,'TAR FIN'!$A$1:$O$115,15,0))</f>
        <v>155.38999999999999</v>
      </c>
      <c r="Y1529" s="6"/>
      <c r="Z1529" s="6">
        <f ca="1">('TUSD BE'!$AM$50+'TUSD BF'!$AM$50+'TUSD CVA'!$AM$50)*(1-CUSTOS!$M$38)</f>
        <v>472.08658309095875</v>
      </c>
      <c r="AA1529" s="6">
        <f>('TE BE'!$AB$33+'TE BF'!$AB$33+'TE CVA'!$AB$33)*(1-CUSTOS!$M$38)</f>
        <v>216.84105597414842</v>
      </c>
      <c r="AB1529" s="6">
        <f>$K$1529*$V$1529</f>
        <v>0</v>
      </c>
      <c r="AC1529" s="6">
        <f>$M$1529*$W$1529</f>
        <v>224.56300680000004</v>
      </c>
      <c r="AD1529" s="6">
        <f>$O$1529*$X$1529</f>
        <v>85.532871599999993</v>
      </c>
      <c r="AE1529" s="6">
        <f>$K$1529*$Y$1529</f>
        <v>0</v>
      </c>
      <c r="AF1529" s="6">
        <f ca="1">$M$1529*$Z$1529</f>
        <v>259.85533879658738</v>
      </c>
      <c r="AG1529" s="6">
        <f>$O$1529*$AA$1529</f>
        <v>119.35799085041026</v>
      </c>
    </row>
    <row r="1530" spans="1:33" ht="11.25" customHeight="1" x14ac:dyDescent="0.25">
      <c r="A1530" s="4" t="s">
        <v>21</v>
      </c>
      <c r="B1530" s="4" t="s">
        <v>46</v>
      </c>
      <c r="C1530" s="4" t="s">
        <v>23</v>
      </c>
      <c r="D1530" s="4" t="s">
        <v>47</v>
      </c>
      <c r="E1530" s="4" t="s">
        <v>55</v>
      </c>
      <c r="F1530" s="4" t="s">
        <v>57</v>
      </c>
      <c r="G1530" s="4" t="s">
        <v>25</v>
      </c>
      <c r="H1530" s="4" t="s">
        <v>25</v>
      </c>
      <c r="I1530" s="5">
        <v>44774</v>
      </c>
      <c r="J1530" s="6">
        <v>0</v>
      </c>
      <c r="K1530" s="6">
        <v>0</v>
      </c>
      <c r="L1530" s="6">
        <v>7.8360000000000003</v>
      </c>
      <c r="M1530" s="6">
        <v>2.58588</v>
      </c>
      <c r="N1530" s="6">
        <v>7.8360000000000003</v>
      </c>
      <c r="O1530" s="6">
        <v>2.58588</v>
      </c>
      <c r="P1530" s="6">
        <v>0</v>
      </c>
      <c r="Q1530" s="4" t="s">
        <v>26</v>
      </c>
      <c r="R1530" s="4">
        <v>0</v>
      </c>
      <c r="S1530" s="6">
        <v>0</v>
      </c>
      <c r="T1530" s="6">
        <v>52</v>
      </c>
      <c r="U1530" s="6">
        <v>96</v>
      </c>
      <c r="V1530" s="6">
        <f>IF(ISERROR(VLOOKUP($S$1530,'TAR FIN'!$A$1:$O$115,15,0)),0,VLOOKUP($S$1530,'TAR FIN'!$A$1:$O$115,15,0))</f>
        <v>0</v>
      </c>
      <c r="W1530" s="6">
        <f>IF(ISERROR(VLOOKUP($T$1530,'TAR FIN'!$A$1:$O$115,15,0)),0,VLOOKUP($T$1530,'TAR FIN'!$A$1:$O$115,15,0))</f>
        <v>407.97</v>
      </c>
      <c r="X1530" s="6">
        <f>IF(ISERROR(VLOOKUP($U$1530,'TAR FIN'!$A$1:$O$115,15,0)),0,VLOOKUP($U$1530,'TAR FIN'!$A$1:$O$115,15,0))</f>
        <v>155.38999999999999</v>
      </c>
      <c r="Y1530" s="6"/>
      <c r="Z1530" s="6">
        <f ca="1">('TUSD BE'!$AM$50+'TUSD BF'!$AM$50+'TUSD CVA'!$AM$50)*(1-CUSTOS!$M$38)</f>
        <v>472.08658309095875</v>
      </c>
      <c r="AA1530" s="6">
        <f>('TE BE'!$AB$33+'TE BF'!$AB$33+'TE CVA'!$AB$33)*(1-CUSTOS!$M$38)</f>
        <v>216.84105597414842</v>
      </c>
      <c r="AB1530" s="6">
        <f>$K$1530*$V$1530</f>
        <v>0</v>
      </c>
      <c r="AC1530" s="6">
        <f>$M$1530*$W$1530</f>
        <v>1054.9614636000001</v>
      </c>
      <c r="AD1530" s="6">
        <f>$O$1530*$X$1530</f>
        <v>401.81989319999997</v>
      </c>
      <c r="AE1530" s="6">
        <f>$K$1530*$Y$1530</f>
        <v>0</v>
      </c>
      <c r="AF1530" s="6">
        <f ca="1">$M$1530*$Z$1530</f>
        <v>1220.7592534832484</v>
      </c>
      <c r="AG1530" s="6">
        <f>$O$1530*$AA$1530</f>
        <v>560.72494982243086</v>
      </c>
    </row>
    <row r="1531" spans="1:33" ht="11.25" customHeight="1" x14ac:dyDescent="0.25">
      <c r="A1531" s="4" t="s">
        <v>28</v>
      </c>
      <c r="B1531" s="4" t="s">
        <v>46</v>
      </c>
      <c r="C1531" s="4" t="s">
        <v>23</v>
      </c>
      <c r="D1531" s="4" t="s">
        <v>47</v>
      </c>
      <c r="E1531" s="4" t="s">
        <v>55</v>
      </c>
      <c r="F1531" s="4" t="s">
        <v>57</v>
      </c>
      <c r="G1531" s="4" t="s">
        <v>25</v>
      </c>
      <c r="H1531" s="4" t="s">
        <v>25</v>
      </c>
      <c r="I1531" s="5">
        <v>44774</v>
      </c>
      <c r="J1531" s="6">
        <v>0</v>
      </c>
      <c r="K1531" s="6">
        <v>0</v>
      </c>
      <c r="L1531" s="6">
        <v>3.8460000000000001</v>
      </c>
      <c r="M1531" s="6">
        <v>1.26918</v>
      </c>
      <c r="N1531" s="6">
        <v>3.8460000000000001</v>
      </c>
      <c r="O1531" s="6">
        <v>1.26918</v>
      </c>
      <c r="P1531" s="6">
        <v>0</v>
      </c>
      <c r="Q1531" s="4" t="s">
        <v>26</v>
      </c>
      <c r="R1531" s="4">
        <v>0</v>
      </c>
      <c r="S1531" s="6">
        <v>0</v>
      </c>
      <c r="T1531" s="6">
        <v>52</v>
      </c>
      <c r="U1531" s="6">
        <v>96</v>
      </c>
      <c r="V1531" s="6">
        <f>IF(ISERROR(VLOOKUP($S$1531,'TAR FIN'!$A$1:$O$115,15,0)),0,VLOOKUP($S$1531,'TAR FIN'!$A$1:$O$115,15,0))</f>
        <v>0</v>
      </c>
      <c r="W1531" s="6">
        <f>IF(ISERROR(VLOOKUP($T$1531,'TAR FIN'!$A$1:$O$115,15,0)),0,VLOOKUP($T$1531,'TAR FIN'!$A$1:$O$115,15,0))</f>
        <v>407.97</v>
      </c>
      <c r="X1531" s="6">
        <f>IF(ISERROR(VLOOKUP($U$1531,'TAR FIN'!$A$1:$O$115,15,0)),0,VLOOKUP($U$1531,'TAR FIN'!$A$1:$O$115,15,0))</f>
        <v>155.38999999999999</v>
      </c>
      <c r="Y1531" s="6"/>
      <c r="Z1531" s="6">
        <f ca="1">('TUSD BE'!$AM$50+'TUSD BF'!$AM$50+'TUSD CVA'!$AM$50)*(1-CUSTOS!$M$38)</f>
        <v>472.08658309095875</v>
      </c>
      <c r="AA1531" s="6">
        <f>('TE BE'!$AB$33+'TE BF'!$AB$33+'TE CVA'!$AB$33)*(1-CUSTOS!$M$38)</f>
        <v>216.84105597414842</v>
      </c>
      <c r="AB1531" s="6">
        <f>$K$1531*$V$1531</f>
        <v>0</v>
      </c>
      <c r="AC1531" s="6">
        <f>$M$1531*$W$1531</f>
        <v>517.78736460000005</v>
      </c>
      <c r="AD1531" s="6">
        <f>$O$1531*$X$1531</f>
        <v>197.21788019999997</v>
      </c>
      <c r="AE1531" s="6">
        <f>$K$1531*$Y$1531</f>
        <v>0</v>
      </c>
      <c r="AF1531" s="6">
        <f ca="1">$M$1531*$Z$1531</f>
        <v>599.16284952738306</v>
      </c>
      <c r="AG1531" s="6">
        <f>$O$1531*$AA$1531</f>
        <v>275.2103314212697</v>
      </c>
    </row>
    <row r="1532" spans="1:33" ht="11.25" customHeight="1" x14ac:dyDescent="0.25">
      <c r="A1532" s="4" t="s">
        <v>21</v>
      </c>
      <c r="B1532" s="4" t="s">
        <v>46</v>
      </c>
      <c r="C1532" s="4" t="s">
        <v>23</v>
      </c>
      <c r="D1532" s="4" t="s">
        <v>47</v>
      </c>
      <c r="E1532" s="4" t="s">
        <v>55</v>
      </c>
      <c r="F1532" s="4" t="s">
        <v>57</v>
      </c>
      <c r="G1532" s="4" t="s">
        <v>25</v>
      </c>
      <c r="H1532" s="4" t="s">
        <v>25</v>
      </c>
      <c r="I1532" s="5">
        <v>44805</v>
      </c>
      <c r="J1532" s="6">
        <v>0</v>
      </c>
      <c r="K1532" s="6">
        <v>0</v>
      </c>
      <c r="L1532" s="6">
        <v>5.8609999999999998</v>
      </c>
      <c r="M1532" s="6">
        <v>1.9341299999999999</v>
      </c>
      <c r="N1532" s="6">
        <v>5.8609999999999998</v>
      </c>
      <c r="O1532" s="6">
        <v>1.9341299999999999</v>
      </c>
      <c r="P1532" s="6">
        <v>0</v>
      </c>
      <c r="Q1532" s="4" t="s">
        <v>26</v>
      </c>
      <c r="R1532" s="4">
        <v>0</v>
      </c>
      <c r="S1532" s="6">
        <v>0</v>
      </c>
      <c r="T1532" s="6">
        <v>52</v>
      </c>
      <c r="U1532" s="6">
        <v>96</v>
      </c>
      <c r="V1532" s="6">
        <f>IF(ISERROR(VLOOKUP($S$1532,'TAR FIN'!$A$1:$O$115,15,0)),0,VLOOKUP($S$1532,'TAR FIN'!$A$1:$O$115,15,0))</f>
        <v>0</v>
      </c>
      <c r="W1532" s="6">
        <f>IF(ISERROR(VLOOKUP($T$1532,'TAR FIN'!$A$1:$O$115,15,0)),0,VLOOKUP($T$1532,'TAR FIN'!$A$1:$O$115,15,0))</f>
        <v>407.97</v>
      </c>
      <c r="X1532" s="6">
        <f>IF(ISERROR(VLOOKUP($U$1532,'TAR FIN'!$A$1:$O$115,15,0)),0,VLOOKUP($U$1532,'TAR FIN'!$A$1:$O$115,15,0))</f>
        <v>155.38999999999999</v>
      </c>
      <c r="Y1532" s="6"/>
      <c r="Z1532" s="6">
        <f ca="1">('TUSD BE'!$AM$50+'TUSD BF'!$AM$50+'TUSD CVA'!$AM$50)*(1-CUSTOS!$M$38)</f>
        <v>472.08658309095875</v>
      </c>
      <c r="AA1532" s="6">
        <f>('TE BE'!$AB$33+'TE BF'!$AB$33+'TE CVA'!$AB$33)*(1-CUSTOS!$M$38)</f>
        <v>216.84105597414842</v>
      </c>
      <c r="AB1532" s="6">
        <f>$K$1532*$V$1532</f>
        <v>0</v>
      </c>
      <c r="AC1532" s="6">
        <f>$M$1532*$W$1532</f>
        <v>789.06701610000005</v>
      </c>
      <c r="AD1532" s="6">
        <f>$O$1532*$X$1532</f>
        <v>300.54446069999995</v>
      </c>
      <c r="AE1532" s="6">
        <f>$K$1532*$Y$1532</f>
        <v>0</v>
      </c>
      <c r="AF1532" s="6">
        <f ca="1">$M$1532*$Z$1532</f>
        <v>913.07682295371603</v>
      </c>
      <c r="AG1532" s="6">
        <f>$O$1532*$AA$1532</f>
        <v>419.39879159127963</v>
      </c>
    </row>
    <row r="1533" spans="1:33" ht="11.25" customHeight="1" x14ac:dyDescent="0.25">
      <c r="A1533" s="4" t="s">
        <v>28</v>
      </c>
      <c r="B1533" s="4" t="s">
        <v>46</v>
      </c>
      <c r="C1533" s="4" t="s">
        <v>23</v>
      </c>
      <c r="D1533" s="4" t="s">
        <v>47</v>
      </c>
      <c r="E1533" s="4" t="s">
        <v>55</v>
      </c>
      <c r="F1533" s="4" t="s">
        <v>57</v>
      </c>
      <c r="G1533" s="4" t="s">
        <v>25</v>
      </c>
      <c r="H1533" s="4" t="s">
        <v>25</v>
      </c>
      <c r="I1533" s="5">
        <v>44805</v>
      </c>
      <c r="J1533" s="6">
        <v>0</v>
      </c>
      <c r="K1533" s="6">
        <v>0</v>
      </c>
      <c r="L1533" s="6">
        <v>2.2930000000000001</v>
      </c>
      <c r="M1533" s="6">
        <v>0.75668999999999997</v>
      </c>
      <c r="N1533" s="6">
        <v>2.2930000000000001</v>
      </c>
      <c r="O1533" s="6">
        <v>0.75668999999999997</v>
      </c>
      <c r="P1533" s="6">
        <v>0</v>
      </c>
      <c r="Q1533" s="4" t="s">
        <v>26</v>
      </c>
      <c r="R1533" s="4">
        <v>0</v>
      </c>
      <c r="S1533" s="6">
        <v>0</v>
      </c>
      <c r="T1533" s="6">
        <v>52</v>
      </c>
      <c r="U1533" s="6">
        <v>96</v>
      </c>
      <c r="V1533" s="6">
        <f>IF(ISERROR(VLOOKUP($S$1533,'TAR FIN'!$A$1:$O$115,15,0)),0,VLOOKUP($S$1533,'TAR FIN'!$A$1:$O$115,15,0))</f>
        <v>0</v>
      </c>
      <c r="W1533" s="6">
        <f>IF(ISERROR(VLOOKUP($T$1533,'TAR FIN'!$A$1:$O$115,15,0)),0,VLOOKUP($T$1533,'TAR FIN'!$A$1:$O$115,15,0))</f>
        <v>407.97</v>
      </c>
      <c r="X1533" s="6">
        <f>IF(ISERROR(VLOOKUP($U$1533,'TAR FIN'!$A$1:$O$115,15,0)),0,VLOOKUP($U$1533,'TAR FIN'!$A$1:$O$115,15,0))</f>
        <v>155.38999999999999</v>
      </c>
      <c r="Y1533" s="6"/>
      <c r="Z1533" s="6">
        <f ca="1">('TUSD BE'!$AM$50+'TUSD BF'!$AM$50+'TUSD CVA'!$AM$50)*(1-CUSTOS!$M$38)</f>
        <v>472.08658309095875</v>
      </c>
      <c r="AA1533" s="6">
        <f>('TE BE'!$AB$33+'TE BF'!$AB$33+'TE CVA'!$AB$33)*(1-CUSTOS!$M$38)</f>
        <v>216.84105597414842</v>
      </c>
      <c r="AB1533" s="6">
        <f>$K$1533*$V$1533</f>
        <v>0</v>
      </c>
      <c r="AC1533" s="6">
        <f>$M$1533*$W$1533</f>
        <v>308.70681930000001</v>
      </c>
      <c r="AD1533" s="6">
        <f>$O$1533*$X$1533</f>
        <v>117.58205909999998</v>
      </c>
      <c r="AE1533" s="6">
        <f>$K$1533*$Y$1533</f>
        <v>0</v>
      </c>
      <c r="AF1533" s="6">
        <f ca="1">$M$1533*$Z$1533</f>
        <v>357.22319655909757</v>
      </c>
      <c r="AG1533" s="6">
        <f>$O$1533*$AA$1533</f>
        <v>164.08145864507836</v>
      </c>
    </row>
    <row r="1534" spans="1:33" ht="11.25" customHeight="1" x14ac:dyDescent="0.25">
      <c r="A1534" s="4" t="s">
        <v>21</v>
      </c>
      <c r="B1534" s="4" t="s">
        <v>46</v>
      </c>
      <c r="C1534" s="4" t="s">
        <v>23</v>
      </c>
      <c r="D1534" s="4" t="s">
        <v>47</v>
      </c>
      <c r="E1534" s="4" t="s">
        <v>55</v>
      </c>
      <c r="F1534" s="4" t="s">
        <v>57</v>
      </c>
      <c r="G1534" s="4" t="s">
        <v>25</v>
      </c>
      <c r="H1534" s="4" t="s">
        <v>25</v>
      </c>
      <c r="I1534" s="5">
        <v>44835</v>
      </c>
      <c r="J1534" s="6">
        <v>0</v>
      </c>
      <c r="K1534" s="6">
        <v>0</v>
      </c>
      <c r="L1534" s="6">
        <v>3.5070000000000001</v>
      </c>
      <c r="M1534" s="6">
        <v>1.1573100000000001</v>
      </c>
      <c r="N1534" s="6">
        <v>3.5070000000000001</v>
      </c>
      <c r="O1534" s="6">
        <v>1.1573100000000001</v>
      </c>
      <c r="P1534" s="6">
        <v>0</v>
      </c>
      <c r="Q1534" s="4" t="s">
        <v>26</v>
      </c>
      <c r="R1534" s="4">
        <v>0</v>
      </c>
      <c r="S1534" s="6">
        <v>0</v>
      </c>
      <c r="T1534" s="6">
        <v>52</v>
      </c>
      <c r="U1534" s="6">
        <v>96</v>
      </c>
      <c r="V1534" s="6">
        <f>IF(ISERROR(VLOOKUP($S$1534,'TAR FIN'!$A$1:$O$115,15,0)),0,VLOOKUP($S$1534,'TAR FIN'!$A$1:$O$115,15,0))</f>
        <v>0</v>
      </c>
      <c r="W1534" s="6">
        <f>IF(ISERROR(VLOOKUP($T$1534,'TAR FIN'!$A$1:$O$115,15,0)),0,VLOOKUP($T$1534,'TAR FIN'!$A$1:$O$115,15,0))</f>
        <v>407.97</v>
      </c>
      <c r="X1534" s="6">
        <f>IF(ISERROR(VLOOKUP($U$1534,'TAR FIN'!$A$1:$O$115,15,0)),0,VLOOKUP($U$1534,'TAR FIN'!$A$1:$O$115,15,0))</f>
        <v>155.38999999999999</v>
      </c>
      <c r="Y1534" s="6"/>
      <c r="Z1534" s="6">
        <f ca="1">('TUSD BE'!$AM$50+'TUSD BF'!$AM$50+'TUSD CVA'!$AM$50)*(1-CUSTOS!$M$38)</f>
        <v>472.08658309095875</v>
      </c>
      <c r="AA1534" s="6">
        <f>('TE BE'!$AB$33+'TE BF'!$AB$33+'TE CVA'!$AB$33)*(1-CUSTOS!$M$38)</f>
        <v>216.84105597414842</v>
      </c>
      <c r="AB1534" s="6">
        <f>$K$1534*$V$1534</f>
        <v>0</v>
      </c>
      <c r="AC1534" s="6">
        <f>$M$1534*$W$1534</f>
        <v>472.14776070000005</v>
      </c>
      <c r="AD1534" s="6">
        <f>$O$1534*$X$1534</f>
        <v>179.83440089999999</v>
      </c>
      <c r="AE1534" s="6">
        <f>$K$1534*$Y$1534</f>
        <v>0</v>
      </c>
      <c r="AF1534" s="6">
        <f ca="1">$M$1534*$Z$1534</f>
        <v>546.35052347699752</v>
      </c>
      <c r="AG1534" s="6">
        <f>$O$1534*$AA$1534</f>
        <v>250.95232248944171</v>
      </c>
    </row>
    <row r="1535" spans="1:33" ht="11.25" customHeight="1" x14ac:dyDescent="0.25">
      <c r="A1535" s="4" t="s">
        <v>28</v>
      </c>
      <c r="B1535" s="4" t="s">
        <v>46</v>
      </c>
      <c r="C1535" s="4" t="s">
        <v>23</v>
      </c>
      <c r="D1535" s="4" t="s">
        <v>47</v>
      </c>
      <c r="E1535" s="4" t="s">
        <v>55</v>
      </c>
      <c r="F1535" s="4" t="s">
        <v>57</v>
      </c>
      <c r="G1535" s="4" t="s">
        <v>25</v>
      </c>
      <c r="H1535" s="4" t="s">
        <v>25</v>
      </c>
      <c r="I1535" s="5">
        <v>44835</v>
      </c>
      <c r="J1535" s="6">
        <v>0</v>
      </c>
      <c r="K1535" s="6">
        <v>0</v>
      </c>
      <c r="L1535" s="6">
        <v>2.9489999999999998</v>
      </c>
      <c r="M1535" s="6">
        <v>0.97316999999999998</v>
      </c>
      <c r="N1535" s="6">
        <v>2.9489999999999998</v>
      </c>
      <c r="O1535" s="6">
        <v>0.97316999999999998</v>
      </c>
      <c r="P1535" s="6">
        <v>0</v>
      </c>
      <c r="Q1535" s="4" t="s">
        <v>26</v>
      </c>
      <c r="R1535" s="4">
        <v>0</v>
      </c>
      <c r="S1535" s="6">
        <v>0</v>
      </c>
      <c r="T1535" s="6">
        <v>52</v>
      </c>
      <c r="U1535" s="6">
        <v>96</v>
      </c>
      <c r="V1535" s="6">
        <f>IF(ISERROR(VLOOKUP($S$1535,'TAR FIN'!$A$1:$O$115,15,0)),0,VLOOKUP($S$1535,'TAR FIN'!$A$1:$O$115,15,0))</f>
        <v>0</v>
      </c>
      <c r="W1535" s="6">
        <f>IF(ISERROR(VLOOKUP($T$1535,'TAR FIN'!$A$1:$O$115,15,0)),0,VLOOKUP($T$1535,'TAR FIN'!$A$1:$O$115,15,0))</f>
        <v>407.97</v>
      </c>
      <c r="X1535" s="6">
        <f>IF(ISERROR(VLOOKUP($U$1535,'TAR FIN'!$A$1:$O$115,15,0)),0,VLOOKUP($U$1535,'TAR FIN'!$A$1:$O$115,15,0))</f>
        <v>155.38999999999999</v>
      </c>
      <c r="Y1535" s="6"/>
      <c r="Z1535" s="6">
        <f ca="1">('TUSD BE'!$AM$50+'TUSD BF'!$AM$50+'TUSD CVA'!$AM$50)*(1-CUSTOS!$M$38)</f>
        <v>472.08658309095875</v>
      </c>
      <c r="AA1535" s="6">
        <f>('TE BE'!$AB$33+'TE BF'!$AB$33+'TE CVA'!$AB$33)*(1-CUSTOS!$M$38)</f>
        <v>216.84105597414842</v>
      </c>
      <c r="AB1535" s="6">
        <f>$K$1535*$V$1535</f>
        <v>0</v>
      </c>
      <c r="AC1535" s="6">
        <f>$M$1535*$W$1535</f>
        <v>397.02416490000002</v>
      </c>
      <c r="AD1535" s="6">
        <f>$O$1535*$X$1535</f>
        <v>151.22088629999999</v>
      </c>
      <c r="AE1535" s="6">
        <f>$K$1535*$Y$1535</f>
        <v>0</v>
      </c>
      <c r="AF1535" s="6">
        <f ca="1">$M$1535*$Z$1535</f>
        <v>459.42050006662834</v>
      </c>
      <c r="AG1535" s="6">
        <f>$O$1535*$AA$1535</f>
        <v>211.023210442362</v>
      </c>
    </row>
    <row r="1536" spans="1:33" ht="11.25" customHeight="1" x14ac:dyDescent="0.25">
      <c r="A1536" s="4" t="s">
        <v>59</v>
      </c>
      <c r="B1536" s="4" t="s">
        <v>46</v>
      </c>
      <c r="C1536" s="4" t="s">
        <v>23</v>
      </c>
      <c r="D1536" s="4" t="s">
        <v>47</v>
      </c>
      <c r="E1536" s="4" t="s">
        <v>55</v>
      </c>
      <c r="F1536" s="4" t="s">
        <v>57</v>
      </c>
      <c r="G1536" s="4" t="s">
        <v>25</v>
      </c>
      <c r="H1536" s="4" t="s">
        <v>25</v>
      </c>
      <c r="I1536" s="5">
        <v>44866</v>
      </c>
      <c r="J1536" s="6">
        <v>0</v>
      </c>
      <c r="K1536" s="6">
        <v>0</v>
      </c>
      <c r="L1536" s="6">
        <v>3.5070000000000001</v>
      </c>
      <c r="M1536" s="6">
        <v>1.1573100000000001</v>
      </c>
      <c r="N1536" s="6">
        <v>3.5070000000000001</v>
      </c>
      <c r="O1536" s="6">
        <v>1.1573100000000001</v>
      </c>
      <c r="P1536" s="6">
        <v>0</v>
      </c>
      <c r="Q1536" s="4" t="s">
        <v>26</v>
      </c>
      <c r="R1536" s="4">
        <v>0</v>
      </c>
      <c r="S1536" s="6">
        <v>0</v>
      </c>
      <c r="T1536" s="6">
        <v>52</v>
      </c>
      <c r="U1536" s="6">
        <v>96</v>
      </c>
      <c r="V1536" s="6">
        <f>IF(ISERROR(VLOOKUP($S$1536,'TAR FIN'!$A$1:$O$115,15,0)),0,VLOOKUP($S$1536,'TAR FIN'!$A$1:$O$115,15,0))</f>
        <v>0</v>
      </c>
      <c r="W1536" s="6">
        <f>IF(ISERROR(VLOOKUP($T$1536,'TAR FIN'!$A$1:$O$115,15,0)),0,VLOOKUP($T$1536,'TAR FIN'!$A$1:$O$115,15,0))</f>
        <v>407.97</v>
      </c>
      <c r="X1536" s="6">
        <f>IF(ISERROR(VLOOKUP($U$1536,'TAR FIN'!$A$1:$O$115,15,0)),0,VLOOKUP($U$1536,'TAR FIN'!$A$1:$O$115,15,0))</f>
        <v>155.38999999999999</v>
      </c>
      <c r="Y1536" s="6"/>
      <c r="Z1536" s="6">
        <f ca="1">('TUSD BE'!$AM$50+'TUSD BF'!$AM$50+'TUSD CVA'!$AM$50)*(1-CUSTOS!$M$38)</f>
        <v>472.08658309095875</v>
      </c>
      <c r="AA1536" s="6">
        <f>('TE BE'!$AB$33+'TE BF'!$AB$33+'TE CVA'!$AB$33)*(1-CUSTOS!$M$38)</f>
        <v>216.84105597414842</v>
      </c>
      <c r="AB1536" s="6">
        <f>$K$1536*$V$1536</f>
        <v>0</v>
      </c>
      <c r="AC1536" s="6">
        <f>$M$1536*$W$1536</f>
        <v>472.14776070000005</v>
      </c>
      <c r="AD1536" s="6">
        <f>$O$1536*$X$1536</f>
        <v>179.83440089999999</v>
      </c>
      <c r="AE1536" s="6">
        <f>$K$1536*$Y$1536</f>
        <v>0</v>
      </c>
      <c r="AF1536" s="6">
        <f ca="1">$M$1536*$Z$1536</f>
        <v>546.35052347699752</v>
      </c>
      <c r="AG1536" s="6">
        <f>$O$1536*$AA$1536</f>
        <v>250.95232248944171</v>
      </c>
    </row>
    <row r="1537" spans="1:33" ht="11.25" customHeight="1" x14ac:dyDescent="0.25">
      <c r="A1537" s="4" t="s">
        <v>59</v>
      </c>
      <c r="B1537" s="4" t="s">
        <v>46</v>
      </c>
      <c r="C1537" s="4" t="s">
        <v>23</v>
      </c>
      <c r="D1537" s="4" t="s">
        <v>47</v>
      </c>
      <c r="E1537" s="4" t="s">
        <v>55</v>
      </c>
      <c r="F1537" s="4" t="s">
        <v>57</v>
      </c>
      <c r="G1537" s="4" t="s">
        <v>25</v>
      </c>
      <c r="H1537" s="4" t="s">
        <v>25</v>
      </c>
      <c r="I1537" s="5">
        <v>44866</v>
      </c>
      <c r="J1537" s="6">
        <v>0</v>
      </c>
      <c r="K1537" s="6">
        <v>0</v>
      </c>
      <c r="L1537" s="6">
        <v>2.9489999999999998</v>
      </c>
      <c r="M1537" s="6">
        <v>0.97316999999999998</v>
      </c>
      <c r="N1537" s="6">
        <v>2.9489999999999998</v>
      </c>
      <c r="O1537" s="6">
        <v>0.97316999999999998</v>
      </c>
      <c r="P1537" s="6">
        <v>0</v>
      </c>
      <c r="Q1537" s="4" t="s">
        <v>26</v>
      </c>
      <c r="R1537" s="4">
        <v>0</v>
      </c>
      <c r="S1537" s="6">
        <v>0</v>
      </c>
      <c r="T1537" s="6">
        <v>52</v>
      </c>
      <c r="U1537" s="6">
        <v>96</v>
      </c>
      <c r="V1537" s="6">
        <f>IF(ISERROR(VLOOKUP($S$1537,'TAR FIN'!$A$1:$O$115,15,0)),0,VLOOKUP($S$1537,'TAR FIN'!$A$1:$O$115,15,0))</f>
        <v>0</v>
      </c>
      <c r="W1537" s="6">
        <f>IF(ISERROR(VLOOKUP($T$1537,'TAR FIN'!$A$1:$O$115,15,0)),0,VLOOKUP($T$1537,'TAR FIN'!$A$1:$O$115,15,0))</f>
        <v>407.97</v>
      </c>
      <c r="X1537" s="6">
        <f>IF(ISERROR(VLOOKUP($U$1537,'TAR FIN'!$A$1:$O$115,15,0)),0,VLOOKUP($U$1537,'TAR FIN'!$A$1:$O$115,15,0))</f>
        <v>155.38999999999999</v>
      </c>
      <c r="Y1537" s="6"/>
      <c r="Z1537" s="6">
        <f ca="1">('TUSD BE'!$AM$50+'TUSD BF'!$AM$50+'TUSD CVA'!$AM$50)*(1-CUSTOS!$M$38)</f>
        <v>472.08658309095875</v>
      </c>
      <c r="AA1537" s="6">
        <f>('TE BE'!$AB$33+'TE BF'!$AB$33+'TE CVA'!$AB$33)*(1-CUSTOS!$M$38)</f>
        <v>216.84105597414842</v>
      </c>
      <c r="AB1537" s="6">
        <f>$K$1537*$V$1537</f>
        <v>0</v>
      </c>
      <c r="AC1537" s="6">
        <f>$M$1537*$W$1537</f>
        <v>397.02416490000002</v>
      </c>
      <c r="AD1537" s="6">
        <f>$O$1537*$X$1537</f>
        <v>151.22088629999999</v>
      </c>
      <c r="AE1537" s="6">
        <f>$K$1537*$Y$1537</f>
        <v>0</v>
      </c>
      <c r="AF1537" s="6">
        <f ca="1">$M$1537*$Z$1537</f>
        <v>459.42050006662834</v>
      </c>
      <c r="AG1537" s="6">
        <f>$O$1537*$AA$1537</f>
        <v>211.023210442362</v>
      </c>
    </row>
    <row r="1538" spans="1:33" ht="11.25" customHeight="1" x14ac:dyDescent="0.25">
      <c r="A1538" s="4" t="s">
        <v>21</v>
      </c>
      <c r="B1538" s="4" t="s">
        <v>46</v>
      </c>
      <c r="C1538" s="4" t="s">
        <v>23</v>
      </c>
      <c r="D1538" s="4" t="s">
        <v>47</v>
      </c>
      <c r="E1538" s="4" t="s">
        <v>58</v>
      </c>
      <c r="F1538" s="4" t="s">
        <v>56</v>
      </c>
      <c r="G1538" s="4" t="s">
        <v>25</v>
      </c>
      <c r="H1538" s="4" t="s">
        <v>25</v>
      </c>
      <c r="I1538" s="5">
        <v>44682</v>
      </c>
      <c r="J1538" s="6">
        <v>0</v>
      </c>
      <c r="K1538" s="6">
        <v>0</v>
      </c>
      <c r="L1538" s="6">
        <v>0.30099999999999999</v>
      </c>
      <c r="M1538" s="6">
        <v>0.30099999999999999</v>
      </c>
      <c r="N1538" s="6">
        <v>0.30099999999999999</v>
      </c>
      <c r="O1538" s="6">
        <v>0.30099999999999999</v>
      </c>
      <c r="P1538" s="6">
        <v>0</v>
      </c>
      <c r="Q1538" s="4" t="s">
        <v>26</v>
      </c>
      <c r="R1538" s="4">
        <v>0</v>
      </c>
      <c r="S1538" s="6">
        <v>0</v>
      </c>
      <c r="T1538" s="6">
        <v>52</v>
      </c>
      <c r="U1538" s="6">
        <v>96</v>
      </c>
      <c r="V1538" s="6">
        <f>IF(ISERROR(VLOOKUP($S$1538,'TAR FIN'!$A$1:$O$115,15,0)),0,VLOOKUP($S$1538,'TAR FIN'!$A$1:$O$115,15,0))</f>
        <v>0</v>
      </c>
      <c r="W1538" s="6">
        <f>IF(ISERROR(VLOOKUP($T$1538,'TAR FIN'!$A$1:$O$115,15,0)),0,VLOOKUP($T$1538,'TAR FIN'!$A$1:$O$115,15,0))</f>
        <v>407.97</v>
      </c>
      <c r="X1538" s="6">
        <f>IF(ISERROR(VLOOKUP($U$1538,'TAR FIN'!$A$1:$O$115,15,0)),0,VLOOKUP($U$1538,'TAR FIN'!$A$1:$O$115,15,0))</f>
        <v>155.38999999999999</v>
      </c>
      <c r="Y1538" s="6"/>
      <c r="Z1538" s="6">
        <f ca="1">('TUSD BE'!$AM$50+'TUSD BF'!$AM$50+'TUSD CVA'!$AM$50)*(1-CUSTOS!$M$38)</f>
        <v>472.08658309095875</v>
      </c>
      <c r="AA1538" s="6">
        <f>('TE BE'!$AB$33+'TE BF'!$AB$33+'TE CVA'!$AB$33)*(1-CUSTOS!$M$38)</f>
        <v>216.84105597414842</v>
      </c>
      <c r="AB1538" s="6">
        <f>$K$1538*$V$1538</f>
        <v>0</v>
      </c>
      <c r="AC1538" s="6">
        <f>$M$1538*$W$1538</f>
        <v>122.79897</v>
      </c>
      <c r="AD1538" s="6">
        <f>$O$1538*$X$1538</f>
        <v>46.772389999999994</v>
      </c>
      <c r="AE1538" s="6">
        <f>$K$1538*$Y$1538</f>
        <v>0</v>
      </c>
      <c r="AF1538" s="6">
        <f ca="1">$M$1538*$Z$1538</f>
        <v>142.09806151037859</v>
      </c>
      <c r="AG1538" s="6">
        <f>$O$1538*$AA$1538</f>
        <v>65.269157848218669</v>
      </c>
    </row>
    <row r="1539" spans="1:33" ht="11.25" customHeight="1" x14ac:dyDescent="0.25">
      <c r="A1539" s="4" t="s">
        <v>21</v>
      </c>
      <c r="B1539" s="4" t="s">
        <v>46</v>
      </c>
      <c r="C1539" s="4" t="s">
        <v>23</v>
      </c>
      <c r="D1539" s="4" t="s">
        <v>47</v>
      </c>
      <c r="E1539" s="4" t="s">
        <v>58</v>
      </c>
      <c r="F1539" s="4" t="s">
        <v>56</v>
      </c>
      <c r="G1539" s="4" t="s">
        <v>25</v>
      </c>
      <c r="H1539" s="4" t="s">
        <v>25</v>
      </c>
      <c r="I1539" s="5">
        <v>44713</v>
      </c>
      <c r="J1539" s="6">
        <v>0</v>
      </c>
      <c r="K1539" s="6">
        <v>0</v>
      </c>
      <c r="L1539" s="6">
        <v>0.25700000000000001</v>
      </c>
      <c r="M1539" s="6">
        <v>0.25700000000000001</v>
      </c>
      <c r="N1539" s="6">
        <v>0.25700000000000001</v>
      </c>
      <c r="O1539" s="6">
        <v>0.25700000000000001</v>
      </c>
      <c r="P1539" s="6">
        <v>0</v>
      </c>
      <c r="Q1539" s="4" t="s">
        <v>26</v>
      </c>
      <c r="R1539" s="4">
        <v>0</v>
      </c>
      <c r="S1539" s="6">
        <v>0</v>
      </c>
      <c r="T1539" s="6">
        <v>52</v>
      </c>
      <c r="U1539" s="6">
        <v>96</v>
      </c>
      <c r="V1539" s="6">
        <f>IF(ISERROR(VLOOKUP($S$1539,'TAR FIN'!$A$1:$O$115,15,0)),0,VLOOKUP($S$1539,'TAR FIN'!$A$1:$O$115,15,0))</f>
        <v>0</v>
      </c>
      <c r="W1539" s="6">
        <f>IF(ISERROR(VLOOKUP($T$1539,'TAR FIN'!$A$1:$O$115,15,0)),0,VLOOKUP($T$1539,'TAR FIN'!$A$1:$O$115,15,0))</f>
        <v>407.97</v>
      </c>
      <c r="X1539" s="6">
        <f>IF(ISERROR(VLOOKUP($U$1539,'TAR FIN'!$A$1:$O$115,15,0)),0,VLOOKUP($U$1539,'TAR FIN'!$A$1:$O$115,15,0))</f>
        <v>155.38999999999999</v>
      </c>
      <c r="Y1539" s="6"/>
      <c r="Z1539" s="6">
        <f ca="1">('TUSD BE'!$AM$50+'TUSD BF'!$AM$50+'TUSD CVA'!$AM$50)*(1-CUSTOS!$M$38)</f>
        <v>472.08658309095875</v>
      </c>
      <c r="AA1539" s="6">
        <f>('TE BE'!$AB$33+'TE BF'!$AB$33+'TE CVA'!$AB$33)*(1-CUSTOS!$M$38)</f>
        <v>216.84105597414842</v>
      </c>
      <c r="AB1539" s="6">
        <f>$K$1539*$V$1539</f>
        <v>0</v>
      </c>
      <c r="AC1539" s="6">
        <f>$M$1539*$W$1539</f>
        <v>104.84829000000001</v>
      </c>
      <c r="AD1539" s="6">
        <f>$O$1539*$X$1539</f>
        <v>39.935229999999997</v>
      </c>
      <c r="AE1539" s="6">
        <f>$K$1539*$Y$1539</f>
        <v>0</v>
      </c>
      <c r="AF1539" s="6">
        <f ca="1">$M$1539*$Z$1539</f>
        <v>121.32625185437641</v>
      </c>
      <c r="AG1539" s="6">
        <f>$O$1539*$AA$1539</f>
        <v>55.728151385356142</v>
      </c>
    </row>
    <row r="1540" spans="1:33" ht="11.25" customHeight="1" x14ac:dyDescent="0.25">
      <c r="A1540" s="4" t="s">
        <v>21</v>
      </c>
      <c r="B1540" s="4" t="s">
        <v>46</v>
      </c>
      <c r="C1540" s="4" t="s">
        <v>23</v>
      </c>
      <c r="D1540" s="4" t="s">
        <v>47</v>
      </c>
      <c r="E1540" s="4" t="s">
        <v>58</v>
      </c>
      <c r="F1540" s="4" t="s">
        <v>56</v>
      </c>
      <c r="G1540" s="4" t="s">
        <v>25</v>
      </c>
      <c r="H1540" s="4" t="s">
        <v>25</v>
      </c>
      <c r="I1540" s="5">
        <v>44743</v>
      </c>
      <c r="J1540" s="6">
        <v>0</v>
      </c>
      <c r="K1540" s="6">
        <v>0</v>
      </c>
      <c r="L1540" s="6">
        <v>0.27400000000000002</v>
      </c>
      <c r="M1540" s="6">
        <v>0.27400000000000002</v>
      </c>
      <c r="N1540" s="6">
        <v>0.27400000000000002</v>
      </c>
      <c r="O1540" s="6">
        <v>0.27400000000000002</v>
      </c>
      <c r="P1540" s="6">
        <v>0</v>
      </c>
      <c r="Q1540" s="4" t="s">
        <v>26</v>
      </c>
      <c r="R1540" s="4">
        <v>0</v>
      </c>
      <c r="S1540" s="6">
        <v>0</v>
      </c>
      <c r="T1540" s="6">
        <v>52</v>
      </c>
      <c r="U1540" s="6">
        <v>96</v>
      </c>
      <c r="V1540" s="6">
        <f>IF(ISERROR(VLOOKUP($S$1540,'TAR FIN'!$A$1:$O$115,15,0)),0,VLOOKUP($S$1540,'TAR FIN'!$A$1:$O$115,15,0))</f>
        <v>0</v>
      </c>
      <c r="W1540" s="6">
        <f>IF(ISERROR(VLOOKUP($T$1540,'TAR FIN'!$A$1:$O$115,15,0)),0,VLOOKUP($T$1540,'TAR FIN'!$A$1:$O$115,15,0))</f>
        <v>407.97</v>
      </c>
      <c r="X1540" s="6">
        <f>IF(ISERROR(VLOOKUP($U$1540,'TAR FIN'!$A$1:$O$115,15,0)),0,VLOOKUP($U$1540,'TAR FIN'!$A$1:$O$115,15,0))</f>
        <v>155.38999999999999</v>
      </c>
      <c r="Y1540" s="6"/>
      <c r="Z1540" s="6">
        <f ca="1">('TUSD BE'!$AM$50+'TUSD BF'!$AM$50+'TUSD CVA'!$AM$50)*(1-CUSTOS!$M$38)</f>
        <v>472.08658309095875</v>
      </c>
      <c r="AA1540" s="6">
        <f>('TE BE'!$AB$33+'TE BF'!$AB$33+'TE CVA'!$AB$33)*(1-CUSTOS!$M$38)</f>
        <v>216.84105597414842</v>
      </c>
      <c r="AB1540" s="6">
        <f>$K$1540*$V$1540</f>
        <v>0</v>
      </c>
      <c r="AC1540" s="6">
        <f>$M$1540*$W$1540</f>
        <v>111.78378000000002</v>
      </c>
      <c r="AD1540" s="6">
        <f>$O$1540*$X$1540</f>
        <v>42.576859999999996</v>
      </c>
      <c r="AE1540" s="6">
        <f>$K$1540*$Y$1540</f>
        <v>0</v>
      </c>
      <c r="AF1540" s="6">
        <f ca="1">$M$1540*$Z$1540</f>
        <v>129.3517237669227</v>
      </c>
      <c r="AG1540" s="6">
        <f>$O$1540*$AA$1540</f>
        <v>59.414449336916668</v>
      </c>
    </row>
    <row r="1541" spans="1:33" ht="11.25" customHeight="1" x14ac:dyDescent="0.25">
      <c r="A1541" s="4" t="s">
        <v>21</v>
      </c>
      <c r="B1541" s="4" t="s">
        <v>46</v>
      </c>
      <c r="C1541" s="4" t="s">
        <v>23</v>
      </c>
      <c r="D1541" s="4" t="s">
        <v>47</v>
      </c>
      <c r="E1541" s="4" t="s">
        <v>58</v>
      </c>
      <c r="F1541" s="4" t="s">
        <v>56</v>
      </c>
      <c r="G1541" s="4" t="s">
        <v>25</v>
      </c>
      <c r="H1541" s="4" t="s">
        <v>25</v>
      </c>
      <c r="I1541" s="5">
        <v>44774</v>
      </c>
      <c r="J1541" s="6">
        <v>0</v>
      </c>
      <c r="K1541" s="6">
        <v>0</v>
      </c>
      <c r="L1541" s="6">
        <v>0.23</v>
      </c>
      <c r="M1541" s="6">
        <v>0.23</v>
      </c>
      <c r="N1541" s="6">
        <v>0.23</v>
      </c>
      <c r="O1541" s="6">
        <v>0.23</v>
      </c>
      <c r="P1541" s="6">
        <v>0</v>
      </c>
      <c r="Q1541" s="4" t="s">
        <v>26</v>
      </c>
      <c r="R1541" s="4">
        <v>0</v>
      </c>
      <c r="S1541" s="6">
        <v>0</v>
      </c>
      <c r="T1541" s="6">
        <v>52</v>
      </c>
      <c r="U1541" s="6">
        <v>96</v>
      </c>
      <c r="V1541" s="6">
        <f>IF(ISERROR(VLOOKUP($S$1541,'TAR FIN'!$A$1:$O$115,15,0)),0,VLOOKUP($S$1541,'TAR FIN'!$A$1:$O$115,15,0))</f>
        <v>0</v>
      </c>
      <c r="W1541" s="6">
        <f>IF(ISERROR(VLOOKUP($T$1541,'TAR FIN'!$A$1:$O$115,15,0)),0,VLOOKUP($T$1541,'TAR FIN'!$A$1:$O$115,15,0))</f>
        <v>407.97</v>
      </c>
      <c r="X1541" s="6">
        <f>IF(ISERROR(VLOOKUP($U$1541,'TAR FIN'!$A$1:$O$115,15,0)),0,VLOOKUP($U$1541,'TAR FIN'!$A$1:$O$115,15,0))</f>
        <v>155.38999999999999</v>
      </c>
      <c r="Y1541" s="6"/>
      <c r="Z1541" s="6">
        <f ca="1">('TUSD BE'!$AM$50+'TUSD BF'!$AM$50+'TUSD CVA'!$AM$50)*(1-CUSTOS!$M$38)</f>
        <v>472.08658309095875</v>
      </c>
      <c r="AA1541" s="6">
        <f>('TE BE'!$AB$33+'TE BF'!$AB$33+'TE CVA'!$AB$33)*(1-CUSTOS!$M$38)</f>
        <v>216.84105597414842</v>
      </c>
      <c r="AB1541" s="6">
        <f>$K$1541*$V$1541</f>
        <v>0</v>
      </c>
      <c r="AC1541" s="6">
        <f>$M$1541*$W$1541</f>
        <v>93.833100000000016</v>
      </c>
      <c r="AD1541" s="6">
        <f>$O$1541*$X$1541</f>
        <v>35.739699999999999</v>
      </c>
      <c r="AE1541" s="6">
        <f>$K$1541*$Y$1541</f>
        <v>0</v>
      </c>
      <c r="AF1541" s="6">
        <f ca="1">$M$1541*$Z$1541</f>
        <v>108.57991411092051</v>
      </c>
      <c r="AG1541" s="6">
        <f>$O$1541*$AA$1541</f>
        <v>49.873442874054142</v>
      </c>
    </row>
    <row r="1542" spans="1:33" ht="11.25" customHeight="1" x14ac:dyDescent="0.25">
      <c r="A1542" s="4" t="s">
        <v>21</v>
      </c>
      <c r="B1542" s="4" t="s">
        <v>46</v>
      </c>
      <c r="C1542" s="4" t="s">
        <v>23</v>
      </c>
      <c r="D1542" s="4" t="s">
        <v>47</v>
      </c>
      <c r="E1542" s="4" t="s">
        <v>25</v>
      </c>
      <c r="F1542" s="4" t="s">
        <v>25</v>
      </c>
      <c r="G1542" s="4" t="s">
        <v>25</v>
      </c>
      <c r="H1542" s="4" t="s">
        <v>25</v>
      </c>
      <c r="I1542" s="5">
        <v>44531</v>
      </c>
      <c r="J1542" s="6">
        <v>0</v>
      </c>
      <c r="K1542" s="6">
        <v>0</v>
      </c>
      <c r="L1542" s="6">
        <v>3806.0970000000002</v>
      </c>
      <c r="M1542" s="6">
        <v>3806.0970000000002</v>
      </c>
      <c r="N1542" s="6">
        <v>3806.0970000000002</v>
      </c>
      <c r="O1542" s="6">
        <v>3806.0970000000002</v>
      </c>
      <c r="P1542" s="6">
        <v>21162</v>
      </c>
      <c r="Q1542" s="4" t="s">
        <v>26</v>
      </c>
      <c r="R1542" s="4">
        <v>0</v>
      </c>
      <c r="S1542" s="6">
        <v>0</v>
      </c>
      <c r="T1542" s="6">
        <v>52</v>
      </c>
      <c r="U1542" s="6">
        <v>96</v>
      </c>
      <c r="V1542" s="6">
        <f>IF(ISERROR(VLOOKUP($S$1542,'TAR FIN'!$A$1:$O$115,15,0)),0,VLOOKUP($S$1542,'TAR FIN'!$A$1:$O$115,15,0))</f>
        <v>0</v>
      </c>
      <c r="W1542" s="6">
        <f>IF(ISERROR(VLOOKUP($T$1542,'TAR FIN'!$A$1:$O$115,15,0)),0,VLOOKUP($T$1542,'TAR FIN'!$A$1:$O$115,15,0))</f>
        <v>407.97</v>
      </c>
      <c r="X1542" s="6">
        <f>IF(ISERROR(VLOOKUP($U$1542,'TAR FIN'!$A$1:$O$115,15,0)),0,VLOOKUP($U$1542,'TAR FIN'!$A$1:$O$115,15,0))</f>
        <v>155.38999999999999</v>
      </c>
      <c r="Y1542" s="6"/>
      <c r="Z1542" s="6">
        <f ca="1">('TUSD BE'!$AM$50+'TUSD BF'!$AM$50+'TUSD CVA'!$AM$50)*(1-CUSTOS!$M$38)</f>
        <v>472.08658309095875</v>
      </c>
      <c r="AA1542" s="6">
        <f>('TE BE'!$AB$33+'TE BF'!$AB$33+'TE CVA'!$AB$33)*(1-CUSTOS!$M$38)</f>
        <v>216.84105597414842</v>
      </c>
      <c r="AB1542" s="6">
        <f>$K$1542*$V$1542</f>
        <v>0</v>
      </c>
      <c r="AC1542" s="6">
        <f>$M$1542*$W$1542</f>
        <v>1552773.3930900001</v>
      </c>
      <c r="AD1542" s="6">
        <f>$O$1542*$X$1542</f>
        <v>591429.41282999993</v>
      </c>
      <c r="AE1542" s="6">
        <f>$K$1542*$Y$1542</f>
        <v>0</v>
      </c>
      <c r="AF1542" s="6">
        <f ca="1">$M$1542*$Z$1542</f>
        <v>1796807.3276427488</v>
      </c>
      <c r="AG1542" s="6">
        <f>$O$1542*$AA$1542</f>
        <v>825318.09262003843</v>
      </c>
    </row>
    <row r="1543" spans="1:33" ht="11.25" customHeight="1" x14ac:dyDescent="0.25">
      <c r="A1543" s="4" t="s">
        <v>27</v>
      </c>
      <c r="B1543" s="4" t="s">
        <v>46</v>
      </c>
      <c r="C1543" s="4" t="s">
        <v>23</v>
      </c>
      <c r="D1543" s="4" t="s">
        <v>47</v>
      </c>
      <c r="E1543" s="4" t="s">
        <v>25</v>
      </c>
      <c r="F1543" s="4" t="s">
        <v>25</v>
      </c>
      <c r="G1543" s="4" t="s">
        <v>25</v>
      </c>
      <c r="H1543" s="4" t="s">
        <v>25</v>
      </c>
      <c r="I1543" s="5">
        <v>44531</v>
      </c>
      <c r="J1543" s="6">
        <v>0</v>
      </c>
      <c r="K1543" s="6">
        <v>0</v>
      </c>
      <c r="L1543" s="6">
        <v>-53.863999999999997</v>
      </c>
      <c r="M1543" s="6">
        <v>-53.863999999999997</v>
      </c>
      <c r="N1543" s="6">
        <v>-53.863999999999997</v>
      </c>
      <c r="O1543" s="6">
        <v>-53.863999999999997</v>
      </c>
      <c r="P1543" s="6">
        <v>-17</v>
      </c>
      <c r="Q1543" s="4" t="s">
        <v>26</v>
      </c>
      <c r="R1543" s="4">
        <v>0</v>
      </c>
      <c r="S1543" s="6">
        <v>0</v>
      </c>
      <c r="T1543" s="6">
        <v>52</v>
      </c>
      <c r="U1543" s="6">
        <v>96</v>
      </c>
      <c r="V1543" s="6">
        <f>IF(ISERROR(VLOOKUP($S$1543,'TAR FIN'!$A$1:$O$115,15,0)),0,VLOOKUP($S$1543,'TAR FIN'!$A$1:$O$115,15,0))</f>
        <v>0</v>
      </c>
      <c r="W1543" s="6">
        <f>IF(ISERROR(VLOOKUP($T$1543,'TAR FIN'!$A$1:$O$115,15,0)),0,VLOOKUP($T$1543,'TAR FIN'!$A$1:$O$115,15,0))</f>
        <v>407.97</v>
      </c>
      <c r="X1543" s="6">
        <f>IF(ISERROR(VLOOKUP($U$1543,'TAR FIN'!$A$1:$O$115,15,0)),0,VLOOKUP($U$1543,'TAR FIN'!$A$1:$O$115,15,0))</f>
        <v>155.38999999999999</v>
      </c>
      <c r="Y1543" s="6"/>
      <c r="Z1543" s="6">
        <f ca="1">('TUSD BE'!$AM$50+'TUSD BF'!$AM$50+'TUSD CVA'!$AM$50)*(1-CUSTOS!$M$38)</f>
        <v>472.08658309095875</v>
      </c>
      <c r="AA1543" s="6">
        <f>('TE BE'!$AB$33+'TE BF'!$AB$33+'TE CVA'!$AB$33)*(1-CUSTOS!$M$38)</f>
        <v>216.84105597414842</v>
      </c>
      <c r="AB1543" s="6">
        <f>$K$1543*$V$1543</f>
        <v>0</v>
      </c>
      <c r="AC1543" s="6">
        <f>$M$1543*$W$1543</f>
        <v>-21974.896079999999</v>
      </c>
      <c r="AD1543" s="6">
        <f>$O$1543*$X$1543</f>
        <v>-8369.9269599999989</v>
      </c>
      <c r="AE1543" s="6">
        <f>$K$1543*$Y$1543</f>
        <v>0</v>
      </c>
      <c r="AF1543" s="6">
        <f ca="1">$M$1543*$Z$1543</f>
        <v>-25428.471711611401</v>
      </c>
      <c r="AG1543" s="6">
        <f>$O$1543*$AA$1543</f>
        <v>-11679.92663899153</v>
      </c>
    </row>
    <row r="1544" spans="1:33" ht="11.25" customHeight="1" x14ac:dyDescent="0.25">
      <c r="A1544" s="4" t="s">
        <v>28</v>
      </c>
      <c r="B1544" s="4" t="s">
        <v>46</v>
      </c>
      <c r="C1544" s="4" t="s">
        <v>23</v>
      </c>
      <c r="D1544" s="4" t="s">
        <v>47</v>
      </c>
      <c r="E1544" s="4" t="s">
        <v>25</v>
      </c>
      <c r="F1544" s="4" t="s">
        <v>25</v>
      </c>
      <c r="G1544" s="4" t="s">
        <v>25</v>
      </c>
      <c r="H1544" s="4" t="s">
        <v>25</v>
      </c>
      <c r="I1544" s="5">
        <v>44531</v>
      </c>
      <c r="J1544" s="6">
        <v>0</v>
      </c>
      <c r="K1544" s="6">
        <v>0</v>
      </c>
      <c r="L1544" s="6">
        <v>742.30700000000002</v>
      </c>
      <c r="M1544" s="6">
        <v>742.30700000000002</v>
      </c>
      <c r="N1544" s="6">
        <v>742.30700000000002</v>
      </c>
      <c r="O1544" s="6">
        <v>742.30700000000002</v>
      </c>
      <c r="P1544" s="6">
        <v>4882</v>
      </c>
      <c r="Q1544" s="4" t="s">
        <v>26</v>
      </c>
      <c r="R1544" s="4">
        <v>0</v>
      </c>
      <c r="S1544" s="6">
        <v>0</v>
      </c>
      <c r="T1544" s="6">
        <v>52</v>
      </c>
      <c r="U1544" s="6">
        <v>96</v>
      </c>
      <c r="V1544" s="6">
        <f>IF(ISERROR(VLOOKUP($S$1544,'TAR FIN'!$A$1:$O$115,15,0)),0,VLOOKUP($S$1544,'TAR FIN'!$A$1:$O$115,15,0))</f>
        <v>0</v>
      </c>
      <c r="W1544" s="6">
        <f>IF(ISERROR(VLOOKUP($T$1544,'TAR FIN'!$A$1:$O$115,15,0)),0,VLOOKUP($T$1544,'TAR FIN'!$A$1:$O$115,15,0))</f>
        <v>407.97</v>
      </c>
      <c r="X1544" s="6">
        <f>IF(ISERROR(VLOOKUP($U$1544,'TAR FIN'!$A$1:$O$115,15,0)),0,VLOOKUP($U$1544,'TAR FIN'!$A$1:$O$115,15,0))</f>
        <v>155.38999999999999</v>
      </c>
      <c r="Y1544" s="6"/>
      <c r="Z1544" s="6">
        <f ca="1">('TUSD BE'!$AM$50+'TUSD BF'!$AM$50+'TUSD CVA'!$AM$50)*(1-CUSTOS!$M$38)</f>
        <v>472.08658309095875</v>
      </c>
      <c r="AA1544" s="6">
        <f>('TE BE'!$AB$33+'TE BF'!$AB$33+'TE CVA'!$AB$33)*(1-CUSTOS!$M$38)</f>
        <v>216.84105597414842</v>
      </c>
      <c r="AB1544" s="6">
        <f>$K$1544*$V$1544</f>
        <v>0</v>
      </c>
      <c r="AC1544" s="6">
        <f>$M$1544*$W$1544</f>
        <v>302838.98679000005</v>
      </c>
      <c r="AD1544" s="6">
        <f>$O$1544*$X$1544</f>
        <v>115347.08472999999</v>
      </c>
      <c r="AE1544" s="6">
        <f>$K$1544*$Y$1544</f>
        <v>0</v>
      </c>
      <c r="AF1544" s="6">
        <f ca="1">$M$1544*$Z$1544</f>
        <v>350433.17523450032</v>
      </c>
      <c r="AG1544" s="6">
        <f>$O$1544*$AA$1544</f>
        <v>160962.63373700218</v>
      </c>
    </row>
    <row r="1545" spans="1:33" ht="11.25" customHeight="1" x14ac:dyDescent="0.25">
      <c r="A1545" s="4" t="s">
        <v>29</v>
      </c>
      <c r="B1545" s="4" t="s">
        <v>46</v>
      </c>
      <c r="C1545" s="4" t="s">
        <v>23</v>
      </c>
      <c r="D1545" s="4" t="s">
        <v>47</v>
      </c>
      <c r="E1545" s="4" t="s">
        <v>25</v>
      </c>
      <c r="F1545" s="4" t="s">
        <v>25</v>
      </c>
      <c r="G1545" s="4" t="s">
        <v>25</v>
      </c>
      <c r="H1545" s="4" t="s">
        <v>25</v>
      </c>
      <c r="I1545" s="5">
        <v>44531</v>
      </c>
      <c r="J1545" s="6">
        <v>0</v>
      </c>
      <c r="K1545" s="6">
        <v>0</v>
      </c>
      <c r="L1545" s="6">
        <v>-0.57199999999999995</v>
      </c>
      <c r="M1545" s="6">
        <v>-0.57199999999999995</v>
      </c>
      <c r="N1545" s="6">
        <v>-0.57199999999999995</v>
      </c>
      <c r="O1545" s="6">
        <v>-0.57199999999999995</v>
      </c>
      <c r="P1545" s="6">
        <v>-6</v>
      </c>
      <c r="Q1545" s="4" t="s">
        <v>26</v>
      </c>
      <c r="R1545" s="4">
        <v>0</v>
      </c>
      <c r="S1545" s="6">
        <v>0</v>
      </c>
      <c r="T1545" s="6">
        <v>52</v>
      </c>
      <c r="U1545" s="6">
        <v>96</v>
      </c>
      <c r="V1545" s="6">
        <f>IF(ISERROR(VLOOKUP($S$1545,'TAR FIN'!$A$1:$O$115,15,0)),0,VLOOKUP($S$1545,'TAR FIN'!$A$1:$O$115,15,0))</f>
        <v>0</v>
      </c>
      <c r="W1545" s="6">
        <f>IF(ISERROR(VLOOKUP($T$1545,'TAR FIN'!$A$1:$O$115,15,0)),0,VLOOKUP($T$1545,'TAR FIN'!$A$1:$O$115,15,0))</f>
        <v>407.97</v>
      </c>
      <c r="X1545" s="6">
        <f>IF(ISERROR(VLOOKUP($U$1545,'TAR FIN'!$A$1:$O$115,15,0)),0,VLOOKUP($U$1545,'TAR FIN'!$A$1:$O$115,15,0))</f>
        <v>155.38999999999999</v>
      </c>
      <c r="Y1545" s="6"/>
      <c r="Z1545" s="6">
        <f ca="1">('TUSD BE'!$AM$50+'TUSD BF'!$AM$50+'TUSD CVA'!$AM$50)*(1-CUSTOS!$M$38)</f>
        <v>472.08658309095875</v>
      </c>
      <c r="AA1545" s="6">
        <f>('TE BE'!$AB$33+'TE BF'!$AB$33+'TE CVA'!$AB$33)*(1-CUSTOS!$M$38)</f>
        <v>216.84105597414842</v>
      </c>
      <c r="AB1545" s="6">
        <f>$K$1545*$V$1545</f>
        <v>0</v>
      </c>
      <c r="AC1545" s="6">
        <f>$M$1545*$W$1545</f>
        <v>-233.35883999999999</v>
      </c>
      <c r="AD1545" s="6">
        <f>$O$1545*$X$1545</f>
        <v>-88.883079999999978</v>
      </c>
      <c r="AE1545" s="6">
        <f>$K$1545*$Y$1545</f>
        <v>0</v>
      </c>
      <c r="AF1545" s="6">
        <f ca="1">$M$1545*$Z$1545</f>
        <v>-270.03352552802841</v>
      </c>
      <c r="AG1545" s="6">
        <f>$O$1545*$AA$1545</f>
        <v>-124.03308401721289</v>
      </c>
    </row>
    <row r="1546" spans="1:33" ht="11.25" customHeight="1" x14ac:dyDescent="0.25">
      <c r="A1546" s="4" t="s">
        <v>30</v>
      </c>
      <c r="B1546" s="4" t="s">
        <v>46</v>
      </c>
      <c r="C1546" s="4" t="s">
        <v>23</v>
      </c>
      <c r="D1546" s="4" t="s">
        <v>47</v>
      </c>
      <c r="E1546" s="4" t="s">
        <v>25</v>
      </c>
      <c r="F1546" s="4" t="s">
        <v>25</v>
      </c>
      <c r="G1546" s="4" t="s">
        <v>25</v>
      </c>
      <c r="H1546" s="4" t="s">
        <v>25</v>
      </c>
      <c r="I1546" s="5">
        <v>44531</v>
      </c>
      <c r="J1546" s="6">
        <v>0</v>
      </c>
      <c r="K1546" s="6">
        <v>0</v>
      </c>
      <c r="L1546" s="6">
        <v>33.865000000000002</v>
      </c>
      <c r="M1546" s="6">
        <v>33.865000000000002</v>
      </c>
      <c r="N1546" s="6">
        <v>33.865000000000002</v>
      </c>
      <c r="O1546" s="6">
        <v>33.865000000000002</v>
      </c>
      <c r="P1546" s="6">
        <v>188</v>
      </c>
      <c r="Q1546" s="4" t="s">
        <v>26</v>
      </c>
      <c r="R1546" s="4">
        <v>0</v>
      </c>
      <c r="S1546" s="6">
        <v>0</v>
      </c>
      <c r="T1546" s="6">
        <v>52</v>
      </c>
      <c r="U1546" s="6">
        <v>96</v>
      </c>
      <c r="V1546" s="6">
        <f>IF(ISERROR(VLOOKUP($S$1546,'TAR FIN'!$A$1:$O$115,15,0)),0,VLOOKUP($S$1546,'TAR FIN'!$A$1:$O$115,15,0))</f>
        <v>0</v>
      </c>
      <c r="W1546" s="6">
        <f>IF(ISERROR(VLOOKUP($T$1546,'TAR FIN'!$A$1:$O$115,15,0)),0,VLOOKUP($T$1546,'TAR FIN'!$A$1:$O$115,15,0))</f>
        <v>407.97</v>
      </c>
      <c r="X1546" s="6">
        <f>IF(ISERROR(VLOOKUP($U$1546,'TAR FIN'!$A$1:$O$115,15,0)),0,VLOOKUP($U$1546,'TAR FIN'!$A$1:$O$115,15,0))</f>
        <v>155.38999999999999</v>
      </c>
      <c r="Y1546" s="6"/>
      <c r="Z1546" s="6">
        <f ca="1">('TUSD BE'!$AM$50+'TUSD BF'!$AM$50+'TUSD CVA'!$AM$50)*(1-CUSTOS!$M$38)</f>
        <v>472.08658309095875</v>
      </c>
      <c r="AA1546" s="6">
        <f>('TE BE'!$AB$33+'TE BF'!$AB$33+'TE CVA'!$AB$33)*(1-CUSTOS!$M$38)</f>
        <v>216.84105597414842</v>
      </c>
      <c r="AB1546" s="6">
        <f>$K$1546*$V$1546</f>
        <v>0</v>
      </c>
      <c r="AC1546" s="6">
        <f>$M$1546*$W$1546</f>
        <v>13815.904050000001</v>
      </c>
      <c r="AD1546" s="6">
        <f>$O$1546*$X$1546</f>
        <v>5262.2823499999995</v>
      </c>
      <c r="AE1546" s="6">
        <f>$K$1546*$Y$1546</f>
        <v>0</v>
      </c>
      <c r="AF1546" s="6">
        <f ca="1">$M$1546*$Z$1546</f>
        <v>15987.212136375319</v>
      </c>
      <c r="AG1546" s="6">
        <f>$O$1546*$AA$1546</f>
        <v>7343.3223605645362</v>
      </c>
    </row>
    <row r="1547" spans="1:33" ht="11.25" customHeight="1" x14ac:dyDescent="0.25">
      <c r="A1547" s="4" t="s">
        <v>30</v>
      </c>
      <c r="B1547" s="4" t="s">
        <v>46</v>
      </c>
      <c r="C1547" s="4" t="s">
        <v>23</v>
      </c>
      <c r="D1547" s="4" t="s">
        <v>47</v>
      </c>
      <c r="E1547" s="4" t="s">
        <v>25</v>
      </c>
      <c r="F1547" s="4" t="s">
        <v>25</v>
      </c>
      <c r="G1547" s="4" t="s">
        <v>25</v>
      </c>
      <c r="H1547" s="4" t="s">
        <v>25</v>
      </c>
      <c r="I1547" s="5">
        <v>44531</v>
      </c>
      <c r="J1547" s="6">
        <v>0</v>
      </c>
      <c r="K1547" s="6">
        <v>0</v>
      </c>
      <c r="L1547" s="6">
        <v>2.5419999999999998</v>
      </c>
      <c r="M1547" s="6">
        <v>2.5419999999999998</v>
      </c>
      <c r="N1547" s="6">
        <v>2.5419999999999998</v>
      </c>
      <c r="O1547" s="6">
        <v>2.5419999999999998</v>
      </c>
      <c r="P1547" s="6">
        <v>0</v>
      </c>
      <c r="Q1547" s="4" t="s">
        <v>26</v>
      </c>
      <c r="R1547" s="4">
        <v>0</v>
      </c>
      <c r="S1547" s="6">
        <v>0</v>
      </c>
      <c r="T1547" s="6">
        <v>52</v>
      </c>
      <c r="U1547" s="6">
        <v>96</v>
      </c>
      <c r="V1547" s="6">
        <f>IF(ISERROR(VLOOKUP($S$1547,'TAR FIN'!$A$1:$O$115,15,0)),0,VLOOKUP($S$1547,'TAR FIN'!$A$1:$O$115,15,0))</f>
        <v>0</v>
      </c>
      <c r="W1547" s="6">
        <f>IF(ISERROR(VLOOKUP($T$1547,'TAR FIN'!$A$1:$O$115,15,0)),0,VLOOKUP($T$1547,'TAR FIN'!$A$1:$O$115,15,0))</f>
        <v>407.97</v>
      </c>
      <c r="X1547" s="6">
        <f>IF(ISERROR(VLOOKUP($U$1547,'TAR FIN'!$A$1:$O$115,15,0)),0,VLOOKUP($U$1547,'TAR FIN'!$A$1:$O$115,15,0))</f>
        <v>155.38999999999999</v>
      </c>
      <c r="Y1547" s="6"/>
      <c r="Z1547" s="6">
        <f ca="1">('TUSD BE'!$AM$50+'TUSD BF'!$AM$50+'TUSD CVA'!$AM$50)*(1-CUSTOS!$M$38)</f>
        <v>472.08658309095875</v>
      </c>
      <c r="AA1547" s="6">
        <f>('TE BE'!$AB$33+'TE BF'!$AB$33+'TE CVA'!$AB$33)*(1-CUSTOS!$M$38)</f>
        <v>216.84105597414842</v>
      </c>
      <c r="AB1547" s="6">
        <f>$K$1547*$V$1547</f>
        <v>0</v>
      </c>
      <c r="AC1547" s="6">
        <f>$M$1547*$W$1547</f>
        <v>1037.0597399999999</v>
      </c>
      <c r="AD1547" s="6">
        <f>$O$1547*$X$1547</f>
        <v>395.00137999999993</v>
      </c>
      <c r="AE1547" s="6">
        <f>$K$1547*$Y$1547</f>
        <v>0</v>
      </c>
      <c r="AF1547" s="6">
        <f ca="1">$M$1547*$Z$1547</f>
        <v>1200.044094217217</v>
      </c>
      <c r="AG1547" s="6">
        <f>$O$1547*$AA$1547</f>
        <v>551.20996428628519</v>
      </c>
    </row>
    <row r="1548" spans="1:33" ht="11.25" customHeight="1" x14ac:dyDescent="0.25">
      <c r="A1548" s="4" t="s">
        <v>21</v>
      </c>
      <c r="B1548" s="4" t="s">
        <v>46</v>
      </c>
      <c r="C1548" s="4" t="s">
        <v>23</v>
      </c>
      <c r="D1548" s="4" t="s">
        <v>47</v>
      </c>
      <c r="E1548" s="4" t="s">
        <v>25</v>
      </c>
      <c r="F1548" s="4" t="s">
        <v>25</v>
      </c>
      <c r="G1548" s="4" t="s">
        <v>25</v>
      </c>
      <c r="H1548" s="4" t="s">
        <v>25</v>
      </c>
      <c r="I1548" s="5">
        <v>44562</v>
      </c>
      <c r="J1548" s="6">
        <v>0</v>
      </c>
      <c r="K1548" s="6">
        <v>0</v>
      </c>
      <c r="L1548" s="6">
        <v>3887.748</v>
      </c>
      <c r="M1548" s="6">
        <v>3887.748</v>
      </c>
      <c r="N1548" s="6">
        <v>3887.748</v>
      </c>
      <c r="O1548" s="6">
        <v>3887.748</v>
      </c>
      <c r="P1548" s="6">
        <v>21159</v>
      </c>
      <c r="Q1548" s="4" t="s">
        <v>26</v>
      </c>
      <c r="R1548" s="4">
        <v>0</v>
      </c>
      <c r="S1548" s="6">
        <v>0</v>
      </c>
      <c r="T1548" s="6">
        <v>52</v>
      </c>
      <c r="U1548" s="6">
        <v>96</v>
      </c>
      <c r="V1548" s="6">
        <f>IF(ISERROR(VLOOKUP($S$1548,'TAR FIN'!$A$1:$O$115,15,0)),0,VLOOKUP($S$1548,'TAR FIN'!$A$1:$O$115,15,0))</f>
        <v>0</v>
      </c>
      <c r="W1548" s="6">
        <f>IF(ISERROR(VLOOKUP($T$1548,'TAR FIN'!$A$1:$O$115,15,0)),0,VLOOKUP($T$1548,'TAR FIN'!$A$1:$O$115,15,0))</f>
        <v>407.97</v>
      </c>
      <c r="X1548" s="6">
        <f>IF(ISERROR(VLOOKUP($U$1548,'TAR FIN'!$A$1:$O$115,15,0)),0,VLOOKUP($U$1548,'TAR FIN'!$A$1:$O$115,15,0))</f>
        <v>155.38999999999999</v>
      </c>
      <c r="Y1548" s="6"/>
      <c r="Z1548" s="6">
        <f ca="1">('TUSD BE'!$AM$50+'TUSD BF'!$AM$50+'TUSD CVA'!$AM$50)*(1-CUSTOS!$M$38)</f>
        <v>472.08658309095875</v>
      </c>
      <c r="AA1548" s="6">
        <f>('TE BE'!$AB$33+'TE BF'!$AB$33+'TE CVA'!$AB$33)*(1-CUSTOS!$M$38)</f>
        <v>216.84105597414842</v>
      </c>
      <c r="AB1548" s="6">
        <f>$K$1548*$V$1548</f>
        <v>0</v>
      </c>
      <c r="AC1548" s="6">
        <f>$M$1548*$W$1548</f>
        <v>1586084.5515600001</v>
      </c>
      <c r="AD1548" s="6">
        <f>$O$1548*$X$1548</f>
        <v>604117.16171999997</v>
      </c>
      <c r="AE1548" s="6">
        <f>$K$1548*$Y$1548</f>
        <v>0</v>
      </c>
      <c r="AF1548" s="6">
        <f ca="1">$M$1548*$Z$1548</f>
        <v>1835353.6692387087</v>
      </c>
      <c r="AG1548" s="6">
        <f>$O$1548*$AA$1548</f>
        <v>843023.38168138359</v>
      </c>
    </row>
    <row r="1549" spans="1:33" ht="11.25" customHeight="1" x14ac:dyDescent="0.25">
      <c r="A1549" s="4" t="s">
        <v>27</v>
      </c>
      <c r="B1549" s="4" t="s">
        <v>46</v>
      </c>
      <c r="C1549" s="4" t="s">
        <v>23</v>
      </c>
      <c r="D1549" s="4" t="s">
        <v>47</v>
      </c>
      <c r="E1549" s="4" t="s">
        <v>25</v>
      </c>
      <c r="F1549" s="4" t="s">
        <v>25</v>
      </c>
      <c r="G1549" s="4" t="s">
        <v>25</v>
      </c>
      <c r="H1549" s="4" t="s">
        <v>25</v>
      </c>
      <c r="I1549" s="5">
        <v>44562</v>
      </c>
      <c r="J1549" s="6">
        <v>0</v>
      </c>
      <c r="K1549" s="6">
        <v>0</v>
      </c>
      <c r="L1549" s="6">
        <v>-23.393999999999998</v>
      </c>
      <c r="M1549" s="6">
        <v>-23.393999999999998</v>
      </c>
      <c r="N1549" s="6">
        <v>-23.393999999999998</v>
      </c>
      <c r="O1549" s="6">
        <v>-23.393999999999998</v>
      </c>
      <c r="P1549" s="6">
        <v>-23</v>
      </c>
      <c r="Q1549" s="4" t="s">
        <v>26</v>
      </c>
      <c r="R1549" s="4">
        <v>0</v>
      </c>
      <c r="S1549" s="6">
        <v>0</v>
      </c>
      <c r="T1549" s="6">
        <v>52</v>
      </c>
      <c r="U1549" s="6">
        <v>96</v>
      </c>
      <c r="V1549" s="6">
        <f>IF(ISERROR(VLOOKUP($S$1549,'TAR FIN'!$A$1:$O$115,15,0)),0,VLOOKUP($S$1549,'TAR FIN'!$A$1:$O$115,15,0))</f>
        <v>0</v>
      </c>
      <c r="W1549" s="6">
        <f>IF(ISERROR(VLOOKUP($T$1549,'TAR FIN'!$A$1:$O$115,15,0)),0,VLOOKUP($T$1549,'TAR FIN'!$A$1:$O$115,15,0))</f>
        <v>407.97</v>
      </c>
      <c r="X1549" s="6">
        <f>IF(ISERROR(VLOOKUP($U$1549,'TAR FIN'!$A$1:$O$115,15,0)),0,VLOOKUP($U$1549,'TAR FIN'!$A$1:$O$115,15,0))</f>
        <v>155.38999999999999</v>
      </c>
      <c r="Y1549" s="6"/>
      <c r="Z1549" s="6">
        <f ca="1">('TUSD BE'!$AM$50+'TUSD BF'!$AM$50+'TUSD CVA'!$AM$50)*(1-CUSTOS!$M$38)</f>
        <v>472.08658309095875</v>
      </c>
      <c r="AA1549" s="6">
        <f>('TE BE'!$AB$33+'TE BF'!$AB$33+'TE CVA'!$AB$33)*(1-CUSTOS!$M$38)</f>
        <v>216.84105597414842</v>
      </c>
      <c r="AB1549" s="6">
        <f>$K$1549*$V$1549</f>
        <v>0</v>
      </c>
      <c r="AC1549" s="6">
        <f>$M$1549*$W$1549</f>
        <v>-9544.0501800000002</v>
      </c>
      <c r="AD1549" s="6">
        <f>$O$1549*$X$1549</f>
        <v>-3635.1936599999995</v>
      </c>
      <c r="AE1549" s="6">
        <f>$K$1549*$Y$1549</f>
        <v>0</v>
      </c>
      <c r="AF1549" s="6">
        <f ca="1">$M$1549*$Z$1549</f>
        <v>-11043.993524829888</v>
      </c>
      <c r="AG1549" s="6">
        <f>$O$1549*$AA$1549</f>
        <v>-5072.7796634592278</v>
      </c>
    </row>
    <row r="1550" spans="1:33" ht="11.25" customHeight="1" x14ac:dyDescent="0.25">
      <c r="A1550" s="4" t="s">
        <v>28</v>
      </c>
      <c r="B1550" s="4" t="s">
        <v>46</v>
      </c>
      <c r="C1550" s="4" t="s">
        <v>23</v>
      </c>
      <c r="D1550" s="4" t="s">
        <v>47</v>
      </c>
      <c r="E1550" s="4" t="s">
        <v>25</v>
      </c>
      <c r="F1550" s="4" t="s">
        <v>25</v>
      </c>
      <c r="G1550" s="4" t="s">
        <v>25</v>
      </c>
      <c r="H1550" s="4" t="s">
        <v>25</v>
      </c>
      <c r="I1550" s="5">
        <v>44562</v>
      </c>
      <c r="J1550" s="6">
        <v>0</v>
      </c>
      <c r="K1550" s="6">
        <v>0</v>
      </c>
      <c r="L1550" s="6">
        <v>748.86</v>
      </c>
      <c r="M1550" s="6">
        <v>748.86</v>
      </c>
      <c r="N1550" s="6">
        <v>748.86</v>
      </c>
      <c r="O1550" s="6">
        <v>748.86</v>
      </c>
      <c r="P1550" s="6">
        <v>4864</v>
      </c>
      <c r="Q1550" s="4" t="s">
        <v>26</v>
      </c>
      <c r="R1550" s="4">
        <v>0</v>
      </c>
      <c r="S1550" s="6">
        <v>0</v>
      </c>
      <c r="T1550" s="6">
        <v>52</v>
      </c>
      <c r="U1550" s="6">
        <v>96</v>
      </c>
      <c r="V1550" s="6">
        <f>IF(ISERROR(VLOOKUP($S$1550,'TAR FIN'!$A$1:$O$115,15,0)),0,VLOOKUP($S$1550,'TAR FIN'!$A$1:$O$115,15,0))</f>
        <v>0</v>
      </c>
      <c r="W1550" s="6">
        <f>IF(ISERROR(VLOOKUP($T$1550,'TAR FIN'!$A$1:$O$115,15,0)),0,VLOOKUP($T$1550,'TAR FIN'!$A$1:$O$115,15,0))</f>
        <v>407.97</v>
      </c>
      <c r="X1550" s="6">
        <f>IF(ISERROR(VLOOKUP($U$1550,'TAR FIN'!$A$1:$O$115,15,0)),0,VLOOKUP($U$1550,'TAR FIN'!$A$1:$O$115,15,0))</f>
        <v>155.38999999999999</v>
      </c>
      <c r="Y1550" s="6"/>
      <c r="Z1550" s="6">
        <f ca="1">('TUSD BE'!$AM$50+'TUSD BF'!$AM$50+'TUSD CVA'!$AM$50)*(1-CUSTOS!$M$38)</f>
        <v>472.08658309095875</v>
      </c>
      <c r="AA1550" s="6">
        <f>('TE BE'!$AB$33+'TE BF'!$AB$33+'TE CVA'!$AB$33)*(1-CUSTOS!$M$38)</f>
        <v>216.84105597414842</v>
      </c>
      <c r="AB1550" s="6">
        <f>$K$1550*$V$1550</f>
        <v>0</v>
      </c>
      <c r="AC1550" s="6">
        <f>$M$1550*$W$1550</f>
        <v>305512.4142</v>
      </c>
      <c r="AD1550" s="6">
        <f>$O$1550*$X$1550</f>
        <v>116365.35539999999</v>
      </c>
      <c r="AE1550" s="6">
        <f>$K$1550*$Y$1550</f>
        <v>0</v>
      </c>
      <c r="AF1550" s="6">
        <f ca="1">$M$1550*$Z$1550</f>
        <v>353526.75861349539</v>
      </c>
      <c r="AG1550" s="6">
        <f>$O$1550*$AA$1550</f>
        <v>162383.59317680079</v>
      </c>
    </row>
    <row r="1551" spans="1:33" ht="11.25" customHeight="1" x14ac:dyDescent="0.25">
      <c r="A1551" s="4" t="s">
        <v>29</v>
      </c>
      <c r="B1551" s="4" t="s">
        <v>46</v>
      </c>
      <c r="C1551" s="4" t="s">
        <v>23</v>
      </c>
      <c r="D1551" s="4" t="s">
        <v>47</v>
      </c>
      <c r="E1551" s="4" t="s">
        <v>25</v>
      </c>
      <c r="F1551" s="4" t="s">
        <v>25</v>
      </c>
      <c r="G1551" s="4" t="s">
        <v>25</v>
      </c>
      <c r="H1551" s="4" t="s">
        <v>25</v>
      </c>
      <c r="I1551" s="5">
        <v>44562</v>
      </c>
      <c r="J1551" s="6">
        <v>0</v>
      </c>
      <c r="K1551" s="6">
        <v>0</v>
      </c>
      <c r="L1551" s="6">
        <v>-2.786</v>
      </c>
      <c r="M1551" s="6">
        <v>-2.786</v>
      </c>
      <c r="N1551" s="6">
        <v>-2.786</v>
      </c>
      <c r="O1551" s="6">
        <v>-2.786</v>
      </c>
      <c r="P1551" s="6">
        <v>-20</v>
      </c>
      <c r="Q1551" s="4" t="s">
        <v>26</v>
      </c>
      <c r="R1551" s="4">
        <v>0</v>
      </c>
      <c r="S1551" s="6">
        <v>0</v>
      </c>
      <c r="T1551" s="6">
        <v>52</v>
      </c>
      <c r="U1551" s="6">
        <v>96</v>
      </c>
      <c r="V1551" s="6">
        <f>IF(ISERROR(VLOOKUP($S$1551,'TAR FIN'!$A$1:$O$115,15,0)),0,VLOOKUP($S$1551,'TAR FIN'!$A$1:$O$115,15,0))</f>
        <v>0</v>
      </c>
      <c r="W1551" s="6">
        <f>IF(ISERROR(VLOOKUP($T$1551,'TAR FIN'!$A$1:$O$115,15,0)),0,VLOOKUP($T$1551,'TAR FIN'!$A$1:$O$115,15,0))</f>
        <v>407.97</v>
      </c>
      <c r="X1551" s="6">
        <f>IF(ISERROR(VLOOKUP($U$1551,'TAR FIN'!$A$1:$O$115,15,0)),0,VLOOKUP($U$1551,'TAR FIN'!$A$1:$O$115,15,0))</f>
        <v>155.38999999999999</v>
      </c>
      <c r="Y1551" s="6"/>
      <c r="Z1551" s="6">
        <f ca="1">('TUSD BE'!$AM$50+'TUSD BF'!$AM$50+'TUSD CVA'!$AM$50)*(1-CUSTOS!$M$38)</f>
        <v>472.08658309095875</v>
      </c>
      <c r="AA1551" s="6">
        <f>('TE BE'!$AB$33+'TE BF'!$AB$33+'TE CVA'!$AB$33)*(1-CUSTOS!$M$38)</f>
        <v>216.84105597414842</v>
      </c>
      <c r="AB1551" s="6">
        <f>$K$1551*$V$1551</f>
        <v>0</v>
      </c>
      <c r="AC1551" s="6">
        <f>$M$1551*$W$1551</f>
        <v>-1136.6044200000001</v>
      </c>
      <c r="AD1551" s="6">
        <f>$O$1551*$X$1551</f>
        <v>-432.91653999999994</v>
      </c>
      <c r="AE1551" s="6">
        <f>$K$1551*$Y$1551</f>
        <v>0</v>
      </c>
      <c r="AF1551" s="6">
        <f ca="1">$M$1551*$Z$1551</f>
        <v>-1315.2332204914112</v>
      </c>
      <c r="AG1551" s="6">
        <f>$O$1551*$AA$1551</f>
        <v>-604.11918194397754</v>
      </c>
    </row>
    <row r="1552" spans="1:33" ht="11.25" customHeight="1" x14ac:dyDescent="0.25">
      <c r="A1552" s="4" t="s">
        <v>30</v>
      </c>
      <c r="B1552" s="4" t="s">
        <v>46</v>
      </c>
      <c r="C1552" s="4" t="s">
        <v>23</v>
      </c>
      <c r="D1552" s="4" t="s">
        <v>47</v>
      </c>
      <c r="E1552" s="4" t="s">
        <v>25</v>
      </c>
      <c r="F1552" s="4" t="s">
        <v>25</v>
      </c>
      <c r="G1552" s="4" t="s">
        <v>25</v>
      </c>
      <c r="H1552" s="4" t="s">
        <v>25</v>
      </c>
      <c r="I1552" s="5">
        <v>44562</v>
      </c>
      <c r="J1552" s="6">
        <v>0</v>
      </c>
      <c r="K1552" s="6">
        <v>0</v>
      </c>
      <c r="L1552" s="6">
        <v>39.856999999999999</v>
      </c>
      <c r="M1552" s="6">
        <v>39.856999999999999</v>
      </c>
      <c r="N1552" s="6">
        <v>39.856999999999999</v>
      </c>
      <c r="O1552" s="6">
        <v>39.856999999999999</v>
      </c>
      <c r="P1552" s="6">
        <v>203</v>
      </c>
      <c r="Q1552" s="4" t="s">
        <v>26</v>
      </c>
      <c r="R1552" s="4">
        <v>0</v>
      </c>
      <c r="S1552" s="6">
        <v>0</v>
      </c>
      <c r="T1552" s="6">
        <v>52</v>
      </c>
      <c r="U1552" s="6">
        <v>96</v>
      </c>
      <c r="V1552" s="6">
        <f>IF(ISERROR(VLOOKUP($S$1552,'TAR FIN'!$A$1:$O$115,15,0)),0,VLOOKUP($S$1552,'TAR FIN'!$A$1:$O$115,15,0))</f>
        <v>0</v>
      </c>
      <c r="W1552" s="6">
        <f>IF(ISERROR(VLOOKUP($T$1552,'TAR FIN'!$A$1:$O$115,15,0)),0,VLOOKUP($T$1552,'TAR FIN'!$A$1:$O$115,15,0))</f>
        <v>407.97</v>
      </c>
      <c r="X1552" s="6">
        <f>IF(ISERROR(VLOOKUP($U$1552,'TAR FIN'!$A$1:$O$115,15,0)),0,VLOOKUP($U$1552,'TAR FIN'!$A$1:$O$115,15,0))</f>
        <v>155.38999999999999</v>
      </c>
      <c r="Y1552" s="6"/>
      <c r="Z1552" s="6">
        <f ca="1">('TUSD BE'!$AM$50+'TUSD BF'!$AM$50+'TUSD CVA'!$AM$50)*(1-CUSTOS!$M$38)</f>
        <v>472.08658309095875</v>
      </c>
      <c r="AA1552" s="6">
        <f>('TE BE'!$AB$33+'TE BF'!$AB$33+'TE CVA'!$AB$33)*(1-CUSTOS!$M$38)</f>
        <v>216.84105597414842</v>
      </c>
      <c r="AB1552" s="6">
        <f>$K$1552*$V$1552</f>
        <v>0</v>
      </c>
      <c r="AC1552" s="6">
        <f>$M$1552*$W$1552</f>
        <v>16260.460290000001</v>
      </c>
      <c r="AD1552" s="6">
        <f>$O$1552*$X$1552</f>
        <v>6193.3792299999996</v>
      </c>
      <c r="AE1552" s="6">
        <f>$K$1552*$Y$1552</f>
        <v>0</v>
      </c>
      <c r="AF1552" s="6">
        <f ca="1">$M$1552*$Z$1552</f>
        <v>18815.954942256343</v>
      </c>
      <c r="AG1552" s="6">
        <f>$O$1552*$AA$1552</f>
        <v>8642.633967961634</v>
      </c>
    </row>
    <row r="1553" spans="1:33" ht="11.25" customHeight="1" x14ac:dyDescent="0.25">
      <c r="A1553" s="4" t="s">
        <v>30</v>
      </c>
      <c r="B1553" s="4" t="s">
        <v>46</v>
      </c>
      <c r="C1553" s="4" t="s">
        <v>23</v>
      </c>
      <c r="D1553" s="4" t="s">
        <v>47</v>
      </c>
      <c r="E1553" s="4" t="s">
        <v>25</v>
      </c>
      <c r="F1553" s="4" t="s">
        <v>25</v>
      </c>
      <c r="G1553" s="4" t="s">
        <v>25</v>
      </c>
      <c r="H1553" s="4" t="s">
        <v>25</v>
      </c>
      <c r="I1553" s="5">
        <v>44562</v>
      </c>
      <c r="J1553" s="6">
        <v>0</v>
      </c>
      <c r="K1553" s="6">
        <v>0</v>
      </c>
      <c r="L1553" s="6">
        <v>-1.012</v>
      </c>
      <c r="M1553" s="6">
        <v>-1.012</v>
      </c>
      <c r="N1553" s="6">
        <v>-1.012</v>
      </c>
      <c r="O1553" s="6">
        <v>-1.012</v>
      </c>
      <c r="P1553" s="6">
        <v>0</v>
      </c>
      <c r="Q1553" s="4" t="s">
        <v>26</v>
      </c>
      <c r="R1553" s="4">
        <v>0</v>
      </c>
      <c r="S1553" s="6">
        <v>0</v>
      </c>
      <c r="T1553" s="6">
        <v>52</v>
      </c>
      <c r="U1553" s="6">
        <v>96</v>
      </c>
      <c r="V1553" s="6">
        <f>IF(ISERROR(VLOOKUP($S$1553,'TAR FIN'!$A$1:$O$115,15,0)),0,VLOOKUP($S$1553,'TAR FIN'!$A$1:$O$115,15,0))</f>
        <v>0</v>
      </c>
      <c r="W1553" s="6">
        <f>IF(ISERROR(VLOOKUP($T$1553,'TAR FIN'!$A$1:$O$115,15,0)),0,VLOOKUP($T$1553,'TAR FIN'!$A$1:$O$115,15,0))</f>
        <v>407.97</v>
      </c>
      <c r="X1553" s="6">
        <f>IF(ISERROR(VLOOKUP($U$1553,'TAR FIN'!$A$1:$O$115,15,0)),0,VLOOKUP($U$1553,'TAR FIN'!$A$1:$O$115,15,0))</f>
        <v>155.38999999999999</v>
      </c>
      <c r="Y1553" s="6"/>
      <c r="Z1553" s="6">
        <f ca="1">('TUSD BE'!$AM$50+'TUSD BF'!$AM$50+'TUSD CVA'!$AM$50)*(1-CUSTOS!$M$38)</f>
        <v>472.08658309095875</v>
      </c>
      <c r="AA1553" s="6">
        <f>('TE BE'!$AB$33+'TE BF'!$AB$33+'TE CVA'!$AB$33)*(1-CUSTOS!$M$38)</f>
        <v>216.84105597414842</v>
      </c>
      <c r="AB1553" s="6">
        <f>$K$1553*$V$1553</f>
        <v>0</v>
      </c>
      <c r="AC1553" s="6">
        <f>$M$1553*$W$1553</f>
        <v>-412.86564000000004</v>
      </c>
      <c r="AD1553" s="6">
        <f>$O$1553*$X$1553</f>
        <v>-157.25467999999998</v>
      </c>
      <c r="AE1553" s="6">
        <f>$K$1553*$Y$1553</f>
        <v>0</v>
      </c>
      <c r="AF1553" s="6">
        <f ca="1">$M$1553*$Z$1553</f>
        <v>-477.75162208805028</v>
      </c>
      <c r="AG1553" s="6">
        <f>$O$1553*$AA$1553</f>
        <v>-219.44314864583819</v>
      </c>
    </row>
    <row r="1554" spans="1:33" ht="11.25" customHeight="1" x14ac:dyDescent="0.25">
      <c r="A1554" s="4" t="s">
        <v>21</v>
      </c>
      <c r="B1554" s="4" t="s">
        <v>46</v>
      </c>
      <c r="C1554" s="4" t="s">
        <v>23</v>
      </c>
      <c r="D1554" s="4" t="s">
        <v>47</v>
      </c>
      <c r="E1554" s="4" t="s">
        <v>25</v>
      </c>
      <c r="F1554" s="4" t="s">
        <v>25</v>
      </c>
      <c r="G1554" s="4" t="s">
        <v>25</v>
      </c>
      <c r="H1554" s="4" t="s">
        <v>25</v>
      </c>
      <c r="I1554" s="5">
        <v>44593</v>
      </c>
      <c r="J1554" s="6">
        <v>0</v>
      </c>
      <c r="K1554" s="6">
        <v>0</v>
      </c>
      <c r="L1554" s="6">
        <v>3613.3420000000001</v>
      </c>
      <c r="M1554" s="6">
        <v>3613.3420000000001</v>
      </c>
      <c r="N1554" s="6">
        <v>3613.3420000000001</v>
      </c>
      <c r="O1554" s="6">
        <v>3613.3420000000001</v>
      </c>
      <c r="P1554" s="6">
        <v>21006</v>
      </c>
      <c r="Q1554" s="4" t="s">
        <v>26</v>
      </c>
      <c r="R1554" s="4">
        <v>0</v>
      </c>
      <c r="S1554" s="6">
        <v>0</v>
      </c>
      <c r="T1554" s="6">
        <v>52</v>
      </c>
      <c r="U1554" s="6">
        <v>96</v>
      </c>
      <c r="V1554" s="6">
        <f>IF(ISERROR(VLOOKUP($S$1554,'TAR FIN'!$A$1:$O$115,15,0)),0,VLOOKUP($S$1554,'TAR FIN'!$A$1:$O$115,15,0))</f>
        <v>0</v>
      </c>
      <c r="W1554" s="6">
        <f>IF(ISERROR(VLOOKUP($T$1554,'TAR FIN'!$A$1:$O$115,15,0)),0,VLOOKUP($T$1554,'TAR FIN'!$A$1:$O$115,15,0))</f>
        <v>407.97</v>
      </c>
      <c r="X1554" s="6">
        <f>IF(ISERROR(VLOOKUP($U$1554,'TAR FIN'!$A$1:$O$115,15,0)),0,VLOOKUP($U$1554,'TAR FIN'!$A$1:$O$115,15,0))</f>
        <v>155.38999999999999</v>
      </c>
      <c r="Y1554" s="6"/>
      <c r="Z1554" s="6">
        <f ca="1">('TUSD BE'!$AM$50+'TUSD BF'!$AM$50+'TUSD CVA'!$AM$50)*(1-CUSTOS!$M$38)</f>
        <v>472.08658309095875</v>
      </c>
      <c r="AA1554" s="6">
        <f>('TE BE'!$AB$33+'TE BF'!$AB$33+'TE CVA'!$AB$33)*(1-CUSTOS!$M$38)</f>
        <v>216.84105597414842</v>
      </c>
      <c r="AB1554" s="6">
        <f>$K$1554*$V$1554</f>
        <v>0</v>
      </c>
      <c r="AC1554" s="6">
        <f>$M$1554*$W$1554</f>
        <v>1474135.1357400001</v>
      </c>
      <c r="AD1554" s="6">
        <f>$O$1554*$X$1554</f>
        <v>561477.21337999997</v>
      </c>
      <c r="AE1554" s="6">
        <f>$K$1554*$Y$1554</f>
        <v>0</v>
      </c>
      <c r="AF1554" s="6">
        <f ca="1">$M$1554*$Z$1554</f>
        <v>1705810.278319051</v>
      </c>
      <c r="AG1554" s="6">
        <f>$O$1554*$AA$1554</f>
        <v>783520.89487574145</v>
      </c>
    </row>
    <row r="1555" spans="1:33" ht="11.25" customHeight="1" x14ac:dyDescent="0.25">
      <c r="A1555" s="4" t="s">
        <v>27</v>
      </c>
      <c r="B1555" s="4" t="s">
        <v>46</v>
      </c>
      <c r="C1555" s="4" t="s">
        <v>23</v>
      </c>
      <c r="D1555" s="4" t="s">
        <v>47</v>
      </c>
      <c r="E1555" s="4" t="s">
        <v>25</v>
      </c>
      <c r="F1555" s="4" t="s">
        <v>25</v>
      </c>
      <c r="G1555" s="4" t="s">
        <v>25</v>
      </c>
      <c r="H1555" s="4" t="s">
        <v>25</v>
      </c>
      <c r="I1555" s="5">
        <v>44593</v>
      </c>
      <c r="J1555" s="6">
        <v>0</v>
      </c>
      <c r="K1555" s="6">
        <v>0</v>
      </c>
      <c r="L1555" s="6">
        <v>-33.165999999999997</v>
      </c>
      <c r="M1555" s="6">
        <v>-33.165999999999997</v>
      </c>
      <c r="N1555" s="6">
        <v>-33.165999999999997</v>
      </c>
      <c r="O1555" s="6">
        <v>-33.165999999999997</v>
      </c>
      <c r="P1555" s="6">
        <v>-4</v>
      </c>
      <c r="Q1555" s="4" t="s">
        <v>26</v>
      </c>
      <c r="R1555" s="4">
        <v>0</v>
      </c>
      <c r="S1555" s="6">
        <v>0</v>
      </c>
      <c r="T1555" s="6">
        <v>52</v>
      </c>
      <c r="U1555" s="6">
        <v>96</v>
      </c>
      <c r="V1555" s="6">
        <f>IF(ISERROR(VLOOKUP($S$1555,'TAR FIN'!$A$1:$O$115,15,0)),0,VLOOKUP($S$1555,'TAR FIN'!$A$1:$O$115,15,0))</f>
        <v>0</v>
      </c>
      <c r="W1555" s="6">
        <f>IF(ISERROR(VLOOKUP($T$1555,'TAR FIN'!$A$1:$O$115,15,0)),0,VLOOKUP($T$1555,'TAR FIN'!$A$1:$O$115,15,0))</f>
        <v>407.97</v>
      </c>
      <c r="X1555" s="6">
        <f>IF(ISERROR(VLOOKUP($U$1555,'TAR FIN'!$A$1:$O$115,15,0)),0,VLOOKUP($U$1555,'TAR FIN'!$A$1:$O$115,15,0))</f>
        <v>155.38999999999999</v>
      </c>
      <c r="Y1555" s="6"/>
      <c r="Z1555" s="6">
        <f ca="1">('TUSD BE'!$AM$50+'TUSD BF'!$AM$50+'TUSD CVA'!$AM$50)*(1-CUSTOS!$M$38)</f>
        <v>472.08658309095875</v>
      </c>
      <c r="AA1555" s="6">
        <f>('TE BE'!$AB$33+'TE BF'!$AB$33+'TE CVA'!$AB$33)*(1-CUSTOS!$M$38)</f>
        <v>216.84105597414842</v>
      </c>
      <c r="AB1555" s="6">
        <f>$K$1555*$V$1555</f>
        <v>0</v>
      </c>
      <c r="AC1555" s="6">
        <f>$M$1555*$W$1555</f>
        <v>-13530.73302</v>
      </c>
      <c r="AD1555" s="6">
        <f>$O$1555*$X$1555</f>
        <v>-5153.6647399999993</v>
      </c>
      <c r="AE1555" s="6">
        <f>$K$1555*$Y$1555</f>
        <v>0</v>
      </c>
      <c r="AF1555" s="6">
        <f ca="1">$M$1555*$Z$1555</f>
        <v>-15657.223614794737</v>
      </c>
      <c r="AG1555" s="6">
        <f>$O$1555*$AA$1555</f>
        <v>-7191.7504624386056</v>
      </c>
    </row>
    <row r="1556" spans="1:33" ht="11.25" customHeight="1" x14ac:dyDescent="0.25">
      <c r="A1556" s="4" t="s">
        <v>28</v>
      </c>
      <c r="B1556" s="4" t="s">
        <v>46</v>
      </c>
      <c r="C1556" s="4" t="s">
        <v>23</v>
      </c>
      <c r="D1556" s="4" t="s">
        <v>47</v>
      </c>
      <c r="E1556" s="4" t="s">
        <v>25</v>
      </c>
      <c r="F1556" s="4" t="s">
        <v>25</v>
      </c>
      <c r="G1556" s="4" t="s">
        <v>25</v>
      </c>
      <c r="H1556" s="4" t="s">
        <v>25</v>
      </c>
      <c r="I1556" s="5">
        <v>44593</v>
      </c>
      <c r="J1556" s="6">
        <v>0</v>
      </c>
      <c r="K1556" s="6">
        <v>0</v>
      </c>
      <c r="L1556" s="6">
        <v>702.58799999999997</v>
      </c>
      <c r="M1556" s="6">
        <v>702.58799999999997</v>
      </c>
      <c r="N1556" s="6">
        <v>702.58799999999997</v>
      </c>
      <c r="O1556" s="6">
        <v>702.58799999999997</v>
      </c>
      <c r="P1556" s="6">
        <v>4804</v>
      </c>
      <c r="Q1556" s="4" t="s">
        <v>26</v>
      </c>
      <c r="R1556" s="4">
        <v>0</v>
      </c>
      <c r="S1556" s="6">
        <v>0</v>
      </c>
      <c r="T1556" s="6">
        <v>52</v>
      </c>
      <c r="U1556" s="6">
        <v>96</v>
      </c>
      <c r="V1556" s="6">
        <f>IF(ISERROR(VLOOKUP($S$1556,'TAR FIN'!$A$1:$O$115,15,0)),0,VLOOKUP($S$1556,'TAR FIN'!$A$1:$O$115,15,0))</f>
        <v>0</v>
      </c>
      <c r="W1556" s="6">
        <f>IF(ISERROR(VLOOKUP($T$1556,'TAR FIN'!$A$1:$O$115,15,0)),0,VLOOKUP($T$1556,'TAR FIN'!$A$1:$O$115,15,0))</f>
        <v>407.97</v>
      </c>
      <c r="X1556" s="6">
        <f>IF(ISERROR(VLOOKUP($U$1556,'TAR FIN'!$A$1:$O$115,15,0)),0,VLOOKUP($U$1556,'TAR FIN'!$A$1:$O$115,15,0))</f>
        <v>155.38999999999999</v>
      </c>
      <c r="Y1556" s="6"/>
      <c r="Z1556" s="6">
        <f ca="1">('TUSD BE'!$AM$50+'TUSD BF'!$AM$50+'TUSD CVA'!$AM$50)*(1-CUSTOS!$M$38)</f>
        <v>472.08658309095875</v>
      </c>
      <c r="AA1556" s="6">
        <f>('TE BE'!$AB$33+'TE BF'!$AB$33+'TE CVA'!$AB$33)*(1-CUSTOS!$M$38)</f>
        <v>216.84105597414842</v>
      </c>
      <c r="AB1556" s="6">
        <f>$K$1556*$V$1556</f>
        <v>0</v>
      </c>
      <c r="AC1556" s="6">
        <f>$M$1556*$W$1556</f>
        <v>286634.82636000001</v>
      </c>
      <c r="AD1556" s="6">
        <f>$O$1556*$X$1556</f>
        <v>109175.14931999998</v>
      </c>
      <c r="AE1556" s="6">
        <f>$K$1556*$Y$1556</f>
        <v>0</v>
      </c>
      <c r="AF1556" s="6">
        <f ca="1">$M$1556*$Z$1556</f>
        <v>331682.36824071052</v>
      </c>
      <c r="AG1556" s="6">
        <f>$O$1556*$AA$1556</f>
        <v>152349.92383476498</v>
      </c>
    </row>
    <row r="1557" spans="1:33" ht="11.25" customHeight="1" x14ac:dyDescent="0.25">
      <c r="A1557" s="4" t="s">
        <v>29</v>
      </c>
      <c r="B1557" s="4" t="s">
        <v>46</v>
      </c>
      <c r="C1557" s="4" t="s">
        <v>23</v>
      </c>
      <c r="D1557" s="4" t="s">
        <v>47</v>
      </c>
      <c r="E1557" s="4" t="s">
        <v>25</v>
      </c>
      <c r="F1557" s="4" t="s">
        <v>25</v>
      </c>
      <c r="G1557" s="4" t="s">
        <v>25</v>
      </c>
      <c r="H1557" s="4" t="s">
        <v>25</v>
      </c>
      <c r="I1557" s="5">
        <v>44593</v>
      </c>
      <c r="J1557" s="6">
        <v>0</v>
      </c>
      <c r="K1557" s="6">
        <v>0</v>
      </c>
      <c r="L1557" s="6">
        <v>-5.923</v>
      </c>
      <c r="M1557" s="6">
        <v>-5.923</v>
      </c>
      <c r="N1557" s="6">
        <v>-5.923</v>
      </c>
      <c r="O1557" s="6">
        <v>-5.923</v>
      </c>
      <c r="P1557" s="6">
        <v>-3</v>
      </c>
      <c r="Q1557" s="4" t="s">
        <v>26</v>
      </c>
      <c r="R1557" s="4">
        <v>0</v>
      </c>
      <c r="S1557" s="6">
        <v>0</v>
      </c>
      <c r="T1557" s="6">
        <v>52</v>
      </c>
      <c r="U1557" s="6">
        <v>96</v>
      </c>
      <c r="V1557" s="6">
        <f>IF(ISERROR(VLOOKUP($S$1557,'TAR FIN'!$A$1:$O$115,15,0)),0,VLOOKUP($S$1557,'TAR FIN'!$A$1:$O$115,15,0))</f>
        <v>0</v>
      </c>
      <c r="W1557" s="6">
        <f>IF(ISERROR(VLOOKUP($T$1557,'TAR FIN'!$A$1:$O$115,15,0)),0,VLOOKUP($T$1557,'TAR FIN'!$A$1:$O$115,15,0))</f>
        <v>407.97</v>
      </c>
      <c r="X1557" s="6">
        <f>IF(ISERROR(VLOOKUP($U$1557,'TAR FIN'!$A$1:$O$115,15,0)),0,VLOOKUP($U$1557,'TAR FIN'!$A$1:$O$115,15,0))</f>
        <v>155.38999999999999</v>
      </c>
      <c r="Y1557" s="6"/>
      <c r="Z1557" s="6">
        <f ca="1">('TUSD BE'!$AM$50+'TUSD BF'!$AM$50+'TUSD CVA'!$AM$50)*(1-CUSTOS!$M$38)</f>
        <v>472.08658309095875</v>
      </c>
      <c r="AA1557" s="6">
        <f>('TE BE'!$AB$33+'TE BF'!$AB$33+'TE CVA'!$AB$33)*(1-CUSTOS!$M$38)</f>
        <v>216.84105597414842</v>
      </c>
      <c r="AB1557" s="6">
        <f>$K$1557*$V$1557</f>
        <v>0</v>
      </c>
      <c r="AC1557" s="6">
        <f>$M$1557*$W$1557</f>
        <v>-2416.4063100000003</v>
      </c>
      <c r="AD1557" s="6">
        <f>$O$1557*$X$1557</f>
        <v>-920.37496999999996</v>
      </c>
      <c r="AE1557" s="6">
        <f>$K$1557*$Y$1557</f>
        <v>0</v>
      </c>
      <c r="AF1557" s="6">
        <f ca="1">$M$1557*$Z$1557</f>
        <v>-2796.1688316477489</v>
      </c>
      <c r="AG1557" s="6">
        <f>$O$1557*$AA$1557</f>
        <v>-1284.3495745348812</v>
      </c>
    </row>
    <row r="1558" spans="1:33" ht="11.25" customHeight="1" x14ac:dyDescent="0.25">
      <c r="A1558" s="4" t="s">
        <v>30</v>
      </c>
      <c r="B1558" s="4" t="s">
        <v>46</v>
      </c>
      <c r="C1558" s="4" t="s">
        <v>23</v>
      </c>
      <c r="D1558" s="4" t="s">
        <v>47</v>
      </c>
      <c r="E1558" s="4" t="s">
        <v>25</v>
      </c>
      <c r="F1558" s="4" t="s">
        <v>25</v>
      </c>
      <c r="G1558" s="4" t="s">
        <v>25</v>
      </c>
      <c r="H1558" s="4" t="s">
        <v>25</v>
      </c>
      <c r="I1558" s="5">
        <v>44593</v>
      </c>
      <c r="J1558" s="6">
        <v>0</v>
      </c>
      <c r="K1558" s="6">
        <v>0</v>
      </c>
      <c r="L1558" s="6">
        <v>36.982999999999997</v>
      </c>
      <c r="M1558" s="6">
        <v>36.982999999999997</v>
      </c>
      <c r="N1558" s="6">
        <v>36.982999999999997</v>
      </c>
      <c r="O1558" s="6">
        <v>36.982999999999997</v>
      </c>
      <c r="P1558" s="6">
        <v>217</v>
      </c>
      <c r="Q1558" s="4" t="s">
        <v>26</v>
      </c>
      <c r="R1558" s="4">
        <v>0</v>
      </c>
      <c r="S1558" s="6">
        <v>0</v>
      </c>
      <c r="T1558" s="6">
        <v>52</v>
      </c>
      <c r="U1558" s="6">
        <v>96</v>
      </c>
      <c r="V1558" s="6">
        <f>IF(ISERROR(VLOOKUP($S$1558,'TAR FIN'!$A$1:$O$115,15,0)),0,VLOOKUP($S$1558,'TAR FIN'!$A$1:$O$115,15,0))</f>
        <v>0</v>
      </c>
      <c r="W1558" s="6">
        <f>IF(ISERROR(VLOOKUP($T$1558,'TAR FIN'!$A$1:$O$115,15,0)),0,VLOOKUP($T$1558,'TAR FIN'!$A$1:$O$115,15,0))</f>
        <v>407.97</v>
      </c>
      <c r="X1558" s="6">
        <f>IF(ISERROR(VLOOKUP($U$1558,'TAR FIN'!$A$1:$O$115,15,0)),0,VLOOKUP($U$1558,'TAR FIN'!$A$1:$O$115,15,0))</f>
        <v>155.38999999999999</v>
      </c>
      <c r="Y1558" s="6"/>
      <c r="Z1558" s="6">
        <f ca="1">('TUSD BE'!$AM$50+'TUSD BF'!$AM$50+'TUSD CVA'!$AM$50)*(1-CUSTOS!$M$38)</f>
        <v>472.08658309095875</v>
      </c>
      <c r="AA1558" s="6">
        <f>('TE BE'!$AB$33+'TE BF'!$AB$33+'TE CVA'!$AB$33)*(1-CUSTOS!$M$38)</f>
        <v>216.84105597414842</v>
      </c>
      <c r="AB1558" s="6">
        <f>$K$1558*$V$1558</f>
        <v>0</v>
      </c>
      <c r="AC1558" s="6">
        <f>$M$1558*$W$1558</f>
        <v>15087.95451</v>
      </c>
      <c r="AD1558" s="6">
        <f>$O$1558*$X$1558</f>
        <v>5746.7883699999993</v>
      </c>
      <c r="AE1558" s="6">
        <f>$K$1558*$Y$1558</f>
        <v>0</v>
      </c>
      <c r="AF1558" s="6">
        <f ca="1">$M$1558*$Z$1558</f>
        <v>17459.178102452926</v>
      </c>
      <c r="AG1558" s="6">
        <f>$O$1558*$AA$1558</f>
        <v>8019.4327730919304</v>
      </c>
    </row>
    <row r="1559" spans="1:33" ht="11.25" customHeight="1" x14ac:dyDescent="0.25">
      <c r="A1559" s="4" t="s">
        <v>30</v>
      </c>
      <c r="B1559" s="4" t="s">
        <v>46</v>
      </c>
      <c r="C1559" s="4" t="s">
        <v>23</v>
      </c>
      <c r="D1559" s="4" t="s">
        <v>47</v>
      </c>
      <c r="E1559" s="4" t="s">
        <v>25</v>
      </c>
      <c r="F1559" s="4" t="s">
        <v>25</v>
      </c>
      <c r="G1559" s="4" t="s">
        <v>25</v>
      </c>
      <c r="H1559" s="4" t="s">
        <v>25</v>
      </c>
      <c r="I1559" s="5">
        <v>44593</v>
      </c>
      <c r="J1559" s="6">
        <v>0</v>
      </c>
      <c r="K1559" s="6">
        <v>0</v>
      </c>
      <c r="L1559" s="6">
        <v>-0.374</v>
      </c>
      <c r="M1559" s="6">
        <v>-0.374</v>
      </c>
      <c r="N1559" s="6">
        <v>-0.374</v>
      </c>
      <c r="O1559" s="6">
        <v>-0.374</v>
      </c>
      <c r="P1559" s="6">
        <v>0</v>
      </c>
      <c r="Q1559" s="4" t="s">
        <v>26</v>
      </c>
      <c r="R1559" s="4">
        <v>0</v>
      </c>
      <c r="S1559" s="6">
        <v>0</v>
      </c>
      <c r="T1559" s="6">
        <v>52</v>
      </c>
      <c r="U1559" s="6">
        <v>96</v>
      </c>
      <c r="V1559" s="6">
        <f>IF(ISERROR(VLOOKUP($S$1559,'TAR FIN'!$A$1:$O$115,15,0)),0,VLOOKUP($S$1559,'TAR FIN'!$A$1:$O$115,15,0))</f>
        <v>0</v>
      </c>
      <c r="W1559" s="6">
        <f>IF(ISERROR(VLOOKUP($T$1559,'TAR FIN'!$A$1:$O$115,15,0)),0,VLOOKUP($T$1559,'TAR FIN'!$A$1:$O$115,15,0))</f>
        <v>407.97</v>
      </c>
      <c r="X1559" s="6">
        <f>IF(ISERROR(VLOOKUP($U$1559,'TAR FIN'!$A$1:$O$115,15,0)),0,VLOOKUP($U$1559,'TAR FIN'!$A$1:$O$115,15,0))</f>
        <v>155.38999999999999</v>
      </c>
      <c r="Y1559" s="6"/>
      <c r="Z1559" s="6">
        <f ca="1">('TUSD BE'!$AM$50+'TUSD BF'!$AM$50+'TUSD CVA'!$AM$50)*(1-CUSTOS!$M$38)</f>
        <v>472.08658309095875</v>
      </c>
      <c r="AA1559" s="6">
        <f>('TE BE'!$AB$33+'TE BF'!$AB$33+'TE CVA'!$AB$33)*(1-CUSTOS!$M$38)</f>
        <v>216.84105597414842</v>
      </c>
      <c r="AB1559" s="6">
        <f>$K$1559*$V$1559</f>
        <v>0</v>
      </c>
      <c r="AC1559" s="6">
        <f>$M$1559*$W$1559</f>
        <v>-152.58078</v>
      </c>
      <c r="AD1559" s="6">
        <f>$O$1559*$X$1559</f>
        <v>-58.115859999999998</v>
      </c>
      <c r="AE1559" s="6">
        <f>$K$1559*$Y$1559</f>
        <v>0</v>
      </c>
      <c r="AF1559" s="6">
        <f ca="1">$M$1559*$Z$1559</f>
        <v>-176.56038207601858</v>
      </c>
      <c r="AG1559" s="6">
        <f>$O$1559*$AA$1559</f>
        <v>-81.098554934331503</v>
      </c>
    </row>
    <row r="1560" spans="1:33" ht="11.25" customHeight="1" x14ac:dyDescent="0.25">
      <c r="A1560" s="4" t="s">
        <v>21</v>
      </c>
      <c r="B1560" s="4" t="s">
        <v>46</v>
      </c>
      <c r="C1560" s="4" t="s">
        <v>23</v>
      </c>
      <c r="D1560" s="4" t="s">
        <v>47</v>
      </c>
      <c r="E1560" s="4" t="s">
        <v>25</v>
      </c>
      <c r="F1560" s="4" t="s">
        <v>25</v>
      </c>
      <c r="G1560" s="4" t="s">
        <v>25</v>
      </c>
      <c r="H1560" s="4" t="s">
        <v>25</v>
      </c>
      <c r="I1560" s="5">
        <v>44621</v>
      </c>
      <c r="J1560" s="6">
        <v>0</v>
      </c>
      <c r="K1560" s="6">
        <v>0</v>
      </c>
      <c r="L1560" s="6">
        <v>2898.288</v>
      </c>
      <c r="M1560" s="6">
        <v>2898.288</v>
      </c>
      <c r="N1560" s="6">
        <v>2898.288</v>
      </c>
      <c r="O1560" s="6">
        <v>2898.288</v>
      </c>
      <c r="P1560" s="6">
        <v>15380</v>
      </c>
      <c r="Q1560" s="4" t="s">
        <v>26</v>
      </c>
      <c r="R1560" s="4">
        <v>0</v>
      </c>
      <c r="S1560" s="6">
        <v>0</v>
      </c>
      <c r="T1560" s="6">
        <v>52</v>
      </c>
      <c r="U1560" s="6">
        <v>96</v>
      </c>
      <c r="V1560" s="6">
        <f>IF(ISERROR(VLOOKUP($S$1560,'TAR FIN'!$A$1:$O$115,15,0)),0,VLOOKUP($S$1560,'TAR FIN'!$A$1:$O$115,15,0))</f>
        <v>0</v>
      </c>
      <c r="W1560" s="6">
        <f>IF(ISERROR(VLOOKUP($T$1560,'TAR FIN'!$A$1:$O$115,15,0)),0,VLOOKUP($T$1560,'TAR FIN'!$A$1:$O$115,15,0))</f>
        <v>407.97</v>
      </c>
      <c r="X1560" s="6">
        <f>IF(ISERROR(VLOOKUP($U$1560,'TAR FIN'!$A$1:$O$115,15,0)),0,VLOOKUP($U$1560,'TAR FIN'!$A$1:$O$115,15,0))</f>
        <v>155.38999999999999</v>
      </c>
      <c r="Y1560" s="6"/>
      <c r="Z1560" s="6">
        <f ca="1">('TUSD BE'!$AM$50+'TUSD BF'!$AM$50+'TUSD CVA'!$AM$50)*(1-CUSTOS!$M$38)</f>
        <v>472.08658309095875</v>
      </c>
      <c r="AA1560" s="6">
        <f>('TE BE'!$AB$33+'TE BF'!$AB$33+'TE CVA'!$AB$33)*(1-CUSTOS!$M$38)</f>
        <v>216.84105597414842</v>
      </c>
      <c r="AB1560" s="6">
        <f>$K$1560*$V$1560</f>
        <v>0</v>
      </c>
      <c r="AC1560" s="6">
        <f>$M$1560*$W$1560</f>
        <v>1182414.5553600001</v>
      </c>
      <c r="AD1560" s="6">
        <f>$O$1560*$X$1560</f>
        <v>450364.97231999994</v>
      </c>
      <c r="AE1560" s="6">
        <f>$K$1560*$Y$1560</f>
        <v>0</v>
      </c>
      <c r="AF1560" s="6">
        <f ca="1">$M$1560*$Z$1560</f>
        <v>1368242.8787335288</v>
      </c>
      <c r="AG1560" s="6">
        <f>$O$1560*$AA$1560</f>
        <v>628467.83043720271</v>
      </c>
    </row>
    <row r="1561" spans="1:33" ht="11.25" customHeight="1" x14ac:dyDescent="0.25">
      <c r="A1561" s="4" t="s">
        <v>27</v>
      </c>
      <c r="B1561" s="4" t="s">
        <v>46</v>
      </c>
      <c r="C1561" s="4" t="s">
        <v>23</v>
      </c>
      <c r="D1561" s="4" t="s">
        <v>47</v>
      </c>
      <c r="E1561" s="4" t="s">
        <v>25</v>
      </c>
      <c r="F1561" s="4" t="s">
        <v>25</v>
      </c>
      <c r="G1561" s="4" t="s">
        <v>25</v>
      </c>
      <c r="H1561" s="4" t="s">
        <v>25</v>
      </c>
      <c r="I1561" s="5">
        <v>44621</v>
      </c>
      <c r="J1561" s="6">
        <v>0</v>
      </c>
      <c r="K1561" s="6">
        <v>0</v>
      </c>
      <c r="L1561" s="6">
        <v>-52.097000000000001</v>
      </c>
      <c r="M1561" s="6">
        <v>-52.097000000000001</v>
      </c>
      <c r="N1561" s="6">
        <v>-52.097000000000001</v>
      </c>
      <c r="O1561" s="6">
        <v>-52.097000000000001</v>
      </c>
      <c r="P1561" s="6">
        <v>-33</v>
      </c>
      <c r="Q1561" s="4" t="s">
        <v>26</v>
      </c>
      <c r="R1561" s="4">
        <v>0</v>
      </c>
      <c r="S1561" s="6">
        <v>0</v>
      </c>
      <c r="T1561" s="6">
        <v>52</v>
      </c>
      <c r="U1561" s="6">
        <v>96</v>
      </c>
      <c r="V1561" s="6">
        <f>IF(ISERROR(VLOOKUP($S$1561,'TAR FIN'!$A$1:$O$115,15,0)),0,VLOOKUP($S$1561,'TAR FIN'!$A$1:$O$115,15,0))</f>
        <v>0</v>
      </c>
      <c r="W1561" s="6">
        <f>IF(ISERROR(VLOOKUP($T$1561,'TAR FIN'!$A$1:$O$115,15,0)),0,VLOOKUP($T$1561,'TAR FIN'!$A$1:$O$115,15,0))</f>
        <v>407.97</v>
      </c>
      <c r="X1561" s="6">
        <f>IF(ISERROR(VLOOKUP($U$1561,'TAR FIN'!$A$1:$O$115,15,0)),0,VLOOKUP($U$1561,'TAR FIN'!$A$1:$O$115,15,0))</f>
        <v>155.38999999999999</v>
      </c>
      <c r="Y1561" s="6"/>
      <c r="Z1561" s="6">
        <f ca="1">('TUSD BE'!$AM$50+'TUSD BF'!$AM$50+'TUSD CVA'!$AM$50)*(1-CUSTOS!$M$38)</f>
        <v>472.08658309095875</v>
      </c>
      <c r="AA1561" s="6">
        <f>('TE BE'!$AB$33+'TE BF'!$AB$33+'TE CVA'!$AB$33)*(1-CUSTOS!$M$38)</f>
        <v>216.84105597414842</v>
      </c>
      <c r="AB1561" s="6">
        <f>$K$1561*$V$1561</f>
        <v>0</v>
      </c>
      <c r="AC1561" s="6">
        <f>$M$1561*$W$1561</f>
        <v>-21254.01309</v>
      </c>
      <c r="AD1561" s="6">
        <f>$O$1561*$X$1561</f>
        <v>-8095.3528299999998</v>
      </c>
      <c r="AE1561" s="6">
        <f>$K$1561*$Y$1561</f>
        <v>0</v>
      </c>
      <c r="AF1561" s="6">
        <f ca="1">$M$1561*$Z$1561</f>
        <v>-24594.294719289679</v>
      </c>
      <c r="AG1561" s="6">
        <f>$O$1561*$AA$1561</f>
        <v>-11296.76849308521</v>
      </c>
    </row>
    <row r="1562" spans="1:33" ht="11.25" customHeight="1" x14ac:dyDescent="0.25">
      <c r="A1562" s="4" t="s">
        <v>28</v>
      </c>
      <c r="B1562" s="4" t="s">
        <v>46</v>
      </c>
      <c r="C1562" s="4" t="s">
        <v>23</v>
      </c>
      <c r="D1562" s="4" t="s">
        <v>47</v>
      </c>
      <c r="E1562" s="4" t="s">
        <v>25</v>
      </c>
      <c r="F1562" s="4" t="s">
        <v>25</v>
      </c>
      <c r="G1562" s="4" t="s">
        <v>25</v>
      </c>
      <c r="H1562" s="4" t="s">
        <v>25</v>
      </c>
      <c r="I1562" s="5">
        <v>44621</v>
      </c>
      <c r="J1562" s="6">
        <v>0</v>
      </c>
      <c r="K1562" s="6">
        <v>0</v>
      </c>
      <c r="L1562" s="6">
        <v>529.798</v>
      </c>
      <c r="M1562" s="6">
        <v>529.798</v>
      </c>
      <c r="N1562" s="6">
        <v>529.798</v>
      </c>
      <c r="O1562" s="6">
        <v>529.798</v>
      </c>
      <c r="P1562" s="6">
        <v>3489</v>
      </c>
      <c r="Q1562" s="4" t="s">
        <v>26</v>
      </c>
      <c r="R1562" s="4">
        <v>0</v>
      </c>
      <c r="S1562" s="6">
        <v>0</v>
      </c>
      <c r="T1562" s="6">
        <v>52</v>
      </c>
      <c r="U1562" s="6">
        <v>96</v>
      </c>
      <c r="V1562" s="6">
        <f>IF(ISERROR(VLOOKUP($S$1562,'TAR FIN'!$A$1:$O$115,15,0)),0,VLOOKUP($S$1562,'TAR FIN'!$A$1:$O$115,15,0))</f>
        <v>0</v>
      </c>
      <c r="W1562" s="6">
        <f>IF(ISERROR(VLOOKUP($T$1562,'TAR FIN'!$A$1:$O$115,15,0)),0,VLOOKUP($T$1562,'TAR FIN'!$A$1:$O$115,15,0))</f>
        <v>407.97</v>
      </c>
      <c r="X1562" s="6">
        <f>IF(ISERROR(VLOOKUP($U$1562,'TAR FIN'!$A$1:$O$115,15,0)),0,VLOOKUP($U$1562,'TAR FIN'!$A$1:$O$115,15,0))</f>
        <v>155.38999999999999</v>
      </c>
      <c r="Y1562" s="6"/>
      <c r="Z1562" s="6">
        <f ca="1">('TUSD BE'!$AM$50+'TUSD BF'!$AM$50+'TUSD CVA'!$AM$50)*(1-CUSTOS!$M$38)</f>
        <v>472.08658309095875</v>
      </c>
      <c r="AA1562" s="6">
        <f>('TE BE'!$AB$33+'TE BF'!$AB$33+'TE CVA'!$AB$33)*(1-CUSTOS!$M$38)</f>
        <v>216.84105597414842</v>
      </c>
      <c r="AB1562" s="6">
        <f>$K$1562*$V$1562</f>
        <v>0</v>
      </c>
      <c r="AC1562" s="6">
        <f>$M$1562*$W$1562</f>
        <v>216141.69006000002</v>
      </c>
      <c r="AD1562" s="6">
        <f>$O$1562*$X$1562</f>
        <v>82325.311219999989</v>
      </c>
      <c r="AE1562" s="6">
        <f>$K$1562*$Y$1562</f>
        <v>0</v>
      </c>
      <c r="AF1562" s="6">
        <f ca="1">$M$1562*$Z$1562</f>
        <v>250110.52754842376</v>
      </c>
      <c r="AG1562" s="6">
        <f>$O$1562*$AA$1562</f>
        <v>114881.95777299188</v>
      </c>
    </row>
    <row r="1563" spans="1:33" ht="11.25" customHeight="1" x14ac:dyDescent="0.25">
      <c r="A1563" s="4" t="s">
        <v>29</v>
      </c>
      <c r="B1563" s="4" t="s">
        <v>46</v>
      </c>
      <c r="C1563" s="4" t="s">
        <v>23</v>
      </c>
      <c r="D1563" s="4" t="s">
        <v>47</v>
      </c>
      <c r="E1563" s="4" t="s">
        <v>25</v>
      </c>
      <c r="F1563" s="4" t="s">
        <v>25</v>
      </c>
      <c r="G1563" s="4" t="s">
        <v>25</v>
      </c>
      <c r="H1563" s="4" t="s">
        <v>25</v>
      </c>
      <c r="I1563" s="5">
        <v>44621</v>
      </c>
      <c r="J1563" s="6">
        <v>0</v>
      </c>
      <c r="K1563" s="6">
        <v>0</v>
      </c>
      <c r="L1563" s="6">
        <v>-3.395</v>
      </c>
      <c r="M1563" s="6">
        <v>-3.395</v>
      </c>
      <c r="N1563" s="6">
        <v>-3.395</v>
      </c>
      <c r="O1563" s="6">
        <v>-3.395</v>
      </c>
      <c r="P1563" s="6">
        <v>0</v>
      </c>
      <c r="Q1563" s="4" t="s">
        <v>26</v>
      </c>
      <c r="R1563" s="4">
        <v>0</v>
      </c>
      <c r="S1563" s="6">
        <v>0</v>
      </c>
      <c r="T1563" s="6">
        <v>52</v>
      </c>
      <c r="U1563" s="6">
        <v>96</v>
      </c>
      <c r="V1563" s="6">
        <f>IF(ISERROR(VLOOKUP($S$1563,'TAR FIN'!$A$1:$O$115,15,0)),0,VLOOKUP($S$1563,'TAR FIN'!$A$1:$O$115,15,0))</f>
        <v>0</v>
      </c>
      <c r="W1563" s="6">
        <f>IF(ISERROR(VLOOKUP($T$1563,'TAR FIN'!$A$1:$O$115,15,0)),0,VLOOKUP($T$1563,'TAR FIN'!$A$1:$O$115,15,0))</f>
        <v>407.97</v>
      </c>
      <c r="X1563" s="6">
        <f>IF(ISERROR(VLOOKUP($U$1563,'TAR FIN'!$A$1:$O$115,15,0)),0,VLOOKUP($U$1563,'TAR FIN'!$A$1:$O$115,15,0))</f>
        <v>155.38999999999999</v>
      </c>
      <c r="Y1563" s="6"/>
      <c r="Z1563" s="6">
        <f ca="1">('TUSD BE'!$AM$50+'TUSD BF'!$AM$50+'TUSD CVA'!$AM$50)*(1-CUSTOS!$M$38)</f>
        <v>472.08658309095875</v>
      </c>
      <c r="AA1563" s="6">
        <f>('TE BE'!$AB$33+'TE BF'!$AB$33+'TE CVA'!$AB$33)*(1-CUSTOS!$M$38)</f>
        <v>216.84105597414842</v>
      </c>
      <c r="AB1563" s="6">
        <f>$K$1563*$V$1563</f>
        <v>0</v>
      </c>
      <c r="AC1563" s="6">
        <f>$M$1563*$W$1563</f>
        <v>-1385.0581500000001</v>
      </c>
      <c r="AD1563" s="6">
        <f>$O$1563*$X$1563</f>
        <v>-527.54904999999997</v>
      </c>
      <c r="AE1563" s="6">
        <f>$K$1563*$Y$1563</f>
        <v>0</v>
      </c>
      <c r="AF1563" s="6">
        <f ca="1">$M$1563*$Z$1563</f>
        <v>-1602.7339495938049</v>
      </c>
      <c r="AG1563" s="6">
        <f>$O$1563*$AA$1563</f>
        <v>-736.17538503223386</v>
      </c>
    </row>
    <row r="1564" spans="1:33" ht="11.25" customHeight="1" x14ac:dyDescent="0.25">
      <c r="A1564" s="4" t="s">
        <v>30</v>
      </c>
      <c r="B1564" s="4" t="s">
        <v>46</v>
      </c>
      <c r="C1564" s="4" t="s">
        <v>23</v>
      </c>
      <c r="D1564" s="4" t="s">
        <v>47</v>
      </c>
      <c r="E1564" s="4" t="s">
        <v>25</v>
      </c>
      <c r="F1564" s="4" t="s">
        <v>25</v>
      </c>
      <c r="G1564" s="4" t="s">
        <v>25</v>
      </c>
      <c r="H1564" s="4" t="s">
        <v>25</v>
      </c>
      <c r="I1564" s="5">
        <v>44621</v>
      </c>
      <c r="J1564" s="6">
        <v>0</v>
      </c>
      <c r="K1564" s="6">
        <v>0</v>
      </c>
      <c r="L1564" s="6">
        <v>41.938000000000002</v>
      </c>
      <c r="M1564" s="6">
        <v>41.938000000000002</v>
      </c>
      <c r="N1564" s="6">
        <v>41.938000000000002</v>
      </c>
      <c r="O1564" s="6">
        <v>41.938000000000002</v>
      </c>
      <c r="P1564" s="6">
        <v>218</v>
      </c>
      <c r="Q1564" s="4" t="s">
        <v>26</v>
      </c>
      <c r="R1564" s="4">
        <v>0</v>
      </c>
      <c r="S1564" s="6">
        <v>0</v>
      </c>
      <c r="T1564" s="6">
        <v>52</v>
      </c>
      <c r="U1564" s="6">
        <v>96</v>
      </c>
      <c r="V1564" s="6">
        <f>IF(ISERROR(VLOOKUP($S$1564,'TAR FIN'!$A$1:$O$115,15,0)),0,VLOOKUP($S$1564,'TAR FIN'!$A$1:$O$115,15,0))</f>
        <v>0</v>
      </c>
      <c r="W1564" s="6">
        <f>IF(ISERROR(VLOOKUP($T$1564,'TAR FIN'!$A$1:$O$115,15,0)),0,VLOOKUP($T$1564,'TAR FIN'!$A$1:$O$115,15,0))</f>
        <v>407.97</v>
      </c>
      <c r="X1564" s="6">
        <f>IF(ISERROR(VLOOKUP($U$1564,'TAR FIN'!$A$1:$O$115,15,0)),0,VLOOKUP($U$1564,'TAR FIN'!$A$1:$O$115,15,0))</f>
        <v>155.38999999999999</v>
      </c>
      <c r="Y1564" s="6"/>
      <c r="Z1564" s="6">
        <f ca="1">('TUSD BE'!$AM$50+'TUSD BF'!$AM$50+'TUSD CVA'!$AM$50)*(1-CUSTOS!$M$38)</f>
        <v>472.08658309095875</v>
      </c>
      <c r="AA1564" s="6">
        <f>('TE BE'!$AB$33+'TE BF'!$AB$33+'TE CVA'!$AB$33)*(1-CUSTOS!$M$38)</f>
        <v>216.84105597414842</v>
      </c>
      <c r="AB1564" s="6">
        <f>$K$1564*$V$1564</f>
        <v>0</v>
      </c>
      <c r="AC1564" s="6">
        <f>$M$1564*$W$1564</f>
        <v>17109.445860000003</v>
      </c>
      <c r="AD1564" s="6">
        <f>$O$1564*$X$1564</f>
        <v>6516.7458200000001</v>
      </c>
      <c r="AE1564" s="6">
        <f>$K$1564*$Y$1564</f>
        <v>0</v>
      </c>
      <c r="AF1564" s="6">
        <f ca="1">$M$1564*$Z$1564</f>
        <v>19798.367121668631</v>
      </c>
      <c r="AG1564" s="6">
        <f>$O$1564*$AA$1564</f>
        <v>9093.8802054438365</v>
      </c>
    </row>
    <row r="1565" spans="1:33" ht="11.25" customHeight="1" x14ac:dyDescent="0.25">
      <c r="A1565" s="4" t="s">
        <v>30</v>
      </c>
      <c r="B1565" s="4" t="s">
        <v>46</v>
      </c>
      <c r="C1565" s="4" t="s">
        <v>23</v>
      </c>
      <c r="D1565" s="4" t="s">
        <v>47</v>
      </c>
      <c r="E1565" s="4" t="s">
        <v>25</v>
      </c>
      <c r="F1565" s="4" t="s">
        <v>25</v>
      </c>
      <c r="G1565" s="4" t="s">
        <v>25</v>
      </c>
      <c r="H1565" s="4" t="s">
        <v>25</v>
      </c>
      <c r="I1565" s="5">
        <v>44621</v>
      </c>
      <c r="J1565" s="6">
        <v>0</v>
      </c>
      <c r="K1565" s="6">
        <v>0</v>
      </c>
      <c r="L1565" s="6">
        <v>-9.4E-2</v>
      </c>
      <c r="M1565" s="6">
        <v>-9.4E-2</v>
      </c>
      <c r="N1565" s="6">
        <v>-9.4E-2</v>
      </c>
      <c r="O1565" s="6">
        <v>-9.4E-2</v>
      </c>
      <c r="P1565" s="6">
        <v>0</v>
      </c>
      <c r="Q1565" s="4" t="s">
        <v>26</v>
      </c>
      <c r="R1565" s="4">
        <v>0</v>
      </c>
      <c r="S1565" s="6">
        <v>0</v>
      </c>
      <c r="T1565" s="6">
        <v>52</v>
      </c>
      <c r="U1565" s="6">
        <v>96</v>
      </c>
      <c r="V1565" s="6">
        <f>IF(ISERROR(VLOOKUP($S$1565,'TAR FIN'!$A$1:$O$115,15,0)),0,VLOOKUP($S$1565,'TAR FIN'!$A$1:$O$115,15,0))</f>
        <v>0</v>
      </c>
      <c r="W1565" s="6">
        <f>IF(ISERROR(VLOOKUP($T$1565,'TAR FIN'!$A$1:$O$115,15,0)),0,VLOOKUP($T$1565,'TAR FIN'!$A$1:$O$115,15,0))</f>
        <v>407.97</v>
      </c>
      <c r="X1565" s="6">
        <f>IF(ISERROR(VLOOKUP($U$1565,'TAR FIN'!$A$1:$O$115,15,0)),0,VLOOKUP($U$1565,'TAR FIN'!$A$1:$O$115,15,0))</f>
        <v>155.38999999999999</v>
      </c>
      <c r="Y1565" s="6"/>
      <c r="Z1565" s="6">
        <f ca="1">('TUSD BE'!$AM$50+'TUSD BF'!$AM$50+'TUSD CVA'!$AM$50)*(1-CUSTOS!$M$38)</f>
        <v>472.08658309095875</v>
      </c>
      <c r="AA1565" s="6">
        <f>('TE BE'!$AB$33+'TE BF'!$AB$33+'TE CVA'!$AB$33)*(1-CUSTOS!$M$38)</f>
        <v>216.84105597414842</v>
      </c>
      <c r="AB1565" s="6">
        <f>$K$1565*$V$1565</f>
        <v>0</v>
      </c>
      <c r="AC1565" s="6">
        <f>$M$1565*$W$1565</f>
        <v>-38.349180000000004</v>
      </c>
      <c r="AD1565" s="6">
        <f>$O$1565*$X$1565</f>
        <v>-14.606659999999998</v>
      </c>
      <c r="AE1565" s="6">
        <f>$K$1565*$Y$1565</f>
        <v>0</v>
      </c>
      <c r="AF1565" s="6">
        <f ca="1">$M$1565*$Z$1565</f>
        <v>-44.376138810550124</v>
      </c>
      <c r="AG1565" s="6">
        <f>$O$1565*$AA$1565</f>
        <v>-20.383059261569951</v>
      </c>
    </row>
    <row r="1566" spans="1:33" ht="11.25" customHeight="1" x14ac:dyDescent="0.25">
      <c r="A1566" s="4" t="s">
        <v>21</v>
      </c>
      <c r="B1566" s="4" t="s">
        <v>46</v>
      </c>
      <c r="C1566" s="4" t="s">
        <v>23</v>
      </c>
      <c r="D1566" s="4" t="s">
        <v>47</v>
      </c>
      <c r="E1566" s="4" t="s">
        <v>25</v>
      </c>
      <c r="F1566" s="4" t="s">
        <v>25</v>
      </c>
      <c r="G1566" s="4" t="s">
        <v>25</v>
      </c>
      <c r="H1566" s="4" t="s">
        <v>25</v>
      </c>
      <c r="I1566" s="5">
        <v>44652</v>
      </c>
      <c r="J1566" s="6">
        <v>0</v>
      </c>
      <c r="K1566" s="6">
        <v>0</v>
      </c>
      <c r="L1566" s="6">
        <v>2877.9259999999999</v>
      </c>
      <c r="M1566" s="6">
        <v>2877.9259999999999</v>
      </c>
      <c r="N1566" s="6">
        <v>2877.9259999999999</v>
      </c>
      <c r="O1566" s="6">
        <v>2877.9259999999999</v>
      </c>
      <c r="P1566" s="6">
        <v>15383</v>
      </c>
      <c r="Q1566" s="4" t="s">
        <v>26</v>
      </c>
      <c r="R1566" s="4">
        <v>0</v>
      </c>
      <c r="S1566" s="6">
        <v>0</v>
      </c>
      <c r="T1566" s="6">
        <v>52</v>
      </c>
      <c r="U1566" s="6">
        <v>96</v>
      </c>
      <c r="V1566" s="6">
        <f>IF(ISERROR(VLOOKUP($S$1566,'TAR FIN'!$A$1:$O$115,15,0)),0,VLOOKUP($S$1566,'TAR FIN'!$A$1:$O$115,15,0))</f>
        <v>0</v>
      </c>
      <c r="W1566" s="6">
        <f>IF(ISERROR(VLOOKUP($T$1566,'TAR FIN'!$A$1:$O$115,15,0)),0,VLOOKUP($T$1566,'TAR FIN'!$A$1:$O$115,15,0))</f>
        <v>407.97</v>
      </c>
      <c r="X1566" s="6">
        <f>IF(ISERROR(VLOOKUP($U$1566,'TAR FIN'!$A$1:$O$115,15,0)),0,VLOOKUP($U$1566,'TAR FIN'!$A$1:$O$115,15,0))</f>
        <v>155.38999999999999</v>
      </c>
      <c r="Y1566" s="6"/>
      <c r="Z1566" s="6">
        <f ca="1">('TUSD BE'!$AM$50+'TUSD BF'!$AM$50+'TUSD CVA'!$AM$50)*(1-CUSTOS!$M$38)</f>
        <v>472.08658309095875</v>
      </c>
      <c r="AA1566" s="6">
        <f>('TE BE'!$AB$33+'TE BF'!$AB$33+'TE CVA'!$AB$33)*(1-CUSTOS!$M$38)</f>
        <v>216.84105597414842</v>
      </c>
      <c r="AB1566" s="6">
        <f>$K$1566*$V$1566</f>
        <v>0</v>
      </c>
      <c r="AC1566" s="6">
        <f>$M$1566*$W$1566</f>
        <v>1174107.47022</v>
      </c>
      <c r="AD1566" s="6">
        <f>$O$1566*$X$1566</f>
        <v>447200.92113999993</v>
      </c>
      <c r="AE1566" s="6">
        <f>$K$1566*$Y$1566</f>
        <v>0</v>
      </c>
      <c r="AF1566" s="6">
        <f ca="1">$M$1566*$Z$1566</f>
        <v>1358630.2517286306</v>
      </c>
      <c r="AG1566" s="6">
        <f>$O$1566*$AA$1566</f>
        <v>624052.51285545703</v>
      </c>
    </row>
    <row r="1567" spans="1:33" ht="11.25" customHeight="1" x14ac:dyDescent="0.25">
      <c r="A1567" s="4" t="s">
        <v>27</v>
      </c>
      <c r="B1567" s="4" t="s">
        <v>46</v>
      </c>
      <c r="C1567" s="4" t="s">
        <v>23</v>
      </c>
      <c r="D1567" s="4" t="s">
        <v>47</v>
      </c>
      <c r="E1567" s="4" t="s">
        <v>25</v>
      </c>
      <c r="F1567" s="4" t="s">
        <v>25</v>
      </c>
      <c r="G1567" s="4" t="s">
        <v>25</v>
      </c>
      <c r="H1567" s="4" t="s">
        <v>25</v>
      </c>
      <c r="I1567" s="5">
        <v>44652</v>
      </c>
      <c r="J1567" s="6">
        <v>0</v>
      </c>
      <c r="K1567" s="6">
        <v>0</v>
      </c>
      <c r="L1567" s="6">
        <v>-9.7509999999999994</v>
      </c>
      <c r="M1567" s="6">
        <v>-9.7509999999999994</v>
      </c>
      <c r="N1567" s="6">
        <v>-9.7509999999999994</v>
      </c>
      <c r="O1567" s="6">
        <v>-9.7509999999999994</v>
      </c>
      <c r="P1567" s="6">
        <v>-4</v>
      </c>
      <c r="Q1567" s="4" t="s">
        <v>26</v>
      </c>
      <c r="R1567" s="4">
        <v>0</v>
      </c>
      <c r="S1567" s="6">
        <v>0</v>
      </c>
      <c r="T1567" s="6">
        <v>52</v>
      </c>
      <c r="U1567" s="6">
        <v>96</v>
      </c>
      <c r="V1567" s="6">
        <f>IF(ISERROR(VLOOKUP($S$1567,'TAR FIN'!$A$1:$O$115,15,0)),0,VLOOKUP($S$1567,'TAR FIN'!$A$1:$O$115,15,0))</f>
        <v>0</v>
      </c>
      <c r="W1567" s="6">
        <f>IF(ISERROR(VLOOKUP($T$1567,'TAR FIN'!$A$1:$O$115,15,0)),0,VLOOKUP($T$1567,'TAR FIN'!$A$1:$O$115,15,0))</f>
        <v>407.97</v>
      </c>
      <c r="X1567" s="6">
        <f>IF(ISERROR(VLOOKUP($U$1567,'TAR FIN'!$A$1:$O$115,15,0)),0,VLOOKUP($U$1567,'TAR FIN'!$A$1:$O$115,15,0))</f>
        <v>155.38999999999999</v>
      </c>
      <c r="Y1567" s="6"/>
      <c r="Z1567" s="6">
        <f ca="1">('TUSD BE'!$AM$50+'TUSD BF'!$AM$50+'TUSD CVA'!$AM$50)*(1-CUSTOS!$M$38)</f>
        <v>472.08658309095875</v>
      </c>
      <c r="AA1567" s="6">
        <f>('TE BE'!$AB$33+'TE BF'!$AB$33+'TE CVA'!$AB$33)*(1-CUSTOS!$M$38)</f>
        <v>216.84105597414842</v>
      </c>
      <c r="AB1567" s="6">
        <f>$K$1567*$V$1567</f>
        <v>0</v>
      </c>
      <c r="AC1567" s="6">
        <f>$M$1567*$W$1567</f>
        <v>-3978.1154700000002</v>
      </c>
      <c r="AD1567" s="6">
        <f>$O$1567*$X$1567</f>
        <v>-1515.2078899999997</v>
      </c>
      <c r="AE1567" s="6">
        <f>$K$1567*$Y$1567</f>
        <v>0</v>
      </c>
      <c r="AF1567" s="6">
        <f ca="1">$M$1567*$Z$1567</f>
        <v>-4603.3162717199384</v>
      </c>
      <c r="AG1567" s="6">
        <f>$O$1567*$AA$1567</f>
        <v>-2114.417136803921</v>
      </c>
    </row>
    <row r="1568" spans="1:33" ht="11.25" customHeight="1" x14ac:dyDescent="0.25">
      <c r="A1568" s="4" t="s">
        <v>28</v>
      </c>
      <c r="B1568" s="4" t="s">
        <v>46</v>
      </c>
      <c r="C1568" s="4" t="s">
        <v>23</v>
      </c>
      <c r="D1568" s="4" t="s">
        <v>47</v>
      </c>
      <c r="E1568" s="4" t="s">
        <v>25</v>
      </c>
      <c r="F1568" s="4" t="s">
        <v>25</v>
      </c>
      <c r="G1568" s="4" t="s">
        <v>25</v>
      </c>
      <c r="H1568" s="4" t="s">
        <v>25</v>
      </c>
      <c r="I1568" s="5">
        <v>44652</v>
      </c>
      <c r="J1568" s="6">
        <v>0</v>
      </c>
      <c r="K1568" s="6">
        <v>0</v>
      </c>
      <c r="L1568" s="6">
        <v>526.774</v>
      </c>
      <c r="M1568" s="6">
        <v>526.774</v>
      </c>
      <c r="N1568" s="6">
        <v>526.774</v>
      </c>
      <c r="O1568" s="6">
        <v>526.774</v>
      </c>
      <c r="P1568" s="6">
        <v>3478</v>
      </c>
      <c r="Q1568" s="4" t="s">
        <v>26</v>
      </c>
      <c r="R1568" s="4">
        <v>0</v>
      </c>
      <c r="S1568" s="6">
        <v>0</v>
      </c>
      <c r="T1568" s="6">
        <v>52</v>
      </c>
      <c r="U1568" s="6">
        <v>96</v>
      </c>
      <c r="V1568" s="6">
        <f>IF(ISERROR(VLOOKUP($S$1568,'TAR FIN'!$A$1:$O$115,15,0)),0,VLOOKUP($S$1568,'TAR FIN'!$A$1:$O$115,15,0))</f>
        <v>0</v>
      </c>
      <c r="W1568" s="6">
        <f>IF(ISERROR(VLOOKUP($T$1568,'TAR FIN'!$A$1:$O$115,15,0)),0,VLOOKUP($T$1568,'TAR FIN'!$A$1:$O$115,15,0))</f>
        <v>407.97</v>
      </c>
      <c r="X1568" s="6">
        <f>IF(ISERROR(VLOOKUP($U$1568,'TAR FIN'!$A$1:$O$115,15,0)),0,VLOOKUP($U$1568,'TAR FIN'!$A$1:$O$115,15,0))</f>
        <v>155.38999999999999</v>
      </c>
      <c r="Y1568" s="6"/>
      <c r="Z1568" s="6">
        <f ca="1">('TUSD BE'!$AM$50+'TUSD BF'!$AM$50+'TUSD CVA'!$AM$50)*(1-CUSTOS!$M$38)</f>
        <v>472.08658309095875</v>
      </c>
      <c r="AA1568" s="6">
        <f>('TE BE'!$AB$33+'TE BF'!$AB$33+'TE CVA'!$AB$33)*(1-CUSTOS!$M$38)</f>
        <v>216.84105597414842</v>
      </c>
      <c r="AB1568" s="6">
        <f>$K$1568*$V$1568</f>
        <v>0</v>
      </c>
      <c r="AC1568" s="6">
        <f>$M$1568*$W$1568</f>
        <v>214907.98878000001</v>
      </c>
      <c r="AD1568" s="6">
        <f>$O$1568*$X$1568</f>
        <v>81855.411859999993</v>
      </c>
      <c r="AE1568" s="6">
        <f>$K$1568*$Y$1568</f>
        <v>0</v>
      </c>
      <c r="AF1568" s="6">
        <f ca="1">$M$1568*$Z$1568</f>
        <v>248682.93772115672</v>
      </c>
      <c r="AG1568" s="6">
        <f>$O$1568*$AA$1568</f>
        <v>114226.23041972605</v>
      </c>
    </row>
    <row r="1569" spans="1:33" ht="11.25" customHeight="1" x14ac:dyDescent="0.25">
      <c r="A1569" s="4" t="s">
        <v>30</v>
      </c>
      <c r="B1569" s="4" t="s">
        <v>46</v>
      </c>
      <c r="C1569" s="4" t="s">
        <v>23</v>
      </c>
      <c r="D1569" s="4" t="s">
        <v>47</v>
      </c>
      <c r="E1569" s="4" t="s">
        <v>25</v>
      </c>
      <c r="F1569" s="4" t="s">
        <v>25</v>
      </c>
      <c r="G1569" s="4" t="s">
        <v>25</v>
      </c>
      <c r="H1569" s="4" t="s">
        <v>25</v>
      </c>
      <c r="I1569" s="5">
        <v>44652</v>
      </c>
      <c r="J1569" s="6">
        <v>0</v>
      </c>
      <c r="K1569" s="6">
        <v>0</v>
      </c>
      <c r="L1569" s="6">
        <v>48.956000000000003</v>
      </c>
      <c r="M1569" s="6">
        <v>48.956000000000003</v>
      </c>
      <c r="N1569" s="6">
        <v>48.956000000000003</v>
      </c>
      <c r="O1569" s="6">
        <v>48.956000000000003</v>
      </c>
      <c r="P1569" s="6">
        <v>231</v>
      </c>
      <c r="Q1569" s="4" t="s">
        <v>26</v>
      </c>
      <c r="R1569" s="4">
        <v>0</v>
      </c>
      <c r="S1569" s="6">
        <v>0</v>
      </c>
      <c r="T1569" s="6">
        <v>52</v>
      </c>
      <c r="U1569" s="6">
        <v>96</v>
      </c>
      <c r="V1569" s="6">
        <f>IF(ISERROR(VLOOKUP($S$1569,'TAR FIN'!$A$1:$O$115,15,0)),0,VLOOKUP($S$1569,'TAR FIN'!$A$1:$O$115,15,0))</f>
        <v>0</v>
      </c>
      <c r="W1569" s="6">
        <f>IF(ISERROR(VLOOKUP($T$1569,'TAR FIN'!$A$1:$O$115,15,0)),0,VLOOKUP($T$1569,'TAR FIN'!$A$1:$O$115,15,0))</f>
        <v>407.97</v>
      </c>
      <c r="X1569" s="6">
        <f>IF(ISERROR(VLOOKUP($U$1569,'TAR FIN'!$A$1:$O$115,15,0)),0,VLOOKUP($U$1569,'TAR FIN'!$A$1:$O$115,15,0))</f>
        <v>155.38999999999999</v>
      </c>
      <c r="Y1569" s="6"/>
      <c r="Z1569" s="6">
        <f ca="1">('TUSD BE'!$AM$50+'TUSD BF'!$AM$50+'TUSD CVA'!$AM$50)*(1-CUSTOS!$M$38)</f>
        <v>472.08658309095875</v>
      </c>
      <c r="AA1569" s="6">
        <f>('TE BE'!$AB$33+'TE BF'!$AB$33+'TE CVA'!$AB$33)*(1-CUSTOS!$M$38)</f>
        <v>216.84105597414842</v>
      </c>
      <c r="AB1569" s="6">
        <f>$K$1569*$V$1569</f>
        <v>0</v>
      </c>
      <c r="AC1569" s="6">
        <f>$M$1569*$W$1569</f>
        <v>19972.579320000004</v>
      </c>
      <c r="AD1569" s="6">
        <f>$O$1569*$X$1569</f>
        <v>7607.2728399999996</v>
      </c>
      <c r="AE1569" s="6">
        <f>$K$1569*$Y$1569</f>
        <v>0</v>
      </c>
      <c r="AF1569" s="6">
        <f ca="1">$M$1569*$Z$1569</f>
        <v>23111.470761800978</v>
      </c>
      <c r="AG1569" s="6">
        <f>$O$1569*$AA$1569</f>
        <v>10615.670736270411</v>
      </c>
    </row>
    <row r="1570" spans="1:33" ht="11.25" customHeight="1" x14ac:dyDescent="0.25">
      <c r="A1570" s="4" t="s">
        <v>30</v>
      </c>
      <c r="B1570" s="4" t="s">
        <v>46</v>
      </c>
      <c r="C1570" s="4" t="s">
        <v>23</v>
      </c>
      <c r="D1570" s="4" t="s">
        <v>47</v>
      </c>
      <c r="E1570" s="4" t="s">
        <v>25</v>
      </c>
      <c r="F1570" s="4" t="s">
        <v>25</v>
      </c>
      <c r="G1570" s="4" t="s">
        <v>25</v>
      </c>
      <c r="H1570" s="4" t="s">
        <v>25</v>
      </c>
      <c r="I1570" s="5">
        <v>44652</v>
      </c>
      <c r="J1570" s="6">
        <v>0</v>
      </c>
      <c r="K1570" s="6">
        <v>0</v>
      </c>
      <c r="L1570" s="6">
        <v>-0.71</v>
      </c>
      <c r="M1570" s="6">
        <v>-0.71</v>
      </c>
      <c r="N1570" s="6">
        <v>-0.71</v>
      </c>
      <c r="O1570" s="6">
        <v>-0.71</v>
      </c>
      <c r="P1570" s="6">
        <v>0</v>
      </c>
      <c r="Q1570" s="4" t="s">
        <v>26</v>
      </c>
      <c r="R1570" s="4">
        <v>0</v>
      </c>
      <c r="S1570" s="6">
        <v>0</v>
      </c>
      <c r="T1570" s="6">
        <v>52</v>
      </c>
      <c r="U1570" s="6">
        <v>96</v>
      </c>
      <c r="V1570" s="6">
        <f>IF(ISERROR(VLOOKUP($S$1570,'TAR FIN'!$A$1:$O$115,15,0)),0,VLOOKUP($S$1570,'TAR FIN'!$A$1:$O$115,15,0))</f>
        <v>0</v>
      </c>
      <c r="W1570" s="6">
        <f>IF(ISERROR(VLOOKUP($T$1570,'TAR FIN'!$A$1:$O$115,15,0)),0,VLOOKUP($T$1570,'TAR FIN'!$A$1:$O$115,15,0))</f>
        <v>407.97</v>
      </c>
      <c r="X1570" s="6">
        <f>IF(ISERROR(VLOOKUP($U$1570,'TAR FIN'!$A$1:$O$115,15,0)),0,VLOOKUP($U$1570,'TAR FIN'!$A$1:$O$115,15,0))</f>
        <v>155.38999999999999</v>
      </c>
      <c r="Y1570" s="6"/>
      <c r="Z1570" s="6">
        <f ca="1">('TUSD BE'!$AM$50+'TUSD BF'!$AM$50+'TUSD CVA'!$AM$50)*(1-CUSTOS!$M$38)</f>
        <v>472.08658309095875</v>
      </c>
      <c r="AA1570" s="6">
        <f>('TE BE'!$AB$33+'TE BF'!$AB$33+'TE CVA'!$AB$33)*(1-CUSTOS!$M$38)</f>
        <v>216.84105597414842</v>
      </c>
      <c r="AB1570" s="6">
        <f>$K$1570*$V$1570</f>
        <v>0</v>
      </c>
      <c r="AC1570" s="6">
        <f>$M$1570*$W$1570</f>
        <v>-289.65870000000001</v>
      </c>
      <c r="AD1570" s="6">
        <f>$O$1570*$X$1570</f>
        <v>-110.32689999999998</v>
      </c>
      <c r="AE1570" s="6">
        <f>$K$1570*$Y$1570</f>
        <v>0</v>
      </c>
      <c r="AF1570" s="6">
        <f ca="1">$M$1570*$Z$1570</f>
        <v>-335.1814739945807</v>
      </c>
      <c r="AG1570" s="6">
        <f>$O$1570*$AA$1570</f>
        <v>-153.95714974164537</v>
      </c>
    </row>
    <row r="1571" spans="1:33" ht="11.25" customHeight="1" x14ac:dyDescent="0.25">
      <c r="A1571" s="4" t="s">
        <v>21</v>
      </c>
      <c r="B1571" s="4" t="s">
        <v>46</v>
      </c>
      <c r="C1571" s="4" t="s">
        <v>23</v>
      </c>
      <c r="D1571" s="4" t="s">
        <v>47</v>
      </c>
      <c r="E1571" s="4" t="s">
        <v>25</v>
      </c>
      <c r="F1571" s="4" t="s">
        <v>25</v>
      </c>
      <c r="G1571" s="4" t="s">
        <v>25</v>
      </c>
      <c r="H1571" s="4" t="s">
        <v>25</v>
      </c>
      <c r="I1571" s="5">
        <v>44682</v>
      </c>
      <c r="J1571" s="6">
        <v>0</v>
      </c>
      <c r="K1571" s="6">
        <v>0</v>
      </c>
      <c r="L1571" s="6">
        <v>3004.248</v>
      </c>
      <c r="M1571" s="6">
        <v>3004.248</v>
      </c>
      <c r="N1571" s="6">
        <v>3004.248</v>
      </c>
      <c r="O1571" s="6">
        <v>3004.248</v>
      </c>
      <c r="P1571" s="6">
        <v>15425</v>
      </c>
      <c r="Q1571" s="4" t="s">
        <v>26</v>
      </c>
      <c r="R1571" s="4">
        <v>0</v>
      </c>
      <c r="S1571" s="6">
        <v>0</v>
      </c>
      <c r="T1571" s="6">
        <v>52</v>
      </c>
      <c r="U1571" s="6">
        <v>96</v>
      </c>
      <c r="V1571" s="6">
        <f>IF(ISERROR(VLOOKUP($S$1571,'TAR FIN'!$A$1:$O$115,15,0)),0,VLOOKUP($S$1571,'TAR FIN'!$A$1:$O$115,15,0))</f>
        <v>0</v>
      </c>
      <c r="W1571" s="6">
        <f>IF(ISERROR(VLOOKUP($T$1571,'TAR FIN'!$A$1:$O$115,15,0)),0,VLOOKUP($T$1571,'TAR FIN'!$A$1:$O$115,15,0))</f>
        <v>407.97</v>
      </c>
      <c r="X1571" s="6">
        <f>IF(ISERROR(VLOOKUP($U$1571,'TAR FIN'!$A$1:$O$115,15,0)),0,VLOOKUP($U$1571,'TAR FIN'!$A$1:$O$115,15,0))</f>
        <v>155.38999999999999</v>
      </c>
      <c r="Y1571" s="6"/>
      <c r="Z1571" s="6">
        <f ca="1">('TUSD BE'!$AM$50+'TUSD BF'!$AM$50+'TUSD CVA'!$AM$50)*(1-CUSTOS!$M$38)</f>
        <v>472.08658309095875</v>
      </c>
      <c r="AA1571" s="6">
        <f>('TE BE'!$AB$33+'TE BF'!$AB$33+'TE CVA'!$AB$33)*(1-CUSTOS!$M$38)</f>
        <v>216.84105597414842</v>
      </c>
      <c r="AB1571" s="6">
        <f>$K$1571*$V$1571</f>
        <v>0</v>
      </c>
      <c r="AC1571" s="6">
        <f>$M$1571*$W$1571</f>
        <v>1225643.0565600002</v>
      </c>
      <c r="AD1571" s="6">
        <f>$O$1571*$X$1571</f>
        <v>466830.09671999997</v>
      </c>
      <c r="AE1571" s="6">
        <f>$K$1571*$Y$1571</f>
        <v>0</v>
      </c>
      <c r="AF1571" s="6">
        <f ca="1">$M$1571*$Z$1571</f>
        <v>1418265.1730778466</v>
      </c>
      <c r="AG1571" s="6">
        <f>$O$1571*$AA$1571</f>
        <v>651444.30872822343</v>
      </c>
    </row>
    <row r="1572" spans="1:33" ht="11.25" customHeight="1" x14ac:dyDescent="0.25">
      <c r="A1572" s="4" t="s">
        <v>27</v>
      </c>
      <c r="B1572" s="4" t="s">
        <v>46</v>
      </c>
      <c r="C1572" s="4" t="s">
        <v>23</v>
      </c>
      <c r="D1572" s="4" t="s">
        <v>47</v>
      </c>
      <c r="E1572" s="4" t="s">
        <v>25</v>
      </c>
      <c r="F1572" s="4" t="s">
        <v>25</v>
      </c>
      <c r="G1572" s="4" t="s">
        <v>25</v>
      </c>
      <c r="H1572" s="4" t="s">
        <v>25</v>
      </c>
      <c r="I1572" s="5">
        <v>44682</v>
      </c>
      <c r="J1572" s="6">
        <v>0</v>
      </c>
      <c r="K1572" s="6">
        <v>0</v>
      </c>
      <c r="L1572" s="6">
        <v>-31.387</v>
      </c>
      <c r="M1572" s="6">
        <v>-31.387</v>
      </c>
      <c r="N1572" s="6">
        <v>-31.387</v>
      </c>
      <c r="O1572" s="6">
        <v>-31.387</v>
      </c>
      <c r="P1572" s="6">
        <v>-3</v>
      </c>
      <c r="Q1572" s="4" t="s">
        <v>26</v>
      </c>
      <c r="R1572" s="4">
        <v>0</v>
      </c>
      <c r="S1572" s="6">
        <v>0</v>
      </c>
      <c r="T1572" s="6">
        <v>52</v>
      </c>
      <c r="U1572" s="6">
        <v>96</v>
      </c>
      <c r="V1572" s="6">
        <f>IF(ISERROR(VLOOKUP($S$1572,'TAR FIN'!$A$1:$O$115,15,0)),0,VLOOKUP($S$1572,'TAR FIN'!$A$1:$O$115,15,0))</f>
        <v>0</v>
      </c>
      <c r="W1572" s="6">
        <f>IF(ISERROR(VLOOKUP($T$1572,'TAR FIN'!$A$1:$O$115,15,0)),0,VLOOKUP($T$1572,'TAR FIN'!$A$1:$O$115,15,0))</f>
        <v>407.97</v>
      </c>
      <c r="X1572" s="6">
        <f>IF(ISERROR(VLOOKUP($U$1572,'TAR FIN'!$A$1:$O$115,15,0)),0,VLOOKUP($U$1572,'TAR FIN'!$A$1:$O$115,15,0))</f>
        <v>155.38999999999999</v>
      </c>
      <c r="Y1572" s="6"/>
      <c r="Z1572" s="6">
        <f ca="1">('TUSD BE'!$AM$50+'TUSD BF'!$AM$50+'TUSD CVA'!$AM$50)*(1-CUSTOS!$M$38)</f>
        <v>472.08658309095875</v>
      </c>
      <c r="AA1572" s="6">
        <f>('TE BE'!$AB$33+'TE BF'!$AB$33+'TE CVA'!$AB$33)*(1-CUSTOS!$M$38)</f>
        <v>216.84105597414842</v>
      </c>
      <c r="AB1572" s="6">
        <f>$K$1572*$V$1572</f>
        <v>0</v>
      </c>
      <c r="AC1572" s="6">
        <f>$M$1572*$W$1572</f>
        <v>-12804.954390000001</v>
      </c>
      <c r="AD1572" s="6">
        <f>$O$1572*$X$1572</f>
        <v>-4877.2259299999996</v>
      </c>
      <c r="AE1572" s="6">
        <f>$K$1572*$Y$1572</f>
        <v>0</v>
      </c>
      <c r="AF1572" s="6">
        <f ca="1">$M$1572*$Z$1572</f>
        <v>-14817.381583475923</v>
      </c>
      <c r="AG1572" s="6">
        <f>$O$1572*$AA$1572</f>
        <v>-6805.9902238605964</v>
      </c>
    </row>
    <row r="1573" spans="1:33" ht="11.25" customHeight="1" x14ac:dyDescent="0.25">
      <c r="A1573" s="4" t="s">
        <v>28</v>
      </c>
      <c r="B1573" s="4" t="s">
        <v>46</v>
      </c>
      <c r="C1573" s="4" t="s">
        <v>23</v>
      </c>
      <c r="D1573" s="4" t="s">
        <v>47</v>
      </c>
      <c r="E1573" s="4" t="s">
        <v>25</v>
      </c>
      <c r="F1573" s="4" t="s">
        <v>25</v>
      </c>
      <c r="G1573" s="4" t="s">
        <v>25</v>
      </c>
      <c r="H1573" s="4" t="s">
        <v>25</v>
      </c>
      <c r="I1573" s="5">
        <v>44682</v>
      </c>
      <c r="J1573" s="6">
        <v>0</v>
      </c>
      <c r="K1573" s="6">
        <v>0</v>
      </c>
      <c r="L1573" s="6">
        <v>555.50800000000004</v>
      </c>
      <c r="M1573" s="6">
        <v>555.50800000000004</v>
      </c>
      <c r="N1573" s="6">
        <v>555.50800000000004</v>
      </c>
      <c r="O1573" s="6">
        <v>555.50800000000004</v>
      </c>
      <c r="P1573" s="6">
        <v>3483</v>
      </c>
      <c r="Q1573" s="4" t="s">
        <v>26</v>
      </c>
      <c r="R1573" s="4">
        <v>0</v>
      </c>
      <c r="S1573" s="6">
        <v>0</v>
      </c>
      <c r="T1573" s="6">
        <v>52</v>
      </c>
      <c r="U1573" s="6">
        <v>96</v>
      </c>
      <c r="V1573" s="6">
        <f>IF(ISERROR(VLOOKUP($S$1573,'TAR FIN'!$A$1:$O$115,15,0)),0,VLOOKUP($S$1573,'TAR FIN'!$A$1:$O$115,15,0))</f>
        <v>0</v>
      </c>
      <c r="W1573" s="6">
        <f>IF(ISERROR(VLOOKUP($T$1573,'TAR FIN'!$A$1:$O$115,15,0)),0,VLOOKUP($T$1573,'TAR FIN'!$A$1:$O$115,15,0))</f>
        <v>407.97</v>
      </c>
      <c r="X1573" s="6">
        <f>IF(ISERROR(VLOOKUP($U$1573,'TAR FIN'!$A$1:$O$115,15,0)),0,VLOOKUP($U$1573,'TAR FIN'!$A$1:$O$115,15,0))</f>
        <v>155.38999999999999</v>
      </c>
      <c r="Y1573" s="6"/>
      <c r="Z1573" s="6">
        <f ca="1">('TUSD BE'!$AM$50+'TUSD BF'!$AM$50+'TUSD CVA'!$AM$50)*(1-CUSTOS!$M$38)</f>
        <v>472.08658309095875</v>
      </c>
      <c r="AA1573" s="6">
        <f>('TE BE'!$AB$33+'TE BF'!$AB$33+'TE CVA'!$AB$33)*(1-CUSTOS!$M$38)</f>
        <v>216.84105597414842</v>
      </c>
      <c r="AB1573" s="6">
        <f>$K$1573*$V$1573</f>
        <v>0</v>
      </c>
      <c r="AC1573" s="6">
        <f>$M$1573*$W$1573</f>
        <v>226630.59876000002</v>
      </c>
      <c r="AD1573" s="6">
        <f>$O$1573*$X$1573</f>
        <v>86320.388120000003</v>
      </c>
      <c r="AE1573" s="6">
        <f>$K$1573*$Y$1573</f>
        <v>0</v>
      </c>
      <c r="AF1573" s="6">
        <f ca="1">$M$1573*$Z$1573</f>
        <v>262247.87359969231</v>
      </c>
      <c r="AG1573" s="6">
        <f>$O$1573*$AA$1573</f>
        <v>120456.94132208725</v>
      </c>
    </row>
    <row r="1574" spans="1:33" ht="11.25" customHeight="1" x14ac:dyDescent="0.25">
      <c r="A1574" s="4" t="s">
        <v>29</v>
      </c>
      <c r="B1574" s="4" t="s">
        <v>46</v>
      </c>
      <c r="C1574" s="4" t="s">
        <v>23</v>
      </c>
      <c r="D1574" s="4" t="s">
        <v>47</v>
      </c>
      <c r="E1574" s="4" t="s">
        <v>25</v>
      </c>
      <c r="F1574" s="4" t="s">
        <v>25</v>
      </c>
      <c r="G1574" s="4" t="s">
        <v>25</v>
      </c>
      <c r="H1574" s="4" t="s">
        <v>25</v>
      </c>
      <c r="I1574" s="5">
        <v>44682</v>
      </c>
      <c r="J1574" s="6">
        <v>0</v>
      </c>
      <c r="K1574" s="6">
        <v>0</v>
      </c>
      <c r="L1574" s="6">
        <v>-0.11799999999999999</v>
      </c>
      <c r="M1574" s="6">
        <v>-0.11799999999999999</v>
      </c>
      <c r="N1574" s="6">
        <v>-0.11799999999999999</v>
      </c>
      <c r="O1574" s="6">
        <v>-0.11799999999999999</v>
      </c>
      <c r="P1574" s="6">
        <v>0</v>
      </c>
      <c r="Q1574" s="4" t="s">
        <v>26</v>
      </c>
      <c r="R1574" s="4">
        <v>0</v>
      </c>
      <c r="S1574" s="6">
        <v>0</v>
      </c>
      <c r="T1574" s="6">
        <v>52</v>
      </c>
      <c r="U1574" s="6">
        <v>96</v>
      </c>
      <c r="V1574" s="6">
        <f>IF(ISERROR(VLOOKUP($S$1574,'TAR FIN'!$A$1:$O$115,15,0)),0,VLOOKUP($S$1574,'TAR FIN'!$A$1:$O$115,15,0))</f>
        <v>0</v>
      </c>
      <c r="W1574" s="6">
        <f>IF(ISERROR(VLOOKUP($T$1574,'TAR FIN'!$A$1:$O$115,15,0)),0,VLOOKUP($T$1574,'TAR FIN'!$A$1:$O$115,15,0))</f>
        <v>407.97</v>
      </c>
      <c r="X1574" s="6">
        <f>IF(ISERROR(VLOOKUP($U$1574,'TAR FIN'!$A$1:$O$115,15,0)),0,VLOOKUP($U$1574,'TAR FIN'!$A$1:$O$115,15,0))</f>
        <v>155.38999999999999</v>
      </c>
      <c r="Y1574" s="6"/>
      <c r="Z1574" s="6">
        <f ca="1">('TUSD BE'!$AM$50+'TUSD BF'!$AM$50+'TUSD CVA'!$AM$50)*(1-CUSTOS!$M$38)</f>
        <v>472.08658309095875</v>
      </c>
      <c r="AA1574" s="6">
        <f>('TE BE'!$AB$33+'TE BF'!$AB$33+'TE CVA'!$AB$33)*(1-CUSTOS!$M$38)</f>
        <v>216.84105597414842</v>
      </c>
      <c r="AB1574" s="6">
        <f>$K$1574*$V$1574</f>
        <v>0</v>
      </c>
      <c r="AC1574" s="6">
        <f>$M$1574*$W$1574</f>
        <v>-48.140459999999997</v>
      </c>
      <c r="AD1574" s="6">
        <f>$O$1574*$X$1574</f>
        <v>-18.336019999999998</v>
      </c>
      <c r="AE1574" s="6">
        <f>$K$1574*$Y$1574</f>
        <v>0</v>
      </c>
      <c r="AF1574" s="6">
        <f ca="1">$M$1574*$Z$1574</f>
        <v>-55.706216804733131</v>
      </c>
      <c r="AG1574" s="6">
        <f>$O$1574*$AA$1574</f>
        <v>-25.587244604949511</v>
      </c>
    </row>
    <row r="1575" spans="1:33" ht="11.25" customHeight="1" x14ac:dyDescent="0.25">
      <c r="A1575" s="4" t="s">
        <v>30</v>
      </c>
      <c r="B1575" s="4" t="s">
        <v>46</v>
      </c>
      <c r="C1575" s="4" t="s">
        <v>23</v>
      </c>
      <c r="D1575" s="4" t="s">
        <v>47</v>
      </c>
      <c r="E1575" s="4" t="s">
        <v>25</v>
      </c>
      <c r="F1575" s="4" t="s">
        <v>25</v>
      </c>
      <c r="G1575" s="4" t="s">
        <v>25</v>
      </c>
      <c r="H1575" s="4" t="s">
        <v>25</v>
      </c>
      <c r="I1575" s="5">
        <v>44682</v>
      </c>
      <c r="J1575" s="6">
        <v>0</v>
      </c>
      <c r="K1575" s="6">
        <v>0</v>
      </c>
      <c r="L1575" s="6">
        <v>50.243000000000002</v>
      </c>
      <c r="M1575" s="6">
        <v>50.243000000000002</v>
      </c>
      <c r="N1575" s="6">
        <v>50.243000000000002</v>
      </c>
      <c r="O1575" s="6">
        <v>50.243000000000002</v>
      </c>
      <c r="P1575" s="6">
        <v>266</v>
      </c>
      <c r="Q1575" s="4" t="s">
        <v>26</v>
      </c>
      <c r="R1575" s="4">
        <v>0</v>
      </c>
      <c r="S1575" s="6">
        <v>0</v>
      </c>
      <c r="T1575" s="6">
        <v>52</v>
      </c>
      <c r="U1575" s="6">
        <v>96</v>
      </c>
      <c r="V1575" s="6">
        <f>IF(ISERROR(VLOOKUP($S$1575,'TAR FIN'!$A$1:$O$115,15,0)),0,VLOOKUP($S$1575,'TAR FIN'!$A$1:$O$115,15,0))</f>
        <v>0</v>
      </c>
      <c r="W1575" s="6">
        <f>IF(ISERROR(VLOOKUP($T$1575,'TAR FIN'!$A$1:$O$115,15,0)),0,VLOOKUP($T$1575,'TAR FIN'!$A$1:$O$115,15,0))</f>
        <v>407.97</v>
      </c>
      <c r="X1575" s="6">
        <f>IF(ISERROR(VLOOKUP($U$1575,'TAR FIN'!$A$1:$O$115,15,0)),0,VLOOKUP($U$1575,'TAR FIN'!$A$1:$O$115,15,0))</f>
        <v>155.38999999999999</v>
      </c>
      <c r="Y1575" s="6"/>
      <c r="Z1575" s="6">
        <f ca="1">('TUSD BE'!$AM$50+'TUSD BF'!$AM$50+'TUSD CVA'!$AM$50)*(1-CUSTOS!$M$38)</f>
        <v>472.08658309095875</v>
      </c>
      <c r="AA1575" s="6">
        <f>('TE BE'!$AB$33+'TE BF'!$AB$33+'TE CVA'!$AB$33)*(1-CUSTOS!$M$38)</f>
        <v>216.84105597414842</v>
      </c>
      <c r="AB1575" s="6">
        <f>$K$1575*$V$1575</f>
        <v>0</v>
      </c>
      <c r="AC1575" s="6">
        <f>$M$1575*$W$1575</f>
        <v>20497.636710000002</v>
      </c>
      <c r="AD1575" s="6">
        <f>$O$1575*$X$1575</f>
        <v>7807.2597699999997</v>
      </c>
      <c r="AE1575" s="6">
        <f>$K$1575*$Y$1575</f>
        <v>0</v>
      </c>
      <c r="AF1575" s="6">
        <f ca="1">$M$1575*$Z$1575</f>
        <v>23719.046194239043</v>
      </c>
      <c r="AG1575" s="6">
        <f>$O$1575*$AA$1575</f>
        <v>10894.745175309139</v>
      </c>
    </row>
    <row r="1576" spans="1:33" ht="11.25" customHeight="1" x14ac:dyDescent="0.25">
      <c r="A1576" s="4" t="s">
        <v>30</v>
      </c>
      <c r="B1576" s="4" t="s">
        <v>46</v>
      </c>
      <c r="C1576" s="4" t="s">
        <v>23</v>
      </c>
      <c r="D1576" s="4" t="s">
        <v>47</v>
      </c>
      <c r="E1576" s="4" t="s">
        <v>25</v>
      </c>
      <c r="F1576" s="4" t="s">
        <v>25</v>
      </c>
      <c r="G1576" s="4" t="s">
        <v>25</v>
      </c>
      <c r="H1576" s="4" t="s">
        <v>25</v>
      </c>
      <c r="I1576" s="5">
        <v>44682</v>
      </c>
      <c r="J1576" s="6">
        <v>0</v>
      </c>
      <c r="K1576" s="6">
        <v>0</v>
      </c>
      <c r="L1576" s="6">
        <v>-4.1109999999999998</v>
      </c>
      <c r="M1576" s="6">
        <v>-4.1109999999999998</v>
      </c>
      <c r="N1576" s="6">
        <v>-4.1109999999999998</v>
      </c>
      <c r="O1576" s="6">
        <v>-4.1109999999999998</v>
      </c>
      <c r="P1576" s="6">
        <v>0</v>
      </c>
      <c r="Q1576" s="4" t="s">
        <v>26</v>
      </c>
      <c r="R1576" s="4">
        <v>0</v>
      </c>
      <c r="S1576" s="6">
        <v>0</v>
      </c>
      <c r="T1576" s="6">
        <v>52</v>
      </c>
      <c r="U1576" s="6">
        <v>96</v>
      </c>
      <c r="V1576" s="6">
        <f>IF(ISERROR(VLOOKUP($S$1576,'TAR FIN'!$A$1:$O$115,15,0)),0,VLOOKUP($S$1576,'TAR FIN'!$A$1:$O$115,15,0))</f>
        <v>0</v>
      </c>
      <c r="W1576" s="6">
        <f>IF(ISERROR(VLOOKUP($T$1576,'TAR FIN'!$A$1:$O$115,15,0)),0,VLOOKUP($T$1576,'TAR FIN'!$A$1:$O$115,15,0))</f>
        <v>407.97</v>
      </c>
      <c r="X1576" s="6">
        <f>IF(ISERROR(VLOOKUP($U$1576,'TAR FIN'!$A$1:$O$115,15,0)),0,VLOOKUP($U$1576,'TAR FIN'!$A$1:$O$115,15,0))</f>
        <v>155.38999999999999</v>
      </c>
      <c r="Y1576" s="6"/>
      <c r="Z1576" s="6">
        <f ca="1">('TUSD BE'!$AM$50+'TUSD BF'!$AM$50+'TUSD CVA'!$AM$50)*(1-CUSTOS!$M$38)</f>
        <v>472.08658309095875</v>
      </c>
      <c r="AA1576" s="6">
        <f>('TE BE'!$AB$33+'TE BF'!$AB$33+'TE CVA'!$AB$33)*(1-CUSTOS!$M$38)</f>
        <v>216.84105597414842</v>
      </c>
      <c r="AB1576" s="6">
        <f>$K$1576*$V$1576</f>
        <v>0</v>
      </c>
      <c r="AC1576" s="6">
        <f>$M$1576*$W$1576</f>
        <v>-1677.1646700000001</v>
      </c>
      <c r="AD1576" s="6">
        <f>$O$1576*$X$1576</f>
        <v>-638.80828999999994</v>
      </c>
      <c r="AE1576" s="6">
        <f>$K$1576*$Y$1576</f>
        <v>0</v>
      </c>
      <c r="AF1576" s="6">
        <f ca="1">$M$1576*$Z$1576</f>
        <v>-1940.7479430869314</v>
      </c>
      <c r="AG1576" s="6">
        <f>$O$1576*$AA$1576</f>
        <v>-891.43358110972406</v>
      </c>
    </row>
    <row r="1577" spans="1:33" ht="11.25" customHeight="1" x14ac:dyDescent="0.25">
      <c r="A1577" s="4" t="s">
        <v>21</v>
      </c>
      <c r="B1577" s="4" t="s">
        <v>46</v>
      </c>
      <c r="C1577" s="4" t="s">
        <v>23</v>
      </c>
      <c r="D1577" s="4" t="s">
        <v>47</v>
      </c>
      <c r="E1577" s="4" t="s">
        <v>25</v>
      </c>
      <c r="F1577" s="4" t="s">
        <v>25</v>
      </c>
      <c r="G1577" s="4" t="s">
        <v>25</v>
      </c>
      <c r="H1577" s="4" t="s">
        <v>25</v>
      </c>
      <c r="I1577" s="5">
        <v>44713</v>
      </c>
      <c r="J1577" s="6">
        <v>0</v>
      </c>
      <c r="K1577" s="6">
        <v>0</v>
      </c>
      <c r="L1577" s="6">
        <v>2815.1010000000001</v>
      </c>
      <c r="M1577" s="6">
        <v>2815.1010000000001</v>
      </c>
      <c r="N1577" s="6">
        <v>2815.1010000000001</v>
      </c>
      <c r="O1577" s="6">
        <v>2815.1010000000001</v>
      </c>
      <c r="P1577" s="6">
        <v>15374</v>
      </c>
      <c r="Q1577" s="4" t="s">
        <v>26</v>
      </c>
      <c r="R1577" s="4">
        <v>0</v>
      </c>
      <c r="S1577" s="6">
        <v>0</v>
      </c>
      <c r="T1577" s="6">
        <v>52</v>
      </c>
      <c r="U1577" s="6">
        <v>96</v>
      </c>
      <c r="V1577" s="6">
        <f>IF(ISERROR(VLOOKUP($S$1577,'TAR FIN'!$A$1:$O$115,15,0)),0,VLOOKUP($S$1577,'TAR FIN'!$A$1:$O$115,15,0))</f>
        <v>0</v>
      </c>
      <c r="W1577" s="6">
        <f>IF(ISERROR(VLOOKUP($T$1577,'TAR FIN'!$A$1:$O$115,15,0)),0,VLOOKUP($T$1577,'TAR FIN'!$A$1:$O$115,15,0))</f>
        <v>407.97</v>
      </c>
      <c r="X1577" s="6">
        <f>IF(ISERROR(VLOOKUP($U$1577,'TAR FIN'!$A$1:$O$115,15,0)),0,VLOOKUP($U$1577,'TAR FIN'!$A$1:$O$115,15,0))</f>
        <v>155.38999999999999</v>
      </c>
      <c r="Y1577" s="6"/>
      <c r="Z1577" s="6">
        <f ca="1">('TUSD BE'!$AM$50+'TUSD BF'!$AM$50+'TUSD CVA'!$AM$50)*(1-CUSTOS!$M$38)</f>
        <v>472.08658309095875</v>
      </c>
      <c r="AA1577" s="6">
        <f>('TE BE'!$AB$33+'TE BF'!$AB$33+'TE CVA'!$AB$33)*(1-CUSTOS!$M$38)</f>
        <v>216.84105597414842</v>
      </c>
      <c r="AB1577" s="6">
        <f>$K$1577*$V$1577</f>
        <v>0</v>
      </c>
      <c r="AC1577" s="6">
        <f>$M$1577*$W$1577</f>
        <v>1148476.7549700001</v>
      </c>
      <c r="AD1577" s="6">
        <f>$O$1577*$X$1577</f>
        <v>437438.54439</v>
      </c>
      <c r="AE1577" s="6">
        <f>$K$1577*$Y$1577</f>
        <v>0</v>
      </c>
      <c r="AF1577" s="6">
        <f ca="1">$M$1577*$Z$1577</f>
        <v>1328971.4121459411</v>
      </c>
      <c r="AG1577" s="6">
        <f>$O$1577*$AA$1577</f>
        <v>610429.47351388121</v>
      </c>
    </row>
    <row r="1578" spans="1:33" ht="11.25" customHeight="1" x14ac:dyDescent="0.25">
      <c r="A1578" s="4" t="s">
        <v>27</v>
      </c>
      <c r="B1578" s="4" t="s">
        <v>46</v>
      </c>
      <c r="C1578" s="4" t="s">
        <v>23</v>
      </c>
      <c r="D1578" s="4" t="s">
        <v>47</v>
      </c>
      <c r="E1578" s="4" t="s">
        <v>25</v>
      </c>
      <c r="F1578" s="4" t="s">
        <v>25</v>
      </c>
      <c r="G1578" s="4" t="s">
        <v>25</v>
      </c>
      <c r="H1578" s="4" t="s">
        <v>25</v>
      </c>
      <c r="I1578" s="5">
        <v>44713</v>
      </c>
      <c r="J1578" s="6">
        <v>0</v>
      </c>
      <c r="K1578" s="6">
        <v>0</v>
      </c>
      <c r="L1578" s="6">
        <v>-58.545999999999999</v>
      </c>
      <c r="M1578" s="6">
        <v>-58.545999999999999</v>
      </c>
      <c r="N1578" s="6">
        <v>-58.545999999999999</v>
      </c>
      <c r="O1578" s="6">
        <v>-58.545999999999999</v>
      </c>
      <c r="P1578" s="6">
        <v>-9</v>
      </c>
      <c r="Q1578" s="4" t="s">
        <v>26</v>
      </c>
      <c r="R1578" s="4">
        <v>0</v>
      </c>
      <c r="S1578" s="6">
        <v>0</v>
      </c>
      <c r="T1578" s="6">
        <v>52</v>
      </c>
      <c r="U1578" s="6">
        <v>96</v>
      </c>
      <c r="V1578" s="6">
        <f>IF(ISERROR(VLOOKUP($S$1578,'TAR FIN'!$A$1:$O$115,15,0)),0,VLOOKUP($S$1578,'TAR FIN'!$A$1:$O$115,15,0))</f>
        <v>0</v>
      </c>
      <c r="W1578" s="6">
        <f>IF(ISERROR(VLOOKUP($T$1578,'TAR FIN'!$A$1:$O$115,15,0)),0,VLOOKUP($T$1578,'TAR FIN'!$A$1:$O$115,15,0))</f>
        <v>407.97</v>
      </c>
      <c r="X1578" s="6">
        <f>IF(ISERROR(VLOOKUP($U$1578,'TAR FIN'!$A$1:$O$115,15,0)),0,VLOOKUP($U$1578,'TAR FIN'!$A$1:$O$115,15,0))</f>
        <v>155.38999999999999</v>
      </c>
      <c r="Y1578" s="6"/>
      <c r="Z1578" s="6">
        <f ca="1">('TUSD BE'!$AM$50+'TUSD BF'!$AM$50+'TUSD CVA'!$AM$50)*(1-CUSTOS!$M$38)</f>
        <v>472.08658309095875</v>
      </c>
      <c r="AA1578" s="6">
        <f>('TE BE'!$AB$33+'TE BF'!$AB$33+'TE CVA'!$AB$33)*(1-CUSTOS!$M$38)</f>
        <v>216.84105597414842</v>
      </c>
      <c r="AB1578" s="6">
        <f>$K$1578*$V$1578</f>
        <v>0</v>
      </c>
      <c r="AC1578" s="6">
        <f>$M$1578*$W$1578</f>
        <v>-23885.011620000001</v>
      </c>
      <c r="AD1578" s="6">
        <f>$O$1578*$X$1578</f>
        <v>-9097.4629399999994</v>
      </c>
      <c r="AE1578" s="6">
        <f>$K$1578*$Y$1578</f>
        <v>0</v>
      </c>
      <c r="AF1578" s="6">
        <f ca="1">$M$1578*$Z$1578</f>
        <v>-27638.781093643272</v>
      </c>
      <c r="AG1578" s="6">
        <f>$O$1578*$AA$1578</f>
        <v>-12695.176463062493</v>
      </c>
    </row>
    <row r="1579" spans="1:33" ht="11.25" customHeight="1" x14ac:dyDescent="0.25">
      <c r="A1579" s="4" t="s">
        <v>28</v>
      </c>
      <c r="B1579" s="4" t="s">
        <v>46</v>
      </c>
      <c r="C1579" s="4" t="s">
        <v>23</v>
      </c>
      <c r="D1579" s="4" t="s">
        <v>47</v>
      </c>
      <c r="E1579" s="4" t="s">
        <v>25</v>
      </c>
      <c r="F1579" s="4" t="s">
        <v>25</v>
      </c>
      <c r="G1579" s="4" t="s">
        <v>25</v>
      </c>
      <c r="H1579" s="4" t="s">
        <v>25</v>
      </c>
      <c r="I1579" s="5">
        <v>44713</v>
      </c>
      <c r="J1579" s="6">
        <v>0</v>
      </c>
      <c r="K1579" s="6">
        <v>0</v>
      </c>
      <c r="L1579" s="6">
        <v>540.92100000000005</v>
      </c>
      <c r="M1579" s="6">
        <v>540.92100000000005</v>
      </c>
      <c r="N1579" s="6">
        <v>540.92100000000005</v>
      </c>
      <c r="O1579" s="6">
        <v>540.92100000000005</v>
      </c>
      <c r="P1579" s="6">
        <v>3559</v>
      </c>
      <c r="Q1579" s="4" t="s">
        <v>26</v>
      </c>
      <c r="R1579" s="4">
        <v>0</v>
      </c>
      <c r="S1579" s="6">
        <v>0</v>
      </c>
      <c r="T1579" s="6">
        <v>52</v>
      </c>
      <c r="U1579" s="6">
        <v>96</v>
      </c>
      <c r="V1579" s="6">
        <f>IF(ISERROR(VLOOKUP($S$1579,'TAR FIN'!$A$1:$O$115,15,0)),0,VLOOKUP($S$1579,'TAR FIN'!$A$1:$O$115,15,0))</f>
        <v>0</v>
      </c>
      <c r="W1579" s="6">
        <f>IF(ISERROR(VLOOKUP($T$1579,'TAR FIN'!$A$1:$O$115,15,0)),0,VLOOKUP($T$1579,'TAR FIN'!$A$1:$O$115,15,0))</f>
        <v>407.97</v>
      </c>
      <c r="X1579" s="6">
        <f>IF(ISERROR(VLOOKUP($U$1579,'TAR FIN'!$A$1:$O$115,15,0)),0,VLOOKUP($U$1579,'TAR FIN'!$A$1:$O$115,15,0))</f>
        <v>155.38999999999999</v>
      </c>
      <c r="Y1579" s="6"/>
      <c r="Z1579" s="6">
        <f ca="1">('TUSD BE'!$AM$50+'TUSD BF'!$AM$50+'TUSD CVA'!$AM$50)*(1-CUSTOS!$M$38)</f>
        <v>472.08658309095875</v>
      </c>
      <c r="AA1579" s="6">
        <f>('TE BE'!$AB$33+'TE BF'!$AB$33+'TE CVA'!$AB$33)*(1-CUSTOS!$M$38)</f>
        <v>216.84105597414842</v>
      </c>
      <c r="AB1579" s="6">
        <f>$K$1579*$V$1579</f>
        <v>0</v>
      </c>
      <c r="AC1579" s="6">
        <f>$M$1579*$W$1579</f>
        <v>220679.54037000003</v>
      </c>
      <c r="AD1579" s="6">
        <f>$O$1579*$X$1579</f>
        <v>84053.714189999999</v>
      </c>
      <c r="AE1579" s="6">
        <f>$K$1579*$Y$1579</f>
        <v>0</v>
      </c>
      <c r="AF1579" s="6">
        <f ca="1">$M$1579*$Z$1579</f>
        <v>255361.54661214454</v>
      </c>
      <c r="AG1579" s="6">
        <f>$O$1579*$AA$1579</f>
        <v>117293.88083859235</v>
      </c>
    </row>
    <row r="1580" spans="1:33" ht="11.25" customHeight="1" x14ac:dyDescent="0.25">
      <c r="A1580" s="4" t="s">
        <v>29</v>
      </c>
      <c r="B1580" s="4" t="s">
        <v>46</v>
      </c>
      <c r="C1580" s="4" t="s">
        <v>23</v>
      </c>
      <c r="D1580" s="4" t="s">
        <v>47</v>
      </c>
      <c r="E1580" s="4" t="s">
        <v>25</v>
      </c>
      <c r="F1580" s="4" t="s">
        <v>25</v>
      </c>
      <c r="G1580" s="4" t="s">
        <v>25</v>
      </c>
      <c r="H1580" s="4" t="s">
        <v>25</v>
      </c>
      <c r="I1580" s="5">
        <v>44713</v>
      </c>
      <c r="J1580" s="6">
        <v>0</v>
      </c>
      <c r="K1580" s="6">
        <v>0</v>
      </c>
      <c r="L1580" s="6">
        <v>-19.776</v>
      </c>
      <c r="M1580" s="6">
        <v>-19.776</v>
      </c>
      <c r="N1580" s="6">
        <v>-19.776</v>
      </c>
      <c r="O1580" s="6">
        <v>-19.776</v>
      </c>
      <c r="P1580" s="6">
        <v>-4</v>
      </c>
      <c r="Q1580" s="4" t="s">
        <v>26</v>
      </c>
      <c r="R1580" s="4">
        <v>0</v>
      </c>
      <c r="S1580" s="6">
        <v>0</v>
      </c>
      <c r="T1580" s="6">
        <v>52</v>
      </c>
      <c r="U1580" s="6">
        <v>96</v>
      </c>
      <c r="V1580" s="6">
        <f>IF(ISERROR(VLOOKUP($S$1580,'TAR FIN'!$A$1:$O$115,15,0)),0,VLOOKUP($S$1580,'TAR FIN'!$A$1:$O$115,15,0))</f>
        <v>0</v>
      </c>
      <c r="W1580" s="6">
        <f>IF(ISERROR(VLOOKUP($T$1580,'TAR FIN'!$A$1:$O$115,15,0)),0,VLOOKUP($T$1580,'TAR FIN'!$A$1:$O$115,15,0))</f>
        <v>407.97</v>
      </c>
      <c r="X1580" s="6">
        <f>IF(ISERROR(VLOOKUP($U$1580,'TAR FIN'!$A$1:$O$115,15,0)),0,VLOOKUP($U$1580,'TAR FIN'!$A$1:$O$115,15,0))</f>
        <v>155.38999999999999</v>
      </c>
      <c r="Y1580" s="6"/>
      <c r="Z1580" s="6">
        <f ca="1">('TUSD BE'!$AM$50+'TUSD BF'!$AM$50+'TUSD CVA'!$AM$50)*(1-CUSTOS!$M$38)</f>
        <v>472.08658309095875</v>
      </c>
      <c r="AA1580" s="6">
        <f>('TE BE'!$AB$33+'TE BF'!$AB$33+'TE CVA'!$AB$33)*(1-CUSTOS!$M$38)</f>
        <v>216.84105597414842</v>
      </c>
      <c r="AB1580" s="6">
        <f>$K$1580*$V$1580</f>
        <v>0</v>
      </c>
      <c r="AC1580" s="6">
        <f>$M$1580*$W$1580</f>
        <v>-8068.0147200000001</v>
      </c>
      <c r="AD1580" s="6">
        <f>$O$1580*$X$1580</f>
        <v>-3072.9926399999995</v>
      </c>
      <c r="AE1580" s="6">
        <f>$K$1580*$Y$1580</f>
        <v>0</v>
      </c>
      <c r="AF1580" s="6">
        <f ca="1">$M$1580*$Z$1580</f>
        <v>-9335.9842672068007</v>
      </c>
      <c r="AG1580" s="6">
        <f>$O$1580*$AA$1580</f>
        <v>-4288.2487229447588</v>
      </c>
    </row>
    <row r="1581" spans="1:33" ht="11.25" customHeight="1" x14ac:dyDescent="0.25">
      <c r="A1581" s="4" t="s">
        <v>30</v>
      </c>
      <c r="B1581" s="4" t="s">
        <v>46</v>
      </c>
      <c r="C1581" s="4" t="s">
        <v>23</v>
      </c>
      <c r="D1581" s="4" t="s">
        <v>47</v>
      </c>
      <c r="E1581" s="4" t="s">
        <v>25</v>
      </c>
      <c r="F1581" s="4" t="s">
        <v>25</v>
      </c>
      <c r="G1581" s="4" t="s">
        <v>25</v>
      </c>
      <c r="H1581" s="4" t="s">
        <v>25</v>
      </c>
      <c r="I1581" s="5">
        <v>44713</v>
      </c>
      <c r="J1581" s="6">
        <v>0</v>
      </c>
      <c r="K1581" s="6">
        <v>0</v>
      </c>
      <c r="L1581" s="6">
        <v>46.615000000000002</v>
      </c>
      <c r="M1581" s="6">
        <v>46.615000000000002</v>
      </c>
      <c r="N1581" s="6">
        <v>46.615000000000002</v>
      </c>
      <c r="O1581" s="6">
        <v>46.615000000000002</v>
      </c>
      <c r="P1581" s="6">
        <v>288</v>
      </c>
      <c r="Q1581" s="4" t="s">
        <v>26</v>
      </c>
      <c r="R1581" s="4">
        <v>0</v>
      </c>
      <c r="S1581" s="6">
        <v>0</v>
      </c>
      <c r="T1581" s="6">
        <v>52</v>
      </c>
      <c r="U1581" s="6">
        <v>96</v>
      </c>
      <c r="V1581" s="6">
        <f>IF(ISERROR(VLOOKUP($S$1581,'TAR FIN'!$A$1:$O$115,15,0)),0,VLOOKUP($S$1581,'TAR FIN'!$A$1:$O$115,15,0))</f>
        <v>0</v>
      </c>
      <c r="W1581" s="6">
        <f>IF(ISERROR(VLOOKUP($T$1581,'TAR FIN'!$A$1:$O$115,15,0)),0,VLOOKUP($T$1581,'TAR FIN'!$A$1:$O$115,15,0))</f>
        <v>407.97</v>
      </c>
      <c r="X1581" s="6">
        <f>IF(ISERROR(VLOOKUP($U$1581,'TAR FIN'!$A$1:$O$115,15,0)),0,VLOOKUP($U$1581,'TAR FIN'!$A$1:$O$115,15,0))</f>
        <v>155.38999999999999</v>
      </c>
      <c r="Y1581" s="6"/>
      <c r="Z1581" s="6">
        <f ca="1">('TUSD BE'!$AM$50+'TUSD BF'!$AM$50+'TUSD CVA'!$AM$50)*(1-CUSTOS!$M$38)</f>
        <v>472.08658309095875</v>
      </c>
      <c r="AA1581" s="6">
        <f>('TE BE'!$AB$33+'TE BF'!$AB$33+'TE CVA'!$AB$33)*(1-CUSTOS!$M$38)</f>
        <v>216.84105597414842</v>
      </c>
      <c r="AB1581" s="6">
        <f>$K$1581*$V$1581</f>
        <v>0</v>
      </c>
      <c r="AC1581" s="6">
        <f>$M$1581*$W$1581</f>
        <v>19017.521550000001</v>
      </c>
      <c r="AD1581" s="6">
        <f>$O$1581*$X$1581</f>
        <v>7243.5048499999994</v>
      </c>
      <c r="AE1581" s="6">
        <f>$K$1581*$Y$1581</f>
        <v>0</v>
      </c>
      <c r="AF1581" s="6">
        <f ca="1">$M$1581*$Z$1581</f>
        <v>22006.316070785044</v>
      </c>
      <c r="AG1581" s="6">
        <f>$O$1581*$AA$1581</f>
        <v>10108.045824234929</v>
      </c>
    </row>
    <row r="1582" spans="1:33" ht="11.25" customHeight="1" x14ac:dyDescent="0.25">
      <c r="A1582" s="4" t="s">
        <v>30</v>
      </c>
      <c r="B1582" s="4" t="s">
        <v>46</v>
      </c>
      <c r="C1582" s="4" t="s">
        <v>23</v>
      </c>
      <c r="D1582" s="4" t="s">
        <v>47</v>
      </c>
      <c r="E1582" s="4" t="s">
        <v>25</v>
      </c>
      <c r="F1582" s="4" t="s">
        <v>25</v>
      </c>
      <c r="G1582" s="4" t="s">
        <v>25</v>
      </c>
      <c r="H1582" s="4" t="s">
        <v>25</v>
      </c>
      <c r="I1582" s="5">
        <v>44713</v>
      </c>
      <c r="J1582" s="6">
        <v>0</v>
      </c>
      <c r="K1582" s="6">
        <v>0</v>
      </c>
      <c r="L1582" s="6">
        <v>1.7000000000000001E-2</v>
      </c>
      <c r="M1582" s="6">
        <v>1.7000000000000001E-2</v>
      </c>
      <c r="N1582" s="6">
        <v>1.7000000000000001E-2</v>
      </c>
      <c r="O1582" s="6">
        <v>1.7000000000000001E-2</v>
      </c>
      <c r="P1582" s="6">
        <v>0</v>
      </c>
      <c r="Q1582" s="4" t="s">
        <v>26</v>
      </c>
      <c r="R1582" s="4">
        <v>0</v>
      </c>
      <c r="S1582" s="6">
        <v>0</v>
      </c>
      <c r="T1582" s="6">
        <v>52</v>
      </c>
      <c r="U1582" s="6">
        <v>96</v>
      </c>
      <c r="V1582" s="6">
        <f>IF(ISERROR(VLOOKUP($S$1582,'TAR FIN'!$A$1:$O$115,15,0)),0,VLOOKUP($S$1582,'TAR FIN'!$A$1:$O$115,15,0))</f>
        <v>0</v>
      </c>
      <c r="W1582" s="6">
        <f>IF(ISERROR(VLOOKUP($T$1582,'TAR FIN'!$A$1:$O$115,15,0)),0,VLOOKUP($T$1582,'TAR FIN'!$A$1:$O$115,15,0))</f>
        <v>407.97</v>
      </c>
      <c r="X1582" s="6">
        <f>IF(ISERROR(VLOOKUP($U$1582,'TAR FIN'!$A$1:$O$115,15,0)),0,VLOOKUP($U$1582,'TAR FIN'!$A$1:$O$115,15,0))</f>
        <v>155.38999999999999</v>
      </c>
      <c r="Y1582" s="6"/>
      <c r="Z1582" s="6">
        <f ca="1">('TUSD BE'!$AM$50+'TUSD BF'!$AM$50+'TUSD CVA'!$AM$50)*(1-CUSTOS!$M$38)</f>
        <v>472.08658309095875</v>
      </c>
      <c r="AA1582" s="6">
        <f>('TE BE'!$AB$33+'TE BF'!$AB$33+'TE CVA'!$AB$33)*(1-CUSTOS!$M$38)</f>
        <v>216.84105597414842</v>
      </c>
      <c r="AB1582" s="6">
        <f>$K$1582*$V$1582</f>
        <v>0</v>
      </c>
      <c r="AC1582" s="6">
        <f>$M$1582*$W$1582</f>
        <v>6.9354900000000006</v>
      </c>
      <c r="AD1582" s="6">
        <f>$O$1582*$X$1582</f>
        <v>2.6416300000000001</v>
      </c>
      <c r="AE1582" s="6">
        <f>$K$1582*$Y$1582</f>
        <v>0</v>
      </c>
      <c r="AF1582" s="6">
        <f ca="1">$M$1582*$Z$1582</f>
        <v>8.0254719125462994</v>
      </c>
      <c r="AG1582" s="6">
        <f>$O$1582*$AA$1582</f>
        <v>3.6862979515605234</v>
      </c>
    </row>
    <row r="1583" spans="1:33" ht="11.25" customHeight="1" x14ac:dyDescent="0.25">
      <c r="A1583" s="4" t="s">
        <v>21</v>
      </c>
      <c r="B1583" s="4" t="s">
        <v>46</v>
      </c>
      <c r="C1583" s="4" t="s">
        <v>23</v>
      </c>
      <c r="D1583" s="4" t="s">
        <v>47</v>
      </c>
      <c r="E1583" s="4" t="s">
        <v>25</v>
      </c>
      <c r="F1583" s="4" t="s">
        <v>25</v>
      </c>
      <c r="G1583" s="4" t="s">
        <v>25</v>
      </c>
      <c r="H1583" s="4" t="s">
        <v>25</v>
      </c>
      <c r="I1583" s="5">
        <v>44743</v>
      </c>
      <c r="J1583" s="6">
        <v>0</v>
      </c>
      <c r="K1583" s="6">
        <v>0</v>
      </c>
      <c r="L1583" s="6">
        <v>3019.623</v>
      </c>
      <c r="M1583" s="6">
        <v>3019.623</v>
      </c>
      <c r="N1583" s="6">
        <v>3019.623</v>
      </c>
      <c r="O1583" s="6">
        <v>3019.623</v>
      </c>
      <c r="P1583" s="6">
        <v>15356</v>
      </c>
      <c r="Q1583" s="4" t="s">
        <v>26</v>
      </c>
      <c r="R1583" s="4">
        <v>0</v>
      </c>
      <c r="S1583" s="6">
        <v>0</v>
      </c>
      <c r="T1583" s="6">
        <v>52</v>
      </c>
      <c r="U1583" s="6">
        <v>96</v>
      </c>
      <c r="V1583" s="6">
        <f>IF(ISERROR(VLOOKUP($S$1583,'TAR FIN'!$A$1:$O$115,15,0)),0,VLOOKUP($S$1583,'TAR FIN'!$A$1:$O$115,15,0))</f>
        <v>0</v>
      </c>
      <c r="W1583" s="6">
        <f>IF(ISERROR(VLOOKUP($T$1583,'TAR FIN'!$A$1:$O$115,15,0)),0,VLOOKUP($T$1583,'TAR FIN'!$A$1:$O$115,15,0))</f>
        <v>407.97</v>
      </c>
      <c r="X1583" s="6">
        <f>IF(ISERROR(VLOOKUP($U$1583,'TAR FIN'!$A$1:$O$115,15,0)),0,VLOOKUP($U$1583,'TAR FIN'!$A$1:$O$115,15,0))</f>
        <v>155.38999999999999</v>
      </c>
      <c r="Y1583" s="6"/>
      <c r="Z1583" s="6">
        <f ca="1">('TUSD BE'!$AM$50+'TUSD BF'!$AM$50+'TUSD CVA'!$AM$50)*(1-CUSTOS!$M$38)</f>
        <v>472.08658309095875</v>
      </c>
      <c r="AA1583" s="6">
        <f>('TE BE'!$AB$33+'TE BF'!$AB$33+'TE CVA'!$AB$33)*(1-CUSTOS!$M$38)</f>
        <v>216.84105597414842</v>
      </c>
      <c r="AB1583" s="6">
        <f>$K$1583*$V$1583</f>
        <v>0</v>
      </c>
      <c r="AC1583" s="6">
        <f>$M$1583*$W$1583</f>
        <v>1231915.59531</v>
      </c>
      <c r="AD1583" s="6">
        <f>$O$1583*$X$1583</f>
        <v>469219.21796999994</v>
      </c>
      <c r="AE1583" s="6">
        <f>$K$1583*$Y$1583</f>
        <v>0</v>
      </c>
      <c r="AF1583" s="6">
        <f ca="1">$M$1583*$Z$1583</f>
        <v>1425523.5042928702</v>
      </c>
      <c r="AG1583" s="6">
        <f>$O$1583*$AA$1583</f>
        <v>654778.23996382602</v>
      </c>
    </row>
    <row r="1584" spans="1:33" ht="11.25" customHeight="1" x14ac:dyDescent="0.25">
      <c r="A1584" s="4" t="s">
        <v>27</v>
      </c>
      <c r="B1584" s="4" t="s">
        <v>46</v>
      </c>
      <c r="C1584" s="4" t="s">
        <v>23</v>
      </c>
      <c r="D1584" s="4" t="s">
        <v>47</v>
      </c>
      <c r="E1584" s="4" t="s">
        <v>25</v>
      </c>
      <c r="F1584" s="4" t="s">
        <v>25</v>
      </c>
      <c r="G1584" s="4" t="s">
        <v>25</v>
      </c>
      <c r="H1584" s="4" t="s">
        <v>25</v>
      </c>
      <c r="I1584" s="5">
        <v>44743</v>
      </c>
      <c r="J1584" s="6">
        <v>0</v>
      </c>
      <c r="K1584" s="6">
        <v>0</v>
      </c>
      <c r="L1584" s="6">
        <v>-23.911000000000001</v>
      </c>
      <c r="M1584" s="6">
        <v>-23.911000000000001</v>
      </c>
      <c r="N1584" s="6">
        <v>-23.911000000000001</v>
      </c>
      <c r="O1584" s="6">
        <v>-23.911000000000001</v>
      </c>
      <c r="P1584" s="6">
        <v>-26</v>
      </c>
      <c r="Q1584" s="4" t="s">
        <v>26</v>
      </c>
      <c r="R1584" s="4">
        <v>0</v>
      </c>
      <c r="S1584" s="6">
        <v>0</v>
      </c>
      <c r="T1584" s="6">
        <v>52</v>
      </c>
      <c r="U1584" s="6">
        <v>96</v>
      </c>
      <c r="V1584" s="6">
        <f>IF(ISERROR(VLOOKUP($S$1584,'TAR FIN'!$A$1:$O$115,15,0)),0,VLOOKUP($S$1584,'TAR FIN'!$A$1:$O$115,15,0))</f>
        <v>0</v>
      </c>
      <c r="W1584" s="6">
        <f>IF(ISERROR(VLOOKUP($T$1584,'TAR FIN'!$A$1:$O$115,15,0)),0,VLOOKUP($T$1584,'TAR FIN'!$A$1:$O$115,15,0))</f>
        <v>407.97</v>
      </c>
      <c r="X1584" s="6">
        <f>IF(ISERROR(VLOOKUP($U$1584,'TAR FIN'!$A$1:$O$115,15,0)),0,VLOOKUP($U$1584,'TAR FIN'!$A$1:$O$115,15,0))</f>
        <v>155.38999999999999</v>
      </c>
      <c r="Y1584" s="6"/>
      <c r="Z1584" s="6">
        <f ca="1">('TUSD BE'!$AM$50+'TUSD BF'!$AM$50+'TUSD CVA'!$AM$50)*(1-CUSTOS!$M$38)</f>
        <v>472.08658309095875</v>
      </c>
      <c r="AA1584" s="6">
        <f>('TE BE'!$AB$33+'TE BF'!$AB$33+'TE CVA'!$AB$33)*(1-CUSTOS!$M$38)</f>
        <v>216.84105597414842</v>
      </c>
      <c r="AB1584" s="6">
        <f>$K$1584*$V$1584</f>
        <v>0</v>
      </c>
      <c r="AC1584" s="6">
        <f>$M$1584*$W$1584</f>
        <v>-9754.9706700000006</v>
      </c>
      <c r="AD1584" s="6">
        <f>$O$1584*$X$1584</f>
        <v>-3715.5302899999997</v>
      </c>
      <c r="AE1584" s="6">
        <f>$K$1584*$Y$1584</f>
        <v>0</v>
      </c>
      <c r="AF1584" s="6">
        <f ca="1">$M$1584*$Z$1584</f>
        <v>-11288.062288287916</v>
      </c>
      <c r="AG1584" s="6">
        <f>$O$1584*$AA$1584</f>
        <v>-5184.8864893978634</v>
      </c>
    </row>
    <row r="1585" spans="1:33" ht="11.25" customHeight="1" x14ac:dyDescent="0.25">
      <c r="A1585" s="4" t="s">
        <v>28</v>
      </c>
      <c r="B1585" s="4" t="s">
        <v>46</v>
      </c>
      <c r="C1585" s="4" t="s">
        <v>23</v>
      </c>
      <c r="D1585" s="4" t="s">
        <v>47</v>
      </c>
      <c r="E1585" s="4" t="s">
        <v>25</v>
      </c>
      <c r="F1585" s="4" t="s">
        <v>25</v>
      </c>
      <c r="G1585" s="4" t="s">
        <v>25</v>
      </c>
      <c r="H1585" s="4" t="s">
        <v>25</v>
      </c>
      <c r="I1585" s="5">
        <v>44743</v>
      </c>
      <c r="J1585" s="6">
        <v>0</v>
      </c>
      <c r="K1585" s="6">
        <v>0</v>
      </c>
      <c r="L1585" s="6">
        <v>582.73400000000004</v>
      </c>
      <c r="M1585" s="6">
        <v>582.73400000000004</v>
      </c>
      <c r="N1585" s="6">
        <v>582.73400000000004</v>
      </c>
      <c r="O1585" s="6">
        <v>582.73400000000004</v>
      </c>
      <c r="P1585" s="6">
        <v>3633</v>
      </c>
      <c r="Q1585" s="4" t="s">
        <v>26</v>
      </c>
      <c r="R1585" s="4">
        <v>0</v>
      </c>
      <c r="S1585" s="6">
        <v>0</v>
      </c>
      <c r="T1585" s="6">
        <v>52</v>
      </c>
      <c r="U1585" s="6">
        <v>96</v>
      </c>
      <c r="V1585" s="6">
        <f>IF(ISERROR(VLOOKUP($S$1585,'TAR FIN'!$A$1:$O$115,15,0)),0,VLOOKUP($S$1585,'TAR FIN'!$A$1:$O$115,15,0))</f>
        <v>0</v>
      </c>
      <c r="W1585" s="6">
        <f>IF(ISERROR(VLOOKUP($T$1585,'TAR FIN'!$A$1:$O$115,15,0)),0,VLOOKUP($T$1585,'TAR FIN'!$A$1:$O$115,15,0))</f>
        <v>407.97</v>
      </c>
      <c r="X1585" s="6">
        <f>IF(ISERROR(VLOOKUP($U$1585,'TAR FIN'!$A$1:$O$115,15,0)),0,VLOOKUP($U$1585,'TAR FIN'!$A$1:$O$115,15,0))</f>
        <v>155.38999999999999</v>
      </c>
      <c r="Y1585" s="6"/>
      <c r="Z1585" s="6">
        <f ca="1">('TUSD BE'!$AM$50+'TUSD BF'!$AM$50+'TUSD CVA'!$AM$50)*(1-CUSTOS!$M$38)</f>
        <v>472.08658309095875</v>
      </c>
      <c r="AA1585" s="6">
        <f>('TE BE'!$AB$33+'TE BF'!$AB$33+'TE CVA'!$AB$33)*(1-CUSTOS!$M$38)</f>
        <v>216.84105597414842</v>
      </c>
      <c r="AB1585" s="6">
        <f>$K$1585*$V$1585</f>
        <v>0</v>
      </c>
      <c r="AC1585" s="6">
        <f>$M$1585*$W$1585</f>
        <v>237737.98998000004</v>
      </c>
      <c r="AD1585" s="6">
        <f>$O$1585*$X$1585</f>
        <v>90551.036259999993</v>
      </c>
      <c r="AE1585" s="6">
        <f>$K$1585*$Y$1585</f>
        <v>0</v>
      </c>
      <c r="AF1585" s="6">
        <f ca="1">$M$1585*$Z$1585</f>
        <v>275100.90291092679</v>
      </c>
      <c r="AG1585" s="6">
        <f>$O$1585*$AA$1585</f>
        <v>126360.65591203941</v>
      </c>
    </row>
    <row r="1586" spans="1:33" ht="11.25" customHeight="1" x14ac:dyDescent="0.25">
      <c r="A1586" s="4" t="s">
        <v>29</v>
      </c>
      <c r="B1586" s="4" t="s">
        <v>46</v>
      </c>
      <c r="C1586" s="4" t="s">
        <v>23</v>
      </c>
      <c r="D1586" s="4" t="s">
        <v>47</v>
      </c>
      <c r="E1586" s="4" t="s">
        <v>25</v>
      </c>
      <c r="F1586" s="4" t="s">
        <v>25</v>
      </c>
      <c r="G1586" s="4" t="s">
        <v>25</v>
      </c>
      <c r="H1586" s="4" t="s">
        <v>25</v>
      </c>
      <c r="I1586" s="5">
        <v>44743</v>
      </c>
      <c r="J1586" s="6">
        <v>0</v>
      </c>
      <c r="K1586" s="6">
        <v>0</v>
      </c>
      <c r="L1586" s="6">
        <v>-0.622</v>
      </c>
      <c r="M1586" s="6">
        <v>-0.622</v>
      </c>
      <c r="N1586" s="6">
        <v>-0.622</v>
      </c>
      <c r="O1586" s="6">
        <v>-0.622</v>
      </c>
      <c r="P1586" s="6">
        <v>0</v>
      </c>
      <c r="Q1586" s="4" t="s">
        <v>26</v>
      </c>
      <c r="R1586" s="4">
        <v>0</v>
      </c>
      <c r="S1586" s="6">
        <v>0</v>
      </c>
      <c r="T1586" s="6">
        <v>52</v>
      </c>
      <c r="U1586" s="6">
        <v>96</v>
      </c>
      <c r="V1586" s="6">
        <f>IF(ISERROR(VLOOKUP($S$1586,'TAR FIN'!$A$1:$O$115,15,0)),0,VLOOKUP($S$1586,'TAR FIN'!$A$1:$O$115,15,0))</f>
        <v>0</v>
      </c>
      <c r="W1586" s="6">
        <f>IF(ISERROR(VLOOKUP($T$1586,'TAR FIN'!$A$1:$O$115,15,0)),0,VLOOKUP($T$1586,'TAR FIN'!$A$1:$O$115,15,0))</f>
        <v>407.97</v>
      </c>
      <c r="X1586" s="6">
        <f>IF(ISERROR(VLOOKUP($U$1586,'TAR FIN'!$A$1:$O$115,15,0)),0,VLOOKUP($U$1586,'TAR FIN'!$A$1:$O$115,15,0))</f>
        <v>155.38999999999999</v>
      </c>
      <c r="Y1586" s="6"/>
      <c r="Z1586" s="6">
        <f ca="1">('TUSD BE'!$AM$50+'TUSD BF'!$AM$50+'TUSD CVA'!$AM$50)*(1-CUSTOS!$M$38)</f>
        <v>472.08658309095875</v>
      </c>
      <c r="AA1586" s="6">
        <f>('TE BE'!$AB$33+'TE BF'!$AB$33+'TE CVA'!$AB$33)*(1-CUSTOS!$M$38)</f>
        <v>216.84105597414842</v>
      </c>
      <c r="AB1586" s="6">
        <f>$K$1586*$V$1586</f>
        <v>0</v>
      </c>
      <c r="AC1586" s="6">
        <f>$M$1586*$W$1586</f>
        <v>-253.75734000000003</v>
      </c>
      <c r="AD1586" s="6">
        <f>$O$1586*$X$1586</f>
        <v>-96.652579999999986</v>
      </c>
      <c r="AE1586" s="6">
        <f>$K$1586*$Y$1586</f>
        <v>0</v>
      </c>
      <c r="AF1586" s="6">
        <f ca="1">$M$1586*$Z$1586</f>
        <v>-293.63785468257635</v>
      </c>
      <c r="AG1586" s="6">
        <f>$O$1586*$AA$1586</f>
        <v>-134.87513681592031</v>
      </c>
    </row>
    <row r="1587" spans="1:33" ht="11.25" customHeight="1" x14ac:dyDescent="0.25">
      <c r="A1587" s="4" t="s">
        <v>30</v>
      </c>
      <c r="B1587" s="4" t="s">
        <v>46</v>
      </c>
      <c r="C1587" s="4" t="s">
        <v>23</v>
      </c>
      <c r="D1587" s="4" t="s">
        <v>47</v>
      </c>
      <c r="E1587" s="4" t="s">
        <v>25</v>
      </c>
      <c r="F1587" s="4" t="s">
        <v>25</v>
      </c>
      <c r="G1587" s="4" t="s">
        <v>25</v>
      </c>
      <c r="H1587" s="4" t="s">
        <v>25</v>
      </c>
      <c r="I1587" s="5">
        <v>44743</v>
      </c>
      <c r="J1587" s="6">
        <v>0</v>
      </c>
      <c r="K1587" s="6">
        <v>0</v>
      </c>
      <c r="L1587" s="6">
        <v>46.082999999999998</v>
      </c>
      <c r="M1587" s="6">
        <v>46.082999999999998</v>
      </c>
      <c r="N1587" s="6">
        <v>46.082999999999998</v>
      </c>
      <c r="O1587" s="6">
        <v>46.082999999999998</v>
      </c>
      <c r="P1587" s="6">
        <v>297</v>
      </c>
      <c r="Q1587" s="4" t="s">
        <v>26</v>
      </c>
      <c r="R1587" s="4">
        <v>0</v>
      </c>
      <c r="S1587" s="6">
        <v>0</v>
      </c>
      <c r="T1587" s="6">
        <v>52</v>
      </c>
      <c r="U1587" s="6">
        <v>96</v>
      </c>
      <c r="V1587" s="6">
        <f>IF(ISERROR(VLOOKUP($S$1587,'TAR FIN'!$A$1:$O$115,15,0)),0,VLOOKUP($S$1587,'TAR FIN'!$A$1:$O$115,15,0))</f>
        <v>0</v>
      </c>
      <c r="W1587" s="6">
        <f>IF(ISERROR(VLOOKUP($T$1587,'TAR FIN'!$A$1:$O$115,15,0)),0,VLOOKUP($T$1587,'TAR FIN'!$A$1:$O$115,15,0))</f>
        <v>407.97</v>
      </c>
      <c r="X1587" s="6">
        <f>IF(ISERROR(VLOOKUP($U$1587,'TAR FIN'!$A$1:$O$115,15,0)),0,VLOOKUP($U$1587,'TAR FIN'!$A$1:$O$115,15,0))</f>
        <v>155.38999999999999</v>
      </c>
      <c r="Y1587" s="6"/>
      <c r="Z1587" s="6">
        <f ca="1">('TUSD BE'!$AM$50+'TUSD BF'!$AM$50+'TUSD CVA'!$AM$50)*(1-CUSTOS!$M$38)</f>
        <v>472.08658309095875</v>
      </c>
      <c r="AA1587" s="6">
        <f>('TE BE'!$AB$33+'TE BF'!$AB$33+'TE CVA'!$AB$33)*(1-CUSTOS!$M$38)</f>
        <v>216.84105597414842</v>
      </c>
      <c r="AB1587" s="6">
        <f>$K$1587*$V$1587</f>
        <v>0</v>
      </c>
      <c r="AC1587" s="6">
        <f>$M$1587*$W$1587</f>
        <v>18800.481510000001</v>
      </c>
      <c r="AD1587" s="6">
        <f>$O$1587*$X$1587</f>
        <v>7160.8373699999993</v>
      </c>
      <c r="AE1587" s="6">
        <f>$K$1587*$Y$1587</f>
        <v>0</v>
      </c>
      <c r="AF1587" s="6">
        <f ca="1">$M$1587*$Z$1587</f>
        <v>21755.166008580651</v>
      </c>
      <c r="AG1587" s="6">
        <f>$O$1587*$AA$1587</f>
        <v>9992.6863824566808</v>
      </c>
    </row>
    <row r="1588" spans="1:33" ht="11.25" customHeight="1" x14ac:dyDescent="0.25">
      <c r="A1588" s="4" t="s">
        <v>30</v>
      </c>
      <c r="B1588" s="4" t="s">
        <v>46</v>
      </c>
      <c r="C1588" s="4" t="s">
        <v>23</v>
      </c>
      <c r="D1588" s="4" t="s">
        <v>47</v>
      </c>
      <c r="E1588" s="4" t="s">
        <v>25</v>
      </c>
      <c r="F1588" s="4" t="s">
        <v>25</v>
      </c>
      <c r="G1588" s="4" t="s">
        <v>25</v>
      </c>
      <c r="H1588" s="4" t="s">
        <v>25</v>
      </c>
      <c r="I1588" s="5">
        <v>44743</v>
      </c>
      <c r="J1588" s="6">
        <v>0</v>
      </c>
      <c r="K1588" s="6">
        <v>0</v>
      </c>
      <c r="L1588" s="6">
        <v>-1.7749999999999999</v>
      </c>
      <c r="M1588" s="6">
        <v>-1.7749999999999999</v>
      </c>
      <c r="N1588" s="6">
        <v>-1.7749999999999999</v>
      </c>
      <c r="O1588" s="6">
        <v>-1.7749999999999999</v>
      </c>
      <c r="P1588" s="6">
        <v>0</v>
      </c>
      <c r="Q1588" s="4" t="s">
        <v>26</v>
      </c>
      <c r="R1588" s="4">
        <v>0</v>
      </c>
      <c r="S1588" s="6">
        <v>0</v>
      </c>
      <c r="T1588" s="6">
        <v>52</v>
      </c>
      <c r="U1588" s="6">
        <v>96</v>
      </c>
      <c r="V1588" s="6">
        <f>IF(ISERROR(VLOOKUP($S$1588,'TAR FIN'!$A$1:$O$115,15,0)),0,VLOOKUP($S$1588,'TAR FIN'!$A$1:$O$115,15,0))</f>
        <v>0</v>
      </c>
      <c r="W1588" s="6">
        <f>IF(ISERROR(VLOOKUP($T$1588,'TAR FIN'!$A$1:$O$115,15,0)),0,VLOOKUP($T$1588,'TAR FIN'!$A$1:$O$115,15,0))</f>
        <v>407.97</v>
      </c>
      <c r="X1588" s="6">
        <f>IF(ISERROR(VLOOKUP($U$1588,'TAR FIN'!$A$1:$O$115,15,0)),0,VLOOKUP($U$1588,'TAR FIN'!$A$1:$O$115,15,0))</f>
        <v>155.38999999999999</v>
      </c>
      <c r="Y1588" s="6"/>
      <c r="Z1588" s="6">
        <f ca="1">('TUSD BE'!$AM$50+'TUSD BF'!$AM$50+'TUSD CVA'!$AM$50)*(1-CUSTOS!$M$38)</f>
        <v>472.08658309095875</v>
      </c>
      <c r="AA1588" s="6">
        <f>('TE BE'!$AB$33+'TE BF'!$AB$33+'TE CVA'!$AB$33)*(1-CUSTOS!$M$38)</f>
        <v>216.84105597414842</v>
      </c>
      <c r="AB1588" s="6">
        <f>$K$1588*$V$1588</f>
        <v>0</v>
      </c>
      <c r="AC1588" s="6">
        <f>$M$1588*$W$1588</f>
        <v>-724.14675</v>
      </c>
      <c r="AD1588" s="6">
        <f>$O$1588*$X$1588</f>
        <v>-275.81724999999994</v>
      </c>
      <c r="AE1588" s="6">
        <f>$K$1588*$Y$1588</f>
        <v>0</v>
      </c>
      <c r="AF1588" s="6">
        <f ca="1">$M$1588*$Z$1588</f>
        <v>-837.95368498645178</v>
      </c>
      <c r="AG1588" s="6">
        <f>$O$1588*$AA$1588</f>
        <v>-384.89287435411342</v>
      </c>
    </row>
    <row r="1589" spans="1:33" ht="11.25" customHeight="1" x14ac:dyDescent="0.25">
      <c r="A1589" s="4" t="s">
        <v>21</v>
      </c>
      <c r="B1589" s="4" t="s">
        <v>46</v>
      </c>
      <c r="C1589" s="4" t="s">
        <v>23</v>
      </c>
      <c r="D1589" s="4" t="s">
        <v>47</v>
      </c>
      <c r="E1589" s="4" t="s">
        <v>25</v>
      </c>
      <c r="F1589" s="4" t="s">
        <v>25</v>
      </c>
      <c r="G1589" s="4" t="s">
        <v>25</v>
      </c>
      <c r="H1589" s="4" t="s">
        <v>25</v>
      </c>
      <c r="I1589" s="5">
        <v>44774</v>
      </c>
      <c r="J1589" s="6">
        <v>0</v>
      </c>
      <c r="K1589" s="6">
        <v>0</v>
      </c>
      <c r="L1589" s="6">
        <v>3155.2730000000001</v>
      </c>
      <c r="M1589" s="6">
        <v>3155.2730000000001</v>
      </c>
      <c r="N1589" s="6">
        <v>3155.2730000000001</v>
      </c>
      <c r="O1589" s="6">
        <v>3155.2730000000001</v>
      </c>
      <c r="P1589" s="6">
        <v>15334</v>
      </c>
      <c r="Q1589" s="4" t="s">
        <v>26</v>
      </c>
      <c r="R1589" s="4">
        <v>0</v>
      </c>
      <c r="S1589" s="6">
        <v>0</v>
      </c>
      <c r="T1589" s="6">
        <v>52</v>
      </c>
      <c r="U1589" s="6">
        <v>96</v>
      </c>
      <c r="V1589" s="6">
        <f>IF(ISERROR(VLOOKUP($S$1589,'TAR FIN'!$A$1:$O$115,15,0)),0,VLOOKUP($S$1589,'TAR FIN'!$A$1:$O$115,15,0))</f>
        <v>0</v>
      </c>
      <c r="W1589" s="6">
        <f>IF(ISERROR(VLOOKUP($T$1589,'TAR FIN'!$A$1:$O$115,15,0)),0,VLOOKUP($T$1589,'TAR FIN'!$A$1:$O$115,15,0))</f>
        <v>407.97</v>
      </c>
      <c r="X1589" s="6">
        <f>IF(ISERROR(VLOOKUP($U$1589,'TAR FIN'!$A$1:$O$115,15,0)),0,VLOOKUP($U$1589,'TAR FIN'!$A$1:$O$115,15,0))</f>
        <v>155.38999999999999</v>
      </c>
      <c r="Y1589" s="6"/>
      <c r="Z1589" s="6">
        <f ca="1">('TUSD BE'!$AM$50+'TUSD BF'!$AM$50+'TUSD CVA'!$AM$50)*(1-CUSTOS!$M$38)</f>
        <v>472.08658309095875</v>
      </c>
      <c r="AA1589" s="6">
        <f>('TE BE'!$AB$33+'TE BF'!$AB$33+'TE CVA'!$AB$33)*(1-CUSTOS!$M$38)</f>
        <v>216.84105597414842</v>
      </c>
      <c r="AB1589" s="6">
        <f>$K$1589*$V$1589</f>
        <v>0</v>
      </c>
      <c r="AC1589" s="6">
        <f>$M$1589*$W$1589</f>
        <v>1287256.7258100002</v>
      </c>
      <c r="AD1589" s="6">
        <f>$O$1589*$X$1589</f>
        <v>490297.87146999995</v>
      </c>
      <c r="AE1589" s="6">
        <f>$K$1589*$Y$1589</f>
        <v>0</v>
      </c>
      <c r="AF1589" s="6">
        <f ca="1">$M$1589*$Z$1589</f>
        <v>1489562.0492891588</v>
      </c>
      <c r="AG1589" s="6">
        <f>$O$1589*$AA$1589</f>
        <v>684192.7292067192</v>
      </c>
    </row>
    <row r="1590" spans="1:33" ht="11.25" customHeight="1" x14ac:dyDescent="0.25">
      <c r="A1590" s="4" t="s">
        <v>27</v>
      </c>
      <c r="B1590" s="4" t="s">
        <v>46</v>
      </c>
      <c r="C1590" s="4" t="s">
        <v>23</v>
      </c>
      <c r="D1590" s="4" t="s">
        <v>47</v>
      </c>
      <c r="E1590" s="4" t="s">
        <v>25</v>
      </c>
      <c r="F1590" s="4" t="s">
        <v>25</v>
      </c>
      <c r="G1590" s="4" t="s">
        <v>25</v>
      </c>
      <c r="H1590" s="4" t="s">
        <v>25</v>
      </c>
      <c r="I1590" s="5">
        <v>44774</v>
      </c>
      <c r="J1590" s="6">
        <v>0</v>
      </c>
      <c r="K1590" s="6">
        <v>0</v>
      </c>
      <c r="L1590" s="6">
        <v>-14.010999999999999</v>
      </c>
      <c r="M1590" s="6">
        <v>-14.010999999999999</v>
      </c>
      <c r="N1590" s="6">
        <v>-14.010999999999999</v>
      </c>
      <c r="O1590" s="6">
        <v>-14.010999999999999</v>
      </c>
      <c r="P1590" s="6">
        <v>-7</v>
      </c>
      <c r="Q1590" s="4" t="s">
        <v>26</v>
      </c>
      <c r="R1590" s="4">
        <v>0</v>
      </c>
      <c r="S1590" s="6">
        <v>0</v>
      </c>
      <c r="T1590" s="6">
        <v>52</v>
      </c>
      <c r="U1590" s="6">
        <v>96</v>
      </c>
      <c r="V1590" s="6">
        <f>IF(ISERROR(VLOOKUP($S$1590,'TAR FIN'!$A$1:$O$115,15,0)),0,VLOOKUP($S$1590,'TAR FIN'!$A$1:$O$115,15,0))</f>
        <v>0</v>
      </c>
      <c r="W1590" s="6">
        <f>IF(ISERROR(VLOOKUP($T$1590,'TAR FIN'!$A$1:$O$115,15,0)),0,VLOOKUP($T$1590,'TAR FIN'!$A$1:$O$115,15,0))</f>
        <v>407.97</v>
      </c>
      <c r="X1590" s="6">
        <f>IF(ISERROR(VLOOKUP($U$1590,'TAR FIN'!$A$1:$O$115,15,0)),0,VLOOKUP($U$1590,'TAR FIN'!$A$1:$O$115,15,0))</f>
        <v>155.38999999999999</v>
      </c>
      <c r="Y1590" s="6"/>
      <c r="Z1590" s="6">
        <f ca="1">('TUSD BE'!$AM$50+'TUSD BF'!$AM$50+'TUSD CVA'!$AM$50)*(1-CUSTOS!$M$38)</f>
        <v>472.08658309095875</v>
      </c>
      <c r="AA1590" s="6">
        <f>('TE BE'!$AB$33+'TE BF'!$AB$33+'TE CVA'!$AB$33)*(1-CUSTOS!$M$38)</f>
        <v>216.84105597414842</v>
      </c>
      <c r="AB1590" s="6">
        <f>$K$1590*$V$1590</f>
        <v>0</v>
      </c>
      <c r="AC1590" s="6">
        <f>$M$1590*$W$1590</f>
        <v>-5716.0676700000004</v>
      </c>
      <c r="AD1590" s="6">
        <f>$O$1590*$X$1590</f>
        <v>-2177.1692899999998</v>
      </c>
      <c r="AE1590" s="6">
        <f>$K$1590*$Y$1590</f>
        <v>0</v>
      </c>
      <c r="AF1590" s="6">
        <f ca="1">$M$1590*$Z$1590</f>
        <v>-6614.4051156874229</v>
      </c>
      <c r="AG1590" s="6">
        <f>$O$1590*$AA$1590</f>
        <v>-3038.1600352537935</v>
      </c>
    </row>
    <row r="1591" spans="1:33" ht="11.25" customHeight="1" x14ac:dyDescent="0.25">
      <c r="A1591" s="4" t="s">
        <v>28</v>
      </c>
      <c r="B1591" s="4" t="s">
        <v>46</v>
      </c>
      <c r="C1591" s="4" t="s">
        <v>23</v>
      </c>
      <c r="D1591" s="4" t="s">
        <v>47</v>
      </c>
      <c r="E1591" s="4" t="s">
        <v>25</v>
      </c>
      <c r="F1591" s="4" t="s">
        <v>25</v>
      </c>
      <c r="G1591" s="4" t="s">
        <v>25</v>
      </c>
      <c r="H1591" s="4" t="s">
        <v>25</v>
      </c>
      <c r="I1591" s="5">
        <v>44774</v>
      </c>
      <c r="J1591" s="6">
        <v>0</v>
      </c>
      <c r="K1591" s="6">
        <v>0</v>
      </c>
      <c r="L1591" s="6">
        <v>603.70399999999995</v>
      </c>
      <c r="M1591" s="6">
        <v>603.70399999999995</v>
      </c>
      <c r="N1591" s="6">
        <v>603.70399999999995</v>
      </c>
      <c r="O1591" s="6">
        <v>603.70399999999995</v>
      </c>
      <c r="P1591" s="6">
        <v>3643</v>
      </c>
      <c r="Q1591" s="4" t="s">
        <v>26</v>
      </c>
      <c r="R1591" s="4">
        <v>0</v>
      </c>
      <c r="S1591" s="6">
        <v>0</v>
      </c>
      <c r="T1591" s="6">
        <v>52</v>
      </c>
      <c r="U1591" s="6">
        <v>96</v>
      </c>
      <c r="V1591" s="6">
        <f>IF(ISERROR(VLOOKUP($S$1591,'TAR FIN'!$A$1:$O$115,15,0)),0,VLOOKUP($S$1591,'TAR FIN'!$A$1:$O$115,15,0))</f>
        <v>0</v>
      </c>
      <c r="W1591" s="6">
        <f>IF(ISERROR(VLOOKUP($T$1591,'TAR FIN'!$A$1:$O$115,15,0)),0,VLOOKUP($T$1591,'TAR FIN'!$A$1:$O$115,15,0))</f>
        <v>407.97</v>
      </c>
      <c r="X1591" s="6">
        <f>IF(ISERROR(VLOOKUP($U$1591,'TAR FIN'!$A$1:$O$115,15,0)),0,VLOOKUP($U$1591,'TAR FIN'!$A$1:$O$115,15,0))</f>
        <v>155.38999999999999</v>
      </c>
      <c r="Y1591" s="6"/>
      <c r="Z1591" s="6">
        <f ca="1">('TUSD BE'!$AM$50+'TUSD BF'!$AM$50+'TUSD CVA'!$AM$50)*(1-CUSTOS!$M$38)</f>
        <v>472.08658309095875</v>
      </c>
      <c r="AA1591" s="6">
        <f>('TE BE'!$AB$33+'TE BF'!$AB$33+'TE CVA'!$AB$33)*(1-CUSTOS!$M$38)</f>
        <v>216.84105597414842</v>
      </c>
      <c r="AB1591" s="6">
        <f>$K$1591*$V$1591</f>
        <v>0</v>
      </c>
      <c r="AC1591" s="6">
        <f>$M$1591*$W$1591</f>
        <v>246293.12088</v>
      </c>
      <c r="AD1591" s="6">
        <f>$O$1591*$X$1591</f>
        <v>93809.564559999984</v>
      </c>
      <c r="AE1591" s="6">
        <f>$K$1591*$Y$1591</f>
        <v>0</v>
      </c>
      <c r="AF1591" s="6">
        <f ca="1">$M$1591*$Z$1591</f>
        <v>285000.55855834414</v>
      </c>
      <c r="AG1591" s="6">
        <f>$O$1591*$AA$1591</f>
        <v>130907.81285581729</v>
      </c>
    </row>
    <row r="1592" spans="1:33" ht="11.25" customHeight="1" x14ac:dyDescent="0.25">
      <c r="A1592" s="4" t="s">
        <v>29</v>
      </c>
      <c r="B1592" s="4" t="s">
        <v>46</v>
      </c>
      <c r="C1592" s="4" t="s">
        <v>23</v>
      </c>
      <c r="D1592" s="4" t="s">
        <v>47</v>
      </c>
      <c r="E1592" s="4" t="s">
        <v>25</v>
      </c>
      <c r="F1592" s="4" t="s">
        <v>25</v>
      </c>
      <c r="G1592" s="4" t="s">
        <v>25</v>
      </c>
      <c r="H1592" s="4" t="s">
        <v>25</v>
      </c>
      <c r="I1592" s="5">
        <v>44774</v>
      </c>
      <c r="J1592" s="6">
        <v>0</v>
      </c>
      <c r="K1592" s="6">
        <v>0</v>
      </c>
      <c r="L1592" s="6">
        <v>-10.214</v>
      </c>
      <c r="M1592" s="6">
        <v>-10.214</v>
      </c>
      <c r="N1592" s="6">
        <v>-10.214</v>
      </c>
      <c r="O1592" s="6">
        <v>-10.214</v>
      </c>
      <c r="P1592" s="6">
        <v>-1</v>
      </c>
      <c r="Q1592" s="4" t="s">
        <v>26</v>
      </c>
      <c r="R1592" s="4">
        <v>0</v>
      </c>
      <c r="S1592" s="6">
        <v>0</v>
      </c>
      <c r="T1592" s="6">
        <v>52</v>
      </c>
      <c r="U1592" s="6">
        <v>96</v>
      </c>
      <c r="V1592" s="6">
        <f>IF(ISERROR(VLOOKUP($S$1592,'TAR FIN'!$A$1:$O$115,15,0)),0,VLOOKUP($S$1592,'TAR FIN'!$A$1:$O$115,15,0))</f>
        <v>0</v>
      </c>
      <c r="W1592" s="6">
        <f>IF(ISERROR(VLOOKUP($T$1592,'TAR FIN'!$A$1:$O$115,15,0)),0,VLOOKUP($T$1592,'TAR FIN'!$A$1:$O$115,15,0))</f>
        <v>407.97</v>
      </c>
      <c r="X1592" s="6">
        <f>IF(ISERROR(VLOOKUP($U$1592,'TAR FIN'!$A$1:$O$115,15,0)),0,VLOOKUP($U$1592,'TAR FIN'!$A$1:$O$115,15,0))</f>
        <v>155.38999999999999</v>
      </c>
      <c r="Y1592" s="6"/>
      <c r="Z1592" s="6">
        <f ca="1">('TUSD BE'!$AM$50+'TUSD BF'!$AM$50+'TUSD CVA'!$AM$50)*(1-CUSTOS!$M$38)</f>
        <v>472.08658309095875</v>
      </c>
      <c r="AA1592" s="6">
        <f>('TE BE'!$AB$33+'TE BF'!$AB$33+'TE CVA'!$AB$33)*(1-CUSTOS!$M$38)</f>
        <v>216.84105597414842</v>
      </c>
      <c r="AB1592" s="6">
        <f>$K$1592*$V$1592</f>
        <v>0</v>
      </c>
      <c r="AC1592" s="6">
        <f>$M$1592*$W$1592</f>
        <v>-4167.00558</v>
      </c>
      <c r="AD1592" s="6">
        <f>$O$1592*$X$1592</f>
        <v>-1587.15346</v>
      </c>
      <c r="AE1592" s="6">
        <f>$K$1592*$Y$1592</f>
        <v>0</v>
      </c>
      <c r="AF1592" s="6">
        <f ca="1">$M$1592*$Z$1592</f>
        <v>-4821.8923596910527</v>
      </c>
      <c r="AG1592" s="6">
        <f>$O$1592*$AA$1592</f>
        <v>-2214.8145457199521</v>
      </c>
    </row>
    <row r="1593" spans="1:33" ht="11.25" customHeight="1" x14ac:dyDescent="0.25">
      <c r="A1593" s="4" t="s">
        <v>30</v>
      </c>
      <c r="B1593" s="4" t="s">
        <v>46</v>
      </c>
      <c r="C1593" s="4" t="s">
        <v>23</v>
      </c>
      <c r="D1593" s="4" t="s">
        <v>47</v>
      </c>
      <c r="E1593" s="4" t="s">
        <v>25</v>
      </c>
      <c r="F1593" s="4" t="s">
        <v>25</v>
      </c>
      <c r="G1593" s="4" t="s">
        <v>25</v>
      </c>
      <c r="H1593" s="4" t="s">
        <v>25</v>
      </c>
      <c r="I1593" s="5">
        <v>44774</v>
      </c>
      <c r="J1593" s="6">
        <v>0</v>
      </c>
      <c r="K1593" s="6">
        <v>0</v>
      </c>
      <c r="L1593" s="6">
        <v>48.884999999999998</v>
      </c>
      <c r="M1593" s="6">
        <v>48.884999999999998</v>
      </c>
      <c r="N1593" s="6">
        <v>48.884999999999998</v>
      </c>
      <c r="O1593" s="6">
        <v>48.884999999999998</v>
      </c>
      <c r="P1593" s="6">
        <v>327</v>
      </c>
      <c r="Q1593" s="4" t="s">
        <v>26</v>
      </c>
      <c r="R1593" s="4">
        <v>0</v>
      </c>
      <c r="S1593" s="6">
        <v>0</v>
      </c>
      <c r="T1593" s="6">
        <v>52</v>
      </c>
      <c r="U1593" s="6">
        <v>96</v>
      </c>
      <c r="V1593" s="6">
        <f>IF(ISERROR(VLOOKUP($S$1593,'TAR FIN'!$A$1:$O$115,15,0)),0,VLOOKUP($S$1593,'TAR FIN'!$A$1:$O$115,15,0))</f>
        <v>0</v>
      </c>
      <c r="W1593" s="6">
        <f>IF(ISERROR(VLOOKUP($T$1593,'TAR FIN'!$A$1:$O$115,15,0)),0,VLOOKUP($T$1593,'TAR FIN'!$A$1:$O$115,15,0))</f>
        <v>407.97</v>
      </c>
      <c r="X1593" s="6">
        <f>IF(ISERROR(VLOOKUP($U$1593,'TAR FIN'!$A$1:$O$115,15,0)),0,VLOOKUP($U$1593,'TAR FIN'!$A$1:$O$115,15,0))</f>
        <v>155.38999999999999</v>
      </c>
      <c r="Y1593" s="6"/>
      <c r="Z1593" s="6">
        <f ca="1">('TUSD BE'!$AM$50+'TUSD BF'!$AM$50+'TUSD CVA'!$AM$50)*(1-CUSTOS!$M$38)</f>
        <v>472.08658309095875</v>
      </c>
      <c r="AA1593" s="6">
        <f>('TE BE'!$AB$33+'TE BF'!$AB$33+'TE CVA'!$AB$33)*(1-CUSTOS!$M$38)</f>
        <v>216.84105597414842</v>
      </c>
      <c r="AB1593" s="6">
        <f>$K$1593*$V$1593</f>
        <v>0</v>
      </c>
      <c r="AC1593" s="6">
        <f>$M$1593*$W$1593</f>
        <v>19943.613450000001</v>
      </c>
      <c r="AD1593" s="6">
        <f>$O$1593*$X$1593</f>
        <v>7596.2401499999987</v>
      </c>
      <c r="AE1593" s="6">
        <f>$K$1593*$Y$1593</f>
        <v>0</v>
      </c>
      <c r="AF1593" s="6">
        <f ca="1">$M$1593*$Z$1593</f>
        <v>23077.952614401518</v>
      </c>
      <c r="AG1593" s="6">
        <f>$O$1593*$AA$1593</f>
        <v>10600.275021296246</v>
      </c>
    </row>
    <row r="1594" spans="1:33" ht="11.25" customHeight="1" x14ac:dyDescent="0.25">
      <c r="A1594" s="4" t="s">
        <v>21</v>
      </c>
      <c r="B1594" s="4" t="s">
        <v>46</v>
      </c>
      <c r="C1594" s="4" t="s">
        <v>23</v>
      </c>
      <c r="D1594" s="4" t="s">
        <v>47</v>
      </c>
      <c r="E1594" s="4" t="s">
        <v>25</v>
      </c>
      <c r="F1594" s="4" t="s">
        <v>25</v>
      </c>
      <c r="G1594" s="4" t="s">
        <v>25</v>
      </c>
      <c r="H1594" s="4" t="s">
        <v>25</v>
      </c>
      <c r="I1594" s="5">
        <v>44805</v>
      </c>
      <c r="J1594" s="6">
        <v>0</v>
      </c>
      <c r="K1594" s="6">
        <v>0</v>
      </c>
      <c r="L1594" s="6">
        <v>3011.6759999999999</v>
      </c>
      <c r="M1594" s="6">
        <v>3011.6759999999999</v>
      </c>
      <c r="N1594" s="6">
        <v>3011.6759999999999</v>
      </c>
      <c r="O1594" s="6">
        <v>3011.6759999999999</v>
      </c>
      <c r="P1594" s="6">
        <v>15309</v>
      </c>
      <c r="Q1594" s="4" t="s">
        <v>26</v>
      </c>
      <c r="R1594" s="4">
        <v>0</v>
      </c>
      <c r="S1594" s="6">
        <v>0</v>
      </c>
      <c r="T1594" s="6">
        <v>52</v>
      </c>
      <c r="U1594" s="6">
        <v>96</v>
      </c>
      <c r="V1594" s="6">
        <f>IF(ISERROR(VLOOKUP($S$1594,'TAR FIN'!$A$1:$O$115,15,0)),0,VLOOKUP($S$1594,'TAR FIN'!$A$1:$O$115,15,0))</f>
        <v>0</v>
      </c>
      <c r="W1594" s="6">
        <f>IF(ISERROR(VLOOKUP($T$1594,'TAR FIN'!$A$1:$O$115,15,0)),0,VLOOKUP($T$1594,'TAR FIN'!$A$1:$O$115,15,0))</f>
        <v>407.97</v>
      </c>
      <c r="X1594" s="6">
        <f>IF(ISERROR(VLOOKUP($U$1594,'TAR FIN'!$A$1:$O$115,15,0)),0,VLOOKUP($U$1594,'TAR FIN'!$A$1:$O$115,15,0))</f>
        <v>155.38999999999999</v>
      </c>
      <c r="Y1594" s="6"/>
      <c r="Z1594" s="6">
        <f ca="1">('TUSD BE'!$AM$50+'TUSD BF'!$AM$50+'TUSD CVA'!$AM$50)*(1-CUSTOS!$M$38)</f>
        <v>472.08658309095875</v>
      </c>
      <c r="AA1594" s="6">
        <f>('TE BE'!$AB$33+'TE BF'!$AB$33+'TE CVA'!$AB$33)*(1-CUSTOS!$M$38)</f>
        <v>216.84105597414842</v>
      </c>
      <c r="AB1594" s="6">
        <f>$K$1594*$V$1594</f>
        <v>0</v>
      </c>
      <c r="AC1594" s="6">
        <f>$M$1594*$W$1594</f>
        <v>1228673.4577200001</v>
      </c>
      <c r="AD1594" s="6">
        <f>$O$1594*$X$1594</f>
        <v>467984.33363999997</v>
      </c>
      <c r="AE1594" s="6">
        <f>$K$1594*$Y$1594</f>
        <v>0</v>
      </c>
      <c r="AF1594" s="6">
        <f ca="1">$M$1594*$Z$1594</f>
        <v>1421771.8322170463</v>
      </c>
      <c r="AG1594" s="6">
        <f>$O$1594*$AA$1594</f>
        <v>653055.00409199938</v>
      </c>
    </row>
    <row r="1595" spans="1:33" ht="11.25" customHeight="1" x14ac:dyDescent="0.25">
      <c r="A1595" s="4" t="s">
        <v>27</v>
      </c>
      <c r="B1595" s="4" t="s">
        <v>46</v>
      </c>
      <c r="C1595" s="4" t="s">
        <v>23</v>
      </c>
      <c r="D1595" s="4" t="s">
        <v>47</v>
      </c>
      <c r="E1595" s="4" t="s">
        <v>25</v>
      </c>
      <c r="F1595" s="4" t="s">
        <v>25</v>
      </c>
      <c r="G1595" s="4" t="s">
        <v>25</v>
      </c>
      <c r="H1595" s="4" t="s">
        <v>25</v>
      </c>
      <c r="I1595" s="5">
        <v>44805</v>
      </c>
      <c r="J1595" s="6">
        <v>0</v>
      </c>
      <c r="K1595" s="6">
        <v>0</v>
      </c>
      <c r="L1595" s="6">
        <v>-22.221</v>
      </c>
      <c r="M1595" s="6">
        <v>-22.221</v>
      </c>
      <c r="N1595" s="6">
        <v>-22.221</v>
      </c>
      <c r="O1595" s="6">
        <v>-22.221</v>
      </c>
      <c r="P1595" s="6">
        <v>-7</v>
      </c>
      <c r="Q1595" s="4" t="s">
        <v>26</v>
      </c>
      <c r="R1595" s="4">
        <v>0</v>
      </c>
      <c r="S1595" s="6">
        <v>0</v>
      </c>
      <c r="T1595" s="6">
        <v>52</v>
      </c>
      <c r="U1595" s="6">
        <v>96</v>
      </c>
      <c r="V1595" s="6">
        <f>IF(ISERROR(VLOOKUP($S$1595,'TAR FIN'!$A$1:$O$115,15,0)),0,VLOOKUP($S$1595,'TAR FIN'!$A$1:$O$115,15,0))</f>
        <v>0</v>
      </c>
      <c r="W1595" s="6">
        <f>IF(ISERROR(VLOOKUP($T$1595,'TAR FIN'!$A$1:$O$115,15,0)),0,VLOOKUP($T$1595,'TAR FIN'!$A$1:$O$115,15,0))</f>
        <v>407.97</v>
      </c>
      <c r="X1595" s="6">
        <f>IF(ISERROR(VLOOKUP($U$1595,'TAR FIN'!$A$1:$O$115,15,0)),0,VLOOKUP($U$1595,'TAR FIN'!$A$1:$O$115,15,0))</f>
        <v>155.38999999999999</v>
      </c>
      <c r="Y1595" s="6"/>
      <c r="Z1595" s="6">
        <f ca="1">('TUSD BE'!$AM$50+'TUSD BF'!$AM$50+'TUSD CVA'!$AM$50)*(1-CUSTOS!$M$38)</f>
        <v>472.08658309095875</v>
      </c>
      <c r="AA1595" s="6">
        <f>('TE BE'!$AB$33+'TE BF'!$AB$33+'TE CVA'!$AB$33)*(1-CUSTOS!$M$38)</f>
        <v>216.84105597414842</v>
      </c>
      <c r="AB1595" s="6">
        <f>$K$1595*$V$1595</f>
        <v>0</v>
      </c>
      <c r="AC1595" s="6">
        <f>$M$1595*$W$1595</f>
        <v>-9065.50137</v>
      </c>
      <c r="AD1595" s="6">
        <f>$O$1595*$X$1595</f>
        <v>-3452.9211899999996</v>
      </c>
      <c r="AE1595" s="6">
        <f>$K$1595*$Y$1595</f>
        <v>0</v>
      </c>
      <c r="AF1595" s="6">
        <f ca="1">$M$1595*$Z$1595</f>
        <v>-10490.235962864195</v>
      </c>
      <c r="AG1595" s="6">
        <f>$O$1595*$AA$1595</f>
        <v>-4818.4251048015522</v>
      </c>
    </row>
    <row r="1596" spans="1:33" ht="11.25" customHeight="1" x14ac:dyDescent="0.25">
      <c r="A1596" s="4" t="s">
        <v>28</v>
      </c>
      <c r="B1596" s="4" t="s">
        <v>46</v>
      </c>
      <c r="C1596" s="4" t="s">
        <v>23</v>
      </c>
      <c r="D1596" s="4" t="s">
        <v>47</v>
      </c>
      <c r="E1596" s="4" t="s">
        <v>25</v>
      </c>
      <c r="F1596" s="4" t="s">
        <v>25</v>
      </c>
      <c r="G1596" s="4" t="s">
        <v>25</v>
      </c>
      <c r="H1596" s="4" t="s">
        <v>25</v>
      </c>
      <c r="I1596" s="5">
        <v>44805</v>
      </c>
      <c r="J1596" s="6">
        <v>0</v>
      </c>
      <c r="K1596" s="6">
        <v>0</v>
      </c>
      <c r="L1596" s="6">
        <v>608.98199999999997</v>
      </c>
      <c r="M1596" s="6">
        <v>608.98199999999997</v>
      </c>
      <c r="N1596" s="6">
        <v>608.98199999999997</v>
      </c>
      <c r="O1596" s="6">
        <v>608.98199999999997</v>
      </c>
      <c r="P1596" s="6">
        <v>3679</v>
      </c>
      <c r="Q1596" s="4" t="s">
        <v>26</v>
      </c>
      <c r="R1596" s="4">
        <v>0</v>
      </c>
      <c r="S1596" s="6">
        <v>0</v>
      </c>
      <c r="T1596" s="6">
        <v>52</v>
      </c>
      <c r="U1596" s="6">
        <v>96</v>
      </c>
      <c r="V1596" s="6">
        <f>IF(ISERROR(VLOOKUP($S$1596,'TAR FIN'!$A$1:$O$115,15,0)),0,VLOOKUP($S$1596,'TAR FIN'!$A$1:$O$115,15,0))</f>
        <v>0</v>
      </c>
      <c r="W1596" s="6">
        <f>IF(ISERROR(VLOOKUP($T$1596,'TAR FIN'!$A$1:$O$115,15,0)),0,VLOOKUP($T$1596,'TAR FIN'!$A$1:$O$115,15,0))</f>
        <v>407.97</v>
      </c>
      <c r="X1596" s="6">
        <f>IF(ISERROR(VLOOKUP($U$1596,'TAR FIN'!$A$1:$O$115,15,0)),0,VLOOKUP($U$1596,'TAR FIN'!$A$1:$O$115,15,0))</f>
        <v>155.38999999999999</v>
      </c>
      <c r="Y1596" s="6"/>
      <c r="Z1596" s="6">
        <f ca="1">('TUSD BE'!$AM$50+'TUSD BF'!$AM$50+'TUSD CVA'!$AM$50)*(1-CUSTOS!$M$38)</f>
        <v>472.08658309095875</v>
      </c>
      <c r="AA1596" s="6">
        <f>('TE BE'!$AB$33+'TE BF'!$AB$33+'TE CVA'!$AB$33)*(1-CUSTOS!$M$38)</f>
        <v>216.84105597414842</v>
      </c>
      <c r="AB1596" s="6">
        <f>$K$1596*$V$1596</f>
        <v>0</v>
      </c>
      <c r="AC1596" s="6">
        <f>$M$1596*$W$1596</f>
        <v>248446.38654000001</v>
      </c>
      <c r="AD1596" s="6">
        <f>$O$1596*$X$1596</f>
        <v>94629.712979999982</v>
      </c>
      <c r="AE1596" s="6">
        <f>$K$1596*$Y$1596</f>
        <v>0</v>
      </c>
      <c r="AF1596" s="6">
        <f ca="1">$M$1596*$Z$1596</f>
        <v>287492.23154389823</v>
      </c>
      <c r="AG1596" s="6">
        <f>$O$1596*$AA$1596</f>
        <v>132052.29994924885</v>
      </c>
    </row>
    <row r="1597" spans="1:33" ht="11.25" customHeight="1" x14ac:dyDescent="0.25">
      <c r="A1597" s="4" t="s">
        <v>30</v>
      </c>
      <c r="B1597" s="4" t="s">
        <v>46</v>
      </c>
      <c r="C1597" s="4" t="s">
        <v>23</v>
      </c>
      <c r="D1597" s="4" t="s">
        <v>47</v>
      </c>
      <c r="E1597" s="4" t="s">
        <v>25</v>
      </c>
      <c r="F1597" s="4" t="s">
        <v>25</v>
      </c>
      <c r="G1597" s="4" t="s">
        <v>25</v>
      </c>
      <c r="H1597" s="4" t="s">
        <v>25</v>
      </c>
      <c r="I1597" s="5">
        <v>44805</v>
      </c>
      <c r="J1597" s="6">
        <v>0</v>
      </c>
      <c r="K1597" s="6">
        <v>0</v>
      </c>
      <c r="L1597" s="6">
        <v>45.816000000000003</v>
      </c>
      <c r="M1597" s="6">
        <v>45.816000000000003</v>
      </c>
      <c r="N1597" s="6">
        <v>45.816000000000003</v>
      </c>
      <c r="O1597" s="6">
        <v>45.816000000000003</v>
      </c>
      <c r="P1597" s="6">
        <v>337</v>
      </c>
      <c r="Q1597" s="4" t="s">
        <v>26</v>
      </c>
      <c r="R1597" s="4">
        <v>0</v>
      </c>
      <c r="S1597" s="6">
        <v>0</v>
      </c>
      <c r="T1597" s="6">
        <v>52</v>
      </c>
      <c r="U1597" s="6">
        <v>96</v>
      </c>
      <c r="V1597" s="6">
        <f>IF(ISERROR(VLOOKUP($S$1597,'TAR FIN'!$A$1:$O$115,15,0)),0,VLOOKUP($S$1597,'TAR FIN'!$A$1:$O$115,15,0))</f>
        <v>0</v>
      </c>
      <c r="W1597" s="6">
        <f>IF(ISERROR(VLOOKUP($T$1597,'TAR FIN'!$A$1:$O$115,15,0)),0,VLOOKUP($T$1597,'TAR FIN'!$A$1:$O$115,15,0))</f>
        <v>407.97</v>
      </c>
      <c r="X1597" s="6">
        <f>IF(ISERROR(VLOOKUP($U$1597,'TAR FIN'!$A$1:$O$115,15,0)),0,VLOOKUP($U$1597,'TAR FIN'!$A$1:$O$115,15,0))</f>
        <v>155.38999999999999</v>
      </c>
      <c r="Y1597" s="6"/>
      <c r="Z1597" s="6">
        <f ca="1">('TUSD BE'!$AM$50+'TUSD BF'!$AM$50+'TUSD CVA'!$AM$50)*(1-CUSTOS!$M$38)</f>
        <v>472.08658309095875</v>
      </c>
      <c r="AA1597" s="6">
        <f>('TE BE'!$AB$33+'TE BF'!$AB$33+'TE CVA'!$AB$33)*(1-CUSTOS!$M$38)</f>
        <v>216.84105597414842</v>
      </c>
      <c r="AB1597" s="6">
        <f>$K$1597*$V$1597</f>
        <v>0</v>
      </c>
      <c r="AC1597" s="6">
        <f>$M$1597*$W$1597</f>
        <v>18691.553520000001</v>
      </c>
      <c r="AD1597" s="6">
        <f>$O$1597*$X$1597</f>
        <v>7119.3482399999994</v>
      </c>
      <c r="AE1597" s="6">
        <f>$K$1597*$Y$1597</f>
        <v>0</v>
      </c>
      <c r="AF1597" s="6">
        <f ca="1">$M$1597*$Z$1597</f>
        <v>21629.118890895366</v>
      </c>
      <c r="AG1597" s="6">
        <f>$O$1597*$AA$1597</f>
        <v>9934.7898205115853</v>
      </c>
    </row>
    <row r="1598" spans="1:33" ht="11.25" customHeight="1" x14ac:dyDescent="0.25">
      <c r="A1598" s="4" t="s">
        <v>21</v>
      </c>
      <c r="B1598" s="4" t="s">
        <v>46</v>
      </c>
      <c r="C1598" s="4" t="s">
        <v>23</v>
      </c>
      <c r="D1598" s="4" t="s">
        <v>47</v>
      </c>
      <c r="E1598" s="4" t="s">
        <v>25</v>
      </c>
      <c r="F1598" s="4" t="s">
        <v>25</v>
      </c>
      <c r="G1598" s="4" t="s">
        <v>25</v>
      </c>
      <c r="H1598" s="4" t="s">
        <v>25</v>
      </c>
      <c r="I1598" s="5">
        <v>44835</v>
      </c>
      <c r="J1598" s="6">
        <v>0</v>
      </c>
      <c r="K1598" s="6">
        <v>0</v>
      </c>
      <c r="L1598" s="6">
        <v>3097.9110000000001</v>
      </c>
      <c r="M1598" s="6">
        <v>3097.9110000000001</v>
      </c>
      <c r="N1598" s="6">
        <v>3097.9110000000001</v>
      </c>
      <c r="O1598" s="6">
        <v>3097.9110000000001</v>
      </c>
      <c r="P1598" s="6">
        <v>15296</v>
      </c>
      <c r="Q1598" s="4" t="s">
        <v>26</v>
      </c>
      <c r="R1598" s="4">
        <v>0</v>
      </c>
      <c r="S1598" s="6">
        <v>0</v>
      </c>
      <c r="T1598" s="6">
        <v>52</v>
      </c>
      <c r="U1598" s="6">
        <v>96</v>
      </c>
      <c r="V1598" s="6">
        <f>IF(ISERROR(VLOOKUP($S$1598,'TAR FIN'!$A$1:$O$115,15,0)),0,VLOOKUP($S$1598,'TAR FIN'!$A$1:$O$115,15,0))</f>
        <v>0</v>
      </c>
      <c r="W1598" s="6">
        <f>IF(ISERROR(VLOOKUP($T$1598,'TAR FIN'!$A$1:$O$115,15,0)),0,VLOOKUP($T$1598,'TAR FIN'!$A$1:$O$115,15,0))</f>
        <v>407.97</v>
      </c>
      <c r="X1598" s="6">
        <f>IF(ISERROR(VLOOKUP($U$1598,'TAR FIN'!$A$1:$O$115,15,0)),0,VLOOKUP($U$1598,'TAR FIN'!$A$1:$O$115,15,0))</f>
        <v>155.38999999999999</v>
      </c>
      <c r="Y1598" s="6"/>
      <c r="Z1598" s="6">
        <f ca="1">('TUSD BE'!$AM$50+'TUSD BF'!$AM$50+'TUSD CVA'!$AM$50)*(1-CUSTOS!$M$38)</f>
        <v>472.08658309095875</v>
      </c>
      <c r="AA1598" s="6">
        <f>('TE BE'!$AB$33+'TE BF'!$AB$33+'TE CVA'!$AB$33)*(1-CUSTOS!$M$38)</f>
        <v>216.84105597414842</v>
      </c>
      <c r="AB1598" s="6">
        <f>$K$1598*$V$1598</f>
        <v>0</v>
      </c>
      <c r="AC1598" s="6">
        <f>$M$1598*$W$1598</f>
        <v>1263854.7506700002</v>
      </c>
      <c r="AD1598" s="6">
        <f>$O$1598*$X$1598</f>
        <v>481384.39028999995</v>
      </c>
      <c r="AE1598" s="6">
        <f>$K$1598*$Y$1598</f>
        <v>0</v>
      </c>
      <c r="AF1598" s="6">
        <f ca="1">$M$1598*$Z$1598</f>
        <v>1462482.2187098952</v>
      </c>
      <c r="AG1598" s="6">
        <f>$O$1598*$AA$1598</f>
        <v>671754.29255393008</v>
      </c>
    </row>
    <row r="1599" spans="1:33" ht="11.25" customHeight="1" x14ac:dyDescent="0.25">
      <c r="A1599" s="4" t="s">
        <v>27</v>
      </c>
      <c r="B1599" s="4" t="s">
        <v>46</v>
      </c>
      <c r="C1599" s="4" t="s">
        <v>23</v>
      </c>
      <c r="D1599" s="4" t="s">
        <v>47</v>
      </c>
      <c r="E1599" s="4" t="s">
        <v>25</v>
      </c>
      <c r="F1599" s="4" t="s">
        <v>25</v>
      </c>
      <c r="G1599" s="4" t="s">
        <v>25</v>
      </c>
      <c r="H1599" s="4" t="s">
        <v>25</v>
      </c>
      <c r="I1599" s="5">
        <v>44835</v>
      </c>
      <c r="J1599" s="6">
        <v>0</v>
      </c>
      <c r="K1599" s="6">
        <v>0</v>
      </c>
      <c r="L1599" s="6">
        <v>-27.672999999999998</v>
      </c>
      <c r="M1599" s="6">
        <v>-27.672999999999998</v>
      </c>
      <c r="N1599" s="6">
        <v>-27.672999999999998</v>
      </c>
      <c r="O1599" s="6">
        <v>-27.672999999999998</v>
      </c>
      <c r="P1599" s="6">
        <v>-6</v>
      </c>
      <c r="Q1599" s="4" t="s">
        <v>26</v>
      </c>
      <c r="R1599" s="4">
        <v>0</v>
      </c>
      <c r="S1599" s="6">
        <v>0</v>
      </c>
      <c r="T1599" s="6">
        <v>52</v>
      </c>
      <c r="U1599" s="6">
        <v>96</v>
      </c>
      <c r="V1599" s="6">
        <f>IF(ISERROR(VLOOKUP($S$1599,'TAR FIN'!$A$1:$O$115,15,0)),0,VLOOKUP($S$1599,'TAR FIN'!$A$1:$O$115,15,0))</f>
        <v>0</v>
      </c>
      <c r="W1599" s="6">
        <f>IF(ISERROR(VLOOKUP($T$1599,'TAR FIN'!$A$1:$O$115,15,0)),0,VLOOKUP($T$1599,'TAR FIN'!$A$1:$O$115,15,0))</f>
        <v>407.97</v>
      </c>
      <c r="X1599" s="6">
        <f>IF(ISERROR(VLOOKUP($U$1599,'TAR FIN'!$A$1:$O$115,15,0)),0,VLOOKUP($U$1599,'TAR FIN'!$A$1:$O$115,15,0))</f>
        <v>155.38999999999999</v>
      </c>
      <c r="Y1599" s="6"/>
      <c r="Z1599" s="6">
        <f ca="1">('TUSD BE'!$AM$50+'TUSD BF'!$AM$50+'TUSD CVA'!$AM$50)*(1-CUSTOS!$M$38)</f>
        <v>472.08658309095875</v>
      </c>
      <c r="AA1599" s="6">
        <f>('TE BE'!$AB$33+'TE BF'!$AB$33+'TE CVA'!$AB$33)*(1-CUSTOS!$M$38)</f>
        <v>216.84105597414842</v>
      </c>
      <c r="AB1599" s="6">
        <f>$K$1599*$V$1599</f>
        <v>0</v>
      </c>
      <c r="AC1599" s="6">
        <f>$M$1599*$W$1599</f>
        <v>-11289.75381</v>
      </c>
      <c r="AD1599" s="6">
        <f>$O$1599*$X$1599</f>
        <v>-4300.107469999999</v>
      </c>
      <c r="AE1599" s="6">
        <f>$K$1599*$Y$1599</f>
        <v>0</v>
      </c>
      <c r="AF1599" s="6">
        <f ca="1">$M$1599*$Z$1599</f>
        <v>-13064.0520138761</v>
      </c>
      <c r="AG1599" s="6">
        <f>$O$1599*$AA$1599</f>
        <v>-6000.6425419726083</v>
      </c>
    </row>
    <row r="1600" spans="1:33" ht="11.25" customHeight="1" x14ac:dyDescent="0.25">
      <c r="A1600" s="4" t="s">
        <v>28</v>
      </c>
      <c r="B1600" s="4" t="s">
        <v>46</v>
      </c>
      <c r="C1600" s="4" t="s">
        <v>23</v>
      </c>
      <c r="D1600" s="4" t="s">
        <v>47</v>
      </c>
      <c r="E1600" s="4" t="s">
        <v>25</v>
      </c>
      <c r="F1600" s="4" t="s">
        <v>25</v>
      </c>
      <c r="G1600" s="4" t="s">
        <v>25</v>
      </c>
      <c r="H1600" s="4" t="s">
        <v>25</v>
      </c>
      <c r="I1600" s="5">
        <v>44835</v>
      </c>
      <c r="J1600" s="6">
        <v>0</v>
      </c>
      <c r="K1600" s="6">
        <v>0</v>
      </c>
      <c r="L1600" s="6">
        <v>586.95500000000004</v>
      </c>
      <c r="M1600" s="6">
        <v>586.95500000000004</v>
      </c>
      <c r="N1600" s="6">
        <v>586.95500000000004</v>
      </c>
      <c r="O1600" s="6">
        <v>586.95500000000004</v>
      </c>
      <c r="P1600" s="6">
        <v>3664</v>
      </c>
      <c r="Q1600" s="4" t="s">
        <v>26</v>
      </c>
      <c r="R1600" s="4">
        <v>0</v>
      </c>
      <c r="S1600" s="6">
        <v>0</v>
      </c>
      <c r="T1600" s="6">
        <v>52</v>
      </c>
      <c r="U1600" s="6">
        <v>96</v>
      </c>
      <c r="V1600" s="6">
        <f>IF(ISERROR(VLOOKUP($S$1600,'TAR FIN'!$A$1:$O$115,15,0)),0,VLOOKUP($S$1600,'TAR FIN'!$A$1:$O$115,15,0))</f>
        <v>0</v>
      </c>
      <c r="W1600" s="6">
        <f>IF(ISERROR(VLOOKUP($T$1600,'TAR FIN'!$A$1:$O$115,15,0)),0,VLOOKUP($T$1600,'TAR FIN'!$A$1:$O$115,15,0))</f>
        <v>407.97</v>
      </c>
      <c r="X1600" s="6">
        <f>IF(ISERROR(VLOOKUP($U$1600,'TAR FIN'!$A$1:$O$115,15,0)),0,VLOOKUP($U$1600,'TAR FIN'!$A$1:$O$115,15,0))</f>
        <v>155.38999999999999</v>
      </c>
      <c r="Y1600" s="6"/>
      <c r="Z1600" s="6">
        <f ca="1">('TUSD BE'!$AM$50+'TUSD BF'!$AM$50+'TUSD CVA'!$AM$50)*(1-CUSTOS!$M$38)</f>
        <v>472.08658309095875</v>
      </c>
      <c r="AA1600" s="6">
        <f>('TE BE'!$AB$33+'TE BF'!$AB$33+'TE CVA'!$AB$33)*(1-CUSTOS!$M$38)</f>
        <v>216.84105597414842</v>
      </c>
      <c r="AB1600" s="6">
        <f>$K$1600*$V$1600</f>
        <v>0</v>
      </c>
      <c r="AC1600" s="6">
        <f>$M$1600*$W$1600</f>
        <v>239460.03135000003</v>
      </c>
      <c r="AD1600" s="6">
        <f>$O$1600*$X$1600</f>
        <v>91206.937449999998</v>
      </c>
      <c r="AE1600" s="6">
        <f>$K$1600*$Y$1600</f>
        <v>0</v>
      </c>
      <c r="AF1600" s="6">
        <f ca="1">$M$1600*$Z$1600</f>
        <v>277093.58037815371</v>
      </c>
      <c r="AG1600" s="6">
        <f>$O$1600*$AA$1600</f>
        <v>127275.94200930629</v>
      </c>
    </row>
    <row r="1601" spans="1:33" ht="11.25" customHeight="1" x14ac:dyDescent="0.25">
      <c r="A1601" s="4" t="s">
        <v>29</v>
      </c>
      <c r="B1601" s="4" t="s">
        <v>46</v>
      </c>
      <c r="C1601" s="4" t="s">
        <v>23</v>
      </c>
      <c r="D1601" s="4" t="s">
        <v>47</v>
      </c>
      <c r="E1601" s="4" t="s">
        <v>25</v>
      </c>
      <c r="F1601" s="4" t="s">
        <v>25</v>
      </c>
      <c r="G1601" s="4" t="s">
        <v>25</v>
      </c>
      <c r="H1601" s="4" t="s">
        <v>25</v>
      </c>
      <c r="I1601" s="5">
        <v>44835</v>
      </c>
      <c r="J1601" s="6">
        <v>0</v>
      </c>
      <c r="K1601" s="6">
        <v>0</v>
      </c>
      <c r="L1601" s="6">
        <v>-6.76</v>
      </c>
      <c r="M1601" s="6">
        <v>-6.76</v>
      </c>
      <c r="N1601" s="6">
        <v>-6.76</v>
      </c>
      <c r="O1601" s="6">
        <v>-6.76</v>
      </c>
      <c r="P1601" s="6">
        <v>0</v>
      </c>
      <c r="Q1601" s="4" t="s">
        <v>26</v>
      </c>
      <c r="R1601" s="4">
        <v>0</v>
      </c>
      <c r="S1601" s="6">
        <v>0</v>
      </c>
      <c r="T1601" s="6">
        <v>52</v>
      </c>
      <c r="U1601" s="6">
        <v>96</v>
      </c>
      <c r="V1601" s="6">
        <f>IF(ISERROR(VLOOKUP($S$1601,'TAR FIN'!$A$1:$O$115,15,0)),0,VLOOKUP($S$1601,'TAR FIN'!$A$1:$O$115,15,0))</f>
        <v>0</v>
      </c>
      <c r="W1601" s="6">
        <f>IF(ISERROR(VLOOKUP($T$1601,'TAR FIN'!$A$1:$O$115,15,0)),0,VLOOKUP($T$1601,'TAR FIN'!$A$1:$O$115,15,0))</f>
        <v>407.97</v>
      </c>
      <c r="X1601" s="6">
        <f>IF(ISERROR(VLOOKUP($U$1601,'TAR FIN'!$A$1:$O$115,15,0)),0,VLOOKUP($U$1601,'TAR FIN'!$A$1:$O$115,15,0))</f>
        <v>155.38999999999999</v>
      </c>
      <c r="Y1601" s="6"/>
      <c r="Z1601" s="6">
        <f ca="1">('TUSD BE'!$AM$50+'TUSD BF'!$AM$50+'TUSD CVA'!$AM$50)*(1-CUSTOS!$M$38)</f>
        <v>472.08658309095875</v>
      </c>
      <c r="AA1601" s="6">
        <f>('TE BE'!$AB$33+'TE BF'!$AB$33+'TE CVA'!$AB$33)*(1-CUSTOS!$M$38)</f>
        <v>216.84105597414842</v>
      </c>
      <c r="AB1601" s="6">
        <f>$K$1601*$V$1601</f>
        <v>0</v>
      </c>
      <c r="AC1601" s="6">
        <f>$M$1601*$W$1601</f>
        <v>-2757.8771999999999</v>
      </c>
      <c r="AD1601" s="6">
        <f>$O$1601*$X$1601</f>
        <v>-1050.4363999999998</v>
      </c>
      <c r="AE1601" s="6">
        <f>$K$1601*$Y$1601</f>
        <v>0</v>
      </c>
      <c r="AF1601" s="6">
        <f ca="1">$M$1601*$Z$1601</f>
        <v>-3191.3053016948811</v>
      </c>
      <c r="AG1601" s="6">
        <f>$O$1601*$AA$1601</f>
        <v>-1465.8455383852433</v>
      </c>
    </row>
    <row r="1602" spans="1:33" ht="11.25" customHeight="1" x14ac:dyDescent="0.25">
      <c r="A1602" s="4" t="s">
        <v>30</v>
      </c>
      <c r="B1602" s="4" t="s">
        <v>46</v>
      </c>
      <c r="C1602" s="4" t="s">
        <v>23</v>
      </c>
      <c r="D1602" s="4" t="s">
        <v>47</v>
      </c>
      <c r="E1602" s="4" t="s">
        <v>25</v>
      </c>
      <c r="F1602" s="4" t="s">
        <v>25</v>
      </c>
      <c r="G1602" s="4" t="s">
        <v>25</v>
      </c>
      <c r="H1602" s="4" t="s">
        <v>25</v>
      </c>
      <c r="I1602" s="5">
        <v>44835</v>
      </c>
      <c r="J1602" s="6">
        <v>0</v>
      </c>
      <c r="K1602" s="6">
        <v>0</v>
      </c>
      <c r="L1602" s="6">
        <v>52.517000000000003</v>
      </c>
      <c r="M1602" s="6">
        <v>52.517000000000003</v>
      </c>
      <c r="N1602" s="6">
        <v>52.517000000000003</v>
      </c>
      <c r="O1602" s="6">
        <v>52.517000000000003</v>
      </c>
      <c r="P1602" s="6">
        <v>343</v>
      </c>
      <c r="Q1602" s="4" t="s">
        <v>26</v>
      </c>
      <c r="R1602" s="4">
        <v>0</v>
      </c>
      <c r="S1602" s="6">
        <v>0</v>
      </c>
      <c r="T1602" s="6">
        <v>52</v>
      </c>
      <c r="U1602" s="6">
        <v>96</v>
      </c>
      <c r="V1602" s="6">
        <f>IF(ISERROR(VLOOKUP($S$1602,'TAR FIN'!$A$1:$O$115,15,0)),0,VLOOKUP($S$1602,'TAR FIN'!$A$1:$O$115,15,0))</f>
        <v>0</v>
      </c>
      <c r="W1602" s="6">
        <f>IF(ISERROR(VLOOKUP($T$1602,'TAR FIN'!$A$1:$O$115,15,0)),0,VLOOKUP($T$1602,'TAR FIN'!$A$1:$O$115,15,0))</f>
        <v>407.97</v>
      </c>
      <c r="X1602" s="6">
        <f>IF(ISERROR(VLOOKUP($U$1602,'TAR FIN'!$A$1:$O$115,15,0)),0,VLOOKUP($U$1602,'TAR FIN'!$A$1:$O$115,15,0))</f>
        <v>155.38999999999999</v>
      </c>
      <c r="Y1602" s="6"/>
      <c r="Z1602" s="6">
        <f ca="1">('TUSD BE'!$AM$50+'TUSD BF'!$AM$50+'TUSD CVA'!$AM$50)*(1-CUSTOS!$M$38)</f>
        <v>472.08658309095875</v>
      </c>
      <c r="AA1602" s="6">
        <f>('TE BE'!$AB$33+'TE BF'!$AB$33+'TE CVA'!$AB$33)*(1-CUSTOS!$M$38)</f>
        <v>216.84105597414842</v>
      </c>
      <c r="AB1602" s="6">
        <f>$K$1602*$V$1602</f>
        <v>0</v>
      </c>
      <c r="AC1602" s="6">
        <f>$M$1602*$W$1602</f>
        <v>21425.360490000003</v>
      </c>
      <c r="AD1602" s="6">
        <f>$O$1602*$X$1602</f>
        <v>8160.6166299999995</v>
      </c>
      <c r="AE1602" s="6">
        <f>$K$1602*$Y$1602</f>
        <v>0</v>
      </c>
      <c r="AF1602" s="6">
        <f ca="1">$M$1602*$Z$1602</f>
        <v>24792.571084187883</v>
      </c>
      <c r="AG1602" s="6">
        <f>$O$1602*$AA$1602</f>
        <v>11387.841736594353</v>
      </c>
    </row>
    <row r="1603" spans="1:33" ht="11.25" customHeight="1" x14ac:dyDescent="0.25">
      <c r="A1603" s="4" t="s">
        <v>59</v>
      </c>
      <c r="B1603" s="4" t="s">
        <v>46</v>
      </c>
      <c r="C1603" s="4" t="s">
        <v>23</v>
      </c>
      <c r="D1603" s="4" t="s">
        <v>47</v>
      </c>
      <c r="E1603" s="4" t="s">
        <v>25</v>
      </c>
      <c r="F1603" s="4" t="s">
        <v>25</v>
      </c>
      <c r="G1603" s="4" t="s">
        <v>25</v>
      </c>
      <c r="H1603" s="4" t="s">
        <v>25</v>
      </c>
      <c r="I1603" s="5">
        <v>44866</v>
      </c>
      <c r="J1603" s="6">
        <v>0</v>
      </c>
      <c r="K1603" s="6">
        <v>0</v>
      </c>
      <c r="L1603" s="6">
        <v>3097.9110000000001</v>
      </c>
      <c r="M1603" s="6">
        <v>3097.9110000000001</v>
      </c>
      <c r="N1603" s="6">
        <v>3097.9110000000001</v>
      </c>
      <c r="O1603" s="6">
        <v>3097.9110000000001</v>
      </c>
      <c r="P1603" s="6">
        <v>15296</v>
      </c>
      <c r="Q1603" s="4" t="s">
        <v>26</v>
      </c>
      <c r="R1603" s="4">
        <v>0</v>
      </c>
      <c r="S1603" s="6">
        <v>0</v>
      </c>
      <c r="T1603" s="6">
        <v>52</v>
      </c>
      <c r="U1603" s="6">
        <v>96</v>
      </c>
      <c r="V1603" s="6">
        <f>IF(ISERROR(VLOOKUP($S$1603,'TAR FIN'!$A$1:$O$115,15,0)),0,VLOOKUP($S$1603,'TAR FIN'!$A$1:$O$115,15,0))</f>
        <v>0</v>
      </c>
      <c r="W1603" s="6">
        <f>IF(ISERROR(VLOOKUP($T$1603,'TAR FIN'!$A$1:$O$115,15,0)),0,VLOOKUP($T$1603,'TAR FIN'!$A$1:$O$115,15,0))</f>
        <v>407.97</v>
      </c>
      <c r="X1603" s="6">
        <f>IF(ISERROR(VLOOKUP($U$1603,'TAR FIN'!$A$1:$O$115,15,0)),0,VLOOKUP($U$1603,'TAR FIN'!$A$1:$O$115,15,0))</f>
        <v>155.38999999999999</v>
      </c>
      <c r="Y1603" s="6"/>
      <c r="Z1603" s="6">
        <f ca="1">('TUSD BE'!$AM$50+'TUSD BF'!$AM$50+'TUSD CVA'!$AM$50)*(1-CUSTOS!$M$38)</f>
        <v>472.08658309095875</v>
      </c>
      <c r="AA1603" s="6">
        <f>('TE BE'!$AB$33+'TE BF'!$AB$33+'TE CVA'!$AB$33)*(1-CUSTOS!$M$38)</f>
        <v>216.84105597414842</v>
      </c>
      <c r="AB1603" s="6">
        <f>$K$1603*$V$1603</f>
        <v>0</v>
      </c>
      <c r="AC1603" s="6">
        <f>$M$1603*$W$1603</f>
        <v>1263854.7506700002</v>
      </c>
      <c r="AD1603" s="6">
        <f>$O$1603*$X$1603</f>
        <v>481384.39028999995</v>
      </c>
      <c r="AE1603" s="6">
        <f>$K$1603*$Y$1603</f>
        <v>0</v>
      </c>
      <c r="AF1603" s="6">
        <f ca="1">$M$1603*$Z$1603</f>
        <v>1462482.2187098952</v>
      </c>
      <c r="AG1603" s="6">
        <f>$O$1603*$AA$1603</f>
        <v>671754.29255393008</v>
      </c>
    </row>
    <row r="1604" spans="1:33" ht="11.25" customHeight="1" x14ac:dyDescent="0.25">
      <c r="A1604" s="4" t="s">
        <v>59</v>
      </c>
      <c r="B1604" s="4" t="s">
        <v>46</v>
      </c>
      <c r="C1604" s="4" t="s">
        <v>23</v>
      </c>
      <c r="D1604" s="4" t="s">
        <v>47</v>
      </c>
      <c r="E1604" s="4" t="s">
        <v>25</v>
      </c>
      <c r="F1604" s="4" t="s">
        <v>25</v>
      </c>
      <c r="G1604" s="4" t="s">
        <v>25</v>
      </c>
      <c r="H1604" s="4" t="s">
        <v>25</v>
      </c>
      <c r="I1604" s="5">
        <v>44866</v>
      </c>
      <c r="J1604" s="6">
        <v>0</v>
      </c>
      <c r="K1604" s="6">
        <v>0</v>
      </c>
      <c r="L1604" s="6">
        <v>-27.672999999999998</v>
      </c>
      <c r="M1604" s="6">
        <v>-27.672999999999998</v>
      </c>
      <c r="N1604" s="6">
        <v>-27.672999999999998</v>
      </c>
      <c r="O1604" s="6">
        <v>-27.672999999999998</v>
      </c>
      <c r="P1604" s="6">
        <v>-6</v>
      </c>
      <c r="Q1604" s="4" t="s">
        <v>26</v>
      </c>
      <c r="R1604" s="4">
        <v>0</v>
      </c>
      <c r="S1604" s="6">
        <v>0</v>
      </c>
      <c r="T1604" s="6">
        <v>52</v>
      </c>
      <c r="U1604" s="6">
        <v>96</v>
      </c>
      <c r="V1604" s="6">
        <f>IF(ISERROR(VLOOKUP($S$1604,'TAR FIN'!$A$1:$O$115,15,0)),0,VLOOKUP($S$1604,'TAR FIN'!$A$1:$O$115,15,0))</f>
        <v>0</v>
      </c>
      <c r="W1604" s="6">
        <f>IF(ISERROR(VLOOKUP($T$1604,'TAR FIN'!$A$1:$O$115,15,0)),0,VLOOKUP($T$1604,'TAR FIN'!$A$1:$O$115,15,0))</f>
        <v>407.97</v>
      </c>
      <c r="X1604" s="6">
        <f>IF(ISERROR(VLOOKUP($U$1604,'TAR FIN'!$A$1:$O$115,15,0)),0,VLOOKUP($U$1604,'TAR FIN'!$A$1:$O$115,15,0))</f>
        <v>155.38999999999999</v>
      </c>
      <c r="Y1604" s="6"/>
      <c r="Z1604" s="6">
        <f ca="1">('TUSD BE'!$AM$50+'TUSD BF'!$AM$50+'TUSD CVA'!$AM$50)*(1-CUSTOS!$M$38)</f>
        <v>472.08658309095875</v>
      </c>
      <c r="AA1604" s="6">
        <f>('TE BE'!$AB$33+'TE BF'!$AB$33+'TE CVA'!$AB$33)*(1-CUSTOS!$M$38)</f>
        <v>216.84105597414842</v>
      </c>
      <c r="AB1604" s="6">
        <f>$K$1604*$V$1604</f>
        <v>0</v>
      </c>
      <c r="AC1604" s="6">
        <f>$M$1604*$W$1604</f>
        <v>-11289.75381</v>
      </c>
      <c r="AD1604" s="6">
        <f>$O$1604*$X$1604</f>
        <v>-4300.107469999999</v>
      </c>
      <c r="AE1604" s="6">
        <f>$K$1604*$Y$1604</f>
        <v>0</v>
      </c>
      <c r="AF1604" s="6">
        <f ca="1">$M$1604*$Z$1604</f>
        <v>-13064.0520138761</v>
      </c>
      <c r="AG1604" s="6">
        <f>$O$1604*$AA$1604</f>
        <v>-6000.6425419726083</v>
      </c>
    </row>
    <row r="1605" spans="1:33" ht="11.25" customHeight="1" x14ac:dyDescent="0.25">
      <c r="A1605" s="4" t="s">
        <v>59</v>
      </c>
      <c r="B1605" s="4" t="s">
        <v>46</v>
      </c>
      <c r="C1605" s="4" t="s">
        <v>23</v>
      </c>
      <c r="D1605" s="4" t="s">
        <v>47</v>
      </c>
      <c r="E1605" s="4" t="s">
        <v>25</v>
      </c>
      <c r="F1605" s="4" t="s">
        <v>25</v>
      </c>
      <c r="G1605" s="4" t="s">
        <v>25</v>
      </c>
      <c r="H1605" s="4" t="s">
        <v>25</v>
      </c>
      <c r="I1605" s="5">
        <v>44866</v>
      </c>
      <c r="J1605" s="6">
        <v>0</v>
      </c>
      <c r="K1605" s="6">
        <v>0</v>
      </c>
      <c r="L1605" s="6">
        <v>586.95500000000004</v>
      </c>
      <c r="M1605" s="6">
        <v>586.95500000000004</v>
      </c>
      <c r="N1605" s="6">
        <v>586.95500000000004</v>
      </c>
      <c r="O1605" s="6">
        <v>586.95500000000004</v>
      </c>
      <c r="P1605" s="6">
        <v>3664</v>
      </c>
      <c r="Q1605" s="4" t="s">
        <v>26</v>
      </c>
      <c r="R1605" s="4">
        <v>0</v>
      </c>
      <c r="S1605" s="6">
        <v>0</v>
      </c>
      <c r="T1605" s="6">
        <v>52</v>
      </c>
      <c r="U1605" s="6">
        <v>96</v>
      </c>
      <c r="V1605" s="6">
        <f>IF(ISERROR(VLOOKUP($S$1605,'TAR FIN'!$A$1:$O$115,15,0)),0,VLOOKUP($S$1605,'TAR FIN'!$A$1:$O$115,15,0))</f>
        <v>0</v>
      </c>
      <c r="W1605" s="6">
        <f>IF(ISERROR(VLOOKUP($T$1605,'TAR FIN'!$A$1:$O$115,15,0)),0,VLOOKUP($T$1605,'TAR FIN'!$A$1:$O$115,15,0))</f>
        <v>407.97</v>
      </c>
      <c r="X1605" s="6">
        <f>IF(ISERROR(VLOOKUP($U$1605,'TAR FIN'!$A$1:$O$115,15,0)),0,VLOOKUP($U$1605,'TAR FIN'!$A$1:$O$115,15,0))</f>
        <v>155.38999999999999</v>
      </c>
      <c r="Y1605" s="6"/>
      <c r="Z1605" s="6">
        <f ca="1">('TUSD BE'!$AM$50+'TUSD BF'!$AM$50+'TUSD CVA'!$AM$50)*(1-CUSTOS!$M$38)</f>
        <v>472.08658309095875</v>
      </c>
      <c r="AA1605" s="6">
        <f>('TE BE'!$AB$33+'TE BF'!$AB$33+'TE CVA'!$AB$33)*(1-CUSTOS!$M$38)</f>
        <v>216.84105597414842</v>
      </c>
      <c r="AB1605" s="6">
        <f>$K$1605*$V$1605</f>
        <v>0</v>
      </c>
      <c r="AC1605" s="6">
        <f>$M$1605*$W$1605</f>
        <v>239460.03135000003</v>
      </c>
      <c r="AD1605" s="6">
        <f>$O$1605*$X$1605</f>
        <v>91206.937449999998</v>
      </c>
      <c r="AE1605" s="6">
        <f>$K$1605*$Y$1605</f>
        <v>0</v>
      </c>
      <c r="AF1605" s="6">
        <f ca="1">$M$1605*$Z$1605</f>
        <v>277093.58037815371</v>
      </c>
      <c r="AG1605" s="6">
        <f>$O$1605*$AA$1605</f>
        <v>127275.94200930629</v>
      </c>
    </row>
    <row r="1606" spans="1:33" ht="11.25" customHeight="1" x14ac:dyDescent="0.25">
      <c r="A1606" s="4" t="s">
        <v>59</v>
      </c>
      <c r="B1606" s="4" t="s">
        <v>46</v>
      </c>
      <c r="C1606" s="4" t="s">
        <v>23</v>
      </c>
      <c r="D1606" s="4" t="s">
        <v>47</v>
      </c>
      <c r="E1606" s="4" t="s">
        <v>25</v>
      </c>
      <c r="F1606" s="4" t="s">
        <v>25</v>
      </c>
      <c r="G1606" s="4" t="s">
        <v>25</v>
      </c>
      <c r="H1606" s="4" t="s">
        <v>25</v>
      </c>
      <c r="I1606" s="5">
        <v>44866</v>
      </c>
      <c r="J1606" s="6">
        <v>0</v>
      </c>
      <c r="K1606" s="6">
        <v>0</v>
      </c>
      <c r="L1606" s="6">
        <v>-6.76</v>
      </c>
      <c r="M1606" s="6">
        <v>-6.76</v>
      </c>
      <c r="N1606" s="6">
        <v>-6.76</v>
      </c>
      <c r="O1606" s="6">
        <v>-6.76</v>
      </c>
      <c r="P1606" s="6">
        <v>0</v>
      </c>
      <c r="Q1606" s="4" t="s">
        <v>26</v>
      </c>
      <c r="R1606" s="4">
        <v>0</v>
      </c>
      <c r="S1606" s="6">
        <v>0</v>
      </c>
      <c r="T1606" s="6">
        <v>52</v>
      </c>
      <c r="U1606" s="6">
        <v>96</v>
      </c>
      <c r="V1606" s="6">
        <f>IF(ISERROR(VLOOKUP($S$1606,'TAR FIN'!$A$1:$O$115,15,0)),0,VLOOKUP($S$1606,'TAR FIN'!$A$1:$O$115,15,0))</f>
        <v>0</v>
      </c>
      <c r="W1606" s="6">
        <f>IF(ISERROR(VLOOKUP($T$1606,'TAR FIN'!$A$1:$O$115,15,0)),0,VLOOKUP($T$1606,'TAR FIN'!$A$1:$O$115,15,0))</f>
        <v>407.97</v>
      </c>
      <c r="X1606" s="6">
        <f>IF(ISERROR(VLOOKUP($U$1606,'TAR FIN'!$A$1:$O$115,15,0)),0,VLOOKUP($U$1606,'TAR FIN'!$A$1:$O$115,15,0))</f>
        <v>155.38999999999999</v>
      </c>
      <c r="Y1606" s="6"/>
      <c r="Z1606" s="6">
        <f ca="1">('TUSD BE'!$AM$50+'TUSD BF'!$AM$50+'TUSD CVA'!$AM$50)*(1-CUSTOS!$M$38)</f>
        <v>472.08658309095875</v>
      </c>
      <c r="AA1606" s="6">
        <f>('TE BE'!$AB$33+'TE BF'!$AB$33+'TE CVA'!$AB$33)*(1-CUSTOS!$M$38)</f>
        <v>216.84105597414842</v>
      </c>
      <c r="AB1606" s="6">
        <f>$K$1606*$V$1606</f>
        <v>0</v>
      </c>
      <c r="AC1606" s="6">
        <f>$M$1606*$W$1606</f>
        <v>-2757.8771999999999</v>
      </c>
      <c r="AD1606" s="6">
        <f>$O$1606*$X$1606</f>
        <v>-1050.4363999999998</v>
      </c>
      <c r="AE1606" s="6">
        <f>$K$1606*$Y$1606</f>
        <v>0</v>
      </c>
      <c r="AF1606" s="6">
        <f ca="1">$M$1606*$Z$1606</f>
        <v>-3191.3053016948811</v>
      </c>
      <c r="AG1606" s="6">
        <f>$O$1606*$AA$1606</f>
        <v>-1465.8455383852433</v>
      </c>
    </row>
    <row r="1607" spans="1:33" ht="11.25" customHeight="1" x14ac:dyDescent="0.25">
      <c r="A1607" s="4" t="s">
        <v>59</v>
      </c>
      <c r="B1607" s="4" t="s">
        <v>46</v>
      </c>
      <c r="C1607" s="4" t="s">
        <v>23</v>
      </c>
      <c r="D1607" s="4" t="s">
        <v>47</v>
      </c>
      <c r="E1607" s="4" t="s">
        <v>25</v>
      </c>
      <c r="F1607" s="4" t="s">
        <v>25</v>
      </c>
      <c r="G1607" s="4" t="s">
        <v>25</v>
      </c>
      <c r="H1607" s="4" t="s">
        <v>25</v>
      </c>
      <c r="I1607" s="5">
        <v>44866</v>
      </c>
      <c r="J1607" s="6">
        <v>0</v>
      </c>
      <c r="K1607" s="6">
        <v>0</v>
      </c>
      <c r="L1607" s="6">
        <v>52.517000000000003</v>
      </c>
      <c r="M1607" s="6">
        <v>52.517000000000003</v>
      </c>
      <c r="N1607" s="6">
        <v>52.517000000000003</v>
      </c>
      <c r="O1607" s="6">
        <v>52.517000000000003</v>
      </c>
      <c r="P1607" s="6">
        <v>343</v>
      </c>
      <c r="Q1607" s="4" t="s">
        <v>26</v>
      </c>
      <c r="R1607" s="4">
        <v>0</v>
      </c>
      <c r="S1607" s="6">
        <v>0</v>
      </c>
      <c r="T1607" s="6">
        <v>52</v>
      </c>
      <c r="U1607" s="6">
        <v>96</v>
      </c>
      <c r="V1607" s="6">
        <f>IF(ISERROR(VLOOKUP($S$1607,'TAR FIN'!$A$1:$O$115,15,0)),0,VLOOKUP($S$1607,'TAR FIN'!$A$1:$O$115,15,0))</f>
        <v>0</v>
      </c>
      <c r="W1607" s="6">
        <f>IF(ISERROR(VLOOKUP($T$1607,'TAR FIN'!$A$1:$O$115,15,0)),0,VLOOKUP($T$1607,'TAR FIN'!$A$1:$O$115,15,0))</f>
        <v>407.97</v>
      </c>
      <c r="X1607" s="6">
        <f>IF(ISERROR(VLOOKUP($U$1607,'TAR FIN'!$A$1:$O$115,15,0)),0,VLOOKUP($U$1607,'TAR FIN'!$A$1:$O$115,15,0))</f>
        <v>155.38999999999999</v>
      </c>
      <c r="Y1607" s="6"/>
      <c r="Z1607" s="6">
        <f ca="1">('TUSD BE'!$AM$50+'TUSD BF'!$AM$50+'TUSD CVA'!$AM$50)*(1-CUSTOS!$M$38)</f>
        <v>472.08658309095875</v>
      </c>
      <c r="AA1607" s="6">
        <f>('TE BE'!$AB$33+'TE BF'!$AB$33+'TE CVA'!$AB$33)*(1-CUSTOS!$M$38)</f>
        <v>216.84105597414842</v>
      </c>
      <c r="AB1607" s="6">
        <f>$K$1607*$V$1607</f>
        <v>0</v>
      </c>
      <c r="AC1607" s="6">
        <f>$M$1607*$W$1607</f>
        <v>21425.360490000003</v>
      </c>
      <c r="AD1607" s="6">
        <f>$O$1607*$X$1607</f>
        <v>8160.6166299999995</v>
      </c>
      <c r="AE1607" s="6">
        <f>$K$1607*$Y$1607</f>
        <v>0</v>
      </c>
      <c r="AF1607" s="6">
        <f ca="1">$M$1607*$Z$1607</f>
        <v>24792.571084187883</v>
      </c>
      <c r="AG1607" s="6">
        <f>$O$1607*$AA$1607</f>
        <v>11387.841736594353</v>
      </c>
    </row>
    <row r="1608" spans="1:33" ht="11.25" customHeight="1" x14ac:dyDescent="0.25">
      <c r="A1608" s="4" t="s">
        <v>21</v>
      </c>
      <c r="B1608" s="4" t="s">
        <v>39</v>
      </c>
      <c r="C1608" s="4" t="s">
        <v>35</v>
      </c>
      <c r="D1608" s="4" t="s">
        <v>45</v>
      </c>
      <c r="E1608" s="4" t="s">
        <v>25</v>
      </c>
      <c r="F1608" s="4" t="s">
        <v>25</v>
      </c>
      <c r="G1608" s="4" t="s">
        <v>25</v>
      </c>
      <c r="H1608" s="4" t="s">
        <v>37</v>
      </c>
      <c r="I1608" s="5">
        <v>44531</v>
      </c>
      <c r="J1608" s="6">
        <v>0</v>
      </c>
      <c r="K1608" s="6">
        <v>0</v>
      </c>
      <c r="L1608" s="6">
        <v>90.626999999999995</v>
      </c>
      <c r="M1608" s="6">
        <v>90.626999999999995</v>
      </c>
      <c r="N1608" s="6">
        <v>90.626999999999995</v>
      </c>
      <c r="O1608" s="6">
        <v>90.626999999999995</v>
      </c>
      <c r="P1608" s="6">
        <v>0</v>
      </c>
      <c r="Q1608" s="4" t="s">
        <v>26</v>
      </c>
      <c r="R1608" s="4">
        <v>0</v>
      </c>
      <c r="S1608" s="6">
        <v>0</v>
      </c>
      <c r="T1608" s="6">
        <v>66</v>
      </c>
      <c r="U1608" s="6">
        <v>110</v>
      </c>
      <c r="V1608" s="6">
        <f>IF(ISERROR(VLOOKUP($S$1608,'TAR FIN'!$A$1:$O$115,15,0)),0,VLOOKUP($S$1608,'TAR FIN'!$A$1:$O$115,15,0))</f>
        <v>0</v>
      </c>
      <c r="W1608" s="6">
        <f>IF(ISERROR(VLOOKUP($T$1608,'TAR FIN'!$A$1:$O$115,15,0)),0,VLOOKUP($T$1608,'TAR FIN'!$A$1:$O$115,15,0))</f>
        <v>351.65</v>
      </c>
      <c r="X1608" s="6">
        <f>IF(ISERROR(VLOOKUP($U$1608,'TAR FIN'!$A$1:$O$115,15,0)),0,VLOOKUP($U$1608,'TAR FIN'!$A$1:$O$115,15,0))</f>
        <v>168.06</v>
      </c>
      <c r="Y1608" s="6"/>
      <c r="Z1608" s="6">
        <f ca="1">('TUSD BE'!$AM$64+'TUSD BF'!$AM$64+'TUSD CVA'!$AM$64)*1</f>
        <v>391.10237276676656</v>
      </c>
      <c r="AA1608" s="6">
        <f>('TE BE'!$AB$47+'TE BF'!$AB$47+'TE CVA'!$AB$47)*1</f>
        <v>218.6854278594964</v>
      </c>
      <c r="AB1608" s="6">
        <f>$K$1608*$V$1608</f>
        <v>0</v>
      </c>
      <c r="AC1608" s="6">
        <f>$M$1608*$W$1608</f>
        <v>31868.984549999997</v>
      </c>
      <c r="AD1608" s="6">
        <f>$O$1608*$X$1608</f>
        <v>15230.77362</v>
      </c>
      <c r="AE1608" s="6">
        <f>$K$1608*$Y$1608</f>
        <v>0</v>
      </c>
      <c r="AF1608" s="6">
        <f ca="1">$M$1608*$Z$1608</f>
        <v>35444.434736733754</v>
      </c>
      <c r="AG1608" s="6">
        <f>$O$1608*$AA$1608</f>
        <v>19818.804270622579</v>
      </c>
    </row>
    <row r="1609" spans="1:33" ht="11.25" customHeight="1" x14ac:dyDescent="0.25">
      <c r="A1609" s="4" t="s">
        <v>27</v>
      </c>
      <c r="B1609" s="4" t="s">
        <v>39</v>
      </c>
      <c r="C1609" s="4" t="s">
        <v>35</v>
      </c>
      <c r="D1609" s="4" t="s">
        <v>45</v>
      </c>
      <c r="E1609" s="4" t="s">
        <v>25</v>
      </c>
      <c r="F1609" s="4" t="s">
        <v>25</v>
      </c>
      <c r="G1609" s="4" t="s">
        <v>25</v>
      </c>
      <c r="H1609" s="4" t="s">
        <v>37</v>
      </c>
      <c r="I1609" s="5">
        <v>44531</v>
      </c>
      <c r="J1609" s="6">
        <v>0</v>
      </c>
      <c r="K1609" s="6">
        <v>0</v>
      </c>
      <c r="L1609" s="6">
        <v>3.306</v>
      </c>
      <c r="M1609" s="6">
        <v>3.306</v>
      </c>
      <c r="N1609" s="6">
        <v>3.306</v>
      </c>
      <c r="O1609" s="6">
        <v>3.306</v>
      </c>
      <c r="P1609" s="6">
        <v>0</v>
      </c>
      <c r="Q1609" s="4" t="s">
        <v>26</v>
      </c>
      <c r="R1609" s="4">
        <v>0</v>
      </c>
      <c r="S1609" s="6">
        <v>0</v>
      </c>
      <c r="T1609" s="6">
        <v>66</v>
      </c>
      <c r="U1609" s="6">
        <v>110</v>
      </c>
      <c r="V1609" s="6">
        <f>IF(ISERROR(VLOOKUP($S$1609,'TAR FIN'!$A$1:$O$115,15,0)),0,VLOOKUP($S$1609,'TAR FIN'!$A$1:$O$115,15,0))</f>
        <v>0</v>
      </c>
      <c r="W1609" s="6">
        <f>IF(ISERROR(VLOOKUP($T$1609,'TAR FIN'!$A$1:$O$115,15,0)),0,VLOOKUP($T$1609,'TAR FIN'!$A$1:$O$115,15,0))</f>
        <v>351.65</v>
      </c>
      <c r="X1609" s="6">
        <f>IF(ISERROR(VLOOKUP($U$1609,'TAR FIN'!$A$1:$O$115,15,0)),0,VLOOKUP($U$1609,'TAR FIN'!$A$1:$O$115,15,0))</f>
        <v>168.06</v>
      </c>
      <c r="Y1609" s="6"/>
      <c r="Z1609" s="6">
        <f ca="1">('TUSD BE'!$AM$64+'TUSD BF'!$AM$64+'TUSD CVA'!$AM$64)*1</f>
        <v>391.10237276676656</v>
      </c>
      <c r="AA1609" s="6">
        <f>('TE BE'!$AB$47+'TE BF'!$AB$47+'TE CVA'!$AB$47)*1</f>
        <v>218.6854278594964</v>
      </c>
      <c r="AB1609" s="6">
        <f>$K$1609*$V$1609</f>
        <v>0</v>
      </c>
      <c r="AC1609" s="6">
        <f>$M$1609*$W$1609</f>
        <v>1162.5548999999999</v>
      </c>
      <c r="AD1609" s="6">
        <f>$O$1609*$X$1609</f>
        <v>555.60636</v>
      </c>
      <c r="AE1609" s="6">
        <f>$K$1609*$Y$1609</f>
        <v>0</v>
      </c>
      <c r="AF1609" s="6">
        <f ca="1">$M$1609*$Z$1609</f>
        <v>1292.9844443669303</v>
      </c>
      <c r="AG1609" s="6">
        <f>$O$1609*$AA$1609</f>
        <v>722.97402450349512</v>
      </c>
    </row>
    <row r="1610" spans="1:33" ht="11.25" customHeight="1" x14ac:dyDescent="0.25">
      <c r="A1610" s="4" t="s">
        <v>28</v>
      </c>
      <c r="B1610" s="4" t="s">
        <v>39</v>
      </c>
      <c r="C1610" s="4" t="s">
        <v>35</v>
      </c>
      <c r="D1610" s="4" t="s">
        <v>45</v>
      </c>
      <c r="E1610" s="4" t="s">
        <v>25</v>
      </c>
      <c r="F1610" s="4" t="s">
        <v>25</v>
      </c>
      <c r="G1610" s="4" t="s">
        <v>25</v>
      </c>
      <c r="H1610" s="4" t="s">
        <v>37</v>
      </c>
      <c r="I1610" s="5">
        <v>44531</v>
      </c>
      <c r="J1610" s="6">
        <v>0</v>
      </c>
      <c r="K1610" s="6">
        <v>0</v>
      </c>
      <c r="L1610" s="6">
        <v>14.162000000000001</v>
      </c>
      <c r="M1610" s="6">
        <v>14.162000000000001</v>
      </c>
      <c r="N1610" s="6">
        <v>14.162000000000001</v>
      </c>
      <c r="O1610" s="6">
        <v>14.162000000000001</v>
      </c>
      <c r="P1610" s="6">
        <v>0</v>
      </c>
      <c r="Q1610" s="4" t="s">
        <v>26</v>
      </c>
      <c r="R1610" s="4">
        <v>0</v>
      </c>
      <c r="S1610" s="6">
        <v>0</v>
      </c>
      <c r="T1610" s="6">
        <v>66</v>
      </c>
      <c r="U1610" s="6">
        <v>110</v>
      </c>
      <c r="V1610" s="6">
        <f>IF(ISERROR(VLOOKUP($S$1610,'TAR FIN'!$A$1:$O$115,15,0)),0,VLOOKUP($S$1610,'TAR FIN'!$A$1:$O$115,15,0))</f>
        <v>0</v>
      </c>
      <c r="W1610" s="6">
        <f>IF(ISERROR(VLOOKUP($T$1610,'TAR FIN'!$A$1:$O$115,15,0)),0,VLOOKUP($T$1610,'TAR FIN'!$A$1:$O$115,15,0))</f>
        <v>351.65</v>
      </c>
      <c r="X1610" s="6">
        <f>IF(ISERROR(VLOOKUP($U$1610,'TAR FIN'!$A$1:$O$115,15,0)),0,VLOOKUP($U$1610,'TAR FIN'!$A$1:$O$115,15,0))</f>
        <v>168.06</v>
      </c>
      <c r="Y1610" s="6"/>
      <c r="Z1610" s="6">
        <f ca="1">('TUSD BE'!$AM$64+'TUSD BF'!$AM$64+'TUSD CVA'!$AM$64)*1</f>
        <v>391.10237276676656</v>
      </c>
      <c r="AA1610" s="6">
        <f>('TE BE'!$AB$47+'TE BF'!$AB$47+'TE CVA'!$AB$47)*1</f>
        <v>218.6854278594964</v>
      </c>
      <c r="AB1610" s="6">
        <f>$K$1610*$V$1610</f>
        <v>0</v>
      </c>
      <c r="AC1610" s="6">
        <f>$M$1610*$W$1610</f>
        <v>4980.0672999999997</v>
      </c>
      <c r="AD1610" s="6">
        <f>$O$1610*$X$1610</f>
        <v>2380.0657200000001</v>
      </c>
      <c r="AE1610" s="6">
        <f>$K$1610*$Y$1610</f>
        <v>0</v>
      </c>
      <c r="AF1610" s="6">
        <f ca="1">$M$1610*$Z$1610</f>
        <v>5538.7918031229483</v>
      </c>
      <c r="AG1610" s="6">
        <f>$O$1610*$AA$1610</f>
        <v>3097.0230293461882</v>
      </c>
    </row>
    <row r="1611" spans="1:33" ht="11.25" customHeight="1" x14ac:dyDescent="0.25">
      <c r="A1611" s="4" t="s">
        <v>30</v>
      </c>
      <c r="B1611" s="4" t="s">
        <v>39</v>
      </c>
      <c r="C1611" s="4" t="s">
        <v>35</v>
      </c>
      <c r="D1611" s="4" t="s">
        <v>45</v>
      </c>
      <c r="E1611" s="4" t="s">
        <v>25</v>
      </c>
      <c r="F1611" s="4" t="s">
        <v>25</v>
      </c>
      <c r="G1611" s="4" t="s">
        <v>25</v>
      </c>
      <c r="H1611" s="4" t="s">
        <v>37</v>
      </c>
      <c r="I1611" s="5">
        <v>44531</v>
      </c>
      <c r="J1611" s="6">
        <v>0</v>
      </c>
      <c r="K1611" s="6">
        <v>0</v>
      </c>
      <c r="L1611" s="6">
        <v>1.117</v>
      </c>
      <c r="M1611" s="6">
        <v>1.117</v>
      </c>
      <c r="N1611" s="6">
        <v>1.117</v>
      </c>
      <c r="O1611" s="6">
        <v>1.117</v>
      </c>
      <c r="P1611" s="6">
        <v>0</v>
      </c>
      <c r="Q1611" s="4" t="s">
        <v>26</v>
      </c>
      <c r="R1611" s="4">
        <v>0</v>
      </c>
      <c r="S1611" s="6">
        <v>0</v>
      </c>
      <c r="T1611" s="6">
        <v>66</v>
      </c>
      <c r="U1611" s="6">
        <v>110</v>
      </c>
      <c r="V1611" s="6">
        <f>IF(ISERROR(VLOOKUP($S$1611,'TAR FIN'!$A$1:$O$115,15,0)),0,VLOOKUP($S$1611,'TAR FIN'!$A$1:$O$115,15,0))</f>
        <v>0</v>
      </c>
      <c r="W1611" s="6">
        <f>IF(ISERROR(VLOOKUP($T$1611,'TAR FIN'!$A$1:$O$115,15,0)),0,VLOOKUP($T$1611,'TAR FIN'!$A$1:$O$115,15,0))</f>
        <v>351.65</v>
      </c>
      <c r="X1611" s="6">
        <f>IF(ISERROR(VLOOKUP($U$1611,'TAR FIN'!$A$1:$O$115,15,0)),0,VLOOKUP($U$1611,'TAR FIN'!$A$1:$O$115,15,0))</f>
        <v>168.06</v>
      </c>
      <c r="Y1611" s="6"/>
      <c r="Z1611" s="6">
        <f ca="1">('TUSD BE'!$AM$64+'TUSD BF'!$AM$64+'TUSD CVA'!$AM$64)*1</f>
        <v>391.10237276676656</v>
      </c>
      <c r="AA1611" s="6">
        <f>('TE BE'!$AB$47+'TE BF'!$AB$47+'TE CVA'!$AB$47)*1</f>
        <v>218.6854278594964</v>
      </c>
      <c r="AB1611" s="6">
        <f>$K$1611*$V$1611</f>
        <v>0</v>
      </c>
      <c r="AC1611" s="6">
        <f>$M$1611*$W$1611</f>
        <v>392.79304999999999</v>
      </c>
      <c r="AD1611" s="6">
        <f>$O$1611*$X$1611</f>
        <v>187.72301999999999</v>
      </c>
      <c r="AE1611" s="6">
        <f>$K$1611*$Y$1611</f>
        <v>0</v>
      </c>
      <c r="AF1611" s="6">
        <f ca="1">$M$1611*$Z$1611</f>
        <v>436.86135038047826</v>
      </c>
      <c r="AG1611" s="6">
        <f>$O$1611*$AA$1611</f>
        <v>244.27162291905748</v>
      </c>
    </row>
    <row r="1612" spans="1:33" ht="11.25" customHeight="1" x14ac:dyDescent="0.25">
      <c r="A1612" s="4" t="s">
        <v>21</v>
      </c>
      <c r="B1612" s="4" t="s">
        <v>39</v>
      </c>
      <c r="C1612" s="4" t="s">
        <v>35</v>
      </c>
      <c r="D1612" s="4" t="s">
        <v>45</v>
      </c>
      <c r="E1612" s="4" t="s">
        <v>25</v>
      </c>
      <c r="F1612" s="4" t="s">
        <v>25</v>
      </c>
      <c r="G1612" s="4" t="s">
        <v>25</v>
      </c>
      <c r="H1612" s="4" t="s">
        <v>37</v>
      </c>
      <c r="I1612" s="5">
        <v>44562</v>
      </c>
      <c r="J1612" s="6">
        <v>0</v>
      </c>
      <c r="K1612" s="6">
        <v>0</v>
      </c>
      <c r="L1612" s="6">
        <v>88.043999999999997</v>
      </c>
      <c r="M1612" s="6">
        <v>88.043999999999997</v>
      </c>
      <c r="N1612" s="6">
        <v>88.043999999999997</v>
      </c>
      <c r="O1612" s="6">
        <v>88.043999999999997</v>
      </c>
      <c r="P1612" s="6">
        <v>0</v>
      </c>
      <c r="Q1612" s="4" t="s">
        <v>26</v>
      </c>
      <c r="R1612" s="4">
        <v>0</v>
      </c>
      <c r="S1612" s="6">
        <v>0</v>
      </c>
      <c r="T1612" s="6">
        <v>66</v>
      </c>
      <c r="U1612" s="6">
        <v>110</v>
      </c>
      <c r="V1612" s="6">
        <f>IF(ISERROR(VLOOKUP($S$1612,'TAR FIN'!$A$1:$O$115,15,0)),0,VLOOKUP($S$1612,'TAR FIN'!$A$1:$O$115,15,0))</f>
        <v>0</v>
      </c>
      <c r="W1612" s="6">
        <f>IF(ISERROR(VLOOKUP($T$1612,'TAR FIN'!$A$1:$O$115,15,0)),0,VLOOKUP($T$1612,'TAR FIN'!$A$1:$O$115,15,0))</f>
        <v>351.65</v>
      </c>
      <c r="X1612" s="6">
        <f>IF(ISERROR(VLOOKUP($U$1612,'TAR FIN'!$A$1:$O$115,15,0)),0,VLOOKUP($U$1612,'TAR FIN'!$A$1:$O$115,15,0))</f>
        <v>168.06</v>
      </c>
      <c r="Y1612" s="6"/>
      <c r="Z1612" s="6">
        <f ca="1">('TUSD BE'!$AM$64+'TUSD BF'!$AM$64+'TUSD CVA'!$AM$64)*1</f>
        <v>391.10237276676656</v>
      </c>
      <c r="AA1612" s="6">
        <f>('TE BE'!$AB$47+'TE BF'!$AB$47+'TE CVA'!$AB$47)*1</f>
        <v>218.6854278594964</v>
      </c>
      <c r="AB1612" s="6">
        <f>$K$1612*$V$1612</f>
        <v>0</v>
      </c>
      <c r="AC1612" s="6">
        <f>$M$1612*$W$1612</f>
        <v>30960.672599999998</v>
      </c>
      <c r="AD1612" s="6">
        <f>$O$1612*$X$1612</f>
        <v>14796.674639999999</v>
      </c>
      <c r="AE1612" s="6">
        <f>$K$1612*$Y$1612</f>
        <v>0</v>
      </c>
      <c r="AF1612" s="6">
        <f ca="1">$M$1612*$Z$1612</f>
        <v>34434.217307877196</v>
      </c>
      <c r="AG1612" s="6">
        <f>$O$1612*$AA$1612</f>
        <v>19253.939810461499</v>
      </c>
    </row>
    <row r="1613" spans="1:33" ht="11.25" customHeight="1" x14ac:dyDescent="0.25">
      <c r="A1613" s="4" t="s">
        <v>27</v>
      </c>
      <c r="B1613" s="4" t="s">
        <v>39</v>
      </c>
      <c r="C1613" s="4" t="s">
        <v>35</v>
      </c>
      <c r="D1613" s="4" t="s">
        <v>45</v>
      </c>
      <c r="E1613" s="4" t="s">
        <v>25</v>
      </c>
      <c r="F1613" s="4" t="s">
        <v>25</v>
      </c>
      <c r="G1613" s="4" t="s">
        <v>25</v>
      </c>
      <c r="H1613" s="4" t="s">
        <v>37</v>
      </c>
      <c r="I1613" s="5">
        <v>44562</v>
      </c>
      <c r="J1613" s="6">
        <v>0</v>
      </c>
      <c r="K1613" s="6">
        <v>0</v>
      </c>
      <c r="L1613" s="6">
        <v>-1.08</v>
      </c>
      <c r="M1613" s="6">
        <v>-1.08</v>
      </c>
      <c r="N1613" s="6">
        <v>-1.08</v>
      </c>
      <c r="O1613" s="6">
        <v>-1.08</v>
      </c>
      <c r="P1613" s="6">
        <v>0</v>
      </c>
      <c r="Q1613" s="4" t="s">
        <v>26</v>
      </c>
      <c r="R1613" s="4">
        <v>0</v>
      </c>
      <c r="S1613" s="6">
        <v>0</v>
      </c>
      <c r="T1613" s="6">
        <v>66</v>
      </c>
      <c r="U1613" s="6">
        <v>110</v>
      </c>
      <c r="V1613" s="6">
        <f>IF(ISERROR(VLOOKUP($S$1613,'TAR FIN'!$A$1:$O$115,15,0)),0,VLOOKUP($S$1613,'TAR FIN'!$A$1:$O$115,15,0))</f>
        <v>0</v>
      </c>
      <c r="W1613" s="6">
        <f>IF(ISERROR(VLOOKUP($T$1613,'TAR FIN'!$A$1:$O$115,15,0)),0,VLOOKUP($T$1613,'TAR FIN'!$A$1:$O$115,15,0))</f>
        <v>351.65</v>
      </c>
      <c r="X1613" s="6">
        <f>IF(ISERROR(VLOOKUP($U$1613,'TAR FIN'!$A$1:$O$115,15,0)),0,VLOOKUP($U$1613,'TAR FIN'!$A$1:$O$115,15,0))</f>
        <v>168.06</v>
      </c>
      <c r="Y1613" s="6"/>
      <c r="Z1613" s="6">
        <f ca="1">('TUSD BE'!$AM$64+'TUSD BF'!$AM$64+'TUSD CVA'!$AM$64)*1</f>
        <v>391.10237276676656</v>
      </c>
      <c r="AA1613" s="6">
        <f>('TE BE'!$AB$47+'TE BF'!$AB$47+'TE CVA'!$AB$47)*1</f>
        <v>218.6854278594964</v>
      </c>
      <c r="AB1613" s="6">
        <f>$K$1613*$V$1613</f>
        <v>0</v>
      </c>
      <c r="AC1613" s="6">
        <f>$M$1613*$W$1613</f>
        <v>-379.78199999999998</v>
      </c>
      <c r="AD1613" s="6">
        <f>$O$1613*$X$1613</f>
        <v>-181.50480000000002</v>
      </c>
      <c r="AE1613" s="6">
        <f>$K$1613*$Y$1613</f>
        <v>0</v>
      </c>
      <c r="AF1613" s="6">
        <f ca="1">$M$1613*$Z$1613</f>
        <v>-422.39056258810791</v>
      </c>
      <c r="AG1613" s="6">
        <f>$O$1613*$AA$1613</f>
        <v>-236.18026208825611</v>
      </c>
    </row>
    <row r="1614" spans="1:33" ht="11.25" customHeight="1" x14ac:dyDescent="0.25">
      <c r="A1614" s="4" t="s">
        <v>28</v>
      </c>
      <c r="B1614" s="4" t="s">
        <v>39</v>
      </c>
      <c r="C1614" s="4" t="s">
        <v>35</v>
      </c>
      <c r="D1614" s="4" t="s">
        <v>45</v>
      </c>
      <c r="E1614" s="4" t="s">
        <v>25</v>
      </c>
      <c r="F1614" s="4" t="s">
        <v>25</v>
      </c>
      <c r="G1614" s="4" t="s">
        <v>25</v>
      </c>
      <c r="H1614" s="4" t="s">
        <v>37</v>
      </c>
      <c r="I1614" s="5">
        <v>44562</v>
      </c>
      <c r="J1614" s="6">
        <v>0</v>
      </c>
      <c r="K1614" s="6">
        <v>0</v>
      </c>
      <c r="L1614" s="6">
        <v>14.417</v>
      </c>
      <c r="M1614" s="6">
        <v>14.417</v>
      </c>
      <c r="N1614" s="6">
        <v>14.417</v>
      </c>
      <c r="O1614" s="6">
        <v>14.417</v>
      </c>
      <c r="P1614" s="6">
        <v>0</v>
      </c>
      <c r="Q1614" s="4" t="s">
        <v>26</v>
      </c>
      <c r="R1614" s="4">
        <v>0</v>
      </c>
      <c r="S1614" s="6">
        <v>0</v>
      </c>
      <c r="T1614" s="6">
        <v>66</v>
      </c>
      <c r="U1614" s="6">
        <v>110</v>
      </c>
      <c r="V1614" s="6">
        <f>IF(ISERROR(VLOOKUP($S$1614,'TAR FIN'!$A$1:$O$115,15,0)),0,VLOOKUP($S$1614,'TAR FIN'!$A$1:$O$115,15,0))</f>
        <v>0</v>
      </c>
      <c r="W1614" s="6">
        <f>IF(ISERROR(VLOOKUP($T$1614,'TAR FIN'!$A$1:$O$115,15,0)),0,VLOOKUP($T$1614,'TAR FIN'!$A$1:$O$115,15,0))</f>
        <v>351.65</v>
      </c>
      <c r="X1614" s="6">
        <f>IF(ISERROR(VLOOKUP($U$1614,'TAR FIN'!$A$1:$O$115,15,0)),0,VLOOKUP($U$1614,'TAR FIN'!$A$1:$O$115,15,0))</f>
        <v>168.06</v>
      </c>
      <c r="Y1614" s="6"/>
      <c r="Z1614" s="6">
        <f ca="1">('TUSD BE'!$AM$64+'TUSD BF'!$AM$64+'TUSD CVA'!$AM$64)*1</f>
        <v>391.10237276676656</v>
      </c>
      <c r="AA1614" s="6">
        <f>('TE BE'!$AB$47+'TE BF'!$AB$47+'TE CVA'!$AB$47)*1</f>
        <v>218.6854278594964</v>
      </c>
      <c r="AB1614" s="6">
        <f>$K$1614*$V$1614</f>
        <v>0</v>
      </c>
      <c r="AC1614" s="6">
        <f>$M$1614*$W$1614</f>
        <v>5069.7380499999999</v>
      </c>
      <c r="AD1614" s="6">
        <f>$O$1614*$X$1614</f>
        <v>2422.9210200000002</v>
      </c>
      <c r="AE1614" s="6">
        <f>$K$1614*$Y$1614</f>
        <v>0</v>
      </c>
      <c r="AF1614" s="6">
        <f ca="1">$M$1614*$Z$1614</f>
        <v>5638.5229081784737</v>
      </c>
      <c r="AG1614" s="6">
        <f>$O$1614*$AA$1614</f>
        <v>3152.7878134503594</v>
      </c>
    </row>
    <row r="1615" spans="1:33" ht="11.25" customHeight="1" x14ac:dyDescent="0.25">
      <c r="A1615" s="4" t="s">
        <v>30</v>
      </c>
      <c r="B1615" s="4" t="s">
        <v>39</v>
      </c>
      <c r="C1615" s="4" t="s">
        <v>35</v>
      </c>
      <c r="D1615" s="4" t="s">
        <v>45</v>
      </c>
      <c r="E1615" s="4" t="s">
        <v>25</v>
      </c>
      <c r="F1615" s="4" t="s">
        <v>25</v>
      </c>
      <c r="G1615" s="4" t="s">
        <v>25</v>
      </c>
      <c r="H1615" s="4" t="s">
        <v>37</v>
      </c>
      <c r="I1615" s="5">
        <v>44562</v>
      </c>
      <c r="J1615" s="6">
        <v>0</v>
      </c>
      <c r="K1615" s="6">
        <v>0</v>
      </c>
      <c r="L1615" s="6">
        <v>1.1160000000000001</v>
      </c>
      <c r="M1615" s="6">
        <v>1.1160000000000001</v>
      </c>
      <c r="N1615" s="6">
        <v>1.1160000000000001</v>
      </c>
      <c r="O1615" s="6">
        <v>1.1160000000000001</v>
      </c>
      <c r="P1615" s="6">
        <v>0</v>
      </c>
      <c r="Q1615" s="4" t="s">
        <v>26</v>
      </c>
      <c r="R1615" s="4">
        <v>0</v>
      </c>
      <c r="S1615" s="6">
        <v>0</v>
      </c>
      <c r="T1615" s="6">
        <v>66</v>
      </c>
      <c r="U1615" s="6">
        <v>110</v>
      </c>
      <c r="V1615" s="6">
        <f>IF(ISERROR(VLOOKUP($S$1615,'TAR FIN'!$A$1:$O$115,15,0)),0,VLOOKUP($S$1615,'TAR FIN'!$A$1:$O$115,15,0))</f>
        <v>0</v>
      </c>
      <c r="W1615" s="6">
        <f>IF(ISERROR(VLOOKUP($T$1615,'TAR FIN'!$A$1:$O$115,15,0)),0,VLOOKUP($T$1615,'TAR FIN'!$A$1:$O$115,15,0))</f>
        <v>351.65</v>
      </c>
      <c r="X1615" s="6">
        <f>IF(ISERROR(VLOOKUP($U$1615,'TAR FIN'!$A$1:$O$115,15,0)),0,VLOOKUP($U$1615,'TAR FIN'!$A$1:$O$115,15,0))</f>
        <v>168.06</v>
      </c>
      <c r="Y1615" s="6"/>
      <c r="Z1615" s="6">
        <f ca="1">('TUSD BE'!$AM$64+'TUSD BF'!$AM$64+'TUSD CVA'!$AM$64)*1</f>
        <v>391.10237276676656</v>
      </c>
      <c r="AA1615" s="6">
        <f>('TE BE'!$AB$47+'TE BF'!$AB$47+'TE CVA'!$AB$47)*1</f>
        <v>218.6854278594964</v>
      </c>
      <c r="AB1615" s="6">
        <f>$K$1615*$V$1615</f>
        <v>0</v>
      </c>
      <c r="AC1615" s="6">
        <f>$M$1615*$W$1615</f>
        <v>392.44139999999999</v>
      </c>
      <c r="AD1615" s="6">
        <f>$O$1615*$X$1615</f>
        <v>187.55496000000002</v>
      </c>
      <c r="AE1615" s="6">
        <f>$K$1615*$Y$1615</f>
        <v>0</v>
      </c>
      <c r="AF1615" s="6">
        <f ca="1">$M$1615*$Z$1615</f>
        <v>436.47024800771152</v>
      </c>
      <c r="AG1615" s="6">
        <f>$O$1615*$AA$1615</f>
        <v>244.05293749119801</v>
      </c>
    </row>
    <row r="1616" spans="1:33" ht="11.25" customHeight="1" x14ac:dyDescent="0.25">
      <c r="A1616" s="4" t="s">
        <v>30</v>
      </c>
      <c r="B1616" s="4" t="s">
        <v>39</v>
      </c>
      <c r="C1616" s="4" t="s">
        <v>35</v>
      </c>
      <c r="D1616" s="4" t="s">
        <v>45</v>
      </c>
      <c r="E1616" s="4" t="s">
        <v>25</v>
      </c>
      <c r="F1616" s="4" t="s">
        <v>25</v>
      </c>
      <c r="G1616" s="4" t="s">
        <v>25</v>
      </c>
      <c r="H1616" s="4" t="s">
        <v>37</v>
      </c>
      <c r="I1616" s="5">
        <v>44562</v>
      </c>
      <c r="J1616" s="6">
        <v>0</v>
      </c>
      <c r="K1616" s="6">
        <v>0</v>
      </c>
      <c r="L1616" s="6">
        <v>-0.31900000000000001</v>
      </c>
      <c r="M1616" s="6">
        <v>-0.31900000000000001</v>
      </c>
      <c r="N1616" s="6">
        <v>-0.31900000000000001</v>
      </c>
      <c r="O1616" s="6">
        <v>-0.31900000000000001</v>
      </c>
      <c r="P1616" s="6">
        <v>0</v>
      </c>
      <c r="Q1616" s="4" t="s">
        <v>26</v>
      </c>
      <c r="R1616" s="4">
        <v>0</v>
      </c>
      <c r="S1616" s="6">
        <v>0</v>
      </c>
      <c r="T1616" s="6">
        <v>66</v>
      </c>
      <c r="U1616" s="6">
        <v>110</v>
      </c>
      <c r="V1616" s="6">
        <f>IF(ISERROR(VLOOKUP($S$1616,'TAR FIN'!$A$1:$O$115,15,0)),0,VLOOKUP($S$1616,'TAR FIN'!$A$1:$O$115,15,0))</f>
        <v>0</v>
      </c>
      <c r="W1616" s="6">
        <f>IF(ISERROR(VLOOKUP($T$1616,'TAR FIN'!$A$1:$O$115,15,0)),0,VLOOKUP($T$1616,'TAR FIN'!$A$1:$O$115,15,0))</f>
        <v>351.65</v>
      </c>
      <c r="X1616" s="6">
        <f>IF(ISERROR(VLOOKUP($U$1616,'TAR FIN'!$A$1:$O$115,15,0)),0,VLOOKUP($U$1616,'TAR FIN'!$A$1:$O$115,15,0))</f>
        <v>168.06</v>
      </c>
      <c r="Y1616" s="6"/>
      <c r="Z1616" s="6">
        <f ca="1">('TUSD BE'!$AM$64+'TUSD BF'!$AM$64+'TUSD CVA'!$AM$64)*1</f>
        <v>391.10237276676656</v>
      </c>
      <c r="AA1616" s="6">
        <f>('TE BE'!$AB$47+'TE BF'!$AB$47+'TE CVA'!$AB$47)*1</f>
        <v>218.6854278594964</v>
      </c>
      <c r="AB1616" s="6">
        <f>$K$1616*$V$1616</f>
        <v>0</v>
      </c>
      <c r="AC1616" s="6">
        <f>$M$1616*$W$1616</f>
        <v>-112.17635</v>
      </c>
      <c r="AD1616" s="6">
        <f>$O$1616*$X$1616</f>
        <v>-53.611139999999999</v>
      </c>
      <c r="AE1616" s="6">
        <f>$K$1616*$Y$1616</f>
        <v>0</v>
      </c>
      <c r="AF1616" s="6">
        <f ca="1">$M$1616*$Z$1616</f>
        <v>-124.76165691259854</v>
      </c>
      <c r="AG1616" s="6">
        <f>$O$1616*$AA$1616</f>
        <v>-69.760651487179359</v>
      </c>
    </row>
    <row r="1617" spans="1:33" ht="11.25" customHeight="1" x14ac:dyDescent="0.25">
      <c r="A1617" s="4" t="s">
        <v>21</v>
      </c>
      <c r="B1617" s="4" t="s">
        <v>39</v>
      </c>
      <c r="C1617" s="4" t="s">
        <v>35</v>
      </c>
      <c r="D1617" s="4" t="s">
        <v>45</v>
      </c>
      <c r="E1617" s="4" t="s">
        <v>25</v>
      </c>
      <c r="F1617" s="4" t="s">
        <v>25</v>
      </c>
      <c r="G1617" s="4" t="s">
        <v>25</v>
      </c>
      <c r="H1617" s="4" t="s">
        <v>37</v>
      </c>
      <c r="I1617" s="5">
        <v>44593</v>
      </c>
      <c r="J1617" s="6">
        <v>0</v>
      </c>
      <c r="K1617" s="6">
        <v>0</v>
      </c>
      <c r="L1617" s="6">
        <v>74.156000000000006</v>
      </c>
      <c r="M1617" s="6">
        <v>74.156000000000006</v>
      </c>
      <c r="N1617" s="6">
        <v>74.156000000000006</v>
      </c>
      <c r="O1617" s="6">
        <v>74.156000000000006</v>
      </c>
      <c r="P1617" s="6">
        <v>0</v>
      </c>
      <c r="Q1617" s="4" t="s">
        <v>26</v>
      </c>
      <c r="R1617" s="4">
        <v>0</v>
      </c>
      <c r="S1617" s="6">
        <v>0</v>
      </c>
      <c r="T1617" s="6">
        <v>66</v>
      </c>
      <c r="U1617" s="6">
        <v>110</v>
      </c>
      <c r="V1617" s="6">
        <f>IF(ISERROR(VLOOKUP($S$1617,'TAR FIN'!$A$1:$O$115,15,0)),0,VLOOKUP($S$1617,'TAR FIN'!$A$1:$O$115,15,0))</f>
        <v>0</v>
      </c>
      <c r="W1617" s="6">
        <f>IF(ISERROR(VLOOKUP($T$1617,'TAR FIN'!$A$1:$O$115,15,0)),0,VLOOKUP($T$1617,'TAR FIN'!$A$1:$O$115,15,0))</f>
        <v>351.65</v>
      </c>
      <c r="X1617" s="6">
        <f>IF(ISERROR(VLOOKUP($U$1617,'TAR FIN'!$A$1:$O$115,15,0)),0,VLOOKUP($U$1617,'TAR FIN'!$A$1:$O$115,15,0))</f>
        <v>168.06</v>
      </c>
      <c r="Y1617" s="6"/>
      <c r="Z1617" s="6">
        <f ca="1">('TUSD BE'!$AM$64+'TUSD BF'!$AM$64+'TUSD CVA'!$AM$64)*1</f>
        <v>391.10237276676656</v>
      </c>
      <c r="AA1617" s="6">
        <f>('TE BE'!$AB$47+'TE BF'!$AB$47+'TE CVA'!$AB$47)*1</f>
        <v>218.6854278594964</v>
      </c>
      <c r="AB1617" s="6">
        <f>$K$1617*$V$1617</f>
        <v>0</v>
      </c>
      <c r="AC1617" s="6">
        <f>$M$1617*$W$1617</f>
        <v>26076.957399999999</v>
      </c>
      <c r="AD1617" s="6">
        <f>$O$1617*$X$1617</f>
        <v>12462.657360000001</v>
      </c>
      <c r="AE1617" s="6">
        <f>$K$1617*$Y$1617</f>
        <v>0</v>
      </c>
      <c r="AF1617" s="6">
        <f ca="1">$M$1617*$Z$1617</f>
        <v>29002.587554892343</v>
      </c>
      <c r="AG1617" s="6">
        <f>$O$1617*$AA$1617</f>
        <v>16216.836588348817</v>
      </c>
    </row>
    <row r="1618" spans="1:33" ht="11.25" customHeight="1" x14ac:dyDescent="0.25">
      <c r="A1618" s="4" t="s">
        <v>28</v>
      </c>
      <c r="B1618" s="4" t="s">
        <v>39</v>
      </c>
      <c r="C1618" s="4" t="s">
        <v>35</v>
      </c>
      <c r="D1618" s="4" t="s">
        <v>45</v>
      </c>
      <c r="E1618" s="4" t="s">
        <v>25</v>
      </c>
      <c r="F1618" s="4" t="s">
        <v>25</v>
      </c>
      <c r="G1618" s="4" t="s">
        <v>25</v>
      </c>
      <c r="H1618" s="4" t="s">
        <v>37</v>
      </c>
      <c r="I1618" s="5">
        <v>44593</v>
      </c>
      <c r="J1618" s="6">
        <v>0</v>
      </c>
      <c r="K1618" s="6">
        <v>0</v>
      </c>
      <c r="L1618" s="6">
        <v>12.398999999999999</v>
      </c>
      <c r="M1618" s="6">
        <v>12.398999999999999</v>
      </c>
      <c r="N1618" s="6">
        <v>12.398999999999999</v>
      </c>
      <c r="O1618" s="6">
        <v>12.398999999999999</v>
      </c>
      <c r="P1618" s="6">
        <v>0</v>
      </c>
      <c r="Q1618" s="4" t="s">
        <v>26</v>
      </c>
      <c r="R1618" s="4">
        <v>0</v>
      </c>
      <c r="S1618" s="6">
        <v>0</v>
      </c>
      <c r="T1618" s="6">
        <v>66</v>
      </c>
      <c r="U1618" s="6">
        <v>110</v>
      </c>
      <c r="V1618" s="6">
        <f>IF(ISERROR(VLOOKUP($S$1618,'TAR FIN'!$A$1:$O$115,15,0)),0,VLOOKUP($S$1618,'TAR FIN'!$A$1:$O$115,15,0))</f>
        <v>0</v>
      </c>
      <c r="W1618" s="6">
        <f>IF(ISERROR(VLOOKUP($T$1618,'TAR FIN'!$A$1:$O$115,15,0)),0,VLOOKUP($T$1618,'TAR FIN'!$A$1:$O$115,15,0))</f>
        <v>351.65</v>
      </c>
      <c r="X1618" s="6">
        <f>IF(ISERROR(VLOOKUP($U$1618,'TAR FIN'!$A$1:$O$115,15,0)),0,VLOOKUP($U$1618,'TAR FIN'!$A$1:$O$115,15,0))</f>
        <v>168.06</v>
      </c>
      <c r="Y1618" s="6"/>
      <c r="Z1618" s="6">
        <f ca="1">('TUSD BE'!$AM$64+'TUSD BF'!$AM$64+'TUSD CVA'!$AM$64)*1</f>
        <v>391.10237276676656</v>
      </c>
      <c r="AA1618" s="6">
        <f>('TE BE'!$AB$47+'TE BF'!$AB$47+'TE CVA'!$AB$47)*1</f>
        <v>218.6854278594964</v>
      </c>
      <c r="AB1618" s="6">
        <f>$K$1618*$V$1618</f>
        <v>0</v>
      </c>
      <c r="AC1618" s="6">
        <f>$M$1618*$W$1618</f>
        <v>4360.1083499999995</v>
      </c>
      <c r="AD1618" s="6">
        <f>$O$1618*$X$1618</f>
        <v>2083.77594</v>
      </c>
      <c r="AE1618" s="6">
        <f>$K$1618*$Y$1618</f>
        <v>0</v>
      </c>
      <c r="AF1618" s="6">
        <f ca="1">$M$1618*$Z$1618</f>
        <v>4849.2783199351379</v>
      </c>
      <c r="AG1618" s="6">
        <f>$O$1618*$AA$1618</f>
        <v>2711.4806200298958</v>
      </c>
    </row>
    <row r="1619" spans="1:33" ht="11.25" customHeight="1" x14ac:dyDescent="0.25">
      <c r="A1619" s="4" t="s">
        <v>30</v>
      </c>
      <c r="B1619" s="4" t="s">
        <v>39</v>
      </c>
      <c r="C1619" s="4" t="s">
        <v>35</v>
      </c>
      <c r="D1619" s="4" t="s">
        <v>45</v>
      </c>
      <c r="E1619" s="4" t="s">
        <v>25</v>
      </c>
      <c r="F1619" s="4" t="s">
        <v>25</v>
      </c>
      <c r="G1619" s="4" t="s">
        <v>25</v>
      </c>
      <c r="H1619" s="4" t="s">
        <v>37</v>
      </c>
      <c r="I1619" s="5">
        <v>44593</v>
      </c>
      <c r="J1619" s="6">
        <v>0</v>
      </c>
      <c r="K1619" s="6">
        <v>0</v>
      </c>
      <c r="L1619" s="6">
        <v>0.82299999999999995</v>
      </c>
      <c r="M1619" s="6">
        <v>0.82299999999999995</v>
      </c>
      <c r="N1619" s="6">
        <v>0.82299999999999995</v>
      </c>
      <c r="O1619" s="6">
        <v>0.82299999999999995</v>
      </c>
      <c r="P1619" s="6">
        <v>0</v>
      </c>
      <c r="Q1619" s="4" t="s">
        <v>26</v>
      </c>
      <c r="R1619" s="4">
        <v>0</v>
      </c>
      <c r="S1619" s="6">
        <v>0</v>
      </c>
      <c r="T1619" s="6">
        <v>66</v>
      </c>
      <c r="U1619" s="6">
        <v>110</v>
      </c>
      <c r="V1619" s="6">
        <f>IF(ISERROR(VLOOKUP($S$1619,'TAR FIN'!$A$1:$O$115,15,0)),0,VLOOKUP($S$1619,'TAR FIN'!$A$1:$O$115,15,0))</f>
        <v>0</v>
      </c>
      <c r="W1619" s="6">
        <f>IF(ISERROR(VLOOKUP($T$1619,'TAR FIN'!$A$1:$O$115,15,0)),0,VLOOKUP($T$1619,'TAR FIN'!$A$1:$O$115,15,0))</f>
        <v>351.65</v>
      </c>
      <c r="X1619" s="6">
        <f>IF(ISERROR(VLOOKUP($U$1619,'TAR FIN'!$A$1:$O$115,15,0)),0,VLOOKUP($U$1619,'TAR FIN'!$A$1:$O$115,15,0))</f>
        <v>168.06</v>
      </c>
      <c r="Y1619" s="6"/>
      <c r="Z1619" s="6">
        <f ca="1">('TUSD BE'!$AM$64+'TUSD BF'!$AM$64+'TUSD CVA'!$AM$64)*1</f>
        <v>391.10237276676656</v>
      </c>
      <c r="AA1619" s="6">
        <f>('TE BE'!$AB$47+'TE BF'!$AB$47+'TE CVA'!$AB$47)*1</f>
        <v>218.6854278594964</v>
      </c>
      <c r="AB1619" s="6">
        <f>$K$1619*$V$1619</f>
        <v>0</v>
      </c>
      <c r="AC1619" s="6">
        <f>$M$1619*$W$1619</f>
        <v>289.40794999999997</v>
      </c>
      <c r="AD1619" s="6">
        <f>$O$1619*$X$1619</f>
        <v>138.31338</v>
      </c>
      <c r="AE1619" s="6">
        <f>$K$1619*$Y$1619</f>
        <v>0</v>
      </c>
      <c r="AF1619" s="6">
        <f ca="1">$M$1619*$Z$1619</f>
        <v>321.87725278704886</v>
      </c>
      <c r="AG1619" s="6">
        <f>$O$1619*$AA$1619</f>
        <v>179.97810712836554</v>
      </c>
    </row>
    <row r="1620" spans="1:33" ht="11.25" customHeight="1" x14ac:dyDescent="0.25">
      <c r="A1620" s="4" t="s">
        <v>21</v>
      </c>
      <c r="B1620" s="4" t="s">
        <v>39</v>
      </c>
      <c r="C1620" s="4" t="s">
        <v>35</v>
      </c>
      <c r="D1620" s="4" t="s">
        <v>45</v>
      </c>
      <c r="E1620" s="4" t="s">
        <v>25</v>
      </c>
      <c r="F1620" s="4" t="s">
        <v>25</v>
      </c>
      <c r="G1620" s="4" t="s">
        <v>25</v>
      </c>
      <c r="H1620" s="4" t="s">
        <v>37</v>
      </c>
      <c r="I1620" s="5">
        <v>44621</v>
      </c>
      <c r="J1620" s="6">
        <v>0</v>
      </c>
      <c r="K1620" s="6">
        <v>0</v>
      </c>
      <c r="L1620" s="6">
        <v>80.355999999999995</v>
      </c>
      <c r="M1620" s="6">
        <v>80.355999999999995</v>
      </c>
      <c r="N1620" s="6">
        <v>80.355999999999995</v>
      </c>
      <c r="O1620" s="6">
        <v>80.355999999999995</v>
      </c>
      <c r="P1620" s="6">
        <v>0</v>
      </c>
      <c r="Q1620" s="4" t="s">
        <v>26</v>
      </c>
      <c r="R1620" s="4">
        <v>0</v>
      </c>
      <c r="S1620" s="6">
        <v>0</v>
      </c>
      <c r="T1620" s="6">
        <v>66</v>
      </c>
      <c r="U1620" s="6">
        <v>110</v>
      </c>
      <c r="V1620" s="6">
        <f>IF(ISERROR(VLOOKUP($S$1620,'TAR FIN'!$A$1:$O$115,15,0)),0,VLOOKUP($S$1620,'TAR FIN'!$A$1:$O$115,15,0))</f>
        <v>0</v>
      </c>
      <c r="W1620" s="6">
        <f>IF(ISERROR(VLOOKUP($T$1620,'TAR FIN'!$A$1:$O$115,15,0)),0,VLOOKUP($T$1620,'TAR FIN'!$A$1:$O$115,15,0))</f>
        <v>351.65</v>
      </c>
      <c r="X1620" s="6">
        <f>IF(ISERROR(VLOOKUP($U$1620,'TAR FIN'!$A$1:$O$115,15,0)),0,VLOOKUP($U$1620,'TAR FIN'!$A$1:$O$115,15,0))</f>
        <v>168.06</v>
      </c>
      <c r="Y1620" s="6"/>
      <c r="Z1620" s="6">
        <f ca="1">('TUSD BE'!$AM$64+'TUSD BF'!$AM$64+'TUSD CVA'!$AM$64)*1</f>
        <v>391.10237276676656</v>
      </c>
      <c r="AA1620" s="6">
        <f>('TE BE'!$AB$47+'TE BF'!$AB$47+'TE CVA'!$AB$47)*1</f>
        <v>218.6854278594964</v>
      </c>
      <c r="AB1620" s="6">
        <f>$K$1620*$V$1620</f>
        <v>0</v>
      </c>
      <c r="AC1620" s="6">
        <f>$M$1620*$W$1620</f>
        <v>28257.187399999995</v>
      </c>
      <c r="AD1620" s="6">
        <f>$O$1620*$X$1620</f>
        <v>13504.629359999999</v>
      </c>
      <c r="AE1620" s="6">
        <f>$K$1620*$Y$1620</f>
        <v>0</v>
      </c>
      <c r="AF1620" s="6">
        <f ca="1">$M$1620*$Z$1620</f>
        <v>31427.422266046291</v>
      </c>
      <c r="AG1620" s="6">
        <f>$O$1620*$AA$1620</f>
        <v>17572.686241077692</v>
      </c>
    </row>
    <row r="1621" spans="1:33" ht="11.25" customHeight="1" x14ac:dyDescent="0.25">
      <c r="A1621" s="4" t="s">
        <v>27</v>
      </c>
      <c r="B1621" s="4" t="s">
        <v>39</v>
      </c>
      <c r="C1621" s="4" t="s">
        <v>35</v>
      </c>
      <c r="D1621" s="4" t="s">
        <v>45</v>
      </c>
      <c r="E1621" s="4" t="s">
        <v>25</v>
      </c>
      <c r="F1621" s="4" t="s">
        <v>25</v>
      </c>
      <c r="G1621" s="4" t="s">
        <v>25</v>
      </c>
      <c r="H1621" s="4" t="s">
        <v>37</v>
      </c>
      <c r="I1621" s="5">
        <v>44621</v>
      </c>
      <c r="J1621" s="6">
        <v>0</v>
      </c>
      <c r="K1621" s="6">
        <v>0</v>
      </c>
      <c r="L1621" s="6">
        <v>0.53300000000000003</v>
      </c>
      <c r="M1621" s="6">
        <v>0.53300000000000003</v>
      </c>
      <c r="N1621" s="6">
        <v>0.53300000000000003</v>
      </c>
      <c r="O1621" s="6">
        <v>0.53300000000000003</v>
      </c>
      <c r="P1621" s="6">
        <v>0</v>
      </c>
      <c r="Q1621" s="4" t="s">
        <v>26</v>
      </c>
      <c r="R1621" s="4">
        <v>0</v>
      </c>
      <c r="S1621" s="6">
        <v>0</v>
      </c>
      <c r="T1621" s="6">
        <v>66</v>
      </c>
      <c r="U1621" s="6">
        <v>110</v>
      </c>
      <c r="V1621" s="6">
        <f>IF(ISERROR(VLOOKUP($S$1621,'TAR FIN'!$A$1:$O$115,15,0)),0,VLOOKUP($S$1621,'TAR FIN'!$A$1:$O$115,15,0))</f>
        <v>0</v>
      </c>
      <c r="W1621" s="6">
        <f>IF(ISERROR(VLOOKUP($T$1621,'TAR FIN'!$A$1:$O$115,15,0)),0,VLOOKUP($T$1621,'TAR FIN'!$A$1:$O$115,15,0))</f>
        <v>351.65</v>
      </c>
      <c r="X1621" s="6">
        <f>IF(ISERROR(VLOOKUP($U$1621,'TAR FIN'!$A$1:$O$115,15,0)),0,VLOOKUP($U$1621,'TAR FIN'!$A$1:$O$115,15,0))</f>
        <v>168.06</v>
      </c>
      <c r="Y1621" s="6"/>
      <c r="Z1621" s="6">
        <f ca="1">('TUSD BE'!$AM$64+'TUSD BF'!$AM$64+'TUSD CVA'!$AM$64)*1</f>
        <v>391.10237276676656</v>
      </c>
      <c r="AA1621" s="6">
        <f>('TE BE'!$AB$47+'TE BF'!$AB$47+'TE CVA'!$AB$47)*1</f>
        <v>218.6854278594964</v>
      </c>
      <c r="AB1621" s="6">
        <f>$K$1621*$V$1621</f>
        <v>0</v>
      </c>
      <c r="AC1621" s="6">
        <f>$M$1621*$W$1621</f>
        <v>187.42945</v>
      </c>
      <c r="AD1621" s="6">
        <f>$O$1621*$X$1621</f>
        <v>89.575980000000001</v>
      </c>
      <c r="AE1621" s="6">
        <f>$K$1621*$Y$1621</f>
        <v>0</v>
      </c>
      <c r="AF1621" s="6">
        <f ca="1">$M$1621*$Z$1621</f>
        <v>208.45756468468659</v>
      </c>
      <c r="AG1621" s="6">
        <f>$O$1621*$AA$1621</f>
        <v>116.55933304911159</v>
      </c>
    </row>
    <row r="1622" spans="1:33" ht="11.25" customHeight="1" x14ac:dyDescent="0.25">
      <c r="A1622" s="4" t="s">
        <v>28</v>
      </c>
      <c r="B1622" s="4" t="s">
        <v>39</v>
      </c>
      <c r="C1622" s="4" t="s">
        <v>35</v>
      </c>
      <c r="D1622" s="4" t="s">
        <v>45</v>
      </c>
      <c r="E1622" s="4" t="s">
        <v>25</v>
      </c>
      <c r="F1622" s="4" t="s">
        <v>25</v>
      </c>
      <c r="G1622" s="4" t="s">
        <v>25</v>
      </c>
      <c r="H1622" s="4" t="s">
        <v>37</v>
      </c>
      <c r="I1622" s="5">
        <v>44621</v>
      </c>
      <c r="J1622" s="6">
        <v>0</v>
      </c>
      <c r="K1622" s="6">
        <v>0</v>
      </c>
      <c r="L1622" s="6">
        <v>11.769</v>
      </c>
      <c r="M1622" s="6">
        <v>11.769</v>
      </c>
      <c r="N1622" s="6">
        <v>11.769</v>
      </c>
      <c r="O1622" s="6">
        <v>11.769</v>
      </c>
      <c r="P1622" s="6">
        <v>0</v>
      </c>
      <c r="Q1622" s="4" t="s">
        <v>26</v>
      </c>
      <c r="R1622" s="4">
        <v>0</v>
      </c>
      <c r="S1622" s="6">
        <v>0</v>
      </c>
      <c r="T1622" s="6">
        <v>66</v>
      </c>
      <c r="U1622" s="6">
        <v>110</v>
      </c>
      <c r="V1622" s="6">
        <f>IF(ISERROR(VLOOKUP($S$1622,'TAR FIN'!$A$1:$O$115,15,0)),0,VLOOKUP($S$1622,'TAR FIN'!$A$1:$O$115,15,0))</f>
        <v>0</v>
      </c>
      <c r="W1622" s="6">
        <f>IF(ISERROR(VLOOKUP($T$1622,'TAR FIN'!$A$1:$O$115,15,0)),0,VLOOKUP($T$1622,'TAR FIN'!$A$1:$O$115,15,0))</f>
        <v>351.65</v>
      </c>
      <c r="X1622" s="6">
        <f>IF(ISERROR(VLOOKUP($U$1622,'TAR FIN'!$A$1:$O$115,15,0)),0,VLOOKUP($U$1622,'TAR FIN'!$A$1:$O$115,15,0))</f>
        <v>168.06</v>
      </c>
      <c r="Y1622" s="6"/>
      <c r="Z1622" s="6">
        <f ca="1">('TUSD BE'!$AM$64+'TUSD BF'!$AM$64+'TUSD CVA'!$AM$64)*1</f>
        <v>391.10237276676656</v>
      </c>
      <c r="AA1622" s="6">
        <f>('TE BE'!$AB$47+'TE BF'!$AB$47+'TE CVA'!$AB$47)*1</f>
        <v>218.6854278594964</v>
      </c>
      <c r="AB1622" s="6">
        <f>$K$1622*$V$1622</f>
        <v>0</v>
      </c>
      <c r="AC1622" s="6">
        <f>$M$1622*$W$1622</f>
        <v>4138.5688499999997</v>
      </c>
      <c r="AD1622" s="6">
        <f>$O$1622*$X$1622</f>
        <v>1977.89814</v>
      </c>
      <c r="AE1622" s="6">
        <f>$K$1622*$Y$1622</f>
        <v>0</v>
      </c>
      <c r="AF1622" s="6">
        <f ca="1">$M$1622*$Z$1622</f>
        <v>4602.8838250920753</v>
      </c>
      <c r="AG1622" s="6">
        <f>$O$1622*$AA$1622</f>
        <v>2573.7088004784132</v>
      </c>
    </row>
    <row r="1623" spans="1:33" ht="11.25" customHeight="1" x14ac:dyDescent="0.25">
      <c r="A1623" s="4" t="s">
        <v>29</v>
      </c>
      <c r="B1623" s="4" t="s">
        <v>39</v>
      </c>
      <c r="C1623" s="4" t="s">
        <v>35</v>
      </c>
      <c r="D1623" s="4" t="s">
        <v>45</v>
      </c>
      <c r="E1623" s="4" t="s">
        <v>25</v>
      </c>
      <c r="F1623" s="4" t="s">
        <v>25</v>
      </c>
      <c r="G1623" s="4" t="s">
        <v>25</v>
      </c>
      <c r="H1623" s="4" t="s">
        <v>37</v>
      </c>
      <c r="I1623" s="5">
        <v>44621</v>
      </c>
      <c r="J1623" s="6">
        <v>0</v>
      </c>
      <c r="K1623" s="6">
        <v>0</v>
      </c>
      <c r="L1623" s="6">
        <v>2.714</v>
      </c>
      <c r="M1623" s="6">
        <v>2.714</v>
      </c>
      <c r="N1623" s="6">
        <v>2.714</v>
      </c>
      <c r="O1623" s="6">
        <v>2.714</v>
      </c>
      <c r="P1623" s="6">
        <v>0</v>
      </c>
      <c r="Q1623" s="4" t="s">
        <v>26</v>
      </c>
      <c r="R1623" s="4">
        <v>0</v>
      </c>
      <c r="S1623" s="6">
        <v>0</v>
      </c>
      <c r="T1623" s="6">
        <v>66</v>
      </c>
      <c r="U1623" s="6">
        <v>110</v>
      </c>
      <c r="V1623" s="6">
        <f>IF(ISERROR(VLOOKUP($S$1623,'TAR FIN'!$A$1:$O$115,15,0)),0,VLOOKUP($S$1623,'TAR FIN'!$A$1:$O$115,15,0))</f>
        <v>0</v>
      </c>
      <c r="W1623" s="6">
        <f>IF(ISERROR(VLOOKUP($T$1623,'TAR FIN'!$A$1:$O$115,15,0)),0,VLOOKUP($T$1623,'TAR FIN'!$A$1:$O$115,15,0))</f>
        <v>351.65</v>
      </c>
      <c r="X1623" s="6">
        <f>IF(ISERROR(VLOOKUP($U$1623,'TAR FIN'!$A$1:$O$115,15,0)),0,VLOOKUP($U$1623,'TAR FIN'!$A$1:$O$115,15,0))</f>
        <v>168.06</v>
      </c>
      <c r="Y1623" s="6"/>
      <c r="Z1623" s="6">
        <f ca="1">('TUSD BE'!$AM$64+'TUSD BF'!$AM$64+'TUSD CVA'!$AM$64)*1</f>
        <v>391.10237276676656</v>
      </c>
      <c r="AA1623" s="6">
        <f>('TE BE'!$AB$47+'TE BF'!$AB$47+'TE CVA'!$AB$47)*1</f>
        <v>218.6854278594964</v>
      </c>
      <c r="AB1623" s="6">
        <f>$K$1623*$V$1623</f>
        <v>0</v>
      </c>
      <c r="AC1623" s="6">
        <f>$M$1623*$W$1623</f>
        <v>954.3780999999999</v>
      </c>
      <c r="AD1623" s="6">
        <f>$O$1623*$X$1623</f>
        <v>456.11484000000002</v>
      </c>
      <c r="AE1623" s="6">
        <f>$K$1623*$Y$1623</f>
        <v>0</v>
      </c>
      <c r="AF1623" s="6">
        <f ca="1">$M$1623*$Z$1623</f>
        <v>1061.4518396890044</v>
      </c>
      <c r="AG1623" s="6">
        <f>$O$1623*$AA$1623</f>
        <v>593.51225121067318</v>
      </c>
    </row>
    <row r="1624" spans="1:33" ht="11.25" customHeight="1" x14ac:dyDescent="0.25">
      <c r="A1624" s="4" t="s">
        <v>30</v>
      </c>
      <c r="B1624" s="4" t="s">
        <v>39</v>
      </c>
      <c r="C1624" s="4" t="s">
        <v>35</v>
      </c>
      <c r="D1624" s="4" t="s">
        <v>45</v>
      </c>
      <c r="E1624" s="4" t="s">
        <v>25</v>
      </c>
      <c r="F1624" s="4" t="s">
        <v>25</v>
      </c>
      <c r="G1624" s="4" t="s">
        <v>25</v>
      </c>
      <c r="H1624" s="4" t="s">
        <v>37</v>
      </c>
      <c r="I1624" s="5">
        <v>44621</v>
      </c>
      <c r="J1624" s="6">
        <v>0</v>
      </c>
      <c r="K1624" s="6">
        <v>0</v>
      </c>
      <c r="L1624" s="6">
        <v>0.63600000000000001</v>
      </c>
      <c r="M1624" s="6">
        <v>0.63600000000000001</v>
      </c>
      <c r="N1624" s="6">
        <v>0.63600000000000001</v>
      </c>
      <c r="O1624" s="6">
        <v>0.63600000000000001</v>
      </c>
      <c r="P1624" s="6">
        <v>0</v>
      </c>
      <c r="Q1624" s="4" t="s">
        <v>26</v>
      </c>
      <c r="R1624" s="4">
        <v>0</v>
      </c>
      <c r="S1624" s="6">
        <v>0</v>
      </c>
      <c r="T1624" s="6">
        <v>66</v>
      </c>
      <c r="U1624" s="6">
        <v>110</v>
      </c>
      <c r="V1624" s="6">
        <f>IF(ISERROR(VLOOKUP($S$1624,'TAR FIN'!$A$1:$O$115,15,0)),0,VLOOKUP($S$1624,'TAR FIN'!$A$1:$O$115,15,0))</f>
        <v>0</v>
      </c>
      <c r="W1624" s="6">
        <f>IF(ISERROR(VLOOKUP($T$1624,'TAR FIN'!$A$1:$O$115,15,0)),0,VLOOKUP($T$1624,'TAR FIN'!$A$1:$O$115,15,0))</f>
        <v>351.65</v>
      </c>
      <c r="X1624" s="6">
        <f>IF(ISERROR(VLOOKUP($U$1624,'TAR FIN'!$A$1:$O$115,15,0)),0,VLOOKUP($U$1624,'TAR FIN'!$A$1:$O$115,15,0))</f>
        <v>168.06</v>
      </c>
      <c r="Y1624" s="6"/>
      <c r="Z1624" s="6">
        <f ca="1">('TUSD BE'!$AM$64+'TUSD BF'!$AM$64+'TUSD CVA'!$AM$64)*1</f>
        <v>391.10237276676656</v>
      </c>
      <c r="AA1624" s="6">
        <f>('TE BE'!$AB$47+'TE BF'!$AB$47+'TE CVA'!$AB$47)*1</f>
        <v>218.6854278594964</v>
      </c>
      <c r="AB1624" s="6">
        <f>$K$1624*$V$1624</f>
        <v>0</v>
      </c>
      <c r="AC1624" s="6">
        <f>$M$1624*$W$1624</f>
        <v>223.64939999999999</v>
      </c>
      <c r="AD1624" s="6">
        <f>$O$1624*$X$1624</f>
        <v>106.88616</v>
      </c>
      <c r="AE1624" s="6">
        <f>$K$1624*$Y$1624</f>
        <v>0</v>
      </c>
      <c r="AF1624" s="6">
        <f ca="1">$M$1624*$Z$1624</f>
        <v>248.74110907966354</v>
      </c>
      <c r="AG1624" s="6">
        <f>$O$1624*$AA$1624</f>
        <v>139.08393211863972</v>
      </c>
    </row>
    <row r="1625" spans="1:33" ht="11.25" customHeight="1" x14ac:dyDescent="0.25">
      <c r="A1625" s="4" t="s">
        <v>21</v>
      </c>
      <c r="B1625" s="4" t="s">
        <v>39</v>
      </c>
      <c r="C1625" s="4" t="s">
        <v>35</v>
      </c>
      <c r="D1625" s="4" t="s">
        <v>45</v>
      </c>
      <c r="E1625" s="4" t="s">
        <v>25</v>
      </c>
      <c r="F1625" s="4" t="s">
        <v>25</v>
      </c>
      <c r="G1625" s="4" t="s">
        <v>25</v>
      </c>
      <c r="H1625" s="4" t="s">
        <v>37</v>
      </c>
      <c r="I1625" s="5">
        <v>44652</v>
      </c>
      <c r="J1625" s="6">
        <v>0</v>
      </c>
      <c r="K1625" s="6">
        <v>0</v>
      </c>
      <c r="L1625" s="6">
        <v>85.734999999999999</v>
      </c>
      <c r="M1625" s="6">
        <v>85.734999999999999</v>
      </c>
      <c r="N1625" s="6">
        <v>85.734999999999999</v>
      </c>
      <c r="O1625" s="6">
        <v>85.734999999999999</v>
      </c>
      <c r="P1625" s="6">
        <v>0</v>
      </c>
      <c r="Q1625" s="4" t="s">
        <v>26</v>
      </c>
      <c r="R1625" s="4">
        <v>0</v>
      </c>
      <c r="S1625" s="6">
        <v>0</v>
      </c>
      <c r="T1625" s="6">
        <v>66</v>
      </c>
      <c r="U1625" s="6">
        <v>110</v>
      </c>
      <c r="V1625" s="6">
        <f>IF(ISERROR(VLOOKUP($S$1625,'TAR FIN'!$A$1:$O$115,15,0)),0,VLOOKUP($S$1625,'TAR FIN'!$A$1:$O$115,15,0))</f>
        <v>0</v>
      </c>
      <c r="W1625" s="6">
        <f>IF(ISERROR(VLOOKUP($T$1625,'TAR FIN'!$A$1:$O$115,15,0)),0,VLOOKUP($T$1625,'TAR FIN'!$A$1:$O$115,15,0))</f>
        <v>351.65</v>
      </c>
      <c r="X1625" s="6">
        <f>IF(ISERROR(VLOOKUP($U$1625,'TAR FIN'!$A$1:$O$115,15,0)),0,VLOOKUP($U$1625,'TAR FIN'!$A$1:$O$115,15,0))</f>
        <v>168.06</v>
      </c>
      <c r="Y1625" s="6"/>
      <c r="Z1625" s="6">
        <f ca="1">('TUSD BE'!$AM$64+'TUSD BF'!$AM$64+'TUSD CVA'!$AM$64)*1</f>
        <v>391.10237276676656</v>
      </c>
      <c r="AA1625" s="6">
        <f>('TE BE'!$AB$47+'TE BF'!$AB$47+'TE CVA'!$AB$47)*1</f>
        <v>218.6854278594964</v>
      </c>
      <c r="AB1625" s="6">
        <f>$K$1625*$V$1625</f>
        <v>0</v>
      </c>
      <c r="AC1625" s="6">
        <f>$M$1625*$W$1625</f>
        <v>30148.712749999999</v>
      </c>
      <c r="AD1625" s="6">
        <f>$O$1625*$X$1625</f>
        <v>14408.624100000001</v>
      </c>
      <c r="AE1625" s="6">
        <f>$K$1625*$Y$1625</f>
        <v>0</v>
      </c>
      <c r="AF1625" s="6">
        <f ca="1">$M$1625*$Z$1625</f>
        <v>33531.161929158734</v>
      </c>
      <c r="AG1625" s="6">
        <f>$O$1625*$AA$1625</f>
        <v>18748.995157533926</v>
      </c>
    </row>
    <row r="1626" spans="1:33" ht="11.25" customHeight="1" x14ac:dyDescent="0.25">
      <c r="A1626" s="4" t="s">
        <v>28</v>
      </c>
      <c r="B1626" s="4" t="s">
        <v>39</v>
      </c>
      <c r="C1626" s="4" t="s">
        <v>35</v>
      </c>
      <c r="D1626" s="4" t="s">
        <v>45</v>
      </c>
      <c r="E1626" s="4" t="s">
        <v>25</v>
      </c>
      <c r="F1626" s="4" t="s">
        <v>25</v>
      </c>
      <c r="G1626" s="4" t="s">
        <v>25</v>
      </c>
      <c r="H1626" s="4" t="s">
        <v>37</v>
      </c>
      <c r="I1626" s="5">
        <v>44652</v>
      </c>
      <c r="J1626" s="6">
        <v>0</v>
      </c>
      <c r="K1626" s="6">
        <v>0</v>
      </c>
      <c r="L1626" s="6">
        <v>12.68</v>
      </c>
      <c r="M1626" s="6">
        <v>12.68</v>
      </c>
      <c r="N1626" s="6">
        <v>12.68</v>
      </c>
      <c r="O1626" s="6">
        <v>12.68</v>
      </c>
      <c r="P1626" s="6">
        <v>0</v>
      </c>
      <c r="Q1626" s="4" t="s">
        <v>26</v>
      </c>
      <c r="R1626" s="4">
        <v>0</v>
      </c>
      <c r="S1626" s="6">
        <v>0</v>
      </c>
      <c r="T1626" s="6">
        <v>66</v>
      </c>
      <c r="U1626" s="6">
        <v>110</v>
      </c>
      <c r="V1626" s="6">
        <f>IF(ISERROR(VLOOKUP($S$1626,'TAR FIN'!$A$1:$O$115,15,0)),0,VLOOKUP($S$1626,'TAR FIN'!$A$1:$O$115,15,0))</f>
        <v>0</v>
      </c>
      <c r="W1626" s="6">
        <f>IF(ISERROR(VLOOKUP($T$1626,'TAR FIN'!$A$1:$O$115,15,0)),0,VLOOKUP($T$1626,'TAR FIN'!$A$1:$O$115,15,0))</f>
        <v>351.65</v>
      </c>
      <c r="X1626" s="6">
        <f>IF(ISERROR(VLOOKUP($U$1626,'TAR FIN'!$A$1:$O$115,15,0)),0,VLOOKUP($U$1626,'TAR FIN'!$A$1:$O$115,15,0))</f>
        <v>168.06</v>
      </c>
      <c r="Y1626" s="6"/>
      <c r="Z1626" s="6">
        <f ca="1">('TUSD BE'!$AM$64+'TUSD BF'!$AM$64+'TUSD CVA'!$AM$64)*1</f>
        <v>391.10237276676656</v>
      </c>
      <c r="AA1626" s="6">
        <f>('TE BE'!$AB$47+'TE BF'!$AB$47+'TE CVA'!$AB$47)*1</f>
        <v>218.6854278594964</v>
      </c>
      <c r="AB1626" s="6">
        <f>$K$1626*$V$1626</f>
        <v>0</v>
      </c>
      <c r="AC1626" s="6">
        <f>$M$1626*$W$1626</f>
        <v>4458.9219999999996</v>
      </c>
      <c r="AD1626" s="6">
        <f>$O$1626*$X$1626</f>
        <v>2131.0007999999998</v>
      </c>
      <c r="AE1626" s="6">
        <f>$K$1626*$Y$1626</f>
        <v>0</v>
      </c>
      <c r="AF1626" s="6">
        <f ca="1">$M$1626*$Z$1626</f>
        <v>4959.1780866826002</v>
      </c>
      <c r="AG1626" s="6">
        <f>$O$1626*$AA$1626</f>
        <v>2772.9312252584141</v>
      </c>
    </row>
    <row r="1627" spans="1:33" ht="11.25" customHeight="1" x14ac:dyDescent="0.25">
      <c r="A1627" s="4" t="s">
        <v>30</v>
      </c>
      <c r="B1627" s="4" t="s">
        <v>39</v>
      </c>
      <c r="C1627" s="4" t="s">
        <v>35</v>
      </c>
      <c r="D1627" s="4" t="s">
        <v>45</v>
      </c>
      <c r="E1627" s="4" t="s">
        <v>25</v>
      </c>
      <c r="F1627" s="4" t="s">
        <v>25</v>
      </c>
      <c r="G1627" s="4" t="s">
        <v>25</v>
      </c>
      <c r="H1627" s="4" t="s">
        <v>37</v>
      </c>
      <c r="I1627" s="5">
        <v>44652</v>
      </c>
      <c r="J1627" s="6">
        <v>0</v>
      </c>
      <c r="K1627" s="6">
        <v>0</v>
      </c>
      <c r="L1627" s="6">
        <v>1.4</v>
      </c>
      <c r="M1627" s="6">
        <v>1.4</v>
      </c>
      <c r="N1627" s="6">
        <v>1.4</v>
      </c>
      <c r="O1627" s="6">
        <v>1.4</v>
      </c>
      <c r="P1627" s="6">
        <v>0</v>
      </c>
      <c r="Q1627" s="4" t="s">
        <v>26</v>
      </c>
      <c r="R1627" s="4">
        <v>0</v>
      </c>
      <c r="S1627" s="6">
        <v>0</v>
      </c>
      <c r="T1627" s="6">
        <v>66</v>
      </c>
      <c r="U1627" s="6">
        <v>110</v>
      </c>
      <c r="V1627" s="6">
        <f>IF(ISERROR(VLOOKUP($S$1627,'TAR FIN'!$A$1:$O$115,15,0)),0,VLOOKUP($S$1627,'TAR FIN'!$A$1:$O$115,15,0))</f>
        <v>0</v>
      </c>
      <c r="W1627" s="6">
        <f>IF(ISERROR(VLOOKUP($T$1627,'TAR FIN'!$A$1:$O$115,15,0)),0,VLOOKUP($T$1627,'TAR FIN'!$A$1:$O$115,15,0))</f>
        <v>351.65</v>
      </c>
      <c r="X1627" s="6">
        <f>IF(ISERROR(VLOOKUP($U$1627,'TAR FIN'!$A$1:$O$115,15,0)),0,VLOOKUP($U$1627,'TAR FIN'!$A$1:$O$115,15,0))</f>
        <v>168.06</v>
      </c>
      <c r="Y1627" s="6"/>
      <c r="Z1627" s="6">
        <f ca="1">('TUSD BE'!$AM$64+'TUSD BF'!$AM$64+'TUSD CVA'!$AM$64)*1</f>
        <v>391.10237276676656</v>
      </c>
      <c r="AA1627" s="6">
        <f>('TE BE'!$AB$47+'TE BF'!$AB$47+'TE CVA'!$AB$47)*1</f>
        <v>218.6854278594964</v>
      </c>
      <c r="AB1627" s="6">
        <f>$K$1627*$V$1627</f>
        <v>0</v>
      </c>
      <c r="AC1627" s="6">
        <f>$M$1627*$W$1627</f>
        <v>492.30999999999995</v>
      </c>
      <c r="AD1627" s="6">
        <f>$O$1627*$X$1627</f>
        <v>235.28399999999999</v>
      </c>
      <c r="AE1627" s="6">
        <f>$K$1627*$Y$1627</f>
        <v>0</v>
      </c>
      <c r="AF1627" s="6">
        <f ca="1">$M$1627*$Z$1627</f>
        <v>547.54332187347313</v>
      </c>
      <c r="AG1627" s="6">
        <f>$O$1627*$AA$1627</f>
        <v>306.15959900329494</v>
      </c>
    </row>
    <row r="1628" spans="1:33" ht="11.25" customHeight="1" x14ac:dyDescent="0.25">
      <c r="A1628" s="4" t="s">
        <v>21</v>
      </c>
      <c r="B1628" s="4" t="s">
        <v>39</v>
      </c>
      <c r="C1628" s="4" t="s">
        <v>35</v>
      </c>
      <c r="D1628" s="4" t="s">
        <v>45</v>
      </c>
      <c r="E1628" s="4" t="s">
        <v>25</v>
      </c>
      <c r="F1628" s="4" t="s">
        <v>25</v>
      </c>
      <c r="G1628" s="4" t="s">
        <v>25</v>
      </c>
      <c r="H1628" s="4" t="s">
        <v>37</v>
      </c>
      <c r="I1628" s="5">
        <v>44682</v>
      </c>
      <c r="J1628" s="6">
        <v>0</v>
      </c>
      <c r="K1628" s="6">
        <v>0</v>
      </c>
      <c r="L1628" s="6">
        <v>83.745000000000005</v>
      </c>
      <c r="M1628" s="6">
        <v>83.745000000000005</v>
      </c>
      <c r="N1628" s="6">
        <v>83.745000000000005</v>
      </c>
      <c r="O1628" s="6">
        <v>83.745000000000005</v>
      </c>
      <c r="P1628" s="6">
        <v>0</v>
      </c>
      <c r="Q1628" s="4" t="s">
        <v>26</v>
      </c>
      <c r="R1628" s="4">
        <v>0</v>
      </c>
      <c r="S1628" s="6">
        <v>0</v>
      </c>
      <c r="T1628" s="6">
        <v>66</v>
      </c>
      <c r="U1628" s="6">
        <v>110</v>
      </c>
      <c r="V1628" s="6">
        <f>IF(ISERROR(VLOOKUP($S$1628,'TAR FIN'!$A$1:$O$115,15,0)),0,VLOOKUP($S$1628,'TAR FIN'!$A$1:$O$115,15,0))</f>
        <v>0</v>
      </c>
      <c r="W1628" s="6">
        <f>IF(ISERROR(VLOOKUP($T$1628,'TAR FIN'!$A$1:$O$115,15,0)),0,VLOOKUP($T$1628,'TAR FIN'!$A$1:$O$115,15,0))</f>
        <v>351.65</v>
      </c>
      <c r="X1628" s="6">
        <f>IF(ISERROR(VLOOKUP($U$1628,'TAR FIN'!$A$1:$O$115,15,0)),0,VLOOKUP($U$1628,'TAR FIN'!$A$1:$O$115,15,0))</f>
        <v>168.06</v>
      </c>
      <c r="Y1628" s="6"/>
      <c r="Z1628" s="6">
        <f ca="1">('TUSD BE'!$AM$64+'TUSD BF'!$AM$64+'TUSD CVA'!$AM$64)*1</f>
        <v>391.10237276676656</v>
      </c>
      <c r="AA1628" s="6">
        <f>('TE BE'!$AB$47+'TE BF'!$AB$47+'TE CVA'!$AB$47)*1</f>
        <v>218.6854278594964</v>
      </c>
      <c r="AB1628" s="6">
        <f>$K$1628*$V$1628</f>
        <v>0</v>
      </c>
      <c r="AC1628" s="6">
        <f>$M$1628*$W$1628</f>
        <v>29448.929250000001</v>
      </c>
      <c r="AD1628" s="6">
        <f>$O$1628*$X$1628</f>
        <v>14074.184700000002</v>
      </c>
      <c r="AE1628" s="6">
        <f>$K$1628*$Y$1628</f>
        <v>0</v>
      </c>
      <c r="AF1628" s="6">
        <f ca="1">$M$1628*$Z$1628</f>
        <v>32752.868207352869</v>
      </c>
      <c r="AG1628" s="6">
        <f>$O$1628*$AA$1628</f>
        <v>18313.811156093529</v>
      </c>
    </row>
    <row r="1629" spans="1:33" ht="11.25" customHeight="1" x14ac:dyDescent="0.25">
      <c r="A1629" s="4" t="s">
        <v>28</v>
      </c>
      <c r="B1629" s="4" t="s">
        <v>39</v>
      </c>
      <c r="C1629" s="4" t="s">
        <v>35</v>
      </c>
      <c r="D1629" s="4" t="s">
        <v>45</v>
      </c>
      <c r="E1629" s="4" t="s">
        <v>25</v>
      </c>
      <c r="F1629" s="4" t="s">
        <v>25</v>
      </c>
      <c r="G1629" s="4" t="s">
        <v>25</v>
      </c>
      <c r="H1629" s="4" t="s">
        <v>37</v>
      </c>
      <c r="I1629" s="5">
        <v>44682</v>
      </c>
      <c r="J1629" s="6">
        <v>0</v>
      </c>
      <c r="K1629" s="6">
        <v>0</v>
      </c>
      <c r="L1629" s="6">
        <v>12.835000000000001</v>
      </c>
      <c r="M1629" s="6">
        <v>12.835000000000001</v>
      </c>
      <c r="N1629" s="6">
        <v>12.835000000000001</v>
      </c>
      <c r="O1629" s="6">
        <v>12.835000000000001</v>
      </c>
      <c r="P1629" s="6">
        <v>0</v>
      </c>
      <c r="Q1629" s="4" t="s">
        <v>26</v>
      </c>
      <c r="R1629" s="4">
        <v>0</v>
      </c>
      <c r="S1629" s="6">
        <v>0</v>
      </c>
      <c r="T1629" s="6">
        <v>66</v>
      </c>
      <c r="U1629" s="6">
        <v>110</v>
      </c>
      <c r="V1629" s="6">
        <f>IF(ISERROR(VLOOKUP($S$1629,'TAR FIN'!$A$1:$O$115,15,0)),0,VLOOKUP($S$1629,'TAR FIN'!$A$1:$O$115,15,0))</f>
        <v>0</v>
      </c>
      <c r="W1629" s="6">
        <f>IF(ISERROR(VLOOKUP($T$1629,'TAR FIN'!$A$1:$O$115,15,0)),0,VLOOKUP($T$1629,'TAR FIN'!$A$1:$O$115,15,0))</f>
        <v>351.65</v>
      </c>
      <c r="X1629" s="6">
        <f>IF(ISERROR(VLOOKUP($U$1629,'TAR FIN'!$A$1:$O$115,15,0)),0,VLOOKUP($U$1629,'TAR FIN'!$A$1:$O$115,15,0))</f>
        <v>168.06</v>
      </c>
      <c r="Y1629" s="6"/>
      <c r="Z1629" s="6">
        <f ca="1">('TUSD BE'!$AM$64+'TUSD BF'!$AM$64+'TUSD CVA'!$AM$64)*1</f>
        <v>391.10237276676656</v>
      </c>
      <c r="AA1629" s="6">
        <f>('TE BE'!$AB$47+'TE BF'!$AB$47+'TE CVA'!$AB$47)*1</f>
        <v>218.6854278594964</v>
      </c>
      <c r="AB1629" s="6">
        <f>$K$1629*$V$1629</f>
        <v>0</v>
      </c>
      <c r="AC1629" s="6">
        <f>$M$1629*$W$1629</f>
        <v>4513.4277499999998</v>
      </c>
      <c r="AD1629" s="6">
        <f>$O$1629*$X$1629</f>
        <v>2157.0501000000004</v>
      </c>
      <c r="AE1629" s="6">
        <f>$K$1629*$Y$1629</f>
        <v>0</v>
      </c>
      <c r="AF1629" s="6">
        <f ca="1">$M$1629*$Z$1629</f>
        <v>5019.7989544614493</v>
      </c>
      <c r="AG1629" s="6">
        <f>$O$1629*$AA$1629</f>
        <v>2806.8274665766367</v>
      </c>
    </row>
    <row r="1630" spans="1:33" ht="11.25" customHeight="1" x14ac:dyDescent="0.25">
      <c r="A1630" s="4" t="s">
        <v>29</v>
      </c>
      <c r="B1630" s="4" t="s">
        <v>39</v>
      </c>
      <c r="C1630" s="4" t="s">
        <v>35</v>
      </c>
      <c r="D1630" s="4" t="s">
        <v>45</v>
      </c>
      <c r="E1630" s="4" t="s">
        <v>25</v>
      </c>
      <c r="F1630" s="4" t="s">
        <v>25</v>
      </c>
      <c r="G1630" s="4" t="s">
        <v>25</v>
      </c>
      <c r="H1630" s="4" t="s">
        <v>37</v>
      </c>
      <c r="I1630" s="5">
        <v>44682</v>
      </c>
      <c r="J1630" s="6">
        <v>0</v>
      </c>
      <c r="K1630" s="6">
        <v>0</v>
      </c>
      <c r="L1630" s="6">
        <v>0.61099999999999999</v>
      </c>
      <c r="M1630" s="6">
        <v>0.61099999999999999</v>
      </c>
      <c r="N1630" s="6">
        <v>0.61099999999999999</v>
      </c>
      <c r="O1630" s="6">
        <v>0.61099999999999999</v>
      </c>
      <c r="P1630" s="6">
        <v>0</v>
      </c>
      <c r="Q1630" s="4" t="s">
        <v>26</v>
      </c>
      <c r="R1630" s="4">
        <v>0</v>
      </c>
      <c r="S1630" s="6">
        <v>0</v>
      </c>
      <c r="T1630" s="6">
        <v>66</v>
      </c>
      <c r="U1630" s="6">
        <v>110</v>
      </c>
      <c r="V1630" s="6">
        <f>IF(ISERROR(VLOOKUP($S$1630,'TAR FIN'!$A$1:$O$115,15,0)),0,VLOOKUP($S$1630,'TAR FIN'!$A$1:$O$115,15,0))</f>
        <v>0</v>
      </c>
      <c r="W1630" s="6">
        <f>IF(ISERROR(VLOOKUP($T$1630,'TAR FIN'!$A$1:$O$115,15,0)),0,VLOOKUP($T$1630,'TAR FIN'!$A$1:$O$115,15,0))</f>
        <v>351.65</v>
      </c>
      <c r="X1630" s="6">
        <f>IF(ISERROR(VLOOKUP($U$1630,'TAR FIN'!$A$1:$O$115,15,0)),0,VLOOKUP($U$1630,'TAR FIN'!$A$1:$O$115,15,0))</f>
        <v>168.06</v>
      </c>
      <c r="Y1630" s="6"/>
      <c r="Z1630" s="6">
        <f ca="1">('TUSD BE'!$AM$64+'TUSD BF'!$AM$64+'TUSD CVA'!$AM$64)*1</f>
        <v>391.10237276676656</v>
      </c>
      <c r="AA1630" s="6">
        <f>('TE BE'!$AB$47+'TE BF'!$AB$47+'TE CVA'!$AB$47)*1</f>
        <v>218.6854278594964</v>
      </c>
      <c r="AB1630" s="6">
        <f>$K$1630*$V$1630</f>
        <v>0</v>
      </c>
      <c r="AC1630" s="6">
        <f>$M$1630*$W$1630</f>
        <v>214.85814999999999</v>
      </c>
      <c r="AD1630" s="6">
        <f>$O$1630*$X$1630</f>
        <v>102.68465999999999</v>
      </c>
      <c r="AE1630" s="6">
        <f>$K$1630*$Y$1630</f>
        <v>0</v>
      </c>
      <c r="AF1630" s="6">
        <f ca="1">$M$1630*$Z$1630</f>
        <v>238.96354976049437</v>
      </c>
      <c r="AG1630" s="6">
        <f>$O$1630*$AA$1630</f>
        <v>133.61679642215231</v>
      </c>
    </row>
    <row r="1631" spans="1:33" ht="11.25" customHeight="1" x14ac:dyDescent="0.25">
      <c r="A1631" s="4" t="s">
        <v>30</v>
      </c>
      <c r="B1631" s="4" t="s">
        <v>39</v>
      </c>
      <c r="C1631" s="4" t="s">
        <v>35</v>
      </c>
      <c r="D1631" s="4" t="s">
        <v>45</v>
      </c>
      <c r="E1631" s="4" t="s">
        <v>25</v>
      </c>
      <c r="F1631" s="4" t="s">
        <v>25</v>
      </c>
      <c r="G1631" s="4" t="s">
        <v>25</v>
      </c>
      <c r="H1631" s="4" t="s">
        <v>37</v>
      </c>
      <c r="I1631" s="5">
        <v>44682</v>
      </c>
      <c r="J1631" s="6">
        <v>0</v>
      </c>
      <c r="K1631" s="6">
        <v>0</v>
      </c>
      <c r="L1631" s="6">
        <v>1.2190000000000001</v>
      </c>
      <c r="M1631" s="6">
        <v>1.2190000000000001</v>
      </c>
      <c r="N1631" s="6">
        <v>1.2190000000000001</v>
      </c>
      <c r="O1631" s="6">
        <v>1.2190000000000001</v>
      </c>
      <c r="P1631" s="6">
        <v>0</v>
      </c>
      <c r="Q1631" s="4" t="s">
        <v>26</v>
      </c>
      <c r="R1631" s="4">
        <v>0</v>
      </c>
      <c r="S1631" s="6">
        <v>0</v>
      </c>
      <c r="T1631" s="6">
        <v>66</v>
      </c>
      <c r="U1631" s="6">
        <v>110</v>
      </c>
      <c r="V1631" s="6">
        <f>IF(ISERROR(VLOOKUP($S$1631,'TAR FIN'!$A$1:$O$115,15,0)),0,VLOOKUP($S$1631,'TAR FIN'!$A$1:$O$115,15,0))</f>
        <v>0</v>
      </c>
      <c r="W1631" s="6">
        <f>IF(ISERROR(VLOOKUP($T$1631,'TAR FIN'!$A$1:$O$115,15,0)),0,VLOOKUP($T$1631,'TAR FIN'!$A$1:$O$115,15,0))</f>
        <v>351.65</v>
      </c>
      <c r="X1631" s="6">
        <f>IF(ISERROR(VLOOKUP($U$1631,'TAR FIN'!$A$1:$O$115,15,0)),0,VLOOKUP($U$1631,'TAR FIN'!$A$1:$O$115,15,0))</f>
        <v>168.06</v>
      </c>
      <c r="Y1631" s="6"/>
      <c r="Z1631" s="6">
        <f ca="1">('TUSD BE'!$AM$64+'TUSD BF'!$AM$64+'TUSD CVA'!$AM$64)*1</f>
        <v>391.10237276676656</v>
      </c>
      <c r="AA1631" s="6">
        <f>('TE BE'!$AB$47+'TE BF'!$AB$47+'TE CVA'!$AB$47)*1</f>
        <v>218.6854278594964</v>
      </c>
      <c r="AB1631" s="6">
        <f>$K$1631*$V$1631</f>
        <v>0</v>
      </c>
      <c r="AC1631" s="6">
        <f>$M$1631*$W$1631</f>
        <v>428.66135000000003</v>
      </c>
      <c r="AD1631" s="6">
        <f>$O$1631*$X$1631</f>
        <v>204.86514000000003</v>
      </c>
      <c r="AE1631" s="6">
        <f>$K$1631*$Y$1631</f>
        <v>0</v>
      </c>
      <c r="AF1631" s="6">
        <f ca="1">$M$1631*$Z$1631</f>
        <v>476.75379240268848</v>
      </c>
      <c r="AG1631" s="6">
        <f>$O$1631*$AA$1631</f>
        <v>266.57753656072612</v>
      </c>
    </row>
    <row r="1632" spans="1:33" ht="11.25" customHeight="1" x14ac:dyDescent="0.25">
      <c r="A1632" s="4" t="s">
        <v>21</v>
      </c>
      <c r="B1632" s="4" t="s">
        <v>39</v>
      </c>
      <c r="C1632" s="4" t="s">
        <v>35</v>
      </c>
      <c r="D1632" s="4" t="s">
        <v>45</v>
      </c>
      <c r="E1632" s="4" t="s">
        <v>25</v>
      </c>
      <c r="F1632" s="4" t="s">
        <v>25</v>
      </c>
      <c r="G1632" s="4" t="s">
        <v>25</v>
      </c>
      <c r="H1632" s="4" t="s">
        <v>37</v>
      </c>
      <c r="I1632" s="5">
        <v>44713</v>
      </c>
      <c r="J1632" s="6">
        <v>0</v>
      </c>
      <c r="K1632" s="6">
        <v>0</v>
      </c>
      <c r="L1632" s="6">
        <v>78.867999999999995</v>
      </c>
      <c r="M1632" s="6">
        <v>78.867999999999995</v>
      </c>
      <c r="N1632" s="6">
        <v>78.867999999999995</v>
      </c>
      <c r="O1632" s="6">
        <v>78.867999999999995</v>
      </c>
      <c r="P1632" s="6">
        <v>0</v>
      </c>
      <c r="Q1632" s="4" t="s">
        <v>26</v>
      </c>
      <c r="R1632" s="4">
        <v>0</v>
      </c>
      <c r="S1632" s="6">
        <v>0</v>
      </c>
      <c r="T1632" s="6">
        <v>66</v>
      </c>
      <c r="U1632" s="6">
        <v>110</v>
      </c>
      <c r="V1632" s="6">
        <f>IF(ISERROR(VLOOKUP($S$1632,'TAR FIN'!$A$1:$O$115,15,0)),0,VLOOKUP($S$1632,'TAR FIN'!$A$1:$O$115,15,0))</f>
        <v>0</v>
      </c>
      <c r="W1632" s="6">
        <f>IF(ISERROR(VLOOKUP($T$1632,'TAR FIN'!$A$1:$O$115,15,0)),0,VLOOKUP($T$1632,'TAR FIN'!$A$1:$O$115,15,0))</f>
        <v>351.65</v>
      </c>
      <c r="X1632" s="6">
        <f>IF(ISERROR(VLOOKUP($U$1632,'TAR FIN'!$A$1:$O$115,15,0)),0,VLOOKUP($U$1632,'TAR FIN'!$A$1:$O$115,15,0))</f>
        <v>168.06</v>
      </c>
      <c r="Y1632" s="6"/>
      <c r="Z1632" s="6">
        <f ca="1">('TUSD BE'!$AM$64+'TUSD BF'!$AM$64+'TUSD CVA'!$AM$64)*1</f>
        <v>391.10237276676656</v>
      </c>
      <c r="AA1632" s="6">
        <f>('TE BE'!$AB$47+'TE BF'!$AB$47+'TE CVA'!$AB$47)*1</f>
        <v>218.6854278594964</v>
      </c>
      <c r="AB1632" s="6">
        <f>$K$1632*$V$1632</f>
        <v>0</v>
      </c>
      <c r="AC1632" s="6">
        <f>$M$1632*$W$1632</f>
        <v>27733.932199999996</v>
      </c>
      <c r="AD1632" s="6">
        <f>$O$1632*$X$1632</f>
        <v>13254.556079999998</v>
      </c>
      <c r="AE1632" s="6">
        <f>$K$1632*$Y$1632</f>
        <v>0</v>
      </c>
      <c r="AF1632" s="6">
        <f ca="1">$M$1632*$Z$1632</f>
        <v>30845.461935369345</v>
      </c>
      <c r="AG1632" s="6">
        <f>$O$1632*$AA$1632</f>
        <v>17247.282324422762</v>
      </c>
    </row>
    <row r="1633" spans="1:33" ht="11.25" customHeight="1" x14ac:dyDescent="0.25">
      <c r="A1633" s="4" t="s">
        <v>28</v>
      </c>
      <c r="B1633" s="4" t="s">
        <v>39</v>
      </c>
      <c r="C1633" s="4" t="s">
        <v>35</v>
      </c>
      <c r="D1633" s="4" t="s">
        <v>45</v>
      </c>
      <c r="E1633" s="4" t="s">
        <v>25</v>
      </c>
      <c r="F1633" s="4" t="s">
        <v>25</v>
      </c>
      <c r="G1633" s="4" t="s">
        <v>25</v>
      </c>
      <c r="H1633" s="4" t="s">
        <v>37</v>
      </c>
      <c r="I1633" s="5">
        <v>44713</v>
      </c>
      <c r="J1633" s="6">
        <v>0</v>
      </c>
      <c r="K1633" s="6">
        <v>0</v>
      </c>
      <c r="L1633" s="6">
        <v>12.303000000000001</v>
      </c>
      <c r="M1633" s="6">
        <v>12.303000000000001</v>
      </c>
      <c r="N1633" s="6">
        <v>12.303000000000001</v>
      </c>
      <c r="O1633" s="6">
        <v>12.303000000000001</v>
      </c>
      <c r="P1633" s="6">
        <v>0</v>
      </c>
      <c r="Q1633" s="4" t="s">
        <v>26</v>
      </c>
      <c r="R1633" s="4">
        <v>0</v>
      </c>
      <c r="S1633" s="6">
        <v>0</v>
      </c>
      <c r="T1633" s="6">
        <v>66</v>
      </c>
      <c r="U1633" s="6">
        <v>110</v>
      </c>
      <c r="V1633" s="6">
        <f>IF(ISERROR(VLOOKUP($S$1633,'TAR FIN'!$A$1:$O$115,15,0)),0,VLOOKUP($S$1633,'TAR FIN'!$A$1:$O$115,15,0))</f>
        <v>0</v>
      </c>
      <c r="W1633" s="6">
        <f>IF(ISERROR(VLOOKUP($T$1633,'TAR FIN'!$A$1:$O$115,15,0)),0,VLOOKUP($T$1633,'TAR FIN'!$A$1:$O$115,15,0))</f>
        <v>351.65</v>
      </c>
      <c r="X1633" s="6">
        <f>IF(ISERROR(VLOOKUP($U$1633,'TAR FIN'!$A$1:$O$115,15,0)),0,VLOOKUP($U$1633,'TAR FIN'!$A$1:$O$115,15,0))</f>
        <v>168.06</v>
      </c>
      <c r="Y1633" s="6"/>
      <c r="Z1633" s="6">
        <f ca="1">('TUSD BE'!$AM$64+'TUSD BF'!$AM$64+'TUSD CVA'!$AM$64)*1</f>
        <v>391.10237276676656</v>
      </c>
      <c r="AA1633" s="6">
        <f>('TE BE'!$AB$47+'TE BF'!$AB$47+'TE CVA'!$AB$47)*1</f>
        <v>218.6854278594964</v>
      </c>
      <c r="AB1633" s="6">
        <f>$K$1633*$V$1633</f>
        <v>0</v>
      </c>
      <c r="AC1633" s="6">
        <f>$M$1633*$W$1633</f>
        <v>4326.3499499999998</v>
      </c>
      <c r="AD1633" s="6">
        <f>$O$1633*$X$1633</f>
        <v>2067.6421800000003</v>
      </c>
      <c r="AE1633" s="6">
        <f>$K$1633*$Y$1633</f>
        <v>0</v>
      </c>
      <c r="AF1633" s="6">
        <f ca="1">$M$1633*$Z$1633</f>
        <v>4811.7324921495292</v>
      </c>
      <c r="AG1633" s="6">
        <f>$O$1633*$AA$1633</f>
        <v>2690.4868189553845</v>
      </c>
    </row>
    <row r="1634" spans="1:33" ht="11.25" customHeight="1" x14ac:dyDescent="0.25">
      <c r="A1634" s="4" t="s">
        <v>21</v>
      </c>
      <c r="B1634" s="4" t="s">
        <v>39</v>
      </c>
      <c r="C1634" s="4" t="s">
        <v>35</v>
      </c>
      <c r="D1634" s="4" t="s">
        <v>45</v>
      </c>
      <c r="E1634" s="4" t="s">
        <v>25</v>
      </c>
      <c r="F1634" s="4" t="s">
        <v>25</v>
      </c>
      <c r="G1634" s="4" t="s">
        <v>25</v>
      </c>
      <c r="H1634" s="4" t="s">
        <v>37</v>
      </c>
      <c r="I1634" s="5">
        <v>44743</v>
      </c>
      <c r="J1634" s="6">
        <v>0</v>
      </c>
      <c r="K1634" s="6">
        <v>0</v>
      </c>
      <c r="L1634" s="6">
        <v>91.926000000000002</v>
      </c>
      <c r="M1634" s="6">
        <v>91.926000000000002</v>
      </c>
      <c r="N1634" s="6">
        <v>91.926000000000002</v>
      </c>
      <c r="O1634" s="6">
        <v>91.926000000000002</v>
      </c>
      <c r="P1634" s="6">
        <v>0</v>
      </c>
      <c r="Q1634" s="4" t="s">
        <v>26</v>
      </c>
      <c r="R1634" s="4">
        <v>0</v>
      </c>
      <c r="S1634" s="6">
        <v>0</v>
      </c>
      <c r="T1634" s="6">
        <v>66</v>
      </c>
      <c r="U1634" s="6">
        <v>110</v>
      </c>
      <c r="V1634" s="6">
        <f>IF(ISERROR(VLOOKUP($S$1634,'TAR FIN'!$A$1:$O$115,15,0)),0,VLOOKUP($S$1634,'TAR FIN'!$A$1:$O$115,15,0))</f>
        <v>0</v>
      </c>
      <c r="W1634" s="6">
        <f>IF(ISERROR(VLOOKUP($T$1634,'TAR FIN'!$A$1:$O$115,15,0)),0,VLOOKUP($T$1634,'TAR FIN'!$A$1:$O$115,15,0))</f>
        <v>351.65</v>
      </c>
      <c r="X1634" s="6">
        <f>IF(ISERROR(VLOOKUP($U$1634,'TAR FIN'!$A$1:$O$115,15,0)),0,VLOOKUP($U$1634,'TAR FIN'!$A$1:$O$115,15,0))</f>
        <v>168.06</v>
      </c>
      <c r="Y1634" s="6"/>
      <c r="Z1634" s="6">
        <f ca="1">('TUSD BE'!$AM$64+'TUSD BF'!$AM$64+'TUSD CVA'!$AM$64)*1</f>
        <v>391.10237276676656</v>
      </c>
      <c r="AA1634" s="6">
        <f>('TE BE'!$AB$47+'TE BF'!$AB$47+'TE CVA'!$AB$47)*1</f>
        <v>218.6854278594964</v>
      </c>
      <c r="AB1634" s="6">
        <f>$K$1634*$V$1634</f>
        <v>0</v>
      </c>
      <c r="AC1634" s="6">
        <f>$M$1634*$W$1634</f>
        <v>32325.777899999997</v>
      </c>
      <c r="AD1634" s="6">
        <f>$O$1634*$X$1634</f>
        <v>15449.083560000001</v>
      </c>
      <c r="AE1634" s="6">
        <f>$K$1634*$Y$1634</f>
        <v>0</v>
      </c>
      <c r="AF1634" s="6">
        <f ca="1">$M$1634*$Z$1634</f>
        <v>35952.476718957783</v>
      </c>
      <c r="AG1634" s="6">
        <f>$O$1634*$AA$1634</f>
        <v>20102.876641412066</v>
      </c>
    </row>
    <row r="1635" spans="1:33" ht="11.25" customHeight="1" x14ac:dyDescent="0.25">
      <c r="A1635" s="4" t="s">
        <v>27</v>
      </c>
      <c r="B1635" s="4" t="s">
        <v>39</v>
      </c>
      <c r="C1635" s="4" t="s">
        <v>35</v>
      </c>
      <c r="D1635" s="4" t="s">
        <v>45</v>
      </c>
      <c r="E1635" s="4" t="s">
        <v>25</v>
      </c>
      <c r="F1635" s="4" t="s">
        <v>25</v>
      </c>
      <c r="G1635" s="4" t="s">
        <v>25</v>
      </c>
      <c r="H1635" s="4" t="s">
        <v>37</v>
      </c>
      <c r="I1635" s="5">
        <v>44743</v>
      </c>
      <c r="J1635" s="6">
        <v>0</v>
      </c>
      <c r="K1635" s="6">
        <v>0</v>
      </c>
      <c r="L1635" s="6">
        <v>1.724</v>
      </c>
      <c r="M1635" s="6">
        <v>1.724</v>
      </c>
      <c r="N1635" s="6">
        <v>1.724</v>
      </c>
      <c r="O1635" s="6">
        <v>1.724</v>
      </c>
      <c r="P1635" s="6">
        <v>0</v>
      </c>
      <c r="Q1635" s="4" t="s">
        <v>26</v>
      </c>
      <c r="R1635" s="4">
        <v>0</v>
      </c>
      <c r="S1635" s="6">
        <v>0</v>
      </c>
      <c r="T1635" s="6">
        <v>66</v>
      </c>
      <c r="U1635" s="6">
        <v>110</v>
      </c>
      <c r="V1635" s="6">
        <f>IF(ISERROR(VLOOKUP($S$1635,'TAR FIN'!$A$1:$O$115,15,0)),0,VLOOKUP($S$1635,'TAR FIN'!$A$1:$O$115,15,0))</f>
        <v>0</v>
      </c>
      <c r="W1635" s="6">
        <f>IF(ISERROR(VLOOKUP($T$1635,'TAR FIN'!$A$1:$O$115,15,0)),0,VLOOKUP($T$1635,'TAR FIN'!$A$1:$O$115,15,0))</f>
        <v>351.65</v>
      </c>
      <c r="X1635" s="6">
        <f>IF(ISERROR(VLOOKUP($U$1635,'TAR FIN'!$A$1:$O$115,15,0)),0,VLOOKUP($U$1635,'TAR FIN'!$A$1:$O$115,15,0))</f>
        <v>168.06</v>
      </c>
      <c r="Y1635" s="6"/>
      <c r="Z1635" s="6">
        <f ca="1">('TUSD BE'!$AM$64+'TUSD BF'!$AM$64+'TUSD CVA'!$AM$64)*1</f>
        <v>391.10237276676656</v>
      </c>
      <c r="AA1635" s="6">
        <f>('TE BE'!$AB$47+'TE BF'!$AB$47+'TE CVA'!$AB$47)*1</f>
        <v>218.6854278594964</v>
      </c>
      <c r="AB1635" s="6">
        <f>$K$1635*$V$1635</f>
        <v>0</v>
      </c>
      <c r="AC1635" s="6">
        <f>$M$1635*$W$1635</f>
        <v>606.24459999999999</v>
      </c>
      <c r="AD1635" s="6">
        <f>$O$1635*$X$1635</f>
        <v>289.73543999999998</v>
      </c>
      <c r="AE1635" s="6">
        <f>$K$1635*$Y$1635</f>
        <v>0</v>
      </c>
      <c r="AF1635" s="6">
        <f ca="1">$M$1635*$Z$1635</f>
        <v>674.26049064990559</v>
      </c>
      <c r="AG1635" s="6">
        <f>$O$1635*$AA$1635</f>
        <v>377.01367762977179</v>
      </c>
    </row>
    <row r="1636" spans="1:33" ht="11.25" customHeight="1" x14ac:dyDescent="0.25">
      <c r="A1636" s="4" t="s">
        <v>28</v>
      </c>
      <c r="B1636" s="4" t="s">
        <v>39</v>
      </c>
      <c r="C1636" s="4" t="s">
        <v>35</v>
      </c>
      <c r="D1636" s="4" t="s">
        <v>45</v>
      </c>
      <c r="E1636" s="4" t="s">
        <v>25</v>
      </c>
      <c r="F1636" s="4" t="s">
        <v>25</v>
      </c>
      <c r="G1636" s="4" t="s">
        <v>25</v>
      </c>
      <c r="H1636" s="4" t="s">
        <v>37</v>
      </c>
      <c r="I1636" s="5">
        <v>44743</v>
      </c>
      <c r="J1636" s="6">
        <v>0</v>
      </c>
      <c r="K1636" s="6">
        <v>0</v>
      </c>
      <c r="L1636" s="6">
        <v>13.997</v>
      </c>
      <c r="M1636" s="6">
        <v>13.997</v>
      </c>
      <c r="N1636" s="6">
        <v>13.997</v>
      </c>
      <c r="O1636" s="6">
        <v>13.997</v>
      </c>
      <c r="P1636" s="6">
        <v>0</v>
      </c>
      <c r="Q1636" s="4" t="s">
        <v>26</v>
      </c>
      <c r="R1636" s="4">
        <v>0</v>
      </c>
      <c r="S1636" s="6">
        <v>0</v>
      </c>
      <c r="T1636" s="6">
        <v>66</v>
      </c>
      <c r="U1636" s="6">
        <v>110</v>
      </c>
      <c r="V1636" s="6">
        <f>IF(ISERROR(VLOOKUP($S$1636,'TAR FIN'!$A$1:$O$115,15,0)),0,VLOOKUP($S$1636,'TAR FIN'!$A$1:$O$115,15,0))</f>
        <v>0</v>
      </c>
      <c r="W1636" s="6">
        <f>IF(ISERROR(VLOOKUP($T$1636,'TAR FIN'!$A$1:$O$115,15,0)),0,VLOOKUP($T$1636,'TAR FIN'!$A$1:$O$115,15,0))</f>
        <v>351.65</v>
      </c>
      <c r="X1636" s="6">
        <f>IF(ISERROR(VLOOKUP($U$1636,'TAR FIN'!$A$1:$O$115,15,0)),0,VLOOKUP($U$1636,'TAR FIN'!$A$1:$O$115,15,0))</f>
        <v>168.06</v>
      </c>
      <c r="Y1636" s="6"/>
      <c r="Z1636" s="6">
        <f ca="1">('TUSD BE'!$AM$64+'TUSD BF'!$AM$64+'TUSD CVA'!$AM$64)*1</f>
        <v>391.10237276676656</v>
      </c>
      <c r="AA1636" s="6">
        <f>('TE BE'!$AB$47+'TE BF'!$AB$47+'TE CVA'!$AB$47)*1</f>
        <v>218.6854278594964</v>
      </c>
      <c r="AB1636" s="6">
        <f>$K$1636*$V$1636</f>
        <v>0</v>
      </c>
      <c r="AC1636" s="6">
        <f>$M$1636*$W$1636</f>
        <v>4922.0450499999997</v>
      </c>
      <c r="AD1636" s="6">
        <f>$O$1636*$X$1636</f>
        <v>2352.3358200000002</v>
      </c>
      <c r="AE1636" s="6">
        <f>$K$1636*$Y$1636</f>
        <v>0</v>
      </c>
      <c r="AF1636" s="6">
        <f ca="1">$M$1636*$Z$1636</f>
        <v>5474.259911616432</v>
      </c>
      <c r="AG1636" s="6">
        <f>$O$1636*$AA$1636</f>
        <v>3060.939933749371</v>
      </c>
    </row>
    <row r="1637" spans="1:33" ht="11.25" customHeight="1" x14ac:dyDescent="0.25">
      <c r="A1637" s="4" t="s">
        <v>30</v>
      </c>
      <c r="B1637" s="4" t="s">
        <v>39</v>
      </c>
      <c r="C1637" s="4" t="s">
        <v>35</v>
      </c>
      <c r="D1637" s="4" t="s">
        <v>45</v>
      </c>
      <c r="E1637" s="4" t="s">
        <v>25</v>
      </c>
      <c r="F1637" s="4" t="s">
        <v>25</v>
      </c>
      <c r="G1637" s="4" t="s">
        <v>25</v>
      </c>
      <c r="H1637" s="4" t="s">
        <v>37</v>
      </c>
      <c r="I1637" s="5">
        <v>44743</v>
      </c>
      <c r="J1637" s="6">
        <v>0</v>
      </c>
      <c r="K1637" s="6">
        <v>0</v>
      </c>
      <c r="L1637" s="6">
        <v>2.9260000000000002</v>
      </c>
      <c r="M1637" s="6">
        <v>2.9260000000000002</v>
      </c>
      <c r="N1637" s="6">
        <v>2.9260000000000002</v>
      </c>
      <c r="O1637" s="6">
        <v>2.9260000000000002</v>
      </c>
      <c r="P1637" s="6">
        <v>0</v>
      </c>
      <c r="Q1637" s="4" t="s">
        <v>26</v>
      </c>
      <c r="R1637" s="4">
        <v>0</v>
      </c>
      <c r="S1637" s="6">
        <v>0</v>
      </c>
      <c r="T1637" s="6">
        <v>66</v>
      </c>
      <c r="U1637" s="6">
        <v>110</v>
      </c>
      <c r="V1637" s="6">
        <f>IF(ISERROR(VLOOKUP($S$1637,'TAR FIN'!$A$1:$O$115,15,0)),0,VLOOKUP($S$1637,'TAR FIN'!$A$1:$O$115,15,0))</f>
        <v>0</v>
      </c>
      <c r="W1637" s="6">
        <f>IF(ISERROR(VLOOKUP($T$1637,'TAR FIN'!$A$1:$O$115,15,0)),0,VLOOKUP($T$1637,'TAR FIN'!$A$1:$O$115,15,0))</f>
        <v>351.65</v>
      </c>
      <c r="X1637" s="6">
        <f>IF(ISERROR(VLOOKUP($U$1637,'TAR FIN'!$A$1:$O$115,15,0)),0,VLOOKUP($U$1637,'TAR FIN'!$A$1:$O$115,15,0))</f>
        <v>168.06</v>
      </c>
      <c r="Y1637" s="6"/>
      <c r="Z1637" s="6">
        <f ca="1">('TUSD BE'!$AM$64+'TUSD BF'!$AM$64+'TUSD CVA'!$AM$64)*1</f>
        <v>391.10237276676656</v>
      </c>
      <c r="AA1637" s="6">
        <f>('TE BE'!$AB$47+'TE BF'!$AB$47+'TE CVA'!$AB$47)*1</f>
        <v>218.6854278594964</v>
      </c>
      <c r="AB1637" s="6">
        <f>$K$1637*$V$1637</f>
        <v>0</v>
      </c>
      <c r="AC1637" s="6">
        <f>$M$1637*$W$1637</f>
        <v>1028.9278999999999</v>
      </c>
      <c r="AD1637" s="6">
        <f>$O$1637*$X$1637</f>
        <v>491.74356000000006</v>
      </c>
      <c r="AE1637" s="6">
        <f>$K$1637*$Y$1637</f>
        <v>0</v>
      </c>
      <c r="AF1637" s="6">
        <f ca="1">$M$1637*$Z$1637</f>
        <v>1144.3655427155591</v>
      </c>
      <c r="AG1637" s="6">
        <f>$O$1637*$AA$1637</f>
        <v>639.8735619168865</v>
      </c>
    </row>
    <row r="1638" spans="1:33" ht="11.25" customHeight="1" x14ac:dyDescent="0.25">
      <c r="A1638" s="4" t="s">
        <v>21</v>
      </c>
      <c r="B1638" s="4" t="s">
        <v>39</v>
      </c>
      <c r="C1638" s="4" t="s">
        <v>35</v>
      </c>
      <c r="D1638" s="4" t="s">
        <v>45</v>
      </c>
      <c r="E1638" s="4" t="s">
        <v>25</v>
      </c>
      <c r="F1638" s="4" t="s">
        <v>25</v>
      </c>
      <c r="G1638" s="4" t="s">
        <v>25</v>
      </c>
      <c r="H1638" s="4" t="s">
        <v>37</v>
      </c>
      <c r="I1638" s="5">
        <v>44774</v>
      </c>
      <c r="J1638" s="6">
        <v>0</v>
      </c>
      <c r="K1638" s="6">
        <v>0</v>
      </c>
      <c r="L1638" s="6">
        <v>90.677000000000007</v>
      </c>
      <c r="M1638" s="6">
        <v>90.677000000000007</v>
      </c>
      <c r="N1638" s="6">
        <v>90.677000000000007</v>
      </c>
      <c r="O1638" s="6">
        <v>90.677000000000007</v>
      </c>
      <c r="P1638" s="6">
        <v>0</v>
      </c>
      <c r="Q1638" s="4" t="s">
        <v>26</v>
      </c>
      <c r="R1638" s="4">
        <v>0</v>
      </c>
      <c r="S1638" s="6">
        <v>0</v>
      </c>
      <c r="T1638" s="6">
        <v>66</v>
      </c>
      <c r="U1638" s="6">
        <v>110</v>
      </c>
      <c r="V1638" s="6">
        <f>IF(ISERROR(VLOOKUP($S$1638,'TAR FIN'!$A$1:$O$115,15,0)),0,VLOOKUP($S$1638,'TAR FIN'!$A$1:$O$115,15,0))</f>
        <v>0</v>
      </c>
      <c r="W1638" s="6">
        <f>IF(ISERROR(VLOOKUP($T$1638,'TAR FIN'!$A$1:$O$115,15,0)),0,VLOOKUP($T$1638,'TAR FIN'!$A$1:$O$115,15,0))</f>
        <v>351.65</v>
      </c>
      <c r="X1638" s="6">
        <f>IF(ISERROR(VLOOKUP($U$1638,'TAR FIN'!$A$1:$O$115,15,0)),0,VLOOKUP($U$1638,'TAR FIN'!$A$1:$O$115,15,0))</f>
        <v>168.06</v>
      </c>
      <c r="Y1638" s="6"/>
      <c r="Z1638" s="6">
        <f ca="1">('TUSD BE'!$AM$64+'TUSD BF'!$AM$64+'TUSD CVA'!$AM$64)*1</f>
        <v>391.10237276676656</v>
      </c>
      <c r="AA1638" s="6">
        <f>('TE BE'!$AB$47+'TE BF'!$AB$47+'TE CVA'!$AB$47)*1</f>
        <v>218.6854278594964</v>
      </c>
      <c r="AB1638" s="6">
        <f>$K$1638*$V$1638</f>
        <v>0</v>
      </c>
      <c r="AC1638" s="6">
        <f>$M$1638*$W$1638</f>
        <v>31886.567050000001</v>
      </c>
      <c r="AD1638" s="6">
        <f>$O$1638*$X$1638</f>
        <v>15239.176620000002</v>
      </c>
      <c r="AE1638" s="6">
        <f>$K$1638*$Y$1638</f>
        <v>0</v>
      </c>
      <c r="AF1638" s="6">
        <f ca="1">$M$1638*$Z$1638</f>
        <v>35463.989855372092</v>
      </c>
      <c r="AG1638" s="6">
        <f>$O$1638*$AA$1638</f>
        <v>19829.738542015555</v>
      </c>
    </row>
    <row r="1639" spans="1:33" ht="11.25" customHeight="1" x14ac:dyDescent="0.25">
      <c r="A1639" s="4" t="s">
        <v>27</v>
      </c>
      <c r="B1639" s="4" t="s">
        <v>39</v>
      </c>
      <c r="C1639" s="4" t="s">
        <v>35</v>
      </c>
      <c r="D1639" s="4" t="s">
        <v>45</v>
      </c>
      <c r="E1639" s="4" t="s">
        <v>25</v>
      </c>
      <c r="F1639" s="4" t="s">
        <v>25</v>
      </c>
      <c r="G1639" s="4" t="s">
        <v>25</v>
      </c>
      <c r="H1639" s="4" t="s">
        <v>37</v>
      </c>
      <c r="I1639" s="5">
        <v>44774</v>
      </c>
      <c r="J1639" s="6">
        <v>0</v>
      </c>
      <c r="K1639" s="6">
        <v>0</v>
      </c>
      <c r="L1639" s="6">
        <v>-5.5E-2</v>
      </c>
      <c r="M1639" s="6">
        <v>-5.5E-2</v>
      </c>
      <c r="N1639" s="6">
        <v>-5.5E-2</v>
      </c>
      <c r="O1639" s="6">
        <v>-5.5E-2</v>
      </c>
      <c r="P1639" s="6">
        <v>0</v>
      </c>
      <c r="Q1639" s="4" t="s">
        <v>26</v>
      </c>
      <c r="R1639" s="4">
        <v>0</v>
      </c>
      <c r="S1639" s="6">
        <v>0</v>
      </c>
      <c r="T1639" s="6">
        <v>66</v>
      </c>
      <c r="U1639" s="6">
        <v>110</v>
      </c>
      <c r="V1639" s="6">
        <f>IF(ISERROR(VLOOKUP($S$1639,'TAR FIN'!$A$1:$O$115,15,0)),0,VLOOKUP($S$1639,'TAR FIN'!$A$1:$O$115,15,0))</f>
        <v>0</v>
      </c>
      <c r="W1639" s="6">
        <f>IF(ISERROR(VLOOKUP($T$1639,'TAR FIN'!$A$1:$O$115,15,0)),0,VLOOKUP($T$1639,'TAR FIN'!$A$1:$O$115,15,0))</f>
        <v>351.65</v>
      </c>
      <c r="X1639" s="6">
        <f>IF(ISERROR(VLOOKUP($U$1639,'TAR FIN'!$A$1:$O$115,15,0)),0,VLOOKUP($U$1639,'TAR FIN'!$A$1:$O$115,15,0))</f>
        <v>168.06</v>
      </c>
      <c r="Y1639" s="6"/>
      <c r="Z1639" s="6">
        <f ca="1">('TUSD BE'!$AM$64+'TUSD BF'!$AM$64+'TUSD CVA'!$AM$64)*1</f>
        <v>391.10237276676656</v>
      </c>
      <c r="AA1639" s="6">
        <f>('TE BE'!$AB$47+'TE BF'!$AB$47+'TE CVA'!$AB$47)*1</f>
        <v>218.6854278594964</v>
      </c>
      <c r="AB1639" s="6">
        <f>$K$1639*$V$1639</f>
        <v>0</v>
      </c>
      <c r="AC1639" s="6">
        <f>$M$1639*$W$1639</f>
        <v>-19.34075</v>
      </c>
      <c r="AD1639" s="6">
        <f>$O$1639*$X$1639</f>
        <v>-9.2432999999999996</v>
      </c>
      <c r="AE1639" s="6">
        <f>$K$1639*$Y$1639</f>
        <v>0</v>
      </c>
      <c r="AF1639" s="6">
        <f ca="1">$M$1639*$Z$1639</f>
        <v>-21.510630502172162</v>
      </c>
      <c r="AG1639" s="6">
        <f>$O$1639*$AA$1639</f>
        <v>-12.027698532272302</v>
      </c>
    </row>
    <row r="1640" spans="1:33" ht="11.25" customHeight="1" x14ac:dyDescent="0.25">
      <c r="A1640" s="4" t="s">
        <v>28</v>
      </c>
      <c r="B1640" s="4" t="s">
        <v>39</v>
      </c>
      <c r="C1640" s="4" t="s">
        <v>35</v>
      </c>
      <c r="D1640" s="4" t="s">
        <v>45</v>
      </c>
      <c r="E1640" s="4" t="s">
        <v>25</v>
      </c>
      <c r="F1640" s="4" t="s">
        <v>25</v>
      </c>
      <c r="G1640" s="4" t="s">
        <v>25</v>
      </c>
      <c r="H1640" s="4" t="s">
        <v>37</v>
      </c>
      <c r="I1640" s="5">
        <v>44774</v>
      </c>
      <c r="J1640" s="6">
        <v>0</v>
      </c>
      <c r="K1640" s="6">
        <v>0</v>
      </c>
      <c r="L1640" s="6">
        <v>13.965999999999999</v>
      </c>
      <c r="M1640" s="6">
        <v>13.965999999999999</v>
      </c>
      <c r="N1640" s="6">
        <v>13.965999999999999</v>
      </c>
      <c r="O1640" s="6">
        <v>13.965999999999999</v>
      </c>
      <c r="P1640" s="6">
        <v>0</v>
      </c>
      <c r="Q1640" s="4" t="s">
        <v>26</v>
      </c>
      <c r="R1640" s="4">
        <v>0</v>
      </c>
      <c r="S1640" s="6">
        <v>0</v>
      </c>
      <c r="T1640" s="6">
        <v>66</v>
      </c>
      <c r="U1640" s="6">
        <v>110</v>
      </c>
      <c r="V1640" s="6">
        <f>IF(ISERROR(VLOOKUP($S$1640,'TAR FIN'!$A$1:$O$115,15,0)),0,VLOOKUP($S$1640,'TAR FIN'!$A$1:$O$115,15,0))</f>
        <v>0</v>
      </c>
      <c r="W1640" s="6">
        <f>IF(ISERROR(VLOOKUP($T$1640,'TAR FIN'!$A$1:$O$115,15,0)),0,VLOOKUP($T$1640,'TAR FIN'!$A$1:$O$115,15,0))</f>
        <v>351.65</v>
      </c>
      <c r="X1640" s="6">
        <f>IF(ISERROR(VLOOKUP($U$1640,'TAR FIN'!$A$1:$O$115,15,0)),0,VLOOKUP($U$1640,'TAR FIN'!$A$1:$O$115,15,0))</f>
        <v>168.06</v>
      </c>
      <c r="Y1640" s="6"/>
      <c r="Z1640" s="6">
        <f ca="1">('TUSD BE'!$AM$64+'TUSD BF'!$AM$64+'TUSD CVA'!$AM$64)*1</f>
        <v>391.10237276676656</v>
      </c>
      <c r="AA1640" s="6">
        <f>('TE BE'!$AB$47+'TE BF'!$AB$47+'TE CVA'!$AB$47)*1</f>
        <v>218.6854278594964</v>
      </c>
      <c r="AB1640" s="6">
        <f>$K$1640*$V$1640</f>
        <v>0</v>
      </c>
      <c r="AC1640" s="6">
        <f>$M$1640*$W$1640</f>
        <v>4911.1438999999991</v>
      </c>
      <c r="AD1640" s="6">
        <f>$O$1640*$X$1640</f>
        <v>2347.1259599999998</v>
      </c>
      <c r="AE1640" s="6">
        <f>$K$1640*$Y$1640</f>
        <v>0</v>
      </c>
      <c r="AF1640" s="6">
        <f ca="1">$M$1640*$Z$1640</f>
        <v>5462.1357380606614</v>
      </c>
      <c r="AG1640" s="6">
        <f>$O$1640*$AA$1640</f>
        <v>3054.1606854857264</v>
      </c>
    </row>
    <row r="1641" spans="1:33" ht="11.25" customHeight="1" x14ac:dyDescent="0.25">
      <c r="A1641" s="4" t="s">
        <v>30</v>
      </c>
      <c r="B1641" s="4" t="s">
        <v>39</v>
      </c>
      <c r="C1641" s="4" t="s">
        <v>35</v>
      </c>
      <c r="D1641" s="4" t="s">
        <v>45</v>
      </c>
      <c r="E1641" s="4" t="s">
        <v>25</v>
      </c>
      <c r="F1641" s="4" t="s">
        <v>25</v>
      </c>
      <c r="G1641" s="4" t="s">
        <v>25</v>
      </c>
      <c r="H1641" s="4" t="s">
        <v>37</v>
      </c>
      <c r="I1641" s="5">
        <v>44774</v>
      </c>
      <c r="J1641" s="6">
        <v>0</v>
      </c>
      <c r="K1641" s="6">
        <v>0</v>
      </c>
      <c r="L1641" s="6">
        <v>1.59</v>
      </c>
      <c r="M1641" s="6">
        <v>1.59</v>
      </c>
      <c r="N1641" s="6">
        <v>1.59</v>
      </c>
      <c r="O1641" s="6">
        <v>1.59</v>
      </c>
      <c r="P1641" s="6">
        <v>0</v>
      </c>
      <c r="Q1641" s="4" t="s">
        <v>26</v>
      </c>
      <c r="R1641" s="4">
        <v>0</v>
      </c>
      <c r="S1641" s="6">
        <v>0</v>
      </c>
      <c r="T1641" s="6">
        <v>66</v>
      </c>
      <c r="U1641" s="6">
        <v>110</v>
      </c>
      <c r="V1641" s="6">
        <f>IF(ISERROR(VLOOKUP($S$1641,'TAR FIN'!$A$1:$O$115,15,0)),0,VLOOKUP($S$1641,'TAR FIN'!$A$1:$O$115,15,0))</f>
        <v>0</v>
      </c>
      <c r="W1641" s="6">
        <f>IF(ISERROR(VLOOKUP($T$1641,'TAR FIN'!$A$1:$O$115,15,0)),0,VLOOKUP($T$1641,'TAR FIN'!$A$1:$O$115,15,0))</f>
        <v>351.65</v>
      </c>
      <c r="X1641" s="6">
        <f>IF(ISERROR(VLOOKUP($U$1641,'TAR FIN'!$A$1:$O$115,15,0)),0,VLOOKUP($U$1641,'TAR FIN'!$A$1:$O$115,15,0))</f>
        <v>168.06</v>
      </c>
      <c r="Y1641" s="6"/>
      <c r="Z1641" s="6">
        <f ca="1">('TUSD BE'!$AM$64+'TUSD BF'!$AM$64+'TUSD CVA'!$AM$64)*1</f>
        <v>391.10237276676656</v>
      </c>
      <c r="AA1641" s="6">
        <f>('TE BE'!$AB$47+'TE BF'!$AB$47+'TE CVA'!$AB$47)*1</f>
        <v>218.6854278594964</v>
      </c>
      <c r="AB1641" s="6">
        <f>$K$1641*$V$1641</f>
        <v>0</v>
      </c>
      <c r="AC1641" s="6">
        <f>$M$1641*$W$1641</f>
        <v>559.12350000000004</v>
      </c>
      <c r="AD1641" s="6">
        <f>$O$1641*$X$1641</f>
        <v>267.21540000000005</v>
      </c>
      <c r="AE1641" s="6">
        <f>$K$1641*$Y$1641</f>
        <v>0</v>
      </c>
      <c r="AF1641" s="6">
        <f ca="1">$M$1641*$Z$1641</f>
        <v>621.85277269915889</v>
      </c>
      <c r="AG1641" s="6">
        <f>$O$1641*$AA$1641</f>
        <v>347.70983029659931</v>
      </c>
    </row>
    <row r="1642" spans="1:33" ht="11.25" customHeight="1" x14ac:dyDescent="0.25">
      <c r="A1642" s="4" t="s">
        <v>21</v>
      </c>
      <c r="B1642" s="4" t="s">
        <v>39</v>
      </c>
      <c r="C1642" s="4" t="s">
        <v>35</v>
      </c>
      <c r="D1642" s="4" t="s">
        <v>45</v>
      </c>
      <c r="E1642" s="4" t="s">
        <v>25</v>
      </c>
      <c r="F1642" s="4" t="s">
        <v>25</v>
      </c>
      <c r="G1642" s="4" t="s">
        <v>25</v>
      </c>
      <c r="H1642" s="4" t="s">
        <v>37</v>
      </c>
      <c r="I1642" s="5">
        <v>44805</v>
      </c>
      <c r="J1642" s="6">
        <v>0</v>
      </c>
      <c r="K1642" s="6">
        <v>0</v>
      </c>
      <c r="L1642" s="6">
        <v>89.917000000000002</v>
      </c>
      <c r="M1642" s="6">
        <v>89.917000000000002</v>
      </c>
      <c r="N1642" s="6">
        <v>89.917000000000002</v>
      </c>
      <c r="O1642" s="6">
        <v>89.917000000000002</v>
      </c>
      <c r="P1642" s="6">
        <v>0</v>
      </c>
      <c r="Q1642" s="4" t="s">
        <v>26</v>
      </c>
      <c r="R1642" s="4">
        <v>0</v>
      </c>
      <c r="S1642" s="6">
        <v>0</v>
      </c>
      <c r="T1642" s="6">
        <v>66</v>
      </c>
      <c r="U1642" s="6">
        <v>110</v>
      </c>
      <c r="V1642" s="6">
        <f>IF(ISERROR(VLOOKUP($S$1642,'TAR FIN'!$A$1:$O$115,15,0)),0,VLOOKUP($S$1642,'TAR FIN'!$A$1:$O$115,15,0))</f>
        <v>0</v>
      </c>
      <c r="W1642" s="6">
        <f>IF(ISERROR(VLOOKUP($T$1642,'TAR FIN'!$A$1:$O$115,15,0)),0,VLOOKUP($T$1642,'TAR FIN'!$A$1:$O$115,15,0))</f>
        <v>351.65</v>
      </c>
      <c r="X1642" s="6">
        <f>IF(ISERROR(VLOOKUP($U$1642,'TAR FIN'!$A$1:$O$115,15,0)),0,VLOOKUP($U$1642,'TAR FIN'!$A$1:$O$115,15,0))</f>
        <v>168.06</v>
      </c>
      <c r="Y1642" s="6"/>
      <c r="Z1642" s="6">
        <f ca="1">('TUSD BE'!$AM$64+'TUSD BF'!$AM$64+'TUSD CVA'!$AM$64)*1</f>
        <v>391.10237276676656</v>
      </c>
      <c r="AA1642" s="6">
        <f>('TE BE'!$AB$47+'TE BF'!$AB$47+'TE CVA'!$AB$47)*1</f>
        <v>218.6854278594964</v>
      </c>
      <c r="AB1642" s="6">
        <f>$K$1642*$V$1642</f>
        <v>0</v>
      </c>
      <c r="AC1642" s="6">
        <f>$M$1642*$W$1642</f>
        <v>31619.313049999997</v>
      </c>
      <c r="AD1642" s="6">
        <f>$O$1642*$X$1642</f>
        <v>15111.45102</v>
      </c>
      <c r="AE1642" s="6">
        <f>$K$1642*$Y$1642</f>
        <v>0</v>
      </c>
      <c r="AF1642" s="6">
        <f ca="1">$M$1642*$Z$1642</f>
        <v>35166.752052069351</v>
      </c>
      <c r="AG1642" s="6">
        <f>$O$1642*$AA$1642</f>
        <v>19663.537616842339</v>
      </c>
    </row>
    <row r="1643" spans="1:33" ht="11.25" customHeight="1" x14ac:dyDescent="0.25">
      <c r="A1643" s="4" t="s">
        <v>27</v>
      </c>
      <c r="B1643" s="4" t="s">
        <v>39</v>
      </c>
      <c r="C1643" s="4" t="s">
        <v>35</v>
      </c>
      <c r="D1643" s="4" t="s">
        <v>45</v>
      </c>
      <c r="E1643" s="4" t="s">
        <v>25</v>
      </c>
      <c r="F1643" s="4" t="s">
        <v>25</v>
      </c>
      <c r="G1643" s="4" t="s">
        <v>25</v>
      </c>
      <c r="H1643" s="4" t="s">
        <v>37</v>
      </c>
      <c r="I1643" s="5">
        <v>44805</v>
      </c>
      <c r="J1643" s="6">
        <v>0</v>
      </c>
      <c r="K1643" s="6">
        <v>0</v>
      </c>
      <c r="L1643" s="6">
        <v>0.23400000000000001</v>
      </c>
      <c r="M1643" s="6">
        <v>0.23400000000000001</v>
      </c>
      <c r="N1643" s="6">
        <v>0.23400000000000001</v>
      </c>
      <c r="O1643" s="6">
        <v>0.23400000000000001</v>
      </c>
      <c r="P1643" s="6">
        <v>0</v>
      </c>
      <c r="Q1643" s="4" t="s">
        <v>26</v>
      </c>
      <c r="R1643" s="4">
        <v>0</v>
      </c>
      <c r="S1643" s="6">
        <v>0</v>
      </c>
      <c r="T1643" s="6">
        <v>66</v>
      </c>
      <c r="U1643" s="6">
        <v>110</v>
      </c>
      <c r="V1643" s="6">
        <f>IF(ISERROR(VLOOKUP($S$1643,'TAR FIN'!$A$1:$O$115,15,0)),0,VLOOKUP($S$1643,'TAR FIN'!$A$1:$O$115,15,0))</f>
        <v>0</v>
      </c>
      <c r="W1643" s="6">
        <f>IF(ISERROR(VLOOKUP($T$1643,'TAR FIN'!$A$1:$O$115,15,0)),0,VLOOKUP($T$1643,'TAR FIN'!$A$1:$O$115,15,0))</f>
        <v>351.65</v>
      </c>
      <c r="X1643" s="6">
        <f>IF(ISERROR(VLOOKUP($U$1643,'TAR FIN'!$A$1:$O$115,15,0)),0,VLOOKUP($U$1643,'TAR FIN'!$A$1:$O$115,15,0))</f>
        <v>168.06</v>
      </c>
      <c r="Y1643" s="6"/>
      <c r="Z1643" s="6">
        <f ca="1">('TUSD BE'!$AM$64+'TUSD BF'!$AM$64+'TUSD CVA'!$AM$64)*1</f>
        <v>391.10237276676656</v>
      </c>
      <c r="AA1643" s="6">
        <f>('TE BE'!$AB$47+'TE BF'!$AB$47+'TE CVA'!$AB$47)*1</f>
        <v>218.6854278594964</v>
      </c>
      <c r="AB1643" s="6">
        <f>$K$1643*$V$1643</f>
        <v>0</v>
      </c>
      <c r="AC1643" s="6">
        <f>$M$1643*$W$1643</f>
        <v>82.286100000000005</v>
      </c>
      <c r="AD1643" s="6">
        <f>$O$1643*$X$1643</f>
        <v>39.326040000000006</v>
      </c>
      <c r="AE1643" s="6">
        <f>$K$1643*$Y$1643</f>
        <v>0</v>
      </c>
      <c r="AF1643" s="6">
        <f ca="1">$M$1643*$Z$1643</f>
        <v>91.517955227423386</v>
      </c>
      <c r="AG1643" s="6">
        <f>$O$1643*$AA$1643</f>
        <v>51.172390119122163</v>
      </c>
    </row>
    <row r="1644" spans="1:33" ht="11.25" customHeight="1" x14ac:dyDescent="0.25">
      <c r="A1644" s="4" t="s">
        <v>28</v>
      </c>
      <c r="B1644" s="4" t="s">
        <v>39</v>
      </c>
      <c r="C1644" s="4" t="s">
        <v>35</v>
      </c>
      <c r="D1644" s="4" t="s">
        <v>45</v>
      </c>
      <c r="E1644" s="4" t="s">
        <v>25</v>
      </c>
      <c r="F1644" s="4" t="s">
        <v>25</v>
      </c>
      <c r="G1644" s="4" t="s">
        <v>25</v>
      </c>
      <c r="H1644" s="4" t="s">
        <v>37</v>
      </c>
      <c r="I1644" s="5">
        <v>44805</v>
      </c>
      <c r="J1644" s="6">
        <v>0</v>
      </c>
      <c r="K1644" s="6">
        <v>0</v>
      </c>
      <c r="L1644" s="6">
        <v>14.349</v>
      </c>
      <c r="M1644" s="6">
        <v>14.349</v>
      </c>
      <c r="N1644" s="6">
        <v>14.349</v>
      </c>
      <c r="O1644" s="6">
        <v>14.349</v>
      </c>
      <c r="P1644" s="6">
        <v>0</v>
      </c>
      <c r="Q1644" s="4" t="s">
        <v>26</v>
      </c>
      <c r="R1644" s="4">
        <v>0</v>
      </c>
      <c r="S1644" s="6">
        <v>0</v>
      </c>
      <c r="T1644" s="6">
        <v>66</v>
      </c>
      <c r="U1644" s="6">
        <v>110</v>
      </c>
      <c r="V1644" s="6">
        <f>IF(ISERROR(VLOOKUP($S$1644,'TAR FIN'!$A$1:$O$115,15,0)),0,VLOOKUP($S$1644,'TAR FIN'!$A$1:$O$115,15,0))</f>
        <v>0</v>
      </c>
      <c r="W1644" s="6">
        <f>IF(ISERROR(VLOOKUP($T$1644,'TAR FIN'!$A$1:$O$115,15,0)),0,VLOOKUP($T$1644,'TAR FIN'!$A$1:$O$115,15,0))</f>
        <v>351.65</v>
      </c>
      <c r="X1644" s="6">
        <f>IF(ISERROR(VLOOKUP($U$1644,'TAR FIN'!$A$1:$O$115,15,0)),0,VLOOKUP($U$1644,'TAR FIN'!$A$1:$O$115,15,0))</f>
        <v>168.06</v>
      </c>
      <c r="Y1644" s="6"/>
      <c r="Z1644" s="6">
        <f ca="1">('TUSD BE'!$AM$64+'TUSD BF'!$AM$64+'TUSD CVA'!$AM$64)*1</f>
        <v>391.10237276676656</v>
      </c>
      <c r="AA1644" s="6">
        <f>('TE BE'!$AB$47+'TE BF'!$AB$47+'TE CVA'!$AB$47)*1</f>
        <v>218.6854278594964</v>
      </c>
      <c r="AB1644" s="6">
        <f>$K$1644*$V$1644</f>
        <v>0</v>
      </c>
      <c r="AC1644" s="6">
        <f>$M$1644*$W$1644</f>
        <v>5045.8258500000002</v>
      </c>
      <c r="AD1644" s="6">
        <f>$O$1644*$X$1644</f>
        <v>2411.4929400000001</v>
      </c>
      <c r="AE1644" s="6">
        <f>$K$1644*$Y$1644</f>
        <v>0</v>
      </c>
      <c r="AF1644" s="6">
        <f ca="1">$M$1644*$Z$1644</f>
        <v>5611.9279468303339</v>
      </c>
      <c r="AG1644" s="6">
        <f>$O$1644*$AA$1644</f>
        <v>3137.9172043559138</v>
      </c>
    </row>
    <row r="1645" spans="1:33" ht="11.25" customHeight="1" x14ac:dyDescent="0.25">
      <c r="A1645" s="4" t="s">
        <v>30</v>
      </c>
      <c r="B1645" s="4" t="s">
        <v>39</v>
      </c>
      <c r="C1645" s="4" t="s">
        <v>35</v>
      </c>
      <c r="D1645" s="4" t="s">
        <v>45</v>
      </c>
      <c r="E1645" s="4" t="s">
        <v>25</v>
      </c>
      <c r="F1645" s="4" t="s">
        <v>25</v>
      </c>
      <c r="G1645" s="4" t="s">
        <v>25</v>
      </c>
      <c r="H1645" s="4" t="s">
        <v>37</v>
      </c>
      <c r="I1645" s="5">
        <v>44805</v>
      </c>
      <c r="J1645" s="6">
        <v>0</v>
      </c>
      <c r="K1645" s="6">
        <v>0</v>
      </c>
      <c r="L1645" s="6">
        <v>3.82</v>
      </c>
      <c r="M1645" s="6">
        <v>3.82</v>
      </c>
      <c r="N1645" s="6">
        <v>3.82</v>
      </c>
      <c r="O1645" s="6">
        <v>3.82</v>
      </c>
      <c r="P1645" s="6">
        <v>0</v>
      </c>
      <c r="Q1645" s="4" t="s">
        <v>26</v>
      </c>
      <c r="R1645" s="4">
        <v>0</v>
      </c>
      <c r="S1645" s="6">
        <v>0</v>
      </c>
      <c r="T1645" s="6">
        <v>66</v>
      </c>
      <c r="U1645" s="6">
        <v>110</v>
      </c>
      <c r="V1645" s="6">
        <f>IF(ISERROR(VLOOKUP($S$1645,'TAR FIN'!$A$1:$O$115,15,0)),0,VLOOKUP($S$1645,'TAR FIN'!$A$1:$O$115,15,0))</f>
        <v>0</v>
      </c>
      <c r="W1645" s="6">
        <f>IF(ISERROR(VLOOKUP($T$1645,'TAR FIN'!$A$1:$O$115,15,0)),0,VLOOKUP($T$1645,'TAR FIN'!$A$1:$O$115,15,0))</f>
        <v>351.65</v>
      </c>
      <c r="X1645" s="6">
        <f>IF(ISERROR(VLOOKUP($U$1645,'TAR FIN'!$A$1:$O$115,15,0)),0,VLOOKUP($U$1645,'TAR FIN'!$A$1:$O$115,15,0))</f>
        <v>168.06</v>
      </c>
      <c r="Y1645" s="6"/>
      <c r="Z1645" s="6">
        <f ca="1">('TUSD BE'!$AM$64+'TUSD BF'!$AM$64+'TUSD CVA'!$AM$64)*1</f>
        <v>391.10237276676656</v>
      </c>
      <c r="AA1645" s="6">
        <f>('TE BE'!$AB$47+'TE BF'!$AB$47+'TE CVA'!$AB$47)*1</f>
        <v>218.6854278594964</v>
      </c>
      <c r="AB1645" s="6">
        <f>$K$1645*$V$1645</f>
        <v>0</v>
      </c>
      <c r="AC1645" s="6">
        <f>$M$1645*$W$1645</f>
        <v>1343.3029999999999</v>
      </c>
      <c r="AD1645" s="6">
        <f>$O$1645*$X$1645</f>
        <v>641.98919999999998</v>
      </c>
      <c r="AE1645" s="6">
        <f>$K$1645*$Y$1645</f>
        <v>0</v>
      </c>
      <c r="AF1645" s="6">
        <f ca="1">$M$1645*$Z$1645</f>
        <v>1494.0110639690481</v>
      </c>
      <c r="AG1645" s="6">
        <f>$O$1645*$AA$1645</f>
        <v>835.37833442327621</v>
      </c>
    </row>
    <row r="1646" spans="1:33" ht="11.25" customHeight="1" x14ac:dyDescent="0.25">
      <c r="A1646" s="4" t="s">
        <v>30</v>
      </c>
      <c r="B1646" s="4" t="s">
        <v>39</v>
      </c>
      <c r="C1646" s="4" t="s">
        <v>35</v>
      </c>
      <c r="D1646" s="4" t="s">
        <v>45</v>
      </c>
      <c r="E1646" s="4" t="s">
        <v>25</v>
      </c>
      <c r="F1646" s="4" t="s">
        <v>25</v>
      </c>
      <c r="G1646" s="4" t="s">
        <v>25</v>
      </c>
      <c r="H1646" s="4" t="s">
        <v>37</v>
      </c>
      <c r="I1646" s="5">
        <v>44805</v>
      </c>
      <c r="J1646" s="6">
        <v>0</v>
      </c>
      <c r="K1646" s="6">
        <v>0</v>
      </c>
      <c r="L1646" s="6">
        <v>-0.73099999999999998</v>
      </c>
      <c r="M1646" s="6">
        <v>-0.73099999999999998</v>
      </c>
      <c r="N1646" s="6">
        <v>-0.73099999999999998</v>
      </c>
      <c r="O1646" s="6">
        <v>-0.73099999999999998</v>
      </c>
      <c r="P1646" s="6">
        <v>0</v>
      </c>
      <c r="Q1646" s="4" t="s">
        <v>26</v>
      </c>
      <c r="R1646" s="4">
        <v>0</v>
      </c>
      <c r="S1646" s="6">
        <v>0</v>
      </c>
      <c r="T1646" s="6">
        <v>66</v>
      </c>
      <c r="U1646" s="6">
        <v>110</v>
      </c>
      <c r="V1646" s="6">
        <f>IF(ISERROR(VLOOKUP($S$1646,'TAR FIN'!$A$1:$O$115,15,0)),0,VLOOKUP($S$1646,'TAR FIN'!$A$1:$O$115,15,0))</f>
        <v>0</v>
      </c>
      <c r="W1646" s="6">
        <f>IF(ISERROR(VLOOKUP($T$1646,'TAR FIN'!$A$1:$O$115,15,0)),0,VLOOKUP($T$1646,'TAR FIN'!$A$1:$O$115,15,0))</f>
        <v>351.65</v>
      </c>
      <c r="X1646" s="6">
        <f>IF(ISERROR(VLOOKUP($U$1646,'TAR FIN'!$A$1:$O$115,15,0)),0,VLOOKUP($U$1646,'TAR FIN'!$A$1:$O$115,15,0))</f>
        <v>168.06</v>
      </c>
      <c r="Y1646" s="6"/>
      <c r="Z1646" s="6">
        <f ca="1">('TUSD BE'!$AM$64+'TUSD BF'!$AM$64+'TUSD CVA'!$AM$64)*1</f>
        <v>391.10237276676656</v>
      </c>
      <c r="AA1646" s="6">
        <f>('TE BE'!$AB$47+'TE BF'!$AB$47+'TE CVA'!$AB$47)*1</f>
        <v>218.6854278594964</v>
      </c>
      <c r="AB1646" s="6">
        <f>$K$1646*$V$1646</f>
        <v>0</v>
      </c>
      <c r="AC1646" s="6">
        <f>$M$1646*$W$1646</f>
        <v>-257.05615</v>
      </c>
      <c r="AD1646" s="6">
        <f>$O$1646*$X$1646</f>
        <v>-122.85186</v>
      </c>
      <c r="AE1646" s="6">
        <f>$K$1646*$Y$1646</f>
        <v>0</v>
      </c>
      <c r="AF1646" s="6">
        <f ca="1">$M$1646*$Z$1646</f>
        <v>-285.89583449250637</v>
      </c>
      <c r="AG1646" s="6">
        <f>$O$1646*$AA$1646</f>
        <v>-159.85904776529188</v>
      </c>
    </row>
    <row r="1647" spans="1:33" ht="11.25" customHeight="1" x14ac:dyDescent="0.25">
      <c r="A1647" s="4" t="s">
        <v>21</v>
      </c>
      <c r="B1647" s="4" t="s">
        <v>39</v>
      </c>
      <c r="C1647" s="4" t="s">
        <v>35</v>
      </c>
      <c r="D1647" s="4" t="s">
        <v>45</v>
      </c>
      <c r="E1647" s="4" t="s">
        <v>25</v>
      </c>
      <c r="F1647" s="4" t="s">
        <v>25</v>
      </c>
      <c r="G1647" s="4" t="s">
        <v>25</v>
      </c>
      <c r="H1647" s="4" t="s">
        <v>37</v>
      </c>
      <c r="I1647" s="5">
        <v>44835</v>
      </c>
      <c r="J1647" s="6">
        <v>0</v>
      </c>
      <c r="K1647" s="6">
        <v>0</v>
      </c>
      <c r="L1647" s="6">
        <v>93.462000000000003</v>
      </c>
      <c r="M1647" s="6">
        <v>93.462000000000003</v>
      </c>
      <c r="N1647" s="6">
        <v>93.462000000000003</v>
      </c>
      <c r="O1647" s="6">
        <v>93.462000000000003</v>
      </c>
      <c r="P1647" s="6">
        <v>0</v>
      </c>
      <c r="Q1647" s="4" t="s">
        <v>26</v>
      </c>
      <c r="R1647" s="4">
        <v>0</v>
      </c>
      <c r="S1647" s="6">
        <v>0</v>
      </c>
      <c r="T1647" s="6">
        <v>66</v>
      </c>
      <c r="U1647" s="6">
        <v>110</v>
      </c>
      <c r="V1647" s="6">
        <f>IF(ISERROR(VLOOKUP($S$1647,'TAR FIN'!$A$1:$O$115,15,0)),0,VLOOKUP($S$1647,'TAR FIN'!$A$1:$O$115,15,0))</f>
        <v>0</v>
      </c>
      <c r="W1647" s="6">
        <f>IF(ISERROR(VLOOKUP($T$1647,'TAR FIN'!$A$1:$O$115,15,0)),0,VLOOKUP($T$1647,'TAR FIN'!$A$1:$O$115,15,0))</f>
        <v>351.65</v>
      </c>
      <c r="X1647" s="6">
        <f>IF(ISERROR(VLOOKUP($U$1647,'TAR FIN'!$A$1:$O$115,15,0)),0,VLOOKUP($U$1647,'TAR FIN'!$A$1:$O$115,15,0))</f>
        <v>168.06</v>
      </c>
      <c r="Y1647" s="6"/>
      <c r="Z1647" s="6">
        <f ca="1">('TUSD BE'!$AM$64+'TUSD BF'!$AM$64+'TUSD CVA'!$AM$64)*1</f>
        <v>391.10237276676656</v>
      </c>
      <c r="AA1647" s="6">
        <f>('TE BE'!$AB$47+'TE BF'!$AB$47+'TE CVA'!$AB$47)*1</f>
        <v>218.6854278594964</v>
      </c>
      <c r="AB1647" s="6">
        <f>$K$1647*$V$1647</f>
        <v>0</v>
      </c>
      <c r="AC1647" s="6">
        <f>$M$1647*$W$1647</f>
        <v>32865.912299999996</v>
      </c>
      <c r="AD1647" s="6">
        <f>$O$1647*$X$1647</f>
        <v>15707.22372</v>
      </c>
      <c r="AE1647" s="6">
        <f>$K$1647*$Y$1647</f>
        <v>0</v>
      </c>
      <c r="AF1647" s="6">
        <f ca="1">$M$1647*$Z$1647</f>
        <v>36553.209963527537</v>
      </c>
      <c r="AG1647" s="6">
        <f>$O$1647*$AA$1647</f>
        <v>20438.777458604254</v>
      </c>
    </row>
    <row r="1648" spans="1:33" ht="11.25" customHeight="1" x14ac:dyDescent="0.25">
      <c r="A1648" s="4" t="s">
        <v>28</v>
      </c>
      <c r="B1648" s="4" t="s">
        <v>39</v>
      </c>
      <c r="C1648" s="4" t="s">
        <v>35</v>
      </c>
      <c r="D1648" s="4" t="s">
        <v>45</v>
      </c>
      <c r="E1648" s="4" t="s">
        <v>25</v>
      </c>
      <c r="F1648" s="4" t="s">
        <v>25</v>
      </c>
      <c r="G1648" s="4" t="s">
        <v>25</v>
      </c>
      <c r="H1648" s="4" t="s">
        <v>37</v>
      </c>
      <c r="I1648" s="5">
        <v>44835</v>
      </c>
      <c r="J1648" s="6">
        <v>0</v>
      </c>
      <c r="K1648" s="6">
        <v>0</v>
      </c>
      <c r="L1648" s="6">
        <v>12.234999999999999</v>
      </c>
      <c r="M1648" s="6">
        <v>12.234999999999999</v>
      </c>
      <c r="N1648" s="6">
        <v>12.234999999999999</v>
      </c>
      <c r="O1648" s="6">
        <v>12.234999999999999</v>
      </c>
      <c r="P1648" s="6">
        <v>0</v>
      </c>
      <c r="Q1648" s="4" t="s">
        <v>26</v>
      </c>
      <c r="R1648" s="4">
        <v>0</v>
      </c>
      <c r="S1648" s="6">
        <v>0</v>
      </c>
      <c r="T1648" s="6">
        <v>66</v>
      </c>
      <c r="U1648" s="6">
        <v>110</v>
      </c>
      <c r="V1648" s="6">
        <f>IF(ISERROR(VLOOKUP($S$1648,'TAR FIN'!$A$1:$O$115,15,0)),0,VLOOKUP($S$1648,'TAR FIN'!$A$1:$O$115,15,0))</f>
        <v>0</v>
      </c>
      <c r="W1648" s="6">
        <f>IF(ISERROR(VLOOKUP($T$1648,'TAR FIN'!$A$1:$O$115,15,0)),0,VLOOKUP($T$1648,'TAR FIN'!$A$1:$O$115,15,0))</f>
        <v>351.65</v>
      </c>
      <c r="X1648" s="6">
        <f>IF(ISERROR(VLOOKUP($U$1648,'TAR FIN'!$A$1:$O$115,15,0)),0,VLOOKUP($U$1648,'TAR FIN'!$A$1:$O$115,15,0))</f>
        <v>168.06</v>
      </c>
      <c r="Y1648" s="6"/>
      <c r="Z1648" s="6">
        <f ca="1">('TUSD BE'!$AM$64+'TUSD BF'!$AM$64+'TUSD CVA'!$AM$64)*1</f>
        <v>391.10237276676656</v>
      </c>
      <c r="AA1648" s="6">
        <f>('TE BE'!$AB$47+'TE BF'!$AB$47+'TE CVA'!$AB$47)*1</f>
        <v>218.6854278594964</v>
      </c>
      <c r="AB1648" s="6">
        <f>$K$1648*$V$1648</f>
        <v>0</v>
      </c>
      <c r="AC1648" s="6">
        <f>$M$1648*$W$1648</f>
        <v>4302.4377499999991</v>
      </c>
      <c r="AD1648" s="6">
        <f>$O$1648*$X$1648</f>
        <v>2056.2141000000001</v>
      </c>
      <c r="AE1648" s="6">
        <f>$K$1648*$Y$1648</f>
        <v>0</v>
      </c>
      <c r="AF1648" s="6">
        <f ca="1">$M$1648*$Z$1648</f>
        <v>4785.1375308013885</v>
      </c>
      <c r="AG1648" s="6">
        <f>$O$1648*$AA$1648</f>
        <v>2675.6162098609384</v>
      </c>
    </row>
    <row r="1649" spans="1:33" ht="11.25" customHeight="1" x14ac:dyDescent="0.25">
      <c r="A1649" s="4" t="s">
        <v>30</v>
      </c>
      <c r="B1649" s="4" t="s">
        <v>39</v>
      </c>
      <c r="C1649" s="4" t="s">
        <v>35</v>
      </c>
      <c r="D1649" s="4" t="s">
        <v>45</v>
      </c>
      <c r="E1649" s="4" t="s">
        <v>25</v>
      </c>
      <c r="F1649" s="4" t="s">
        <v>25</v>
      </c>
      <c r="G1649" s="4" t="s">
        <v>25</v>
      </c>
      <c r="H1649" s="4" t="s">
        <v>37</v>
      </c>
      <c r="I1649" s="5">
        <v>44835</v>
      </c>
      <c r="J1649" s="6">
        <v>0</v>
      </c>
      <c r="K1649" s="6">
        <v>0</v>
      </c>
      <c r="L1649" s="6">
        <v>-3.0979999999999999</v>
      </c>
      <c r="M1649" s="6">
        <v>-3.0979999999999999</v>
      </c>
      <c r="N1649" s="6">
        <v>-3.0979999999999999</v>
      </c>
      <c r="O1649" s="6">
        <v>-3.0979999999999999</v>
      </c>
      <c r="P1649" s="6">
        <v>0</v>
      </c>
      <c r="Q1649" s="4" t="s">
        <v>26</v>
      </c>
      <c r="R1649" s="4">
        <v>0</v>
      </c>
      <c r="S1649" s="6">
        <v>0</v>
      </c>
      <c r="T1649" s="6">
        <v>66</v>
      </c>
      <c r="U1649" s="6">
        <v>110</v>
      </c>
      <c r="V1649" s="6">
        <f>IF(ISERROR(VLOOKUP($S$1649,'TAR FIN'!$A$1:$O$115,15,0)),0,VLOOKUP($S$1649,'TAR FIN'!$A$1:$O$115,15,0))</f>
        <v>0</v>
      </c>
      <c r="W1649" s="6">
        <f>IF(ISERROR(VLOOKUP($T$1649,'TAR FIN'!$A$1:$O$115,15,0)),0,VLOOKUP($T$1649,'TAR FIN'!$A$1:$O$115,15,0))</f>
        <v>351.65</v>
      </c>
      <c r="X1649" s="6">
        <f>IF(ISERROR(VLOOKUP($U$1649,'TAR FIN'!$A$1:$O$115,15,0)),0,VLOOKUP($U$1649,'TAR FIN'!$A$1:$O$115,15,0))</f>
        <v>168.06</v>
      </c>
      <c r="Y1649" s="6"/>
      <c r="Z1649" s="6">
        <f ca="1">('TUSD BE'!$AM$64+'TUSD BF'!$AM$64+'TUSD CVA'!$AM$64)*1</f>
        <v>391.10237276676656</v>
      </c>
      <c r="AA1649" s="6">
        <f>('TE BE'!$AB$47+'TE BF'!$AB$47+'TE CVA'!$AB$47)*1</f>
        <v>218.6854278594964</v>
      </c>
      <c r="AB1649" s="6">
        <f>$K$1649*$V$1649</f>
        <v>0</v>
      </c>
      <c r="AC1649" s="6">
        <f>$M$1649*$W$1649</f>
        <v>-1089.4116999999999</v>
      </c>
      <c r="AD1649" s="6">
        <f>$O$1649*$X$1649</f>
        <v>-520.64987999999994</v>
      </c>
      <c r="AE1649" s="6">
        <f>$K$1649*$Y$1649</f>
        <v>0</v>
      </c>
      <c r="AF1649" s="6">
        <f ca="1">$M$1649*$Z$1649</f>
        <v>-1211.6351508314428</v>
      </c>
      <c r="AG1649" s="6">
        <f>$O$1649*$AA$1649</f>
        <v>-677.48745550871979</v>
      </c>
    </row>
    <row r="1650" spans="1:33" ht="11.25" customHeight="1" x14ac:dyDescent="0.25">
      <c r="A1650" s="4" t="s">
        <v>59</v>
      </c>
      <c r="B1650" s="4" t="s">
        <v>39</v>
      </c>
      <c r="C1650" s="4" t="s">
        <v>35</v>
      </c>
      <c r="D1650" s="4" t="s">
        <v>45</v>
      </c>
      <c r="E1650" s="4" t="s">
        <v>25</v>
      </c>
      <c r="F1650" s="4" t="s">
        <v>25</v>
      </c>
      <c r="G1650" s="4" t="s">
        <v>25</v>
      </c>
      <c r="H1650" s="4" t="s">
        <v>37</v>
      </c>
      <c r="I1650" s="5">
        <v>44866</v>
      </c>
      <c r="J1650" s="6">
        <v>0</v>
      </c>
      <c r="K1650" s="6">
        <v>0</v>
      </c>
      <c r="L1650" s="6">
        <v>93.462000000000003</v>
      </c>
      <c r="M1650" s="6">
        <v>93.462000000000003</v>
      </c>
      <c r="N1650" s="6">
        <v>93.462000000000003</v>
      </c>
      <c r="O1650" s="6">
        <v>93.462000000000003</v>
      </c>
      <c r="P1650" s="6">
        <v>0</v>
      </c>
      <c r="Q1650" s="4" t="s">
        <v>26</v>
      </c>
      <c r="R1650" s="4">
        <v>0</v>
      </c>
      <c r="S1650" s="6">
        <v>0</v>
      </c>
      <c r="T1650" s="6">
        <v>66</v>
      </c>
      <c r="U1650" s="6">
        <v>110</v>
      </c>
      <c r="V1650" s="6">
        <f>IF(ISERROR(VLOOKUP($S$1650,'TAR FIN'!$A$1:$O$115,15,0)),0,VLOOKUP($S$1650,'TAR FIN'!$A$1:$O$115,15,0))</f>
        <v>0</v>
      </c>
      <c r="W1650" s="6">
        <f>IF(ISERROR(VLOOKUP($T$1650,'TAR FIN'!$A$1:$O$115,15,0)),0,VLOOKUP($T$1650,'TAR FIN'!$A$1:$O$115,15,0))</f>
        <v>351.65</v>
      </c>
      <c r="X1650" s="6">
        <f>IF(ISERROR(VLOOKUP($U$1650,'TAR FIN'!$A$1:$O$115,15,0)),0,VLOOKUP($U$1650,'TAR FIN'!$A$1:$O$115,15,0))</f>
        <v>168.06</v>
      </c>
      <c r="Y1650" s="6"/>
      <c r="Z1650" s="6">
        <f ca="1">('TUSD BE'!$AM$64+'TUSD BF'!$AM$64+'TUSD CVA'!$AM$64)*1</f>
        <v>391.10237276676656</v>
      </c>
      <c r="AA1650" s="6">
        <f>('TE BE'!$AB$47+'TE BF'!$AB$47+'TE CVA'!$AB$47)*1</f>
        <v>218.6854278594964</v>
      </c>
      <c r="AB1650" s="6">
        <f>$K$1650*$V$1650</f>
        <v>0</v>
      </c>
      <c r="AC1650" s="6">
        <f>$M$1650*$W$1650</f>
        <v>32865.912299999996</v>
      </c>
      <c r="AD1650" s="6">
        <f>$O$1650*$X$1650</f>
        <v>15707.22372</v>
      </c>
      <c r="AE1650" s="6">
        <f>$K$1650*$Y$1650</f>
        <v>0</v>
      </c>
      <c r="AF1650" s="6">
        <f ca="1">$M$1650*$Z$1650</f>
        <v>36553.209963527537</v>
      </c>
      <c r="AG1650" s="6">
        <f>$O$1650*$AA$1650</f>
        <v>20438.777458604254</v>
      </c>
    </row>
    <row r="1651" spans="1:33" ht="11.25" customHeight="1" x14ac:dyDescent="0.25">
      <c r="A1651" s="4" t="s">
        <v>59</v>
      </c>
      <c r="B1651" s="4" t="s">
        <v>39</v>
      </c>
      <c r="C1651" s="4" t="s">
        <v>35</v>
      </c>
      <c r="D1651" s="4" t="s">
        <v>45</v>
      </c>
      <c r="E1651" s="4" t="s">
        <v>25</v>
      </c>
      <c r="F1651" s="4" t="s">
        <v>25</v>
      </c>
      <c r="G1651" s="4" t="s">
        <v>25</v>
      </c>
      <c r="H1651" s="4" t="s">
        <v>37</v>
      </c>
      <c r="I1651" s="5">
        <v>44866</v>
      </c>
      <c r="J1651" s="6">
        <v>0</v>
      </c>
      <c r="K1651" s="6">
        <v>0</v>
      </c>
      <c r="L1651" s="6">
        <v>12.234999999999999</v>
      </c>
      <c r="M1651" s="6">
        <v>12.234999999999999</v>
      </c>
      <c r="N1651" s="6">
        <v>12.234999999999999</v>
      </c>
      <c r="O1651" s="6">
        <v>12.234999999999999</v>
      </c>
      <c r="P1651" s="6">
        <v>0</v>
      </c>
      <c r="Q1651" s="4" t="s">
        <v>26</v>
      </c>
      <c r="R1651" s="4">
        <v>0</v>
      </c>
      <c r="S1651" s="6">
        <v>0</v>
      </c>
      <c r="T1651" s="6">
        <v>66</v>
      </c>
      <c r="U1651" s="6">
        <v>110</v>
      </c>
      <c r="V1651" s="6">
        <f>IF(ISERROR(VLOOKUP($S$1651,'TAR FIN'!$A$1:$O$115,15,0)),0,VLOOKUP($S$1651,'TAR FIN'!$A$1:$O$115,15,0))</f>
        <v>0</v>
      </c>
      <c r="W1651" s="6">
        <f>IF(ISERROR(VLOOKUP($T$1651,'TAR FIN'!$A$1:$O$115,15,0)),0,VLOOKUP($T$1651,'TAR FIN'!$A$1:$O$115,15,0))</f>
        <v>351.65</v>
      </c>
      <c r="X1651" s="6">
        <f>IF(ISERROR(VLOOKUP($U$1651,'TAR FIN'!$A$1:$O$115,15,0)),0,VLOOKUP($U$1651,'TAR FIN'!$A$1:$O$115,15,0))</f>
        <v>168.06</v>
      </c>
      <c r="Y1651" s="6"/>
      <c r="Z1651" s="6">
        <f ca="1">('TUSD BE'!$AM$64+'TUSD BF'!$AM$64+'TUSD CVA'!$AM$64)*1</f>
        <v>391.10237276676656</v>
      </c>
      <c r="AA1651" s="6">
        <f>('TE BE'!$AB$47+'TE BF'!$AB$47+'TE CVA'!$AB$47)*1</f>
        <v>218.6854278594964</v>
      </c>
      <c r="AB1651" s="6">
        <f>$K$1651*$V$1651</f>
        <v>0</v>
      </c>
      <c r="AC1651" s="6">
        <f>$M$1651*$W$1651</f>
        <v>4302.4377499999991</v>
      </c>
      <c r="AD1651" s="6">
        <f>$O$1651*$X$1651</f>
        <v>2056.2141000000001</v>
      </c>
      <c r="AE1651" s="6">
        <f>$K$1651*$Y$1651</f>
        <v>0</v>
      </c>
      <c r="AF1651" s="6">
        <f ca="1">$M$1651*$Z$1651</f>
        <v>4785.1375308013885</v>
      </c>
      <c r="AG1651" s="6">
        <f>$O$1651*$AA$1651</f>
        <v>2675.6162098609384</v>
      </c>
    </row>
    <row r="1652" spans="1:33" ht="11.25" customHeight="1" x14ac:dyDescent="0.25">
      <c r="A1652" s="4" t="s">
        <v>59</v>
      </c>
      <c r="B1652" s="4" t="s">
        <v>39</v>
      </c>
      <c r="C1652" s="4" t="s">
        <v>35</v>
      </c>
      <c r="D1652" s="4" t="s">
        <v>45</v>
      </c>
      <c r="E1652" s="4" t="s">
        <v>25</v>
      </c>
      <c r="F1652" s="4" t="s">
        <v>25</v>
      </c>
      <c r="G1652" s="4" t="s">
        <v>25</v>
      </c>
      <c r="H1652" s="4" t="s">
        <v>37</v>
      </c>
      <c r="I1652" s="5">
        <v>44866</v>
      </c>
      <c r="J1652" s="6">
        <v>0</v>
      </c>
      <c r="K1652" s="6">
        <v>0</v>
      </c>
      <c r="L1652" s="6">
        <v>-3.0979999999999999</v>
      </c>
      <c r="M1652" s="6">
        <v>-3.0979999999999999</v>
      </c>
      <c r="N1652" s="6">
        <v>-3.0979999999999999</v>
      </c>
      <c r="O1652" s="6">
        <v>-3.0979999999999999</v>
      </c>
      <c r="P1652" s="6">
        <v>0</v>
      </c>
      <c r="Q1652" s="4" t="s">
        <v>26</v>
      </c>
      <c r="R1652" s="4">
        <v>0</v>
      </c>
      <c r="S1652" s="6">
        <v>0</v>
      </c>
      <c r="T1652" s="6">
        <v>66</v>
      </c>
      <c r="U1652" s="6">
        <v>110</v>
      </c>
      <c r="V1652" s="6">
        <f>IF(ISERROR(VLOOKUP($S$1652,'TAR FIN'!$A$1:$O$115,15,0)),0,VLOOKUP($S$1652,'TAR FIN'!$A$1:$O$115,15,0))</f>
        <v>0</v>
      </c>
      <c r="W1652" s="6">
        <f>IF(ISERROR(VLOOKUP($T$1652,'TAR FIN'!$A$1:$O$115,15,0)),0,VLOOKUP($T$1652,'TAR FIN'!$A$1:$O$115,15,0))</f>
        <v>351.65</v>
      </c>
      <c r="X1652" s="6">
        <f>IF(ISERROR(VLOOKUP($U$1652,'TAR FIN'!$A$1:$O$115,15,0)),0,VLOOKUP($U$1652,'TAR FIN'!$A$1:$O$115,15,0))</f>
        <v>168.06</v>
      </c>
      <c r="Y1652" s="6"/>
      <c r="Z1652" s="6">
        <f ca="1">('TUSD BE'!$AM$64+'TUSD BF'!$AM$64+'TUSD CVA'!$AM$64)*1</f>
        <v>391.10237276676656</v>
      </c>
      <c r="AA1652" s="6">
        <f>('TE BE'!$AB$47+'TE BF'!$AB$47+'TE CVA'!$AB$47)*1</f>
        <v>218.6854278594964</v>
      </c>
      <c r="AB1652" s="6">
        <f>$K$1652*$V$1652</f>
        <v>0</v>
      </c>
      <c r="AC1652" s="6">
        <f>$M$1652*$W$1652</f>
        <v>-1089.4116999999999</v>
      </c>
      <c r="AD1652" s="6">
        <f>$O$1652*$X$1652</f>
        <v>-520.64987999999994</v>
      </c>
      <c r="AE1652" s="6">
        <f>$K$1652*$Y$1652</f>
        <v>0</v>
      </c>
      <c r="AF1652" s="6">
        <f ca="1">$M$1652*$Z$1652</f>
        <v>-1211.6351508314428</v>
      </c>
      <c r="AG1652" s="6">
        <f>$O$1652*$AA$1652</f>
        <v>-677.48745550871979</v>
      </c>
    </row>
    <row r="1653" spans="1:33" ht="11.25" customHeight="1" x14ac:dyDescent="0.25">
      <c r="A1653" s="4" t="s">
        <v>21</v>
      </c>
      <c r="B1653" s="4" t="s">
        <v>39</v>
      </c>
      <c r="C1653" s="4" t="s">
        <v>35</v>
      </c>
      <c r="D1653" s="4" t="s">
        <v>45</v>
      </c>
      <c r="E1653" s="4" t="s">
        <v>25</v>
      </c>
      <c r="F1653" s="4" t="s">
        <v>25</v>
      </c>
      <c r="G1653" s="4" t="s">
        <v>25</v>
      </c>
      <c r="H1653" s="4" t="s">
        <v>38</v>
      </c>
      <c r="I1653" s="5">
        <v>44531</v>
      </c>
      <c r="J1653" s="6">
        <v>0</v>
      </c>
      <c r="K1653" s="6">
        <v>0</v>
      </c>
      <c r="L1653" s="6">
        <v>2.33</v>
      </c>
      <c r="M1653" s="6">
        <v>2.33</v>
      </c>
      <c r="N1653" s="6">
        <v>2.33</v>
      </c>
      <c r="O1653" s="6">
        <v>2.33</v>
      </c>
      <c r="P1653" s="6">
        <v>0</v>
      </c>
      <c r="Q1653" s="4" t="s">
        <v>26</v>
      </c>
      <c r="R1653" s="4">
        <v>0</v>
      </c>
      <c r="S1653" s="6">
        <v>0</v>
      </c>
      <c r="T1653" s="6">
        <v>65</v>
      </c>
      <c r="U1653" s="6">
        <v>109</v>
      </c>
      <c r="V1653" s="6">
        <f>IF(ISERROR(VLOOKUP($S$1653,'TAR FIN'!$A$1:$O$115,15,0)),0,VLOOKUP($S$1653,'TAR FIN'!$A$1:$O$115,15,0))</f>
        <v>0</v>
      </c>
      <c r="W1653" s="6">
        <f>IF(ISERROR(VLOOKUP($T$1653,'TAR FIN'!$A$1:$O$115,15,0)),0,VLOOKUP($T$1653,'TAR FIN'!$A$1:$O$115,15,0))</f>
        <v>827.45</v>
      </c>
      <c r="X1653" s="6">
        <f>IF(ISERROR(VLOOKUP($U$1653,'TAR FIN'!$A$1:$O$115,15,0)),0,VLOOKUP($U$1653,'TAR FIN'!$A$1:$O$115,15,0))</f>
        <v>168.06</v>
      </c>
      <c r="Y1653" s="6"/>
      <c r="Z1653" s="6">
        <f ca="1">('TUSD BE'!$AM$63+'TUSD BF'!$AM$63+'TUSD CVA'!$AM$63)*1</f>
        <v>863.35061643044799</v>
      </c>
      <c r="AA1653" s="6">
        <f>('TE BE'!$AB$46+'TE BF'!$AB$46+'TE CVA'!$AB$46)*1</f>
        <v>218.6854278594964</v>
      </c>
      <c r="AB1653" s="6">
        <f>$K$1653*$V$1653</f>
        <v>0</v>
      </c>
      <c r="AC1653" s="6">
        <f>$M$1653*$W$1653</f>
        <v>1927.9585000000002</v>
      </c>
      <c r="AD1653" s="6">
        <f>$O$1653*$X$1653</f>
        <v>391.57980000000003</v>
      </c>
      <c r="AE1653" s="6">
        <f>$K$1653*$Y$1653</f>
        <v>0</v>
      </c>
      <c r="AF1653" s="6">
        <f ca="1">$M$1653*$Z$1653</f>
        <v>2011.6069362829439</v>
      </c>
      <c r="AG1653" s="6">
        <f>$O$1653*$AA$1653</f>
        <v>509.53704691262664</v>
      </c>
    </row>
    <row r="1654" spans="1:33" ht="11.25" customHeight="1" x14ac:dyDescent="0.25">
      <c r="A1654" s="4" t="s">
        <v>27</v>
      </c>
      <c r="B1654" s="4" t="s">
        <v>39</v>
      </c>
      <c r="C1654" s="4" t="s">
        <v>35</v>
      </c>
      <c r="D1654" s="4" t="s">
        <v>45</v>
      </c>
      <c r="E1654" s="4" t="s">
        <v>25</v>
      </c>
      <c r="F1654" s="4" t="s">
        <v>25</v>
      </c>
      <c r="G1654" s="4" t="s">
        <v>25</v>
      </c>
      <c r="H1654" s="4" t="s">
        <v>38</v>
      </c>
      <c r="I1654" s="5">
        <v>44531</v>
      </c>
      <c r="J1654" s="6">
        <v>0</v>
      </c>
      <c r="K1654" s="6">
        <v>0</v>
      </c>
      <c r="L1654" s="6">
        <v>0.28000000000000003</v>
      </c>
      <c r="M1654" s="6">
        <v>0.28000000000000003</v>
      </c>
      <c r="N1654" s="6">
        <v>0.28000000000000003</v>
      </c>
      <c r="O1654" s="6">
        <v>0.28000000000000003</v>
      </c>
      <c r="P1654" s="6">
        <v>0</v>
      </c>
      <c r="Q1654" s="4" t="s">
        <v>26</v>
      </c>
      <c r="R1654" s="4">
        <v>0</v>
      </c>
      <c r="S1654" s="6">
        <v>0</v>
      </c>
      <c r="T1654" s="6">
        <v>65</v>
      </c>
      <c r="U1654" s="6">
        <v>109</v>
      </c>
      <c r="V1654" s="6">
        <f>IF(ISERROR(VLOOKUP($S$1654,'TAR FIN'!$A$1:$O$115,15,0)),0,VLOOKUP($S$1654,'TAR FIN'!$A$1:$O$115,15,0))</f>
        <v>0</v>
      </c>
      <c r="W1654" s="6">
        <f>IF(ISERROR(VLOOKUP($T$1654,'TAR FIN'!$A$1:$O$115,15,0)),0,VLOOKUP($T$1654,'TAR FIN'!$A$1:$O$115,15,0))</f>
        <v>827.45</v>
      </c>
      <c r="X1654" s="6">
        <f>IF(ISERROR(VLOOKUP($U$1654,'TAR FIN'!$A$1:$O$115,15,0)),0,VLOOKUP($U$1654,'TAR FIN'!$A$1:$O$115,15,0))</f>
        <v>168.06</v>
      </c>
      <c r="Y1654" s="6"/>
      <c r="Z1654" s="6">
        <f ca="1">('TUSD BE'!$AM$63+'TUSD BF'!$AM$63+'TUSD CVA'!$AM$63)*1</f>
        <v>863.35061643044799</v>
      </c>
      <c r="AA1654" s="6">
        <f>('TE BE'!$AB$46+'TE BF'!$AB$46+'TE CVA'!$AB$46)*1</f>
        <v>218.6854278594964</v>
      </c>
      <c r="AB1654" s="6">
        <f>$K$1654*$V$1654</f>
        <v>0</v>
      </c>
      <c r="AC1654" s="6">
        <f>$M$1654*$W$1654</f>
        <v>231.68600000000004</v>
      </c>
      <c r="AD1654" s="6">
        <f>$O$1654*$X$1654</f>
        <v>47.056800000000003</v>
      </c>
      <c r="AE1654" s="6">
        <f>$K$1654*$Y$1654</f>
        <v>0</v>
      </c>
      <c r="AF1654" s="6">
        <f ca="1">$M$1654*$Z$1654</f>
        <v>241.73817260052544</v>
      </c>
      <c r="AG1654" s="6">
        <f>$O$1654*$AA$1654</f>
        <v>61.231919800659</v>
      </c>
    </row>
    <row r="1655" spans="1:33" ht="11.25" customHeight="1" x14ac:dyDescent="0.25">
      <c r="A1655" s="4" t="s">
        <v>28</v>
      </c>
      <c r="B1655" s="4" t="s">
        <v>39</v>
      </c>
      <c r="C1655" s="4" t="s">
        <v>35</v>
      </c>
      <c r="D1655" s="4" t="s">
        <v>45</v>
      </c>
      <c r="E1655" s="4" t="s">
        <v>25</v>
      </c>
      <c r="F1655" s="4" t="s">
        <v>25</v>
      </c>
      <c r="G1655" s="4" t="s">
        <v>25</v>
      </c>
      <c r="H1655" s="4" t="s">
        <v>38</v>
      </c>
      <c r="I1655" s="5">
        <v>44531</v>
      </c>
      <c r="J1655" s="6">
        <v>0</v>
      </c>
      <c r="K1655" s="6">
        <v>0</v>
      </c>
      <c r="L1655" s="6">
        <v>0.623</v>
      </c>
      <c r="M1655" s="6">
        <v>0.623</v>
      </c>
      <c r="N1655" s="6">
        <v>0.623</v>
      </c>
      <c r="O1655" s="6">
        <v>0.623</v>
      </c>
      <c r="P1655" s="6">
        <v>0</v>
      </c>
      <c r="Q1655" s="4" t="s">
        <v>26</v>
      </c>
      <c r="R1655" s="4">
        <v>0</v>
      </c>
      <c r="S1655" s="6">
        <v>0</v>
      </c>
      <c r="T1655" s="6">
        <v>65</v>
      </c>
      <c r="U1655" s="6">
        <v>109</v>
      </c>
      <c r="V1655" s="6">
        <f>IF(ISERROR(VLOOKUP($S$1655,'TAR FIN'!$A$1:$O$115,15,0)),0,VLOOKUP($S$1655,'TAR FIN'!$A$1:$O$115,15,0))</f>
        <v>0</v>
      </c>
      <c r="W1655" s="6">
        <f>IF(ISERROR(VLOOKUP($T$1655,'TAR FIN'!$A$1:$O$115,15,0)),0,VLOOKUP($T$1655,'TAR FIN'!$A$1:$O$115,15,0))</f>
        <v>827.45</v>
      </c>
      <c r="X1655" s="6">
        <f>IF(ISERROR(VLOOKUP($U$1655,'TAR FIN'!$A$1:$O$115,15,0)),0,VLOOKUP($U$1655,'TAR FIN'!$A$1:$O$115,15,0))</f>
        <v>168.06</v>
      </c>
      <c r="Y1655" s="6"/>
      <c r="Z1655" s="6">
        <f ca="1">('TUSD BE'!$AM$63+'TUSD BF'!$AM$63+'TUSD CVA'!$AM$63)*1</f>
        <v>863.35061643044799</v>
      </c>
      <c r="AA1655" s="6">
        <f>('TE BE'!$AB$46+'TE BF'!$AB$46+'TE CVA'!$AB$46)*1</f>
        <v>218.6854278594964</v>
      </c>
      <c r="AB1655" s="6">
        <f>$K$1655*$V$1655</f>
        <v>0</v>
      </c>
      <c r="AC1655" s="6">
        <f>$M$1655*$W$1655</f>
        <v>515.50135</v>
      </c>
      <c r="AD1655" s="6">
        <f>$O$1655*$X$1655</f>
        <v>104.70138</v>
      </c>
      <c r="AE1655" s="6">
        <f>$K$1655*$Y$1655</f>
        <v>0</v>
      </c>
      <c r="AF1655" s="6">
        <f ca="1">$M$1655*$Z$1655</f>
        <v>537.86743403616913</v>
      </c>
      <c r="AG1655" s="6">
        <f>$O$1655*$AA$1655</f>
        <v>136.24102155646625</v>
      </c>
    </row>
    <row r="1656" spans="1:33" ht="11.25" customHeight="1" x14ac:dyDescent="0.25">
      <c r="A1656" s="4" t="s">
        <v>30</v>
      </c>
      <c r="B1656" s="4" t="s">
        <v>39</v>
      </c>
      <c r="C1656" s="4" t="s">
        <v>35</v>
      </c>
      <c r="D1656" s="4" t="s">
        <v>45</v>
      </c>
      <c r="E1656" s="4" t="s">
        <v>25</v>
      </c>
      <c r="F1656" s="4" t="s">
        <v>25</v>
      </c>
      <c r="G1656" s="4" t="s">
        <v>25</v>
      </c>
      <c r="H1656" s="4" t="s">
        <v>38</v>
      </c>
      <c r="I1656" s="5">
        <v>44531</v>
      </c>
      <c r="J1656" s="6">
        <v>0</v>
      </c>
      <c r="K1656" s="6">
        <v>0</v>
      </c>
      <c r="L1656" s="6">
        <v>5.7000000000000002E-2</v>
      </c>
      <c r="M1656" s="6">
        <v>5.7000000000000002E-2</v>
      </c>
      <c r="N1656" s="6">
        <v>5.7000000000000002E-2</v>
      </c>
      <c r="O1656" s="6">
        <v>5.7000000000000002E-2</v>
      </c>
      <c r="P1656" s="6">
        <v>0</v>
      </c>
      <c r="Q1656" s="4" t="s">
        <v>26</v>
      </c>
      <c r="R1656" s="4">
        <v>0</v>
      </c>
      <c r="S1656" s="6">
        <v>0</v>
      </c>
      <c r="T1656" s="6">
        <v>65</v>
      </c>
      <c r="U1656" s="6">
        <v>109</v>
      </c>
      <c r="V1656" s="6">
        <f>IF(ISERROR(VLOOKUP($S$1656,'TAR FIN'!$A$1:$O$115,15,0)),0,VLOOKUP($S$1656,'TAR FIN'!$A$1:$O$115,15,0))</f>
        <v>0</v>
      </c>
      <c r="W1656" s="6">
        <f>IF(ISERROR(VLOOKUP($T$1656,'TAR FIN'!$A$1:$O$115,15,0)),0,VLOOKUP($T$1656,'TAR FIN'!$A$1:$O$115,15,0))</f>
        <v>827.45</v>
      </c>
      <c r="X1656" s="6">
        <f>IF(ISERROR(VLOOKUP($U$1656,'TAR FIN'!$A$1:$O$115,15,0)),0,VLOOKUP($U$1656,'TAR FIN'!$A$1:$O$115,15,0))</f>
        <v>168.06</v>
      </c>
      <c r="Y1656" s="6"/>
      <c r="Z1656" s="6">
        <f ca="1">('TUSD BE'!$AM$63+'TUSD BF'!$AM$63+'TUSD CVA'!$AM$63)*1</f>
        <v>863.35061643044799</v>
      </c>
      <c r="AA1656" s="6">
        <f>('TE BE'!$AB$46+'TE BF'!$AB$46+'TE CVA'!$AB$46)*1</f>
        <v>218.6854278594964</v>
      </c>
      <c r="AB1656" s="6">
        <f>$K$1656*$V$1656</f>
        <v>0</v>
      </c>
      <c r="AC1656" s="6">
        <f>$M$1656*$W$1656</f>
        <v>47.164650000000002</v>
      </c>
      <c r="AD1656" s="6">
        <f>$O$1656*$X$1656</f>
        <v>9.5794200000000007</v>
      </c>
      <c r="AE1656" s="6">
        <f>$K$1656*$Y$1656</f>
        <v>0</v>
      </c>
      <c r="AF1656" s="6">
        <f ca="1">$M$1656*$Z$1656</f>
        <v>49.210985136535534</v>
      </c>
      <c r="AG1656" s="6">
        <f>$O$1656*$AA$1656</f>
        <v>12.465069387991296</v>
      </c>
    </row>
    <row r="1657" spans="1:33" ht="11.25" customHeight="1" x14ac:dyDescent="0.25">
      <c r="A1657" s="4" t="s">
        <v>21</v>
      </c>
      <c r="B1657" s="4" t="s">
        <v>39</v>
      </c>
      <c r="C1657" s="4" t="s">
        <v>35</v>
      </c>
      <c r="D1657" s="4" t="s">
        <v>45</v>
      </c>
      <c r="E1657" s="4" t="s">
        <v>25</v>
      </c>
      <c r="F1657" s="4" t="s">
        <v>25</v>
      </c>
      <c r="G1657" s="4" t="s">
        <v>25</v>
      </c>
      <c r="H1657" s="4" t="s">
        <v>38</v>
      </c>
      <c r="I1657" s="5">
        <v>44562</v>
      </c>
      <c r="J1657" s="6">
        <v>0</v>
      </c>
      <c r="K1657" s="6">
        <v>0</v>
      </c>
      <c r="L1657" s="6">
        <v>2.181</v>
      </c>
      <c r="M1657" s="6">
        <v>2.181</v>
      </c>
      <c r="N1657" s="6">
        <v>2.181</v>
      </c>
      <c r="O1657" s="6">
        <v>2.181</v>
      </c>
      <c r="P1657" s="6">
        <v>0</v>
      </c>
      <c r="Q1657" s="4" t="s">
        <v>26</v>
      </c>
      <c r="R1657" s="4">
        <v>0</v>
      </c>
      <c r="S1657" s="6">
        <v>0</v>
      </c>
      <c r="T1657" s="6">
        <v>65</v>
      </c>
      <c r="U1657" s="6">
        <v>109</v>
      </c>
      <c r="V1657" s="6">
        <f>IF(ISERROR(VLOOKUP($S$1657,'TAR FIN'!$A$1:$O$115,15,0)),0,VLOOKUP($S$1657,'TAR FIN'!$A$1:$O$115,15,0))</f>
        <v>0</v>
      </c>
      <c r="W1657" s="6">
        <f>IF(ISERROR(VLOOKUP($T$1657,'TAR FIN'!$A$1:$O$115,15,0)),0,VLOOKUP($T$1657,'TAR FIN'!$A$1:$O$115,15,0))</f>
        <v>827.45</v>
      </c>
      <c r="X1657" s="6">
        <f>IF(ISERROR(VLOOKUP($U$1657,'TAR FIN'!$A$1:$O$115,15,0)),0,VLOOKUP($U$1657,'TAR FIN'!$A$1:$O$115,15,0))</f>
        <v>168.06</v>
      </c>
      <c r="Y1657" s="6"/>
      <c r="Z1657" s="6">
        <f ca="1">('TUSD BE'!$AM$63+'TUSD BF'!$AM$63+'TUSD CVA'!$AM$63)*1</f>
        <v>863.35061643044799</v>
      </c>
      <c r="AA1657" s="6">
        <f>('TE BE'!$AB$46+'TE BF'!$AB$46+'TE CVA'!$AB$46)*1</f>
        <v>218.6854278594964</v>
      </c>
      <c r="AB1657" s="6">
        <f>$K$1657*$V$1657</f>
        <v>0</v>
      </c>
      <c r="AC1657" s="6">
        <f>$M$1657*$W$1657</f>
        <v>1804.6684500000001</v>
      </c>
      <c r="AD1657" s="6">
        <f>$O$1657*$X$1657</f>
        <v>366.53886</v>
      </c>
      <c r="AE1657" s="6">
        <f>$K$1657*$Y$1657</f>
        <v>0</v>
      </c>
      <c r="AF1657" s="6">
        <f ca="1">$M$1657*$Z$1657</f>
        <v>1882.9676944348071</v>
      </c>
      <c r="AG1657" s="6">
        <f>$O$1657*$AA$1657</f>
        <v>476.95291816156168</v>
      </c>
    </row>
    <row r="1658" spans="1:33" ht="11.25" customHeight="1" x14ac:dyDescent="0.25">
      <c r="A1658" s="4" t="s">
        <v>27</v>
      </c>
      <c r="B1658" s="4" t="s">
        <v>39</v>
      </c>
      <c r="C1658" s="4" t="s">
        <v>35</v>
      </c>
      <c r="D1658" s="4" t="s">
        <v>45</v>
      </c>
      <c r="E1658" s="4" t="s">
        <v>25</v>
      </c>
      <c r="F1658" s="4" t="s">
        <v>25</v>
      </c>
      <c r="G1658" s="4" t="s">
        <v>25</v>
      </c>
      <c r="H1658" s="4" t="s">
        <v>38</v>
      </c>
      <c r="I1658" s="5">
        <v>44562</v>
      </c>
      <c r="J1658" s="6">
        <v>0</v>
      </c>
      <c r="K1658" s="6">
        <v>0</v>
      </c>
      <c r="L1658" s="6">
        <v>-7.0999999999999994E-2</v>
      </c>
      <c r="M1658" s="6">
        <v>-7.0999999999999994E-2</v>
      </c>
      <c r="N1658" s="6">
        <v>-7.0999999999999994E-2</v>
      </c>
      <c r="O1658" s="6">
        <v>-7.0999999999999994E-2</v>
      </c>
      <c r="P1658" s="6">
        <v>0</v>
      </c>
      <c r="Q1658" s="4" t="s">
        <v>26</v>
      </c>
      <c r="R1658" s="4">
        <v>0</v>
      </c>
      <c r="S1658" s="6">
        <v>0</v>
      </c>
      <c r="T1658" s="6">
        <v>65</v>
      </c>
      <c r="U1658" s="6">
        <v>109</v>
      </c>
      <c r="V1658" s="6">
        <f>IF(ISERROR(VLOOKUP($S$1658,'TAR FIN'!$A$1:$O$115,15,0)),0,VLOOKUP($S$1658,'TAR FIN'!$A$1:$O$115,15,0))</f>
        <v>0</v>
      </c>
      <c r="W1658" s="6">
        <f>IF(ISERROR(VLOOKUP($T$1658,'TAR FIN'!$A$1:$O$115,15,0)),0,VLOOKUP($T$1658,'TAR FIN'!$A$1:$O$115,15,0))</f>
        <v>827.45</v>
      </c>
      <c r="X1658" s="6">
        <f>IF(ISERROR(VLOOKUP($U$1658,'TAR FIN'!$A$1:$O$115,15,0)),0,VLOOKUP($U$1658,'TAR FIN'!$A$1:$O$115,15,0))</f>
        <v>168.06</v>
      </c>
      <c r="Y1658" s="6"/>
      <c r="Z1658" s="6">
        <f ca="1">('TUSD BE'!$AM$63+'TUSD BF'!$AM$63+'TUSD CVA'!$AM$63)*1</f>
        <v>863.35061643044799</v>
      </c>
      <c r="AA1658" s="6">
        <f>('TE BE'!$AB$46+'TE BF'!$AB$46+'TE CVA'!$AB$46)*1</f>
        <v>218.6854278594964</v>
      </c>
      <c r="AB1658" s="6">
        <f>$K$1658*$V$1658</f>
        <v>0</v>
      </c>
      <c r="AC1658" s="6">
        <f>$M$1658*$W$1658</f>
        <v>-58.748950000000001</v>
      </c>
      <c r="AD1658" s="6">
        <f>$O$1658*$X$1658</f>
        <v>-11.932259999999999</v>
      </c>
      <c r="AE1658" s="6">
        <f>$K$1658*$Y$1658</f>
        <v>0</v>
      </c>
      <c r="AF1658" s="6">
        <f ca="1">$M$1658*$Z$1658</f>
        <v>-61.297893766561799</v>
      </c>
      <c r="AG1658" s="6">
        <f>$O$1658*$AA$1658</f>
        <v>-15.526665378024243</v>
      </c>
    </row>
    <row r="1659" spans="1:33" ht="11.25" customHeight="1" x14ac:dyDescent="0.25">
      <c r="A1659" s="4" t="s">
        <v>28</v>
      </c>
      <c r="B1659" s="4" t="s">
        <v>39</v>
      </c>
      <c r="C1659" s="4" t="s">
        <v>35</v>
      </c>
      <c r="D1659" s="4" t="s">
        <v>45</v>
      </c>
      <c r="E1659" s="4" t="s">
        <v>25</v>
      </c>
      <c r="F1659" s="4" t="s">
        <v>25</v>
      </c>
      <c r="G1659" s="4" t="s">
        <v>25</v>
      </c>
      <c r="H1659" s="4" t="s">
        <v>38</v>
      </c>
      <c r="I1659" s="5">
        <v>44562</v>
      </c>
      <c r="J1659" s="6">
        <v>0</v>
      </c>
      <c r="K1659" s="6">
        <v>0</v>
      </c>
      <c r="L1659" s="6">
        <v>0.61199999999999999</v>
      </c>
      <c r="M1659" s="6">
        <v>0.61199999999999999</v>
      </c>
      <c r="N1659" s="6">
        <v>0.61199999999999999</v>
      </c>
      <c r="O1659" s="6">
        <v>0.61199999999999999</v>
      </c>
      <c r="P1659" s="6">
        <v>0</v>
      </c>
      <c r="Q1659" s="4" t="s">
        <v>26</v>
      </c>
      <c r="R1659" s="4">
        <v>0</v>
      </c>
      <c r="S1659" s="6">
        <v>0</v>
      </c>
      <c r="T1659" s="6">
        <v>65</v>
      </c>
      <c r="U1659" s="6">
        <v>109</v>
      </c>
      <c r="V1659" s="6">
        <f>IF(ISERROR(VLOOKUP($S$1659,'TAR FIN'!$A$1:$O$115,15,0)),0,VLOOKUP($S$1659,'TAR FIN'!$A$1:$O$115,15,0))</f>
        <v>0</v>
      </c>
      <c r="W1659" s="6">
        <f>IF(ISERROR(VLOOKUP($T$1659,'TAR FIN'!$A$1:$O$115,15,0)),0,VLOOKUP($T$1659,'TAR FIN'!$A$1:$O$115,15,0))</f>
        <v>827.45</v>
      </c>
      <c r="X1659" s="6">
        <f>IF(ISERROR(VLOOKUP($U$1659,'TAR FIN'!$A$1:$O$115,15,0)),0,VLOOKUP($U$1659,'TAR FIN'!$A$1:$O$115,15,0))</f>
        <v>168.06</v>
      </c>
      <c r="Y1659" s="6"/>
      <c r="Z1659" s="6">
        <f ca="1">('TUSD BE'!$AM$63+'TUSD BF'!$AM$63+'TUSD CVA'!$AM$63)*1</f>
        <v>863.35061643044799</v>
      </c>
      <c r="AA1659" s="6">
        <f>('TE BE'!$AB$46+'TE BF'!$AB$46+'TE CVA'!$AB$46)*1</f>
        <v>218.6854278594964</v>
      </c>
      <c r="AB1659" s="6">
        <f>$K$1659*$V$1659</f>
        <v>0</v>
      </c>
      <c r="AC1659" s="6">
        <f>$M$1659*$W$1659</f>
        <v>506.39940000000001</v>
      </c>
      <c r="AD1659" s="6">
        <f>$O$1659*$X$1659</f>
        <v>102.85272000000001</v>
      </c>
      <c r="AE1659" s="6">
        <f>$K$1659*$Y$1659</f>
        <v>0</v>
      </c>
      <c r="AF1659" s="6">
        <f ca="1">$M$1659*$Z$1659</f>
        <v>528.37057725543411</v>
      </c>
      <c r="AG1659" s="6">
        <f>$O$1659*$AA$1659</f>
        <v>133.8354818500118</v>
      </c>
    </row>
    <row r="1660" spans="1:33" ht="11.25" customHeight="1" x14ac:dyDescent="0.25">
      <c r="A1660" s="4" t="s">
        <v>30</v>
      </c>
      <c r="B1660" s="4" t="s">
        <v>39</v>
      </c>
      <c r="C1660" s="4" t="s">
        <v>35</v>
      </c>
      <c r="D1660" s="4" t="s">
        <v>45</v>
      </c>
      <c r="E1660" s="4" t="s">
        <v>25</v>
      </c>
      <c r="F1660" s="4" t="s">
        <v>25</v>
      </c>
      <c r="G1660" s="4" t="s">
        <v>25</v>
      </c>
      <c r="H1660" s="4" t="s">
        <v>38</v>
      </c>
      <c r="I1660" s="5">
        <v>44562</v>
      </c>
      <c r="J1660" s="6">
        <v>0</v>
      </c>
      <c r="K1660" s="6">
        <v>0</v>
      </c>
      <c r="L1660" s="6">
        <v>4.8000000000000001E-2</v>
      </c>
      <c r="M1660" s="6">
        <v>4.8000000000000001E-2</v>
      </c>
      <c r="N1660" s="6">
        <v>4.8000000000000001E-2</v>
      </c>
      <c r="O1660" s="6">
        <v>4.8000000000000001E-2</v>
      </c>
      <c r="P1660" s="6">
        <v>0</v>
      </c>
      <c r="Q1660" s="4" t="s">
        <v>26</v>
      </c>
      <c r="R1660" s="4">
        <v>0</v>
      </c>
      <c r="S1660" s="6">
        <v>0</v>
      </c>
      <c r="T1660" s="6">
        <v>65</v>
      </c>
      <c r="U1660" s="6">
        <v>109</v>
      </c>
      <c r="V1660" s="6">
        <f>IF(ISERROR(VLOOKUP($S$1660,'TAR FIN'!$A$1:$O$115,15,0)),0,VLOOKUP($S$1660,'TAR FIN'!$A$1:$O$115,15,0))</f>
        <v>0</v>
      </c>
      <c r="W1660" s="6">
        <f>IF(ISERROR(VLOOKUP($T$1660,'TAR FIN'!$A$1:$O$115,15,0)),0,VLOOKUP($T$1660,'TAR FIN'!$A$1:$O$115,15,0))</f>
        <v>827.45</v>
      </c>
      <c r="X1660" s="6">
        <f>IF(ISERROR(VLOOKUP($U$1660,'TAR FIN'!$A$1:$O$115,15,0)),0,VLOOKUP($U$1660,'TAR FIN'!$A$1:$O$115,15,0))</f>
        <v>168.06</v>
      </c>
      <c r="Y1660" s="6"/>
      <c r="Z1660" s="6">
        <f ca="1">('TUSD BE'!$AM$63+'TUSD BF'!$AM$63+'TUSD CVA'!$AM$63)*1</f>
        <v>863.35061643044799</v>
      </c>
      <c r="AA1660" s="6">
        <f>('TE BE'!$AB$46+'TE BF'!$AB$46+'TE CVA'!$AB$46)*1</f>
        <v>218.6854278594964</v>
      </c>
      <c r="AB1660" s="6">
        <f>$K$1660*$V$1660</f>
        <v>0</v>
      </c>
      <c r="AC1660" s="6">
        <f>$M$1660*$W$1660</f>
        <v>39.717600000000004</v>
      </c>
      <c r="AD1660" s="6">
        <f>$O$1660*$X$1660</f>
        <v>8.0668800000000012</v>
      </c>
      <c r="AE1660" s="6">
        <f>$K$1660*$Y$1660</f>
        <v>0</v>
      </c>
      <c r="AF1660" s="6">
        <f ca="1">$M$1660*$Z$1660</f>
        <v>41.440829588661501</v>
      </c>
      <c r="AG1660" s="6">
        <f>$O$1660*$AA$1660</f>
        <v>10.496900537255828</v>
      </c>
    </row>
    <row r="1661" spans="1:33" ht="11.25" customHeight="1" x14ac:dyDescent="0.25">
      <c r="A1661" s="4" t="s">
        <v>21</v>
      </c>
      <c r="B1661" s="4" t="s">
        <v>39</v>
      </c>
      <c r="C1661" s="4" t="s">
        <v>35</v>
      </c>
      <c r="D1661" s="4" t="s">
        <v>45</v>
      </c>
      <c r="E1661" s="4" t="s">
        <v>25</v>
      </c>
      <c r="F1661" s="4" t="s">
        <v>25</v>
      </c>
      <c r="G1661" s="4" t="s">
        <v>25</v>
      </c>
      <c r="H1661" s="4" t="s">
        <v>38</v>
      </c>
      <c r="I1661" s="5">
        <v>44593</v>
      </c>
      <c r="J1661" s="6">
        <v>0</v>
      </c>
      <c r="K1661" s="6">
        <v>0</v>
      </c>
      <c r="L1661" s="6">
        <v>2.1339999999999999</v>
      </c>
      <c r="M1661" s="6">
        <v>2.1339999999999999</v>
      </c>
      <c r="N1661" s="6">
        <v>2.1339999999999999</v>
      </c>
      <c r="O1661" s="6">
        <v>2.1339999999999999</v>
      </c>
      <c r="P1661" s="6">
        <v>0</v>
      </c>
      <c r="Q1661" s="4" t="s">
        <v>26</v>
      </c>
      <c r="R1661" s="4">
        <v>0</v>
      </c>
      <c r="S1661" s="6">
        <v>0</v>
      </c>
      <c r="T1661" s="6">
        <v>65</v>
      </c>
      <c r="U1661" s="6">
        <v>109</v>
      </c>
      <c r="V1661" s="6">
        <f>IF(ISERROR(VLOOKUP($S$1661,'TAR FIN'!$A$1:$O$115,15,0)),0,VLOOKUP($S$1661,'TAR FIN'!$A$1:$O$115,15,0))</f>
        <v>0</v>
      </c>
      <c r="W1661" s="6">
        <f>IF(ISERROR(VLOOKUP($T$1661,'TAR FIN'!$A$1:$O$115,15,0)),0,VLOOKUP($T$1661,'TAR FIN'!$A$1:$O$115,15,0))</f>
        <v>827.45</v>
      </c>
      <c r="X1661" s="6">
        <f>IF(ISERROR(VLOOKUP($U$1661,'TAR FIN'!$A$1:$O$115,15,0)),0,VLOOKUP($U$1661,'TAR FIN'!$A$1:$O$115,15,0))</f>
        <v>168.06</v>
      </c>
      <c r="Y1661" s="6"/>
      <c r="Z1661" s="6">
        <f ca="1">('TUSD BE'!$AM$63+'TUSD BF'!$AM$63+'TUSD CVA'!$AM$63)*1</f>
        <v>863.35061643044799</v>
      </c>
      <c r="AA1661" s="6">
        <f>('TE BE'!$AB$46+'TE BF'!$AB$46+'TE CVA'!$AB$46)*1</f>
        <v>218.6854278594964</v>
      </c>
      <c r="AB1661" s="6">
        <f>$K$1661*$V$1661</f>
        <v>0</v>
      </c>
      <c r="AC1661" s="6">
        <f>$M$1661*$W$1661</f>
        <v>1765.7782999999999</v>
      </c>
      <c r="AD1661" s="6">
        <f>$O$1661*$X$1661</f>
        <v>358.64004</v>
      </c>
      <c r="AE1661" s="6">
        <f>$K$1661*$Y$1661</f>
        <v>0</v>
      </c>
      <c r="AF1661" s="6">
        <f ca="1">$M$1661*$Z$1661</f>
        <v>1842.390215462576</v>
      </c>
      <c r="AG1661" s="6">
        <f>$O$1661*$AA$1661</f>
        <v>466.67470305216528</v>
      </c>
    </row>
    <row r="1662" spans="1:33" ht="11.25" customHeight="1" x14ac:dyDescent="0.25">
      <c r="A1662" s="4" t="s">
        <v>28</v>
      </c>
      <c r="B1662" s="4" t="s">
        <v>39</v>
      </c>
      <c r="C1662" s="4" t="s">
        <v>35</v>
      </c>
      <c r="D1662" s="4" t="s">
        <v>45</v>
      </c>
      <c r="E1662" s="4" t="s">
        <v>25</v>
      </c>
      <c r="F1662" s="4" t="s">
        <v>25</v>
      </c>
      <c r="G1662" s="4" t="s">
        <v>25</v>
      </c>
      <c r="H1662" s="4" t="s">
        <v>38</v>
      </c>
      <c r="I1662" s="5">
        <v>44593</v>
      </c>
      <c r="J1662" s="6">
        <v>0</v>
      </c>
      <c r="K1662" s="6">
        <v>0</v>
      </c>
      <c r="L1662" s="6">
        <v>0.64500000000000002</v>
      </c>
      <c r="M1662" s="6">
        <v>0.64500000000000002</v>
      </c>
      <c r="N1662" s="6">
        <v>0.64500000000000002</v>
      </c>
      <c r="O1662" s="6">
        <v>0.64500000000000002</v>
      </c>
      <c r="P1662" s="6">
        <v>0</v>
      </c>
      <c r="Q1662" s="4" t="s">
        <v>26</v>
      </c>
      <c r="R1662" s="4">
        <v>0</v>
      </c>
      <c r="S1662" s="6">
        <v>0</v>
      </c>
      <c r="T1662" s="6">
        <v>65</v>
      </c>
      <c r="U1662" s="6">
        <v>109</v>
      </c>
      <c r="V1662" s="6">
        <f>IF(ISERROR(VLOOKUP($S$1662,'TAR FIN'!$A$1:$O$115,15,0)),0,VLOOKUP($S$1662,'TAR FIN'!$A$1:$O$115,15,0))</f>
        <v>0</v>
      </c>
      <c r="W1662" s="6">
        <f>IF(ISERROR(VLOOKUP($T$1662,'TAR FIN'!$A$1:$O$115,15,0)),0,VLOOKUP($T$1662,'TAR FIN'!$A$1:$O$115,15,0))</f>
        <v>827.45</v>
      </c>
      <c r="X1662" s="6">
        <f>IF(ISERROR(VLOOKUP($U$1662,'TAR FIN'!$A$1:$O$115,15,0)),0,VLOOKUP($U$1662,'TAR FIN'!$A$1:$O$115,15,0))</f>
        <v>168.06</v>
      </c>
      <c r="Y1662" s="6"/>
      <c r="Z1662" s="6">
        <f ca="1">('TUSD BE'!$AM$63+'TUSD BF'!$AM$63+'TUSD CVA'!$AM$63)*1</f>
        <v>863.35061643044799</v>
      </c>
      <c r="AA1662" s="6">
        <f>('TE BE'!$AB$46+'TE BF'!$AB$46+'TE CVA'!$AB$46)*1</f>
        <v>218.6854278594964</v>
      </c>
      <c r="AB1662" s="6">
        <f>$K$1662*$V$1662</f>
        <v>0</v>
      </c>
      <c r="AC1662" s="6">
        <f>$M$1662*$W$1662</f>
        <v>533.70525000000009</v>
      </c>
      <c r="AD1662" s="6">
        <f>$O$1662*$X$1662</f>
        <v>108.39870000000001</v>
      </c>
      <c r="AE1662" s="6">
        <f>$K$1662*$Y$1662</f>
        <v>0</v>
      </c>
      <c r="AF1662" s="6">
        <f ca="1">$M$1662*$Z$1662</f>
        <v>556.86114759763893</v>
      </c>
      <c r="AG1662" s="6">
        <f>$O$1662*$AA$1662</f>
        <v>141.05210096937518</v>
      </c>
    </row>
    <row r="1663" spans="1:33" ht="11.25" customHeight="1" x14ac:dyDescent="0.25">
      <c r="A1663" s="4" t="s">
        <v>30</v>
      </c>
      <c r="B1663" s="4" t="s">
        <v>39</v>
      </c>
      <c r="C1663" s="4" t="s">
        <v>35</v>
      </c>
      <c r="D1663" s="4" t="s">
        <v>45</v>
      </c>
      <c r="E1663" s="4" t="s">
        <v>25</v>
      </c>
      <c r="F1663" s="4" t="s">
        <v>25</v>
      </c>
      <c r="G1663" s="4" t="s">
        <v>25</v>
      </c>
      <c r="H1663" s="4" t="s">
        <v>38</v>
      </c>
      <c r="I1663" s="5">
        <v>44593</v>
      </c>
      <c r="J1663" s="6">
        <v>0</v>
      </c>
      <c r="K1663" s="6">
        <v>0</v>
      </c>
      <c r="L1663" s="6">
        <v>4.2999999999999997E-2</v>
      </c>
      <c r="M1663" s="6">
        <v>4.2999999999999997E-2</v>
      </c>
      <c r="N1663" s="6">
        <v>4.2999999999999997E-2</v>
      </c>
      <c r="O1663" s="6">
        <v>4.2999999999999997E-2</v>
      </c>
      <c r="P1663" s="6">
        <v>0</v>
      </c>
      <c r="Q1663" s="4" t="s">
        <v>26</v>
      </c>
      <c r="R1663" s="4">
        <v>0</v>
      </c>
      <c r="S1663" s="6">
        <v>0</v>
      </c>
      <c r="T1663" s="6">
        <v>65</v>
      </c>
      <c r="U1663" s="6">
        <v>109</v>
      </c>
      <c r="V1663" s="6">
        <f>IF(ISERROR(VLOOKUP($S$1663,'TAR FIN'!$A$1:$O$115,15,0)),0,VLOOKUP($S$1663,'TAR FIN'!$A$1:$O$115,15,0))</f>
        <v>0</v>
      </c>
      <c r="W1663" s="6">
        <f>IF(ISERROR(VLOOKUP($T$1663,'TAR FIN'!$A$1:$O$115,15,0)),0,VLOOKUP($T$1663,'TAR FIN'!$A$1:$O$115,15,0))</f>
        <v>827.45</v>
      </c>
      <c r="X1663" s="6">
        <f>IF(ISERROR(VLOOKUP($U$1663,'TAR FIN'!$A$1:$O$115,15,0)),0,VLOOKUP($U$1663,'TAR FIN'!$A$1:$O$115,15,0))</f>
        <v>168.06</v>
      </c>
      <c r="Y1663" s="6"/>
      <c r="Z1663" s="6">
        <f ca="1">('TUSD BE'!$AM$63+'TUSD BF'!$AM$63+'TUSD CVA'!$AM$63)*1</f>
        <v>863.35061643044799</v>
      </c>
      <c r="AA1663" s="6">
        <f>('TE BE'!$AB$46+'TE BF'!$AB$46+'TE CVA'!$AB$46)*1</f>
        <v>218.6854278594964</v>
      </c>
      <c r="AB1663" s="6">
        <f>$K$1663*$V$1663</f>
        <v>0</v>
      </c>
      <c r="AC1663" s="6">
        <f>$M$1663*$W$1663</f>
        <v>35.580349999999996</v>
      </c>
      <c r="AD1663" s="6">
        <f>$O$1663*$X$1663</f>
        <v>7.2265799999999993</v>
      </c>
      <c r="AE1663" s="6">
        <f>$K$1663*$Y$1663</f>
        <v>0</v>
      </c>
      <c r="AF1663" s="6">
        <f ca="1">$M$1663*$Z$1663</f>
        <v>37.124076506509262</v>
      </c>
      <c r="AG1663" s="6">
        <f>$O$1663*$AA$1663</f>
        <v>9.4034733979583436</v>
      </c>
    </row>
    <row r="1664" spans="1:33" ht="11.25" customHeight="1" x14ac:dyDescent="0.25">
      <c r="A1664" s="4" t="s">
        <v>21</v>
      </c>
      <c r="B1664" s="4" t="s">
        <v>39</v>
      </c>
      <c r="C1664" s="4" t="s">
        <v>35</v>
      </c>
      <c r="D1664" s="4" t="s">
        <v>45</v>
      </c>
      <c r="E1664" s="4" t="s">
        <v>25</v>
      </c>
      <c r="F1664" s="4" t="s">
        <v>25</v>
      </c>
      <c r="G1664" s="4" t="s">
        <v>25</v>
      </c>
      <c r="H1664" s="4" t="s">
        <v>38</v>
      </c>
      <c r="I1664" s="5">
        <v>44621</v>
      </c>
      <c r="J1664" s="6">
        <v>0</v>
      </c>
      <c r="K1664" s="6">
        <v>0</v>
      </c>
      <c r="L1664" s="6">
        <v>1.7390000000000001</v>
      </c>
      <c r="M1664" s="6">
        <v>1.7390000000000001</v>
      </c>
      <c r="N1664" s="6">
        <v>1.7390000000000001</v>
      </c>
      <c r="O1664" s="6">
        <v>1.7390000000000001</v>
      </c>
      <c r="P1664" s="6">
        <v>0</v>
      </c>
      <c r="Q1664" s="4" t="s">
        <v>26</v>
      </c>
      <c r="R1664" s="4">
        <v>0</v>
      </c>
      <c r="S1664" s="6">
        <v>0</v>
      </c>
      <c r="T1664" s="6">
        <v>65</v>
      </c>
      <c r="U1664" s="6">
        <v>109</v>
      </c>
      <c r="V1664" s="6">
        <f>IF(ISERROR(VLOOKUP($S$1664,'TAR FIN'!$A$1:$O$115,15,0)),0,VLOOKUP($S$1664,'TAR FIN'!$A$1:$O$115,15,0))</f>
        <v>0</v>
      </c>
      <c r="W1664" s="6">
        <f>IF(ISERROR(VLOOKUP($T$1664,'TAR FIN'!$A$1:$O$115,15,0)),0,VLOOKUP($T$1664,'TAR FIN'!$A$1:$O$115,15,0))</f>
        <v>827.45</v>
      </c>
      <c r="X1664" s="6">
        <f>IF(ISERROR(VLOOKUP($U$1664,'TAR FIN'!$A$1:$O$115,15,0)),0,VLOOKUP($U$1664,'TAR FIN'!$A$1:$O$115,15,0))</f>
        <v>168.06</v>
      </c>
      <c r="Y1664" s="6"/>
      <c r="Z1664" s="6">
        <f ca="1">('TUSD BE'!$AM$63+'TUSD BF'!$AM$63+'TUSD CVA'!$AM$63)*1</f>
        <v>863.35061643044799</v>
      </c>
      <c r="AA1664" s="6">
        <f>('TE BE'!$AB$46+'TE BF'!$AB$46+'TE CVA'!$AB$46)*1</f>
        <v>218.6854278594964</v>
      </c>
      <c r="AB1664" s="6">
        <f>$K$1664*$V$1664</f>
        <v>0</v>
      </c>
      <c r="AC1664" s="6">
        <f>$M$1664*$W$1664</f>
        <v>1438.9355500000001</v>
      </c>
      <c r="AD1664" s="6">
        <f>$O$1664*$X$1664</f>
        <v>292.25634000000002</v>
      </c>
      <c r="AE1664" s="6">
        <f>$K$1664*$Y$1664</f>
        <v>0</v>
      </c>
      <c r="AF1664" s="6">
        <f ca="1">$M$1664*$Z$1664</f>
        <v>1501.3667219725492</v>
      </c>
      <c r="AG1664" s="6">
        <f>$O$1664*$AA$1664</f>
        <v>380.29395904766426</v>
      </c>
    </row>
    <row r="1665" spans="1:33" ht="11.25" customHeight="1" x14ac:dyDescent="0.25">
      <c r="A1665" s="4" t="s">
        <v>27</v>
      </c>
      <c r="B1665" s="4" t="s">
        <v>39</v>
      </c>
      <c r="C1665" s="4" t="s">
        <v>35</v>
      </c>
      <c r="D1665" s="4" t="s">
        <v>45</v>
      </c>
      <c r="E1665" s="4" t="s">
        <v>25</v>
      </c>
      <c r="F1665" s="4" t="s">
        <v>25</v>
      </c>
      <c r="G1665" s="4" t="s">
        <v>25</v>
      </c>
      <c r="H1665" s="4" t="s">
        <v>38</v>
      </c>
      <c r="I1665" s="5">
        <v>44621</v>
      </c>
      <c r="J1665" s="6">
        <v>0</v>
      </c>
      <c r="K1665" s="6">
        <v>0</v>
      </c>
      <c r="L1665" s="6">
        <v>-6.5000000000000002E-2</v>
      </c>
      <c r="M1665" s="6">
        <v>-6.5000000000000002E-2</v>
      </c>
      <c r="N1665" s="6">
        <v>-6.5000000000000002E-2</v>
      </c>
      <c r="O1665" s="6">
        <v>-6.5000000000000002E-2</v>
      </c>
      <c r="P1665" s="6">
        <v>0</v>
      </c>
      <c r="Q1665" s="4" t="s">
        <v>26</v>
      </c>
      <c r="R1665" s="4">
        <v>0</v>
      </c>
      <c r="S1665" s="6">
        <v>0</v>
      </c>
      <c r="T1665" s="6">
        <v>65</v>
      </c>
      <c r="U1665" s="6">
        <v>109</v>
      </c>
      <c r="V1665" s="6">
        <f>IF(ISERROR(VLOOKUP($S$1665,'TAR FIN'!$A$1:$O$115,15,0)),0,VLOOKUP($S$1665,'TAR FIN'!$A$1:$O$115,15,0))</f>
        <v>0</v>
      </c>
      <c r="W1665" s="6">
        <f>IF(ISERROR(VLOOKUP($T$1665,'TAR FIN'!$A$1:$O$115,15,0)),0,VLOOKUP($T$1665,'TAR FIN'!$A$1:$O$115,15,0))</f>
        <v>827.45</v>
      </c>
      <c r="X1665" s="6">
        <f>IF(ISERROR(VLOOKUP($U$1665,'TAR FIN'!$A$1:$O$115,15,0)),0,VLOOKUP($U$1665,'TAR FIN'!$A$1:$O$115,15,0))</f>
        <v>168.06</v>
      </c>
      <c r="Y1665" s="6"/>
      <c r="Z1665" s="6">
        <f ca="1">('TUSD BE'!$AM$63+'TUSD BF'!$AM$63+'TUSD CVA'!$AM$63)*1</f>
        <v>863.35061643044799</v>
      </c>
      <c r="AA1665" s="6">
        <f>('TE BE'!$AB$46+'TE BF'!$AB$46+'TE CVA'!$AB$46)*1</f>
        <v>218.6854278594964</v>
      </c>
      <c r="AB1665" s="6">
        <f>$K$1665*$V$1665</f>
        <v>0</v>
      </c>
      <c r="AC1665" s="6">
        <f>$M$1665*$W$1665</f>
        <v>-53.784250000000007</v>
      </c>
      <c r="AD1665" s="6">
        <f>$O$1665*$X$1665</f>
        <v>-10.9239</v>
      </c>
      <c r="AE1665" s="6">
        <f>$K$1665*$Y$1665</f>
        <v>0</v>
      </c>
      <c r="AF1665" s="6">
        <f ca="1">$M$1665*$Z$1665</f>
        <v>-56.117790067979122</v>
      </c>
      <c r="AG1665" s="6">
        <f>$O$1665*$AA$1665</f>
        <v>-14.214552810867266</v>
      </c>
    </row>
    <row r="1666" spans="1:33" ht="11.25" customHeight="1" x14ac:dyDescent="0.25">
      <c r="A1666" s="4" t="s">
        <v>28</v>
      </c>
      <c r="B1666" s="4" t="s">
        <v>39</v>
      </c>
      <c r="C1666" s="4" t="s">
        <v>35</v>
      </c>
      <c r="D1666" s="4" t="s">
        <v>45</v>
      </c>
      <c r="E1666" s="4" t="s">
        <v>25</v>
      </c>
      <c r="F1666" s="4" t="s">
        <v>25</v>
      </c>
      <c r="G1666" s="4" t="s">
        <v>25</v>
      </c>
      <c r="H1666" s="4" t="s">
        <v>38</v>
      </c>
      <c r="I1666" s="5">
        <v>44621</v>
      </c>
      <c r="J1666" s="6">
        <v>0</v>
      </c>
      <c r="K1666" s="6">
        <v>0</v>
      </c>
      <c r="L1666" s="6">
        <v>0.438</v>
      </c>
      <c r="M1666" s="6">
        <v>0.438</v>
      </c>
      <c r="N1666" s="6">
        <v>0.438</v>
      </c>
      <c r="O1666" s="6">
        <v>0.438</v>
      </c>
      <c r="P1666" s="6">
        <v>0</v>
      </c>
      <c r="Q1666" s="4" t="s">
        <v>26</v>
      </c>
      <c r="R1666" s="4">
        <v>0</v>
      </c>
      <c r="S1666" s="6">
        <v>0</v>
      </c>
      <c r="T1666" s="6">
        <v>65</v>
      </c>
      <c r="U1666" s="6">
        <v>109</v>
      </c>
      <c r="V1666" s="6">
        <f>IF(ISERROR(VLOOKUP($S$1666,'TAR FIN'!$A$1:$O$115,15,0)),0,VLOOKUP($S$1666,'TAR FIN'!$A$1:$O$115,15,0))</f>
        <v>0</v>
      </c>
      <c r="W1666" s="6">
        <f>IF(ISERROR(VLOOKUP($T$1666,'TAR FIN'!$A$1:$O$115,15,0)),0,VLOOKUP($T$1666,'TAR FIN'!$A$1:$O$115,15,0))</f>
        <v>827.45</v>
      </c>
      <c r="X1666" s="6">
        <f>IF(ISERROR(VLOOKUP($U$1666,'TAR FIN'!$A$1:$O$115,15,0)),0,VLOOKUP($U$1666,'TAR FIN'!$A$1:$O$115,15,0))</f>
        <v>168.06</v>
      </c>
      <c r="Y1666" s="6"/>
      <c r="Z1666" s="6">
        <f ca="1">('TUSD BE'!$AM$63+'TUSD BF'!$AM$63+'TUSD CVA'!$AM$63)*1</f>
        <v>863.35061643044799</v>
      </c>
      <c r="AA1666" s="6">
        <f>('TE BE'!$AB$46+'TE BF'!$AB$46+'TE CVA'!$AB$46)*1</f>
        <v>218.6854278594964</v>
      </c>
      <c r="AB1666" s="6">
        <f>$K$1666*$V$1666</f>
        <v>0</v>
      </c>
      <c r="AC1666" s="6">
        <f>$M$1666*$W$1666</f>
        <v>362.42310000000003</v>
      </c>
      <c r="AD1666" s="6">
        <f>$O$1666*$X$1666</f>
        <v>73.610280000000003</v>
      </c>
      <c r="AE1666" s="6">
        <f>$K$1666*$Y$1666</f>
        <v>0</v>
      </c>
      <c r="AF1666" s="6">
        <f ca="1">$M$1666*$Z$1666</f>
        <v>378.14756999653622</v>
      </c>
      <c r="AG1666" s="6">
        <f>$O$1666*$AA$1666</f>
        <v>95.784217402459419</v>
      </c>
    </row>
    <row r="1667" spans="1:33" ht="11.25" customHeight="1" x14ac:dyDescent="0.25">
      <c r="A1667" s="4" t="s">
        <v>30</v>
      </c>
      <c r="B1667" s="4" t="s">
        <v>39</v>
      </c>
      <c r="C1667" s="4" t="s">
        <v>35</v>
      </c>
      <c r="D1667" s="4" t="s">
        <v>45</v>
      </c>
      <c r="E1667" s="4" t="s">
        <v>25</v>
      </c>
      <c r="F1667" s="4" t="s">
        <v>25</v>
      </c>
      <c r="G1667" s="4" t="s">
        <v>25</v>
      </c>
      <c r="H1667" s="4" t="s">
        <v>38</v>
      </c>
      <c r="I1667" s="5">
        <v>44621</v>
      </c>
      <c r="J1667" s="6">
        <v>0</v>
      </c>
      <c r="K1667" s="6">
        <v>0</v>
      </c>
      <c r="L1667" s="6">
        <v>4.4999999999999998E-2</v>
      </c>
      <c r="M1667" s="6">
        <v>4.4999999999999998E-2</v>
      </c>
      <c r="N1667" s="6">
        <v>4.4999999999999998E-2</v>
      </c>
      <c r="O1667" s="6">
        <v>4.4999999999999998E-2</v>
      </c>
      <c r="P1667" s="6">
        <v>0</v>
      </c>
      <c r="Q1667" s="4" t="s">
        <v>26</v>
      </c>
      <c r="R1667" s="4">
        <v>0</v>
      </c>
      <c r="S1667" s="6">
        <v>0</v>
      </c>
      <c r="T1667" s="6">
        <v>65</v>
      </c>
      <c r="U1667" s="6">
        <v>109</v>
      </c>
      <c r="V1667" s="6">
        <f>IF(ISERROR(VLOOKUP($S$1667,'TAR FIN'!$A$1:$O$115,15,0)),0,VLOOKUP($S$1667,'TAR FIN'!$A$1:$O$115,15,0))</f>
        <v>0</v>
      </c>
      <c r="W1667" s="6">
        <f>IF(ISERROR(VLOOKUP($T$1667,'TAR FIN'!$A$1:$O$115,15,0)),0,VLOOKUP($T$1667,'TAR FIN'!$A$1:$O$115,15,0))</f>
        <v>827.45</v>
      </c>
      <c r="X1667" s="6">
        <f>IF(ISERROR(VLOOKUP($U$1667,'TAR FIN'!$A$1:$O$115,15,0)),0,VLOOKUP($U$1667,'TAR FIN'!$A$1:$O$115,15,0))</f>
        <v>168.06</v>
      </c>
      <c r="Y1667" s="6"/>
      <c r="Z1667" s="6">
        <f ca="1">('TUSD BE'!$AM$63+'TUSD BF'!$AM$63+'TUSD CVA'!$AM$63)*1</f>
        <v>863.35061643044799</v>
      </c>
      <c r="AA1667" s="6">
        <f>('TE BE'!$AB$46+'TE BF'!$AB$46+'TE CVA'!$AB$46)*1</f>
        <v>218.6854278594964</v>
      </c>
      <c r="AB1667" s="6">
        <f>$K$1667*$V$1667</f>
        <v>0</v>
      </c>
      <c r="AC1667" s="6">
        <f>$M$1667*$W$1667</f>
        <v>37.235250000000001</v>
      </c>
      <c r="AD1667" s="6">
        <f>$O$1667*$X$1667</f>
        <v>7.5626999999999995</v>
      </c>
      <c r="AE1667" s="6">
        <f>$K$1667*$Y$1667</f>
        <v>0</v>
      </c>
      <c r="AF1667" s="6">
        <f ca="1">$M$1667*$Z$1667</f>
        <v>38.850777739370159</v>
      </c>
      <c r="AG1667" s="6">
        <f>$O$1667*$AA$1667</f>
        <v>9.8408442536773375</v>
      </c>
    </row>
    <row r="1668" spans="1:33" ht="11.25" customHeight="1" x14ac:dyDescent="0.25">
      <c r="A1668" s="4" t="s">
        <v>21</v>
      </c>
      <c r="B1668" s="4" t="s">
        <v>39</v>
      </c>
      <c r="C1668" s="4" t="s">
        <v>35</v>
      </c>
      <c r="D1668" s="4" t="s">
        <v>45</v>
      </c>
      <c r="E1668" s="4" t="s">
        <v>25</v>
      </c>
      <c r="F1668" s="4" t="s">
        <v>25</v>
      </c>
      <c r="G1668" s="4" t="s">
        <v>25</v>
      </c>
      <c r="H1668" s="4" t="s">
        <v>38</v>
      </c>
      <c r="I1668" s="5">
        <v>44652</v>
      </c>
      <c r="J1668" s="6">
        <v>0</v>
      </c>
      <c r="K1668" s="6">
        <v>0</v>
      </c>
      <c r="L1668" s="6">
        <v>2.8250000000000002</v>
      </c>
      <c r="M1668" s="6">
        <v>2.8250000000000002</v>
      </c>
      <c r="N1668" s="6">
        <v>2.8250000000000002</v>
      </c>
      <c r="O1668" s="6">
        <v>2.8250000000000002</v>
      </c>
      <c r="P1668" s="6">
        <v>0</v>
      </c>
      <c r="Q1668" s="4" t="s">
        <v>26</v>
      </c>
      <c r="R1668" s="4">
        <v>0</v>
      </c>
      <c r="S1668" s="6">
        <v>0</v>
      </c>
      <c r="T1668" s="6">
        <v>65</v>
      </c>
      <c r="U1668" s="6">
        <v>109</v>
      </c>
      <c r="V1668" s="6">
        <f>IF(ISERROR(VLOOKUP($S$1668,'TAR FIN'!$A$1:$O$115,15,0)),0,VLOOKUP($S$1668,'TAR FIN'!$A$1:$O$115,15,0))</f>
        <v>0</v>
      </c>
      <c r="W1668" s="6">
        <f>IF(ISERROR(VLOOKUP($T$1668,'TAR FIN'!$A$1:$O$115,15,0)),0,VLOOKUP($T$1668,'TAR FIN'!$A$1:$O$115,15,0))</f>
        <v>827.45</v>
      </c>
      <c r="X1668" s="6">
        <f>IF(ISERROR(VLOOKUP($U$1668,'TAR FIN'!$A$1:$O$115,15,0)),0,VLOOKUP($U$1668,'TAR FIN'!$A$1:$O$115,15,0))</f>
        <v>168.06</v>
      </c>
      <c r="Y1668" s="6"/>
      <c r="Z1668" s="6">
        <f ca="1">('TUSD BE'!$AM$63+'TUSD BF'!$AM$63+'TUSD CVA'!$AM$63)*1</f>
        <v>863.35061643044799</v>
      </c>
      <c r="AA1668" s="6">
        <f>('TE BE'!$AB$46+'TE BF'!$AB$46+'TE CVA'!$AB$46)*1</f>
        <v>218.6854278594964</v>
      </c>
      <c r="AB1668" s="6">
        <f>$K$1668*$V$1668</f>
        <v>0</v>
      </c>
      <c r="AC1668" s="6">
        <f>$M$1668*$W$1668</f>
        <v>2337.5462500000003</v>
      </c>
      <c r="AD1668" s="6">
        <f>$O$1668*$X$1668</f>
        <v>474.76950000000005</v>
      </c>
      <c r="AE1668" s="6">
        <f>$K$1668*$Y$1668</f>
        <v>0</v>
      </c>
      <c r="AF1668" s="6">
        <f ca="1">$M$1668*$Z$1668</f>
        <v>2438.9654914160155</v>
      </c>
      <c r="AG1668" s="6">
        <f>$O$1668*$AA$1668</f>
        <v>617.78633370307739</v>
      </c>
    </row>
    <row r="1669" spans="1:33" ht="11.25" customHeight="1" x14ac:dyDescent="0.25">
      <c r="A1669" s="4" t="s">
        <v>28</v>
      </c>
      <c r="B1669" s="4" t="s">
        <v>39</v>
      </c>
      <c r="C1669" s="4" t="s">
        <v>35</v>
      </c>
      <c r="D1669" s="4" t="s">
        <v>45</v>
      </c>
      <c r="E1669" s="4" t="s">
        <v>25</v>
      </c>
      <c r="F1669" s="4" t="s">
        <v>25</v>
      </c>
      <c r="G1669" s="4" t="s">
        <v>25</v>
      </c>
      <c r="H1669" s="4" t="s">
        <v>38</v>
      </c>
      <c r="I1669" s="5">
        <v>44652</v>
      </c>
      <c r="J1669" s="6">
        <v>0</v>
      </c>
      <c r="K1669" s="6">
        <v>0</v>
      </c>
      <c r="L1669" s="6">
        <v>1.3440000000000001</v>
      </c>
      <c r="M1669" s="6">
        <v>1.3440000000000001</v>
      </c>
      <c r="N1669" s="6">
        <v>1.3440000000000001</v>
      </c>
      <c r="O1669" s="6">
        <v>1.3440000000000001</v>
      </c>
      <c r="P1669" s="6">
        <v>0</v>
      </c>
      <c r="Q1669" s="4" t="s">
        <v>26</v>
      </c>
      <c r="R1669" s="4">
        <v>0</v>
      </c>
      <c r="S1669" s="6">
        <v>0</v>
      </c>
      <c r="T1669" s="6">
        <v>65</v>
      </c>
      <c r="U1669" s="6">
        <v>109</v>
      </c>
      <c r="V1669" s="6">
        <f>IF(ISERROR(VLOOKUP($S$1669,'TAR FIN'!$A$1:$O$115,15,0)),0,VLOOKUP($S$1669,'TAR FIN'!$A$1:$O$115,15,0))</f>
        <v>0</v>
      </c>
      <c r="W1669" s="6">
        <f>IF(ISERROR(VLOOKUP($T$1669,'TAR FIN'!$A$1:$O$115,15,0)),0,VLOOKUP($T$1669,'TAR FIN'!$A$1:$O$115,15,0))</f>
        <v>827.45</v>
      </c>
      <c r="X1669" s="6">
        <f>IF(ISERROR(VLOOKUP($U$1669,'TAR FIN'!$A$1:$O$115,15,0)),0,VLOOKUP($U$1669,'TAR FIN'!$A$1:$O$115,15,0))</f>
        <v>168.06</v>
      </c>
      <c r="Y1669" s="6"/>
      <c r="Z1669" s="6">
        <f ca="1">('TUSD BE'!$AM$63+'TUSD BF'!$AM$63+'TUSD CVA'!$AM$63)*1</f>
        <v>863.35061643044799</v>
      </c>
      <c r="AA1669" s="6">
        <f>('TE BE'!$AB$46+'TE BF'!$AB$46+'TE CVA'!$AB$46)*1</f>
        <v>218.6854278594964</v>
      </c>
      <c r="AB1669" s="6">
        <f>$K$1669*$V$1669</f>
        <v>0</v>
      </c>
      <c r="AC1669" s="6">
        <f>$M$1669*$W$1669</f>
        <v>1112.0928000000001</v>
      </c>
      <c r="AD1669" s="6">
        <f>$O$1669*$X$1669</f>
        <v>225.87264000000002</v>
      </c>
      <c r="AE1669" s="6">
        <f>$K$1669*$Y$1669</f>
        <v>0</v>
      </c>
      <c r="AF1669" s="6">
        <f ca="1">$M$1669*$Z$1669</f>
        <v>1160.3432284825221</v>
      </c>
      <c r="AG1669" s="6">
        <f>$O$1669*$AA$1669</f>
        <v>293.91321504316318</v>
      </c>
    </row>
    <row r="1670" spans="1:33" ht="11.25" customHeight="1" x14ac:dyDescent="0.25">
      <c r="A1670" s="4" t="s">
        <v>30</v>
      </c>
      <c r="B1670" s="4" t="s">
        <v>39</v>
      </c>
      <c r="C1670" s="4" t="s">
        <v>35</v>
      </c>
      <c r="D1670" s="4" t="s">
        <v>45</v>
      </c>
      <c r="E1670" s="4" t="s">
        <v>25</v>
      </c>
      <c r="F1670" s="4" t="s">
        <v>25</v>
      </c>
      <c r="G1670" s="4" t="s">
        <v>25</v>
      </c>
      <c r="H1670" s="4" t="s">
        <v>38</v>
      </c>
      <c r="I1670" s="5">
        <v>44652</v>
      </c>
      <c r="J1670" s="6">
        <v>0</v>
      </c>
      <c r="K1670" s="6">
        <v>0</v>
      </c>
      <c r="L1670" s="6">
        <v>5.0999999999999997E-2</v>
      </c>
      <c r="M1670" s="6">
        <v>5.0999999999999997E-2</v>
      </c>
      <c r="N1670" s="6">
        <v>5.0999999999999997E-2</v>
      </c>
      <c r="O1670" s="6">
        <v>5.0999999999999997E-2</v>
      </c>
      <c r="P1670" s="6">
        <v>0</v>
      </c>
      <c r="Q1670" s="4" t="s">
        <v>26</v>
      </c>
      <c r="R1670" s="4">
        <v>0</v>
      </c>
      <c r="S1670" s="6">
        <v>0</v>
      </c>
      <c r="T1670" s="6">
        <v>65</v>
      </c>
      <c r="U1670" s="6">
        <v>109</v>
      </c>
      <c r="V1670" s="6">
        <f>IF(ISERROR(VLOOKUP($S$1670,'TAR FIN'!$A$1:$O$115,15,0)),0,VLOOKUP($S$1670,'TAR FIN'!$A$1:$O$115,15,0))</f>
        <v>0</v>
      </c>
      <c r="W1670" s="6">
        <f>IF(ISERROR(VLOOKUP($T$1670,'TAR FIN'!$A$1:$O$115,15,0)),0,VLOOKUP($T$1670,'TAR FIN'!$A$1:$O$115,15,0))</f>
        <v>827.45</v>
      </c>
      <c r="X1670" s="6">
        <f>IF(ISERROR(VLOOKUP($U$1670,'TAR FIN'!$A$1:$O$115,15,0)),0,VLOOKUP($U$1670,'TAR FIN'!$A$1:$O$115,15,0))</f>
        <v>168.06</v>
      </c>
      <c r="Y1670" s="6"/>
      <c r="Z1670" s="6">
        <f ca="1">('TUSD BE'!$AM$63+'TUSD BF'!$AM$63+'TUSD CVA'!$AM$63)*1</f>
        <v>863.35061643044799</v>
      </c>
      <c r="AA1670" s="6">
        <f>('TE BE'!$AB$46+'TE BF'!$AB$46+'TE CVA'!$AB$46)*1</f>
        <v>218.6854278594964</v>
      </c>
      <c r="AB1670" s="6">
        <f>$K$1670*$V$1670</f>
        <v>0</v>
      </c>
      <c r="AC1670" s="6">
        <f>$M$1670*$W$1670</f>
        <v>42.199950000000001</v>
      </c>
      <c r="AD1670" s="6">
        <f>$O$1670*$X$1670</f>
        <v>8.5710599999999992</v>
      </c>
      <c r="AE1670" s="6">
        <f>$K$1670*$Y$1670</f>
        <v>0</v>
      </c>
      <c r="AF1670" s="6">
        <f ca="1">$M$1670*$Z$1670</f>
        <v>44.030881437952843</v>
      </c>
      <c r="AG1670" s="6">
        <f>$O$1670*$AA$1670</f>
        <v>11.152956820834316</v>
      </c>
    </row>
    <row r="1671" spans="1:33" ht="11.25" customHeight="1" x14ac:dyDescent="0.25">
      <c r="A1671" s="4" t="s">
        <v>21</v>
      </c>
      <c r="B1671" s="4" t="s">
        <v>39</v>
      </c>
      <c r="C1671" s="4" t="s">
        <v>35</v>
      </c>
      <c r="D1671" s="4" t="s">
        <v>45</v>
      </c>
      <c r="E1671" s="4" t="s">
        <v>25</v>
      </c>
      <c r="F1671" s="4" t="s">
        <v>25</v>
      </c>
      <c r="G1671" s="4" t="s">
        <v>25</v>
      </c>
      <c r="H1671" s="4" t="s">
        <v>38</v>
      </c>
      <c r="I1671" s="5">
        <v>44682</v>
      </c>
      <c r="J1671" s="6">
        <v>0</v>
      </c>
      <c r="K1671" s="6">
        <v>0</v>
      </c>
      <c r="L1671" s="6">
        <v>2.157</v>
      </c>
      <c r="M1671" s="6">
        <v>2.157</v>
      </c>
      <c r="N1671" s="6">
        <v>2.157</v>
      </c>
      <c r="O1671" s="6">
        <v>2.157</v>
      </c>
      <c r="P1671" s="6">
        <v>0</v>
      </c>
      <c r="Q1671" s="4" t="s">
        <v>26</v>
      </c>
      <c r="R1671" s="4">
        <v>0</v>
      </c>
      <c r="S1671" s="6">
        <v>0</v>
      </c>
      <c r="T1671" s="6">
        <v>65</v>
      </c>
      <c r="U1671" s="6">
        <v>109</v>
      </c>
      <c r="V1671" s="6">
        <f>IF(ISERROR(VLOOKUP($S$1671,'TAR FIN'!$A$1:$O$115,15,0)),0,VLOOKUP($S$1671,'TAR FIN'!$A$1:$O$115,15,0))</f>
        <v>0</v>
      </c>
      <c r="W1671" s="6">
        <f>IF(ISERROR(VLOOKUP($T$1671,'TAR FIN'!$A$1:$O$115,15,0)),0,VLOOKUP($T$1671,'TAR FIN'!$A$1:$O$115,15,0))</f>
        <v>827.45</v>
      </c>
      <c r="X1671" s="6">
        <f>IF(ISERROR(VLOOKUP($U$1671,'TAR FIN'!$A$1:$O$115,15,0)),0,VLOOKUP($U$1671,'TAR FIN'!$A$1:$O$115,15,0))</f>
        <v>168.06</v>
      </c>
      <c r="Y1671" s="6"/>
      <c r="Z1671" s="6">
        <f ca="1">('TUSD BE'!$AM$63+'TUSD BF'!$AM$63+'TUSD CVA'!$AM$63)*1</f>
        <v>863.35061643044799</v>
      </c>
      <c r="AA1671" s="6">
        <f>('TE BE'!$AB$46+'TE BF'!$AB$46+'TE CVA'!$AB$46)*1</f>
        <v>218.6854278594964</v>
      </c>
      <c r="AB1671" s="6">
        <f>$K$1671*$V$1671</f>
        <v>0</v>
      </c>
      <c r="AC1671" s="6">
        <f>$M$1671*$W$1671</f>
        <v>1784.8096500000001</v>
      </c>
      <c r="AD1671" s="6">
        <f>$O$1671*$X$1671</f>
        <v>362.50542000000002</v>
      </c>
      <c r="AE1671" s="6">
        <f>$K$1671*$Y$1671</f>
        <v>0</v>
      </c>
      <c r="AF1671" s="6">
        <f ca="1">$M$1671*$Z$1671</f>
        <v>1862.2472796404763</v>
      </c>
      <c r="AG1671" s="6">
        <f>$O$1671*$AA$1671</f>
        <v>471.70446789293374</v>
      </c>
    </row>
    <row r="1672" spans="1:33" ht="11.25" customHeight="1" x14ac:dyDescent="0.25">
      <c r="A1672" s="4" t="s">
        <v>28</v>
      </c>
      <c r="B1672" s="4" t="s">
        <v>39</v>
      </c>
      <c r="C1672" s="4" t="s">
        <v>35</v>
      </c>
      <c r="D1672" s="4" t="s">
        <v>45</v>
      </c>
      <c r="E1672" s="4" t="s">
        <v>25</v>
      </c>
      <c r="F1672" s="4" t="s">
        <v>25</v>
      </c>
      <c r="G1672" s="4" t="s">
        <v>25</v>
      </c>
      <c r="H1672" s="4" t="s">
        <v>38</v>
      </c>
      <c r="I1672" s="5">
        <v>44682</v>
      </c>
      <c r="J1672" s="6">
        <v>0</v>
      </c>
      <c r="K1672" s="6">
        <v>0</v>
      </c>
      <c r="L1672" s="6">
        <v>0.85899999999999999</v>
      </c>
      <c r="M1672" s="6">
        <v>0.85899999999999999</v>
      </c>
      <c r="N1672" s="6">
        <v>0.85899999999999999</v>
      </c>
      <c r="O1672" s="6">
        <v>0.85899999999999999</v>
      </c>
      <c r="P1672" s="6">
        <v>0</v>
      </c>
      <c r="Q1672" s="4" t="s">
        <v>26</v>
      </c>
      <c r="R1672" s="4">
        <v>0</v>
      </c>
      <c r="S1672" s="6">
        <v>0</v>
      </c>
      <c r="T1672" s="6">
        <v>65</v>
      </c>
      <c r="U1672" s="6">
        <v>109</v>
      </c>
      <c r="V1672" s="6">
        <f>IF(ISERROR(VLOOKUP($S$1672,'TAR FIN'!$A$1:$O$115,15,0)),0,VLOOKUP($S$1672,'TAR FIN'!$A$1:$O$115,15,0))</f>
        <v>0</v>
      </c>
      <c r="W1672" s="6">
        <f>IF(ISERROR(VLOOKUP($T$1672,'TAR FIN'!$A$1:$O$115,15,0)),0,VLOOKUP($T$1672,'TAR FIN'!$A$1:$O$115,15,0))</f>
        <v>827.45</v>
      </c>
      <c r="X1672" s="6">
        <f>IF(ISERROR(VLOOKUP($U$1672,'TAR FIN'!$A$1:$O$115,15,0)),0,VLOOKUP($U$1672,'TAR FIN'!$A$1:$O$115,15,0))</f>
        <v>168.06</v>
      </c>
      <c r="Y1672" s="6"/>
      <c r="Z1672" s="6">
        <f ca="1">('TUSD BE'!$AM$63+'TUSD BF'!$AM$63+'TUSD CVA'!$AM$63)*1</f>
        <v>863.35061643044799</v>
      </c>
      <c r="AA1672" s="6">
        <f>('TE BE'!$AB$46+'TE BF'!$AB$46+'TE CVA'!$AB$46)*1</f>
        <v>218.6854278594964</v>
      </c>
      <c r="AB1672" s="6">
        <f>$K$1672*$V$1672</f>
        <v>0</v>
      </c>
      <c r="AC1672" s="6">
        <f>$M$1672*$W$1672</f>
        <v>710.77954999999997</v>
      </c>
      <c r="AD1672" s="6">
        <f>$O$1672*$X$1672</f>
        <v>144.36354</v>
      </c>
      <c r="AE1672" s="6">
        <f>$K$1672*$Y$1672</f>
        <v>0</v>
      </c>
      <c r="AF1672" s="6">
        <f ca="1">$M$1672*$Z$1672</f>
        <v>741.61817951375485</v>
      </c>
      <c r="AG1672" s="6">
        <f>$O$1672*$AA$1672</f>
        <v>187.8507825313074</v>
      </c>
    </row>
    <row r="1673" spans="1:33" ht="11.25" customHeight="1" x14ac:dyDescent="0.25">
      <c r="A1673" s="4" t="s">
        <v>29</v>
      </c>
      <c r="B1673" s="4" t="s">
        <v>39</v>
      </c>
      <c r="C1673" s="4" t="s">
        <v>35</v>
      </c>
      <c r="D1673" s="4" t="s">
        <v>45</v>
      </c>
      <c r="E1673" s="4" t="s">
        <v>25</v>
      </c>
      <c r="F1673" s="4" t="s">
        <v>25</v>
      </c>
      <c r="G1673" s="4" t="s">
        <v>25</v>
      </c>
      <c r="H1673" s="4" t="s">
        <v>38</v>
      </c>
      <c r="I1673" s="5">
        <v>44682</v>
      </c>
      <c r="J1673" s="6">
        <v>0</v>
      </c>
      <c r="K1673" s="6">
        <v>0</v>
      </c>
      <c r="L1673" s="6">
        <v>-0.746</v>
      </c>
      <c r="M1673" s="6">
        <v>-0.746</v>
      </c>
      <c r="N1673" s="6">
        <v>-0.746</v>
      </c>
      <c r="O1673" s="6">
        <v>-0.746</v>
      </c>
      <c r="P1673" s="6">
        <v>0</v>
      </c>
      <c r="Q1673" s="4" t="s">
        <v>26</v>
      </c>
      <c r="R1673" s="4">
        <v>0</v>
      </c>
      <c r="S1673" s="6">
        <v>0</v>
      </c>
      <c r="T1673" s="6">
        <v>65</v>
      </c>
      <c r="U1673" s="6">
        <v>109</v>
      </c>
      <c r="V1673" s="6">
        <f>IF(ISERROR(VLOOKUP($S$1673,'TAR FIN'!$A$1:$O$115,15,0)),0,VLOOKUP($S$1673,'TAR FIN'!$A$1:$O$115,15,0))</f>
        <v>0</v>
      </c>
      <c r="W1673" s="6">
        <f>IF(ISERROR(VLOOKUP($T$1673,'TAR FIN'!$A$1:$O$115,15,0)),0,VLOOKUP($T$1673,'TAR FIN'!$A$1:$O$115,15,0))</f>
        <v>827.45</v>
      </c>
      <c r="X1673" s="6">
        <f>IF(ISERROR(VLOOKUP($U$1673,'TAR FIN'!$A$1:$O$115,15,0)),0,VLOOKUP($U$1673,'TAR FIN'!$A$1:$O$115,15,0))</f>
        <v>168.06</v>
      </c>
      <c r="Y1673" s="6"/>
      <c r="Z1673" s="6">
        <f ca="1">('TUSD BE'!$AM$63+'TUSD BF'!$AM$63+'TUSD CVA'!$AM$63)*1</f>
        <v>863.35061643044799</v>
      </c>
      <c r="AA1673" s="6">
        <f>('TE BE'!$AB$46+'TE BF'!$AB$46+'TE CVA'!$AB$46)*1</f>
        <v>218.6854278594964</v>
      </c>
      <c r="AB1673" s="6">
        <f>$K$1673*$V$1673</f>
        <v>0</v>
      </c>
      <c r="AC1673" s="6">
        <f>$M$1673*$W$1673</f>
        <v>-617.27769999999998</v>
      </c>
      <c r="AD1673" s="6">
        <f>$O$1673*$X$1673</f>
        <v>-125.37276</v>
      </c>
      <c r="AE1673" s="6">
        <f>$K$1673*$Y$1673</f>
        <v>0</v>
      </c>
      <c r="AF1673" s="6">
        <f ca="1">$M$1673*$Z$1673</f>
        <v>-644.05955985711421</v>
      </c>
      <c r="AG1673" s="6">
        <f>$O$1673*$AA$1673</f>
        <v>-163.13932918318432</v>
      </c>
    </row>
    <row r="1674" spans="1:33" ht="11.25" customHeight="1" x14ac:dyDescent="0.25">
      <c r="A1674" s="4" t="s">
        <v>30</v>
      </c>
      <c r="B1674" s="4" t="s">
        <v>39</v>
      </c>
      <c r="C1674" s="4" t="s">
        <v>35</v>
      </c>
      <c r="D1674" s="4" t="s">
        <v>45</v>
      </c>
      <c r="E1674" s="4" t="s">
        <v>25</v>
      </c>
      <c r="F1674" s="4" t="s">
        <v>25</v>
      </c>
      <c r="G1674" s="4" t="s">
        <v>25</v>
      </c>
      <c r="H1674" s="4" t="s">
        <v>38</v>
      </c>
      <c r="I1674" s="5">
        <v>44682</v>
      </c>
      <c r="J1674" s="6">
        <v>0</v>
      </c>
      <c r="K1674" s="6">
        <v>0</v>
      </c>
      <c r="L1674" s="6">
        <v>5.1999999999999998E-2</v>
      </c>
      <c r="M1674" s="6">
        <v>5.1999999999999998E-2</v>
      </c>
      <c r="N1674" s="6">
        <v>5.1999999999999998E-2</v>
      </c>
      <c r="O1674" s="6">
        <v>5.1999999999999998E-2</v>
      </c>
      <c r="P1674" s="6">
        <v>0</v>
      </c>
      <c r="Q1674" s="4" t="s">
        <v>26</v>
      </c>
      <c r="R1674" s="4">
        <v>0</v>
      </c>
      <c r="S1674" s="6">
        <v>0</v>
      </c>
      <c r="T1674" s="6">
        <v>65</v>
      </c>
      <c r="U1674" s="6">
        <v>109</v>
      </c>
      <c r="V1674" s="6">
        <f>IF(ISERROR(VLOOKUP($S$1674,'TAR FIN'!$A$1:$O$115,15,0)),0,VLOOKUP($S$1674,'TAR FIN'!$A$1:$O$115,15,0))</f>
        <v>0</v>
      </c>
      <c r="W1674" s="6">
        <f>IF(ISERROR(VLOOKUP($T$1674,'TAR FIN'!$A$1:$O$115,15,0)),0,VLOOKUP($T$1674,'TAR FIN'!$A$1:$O$115,15,0))</f>
        <v>827.45</v>
      </c>
      <c r="X1674" s="6">
        <f>IF(ISERROR(VLOOKUP($U$1674,'TAR FIN'!$A$1:$O$115,15,0)),0,VLOOKUP($U$1674,'TAR FIN'!$A$1:$O$115,15,0))</f>
        <v>168.06</v>
      </c>
      <c r="Y1674" s="6"/>
      <c r="Z1674" s="6">
        <f ca="1">('TUSD BE'!$AM$63+'TUSD BF'!$AM$63+'TUSD CVA'!$AM$63)*1</f>
        <v>863.35061643044799</v>
      </c>
      <c r="AA1674" s="6">
        <f>('TE BE'!$AB$46+'TE BF'!$AB$46+'TE CVA'!$AB$46)*1</f>
        <v>218.6854278594964</v>
      </c>
      <c r="AB1674" s="6">
        <f>$K$1674*$V$1674</f>
        <v>0</v>
      </c>
      <c r="AC1674" s="6">
        <f>$M$1674*$W$1674</f>
        <v>43.0274</v>
      </c>
      <c r="AD1674" s="6">
        <f>$O$1674*$X$1674</f>
        <v>8.7391199999999998</v>
      </c>
      <c r="AE1674" s="6">
        <f>$K$1674*$Y$1674</f>
        <v>0</v>
      </c>
      <c r="AF1674" s="6">
        <f ca="1">$M$1674*$Z$1674</f>
        <v>44.894232054383295</v>
      </c>
      <c r="AG1674" s="6">
        <f>$O$1674*$AA$1674</f>
        <v>11.371642248693812</v>
      </c>
    </row>
    <row r="1675" spans="1:33" ht="11.25" customHeight="1" x14ac:dyDescent="0.25">
      <c r="A1675" s="4" t="s">
        <v>21</v>
      </c>
      <c r="B1675" s="4" t="s">
        <v>39</v>
      </c>
      <c r="C1675" s="4" t="s">
        <v>35</v>
      </c>
      <c r="D1675" s="4" t="s">
        <v>45</v>
      </c>
      <c r="E1675" s="4" t="s">
        <v>25</v>
      </c>
      <c r="F1675" s="4" t="s">
        <v>25</v>
      </c>
      <c r="G1675" s="4" t="s">
        <v>25</v>
      </c>
      <c r="H1675" s="4" t="s">
        <v>38</v>
      </c>
      <c r="I1675" s="5">
        <v>44713</v>
      </c>
      <c r="J1675" s="6">
        <v>0</v>
      </c>
      <c r="K1675" s="6">
        <v>0</v>
      </c>
      <c r="L1675" s="6">
        <v>1.823</v>
      </c>
      <c r="M1675" s="6">
        <v>1.823</v>
      </c>
      <c r="N1675" s="6">
        <v>1.823</v>
      </c>
      <c r="O1675" s="6">
        <v>1.823</v>
      </c>
      <c r="P1675" s="6">
        <v>0</v>
      </c>
      <c r="Q1675" s="4" t="s">
        <v>26</v>
      </c>
      <c r="R1675" s="4">
        <v>0</v>
      </c>
      <c r="S1675" s="6">
        <v>0</v>
      </c>
      <c r="T1675" s="6">
        <v>65</v>
      </c>
      <c r="U1675" s="6">
        <v>109</v>
      </c>
      <c r="V1675" s="6">
        <f>IF(ISERROR(VLOOKUP($S$1675,'TAR FIN'!$A$1:$O$115,15,0)),0,VLOOKUP($S$1675,'TAR FIN'!$A$1:$O$115,15,0))</f>
        <v>0</v>
      </c>
      <c r="W1675" s="6">
        <f>IF(ISERROR(VLOOKUP($T$1675,'TAR FIN'!$A$1:$O$115,15,0)),0,VLOOKUP($T$1675,'TAR FIN'!$A$1:$O$115,15,0))</f>
        <v>827.45</v>
      </c>
      <c r="X1675" s="6">
        <f>IF(ISERROR(VLOOKUP($U$1675,'TAR FIN'!$A$1:$O$115,15,0)),0,VLOOKUP($U$1675,'TAR FIN'!$A$1:$O$115,15,0))</f>
        <v>168.06</v>
      </c>
      <c r="Y1675" s="6"/>
      <c r="Z1675" s="6">
        <f ca="1">('TUSD BE'!$AM$63+'TUSD BF'!$AM$63+'TUSD CVA'!$AM$63)*1</f>
        <v>863.35061643044799</v>
      </c>
      <c r="AA1675" s="6">
        <f>('TE BE'!$AB$46+'TE BF'!$AB$46+'TE CVA'!$AB$46)*1</f>
        <v>218.6854278594964</v>
      </c>
      <c r="AB1675" s="6">
        <f>$K$1675*$V$1675</f>
        <v>0</v>
      </c>
      <c r="AC1675" s="6">
        <f>$M$1675*$W$1675</f>
        <v>1508.4413500000001</v>
      </c>
      <c r="AD1675" s="6">
        <f>$O$1675*$X$1675</f>
        <v>306.37338</v>
      </c>
      <c r="AE1675" s="6">
        <f>$K$1675*$Y$1675</f>
        <v>0</v>
      </c>
      <c r="AF1675" s="6">
        <f ca="1">$M$1675*$Z$1675</f>
        <v>1573.8881737527067</v>
      </c>
      <c r="AG1675" s="6">
        <f>$O$1675*$AA$1675</f>
        <v>398.66353498786191</v>
      </c>
    </row>
    <row r="1676" spans="1:33" ht="11.25" customHeight="1" x14ac:dyDescent="0.25">
      <c r="A1676" s="4" t="s">
        <v>28</v>
      </c>
      <c r="B1676" s="4" t="s">
        <v>39</v>
      </c>
      <c r="C1676" s="4" t="s">
        <v>35</v>
      </c>
      <c r="D1676" s="4" t="s">
        <v>45</v>
      </c>
      <c r="E1676" s="4" t="s">
        <v>25</v>
      </c>
      <c r="F1676" s="4" t="s">
        <v>25</v>
      </c>
      <c r="G1676" s="4" t="s">
        <v>25</v>
      </c>
      <c r="H1676" s="4" t="s">
        <v>38</v>
      </c>
      <c r="I1676" s="5">
        <v>44713</v>
      </c>
      <c r="J1676" s="6">
        <v>0</v>
      </c>
      <c r="K1676" s="6">
        <v>0</v>
      </c>
      <c r="L1676" s="6">
        <v>0.58399999999999996</v>
      </c>
      <c r="M1676" s="6">
        <v>0.58399999999999996</v>
      </c>
      <c r="N1676" s="6">
        <v>0.58399999999999996</v>
      </c>
      <c r="O1676" s="6">
        <v>0.58399999999999996</v>
      </c>
      <c r="P1676" s="6">
        <v>0</v>
      </c>
      <c r="Q1676" s="4" t="s">
        <v>26</v>
      </c>
      <c r="R1676" s="4">
        <v>0</v>
      </c>
      <c r="S1676" s="6">
        <v>0</v>
      </c>
      <c r="T1676" s="6">
        <v>65</v>
      </c>
      <c r="U1676" s="6">
        <v>109</v>
      </c>
      <c r="V1676" s="6">
        <f>IF(ISERROR(VLOOKUP($S$1676,'TAR FIN'!$A$1:$O$115,15,0)),0,VLOOKUP($S$1676,'TAR FIN'!$A$1:$O$115,15,0))</f>
        <v>0</v>
      </c>
      <c r="W1676" s="6">
        <f>IF(ISERROR(VLOOKUP($T$1676,'TAR FIN'!$A$1:$O$115,15,0)),0,VLOOKUP($T$1676,'TAR FIN'!$A$1:$O$115,15,0))</f>
        <v>827.45</v>
      </c>
      <c r="X1676" s="6">
        <f>IF(ISERROR(VLOOKUP($U$1676,'TAR FIN'!$A$1:$O$115,15,0)),0,VLOOKUP($U$1676,'TAR FIN'!$A$1:$O$115,15,0))</f>
        <v>168.06</v>
      </c>
      <c r="Y1676" s="6"/>
      <c r="Z1676" s="6">
        <f ca="1">('TUSD BE'!$AM$63+'TUSD BF'!$AM$63+'TUSD CVA'!$AM$63)*1</f>
        <v>863.35061643044799</v>
      </c>
      <c r="AA1676" s="6">
        <f>('TE BE'!$AB$46+'TE BF'!$AB$46+'TE CVA'!$AB$46)*1</f>
        <v>218.6854278594964</v>
      </c>
      <c r="AB1676" s="6">
        <f>$K$1676*$V$1676</f>
        <v>0</v>
      </c>
      <c r="AC1676" s="6">
        <f>$M$1676*$W$1676</f>
        <v>483.23079999999999</v>
      </c>
      <c r="AD1676" s="6">
        <f>$O$1676*$X$1676</f>
        <v>98.14703999999999</v>
      </c>
      <c r="AE1676" s="6">
        <f>$K$1676*$Y$1676</f>
        <v>0</v>
      </c>
      <c r="AF1676" s="6">
        <f ca="1">$M$1676*$Z$1676</f>
        <v>504.19675999538157</v>
      </c>
      <c r="AG1676" s="6">
        <f>$O$1676*$AA$1676</f>
        <v>127.71228986994589</v>
      </c>
    </row>
    <row r="1677" spans="1:33" ht="11.25" customHeight="1" x14ac:dyDescent="0.25">
      <c r="A1677" s="4" t="s">
        <v>21</v>
      </c>
      <c r="B1677" s="4" t="s">
        <v>39</v>
      </c>
      <c r="C1677" s="4" t="s">
        <v>35</v>
      </c>
      <c r="D1677" s="4" t="s">
        <v>45</v>
      </c>
      <c r="E1677" s="4" t="s">
        <v>25</v>
      </c>
      <c r="F1677" s="4" t="s">
        <v>25</v>
      </c>
      <c r="G1677" s="4" t="s">
        <v>25</v>
      </c>
      <c r="H1677" s="4" t="s">
        <v>38</v>
      </c>
      <c r="I1677" s="5">
        <v>44743</v>
      </c>
      <c r="J1677" s="6">
        <v>0</v>
      </c>
      <c r="K1677" s="6">
        <v>0</v>
      </c>
      <c r="L1677" s="6">
        <v>3.214</v>
      </c>
      <c r="M1677" s="6">
        <v>3.214</v>
      </c>
      <c r="N1677" s="6">
        <v>3.214</v>
      </c>
      <c r="O1677" s="6">
        <v>3.214</v>
      </c>
      <c r="P1677" s="6">
        <v>0</v>
      </c>
      <c r="Q1677" s="4" t="s">
        <v>26</v>
      </c>
      <c r="R1677" s="4">
        <v>0</v>
      </c>
      <c r="S1677" s="6">
        <v>0</v>
      </c>
      <c r="T1677" s="6">
        <v>65</v>
      </c>
      <c r="U1677" s="6">
        <v>109</v>
      </c>
      <c r="V1677" s="6">
        <f>IF(ISERROR(VLOOKUP($S$1677,'TAR FIN'!$A$1:$O$115,15,0)),0,VLOOKUP($S$1677,'TAR FIN'!$A$1:$O$115,15,0))</f>
        <v>0</v>
      </c>
      <c r="W1677" s="6">
        <f>IF(ISERROR(VLOOKUP($T$1677,'TAR FIN'!$A$1:$O$115,15,0)),0,VLOOKUP($T$1677,'TAR FIN'!$A$1:$O$115,15,0))</f>
        <v>827.45</v>
      </c>
      <c r="X1677" s="6">
        <f>IF(ISERROR(VLOOKUP($U$1677,'TAR FIN'!$A$1:$O$115,15,0)),0,VLOOKUP($U$1677,'TAR FIN'!$A$1:$O$115,15,0))</f>
        <v>168.06</v>
      </c>
      <c r="Y1677" s="6"/>
      <c r="Z1677" s="6">
        <f ca="1">('TUSD BE'!$AM$63+'TUSD BF'!$AM$63+'TUSD CVA'!$AM$63)*1</f>
        <v>863.35061643044799</v>
      </c>
      <c r="AA1677" s="6">
        <f>('TE BE'!$AB$46+'TE BF'!$AB$46+'TE CVA'!$AB$46)*1</f>
        <v>218.6854278594964</v>
      </c>
      <c r="AB1677" s="6">
        <f>$K$1677*$V$1677</f>
        <v>0</v>
      </c>
      <c r="AC1677" s="6">
        <f>$M$1677*$W$1677</f>
        <v>2659.4243000000001</v>
      </c>
      <c r="AD1677" s="6">
        <f>$O$1677*$X$1677</f>
        <v>540.14484000000004</v>
      </c>
      <c r="AE1677" s="6">
        <f>$K$1677*$Y$1677</f>
        <v>0</v>
      </c>
      <c r="AF1677" s="6">
        <f ca="1">$M$1677*$Z$1677</f>
        <v>2774.8088812074598</v>
      </c>
      <c r="AG1677" s="6">
        <f>$O$1677*$AA$1677</f>
        <v>702.85496514042143</v>
      </c>
    </row>
    <row r="1678" spans="1:33" ht="11.25" customHeight="1" x14ac:dyDescent="0.25">
      <c r="A1678" s="4" t="s">
        <v>27</v>
      </c>
      <c r="B1678" s="4" t="s">
        <v>39</v>
      </c>
      <c r="C1678" s="4" t="s">
        <v>35</v>
      </c>
      <c r="D1678" s="4" t="s">
        <v>45</v>
      </c>
      <c r="E1678" s="4" t="s">
        <v>25</v>
      </c>
      <c r="F1678" s="4" t="s">
        <v>25</v>
      </c>
      <c r="G1678" s="4" t="s">
        <v>25</v>
      </c>
      <c r="H1678" s="4" t="s">
        <v>38</v>
      </c>
      <c r="I1678" s="5">
        <v>44743</v>
      </c>
      <c r="J1678" s="6">
        <v>0</v>
      </c>
      <c r="K1678" s="6">
        <v>0</v>
      </c>
      <c r="L1678" s="6">
        <v>0.21299999999999999</v>
      </c>
      <c r="M1678" s="6">
        <v>0.21299999999999999</v>
      </c>
      <c r="N1678" s="6">
        <v>0.21299999999999999</v>
      </c>
      <c r="O1678" s="6">
        <v>0.21299999999999999</v>
      </c>
      <c r="P1678" s="6">
        <v>0</v>
      </c>
      <c r="Q1678" s="4" t="s">
        <v>26</v>
      </c>
      <c r="R1678" s="4">
        <v>0</v>
      </c>
      <c r="S1678" s="6">
        <v>0</v>
      </c>
      <c r="T1678" s="6">
        <v>65</v>
      </c>
      <c r="U1678" s="6">
        <v>109</v>
      </c>
      <c r="V1678" s="6">
        <f>IF(ISERROR(VLOOKUP($S$1678,'TAR FIN'!$A$1:$O$115,15,0)),0,VLOOKUP($S$1678,'TAR FIN'!$A$1:$O$115,15,0))</f>
        <v>0</v>
      </c>
      <c r="W1678" s="6">
        <f>IF(ISERROR(VLOOKUP($T$1678,'TAR FIN'!$A$1:$O$115,15,0)),0,VLOOKUP($T$1678,'TAR FIN'!$A$1:$O$115,15,0))</f>
        <v>827.45</v>
      </c>
      <c r="X1678" s="6">
        <f>IF(ISERROR(VLOOKUP($U$1678,'TAR FIN'!$A$1:$O$115,15,0)),0,VLOOKUP($U$1678,'TAR FIN'!$A$1:$O$115,15,0))</f>
        <v>168.06</v>
      </c>
      <c r="Y1678" s="6"/>
      <c r="Z1678" s="6">
        <f ca="1">('TUSD BE'!$AM$63+'TUSD BF'!$AM$63+'TUSD CVA'!$AM$63)*1</f>
        <v>863.35061643044799</v>
      </c>
      <c r="AA1678" s="6">
        <f>('TE BE'!$AB$46+'TE BF'!$AB$46+'TE CVA'!$AB$46)*1</f>
        <v>218.6854278594964</v>
      </c>
      <c r="AB1678" s="6">
        <f>$K$1678*$V$1678</f>
        <v>0</v>
      </c>
      <c r="AC1678" s="6">
        <f>$M$1678*$W$1678</f>
        <v>176.24684999999999</v>
      </c>
      <c r="AD1678" s="6">
        <f>$O$1678*$X$1678</f>
        <v>35.796779999999998</v>
      </c>
      <c r="AE1678" s="6">
        <f>$K$1678*$Y$1678</f>
        <v>0</v>
      </c>
      <c r="AF1678" s="6">
        <f ca="1">$M$1678*$Z$1678</f>
        <v>183.89368129968543</v>
      </c>
      <c r="AG1678" s="6">
        <f>$O$1678*$AA$1678</f>
        <v>46.579996134072729</v>
      </c>
    </row>
    <row r="1679" spans="1:33" ht="11.25" customHeight="1" x14ac:dyDescent="0.25">
      <c r="A1679" s="4" t="s">
        <v>28</v>
      </c>
      <c r="B1679" s="4" t="s">
        <v>39</v>
      </c>
      <c r="C1679" s="4" t="s">
        <v>35</v>
      </c>
      <c r="D1679" s="4" t="s">
        <v>45</v>
      </c>
      <c r="E1679" s="4" t="s">
        <v>25</v>
      </c>
      <c r="F1679" s="4" t="s">
        <v>25</v>
      </c>
      <c r="G1679" s="4" t="s">
        <v>25</v>
      </c>
      <c r="H1679" s="4" t="s">
        <v>38</v>
      </c>
      <c r="I1679" s="5">
        <v>44743</v>
      </c>
      <c r="J1679" s="6">
        <v>0</v>
      </c>
      <c r="K1679" s="6">
        <v>0</v>
      </c>
      <c r="L1679" s="6">
        <v>0.67800000000000005</v>
      </c>
      <c r="M1679" s="6">
        <v>0.67800000000000005</v>
      </c>
      <c r="N1679" s="6">
        <v>0.67800000000000005</v>
      </c>
      <c r="O1679" s="6">
        <v>0.67800000000000005</v>
      </c>
      <c r="P1679" s="6">
        <v>0</v>
      </c>
      <c r="Q1679" s="4" t="s">
        <v>26</v>
      </c>
      <c r="R1679" s="4">
        <v>0</v>
      </c>
      <c r="S1679" s="6">
        <v>0</v>
      </c>
      <c r="T1679" s="6">
        <v>65</v>
      </c>
      <c r="U1679" s="6">
        <v>109</v>
      </c>
      <c r="V1679" s="6">
        <f>IF(ISERROR(VLOOKUP($S$1679,'TAR FIN'!$A$1:$O$115,15,0)),0,VLOOKUP($S$1679,'TAR FIN'!$A$1:$O$115,15,0))</f>
        <v>0</v>
      </c>
      <c r="W1679" s="6">
        <f>IF(ISERROR(VLOOKUP($T$1679,'TAR FIN'!$A$1:$O$115,15,0)),0,VLOOKUP($T$1679,'TAR FIN'!$A$1:$O$115,15,0))</f>
        <v>827.45</v>
      </c>
      <c r="X1679" s="6">
        <f>IF(ISERROR(VLOOKUP($U$1679,'TAR FIN'!$A$1:$O$115,15,0)),0,VLOOKUP($U$1679,'TAR FIN'!$A$1:$O$115,15,0))</f>
        <v>168.06</v>
      </c>
      <c r="Y1679" s="6"/>
      <c r="Z1679" s="6">
        <f ca="1">('TUSD BE'!$AM$63+'TUSD BF'!$AM$63+'TUSD CVA'!$AM$63)*1</f>
        <v>863.35061643044799</v>
      </c>
      <c r="AA1679" s="6">
        <f>('TE BE'!$AB$46+'TE BF'!$AB$46+'TE CVA'!$AB$46)*1</f>
        <v>218.6854278594964</v>
      </c>
      <c r="AB1679" s="6">
        <f>$K$1679*$V$1679</f>
        <v>0</v>
      </c>
      <c r="AC1679" s="6">
        <f>$M$1679*$W$1679</f>
        <v>561.01110000000006</v>
      </c>
      <c r="AD1679" s="6">
        <f>$O$1679*$X$1679</f>
        <v>113.94468000000001</v>
      </c>
      <c r="AE1679" s="6">
        <f>$K$1679*$Y$1679</f>
        <v>0</v>
      </c>
      <c r="AF1679" s="6">
        <f ca="1">$M$1679*$Z$1679</f>
        <v>585.35171793984375</v>
      </c>
      <c r="AG1679" s="6">
        <f>$O$1679*$AA$1679</f>
        <v>148.26872008873858</v>
      </c>
    </row>
    <row r="1680" spans="1:33" ht="11.25" customHeight="1" x14ac:dyDescent="0.25">
      <c r="A1680" s="4" t="s">
        <v>30</v>
      </c>
      <c r="B1680" s="4" t="s">
        <v>39</v>
      </c>
      <c r="C1680" s="4" t="s">
        <v>35</v>
      </c>
      <c r="D1680" s="4" t="s">
        <v>45</v>
      </c>
      <c r="E1680" s="4" t="s">
        <v>25</v>
      </c>
      <c r="F1680" s="4" t="s">
        <v>25</v>
      </c>
      <c r="G1680" s="4" t="s">
        <v>25</v>
      </c>
      <c r="H1680" s="4" t="s">
        <v>38</v>
      </c>
      <c r="I1680" s="5">
        <v>44743</v>
      </c>
      <c r="J1680" s="6">
        <v>0</v>
      </c>
      <c r="K1680" s="6">
        <v>0</v>
      </c>
      <c r="L1680" s="6">
        <v>4.2999999999999997E-2</v>
      </c>
      <c r="M1680" s="6">
        <v>4.2999999999999997E-2</v>
      </c>
      <c r="N1680" s="6">
        <v>4.2999999999999997E-2</v>
      </c>
      <c r="O1680" s="6">
        <v>4.2999999999999997E-2</v>
      </c>
      <c r="P1680" s="6">
        <v>0</v>
      </c>
      <c r="Q1680" s="4" t="s">
        <v>26</v>
      </c>
      <c r="R1680" s="4">
        <v>0</v>
      </c>
      <c r="S1680" s="6">
        <v>0</v>
      </c>
      <c r="T1680" s="6">
        <v>65</v>
      </c>
      <c r="U1680" s="6">
        <v>109</v>
      </c>
      <c r="V1680" s="6">
        <f>IF(ISERROR(VLOOKUP($S$1680,'TAR FIN'!$A$1:$O$115,15,0)),0,VLOOKUP($S$1680,'TAR FIN'!$A$1:$O$115,15,0))</f>
        <v>0</v>
      </c>
      <c r="W1680" s="6">
        <f>IF(ISERROR(VLOOKUP($T$1680,'TAR FIN'!$A$1:$O$115,15,0)),0,VLOOKUP($T$1680,'TAR FIN'!$A$1:$O$115,15,0))</f>
        <v>827.45</v>
      </c>
      <c r="X1680" s="6">
        <f>IF(ISERROR(VLOOKUP($U$1680,'TAR FIN'!$A$1:$O$115,15,0)),0,VLOOKUP($U$1680,'TAR FIN'!$A$1:$O$115,15,0))</f>
        <v>168.06</v>
      </c>
      <c r="Y1680" s="6"/>
      <c r="Z1680" s="6">
        <f ca="1">('TUSD BE'!$AM$63+'TUSD BF'!$AM$63+'TUSD CVA'!$AM$63)*1</f>
        <v>863.35061643044799</v>
      </c>
      <c r="AA1680" s="6">
        <f>('TE BE'!$AB$46+'TE BF'!$AB$46+'TE CVA'!$AB$46)*1</f>
        <v>218.6854278594964</v>
      </c>
      <c r="AB1680" s="6">
        <f>$K$1680*$V$1680</f>
        <v>0</v>
      </c>
      <c r="AC1680" s="6">
        <f>$M$1680*$W$1680</f>
        <v>35.580349999999996</v>
      </c>
      <c r="AD1680" s="6">
        <f>$O$1680*$X$1680</f>
        <v>7.2265799999999993</v>
      </c>
      <c r="AE1680" s="6">
        <f>$K$1680*$Y$1680</f>
        <v>0</v>
      </c>
      <c r="AF1680" s="6">
        <f ca="1">$M$1680*$Z$1680</f>
        <v>37.124076506509262</v>
      </c>
      <c r="AG1680" s="6">
        <f>$O$1680*$AA$1680</f>
        <v>9.4034733979583436</v>
      </c>
    </row>
    <row r="1681" spans="1:33" ht="11.25" customHeight="1" x14ac:dyDescent="0.25">
      <c r="A1681" s="4" t="s">
        <v>21</v>
      </c>
      <c r="B1681" s="4" t="s">
        <v>39</v>
      </c>
      <c r="C1681" s="4" t="s">
        <v>35</v>
      </c>
      <c r="D1681" s="4" t="s">
        <v>45</v>
      </c>
      <c r="E1681" s="4" t="s">
        <v>25</v>
      </c>
      <c r="F1681" s="4" t="s">
        <v>25</v>
      </c>
      <c r="G1681" s="4" t="s">
        <v>25</v>
      </c>
      <c r="H1681" s="4" t="s">
        <v>38</v>
      </c>
      <c r="I1681" s="5">
        <v>44774</v>
      </c>
      <c r="J1681" s="6">
        <v>0</v>
      </c>
      <c r="K1681" s="6">
        <v>0</v>
      </c>
      <c r="L1681" s="6">
        <v>2.2719999999999998</v>
      </c>
      <c r="M1681" s="6">
        <v>2.2719999999999998</v>
      </c>
      <c r="N1681" s="6">
        <v>2.2719999999999998</v>
      </c>
      <c r="O1681" s="6">
        <v>2.2719999999999998</v>
      </c>
      <c r="P1681" s="6">
        <v>0</v>
      </c>
      <c r="Q1681" s="4" t="s">
        <v>26</v>
      </c>
      <c r="R1681" s="4">
        <v>0</v>
      </c>
      <c r="S1681" s="6">
        <v>0</v>
      </c>
      <c r="T1681" s="6">
        <v>65</v>
      </c>
      <c r="U1681" s="6">
        <v>109</v>
      </c>
      <c r="V1681" s="6">
        <f>IF(ISERROR(VLOOKUP($S$1681,'TAR FIN'!$A$1:$O$115,15,0)),0,VLOOKUP($S$1681,'TAR FIN'!$A$1:$O$115,15,0))</f>
        <v>0</v>
      </c>
      <c r="W1681" s="6">
        <f>IF(ISERROR(VLOOKUP($T$1681,'TAR FIN'!$A$1:$O$115,15,0)),0,VLOOKUP($T$1681,'TAR FIN'!$A$1:$O$115,15,0))</f>
        <v>827.45</v>
      </c>
      <c r="X1681" s="6">
        <f>IF(ISERROR(VLOOKUP($U$1681,'TAR FIN'!$A$1:$O$115,15,0)),0,VLOOKUP($U$1681,'TAR FIN'!$A$1:$O$115,15,0))</f>
        <v>168.06</v>
      </c>
      <c r="Y1681" s="6"/>
      <c r="Z1681" s="6">
        <f ca="1">('TUSD BE'!$AM$63+'TUSD BF'!$AM$63+'TUSD CVA'!$AM$63)*1</f>
        <v>863.35061643044799</v>
      </c>
      <c r="AA1681" s="6">
        <f>('TE BE'!$AB$46+'TE BF'!$AB$46+'TE CVA'!$AB$46)*1</f>
        <v>218.6854278594964</v>
      </c>
      <c r="AB1681" s="6">
        <f>$K$1681*$V$1681</f>
        <v>0</v>
      </c>
      <c r="AC1681" s="6">
        <f>$M$1681*$W$1681</f>
        <v>1879.9664</v>
      </c>
      <c r="AD1681" s="6">
        <f>$O$1681*$X$1681</f>
        <v>381.83231999999998</v>
      </c>
      <c r="AE1681" s="6">
        <f>$K$1681*$Y$1681</f>
        <v>0</v>
      </c>
      <c r="AF1681" s="6">
        <f ca="1">$M$1681*$Z$1681</f>
        <v>1961.5326005299776</v>
      </c>
      <c r="AG1681" s="6">
        <f>$O$1681*$AA$1681</f>
        <v>496.85329209677576</v>
      </c>
    </row>
    <row r="1682" spans="1:33" ht="11.25" customHeight="1" x14ac:dyDescent="0.25">
      <c r="A1682" s="4" t="s">
        <v>27</v>
      </c>
      <c r="B1682" s="4" t="s">
        <v>39</v>
      </c>
      <c r="C1682" s="4" t="s">
        <v>35</v>
      </c>
      <c r="D1682" s="4" t="s">
        <v>45</v>
      </c>
      <c r="E1682" s="4" t="s">
        <v>25</v>
      </c>
      <c r="F1682" s="4" t="s">
        <v>25</v>
      </c>
      <c r="G1682" s="4" t="s">
        <v>25</v>
      </c>
      <c r="H1682" s="4" t="s">
        <v>38</v>
      </c>
      <c r="I1682" s="5">
        <v>44774</v>
      </c>
      <c r="J1682" s="6">
        <v>0</v>
      </c>
      <c r="K1682" s="6">
        <v>0</v>
      </c>
      <c r="L1682" s="6">
        <v>-0.82</v>
      </c>
      <c r="M1682" s="6">
        <v>-0.82</v>
      </c>
      <c r="N1682" s="6">
        <v>-0.82</v>
      </c>
      <c r="O1682" s="6">
        <v>-0.82</v>
      </c>
      <c r="P1682" s="6">
        <v>0</v>
      </c>
      <c r="Q1682" s="4" t="s">
        <v>26</v>
      </c>
      <c r="R1682" s="4">
        <v>0</v>
      </c>
      <c r="S1682" s="6">
        <v>0</v>
      </c>
      <c r="T1682" s="6">
        <v>65</v>
      </c>
      <c r="U1682" s="6">
        <v>109</v>
      </c>
      <c r="V1682" s="6">
        <f>IF(ISERROR(VLOOKUP($S$1682,'TAR FIN'!$A$1:$O$115,15,0)),0,VLOOKUP($S$1682,'TAR FIN'!$A$1:$O$115,15,0))</f>
        <v>0</v>
      </c>
      <c r="W1682" s="6">
        <f>IF(ISERROR(VLOOKUP($T$1682,'TAR FIN'!$A$1:$O$115,15,0)),0,VLOOKUP($T$1682,'TAR FIN'!$A$1:$O$115,15,0))</f>
        <v>827.45</v>
      </c>
      <c r="X1682" s="6">
        <f>IF(ISERROR(VLOOKUP($U$1682,'TAR FIN'!$A$1:$O$115,15,0)),0,VLOOKUP($U$1682,'TAR FIN'!$A$1:$O$115,15,0))</f>
        <v>168.06</v>
      </c>
      <c r="Y1682" s="6"/>
      <c r="Z1682" s="6">
        <f ca="1">('TUSD BE'!$AM$63+'TUSD BF'!$AM$63+'TUSD CVA'!$AM$63)*1</f>
        <v>863.35061643044799</v>
      </c>
      <c r="AA1682" s="6">
        <f>('TE BE'!$AB$46+'TE BF'!$AB$46+'TE CVA'!$AB$46)*1</f>
        <v>218.6854278594964</v>
      </c>
      <c r="AB1682" s="6">
        <f>$K$1682*$V$1682</f>
        <v>0</v>
      </c>
      <c r="AC1682" s="6">
        <f>$M$1682*$W$1682</f>
        <v>-678.50900000000001</v>
      </c>
      <c r="AD1682" s="6">
        <f>$O$1682*$X$1682</f>
        <v>-137.8092</v>
      </c>
      <c r="AE1682" s="6">
        <f>$K$1682*$Y$1682</f>
        <v>0</v>
      </c>
      <c r="AF1682" s="6">
        <f ca="1">$M$1682*$Z$1682</f>
        <v>-707.94750547296735</v>
      </c>
      <c r="AG1682" s="6">
        <f>$O$1682*$AA$1682</f>
        <v>-179.32205084478704</v>
      </c>
    </row>
    <row r="1683" spans="1:33" ht="11.25" customHeight="1" x14ac:dyDescent="0.25">
      <c r="A1683" s="4" t="s">
        <v>28</v>
      </c>
      <c r="B1683" s="4" t="s">
        <v>39</v>
      </c>
      <c r="C1683" s="4" t="s">
        <v>35</v>
      </c>
      <c r="D1683" s="4" t="s">
        <v>45</v>
      </c>
      <c r="E1683" s="4" t="s">
        <v>25</v>
      </c>
      <c r="F1683" s="4" t="s">
        <v>25</v>
      </c>
      <c r="G1683" s="4" t="s">
        <v>25</v>
      </c>
      <c r="H1683" s="4" t="s">
        <v>38</v>
      </c>
      <c r="I1683" s="5">
        <v>44774</v>
      </c>
      <c r="J1683" s="6">
        <v>0</v>
      </c>
      <c r="K1683" s="6">
        <v>0</v>
      </c>
      <c r="L1683" s="6">
        <v>0.56599999999999995</v>
      </c>
      <c r="M1683" s="6">
        <v>0.56599999999999995</v>
      </c>
      <c r="N1683" s="6">
        <v>0.56599999999999995</v>
      </c>
      <c r="O1683" s="6">
        <v>0.56599999999999995</v>
      </c>
      <c r="P1683" s="6">
        <v>0</v>
      </c>
      <c r="Q1683" s="4" t="s">
        <v>26</v>
      </c>
      <c r="R1683" s="4">
        <v>0</v>
      </c>
      <c r="S1683" s="6">
        <v>0</v>
      </c>
      <c r="T1683" s="6">
        <v>65</v>
      </c>
      <c r="U1683" s="6">
        <v>109</v>
      </c>
      <c r="V1683" s="6">
        <f>IF(ISERROR(VLOOKUP($S$1683,'TAR FIN'!$A$1:$O$115,15,0)),0,VLOOKUP($S$1683,'TAR FIN'!$A$1:$O$115,15,0))</f>
        <v>0</v>
      </c>
      <c r="W1683" s="6">
        <f>IF(ISERROR(VLOOKUP($T$1683,'TAR FIN'!$A$1:$O$115,15,0)),0,VLOOKUP($T$1683,'TAR FIN'!$A$1:$O$115,15,0))</f>
        <v>827.45</v>
      </c>
      <c r="X1683" s="6">
        <f>IF(ISERROR(VLOOKUP($U$1683,'TAR FIN'!$A$1:$O$115,15,0)),0,VLOOKUP($U$1683,'TAR FIN'!$A$1:$O$115,15,0))</f>
        <v>168.06</v>
      </c>
      <c r="Y1683" s="6"/>
      <c r="Z1683" s="6">
        <f ca="1">('TUSD BE'!$AM$63+'TUSD BF'!$AM$63+'TUSD CVA'!$AM$63)*1</f>
        <v>863.35061643044799</v>
      </c>
      <c r="AA1683" s="6">
        <f>('TE BE'!$AB$46+'TE BF'!$AB$46+'TE CVA'!$AB$46)*1</f>
        <v>218.6854278594964</v>
      </c>
      <c r="AB1683" s="6">
        <f>$K$1683*$V$1683</f>
        <v>0</v>
      </c>
      <c r="AC1683" s="6">
        <f>$M$1683*$W$1683</f>
        <v>468.33670000000001</v>
      </c>
      <c r="AD1683" s="6">
        <f>$O$1683*$X$1683</f>
        <v>95.121959999999987</v>
      </c>
      <c r="AE1683" s="6">
        <f>$K$1683*$Y$1683</f>
        <v>0</v>
      </c>
      <c r="AF1683" s="6">
        <f ca="1">$M$1683*$Z$1683</f>
        <v>488.65644889963352</v>
      </c>
      <c r="AG1683" s="6">
        <f>$O$1683*$AA$1683</f>
        <v>123.77595216847494</v>
      </c>
    </row>
    <row r="1684" spans="1:33" ht="11.25" customHeight="1" x14ac:dyDescent="0.25">
      <c r="A1684" s="4" t="s">
        <v>30</v>
      </c>
      <c r="B1684" s="4" t="s">
        <v>39</v>
      </c>
      <c r="C1684" s="4" t="s">
        <v>35</v>
      </c>
      <c r="D1684" s="4" t="s">
        <v>45</v>
      </c>
      <c r="E1684" s="4" t="s">
        <v>25</v>
      </c>
      <c r="F1684" s="4" t="s">
        <v>25</v>
      </c>
      <c r="G1684" s="4" t="s">
        <v>25</v>
      </c>
      <c r="H1684" s="4" t="s">
        <v>38</v>
      </c>
      <c r="I1684" s="5">
        <v>44774</v>
      </c>
      <c r="J1684" s="6">
        <v>0</v>
      </c>
      <c r="K1684" s="6">
        <v>0</v>
      </c>
      <c r="L1684" s="6">
        <v>1.7999999999999999E-2</v>
      </c>
      <c r="M1684" s="6">
        <v>1.7999999999999999E-2</v>
      </c>
      <c r="N1684" s="6">
        <v>1.7999999999999999E-2</v>
      </c>
      <c r="O1684" s="6">
        <v>1.7999999999999999E-2</v>
      </c>
      <c r="P1684" s="6">
        <v>0</v>
      </c>
      <c r="Q1684" s="4" t="s">
        <v>26</v>
      </c>
      <c r="R1684" s="4">
        <v>0</v>
      </c>
      <c r="S1684" s="6">
        <v>0</v>
      </c>
      <c r="T1684" s="6">
        <v>65</v>
      </c>
      <c r="U1684" s="6">
        <v>109</v>
      </c>
      <c r="V1684" s="6">
        <f>IF(ISERROR(VLOOKUP($S$1684,'TAR FIN'!$A$1:$O$115,15,0)),0,VLOOKUP($S$1684,'TAR FIN'!$A$1:$O$115,15,0))</f>
        <v>0</v>
      </c>
      <c r="W1684" s="6">
        <f>IF(ISERROR(VLOOKUP($T$1684,'TAR FIN'!$A$1:$O$115,15,0)),0,VLOOKUP($T$1684,'TAR FIN'!$A$1:$O$115,15,0))</f>
        <v>827.45</v>
      </c>
      <c r="X1684" s="6">
        <f>IF(ISERROR(VLOOKUP($U$1684,'TAR FIN'!$A$1:$O$115,15,0)),0,VLOOKUP($U$1684,'TAR FIN'!$A$1:$O$115,15,0))</f>
        <v>168.06</v>
      </c>
      <c r="Y1684" s="6"/>
      <c r="Z1684" s="6">
        <f ca="1">('TUSD BE'!$AM$63+'TUSD BF'!$AM$63+'TUSD CVA'!$AM$63)*1</f>
        <v>863.35061643044799</v>
      </c>
      <c r="AA1684" s="6">
        <f>('TE BE'!$AB$46+'TE BF'!$AB$46+'TE CVA'!$AB$46)*1</f>
        <v>218.6854278594964</v>
      </c>
      <c r="AB1684" s="6">
        <f>$K$1684*$V$1684</f>
        <v>0</v>
      </c>
      <c r="AC1684" s="6">
        <f>$M$1684*$W$1684</f>
        <v>14.8941</v>
      </c>
      <c r="AD1684" s="6">
        <f>$O$1684*$X$1684</f>
        <v>3.02508</v>
      </c>
      <c r="AE1684" s="6">
        <f>$K$1684*$Y$1684</f>
        <v>0</v>
      </c>
      <c r="AF1684" s="6">
        <f ca="1">$M$1684*$Z$1684</f>
        <v>15.540311095748063</v>
      </c>
      <c r="AG1684" s="6">
        <f>$O$1684*$AA$1684</f>
        <v>3.9363377014709351</v>
      </c>
    </row>
    <row r="1685" spans="1:33" ht="11.25" customHeight="1" x14ac:dyDescent="0.25">
      <c r="A1685" s="4" t="s">
        <v>21</v>
      </c>
      <c r="B1685" s="4" t="s">
        <v>39</v>
      </c>
      <c r="C1685" s="4" t="s">
        <v>35</v>
      </c>
      <c r="D1685" s="4" t="s">
        <v>45</v>
      </c>
      <c r="E1685" s="4" t="s">
        <v>25</v>
      </c>
      <c r="F1685" s="4" t="s">
        <v>25</v>
      </c>
      <c r="G1685" s="4" t="s">
        <v>25</v>
      </c>
      <c r="H1685" s="4" t="s">
        <v>38</v>
      </c>
      <c r="I1685" s="5">
        <v>44805</v>
      </c>
      <c r="J1685" s="6">
        <v>0</v>
      </c>
      <c r="K1685" s="6">
        <v>0</v>
      </c>
      <c r="L1685" s="6">
        <v>2.4159999999999999</v>
      </c>
      <c r="M1685" s="6">
        <v>2.4159999999999999</v>
      </c>
      <c r="N1685" s="6">
        <v>2.4159999999999999</v>
      </c>
      <c r="O1685" s="6">
        <v>2.4159999999999999</v>
      </c>
      <c r="P1685" s="6">
        <v>0</v>
      </c>
      <c r="Q1685" s="4" t="s">
        <v>26</v>
      </c>
      <c r="R1685" s="4">
        <v>0</v>
      </c>
      <c r="S1685" s="6">
        <v>0</v>
      </c>
      <c r="T1685" s="6">
        <v>65</v>
      </c>
      <c r="U1685" s="6">
        <v>109</v>
      </c>
      <c r="V1685" s="6">
        <f>IF(ISERROR(VLOOKUP($S$1685,'TAR FIN'!$A$1:$O$115,15,0)),0,VLOOKUP($S$1685,'TAR FIN'!$A$1:$O$115,15,0))</f>
        <v>0</v>
      </c>
      <c r="W1685" s="6">
        <f>IF(ISERROR(VLOOKUP($T$1685,'TAR FIN'!$A$1:$O$115,15,0)),0,VLOOKUP($T$1685,'TAR FIN'!$A$1:$O$115,15,0))</f>
        <v>827.45</v>
      </c>
      <c r="X1685" s="6">
        <f>IF(ISERROR(VLOOKUP($U$1685,'TAR FIN'!$A$1:$O$115,15,0)),0,VLOOKUP($U$1685,'TAR FIN'!$A$1:$O$115,15,0))</f>
        <v>168.06</v>
      </c>
      <c r="Y1685" s="6"/>
      <c r="Z1685" s="6">
        <f ca="1">('TUSD BE'!$AM$63+'TUSD BF'!$AM$63+'TUSD CVA'!$AM$63)*1</f>
        <v>863.35061643044799</v>
      </c>
      <c r="AA1685" s="6">
        <f>('TE BE'!$AB$46+'TE BF'!$AB$46+'TE CVA'!$AB$46)*1</f>
        <v>218.6854278594964</v>
      </c>
      <c r="AB1685" s="6">
        <f>$K$1685*$V$1685</f>
        <v>0</v>
      </c>
      <c r="AC1685" s="6">
        <f>$M$1685*$W$1685</f>
        <v>1999.1192000000001</v>
      </c>
      <c r="AD1685" s="6">
        <f>$O$1685*$X$1685</f>
        <v>406.03296</v>
      </c>
      <c r="AE1685" s="6">
        <f>$K$1685*$Y$1685</f>
        <v>0</v>
      </c>
      <c r="AF1685" s="6">
        <f ca="1">$M$1685*$Z$1685</f>
        <v>2085.8550892959624</v>
      </c>
      <c r="AG1685" s="6">
        <f>$O$1685*$AA$1685</f>
        <v>528.34399370854328</v>
      </c>
    </row>
    <row r="1686" spans="1:33" ht="11.25" customHeight="1" x14ac:dyDescent="0.25">
      <c r="A1686" s="4" t="s">
        <v>27</v>
      </c>
      <c r="B1686" s="4" t="s">
        <v>39</v>
      </c>
      <c r="C1686" s="4" t="s">
        <v>35</v>
      </c>
      <c r="D1686" s="4" t="s">
        <v>45</v>
      </c>
      <c r="E1686" s="4" t="s">
        <v>25</v>
      </c>
      <c r="F1686" s="4" t="s">
        <v>25</v>
      </c>
      <c r="G1686" s="4" t="s">
        <v>25</v>
      </c>
      <c r="H1686" s="4" t="s">
        <v>38</v>
      </c>
      <c r="I1686" s="5">
        <v>44805</v>
      </c>
      <c r="J1686" s="6">
        <v>0</v>
      </c>
      <c r="K1686" s="6">
        <v>0</v>
      </c>
      <c r="L1686" s="6">
        <v>8.9999999999999993E-3</v>
      </c>
      <c r="M1686" s="6">
        <v>8.9999999999999993E-3</v>
      </c>
      <c r="N1686" s="6">
        <v>8.9999999999999993E-3</v>
      </c>
      <c r="O1686" s="6">
        <v>8.9999999999999993E-3</v>
      </c>
      <c r="P1686" s="6">
        <v>0</v>
      </c>
      <c r="Q1686" s="4" t="s">
        <v>26</v>
      </c>
      <c r="R1686" s="4">
        <v>0</v>
      </c>
      <c r="S1686" s="6">
        <v>0</v>
      </c>
      <c r="T1686" s="6">
        <v>65</v>
      </c>
      <c r="U1686" s="6">
        <v>109</v>
      </c>
      <c r="V1686" s="6">
        <f>IF(ISERROR(VLOOKUP($S$1686,'TAR FIN'!$A$1:$O$115,15,0)),0,VLOOKUP($S$1686,'TAR FIN'!$A$1:$O$115,15,0))</f>
        <v>0</v>
      </c>
      <c r="W1686" s="6">
        <f>IF(ISERROR(VLOOKUP($T$1686,'TAR FIN'!$A$1:$O$115,15,0)),0,VLOOKUP($T$1686,'TAR FIN'!$A$1:$O$115,15,0))</f>
        <v>827.45</v>
      </c>
      <c r="X1686" s="6">
        <f>IF(ISERROR(VLOOKUP($U$1686,'TAR FIN'!$A$1:$O$115,15,0)),0,VLOOKUP($U$1686,'TAR FIN'!$A$1:$O$115,15,0))</f>
        <v>168.06</v>
      </c>
      <c r="Y1686" s="6"/>
      <c r="Z1686" s="6">
        <f ca="1">('TUSD BE'!$AM$63+'TUSD BF'!$AM$63+'TUSD CVA'!$AM$63)*1</f>
        <v>863.35061643044799</v>
      </c>
      <c r="AA1686" s="6">
        <f>('TE BE'!$AB$46+'TE BF'!$AB$46+'TE CVA'!$AB$46)*1</f>
        <v>218.6854278594964</v>
      </c>
      <c r="AB1686" s="6">
        <f>$K$1686*$V$1686</f>
        <v>0</v>
      </c>
      <c r="AC1686" s="6">
        <f>$M$1686*$W$1686</f>
        <v>7.4470499999999999</v>
      </c>
      <c r="AD1686" s="6">
        <f>$O$1686*$X$1686</f>
        <v>1.51254</v>
      </c>
      <c r="AE1686" s="6">
        <f>$K$1686*$Y$1686</f>
        <v>0</v>
      </c>
      <c r="AF1686" s="6">
        <f ca="1">$M$1686*$Z$1686</f>
        <v>7.7701555478740314</v>
      </c>
      <c r="AG1686" s="6">
        <f>$O$1686*$AA$1686</f>
        <v>1.9681688507354675</v>
      </c>
    </row>
    <row r="1687" spans="1:33" ht="11.25" customHeight="1" x14ac:dyDescent="0.25">
      <c r="A1687" s="4" t="s">
        <v>28</v>
      </c>
      <c r="B1687" s="4" t="s">
        <v>39</v>
      </c>
      <c r="C1687" s="4" t="s">
        <v>35</v>
      </c>
      <c r="D1687" s="4" t="s">
        <v>45</v>
      </c>
      <c r="E1687" s="4" t="s">
        <v>25</v>
      </c>
      <c r="F1687" s="4" t="s">
        <v>25</v>
      </c>
      <c r="G1687" s="4" t="s">
        <v>25</v>
      </c>
      <c r="H1687" s="4" t="s">
        <v>38</v>
      </c>
      <c r="I1687" s="5">
        <v>44805</v>
      </c>
      <c r="J1687" s="6">
        <v>0</v>
      </c>
      <c r="K1687" s="6">
        <v>0</v>
      </c>
      <c r="L1687" s="6">
        <v>0.46400000000000002</v>
      </c>
      <c r="M1687" s="6">
        <v>0.46400000000000002</v>
      </c>
      <c r="N1687" s="6">
        <v>0.46400000000000002</v>
      </c>
      <c r="O1687" s="6">
        <v>0.46400000000000002</v>
      </c>
      <c r="P1687" s="6">
        <v>0</v>
      </c>
      <c r="Q1687" s="4" t="s">
        <v>26</v>
      </c>
      <c r="R1687" s="4">
        <v>0</v>
      </c>
      <c r="S1687" s="6">
        <v>0</v>
      </c>
      <c r="T1687" s="6">
        <v>65</v>
      </c>
      <c r="U1687" s="6">
        <v>109</v>
      </c>
      <c r="V1687" s="6">
        <f>IF(ISERROR(VLOOKUP($S$1687,'TAR FIN'!$A$1:$O$115,15,0)),0,VLOOKUP($S$1687,'TAR FIN'!$A$1:$O$115,15,0))</f>
        <v>0</v>
      </c>
      <c r="W1687" s="6">
        <f>IF(ISERROR(VLOOKUP($T$1687,'TAR FIN'!$A$1:$O$115,15,0)),0,VLOOKUP($T$1687,'TAR FIN'!$A$1:$O$115,15,0))</f>
        <v>827.45</v>
      </c>
      <c r="X1687" s="6">
        <f>IF(ISERROR(VLOOKUP($U$1687,'TAR FIN'!$A$1:$O$115,15,0)),0,VLOOKUP($U$1687,'TAR FIN'!$A$1:$O$115,15,0))</f>
        <v>168.06</v>
      </c>
      <c r="Y1687" s="6"/>
      <c r="Z1687" s="6">
        <f ca="1">('TUSD BE'!$AM$63+'TUSD BF'!$AM$63+'TUSD CVA'!$AM$63)*1</f>
        <v>863.35061643044799</v>
      </c>
      <c r="AA1687" s="6">
        <f>('TE BE'!$AB$46+'TE BF'!$AB$46+'TE CVA'!$AB$46)*1</f>
        <v>218.6854278594964</v>
      </c>
      <c r="AB1687" s="6">
        <f>$K$1687*$V$1687</f>
        <v>0</v>
      </c>
      <c r="AC1687" s="6">
        <f>$M$1687*$W$1687</f>
        <v>383.93680000000006</v>
      </c>
      <c r="AD1687" s="6">
        <f>$O$1687*$X$1687</f>
        <v>77.97984000000001</v>
      </c>
      <c r="AE1687" s="6">
        <f>$K$1687*$Y$1687</f>
        <v>0</v>
      </c>
      <c r="AF1687" s="6">
        <f ca="1">$M$1687*$Z$1687</f>
        <v>400.59468602372789</v>
      </c>
      <c r="AG1687" s="6">
        <f>$O$1687*$AA$1687</f>
        <v>101.47003852680633</v>
      </c>
    </row>
    <row r="1688" spans="1:33" ht="11.25" customHeight="1" x14ac:dyDescent="0.25">
      <c r="A1688" s="4" t="s">
        <v>30</v>
      </c>
      <c r="B1688" s="4" t="s">
        <v>39</v>
      </c>
      <c r="C1688" s="4" t="s">
        <v>35</v>
      </c>
      <c r="D1688" s="4" t="s">
        <v>45</v>
      </c>
      <c r="E1688" s="4" t="s">
        <v>25</v>
      </c>
      <c r="F1688" s="4" t="s">
        <v>25</v>
      </c>
      <c r="G1688" s="4" t="s">
        <v>25</v>
      </c>
      <c r="H1688" s="4" t="s">
        <v>38</v>
      </c>
      <c r="I1688" s="5">
        <v>44805</v>
      </c>
      <c r="J1688" s="6">
        <v>0</v>
      </c>
      <c r="K1688" s="6">
        <v>0</v>
      </c>
      <c r="L1688" s="6">
        <v>3.1E-2</v>
      </c>
      <c r="M1688" s="6">
        <v>3.1E-2</v>
      </c>
      <c r="N1688" s="6">
        <v>3.1E-2</v>
      </c>
      <c r="O1688" s="6">
        <v>3.1E-2</v>
      </c>
      <c r="P1688" s="6">
        <v>0</v>
      </c>
      <c r="Q1688" s="4" t="s">
        <v>26</v>
      </c>
      <c r="R1688" s="4">
        <v>0</v>
      </c>
      <c r="S1688" s="6">
        <v>0</v>
      </c>
      <c r="T1688" s="6">
        <v>65</v>
      </c>
      <c r="U1688" s="6">
        <v>109</v>
      </c>
      <c r="V1688" s="6">
        <f>IF(ISERROR(VLOOKUP($S$1688,'TAR FIN'!$A$1:$O$115,15,0)),0,VLOOKUP($S$1688,'TAR FIN'!$A$1:$O$115,15,0))</f>
        <v>0</v>
      </c>
      <c r="W1688" s="6">
        <f>IF(ISERROR(VLOOKUP($T$1688,'TAR FIN'!$A$1:$O$115,15,0)),0,VLOOKUP($T$1688,'TAR FIN'!$A$1:$O$115,15,0))</f>
        <v>827.45</v>
      </c>
      <c r="X1688" s="6">
        <f>IF(ISERROR(VLOOKUP($U$1688,'TAR FIN'!$A$1:$O$115,15,0)),0,VLOOKUP($U$1688,'TAR FIN'!$A$1:$O$115,15,0))</f>
        <v>168.06</v>
      </c>
      <c r="Y1688" s="6"/>
      <c r="Z1688" s="6">
        <f ca="1">('TUSD BE'!$AM$63+'TUSD BF'!$AM$63+'TUSD CVA'!$AM$63)*1</f>
        <v>863.35061643044799</v>
      </c>
      <c r="AA1688" s="6">
        <f>('TE BE'!$AB$46+'TE BF'!$AB$46+'TE CVA'!$AB$46)*1</f>
        <v>218.6854278594964</v>
      </c>
      <c r="AB1688" s="6">
        <f>$K$1688*$V$1688</f>
        <v>0</v>
      </c>
      <c r="AC1688" s="6">
        <f>$M$1688*$W$1688</f>
        <v>25.650950000000002</v>
      </c>
      <c r="AD1688" s="6">
        <f>$O$1688*$X$1688</f>
        <v>5.2098599999999999</v>
      </c>
      <c r="AE1688" s="6">
        <f>$K$1688*$Y$1688</f>
        <v>0</v>
      </c>
      <c r="AF1688" s="6">
        <f ca="1">$M$1688*$Z$1688</f>
        <v>26.763869109343887</v>
      </c>
      <c r="AG1688" s="6">
        <f>$O$1688*$AA$1688</f>
        <v>6.779248263644388</v>
      </c>
    </row>
    <row r="1689" spans="1:33" ht="11.25" customHeight="1" x14ac:dyDescent="0.25">
      <c r="A1689" s="4" t="s">
        <v>21</v>
      </c>
      <c r="B1689" s="4" t="s">
        <v>39</v>
      </c>
      <c r="C1689" s="4" t="s">
        <v>35</v>
      </c>
      <c r="D1689" s="4" t="s">
        <v>45</v>
      </c>
      <c r="E1689" s="4" t="s">
        <v>25</v>
      </c>
      <c r="F1689" s="4" t="s">
        <v>25</v>
      </c>
      <c r="G1689" s="4" t="s">
        <v>25</v>
      </c>
      <c r="H1689" s="4" t="s">
        <v>38</v>
      </c>
      <c r="I1689" s="5">
        <v>44835</v>
      </c>
      <c r="J1689" s="6">
        <v>0</v>
      </c>
      <c r="K1689" s="6">
        <v>0</v>
      </c>
      <c r="L1689" s="6">
        <v>2.7989999999999999</v>
      </c>
      <c r="M1689" s="6">
        <v>2.7989999999999999</v>
      </c>
      <c r="N1689" s="6">
        <v>2.7989999999999999</v>
      </c>
      <c r="O1689" s="6">
        <v>2.7989999999999999</v>
      </c>
      <c r="P1689" s="6">
        <v>0</v>
      </c>
      <c r="Q1689" s="4" t="s">
        <v>26</v>
      </c>
      <c r="R1689" s="4">
        <v>0</v>
      </c>
      <c r="S1689" s="6">
        <v>0</v>
      </c>
      <c r="T1689" s="6">
        <v>65</v>
      </c>
      <c r="U1689" s="6">
        <v>109</v>
      </c>
      <c r="V1689" s="6">
        <f>IF(ISERROR(VLOOKUP($S$1689,'TAR FIN'!$A$1:$O$115,15,0)),0,VLOOKUP($S$1689,'TAR FIN'!$A$1:$O$115,15,0))</f>
        <v>0</v>
      </c>
      <c r="W1689" s="6">
        <f>IF(ISERROR(VLOOKUP($T$1689,'TAR FIN'!$A$1:$O$115,15,0)),0,VLOOKUP($T$1689,'TAR FIN'!$A$1:$O$115,15,0))</f>
        <v>827.45</v>
      </c>
      <c r="X1689" s="6">
        <f>IF(ISERROR(VLOOKUP($U$1689,'TAR FIN'!$A$1:$O$115,15,0)),0,VLOOKUP($U$1689,'TAR FIN'!$A$1:$O$115,15,0))</f>
        <v>168.06</v>
      </c>
      <c r="Y1689" s="6"/>
      <c r="Z1689" s="6">
        <f ca="1">('TUSD BE'!$AM$63+'TUSD BF'!$AM$63+'TUSD CVA'!$AM$63)*1</f>
        <v>863.35061643044799</v>
      </c>
      <c r="AA1689" s="6">
        <f>('TE BE'!$AB$46+'TE BF'!$AB$46+'TE CVA'!$AB$46)*1</f>
        <v>218.6854278594964</v>
      </c>
      <c r="AB1689" s="6">
        <f>$K$1689*$V$1689</f>
        <v>0</v>
      </c>
      <c r="AC1689" s="6">
        <f>$M$1689*$W$1689</f>
        <v>2316.0325499999999</v>
      </c>
      <c r="AD1689" s="6">
        <f>$O$1689*$X$1689</f>
        <v>470.39994000000002</v>
      </c>
      <c r="AE1689" s="6">
        <f>$K$1689*$Y$1689</f>
        <v>0</v>
      </c>
      <c r="AF1689" s="6">
        <f ca="1">$M$1689*$Z$1689</f>
        <v>2416.5183753888236</v>
      </c>
      <c r="AG1689" s="6">
        <f>$O$1689*$AA$1689</f>
        <v>612.10051257873045</v>
      </c>
    </row>
    <row r="1690" spans="1:33" ht="11.25" customHeight="1" x14ac:dyDescent="0.25">
      <c r="A1690" s="4" t="s">
        <v>28</v>
      </c>
      <c r="B1690" s="4" t="s">
        <v>39</v>
      </c>
      <c r="C1690" s="4" t="s">
        <v>35</v>
      </c>
      <c r="D1690" s="4" t="s">
        <v>45</v>
      </c>
      <c r="E1690" s="4" t="s">
        <v>25</v>
      </c>
      <c r="F1690" s="4" t="s">
        <v>25</v>
      </c>
      <c r="G1690" s="4" t="s">
        <v>25</v>
      </c>
      <c r="H1690" s="4" t="s">
        <v>38</v>
      </c>
      <c r="I1690" s="5">
        <v>44835</v>
      </c>
      <c r="J1690" s="6">
        <v>0</v>
      </c>
      <c r="K1690" s="6">
        <v>0</v>
      </c>
      <c r="L1690" s="6">
        <v>0.57499999999999996</v>
      </c>
      <c r="M1690" s="6">
        <v>0.57499999999999996</v>
      </c>
      <c r="N1690" s="6">
        <v>0.57499999999999996</v>
      </c>
      <c r="O1690" s="6">
        <v>0.57499999999999996</v>
      </c>
      <c r="P1690" s="6">
        <v>0</v>
      </c>
      <c r="Q1690" s="4" t="s">
        <v>26</v>
      </c>
      <c r="R1690" s="4">
        <v>0</v>
      </c>
      <c r="S1690" s="6">
        <v>0</v>
      </c>
      <c r="T1690" s="6">
        <v>65</v>
      </c>
      <c r="U1690" s="6">
        <v>109</v>
      </c>
      <c r="V1690" s="6">
        <f>IF(ISERROR(VLOOKUP($S$1690,'TAR FIN'!$A$1:$O$115,15,0)),0,VLOOKUP($S$1690,'TAR FIN'!$A$1:$O$115,15,0))</f>
        <v>0</v>
      </c>
      <c r="W1690" s="6">
        <f>IF(ISERROR(VLOOKUP($T$1690,'TAR FIN'!$A$1:$O$115,15,0)),0,VLOOKUP($T$1690,'TAR FIN'!$A$1:$O$115,15,0))</f>
        <v>827.45</v>
      </c>
      <c r="X1690" s="6">
        <f>IF(ISERROR(VLOOKUP($U$1690,'TAR FIN'!$A$1:$O$115,15,0)),0,VLOOKUP($U$1690,'TAR FIN'!$A$1:$O$115,15,0))</f>
        <v>168.06</v>
      </c>
      <c r="Y1690" s="6"/>
      <c r="Z1690" s="6">
        <f ca="1">('TUSD BE'!$AM$63+'TUSD BF'!$AM$63+'TUSD CVA'!$AM$63)*1</f>
        <v>863.35061643044799</v>
      </c>
      <c r="AA1690" s="6">
        <f>('TE BE'!$AB$46+'TE BF'!$AB$46+'TE CVA'!$AB$46)*1</f>
        <v>218.6854278594964</v>
      </c>
      <c r="AB1690" s="6">
        <f>$K$1690*$V$1690</f>
        <v>0</v>
      </c>
      <c r="AC1690" s="6">
        <f>$M$1690*$W$1690</f>
        <v>475.78375</v>
      </c>
      <c r="AD1690" s="6">
        <f>$O$1690*$X$1690</f>
        <v>96.634499999999989</v>
      </c>
      <c r="AE1690" s="6">
        <f>$K$1690*$Y$1690</f>
        <v>0</v>
      </c>
      <c r="AF1690" s="6">
        <f ca="1">$M$1690*$Z$1690</f>
        <v>496.42660444750754</v>
      </c>
      <c r="AG1690" s="6">
        <f>$O$1690*$AA$1690</f>
        <v>125.74412101921043</v>
      </c>
    </row>
    <row r="1691" spans="1:33" ht="11.25" customHeight="1" x14ac:dyDescent="0.25">
      <c r="A1691" s="4" t="s">
        <v>30</v>
      </c>
      <c r="B1691" s="4" t="s">
        <v>39</v>
      </c>
      <c r="C1691" s="4" t="s">
        <v>35</v>
      </c>
      <c r="D1691" s="4" t="s">
        <v>45</v>
      </c>
      <c r="E1691" s="4" t="s">
        <v>25</v>
      </c>
      <c r="F1691" s="4" t="s">
        <v>25</v>
      </c>
      <c r="G1691" s="4" t="s">
        <v>25</v>
      </c>
      <c r="H1691" s="4" t="s">
        <v>38</v>
      </c>
      <c r="I1691" s="5">
        <v>44835</v>
      </c>
      <c r="J1691" s="6">
        <v>0</v>
      </c>
      <c r="K1691" s="6">
        <v>0</v>
      </c>
      <c r="L1691" s="6">
        <v>1.0999999999999999E-2</v>
      </c>
      <c r="M1691" s="6">
        <v>1.0999999999999999E-2</v>
      </c>
      <c r="N1691" s="6">
        <v>1.0999999999999999E-2</v>
      </c>
      <c r="O1691" s="6">
        <v>1.0999999999999999E-2</v>
      </c>
      <c r="P1691" s="6">
        <v>0</v>
      </c>
      <c r="Q1691" s="4" t="s">
        <v>26</v>
      </c>
      <c r="R1691" s="4">
        <v>0</v>
      </c>
      <c r="S1691" s="6">
        <v>0</v>
      </c>
      <c r="T1691" s="6">
        <v>65</v>
      </c>
      <c r="U1691" s="6">
        <v>109</v>
      </c>
      <c r="V1691" s="6">
        <f>IF(ISERROR(VLOOKUP($S$1691,'TAR FIN'!$A$1:$O$115,15,0)),0,VLOOKUP($S$1691,'TAR FIN'!$A$1:$O$115,15,0))</f>
        <v>0</v>
      </c>
      <c r="W1691" s="6">
        <f>IF(ISERROR(VLOOKUP($T$1691,'TAR FIN'!$A$1:$O$115,15,0)),0,VLOOKUP($T$1691,'TAR FIN'!$A$1:$O$115,15,0))</f>
        <v>827.45</v>
      </c>
      <c r="X1691" s="6">
        <f>IF(ISERROR(VLOOKUP($U$1691,'TAR FIN'!$A$1:$O$115,15,0)),0,VLOOKUP($U$1691,'TAR FIN'!$A$1:$O$115,15,0))</f>
        <v>168.06</v>
      </c>
      <c r="Y1691" s="6"/>
      <c r="Z1691" s="6">
        <f ca="1">('TUSD BE'!$AM$63+'TUSD BF'!$AM$63+'TUSD CVA'!$AM$63)*1</f>
        <v>863.35061643044799</v>
      </c>
      <c r="AA1691" s="6">
        <f>('TE BE'!$AB$46+'TE BF'!$AB$46+'TE CVA'!$AB$46)*1</f>
        <v>218.6854278594964</v>
      </c>
      <c r="AB1691" s="6">
        <f>$K$1691*$V$1691</f>
        <v>0</v>
      </c>
      <c r="AC1691" s="6">
        <f>$M$1691*$W$1691</f>
        <v>9.1019500000000004</v>
      </c>
      <c r="AD1691" s="6">
        <f>$O$1691*$X$1691</f>
        <v>1.84866</v>
      </c>
      <c r="AE1691" s="6">
        <f>$K$1691*$Y$1691</f>
        <v>0</v>
      </c>
      <c r="AF1691" s="6">
        <f ca="1">$M$1691*$Z$1691</f>
        <v>9.4968567807349267</v>
      </c>
      <c r="AG1691" s="6">
        <f>$O$1691*$AA$1691</f>
        <v>2.4055397064544604</v>
      </c>
    </row>
    <row r="1692" spans="1:33" ht="11.25" customHeight="1" x14ac:dyDescent="0.25">
      <c r="A1692" s="4" t="s">
        <v>59</v>
      </c>
      <c r="B1692" s="4" t="s">
        <v>39</v>
      </c>
      <c r="C1692" s="4" t="s">
        <v>35</v>
      </c>
      <c r="D1692" s="4" t="s">
        <v>45</v>
      </c>
      <c r="E1692" s="4" t="s">
        <v>25</v>
      </c>
      <c r="F1692" s="4" t="s">
        <v>25</v>
      </c>
      <c r="G1692" s="4" t="s">
        <v>25</v>
      </c>
      <c r="H1692" s="4" t="s">
        <v>38</v>
      </c>
      <c r="I1692" s="5">
        <v>44866</v>
      </c>
      <c r="J1692" s="6">
        <v>0</v>
      </c>
      <c r="K1692" s="6">
        <v>0</v>
      </c>
      <c r="L1692" s="6">
        <v>2.7989999999999999</v>
      </c>
      <c r="M1692" s="6">
        <v>2.7989999999999999</v>
      </c>
      <c r="N1692" s="6">
        <v>2.7989999999999999</v>
      </c>
      <c r="O1692" s="6">
        <v>2.7989999999999999</v>
      </c>
      <c r="P1692" s="6">
        <v>0</v>
      </c>
      <c r="Q1692" s="4" t="s">
        <v>26</v>
      </c>
      <c r="R1692" s="4">
        <v>0</v>
      </c>
      <c r="S1692" s="6">
        <v>0</v>
      </c>
      <c r="T1692" s="6">
        <v>65</v>
      </c>
      <c r="U1692" s="6">
        <v>109</v>
      </c>
      <c r="V1692" s="6">
        <f>IF(ISERROR(VLOOKUP($S$1692,'TAR FIN'!$A$1:$O$115,15,0)),0,VLOOKUP($S$1692,'TAR FIN'!$A$1:$O$115,15,0))</f>
        <v>0</v>
      </c>
      <c r="W1692" s="6">
        <f>IF(ISERROR(VLOOKUP($T$1692,'TAR FIN'!$A$1:$O$115,15,0)),0,VLOOKUP($T$1692,'TAR FIN'!$A$1:$O$115,15,0))</f>
        <v>827.45</v>
      </c>
      <c r="X1692" s="6">
        <f>IF(ISERROR(VLOOKUP($U$1692,'TAR FIN'!$A$1:$O$115,15,0)),0,VLOOKUP($U$1692,'TAR FIN'!$A$1:$O$115,15,0))</f>
        <v>168.06</v>
      </c>
      <c r="Y1692" s="6"/>
      <c r="Z1692" s="6">
        <f ca="1">('TUSD BE'!$AM$63+'TUSD BF'!$AM$63+'TUSD CVA'!$AM$63)*1</f>
        <v>863.35061643044799</v>
      </c>
      <c r="AA1692" s="6">
        <f>('TE BE'!$AB$46+'TE BF'!$AB$46+'TE CVA'!$AB$46)*1</f>
        <v>218.6854278594964</v>
      </c>
      <c r="AB1692" s="6">
        <f>$K$1692*$V$1692</f>
        <v>0</v>
      </c>
      <c r="AC1692" s="6">
        <f>$M$1692*$W$1692</f>
        <v>2316.0325499999999</v>
      </c>
      <c r="AD1692" s="6">
        <f>$O$1692*$X$1692</f>
        <v>470.39994000000002</v>
      </c>
      <c r="AE1692" s="6">
        <f>$K$1692*$Y$1692</f>
        <v>0</v>
      </c>
      <c r="AF1692" s="6">
        <f ca="1">$M$1692*$Z$1692</f>
        <v>2416.5183753888236</v>
      </c>
      <c r="AG1692" s="6">
        <f>$O$1692*$AA$1692</f>
        <v>612.10051257873045</v>
      </c>
    </row>
    <row r="1693" spans="1:33" ht="11.25" customHeight="1" x14ac:dyDescent="0.25">
      <c r="A1693" s="4" t="s">
        <v>59</v>
      </c>
      <c r="B1693" s="4" t="s">
        <v>39</v>
      </c>
      <c r="C1693" s="4" t="s">
        <v>35</v>
      </c>
      <c r="D1693" s="4" t="s">
        <v>45</v>
      </c>
      <c r="E1693" s="4" t="s">
        <v>25</v>
      </c>
      <c r="F1693" s="4" t="s">
        <v>25</v>
      </c>
      <c r="G1693" s="4" t="s">
        <v>25</v>
      </c>
      <c r="H1693" s="4" t="s">
        <v>38</v>
      </c>
      <c r="I1693" s="5">
        <v>44866</v>
      </c>
      <c r="J1693" s="6">
        <v>0</v>
      </c>
      <c r="K1693" s="6">
        <v>0</v>
      </c>
      <c r="L1693" s="6">
        <v>0.57499999999999996</v>
      </c>
      <c r="M1693" s="6">
        <v>0.57499999999999996</v>
      </c>
      <c r="N1693" s="6">
        <v>0.57499999999999996</v>
      </c>
      <c r="O1693" s="6">
        <v>0.57499999999999996</v>
      </c>
      <c r="P1693" s="6">
        <v>0</v>
      </c>
      <c r="Q1693" s="4" t="s">
        <v>26</v>
      </c>
      <c r="R1693" s="4">
        <v>0</v>
      </c>
      <c r="S1693" s="6">
        <v>0</v>
      </c>
      <c r="T1693" s="6">
        <v>65</v>
      </c>
      <c r="U1693" s="6">
        <v>109</v>
      </c>
      <c r="V1693" s="6">
        <f>IF(ISERROR(VLOOKUP($S$1693,'TAR FIN'!$A$1:$O$115,15,0)),0,VLOOKUP($S$1693,'TAR FIN'!$A$1:$O$115,15,0))</f>
        <v>0</v>
      </c>
      <c r="W1693" s="6">
        <f>IF(ISERROR(VLOOKUP($T$1693,'TAR FIN'!$A$1:$O$115,15,0)),0,VLOOKUP($T$1693,'TAR FIN'!$A$1:$O$115,15,0))</f>
        <v>827.45</v>
      </c>
      <c r="X1693" s="6">
        <f>IF(ISERROR(VLOOKUP($U$1693,'TAR FIN'!$A$1:$O$115,15,0)),0,VLOOKUP($U$1693,'TAR FIN'!$A$1:$O$115,15,0))</f>
        <v>168.06</v>
      </c>
      <c r="Y1693" s="6"/>
      <c r="Z1693" s="6">
        <f ca="1">('TUSD BE'!$AM$63+'TUSD BF'!$AM$63+'TUSD CVA'!$AM$63)*1</f>
        <v>863.35061643044799</v>
      </c>
      <c r="AA1693" s="6">
        <f>('TE BE'!$AB$46+'TE BF'!$AB$46+'TE CVA'!$AB$46)*1</f>
        <v>218.6854278594964</v>
      </c>
      <c r="AB1693" s="6">
        <f>$K$1693*$V$1693</f>
        <v>0</v>
      </c>
      <c r="AC1693" s="6">
        <f>$M$1693*$W$1693</f>
        <v>475.78375</v>
      </c>
      <c r="AD1693" s="6">
        <f>$O$1693*$X$1693</f>
        <v>96.634499999999989</v>
      </c>
      <c r="AE1693" s="6">
        <f>$K$1693*$Y$1693</f>
        <v>0</v>
      </c>
      <c r="AF1693" s="6">
        <f ca="1">$M$1693*$Z$1693</f>
        <v>496.42660444750754</v>
      </c>
      <c r="AG1693" s="6">
        <f>$O$1693*$AA$1693</f>
        <v>125.74412101921043</v>
      </c>
    </row>
    <row r="1694" spans="1:33" ht="11.25" customHeight="1" x14ac:dyDescent="0.25">
      <c r="A1694" s="4" t="s">
        <v>59</v>
      </c>
      <c r="B1694" s="4" t="s">
        <v>39</v>
      </c>
      <c r="C1694" s="4" t="s">
        <v>35</v>
      </c>
      <c r="D1694" s="4" t="s">
        <v>45</v>
      </c>
      <c r="E1694" s="4" t="s">
        <v>25</v>
      </c>
      <c r="F1694" s="4" t="s">
        <v>25</v>
      </c>
      <c r="G1694" s="4" t="s">
        <v>25</v>
      </c>
      <c r="H1694" s="4" t="s">
        <v>38</v>
      </c>
      <c r="I1694" s="5">
        <v>44866</v>
      </c>
      <c r="J1694" s="6">
        <v>0</v>
      </c>
      <c r="K1694" s="6">
        <v>0</v>
      </c>
      <c r="L1694" s="6">
        <v>1.0999999999999999E-2</v>
      </c>
      <c r="M1694" s="6">
        <v>1.0999999999999999E-2</v>
      </c>
      <c r="N1694" s="6">
        <v>1.0999999999999999E-2</v>
      </c>
      <c r="O1694" s="6">
        <v>1.0999999999999999E-2</v>
      </c>
      <c r="P1694" s="6">
        <v>0</v>
      </c>
      <c r="Q1694" s="4" t="s">
        <v>26</v>
      </c>
      <c r="R1694" s="4">
        <v>0</v>
      </c>
      <c r="S1694" s="6">
        <v>0</v>
      </c>
      <c r="T1694" s="6">
        <v>65</v>
      </c>
      <c r="U1694" s="6">
        <v>109</v>
      </c>
      <c r="V1694" s="6">
        <f>IF(ISERROR(VLOOKUP($S$1694,'TAR FIN'!$A$1:$O$115,15,0)),0,VLOOKUP($S$1694,'TAR FIN'!$A$1:$O$115,15,0))</f>
        <v>0</v>
      </c>
      <c r="W1694" s="6">
        <f>IF(ISERROR(VLOOKUP($T$1694,'TAR FIN'!$A$1:$O$115,15,0)),0,VLOOKUP($T$1694,'TAR FIN'!$A$1:$O$115,15,0))</f>
        <v>827.45</v>
      </c>
      <c r="X1694" s="6">
        <f>IF(ISERROR(VLOOKUP($U$1694,'TAR FIN'!$A$1:$O$115,15,0)),0,VLOOKUP($U$1694,'TAR FIN'!$A$1:$O$115,15,0))</f>
        <v>168.06</v>
      </c>
      <c r="Y1694" s="6"/>
      <c r="Z1694" s="6">
        <f ca="1">('TUSD BE'!$AM$63+'TUSD BF'!$AM$63+'TUSD CVA'!$AM$63)*1</f>
        <v>863.35061643044799</v>
      </c>
      <c r="AA1694" s="6">
        <f>('TE BE'!$AB$46+'TE BF'!$AB$46+'TE CVA'!$AB$46)*1</f>
        <v>218.6854278594964</v>
      </c>
      <c r="AB1694" s="6">
        <f>$K$1694*$V$1694</f>
        <v>0</v>
      </c>
      <c r="AC1694" s="6">
        <f>$M$1694*$W$1694</f>
        <v>9.1019500000000004</v>
      </c>
      <c r="AD1694" s="6">
        <f>$O$1694*$X$1694</f>
        <v>1.84866</v>
      </c>
      <c r="AE1694" s="6">
        <f>$K$1694*$Y$1694</f>
        <v>0</v>
      </c>
      <c r="AF1694" s="6">
        <f ca="1">$M$1694*$Z$1694</f>
        <v>9.4968567807349267</v>
      </c>
      <c r="AG1694" s="6">
        <f>$O$1694*$AA$1694</f>
        <v>2.4055397064544604</v>
      </c>
    </row>
    <row r="1695" spans="1:33" ht="11.25" customHeight="1" x14ac:dyDescent="0.25">
      <c r="A1695" s="4" t="s">
        <v>21</v>
      </c>
      <c r="B1695" s="4" t="s">
        <v>39</v>
      </c>
      <c r="C1695" s="4" t="s">
        <v>35</v>
      </c>
      <c r="D1695" s="4" t="s">
        <v>45</v>
      </c>
      <c r="E1695" s="4" t="s">
        <v>25</v>
      </c>
      <c r="F1695" s="4" t="s">
        <v>25</v>
      </c>
      <c r="G1695" s="4" t="s">
        <v>25</v>
      </c>
      <c r="H1695" s="4" t="s">
        <v>36</v>
      </c>
      <c r="I1695" s="5">
        <v>44531</v>
      </c>
      <c r="J1695" s="6">
        <v>0</v>
      </c>
      <c r="K1695" s="6">
        <v>0</v>
      </c>
      <c r="L1695" s="6">
        <v>5.181</v>
      </c>
      <c r="M1695" s="6">
        <v>5.181</v>
      </c>
      <c r="N1695" s="6">
        <v>5.181</v>
      </c>
      <c r="O1695" s="6">
        <v>5.181</v>
      </c>
      <c r="P1695" s="6">
        <v>0</v>
      </c>
      <c r="Q1695" s="4" t="s">
        <v>26</v>
      </c>
      <c r="R1695" s="4">
        <v>0</v>
      </c>
      <c r="S1695" s="6">
        <v>0</v>
      </c>
      <c r="T1695" s="6">
        <v>64</v>
      </c>
      <c r="U1695" s="6">
        <v>108</v>
      </c>
      <c r="V1695" s="6">
        <f>IF(ISERROR(VLOOKUP($S$1695,'TAR FIN'!$A$1:$O$115,15,0)),0,VLOOKUP($S$1695,'TAR FIN'!$A$1:$O$115,15,0))</f>
        <v>0</v>
      </c>
      <c r="W1695" s="6">
        <f>IF(ISERROR(VLOOKUP($T$1695,'TAR FIN'!$A$1:$O$115,15,0)),0,VLOOKUP($T$1695,'TAR FIN'!$A$1:$O$115,15,0))</f>
        <v>1303.25</v>
      </c>
      <c r="X1695" s="6">
        <f>IF(ISERROR(VLOOKUP($U$1695,'TAR FIN'!$A$1:$O$115,15,0)),0,VLOOKUP($U$1695,'TAR FIN'!$A$1:$O$115,15,0))</f>
        <v>270.3</v>
      </c>
      <c r="Y1695" s="6"/>
      <c r="Z1695" s="6">
        <f ca="1">('TUSD BE'!$AM$62+'TUSD BF'!$AM$62+'TUSD CVA'!$AM$62)*1</f>
        <v>1335.5988600941293</v>
      </c>
      <c r="AA1695" s="6">
        <f>('TE BE'!$AB$45+'TE BF'!$AB$45+'TE CVA'!$AB$45)*1</f>
        <v>362.64398683254075</v>
      </c>
      <c r="AB1695" s="6">
        <f>$K$1695*$V$1695</f>
        <v>0</v>
      </c>
      <c r="AC1695" s="6">
        <f>$M$1695*$W$1695</f>
        <v>6752.13825</v>
      </c>
      <c r="AD1695" s="6">
        <f>$O$1695*$X$1695</f>
        <v>1400.4243000000001</v>
      </c>
      <c r="AE1695" s="6">
        <f>$K$1695*$Y$1695</f>
        <v>0</v>
      </c>
      <c r="AF1695" s="6">
        <f ca="1">$M$1695*$Z$1695</f>
        <v>6919.7376941476841</v>
      </c>
      <c r="AG1695" s="6">
        <f>$O$1695*$AA$1695</f>
        <v>1878.8584957793937</v>
      </c>
    </row>
    <row r="1696" spans="1:33" ht="11.25" customHeight="1" x14ac:dyDescent="0.25">
      <c r="A1696" s="4" t="s">
        <v>27</v>
      </c>
      <c r="B1696" s="4" t="s">
        <v>39</v>
      </c>
      <c r="C1696" s="4" t="s">
        <v>35</v>
      </c>
      <c r="D1696" s="4" t="s">
        <v>45</v>
      </c>
      <c r="E1696" s="4" t="s">
        <v>25</v>
      </c>
      <c r="F1696" s="4" t="s">
        <v>25</v>
      </c>
      <c r="G1696" s="4" t="s">
        <v>25</v>
      </c>
      <c r="H1696" s="4" t="s">
        <v>36</v>
      </c>
      <c r="I1696" s="5">
        <v>44531</v>
      </c>
      <c r="J1696" s="6">
        <v>0</v>
      </c>
      <c r="K1696" s="6">
        <v>0</v>
      </c>
      <c r="L1696" s="6">
        <v>0.438</v>
      </c>
      <c r="M1696" s="6">
        <v>0.438</v>
      </c>
      <c r="N1696" s="6">
        <v>0.438</v>
      </c>
      <c r="O1696" s="6">
        <v>0.438</v>
      </c>
      <c r="P1696" s="6">
        <v>0</v>
      </c>
      <c r="Q1696" s="4" t="s">
        <v>26</v>
      </c>
      <c r="R1696" s="4">
        <v>0</v>
      </c>
      <c r="S1696" s="6">
        <v>0</v>
      </c>
      <c r="T1696" s="6">
        <v>64</v>
      </c>
      <c r="U1696" s="6">
        <v>108</v>
      </c>
      <c r="V1696" s="6">
        <f>IF(ISERROR(VLOOKUP($S$1696,'TAR FIN'!$A$1:$O$115,15,0)),0,VLOOKUP($S$1696,'TAR FIN'!$A$1:$O$115,15,0))</f>
        <v>0</v>
      </c>
      <c r="W1696" s="6">
        <f>IF(ISERROR(VLOOKUP($T$1696,'TAR FIN'!$A$1:$O$115,15,0)),0,VLOOKUP($T$1696,'TAR FIN'!$A$1:$O$115,15,0))</f>
        <v>1303.25</v>
      </c>
      <c r="X1696" s="6">
        <f>IF(ISERROR(VLOOKUP($U$1696,'TAR FIN'!$A$1:$O$115,15,0)),0,VLOOKUP($U$1696,'TAR FIN'!$A$1:$O$115,15,0))</f>
        <v>270.3</v>
      </c>
      <c r="Y1696" s="6"/>
      <c r="Z1696" s="6">
        <f ca="1">('TUSD BE'!$AM$62+'TUSD BF'!$AM$62+'TUSD CVA'!$AM$62)*1</f>
        <v>1335.5988600941293</v>
      </c>
      <c r="AA1696" s="6">
        <f>('TE BE'!$AB$45+'TE BF'!$AB$45+'TE CVA'!$AB$45)*1</f>
        <v>362.64398683254075</v>
      </c>
      <c r="AB1696" s="6">
        <f>$K$1696*$V$1696</f>
        <v>0</v>
      </c>
      <c r="AC1696" s="6">
        <f>$M$1696*$W$1696</f>
        <v>570.82349999999997</v>
      </c>
      <c r="AD1696" s="6">
        <f>$O$1696*$X$1696</f>
        <v>118.3914</v>
      </c>
      <c r="AE1696" s="6">
        <f>$K$1696*$Y$1696</f>
        <v>0</v>
      </c>
      <c r="AF1696" s="6">
        <f ca="1">$M$1696*$Z$1696</f>
        <v>584.99230072122862</v>
      </c>
      <c r="AG1696" s="6">
        <f>$O$1696*$AA$1696</f>
        <v>158.83806623265284</v>
      </c>
    </row>
    <row r="1697" spans="1:33" ht="11.25" customHeight="1" x14ac:dyDescent="0.25">
      <c r="A1697" s="4" t="s">
        <v>28</v>
      </c>
      <c r="B1697" s="4" t="s">
        <v>39</v>
      </c>
      <c r="C1697" s="4" t="s">
        <v>35</v>
      </c>
      <c r="D1697" s="4" t="s">
        <v>45</v>
      </c>
      <c r="E1697" s="4" t="s">
        <v>25</v>
      </c>
      <c r="F1697" s="4" t="s">
        <v>25</v>
      </c>
      <c r="G1697" s="4" t="s">
        <v>25</v>
      </c>
      <c r="H1697" s="4" t="s">
        <v>36</v>
      </c>
      <c r="I1697" s="5">
        <v>44531</v>
      </c>
      <c r="J1697" s="6">
        <v>0</v>
      </c>
      <c r="K1697" s="6">
        <v>0</v>
      </c>
      <c r="L1697" s="6">
        <v>0.50600000000000001</v>
      </c>
      <c r="M1697" s="6">
        <v>0.50600000000000001</v>
      </c>
      <c r="N1697" s="6">
        <v>0.50600000000000001</v>
      </c>
      <c r="O1697" s="6">
        <v>0.50600000000000001</v>
      </c>
      <c r="P1697" s="6">
        <v>0</v>
      </c>
      <c r="Q1697" s="4" t="s">
        <v>26</v>
      </c>
      <c r="R1697" s="4">
        <v>0</v>
      </c>
      <c r="S1697" s="6">
        <v>0</v>
      </c>
      <c r="T1697" s="6">
        <v>64</v>
      </c>
      <c r="U1697" s="6">
        <v>108</v>
      </c>
      <c r="V1697" s="6">
        <f>IF(ISERROR(VLOOKUP($S$1697,'TAR FIN'!$A$1:$O$115,15,0)),0,VLOOKUP($S$1697,'TAR FIN'!$A$1:$O$115,15,0))</f>
        <v>0</v>
      </c>
      <c r="W1697" s="6">
        <f>IF(ISERROR(VLOOKUP($T$1697,'TAR FIN'!$A$1:$O$115,15,0)),0,VLOOKUP($T$1697,'TAR FIN'!$A$1:$O$115,15,0))</f>
        <v>1303.25</v>
      </c>
      <c r="X1697" s="6">
        <f>IF(ISERROR(VLOOKUP($U$1697,'TAR FIN'!$A$1:$O$115,15,0)),0,VLOOKUP($U$1697,'TAR FIN'!$A$1:$O$115,15,0))</f>
        <v>270.3</v>
      </c>
      <c r="Y1697" s="6"/>
      <c r="Z1697" s="6">
        <f ca="1">('TUSD BE'!$AM$62+'TUSD BF'!$AM$62+'TUSD CVA'!$AM$62)*1</f>
        <v>1335.5988600941293</v>
      </c>
      <c r="AA1697" s="6">
        <f>('TE BE'!$AB$45+'TE BF'!$AB$45+'TE CVA'!$AB$45)*1</f>
        <v>362.64398683254075</v>
      </c>
      <c r="AB1697" s="6">
        <f>$K$1697*$V$1697</f>
        <v>0</v>
      </c>
      <c r="AC1697" s="6">
        <f>$M$1697*$W$1697</f>
        <v>659.44450000000006</v>
      </c>
      <c r="AD1697" s="6">
        <f>$O$1697*$X$1697</f>
        <v>136.77180000000001</v>
      </c>
      <c r="AE1697" s="6">
        <f>$K$1697*$Y$1697</f>
        <v>0</v>
      </c>
      <c r="AF1697" s="6">
        <f ca="1">$M$1697*$Z$1697</f>
        <v>675.8130232076295</v>
      </c>
      <c r="AG1697" s="6">
        <f>$O$1697*$AA$1697</f>
        <v>183.49785733726563</v>
      </c>
    </row>
    <row r="1698" spans="1:33" ht="11.25" customHeight="1" x14ac:dyDescent="0.25">
      <c r="A1698" s="4" t="s">
        <v>30</v>
      </c>
      <c r="B1698" s="4" t="s">
        <v>39</v>
      </c>
      <c r="C1698" s="4" t="s">
        <v>35</v>
      </c>
      <c r="D1698" s="4" t="s">
        <v>45</v>
      </c>
      <c r="E1698" s="4" t="s">
        <v>25</v>
      </c>
      <c r="F1698" s="4" t="s">
        <v>25</v>
      </c>
      <c r="G1698" s="4" t="s">
        <v>25</v>
      </c>
      <c r="H1698" s="4" t="s">
        <v>36</v>
      </c>
      <c r="I1698" s="5">
        <v>44531</v>
      </c>
      <c r="J1698" s="6">
        <v>0</v>
      </c>
      <c r="K1698" s="6">
        <v>0</v>
      </c>
      <c r="L1698" s="6">
        <v>7.0000000000000007E-2</v>
      </c>
      <c r="M1698" s="6">
        <v>7.0000000000000007E-2</v>
      </c>
      <c r="N1698" s="6">
        <v>7.0000000000000007E-2</v>
      </c>
      <c r="O1698" s="6">
        <v>7.0000000000000007E-2</v>
      </c>
      <c r="P1698" s="6">
        <v>0</v>
      </c>
      <c r="Q1698" s="4" t="s">
        <v>26</v>
      </c>
      <c r="R1698" s="4">
        <v>0</v>
      </c>
      <c r="S1698" s="6">
        <v>0</v>
      </c>
      <c r="T1698" s="6">
        <v>64</v>
      </c>
      <c r="U1698" s="6">
        <v>108</v>
      </c>
      <c r="V1698" s="6">
        <f>IF(ISERROR(VLOOKUP($S$1698,'TAR FIN'!$A$1:$O$115,15,0)),0,VLOOKUP($S$1698,'TAR FIN'!$A$1:$O$115,15,0))</f>
        <v>0</v>
      </c>
      <c r="W1698" s="6">
        <f>IF(ISERROR(VLOOKUP($T$1698,'TAR FIN'!$A$1:$O$115,15,0)),0,VLOOKUP($T$1698,'TAR FIN'!$A$1:$O$115,15,0))</f>
        <v>1303.25</v>
      </c>
      <c r="X1698" s="6">
        <f>IF(ISERROR(VLOOKUP($U$1698,'TAR FIN'!$A$1:$O$115,15,0)),0,VLOOKUP($U$1698,'TAR FIN'!$A$1:$O$115,15,0))</f>
        <v>270.3</v>
      </c>
      <c r="Y1698" s="6"/>
      <c r="Z1698" s="6">
        <f ca="1">('TUSD BE'!$AM$62+'TUSD BF'!$AM$62+'TUSD CVA'!$AM$62)*1</f>
        <v>1335.5988600941293</v>
      </c>
      <c r="AA1698" s="6">
        <f>('TE BE'!$AB$45+'TE BF'!$AB$45+'TE CVA'!$AB$45)*1</f>
        <v>362.64398683254075</v>
      </c>
      <c r="AB1698" s="6">
        <f>$K$1698*$V$1698</f>
        <v>0</v>
      </c>
      <c r="AC1698" s="6">
        <f>$M$1698*$W$1698</f>
        <v>91.227500000000006</v>
      </c>
      <c r="AD1698" s="6">
        <f>$O$1698*$X$1698</f>
        <v>18.921000000000003</v>
      </c>
      <c r="AE1698" s="6">
        <f>$K$1698*$Y$1698</f>
        <v>0</v>
      </c>
      <c r="AF1698" s="6">
        <f ca="1">$M$1698*$Z$1698</f>
        <v>93.491920206589057</v>
      </c>
      <c r="AG1698" s="6">
        <f>$O$1698*$AA$1698</f>
        <v>25.385079078277855</v>
      </c>
    </row>
    <row r="1699" spans="1:33" ht="11.25" customHeight="1" x14ac:dyDescent="0.25">
      <c r="A1699" s="4" t="s">
        <v>21</v>
      </c>
      <c r="B1699" s="4" t="s">
        <v>39</v>
      </c>
      <c r="C1699" s="4" t="s">
        <v>35</v>
      </c>
      <c r="D1699" s="4" t="s">
        <v>45</v>
      </c>
      <c r="E1699" s="4" t="s">
        <v>25</v>
      </c>
      <c r="F1699" s="4" t="s">
        <v>25</v>
      </c>
      <c r="G1699" s="4" t="s">
        <v>25</v>
      </c>
      <c r="H1699" s="4" t="s">
        <v>36</v>
      </c>
      <c r="I1699" s="5">
        <v>44562</v>
      </c>
      <c r="J1699" s="6">
        <v>0</v>
      </c>
      <c r="K1699" s="6">
        <v>0</v>
      </c>
      <c r="L1699" s="6">
        <v>5.2590000000000003</v>
      </c>
      <c r="M1699" s="6">
        <v>5.2590000000000003</v>
      </c>
      <c r="N1699" s="6">
        <v>5.2590000000000003</v>
      </c>
      <c r="O1699" s="6">
        <v>5.2590000000000003</v>
      </c>
      <c r="P1699" s="6">
        <v>0</v>
      </c>
      <c r="Q1699" s="4" t="s">
        <v>26</v>
      </c>
      <c r="R1699" s="4">
        <v>0</v>
      </c>
      <c r="S1699" s="6">
        <v>0</v>
      </c>
      <c r="T1699" s="6">
        <v>64</v>
      </c>
      <c r="U1699" s="6">
        <v>108</v>
      </c>
      <c r="V1699" s="6">
        <f>IF(ISERROR(VLOOKUP($S$1699,'TAR FIN'!$A$1:$O$115,15,0)),0,VLOOKUP($S$1699,'TAR FIN'!$A$1:$O$115,15,0))</f>
        <v>0</v>
      </c>
      <c r="W1699" s="6">
        <f>IF(ISERROR(VLOOKUP($T$1699,'TAR FIN'!$A$1:$O$115,15,0)),0,VLOOKUP($T$1699,'TAR FIN'!$A$1:$O$115,15,0))</f>
        <v>1303.25</v>
      </c>
      <c r="X1699" s="6">
        <f>IF(ISERROR(VLOOKUP($U$1699,'TAR FIN'!$A$1:$O$115,15,0)),0,VLOOKUP($U$1699,'TAR FIN'!$A$1:$O$115,15,0))</f>
        <v>270.3</v>
      </c>
      <c r="Y1699" s="6"/>
      <c r="Z1699" s="6">
        <f ca="1">('TUSD BE'!$AM$62+'TUSD BF'!$AM$62+'TUSD CVA'!$AM$62)*1</f>
        <v>1335.5988600941293</v>
      </c>
      <c r="AA1699" s="6">
        <f>('TE BE'!$AB$45+'TE BF'!$AB$45+'TE CVA'!$AB$45)*1</f>
        <v>362.64398683254075</v>
      </c>
      <c r="AB1699" s="6">
        <f>$K$1699*$V$1699</f>
        <v>0</v>
      </c>
      <c r="AC1699" s="6">
        <f>$M$1699*$W$1699</f>
        <v>6853.7917500000003</v>
      </c>
      <c r="AD1699" s="6">
        <f>$O$1699*$X$1699</f>
        <v>1421.5077000000001</v>
      </c>
      <c r="AE1699" s="6">
        <f>$K$1699*$Y$1699</f>
        <v>0</v>
      </c>
      <c r="AF1699" s="6">
        <f ca="1">$M$1699*$Z$1699</f>
        <v>7023.9144052350266</v>
      </c>
      <c r="AG1699" s="6">
        <f>$O$1699*$AA$1699</f>
        <v>1907.144726752332</v>
      </c>
    </row>
    <row r="1700" spans="1:33" ht="11.25" customHeight="1" x14ac:dyDescent="0.25">
      <c r="A1700" s="4" t="s">
        <v>27</v>
      </c>
      <c r="B1700" s="4" t="s">
        <v>39</v>
      </c>
      <c r="C1700" s="4" t="s">
        <v>35</v>
      </c>
      <c r="D1700" s="4" t="s">
        <v>45</v>
      </c>
      <c r="E1700" s="4" t="s">
        <v>25</v>
      </c>
      <c r="F1700" s="4" t="s">
        <v>25</v>
      </c>
      <c r="G1700" s="4" t="s">
        <v>25</v>
      </c>
      <c r="H1700" s="4" t="s">
        <v>36</v>
      </c>
      <c r="I1700" s="5">
        <v>44562</v>
      </c>
      <c r="J1700" s="6">
        <v>0</v>
      </c>
      <c r="K1700" s="6">
        <v>0</v>
      </c>
      <c r="L1700" s="6">
        <v>-3.5000000000000003E-2</v>
      </c>
      <c r="M1700" s="6">
        <v>-3.5000000000000003E-2</v>
      </c>
      <c r="N1700" s="6">
        <v>-3.5000000000000003E-2</v>
      </c>
      <c r="O1700" s="6">
        <v>-3.5000000000000003E-2</v>
      </c>
      <c r="P1700" s="6">
        <v>0</v>
      </c>
      <c r="Q1700" s="4" t="s">
        <v>26</v>
      </c>
      <c r="R1700" s="4">
        <v>0</v>
      </c>
      <c r="S1700" s="6">
        <v>0</v>
      </c>
      <c r="T1700" s="6">
        <v>64</v>
      </c>
      <c r="U1700" s="6">
        <v>108</v>
      </c>
      <c r="V1700" s="6">
        <f>IF(ISERROR(VLOOKUP($S$1700,'TAR FIN'!$A$1:$O$115,15,0)),0,VLOOKUP($S$1700,'TAR FIN'!$A$1:$O$115,15,0))</f>
        <v>0</v>
      </c>
      <c r="W1700" s="6">
        <f>IF(ISERROR(VLOOKUP($T$1700,'TAR FIN'!$A$1:$O$115,15,0)),0,VLOOKUP($T$1700,'TAR FIN'!$A$1:$O$115,15,0))</f>
        <v>1303.25</v>
      </c>
      <c r="X1700" s="6">
        <f>IF(ISERROR(VLOOKUP($U$1700,'TAR FIN'!$A$1:$O$115,15,0)),0,VLOOKUP($U$1700,'TAR FIN'!$A$1:$O$115,15,0))</f>
        <v>270.3</v>
      </c>
      <c r="Y1700" s="6"/>
      <c r="Z1700" s="6">
        <f ca="1">('TUSD BE'!$AM$62+'TUSD BF'!$AM$62+'TUSD CVA'!$AM$62)*1</f>
        <v>1335.5988600941293</v>
      </c>
      <c r="AA1700" s="6">
        <f>('TE BE'!$AB$45+'TE BF'!$AB$45+'TE CVA'!$AB$45)*1</f>
        <v>362.64398683254075</v>
      </c>
      <c r="AB1700" s="6">
        <f>$K$1700*$V$1700</f>
        <v>0</v>
      </c>
      <c r="AC1700" s="6">
        <f>$M$1700*$W$1700</f>
        <v>-45.613750000000003</v>
      </c>
      <c r="AD1700" s="6">
        <f>$O$1700*$X$1700</f>
        <v>-9.4605000000000015</v>
      </c>
      <c r="AE1700" s="6">
        <f>$K$1700*$Y$1700</f>
        <v>0</v>
      </c>
      <c r="AF1700" s="6">
        <f ca="1">$M$1700*$Z$1700</f>
        <v>-46.745960103294529</v>
      </c>
      <c r="AG1700" s="6">
        <f>$O$1700*$AA$1700</f>
        <v>-12.692539539138927</v>
      </c>
    </row>
    <row r="1701" spans="1:33" ht="11.25" customHeight="1" x14ac:dyDescent="0.25">
      <c r="A1701" s="4" t="s">
        <v>28</v>
      </c>
      <c r="B1701" s="4" t="s">
        <v>39</v>
      </c>
      <c r="C1701" s="4" t="s">
        <v>35</v>
      </c>
      <c r="D1701" s="4" t="s">
        <v>45</v>
      </c>
      <c r="E1701" s="4" t="s">
        <v>25</v>
      </c>
      <c r="F1701" s="4" t="s">
        <v>25</v>
      </c>
      <c r="G1701" s="4" t="s">
        <v>25</v>
      </c>
      <c r="H1701" s="4" t="s">
        <v>36</v>
      </c>
      <c r="I1701" s="5">
        <v>44562</v>
      </c>
      <c r="J1701" s="6">
        <v>0</v>
      </c>
      <c r="K1701" s="6">
        <v>0</v>
      </c>
      <c r="L1701" s="6">
        <v>0.60699999999999998</v>
      </c>
      <c r="M1701" s="6">
        <v>0.60699999999999998</v>
      </c>
      <c r="N1701" s="6">
        <v>0.60699999999999998</v>
      </c>
      <c r="O1701" s="6">
        <v>0.60699999999999998</v>
      </c>
      <c r="P1701" s="6">
        <v>0</v>
      </c>
      <c r="Q1701" s="4" t="s">
        <v>26</v>
      </c>
      <c r="R1701" s="4">
        <v>0</v>
      </c>
      <c r="S1701" s="6">
        <v>0</v>
      </c>
      <c r="T1701" s="6">
        <v>64</v>
      </c>
      <c r="U1701" s="6">
        <v>108</v>
      </c>
      <c r="V1701" s="6">
        <f>IF(ISERROR(VLOOKUP($S$1701,'TAR FIN'!$A$1:$O$115,15,0)),0,VLOOKUP($S$1701,'TAR FIN'!$A$1:$O$115,15,0))</f>
        <v>0</v>
      </c>
      <c r="W1701" s="6">
        <f>IF(ISERROR(VLOOKUP($T$1701,'TAR FIN'!$A$1:$O$115,15,0)),0,VLOOKUP($T$1701,'TAR FIN'!$A$1:$O$115,15,0))</f>
        <v>1303.25</v>
      </c>
      <c r="X1701" s="6">
        <f>IF(ISERROR(VLOOKUP($U$1701,'TAR FIN'!$A$1:$O$115,15,0)),0,VLOOKUP($U$1701,'TAR FIN'!$A$1:$O$115,15,0))</f>
        <v>270.3</v>
      </c>
      <c r="Y1701" s="6"/>
      <c r="Z1701" s="6">
        <f ca="1">('TUSD BE'!$AM$62+'TUSD BF'!$AM$62+'TUSD CVA'!$AM$62)*1</f>
        <v>1335.5988600941293</v>
      </c>
      <c r="AA1701" s="6">
        <f>('TE BE'!$AB$45+'TE BF'!$AB$45+'TE CVA'!$AB$45)*1</f>
        <v>362.64398683254075</v>
      </c>
      <c r="AB1701" s="6">
        <f>$K$1701*$V$1701</f>
        <v>0</v>
      </c>
      <c r="AC1701" s="6">
        <f>$M$1701*$W$1701</f>
        <v>791.07274999999993</v>
      </c>
      <c r="AD1701" s="6">
        <f>$O$1701*$X$1701</f>
        <v>164.07210000000001</v>
      </c>
      <c r="AE1701" s="6">
        <f>$K$1701*$Y$1701</f>
        <v>0</v>
      </c>
      <c r="AF1701" s="6">
        <f ca="1">$M$1701*$Z$1701</f>
        <v>810.70850807713646</v>
      </c>
      <c r="AG1701" s="6">
        <f>$O$1701*$AA$1701</f>
        <v>220.12490000735224</v>
      </c>
    </row>
    <row r="1702" spans="1:33" ht="11.25" customHeight="1" x14ac:dyDescent="0.25">
      <c r="A1702" s="4" t="s">
        <v>30</v>
      </c>
      <c r="B1702" s="4" t="s">
        <v>39</v>
      </c>
      <c r="C1702" s="4" t="s">
        <v>35</v>
      </c>
      <c r="D1702" s="4" t="s">
        <v>45</v>
      </c>
      <c r="E1702" s="4" t="s">
        <v>25</v>
      </c>
      <c r="F1702" s="4" t="s">
        <v>25</v>
      </c>
      <c r="G1702" s="4" t="s">
        <v>25</v>
      </c>
      <c r="H1702" s="4" t="s">
        <v>36</v>
      </c>
      <c r="I1702" s="5">
        <v>44562</v>
      </c>
      <c r="J1702" s="6">
        <v>0</v>
      </c>
      <c r="K1702" s="6">
        <v>0</v>
      </c>
      <c r="L1702" s="6">
        <v>8.5000000000000006E-2</v>
      </c>
      <c r="M1702" s="6">
        <v>8.5000000000000006E-2</v>
      </c>
      <c r="N1702" s="6">
        <v>8.5000000000000006E-2</v>
      </c>
      <c r="O1702" s="6">
        <v>8.5000000000000006E-2</v>
      </c>
      <c r="P1702" s="6">
        <v>0</v>
      </c>
      <c r="Q1702" s="4" t="s">
        <v>26</v>
      </c>
      <c r="R1702" s="4">
        <v>0</v>
      </c>
      <c r="S1702" s="6">
        <v>0</v>
      </c>
      <c r="T1702" s="6">
        <v>64</v>
      </c>
      <c r="U1702" s="6">
        <v>108</v>
      </c>
      <c r="V1702" s="6">
        <f>IF(ISERROR(VLOOKUP($S$1702,'TAR FIN'!$A$1:$O$115,15,0)),0,VLOOKUP($S$1702,'TAR FIN'!$A$1:$O$115,15,0))</f>
        <v>0</v>
      </c>
      <c r="W1702" s="6">
        <f>IF(ISERROR(VLOOKUP($T$1702,'TAR FIN'!$A$1:$O$115,15,0)),0,VLOOKUP($T$1702,'TAR FIN'!$A$1:$O$115,15,0))</f>
        <v>1303.25</v>
      </c>
      <c r="X1702" s="6">
        <f>IF(ISERROR(VLOOKUP($U$1702,'TAR FIN'!$A$1:$O$115,15,0)),0,VLOOKUP($U$1702,'TAR FIN'!$A$1:$O$115,15,0))</f>
        <v>270.3</v>
      </c>
      <c r="Y1702" s="6"/>
      <c r="Z1702" s="6">
        <f ca="1">('TUSD BE'!$AM$62+'TUSD BF'!$AM$62+'TUSD CVA'!$AM$62)*1</f>
        <v>1335.5988600941293</v>
      </c>
      <c r="AA1702" s="6">
        <f>('TE BE'!$AB$45+'TE BF'!$AB$45+'TE CVA'!$AB$45)*1</f>
        <v>362.64398683254075</v>
      </c>
      <c r="AB1702" s="6">
        <f>$K$1702*$V$1702</f>
        <v>0</v>
      </c>
      <c r="AC1702" s="6">
        <f>$M$1702*$W$1702</f>
        <v>110.77625</v>
      </c>
      <c r="AD1702" s="6">
        <f>$O$1702*$X$1702</f>
        <v>22.975500000000004</v>
      </c>
      <c r="AE1702" s="6">
        <f>$K$1702*$Y$1702</f>
        <v>0</v>
      </c>
      <c r="AF1702" s="6">
        <f ca="1">$M$1702*$Z$1702</f>
        <v>113.525903108001</v>
      </c>
      <c r="AG1702" s="6">
        <f>$O$1702*$AA$1702</f>
        <v>30.824738880765967</v>
      </c>
    </row>
    <row r="1703" spans="1:33" ht="11.25" customHeight="1" x14ac:dyDescent="0.25">
      <c r="A1703" s="4" t="s">
        <v>21</v>
      </c>
      <c r="B1703" s="4" t="s">
        <v>39</v>
      </c>
      <c r="C1703" s="4" t="s">
        <v>35</v>
      </c>
      <c r="D1703" s="4" t="s">
        <v>45</v>
      </c>
      <c r="E1703" s="4" t="s">
        <v>25</v>
      </c>
      <c r="F1703" s="4" t="s">
        <v>25</v>
      </c>
      <c r="G1703" s="4" t="s">
        <v>25</v>
      </c>
      <c r="H1703" s="4" t="s">
        <v>36</v>
      </c>
      <c r="I1703" s="5">
        <v>44593</v>
      </c>
      <c r="J1703" s="6">
        <v>0</v>
      </c>
      <c r="K1703" s="6">
        <v>0</v>
      </c>
      <c r="L1703" s="6">
        <v>4.6779999999999999</v>
      </c>
      <c r="M1703" s="6">
        <v>4.6779999999999999</v>
      </c>
      <c r="N1703" s="6">
        <v>4.6779999999999999</v>
      </c>
      <c r="O1703" s="6">
        <v>4.6779999999999999</v>
      </c>
      <c r="P1703" s="6">
        <v>0</v>
      </c>
      <c r="Q1703" s="4" t="s">
        <v>26</v>
      </c>
      <c r="R1703" s="4">
        <v>0</v>
      </c>
      <c r="S1703" s="6">
        <v>0</v>
      </c>
      <c r="T1703" s="6">
        <v>64</v>
      </c>
      <c r="U1703" s="6">
        <v>108</v>
      </c>
      <c r="V1703" s="6">
        <f>IF(ISERROR(VLOOKUP($S$1703,'TAR FIN'!$A$1:$O$115,15,0)),0,VLOOKUP($S$1703,'TAR FIN'!$A$1:$O$115,15,0))</f>
        <v>0</v>
      </c>
      <c r="W1703" s="6">
        <f>IF(ISERROR(VLOOKUP($T$1703,'TAR FIN'!$A$1:$O$115,15,0)),0,VLOOKUP($T$1703,'TAR FIN'!$A$1:$O$115,15,0))</f>
        <v>1303.25</v>
      </c>
      <c r="X1703" s="6">
        <f>IF(ISERROR(VLOOKUP($U$1703,'TAR FIN'!$A$1:$O$115,15,0)),0,VLOOKUP($U$1703,'TAR FIN'!$A$1:$O$115,15,0))</f>
        <v>270.3</v>
      </c>
      <c r="Y1703" s="6"/>
      <c r="Z1703" s="6">
        <f ca="1">('TUSD BE'!$AM$62+'TUSD BF'!$AM$62+'TUSD CVA'!$AM$62)*1</f>
        <v>1335.5988600941293</v>
      </c>
      <c r="AA1703" s="6">
        <f>('TE BE'!$AB$45+'TE BF'!$AB$45+'TE CVA'!$AB$45)*1</f>
        <v>362.64398683254075</v>
      </c>
      <c r="AB1703" s="6">
        <f>$K$1703*$V$1703</f>
        <v>0</v>
      </c>
      <c r="AC1703" s="6">
        <f>$M$1703*$W$1703</f>
        <v>6096.6035000000002</v>
      </c>
      <c r="AD1703" s="6">
        <f>$O$1703*$X$1703</f>
        <v>1264.4634000000001</v>
      </c>
      <c r="AE1703" s="6">
        <f>$K$1703*$Y$1703</f>
        <v>0</v>
      </c>
      <c r="AF1703" s="6">
        <f ca="1">$M$1703*$Z$1703</f>
        <v>6247.9314675203368</v>
      </c>
      <c r="AG1703" s="6">
        <f>$O$1703*$AA$1703</f>
        <v>1696.4485704026256</v>
      </c>
    </row>
    <row r="1704" spans="1:33" ht="11.25" customHeight="1" x14ac:dyDescent="0.25">
      <c r="A1704" s="4" t="s">
        <v>28</v>
      </c>
      <c r="B1704" s="4" t="s">
        <v>39</v>
      </c>
      <c r="C1704" s="4" t="s">
        <v>35</v>
      </c>
      <c r="D1704" s="4" t="s">
        <v>45</v>
      </c>
      <c r="E1704" s="4" t="s">
        <v>25</v>
      </c>
      <c r="F1704" s="4" t="s">
        <v>25</v>
      </c>
      <c r="G1704" s="4" t="s">
        <v>25</v>
      </c>
      <c r="H1704" s="4" t="s">
        <v>36</v>
      </c>
      <c r="I1704" s="5">
        <v>44593</v>
      </c>
      <c r="J1704" s="6">
        <v>0</v>
      </c>
      <c r="K1704" s="6">
        <v>0</v>
      </c>
      <c r="L1704" s="6">
        <v>0.71</v>
      </c>
      <c r="M1704" s="6">
        <v>0.71</v>
      </c>
      <c r="N1704" s="6">
        <v>0.71</v>
      </c>
      <c r="O1704" s="6">
        <v>0.71</v>
      </c>
      <c r="P1704" s="6">
        <v>0</v>
      </c>
      <c r="Q1704" s="4" t="s">
        <v>26</v>
      </c>
      <c r="R1704" s="4">
        <v>0</v>
      </c>
      <c r="S1704" s="6">
        <v>0</v>
      </c>
      <c r="T1704" s="6">
        <v>64</v>
      </c>
      <c r="U1704" s="6">
        <v>108</v>
      </c>
      <c r="V1704" s="6">
        <f>IF(ISERROR(VLOOKUP($S$1704,'TAR FIN'!$A$1:$O$115,15,0)),0,VLOOKUP($S$1704,'TAR FIN'!$A$1:$O$115,15,0))</f>
        <v>0</v>
      </c>
      <c r="W1704" s="6">
        <f>IF(ISERROR(VLOOKUP($T$1704,'TAR FIN'!$A$1:$O$115,15,0)),0,VLOOKUP($T$1704,'TAR FIN'!$A$1:$O$115,15,0))</f>
        <v>1303.25</v>
      </c>
      <c r="X1704" s="6">
        <f>IF(ISERROR(VLOOKUP($U$1704,'TAR FIN'!$A$1:$O$115,15,0)),0,VLOOKUP($U$1704,'TAR FIN'!$A$1:$O$115,15,0))</f>
        <v>270.3</v>
      </c>
      <c r="Y1704" s="6"/>
      <c r="Z1704" s="6">
        <f ca="1">('TUSD BE'!$AM$62+'TUSD BF'!$AM$62+'TUSD CVA'!$AM$62)*1</f>
        <v>1335.5988600941293</v>
      </c>
      <c r="AA1704" s="6">
        <f>('TE BE'!$AB$45+'TE BF'!$AB$45+'TE CVA'!$AB$45)*1</f>
        <v>362.64398683254075</v>
      </c>
      <c r="AB1704" s="6">
        <f>$K$1704*$V$1704</f>
        <v>0</v>
      </c>
      <c r="AC1704" s="6">
        <f>$M$1704*$W$1704</f>
        <v>925.3075</v>
      </c>
      <c r="AD1704" s="6">
        <f>$O$1704*$X$1704</f>
        <v>191.91300000000001</v>
      </c>
      <c r="AE1704" s="6">
        <f>$K$1704*$Y$1704</f>
        <v>0</v>
      </c>
      <c r="AF1704" s="6">
        <f ca="1">$M$1704*$Z$1704</f>
        <v>948.2751906668318</v>
      </c>
      <c r="AG1704" s="6">
        <f>$O$1704*$AA$1704</f>
        <v>257.47723065110392</v>
      </c>
    </row>
    <row r="1705" spans="1:33" ht="11.25" customHeight="1" x14ac:dyDescent="0.25">
      <c r="A1705" s="4" t="s">
        <v>30</v>
      </c>
      <c r="B1705" s="4" t="s">
        <v>39</v>
      </c>
      <c r="C1705" s="4" t="s">
        <v>35</v>
      </c>
      <c r="D1705" s="4" t="s">
        <v>45</v>
      </c>
      <c r="E1705" s="4" t="s">
        <v>25</v>
      </c>
      <c r="F1705" s="4" t="s">
        <v>25</v>
      </c>
      <c r="G1705" s="4" t="s">
        <v>25</v>
      </c>
      <c r="H1705" s="4" t="s">
        <v>36</v>
      </c>
      <c r="I1705" s="5">
        <v>44593</v>
      </c>
      <c r="J1705" s="6">
        <v>0</v>
      </c>
      <c r="K1705" s="6">
        <v>0</v>
      </c>
      <c r="L1705" s="6">
        <v>6.8000000000000005E-2</v>
      </c>
      <c r="M1705" s="6">
        <v>6.8000000000000005E-2</v>
      </c>
      <c r="N1705" s="6">
        <v>6.8000000000000005E-2</v>
      </c>
      <c r="O1705" s="6">
        <v>6.8000000000000005E-2</v>
      </c>
      <c r="P1705" s="6">
        <v>0</v>
      </c>
      <c r="Q1705" s="4" t="s">
        <v>26</v>
      </c>
      <c r="R1705" s="4">
        <v>0</v>
      </c>
      <c r="S1705" s="6">
        <v>0</v>
      </c>
      <c r="T1705" s="6">
        <v>64</v>
      </c>
      <c r="U1705" s="6">
        <v>108</v>
      </c>
      <c r="V1705" s="6">
        <f>IF(ISERROR(VLOOKUP($S$1705,'TAR FIN'!$A$1:$O$115,15,0)),0,VLOOKUP($S$1705,'TAR FIN'!$A$1:$O$115,15,0))</f>
        <v>0</v>
      </c>
      <c r="W1705" s="6">
        <f>IF(ISERROR(VLOOKUP($T$1705,'TAR FIN'!$A$1:$O$115,15,0)),0,VLOOKUP($T$1705,'TAR FIN'!$A$1:$O$115,15,0))</f>
        <v>1303.25</v>
      </c>
      <c r="X1705" s="6">
        <f>IF(ISERROR(VLOOKUP($U$1705,'TAR FIN'!$A$1:$O$115,15,0)),0,VLOOKUP($U$1705,'TAR FIN'!$A$1:$O$115,15,0))</f>
        <v>270.3</v>
      </c>
      <c r="Y1705" s="6"/>
      <c r="Z1705" s="6">
        <f ca="1">('TUSD BE'!$AM$62+'TUSD BF'!$AM$62+'TUSD CVA'!$AM$62)*1</f>
        <v>1335.5988600941293</v>
      </c>
      <c r="AA1705" s="6">
        <f>('TE BE'!$AB$45+'TE BF'!$AB$45+'TE CVA'!$AB$45)*1</f>
        <v>362.64398683254075</v>
      </c>
      <c r="AB1705" s="6">
        <f>$K$1705*$V$1705</f>
        <v>0</v>
      </c>
      <c r="AC1705" s="6">
        <f>$M$1705*$W$1705</f>
        <v>88.621000000000009</v>
      </c>
      <c r="AD1705" s="6">
        <f>$O$1705*$X$1705</f>
        <v>18.380400000000002</v>
      </c>
      <c r="AE1705" s="6">
        <f>$K$1705*$Y$1705</f>
        <v>0</v>
      </c>
      <c r="AF1705" s="6">
        <f ca="1">$M$1705*$Z$1705</f>
        <v>90.820722486400797</v>
      </c>
      <c r="AG1705" s="6">
        <f>$O$1705*$AA$1705</f>
        <v>24.659791104612772</v>
      </c>
    </row>
    <row r="1706" spans="1:33" ht="11.25" customHeight="1" x14ac:dyDescent="0.25">
      <c r="A1706" s="4" t="s">
        <v>21</v>
      </c>
      <c r="B1706" s="4" t="s">
        <v>39</v>
      </c>
      <c r="C1706" s="4" t="s">
        <v>35</v>
      </c>
      <c r="D1706" s="4" t="s">
        <v>45</v>
      </c>
      <c r="E1706" s="4" t="s">
        <v>25</v>
      </c>
      <c r="F1706" s="4" t="s">
        <v>25</v>
      </c>
      <c r="G1706" s="4" t="s">
        <v>25</v>
      </c>
      <c r="H1706" s="4" t="s">
        <v>36</v>
      </c>
      <c r="I1706" s="5">
        <v>44621</v>
      </c>
      <c r="J1706" s="6">
        <v>0</v>
      </c>
      <c r="K1706" s="6">
        <v>0</v>
      </c>
      <c r="L1706" s="6">
        <v>4.72</v>
      </c>
      <c r="M1706" s="6">
        <v>4.72</v>
      </c>
      <c r="N1706" s="6">
        <v>4.72</v>
      </c>
      <c r="O1706" s="6">
        <v>4.72</v>
      </c>
      <c r="P1706" s="6">
        <v>0</v>
      </c>
      <c r="Q1706" s="4" t="s">
        <v>26</v>
      </c>
      <c r="R1706" s="4">
        <v>0</v>
      </c>
      <c r="S1706" s="6">
        <v>0</v>
      </c>
      <c r="T1706" s="6">
        <v>64</v>
      </c>
      <c r="U1706" s="6">
        <v>108</v>
      </c>
      <c r="V1706" s="6">
        <f>IF(ISERROR(VLOOKUP($S$1706,'TAR FIN'!$A$1:$O$115,15,0)),0,VLOOKUP($S$1706,'TAR FIN'!$A$1:$O$115,15,0))</f>
        <v>0</v>
      </c>
      <c r="W1706" s="6">
        <f>IF(ISERROR(VLOOKUP($T$1706,'TAR FIN'!$A$1:$O$115,15,0)),0,VLOOKUP($T$1706,'TAR FIN'!$A$1:$O$115,15,0))</f>
        <v>1303.25</v>
      </c>
      <c r="X1706" s="6">
        <f>IF(ISERROR(VLOOKUP($U$1706,'TAR FIN'!$A$1:$O$115,15,0)),0,VLOOKUP($U$1706,'TAR FIN'!$A$1:$O$115,15,0))</f>
        <v>270.3</v>
      </c>
      <c r="Y1706" s="6"/>
      <c r="Z1706" s="6">
        <f ca="1">('TUSD BE'!$AM$62+'TUSD BF'!$AM$62+'TUSD CVA'!$AM$62)*1</f>
        <v>1335.5988600941293</v>
      </c>
      <c r="AA1706" s="6">
        <f>('TE BE'!$AB$45+'TE BF'!$AB$45+'TE CVA'!$AB$45)*1</f>
        <v>362.64398683254075</v>
      </c>
      <c r="AB1706" s="6">
        <f>$K$1706*$V$1706</f>
        <v>0</v>
      </c>
      <c r="AC1706" s="6">
        <f>$M$1706*$W$1706</f>
        <v>6151.3399999999992</v>
      </c>
      <c r="AD1706" s="6">
        <f>$O$1706*$X$1706</f>
        <v>1275.816</v>
      </c>
      <c r="AE1706" s="6">
        <f>$K$1706*$Y$1706</f>
        <v>0</v>
      </c>
      <c r="AF1706" s="6">
        <f ca="1">$M$1706*$Z$1706</f>
        <v>6304.0266196442899</v>
      </c>
      <c r="AG1706" s="6">
        <f>$O$1706*$AA$1706</f>
        <v>1711.6796178495922</v>
      </c>
    </row>
    <row r="1707" spans="1:33" ht="11.25" customHeight="1" x14ac:dyDescent="0.25">
      <c r="A1707" s="4" t="s">
        <v>27</v>
      </c>
      <c r="B1707" s="4" t="s">
        <v>39</v>
      </c>
      <c r="C1707" s="4" t="s">
        <v>35</v>
      </c>
      <c r="D1707" s="4" t="s">
        <v>45</v>
      </c>
      <c r="E1707" s="4" t="s">
        <v>25</v>
      </c>
      <c r="F1707" s="4" t="s">
        <v>25</v>
      </c>
      <c r="G1707" s="4" t="s">
        <v>25</v>
      </c>
      <c r="H1707" s="4" t="s">
        <v>36</v>
      </c>
      <c r="I1707" s="5">
        <v>44621</v>
      </c>
      <c r="J1707" s="6">
        <v>0</v>
      </c>
      <c r="K1707" s="6">
        <v>0</v>
      </c>
      <c r="L1707" s="6">
        <v>-0.254</v>
      </c>
      <c r="M1707" s="6">
        <v>-0.254</v>
      </c>
      <c r="N1707" s="6">
        <v>-0.254</v>
      </c>
      <c r="O1707" s="6">
        <v>-0.254</v>
      </c>
      <c r="P1707" s="6">
        <v>0</v>
      </c>
      <c r="Q1707" s="4" t="s">
        <v>26</v>
      </c>
      <c r="R1707" s="4">
        <v>0</v>
      </c>
      <c r="S1707" s="6">
        <v>0</v>
      </c>
      <c r="T1707" s="6">
        <v>64</v>
      </c>
      <c r="U1707" s="6">
        <v>108</v>
      </c>
      <c r="V1707" s="6">
        <f>IF(ISERROR(VLOOKUP($S$1707,'TAR FIN'!$A$1:$O$115,15,0)),0,VLOOKUP($S$1707,'TAR FIN'!$A$1:$O$115,15,0))</f>
        <v>0</v>
      </c>
      <c r="W1707" s="6">
        <f>IF(ISERROR(VLOOKUP($T$1707,'TAR FIN'!$A$1:$O$115,15,0)),0,VLOOKUP($T$1707,'TAR FIN'!$A$1:$O$115,15,0))</f>
        <v>1303.25</v>
      </c>
      <c r="X1707" s="6">
        <f>IF(ISERROR(VLOOKUP($U$1707,'TAR FIN'!$A$1:$O$115,15,0)),0,VLOOKUP($U$1707,'TAR FIN'!$A$1:$O$115,15,0))</f>
        <v>270.3</v>
      </c>
      <c r="Y1707" s="6"/>
      <c r="Z1707" s="6">
        <f ca="1">('TUSD BE'!$AM$62+'TUSD BF'!$AM$62+'TUSD CVA'!$AM$62)*1</f>
        <v>1335.5988600941293</v>
      </c>
      <c r="AA1707" s="6">
        <f>('TE BE'!$AB$45+'TE BF'!$AB$45+'TE CVA'!$AB$45)*1</f>
        <v>362.64398683254075</v>
      </c>
      <c r="AB1707" s="6">
        <f>$K$1707*$V$1707</f>
        <v>0</v>
      </c>
      <c r="AC1707" s="6">
        <f>$M$1707*$W$1707</f>
        <v>-331.02550000000002</v>
      </c>
      <c r="AD1707" s="6">
        <f>$O$1707*$X$1707</f>
        <v>-68.656199999999998</v>
      </c>
      <c r="AE1707" s="6">
        <f>$K$1707*$Y$1707</f>
        <v>0</v>
      </c>
      <c r="AF1707" s="6">
        <f ca="1">$M$1707*$Z$1707</f>
        <v>-339.24211046390889</v>
      </c>
      <c r="AG1707" s="6">
        <f>$O$1707*$AA$1707</f>
        <v>-92.111572655465352</v>
      </c>
    </row>
    <row r="1708" spans="1:33" ht="11.25" customHeight="1" x14ac:dyDescent="0.25">
      <c r="A1708" s="4" t="s">
        <v>28</v>
      </c>
      <c r="B1708" s="4" t="s">
        <v>39</v>
      </c>
      <c r="C1708" s="4" t="s">
        <v>35</v>
      </c>
      <c r="D1708" s="4" t="s">
        <v>45</v>
      </c>
      <c r="E1708" s="4" t="s">
        <v>25</v>
      </c>
      <c r="F1708" s="4" t="s">
        <v>25</v>
      </c>
      <c r="G1708" s="4" t="s">
        <v>25</v>
      </c>
      <c r="H1708" s="4" t="s">
        <v>36</v>
      </c>
      <c r="I1708" s="5">
        <v>44621</v>
      </c>
      <c r="J1708" s="6">
        <v>0</v>
      </c>
      <c r="K1708" s="6">
        <v>0</v>
      </c>
      <c r="L1708" s="6">
        <v>0.38300000000000001</v>
      </c>
      <c r="M1708" s="6">
        <v>0.38300000000000001</v>
      </c>
      <c r="N1708" s="6">
        <v>0.38300000000000001</v>
      </c>
      <c r="O1708" s="6">
        <v>0.38300000000000001</v>
      </c>
      <c r="P1708" s="6">
        <v>0</v>
      </c>
      <c r="Q1708" s="4" t="s">
        <v>26</v>
      </c>
      <c r="R1708" s="4">
        <v>0</v>
      </c>
      <c r="S1708" s="6">
        <v>0</v>
      </c>
      <c r="T1708" s="6">
        <v>64</v>
      </c>
      <c r="U1708" s="6">
        <v>108</v>
      </c>
      <c r="V1708" s="6">
        <f>IF(ISERROR(VLOOKUP($S$1708,'TAR FIN'!$A$1:$O$115,15,0)),0,VLOOKUP($S$1708,'TAR FIN'!$A$1:$O$115,15,0))</f>
        <v>0</v>
      </c>
      <c r="W1708" s="6">
        <f>IF(ISERROR(VLOOKUP($T$1708,'TAR FIN'!$A$1:$O$115,15,0)),0,VLOOKUP($T$1708,'TAR FIN'!$A$1:$O$115,15,0))</f>
        <v>1303.25</v>
      </c>
      <c r="X1708" s="6">
        <f>IF(ISERROR(VLOOKUP($U$1708,'TAR FIN'!$A$1:$O$115,15,0)),0,VLOOKUP($U$1708,'TAR FIN'!$A$1:$O$115,15,0))</f>
        <v>270.3</v>
      </c>
      <c r="Y1708" s="6"/>
      <c r="Z1708" s="6">
        <f ca="1">('TUSD BE'!$AM$62+'TUSD BF'!$AM$62+'TUSD CVA'!$AM$62)*1</f>
        <v>1335.5988600941293</v>
      </c>
      <c r="AA1708" s="6">
        <f>('TE BE'!$AB$45+'TE BF'!$AB$45+'TE CVA'!$AB$45)*1</f>
        <v>362.64398683254075</v>
      </c>
      <c r="AB1708" s="6">
        <f>$K$1708*$V$1708</f>
        <v>0</v>
      </c>
      <c r="AC1708" s="6">
        <f>$M$1708*$W$1708</f>
        <v>499.14474999999999</v>
      </c>
      <c r="AD1708" s="6">
        <f>$O$1708*$X$1708</f>
        <v>103.5249</v>
      </c>
      <c r="AE1708" s="6">
        <f>$K$1708*$Y$1708</f>
        <v>0</v>
      </c>
      <c r="AF1708" s="6">
        <f ca="1">$M$1708*$Z$1708</f>
        <v>511.53436341605158</v>
      </c>
      <c r="AG1708" s="6">
        <f>$O$1708*$AA$1708</f>
        <v>138.8926469568631</v>
      </c>
    </row>
    <row r="1709" spans="1:33" ht="11.25" customHeight="1" x14ac:dyDescent="0.25">
      <c r="A1709" s="4" t="s">
        <v>29</v>
      </c>
      <c r="B1709" s="4" t="s">
        <v>39</v>
      </c>
      <c r="C1709" s="4" t="s">
        <v>35</v>
      </c>
      <c r="D1709" s="4" t="s">
        <v>45</v>
      </c>
      <c r="E1709" s="4" t="s">
        <v>25</v>
      </c>
      <c r="F1709" s="4" t="s">
        <v>25</v>
      </c>
      <c r="G1709" s="4" t="s">
        <v>25</v>
      </c>
      <c r="H1709" s="4" t="s">
        <v>36</v>
      </c>
      <c r="I1709" s="5">
        <v>44621</v>
      </c>
      <c r="J1709" s="6">
        <v>0</v>
      </c>
      <c r="K1709" s="6">
        <v>0</v>
      </c>
      <c r="L1709" s="6">
        <v>0.02</v>
      </c>
      <c r="M1709" s="6">
        <v>0.02</v>
      </c>
      <c r="N1709" s="6">
        <v>0.02</v>
      </c>
      <c r="O1709" s="6">
        <v>0.02</v>
      </c>
      <c r="P1709" s="6">
        <v>0</v>
      </c>
      <c r="Q1709" s="4" t="s">
        <v>26</v>
      </c>
      <c r="R1709" s="4">
        <v>0</v>
      </c>
      <c r="S1709" s="6">
        <v>0</v>
      </c>
      <c r="T1709" s="6">
        <v>64</v>
      </c>
      <c r="U1709" s="6">
        <v>108</v>
      </c>
      <c r="V1709" s="6">
        <f>IF(ISERROR(VLOOKUP($S$1709,'TAR FIN'!$A$1:$O$115,15,0)),0,VLOOKUP($S$1709,'TAR FIN'!$A$1:$O$115,15,0))</f>
        <v>0</v>
      </c>
      <c r="W1709" s="6">
        <f>IF(ISERROR(VLOOKUP($T$1709,'TAR FIN'!$A$1:$O$115,15,0)),0,VLOOKUP($T$1709,'TAR FIN'!$A$1:$O$115,15,0))</f>
        <v>1303.25</v>
      </c>
      <c r="X1709" s="6">
        <f>IF(ISERROR(VLOOKUP($U$1709,'TAR FIN'!$A$1:$O$115,15,0)),0,VLOOKUP($U$1709,'TAR FIN'!$A$1:$O$115,15,0))</f>
        <v>270.3</v>
      </c>
      <c r="Y1709" s="6"/>
      <c r="Z1709" s="6">
        <f ca="1">('TUSD BE'!$AM$62+'TUSD BF'!$AM$62+'TUSD CVA'!$AM$62)*1</f>
        <v>1335.5988600941293</v>
      </c>
      <c r="AA1709" s="6">
        <f>('TE BE'!$AB$45+'TE BF'!$AB$45+'TE CVA'!$AB$45)*1</f>
        <v>362.64398683254075</v>
      </c>
      <c r="AB1709" s="6">
        <f>$K$1709*$V$1709</f>
        <v>0</v>
      </c>
      <c r="AC1709" s="6">
        <f>$M$1709*$W$1709</f>
        <v>26.065000000000001</v>
      </c>
      <c r="AD1709" s="6">
        <f>$O$1709*$X$1709</f>
        <v>5.4060000000000006</v>
      </c>
      <c r="AE1709" s="6">
        <f>$K$1709*$Y$1709</f>
        <v>0</v>
      </c>
      <c r="AF1709" s="6">
        <f ca="1">$M$1709*$Z$1709</f>
        <v>26.711977201882586</v>
      </c>
      <c r="AG1709" s="6">
        <f>$O$1709*$AA$1709</f>
        <v>7.2528797366508151</v>
      </c>
    </row>
    <row r="1710" spans="1:33" ht="11.25" customHeight="1" x14ac:dyDescent="0.25">
      <c r="A1710" s="4" t="s">
        <v>30</v>
      </c>
      <c r="B1710" s="4" t="s">
        <v>39</v>
      </c>
      <c r="C1710" s="4" t="s">
        <v>35</v>
      </c>
      <c r="D1710" s="4" t="s">
        <v>45</v>
      </c>
      <c r="E1710" s="4" t="s">
        <v>25</v>
      </c>
      <c r="F1710" s="4" t="s">
        <v>25</v>
      </c>
      <c r="G1710" s="4" t="s">
        <v>25</v>
      </c>
      <c r="H1710" s="4" t="s">
        <v>36</v>
      </c>
      <c r="I1710" s="5">
        <v>44621</v>
      </c>
      <c r="J1710" s="6">
        <v>0</v>
      </c>
      <c r="K1710" s="6">
        <v>0</v>
      </c>
      <c r="L1710" s="6">
        <v>7.0999999999999994E-2</v>
      </c>
      <c r="M1710" s="6">
        <v>7.0999999999999994E-2</v>
      </c>
      <c r="N1710" s="6">
        <v>7.0999999999999994E-2</v>
      </c>
      <c r="O1710" s="6">
        <v>7.0999999999999994E-2</v>
      </c>
      <c r="P1710" s="6">
        <v>0</v>
      </c>
      <c r="Q1710" s="4" t="s">
        <v>26</v>
      </c>
      <c r="R1710" s="4">
        <v>0</v>
      </c>
      <c r="S1710" s="6">
        <v>0</v>
      </c>
      <c r="T1710" s="6">
        <v>64</v>
      </c>
      <c r="U1710" s="6">
        <v>108</v>
      </c>
      <c r="V1710" s="6">
        <f>IF(ISERROR(VLOOKUP($S$1710,'TAR FIN'!$A$1:$O$115,15,0)),0,VLOOKUP($S$1710,'TAR FIN'!$A$1:$O$115,15,0))</f>
        <v>0</v>
      </c>
      <c r="W1710" s="6">
        <f>IF(ISERROR(VLOOKUP($T$1710,'TAR FIN'!$A$1:$O$115,15,0)),0,VLOOKUP($T$1710,'TAR FIN'!$A$1:$O$115,15,0))</f>
        <v>1303.25</v>
      </c>
      <c r="X1710" s="6">
        <f>IF(ISERROR(VLOOKUP($U$1710,'TAR FIN'!$A$1:$O$115,15,0)),0,VLOOKUP($U$1710,'TAR FIN'!$A$1:$O$115,15,0))</f>
        <v>270.3</v>
      </c>
      <c r="Y1710" s="6"/>
      <c r="Z1710" s="6">
        <f ca="1">('TUSD BE'!$AM$62+'TUSD BF'!$AM$62+'TUSD CVA'!$AM$62)*1</f>
        <v>1335.5988600941293</v>
      </c>
      <c r="AA1710" s="6">
        <f>('TE BE'!$AB$45+'TE BF'!$AB$45+'TE CVA'!$AB$45)*1</f>
        <v>362.64398683254075</v>
      </c>
      <c r="AB1710" s="6">
        <f>$K$1710*$V$1710</f>
        <v>0</v>
      </c>
      <c r="AC1710" s="6">
        <f>$M$1710*$W$1710</f>
        <v>92.530749999999998</v>
      </c>
      <c r="AD1710" s="6">
        <f>$O$1710*$X$1710</f>
        <v>19.191299999999998</v>
      </c>
      <c r="AE1710" s="6">
        <f>$K$1710*$Y$1710</f>
        <v>0</v>
      </c>
      <c r="AF1710" s="6">
        <f ca="1">$M$1710*$Z$1710</f>
        <v>94.82751906668318</v>
      </c>
      <c r="AG1710" s="6">
        <f>$O$1710*$AA$1710</f>
        <v>25.747723065110392</v>
      </c>
    </row>
    <row r="1711" spans="1:33" ht="11.25" customHeight="1" x14ac:dyDescent="0.25">
      <c r="A1711" s="4" t="s">
        <v>21</v>
      </c>
      <c r="B1711" s="4" t="s">
        <v>39</v>
      </c>
      <c r="C1711" s="4" t="s">
        <v>35</v>
      </c>
      <c r="D1711" s="4" t="s">
        <v>45</v>
      </c>
      <c r="E1711" s="4" t="s">
        <v>25</v>
      </c>
      <c r="F1711" s="4" t="s">
        <v>25</v>
      </c>
      <c r="G1711" s="4" t="s">
        <v>25</v>
      </c>
      <c r="H1711" s="4" t="s">
        <v>36</v>
      </c>
      <c r="I1711" s="5">
        <v>44652</v>
      </c>
      <c r="J1711" s="6">
        <v>0</v>
      </c>
      <c r="K1711" s="6">
        <v>0</v>
      </c>
      <c r="L1711" s="6">
        <v>4.66</v>
      </c>
      <c r="M1711" s="6">
        <v>4.66</v>
      </c>
      <c r="N1711" s="6">
        <v>4.66</v>
      </c>
      <c r="O1711" s="6">
        <v>4.66</v>
      </c>
      <c r="P1711" s="6">
        <v>0</v>
      </c>
      <c r="Q1711" s="4" t="s">
        <v>26</v>
      </c>
      <c r="R1711" s="4">
        <v>0</v>
      </c>
      <c r="S1711" s="6">
        <v>0</v>
      </c>
      <c r="T1711" s="6">
        <v>64</v>
      </c>
      <c r="U1711" s="6">
        <v>108</v>
      </c>
      <c r="V1711" s="6">
        <f>IF(ISERROR(VLOOKUP($S$1711,'TAR FIN'!$A$1:$O$115,15,0)),0,VLOOKUP($S$1711,'TAR FIN'!$A$1:$O$115,15,0))</f>
        <v>0</v>
      </c>
      <c r="W1711" s="6">
        <f>IF(ISERROR(VLOOKUP($T$1711,'TAR FIN'!$A$1:$O$115,15,0)),0,VLOOKUP($T$1711,'TAR FIN'!$A$1:$O$115,15,0))</f>
        <v>1303.25</v>
      </c>
      <c r="X1711" s="6">
        <f>IF(ISERROR(VLOOKUP($U$1711,'TAR FIN'!$A$1:$O$115,15,0)),0,VLOOKUP($U$1711,'TAR FIN'!$A$1:$O$115,15,0))</f>
        <v>270.3</v>
      </c>
      <c r="Y1711" s="6"/>
      <c r="Z1711" s="6">
        <f ca="1">('TUSD BE'!$AM$62+'TUSD BF'!$AM$62+'TUSD CVA'!$AM$62)*1</f>
        <v>1335.5988600941293</v>
      </c>
      <c r="AA1711" s="6">
        <f>('TE BE'!$AB$45+'TE BF'!$AB$45+'TE CVA'!$AB$45)*1</f>
        <v>362.64398683254075</v>
      </c>
      <c r="AB1711" s="6">
        <f>$K$1711*$V$1711</f>
        <v>0</v>
      </c>
      <c r="AC1711" s="6">
        <f>$M$1711*$W$1711</f>
        <v>6073.1450000000004</v>
      </c>
      <c r="AD1711" s="6">
        <f>$O$1711*$X$1711</f>
        <v>1259.5980000000002</v>
      </c>
      <c r="AE1711" s="6">
        <f>$K$1711*$Y$1711</f>
        <v>0</v>
      </c>
      <c r="AF1711" s="6">
        <f ca="1">$M$1711*$Z$1711</f>
        <v>6223.890688038643</v>
      </c>
      <c r="AG1711" s="6">
        <f>$O$1711*$AA$1711</f>
        <v>1689.92097863964</v>
      </c>
    </row>
    <row r="1712" spans="1:33" ht="11.25" customHeight="1" x14ac:dyDescent="0.25">
      <c r="A1712" s="4" t="s">
        <v>28</v>
      </c>
      <c r="B1712" s="4" t="s">
        <v>39</v>
      </c>
      <c r="C1712" s="4" t="s">
        <v>35</v>
      </c>
      <c r="D1712" s="4" t="s">
        <v>45</v>
      </c>
      <c r="E1712" s="4" t="s">
        <v>25</v>
      </c>
      <c r="F1712" s="4" t="s">
        <v>25</v>
      </c>
      <c r="G1712" s="4" t="s">
        <v>25</v>
      </c>
      <c r="H1712" s="4" t="s">
        <v>36</v>
      </c>
      <c r="I1712" s="5">
        <v>44652</v>
      </c>
      <c r="J1712" s="6">
        <v>0</v>
      </c>
      <c r="K1712" s="6">
        <v>0</v>
      </c>
      <c r="L1712" s="6">
        <v>1.7290000000000001</v>
      </c>
      <c r="M1712" s="6">
        <v>1.7290000000000001</v>
      </c>
      <c r="N1712" s="6">
        <v>1.7290000000000001</v>
      </c>
      <c r="O1712" s="6">
        <v>1.7290000000000001</v>
      </c>
      <c r="P1712" s="6">
        <v>0</v>
      </c>
      <c r="Q1712" s="4" t="s">
        <v>26</v>
      </c>
      <c r="R1712" s="4">
        <v>0</v>
      </c>
      <c r="S1712" s="6">
        <v>0</v>
      </c>
      <c r="T1712" s="6">
        <v>64</v>
      </c>
      <c r="U1712" s="6">
        <v>108</v>
      </c>
      <c r="V1712" s="6">
        <f>IF(ISERROR(VLOOKUP($S$1712,'TAR FIN'!$A$1:$O$115,15,0)),0,VLOOKUP($S$1712,'TAR FIN'!$A$1:$O$115,15,0))</f>
        <v>0</v>
      </c>
      <c r="W1712" s="6">
        <f>IF(ISERROR(VLOOKUP($T$1712,'TAR FIN'!$A$1:$O$115,15,0)),0,VLOOKUP($T$1712,'TAR FIN'!$A$1:$O$115,15,0))</f>
        <v>1303.25</v>
      </c>
      <c r="X1712" s="6">
        <f>IF(ISERROR(VLOOKUP($U$1712,'TAR FIN'!$A$1:$O$115,15,0)),0,VLOOKUP($U$1712,'TAR FIN'!$A$1:$O$115,15,0))</f>
        <v>270.3</v>
      </c>
      <c r="Y1712" s="6"/>
      <c r="Z1712" s="6">
        <f ca="1">('TUSD BE'!$AM$62+'TUSD BF'!$AM$62+'TUSD CVA'!$AM$62)*1</f>
        <v>1335.5988600941293</v>
      </c>
      <c r="AA1712" s="6">
        <f>('TE BE'!$AB$45+'TE BF'!$AB$45+'TE CVA'!$AB$45)*1</f>
        <v>362.64398683254075</v>
      </c>
      <c r="AB1712" s="6">
        <f>$K$1712*$V$1712</f>
        <v>0</v>
      </c>
      <c r="AC1712" s="6">
        <f>$M$1712*$W$1712</f>
        <v>2253.31925</v>
      </c>
      <c r="AD1712" s="6">
        <f>$O$1712*$X$1712</f>
        <v>467.34870000000006</v>
      </c>
      <c r="AE1712" s="6">
        <f>$K$1712*$Y$1712</f>
        <v>0</v>
      </c>
      <c r="AF1712" s="6">
        <f ca="1">$M$1712*$Z$1712</f>
        <v>2309.2504291027499</v>
      </c>
      <c r="AG1712" s="6">
        <f>$O$1712*$AA$1712</f>
        <v>627.01145323346293</v>
      </c>
    </row>
    <row r="1713" spans="1:33" ht="11.25" customHeight="1" x14ac:dyDescent="0.25">
      <c r="A1713" s="4" t="s">
        <v>30</v>
      </c>
      <c r="B1713" s="4" t="s">
        <v>39</v>
      </c>
      <c r="C1713" s="4" t="s">
        <v>35</v>
      </c>
      <c r="D1713" s="4" t="s">
        <v>45</v>
      </c>
      <c r="E1713" s="4" t="s">
        <v>25</v>
      </c>
      <c r="F1713" s="4" t="s">
        <v>25</v>
      </c>
      <c r="G1713" s="4" t="s">
        <v>25</v>
      </c>
      <c r="H1713" s="4" t="s">
        <v>36</v>
      </c>
      <c r="I1713" s="5">
        <v>44652</v>
      </c>
      <c r="J1713" s="6">
        <v>0</v>
      </c>
      <c r="K1713" s="6">
        <v>0</v>
      </c>
      <c r="L1713" s="6">
        <v>7.0999999999999994E-2</v>
      </c>
      <c r="M1713" s="6">
        <v>7.0999999999999994E-2</v>
      </c>
      <c r="N1713" s="6">
        <v>7.0999999999999994E-2</v>
      </c>
      <c r="O1713" s="6">
        <v>7.0999999999999994E-2</v>
      </c>
      <c r="P1713" s="6">
        <v>0</v>
      </c>
      <c r="Q1713" s="4" t="s">
        <v>26</v>
      </c>
      <c r="R1713" s="4">
        <v>0</v>
      </c>
      <c r="S1713" s="6">
        <v>0</v>
      </c>
      <c r="T1713" s="6">
        <v>64</v>
      </c>
      <c r="U1713" s="6">
        <v>108</v>
      </c>
      <c r="V1713" s="6">
        <f>IF(ISERROR(VLOOKUP($S$1713,'TAR FIN'!$A$1:$O$115,15,0)),0,VLOOKUP($S$1713,'TAR FIN'!$A$1:$O$115,15,0))</f>
        <v>0</v>
      </c>
      <c r="W1713" s="6">
        <f>IF(ISERROR(VLOOKUP($T$1713,'TAR FIN'!$A$1:$O$115,15,0)),0,VLOOKUP($T$1713,'TAR FIN'!$A$1:$O$115,15,0))</f>
        <v>1303.25</v>
      </c>
      <c r="X1713" s="6">
        <f>IF(ISERROR(VLOOKUP($U$1713,'TAR FIN'!$A$1:$O$115,15,0)),0,VLOOKUP($U$1713,'TAR FIN'!$A$1:$O$115,15,0))</f>
        <v>270.3</v>
      </c>
      <c r="Y1713" s="6"/>
      <c r="Z1713" s="6">
        <f ca="1">('TUSD BE'!$AM$62+'TUSD BF'!$AM$62+'TUSD CVA'!$AM$62)*1</f>
        <v>1335.5988600941293</v>
      </c>
      <c r="AA1713" s="6">
        <f>('TE BE'!$AB$45+'TE BF'!$AB$45+'TE CVA'!$AB$45)*1</f>
        <v>362.64398683254075</v>
      </c>
      <c r="AB1713" s="6">
        <f>$K$1713*$V$1713</f>
        <v>0</v>
      </c>
      <c r="AC1713" s="6">
        <f>$M$1713*$W$1713</f>
        <v>92.530749999999998</v>
      </c>
      <c r="AD1713" s="6">
        <f>$O$1713*$X$1713</f>
        <v>19.191299999999998</v>
      </c>
      <c r="AE1713" s="6">
        <f>$K$1713*$Y$1713</f>
        <v>0</v>
      </c>
      <c r="AF1713" s="6">
        <f ca="1">$M$1713*$Z$1713</f>
        <v>94.82751906668318</v>
      </c>
      <c r="AG1713" s="6">
        <f>$O$1713*$AA$1713</f>
        <v>25.747723065110392</v>
      </c>
    </row>
    <row r="1714" spans="1:33" ht="11.25" customHeight="1" x14ac:dyDescent="0.25">
      <c r="A1714" s="4" t="s">
        <v>21</v>
      </c>
      <c r="B1714" s="4" t="s">
        <v>39</v>
      </c>
      <c r="C1714" s="4" t="s">
        <v>35</v>
      </c>
      <c r="D1714" s="4" t="s">
        <v>45</v>
      </c>
      <c r="E1714" s="4" t="s">
        <v>25</v>
      </c>
      <c r="F1714" s="4" t="s">
        <v>25</v>
      </c>
      <c r="G1714" s="4" t="s">
        <v>25</v>
      </c>
      <c r="H1714" s="4" t="s">
        <v>36</v>
      </c>
      <c r="I1714" s="5">
        <v>44682</v>
      </c>
      <c r="J1714" s="6">
        <v>0</v>
      </c>
      <c r="K1714" s="6">
        <v>0</v>
      </c>
      <c r="L1714" s="6">
        <v>4.6550000000000002</v>
      </c>
      <c r="M1714" s="6">
        <v>4.6550000000000002</v>
      </c>
      <c r="N1714" s="6">
        <v>4.6550000000000002</v>
      </c>
      <c r="O1714" s="6">
        <v>4.6550000000000002</v>
      </c>
      <c r="P1714" s="6">
        <v>0</v>
      </c>
      <c r="Q1714" s="4" t="s">
        <v>26</v>
      </c>
      <c r="R1714" s="4">
        <v>0</v>
      </c>
      <c r="S1714" s="6">
        <v>0</v>
      </c>
      <c r="T1714" s="6">
        <v>64</v>
      </c>
      <c r="U1714" s="6">
        <v>108</v>
      </c>
      <c r="V1714" s="6">
        <f>IF(ISERROR(VLOOKUP($S$1714,'TAR FIN'!$A$1:$O$115,15,0)),0,VLOOKUP($S$1714,'TAR FIN'!$A$1:$O$115,15,0))</f>
        <v>0</v>
      </c>
      <c r="W1714" s="6">
        <f>IF(ISERROR(VLOOKUP($T$1714,'TAR FIN'!$A$1:$O$115,15,0)),0,VLOOKUP($T$1714,'TAR FIN'!$A$1:$O$115,15,0))</f>
        <v>1303.25</v>
      </c>
      <c r="X1714" s="6">
        <f>IF(ISERROR(VLOOKUP($U$1714,'TAR FIN'!$A$1:$O$115,15,0)),0,VLOOKUP($U$1714,'TAR FIN'!$A$1:$O$115,15,0))</f>
        <v>270.3</v>
      </c>
      <c r="Y1714" s="6"/>
      <c r="Z1714" s="6">
        <f ca="1">('TUSD BE'!$AM$62+'TUSD BF'!$AM$62+'TUSD CVA'!$AM$62)*1</f>
        <v>1335.5988600941293</v>
      </c>
      <c r="AA1714" s="6">
        <f>('TE BE'!$AB$45+'TE BF'!$AB$45+'TE CVA'!$AB$45)*1</f>
        <v>362.64398683254075</v>
      </c>
      <c r="AB1714" s="6">
        <f>$K$1714*$V$1714</f>
        <v>0</v>
      </c>
      <c r="AC1714" s="6">
        <f>$M$1714*$W$1714</f>
        <v>6066.6287500000008</v>
      </c>
      <c r="AD1714" s="6">
        <f>$O$1714*$X$1714</f>
        <v>1258.2465000000002</v>
      </c>
      <c r="AE1714" s="6">
        <f>$K$1714*$Y$1714</f>
        <v>0</v>
      </c>
      <c r="AF1714" s="6">
        <f ca="1">$M$1714*$Z$1714</f>
        <v>6217.2126937381727</v>
      </c>
      <c r="AG1714" s="6">
        <f>$O$1714*$AA$1714</f>
        <v>1688.1077587054772</v>
      </c>
    </row>
    <row r="1715" spans="1:33" ht="11.25" customHeight="1" x14ac:dyDescent="0.25">
      <c r="A1715" s="4" t="s">
        <v>28</v>
      </c>
      <c r="B1715" s="4" t="s">
        <v>39</v>
      </c>
      <c r="C1715" s="4" t="s">
        <v>35</v>
      </c>
      <c r="D1715" s="4" t="s">
        <v>45</v>
      </c>
      <c r="E1715" s="4" t="s">
        <v>25</v>
      </c>
      <c r="F1715" s="4" t="s">
        <v>25</v>
      </c>
      <c r="G1715" s="4" t="s">
        <v>25</v>
      </c>
      <c r="H1715" s="4" t="s">
        <v>36</v>
      </c>
      <c r="I1715" s="5">
        <v>44682</v>
      </c>
      <c r="J1715" s="6">
        <v>0</v>
      </c>
      <c r="K1715" s="6">
        <v>0</v>
      </c>
      <c r="L1715" s="6">
        <v>0.64300000000000002</v>
      </c>
      <c r="M1715" s="6">
        <v>0.64300000000000002</v>
      </c>
      <c r="N1715" s="6">
        <v>0.64300000000000002</v>
      </c>
      <c r="O1715" s="6">
        <v>0.64300000000000002</v>
      </c>
      <c r="P1715" s="6">
        <v>0</v>
      </c>
      <c r="Q1715" s="4" t="s">
        <v>26</v>
      </c>
      <c r="R1715" s="4">
        <v>0</v>
      </c>
      <c r="S1715" s="6">
        <v>0</v>
      </c>
      <c r="T1715" s="6">
        <v>64</v>
      </c>
      <c r="U1715" s="6">
        <v>108</v>
      </c>
      <c r="V1715" s="6">
        <f>IF(ISERROR(VLOOKUP($S$1715,'TAR FIN'!$A$1:$O$115,15,0)),0,VLOOKUP($S$1715,'TAR FIN'!$A$1:$O$115,15,0))</f>
        <v>0</v>
      </c>
      <c r="W1715" s="6">
        <f>IF(ISERROR(VLOOKUP($T$1715,'TAR FIN'!$A$1:$O$115,15,0)),0,VLOOKUP($T$1715,'TAR FIN'!$A$1:$O$115,15,0))</f>
        <v>1303.25</v>
      </c>
      <c r="X1715" s="6">
        <f>IF(ISERROR(VLOOKUP($U$1715,'TAR FIN'!$A$1:$O$115,15,0)),0,VLOOKUP($U$1715,'TAR FIN'!$A$1:$O$115,15,0))</f>
        <v>270.3</v>
      </c>
      <c r="Y1715" s="6"/>
      <c r="Z1715" s="6">
        <f ca="1">('TUSD BE'!$AM$62+'TUSD BF'!$AM$62+'TUSD CVA'!$AM$62)*1</f>
        <v>1335.5988600941293</v>
      </c>
      <c r="AA1715" s="6">
        <f>('TE BE'!$AB$45+'TE BF'!$AB$45+'TE CVA'!$AB$45)*1</f>
        <v>362.64398683254075</v>
      </c>
      <c r="AB1715" s="6">
        <f>$K$1715*$V$1715</f>
        <v>0</v>
      </c>
      <c r="AC1715" s="6">
        <f>$M$1715*$W$1715</f>
        <v>837.98975000000007</v>
      </c>
      <c r="AD1715" s="6">
        <f>$O$1715*$X$1715</f>
        <v>173.80290000000002</v>
      </c>
      <c r="AE1715" s="6">
        <f>$K$1715*$Y$1715</f>
        <v>0</v>
      </c>
      <c r="AF1715" s="6">
        <f ca="1">$M$1715*$Z$1715</f>
        <v>858.79006704052517</v>
      </c>
      <c r="AG1715" s="6">
        <f>$O$1715*$AA$1715</f>
        <v>233.18008353332371</v>
      </c>
    </row>
    <row r="1716" spans="1:33" ht="11.25" customHeight="1" x14ac:dyDescent="0.25">
      <c r="A1716" s="4" t="s">
        <v>29</v>
      </c>
      <c r="B1716" s="4" t="s">
        <v>39</v>
      </c>
      <c r="C1716" s="4" t="s">
        <v>35</v>
      </c>
      <c r="D1716" s="4" t="s">
        <v>45</v>
      </c>
      <c r="E1716" s="4" t="s">
        <v>25</v>
      </c>
      <c r="F1716" s="4" t="s">
        <v>25</v>
      </c>
      <c r="G1716" s="4" t="s">
        <v>25</v>
      </c>
      <c r="H1716" s="4" t="s">
        <v>36</v>
      </c>
      <c r="I1716" s="5">
        <v>44682</v>
      </c>
      <c r="J1716" s="6">
        <v>0</v>
      </c>
      <c r="K1716" s="6">
        <v>0</v>
      </c>
      <c r="L1716" s="6">
        <v>-1.21</v>
      </c>
      <c r="M1716" s="6">
        <v>-1.21</v>
      </c>
      <c r="N1716" s="6">
        <v>-1.21</v>
      </c>
      <c r="O1716" s="6">
        <v>-1.21</v>
      </c>
      <c r="P1716" s="6">
        <v>0</v>
      </c>
      <c r="Q1716" s="4" t="s">
        <v>26</v>
      </c>
      <c r="R1716" s="4">
        <v>0</v>
      </c>
      <c r="S1716" s="6">
        <v>0</v>
      </c>
      <c r="T1716" s="6">
        <v>64</v>
      </c>
      <c r="U1716" s="6">
        <v>108</v>
      </c>
      <c r="V1716" s="6">
        <f>IF(ISERROR(VLOOKUP($S$1716,'TAR FIN'!$A$1:$O$115,15,0)),0,VLOOKUP($S$1716,'TAR FIN'!$A$1:$O$115,15,0))</f>
        <v>0</v>
      </c>
      <c r="W1716" s="6">
        <f>IF(ISERROR(VLOOKUP($T$1716,'TAR FIN'!$A$1:$O$115,15,0)),0,VLOOKUP($T$1716,'TAR FIN'!$A$1:$O$115,15,0))</f>
        <v>1303.25</v>
      </c>
      <c r="X1716" s="6">
        <f>IF(ISERROR(VLOOKUP($U$1716,'TAR FIN'!$A$1:$O$115,15,0)),0,VLOOKUP($U$1716,'TAR FIN'!$A$1:$O$115,15,0))</f>
        <v>270.3</v>
      </c>
      <c r="Y1716" s="6"/>
      <c r="Z1716" s="6">
        <f ca="1">('TUSD BE'!$AM$62+'TUSD BF'!$AM$62+'TUSD CVA'!$AM$62)*1</f>
        <v>1335.5988600941293</v>
      </c>
      <c r="AA1716" s="6">
        <f>('TE BE'!$AB$45+'TE BF'!$AB$45+'TE CVA'!$AB$45)*1</f>
        <v>362.64398683254075</v>
      </c>
      <c r="AB1716" s="6">
        <f>$K$1716*$V$1716</f>
        <v>0</v>
      </c>
      <c r="AC1716" s="6">
        <f>$M$1716*$W$1716</f>
        <v>-1576.9324999999999</v>
      </c>
      <c r="AD1716" s="6">
        <f>$O$1716*$X$1716</f>
        <v>-327.06299999999999</v>
      </c>
      <c r="AE1716" s="6">
        <f>$K$1716*$Y$1716</f>
        <v>0</v>
      </c>
      <c r="AF1716" s="6">
        <f ca="1">$M$1716*$Z$1716</f>
        <v>-1616.0746207138964</v>
      </c>
      <c r="AG1716" s="6">
        <f>$O$1716*$AA$1716</f>
        <v>-438.79922406737427</v>
      </c>
    </row>
    <row r="1717" spans="1:33" ht="11.25" customHeight="1" x14ac:dyDescent="0.25">
      <c r="A1717" s="4" t="s">
        <v>30</v>
      </c>
      <c r="B1717" s="4" t="s">
        <v>39</v>
      </c>
      <c r="C1717" s="4" t="s">
        <v>35</v>
      </c>
      <c r="D1717" s="4" t="s">
        <v>45</v>
      </c>
      <c r="E1717" s="4" t="s">
        <v>25</v>
      </c>
      <c r="F1717" s="4" t="s">
        <v>25</v>
      </c>
      <c r="G1717" s="4" t="s">
        <v>25</v>
      </c>
      <c r="H1717" s="4" t="s">
        <v>36</v>
      </c>
      <c r="I1717" s="5">
        <v>44682</v>
      </c>
      <c r="J1717" s="6">
        <v>0</v>
      </c>
      <c r="K1717" s="6">
        <v>0</v>
      </c>
      <c r="L1717" s="6">
        <v>6.7000000000000004E-2</v>
      </c>
      <c r="M1717" s="6">
        <v>6.7000000000000004E-2</v>
      </c>
      <c r="N1717" s="6">
        <v>6.7000000000000004E-2</v>
      </c>
      <c r="O1717" s="6">
        <v>6.7000000000000004E-2</v>
      </c>
      <c r="P1717" s="6">
        <v>0</v>
      </c>
      <c r="Q1717" s="4" t="s">
        <v>26</v>
      </c>
      <c r="R1717" s="4">
        <v>0</v>
      </c>
      <c r="S1717" s="6">
        <v>0</v>
      </c>
      <c r="T1717" s="6">
        <v>64</v>
      </c>
      <c r="U1717" s="6">
        <v>108</v>
      </c>
      <c r="V1717" s="6">
        <f>IF(ISERROR(VLOOKUP($S$1717,'TAR FIN'!$A$1:$O$115,15,0)),0,VLOOKUP($S$1717,'TAR FIN'!$A$1:$O$115,15,0))</f>
        <v>0</v>
      </c>
      <c r="W1717" s="6">
        <f>IF(ISERROR(VLOOKUP($T$1717,'TAR FIN'!$A$1:$O$115,15,0)),0,VLOOKUP($T$1717,'TAR FIN'!$A$1:$O$115,15,0))</f>
        <v>1303.25</v>
      </c>
      <c r="X1717" s="6">
        <f>IF(ISERROR(VLOOKUP($U$1717,'TAR FIN'!$A$1:$O$115,15,0)),0,VLOOKUP($U$1717,'TAR FIN'!$A$1:$O$115,15,0))</f>
        <v>270.3</v>
      </c>
      <c r="Y1717" s="6"/>
      <c r="Z1717" s="6">
        <f ca="1">('TUSD BE'!$AM$62+'TUSD BF'!$AM$62+'TUSD CVA'!$AM$62)*1</f>
        <v>1335.5988600941293</v>
      </c>
      <c r="AA1717" s="6">
        <f>('TE BE'!$AB$45+'TE BF'!$AB$45+'TE CVA'!$AB$45)*1</f>
        <v>362.64398683254075</v>
      </c>
      <c r="AB1717" s="6">
        <f>$K$1717*$V$1717</f>
        <v>0</v>
      </c>
      <c r="AC1717" s="6">
        <f>$M$1717*$W$1717</f>
        <v>87.317750000000004</v>
      </c>
      <c r="AD1717" s="6">
        <f>$O$1717*$X$1717</f>
        <v>18.110100000000003</v>
      </c>
      <c r="AE1717" s="6">
        <f>$K$1717*$Y$1717</f>
        <v>0</v>
      </c>
      <c r="AF1717" s="6">
        <f ca="1">$M$1717*$Z$1717</f>
        <v>89.485123626306674</v>
      </c>
      <c r="AG1717" s="6">
        <f>$O$1717*$AA$1717</f>
        <v>24.297147117780231</v>
      </c>
    </row>
    <row r="1718" spans="1:33" ht="11.25" customHeight="1" x14ac:dyDescent="0.25">
      <c r="A1718" s="4" t="s">
        <v>21</v>
      </c>
      <c r="B1718" s="4" t="s">
        <v>39</v>
      </c>
      <c r="C1718" s="4" t="s">
        <v>35</v>
      </c>
      <c r="D1718" s="4" t="s">
        <v>45</v>
      </c>
      <c r="E1718" s="4" t="s">
        <v>25</v>
      </c>
      <c r="F1718" s="4" t="s">
        <v>25</v>
      </c>
      <c r="G1718" s="4" t="s">
        <v>25</v>
      </c>
      <c r="H1718" s="4" t="s">
        <v>36</v>
      </c>
      <c r="I1718" s="5">
        <v>44713</v>
      </c>
      <c r="J1718" s="6">
        <v>0</v>
      </c>
      <c r="K1718" s="6">
        <v>0</v>
      </c>
      <c r="L1718" s="6">
        <v>5.0389999999999997</v>
      </c>
      <c r="M1718" s="6">
        <v>5.0389999999999997</v>
      </c>
      <c r="N1718" s="6">
        <v>5.0389999999999997</v>
      </c>
      <c r="O1718" s="6">
        <v>5.0389999999999997</v>
      </c>
      <c r="P1718" s="6">
        <v>0</v>
      </c>
      <c r="Q1718" s="4" t="s">
        <v>26</v>
      </c>
      <c r="R1718" s="4">
        <v>0</v>
      </c>
      <c r="S1718" s="6">
        <v>0</v>
      </c>
      <c r="T1718" s="6">
        <v>64</v>
      </c>
      <c r="U1718" s="6">
        <v>108</v>
      </c>
      <c r="V1718" s="6">
        <f>IF(ISERROR(VLOOKUP($S$1718,'TAR FIN'!$A$1:$O$115,15,0)),0,VLOOKUP($S$1718,'TAR FIN'!$A$1:$O$115,15,0))</f>
        <v>0</v>
      </c>
      <c r="W1718" s="6">
        <f>IF(ISERROR(VLOOKUP($T$1718,'TAR FIN'!$A$1:$O$115,15,0)),0,VLOOKUP($T$1718,'TAR FIN'!$A$1:$O$115,15,0))</f>
        <v>1303.25</v>
      </c>
      <c r="X1718" s="6">
        <f>IF(ISERROR(VLOOKUP($U$1718,'TAR FIN'!$A$1:$O$115,15,0)),0,VLOOKUP($U$1718,'TAR FIN'!$A$1:$O$115,15,0))</f>
        <v>270.3</v>
      </c>
      <c r="Y1718" s="6"/>
      <c r="Z1718" s="6">
        <f ca="1">('TUSD BE'!$AM$62+'TUSD BF'!$AM$62+'TUSD CVA'!$AM$62)*1</f>
        <v>1335.5988600941293</v>
      </c>
      <c r="AA1718" s="6">
        <f>('TE BE'!$AB$45+'TE BF'!$AB$45+'TE CVA'!$AB$45)*1</f>
        <v>362.64398683254075</v>
      </c>
      <c r="AB1718" s="6">
        <f>$K$1718*$V$1718</f>
        <v>0</v>
      </c>
      <c r="AC1718" s="6">
        <f>$M$1718*$W$1718</f>
        <v>6567.0767499999993</v>
      </c>
      <c r="AD1718" s="6">
        <f>$O$1718*$X$1718</f>
        <v>1362.0417</v>
      </c>
      <c r="AE1718" s="6">
        <f>$K$1718*$Y$1718</f>
        <v>0</v>
      </c>
      <c r="AF1718" s="6">
        <f ca="1">$M$1718*$Z$1718</f>
        <v>6730.0826560143178</v>
      </c>
      <c r="AG1718" s="6">
        <f>$O$1718*$AA$1718</f>
        <v>1827.3630496491728</v>
      </c>
    </row>
    <row r="1719" spans="1:33" ht="11.25" customHeight="1" x14ac:dyDescent="0.25">
      <c r="A1719" s="4" t="s">
        <v>28</v>
      </c>
      <c r="B1719" s="4" t="s">
        <v>39</v>
      </c>
      <c r="C1719" s="4" t="s">
        <v>35</v>
      </c>
      <c r="D1719" s="4" t="s">
        <v>45</v>
      </c>
      <c r="E1719" s="4" t="s">
        <v>25</v>
      </c>
      <c r="F1719" s="4" t="s">
        <v>25</v>
      </c>
      <c r="G1719" s="4" t="s">
        <v>25</v>
      </c>
      <c r="H1719" s="4" t="s">
        <v>36</v>
      </c>
      <c r="I1719" s="5">
        <v>44713</v>
      </c>
      <c r="J1719" s="6">
        <v>0</v>
      </c>
      <c r="K1719" s="6">
        <v>0</v>
      </c>
      <c r="L1719" s="6">
        <v>0.755</v>
      </c>
      <c r="M1719" s="6">
        <v>0.755</v>
      </c>
      <c r="N1719" s="6">
        <v>0.755</v>
      </c>
      <c r="O1719" s="6">
        <v>0.755</v>
      </c>
      <c r="P1719" s="6">
        <v>0</v>
      </c>
      <c r="Q1719" s="4" t="s">
        <v>26</v>
      </c>
      <c r="R1719" s="4">
        <v>0</v>
      </c>
      <c r="S1719" s="6">
        <v>0</v>
      </c>
      <c r="T1719" s="6">
        <v>64</v>
      </c>
      <c r="U1719" s="6">
        <v>108</v>
      </c>
      <c r="V1719" s="6">
        <f>IF(ISERROR(VLOOKUP($S$1719,'TAR FIN'!$A$1:$O$115,15,0)),0,VLOOKUP($S$1719,'TAR FIN'!$A$1:$O$115,15,0))</f>
        <v>0</v>
      </c>
      <c r="W1719" s="6">
        <f>IF(ISERROR(VLOOKUP($T$1719,'TAR FIN'!$A$1:$O$115,15,0)),0,VLOOKUP($T$1719,'TAR FIN'!$A$1:$O$115,15,0))</f>
        <v>1303.25</v>
      </c>
      <c r="X1719" s="6">
        <f>IF(ISERROR(VLOOKUP($U$1719,'TAR FIN'!$A$1:$O$115,15,0)),0,VLOOKUP($U$1719,'TAR FIN'!$A$1:$O$115,15,0))</f>
        <v>270.3</v>
      </c>
      <c r="Y1719" s="6"/>
      <c r="Z1719" s="6">
        <f ca="1">('TUSD BE'!$AM$62+'TUSD BF'!$AM$62+'TUSD CVA'!$AM$62)*1</f>
        <v>1335.5988600941293</v>
      </c>
      <c r="AA1719" s="6">
        <f>('TE BE'!$AB$45+'TE BF'!$AB$45+'TE CVA'!$AB$45)*1</f>
        <v>362.64398683254075</v>
      </c>
      <c r="AB1719" s="6">
        <f>$K$1719*$V$1719</f>
        <v>0</v>
      </c>
      <c r="AC1719" s="6">
        <f>$M$1719*$W$1719</f>
        <v>983.95375000000001</v>
      </c>
      <c r="AD1719" s="6">
        <f>$O$1719*$X$1719</f>
        <v>204.07650000000001</v>
      </c>
      <c r="AE1719" s="6">
        <f>$K$1719*$Y$1719</f>
        <v>0</v>
      </c>
      <c r="AF1719" s="6">
        <f ca="1">$M$1719*$Z$1719</f>
        <v>1008.3771393710676</v>
      </c>
      <c r="AG1719" s="6">
        <f>$O$1719*$AA$1719</f>
        <v>273.79621005856825</v>
      </c>
    </row>
    <row r="1720" spans="1:33" ht="11.25" customHeight="1" x14ac:dyDescent="0.25">
      <c r="A1720" s="4" t="s">
        <v>21</v>
      </c>
      <c r="B1720" s="4" t="s">
        <v>39</v>
      </c>
      <c r="C1720" s="4" t="s">
        <v>35</v>
      </c>
      <c r="D1720" s="4" t="s">
        <v>45</v>
      </c>
      <c r="E1720" s="4" t="s">
        <v>25</v>
      </c>
      <c r="F1720" s="4" t="s">
        <v>25</v>
      </c>
      <c r="G1720" s="4" t="s">
        <v>25</v>
      </c>
      <c r="H1720" s="4" t="s">
        <v>36</v>
      </c>
      <c r="I1720" s="5">
        <v>44743</v>
      </c>
      <c r="J1720" s="6">
        <v>0</v>
      </c>
      <c r="K1720" s="6">
        <v>0</v>
      </c>
      <c r="L1720" s="6">
        <v>6.3769999999999998</v>
      </c>
      <c r="M1720" s="6">
        <v>6.3769999999999998</v>
      </c>
      <c r="N1720" s="6">
        <v>6.3769999999999998</v>
      </c>
      <c r="O1720" s="6">
        <v>6.3769999999999998</v>
      </c>
      <c r="P1720" s="6">
        <v>0</v>
      </c>
      <c r="Q1720" s="4" t="s">
        <v>26</v>
      </c>
      <c r="R1720" s="4">
        <v>0</v>
      </c>
      <c r="S1720" s="6">
        <v>0</v>
      </c>
      <c r="T1720" s="6">
        <v>64</v>
      </c>
      <c r="U1720" s="6">
        <v>108</v>
      </c>
      <c r="V1720" s="6">
        <f>IF(ISERROR(VLOOKUP($S$1720,'TAR FIN'!$A$1:$O$115,15,0)),0,VLOOKUP($S$1720,'TAR FIN'!$A$1:$O$115,15,0))</f>
        <v>0</v>
      </c>
      <c r="W1720" s="6">
        <f>IF(ISERROR(VLOOKUP($T$1720,'TAR FIN'!$A$1:$O$115,15,0)),0,VLOOKUP($T$1720,'TAR FIN'!$A$1:$O$115,15,0))</f>
        <v>1303.25</v>
      </c>
      <c r="X1720" s="6">
        <f>IF(ISERROR(VLOOKUP($U$1720,'TAR FIN'!$A$1:$O$115,15,0)),0,VLOOKUP($U$1720,'TAR FIN'!$A$1:$O$115,15,0))</f>
        <v>270.3</v>
      </c>
      <c r="Y1720" s="6"/>
      <c r="Z1720" s="6">
        <f ca="1">('TUSD BE'!$AM$62+'TUSD BF'!$AM$62+'TUSD CVA'!$AM$62)*1</f>
        <v>1335.5988600941293</v>
      </c>
      <c r="AA1720" s="6">
        <f>('TE BE'!$AB$45+'TE BF'!$AB$45+'TE CVA'!$AB$45)*1</f>
        <v>362.64398683254075</v>
      </c>
      <c r="AB1720" s="6">
        <f>$K$1720*$V$1720</f>
        <v>0</v>
      </c>
      <c r="AC1720" s="6">
        <f>$M$1720*$W$1720</f>
        <v>8310.8252499999999</v>
      </c>
      <c r="AD1720" s="6">
        <f>$O$1720*$X$1720</f>
        <v>1723.7030999999999</v>
      </c>
      <c r="AE1720" s="6">
        <f>$K$1720*$Y$1720</f>
        <v>0</v>
      </c>
      <c r="AF1720" s="6">
        <f ca="1">$M$1720*$Z$1720</f>
        <v>8517.1139308202619</v>
      </c>
      <c r="AG1720" s="6">
        <f>$O$1720*$AA$1720</f>
        <v>2312.5807040311124</v>
      </c>
    </row>
    <row r="1721" spans="1:33" ht="11.25" customHeight="1" x14ac:dyDescent="0.25">
      <c r="A1721" s="4" t="s">
        <v>27</v>
      </c>
      <c r="B1721" s="4" t="s">
        <v>39</v>
      </c>
      <c r="C1721" s="4" t="s">
        <v>35</v>
      </c>
      <c r="D1721" s="4" t="s">
        <v>45</v>
      </c>
      <c r="E1721" s="4" t="s">
        <v>25</v>
      </c>
      <c r="F1721" s="4" t="s">
        <v>25</v>
      </c>
      <c r="G1721" s="4" t="s">
        <v>25</v>
      </c>
      <c r="H1721" s="4" t="s">
        <v>36</v>
      </c>
      <c r="I1721" s="5">
        <v>44743</v>
      </c>
      <c r="J1721" s="6">
        <v>0</v>
      </c>
      <c r="K1721" s="6">
        <v>0</v>
      </c>
      <c r="L1721" s="6">
        <v>0.22</v>
      </c>
      <c r="M1721" s="6">
        <v>0.22</v>
      </c>
      <c r="N1721" s="6">
        <v>0.22</v>
      </c>
      <c r="O1721" s="6">
        <v>0.22</v>
      </c>
      <c r="P1721" s="6">
        <v>0</v>
      </c>
      <c r="Q1721" s="4" t="s">
        <v>26</v>
      </c>
      <c r="R1721" s="4">
        <v>0</v>
      </c>
      <c r="S1721" s="6">
        <v>0</v>
      </c>
      <c r="T1721" s="6">
        <v>64</v>
      </c>
      <c r="U1721" s="6">
        <v>108</v>
      </c>
      <c r="V1721" s="6">
        <f>IF(ISERROR(VLOOKUP($S$1721,'TAR FIN'!$A$1:$O$115,15,0)),0,VLOOKUP($S$1721,'TAR FIN'!$A$1:$O$115,15,0))</f>
        <v>0</v>
      </c>
      <c r="W1721" s="6">
        <f>IF(ISERROR(VLOOKUP($T$1721,'TAR FIN'!$A$1:$O$115,15,0)),0,VLOOKUP($T$1721,'TAR FIN'!$A$1:$O$115,15,0))</f>
        <v>1303.25</v>
      </c>
      <c r="X1721" s="6">
        <f>IF(ISERROR(VLOOKUP($U$1721,'TAR FIN'!$A$1:$O$115,15,0)),0,VLOOKUP($U$1721,'TAR FIN'!$A$1:$O$115,15,0))</f>
        <v>270.3</v>
      </c>
      <c r="Y1721" s="6"/>
      <c r="Z1721" s="6">
        <f ca="1">('TUSD BE'!$AM$62+'TUSD BF'!$AM$62+'TUSD CVA'!$AM$62)*1</f>
        <v>1335.5988600941293</v>
      </c>
      <c r="AA1721" s="6">
        <f>('TE BE'!$AB$45+'TE BF'!$AB$45+'TE CVA'!$AB$45)*1</f>
        <v>362.64398683254075</v>
      </c>
      <c r="AB1721" s="6">
        <f>$K$1721*$V$1721</f>
        <v>0</v>
      </c>
      <c r="AC1721" s="6">
        <f>$M$1721*$W$1721</f>
        <v>286.71499999999997</v>
      </c>
      <c r="AD1721" s="6">
        <f>$O$1721*$X$1721</f>
        <v>59.466000000000001</v>
      </c>
      <c r="AE1721" s="6">
        <f>$K$1721*$Y$1721</f>
        <v>0</v>
      </c>
      <c r="AF1721" s="6">
        <f ca="1">$M$1721*$Z$1721</f>
        <v>293.83174922070845</v>
      </c>
      <c r="AG1721" s="6">
        <f>$O$1721*$AA$1721</f>
        <v>79.78167710315897</v>
      </c>
    </row>
    <row r="1722" spans="1:33" ht="11.25" customHeight="1" x14ac:dyDescent="0.25">
      <c r="A1722" s="4" t="s">
        <v>28</v>
      </c>
      <c r="B1722" s="4" t="s">
        <v>39</v>
      </c>
      <c r="C1722" s="4" t="s">
        <v>35</v>
      </c>
      <c r="D1722" s="4" t="s">
        <v>45</v>
      </c>
      <c r="E1722" s="4" t="s">
        <v>25</v>
      </c>
      <c r="F1722" s="4" t="s">
        <v>25</v>
      </c>
      <c r="G1722" s="4" t="s">
        <v>25</v>
      </c>
      <c r="H1722" s="4" t="s">
        <v>36</v>
      </c>
      <c r="I1722" s="5">
        <v>44743</v>
      </c>
      <c r="J1722" s="6">
        <v>0</v>
      </c>
      <c r="K1722" s="6">
        <v>0</v>
      </c>
      <c r="L1722" s="6">
        <v>0.50900000000000001</v>
      </c>
      <c r="M1722" s="6">
        <v>0.50900000000000001</v>
      </c>
      <c r="N1722" s="6">
        <v>0.50900000000000001</v>
      </c>
      <c r="O1722" s="6">
        <v>0.50900000000000001</v>
      </c>
      <c r="P1722" s="6">
        <v>0</v>
      </c>
      <c r="Q1722" s="4" t="s">
        <v>26</v>
      </c>
      <c r="R1722" s="4">
        <v>0</v>
      </c>
      <c r="S1722" s="6">
        <v>0</v>
      </c>
      <c r="T1722" s="6">
        <v>64</v>
      </c>
      <c r="U1722" s="6">
        <v>108</v>
      </c>
      <c r="V1722" s="6">
        <f>IF(ISERROR(VLOOKUP($S$1722,'TAR FIN'!$A$1:$O$115,15,0)),0,VLOOKUP($S$1722,'TAR FIN'!$A$1:$O$115,15,0))</f>
        <v>0</v>
      </c>
      <c r="W1722" s="6">
        <f>IF(ISERROR(VLOOKUP($T$1722,'TAR FIN'!$A$1:$O$115,15,0)),0,VLOOKUP($T$1722,'TAR FIN'!$A$1:$O$115,15,0))</f>
        <v>1303.25</v>
      </c>
      <c r="X1722" s="6">
        <f>IF(ISERROR(VLOOKUP($U$1722,'TAR FIN'!$A$1:$O$115,15,0)),0,VLOOKUP($U$1722,'TAR FIN'!$A$1:$O$115,15,0))</f>
        <v>270.3</v>
      </c>
      <c r="Y1722" s="6"/>
      <c r="Z1722" s="6">
        <f ca="1">('TUSD BE'!$AM$62+'TUSD BF'!$AM$62+'TUSD CVA'!$AM$62)*1</f>
        <v>1335.5988600941293</v>
      </c>
      <c r="AA1722" s="6">
        <f>('TE BE'!$AB$45+'TE BF'!$AB$45+'TE CVA'!$AB$45)*1</f>
        <v>362.64398683254075</v>
      </c>
      <c r="AB1722" s="6">
        <f>$K$1722*$V$1722</f>
        <v>0</v>
      </c>
      <c r="AC1722" s="6">
        <f>$M$1722*$W$1722</f>
        <v>663.35424999999998</v>
      </c>
      <c r="AD1722" s="6">
        <f>$O$1722*$X$1722</f>
        <v>137.58270000000002</v>
      </c>
      <c r="AE1722" s="6">
        <f>$K$1722*$Y$1722</f>
        <v>0</v>
      </c>
      <c r="AF1722" s="6">
        <f ca="1">$M$1722*$Z$1722</f>
        <v>679.8198197879118</v>
      </c>
      <c r="AG1722" s="6">
        <f>$O$1722*$AA$1722</f>
        <v>184.58578929776326</v>
      </c>
    </row>
    <row r="1723" spans="1:33" ht="11.25" customHeight="1" x14ac:dyDescent="0.25">
      <c r="A1723" s="4" t="s">
        <v>30</v>
      </c>
      <c r="B1723" s="4" t="s">
        <v>39</v>
      </c>
      <c r="C1723" s="4" t="s">
        <v>35</v>
      </c>
      <c r="D1723" s="4" t="s">
        <v>45</v>
      </c>
      <c r="E1723" s="4" t="s">
        <v>25</v>
      </c>
      <c r="F1723" s="4" t="s">
        <v>25</v>
      </c>
      <c r="G1723" s="4" t="s">
        <v>25</v>
      </c>
      <c r="H1723" s="4" t="s">
        <v>36</v>
      </c>
      <c r="I1723" s="5">
        <v>44743</v>
      </c>
      <c r="J1723" s="6">
        <v>0</v>
      </c>
      <c r="K1723" s="6">
        <v>0</v>
      </c>
      <c r="L1723" s="6">
        <v>5.8999999999999997E-2</v>
      </c>
      <c r="M1723" s="6">
        <v>5.8999999999999997E-2</v>
      </c>
      <c r="N1723" s="6">
        <v>5.8999999999999997E-2</v>
      </c>
      <c r="O1723" s="6">
        <v>5.8999999999999997E-2</v>
      </c>
      <c r="P1723" s="6">
        <v>0</v>
      </c>
      <c r="Q1723" s="4" t="s">
        <v>26</v>
      </c>
      <c r="R1723" s="4">
        <v>0</v>
      </c>
      <c r="S1723" s="6">
        <v>0</v>
      </c>
      <c r="T1723" s="6">
        <v>64</v>
      </c>
      <c r="U1723" s="6">
        <v>108</v>
      </c>
      <c r="V1723" s="6">
        <f>IF(ISERROR(VLOOKUP($S$1723,'TAR FIN'!$A$1:$O$115,15,0)),0,VLOOKUP($S$1723,'TAR FIN'!$A$1:$O$115,15,0))</f>
        <v>0</v>
      </c>
      <c r="W1723" s="6">
        <f>IF(ISERROR(VLOOKUP($T$1723,'TAR FIN'!$A$1:$O$115,15,0)),0,VLOOKUP($T$1723,'TAR FIN'!$A$1:$O$115,15,0))</f>
        <v>1303.25</v>
      </c>
      <c r="X1723" s="6">
        <f>IF(ISERROR(VLOOKUP($U$1723,'TAR FIN'!$A$1:$O$115,15,0)),0,VLOOKUP($U$1723,'TAR FIN'!$A$1:$O$115,15,0))</f>
        <v>270.3</v>
      </c>
      <c r="Y1723" s="6"/>
      <c r="Z1723" s="6">
        <f ca="1">('TUSD BE'!$AM$62+'TUSD BF'!$AM$62+'TUSD CVA'!$AM$62)*1</f>
        <v>1335.5988600941293</v>
      </c>
      <c r="AA1723" s="6">
        <f>('TE BE'!$AB$45+'TE BF'!$AB$45+'TE CVA'!$AB$45)*1</f>
        <v>362.64398683254075</v>
      </c>
      <c r="AB1723" s="6">
        <f>$K$1723*$V$1723</f>
        <v>0</v>
      </c>
      <c r="AC1723" s="6">
        <f>$M$1723*$W$1723</f>
        <v>76.891750000000002</v>
      </c>
      <c r="AD1723" s="6">
        <f>$O$1723*$X$1723</f>
        <v>15.947699999999999</v>
      </c>
      <c r="AE1723" s="6">
        <f>$K$1723*$Y$1723</f>
        <v>0</v>
      </c>
      <c r="AF1723" s="6">
        <f ca="1">$M$1723*$Z$1723</f>
        <v>78.800332745553632</v>
      </c>
      <c r="AG1723" s="6">
        <f>$O$1723*$AA$1723</f>
        <v>21.395995223119904</v>
      </c>
    </row>
    <row r="1724" spans="1:33" ht="11.25" customHeight="1" x14ac:dyDescent="0.25">
      <c r="A1724" s="4" t="s">
        <v>21</v>
      </c>
      <c r="B1724" s="4" t="s">
        <v>39</v>
      </c>
      <c r="C1724" s="4" t="s">
        <v>35</v>
      </c>
      <c r="D1724" s="4" t="s">
        <v>45</v>
      </c>
      <c r="E1724" s="4" t="s">
        <v>25</v>
      </c>
      <c r="F1724" s="4" t="s">
        <v>25</v>
      </c>
      <c r="G1724" s="4" t="s">
        <v>25</v>
      </c>
      <c r="H1724" s="4" t="s">
        <v>36</v>
      </c>
      <c r="I1724" s="5">
        <v>44774</v>
      </c>
      <c r="J1724" s="6">
        <v>0</v>
      </c>
      <c r="K1724" s="6">
        <v>0</v>
      </c>
      <c r="L1724" s="6">
        <v>4.97</v>
      </c>
      <c r="M1724" s="6">
        <v>4.97</v>
      </c>
      <c r="N1724" s="6">
        <v>4.97</v>
      </c>
      <c r="O1724" s="6">
        <v>4.97</v>
      </c>
      <c r="P1724" s="6">
        <v>0</v>
      </c>
      <c r="Q1724" s="4" t="s">
        <v>26</v>
      </c>
      <c r="R1724" s="4">
        <v>0</v>
      </c>
      <c r="S1724" s="6">
        <v>0</v>
      </c>
      <c r="T1724" s="6">
        <v>64</v>
      </c>
      <c r="U1724" s="6">
        <v>108</v>
      </c>
      <c r="V1724" s="6">
        <f>IF(ISERROR(VLOOKUP($S$1724,'TAR FIN'!$A$1:$O$115,15,0)),0,VLOOKUP($S$1724,'TAR FIN'!$A$1:$O$115,15,0))</f>
        <v>0</v>
      </c>
      <c r="W1724" s="6">
        <f>IF(ISERROR(VLOOKUP($T$1724,'TAR FIN'!$A$1:$O$115,15,0)),0,VLOOKUP($T$1724,'TAR FIN'!$A$1:$O$115,15,0))</f>
        <v>1303.25</v>
      </c>
      <c r="X1724" s="6">
        <f>IF(ISERROR(VLOOKUP($U$1724,'TAR FIN'!$A$1:$O$115,15,0)),0,VLOOKUP($U$1724,'TAR FIN'!$A$1:$O$115,15,0))</f>
        <v>270.3</v>
      </c>
      <c r="Y1724" s="6"/>
      <c r="Z1724" s="6">
        <f ca="1">('TUSD BE'!$AM$62+'TUSD BF'!$AM$62+'TUSD CVA'!$AM$62)*1</f>
        <v>1335.5988600941293</v>
      </c>
      <c r="AA1724" s="6">
        <f>('TE BE'!$AB$45+'TE BF'!$AB$45+'TE CVA'!$AB$45)*1</f>
        <v>362.64398683254075</v>
      </c>
      <c r="AB1724" s="6">
        <f>$K$1724*$V$1724</f>
        <v>0</v>
      </c>
      <c r="AC1724" s="6">
        <f>$M$1724*$W$1724</f>
        <v>6477.1524999999992</v>
      </c>
      <c r="AD1724" s="6">
        <f>$O$1724*$X$1724</f>
        <v>1343.3910000000001</v>
      </c>
      <c r="AE1724" s="6">
        <f>$K$1724*$Y$1724</f>
        <v>0</v>
      </c>
      <c r="AF1724" s="6">
        <f ca="1">$M$1724*$Z$1724</f>
        <v>6637.9263346678226</v>
      </c>
      <c r="AG1724" s="6">
        <f>$O$1724*$AA$1724</f>
        <v>1802.3406145577273</v>
      </c>
    </row>
    <row r="1725" spans="1:33" ht="11.25" customHeight="1" x14ac:dyDescent="0.25">
      <c r="A1725" s="4" t="s">
        <v>27</v>
      </c>
      <c r="B1725" s="4" t="s">
        <v>39</v>
      </c>
      <c r="C1725" s="4" t="s">
        <v>35</v>
      </c>
      <c r="D1725" s="4" t="s">
        <v>45</v>
      </c>
      <c r="E1725" s="4" t="s">
        <v>25</v>
      </c>
      <c r="F1725" s="4" t="s">
        <v>25</v>
      </c>
      <c r="G1725" s="4" t="s">
        <v>25</v>
      </c>
      <c r="H1725" s="4" t="s">
        <v>36</v>
      </c>
      <c r="I1725" s="5">
        <v>44774</v>
      </c>
      <c r="J1725" s="6">
        <v>0</v>
      </c>
      <c r="K1725" s="6">
        <v>0</v>
      </c>
      <c r="L1725" s="6">
        <v>-0.81100000000000005</v>
      </c>
      <c r="M1725" s="6">
        <v>-0.81100000000000005</v>
      </c>
      <c r="N1725" s="6">
        <v>-0.81100000000000005</v>
      </c>
      <c r="O1725" s="6">
        <v>-0.81100000000000005</v>
      </c>
      <c r="P1725" s="6">
        <v>0</v>
      </c>
      <c r="Q1725" s="4" t="s">
        <v>26</v>
      </c>
      <c r="R1725" s="4">
        <v>0</v>
      </c>
      <c r="S1725" s="6">
        <v>0</v>
      </c>
      <c r="T1725" s="6">
        <v>64</v>
      </c>
      <c r="U1725" s="6">
        <v>108</v>
      </c>
      <c r="V1725" s="6">
        <f>IF(ISERROR(VLOOKUP($S$1725,'TAR FIN'!$A$1:$O$115,15,0)),0,VLOOKUP($S$1725,'TAR FIN'!$A$1:$O$115,15,0))</f>
        <v>0</v>
      </c>
      <c r="W1725" s="6">
        <f>IF(ISERROR(VLOOKUP($T$1725,'TAR FIN'!$A$1:$O$115,15,0)),0,VLOOKUP($T$1725,'TAR FIN'!$A$1:$O$115,15,0))</f>
        <v>1303.25</v>
      </c>
      <c r="X1725" s="6">
        <f>IF(ISERROR(VLOOKUP($U$1725,'TAR FIN'!$A$1:$O$115,15,0)),0,VLOOKUP($U$1725,'TAR FIN'!$A$1:$O$115,15,0))</f>
        <v>270.3</v>
      </c>
      <c r="Y1725" s="6"/>
      <c r="Z1725" s="6">
        <f ca="1">('TUSD BE'!$AM$62+'TUSD BF'!$AM$62+'TUSD CVA'!$AM$62)*1</f>
        <v>1335.5988600941293</v>
      </c>
      <c r="AA1725" s="6">
        <f>('TE BE'!$AB$45+'TE BF'!$AB$45+'TE CVA'!$AB$45)*1</f>
        <v>362.64398683254075</v>
      </c>
      <c r="AB1725" s="6">
        <f>$K$1725*$V$1725</f>
        <v>0</v>
      </c>
      <c r="AC1725" s="6">
        <f>$M$1725*$W$1725</f>
        <v>-1056.9357500000001</v>
      </c>
      <c r="AD1725" s="6">
        <f>$O$1725*$X$1725</f>
        <v>-219.21330000000003</v>
      </c>
      <c r="AE1725" s="6">
        <f>$K$1725*$Y$1725</f>
        <v>0</v>
      </c>
      <c r="AF1725" s="6">
        <f ca="1">$M$1725*$Z$1725</f>
        <v>-1083.1706755363389</v>
      </c>
      <c r="AG1725" s="6">
        <f>$O$1725*$AA$1725</f>
        <v>-294.10427332119059</v>
      </c>
    </row>
    <row r="1726" spans="1:33" ht="11.25" customHeight="1" x14ac:dyDescent="0.25">
      <c r="A1726" s="4" t="s">
        <v>28</v>
      </c>
      <c r="B1726" s="4" t="s">
        <v>39</v>
      </c>
      <c r="C1726" s="4" t="s">
        <v>35</v>
      </c>
      <c r="D1726" s="4" t="s">
        <v>45</v>
      </c>
      <c r="E1726" s="4" t="s">
        <v>25</v>
      </c>
      <c r="F1726" s="4" t="s">
        <v>25</v>
      </c>
      <c r="G1726" s="4" t="s">
        <v>25</v>
      </c>
      <c r="H1726" s="4" t="s">
        <v>36</v>
      </c>
      <c r="I1726" s="5">
        <v>44774</v>
      </c>
      <c r="J1726" s="6">
        <v>0</v>
      </c>
      <c r="K1726" s="6">
        <v>0</v>
      </c>
      <c r="L1726" s="6">
        <v>0.495</v>
      </c>
      <c r="M1726" s="6">
        <v>0.495</v>
      </c>
      <c r="N1726" s="6">
        <v>0.495</v>
      </c>
      <c r="O1726" s="6">
        <v>0.495</v>
      </c>
      <c r="P1726" s="6">
        <v>0</v>
      </c>
      <c r="Q1726" s="4" t="s">
        <v>26</v>
      </c>
      <c r="R1726" s="4">
        <v>0</v>
      </c>
      <c r="S1726" s="6">
        <v>0</v>
      </c>
      <c r="T1726" s="6">
        <v>64</v>
      </c>
      <c r="U1726" s="6">
        <v>108</v>
      </c>
      <c r="V1726" s="6">
        <f>IF(ISERROR(VLOOKUP($S$1726,'TAR FIN'!$A$1:$O$115,15,0)),0,VLOOKUP($S$1726,'TAR FIN'!$A$1:$O$115,15,0))</f>
        <v>0</v>
      </c>
      <c r="W1726" s="6">
        <f>IF(ISERROR(VLOOKUP($T$1726,'TAR FIN'!$A$1:$O$115,15,0)),0,VLOOKUP($T$1726,'TAR FIN'!$A$1:$O$115,15,0))</f>
        <v>1303.25</v>
      </c>
      <c r="X1726" s="6">
        <f>IF(ISERROR(VLOOKUP($U$1726,'TAR FIN'!$A$1:$O$115,15,0)),0,VLOOKUP($U$1726,'TAR FIN'!$A$1:$O$115,15,0))</f>
        <v>270.3</v>
      </c>
      <c r="Y1726" s="6"/>
      <c r="Z1726" s="6">
        <f ca="1">('TUSD BE'!$AM$62+'TUSD BF'!$AM$62+'TUSD CVA'!$AM$62)*1</f>
        <v>1335.5988600941293</v>
      </c>
      <c r="AA1726" s="6">
        <f>('TE BE'!$AB$45+'TE BF'!$AB$45+'TE CVA'!$AB$45)*1</f>
        <v>362.64398683254075</v>
      </c>
      <c r="AB1726" s="6">
        <f>$K$1726*$V$1726</f>
        <v>0</v>
      </c>
      <c r="AC1726" s="6">
        <f>$M$1726*$W$1726</f>
        <v>645.10874999999999</v>
      </c>
      <c r="AD1726" s="6">
        <f>$O$1726*$X$1726</f>
        <v>133.79850000000002</v>
      </c>
      <c r="AE1726" s="6">
        <f>$K$1726*$Y$1726</f>
        <v>0</v>
      </c>
      <c r="AF1726" s="6">
        <f ca="1">$M$1726*$Z$1726</f>
        <v>661.12143574659399</v>
      </c>
      <c r="AG1726" s="6">
        <f>$O$1726*$AA$1726</f>
        <v>179.50877348210767</v>
      </c>
    </row>
    <row r="1727" spans="1:33" ht="11.25" customHeight="1" x14ac:dyDescent="0.25">
      <c r="A1727" s="4" t="s">
        <v>30</v>
      </c>
      <c r="B1727" s="4" t="s">
        <v>39</v>
      </c>
      <c r="C1727" s="4" t="s">
        <v>35</v>
      </c>
      <c r="D1727" s="4" t="s">
        <v>45</v>
      </c>
      <c r="E1727" s="4" t="s">
        <v>25</v>
      </c>
      <c r="F1727" s="4" t="s">
        <v>25</v>
      </c>
      <c r="G1727" s="4" t="s">
        <v>25</v>
      </c>
      <c r="H1727" s="4" t="s">
        <v>36</v>
      </c>
      <c r="I1727" s="5">
        <v>44774</v>
      </c>
      <c r="J1727" s="6">
        <v>0</v>
      </c>
      <c r="K1727" s="6">
        <v>0</v>
      </c>
      <c r="L1727" s="6">
        <v>1.524</v>
      </c>
      <c r="M1727" s="6">
        <v>1.524</v>
      </c>
      <c r="N1727" s="6">
        <v>1.524</v>
      </c>
      <c r="O1727" s="6">
        <v>1.524</v>
      </c>
      <c r="P1727" s="6">
        <v>0</v>
      </c>
      <c r="Q1727" s="4" t="s">
        <v>26</v>
      </c>
      <c r="R1727" s="4">
        <v>0</v>
      </c>
      <c r="S1727" s="6">
        <v>0</v>
      </c>
      <c r="T1727" s="6">
        <v>64</v>
      </c>
      <c r="U1727" s="6">
        <v>108</v>
      </c>
      <c r="V1727" s="6">
        <f>IF(ISERROR(VLOOKUP($S$1727,'TAR FIN'!$A$1:$O$115,15,0)),0,VLOOKUP($S$1727,'TAR FIN'!$A$1:$O$115,15,0))</f>
        <v>0</v>
      </c>
      <c r="W1727" s="6">
        <f>IF(ISERROR(VLOOKUP($T$1727,'TAR FIN'!$A$1:$O$115,15,0)),0,VLOOKUP($T$1727,'TAR FIN'!$A$1:$O$115,15,0))</f>
        <v>1303.25</v>
      </c>
      <c r="X1727" s="6">
        <f>IF(ISERROR(VLOOKUP($U$1727,'TAR FIN'!$A$1:$O$115,15,0)),0,VLOOKUP($U$1727,'TAR FIN'!$A$1:$O$115,15,0))</f>
        <v>270.3</v>
      </c>
      <c r="Y1727" s="6"/>
      <c r="Z1727" s="6">
        <f ca="1">('TUSD BE'!$AM$62+'TUSD BF'!$AM$62+'TUSD CVA'!$AM$62)*1</f>
        <v>1335.5988600941293</v>
      </c>
      <c r="AA1727" s="6">
        <f>('TE BE'!$AB$45+'TE BF'!$AB$45+'TE CVA'!$AB$45)*1</f>
        <v>362.64398683254075</v>
      </c>
      <c r="AB1727" s="6">
        <f>$K$1727*$V$1727</f>
        <v>0</v>
      </c>
      <c r="AC1727" s="6">
        <f>$M$1727*$W$1727</f>
        <v>1986.153</v>
      </c>
      <c r="AD1727" s="6">
        <f>$O$1727*$X$1727</f>
        <v>411.93720000000002</v>
      </c>
      <c r="AE1727" s="6">
        <f>$K$1727*$Y$1727</f>
        <v>0</v>
      </c>
      <c r="AF1727" s="6">
        <f ca="1">$M$1727*$Z$1727</f>
        <v>2035.4526627834532</v>
      </c>
      <c r="AG1727" s="6">
        <f>$O$1727*$AA$1727</f>
        <v>552.66943593279211</v>
      </c>
    </row>
    <row r="1728" spans="1:33" ht="11.25" customHeight="1" x14ac:dyDescent="0.25">
      <c r="A1728" s="4" t="s">
        <v>21</v>
      </c>
      <c r="B1728" s="4" t="s">
        <v>39</v>
      </c>
      <c r="C1728" s="4" t="s">
        <v>35</v>
      </c>
      <c r="D1728" s="4" t="s">
        <v>45</v>
      </c>
      <c r="E1728" s="4" t="s">
        <v>25</v>
      </c>
      <c r="F1728" s="4" t="s">
        <v>25</v>
      </c>
      <c r="G1728" s="4" t="s">
        <v>25</v>
      </c>
      <c r="H1728" s="4" t="s">
        <v>36</v>
      </c>
      <c r="I1728" s="5">
        <v>44805</v>
      </c>
      <c r="J1728" s="6">
        <v>0</v>
      </c>
      <c r="K1728" s="6">
        <v>0</v>
      </c>
      <c r="L1728" s="6">
        <v>5.891</v>
      </c>
      <c r="M1728" s="6">
        <v>5.891</v>
      </c>
      <c r="N1728" s="6">
        <v>5.891</v>
      </c>
      <c r="O1728" s="6">
        <v>5.891</v>
      </c>
      <c r="P1728" s="6">
        <v>0</v>
      </c>
      <c r="Q1728" s="4" t="s">
        <v>26</v>
      </c>
      <c r="R1728" s="4">
        <v>0</v>
      </c>
      <c r="S1728" s="6">
        <v>0</v>
      </c>
      <c r="T1728" s="6">
        <v>64</v>
      </c>
      <c r="U1728" s="6">
        <v>108</v>
      </c>
      <c r="V1728" s="6">
        <f>IF(ISERROR(VLOOKUP($S$1728,'TAR FIN'!$A$1:$O$115,15,0)),0,VLOOKUP($S$1728,'TAR FIN'!$A$1:$O$115,15,0))</f>
        <v>0</v>
      </c>
      <c r="W1728" s="6">
        <f>IF(ISERROR(VLOOKUP($T$1728,'TAR FIN'!$A$1:$O$115,15,0)),0,VLOOKUP($T$1728,'TAR FIN'!$A$1:$O$115,15,0))</f>
        <v>1303.25</v>
      </c>
      <c r="X1728" s="6">
        <f>IF(ISERROR(VLOOKUP($U$1728,'TAR FIN'!$A$1:$O$115,15,0)),0,VLOOKUP($U$1728,'TAR FIN'!$A$1:$O$115,15,0))</f>
        <v>270.3</v>
      </c>
      <c r="Y1728" s="6"/>
      <c r="Z1728" s="6">
        <f ca="1">('TUSD BE'!$AM$62+'TUSD BF'!$AM$62+'TUSD CVA'!$AM$62)*1</f>
        <v>1335.5988600941293</v>
      </c>
      <c r="AA1728" s="6">
        <f>('TE BE'!$AB$45+'TE BF'!$AB$45+'TE CVA'!$AB$45)*1</f>
        <v>362.64398683254075</v>
      </c>
      <c r="AB1728" s="6">
        <f>$K$1728*$V$1728</f>
        <v>0</v>
      </c>
      <c r="AC1728" s="6">
        <f>$M$1728*$W$1728</f>
        <v>7677.4457499999999</v>
      </c>
      <c r="AD1728" s="6">
        <f>$O$1728*$X$1728</f>
        <v>1592.3373000000001</v>
      </c>
      <c r="AE1728" s="6">
        <f>$K$1728*$Y$1728</f>
        <v>0</v>
      </c>
      <c r="AF1728" s="6">
        <f ca="1">$M$1728*$Z$1728</f>
        <v>7868.0128848145159</v>
      </c>
      <c r="AG1728" s="6">
        <f>$O$1728*$AA$1728</f>
        <v>2136.3357264304977</v>
      </c>
    </row>
    <row r="1729" spans="1:33" ht="11.25" customHeight="1" x14ac:dyDescent="0.25">
      <c r="A1729" s="4" t="s">
        <v>27</v>
      </c>
      <c r="B1729" s="4" t="s">
        <v>39</v>
      </c>
      <c r="C1729" s="4" t="s">
        <v>35</v>
      </c>
      <c r="D1729" s="4" t="s">
        <v>45</v>
      </c>
      <c r="E1729" s="4" t="s">
        <v>25</v>
      </c>
      <c r="F1729" s="4" t="s">
        <v>25</v>
      </c>
      <c r="G1729" s="4" t="s">
        <v>25</v>
      </c>
      <c r="H1729" s="4" t="s">
        <v>36</v>
      </c>
      <c r="I1729" s="5">
        <v>44805</v>
      </c>
      <c r="J1729" s="6">
        <v>0</v>
      </c>
      <c r="K1729" s="6">
        <v>0</v>
      </c>
      <c r="L1729" s="6">
        <v>-3.0000000000000001E-3</v>
      </c>
      <c r="M1729" s="6">
        <v>-3.0000000000000001E-3</v>
      </c>
      <c r="N1729" s="6">
        <v>-3.0000000000000001E-3</v>
      </c>
      <c r="O1729" s="6">
        <v>-3.0000000000000001E-3</v>
      </c>
      <c r="P1729" s="6">
        <v>0</v>
      </c>
      <c r="Q1729" s="4" t="s">
        <v>26</v>
      </c>
      <c r="R1729" s="4">
        <v>0</v>
      </c>
      <c r="S1729" s="6">
        <v>0</v>
      </c>
      <c r="T1729" s="6">
        <v>64</v>
      </c>
      <c r="U1729" s="6">
        <v>108</v>
      </c>
      <c r="V1729" s="6">
        <f>IF(ISERROR(VLOOKUP($S$1729,'TAR FIN'!$A$1:$O$115,15,0)),0,VLOOKUP($S$1729,'TAR FIN'!$A$1:$O$115,15,0))</f>
        <v>0</v>
      </c>
      <c r="W1729" s="6">
        <f>IF(ISERROR(VLOOKUP($T$1729,'TAR FIN'!$A$1:$O$115,15,0)),0,VLOOKUP($T$1729,'TAR FIN'!$A$1:$O$115,15,0))</f>
        <v>1303.25</v>
      </c>
      <c r="X1729" s="6">
        <f>IF(ISERROR(VLOOKUP($U$1729,'TAR FIN'!$A$1:$O$115,15,0)),0,VLOOKUP($U$1729,'TAR FIN'!$A$1:$O$115,15,0))</f>
        <v>270.3</v>
      </c>
      <c r="Y1729" s="6"/>
      <c r="Z1729" s="6">
        <f ca="1">('TUSD BE'!$AM$62+'TUSD BF'!$AM$62+'TUSD CVA'!$AM$62)*1</f>
        <v>1335.5988600941293</v>
      </c>
      <c r="AA1729" s="6">
        <f>('TE BE'!$AB$45+'TE BF'!$AB$45+'TE CVA'!$AB$45)*1</f>
        <v>362.64398683254075</v>
      </c>
      <c r="AB1729" s="6">
        <f>$K$1729*$V$1729</f>
        <v>0</v>
      </c>
      <c r="AC1729" s="6">
        <f>$M$1729*$W$1729</f>
        <v>-3.9097500000000003</v>
      </c>
      <c r="AD1729" s="6">
        <f>$O$1729*$X$1729</f>
        <v>-0.81090000000000007</v>
      </c>
      <c r="AE1729" s="6">
        <f>$K$1729*$Y$1729</f>
        <v>0</v>
      </c>
      <c r="AF1729" s="6">
        <f ca="1">$M$1729*$Z$1729</f>
        <v>-4.0067965802823879</v>
      </c>
      <c r="AG1729" s="6">
        <f>$O$1729*$AA$1729</f>
        <v>-1.0879319604976223</v>
      </c>
    </row>
    <row r="1730" spans="1:33" ht="11.25" customHeight="1" x14ac:dyDescent="0.25">
      <c r="A1730" s="4" t="s">
        <v>28</v>
      </c>
      <c r="B1730" s="4" t="s">
        <v>39</v>
      </c>
      <c r="C1730" s="4" t="s">
        <v>35</v>
      </c>
      <c r="D1730" s="4" t="s">
        <v>45</v>
      </c>
      <c r="E1730" s="4" t="s">
        <v>25</v>
      </c>
      <c r="F1730" s="4" t="s">
        <v>25</v>
      </c>
      <c r="G1730" s="4" t="s">
        <v>25</v>
      </c>
      <c r="H1730" s="4" t="s">
        <v>36</v>
      </c>
      <c r="I1730" s="5">
        <v>44805</v>
      </c>
      <c r="J1730" s="6">
        <v>0</v>
      </c>
      <c r="K1730" s="6">
        <v>0</v>
      </c>
      <c r="L1730" s="6">
        <v>0.505</v>
      </c>
      <c r="M1730" s="6">
        <v>0.505</v>
      </c>
      <c r="N1730" s="6">
        <v>0.505</v>
      </c>
      <c r="O1730" s="6">
        <v>0.505</v>
      </c>
      <c r="P1730" s="6">
        <v>0</v>
      </c>
      <c r="Q1730" s="4" t="s">
        <v>26</v>
      </c>
      <c r="R1730" s="4">
        <v>0</v>
      </c>
      <c r="S1730" s="6">
        <v>0</v>
      </c>
      <c r="T1730" s="6">
        <v>64</v>
      </c>
      <c r="U1730" s="6">
        <v>108</v>
      </c>
      <c r="V1730" s="6">
        <f>IF(ISERROR(VLOOKUP($S$1730,'TAR FIN'!$A$1:$O$115,15,0)),0,VLOOKUP($S$1730,'TAR FIN'!$A$1:$O$115,15,0))</f>
        <v>0</v>
      </c>
      <c r="W1730" s="6">
        <f>IF(ISERROR(VLOOKUP($T$1730,'TAR FIN'!$A$1:$O$115,15,0)),0,VLOOKUP($T$1730,'TAR FIN'!$A$1:$O$115,15,0))</f>
        <v>1303.25</v>
      </c>
      <c r="X1730" s="6">
        <f>IF(ISERROR(VLOOKUP($U$1730,'TAR FIN'!$A$1:$O$115,15,0)),0,VLOOKUP($U$1730,'TAR FIN'!$A$1:$O$115,15,0))</f>
        <v>270.3</v>
      </c>
      <c r="Y1730" s="6"/>
      <c r="Z1730" s="6">
        <f ca="1">('TUSD BE'!$AM$62+'TUSD BF'!$AM$62+'TUSD CVA'!$AM$62)*1</f>
        <v>1335.5988600941293</v>
      </c>
      <c r="AA1730" s="6">
        <f>('TE BE'!$AB$45+'TE BF'!$AB$45+'TE CVA'!$AB$45)*1</f>
        <v>362.64398683254075</v>
      </c>
      <c r="AB1730" s="6">
        <f>$K$1730*$V$1730</f>
        <v>0</v>
      </c>
      <c r="AC1730" s="6">
        <f>$M$1730*$W$1730</f>
        <v>658.14125000000001</v>
      </c>
      <c r="AD1730" s="6">
        <f>$O$1730*$X$1730</f>
        <v>136.50149999999999</v>
      </c>
      <c r="AE1730" s="6">
        <f>$K$1730*$Y$1730</f>
        <v>0</v>
      </c>
      <c r="AF1730" s="6">
        <f ca="1">$M$1730*$Z$1730</f>
        <v>674.47742434753536</v>
      </c>
      <c r="AG1730" s="6">
        <f>$O$1730*$AA$1730</f>
        <v>183.13521335043308</v>
      </c>
    </row>
    <row r="1731" spans="1:33" ht="11.25" customHeight="1" x14ac:dyDescent="0.25">
      <c r="A1731" s="4" t="s">
        <v>30</v>
      </c>
      <c r="B1731" s="4" t="s">
        <v>39</v>
      </c>
      <c r="C1731" s="4" t="s">
        <v>35</v>
      </c>
      <c r="D1731" s="4" t="s">
        <v>45</v>
      </c>
      <c r="E1731" s="4" t="s">
        <v>25</v>
      </c>
      <c r="F1731" s="4" t="s">
        <v>25</v>
      </c>
      <c r="G1731" s="4" t="s">
        <v>25</v>
      </c>
      <c r="H1731" s="4" t="s">
        <v>36</v>
      </c>
      <c r="I1731" s="5">
        <v>44805</v>
      </c>
      <c r="J1731" s="6">
        <v>0</v>
      </c>
      <c r="K1731" s="6">
        <v>0</v>
      </c>
      <c r="L1731" s="6">
        <v>0.217</v>
      </c>
      <c r="M1731" s="6">
        <v>0.217</v>
      </c>
      <c r="N1731" s="6">
        <v>0.217</v>
      </c>
      <c r="O1731" s="6">
        <v>0.217</v>
      </c>
      <c r="P1731" s="6">
        <v>0</v>
      </c>
      <c r="Q1731" s="4" t="s">
        <v>26</v>
      </c>
      <c r="R1731" s="4">
        <v>0</v>
      </c>
      <c r="S1731" s="6">
        <v>0</v>
      </c>
      <c r="T1731" s="6">
        <v>64</v>
      </c>
      <c r="U1731" s="6">
        <v>108</v>
      </c>
      <c r="V1731" s="6">
        <f>IF(ISERROR(VLOOKUP($S$1731,'TAR FIN'!$A$1:$O$115,15,0)),0,VLOOKUP($S$1731,'TAR FIN'!$A$1:$O$115,15,0))</f>
        <v>0</v>
      </c>
      <c r="W1731" s="6">
        <f>IF(ISERROR(VLOOKUP($T$1731,'TAR FIN'!$A$1:$O$115,15,0)),0,VLOOKUP($T$1731,'TAR FIN'!$A$1:$O$115,15,0))</f>
        <v>1303.25</v>
      </c>
      <c r="X1731" s="6">
        <f>IF(ISERROR(VLOOKUP($U$1731,'TAR FIN'!$A$1:$O$115,15,0)),0,VLOOKUP($U$1731,'TAR FIN'!$A$1:$O$115,15,0))</f>
        <v>270.3</v>
      </c>
      <c r="Y1731" s="6"/>
      <c r="Z1731" s="6">
        <f ca="1">('TUSD BE'!$AM$62+'TUSD BF'!$AM$62+'TUSD CVA'!$AM$62)*1</f>
        <v>1335.5988600941293</v>
      </c>
      <c r="AA1731" s="6">
        <f>('TE BE'!$AB$45+'TE BF'!$AB$45+'TE CVA'!$AB$45)*1</f>
        <v>362.64398683254075</v>
      </c>
      <c r="AB1731" s="6">
        <f>$K$1731*$V$1731</f>
        <v>0</v>
      </c>
      <c r="AC1731" s="6">
        <f>$M$1731*$W$1731</f>
        <v>282.80525</v>
      </c>
      <c r="AD1731" s="6">
        <f>$O$1731*$X$1731</f>
        <v>58.655100000000004</v>
      </c>
      <c r="AE1731" s="6">
        <f>$K$1731*$Y$1731</f>
        <v>0</v>
      </c>
      <c r="AF1731" s="6">
        <f ca="1">$M$1731*$Z$1731</f>
        <v>289.82495264042609</v>
      </c>
      <c r="AG1731" s="6">
        <f>$O$1731*$AA$1731</f>
        <v>78.693745142661342</v>
      </c>
    </row>
    <row r="1732" spans="1:33" ht="11.25" customHeight="1" x14ac:dyDescent="0.25">
      <c r="A1732" s="4" t="s">
        <v>30</v>
      </c>
      <c r="B1732" s="4" t="s">
        <v>39</v>
      </c>
      <c r="C1732" s="4" t="s">
        <v>35</v>
      </c>
      <c r="D1732" s="4" t="s">
        <v>45</v>
      </c>
      <c r="E1732" s="4" t="s">
        <v>25</v>
      </c>
      <c r="F1732" s="4" t="s">
        <v>25</v>
      </c>
      <c r="G1732" s="4" t="s">
        <v>25</v>
      </c>
      <c r="H1732" s="4" t="s">
        <v>36</v>
      </c>
      <c r="I1732" s="5">
        <v>44805</v>
      </c>
      <c r="J1732" s="6">
        <v>0</v>
      </c>
      <c r="K1732" s="6">
        <v>0</v>
      </c>
      <c r="L1732" s="6">
        <v>-1.4970000000000001</v>
      </c>
      <c r="M1732" s="6">
        <v>-1.4970000000000001</v>
      </c>
      <c r="N1732" s="6">
        <v>-1.4970000000000001</v>
      </c>
      <c r="O1732" s="6">
        <v>-1.4970000000000001</v>
      </c>
      <c r="P1732" s="6">
        <v>0</v>
      </c>
      <c r="Q1732" s="4" t="s">
        <v>26</v>
      </c>
      <c r="R1732" s="4">
        <v>0</v>
      </c>
      <c r="S1732" s="6">
        <v>0</v>
      </c>
      <c r="T1732" s="6">
        <v>64</v>
      </c>
      <c r="U1732" s="6">
        <v>108</v>
      </c>
      <c r="V1732" s="6">
        <f>IF(ISERROR(VLOOKUP($S$1732,'TAR FIN'!$A$1:$O$115,15,0)),0,VLOOKUP($S$1732,'TAR FIN'!$A$1:$O$115,15,0))</f>
        <v>0</v>
      </c>
      <c r="W1732" s="6">
        <f>IF(ISERROR(VLOOKUP($T$1732,'TAR FIN'!$A$1:$O$115,15,0)),0,VLOOKUP($T$1732,'TAR FIN'!$A$1:$O$115,15,0))</f>
        <v>1303.25</v>
      </c>
      <c r="X1732" s="6">
        <f>IF(ISERROR(VLOOKUP($U$1732,'TAR FIN'!$A$1:$O$115,15,0)),0,VLOOKUP($U$1732,'TAR FIN'!$A$1:$O$115,15,0))</f>
        <v>270.3</v>
      </c>
      <c r="Y1732" s="6"/>
      <c r="Z1732" s="6">
        <f ca="1">('TUSD BE'!$AM$62+'TUSD BF'!$AM$62+'TUSD CVA'!$AM$62)*1</f>
        <v>1335.5988600941293</v>
      </c>
      <c r="AA1732" s="6">
        <f>('TE BE'!$AB$45+'TE BF'!$AB$45+'TE CVA'!$AB$45)*1</f>
        <v>362.64398683254075</v>
      </c>
      <c r="AB1732" s="6">
        <f>$K$1732*$V$1732</f>
        <v>0</v>
      </c>
      <c r="AC1732" s="6">
        <f>$M$1732*$W$1732</f>
        <v>-1950.9652500000002</v>
      </c>
      <c r="AD1732" s="6">
        <f>$O$1732*$X$1732</f>
        <v>-404.63910000000004</v>
      </c>
      <c r="AE1732" s="6">
        <f>$K$1732*$Y$1732</f>
        <v>0</v>
      </c>
      <c r="AF1732" s="6">
        <f ca="1">$M$1732*$Z$1732</f>
        <v>-1999.3914935609118</v>
      </c>
      <c r="AG1732" s="6">
        <f>$O$1732*$AA$1732</f>
        <v>-542.87804828831349</v>
      </c>
    </row>
    <row r="1733" spans="1:33" ht="11.25" customHeight="1" x14ac:dyDescent="0.25">
      <c r="A1733" s="4" t="s">
        <v>21</v>
      </c>
      <c r="B1733" s="4" t="s">
        <v>39</v>
      </c>
      <c r="C1733" s="4" t="s">
        <v>35</v>
      </c>
      <c r="D1733" s="4" t="s">
        <v>45</v>
      </c>
      <c r="E1733" s="4" t="s">
        <v>25</v>
      </c>
      <c r="F1733" s="4" t="s">
        <v>25</v>
      </c>
      <c r="G1733" s="4" t="s">
        <v>25</v>
      </c>
      <c r="H1733" s="4" t="s">
        <v>36</v>
      </c>
      <c r="I1733" s="5">
        <v>44835</v>
      </c>
      <c r="J1733" s="6">
        <v>0</v>
      </c>
      <c r="K1733" s="6">
        <v>0</v>
      </c>
      <c r="L1733" s="6">
        <v>5.2279999999999998</v>
      </c>
      <c r="M1733" s="6">
        <v>5.2279999999999998</v>
      </c>
      <c r="N1733" s="6">
        <v>5.2279999999999998</v>
      </c>
      <c r="O1733" s="6">
        <v>5.2279999999999998</v>
      </c>
      <c r="P1733" s="6">
        <v>0</v>
      </c>
      <c r="Q1733" s="4" t="s">
        <v>26</v>
      </c>
      <c r="R1733" s="4">
        <v>0</v>
      </c>
      <c r="S1733" s="6">
        <v>0</v>
      </c>
      <c r="T1733" s="6">
        <v>64</v>
      </c>
      <c r="U1733" s="6">
        <v>108</v>
      </c>
      <c r="V1733" s="6">
        <f>IF(ISERROR(VLOOKUP($S$1733,'TAR FIN'!$A$1:$O$115,15,0)),0,VLOOKUP($S$1733,'TAR FIN'!$A$1:$O$115,15,0))</f>
        <v>0</v>
      </c>
      <c r="W1733" s="6">
        <f>IF(ISERROR(VLOOKUP($T$1733,'TAR FIN'!$A$1:$O$115,15,0)),0,VLOOKUP($T$1733,'TAR FIN'!$A$1:$O$115,15,0))</f>
        <v>1303.25</v>
      </c>
      <c r="X1733" s="6">
        <f>IF(ISERROR(VLOOKUP($U$1733,'TAR FIN'!$A$1:$O$115,15,0)),0,VLOOKUP($U$1733,'TAR FIN'!$A$1:$O$115,15,0))</f>
        <v>270.3</v>
      </c>
      <c r="Y1733" s="6"/>
      <c r="Z1733" s="6">
        <f ca="1">('TUSD BE'!$AM$62+'TUSD BF'!$AM$62+'TUSD CVA'!$AM$62)*1</f>
        <v>1335.5988600941293</v>
      </c>
      <c r="AA1733" s="6">
        <f>('TE BE'!$AB$45+'TE BF'!$AB$45+'TE CVA'!$AB$45)*1</f>
        <v>362.64398683254075</v>
      </c>
      <c r="AB1733" s="6">
        <f>$K$1733*$V$1733</f>
        <v>0</v>
      </c>
      <c r="AC1733" s="6">
        <f>$M$1733*$W$1733</f>
        <v>6813.3909999999996</v>
      </c>
      <c r="AD1733" s="6">
        <f>$O$1733*$X$1733</f>
        <v>1413.1284000000001</v>
      </c>
      <c r="AE1733" s="6">
        <f>$K$1733*$Y$1733</f>
        <v>0</v>
      </c>
      <c r="AF1733" s="6">
        <f ca="1">$M$1733*$Z$1733</f>
        <v>6982.5108405721076</v>
      </c>
      <c r="AG1733" s="6">
        <f>$O$1733*$AA$1733</f>
        <v>1895.9027631605229</v>
      </c>
    </row>
    <row r="1734" spans="1:33" ht="11.25" customHeight="1" x14ac:dyDescent="0.25">
      <c r="A1734" s="4" t="s">
        <v>28</v>
      </c>
      <c r="B1734" s="4" t="s">
        <v>39</v>
      </c>
      <c r="C1734" s="4" t="s">
        <v>35</v>
      </c>
      <c r="D1734" s="4" t="s">
        <v>45</v>
      </c>
      <c r="E1734" s="4" t="s">
        <v>25</v>
      </c>
      <c r="F1734" s="4" t="s">
        <v>25</v>
      </c>
      <c r="G1734" s="4" t="s">
        <v>25</v>
      </c>
      <c r="H1734" s="4" t="s">
        <v>36</v>
      </c>
      <c r="I1734" s="5">
        <v>44835</v>
      </c>
      <c r="J1734" s="6">
        <v>0</v>
      </c>
      <c r="K1734" s="6">
        <v>0</v>
      </c>
      <c r="L1734" s="6">
        <v>0.63900000000000001</v>
      </c>
      <c r="M1734" s="6">
        <v>0.63900000000000001</v>
      </c>
      <c r="N1734" s="6">
        <v>0.63900000000000001</v>
      </c>
      <c r="O1734" s="6">
        <v>0.63900000000000001</v>
      </c>
      <c r="P1734" s="6">
        <v>0</v>
      </c>
      <c r="Q1734" s="4" t="s">
        <v>26</v>
      </c>
      <c r="R1734" s="4">
        <v>0</v>
      </c>
      <c r="S1734" s="6">
        <v>0</v>
      </c>
      <c r="T1734" s="6">
        <v>64</v>
      </c>
      <c r="U1734" s="6">
        <v>108</v>
      </c>
      <c r="V1734" s="6">
        <f>IF(ISERROR(VLOOKUP($S$1734,'TAR FIN'!$A$1:$O$115,15,0)),0,VLOOKUP($S$1734,'TAR FIN'!$A$1:$O$115,15,0))</f>
        <v>0</v>
      </c>
      <c r="W1734" s="6">
        <f>IF(ISERROR(VLOOKUP($T$1734,'TAR FIN'!$A$1:$O$115,15,0)),0,VLOOKUP($T$1734,'TAR FIN'!$A$1:$O$115,15,0))</f>
        <v>1303.25</v>
      </c>
      <c r="X1734" s="6">
        <f>IF(ISERROR(VLOOKUP($U$1734,'TAR FIN'!$A$1:$O$115,15,0)),0,VLOOKUP($U$1734,'TAR FIN'!$A$1:$O$115,15,0))</f>
        <v>270.3</v>
      </c>
      <c r="Y1734" s="6"/>
      <c r="Z1734" s="6">
        <f ca="1">('TUSD BE'!$AM$62+'TUSD BF'!$AM$62+'TUSD CVA'!$AM$62)*1</f>
        <v>1335.5988600941293</v>
      </c>
      <c r="AA1734" s="6">
        <f>('TE BE'!$AB$45+'TE BF'!$AB$45+'TE CVA'!$AB$45)*1</f>
        <v>362.64398683254075</v>
      </c>
      <c r="AB1734" s="6">
        <f>$K$1734*$V$1734</f>
        <v>0</v>
      </c>
      <c r="AC1734" s="6">
        <f>$M$1734*$W$1734</f>
        <v>832.77674999999999</v>
      </c>
      <c r="AD1734" s="6">
        <f>$O$1734*$X$1734</f>
        <v>172.7217</v>
      </c>
      <c r="AE1734" s="6">
        <f>$K$1734*$Y$1734</f>
        <v>0</v>
      </c>
      <c r="AF1734" s="6">
        <f ca="1">$M$1734*$Z$1734</f>
        <v>853.44767160014862</v>
      </c>
      <c r="AG1734" s="6">
        <f>$O$1734*$AA$1734</f>
        <v>231.72950758599353</v>
      </c>
    </row>
    <row r="1735" spans="1:33" ht="11.25" customHeight="1" x14ac:dyDescent="0.25">
      <c r="A1735" s="4" t="s">
        <v>30</v>
      </c>
      <c r="B1735" s="4" t="s">
        <v>39</v>
      </c>
      <c r="C1735" s="4" t="s">
        <v>35</v>
      </c>
      <c r="D1735" s="4" t="s">
        <v>45</v>
      </c>
      <c r="E1735" s="4" t="s">
        <v>25</v>
      </c>
      <c r="F1735" s="4" t="s">
        <v>25</v>
      </c>
      <c r="G1735" s="4" t="s">
        <v>25</v>
      </c>
      <c r="H1735" s="4" t="s">
        <v>36</v>
      </c>
      <c r="I1735" s="5">
        <v>44835</v>
      </c>
      <c r="J1735" s="6">
        <v>0</v>
      </c>
      <c r="K1735" s="6">
        <v>0</v>
      </c>
      <c r="L1735" s="6">
        <v>-0.152</v>
      </c>
      <c r="M1735" s="6">
        <v>-0.152</v>
      </c>
      <c r="N1735" s="6">
        <v>-0.152</v>
      </c>
      <c r="O1735" s="6">
        <v>-0.152</v>
      </c>
      <c r="P1735" s="6">
        <v>0</v>
      </c>
      <c r="Q1735" s="4" t="s">
        <v>26</v>
      </c>
      <c r="R1735" s="4">
        <v>0</v>
      </c>
      <c r="S1735" s="6">
        <v>0</v>
      </c>
      <c r="T1735" s="6">
        <v>64</v>
      </c>
      <c r="U1735" s="6">
        <v>108</v>
      </c>
      <c r="V1735" s="6">
        <f>IF(ISERROR(VLOOKUP($S$1735,'TAR FIN'!$A$1:$O$115,15,0)),0,VLOOKUP($S$1735,'TAR FIN'!$A$1:$O$115,15,0))</f>
        <v>0</v>
      </c>
      <c r="W1735" s="6">
        <f>IF(ISERROR(VLOOKUP($T$1735,'TAR FIN'!$A$1:$O$115,15,0)),0,VLOOKUP($T$1735,'TAR FIN'!$A$1:$O$115,15,0))</f>
        <v>1303.25</v>
      </c>
      <c r="X1735" s="6">
        <f>IF(ISERROR(VLOOKUP($U$1735,'TAR FIN'!$A$1:$O$115,15,0)),0,VLOOKUP($U$1735,'TAR FIN'!$A$1:$O$115,15,0))</f>
        <v>270.3</v>
      </c>
      <c r="Y1735" s="6"/>
      <c r="Z1735" s="6">
        <f ca="1">('TUSD BE'!$AM$62+'TUSD BF'!$AM$62+'TUSD CVA'!$AM$62)*1</f>
        <v>1335.5988600941293</v>
      </c>
      <c r="AA1735" s="6">
        <f>('TE BE'!$AB$45+'TE BF'!$AB$45+'TE CVA'!$AB$45)*1</f>
        <v>362.64398683254075</v>
      </c>
      <c r="AB1735" s="6">
        <f>$K$1735*$V$1735</f>
        <v>0</v>
      </c>
      <c r="AC1735" s="6">
        <f>$M$1735*$W$1735</f>
        <v>-198.09399999999999</v>
      </c>
      <c r="AD1735" s="6">
        <f>$O$1735*$X$1735</f>
        <v>-41.085599999999999</v>
      </c>
      <c r="AE1735" s="6">
        <f>$K$1735*$Y$1735</f>
        <v>0</v>
      </c>
      <c r="AF1735" s="6">
        <f ca="1">$M$1735*$Z$1735</f>
        <v>-203.01102673430765</v>
      </c>
      <c r="AG1735" s="6">
        <f>$O$1735*$AA$1735</f>
        <v>-55.12188599854619</v>
      </c>
    </row>
    <row r="1736" spans="1:33" ht="11.25" customHeight="1" x14ac:dyDescent="0.25">
      <c r="A1736" s="4" t="s">
        <v>59</v>
      </c>
      <c r="B1736" s="4" t="s">
        <v>39</v>
      </c>
      <c r="C1736" s="4" t="s">
        <v>35</v>
      </c>
      <c r="D1736" s="4" t="s">
        <v>45</v>
      </c>
      <c r="E1736" s="4" t="s">
        <v>25</v>
      </c>
      <c r="F1736" s="4" t="s">
        <v>25</v>
      </c>
      <c r="G1736" s="4" t="s">
        <v>25</v>
      </c>
      <c r="H1736" s="4" t="s">
        <v>36</v>
      </c>
      <c r="I1736" s="5">
        <v>44866</v>
      </c>
      <c r="J1736" s="6">
        <v>0</v>
      </c>
      <c r="K1736" s="6">
        <v>0</v>
      </c>
      <c r="L1736" s="6">
        <v>5.2279999999999998</v>
      </c>
      <c r="M1736" s="6">
        <v>5.2279999999999998</v>
      </c>
      <c r="N1736" s="6">
        <v>5.2279999999999998</v>
      </c>
      <c r="O1736" s="6">
        <v>5.2279999999999998</v>
      </c>
      <c r="P1736" s="6">
        <v>0</v>
      </c>
      <c r="Q1736" s="4" t="s">
        <v>26</v>
      </c>
      <c r="R1736" s="4">
        <v>0</v>
      </c>
      <c r="S1736" s="6">
        <v>0</v>
      </c>
      <c r="T1736" s="6">
        <v>64</v>
      </c>
      <c r="U1736" s="6">
        <v>108</v>
      </c>
      <c r="V1736" s="6">
        <f>IF(ISERROR(VLOOKUP($S$1736,'TAR FIN'!$A$1:$O$115,15,0)),0,VLOOKUP($S$1736,'TAR FIN'!$A$1:$O$115,15,0))</f>
        <v>0</v>
      </c>
      <c r="W1736" s="6">
        <f>IF(ISERROR(VLOOKUP($T$1736,'TAR FIN'!$A$1:$O$115,15,0)),0,VLOOKUP($T$1736,'TAR FIN'!$A$1:$O$115,15,0))</f>
        <v>1303.25</v>
      </c>
      <c r="X1736" s="6">
        <f>IF(ISERROR(VLOOKUP($U$1736,'TAR FIN'!$A$1:$O$115,15,0)),0,VLOOKUP($U$1736,'TAR FIN'!$A$1:$O$115,15,0))</f>
        <v>270.3</v>
      </c>
      <c r="Y1736" s="6"/>
      <c r="Z1736" s="6">
        <f ca="1">('TUSD BE'!$AM$62+'TUSD BF'!$AM$62+'TUSD CVA'!$AM$62)*1</f>
        <v>1335.5988600941293</v>
      </c>
      <c r="AA1736" s="6">
        <f>('TE BE'!$AB$45+'TE BF'!$AB$45+'TE CVA'!$AB$45)*1</f>
        <v>362.64398683254075</v>
      </c>
      <c r="AB1736" s="6">
        <f>$K$1736*$V$1736</f>
        <v>0</v>
      </c>
      <c r="AC1736" s="6">
        <f>$M$1736*$W$1736</f>
        <v>6813.3909999999996</v>
      </c>
      <c r="AD1736" s="6">
        <f>$O$1736*$X$1736</f>
        <v>1413.1284000000001</v>
      </c>
      <c r="AE1736" s="6">
        <f>$K$1736*$Y$1736</f>
        <v>0</v>
      </c>
      <c r="AF1736" s="6">
        <f ca="1">$M$1736*$Z$1736</f>
        <v>6982.5108405721076</v>
      </c>
      <c r="AG1736" s="6">
        <f>$O$1736*$AA$1736</f>
        <v>1895.9027631605229</v>
      </c>
    </row>
    <row r="1737" spans="1:33" ht="11.25" customHeight="1" x14ac:dyDescent="0.25">
      <c r="A1737" s="4" t="s">
        <v>59</v>
      </c>
      <c r="B1737" s="4" t="s">
        <v>39</v>
      </c>
      <c r="C1737" s="4" t="s">
        <v>35</v>
      </c>
      <c r="D1737" s="4" t="s">
        <v>45</v>
      </c>
      <c r="E1737" s="4" t="s">
        <v>25</v>
      </c>
      <c r="F1737" s="4" t="s">
        <v>25</v>
      </c>
      <c r="G1737" s="4" t="s">
        <v>25</v>
      </c>
      <c r="H1737" s="4" t="s">
        <v>36</v>
      </c>
      <c r="I1737" s="5">
        <v>44866</v>
      </c>
      <c r="J1737" s="6">
        <v>0</v>
      </c>
      <c r="K1737" s="6">
        <v>0</v>
      </c>
      <c r="L1737" s="6">
        <v>0.63900000000000001</v>
      </c>
      <c r="M1737" s="6">
        <v>0.63900000000000001</v>
      </c>
      <c r="N1737" s="6">
        <v>0.63900000000000001</v>
      </c>
      <c r="O1737" s="6">
        <v>0.63900000000000001</v>
      </c>
      <c r="P1737" s="6">
        <v>0</v>
      </c>
      <c r="Q1737" s="4" t="s">
        <v>26</v>
      </c>
      <c r="R1737" s="4">
        <v>0</v>
      </c>
      <c r="S1737" s="6">
        <v>0</v>
      </c>
      <c r="T1737" s="6">
        <v>64</v>
      </c>
      <c r="U1737" s="6">
        <v>108</v>
      </c>
      <c r="V1737" s="6">
        <f>IF(ISERROR(VLOOKUP($S$1737,'TAR FIN'!$A$1:$O$115,15,0)),0,VLOOKUP($S$1737,'TAR FIN'!$A$1:$O$115,15,0))</f>
        <v>0</v>
      </c>
      <c r="W1737" s="6">
        <f>IF(ISERROR(VLOOKUP($T$1737,'TAR FIN'!$A$1:$O$115,15,0)),0,VLOOKUP($T$1737,'TAR FIN'!$A$1:$O$115,15,0))</f>
        <v>1303.25</v>
      </c>
      <c r="X1737" s="6">
        <f>IF(ISERROR(VLOOKUP($U$1737,'TAR FIN'!$A$1:$O$115,15,0)),0,VLOOKUP($U$1737,'TAR FIN'!$A$1:$O$115,15,0))</f>
        <v>270.3</v>
      </c>
      <c r="Y1737" s="6"/>
      <c r="Z1737" s="6">
        <f ca="1">('TUSD BE'!$AM$62+'TUSD BF'!$AM$62+'TUSD CVA'!$AM$62)*1</f>
        <v>1335.5988600941293</v>
      </c>
      <c r="AA1737" s="6">
        <f>('TE BE'!$AB$45+'TE BF'!$AB$45+'TE CVA'!$AB$45)*1</f>
        <v>362.64398683254075</v>
      </c>
      <c r="AB1737" s="6">
        <f>$K$1737*$V$1737</f>
        <v>0</v>
      </c>
      <c r="AC1737" s="6">
        <f>$M$1737*$W$1737</f>
        <v>832.77674999999999</v>
      </c>
      <c r="AD1737" s="6">
        <f>$O$1737*$X$1737</f>
        <v>172.7217</v>
      </c>
      <c r="AE1737" s="6">
        <f>$K$1737*$Y$1737</f>
        <v>0</v>
      </c>
      <c r="AF1737" s="6">
        <f ca="1">$M$1737*$Z$1737</f>
        <v>853.44767160014862</v>
      </c>
      <c r="AG1737" s="6">
        <f>$O$1737*$AA$1737</f>
        <v>231.72950758599353</v>
      </c>
    </row>
    <row r="1738" spans="1:33" ht="11.25" customHeight="1" x14ac:dyDescent="0.25">
      <c r="A1738" s="4" t="s">
        <v>59</v>
      </c>
      <c r="B1738" s="4" t="s">
        <v>39</v>
      </c>
      <c r="C1738" s="4" t="s">
        <v>35</v>
      </c>
      <c r="D1738" s="4" t="s">
        <v>45</v>
      </c>
      <c r="E1738" s="4" t="s">
        <v>25</v>
      </c>
      <c r="F1738" s="4" t="s">
        <v>25</v>
      </c>
      <c r="G1738" s="4" t="s">
        <v>25</v>
      </c>
      <c r="H1738" s="4" t="s">
        <v>36</v>
      </c>
      <c r="I1738" s="5">
        <v>44866</v>
      </c>
      <c r="J1738" s="6">
        <v>0</v>
      </c>
      <c r="K1738" s="6">
        <v>0</v>
      </c>
      <c r="L1738" s="6">
        <v>-0.152</v>
      </c>
      <c r="M1738" s="6">
        <v>-0.152</v>
      </c>
      <c r="N1738" s="6">
        <v>-0.152</v>
      </c>
      <c r="O1738" s="6">
        <v>-0.152</v>
      </c>
      <c r="P1738" s="6">
        <v>0</v>
      </c>
      <c r="Q1738" s="4" t="s">
        <v>26</v>
      </c>
      <c r="R1738" s="4">
        <v>0</v>
      </c>
      <c r="S1738" s="6">
        <v>0</v>
      </c>
      <c r="T1738" s="6">
        <v>64</v>
      </c>
      <c r="U1738" s="6">
        <v>108</v>
      </c>
      <c r="V1738" s="6">
        <f>IF(ISERROR(VLOOKUP($S$1738,'TAR FIN'!$A$1:$O$115,15,0)),0,VLOOKUP($S$1738,'TAR FIN'!$A$1:$O$115,15,0))</f>
        <v>0</v>
      </c>
      <c r="W1738" s="6">
        <f>IF(ISERROR(VLOOKUP($T$1738,'TAR FIN'!$A$1:$O$115,15,0)),0,VLOOKUP($T$1738,'TAR FIN'!$A$1:$O$115,15,0))</f>
        <v>1303.25</v>
      </c>
      <c r="X1738" s="6">
        <f>IF(ISERROR(VLOOKUP($U$1738,'TAR FIN'!$A$1:$O$115,15,0)),0,VLOOKUP($U$1738,'TAR FIN'!$A$1:$O$115,15,0))</f>
        <v>270.3</v>
      </c>
      <c r="Y1738" s="6"/>
      <c r="Z1738" s="6">
        <f ca="1">('TUSD BE'!$AM$62+'TUSD BF'!$AM$62+'TUSD CVA'!$AM$62)*1</f>
        <v>1335.5988600941293</v>
      </c>
      <c r="AA1738" s="6">
        <f>('TE BE'!$AB$45+'TE BF'!$AB$45+'TE CVA'!$AB$45)*1</f>
        <v>362.64398683254075</v>
      </c>
      <c r="AB1738" s="6">
        <f>$K$1738*$V$1738</f>
        <v>0</v>
      </c>
      <c r="AC1738" s="6">
        <f>$M$1738*$W$1738</f>
        <v>-198.09399999999999</v>
      </c>
      <c r="AD1738" s="6">
        <f>$O$1738*$X$1738</f>
        <v>-41.085599999999999</v>
      </c>
      <c r="AE1738" s="6">
        <f>$K$1738*$Y$1738</f>
        <v>0</v>
      </c>
      <c r="AF1738" s="6">
        <f ca="1">$M$1738*$Z$1738</f>
        <v>-203.01102673430765</v>
      </c>
      <c r="AG1738" s="6">
        <f>$O$1738*$AA$1738</f>
        <v>-55.12188599854619</v>
      </c>
    </row>
    <row r="1739" spans="1:33" ht="11.25" customHeight="1" x14ac:dyDescent="0.25">
      <c r="A1739" s="4" t="s">
        <v>21</v>
      </c>
      <c r="B1739" s="4" t="s">
        <v>39</v>
      </c>
      <c r="C1739" s="4" t="s">
        <v>35</v>
      </c>
      <c r="D1739" s="4" t="s">
        <v>40</v>
      </c>
      <c r="E1739" s="4" t="s">
        <v>25</v>
      </c>
      <c r="F1739" s="4" t="s">
        <v>25</v>
      </c>
      <c r="G1739" s="4" t="s">
        <v>25</v>
      </c>
      <c r="H1739" s="4" t="s">
        <v>37</v>
      </c>
      <c r="I1739" s="5">
        <v>44531</v>
      </c>
      <c r="J1739" s="6">
        <v>0</v>
      </c>
      <c r="K1739" s="6">
        <v>0</v>
      </c>
      <c r="L1739" s="6">
        <v>0.28299999999999997</v>
      </c>
      <c r="M1739" s="6">
        <v>0.28299999999999997</v>
      </c>
      <c r="N1739" s="6">
        <v>0.28299999999999997</v>
      </c>
      <c r="O1739" s="6">
        <v>0.28299999999999997</v>
      </c>
      <c r="P1739" s="6">
        <v>0</v>
      </c>
      <c r="Q1739" s="4" t="s">
        <v>26</v>
      </c>
      <c r="R1739" s="4">
        <v>0</v>
      </c>
      <c r="S1739" s="6">
        <v>0</v>
      </c>
      <c r="T1739" s="6">
        <v>66</v>
      </c>
      <c r="U1739" s="6">
        <v>110</v>
      </c>
      <c r="V1739" s="6">
        <f>IF(ISERROR(VLOOKUP($S$1739,'TAR FIN'!$A$1:$O$115,15,0)),0,VLOOKUP($S$1739,'TAR FIN'!$A$1:$O$115,15,0))</f>
        <v>0</v>
      </c>
      <c r="W1739" s="6">
        <f>IF(ISERROR(VLOOKUP($T$1739,'TAR FIN'!$A$1:$O$115,15,0)),0,VLOOKUP($T$1739,'TAR FIN'!$A$1:$O$115,15,0))</f>
        <v>351.65</v>
      </c>
      <c r="X1739" s="6">
        <f>IF(ISERROR(VLOOKUP($U$1739,'TAR FIN'!$A$1:$O$115,15,0)),0,VLOOKUP($U$1739,'TAR FIN'!$A$1:$O$115,15,0))</f>
        <v>168.06</v>
      </c>
      <c r="Y1739" s="6"/>
      <c r="Z1739" s="6">
        <f ca="1">('TUSD BE'!$AM$64+'TUSD BF'!$AM$64+'TUSD CVA'!$AM$64)*1</f>
        <v>391.10237276676656</v>
      </c>
      <c r="AA1739" s="6">
        <f>('TE BE'!$AB$47+'TE BF'!$AB$47+'TE CVA'!$AB$47)*1</f>
        <v>218.6854278594964</v>
      </c>
      <c r="AB1739" s="6">
        <f>$K$1739*$V$1739</f>
        <v>0</v>
      </c>
      <c r="AC1739" s="6">
        <f>$M$1739*$W$1739</f>
        <v>99.51694999999998</v>
      </c>
      <c r="AD1739" s="6">
        <f>$O$1739*$X$1739</f>
        <v>47.560979999999994</v>
      </c>
      <c r="AE1739" s="6">
        <f>$K$1739*$Y$1739</f>
        <v>0</v>
      </c>
      <c r="AF1739" s="6">
        <f ca="1">$M$1739*$Z$1739</f>
        <v>110.68197149299493</v>
      </c>
      <c r="AG1739" s="6">
        <f>$O$1739*$AA$1739</f>
        <v>61.887976084237472</v>
      </c>
    </row>
    <row r="1740" spans="1:33" ht="11.25" customHeight="1" x14ac:dyDescent="0.25">
      <c r="A1740" s="4" t="s">
        <v>21</v>
      </c>
      <c r="B1740" s="4" t="s">
        <v>39</v>
      </c>
      <c r="C1740" s="4" t="s">
        <v>35</v>
      </c>
      <c r="D1740" s="4" t="s">
        <v>40</v>
      </c>
      <c r="E1740" s="4" t="s">
        <v>25</v>
      </c>
      <c r="F1740" s="4" t="s">
        <v>25</v>
      </c>
      <c r="G1740" s="4" t="s">
        <v>25</v>
      </c>
      <c r="H1740" s="4" t="s">
        <v>37</v>
      </c>
      <c r="I1740" s="5">
        <v>44562</v>
      </c>
      <c r="J1740" s="6">
        <v>0</v>
      </c>
      <c r="K1740" s="6">
        <v>0</v>
      </c>
      <c r="L1740" s="6">
        <v>0.38100000000000001</v>
      </c>
      <c r="M1740" s="6">
        <v>0.38100000000000001</v>
      </c>
      <c r="N1740" s="6">
        <v>0.38100000000000001</v>
      </c>
      <c r="O1740" s="6">
        <v>0.38100000000000001</v>
      </c>
      <c r="P1740" s="6">
        <v>0</v>
      </c>
      <c r="Q1740" s="4" t="s">
        <v>26</v>
      </c>
      <c r="R1740" s="4">
        <v>0</v>
      </c>
      <c r="S1740" s="6">
        <v>0</v>
      </c>
      <c r="T1740" s="6">
        <v>66</v>
      </c>
      <c r="U1740" s="6">
        <v>110</v>
      </c>
      <c r="V1740" s="6">
        <f>IF(ISERROR(VLOOKUP($S$1740,'TAR FIN'!$A$1:$O$115,15,0)),0,VLOOKUP($S$1740,'TAR FIN'!$A$1:$O$115,15,0))</f>
        <v>0</v>
      </c>
      <c r="W1740" s="6">
        <f>IF(ISERROR(VLOOKUP($T$1740,'TAR FIN'!$A$1:$O$115,15,0)),0,VLOOKUP($T$1740,'TAR FIN'!$A$1:$O$115,15,0))</f>
        <v>351.65</v>
      </c>
      <c r="X1740" s="6">
        <f>IF(ISERROR(VLOOKUP($U$1740,'TAR FIN'!$A$1:$O$115,15,0)),0,VLOOKUP($U$1740,'TAR FIN'!$A$1:$O$115,15,0))</f>
        <v>168.06</v>
      </c>
      <c r="Y1740" s="6"/>
      <c r="Z1740" s="6">
        <f ca="1">('TUSD BE'!$AM$64+'TUSD BF'!$AM$64+'TUSD CVA'!$AM$64)*1</f>
        <v>391.10237276676656</v>
      </c>
      <c r="AA1740" s="6">
        <f>('TE BE'!$AB$47+'TE BF'!$AB$47+'TE CVA'!$AB$47)*1</f>
        <v>218.6854278594964</v>
      </c>
      <c r="AB1740" s="6">
        <f>$K$1740*$V$1740</f>
        <v>0</v>
      </c>
      <c r="AC1740" s="6">
        <f>$M$1740*$W$1740</f>
        <v>133.97864999999999</v>
      </c>
      <c r="AD1740" s="6">
        <f>$O$1740*$X$1740</f>
        <v>64.030860000000004</v>
      </c>
      <c r="AE1740" s="6">
        <f>$K$1740*$Y$1740</f>
        <v>0</v>
      </c>
      <c r="AF1740" s="6">
        <f ca="1">$M$1740*$Z$1740</f>
        <v>149.01000402413806</v>
      </c>
      <c r="AG1740" s="6">
        <f>$O$1740*$AA$1740</f>
        <v>83.319148014468126</v>
      </c>
    </row>
    <row r="1741" spans="1:33" ht="11.25" customHeight="1" x14ac:dyDescent="0.25">
      <c r="A1741" s="4" t="s">
        <v>21</v>
      </c>
      <c r="B1741" s="4" t="s">
        <v>39</v>
      </c>
      <c r="C1741" s="4" t="s">
        <v>35</v>
      </c>
      <c r="D1741" s="4" t="s">
        <v>40</v>
      </c>
      <c r="E1741" s="4" t="s">
        <v>25</v>
      </c>
      <c r="F1741" s="4" t="s">
        <v>25</v>
      </c>
      <c r="G1741" s="4" t="s">
        <v>25</v>
      </c>
      <c r="H1741" s="4" t="s">
        <v>37</v>
      </c>
      <c r="I1741" s="5">
        <v>44593</v>
      </c>
      <c r="J1741" s="6">
        <v>0</v>
      </c>
      <c r="K1741" s="6">
        <v>0</v>
      </c>
      <c r="L1741" s="6">
        <v>0.30499999999999999</v>
      </c>
      <c r="M1741" s="6">
        <v>0.30499999999999999</v>
      </c>
      <c r="N1741" s="6">
        <v>0.30499999999999999</v>
      </c>
      <c r="O1741" s="6">
        <v>0.30499999999999999</v>
      </c>
      <c r="P1741" s="6">
        <v>0</v>
      </c>
      <c r="Q1741" s="4" t="s">
        <v>26</v>
      </c>
      <c r="R1741" s="4">
        <v>0</v>
      </c>
      <c r="S1741" s="6">
        <v>0</v>
      </c>
      <c r="T1741" s="6">
        <v>66</v>
      </c>
      <c r="U1741" s="6">
        <v>110</v>
      </c>
      <c r="V1741" s="6">
        <f>IF(ISERROR(VLOOKUP($S$1741,'TAR FIN'!$A$1:$O$115,15,0)),0,VLOOKUP($S$1741,'TAR FIN'!$A$1:$O$115,15,0))</f>
        <v>0</v>
      </c>
      <c r="W1741" s="6">
        <f>IF(ISERROR(VLOOKUP($T$1741,'TAR FIN'!$A$1:$O$115,15,0)),0,VLOOKUP($T$1741,'TAR FIN'!$A$1:$O$115,15,0))</f>
        <v>351.65</v>
      </c>
      <c r="X1741" s="6">
        <f>IF(ISERROR(VLOOKUP($U$1741,'TAR FIN'!$A$1:$O$115,15,0)),0,VLOOKUP($U$1741,'TAR FIN'!$A$1:$O$115,15,0))</f>
        <v>168.06</v>
      </c>
      <c r="Y1741" s="6"/>
      <c r="Z1741" s="6">
        <f ca="1">('TUSD BE'!$AM$64+'TUSD BF'!$AM$64+'TUSD CVA'!$AM$64)*1</f>
        <v>391.10237276676656</v>
      </c>
      <c r="AA1741" s="6">
        <f>('TE BE'!$AB$47+'TE BF'!$AB$47+'TE CVA'!$AB$47)*1</f>
        <v>218.6854278594964</v>
      </c>
      <c r="AB1741" s="6">
        <f>$K$1741*$V$1741</f>
        <v>0</v>
      </c>
      <c r="AC1741" s="6">
        <f>$M$1741*$W$1741</f>
        <v>107.25324999999999</v>
      </c>
      <c r="AD1741" s="6">
        <f>$O$1741*$X$1741</f>
        <v>51.258299999999998</v>
      </c>
      <c r="AE1741" s="6">
        <f>$K$1741*$Y$1741</f>
        <v>0</v>
      </c>
      <c r="AF1741" s="6">
        <f ca="1">$M$1741*$Z$1741</f>
        <v>119.2862236938638</v>
      </c>
      <c r="AG1741" s="6">
        <f>$O$1741*$AA$1741</f>
        <v>66.699055497146404</v>
      </c>
    </row>
    <row r="1742" spans="1:33" ht="11.25" customHeight="1" x14ac:dyDescent="0.25">
      <c r="A1742" s="4" t="s">
        <v>21</v>
      </c>
      <c r="B1742" s="4" t="s">
        <v>39</v>
      </c>
      <c r="C1742" s="4" t="s">
        <v>35</v>
      </c>
      <c r="D1742" s="4" t="s">
        <v>40</v>
      </c>
      <c r="E1742" s="4" t="s">
        <v>25</v>
      </c>
      <c r="F1742" s="4" t="s">
        <v>25</v>
      </c>
      <c r="G1742" s="4" t="s">
        <v>25</v>
      </c>
      <c r="H1742" s="4" t="s">
        <v>37</v>
      </c>
      <c r="I1742" s="5">
        <v>44621</v>
      </c>
      <c r="J1742" s="6">
        <v>0</v>
      </c>
      <c r="K1742" s="6">
        <v>0</v>
      </c>
      <c r="L1742" s="6">
        <v>0.28799999999999998</v>
      </c>
      <c r="M1742" s="6">
        <v>0.28799999999999998</v>
      </c>
      <c r="N1742" s="6">
        <v>0.28799999999999998</v>
      </c>
      <c r="O1742" s="6">
        <v>0.28799999999999998</v>
      </c>
      <c r="P1742" s="6">
        <v>0</v>
      </c>
      <c r="Q1742" s="4" t="s">
        <v>26</v>
      </c>
      <c r="R1742" s="4">
        <v>0</v>
      </c>
      <c r="S1742" s="6">
        <v>0</v>
      </c>
      <c r="T1742" s="6">
        <v>66</v>
      </c>
      <c r="U1742" s="6">
        <v>110</v>
      </c>
      <c r="V1742" s="6">
        <f>IF(ISERROR(VLOOKUP($S$1742,'TAR FIN'!$A$1:$O$115,15,0)),0,VLOOKUP($S$1742,'TAR FIN'!$A$1:$O$115,15,0))</f>
        <v>0</v>
      </c>
      <c r="W1742" s="6">
        <f>IF(ISERROR(VLOOKUP($T$1742,'TAR FIN'!$A$1:$O$115,15,0)),0,VLOOKUP($T$1742,'TAR FIN'!$A$1:$O$115,15,0))</f>
        <v>351.65</v>
      </c>
      <c r="X1742" s="6">
        <f>IF(ISERROR(VLOOKUP($U$1742,'TAR FIN'!$A$1:$O$115,15,0)),0,VLOOKUP($U$1742,'TAR FIN'!$A$1:$O$115,15,0))</f>
        <v>168.06</v>
      </c>
      <c r="Y1742" s="6"/>
      <c r="Z1742" s="6">
        <f ca="1">('TUSD BE'!$AM$64+'TUSD BF'!$AM$64+'TUSD CVA'!$AM$64)*1</f>
        <v>391.10237276676656</v>
      </c>
      <c r="AA1742" s="6">
        <f>('TE BE'!$AB$47+'TE BF'!$AB$47+'TE CVA'!$AB$47)*1</f>
        <v>218.6854278594964</v>
      </c>
      <c r="AB1742" s="6">
        <f>$K$1742*$V$1742</f>
        <v>0</v>
      </c>
      <c r="AC1742" s="6">
        <f>$M$1742*$W$1742</f>
        <v>101.27519999999998</v>
      </c>
      <c r="AD1742" s="6">
        <f>$O$1742*$X$1742</f>
        <v>48.40128</v>
      </c>
      <c r="AE1742" s="6">
        <f>$K$1742*$Y$1742</f>
        <v>0</v>
      </c>
      <c r="AF1742" s="6">
        <f ca="1">$M$1742*$Z$1742</f>
        <v>112.63748335682877</v>
      </c>
      <c r="AG1742" s="6">
        <f>$O$1742*$AA$1742</f>
        <v>62.981403223534961</v>
      </c>
    </row>
    <row r="1743" spans="1:33" ht="11.25" customHeight="1" x14ac:dyDescent="0.25">
      <c r="A1743" s="4" t="s">
        <v>21</v>
      </c>
      <c r="B1743" s="4" t="s">
        <v>39</v>
      </c>
      <c r="C1743" s="4" t="s">
        <v>35</v>
      </c>
      <c r="D1743" s="4" t="s">
        <v>40</v>
      </c>
      <c r="E1743" s="4" t="s">
        <v>25</v>
      </c>
      <c r="F1743" s="4" t="s">
        <v>25</v>
      </c>
      <c r="G1743" s="4" t="s">
        <v>25</v>
      </c>
      <c r="H1743" s="4" t="s">
        <v>37</v>
      </c>
      <c r="I1743" s="5">
        <v>44652</v>
      </c>
      <c r="J1743" s="6">
        <v>0</v>
      </c>
      <c r="K1743" s="6">
        <v>0</v>
      </c>
      <c r="L1743" s="6">
        <v>0.28699999999999998</v>
      </c>
      <c r="M1743" s="6">
        <v>0.28699999999999998</v>
      </c>
      <c r="N1743" s="6">
        <v>0.28699999999999998</v>
      </c>
      <c r="O1743" s="6">
        <v>0.28699999999999998</v>
      </c>
      <c r="P1743" s="6">
        <v>0</v>
      </c>
      <c r="Q1743" s="4" t="s">
        <v>26</v>
      </c>
      <c r="R1743" s="4">
        <v>0</v>
      </c>
      <c r="S1743" s="6">
        <v>0</v>
      </c>
      <c r="T1743" s="6">
        <v>66</v>
      </c>
      <c r="U1743" s="6">
        <v>110</v>
      </c>
      <c r="V1743" s="6">
        <f>IF(ISERROR(VLOOKUP($S$1743,'TAR FIN'!$A$1:$O$115,15,0)),0,VLOOKUP($S$1743,'TAR FIN'!$A$1:$O$115,15,0))</f>
        <v>0</v>
      </c>
      <c r="W1743" s="6">
        <f>IF(ISERROR(VLOOKUP($T$1743,'TAR FIN'!$A$1:$O$115,15,0)),0,VLOOKUP($T$1743,'TAR FIN'!$A$1:$O$115,15,0))</f>
        <v>351.65</v>
      </c>
      <c r="X1743" s="6">
        <f>IF(ISERROR(VLOOKUP($U$1743,'TAR FIN'!$A$1:$O$115,15,0)),0,VLOOKUP($U$1743,'TAR FIN'!$A$1:$O$115,15,0))</f>
        <v>168.06</v>
      </c>
      <c r="Y1743" s="6"/>
      <c r="Z1743" s="6">
        <f ca="1">('TUSD BE'!$AM$64+'TUSD BF'!$AM$64+'TUSD CVA'!$AM$64)*1</f>
        <v>391.10237276676656</v>
      </c>
      <c r="AA1743" s="6">
        <f>('TE BE'!$AB$47+'TE BF'!$AB$47+'TE CVA'!$AB$47)*1</f>
        <v>218.6854278594964</v>
      </c>
      <c r="AB1743" s="6">
        <f>$K$1743*$V$1743</f>
        <v>0</v>
      </c>
      <c r="AC1743" s="6">
        <f>$M$1743*$W$1743</f>
        <v>100.92354999999999</v>
      </c>
      <c r="AD1743" s="6">
        <f>$O$1743*$X$1743</f>
        <v>48.233219999999996</v>
      </c>
      <c r="AE1743" s="6">
        <f>$K$1743*$Y$1743</f>
        <v>0</v>
      </c>
      <c r="AF1743" s="6">
        <f ca="1">$M$1743*$Z$1743</f>
        <v>112.246380984062</v>
      </c>
      <c r="AG1743" s="6">
        <f>$O$1743*$AA$1743</f>
        <v>62.762717795675464</v>
      </c>
    </row>
    <row r="1744" spans="1:33" ht="11.25" customHeight="1" x14ac:dyDescent="0.25">
      <c r="A1744" s="4" t="s">
        <v>21</v>
      </c>
      <c r="B1744" s="4" t="s">
        <v>39</v>
      </c>
      <c r="C1744" s="4" t="s">
        <v>35</v>
      </c>
      <c r="D1744" s="4" t="s">
        <v>40</v>
      </c>
      <c r="E1744" s="4" t="s">
        <v>25</v>
      </c>
      <c r="F1744" s="4" t="s">
        <v>25</v>
      </c>
      <c r="G1744" s="4" t="s">
        <v>25</v>
      </c>
      <c r="H1744" s="4" t="s">
        <v>37</v>
      </c>
      <c r="I1744" s="5">
        <v>44682</v>
      </c>
      <c r="J1744" s="6">
        <v>0</v>
      </c>
      <c r="K1744" s="6">
        <v>0</v>
      </c>
      <c r="L1744" s="6">
        <v>0.309</v>
      </c>
      <c r="M1744" s="6">
        <v>0.309</v>
      </c>
      <c r="N1744" s="6">
        <v>0.309</v>
      </c>
      <c r="O1744" s="6">
        <v>0.309</v>
      </c>
      <c r="P1744" s="6">
        <v>0</v>
      </c>
      <c r="Q1744" s="4" t="s">
        <v>26</v>
      </c>
      <c r="R1744" s="4">
        <v>0</v>
      </c>
      <c r="S1744" s="6">
        <v>0</v>
      </c>
      <c r="T1744" s="6">
        <v>66</v>
      </c>
      <c r="U1744" s="6">
        <v>110</v>
      </c>
      <c r="V1744" s="6">
        <f>IF(ISERROR(VLOOKUP($S$1744,'TAR FIN'!$A$1:$O$115,15,0)),0,VLOOKUP($S$1744,'TAR FIN'!$A$1:$O$115,15,0))</f>
        <v>0</v>
      </c>
      <c r="W1744" s="6">
        <f>IF(ISERROR(VLOOKUP($T$1744,'TAR FIN'!$A$1:$O$115,15,0)),0,VLOOKUP($T$1744,'TAR FIN'!$A$1:$O$115,15,0))</f>
        <v>351.65</v>
      </c>
      <c r="X1744" s="6">
        <f>IF(ISERROR(VLOOKUP($U$1744,'TAR FIN'!$A$1:$O$115,15,0)),0,VLOOKUP($U$1744,'TAR FIN'!$A$1:$O$115,15,0))</f>
        <v>168.06</v>
      </c>
      <c r="Y1744" s="6"/>
      <c r="Z1744" s="6">
        <f ca="1">('TUSD BE'!$AM$64+'TUSD BF'!$AM$64+'TUSD CVA'!$AM$64)*1</f>
        <v>391.10237276676656</v>
      </c>
      <c r="AA1744" s="6">
        <f>('TE BE'!$AB$47+'TE BF'!$AB$47+'TE CVA'!$AB$47)*1</f>
        <v>218.6854278594964</v>
      </c>
      <c r="AB1744" s="6">
        <f>$K$1744*$V$1744</f>
        <v>0</v>
      </c>
      <c r="AC1744" s="6">
        <f>$M$1744*$W$1744</f>
        <v>108.65984999999999</v>
      </c>
      <c r="AD1744" s="6">
        <f>$O$1744*$X$1744</f>
        <v>51.930540000000001</v>
      </c>
      <c r="AE1744" s="6">
        <f>$K$1744*$Y$1744</f>
        <v>0</v>
      </c>
      <c r="AF1744" s="6">
        <f ca="1">$M$1744*$Z$1744</f>
        <v>120.85063318493087</v>
      </c>
      <c r="AG1744" s="6">
        <f>$O$1744*$AA$1744</f>
        <v>67.573797208584381</v>
      </c>
    </row>
    <row r="1745" spans="1:33" ht="11.25" customHeight="1" x14ac:dyDescent="0.25">
      <c r="A1745" s="4" t="s">
        <v>21</v>
      </c>
      <c r="B1745" s="4" t="s">
        <v>39</v>
      </c>
      <c r="C1745" s="4" t="s">
        <v>35</v>
      </c>
      <c r="D1745" s="4" t="s">
        <v>40</v>
      </c>
      <c r="E1745" s="4" t="s">
        <v>25</v>
      </c>
      <c r="F1745" s="4" t="s">
        <v>25</v>
      </c>
      <c r="G1745" s="4" t="s">
        <v>25</v>
      </c>
      <c r="H1745" s="4" t="s">
        <v>37</v>
      </c>
      <c r="I1745" s="5">
        <v>44713</v>
      </c>
      <c r="J1745" s="6">
        <v>0</v>
      </c>
      <c r="K1745" s="6">
        <v>0</v>
      </c>
      <c r="L1745" s="6">
        <v>0.24099999999999999</v>
      </c>
      <c r="M1745" s="6">
        <v>0.24099999999999999</v>
      </c>
      <c r="N1745" s="6">
        <v>0.24099999999999999</v>
      </c>
      <c r="O1745" s="6">
        <v>0.24099999999999999</v>
      </c>
      <c r="P1745" s="6">
        <v>0</v>
      </c>
      <c r="Q1745" s="4" t="s">
        <v>26</v>
      </c>
      <c r="R1745" s="4">
        <v>0</v>
      </c>
      <c r="S1745" s="6">
        <v>0</v>
      </c>
      <c r="T1745" s="6">
        <v>66</v>
      </c>
      <c r="U1745" s="6">
        <v>110</v>
      </c>
      <c r="V1745" s="6">
        <f>IF(ISERROR(VLOOKUP($S$1745,'TAR FIN'!$A$1:$O$115,15,0)),0,VLOOKUP($S$1745,'TAR FIN'!$A$1:$O$115,15,0))</f>
        <v>0</v>
      </c>
      <c r="W1745" s="6">
        <f>IF(ISERROR(VLOOKUP($T$1745,'TAR FIN'!$A$1:$O$115,15,0)),0,VLOOKUP($T$1745,'TAR FIN'!$A$1:$O$115,15,0))</f>
        <v>351.65</v>
      </c>
      <c r="X1745" s="6">
        <f>IF(ISERROR(VLOOKUP($U$1745,'TAR FIN'!$A$1:$O$115,15,0)),0,VLOOKUP($U$1745,'TAR FIN'!$A$1:$O$115,15,0))</f>
        <v>168.06</v>
      </c>
      <c r="Y1745" s="6"/>
      <c r="Z1745" s="6">
        <f ca="1">('TUSD BE'!$AM$64+'TUSD BF'!$AM$64+'TUSD CVA'!$AM$64)*1</f>
        <v>391.10237276676656</v>
      </c>
      <c r="AA1745" s="6">
        <f>('TE BE'!$AB$47+'TE BF'!$AB$47+'TE CVA'!$AB$47)*1</f>
        <v>218.6854278594964</v>
      </c>
      <c r="AB1745" s="6">
        <f>$K$1745*$V$1745</f>
        <v>0</v>
      </c>
      <c r="AC1745" s="6">
        <f>$M$1745*$W$1745</f>
        <v>84.747649999999993</v>
      </c>
      <c r="AD1745" s="6">
        <f>$O$1745*$X$1745</f>
        <v>40.502459999999999</v>
      </c>
      <c r="AE1745" s="6">
        <f>$K$1745*$Y$1745</f>
        <v>0</v>
      </c>
      <c r="AF1745" s="6">
        <f ca="1">$M$1745*$Z$1745</f>
        <v>94.255671836790739</v>
      </c>
      <c r="AG1745" s="6">
        <f>$O$1745*$AA$1745</f>
        <v>52.703188114138634</v>
      </c>
    </row>
    <row r="1746" spans="1:33" ht="11.25" customHeight="1" x14ac:dyDescent="0.25">
      <c r="A1746" s="4" t="s">
        <v>21</v>
      </c>
      <c r="B1746" s="4" t="s">
        <v>39</v>
      </c>
      <c r="C1746" s="4" t="s">
        <v>35</v>
      </c>
      <c r="D1746" s="4" t="s">
        <v>40</v>
      </c>
      <c r="E1746" s="4" t="s">
        <v>25</v>
      </c>
      <c r="F1746" s="4" t="s">
        <v>25</v>
      </c>
      <c r="G1746" s="4" t="s">
        <v>25</v>
      </c>
      <c r="H1746" s="4" t="s">
        <v>37</v>
      </c>
      <c r="I1746" s="5">
        <v>44743</v>
      </c>
      <c r="J1746" s="6">
        <v>0</v>
      </c>
      <c r="K1746" s="6">
        <v>0</v>
      </c>
      <c r="L1746" s="6">
        <v>0.28999999999999998</v>
      </c>
      <c r="M1746" s="6">
        <v>0.28999999999999998</v>
      </c>
      <c r="N1746" s="6">
        <v>0.28999999999999998</v>
      </c>
      <c r="O1746" s="6">
        <v>0.28999999999999998</v>
      </c>
      <c r="P1746" s="6">
        <v>0</v>
      </c>
      <c r="Q1746" s="4" t="s">
        <v>26</v>
      </c>
      <c r="R1746" s="4">
        <v>0</v>
      </c>
      <c r="S1746" s="6">
        <v>0</v>
      </c>
      <c r="T1746" s="6">
        <v>66</v>
      </c>
      <c r="U1746" s="6">
        <v>110</v>
      </c>
      <c r="V1746" s="6">
        <f>IF(ISERROR(VLOOKUP($S$1746,'TAR FIN'!$A$1:$O$115,15,0)),0,VLOOKUP($S$1746,'TAR FIN'!$A$1:$O$115,15,0))</f>
        <v>0</v>
      </c>
      <c r="W1746" s="6">
        <f>IF(ISERROR(VLOOKUP($T$1746,'TAR FIN'!$A$1:$O$115,15,0)),0,VLOOKUP($T$1746,'TAR FIN'!$A$1:$O$115,15,0))</f>
        <v>351.65</v>
      </c>
      <c r="X1746" s="6">
        <f>IF(ISERROR(VLOOKUP($U$1746,'TAR FIN'!$A$1:$O$115,15,0)),0,VLOOKUP($U$1746,'TAR FIN'!$A$1:$O$115,15,0))</f>
        <v>168.06</v>
      </c>
      <c r="Y1746" s="6"/>
      <c r="Z1746" s="6">
        <f ca="1">('TUSD BE'!$AM$64+'TUSD BF'!$AM$64+'TUSD CVA'!$AM$64)*1</f>
        <v>391.10237276676656</v>
      </c>
      <c r="AA1746" s="6">
        <f>('TE BE'!$AB$47+'TE BF'!$AB$47+'TE CVA'!$AB$47)*1</f>
        <v>218.6854278594964</v>
      </c>
      <c r="AB1746" s="6">
        <f>$K$1746*$V$1746</f>
        <v>0</v>
      </c>
      <c r="AC1746" s="6">
        <f>$M$1746*$W$1746</f>
        <v>101.97849999999998</v>
      </c>
      <c r="AD1746" s="6">
        <f>$O$1746*$X$1746</f>
        <v>48.737399999999994</v>
      </c>
      <c r="AE1746" s="6">
        <f>$K$1746*$Y$1746</f>
        <v>0</v>
      </c>
      <c r="AF1746" s="6">
        <f ca="1">$M$1746*$Z$1746</f>
        <v>113.4196881023623</v>
      </c>
      <c r="AG1746" s="6">
        <f>$O$1746*$AA$1746</f>
        <v>63.41877407925395</v>
      </c>
    </row>
    <row r="1747" spans="1:33" ht="11.25" customHeight="1" x14ac:dyDescent="0.25">
      <c r="A1747" s="4" t="s">
        <v>21</v>
      </c>
      <c r="B1747" s="4" t="s">
        <v>39</v>
      </c>
      <c r="C1747" s="4" t="s">
        <v>35</v>
      </c>
      <c r="D1747" s="4" t="s">
        <v>40</v>
      </c>
      <c r="E1747" s="4" t="s">
        <v>25</v>
      </c>
      <c r="F1747" s="4" t="s">
        <v>25</v>
      </c>
      <c r="G1747" s="4" t="s">
        <v>25</v>
      </c>
      <c r="H1747" s="4" t="s">
        <v>37</v>
      </c>
      <c r="I1747" s="5">
        <v>44774</v>
      </c>
      <c r="J1747" s="6">
        <v>0</v>
      </c>
      <c r="K1747" s="6">
        <v>0</v>
      </c>
      <c r="L1747" s="6">
        <v>0.29499999999999998</v>
      </c>
      <c r="M1747" s="6">
        <v>0.29499999999999998</v>
      </c>
      <c r="N1747" s="6">
        <v>0.29499999999999998</v>
      </c>
      <c r="O1747" s="6">
        <v>0.29499999999999998</v>
      </c>
      <c r="P1747" s="6">
        <v>0</v>
      </c>
      <c r="Q1747" s="4" t="s">
        <v>26</v>
      </c>
      <c r="R1747" s="4">
        <v>0</v>
      </c>
      <c r="S1747" s="6">
        <v>0</v>
      </c>
      <c r="T1747" s="6">
        <v>66</v>
      </c>
      <c r="U1747" s="6">
        <v>110</v>
      </c>
      <c r="V1747" s="6">
        <f>IF(ISERROR(VLOOKUP($S$1747,'TAR FIN'!$A$1:$O$115,15,0)),0,VLOOKUP($S$1747,'TAR FIN'!$A$1:$O$115,15,0))</f>
        <v>0</v>
      </c>
      <c r="W1747" s="6">
        <f>IF(ISERROR(VLOOKUP($T$1747,'TAR FIN'!$A$1:$O$115,15,0)),0,VLOOKUP($T$1747,'TAR FIN'!$A$1:$O$115,15,0))</f>
        <v>351.65</v>
      </c>
      <c r="X1747" s="6">
        <f>IF(ISERROR(VLOOKUP($U$1747,'TAR FIN'!$A$1:$O$115,15,0)),0,VLOOKUP($U$1747,'TAR FIN'!$A$1:$O$115,15,0))</f>
        <v>168.06</v>
      </c>
      <c r="Y1747" s="6"/>
      <c r="Z1747" s="6">
        <f ca="1">('TUSD BE'!$AM$64+'TUSD BF'!$AM$64+'TUSD CVA'!$AM$64)*1</f>
        <v>391.10237276676656</v>
      </c>
      <c r="AA1747" s="6">
        <f>('TE BE'!$AB$47+'TE BF'!$AB$47+'TE CVA'!$AB$47)*1</f>
        <v>218.6854278594964</v>
      </c>
      <c r="AB1747" s="6">
        <f>$K$1747*$V$1747</f>
        <v>0</v>
      </c>
      <c r="AC1747" s="6">
        <f>$M$1747*$W$1747</f>
        <v>103.73674999999999</v>
      </c>
      <c r="AD1747" s="6">
        <f>$O$1747*$X$1747</f>
        <v>49.5777</v>
      </c>
      <c r="AE1747" s="6">
        <f>$K$1747*$Y$1747</f>
        <v>0</v>
      </c>
      <c r="AF1747" s="6">
        <f ca="1">$M$1747*$Z$1747</f>
        <v>115.37519996619613</v>
      </c>
      <c r="AG1747" s="6">
        <f>$O$1747*$AA$1747</f>
        <v>64.512201218551439</v>
      </c>
    </row>
    <row r="1748" spans="1:33" ht="11.25" customHeight="1" x14ac:dyDescent="0.25">
      <c r="A1748" s="4" t="s">
        <v>21</v>
      </c>
      <c r="B1748" s="4" t="s">
        <v>39</v>
      </c>
      <c r="C1748" s="4" t="s">
        <v>35</v>
      </c>
      <c r="D1748" s="4" t="s">
        <v>40</v>
      </c>
      <c r="E1748" s="4" t="s">
        <v>25</v>
      </c>
      <c r="F1748" s="4" t="s">
        <v>25</v>
      </c>
      <c r="G1748" s="4" t="s">
        <v>25</v>
      </c>
      <c r="H1748" s="4" t="s">
        <v>37</v>
      </c>
      <c r="I1748" s="5">
        <v>44805</v>
      </c>
      <c r="J1748" s="6">
        <v>0</v>
      </c>
      <c r="K1748" s="6">
        <v>0</v>
      </c>
      <c r="L1748" s="6">
        <v>0.28899999999999998</v>
      </c>
      <c r="M1748" s="6">
        <v>0.28899999999999998</v>
      </c>
      <c r="N1748" s="6">
        <v>0.28899999999999998</v>
      </c>
      <c r="O1748" s="6">
        <v>0.28899999999999998</v>
      </c>
      <c r="P1748" s="6">
        <v>0</v>
      </c>
      <c r="Q1748" s="4" t="s">
        <v>26</v>
      </c>
      <c r="R1748" s="4">
        <v>0</v>
      </c>
      <c r="S1748" s="6">
        <v>0</v>
      </c>
      <c r="T1748" s="6">
        <v>66</v>
      </c>
      <c r="U1748" s="6">
        <v>110</v>
      </c>
      <c r="V1748" s="6">
        <f>IF(ISERROR(VLOOKUP($S$1748,'TAR FIN'!$A$1:$O$115,15,0)),0,VLOOKUP($S$1748,'TAR FIN'!$A$1:$O$115,15,0))</f>
        <v>0</v>
      </c>
      <c r="W1748" s="6">
        <f>IF(ISERROR(VLOOKUP($T$1748,'TAR FIN'!$A$1:$O$115,15,0)),0,VLOOKUP($T$1748,'TAR FIN'!$A$1:$O$115,15,0))</f>
        <v>351.65</v>
      </c>
      <c r="X1748" s="6">
        <f>IF(ISERROR(VLOOKUP($U$1748,'TAR FIN'!$A$1:$O$115,15,0)),0,VLOOKUP($U$1748,'TAR FIN'!$A$1:$O$115,15,0))</f>
        <v>168.06</v>
      </c>
      <c r="Y1748" s="6"/>
      <c r="Z1748" s="6">
        <f ca="1">('TUSD BE'!$AM$64+'TUSD BF'!$AM$64+'TUSD CVA'!$AM$64)*1</f>
        <v>391.10237276676656</v>
      </c>
      <c r="AA1748" s="6">
        <f>('TE BE'!$AB$47+'TE BF'!$AB$47+'TE CVA'!$AB$47)*1</f>
        <v>218.6854278594964</v>
      </c>
      <c r="AB1748" s="6">
        <f>$K$1748*$V$1748</f>
        <v>0</v>
      </c>
      <c r="AC1748" s="6">
        <f>$M$1748*$W$1748</f>
        <v>101.62684999999999</v>
      </c>
      <c r="AD1748" s="6">
        <f>$O$1748*$X$1748</f>
        <v>48.569339999999997</v>
      </c>
      <c r="AE1748" s="6">
        <f>$K$1748*$Y$1748</f>
        <v>0</v>
      </c>
      <c r="AF1748" s="6">
        <f ca="1">$M$1748*$Z$1748</f>
        <v>113.02858572959553</v>
      </c>
      <c r="AG1748" s="6">
        <f>$O$1748*$AA$1748</f>
        <v>63.200088651394452</v>
      </c>
    </row>
    <row r="1749" spans="1:33" ht="11.25" customHeight="1" x14ac:dyDescent="0.25">
      <c r="A1749" s="4" t="s">
        <v>21</v>
      </c>
      <c r="B1749" s="4" t="s">
        <v>39</v>
      </c>
      <c r="C1749" s="4" t="s">
        <v>35</v>
      </c>
      <c r="D1749" s="4" t="s">
        <v>40</v>
      </c>
      <c r="E1749" s="4" t="s">
        <v>25</v>
      </c>
      <c r="F1749" s="4" t="s">
        <v>25</v>
      </c>
      <c r="G1749" s="4" t="s">
        <v>25</v>
      </c>
      <c r="H1749" s="4" t="s">
        <v>37</v>
      </c>
      <c r="I1749" s="5">
        <v>44835</v>
      </c>
      <c r="J1749" s="6">
        <v>0</v>
      </c>
      <c r="K1749" s="6">
        <v>0</v>
      </c>
      <c r="L1749" s="6">
        <v>0.28000000000000003</v>
      </c>
      <c r="M1749" s="6">
        <v>0.28000000000000003</v>
      </c>
      <c r="N1749" s="6">
        <v>0.28000000000000003</v>
      </c>
      <c r="O1749" s="6">
        <v>0.28000000000000003</v>
      </c>
      <c r="P1749" s="6">
        <v>0</v>
      </c>
      <c r="Q1749" s="4" t="s">
        <v>26</v>
      </c>
      <c r="R1749" s="4">
        <v>0</v>
      </c>
      <c r="S1749" s="6">
        <v>0</v>
      </c>
      <c r="T1749" s="6">
        <v>66</v>
      </c>
      <c r="U1749" s="6">
        <v>110</v>
      </c>
      <c r="V1749" s="6">
        <f>IF(ISERROR(VLOOKUP($S$1749,'TAR FIN'!$A$1:$O$115,15,0)),0,VLOOKUP($S$1749,'TAR FIN'!$A$1:$O$115,15,0))</f>
        <v>0</v>
      </c>
      <c r="W1749" s="6">
        <f>IF(ISERROR(VLOOKUP($T$1749,'TAR FIN'!$A$1:$O$115,15,0)),0,VLOOKUP($T$1749,'TAR FIN'!$A$1:$O$115,15,0))</f>
        <v>351.65</v>
      </c>
      <c r="X1749" s="6">
        <f>IF(ISERROR(VLOOKUP($U$1749,'TAR FIN'!$A$1:$O$115,15,0)),0,VLOOKUP($U$1749,'TAR FIN'!$A$1:$O$115,15,0))</f>
        <v>168.06</v>
      </c>
      <c r="Y1749" s="6"/>
      <c r="Z1749" s="6">
        <f ca="1">('TUSD BE'!$AM$64+'TUSD BF'!$AM$64+'TUSD CVA'!$AM$64)*1</f>
        <v>391.10237276676656</v>
      </c>
      <c r="AA1749" s="6">
        <f>('TE BE'!$AB$47+'TE BF'!$AB$47+'TE CVA'!$AB$47)*1</f>
        <v>218.6854278594964</v>
      </c>
      <c r="AB1749" s="6">
        <f>$K$1749*$V$1749</f>
        <v>0</v>
      </c>
      <c r="AC1749" s="6">
        <f>$M$1749*$W$1749</f>
        <v>98.462000000000003</v>
      </c>
      <c r="AD1749" s="6">
        <f>$O$1749*$X$1749</f>
        <v>47.056800000000003</v>
      </c>
      <c r="AE1749" s="6">
        <f>$K$1749*$Y$1749</f>
        <v>0</v>
      </c>
      <c r="AF1749" s="6">
        <f ca="1">$M$1749*$Z$1749</f>
        <v>109.50866437469465</v>
      </c>
      <c r="AG1749" s="6">
        <f>$O$1749*$AA$1749</f>
        <v>61.231919800659</v>
      </c>
    </row>
    <row r="1750" spans="1:33" ht="11.25" customHeight="1" x14ac:dyDescent="0.25">
      <c r="A1750" s="4" t="s">
        <v>59</v>
      </c>
      <c r="B1750" s="4" t="s">
        <v>39</v>
      </c>
      <c r="C1750" s="4" t="s">
        <v>35</v>
      </c>
      <c r="D1750" s="4" t="s">
        <v>40</v>
      </c>
      <c r="E1750" s="4" t="s">
        <v>25</v>
      </c>
      <c r="F1750" s="4" t="s">
        <v>25</v>
      </c>
      <c r="G1750" s="4" t="s">
        <v>25</v>
      </c>
      <c r="H1750" s="4" t="s">
        <v>37</v>
      </c>
      <c r="I1750" s="5">
        <v>44866</v>
      </c>
      <c r="J1750" s="6">
        <v>0</v>
      </c>
      <c r="K1750" s="6">
        <v>0</v>
      </c>
      <c r="L1750" s="6">
        <v>0.28000000000000003</v>
      </c>
      <c r="M1750" s="6">
        <v>0.28000000000000003</v>
      </c>
      <c r="N1750" s="6">
        <v>0.28000000000000003</v>
      </c>
      <c r="O1750" s="6">
        <v>0.28000000000000003</v>
      </c>
      <c r="P1750" s="6">
        <v>0</v>
      </c>
      <c r="Q1750" s="4" t="s">
        <v>26</v>
      </c>
      <c r="R1750" s="4">
        <v>0</v>
      </c>
      <c r="S1750" s="6">
        <v>0</v>
      </c>
      <c r="T1750" s="6">
        <v>66</v>
      </c>
      <c r="U1750" s="6">
        <v>110</v>
      </c>
      <c r="V1750" s="6">
        <f>IF(ISERROR(VLOOKUP($S$1750,'TAR FIN'!$A$1:$O$115,15,0)),0,VLOOKUP($S$1750,'TAR FIN'!$A$1:$O$115,15,0))</f>
        <v>0</v>
      </c>
      <c r="W1750" s="6">
        <f>IF(ISERROR(VLOOKUP($T$1750,'TAR FIN'!$A$1:$O$115,15,0)),0,VLOOKUP($T$1750,'TAR FIN'!$A$1:$O$115,15,0))</f>
        <v>351.65</v>
      </c>
      <c r="X1750" s="6">
        <f>IF(ISERROR(VLOOKUP($U$1750,'TAR FIN'!$A$1:$O$115,15,0)),0,VLOOKUP($U$1750,'TAR FIN'!$A$1:$O$115,15,0))</f>
        <v>168.06</v>
      </c>
      <c r="Y1750" s="6"/>
      <c r="Z1750" s="6">
        <f ca="1">('TUSD BE'!$AM$64+'TUSD BF'!$AM$64+'TUSD CVA'!$AM$64)*1</f>
        <v>391.10237276676656</v>
      </c>
      <c r="AA1750" s="6">
        <f>('TE BE'!$AB$47+'TE BF'!$AB$47+'TE CVA'!$AB$47)*1</f>
        <v>218.6854278594964</v>
      </c>
      <c r="AB1750" s="6">
        <f>$K$1750*$V$1750</f>
        <v>0</v>
      </c>
      <c r="AC1750" s="6">
        <f>$M$1750*$W$1750</f>
        <v>98.462000000000003</v>
      </c>
      <c r="AD1750" s="6">
        <f>$O$1750*$X$1750</f>
        <v>47.056800000000003</v>
      </c>
      <c r="AE1750" s="6">
        <f>$K$1750*$Y$1750</f>
        <v>0</v>
      </c>
      <c r="AF1750" s="6">
        <f ca="1">$M$1750*$Z$1750</f>
        <v>109.50866437469465</v>
      </c>
      <c r="AG1750" s="6">
        <f>$O$1750*$AA$1750</f>
        <v>61.231919800659</v>
      </c>
    </row>
    <row r="1751" spans="1:33" ht="11.25" customHeight="1" x14ac:dyDescent="0.25">
      <c r="A1751" s="4" t="s">
        <v>21</v>
      </c>
      <c r="B1751" s="4" t="s">
        <v>39</v>
      </c>
      <c r="C1751" s="4" t="s">
        <v>35</v>
      </c>
      <c r="D1751" s="4" t="s">
        <v>40</v>
      </c>
      <c r="E1751" s="4" t="s">
        <v>25</v>
      </c>
      <c r="F1751" s="4" t="s">
        <v>25</v>
      </c>
      <c r="G1751" s="4" t="s">
        <v>25</v>
      </c>
      <c r="H1751" s="4" t="s">
        <v>38</v>
      </c>
      <c r="I1751" s="5">
        <v>44531</v>
      </c>
      <c r="J1751" s="6">
        <v>0</v>
      </c>
      <c r="K1751" s="6">
        <v>0</v>
      </c>
      <c r="L1751" s="6">
        <v>0.01</v>
      </c>
      <c r="M1751" s="6">
        <v>0.01</v>
      </c>
      <c r="N1751" s="6">
        <v>0.01</v>
      </c>
      <c r="O1751" s="6">
        <v>0.01</v>
      </c>
      <c r="P1751" s="6">
        <v>0</v>
      </c>
      <c r="Q1751" s="4" t="s">
        <v>26</v>
      </c>
      <c r="R1751" s="4">
        <v>0</v>
      </c>
      <c r="S1751" s="6">
        <v>0</v>
      </c>
      <c r="T1751" s="6">
        <v>65</v>
      </c>
      <c r="U1751" s="6">
        <v>109</v>
      </c>
      <c r="V1751" s="6">
        <f>IF(ISERROR(VLOOKUP($S$1751,'TAR FIN'!$A$1:$O$115,15,0)),0,VLOOKUP($S$1751,'TAR FIN'!$A$1:$O$115,15,0))</f>
        <v>0</v>
      </c>
      <c r="W1751" s="6">
        <f>IF(ISERROR(VLOOKUP($T$1751,'TAR FIN'!$A$1:$O$115,15,0)),0,VLOOKUP($T$1751,'TAR FIN'!$A$1:$O$115,15,0))</f>
        <v>827.45</v>
      </c>
      <c r="X1751" s="6">
        <f>IF(ISERROR(VLOOKUP($U$1751,'TAR FIN'!$A$1:$O$115,15,0)),0,VLOOKUP($U$1751,'TAR FIN'!$A$1:$O$115,15,0))</f>
        <v>168.06</v>
      </c>
      <c r="Y1751" s="6"/>
      <c r="Z1751" s="6">
        <f ca="1">('TUSD BE'!$AM$63+'TUSD BF'!$AM$63+'TUSD CVA'!$AM$63)*1</f>
        <v>863.35061643044799</v>
      </c>
      <c r="AA1751" s="6">
        <f>('TE BE'!$AB$46+'TE BF'!$AB$46+'TE CVA'!$AB$46)*1</f>
        <v>218.6854278594964</v>
      </c>
      <c r="AB1751" s="6">
        <f>$K$1751*$V$1751</f>
        <v>0</v>
      </c>
      <c r="AC1751" s="6">
        <f>$M$1751*$W$1751</f>
        <v>8.2744999999999997</v>
      </c>
      <c r="AD1751" s="6">
        <f>$O$1751*$X$1751</f>
        <v>1.6806000000000001</v>
      </c>
      <c r="AE1751" s="6">
        <f>$K$1751*$Y$1751</f>
        <v>0</v>
      </c>
      <c r="AF1751" s="6">
        <f ca="1">$M$1751*$Z$1751</f>
        <v>8.6335061643044799</v>
      </c>
      <c r="AG1751" s="6">
        <f>$O$1751*$AA$1751</f>
        <v>2.1868542785949638</v>
      </c>
    </row>
    <row r="1752" spans="1:33" ht="11.25" customHeight="1" x14ac:dyDescent="0.25">
      <c r="A1752" s="4" t="s">
        <v>21</v>
      </c>
      <c r="B1752" s="4" t="s">
        <v>39</v>
      </c>
      <c r="C1752" s="4" t="s">
        <v>35</v>
      </c>
      <c r="D1752" s="4" t="s">
        <v>40</v>
      </c>
      <c r="E1752" s="4" t="s">
        <v>25</v>
      </c>
      <c r="F1752" s="4" t="s">
        <v>25</v>
      </c>
      <c r="G1752" s="4" t="s">
        <v>25</v>
      </c>
      <c r="H1752" s="4" t="s">
        <v>38</v>
      </c>
      <c r="I1752" s="5">
        <v>44562</v>
      </c>
      <c r="J1752" s="6">
        <v>0</v>
      </c>
      <c r="K1752" s="6">
        <v>0</v>
      </c>
      <c r="L1752" s="6">
        <v>1.7000000000000001E-2</v>
      </c>
      <c r="M1752" s="6">
        <v>1.7000000000000001E-2</v>
      </c>
      <c r="N1752" s="6">
        <v>1.7000000000000001E-2</v>
      </c>
      <c r="O1752" s="6">
        <v>1.7000000000000001E-2</v>
      </c>
      <c r="P1752" s="6">
        <v>0</v>
      </c>
      <c r="Q1752" s="4" t="s">
        <v>26</v>
      </c>
      <c r="R1752" s="4">
        <v>0</v>
      </c>
      <c r="S1752" s="6">
        <v>0</v>
      </c>
      <c r="T1752" s="6">
        <v>65</v>
      </c>
      <c r="U1752" s="6">
        <v>109</v>
      </c>
      <c r="V1752" s="6">
        <f>IF(ISERROR(VLOOKUP($S$1752,'TAR FIN'!$A$1:$O$115,15,0)),0,VLOOKUP($S$1752,'TAR FIN'!$A$1:$O$115,15,0))</f>
        <v>0</v>
      </c>
      <c r="W1752" s="6">
        <f>IF(ISERROR(VLOOKUP($T$1752,'TAR FIN'!$A$1:$O$115,15,0)),0,VLOOKUP($T$1752,'TAR FIN'!$A$1:$O$115,15,0))</f>
        <v>827.45</v>
      </c>
      <c r="X1752" s="6">
        <f>IF(ISERROR(VLOOKUP($U$1752,'TAR FIN'!$A$1:$O$115,15,0)),0,VLOOKUP($U$1752,'TAR FIN'!$A$1:$O$115,15,0))</f>
        <v>168.06</v>
      </c>
      <c r="Y1752" s="6"/>
      <c r="Z1752" s="6">
        <f ca="1">('TUSD BE'!$AM$63+'TUSD BF'!$AM$63+'TUSD CVA'!$AM$63)*1</f>
        <v>863.35061643044799</v>
      </c>
      <c r="AA1752" s="6">
        <f>('TE BE'!$AB$46+'TE BF'!$AB$46+'TE CVA'!$AB$46)*1</f>
        <v>218.6854278594964</v>
      </c>
      <c r="AB1752" s="6">
        <f>$K$1752*$V$1752</f>
        <v>0</v>
      </c>
      <c r="AC1752" s="6">
        <f>$M$1752*$W$1752</f>
        <v>14.066650000000001</v>
      </c>
      <c r="AD1752" s="6">
        <f>$O$1752*$X$1752</f>
        <v>2.8570200000000003</v>
      </c>
      <c r="AE1752" s="6">
        <f>$K$1752*$Y$1752</f>
        <v>0</v>
      </c>
      <c r="AF1752" s="6">
        <f ca="1">$M$1752*$Z$1752</f>
        <v>14.676960479317616</v>
      </c>
      <c r="AG1752" s="6">
        <f>$O$1752*$AA$1752</f>
        <v>3.717652273611439</v>
      </c>
    </row>
    <row r="1753" spans="1:33" ht="11.25" customHeight="1" x14ac:dyDescent="0.25">
      <c r="A1753" s="4" t="s">
        <v>21</v>
      </c>
      <c r="B1753" s="4" t="s">
        <v>39</v>
      </c>
      <c r="C1753" s="4" t="s">
        <v>35</v>
      </c>
      <c r="D1753" s="4" t="s">
        <v>40</v>
      </c>
      <c r="E1753" s="4" t="s">
        <v>25</v>
      </c>
      <c r="F1753" s="4" t="s">
        <v>25</v>
      </c>
      <c r="G1753" s="4" t="s">
        <v>25</v>
      </c>
      <c r="H1753" s="4" t="s">
        <v>38</v>
      </c>
      <c r="I1753" s="5">
        <v>44593</v>
      </c>
      <c r="J1753" s="6">
        <v>0</v>
      </c>
      <c r="K1753" s="6">
        <v>0</v>
      </c>
      <c r="L1753" s="6">
        <v>8.9999999999999993E-3</v>
      </c>
      <c r="M1753" s="6">
        <v>8.9999999999999993E-3</v>
      </c>
      <c r="N1753" s="6">
        <v>8.9999999999999993E-3</v>
      </c>
      <c r="O1753" s="6">
        <v>8.9999999999999993E-3</v>
      </c>
      <c r="P1753" s="6">
        <v>0</v>
      </c>
      <c r="Q1753" s="4" t="s">
        <v>26</v>
      </c>
      <c r="R1753" s="4">
        <v>0</v>
      </c>
      <c r="S1753" s="6">
        <v>0</v>
      </c>
      <c r="T1753" s="6">
        <v>65</v>
      </c>
      <c r="U1753" s="6">
        <v>109</v>
      </c>
      <c r="V1753" s="6">
        <f>IF(ISERROR(VLOOKUP($S$1753,'TAR FIN'!$A$1:$O$115,15,0)),0,VLOOKUP($S$1753,'TAR FIN'!$A$1:$O$115,15,0))</f>
        <v>0</v>
      </c>
      <c r="W1753" s="6">
        <f>IF(ISERROR(VLOOKUP($T$1753,'TAR FIN'!$A$1:$O$115,15,0)),0,VLOOKUP($T$1753,'TAR FIN'!$A$1:$O$115,15,0))</f>
        <v>827.45</v>
      </c>
      <c r="X1753" s="6">
        <f>IF(ISERROR(VLOOKUP($U$1753,'TAR FIN'!$A$1:$O$115,15,0)),0,VLOOKUP($U$1753,'TAR FIN'!$A$1:$O$115,15,0))</f>
        <v>168.06</v>
      </c>
      <c r="Y1753" s="6"/>
      <c r="Z1753" s="6">
        <f ca="1">('TUSD BE'!$AM$63+'TUSD BF'!$AM$63+'TUSD CVA'!$AM$63)*1</f>
        <v>863.35061643044799</v>
      </c>
      <c r="AA1753" s="6">
        <f>('TE BE'!$AB$46+'TE BF'!$AB$46+'TE CVA'!$AB$46)*1</f>
        <v>218.6854278594964</v>
      </c>
      <c r="AB1753" s="6">
        <f>$K$1753*$V$1753</f>
        <v>0</v>
      </c>
      <c r="AC1753" s="6">
        <f>$M$1753*$W$1753</f>
        <v>7.4470499999999999</v>
      </c>
      <c r="AD1753" s="6">
        <f>$O$1753*$X$1753</f>
        <v>1.51254</v>
      </c>
      <c r="AE1753" s="6">
        <f>$K$1753*$Y$1753</f>
        <v>0</v>
      </c>
      <c r="AF1753" s="6">
        <f ca="1">$M$1753*$Z$1753</f>
        <v>7.7701555478740314</v>
      </c>
      <c r="AG1753" s="6">
        <f>$O$1753*$AA$1753</f>
        <v>1.9681688507354675</v>
      </c>
    </row>
    <row r="1754" spans="1:33" ht="11.25" customHeight="1" x14ac:dyDescent="0.25">
      <c r="A1754" s="4" t="s">
        <v>21</v>
      </c>
      <c r="B1754" s="4" t="s">
        <v>39</v>
      </c>
      <c r="C1754" s="4" t="s">
        <v>35</v>
      </c>
      <c r="D1754" s="4" t="s">
        <v>40</v>
      </c>
      <c r="E1754" s="4" t="s">
        <v>25</v>
      </c>
      <c r="F1754" s="4" t="s">
        <v>25</v>
      </c>
      <c r="G1754" s="4" t="s">
        <v>25</v>
      </c>
      <c r="H1754" s="4" t="s">
        <v>38</v>
      </c>
      <c r="I1754" s="5">
        <v>44621</v>
      </c>
      <c r="J1754" s="6">
        <v>0</v>
      </c>
      <c r="K1754" s="6">
        <v>0</v>
      </c>
      <c r="L1754" s="6">
        <v>8.9999999999999993E-3</v>
      </c>
      <c r="M1754" s="6">
        <v>8.9999999999999993E-3</v>
      </c>
      <c r="N1754" s="6">
        <v>8.9999999999999993E-3</v>
      </c>
      <c r="O1754" s="6">
        <v>8.9999999999999993E-3</v>
      </c>
      <c r="P1754" s="6">
        <v>0</v>
      </c>
      <c r="Q1754" s="4" t="s">
        <v>26</v>
      </c>
      <c r="R1754" s="4">
        <v>0</v>
      </c>
      <c r="S1754" s="6">
        <v>0</v>
      </c>
      <c r="T1754" s="6">
        <v>65</v>
      </c>
      <c r="U1754" s="6">
        <v>109</v>
      </c>
      <c r="V1754" s="6">
        <f>IF(ISERROR(VLOOKUP($S$1754,'TAR FIN'!$A$1:$O$115,15,0)),0,VLOOKUP($S$1754,'TAR FIN'!$A$1:$O$115,15,0))</f>
        <v>0</v>
      </c>
      <c r="W1754" s="6">
        <f>IF(ISERROR(VLOOKUP($T$1754,'TAR FIN'!$A$1:$O$115,15,0)),0,VLOOKUP($T$1754,'TAR FIN'!$A$1:$O$115,15,0))</f>
        <v>827.45</v>
      </c>
      <c r="X1754" s="6">
        <f>IF(ISERROR(VLOOKUP($U$1754,'TAR FIN'!$A$1:$O$115,15,0)),0,VLOOKUP($U$1754,'TAR FIN'!$A$1:$O$115,15,0))</f>
        <v>168.06</v>
      </c>
      <c r="Y1754" s="6"/>
      <c r="Z1754" s="6">
        <f ca="1">('TUSD BE'!$AM$63+'TUSD BF'!$AM$63+'TUSD CVA'!$AM$63)*1</f>
        <v>863.35061643044799</v>
      </c>
      <c r="AA1754" s="6">
        <f>('TE BE'!$AB$46+'TE BF'!$AB$46+'TE CVA'!$AB$46)*1</f>
        <v>218.6854278594964</v>
      </c>
      <c r="AB1754" s="6">
        <f>$K$1754*$V$1754</f>
        <v>0</v>
      </c>
      <c r="AC1754" s="6">
        <f>$M$1754*$W$1754</f>
        <v>7.4470499999999999</v>
      </c>
      <c r="AD1754" s="6">
        <f>$O$1754*$X$1754</f>
        <v>1.51254</v>
      </c>
      <c r="AE1754" s="6">
        <f>$K$1754*$Y$1754</f>
        <v>0</v>
      </c>
      <c r="AF1754" s="6">
        <f ca="1">$M$1754*$Z$1754</f>
        <v>7.7701555478740314</v>
      </c>
      <c r="AG1754" s="6">
        <f>$O$1754*$AA$1754</f>
        <v>1.9681688507354675</v>
      </c>
    </row>
    <row r="1755" spans="1:33" ht="11.25" customHeight="1" x14ac:dyDescent="0.25">
      <c r="A1755" s="4" t="s">
        <v>21</v>
      </c>
      <c r="B1755" s="4" t="s">
        <v>39</v>
      </c>
      <c r="C1755" s="4" t="s">
        <v>35</v>
      </c>
      <c r="D1755" s="4" t="s">
        <v>40</v>
      </c>
      <c r="E1755" s="4" t="s">
        <v>25</v>
      </c>
      <c r="F1755" s="4" t="s">
        <v>25</v>
      </c>
      <c r="G1755" s="4" t="s">
        <v>25</v>
      </c>
      <c r="H1755" s="4" t="s">
        <v>38</v>
      </c>
      <c r="I1755" s="5">
        <v>44652</v>
      </c>
      <c r="J1755" s="6">
        <v>0</v>
      </c>
      <c r="K1755" s="6">
        <v>0</v>
      </c>
      <c r="L1755" s="6">
        <v>1.4E-2</v>
      </c>
      <c r="M1755" s="6">
        <v>1.4E-2</v>
      </c>
      <c r="N1755" s="6">
        <v>1.4E-2</v>
      </c>
      <c r="O1755" s="6">
        <v>1.4E-2</v>
      </c>
      <c r="P1755" s="6">
        <v>0</v>
      </c>
      <c r="Q1755" s="4" t="s">
        <v>26</v>
      </c>
      <c r="R1755" s="4">
        <v>0</v>
      </c>
      <c r="S1755" s="6">
        <v>0</v>
      </c>
      <c r="T1755" s="6">
        <v>65</v>
      </c>
      <c r="U1755" s="6">
        <v>109</v>
      </c>
      <c r="V1755" s="6">
        <f>IF(ISERROR(VLOOKUP($S$1755,'TAR FIN'!$A$1:$O$115,15,0)),0,VLOOKUP($S$1755,'TAR FIN'!$A$1:$O$115,15,0))</f>
        <v>0</v>
      </c>
      <c r="W1755" s="6">
        <f>IF(ISERROR(VLOOKUP($T$1755,'TAR FIN'!$A$1:$O$115,15,0)),0,VLOOKUP($T$1755,'TAR FIN'!$A$1:$O$115,15,0))</f>
        <v>827.45</v>
      </c>
      <c r="X1755" s="6">
        <f>IF(ISERROR(VLOOKUP($U$1755,'TAR FIN'!$A$1:$O$115,15,0)),0,VLOOKUP($U$1755,'TAR FIN'!$A$1:$O$115,15,0))</f>
        <v>168.06</v>
      </c>
      <c r="Y1755" s="6"/>
      <c r="Z1755" s="6">
        <f ca="1">('TUSD BE'!$AM$63+'TUSD BF'!$AM$63+'TUSD CVA'!$AM$63)*1</f>
        <v>863.35061643044799</v>
      </c>
      <c r="AA1755" s="6">
        <f>('TE BE'!$AB$46+'TE BF'!$AB$46+'TE CVA'!$AB$46)*1</f>
        <v>218.6854278594964</v>
      </c>
      <c r="AB1755" s="6">
        <f>$K$1755*$V$1755</f>
        <v>0</v>
      </c>
      <c r="AC1755" s="6">
        <f>$M$1755*$W$1755</f>
        <v>11.584300000000001</v>
      </c>
      <c r="AD1755" s="6">
        <f>$O$1755*$X$1755</f>
        <v>2.35284</v>
      </c>
      <c r="AE1755" s="6">
        <f>$K$1755*$Y$1755</f>
        <v>0</v>
      </c>
      <c r="AF1755" s="6">
        <f ca="1">$M$1755*$Z$1755</f>
        <v>12.086908630026272</v>
      </c>
      <c r="AG1755" s="6">
        <f>$O$1755*$AA$1755</f>
        <v>3.0615959900329495</v>
      </c>
    </row>
    <row r="1756" spans="1:33" ht="11.25" customHeight="1" x14ac:dyDescent="0.25">
      <c r="A1756" s="4" t="s">
        <v>21</v>
      </c>
      <c r="B1756" s="4" t="s">
        <v>39</v>
      </c>
      <c r="C1756" s="4" t="s">
        <v>35</v>
      </c>
      <c r="D1756" s="4" t="s">
        <v>40</v>
      </c>
      <c r="E1756" s="4" t="s">
        <v>25</v>
      </c>
      <c r="F1756" s="4" t="s">
        <v>25</v>
      </c>
      <c r="G1756" s="4" t="s">
        <v>25</v>
      </c>
      <c r="H1756" s="4" t="s">
        <v>38</v>
      </c>
      <c r="I1756" s="5">
        <v>44682</v>
      </c>
      <c r="J1756" s="6">
        <v>0</v>
      </c>
      <c r="K1756" s="6">
        <v>0</v>
      </c>
      <c r="L1756" s="6">
        <v>1.2E-2</v>
      </c>
      <c r="M1756" s="6">
        <v>1.2E-2</v>
      </c>
      <c r="N1756" s="6">
        <v>1.2E-2</v>
      </c>
      <c r="O1756" s="6">
        <v>1.2E-2</v>
      </c>
      <c r="P1756" s="6">
        <v>0</v>
      </c>
      <c r="Q1756" s="4" t="s">
        <v>26</v>
      </c>
      <c r="R1756" s="4">
        <v>0</v>
      </c>
      <c r="S1756" s="6">
        <v>0</v>
      </c>
      <c r="T1756" s="6">
        <v>65</v>
      </c>
      <c r="U1756" s="6">
        <v>109</v>
      </c>
      <c r="V1756" s="6">
        <f>IF(ISERROR(VLOOKUP($S$1756,'TAR FIN'!$A$1:$O$115,15,0)),0,VLOOKUP($S$1756,'TAR FIN'!$A$1:$O$115,15,0))</f>
        <v>0</v>
      </c>
      <c r="W1756" s="6">
        <f>IF(ISERROR(VLOOKUP($T$1756,'TAR FIN'!$A$1:$O$115,15,0)),0,VLOOKUP($T$1756,'TAR FIN'!$A$1:$O$115,15,0))</f>
        <v>827.45</v>
      </c>
      <c r="X1756" s="6">
        <f>IF(ISERROR(VLOOKUP($U$1756,'TAR FIN'!$A$1:$O$115,15,0)),0,VLOOKUP($U$1756,'TAR FIN'!$A$1:$O$115,15,0))</f>
        <v>168.06</v>
      </c>
      <c r="Y1756" s="6"/>
      <c r="Z1756" s="6">
        <f ca="1">('TUSD BE'!$AM$63+'TUSD BF'!$AM$63+'TUSD CVA'!$AM$63)*1</f>
        <v>863.35061643044799</v>
      </c>
      <c r="AA1756" s="6">
        <f>('TE BE'!$AB$46+'TE BF'!$AB$46+'TE CVA'!$AB$46)*1</f>
        <v>218.6854278594964</v>
      </c>
      <c r="AB1756" s="6">
        <f>$K$1756*$V$1756</f>
        <v>0</v>
      </c>
      <c r="AC1756" s="6">
        <f>$M$1756*$W$1756</f>
        <v>9.9294000000000011</v>
      </c>
      <c r="AD1756" s="6">
        <f>$O$1756*$X$1756</f>
        <v>2.0167200000000003</v>
      </c>
      <c r="AE1756" s="6">
        <f>$K$1756*$Y$1756</f>
        <v>0</v>
      </c>
      <c r="AF1756" s="6">
        <f ca="1">$M$1756*$Z$1756</f>
        <v>10.360207397165375</v>
      </c>
      <c r="AG1756" s="6">
        <f>$O$1756*$AA$1756</f>
        <v>2.6242251343139569</v>
      </c>
    </row>
    <row r="1757" spans="1:33" ht="11.25" customHeight="1" x14ac:dyDescent="0.25">
      <c r="A1757" s="4" t="s">
        <v>21</v>
      </c>
      <c r="B1757" s="4" t="s">
        <v>39</v>
      </c>
      <c r="C1757" s="4" t="s">
        <v>35</v>
      </c>
      <c r="D1757" s="4" t="s">
        <v>40</v>
      </c>
      <c r="E1757" s="4" t="s">
        <v>25</v>
      </c>
      <c r="F1757" s="4" t="s">
        <v>25</v>
      </c>
      <c r="G1757" s="4" t="s">
        <v>25</v>
      </c>
      <c r="H1757" s="4" t="s">
        <v>38</v>
      </c>
      <c r="I1757" s="5">
        <v>44713</v>
      </c>
      <c r="J1757" s="6">
        <v>0</v>
      </c>
      <c r="K1757" s="6">
        <v>0</v>
      </c>
      <c r="L1757" s="6">
        <v>1.2E-2</v>
      </c>
      <c r="M1757" s="6">
        <v>1.2E-2</v>
      </c>
      <c r="N1757" s="6">
        <v>1.2E-2</v>
      </c>
      <c r="O1757" s="6">
        <v>1.2E-2</v>
      </c>
      <c r="P1757" s="6">
        <v>0</v>
      </c>
      <c r="Q1757" s="4" t="s">
        <v>26</v>
      </c>
      <c r="R1757" s="4">
        <v>0</v>
      </c>
      <c r="S1757" s="6">
        <v>0</v>
      </c>
      <c r="T1757" s="6">
        <v>65</v>
      </c>
      <c r="U1757" s="6">
        <v>109</v>
      </c>
      <c r="V1757" s="6">
        <f>IF(ISERROR(VLOOKUP($S$1757,'TAR FIN'!$A$1:$O$115,15,0)),0,VLOOKUP($S$1757,'TAR FIN'!$A$1:$O$115,15,0))</f>
        <v>0</v>
      </c>
      <c r="W1757" s="6">
        <f>IF(ISERROR(VLOOKUP($T$1757,'TAR FIN'!$A$1:$O$115,15,0)),0,VLOOKUP($T$1757,'TAR FIN'!$A$1:$O$115,15,0))</f>
        <v>827.45</v>
      </c>
      <c r="X1757" s="6">
        <f>IF(ISERROR(VLOOKUP($U$1757,'TAR FIN'!$A$1:$O$115,15,0)),0,VLOOKUP($U$1757,'TAR FIN'!$A$1:$O$115,15,0))</f>
        <v>168.06</v>
      </c>
      <c r="Y1757" s="6"/>
      <c r="Z1757" s="6">
        <f ca="1">('TUSD BE'!$AM$63+'TUSD BF'!$AM$63+'TUSD CVA'!$AM$63)*1</f>
        <v>863.35061643044799</v>
      </c>
      <c r="AA1757" s="6">
        <f>('TE BE'!$AB$46+'TE BF'!$AB$46+'TE CVA'!$AB$46)*1</f>
        <v>218.6854278594964</v>
      </c>
      <c r="AB1757" s="6">
        <f>$K$1757*$V$1757</f>
        <v>0</v>
      </c>
      <c r="AC1757" s="6">
        <f>$M$1757*$W$1757</f>
        <v>9.9294000000000011</v>
      </c>
      <c r="AD1757" s="6">
        <f>$O$1757*$X$1757</f>
        <v>2.0167200000000003</v>
      </c>
      <c r="AE1757" s="6">
        <f>$K$1757*$Y$1757</f>
        <v>0</v>
      </c>
      <c r="AF1757" s="6">
        <f ca="1">$M$1757*$Z$1757</f>
        <v>10.360207397165375</v>
      </c>
      <c r="AG1757" s="6">
        <f>$O$1757*$AA$1757</f>
        <v>2.6242251343139569</v>
      </c>
    </row>
    <row r="1758" spans="1:33" ht="11.25" customHeight="1" x14ac:dyDescent="0.25">
      <c r="A1758" s="4" t="s">
        <v>21</v>
      </c>
      <c r="B1758" s="4" t="s">
        <v>39</v>
      </c>
      <c r="C1758" s="4" t="s">
        <v>35</v>
      </c>
      <c r="D1758" s="4" t="s">
        <v>40</v>
      </c>
      <c r="E1758" s="4" t="s">
        <v>25</v>
      </c>
      <c r="F1758" s="4" t="s">
        <v>25</v>
      </c>
      <c r="G1758" s="4" t="s">
        <v>25</v>
      </c>
      <c r="H1758" s="4" t="s">
        <v>38</v>
      </c>
      <c r="I1758" s="5">
        <v>44743</v>
      </c>
      <c r="J1758" s="6">
        <v>0</v>
      </c>
      <c r="K1758" s="6">
        <v>0</v>
      </c>
      <c r="L1758" s="6">
        <v>1.0999999999999999E-2</v>
      </c>
      <c r="M1758" s="6">
        <v>1.0999999999999999E-2</v>
      </c>
      <c r="N1758" s="6">
        <v>1.0999999999999999E-2</v>
      </c>
      <c r="O1758" s="6">
        <v>1.0999999999999999E-2</v>
      </c>
      <c r="P1758" s="6">
        <v>0</v>
      </c>
      <c r="Q1758" s="4" t="s">
        <v>26</v>
      </c>
      <c r="R1758" s="4">
        <v>0</v>
      </c>
      <c r="S1758" s="6">
        <v>0</v>
      </c>
      <c r="T1758" s="6">
        <v>65</v>
      </c>
      <c r="U1758" s="6">
        <v>109</v>
      </c>
      <c r="V1758" s="6">
        <f>IF(ISERROR(VLOOKUP($S$1758,'TAR FIN'!$A$1:$O$115,15,0)),0,VLOOKUP($S$1758,'TAR FIN'!$A$1:$O$115,15,0))</f>
        <v>0</v>
      </c>
      <c r="W1758" s="6">
        <f>IF(ISERROR(VLOOKUP($T$1758,'TAR FIN'!$A$1:$O$115,15,0)),0,VLOOKUP($T$1758,'TAR FIN'!$A$1:$O$115,15,0))</f>
        <v>827.45</v>
      </c>
      <c r="X1758" s="6">
        <f>IF(ISERROR(VLOOKUP($U$1758,'TAR FIN'!$A$1:$O$115,15,0)),0,VLOOKUP($U$1758,'TAR FIN'!$A$1:$O$115,15,0))</f>
        <v>168.06</v>
      </c>
      <c r="Y1758" s="6"/>
      <c r="Z1758" s="6">
        <f ca="1">('TUSD BE'!$AM$63+'TUSD BF'!$AM$63+'TUSD CVA'!$AM$63)*1</f>
        <v>863.35061643044799</v>
      </c>
      <c r="AA1758" s="6">
        <f>('TE BE'!$AB$46+'TE BF'!$AB$46+'TE CVA'!$AB$46)*1</f>
        <v>218.6854278594964</v>
      </c>
      <c r="AB1758" s="6">
        <f>$K$1758*$V$1758</f>
        <v>0</v>
      </c>
      <c r="AC1758" s="6">
        <f>$M$1758*$W$1758</f>
        <v>9.1019500000000004</v>
      </c>
      <c r="AD1758" s="6">
        <f>$O$1758*$X$1758</f>
        <v>1.84866</v>
      </c>
      <c r="AE1758" s="6">
        <f>$K$1758*$Y$1758</f>
        <v>0</v>
      </c>
      <c r="AF1758" s="6">
        <f ca="1">$M$1758*$Z$1758</f>
        <v>9.4968567807349267</v>
      </c>
      <c r="AG1758" s="6">
        <f>$O$1758*$AA$1758</f>
        <v>2.4055397064544604</v>
      </c>
    </row>
    <row r="1759" spans="1:33" ht="11.25" customHeight="1" x14ac:dyDescent="0.25">
      <c r="A1759" s="4" t="s">
        <v>21</v>
      </c>
      <c r="B1759" s="4" t="s">
        <v>39</v>
      </c>
      <c r="C1759" s="4" t="s">
        <v>35</v>
      </c>
      <c r="D1759" s="4" t="s">
        <v>40</v>
      </c>
      <c r="E1759" s="4" t="s">
        <v>25</v>
      </c>
      <c r="F1759" s="4" t="s">
        <v>25</v>
      </c>
      <c r="G1759" s="4" t="s">
        <v>25</v>
      </c>
      <c r="H1759" s="4" t="s">
        <v>38</v>
      </c>
      <c r="I1759" s="5">
        <v>44774</v>
      </c>
      <c r="J1759" s="6">
        <v>0</v>
      </c>
      <c r="K1759" s="6">
        <v>0</v>
      </c>
      <c r="L1759" s="6">
        <v>1.0999999999999999E-2</v>
      </c>
      <c r="M1759" s="6">
        <v>1.0999999999999999E-2</v>
      </c>
      <c r="N1759" s="6">
        <v>1.0999999999999999E-2</v>
      </c>
      <c r="O1759" s="6">
        <v>1.0999999999999999E-2</v>
      </c>
      <c r="P1759" s="6">
        <v>0</v>
      </c>
      <c r="Q1759" s="4" t="s">
        <v>26</v>
      </c>
      <c r="R1759" s="4">
        <v>0</v>
      </c>
      <c r="S1759" s="6">
        <v>0</v>
      </c>
      <c r="T1759" s="6">
        <v>65</v>
      </c>
      <c r="U1759" s="6">
        <v>109</v>
      </c>
      <c r="V1759" s="6">
        <f>IF(ISERROR(VLOOKUP($S$1759,'TAR FIN'!$A$1:$O$115,15,0)),0,VLOOKUP($S$1759,'TAR FIN'!$A$1:$O$115,15,0))</f>
        <v>0</v>
      </c>
      <c r="W1759" s="6">
        <f>IF(ISERROR(VLOOKUP($T$1759,'TAR FIN'!$A$1:$O$115,15,0)),0,VLOOKUP($T$1759,'TAR FIN'!$A$1:$O$115,15,0))</f>
        <v>827.45</v>
      </c>
      <c r="X1759" s="6">
        <f>IF(ISERROR(VLOOKUP($U$1759,'TAR FIN'!$A$1:$O$115,15,0)),0,VLOOKUP($U$1759,'TAR FIN'!$A$1:$O$115,15,0))</f>
        <v>168.06</v>
      </c>
      <c r="Y1759" s="6"/>
      <c r="Z1759" s="6">
        <f ca="1">('TUSD BE'!$AM$63+'TUSD BF'!$AM$63+'TUSD CVA'!$AM$63)*1</f>
        <v>863.35061643044799</v>
      </c>
      <c r="AA1759" s="6">
        <f>('TE BE'!$AB$46+'TE BF'!$AB$46+'TE CVA'!$AB$46)*1</f>
        <v>218.6854278594964</v>
      </c>
      <c r="AB1759" s="6">
        <f>$K$1759*$V$1759</f>
        <v>0</v>
      </c>
      <c r="AC1759" s="6">
        <f>$M$1759*$W$1759</f>
        <v>9.1019500000000004</v>
      </c>
      <c r="AD1759" s="6">
        <f>$O$1759*$X$1759</f>
        <v>1.84866</v>
      </c>
      <c r="AE1759" s="6">
        <f>$K$1759*$Y$1759</f>
        <v>0</v>
      </c>
      <c r="AF1759" s="6">
        <f ca="1">$M$1759*$Z$1759</f>
        <v>9.4968567807349267</v>
      </c>
      <c r="AG1759" s="6">
        <f>$O$1759*$AA$1759</f>
        <v>2.4055397064544604</v>
      </c>
    </row>
    <row r="1760" spans="1:33" ht="11.25" customHeight="1" x14ac:dyDescent="0.25">
      <c r="A1760" s="4" t="s">
        <v>21</v>
      </c>
      <c r="B1760" s="4" t="s">
        <v>39</v>
      </c>
      <c r="C1760" s="4" t="s">
        <v>35</v>
      </c>
      <c r="D1760" s="4" t="s">
        <v>40</v>
      </c>
      <c r="E1760" s="4" t="s">
        <v>25</v>
      </c>
      <c r="F1760" s="4" t="s">
        <v>25</v>
      </c>
      <c r="G1760" s="4" t="s">
        <v>25</v>
      </c>
      <c r="H1760" s="4" t="s">
        <v>38</v>
      </c>
      <c r="I1760" s="5">
        <v>44805</v>
      </c>
      <c r="J1760" s="6">
        <v>0</v>
      </c>
      <c r="K1760" s="6">
        <v>0</v>
      </c>
      <c r="L1760" s="6">
        <v>1.2999999999999999E-2</v>
      </c>
      <c r="M1760" s="6">
        <v>1.2999999999999999E-2</v>
      </c>
      <c r="N1760" s="6">
        <v>1.2999999999999999E-2</v>
      </c>
      <c r="O1760" s="6">
        <v>1.2999999999999999E-2</v>
      </c>
      <c r="P1760" s="6">
        <v>0</v>
      </c>
      <c r="Q1760" s="4" t="s">
        <v>26</v>
      </c>
      <c r="R1760" s="4">
        <v>0</v>
      </c>
      <c r="S1760" s="6">
        <v>0</v>
      </c>
      <c r="T1760" s="6">
        <v>65</v>
      </c>
      <c r="U1760" s="6">
        <v>109</v>
      </c>
      <c r="V1760" s="6">
        <f>IF(ISERROR(VLOOKUP($S$1760,'TAR FIN'!$A$1:$O$115,15,0)),0,VLOOKUP($S$1760,'TAR FIN'!$A$1:$O$115,15,0))</f>
        <v>0</v>
      </c>
      <c r="W1760" s="6">
        <f>IF(ISERROR(VLOOKUP($T$1760,'TAR FIN'!$A$1:$O$115,15,0)),0,VLOOKUP($T$1760,'TAR FIN'!$A$1:$O$115,15,0))</f>
        <v>827.45</v>
      </c>
      <c r="X1760" s="6">
        <f>IF(ISERROR(VLOOKUP($U$1760,'TAR FIN'!$A$1:$O$115,15,0)),0,VLOOKUP($U$1760,'TAR FIN'!$A$1:$O$115,15,0))</f>
        <v>168.06</v>
      </c>
      <c r="Y1760" s="6"/>
      <c r="Z1760" s="6">
        <f ca="1">('TUSD BE'!$AM$63+'TUSD BF'!$AM$63+'TUSD CVA'!$AM$63)*1</f>
        <v>863.35061643044799</v>
      </c>
      <c r="AA1760" s="6">
        <f>('TE BE'!$AB$46+'TE BF'!$AB$46+'TE CVA'!$AB$46)*1</f>
        <v>218.6854278594964</v>
      </c>
      <c r="AB1760" s="6">
        <f>$K$1760*$V$1760</f>
        <v>0</v>
      </c>
      <c r="AC1760" s="6">
        <f>$M$1760*$W$1760</f>
        <v>10.75685</v>
      </c>
      <c r="AD1760" s="6">
        <f>$O$1760*$X$1760</f>
        <v>2.1847799999999999</v>
      </c>
      <c r="AE1760" s="6">
        <f>$K$1760*$Y$1760</f>
        <v>0</v>
      </c>
      <c r="AF1760" s="6">
        <f ca="1">$M$1760*$Z$1760</f>
        <v>11.223558013595824</v>
      </c>
      <c r="AG1760" s="6">
        <f>$O$1760*$AA$1760</f>
        <v>2.8429105621734529</v>
      </c>
    </row>
    <row r="1761" spans="1:33" ht="11.25" customHeight="1" x14ac:dyDescent="0.25">
      <c r="A1761" s="4" t="s">
        <v>21</v>
      </c>
      <c r="B1761" s="4" t="s">
        <v>39</v>
      </c>
      <c r="C1761" s="4" t="s">
        <v>35</v>
      </c>
      <c r="D1761" s="4" t="s">
        <v>40</v>
      </c>
      <c r="E1761" s="4" t="s">
        <v>25</v>
      </c>
      <c r="F1761" s="4" t="s">
        <v>25</v>
      </c>
      <c r="G1761" s="4" t="s">
        <v>25</v>
      </c>
      <c r="H1761" s="4" t="s">
        <v>38</v>
      </c>
      <c r="I1761" s="5">
        <v>44835</v>
      </c>
      <c r="J1761" s="6">
        <v>0</v>
      </c>
      <c r="K1761" s="6">
        <v>0</v>
      </c>
      <c r="L1761" s="6">
        <v>8.9999999999999993E-3</v>
      </c>
      <c r="M1761" s="6">
        <v>8.9999999999999993E-3</v>
      </c>
      <c r="N1761" s="6">
        <v>8.9999999999999993E-3</v>
      </c>
      <c r="O1761" s="6">
        <v>8.9999999999999993E-3</v>
      </c>
      <c r="P1761" s="6">
        <v>0</v>
      </c>
      <c r="Q1761" s="4" t="s">
        <v>26</v>
      </c>
      <c r="R1761" s="4">
        <v>0</v>
      </c>
      <c r="S1761" s="6">
        <v>0</v>
      </c>
      <c r="T1761" s="6">
        <v>65</v>
      </c>
      <c r="U1761" s="6">
        <v>109</v>
      </c>
      <c r="V1761" s="6">
        <f>IF(ISERROR(VLOOKUP($S$1761,'TAR FIN'!$A$1:$O$115,15,0)),0,VLOOKUP($S$1761,'TAR FIN'!$A$1:$O$115,15,0))</f>
        <v>0</v>
      </c>
      <c r="W1761" s="6">
        <f>IF(ISERROR(VLOOKUP($T$1761,'TAR FIN'!$A$1:$O$115,15,0)),0,VLOOKUP($T$1761,'TAR FIN'!$A$1:$O$115,15,0))</f>
        <v>827.45</v>
      </c>
      <c r="X1761" s="6">
        <f>IF(ISERROR(VLOOKUP($U$1761,'TAR FIN'!$A$1:$O$115,15,0)),0,VLOOKUP($U$1761,'TAR FIN'!$A$1:$O$115,15,0))</f>
        <v>168.06</v>
      </c>
      <c r="Y1761" s="6"/>
      <c r="Z1761" s="6">
        <f ca="1">('TUSD BE'!$AM$63+'TUSD BF'!$AM$63+'TUSD CVA'!$AM$63)*1</f>
        <v>863.35061643044799</v>
      </c>
      <c r="AA1761" s="6">
        <f>('TE BE'!$AB$46+'TE BF'!$AB$46+'TE CVA'!$AB$46)*1</f>
        <v>218.6854278594964</v>
      </c>
      <c r="AB1761" s="6">
        <f>$K$1761*$V$1761</f>
        <v>0</v>
      </c>
      <c r="AC1761" s="6">
        <f>$M$1761*$W$1761</f>
        <v>7.4470499999999999</v>
      </c>
      <c r="AD1761" s="6">
        <f>$O$1761*$X$1761</f>
        <v>1.51254</v>
      </c>
      <c r="AE1761" s="6">
        <f>$K$1761*$Y$1761</f>
        <v>0</v>
      </c>
      <c r="AF1761" s="6">
        <f ca="1">$M$1761*$Z$1761</f>
        <v>7.7701555478740314</v>
      </c>
      <c r="AG1761" s="6">
        <f>$O$1761*$AA$1761</f>
        <v>1.9681688507354675</v>
      </c>
    </row>
    <row r="1762" spans="1:33" ht="11.25" customHeight="1" x14ac:dyDescent="0.25">
      <c r="A1762" s="4" t="s">
        <v>59</v>
      </c>
      <c r="B1762" s="4" t="s">
        <v>39</v>
      </c>
      <c r="C1762" s="4" t="s">
        <v>35</v>
      </c>
      <c r="D1762" s="4" t="s">
        <v>40</v>
      </c>
      <c r="E1762" s="4" t="s">
        <v>25</v>
      </c>
      <c r="F1762" s="4" t="s">
        <v>25</v>
      </c>
      <c r="G1762" s="4" t="s">
        <v>25</v>
      </c>
      <c r="H1762" s="4" t="s">
        <v>38</v>
      </c>
      <c r="I1762" s="5">
        <v>44866</v>
      </c>
      <c r="J1762" s="6">
        <v>0</v>
      </c>
      <c r="K1762" s="6">
        <v>0</v>
      </c>
      <c r="L1762" s="6">
        <v>8.9999999999999993E-3</v>
      </c>
      <c r="M1762" s="6">
        <v>8.9999999999999993E-3</v>
      </c>
      <c r="N1762" s="6">
        <v>8.9999999999999993E-3</v>
      </c>
      <c r="O1762" s="6">
        <v>8.9999999999999993E-3</v>
      </c>
      <c r="P1762" s="6">
        <v>0</v>
      </c>
      <c r="Q1762" s="4" t="s">
        <v>26</v>
      </c>
      <c r="R1762" s="4">
        <v>0</v>
      </c>
      <c r="S1762" s="6">
        <v>0</v>
      </c>
      <c r="T1762" s="6">
        <v>65</v>
      </c>
      <c r="U1762" s="6">
        <v>109</v>
      </c>
      <c r="V1762" s="6">
        <f>IF(ISERROR(VLOOKUP($S$1762,'TAR FIN'!$A$1:$O$115,15,0)),0,VLOOKUP($S$1762,'TAR FIN'!$A$1:$O$115,15,0))</f>
        <v>0</v>
      </c>
      <c r="W1762" s="6">
        <f>IF(ISERROR(VLOOKUP($T$1762,'TAR FIN'!$A$1:$O$115,15,0)),0,VLOOKUP($T$1762,'TAR FIN'!$A$1:$O$115,15,0))</f>
        <v>827.45</v>
      </c>
      <c r="X1762" s="6">
        <f>IF(ISERROR(VLOOKUP($U$1762,'TAR FIN'!$A$1:$O$115,15,0)),0,VLOOKUP($U$1762,'TAR FIN'!$A$1:$O$115,15,0))</f>
        <v>168.06</v>
      </c>
      <c r="Y1762" s="6"/>
      <c r="Z1762" s="6">
        <f ca="1">('TUSD BE'!$AM$63+'TUSD BF'!$AM$63+'TUSD CVA'!$AM$63)*1</f>
        <v>863.35061643044799</v>
      </c>
      <c r="AA1762" s="6">
        <f>('TE BE'!$AB$46+'TE BF'!$AB$46+'TE CVA'!$AB$46)*1</f>
        <v>218.6854278594964</v>
      </c>
      <c r="AB1762" s="6">
        <f>$K$1762*$V$1762</f>
        <v>0</v>
      </c>
      <c r="AC1762" s="6">
        <f>$M$1762*$W$1762</f>
        <v>7.4470499999999999</v>
      </c>
      <c r="AD1762" s="6">
        <f>$O$1762*$X$1762</f>
        <v>1.51254</v>
      </c>
      <c r="AE1762" s="6">
        <f>$K$1762*$Y$1762</f>
        <v>0</v>
      </c>
      <c r="AF1762" s="6">
        <f ca="1">$M$1762*$Z$1762</f>
        <v>7.7701555478740314</v>
      </c>
      <c r="AG1762" s="6">
        <f>$O$1762*$AA$1762</f>
        <v>1.9681688507354675</v>
      </c>
    </row>
    <row r="1763" spans="1:33" ht="11.25" customHeight="1" x14ac:dyDescent="0.25">
      <c r="A1763" s="4" t="s">
        <v>21</v>
      </c>
      <c r="B1763" s="4" t="s">
        <v>39</v>
      </c>
      <c r="C1763" s="4" t="s">
        <v>35</v>
      </c>
      <c r="D1763" s="4" t="s">
        <v>40</v>
      </c>
      <c r="E1763" s="4" t="s">
        <v>25</v>
      </c>
      <c r="F1763" s="4" t="s">
        <v>25</v>
      </c>
      <c r="G1763" s="4" t="s">
        <v>25</v>
      </c>
      <c r="H1763" s="4" t="s">
        <v>36</v>
      </c>
      <c r="I1763" s="5">
        <v>44531</v>
      </c>
      <c r="J1763" s="6">
        <v>0</v>
      </c>
      <c r="K1763" s="6">
        <v>0</v>
      </c>
      <c r="L1763" s="6">
        <v>3.0000000000000001E-3</v>
      </c>
      <c r="M1763" s="6">
        <v>3.0000000000000001E-3</v>
      </c>
      <c r="N1763" s="6">
        <v>3.0000000000000001E-3</v>
      </c>
      <c r="O1763" s="6">
        <v>3.0000000000000001E-3</v>
      </c>
      <c r="P1763" s="6">
        <v>0</v>
      </c>
      <c r="Q1763" s="4" t="s">
        <v>26</v>
      </c>
      <c r="R1763" s="4">
        <v>0</v>
      </c>
      <c r="S1763" s="6">
        <v>0</v>
      </c>
      <c r="T1763" s="6">
        <v>64</v>
      </c>
      <c r="U1763" s="6">
        <v>108</v>
      </c>
      <c r="V1763" s="6">
        <f>IF(ISERROR(VLOOKUP($S$1763,'TAR FIN'!$A$1:$O$115,15,0)),0,VLOOKUP($S$1763,'TAR FIN'!$A$1:$O$115,15,0))</f>
        <v>0</v>
      </c>
      <c r="W1763" s="6">
        <f>IF(ISERROR(VLOOKUP($T$1763,'TAR FIN'!$A$1:$O$115,15,0)),0,VLOOKUP($T$1763,'TAR FIN'!$A$1:$O$115,15,0))</f>
        <v>1303.25</v>
      </c>
      <c r="X1763" s="6">
        <f>IF(ISERROR(VLOOKUP($U$1763,'TAR FIN'!$A$1:$O$115,15,0)),0,VLOOKUP($U$1763,'TAR FIN'!$A$1:$O$115,15,0))</f>
        <v>270.3</v>
      </c>
      <c r="Y1763" s="6"/>
      <c r="Z1763" s="6">
        <f ca="1">('TUSD BE'!$AM$62+'TUSD BF'!$AM$62+'TUSD CVA'!$AM$62)*1</f>
        <v>1335.5988600941293</v>
      </c>
      <c r="AA1763" s="6">
        <f>('TE BE'!$AB$45+'TE BF'!$AB$45+'TE CVA'!$AB$45)*1</f>
        <v>362.64398683254075</v>
      </c>
      <c r="AB1763" s="6">
        <f>$K$1763*$V$1763</f>
        <v>0</v>
      </c>
      <c r="AC1763" s="6">
        <f>$M$1763*$W$1763</f>
        <v>3.9097500000000003</v>
      </c>
      <c r="AD1763" s="6">
        <f>$O$1763*$X$1763</f>
        <v>0.81090000000000007</v>
      </c>
      <c r="AE1763" s="6">
        <f>$K$1763*$Y$1763</f>
        <v>0</v>
      </c>
      <c r="AF1763" s="6">
        <f ca="1">$M$1763*$Z$1763</f>
        <v>4.0067965802823879</v>
      </c>
      <c r="AG1763" s="6">
        <f>$O$1763*$AA$1763</f>
        <v>1.0879319604976223</v>
      </c>
    </row>
    <row r="1764" spans="1:33" ht="11.25" customHeight="1" x14ac:dyDescent="0.25">
      <c r="A1764" s="4" t="s">
        <v>21</v>
      </c>
      <c r="B1764" s="4" t="s">
        <v>39</v>
      </c>
      <c r="C1764" s="4" t="s">
        <v>35</v>
      </c>
      <c r="D1764" s="4" t="s">
        <v>40</v>
      </c>
      <c r="E1764" s="4" t="s">
        <v>25</v>
      </c>
      <c r="F1764" s="4" t="s">
        <v>25</v>
      </c>
      <c r="G1764" s="4" t="s">
        <v>25</v>
      </c>
      <c r="H1764" s="4" t="s">
        <v>36</v>
      </c>
      <c r="I1764" s="5">
        <v>44562</v>
      </c>
      <c r="J1764" s="6">
        <v>0</v>
      </c>
      <c r="K1764" s="6">
        <v>0</v>
      </c>
      <c r="L1764" s="6">
        <v>7.0000000000000001E-3</v>
      </c>
      <c r="M1764" s="6">
        <v>7.0000000000000001E-3</v>
      </c>
      <c r="N1764" s="6">
        <v>7.0000000000000001E-3</v>
      </c>
      <c r="O1764" s="6">
        <v>7.0000000000000001E-3</v>
      </c>
      <c r="P1764" s="6">
        <v>0</v>
      </c>
      <c r="Q1764" s="4" t="s">
        <v>26</v>
      </c>
      <c r="R1764" s="4">
        <v>0</v>
      </c>
      <c r="S1764" s="6">
        <v>0</v>
      </c>
      <c r="T1764" s="6">
        <v>64</v>
      </c>
      <c r="U1764" s="6">
        <v>108</v>
      </c>
      <c r="V1764" s="6">
        <f>IF(ISERROR(VLOOKUP($S$1764,'TAR FIN'!$A$1:$O$115,15,0)),0,VLOOKUP($S$1764,'TAR FIN'!$A$1:$O$115,15,0))</f>
        <v>0</v>
      </c>
      <c r="W1764" s="6">
        <f>IF(ISERROR(VLOOKUP($T$1764,'TAR FIN'!$A$1:$O$115,15,0)),0,VLOOKUP($T$1764,'TAR FIN'!$A$1:$O$115,15,0))</f>
        <v>1303.25</v>
      </c>
      <c r="X1764" s="6">
        <f>IF(ISERROR(VLOOKUP($U$1764,'TAR FIN'!$A$1:$O$115,15,0)),0,VLOOKUP($U$1764,'TAR FIN'!$A$1:$O$115,15,0))</f>
        <v>270.3</v>
      </c>
      <c r="Y1764" s="6"/>
      <c r="Z1764" s="6">
        <f ca="1">('TUSD BE'!$AM$62+'TUSD BF'!$AM$62+'TUSD CVA'!$AM$62)*1</f>
        <v>1335.5988600941293</v>
      </c>
      <c r="AA1764" s="6">
        <f>('TE BE'!$AB$45+'TE BF'!$AB$45+'TE CVA'!$AB$45)*1</f>
        <v>362.64398683254075</v>
      </c>
      <c r="AB1764" s="6">
        <f>$K$1764*$V$1764</f>
        <v>0</v>
      </c>
      <c r="AC1764" s="6">
        <f>$M$1764*$W$1764</f>
        <v>9.1227499999999999</v>
      </c>
      <c r="AD1764" s="6">
        <f>$O$1764*$X$1764</f>
        <v>1.8921000000000001</v>
      </c>
      <c r="AE1764" s="6">
        <f>$K$1764*$Y$1764</f>
        <v>0</v>
      </c>
      <c r="AF1764" s="6">
        <f ca="1">$M$1764*$Z$1764</f>
        <v>9.3491920206589061</v>
      </c>
      <c r="AG1764" s="6">
        <f>$O$1764*$AA$1764</f>
        <v>2.5385079078277855</v>
      </c>
    </row>
    <row r="1765" spans="1:33" ht="11.25" customHeight="1" x14ac:dyDescent="0.25">
      <c r="A1765" s="4" t="s">
        <v>21</v>
      </c>
      <c r="B1765" s="4" t="s">
        <v>39</v>
      </c>
      <c r="C1765" s="4" t="s">
        <v>35</v>
      </c>
      <c r="D1765" s="4" t="s">
        <v>40</v>
      </c>
      <c r="E1765" s="4" t="s">
        <v>25</v>
      </c>
      <c r="F1765" s="4" t="s">
        <v>25</v>
      </c>
      <c r="G1765" s="4" t="s">
        <v>25</v>
      </c>
      <c r="H1765" s="4" t="s">
        <v>36</v>
      </c>
      <c r="I1765" s="5">
        <v>44593</v>
      </c>
      <c r="J1765" s="6">
        <v>0</v>
      </c>
      <c r="K1765" s="6">
        <v>0</v>
      </c>
      <c r="L1765" s="6">
        <v>3.0000000000000001E-3</v>
      </c>
      <c r="M1765" s="6">
        <v>3.0000000000000001E-3</v>
      </c>
      <c r="N1765" s="6">
        <v>3.0000000000000001E-3</v>
      </c>
      <c r="O1765" s="6">
        <v>3.0000000000000001E-3</v>
      </c>
      <c r="P1765" s="6">
        <v>0</v>
      </c>
      <c r="Q1765" s="4" t="s">
        <v>26</v>
      </c>
      <c r="R1765" s="4">
        <v>0</v>
      </c>
      <c r="S1765" s="6">
        <v>0</v>
      </c>
      <c r="T1765" s="6">
        <v>64</v>
      </c>
      <c r="U1765" s="6">
        <v>108</v>
      </c>
      <c r="V1765" s="6">
        <f>IF(ISERROR(VLOOKUP($S$1765,'TAR FIN'!$A$1:$O$115,15,0)),0,VLOOKUP($S$1765,'TAR FIN'!$A$1:$O$115,15,0))</f>
        <v>0</v>
      </c>
      <c r="W1765" s="6">
        <f>IF(ISERROR(VLOOKUP($T$1765,'TAR FIN'!$A$1:$O$115,15,0)),0,VLOOKUP($T$1765,'TAR FIN'!$A$1:$O$115,15,0))</f>
        <v>1303.25</v>
      </c>
      <c r="X1765" s="6">
        <f>IF(ISERROR(VLOOKUP($U$1765,'TAR FIN'!$A$1:$O$115,15,0)),0,VLOOKUP($U$1765,'TAR FIN'!$A$1:$O$115,15,0))</f>
        <v>270.3</v>
      </c>
      <c r="Y1765" s="6"/>
      <c r="Z1765" s="6">
        <f ca="1">('TUSD BE'!$AM$62+'TUSD BF'!$AM$62+'TUSD CVA'!$AM$62)*1</f>
        <v>1335.5988600941293</v>
      </c>
      <c r="AA1765" s="6">
        <f>('TE BE'!$AB$45+'TE BF'!$AB$45+'TE CVA'!$AB$45)*1</f>
        <v>362.64398683254075</v>
      </c>
      <c r="AB1765" s="6">
        <f>$K$1765*$V$1765</f>
        <v>0</v>
      </c>
      <c r="AC1765" s="6">
        <f>$M$1765*$W$1765</f>
        <v>3.9097500000000003</v>
      </c>
      <c r="AD1765" s="6">
        <f>$O$1765*$X$1765</f>
        <v>0.81090000000000007</v>
      </c>
      <c r="AE1765" s="6">
        <f>$K$1765*$Y$1765</f>
        <v>0</v>
      </c>
      <c r="AF1765" s="6">
        <f ca="1">$M$1765*$Z$1765</f>
        <v>4.0067965802823879</v>
      </c>
      <c r="AG1765" s="6">
        <f>$O$1765*$AA$1765</f>
        <v>1.0879319604976223</v>
      </c>
    </row>
    <row r="1766" spans="1:33" ht="11.25" customHeight="1" x14ac:dyDescent="0.25">
      <c r="A1766" s="4" t="s">
        <v>21</v>
      </c>
      <c r="B1766" s="4" t="s">
        <v>39</v>
      </c>
      <c r="C1766" s="4" t="s">
        <v>35</v>
      </c>
      <c r="D1766" s="4" t="s">
        <v>40</v>
      </c>
      <c r="E1766" s="4" t="s">
        <v>25</v>
      </c>
      <c r="F1766" s="4" t="s">
        <v>25</v>
      </c>
      <c r="G1766" s="4" t="s">
        <v>25</v>
      </c>
      <c r="H1766" s="4" t="s">
        <v>36</v>
      </c>
      <c r="I1766" s="5">
        <v>44621</v>
      </c>
      <c r="J1766" s="6">
        <v>0</v>
      </c>
      <c r="K1766" s="6">
        <v>0</v>
      </c>
      <c r="L1766" s="6">
        <v>2E-3</v>
      </c>
      <c r="M1766" s="6">
        <v>2E-3</v>
      </c>
      <c r="N1766" s="6">
        <v>2E-3</v>
      </c>
      <c r="O1766" s="6">
        <v>2E-3</v>
      </c>
      <c r="P1766" s="6">
        <v>0</v>
      </c>
      <c r="Q1766" s="4" t="s">
        <v>26</v>
      </c>
      <c r="R1766" s="4">
        <v>0</v>
      </c>
      <c r="S1766" s="6">
        <v>0</v>
      </c>
      <c r="T1766" s="6">
        <v>64</v>
      </c>
      <c r="U1766" s="6">
        <v>108</v>
      </c>
      <c r="V1766" s="6">
        <f>IF(ISERROR(VLOOKUP($S$1766,'TAR FIN'!$A$1:$O$115,15,0)),0,VLOOKUP($S$1766,'TAR FIN'!$A$1:$O$115,15,0))</f>
        <v>0</v>
      </c>
      <c r="W1766" s="6">
        <f>IF(ISERROR(VLOOKUP($T$1766,'TAR FIN'!$A$1:$O$115,15,0)),0,VLOOKUP($T$1766,'TAR FIN'!$A$1:$O$115,15,0))</f>
        <v>1303.25</v>
      </c>
      <c r="X1766" s="6">
        <f>IF(ISERROR(VLOOKUP($U$1766,'TAR FIN'!$A$1:$O$115,15,0)),0,VLOOKUP($U$1766,'TAR FIN'!$A$1:$O$115,15,0))</f>
        <v>270.3</v>
      </c>
      <c r="Y1766" s="6"/>
      <c r="Z1766" s="6">
        <f ca="1">('TUSD BE'!$AM$62+'TUSD BF'!$AM$62+'TUSD CVA'!$AM$62)*1</f>
        <v>1335.5988600941293</v>
      </c>
      <c r="AA1766" s="6">
        <f>('TE BE'!$AB$45+'TE BF'!$AB$45+'TE CVA'!$AB$45)*1</f>
        <v>362.64398683254075</v>
      </c>
      <c r="AB1766" s="6">
        <f>$K$1766*$V$1766</f>
        <v>0</v>
      </c>
      <c r="AC1766" s="6">
        <f>$M$1766*$W$1766</f>
        <v>2.6065</v>
      </c>
      <c r="AD1766" s="6">
        <f>$O$1766*$X$1766</f>
        <v>0.54060000000000008</v>
      </c>
      <c r="AE1766" s="6">
        <f>$K$1766*$Y$1766</f>
        <v>0</v>
      </c>
      <c r="AF1766" s="6">
        <f ca="1">$M$1766*$Z$1766</f>
        <v>2.6711977201882586</v>
      </c>
      <c r="AG1766" s="6">
        <f>$O$1766*$AA$1766</f>
        <v>0.72528797366508146</v>
      </c>
    </row>
    <row r="1767" spans="1:33" ht="11.25" customHeight="1" x14ac:dyDescent="0.25">
      <c r="A1767" s="4" t="s">
        <v>21</v>
      </c>
      <c r="B1767" s="4" t="s">
        <v>39</v>
      </c>
      <c r="C1767" s="4" t="s">
        <v>35</v>
      </c>
      <c r="D1767" s="4" t="s">
        <v>40</v>
      </c>
      <c r="E1767" s="4" t="s">
        <v>25</v>
      </c>
      <c r="F1767" s="4" t="s">
        <v>25</v>
      </c>
      <c r="G1767" s="4" t="s">
        <v>25</v>
      </c>
      <c r="H1767" s="4" t="s">
        <v>36</v>
      </c>
      <c r="I1767" s="5">
        <v>44652</v>
      </c>
      <c r="J1767" s="6">
        <v>0</v>
      </c>
      <c r="K1767" s="6">
        <v>0</v>
      </c>
      <c r="L1767" s="6">
        <v>6.0000000000000001E-3</v>
      </c>
      <c r="M1767" s="6">
        <v>6.0000000000000001E-3</v>
      </c>
      <c r="N1767" s="6">
        <v>6.0000000000000001E-3</v>
      </c>
      <c r="O1767" s="6">
        <v>6.0000000000000001E-3</v>
      </c>
      <c r="P1767" s="6">
        <v>0</v>
      </c>
      <c r="Q1767" s="4" t="s">
        <v>26</v>
      </c>
      <c r="R1767" s="4">
        <v>0</v>
      </c>
      <c r="S1767" s="6">
        <v>0</v>
      </c>
      <c r="T1767" s="6">
        <v>64</v>
      </c>
      <c r="U1767" s="6">
        <v>108</v>
      </c>
      <c r="V1767" s="6">
        <f>IF(ISERROR(VLOOKUP($S$1767,'TAR FIN'!$A$1:$O$115,15,0)),0,VLOOKUP($S$1767,'TAR FIN'!$A$1:$O$115,15,0))</f>
        <v>0</v>
      </c>
      <c r="W1767" s="6">
        <f>IF(ISERROR(VLOOKUP($T$1767,'TAR FIN'!$A$1:$O$115,15,0)),0,VLOOKUP($T$1767,'TAR FIN'!$A$1:$O$115,15,0))</f>
        <v>1303.25</v>
      </c>
      <c r="X1767" s="6">
        <f>IF(ISERROR(VLOOKUP($U$1767,'TAR FIN'!$A$1:$O$115,15,0)),0,VLOOKUP($U$1767,'TAR FIN'!$A$1:$O$115,15,0))</f>
        <v>270.3</v>
      </c>
      <c r="Y1767" s="6"/>
      <c r="Z1767" s="6">
        <f ca="1">('TUSD BE'!$AM$62+'TUSD BF'!$AM$62+'TUSD CVA'!$AM$62)*1</f>
        <v>1335.5988600941293</v>
      </c>
      <c r="AA1767" s="6">
        <f>('TE BE'!$AB$45+'TE BF'!$AB$45+'TE CVA'!$AB$45)*1</f>
        <v>362.64398683254075</v>
      </c>
      <c r="AB1767" s="6">
        <f>$K$1767*$V$1767</f>
        <v>0</v>
      </c>
      <c r="AC1767" s="6">
        <f>$M$1767*$W$1767</f>
        <v>7.8195000000000006</v>
      </c>
      <c r="AD1767" s="6">
        <f>$O$1767*$X$1767</f>
        <v>1.6218000000000001</v>
      </c>
      <c r="AE1767" s="6">
        <f>$K$1767*$Y$1767</f>
        <v>0</v>
      </c>
      <c r="AF1767" s="6">
        <f ca="1">$M$1767*$Z$1767</f>
        <v>8.0135931605647759</v>
      </c>
      <c r="AG1767" s="6">
        <f>$O$1767*$AA$1767</f>
        <v>2.1758639209952446</v>
      </c>
    </row>
    <row r="1768" spans="1:33" ht="11.25" customHeight="1" x14ac:dyDescent="0.25">
      <c r="A1768" s="4" t="s">
        <v>21</v>
      </c>
      <c r="B1768" s="4" t="s">
        <v>39</v>
      </c>
      <c r="C1768" s="4" t="s">
        <v>35</v>
      </c>
      <c r="D1768" s="4" t="s">
        <v>40</v>
      </c>
      <c r="E1768" s="4" t="s">
        <v>25</v>
      </c>
      <c r="F1768" s="4" t="s">
        <v>25</v>
      </c>
      <c r="G1768" s="4" t="s">
        <v>25</v>
      </c>
      <c r="H1768" s="4" t="s">
        <v>36</v>
      </c>
      <c r="I1768" s="5">
        <v>44682</v>
      </c>
      <c r="J1768" s="6">
        <v>0</v>
      </c>
      <c r="K1768" s="6">
        <v>0</v>
      </c>
      <c r="L1768" s="6">
        <v>4.0000000000000001E-3</v>
      </c>
      <c r="M1768" s="6">
        <v>4.0000000000000001E-3</v>
      </c>
      <c r="N1768" s="6">
        <v>4.0000000000000001E-3</v>
      </c>
      <c r="O1768" s="6">
        <v>4.0000000000000001E-3</v>
      </c>
      <c r="P1768" s="6">
        <v>0</v>
      </c>
      <c r="Q1768" s="4" t="s">
        <v>26</v>
      </c>
      <c r="R1768" s="4">
        <v>0</v>
      </c>
      <c r="S1768" s="6">
        <v>0</v>
      </c>
      <c r="T1768" s="6">
        <v>64</v>
      </c>
      <c r="U1768" s="6">
        <v>108</v>
      </c>
      <c r="V1768" s="6">
        <f>IF(ISERROR(VLOOKUP($S$1768,'TAR FIN'!$A$1:$O$115,15,0)),0,VLOOKUP($S$1768,'TAR FIN'!$A$1:$O$115,15,0))</f>
        <v>0</v>
      </c>
      <c r="W1768" s="6">
        <f>IF(ISERROR(VLOOKUP($T$1768,'TAR FIN'!$A$1:$O$115,15,0)),0,VLOOKUP($T$1768,'TAR FIN'!$A$1:$O$115,15,0))</f>
        <v>1303.25</v>
      </c>
      <c r="X1768" s="6">
        <f>IF(ISERROR(VLOOKUP($U$1768,'TAR FIN'!$A$1:$O$115,15,0)),0,VLOOKUP($U$1768,'TAR FIN'!$A$1:$O$115,15,0))</f>
        <v>270.3</v>
      </c>
      <c r="Y1768" s="6"/>
      <c r="Z1768" s="6">
        <f ca="1">('TUSD BE'!$AM$62+'TUSD BF'!$AM$62+'TUSD CVA'!$AM$62)*1</f>
        <v>1335.5988600941293</v>
      </c>
      <c r="AA1768" s="6">
        <f>('TE BE'!$AB$45+'TE BF'!$AB$45+'TE CVA'!$AB$45)*1</f>
        <v>362.64398683254075</v>
      </c>
      <c r="AB1768" s="6">
        <f>$K$1768*$V$1768</f>
        <v>0</v>
      </c>
      <c r="AC1768" s="6">
        <f>$M$1768*$W$1768</f>
        <v>5.2130000000000001</v>
      </c>
      <c r="AD1768" s="6">
        <f>$O$1768*$X$1768</f>
        <v>1.0812000000000002</v>
      </c>
      <c r="AE1768" s="6">
        <f>$K$1768*$Y$1768</f>
        <v>0</v>
      </c>
      <c r="AF1768" s="6">
        <f ca="1">$M$1768*$Z$1768</f>
        <v>5.3423954403765173</v>
      </c>
      <c r="AG1768" s="6">
        <f>$O$1768*$AA$1768</f>
        <v>1.4505759473301629</v>
      </c>
    </row>
    <row r="1769" spans="1:33" ht="11.25" customHeight="1" x14ac:dyDescent="0.25">
      <c r="A1769" s="4" t="s">
        <v>21</v>
      </c>
      <c r="B1769" s="4" t="s">
        <v>39</v>
      </c>
      <c r="C1769" s="4" t="s">
        <v>35</v>
      </c>
      <c r="D1769" s="4" t="s">
        <v>40</v>
      </c>
      <c r="E1769" s="4" t="s">
        <v>25</v>
      </c>
      <c r="F1769" s="4" t="s">
        <v>25</v>
      </c>
      <c r="G1769" s="4" t="s">
        <v>25</v>
      </c>
      <c r="H1769" s="4" t="s">
        <v>36</v>
      </c>
      <c r="I1769" s="5">
        <v>44713</v>
      </c>
      <c r="J1769" s="6">
        <v>0</v>
      </c>
      <c r="K1769" s="6">
        <v>0</v>
      </c>
      <c r="L1769" s="6">
        <v>7.0000000000000001E-3</v>
      </c>
      <c r="M1769" s="6">
        <v>7.0000000000000001E-3</v>
      </c>
      <c r="N1769" s="6">
        <v>7.0000000000000001E-3</v>
      </c>
      <c r="O1769" s="6">
        <v>7.0000000000000001E-3</v>
      </c>
      <c r="P1769" s="6">
        <v>0</v>
      </c>
      <c r="Q1769" s="4" t="s">
        <v>26</v>
      </c>
      <c r="R1769" s="4">
        <v>0</v>
      </c>
      <c r="S1769" s="6">
        <v>0</v>
      </c>
      <c r="T1769" s="6">
        <v>64</v>
      </c>
      <c r="U1769" s="6">
        <v>108</v>
      </c>
      <c r="V1769" s="6">
        <f>IF(ISERROR(VLOOKUP($S$1769,'TAR FIN'!$A$1:$O$115,15,0)),0,VLOOKUP($S$1769,'TAR FIN'!$A$1:$O$115,15,0))</f>
        <v>0</v>
      </c>
      <c r="W1769" s="6">
        <f>IF(ISERROR(VLOOKUP($T$1769,'TAR FIN'!$A$1:$O$115,15,0)),0,VLOOKUP($T$1769,'TAR FIN'!$A$1:$O$115,15,0))</f>
        <v>1303.25</v>
      </c>
      <c r="X1769" s="6">
        <f>IF(ISERROR(VLOOKUP($U$1769,'TAR FIN'!$A$1:$O$115,15,0)),0,VLOOKUP($U$1769,'TAR FIN'!$A$1:$O$115,15,0))</f>
        <v>270.3</v>
      </c>
      <c r="Y1769" s="6"/>
      <c r="Z1769" s="6">
        <f ca="1">('TUSD BE'!$AM$62+'TUSD BF'!$AM$62+'TUSD CVA'!$AM$62)*1</f>
        <v>1335.5988600941293</v>
      </c>
      <c r="AA1769" s="6">
        <f>('TE BE'!$AB$45+'TE BF'!$AB$45+'TE CVA'!$AB$45)*1</f>
        <v>362.64398683254075</v>
      </c>
      <c r="AB1769" s="6">
        <f>$K$1769*$V$1769</f>
        <v>0</v>
      </c>
      <c r="AC1769" s="6">
        <f>$M$1769*$W$1769</f>
        <v>9.1227499999999999</v>
      </c>
      <c r="AD1769" s="6">
        <f>$O$1769*$X$1769</f>
        <v>1.8921000000000001</v>
      </c>
      <c r="AE1769" s="6">
        <f>$K$1769*$Y$1769</f>
        <v>0</v>
      </c>
      <c r="AF1769" s="6">
        <f ca="1">$M$1769*$Z$1769</f>
        <v>9.3491920206589061</v>
      </c>
      <c r="AG1769" s="6">
        <f>$O$1769*$AA$1769</f>
        <v>2.5385079078277855</v>
      </c>
    </row>
    <row r="1770" spans="1:33" ht="11.25" customHeight="1" x14ac:dyDescent="0.25">
      <c r="A1770" s="4" t="s">
        <v>21</v>
      </c>
      <c r="B1770" s="4" t="s">
        <v>39</v>
      </c>
      <c r="C1770" s="4" t="s">
        <v>35</v>
      </c>
      <c r="D1770" s="4" t="s">
        <v>40</v>
      </c>
      <c r="E1770" s="4" t="s">
        <v>25</v>
      </c>
      <c r="F1770" s="4" t="s">
        <v>25</v>
      </c>
      <c r="G1770" s="4" t="s">
        <v>25</v>
      </c>
      <c r="H1770" s="4" t="s">
        <v>36</v>
      </c>
      <c r="I1770" s="5">
        <v>44743</v>
      </c>
      <c r="J1770" s="6">
        <v>0</v>
      </c>
      <c r="K1770" s="6">
        <v>0</v>
      </c>
      <c r="L1770" s="6">
        <v>3.0000000000000001E-3</v>
      </c>
      <c r="M1770" s="6">
        <v>3.0000000000000001E-3</v>
      </c>
      <c r="N1770" s="6">
        <v>3.0000000000000001E-3</v>
      </c>
      <c r="O1770" s="6">
        <v>3.0000000000000001E-3</v>
      </c>
      <c r="P1770" s="6">
        <v>0</v>
      </c>
      <c r="Q1770" s="4" t="s">
        <v>26</v>
      </c>
      <c r="R1770" s="4">
        <v>0</v>
      </c>
      <c r="S1770" s="6">
        <v>0</v>
      </c>
      <c r="T1770" s="6">
        <v>64</v>
      </c>
      <c r="U1770" s="6">
        <v>108</v>
      </c>
      <c r="V1770" s="6">
        <f>IF(ISERROR(VLOOKUP($S$1770,'TAR FIN'!$A$1:$O$115,15,0)),0,VLOOKUP($S$1770,'TAR FIN'!$A$1:$O$115,15,0))</f>
        <v>0</v>
      </c>
      <c r="W1770" s="6">
        <f>IF(ISERROR(VLOOKUP($T$1770,'TAR FIN'!$A$1:$O$115,15,0)),0,VLOOKUP($T$1770,'TAR FIN'!$A$1:$O$115,15,0))</f>
        <v>1303.25</v>
      </c>
      <c r="X1770" s="6">
        <f>IF(ISERROR(VLOOKUP($U$1770,'TAR FIN'!$A$1:$O$115,15,0)),0,VLOOKUP($U$1770,'TAR FIN'!$A$1:$O$115,15,0))</f>
        <v>270.3</v>
      </c>
      <c r="Y1770" s="6"/>
      <c r="Z1770" s="6">
        <f ca="1">('TUSD BE'!$AM$62+'TUSD BF'!$AM$62+'TUSD CVA'!$AM$62)*1</f>
        <v>1335.5988600941293</v>
      </c>
      <c r="AA1770" s="6">
        <f>('TE BE'!$AB$45+'TE BF'!$AB$45+'TE CVA'!$AB$45)*1</f>
        <v>362.64398683254075</v>
      </c>
      <c r="AB1770" s="6">
        <f>$K$1770*$V$1770</f>
        <v>0</v>
      </c>
      <c r="AC1770" s="6">
        <f>$M$1770*$W$1770</f>
        <v>3.9097500000000003</v>
      </c>
      <c r="AD1770" s="6">
        <f>$O$1770*$X$1770</f>
        <v>0.81090000000000007</v>
      </c>
      <c r="AE1770" s="6">
        <f>$K$1770*$Y$1770</f>
        <v>0</v>
      </c>
      <c r="AF1770" s="6">
        <f ca="1">$M$1770*$Z$1770</f>
        <v>4.0067965802823879</v>
      </c>
      <c r="AG1770" s="6">
        <f>$O$1770*$AA$1770</f>
        <v>1.0879319604976223</v>
      </c>
    </row>
    <row r="1771" spans="1:33" ht="11.25" customHeight="1" x14ac:dyDescent="0.25">
      <c r="A1771" s="4" t="s">
        <v>21</v>
      </c>
      <c r="B1771" s="4" t="s">
        <v>39</v>
      </c>
      <c r="C1771" s="4" t="s">
        <v>35</v>
      </c>
      <c r="D1771" s="4" t="s">
        <v>40</v>
      </c>
      <c r="E1771" s="4" t="s">
        <v>25</v>
      </c>
      <c r="F1771" s="4" t="s">
        <v>25</v>
      </c>
      <c r="G1771" s="4" t="s">
        <v>25</v>
      </c>
      <c r="H1771" s="4" t="s">
        <v>36</v>
      </c>
      <c r="I1771" s="5">
        <v>44774</v>
      </c>
      <c r="J1771" s="6">
        <v>0</v>
      </c>
      <c r="K1771" s="6">
        <v>0</v>
      </c>
      <c r="L1771" s="6">
        <v>6.0000000000000001E-3</v>
      </c>
      <c r="M1771" s="6">
        <v>6.0000000000000001E-3</v>
      </c>
      <c r="N1771" s="6">
        <v>6.0000000000000001E-3</v>
      </c>
      <c r="O1771" s="6">
        <v>6.0000000000000001E-3</v>
      </c>
      <c r="P1771" s="6">
        <v>0</v>
      </c>
      <c r="Q1771" s="4" t="s">
        <v>26</v>
      </c>
      <c r="R1771" s="4">
        <v>0</v>
      </c>
      <c r="S1771" s="6">
        <v>0</v>
      </c>
      <c r="T1771" s="6">
        <v>64</v>
      </c>
      <c r="U1771" s="6">
        <v>108</v>
      </c>
      <c r="V1771" s="6">
        <f>IF(ISERROR(VLOOKUP($S$1771,'TAR FIN'!$A$1:$O$115,15,0)),0,VLOOKUP($S$1771,'TAR FIN'!$A$1:$O$115,15,0))</f>
        <v>0</v>
      </c>
      <c r="W1771" s="6">
        <f>IF(ISERROR(VLOOKUP($T$1771,'TAR FIN'!$A$1:$O$115,15,0)),0,VLOOKUP($T$1771,'TAR FIN'!$A$1:$O$115,15,0))</f>
        <v>1303.25</v>
      </c>
      <c r="X1771" s="6">
        <f>IF(ISERROR(VLOOKUP($U$1771,'TAR FIN'!$A$1:$O$115,15,0)),0,VLOOKUP($U$1771,'TAR FIN'!$A$1:$O$115,15,0))</f>
        <v>270.3</v>
      </c>
      <c r="Y1771" s="6"/>
      <c r="Z1771" s="6">
        <f ca="1">('TUSD BE'!$AM$62+'TUSD BF'!$AM$62+'TUSD CVA'!$AM$62)*1</f>
        <v>1335.5988600941293</v>
      </c>
      <c r="AA1771" s="6">
        <f>('TE BE'!$AB$45+'TE BF'!$AB$45+'TE CVA'!$AB$45)*1</f>
        <v>362.64398683254075</v>
      </c>
      <c r="AB1771" s="6">
        <f>$K$1771*$V$1771</f>
        <v>0</v>
      </c>
      <c r="AC1771" s="6">
        <f>$M$1771*$W$1771</f>
        <v>7.8195000000000006</v>
      </c>
      <c r="AD1771" s="6">
        <f>$O$1771*$X$1771</f>
        <v>1.6218000000000001</v>
      </c>
      <c r="AE1771" s="6">
        <f>$K$1771*$Y$1771</f>
        <v>0</v>
      </c>
      <c r="AF1771" s="6">
        <f ca="1">$M$1771*$Z$1771</f>
        <v>8.0135931605647759</v>
      </c>
      <c r="AG1771" s="6">
        <f>$O$1771*$AA$1771</f>
        <v>2.1758639209952446</v>
      </c>
    </row>
    <row r="1772" spans="1:33" ht="11.25" customHeight="1" x14ac:dyDescent="0.25">
      <c r="A1772" s="4" t="s">
        <v>21</v>
      </c>
      <c r="B1772" s="4" t="s">
        <v>39</v>
      </c>
      <c r="C1772" s="4" t="s">
        <v>35</v>
      </c>
      <c r="D1772" s="4" t="s">
        <v>40</v>
      </c>
      <c r="E1772" s="4" t="s">
        <v>25</v>
      </c>
      <c r="F1772" s="4" t="s">
        <v>25</v>
      </c>
      <c r="G1772" s="4" t="s">
        <v>25</v>
      </c>
      <c r="H1772" s="4" t="s">
        <v>36</v>
      </c>
      <c r="I1772" s="5">
        <v>44805</v>
      </c>
      <c r="J1772" s="6">
        <v>0</v>
      </c>
      <c r="K1772" s="6">
        <v>0</v>
      </c>
      <c r="L1772" s="6">
        <v>3.0000000000000001E-3</v>
      </c>
      <c r="M1772" s="6">
        <v>3.0000000000000001E-3</v>
      </c>
      <c r="N1772" s="6">
        <v>3.0000000000000001E-3</v>
      </c>
      <c r="O1772" s="6">
        <v>3.0000000000000001E-3</v>
      </c>
      <c r="P1772" s="6">
        <v>0</v>
      </c>
      <c r="Q1772" s="4" t="s">
        <v>26</v>
      </c>
      <c r="R1772" s="4">
        <v>0</v>
      </c>
      <c r="S1772" s="6">
        <v>0</v>
      </c>
      <c r="T1772" s="6">
        <v>64</v>
      </c>
      <c r="U1772" s="6">
        <v>108</v>
      </c>
      <c r="V1772" s="6">
        <f>IF(ISERROR(VLOOKUP($S$1772,'TAR FIN'!$A$1:$O$115,15,0)),0,VLOOKUP($S$1772,'TAR FIN'!$A$1:$O$115,15,0))</f>
        <v>0</v>
      </c>
      <c r="W1772" s="6">
        <f>IF(ISERROR(VLOOKUP($T$1772,'TAR FIN'!$A$1:$O$115,15,0)),0,VLOOKUP($T$1772,'TAR FIN'!$A$1:$O$115,15,0))</f>
        <v>1303.25</v>
      </c>
      <c r="X1772" s="6">
        <f>IF(ISERROR(VLOOKUP($U$1772,'TAR FIN'!$A$1:$O$115,15,0)),0,VLOOKUP($U$1772,'TAR FIN'!$A$1:$O$115,15,0))</f>
        <v>270.3</v>
      </c>
      <c r="Y1772" s="6"/>
      <c r="Z1772" s="6">
        <f ca="1">('TUSD BE'!$AM$62+'TUSD BF'!$AM$62+'TUSD CVA'!$AM$62)*1</f>
        <v>1335.5988600941293</v>
      </c>
      <c r="AA1772" s="6">
        <f>('TE BE'!$AB$45+'TE BF'!$AB$45+'TE CVA'!$AB$45)*1</f>
        <v>362.64398683254075</v>
      </c>
      <c r="AB1772" s="6">
        <f>$K$1772*$V$1772</f>
        <v>0</v>
      </c>
      <c r="AC1772" s="6">
        <f>$M$1772*$W$1772</f>
        <v>3.9097500000000003</v>
      </c>
      <c r="AD1772" s="6">
        <f>$O$1772*$X$1772</f>
        <v>0.81090000000000007</v>
      </c>
      <c r="AE1772" s="6">
        <f>$K$1772*$Y$1772</f>
        <v>0</v>
      </c>
      <c r="AF1772" s="6">
        <f ca="1">$M$1772*$Z$1772</f>
        <v>4.0067965802823879</v>
      </c>
      <c r="AG1772" s="6">
        <f>$O$1772*$AA$1772</f>
        <v>1.0879319604976223</v>
      </c>
    </row>
    <row r="1773" spans="1:33" ht="11.25" customHeight="1" x14ac:dyDescent="0.25">
      <c r="A1773" s="4" t="s">
        <v>21</v>
      </c>
      <c r="B1773" s="4" t="s">
        <v>39</v>
      </c>
      <c r="C1773" s="4" t="s">
        <v>35</v>
      </c>
      <c r="D1773" s="4" t="s">
        <v>40</v>
      </c>
      <c r="E1773" s="4" t="s">
        <v>25</v>
      </c>
      <c r="F1773" s="4" t="s">
        <v>25</v>
      </c>
      <c r="G1773" s="4" t="s">
        <v>25</v>
      </c>
      <c r="H1773" s="4" t="s">
        <v>36</v>
      </c>
      <c r="I1773" s="5">
        <v>44835</v>
      </c>
      <c r="J1773" s="6">
        <v>0</v>
      </c>
      <c r="K1773" s="6">
        <v>0</v>
      </c>
      <c r="L1773" s="6">
        <v>3.0000000000000001E-3</v>
      </c>
      <c r="M1773" s="6">
        <v>3.0000000000000001E-3</v>
      </c>
      <c r="N1773" s="6">
        <v>3.0000000000000001E-3</v>
      </c>
      <c r="O1773" s="6">
        <v>3.0000000000000001E-3</v>
      </c>
      <c r="P1773" s="6">
        <v>0</v>
      </c>
      <c r="Q1773" s="4" t="s">
        <v>26</v>
      </c>
      <c r="R1773" s="4">
        <v>0</v>
      </c>
      <c r="S1773" s="6">
        <v>0</v>
      </c>
      <c r="T1773" s="6">
        <v>64</v>
      </c>
      <c r="U1773" s="6">
        <v>108</v>
      </c>
      <c r="V1773" s="6">
        <f>IF(ISERROR(VLOOKUP($S$1773,'TAR FIN'!$A$1:$O$115,15,0)),0,VLOOKUP($S$1773,'TAR FIN'!$A$1:$O$115,15,0))</f>
        <v>0</v>
      </c>
      <c r="W1773" s="6">
        <f>IF(ISERROR(VLOOKUP($T$1773,'TAR FIN'!$A$1:$O$115,15,0)),0,VLOOKUP($T$1773,'TAR FIN'!$A$1:$O$115,15,0))</f>
        <v>1303.25</v>
      </c>
      <c r="X1773" s="6">
        <f>IF(ISERROR(VLOOKUP($U$1773,'TAR FIN'!$A$1:$O$115,15,0)),0,VLOOKUP($U$1773,'TAR FIN'!$A$1:$O$115,15,0))</f>
        <v>270.3</v>
      </c>
      <c r="Y1773" s="6"/>
      <c r="Z1773" s="6">
        <f ca="1">('TUSD BE'!$AM$62+'TUSD BF'!$AM$62+'TUSD CVA'!$AM$62)*1</f>
        <v>1335.5988600941293</v>
      </c>
      <c r="AA1773" s="6">
        <f>('TE BE'!$AB$45+'TE BF'!$AB$45+'TE CVA'!$AB$45)*1</f>
        <v>362.64398683254075</v>
      </c>
      <c r="AB1773" s="6">
        <f>$K$1773*$V$1773</f>
        <v>0</v>
      </c>
      <c r="AC1773" s="6">
        <f>$M$1773*$W$1773</f>
        <v>3.9097500000000003</v>
      </c>
      <c r="AD1773" s="6">
        <f>$O$1773*$X$1773</f>
        <v>0.81090000000000007</v>
      </c>
      <c r="AE1773" s="6">
        <f>$K$1773*$Y$1773</f>
        <v>0</v>
      </c>
      <c r="AF1773" s="6">
        <f ca="1">$M$1773*$Z$1773</f>
        <v>4.0067965802823879</v>
      </c>
      <c r="AG1773" s="6">
        <f>$O$1773*$AA$1773</f>
        <v>1.0879319604976223</v>
      </c>
    </row>
    <row r="1774" spans="1:33" ht="11.25" customHeight="1" x14ac:dyDescent="0.25">
      <c r="A1774" s="4" t="s">
        <v>59</v>
      </c>
      <c r="B1774" s="4" t="s">
        <v>39</v>
      </c>
      <c r="C1774" s="4" t="s">
        <v>35</v>
      </c>
      <c r="D1774" s="4" t="s">
        <v>40</v>
      </c>
      <c r="E1774" s="4" t="s">
        <v>25</v>
      </c>
      <c r="F1774" s="4" t="s">
        <v>25</v>
      </c>
      <c r="G1774" s="4" t="s">
        <v>25</v>
      </c>
      <c r="H1774" s="4" t="s">
        <v>36</v>
      </c>
      <c r="I1774" s="5">
        <v>44866</v>
      </c>
      <c r="J1774" s="6">
        <v>0</v>
      </c>
      <c r="K1774" s="6">
        <v>0</v>
      </c>
      <c r="L1774" s="6">
        <v>3.0000000000000001E-3</v>
      </c>
      <c r="M1774" s="6">
        <v>3.0000000000000001E-3</v>
      </c>
      <c r="N1774" s="6">
        <v>3.0000000000000001E-3</v>
      </c>
      <c r="O1774" s="6">
        <v>3.0000000000000001E-3</v>
      </c>
      <c r="P1774" s="6">
        <v>0</v>
      </c>
      <c r="Q1774" s="4" t="s">
        <v>26</v>
      </c>
      <c r="R1774" s="4">
        <v>0</v>
      </c>
      <c r="S1774" s="6">
        <v>0</v>
      </c>
      <c r="T1774" s="6">
        <v>64</v>
      </c>
      <c r="U1774" s="6">
        <v>108</v>
      </c>
      <c r="V1774" s="6">
        <f>IF(ISERROR(VLOOKUP($S$1774,'TAR FIN'!$A$1:$O$115,15,0)),0,VLOOKUP($S$1774,'TAR FIN'!$A$1:$O$115,15,0))</f>
        <v>0</v>
      </c>
      <c r="W1774" s="6">
        <f>IF(ISERROR(VLOOKUP($T$1774,'TAR FIN'!$A$1:$O$115,15,0)),0,VLOOKUP($T$1774,'TAR FIN'!$A$1:$O$115,15,0))</f>
        <v>1303.25</v>
      </c>
      <c r="X1774" s="6">
        <f>IF(ISERROR(VLOOKUP($U$1774,'TAR FIN'!$A$1:$O$115,15,0)),0,VLOOKUP($U$1774,'TAR FIN'!$A$1:$O$115,15,0))</f>
        <v>270.3</v>
      </c>
      <c r="Y1774" s="6"/>
      <c r="Z1774" s="6">
        <f ca="1">('TUSD BE'!$AM$62+'TUSD BF'!$AM$62+'TUSD CVA'!$AM$62)*1</f>
        <v>1335.5988600941293</v>
      </c>
      <c r="AA1774" s="6">
        <f>('TE BE'!$AB$45+'TE BF'!$AB$45+'TE CVA'!$AB$45)*1</f>
        <v>362.64398683254075</v>
      </c>
      <c r="AB1774" s="6">
        <f>$K$1774*$V$1774</f>
        <v>0</v>
      </c>
      <c r="AC1774" s="6">
        <f>$M$1774*$W$1774</f>
        <v>3.9097500000000003</v>
      </c>
      <c r="AD1774" s="6">
        <f>$O$1774*$X$1774</f>
        <v>0.81090000000000007</v>
      </c>
      <c r="AE1774" s="6">
        <f>$K$1774*$Y$1774</f>
        <v>0</v>
      </c>
      <c r="AF1774" s="6">
        <f ca="1">$M$1774*$Z$1774</f>
        <v>4.0067965802823879</v>
      </c>
      <c r="AG1774" s="6">
        <f>$O$1774*$AA$1774</f>
        <v>1.0879319604976223</v>
      </c>
    </row>
    <row r="1775" spans="1:33" ht="11.25" customHeight="1" x14ac:dyDescent="0.25">
      <c r="A1775" s="4" t="s">
        <v>21</v>
      </c>
      <c r="B1775" s="4" t="s">
        <v>39</v>
      </c>
      <c r="C1775" s="4" t="s">
        <v>35</v>
      </c>
      <c r="D1775" s="4" t="s">
        <v>48</v>
      </c>
      <c r="E1775" s="4" t="s">
        <v>25</v>
      </c>
      <c r="F1775" s="4" t="s">
        <v>25</v>
      </c>
      <c r="G1775" s="4" t="s">
        <v>25</v>
      </c>
      <c r="H1775" s="4" t="s">
        <v>37</v>
      </c>
      <c r="I1775" s="5">
        <v>44531</v>
      </c>
      <c r="J1775" s="6">
        <v>0</v>
      </c>
      <c r="K1775" s="6">
        <v>0</v>
      </c>
      <c r="L1775" s="6">
        <v>7.5250000000000004</v>
      </c>
      <c r="M1775" s="6">
        <v>7.5250000000000004</v>
      </c>
      <c r="N1775" s="6">
        <v>7.5250000000000004</v>
      </c>
      <c r="O1775" s="6">
        <v>7.5250000000000004</v>
      </c>
      <c r="P1775" s="6">
        <v>0</v>
      </c>
      <c r="Q1775" s="4" t="s">
        <v>26</v>
      </c>
      <c r="R1775" s="4">
        <v>0</v>
      </c>
      <c r="S1775" s="6">
        <v>0</v>
      </c>
      <c r="T1775" s="6">
        <v>66</v>
      </c>
      <c r="U1775" s="6">
        <v>110</v>
      </c>
      <c r="V1775" s="6">
        <f>IF(ISERROR(VLOOKUP($S$1775,'TAR FIN'!$A$1:$O$115,15,0)),0,VLOOKUP($S$1775,'TAR FIN'!$A$1:$O$115,15,0))</f>
        <v>0</v>
      </c>
      <c r="W1775" s="6">
        <f>IF(ISERROR(VLOOKUP($T$1775,'TAR FIN'!$A$1:$O$115,15,0)),0,VLOOKUP($T$1775,'TAR FIN'!$A$1:$O$115,15,0))</f>
        <v>351.65</v>
      </c>
      <c r="X1775" s="6">
        <f>IF(ISERROR(VLOOKUP($U$1775,'TAR FIN'!$A$1:$O$115,15,0)),0,VLOOKUP($U$1775,'TAR FIN'!$A$1:$O$115,15,0))</f>
        <v>168.06</v>
      </c>
      <c r="Y1775" s="6"/>
      <c r="Z1775" s="6">
        <f ca="1">('TUSD BE'!$AM$64+'TUSD BF'!$AM$64+'TUSD CVA'!$AM$64)*1</f>
        <v>391.10237276676656</v>
      </c>
      <c r="AA1775" s="6">
        <f>('TE BE'!$AB$47+'TE BF'!$AB$47+'TE CVA'!$AB$47)*1</f>
        <v>218.6854278594964</v>
      </c>
      <c r="AB1775" s="6">
        <f>$K$1775*$V$1775</f>
        <v>0</v>
      </c>
      <c r="AC1775" s="6">
        <f>$M$1775*$W$1775</f>
        <v>2646.1662499999998</v>
      </c>
      <c r="AD1775" s="6">
        <f>$O$1775*$X$1775</f>
        <v>1264.6515000000002</v>
      </c>
      <c r="AE1775" s="6">
        <f>$K$1775*$Y$1775</f>
        <v>0</v>
      </c>
      <c r="AF1775" s="6">
        <f ca="1">$M$1775*$Z$1775</f>
        <v>2943.0453550699185</v>
      </c>
      <c r="AG1775" s="6">
        <f>$O$1775*$AA$1775</f>
        <v>1645.6078446427105</v>
      </c>
    </row>
    <row r="1776" spans="1:33" ht="11.25" customHeight="1" x14ac:dyDescent="0.25">
      <c r="A1776" s="4" t="s">
        <v>27</v>
      </c>
      <c r="B1776" s="4" t="s">
        <v>39</v>
      </c>
      <c r="C1776" s="4" t="s">
        <v>35</v>
      </c>
      <c r="D1776" s="4" t="s">
        <v>48</v>
      </c>
      <c r="E1776" s="4" t="s">
        <v>25</v>
      </c>
      <c r="F1776" s="4" t="s">
        <v>25</v>
      </c>
      <c r="G1776" s="4" t="s">
        <v>25</v>
      </c>
      <c r="H1776" s="4" t="s">
        <v>37</v>
      </c>
      <c r="I1776" s="5">
        <v>44531</v>
      </c>
      <c r="J1776" s="6">
        <v>0</v>
      </c>
      <c r="K1776" s="6">
        <v>0</v>
      </c>
      <c r="L1776" s="6">
        <v>1.369</v>
      </c>
      <c r="M1776" s="6">
        <v>1.369</v>
      </c>
      <c r="N1776" s="6">
        <v>1.369</v>
      </c>
      <c r="O1776" s="6">
        <v>1.369</v>
      </c>
      <c r="P1776" s="6">
        <v>0</v>
      </c>
      <c r="Q1776" s="4" t="s">
        <v>26</v>
      </c>
      <c r="R1776" s="4">
        <v>0</v>
      </c>
      <c r="S1776" s="6">
        <v>0</v>
      </c>
      <c r="T1776" s="6">
        <v>66</v>
      </c>
      <c r="U1776" s="6">
        <v>110</v>
      </c>
      <c r="V1776" s="6">
        <f>IF(ISERROR(VLOOKUP($S$1776,'TAR FIN'!$A$1:$O$115,15,0)),0,VLOOKUP($S$1776,'TAR FIN'!$A$1:$O$115,15,0))</f>
        <v>0</v>
      </c>
      <c r="W1776" s="6">
        <f>IF(ISERROR(VLOOKUP($T$1776,'TAR FIN'!$A$1:$O$115,15,0)),0,VLOOKUP($T$1776,'TAR FIN'!$A$1:$O$115,15,0))</f>
        <v>351.65</v>
      </c>
      <c r="X1776" s="6">
        <f>IF(ISERROR(VLOOKUP($U$1776,'TAR FIN'!$A$1:$O$115,15,0)),0,VLOOKUP($U$1776,'TAR FIN'!$A$1:$O$115,15,0))</f>
        <v>168.06</v>
      </c>
      <c r="Y1776" s="6"/>
      <c r="Z1776" s="6">
        <f ca="1">('TUSD BE'!$AM$64+'TUSD BF'!$AM$64+'TUSD CVA'!$AM$64)*1</f>
        <v>391.10237276676656</v>
      </c>
      <c r="AA1776" s="6">
        <f>('TE BE'!$AB$47+'TE BF'!$AB$47+'TE CVA'!$AB$47)*1</f>
        <v>218.6854278594964</v>
      </c>
      <c r="AB1776" s="6">
        <f>$K$1776*$V$1776</f>
        <v>0</v>
      </c>
      <c r="AC1776" s="6">
        <f>$M$1776*$W$1776</f>
        <v>481.40884999999997</v>
      </c>
      <c r="AD1776" s="6">
        <f>$O$1776*$X$1776</f>
        <v>230.07414</v>
      </c>
      <c r="AE1776" s="6">
        <f>$K$1776*$Y$1776</f>
        <v>0</v>
      </c>
      <c r="AF1776" s="6">
        <f ca="1">$M$1776*$Z$1776</f>
        <v>535.41914831770339</v>
      </c>
      <c r="AG1776" s="6">
        <f>$O$1776*$AA$1776</f>
        <v>299.38035073965057</v>
      </c>
    </row>
    <row r="1777" spans="1:33" ht="11.25" customHeight="1" x14ac:dyDescent="0.25">
      <c r="A1777" s="4" t="s">
        <v>21</v>
      </c>
      <c r="B1777" s="4" t="s">
        <v>39</v>
      </c>
      <c r="C1777" s="4" t="s">
        <v>35</v>
      </c>
      <c r="D1777" s="4" t="s">
        <v>48</v>
      </c>
      <c r="E1777" s="4" t="s">
        <v>25</v>
      </c>
      <c r="F1777" s="4" t="s">
        <v>25</v>
      </c>
      <c r="G1777" s="4" t="s">
        <v>25</v>
      </c>
      <c r="H1777" s="4" t="s">
        <v>37</v>
      </c>
      <c r="I1777" s="5">
        <v>44562</v>
      </c>
      <c r="J1777" s="6">
        <v>0</v>
      </c>
      <c r="K1777" s="6">
        <v>0</v>
      </c>
      <c r="L1777" s="6">
        <v>6.5129999999999999</v>
      </c>
      <c r="M1777" s="6">
        <v>6.5129999999999999</v>
      </c>
      <c r="N1777" s="6">
        <v>6.5129999999999999</v>
      </c>
      <c r="O1777" s="6">
        <v>6.5129999999999999</v>
      </c>
      <c r="P1777" s="6">
        <v>0</v>
      </c>
      <c r="Q1777" s="4" t="s">
        <v>26</v>
      </c>
      <c r="R1777" s="4">
        <v>0</v>
      </c>
      <c r="S1777" s="6">
        <v>0</v>
      </c>
      <c r="T1777" s="6">
        <v>66</v>
      </c>
      <c r="U1777" s="6">
        <v>110</v>
      </c>
      <c r="V1777" s="6">
        <f>IF(ISERROR(VLOOKUP($S$1777,'TAR FIN'!$A$1:$O$115,15,0)),0,VLOOKUP($S$1777,'TAR FIN'!$A$1:$O$115,15,0))</f>
        <v>0</v>
      </c>
      <c r="W1777" s="6">
        <f>IF(ISERROR(VLOOKUP($T$1777,'TAR FIN'!$A$1:$O$115,15,0)),0,VLOOKUP($T$1777,'TAR FIN'!$A$1:$O$115,15,0))</f>
        <v>351.65</v>
      </c>
      <c r="X1777" s="6">
        <f>IF(ISERROR(VLOOKUP($U$1777,'TAR FIN'!$A$1:$O$115,15,0)),0,VLOOKUP($U$1777,'TAR FIN'!$A$1:$O$115,15,0))</f>
        <v>168.06</v>
      </c>
      <c r="Y1777" s="6"/>
      <c r="Z1777" s="6">
        <f ca="1">('TUSD BE'!$AM$64+'TUSD BF'!$AM$64+'TUSD CVA'!$AM$64)*1</f>
        <v>391.10237276676656</v>
      </c>
      <c r="AA1777" s="6">
        <f>('TE BE'!$AB$47+'TE BF'!$AB$47+'TE CVA'!$AB$47)*1</f>
        <v>218.6854278594964</v>
      </c>
      <c r="AB1777" s="6">
        <f>$K$1777*$V$1777</f>
        <v>0</v>
      </c>
      <c r="AC1777" s="6">
        <f>$M$1777*$W$1777</f>
        <v>2290.2964499999998</v>
      </c>
      <c r="AD1777" s="6">
        <f>$O$1777*$X$1777</f>
        <v>1094.5747799999999</v>
      </c>
      <c r="AE1777" s="6">
        <f>$K$1777*$Y$1777</f>
        <v>0</v>
      </c>
      <c r="AF1777" s="6">
        <f ca="1">$M$1777*$Z$1777</f>
        <v>2547.2497538299508</v>
      </c>
      <c r="AG1777" s="6">
        <f>$O$1777*$AA$1777</f>
        <v>1424.2981916489</v>
      </c>
    </row>
    <row r="1778" spans="1:33" ht="11.25" customHeight="1" x14ac:dyDescent="0.25">
      <c r="A1778" s="4" t="s">
        <v>21</v>
      </c>
      <c r="B1778" s="4" t="s">
        <v>39</v>
      </c>
      <c r="C1778" s="4" t="s">
        <v>35</v>
      </c>
      <c r="D1778" s="4" t="s">
        <v>48</v>
      </c>
      <c r="E1778" s="4" t="s">
        <v>25</v>
      </c>
      <c r="F1778" s="4" t="s">
        <v>25</v>
      </c>
      <c r="G1778" s="4" t="s">
        <v>25</v>
      </c>
      <c r="H1778" s="4" t="s">
        <v>37</v>
      </c>
      <c r="I1778" s="5">
        <v>44593</v>
      </c>
      <c r="J1778" s="6">
        <v>0</v>
      </c>
      <c r="K1778" s="6">
        <v>0</v>
      </c>
      <c r="L1778" s="6">
        <v>5.2389999999999999</v>
      </c>
      <c r="M1778" s="6">
        <v>5.2389999999999999</v>
      </c>
      <c r="N1778" s="6">
        <v>5.2389999999999999</v>
      </c>
      <c r="O1778" s="6">
        <v>5.2389999999999999</v>
      </c>
      <c r="P1778" s="6">
        <v>0</v>
      </c>
      <c r="Q1778" s="4" t="s">
        <v>26</v>
      </c>
      <c r="R1778" s="4">
        <v>0</v>
      </c>
      <c r="S1778" s="6">
        <v>0</v>
      </c>
      <c r="T1778" s="6">
        <v>66</v>
      </c>
      <c r="U1778" s="6">
        <v>110</v>
      </c>
      <c r="V1778" s="6">
        <f>IF(ISERROR(VLOOKUP($S$1778,'TAR FIN'!$A$1:$O$115,15,0)),0,VLOOKUP($S$1778,'TAR FIN'!$A$1:$O$115,15,0))</f>
        <v>0</v>
      </c>
      <c r="W1778" s="6">
        <f>IF(ISERROR(VLOOKUP($T$1778,'TAR FIN'!$A$1:$O$115,15,0)),0,VLOOKUP($T$1778,'TAR FIN'!$A$1:$O$115,15,0))</f>
        <v>351.65</v>
      </c>
      <c r="X1778" s="6">
        <f>IF(ISERROR(VLOOKUP($U$1778,'TAR FIN'!$A$1:$O$115,15,0)),0,VLOOKUP($U$1778,'TAR FIN'!$A$1:$O$115,15,0))</f>
        <v>168.06</v>
      </c>
      <c r="Y1778" s="6"/>
      <c r="Z1778" s="6">
        <f ca="1">('TUSD BE'!$AM$64+'TUSD BF'!$AM$64+'TUSD CVA'!$AM$64)*1</f>
        <v>391.10237276676656</v>
      </c>
      <c r="AA1778" s="6">
        <f>('TE BE'!$AB$47+'TE BF'!$AB$47+'TE CVA'!$AB$47)*1</f>
        <v>218.6854278594964</v>
      </c>
      <c r="AB1778" s="6">
        <f>$K$1778*$V$1778</f>
        <v>0</v>
      </c>
      <c r="AC1778" s="6">
        <f>$M$1778*$W$1778</f>
        <v>1842.2943499999999</v>
      </c>
      <c r="AD1778" s="6">
        <f>$O$1778*$X$1778</f>
        <v>880.46633999999995</v>
      </c>
      <c r="AE1778" s="6">
        <f>$K$1778*$Y$1778</f>
        <v>0</v>
      </c>
      <c r="AF1778" s="6">
        <f ca="1">$M$1778*$Z$1778</f>
        <v>2048.9853309250898</v>
      </c>
      <c r="AG1778" s="6">
        <f>$O$1778*$AA$1778</f>
        <v>1145.6929565559017</v>
      </c>
    </row>
    <row r="1779" spans="1:33" ht="11.25" customHeight="1" x14ac:dyDescent="0.25">
      <c r="A1779" s="4" t="s">
        <v>21</v>
      </c>
      <c r="B1779" s="4" t="s">
        <v>39</v>
      </c>
      <c r="C1779" s="4" t="s">
        <v>35</v>
      </c>
      <c r="D1779" s="4" t="s">
        <v>48</v>
      </c>
      <c r="E1779" s="4" t="s">
        <v>25</v>
      </c>
      <c r="F1779" s="4" t="s">
        <v>25</v>
      </c>
      <c r="G1779" s="4" t="s">
        <v>25</v>
      </c>
      <c r="H1779" s="4" t="s">
        <v>37</v>
      </c>
      <c r="I1779" s="5">
        <v>44621</v>
      </c>
      <c r="J1779" s="6">
        <v>0</v>
      </c>
      <c r="K1779" s="6">
        <v>0</v>
      </c>
      <c r="L1779" s="6">
        <v>6.1890000000000001</v>
      </c>
      <c r="M1779" s="6">
        <v>6.1890000000000001</v>
      </c>
      <c r="N1779" s="6">
        <v>6.1890000000000001</v>
      </c>
      <c r="O1779" s="6">
        <v>6.1890000000000001</v>
      </c>
      <c r="P1779" s="6">
        <v>0</v>
      </c>
      <c r="Q1779" s="4" t="s">
        <v>26</v>
      </c>
      <c r="R1779" s="4">
        <v>0</v>
      </c>
      <c r="S1779" s="6">
        <v>0</v>
      </c>
      <c r="T1779" s="6">
        <v>66</v>
      </c>
      <c r="U1779" s="6">
        <v>110</v>
      </c>
      <c r="V1779" s="6">
        <f>IF(ISERROR(VLOOKUP($S$1779,'TAR FIN'!$A$1:$O$115,15,0)),0,VLOOKUP($S$1779,'TAR FIN'!$A$1:$O$115,15,0))</f>
        <v>0</v>
      </c>
      <c r="W1779" s="6">
        <f>IF(ISERROR(VLOOKUP($T$1779,'TAR FIN'!$A$1:$O$115,15,0)),0,VLOOKUP($T$1779,'TAR FIN'!$A$1:$O$115,15,0))</f>
        <v>351.65</v>
      </c>
      <c r="X1779" s="6">
        <f>IF(ISERROR(VLOOKUP($U$1779,'TAR FIN'!$A$1:$O$115,15,0)),0,VLOOKUP($U$1779,'TAR FIN'!$A$1:$O$115,15,0))</f>
        <v>168.06</v>
      </c>
      <c r="Y1779" s="6"/>
      <c r="Z1779" s="6">
        <f ca="1">('TUSD BE'!$AM$64+'TUSD BF'!$AM$64+'TUSD CVA'!$AM$64)*1</f>
        <v>391.10237276676656</v>
      </c>
      <c r="AA1779" s="6">
        <f>('TE BE'!$AB$47+'TE BF'!$AB$47+'TE CVA'!$AB$47)*1</f>
        <v>218.6854278594964</v>
      </c>
      <c r="AB1779" s="6">
        <f>$K$1779*$V$1779</f>
        <v>0</v>
      </c>
      <c r="AC1779" s="6">
        <f>$M$1779*$W$1779</f>
        <v>2176.3618499999998</v>
      </c>
      <c r="AD1779" s="6">
        <f>$O$1779*$X$1779</f>
        <v>1040.1233400000001</v>
      </c>
      <c r="AE1779" s="6">
        <f>$K$1779*$Y$1779</f>
        <v>0</v>
      </c>
      <c r="AF1779" s="6">
        <f ca="1">$M$1779*$Z$1779</f>
        <v>2420.5325850535182</v>
      </c>
      <c r="AG1779" s="6">
        <f>$O$1779*$AA$1779</f>
        <v>1353.4441130224232</v>
      </c>
    </row>
    <row r="1780" spans="1:33" ht="11.25" customHeight="1" x14ac:dyDescent="0.25">
      <c r="A1780" s="4" t="s">
        <v>21</v>
      </c>
      <c r="B1780" s="4" t="s">
        <v>39</v>
      </c>
      <c r="C1780" s="4" t="s">
        <v>35</v>
      </c>
      <c r="D1780" s="4" t="s">
        <v>48</v>
      </c>
      <c r="E1780" s="4" t="s">
        <v>25</v>
      </c>
      <c r="F1780" s="4" t="s">
        <v>25</v>
      </c>
      <c r="G1780" s="4" t="s">
        <v>25</v>
      </c>
      <c r="H1780" s="4" t="s">
        <v>37</v>
      </c>
      <c r="I1780" s="5">
        <v>44652</v>
      </c>
      <c r="J1780" s="6">
        <v>0</v>
      </c>
      <c r="K1780" s="6">
        <v>0</v>
      </c>
      <c r="L1780" s="6">
        <v>6.5919999999999996</v>
      </c>
      <c r="M1780" s="6">
        <v>6.5919999999999996</v>
      </c>
      <c r="N1780" s="6">
        <v>6.5919999999999996</v>
      </c>
      <c r="O1780" s="6">
        <v>6.5919999999999996</v>
      </c>
      <c r="P1780" s="6">
        <v>0</v>
      </c>
      <c r="Q1780" s="4" t="s">
        <v>26</v>
      </c>
      <c r="R1780" s="4">
        <v>0</v>
      </c>
      <c r="S1780" s="6">
        <v>0</v>
      </c>
      <c r="T1780" s="6">
        <v>66</v>
      </c>
      <c r="U1780" s="6">
        <v>110</v>
      </c>
      <c r="V1780" s="6">
        <f>IF(ISERROR(VLOOKUP($S$1780,'TAR FIN'!$A$1:$O$115,15,0)),0,VLOOKUP($S$1780,'TAR FIN'!$A$1:$O$115,15,0))</f>
        <v>0</v>
      </c>
      <c r="W1780" s="6">
        <f>IF(ISERROR(VLOOKUP($T$1780,'TAR FIN'!$A$1:$O$115,15,0)),0,VLOOKUP($T$1780,'TAR FIN'!$A$1:$O$115,15,0))</f>
        <v>351.65</v>
      </c>
      <c r="X1780" s="6">
        <f>IF(ISERROR(VLOOKUP($U$1780,'TAR FIN'!$A$1:$O$115,15,0)),0,VLOOKUP($U$1780,'TAR FIN'!$A$1:$O$115,15,0))</f>
        <v>168.06</v>
      </c>
      <c r="Y1780" s="6"/>
      <c r="Z1780" s="6">
        <f ca="1">('TUSD BE'!$AM$64+'TUSD BF'!$AM$64+'TUSD CVA'!$AM$64)*1</f>
        <v>391.10237276676656</v>
      </c>
      <c r="AA1780" s="6">
        <f>('TE BE'!$AB$47+'TE BF'!$AB$47+'TE CVA'!$AB$47)*1</f>
        <v>218.6854278594964</v>
      </c>
      <c r="AB1780" s="6">
        <f>$K$1780*$V$1780</f>
        <v>0</v>
      </c>
      <c r="AC1780" s="6">
        <f>$M$1780*$W$1780</f>
        <v>2318.0767999999998</v>
      </c>
      <c r="AD1780" s="6">
        <f>$O$1780*$X$1780</f>
        <v>1107.8515199999999</v>
      </c>
      <c r="AE1780" s="6">
        <f>$K$1780*$Y$1780</f>
        <v>0</v>
      </c>
      <c r="AF1780" s="6">
        <f ca="1">$M$1780*$Z$1780</f>
        <v>2578.1468412785252</v>
      </c>
      <c r="AG1780" s="6">
        <f>$O$1780*$AA$1780</f>
        <v>1441.5743404498003</v>
      </c>
    </row>
    <row r="1781" spans="1:33" ht="11.25" customHeight="1" x14ac:dyDescent="0.25">
      <c r="A1781" s="4" t="s">
        <v>27</v>
      </c>
      <c r="B1781" s="4" t="s">
        <v>39</v>
      </c>
      <c r="C1781" s="4" t="s">
        <v>35</v>
      </c>
      <c r="D1781" s="4" t="s">
        <v>48</v>
      </c>
      <c r="E1781" s="4" t="s">
        <v>25</v>
      </c>
      <c r="F1781" s="4" t="s">
        <v>25</v>
      </c>
      <c r="G1781" s="4" t="s">
        <v>25</v>
      </c>
      <c r="H1781" s="4" t="s">
        <v>37</v>
      </c>
      <c r="I1781" s="5">
        <v>44652</v>
      </c>
      <c r="J1781" s="6">
        <v>0</v>
      </c>
      <c r="K1781" s="6">
        <v>0</v>
      </c>
      <c r="L1781" s="6">
        <v>-1.0369999999999999</v>
      </c>
      <c r="M1781" s="6">
        <v>-1.0369999999999999</v>
      </c>
      <c r="N1781" s="6">
        <v>-1.0369999999999999</v>
      </c>
      <c r="O1781" s="6">
        <v>-1.0369999999999999</v>
      </c>
      <c r="P1781" s="6">
        <v>0</v>
      </c>
      <c r="Q1781" s="4" t="s">
        <v>26</v>
      </c>
      <c r="R1781" s="4">
        <v>0</v>
      </c>
      <c r="S1781" s="6">
        <v>0</v>
      </c>
      <c r="T1781" s="6">
        <v>66</v>
      </c>
      <c r="U1781" s="6">
        <v>110</v>
      </c>
      <c r="V1781" s="6">
        <f>IF(ISERROR(VLOOKUP($S$1781,'TAR FIN'!$A$1:$O$115,15,0)),0,VLOOKUP($S$1781,'TAR FIN'!$A$1:$O$115,15,0))</f>
        <v>0</v>
      </c>
      <c r="W1781" s="6">
        <f>IF(ISERROR(VLOOKUP($T$1781,'TAR FIN'!$A$1:$O$115,15,0)),0,VLOOKUP($T$1781,'TAR FIN'!$A$1:$O$115,15,0))</f>
        <v>351.65</v>
      </c>
      <c r="X1781" s="6">
        <f>IF(ISERROR(VLOOKUP($U$1781,'TAR FIN'!$A$1:$O$115,15,0)),0,VLOOKUP($U$1781,'TAR FIN'!$A$1:$O$115,15,0))</f>
        <v>168.06</v>
      </c>
      <c r="Y1781" s="6"/>
      <c r="Z1781" s="6">
        <f ca="1">('TUSD BE'!$AM$64+'TUSD BF'!$AM$64+'TUSD CVA'!$AM$64)*1</f>
        <v>391.10237276676656</v>
      </c>
      <c r="AA1781" s="6">
        <f>('TE BE'!$AB$47+'TE BF'!$AB$47+'TE CVA'!$AB$47)*1</f>
        <v>218.6854278594964</v>
      </c>
      <c r="AB1781" s="6">
        <f>$K$1781*$V$1781</f>
        <v>0</v>
      </c>
      <c r="AC1781" s="6">
        <f>$M$1781*$W$1781</f>
        <v>-364.66104999999993</v>
      </c>
      <c r="AD1781" s="6">
        <f>$O$1781*$X$1781</f>
        <v>-174.27821999999998</v>
      </c>
      <c r="AE1781" s="6">
        <f>$K$1781*$Y$1781</f>
        <v>0</v>
      </c>
      <c r="AF1781" s="6">
        <f ca="1">$M$1781*$Z$1781</f>
        <v>-405.57316055913691</v>
      </c>
      <c r="AG1781" s="6">
        <f>$O$1781*$AA$1781</f>
        <v>-226.77678869029776</v>
      </c>
    </row>
    <row r="1782" spans="1:33" ht="11.25" customHeight="1" x14ac:dyDescent="0.25">
      <c r="A1782" s="4" t="s">
        <v>21</v>
      </c>
      <c r="B1782" s="4" t="s">
        <v>39</v>
      </c>
      <c r="C1782" s="4" t="s">
        <v>35</v>
      </c>
      <c r="D1782" s="4" t="s">
        <v>48</v>
      </c>
      <c r="E1782" s="4" t="s">
        <v>25</v>
      </c>
      <c r="F1782" s="4" t="s">
        <v>25</v>
      </c>
      <c r="G1782" s="4" t="s">
        <v>25</v>
      </c>
      <c r="H1782" s="4" t="s">
        <v>37</v>
      </c>
      <c r="I1782" s="5">
        <v>44682</v>
      </c>
      <c r="J1782" s="6">
        <v>0</v>
      </c>
      <c r="K1782" s="6">
        <v>0</v>
      </c>
      <c r="L1782" s="6">
        <v>8.7040000000000006</v>
      </c>
      <c r="M1782" s="6">
        <v>8.7040000000000006</v>
      </c>
      <c r="N1782" s="6">
        <v>8.7040000000000006</v>
      </c>
      <c r="O1782" s="6">
        <v>8.7040000000000006</v>
      </c>
      <c r="P1782" s="6">
        <v>0</v>
      </c>
      <c r="Q1782" s="4" t="s">
        <v>26</v>
      </c>
      <c r="R1782" s="4">
        <v>0</v>
      </c>
      <c r="S1782" s="6">
        <v>0</v>
      </c>
      <c r="T1782" s="6">
        <v>66</v>
      </c>
      <c r="U1782" s="6">
        <v>110</v>
      </c>
      <c r="V1782" s="6">
        <f>IF(ISERROR(VLOOKUP($S$1782,'TAR FIN'!$A$1:$O$115,15,0)),0,VLOOKUP($S$1782,'TAR FIN'!$A$1:$O$115,15,0))</f>
        <v>0</v>
      </c>
      <c r="W1782" s="6">
        <f>IF(ISERROR(VLOOKUP($T$1782,'TAR FIN'!$A$1:$O$115,15,0)),0,VLOOKUP($T$1782,'TAR FIN'!$A$1:$O$115,15,0))</f>
        <v>351.65</v>
      </c>
      <c r="X1782" s="6">
        <f>IF(ISERROR(VLOOKUP($U$1782,'TAR FIN'!$A$1:$O$115,15,0)),0,VLOOKUP($U$1782,'TAR FIN'!$A$1:$O$115,15,0))</f>
        <v>168.06</v>
      </c>
      <c r="Y1782" s="6"/>
      <c r="Z1782" s="6">
        <f ca="1">('TUSD BE'!$AM$64+'TUSD BF'!$AM$64+'TUSD CVA'!$AM$64)*1</f>
        <v>391.10237276676656</v>
      </c>
      <c r="AA1782" s="6">
        <f>('TE BE'!$AB$47+'TE BF'!$AB$47+'TE CVA'!$AB$47)*1</f>
        <v>218.6854278594964</v>
      </c>
      <c r="AB1782" s="6">
        <f>$K$1782*$V$1782</f>
        <v>0</v>
      </c>
      <c r="AC1782" s="6">
        <f>$M$1782*$W$1782</f>
        <v>3060.7615999999998</v>
      </c>
      <c r="AD1782" s="6">
        <f>$O$1782*$X$1782</f>
        <v>1462.7942400000002</v>
      </c>
      <c r="AE1782" s="6">
        <f>$K$1782*$Y$1782</f>
        <v>0</v>
      </c>
      <c r="AF1782" s="6">
        <f ca="1">$M$1782*$Z$1782</f>
        <v>3404.1550525619364</v>
      </c>
      <c r="AG1782" s="6">
        <f>$O$1782*$AA$1782</f>
        <v>1903.4379640890568</v>
      </c>
    </row>
    <row r="1783" spans="1:33" ht="11.25" customHeight="1" x14ac:dyDescent="0.25">
      <c r="A1783" s="4" t="s">
        <v>21</v>
      </c>
      <c r="B1783" s="4" t="s">
        <v>39</v>
      </c>
      <c r="C1783" s="4" t="s">
        <v>35</v>
      </c>
      <c r="D1783" s="4" t="s">
        <v>48</v>
      </c>
      <c r="E1783" s="4" t="s">
        <v>25</v>
      </c>
      <c r="F1783" s="4" t="s">
        <v>25</v>
      </c>
      <c r="G1783" s="4" t="s">
        <v>25</v>
      </c>
      <c r="H1783" s="4" t="s">
        <v>37</v>
      </c>
      <c r="I1783" s="5">
        <v>44713</v>
      </c>
      <c r="J1783" s="6">
        <v>0</v>
      </c>
      <c r="K1783" s="6">
        <v>0</v>
      </c>
      <c r="L1783" s="6">
        <v>6.5490000000000004</v>
      </c>
      <c r="M1783" s="6">
        <v>6.5490000000000004</v>
      </c>
      <c r="N1783" s="6">
        <v>6.5490000000000004</v>
      </c>
      <c r="O1783" s="6">
        <v>6.5490000000000004</v>
      </c>
      <c r="P1783" s="6">
        <v>0</v>
      </c>
      <c r="Q1783" s="4" t="s">
        <v>26</v>
      </c>
      <c r="R1783" s="4">
        <v>0</v>
      </c>
      <c r="S1783" s="6">
        <v>0</v>
      </c>
      <c r="T1783" s="6">
        <v>66</v>
      </c>
      <c r="U1783" s="6">
        <v>110</v>
      </c>
      <c r="V1783" s="6">
        <f>IF(ISERROR(VLOOKUP($S$1783,'TAR FIN'!$A$1:$O$115,15,0)),0,VLOOKUP($S$1783,'TAR FIN'!$A$1:$O$115,15,0))</f>
        <v>0</v>
      </c>
      <c r="W1783" s="6">
        <f>IF(ISERROR(VLOOKUP($T$1783,'TAR FIN'!$A$1:$O$115,15,0)),0,VLOOKUP($T$1783,'TAR FIN'!$A$1:$O$115,15,0))</f>
        <v>351.65</v>
      </c>
      <c r="X1783" s="6">
        <f>IF(ISERROR(VLOOKUP($U$1783,'TAR FIN'!$A$1:$O$115,15,0)),0,VLOOKUP($U$1783,'TAR FIN'!$A$1:$O$115,15,0))</f>
        <v>168.06</v>
      </c>
      <c r="Y1783" s="6"/>
      <c r="Z1783" s="6">
        <f ca="1">('TUSD BE'!$AM$64+'TUSD BF'!$AM$64+'TUSD CVA'!$AM$64)*1</f>
        <v>391.10237276676656</v>
      </c>
      <c r="AA1783" s="6">
        <f>('TE BE'!$AB$47+'TE BF'!$AB$47+'TE CVA'!$AB$47)*1</f>
        <v>218.6854278594964</v>
      </c>
      <c r="AB1783" s="6">
        <f>$K$1783*$V$1783</f>
        <v>0</v>
      </c>
      <c r="AC1783" s="6">
        <f>$M$1783*$W$1783</f>
        <v>2302.9558499999998</v>
      </c>
      <c r="AD1783" s="6">
        <f>$O$1783*$X$1783</f>
        <v>1100.6249400000002</v>
      </c>
      <c r="AE1783" s="6">
        <f>$K$1783*$Y$1783</f>
        <v>0</v>
      </c>
      <c r="AF1783" s="6">
        <f ca="1">$M$1783*$Z$1783</f>
        <v>2561.3294392495545</v>
      </c>
      <c r="AG1783" s="6">
        <f>$O$1783*$AA$1783</f>
        <v>1432.1708670518419</v>
      </c>
    </row>
    <row r="1784" spans="1:33" ht="11.25" customHeight="1" x14ac:dyDescent="0.25">
      <c r="A1784" s="4" t="s">
        <v>28</v>
      </c>
      <c r="B1784" s="4" t="s">
        <v>39</v>
      </c>
      <c r="C1784" s="4" t="s">
        <v>35</v>
      </c>
      <c r="D1784" s="4" t="s">
        <v>48</v>
      </c>
      <c r="E1784" s="4" t="s">
        <v>25</v>
      </c>
      <c r="F1784" s="4" t="s">
        <v>25</v>
      </c>
      <c r="G1784" s="4" t="s">
        <v>25</v>
      </c>
      <c r="H1784" s="4" t="s">
        <v>37</v>
      </c>
      <c r="I1784" s="5">
        <v>44713</v>
      </c>
      <c r="J1784" s="6">
        <v>0</v>
      </c>
      <c r="K1784" s="6">
        <v>0</v>
      </c>
      <c r="L1784" s="6">
        <v>8.7999999999999995E-2</v>
      </c>
      <c r="M1784" s="6">
        <v>8.7999999999999995E-2</v>
      </c>
      <c r="N1784" s="6">
        <v>8.7999999999999995E-2</v>
      </c>
      <c r="O1784" s="6">
        <v>8.7999999999999995E-2</v>
      </c>
      <c r="P1784" s="6">
        <v>0</v>
      </c>
      <c r="Q1784" s="4" t="s">
        <v>26</v>
      </c>
      <c r="R1784" s="4">
        <v>0</v>
      </c>
      <c r="S1784" s="6">
        <v>0</v>
      </c>
      <c r="T1784" s="6">
        <v>66</v>
      </c>
      <c r="U1784" s="6">
        <v>110</v>
      </c>
      <c r="V1784" s="6">
        <f>IF(ISERROR(VLOOKUP($S$1784,'TAR FIN'!$A$1:$O$115,15,0)),0,VLOOKUP($S$1784,'TAR FIN'!$A$1:$O$115,15,0))</f>
        <v>0</v>
      </c>
      <c r="W1784" s="6">
        <f>IF(ISERROR(VLOOKUP($T$1784,'TAR FIN'!$A$1:$O$115,15,0)),0,VLOOKUP($T$1784,'TAR FIN'!$A$1:$O$115,15,0))</f>
        <v>351.65</v>
      </c>
      <c r="X1784" s="6">
        <f>IF(ISERROR(VLOOKUP($U$1784,'TAR FIN'!$A$1:$O$115,15,0)),0,VLOOKUP($U$1784,'TAR FIN'!$A$1:$O$115,15,0))</f>
        <v>168.06</v>
      </c>
      <c r="Y1784" s="6"/>
      <c r="Z1784" s="6">
        <f ca="1">('TUSD BE'!$AM$64+'TUSD BF'!$AM$64+'TUSD CVA'!$AM$64)*1</f>
        <v>391.10237276676656</v>
      </c>
      <c r="AA1784" s="6">
        <f>('TE BE'!$AB$47+'TE BF'!$AB$47+'TE CVA'!$AB$47)*1</f>
        <v>218.6854278594964</v>
      </c>
      <c r="AB1784" s="6">
        <f>$K$1784*$V$1784</f>
        <v>0</v>
      </c>
      <c r="AC1784" s="6">
        <f>$M$1784*$W$1784</f>
        <v>30.945199999999996</v>
      </c>
      <c r="AD1784" s="6">
        <f>$O$1784*$X$1784</f>
        <v>14.78928</v>
      </c>
      <c r="AE1784" s="6">
        <f>$K$1784*$Y$1784</f>
        <v>0</v>
      </c>
      <c r="AF1784" s="6">
        <f ca="1">$M$1784*$Z$1784</f>
        <v>34.417008803475454</v>
      </c>
      <c r="AG1784" s="6">
        <f>$O$1784*$AA$1784</f>
        <v>19.244317651635683</v>
      </c>
    </row>
    <row r="1785" spans="1:33" ht="11.25" customHeight="1" x14ac:dyDescent="0.25">
      <c r="A1785" s="4" t="s">
        <v>21</v>
      </c>
      <c r="B1785" s="4" t="s">
        <v>39</v>
      </c>
      <c r="C1785" s="4" t="s">
        <v>35</v>
      </c>
      <c r="D1785" s="4" t="s">
        <v>48</v>
      </c>
      <c r="E1785" s="4" t="s">
        <v>25</v>
      </c>
      <c r="F1785" s="4" t="s">
        <v>25</v>
      </c>
      <c r="G1785" s="4" t="s">
        <v>25</v>
      </c>
      <c r="H1785" s="4" t="s">
        <v>37</v>
      </c>
      <c r="I1785" s="5">
        <v>44743</v>
      </c>
      <c r="J1785" s="6">
        <v>0</v>
      </c>
      <c r="K1785" s="6">
        <v>0</v>
      </c>
      <c r="L1785" s="6">
        <v>8.452</v>
      </c>
      <c r="M1785" s="6">
        <v>8.452</v>
      </c>
      <c r="N1785" s="6">
        <v>8.452</v>
      </c>
      <c r="O1785" s="6">
        <v>8.452</v>
      </c>
      <c r="P1785" s="6">
        <v>0</v>
      </c>
      <c r="Q1785" s="4" t="s">
        <v>26</v>
      </c>
      <c r="R1785" s="4">
        <v>0</v>
      </c>
      <c r="S1785" s="6">
        <v>0</v>
      </c>
      <c r="T1785" s="6">
        <v>66</v>
      </c>
      <c r="U1785" s="6">
        <v>110</v>
      </c>
      <c r="V1785" s="6">
        <f>IF(ISERROR(VLOOKUP($S$1785,'TAR FIN'!$A$1:$O$115,15,0)),0,VLOOKUP($S$1785,'TAR FIN'!$A$1:$O$115,15,0))</f>
        <v>0</v>
      </c>
      <c r="W1785" s="6">
        <f>IF(ISERROR(VLOOKUP($T$1785,'TAR FIN'!$A$1:$O$115,15,0)),0,VLOOKUP($T$1785,'TAR FIN'!$A$1:$O$115,15,0))</f>
        <v>351.65</v>
      </c>
      <c r="X1785" s="6">
        <f>IF(ISERROR(VLOOKUP($U$1785,'TAR FIN'!$A$1:$O$115,15,0)),0,VLOOKUP($U$1785,'TAR FIN'!$A$1:$O$115,15,0))</f>
        <v>168.06</v>
      </c>
      <c r="Y1785" s="6"/>
      <c r="Z1785" s="6">
        <f ca="1">('TUSD BE'!$AM$64+'TUSD BF'!$AM$64+'TUSD CVA'!$AM$64)*1</f>
        <v>391.10237276676656</v>
      </c>
      <c r="AA1785" s="6">
        <f>('TE BE'!$AB$47+'TE BF'!$AB$47+'TE CVA'!$AB$47)*1</f>
        <v>218.6854278594964</v>
      </c>
      <c r="AB1785" s="6">
        <f>$K$1785*$V$1785</f>
        <v>0</v>
      </c>
      <c r="AC1785" s="6">
        <f>$M$1785*$W$1785</f>
        <v>2972.1457999999998</v>
      </c>
      <c r="AD1785" s="6">
        <f>$O$1785*$X$1785</f>
        <v>1420.4431199999999</v>
      </c>
      <c r="AE1785" s="6">
        <f>$K$1785*$Y$1785</f>
        <v>0</v>
      </c>
      <c r="AF1785" s="6">
        <f ca="1">$M$1785*$Z$1785</f>
        <v>3305.5972546247108</v>
      </c>
      <c r="AG1785" s="6">
        <f>$O$1785*$AA$1785</f>
        <v>1848.3292362684635</v>
      </c>
    </row>
    <row r="1786" spans="1:33" ht="11.25" customHeight="1" x14ac:dyDescent="0.25">
      <c r="A1786" s="4" t="s">
        <v>28</v>
      </c>
      <c r="B1786" s="4" t="s">
        <v>39</v>
      </c>
      <c r="C1786" s="4" t="s">
        <v>35</v>
      </c>
      <c r="D1786" s="4" t="s">
        <v>48</v>
      </c>
      <c r="E1786" s="4" t="s">
        <v>25</v>
      </c>
      <c r="F1786" s="4" t="s">
        <v>25</v>
      </c>
      <c r="G1786" s="4" t="s">
        <v>25</v>
      </c>
      <c r="H1786" s="4" t="s">
        <v>37</v>
      </c>
      <c r="I1786" s="5">
        <v>44743</v>
      </c>
      <c r="J1786" s="6">
        <v>0</v>
      </c>
      <c r="K1786" s="6">
        <v>0</v>
      </c>
      <c r="L1786" s="6">
        <v>0.24099999999999999</v>
      </c>
      <c r="M1786" s="6">
        <v>0.24099999999999999</v>
      </c>
      <c r="N1786" s="6">
        <v>0.24099999999999999</v>
      </c>
      <c r="O1786" s="6">
        <v>0.24099999999999999</v>
      </c>
      <c r="P1786" s="6">
        <v>0</v>
      </c>
      <c r="Q1786" s="4" t="s">
        <v>26</v>
      </c>
      <c r="R1786" s="4">
        <v>0</v>
      </c>
      <c r="S1786" s="6">
        <v>0</v>
      </c>
      <c r="T1786" s="6">
        <v>66</v>
      </c>
      <c r="U1786" s="6">
        <v>110</v>
      </c>
      <c r="V1786" s="6">
        <f>IF(ISERROR(VLOOKUP($S$1786,'TAR FIN'!$A$1:$O$115,15,0)),0,VLOOKUP($S$1786,'TAR FIN'!$A$1:$O$115,15,0))</f>
        <v>0</v>
      </c>
      <c r="W1786" s="6">
        <f>IF(ISERROR(VLOOKUP($T$1786,'TAR FIN'!$A$1:$O$115,15,0)),0,VLOOKUP($T$1786,'TAR FIN'!$A$1:$O$115,15,0))</f>
        <v>351.65</v>
      </c>
      <c r="X1786" s="6">
        <f>IF(ISERROR(VLOOKUP($U$1786,'TAR FIN'!$A$1:$O$115,15,0)),0,VLOOKUP($U$1786,'TAR FIN'!$A$1:$O$115,15,0))</f>
        <v>168.06</v>
      </c>
      <c r="Y1786" s="6"/>
      <c r="Z1786" s="6">
        <f ca="1">('TUSD BE'!$AM$64+'TUSD BF'!$AM$64+'TUSD CVA'!$AM$64)*1</f>
        <v>391.10237276676656</v>
      </c>
      <c r="AA1786" s="6">
        <f>('TE BE'!$AB$47+'TE BF'!$AB$47+'TE CVA'!$AB$47)*1</f>
        <v>218.6854278594964</v>
      </c>
      <c r="AB1786" s="6">
        <f>$K$1786*$V$1786</f>
        <v>0</v>
      </c>
      <c r="AC1786" s="6">
        <f>$M$1786*$W$1786</f>
        <v>84.747649999999993</v>
      </c>
      <c r="AD1786" s="6">
        <f>$O$1786*$X$1786</f>
        <v>40.502459999999999</v>
      </c>
      <c r="AE1786" s="6">
        <f>$K$1786*$Y$1786</f>
        <v>0</v>
      </c>
      <c r="AF1786" s="6">
        <f ca="1">$M$1786*$Z$1786</f>
        <v>94.255671836790739</v>
      </c>
      <c r="AG1786" s="6">
        <f>$O$1786*$AA$1786</f>
        <v>52.703188114138634</v>
      </c>
    </row>
    <row r="1787" spans="1:33" ht="11.25" customHeight="1" x14ac:dyDescent="0.25">
      <c r="A1787" s="4" t="s">
        <v>21</v>
      </c>
      <c r="B1787" s="4" t="s">
        <v>39</v>
      </c>
      <c r="C1787" s="4" t="s">
        <v>35</v>
      </c>
      <c r="D1787" s="4" t="s">
        <v>48</v>
      </c>
      <c r="E1787" s="4" t="s">
        <v>25</v>
      </c>
      <c r="F1787" s="4" t="s">
        <v>25</v>
      </c>
      <c r="G1787" s="4" t="s">
        <v>25</v>
      </c>
      <c r="H1787" s="4" t="s">
        <v>37</v>
      </c>
      <c r="I1787" s="5">
        <v>44774</v>
      </c>
      <c r="J1787" s="6">
        <v>0</v>
      </c>
      <c r="K1787" s="6">
        <v>0</v>
      </c>
      <c r="L1787" s="6">
        <v>7.8049999999999997</v>
      </c>
      <c r="M1787" s="6">
        <v>7.8049999999999997</v>
      </c>
      <c r="N1787" s="6">
        <v>7.8049999999999997</v>
      </c>
      <c r="O1787" s="6">
        <v>7.8049999999999997</v>
      </c>
      <c r="P1787" s="6">
        <v>0</v>
      </c>
      <c r="Q1787" s="4" t="s">
        <v>26</v>
      </c>
      <c r="R1787" s="4">
        <v>0</v>
      </c>
      <c r="S1787" s="6">
        <v>0</v>
      </c>
      <c r="T1787" s="6">
        <v>66</v>
      </c>
      <c r="U1787" s="6">
        <v>110</v>
      </c>
      <c r="V1787" s="6">
        <f>IF(ISERROR(VLOOKUP($S$1787,'TAR FIN'!$A$1:$O$115,15,0)),0,VLOOKUP($S$1787,'TAR FIN'!$A$1:$O$115,15,0))</f>
        <v>0</v>
      </c>
      <c r="W1787" s="6">
        <f>IF(ISERROR(VLOOKUP($T$1787,'TAR FIN'!$A$1:$O$115,15,0)),0,VLOOKUP($T$1787,'TAR FIN'!$A$1:$O$115,15,0))</f>
        <v>351.65</v>
      </c>
      <c r="X1787" s="6">
        <f>IF(ISERROR(VLOOKUP($U$1787,'TAR FIN'!$A$1:$O$115,15,0)),0,VLOOKUP($U$1787,'TAR FIN'!$A$1:$O$115,15,0))</f>
        <v>168.06</v>
      </c>
      <c r="Y1787" s="6"/>
      <c r="Z1787" s="6">
        <f ca="1">('TUSD BE'!$AM$64+'TUSD BF'!$AM$64+'TUSD CVA'!$AM$64)*1</f>
        <v>391.10237276676656</v>
      </c>
      <c r="AA1787" s="6">
        <f>('TE BE'!$AB$47+'TE BF'!$AB$47+'TE CVA'!$AB$47)*1</f>
        <v>218.6854278594964</v>
      </c>
      <c r="AB1787" s="6">
        <f>$K$1787*$V$1787</f>
        <v>0</v>
      </c>
      <c r="AC1787" s="6">
        <f>$M$1787*$W$1787</f>
        <v>2744.6282499999998</v>
      </c>
      <c r="AD1787" s="6">
        <f>$O$1787*$X$1787</f>
        <v>1311.7083</v>
      </c>
      <c r="AE1787" s="6">
        <f>$K$1787*$Y$1787</f>
        <v>0</v>
      </c>
      <c r="AF1787" s="6">
        <f ca="1">$M$1787*$Z$1787</f>
        <v>3052.554019444613</v>
      </c>
      <c r="AG1787" s="6">
        <f>$O$1787*$AA$1787</f>
        <v>1706.8397644433694</v>
      </c>
    </row>
    <row r="1788" spans="1:33" ht="11.25" customHeight="1" x14ac:dyDescent="0.25">
      <c r="A1788" s="4" t="s">
        <v>27</v>
      </c>
      <c r="B1788" s="4" t="s">
        <v>39</v>
      </c>
      <c r="C1788" s="4" t="s">
        <v>35</v>
      </c>
      <c r="D1788" s="4" t="s">
        <v>48</v>
      </c>
      <c r="E1788" s="4" t="s">
        <v>25</v>
      </c>
      <c r="F1788" s="4" t="s">
        <v>25</v>
      </c>
      <c r="G1788" s="4" t="s">
        <v>25</v>
      </c>
      <c r="H1788" s="4" t="s">
        <v>37</v>
      </c>
      <c r="I1788" s="5">
        <v>44774</v>
      </c>
      <c r="J1788" s="6">
        <v>0</v>
      </c>
      <c r="K1788" s="6">
        <v>0</v>
      </c>
      <c r="L1788" s="6">
        <v>0.59099999999999997</v>
      </c>
      <c r="M1788" s="6">
        <v>0.59099999999999997</v>
      </c>
      <c r="N1788" s="6">
        <v>0.59099999999999997</v>
      </c>
      <c r="O1788" s="6">
        <v>0.59099999999999997</v>
      </c>
      <c r="P1788" s="6">
        <v>0</v>
      </c>
      <c r="Q1788" s="4" t="s">
        <v>26</v>
      </c>
      <c r="R1788" s="4">
        <v>0</v>
      </c>
      <c r="S1788" s="6">
        <v>0</v>
      </c>
      <c r="T1788" s="6">
        <v>66</v>
      </c>
      <c r="U1788" s="6">
        <v>110</v>
      </c>
      <c r="V1788" s="6">
        <f>IF(ISERROR(VLOOKUP($S$1788,'TAR FIN'!$A$1:$O$115,15,0)),0,VLOOKUP($S$1788,'TAR FIN'!$A$1:$O$115,15,0))</f>
        <v>0</v>
      </c>
      <c r="W1788" s="6">
        <f>IF(ISERROR(VLOOKUP($T$1788,'TAR FIN'!$A$1:$O$115,15,0)),0,VLOOKUP($T$1788,'TAR FIN'!$A$1:$O$115,15,0))</f>
        <v>351.65</v>
      </c>
      <c r="X1788" s="6">
        <f>IF(ISERROR(VLOOKUP($U$1788,'TAR FIN'!$A$1:$O$115,15,0)),0,VLOOKUP($U$1788,'TAR FIN'!$A$1:$O$115,15,0))</f>
        <v>168.06</v>
      </c>
      <c r="Y1788" s="6"/>
      <c r="Z1788" s="6">
        <f ca="1">('TUSD BE'!$AM$64+'TUSD BF'!$AM$64+'TUSD CVA'!$AM$64)*1</f>
        <v>391.10237276676656</v>
      </c>
      <c r="AA1788" s="6">
        <f>('TE BE'!$AB$47+'TE BF'!$AB$47+'TE CVA'!$AB$47)*1</f>
        <v>218.6854278594964</v>
      </c>
      <c r="AB1788" s="6">
        <f>$K$1788*$V$1788</f>
        <v>0</v>
      </c>
      <c r="AC1788" s="6">
        <f>$M$1788*$W$1788</f>
        <v>207.82514999999998</v>
      </c>
      <c r="AD1788" s="6">
        <f>$O$1788*$X$1788</f>
        <v>99.323459999999997</v>
      </c>
      <c r="AE1788" s="6">
        <f>$K$1788*$Y$1788</f>
        <v>0</v>
      </c>
      <c r="AF1788" s="6">
        <f ca="1">$M$1788*$Z$1788</f>
        <v>231.14150230515904</v>
      </c>
      <c r="AG1788" s="6">
        <f>$O$1788*$AA$1788</f>
        <v>129.24308786496238</v>
      </c>
    </row>
    <row r="1789" spans="1:33" ht="11.25" customHeight="1" x14ac:dyDescent="0.25">
      <c r="A1789" s="4" t="s">
        <v>28</v>
      </c>
      <c r="B1789" s="4" t="s">
        <v>39</v>
      </c>
      <c r="C1789" s="4" t="s">
        <v>35</v>
      </c>
      <c r="D1789" s="4" t="s">
        <v>48</v>
      </c>
      <c r="E1789" s="4" t="s">
        <v>25</v>
      </c>
      <c r="F1789" s="4" t="s">
        <v>25</v>
      </c>
      <c r="G1789" s="4" t="s">
        <v>25</v>
      </c>
      <c r="H1789" s="4" t="s">
        <v>37</v>
      </c>
      <c r="I1789" s="5">
        <v>44774</v>
      </c>
      <c r="J1789" s="6">
        <v>0</v>
      </c>
      <c r="K1789" s="6">
        <v>0</v>
      </c>
      <c r="L1789" s="6">
        <v>0.192</v>
      </c>
      <c r="M1789" s="6">
        <v>0.192</v>
      </c>
      <c r="N1789" s="6">
        <v>0.192</v>
      </c>
      <c r="O1789" s="6">
        <v>0.192</v>
      </c>
      <c r="P1789" s="6">
        <v>0</v>
      </c>
      <c r="Q1789" s="4" t="s">
        <v>26</v>
      </c>
      <c r="R1789" s="4">
        <v>0</v>
      </c>
      <c r="S1789" s="6">
        <v>0</v>
      </c>
      <c r="T1789" s="6">
        <v>66</v>
      </c>
      <c r="U1789" s="6">
        <v>110</v>
      </c>
      <c r="V1789" s="6">
        <f>IF(ISERROR(VLOOKUP($S$1789,'TAR FIN'!$A$1:$O$115,15,0)),0,VLOOKUP($S$1789,'TAR FIN'!$A$1:$O$115,15,0))</f>
        <v>0</v>
      </c>
      <c r="W1789" s="6">
        <f>IF(ISERROR(VLOOKUP($T$1789,'TAR FIN'!$A$1:$O$115,15,0)),0,VLOOKUP($T$1789,'TAR FIN'!$A$1:$O$115,15,0))</f>
        <v>351.65</v>
      </c>
      <c r="X1789" s="6">
        <f>IF(ISERROR(VLOOKUP($U$1789,'TAR FIN'!$A$1:$O$115,15,0)),0,VLOOKUP($U$1789,'TAR FIN'!$A$1:$O$115,15,0))</f>
        <v>168.06</v>
      </c>
      <c r="Y1789" s="6"/>
      <c r="Z1789" s="6">
        <f ca="1">('TUSD BE'!$AM$64+'TUSD BF'!$AM$64+'TUSD CVA'!$AM$64)*1</f>
        <v>391.10237276676656</v>
      </c>
      <c r="AA1789" s="6">
        <f>('TE BE'!$AB$47+'TE BF'!$AB$47+'TE CVA'!$AB$47)*1</f>
        <v>218.6854278594964</v>
      </c>
      <c r="AB1789" s="6">
        <f>$K$1789*$V$1789</f>
        <v>0</v>
      </c>
      <c r="AC1789" s="6">
        <f>$M$1789*$W$1789</f>
        <v>67.516800000000003</v>
      </c>
      <c r="AD1789" s="6">
        <f>$O$1789*$X$1789</f>
        <v>32.267520000000005</v>
      </c>
      <c r="AE1789" s="6">
        <f>$K$1789*$Y$1789</f>
        <v>0</v>
      </c>
      <c r="AF1789" s="6">
        <f ca="1">$M$1789*$Z$1789</f>
        <v>75.091655571219178</v>
      </c>
      <c r="AG1789" s="6">
        <f>$O$1789*$AA$1789</f>
        <v>41.98760214902331</v>
      </c>
    </row>
    <row r="1790" spans="1:33" ht="11.25" customHeight="1" x14ac:dyDescent="0.25">
      <c r="A1790" s="4" t="s">
        <v>21</v>
      </c>
      <c r="B1790" s="4" t="s">
        <v>39</v>
      </c>
      <c r="C1790" s="4" t="s">
        <v>35</v>
      </c>
      <c r="D1790" s="4" t="s">
        <v>48</v>
      </c>
      <c r="E1790" s="4" t="s">
        <v>25</v>
      </c>
      <c r="F1790" s="4" t="s">
        <v>25</v>
      </c>
      <c r="G1790" s="4" t="s">
        <v>25</v>
      </c>
      <c r="H1790" s="4" t="s">
        <v>37</v>
      </c>
      <c r="I1790" s="5">
        <v>44805</v>
      </c>
      <c r="J1790" s="6">
        <v>0</v>
      </c>
      <c r="K1790" s="6">
        <v>0</v>
      </c>
      <c r="L1790" s="6">
        <v>14.026999999999999</v>
      </c>
      <c r="M1790" s="6">
        <v>14.026999999999999</v>
      </c>
      <c r="N1790" s="6">
        <v>14.026999999999999</v>
      </c>
      <c r="O1790" s="6">
        <v>14.026999999999999</v>
      </c>
      <c r="P1790" s="6">
        <v>0</v>
      </c>
      <c r="Q1790" s="4" t="s">
        <v>26</v>
      </c>
      <c r="R1790" s="4">
        <v>0</v>
      </c>
      <c r="S1790" s="6">
        <v>0</v>
      </c>
      <c r="T1790" s="6">
        <v>66</v>
      </c>
      <c r="U1790" s="6">
        <v>110</v>
      </c>
      <c r="V1790" s="6">
        <f>IF(ISERROR(VLOOKUP($S$1790,'TAR FIN'!$A$1:$O$115,15,0)),0,VLOOKUP($S$1790,'TAR FIN'!$A$1:$O$115,15,0))</f>
        <v>0</v>
      </c>
      <c r="W1790" s="6">
        <f>IF(ISERROR(VLOOKUP($T$1790,'TAR FIN'!$A$1:$O$115,15,0)),0,VLOOKUP($T$1790,'TAR FIN'!$A$1:$O$115,15,0))</f>
        <v>351.65</v>
      </c>
      <c r="X1790" s="6">
        <f>IF(ISERROR(VLOOKUP($U$1790,'TAR FIN'!$A$1:$O$115,15,0)),0,VLOOKUP($U$1790,'TAR FIN'!$A$1:$O$115,15,0))</f>
        <v>168.06</v>
      </c>
      <c r="Y1790" s="6"/>
      <c r="Z1790" s="6">
        <f ca="1">('TUSD BE'!$AM$64+'TUSD BF'!$AM$64+'TUSD CVA'!$AM$64)*1</f>
        <v>391.10237276676656</v>
      </c>
      <c r="AA1790" s="6">
        <f>('TE BE'!$AB$47+'TE BF'!$AB$47+'TE CVA'!$AB$47)*1</f>
        <v>218.6854278594964</v>
      </c>
      <c r="AB1790" s="6">
        <f>$K$1790*$V$1790</f>
        <v>0</v>
      </c>
      <c r="AC1790" s="6">
        <f>$M$1790*$W$1790</f>
        <v>4932.5945499999998</v>
      </c>
      <c r="AD1790" s="6">
        <f>$O$1790*$X$1790</f>
        <v>2357.3776199999998</v>
      </c>
      <c r="AE1790" s="6">
        <f>$K$1790*$Y$1790</f>
        <v>0</v>
      </c>
      <c r="AF1790" s="6">
        <f ca="1">$M$1790*$Z$1790</f>
        <v>5485.9929827994347</v>
      </c>
      <c r="AG1790" s="6">
        <f>$O$1790*$AA$1790</f>
        <v>3067.5004965851558</v>
      </c>
    </row>
    <row r="1791" spans="1:33" ht="11.25" customHeight="1" x14ac:dyDescent="0.25">
      <c r="A1791" s="4" t="s">
        <v>28</v>
      </c>
      <c r="B1791" s="4" t="s">
        <v>39</v>
      </c>
      <c r="C1791" s="4" t="s">
        <v>35</v>
      </c>
      <c r="D1791" s="4" t="s">
        <v>48</v>
      </c>
      <c r="E1791" s="4" t="s">
        <v>25</v>
      </c>
      <c r="F1791" s="4" t="s">
        <v>25</v>
      </c>
      <c r="G1791" s="4" t="s">
        <v>25</v>
      </c>
      <c r="H1791" s="4" t="s">
        <v>37</v>
      </c>
      <c r="I1791" s="5">
        <v>44805</v>
      </c>
      <c r="J1791" s="6">
        <v>0</v>
      </c>
      <c r="K1791" s="6">
        <v>0</v>
      </c>
      <c r="L1791" s="6">
        <v>0.154</v>
      </c>
      <c r="M1791" s="6">
        <v>0.154</v>
      </c>
      <c r="N1791" s="6">
        <v>0.154</v>
      </c>
      <c r="O1791" s="6">
        <v>0.154</v>
      </c>
      <c r="P1791" s="6">
        <v>0</v>
      </c>
      <c r="Q1791" s="4" t="s">
        <v>26</v>
      </c>
      <c r="R1791" s="4">
        <v>0</v>
      </c>
      <c r="S1791" s="6">
        <v>0</v>
      </c>
      <c r="T1791" s="6">
        <v>66</v>
      </c>
      <c r="U1791" s="6">
        <v>110</v>
      </c>
      <c r="V1791" s="6">
        <f>IF(ISERROR(VLOOKUP($S$1791,'TAR FIN'!$A$1:$O$115,15,0)),0,VLOOKUP($S$1791,'TAR FIN'!$A$1:$O$115,15,0))</f>
        <v>0</v>
      </c>
      <c r="W1791" s="6">
        <f>IF(ISERROR(VLOOKUP($T$1791,'TAR FIN'!$A$1:$O$115,15,0)),0,VLOOKUP($T$1791,'TAR FIN'!$A$1:$O$115,15,0))</f>
        <v>351.65</v>
      </c>
      <c r="X1791" s="6">
        <f>IF(ISERROR(VLOOKUP($U$1791,'TAR FIN'!$A$1:$O$115,15,0)),0,VLOOKUP($U$1791,'TAR FIN'!$A$1:$O$115,15,0))</f>
        <v>168.06</v>
      </c>
      <c r="Y1791" s="6"/>
      <c r="Z1791" s="6">
        <f ca="1">('TUSD BE'!$AM$64+'TUSD BF'!$AM$64+'TUSD CVA'!$AM$64)*1</f>
        <v>391.10237276676656</v>
      </c>
      <c r="AA1791" s="6">
        <f>('TE BE'!$AB$47+'TE BF'!$AB$47+'TE CVA'!$AB$47)*1</f>
        <v>218.6854278594964</v>
      </c>
      <c r="AB1791" s="6">
        <f>$K$1791*$V$1791</f>
        <v>0</v>
      </c>
      <c r="AC1791" s="6">
        <f>$M$1791*$W$1791</f>
        <v>54.154099999999993</v>
      </c>
      <c r="AD1791" s="6">
        <f>$O$1791*$X$1791</f>
        <v>25.881239999999998</v>
      </c>
      <c r="AE1791" s="6">
        <f>$K$1791*$Y$1791</f>
        <v>0</v>
      </c>
      <c r="AF1791" s="6">
        <f ca="1">$M$1791*$Z$1791</f>
        <v>60.229765406082052</v>
      </c>
      <c r="AG1791" s="6">
        <f>$O$1791*$AA$1791</f>
        <v>33.677555890362449</v>
      </c>
    </row>
    <row r="1792" spans="1:33" ht="11.25" customHeight="1" x14ac:dyDescent="0.25">
      <c r="A1792" s="4" t="s">
        <v>21</v>
      </c>
      <c r="B1792" s="4" t="s">
        <v>39</v>
      </c>
      <c r="C1792" s="4" t="s">
        <v>35</v>
      </c>
      <c r="D1792" s="4" t="s">
        <v>48</v>
      </c>
      <c r="E1792" s="4" t="s">
        <v>25</v>
      </c>
      <c r="F1792" s="4" t="s">
        <v>25</v>
      </c>
      <c r="G1792" s="4" t="s">
        <v>25</v>
      </c>
      <c r="H1792" s="4" t="s">
        <v>37</v>
      </c>
      <c r="I1792" s="5">
        <v>44835</v>
      </c>
      <c r="J1792" s="6">
        <v>0</v>
      </c>
      <c r="K1792" s="6">
        <v>0</v>
      </c>
      <c r="L1792" s="6">
        <v>20.574000000000002</v>
      </c>
      <c r="M1792" s="6">
        <v>20.574000000000002</v>
      </c>
      <c r="N1792" s="6">
        <v>20.574000000000002</v>
      </c>
      <c r="O1792" s="6">
        <v>20.574000000000002</v>
      </c>
      <c r="P1792" s="6">
        <v>0</v>
      </c>
      <c r="Q1792" s="4" t="s">
        <v>26</v>
      </c>
      <c r="R1792" s="4">
        <v>0</v>
      </c>
      <c r="S1792" s="6">
        <v>0</v>
      </c>
      <c r="T1792" s="6">
        <v>66</v>
      </c>
      <c r="U1792" s="6">
        <v>110</v>
      </c>
      <c r="V1792" s="6">
        <f>IF(ISERROR(VLOOKUP($S$1792,'TAR FIN'!$A$1:$O$115,15,0)),0,VLOOKUP($S$1792,'TAR FIN'!$A$1:$O$115,15,0))</f>
        <v>0</v>
      </c>
      <c r="W1792" s="6">
        <f>IF(ISERROR(VLOOKUP($T$1792,'TAR FIN'!$A$1:$O$115,15,0)),0,VLOOKUP($T$1792,'TAR FIN'!$A$1:$O$115,15,0))</f>
        <v>351.65</v>
      </c>
      <c r="X1792" s="6">
        <f>IF(ISERROR(VLOOKUP($U$1792,'TAR FIN'!$A$1:$O$115,15,0)),0,VLOOKUP($U$1792,'TAR FIN'!$A$1:$O$115,15,0))</f>
        <v>168.06</v>
      </c>
      <c r="Y1792" s="6"/>
      <c r="Z1792" s="6">
        <f ca="1">('TUSD BE'!$AM$64+'TUSD BF'!$AM$64+'TUSD CVA'!$AM$64)*1</f>
        <v>391.10237276676656</v>
      </c>
      <c r="AA1792" s="6">
        <f>('TE BE'!$AB$47+'TE BF'!$AB$47+'TE CVA'!$AB$47)*1</f>
        <v>218.6854278594964</v>
      </c>
      <c r="AB1792" s="6">
        <f>$K$1792*$V$1792</f>
        <v>0</v>
      </c>
      <c r="AC1792" s="6">
        <f>$M$1792*$W$1792</f>
        <v>7234.8471</v>
      </c>
      <c r="AD1792" s="6">
        <f>$O$1792*$X$1792</f>
        <v>3457.6664400000004</v>
      </c>
      <c r="AE1792" s="6">
        <f>$K$1792*$Y$1792</f>
        <v>0</v>
      </c>
      <c r="AF1792" s="6">
        <f ca="1">$M$1792*$Z$1792</f>
        <v>8046.5402173034563</v>
      </c>
      <c r="AG1792" s="6">
        <f>$O$1792*$AA$1792</f>
        <v>4499.2339927812791</v>
      </c>
    </row>
    <row r="1793" spans="1:33" ht="11.25" customHeight="1" x14ac:dyDescent="0.25">
      <c r="A1793" s="4" t="s">
        <v>28</v>
      </c>
      <c r="B1793" s="4" t="s">
        <v>39</v>
      </c>
      <c r="C1793" s="4" t="s">
        <v>35</v>
      </c>
      <c r="D1793" s="4" t="s">
        <v>48</v>
      </c>
      <c r="E1793" s="4" t="s">
        <v>25</v>
      </c>
      <c r="F1793" s="4" t="s">
        <v>25</v>
      </c>
      <c r="G1793" s="4" t="s">
        <v>25</v>
      </c>
      <c r="H1793" s="4" t="s">
        <v>37</v>
      </c>
      <c r="I1793" s="5">
        <v>44835</v>
      </c>
      <c r="J1793" s="6">
        <v>0</v>
      </c>
      <c r="K1793" s="6">
        <v>0</v>
      </c>
      <c r="L1793" s="6">
        <v>0.34300000000000003</v>
      </c>
      <c r="M1793" s="6">
        <v>0.34300000000000003</v>
      </c>
      <c r="N1793" s="6">
        <v>0.34300000000000003</v>
      </c>
      <c r="O1793" s="6">
        <v>0.34300000000000003</v>
      </c>
      <c r="P1793" s="6">
        <v>0</v>
      </c>
      <c r="Q1793" s="4" t="s">
        <v>26</v>
      </c>
      <c r="R1793" s="4">
        <v>0</v>
      </c>
      <c r="S1793" s="6">
        <v>0</v>
      </c>
      <c r="T1793" s="6">
        <v>66</v>
      </c>
      <c r="U1793" s="6">
        <v>110</v>
      </c>
      <c r="V1793" s="6">
        <f>IF(ISERROR(VLOOKUP($S$1793,'TAR FIN'!$A$1:$O$115,15,0)),0,VLOOKUP($S$1793,'TAR FIN'!$A$1:$O$115,15,0))</f>
        <v>0</v>
      </c>
      <c r="W1793" s="6">
        <f>IF(ISERROR(VLOOKUP($T$1793,'TAR FIN'!$A$1:$O$115,15,0)),0,VLOOKUP($T$1793,'TAR FIN'!$A$1:$O$115,15,0))</f>
        <v>351.65</v>
      </c>
      <c r="X1793" s="6">
        <f>IF(ISERROR(VLOOKUP($U$1793,'TAR FIN'!$A$1:$O$115,15,0)),0,VLOOKUP($U$1793,'TAR FIN'!$A$1:$O$115,15,0))</f>
        <v>168.06</v>
      </c>
      <c r="Y1793" s="6"/>
      <c r="Z1793" s="6">
        <f ca="1">('TUSD BE'!$AM$64+'TUSD BF'!$AM$64+'TUSD CVA'!$AM$64)*1</f>
        <v>391.10237276676656</v>
      </c>
      <c r="AA1793" s="6">
        <f>('TE BE'!$AB$47+'TE BF'!$AB$47+'TE CVA'!$AB$47)*1</f>
        <v>218.6854278594964</v>
      </c>
      <c r="AB1793" s="6">
        <f>$K$1793*$V$1793</f>
        <v>0</v>
      </c>
      <c r="AC1793" s="6">
        <f>$M$1793*$W$1793</f>
        <v>120.61595</v>
      </c>
      <c r="AD1793" s="6">
        <f>$O$1793*$X$1793</f>
        <v>57.644580000000005</v>
      </c>
      <c r="AE1793" s="6">
        <f>$K$1793*$Y$1793</f>
        <v>0</v>
      </c>
      <c r="AF1793" s="6">
        <f ca="1">$M$1793*$Z$1793</f>
        <v>134.14811385900094</v>
      </c>
      <c r="AG1793" s="6">
        <f>$O$1793*$AA$1793</f>
        <v>75.009101755807265</v>
      </c>
    </row>
    <row r="1794" spans="1:33" ht="11.25" customHeight="1" x14ac:dyDescent="0.25">
      <c r="A1794" s="4" t="s">
        <v>59</v>
      </c>
      <c r="B1794" s="4" t="s">
        <v>39</v>
      </c>
      <c r="C1794" s="4" t="s">
        <v>35</v>
      </c>
      <c r="D1794" s="4" t="s">
        <v>48</v>
      </c>
      <c r="E1794" s="4" t="s">
        <v>25</v>
      </c>
      <c r="F1794" s="4" t="s">
        <v>25</v>
      </c>
      <c r="G1794" s="4" t="s">
        <v>25</v>
      </c>
      <c r="H1794" s="4" t="s">
        <v>37</v>
      </c>
      <c r="I1794" s="5">
        <v>44866</v>
      </c>
      <c r="J1794" s="6">
        <v>0</v>
      </c>
      <c r="K1794" s="6">
        <v>0</v>
      </c>
      <c r="L1794" s="6">
        <v>20.574000000000002</v>
      </c>
      <c r="M1794" s="6">
        <v>20.574000000000002</v>
      </c>
      <c r="N1794" s="6">
        <v>20.574000000000002</v>
      </c>
      <c r="O1794" s="6">
        <v>20.574000000000002</v>
      </c>
      <c r="P1794" s="6">
        <v>0</v>
      </c>
      <c r="Q1794" s="4" t="s">
        <v>26</v>
      </c>
      <c r="R1794" s="4">
        <v>0</v>
      </c>
      <c r="S1794" s="6">
        <v>0</v>
      </c>
      <c r="T1794" s="6">
        <v>66</v>
      </c>
      <c r="U1794" s="6">
        <v>110</v>
      </c>
      <c r="V1794" s="6">
        <f>IF(ISERROR(VLOOKUP($S$1794,'TAR FIN'!$A$1:$O$115,15,0)),0,VLOOKUP($S$1794,'TAR FIN'!$A$1:$O$115,15,0))</f>
        <v>0</v>
      </c>
      <c r="W1794" s="6">
        <f>IF(ISERROR(VLOOKUP($T$1794,'TAR FIN'!$A$1:$O$115,15,0)),0,VLOOKUP($T$1794,'TAR FIN'!$A$1:$O$115,15,0))</f>
        <v>351.65</v>
      </c>
      <c r="X1794" s="6">
        <f>IF(ISERROR(VLOOKUP($U$1794,'TAR FIN'!$A$1:$O$115,15,0)),0,VLOOKUP($U$1794,'TAR FIN'!$A$1:$O$115,15,0))</f>
        <v>168.06</v>
      </c>
      <c r="Y1794" s="6"/>
      <c r="Z1794" s="6">
        <f ca="1">('TUSD BE'!$AM$64+'TUSD BF'!$AM$64+'TUSD CVA'!$AM$64)*1</f>
        <v>391.10237276676656</v>
      </c>
      <c r="AA1794" s="6">
        <f>('TE BE'!$AB$47+'TE BF'!$AB$47+'TE CVA'!$AB$47)*1</f>
        <v>218.6854278594964</v>
      </c>
      <c r="AB1794" s="6">
        <f>$K$1794*$V$1794</f>
        <v>0</v>
      </c>
      <c r="AC1794" s="6">
        <f>$M$1794*$W$1794</f>
        <v>7234.8471</v>
      </c>
      <c r="AD1794" s="6">
        <f>$O$1794*$X$1794</f>
        <v>3457.6664400000004</v>
      </c>
      <c r="AE1794" s="6">
        <f>$K$1794*$Y$1794</f>
        <v>0</v>
      </c>
      <c r="AF1794" s="6">
        <f ca="1">$M$1794*$Z$1794</f>
        <v>8046.5402173034563</v>
      </c>
      <c r="AG1794" s="6">
        <f>$O$1794*$AA$1794</f>
        <v>4499.2339927812791</v>
      </c>
    </row>
    <row r="1795" spans="1:33" ht="11.25" customHeight="1" x14ac:dyDescent="0.25">
      <c r="A1795" s="4" t="s">
        <v>59</v>
      </c>
      <c r="B1795" s="4" t="s">
        <v>39</v>
      </c>
      <c r="C1795" s="4" t="s">
        <v>35</v>
      </c>
      <c r="D1795" s="4" t="s">
        <v>48</v>
      </c>
      <c r="E1795" s="4" t="s">
        <v>25</v>
      </c>
      <c r="F1795" s="4" t="s">
        <v>25</v>
      </c>
      <c r="G1795" s="4" t="s">
        <v>25</v>
      </c>
      <c r="H1795" s="4" t="s">
        <v>37</v>
      </c>
      <c r="I1795" s="5">
        <v>44866</v>
      </c>
      <c r="J1795" s="6">
        <v>0</v>
      </c>
      <c r="K1795" s="6">
        <v>0</v>
      </c>
      <c r="L1795" s="6">
        <v>0.34300000000000003</v>
      </c>
      <c r="M1795" s="6">
        <v>0.34300000000000003</v>
      </c>
      <c r="N1795" s="6">
        <v>0.34300000000000003</v>
      </c>
      <c r="O1795" s="6">
        <v>0.34300000000000003</v>
      </c>
      <c r="P1795" s="6">
        <v>0</v>
      </c>
      <c r="Q1795" s="4" t="s">
        <v>26</v>
      </c>
      <c r="R1795" s="4">
        <v>0</v>
      </c>
      <c r="S1795" s="6">
        <v>0</v>
      </c>
      <c r="T1795" s="6">
        <v>66</v>
      </c>
      <c r="U1795" s="6">
        <v>110</v>
      </c>
      <c r="V1795" s="6">
        <f>IF(ISERROR(VLOOKUP($S$1795,'TAR FIN'!$A$1:$O$115,15,0)),0,VLOOKUP($S$1795,'TAR FIN'!$A$1:$O$115,15,0))</f>
        <v>0</v>
      </c>
      <c r="W1795" s="6">
        <f>IF(ISERROR(VLOOKUP($T$1795,'TAR FIN'!$A$1:$O$115,15,0)),0,VLOOKUP($T$1795,'TAR FIN'!$A$1:$O$115,15,0))</f>
        <v>351.65</v>
      </c>
      <c r="X1795" s="6">
        <f>IF(ISERROR(VLOOKUP($U$1795,'TAR FIN'!$A$1:$O$115,15,0)),0,VLOOKUP($U$1795,'TAR FIN'!$A$1:$O$115,15,0))</f>
        <v>168.06</v>
      </c>
      <c r="Y1795" s="6"/>
      <c r="Z1795" s="6">
        <f ca="1">('TUSD BE'!$AM$64+'TUSD BF'!$AM$64+'TUSD CVA'!$AM$64)*1</f>
        <v>391.10237276676656</v>
      </c>
      <c r="AA1795" s="6">
        <f>('TE BE'!$AB$47+'TE BF'!$AB$47+'TE CVA'!$AB$47)*1</f>
        <v>218.6854278594964</v>
      </c>
      <c r="AB1795" s="6">
        <f>$K$1795*$V$1795</f>
        <v>0</v>
      </c>
      <c r="AC1795" s="6">
        <f>$M$1795*$W$1795</f>
        <v>120.61595</v>
      </c>
      <c r="AD1795" s="6">
        <f>$O$1795*$X$1795</f>
        <v>57.644580000000005</v>
      </c>
      <c r="AE1795" s="6">
        <f>$K$1795*$Y$1795</f>
        <v>0</v>
      </c>
      <c r="AF1795" s="6">
        <f ca="1">$M$1795*$Z$1795</f>
        <v>134.14811385900094</v>
      </c>
      <c r="AG1795" s="6">
        <f>$O$1795*$AA$1795</f>
        <v>75.009101755807265</v>
      </c>
    </row>
    <row r="1796" spans="1:33" ht="11.25" customHeight="1" x14ac:dyDescent="0.25">
      <c r="A1796" s="4" t="s">
        <v>21</v>
      </c>
      <c r="B1796" s="4" t="s">
        <v>39</v>
      </c>
      <c r="C1796" s="4" t="s">
        <v>35</v>
      </c>
      <c r="D1796" s="4" t="s">
        <v>48</v>
      </c>
      <c r="E1796" s="4" t="s">
        <v>25</v>
      </c>
      <c r="F1796" s="4" t="s">
        <v>25</v>
      </c>
      <c r="G1796" s="4" t="s">
        <v>25</v>
      </c>
      <c r="H1796" s="4" t="s">
        <v>38</v>
      </c>
      <c r="I1796" s="5">
        <v>44531</v>
      </c>
      <c r="J1796" s="6">
        <v>0</v>
      </c>
      <c r="K1796" s="6">
        <v>0</v>
      </c>
      <c r="L1796" s="6">
        <v>0.185</v>
      </c>
      <c r="M1796" s="6">
        <v>0.185</v>
      </c>
      <c r="N1796" s="6">
        <v>0.185</v>
      </c>
      <c r="O1796" s="6">
        <v>0.185</v>
      </c>
      <c r="P1796" s="6">
        <v>0</v>
      </c>
      <c r="Q1796" s="4" t="s">
        <v>26</v>
      </c>
      <c r="R1796" s="4">
        <v>0</v>
      </c>
      <c r="S1796" s="6">
        <v>0</v>
      </c>
      <c r="T1796" s="6">
        <v>65</v>
      </c>
      <c r="U1796" s="6">
        <v>109</v>
      </c>
      <c r="V1796" s="6">
        <f>IF(ISERROR(VLOOKUP($S$1796,'TAR FIN'!$A$1:$O$115,15,0)),0,VLOOKUP($S$1796,'TAR FIN'!$A$1:$O$115,15,0))</f>
        <v>0</v>
      </c>
      <c r="W1796" s="6">
        <f>IF(ISERROR(VLOOKUP($T$1796,'TAR FIN'!$A$1:$O$115,15,0)),0,VLOOKUP($T$1796,'TAR FIN'!$A$1:$O$115,15,0))</f>
        <v>827.45</v>
      </c>
      <c r="X1796" s="6">
        <f>IF(ISERROR(VLOOKUP($U$1796,'TAR FIN'!$A$1:$O$115,15,0)),0,VLOOKUP($U$1796,'TAR FIN'!$A$1:$O$115,15,0))</f>
        <v>168.06</v>
      </c>
      <c r="Y1796" s="6"/>
      <c r="Z1796" s="6">
        <f ca="1">('TUSD BE'!$AM$63+'TUSD BF'!$AM$63+'TUSD CVA'!$AM$63)*1</f>
        <v>863.35061643044799</v>
      </c>
      <c r="AA1796" s="6">
        <f>('TE BE'!$AB$46+'TE BF'!$AB$46+'TE CVA'!$AB$46)*1</f>
        <v>218.6854278594964</v>
      </c>
      <c r="AB1796" s="6">
        <f>$K$1796*$V$1796</f>
        <v>0</v>
      </c>
      <c r="AC1796" s="6">
        <f>$M$1796*$W$1796</f>
        <v>153.07825</v>
      </c>
      <c r="AD1796" s="6">
        <f>$O$1796*$X$1796</f>
        <v>31.091100000000001</v>
      </c>
      <c r="AE1796" s="6">
        <f>$K$1796*$Y$1796</f>
        <v>0</v>
      </c>
      <c r="AF1796" s="6">
        <f ca="1">$M$1796*$Z$1796</f>
        <v>159.71986403963288</v>
      </c>
      <c r="AG1796" s="6">
        <f>$O$1796*$AA$1796</f>
        <v>40.456804154006832</v>
      </c>
    </row>
    <row r="1797" spans="1:33" ht="11.25" customHeight="1" x14ac:dyDescent="0.25">
      <c r="A1797" s="4" t="s">
        <v>27</v>
      </c>
      <c r="B1797" s="4" t="s">
        <v>39</v>
      </c>
      <c r="C1797" s="4" t="s">
        <v>35</v>
      </c>
      <c r="D1797" s="4" t="s">
        <v>48</v>
      </c>
      <c r="E1797" s="4" t="s">
        <v>25</v>
      </c>
      <c r="F1797" s="4" t="s">
        <v>25</v>
      </c>
      <c r="G1797" s="4" t="s">
        <v>25</v>
      </c>
      <c r="H1797" s="4" t="s">
        <v>38</v>
      </c>
      <c r="I1797" s="5">
        <v>44531</v>
      </c>
      <c r="J1797" s="6">
        <v>0</v>
      </c>
      <c r="K1797" s="6">
        <v>0</v>
      </c>
      <c r="L1797" s="6">
        <v>-1.9E-2</v>
      </c>
      <c r="M1797" s="6">
        <v>-1.9E-2</v>
      </c>
      <c r="N1797" s="6">
        <v>-1.9E-2</v>
      </c>
      <c r="O1797" s="6">
        <v>-1.9E-2</v>
      </c>
      <c r="P1797" s="6">
        <v>0</v>
      </c>
      <c r="Q1797" s="4" t="s">
        <v>26</v>
      </c>
      <c r="R1797" s="4">
        <v>0</v>
      </c>
      <c r="S1797" s="6">
        <v>0</v>
      </c>
      <c r="T1797" s="6">
        <v>65</v>
      </c>
      <c r="U1797" s="6">
        <v>109</v>
      </c>
      <c r="V1797" s="6">
        <f>IF(ISERROR(VLOOKUP($S$1797,'TAR FIN'!$A$1:$O$115,15,0)),0,VLOOKUP($S$1797,'TAR FIN'!$A$1:$O$115,15,0))</f>
        <v>0</v>
      </c>
      <c r="W1797" s="6">
        <f>IF(ISERROR(VLOOKUP($T$1797,'TAR FIN'!$A$1:$O$115,15,0)),0,VLOOKUP($T$1797,'TAR FIN'!$A$1:$O$115,15,0))</f>
        <v>827.45</v>
      </c>
      <c r="X1797" s="6">
        <f>IF(ISERROR(VLOOKUP($U$1797,'TAR FIN'!$A$1:$O$115,15,0)),0,VLOOKUP($U$1797,'TAR FIN'!$A$1:$O$115,15,0))</f>
        <v>168.06</v>
      </c>
      <c r="Y1797" s="6"/>
      <c r="Z1797" s="6">
        <f ca="1">('TUSD BE'!$AM$63+'TUSD BF'!$AM$63+'TUSD CVA'!$AM$63)*1</f>
        <v>863.35061643044799</v>
      </c>
      <c r="AA1797" s="6">
        <f>('TE BE'!$AB$46+'TE BF'!$AB$46+'TE CVA'!$AB$46)*1</f>
        <v>218.6854278594964</v>
      </c>
      <c r="AB1797" s="6">
        <f>$K$1797*$V$1797</f>
        <v>0</v>
      </c>
      <c r="AC1797" s="6">
        <f>$M$1797*$W$1797</f>
        <v>-15.721550000000001</v>
      </c>
      <c r="AD1797" s="6">
        <f>$O$1797*$X$1797</f>
        <v>-3.1931400000000001</v>
      </c>
      <c r="AE1797" s="6">
        <f>$K$1797*$Y$1797</f>
        <v>0</v>
      </c>
      <c r="AF1797" s="6">
        <f ca="1">$M$1797*$Z$1797</f>
        <v>-16.403661712178511</v>
      </c>
      <c r="AG1797" s="6">
        <f>$O$1797*$AA$1797</f>
        <v>-4.1550231293304316</v>
      </c>
    </row>
    <row r="1798" spans="1:33" ht="11.25" customHeight="1" x14ac:dyDescent="0.25">
      <c r="A1798" s="4" t="s">
        <v>21</v>
      </c>
      <c r="B1798" s="4" t="s">
        <v>39</v>
      </c>
      <c r="C1798" s="4" t="s">
        <v>35</v>
      </c>
      <c r="D1798" s="4" t="s">
        <v>48</v>
      </c>
      <c r="E1798" s="4" t="s">
        <v>25</v>
      </c>
      <c r="F1798" s="4" t="s">
        <v>25</v>
      </c>
      <c r="G1798" s="4" t="s">
        <v>25</v>
      </c>
      <c r="H1798" s="4" t="s">
        <v>38</v>
      </c>
      <c r="I1798" s="5">
        <v>44562</v>
      </c>
      <c r="J1798" s="6">
        <v>0</v>
      </c>
      <c r="K1798" s="6">
        <v>0</v>
      </c>
      <c r="L1798" s="6">
        <v>0.09</v>
      </c>
      <c r="M1798" s="6">
        <v>0.09</v>
      </c>
      <c r="N1798" s="6">
        <v>0.09</v>
      </c>
      <c r="O1798" s="6">
        <v>0.09</v>
      </c>
      <c r="P1798" s="6">
        <v>0</v>
      </c>
      <c r="Q1798" s="4" t="s">
        <v>26</v>
      </c>
      <c r="R1798" s="4">
        <v>0</v>
      </c>
      <c r="S1798" s="6">
        <v>0</v>
      </c>
      <c r="T1798" s="6">
        <v>65</v>
      </c>
      <c r="U1798" s="6">
        <v>109</v>
      </c>
      <c r="V1798" s="6">
        <f>IF(ISERROR(VLOOKUP($S$1798,'TAR FIN'!$A$1:$O$115,15,0)),0,VLOOKUP($S$1798,'TAR FIN'!$A$1:$O$115,15,0))</f>
        <v>0</v>
      </c>
      <c r="W1798" s="6">
        <f>IF(ISERROR(VLOOKUP($T$1798,'TAR FIN'!$A$1:$O$115,15,0)),0,VLOOKUP($T$1798,'TAR FIN'!$A$1:$O$115,15,0))</f>
        <v>827.45</v>
      </c>
      <c r="X1798" s="6">
        <f>IF(ISERROR(VLOOKUP($U$1798,'TAR FIN'!$A$1:$O$115,15,0)),0,VLOOKUP($U$1798,'TAR FIN'!$A$1:$O$115,15,0))</f>
        <v>168.06</v>
      </c>
      <c r="Y1798" s="6"/>
      <c r="Z1798" s="6">
        <f ca="1">('TUSD BE'!$AM$63+'TUSD BF'!$AM$63+'TUSD CVA'!$AM$63)*1</f>
        <v>863.35061643044799</v>
      </c>
      <c r="AA1798" s="6">
        <f>('TE BE'!$AB$46+'TE BF'!$AB$46+'TE CVA'!$AB$46)*1</f>
        <v>218.6854278594964</v>
      </c>
      <c r="AB1798" s="6">
        <f>$K$1798*$V$1798</f>
        <v>0</v>
      </c>
      <c r="AC1798" s="6">
        <f>$M$1798*$W$1798</f>
        <v>74.470500000000001</v>
      </c>
      <c r="AD1798" s="6">
        <f>$O$1798*$X$1798</f>
        <v>15.125399999999999</v>
      </c>
      <c r="AE1798" s="6">
        <f>$K$1798*$Y$1798</f>
        <v>0</v>
      </c>
      <c r="AF1798" s="6">
        <f ca="1">$M$1798*$Z$1798</f>
        <v>77.701555478740318</v>
      </c>
      <c r="AG1798" s="6">
        <f>$O$1798*$AA$1798</f>
        <v>19.681688507354675</v>
      </c>
    </row>
    <row r="1799" spans="1:33" ht="11.25" customHeight="1" x14ac:dyDescent="0.25">
      <c r="A1799" s="4" t="s">
        <v>21</v>
      </c>
      <c r="B1799" s="4" t="s">
        <v>39</v>
      </c>
      <c r="C1799" s="4" t="s">
        <v>35</v>
      </c>
      <c r="D1799" s="4" t="s">
        <v>48</v>
      </c>
      <c r="E1799" s="4" t="s">
        <v>25</v>
      </c>
      <c r="F1799" s="4" t="s">
        <v>25</v>
      </c>
      <c r="G1799" s="4" t="s">
        <v>25</v>
      </c>
      <c r="H1799" s="4" t="s">
        <v>38</v>
      </c>
      <c r="I1799" s="5">
        <v>44593</v>
      </c>
      <c r="J1799" s="6">
        <v>0</v>
      </c>
      <c r="K1799" s="6">
        <v>0</v>
      </c>
      <c r="L1799" s="6">
        <v>0.126</v>
      </c>
      <c r="M1799" s="6">
        <v>0.126</v>
      </c>
      <c r="N1799" s="6">
        <v>0.126</v>
      </c>
      <c r="O1799" s="6">
        <v>0.126</v>
      </c>
      <c r="P1799" s="6">
        <v>0</v>
      </c>
      <c r="Q1799" s="4" t="s">
        <v>26</v>
      </c>
      <c r="R1799" s="4">
        <v>0</v>
      </c>
      <c r="S1799" s="6">
        <v>0</v>
      </c>
      <c r="T1799" s="6">
        <v>65</v>
      </c>
      <c r="U1799" s="6">
        <v>109</v>
      </c>
      <c r="V1799" s="6">
        <f>IF(ISERROR(VLOOKUP($S$1799,'TAR FIN'!$A$1:$O$115,15,0)),0,VLOOKUP($S$1799,'TAR FIN'!$A$1:$O$115,15,0))</f>
        <v>0</v>
      </c>
      <c r="W1799" s="6">
        <f>IF(ISERROR(VLOOKUP($T$1799,'TAR FIN'!$A$1:$O$115,15,0)),0,VLOOKUP($T$1799,'TAR FIN'!$A$1:$O$115,15,0))</f>
        <v>827.45</v>
      </c>
      <c r="X1799" s="6">
        <f>IF(ISERROR(VLOOKUP($U$1799,'TAR FIN'!$A$1:$O$115,15,0)),0,VLOOKUP($U$1799,'TAR FIN'!$A$1:$O$115,15,0))</f>
        <v>168.06</v>
      </c>
      <c r="Y1799" s="6"/>
      <c r="Z1799" s="6">
        <f ca="1">('TUSD BE'!$AM$63+'TUSD BF'!$AM$63+'TUSD CVA'!$AM$63)*1</f>
        <v>863.35061643044799</v>
      </c>
      <c r="AA1799" s="6">
        <f>('TE BE'!$AB$46+'TE BF'!$AB$46+'TE CVA'!$AB$46)*1</f>
        <v>218.6854278594964</v>
      </c>
      <c r="AB1799" s="6">
        <f>$K$1799*$V$1799</f>
        <v>0</v>
      </c>
      <c r="AC1799" s="6">
        <f>$M$1799*$W$1799</f>
        <v>104.2587</v>
      </c>
      <c r="AD1799" s="6">
        <f>$O$1799*$X$1799</f>
        <v>21.175560000000001</v>
      </c>
      <c r="AE1799" s="6">
        <f>$K$1799*$Y$1799</f>
        <v>0</v>
      </c>
      <c r="AF1799" s="6">
        <f ca="1">$M$1799*$Z$1799</f>
        <v>108.78217767023645</v>
      </c>
      <c r="AG1799" s="6">
        <f>$O$1799*$AA$1799</f>
        <v>27.554363910296548</v>
      </c>
    </row>
    <row r="1800" spans="1:33" ht="11.25" customHeight="1" x14ac:dyDescent="0.25">
      <c r="A1800" s="4" t="s">
        <v>21</v>
      </c>
      <c r="B1800" s="4" t="s">
        <v>39</v>
      </c>
      <c r="C1800" s="4" t="s">
        <v>35</v>
      </c>
      <c r="D1800" s="4" t="s">
        <v>48</v>
      </c>
      <c r="E1800" s="4" t="s">
        <v>25</v>
      </c>
      <c r="F1800" s="4" t="s">
        <v>25</v>
      </c>
      <c r="G1800" s="4" t="s">
        <v>25</v>
      </c>
      <c r="H1800" s="4" t="s">
        <v>38</v>
      </c>
      <c r="I1800" s="5">
        <v>44621</v>
      </c>
      <c r="J1800" s="6">
        <v>0</v>
      </c>
      <c r="K1800" s="6">
        <v>0</v>
      </c>
      <c r="L1800" s="6">
        <v>0.24299999999999999</v>
      </c>
      <c r="M1800" s="6">
        <v>0.24299999999999999</v>
      </c>
      <c r="N1800" s="6">
        <v>0.24299999999999999</v>
      </c>
      <c r="O1800" s="6">
        <v>0.24299999999999999</v>
      </c>
      <c r="P1800" s="6">
        <v>0</v>
      </c>
      <c r="Q1800" s="4" t="s">
        <v>26</v>
      </c>
      <c r="R1800" s="4">
        <v>0</v>
      </c>
      <c r="S1800" s="6">
        <v>0</v>
      </c>
      <c r="T1800" s="6">
        <v>65</v>
      </c>
      <c r="U1800" s="6">
        <v>109</v>
      </c>
      <c r="V1800" s="6">
        <f>IF(ISERROR(VLOOKUP($S$1800,'TAR FIN'!$A$1:$O$115,15,0)),0,VLOOKUP($S$1800,'TAR FIN'!$A$1:$O$115,15,0))</f>
        <v>0</v>
      </c>
      <c r="W1800" s="6">
        <f>IF(ISERROR(VLOOKUP($T$1800,'TAR FIN'!$A$1:$O$115,15,0)),0,VLOOKUP($T$1800,'TAR FIN'!$A$1:$O$115,15,0))</f>
        <v>827.45</v>
      </c>
      <c r="X1800" s="6">
        <f>IF(ISERROR(VLOOKUP($U$1800,'TAR FIN'!$A$1:$O$115,15,0)),0,VLOOKUP($U$1800,'TAR FIN'!$A$1:$O$115,15,0))</f>
        <v>168.06</v>
      </c>
      <c r="Y1800" s="6"/>
      <c r="Z1800" s="6">
        <f ca="1">('TUSD BE'!$AM$63+'TUSD BF'!$AM$63+'TUSD CVA'!$AM$63)*1</f>
        <v>863.35061643044799</v>
      </c>
      <c r="AA1800" s="6">
        <f>('TE BE'!$AB$46+'TE BF'!$AB$46+'TE CVA'!$AB$46)*1</f>
        <v>218.6854278594964</v>
      </c>
      <c r="AB1800" s="6">
        <f>$K$1800*$V$1800</f>
        <v>0</v>
      </c>
      <c r="AC1800" s="6">
        <f>$M$1800*$W$1800</f>
        <v>201.07035000000002</v>
      </c>
      <c r="AD1800" s="6">
        <f>$O$1800*$X$1800</f>
        <v>40.83858</v>
      </c>
      <c r="AE1800" s="6">
        <f>$K$1800*$Y$1800</f>
        <v>0</v>
      </c>
      <c r="AF1800" s="6">
        <f ca="1">$M$1800*$Z$1800</f>
        <v>209.79419979259885</v>
      </c>
      <c r="AG1800" s="6">
        <f>$O$1800*$AA$1800</f>
        <v>53.140558969857622</v>
      </c>
    </row>
    <row r="1801" spans="1:33" ht="11.25" customHeight="1" x14ac:dyDescent="0.25">
      <c r="A1801" s="4" t="s">
        <v>21</v>
      </c>
      <c r="B1801" s="4" t="s">
        <v>39</v>
      </c>
      <c r="C1801" s="4" t="s">
        <v>35</v>
      </c>
      <c r="D1801" s="4" t="s">
        <v>48</v>
      </c>
      <c r="E1801" s="4" t="s">
        <v>25</v>
      </c>
      <c r="F1801" s="4" t="s">
        <v>25</v>
      </c>
      <c r="G1801" s="4" t="s">
        <v>25</v>
      </c>
      <c r="H1801" s="4" t="s">
        <v>38</v>
      </c>
      <c r="I1801" s="5">
        <v>44652</v>
      </c>
      <c r="J1801" s="6">
        <v>0</v>
      </c>
      <c r="K1801" s="6">
        <v>0</v>
      </c>
      <c r="L1801" s="6">
        <v>0.185</v>
      </c>
      <c r="M1801" s="6">
        <v>0.185</v>
      </c>
      <c r="N1801" s="6">
        <v>0.185</v>
      </c>
      <c r="O1801" s="6">
        <v>0.185</v>
      </c>
      <c r="P1801" s="6">
        <v>0</v>
      </c>
      <c r="Q1801" s="4" t="s">
        <v>26</v>
      </c>
      <c r="R1801" s="4">
        <v>0</v>
      </c>
      <c r="S1801" s="6">
        <v>0</v>
      </c>
      <c r="T1801" s="6">
        <v>65</v>
      </c>
      <c r="U1801" s="6">
        <v>109</v>
      </c>
      <c r="V1801" s="6">
        <f>IF(ISERROR(VLOOKUP($S$1801,'TAR FIN'!$A$1:$O$115,15,0)),0,VLOOKUP($S$1801,'TAR FIN'!$A$1:$O$115,15,0))</f>
        <v>0</v>
      </c>
      <c r="W1801" s="6">
        <f>IF(ISERROR(VLOOKUP($T$1801,'TAR FIN'!$A$1:$O$115,15,0)),0,VLOOKUP($T$1801,'TAR FIN'!$A$1:$O$115,15,0))</f>
        <v>827.45</v>
      </c>
      <c r="X1801" s="6">
        <f>IF(ISERROR(VLOOKUP($U$1801,'TAR FIN'!$A$1:$O$115,15,0)),0,VLOOKUP($U$1801,'TAR FIN'!$A$1:$O$115,15,0))</f>
        <v>168.06</v>
      </c>
      <c r="Y1801" s="6"/>
      <c r="Z1801" s="6">
        <f ca="1">('TUSD BE'!$AM$63+'TUSD BF'!$AM$63+'TUSD CVA'!$AM$63)*1</f>
        <v>863.35061643044799</v>
      </c>
      <c r="AA1801" s="6">
        <f>('TE BE'!$AB$46+'TE BF'!$AB$46+'TE CVA'!$AB$46)*1</f>
        <v>218.6854278594964</v>
      </c>
      <c r="AB1801" s="6">
        <f>$K$1801*$V$1801</f>
        <v>0</v>
      </c>
      <c r="AC1801" s="6">
        <f>$M$1801*$W$1801</f>
        <v>153.07825</v>
      </c>
      <c r="AD1801" s="6">
        <f>$O$1801*$X$1801</f>
        <v>31.091100000000001</v>
      </c>
      <c r="AE1801" s="6">
        <f>$K$1801*$Y$1801</f>
        <v>0</v>
      </c>
      <c r="AF1801" s="6">
        <f ca="1">$M$1801*$Z$1801</f>
        <v>159.71986403963288</v>
      </c>
      <c r="AG1801" s="6">
        <f>$O$1801*$AA$1801</f>
        <v>40.456804154006832</v>
      </c>
    </row>
    <row r="1802" spans="1:33" ht="11.25" customHeight="1" x14ac:dyDescent="0.25">
      <c r="A1802" s="4" t="s">
        <v>27</v>
      </c>
      <c r="B1802" s="4" t="s">
        <v>39</v>
      </c>
      <c r="C1802" s="4" t="s">
        <v>35</v>
      </c>
      <c r="D1802" s="4" t="s">
        <v>48</v>
      </c>
      <c r="E1802" s="4" t="s">
        <v>25</v>
      </c>
      <c r="F1802" s="4" t="s">
        <v>25</v>
      </c>
      <c r="G1802" s="4" t="s">
        <v>25</v>
      </c>
      <c r="H1802" s="4" t="s">
        <v>38</v>
      </c>
      <c r="I1802" s="5">
        <v>44652</v>
      </c>
      <c r="J1802" s="6">
        <v>0</v>
      </c>
      <c r="K1802" s="6">
        <v>0</v>
      </c>
      <c r="L1802" s="6">
        <v>-6.7000000000000004E-2</v>
      </c>
      <c r="M1802" s="6">
        <v>-6.7000000000000004E-2</v>
      </c>
      <c r="N1802" s="6">
        <v>-6.7000000000000004E-2</v>
      </c>
      <c r="O1802" s="6">
        <v>-6.7000000000000004E-2</v>
      </c>
      <c r="P1802" s="6">
        <v>0</v>
      </c>
      <c r="Q1802" s="4" t="s">
        <v>26</v>
      </c>
      <c r="R1802" s="4">
        <v>0</v>
      </c>
      <c r="S1802" s="6">
        <v>0</v>
      </c>
      <c r="T1802" s="6">
        <v>65</v>
      </c>
      <c r="U1802" s="6">
        <v>109</v>
      </c>
      <c r="V1802" s="6">
        <f>IF(ISERROR(VLOOKUP($S$1802,'TAR FIN'!$A$1:$O$115,15,0)),0,VLOOKUP($S$1802,'TAR FIN'!$A$1:$O$115,15,0))</f>
        <v>0</v>
      </c>
      <c r="W1802" s="6">
        <f>IF(ISERROR(VLOOKUP($T$1802,'TAR FIN'!$A$1:$O$115,15,0)),0,VLOOKUP($T$1802,'TAR FIN'!$A$1:$O$115,15,0))</f>
        <v>827.45</v>
      </c>
      <c r="X1802" s="6">
        <f>IF(ISERROR(VLOOKUP($U$1802,'TAR FIN'!$A$1:$O$115,15,0)),0,VLOOKUP($U$1802,'TAR FIN'!$A$1:$O$115,15,0))</f>
        <v>168.06</v>
      </c>
      <c r="Y1802" s="6"/>
      <c r="Z1802" s="6">
        <f ca="1">('TUSD BE'!$AM$63+'TUSD BF'!$AM$63+'TUSD CVA'!$AM$63)*1</f>
        <v>863.35061643044799</v>
      </c>
      <c r="AA1802" s="6">
        <f>('TE BE'!$AB$46+'TE BF'!$AB$46+'TE CVA'!$AB$46)*1</f>
        <v>218.6854278594964</v>
      </c>
      <c r="AB1802" s="6">
        <f>$K$1802*$V$1802</f>
        <v>0</v>
      </c>
      <c r="AC1802" s="6">
        <f>$M$1802*$W$1802</f>
        <v>-55.439150000000005</v>
      </c>
      <c r="AD1802" s="6">
        <f>$O$1802*$X$1802</f>
        <v>-11.260020000000001</v>
      </c>
      <c r="AE1802" s="6">
        <f>$K$1802*$Y$1802</f>
        <v>0</v>
      </c>
      <c r="AF1802" s="6">
        <f ca="1">$M$1802*$Z$1802</f>
        <v>-57.844491300840019</v>
      </c>
      <c r="AG1802" s="6">
        <f>$O$1802*$AA$1802</f>
        <v>-14.65192366658626</v>
      </c>
    </row>
    <row r="1803" spans="1:33" ht="11.25" customHeight="1" x14ac:dyDescent="0.25">
      <c r="A1803" s="4" t="s">
        <v>21</v>
      </c>
      <c r="B1803" s="4" t="s">
        <v>39</v>
      </c>
      <c r="C1803" s="4" t="s">
        <v>35</v>
      </c>
      <c r="D1803" s="4" t="s">
        <v>48</v>
      </c>
      <c r="E1803" s="4" t="s">
        <v>25</v>
      </c>
      <c r="F1803" s="4" t="s">
        <v>25</v>
      </c>
      <c r="G1803" s="4" t="s">
        <v>25</v>
      </c>
      <c r="H1803" s="4" t="s">
        <v>38</v>
      </c>
      <c r="I1803" s="5">
        <v>44682</v>
      </c>
      <c r="J1803" s="6">
        <v>0</v>
      </c>
      <c r="K1803" s="6">
        <v>0</v>
      </c>
      <c r="L1803" s="6">
        <v>0.216</v>
      </c>
      <c r="M1803" s="6">
        <v>0.216</v>
      </c>
      <c r="N1803" s="6">
        <v>0.216</v>
      </c>
      <c r="O1803" s="6">
        <v>0.216</v>
      </c>
      <c r="P1803" s="6">
        <v>0</v>
      </c>
      <c r="Q1803" s="4" t="s">
        <v>26</v>
      </c>
      <c r="R1803" s="4">
        <v>0</v>
      </c>
      <c r="S1803" s="6">
        <v>0</v>
      </c>
      <c r="T1803" s="6">
        <v>65</v>
      </c>
      <c r="U1803" s="6">
        <v>109</v>
      </c>
      <c r="V1803" s="6">
        <f>IF(ISERROR(VLOOKUP($S$1803,'TAR FIN'!$A$1:$O$115,15,0)),0,VLOOKUP($S$1803,'TAR FIN'!$A$1:$O$115,15,0))</f>
        <v>0</v>
      </c>
      <c r="W1803" s="6">
        <f>IF(ISERROR(VLOOKUP($T$1803,'TAR FIN'!$A$1:$O$115,15,0)),0,VLOOKUP($T$1803,'TAR FIN'!$A$1:$O$115,15,0))</f>
        <v>827.45</v>
      </c>
      <c r="X1803" s="6">
        <f>IF(ISERROR(VLOOKUP($U$1803,'TAR FIN'!$A$1:$O$115,15,0)),0,VLOOKUP($U$1803,'TAR FIN'!$A$1:$O$115,15,0))</f>
        <v>168.06</v>
      </c>
      <c r="Y1803" s="6"/>
      <c r="Z1803" s="6">
        <f ca="1">('TUSD BE'!$AM$63+'TUSD BF'!$AM$63+'TUSD CVA'!$AM$63)*1</f>
        <v>863.35061643044799</v>
      </c>
      <c r="AA1803" s="6">
        <f>('TE BE'!$AB$46+'TE BF'!$AB$46+'TE CVA'!$AB$46)*1</f>
        <v>218.6854278594964</v>
      </c>
      <c r="AB1803" s="6">
        <f>$K$1803*$V$1803</f>
        <v>0</v>
      </c>
      <c r="AC1803" s="6">
        <f>$M$1803*$W$1803</f>
        <v>178.72920000000002</v>
      </c>
      <c r="AD1803" s="6">
        <f>$O$1803*$X$1803</f>
        <v>36.300960000000003</v>
      </c>
      <c r="AE1803" s="6">
        <f>$K$1803*$Y$1803</f>
        <v>0</v>
      </c>
      <c r="AF1803" s="6">
        <f ca="1">$M$1803*$Z$1803</f>
        <v>186.48373314897677</v>
      </c>
      <c r="AG1803" s="6">
        <f>$O$1803*$AA$1803</f>
        <v>47.236052417651223</v>
      </c>
    </row>
    <row r="1804" spans="1:33" ht="11.25" customHeight="1" x14ac:dyDescent="0.25">
      <c r="A1804" s="4" t="s">
        <v>21</v>
      </c>
      <c r="B1804" s="4" t="s">
        <v>39</v>
      </c>
      <c r="C1804" s="4" t="s">
        <v>35</v>
      </c>
      <c r="D1804" s="4" t="s">
        <v>48</v>
      </c>
      <c r="E1804" s="4" t="s">
        <v>25</v>
      </c>
      <c r="F1804" s="4" t="s">
        <v>25</v>
      </c>
      <c r="G1804" s="4" t="s">
        <v>25</v>
      </c>
      <c r="H1804" s="4" t="s">
        <v>38</v>
      </c>
      <c r="I1804" s="5">
        <v>44713</v>
      </c>
      <c r="J1804" s="6">
        <v>0</v>
      </c>
      <c r="K1804" s="6">
        <v>0</v>
      </c>
      <c r="L1804" s="6">
        <v>0.19800000000000001</v>
      </c>
      <c r="M1804" s="6">
        <v>0.19800000000000001</v>
      </c>
      <c r="N1804" s="6">
        <v>0.19800000000000001</v>
      </c>
      <c r="O1804" s="6">
        <v>0.19800000000000001</v>
      </c>
      <c r="P1804" s="6">
        <v>0</v>
      </c>
      <c r="Q1804" s="4" t="s">
        <v>26</v>
      </c>
      <c r="R1804" s="4">
        <v>0</v>
      </c>
      <c r="S1804" s="6">
        <v>0</v>
      </c>
      <c r="T1804" s="6">
        <v>65</v>
      </c>
      <c r="U1804" s="6">
        <v>109</v>
      </c>
      <c r="V1804" s="6">
        <f>IF(ISERROR(VLOOKUP($S$1804,'TAR FIN'!$A$1:$O$115,15,0)),0,VLOOKUP($S$1804,'TAR FIN'!$A$1:$O$115,15,0))</f>
        <v>0</v>
      </c>
      <c r="W1804" s="6">
        <f>IF(ISERROR(VLOOKUP($T$1804,'TAR FIN'!$A$1:$O$115,15,0)),0,VLOOKUP($T$1804,'TAR FIN'!$A$1:$O$115,15,0))</f>
        <v>827.45</v>
      </c>
      <c r="X1804" s="6">
        <f>IF(ISERROR(VLOOKUP($U$1804,'TAR FIN'!$A$1:$O$115,15,0)),0,VLOOKUP($U$1804,'TAR FIN'!$A$1:$O$115,15,0))</f>
        <v>168.06</v>
      </c>
      <c r="Y1804" s="6"/>
      <c r="Z1804" s="6">
        <f ca="1">('TUSD BE'!$AM$63+'TUSD BF'!$AM$63+'TUSD CVA'!$AM$63)*1</f>
        <v>863.35061643044799</v>
      </c>
      <c r="AA1804" s="6">
        <f>('TE BE'!$AB$46+'TE BF'!$AB$46+'TE CVA'!$AB$46)*1</f>
        <v>218.6854278594964</v>
      </c>
      <c r="AB1804" s="6">
        <f>$K$1804*$V$1804</f>
        <v>0</v>
      </c>
      <c r="AC1804" s="6">
        <f>$M$1804*$W$1804</f>
        <v>163.83510000000001</v>
      </c>
      <c r="AD1804" s="6">
        <f>$O$1804*$X$1804</f>
        <v>33.275880000000001</v>
      </c>
      <c r="AE1804" s="6">
        <f>$K$1804*$Y$1804</f>
        <v>0</v>
      </c>
      <c r="AF1804" s="6">
        <f ca="1">$M$1804*$Z$1804</f>
        <v>170.94342205322872</v>
      </c>
      <c r="AG1804" s="6">
        <f>$O$1804*$AA$1804</f>
        <v>43.29971471618029</v>
      </c>
    </row>
    <row r="1805" spans="1:33" ht="11.25" customHeight="1" x14ac:dyDescent="0.25">
      <c r="A1805" s="4" t="s">
        <v>28</v>
      </c>
      <c r="B1805" s="4" t="s">
        <v>39</v>
      </c>
      <c r="C1805" s="4" t="s">
        <v>35</v>
      </c>
      <c r="D1805" s="4" t="s">
        <v>48</v>
      </c>
      <c r="E1805" s="4" t="s">
        <v>25</v>
      </c>
      <c r="F1805" s="4" t="s">
        <v>25</v>
      </c>
      <c r="G1805" s="4" t="s">
        <v>25</v>
      </c>
      <c r="H1805" s="4" t="s">
        <v>38</v>
      </c>
      <c r="I1805" s="5">
        <v>44713</v>
      </c>
      <c r="J1805" s="6">
        <v>0</v>
      </c>
      <c r="K1805" s="6">
        <v>0</v>
      </c>
      <c r="L1805" s="6">
        <v>4.0000000000000001E-3</v>
      </c>
      <c r="M1805" s="6">
        <v>4.0000000000000001E-3</v>
      </c>
      <c r="N1805" s="6">
        <v>4.0000000000000001E-3</v>
      </c>
      <c r="O1805" s="6">
        <v>4.0000000000000001E-3</v>
      </c>
      <c r="P1805" s="6">
        <v>0</v>
      </c>
      <c r="Q1805" s="4" t="s">
        <v>26</v>
      </c>
      <c r="R1805" s="4">
        <v>0</v>
      </c>
      <c r="S1805" s="6">
        <v>0</v>
      </c>
      <c r="T1805" s="6">
        <v>65</v>
      </c>
      <c r="U1805" s="6">
        <v>109</v>
      </c>
      <c r="V1805" s="6">
        <f>IF(ISERROR(VLOOKUP($S$1805,'TAR FIN'!$A$1:$O$115,15,0)),0,VLOOKUP($S$1805,'TAR FIN'!$A$1:$O$115,15,0))</f>
        <v>0</v>
      </c>
      <c r="W1805" s="6">
        <f>IF(ISERROR(VLOOKUP($T$1805,'TAR FIN'!$A$1:$O$115,15,0)),0,VLOOKUP($T$1805,'TAR FIN'!$A$1:$O$115,15,0))</f>
        <v>827.45</v>
      </c>
      <c r="X1805" s="6">
        <f>IF(ISERROR(VLOOKUP($U$1805,'TAR FIN'!$A$1:$O$115,15,0)),0,VLOOKUP($U$1805,'TAR FIN'!$A$1:$O$115,15,0))</f>
        <v>168.06</v>
      </c>
      <c r="Y1805" s="6"/>
      <c r="Z1805" s="6">
        <f ca="1">('TUSD BE'!$AM$63+'TUSD BF'!$AM$63+'TUSD CVA'!$AM$63)*1</f>
        <v>863.35061643044799</v>
      </c>
      <c r="AA1805" s="6">
        <f>('TE BE'!$AB$46+'TE BF'!$AB$46+'TE CVA'!$AB$46)*1</f>
        <v>218.6854278594964</v>
      </c>
      <c r="AB1805" s="6">
        <f>$K$1805*$V$1805</f>
        <v>0</v>
      </c>
      <c r="AC1805" s="6">
        <f>$M$1805*$W$1805</f>
        <v>3.3098000000000001</v>
      </c>
      <c r="AD1805" s="6">
        <f>$O$1805*$X$1805</f>
        <v>0.67224000000000006</v>
      </c>
      <c r="AE1805" s="6">
        <f>$K$1805*$Y$1805</f>
        <v>0</v>
      </c>
      <c r="AF1805" s="6">
        <f ca="1">$M$1805*$Z$1805</f>
        <v>3.4534024657217919</v>
      </c>
      <c r="AG1805" s="6">
        <f>$O$1805*$AA$1805</f>
        <v>0.87474171143798563</v>
      </c>
    </row>
    <row r="1806" spans="1:33" ht="11.25" customHeight="1" x14ac:dyDescent="0.25">
      <c r="A1806" s="4" t="s">
        <v>21</v>
      </c>
      <c r="B1806" s="4" t="s">
        <v>39</v>
      </c>
      <c r="C1806" s="4" t="s">
        <v>35</v>
      </c>
      <c r="D1806" s="4" t="s">
        <v>48</v>
      </c>
      <c r="E1806" s="4" t="s">
        <v>25</v>
      </c>
      <c r="F1806" s="4" t="s">
        <v>25</v>
      </c>
      <c r="G1806" s="4" t="s">
        <v>25</v>
      </c>
      <c r="H1806" s="4" t="s">
        <v>38</v>
      </c>
      <c r="I1806" s="5">
        <v>44743</v>
      </c>
      <c r="J1806" s="6">
        <v>0</v>
      </c>
      <c r="K1806" s="6">
        <v>0</v>
      </c>
      <c r="L1806" s="6">
        <v>0.32500000000000001</v>
      </c>
      <c r="M1806" s="6">
        <v>0.32500000000000001</v>
      </c>
      <c r="N1806" s="6">
        <v>0.32500000000000001</v>
      </c>
      <c r="O1806" s="6">
        <v>0.32500000000000001</v>
      </c>
      <c r="P1806" s="6">
        <v>0</v>
      </c>
      <c r="Q1806" s="4" t="s">
        <v>26</v>
      </c>
      <c r="R1806" s="4">
        <v>0</v>
      </c>
      <c r="S1806" s="6">
        <v>0</v>
      </c>
      <c r="T1806" s="6">
        <v>65</v>
      </c>
      <c r="U1806" s="6">
        <v>109</v>
      </c>
      <c r="V1806" s="6">
        <f>IF(ISERROR(VLOOKUP($S$1806,'TAR FIN'!$A$1:$O$115,15,0)),0,VLOOKUP($S$1806,'TAR FIN'!$A$1:$O$115,15,0))</f>
        <v>0</v>
      </c>
      <c r="W1806" s="6">
        <f>IF(ISERROR(VLOOKUP($T$1806,'TAR FIN'!$A$1:$O$115,15,0)),0,VLOOKUP($T$1806,'TAR FIN'!$A$1:$O$115,15,0))</f>
        <v>827.45</v>
      </c>
      <c r="X1806" s="6">
        <f>IF(ISERROR(VLOOKUP($U$1806,'TAR FIN'!$A$1:$O$115,15,0)),0,VLOOKUP($U$1806,'TAR FIN'!$A$1:$O$115,15,0))</f>
        <v>168.06</v>
      </c>
      <c r="Y1806" s="6"/>
      <c r="Z1806" s="6">
        <f ca="1">('TUSD BE'!$AM$63+'TUSD BF'!$AM$63+'TUSD CVA'!$AM$63)*1</f>
        <v>863.35061643044799</v>
      </c>
      <c r="AA1806" s="6">
        <f>('TE BE'!$AB$46+'TE BF'!$AB$46+'TE CVA'!$AB$46)*1</f>
        <v>218.6854278594964</v>
      </c>
      <c r="AB1806" s="6">
        <f>$K$1806*$V$1806</f>
        <v>0</v>
      </c>
      <c r="AC1806" s="6">
        <f>$M$1806*$W$1806</f>
        <v>268.92125000000004</v>
      </c>
      <c r="AD1806" s="6">
        <f>$O$1806*$X$1806</f>
        <v>54.619500000000002</v>
      </c>
      <c r="AE1806" s="6">
        <f>$K$1806*$Y$1806</f>
        <v>0</v>
      </c>
      <c r="AF1806" s="6">
        <f ca="1">$M$1806*$Z$1806</f>
        <v>280.58895033989563</v>
      </c>
      <c r="AG1806" s="6">
        <f>$O$1806*$AA$1806</f>
        <v>71.072764054336332</v>
      </c>
    </row>
    <row r="1807" spans="1:33" ht="11.25" customHeight="1" x14ac:dyDescent="0.25">
      <c r="A1807" s="4" t="s">
        <v>28</v>
      </c>
      <c r="B1807" s="4" t="s">
        <v>39</v>
      </c>
      <c r="C1807" s="4" t="s">
        <v>35</v>
      </c>
      <c r="D1807" s="4" t="s">
        <v>48</v>
      </c>
      <c r="E1807" s="4" t="s">
        <v>25</v>
      </c>
      <c r="F1807" s="4" t="s">
        <v>25</v>
      </c>
      <c r="G1807" s="4" t="s">
        <v>25</v>
      </c>
      <c r="H1807" s="4" t="s">
        <v>38</v>
      </c>
      <c r="I1807" s="5">
        <v>44743</v>
      </c>
      <c r="J1807" s="6">
        <v>0</v>
      </c>
      <c r="K1807" s="6">
        <v>0</v>
      </c>
      <c r="L1807" s="6">
        <v>6.0000000000000001E-3</v>
      </c>
      <c r="M1807" s="6">
        <v>6.0000000000000001E-3</v>
      </c>
      <c r="N1807" s="6">
        <v>6.0000000000000001E-3</v>
      </c>
      <c r="O1807" s="6">
        <v>6.0000000000000001E-3</v>
      </c>
      <c r="P1807" s="6">
        <v>0</v>
      </c>
      <c r="Q1807" s="4" t="s">
        <v>26</v>
      </c>
      <c r="R1807" s="4">
        <v>0</v>
      </c>
      <c r="S1807" s="6">
        <v>0</v>
      </c>
      <c r="T1807" s="6">
        <v>65</v>
      </c>
      <c r="U1807" s="6">
        <v>109</v>
      </c>
      <c r="V1807" s="6">
        <f>IF(ISERROR(VLOOKUP($S$1807,'TAR FIN'!$A$1:$O$115,15,0)),0,VLOOKUP($S$1807,'TAR FIN'!$A$1:$O$115,15,0))</f>
        <v>0</v>
      </c>
      <c r="W1807" s="6">
        <f>IF(ISERROR(VLOOKUP($T$1807,'TAR FIN'!$A$1:$O$115,15,0)),0,VLOOKUP($T$1807,'TAR FIN'!$A$1:$O$115,15,0))</f>
        <v>827.45</v>
      </c>
      <c r="X1807" s="6">
        <f>IF(ISERROR(VLOOKUP($U$1807,'TAR FIN'!$A$1:$O$115,15,0)),0,VLOOKUP($U$1807,'TAR FIN'!$A$1:$O$115,15,0))</f>
        <v>168.06</v>
      </c>
      <c r="Y1807" s="6"/>
      <c r="Z1807" s="6">
        <f ca="1">('TUSD BE'!$AM$63+'TUSD BF'!$AM$63+'TUSD CVA'!$AM$63)*1</f>
        <v>863.35061643044799</v>
      </c>
      <c r="AA1807" s="6">
        <f>('TE BE'!$AB$46+'TE BF'!$AB$46+'TE CVA'!$AB$46)*1</f>
        <v>218.6854278594964</v>
      </c>
      <c r="AB1807" s="6">
        <f>$K$1807*$V$1807</f>
        <v>0</v>
      </c>
      <c r="AC1807" s="6">
        <f>$M$1807*$W$1807</f>
        <v>4.9647000000000006</v>
      </c>
      <c r="AD1807" s="6">
        <f>$O$1807*$X$1807</f>
        <v>1.0083600000000001</v>
      </c>
      <c r="AE1807" s="6">
        <f>$K$1807*$Y$1807</f>
        <v>0</v>
      </c>
      <c r="AF1807" s="6">
        <f ca="1">$M$1807*$Z$1807</f>
        <v>5.1801036985826876</v>
      </c>
      <c r="AG1807" s="6">
        <f>$O$1807*$AA$1807</f>
        <v>1.3121125671569784</v>
      </c>
    </row>
    <row r="1808" spans="1:33" ht="11.25" customHeight="1" x14ac:dyDescent="0.25">
      <c r="A1808" s="4" t="s">
        <v>21</v>
      </c>
      <c r="B1808" s="4" t="s">
        <v>39</v>
      </c>
      <c r="C1808" s="4" t="s">
        <v>35</v>
      </c>
      <c r="D1808" s="4" t="s">
        <v>48</v>
      </c>
      <c r="E1808" s="4" t="s">
        <v>25</v>
      </c>
      <c r="F1808" s="4" t="s">
        <v>25</v>
      </c>
      <c r="G1808" s="4" t="s">
        <v>25</v>
      </c>
      <c r="H1808" s="4" t="s">
        <v>38</v>
      </c>
      <c r="I1808" s="5">
        <v>44774</v>
      </c>
      <c r="J1808" s="6">
        <v>0</v>
      </c>
      <c r="K1808" s="6">
        <v>0</v>
      </c>
      <c r="L1808" s="6">
        <v>2.6070000000000002</v>
      </c>
      <c r="M1808" s="6">
        <v>2.6070000000000002</v>
      </c>
      <c r="N1808" s="6">
        <v>2.6070000000000002</v>
      </c>
      <c r="O1808" s="6">
        <v>2.6070000000000002</v>
      </c>
      <c r="P1808" s="6">
        <v>0</v>
      </c>
      <c r="Q1808" s="4" t="s">
        <v>26</v>
      </c>
      <c r="R1808" s="4">
        <v>0</v>
      </c>
      <c r="S1808" s="6">
        <v>0</v>
      </c>
      <c r="T1808" s="6">
        <v>65</v>
      </c>
      <c r="U1808" s="6">
        <v>109</v>
      </c>
      <c r="V1808" s="6">
        <f>IF(ISERROR(VLOOKUP($S$1808,'TAR FIN'!$A$1:$O$115,15,0)),0,VLOOKUP($S$1808,'TAR FIN'!$A$1:$O$115,15,0))</f>
        <v>0</v>
      </c>
      <c r="W1808" s="6">
        <f>IF(ISERROR(VLOOKUP($T$1808,'TAR FIN'!$A$1:$O$115,15,0)),0,VLOOKUP($T$1808,'TAR FIN'!$A$1:$O$115,15,0))</f>
        <v>827.45</v>
      </c>
      <c r="X1808" s="6">
        <f>IF(ISERROR(VLOOKUP($U$1808,'TAR FIN'!$A$1:$O$115,15,0)),0,VLOOKUP($U$1808,'TAR FIN'!$A$1:$O$115,15,0))</f>
        <v>168.06</v>
      </c>
      <c r="Y1808" s="6"/>
      <c r="Z1808" s="6">
        <f ca="1">('TUSD BE'!$AM$63+'TUSD BF'!$AM$63+'TUSD CVA'!$AM$63)*1</f>
        <v>863.35061643044799</v>
      </c>
      <c r="AA1808" s="6">
        <f>('TE BE'!$AB$46+'TE BF'!$AB$46+'TE CVA'!$AB$46)*1</f>
        <v>218.6854278594964</v>
      </c>
      <c r="AB1808" s="6">
        <f>$K$1808*$V$1808</f>
        <v>0</v>
      </c>
      <c r="AC1808" s="6">
        <f>$M$1808*$W$1808</f>
        <v>2157.1621500000001</v>
      </c>
      <c r="AD1808" s="6">
        <f>$O$1808*$X$1808</f>
        <v>438.13242000000002</v>
      </c>
      <c r="AE1808" s="6">
        <f>$K$1808*$Y$1808</f>
        <v>0</v>
      </c>
      <c r="AF1808" s="6">
        <f ca="1">$M$1808*$Z$1808</f>
        <v>2250.7550570341782</v>
      </c>
      <c r="AG1808" s="6">
        <f>$O$1808*$AA$1808</f>
        <v>570.1129104297072</v>
      </c>
    </row>
    <row r="1809" spans="1:33" ht="11.25" customHeight="1" x14ac:dyDescent="0.25">
      <c r="A1809" s="4" t="s">
        <v>27</v>
      </c>
      <c r="B1809" s="4" t="s">
        <v>39</v>
      </c>
      <c r="C1809" s="4" t="s">
        <v>35</v>
      </c>
      <c r="D1809" s="4" t="s">
        <v>48</v>
      </c>
      <c r="E1809" s="4" t="s">
        <v>25</v>
      </c>
      <c r="F1809" s="4" t="s">
        <v>25</v>
      </c>
      <c r="G1809" s="4" t="s">
        <v>25</v>
      </c>
      <c r="H1809" s="4" t="s">
        <v>38</v>
      </c>
      <c r="I1809" s="5">
        <v>44774</v>
      </c>
      <c r="J1809" s="6">
        <v>0</v>
      </c>
      <c r="K1809" s="6">
        <v>0</v>
      </c>
      <c r="L1809" s="6">
        <v>8.9999999999999993E-3</v>
      </c>
      <c r="M1809" s="6">
        <v>8.9999999999999993E-3</v>
      </c>
      <c r="N1809" s="6">
        <v>8.9999999999999993E-3</v>
      </c>
      <c r="O1809" s="6">
        <v>8.9999999999999993E-3</v>
      </c>
      <c r="P1809" s="6">
        <v>0</v>
      </c>
      <c r="Q1809" s="4" t="s">
        <v>26</v>
      </c>
      <c r="R1809" s="4">
        <v>0</v>
      </c>
      <c r="S1809" s="6">
        <v>0</v>
      </c>
      <c r="T1809" s="6">
        <v>65</v>
      </c>
      <c r="U1809" s="6">
        <v>109</v>
      </c>
      <c r="V1809" s="6">
        <f>IF(ISERROR(VLOOKUP($S$1809,'TAR FIN'!$A$1:$O$115,15,0)),0,VLOOKUP($S$1809,'TAR FIN'!$A$1:$O$115,15,0))</f>
        <v>0</v>
      </c>
      <c r="W1809" s="6">
        <f>IF(ISERROR(VLOOKUP($T$1809,'TAR FIN'!$A$1:$O$115,15,0)),0,VLOOKUP($T$1809,'TAR FIN'!$A$1:$O$115,15,0))</f>
        <v>827.45</v>
      </c>
      <c r="X1809" s="6">
        <f>IF(ISERROR(VLOOKUP($U$1809,'TAR FIN'!$A$1:$O$115,15,0)),0,VLOOKUP($U$1809,'TAR FIN'!$A$1:$O$115,15,0))</f>
        <v>168.06</v>
      </c>
      <c r="Y1809" s="6"/>
      <c r="Z1809" s="6">
        <f ca="1">('TUSD BE'!$AM$63+'TUSD BF'!$AM$63+'TUSD CVA'!$AM$63)*1</f>
        <v>863.35061643044799</v>
      </c>
      <c r="AA1809" s="6">
        <f>('TE BE'!$AB$46+'TE BF'!$AB$46+'TE CVA'!$AB$46)*1</f>
        <v>218.6854278594964</v>
      </c>
      <c r="AB1809" s="6">
        <f>$K$1809*$V$1809</f>
        <v>0</v>
      </c>
      <c r="AC1809" s="6">
        <f>$M$1809*$W$1809</f>
        <v>7.4470499999999999</v>
      </c>
      <c r="AD1809" s="6">
        <f>$O$1809*$X$1809</f>
        <v>1.51254</v>
      </c>
      <c r="AE1809" s="6">
        <f>$K$1809*$Y$1809</f>
        <v>0</v>
      </c>
      <c r="AF1809" s="6">
        <f ca="1">$M$1809*$Z$1809</f>
        <v>7.7701555478740314</v>
      </c>
      <c r="AG1809" s="6">
        <f>$O$1809*$AA$1809</f>
        <v>1.9681688507354675</v>
      </c>
    </row>
    <row r="1810" spans="1:33" ht="11.25" customHeight="1" x14ac:dyDescent="0.25">
      <c r="A1810" s="4" t="s">
        <v>28</v>
      </c>
      <c r="B1810" s="4" t="s">
        <v>39</v>
      </c>
      <c r="C1810" s="4" t="s">
        <v>35</v>
      </c>
      <c r="D1810" s="4" t="s">
        <v>48</v>
      </c>
      <c r="E1810" s="4" t="s">
        <v>25</v>
      </c>
      <c r="F1810" s="4" t="s">
        <v>25</v>
      </c>
      <c r="G1810" s="4" t="s">
        <v>25</v>
      </c>
      <c r="H1810" s="4" t="s">
        <v>38</v>
      </c>
      <c r="I1810" s="5">
        <v>44774</v>
      </c>
      <c r="J1810" s="6">
        <v>0</v>
      </c>
      <c r="K1810" s="6">
        <v>0</v>
      </c>
      <c r="L1810" s="6">
        <v>5.0000000000000001E-3</v>
      </c>
      <c r="M1810" s="6">
        <v>5.0000000000000001E-3</v>
      </c>
      <c r="N1810" s="6">
        <v>5.0000000000000001E-3</v>
      </c>
      <c r="O1810" s="6">
        <v>5.0000000000000001E-3</v>
      </c>
      <c r="P1810" s="6">
        <v>0</v>
      </c>
      <c r="Q1810" s="4" t="s">
        <v>26</v>
      </c>
      <c r="R1810" s="4">
        <v>0</v>
      </c>
      <c r="S1810" s="6">
        <v>0</v>
      </c>
      <c r="T1810" s="6">
        <v>65</v>
      </c>
      <c r="U1810" s="6">
        <v>109</v>
      </c>
      <c r="V1810" s="6">
        <f>IF(ISERROR(VLOOKUP($S$1810,'TAR FIN'!$A$1:$O$115,15,0)),0,VLOOKUP($S$1810,'TAR FIN'!$A$1:$O$115,15,0))</f>
        <v>0</v>
      </c>
      <c r="W1810" s="6">
        <f>IF(ISERROR(VLOOKUP($T$1810,'TAR FIN'!$A$1:$O$115,15,0)),0,VLOOKUP($T$1810,'TAR FIN'!$A$1:$O$115,15,0))</f>
        <v>827.45</v>
      </c>
      <c r="X1810" s="6">
        <f>IF(ISERROR(VLOOKUP($U$1810,'TAR FIN'!$A$1:$O$115,15,0)),0,VLOOKUP($U$1810,'TAR FIN'!$A$1:$O$115,15,0))</f>
        <v>168.06</v>
      </c>
      <c r="Y1810" s="6"/>
      <c r="Z1810" s="6">
        <f ca="1">('TUSD BE'!$AM$63+'TUSD BF'!$AM$63+'TUSD CVA'!$AM$63)*1</f>
        <v>863.35061643044799</v>
      </c>
      <c r="AA1810" s="6">
        <f>('TE BE'!$AB$46+'TE BF'!$AB$46+'TE CVA'!$AB$46)*1</f>
        <v>218.6854278594964</v>
      </c>
      <c r="AB1810" s="6">
        <f>$K$1810*$V$1810</f>
        <v>0</v>
      </c>
      <c r="AC1810" s="6">
        <f>$M$1810*$W$1810</f>
        <v>4.1372499999999999</v>
      </c>
      <c r="AD1810" s="6">
        <f>$O$1810*$X$1810</f>
        <v>0.84030000000000005</v>
      </c>
      <c r="AE1810" s="6">
        <f>$K$1810*$Y$1810</f>
        <v>0</v>
      </c>
      <c r="AF1810" s="6">
        <f ca="1">$M$1810*$Z$1810</f>
        <v>4.31675308215224</v>
      </c>
      <c r="AG1810" s="6">
        <f>$O$1810*$AA$1810</f>
        <v>1.0934271392974819</v>
      </c>
    </row>
    <row r="1811" spans="1:33" ht="11.25" customHeight="1" x14ac:dyDescent="0.25">
      <c r="A1811" s="4" t="s">
        <v>21</v>
      </c>
      <c r="B1811" s="4" t="s">
        <v>39</v>
      </c>
      <c r="C1811" s="4" t="s">
        <v>35</v>
      </c>
      <c r="D1811" s="4" t="s">
        <v>48</v>
      </c>
      <c r="E1811" s="4" t="s">
        <v>25</v>
      </c>
      <c r="F1811" s="4" t="s">
        <v>25</v>
      </c>
      <c r="G1811" s="4" t="s">
        <v>25</v>
      </c>
      <c r="H1811" s="4" t="s">
        <v>38</v>
      </c>
      <c r="I1811" s="5">
        <v>44805</v>
      </c>
      <c r="J1811" s="6">
        <v>0</v>
      </c>
      <c r="K1811" s="6">
        <v>0</v>
      </c>
      <c r="L1811" s="6">
        <v>0.439</v>
      </c>
      <c r="M1811" s="6">
        <v>0.439</v>
      </c>
      <c r="N1811" s="6">
        <v>0.439</v>
      </c>
      <c r="O1811" s="6">
        <v>0.439</v>
      </c>
      <c r="P1811" s="6">
        <v>0</v>
      </c>
      <c r="Q1811" s="4" t="s">
        <v>26</v>
      </c>
      <c r="R1811" s="4">
        <v>0</v>
      </c>
      <c r="S1811" s="6">
        <v>0</v>
      </c>
      <c r="T1811" s="6">
        <v>65</v>
      </c>
      <c r="U1811" s="6">
        <v>109</v>
      </c>
      <c r="V1811" s="6">
        <f>IF(ISERROR(VLOOKUP($S$1811,'TAR FIN'!$A$1:$O$115,15,0)),0,VLOOKUP($S$1811,'TAR FIN'!$A$1:$O$115,15,0))</f>
        <v>0</v>
      </c>
      <c r="W1811" s="6">
        <f>IF(ISERROR(VLOOKUP($T$1811,'TAR FIN'!$A$1:$O$115,15,0)),0,VLOOKUP($T$1811,'TAR FIN'!$A$1:$O$115,15,0))</f>
        <v>827.45</v>
      </c>
      <c r="X1811" s="6">
        <f>IF(ISERROR(VLOOKUP($U$1811,'TAR FIN'!$A$1:$O$115,15,0)),0,VLOOKUP($U$1811,'TAR FIN'!$A$1:$O$115,15,0))</f>
        <v>168.06</v>
      </c>
      <c r="Y1811" s="6"/>
      <c r="Z1811" s="6">
        <f ca="1">('TUSD BE'!$AM$63+'TUSD BF'!$AM$63+'TUSD CVA'!$AM$63)*1</f>
        <v>863.35061643044799</v>
      </c>
      <c r="AA1811" s="6">
        <f>('TE BE'!$AB$46+'TE BF'!$AB$46+'TE CVA'!$AB$46)*1</f>
        <v>218.6854278594964</v>
      </c>
      <c r="AB1811" s="6">
        <f>$K$1811*$V$1811</f>
        <v>0</v>
      </c>
      <c r="AC1811" s="6">
        <f>$M$1811*$W$1811</f>
        <v>363.25055000000003</v>
      </c>
      <c r="AD1811" s="6">
        <f>$O$1811*$X$1811</f>
        <v>73.77834</v>
      </c>
      <c r="AE1811" s="6">
        <f>$K$1811*$Y$1811</f>
        <v>0</v>
      </c>
      <c r="AF1811" s="6">
        <f ca="1">$M$1811*$Z$1811</f>
        <v>379.01092061296669</v>
      </c>
      <c r="AG1811" s="6">
        <f>$O$1811*$AA$1811</f>
        <v>96.002902830318916</v>
      </c>
    </row>
    <row r="1812" spans="1:33" ht="11.25" customHeight="1" x14ac:dyDescent="0.25">
      <c r="A1812" s="4" t="s">
        <v>28</v>
      </c>
      <c r="B1812" s="4" t="s">
        <v>39</v>
      </c>
      <c r="C1812" s="4" t="s">
        <v>35</v>
      </c>
      <c r="D1812" s="4" t="s">
        <v>48</v>
      </c>
      <c r="E1812" s="4" t="s">
        <v>25</v>
      </c>
      <c r="F1812" s="4" t="s">
        <v>25</v>
      </c>
      <c r="G1812" s="4" t="s">
        <v>25</v>
      </c>
      <c r="H1812" s="4" t="s">
        <v>38</v>
      </c>
      <c r="I1812" s="5">
        <v>44805</v>
      </c>
      <c r="J1812" s="6">
        <v>0</v>
      </c>
      <c r="K1812" s="6">
        <v>0</v>
      </c>
      <c r="L1812" s="6">
        <v>6.0000000000000001E-3</v>
      </c>
      <c r="M1812" s="6">
        <v>6.0000000000000001E-3</v>
      </c>
      <c r="N1812" s="6">
        <v>6.0000000000000001E-3</v>
      </c>
      <c r="O1812" s="6">
        <v>6.0000000000000001E-3</v>
      </c>
      <c r="P1812" s="6">
        <v>0</v>
      </c>
      <c r="Q1812" s="4" t="s">
        <v>26</v>
      </c>
      <c r="R1812" s="4">
        <v>0</v>
      </c>
      <c r="S1812" s="6">
        <v>0</v>
      </c>
      <c r="T1812" s="6">
        <v>65</v>
      </c>
      <c r="U1812" s="6">
        <v>109</v>
      </c>
      <c r="V1812" s="6">
        <f>IF(ISERROR(VLOOKUP($S$1812,'TAR FIN'!$A$1:$O$115,15,0)),0,VLOOKUP($S$1812,'TAR FIN'!$A$1:$O$115,15,0))</f>
        <v>0</v>
      </c>
      <c r="W1812" s="6">
        <f>IF(ISERROR(VLOOKUP($T$1812,'TAR FIN'!$A$1:$O$115,15,0)),0,VLOOKUP($T$1812,'TAR FIN'!$A$1:$O$115,15,0))</f>
        <v>827.45</v>
      </c>
      <c r="X1812" s="6">
        <f>IF(ISERROR(VLOOKUP($U$1812,'TAR FIN'!$A$1:$O$115,15,0)),0,VLOOKUP($U$1812,'TAR FIN'!$A$1:$O$115,15,0))</f>
        <v>168.06</v>
      </c>
      <c r="Y1812" s="6"/>
      <c r="Z1812" s="6">
        <f ca="1">('TUSD BE'!$AM$63+'TUSD BF'!$AM$63+'TUSD CVA'!$AM$63)*1</f>
        <v>863.35061643044799</v>
      </c>
      <c r="AA1812" s="6">
        <f>('TE BE'!$AB$46+'TE BF'!$AB$46+'TE CVA'!$AB$46)*1</f>
        <v>218.6854278594964</v>
      </c>
      <c r="AB1812" s="6">
        <f>$K$1812*$V$1812</f>
        <v>0</v>
      </c>
      <c r="AC1812" s="6">
        <f>$M$1812*$W$1812</f>
        <v>4.9647000000000006</v>
      </c>
      <c r="AD1812" s="6">
        <f>$O$1812*$X$1812</f>
        <v>1.0083600000000001</v>
      </c>
      <c r="AE1812" s="6">
        <f>$K$1812*$Y$1812</f>
        <v>0</v>
      </c>
      <c r="AF1812" s="6">
        <f ca="1">$M$1812*$Z$1812</f>
        <v>5.1801036985826876</v>
      </c>
      <c r="AG1812" s="6">
        <f>$O$1812*$AA$1812</f>
        <v>1.3121125671569784</v>
      </c>
    </row>
    <row r="1813" spans="1:33" ht="11.25" customHeight="1" x14ac:dyDescent="0.25">
      <c r="A1813" s="4" t="s">
        <v>21</v>
      </c>
      <c r="B1813" s="4" t="s">
        <v>39</v>
      </c>
      <c r="C1813" s="4" t="s">
        <v>35</v>
      </c>
      <c r="D1813" s="4" t="s">
        <v>48</v>
      </c>
      <c r="E1813" s="4" t="s">
        <v>25</v>
      </c>
      <c r="F1813" s="4" t="s">
        <v>25</v>
      </c>
      <c r="G1813" s="4" t="s">
        <v>25</v>
      </c>
      <c r="H1813" s="4" t="s">
        <v>38</v>
      </c>
      <c r="I1813" s="5">
        <v>44835</v>
      </c>
      <c r="J1813" s="6">
        <v>0</v>
      </c>
      <c r="K1813" s="6">
        <v>0</v>
      </c>
      <c r="L1813" s="6">
        <v>0.55700000000000005</v>
      </c>
      <c r="M1813" s="6">
        <v>0.55700000000000005</v>
      </c>
      <c r="N1813" s="6">
        <v>0.55700000000000005</v>
      </c>
      <c r="O1813" s="6">
        <v>0.55700000000000005</v>
      </c>
      <c r="P1813" s="6">
        <v>0</v>
      </c>
      <c r="Q1813" s="4" t="s">
        <v>26</v>
      </c>
      <c r="R1813" s="4">
        <v>0</v>
      </c>
      <c r="S1813" s="6">
        <v>0</v>
      </c>
      <c r="T1813" s="6">
        <v>65</v>
      </c>
      <c r="U1813" s="6">
        <v>109</v>
      </c>
      <c r="V1813" s="6">
        <f>IF(ISERROR(VLOOKUP($S$1813,'TAR FIN'!$A$1:$O$115,15,0)),0,VLOOKUP($S$1813,'TAR FIN'!$A$1:$O$115,15,0))</f>
        <v>0</v>
      </c>
      <c r="W1813" s="6">
        <f>IF(ISERROR(VLOOKUP($T$1813,'TAR FIN'!$A$1:$O$115,15,0)),0,VLOOKUP($T$1813,'TAR FIN'!$A$1:$O$115,15,0))</f>
        <v>827.45</v>
      </c>
      <c r="X1813" s="6">
        <f>IF(ISERROR(VLOOKUP($U$1813,'TAR FIN'!$A$1:$O$115,15,0)),0,VLOOKUP($U$1813,'TAR FIN'!$A$1:$O$115,15,0))</f>
        <v>168.06</v>
      </c>
      <c r="Y1813" s="6"/>
      <c r="Z1813" s="6">
        <f ca="1">('TUSD BE'!$AM$63+'TUSD BF'!$AM$63+'TUSD CVA'!$AM$63)*1</f>
        <v>863.35061643044799</v>
      </c>
      <c r="AA1813" s="6">
        <f>('TE BE'!$AB$46+'TE BF'!$AB$46+'TE CVA'!$AB$46)*1</f>
        <v>218.6854278594964</v>
      </c>
      <c r="AB1813" s="6">
        <f>$K$1813*$V$1813</f>
        <v>0</v>
      </c>
      <c r="AC1813" s="6">
        <f>$M$1813*$W$1813</f>
        <v>460.88965000000007</v>
      </c>
      <c r="AD1813" s="6">
        <f>$O$1813*$X$1813</f>
        <v>93.609420000000014</v>
      </c>
      <c r="AE1813" s="6">
        <f>$K$1813*$Y$1813</f>
        <v>0</v>
      </c>
      <c r="AF1813" s="6">
        <f ca="1">$M$1813*$Z$1813</f>
        <v>480.88629335175955</v>
      </c>
      <c r="AG1813" s="6">
        <f>$O$1813*$AA$1813</f>
        <v>121.80778331773951</v>
      </c>
    </row>
    <row r="1814" spans="1:33" ht="11.25" customHeight="1" x14ac:dyDescent="0.25">
      <c r="A1814" s="4" t="s">
        <v>28</v>
      </c>
      <c r="B1814" s="4" t="s">
        <v>39</v>
      </c>
      <c r="C1814" s="4" t="s">
        <v>35</v>
      </c>
      <c r="D1814" s="4" t="s">
        <v>48</v>
      </c>
      <c r="E1814" s="4" t="s">
        <v>25</v>
      </c>
      <c r="F1814" s="4" t="s">
        <v>25</v>
      </c>
      <c r="G1814" s="4" t="s">
        <v>25</v>
      </c>
      <c r="H1814" s="4" t="s">
        <v>38</v>
      </c>
      <c r="I1814" s="5">
        <v>44835</v>
      </c>
      <c r="J1814" s="6">
        <v>0</v>
      </c>
      <c r="K1814" s="6">
        <v>0</v>
      </c>
      <c r="L1814" s="6">
        <v>1.2999999999999999E-2</v>
      </c>
      <c r="M1814" s="6">
        <v>1.2999999999999999E-2</v>
      </c>
      <c r="N1814" s="6">
        <v>1.2999999999999999E-2</v>
      </c>
      <c r="O1814" s="6">
        <v>1.2999999999999999E-2</v>
      </c>
      <c r="P1814" s="6">
        <v>0</v>
      </c>
      <c r="Q1814" s="4" t="s">
        <v>26</v>
      </c>
      <c r="R1814" s="4">
        <v>0</v>
      </c>
      <c r="S1814" s="6">
        <v>0</v>
      </c>
      <c r="T1814" s="6">
        <v>65</v>
      </c>
      <c r="U1814" s="6">
        <v>109</v>
      </c>
      <c r="V1814" s="6">
        <f>IF(ISERROR(VLOOKUP($S$1814,'TAR FIN'!$A$1:$O$115,15,0)),0,VLOOKUP($S$1814,'TAR FIN'!$A$1:$O$115,15,0))</f>
        <v>0</v>
      </c>
      <c r="W1814" s="6">
        <f>IF(ISERROR(VLOOKUP($T$1814,'TAR FIN'!$A$1:$O$115,15,0)),0,VLOOKUP($T$1814,'TAR FIN'!$A$1:$O$115,15,0))</f>
        <v>827.45</v>
      </c>
      <c r="X1814" s="6">
        <f>IF(ISERROR(VLOOKUP($U$1814,'TAR FIN'!$A$1:$O$115,15,0)),0,VLOOKUP($U$1814,'TAR FIN'!$A$1:$O$115,15,0))</f>
        <v>168.06</v>
      </c>
      <c r="Y1814" s="6"/>
      <c r="Z1814" s="6">
        <f ca="1">('TUSD BE'!$AM$63+'TUSD BF'!$AM$63+'TUSD CVA'!$AM$63)*1</f>
        <v>863.35061643044799</v>
      </c>
      <c r="AA1814" s="6">
        <f>('TE BE'!$AB$46+'TE BF'!$AB$46+'TE CVA'!$AB$46)*1</f>
        <v>218.6854278594964</v>
      </c>
      <c r="AB1814" s="6">
        <f>$K$1814*$V$1814</f>
        <v>0</v>
      </c>
      <c r="AC1814" s="6">
        <f>$M$1814*$W$1814</f>
        <v>10.75685</v>
      </c>
      <c r="AD1814" s="6">
        <f>$O$1814*$X$1814</f>
        <v>2.1847799999999999</v>
      </c>
      <c r="AE1814" s="6">
        <f>$K$1814*$Y$1814</f>
        <v>0</v>
      </c>
      <c r="AF1814" s="6">
        <f ca="1">$M$1814*$Z$1814</f>
        <v>11.223558013595824</v>
      </c>
      <c r="AG1814" s="6">
        <f>$O$1814*$AA$1814</f>
        <v>2.8429105621734529</v>
      </c>
    </row>
    <row r="1815" spans="1:33" ht="11.25" customHeight="1" x14ac:dyDescent="0.25">
      <c r="A1815" s="4" t="s">
        <v>59</v>
      </c>
      <c r="B1815" s="4" t="s">
        <v>39</v>
      </c>
      <c r="C1815" s="4" t="s">
        <v>35</v>
      </c>
      <c r="D1815" s="4" t="s">
        <v>48</v>
      </c>
      <c r="E1815" s="4" t="s">
        <v>25</v>
      </c>
      <c r="F1815" s="4" t="s">
        <v>25</v>
      </c>
      <c r="G1815" s="4" t="s">
        <v>25</v>
      </c>
      <c r="H1815" s="4" t="s">
        <v>38</v>
      </c>
      <c r="I1815" s="5">
        <v>44866</v>
      </c>
      <c r="J1815" s="6">
        <v>0</v>
      </c>
      <c r="K1815" s="6">
        <v>0</v>
      </c>
      <c r="L1815" s="6">
        <v>0.55700000000000005</v>
      </c>
      <c r="M1815" s="6">
        <v>0.55700000000000005</v>
      </c>
      <c r="N1815" s="6">
        <v>0.55700000000000005</v>
      </c>
      <c r="O1815" s="6">
        <v>0.55700000000000005</v>
      </c>
      <c r="P1815" s="6">
        <v>0</v>
      </c>
      <c r="Q1815" s="4" t="s">
        <v>26</v>
      </c>
      <c r="R1815" s="4">
        <v>0</v>
      </c>
      <c r="S1815" s="6">
        <v>0</v>
      </c>
      <c r="T1815" s="6">
        <v>65</v>
      </c>
      <c r="U1815" s="6">
        <v>109</v>
      </c>
      <c r="V1815" s="6">
        <f>IF(ISERROR(VLOOKUP($S$1815,'TAR FIN'!$A$1:$O$115,15,0)),0,VLOOKUP($S$1815,'TAR FIN'!$A$1:$O$115,15,0))</f>
        <v>0</v>
      </c>
      <c r="W1815" s="6">
        <f>IF(ISERROR(VLOOKUP($T$1815,'TAR FIN'!$A$1:$O$115,15,0)),0,VLOOKUP($T$1815,'TAR FIN'!$A$1:$O$115,15,0))</f>
        <v>827.45</v>
      </c>
      <c r="X1815" s="6">
        <f>IF(ISERROR(VLOOKUP($U$1815,'TAR FIN'!$A$1:$O$115,15,0)),0,VLOOKUP($U$1815,'TAR FIN'!$A$1:$O$115,15,0))</f>
        <v>168.06</v>
      </c>
      <c r="Y1815" s="6"/>
      <c r="Z1815" s="6">
        <f ca="1">('TUSD BE'!$AM$63+'TUSD BF'!$AM$63+'TUSD CVA'!$AM$63)*1</f>
        <v>863.35061643044799</v>
      </c>
      <c r="AA1815" s="6">
        <f>('TE BE'!$AB$46+'TE BF'!$AB$46+'TE CVA'!$AB$46)*1</f>
        <v>218.6854278594964</v>
      </c>
      <c r="AB1815" s="6">
        <f>$K$1815*$V$1815</f>
        <v>0</v>
      </c>
      <c r="AC1815" s="6">
        <f>$M$1815*$W$1815</f>
        <v>460.88965000000007</v>
      </c>
      <c r="AD1815" s="6">
        <f>$O$1815*$X$1815</f>
        <v>93.609420000000014</v>
      </c>
      <c r="AE1815" s="6">
        <f>$K$1815*$Y$1815</f>
        <v>0</v>
      </c>
      <c r="AF1815" s="6">
        <f ca="1">$M$1815*$Z$1815</f>
        <v>480.88629335175955</v>
      </c>
      <c r="AG1815" s="6">
        <f>$O$1815*$AA$1815</f>
        <v>121.80778331773951</v>
      </c>
    </row>
    <row r="1816" spans="1:33" ht="11.25" customHeight="1" x14ac:dyDescent="0.25">
      <c r="A1816" s="4" t="s">
        <v>59</v>
      </c>
      <c r="B1816" s="4" t="s">
        <v>39</v>
      </c>
      <c r="C1816" s="4" t="s">
        <v>35</v>
      </c>
      <c r="D1816" s="4" t="s">
        <v>48</v>
      </c>
      <c r="E1816" s="4" t="s">
        <v>25</v>
      </c>
      <c r="F1816" s="4" t="s">
        <v>25</v>
      </c>
      <c r="G1816" s="4" t="s">
        <v>25</v>
      </c>
      <c r="H1816" s="4" t="s">
        <v>38</v>
      </c>
      <c r="I1816" s="5">
        <v>44866</v>
      </c>
      <c r="J1816" s="6">
        <v>0</v>
      </c>
      <c r="K1816" s="6">
        <v>0</v>
      </c>
      <c r="L1816" s="6">
        <v>1.2999999999999999E-2</v>
      </c>
      <c r="M1816" s="6">
        <v>1.2999999999999999E-2</v>
      </c>
      <c r="N1816" s="6">
        <v>1.2999999999999999E-2</v>
      </c>
      <c r="O1816" s="6">
        <v>1.2999999999999999E-2</v>
      </c>
      <c r="P1816" s="6">
        <v>0</v>
      </c>
      <c r="Q1816" s="4" t="s">
        <v>26</v>
      </c>
      <c r="R1816" s="4">
        <v>0</v>
      </c>
      <c r="S1816" s="6">
        <v>0</v>
      </c>
      <c r="T1816" s="6">
        <v>65</v>
      </c>
      <c r="U1816" s="6">
        <v>109</v>
      </c>
      <c r="V1816" s="6">
        <f>IF(ISERROR(VLOOKUP($S$1816,'TAR FIN'!$A$1:$O$115,15,0)),0,VLOOKUP($S$1816,'TAR FIN'!$A$1:$O$115,15,0))</f>
        <v>0</v>
      </c>
      <c r="W1816" s="6">
        <f>IF(ISERROR(VLOOKUP($T$1816,'TAR FIN'!$A$1:$O$115,15,0)),0,VLOOKUP($T$1816,'TAR FIN'!$A$1:$O$115,15,0))</f>
        <v>827.45</v>
      </c>
      <c r="X1816" s="6">
        <f>IF(ISERROR(VLOOKUP($U$1816,'TAR FIN'!$A$1:$O$115,15,0)),0,VLOOKUP($U$1816,'TAR FIN'!$A$1:$O$115,15,0))</f>
        <v>168.06</v>
      </c>
      <c r="Y1816" s="6"/>
      <c r="Z1816" s="6">
        <f ca="1">('TUSD BE'!$AM$63+'TUSD BF'!$AM$63+'TUSD CVA'!$AM$63)*1</f>
        <v>863.35061643044799</v>
      </c>
      <c r="AA1816" s="6">
        <f>('TE BE'!$AB$46+'TE BF'!$AB$46+'TE CVA'!$AB$46)*1</f>
        <v>218.6854278594964</v>
      </c>
      <c r="AB1816" s="6">
        <f>$K$1816*$V$1816</f>
        <v>0</v>
      </c>
      <c r="AC1816" s="6">
        <f>$M$1816*$W$1816</f>
        <v>10.75685</v>
      </c>
      <c r="AD1816" s="6">
        <f>$O$1816*$X$1816</f>
        <v>2.1847799999999999</v>
      </c>
      <c r="AE1816" s="6">
        <f>$K$1816*$Y$1816</f>
        <v>0</v>
      </c>
      <c r="AF1816" s="6">
        <f ca="1">$M$1816*$Z$1816</f>
        <v>11.223558013595824</v>
      </c>
      <c r="AG1816" s="6">
        <f>$O$1816*$AA$1816</f>
        <v>2.8429105621734529</v>
      </c>
    </row>
    <row r="1817" spans="1:33" ht="11.25" customHeight="1" x14ac:dyDescent="0.25">
      <c r="A1817" s="4" t="s">
        <v>21</v>
      </c>
      <c r="B1817" s="4" t="s">
        <v>39</v>
      </c>
      <c r="C1817" s="4" t="s">
        <v>35</v>
      </c>
      <c r="D1817" s="4" t="s">
        <v>48</v>
      </c>
      <c r="E1817" s="4" t="s">
        <v>25</v>
      </c>
      <c r="F1817" s="4" t="s">
        <v>25</v>
      </c>
      <c r="G1817" s="4" t="s">
        <v>25</v>
      </c>
      <c r="H1817" s="4" t="s">
        <v>36</v>
      </c>
      <c r="I1817" s="5">
        <v>44531</v>
      </c>
      <c r="J1817" s="6">
        <v>0</v>
      </c>
      <c r="K1817" s="6">
        <v>0</v>
      </c>
      <c r="L1817" s="6">
        <v>0.51700000000000002</v>
      </c>
      <c r="M1817" s="6">
        <v>0.51700000000000002</v>
      </c>
      <c r="N1817" s="6">
        <v>0.51700000000000002</v>
      </c>
      <c r="O1817" s="6">
        <v>0.51700000000000002</v>
      </c>
      <c r="P1817" s="6">
        <v>0</v>
      </c>
      <c r="Q1817" s="4" t="s">
        <v>26</v>
      </c>
      <c r="R1817" s="4">
        <v>0</v>
      </c>
      <c r="S1817" s="6">
        <v>0</v>
      </c>
      <c r="T1817" s="6">
        <v>64</v>
      </c>
      <c r="U1817" s="6">
        <v>108</v>
      </c>
      <c r="V1817" s="6">
        <f>IF(ISERROR(VLOOKUP($S$1817,'TAR FIN'!$A$1:$O$115,15,0)),0,VLOOKUP($S$1817,'TAR FIN'!$A$1:$O$115,15,0))</f>
        <v>0</v>
      </c>
      <c r="W1817" s="6">
        <f>IF(ISERROR(VLOOKUP($T$1817,'TAR FIN'!$A$1:$O$115,15,0)),0,VLOOKUP($T$1817,'TAR FIN'!$A$1:$O$115,15,0))</f>
        <v>1303.25</v>
      </c>
      <c r="X1817" s="6">
        <f>IF(ISERROR(VLOOKUP($U$1817,'TAR FIN'!$A$1:$O$115,15,0)),0,VLOOKUP($U$1817,'TAR FIN'!$A$1:$O$115,15,0))</f>
        <v>270.3</v>
      </c>
      <c r="Y1817" s="6"/>
      <c r="Z1817" s="6">
        <f ca="1">('TUSD BE'!$AM$62+'TUSD BF'!$AM$62+'TUSD CVA'!$AM$62)*1</f>
        <v>1335.5988600941293</v>
      </c>
      <c r="AA1817" s="6">
        <f>('TE BE'!$AB$45+'TE BF'!$AB$45+'TE CVA'!$AB$45)*1</f>
        <v>362.64398683254075</v>
      </c>
      <c r="AB1817" s="6">
        <f>$K$1817*$V$1817</f>
        <v>0</v>
      </c>
      <c r="AC1817" s="6">
        <f>$M$1817*$W$1817</f>
        <v>673.78025000000002</v>
      </c>
      <c r="AD1817" s="6">
        <f>$O$1817*$X$1817</f>
        <v>139.74510000000001</v>
      </c>
      <c r="AE1817" s="6">
        <f>$K$1817*$Y$1817</f>
        <v>0</v>
      </c>
      <c r="AF1817" s="6">
        <f ca="1">$M$1817*$Z$1817</f>
        <v>690.5046106686649</v>
      </c>
      <c r="AG1817" s="6">
        <f>$O$1817*$AA$1817</f>
        <v>187.48694119242356</v>
      </c>
    </row>
    <row r="1818" spans="1:33" ht="11.25" customHeight="1" x14ac:dyDescent="0.25">
      <c r="A1818" s="4" t="s">
        <v>27</v>
      </c>
      <c r="B1818" s="4" t="s">
        <v>39</v>
      </c>
      <c r="C1818" s="4" t="s">
        <v>35</v>
      </c>
      <c r="D1818" s="4" t="s">
        <v>48</v>
      </c>
      <c r="E1818" s="4" t="s">
        <v>25</v>
      </c>
      <c r="F1818" s="4" t="s">
        <v>25</v>
      </c>
      <c r="G1818" s="4" t="s">
        <v>25</v>
      </c>
      <c r="H1818" s="4" t="s">
        <v>36</v>
      </c>
      <c r="I1818" s="5">
        <v>44531</v>
      </c>
      <c r="J1818" s="6">
        <v>0</v>
      </c>
      <c r="K1818" s="6">
        <v>0</v>
      </c>
      <c r="L1818" s="6">
        <v>4.7E-2</v>
      </c>
      <c r="M1818" s="6">
        <v>4.7E-2</v>
      </c>
      <c r="N1818" s="6">
        <v>4.7E-2</v>
      </c>
      <c r="O1818" s="6">
        <v>4.7E-2</v>
      </c>
      <c r="P1818" s="6">
        <v>0</v>
      </c>
      <c r="Q1818" s="4" t="s">
        <v>26</v>
      </c>
      <c r="R1818" s="4">
        <v>0</v>
      </c>
      <c r="S1818" s="6">
        <v>0</v>
      </c>
      <c r="T1818" s="6">
        <v>64</v>
      </c>
      <c r="U1818" s="6">
        <v>108</v>
      </c>
      <c r="V1818" s="6">
        <f>IF(ISERROR(VLOOKUP($S$1818,'TAR FIN'!$A$1:$O$115,15,0)),0,VLOOKUP($S$1818,'TAR FIN'!$A$1:$O$115,15,0))</f>
        <v>0</v>
      </c>
      <c r="W1818" s="6">
        <f>IF(ISERROR(VLOOKUP($T$1818,'TAR FIN'!$A$1:$O$115,15,0)),0,VLOOKUP($T$1818,'TAR FIN'!$A$1:$O$115,15,0))</f>
        <v>1303.25</v>
      </c>
      <c r="X1818" s="6">
        <f>IF(ISERROR(VLOOKUP($U$1818,'TAR FIN'!$A$1:$O$115,15,0)),0,VLOOKUP($U$1818,'TAR FIN'!$A$1:$O$115,15,0))</f>
        <v>270.3</v>
      </c>
      <c r="Y1818" s="6"/>
      <c r="Z1818" s="6">
        <f ca="1">('TUSD BE'!$AM$62+'TUSD BF'!$AM$62+'TUSD CVA'!$AM$62)*1</f>
        <v>1335.5988600941293</v>
      </c>
      <c r="AA1818" s="6">
        <f>('TE BE'!$AB$45+'TE BF'!$AB$45+'TE CVA'!$AB$45)*1</f>
        <v>362.64398683254075</v>
      </c>
      <c r="AB1818" s="6">
        <f>$K$1818*$V$1818</f>
        <v>0</v>
      </c>
      <c r="AC1818" s="6">
        <f>$M$1818*$W$1818</f>
        <v>61.252749999999999</v>
      </c>
      <c r="AD1818" s="6">
        <f>$O$1818*$X$1818</f>
        <v>12.7041</v>
      </c>
      <c r="AE1818" s="6">
        <f>$K$1818*$Y$1818</f>
        <v>0</v>
      </c>
      <c r="AF1818" s="6">
        <f ca="1">$M$1818*$Z$1818</f>
        <v>62.773146424424077</v>
      </c>
      <c r="AG1818" s="6">
        <f>$O$1818*$AA$1818</f>
        <v>17.044267381129416</v>
      </c>
    </row>
    <row r="1819" spans="1:33" ht="11.25" customHeight="1" x14ac:dyDescent="0.25">
      <c r="A1819" s="4" t="s">
        <v>21</v>
      </c>
      <c r="B1819" s="4" t="s">
        <v>39</v>
      </c>
      <c r="C1819" s="4" t="s">
        <v>35</v>
      </c>
      <c r="D1819" s="4" t="s">
        <v>48</v>
      </c>
      <c r="E1819" s="4" t="s">
        <v>25</v>
      </c>
      <c r="F1819" s="4" t="s">
        <v>25</v>
      </c>
      <c r="G1819" s="4" t="s">
        <v>25</v>
      </c>
      <c r="H1819" s="4" t="s">
        <v>36</v>
      </c>
      <c r="I1819" s="5">
        <v>44562</v>
      </c>
      <c r="J1819" s="6">
        <v>0</v>
      </c>
      <c r="K1819" s="6">
        <v>0</v>
      </c>
      <c r="L1819" s="6">
        <v>0.20300000000000001</v>
      </c>
      <c r="M1819" s="6">
        <v>0.20300000000000001</v>
      </c>
      <c r="N1819" s="6">
        <v>0.20300000000000001</v>
      </c>
      <c r="O1819" s="6">
        <v>0.20300000000000001</v>
      </c>
      <c r="P1819" s="6">
        <v>0</v>
      </c>
      <c r="Q1819" s="4" t="s">
        <v>26</v>
      </c>
      <c r="R1819" s="4">
        <v>0</v>
      </c>
      <c r="S1819" s="6">
        <v>0</v>
      </c>
      <c r="T1819" s="6">
        <v>64</v>
      </c>
      <c r="U1819" s="6">
        <v>108</v>
      </c>
      <c r="V1819" s="6">
        <f>IF(ISERROR(VLOOKUP($S$1819,'TAR FIN'!$A$1:$O$115,15,0)),0,VLOOKUP($S$1819,'TAR FIN'!$A$1:$O$115,15,0))</f>
        <v>0</v>
      </c>
      <c r="W1819" s="6">
        <f>IF(ISERROR(VLOOKUP($T$1819,'TAR FIN'!$A$1:$O$115,15,0)),0,VLOOKUP($T$1819,'TAR FIN'!$A$1:$O$115,15,0))</f>
        <v>1303.25</v>
      </c>
      <c r="X1819" s="6">
        <f>IF(ISERROR(VLOOKUP($U$1819,'TAR FIN'!$A$1:$O$115,15,0)),0,VLOOKUP($U$1819,'TAR FIN'!$A$1:$O$115,15,0))</f>
        <v>270.3</v>
      </c>
      <c r="Y1819" s="6"/>
      <c r="Z1819" s="6">
        <f ca="1">('TUSD BE'!$AM$62+'TUSD BF'!$AM$62+'TUSD CVA'!$AM$62)*1</f>
        <v>1335.5988600941293</v>
      </c>
      <c r="AA1819" s="6">
        <f>('TE BE'!$AB$45+'TE BF'!$AB$45+'TE CVA'!$AB$45)*1</f>
        <v>362.64398683254075</v>
      </c>
      <c r="AB1819" s="6">
        <f>$K$1819*$V$1819</f>
        <v>0</v>
      </c>
      <c r="AC1819" s="6">
        <f>$M$1819*$W$1819</f>
        <v>264.55975000000001</v>
      </c>
      <c r="AD1819" s="6">
        <f>$O$1819*$X$1819</f>
        <v>54.870900000000006</v>
      </c>
      <c r="AE1819" s="6">
        <f>$K$1819*$Y$1819</f>
        <v>0</v>
      </c>
      <c r="AF1819" s="6">
        <f ca="1">$M$1819*$Z$1819</f>
        <v>271.12656859910828</v>
      </c>
      <c r="AG1819" s="6">
        <f>$O$1819*$AA$1819</f>
        <v>73.616729327005771</v>
      </c>
    </row>
    <row r="1820" spans="1:33" ht="11.25" customHeight="1" x14ac:dyDescent="0.25">
      <c r="A1820" s="4" t="s">
        <v>21</v>
      </c>
      <c r="B1820" s="4" t="s">
        <v>39</v>
      </c>
      <c r="C1820" s="4" t="s">
        <v>35</v>
      </c>
      <c r="D1820" s="4" t="s">
        <v>48</v>
      </c>
      <c r="E1820" s="4" t="s">
        <v>25</v>
      </c>
      <c r="F1820" s="4" t="s">
        <v>25</v>
      </c>
      <c r="G1820" s="4" t="s">
        <v>25</v>
      </c>
      <c r="H1820" s="4" t="s">
        <v>36</v>
      </c>
      <c r="I1820" s="5">
        <v>44593</v>
      </c>
      <c r="J1820" s="6">
        <v>0</v>
      </c>
      <c r="K1820" s="6">
        <v>0</v>
      </c>
      <c r="L1820" s="6">
        <v>0.36</v>
      </c>
      <c r="M1820" s="6">
        <v>0.36</v>
      </c>
      <c r="N1820" s="6">
        <v>0.36</v>
      </c>
      <c r="O1820" s="6">
        <v>0.36</v>
      </c>
      <c r="P1820" s="6">
        <v>0</v>
      </c>
      <c r="Q1820" s="4" t="s">
        <v>26</v>
      </c>
      <c r="R1820" s="4">
        <v>0</v>
      </c>
      <c r="S1820" s="6">
        <v>0</v>
      </c>
      <c r="T1820" s="6">
        <v>64</v>
      </c>
      <c r="U1820" s="6">
        <v>108</v>
      </c>
      <c r="V1820" s="6">
        <f>IF(ISERROR(VLOOKUP($S$1820,'TAR FIN'!$A$1:$O$115,15,0)),0,VLOOKUP($S$1820,'TAR FIN'!$A$1:$O$115,15,0))</f>
        <v>0</v>
      </c>
      <c r="W1820" s="6">
        <f>IF(ISERROR(VLOOKUP($T$1820,'TAR FIN'!$A$1:$O$115,15,0)),0,VLOOKUP($T$1820,'TAR FIN'!$A$1:$O$115,15,0))</f>
        <v>1303.25</v>
      </c>
      <c r="X1820" s="6">
        <f>IF(ISERROR(VLOOKUP($U$1820,'TAR FIN'!$A$1:$O$115,15,0)),0,VLOOKUP($U$1820,'TAR FIN'!$A$1:$O$115,15,0))</f>
        <v>270.3</v>
      </c>
      <c r="Y1820" s="6"/>
      <c r="Z1820" s="6">
        <f ca="1">('TUSD BE'!$AM$62+'TUSD BF'!$AM$62+'TUSD CVA'!$AM$62)*1</f>
        <v>1335.5988600941293</v>
      </c>
      <c r="AA1820" s="6">
        <f>('TE BE'!$AB$45+'TE BF'!$AB$45+'TE CVA'!$AB$45)*1</f>
        <v>362.64398683254075</v>
      </c>
      <c r="AB1820" s="6">
        <f>$K$1820*$V$1820</f>
        <v>0</v>
      </c>
      <c r="AC1820" s="6">
        <f>$M$1820*$W$1820</f>
        <v>469.16999999999996</v>
      </c>
      <c r="AD1820" s="6">
        <f>$O$1820*$X$1820</f>
        <v>97.308000000000007</v>
      </c>
      <c r="AE1820" s="6">
        <f>$K$1820*$Y$1820</f>
        <v>0</v>
      </c>
      <c r="AF1820" s="6">
        <f ca="1">$M$1820*$Z$1820</f>
        <v>480.81558963388653</v>
      </c>
      <c r="AG1820" s="6">
        <f>$O$1820*$AA$1820</f>
        <v>130.55183525971466</v>
      </c>
    </row>
    <row r="1821" spans="1:33" ht="11.25" customHeight="1" x14ac:dyDescent="0.25">
      <c r="A1821" s="4" t="s">
        <v>21</v>
      </c>
      <c r="B1821" s="4" t="s">
        <v>39</v>
      </c>
      <c r="C1821" s="4" t="s">
        <v>35</v>
      </c>
      <c r="D1821" s="4" t="s">
        <v>48</v>
      </c>
      <c r="E1821" s="4" t="s">
        <v>25</v>
      </c>
      <c r="F1821" s="4" t="s">
        <v>25</v>
      </c>
      <c r="G1821" s="4" t="s">
        <v>25</v>
      </c>
      <c r="H1821" s="4" t="s">
        <v>36</v>
      </c>
      <c r="I1821" s="5">
        <v>44621</v>
      </c>
      <c r="J1821" s="6">
        <v>0</v>
      </c>
      <c r="K1821" s="6">
        <v>0</v>
      </c>
      <c r="L1821" s="6">
        <v>0.249</v>
      </c>
      <c r="M1821" s="6">
        <v>0.249</v>
      </c>
      <c r="N1821" s="6">
        <v>0.249</v>
      </c>
      <c r="O1821" s="6">
        <v>0.249</v>
      </c>
      <c r="P1821" s="6">
        <v>0</v>
      </c>
      <c r="Q1821" s="4" t="s">
        <v>26</v>
      </c>
      <c r="R1821" s="4">
        <v>0</v>
      </c>
      <c r="S1821" s="6">
        <v>0</v>
      </c>
      <c r="T1821" s="6">
        <v>64</v>
      </c>
      <c r="U1821" s="6">
        <v>108</v>
      </c>
      <c r="V1821" s="6">
        <f>IF(ISERROR(VLOOKUP($S$1821,'TAR FIN'!$A$1:$O$115,15,0)),0,VLOOKUP($S$1821,'TAR FIN'!$A$1:$O$115,15,0))</f>
        <v>0</v>
      </c>
      <c r="W1821" s="6">
        <f>IF(ISERROR(VLOOKUP($T$1821,'TAR FIN'!$A$1:$O$115,15,0)),0,VLOOKUP($T$1821,'TAR FIN'!$A$1:$O$115,15,0))</f>
        <v>1303.25</v>
      </c>
      <c r="X1821" s="6">
        <f>IF(ISERROR(VLOOKUP($U$1821,'TAR FIN'!$A$1:$O$115,15,0)),0,VLOOKUP($U$1821,'TAR FIN'!$A$1:$O$115,15,0))</f>
        <v>270.3</v>
      </c>
      <c r="Y1821" s="6"/>
      <c r="Z1821" s="6">
        <f ca="1">('TUSD BE'!$AM$62+'TUSD BF'!$AM$62+'TUSD CVA'!$AM$62)*1</f>
        <v>1335.5988600941293</v>
      </c>
      <c r="AA1821" s="6">
        <f>('TE BE'!$AB$45+'TE BF'!$AB$45+'TE CVA'!$AB$45)*1</f>
        <v>362.64398683254075</v>
      </c>
      <c r="AB1821" s="6">
        <f>$K$1821*$V$1821</f>
        <v>0</v>
      </c>
      <c r="AC1821" s="6">
        <f>$M$1821*$W$1821</f>
        <v>324.50925000000001</v>
      </c>
      <c r="AD1821" s="6">
        <f>$O$1821*$X$1821</f>
        <v>67.304699999999997</v>
      </c>
      <c r="AE1821" s="6">
        <f>$K$1821*$Y$1821</f>
        <v>0</v>
      </c>
      <c r="AF1821" s="6">
        <f ca="1">$M$1821*$Z$1821</f>
        <v>332.5641161634382</v>
      </c>
      <c r="AG1821" s="6">
        <f>$O$1821*$AA$1821</f>
        <v>90.298352721302649</v>
      </c>
    </row>
    <row r="1822" spans="1:33" ht="11.25" customHeight="1" x14ac:dyDescent="0.25">
      <c r="A1822" s="4" t="s">
        <v>21</v>
      </c>
      <c r="B1822" s="4" t="s">
        <v>39</v>
      </c>
      <c r="C1822" s="4" t="s">
        <v>35</v>
      </c>
      <c r="D1822" s="4" t="s">
        <v>48</v>
      </c>
      <c r="E1822" s="4" t="s">
        <v>25</v>
      </c>
      <c r="F1822" s="4" t="s">
        <v>25</v>
      </c>
      <c r="G1822" s="4" t="s">
        <v>25</v>
      </c>
      <c r="H1822" s="4" t="s">
        <v>36</v>
      </c>
      <c r="I1822" s="5">
        <v>44652</v>
      </c>
      <c r="J1822" s="6">
        <v>0</v>
      </c>
      <c r="K1822" s="6">
        <v>0</v>
      </c>
      <c r="L1822" s="6">
        <v>0.32500000000000001</v>
      </c>
      <c r="M1822" s="6">
        <v>0.32500000000000001</v>
      </c>
      <c r="N1822" s="6">
        <v>0.32500000000000001</v>
      </c>
      <c r="O1822" s="6">
        <v>0.32500000000000001</v>
      </c>
      <c r="P1822" s="6">
        <v>0</v>
      </c>
      <c r="Q1822" s="4" t="s">
        <v>26</v>
      </c>
      <c r="R1822" s="4">
        <v>0</v>
      </c>
      <c r="S1822" s="6">
        <v>0</v>
      </c>
      <c r="T1822" s="6">
        <v>64</v>
      </c>
      <c r="U1822" s="6">
        <v>108</v>
      </c>
      <c r="V1822" s="6">
        <f>IF(ISERROR(VLOOKUP($S$1822,'TAR FIN'!$A$1:$O$115,15,0)),0,VLOOKUP($S$1822,'TAR FIN'!$A$1:$O$115,15,0))</f>
        <v>0</v>
      </c>
      <c r="W1822" s="6">
        <f>IF(ISERROR(VLOOKUP($T$1822,'TAR FIN'!$A$1:$O$115,15,0)),0,VLOOKUP($T$1822,'TAR FIN'!$A$1:$O$115,15,0))</f>
        <v>1303.25</v>
      </c>
      <c r="X1822" s="6">
        <f>IF(ISERROR(VLOOKUP($U$1822,'TAR FIN'!$A$1:$O$115,15,0)),0,VLOOKUP($U$1822,'TAR FIN'!$A$1:$O$115,15,0))</f>
        <v>270.3</v>
      </c>
      <c r="Y1822" s="6"/>
      <c r="Z1822" s="6">
        <f ca="1">('TUSD BE'!$AM$62+'TUSD BF'!$AM$62+'TUSD CVA'!$AM$62)*1</f>
        <v>1335.5988600941293</v>
      </c>
      <c r="AA1822" s="6">
        <f>('TE BE'!$AB$45+'TE BF'!$AB$45+'TE CVA'!$AB$45)*1</f>
        <v>362.64398683254075</v>
      </c>
      <c r="AB1822" s="6">
        <f>$K$1822*$V$1822</f>
        <v>0</v>
      </c>
      <c r="AC1822" s="6">
        <f>$M$1822*$W$1822</f>
        <v>423.55625000000003</v>
      </c>
      <c r="AD1822" s="6">
        <f>$O$1822*$X$1822</f>
        <v>87.847500000000011</v>
      </c>
      <c r="AE1822" s="6">
        <f>$K$1822*$Y$1822</f>
        <v>0</v>
      </c>
      <c r="AF1822" s="6">
        <f ca="1">$M$1822*$Z$1822</f>
        <v>434.06962953059207</v>
      </c>
      <c r="AG1822" s="6">
        <f>$O$1822*$AA$1822</f>
        <v>117.85929572057574</v>
      </c>
    </row>
    <row r="1823" spans="1:33" ht="11.25" customHeight="1" x14ac:dyDescent="0.25">
      <c r="A1823" s="4" t="s">
        <v>27</v>
      </c>
      <c r="B1823" s="4" t="s">
        <v>39</v>
      </c>
      <c r="C1823" s="4" t="s">
        <v>35</v>
      </c>
      <c r="D1823" s="4" t="s">
        <v>48</v>
      </c>
      <c r="E1823" s="4" t="s">
        <v>25</v>
      </c>
      <c r="F1823" s="4" t="s">
        <v>25</v>
      </c>
      <c r="G1823" s="4" t="s">
        <v>25</v>
      </c>
      <c r="H1823" s="4" t="s">
        <v>36</v>
      </c>
      <c r="I1823" s="5">
        <v>44652</v>
      </c>
      <c r="J1823" s="6">
        <v>0</v>
      </c>
      <c r="K1823" s="6">
        <v>0</v>
      </c>
      <c r="L1823" s="6">
        <v>-9.5000000000000001E-2</v>
      </c>
      <c r="M1823" s="6">
        <v>-9.5000000000000001E-2</v>
      </c>
      <c r="N1823" s="6">
        <v>-9.5000000000000001E-2</v>
      </c>
      <c r="O1823" s="6">
        <v>-9.5000000000000001E-2</v>
      </c>
      <c r="P1823" s="6">
        <v>0</v>
      </c>
      <c r="Q1823" s="4" t="s">
        <v>26</v>
      </c>
      <c r="R1823" s="4">
        <v>0</v>
      </c>
      <c r="S1823" s="6">
        <v>0</v>
      </c>
      <c r="T1823" s="6">
        <v>64</v>
      </c>
      <c r="U1823" s="6">
        <v>108</v>
      </c>
      <c r="V1823" s="6">
        <f>IF(ISERROR(VLOOKUP($S$1823,'TAR FIN'!$A$1:$O$115,15,0)),0,VLOOKUP($S$1823,'TAR FIN'!$A$1:$O$115,15,0))</f>
        <v>0</v>
      </c>
      <c r="W1823" s="6">
        <f>IF(ISERROR(VLOOKUP($T$1823,'TAR FIN'!$A$1:$O$115,15,0)),0,VLOOKUP($T$1823,'TAR FIN'!$A$1:$O$115,15,0))</f>
        <v>1303.25</v>
      </c>
      <c r="X1823" s="6">
        <f>IF(ISERROR(VLOOKUP($U$1823,'TAR FIN'!$A$1:$O$115,15,0)),0,VLOOKUP($U$1823,'TAR FIN'!$A$1:$O$115,15,0))</f>
        <v>270.3</v>
      </c>
      <c r="Y1823" s="6"/>
      <c r="Z1823" s="6">
        <f ca="1">('TUSD BE'!$AM$62+'TUSD BF'!$AM$62+'TUSD CVA'!$AM$62)*1</f>
        <v>1335.5988600941293</v>
      </c>
      <c r="AA1823" s="6">
        <f>('TE BE'!$AB$45+'TE BF'!$AB$45+'TE CVA'!$AB$45)*1</f>
        <v>362.64398683254075</v>
      </c>
      <c r="AB1823" s="6">
        <f>$K$1823*$V$1823</f>
        <v>0</v>
      </c>
      <c r="AC1823" s="6">
        <f>$M$1823*$W$1823</f>
        <v>-123.80875</v>
      </c>
      <c r="AD1823" s="6">
        <f>$O$1823*$X$1823</f>
        <v>-25.6785</v>
      </c>
      <c r="AE1823" s="6">
        <f>$K$1823*$Y$1823</f>
        <v>0</v>
      </c>
      <c r="AF1823" s="6">
        <f ca="1">$M$1823*$Z$1823</f>
        <v>-126.88189170894229</v>
      </c>
      <c r="AG1823" s="6">
        <f>$O$1823*$AA$1823</f>
        <v>-34.451178749091369</v>
      </c>
    </row>
    <row r="1824" spans="1:33" ht="11.25" customHeight="1" x14ac:dyDescent="0.25">
      <c r="A1824" s="4" t="s">
        <v>21</v>
      </c>
      <c r="B1824" s="4" t="s">
        <v>39</v>
      </c>
      <c r="C1824" s="4" t="s">
        <v>35</v>
      </c>
      <c r="D1824" s="4" t="s">
        <v>48</v>
      </c>
      <c r="E1824" s="4" t="s">
        <v>25</v>
      </c>
      <c r="F1824" s="4" t="s">
        <v>25</v>
      </c>
      <c r="G1824" s="4" t="s">
        <v>25</v>
      </c>
      <c r="H1824" s="4" t="s">
        <v>36</v>
      </c>
      <c r="I1824" s="5">
        <v>44682</v>
      </c>
      <c r="J1824" s="6">
        <v>0</v>
      </c>
      <c r="K1824" s="6">
        <v>0</v>
      </c>
      <c r="L1824" s="6">
        <v>0.434</v>
      </c>
      <c r="M1824" s="6">
        <v>0.434</v>
      </c>
      <c r="N1824" s="6">
        <v>0.434</v>
      </c>
      <c r="O1824" s="6">
        <v>0.434</v>
      </c>
      <c r="P1824" s="6">
        <v>0</v>
      </c>
      <c r="Q1824" s="4" t="s">
        <v>26</v>
      </c>
      <c r="R1824" s="4">
        <v>0</v>
      </c>
      <c r="S1824" s="6">
        <v>0</v>
      </c>
      <c r="T1824" s="6">
        <v>64</v>
      </c>
      <c r="U1824" s="6">
        <v>108</v>
      </c>
      <c r="V1824" s="6">
        <f>IF(ISERROR(VLOOKUP($S$1824,'TAR FIN'!$A$1:$O$115,15,0)),0,VLOOKUP($S$1824,'TAR FIN'!$A$1:$O$115,15,0))</f>
        <v>0</v>
      </c>
      <c r="W1824" s="6">
        <f>IF(ISERROR(VLOOKUP($T$1824,'TAR FIN'!$A$1:$O$115,15,0)),0,VLOOKUP($T$1824,'TAR FIN'!$A$1:$O$115,15,0))</f>
        <v>1303.25</v>
      </c>
      <c r="X1824" s="6">
        <f>IF(ISERROR(VLOOKUP($U$1824,'TAR FIN'!$A$1:$O$115,15,0)),0,VLOOKUP($U$1824,'TAR FIN'!$A$1:$O$115,15,0))</f>
        <v>270.3</v>
      </c>
      <c r="Y1824" s="6"/>
      <c r="Z1824" s="6">
        <f ca="1">('TUSD BE'!$AM$62+'TUSD BF'!$AM$62+'TUSD CVA'!$AM$62)*1</f>
        <v>1335.5988600941293</v>
      </c>
      <c r="AA1824" s="6">
        <f>('TE BE'!$AB$45+'TE BF'!$AB$45+'TE CVA'!$AB$45)*1</f>
        <v>362.64398683254075</v>
      </c>
      <c r="AB1824" s="6">
        <f>$K$1824*$V$1824</f>
        <v>0</v>
      </c>
      <c r="AC1824" s="6">
        <f>$M$1824*$W$1824</f>
        <v>565.6105</v>
      </c>
      <c r="AD1824" s="6">
        <f>$O$1824*$X$1824</f>
        <v>117.31020000000001</v>
      </c>
      <c r="AE1824" s="6">
        <f>$K$1824*$Y$1824</f>
        <v>0</v>
      </c>
      <c r="AF1824" s="6">
        <f ca="1">$M$1824*$Z$1824</f>
        <v>579.64990528085218</v>
      </c>
      <c r="AG1824" s="6">
        <f>$O$1824*$AA$1824</f>
        <v>157.38749028532268</v>
      </c>
    </row>
    <row r="1825" spans="1:33" ht="11.25" customHeight="1" x14ac:dyDescent="0.25">
      <c r="A1825" s="4" t="s">
        <v>21</v>
      </c>
      <c r="B1825" s="4" t="s">
        <v>39</v>
      </c>
      <c r="C1825" s="4" t="s">
        <v>35</v>
      </c>
      <c r="D1825" s="4" t="s">
        <v>48</v>
      </c>
      <c r="E1825" s="4" t="s">
        <v>25</v>
      </c>
      <c r="F1825" s="4" t="s">
        <v>25</v>
      </c>
      <c r="G1825" s="4" t="s">
        <v>25</v>
      </c>
      <c r="H1825" s="4" t="s">
        <v>36</v>
      </c>
      <c r="I1825" s="5">
        <v>44713</v>
      </c>
      <c r="J1825" s="6">
        <v>0</v>
      </c>
      <c r="K1825" s="6">
        <v>0</v>
      </c>
      <c r="L1825" s="6">
        <v>0.40500000000000003</v>
      </c>
      <c r="M1825" s="6">
        <v>0.40500000000000003</v>
      </c>
      <c r="N1825" s="6">
        <v>0.40500000000000003</v>
      </c>
      <c r="O1825" s="6">
        <v>0.40500000000000003</v>
      </c>
      <c r="P1825" s="6">
        <v>0</v>
      </c>
      <c r="Q1825" s="4" t="s">
        <v>26</v>
      </c>
      <c r="R1825" s="4">
        <v>0</v>
      </c>
      <c r="S1825" s="6">
        <v>0</v>
      </c>
      <c r="T1825" s="6">
        <v>64</v>
      </c>
      <c r="U1825" s="6">
        <v>108</v>
      </c>
      <c r="V1825" s="6">
        <f>IF(ISERROR(VLOOKUP($S$1825,'TAR FIN'!$A$1:$O$115,15,0)),0,VLOOKUP($S$1825,'TAR FIN'!$A$1:$O$115,15,0))</f>
        <v>0</v>
      </c>
      <c r="W1825" s="6">
        <f>IF(ISERROR(VLOOKUP($T$1825,'TAR FIN'!$A$1:$O$115,15,0)),0,VLOOKUP($T$1825,'TAR FIN'!$A$1:$O$115,15,0))</f>
        <v>1303.25</v>
      </c>
      <c r="X1825" s="6">
        <f>IF(ISERROR(VLOOKUP($U$1825,'TAR FIN'!$A$1:$O$115,15,0)),0,VLOOKUP($U$1825,'TAR FIN'!$A$1:$O$115,15,0))</f>
        <v>270.3</v>
      </c>
      <c r="Y1825" s="6"/>
      <c r="Z1825" s="6">
        <f ca="1">('TUSD BE'!$AM$62+'TUSD BF'!$AM$62+'TUSD CVA'!$AM$62)*1</f>
        <v>1335.5988600941293</v>
      </c>
      <c r="AA1825" s="6">
        <f>('TE BE'!$AB$45+'TE BF'!$AB$45+'TE CVA'!$AB$45)*1</f>
        <v>362.64398683254075</v>
      </c>
      <c r="AB1825" s="6">
        <f>$K$1825*$V$1825</f>
        <v>0</v>
      </c>
      <c r="AC1825" s="6">
        <f>$M$1825*$W$1825</f>
        <v>527.81625000000008</v>
      </c>
      <c r="AD1825" s="6">
        <f>$O$1825*$X$1825</f>
        <v>109.47150000000001</v>
      </c>
      <c r="AE1825" s="6">
        <f>$K$1825*$Y$1825</f>
        <v>0</v>
      </c>
      <c r="AF1825" s="6">
        <f ca="1">$M$1825*$Z$1825</f>
        <v>540.91753833812243</v>
      </c>
      <c r="AG1825" s="6">
        <f>$O$1825*$AA$1825</f>
        <v>146.87081466717902</v>
      </c>
    </row>
    <row r="1826" spans="1:33" ht="11.25" customHeight="1" x14ac:dyDescent="0.25">
      <c r="A1826" s="4" t="s">
        <v>28</v>
      </c>
      <c r="B1826" s="4" t="s">
        <v>39</v>
      </c>
      <c r="C1826" s="4" t="s">
        <v>35</v>
      </c>
      <c r="D1826" s="4" t="s">
        <v>48</v>
      </c>
      <c r="E1826" s="4" t="s">
        <v>25</v>
      </c>
      <c r="F1826" s="4" t="s">
        <v>25</v>
      </c>
      <c r="G1826" s="4" t="s">
        <v>25</v>
      </c>
      <c r="H1826" s="4" t="s">
        <v>36</v>
      </c>
      <c r="I1826" s="5">
        <v>44713</v>
      </c>
      <c r="J1826" s="6">
        <v>0</v>
      </c>
      <c r="K1826" s="6">
        <v>0</v>
      </c>
      <c r="L1826" s="6">
        <v>4.0000000000000001E-3</v>
      </c>
      <c r="M1826" s="6">
        <v>4.0000000000000001E-3</v>
      </c>
      <c r="N1826" s="6">
        <v>4.0000000000000001E-3</v>
      </c>
      <c r="O1826" s="6">
        <v>4.0000000000000001E-3</v>
      </c>
      <c r="P1826" s="6">
        <v>0</v>
      </c>
      <c r="Q1826" s="4" t="s">
        <v>26</v>
      </c>
      <c r="R1826" s="4">
        <v>0</v>
      </c>
      <c r="S1826" s="6">
        <v>0</v>
      </c>
      <c r="T1826" s="6">
        <v>64</v>
      </c>
      <c r="U1826" s="6">
        <v>108</v>
      </c>
      <c r="V1826" s="6">
        <f>IF(ISERROR(VLOOKUP($S$1826,'TAR FIN'!$A$1:$O$115,15,0)),0,VLOOKUP($S$1826,'TAR FIN'!$A$1:$O$115,15,0))</f>
        <v>0</v>
      </c>
      <c r="W1826" s="6">
        <f>IF(ISERROR(VLOOKUP($T$1826,'TAR FIN'!$A$1:$O$115,15,0)),0,VLOOKUP($T$1826,'TAR FIN'!$A$1:$O$115,15,0))</f>
        <v>1303.25</v>
      </c>
      <c r="X1826" s="6">
        <f>IF(ISERROR(VLOOKUP($U$1826,'TAR FIN'!$A$1:$O$115,15,0)),0,VLOOKUP($U$1826,'TAR FIN'!$A$1:$O$115,15,0))</f>
        <v>270.3</v>
      </c>
      <c r="Y1826" s="6"/>
      <c r="Z1826" s="6">
        <f ca="1">('TUSD BE'!$AM$62+'TUSD BF'!$AM$62+'TUSD CVA'!$AM$62)*1</f>
        <v>1335.5988600941293</v>
      </c>
      <c r="AA1826" s="6">
        <f>('TE BE'!$AB$45+'TE BF'!$AB$45+'TE CVA'!$AB$45)*1</f>
        <v>362.64398683254075</v>
      </c>
      <c r="AB1826" s="6">
        <f>$K$1826*$V$1826</f>
        <v>0</v>
      </c>
      <c r="AC1826" s="6">
        <f>$M$1826*$W$1826</f>
        <v>5.2130000000000001</v>
      </c>
      <c r="AD1826" s="6">
        <f>$O$1826*$X$1826</f>
        <v>1.0812000000000002</v>
      </c>
      <c r="AE1826" s="6">
        <f>$K$1826*$Y$1826</f>
        <v>0</v>
      </c>
      <c r="AF1826" s="6">
        <f ca="1">$M$1826*$Z$1826</f>
        <v>5.3423954403765173</v>
      </c>
      <c r="AG1826" s="6">
        <f>$O$1826*$AA$1826</f>
        <v>1.4505759473301629</v>
      </c>
    </row>
    <row r="1827" spans="1:33" ht="11.25" customHeight="1" x14ac:dyDescent="0.25">
      <c r="A1827" s="4" t="s">
        <v>21</v>
      </c>
      <c r="B1827" s="4" t="s">
        <v>39</v>
      </c>
      <c r="C1827" s="4" t="s">
        <v>35</v>
      </c>
      <c r="D1827" s="4" t="s">
        <v>48</v>
      </c>
      <c r="E1827" s="4" t="s">
        <v>25</v>
      </c>
      <c r="F1827" s="4" t="s">
        <v>25</v>
      </c>
      <c r="G1827" s="4" t="s">
        <v>25</v>
      </c>
      <c r="H1827" s="4" t="s">
        <v>36</v>
      </c>
      <c r="I1827" s="5">
        <v>44743</v>
      </c>
      <c r="J1827" s="6">
        <v>0</v>
      </c>
      <c r="K1827" s="6">
        <v>0</v>
      </c>
      <c r="L1827" s="6">
        <v>0.52900000000000003</v>
      </c>
      <c r="M1827" s="6">
        <v>0.52900000000000003</v>
      </c>
      <c r="N1827" s="6">
        <v>0.52900000000000003</v>
      </c>
      <c r="O1827" s="6">
        <v>0.52900000000000003</v>
      </c>
      <c r="P1827" s="6">
        <v>0</v>
      </c>
      <c r="Q1827" s="4" t="s">
        <v>26</v>
      </c>
      <c r="R1827" s="4">
        <v>0</v>
      </c>
      <c r="S1827" s="6">
        <v>0</v>
      </c>
      <c r="T1827" s="6">
        <v>64</v>
      </c>
      <c r="U1827" s="6">
        <v>108</v>
      </c>
      <c r="V1827" s="6">
        <f>IF(ISERROR(VLOOKUP($S$1827,'TAR FIN'!$A$1:$O$115,15,0)),0,VLOOKUP($S$1827,'TAR FIN'!$A$1:$O$115,15,0))</f>
        <v>0</v>
      </c>
      <c r="W1827" s="6">
        <f>IF(ISERROR(VLOOKUP($T$1827,'TAR FIN'!$A$1:$O$115,15,0)),0,VLOOKUP($T$1827,'TAR FIN'!$A$1:$O$115,15,0))</f>
        <v>1303.25</v>
      </c>
      <c r="X1827" s="6">
        <f>IF(ISERROR(VLOOKUP($U$1827,'TAR FIN'!$A$1:$O$115,15,0)),0,VLOOKUP($U$1827,'TAR FIN'!$A$1:$O$115,15,0))</f>
        <v>270.3</v>
      </c>
      <c r="Y1827" s="6"/>
      <c r="Z1827" s="6">
        <f ca="1">('TUSD BE'!$AM$62+'TUSD BF'!$AM$62+'TUSD CVA'!$AM$62)*1</f>
        <v>1335.5988600941293</v>
      </c>
      <c r="AA1827" s="6">
        <f>('TE BE'!$AB$45+'TE BF'!$AB$45+'TE CVA'!$AB$45)*1</f>
        <v>362.64398683254075</v>
      </c>
      <c r="AB1827" s="6">
        <f>$K$1827*$V$1827</f>
        <v>0</v>
      </c>
      <c r="AC1827" s="6">
        <f>$M$1827*$W$1827</f>
        <v>689.41925000000003</v>
      </c>
      <c r="AD1827" s="6">
        <f>$O$1827*$X$1827</f>
        <v>142.98870000000002</v>
      </c>
      <c r="AE1827" s="6">
        <f>$K$1827*$Y$1827</f>
        <v>0</v>
      </c>
      <c r="AF1827" s="6">
        <f ca="1">$M$1827*$Z$1827</f>
        <v>706.53179698979443</v>
      </c>
      <c r="AG1827" s="6">
        <f>$O$1827*$AA$1827</f>
        <v>191.83866903441407</v>
      </c>
    </row>
    <row r="1828" spans="1:33" ht="11.25" customHeight="1" x14ac:dyDescent="0.25">
      <c r="A1828" s="4" t="s">
        <v>28</v>
      </c>
      <c r="B1828" s="4" t="s">
        <v>39</v>
      </c>
      <c r="C1828" s="4" t="s">
        <v>35</v>
      </c>
      <c r="D1828" s="4" t="s">
        <v>48</v>
      </c>
      <c r="E1828" s="4" t="s">
        <v>25</v>
      </c>
      <c r="F1828" s="4" t="s">
        <v>25</v>
      </c>
      <c r="G1828" s="4" t="s">
        <v>25</v>
      </c>
      <c r="H1828" s="4" t="s">
        <v>36</v>
      </c>
      <c r="I1828" s="5">
        <v>44743</v>
      </c>
      <c r="J1828" s="6">
        <v>0</v>
      </c>
      <c r="K1828" s="6">
        <v>0</v>
      </c>
      <c r="L1828" s="6">
        <v>8.9999999999999993E-3</v>
      </c>
      <c r="M1828" s="6">
        <v>8.9999999999999993E-3</v>
      </c>
      <c r="N1828" s="6">
        <v>8.9999999999999993E-3</v>
      </c>
      <c r="O1828" s="6">
        <v>8.9999999999999993E-3</v>
      </c>
      <c r="P1828" s="6">
        <v>0</v>
      </c>
      <c r="Q1828" s="4" t="s">
        <v>26</v>
      </c>
      <c r="R1828" s="4">
        <v>0</v>
      </c>
      <c r="S1828" s="6">
        <v>0</v>
      </c>
      <c r="T1828" s="6">
        <v>64</v>
      </c>
      <c r="U1828" s="6">
        <v>108</v>
      </c>
      <c r="V1828" s="6">
        <f>IF(ISERROR(VLOOKUP($S$1828,'TAR FIN'!$A$1:$O$115,15,0)),0,VLOOKUP($S$1828,'TAR FIN'!$A$1:$O$115,15,0))</f>
        <v>0</v>
      </c>
      <c r="W1828" s="6">
        <f>IF(ISERROR(VLOOKUP($T$1828,'TAR FIN'!$A$1:$O$115,15,0)),0,VLOOKUP($T$1828,'TAR FIN'!$A$1:$O$115,15,0))</f>
        <v>1303.25</v>
      </c>
      <c r="X1828" s="6">
        <f>IF(ISERROR(VLOOKUP($U$1828,'TAR FIN'!$A$1:$O$115,15,0)),0,VLOOKUP($U$1828,'TAR FIN'!$A$1:$O$115,15,0))</f>
        <v>270.3</v>
      </c>
      <c r="Y1828" s="6"/>
      <c r="Z1828" s="6">
        <f ca="1">('TUSD BE'!$AM$62+'TUSD BF'!$AM$62+'TUSD CVA'!$AM$62)*1</f>
        <v>1335.5988600941293</v>
      </c>
      <c r="AA1828" s="6">
        <f>('TE BE'!$AB$45+'TE BF'!$AB$45+'TE CVA'!$AB$45)*1</f>
        <v>362.64398683254075</v>
      </c>
      <c r="AB1828" s="6">
        <f>$K$1828*$V$1828</f>
        <v>0</v>
      </c>
      <c r="AC1828" s="6">
        <f>$M$1828*$W$1828</f>
        <v>11.729249999999999</v>
      </c>
      <c r="AD1828" s="6">
        <f>$O$1828*$X$1828</f>
        <v>2.4327000000000001</v>
      </c>
      <c r="AE1828" s="6">
        <f>$K$1828*$Y$1828</f>
        <v>0</v>
      </c>
      <c r="AF1828" s="6">
        <f ca="1">$M$1828*$Z$1828</f>
        <v>12.020389740847163</v>
      </c>
      <c r="AG1828" s="6">
        <f>$O$1828*$AA$1828</f>
        <v>3.2637958814928667</v>
      </c>
    </row>
    <row r="1829" spans="1:33" ht="11.25" customHeight="1" x14ac:dyDescent="0.25">
      <c r="A1829" s="4" t="s">
        <v>21</v>
      </c>
      <c r="B1829" s="4" t="s">
        <v>39</v>
      </c>
      <c r="C1829" s="4" t="s">
        <v>35</v>
      </c>
      <c r="D1829" s="4" t="s">
        <v>48</v>
      </c>
      <c r="E1829" s="4" t="s">
        <v>25</v>
      </c>
      <c r="F1829" s="4" t="s">
        <v>25</v>
      </c>
      <c r="G1829" s="4" t="s">
        <v>25</v>
      </c>
      <c r="H1829" s="4" t="s">
        <v>36</v>
      </c>
      <c r="I1829" s="5">
        <v>44774</v>
      </c>
      <c r="J1829" s="6">
        <v>0</v>
      </c>
      <c r="K1829" s="6">
        <v>0</v>
      </c>
      <c r="L1829" s="6">
        <v>0.58499999999999996</v>
      </c>
      <c r="M1829" s="6">
        <v>0.58499999999999996</v>
      </c>
      <c r="N1829" s="6">
        <v>0.58499999999999996</v>
      </c>
      <c r="O1829" s="6">
        <v>0.58499999999999996</v>
      </c>
      <c r="P1829" s="6">
        <v>0</v>
      </c>
      <c r="Q1829" s="4" t="s">
        <v>26</v>
      </c>
      <c r="R1829" s="4">
        <v>0</v>
      </c>
      <c r="S1829" s="6">
        <v>0</v>
      </c>
      <c r="T1829" s="6">
        <v>64</v>
      </c>
      <c r="U1829" s="6">
        <v>108</v>
      </c>
      <c r="V1829" s="6">
        <f>IF(ISERROR(VLOOKUP($S$1829,'TAR FIN'!$A$1:$O$115,15,0)),0,VLOOKUP($S$1829,'TAR FIN'!$A$1:$O$115,15,0))</f>
        <v>0</v>
      </c>
      <c r="W1829" s="6">
        <f>IF(ISERROR(VLOOKUP($T$1829,'TAR FIN'!$A$1:$O$115,15,0)),0,VLOOKUP($T$1829,'TAR FIN'!$A$1:$O$115,15,0))</f>
        <v>1303.25</v>
      </c>
      <c r="X1829" s="6">
        <f>IF(ISERROR(VLOOKUP($U$1829,'TAR FIN'!$A$1:$O$115,15,0)),0,VLOOKUP($U$1829,'TAR FIN'!$A$1:$O$115,15,0))</f>
        <v>270.3</v>
      </c>
      <c r="Y1829" s="6"/>
      <c r="Z1829" s="6">
        <f ca="1">('TUSD BE'!$AM$62+'TUSD BF'!$AM$62+'TUSD CVA'!$AM$62)*1</f>
        <v>1335.5988600941293</v>
      </c>
      <c r="AA1829" s="6">
        <f>('TE BE'!$AB$45+'TE BF'!$AB$45+'TE CVA'!$AB$45)*1</f>
        <v>362.64398683254075</v>
      </c>
      <c r="AB1829" s="6">
        <f>$K$1829*$V$1829</f>
        <v>0</v>
      </c>
      <c r="AC1829" s="6">
        <f>$M$1829*$W$1829</f>
        <v>762.40125</v>
      </c>
      <c r="AD1829" s="6">
        <f>$O$1829*$X$1829</f>
        <v>158.12549999999999</v>
      </c>
      <c r="AE1829" s="6">
        <f>$K$1829*$Y$1829</f>
        <v>0</v>
      </c>
      <c r="AF1829" s="6">
        <f ca="1">$M$1829*$Z$1829</f>
        <v>781.32533315506566</v>
      </c>
      <c r="AG1829" s="6">
        <f>$O$1829*$AA$1829</f>
        <v>212.14673229703632</v>
      </c>
    </row>
    <row r="1830" spans="1:33" ht="11.25" customHeight="1" x14ac:dyDescent="0.25">
      <c r="A1830" s="4" t="s">
        <v>27</v>
      </c>
      <c r="B1830" s="4" t="s">
        <v>39</v>
      </c>
      <c r="C1830" s="4" t="s">
        <v>35</v>
      </c>
      <c r="D1830" s="4" t="s">
        <v>48</v>
      </c>
      <c r="E1830" s="4" t="s">
        <v>25</v>
      </c>
      <c r="F1830" s="4" t="s">
        <v>25</v>
      </c>
      <c r="G1830" s="4" t="s">
        <v>25</v>
      </c>
      <c r="H1830" s="4" t="s">
        <v>36</v>
      </c>
      <c r="I1830" s="5">
        <v>44774</v>
      </c>
      <c r="J1830" s="6">
        <v>0</v>
      </c>
      <c r="K1830" s="6">
        <v>0</v>
      </c>
      <c r="L1830" s="6">
        <v>1.2E-2</v>
      </c>
      <c r="M1830" s="6">
        <v>1.2E-2</v>
      </c>
      <c r="N1830" s="6">
        <v>1.2E-2</v>
      </c>
      <c r="O1830" s="6">
        <v>1.2E-2</v>
      </c>
      <c r="P1830" s="6">
        <v>0</v>
      </c>
      <c r="Q1830" s="4" t="s">
        <v>26</v>
      </c>
      <c r="R1830" s="4">
        <v>0</v>
      </c>
      <c r="S1830" s="6">
        <v>0</v>
      </c>
      <c r="T1830" s="6">
        <v>64</v>
      </c>
      <c r="U1830" s="6">
        <v>108</v>
      </c>
      <c r="V1830" s="6">
        <f>IF(ISERROR(VLOOKUP($S$1830,'TAR FIN'!$A$1:$O$115,15,0)),0,VLOOKUP($S$1830,'TAR FIN'!$A$1:$O$115,15,0))</f>
        <v>0</v>
      </c>
      <c r="W1830" s="6">
        <f>IF(ISERROR(VLOOKUP($T$1830,'TAR FIN'!$A$1:$O$115,15,0)),0,VLOOKUP($T$1830,'TAR FIN'!$A$1:$O$115,15,0))</f>
        <v>1303.25</v>
      </c>
      <c r="X1830" s="6">
        <f>IF(ISERROR(VLOOKUP($U$1830,'TAR FIN'!$A$1:$O$115,15,0)),0,VLOOKUP($U$1830,'TAR FIN'!$A$1:$O$115,15,0))</f>
        <v>270.3</v>
      </c>
      <c r="Y1830" s="6"/>
      <c r="Z1830" s="6">
        <f ca="1">('TUSD BE'!$AM$62+'TUSD BF'!$AM$62+'TUSD CVA'!$AM$62)*1</f>
        <v>1335.5988600941293</v>
      </c>
      <c r="AA1830" s="6">
        <f>('TE BE'!$AB$45+'TE BF'!$AB$45+'TE CVA'!$AB$45)*1</f>
        <v>362.64398683254075</v>
      </c>
      <c r="AB1830" s="6">
        <f>$K$1830*$V$1830</f>
        <v>0</v>
      </c>
      <c r="AC1830" s="6">
        <f>$M$1830*$W$1830</f>
        <v>15.639000000000001</v>
      </c>
      <c r="AD1830" s="6">
        <f>$O$1830*$X$1830</f>
        <v>3.2436000000000003</v>
      </c>
      <c r="AE1830" s="6">
        <f>$K$1830*$Y$1830</f>
        <v>0</v>
      </c>
      <c r="AF1830" s="6">
        <f ca="1">$M$1830*$Z$1830</f>
        <v>16.027186321129552</v>
      </c>
      <c r="AG1830" s="6">
        <f>$O$1830*$AA$1830</f>
        <v>4.3517278419904892</v>
      </c>
    </row>
    <row r="1831" spans="1:33" ht="11.25" customHeight="1" x14ac:dyDescent="0.25">
      <c r="A1831" s="4" t="s">
        <v>28</v>
      </c>
      <c r="B1831" s="4" t="s">
        <v>39</v>
      </c>
      <c r="C1831" s="4" t="s">
        <v>35</v>
      </c>
      <c r="D1831" s="4" t="s">
        <v>48</v>
      </c>
      <c r="E1831" s="4" t="s">
        <v>25</v>
      </c>
      <c r="F1831" s="4" t="s">
        <v>25</v>
      </c>
      <c r="G1831" s="4" t="s">
        <v>25</v>
      </c>
      <c r="H1831" s="4" t="s">
        <v>36</v>
      </c>
      <c r="I1831" s="5">
        <v>44774</v>
      </c>
      <c r="J1831" s="6">
        <v>0</v>
      </c>
      <c r="K1831" s="6">
        <v>0</v>
      </c>
      <c r="L1831" s="6">
        <v>8.0000000000000002E-3</v>
      </c>
      <c r="M1831" s="6">
        <v>8.0000000000000002E-3</v>
      </c>
      <c r="N1831" s="6">
        <v>8.0000000000000002E-3</v>
      </c>
      <c r="O1831" s="6">
        <v>8.0000000000000002E-3</v>
      </c>
      <c r="P1831" s="6">
        <v>0</v>
      </c>
      <c r="Q1831" s="4" t="s">
        <v>26</v>
      </c>
      <c r="R1831" s="4">
        <v>0</v>
      </c>
      <c r="S1831" s="6">
        <v>0</v>
      </c>
      <c r="T1831" s="6">
        <v>64</v>
      </c>
      <c r="U1831" s="6">
        <v>108</v>
      </c>
      <c r="V1831" s="6">
        <f>IF(ISERROR(VLOOKUP($S$1831,'TAR FIN'!$A$1:$O$115,15,0)),0,VLOOKUP($S$1831,'TAR FIN'!$A$1:$O$115,15,0))</f>
        <v>0</v>
      </c>
      <c r="W1831" s="6">
        <f>IF(ISERROR(VLOOKUP($T$1831,'TAR FIN'!$A$1:$O$115,15,0)),0,VLOOKUP($T$1831,'TAR FIN'!$A$1:$O$115,15,0))</f>
        <v>1303.25</v>
      </c>
      <c r="X1831" s="6">
        <f>IF(ISERROR(VLOOKUP($U$1831,'TAR FIN'!$A$1:$O$115,15,0)),0,VLOOKUP($U$1831,'TAR FIN'!$A$1:$O$115,15,0))</f>
        <v>270.3</v>
      </c>
      <c r="Y1831" s="6"/>
      <c r="Z1831" s="6">
        <f ca="1">('TUSD BE'!$AM$62+'TUSD BF'!$AM$62+'TUSD CVA'!$AM$62)*1</f>
        <v>1335.5988600941293</v>
      </c>
      <c r="AA1831" s="6">
        <f>('TE BE'!$AB$45+'TE BF'!$AB$45+'TE CVA'!$AB$45)*1</f>
        <v>362.64398683254075</v>
      </c>
      <c r="AB1831" s="6">
        <f>$K$1831*$V$1831</f>
        <v>0</v>
      </c>
      <c r="AC1831" s="6">
        <f>$M$1831*$W$1831</f>
        <v>10.426</v>
      </c>
      <c r="AD1831" s="6">
        <f>$O$1831*$X$1831</f>
        <v>2.1624000000000003</v>
      </c>
      <c r="AE1831" s="6">
        <f>$K$1831*$Y$1831</f>
        <v>0</v>
      </c>
      <c r="AF1831" s="6">
        <f ca="1">$M$1831*$Z$1831</f>
        <v>10.684790880753035</v>
      </c>
      <c r="AG1831" s="6">
        <f>$O$1831*$AA$1831</f>
        <v>2.9011518946603259</v>
      </c>
    </row>
    <row r="1832" spans="1:33" ht="11.25" customHeight="1" x14ac:dyDescent="0.25">
      <c r="A1832" s="4" t="s">
        <v>21</v>
      </c>
      <c r="B1832" s="4" t="s">
        <v>39</v>
      </c>
      <c r="C1832" s="4" t="s">
        <v>35</v>
      </c>
      <c r="D1832" s="4" t="s">
        <v>48</v>
      </c>
      <c r="E1832" s="4" t="s">
        <v>25</v>
      </c>
      <c r="F1832" s="4" t="s">
        <v>25</v>
      </c>
      <c r="G1832" s="4" t="s">
        <v>25</v>
      </c>
      <c r="H1832" s="4" t="s">
        <v>36</v>
      </c>
      <c r="I1832" s="5">
        <v>44805</v>
      </c>
      <c r="J1832" s="6">
        <v>0</v>
      </c>
      <c r="K1832" s="6">
        <v>0</v>
      </c>
      <c r="L1832" s="6">
        <v>1.61</v>
      </c>
      <c r="M1832" s="6">
        <v>1.61</v>
      </c>
      <c r="N1832" s="6">
        <v>1.61</v>
      </c>
      <c r="O1832" s="6">
        <v>1.61</v>
      </c>
      <c r="P1832" s="6">
        <v>0</v>
      </c>
      <c r="Q1832" s="4" t="s">
        <v>26</v>
      </c>
      <c r="R1832" s="4">
        <v>0</v>
      </c>
      <c r="S1832" s="6">
        <v>0</v>
      </c>
      <c r="T1832" s="6">
        <v>64</v>
      </c>
      <c r="U1832" s="6">
        <v>108</v>
      </c>
      <c r="V1832" s="6">
        <f>IF(ISERROR(VLOOKUP($S$1832,'TAR FIN'!$A$1:$O$115,15,0)),0,VLOOKUP($S$1832,'TAR FIN'!$A$1:$O$115,15,0))</f>
        <v>0</v>
      </c>
      <c r="W1832" s="6">
        <f>IF(ISERROR(VLOOKUP($T$1832,'TAR FIN'!$A$1:$O$115,15,0)),0,VLOOKUP($T$1832,'TAR FIN'!$A$1:$O$115,15,0))</f>
        <v>1303.25</v>
      </c>
      <c r="X1832" s="6">
        <f>IF(ISERROR(VLOOKUP($U$1832,'TAR FIN'!$A$1:$O$115,15,0)),0,VLOOKUP($U$1832,'TAR FIN'!$A$1:$O$115,15,0))</f>
        <v>270.3</v>
      </c>
      <c r="Y1832" s="6"/>
      <c r="Z1832" s="6">
        <f ca="1">('TUSD BE'!$AM$62+'TUSD BF'!$AM$62+'TUSD CVA'!$AM$62)*1</f>
        <v>1335.5988600941293</v>
      </c>
      <c r="AA1832" s="6">
        <f>('TE BE'!$AB$45+'TE BF'!$AB$45+'TE CVA'!$AB$45)*1</f>
        <v>362.64398683254075</v>
      </c>
      <c r="AB1832" s="6">
        <f>$K$1832*$V$1832</f>
        <v>0</v>
      </c>
      <c r="AC1832" s="6">
        <f>$M$1832*$W$1832</f>
        <v>2098.2325000000001</v>
      </c>
      <c r="AD1832" s="6">
        <f>$O$1832*$X$1832</f>
        <v>435.18300000000005</v>
      </c>
      <c r="AE1832" s="6">
        <f>$K$1832*$Y$1832</f>
        <v>0</v>
      </c>
      <c r="AF1832" s="6">
        <f ca="1">$M$1832*$Z$1832</f>
        <v>2150.3141647515486</v>
      </c>
      <c r="AG1832" s="6">
        <f>$O$1832*$AA$1832</f>
        <v>583.85681880039067</v>
      </c>
    </row>
    <row r="1833" spans="1:33" ht="11.25" customHeight="1" x14ac:dyDescent="0.25">
      <c r="A1833" s="4" t="s">
        <v>28</v>
      </c>
      <c r="B1833" s="4" t="s">
        <v>39</v>
      </c>
      <c r="C1833" s="4" t="s">
        <v>35</v>
      </c>
      <c r="D1833" s="4" t="s">
        <v>48</v>
      </c>
      <c r="E1833" s="4" t="s">
        <v>25</v>
      </c>
      <c r="F1833" s="4" t="s">
        <v>25</v>
      </c>
      <c r="G1833" s="4" t="s">
        <v>25</v>
      </c>
      <c r="H1833" s="4" t="s">
        <v>36</v>
      </c>
      <c r="I1833" s="5">
        <v>44805</v>
      </c>
      <c r="J1833" s="6">
        <v>0</v>
      </c>
      <c r="K1833" s="6">
        <v>0</v>
      </c>
      <c r="L1833" s="6">
        <v>0.70499999999999996</v>
      </c>
      <c r="M1833" s="6">
        <v>0.70499999999999996</v>
      </c>
      <c r="N1833" s="6">
        <v>0.70499999999999996</v>
      </c>
      <c r="O1833" s="6">
        <v>0.70499999999999996</v>
      </c>
      <c r="P1833" s="6">
        <v>0</v>
      </c>
      <c r="Q1833" s="4" t="s">
        <v>26</v>
      </c>
      <c r="R1833" s="4">
        <v>0</v>
      </c>
      <c r="S1833" s="6">
        <v>0</v>
      </c>
      <c r="T1833" s="6">
        <v>64</v>
      </c>
      <c r="U1833" s="6">
        <v>108</v>
      </c>
      <c r="V1833" s="6">
        <f>IF(ISERROR(VLOOKUP($S$1833,'TAR FIN'!$A$1:$O$115,15,0)),0,VLOOKUP($S$1833,'TAR FIN'!$A$1:$O$115,15,0))</f>
        <v>0</v>
      </c>
      <c r="W1833" s="6">
        <f>IF(ISERROR(VLOOKUP($T$1833,'TAR FIN'!$A$1:$O$115,15,0)),0,VLOOKUP($T$1833,'TAR FIN'!$A$1:$O$115,15,0))</f>
        <v>1303.25</v>
      </c>
      <c r="X1833" s="6">
        <f>IF(ISERROR(VLOOKUP($U$1833,'TAR FIN'!$A$1:$O$115,15,0)),0,VLOOKUP($U$1833,'TAR FIN'!$A$1:$O$115,15,0))</f>
        <v>270.3</v>
      </c>
      <c r="Y1833" s="6"/>
      <c r="Z1833" s="6">
        <f ca="1">('TUSD BE'!$AM$62+'TUSD BF'!$AM$62+'TUSD CVA'!$AM$62)*1</f>
        <v>1335.5988600941293</v>
      </c>
      <c r="AA1833" s="6">
        <f>('TE BE'!$AB$45+'TE BF'!$AB$45+'TE CVA'!$AB$45)*1</f>
        <v>362.64398683254075</v>
      </c>
      <c r="AB1833" s="6">
        <f>$K$1833*$V$1833</f>
        <v>0</v>
      </c>
      <c r="AC1833" s="6">
        <f>$M$1833*$W$1833</f>
        <v>918.79124999999999</v>
      </c>
      <c r="AD1833" s="6">
        <f>$O$1833*$X$1833</f>
        <v>190.5615</v>
      </c>
      <c r="AE1833" s="6">
        <f>$K$1833*$Y$1833</f>
        <v>0</v>
      </c>
      <c r="AF1833" s="6">
        <f ca="1">$M$1833*$Z$1833</f>
        <v>941.59719636636112</v>
      </c>
      <c r="AG1833" s="6">
        <f>$O$1833*$AA$1833</f>
        <v>255.66401071694122</v>
      </c>
    </row>
    <row r="1834" spans="1:33" ht="11.25" customHeight="1" x14ac:dyDescent="0.25">
      <c r="A1834" s="4" t="s">
        <v>21</v>
      </c>
      <c r="B1834" s="4" t="s">
        <v>39</v>
      </c>
      <c r="C1834" s="4" t="s">
        <v>35</v>
      </c>
      <c r="D1834" s="4" t="s">
        <v>48</v>
      </c>
      <c r="E1834" s="4" t="s">
        <v>25</v>
      </c>
      <c r="F1834" s="4" t="s">
        <v>25</v>
      </c>
      <c r="G1834" s="4" t="s">
        <v>25</v>
      </c>
      <c r="H1834" s="4" t="s">
        <v>36</v>
      </c>
      <c r="I1834" s="5">
        <v>44835</v>
      </c>
      <c r="J1834" s="6">
        <v>0</v>
      </c>
      <c r="K1834" s="6">
        <v>0</v>
      </c>
      <c r="L1834" s="6">
        <v>2.2469999999999999</v>
      </c>
      <c r="M1834" s="6">
        <v>2.2469999999999999</v>
      </c>
      <c r="N1834" s="6">
        <v>2.2469999999999999</v>
      </c>
      <c r="O1834" s="6">
        <v>2.2469999999999999</v>
      </c>
      <c r="P1834" s="6">
        <v>0</v>
      </c>
      <c r="Q1834" s="4" t="s">
        <v>26</v>
      </c>
      <c r="R1834" s="4">
        <v>0</v>
      </c>
      <c r="S1834" s="6">
        <v>0</v>
      </c>
      <c r="T1834" s="6">
        <v>64</v>
      </c>
      <c r="U1834" s="6">
        <v>108</v>
      </c>
      <c r="V1834" s="6">
        <f>IF(ISERROR(VLOOKUP($S$1834,'TAR FIN'!$A$1:$O$115,15,0)),0,VLOOKUP($S$1834,'TAR FIN'!$A$1:$O$115,15,0))</f>
        <v>0</v>
      </c>
      <c r="W1834" s="6">
        <f>IF(ISERROR(VLOOKUP($T$1834,'TAR FIN'!$A$1:$O$115,15,0)),0,VLOOKUP($T$1834,'TAR FIN'!$A$1:$O$115,15,0))</f>
        <v>1303.25</v>
      </c>
      <c r="X1834" s="6">
        <f>IF(ISERROR(VLOOKUP($U$1834,'TAR FIN'!$A$1:$O$115,15,0)),0,VLOOKUP($U$1834,'TAR FIN'!$A$1:$O$115,15,0))</f>
        <v>270.3</v>
      </c>
      <c r="Y1834" s="6"/>
      <c r="Z1834" s="6">
        <f ca="1">('TUSD BE'!$AM$62+'TUSD BF'!$AM$62+'TUSD CVA'!$AM$62)*1</f>
        <v>1335.5988600941293</v>
      </c>
      <c r="AA1834" s="6">
        <f>('TE BE'!$AB$45+'TE BF'!$AB$45+'TE CVA'!$AB$45)*1</f>
        <v>362.64398683254075</v>
      </c>
      <c r="AB1834" s="6">
        <f>$K$1834*$V$1834</f>
        <v>0</v>
      </c>
      <c r="AC1834" s="6">
        <f>$M$1834*$W$1834</f>
        <v>2928.4027499999997</v>
      </c>
      <c r="AD1834" s="6">
        <f>$O$1834*$X$1834</f>
        <v>607.36410000000001</v>
      </c>
      <c r="AE1834" s="6">
        <f>$K$1834*$Y$1834</f>
        <v>0</v>
      </c>
      <c r="AF1834" s="6">
        <f ca="1">$M$1834*$Z$1834</f>
        <v>3001.0906386315087</v>
      </c>
      <c r="AG1834" s="6">
        <f>$O$1834*$AA$1834</f>
        <v>814.86103841271904</v>
      </c>
    </row>
    <row r="1835" spans="1:33" ht="11.25" customHeight="1" x14ac:dyDescent="0.25">
      <c r="A1835" s="4" t="s">
        <v>28</v>
      </c>
      <c r="B1835" s="4" t="s">
        <v>39</v>
      </c>
      <c r="C1835" s="4" t="s">
        <v>35</v>
      </c>
      <c r="D1835" s="4" t="s">
        <v>48</v>
      </c>
      <c r="E1835" s="4" t="s">
        <v>25</v>
      </c>
      <c r="F1835" s="4" t="s">
        <v>25</v>
      </c>
      <c r="G1835" s="4" t="s">
        <v>25</v>
      </c>
      <c r="H1835" s="4" t="s">
        <v>36</v>
      </c>
      <c r="I1835" s="5">
        <v>44835</v>
      </c>
      <c r="J1835" s="6">
        <v>0</v>
      </c>
      <c r="K1835" s="6">
        <v>0</v>
      </c>
      <c r="L1835" s="6">
        <v>0.35799999999999998</v>
      </c>
      <c r="M1835" s="6">
        <v>0.35799999999999998</v>
      </c>
      <c r="N1835" s="6">
        <v>0.35799999999999998</v>
      </c>
      <c r="O1835" s="6">
        <v>0.35799999999999998</v>
      </c>
      <c r="P1835" s="6">
        <v>0</v>
      </c>
      <c r="Q1835" s="4" t="s">
        <v>26</v>
      </c>
      <c r="R1835" s="4">
        <v>0</v>
      </c>
      <c r="S1835" s="6">
        <v>0</v>
      </c>
      <c r="T1835" s="6">
        <v>64</v>
      </c>
      <c r="U1835" s="6">
        <v>108</v>
      </c>
      <c r="V1835" s="6">
        <f>IF(ISERROR(VLOOKUP($S$1835,'TAR FIN'!$A$1:$O$115,15,0)),0,VLOOKUP($S$1835,'TAR FIN'!$A$1:$O$115,15,0))</f>
        <v>0</v>
      </c>
      <c r="W1835" s="6">
        <f>IF(ISERROR(VLOOKUP($T$1835,'TAR FIN'!$A$1:$O$115,15,0)),0,VLOOKUP($T$1835,'TAR FIN'!$A$1:$O$115,15,0))</f>
        <v>1303.25</v>
      </c>
      <c r="X1835" s="6">
        <f>IF(ISERROR(VLOOKUP($U$1835,'TAR FIN'!$A$1:$O$115,15,0)),0,VLOOKUP($U$1835,'TAR FIN'!$A$1:$O$115,15,0))</f>
        <v>270.3</v>
      </c>
      <c r="Y1835" s="6"/>
      <c r="Z1835" s="6">
        <f ca="1">('TUSD BE'!$AM$62+'TUSD BF'!$AM$62+'TUSD CVA'!$AM$62)*1</f>
        <v>1335.5988600941293</v>
      </c>
      <c r="AA1835" s="6">
        <f>('TE BE'!$AB$45+'TE BF'!$AB$45+'TE CVA'!$AB$45)*1</f>
        <v>362.64398683254075</v>
      </c>
      <c r="AB1835" s="6">
        <f>$K$1835*$V$1835</f>
        <v>0</v>
      </c>
      <c r="AC1835" s="6">
        <f>$M$1835*$W$1835</f>
        <v>466.56349999999998</v>
      </c>
      <c r="AD1835" s="6">
        <f>$O$1835*$X$1835</f>
        <v>96.767399999999995</v>
      </c>
      <c r="AE1835" s="6">
        <f>$K$1835*$Y$1835</f>
        <v>0</v>
      </c>
      <c r="AF1835" s="6">
        <f ca="1">$M$1835*$Z$1835</f>
        <v>478.14439191369831</v>
      </c>
      <c r="AG1835" s="6">
        <f>$O$1835*$AA$1835</f>
        <v>129.82654728604959</v>
      </c>
    </row>
    <row r="1836" spans="1:33" ht="11.25" customHeight="1" x14ac:dyDescent="0.25">
      <c r="A1836" s="4" t="s">
        <v>59</v>
      </c>
      <c r="B1836" s="4" t="s">
        <v>39</v>
      </c>
      <c r="C1836" s="4" t="s">
        <v>35</v>
      </c>
      <c r="D1836" s="4" t="s">
        <v>48</v>
      </c>
      <c r="E1836" s="4" t="s">
        <v>25</v>
      </c>
      <c r="F1836" s="4" t="s">
        <v>25</v>
      </c>
      <c r="G1836" s="4" t="s">
        <v>25</v>
      </c>
      <c r="H1836" s="4" t="s">
        <v>36</v>
      </c>
      <c r="I1836" s="5">
        <v>44866</v>
      </c>
      <c r="J1836" s="6">
        <v>0</v>
      </c>
      <c r="K1836" s="6">
        <v>0</v>
      </c>
      <c r="L1836" s="6">
        <v>2.2469999999999999</v>
      </c>
      <c r="M1836" s="6">
        <v>2.2469999999999999</v>
      </c>
      <c r="N1836" s="6">
        <v>2.2469999999999999</v>
      </c>
      <c r="O1836" s="6">
        <v>2.2469999999999999</v>
      </c>
      <c r="P1836" s="6">
        <v>0</v>
      </c>
      <c r="Q1836" s="4" t="s">
        <v>26</v>
      </c>
      <c r="R1836" s="4">
        <v>0</v>
      </c>
      <c r="S1836" s="6">
        <v>0</v>
      </c>
      <c r="T1836" s="6">
        <v>64</v>
      </c>
      <c r="U1836" s="6">
        <v>108</v>
      </c>
      <c r="V1836" s="6">
        <f>IF(ISERROR(VLOOKUP($S$1836,'TAR FIN'!$A$1:$O$115,15,0)),0,VLOOKUP($S$1836,'TAR FIN'!$A$1:$O$115,15,0))</f>
        <v>0</v>
      </c>
      <c r="W1836" s="6">
        <f>IF(ISERROR(VLOOKUP($T$1836,'TAR FIN'!$A$1:$O$115,15,0)),0,VLOOKUP($T$1836,'TAR FIN'!$A$1:$O$115,15,0))</f>
        <v>1303.25</v>
      </c>
      <c r="X1836" s="6">
        <f>IF(ISERROR(VLOOKUP($U$1836,'TAR FIN'!$A$1:$O$115,15,0)),0,VLOOKUP($U$1836,'TAR FIN'!$A$1:$O$115,15,0))</f>
        <v>270.3</v>
      </c>
      <c r="Y1836" s="6"/>
      <c r="Z1836" s="6">
        <f ca="1">('TUSD BE'!$AM$62+'TUSD BF'!$AM$62+'TUSD CVA'!$AM$62)*1</f>
        <v>1335.5988600941293</v>
      </c>
      <c r="AA1836" s="6">
        <f>('TE BE'!$AB$45+'TE BF'!$AB$45+'TE CVA'!$AB$45)*1</f>
        <v>362.64398683254075</v>
      </c>
      <c r="AB1836" s="6">
        <f>$K$1836*$V$1836</f>
        <v>0</v>
      </c>
      <c r="AC1836" s="6">
        <f>$M$1836*$W$1836</f>
        <v>2928.4027499999997</v>
      </c>
      <c r="AD1836" s="6">
        <f>$O$1836*$X$1836</f>
        <v>607.36410000000001</v>
      </c>
      <c r="AE1836" s="6">
        <f>$K$1836*$Y$1836</f>
        <v>0</v>
      </c>
      <c r="AF1836" s="6">
        <f ca="1">$M$1836*$Z$1836</f>
        <v>3001.0906386315087</v>
      </c>
      <c r="AG1836" s="6">
        <f>$O$1836*$AA$1836</f>
        <v>814.86103841271904</v>
      </c>
    </row>
    <row r="1837" spans="1:33" ht="11.25" customHeight="1" x14ac:dyDescent="0.25">
      <c r="A1837" s="4" t="s">
        <v>59</v>
      </c>
      <c r="B1837" s="4" t="s">
        <v>39</v>
      </c>
      <c r="C1837" s="4" t="s">
        <v>35</v>
      </c>
      <c r="D1837" s="4" t="s">
        <v>48</v>
      </c>
      <c r="E1837" s="4" t="s">
        <v>25</v>
      </c>
      <c r="F1837" s="4" t="s">
        <v>25</v>
      </c>
      <c r="G1837" s="4" t="s">
        <v>25</v>
      </c>
      <c r="H1837" s="4" t="s">
        <v>36</v>
      </c>
      <c r="I1837" s="5">
        <v>44866</v>
      </c>
      <c r="J1837" s="6">
        <v>0</v>
      </c>
      <c r="K1837" s="6">
        <v>0</v>
      </c>
      <c r="L1837" s="6">
        <v>0.35799999999999998</v>
      </c>
      <c r="M1837" s="6">
        <v>0.35799999999999998</v>
      </c>
      <c r="N1837" s="6">
        <v>0.35799999999999998</v>
      </c>
      <c r="O1837" s="6">
        <v>0.35799999999999998</v>
      </c>
      <c r="P1837" s="6">
        <v>0</v>
      </c>
      <c r="Q1837" s="4" t="s">
        <v>26</v>
      </c>
      <c r="R1837" s="4">
        <v>0</v>
      </c>
      <c r="S1837" s="6">
        <v>0</v>
      </c>
      <c r="T1837" s="6">
        <v>64</v>
      </c>
      <c r="U1837" s="6">
        <v>108</v>
      </c>
      <c r="V1837" s="6">
        <f>IF(ISERROR(VLOOKUP($S$1837,'TAR FIN'!$A$1:$O$115,15,0)),0,VLOOKUP($S$1837,'TAR FIN'!$A$1:$O$115,15,0))</f>
        <v>0</v>
      </c>
      <c r="W1837" s="6">
        <f>IF(ISERROR(VLOOKUP($T$1837,'TAR FIN'!$A$1:$O$115,15,0)),0,VLOOKUP($T$1837,'TAR FIN'!$A$1:$O$115,15,0))</f>
        <v>1303.25</v>
      </c>
      <c r="X1837" s="6">
        <f>IF(ISERROR(VLOOKUP($U$1837,'TAR FIN'!$A$1:$O$115,15,0)),0,VLOOKUP($U$1837,'TAR FIN'!$A$1:$O$115,15,0))</f>
        <v>270.3</v>
      </c>
      <c r="Y1837" s="6"/>
      <c r="Z1837" s="6">
        <f ca="1">('TUSD BE'!$AM$62+'TUSD BF'!$AM$62+'TUSD CVA'!$AM$62)*1</f>
        <v>1335.5988600941293</v>
      </c>
      <c r="AA1837" s="6">
        <f>('TE BE'!$AB$45+'TE BF'!$AB$45+'TE CVA'!$AB$45)*1</f>
        <v>362.64398683254075</v>
      </c>
      <c r="AB1837" s="6">
        <f>$K$1837*$V$1837</f>
        <v>0</v>
      </c>
      <c r="AC1837" s="6">
        <f>$M$1837*$W$1837</f>
        <v>466.56349999999998</v>
      </c>
      <c r="AD1837" s="6">
        <f>$O$1837*$X$1837</f>
        <v>96.767399999999995</v>
      </c>
      <c r="AE1837" s="6">
        <f>$K$1837*$Y$1837</f>
        <v>0</v>
      </c>
      <c r="AF1837" s="6">
        <f ca="1">$M$1837*$Z$1837</f>
        <v>478.14439191369831</v>
      </c>
      <c r="AG1837" s="6">
        <f>$O$1837*$AA$1837</f>
        <v>129.82654728604959</v>
      </c>
    </row>
    <row r="1838" spans="1:33" ht="11.25" customHeight="1" x14ac:dyDescent="0.25">
      <c r="A1838" s="4" t="s">
        <v>21</v>
      </c>
      <c r="B1838" s="4" t="s">
        <v>39</v>
      </c>
      <c r="C1838" s="4" t="s">
        <v>23</v>
      </c>
      <c r="D1838" s="4" t="s">
        <v>45</v>
      </c>
      <c r="E1838" s="4" t="s">
        <v>25</v>
      </c>
      <c r="F1838" s="4" t="s">
        <v>25</v>
      </c>
      <c r="G1838" s="4" t="s">
        <v>25</v>
      </c>
      <c r="H1838" s="4" t="s">
        <v>25</v>
      </c>
      <c r="I1838" s="5">
        <v>44531</v>
      </c>
      <c r="J1838" s="6">
        <v>0</v>
      </c>
      <c r="K1838" s="6">
        <v>0</v>
      </c>
      <c r="L1838" s="6">
        <v>10236.842000000001</v>
      </c>
      <c r="M1838" s="6">
        <v>10236.842000000001</v>
      </c>
      <c r="N1838" s="6">
        <v>10236.842000000001</v>
      </c>
      <c r="O1838" s="6">
        <v>10236.842000000001</v>
      </c>
      <c r="P1838" s="6">
        <v>17058</v>
      </c>
      <c r="Q1838" s="4" t="s">
        <v>26</v>
      </c>
      <c r="R1838" s="4">
        <v>0</v>
      </c>
      <c r="S1838" s="6">
        <v>0</v>
      </c>
      <c r="T1838" s="6">
        <v>67</v>
      </c>
      <c r="U1838" s="6">
        <v>111</v>
      </c>
      <c r="V1838" s="6">
        <f>IF(ISERROR(VLOOKUP($S$1838,'TAR FIN'!$A$1:$O$115,15,0)),0,VLOOKUP($S$1838,'TAR FIN'!$A$1:$O$115,15,0))</f>
        <v>0</v>
      </c>
      <c r="W1838" s="6">
        <f>IF(ISERROR(VLOOKUP($T$1838,'TAR FIN'!$A$1:$O$115,15,0)),0,VLOOKUP($T$1838,'TAR FIN'!$A$1:$O$115,15,0))</f>
        <v>463.6</v>
      </c>
      <c r="X1838" s="6">
        <f>IF(ISERROR(VLOOKUP($U$1838,'TAR FIN'!$A$1:$O$115,15,0)),0,VLOOKUP($U$1838,'TAR FIN'!$A$1:$O$115,15,0))</f>
        <v>176.58</v>
      </c>
      <c r="Y1838" s="6"/>
      <c r="Z1838" s="6">
        <f ca="1">('TUSD BE'!$AM$65+'TUSD BF'!$AM$65+'TUSD CVA'!$AM$65)*1</f>
        <v>502.21976924570083</v>
      </c>
      <c r="AA1838" s="6">
        <f>('TE BE'!$AB$48+'TE BF'!$AB$48+'TE CVA'!$AB$48)*1</f>
        <v>230.68197444058345</v>
      </c>
      <c r="AB1838" s="6">
        <f>$K$1838*$V$1838</f>
        <v>0</v>
      </c>
      <c r="AC1838" s="6">
        <f>$M$1838*$W$1838</f>
        <v>4745799.9512000009</v>
      </c>
      <c r="AD1838" s="6">
        <f>$O$1838*$X$1838</f>
        <v>1807621.5603600002</v>
      </c>
      <c r="AE1838" s="6">
        <f>$K$1838*$Y$1838</f>
        <v>0</v>
      </c>
      <c r="AF1838" s="6">
        <f ca="1">$M$1838*$Z$1838</f>
        <v>5141144.427044699</v>
      </c>
      <c r="AG1838" s="6">
        <f>$O$1838*$AA$1838</f>
        <v>2361454.924596291</v>
      </c>
    </row>
    <row r="1839" spans="1:33" ht="11.25" customHeight="1" x14ac:dyDescent="0.25">
      <c r="A1839" s="4" t="s">
        <v>27</v>
      </c>
      <c r="B1839" s="4" t="s">
        <v>39</v>
      </c>
      <c r="C1839" s="4" t="s">
        <v>23</v>
      </c>
      <c r="D1839" s="4" t="s">
        <v>45</v>
      </c>
      <c r="E1839" s="4" t="s">
        <v>25</v>
      </c>
      <c r="F1839" s="4" t="s">
        <v>25</v>
      </c>
      <c r="G1839" s="4" t="s">
        <v>25</v>
      </c>
      <c r="H1839" s="4" t="s">
        <v>25</v>
      </c>
      <c r="I1839" s="5">
        <v>44531</v>
      </c>
      <c r="J1839" s="6">
        <v>0</v>
      </c>
      <c r="K1839" s="6">
        <v>0</v>
      </c>
      <c r="L1839" s="6">
        <v>-86.658000000000001</v>
      </c>
      <c r="M1839" s="6">
        <v>-86.658000000000001</v>
      </c>
      <c r="N1839" s="6">
        <v>-86.658000000000001</v>
      </c>
      <c r="O1839" s="6">
        <v>-86.658000000000001</v>
      </c>
      <c r="P1839" s="6">
        <v>-26</v>
      </c>
      <c r="Q1839" s="4" t="s">
        <v>26</v>
      </c>
      <c r="R1839" s="4">
        <v>0</v>
      </c>
      <c r="S1839" s="6">
        <v>0</v>
      </c>
      <c r="T1839" s="6">
        <v>67</v>
      </c>
      <c r="U1839" s="6">
        <v>111</v>
      </c>
      <c r="V1839" s="6">
        <f>IF(ISERROR(VLOOKUP($S$1839,'TAR FIN'!$A$1:$O$115,15,0)),0,VLOOKUP($S$1839,'TAR FIN'!$A$1:$O$115,15,0))</f>
        <v>0</v>
      </c>
      <c r="W1839" s="6">
        <f>IF(ISERROR(VLOOKUP($T$1839,'TAR FIN'!$A$1:$O$115,15,0)),0,VLOOKUP($T$1839,'TAR FIN'!$A$1:$O$115,15,0))</f>
        <v>463.6</v>
      </c>
      <c r="X1839" s="6">
        <f>IF(ISERROR(VLOOKUP($U$1839,'TAR FIN'!$A$1:$O$115,15,0)),0,VLOOKUP($U$1839,'TAR FIN'!$A$1:$O$115,15,0))</f>
        <v>176.58</v>
      </c>
      <c r="Y1839" s="6"/>
      <c r="Z1839" s="6">
        <f ca="1">('TUSD BE'!$AM$65+'TUSD BF'!$AM$65+'TUSD CVA'!$AM$65)*1</f>
        <v>502.21976924570083</v>
      </c>
      <c r="AA1839" s="6">
        <f>('TE BE'!$AB$48+'TE BF'!$AB$48+'TE CVA'!$AB$48)*1</f>
        <v>230.68197444058345</v>
      </c>
      <c r="AB1839" s="6">
        <f>$K$1839*$V$1839</f>
        <v>0</v>
      </c>
      <c r="AC1839" s="6">
        <f>$M$1839*$W$1839</f>
        <v>-40174.648800000003</v>
      </c>
      <c r="AD1839" s="6">
        <f>$O$1839*$X$1839</f>
        <v>-15302.069640000002</v>
      </c>
      <c r="AE1839" s="6">
        <f>$K$1839*$Y$1839</f>
        <v>0</v>
      </c>
      <c r="AF1839" s="6">
        <f ca="1">$M$1839*$Z$1839</f>
        <v>-43521.360763293946</v>
      </c>
      <c r="AG1839" s="6">
        <f>$O$1839*$AA$1839</f>
        <v>-19990.438541072079</v>
      </c>
    </row>
    <row r="1840" spans="1:33" ht="11.25" customHeight="1" x14ac:dyDescent="0.25">
      <c r="A1840" s="4" t="s">
        <v>28</v>
      </c>
      <c r="B1840" s="4" t="s">
        <v>39</v>
      </c>
      <c r="C1840" s="4" t="s">
        <v>23</v>
      </c>
      <c r="D1840" s="4" t="s">
        <v>45</v>
      </c>
      <c r="E1840" s="4" t="s">
        <v>25</v>
      </c>
      <c r="F1840" s="4" t="s">
        <v>25</v>
      </c>
      <c r="G1840" s="4" t="s">
        <v>25</v>
      </c>
      <c r="H1840" s="4" t="s">
        <v>25</v>
      </c>
      <c r="I1840" s="5">
        <v>44531</v>
      </c>
      <c r="J1840" s="6">
        <v>0</v>
      </c>
      <c r="K1840" s="6">
        <v>0</v>
      </c>
      <c r="L1840" s="6">
        <v>2413.0639999999999</v>
      </c>
      <c r="M1840" s="6">
        <v>2413.0639999999999</v>
      </c>
      <c r="N1840" s="6">
        <v>2413.0639999999999</v>
      </c>
      <c r="O1840" s="6">
        <v>2413.0639999999999</v>
      </c>
      <c r="P1840" s="6">
        <v>4949</v>
      </c>
      <c r="Q1840" s="4" t="s">
        <v>26</v>
      </c>
      <c r="R1840" s="4">
        <v>0</v>
      </c>
      <c r="S1840" s="6">
        <v>0</v>
      </c>
      <c r="T1840" s="6">
        <v>67</v>
      </c>
      <c r="U1840" s="6">
        <v>111</v>
      </c>
      <c r="V1840" s="6">
        <f>IF(ISERROR(VLOOKUP($S$1840,'TAR FIN'!$A$1:$O$115,15,0)),0,VLOOKUP($S$1840,'TAR FIN'!$A$1:$O$115,15,0))</f>
        <v>0</v>
      </c>
      <c r="W1840" s="6">
        <f>IF(ISERROR(VLOOKUP($T$1840,'TAR FIN'!$A$1:$O$115,15,0)),0,VLOOKUP($T$1840,'TAR FIN'!$A$1:$O$115,15,0))</f>
        <v>463.6</v>
      </c>
      <c r="X1840" s="6">
        <f>IF(ISERROR(VLOOKUP($U$1840,'TAR FIN'!$A$1:$O$115,15,0)),0,VLOOKUP($U$1840,'TAR FIN'!$A$1:$O$115,15,0))</f>
        <v>176.58</v>
      </c>
      <c r="Y1840" s="6"/>
      <c r="Z1840" s="6">
        <f ca="1">('TUSD BE'!$AM$65+'TUSD BF'!$AM$65+'TUSD CVA'!$AM$65)*1</f>
        <v>502.21976924570083</v>
      </c>
      <c r="AA1840" s="6">
        <f>('TE BE'!$AB$48+'TE BF'!$AB$48+'TE CVA'!$AB$48)*1</f>
        <v>230.68197444058345</v>
      </c>
      <c r="AB1840" s="6">
        <f>$K$1840*$V$1840</f>
        <v>0</v>
      </c>
      <c r="AC1840" s="6">
        <f>$M$1840*$W$1840</f>
        <v>1118696.4704</v>
      </c>
      <c r="AD1840" s="6">
        <f>$O$1840*$X$1840</f>
        <v>426098.84112</v>
      </c>
      <c r="AE1840" s="6">
        <f>$K$1840*$Y$1840</f>
        <v>0</v>
      </c>
      <c r="AF1840" s="6">
        <f ca="1">$M$1840*$Z$1840</f>
        <v>1211888.4452551077</v>
      </c>
      <c r="AG1840" s="6">
        <f>$O$1840*$AA$1840</f>
        <v>556650.367971492</v>
      </c>
    </row>
    <row r="1841" spans="1:33" ht="11.25" customHeight="1" x14ac:dyDescent="0.25">
      <c r="A1841" s="4" t="s">
        <v>29</v>
      </c>
      <c r="B1841" s="4" t="s">
        <v>39</v>
      </c>
      <c r="C1841" s="4" t="s">
        <v>23</v>
      </c>
      <c r="D1841" s="4" t="s">
        <v>45</v>
      </c>
      <c r="E1841" s="4" t="s">
        <v>25</v>
      </c>
      <c r="F1841" s="4" t="s">
        <v>25</v>
      </c>
      <c r="G1841" s="4" t="s">
        <v>25</v>
      </c>
      <c r="H1841" s="4" t="s">
        <v>25</v>
      </c>
      <c r="I1841" s="5">
        <v>44531</v>
      </c>
      <c r="J1841" s="6">
        <v>0</v>
      </c>
      <c r="K1841" s="6">
        <v>0</v>
      </c>
      <c r="L1841" s="6">
        <v>-2.9620000000000002</v>
      </c>
      <c r="M1841" s="6">
        <v>-2.9620000000000002</v>
      </c>
      <c r="N1841" s="6">
        <v>-2.9620000000000002</v>
      </c>
      <c r="O1841" s="6">
        <v>-2.9620000000000002</v>
      </c>
      <c r="P1841" s="6">
        <v>-1</v>
      </c>
      <c r="Q1841" s="4" t="s">
        <v>26</v>
      </c>
      <c r="R1841" s="4">
        <v>0</v>
      </c>
      <c r="S1841" s="6">
        <v>0</v>
      </c>
      <c r="T1841" s="6">
        <v>67</v>
      </c>
      <c r="U1841" s="6">
        <v>111</v>
      </c>
      <c r="V1841" s="6">
        <f>IF(ISERROR(VLOOKUP($S$1841,'TAR FIN'!$A$1:$O$115,15,0)),0,VLOOKUP($S$1841,'TAR FIN'!$A$1:$O$115,15,0))</f>
        <v>0</v>
      </c>
      <c r="W1841" s="6">
        <f>IF(ISERROR(VLOOKUP($T$1841,'TAR FIN'!$A$1:$O$115,15,0)),0,VLOOKUP($T$1841,'TAR FIN'!$A$1:$O$115,15,0))</f>
        <v>463.6</v>
      </c>
      <c r="X1841" s="6">
        <f>IF(ISERROR(VLOOKUP($U$1841,'TAR FIN'!$A$1:$O$115,15,0)),0,VLOOKUP($U$1841,'TAR FIN'!$A$1:$O$115,15,0))</f>
        <v>176.58</v>
      </c>
      <c r="Y1841" s="6"/>
      <c r="Z1841" s="6">
        <f ca="1">('TUSD BE'!$AM$65+'TUSD BF'!$AM$65+'TUSD CVA'!$AM$65)*1</f>
        <v>502.21976924570083</v>
      </c>
      <c r="AA1841" s="6">
        <f>('TE BE'!$AB$48+'TE BF'!$AB$48+'TE CVA'!$AB$48)*1</f>
        <v>230.68197444058345</v>
      </c>
      <c r="AB1841" s="6">
        <f>$K$1841*$V$1841</f>
        <v>0</v>
      </c>
      <c r="AC1841" s="6">
        <f>$M$1841*$W$1841</f>
        <v>-1373.1832000000002</v>
      </c>
      <c r="AD1841" s="6">
        <f>$O$1841*$X$1841</f>
        <v>-523.02996000000007</v>
      </c>
      <c r="AE1841" s="6">
        <f>$K$1841*$Y$1841</f>
        <v>0</v>
      </c>
      <c r="AF1841" s="6">
        <f ca="1">$M$1841*$Z$1841</f>
        <v>-1487.5749565057661</v>
      </c>
      <c r="AG1841" s="6">
        <f>$O$1841*$AA$1841</f>
        <v>-683.28000829300822</v>
      </c>
    </row>
    <row r="1842" spans="1:33" ht="11.25" customHeight="1" x14ac:dyDescent="0.25">
      <c r="A1842" s="4" t="s">
        <v>30</v>
      </c>
      <c r="B1842" s="4" t="s">
        <v>39</v>
      </c>
      <c r="C1842" s="4" t="s">
        <v>23</v>
      </c>
      <c r="D1842" s="4" t="s">
        <v>45</v>
      </c>
      <c r="E1842" s="4" t="s">
        <v>25</v>
      </c>
      <c r="F1842" s="4" t="s">
        <v>25</v>
      </c>
      <c r="G1842" s="4" t="s">
        <v>25</v>
      </c>
      <c r="H1842" s="4" t="s">
        <v>25</v>
      </c>
      <c r="I1842" s="5">
        <v>44531</v>
      </c>
      <c r="J1842" s="6">
        <v>0</v>
      </c>
      <c r="K1842" s="6">
        <v>0</v>
      </c>
      <c r="L1842" s="6">
        <v>377.08199999999999</v>
      </c>
      <c r="M1842" s="6">
        <v>377.08199999999999</v>
      </c>
      <c r="N1842" s="6">
        <v>377.08199999999999</v>
      </c>
      <c r="O1842" s="6">
        <v>377.08199999999999</v>
      </c>
      <c r="P1842" s="6">
        <v>427</v>
      </c>
      <c r="Q1842" s="4" t="s">
        <v>26</v>
      </c>
      <c r="R1842" s="4">
        <v>0</v>
      </c>
      <c r="S1842" s="6">
        <v>0</v>
      </c>
      <c r="T1842" s="6">
        <v>67</v>
      </c>
      <c r="U1842" s="6">
        <v>111</v>
      </c>
      <c r="V1842" s="6">
        <f>IF(ISERROR(VLOOKUP($S$1842,'TAR FIN'!$A$1:$O$115,15,0)),0,VLOOKUP($S$1842,'TAR FIN'!$A$1:$O$115,15,0))</f>
        <v>0</v>
      </c>
      <c r="W1842" s="6">
        <f>IF(ISERROR(VLOOKUP($T$1842,'TAR FIN'!$A$1:$O$115,15,0)),0,VLOOKUP($T$1842,'TAR FIN'!$A$1:$O$115,15,0))</f>
        <v>463.6</v>
      </c>
      <c r="X1842" s="6">
        <f>IF(ISERROR(VLOOKUP($U$1842,'TAR FIN'!$A$1:$O$115,15,0)),0,VLOOKUP($U$1842,'TAR FIN'!$A$1:$O$115,15,0))</f>
        <v>176.58</v>
      </c>
      <c r="Y1842" s="6"/>
      <c r="Z1842" s="6">
        <f ca="1">('TUSD BE'!$AM$65+'TUSD BF'!$AM$65+'TUSD CVA'!$AM$65)*1</f>
        <v>502.21976924570083</v>
      </c>
      <c r="AA1842" s="6">
        <f>('TE BE'!$AB$48+'TE BF'!$AB$48+'TE CVA'!$AB$48)*1</f>
        <v>230.68197444058345</v>
      </c>
      <c r="AB1842" s="6">
        <f>$K$1842*$V$1842</f>
        <v>0</v>
      </c>
      <c r="AC1842" s="6">
        <f>$M$1842*$W$1842</f>
        <v>174815.21520000001</v>
      </c>
      <c r="AD1842" s="6">
        <f>$O$1842*$X$1842</f>
        <v>66585.139560000011</v>
      </c>
      <c r="AE1842" s="6">
        <f>$K$1842*$Y$1842</f>
        <v>0</v>
      </c>
      <c r="AF1842" s="6">
        <f ca="1">$M$1842*$Z$1842</f>
        <v>189378.03502670737</v>
      </c>
      <c r="AG1842" s="6">
        <f>$O$1842*$AA$1842</f>
        <v>86986.020286004088</v>
      </c>
    </row>
    <row r="1843" spans="1:33" ht="11.25" customHeight="1" x14ac:dyDescent="0.25">
      <c r="A1843" s="4" t="s">
        <v>30</v>
      </c>
      <c r="B1843" s="4" t="s">
        <v>39</v>
      </c>
      <c r="C1843" s="4" t="s">
        <v>23</v>
      </c>
      <c r="D1843" s="4" t="s">
        <v>45</v>
      </c>
      <c r="E1843" s="4" t="s">
        <v>25</v>
      </c>
      <c r="F1843" s="4" t="s">
        <v>25</v>
      </c>
      <c r="G1843" s="4" t="s">
        <v>25</v>
      </c>
      <c r="H1843" s="4" t="s">
        <v>25</v>
      </c>
      <c r="I1843" s="5">
        <v>44531</v>
      </c>
      <c r="J1843" s="6">
        <v>0</v>
      </c>
      <c r="K1843" s="6">
        <v>0</v>
      </c>
      <c r="L1843" s="6">
        <v>-12.066000000000001</v>
      </c>
      <c r="M1843" s="6">
        <v>-12.066000000000001</v>
      </c>
      <c r="N1843" s="6">
        <v>-12.066000000000001</v>
      </c>
      <c r="O1843" s="6">
        <v>-12.066000000000001</v>
      </c>
      <c r="P1843" s="6">
        <v>0</v>
      </c>
      <c r="Q1843" s="4" t="s">
        <v>26</v>
      </c>
      <c r="R1843" s="4">
        <v>0</v>
      </c>
      <c r="S1843" s="6">
        <v>0</v>
      </c>
      <c r="T1843" s="6">
        <v>67</v>
      </c>
      <c r="U1843" s="6">
        <v>111</v>
      </c>
      <c r="V1843" s="6">
        <f>IF(ISERROR(VLOOKUP($S$1843,'TAR FIN'!$A$1:$O$115,15,0)),0,VLOOKUP($S$1843,'TAR FIN'!$A$1:$O$115,15,0))</f>
        <v>0</v>
      </c>
      <c r="W1843" s="6">
        <f>IF(ISERROR(VLOOKUP($T$1843,'TAR FIN'!$A$1:$O$115,15,0)),0,VLOOKUP($T$1843,'TAR FIN'!$A$1:$O$115,15,0))</f>
        <v>463.6</v>
      </c>
      <c r="X1843" s="6">
        <f>IF(ISERROR(VLOOKUP($U$1843,'TAR FIN'!$A$1:$O$115,15,0)),0,VLOOKUP($U$1843,'TAR FIN'!$A$1:$O$115,15,0))</f>
        <v>176.58</v>
      </c>
      <c r="Y1843" s="6"/>
      <c r="Z1843" s="6">
        <f ca="1">('TUSD BE'!$AM$65+'TUSD BF'!$AM$65+'TUSD CVA'!$AM$65)*1</f>
        <v>502.21976924570083</v>
      </c>
      <c r="AA1843" s="6">
        <f>('TE BE'!$AB$48+'TE BF'!$AB$48+'TE CVA'!$AB$48)*1</f>
        <v>230.68197444058345</v>
      </c>
      <c r="AB1843" s="6">
        <f>$K$1843*$V$1843</f>
        <v>0</v>
      </c>
      <c r="AC1843" s="6">
        <f>$M$1843*$W$1843</f>
        <v>-5593.7976000000008</v>
      </c>
      <c r="AD1843" s="6">
        <f>$O$1843*$X$1843</f>
        <v>-2130.6142800000002</v>
      </c>
      <c r="AE1843" s="6">
        <f>$K$1843*$Y$1843</f>
        <v>0</v>
      </c>
      <c r="AF1843" s="6">
        <f ca="1">$M$1843*$Z$1843</f>
        <v>-6059.7837357186263</v>
      </c>
      <c r="AG1843" s="6">
        <f>$O$1843*$AA$1843</f>
        <v>-2783.4087036000801</v>
      </c>
    </row>
    <row r="1844" spans="1:33" ht="11.25" customHeight="1" x14ac:dyDescent="0.25">
      <c r="A1844" s="4" t="s">
        <v>21</v>
      </c>
      <c r="B1844" s="4" t="s">
        <v>39</v>
      </c>
      <c r="C1844" s="4" t="s">
        <v>23</v>
      </c>
      <c r="D1844" s="4" t="s">
        <v>45</v>
      </c>
      <c r="E1844" s="4" t="s">
        <v>25</v>
      </c>
      <c r="F1844" s="4" t="s">
        <v>25</v>
      </c>
      <c r="G1844" s="4" t="s">
        <v>25</v>
      </c>
      <c r="H1844" s="4" t="s">
        <v>25</v>
      </c>
      <c r="I1844" s="5">
        <v>44562</v>
      </c>
      <c r="J1844" s="6">
        <v>0</v>
      </c>
      <c r="K1844" s="6">
        <v>0</v>
      </c>
      <c r="L1844" s="6">
        <v>9558.0079999999998</v>
      </c>
      <c r="M1844" s="6">
        <v>9558.0079999999998</v>
      </c>
      <c r="N1844" s="6">
        <v>9558.0079999999998</v>
      </c>
      <c r="O1844" s="6">
        <v>9558.0079999999998</v>
      </c>
      <c r="P1844" s="6">
        <v>16953</v>
      </c>
      <c r="Q1844" s="4" t="s">
        <v>26</v>
      </c>
      <c r="R1844" s="4">
        <v>0</v>
      </c>
      <c r="S1844" s="6">
        <v>0</v>
      </c>
      <c r="T1844" s="6">
        <v>67</v>
      </c>
      <c r="U1844" s="6">
        <v>111</v>
      </c>
      <c r="V1844" s="6">
        <f>IF(ISERROR(VLOOKUP($S$1844,'TAR FIN'!$A$1:$O$115,15,0)),0,VLOOKUP($S$1844,'TAR FIN'!$A$1:$O$115,15,0))</f>
        <v>0</v>
      </c>
      <c r="W1844" s="6">
        <f>IF(ISERROR(VLOOKUP($T$1844,'TAR FIN'!$A$1:$O$115,15,0)),0,VLOOKUP($T$1844,'TAR FIN'!$A$1:$O$115,15,0))</f>
        <v>463.6</v>
      </c>
      <c r="X1844" s="6">
        <f>IF(ISERROR(VLOOKUP($U$1844,'TAR FIN'!$A$1:$O$115,15,0)),0,VLOOKUP($U$1844,'TAR FIN'!$A$1:$O$115,15,0))</f>
        <v>176.58</v>
      </c>
      <c r="Y1844" s="6"/>
      <c r="Z1844" s="6">
        <f ca="1">('TUSD BE'!$AM$65+'TUSD BF'!$AM$65+'TUSD CVA'!$AM$65)*1</f>
        <v>502.21976924570083</v>
      </c>
      <c r="AA1844" s="6">
        <f>('TE BE'!$AB$48+'TE BF'!$AB$48+'TE CVA'!$AB$48)*1</f>
        <v>230.68197444058345</v>
      </c>
      <c r="AB1844" s="6">
        <f>$K$1844*$V$1844</f>
        <v>0</v>
      </c>
      <c r="AC1844" s="6">
        <f>$M$1844*$W$1844</f>
        <v>4431092.5088</v>
      </c>
      <c r="AD1844" s="6">
        <f>$O$1844*$X$1844</f>
        <v>1687753.0526400001</v>
      </c>
      <c r="AE1844" s="6">
        <f>$K$1844*$Y$1844</f>
        <v>0</v>
      </c>
      <c r="AF1844" s="6">
        <f ca="1">$M$1844*$Z$1844</f>
        <v>4800220.5722085629</v>
      </c>
      <c r="AG1844" s="6">
        <f>$O$1844*$AA$1844</f>
        <v>2204860.1571588921</v>
      </c>
    </row>
    <row r="1845" spans="1:33" ht="11.25" customHeight="1" x14ac:dyDescent="0.25">
      <c r="A1845" s="4" t="s">
        <v>27</v>
      </c>
      <c r="B1845" s="4" t="s">
        <v>39</v>
      </c>
      <c r="C1845" s="4" t="s">
        <v>23</v>
      </c>
      <c r="D1845" s="4" t="s">
        <v>45</v>
      </c>
      <c r="E1845" s="4" t="s">
        <v>25</v>
      </c>
      <c r="F1845" s="4" t="s">
        <v>25</v>
      </c>
      <c r="G1845" s="4" t="s">
        <v>25</v>
      </c>
      <c r="H1845" s="4" t="s">
        <v>25</v>
      </c>
      <c r="I1845" s="5">
        <v>44562</v>
      </c>
      <c r="J1845" s="6">
        <v>0</v>
      </c>
      <c r="K1845" s="6">
        <v>0</v>
      </c>
      <c r="L1845" s="6">
        <v>-19.021999999999998</v>
      </c>
      <c r="M1845" s="6">
        <v>-19.021999999999998</v>
      </c>
      <c r="N1845" s="6">
        <v>-19.021999999999998</v>
      </c>
      <c r="O1845" s="6">
        <v>-19.021999999999998</v>
      </c>
      <c r="P1845" s="6">
        <v>-7</v>
      </c>
      <c r="Q1845" s="4" t="s">
        <v>26</v>
      </c>
      <c r="R1845" s="4">
        <v>0</v>
      </c>
      <c r="S1845" s="6">
        <v>0</v>
      </c>
      <c r="T1845" s="6">
        <v>67</v>
      </c>
      <c r="U1845" s="6">
        <v>111</v>
      </c>
      <c r="V1845" s="6">
        <f>IF(ISERROR(VLOOKUP($S$1845,'TAR FIN'!$A$1:$O$115,15,0)),0,VLOOKUP($S$1845,'TAR FIN'!$A$1:$O$115,15,0))</f>
        <v>0</v>
      </c>
      <c r="W1845" s="6">
        <f>IF(ISERROR(VLOOKUP($T$1845,'TAR FIN'!$A$1:$O$115,15,0)),0,VLOOKUP($T$1845,'TAR FIN'!$A$1:$O$115,15,0))</f>
        <v>463.6</v>
      </c>
      <c r="X1845" s="6">
        <f>IF(ISERROR(VLOOKUP($U$1845,'TAR FIN'!$A$1:$O$115,15,0)),0,VLOOKUP($U$1845,'TAR FIN'!$A$1:$O$115,15,0))</f>
        <v>176.58</v>
      </c>
      <c r="Y1845" s="6"/>
      <c r="Z1845" s="6">
        <f ca="1">('TUSD BE'!$AM$65+'TUSD BF'!$AM$65+'TUSD CVA'!$AM$65)*1</f>
        <v>502.21976924570083</v>
      </c>
      <c r="AA1845" s="6">
        <f>('TE BE'!$AB$48+'TE BF'!$AB$48+'TE CVA'!$AB$48)*1</f>
        <v>230.68197444058345</v>
      </c>
      <c r="AB1845" s="6">
        <f>$K$1845*$V$1845</f>
        <v>0</v>
      </c>
      <c r="AC1845" s="6">
        <f>$M$1845*$W$1845</f>
        <v>-8818.5992000000006</v>
      </c>
      <c r="AD1845" s="6">
        <f>$O$1845*$X$1845</f>
        <v>-3358.9047599999999</v>
      </c>
      <c r="AE1845" s="6">
        <f>$K$1845*$Y$1845</f>
        <v>0</v>
      </c>
      <c r="AF1845" s="6">
        <f ca="1">$M$1845*$Z$1845</f>
        <v>-9553.2244505917206</v>
      </c>
      <c r="AG1845" s="6">
        <f>$O$1845*$AA$1845</f>
        <v>-4388.0325178087778</v>
      </c>
    </row>
    <row r="1846" spans="1:33" ht="11.25" customHeight="1" x14ac:dyDescent="0.25">
      <c r="A1846" s="4" t="s">
        <v>28</v>
      </c>
      <c r="B1846" s="4" t="s">
        <v>39</v>
      </c>
      <c r="C1846" s="4" t="s">
        <v>23</v>
      </c>
      <c r="D1846" s="4" t="s">
        <v>45</v>
      </c>
      <c r="E1846" s="4" t="s">
        <v>25</v>
      </c>
      <c r="F1846" s="4" t="s">
        <v>25</v>
      </c>
      <c r="G1846" s="4" t="s">
        <v>25</v>
      </c>
      <c r="H1846" s="4" t="s">
        <v>25</v>
      </c>
      <c r="I1846" s="5">
        <v>44562</v>
      </c>
      <c r="J1846" s="6">
        <v>0</v>
      </c>
      <c r="K1846" s="6">
        <v>0</v>
      </c>
      <c r="L1846" s="6">
        <v>2364.6089999999999</v>
      </c>
      <c r="M1846" s="6">
        <v>2364.6089999999999</v>
      </c>
      <c r="N1846" s="6">
        <v>2364.6089999999999</v>
      </c>
      <c r="O1846" s="6">
        <v>2364.6089999999999</v>
      </c>
      <c r="P1846" s="6">
        <v>4961</v>
      </c>
      <c r="Q1846" s="4" t="s">
        <v>26</v>
      </c>
      <c r="R1846" s="4">
        <v>0</v>
      </c>
      <c r="S1846" s="6">
        <v>0</v>
      </c>
      <c r="T1846" s="6">
        <v>67</v>
      </c>
      <c r="U1846" s="6">
        <v>111</v>
      </c>
      <c r="V1846" s="6">
        <f>IF(ISERROR(VLOOKUP($S$1846,'TAR FIN'!$A$1:$O$115,15,0)),0,VLOOKUP($S$1846,'TAR FIN'!$A$1:$O$115,15,0))</f>
        <v>0</v>
      </c>
      <c r="W1846" s="6">
        <f>IF(ISERROR(VLOOKUP($T$1846,'TAR FIN'!$A$1:$O$115,15,0)),0,VLOOKUP($T$1846,'TAR FIN'!$A$1:$O$115,15,0))</f>
        <v>463.6</v>
      </c>
      <c r="X1846" s="6">
        <f>IF(ISERROR(VLOOKUP($U$1846,'TAR FIN'!$A$1:$O$115,15,0)),0,VLOOKUP($U$1846,'TAR FIN'!$A$1:$O$115,15,0))</f>
        <v>176.58</v>
      </c>
      <c r="Y1846" s="6"/>
      <c r="Z1846" s="6">
        <f ca="1">('TUSD BE'!$AM$65+'TUSD BF'!$AM$65+'TUSD CVA'!$AM$65)*1</f>
        <v>502.21976924570083</v>
      </c>
      <c r="AA1846" s="6">
        <f>('TE BE'!$AB$48+'TE BF'!$AB$48+'TE CVA'!$AB$48)*1</f>
        <v>230.68197444058345</v>
      </c>
      <c r="AB1846" s="6">
        <f>$K$1846*$V$1846</f>
        <v>0</v>
      </c>
      <c r="AC1846" s="6">
        <f>$M$1846*$W$1846</f>
        <v>1096232.7324000001</v>
      </c>
      <c r="AD1846" s="6">
        <f>$O$1846*$X$1846</f>
        <v>417542.65721999999</v>
      </c>
      <c r="AE1846" s="6">
        <f>$K$1846*$Y$1846</f>
        <v>0</v>
      </c>
      <c r="AF1846" s="6">
        <f ca="1">$M$1846*$Z$1846</f>
        <v>1187553.3863363073</v>
      </c>
      <c r="AG1846" s="6">
        <f>$O$1846*$AA$1846</f>
        <v>545472.67289997358</v>
      </c>
    </row>
    <row r="1847" spans="1:33" ht="11.25" customHeight="1" x14ac:dyDescent="0.25">
      <c r="A1847" s="4" t="s">
        <v>29</v>
      </c>
      <c r="B1847" s="4" t="s">
        <v>39</v>
      </c>
      <c r="C1847" s="4" t="s">
        <v>23</v>
      </c>
      <c r="D1847" s="4" t="s">
        <v>45</v>
      </c>
      <c r="E1847" s="4" t="s">
        <v>25</v>
      </c>
      <c r="F1847" s="4" t="s">
        <v>25</v>
      </c>
      <c r="G1847" s="4" t="s">
        <v>25</v>
      </c>
      <c r="H1847" s="4" t="s">
        <v>25</v>
      </c>
      <c r="I1847" s="5">
        <v>44562</v>
      </c>
      <c r="J1847" s="6">
        <v>0</v>
      </c>
      <c r="K1847" s="6">
        <v>0</v>
      </c>
      <c r="L1847" s="6">
        <v>-1.181</v>
      </c>
      <c r="M1847" s="6">
        <v>-1.181</v>
      </c>
      <c r="N1847" s="6">
        <v>-1.181</v>
      </c>
      <c r="O1847" s="6">
        <v>-1.181</v>
      </c>
      <c r="P1847" s="6">
        <v>-1</v>
      </c>
      <c r="Q1847" s="4" t="s">
        <v>26</v>
      </c>
      <c r="R1847" s="4">
        <v>0</v>
      </c>
      <c r="S1847" s="6">
        <v>0</v>
      </c>
      <c r="T1847" s="6">
        <v>67</v>
      </c>
      <c r="U1847" s="6">
        <v>111</v>
      </c>
      <c r="V1847" s="6">
        <f>IF(ISERROR(VLOOKUP($S$1847,'TAR FIN'!$A$1:$O$115,15,0)),0,VLOOKUP($S$1847,'TAR FIN'!$A$1:$O$115,15,0))</f>
        <v>0</v>
      </c>
      <c r="W1847" s="6">
        <f>IF(ISERROR(VLOOKUP($T$1847,'TAR FIN'!$A$1:$O$115,15,0)),0,VLOOKUP($T$1847,'TAR FIN'!$A$1:$O$115,15,0))</f>
        <v>463.6</v>
      </c>
      <c r="X1847" s="6">
        <f>IF(ISERROR(VLOOKUP($U$1847,'TAR FIN'!$A$1:$O$115,15,0)),0,VLOOKUP($U$1847,'TAR FIN'!$A$1:$O$115,15,0))</f>
        <v>176.58</v>
      </c>
      <c r="Y1847" s="6"/>
      <c r="Z1847" s="6">
        <f ca="1">('TUSD BE'!$AM$65+'TUSD BF'!$AM$65+'TUSD CVA'!$AM$65)*1</f>
        <v>502.21976924570083</v>
      </c>
      <c r="AA1847" s="6">
        <f>('TE BE'!$AB$48+'TE BF'!$AB$48+'TE CVA'!$AB$48)*1</f>
        <v>230.68197444058345</v>
      </c>
      <c r="AB1847" s="6">
        <f>$K$1847*$V$1847</f>
        <v>0</v>
      </c>
      <c r="AC1847" s="6">
        <f>$M$1847*$W$1847</f>
        <v>-547.51160000000004</v>
      </c>
      <c r="AD1847" s="6">
        <f>$O$1847*$X$1847</f>
        <v>-208.54098000000002</v>
      </c>
      <c r="AE1847" s="6">
        <f>$K$1847*$Y$1847</f>
        <v>0</v>
      </c>
      <c r="AF1847" s="6">
        <f ca="1">$M$1847*$Z$1847</f>
        <v>-593.1215474791727</v>
      </c>
      <c r="AG1847" s="6">
        <f>$O$1847*$AA$1847</f>
        <v>-272.43541181432909</v>
      </c>
    </row>
    <row r="1848" spans="1:33" ht="11.25" customHeight="1" x14ac:dyDescent="0.25">
      <c r="A1848" s="4" t="s">
        <v>30</v>
      </c>
      <c r="B1848" s="4" t="s">
        <v>39</v>
      </c>
      <c r="C1848" s="4" t="s">
        <v>23</v>
      </c>
      <c r="D1848" s="4" t="s">
        <v>45</v>
      </c>
      <c r="E1848" s="4" t="s">
        <v>25</v>
      </c>
      <c r="F1848" s="4" t="s">
        <v>25</v>
      </c>
      <c r="G1848" s="4" t="s">
        <v>25</v>
      </c>
      <c r="H1848" s="4" t="s">
        <v>25</v>
      </c>
      <c r="I1848" s="5">
        <v>44562</v>
      </c>
      <c r="J1848" s="6">
        <v>0</v>
      </c>
      <c r="K1848" s="6">
        <v>0</v>
      </c>
      <c r="L1848" s="6">
        <v>369.82799999999997</v>
      </c>
      <c r="M1848" s="6">
        <v>369.82799999999997</v>
      </c>
      <c r="N1848" s="6">
        <v>369.82799999999997</v>
      </c>
      <c r="O1848" s="6">
        <v>369.82799999999997</v>
      </c>
      <c r="P1848" s="6">
        <v>457</v>
      </c>
      <c r="Q1848" s="4" t="s">
        <v>26</v>
      </c>
      <c r="R1848" s="4">
        <v>0</v>
      </c>
      <c r="S1848" s="6">
        <v>0</v>
      </c>
      <c r="T1848" s="6">
        <v>67</v>
      </c>
      <c r="U1848" s="6">
        <v>111</v>
      </c>
      <c r="V1848" s="6">
        <f>IF(ISERROR(VLOOKUP($S$1848,'TAR FIN'!$A$1:$O$115,15,0)),0,VLOOKUP($S$1848,'TAR FIN'!$A$1:$O$115,15,0))</f>
        <v>0</v>
      </c>
      <c r="W1848" s="6">
        <f>IF(ISERROR(VLOOKUP($T$1848,'TAR FIN'!$A$1:$O$115,15,0)),0,VLOOKUP($T$1848,'TAR FIN'!$A$1:$O$115,15,0))</f>
        <v>463.6</v>
      </c>
      <c r="X1848" s="6">
        <f>IF(ISERROR(VLOOKUP($U$1848,'TAR FIN'!$A$1:$O$115,15,0)),0,VLOOKUP($U$1848,'TAR FIN'!$A$1:$O$115,15,0))</f>
        <v>176.58</v>
      </c>
      <c r="Y1848" s="6"/>
      <c r="Z1848" s="6">
        <f ca="1">('TUSD BE'!$AM$65+'TUSD BF'!$AM$65+'TUSD CVA'!$AM$65)*1</f>
        <v>502.21976924570083</v>
      </c>
      <c r="AA1848" s="6">
        <f>('TE BE'!$AB$48+'TE BF'!$AB$48+'TE CVA'!$AB$48)*1</f>
        <v>230.68197444058345</v>
      </c>
      <c r="AB1848" s="6">
        <f>$K$1848*$V$1848</f>
        <v>0</v>
      </c>
      <c r="AC1848" s="6">
        <f>$M$1848*$W$1848</f>
        <v>171452.26079999999</v>
      </c>
      <c r="AD1848" s="6">
        <f>$O$1848*$X$1848</f>
        <v>65304.228239999997</v>
      </c>
      <c r="AE1848" s="6">
        <f>$K$1848*$Y$1848</f>
        <v>0</v>
      </c>
      <c r="AF1848" s="6">
        <f ca="1">$M$1848*$Z$1848</f>
        <v>185734.93282059903</v>
      </c>
      <c r="AG1848" s="6">
        <f>$O$1848*$AA$1848</f>
        <v>85312.653243412089</v>
      </c>
    </row>
    <row r="1849" spans="1:33" ht="11.25" customHeight="1" x14ac:dyDescent="0.25">
      <c r="A1849" s="4" t="s">
        <v>30</v>
      </c>
      <c r="B1849" s="4" t="s">
        <v>39</v>
      </c>
      <c r="C1849" s="4" t="s">
        <v>23</v>
      </c>
      <c r="D1849" s="4" t="s">
        <v>45</v>
      </c>
      <c r="E1849" s="4" t="s">
        <v>25</v>
      </c>
      <c r="F1849" s="4" t="s">
        <v>25</v>
      </c>
      <c r="G1849" s="4" t="s">
        <v>25</v>
      </c>
      <c r="H1849" s="4" t="s">
        <v>25</v>
      </c>
      <c r="I1849" s="5">
        <v>44562</v>
      </c>
      <c r="J1849" s="6">
        <v>0</v>
      </c>
      <c r="K1849" s="6">
        <v>0</v>
      </c>
      <c r="L1849" s="6">
        <v>-3.1739999999999999</v>
      </c>
      <c r="M1849" s="6">
        <v>-3.1739999999999999</v>
      </c>
      <c r="N1849" s="6">
        <v>-3.1739999999999999</v>
      </c>
      <c r="O1849" s="6">
        <v>-3.1739999999999999</v>
      </c>
      <c r="P1849" s="6">
        <v>-3</v>
      </c>
      <c r="Q1849" s="4" t="s">
        <v>26</v>
      </c>
      <c r="R1849" s="4">
        <v>0</v>
      </c>
      <c r="S1849" s="6">
        <v>0</v>
      </c>
      <c r="T1849" s="6">
        <v>67</v>
      </c>
      <c r="U1849" s="6">
        <v>111</v>
      </c>
      <c r="V1849" s="6">
        <f>IF(ISERROR(VLOOKUP($S$1849,'TAR FIN'!$A$1:$O$115,15,0)),0,VLOOKUP($S$1849,'TAR FIN'!$A$1:$O$115,15,0))</f>
        <v>0</v>
      </c>
      <c r="W1849" s="6">
        <f>IF(ISERROR(VLOOKUP($T$1849,'TAR FIN'!$A$1:$O$115,15,0)),0,VLOOKUP($T$1849,'TAR FIN'!$A$1:$O$115,15,0))</f>
        <v>463.6</v>
      </c>
      <c r="X1849" s="6">
        <f>IF(ISERROR(VLOOKUP($U$1849,'TAR FIN'!$A$1:$O$115,15,0)),0,VLOOKUP($U$1849,'TAR FIN'!$A$1:$O$115,15,0))</f>
        <v>176.58</v>
      </c>
      <c r="Y1849" s="6"/>
      <c r="Z1849" s="6">
        <f ca="1">('TUSD BE'!$AM$65+'TUSD BF'!$AM$65+'TUSD CVA'!$AM$65)*1</f>
        <v>502.21976924570083</v>
      </c>
      <c r="AA1849" s="6">
        <f>('TE BE'!$AB$48+'TE BF'!$AB$48+'TE CVA'!$AB$48)*1</f>
        <v>230.68197444058345</v>
      </c>
      <c r="AB1849" s="6">
        <f>$K$1849*$V$1849</f>
        <v>0</v>
      </c>
      <c r="AC1849" s="6">
        <f>$M$1849*$W$1849</f>
        <v>-1471.4664</v>
      </c>
      <c r="AD1849" s="6">
        <f>$O$1849*$X$1849</f>
        <v>-560.46492000000001</v>
      </c>
      <c r="AE1849" s="6">
        <f>$K$1849*$Y$1849</f>
        <v>0</v>
      </c>
      <c r="AF1849" s="6">
        <f ca="1">$M$1849*$Z$1849</f>
        <v>-1594.0455475858544</v>
      </c>
      <c r="AG1849" s="6">
        <f>$O$1849*$AA$1849</f>
        <v>-732.18458687441182</v>
      </c>
    </row>
    <row r="1850" spans="1:33" ht="11.25" customHeight="1" x14ac:dyDescent="0.25">
      <c r="A1850" s="4" t="s">
        <v>21</v>
      </c>
      <c r="B1850" s="4" t="s">
        <v>39</v>
      </c>
      <c r="C1850" s="4" t="s">
        <v>23</v>
      </c>
      <c r="D1850" s="4" t="s">
        <v>45</v>
      </c>
      <c r="E1850" s="4" t="s">
        <v>25</v>
      </c>
      <c r="F1850" s="4" t="s">
        <v>25</v>
      </c>
      <c r="G1850" s="4" t="s">
        <v>25</v>
      </c>
      <c r="H1850" s="4" t="s">
        <v>25</v>
      </c>
      <c r="I1850" s="5">
        <v>44593</v>
      </c>
      <c r="J1850" s="6">
        <v>0</v>
      </c>
      <c r="K1850" s="6">
        <v>0</v>
      </c>
      <c r="L1850" s="6">
        <v>9240.1290000000008</v>
      </c>
      <c r="M1850" s="6">
        <v>9240.1290000000008</v>
      </c>
      <c r="N1850" s="6">
        <v>9240.1290000000008</v>
      </c>
      <c r="O1850" s="6">
        <v>9240.1290000000008</v>
      </c>
      <c r="P1850" s="6">
        <v>16962</v>
      </c>
      <c r="Q1850" s="4" t="s">
        <v>26</v>
      </c>
      <c r="R1850" s="4">
        <v>0</v>
      </c>
      <c r="S1850" s="6">
        <v>0</v>
      </c>
      <c r="T1850" s="6">
        <v>67</v>
      </c>
      <c r="U1850" s="6">
        <v>111</v>
      </c>
      <c r="V1850" s="6">
        <f>IF(ISERROR(VLOOKUP($S$1850,'TAR FIN'!$A$1:$O$115,15,0)),0,VLOOKUP($S$1850,'TAR FIN'!$A$1:$O$115,15,0))</f>
        <v>0</v>
      </c>
      <c r="W1850" s="6">
        <f>IF(ISERROR(VLOOKUP($T$1850,'TAR FIN'!$A$1:$O$115,15,0)),0,VLOOKUP($T$1850,'TAR FIN'!$A$1:$O$115,15,0))</f>
        <v>463.6</v>
      </c>
      <c r="X1850" s="6">
        <f>IF(ISERROR(VLOOKUP($U$1850,'TAR FIN'!$A$1:$O$115,15,0)),0,VLOOKUP($U$1850,'TAR FIN'!$A$1:$O$115,15,0))</f>
        <v>176.58</v>
      </c>
      <c r="Y1850" s="6"/>
      <c r="Z1850" s="6">
        <f ca="1">('TUSD BE'!$AM$65+'TUSD BF'!$AM$65+'TUSD CVA'!$AM$65)*1</f>
        <v>502.21976924570083</v>
      </c>
      <c r="AA1850" s="6">
        <f>('TE BE'!$AB$48+'TE BF'!$AB$48+'TE CVA'!$AB$48)*1</f>
        <v>230.68197444058345</v>
      </c>
      <c r="AB1850" s="6">
        <f>$K$1850*$V$1850</f>
        <v>0</v>
      </c>
      <c r="AC1850" s="6">
        <f>$M$1850*$W$1850</f>
        <v>4283723.8044000007</v>
      </c>
      <c r="AD1850" s="6">
        <f>$O$1850*$X$1850</f>
        <v>1631621.9788200003</v>
      </c>
      <c r="AE1850" s="6">
        <f>$K$1850*$Y$1850</f>
        <v>0</v>
      </c>
      <c r="AF1850" s="6">
        <f ca="1">$M$1850*$Z$1850</f>
        <v>4640575.4541805089</v>
      </c>
      <c r="AG1850" s="6">
        <f>$O$1850*$AA$1850</f>
        <v>2131531.201805694</v>
      </c>
    </row>
    <row r="1851" spans="1:33" ht="11.25" customHeight="1" x14ac:dyDescent="0.25">
      <c r="A1851" s="4" t="s">
        <v>27</v>
      </c>
      <c r="B1851" s="4" t="s">
        <v>39</v>
      </c>
      <c r="C1851" s="4" t="s">
        <v>23</v>
      </c>
      <c r="D1851" s="4" t="s">
        <v>45</v>
      </c>
      <c r="E1851" s="4" t="s">
        <v>25</v>
      </c>
      <c r="F1851" s="4" t="s">
        <v>25</v>
      </c>
      <c r="G1851" s="4" t="s">
        <v>25</v>
      </c>
      <c r="H1851" s="4" t="s">
        <v>25</v>
      </c>
      <c r="I1851" s="5">
        <v>44593</v>
      </c>
      <c r="J1851" s="6">
        <v>0</v>
      </c>
      <c r="K1851" s="6">
        <v>0</v>
      </c>
      <c r="L1851" s="6">
        <v>-75.787000000000006</v>
      </c>
      <c r="M1851" s="6">
        <v>-75.787000000000006</v>
      </c>
      <c r="N1851" s="6">
        <v>-75.787000000000006</v>
      </c>
      <c r="O1851" s="6">
        <v>-75.787000000000006</v>
      </c>
      <c r="P1851" s="6">
        <v>-30</v>
      </c>
      <c r="Q1851" s="4" t="s">
        <v>26</v>
      </c>
      <c r="R1851" s="4">
        <v>0</v>
      </c>
      <c r="S1851" s="6">
        <v>0</v>
      </c>
      <c r="T1851" s="6">
        <v>67</v>
      </c>
      <c r="U1851" s="6">
        <v>111</v>
      </c>
      <c r="V1851" s="6">
        <f>IF(ISERROR(VLOOKUP($S$1851,'TAR FIN'!$A$1:$O$115,15,0)),0,VLOOKUP($S$1851,'TAR FIN'!$A$1:$O$115,15,0))</f>
        <v>0</v>
      </c>
      <c r="W1851" s="6">
        <f>IF(ISERROR(VLOOKUP($T$1851,'TAR FIN'!$A$1:$O$115,15,0)),0,VLOOKUP($T$1851,'TAR FIN'!$A$1:$O$115,15,0))</f>
        <v>463.6</v>
      </c>
      <c r="X1851" s="6">
        <f>IF(ISERROR(VLOOKUP($U$1851,'TAR FIN'!$A$1:$O$115,15,0)),0,VLOOKUP($U$1851,'TAR FIN'!$A$1:$O$115,15,0))</f>
        <v>176.58</v>
      </c>
      <c r="Y1851" s="6"/>
      <c r="Z1851" s="6">
        <f ca="1">('TUSD BE'!$AM$65+'TUSD BF'!$AM$65+'TUSD CVA'!$AM$65)*1</f>
        <v>502.21976924570083</v>
      </c>
      <c r="AA1851" s="6">
        <f>('TE BE'!$AB$48+'TE BF'!$AB$48+'TE CVA'!$AB$48)*1</f>
        <v>230.68197444058345</v>
      </c>
      <c r="AB1851" s="6">
        <f>$K$1851*$V$1851</f>
        <v>0</v>
      </c>
      <c r="AC1851" s="6">
        <f>$M$1851*$W$1851</f>
        <v>-35134.853200000005</v>
      </c>
      <c r="AD1851" s="6">
        <f>$O$1851*$X$1851</f>
        <v>-13382.468460000002</v>
      </c>
      <c r="AE1851" s="6">
        <f>$K$1851*$Y$1851</f>
        <v>0</v>
      </c>
      <c r="AF1851" s="6">
        <f ca="1">$M$1851*$Z$1851</f>
        <v>-38061.729651823931</v>
      </c>
      <c r="AG1851" s="6">
        <f>$O$1851*$AA$1851</f>
        <v>-17482.694796928499</v>
      </c>
    </row>
    <row r="1852" spans="1:33" ht="11.25" customHeight="1" x14ac:dyDescent="0.25">
      <c r="A1852" s="4" t="s">
        <v>28</v>
      </c>
      <c r="B1852" s="4" t="s">
        <v>39</v>
      </c>
      <c r="C1852" s="4" t="s">
        <v>23</v>
      </c>
      <c r="D1852" s="4" t="s">
        <v>45</v>
      </c>
      <c r="E1852" s="4" t="s">
        <v>25</v>
      </c>
      <c r="F1852" s="4" t="s">
        <v>25</v>
      </c>
      <c r="G1852" s="4" t="s">
        <v>25</v>
      </c>
      <c r="H1852" s="4" t="s">
        <v>25</v>
      </c>
      <c r="I1852" s="5">
        <v>44593</v>
      </c>
      <c r="J1852" s="6">
        <v>0</v>
      </c>
      <c r="K1852" s="6">
        <v>0</v>
      </c>
      <c r="L1852" s="6">
        <v>2179.73</v>
      </c>
      <c r="M1852" s="6">
        <v>2179.73</v>
      </c>
      <c r="N1852" s="6">
        <v>2179.73</v>
      </c>
      <c r="O1852" s="6">
        <v>2179.73</v>
      </c>
      <c r="P1852" s="6">
        <v>4947</v>
      </c>
      <c r="Q1852" s="4" t="s">
        <v>26</v>
      </c>
      <c r="R1852" s="4">
        <v>0</v>
      </c>
      <c r="S1852" s="6">
        <v>0</v>
      </c>
      <c r="T1852" s="6">
        <v>67</v>
      </c>
      <c r="U1852" s="6">
        <v>111</v>
      </c>
      <c r="V1852" s="6">
        <f>IF(ISERROR(VLOOKUP($S$1852,'TAR FIN'!$A$1:$O$115,15,0)),0,VLOOKUP($S$1852,'TAR FIN'!$A$1:$O$115,15,0))</f>
        <v>0</v>
      </c>
      <c r="W1852" s="6">
        <f>IF(ISERROR(VLOOKUP($T$1852,'TAR FIN'!$A$1:$O$115,15,0)),0,VLOOKUP($T$1852,'TAR FIN'!$A$1:$O$115,15,0))</f>
        <v>463.6</v>
      </c>
      <c r="X1852" s="6">
        <f>IF(ISERROR(VLOOKUP($U$1852,'TAR FIN'!$A$1:$O$115,15,0)),0,VLOOKUP($U$1852,'TAR FIN'!$A$1:$O$115,15,0))</f>
        <v>176.58</v>
      </c>
      <c r="Y1852" s="6"/>
      <c r="Z1852" s="6">
        <f ca="1">('TUSD BE'!$AM$65+'TUSD BF'!$AM$65+'TUSD CVA'!$AM$65)*1</f>
        <v>502.21976924570083</v>
      </c>
      <c r="AA1852" s="6">
        <f>('TE BE'!$AB$48+'TE BF'!$AB$48+'TE CVA'!$AB$48)*1</f>
        <v>230.68197444058345</v>
      </c>
      <c r="AB1852" s="6">
        <f>$K$1852*$V$1852</f>
        <v>0</v>
      </c>
      <c r="AC1852" s="6">
        <f>$M$1852*$W$1852</f>
        <v>1010522.8280000001</v>
      </c>
      <c r="AD1852" s="6">
        <f>$O$1852*$X$1852</f>
        <v>384896.72340000002</v>
      </c>
      <c r="AE1852" s="6">
        <f>$K$1852*$Y$1852</f>
        <v>0</v>
      </c>
      <c r="AF1852" s="6">
        <f ca="1">$M$1852*$Z$1852</f>
        <v>1094703.4976179316</v>
      </c>
      <c r="AG1852" s="6">
        <f>$O$1852*$AA$1852</f>
        <v>502824.42014737293</v>
      </c>
    </row>
    <row r="1853" spans="1:33" ht="11.25" customHeight="1" x14ac:dyDescent="0.25">
      <c r="A1853" s="4" t="s">
        <v>29</v>
      </c>
      <c r="B1853" s="4" t="s">
        <v>39</v>
      </c>
      <c r="C1853" s="4" t="s">
        <v>23</v>
      </c>
      <c r="D1853" s="4" t="s">
        <v>45</v>
      </c>
      <c r="E1853" s="4" t="s">
        <v>25</v>
      </c>
      <c r="F1853" s="4" t="s">
        <v>25</v>
      </c>
      <c r="G1853" s="4" t="s">
        <v>25</v>
      </c>
      <c r="H1853" s="4" t="s">
        <v>25</v>
      </c>
      <c r="I1853" s="5">
        <v>44593</v>
      </c>
      <c r="J1853" s="6">
        <v>0</v>
      </c>
      <c r="K1853" s="6">
        <v>0</v>
      </c>
      <c r="L1853" s="6">
        <v>-2.1469999999999998</v>
      </c>
      <c r="M1853" s="6">
        <v>-2.1469999999999998</v>
      </c>
      <c r="N1853" s="6">
        <v>-2.1469999999999998</v>
      </c>
      <c r="O1853" s="6">
        <v>-2.1469999999999998</v>
      </c>
      <c r="P1853" s="6">
        <v>-1</v>
      </c>
      <c r="Q1853" s="4" t="s">
        <v>26</v>
      </c>
      <c r="R1853" s="4">
        <v>0</v>
      </c>
      <c r="S1853" s="6">
        <v>0</v>
      </c>
      <c r="T1853" s="6">
        <v>67</v>
      </c>
      <c r="U1853" s="6">
        <v>111</v>
      </c>
      <c r="V1853" s="6">
        <f>IF(ISERROR(VLOOKUP($S$1853,'TAR FIN'!$A$1:$O$115,15,0)),0,VLOOKUP($S$1853,'TAR FIN'!$A$1:$O$115,15,0))</f>
        <v>0</v>
      </c>
      <c r="W1853" s="6">
        <f>IF(ISERROR(VLOOKUP($T$1853,'TAR FIN'!$A$1:$O$115,15,0)),0,VLOOKUP($T$1853,'TAR FIN'!$A$1:$O$115,15,0))</f>
        <v>463.6</v>
      </c>
      <c r="X1853" s="6">
        <f>IF(ISERROR(VLOOKUP($U$1853,'TAR FIN'!$A$1:$O$115,15,0)),0,VLOOKUP($U$1853,'TAR FIN'!$A$1:$O$115,15,0))</f>
        <v>176.58</v>
      </c>
      <c r="Y1853" s="6"/>
      <c r="Z1853" s="6">
        <f ca="1">('TUSD BE'!$AM$65+'TUSD BF'!$AM$65+'TUSD CVA'!$AM$65)*1</f>
        <v>502.21976924570083</v>
      </c>
      <c r="AA1853" s="6">
        <f>('TE BE'!$AB$48+'TE BF'!$AB$48+'TE CVA'!$AB$48)*1</f>
        <v>230.68197444058345</v>
      </c>
      <c r="AB1853" s="6">
        <f>$K$1853*$V$1853</f>
        <v>0</v>
      </c>
      <c r="AC1853" s="6">
        <f>$M$1853*$W$1853</f>
        <v>-995.3492</v>
      </c>
      <c r="AD1853" s="6">
        <f>$O$1853*$X$1853</f>
        <v>-379.11725999999999</v>
      </c>
      <c r="AE1853" s="6">
        <f>$K$1853*$Y$1853</f>
        <v>0</v>
      </c>
      <c r="AF1853" s="6">
        <f ca="1">$M$1853*$Z$1853</f>
        <v>-1078.2658445705197</v>
      </c>
      <c r="AG1853" s="6">
        <f>$O$1853*$AA$1853</f>
        <v>-495.27419912393259</v>
      </c>
    </row>
    <row r="1854" spans="1:33" ht="11.25" customHeight="1" x14ac:dyDescent="0.25">
      <c r="A1854" s="4" t="s">
        <v>30</v>
      </c>
      <c r="B1854" s="4" t="s">
        <v>39</v>
      </c>
      <c r="C1854" s="4" t="s">
        <v>23</v>
      </c>
      <c r="D1854" s="4" t="s">
        <v>45</v>
      </c>
      <c r="E1854" s="4" t="s">
        <v>25</v>
      </c>
      <c r="F1854" s="4" t="s">
        <v>25</v>
      </c>
      <c r="G1854" s="4" t="s">
        <v>25</v>
      </c>
      <c r="H1854" s="4" t="s">
        <v>25</v>
      </c>
      <c r="I1854" s="5">
        <v>44593</v>
      </c>
      <c r="J1854" s="6">
        <v>0</v>
      </c>
      <c r="K1854" s="6">
        <v>0</v>
      </c>
      <c r="L1854" s="6">
        <v>364.43099999999998</v>
      </c>
      <c r="M1854" s="6">
        <v>364.43099999999998</v>
      </c>
      <c r="N1854" s="6">
        <v>364.43099999999998</v>
      </c>
      <c r="O1854" s="6">
        <v>364.43099999999998</v>
      </c>
      <c r="P1854" s="6">
        <v>483</v>
      </c>
      <c r="Q1854" s="4" t="s">
        <v>26</v>
      </c>
      <c r="R1854" s="4">
        <v>0</v>
      </c>
      <c r="S1854" s="6">
        <v>0</v>
      </c>
      <c r="T1854" s="6">
        <v>67</v>
      </c>
      <c r="U1854" s="6">
        <v>111</v>
      </c>
      <c r="V1854" s="6">
        <f>IF(ISERROR(VLOOKUP($S$1854,'TAR FIN'!$A$1:$O$115,15,0)),0,VLOOKUP($S$1854,'TAR FIN'!$A$1:$O$115,15,0))</f>
        <v>0</v>
      </c>
      <c r="W1854" s="6">
        <f>IF(ISERROR(VLOOKUP($T$1854,'TAR FIN'!$A$1:$O$115,15,0)),0,VLOOKUP($T$1854,'TAR FIN'!$A$1:$O$115,15,0))</f>
        <v>463.6</v>
      </c>
      <c r="X1854" s="6">
        <f>IF(ISERROR(VLOOKUP($U$1854,'TAR FIN'!$A$1:$O$115,15,0)),0,VLOOKUP($U$1854,'TAR FIN'!$A$1:$O$115,15,0))</f>
        <v>176.58</v>
      </c>
      <c r="Y1854" s="6"/>
      <c r="Z1854" s="6">
        <f ca="1">('TUSD BE'!$AM$65+'TUSD BF'!$AM$65+'TUSD CVA'!$AM$65)*1</f>
        <v>502.21976924570083</v>
      </c>
      <c r="AA1854" s="6">
        <f>('TE BE'!$AB$48+'TE BF'!$AB$48+'TE CVA'!$AB$48)*1</f>
        <v>230.68197444058345</v>
      </c>
      <c r="AB1854" s="6">
        <f>$K$1854*$V$1854</f>
        <v>0</v>
      </c>
      <c r="AC1854" s="6">
        <f>$M$1854*$W$1854</f>
        <v>168950.21160000001</v>
      </c>
      <c r="AD1854" s="6">
        <f>$O$1854*$X$1854</f>
        <v>64351.225980000003</v>
      </c>
      <c r="AE1854" s="6">
        <f>$K$1854*$Y$1854</f>
        <v>0</v>
      </c>
      <c r="AF1854" s="6">
        <f ca="1">$M$1854*$Z$1854</f>
        <v>183024.45272597999</v>
      </c>
      <c r="AG1854" s="6">
        <f>$O$1854*$AA$1854</f>
        <v>84067.662627356258</v>
      </c>
    </row>
    <row r="1855" spans="1:33" ht="11.25" customHeight="1" x14ac:dyDescent="0.25">
      <c r="A1855" s="4" t="s">
        <v>30</v>
      </c>
      <c r="B1855" s="4" t="s">
        <v>39</v>
      </c>
      <c r="C1855" s="4" t="s">
        <v>23</v>
      </c>
      <c r="D1855" s="4" t="s">
        <v>45</v>
      </c>
      <c r="E1855" s="4" t="s">
        <v>25</v>
      </c>
      <c r="F1855" s="4" t="s">
        <v>25</v>
      </c>
      <c r="G1855" s="4" t="s">
        <v>25</v>
      </c>
      <c r="H1855" s="4" t="s">
        <v>25</v>
      </c>
      <c r="I1855" s="5">
        <v>44593</v>
      </c>
      <c r="J1855" s="6">
        <v>0</v>
      </c>
      <c r="K1855" s="6">
        <v>0</v>
      </c>
      <c r="L1855" s="6">
        <v>7.234</v>
      </c>
      <c r="M1855" s="6">
        <v>7.234</v>
      </c>
      <c r="N1855" s="6">
        <v>7.234</v>
      </c>
      <c r="O1855" s="6">
        <v>7.234</v>
      </c>
      <c r="P1855" s="6">
        <v>0</v>
      </c>
      <c r="Q1855" s="4" t="s">
        <v>26</v>
      </c>
      <c r="R1855" s="4">
        <v>0</v>
      </c>
      <c r="S1855" s="6">
        <v>0</v>
      </c>
      <c r="T1855" s="6">
        <v>67</v>
      </c>
      <c r="U1855" s="6">
        <v>111</v>
      </c>
      <c r="V1855" s="6">
        <f>IF(ISERROR(VLOOKUP($S$1855,'TAR FIN'!$A$1:$O$115,15,0)),0,VLOOKUP($S$1855,'TAR FIN'!$A$1:$O$115,15,0))</f>
        <v>0</v>
      </c>
      <c r="W1855" s="6">
        <f>IF(ISERROR(VLOOKUP($T$1855,'TAR FIN'!$A$1:$O$115,15,0)),0,VLOOKUP($T$1855,'TAR FIN'!$A$1:$O$115,15,0))</f>
        <v>463.6</v>
      </c>
      <c r="X1855" s="6">
        <f>IF(ISERROR(VLOOKUP($U$1855,'TAR FIN'!$A$1:$O$115,15,0)),0,VLOOKUP($U$1855,'TAR FIN'!$A$1:$O$115,15,0))</f>
        <v>176.58</v>
      </c>
      <c r="Y1855" s="6"/>
      <c r="Z1855" s="6">
        <f ca="1">('TUSD BE'!$AM$65+'TUSD BF'!$AM$65+'TUSD CVA'!$AM$65)*1</f>
        <v>502.21976924570083</v>
      </c>
      <c r="AA1855" s="6">
        <f>('TE BE'!$AB$48+'TE BF'!$AB$48+'TE CVA'!$AB$48)*1</f>
        <v>230.68197444058345</v>
      </c>
      <c r="AB1855" s="6">
        <f>$K$1855*$V$1855</f>
        <v>0</v>
      </c>
      <c r="AC1855" s="6">
        <f>$M$1855*$W$1855</f>
        <v>3353.6824000000001</v>
      </c>
      <c r="AD1855" s="6">
        <f>$O$1855*$X$1855</f>
        <v>1277.3797200000001</v>
      </c>
      <c r="AE1855" s="6">
        <f>$K$1855*$Y$1855</f>
        <v>0</v>
      </c>
      <c r="AF1855" s="6">
        <f ca="1">$M$1855*$Z$1855</f>
        <v>3633.0578107233996</v>
      </c>
      <c r="AG1855" s="6">
        <f>$O$1855*$AA$1855</f>
        <v>1668.7534031031807</v>
      </c>
    </row>
    <row r="1856" spans="1:33" ht="11.25" customHeight="1" x14ac:dyDescent="0.25">
      <c r="A1856" s="4" t="s">
        <v>21</v>
      </c>
      <c r="B1856" s="4" t="s">
        <v>39</v>
      </c>
      <c r="C1856" s="4" t="s">
        <v>23</v>
      </c>
      <c r="D1856" s="4" t="s">
        <v>45</v>
      </c>
      <c r="E1856" s="4" t="s">
        <v>25</v>
      </c>
      <c r="F1856" s="4" t="s">
        <v>25</v>
      </c>
      <c r="G1856" s="4" t="s">
        <v>25</v>
      </c>
      <c r="H1856" s="4" t="s">
        <v>25</v>
      </c>
      <c r="I1856" s="5">
        <v>44621</v>
      </c>
      <c r="J1856" s="6">
        <v>0</v>
      </c>
      <c r="K1856" s="6">
        <v>0</v>
      </c>
      <c r="L1856" s="6">
        <v>9562.4619999999995</v>
      </c>
      <c r="M1856" s="6">
        <v>9562.4619999999995</v>
      </c>
      <c r="N1856" s="6">
        <v>9562.4619999999995</v>
      </c>
      <c r="O1856" s="6">
        <v>9562.4619999999995</v>
      </c>
      <c r="P1856" s="6">
        <v>17045</v>
      </c>
      <c r="Q1856" s="4" t="s">
        <v>26</v>
      </c>
      <c r="R1856" s="4">
        <v>0</v>
      </c>
      <c r="S1856" s="6">
        <v>0</v>
      </c>
      <c r="T1856" s="6">
        <v>67</v>
      </c>
      <c r="U1856" s="6">
        <v>111</v>
      </c>
      <c r="V1856" s="6">
        <f>IF(ISERROR(VLOOKUP($S$1856,'TAR FIN'!$A$1:$O$115,15,0)),0,VLOOKUP($S$1856,'TAR FIN'!$A$1:$O$115,15,0))</f>
        <v>0</v>
      </c>
      <c r="W1856" s="6">
        <f>IF(ISERROR(VLOOKUP($T$1856,'TAR FIN'!$A$1:$O$115,15,0)),0,VLOOKUP($T$1856,'TAR FIN'!$A$1:$O$115,15,0))</f>
        <v>463.6</v>
      </c>
      <c r="X1856" s="6">
        <f>IF(ISERROR(VLOOKUP($U$1856,'TAR FIN'!$A$1:$O$115,15,0)),0,VLOOKUP($U$1856,'TAR FIN'!$A$1:$O$115,15,0))</f>
        <v>176.58</v>
      </c>
      <c r="Y1856" s="6"/>
      <c r="Z1856" s="6">
        <f ca="1">('TUSD BE'!$AM$65+'TUSD BF'!$AM$65+'TUSD CVA'!$AM$65)*1</f>
        <v>502.21976924570083</v>
      </c>
      <c r="AA1856" s="6">
        <f>('TE BE'!$AB$48+'TE BF'!$AB$48+'TE CVA'!$AB$48)*1</f>
        <v>230.68197444058345</v>
      </c>
      <c r="AB1856" s="6">
        <f>$K$1856*$V$1856</f>
        <v>0</v>
      </c>
      <c r="AC1856" s="6">
        <f>$M$1856*$W$1856</f>
        <v>4433157.3832</v>
      </c>
      <c r="AD1856" s="6">
        <f>$O$1856*$X$1856</f>
        <v>1688539.53996</v>
      </c>
      <c r="AE1856" s="6">
        <f>$K$1856*$Y$1856</f>
        <v>0</v>
      </c>
      <c r="AF1856" s="6">
        <f ca="1">$M$1856*$Z$1856</f>
        <v>4802457.4590607826</v>
      </c>
      <c r="AG1856" s="6">
        <f>$O$1856*$AA$1856</f>
        <v>2205887.6146730501</v>
      </c>
    </row>
    <row r="1857" spans="1:33" ht="11.25" customHeight="1" x14ac:dyDescent="0.25">
      <c r="A1857" s="4" t="s">
        <v>27</v>
      </c>
      <c r="B1857" s="4" t="s">
        <v>39</v>
      </c>
      <c r="C1857" s="4" t="s">
        <v>23</v>
      </c>
      <c r="D1857" s="4" t="s">
        <v>45</v>
      </c>
      <c r="E1857" s="4" t="s">
        <v>25</v>
      </c>
      <c r="F1857" s="4" t="s">
        <v>25</v>
      </c>
      <c r="G1857" s="4" t="s">
        <v>25</v>
      </c>
      <c r="H1857" s="4" t="s">
        <v>25</v>
      </c>
      <c r="I1857" s="5">
        <v>44621</v>
      </c>
      <c r="J1857" s="6">
        <v>0</v>
      </c>
      <c r="K1857" s="6">
        <v>0</v>
      </c>
      <c r="L1857" s="6">
        <v>-171.40899999999999</v>
      </c>
      <c r="M1857" s="6">
        <v>-171.40899999999999</v>
      </c>
      <c r="N1857" s="6">
        <v>-171.40899999999999</v>
      </c>
      <c r="O1857" s="6">
        <v>-171.40899999999999</v>
      </c>
      <c r="P1857" s="6">
        <v>-11</v>
      </c>
      <c r="Q1857" s="4" t="s">
        <v>26</v>
      </c>
      <c r="R1857" s="4">
        <v>0</v>
      </c>
      <c r="S1857" s="6">
        <v>0</v>
      </c>
      <c r="T1857" s="6">
        <v>67</v>
      </c>
      <c r="U1857" s="6">
        <v>111</v>
      </c>
      <c r="V1857" s="6">
        <f>IF(ISERROR(VLOOKUP($S$1857,'TAR FIN'!$A$1:$O$115,15,0)),0,VLOOKUP($S$1857,'TAR FIN'!$A$1:$O$115,15,0))</f>
        <v>0</v>
      </c>
      <c r="W1857" s="6">
        <f>IF(ISERROR(VLOOKUP($T$1857,'TAR FIN'!$A$1:$O$115,15,0)),0,VLOOKUP($T$1857,'TAR FIN'!$A$1:$O$115,15,0))</f>
        <v>463.6</v>
      </c>
      <c r="X1857" s="6">
        <f>IF(ISERROR(VLOOKUP($U$1857,'TAR FIN'!$A$1:$O$115,15,0)),0,VLOOKUP($U$1857,'TAR FIN'!$A$1:$O$115,15,0))</f>
        <v>176.58</v>
      </c>
      <c r="Y1857" s="6"/>
      <c r="Z1857" s="6">
        <f ca="1">('TUSD BE'!$AM$65+'TUSD BF'!$AM$65+'TUSD CVA'!$AM$65)*1</f>
        <v>502.21976924570083</v>
      </c>
      <c r="AA1857" s="6">
        <f>('TE BE'!$AB$48+'TE BF'!$AB$48+'TE CVA'!$AB$48)*1</f>
        <v>230.68197444058345</v>
      </c>
      <c r="AB1857" s="6">
        <f>$K$1857*$V$1857</f>
        <v>0</v>
      </c>
      <c r="AC1857" s="6">
        <f>$M$1857*$W$1857</f>
        <v>-79465.212400000004</v>
      </c>
      <c r="AD1857" s="6">
        <f>$O$1857*$X$1857</f>
        <v>-30267.40122</v>
      </c>
      <c r="AE1857" s="6">
        <f>$K$1857*$Y$1857</f>
        <v>0</v>
      </c>
      <c r="AF1857" s="6">
        <f ca="1">$M$1857*$Z$1857</f>
        <v>-86084.988426636337</v>
      </c>
      <c r="AG1857" s="6">
        <f>$O$1857*$AA$1857</f>
        <v>-39540.966556885964</v>
      </c>
    </row>
    <row r="1858" spans="1:33" ht="11.25" customHeight="1" x14ac:dyDescent="0.25">
      <c r="A1858" s="4" t="s">
        <v>28</v>
      </c>
      <c r="B1858" s="4" t="s">
        <v>39</v>
      </c>
      <c r="C1858" s="4" t="s">
        <v>23</v>
      </c>
      <c r="D1858" s="4" t="s">
        <v>45</v>
      </c>
      <c r="E1858" s="4" t="s">
        <v>25</v>
      </c>
      <c r="F1858" s="4" t="s">
        <v>25</v>
      </c>
      <c r="G1858" s="4" t="s">
        <v>25</v>
      </c>
      <c r="H1858" s="4" t="s">
        <v>25</v>
      </c>
      <c r="I1858" s="5">
        <v>44621</v>
      </c>
      <c r="J1858" s="6">
        <v>0</v>
      </c>
      <c r="K1858" s="6">
        <v>0</v>
      </c>
      <c r="L1858" s="6">
        <v>2278.6219999999998</v>
      </c>
      <c r="M1858" s="6">
        <v>2278.6219999999998</v>
      </c>
      <c r="N1858" s="6">
        <v>2278.6219999999998</v>
      </c>
      <c r="O1858" s="6">
        <v>2278.6219999999998</v>
      </c>
      <c r="P1858" s="6">
        <v>4934</v>
      </c>
      <c r="Q1858" s="4" t="s">
        <v>26</v>
      </c>
      <c r="R1858" s="4">
        <v>0</v>
      </c>
      <c r="S1858" s="6">
        <v>0</v>
      </c>
      <c r="T1858" s="6">
        <v>67</v>
      </c>
      <c r="U1858" s="6">
        <v>111</v>
      </c>
      <c r="V1858" s="6">
        <f>IF(ISERROR(VLOOKUP($S$1858,'TAR FIN'!$A$1:$O$115,15,0)),0,VLOOKUP($S$1858,'TAR FIN'!$A$1:$O$115,15,0))</f>
        <v>0</v>
      </c>
      <c r="W1858" s="6">
        <f>IF(ISERROR(VLOOKUP($T$1858,'TAR FIN'!$A$1:$O$115,15,0)),0,VLOOKUP($T$1858,'TAR FIN'!$A$1:$O$115,15,0))</f>
        <v>463.6</v>
      </c>
      <c r="X1858" s="6">
        <f>IF(ISERROR(VLOOKUP($U$1858,'TAR FIN'!$A$1:$O$115,15,0)),0,VLOOKUP($U$1858,'TAR FIN'!$A$1:$O$115,15,0))</f>
        <v>176.58</v>
      </c>
      <c r="Y1858" s="6"/>
      <c r="Z1858" s="6">
        <f ca="1">('TUSD BE'!$AM$65+'TUSD BF'!$AM$65+'TUSD CVA'!$AM$65)*1</f>
        <v>502.21976924570083</v>
      </c>
      <c r="AA1858" s="6">
        <f>('TE BE'!$AB$48+'TE BF'!$AB$48+'TE CVA'!$AB$48)*1</f>
        <v>230.68197444058345</v>
      </c>
      <c r="AB1858" s="6">
        <f>$K$1858*$V$1858</f>
        <v>0</v>
      </c>
      <c r="AC1858" s="6">
        <f>$M$1858*$W$1858</f>
        <v>1056369.1591999999</v>
      </c>
      <c r="AD1858" s="6">
        <f>$O$1858*$X$1858</f>
        <v>402359.07276000001</v>
      </c>
      <c r="AE1858" s="6">
        <f>$K$1858*$Y$1858</f>
        <v>0</v>
      </c>
      <c r="AF1858" s="6">
        <f ca="1">$M$1858*$Z$1858</f>
        <v>1144369.0150381771</v>
      </c>
      <c r="AG1858" s="6">
        <f>$O$1858*$AA$1858</f>
        <v>525637.02196375106</v>
      </c>
    </row>
    <row r="1859" spans="1:33" ht="11.25" customHeight="1" x14ac:dyDescent="0.25">
      <c r="A1859" s="4" t="s">
        <v>29</v>
      </c>
      <c r="B1859" s="4" t="s">
        <v>39</v>
      </c>
      <c r="C1859" s="4" t="s">
        <v>23</v>
      </c>
      <c r="D1859" s="4" t="s">
        <v>45</v>
      </c>
      <c r="E1859" s="4" t="s">
        <v>25</v>
      </c>
      <c r="F1859" s="4" t="s">
        <v>25</v>
      </c>
      <c r="G1859" s="4" t="s">
        <v>25</v>
      </c>
      <c r="H1859" s="4" t="s">
        <v>25</v>
      </c>
      <c r="I1859" s="5">
        <v>44621</v>
      </c>
      <c r="J1859" s="6">
        <v>0</v>
      </c>
      <c r="K1859" s="6">
        <v>0</v>
      </c>
      <c r="L1859" s="6">
        <v>1.097</v>
      </c>
      <c r="M1859" s="6">
        <v>1.097</v>
      </c>
      <c r="N1859" s="6">
        <v>1.097</v>
      </c>
      <c r="O1859" s="6">
        <v>1.097</v>
      </c>
      <c r="P1859" s="6">
        <v>0</v>
      </c>
      <c r="Q1859" s="4" t="s">
        <v>26</v>
      </c>
      <c r="R1859" s="4">
        <v>0</v>
      </c>
      <c r="S1859" s="6">
        <v>0</v>
      </c>
      <c r="T1859" s="6">
        <v>67</v>
      </c>
      <c r="U1859" s="6">
        <v>111</v>
      </c>
      <c r="V1859" s="6">
        <f>IF(ISERROR(VLOOKUP($S$1859,'TAR FIN'!$A$1:$O$115,15,0)),0,VLOOKUP($S$1859,'TAR FIN'!$A$1:$O$115,15,0))</f>
        <v>0</v>
      </c>
      <c r="W1859" s="6">
        <f>IF(ISERROR(VLOOKUP($T$1859,'TAR FIN'!$A$1:$O$115,15,0)),0,VLOOKUP($T$1859,'TAR FIN'!$A$1:$O$115,15,0))</f>
        <v>463.6</v>
      </c>
      <c r="X1859" s="6">
        <f>IF(ISERROR(VLOOKUP($U$1859,'TAR FIN'!$A$1:$O$115,15,0)),0,VLOOKUP($U$1859,'TAR FIN'!$A$1:$O$115,15,0))</f>
        <v>176.58</v>
      </c>
      <c r="Y1859" s="6"/>
      <c r="Z1859" s="6">
        <f ca="1">('TUSD BE'!$AM$65+'TUSD BF'!$AM$65+'TUSD CVA'!$AM$65)*1</f>
        <v>502.21976924570083</v>
      </c>
      <c r="AA1859" s="6">
        <f>('TE BE'!$AB$48+'TE BF'!$AB$48+'TE CVA'!$AB$48)*1</f>
        <v>230.68197444058345</v>
      </c>
      <c r="AB1859" s="6">
        <f>$K$1859*$V$1859</f>
        <v>0</v>
      </c>
      <c r="AC1859" s="6">
        <f>$M$1859*$W$1859</f>
        <v>508.56920000000002</v>
      </c>
      <c r="AD1859" s="6">
        <f>$O$1859*$X$1859</f>
        <v>193.70826</v>
      </c>
      <c r="AE1859" s="6">
        <f>$K$1859*$Y$1859</f>
        <v>0</v>
      </c>
      <c r="AF1859" s="6">
        <f ca="1">$M$1859*$Z$1859</f>
        <v>550.93508686253381</v>
      </c>
      <c r="AG1859" s="6">
        <f>$O$1859*$AA$1859</f>
        <v>253.05812596132003</v>
      </c>
    </row>
    <row r="1860" spans="1:33" ht="11.25" customHeight="1" x14ac:dyDescent="0.25">
      <c r="A1860" s="4" t="s">
        <v>30</v>
      </c>
      <c r="B1860" s="4" t="s">
        <v>39</v>
      </c>
      <c r="C1860" s="4" t="s">
        <v>23</v>
      </c>
      <c r="D1860" s="4" t="s">
        <v>45</v>
      </c>
      <c r="E1860" s="4" t="s">
        <v>25</v>
      </c>
      <c r="F1860" s="4" t="s">
        <v>25</v>
      </c>
      <c r="G1860" s="4" t="s">
        <v>25</v>
      </c>
      <c r="H1860" s="4" t="s">
        <v>25</v>
      </c>
      <c r="I1860" s="5">
        <v>44621</v>
      </c>
      <c r="J1860" s="6">
        <v>0</v>
      </c>
      <c r="K1860" s="6">
        <v>0</v>
      </c>
      <c r="L1860" s="6">
        <v>407.46</v>
      </c>
      <c r="M1860" s="6">
        <v>407.46</v>
      </c>
      <c r="N1860" s="6">
        <v>407.46</v>
      </c>
      <c r="O1860" s="6">
        <v>407.46</v>
      </c>
      <c r="P1860" s="6">
        <v>518</v>
      </c>
      <c r="Q1860" s="4" t="s">
        <v>26</v>
      </c>
      <c r="R1860" s="4">
        <v>0</v>
      </c>
      <c r="S1860" s="6">
        <v>0</v>
      </c>
      <c r="T1860" s="6">
        <v>67</v>
      </c>
      <c r="U1860" s="6">
        <v>111</v>
      </c>
      <c r="V1860" s="6">
        <f>IF(ISERROR(VLOOKUP($S$1860,'TAR FIN'!$A$1:$O$115,15,0)),0,VLOOKUP($S$1860,'TAR FIN'!$A$1:$O$115,15,0))</f>
        <v>0</v>
      </c>
      <c r="W1860" s="6">
        <f>IF(ISERROR(VLOOKUP($T$1860,'TAR FIN'!$A$1:$O$115,15,0)),0,VLOOKUP($T$1860,'TAR FIN'!$A$1:$O$115,15,0))</f>
        <v>463.6</v>
      </c>
      <c r="X1860" s="6">
        <f>IF(ISERROR(VLOOKUP($U$1860,'TAR FIN'!$A$1:$O$115,15,0)),0,VLOOKUP($U$1860,'TAR FIN'!$A$1:$O$115,15,0))</f>
        <v>176.58</v>
      </c>
      <c r="Y1860" s="6"/>
      <c r="Z1860" s="6">
        <f ca="1">('TUSD BE'!$AM$65+'TUSD BF'!$AM$65+'TUSD CVA'!$AM$65)*1</f>
        <v>502.21976924570083</v>
      </c>
      <c r="AA1860" s="6">
        <f>('TE BE'!$AB$48+'TE BF'!$AB$48+'TE CVA'!$AB$48)*1</f>
        <v>230.68197444058345</v>
      </c>
      <c r="AB1860" s="6">
        <f>$K$1860*$V$1860</f>
        <v>0</v>
      </c>
      <c r="AC1860" s="6">
        <f>$M$1860*$W$1860</f>
        <v>188898.45600000001</v>
      </c>
      <c r="AD1860" s="6">
        <f>$O$1860*$X$1860</f>
        <v>71949.286800000002</v>
      </c>
      <c r="AE1860" s="6">
        <f>$K$1860*$Y$1860</f>
        <v>0</v>
      </c>
      <c r="AF1860" s="6">
        <f ca="1">$M$1860*$Z$1860</f>
        <v>204634.46717685324</v>
      </c>
      <c r="AG1860" s="6">
        <f>$O$1860*$AA$1860</f>
        <v>93993.677305560122</v>
      </c>
    </row>
    <row r="1861" spans="1:33" ht="11.25" customHeight="1" x14ac:dyDescent="0.25">
      <c r="A1861" s="4" t="s">
        <v>30</v>
      </c>
      <c r="B1861" s="4" t="s">
        <v>39</v>
      </c>
      <c r="C1861" s="4" t="s">
        <v>23</v>
      </c>
      <c r="D1861" s="4" t="s">
        <v>45</v>
      </c>
      <c r="E1861" s="4" t="s">
        <v>25</v>
      </c>
      <c r="F1861" s="4" t="s">
        <v>25</v>
      </c>
      <c r="G1861" s="4" t="s">
        <v>25</v>
      </c>
      <c r="H1861" s="4" t="s">
        <v>25</v>
      </c>
      <c r="I1861" s="5">
        <v>44621</v>
      </c>
      <c r="J1861" s="6">
        <v>0</v>
      </c>
      <c r="K1861" s="6">
        <v>0</v>
      </c>
      <c r="L1861" s="6">
        <v>2.3330000000000002</v>
      </c>
      <c r="M1861" s="6">
        <v>2.3330000000000002</v>
      </c>
      <c r="N1861" s="6">
        <v>2.3330000000000002</v>
      </c>
      <c r="O1861" s="6">
        <v>2.3330000000000002</v>
      </c>
      <c r="P1861" s="6">
        <v>1</v>
      </c>
      <c r="Q1861" s="4" t="s">
        <v>26</v>
      </c>
      <c r="R1861" s="4">
        <v>0</v>
      </c>
      <c r="S1861" s="6">
        <v>0</v>
      </c>
      <c r="T1861" s="6">
        <v>67</v>
      </c>
      <c r="U1861" s="6">
        <v>111</v>
      </c>
      <c r="V1861" s="6">
        <f>IF(ISERROR(VLOOKUP($S$1861,'TAR FIN'!$A$1:$O$115,15,0)),0,VLOOKUP($S$1861,'TAR FIN'!$A$1:$O$115,15,0))</f>
        <v>0</v>
      </c>
      <c r="W1861" s="6">
        <f>IF(ISERROR(VLOOKUP($T$1861,'TAR FIN'!$A$1:$O$115,15,0)),0,VLOOKUP($T$1861,'TAR FIN'!$A$1:$O$115,15,0))</f>
        <v>463.6</v>
      </c>
      <c r="X1861" s="6">
        <f>IF(ISERROR(VLOOKUP($U$1861,'TAR FIN'!$A$1:$O$115,15,0)),0,VLOOKUP($U$1861,'TAR FIN'!$A$1:$O$115,15,0))</f>
        <v>176.58</v>
      </c>
      <c r="Y1861" s="6"/>
      <c r="Z1861" s="6">
        <f ca="1">('TUSD BE'!$AM$65+'TUSD BF'!$AM$65+'TUSD CVA'!$AM$65)*1</f>
        <v>502.21976924570083</v>
      </c>
      <c r="AA1861" s="6">
        <f>('TE BE'!$AB$48+'TE BF'!$AB$48+'TE CVA'!$AB$48)*1</f>
        <v>230.68197444058345</v>
      </c>
      <c r="AB1861" s="6">
        <f>$K$1861*$V$1861</f>
        <v>0</v>
      </c>
      <c r="AC1861" s="6">
        <f>$M$1861*$W$1861</f>
        <v>1081.5788000000002</v>
      </c>
      <c r="AD1861" s="6">
        <f>$O$1861*$X$1861</f>
        <v>411.96114000000006</v>
      </c>
      <c r="AE1861" s="6">
        <f>$K$1861*$Y$1861</f>
        <v>0</v>
      </c>
      <c r="AF1861" s="6">
        <f ca="1">$M$1861*$Z$1861</f>
        <v>1171.67872165022</v>
      </c>
      <c r="AG1861" s="6">
        <f>$O$1861*$AA$1861</f>
        <v>538.18104636988119</v>
      </c>
    </row>
    <row r="1862" spans="1:33" ht="11.25" customHeight="1" x14ac:dyDescent="0.25">
      <c r="A1862" s="4" t="s">
        <v>21</v>
      </c>
      <c r="B1862" s="4" t="s">
        <v>39</v>
      </c>
      <c r="C1862" s="4" t="s">
        <v>23</v>
      </c>
      <c r="D1862" s="4" t="s">
        <v>45</v>
      </c>
      <c r="E1862" s="4" t="s">
        <v>25</v>
      </c>
      <c r="F1862" s="4" t="s">
        <v>25</v>
      </c>
      <c r="G1862" s="4" t="s">
        <v>25</v>
      </c>
      <c r="H1862" s="4" t="s">
        <v>25</v>
      </c>
      <c r="I1862" s="5">
        <v>44652</v>
      </c>
      <c r="J1862" s="6">
        <v>0</v>
      </c>
      <c r="K1862" s="6">
        <v>0</v>
      </c>
      <c r="L1862" s="6">
        <v>9765.7469999999994</v>
      </c>
      <c r="M1862" s="6">
        <v>9765.7469999999994</v>
      </c>
      <c r="N1862" s="6">
        <v>9765.7469999999994</v>
      </c>
      <c r="O1862" s="6">
        <v>9765.7469999999994</v>
      </c>
      <c r="P1862" s="6">
        <v>17068</v>
      </c>
      <c r="Q1862" s="4" t="s">
        <v>26</v>
      </c>
      <c r="R1862" s="4">
        <v>0</v>
      </c>
      <c r="S1862" s="6">
        <v>0</v>
      </c>
      <c r="T1862" s="6">
        <v>67</v>
      </c>
      <c r="U1862" s="6">
        <v>111</v>
      </c>
      <c r="V1862" s="6">
        <f>IF(ISERROR(VLOOKUP($S$1862,'TAR FIN'!$A$1:$O$115,15,0)),0,VLOOKUP($S$1862,'TAR FIN'!$A$1:$O$115,15,0))</f>
        <v>0</v>
      </c>
      <c r="W1862" s="6">
        <f>IF(ISERROR(VLOOKUP($T$1862,'TAR FIN'!$A$1:$O$115,15,0)),0,VLOOKUP($T$1862,'TAR FIN'!$A$1:$O$115,15,0))</f>
        <v>463.6</v>
      </c>
      <c r="X1862" s="6">
        <f>IF(ISERROR(VLOOKUP($U$1862,'TAR FIN'!$A$1:$O$115,15,0)),0,VLOOKUP($U$1862,'TAR FIN'!$A$1:$O$115,15,0))</f>
        <v>176.58</v>
      </c>
      <c r="Y1862" s="6"/>
      <c r="Z1862" s="6">
        <f ca="1">('TUSD BE'!$AM$65+'TUSD BF'!$AM$65+'TUSD CVA'!$AM$65)*1</f>
        <v>502.21976924570083</v>
      </c>
      <c r="AA1862" s="6">
        <f>('TE BE'!$AB$48+'TE BF'!$AB$48+'TE CVA'!$AB$48)*1</f>
        <v>230.68197444058345</v>
      </c>
      <c r="AB1862" s="6">
        <f>$K$1862*$V$1862</f>
        <v>0</v>
      </c>
      <c r="AC1862" s="6">
        <f>$M$1862*$W$1862</f>
        <v>4527400.3092</v>
      </c>
      <c r="AD1862" s="6">
        <f>$O$1862*$X$1862</f>
        <v>1724435.6052600001</v>
      </c>
      <c r="AE1862" s="6">
        <f>$K$1862*$Y$1862</f>
        <v>0</v>
      </c>
      <c r="AF1862" s="6">
        <f ca="1">$M$1862*$Z$1862</f>
        <v>4904551.2048518946</v>
      </c>
      <c r="AG1862" s="6">
        <f>$O$1862*$AA$1862</f>
        <v>2252781.7998472042</v>
      </c>
    </row>
    <row r="1863" spans="1:33" ht="11.25" customHeight="1" x14ac:dyDescent="0.25">
      <c r="A1863" s="4" t="s">
        <v>27</v>
      </c>
      <c r="B1863" s="4" t="s">
        <v>39</v>
      </c>
      <c r="C1863" s="4" t="s">
        <v>23</v>
      </c>
      <c r="D1863" s="4" t="s">
        <v>45</v>
      </c>
      <c r="E1863" s="4" t="s">
        <v>25</v>
      </c>
      <c r="F1863" s="4" t="s">
        <v>25</v>
      </c>
      <c r="G1863" s="4" t="s">
        <v>25</v>
      </c>
      <c r="H1863" s="4" t="s">
        <v>25</v>
      </c>
      <c r="I1863" s="5">
        <v>44652</v>
      </c>
      <c r="J1863" s="6">
        <v>0</v>
      </c>
      <c r="K1863" s="6">
        <v>0</v>
      </c>
      <c r="L1863" s="6">
        <v>-49.198999999999998</v>
      </c>
      <c r="M1863" s="6">
        <v>-49.198999999999998</v>
      </c>
      <c r="N1863" s="6">
        <v>-49.198999999999998</v>
      </c>
      <c r="O1863" s="6">
        <v>-49.198999999999998</v>
      </c>
      <c r="P1863" s="6">
        <v>-5</v>
      </c>
      <c r="Q1863" s="4" t="s">
        <v>26</v>
      </c>
      <c r="R1863" s="4">
        <v>0</v>
      </c>
      <c r="S1863" s="6">
        <v>0</v>
      </c>
      <c r="T1863" s="6">
        <v>67</v>
      </c>
      <c r="U1863" s="6">
        <v>111</v>
      </c>
      <c r="V1863" s="6">
        <f>IF(ISERROR(VLOOKUP($S$1863,'TAR FIN'!$A$1:$O$115,15,0)),0,VLOOKUP($S$1863,'TAR FIN'!$A$1:$O$115,15,0))</f>
        <v>0</v>
      </c>
      <c r="W1863" s="6">
        <f>IF(ISERROR(VLOOKUP($T$1863,'TAR FIN'!$A$1:$O$115,15,0)),0,VLOOKUP($T$1863,'TAR FIN'!$A$1:$O$115,15,0))</f>
        <v>463.6</v>
      </c>
      <c r="X1863" s="6">
        <f>IF(ISERROR(VLOOKUP($U$1863,'TAR FIN'!$A$1:$O$115,15,0)),0,VLOOKUP($U$1863,'TAR FIN'!$A$1:$O$115,15,0))</f>
        <v>176.58</v>
      </c>
      <c r="Y1863" s="6"/>
      <c r="Z1863" s="6">
        <f ca="1">('TUSD BE'!$AM$65+'TUSD BF'!$AM$65+'TUSD CVA'!$AM$65)*1</f>
        <v>502.21976924570083</v>
      </c>
      <c r="AA1863" s="6">
        <f>('TE BE'!$AB$48+'TE BF'!$AB$48+'TE CVA'!$AB$48)*1</f>
        <v>230.68197444058345</v>
      </c>
      <c r="AB1863" s="6">
        <f>$K$1863*$V$1863</f>
        <v>0</v>
      </c>
      <c r="AC1863" s="6">
        <f>$M$1863*$W$1863</f>
        <v>-22808.6564</v>
      </c>
      <c r="AD1863" s="6">
        <f>$O$1863*$X$1863</f>
        <v>-8687.5594199999996</v>
      </c>
      <c r="AE1863" s="6">
        <f>$K$1863*$Y$1863</f>
        <v>0</v>
      </c>
      <c r="AF1863" s="6">
        <f ca="1">$M$1863*$Z$1863</f>
        <v>-24708.710427119233</v>
      </c>
      <c r="AG1863" s="6">
        <f>$O$1863*$AA$1863</f>
        <v>-11349.322460502264</v>
      </c>
    </row>
    <row r="1864" spans="1:33" ht="11.25" customHeight="1" x14ac:dyDescent="0.25">
      <c r="A1864" s="4" t="s">
        <v>28</v>
      </c>
      <c r="B1864" s="4" t="s">
        <v>39</v>
      </c>
      <c r="C1864" s="4" t="s">
        <v>23</v>
      </c>
      <c r="D1864" s="4" t="s">
        <v>45</v>
      </c>
      <c r="E1864" s="4" t="s">
        <v>25</v>
      </c>
      <c r="F1864" s="4" t="s">
        <v>25</v>
      </c>
      <c r="G1864" s="4" t="s">
        <v>25</v>
      </c>
      <c r="H1864" s="4" t="s">
        <v>25</v>
      </c>
      <c r="I1864" s="5">
        <v>44652</v>
      </c>
      <c r="J1864" s="6">
        <v>0</v>
      </c>
      <c r="K1864" s="6">
        <v>0</v>
      </c>
      <c r="L1864" s="6">
        <v>2344.4650000000001</v>
      </c>
      <c r="M1864" s="6">
        <v>2344.4650000000001</v>
      </c>
      <c r="N1864" s="6">
        <v>2344.4650000000001</v>
      </c>
      <c r="O1864" s="6">
        <v>2344.4650000000001</v>
      </c>
      <c r="P1864" s="6">
        <v>4941</v>
      </c>
      <c r="Q1864" s="4" t="s">
        <v>26</v>
      </c>
      <c r="R1864" s="4">
        <v>0</v>
      </c>
      <c r="S1864" s="6">
        <v>0</v>
      </c>
      <c r="T1864" s="6">
        <v>67</v>
      </c>
      <c r="U1864" s="6">
        <v>111</v>
      </c>
      <c r="V1864" s="6">
        <f>IF(ISERROR(VLOOKUP($S$1864,'TAR FIN'!$A$1:$O$115,15,0)),0,VLOOKUP($S$1864,'TAR FIN'!$A$1:$O$115,15,0))</f>
        <v>0</v>
      </c>
      <c r="W1864" s="6">
        <f>IF(ISERROR(VLOOKUP($T$1864,'TAR FIN'!$A$1:$O$115,15,0)),0,VLOOKUP($T$1864,'TAR FIN'!$A$1:$O$115,15,0))</f>
        <v>463.6</v>
      </c>
      <c r="X1864" s="6">
        <f>IF(ISERROR(VLOOKUP($U$1864,'TAR FIN'!$A$1:$O$115,15,0)),0,VLOOKUP($U$1864,'TAR FIN'!$A$1:$O$115,15,0))</f>
        <v>176.58</v>
      </c>
      <c r="Y1864" s="6"/>
      <c r="Z1864" s="6">
        <f ca="1">('TUSD BE'!$AM$65+'TUSD BF'!$AM$65+'TUSD CVA'!$AM$65)*1</f>
        <v>502.21976924570083</v>
      </c>
      <c r="AA1864" s="6">
        <f>('TE BE'!$AB$48+'TE BF'!$AB$48+'TE CVA'!$AB$48)*1</f>
        <v>230.68197444058345</v>
      </c>
      <c r="AB1864" s="6">
        <f>$K$1864*$V$1864</f>
        <v>0</v>
      </c>
      <c r="AC1864" s="6">
        <f>$M$1864*$W$1864</f>
        <v>1086893.9740000002</v>
      </c>
      <c r="AD1864" s="6">
        <f>$O$1864*$X$1864</f>
        <v>413985.62970000005</v>
      </c>
      <c r="AE1864" s="6">
        <f>$K$1864*$Y$1864</f>
        <v>0</v>
      </c>
      <c r="AF1864" s="6">
        <f ca="1">$M$1864*$Z$1864</f>
        <v>1177436.671304622</v>
      </c>
      <c r="AG1864" s="6">
        <f>$O$1864*$AA$1864</f>
        <v>540825.8152068425</v>
      </c>
    </row>
    <row r="1865" spans="1:33" ht="11.25" customHeight="1" x14ac:dyDescent="0.25">
      <c r="A1865" s="4" t="s">
        <v>29</v>
      </c>
      <c r="B1865" s="4" t="s">
        <v>39</v>
      </c>
      <c r="C1865" s="4" t="s">
        <v>23</v>
      </c>
      <c r="D1865" s="4" t="s">
        <v>45</v>
      </c>
      <c r="E1865" s="4" t="s">
        <v>25</v>
      </c>
      <c r="F1865" s="4" t="s">
        <v>25</v>
      </c>
      <c r="G1865" s="4" t="s">
        <v>25</v>
      </c>
      <c r="H1865" s="4" t="s">
        <v>25</v>
      </c>
      <c r="I1865" s="5">
        <v>44652</v>
      </c>
      <c r="J1865" s="6">
        <v>0</v>
      </c>
      <c r="K1865" s="6">
        <v>0</v>
      </c>
      <c r="L1865" s="6">
        <v>-2.5739999999999998</v>
      </c>
      <c r="M1865" s="6">
        <v>-2.5739999999999998</v>
      </c>
      <c r="N1865" s="6">
        <v>-2.5739999999999998</v>
      </c>
      <c r="O1865" s="6">
        <v>-2.5739999999999998</v>
      </c>
      <c r="P1865" s="6">
        <v>0</v>
      </c>
      <c r="Q1865" s="4" t="s">
        <v>26</v>
      </c>
      <c r="R1865" s="4">
        <v>0</v>
      </c>
      <c r="S1865" s="6">
        <v>0</v>
      </c>
      <c r="T1865" s="6">
        <v>67</v>
      </c>
      <c r="U1865" s="6">
        <v>111</v>
      </c>
      <c r="V1865" s="6">
        <f>IF(ISERROR(VLOOKUP($S$1865,'TAR FIN'!$A$1:$O$115,15,0)),0,VLOOKUP($S$1865,'TAR FIN'!$A$1:$O$115,15,0))</f>
        <v>0</v>
      </c>
      <c r="W1865" s="6">
        <f>IF(ISERROR(VLOOKUP($T$1865,'TAR FIN'!$A$1:$O$115,15,0)),0,VLOOKUP($T$1865,'TAR FIN'!$A$1:$O$115,15,0))</f>
        <v>463.6</v>
      </c>
      <c r="X1865" s="6">
        <f>IF(ISERROR(VLOOKUP($U$1865,'TAR FIN'!$A$1:$O$115,15,0)),0,VLOOKUP($U$1865,'TAR FIN'!$A$1:$O$115,15,0))</f>
        <v>176.58</v>
      </c>
      <c r="Y1865" s="6"/>
      <c r="Z1865" s="6">
        <f ca="1">('TUSD BE'!$AM$65+'TUSD BF'!$AM$65+'TUSD CVA'!$AM$65)*1</f>
        <v>502.21976924570083</v>
      </c>
      <c r="AA1865" s="6">
        <f>('TE BE'!$AB$48+'TE BF'!$AB$48+'TE CVA'!$AB$48)*1</f>
        <v>230.68197444058345</v>
      </c>
      <c r="AB1865" s="6">
        <f>$K$1865*$V$1865</f>
        <v>0</v>
      </c>
      <c r="AC1865" s="6">
        <f>$M$1865*$W$1865</f>
        <v>-1193.3063999999999</v>
      </c>
      <c r="AD1865" s="6">
        <f>$O$1865*$X$1865</f>
        <v>-454.51692000000003</v>
      </c>
      <c r="AE1865" s="6">
        <f>$K$1865*$Y$1865</f>
        <v>0</v>
      </c>
      <c r="AF1865" s="6">
        <f ca="1">$M$1865*$Z$1865</f>
        <v>-1292.7136860384339</v>
      </c>
      <c r="AG1865" s="6">
        <f>$O$1865*$AA$1865</f>
        <v>-593.77540221006177</v>
      </c>
    </row>
    <row r="1866" spans="1:33" ht="11.25" customHeight="1" x14ac:dyDescent="0.25">
      <c r="A1866" s="4" t="s">
        <v>30</v>
      </c>
      <c r="B1866" s="4" t="s">
        <v>39</v>
      </c>
      <c r="C1866" s="4" t="s">
        <v>23</v>
      </c>
      <c r="D1866" s="4" t="s">
        <v>45</v>
      </c>
      <c r="E1866" s="4" t="s">
        <v>25</v>
      </c>
      <c r="F1866" s="4" t="s">
        <v>25</v>
      </c>
      <c r="G1866" s="4" t="s">
        <v>25</v>
      </c>
      <c r="H1866" s="4" t="s">
        <v>25</v>
      </c>
      <c r="I1866" s="5">
        <v>44652</v>
      </c>
      <c r="J1866" s="6">
        <v>0</v>
      </c>
      <c r="K1866" s="6">
        <v>0</v>
      </c>
      <c r="L1866" s="6">
        <v>455.43200000000002</v>
      </c>
      <c r="M1866" s="6">
        <v>455.43200000000002</v>
      </c>
      <c r="N1866" s="6">
        <v>455.43200000000002</v>
      </c>
      <c r="O1866" s="6">
        <v>455.43200000000002</v>
      </c>
      <c r="P1866" s="6">
        <v>550</v>
      </c>
      <c r="Q1866" s="4" t="s">
        <v>26</v>
      </c>
      <c r="R1866" s="4">
        <v>0</v>
      </c>
      <c r="S1866" s="6">
        <v>0</v>
      </c>
      <c r="T1866" s="6">
        <v>67</v>
      </c>
      <c r="U1866" s="6">
        <v>111</v>
      </c>
      <c r="V1866" s="6">
        <f>IF(ISERROR(VLOOKUP($S$1866,'TAR FIN'!$A$1:$O$115,15,0)),0,VLOOKUP($S$1866,'TAR FIN'!$A$1:$O$115,15,0))</f>
        <v>0</v>
      </c>
      <c r="W1866" s="6">
        <f>IF(ISERROR(VLOOKUP($T$1866,'TAR FIN'!$A$1:$O$115,15,0)),0,VLOOKUP($T$1866,'TAR FIN'!$A$1:$O$115,15,0))</f>
        <v>463.6</v>
      </c>
      <c r="X1866" s="6">
        <f>IF(ISERROR(VLOOKUP($U$1866,'TAR FIN'!$A$1:$O$115,15,0)),0,VLOOKUP($U$1866,'TAR FIN'!$A$1:$O$115,15,0))</f>
        <v>176.58</v>
      </c>
      <c r="Y1866" s="6"/>
      <c r="Z1866" s="6">
        <f ca="1">('TUSD BE'!$AM$65+'TUSD BF'!$AM$65+'TUSD CVA'!$AM$65)*1</f>
        <v>502.21976924570083</v>
      </c>
      <c r="AA1866" s="6">
        <f>('TE BE'!$AB$48+'TE BF'!$AB$48+'TE CVA'!$AB$48)*1</f>
        <v>230.68197444058345</v>
      </c>
      <c r="AB1866" s="6">
        <f>$K$1866*$V$1866</f>
        <v>0</v>
      </c>
      <c r="AC1866" s="6">
        <f>$M$1866*$W$1866</f>
        <v>211138.2752</v>
      </c>
      <c r="AD1866" s="6">
        <f>$O$1866*$X$1866</f>
        <v>80420.182560000016</v>
      </c>
      <c r="AE1866" s="6">
        <f>$K$1866*$Y$1866</f>
        <v>0</v>
      </c>
      <c r="AF1866" s="6">
        <f ca="1">$M$1866*$Z$1866</f>
        <v>228726.95394710804</v>
      </c>
      <c r="AG1866" s="6">
        <f>$O$1866*$AA$1866</f>
        <v>105059.95298342381</v>
      </c>
    </row>
    <row r="1867" spans="1:33" ht="11.25" customHeight="1" x14ac:dyDescent="0.25">
      <c r="A1867" s="4" t="s">
        <v>30</v>
      </c>
      <c r="B1867" s="4" t="s">
        <v>39</v>
      </c>
      <c r="C1867" s="4" t="s">
        <v>23</v>
      </c>
      <c r="D1867" s="4" t="s">
        <v>45</v>
      </c>
      <c r="E1867" s="4" t="s">
        <v>25</v>
      </c>
      <c r="F1867" s="4" t="s">
        <v>25</v>
      </c>
      <c r="G1867" s="4" t="s">
        <v>25</v>
      </c>
      <c r="H1867" s="4" t="s">
        <v>25</v>
      </c>
      <c r="I1867" s="5">
        <v>44652</v>
      </c>
      <c r="J1867" s="6">
        <v>0</v>
      </c>
      <c r="K1867" s="6">
        <v>0</v>
      </c>
      <c r="L1867" s="6">
        <v>-7.0460000000000003</v>
      </c>
      <c r="M1867" s="6">
        <v>-7.0460000000000003</v>
      </c>
      <c r="N1867" s="6">
        <v>-7.0460000000000003</v>
      </c>
      <c r="O1867" s="6">
        <v>-7.0460000000000003</v>
      </c>
      <c r="P1867" s="6">
        <v>0</v>
      </c>
      <c r="Q1867" s="4" t="s">
        <v>26</v>
      </c>
      <c r="R1867" s="4">
        <v>0</v>
      </c>
      <c r="S1867" s="6">
        <v>0</v>
      </c>
      <c r="T1867" s="6">
        <v>67</v>
      </c>
      <c r="U1867" s="6">
        <v>111</v>
      </c>
      <c r="V1867" s="6">
        <f>IF(ISERROR(VLOOKUP($S$1867,'TAR FIN'!$A$1:$O$115,15,0)),0,VLOOKUP($S$1867,'TAR FIN'!$A$1:$O$115,15,0))</f>
        <v>0</v>
      </c>
      <c r="W1867" s="6">
        <f>IF(ISERROR(VLOOKUP($T$1867,'TAR FIN'!$A$1:$O$115,15,0)),0,VLOOKUP($T$1867,'TAR FIN'!$A$1:$O$115,15,0))</f>
        <v>463.6</v>
      </c>
      <c r="X1867" s="6">
        <f>IF(ISERROR(VLOOKUP($U$1867,'TAR FIN'!$A$1:$O$115,15,0)),0,VLOOKUP($U$1867,'TAR FIN'!$A$1:$O$115,15,0))</f>
        <v>176.58</v>
      </c>
      <c r="Y1867" s="6"/>
      <c r="Z1867" s="6">
        <f ca="1">('TUSD BE'!$AM$65+'TUSD BF'!$AM$65+'TUSD CVA'!$AM$65)*1</f>
        <v>502.21976924570083</v>
      </c>
      <c r="AA1867" s="6">
        <f>('TE BE'!$AB$48+'TE BF'!$AB$48+'TE CVA'!$AB$48)*1</f>
        <v>230.68197444058345</v>
      </c>
      <c r="AB1867" s="6">
        <f>$K$1867*$V$1867</f>
        <v>0</v>
      </c>
      <c r="AC1867" s="6">
        <f>$M$1867*$W$1867</f>
        <v>-3266.5256000000004</v>
      </c>
      <c r="AD1867" s="6">
        <f>$O$1867*$X$1867</f>
        <v>-1244.1826800000001</v>
      </c>
      <c r="AE1867" s="6">
        <f>$K$1867*$Y$1867</f>
        <v>0</v>
      </c>
      <c r="AF1867" s="6">
        <f ca="1">$M$1867*$Z$1867</f>
        <v>-3538.6404941052083</v>
      </c>
      <c r="AG1867" s="6">
        <f>$O$1867*$AA$1867</f>
        <v>-1625.3851919083511</v>
      </c>
    </row>
    <row r="1868" spans="1:33" ht="11.25" customHeight="1" x14ac:dyDescent="0.25">
      <c r="A1868" s="4" t="s">
        <v>21</v>
      </c>
      <c r="B1868" s="4" t="s">
        <v>39</v>
      </c>
      <c r="C1868" s="4" t="s">
        <v>23</v>
      </c>
      <c r="D1868" s="4" t="s">
        <v>45</v>
      </c>
      <c r="E1868" s="4" t="s">
        <v>25</v>
      </c>
      <c r="F1868" s="4" t="s">
        <v>25</v>
      </c>
      <c r="G1868" s="4" t="s">
        <v>25</v>
      </c>
      <c r="H1868" s="4" t="s">
        <v>25</v>
      </c>
      <c r="I1868" s="5">
        <v>44682</v>
      </c>
      <c r="J1868" s="6">
        <v>0</v>
      </c>
      <c r="K1868" s="6">
        <v>0</v>
      </c>
      <c r="L1868" s="6">
        <v>9820.3739999999998</v>
      </c>
      <c r="M1868" s="6">
        <v>9820.3739999999998</v>
      </c>
      <c r="N1868" s="6">
        <v>9820.3739999999998</v>
      </c>
      <c r="O1868" s="6">
        <v>9820.3739999999998</v>
      </c>
      <c r="P1868" s="6">
        <v>17078</v>
      </c>
      <c r="Q1868" s="4" t="s">
        <v>26</v>
      </c>
      <c r="R1868" s="4">
        <v>0</v>
      </c>
      <c r="S1868" s="6">
        <v>0</v>
      </c>
      <c r="T1868" s="6">
        <v>67</v>
      </c>
      <c r="U1868" s="6">
        <v>111</v>
      </c>
      <c r="V1868" s="6">
        <f>IF(ISERROR(VLOOKUP($S$1868,'TAR FIN'!$A$1:$O$115,15,0)),0,VLOOKUP($S$1868,'TAR FIN'!$A$1:$O$115,15,0))</f>
        <v>0</v>
      </c>
      <c r="W1868" s="6">
        <f>IF(ISERROR(VLOOKUP($T$1868,'TAR FIN'!$A$1:$O$115,15,0)),0,VLOOKUP($T$1868,'TAR FIN'!$A$1:$O$115,15,0))</f>
        <v>463.6</v>
      </c>
      <c r="X1868" s="6">
        <f>IF(ISERROR(VLOOKUP($U$1868,'TAR FIN'!$A$1:$O$115,15,0)),0,VLOOKUP($U$1868,'TAR FIN'!$A$1:$O$115,15,0))</f>
        <v>176.58</v>
      </c>
      <c r="Y1868" s="6"/>
      <c r="Z1868" s="6">
        <f ca="1">('TUSD BE'!$AM$65+'TUSD BF'!$AM$65+'TUSD CVA'!$AM$65)*1</f>
        <v>502.21976924570083</v>
      </c>
      <c r="AA1868" s="6">
        <f>('TE BE'!$AB$48+'TE BF'!$AB$48+'TE CVA'!$AB$48)*1</f>
        <v>230.68197444058345</v>
      </c>
      <c r="AB1868" s="6">
        <f>$K$1868*$V$1868</f>
        <v>0</v>
      </c>
      <c r="AC1868" s="6">
        <f>$M$1868*$W$1868</f>
        <v>4552725.3864000002</v>
      </c>
      <c r="AD1868" s="6">
        <f>$O$1868*$X$1868</f>
        <v>1734081.6409200002</v>
      </c>
      <c r="AE1868" s="6">
        <f>$K$1868*$Y$1868</f>
        <v>0</v>
      </c>
      <c r="AF1868" s="6">
        <f ca="1">$M$1868*$Z$1868</f>
        <v>4931985.9641864803</v>
      </c>
      <c r="AG1868" s="6">
        <f>$O$1868*$AA$1868</f>
        <v>2265383.26406497</v>
      </c>
    </row>
    <row r="1869" spans="1:33" ht="11.25" customHeight="1" x14ac:dyDescent="0.25">
      <c r="A1869" s="4" t="s">
        <v>27</v>
      </c>
      <c r="B1869" s="4" t="s">
        <v>39</v>
      </c>
      <c r="C1869" s="4" t="s">
        <v>23</v>
      </c>
      <c r="D1869" s="4" t="s">
        <v>45</v>
      </c>
      <c r="E1869" s="4" t="s">
        <v>25</v>
      </c>
      <c r="F1869" s="4" t="s">
        <v>25</v>
      </c>
      <c r="G1869" s="4" t="s">
        <v>25</v>
      </c>
      <c r="H1869" s="4" t="s">
        <v>25</v>
      </c>
      <c r="I1869" s="5">
        <v>44682</v>
      </c>
      <c r="J1869" s="6">
        <v>0</v>
      </c>
      <c r="K1869" s="6">
        <v>0</v>
      </c>
      <c r="L1869" s="6">
        <v>-127.26900000000001</v>
      </c>
      <c r="M1869" s="6">
        <v>-127.26900000000001</v>
      </c>
      <c r="N1869" s="6">
        <v>-127.26900000000001</v>
      </c>
      <c r="O1869" s="6">
        <v>-127.26900000000001</v>
      </c>
      <c r="P1869" s="6">
        <v>-41</v>
      </c>
      <c r="Q1869" s="4" t="s">
        <v>26</v>
      </c>
      <c r="R1869" s="4">
        <v>0</v>
      </c>
      <c r="S1869" s="6">
        <v>0</v>
      </c>
      <c r="T1869" s="6">
        <v>67</v>
      </c>
      <c r="U1869" s="6">
        <v>111</v>
      </c>
      <c r="V1869" s="6">
        <f>IF(ISERROR(VLOOKUP($S$1869,'TAR FIN'!$A$1:$O$115,15,0)),0,VLOOKUP($S$1869,'TAR FIN'!$A$1:$O$115,15,0))</f>
        <v>0</v>
      </c>
      <c r="W1869" s="6">
        <f>IF(ISERROR(VLOOKUP($T$1869,'TAR FIN'!$A$1:$O$115,15,0)),0,VLOOKUP($T$1869,'TAR FIN'!$A$1:$O$115,15,0))</f>
        <v>463.6</v>
      </c>
      <c r="X1869" s="6">
        <f>IF(ISERROR(VLOOKUP($U$1869,'TAR FIN'!$A$1:$O$115,15,0)),0,VLOOKUP($U$1869,'TAR FIN'!$A$1:$O$115,15,0))</f>
        <v>176.58</v>
      </c>
      <c r="Y1869" s="6"/>
      <c r="Z1869" s="6">
        <f ca="1">('TUSD BE'!$AM$65+'TUSD BF'!$AM$65+'TUSD CVA'!$AM$65)*1</f>
        <v>502.21976924570083</v>
      </c>
      <c r="AA1869" s="6">
        <f>('TE BE'!$AB$48+'TE BF'!$AB$48+'TE CVA'!$AB$48)*1</f>
        <v>230.68197444058345</v>
      </c>
      <c r="AB1869" s="6">
        <f>$K$1869*$V$1869</f>
        <v>0</v>
      </c>
      <c r="AC1869" s="6">
        <f>$M$1869*$W$1869</f>
        <v>-59001.908400000008</v>
      </c>
      <c r="AD1869" s="6">
        <f>$O$1869*$X$1869</f>
        <v>-22473.160020000003</v>
      </c>
      <c r="AE1869" s="6">
        <f>$K$1869*$Y$1869</f>
        <v>0</v>
      </c>
      <c r="AF1869" s="6">
        <f ca="1">$M$1869*$Z$1869</f>
        <v>-63917.007812131102</v>
      </c>
      <c r="AG1869" s="6">
        <f>$O$1869*$AA$1869</f>
        <v>-29358.664205078614</v>
      </c>
    </row>
    <row r="1870" spans="1:33" ht="11.25" customHeight="1" x14ac:dyDescent="0.25">
      <c r="A1870" s="4" t="s">
        <v>28</v>
      </c>
      <c r="B1870" s="4" t="s">
        <v>39</v>
      </c>
      <c r="C1870" s="4" t="s">
        <v>23</v>
      </c>
      <c r="D1870" s="4" t="s">
        <v>45</v>
      </c>
      <c r="E1870" s="4" t="s">
        <v>25</v>
      </c>
      <c r="F1870" s="4" t="s">
        <v>25</v>
      </c>
      <c r="G1870" s="4" t="s">
        <v>25</v>
      </c>
      <c r="H1870" s="4" t="s">
        <v>25</v>
      </c>
      <c r="I1870" s="5">
        <v>44682</v>
      </c>
      <c r="J1870" s="6">
        <v>0</v>
      </c>
      <c r="K1870" s="6">
        <v>0</v>
      </c>
      <c r="L1870" s="6">
        <v>2360.4650000000001</v>
      </c>
      <c r="M1870" s="6">
        <v>2360.4650000000001</v>
      </c>
      <c r="N1870" s="6">
        <v>2360.4650000000001</v>
      </c>
      <c r="O1870" s="6">
        <v>2360.4650000000001</v>
      </c>
      <c r="P1870" s="6">
        <v>4977</v>
      </c>
      <c r="Q1870" s="4" t="s">
        <v>26</v>
      </c>
      <c r="R1870" s="4">
        <v>0</v>
      </c>
      <c r="S1870" s="6">
        <v>0</v>
      </c>
      <c r="T1870" s="6">
        <v>67</v>
      </c>
      <c r="U1870" s="6">
        <v>111</v>
      </c>
      <c r="V1870" s="6">
        <f>IF(ISERROR(VLOOKUP($S$1870,'TAR FIN'!$A$1:$O$115,15,0)),0,VLOOKUP($S$1870,'TAR FIN'!$A$1:$O$115,15,0))</f>
        <v>0</v>
      </c>
      <c r="W1870" s="6">
        <f>IF(ISERROR(VLOOKUP($T$1870,'TAR FIN'!$A$1:$O$115,15,0)),0,VLOOKUP($T$1870,'TAR FIN'!$A$1:$O$115,15,0))</f>
        <v>463.6</v>
      </c>
      <c r="X1870" s="6">
        <f>IF(ISERROR(VLOOKUP($U$1870,'TAR FIN'!$A$1:$O$115,15,0)),0,VLOOKUP($U$1870,'TAR FIN'!$A$1:$O$115,15,0))</f>
        <v>176.58</v>
      </c>
      <c r="Y1870" s="6"/>
      <c r="Z1870" s="6">
        <f ca="1">('TUSD BE'!$AM$65+'TUSD BF'!$AM$65+'TUSD CVA'!$AM$65)*1</f>
        <v>502.21976924570083</v>
      </c>
      <c r="AA1870" s="6">
        <f>('TE BE'!$AB$48+'TE BF'!$AB$48+'TE CVA'!$AB$48)*1</f>
        <v>230.68197444058345</v>
      </c>
      <c r="AB1870" s="6">
        <f>$K$1870*$V$1870</f>
        <v>0</v>
      </c>
      <c r="AC1870" s="6">
        <f>$M$1870*$W$1870</f>
        <v>1094311.574</v>
      </c>
      <c r="AD1870" s="6">
        <f>$O$1870*$X$1870</f>
        <v>416810.90970000008</v>
      </c>
      <c r="AE1870" s="6">
        <f>$K$1870*$Y$1870</f>
        <v>0</v>
      </c>
      <c r="AF1870" s="6">
        <f ca="1">$M$1870*$Z$1870</f>
        <v>1185472.1876125534</v>
      </c>
      <c r="AG1870" s="6">
        <f>$O$1870*$AA$1870</f>
        <v>544516.72679789178</v>
      </c>
    </row>
    <row r="1871" spans="1:33" ht="11.25" customHeight="1" x14ac:dyDescent="0.25">
      <c r="A1871" s="4" t="s">
        <v>29</v>
      </c>
      <c r="B1871" s="4" t="s">
        <v>39</v>
      </c>
      <c r="C1871" s="4" t="s">
        <v>23</v>
      </c>
      <c r="D1871" s="4" t="s">
        <v>45</v>
      </c>
      <c r="E1871" s="4" t="s">
        <v>25</v>
      </c>
      <c r="F1871" s="4" t="s">
        <v>25</v>
      </c>
      <c r="G1871" s="4" t="s">
        <v>25</v>
      </c>
      <c r="H1871" s="4" t="s">
        <v>25</v>
      </c>
      <c r="I1871" s="5">
        <v>44682</v>
      </c>
      <c r="J1871" s="6">
        <v>0</v>
      </c>
      <c r="K1871" s="6">
        <v>0</v>
      </c>
      <c r="L1871" s="6">
        <v>-0.315</v>
      </c>
      <c r="M1871" s="6">
        <v>-0.315</v>
      </c>
      <c r="N1871" s="6">
        <v>-0.315</v>
      </c>
      <c r="O1871" s="6">
        <v>-0.315</v>
      </c>
      <c r="P1871" s="6">
        <v>0</v>
      </c>
      <c r="Q1871" s="4" t="s">
        <v>26</v>
      </c>
      <c r="R1871" s="4">
        <v>0</v>
      </c>
      <c r="S1871" s="6">
        <v>0</v>
      </c>
      <c r="T1871" s="6">
        <v>67</v>
      </c>
      <c r="U1871" s="6">
        <v>111</v>
      </c>
      <c r="V1871" s="6">
        <f>IF(ISERROR(VLOOKUP($S$1871,'TAR FIN'!$A$1:$O$115,15,0)),0,VLOOKUP($S$1871,'TAR FIN'!$A$1:$O$115,15,0))</f>
        <v>0</v>
      </c>
      <c r="W1871" s="6">
        <f>IF(ISERROR(VLOOKUP($T$1871,'TAR FIN'!$A$1:$O$115,15,0)),0,VLOOKUP($T$1871,'TAR FIN'!$A$1:$O$115,15,0))</f>
        <v>463.6</v>
      </c>
      <c r="X1871" s="6">
        <f>IF(ISERROR(VLOOKUP($U$1871,'TAR FIN'!$A$1:$O$115,15,0)),0,VLOOKUP($U$1871,'TAR FIN'!$A$1:$O$115,15,0))</f>
        <v>176.58</v>
      </c>
      <c r="Y1871" s="6"/>
      <c r="Z1871" s="6">
        <f ca="1">('TUSD BE'!$AM$65+'TUSD BF'!$AM$65+'TUSD CVA'!$AM$65)*1</f>
        <v>502.21976924570083</v>
      </c>
      <c r="AA1871" s="6">
        <f>('TE BE'!$AB$48+'TE BF'!$AB$48+'TE CVA'!$AB$48)*1</f>
        <v>230.68197444058345</v>
      </c>
      <c r="AB1871" s="6">
        <f>$K$1871*$V$1871</f>
        <v>0</v>
      </c>
      <c r="AC1871" s="6">
        <f>$M$1871*$W$1871</f>
        <v>-146.03400000000002</v>
      </c>
      <c r="AD1871" s="6">
        <f>$O$1871*$X$1871</f>
        <v>-55.622700000000002</v>
      </c>
      <c r="AE1871" s="6">
        <f>$K$1871*$Y$1871</f>
        <v>0</v>
      </c>
      <c r="AF1871" s="6">
        <f ca="1">$M$1871*$Z$1871</f>
        <v>-158.19922731239575</v>
      </c>
      <c r="AG1871" s="6">
        <f>$O$1871*$AA$1871</f>
        <v>-72.664821948783782</v>
      </c>
    </row>
    <row r="1872" spans="1:33" ht="11.25" customHeight="1" x14ac:dyDescent="0.25">
      <c r="A1872" s="4" t="s">
        <v>30</v>
      </c>
      <c r="B1872" s="4" t="s">
        <v>39</v>
      </c>
      <c r="C1872" s="4" t="s">
        <v>23</v>
      </c>
      <c r="D1872" s="4" t="s">
        <v>45</v>
      </c>
      <c r="E1872" s="4" t="s">
        <v>25</v>
      </c>
      <c r="F1872" s="4" t="s">
        <v>25</v>
      </c>
      <c r="G1872" s="4" t="s">
        <v>25</v>
      </c>
      <c r="H1872" s="4" t="s">
        <v>25</v>
      </c>
      <c r="I1872" s="5">
        <v>44682</v>
      </c>
      <c r="J1872" s="6">
        <v>0</v>
      </c>
      <c r="K1872" s="6">
        <v>0</v>
      </c>
      <c r="L1872" s="6">
        <v>440.52600000000001</v>
      </c>
      <c r="M1872" s="6">
        <v>440.52600000000001</v>
      </c>
      <c r="N1872" s="6">
        <v>440.52600000000001</v>
      </c>
      <c r="O1872" s="6">
        <v>440.52600000000001</v>
      </c>
      <c r="P1872" s="6">
        <v>590</v>
      </c>
      <c r="Q1872" s="4" t="s">
        <v>26</v>
      </c>
      <c r="R1872" s="4">
        <v>0</v>
      </c>
      <c r="S1872" s="6">
        <v>0</v>
      </c>
      <c r="T1872" s="6">
        <v>67</v>
      </c>
      <c r="U1872" s="6">
        <v>111</v>
      </c>
      <c r="V1872" s="6">
        <f>IF(ISERROR(VLOOKUP($S$1872,'TAR FIN'!$A$1:$O$115,15,0)),0,VLOOKUP($S$1872,'TAR FIN'!$A$1:$O$115,15,0))</f>
        <v>0</v>
      </c>
      <c r="W1872" s="6">
        <f>IF(ISERROR(VLOOKUP($T$1872,'TAR FIN'!$A$1:$O$115,15,0)),0,VLOOKUP($T$1872,'TAR FIN'!$A$1:$O$115,15,0))</f>
        <v>463.6</v>
      </c>
      <c r="X1872" s="6">
        <f>IF(ISERROR(VLOOKUP($U$1872,'TAR FIN'!$A$1:$O$115,15,0)),0,VLOOKUP($U$1872,'TAR FIN'!$A$1:$O$115,15,0))</f>
        <v>176.58</v>
      </c>
      <c r="Y1872" s="6"/>
      <c r="Z1872" s="6">
        <f ca="1">('TUSD BE'!$AM$65+'TUSD BF'!$AM$65+'TUSD CVA'!$AM$65)*1</f>
        <v>502.21976924570083</v>
      </c>
      <c r="AA1872" s="6">
        <f>('TE BE'!$AB$48+'TE BF'!$AB$48+'TE CVA'!$AB$48)*1</f>
        <v>230.68197444058345</v>
      </c>
      <c r="AB1872" s="6">
        <f>$K$1872*$V$1872</f>
        <v>0</v>
      </c>
      <c r="AC1872" s="6">
        <f>$M$1872*$W$1872</f>
        <v>204227.8536</v>
      </c>
      <c r="AD1872" s="6">
        <f>$O$1872*$X$1872</f>
        <v>77788.081080000004</v>
      </c>
      <c r="AE1872" s="6">
        <f>$K$1872*$Y$1872</f>
        <v>0</v>
      </c>
      <c r="AF1872" s="6">
        <f ca="1">$M$1872*$Z$1872</f>
        <v>221240.8660667316</v>
      </c>
      <c r="AG1872" s="6">
        <f>$O$1872*$AA$1872</f>
        <v>101621.40747241247</v>
      </c>
    </row>
    <row r="1873" spans="1:33" ht="11.25" customHeight="1" x14ac:dyDescent="0.25">
      <c r="A1873" s="4" t="s">
        <v>30</v>
      </c>
      <c r="B1873" s="4" t="s">
        <v>39</v>
      </c>
      <c r="C1873" s="4" t="s">
        <v>23</v>
      </c>
      <c r="D1873" s="4" t="s">
        <v>45</v>
      </c>
      <c r="E1873" s="4" t="s">
        <v>25</v>
      </c>
      <c r="F1873" s="4" t="s">
        <v>25</v>
      </c>
      <c r="G1873" s="4" t="s">
        <v>25</v>
      </c>
      <c r="H1873" s="4" t="s">
        <v>25</v>
      </c>
      <c r="I1873" s="5">
        <v>44682</v>
      </c>
      <c r="J1873" s="6">
        <v>0</v>
      </c>
      <c r="K1873" s="6">
        <v>0</v>
      </c>
      <c r="L1873" s="6">
        <v>-0.76300000000000001</v>
      </c>
      <c r="M1873" s="6">
        <v>-0.76300000000000001</v>
      </c>
      <c r="N1873" s="6">
        <v>-0.76300000000000001</v>
      </c>
      <c r="O1873" s="6">
        <v>-0.76300000000000001</v>
      </c>
      <c r="P1873" s="6">
        <v>0</v>
      </c>
      <c r="Q1873" s="4" t="s">
        <v>26</v>
      </c>
      <c r="R1873" s="4">
        <v>0</v>
      </c>
      <c r="S1873" s="6">
        <v>0</v>
      </c>
      <c r="T1873" s="6">
        <v>67</v>
      </c>
      <c r="U1873" s="6">
        <v>111</v>
      </c>
      <c r="V1873" s="6">
        <f>IF(ISERROR(VLOOKUP($S$1873,'TAR FIN'!$A$1:$O$115,15,0)),0,VLOOKUP($S$1873,'TAR FIN'!$A$1:$O$115,15,0))</f>
        <v>0</v>
      </c>
      <c r="W1873" s="6">
        <f>IF(ISERROR(VLOOKUP($T$1873,'TAR FIN'!$A$1:$O$115,15,0)),0,VLOOKUP($T$1873,'TAR FIN'!$A$1:$O$115,15,0))</f>
        <v>463.6</v>
      </c>
      <c r="X1873" s="6">
        <f>IF(ISERROR(VLOOKUP($U$1873,'TAR FIN'!$A$1:$O$115,15,0)),0,VLOOKUP($U$1873,'TAR FIN'!$A$1:$O$115,15,0))</f>
        <v>176.58</v>
      </c>
      <c r="Y1873" s="6"/>
      <c r="Z1873" s="6">
        <f ca="1">('TUSD BE'!$AM$65+'TUSD BF'!$AM$65+'TUSD CVA'!$AM$65)*1</f>
        <v>502.21976924570083</v>
      </c>
      <c r="AA1873" s="6">
        <f>('TE BE'!$AB$48+'TE BF'!$AB$48+'TE CVA'!$AB$48)*1</f>
        <v>230.68197444058345</v>
      </c>
      <c r="AB1873" s="6">
        <f>$K$1873*$V$1873</f>
        <v>0</v>
      </c>
      <c r="AC1873" s="6">
        <f>$M$1873*$W$1873</f>
        <v>-353.72680000000003</v>
      </c>
      <c r="AD1873" s="6">
        <f>$O$1873*$X$1873</f>
        <v>-134.73054000000002</v>
      </c>
      <c r="AE1873" s="6">
        <f>$K$1873*$Y$1873</f>
        <v>0</v>
      </c>
      <c r="AF1873" s="6">
        <f ca="1">$M$1873*$Z$1873</f>
        <v>-383.19368393446973</v>
      </c>
      <c r="AG1873" s="6">
        <f>$O$1873*$AA$1873</f>
        <v>-176.01034649816518</v>
      </c>
    </row>
    <row r="1874" spans="1:33" ht="11.25" customHeight="1" x14ac:dyDescent="0.25">
      <c r="A1874" s="4" t="s">
        <v>21</v>
      </c>
      <c r="B1874" s="4" t="s">
        <v>39</v>
      </c>
      <c r="C1874" s="4" t="s">
        <v>23</v>
      </c>
      <c r="D1874" s="4" t="s">
        <v>45</v>
      </c>
      <c r="E1874" s="4" t="s">
        <v>25</v>
      </c>
      <c r="F1874" s="4" t="s">
        <v>25</v>
      </c>
      <c r="G1874" s="4" t="s">
        <v>25</v>
      </c>
      <c r="H1874" s="4" t="s">
        <v>25</v>
      </c>
      <c r="I1874" s="5">
        <v>44713</v>
      </c>
      <c r="J1874" s="6">
        <v>0</v>
      </c>
      <c r="K1874" s="6">
        <v>0</v>
      </c>
      <c r="L1874" s="6">
        <v>9055.1980000000003</v>
      </c>
      <c r="M1874" s="6">
        <v>9055.1980000000003</v>
      </c>
      <c r="N1874" s="6">
        <v>9055.1980000000003</v>
      </c>
      <c r="O1874" s="6">
        <v>9055.1980000000003</v>
      </c>
      <c r="P1874" s="6">
        <v>17081</v>
      </c>
      <c r="Q1874" s="4" t="s">
        <v>26</v>
      </c>
      <c r="R1874" s="4">
        <v>0</v>
      </c>
      <c r="S1874" s="6">
        <v>0</v>
      </c>
      <c r="T1874" s="6">
        <v>67</v>
      </c>
      <c r="U1874" s="6">
        <v>111</v>
      </c>
      <c r="V1874" s="6">
        <f>IF(ISERROR(VLOOKUP($S$1874,'TAR FIN'!$A$1:$O$115,15,0)),0,VLOOKUP($S$1874,'TAR FIN'!$A$1:$O$115,15,0))</f>
        <v>0</v>
      </c>
      <c r="W1874" s="6">
        <f>IF(ISERROR(VLOOKUP($T$1874,'TAR FIN'!$A$1:$O$115,15,0)),0,VLOOKUP($T$1874,'TAR FIN'!$A$1:$O$115,15,0))</f>
        <v>463.6</v>
      </c>
      <c r="X1874" s="6">
        <f>IF(ISERROR(VLOOKUP($U$1874,'TAR FIN'!$A$1:$O$115,15,0)),0,VLOOKUP($U$1874,'TAR FIN'!$A$1:$O$115,15,0))</f>
        <v>176.58</v>
      </c>
      <c r="Y1874" s="6"/>
      <c r="Z1874" s="6">
        <f ca="1">('TUSD BE'!$AM$65+'TUSD BF'!$AM$65+'TUSD CVA'!$AM$65)*1</f>
        <v>502.21976924570083</v>
      </c>
      <c r="AA1874" s="6">
        <f>('TE BE'!$AB$48+'TE BF'!$AB$48+'TE CVA'!$AB$48)*1</f>
        <v>230.68197444058345</v>
      </c>
      <c r="AB1874" s="6">
        <f>$K$1874*$V$1874</f>
        <v>0</v>
      </c>
      <c r="AC1874" s="6">
        <f>$M$1874*$W$1874</f>
        <v>4197989.7927999999</v>
      </c>
      <c r="AD1874" s="6">
        <f>$O$1874*$X$1874</f>
        <v>1598966.8628400001</v>
      </c>
      <c r="AE1874" s="6">
        <f>$K$1874*$Y$1874</f>
        <v>0</v>
      </c>
      <c r="AF1874" s="6">
        <f ca="1">$M$1874*$Z$1874</f>
        <v>4547699.4500341322</v>
      </c>
      <c r="AG1874" s="6">
        <f>$O$1874*$AA$1874</f>
        <v>2088870.9535904224</v>
      </c>
    </row>
    <row r="1875" spans="1:33" ht="11.25" customHeight="1" x14ac:dyDescent="0.25">
      <c r="A1875" s="4" t="s">
        <v>27</v>
      </c>
      <c r="B1875" s="4" t="s">
        <v>39</v>
      </c>
      <c r="C1875" s="4" t="s">
        <v>23</v>
      </c>
      <c r="D1875" s="4" t="s">
        <v>45</v>
      </c>
      <c r="E1875" s="4" t="s">
        <v>25</v>
      </c>
      <c r="F1875" s="4" t="s">
        <v>25</v>
      </c>
      <c r="G1875" s="4" t="s">
        <v>25</v>
      </c>
      <c r="H1875" s="4" t="s">
        <v>25</v>
      </c>
      <c r="I1875" s="5">
        <v>44713</v>
      </c>
      <c r="J1875" s="6">
        <v>0</v>
      </c>
      <c r="K1875" s="6">
        <v>0</v>
      </c>
      <c r="L1875" s="6">
        <v>-12.457000000000001</v>
      </c>
      <c r="M1875" s="6">
        <v>-12.457000000000001</v>
      </c>
      <c r="N1875" s="6">
        <v>-12.457000000000001</v>
      </c>
      <c r="O1875" s="6">
        <v>-12.457000000000001</v>
      </c>
      <c r="P1875" s="6">
        <v>-14</v>
      </c>
      <c r="Q1875" s="4" t="s">
        <v>26</v>
      </c>
      <c r="R1875" s="4">
        <v>0</v>
      </c>
      <c r="S1875" s="6">
        <v>0</v>
      </c>
      <c r="T1875" s="6">
        <v>67</v>
      </c>
      <c r="U1875" s="6">
        <v>111</v>
      </c>
      <c r="V1875" s="6">
        <f>IF(ISERROR(VLOOKUP($S$1875,'TAR FIN'!$A$1:$O$115,15,0)),0,VLOOKUP($S$1875,'TAR FIN'!$A$1:$O$115,15,0))</f>
        <v>0</v>
      </c>
      <c r="W1875" s="6">
        <f>IF(ISERROR(VLOOKUP($T$1875,'TAR FIN'!$A$1:$O$115,15,0)),0,VLOOKUP($T$1875,'TAR FIN'!$A$1:$O$115,15,0))</f>
        <v>463.6</v>
      </c>
      <c r="X1875" s="6">
        <f>IF(ISERROR(VLOOKUP($U$1875,'TAR FIN'!$A$1:$O$115,15,0)),0,VLOOKUP($U$1875,'TAR FIN'!$A$1:$O$115,15,0))</f>
        <v>176.58</v>
      </c>
      <c r="Y1875" s="6"/>
      <c r="Z1875" s="6">
        <f ca="1">('TUSD BE'!$AM$65+'TUSD BF'!$AM$65+'TUSD CVA'!$AM$65)*1</f>
        <v>502.21976924570083</v>
      </c>
      <c r="AA1875" s="6">
        <f>('TE BE'!$AB$48+'TE BF'!$AB$48+'TE CVA'!$AB$48)*1</f>
        <v>230.68197444058345</v>
      </c>
      <c r="AB1875" s="6">
        <f>$K$1875*$V$1875</f>
        <v>0</v>
      </c>
      <c r="AC1875" s="6">
        <f>$M$1875*$W$1875</f>
        <v>-5775.0652000000009</v>
      </c>
      <c r="AD1875" s="6">
        <f>$O$1875*$X$1875</f>
        <v>-2199.6570600000005</v>
      </c>
      <c r="AE1875" s="6">
        <f>$K$1875*$Y$1875</f>
        <v>0</v>
      </c>
      <c r="AF1875" s="6">
        <f ca="1">$M$1875*$Z$1875</f>
        <v>-6256.1516654936959</v>
      </c>
      <c r="AG1875" s="6">
        <f>$O$1875*$AA$1875</f>
        <v>-2873.605355606348</v>
      </c>
    </row>
    <row r="1876" spans="1:33" ht="11.25" customHeight="1" x14ac:dyDescent="0.25">
      <c r="A1876" s="4" t="s">
        <v>28</v>
      </c>
      <c r="B1876" s="4" t="s">
        <v>39</v>
      </c>
      <c r="C1876" s="4" t="s">
        <v>23</v>
      </c>
      <c r="D1876" s="4" t="s">
        <v>45</v>
      </c>
      <c r="E1876" s="4" t="s">
        <v>25</v>
      </c>
      <c r="F1876" s="4" t="s">
        <v>25</v>
      </c>
      <c r="G1876" s="4" t="s">
        <v>25</v>
      </c>
      <c r="H1876" s="4" t="s">
        <v>25</v>
      </c>
      <c r="I1876" s="5">
        <v>44713</v>
      </c>
      <c r="J1876" s="6">
        <v>0</v>
      </c>
      <c r="K1876" s="6">
        <v>0</v>
      </c>
      <c r="L1876" s="6">
        <v>2249.4110000000001</v>
      </c>
      <c r="M1876" s="6">
        <v>2249.4110000000001</v>
      </c>
      <c r="N1876" s="6">
        <v>2249.4110000000001</v>
      </c>
      <c r="O1876" s="6">
        <v>2249.4110000000001</v>
      </c>
      <c r="P1876" s="6">
        <v>4993</v>
      </c>
      <c r="Q1876" s="4" t="s">
        <v>26</v>
      </c>
      <c r="R1876" s="4">
        <v>0</v>
      </c>
      <c r="S1876" s="6">
        <v>0</v>
      </c>
      <c r="T1876" s="6">
        <v>67</v>
      </c>
      <c r="U1876" s="6">
        <v>111</v>
      </c>
      <c r="V1876" s="6">
        <f>IF(ISERROR(VLOOKUP($S$1876,'TAR FIN'!$A$1:$O$115,15,0)),0,VLOOKUP($S$1876,'TAR FIN'!$A$1:$O$115,15,0))</f>
        <v>0</v>
      </c>
      <c r="W1876" s="6">
        <f>IF(ISERROR(VLOOKUP($T$1876,'TAR FIN'!$A$1:$O$115,15,0)),0,VLOOKUP($T$1876,'TAR FIN'!$A$1:$O$115,15,0))</f>
        <v>463.6</v>
      </c>
      <c r="X1876" s="6">
        <f>IF(ISERROR(VLOOKUP($U$1876,'TAR FIN'!$A$1:$O$115,15,0)),0,VLOOKUP($U$1876,'TAR FIN'!$A$1:$O$115,15,0))</f>
        <v>176.58</v>
      </c>
      <c r="Y1876" s="6"/>
      <c r="Z1876" s="6">
        <f ca="1">('TUSD BE'!$AM$65+'TUSD BF'!$AM$65+'TUSD CVA'!$AM$65)*1</f>
        <v>502.21976924570083</v>
      </c>
      <c r="AA1876" s="6">
        <f>('TE BE'!$AB$48+'TE BF'!$AB$48+'TE CVA'!$AB$48)*1</f>
        <v>230.68197444058345</v>
      </c>
      <c r="AB1876" s="6">
        <f>$K$1876*$V$1876</f>
        <v>0</v>
      </c>
      <c r="AC1876" s="6">
        <f>$M$1876*$W$1876</f>
        <v>1042826.9396</v>
      </c>
      <c r="AD1876" s="6">
        <f>$O$1876*$X$1876</f>
        <v>397200.99438000005</v>
      </c>
      <c r="AE1876" s="6">
        <f>$K$1876*$Y$1876</f>
        <v>0</v>
      </c>
      <c r="AF1876" s="6">
        <f ca="1">$M$1876*$Z$1876</f>
        <v>1129698.6733587412</v>
      </c>
      <c r="AG1876" s="6">
        <f>$O$1876*$AA$1876</f>
        <v>518898.57080836728</v>
      </c>
    </row>
    <row r="1877" spans="1:33" ht="11.25" customHeight="1" x14ac:dyDescent="0.25">
      <c r="A1877" s="4" t="s">
        <v>29</v>
      </c>
      <c r="B1877" s="4" t="s">
        <v>39</v>
      </c>
      <c r="C1877" s="4" t="s">
        <v>23</v>
      </c>
      <c r="D1877" s="4" t="s">
        <v>45</v>
      </c>
      <c r="E1877" s="4" t="s">
        <v>25</v>
      </c>
      <c r="F1877" s="4" t="s">
        <v>25</v>
      </c>
      <c r="G1877" s="4" t="s">
        <v>25</v>
      </c>
      <c r="H1877" s="4" t="s">
        <v>25</v>
      </c>
      <c r="I1877" s="5">
        <v>44713</v>
      </c>
      <c r="J1877" s="6">
        <v>0</v>
      </c>
      <c r="K1877" s="6">
        <v>0</v>
      </c>
      <c r="L1877" s="6">
        <v>-5.3479999999999999</v>
      </c>
      <c r="M1877" s="6">
        <v>-5.3479999999999999</v>
      </c>
      <c r="N1877" s="6">
        <v>-5.3479999999999999</v>
      </c>
      <c r="O1877" s="6">
        <v>-5.3479999999999999</v>
      </c>
      <c r="P1877" s="6">
        <v>-2</v>
      </c>
      <c r="Q1877" s="4" t="s">
        <v>26</v>
      </c>
      <c r="R1877" s="4">
        <v>0</v>
      </c>
      <c r="S1877" s="6">
        <v>0</v>
      </c>
      <c r="T1877" s="6">
        <v>67</v>
      </c>
      <c r="U1877" s="6">
        <v>111</v>
      </c>
      <c r="V1877" s="6">
        <f>IF(ISERROR(VLOOKUP($S$1877,'TAR FIN'!$A$1:$O$115,15,0)),0,VLOOKUP($S$1877,'TAR FIN'!$A$1:$O$115,15,0))</f>
        <v>0</v>
      </c>
      <c r="W1877" s="6">
        <f>IF(ISERROR(VLOOKUP($T$1877,'TAR FIN'!$A$1:$O$115,15,0)),0,VLOOKUP($T$1877,'TAR FIN'!$A$1:$O$115,15,0))</f>
        <v>463.6</v>
      </c>
      <c r="X1877" s="6">
        <f>IF(ISERROR(VLOOKUP($U$1877,'TAR FIN'!$A$1:$O$115,15,0)),0,VLOOKUP($U$1877,'TAR FIN'!$A$1:$O$115,15,0))</f>
        <v>176.58</v>
      </c>
      <c r="Y1877" s="6"/>
      <c r="Z1877" s="6">
        <f ca="1">('TUSD BE'!$AM$65+'TUSD BF'!$AM$65+'TUSD CVA'!$AM$65)*1</f>
        <v>502.21976924570083</v>
      </c>
      <c r="AA1877" s="6">
        <f>('TE BE'!$AB$48+'TE BF'!$AB$48+'TE CVA'!$AB$48)*1</f>
        <v>230.68197444058345</v>
      </c>
      <c r="AB1877" s="6">
        <f>$K$1877*$V$1877</f>
        <v>0</v>
      </c>
      <c r="AC1877" s="6">
        <f>$M$1877*$W$1877</f>
        <v>-2479.3328000000001</v>
      </c>
      <c r="AD1877" s="6">
        <f>$O$1877*$X$1877</f>
        <v>-944.34984000000009</v>
      </c>
      <c r="AE1877" s="6">
        <f>$K$1877*$Y$1877</f>
        <v>0</v>
      </c>
      <c r="AF1877" s="6">
        <f ca="1">$M$1877*$Z$1877</f>
        <v>-2685.871325926008</v>
      </c>
      <c r="AG1877" s="6">
        <f>$O$1877*$AA$1877</f>
        <v>-1233.6871993082402</v>
      </c>
    </row>
    <row r="1878" spans="1:33" ht="11.25" customHeight="1" x14ac:dyDescent="0.25">
      <c r="A1878" s="4" t="s">
        <v>30</v>
      </c>
      <c r="B1878" s="4" t="s">
        <v>39</v>
      </c>
      <c r="C1878" s="4" t="s">
        <v>23</v>
      </c>
      <c r="D1878" s="4" t="s">
        <v>45</v>
      </c>
      <c r="E1878" s="4" t="s">
        <v>25</v>
      </c>
      <c r="F1878" s="4" t="s">
        <v>25</v>
      </c>
      <c r="G1878" s="4" t="s">
        <v>25</v>
      </c>
      <c r="H1878" s="4" t="s">
        <v>25</v>
      </c>
      <c r="I1878" s="5">
        <v>44713</v>
      </c>
      <c r="J1878" s="6">
        <v>0</v>
      </c>
      <c r="K1878" s="6">
        <v>0</v>
      </c>
      <c r="L1878" s="6">
        <v>484.36599999999999</v>
      </c>
      <c r="M1878" s="6">
        <v>484.36599999999999</v>
      </c>
      <c r="N1878" s="6">
        <v>484.36599999999999</v>
      </c>
      <c r="O1878" s="6">
        <v>484.36599999999999</v>
      </c>
      <c r="P1878" s="6">
        <v>620</v>
      </c>
      <c r="Q1878" s="4" t="s">
        <v>26</v>
      </c>
      <c r="R1878" s="4">
        <v>0</v>
      </c>
      <c r="S1878" s="6">
        <v>0</v>
      </c>
      <c r="T1878" s="6">
        <v>67</v>
      </c>
      <c r="U1878" s="6">
        <v>111</v>
      </c>
      <c r="V1878" s="6">
        <f>IF(ISERROR(VLOOKUP($S$1878,'TAR FIN'!$A$1:$O$115,15,0)),0,VLOOKUP($S$1878,'TAR FIN'!$A$1:$O$115,15,0))</f>
        <v>0</v>
      </c>
      <c r="W1878" s="6">
        <f>IF(ISERROR(VLOOKUP($T$1878,'TAR FIN'!$A$1:$O$115,15,0)),0,VLOOKUP($T$1878,'TAR FIN'!$A$1:$O$115,15,0))</f>
        <v>463.6</v>
      </c>
      <c r="X1878" s="6">
        <f>IF(ISERROR(VLOOKUP($U$1878,'TAR FIN'!$A$1:$O$115,15,0)),0,VLOOKUP($U$1878,'TAR FIN'!$A$1:$O$115,15,0))</f>
        <v>176.58</v>
      </c>
      <c r="Y1878" s="6"/>
      <c r="Z1878" s="6">
        <f ca="1">('TUSD BE'!$AM$65+'TUSD BF'!$AM$65+'TUSD CVA'!$AM$65)*1</f>
        <v>502.21976924570083</v>
      </c>
      <c r="AA1878" s="6">
        <f>('TE BE'!$AB$48+'TE BF'!$AB$48+'TE CVA'!$AB$48)*1</f>
        <v>230.68197444058345</v>
      </c>
      <c r="AB1878" s="6">
        <f>$K$1878*$V$1878</f>
        <v>0</v>
      </c>
      <c r="AC1878" s="6">
        <f>$M$1878*$W$1878</f>
        <v>224552.07760000002</v>
      </c>
      <c r="AD1878" s="6">
        <f>$O$1878*$X$1878</f>
        <v>85529.348280000006</v>
      </c>
      <c r="AE1878" s="6">
        <f>$K$1878*$Y$1878</f>
        <v>0</v>
      </c>
      <c r="AF1878" s="6">
        <f ca="1">$M$1878*$Z$1878</f>
        <v>243258.18075046313</v>
      </c>
      <c r="AG1878" s="6">
        <f>$O$1878*$AA$1878</f>
        <v>111734.50523188764</v>
      </c>
    </row>
    <row r="1879" spans="1:33" ht="11.25" customHeight="1" x14ac:dyDescent="0.25">
      <c r="A1879" s="4" t="s">
        <v>30</v>
      </c>
      <c r="B1879" s="4" t="s">
        <v>39</v>
      </c>
      <c r="C1879" s="4" t="s">
        <v>23</v>
      </c>
      <c r="D1879" s="4" t="s">
        <v>45</v>
      </c>
      <c r="E1879" s="4" t="s">
        <v>25</v>
      </c>
      <c r="F1879" s="4" t="s">
        <v>25</v>
      </c>
      <c r="G1879" s="4" t="s">
        <v>25</v>
      </c>
      <c r="H1879" s="4" t="s">
        <v>25</v>
      </c>
      <c r="I1879" s="5">
        <v>44713</v>
      </c>
      <c r="J1879" s="6">
        <v>0</v>
      </c>
      <c r="K1879" s="6">
        <v>0</v>
      </c>
      <c r="L1879" s="6">
        <v>-8.0969999999999995</v>
      </c>
      <c r="M1879" s="6">
        <v>-8.0969999999999995</v>
      </c>
      <c r="N1879" s="6">
        <v>-8.0969999999999995</v>
      </c>
      <c r="O1879" s="6">
        <v>-8.0969999999999995</v>
      </c>
      <c r="P1879" s="6">
        <v>-1</v>
      </c>
      <c r="Q1879" s="4" t="s">
        <v>26</v>
      </c>
      <c r="R1879" s="4">
        <v>0</v>
      </c>
      <c r="S1879" s="6">
        <v>0</v>
      </c>
      <c r="T1879" s="6">
        <v>67</v>
      </c>
      <c r="U1879" s="6">
        <v>111</v>
      </c>
      <c r="V1879" s="6">
        <f>IF(ISERROR(VLOOKUP($S$1879,'TAR FIN'!$A$1:$O$115,15,0)),0,VLOOKUP($S$1879,'TAR FIN'!$A$1:$O$115,15,0))</f>
        <v>0</v>
      </c>
      <c r="W1879" s="6">
        <f>IF(ISERROR(VLOOKUP($T$1879,'TAR FIN'!$A$1:$O$115,15,0)),0,VLOOKUP($T$1879,'TAR FIN'!$A$1:$O$115,15,0))</f>
        <v>463.6</v>
      </c>
      <c r="X1879" s="6">
        <f>IF(ISERROR(VLOOKUP($U$1879,'TAR FIN'!$A$1:$O$115,15,0)),0,VLOOKUP($U$1879,'TAR FIN'!$A$1:$O$115,15,0))</f>
        <v>176.58</v>
      </c>
      <c r="Y1879" s="6"/>
      <c r="Z1879" s="6">
        <f ca="1">('TUSD BE'!$AM$65+'TUSD BF'!$AM$65+'TUSD CVA'!$AM$65)*1</f>
        <v>502.21976924570083</v>
      </c>
      <c r="AA1879" s="6">
        <f>('TE BE'!$AB$48+'TE BF'!$AB$48+'TE CVA'!$AB$48)*1</f>
        <v>230.68197444058345</v>
      </c>
      <c r="AB1879" s="6">
        <f>$K$1879*$V$1879</f>
        <v>0</v>
      </c>
      <c r="AC1879" s="6">
        <f>$M$1879*$W$1879</f>
        <v>-3753.7692000000002</v>
      </c>
      <c r="AD1879" s="6">
        <f>$O$1879*$X$1879</f>
        <v>-1429.7682600000001</v>
      </c>
      <c r="AE1879" s="6">
        <f>$K$1879*$Y$1879</f>
        <v>0</v>
      </c>
      <c r="AF1879" s="6">
        <f ca="1">$M$1879*$Z$1879</f>
        <v>-4066.4734715824393</v>
      </c>
      <c r="AG1879" s="6">
        <f>$O$1879*$AA$1879</f>
        <v>-1867.8319470454041</v>
      </c>
    </row>
    <row r="1880" spans="1:33" ht="11.25" customHeight="1" x14ac:dyDescent="0.25">
      <c r="A1880" s="4" t="s">
        <v>21</v>
      </c>
      <c r="B1880" s="4" t="s">
        <v>39</v>
      </c>
      <c r="C1880" s="4" t="s">
        <v>23</v>
      </c>
      <c r="D1880" s="4" t="s">
        <v>45</v>
      </c>
      <c r="E1880" s="4" t="s">
        <v>25</v>
      </c>
      <c r="F1880" s="4" t="s">
        <v>25</v>
      </c>
      <c r="G1880" s="4" t="s">
        <v>25</v>
      </c>
      <c r="H1880" s="4" t="s">
        <v>25</v>
      </c>
      <c r="I1880" s="5">
        <v>44743</v>
      </c>
      <c r="J1880" s="6">
        <v>0</v>
      </c>
      <c r="K1880" s="6">
        <v>0</v>
      </c>
      <c r="L1880" s="6">
        <v>10252.762000000001</v>
      </c>
      <c r="M1880" s="6">
        <v>10252.762000000001</v>
      </c>
      <c r="N1880" s="6">
        <v>10252.762000000001</v>
      </c>
      <c r="O1880" s="6">
        <v>10252.762000000001</v>
      </c>
      <c r="P1880" s="6">
        <v>17076</v>
      </c>
      <c r="Q1880" s="4" t="s">
        <v>26</v>
      </c>
      <c r="R1880" s="4">
        <v>0</v>
      </c>
      <c r="S1880" s="6">
        <v>0</v>
      </c>
      <c r="T1880" s="6">
        <v>67</v>
      </c>
      <c r="U1880" s="6">
        <v>111</v>
      </c>
      <c r="V1880" s="6">
        <f>IF(ISERROR(VLOOKUP($S$1880,'TAR FIN'!$A$1:$O$115,15,0)),0,VLOOKUP($S$1880,'TAR FIN'!$A$1:$O$115,15,0))</f>
        <v>0</v>
      </c>
      <c r="W1880" s="6">
        <f>IF(ISERROR(VLOOKUP($T$1880,'TAR FIN'!$A$1:$O$115,15,0)),0,VLOOKUP($T$1880,'TAR FIN'!$A$1:$O$115,15,0))</f>
        <v>463.6</v>
      </c>
      <c r="X1880" s="6">
        <f>IF(ISERROR(VLOOKUP($U$1880,'TAR FIN'!$A$1:$O$115,15,0)),0,VLOOKUP($U$1880,'TAR FIN'!$A$1:$O$115,15,0))</f>
        <v>176.58</v>
      </c>
      <c r="Y1880" s="6"/>
      <c r="Z1880" s="6">
        <f ca="1">('TUSD BE'!$AM$65+'TUSD BF'!$AM$65+'TUSD CVA'!$AM$65)*1</f>
        <v>502.21976924570083</v>
      </c>
      <c r="AA1880" s="6">
        <f>('TE BE'!$AB$48+'TE BF'!$AB$48+'TE CVA'!$AB$48)*1</f>
        <v>230.68197444058345</v>
      </c>
      <c r="AB1880" s="6">
        <f>$K$1880*$V$1880</f>
        <v>0</v>
      </c>
      <c r="AC1880" s="6">
        <f>$M$1880*$W$1880</f>
        <v>4753180.4632000001</v>
      </c>
      <c r="AD1880" s="6">
        <f>$O$1880*$X$1880</f>
        <v>1810432.7139600003</v>
      </c>
      <c r="AE1880" s="6">
        <f>$K$1880*$Y$1880</f>
        <v>0</v>
      </c>
      <c r="AF1880" s="6">
        <f ca="1">$M$1880*$Z$1880</f>
        <v>5149139.7657710901</v>
      </c>
      <c r="AG1880" s="6">
        <f>$O$1880*$AA$1880</f>
        <v>2365127.3816293855</v>
      </c>
    </row>
    <row r="1881" spans="1:33" ht="11.25" customHeight="1" x14ac:dyDescent="0.25">
      <c r="A1881" s="4" t="s">
        <v>27</v>
      </c>
      <c r="B1881" s="4" t="s">
        <v>39</v>
      </c>
      <c r="C1881" s="4" t="s">
        <v>23</v>
      </c>
      <c r="D1881" s="4" t="s">
        <v>45</v>
      </c>
      <c r="E1881" s="4" t="s">
        <v>25</v>
      </c>
      <c r="F1881" s="4" t="s">
        <v>25</v>
      </c>
      <c r="G1881" s="4" t="s">
        <v>25</v>
      </c>
      <c r="H1881" s="4" t="s">
        <v>25</v>
      </c>
      <c r="I1881" s="5">
        <v>44743</v>
      </c>
      <c r="J1881" s="6">
        <v>0</v>
      </c>
      <c r="K1881" s="6">
        <v>0</v>
      </c>
      <c r="L1881" s="6">
        <v>-74.813999999999993</v>
      </c>
      <c r="M1881" s="6">
        <v>-74.813999999999993</v>
      </c>
      <c r="N1881" s="6">
        <v>-74.813999999999993</v>
      </c>
      <c r="O1881" s="6">
        <v>-74.813999999999993</v>
      </c>
      <c r="P1881" s="6">
        <v>-4</v>
      </c>
      <c r="Q1881" s="4" t="s">
        <v>26</v>
      </c>
      <c r="R1881" s="4">
        <v>0</v>
      </c>
      <c r="S1881" s="6">
        <v>0</v>
      </c>
      <c r="T1881" s="6">
        <v>67</v>
      </c>
      <c r="U1881" s="6">
        <v>111</v>
      </c>
      <c r="V1881" s="6">
        <f>IF(ISERROR(VLOOKUP($S$1881,'TAR FIN'!$A$1:$O$115,15,0)),0,VLOOKUP($S$1881,'TAR FIN'!$A$1:$O$115,15,0))</f>
        <v>0</v>
      </c>
      <c r="W1881" s="6">
        <f>IF(ISERROR(VLOOKUP($T$1881,'TAR FIN'!$A$1:$O$115,15,0)),0,VLOOKUP($T$1881,'TAR FIN'!$A$1:$O$115,15,0))</f>
        <v>463.6</v>
      </c>
      <c r="X1881" s="6">
        <f>IF(ISERROR(VLOOKUP($U$1881,'TAR FIN'!$A$1:$O$115,15,0)),0,VLOOKUP($U$1881,'TAR FIN'!$A$1:$O$115,15,0))</f>
        <v>176.58</v>
      </c>
      <c r="Y1881" s="6"/>
      <c r="Z1881" s="6">
        <f ca="1">('TUSD BE'!$AM$65+'TUSD BF'!$AM$65+'TUSD CVA'!$AM$65)*1</f>
        <v>502.21976924570083</v>
      </c>
      <c r="AA1881" s="6">
        <f>('TE BE'!$AB$48+'TE BF'!$AB$48+'TE CVA'!$AB$48)*1</f>
        <v>230.68197444058345</v>
      </c>
      <c r="AB1881" s="6">
        <f>$K$1881*$V$1881</f>
        <v>0</v>
      </c>
      <c r="AC1881" s="6">
        <f>$M$1881*$W$1881</f>
        <v>-34683.770400000001</v>
      </c>
      <c r="AD1881" s="6">
        <f>$O$1881*$X$1881</f>
        <v>-13210.65612</v>
      </c>
      <c r="AE1881" s="6">
        <f>$K$1881*$Y$1881</f>
        <v>0</v>
      </c>
      <c r="AF1881" s="6">
        <f ca="1">$M$1881*$Z$1881</f>
        <v>-37573.069816347859</v>
      </c>
      <c r="AG1881" s="6">
        <f>$O$1881*$AA$1881</f>
        <v>-17258.24123579781</v>
      </c>
    </row>
    <row r="1882" spans="1:33" ht="11.25" customHeight="1" x14ac:dyDescent="0.25">
      <c r="A1882" s="4" t="s">
        <v>28</v>
      </c>
      <c r="B1882" s="4" t="s">
        <v>39</v>
      </c>
      <c r="C1882" s="4" t="s">
        <v>23</v>
      </c>
      <c r="D1882" s="4" t="s">
        <v>45</v>
      </c>
      <c r="E1882" s="4" t="s">
        <v>25</v>
      </c>
      <c r="F1882" s="4" t="s">
        <v>25</v>
      </c>
      <c r="G1882" s="4" t="s">
        <v>25</v>
      </c>
      <c r="H1882" s="4" t="s">
        <v>25</v>
      </c>
      <c r="I1882" s="5">
        <v>44743</v>
      </c>
      <c r="J1882" s="6">
        <v>0</v>
      </c>
      <c r="K1882" s="6">
        <v>0</v>
      </c>
      <c r="L1882" s="6">
        <v>2473.7350000000001</v>
      </c>
      <c r="M1882" s="6">
        <v>2473.7350000000001</v>
      </c>
      <c r="N1882" s="6">
        <v>2473.7350000000001</v>
      </c>
      <c r="O1882" s="6">
        <v>2473.7350000000001</v>
      </c>
      <c r="P1882" s="6">
        <v>5002</v>
      </c>
      <c r="Q1882" s="4" t="s">
        <v>26</v>
      </c>
      <c r="R1882" s="4">
        <v>0</v>
      </c>
      <c r="S1882" s="6">
        <v>0</v>
      </c>
      <c r="T1882" s="6">
        <v>67</v>
      </c>
      <c r="U1882" s="6">
        <v>111</v>
      </c>
      <c r="V1882" s="6">
        <f>IF(ISERROR(VLOOKUP($S$1882,'TAR FIN'!$A$1:$O$115,15,0)),0,VLOOKUP($S$1882,'TAR FIN'!$A$1:$O$115,15,0))</f>
        <v>0</v>
      </c>
      <c r="W1882" s="6">
        <f>IF(ISERROR(VLOOKUP($T$1882,'TAR FIN'!$A$1:$O$115,15,0)),0,VLOOKUP($T$1882,'TAR FIN'!$A$1:$O$115,15,0))</f>
        <v>463.6</v>
      </c>
      <c r="X1882" s="6">
        <f>IF(ISERROR(VLOOKUP($U$1882,'TAR FIN'!$A$1:$O$115,15,0)),0,VLOOKUP($U$1882,'TAR FIN'!$A$1:$O$115,15,0))</f>
        <v>176.58</v>
      </c>
      <c r="Y1882" s="6"/>
      <c r="Z1882" s="6">
        <f ca="1">('TUSD BE'!$AM$65+'TUSD BF'!$AM$65+'TUSD CVA'!$AM$65)*1</f>
        <v>502.21976924570083</v>
      </c>
      <c r="AA1882" s="6">
        <f>('TE BE'!$AB$48+'TE BF'!$AB$48+'TE CVA'!$AB$48)*1</f>
        <v>230.68197444058345</v>
      </c>
      <c r="AB1882" s="6">
        <f>$K$1882*$V$1882</f>
        <v>0</v>
      </c>
      <c r="AC1882" s="6">
        <f>$M$1882*$W$1882</f>
        <v>1146823.5460000001</v>
      </c>
      <c r="AD1882" s="6">
        <f>$O$1882*$X$1882</f>
        <v>436812.12630000006</v>
      </c>
      <c r="AE1882" s="6">
        <f>$K$1882*$Y$1882</f>
        <v>0</v>
      </c>
      <c r="AF1882" s="6">
        <f ca="1">$M$1882*$Z$1882</f>
        <v>1242358.6208750138</v>
      </c>
      <c r="AG1882" s="6">
        <f>$O$1882*$AA$1882</f>
        <v>570646.07404277672</v>
      </c>
    </row>
    <row r="1883" spans="1:33" ht="11.25" customHeight="1" x14ac:dyDescent="0.25">
      <c r="A1883" s="4" t="s">
        <v>29</v>
      </c>
      <c r="B1883" s="4" t="s">
        <v>39</v>
      </c>
      <c r="C1883" s="4" t="s">
        <v>23</v>
      </c>
      <c r="D1883" s="4" t="s">
        <v>45</v>
      </c>
      <c r="E1883" s="4" t="s">
        <v>25</v>
      </c>
      <c r="F1883" s="4" t="s">
        <v>25</v>
      </c>
      <c r="G1883" s="4" t="s">
        <v>25</v>
      </c>
      <c r="H1883" s="4" t="s">
        <v>25</v>
      </c>
      <c r="I1883" s="5">
        <v>44743</v>
      </c>
      <c r="J1883" s="6">
        <v>0</v>
      </c>
      <c r="K1883" s="6">
        <v>0</v>
      </c>
      <c r="L1883" s="6">
        <v>-1.02</v>
      </c>
      <c r="M1883" s="6">
        <v>-1.02</v>
      </c>
      <c r="N1883" s="6">
        <v>-1.02</v>
      </c>
      <c r="O1883" s="6">
        <v>-1.02</v>
      </c>
      <c r="P1883" s="6">
        <v>0</v>
      </c>
      <c r="Q1883" s="4" t="s">
        <v>26</v>
      </c>
      <c r="R1883" s="4">
        <v>0</v>
      </c>
      <c r="S1883" s="6">
        <v>0</v>
      </c>
      <c r="T1883" s="6">
        <v>67</v>
      </c>
      <c r="U1883" s="6">
        <v>111</v>
      </c>
      <c r="V1883" s="6">
        <f>IF(ISERROR(VLOOKUP($S$1883,'TAR FIN'!$A$1:$O$115,15,0)),0,VLOOKUP($S$1883,'TAR FIN'!$A$1:$O$115,15,0))</f>
        <v>0</v>
      </c>
      <c r="W1883" s="6">
        <f>IF(ISERROR(VLOOKUP($T$1883,'TAR FIN'!$A$1:$O$115,15,0)),0,VLOOKUP($T$1883,'TAR FIN'!$A$1:$O$115,15,0))</f>
        <v>463.6</v>
      </c>
      <c r="X1883" s="6">
        <f>IF(ISERROR(VLOOKUP($U$1883,'TAR FIN'!$A$1:$O$115,15,0)),0,VLOOKUP($U$1883,'TAR FIN'!$A$1:$O$115,15,0))</f>
        <v>176.58</v>
      </c>
      <c r="Y1883" s="6"/>
      <c r="Z1883" s="6">
        <f ca="1">('TUSD BE'!$AM$65+'TUSD BF'!$AM$65+'TUSD CVA'!$AM$65)*1</f>
        <v>502.21976924570083</v>
      </c>
      <c r="AA1883" s="6">
        <f>('TE BE'!$AB$48+'TE BF'!$AB$48+'TE CVA'!$AB$48)*1</f>
        <v>230.68197444058345</v>
      </c>
      <c r="AB1883" s="6">
        <f>$K$1883*$V$1883</f>
        <v>0</v>
      </c>
      <c r="AC1883" s="6">
        <f>$M$1883*$W$1883</f>
        <v>-472.87200000000001</v>
      </c>
      <c r="AD1883" s="6">
        <f>$O$1883*$X$1883</f>
        <v>-180.11160000000001</v>
      </c>
      <c r="AE1883" s="6">
        <f>$K$1883*$Y$1883</f>
        <v>0</v>
      </c>
      <c r="AF1883" s="6">
        <f ca="1">$M$1883*$Z$1883</f>
        <v>-512.2641646306148</v>
      </c>
      <c r="AG1883" s="6">
        <f>$O$1883*$AA$1883</f>
        <v>-235.29561392939513</v>
      </c>
    </row>
    <row r="1884" spans="1:33" ht="11.25" customHeight="1" x14ac:dyDescent="0.25">
      <c r="A1884" s="4" t="s">
        <v>30</v>
      </c>
      <c r="B1884" s="4" t="s">
        <v>39</v>
      </c>
      <c r="C1884" s="4" t="s">
        <v>23</v>
      </c>
      <c r="D1884" s="4" t="s">
        <v>45</v>
      </c>
      <c r="E1884" s="4" t="s">
        <v>25</v>
      </c>
      <c r="F1884" s="4" t="s">
        <v>25</v>
      </c>
      <c r="G1884" s="4" t="s">
        <v>25</v>
      </c>
      <c r="H1884" s="4" t="s">
        <v>25</v>
      </c>
      <c r="I1884" s="5">
        <v>44743</v>
      </c>
      <c r="J1884" s="6">
        <v>0</v>
      </c>
      <c r="K1884" s="6">
        <v>0</v>
      </c>
      <c r="L1884" s="6">
        <v>544.82899999999995</v>
      </c>
      <c r="M1884" s="6">
        <v>544.82899999999995</v>
      </c>
      <c r="N1884" s="6">
        <v>544.82899999999995</v>
      </c>
      <c r="O1884" s="6">
        <v>544.82899999999995</v>
      </c>
      <c r="P1884" s="6">
        <v>649</v>
      </c>
      <c r="Q1884" s="4" t="s">
        <v>26</v>
      </c>
      <c r="R1884" s="4">
        <v>0</v>
      </c>
      <c r="S1884" s="6">
        <v>0</v>
      </c>
      <c r="T1884" s="6">
        <v>67</v>
      </c>
      <c r="U1884" s="6">
        <v>111</v>
      </c>
      <c r="V1884" s="6">
        <f>IF(ISERROR(VLOOKUP($S$1884,'TAR FIN'!$A$1:$O$115,15,0)),0,VLOOKUP($S$1884,'TAR FIN'!$A$1:$O$115,15,0))</f>
        <v>0</v>
      </c>
      <c r="W1884" s="6">
        <f>IF(ISERROR(VLOOKUP($T$1884,'TAR FIN'!$A$1:$O$115,15,0)),0,VLOOKUP($T$1884,'TAR FIN'!$A$1:$O$115,15,0))</f>
        <v>463.6</v>
      </c>
      <c r="X1884" s="6">
        <f>IF(ISERROR(VLOOKUP($U$1884,'TAR FIN'!$A$1:$O$115,15,0)),0,VLOOKUP($U$1884,'TAR FIN'!$A$1:$O$115,15,0))</f>
        <v>176.58</v>
      </c>
      <c r="Y1884" s="6"/>
      <c r="Z1884" s="6">
        <f ca="1">('TUSD BE'!$AM$65+'TUSD BF'!$AM$65+'TUSD CVA'!$AM$65)*1</f>
        <v>502.21976924570083</v>
      </c>
      <c r="AA1884" s="6">
        <f>('TE BE'!$AB$48+'TE BF'!$AB$48+'TE CVA'!$AB$48)*1</f>
        <v>230.68197444058345</v>
      </c>
      <c r="AB1884" s="6">
        <f>$K$1884*$V$1884</f>
        <v>0</v>
      </c>
      <c r="AC1884" s="6">
        <f>$M$1884*$W$1884</f>
        <v>252582.72439999998</v>
      </c>
      <c r="AD1884" s="6">
        <f>$O$1884*$X$1884</f>
        <v>96205.904819999996</v>
      </c>
      <c r="AE1884" s="6">
        <f>$K$1884*$Y$1884</f>
        <v>0</v>
      </c>
      <c r="AF1884" s="6">
        <f ca="1">$M$1884*$Z$1884</f>
        <v>273623.89465836593</v>
      </c>
      <c r="AG1884" s="6">
        <f>$O$1884*$AA$1884</f>
        <v>125682.22945248862</v>
      </c>
    </row>
    <row r="1885" spans="1:33" ht="11.25" customHeight="1" x14ac:dyDescent="0.25">
      <c r="A1885" s="4" t="s">
        <v>21</v>
      </c>
      <c r="B1885" s="4" t="s">
        <v>39</v>
      </c>
      <c r="C1885" s="4" t="s">
        <v>23</v>
      </c>
      <c r="D1885" s="4" t="s">
        <v>45</v>
      </c>
      <c r="E1885" s="4" t="s">
        <v>25</v>
      </c>
      <c r="F1885" s="4" t="s">
        <v>25</v>
      </c>
      <c r="G1885" s="4" t="s">
        <v>25</v>
      </c>
      <c r="H1885" s="4" t="s">
        <v>25</v>
      </c>
      <c r="I1885" s="5">
        <v>44774</v>
      </c>
      <c r="J1885" s="6">
        <v>0</v>
      </c>
      <c r="K1885" s="6">
        <v>0</v>
      </c>
      <c r="L1885" s="6">
        <v>10532.821</v>
      </c>
      <c r="M1885" s="6">
        <v>10532.821</v>
      </c>
      <c r="N1885" s="6">
        <v>10532.821</v>
      </c>
      <c r="O1885" s="6">
        <v>10532.821</v>
      </c>
      <c r="P1885" s="6">
        <v>17061</v>
      </c>
      <c r="Q1885" s="4" t="s">
        <v>26</v>
      </c>
      <c r="R1885" s="4">
        <v>0</v>
      </c>
      <c r="S1885" s="6">
        <v>0</v>
      </c>
      <c r="T1885" s="6">
        <v>67</v>
      </c>
      <c r="U1885" s="6">
        <v>111</v>
      </c>
      <c r="V1885" s="6">
        <f>IF(ISERROR(VLOOKUP($S$1885,'TAR FIN'!$A$1:$O$115,15,0)),0,VLOOKUP($S$1885,'TAR FIN'!$A$1:$O$115,15,0))</f>
        <v>0</v>
      </c>
      <c r="W1885" s="6">
        <f>IF(ISERROR(VLOOKUP($T$1885,'TAR FIN'!$A$1:$O$115,15,0)),0,VLOOKUP($T$1885,'TAR FIN'!$A$1:$O$115,15,0))</f>
        <v>463.6</v>
      </c>
      <c r="X1885" s="6">
        <f>IF(ISERROR(VLOOKUP($U$1885,'TAR FIN'!$A$1:$O$115,15,0)),0,VLOOKUP($U$1885,'TAR FIN'!$A$1:$O$115,15,0))</f>
        <v>176.58</v>
      </c>
      <c r="Y1885" s="6"/>
      <c r="Z1885" s="6">
        <f ca="1">('TUSD BE'!$AM$65+'TUSD BF'!$AM$65+'TUSD CVA'!$AM$65)*1</f>
        <v>502.21976924570083</v>
      </c>
      <c r="AA1885" s="6">
        <f>('TE BE'!$AB$48+'TE BF'!$AB$48+'TE CVA'!$AB$48)*1</f>
        <v>230.68197444058345</v>
      </c>
      <c r="AB1885" s="6">
        <f>$K$1885*$V$1885</f>
        <v>0</v>
      </c>
      <c r="AC1885" s="6">
        <f>$M$1885*$W$1885</f>
        <v>4883015.8156000003</v>
      </c>
      <c r="AD1885" s="6">
        <f>$O$1885*$X$1885</f>
        <v>1859885.5321800001</v>
      </c>
      <c r="AE1885" s="6">
        <f>$K$1885*$Y$1885</f>
        <v>0</v>
      </c>
      <c r="AF1885" s="6">
        <f ca="1">$M$1885*$Z$1885</f>
        <v>5289790.9321262715</v>
      </c>
      <c r="AG1885" s="6">
        <f>$O$1885*$AA$1885</f>
        <v>2429731.9447092405</v>
      </c>
    </row>
    <row r="1886" spans="1:33" ht="11.25" customHeight="1" x14ac:dyDescent="0.25">
      <c r="A1886" s="4" t="s">
        <v>27</v>
      </c>
      <c r="B1886" s="4" t="s">
        <v>39</v>
      </c>
      <c r="C1886" s="4" t="s">
        <v>23</v>
      </c>
      <c r="D1886" s="4" t="s">
        <v>45</v>
      </c>
      <c r="E1886" s="4" t="s">
        <v>25</v>
      </c>
      <c r="F1886" s="4" t="s">
        <v>25</v>
      </c>
      <c r="G1886" s="4" t="s">
        <v>25</v>
      </c>
      <c r="H1886" s="4" t="s">
        <v>25</v>
      </c>
      <c r="I1886" s="5">
        <v>44774</v>
      </c>
      <c r="J1886" s="6">
        <v>0</v>
      </c>
      <c r="K1886" s="6">
        <v>0</v>
      </c>
      <c r="L1886" s="6">
        <v>-201.72</v>
      </c>
      <c r="M1886" s="6">
        <v>-201.72</v>
      </c>
      <c r="N1886" s="6">
        <v>-201.72</v>
      </c>
      <c r="O1886" s="6">
        <v>-201.72</v>
      </c>
      <c r="P1886" s="6">
        <v>-14</v>
      </c>
      <c r="Q1886" s="4" t="s">
        <v>26</v>
      </c>
      <c r="R1886" s="4">
        <v>0</v>
      </c>
      <c r="S1886" s="6">
        <v>0</v>
      </c>
      <c r="T1886" s="6">
        <v>67</v>
      </c>
      <c r="U1886" s="6">
        <v>111</v>
      </c>
      <c r="V1886" s="6">
        <f>IF(ISERROR(VLOOKUP($S$1886,'TAR FIN'!$A$1:$O$115,15,0)),0,VLOOKUP($S$1886,'TAR FIN'!$A$1:$O$115,15,0))</f>
        <v>0</v>
      </c>
      <c r="W1886" s="6">
        <f>IF(ISERROR(VLOOKUP($T$1886,'TAR FIN'!$A$1:$O$115,15,0)),0,VLOOKUP($T$1886,'TAR FIN'!$A$1:$O$115,15,0))</f>
        <v>463.6</v>
      </c>
      <c r="X1886" s="6">
        <f>IF(ISERROR(VLOOKUP($U$1886,'TAR FIN'!$A$1:$O$115,15,0)),0,VLOOKUP($U$1886,'TAR FIN'!$A$1:$O$115,15,0))</f>
        <v>176.58</v>
      </c>
      <c r="Y1886" s="6"/>
      <c r="Z1886" s="6">
        <f ca="1">('TUSD BE'!$AM$65+'TUSD BF'!$AM$65+'TUSD CVA'!$AM$65)*1</f>
        <v>502.21976924570083</v>
      </c>
      <c r="AA1886" s="6">
        <f>('TE BE'!$AB$48+'TE BF'!$AB$48+'TE CVA'!$AB$48)*1</f>
        <v>230.68197444058345</v>
      </c>
      <c r="AB1886" s="6">
        <f>$K$1886*$V$1886</f>
        <v>0</v>
      </c>
      <c r="AC1886" s="6">
        <f>$M$1886*$W$1886</f>
        <v>-93517.392000000007</v>
      </c>
      <c r="AD1886" s="6">
        <f>$O$1886*$X$1886</f>
        <v>-35619.717600000004</v>
      </c>
      <c r="AE1886" s="6">
        <f>$K$1886*$Y$1886</f>
        <v>0</v>
      </c>
      <c r="AF1886" s="6">
        <f ca="1">$M$1886*$Z$1886</f>
        <v>-101307.77185224277</v>
      </c>
      <c r="AG1886" s="6">
        <f>$O$1886*$AA$1886</f>
        <v>-46533.167884154493</v>
      </c>
    </row>
    <row r="1887" spans="1:33" ht="11.25" customHeight="1" x14ac:dyDescent="0.25">
      <c r="A1887" s="4" t="s">
        <v>28</v>
      </c>
      <c r="B1887" s="4" t="s">
        <v>39</v>
      </c>
      <c r="C1887" s="4" t="s">
        <v>23</v>
      </c>
      <c r="D1887" s="4" t="s">
        <v>45</v>
      </c>
      <c r="E1887" s="4" t="s">
        <v>25</v>
      </c>
      <c r="F1887" s="4" t="s">
        <v>25</v>
      </c>
      <c r="G1887" s="4" t="s">
        <v>25</v>
      </c>
      <c r="H1887" s="4" t="s">
        <v>25</v>
      </c>
      <c r="I1887" s="5">
        <v>44774</v>
      </c>
      <c r="J1887" s="6">
        <v>0</v>
      </c>
      <c r="K1887" s="6">
        <v>0</v>
      </c>
      <c r="L1887" s="6">
        <v>2478.7950000000001</v>
      </c>
      <c r="M1887" s="6">
        <v>2478.7950000000001</v>
      </c>
      <c r="N1887" s="6">
        <v>2478.7950000000001</v>
      </c>
      <c r="O1887" s="6">
        <v>2478.7950000000001</v>
      </c>
      <c r="P1887" s="6">
        <v>5004</v>
      </c>
      <c r="Q1887" s="4" t="s">
        <v>26</v>
      </c>
      <c r="R1887" s="4">
        <v>0</v>
      </c>
      <c r="S1887" s="6">
        <v>0</v>
      </c>
      <c r="T1887" s="6">
        <v>67</v>
      </c>
      <c r="U1887" s="6">
        <v>111</v>
      </c>
      <c r="V1887" s="6">
        <f>IF(ISERROR(VLOOKUP($S$1887,'TAR FIN'!$A$1:$O$115,15,0)),0,VLOOKUP($S$1887,'TAR FIN'!$A$1:$O$115,15,0))</f>
        <v>0</v>
      </c>
      <c r="W1887" s="6">
        <f>IF(ISERROR(VLOOKUP($T$1887,'TAR FIN'!$A$1:$O$115,15,0)),0,VLOOKUP($T$1887,'TAR FIN'!$A$1:$O$115,15,0))</f>
        <v>463.6</v>
      </c>
      <c r="X1887" s="6">
        <f>IF(ISERROR(VLOOKUP($U$1887,'TAR FIN'!$A$1:$O$115,15,0)),0,VLOOKUP($U$1887,'TAR FIN'!$A$1:$O$115,15,0))</f>
        <v>176.58</v>
      </c>
      <c r="Y1887" s="6"/>
      <c r="Z1887" s="6">
        <f ca="1">('TUSD BE'!$AM$65+'TUSD BF'!$AM$65+'TUSD CVA'!$AM$65)*1</f>
        <v>502.21976924570083</v>
      </c>
      <c r="AA1887" s="6">
        <f>('TE BE'!$AB$48+'TE BF'!$AB$48+'TE CVA'!$AB$48)*1</f>
        <v>230.68197444058345</v>
      </c>
      <c r="AB1887" s="6">
        <f>$K$1887*$V$1887</f>
        <v>0</v>
      </c>
      <c r="AC1887" s="6">
        <f>$M$1887*$W$1887</f>
        <v>1149169.3620000002</v>
      </c>
      <c r="AD1887" s="6">
        <f>$O$1887*$X$1887</f>
        <v>437705.62110000005</v>
      </c>
      <c r="AE1887" s="6">
        <f>$K$1887*$Y$1887</f>
        <v>0</v>
      </c>
      <c r="AF1887" s="6">
        <f ca="1">$M$1887*$Z$1887</f>
        <v>1244899.8529073971</v>
      </c>
      <c r="AG1887" s="6">
        <f>$O$1887*$AA$1887</f>
        <v>571813.32483344607</v>
      </c>
    </row>
    <row r="1888" spans="1:33" ht="11.25" customHeight="1" x14ac:dyDescent="0.25">
      <c r="A1888" s="4" t="s">
        <v>29</v>
      </c>
      <c r="B1888" s="4" t="s">
        <v>39</v>
      </c>
      <c r="C1888" s="4" t="s">
        <v>23</v>
      </c>
      <c r="D1888" s="4" t="s">
        <v>45</v>
      </c>
      <c r="E1888" s="4" t="s">
        <v>25</v>
      </c>
      <c r="F1888" s="4" t="s">
        <v>25</v>
      </c>
      <c r="G1888" s="4" t="s">
        <v>25</v>
      </c>
      <c r="H1888" s="4" t="s">
        <v>25</v>
      </c>
      <c r="I1888" s="5">
        <v>44774</v>
      </c>
      <c r="J1888" s="6">
        <v>0</v>
      </c>
      <c r="K1888" s="6">
        <v>0</v>
      </c>
      <c r="L1888" s="6">
        <v>-2.4319999999999999</v>
      </c>
      <c r="M1888" s="6">
        <v>-2.4319999999999999</v>
      </c>
      <c r="N1888" s="6">
        <v>-2.4319999999999999</v>
      </c>
      <c r="O1888" s="6">
        <v>-2.4319999999999999</v>
      </c>
      <c r="P1888" s="6">
        <v>-1</v>
      </c>
      <c r="Q1888" s="4" t="s">
        <v>26</v>
      </c>
      <c r="R1888" s="4">
        <v>0</v>
      </c>
      <c r="S1888" s="6">
        <v>0</v>
      </c>
      <c r="T1888" s="6">
        <v>67</v>
      </c>
      <c r="U1888" s="6">
        <v>111</v>
      </c>
      <c r="V1888" s="6">
        <f>IF(ISERROR(VLOOKUP($S$1888,'TAR FIN'!$A$1:$O$115,15,0)),0,VLOOKUP($S$1888,'TAR FIN'!$A$1:$O$115,15,0))</f>
        <v>0</v>
      </c>
      <c r="W1888" s="6">
        <f>IF(ISERROR(VLOOKUP($T$1888,'TAR FIN'!$A$1:$O$115,15,0)),0,VLOOKUP($T$1888,'TAR FIN'!$A$1:$O$115,15,0))</f>
        <v>463.6</v>
      </c>
      <c r="X1888" s="6">
        <f>IF(ISERROR(VLOOKUP($U$1888,'TAR FIN'!$A$1:$O$115,15,0)),0,VLOOKUP($U$1888,'TAR FIN'!$A$1:$O$115,15,0))</f>
        <v>176.58</v>
      </c>
      <c r="Y1888" s="6"/>
      <c r="Z1888" s="6">
        <f ca="1">('TUSD BE'!$AM$65+'TUSD BF'!$AM$65+'TUSD CVA'!$AM$65)*1</f>
        <v>502.21976924570083</v>
      </c>
      <c r="AA1888" s="6">
        <f>('TE BE'!$AB$48+'TE BF'!$AB$48+'TE CVA'!$AB$48)*1</f>
        <v>230.68197444058345</v>
      </c>
      <c r="AB1888" s="6">
        <f>$K$1888*$V$1888</f>
        <v>0</v>
      </c>
      <c r="AC1888" s="6">
        <f>$M$1888*$W$1888</f>
        <v>-1127.4752000000001</v>
      </c>
      <c r="AD1888" s="6">
        <f>$O$1888*$X$1888</f>
        <v>-429.44256000000001</v>
      </c>
      <c r="AE1888" s="6">
        <f>$K$1888*$Y$1888</f>
        <v>0</v>
      </c>
      <c r="AF1888" s="6">
        <f ca="1">$M$1888*$Z$1888</f>
        <v>-1221.3984788055443</v>
      </c>
      <c r="AG1888" s="6">
        <f>$O$1888*$AA$1888</f>
        <v>-561.01856183949894</v>
      </c>
    </row>
    <row r="1889" spans="1:33" ht="11.25" customHeight="1" x14ac:dyDescent="0.25">
      <c r="A1889" s="4" t="s">
        <v>30</v>
      </c>
      <c r="B1889" s="4" t="s">
        <v>39</v>
      </c>
      <c r="C1889" s="4" t="s">
        <v>23</v>
      </c>
      <c r="D1889" s="4" t="s">
        <v>45</v>
      </c>
      <c r="E1889" s="4" t="s">
        <v>25</v>
      </c>
      <c r="F1889" s="4" t="s">
        <v>25</v>
      </c>
      <c r="G1889" s="4" t="s">
        <v>25</v>
      </c>
      <c r="H1889" s="4" t="s">
        <v>25</v>
      </c>
      <c r="I1889" s="5">
        <v>44774</v>
      </c>
      <c r="J1889" s="6">
        <v>0</v>
      </c>
      <c r="K1889" s="6">
        <v>0</v>
      </c>
      <c r="L1889" s="6">
        <v>559.06700000000001</v>
      </c>
      <c r="M1889" s="6">
        <v>559.06700000000001</v>
      </c>
      <c r="N1889" s="6">
        <v>559.06700000000001</v>
      </c>
      <c r="O1889" s="6">
        <v>559.06700000000001</v>
      </c>
      <c r="P1889" s="6">
        <v>675</v>
      </c>
      <c r="Q1889" s="4" t="s">
        <v>26</v>
      </c>
      <c r="R1889" s="4">
        <v>0</v>
      </c>
      <c r="S1889" s="6">
        <v>0</v>
      </c>
      <c r="T1889" s="6">
        <v>67</v>
      </c>
      <c r="U1889" s="6">
        <v>111</v>
      </c>
      <c r="V1889" s="6">
        <f>IF(ISERROR(VLOOKUP($S$1889,'TAR FIN'!$A$1:$O$115,15,0)),0,VLOOKUP($S$1889,'TAR FIN'!$A$1:$O$115,15,0))</f>
        <v>0</v>
      </c>
      <c r="W1889" s="6">
        <f>IF(ISERROR(VLOOKUP($T$1889,'TAR FIN'!$A$1:$O$115,15,0)),0,VLOOKUP($T$1889,'TAR FIN'!$A$1:$O$115,15,0))</f>
        <v>463.6</v>
      </c>
      <c r="X1889" s="6">
        <f>IF(ISERROR(VLOOKUP($U$1889,'TAR FIN'!$A$1:$O$115,15,0)),0,VLOOKUP($U$1889,'TAR FIN'!$A$1:$O$115,15,0))</f>
        <v>176.58</v>
      </c>
      <c r="Y1889" s="6"/>
      <c r="Z1889" s="6">
        <f ca="1">('TUSD BE'!$AM$65+'TUSD BF'!$AM$65+'TUSD CVA'!$AM$65)*1</f>
        <v>502.21976924570083</v>
      </c>
      <c r="AA1889" s="6">
        <f>('TE BE'!$AB$48+'TE BF'!$AB$48+'TE CVA'!$AB$48)*1</f>
        <v>230.68197444058345</v>
      </c>
      <c r="AB1889" s="6">
        <f>$K$1889*$V$1889</f>
        <v>0</v>
      </c>
      <c r="AC1889" s="6">
        <f>$M$1889*$W$1889</f>
        <v>259183.46120000002</v>
      </c>
      <c r="AD1889" s="6">
        <f>$O$1889*$X$1889</f>
        <v>98720.050860000003</v>
      </c>
      <c r="AE1889" s="6">
        <f>$K$1889*$Y$1889</f>
        <v>0</v>
      </c>
      <c r="AF1889" s="6">
        <f ca="1">$M$1889*$Z$1889</f>
        <v>280774.49973288621</v>
      </c>
      <c r="AG1889" s="6">
        <f>$O$1889*$AA$1889</f>
        <v>128966.67940457366</v>
      </c>
    </row>
    <row r="1890" spans="1:33" ht="11.25" customHeight="1" x14ac:dyDescent="0.25">
      <c r="A1890" s="4" t="s">
        <v>30</v>
      </c>
      <c r="B1890" s="4" t="s">
        <v>39</v>
      </c>
      <c r="C1890" s="4" t="s">
        <v>23</v>
      </c>
      <c r="D1890" s="4" t="s">
        <v>45</v>
      </c>
      <c r="E1890" s="4" t="s">
        <v>25</v>
      </c>
      <c r="F1890" s="4" t="s">
        <v>25</v>
      </c>
      <c r="G1890" s="4" t="s">
        <v>25</v>
      </c>
      <c r="H1890" s="4" t="s">
        <v>25</v>
      </c>
      <c r="I1890" s="5">
        <v>44774</v>
      </c>
      <c r="J1890" s="6">
        <v>0</v>
      </c>
      <c r="K1890" s="6">
        <v>0</v>
      </c>
      <c r="L1890" s="6">
        <v>-15.41</v>
      </c>
      <c r="M1890" s="6">
        <v>-15.41</v>
      </c>
      <c r="N1890" s="6">
        <v>-15.41</v>
      </c>
      <c r="O1890" s="6">
        <v>-15.41</v>
      </c>
      <c r="P1890" s="6">
        <v>0</v>
      </c>
      <c r="Q1890" s="4" t="s">
        <v>26</v>
      </c>
      <c r="R1890" s="4">
        <v>0</v>
      </c>
      <c r="S1890" s="6">
        <v>0</v>
      </c>
      <c r="T1890" s="6">
        <v>67</v>
      </c>
      <c r="U1890" s="6">
        <v>111</v>
      </c>
      <c r="V1890" s="6">
        <f>IF(ISERROR(VLOOKUP($S$1890,'TAR FIN'!$A$1:$O$115,15,0)),0,VLOOKUP($S$1890,'TAR FIN'!$A$1:$O$115,15,0))</f>
        <v>0</v>
      </c>
      <c r="W1890" s="6">
        <f>IF(ISERROR(VLOOKUP($T$1890,'TAR FIN'!$A$1:$O$115,15,0)),0,VLOOKUP($T$1890,'TAR FIN'!$A$1:$O$115,15,0))</f>
        <v>463.6</v>
      </c>
      <c r="X1890" s="6">
        <f>IF(ISERROR(VLOOKUP($U$1890,'TAR FIN'!$A$1:$O$115,15,0)),0,VLOOKUP($U$1890,'TAR FIN'!$A$1:$O$115,15,0))</f>
        <v>176.58</v>
      </c>
      <c r="Y1890" s="6"/>
      <c r="Z1890" s="6">
        <f ca="1">('TUSD BE'!$AM$65+'TUSD BF'!$AM$65+'TUSD CVA'!$AM$65)*1</f>
        <v>502.21976924570083</v>
      </c>
      <c r="AA1890" s="6">
        <f>('TE BE'!$AB$48+'TE BF'!$AB$48+'TE CVA'!$AB$48)*1</f>
        <v>230.68197444058345</v>
      </c>
      <c r="AB1890" s="6">
        <f>$K$1890*$V$1890</f>
        <v>0</v>
      </c>
      <c r="AC1890" s="6">
        <f>$M$1890*$W$1890</f>
        <v>-7144.076</v>
      </c>
      <c r="AD1890" s="6">
        <f>$O$1890*$X$1890</f>
        <v>-2721.0978</v>
      </c>
      <c r="AE1890" s="6">
        <f>$K$1890*$Y$1890</f>
        <v>0</v>
      </c>
      <c r="AF1890" s="6">
        <f ca="1">$M$1890*$Z$1890</f>
        <v>-7739.2066440762501</v>
      </c>
      <c r="AG1890" s="6">
        <f>$O$1890*$AA$1890</f>
        <v>-3554.8092261293909</v>
      </c>
    </row>
    <row r="1891" spans="1:33" ht="11.25" customHeight="1" x14ac:dyDescent="0.25">
      <c r="A1891" s="4" t="s">
        <v>21</v>
      </c>
      <c r="B1891" s="4" t="s">
        <v>39</v>
      </c>
      <c r="C1891" s="4" t="s">
        <v>23</v>
      </c>
      <c r="D1891" s="4" t="s">
        <v>45</v>
      </c>
      <c r="E1891" s="4" t="s">
        <v>25</v>
      </c>
      <c r="F1891" s="4" t="s">
        <v>25</v>
      </c>
      <c r="G1891" s="4" t="s">
        <v>25</v>
      </c>
      <c r="H1891" s="4" t="s">
        <v>25</v>
      </c>
      <c r="I1891" s="5">
        <v>44805</v>
      </c>
      <c r="J1891" s="6">
        <v>0</v>
      </c>
      <c r="K1891" s="6">
        <v>0</v>
      </c>
      <c r="L1891" s="6">
        <v>10293.308000000001</v>
      </c>
      <c r="M1891" s="6">
        <v>10293.308000000001</v>
      </c>
      <c r="N1891" s="6">
        <v>10293.308000000001</v>
      </c>
      <c r="O1891" s="6">
        <v>10293.308000000001</v>
      </c>
      <c r="P1891" s="6">
        <v>17080</v>
      </c>
      <c r="Q1891" s="4" t="s">
        <v>26</v>
      </c>
      <c r="R1891" s="4">
        <v>0</v>
      </c>
      <c r="S1891" s="6">
        <v>0</v>
      </c>
      <c r="T1891" s="6">
        <v>67</v>
      </c>
      <c r="U1891" s="6">
        <v>111</v>
      </c>
      <c r="V1891" s="6">
        <f>IF(ISERROR(VLOOKUP($S$1891,'TAR FIN'!$A$1:$O$115,15,0)),0,VLOOKUP($S$1891,'TAR FIN'!$A$1:$O$115,15,0))</f>
        <v>0</v>
      </c>
      <c r="W1891" s="6">
        <f>IF(ISERROR(VLOOKUP($T$1891,'TAR FIN'!$A$1:$O$115,15,0)),0,VLOOKUP($T$1891,'TAR FIN'!$A$1:$O$115,15,0))</f>
        <v>463.6</v>
      </c>
      <c r="X1891" s="6">
        <f>IF(ISERROR(VLOOKUP($U$1891,'TAR FIN'!$A$1:$O$115,15,0)),0,VLOOKUP($U$1891,'TAR FIN'!$A$1:$O$115,15,0))</f>
        <v>176.58</v>
      </c>
      <c r="Y1891" s="6"/>
      <c r="Z1891" s="6">
        <f ca="1">('TUSD BE'!$AM$65+'TUSD BF'!$AM$65+'TUSD CVA'!$AM$65)*1</f>
        <v>502.21976924570083</v>
      </c>
      <c r="AA1891" s="6">
        <f>('TE BE'!$AB$48+'TE BF'!$AB$48+'TE CVA'!$AB$48)*1</f>
        <v>230.68197444058345</v>
      </c>
      <c r="AB1891" s="6">
        <f>$K$1891*$V$1891</f>
        <v>0</v>
      </c>
      <c r="AC1891" s="6">
        <f>$M$1891*$W$1891</f>
        <v>4771977.588800001</v>
      </c>
      <c r="AD1891" s="6">
        <f>$O$1891*$X$1891</f>
        <v>1817592.3266400003</v>
      </c>
      <c r="AE1891" s="6">
        <f>$K$1891*$Y$1891</f>
        <v>0</v>
      </c>
      <c r="AF1891" s="6">
        <f ca="1">$M$1891*$Z$1891</f>
        <v>5169502.7685349267</v>
      </c>
      <c r="AG1891" s="6">
        <f>$O$1891*$AA$1891</f>
        <v>2374480.6129650534</v>
      </c>
    </row>
    <row r="1892" spans="1:33" ht="11.25" customHeight="1" x14ac:dyDescent="0.25">
      <c r="A1892" s="4" t="s">
        <v>27</v>
      </c>
      <c r="B1892" s="4" t="s">
        <v>39</v>
      </c>
      <c r="C1892" s="4" t="s">
        <v>23</v>
      </c>
      <c r="D1892" s="4" t="s">
        <v>45</v>
      </c>
      <c r="E1892" s="4" t="s">
        <v>25</v>
      </c>
      <c r="F1892" s="4" t="s">
        <v>25</v>
      </c>
      <c r="G1892" s="4" t="s">
        <v>25</v>
      </c>
      <c r="H1892" s="4" t="s">
        <v>25</v>
      </c>
      <c r="I1892" s="5">
        <v>44805</v>
      </c>
      <c r="J1892" s="6">
        <v>0</v>
      </c>
      <c r="K1892" s="6">
        <v>0</v>
      </c>
      <c r="L1892" s="6">
        <v>-15.920999999999999</v>
      </c>
      <c r="M1892" s="6">
        <v>-15.920999999999999</v>
      </c>
      <c r="N1892" s="6">
        <v>-15.920999999999999</v>
      </c>
      <c r="O1892" s="6">
        <v>-15.920999999999999</v>
      </c>
      <c r="P1892" s="6">
        <v>-14</v>
      </c>
      <c r="Q1892" s="4" t="s">
        <v>26</v>
      </c>
      <c r="R1892" s="4">
        <v>0</v>
      </c>
      <c r="S1892" s="6">
        <v>0</v>
      </c>
      <c r="T1892" s="6">
        <v>67</v>
      </c>
      <c r="U1892" s="6">
        <v>111</v>
      </c>
      <c r="V1892" s="6">
        <f>IF(ISERROR(VLOOKUP($S$1892,'TAR FIN'!$A$1:$O$115,15,0)),0,VLOOKUP($S$1892,'TAR FIN'!$A$1:$O$115,15,0))</f>
        <v>0</v>
      </c>
      <c r="W1892" s="6">
        <f>IF(ISERROR(VLOOKUP($T$1892,'TAR FIN'!$A$1:$O$115,15,0)),0,VLOOKUP($T$1892,'TAR FIN'!$A$1:$O$115,15,0))</f>
        <v>463.6</v>
      </c>
      <c r="X1892" s="6">
        <f>IF(ISERROR(VLOOKUP($U$1892,'TAR FIN'!$A$1:$O$115,15,0)),0,VLOOKUP($U$1892,'TAR FIN'!$A$1:$O$115,15,0))</f>
        <v>176.58</v>
      </c>
      <c r="Y1892" s="6"/>
      <c r="Z1892" s="6">
        <f ca="1">('TUSD BE'!$AM$65+'TUSD BF'!$AM$65+'TUSD CVA'!$AM$65)*1</f>
        <v>502.21976924570083</v>
      </c>
      <c r="AA1892" s="6">
        <f>('TE BE'!$AB$48+'TE BF'!$AB$48+'TE CVA'!$AB$48)*1</f>
        <v>230.68197444058345</v>
      </c>
      <c r="AB1892" s="6">
        <f>$K$1892*$V$1892</f>
        <v>0</v>
      </c>
      <c r="AC1892" s="6">
        <f>$M$1892*$W$1892</f>
        <v>-7380.9755999999998</v>
      </c>
      <c r="AD1892" s="6">
        <f>$O$1892*$X$1892</f>
        <v>-2811.3301799999999</v>
      </c>
      <c r="AE1892" s="6">
        <f>$K$1892*$Y$1892</f>
        <v>0</v>
      </c>
      <c r="AF1892" s="6">
        <f ca="1">$M$1892*$Z$1892</f>
        <v>-7995.8409461608026</v>
      </c>
      <c r="AG1892" s="6">
        <f>$O$1892*$AA$1892</f>
        <v>-3672.6877150685291</v>
      </c>
    </row>
    <row r="1893" spans="1:33" ht="11.25" customHeight="1" x14ac:dyDescent="0.25">
      <c r="A1893" s="4" t="s">
        <v>28</v>
      </c>
      <c r="B1893" s="4" t="s">
        <v>39</v>
      </c>
      <c r="C1893" s="4" t="s">
        <v>23</v>
      </c>
      <c r="D1893" s="4" t="s">
        <v>45</v>
      </c>
      <c r="E1893" s="4" t="s">
        <v>25</v>
      </c>
      <c r="F1893" s="4" t="s">
        <v>25</v>
      </c>
      <c r="G1893" s="4" t="s">
        <v>25</v>
      </c>
      <c r="H1893" s="4" t="s">
        <v>25</v>
      </c>
      <c r="I1893" s="5">
        <v>44805</v>
      </c>
      <c r="J1893" s="6">
        <v>0</v>
      </c>
      <c r="K1893" s="6">
        <v>0</v>
      </c>
      <c r="L1893" s="6">
        <v>2528.9760000000001</v>
      </c>
      <c r="M1893" s="6">
        <v>2528.9760000000001</v>
      </c>
      <c r="N1893" s="6">
        <v>2528.9760000000001</v>
      </c>
      <c r="O1893" s="6">
        <v>2528.9760000000001</v>
      </c>
      <c r="P1893" s="6">
        <v>5022</v>
      </c>
      <c r="Q1893" s="4" t="s">
        <v>26</v>
      </c>
      <c r="R1893" s="4">
        <v>0</v>
      </c>
      <c r="S1893" s="6">
        <v>0</v>
      </c>
      <c r="T1893" s="6">
        <v>67</v>
      </c>
      <c r="U1893" s="6">
        <v>111</v>
      </c>
      <c r="V1893" s="6">
        <f>IF(ISERROR(VLOOKUP($S$1893,'TAR FIN'!$A$1:$O$115,15,0)),0,VLOOKUP($S$1893,'TAR FIN'!$A$1:$O$115,15,0))</f>
        <v>0</v>
      </c>
      <c r="W1893" s="6">
        <f>IF(ISERROR(VLOOKUP($T$1893,'TAR FIN'!$A$1:$O$115,15,0)),0,VLOOKUP($T$1893,'TAR FIN'!$A$1:$O$115,15,0))</f>
        <v>463.6</v>
      </c>
      <c r="X1893" s="6">
        <f>IF(ISERROR(VLOOKUP($U$1893,'TAR FIN'!$A$1:$O$115,15,0)),0,VLOOKUP($U$1893,'TAR FIN'!$A$1:$O$115,15,0))</f>
        <v>176.58</v>
      </c>
      <c r="Y1893" s="6"/>
      <c r="Z1893" s="6">
        <f ca="1">('TUSD BE'!$AM$65+'TUSD BF'!$AM$65+'TUSD CVA'!$AM$65)*1</f>
        <v>502.21976924570083</v>
      </c>
      <c r="AA1893" s="6">
        <f>('TE BE'!$AB$48+'TE BF'!$AB$48+'TE CVA'!$AB$48)*1</f>
        <v>230.68197444058345</v>
      </c>
      <c r="AB1893" s="6">
        <f>$K$1893*$V$1893</f>
        <v>0</v>
      </c>
      <c r="AC1893" s="6">
        <f>$M$1893*$W$1893</f>
        <v>1172433.2736000002</v>
      </c>
      <c r="AD1893" s="6">
        <f>$O$1893*$X$1893</f>
        <v>446566.58208000008</v>
      </c>
      <c r="AE1893" s="6">
        <f>$K$1893*$Y$1893</f>
        <v>0</v>
      </c>
      <c r="AF1893" s="6">
        <f ca="1">$M$1893*$Z$1893</f>
        <v>1270101.7431479155</v>
      </c>
      <c r="AG1893" s="6">
        <f>$O$1893*$AA$1893</f>
        <v>583389.17699284898</v>
      </c>
    </row>
    <row r="1894" spans="1:33" ht="11.25" customHeight="1" x14ac:dyDescent="0.25">
      <c r="A1894" s="4" t="s">
        <v>29</v>
      </c>
      <c r="B1894" s="4" t="s">
        <v>39</v>
      </c>
      <c r="C1894" s="4" t="s">
        <v>23</v>
      </c>
      <c r="D1894" s="4" t="s">
        <v>45</v>
      </c>
      <c r="E1894" s="4" t="s">
        <v>25</v>
      </c>
      <c r="F1894" s="4" t="s">
        <v>25</v>
      </c>
      <c r="G1894" s="4" t="s">
        <v>25</v>
      </c>
      <c r="H1894" s="4" t="s">
        <v>25</v>
      </c>
      <c r="I1894" s="5">
        <v>44805</v>
      </c>
      <c r="J1894" s="6">
        <v>0</v>
      </c>
      <c r="K1894" s="6">
        <v>0</v>
      </c>
      <c r="L1894" s="6">
        <v>-15.271000000000001</v>
      </c>
      <c r="M1894" s="6">
        <v>-15.271000000000001</v>
      </c>
      <c r="N1894" s="6">
        <v>-15.271000000000001</v>
      </c>
      <c r="O1894" s="6">
        <v>-15.271000000000001</v>
      </c>
      <c r="P1894" s="6">
        <v>-4</v>
      </c>
      <c r="Q1894" s="4" t="s">
        <v>26</v>
      </c>
      <c r="R1894" s="4">
        <v>0</v>
      </c>
      <c r="S1894" s="6">
        <v>0</v>
      </c>
      <c r="T1894" s="6">
        <v>67</v>
      </c>
      <c r="U1894" s="6">
        <v>111</v>
      </c>
      <c r="V1894" s="6">
        <f>IF(ISERROR(VLOOKUP($S$1894,'TAR FIN'!$A$1:$O$115,15,0)),0,VLOOKUP($S$1894,'TAR FIN'!$A$1:$O$115,15,0))</f>
        <v>0</v>
      </c>
      <c r="W1894" s="6">
        <f>IF(ISERROR(VLOOKUP($T$1894,'TAR FIN'!$A$1:$O$115,15,0)),0,VLOOKUP($T$1894,'TAR FIN'!$A$1:$O$115,15,0))</f>
        <v>463.6</v>
      </c>
      <c r="X1894" s="6">
        <f>IF(ISERROR(VLOOKUP($U$1894,'TAR FIN'!$A$1:$O$115,15,0)),0,VLOOKUP($U$1894,'TAR FIN'!$A$1:$O$115,15,0))</f>
        <v>176.58</v>
      </c>
      <c r="Y1894" s="6"/>
      <c r="Z1894" s="6">
        <f ca="1">('TUSD BE'!$AM$65+'TUSD BF'!$AM$65+'TUSD CVA'!$AM$65)*1</f>
        <v>502.21976924570083</v>
      </c>
      <c r="AA1894" s="6">
        <f>('TE BE'!$AB$48+'TE BF'!$AB$48+'TE CVA'!$AB$48)*1</f>
        <v>230.68197444058345</v>
      </c>
      <c r="AB1894" s="6">
        <f>$K$1894*$V$1894</f>
        <v>0</v>
      </c>
      <c r="AC1894" s="6">
        <f>$M$1894*$W$1894</f>
        <v>-7079.6356000000005</v>
      </c>
      <c r="AD1894" s="6">
        <f>$O$1894*$X$1894</f>
        <v>-2696.5531800000003</v>
      </c>
      <c r="AE1894" s="6">
        <f>$K$1894*$Y$1894</f>
        <v>0</v>
      </c>
      <c r="AF1894" s="6">
        <f ca="1">$M$1894*$Z$1894</f>
        <v>-7669.3980961510979</v>
      </c>
      <c r="AG1894" s="6">
        <f>$O$1894*$AA$1894</f>
        <v>-3522.7444316821502</v>
      </c>
    </row>
    <row r="1895" spans="1:33" ht="11.25" customHeight="1" x14ac:dyDescent="0.25">
      <c r="A1895" s="4" t="s">
        <v>30</v>
      </c>
      <c r="B1895" s="4" t="s">
        <v>39</v>
      </c>
      <c r="C1895" s="4" t="s">
        <v>23</v>
      </c>
      <c r="D1895" s="4" t="s">
        <v>45</v>
      </c>
      <c r="E1895" s="4" t="s">
        <v>25</v>
      </c>
      <c r="F1895" s="4" t="s">
        <v>25</v>
      </c>
      <c r="G1895" s="4" t="s">
        <v>25</v>
      </c>
      <c r="H1895" s="4" t="s">
        <v>25</v>
      </c>
      <c r="I1895" s="5">
        <v>44805</v>
      </c>
      <c r="J1895" s="6">
        <v>0</v>
      </c>
      <c r="K1895" s="6">
        <v>0</v>
      </c>
      <c r="L1895" s="6">
        <v>525.98</v>
      </c>
      <c r="M1895" s="6">
        <v>525.98</v>
      </c>
      <c r="N1895" s="6">
        <v>525.98</v>
      </c>
      <c r="O1895" s="6">
        <v>525.98</v>
      </c>
      <c r="P1895" s="6">
        <v>695</v>
      </c>
      <c r="Q1895" s="4" t="s">
        <v>26</v>
      </c>
      <c r="R1895" s="4">
        <v>0</v>
      </c>
      <c r="S1895" s="6">
        <v>0</v>
      </c>
      <c r="T1895" s="6">
        <v>67</v>
      </c>
      <c r="U1895" s="6">
        <v>111</v>
      </c>
      <c r="V1895" s="6">
        <f>IF(ISERROR(VLOOKUP($S$1895,'TAR FIN'!$A$1:$O$115,15,0)),0,VLOOKUP($S$1895,'TAR FIN'!$A$1:$O$115,15,0))</f>
        <v>0</v>
      </c>
      <c r="W1895" s="6">
        <f>IF(ISERROR(VLOOKUP($T$1895,'TAR FIN'!$A$1:$O$115,15,0)),0,VLOOKUP($T$1895,'TAR FIN'!$A$1:$O$115,15,0))</f>
        <v>463.6</v>
      </c>
      <c r="X1895" s="6">
        <f>IF(ISERROR(VLOOKUP($U$1895,'TAR FIN'!$A$1:$O$115,15,0)),0,VLOOKUP($U$1895,'TAR FIN'!$A$1:$O$115,15,0))</f>
        <v>176.58</v>
      </c>
      <c r="Y1895" s="6"/>
      <c r="Z1895" s="6">
        <f ca="1">('TUSD BE'!$AM$65+'TUSD BF'!$AM$65+'TUSD CVA'!$AM$65)*1</f>
        <v>502.21976924570083</v>
      </c>
      <c r="AA1895" s="6">
        <f>('TE BE'!$AB$48+'TE BF'!$AB$48+'TE CVA'!$AB$48)*1</f>
        <v>230.68197444058345</v>
      </c>
      <c r="AB1895" s="6">
        <f>$K$1895*$V$1895</f>
        <v>0</v>
      </c>
      <c r="AC1895" s="6">
        <f>$M$1895*$W$1895</f>
        <v>243844.32800000001</v>
      </c>
      <c r="AD1895" s="6">
        <f>$O$1895*$X$1895</f>
        <v>92877.548400000014</v>
      </c>
      <c r="AE1895" s="6">
        <f>$K$1895*$Y$1895</f>
        <v>0</v>
      </c>
      <c r="AF1895" s="6">
        <f ca="1">$M$1895*$Z$1895</f>
        <v>264157.55422785372</v>
      </c>
      <c r="AG1895" s="6">
        <f>$O$1895*$AA$1895</f>
        <v>121334.10491625809</v>
      </c>
    </row>
    <row r="1896" spans="1:33" ht="11.25" customHeight="1" x14ac:dyDescent="0.25">
      <c r="A1896" s="4" t="s">
        <v>30</v>
      </c>
      <c r="B1896" s="4" t="s">
        <v>39</v>
      </c>
      <c r="C1896" s="4" t="s">
        <v>23</v>
      </c>
      <c r="D1896" s="4" t="s">
        <v>45</v>
      </c>
      <c r="E1896" s="4" t="s">
        <v>25</v>
      </c>
      <c r="F1896" s="4" t="s">
        <v>25</v>
      </c>
      <c r="G1896" s="4" t="s">
        <v>25</v>
      </c>
      <c r="H1896" s="4" t="s">
        <v>25</v>
      </c>
      <c r="I1896" s="5">
        <v>44805</v>
      </c>
      <c r="J1896" s="6">
        <v>0</v>
      </c>
      <c r="K1896" s="6">
        <v>0</v>
      </c>
      <c r="L1896" s="6">
        <v>-0.83</v>
      </c>
      <c r="M1896" s="6">
        <v>-0.83</v>
      </c>
      <c r="N1896" s="6">
        <v>-0.83</v>
      </c>
      <c r="O1896" s="6">
        <v>-0.83</v>
      </c>
      <c r="P1896" s="6">
        <v>1</v>
      </c>
      <c r="Q1896" s="4" t="s">
        <v>26</v>
      </c>
      <c r="R1896" s="4">
        <v>0</v>
      </c>
      <c r="S1896" s="6">
        <v>0</v>
      </c>
      <c r="T1896" s="6">
        <v>67</v>
      </c>
      <c r="U1896" s="6">
        <v>111</v>
      </c>
      <c r="V1896" s="6">
        <f>IF(ISERROR(VLOOKUP($S$1896,'TAR FIN'!$A$1:$O$115,15,0)),0,VLOOKUP($S$1896,'TAR FIN'!$A$1:$O$115,15,0))</f>
        <v>0</v>
      </c>
      <c r="W1896" s="6">
        <f>IF(ISERROR(VLOOKUP($T$1896,'TAR FIN'!$A$1:$O$115,15,0)),0,VLOOKUP($T$1896,'TAR FIN'!$A$1:$O$115,15,0))</f>
        <v>463.6</v>
      </c>
      <c r="X1896" s="6">
        <f>IF(ISERROR(VLOOKUP($U$1896,'TAR FIN'!$A$1:$O$115,15,0)),0,VLOOKUP($U$1896,'TAR FIN'!$A$1:$O$115,15,0))</f>
        <v>176.58</v>
      </c>
      <c r="Y1896" s="6"/>
      <c r="Z1896" s="6">
        <f ca="1">('TUSD BE'!$AM$65+'TUSD BF'!$AM$65+'TUSD CVA'!$AM$65)*1</f>
        <v>502.21976924570083</v>
      </c>
      <c r="AA1896" s="6">
        <f>('TE BE'!$AB$48+'TE BF'!$AB$48+'TE CVA'!$AB$48)*1</f>
        <v>230.68197444058345</v>
      </c>
      <c r="AB1896" s="6">
        <f>$K$1896*$V$1896</f>
        <v>0</v>
      </c>
      <c r="AC1896" s="6">
        <f>$M$1896*$W$1896</f>
        <v>-384.78800000000001</v>
      </c>
      <c r="AD1896" s="6">
        <f>$O$1896*$X$1896</f>
        <v>-146.56139999999999</v>
      </c>
      <c r="AE1896" s="6">
        <f>$K$1896*$Y$1896</f>
        <v>0</v>
      </c>
      <c r="AF1896" s="6">
        <f ca="1">$M$1896*$Z$1896</f>
        <v>-416.8424084739317</v>
      </c>
      <c r="AG1896" s="6">
        <f>$O$1896*$AA$1896</f>
        <v>-191.46603878568425</v>
      </c>
    </row>
    <row r="1897" spans="1:33" ht="11.25" customHeight="1" x14ac:dyDescent="0.25">
      <c r="A1897" s="4" t="s">
        <v>21</v>
      </c>
      <c r="B1897" s="4" t="s">
        <v>39</v>
      </c>
      <c r="C1897" s="4" t="s">
        <v>23</v>
      </c>
      <c r="D1897" s="4" t="s">
        <v>45</v>
      </c>
      <c r="E1897" s="4" t="s">
        <v>25</v>
      </c>
      <c r="F1897" s="4" t="s">
        <v>25</v>
      </c>
      <c r="G1897" s="4" t="s">
        <v>25</v>
      </c>
      <c r="H1897" s="4" t="s">
        <v>25</v>
      </c>
      <c r="I1897" s="5">
        <v>44835</v>
      </c>
      <c r="J1897" s="6">
        <v>0</v>
      </c>
      <c r="K1897" s="6">
        <v>0</v>
      </c>
      <c r="L1897" s="6">
        <v>10811.177</v>
      </c>
      <c r="M1897" s="6">
        <v>10811.177</v>
      </c>
      <c r="N1897" s="6">
        <v>10811.177</v>
      </c>
      <c r="O1897" s="6">
        <v>10811.177</v>
      </c>
      <c r="P1897" s="6">
        <v>17086</v>
      </c>
      <c r="Q1897" s="4" t="s">
        <v>26</v>
      </c>
      <c r="R1897" s="4">
        <v>0</v>
      </c>
      <c r="S1897" s="6">
        <v>0</v>
      </c>
      <c r="T1897" s="6">
        <v>67</v>
      </c>
      <c r="U1897" s="6">
        <v>111</v>
      </c>
      <c r="V1897" s="6">
        <f>IF(ISERROR(VLOOKUP($S$1897,'TAR FIN'!$A$1:$O$115,15,0)),0,VLOOKUP($S$1897,'TAR FIN'!$A$1:$O$115,15,0))</f>
        <v>0</v>
      </c>
      <c r="W1897" s="6">
        <f>IF(ISERROR(VLOOKUP($T$1897,'TAR FIN'!$A$1:$O$115,15,0)),0,VLOOKUP($T$1897,'TAR FIN'!$A$1:$O$115,15,0))</f>
        <v>463.6</v>
      </c>
      <c r="X1897" s="6">
        <f>IF(ISERROR(VLOOKUP($U$1897,'TAR FIN'!$A$1:$O$115,15,0)),0,VLOOKUP($U$1897,'TAR FIN'!$A$1:$O$115,15,0))</f>
        <v>176.58</v>
      </c>
      <c r="Y1897" s="6"/>
      <c r="Z1897" s="6">
        <f ca="1">('TUSD BE'!$AM$65+'TUSD BF'!$AM$65+'TUSD CVA'!$AM$65)*1</f>
        <v>502.21976924570083</v>
      </c>
      <c r="AA1897" s="6">
        <f>('TE BE'!$AB$48+'TE BF'!$AB$48+'TE CVA'!$AB$48)*1</f>
        <v>230.68197444058345</v>
      </c>
      <c r="AB1897" s="6">
        <f>$K$1897*$V$1897</f>
        <v>0</v>
      </c>
      <c r="AC1897" s="6">
        <f>$M$1897*$W$1897</f>
        <v>5012061.6572000002</v>
      </c>
      <c r="AD1897" s="6">
        <f>$O$1897*$X$1897</f>
        <v>1909037.63466</v>
      </c>
      <c r="AE1897" s="6">
        <f>$K$1897*$Y$1897</f>
        <v>0</v>
      </c>
      <c r="AF1897" s="6">
        <f ca="1">$M$1897*$Z$1897</f>
        <v>5429586.8182144277</v>
      </c>
      <c r="AG1897" s="6">
        <f>$O$1897*$AA$1897</f>
        <v>2493943.6563866236</v>
      </c>
    </row>
    <row r="1898" spans="1:33" ht="11.25" customHeight="1" x14ac:dyDescent="0.25">
      <c r="A1898" s="4" t="s">
        <v>27</v>
      </c>
      <c r="B1898" s="4" t="s">
        <v>39</v>
      </c>
      <c r="C1898" s="4" t="s">
        <v>23</v>
      </c>
      <c r="D1898" s="4" t="s">
        <v>45</v>
      </c>
      <c r="E1898" s="4" t="s">
        <v>25</v>
      </c>
      <c r="F1898" s="4" t="s">
        <v>25</v>
      </c>
      <c r="G1898" s="4" t="s">
        <v>25</v>
      </c>
      <c r="H1898" s="4" t="s">
        <v>25</v>
      </c>
      <c r="I1898" s="5">
        <v>44835</v>
      </c>
      <c r="J1898" s="6">
        <v>0</v>
      </c>
      <c r="K1898" s="6">
        <v>0</v>
      </c>
      <c r="L1898" s="6">
        <v>-64.725999999999999</v>
      </c>
      <c r="M1898" s="6">
        <v>-64.725999999999999</v>
      </c>
      <c r="N1898" s="6">
        <v>-64.725999999999999</v>
      </c>
      <c r="O1898" s="6">
        <v>-64.725999999999999</v>
      </c>
      <c r="P1898" s="6">
        <v>-12</v>
      </c>
      <c r="Q1898" s="4" t="s">
        <v>26</v>
      </c>
      <c r="R1898" s="4">
        <v>0</v>
      </c>
      <c r="S1898" s="6">
        <v>0</v>
      </c>
      <c r="T1898" s="6">
        <v>67</v>
      </c>
      <c r="U1898" s="6">
        <v>111</v>
      </c>
      <c r="V1898" s="6">
        <f>IF(ISERROR(VLOOKUP($S$1898,'TAR FIN'!$A$1:$O$115,15,0)),0,VLOOKUP($S$1898,'TAR FIN'!$A$1:$O$115,15,0))</f>
        <v>0</v>
      </c>
      <c r="W1898" s="6">
        <f>IF(ISERROR(VLOOKUP($T$1898,'TAR FIN'!$A$1:$O$115,15,0)),0,VLOOKUP($T$1898,'TAR FIN'!$A$1:$O$115,15,0))</f>
        <v>463.6</v>
      </c>
      <c r="X1898" s="6">
        <f>IF(ISERROR(VLOOKUP($U$1898,'TAR FIN'!$A$1:$O$115,15,0)),0,VLOOKUP($U$1898,'TAR FIN'!$A$1:$O$115,15,0))</f>
        <v>176.58</v>
      </c>
      <c r="Y1898" s="6"/>
      <c r="Z1898" s="6">
        <f ca="1">('TUSD BE'!$AM$65+'TUSD BF'!$AM$65+'TUSD CVA'!$AM$65)*1</f>
        <v>502.21976924570083</v>
      </c>
      <c r="AA1898" s="6">
        <f>('TE BE'!$AB$48+'TE BF'!$AB$48+'TE CVA'!$AB$48)*1</f>
        <v>230.68197444058345</v>
      </c>
      <c r="AB1898" s="6">
        <f>$K$1898*$V$1898</f>
        <v>0</v>
      </c>
      <c r="AC1898" s="6">
        <f>$M$1898*$W$1898</f>
        <v>-30006.973600000001</v>
      </c>
      <c r="AD1898" s="6">
        <f>$O$1898*$X$1898</f>
        <v>-11429.317080000001</v>
      </c>
      <c r="AE1898" s="6">
        <f>$K$1898*$Y$1898</f>
        <v>0</v>
      </c>
      <c r="AF1898" s="6">
        <f ca="1">$M$1898*$Z$1898</f>
        <v>-32506.676784197232</v>
      </c>
      <c r="AG1898" s="6">
        <f>$O$1898*$AA$1898</f>
        <v>-14931.121477641203</v>
      </c>
    </row>
    <row r="1899" spans="1:33" ht="11.25" customHeight="1" x14ac:dyDescent="0.25">
      <c r="A1899" s="4" t="s">
        <v>28</v>
      </c>
      <c r="B1899" s="4" t="s">
        <v>39</v>
      </c>
      <c r="C1899" s="4" t="s">
        <v>23</v>
      </c>
      <c r="D1899" s="4" t="s">
        <v>45</v>
      </c>
      <c r="E1899" s="4" t="s">
        <v>25</v>
      </c>
      <c r="F1899" s="4" t="s">
        <v>25</v>
      </c>
      <c r="G1899" s="4" t="s">
        <v>25</v>
      </c>
      <c r="H1899" s="4" t="s">
        <v>25</v>
      </c>
      <c r="I1899" s="5">
        <v>44835</v>
      </c>
      <c r="J1899" s="6">
        <v>0</v>
      </c>
      <c r="K1899" s="6">
        <v>0</v>
      </c>
      <c r="L1899" s="6">
        <v>2639.0830000000001</v>
      </c>
      <c r="M1899" s="6">
        <v>2639.0830000000001</v>
      </c>
      <c r="N1899" s="6">
        <v>2639.0830000000001</v>
      </c>
      <c r="O1899" s="6">
        <v>2639.0830000000001</v>
      </c>
      <c r="P1899" s="6">
        <v>4981</v>
      </c>
      <c r="Q1899" s="4" t="s">
        <v>26</v>
      </c>
      <c r="R1899" s="4">
        <v>0</v>
      </c>
      <c r="S1899" s="6">
        <v>0</v>
      </c>
      <c r="T1899" s="6">
        <v>67</v>
      </c>
      <c r="U1899" s="6">
        <v>111</v>
      </c>
      <c r="V1899" s="6">
        <f>IF(ISERROR(VLOOKUP($S$1899,'TAR FIN'!$A$1:$O$115,15,0)),0,VLOOKUP($S$1899,'TAR FIN'!$A$1:$O$115,15,0))</f>
        <v>0</v>
      </c>
      <c r="W1899" s="6">
        <f>IF(ISERROR(VLOOKUP($T$1899,'TAR FIN'!$A$1:$O$115,15,0)),0,VLOOKUP($T$1899,'TAR FIN'!$A$1:$O$115,15,0))</f>
        <v>463.6</v>
      </c>
      <c r="X1899" s="6">
        <f>IF(ISERROR(VLOOKUP($U$1899,'TAR FIN'!$A$1:$O$115,15,0)),0,VLOOKUP($U$1899,'TAR FIN'!$A$1:$O$115,15,0))</f>
        <v>176.58</v>
      </c>
      <c r="Y1899" s="6"/>
      <c r="Z1899" s="6">
        <f ca="1">('TUSD BE'!$AM$65+'TUSD BF'!$AM$65+'TUSD CVA'!$AM$65)*1</f>
        <v>502.21976924570083</v>
      </c>
      <c r="AA1899" s="6">
        <f>('TE BE'!$AB$48+'TE BF'!$AB$48+'TE CVA'!$AB$48)*1</f>
        <v>230.68197444058345</v>
      </c>
      <c r="AB1899" s="6">
        <f>$K$1899*$V$1899</f>
        <v>0</v>
      </c>
      <c r="AC1899" s="6">
        <f>$M$1899*$W$1899</f>
        <v>1223478.8788000001</v>
      </c>
      <c r="AD1899" s="6">
        <f>$O$1899*$X$1899</f>
        <v>466009.27614000003</v>
      </c>
      <c r="AE1899" s="6">
        <f>$K$1899*$Y$1899</f>
        <v>0</v>
      </c>
      <c r="AF1899" s="6">
        <f ca="1">$M$1899*$Z$1899</f>
        <v>1325399.655280252</v>
      </c>
      <c r="AG1899" s="6">
        <f>$O$1899*$AA$1899</f>
        <v>608788.87715257832</v>
      </c>
    </row>
    <row r="1900" spans="1:33" ht="11.25" customHeight="1" x14ac:dyDescent="0.25">
      <c r="A1900" s="4" t="s">
        <v>29</v>
      </c>
      <c r="B1900" s="4" t="s">
        <v>39</v>
      </c>
      <c r="C1900" s="4" t="s">
        <v>23</v>
      </c>
      <c r="D1900" s="4" t="s">
        <v>45</v>
      </c>
      <c r="E1900" s="4" t="s">
        <v>25</v>
      </c>
      <c r="F1900" s="4" t="s">
        <v>25</v>
      </c>
      <c r="G1900" s="4" t="s">
        <v>25</v>
      </c>
      <c r="H1900" s="4" t="s">
        <v>25</v>
      </c>
      <c r="I1900" s="5">
        <v>44835</v>
      </c>
      <c r="J1900" s="6">
        <v>0</v>
      </c>
      <c r="K1900" s="6">
        <v>0</v>
      </c>
      <c r="L1900" s="6">
        <v>-4.8179999999999996</v>
      </c>
      <c r="M1900" s="6">
        <v>-4.8179999999999996</v>
      </c>
      <c r="N1900" s="6">
        <v>-4.8179999999999996</v>
      </c>
      <c r="O1900" s="6">
        <v>-4.8179999999999996</v>
      </c>
      <c r="P1900" s="6">
        <v>-3</v>
      </c>
      <c r="Q1900" s="4" t="s">
        <v>26</v>
      </c>
      <c r="R1900" s="4">
        <v>0</v>
      </c>
      <c r="S1900" s="6">
        <v>0</v>
      </c>
      <c r="T1900" s="6">
        <v>67</v>
      </c>
      <c r="U1900" s="6">
        <v>111</v>
      </c>
      <c r="V1900" s="6">
        <f>IF(ISERROR(VLOOKUP($S$1900,'TAR FIN'!$A$1:$O$115,15,0)),0,VLOOKUP($S$1900,'TAR FIN'!$A$1:$O$115,15,0))</f>
        <v>0</v>
      </c>
      <c r="W1900" s="6">
        <f>IF(ISERROR(VLOOKUP($T$1900,'TAR FIN'!$A$1:$O$115,15,0)),0,VLOOKUP($T$1900,'TAR FIN'!$A$1:$O$115,15,0))</f>
        <v>463.6</v>
      </c>
      <c r="X1900" s="6">
        <f>IF(ISERROR(VLOOKUP($U$1900,'TAR FIN'!$A$1:$O$115,15,0)),0,VLOOKUP($U$1900,'TAR FIN'!$A$1:$O$115,15,0))</f>
        <v>176.58</v>
      </c>
      <c r="Y1900" s="6"/>
      <c r="Z1900" s="6">
        <f ca="1">('TUSD BE'!$AM$65+'TUSD BF'!$AM$65+'TUSD CVA'!$AM$65)*1</f>
        <v>502.21976924570083</v>
      </c>
      <c r="AA1900" s="6">
        <f>('TE BE'!$AB$48+'TE BF'!$AB$48+'TE CVA'!$AB$48)*1</f>
        <v>230.68197444058345</v>
      </c>
      <c r="AB1900" s="6">
        <f>$K$1900*$V$1900</f>
        <v>0</v>
      </c>
      <c r="AC1900" s="6">
        <f>$M$1900*$W$1900</f>
        <v>-2233.6248000000001</v>
      </c>
      <c r="AD1900" s="6">
        <f>$O$1900*$X$1900</f>
        <v>-850.76243999999997</v>
      </c>
      <c r="AE1900" s="6">
        <f>$K$1900*$Y$1900</f>
        <v>0</v>
      </c>
      <c r="AF1900" s="6">
        <f ca="1">$M$1900*$Z$1900</f>
        <v>-2419.6948482257862</v>
      </c>
      <c r="AG1900" s="6">
        <f>$O$1900*$AA$1900</f>
        <v>-1111.4257528547309</v>
      </c>
    </row>
    <row r="1901" spans="1:33" ht="11.25" customHeight="1" x14ac:dyDescent="0.25">
      <c r="A1901" s="4" t="s">
        <v>30</v>
      </c>
      <c r="B1901" s="4" t="s">
        <v>39</v>
      </c>
      <c r="C1901" s="4" t="s">
        <v>23</v>
      </c>
      <c r="D1901" s="4" t="s">
        <v>45</v>
      </c>
      <c r="E1901" s="4" t="s">
        <v>25</v>
      </c>
      <c r="F1901" s="4" t="s">
        <v>25</v>
      </c>
      <c r="G1901" s="4" t="s">
        <v>25</v>
      </c>
      <c r="H1901" s="4" t="s">
        <v>25</v>
      </c>
      <c r="I1901" s="5">
        <v>44835</v>
      </c>
      <c r="J1901" s="6">
        <v>0</v>
      </c>
      <c r="K1901" s="6">
        <v>0</v>
      </c>
      <c r="L1901" s="6">
        <v>552.38499999999999</v>
      </c>
      <c r="M1901" s="6">
        <v>552.38499999999999</v>
      </c>
      <c r="N1901" s="6">
        <v>552.38499999999999</v>
      </c>
      <c r="O1901" s="6">
        <v>552.38499999999999</v>
      </c>
      <c r="P1901" s="6">
        <v>716</v>
      </c>
      <c r="Q1901" s="4" t="s">
        <v>26</v>
      </c>
      <c r="R1901" s="4">
        <v>0</v>
      </c>
      <c r="S1901" s="6">
        <v>0</v>
      </c>
      <c r="T1901" s="6">
        <v>67</v>
      </c>
      <c r="U1901" s="6">
        <v>111</v>
      </c>
      <c r="V1901" s="6">
        <f>IF(ISERROR(VLOOKUP($S$1901,'TAR FIN'!$A$1:$O$115,15,0)),0,VLOOKUP($S$1901,'TAR FIN'!$A$1:$O$115,15,0))</f>
        <v>0</v>
      </c>
      <c r="W1901" s="6">
        <f>IF(ISERROR(VLOOKUP($T$1901,'TAR FIN'!$A$1:$O$115,15,0)),0,VLOOKUP($T$1901,'TAR FIN'!$A$1:$O$115,15,0))</f>
        <v>463.6</v>
      </c>
      <c r="X1901" s="6">
        <f>IF(ISERROR(VLOOKUP($U$1901,'TAR FIN'!$A$1:$O$115,15,0)),0,VLOOKUP($U$1901,'TAR FIN'!$A$1:$O$115,15,0))</f>
        <v>176.58</v>
      </c>
      <c r="Y1901" s="6"/>
      <c r="Z1901" s="6">
        <f ca="1">('TUSD BE'!$AM$65+'TUSD BF'!$AM$65+'TUSD CVA'!$AM$65)*1</f>
        <v>502.21976924570083</v>
      </c>
      <c r="AA1901" s="6">
        <f>('TE BE'!$AB$48+'TE BF'!$AB$48+'TE CVA'!$AB$48)*1</f>
        <v>230.68197444058345</v>
      </c>
      <c r="AB1901" s="6">
        <f>$K$1901*$V$1901</f>
        <v>0</v>
      </c>
      <c r="AC1901" s="6">
        <f>$M$1901*$W$1901</f>
        <v>256085.68600000002</v>
      </c>
      <c r="AD1901" s="6">
        <f>$O$1901*$X$1901</f>
        <v>97540.143300000011</v>
      </c>
      <c r="AE1901" s="6">
        <f>$K$1901*$Y$1901</f>
        <v>0</v>
      </c>
      <c r="AF1901" s="6">
        <f ca="1">$M$1901*$Z$1901</f>
        <v>277418.66723478644</v>
      </c>
      <c r="AG1901" s="6">
        <f>$O$1901*$AA$1901</f>
        <v>127425.26245136169</v>
      </c>
    </row>
    <row r="1902" spans="1:33" ht="11.25" customHeight="1" x14ac:dyDescent="0.25">
      <c r="A1902" s="4" t="s">
        <v>30</v>
      </c>
      <c r="B1902" s="4" t="s">
        <v>39</v>
      </c>
      <c r="C1902" s="4" t="s">
        <v>23</v>
      </c>
      <c r="D1902" s="4" t="s">
        <v>45</v>
      </c>
      <c r="E1902" s="4" t="s">
        <v>25</v>
      </c>
      <c r="F1902" s="4" t="s">
        <v>25</v>
      </c>
      <c r="G1902" s="4" t="s">
        <v>25</v>
      </c>
      <c r="H1902" s="4" t="s">
        <v>25</v>
      </c>
      <c r="I1902" s="5">
        <v>44835</v>
      </c>
      <c r="J1902" s="6">
        <v>0</v>
      </c>
      <c r="K1902" s="6">
        <v>0</v>
      </c>
      <c r="L1902" s="6">
        <v>-0.436</v>
      </c>
      <c r="M1902" s="6">
        <v>-0.436</v>
      </c>
      <c r="N1902" s="6">
        <v>-0.436</v>
      </c>
      <c r="O1902" s="6">
        <v>-0.436</v>
      </c>
      <c r="P1902" s="6">
        <v>1</v>
      </c>
      <c r="Q1902" s="4" t="s">
        <v>26</v>
      </c>
      <c r="R1902" s="4">
        <v>0</v>
      </c>
      <c r="S1902" s="6">
        <v>0</v>
      </c>
      <c r="T1902" s="6">
        <v>67</v>
      </c>
      <c r="U1902" s="6">
        <v>111</v>
      </c>
      <c r="V1902" s="6">
        <f>IF(ISERROR(VLOOKUP($S$1902,'TAR FIN'!$A$1:$O$115,15,0)),0,VLOOKUP($S$1902,'TAR FIN'!$A$1:$O$115,15,0))</f>
        <v>0</v>
      </c>
      <c r="W1902" s="6">
        <f>IF(ISERROR(VLOOKUP($T$1902,'TAR FIN'!$A$1:$O$115,15,0)),0,VLOOKUP($T$1902,'TAR FIN'!$A$1:$O$115,15,0))</f>
        <v>463.6</v>
      </c>
      <c r="X1902" s="6">
        <f>IF(ISERROR(VLOOKUP($U$1902,'TAR FIN'!$A$1:$O$115,15,0)),0,VLOOKUP($U$1902,'TAR FIN'!$A$1:$O$115,15,0))</f>
        <v>176.58</v>
      </c>
      <c r="Y1902" s="6"/>
      <c r="Z1902" s="6">
        <f ca="1">('TUSD BE'!$AM$65+'TUSD BF'!$AM$65+'TUSD CVA'!$AM$65)*1</f>
        <v>502.21976924570083</v>
      </c>
      <c r="AA1902" s="6">
        <f>('TE BE'!$AB$48+'TE BF'!$AB$48+'TE CVA'!$AB$48)*1</f>
        <v>230.68197444058345</v>
      </c>
      <c r="AB1902" s="6">
        <f>$K$1902*$V$1902</f>
        <v>0</v>
      </c>
      <c r="AC1902" s="6">
        <f>$M$1902*$W$1902</f>
        <v>-202.12960000000001</v>
      </c>
      <c r="AD1902" s="6">
        <f>$O$1902*$X$1902</f>
        <v>-76.988880000000009</v>
      </c>
      <c r="AE1902" s="6">
        <f>$K$1902*$Y$1902</f>
        <v>0</v>
      </c>
      <c r="AF1902" s="6">
        <f ca="1">$M$1902*$Z$1902</f>
        <v>-218.96781939112557</v>
      </c>
      <c r="AG1902" s="6">
        <f>$O$1902*$AA$1902</f>
        <v>-100.57734085609438</v>
      </c>
    </row>
    <row r="1903" spans="1:33" ht="11.25" customHeight="1" x14ac:dyDescent="0.25">
      <c r="A1903" s="4" t="s">
        <v>59</v>
      </c>
      <c r="B1903" s="4" t="s">
        <v>39</v>
      </c>
      <c r="C1903" s="4" t="s">
        <v>23</v>
      </c>
      <c r="D1903" s="4" t="s">
        <v>45</v>
      </c>
      <c r="E1903" s="4" t="s">
        <v>25</v>
      </c>
      <c r="F1903" s="4" t="s">
        <v>25</v>
      </c>
      <c r="G1903" s="4" t="s">
        <v>25</v>
      </c>
      <c r="H1903" s="4" t="s">
        <v>25</v>
      </c>
      <c r="I1903" s="5">
        <v>44866</v>
      </c>
      <c r="J1903" s="6">
        <v>0</v>
      </c>
      <c r="K1903" s="6">
        <v>0</v>
      </c>
      <c r="L1903" s="6">
        <v>10811.177</v>
      </c>
      <c r="M1903" s="6">
        <v>10811.177</v>
      </c>
      <c r="N1903" s="6">
        <v>10811.177</v>
      </c>
      <c r="O1903" s="6">
        <v>10811.177</v>
      </c>
      <c r="P1903" s="6">
        <v>17086</v>
      </c>
      <c r="Q1903" s="4" t="s">
        <v>26</v>
      </c>
      <c r="R1903" s="4">
        <v>0</v>
      </c>
      <c r="S1903" s="6">
        <v>0</v>
      </c>
      <c r="T1903" s="6">
        <v>67</v>
      </c>
      <c r="U1903" s="6">
        <v>111</v>
      </c>
      <c r="V1903" s="6">
        <f>IF(ISERROR(VLOOKUP($S$1903,'TAR FIN'!$A$1:$O$115,15,0)),0,VLOOKUP($S$1903,'TAR FIN'!$A$1:$O$115,15,0))</f>
        <v>0</v>
      </c>
      <c r="W1903" s="6">
        <f>IF(ISERROR(VLOOKUP($T$1903,'TAR FIN'!$A$1:$O$115,15,0)),0,VLOOKUP($T$1903,'TAR FIN'!$A$1:$O$115,15,0))</f>
        <v>463.6</v>
      </c>
      <c r="X1903" s="6">
        <f>IF(ISERROR(VLOOKUP($U$1903,'TAR FIN'!$A$1:$O$115,15,0)),0,VLOOKUP($U$1903,'TAR FIN'!$A$1:$O$115,15,0))</f>
        <v>176.58</v>
      </c>
      <c r="Y1903" s="6"/>
      <c r="Z1903" s="6">
        <f ca="1">('TUSD BE'!$AM$65+'TUSD BF'!$AM$65+'TUSD CVA'!$AM$65)*1</f>
        <v>502.21976924570083</v>
      </c>
      <c r="AA1903" s="6">
        <f>('TE BE'!$AB$48+'TE BF'!$AB$48+'TE CVA'!$AB$48)*1</f>
        <v>230.68197444058345</v>
      </c>
      <c r="AB1903" s="6">
        <f>$K$1903*$V$1903</f>
        <v>0</v>
      </c>
      <c r="AC1903" s="6">
        <f>$M$1903*$W$1903</f>
        <v>5012061.6572000002</v>
      </c>
      <c r="AD1903" s="6">
        <f>$O$1903*$X$1903</f>
        <v>1909037.63466</v>
      </c>
      <c r="AE1903" s="6">
        <f>$K$1903*$Y$1903</f>
        <v>0</v>
      </c>
      <c r="AF1903" s="6">
        <f ca="1">$M$1903*$Z$1903</f>
        <v>5429586.8182144277</v>
      </c>
      <c r="AG1903" s="6">
        <f>$O$1903*$AA$1903</f>
        <v>2493943.6563866236</v>
      </c>
    </row>
    <row r="1904" spans="1:33" ht="11.25" customHeight="1" x14ac:dyDescent="0.25">
      <c r="A1904" s="4" t="s">
        <v>59</v>
      </c>
      <c r="B1904" s="4" t="s">
        <v>39</v>
      </c>
      <c r="C1904" s="4" t="s">
        <v>23</v>
      </c>
      <c r="D1904" s="4" t="s">
        <v>45</v>
      </c>
      <c r="E1904" s="4" t="s">
        <v>25</v>
      </c>
      <c r="F1904" s="4" t="s">
        <v>25</v>
      </c>
      <c r="G1904" s="4" t="s">
        <v>25</v>
      </c>
      <c r="H1904" s="4" t="s">
        <v>25</v>
      </c>
      <c r="I1904" s="5">
        <v>44866</v>
      </c>
      <c r="J1904" s="6">
        <v>0</v>
      </c>
      <c r="K1904" s="6">
        <v>0</v>
      </c>
      <c r="L1904" s="6">
        <v>-64.725999999999999</v>
      </c>
      <c r="M1904" s="6">
        <v>-64.725999999999999</v>
      </c>
      <c r="N1904" s="6">
        <v>-64.725999999999999</v>
      </c>
      <c r="O1904" s="6">
        <v>-64.725999999999999</v>
      </c>
      <c r="P1904" s="6">
        <v>-12</v>
      </c>
      <c r="Q1904" s="4" t="s">
        <v>26</v>
      </c>
      <c r="R1904" s="4">
        <v>0</v>
      </c>
      <c r="S1904" s="6">
        <v>0</v>
      </c>
      <c r="T1904" s="6">
        <v>67</v>
      </c>
      <c r="U1904" s="6">
        <v>111</v>
      </c>
      <c r="V1904" s="6">
        <f>IF(ISERROR(VLOOKUP($S$1904,'TAR FIN'!$A$1:$O$115,15,0)),0,VLOOKUP($S$1904,'TAR FIN'!$A$1:$O$115,15,0))</f>
        <v>0</v>
      </c>
      <c r="W1904" s="6">
        <f>IF(ISERROR(VLOOKUP($T$1904,'TAR FIN'!$A$1:$O$115,15,0)),0,VLOOKUP($T$1904,'TAR FIN'!$A$1:$O$115,15,0))</f>
        <v>463.6</v>
      </c>
      <c r="X1904" s="6">
        <f>IF(ISERROR(VLOOKUP($U$1904,'TAR FIN'!$A$1:$O$115,15,0)),0,VLOOKUP($U$1904,'TAR FIN'!$A$1:$O$115,15,0))</f>
        <v>176.58</v>
      </c>
      <c r="Y1904" s="6"/>
      <c r="Z1904" s="6">
        <f ca="1">('TUSD BE'!$AM$65+'TUSD BF'!$AM$65+'TUSD CVA'!$AM$65)*1</f>
        <v>502.21976924570083</v>
      </c>
      <c r="AA1904" s="6">
        <f>('TE BE'!$AB$48+'TE BF'!$AB$48+'TE CVA'!$AB$48)*1</f>
        <v>230.68197444058345</v>
      </c>
      <c r="AB1904" s="6">
        <f>$K$1904*$V$1904</f>
        <v>0</v>
      </c>
      <c r="AC1904" s="6">
        <f>$M$1904*$W$1904</f>
        <v>-30006.973600000001</v>
      </c>
      <c r="AD1904" s="6">
        <f>$O$1904*$X$1904</f>
        <v>-11429.317080000001</v>
      </c>
      <c r="AE1904" s="6">
        <f>$K$1904*$Y$1904</f>
        <v>0</v>
      </c>
      <c r="AF1904" s="6">
        <f ca="1">$M$1904*$Z$1904</f>
        <v>-32506.676784197232</v>
      </c>
      <c r="AG1904" s="6">
        <f>$O$1904*$AA$1904</f>
        <v>-14931.121477641203</v>
      </c>
    </row>
    <row r="1905" spans="1:33" ht="11.25" customHeight="1" x14ac:dyDescent="0.25">
      <c r="A1905" s="4" t="s">
        <v>59</v>
      </c>
      <c r="B1905" s="4" t="s">
        <v>39</v>
      </c>
      <c r="C1905" s="4" t="s">
        <v>23</v>
      </c>
      <c r="D1905" s="4" t="s">
        <v>45</v>
      </c>
      <c r="E1905" s="4" t="s">
        <v>25</v>
      </c>
      <c r="F1905" s="4" t="s">
        <v>25</v>
      </c>
      <c r="G1905" s="4" t="s">
        <v>25</v>
      </c>
      <c r="H1905" s="4" t="s">
        <v>25</v>
      </c>
      <c r="I1905" s="5">
        <v>44866</v>
      </c>
      <c r="J1905" s="6">
        <v>0</v>
      </c>
      <c r="K1905" s="6">
        <v>0</v>
      </c>
      <c r="L1905" s="6">
        <v>2639.0830000000001</v>
      </c>
      <c r="M1905" s="6">
        <v>2639.0830000000001</v>
      </c>
      <c r="N1905" s="6">
        <v>2639.0830000000001</v>
      </c>
      <c r="O1905" s="6">
        <v>2639.0830000000001</v>
      </c>
      <c r="P1905" s="6">
        <v>4981</v>
      </c>
      <c r="Q1905" s="4" t="s">
        <v>26</v>
      </c>
      <c r="R1905" s="4">
        <v>0</v>
      </c>
      <c r="S1905" s="6">
        <v>0</v>
      </c>
      <c r="T1905" s="6">
        <v>67</v>
      </c>
      <c r="U1905" s="6">
        <v>111</v>
      </c>
      <c r="V1905" s="6">
        <f>IF(ISERROR(VLOOKUP($S$1905,'TAR FIN'!$A$1:$O$115,15,0)),0,VLOOKUP($S$1905,'TAR FIN'!$A$1:$O$115,15,0))</f>
        <v>0</v>
      </c>
      <c r="W1905" s="6">
        <f>IF(ISERROR(VLOOKUP($T$1905,'TAR FIN'!$A$1:$O$115,15,0)),0,VLOOKUP($T$1905,'TAR FIN'!$A$1:$O$115,15,0))</f>
        <v>463.6</v>
      </c>
      <c r="X1905" s="6">
        <f>IF(ISERROR(VLOOKUP($U$1905,'TAR FIN'!$A$1:$O$115,15,0)),0,VLOOKUP($U$1905,'TAR FIN'!$A$1:$O$115,15,0))</f>
        <v>176.58</v>
      </c>
      <c r="Y1905" s="6"/>
      <c r="Z1905" s="6">
        <f ca="1">('TUSD BE'!$AM$65+'TUSD BF'!$AM$65+'TUSD CVA'!$AM$65)*1</f>
        <v>502.21976924570083</v>
      </c>
      <c r="AA1905" s="6">
        <f>('TE BE'!$AB$48+'TE BF'!$AB$48+'TE CVA'!$AB$48)*1</f>
        <v>230.68197444058345</v>
      </c>
      <c r="AB1905" s="6">
        <f>$K$1905*$V$1905</f>
        <v>0</v>
      </c>
      <c r="AC1905" s="6">
        <f>$M$1905*$W$1905</f>
        <v>1223478.8788000001</v>
      </c>
      <c r="AD1905" s="6">
        <f>$O$1905*$X$1905</f>
        <v>466009.27614000003</v>
      </c>
      <c r="AE1905" s="6">
        <f>$K$1905*$Y$1905</f>
        <v>0</v>
      </c>
      <c r="AF1905" s="6">
        <f ca="1">$M$1905*$Z$1905</f>
        <v>1325399.655280252</v>
      </c>
      <c r="AG1905" s="6">
        <f>$O$1905*$AA$1905</f>
        <v>608788.87715257832</v>
      </c>
    </row>
    <row r="1906" spans="1:33" ht="11.25" customHeight="1" x14ac:dyDescent="0.25">
      <c r="A1906" s="4" t="s">
        <v>59</v>
      </c>
      <c r="B1906" s="4" t="s">
        <v>39</v>
      </c>
      <c r="C1906" s="4" t="s">
        <v>23</v>
      </c>
      <c r="D1906" s="4" t="s">
        <v>45</v>
      </c>
      <c r="E1906" s="4" t="s">
        <v>25</v>
      </c>
      <c r="F1906" s="4" t="s">
        <v>25</v>
      </c>
      <c r="G1906" s="4" t="s">
        <v>25</v>
      </c>
      <c r="H1906" s="4" t="s">
        <v>25</v>
      </c>
      <c r="I1906" s="5">
        <v>44866</v>
      </c>
      <c r="J1906" s="6">
        <v>0</v>
      </c>
      <c r="K1906" s="6">
        <v>0</v>
      </c>
      <c r="L1906" s="6">
        <v>-4.8179999999999996</v>
      </c>
      <c r="M1906" s="6">
        <v>-4.8179999999999996</v>
      </c>
      <c r="N1906" s="6">
        <v>-4.8179999999999996</v>
      </c>
      <c r="O1906" s="6">
        <v>-4.8179999999999996</v>
      </c>
      <c r="P1906" s="6">
        <v>-3</v>
      </c>
      <c r="Q1906" s="4" t="s">
        <v>26</v>
      </c>
      <c r="R1906" s="4">
        <v>0</v>
      </c>
      <c r="S1906" s="6">
        <v>0</v>
      </c>
      <c r="T1906" s="6">
        <v>67</v>
      </c>
      <c r="U1906" s="6">
        <v>111</v>
      </c>
      <c r="V1906" s="6">
        <f>IF(ISERROR(VLOOKUP($S$1906,'TAR FIN'!$A$1:$O$115,15,0)),0,VLOOKUP($S$1906,'TAR FIN'!$A$1:$O$115,15,0))</f>
        <v>0</v>
      </c>
      <c r="W1906" s="6">
        <f>IF(ISERROR(VLOOKUP($T$1906,'TAR FIN'!$A$1:$O$115,15,0)),0,VLOOKUP($T$1906,'TAR FIN'!$A$1:$O$115,15,0))</f>
        <v>463.6</v>
      </c>
      <c r="X1906" s="6">
        <f>IF(ISERROR(VLOOKUP($U$1906,'TAR FIN'!$A$1:$O$115,15,0)),0,VLOOKUP($U$1906,'TAR FIN'!$A$1:$O$115,15,0))</f>
        <v>176.58</v>
      </c>
      <c r="Y1906" s="6"/>
      <c r="Z1906" s="6">
        <f ca="1">('TUSD BE'!$AM$65+'TUSD BF'!$AM$65+'TUSD CVA'!$AM$65)*1</f>
        <v>502.21976924570083</v>
      </c>
      <c r="AA1906" s="6">
        <f>('TE BE'!$AB$48+'TE BF'!$AB$48+'TE CVA'!$AB$48)*1</f>
        <v>230.68197444058345</v>
      </c>
      <c r="AB1906" s="6">
        <f>$K$1906*$V$1906</f>
        <v>0</v>
      </c>
      <c r="AC1906" s="6">
        <f>$M$1906*$W$1906</f>
        <v>-2233.6248000000001</v>
      </c>
      <c r="AD1906" s="6">
        <f>$O$1906*$X$1906</f>
        <v>-850.76243999999997</v>
      </c>
      <c r="AE1906" s="6">
        <f>$K$1906*$Y$1906</f>
        <v>0</v>
      </c>
      <c r="AF1906" s="6">
        <f ca="1">$M$1906*$Z$1906</f>
        <v>-2419.6948482257862</v>
      </c>
      <c r="AG1906" s="6">
        <f>$O$1906*$AA$1906</f>
        <v>-1111.4257528547309</v>
      </c>
    </row>
    <row r="1907" spans="1:33" ht="11.25" customHeight="1" x14ac:dyDescent="0.25">
      <c r="A1907" s="4" t="s">
        <v>59</v>
      </c>
      <c r="B1907" s="4" t="s">
        <v>39</v>
      </c>
      <c r="C1907" s="4" t="s">
        <v>23</v>
      </c>
      <c r="D1907" s="4" t="s">
        <v>45</v>
      </c>
      <c r="E1907" s="4" t="s">
        <v>25</v>
      </c>
      <c r="F1907" s="4" t="s">
        <v>25</v>
      </c>
      <c r="G1907" s="4" t="s">
        <v>25</v>
      </c>
      <c r="H1907" s="4" t="s">
        <v>25</v>
      </c>
      <c r="I1907" s="5">
        <v>44866</v>
      </c>
      <c r="J1907" s="6">
        <v>0</v>
      </c>
      <c r="K1907" s="6">
        <v>0</v>
      </c>
      <c r="L1907" s="6">
        <v>552.38499999999999</v>
      </c>
      <c r="M1907" s="6">
        <v>552.38499999999999</v>
      </c>
      <c r="N1907" s="6">
        <v>552.38499999999999</v>
      </c>
      <c r="O1907" s="6">
        <v>552.38499999999999</v>
      </c>
      <c r="P1907" s="6">
        <v>716</v>
      </c>
      <c r="Q1907" s="4" t="s">
        <v>26</v>
      </c>
      <c r="R1907" s="4">
        <v>0</v>
      </c>
      <c r="S1907" s="6">
        <v>0</v>
      </c>
      <c r="T1907" s="6">
        <v>67</v>
      </c>
      <c r="U1907" s="6">
        <v>111</v>
      </c>
      <c r="V1907" s="6">
        <f>IF(ISERROR(VLOOKUP($S$1907,'TAR FIN'!$A$1:$O$115,15,0)),0,VLOOKUP($S$1907,'TAR FIN'!$A$1:$O$115,15,0))</f>
        <v>0</v>
      </c>
      <c r="W1907" s="6">
        <f>IF(ISERROR(VLOOKUP($T$1907,'TAR FIN'!$A$1:$O$115,15,0)),0,VLOOKUP($T$1907,'TAR FIN'!$A$1:$O$115,15,0))</f>
        <v>463.6</v>
      </c>
      <c r="X1907" s="6">
        <f>IF(ISERROR(VLOOKUP($U$1907,'TAR FIN'!$A$1:$O$115,15,0)),0,VLOOKUP($U$1907,'TAR FIN'!$A$1:$O$115,15,0))</f>
        <v>176.58</v>
      </c>
      <c r="Y1907" s="6"/>
      <c r="Z1907" s="6">
        <f ca="1">('TUSD BE'!$AM$65+'TUSD BF'!$AM$65+'TUSD CVA'!$AM$65)*1</f>
        <v>502.21976924570083</v>
      </c>
      <c r="AA1907" s="6">
        <f>('TE BE'!$AB$48+'TE BF'!$AB$48+'TE CVA'!$AB$48)*1</f>
        <v>230.68197444058345</v>
      </c>
      <c r="AB1907" s="6">
        <f>$K$1907*$V$1907</f>
        <v>0</v>
      </c>
      <c r="AC1907" s="6">
        <f>$M$1907*$W$1907</f>
        <v>256085.68600000002</v>
      </c>
      <c r="AD1907" s="6">
        <f>$O$1907*$X$1907</f>
        <v>97540.143300000011</v>
      </c>
      <c r="AE1907" s="6">
        <f>$K$1907*$Y$1907</f>
        <v>0</v>
      </c>
      <c r="AF1907" s="6">
        <f ca="1">$M$1907*$Z$1907</f>
        <v>277418.66723478644</v>
      </c>
      <c r="AG1907" s="6">
        <f>$O$1907*$AA$1907</f>
        <v>127425.26245136169</v>
      </c>
    </row>
    <row r="1908" spans="1:33" ht="11.25" customHeight="1" x14ac:dyDescent="0.25">
      <c r="A1908" s="4" t="s">
        <v>59</v>
      </c>
      <c r="B1908" s="4" t="s">
        <v>39</v>
      </c>
      <c r="C1908" s="4" t="s">
        <v>23</v>
      </c>
      <c r="D1908" s="4" t="s">
        <v>45</v>
      </c>
      <c r="E1908" s="4" t="s">
        <v>25</v>
      </c>
      <c r="F1908" s="4" t="s">
        <v>25</v>
      </c>
      <c r="G1908" s="4" t="s">
        <v>25</v>
      </c>
      <c r="H1908" s="4" t="s">
        <v>25</v>
      </c>
      <c r="I1908" s="5">
        <v>44866</v>
      </c>
      <c r="J1908" s="6">
        <v>0</v>
      </c>
      <c r="K1908" s="6">
        <v>0</v>
      </c>
      <c r="L1908" s="6">
        <v>-0.436</v>
      </c>
      <c r="M1908" s="6">
        <v>-0.436</v>
      </c>
      <c r="N1908" s="6">
        <v>-0.436</v>
      </c>
      <c r="O1908" s="6">
        <v>-0.436</v>
      </c>
      <c r="P1908" s="6">
        <v>1</v>
      </c>
      <c r="Q1908" s="4" t="s">
        <v>26</v>
      </c>
      <c r="R1908" s="4">
        <v>0</v>
      </c>
      <c r="S1908" s="6">
        <v>0</v>
      </c>
      <c r="T1908" s="6">
        <v>67</v>
      </c>
      <c r="U1908" s="6">
        <v>111</v>
      </c>
      <c r="V1908" s="6">
        <f>IF(ISERROR(VLOOKUP($S$1908,'TAR FIN'!$A$1:$O$115,15,0)),0,VLOOKUP($S$1908,'TAR FIN'!$A$1:$O$115,15,0))</f>
        <v>0</v>
      </c>
      <c r="W1908" s="6">
        <f>IF(ISERROR(VLOOKUP($T$1908,'TAR FIN'!$A$1:$O$115,15,0)),0,VLOOKUP($T$1908,'TAR FIN'!$A$1:$O$115,15,0))</f>
        <v>463.6</v>
      </c>
      <c r="X1908" s="6">
        <f>IF(ISERROR(VLOOKUP($U$1908,'TAR FIN'!$A$1:$O$115,15,0)),0,VLOOKUP($U$1908,'TAR FIN'!$A$1:$O$115,15,0))</f>
        <v>176.58</v>
      </c>
      <c r="Y1908" s="6"/>
      <c r="Z1908" s="6">
        <f ca="1">('TUSD BE'!$AM$65+'TUSD BF'!$AM$65+'TUSD CVA'!$AM$65)*1</f>
        <v>502.21976924570083</v>
      </c>
      <c r="AA1908" s="6">
        <f>('TE BE'!$AB$48+'TE BF'!$AB$48+'TE CVA'!$AB$48)*1</f>
        <v>230.68197444058345</v>
      </c>
      <c r="AB1908" s="6">
        <f>$K$1908*$V$1908</f>
        <v>0</v>
      </c>
      <c r="AC1908" s="6">
        <f>$M$1908*$W$1908</f>
        <v>-202.12960000000001</v>
      </c>
      <c r="AD1908" s="6">
        <f>$O$1908*$X$1908</f>
        <v>-76.988880000000009</v>
      </c>
      <c r="AE1908" s="6">
        <f>$K$1908*$Y$1908</f>
        <v>0</v>
      </c>
      <c r="AF1908" s="6">
        <f ca="1">$M$1908*$Z$1908</f>
        <v>-218.96781939112557</v>
      </c>
      <c r="AG1908" s="6">
        <f>$O$1908*$AA$1908</f>
        <v>-100.57734085609438</v>
      </c>
    </row>
    <row r="1909" spans="1:33" ht="11.25" customHeight="1" x14ac:dyDescent="0.25">
      <c r="A1909" s="4" t="s">
        <v>21</v>
      </c>
      <c r="B1909" s="4" t="s">
        <v>39</v>
      </c>
      <c r="C1909" s="4" t="s">
        <v>23</v>
      </c>
      <c r="D1909" s="4" t="s">
        <v>54</v>
      </c>
      <c r="E1909" s="4" t="s">
        <v>25</v>
      </c>
      <c r="F1909" s="4" t="s">
        <v>25</v>
      </c>
      <c r="G1909" s="4" t="s">
        <v>25</v>
      </c>
      <c r="H1909" s="4" t="s">
        <v>25</v>
      </c>
      <c r="I1909" s="5">
        <v>44531</v>
      </c>
      <c r="J1909" s="6">
        <v>0</v>
      </c>
      <c r="K1909" s="6">
        <v>0</v>
      </c>
      <c r="L1909" s="6">
        <v>71.150999999999996</v>
      </c>
      <c r="M1909" s="6">
        <v>71.150999999999996</v>
      </c>
      <c r="N1909" s="6">
        <v>71.150999999999996</v>
      </c>
      <c r="O1909" s="6">
        <v>71.150999999999996</v>
      </c>
      <c r="P1909" s="6">
        <v>37</v>
      </c>
      <c r="Q1909" s="4" t="s">
        <v>26</v>
      </c>
      <c r="R1909" s="4">
        <v>0</v>
      </c>
      <c r="S1909" s="6">
        <v>0</v>
      </c>
      <c r="T1909" s="6">
        <v>67</v>
      </c>
      <c r="U1909" s="6">
        <v>111</v>
      </c>
      <c r="V1909" s="6">
        <f>IF(ISERROR(VLOOKUP($S$1909,'TAR FIN'!$A$1:$O$115,15,0)),0,VLOOKUP($S$1909,'TAR FIN'!$A$1:$O$115,15,0))</f>
        <v>0</v>
      </c>
      <c r="W1909" s="6">
        <f>IF(ISERROR(VLOOKUP($T$1909,'TAR FIN'!$A$1:$O$115,15,0)),0,VLOOKUP($T$1909,'TAR FIN'!$A$1:$O$115,15,0))</f>
        <v>463.6</v>
      </c>
      <c r="X1909" s="6">
        <f>IF(ISERROR(VLOOKUP($U$1909,'TAR FIN'!$A$1:$O$115,15,0)),0,VLOOKUP($U$1909,'TAR FIN'!$A$1:$O$115,15,0))</f>
        <v>176.58</v>
      </c>
      <c r="Y1909" s="6"/>
      <c r="Z1909" s="6">
        <f ca="1">('TUSD BE'!$AM$65+'TUSD BF'!$AM$65+'TUSD CVA'!$AM$65)*1</f>
        <v>502.21976924570083</v>
      </c>
      <c r="AA1909" s="6">
        <f>('TE BE'!$AB$48+'TE BF'!$AB$48+'TE CVA'!$AB$48)*1</f>
        <v>230.68197444058345</v>
      </c>
      <c r="AB1909" s="6">
        <f>$K$1909*$V$1909</f>
        <v>0</v>
      </c>
      <c r="AC1909" s="6">
        <f>$M$1909*$W$1909</f>
        <v>32985.603600000002</v>
      </c>
      <c r="AD1909" s="6">
        <f>$O$1909*$X$1909</f>
        <v>12563.843580000001</v>
      </c>
      <c r="AE1909" s="6">
        <f>$K$1909*$Y$1909</f>
        <v>0</v>
      </c>
      <c r="AF1909" s="6">
        <f ca="1">$M$1909*$Z$1909</f>
        <v>35733.43880160086</v>
      </c>
      <c r="AG1909" s="6">
        <f>$O$1909*$AA$1909</f>
        <v>16413.253163421952</v>
      </c>
    </row>
    <row r="1910" spans="1:33" ht="11.25" customHeight="1" x14ac:dyDescent="0.25">
      <c r="A1910" s="4" t="s">
        <v>28</v>
      </c>
      <c r="B1910" s="4" t="s">
        <v>39</v>
      </c>
      <c r="C1910" s="4" t="s">
        <v>23</v>
      </c>
      <c r="D1910" s="4" t="s">
        <v>54</v>
      </c>
      <c r="E1910" s="4" t="s">
        <v>25</v>
      </c>
      <c r="F1910" s="4" t="s">
        <v>25</v>
      </c>
      <c r="G1910" s="4" t="s">
        <v>25</v>
      </c>
      <c r="H1910" s="4" t="s">
        <v>25</v>
      </c>
      <c r="I1910" s="5">
        <v>44531</v>
      </c>
      <c r="J1910" s="6">
        <v>0</v>
      </c>
      <c r="K1910" s="6">
        <v>0</v>
      </c>
      <c r="L1910" s="6">
        <v>11.047000000000001</v>
      </c>
      <c r="M1910" s="6">
        <v>11.047000000000001</v>
      </c>
      <c r="N1910" s="6">
        <v>11.047000000000001</v>
      </c>
      <c r="O1910" s="6">
        <v>11.047000000000001</v>
      </c>
      <c r="P1910" s="6">
        <v>14</v>
      </c>
      <c r="Q1910" s="4" t="s">
        <v>26</v>
      </c>
      <c r="R1910" s="4">
        <v>0</v>
      </c>
      <c r="S1910" s="6">
        <v>0</v>
      </c>
      <c r="T1910" s="6">
        <v>67</v>
      </c>
      <c r="U1910" s="6">
        <v>111</v>
      </c>
      <c r="V1910" s="6">
        <f>IF(ISERROR(VLOOKUP($S$1910,'TAR FIN'!$A$1:$O$115,15,0)),0,VLOOKUP($S$1910,'TAR FIN'!$A$1:$O$115,15,0))</f>
        <v>0</v>
      </c>
      <c r="W1910" s="6">
        <f>IF(ISERROR(VLOOKUP($T$1910,'TAR FIN'!$A$1:$O$115,15,0)),0,VLOOKUP($T$1910,'TAR FIN'!$A$1:$O$115,15,0))</f>
        <v>463.6</v>
      </c>
      <c r="X1910" s="6">
        <f>IF(ISERROR(VLOOKUP($U$1910,'TAR FIN'!$A$1:$O$115,15,0)),0,VLOOKUP($U$1910,'TAR FIN'!$A$1:$O$115,15,0))</f>
        <v>176.58</v>
      </c>
      <c r="Y1910" s="6"/>
      <c r="Z1910" s="6">
        <f ca="1">('TUSD BE'!$AM$65+'TUSD BF'!$AM$65+'TUSD CVA'!$AM$65)*1</f>
        <v>502.21976924570083</v>
      </c>
      <c r="AA1910" s="6">
        <f>('TE BE'!$AB$48+'TE BF'!$AB$48+'TE CVA'!$AB$48)*1</f>
        <v>230.68197444058345</v>
      </c>
      <c r="AB1910" s="6">
        <f>$K$1910*$V$1910</f>
        <v>0</v>
      </c>
      <c r="AC1910" s="6">
        <f>$M$1910*$W$1910</f>
        <v>5121.3892000000005</v>
      </c>
      <c r="AD1910" s="6">
        <f>$O$1910*$X$1910</f>
        <v>1950.6792600000003</v>
      </c>
      <c r="AE1910" s="6">
        <f>$K$1910*$Y$1910</f>
        <v>0</v>
      </c>
      <c r="AF1910" s="6">
        <f ca="1">$M$1910*$Z$1910</f>
        <v>5548.0217908572577</v>
      </c>
      <c r="AG1910" s="6">
        <f>$O$1910*$AA$1910</f>
        <v>2548.3437716451253</v>
      </c>
    </row>
    <row r="1911" spans="1:33" ht="11.25" customHeight="1" x14ac:dyDescent="0.25">
      <c r="A1911" s="4" t="s">
        <v>21</v>
      </c>
      <c r="B1911" s="4" t="s">
        <v>39</v>
      </c>
      <c r="C1911" s="4" t="s">
        <v>23</v>
      </c>
      <c r="D1911" s="4" t="s">
        <v>54</v>
      </c>
      <c r="E1911" s="4" t="s">
        <v>25</v>
      </c>
      <c r="F1911" s="4" t="s">
        <v>25</v>
      </c>
      <c r="G1911" s="4" t="s">
        <v>25</v>
      </c>
      <c r="H1911" s="4" t="s">
        <v>25</v>
      </c>
      <c r="I1911" s="5">
        <v>44562</v>
      </c>
      <c r="J1911" s="6">
        <v>0</v>
      </c>
      <c r="K1911" s="6">
        <v>0</v>
      </c>
      <c r="L1911" s="6">
        <v>74.81</v>
      </c>
      <c r="M1911" s="6">
        <v>74.81</v>
      </c>
      <c r="N1911" s="6">
        <v>74.81</v>
      </c>
      <c r="O1911" s="6">
        <v>74.81</v>
      </c>
      <c r="P1911" s="6">
        <v>38</v>
      </c>
      <c r="Q1911" s="4" t="s">
        <v>26</v>
      </c>
      <c r="R1911" s="4">
        <v>0</v>
      </c>
      <c r="S1911" s="6">
        <v>0</v>
      </c>
      <c r="T1911" s="6">
        <v>67</v>
      </c>
      <c r="U1911" s="6">
        <v>111</v>
      </c>
      <c r="V1911" s="6">
        <f>IF(ISERROR(VLOOKUP($S$1911,'TAR FIN'!$A$1:$O$115,15,0)),0,VLOOKUP($S$1911,'TAR FIN'!$A$1:$O$115,15,0))</f>
        <v>0</v>
      </c>
      <c r="W1911" s="6">
        <f>IF(ISERROR(VLOOKUP($T$1911,'TAR FIN'!$A$1:$O$115,15,0)),0,VLOOKUP($T$1911,'TAR FIN'!$A$1:$O$115,15,0))</f>
        <v>463.6</v>
      </c>
      <c r="X1911" s="6">
        <f>IF(ISERROR(VLOOKUP($U$1911,'TAR FIN'!$A$1:$O$115,15,0)),0,VLOOKUP($U$1911,'TAR FIN'!$A$1:$O$115,15,0))</f>
        <v>176.58</v>
      </c>
      <c r="Y1911" s="6"/>
      <c r="Z1911" s="6">
        <f ca="1">('TUSD BE'!$AM$65+'TUSD BF'!$AM$65+'TUSD CVA'!$AM$65)*1</f>
        <v>502.21976924570083</v>
      </c>
      <c r="AA1911" s="6">
        <f>('TE BE'!$AB$48+'TE BF'!$AB$48+'TE CVA'!$AB$48)*1</f>
        <v>230.68197444058345</v>
      </c>
      <c r="AB1911" s="6">
        <f>$K$1911*$V$1911</f>
        <v>0</v>
      </c>
      <c r="AC1911" s="6">
        <f>$M$1911*$W$1911</f>
        <v>34681.916000000005</v>
      </c>
      <c r="AD1911" s="6">
        <f>$O$1911*$X$1911</f>
        <v>13209.949800000002</v>
      </c>
      <c r="AE1911" s="6">
        <f>$K$1911*$Y$1911</f>
        <v>0</v>
      </c>
      <c r="AF1911" s="6">
        <f ca="1">$M$1911*$Z$1911</f>
        <v>37571.060937270879</v>
      </c>
      <c r="AG1911" s="6">
        <f>$O$1911*$AA$1911</f>
        <v>17257.318507900047</v>
      </c>
    </row>
    <row r="1912" spans="1:33" ht="11.25" customHeight="1" x14ac:dyDescent="0.25">
      <c r="A1912" s="4" t="s">
        <v>28</v>
      </c>
      <c r="B1912" s="4" t="s">
        <v>39</v>
      </c>
      <c r="C1912" s="4" t="s">
        <v>23</v>
      </c>
      <c r="D1912" s="4" t="s">
        <v>54</v>
      </c>
      <c r="E1912" s="4" t="s">
        <v>25</v>
      </c>
      <c r="F1912" s="4" t="s">
        <v>25</v>
      </c>
      <c r="G1912" s="4" t="s">
        <v>25</v>
      </c>
      <c r="H1912" s="4" t="s">
        <v>25</v>
      </c>
      <c r="I1912" s="5">
        <v>44562</v>
      </c>
      <c r="J1912" s="6">
        <v>0</v>
      </c>
      <c r="K1912" s="6">
        <v>0</v>
      </c>
      <c r="L1912" s="6">
        <v>10.885</v>
      </c>
      <c r="M1912" s="6">
        <v>10.885</v>
      </c>
      <c r="N1912" s="6">
        <v>10.885</v>
      </c>
      <c r="O1912" s="6">
        <v>10.885</v>
      </c>
      <c r="P1912" s="6">
        <v>14</v>
      </c>
      <c r="Q1912" s="4" t="s">
        <v>26</v>
      </c>
      <c r="R1912" s="4">
        <v>0</v>
      </c>
      <c r="S1912" s="6">
        <v>0</v>
      </c>
      <c r="T1912" s="6">
        <v>67</v>
      </c>
      <c r="U1912" s="6">
        <v>111</v>
      </c>
      <c r="V1912" s="6">
        <f>IF(ISERROR(VLOOKUP($S$1912,'TAR FIN'!$A$1:$O$115,15,0)),0,VLOOKUP($S$1912,'TAR FIN'!$A$1:$O$115,15,0))</f>
        <v>0</v>
      </c>
      <c r="W1912" s="6">
        <f>IF(ISERROR(VLOOKUP($T$1912,'TAR FIN'!$A$1:$O$115,15,0)),0,VLOOKUP($T$1912,'TAR FIN'!$A$1:$O$115,15,0))</f>
        <v>463.6</v>
      </c>
      <c r="X1912" s="6">
        <f>IF(ISERROR(VLOOKUP($U$1912,'TAR FIN'!$A$1:$O$115,15,0)),0,VLOOKUP($U$1912,'TAR FIN'!$A$1:$O$115,15,0))</f>
        <v>176.58</v>
      </c>
      <c r="Y1912" s="6"/>
      <c r="Z1912" s="6">
        <f ca="1">('TUSD BE'!$AM$65+'TUSD BF'!$AM$65+'TUSD CVA'!$AM$65)*1</f>
        <v>502.21976924570083</v>
      </c>
      <c r="AA1912" s="6">
        <f>('TE BE'!$AB$48+'TE BF'!$AB$48+'TE CVA'!$AB$48)*1</f>
        <v>230.68197444058345</v>
      </c>
      <c r="AB1912" s="6">
        <f>$K$1912*$V$1912</f>
        <v>0</v>
      </c>
      <c r="AC1912" s="6">
        <f>$M$1912*$W$1912</f>
        <v>5046.2860000000001</v>
      </c>
      <c r="AD1912" s="6">
        <f>$O$1912*$X$1912</f>
        <v>1922.0733</v>
      </c>
      <c r="AE1912" s="6">
        <f>$K$1912*$Y$1912</f>
        <v>0</v>
      </c>
      <c r="AF1912" s="6">
        <f ca="1">$M$1912*$Z$1912</f>
        <v>5466.6621882394538</v>
      </c>
      <c r="AG1912" s="6">
        <f>$O$1912*$AA$1912</f>
        <v>2510.9732917857509</v>
      </c>
    </row>
    <row r="1913" spans="1:33" ht="11.25" customHeight="1" x14ac:dyDescent="0.25">
      <c r="A1913" s="4" t="s">
        <v>30</v>
      </c>
      <c r="B1913" s="4" t="s">
        <v>39</v>
      </c>
      <c r="C1913" s="4" t="s">
        <v>23</v>
      </c>
      <c r="D1913" s="4" t="s">
        <v>54</v>
      </c>
      <c r="E1913" s="4" t="s">
        <v>25</v>
      </c>
      <c r="F1913" s="4" t="s">
        <v>25</v>
      </c>
      <c r="G1913" s="4" t="s">
        <v>25</v>
      </c>
      <c r="H1913" s="4" t="s">
        <v>25</v>
      </c>
      <c r="I1913" s="5">
        <v>44562</v>
      </c>
      <c r="J1913" s="6">
        <v>0</v>
      </c>
      <c r="K1913" s="6">
        <v>0</v>
      </c>
      <c r="L1913" s="6">
        <v>0.1</v>
      </c>
      <c r="M1913" s="6">
        <v>0.1</v>
      </c>
      <c r="N1913" s="6">
        <v>0.1</v>
      </c>
      <c r="O1913" s="6">
        <v>0.1</v>
      </c>
      <c r="P1913" s="6">
        <v>1</v>
      </c>
      <c r="Q1913" s="4" t="s">
        <v>26</v>
      </c>
      <c r="R1913" s="4">
        <v>0</v>
      </c>
      <c r="S1913" s="6">
        <v>0</v>
      </c>
      <c r="T1913" s="6">
        <v>67</v>
      </c>
      <c r="U1913" s="6">
        <v>111</v>
      </c>
      <c r="V1913" s="6">
        <f>IF(ISERROR(VLOOKUP($S$1913,'TAR FIN'!$A$1:$O$115,15,0)),0,VLOOKUP($S$1913,'TAR FIN'!$A$1:$O$115,15,0))</f>
        <v>0</v>
      </c>
      <c r="W1913" s="6">
        <f>IF(ISERROR(VLOOKUP($T$1913,'TAR FIN'!$A$1:$O$115,15,0)),0,VLOOKUP($T$1913,'TAR FIN'!$A$1:$O$115,15,0))</f>
        <v>463.6</v>
      </c>
      <c r="X1913" s="6">
        <f>IF(ISERROR(VLOOKUP($U$1913,'TAR FIN'!$A$1:$O$115,15,0)),0,VLOOKUP($U$1913,'TAR FIN'!$A$1:$O$115,15,0))</f>
        <v>176.58</v>
      </c>
      <c r="Y1913" s="6"/>
      <c r="Z1913" s="6">
        <f ca="1">('TUSD BE'!$AM$65+'TUSD BF'!$AM$65+'TUSD CVA'!$AM$65)*1</f>
        <v>502.21976924570083</v>
      </c>
      <c r="AA1913" s="6">
        <f>('TE BE'!$AB$48+'TE BF'!$AB$48+'TE CVA'!$AB$48)*1</f>
        <v>230.68197444058345</v>
      </c>
      <c r="AB1913" s="6">
        <f>$K$1913*$V$1913</f>
        <v>0</v>
      </c>
      <c r="AC1913" s="6">
        <f>$M$1913*$W$1913</f>
        <v>46.360000000000007</v>
      </c>
      <c r="AD1913" s="6">
        <f>$O$1913*$X$1913</f>
        <v>17.658000000000001</v>
      </c>
      <c r="AE1913" s="6">
        <f>$K$1913*$Y$1913</f>
        <v>0</v>
      </c>
      <c r="AF1913" s="6">
        <f ca="1">$M$1913*$Z$1913</f>
        <v>50.221976924570086</v>
      </c>
      <c r="AG1913" s="6">
        <f>$O$1913*$AA$1913</f>
        <v>23.068197444058345</v>
      </c>
    </row>
    <row r="1914" spans="1:33" ht="11.25" customHeight="1" x14ac:dyDescent="0.25">
      <c r="A1914" s="4" t="s">
        <v>30</v>
      </c>
      <c r="B1914" s="4" t="s">
        <v>39</v>
      </c>
      <c r="C1914" s="4" t="s">
        <v>23</v>
      </c>
      <c r="D1914" s="4" t="s">
        <v>54</v>
      </c>
      <c r="E1914" s="4" t="s">
        <v>25</v>
      </c>
      <c r="F1914" s="4" t="s">
        <v>25</v>
      </c>
      <c r="G1914" s="4" t="s">
        <v>25</v>
      </c>
      <c r="H1914" s="4" t="s">
        <v>25</v>
      </c>
      <c r="I1914" s="5">
        <v>44562</v>
      </c>
      <c r="J1914" s="6">
        <v>0</v>
      </c>
      <c r="K1914" s="6">
        <v>0</v>
      </c>
      <c r="L1914" s="6">
        <v>0.80900000000000005</v>
      </c>
      <c r="M1914" s="6">
        <v>0.80900000000000005</v>
      </c>
      <c r="N1914" s="6">
        <v>0.80900000000000005</v>
      </c>
      <c r="O1914" s="6">
        <v>0.80900000000000005</v>
      </c>
      <c r="P1914" s="6">
        <v>4</v>
      </c>
      <c r="Q1914" s="4" t="s">
        <v>26</v>
      </c>
      <c r="R1914" s="4">
        <v>0</v>
      </c>
      <c r="S1914" s="6">
        <v>0</v>
      </c>
      <c r="T1914" s="6">
        <v>67</v>
      </c>
      <c r="U1914" s="6">
        <v>111</v>
      </c>
      <c r="V1914" s="6">
        <f>IF(ISERROR(VLOOKUP($S$1914,'TAR FIN'!$A$1:$O$115,15,0)),0,VLOOKUP($S$1914,'TAR FIN'!$A$1:$O$115,15,0))</f>
        <v>0</v>
      </c>
      <c r="W1914" s="6">
        <f>IF(ISERROR(VLOOKUP($T$1914,'TAR FIN'!$A$1:$O$115,15,0)),0,VLOOKUP($T$1914,'TAR FIN'!$A$1:$O$115,15,0))</f>
        <v>463.6</v>
      </c>
      <c r="X1914" s="6">
        <f>IF(ISERROR(VLOOKUP($U$1914,'TAR FIN'!$A$1:$O$115,15,0)),0,VLOOKUP($U$1914,'TAR FIN'!$A$1:$O$115,15,0))</f>
        <v>176.58</v>
      </c>
      <c r="Y1914" s="6"/>
      <c r="Z1914" s="6">
        <f ca="1">('TUSD BE'!$AM$65+'TUSD BF'!$AM$65+'TUSD CVA'!$AM$65)*1</f>
        <v>502.21976924570083</v>
      </c>
      <c r="AA1914" s="6">
        <f>('TE BE'!$AB$48+'TE BF'!$AB$48+'TE CVA'!$AB$48)*1</f>
        <v>230.68197444058345</v>
      </c>
      <c r="AB1914" s="6">
        <f>$K$1914*$V$1914</f>
        <v>0</v>
      </c>
      <c r="AC1914" s="6">
        <f>$M$1914*$W$1914</f>
        <v>375.05240000000003</v>
      </c>
      <c r="AD1914" s="6">
        <f>$O$1914*$X$1914</f>
        <v>142.85322000000002</v>
      </c>
      <c r="AE1914" s="6">
        <f>$K$1914*$Y$1914</f>
        <v>0</v>
      </c>
      <c r="AF1914" s="6">
        <f ca="1">$M$1914*$Z$1914</f>
        <v>406.29579331977197</v>
      </c>
      <c r="AG1914" s="6">
        <f>$O$1914*$AA$1914</f>
        <v>186.62171732243203</v>
      </c>
    </row>
    <row r="1915" spans="1:33" ht="11.25" customHeight="1" x14ac:dyDescent="0.25">
      <c r="A1915" s="4" t="s">
        <v>21</v>
      </c>
      <c r="B1915" s="4" t="s">
        <v>39</v>
      </c>
      <c r="C1915" s="4" t="s">
        <v>23</v>
      </c>
      <c r="D1915" s="4" t="s">
        <v>54</v>
      </c>
      <c r="E1915" s="4" t="s">
        <v>25</v>
      </c>
      <c r="F1915" s="4" t="s">
        <v>25</v>
      </c>
      <c r="G1915" s="4" t="s">
        <v>25</v>
      </c>
      <c r="H1915" s="4" t="s">
        <v>25</v>
      </c>
      <c r="I1915" s="5">
        <v>44593</v>
      </c>
      <c r="J1915" s="6">
        <v>0</v>
      </c>
      <c r="K1915" s="6">
        <v>0</v>
      </c>
      <c r="L1915" s="6">
        <v>78.963999999999999</v>
      </c>
      <c r="M1915" s="6">
        <v>78.963999999999999</v>
      </c>
      <c r="N1915" s="6">
        <v>78.963999999999999</v>
      </c>
      <c r="O1915" s="6">
        <v>78.963999999999999</v>
      </c>
      <c r="P1915" s="6">
        <v>38</v>
      </c>
      <c r="Q1915" s="4" t="s">
        <v>26</v>
      </c>
      <c r="R1915" s="4">
        <v>0</v>
      </c>
      <c r="S1915" s="6">
        <v>0</v>
      </c>
      <c r="T1915" s="6">
        <v>67</v>
      </c>
      <c r="U1915" s="6">
        <v>111</v>
      </c>
      <c r="V1915" s="6">
        <f>IF(ISERROR(VLOOKUP($S$1915,'TAR FIN'!$A$1:$O$115,15,0)),0,VLOOKUP($S$1915,'TAR FIN'!$A$1:$O$115,15,0))</f>
        <v>0</v>
      </c>
      <c r="W1915" s="6">
        <f>IF(ISERROR(VLOOKUP($T$1915,'TAR FIN'!$A$1:$O$115,15,0)),0,VLOOKUP($T$1915,'TAR FIN'!$A$1:$O$115,15,0))</f>
        <v>463.6</v>
      </c>
      <c r="X1915" s="6">
        <f>IF(ISERROR(VLOOKUP($U$1915,'TAR FIN'!$A$1:$O$115,15,0)),0,VLOOKUP($U$1915,'TAR FIN'!$A$1:$O$115,15,0))</f>
        <v>176.58</v>
      </c>
      <c r="Y1915" s="6"/>
      <c r="Z1915" s="6">
        <f ca="1">('TUSD BE'!$AM$65+'TUSD BF'!$AM$65+'TUSD CVA'!$AM$65)*1</f>
        <v>502.21976924570083</v>
      </c>
      <c r="AA1915" s="6">
        <f>('TE BE'!$AB$48+'TE BF'!$AB$48+'TE CVA'!$AB$48)*1</f>
        <v>230.68197444058345</v>
      </c>
      <c r="AB1915" s="6">
        <f>$K$1915*$V$1915</f>
        <v>0</v>
      </c>
      <c r="AC1915" s="6">
        <f>$M$1915*$W$1915</f>
        <v>36607.710400000004</v>
      </c>
      <c r="AD1915" s="6">
        <f>$O$1915*$X$1915</f>
        <v>13943.46312</v>
      </c>
      <c r="AE1915" s="6">
        <f>$K$1915*$Y$1915</f>
        <v>0</v>
      </c>
      <c r="AF1915" s="6">
        <f ca="1">$M$1915*$Z$1915</f>
        <v>39657.281858717521</v>
      </c>
      <c r="AG1915" s="6">
        <f>$O$1915*$AA$1915</f>
        <v>18215.571429726231</v>
      </c>
    </row>
    <row r="1916" spans="1:33" ht="11.25" customHeight="1" x14ac:dyDescent="0.25">
      <c r="A1916" s="4" t="s">
        <v>28</v>
      </c>
      <c r="B1916" s="4" t="s">
        <v>39</v>
      </c>
      <c r="C1916" s="4" t="s">
        <v>23</v>
      </c>
      <c r="D1916" s="4" t="s">
        <v>54</v>
      </c>
      <c r="E1916" s="4" t="s">
        <v>25</v>
      </c>
      <c r="F1916" s="4" t="s">
        <v>25</v>
      </c>
      <c r="G1916" s="4" t="s">
        <v>25</v>
      </c>
      <c r="H1916" s="4" t="s">
        <v>25</v>
      </c>
      <c r="I1916" s="5">
        <v>44593</v>
      </c>
      <c r="J1916" s="6">
        <v>0</v>
      </c>
      <c r="K1916" s="6">
        <v>0</v>
      </c>
      <c r="L1916" s="6">
        <v>10.352</v>
      </c>
      <c r="M1916" s="6">
        <v>10.352</v>
      </c>
      <c r="N1916" s="6">
        <v>10.352</v>
      </c>
      <c r="O1916" s="6">
        <v>10.352</v>
      </c>
      <c r="P1916" s="6">
        <v>14</v>
      </c>
      <c r="Q1916" s="4" t="s">
        <v>26</v>
      </c>
      <c r="R1916" s="4">
        <v>0</v>
      </c>
      <c r="S1916" s="6">
        <v>0</v>
      </c>
      <c r="T1916" s="6">
        <v>67</v>
      </c>
      <c r="U1916" s="6">
        <v>111</v>
      </c>
      <c r="V1916" s="6">
        <f>IF(ISERROR(VLOOKUP($S$1916,'TAR FIN'!$A$1:$O$115,15,0)),0,VLOOKUP($S$1916,'TAR FIN'!$A$1:$O$115,15,0))</f>
        <v>0</v>
      </c>
      <c r="W1916" s="6">
        <f>IF(ISERROR(VLOOKUP($T$1916,'TAR FIN'!$A$1:$O$115,15,0)),0,VLOOKUP($T$1916,'TAR FIN'!$A$1:$O$115,15,0))</f>
        <v>463.6</v>
      </c>
      <c r="X1916" s="6">
        <f>IF(ISERROR(VLOOKUP($U$1916,'TAR FIN'!$A$1:$O$115,15,0)),0,VLOOKUP($U$1916,'TAR FIN'!$A$1:$O$115,15,0))</f>
        <v>176.58</v>
      </c>
      <c r="Y1916" s="6"/>
      <c r="Z1916" s="6">
        <f ca="1">('TUSD BE'!$AM$65+'TUSD BF'!$AM$65+'TUSD CVA'!$AM$65)*1</f>
        <v>502.21976924570083</v>
      </c>
      <c r="AA1916" s="6">
        <f>('TE BE'!$AB$48+'TE BF'!$AB$48+'TE CVA'!$AB$48)*1</f>
        <v>230.68197444058345</v>
      </c>
      <c r="AB1916" s="6">
        <f>$K$1916*$V$1916</f>
        <v>0</v>
      </c>
      <c r="AC1916" s="6">
        <f>$M$1916*$W$1916</f>
        <v>4799.1872000000003</v>
      </c>
      <c r="AD1916" s="6">
        <f>$O$1916*$X$1916</f>
        <v>1827.9561600000002</v>
      </c>
      <c r="AE1916" s="6">
        <f>$K$1916*$Y$1916</f>
        <v>0</v>
      </c>
      <c r="AF1916" s="6">
        <f ca="1">$M$1916*$Z$1916</f>
        <v>5198.9790512314949</v>
      </c>
      <c r="AG1916" s="6">
        <f>$O$1916*$AA$1916</f>
        <v>2388.0197994089199</v>
      </c>
    </row>
    <row r="1917" spans="1:33" ht="11.25" customHeight="1" x14ac:dyDescent="0.25">
      <c r="A1917" s="4" t="s">
        <v>21</v>
      </c>
      <c r="B1917" s="4" t="s">
        <v>39</v>
      </c>
      <c r="C1917" s="4" t="s">
        <v>23</v>
      </c>
      <c r="D1917" s="4" t="s">
        <v>54</v>
      </c>
      <c r="E1917" s="4" t="s">
        <v>25</v>
      </c>
      <c r="F1917" s="4" t="s">
        <v>25</v>
      </c>
      <c r="G1917" s="4" t="s">
        <v>25</v>
      </c>
      <c r="H1917" s="4" t="s">
        <v>25</v>
      </c>
      <c r="I1917" s="5">
        <v>44621</v>
      </c>
      <c r="J1917" s="6">
        <v>0</v>
      </c>
      <c r="K1917" s="6">
        <v>0</v>
      </c>
      <c r="L1917" s="6">
        <v>64.923000000000002</v>
      </c>
      <c r="M1917" s="6">
        <v>64.923000000000002</v>
      </c>
      <c r="N1917" s="6">
        <v>64.923000000000002</v>
      </c>
      <c r="O1917" s="6">
        <v>64.923000000000002</v>
      </c>
      <c r="P1917" s="6">
        <v>38</v>
      </c>
      <c r="Q1917" s="4" t="s">
        <v>26</v>
      </c>
      <c r="R1917" s="4">
        <v>0</v>
      </c>
      <c r="S1917" s="6">
        <v>0</v>
      </c>
      <c r="T1917" s="6">
        <v>67</v>
      </c>
      <c r="U1917" s="6">
        <v>111</v>
      </c>
      <c r="V1917" s="6">
        <f>IF(ISERROR(VLOOKUP($S$1917,'TAR FIN'!$A$1:$O$115,15,0)),0,VLOOKUP($S$1917,'TAR FIN'!$A$1:$O$115,15,0))</f>
        <v>0</v>
      </c>
      <c r="W1917" s="6">
        <f>IF(ISERROR(VLOOKUP($T$1917,'TAR FIN'!$A$1:$O$115,15,0)),0,VLOOKUP($T$1917,'TAR FIN'!$A$1:$O$115,15,0))</f>
        <v>463.6</v>
      </c>
      <c r="X1917" s="6">
        <f>IF(ISERROR(VLOOKUP($U$1917,'TAR FIN'!$A$1:$O$115,15,0)),0,VLOOKUP($U$1917,'TAR FIN'!$A$1:$O$115,15,0))</f>
        <v>176.58</v>
      </c>
      <c r="Y1917" s="6"/>
      <c r="Z1917" s="6">
        <f ca="1">('TUSD BE'!$AM$65+'TUSD BF'!$AM$65+'TUSD CVA'!$AM$65)*1</f>
        <v>502.21976924570083</v>
      </c>
      <c r="AA1917" s="6">
        <f>('TE BE'!$AB$48+'TE BF'!$AB$48+'TE CVA'!$AB$48)*1</f>
        <v>230.68197444058345</v>
      </c>
      <c r="AB1917" s="6">
        <f>$K$1917*$V$1917</f>
        <v>0</v>
      </c>
      <c r="AC1917" s="6">
        <f>$M$1917*$W$1917</f>
        <v>30098.302800000001</v>
      </c>
      <c r="AD1917" s="6">
        <f>$O$1917*$X$1917</f>
        <v>11464.103340000001</v>
      </c>
      <c r="AE1917" s="6">
        <f>$K$1917*$Y$1917</f>
        <v>0</v>
      </c>
      <c r="AF1917" s="6">
        <f ca="1">$M$1917*$Z$1917</f>
        <v>32605.614078738636</v>
      </c>
      <c r="AG1917" s="6">
        <f>$O$1917*$AA$1917</f>
        <v>14976.565826606</v>
      </c>
    </row>
    <row r="1918" spans="1:33" ht="11.25" customHeight="1" x14ac:dyDescent="0.25">
      <c r="A1918" s="4" t="s">
        <v>28</v>
      </c>
      <c r="B1918" s="4" t="s">
        <v>39</v>
      </c>
      <c r="C1918" s="4" t="s">
        <v>23</v>
      </c>
      <c r="D1918" s="4" t="s">
        <v>54</v>
      </c>
      <c r="E1918" s="4" t="s">
        <v>25</v>
      </c>
      <c r="F1918" s="4" t="s">
        <v>25</v>
      </c>
      <c r="G1918" s="4" t="s">
        <v>25</v>
      </c>
      <c r="H1918" s="4" t="s">
        <v>25</v>
      </c>
      <c r="I1918" s="5">
        <v>44621</v>
      </c>
      <c r="J1918" s="6">
        <v>0</v>
      </c>
      <c r="K1918" s="6">
        <v>0</v>
      </c>
      <c r="L1918" s="6">
        <v>9.6199999999999992</v>
      </c>
      <c r="M1918" s="6">
        <v>9.6199999999999992</v>
      </c>
      <c r="N1918" s="6">
        <v>9.6199999999999992</v>
      </c>
      <c r="O1918" s="6">
        <v>9.6199999999999992</v>
      </c>
      <c r="P1918" s="6">
        <v>14</v>
      </c>
      <c r="Q1918" s="4" t="s">
        <v>26</v>
      </c>
      <c r="R1918" s="4">
        <v>0</v>
      </c>
      <c r="S1918" s="6">
        <v>0</v>
      </c>
      <c r="T1918" s="6">
        <v>67</v>
      </c>
      <c r="U1918" s="6">
        <v>111</v>
      </c>
      <c r="V1918" s="6">
        <f>IF(ISERROR(VLOOKUP($S$1918,'TAR FIN'!$A$1:$O$115,15,0)),0,VLOOKUP($S$1918,'TAR FIN'!$A$1:$O$115,15,0))</f>
        <v>0</v>
      </c>
      <c r="W1918" s="6">
        <f>IF(ISERROR(VLOOKUP($T$1918,'TAR FIN'!$A$1:$O$115,15,0)),0,VLOOKUP($T$1918,'TAR FIN'!$A$1:$O$115,15,0))</f>
        <v>463.6</v>
      </c>
      <c r="X1918" s="6">
        <f>IF(ISERROR(VLOOKUP($U$1918,'TAR FIN'!$A$1:$O$115,15,0)),0,VLOOKUP($U$1918,'TAR FIN'!$A$1:$O$115,15,0))</f>
        <v>176.58</v>
      </c>
      <c r="Y1918" s="6"/>
      <c r="Z1918" s="6">
        <f ca="1">('TUSD BE'!$AM$65+'TUSD BF'!$AM$65+'TUSD CVA'!$AM$65)*1</f>
        <v>502.21976924570083</v>
      </c>
      <c r="AA1918" s="6">
        <f>('TE BE'!$AB$48+'TE BF'!$AB$48+'TE CVA'!$AB$48)*1</f>
        <v>230.68197444058345</v>
      </c>
      <c r="AB1918" s="6">
        <f>$K$1918*$V$1918</f>
        <v>0</v>
      </c>
      <c r="AC1918" s="6">
        <f>$M$1918*$W$1918</f>
        <v>4459.8319999999994</v>
      </c>
      <c r="AD1918" s="6">
        <f>$O$1918*$X$1918</f>
        <v>1698.6995999999999</v>
      </c>
      <c r="AE1918" s="6">
        <f>$K$1918*$Y$1918</f>
        <v>0</v>
      </c>
      <c r="AF1918" s="6">
        <f ca="1">$M$1918*$Z$1918</f>
        <v>4831.3541801436413</v>
      </c>
      <c r="AG1918" s="6">
        <f>$O$1918*$AA$1918</f>
        <v>2219.1605941184125</v>
      </c>
    </row>
    <row r="1919" spans="1:33" ht="11.25" customHeight="1" x14ac:dyDescent="0.25">
      <c r="A1919" s="4" t="s">
        <v>30</v>
      </c>
      <c r="B1919" s="4" t="s">
        <v>39</v>
      </c>
      <c r="C1919" s="4" t="s">
        <v>23</v>
      </c>
      <c r="D1919" s="4" t="s">
        <v>54</v>
      </c>
      <c r="E1919" s="4" t="s">
        <v>25</v>
      </c>
      <c r="F1919" s="4" t="s">
        <v>25</v>
      </c>
      <c r="G1919" s="4" t="s">
        <v>25</v>
      </c>
      <c r="H1919" s="4" t="s">
        <v>25</v>
      </c>
      <c r="I1919" s="5">
        <v>44621</v>
      </c>
      <c r="J1919" s="6">
        <v>0</v>
      </c>
      <c r="K1919" s="6">
        <v>0</v>
      </c>
      <c r="L1919" s="6">
        <v>0.1</v>
      </c>
      <c r="M1919" s="6">
        <v>0.1</v>
      </c>
      <c r="N1919" s="6">
        <v>0.1</v>
      </c>
      <c r="O1919" s="6">
        <v>0.1</v>
      </c>
      <c r="P1919" s="6">
        <v>1</v>
      </c>
      <c r="Q1919" s="4" t="s">
        <v>26</v>
      </c>
      <c r="R1919" s="4">
        <v>0</v>
      </c>
      <c r="S1919" s="6">
        <v>0</v>
      </c>
      <c r="T1919" s="6">
        <v>67</v>
      </c>
      <c r="U1919" s="6">
        <v>111</v>
      </c>
      <c r="V1919" s="6">
        <f>IF(ISERROR(VLOOKUP($S$1919,'TAR FIN'!$A$1:$O$115,15,0)),0,VLOOKUP($S$1919,'TAR FIN'!$A$1:$O$115,15,0))</f>
        <v>0</v>
      </c>
      <c r="W1919" s="6">
        <f>IF(ISERROR(VLOOKUP($T$1919,'TAR FIN'!$A$1:$O$115,15,0)),0,VLOOKUP($T$1919,'TAR FIN'!$A$1:$O$115,15,0))</f>
        <v>463.6</v>
      </c>
      <c r="X1919" s="6">
        <f>IF(ISERROR(VLOOKUP($U$1919,'TAR FIN'!$A$1:$O$115,15,0)),0,VLOOKUP($U$1919,'TAR FIN'!$A$1:$O$115,15,0))</f>
        <v>176.58</v>
      </c>
      <c r="Y1919" s="6"/>
      <c r="Z1919" s="6">
        <f ca="1">('TUSD BE'!$AM$65+'TUSD BF'!$AM$65+'TUSD CVA'!$AM$65)*1</f>
        <v>502.21976924570083</v>
      </c>
      <c r="AA1919" s="6">
        <f>('TE BE'!$AB$48+'TE BF'!$AB$48+'TE CVA'!$AB$48)*1</f>
        <v>230.68197444058345</v>
      </c>
      <c r="AB1919" s="6">
        <f>$K$1919*$V$1919</f>
        <v>0</v>
      </c>
      <c r="AC1919" s="6">
        <f>$M$1919*$W$1919</f>
        <v>46.360000000000007</v>
      </c>
      <c r="AD1919" s="6">
        <f>$O$1919*$X$1919</f>
        <v>17.658000000000001</v>
      </c>
      <c r="AE1919" s="6">
        <f>$K$1919*$Y$1919</f>
        <v>0</v>
      </c>
      <c r="AF1919" s="6">
        <f ca="1">$M$1919*$Z$1919</f>
        <v>50.221976924570086</v>
      </c>
      <c r="AG1919" s="6">
        <f>$O$1919*$AA$1919</f>
        <v>23.068197444058345</v>
      </c>
    </row>
    <row r="1920" spans="1:33" ht="11.25" customHeight="1" x14ac:dyDescent="0.25">
      <c r="A1920" s="4" t="s">
        <v>21</v>
      </c>
      <c r="B1920" s="4" t="s">
        <v>39</v>
      </c>
      <c r="C1920" s="4" t="s">
        <v>23</v>
      </c>
      <c r="D1920" s="4" t="s">
        <v>54</v>
      </c>
      <c r="E1920" s="4" t="s">
        <v>25</v>
      </c>
      <c r="F1920" s="4" t="s">
        <v>25</v>
      </c>
      <c r="G1920" s="4" t="s">
        <v>25</v>
      </c>
      <c r="H1920" s="4" t="s">
        <v>25</v>
      </c>
      <c r="I1920" s="5">
        <v>44652</v>
      </c>
      <c r="J1920" s="6">
        <v>0</v>
      </c>
      <c r="K1920" s="6">
        <v>0</v>
      </c>
      <c r="L1920" s="6">
        <v>74.230999999999995</v>
      </c>
      <c r="M1920" s="6">
        <v>74.230999999999995</v>
      </c>
      <c r="N1920" s="6">
        <v>74.230999999999995</v>
      </c>
      <c r="O1920" s="6">
        <v>74.230999999999995</v>
      </c>
      <c r="P1920" s="6">
        <v>36</v>
      </c>
      <c r="Q1920" s="4" t="s">
        <v>26</v>
      </c>
      <c r="R1920" s="4">
        <v>0</v>
      </c>
      <c r="S1920" s="6">
        <v>0</v>
      </c>
      <c r="T1920" s="6">
        <v>67</v>
      </c>
      <c r="U1920" s="6">
        <v>111</v>
      </c>
      <c r="V1920" s="6">
        <f>IF(ISERROR(VLOOKUP($S$1920,'TAR FIN'!$A$1:$O$115,15,0)),0,VLOOKUP($S$1920,'TAR FIN'!$A$1:$O$115,15,0))</f>
        <v>0</v>
      </c>
      <c r="W1920" s="6">
        <f>IF(ISERROR(VLOOKUP($T$1920,'TAR FIN'!$A$1:$O$115,15,0)),0,VLOOKUP($T$1920,'TAR FIN'!$A$1:$O$115,15,0))</f>
        <v>463.6</v>
      </c>
      <c r="X1920" s="6">
        <f>IF(ISERROR(VLOOKUP($U$1920,'TAR FIN'!$A$1:$O$115,15,0)),0,VLOOKUP($U$1920,'TAR FIN'!$A$1:$O$115,15,0))</f>
        <v>176.58</v>
      </c>
      <c r="Y1920" s="6"/>
      <c r="Z1920" s="6">
        <f ca="1">('TUSD BE'!$AM$65+'TUSD BF'!$AM$65+'TUSD CVA'!$AM$65)*1</f>
        <v>502.21976924570083</v>
      </c>
      <c r="AA1920" s="6">
        <f>('TE BE'!$AB$48+'TE BF'!$AB$48+'TE CVA'!$AB$48)*1</f>
        <v>230.68197444058345</v>
      </c>
      <c r="AB1920" s="6">
        <f>$K$1920*$V$1920</f>
        <v>0</v>
      </c>
      <c r="AC1920" s="6">
        <f>$M$1920*$W$1920</f>
        <v>34413.491600000001</v>
      </c>
      <c r="AD1920" s="6">
        <f>$O$1920*$X$1920</f>
        <v>13107.70998</v>
      </c>
      <c r="AE1920" s="6">
        <f>$K$1920*$Y$1920</f>
        <v>0</v>
      </c>
      <c r="AF1920" s="6">
        <f ca="1">$M$1920*$Z$1920</f>
        <v>37280.275690877614</v>
      </c>
      <c r="AG1920" s="6">
        <f>$O$1920*$AA$1920</f>
        <v>17123.753644698947</v>
      </c>
    </row>
    <row r="1921" spans="1:33" ht="11.25" customHeight="1" x14ac:dyDescent="0.25">
      <c r="A1921" s="4" t="s">
        <v>28</v>
      </c>
      <c r="B1921" s="4" t="s">
        <v>39</v>
      </c>
      <c r="C1921" s="4" t="s">
        <v>23</v>
      </c>
      <c r="D1921" s="4" t="s">
        <v>54</v>
      </c>
      <c r="E1921" s="4" t="s">
        <v>25</v>
      </c>
      <c r="F1921" s="4" t="s">
        <v>25</v>
      </c>
      <c r="G1921" s="4" t="s">
        <v>25</v>
      </c>
      <c r="H1921" s="4" t="s">
        <v>25</v>
      </c>
      <c r="I1921" s="5">
        <v>44652</v>
      </c>
      <c r="J1921" s="6">
        <v>0</v>
      </c>
      <c r="K1921" s="6">
        <v>0</v>
      </c>
      <c r="L1921" s="6">
        <v>10.284000000000001</v>
      </c>
      <c r="M1921" s="6">
        <v>10.284000000000001</v>
      </c>
      <c r="N1921" s="6">
        <v>10.284000000000001</v>
      </c>
      <c r="O1921" s="6">
        <v>10.284000000000001</v>
      </c>
      <c r="P1921" s="6">
        <v>16</v>
      </c>
      <c r="Q1921" s="4" t="s">
        <v>26</v>
      </c>
      <c r="R1921" s="4">
        <v>0</v>
      </c>
      <c r="S1921" s="6">
        <v>0</v>
      </c>
      <c r="T1921" s="6">
        <v>67</v>
      </c>
      <c r="U1921" s="6">
        <v>111</v>
      </c>
      <c r="V1921" s="6">
        <f>IF(ISERROR(VLOOKUP($S$1921,'TAR FIN'!$A$1:$O$115,15,0)),0,VLOOKUP($S$1921,'TAR FIN'!$A$1:$O$115,15,0))</f>
        <v>0</v>
      </c>
      <c r="W1921" s="6">
        <f>IF(ISERROR(VLOOKUP($T$1921,'TAR FIN'!$A$1:$O$115,15,0)),0,VLOOKUP($T$1921,'TAR FIN'!$A$1:$O$115,15,0))</f>
        <v>463.6</v>
      </c>
      <c r="X1921" s="6">
        <f>IF(ISERROR(VLOOKUP($U$1921,'TAR FIN'!$A$1:$O$115,15,0)),0,VLOOKUP($U$1921,'TAR FIN'!$A$1:$O$115,15,0))</f>
        <v>176.58</v>
      </c>
      <c r="Y1921" s="6"/>
      <c r="Z1921" s="6">
        <f ca="1">('TUSD BE'!$AM$65+'TUSD BF'!$AM$65+'TUSD CVA'!$AM$65)*1</f>
        <v>502.21976924570083</v>
      </c>
      <c r="AA1921" s="6">
        <f>('TE BE'!$AB$48+'TE BF'!$AB$48+'TE CVA'!$AB$48)*1</f>
        <v>230.68197444058345</v>
      </c>
      <c r="AB1921" s="6">
        <f>$K$1921*$V$1921</f>
        <v>0</v>
      </c>
      <c r="AC1921" s="6">
        <f>$M$1921*$W$1921</f>
        <v>4767.6624000000002</v>
      </c>
      <c r="AD1921" s="6">
        <f>$O$1921*$X$1921</f>
        <v>1815.9487200000003</v>
      </c>
      <c r="AE1921" s="6">
        <f>$K$1921*$Y$1921</f>
        <v>0</v>
      </c>
      <c r="AF1921" s="6">
        <f ca="1">$M$1921*$Z$1921</f>
        <v>5164.8281069227878</v>
      </c>
      <c r="AG1921" s="6">
        <f>$O$1921*$AA$1921</f>
        <v>2372.3334251469605</v>
      </c>
    </row>
    <row r="1922" spans="1:33" ht="11.25" customHeight="1" x14ac:dyDescent="0.25">
      <c r="A1922" s="4" t="s">
        <v>30</v>
      </c>
      <c r="B1922" s="4" t="s">
        <v>39</v>
      </c>
      <c r="C1922" s="4" t="s">
        <v>23</v>
      </c>
      <c r="D1922" s="4" t="s">
        <v>54</v>
      </c>
      <c r="E1922" s="4" t="s">
        <v>25</v>
      </c>
      <c r="F1922" s="4" t="s">
        <v>25</v>
      </c>
      <c r="G1922" s="4" t="s">
        <v>25</v>
      </c>
      <c r="H1922" s="4" t="s">
        <v>25</v>
      </c>
      <c r="I1922" s="5">
        <v>44652</v>
      </c>
      <c r="J1922" s="6">
        <v>0</v>
      </c>
      <c r="K1922" s="6">
        <v>0</v>
      </c>
      <c r="L1922" s="6">
        <v>0.1</v>
      </c>
      <c r="M1922" s="6">
        <v>0.1</v>
      </c>
      <c r="N1922" s="6">
        <v>0.1</v>
      </c>
      <c r="O1922" s="6">
        <v>0.1</v>
      </c>
      <c r="P1922" s="6">
        <v>1</v>
      </c>
      <c r="Q1922" s="4" t="s">
        <v>26</v>
      </c>
      <c r="R1922" s="4">
        <v>0</v>
      </c>
      <c r="S1922" s="6">
        <v>0</v>
      </c>
      <c r="T1922" s="6">
        <v>67</v>
      </c>
      <c r="U1922" s="6">
        <v>111</v>
      </c>
      <c r="V1922" s="6">
        <f>IF(ISERROR(VLOOKUP($S$1922,'TAR FIN'!$A$1:$O$115,15,0)),0,VLOOKUP($S$1922,'TAR FIN'!$A$1:$O$115,15,0))</f>
        <v>0</v>
      </c>
      <c r="W1922" s="6">
        <f>IF(ISERROR(VLOOKUP($T$1922,'TAR FIN'!$A$1:$O$115,15,0)),0,VLOOKUP($T$1922,'TAR FIN'!$A$1:$O$115,15,0))</f>
        <v>463.6</v>
      </c>
      <c r="X1922" s="6">
        <f>IF(ISERROR(VLOOKUP($U$1922,'TAR FIN'!$A$1:$O$115,15,0)),0,VLOOKUP($U$1922,'TAR FIN'!$A$1:$O$115,15,0))</f>
        <v>176.58</v>
      </c>
      <c r="Y1922" s="6"/>
      <c r="Z1922" s="6">
        <f ca="1">('TUSD BE'!$AM$65+'TUSD BF'!$AM$65+'TUSD CVA'!$AM$65)*1</f>
        <v>502.21976924570083</v>
      </c>
      <c r="AA1922" s="6">
        <f>('TE BE'!$AB$48+'TE BF'!$AB$48+'TE CVA'!$AB$48)*1</f>
        <v>230.68197444058345</v>
      </c>
      <c r="AB1922" s="6">
        <f>$K$1922*$V$1922</f>
        <v>0</v>
      </c>
      <c r="AC1922" s="6">
        <f>$M$1922*$W$1922</f>
        <v>46.360000000000007</v>
      </c>
      <c r="AD1922" s="6">
        <f>$O$1922*$X$1922</f>
        <v>17.658000000000001</v>
      </c>
      <c r="AE1922" s="6">
        <f>$K$1922*$Y$1922</f>
        <v>0</v>
      </c>
      <c r="AF1922" s="6">
        <f ca="1">$M$1922*$Z$1922</f>
        <v>50.221976924570086</v>
      </c>
      <c r="AG1922" s="6">
        <f>$O$1922*$AA$1922</f>
        <v>23.068197444058345</v>
      </c>
    </row>
    <row r="1923" spans="1:33" ht="11.25" customHeight="1" x14ac:dyDescent="0.25">
      <c r="A1923" s="4" t="s">
        <v>21</v>
      </c>
      <c r="B1923" s="4" t="s">
        <v>39</v>
      </c>
      <c r="C1923" s="4" t="s">
        <v>23</v>
      </c>
      <c r="D1923" s="4" t="s">
        <v>54</v>
      </c>
      <c r="E1923" s="4" t="s">
        <v>25</v>
      </c>
      <c r="F1923" s="4" t="s">
        <v>25</v>
      </c>
      <c r="G1923" s="4" t="s">
        <v>25</v>
      </c>
      <c r="H1923" s="4" t="s">
        <v>25</v>
      </c>
      <c r="I1923" s="5">
        <v>44682</v>
      </c>
      <c r="J1923" s="6">
        <v>0</v>
      </c>
      <c r="K1923" s="6">
        <v>0</v>
      </c>
      <c r="L1923" s="6">
        <v>64.531999999999996</v>
      </c>
      <c r="M1923" s="6">
        <v>64.531999999999996</v>
      </c>
      <c r="N1923" s="6">
        <v>64.531999999999996</v>
      </c>
      <c r="O1923" s="6">
        <v>64.531999999999996</v>
      </c>
      <c r="P1923" s="6">
        <v>35</v>
      </c>
      <c r="Q1923" s="4" t="s">
        <v>26</v>
      </c>
      <c r="R1923" s="4">
        <v>0</v>
      </c>
      <c r="S1923" s="6">
        <v>0</v>
      </c>
      <c r="T1923" s="6">
        <v>67</v>
      </c>
      <c r="U1923" s="6">
        <v>111</v>
      </c>
      <c r="V1923" s="6">
        <f>IF(ISERROR(VLOOKUP($S$1923,'TAR FIN'!$A$1:$O$115,15,0)),0,VLOOKUP($S$1923,'TAR FIN'!$A$1:$O$115,15,0))</f>
        <v>0</v>
      </c>
      <c r="W1923" s="6">
        <f>IF(ISERROR(VLOOKUP($T$1923,'TAR FIN'!$A$1:$O$115,15,0)),0,VLOOKUP($T$1923,'TAR FIN'!$A$1:$O$115,15,0))</f>
        <v>463.6</v>
      </c>
      <c r="X1923" s="6">
        <f>IF(ISERROR(VLOOKUP($U$1923,'TAR FIN'!$A$1:$O$115,15,0)),0,VLOOKUP($U$1923,'TAR FIN'!$A$1:$O$115,15,0))</f>
        <v>176.58</v>
      </c>
      <c r="Y1923" s="6"/>
      <c r="Z1923" s="6">
        <f ca="1">('TUSD BE'!$AM$65+'TUSD BF'!$AM$65+'TUSD CVA'!$AM$65)*1</f>
        <v>502.21976924570083</v>
      </c>
      <c r="AA1923" s="6">
        <f>('TE BE'!$AB$48+'TE BF'!$AB$48+'TE CVA'!$AB$48)*1</f>
        <v>230.68197444058345</v>
      </c>
      <c r="AB1923" s="6">
        <f>$K$1923*$V$1923</f>
        <v>0</v>
      </c>
      <c r="AC1923" s="6">
        <f>$M$1923*$W$1923</f>
        <v>29917.035199999998</v>
      </c>
      <c r="AD1923" s="6">
        <f>$O$1923*$X$1923</f>
        <v>11395.06056</v>
      </c>
      <c r="AE1923" s="6">
        <f>$K$1923*$Y$1923</f>
        <v>0</v>
      </c>
      <c r="AF1923" s="6">
        <f ca="1">$M$1923*$Z$1923</f>
        <v>32409.246148963564</v>
      </c>
      <c r="AG1923" s="6">
        <f>$O$1923*$AA$1923</f>
        <v>14886.369174599729</v>
      </c>
    </row>
    <row r="1924" spans="1:33" ht="11.25" customHeight="1" x14ac:dyDescent="0.25">
      <c r="A1924" s="4" t="s">
        <v>27</v>
      </c>
      <c r="B1924" s="4" t="s">
        <v>39</v>
      </c>
      <c r="C1924" s="4" t="s">
        <v>23</v>
      </c>
      <c r="D1924" s="4" t="s">
        <v>54</v>
      </c>
      <c r="E1924" s="4" t="s">
        <v>25</v>
      </c>
      <c r="F1924" s="4" t="s">
        <v>25</v>
      </c>
      <c r="G1924" s="4" t="s">
        <v>25</v>
      </c>
      <c r="H1924" s="4" t="s">
        <v>25</v>
      </c>
      <c r="I1924" s="5">
        <v>44682</v>
      </c>
      <c r="J1924" s="6">
        <v>0</v>
      </c>
      <c r="K1924" s="6">
        <v>0</v>
      </c>
      <c r="L1924" s="6">
        <v>0.05</v>
      </c>
      <c r="M1924" s="6">
        <v>0.05</v>
      </c>
      <c r="N1924" s="6">
        <v>0.05</v>
      </c>
      <c r="O1924" s="6">
        <v>0.05</v>
      </c>
      <c r="P1924" s="6">
        <v>1</v>
      </c>
      <c r="Q1924" s="4" t="s">
        <v>26</v>
      </c>
      <c r="R1924" s="4">
        <v>0</v>
      </c>
      <c r="S1924" s="6">
        <v>0</v>
      </c>
      <c r="T1924" s="6">
        <v>67</v>
      </c>
      <c r="U1924" s="6">
        <v>111</v>
      </c>
      <c r="V1924" s="6">
        <f>IF(ISERROR(VLOOKUP($S$1924,'TAR FIN'!$A$1:$O$115,15,0)),0,VLOOKUP($S$1924,'TAR FIN'!$A$1:$O$115,15,0))</f>
        <v>0</v>
      </c>
      <c r="W1924" s="6">
        <f>IF(ISERROR(VLOOKUP($T$1924,'TAR FIN'!$A$1:$O$115,15,0)),0,VLOOKUP($T$1924,'TAR FIN'!$A$1:$O$115,15,0))</f>
        <v>463.6</v>
      </c>
      <c r="X1924" s="6">
        <f>IF(ISERROR(VLOOKUP($U$1924,'TAR FIN'!$A$1:$O$115,15,0)),0,VLOOKUP($U$1924,'TAR FIN'!$A$1:$O$115,15,0))</f>
        <v>176.58</v>
      </c>
      <c r="Y1924" s="6"/>
      <c r="Z1924" s="6">
        <f ca="1">('TUSD BE'!$AM$65+'TUSD BF'!$AM$65+'TUSD CVA'!$AM$65)*1</f>
        <v>502.21976924570083</v>
      </c>
      <c r="AA1924" s="6">
        <f>('TE BE'!$AB$48+'TE BF'!$AB$48+'TE CVA'!$AB$48)*1</f>
        <v>230.68197444058345</v>
      </c>
      <c r="AB1924" s="6">
        <f>$K$1924*$V$1924</f>
        <v>0</v>
      </c>
      <c r="AC1924" s="6">
        <f>$M$1924*$W$1924</f>
        <v>23.180000000000003</v>
      </c>
      <c r="AD1924" s="6">
        <f>$O$1924*$X$1924</f>
        <v>8.8290000000000006</v>
      </c>
      <c r="AE1924" s="6">
        <f>$K$1924*$Y$1924</f>
        <v>0</v>
      </c>
      <c r="AF1924" s="6">
        <f ca="1">$M$1924*$Z$1924</f>
        <v>25.110988462285043</v>
      </c>
      <c r="AG1924" s="6">
        <f>$O$1924*$AA$1924</f>
        <v>11.534098722029173</v>
      </c>
    </row>
    <row r="1925" spans="1:33" ht="11.25" customHeight="1" x14ac:dyDescent="0.25">
      <c r="A1925" s="4" t="s">
        <v>28</v>
      </c>
      <c r="B1925" s="4" t="s">
        <v>39</v>
      </c>
      <c r="C1925" s="4" t="s">
        <v>23</v>
      </c>
      <c r="D1925" s="4" t="s">
        <v>54</v>
      </c>
      <c r="E1925" s="4" t="s">
        <v>25</v>
      </c>
      <c r="F1925" s="4" t="s">
        <v>25</v>
      </c>
      <c r="G1925" s="4" t="s">
        <v>25</v>
      </c>
      <c r="H1925" s="4" t="s">
        <v>25</v>
      </c>
      <c r="I1925" s="5">
        <v>44682</v>
      </c>
      <c r="J1925" s="6">
        <v>0</v>
      </c>
      <c r="K1925" s="6">
        <v>0</v>
      </c>
      <c r="L1925" s="6">
        <v>10.206</v>
      </c>
      <c r="M1925" s="6">
        <v>10.206</v>
      </c>
      <c r="N1925" s="6">
        <v>10.206</v>
      </c>
      <c r="O1925" s="6">
        <v>10.206</v>
      </c>
      <c r="P1925" s="6">
        <v>16</v>
      </c>
      <c r="Q1925" s="4" t="s">
        <v>26</v>
      </c>
      <c r="R1925" s="4">
        <v>0</v>
      </c>
      <c r="S1925" s="6">
        <v>0</v>
      </c>
      <c r="T1925" s="6">
        <v>67</v>
      </c>
      <c r="U1925" s="6">
        <v>111</v>
      </c>
      <c r="V1925" s="6">
        <f>IF(ISERROR(VLOOKUP($S$1925,'TAR FIN'!$A$1:$O$115,15,0)),0,VLOOKUP($S$1925,'TAR FIN'!$A$1:$O$115,15,0))</f>
        <v>0</v>
      </c>
      <c r="W1925" s="6">
        <f>IF(ISERROR(VLOOKUP($T$1925,'TAR FIN'!$A$1:$O$115,15,0)),0,VLOOKUP($T$1925,'TAR FIN'!$A$1:$O$115,15,0))</f>
        <v>463.6</v>
      </c>
      <c r="X1925" s="6">
        <f>IF(ISERROR(VLOOKUP($U$1925,'TAR FIN'!$A$1:$O$115,15,0)),0,VLOOKUP($U$1925,'TAR FIN'!$A$1:$O$115,15,0))</f>
        <v>176.58</v>
      </c>
      <c r="Y1925" s="6"/>
      <c r="Z1925" s="6">
        <f ca="1">('TUSD BE'!$AM$65+'TUSD BF'!$AM$65+'TUSD CVA'!$AM$65)*1</f>
        <v>502.21976924570083</v>
      </c>
      <c r="AA1925" s="6">
        <f>('TE BE'!$AB$48+'TE BF'!$AB$48+'TE CVA'!$AB$48)*1</f>
        <v>230.68197444058345</v>
      </c>
      <c r="AB1925" s="6">
        <f>$K$1925*$V$1925</f>
        <v>0</v>
      </c>
      <c r="AC1925" s="6">
        <f>$M$1925*$W$1925</f>
        <v>4731.5015999999996</v>
      </c>
      <c r="AD1925" s="6">
        <f>$O$1925*$X$1925</f>
        <v>1802.1754800000001</v>
      </c>
      <c r="AE1925" s="6">
        <f>$K$1925*$Y$1925</f>
        <v>0</v>
      </c>
      <c r="AF1925" s="6">
        <f ca="1">$M$1925*$Z$1925</f>
        <v>5125.6549649216222</v>
      </c>
      <c r="AG1925" s="6">
        <f>$O$1925*$AA$1925</f>
        <v>2354.3402311405944</v>
      </c>
    </row>
    <row r="1926" spans="1:33" ht="11.25" customHeight="1" x14ac:dyDescent="0.25">
      <c r="A1926" s="4" t="s">
        <v>30</v>
      </c>
      <c r="B1926" s="4" t="s">
        <v>39</v>
      </c>
      <c r="C1926" s="4" t="s">
        <v>23</v>
      </c>
      <c r="D1926" s="4" t="s">
        <v>54</v>
      </c>
      <c r="E1926" s="4" t="s">
        <v>25</v>
      </c>
      <c r="F1926" s="4" t="s">
        <v>25</v>
      </c>
      <c r="G1926" s="4" t="s">
        <v>25</v>
      </c>
      <c r="H1926" s="4" t="s">
        <v>25</v>
      </c>
      <c r="I1926" s="5">
        <v>44682</v>
      </c>
      <c r="J1926" s="6">
        <v>0</v>
      </c>
      <c r="K1926" s="6">
        <v>0</v>
      </c>
      <c r="L1926" s="6">
        <v>0.1</v>
      </c>
      <c r="M1926" s="6">
        <v>0.1</v>
      </c>
      <c r="N1926" s="6">
        <v>0.1</v>
      </c>
      <c r="O1926" s="6">
        <v>0.1</v>
      </c>
      <c r="P1926" s="6">
        <v>1</v>
      </c>
      <c r="Q1926" s="4" t="s">
        <v>26</v>
      </c>
      <c r="R1926" s="4">
        <v>0</v>
      </c>
      <c r="S1926" s="6">
        <v>0</v>
      </c>
      <c r="T1926" s="6">
        <v>67</v>
      </c>
      <c r="U1926" s="6">
        <v>111</v>
      </c>
      <c r="V1926" s="6">
        <f>IF(ISERROR(VLOOKUP($S$1926,'TAR FIN'!$A$1:$O$115,15,0)),0,VLOOKUP($S$1926,'TAR FIN'!$A$1:$O$115,15,0))</f>
        <v>0</v>
      </c>
      <c r="W1926" s="6">
        <f>IF(ISERROR(VLOOKUP($T$1926,'TAR FIN'!$A$1:$O$115,15,0)),0,VLOOKUP($T$1926,'TAR FIN'!$A$1:$O$115,15,0))</f>
        <v>463.6</v>
      </c>
      <c r="X1926" s="6">
        <f>IF(ISERROR(VLOOKUP($U$1926,'TAR FIN'!$A$1:$O$115,15,0)),0,VLOOKUP($U$1926,'TAR FIN'!$A$1:$O$115,15,0))</f>
        <v>176.58</v>
      </c>
      <c r="Y1926" s="6"/>
      <c r="Z1926" s="6">
        <f ca="1">('TUSD BE'!$AM$65+'TUSD BF'!$AM$65+'TUSD CVA'!$AM$65)*1</f>
        <v>502.21976924570083</v>
      </c>
      <c r="AA1926" s="6">
        <f>('TE BE'!$AB$48+'TE BF'!$AB$48+'TE CVA'!$AB$48)*1</f>
        <v>230.68197444058345</v>
      </c>
      <c r="AB1926" s="6">
        <f>$K$1926*$V$1926</f>
        <v>0</v>
      </c>
      <c r="AC1926" s="6">
        <f>$M$1926*$W$1926</f>
        <v>46.360000000000007</v>
      </c>
      <c r="AD1926" s="6">
        <f>$O$1926*$X$1926</f>
        <v>17.658000000000001</v>
      </c>
      <c r="AE1926" s="6">
        <f>$K$1926*$Y$1926</f>
        <v>0</v>
      </c>
      <c r="AF1926" s="6">
        <f ca="1">$M$1926*$Z$1926</f>
        <v>50.221976924570086</v>
      </c>
      <c r="AG1926" s="6">
        <f>$O$1926*$AA$1926</f>
        <v>23.068197444058345</v>
      </c>
    </row>
    <row r="1927" spans="1:33" ht="11.25" customHeight="1" x14ac:dyDescent="0.25">
      <c r="A1927" s="4" t="s">
        <v>21</v>
      </c>
      <c r="B1927" s="4" t="s">
        <v>39</v>
      </c>
      <c r="C1927" s="4" t="s">
        <v>23</v>
      </c>
      <c r="D1927" s="4" t="s">
        <v>54</v>
      </c>
      <c r="E1927" s="4" t="s">
        <v>25</v>
      </c>
      <c r="F1927" s="4" t="s">
        <v>25</v>
      </c>
      <c r="G1927" s="4" t="s">
        <v>25</v>
      </c>
      <c r="H1927" s="4" t="s">
        <v>25</v>
      </c>
      <c r="I1927" s="5">
        <v>44713</v>
      </c>
      <c r="J1927" s="6">
        <v>0</v>
      </c>
      <c r="K1927" s="6">
        <v>0</v>
      </c>
      <c r="L1927" s="6">
        <v>54.491999999999997</v>
      </c>
      <c r="M1927" s="6">
        <v>54.491999999999997</v>
      </c>
      <c r="N1927" s="6">
        <v>54.491999999999997</v>
      </c>
      <c r="O1927" s="6">
        <v>54.491999999999997</v>
      </c>
      <c r="P1927" s="6">
        <v>38</v>
      </c>
      <c r="Q1927" s="4" t="s">
        <v>26</v>
      </c>
      <c r="R1927" s="4">
        <v>0</v>
      </c>
      <c r="S1927" s="6">
        <v>0</v>
      </c>
      <c r="T1927" s="6">
        <v>67</v>
      </c>
      <c r="U1927" s="6">
        <v>111</v>
      </c>
      <c r="V1927" s="6">
        <f>IF(ISERROR(VLOOKUP($S$1927,'TAR FIN'!$A$1:$O$115,15,0)),0,VLOOKUP($S$1927,'TAR FIN'!$A$1:$O$115,15,0))</f>
        <v>0</v>
      </c>
      <c r="W1927" s="6">
        <f>IF(ISERROR(VLOOKUP($T$1927,'TAR FIN'!$A$1:$O$115,15,0)),0,VLOOKUP($T$1927,'TAR FIN'!$A$1:$O$115,15,0))</f>
        <v>463.6</v>
      </c>
      <c r="X1927" s="6">
        <f>IF(ISERROR(VLOOKUP($U$1927,'TAR FIN'!$A$1:$O$115,15,0)),0,VLOOKUP($U$1927,'TAR FIN'!$A$1:$O$115,15,0))</f>
        <v>176.58</v>
      </c>
      <c r="Y1927" s="6"/>
      <c r="Z1927" s="6">
        <f ca="1">('TUSD BE'!$AM$65+'TUSD BF'!$AM$65+'TUSD CVA'!$AM$65)*1</f>
        <v>502.21976924570083</v>
      </c>
      <c r="AA1927" s="6">
        <f>('TE BE'!$AB$48+'TE BF'!$AB$48+'TE CVA'!$AB$48)*1</f>
        <v>230.68197444058345</v>
      </c>
      <c r="AB1927" s="6">
        <f>$K$1927*$V$1927</f>
        <v>0</v>
      </c>
      <c r="AC1927" s="6">
        <f>$M$1927*$W$1927</f>
        <v>25262.4912</v>
      </c>
      <c r="AD1927" s="6">
        <f>$O$1927*$X$1927</f>
        <v>9622.1973600000001</v>
      </c>
      <c r="AE1927" s="6">
        <f>$K$1927*$Y$1927</f>
        <v>0</v>
      </c>
      <c r="AF1927" s="6">
        <f ca="1">$M$1927*$Z$1927</f>
        <v>27366.959665736729</v>
      </c>
      <c r="AG1927" s="6">
        <f>$O$1927*$AA$1927</f>
        <v>12570.322151216273</v>
      </c>
    </row>
    <row r="1928" spans="1:33" ht="11.25" customHeight="1" x14ac:dyDescent="0.25">
      <c r="A1928" s="4" t="s">
        <v>27</v>
      </c>
      <c r="B1928" s="4" t="s">
        <v>39</v>
      </c>
      <c r="C1928" s="4" t="s">
        <v>23</v>
      </c>
      <c r="D1928" s="4" t="s">
        <v>54</v>
      </c>
      <c r="E1928" s="4" t="s">
        <v>25</v>
      </c>
      <c r="F1928" s="4" t="s">
        <v>25</v>
      </c>
      <c r="G1928" s="4" t="s">
        <v>25</v>
      </c>
      <c r="H1928" s="4" t="s">
        <v>25</v>
      </c>
      <c r="I1928" s="5">
        <v>44713</v>
      </c>
      <c r="J1928" s="6">
        <v>0</v>
      </c>
      <c r="K1928" s="6">
        <v>0</v>
      </c>
      <c r="L1928" s="6">
        <v>1.7490000000000001</v>
      </c>
      <c r="M1928" s="6">
        <v>1.7490000000000001</v>
      </c>
      <c r="N1928" s="6">
        <v>1.7490000000000001</v>
      </c>
      <c r="O1928" s="6">
        <v>1.7490000000000001</v>
      </c>
      <c r="P1928" s="6">
        <v>2</v>
      </c>
      <c r="Q1928" s="4" t="s">
        <v>26</v>
      </c>
      <c r="R1928" s="4">
        <v>0</v>
      </c>
      <c r="S1928" s="6">
        <v>0</v>
      </c>
      <c r="T1928" s="6">
        <v>67</v>
      </c>
      <c r="U1928" s="6">
        <v>111</v>
      </c>
      <c r="V1928" s="6">
        <f>IF(ISERROR(VLOOKUP($S$1928,'TAR FIN'!$A$1:$O$115,15,0)),0,VLOOKUP($S$1928,'TAR FIN'!$A$1:$O$115,15,0))</f>
        <v>0</v>
      </c>
      <c r="W1928" s="6">
        <f>IF(ISERROR(VLOOKUP($T$1928,'TAR FIN'!$A$1:$O$115,15,0)),0,VLOOKUP($T$1928,'TAR FIN'!$A$1:$O$115,15,0))</f>
        <v>463.6</v>
      </c>
      <c r="X1928" s="6">
        <f>IF(ISERROR(VLOOKUP($U$1928,'TAR FIN'!$A$1:$O$115,15,0)),0,VLOOKUP($U$1928,'TAR FIN'!$A$1:$O$115,15,0))</f>
        <v>176.58</v>
      </c>
      <c r="Y1928" s="6"/>
      <c r="Z1928" s="6">
        <f ca="1">('TUSD BE'!$AM$65+'TUSD BF'!$AM$65+'TUSD CVA'!$AM$65)*1</f>
        <v>502.21976924570083</v>
      </c>
      <c r="AA1928" s="6">
        <f>('TE BE'!$AB$48+'TE BF'!$AB$48+'TE CVA'!$AB$48)*1</f>
        <v>230.68197444058345</v>
      </c>
      <c r="AB1928" s="6">
        <f>$K$1928*$V$1928</f>
        <v>0</v>
      </c>
      <c r="AC1928" s="6">
        <f>$M$1928*$W$1928</f>
        <v>810.83640000000014</v>
      </c>
      <c r="AD1928" s="6">
        <f>$O$1928*$X$1928</f>
        <v>308.83842000000004</v>
      </c>
      <c r="AE1928" s="6">
        <f>$K$1928*$Y$1928</f>
        <v>0</v>
      </c>
      <c r="AF1928" s="6">
        <f ca="1">$M$1928*$Z$1928</f>
        <v>878.38237641073079</v>
      </c>
      <c r="AG1928" s="6">
        <f>$O$1928*$AA$1928</f>
        <v>403.46277329658045</v>
      </c>
    </row>
    <row r="1929" spans="1:33" ht="11.25" customHeight="1" x14ac:dyDescent="0.25">
      <c r="A1929" s="4" t="s">
        <v>28</v>
      </c>
      <c r="B1929" s="4" t="s">
        <v>39</v>
      </c>
      <c r="C1929" s="4" t="s">
        <v>23</v>
      </c>
      <c r="D1929" s="4" t="s">
        <v>54</v>
      </c>
      <c r="E1929" s="4" t="s">
        <v>25</v>
      </c>
      <c r="F1929" s="4" t="s">
        <v>25</v>
      </c>
      <c r="G1929" s="4" t="s">
        <v>25</v>
      </c>
      <c r="H1929" s="4" t="s">
        <v>25</v>
      </c>
      <c r="I1929" s="5">
        <v>44713</v>
      </c>
      <c r="J1929" s="6">
        <v>0</v>
      </c>
      <c r="K1929" s="6">
        <v>0</v>
      </c>
      <c r="L1929" s="6">
        <v>10.053000000000001</v>
      </c>
      <c r="M1929" s="6">
        <v>10.053000000000001</v>
      </c>
      <c r="N1929" s="6">
        <v>10.053000000000001</v>
      </c>
      <c r="O1929" s="6">
        <v>10.053000000000001</v>
      </c>
      <c r="P1929" s="6">
        <v>17</v>
      </c>
      <c r="Q1929" s="4" t="s">
        <v>26</v>
      </c>
      <c r="R1929" s="4">
        <v>0</v>
      </c>
      <c r="S1929" s="6">
        <v>0</v>
      </c>
      <c r="T1929" s="6">
        <v>67</v>
      </c>
      <c r="U1929" s="6">
        <v>111</v>
      </c>
      <c r="V1929" s="6">
        <f>IF(ISERROR(VLOOKUP($S$1929,'TAR FIN'!$A$1:$O$115,15,0)),0,VLOOKUP($S$1929,'TAR FIN'!$A$1:$O$115,15,0))</f>
        <v>0</v>
      </c>
      <c r="W1929" s="6">
        <f>IF(ISERROR(VLOOKUP($T$1929,'TAR FIN'!$A$1:$O$115,15,0)),0,VLOOKUP($T$1929,'TAR FIN'!$A$1:$O$115,15,0))</f>
        <v>463.6</v>
      </c>
      <c r="X1929" s="6">
        <f>IF(ISERROR(VLOOKUP($U$1929,'TAR FIN'!$A$1:$O$115,15,0)),0,VLOOKUP($U$1929,'TAR FIN'!$A$1:$O$115,15,0))</f>
        <v>176.58</v>
      </c>
      <c r="Y1929" s="6"/>
      <c r="Z1929" s="6">
        <f ca="1">('TUSD BE'!$AM$65+'TUSD BF'!$AM$65+'TUSD CVA'!$AM$65)*1</f>
        <v>502.21976924570083</v>
      </c>
      <c r="AA1929" s="6">
        <f>('TE BE'!$AB$48+'TE BF'!$AB$48+'TE CVA'!$AB$48)*1</f>
        <v>230.68197444058345</v>
      </c>
      <c r="AB1929" s="6">
        <f>$K$1929*$V$1929</f>
        <v>0</v>
      </c>
      <c r="AC1929" s="6">
        <f>$M$1929*$W$1929</f>
        <v>4660.5708000000004</v>
      </c>
      <c r="AD1929" s="6">
        <f>$O$1929*$X$1929</f>
        <v>1775.1587400000003</v>
      </c>
      <c r="AE1929" s="6">
        <f>$K$1929*$Y$1929</f>
        <v>0</v>
      </c>
      <c r="AF1929" s="6">
        <f ca="1">$M$1929*$Z$1929</f>
        <v>5048.8153402270309</v>
      </c>
      <c r="AG1929" s="6">
        <f>$O$1929*$AA$1929</f>
        <v>2319.0458890511854</v>
      </c>
    </row>
    <row r="1930" spans="1:33" ht="11.25" customHeight="1" x14ac:dyDescent="0.25">
      <c r="A1930" s="4" t="s">
        <v>30</v>
      </c>
      <c r="B1930" s="4" t="s">
        <v>39</v>
      </c>
      <c r="C1930" s="4" t="s">
        <v>23</v>
      </c>
      <c r="D1930" s="4" t="s">
        <v>54</v>
      </c>
      <c r="E1930" s="4" t="s">
        <v>25</v>
      </c>
      <c r="F1930" s="4" t="s">
        <v>25</v>
      </c>
      <c r="G1930" s="4" t="s">
        <v>25</v>
      </c>
      <c r="H1930" s="4" t="s">
        <v>25</v>
      </c>
      <c r="I1930" s="5">
        <v>44713</v>
      </c>
      <c r="J1930" s="6">
        <v>0</v>
      </c>
      <c r="K1930" s="6">
        <v>0</v>
      </c>
      <c r="L1930" s="6">
        <v>0.1</v>
      </c>
      <c r="M1930" s="6">
        <v>0.1</v>
      </c>
      <c r="N1930" s="6">
        <v>0.1</v>
      </c>
      <c r="O1930" s="6">
        <v>0.1</v>
      </c>
      <c r="P1930" s="6">
        <v>1</v>
      </c>
      <c r="Q1930" s="4" t="s">
        <v>26</v>
      </c>
      <c r="R1930" s="4">
        <v>0</v>
      </c>
      <c r="S1930" s="6">
        <v>0</v>
      </c>
      <c r="T1930" s="6">
        <v>67</v>
      </c>
      <c r="U1930" s="6">
        <v>111</v>
      </c>
      <c r="V1930" s="6">
        <f>IF(ISERROR(VLOOKUP($S$1930,'TAR FIN'!$A$1:$O$115,15,0)),0,VLOOKUP($S$1930,'TAR FIN'!$A$1:$O$115,15,0))</f>
        <v>0</v>
      </c>
      <c r="W1930" s="6">
        <f>IF(ISERROR(VLOOKUP($T$1930,'TAR FIN'!$A$1:$O$115,15,0)),0,VLOOKUP($T$1930,'TAR FIN'!$A$1:$O$115,15,0))</f>
        <v>463.6</v>
      </c>
      <c r="X1930" s="6">
        <f>IF(ISERROR(VLOOKUP($U$1930,'TAR FIN'!$A$1:$O$115,15,0)),0,VLOOKUP($U$1930,'TAR FIN'!$A$1:$O$115,15,0))</f>
        <v>176.58</v>
      </c>
      <c r="Y1930" s="6"/>
      <c r="Z1930" s="6">
        <f ca="1">('TUSD BE'!$AM$65+'TUSD BF'!$AM$65+'TUSD CVA'!$AM$65)*1</f>
        <v>502.21976924570083</v>
      </c>
      <c r="AA1930" s="6">
        <f>('TE BE'!$AB$48+'TE BF'!$AB$48+'TE CVA'!$AB$48)*1</f>
        <v>230.68197444058345</v>
      </c>
      <c r="AB1930" s="6">
        <f>$K$1930*$V$1930</f>
        <v>0</v>
      </c>
      <c r="AC1930" s="6">
        <f>$M$1930*$W$1930</f>
        <v>46.360000000000007</v>
      </c>
      <c r="AD1930" s="6">
        <f>$O$1930*$X$1930</f>
        <v>17.658000000000001</v>
      </c>
      <c r="AE1930" s="6">
        <f>$K$1930*$Y$1930</f>
        <v>0</v>
      </c>
      <c r="AF1930" s="6">
        <f ca="1">$M$1930*$Z$1930</f>
        <v>50.221976924570086</v>
      </c>
      <c r="AG1930" s="6">
        <f>$O$1930*$AA$1930</f>
        <v>23.068197444058345</v>
      </c>
    </row>
    <row r="1931" spans="1:33" ht="11.25" customHeight="1" x14ac:dyDescent="0.25">
      <c r="A1931" s="4" t="s">
        <v>21</v>
      </c>
      <c r="B1931" s="4" t="s">
        <v>39</v>
      </c>
      <c r="C1931" s="4" t="s">
        <v>23</v>
      </c>
      <c r="D1931" s="4" t="s">
        <v>54</v>
      </c>
      <c r="E1931" s="4" t="s">
        <v>25</v>
      </c>
      <c r="F1931" s="4" t="s">
        <v>25</v>
      </c>
      <c r="G1931" s="4" t="s">
        <v>25</v>
      </c>
      <c r="H1931" s="4" t="s">
        <v>25</v>
      </c>
      <c r="I1931" s="5">
        <v>44743</v>
      </c>
      <c r="J1931" s="6">
        <v>0</v>
      </c>
      <c r="K1931" s="6">
        <v>0</v>
      </c>
      <c r="L1931" s="6">
        <v>68.287000000000006</v>
      </c>
      <c r="M1931" s="6">
        <v>68.287000000000006</v>
      </c>
      <c r="N1931" s="6">
        <v>68.287000000000006</v>
      </c>
      <c r="O1931" s="6">
        <v>68.287000000000006</v>
      </c>
      <c r="P1931" s="6">
        <v>40</v>
      </c>
      <c r="Q1931" s="4" t="s">
        <v>26</v>
      </c>
      <c r="R1931" s="4">
        <v>0</v>
      </c>
      <c r="S1931" s="6">
        <v>0</v>
      </c>
      <c r="T1931" s="6">
        <v>67</v>
      </c>
      <c r="U1931" s="6">
        <v>111</v>
      </c>
      <c r="V1931" s="6">
        <f>IF(ISERROR(VLOOKUP($S$1931,'TAR FIN'!$A$1:$O$115,15,0)),0,VLOOKUP($S$1931,'TAR FIN'!$A$1:$O$115,15,0))</f>
        <v>0</v>
      </c>
      <c r="W1931" s="6">
        <f>IF(ISERROR(VLOOKUP($T$1931,'TAR FIN'!$A$1:$O$115,15,0)),0,VLOOKUP($T$1931,'TAR FIN'!$A$1:$O$115,15,0))</f>
        <v>463.6</v>
      </c>
      <c r="X1931" s="6">
        <f>IF(ISERROR(VLOOKUP($U$1931,'TAR FIN'!$A$1:$O$115,15,0)),0,VLOOKUP($U$1931,'TAR FIN'!$A$1:$O$115,15,0))</f>
        <v>176.58</v>
      </c>
      <c r="Y1931" s="6"/>
      <c r="Z1931" s="6">
        <f ca="1">('TUSD BE'!$AM$65+'TUSD BF'!$AM$65+'TUSD CVA'!$AM$65)*1</f>
        <v>502.21976924570083</v>
      </c>
      <c r="AA1931" s="6">
        <f>('TE BE'!$AB$48+'TE BF'!$AB$48+'TE CVA'!$AB$48)*1</f>
        <v>230.68197444058345</v>
      </c>
      <c r="AB1931" s="6">
        <f>$K$1931*$V$1931</f>
        <v>0</v>
      </c>
      <c r="AC1931" s="6">
        <f>$M$1931*$W$1931</f>
        <v>31657.853200000005</v>
      </c>
      <c r="AD1931" s="6">
        <f>$O$1931*$X$1931</f>
        <v>12058.118460000002</v>
      </c>
      <c r="AE1931" s="6">
        <f>$K$1931*$Y$1931</f>
        <v>0</v>
      </c>
      <c r="AF1931" s="6">
        <f ca="1">$M$1931*$Z$1931</f>
        <v>34295.081382481178</v>
      </c>
      <c r="AG1931" s="6">
        <f>$O$1931*$AA$1931</f>
        <v>15752.579988624124</v>
      </c>
    </row>
    <row r="1932" spans="1:33" ht="11.25" customHeight="1" x14ac:dyDescent="0.25">
      <c r="A1932" s="4" t="s">
        <v>28</v>
      </c>
      <c r="B1932" s="4" t="s">
        <v>39</v>
      </c>
      <c r="C1932" s="4" t="s">
        <v>23</v>
      </c>
      <c r="D1932" s="4" t="s">
        <v>54</v>
      </c>
      <c r="E1932" s="4" t="s">
        <v>25</v>
      </c>
      <c r="F1932" s="4" t="s">
        <v>25</v>
      </c>
      <c r="G1932" s="4" t="s">
        <v>25</v>
      </c>
      <c r="H1932" s="4" t="s">
        <v>25</v>
      </c>
      <c r="I1932" s="5">
        <v>44743</v>
      </c>
      <c r="J1932" s="6">
        <v>0</v>
      </c>
      <c r="K1932" s="6">
        <v>0</v>
      </c>
      <c r="L1932" s="6">
        <v>10.9</v>
      </c>
      <c r="M1932" s="6">
        <v>10.9</v>
      </c>
      <c r="N1932" s="6">
        <v>10.9</v>
      </c>
      <c r="O1932" s="6">
        <v>10.9</v>
      </c>
      <c r="P1932" s="6">
        <v>17</v>
      </c>
      <c r="Q1932" s="4" t="s">
        <v>26</v>
      </c>
      <c r="R1932" s="4">
        <v>0</v>
      </c>
      <c r="S1932" s="6">
        <v>0</v>
      </c>
      <c r="T1932" s="6">
        <v>67</v>
      </c>
      <c r="U1932" s="6">
        <v>111</v>
      </c>
      <c r="V1932" s="6">
        <f>IF(ISERROR(VLOOKUP($S$1932,'TAR FIN'!$A$1:$O$115,15,0)),0,VLOOKUP($S$1932,'TAR FIN'!$A$1:$O$115,15,0))</f>
        <v>0</v>
      </c>
      <c r="W1932" s="6">
        <f>IF(ISERROR(VLOOKUP($T$1932,'TAR FIN'!$A$1:$O$115,15,0)),0,VLOOKUP($T$1932,'TAR FIN'!$A$1:$O$115,15,0))</f>
        <v>463.6</v>
      </c>
      <c r="X1932" s="6">
        <f>IF(ISERROR(VLOOKUP($U$1932,'TAR FIN'!$A$1:$O$115,15,0)),0,VLOOKUP($U$1932,'TAR FIN'!$A$1:$O$115,15,0))</f>
        <v>176.58</v>
      </c>
      <c r="Y1932" s="6"/>
      <c r="Z1932" s="6">
        <f ca="1">('TUSD BE'!$AM$65+'TUSD BF'!$AM$65+'TUSD CVA'!$AM$65)*1</f>
        <v>502.21976924570083</v>
      </c>
      <c r="AA1932" s="6">
        <f>('TE BE'!$AB$48+'TE BF'!$AB$48+'TE CVA'!$AB$48)*1</f>
        <v>230.68197444058345</v>
      </c>
      <c r="AB1932" s="6">
        <f>$K$1932*$V$1932</f>
        <v>0</v>
      </c>
      <c r="AC1932" s="6">
        <f>$M$1932*$W$1932</f>
        <v>5053.2400000000007</v>
      </c>
      <c r="AD1932" s="6">
        <f>$O$1932*$X$1932</f>
        <v>1924.7220000000002</v>
      </c>
      <c r="AE1932" s="6">
        <f>$K$1932*$Y$1932</f>
        <v>0</v>
      </c>
      <c r="AF1932" s="6">
        <f ca="1">$M$1932*$Z$1932</f>
        <v>5474.195484778139</v>
      </c>
      <c r="AG1932" s="6">
        <f>$O$1932*$AA$1932</f>
        <v>2514.4335214023595</v>
      </c>
    </row>
    <row r="1933" spans="1:33" ht="11.25" customHeight="1" x14ac:dyDescent="0.25">
      <c r="A1933" s="4" t="s">
        <v>30</v>
      </c>
      <c r="B1933" s="4" t="s">
        <v>39</v>
      </c>
      <c r="C1933" s="4" t="s">
        <v>23</v>
      </c>
      <c r="D1933" s="4" t="s">
        <v>54</v>
      </c>
      <c r="E1933" s="4" t="s">
        <v>25</v>
      </c>
      <c r="F1933" s="4" t="s">
        <v>25</v>
      </c>
      <c r="G1933" s="4" t="s">
        <v>25</v>
      </c>
      <c r="H1933" s="4" t="s">
        <v>25</v>
      </c>
      <c r="I1933" s="5">
        <v>44743</v>
      </c>
      <c r="J1933" s="6">
        <v>0</v>
      </c>
      <c r="K1933" s="6">
        <v>0</v>
      </c>
      <c r="L1933" s="6">
        <v>0.1</v>
      </c>
      <c r="M1933" s="6">
        <v>0.1</v>
      </c>
      <c r="N1933" s="6">
        <v>0.1</v>
      </c>
      <c r="O1933" s="6">
        <v>0.1</v>
      </c>
      <c r="P1933" s="6">
        <v>1</v>
      </c>
      <c r="Q1933" s="4" t="s">
        <v>26</v>
      </c>
      <c r="R1933" s="4">
        <v>0</v>
      </c>
      <c r="S1933" s="6">
        <v>0</v>
      </c>
      <c r="T1933" s="6">
        <v>67</v>
      </c>
      <c r="U1933" s="6">
        <v>111</v>
      </c>
      <c r="V1933" s="6">
        <f>IF(ISERROR(VLOOKUP($S$1933,'TAR FIN'!$A$1:$O$115,15,0)),0,VLOOKUP($S$1933,'TAR FIN'!$A$1:$O$115,15,0))</f>
        <v>0</v>
      </c>
      <c r="W1933" s="6">
        <f>IF(ISERROR(VLOOKUP($T$1933,'TAR FIN'!$A$1:$O$115,15,0)),0,VLOOKUP($T$1933,'TAR FIN'!$A$1:$O$115,15,0))</f>
        <v>463.6</v>
      </c>
      <c r="X1933" s="6">
        <f>IF(ISERROR(VLOOKUP($U$1933,'TAR FIN'!$A$1:$O$115,15,0)),0,VLOOKUP($U$1933,'TAR FIN'!$A$1:$O$115,15,0))</f>
        <v>176.58</v>
      </c>
      <c r="Y1933" s="6"/>
      <c r="Z1933" s="6">
        <f ca="1">('TUSD BE'!$AM$65+'TUSD BF'!$AM$65+'TUSD CVA'!$AM$65)*1</f>
        <v>502.21976924570083</v>
      </c>
      <c r="AA1933" s="6">
        <f>('TE BE'!$AB$48+'TE BF'!$AB$48+'TE CVA'!$AB$48)*1</f>
        <v>230.68197444058345</v>
      </c>
      <c r="AB1933" s="6">
        <f>$K$1933*$V$1933</f>
        <v>0</v>
      </c>
      <c r="AC1933" s="6">
        <f>$M$1933*$W$1933</f>
        <v>46.360000000000007</v>
      </c>
      <c r="AD1933" s="6">
        <f>$O$1933*$X$1933</f>
        <v>17.658000000000001</v>
      </c>
      <c r="AE1933" s="6">
        <f>$K$1933*$Y$1933</f>
        <v>0</v>
      </c>
      <c r="AF1933" s="6">
        <f ca="1">$M$1933*$Z$1933</f>
        <v>50.221976924570086</v>
      </c>
      <c r="AG1933" s="6">
        <f>$O$1933*$AA$1933</f>
        <v>23.068197444058345</v>
      </c>
    </row>
    <row r="1934" spans="1:33" ht="11.25" customHeight="1" x14ac:dyDescent="0.25">
      <c r="A1934" s="4" t="s">
        <v>21</v>
      </c>
      <c r="B1934" s="4" t="s">
        <v>39</v>
      </c>
      <c r="C1934" s="4" t="s">
        <v>23</v>
      </c>
      <c r="D1934" s="4" t="s">
        <v>54</v>
      </c>
      <c r="E1934" s="4" t="s">
        <v>25</v>
      </c>
      <c r="F1934" s="4" t="s">
        <v>25</v>
      </c>
      <c r="G1934" s="4" t="s">
        <v>25</v>
      </c>
      <c r="H1934" s="4" t="s">
        <v>25</v>
      </c>
      <c r="I1934" s="5">
        <v>44774</v>
      </c>
      <c r="J1934" s="6">
        <v>0</v>
      </c>
      <c r="K1934" s="6">
        <v>0</v>
      </c>
      <c r="L1934" s="6">
        <v>80.492999999999995</v>
      </c>
      <c r="M1934" s="6">
        <v>80.492999999999995</v>
      </c>
      <c r="N1934" s="6">
        <v>80.492999999999995</v>
      </c>
      <c r="O1934" s="6">
        <v>80.492999999999995</v>
      </c>
      <c r="P1934" s="6">
        <v>42</v>
      </c>
      <c r="Q1934" s="4" t="s">
        <v>26</v>
      </c>
      <c r="R1934" s="4">
        <v>0</v>
      </c>
      <c r="S1934" s="6">
        <v>0</v>
      </c>
      <c r="T1934" s="6">
        <v>67</v>
      </c>
      <c r="U1934" s="6">
        <v>111</v>
      </c>
      <c r="V1934" s="6">
        <f>IF(ISERROR(VLOOKUP($S$1934,'TAR FIN'!$A$1:$O$115,15,0)),0,VLOOKUP($S$1934,'TAR FIN'!$A$1:$O$115,15,0))</f>
        <v>0</v>
      </c>
      <c r="W1934" s="6">
        <f>IF(ISERROR(VLOOKUP($T$1934,'TAR FIN'!$A$1:$O$115,15,0)),0,VLOOKUP($T$1934,'TAR FIN'!$A$1:$O$115,15,0))</f>
        <v>463.6</v>
      </c>
      <c r="X1934" s="6">
        <f>IF(ISERROR(VLOOKUP($U$1934,'TAR FIN'!$A$1:$O$115,15,0)),0,VLOOKUP($U$1934,'TAR FIN'!$A$1:$O$115,15,0))</f>
        <v>176.58</v>
      </c>
      <c r="Y1934" s="6"/>
      <c r="Z1934" s="6">
        <f ca="1">('TUSD BE'!$AM$65+'TUSD BF'!$AM$65+'TUSD CVA'!$AM$65)*1</f>
        <v>502.21976924570083</v>
      </c>
      <c r="AA1934" s="6">
        <f>('TE BE'!$AB$48+'TE BF'!$AB$48+'TE CVA'!$AB$48)*1</f>
        <v>230.68197444058345</v>
      </c>
      <c r="AB1934" s="6">
        <f>$K$1934*$V$1934</f>
        <v>0</v>
      </c>
      <c r="AC1934" s="6">
        <f>$M$1934*$W$1934</f>
        <v>37316.554799999998</v>
      </c>
      <c r="AD1934" s="6">
        <f>$O$1934*$X$1934</f>
        <v>14213.453939999999</v>
      </c>
      <c r="AE1934" s="6">
        <f>$K$1934*$Y$1934</f>
        <v>0</v>
      </c>
      <c r="AF1934" s="6">
        <f ca="1">$M$1934*$Z$1934</f>
        <v>40425.175885894198</v>
      </c>
      <c r="AG1934" s="6">
        <f>$O$1934*$AA$1934</f>
        <v>18568.284168645881</v>
      </c>
    </row>
    <row r="1935" spans="1:33" ht="11.25" customHeight="1" x14ac:dyDescent="0.25">
      <c r="A1935" s="4" t="s">
        <v>28</v>
      </c>
      <c r="B1935" s="4" t="s">
        <v>39</v>
      </c>
      <c r="C1935" s="4" t="s">
        <v>23</v>
      </c>
      <c r="D1935" s="4" t="s">
        <v>54</v>
      </c>
      <c r="E1935" s="4" t="s">
        <v>25</v>
      </c>
      <c r="F1935" s="4" t="s">
        <v>25</v>
      </c>
      <c r="G1935" s="4" t="s">
        <v>25</v>
      </c>
      <c r="H1935" s="4" t="s">
        <v>25</v>
      </c>
      <c r="I1935" s="5">
        <v>44774</v>
      </c>
      <c r="J1935" s="6">
        <v>0</v>
      </c>
      <c r="K1935" s="6">
        <v>0</v>
      </c>
      <c r="L1935" s="6">
        <v>11.92</v>
      </c>
      <c r="M1935" s="6">
        <v>11.92</v>
      </c>
      <c r="N1935" s="6">
        <v>11.92</v>
      </c>
      <c r="O1935" s="6">
        <v>11.92</v>
      </c>
      <c r="P1935" s="6">
        <v>17</v>
      </c>
      <c r="Q1935" s="4" t="s">
        <v>26</v>
      </c>
      <c r="R1935" s="4">
        <v>0</v>
      </c>
      <c r="S1935" s="6">
        <v>0</v>
      </c>
      <c r="T1935" s="6">
        <v>67</v>
      </c>
      <c r="U1935" s="6">
        <v>111</v>
      </c>
      <c r="V1935" s="6">
        <f>IF(ISERROR(VLOOKUP($S$1935,'TAR FIN'!$A$1:$O$115,15,0)),0,VLOOKUP($S$1935,'TAR FIN'!$A$1:$O$115,15,0))</f>
        <v>0</v>
      </c>
      <c r="W1935" s="6">
        <f>IF(ISERROR(VLOOKUP($T$1935,'TAR FIN'!$A$1:$O$115,15,0)),0,VLOOKUP($T$1935,'TAR FIN'!$A$1:$O$115,15,0))</f>
        <v>463.6</v>
      </c>
      <c r="X1935" s="6">
        <f>IF(ISERROR(VLOOKUP($U$1935,'TAR FIN'!$A$1:$O$115,15,0)),0,VLOOKUP($U$1935,'TAR FIN'!$A$1:$O$115,15,0))</f>
        <v>176.58</v>
      </c>
      <c r="Y1935" s="6"/>
      <c r="Z1935" s="6">
        <f ca="1">('TUSD BE'!$AM$65+'TUSD BF'!$AM$65+'TUSD CVA'!$AM$65)*1</f>
        <v>502.21976924570083</v>
      </c>
      <c r="AA1935" s="6">
        <f>('TE BE'!$AB$48+'TE BF'!$AB$48+'TE CVA'!$AB$48)*1</f>
        <v>230.68197444058345</v>
      </c>
      <c r="AB1935" s="6">
        <f>$K$1935*$V$1935</f>
        <v>0</v>
      </c>
      <c r="AC1935" s="6">
        <f>$M$1935*$W$1935</f>
        <v>5526.1120000000001</v>
      </c>
      <c r="AD1935" s="6">
        <f>$O$1935*$X$1935</f>
        <v>2104.8335999999999</v>
      </c>
      <c r="AE1935" s="6">
        <f>$K$1935*$Y$1935</f>
        <v>0</v>
      </c>
      <c r="AF1935" s="6">
        <f ca="1">$M$1935*$Z$1935</f>
        <v>5986.4596494087536</v>
      </c>
      <c r="AG1935" s="6">
        <f>$O$1935*$AA$1935</f>
        <v>2749.7291353317546</v>
      </c>
    </row>
    <row r="1936" spans="1:33" ht="11.25" customHeight="1" x14ac:dyDescent="0.25">
      <c r="A1936" s="4" t="s">
        <v>30</v>
      </c>
      <c r="B1936" s="4" t="s">
        <v>39</v>
      </c>
      <c r="C1936" s="4" t="s">
        <v>23</v>
      </c>
      <c r="D1936" s="4" t="s">
        <v>54</v>
      </c>
      <c r="E1936" s="4" t="s">
        <v>25</v>
      </c>
      <c r="F1936" s="4" t="s">
        <v>25</v>
      </c>
      <c r="G1936" s="4" t="s">
        <v>25</v>
      </c>
      <c r="H1936" s="4" t="s">
        <v>25</v>
      </c>
      <c r="I1936" s="5">
        <v>44774</v>
      </c>
      <c r="J1936" s="6">
        <v>0</v>
      </c>
      <c r="K1936" s="6">
        <v>0</v>
      </c>
      <c r="L1936" s="6">
        <v>0.1</v>
      </c>
      <c r="M1936" s="6">
        <v>0.1</v>
      </c>
      <c r="N1936" s="6">
        <v>0.1</v>
      </c>
      <c r="O1936" s="6">
        <v>0.1</v>
      </c>
      <c r="P1936" s="6">
        <v>1</v>
      </c>
      <c r="Q1936" s="4" t="s">
        <v>26</v>
      </c>
      <c r="R1936" s="4">
        <v>0</v>
      </c>
      <c r="S1936" s="6">
        <v>0</v>
      </c>
      <c r="T1936" s="6">
        <v>67</v>
      </c>
      <c r="U1936" s="6">
        <v>111</v>
      </c>
      <c r="V1936" s="6">
        <f>IF(ISERROR(VLOOKUP($S$1936,'TAR FIN'!$A$1:$O$115,15,0)),0,VLOOKUP($S$1936,'TAR FIN'!$A$1:$O$115,15,0))</f>
        <v>0</v>
      </c>
      <c r="W1936" s="6">
        <f>IF(ISERROR(VLOOKUP($T$1936,'TAR FIN'!$A$1:$O$115,15,0)),0,VLOOKUP($T$1936,'TAR FIN'!$A$1:$O$115,15,0))</f>
        <v>463.6</v>
      </c>
      <c r="X1936" s="6">
        <f>IF(ISERROR(VLOOKUP($U$1936,'TAR FIN'!$A$1:$O$115,15,0)),0,VLOOKUP($U$1936,'TAR FIN'!$A$1:$O$115,15,0))</f>
        <v>176.58</v>
      </c>
      <c r="Y1936" s="6"/>
      <c r="Z1936" s="6">
        <f ca="1">('TUSD BE'!$AM$65+'TUSD BF'!$AM$65+'TUSD CVA'!$AM$65)*1</f>
        <v>502.21976924570083</v>
      </c>
      <c r="AA1936" s="6">
        <f>('TE BE'!$AB$48+'TE BF'!$AB$48+'TE CVA'!$AB$48)*1</f>
        <v>230.68197444058345</v>
      </c>
      <c r="AB1936" s="6">
        <f>$K$1936*$V$1936</f>
        <v>0</v>
      </c>
      <c r="AC1936" s="6">
        <f>$M$1936*$W$1936</f>
        <v>46.360000000000007</v>
      </c>
      <c r="AD1936" s="6">
        <f>$O$1936*$X$1936</f>
        <v>17.658000000000001</v>
      </c>
      <c r="AE1936" s="6">
        <f>$K$1936*$Y$1936</f>
        <v>0</v>
      </c>
      <c r="AF1936" s="6">
        <f ca="1">$M$1936*$Z$1936</f>
        <v>50.221976924570086</v>
      </c>
      <c r="AG1936" s="6">
        <f>$O$1936*$AA$1936</f>
        <v>23.068197444058345</v>
      </c>
    </row>
    <row r="1937" spans="1:33" ht="11.25" customHeight="1" x14ac:dyDescent="0.25">
      <c r="A1937" s="4" t="s">
        <v>21</v>
      </c>
      <c r="B1937" s="4" t="s">
        <v>39</v>
      </c>
      <c r="C1937" s="4" t="s">
        <v>23</v>
      </c>
      <c r="D1937" s="4" t="s">
        <v>54</v>
      </c>
      <c r="E1937" s="4" t="s">
        <v>25</v>
      </c>
      <c r="F1937" s="4" t="s">
        <v>25</v>
      </c>
      <c r="G1937" s="4" t="s">
        <v>25</v>
      </c>
      <c r="H1937" s="4" t="s">
        <v>25</v>
      </c>
      <c r="I1937" s="5">
        <v>44805</v>
      </c>
      <c r="J1937" s="6">
        <v>0</v>
      </c>
      <c r="K1937" s="6">
        <v>0</v>
      </c>
      <c r="L1937" s="6">
        <v>85.3</v>
      </c>
      <c r="M1937" s="6">
        <v>85.3</v>
      </c>
      <c r="N1937" s="6">
        <v>85.3</v>
      </c>
      <c r="O1937" s="6">
        <v>85.3</v>
      </c>
      <c r="P1937" s="6">
        <v>38</v>
      </c>
      <c r="Q1937" s="4" t="s">
        <v>26</v>
      </c>
      <c r="R1937" s="4">
        <v>0</v>
      </c>
      <c r="S1937" s="6">
        <v>0</v>
      </c>
      <c r="T1937" s="6">
        <v>67</v>
      </c>
      <c r="U1937" s="6">
        <v>111</v>
      </c>
      <c r="V1937" s="6">
        <f>IF(ISERROR(VLOOKUP($S$1937,'TAR FIN'!$A$1:$O$115,15,0)),0,VLOOKUP($S$1937,'TAR FIN'!$A$1:$O$115,15,0))</f>
        <v>0</v>
      </c>
      <c r="W1937" s="6">
        <f>IF(ISERROR(VLOOKUP($T$1937,'TAR FIN'!$A$1:$O$115,15,0)),0,VLOOKUP($T$1937,'TAR FIN'!$A$1:$O$115,15,0))</f>
        <v>463.6</v>
      </c>
      <c r="X1937" s="6">
        <f>IF(ISERROR(VLOOKUP($U$1937,'TAR FIN'!$A$1:$O$115,15,0)),0,VLOOKUP($U$1937,'TAR FIN'!$A$1:$O$115,15,0))</f>
        <v>176.58</v>
      </c>
      <c r="Y1937" s="6"/>
      <c r="Z1937" s="6">
        <f ca="1">('TUSD BE'!$AM$65+'TUSD BF'!$AM$65+'TUSD CVA'!$AM$65)*1</f>
        <v>502.21976924570083</v>
      </c>
      <c r="AA1937" s="6">
        <f>('TE BE'!$AB$48+'TE BF'!$AB$48+'TE CVA'!$AB$48)*1</f>
        <v>230.68197444058345</v>
      </c>
      <c r="AB1937" s="6">
        <f>$K$1937*$V$1937</f>
        <v>0</v>
      </c>
      <c r="AC1937" s="6">
        <f>$M$1937*$W$1937</f>
        <v>39545.08</v>
      </c>
      <c r="AD1937" s="6">
        <f>$O$1937*$X$1937</f>
        <v>15062.274000000001</v>
      </c>
      <c r="AE1937" s="6">
        <f>$K$1937*$Y$1937</f>
        <v>0</v>
      </c>
      <c r="AF1937" s="6">
        <f ca="1">$M$1937*$Z$1937</f>
        <v>42839.346316658281</v>
      </c>
      <c r="AG1937" s="6">
        <f>$O$1937*$AA$1937</f>
        <v>19677.172419781768</v>
      </c>
    </row>
    <row r="1938" spans="1:33" ht="11.25" customHeight="1" x14ac:dyDescent="0.25">
      <c r="A1938" s="4" t="s">
        <v>27</v>
      </c>
      <c r="B1938" s="4" t="s">
        <v>39</v>
      </c>
      <c r="C1938" s="4" t="s">
        <v>23</v>
      </c>
      <c r="D1938" s="4" t="s">
        <v>54</v>
      </c>
      <c r="E1938" s="4" t="s">
        <v>25</v>
      </c>
      <c r="F1938" s="4" t="s">
        <v>25</v>
      </c>
      <c r="G1938" s="4" t="s">
        <v>25</v>
      </c>
      <c r="H1938" s="4" t="s">
        <v>25</v>
      </c>
      <c r="I1938" s="5">
        <v>44805</v>
      </c>
      <c r="J1938" s="6">
        <v>0</v>
      </c>
      <c r="K1938" s="6">
        <v>0</v>
      </c>
      <c r="L1938" s="6">
        <v>0.495</v>
      </c>
      <c r="M1938" s="6">
        <v>0.495</v>
      </c>
      <c r="N1938" s="6">
        <v>0.495</v>
      </c>
      <c r="O1938" s="6">
        <v>0.495</v>
      </c>
      <c r="P1938" s="6">
        <v>4</v>
      </c>
      <c r="Q1938" s="4" t="s">
        <v>26</v>
      </c>
      <c r="R1938" s="4">
        <v>0</v>
      </c>
      <c r="S1938" s="6">
        <v>0</v>
      </c>
      <c r="T1938" s="6">
        <v>67</v>
      </c>
      <c r="U1938" s="6">
        <v>111</v>
      </c>
      <c r="V1938" s="6">
        <f>IF(ISERROR(VLOOKUP($S$1938,'TAR FIN'!$A$1:$O$115,15,0)),0,VLOOKUP($S$1938,'TAR FIN'!$A$1:$O$115,15,0))</f>
        <v>0</v>
      </c>
      <c r="W1938" s="6">
        <f>IF(ISERROR(VLOOKUP($T$1938,'TAR FIN'!$A$1:$O$115,15,0)),0,VLOOKUP($T$1938,'TAR FIN'!$A$1:$O$115,15,0))</f>
        <v>463.6</v>
      </c>
      <c r="X1938" s="6">
        <f>IF(ISERROR(VLOOKUP($U$1938,'TAR FIN'!$A$1:$O$115,15,0)),0,VLOOKUP($U$1938,'TAR FIN'!$A$1:$O$115,15,0))</f>
        <v>176.58</v>
      </c>
      <c r="Y1938" s="6"/>
      <c r="Z1938" s="6">
        <f ca="1">('TUSD BE'!$AM$65+'TUSD BF'!$AM$65+'TUSD CVA'!$AM$65)*1</f>
        <v>502.21976924570083</v>
      </c>
      <c r="AA1938" s="6">
        <f>('TE BE'!$AB$48+'TE BF'!$AB$48+'TE CVA'!$AB$48)*1</f>
        <v>230.68197444058345</v>
      </c>
      <c r="AB1938" s="6">
        <f>$K$1938*$V$1938</f>
        <v>0</v>
      </c>
      <c r="AC1938" s="6">
        <f>$M$1938*$W$1938</f>
        <v>229.482</v>
      </c>
      <c r="AD1938" s="6">
        <f>$O$1938*$X$1938</f>
        <v>87.4071</v>
      </c>
      <c r="AE1938" s="6">
        <f>$K$1938*$Y$1938</f>
        <v>0</v>
      </c>
      <c r="AF1938" s="6">
        <f ca="1">$M$1938*$Z$1938</f>
        <v>248.59878577662192</v>
      </c>
      <c r="AG1938" s="6">
        <f>$O$1938*$AA$1938</f>
        <v>114.18757734808881</v>
      </c>
    </row>
    <row r="1939" spans="1:33" ht="11.25" customHeight="1" x14ac:dyDescent="0.25">
      <c r="A1939" s="4" t="s">
        <v>28</v>
      </c>
      <c r="B1939" s="4" t="s">
        <v>39</v>
      </c>
      <c r="C1939" s="4" t="s">
        <v>23</v>
      </c>
      <c r="D1939" s="4" t="s">
        <v>54</v>
      </c>
      <c r="E1939" s="4" t="s">
        <v>25</v>
      </c>
      <c r="F1939" s="4" t="s">
        <v>25</v>
      </c>
      <c r="G1939" s="4" t="s">
        <v>25</v>
      </c>
      <c r="H1939" s="4" t="s">
        <v>25</v>
      </c>
      <c r="I1939" s="5">
        <v>44805</v>
      </c>
      <c r="J1939" s="6">
        <v>0</v>
      </c>
      <c r="K1939" s="6">
        <v>0</v>
      </c>
      <c r="L1939" s="6">
        <v>11.877000000000001</v>
      </c>
      <c r="M1939" s="6">
        <v>11.877000000000001</v>
      </c>
      <c r="N1939" s="6">
        <v>11.877000000000001</v>
      </c>
      <c r="O1939" s="6">
        <v>11.877000000000001</v>
      </c>
      <c r="P1939" s="6">
        <v>17</v>
      </c>
      <c r="Q1939" s="4" t="s">
        <v>26</v>
      </c>
      <c r="R1939" s="4">
        <v>0</v>
      </c>
      <c r="S1939" s="6">
        <v>0</v>
      </c>
      <c r="T1939" s="6">
        <v>67</v>
      </c>
      <c r="U1939" s="6">
        <v>111</v>
      </c>
      <c r="V1939" s="6">
        <f>IF(ISERROR(VLOOKUP($S$1939,'TAR FIN'!$A$1:$O$115,15,0)),0,VLOOKUP($S$1939,'TAR FIN'!$A$1:$O$115,15,0))</f>
        <v>0</v>
      </c>
      <c r="W1939" s="6">
        <f>IF(ISERROR(VLOOKUP($T$1939,'TAR FIN'!$A$1:$O$115,15,0)),0,VLOOKUP($T$1939,'TAR FIN'!$A$1:$O$115,15,0))</f>
        <v>463.6</v>
      </c>
      <c r="X1939" s="6">
        <f>IF(ISERROR(VLOOKUP($U$1939,'TAR FIN'!$A$1:$O$115,15,0)),0,VLOOKUP($U$1939,'TAR FIN'!$A$1:$O$115,15,0))</f>
        <v>176.58</v>
      </c>
      <c r="Y1939" s="6"/>
      <c r="Z1939" s="6">
        <f ca="1">('TUSD BE'!$AM$65+'TUSD BF'!$AM$65+'TUSD CVA'!$AM$65)*1</f>
        <v>502.21976924570083</v>
      </c>
      <c r="AA1939" s="6">
        <f>('TE BE'!$AB$48+'TE BF'!$AB$48+'TE CVA'!$AB$48)*1</f>
        <v>230.68197444058345</v>
      </c>
      <c r="AB1939" s="6">
        <f>$K$1939*$V$1939</f>
        <v>0</v>
      </c>
      <c r="AC1939" s="6">
        <f>$M$1939*$W$1939</f>
        <v>5506.177200000001</v>
      </c>
      <c r="AD1939" s="6">
        <f>$O$1939*$X$1939</f>
        <v>2097.2406600000004</v>
      </c>
      <c r="AE1939" s="6">
        <f>$K$1939*$Y$1939</f>
        <v>0</v>
      </c>
      <c r="AF1939" s="6">
        <f ca="1">$M$1939*$Z$1939</f>
        <v>5964.8641993311894</v>
      </c>
      <c r="AG1939" s="6">
        <f>$O$1939*$AA$1939</f>
        <v>2739.8098104308096</v>
      </c>
    </row>
    <row r="1940" spans="1:33" ht="11.25" customHeight="1" x14ac:dyDescent="0.25">
      <c r="A1940" s="4" t="s">
        <v>30</v>
      </c>
      <c r="B1940" s="4" t="s">
        <v>39</v>
      </c>
      <c r="C1940" s="4" t="s">
        <v>23</v>
      </c>
      <c r="D1940" s="4" t="s">
        <v>54</v>
      </c>
      <c r="E1940" s="4" t="s">
        <v>25</v>
      </c>
      <c r="F1940" s="4" t="s">
        <v>25</v>
      </c>
      <c r="G1940" s="4" t="s">
        <v>25</v>
      </c>
      <c r="H1940" s="4" t="s">
        <v>25</v>
      </c>
      <c r="I1940" s="5">
        <v>44805</v>
      </c>
      <c r="J1940" s="6">
        <v>0</v>
      </c>
      <c r="K1940" s="6">
        <v>0</v>
      </c>
      <c r="L1940" s="6">
        <v>0.1</v>
      </c>
      <c r="M1940" s="6">
        <v>0.1</v>
      </c>
      <c r="N1940" s="6">
        <v>0.1</v>
      </c>
      <c r="O1940" s="6">
        <v>0.1</v>
      </c>
      <c r="P1940" s="6">
        <v>1</v>
      </c>
      <c r="Q1940" s="4" t="s">
        <v>26</v>
      </c>
      <c r="R1940" s="4">
        <v>0</v>
      </c>
      <c r="S1940" s="6">
        <v>0</v>
      </c>
      <c r="T1940" s="6">
        <v>67</v>
      </c>
      <c r="U1940" s="6">
        <v>111</v>
      </c>
      <c r="V1940" s="6">
        <f>IF(ISERROR(VLOOKUP($S$1940,'TAR FIN'!$A$1:$O$115,15,0)),0,VLOOKUP($S$1940,'TAR FIN'!$A$1:$O$115,15,0))</f>
        <v>0</v>
      </c>
      <c r="W1940" s="6">
        <f>IF(ISERROR(VLOOKUP($T$1940,'TAR FIN'!$A$1:$O$115,15,0)),0,VLOOKUP($T$1940,'TAR FIN'!$A$1:$O$115,15,0))</f>
        <v>463.6</v>
      </c>
      <c r="X1940" s="6">
        <f>IF(ISERROR(VLOOKUP($U$1940,'TAR FIN'!$A$1:$O$115,15,0)),0,VLOOKUP($U$1940,'TAR FIN'!$A$1:$O$115,15,0))</f>
        <v>176.58</v>
      </c>
      <c r="Y1940" s="6"/>
      <c r="Z1940" s="6">
        <f ca="1">('TUSD BE'!$AM$65+'TUSD BF'!$AM$65+'TUSD CVA'!$AM$65)*1</f>
        <v>502.21976924570083</v>
      </c>
      <c r="AA1940" s="6">
        <f>('TE BE'!$AB$48+'TE BF'!$AB$48+'TE CVA'!$AB$48)*1</f>
        <v>230.68197444058345</v>
      </c>
      <c r="AB1940" s="6">
        <f>$K$1940*$V$1940</f>
        <v>0</v>
      </c>
      <c r="AC1940" s="6">
        <f>$M$1940*$W$1940</f>
        <v>46.360000000000007</v>
      </c>
      <c r="AD1940" s="6">
        <f>$O$1940*$X$1940</f>
        <v>17.658000000000001</v>
      </c>
      <c r="AE1940" s="6">
        <f>$K$1940*$Y$1940</f>
        <v>0</v>
      </c>
      <c r="AF1940" s="6">
        <f ca="1">$M$1940*$Z$1940</f>
        <v>50.221976924570086</v>
      </c>
      <c r="AG1940" s="6">
        <f>$O$1940*$AA$1940</f>
        <v>23.068197444058345</v>
      </c>
    </row>
    <row r="1941" spans="1:33" ht="11.25" customHeight="1" x14ac:dyDescent="0.25">
      <c r="A1941" s="4" t="s">
        <v>21</v>
      </c>
      <c r="B1941" s="4" t="s">
        <v>39</v>
      </c>
      <c r="C1941" s="4" t="s">
        <v>23</v>
      </c>
      <c r="D1941" s="4" t="s">
        <v>54</v>
      </c>
      <c r="E1941" s="4" t="s">
        <v>25</v>
      </c>
      <c r="F1941" s="4" t="s">
        <v>25</v>
      </c>
      <c r="G1941" s="4" t="s">
        <v>25</v>
      </c>
      <c r="H1941" s="4" t="s">
        <v>25</v>
      </c>
      <c r="I1941" s="5">
        <v>44835</v>
      </c>
      <c r="J1941" s="6">
        <v>0</v>
      </c>
      <c r="K1941" s="6">
        <v>0</v>
      </c>
      <c r="L1941" s="6">
        <v>81.680999999999997</v>
      </c>
      <c r="M1941" s="6">
        <v>81.680999999999997</v>
      </c>
      <c r="N1941" s="6">
        <v>81.680999999999997</v>
      </c>
      <c r="O1941" s="6">
        <v>81.680999999999997</v>
      </c>
      <c r="P1941" s="6">
        <v>40</v>
      </c>
      <c r="Q1941" s="4" t="s">
        <v>26</v>
      </c>
      <c r="R1941" s="4">
        <v>0</v>
      </c>
      <c r="S1941" s="6">
        <v>0</v>
      </c>
      <c r="T1941" s="6">
        <v>67</v>
      </c>
      <c r="U1941" s="6">
        <v>111</v>
      </c>
      <c r="V1941" s="6">
        <f>IF(ISERROR(VLOOKUP($S$1941,'TAR FIN'!$A$1:$O$115,15,0)),0,VLOOKUP($S$1941,'TAR FIN'!$A$1:$O$115,15,0))</f>
        <v>0</v>
      </c>
      <c r="W1941" s="6">
        <f>IF(ISERROR(VLOOKUP($T$1941,'TAR FIN'!$A$1:$O$115,15,0)),0,VLOOKUP($T$1941,'TAR FIN'!$A$1:$O$115,15,0))</f>
        <v>463.6</v>
      </c>
      <c r="X1941" s="6">
        <f>IF(ISERROR(VLOOKUP($U$1941,'TAR FIN'!$A$1:$O$115,15,0)),0,VLOOKUP($U$1941,'TAR FIN'!$A$1:$O$115,15,0))</f>
        <v>176.58</v>
      </c>
      <c r="Y1941" s="6"/>
      <c r="Z1941" s="6">
        <f ca="1">('TUSD BE'!$AM$65+'TUSD BF'!$AM$65+'TUSD CVA'!$AM$65)*1</f>
        <v>502.21976924570083</v>
      </c>
      <c r="AA1941" s="6">
        <f>('TE BE'!$AB$48+'TE BF'!$AB$48+'TE CVA'!$AB$48)*1</f>
        <v>230.68197444058345</v>
      </c>
      <c r="AB1941" s="6">
        <f>$K$1941*$V$1941</f>
        <v>0</v>
      </c>
      <c r="AC1941" s="6">
        <f>$M$1941*$W$1941</f>
        <v>37867.311600000001</v>
      </c>
      <c r="AD1941" s="6">
        <f>$O$1941*$X$1941</f>
        <v>14423.23098</v>
      </c>
      <c r="AE1941" s="6">
        <f>$K$1941*$Y$1941</f>
        <v>0</v>
      </c>
      <c r="AF1941" s="6">
        <f ca="1">$M$1941*$Z$1941</f>
        <v>41021.812971758089</v>
      </c>
      <c r="AG1941" s="6">
        <f>$O$1941*$AA$1941</f>
        <v>18842.334354281295</v>
      </c>
    </row>
    <row r="1942" spans="1:33" ht="11.25" customHeight="1" x14ac:dyDescent="0.25">
      <c r="A1942" s="4" t="s">
        <v>28</v>
      </c>
      <c r="B1942" s="4" t="s">
        <v>39</v>
      </c>
      <c r="C1942" s="4" t="s">
        <v>23</v>
      </c>
      <c r="D1942" s="4" t="s">
        <v>54</v>
      </c>
      <c r="E1942" s="4" t="s">
        <v>25</v>
      </c>
      <c r="F1942" s="4" t="s">
        <v>25</v>
      </c>
      <c r="G1942" s="4" t="s">
        <v>25</v>
      </c>
      <c r="H1942" s="4" t="s">
        <v>25</v>
      </c>
      <c r="I1942" s="5">
        <v>44835</v>
      </c>
      <c r="J1942" s="6">
        <v>0</v>
      </c>
      <c r="K1942" s="6">
        <v>0</v>
      </c>
      <c r="L1942" s="6">
        <v>19.181000000000001</v>
      </c>
      <c r="M1942" s="6">
        <v>19.181000000000001</v>
      </c>
      <c r="N1942" s="6">
        <v>19.181000000000001</v>
      </c>
      <c r="O1942" s="6">
        <v>19.181000000000001</v>
      </c>
      <c r="P1942" s="6">
        <v>32</v>
      </c>
      <c r="Q1942" s="4" t="s">
        <v>26</v>
      </c>
      <c r="R1942" s="4">
        <v>0</v>
      </c>
      <c r="S1942" s="6">
        <v>0</v>
      </c>
      <c r="T1942" s="6">
        <v>67</v>
      </c>
      <c r="U1942" s="6">
        <v>111</v>
      </c>
      <c r="V1942" s="6">
        <f>IF(ISERROR(VLOOKUP($S$1942,'TAR FIN'!$A$1:$O$115,15,0)),0,VLOOKUP($S$1942,'TAR FIN'!$A$1:$O$115,15,0))</f>
        <v>0</v>
      </c>
      <c r="W1942" s="6">
        <f>IF(ISERROR(VLOOKUP($T$1942,'TAR FIN'!$A$1:$O$115,15,0)),0,VLOOKUP($T$1942,'TAR FIN'!$A$1:$O$115,15,0))</f>
        <v>463.6</v>
      </c>
      <c r="X1942" s="6">
        <f>IF(ISERROR(VLOOKUP($U$1942,'TAR FIN'!$A$1:$O$115,15,0)),0,VLOOKUP($U$1942,'TAR FIN'!$A$1:$O$115,15,0))</f>
        <v>176.58</v>
      </c>
      <c r="Y1942" s="6"/>
      <c r="Z1942" s="6">
        <f ca="1">('TUSD BE'!$AM$65+'TUSD BF'!$AM$65+'TUSD CVA'!$AM$65)*1</f>
        <v>502.21976924570083</v>
      </c>
      <c r="AA1942" s="6">
        <f>('TE BE'!$AB$48+'TE BF'!$AB$48+'TE CVA'!$AB$48)*1</f>
        <v>230.68197444058345</v>
      </c>
      <c r="AB1942" s="6">
        <f>$K$1942*$V$1942</f>
        <v>0</v>
      </c>
      <c r="AC1942" s="6">
        <f>$M$1942*$W$1942</f>
        <v>8892.3116000000009</v>
      </c>
      <c r="AD1942" s="6">
        <f>$O$1942*$X$1942</f>
        <v>3386.9809800000003</v>
      </c>
      <c r="AE1942" s="6">
        <f>$K$1942*$Y$1942</f>
        <v>0</v>
      </c>
      <c r="AF1942" s="6">
        <f ca="1">$M$1942*$Z$1942</f>
        <v>9633.0773939017872</v>
      </c>
      <c r="AG1942" s="6">
        <f>$O$1942*$AA$1942</f>
        <v>4424.7109517448316</v>
      </c>
    </row>
    <row r="1943" spans="1:33" ht="11.25" customHeight="1" x14ac:dyDescent="0.25">
      <c r="A1943" s="4" t="s">
        <v>30</v>
      </c>
      <c r="B1943" s="4" t="s">
        <v>39</v>
      </c>
      <c r="C1943" s="4" t="s">
        <v>23</v>
      </c>
      <c r="D1943" s="4" t="s">
        <v>54</v>
      </c>
      <c r="E1943" s="4" t="s">
        <v>25</v>
      </c>
      <c r="F1943" s="4" t="s">
        <v>25</v>
      </c>
      <c r="G1943" s="4" t="s">
        <v>25</v>
      </c>
      <c r="H1943" s="4" t="s">
        <v>25</v>
      </c>
      <c r="I1943" s="5">
        <v>44835</v>
      </c>
      <c r="J1943" s="6">
        <v>0</v>
      </c>
      <c r="K1943" s="6">
        <v>0</v>
      </c>
      <c r="L1943" s="6">
        <v>0.1</v>
      </c>
      <c r="M1943" s="6">
        <v>0.1</v>
      </c>
      <c r="N1943" s="6">
        <v>0.1</v>
      </c>
      <c r="O1943" s="6">
        <v>0.1</v>
      </c>
      <c r="P1943" s="6">
        <v>1</v>
      </c>
      <c r="Q1943" s="4" t="s">
        <v>26</v>
      </c>
      <c r="R1943" s="4">
        <v>0</v>
      </c>
      <c r="S1943" s="6">
        <v>0</v>
      </c>
      <c r="T1943" s="6">
        <v>67</v>
      </c>
      <c r="U1943" s="6">
        <v>111</v>
      </c>
      <c r="V1943" s="6">
        <f>IF(ISERROR(VLOOKUP($S$1943,'TAR FIN'!$A$1:$O$115,15,0)),0,VLOOKUP($S$1943,'TAR FIN'!$A$1:$O$115,15,0))</f>
        <v>0</v>
      </c>
      <c r="W1943" s="6">
        <f>IF(ISERROR(VLOOKUP($T$1943,'TAR FIN'!$A$1:$O$115,15,0)),0,VLOOKUP($T$1943,'TAR FIN'!$A$1:$O$115,15,0))</f>
        <v>463.6</v>
      </c>
      <c r="X1943" s="6">
        <f>IF(ISERROR(VLOOKUP($U$1943,'TAR FIN'!$A$1:$O$115,15,0)),0,VLOOKUP($U$1943,'TAR FIN'!$A$1:$O$115,15,0))</f>
        <v>176.58</v>
      </c>
      <c r="Y1943" s="6"/>
      <c r="Z1943" s="6">
        <f ca="1">('TUSD BE'!$AM$65+'TUSD BF'!$AM$65+'TUSD CVA'!$AM$65)*1</f>
        <v>502.21976924570083</v>
      </c>
      <c r="AA1943" s="6">
        <f>('TE BE'!$AB$48+'TE BF'!$AB$48+'TE CVA'!$AB$48)*1</f>
        <v>230.68197444058345</v>
      </c>
      <c r="AB1943" s="6">
        <f>$K$1943*$V$1943</f>
        <v>0</v>
      </c>
      <c r="AC1943" s="6">
        <f>$M$1943*$W$1943</f>
        <v>46.360000000000007</v>
      </c>
      <c r="AD1943" s="6">
        <f>$O$1943*$X$1943</f>
        <v>17.658000000000001</v>
      </c>
      <c r="AE1943" s="6">
        <f>$K$1943*$Y$1943</f>
        <v>0</v>
      </c>
      <c r="AF1943" s="6">
        <f ca="1">$M$1943*$Z$1943</f>
        <v>50.221976924570086</v>
      </c>
      <c r="AG1943" s="6">
        <f>$O$1943*$AA$1943</f>
        <v>23.068197444058345</v>
      </c>
    </row>
    <row r="1944" spans="1:33" ht="11.25" customHeight="1" x14ac:dyDescent="0.25">
      <c r="A1944" s="4" t="s">
        <v>59</v>
      </c>
      <c r="B1944" s="4" t="s">
        <v>39</v>
      </c>
      <c r="C1944" s="4" t="s">
        <v>23</v>
      </c>
      <c r="D1944" s="4" t="s">
        <v>54</v>
      </c>
      <c r="E1944" s="4" t="s">
        <v>25</v>
      </c>
      <c r="F1944" s="4" t="s">
        <v>25</v>
      </c>
      <c r="G1944" s="4" t="s">
        <v>25</v>
      </c>
      <c r="H1944" s="4" t="s">
        <v>25</v>
      </c>
      <c r="I1944" s="5">
        <v>44866</v>
      </c>
      <c r="J1944" s="6">
        <v>0</v>
      </c>
      <c r="K1944" s="6">
        <v>0</v>
      </c>
      <c r="L1944" s="6">
        <v>81.680999999999997</v>
      </c>
      <c r="M1944" s="6">
        <v>81.680999999999997</v>
      </c>
      <c r="N1944" s="6">
        <v>81.680999999999997</v>
      </c>
      <c r="O1944" s="6">
        <v>81.680999999999997</v>
      </c>
      <c r="P1944" s="6">
        <v>40</v>
      </c>
      <c r="Q1944" s="4" t="s">
        <v>26</v>
      </c>
      <c r="R1944" s="4">
        <v>0</v>
      </c>
      <c r="S1944" s="6">
        <v>0</v>
      </c>
      <c r="T1944" s="6">
        <v>67</v>
      </c>
      <c r="U1944" s="6">
        <v>111</v>
      </c>
      <c r="V1944" s="6">
        <f>IF(ISERROR(VLOOKUP($S$1944,'TAR FIN'!$A$1:$O$115,15,0)),0,VLOOKUP($S$1944,'TAR FIN'!$A$1:$O$115,15,0))</f>
        <v>0</v>
      </c>
      <c r="W1944" s="6">
        <f>IF(ISERROR(VLOOKUP($T$1944,'TAR FIN'!$A$1:$O$115,15,0)),0,VLOOKUP($T$1944,'TAR FIN'!$A$1:$O$115,15,0))</f>
        <v>463.6</v>
      </c>
      <c r="X1944" s="6">
        <f>IF(ISERROR(VLOOKUP($U$1944,'TAR FIN'!$A$1:$O$115,15,0)),0,VLOOKUP($U$1944,'TAR FIN'!$A$1:$O$115,15,0))</f>
        <v>176.58</v>
      </c>
      <c r="Y1944" s="6"/>
      <c r="Z1944" s="6">
        <f ca="1">('TUSD BE'!$AM$65+'TUSD BF'!$AM$65+'TUSD CVA'!$AM$65)*1</f>
        <v>502.21976924570083</v>
      </c>
      <c r="AA1944" s="6">
        <f>('TE BE'!$AB$48+'TE BF'!$AB$48+'TE CVA'!$AB$48)*1</f>
        <v>230.68197444058345</v>
      </c>
      <c r="AB1944" s="6">
        <f>$K$1944*$V$1944</f>
        <v>0</v>
      </c>
      <c r="AC1944" s="6">
        <f>$M$1944*$W$1944</f>
        <v>37867.311600000001</v>
      </c>
      <c r="AD1944" s="6">
        <f>$O$1944*$X$1944</f>
        <v>14423.23098</v>
      </c>
      <c r="AE1944" s="6">
        <f>$K$1944*$Y$1944</f>
        <v>0</v>
      </c>
      <c r="AF1944" s="6">
        <f ca="1">$M$1944*$Z$1944</f>
        <v>41021.812971758089</v>
      </c>
      <c r="AG1944" s="6">
        <f>$O$1944*$AA$1944</f>
        <v>18842.334354281295</v>
      </c>
    </row>
    <row r="1945" spans="1:33" ht="11.25" customHeight="1" x14ac:dyDescent="0.25">
      <c r="A1945" s="4" t="s">
        <v>59</v>
      </c>
      <c r="B1945" s="4" t="s">
        <v>39</v>
      </c>
      <c r="C1945" s="4" t="s">
        <v>23</v>
      </c>
      <c r="D1945" s="4" t="s">
        <v>54</v>
      </c>
      <c r="E1945" s="4" t="s">
        <v>25</v>
      </c>
      <c r="F1945" s="4" t="s">
        <v>25</v>
      </c>
      <c r="G1945" s="4" t="s">
        <v>25</v>
      </c>
      <c r="H1945" s="4" t="s">
        <v>25</v>
      </c>
      <c r="I1945" s="5">
        <v>44866</v>
      </c>
      <c r="J1945" s="6">
        <v>0</v>
      </c>
      <c r="K1945" s="6">
        <v>0</v>
      </c>
      <c r="L1945" s="6">
        <v>19.181000000000001</v>
      </c>
      <c r="M1945" s="6">
        <v>19.181000000000001</v>
      </c>
      <c r="N1945" s="6">
        <v>19.181000000000001</v>
      </c>
      <c r="O1945" s="6">
        <v>19.181000000000001</v>
      </c>
      <c r="P1945" s="6">
        <v>32</v>
      </c>
      <c r="Q1945" s="4" t="s">
        <v>26</v>
      </c>
      <c r="R1945" s="4">
        <v>0</v>
      </c>
      <c r="S1945" s="6">
        <v>0</v>
      </c>
      <c r="T1945" s="6">
        <v>67</v>
      </c>
      <c r="U1945" s="6">
        <v>111</v>
      </c>
      <c r="V1945" s="6">
        <f>IF(ISERROR(VLOOKUP($S$1945,'TAR FIN'!$A$1:$O$115,15,0)),0,VLOOKUP($S$1945,'TAR FIN'!$A$1:$O$115,15,0))</f>
        <v>0</v>
      </c>
      <c r="W1945" s="6">
        <f>IF(ISERROR(VLOOKUP($T$1945,'TAR FIN'!$A$1:$O$115,15,0)),0,VLOOKUP($T$1945,'TAR FIN'!$A$1:$O$115,15,0))</f>
        <v>463.6</v>
      </c>
      <c r="X1945" s="6">
        <f>IF(ISERROR(VLOOKUP($U$1945,'TAR FIN'!$A$1:$O$115,15,0)),0,VLOOKUP($U$1945,'TAR FIN'!$A$1:$O$115,15,0))</f>
        <v>176.58</v>
      </c>
      <c r="Y1945" s="6"/>
      <c r="Z1945" s="6">
        <f ca="1">('TUSD BE'!$AM$65+'TUSD BF'!$AM$65+'TUSD CVA'!$AM$65)*1</f>
        <v>502.21976924570083</v>
      </c>
      <c r="AA1945" s="6">
        <f>('TE BE'!$AB$48+'TE BF'!$AB$48+'TE CVA'!$AB$48)*1</f>
        <v>230.68197444058345</v>
      </c>
      <c r="AB1945" s="6">
        <f>$K$1945*$V$1945</f>
        <v>0</v>
      </c>
      <c r="AC1945" s="6">
        <f>$M$1945*$W$1945</f>
        <v>8892.3116000000009</v>
      </c>
      <c r="AD1945" s="6">
        <f>$O$1945*$X$1945</f>
        <v>3386.9809800000003</v>
      </c>
      <c r="AE1945" s="6">
        <f>$K$1945*$Y$1945</f>
        <v>0</v>
      </c>
      <c r="AF1945" s="6">
        <f ca="1">$M$1945*$Z$1945</f>
        <v>9633.0773939017872</v>
      </c>
      <c r="AG1945" s="6">
        <f>$O$1945*$AA$1945</f>
        <v>4424.7109517448316</v>
      </c>
    </row>
    <row r="1946" spans="1:33" ht="11.25" customHeight="1" x14ac:dyDescent="0.25">
      <c r="A1946" s="4" t="s">
        <v>59</v>
      </c>
      <c r="B1946" s="4" t="s">
        <v>39</v>
      </c>
      <c r="C1946" s="4" t="s">
        <v>23</v>
      </c>
      <c r="D1946" s="4" t="s">
        <v>54</v>
      </c>
      <c r="E1946" s="4" t="s">
        <v>25</v>
      </c>
      <c r="F1946" s="4" t="s">
        <v>25</v>
      </c>
      <c r="G1946" s="4" t="s">
        <v>25</v>
      </c>
      <c r="H1946" s="4" t="s">
        <v>25</v>
      </c>
      <c r="I1946" s="5">
        <v>44866</v>
      </c>
      <c r="J1946" s="6">
        <v>0</v>
      </c>
      <c r="K1946" s="6">
        <v>0</v>
      </c>
      <c r="L1946" s="6">
        <v>0.1</v>
      </c>
      <c r="M1946" s="6">
        <v>0.1</v>
      </c>
      <c r="N1946" s="6">
        <v>0.1</v>
      </c>
      <c r="O1946" s="6">
        <v>0.1</v>
      </c>
      <c r="P1946" s="6">
        <v>1</v>
      </c>
      <c r="Q1946" s="4" t="s">
        <v>26</v>
      </c>
      <c r="R1946" s="4">
        <v>0</v>
      </c>
      <c r="S1946" s="6">
        <v>0</v>
      </c>
      <c r="T1946" s="6">
        <v>67</v>
      </c>
      <c r="U1946" s="6">
        <v>111</v>
      </c>
      <c r="V1946" s="6">
        <f>IF(ISERROR(VLOOKUP($S$1946,'TAR FIN'!$A$1:$O$115,15,0)),0,VLOOKUP($S$1946,'TAR FIN'!$A$1:$O$115,15,0))</f>
        <v>0</v>
      </c>
      <c r="W1946" s="6">
        <f>IF(ISERROR(VLOOKUP($T$1946,'TAR FIN'!$A$1:$O$115,15,0)),0,VLOOKUP($T$1946,'TAR FIN'!$A$1:$O$115,15,0))</f>
        <v>463.6</v>
      </c>
      <c r="X1946" s="6">
        <f>IF(ISERROR(VLOOKUP($U$1946,'TAR FIN'!$A$1:$O$115,15,0)),0,VLOOKUP($U$1946,'TAR FIN'!$A$1:$O$115,15,0))</f>
        <v>176.58</v>
      </c>
      <c r="Y1946" s="6"/>
      <c r="Z1946" s="6">
        <f ca="1">('TUSD BE'!$AM$65+'TUSD BF'!$AM$65+'TUSD CVA'!$AM$65)*1</f>
        <v>502.21976924570083</v>
      </c>
      <c r="AA1946" s="6">
        <f>('TE BE'!$AB$48+'TE BF'!$AB$48+'TE CVA'!$AB$48)*1</f>
        <v>230.68197444058345</v>
      </c>
      <c r="AB1946" s="6">
        <f>$K$1946*$V$1946</f>
        <v>0</v>
      </c>
      <c r="AC1946" s="6">
        <f>$M$1946*$W$1946</f>
        <v>46.360000000000007</v>
      </c>
      <c r="AD1946" s="6">
        <f>$O$1946*$X$1946</f>
        <v>17.658000000000001</v>
      </c>
      <c r="AE1946" s="6">
        <f>$K$1946*$Y$1946</f>
        <v>0</v>
      </c>
      <c r="AF1946" s="6">
        <f ca="1">$M$1946*$Z$1946</f>
        <v>50.221976924570086</v>
      </c>
      <c r="AG1946" s="6">
        <f>$O$1946*$AA$1946</f>
        <v>23.068197444058345</v>
      </c>
    </row>
    <row r="1947" spans="1:33" ht="11.25" customHeight="1" x14ac:dyDescent="0.25">
      <c r="A1947" s="4" t="s">
        <v>21</v>
      </c>
      <c r="B1947" s="4" t="s">
        <v>39</v>
      </c>
      <c r="C1947" s="4" t="s">
        <v>23</v>
      </c>
      <c r="D1947" s="4" t="s">
        <v>40</v>
      </c>
      <c r="E1947" s="4" t="s">
        <v>25</v>
      </c>
      <c r="F1947" s="4" t="s">
        <v>25</v>
      </c>
      <c r="G1947" s="4" t="s">
        <v>25</v>
      </c>
      <c r="H1947" s="4" t="s">
        <v>25</v>
      </c>
      <c r="I1947" s="5">
        <v>44531</v>
      </c>
      <c r="J1947" s="6">
        <v>0</v>
      </c>
      <c r="K1947" s="6">
        <v>0</v>
      </c>
      <c r="L1947" s="6">
        <v>231.19300000000001</v>
      </c>
      <c r="M1947" s="6">
        <v>231.19300000000001</v>
      </c>
      <c r="N1947" s="6">
        <v>231.19300000000001</v>
      </c>
      <c r="O1947" s="6">
        <v>231.19300000000001</v>
      </c>
      <c r="P1947" s="6">
        <v>138</v>
      </c>
      <c r="Q1947" s="4" t="s">
        <v>26</v>
      </c>
      <c r="R1947" s="4">
        <v>0</v>
      </c>
      <c r="S1947" s="6">
        <v>0</v>
      </c>
      <c r="T1947" s="6">
        <v>67</v>
      </c>
      <c r="U1947" s="6">
        <v>111</v>
      </c>
      <c r="V1947" s="6">
        <f>IF(ISERROR(VLOOKUP($S$1947,'TAR FIN'!$A$1:$O$115,15,0)),0,VLOOKUP($S$1947,'TAR FIN'!$A$1:$O$115,15,0))</f>
        <v>0</v>
      </c>
      <c r="W1947" s="6">
        <f>IF(ISERROR(VLOOKUP($T$1947,'TAR FIN'!$A$1:$O$115,15,0)),0,VLOOKUP($T$1947,'TAR FIN'!$A$1:$O$115,15,0))</f>
        <v>463.6</v>
      </c>
      <c r="X1947" s="6">
        <f>IF(ISERROR(VLOOKUP($U$1947,'TAR FIN'!$A$1:$O$115,15,0)),0,VLOOKUP($U$1947,'TAR FIN'!$A$1:$O$115,15,0))</f>
        <v>176.58</v>
      </c>
      <c r="Y1947" s="6"/>
      <c r="Z1947" s="6">
        <f ca="1">('TUSD BE'!$AM$65+'TUSD BF'!$AM$65+'TUSD CVA'!$AM$65)*1</f>
        <v>502.21976924570083</v>
      </c>
      <c r="AA1947" s="6">
        <f>('TE BE'!$AB$48+'TE BF'!$AB$48+'TE CVA'!$AB$48)*1</f>
        <v>230.68197444058345</v>
      </c>
      <c r="AB1947" s="6">
        <f>$K$1947*$V$1947</f>
        <v>0</v>
      </c>
      <c r="AC1947" s="6">
        <f>$M$1947*$W$1947</f>
        <v>107181.07480000002</v>
      </c>
      <c r="AD1947" s="6">
        <f>$O$1947*$X$1947</f>
        <v>40824.059940000006</v>
      </c>
      <c r="AE1947" s="6">
        <f>$K$1947*$Y$1947</f>
        <v>0</v>
      </c>
      <c r="AF1947" s="6">
        <f ca="1">$M$1947*$Z$1947</f>
        <v>116109.69511122131</v>
      </c>
      <c r="AG1947" s="6">
        <f>$O$1947*$AA$1947</f>
        <v>53332.057716841809</v>
      </c>
    </row>
    <row r="1948" spans="1:33" ht="11.25" customHeight="1" x14ac:dyDescent="0.25">
      <c r="A1948" s="4" t="s">
        <v>27</v>
      </c>
      <c r="B1948" s="4" t="s">
        <v>39</v>
      </c>
      <c r="C1948" s="4" t="s">
        <v>23</v>
      </c>
      <c r="D1948" s="4" t="s">
        <v>40</v>
      </c>
      <c r="E1948" s="4" t="s">
        <v>25</v>
      </c>
      <c r="F1948" s="4" t="s">
        <v>25</v>
      </c>
      <c r="G1948" s="4" t="s">
        <v>25</v>
      </c>
      <c r="H1948" s="4" t="s">
        <v>25</v>
      </c>
      <c r="I1948" s="5">
        <v>44531</v>
      </c>
      <c r="J1948" s="6">
        <v>0</v>
      </c>
      <c r="K1948" s="6">
        <v>0</v>
      </c>
      <c r="L1948" s="6">
        <v>-1.0149999999999999</v>
      </c>
      <c r="M1948" s="6">
        <v>-1.0149999999999999</v>
      </c>
      <c r="N1948" s="6">
        <v>-1.0149999999999999</v>
      </c>
      <c r="O1948" s="6">
        <v>-1.0149999999999999</v>
      </c>
      <c r="P1948" s="6">
        <v>0</v>
      </c>
      <c r="Q1948" s="4" t="s">
        <v>26</v>
      </c>
      <c r="R1948" s="4">
        <v>0</v>
      </c>
      <c r="S1948" s="6">
        <v>0</v>
      </c>
      <c r="T1948" s="6">
        <v>67</v>
      </c>
      <c r="U1948" s="6">
        <v>111</v>
      </c>
      <c r="V1948" s="6">
        <f>IF(ISERROR(VLOOKUP($S$1948,'TAR FIN'!$A$1:$O$115,15,0)),0,VLOOKUP($S$1948,'TAR FIN'!$A$1:$O$115,15,0))</f>
        <v>0</v>
      </c>
      <c r="W1948" s="6">
        <f>IF(ISERROR(VLOOKUP($T$1948,'TAR FIN'!$A$1:$O$115,15,0)),0,VLOOKUP($T$1948,'TAR FIN'!$A$1:$O$115,15,0))</f>
        <v>463.6</v>
      </c>
      <c r="X1948" s="6">
        <f>IF(ISERROR(VLOOKUP($U$1948,'TAR FIN'!$A$1:$O$115,15,0)),0,VLOOKUP($U$1948,'TAR FIN'!$A$1:$O$115,15,0))</f>
        <v>176.58</v>
      </c>
      <c r="Y1948" s="6"/>
      <c r="Z1948" s="6">
        <f ca="1">('TUSD BE'!$AM$65+'TUSD BF'!$AM$65+'TUSD CVA'!$AM$65)*1</f>
        <v>502.21976924570083</v>
      </c>
      <c r="AA1948" s="6">
        <f>('TE BE'!$AB$48+'TE BF'!$AB$48+'TE CVA'!$AB$48)*1</f>
        <v>230.68197444058345</v>
      </c>
      <c r="AB1948" s="6">
        <f>$K$1948*$V$1948</f>
        <v>0</v>
      </c>
      <c r="AC1948" s="6">
        <f>$M$1948*$W$1948</f>
        <v>-470.55399999999997</v>
      </c>
      <c r="AD1948" s="6">
        <f>$O$1948*$X$1948</f>
        <v>-179.2287</v>
      </c>
      <c r="AE1948" s="6">
        <f>$K$1948*$Y$1948</f>
        <v>0</v>
      </c>
      <c r="AF1948" s="6">
        <f ca="1">$M$1948*$Z$1948</f>
        <v>-509.75306578438631</v>
      </c>
      <c r="AG1948" s="6">
        <f>$O$1948*$AA$1948</f>
        <v>-234.14220405719217</v>
      </c>
    </row>
    <row r="1949" spans="1:33" ht="11.25" customHeight="1" x14ac:dyDescent="0.25">
      <c r="A1949" s="4" t="s">
        <v>28</v>
      </c>
      <c r="B1949" s="4" t="s">
        <v>39</v>
      </c>
      <c r="C1949" s="4" t="s">
        <v>23</v>
      </c>
      <c r="D1949" s="4" t="s">
        <v>40</v>
      </c>
      <c r="E1949" s="4" t="s">
        <v>25</v>
      </c>
      <c r="F1949" s="4" t="s">
        <v>25</v>
      </c>
      <c r="G1949" s="4" t="s">
        <v>25</v>
      </c>
      <c r="H1949" s="4" t="s">
        <v>25</v>
      </c>
      <c r="I1949" s="5">
        <v>44531</v>
      </c>
      <c r="J1949" s="6">
        <v>0</v>
      </c>
      <c r="K1949" s="6">
        <v>0</v>
      </c>
      <c r="L1949" s="6">
        <v>55.295999999999999</v>
      </c>
      <c r="M1949" s="6">
        <v>55.295999999999999</v>
      </c>
      <c r="N1949" s="6">
        <v>55.295999999999999</v>
      </c>
      <c r="O1949" s="6">
        <v>55.295999999999999</v>
      </c>
      <c r="P1949" s="6">
        <v>42</v>
      </c>
      <c r="Q1949" s="4" t="s">
        <v>26</v>
      </c>
      <c r="R1949" s="4">
        <v>0</v>
      </c>
      <c r="S1949" s="6">
        <v>0</v>
      </c>
      <c r="T1949" s="6">
        <v>67</v>
      </c>
      <c r="U1949" s="6">
        <v>111</v>
      </c>
      <c r="V1949" s="6">
        <f>IF(ISERROR(VLOOKUP($S$1949,'TAR FIN'!$A$1:$O$115,15,0)),0,VLOOKUP($S$1949,'TAR FIN'!$A$1:$O$115,15,0))</f>
        <v>0</v>
      </c>
      <c r="W1949" s="6">
        <f>IF(ISERROR(VLOOKUP($T$1949,'TAR FIN'!$A$1:$O$115,15,0)),0,VLOOKUP($T$1949,'TAR FIN'!$A$1:$O$115,15,0))</f>
        <v>463.6</v>
      </c>
      <c r="X1949" s="6">
        <f>IF(ISERROR(VLOOKUP($U$1949,'TAR FIN'!$A$1:$O$115,15,0)),0,VLOOKUP($U$1949,'TAR FIN'!$A$1:$O$115,15,0))</f>
        <v>176.58</v>
      </c>
      <c r="Y1949" s="6"/>
      <c r="Z1949" s="6">
        <f ca="1">('TUSD BE'!$AM$65+'TUSD BF'!$AM$65+'TUSD CVA'!$AM$65)*1</f>
        <v>502.21976924570083</v>
      </c>
      <c r="AA1949" s="6">
        <f>('TE BE'!$AB$48+'TE BF'!$AB$48+'TE CVA'!$AB$48)*1</f>
        <v>230.68197444058345</v>
      </c>
      <c r="AB1949" s="6">
        <f>$K$1949*$V$1949</f>
        <v>0</v>
      </c>
      <c r="AC1949" s="6">
        <f>$M$1949*$W$1949</f>
        <v>25635.225600000002</v>
      </c>
      <c r="AD1949" s="6">
        <f>$O$1949*$X$1949</f>
        <v>9764.1676800000005</v>
      </c>
      <c r="AE1949" s="6">
        <f>$K$1949*$Y$1949</f>
        <v>0</v>
      </c>
      <c r="AF1949" s="6">
        <f ca="1">$M$1949*$Z$1949</f>
        <v>27770.744360210272</v>
      </c>
      <c r="AG1949" s="6">
        <f>$O$1949*$AA$1949</f>
        <v>12755.790458666503</v>
      </c>
    </row>
    <row r="1950" spans="1:33" ht="11.25" customHeight="1" x14ac:dyDescent="0.25">
      <c r="A1950" s="4" t="s">
        <v>30</v>
      </c>
      <c r="B1950" s="4" t="s">
        <v>39</v>
      </c>
      <c r="C1950" s="4" t="s">
        <v>23</v>
      </c>
      <c r="D1950" s="4" t="s">
        <v>40</v>
      </c>
      <c r="E1950" s="4" t="s">
        <v>25</v>
      </c>
      <c r="F1950" s="4" t="s">
        <v>25</v>
      </c>
      <c r="G1950" s="4" t="s">
        <v>25</v>
      </c>
      <c r="H1950" s="4" t="s">
        <v>25</v>
      </c>
      <c r="I1950" s="5">
        <v>44531</v>
      </c>
      <c r="J1950" s="6">
        <v>0</v>
      </c>
      <c r="K1950" s="6">
        <v>0</v>
      </c>
      <c r="L1950" s="6">
        <v>12.651</v>
      </c>
      <c r="M1950" s="6">
        <v>12.651</v>
      </c>
      <c r="N1950" s="6">
        <v>12.651</v>
      </c>
      <c r="O1950" s="6">
        <v>12.651</v>
      </c>
      <c r="P1950" s="6">
        <v>8</v>
      </c>
      <c r="Q1950" s="4" t="s">
        <v>26</v>
      </c>
      <c r="R1950" s="4">
        <v>0</v>
      </c>
      <c r="S1950" s="6">
        <v>0</v>
      </c>
      <c r="T1950" s="6">
        <v>67</v>
      </c>
      <c r="U1950" s="6">
        <v>111</v>
      </c>
      <c r="V1950" s="6">
        <f>IF(ISERROR(VLOOKUP($S$1950,'TAR FIN'!$A$1:$O$115,15,0)),0,VLOOKUP($S$1950,'TAR FIN'!$A$1:$O$115,15,0))</f>
        <v>0</v>
      </c>
      <c r="W1950" s="6">
        <f>IF(ISERROR(VLOOKUP($T$1950,'TAR FIN'!$A$1:$O$115,15,0)),0,VLOOKUP($T$1950,'TAR FIN'!$A$1:$O$115,15,0))</f>
        <v>463.6</v>
      </c>
      <c r="X1950" s="6">
        <f>IF(ISERROR(VLOOKUP($U$1950,'TAR FIN'!$A$1:$O$115,15,0)),0,VLOOKUP($U$1950,'TAR FIN'!$A$1:$O$115,15,0))</f>
        <v>176.58</v>
      </c>
      <c r="Y1950" s="6"/>
      <c r="Z1950" s="6">
        <f ca="1">('TUSD BE'!$AM$65+'TUSD BF'!$AM$65+'TUSD CVA'!$AM$65)*1</f>
        <v>502.21976924570083</v>
      </c>
      <c r="AA1950" s="6">
        <f>('TE BE'!$AB$48+'TE BF'!$AB$48+'TE CVA'!$AB$48)*1</f>
        <v>230.68197444058345</v>
      </c>
      <c r="AB1950" s="6">
        <f>$K$1950*$V$1950</f>
        <v>0</v>
      </c>
      <c r="AC1950" s="6">
        <f>$M$1950*$W$1950</f>
        <v>5865.0036</v>
      </c>
      <c r="AD1950" s="6">
        <f>$O$1950*$X$1950</f>
        <v>2233.9135799999999</v>
      </c>
      <c r="AE1950" s="6">
        <f>$K$1950*$Y$1950</f>
        <v>0</v>
      </c>
      <c r="AF1950" s="6">
        <f ca="1">$M$1950*$Z$1950</f>
        <v>6353.5823007273611</v>
      </c>
      <c r="AG1950" s="6">
        <f>$O$1950*$AA$1950</f>
        <v>2918.3576586478212</v>
      </c>
    </row>
    <row r="1951" spans="1:33" ht="11.25" customHeight="1" x14ac:dyDescent="0.25">
      <c r="A1951" s="4" t="s">
        <v>21</v>
      </c>
      <c r="B1951" s="4" t="s">
        <v>39</v>
      </c>
      <c r="C1951" s="4" t="s">
        <v>23</v>
      </c>
      <c r="D1951" s="4" t="s">
        <v>40</v>
      </c>
      <c r="E1951" s="4" t="s">
        <v>25</v>
      </c>
      <c r="F1951" s="4" t="s">
        <v>25</v>
      </c>
      <c r="G1951" s="4" t="s">
        <v>25</v>
      </c>
      <c r="H1951" s="4" t="s">
        <v>25</v>
      </c>
      <c r="I1951" s="5">
        <v>44562</v>
      </c>
      <c r="J1951" s="6">
        <v>0</v>
      </c>
      <c r="K1951" s="6">
        <v>0</v>
      </c>
      <c r="L1951" s="6">
        <v>235.43100000000001</v>
      </c>
      <c r="M1951" s="6">
        <v>235.43100000000001</v>
      </c>
      <c r="N1951" s="6">
        <v>235.43100000000001</v>
      </c>
      <c r="O1951" s="6">
        <v>235.43100000000001</v>
      </c>
      <c r="P1951" s="6">
        <v>137</v>
      </c>
      <c r="Q1951" s="4" t="s">
        <v>26</v>
      </c>
      <c r="R1951" s="4">
        <v>0</v>
      </c>
      <c r="S1951" s="6">
        <v>0</v>
      </c>
      <c r="T1951" s="6">
        <v>67</v>
      </c>
      <c r="U1951" s="6">
        <v>111</v>
      </c>
      <c r="V1951" s="6">
        <f>IF(ISERROR(VLOOKUP($S$1951,'TAR FIN'!$A$1:$O$115,15,0)),0,VLOOKUP($S$1951,'TAR FIN'!$A$1:$O$115,15,0))</f>
        <v>0</v>
      </c>
      <c r="W1951" s="6">
        <f>IF(ISERROR(VLOOKUP($T$1951,'TAR FIN'!$A$1:$O$115,15,0)),0,VLOOKUP($T$1951,'TAR FIN'!$A$1:$O$115,15,0))</f>
        <v>463.6</v>
      </c>
      <c r="X1951" s="6">
        <f>IF(ISERROR(VLOOKUP($U$1951,'TAR FIN'!$A$1:$O$115,15,0)),0,VLOOKUP($U$1951,'TAR FIN'!$A$1:$O$115,15,0))</f>
        <v>176.58</v>
      </c>
      <c r="Y1951" s="6"/>
      <c r="Z1951" s="6">
        <f ca="1">('TUSD BE'!$AM$65+'TUSD BF'!$AM$65+'TUSD CVA'!$AM$65)*1</f>
        <v>502.21976924570083</v>
      </c>
      <c r="AA1951" s="6">
        <f>('TE BE'!$AB$48+'TE BF'!$AB$48+'TE CVA'!$AB$48)*1</f>
        <v>230.68197444058345</v>
      </c>
      <c r="AB1951" s="6">
        <f>$K$1951*$V$1951</f>
        <v>0</v>
      </c>
      <c r="AC1951" s="6">
        <f>$M$1951*$W$1951</f>
        <v>109145.81160000002</v>
      </c>
      <c r="AD1951" s="6">
        <f>$O$1951*$X$1951</f>
        <v>41572.405980000003</v>
      </c>
      <c r="AE1951" s="6">
        <f>$K$1951*$Y$1951</f>
        <v>0</v>
      </c>
      <c r="AF1951" s="6">
        <f ca="1">$M$1951*$Z$1951</f>
        <v>118238.1024932846</v>
      </c>
      <c r="AG1951" s="6">
        <f>$O$1951*$AA$1951</f>
        <v>54309.687924521</v>
      </c>
    </row>
    <row r="1952" spans="1:33" ht="11.25" customHeight="1" x14ac:dyDescent="0.25">
      <c r="A1952" s="4" t="s">
        <v>27</v>
      </c>
      <c r="B1952" s="4" t="s">
        <v>39</v>
      </c>
      <c r="C1952" s="4" t="s">
        <v>23</v>
      </c>
      <c r="D1952" s="4" t="s">
        <v>40</v>
      </c>
      <c r="E1952" s="4" t="s">
        <v>25</v>
      </c>
      <c r="F1952" s="4" t="s">
        <v>25</v>
      </c>
      <c r="G1952" s="4" t="s">
        <v>25</v>
      </c>
      <c r="H1952" s="4" t="s">
        <v>25</v>
      </c>
      <c r="I1952" s="5">
        <v>44562</v>
      </c>
      <c r="J1952" s="6">
        <v>0</v>
      </c>
      <c r="K1952" s="6">
        <v>0</v>
      </c>
      <c r="L1952" s="6">
        <v>2.008</v>
      </c>
      <c r="M1952" s="6">
        <v>2.008</v>
      </c>
      <c r="N1952" s="6">
        <v>2.008</v>
      </c>
      <c r="O1952" s="6">
        <v>2.008</v>
      </c>
      <c r="P1952" s="6">
        <v>0</v>
      </c>
      <c r="Q1952" s="4" t="s">
        <v>26</v>
      </c>
      <c r="R1952" s="4">
        <v>0</v>
      </c>
      <c r="S1952" s="6">
        <v>0</v>
      </c>
      <c r="T1952" s="6">
        <v>67</v>
      </c>
      <c r="U1952" s="6">
        <v>111</v>
      </c>
      <c r="V1952" s="6">
        <f>IF(ISERROR(VLOOKUP($S$1952,'TAR FIN'!$A$1:$O$115,15,0)),0,VLOOKUP($S$1952,'TAR FIN'!$A$1:$O$115,15,0))</f>
        <v>0</v>
      </c>
      <c r="W1952" s="6">
        <f>IF(ISERROR(VLOOKUP($T$1952,'TAR FIN'!$A$1:$O$115,15,0)),0,VLOOKUP($T$1952,'TAR FIN'!$A$1:$O$115,15,0))</f>
        <v>463.6</v>
      </c>
      <c r="X1952" s="6">
        <f>IF(ISERROR(VLOOKUP($U$1952,'TAR FIN'!$A$1:$O$115,15,0)),0,VLOOKUP($U$1952,'TAR FIN'!$A$1:$O$115,15,0))</f>
        <v>176.58</v>
      </c>
      <c r="Y1952" s="6"/>
      <c r="Z1952" s="6">
        <f ca="1">('TUSD BE'!$AM$65+'TUSD BF'!$AM$65+'TUSD CVA'!$AM$65)*1</f>
        <v>502.21976924570083</v>
      </c>
      <c r="AA1952" s="6">
        <f>('TE BE'!$AB$48+'TE BF'!$AB$48+'TE CVA'!$AB$48)*1</f>
        <v>230.68197444058345</v>
      </c>
      <c r="AB1952" s="6">
        <f>$K$1952*$V$1952</f>
        <v>0</v>
      </c>
      <c r="AC1952" s="6">
        <f>$M$1952*$W$1952</f>
        <v>930.90880000000004</v>
      </c>
      <c r="AD1952" s="6">
        <f>$O$1952*$X$1952</f>
        <v>354.57264000000004</v>
      </c>
      <c r="AE1952" s="6">
        <f>$K$1952*$Y$1952</f>
        <v>0</v>
      </c>
      <c r="AF1952" s="6">
        <f ca="1">$M$1952*$Z$1952</f>
        <v>1008.4572966453673</v>
      </c>
      <c r="AG1952" s="6">
        <f>$O$1952*$AA$1952</f>
        <v>463.20940467669158</v>
      </c>
    </row>
    <row r="1953" spans="1:33" ht="11.25" customHeight="1" x14ac:dyDescent="0.25">
      <c r="A1953" s="4" t="s">
        <v>28</v>
      </c>
      <c r="B1953" s="4" t="s">
        <v>39</v>
      </c>
      <c r="C1953" s="4" t="s">
        <v>23</v>
      </c>
      <c r="D1953" s="4" t="s">
        <v>40</v>
      </c>
      <c r="E1953" s="4" t="s">
        <v>25</v>
      </c>
      <c r="F1953" s="4" t="s">
        <v>25</v>
      </c>
      <c r="G1953" s="4" t="s">
        <v>25</v>
      </c>
      <c r="H1953" s="4" t="s">
        <v>25</v>
      </c>
      <c r="I1953" s="5">
        <v>44562</v>
      </c>
      <c r="J1953" s="6">
        <v>0</v>
      </c>
      <c r="K1953" s="6">
        <v>0</v>
      </c>
      <c r="L1953" s="6">
        <v>55.817</v>
      </c>
      <c r="M1953" s="6">
        <v>55.817</v>
      </c>
      <c r="N1953" s="6">
        <v>55.817</v>
      </c>
      <c r="O1953" s="6">
        <v>55.817</v>
      </c>
      <c r="P1953" s="6">
        <v>42</v>
      </c>
      <c r="Q1953" s="4" t="s">
        <v>26</v>
      </c>
      <c r="R1953" s="4">
        <v>0</v>
      </c>
      <c r="S1953" s="6">
        <v>0</v>
      </c>
      <c r="T1953" s="6">
        <v>67</v>
      </c>
      <c r="U1953" s="6">
        <v>111</v>
      </c>
      <c r="V1953" s="6">
        <f>IF(ISERROR(VLOOKUP($S$1953,'TAR FIN'!$A$1:$O$115,15,0)),0,VLOOKUP($S$1953,'TAR FIN'!$A$1:$O$115,15,0))</f>
        <v>0</v>
      </c>
      <c r="W1953" s="6">
        <f>IF(ISERROR(VLOOKUP($T$1953,'TAR FIN'!$A$1:$O$115,15,0)),0,VLOOKUP($T$1953,'TAR FIN'!$A$1:$O$115,15,0))</f>
        <v>463.6</v>
      </c>
      <c r="X1953" s="6">
        <f>IF(ISERROR(VLOOKUP($U$1953,'TAR FIN'!$A$1:$O$115,15,0)),0,VLOOKUP($U$1953,'TAR FIN'!$A$1:$O$115,15,0))</f>
        <v>176.58</v>
      </c>
      <c r="Y1953" s="6"/>
      <c r="Z1953" s="6">
        <f ca="1">('TUSD BE'!$AM$65+'TUSD BF'!$AM$65+'TUSD CVA'!$AM$65)*1</f>
        <v>502.21976924570083</v>
      </c>
      <c r="AA1953" s="6">
        <f>('TE BE'!$AB$48+'TE BF'!$AB$48+'TE CVA'!$AB$48)*1</f>
        <v>230.68197444058345</v>
      </c>
      <c r="AB1953" s="6">
        <f>$K$1953*$V$1953</f>
        <v>0</v>
      </c>
      <c r="AC1953" s="6">
        <f>$M$1953*$W$1953</f>
        <v>25876.761200000001</v>
      </c>
      <c r="AD1953" s="6">
        <f>$O$1953*$X$1953</f>
        <v>9856.165860000001</v>
      </c>
      <c r="AE1953" s="6">
        <f>$K$1953*$Y$1953</f>
        <v>0</v>
      </c>
      <c r="AF1953" s="6">
        <f ca="1">$M$1953*$Z$1953</f>
        <v>28032.400859987283</v>
      </c>
      <c r="AG1953" s="6">
        <f>$O$1953*$AA$1953</f>
        <v>12875.975767350046</v>
      </c>
    </row>
    <row r="1954" spans="1:33" ht="11.25" customHeight="1" x14ac:dyDescent="0.25">
      <c r="A1954" s="4" t="s">
        <v>30</v>
      </c>
      <c r="B1954" s="4" t="s">
        <v>39</v>
      </c>
      <c r="C1954" s="4" t="s">
        <v>23</v>
      </c>
      <c r="D1954" s="4" t="s">
        <v>40</v>
      </c>
      <c r="E1954" s="4" t="s">
        <v>25</v>
      </c>
      <c r="F1954" s="4" t="s">
        <v>25</v>
      </c>
      <c r="G1954" s="4" t="s">
        <v>25</v>
      </c>
      <c r="H1954" s="4" t="s">
        <v>25</v>
      </c>
      <c r="I1954" s="5">
        <v>44562</v>
      </c>
      <c r="J1954" s="6">
        <v>0</v>
      </c>
      <c r="K1954" s="6">
        <v>0</v>
      </c>
      <c r="L1954" s="6">
        <v>13.535</v>
      </c>
      <c r="M1954" s="6">
        <v>13.535</v>
      </c>
      <c r="N1954" s="6">
        <v>13.535</v>
      </c>
      <c r="O1954" s="6">
        <v>13.535</v>
      </c>
      <c r="P1954" s="6">
        <v>9</v>
      </c>
      <c r="Q1954" s="4" t="s">
        <v>26</v>
      </c>
      <c r="R1954" s="4">
        <v>0</v>
      </c>
      <c r="S1954" s="6">
        <v>0</v>
      </c>
      <c r="T1954" s="6">
        <v>67</v>
      </c>
      <c r="U1954" s="6">
        <v>111</v>
      </c>
      <c r="V1954" s="6">
        <f>IF(ISERROR(VLOOKUP($S$1954,'TAR FIN'!$A$1:$O$115,15,0)),0,VLOOKUP($S$1954,'TAR FIN'!$A$1:$O$115,15,0))</f>
        <v>0</v>
      </c>
      <c r="W1954" s="6">
        <f>IF(ISERROR(VLOOKUP($T$1954,'TAR FIN'!$A$1:$O$115,15,0)),0,VLOOKUP($T$1954,'TAR FIN'!$A$1:$O$115,15,0))</f>
        <v>463.6</v>
      </c>
      <c r="X1954" s="6">
        <f>IF(ISERROR(VLOOKUP($U$1954,'TAR FIN'!$A$1:$O$115,15,0)),0,VLOOKUP($U$1954,'TAR FIN'!$A$1:$O$115,15,0))</f>
        <v>176.58</v>
      </c>
      <c r="Y1954" s="6"/>
      <c r="Z1954" s="6">
        <f ca="1">('TUSD BE'!$AM$65+'TUSD BF'!$AM$65+'TUSD CVA'!$AM$65)*1</f>
        <v>502.21976924570083</v>
      </c>
      <c r="AA1954" s="6">
        <f>('TE BE'!$AB$48+'TE BF'!$AB$48+'TE CVA'!$AB$48)*1</f>
        <v>230.68197444058345</v>
      </c>
      <c r="AB1954" s="6">
        <f>$K$1954*$V$1954</f>
        <v>0</v>
      </c>
      <c r="AC1954" s="6">
        <f>$M$1954*$W$1954</f>
        <v>6274.826</v>
      </c>
      <c r="AD1954" s="6">
        <f>$O$1954*$X$1954</f>
        <v>2390.0103000000004</v>
      </c>
      <c r="AE1954" s="6">
        <f>$K$1954*$Y$1954</f>
        <v>0</v>
      </c>
      <c r="AF1954" s="6">
        <f ca="1">$M$1954*$Z$1954</f>
        <v>6797.5445767405608</v>
      </c>
      <c r="AG1954" s="6">
        <f>$O$1954*$AA$1954</f>
        <v>3122.2805240532971</v>
      </c>
    </row>
    <row r="1955" spans="1:33" ht="11.25" customHeight="1" x14ac:dyDescent="0.25">
      <c r="A1955" s="4" t="s">
        <v>30</v>
      </c>
      <c r="B1955" s="4" t="s">
        <v>39</v>
      </c>
      <c r="C1955" s="4" t="s">
        <v>23</v>
      </c>
      <c r="D1955" s="4" t="s">
        <v>40</v>
      </c>
      <c r="E1955" s="4" t="s">
        <v>25</v>
      </c>
      <c r="F1955" s="4" t="s">
        <v>25</v>
      </c>
      <c r="G1955" s="4" t="s">
        <v>25</v>
      </c>
      <c r="H1955" s="4" t="s">
        <v>25</v>
      </c>
      <c r="I1955" s="5">
        <v>44562</v>
      </c>
      <c r="J1955" s="6">
        <v>0</v>
      </c>
      <c r="K1955" s="6">
        <v>0</v>
      </c>
      <c r="L1955" s="6">
        <v>-13.553000000000001</v>
      </c>
      <c r="M1955" s="6">
        <v>-13.553000000000001</v>
      </c>
      <c r="N1955" s="6">
        <v>-13.553000000000001</v>
      </c>
      <c r="O1955" s="6">
        <v>-13.553000000000001</v>
      </c>
      <c r="P1955" s="6">
        <v>0</v>
      </c>
      <c r="Q1955" s="4" t="s">
        <v>26</v>
      </c>
      <c r="R1955" s="4">
        <v>0</v>
      </c>
      <c r="S1955" s="6">
        <v>0</v>
      </c>
      <c r="T1955" s="6">
        <v>67</v>
      </c>
      <c r="U1955" s="6">
        <v>111</v>
      </c>
      <c r="V1955" s="6">
        <f>IF(ISERROR(VLOOKUP($S$1955,'TAR FIN'!$A$1:$O$115,15,0)),0,VLOOKUP($S$1955,'TAR FIN'!$A$1:$O$115,15,0))</f>
        <v>0</v>
      </c>
      <c r="W1955" s="6">
        <f>IF(ISERROR(VLOOKUP($T$1955,'TAR FIN'!$A$1:$O$115,15,0)),0,VLOOKUP($T$1955,'TAR FIN'!$A$1:$O$115,15,0))</f>
        <v>463.6</v>
      </c>
      <c r="X1955" s="6">
        <f>IF(ISERROR(VLOOKUP($U$1955,'TAR FIN'!$A$1:$O$115,15,0)),0,VLOOKUP($U$1955,'TAR FIN'!$A$1:$O$115,15,0))</f>
        <v>176.58</v>
      </c>
      <c r="Y1955" s="6"/>
      <c r="Z1955" s="6">
        <f ca="1">('TUSD BE'!$AM$65+'TUSD BF'!$AM$65+'TUSD CVA'!$AM$65)*1</f>
        <v>502.21976924570083</v>
      </c>
      <c r="AA1955" s="6">
        <f>('TE BE'!$AB$48+'TE BF'!$AB$48+'TE CVA'!$AB$48)*1</f>
        <v>230.68197444058345</v>
      </c>
      <c r="AB1955" s="6">
        <f>$K$1955*$V$1955</f>
        <v>0</v>
      </c>
      <c r="AC1955" s="6">
        <f>$M$1955*$W$1955</f>
        <v>-6283.1708000000008</v>
      </c>
      <c r="AD1955" s="6">
        <f>$O$1955*$X$1955</f>
        <v>-2393.1887400000005</v>
      </c>
      <c r="AE1955" s="6">
        <f>$K$1955*$Y$1955</f>
        <v>0</v>
      </c>
      <c r="AF1955" s="6">
        <f ca="1">$M$1955*$Z$1955</f>
        <v>-6806.5845325869841</v>
      </c>
      <c r="AG1955" s="6">
        <f>$O$1955*$AA$1955</f>
        <v>-3126.4327995932276</v>
      </c>
    </row>
    <row r="1956" spans="1:33" ht="11.25" customHeight="1" x14ac:dyDescent="0.25">
      <c r="A1956" s="4" t="s">
        <v>21</v>
      </c>
      <c r="B1956" s="4" t="s">
        <v>39</v>
      </c>
      <c r="C1956" s="4" t="s">
        <v>23</v>
      </c>
      <c r="D1956" s="4" t="s">
        <v>40</v>
      </c>
      <c r="E1956" s="4" t="s">
        <v>25</v>
      </c>
      <c r="F1956" s="4" t="s">
        <v>25</v>
      </c>
      <c r="G1956" s="4" t="s">
        <v>25</v>
      </c>
      <c r="H1956" s="4" t="s">
        <v>25</v>
      </c>
      <c r="I1956" s="5">
        <v>44593</v>
      </c>
      <c r="J1956" s="6">
        <v>0</v>
      </c>
      <c r="K1956" s="6">
        <v>0</v>
      </c>
      <c r="L1956" s="6">
        <v>252.23400000000001</v>
      </c>
      <c r="M1956" s="6">
        <v>252.23400000000001</v>
      </c>
      <c r="N1956" s="6">
        <v>252.23400000000001</v>
      </c>
      <c r="O1956" s="6">
        <v>252.23400000000001</v>
      </c>
      <c r="P1956" s="6">
        <v>137</v>
      </c>
      <c r="Q1956" s="4" t="s">
        <v>26</v>
      </c>
      <c r="R1956" s="4">
        <v>0</v>
      </c>
      <c r="S1956" s="6">
        <v>0</v>
      </c>
      <c r="T1956" s="6">
        <v>67</v>
      </c>
      <c r="U1956" s="6">
        <v>111</v>
      </c>
      <c r="V1956" s="6">
        <f>IF(ISERROR(VLOOKUP($S$1956,'TAR FIN'!$A$1:$O$115,15,0)),0,VLOOKUP($S$1956,'TAR FIN'!$A$1:$O$115,15,0))</f>
        <v>0</v>
      </c>
      <c r="W1956" s="6">
        <f>IF(ISERROR(VLOOKUP($T$1956,'TAR FIN'!$A$1:$O$115,15,0)),0,VLOOKUP($T$1956,'TAR FIN'!$A$1:$O$115,15,0))</f>
        <v>463.6</v>
      </c>
      <c r="X1956" s="6">
        <f>IF(ISERROR(VLOOKUP($U$1956,'TAR FIN'!$A$1:$O$115,15,0)),0,VLOOKUP($U$1956,'TAR FIN'!$A$1:$O$115,15,0))</f>
        <v>176.58</v>
      </c>
      <c r="Y1956" s="6"/>
      <c r="Z1956" s="6">
        <f ca="1">('TUSD BE'!$AM$65+'TUSD BF'!$AM$65+'TUSD CVA'!$AM$65)*1</f>
        <v>502.21976924570083</v>
      </c>
      <c r="AA1956" s="6">
        <f>('TE BE'!$AB$48+'TE BF'!$AB$48+'TE CVA'!$AB$48)*1</f>
        <v>230.68197444058345</v>
      </c>
      <c r="AB1956" s="6">
        <f>$K$1956*$V$1956</f>
        <v>0</v>
      </c>
      <c r="AC1956" s="6">
        <f>$M$1956*$W$1956</f>
        <v>116935.68240000001</v>
      </c>
      <c r="AD1956" s="6">
        <f>$O$1956*$X$1956</f>
        <v>44539.479720000003</v>
      </c>
      <c r="AE1956" s="6">
        <f>$K$1956*$Y$1956</f>
        <v>0</v>
      </c>
      <c r="AF1956" s="6">
        <f ca="1">$M$1956*$Z$1956</f>
        <v>126676.90127592011</v>
      </c>
      <c r="AG1956" s="6">
        <f>$O$1956*$AA$1956</f>
        <v>58185.837141046126</v>
      </c>
    </row>
    <row r="1957" spans="1:33" ht="11.25" customHeight="1" x14ac:dyDescent="0.25">
      <c r="A1957" s="4" t="s">
        <v>28</v>
      </c>
      <c r="B1957" s="4" t="s">
        <v>39</v>
      </c>
      <c r="C1957" s="4" t="s">
        <v>23</v>
      </c>
      <c r="D1957" s="4" t="s">
        <v>40</v>
      </c>
      <c r="E1957" s="4" t="s">
        <v>25</v>
      </c>
      <c r="F1957" s="4" t="s">
        <v>25</v>
      </c>
      <c r="G1957" s="4" t="s">
        <v>25</v>
      </c>
      <c r="H1957" s="4" t="s">
        <v>25</v>
      </c>
      <c r="I1957" s="5">
        <v>44593</v>
      </c>
      <c r="J1957" s="6">
        <v>0</v>
      </c>
      <c r="K1957" s="6">
        <v>0</v>
      </c>
      <c r="L1957" s="6">
        <v>52.442</v>
      </c>
      <c r="M1957" s="6">
        <v>52.442</v>
      </c>
      <c r="N1957" s="6">
        <v>52.442</v>
      </c>
      <c r="O1957" s="6">
        <v>52.442</v>
      </c>
      <c r="P1957" s="6">
        <v>41</v>
      </c>
      <c r="Q1957" s="4" t="s">
        <v>26</v>
      </c>
      <c r="R1957" s="4">
        <v>0</v>
      </c>
      <c r="S1957" s="6">
        <v>0</v>
      </c>
      <c r="T1957" s="6">
        <v>67</v>
      </c>
      <c r="U1957" s="6">
        <v>111</v>
      </c>
      <c r="V1957" s="6">
        <f>IF(ISERROR(VLOOKUP($S$1957,'TAR FIN'!$A$1:$O$115,15,0)),0,VLOOKUP($S$1957,'TAR FIN'!$A$1:$O$115,15,0))</f>
        <v>0</v>
      </c>
      <c r="W1957" s="6">
        <f>IF(ISERROR(VLOOKUP($T$1957,'TAR FIN'!$A$1:$O$115,15,0)),0,VLOOKUP($T$1957,'TAR FIN'!$A$1:$O$115,15,0))</f>
        <v>463.6</v>
      </c>
      <c r="X1957" s="6">
        <f>IF(ISERROR(VLOOKUP($U$1957,'TAR FIN'!$A$1:$O$115,15,0)),0,VLOOKUP($U$1957,'TAR FIN'!$A$1:$O$115,15,0))</f>
        <v>176.58</v>
      </c>
      <c r="Y1957" s="6"/>
      <c r="Z1957" s="6">
        <f ca="1">('TUSD BE'!$AM$65+'TUSD BF'!$AM$65+'TUSD CVA'!$AM$65)*1</f>
        <v>502.21976924570083</v>
      </c>
      <c r="AA1957" s="6">
        <f>('TE BE'!$AB$48+'TE BF'!$AB$48+'TE CVA'!$AB$48)*1</f>
        <v>230.68197444058345</v>
      </c>
      <c r="AB1957" s="6">
        <f>$K$1957*$V$1957</f>
        <v>0</v>
      </c>
      <c r="AC1957" s="6">
        <f>$M$1957*$W$1957</f>
        <v>24312.111200000003</v>
      </c>
      <c r="AD1957" s="6">
        <f>$O$1957*$X$1957</f>
        <v>9260.2083600000005</v>
      </c>
      <c r="AE1957" s="6">
        <f>$K$1957*$Y$1957</f>
        <v>0</v>
      </c>
      <c r="AF1957" s="6">
        <f ca="1">$M$1957*$Z$1957</f>
        <v>26337.409138783045</v>
      </c>
      <c r="AG1957" s="6">
        <f>$O$1957*$AA$1957</f>
        <v>12097.424103613077</v>
      </c>
    </row>
    <row r="1958" spans="1:33" ht="11.25" customHeight="1" x14ac:dyDescent="0.25">
      <c r="A1958" s="4" t="s">
        <v>30</v>
      </c>
      <c r="B1958" s="4" t="s">
        <v>39</v>
      </c>
      <c r="C1958" s="4" t="s">
        <v>23</v>
      </c>
      <c r="D1958" s="4" t="s">
        <v>40</v>
      </c>
      <c r="E1958" s="4" t="s">
        <v>25</v>
      </c>
      <c r="F1958" s="4" t="s">
        <v>25</v>
      </c>
      <c r="G1958" s="4" t="s">
        <v>25</v>
      </c>
      <c r="H1958" s="4" t="s">
        <v>25</v>
      </c>
      <c r="I1958" s="5">
        <v>44593</v>
      </c>
      <c r="J1958" s="6">
        <v>0</v>
      </c>
      <c r="K1958" s="6">
        <v>0</v>
      </c>
      <c r="L1958" s="6">
        <v>8.4529999999999994</v>
      </c>
      <c r="M1958" s="6">
        <v>8.4529999999999994</v>
      </c>
      <c r="N1958" s="6">
        <v>8.4529999999999994</v>
      </c>
      <c r="O1958" s="6">
        <v>8.4529999999999994</v>
      </c>
      <c r="P1958" s="6">
        <v>9</v>
      </c>
      <c r="Q1958" s="4" t="s">
        <v>26</v>
      </c>
      <c r="R1958" s="4">
        <v>0</v>
      </c>
      <c r="S1958" s="6">
        <v>0</v>
      </c>
      <c r="T1958" s="6">
        <v>67</v>
      </c>
      <c r="U1958" s="6">
        <v>111</v>
      </c>
      <c r="V1958" s="6">
        <f>IF(ISERROR(VLOOKUP($S$1958,'TAR FIN'!$A$1:$O$115,15,0)),0,VLOOKUP($S$1958,'TAR FIN'!$A$1:$O$115,15,0))</f>
        <v>0</v>
      </c>
      <c r="W1958" s="6">
        <f>IF(ISERROR(VLOOKUP($T$1958,'TAR FIN'!$A$1:$O$115,15,0)),0,VLOOKUP($T$1958,'TAR FIN'!$A$1:$O$115,15,0))</f>
        <v>463.6</v>
      </c>
      <c r="X1958" s="6">
        <f>IF(ISERROR(VLOOKUP($U$1958,'TAR FIN'!$A$1:$O$115,15,0)),0,VLOOKUP($U$1958,'TAR FIN'!$A$1:$O$115,15,0))</f>
        <v>176.58</v>
      </c>
      <c r="Y1958" s="6"/>
      <c r="Z1958" s="6">
        <f ca="1">('TUSD BE'!$AM$65+'TUSD BF'!$AM$65+'TUSD CVA'!$AM$65)*1</f>
        <v>502.21976924570083</v>
      </c>
      <c r="AA1958" s="6">
        <f>('TE BE'!$AB$48+'TE BF'!$AB$48+'TE CVA'!$AB$48)*1</f>
        <v>230.68197444058345</v>
      </c>
      <c r="AB1958" s="6">
        <f>$K$1958*$V$1958</f>
        <v>0</v>
      </c>
      <c r="AC1958" s="6">
        <f>$M$1958*$W$1958</f>
        <v>3918.8107999999997</v>
      </c>
      <c r="AD1958" s="6">
        <f>$O$1958*$X$1958</f>
        <v>1492.6307400000001</v>
      </c>
      <c r="AE1958" s="6">
        <f>$K$1958*$Y$1958</f>
        <v>0</v>
      </c>
      <c r="AF1958" s="6">
        <f ca="1">$M$1958*$Z$1958</f>
        <v>4245.2637094339088</v>
      </c>
      <c r="AG1958" s="6">
        <f>$O$1958*$AA$1958</f>
        <v>1949.9547299462517</v>
      </c>
    </row>
    <row r="1959" spans="1:33" ht="11.25" customHeight="1" x14ac:dyDescent="0.25">
      <c r="A1959" s="4" t="s">
        <v>30</v>
      </c>
      <c r="B1959" s="4" t="s">
        <v>39</v>
      </c>
      <c r="C1959" s="4" t="s">
        <v>23</v>
      </c>
      <c r="D1959" s="4" t="s">
        <v>40</v>
      </c>
      <c r="E1959" s="4" t="s">
        <v>25</v>
      </c>
      <c r="F1959" s="4" t="s">
        <v>25</v>
      </c>
      <c r="G1959" s="4" t="s">
        <v>25</v>
      </c>
      <c r="H1959" s="4" t="s">
        <v>25</v>
      </c>
      <c r="I1959" s="5">
        <v>44593</v>
      </c>
      <c r="J1959" s="6">
        <v>0</v>
      </c>
      <c r="K1959" s="6">
        <v>0</v>
      </c>
      <c r="L1959" s="6">
        <v>6.8280000000000003</v>
      </c>
      <c r="M1959" s="6">
        <v>6.8280000000000003</v>
      </c>
      <c r="N1959" s="6">
        <v>6.8280000000000003</v>
      </c>
      <c r="O1959" s="6">
        <v>6.8280000000000003</v>
      </c>
      <c r="P1959" s="6">
        <v>0</v>
      </c>
      <c r="Q1959" s="4" t="s">
        <v>26</v>
      </c>
      <c r="R1959" s="4">
        <v>0</v>
      </c>
      <c r="S1959" s="6">
        <v>0</v>
      </c>
      <c r="T1959" s="6">
        <v>67</v>
      </c>
      <c r="U1959" s="6">
        <v>111</v>
      </c>
      <c r="V1959" s="6">
        <f>IF(ISERROR(VLOOKUP($S$1959,'TAR FIN'!$A$1:$O$115,15,0)),0,VLOOKUP($S$1959,'TAR FIN'!$A$1:$O$115,15,0))</f>
        <v>0</v>
      </c>
      <c r="W1959" s="6">
        <f>IF(ISERROR(VLOOKUP($T$1959,'TAR FIN'!$A$1:$O$115,15,0)),0,VLOOKUP($T$1959,'TAR FIN'!$A$1:$O$115,15,0))</f>
        <v>463.6</v>
      </c>
      <c r="X1959" s="6">
        <f>IF(ISERROR(VLOOKUP($U$1959,'TAR FIN'!$A$1:$O$115,15,0)),0,VLOOKUP($U$1959,'TAR FIN'!$A$1:$O$115,15,0))</f>
        <v>176.58</v>
      </c>
      <c r="Y1959" s="6"/>
      <c r="Z1959" s="6">
        <f ca="1">('TUSD BE'!$AM$65+'TUSD BF'!$AM$65+'TUSD CVA'!$AM$65)*1</f>
        <v>502.21976924570083</v>
      </c>
      <c r="AA1959" s="6">
        <f>('TE BE'!$AB$48+'TE BF'!$AB$48+'TE CVA'!$AB$48)*1</f>
        <v>230.68197444058345</v>
      </c>
      <c r="AB1959" s="6">
        <f>$K$1959*$V$1959</f>
        <v>0</v>
      </c>
      <c r="AC1959" s="6">
        <f>$M$1959*$W$1959</f>
        <v>3165.4608000000003</v>
      </c>
      <c r="AD1959" s="6">
        <f>$O$1959*$X$1959</f>
        <v>1205.6882400000002</v>
      </c>
      <c r="AE1959" s="6">
        <f>$K$1959*$Y$1959</f>
        <v>0</v>
      </c>
      <c r="AF1959" s="6">
        <f ca="1">$M$1959*$Z$1959</f>
        <v>3429.1565844096453</v>
      </c>
      <c r="AG1959" s="6">
        <f>$O$1959*$AA$1959</f>
        <v>1575.0965214803039</v>
      </c>
    </row>
    <row r="1960" spans="1:33" ht="11.25" customHeight="1" x14ac:dyDescent="0.25">
      <c r="A1960" s="4" t="s">
        <v>21</v>
      </c>
      <c r="B1960" s="4" t="s">
        <v>39</v>
      </c>
      <c r="C1960" s="4" t="s">
        <v>23</v>
      </c>
      <c r="D1960" s="4" t="s">
        <v>40</v>
      </c>
      <c r="E1960" s="4" t="s">
        <v>25</v>
      </c>
      <c r="F1960" s="4" t="s">
        <v>25</v>
      </c>
      <c r="G1960" s="4" t="s">
        <v>25</v>
      </c>
      <c r="H1960" s="4" t="s">
        <v>25</v>
      </c>
      <c r="I1960" s="5">
        <v>44621</v>
      </c>
      <c r="J1960" s="6">
        <v>0</v>
      </c>
      <c r="K1960" s="6">
        <v>0</v>
      </c>
      <c r="L1960" s="6">
        <v>230.59399999999999</v>
      </c>
      <c r="M1960" s="6">
        <v>230.59399999999999</v>
      </c>
      <c r="N1960" s="6">
        <v>230.59399999999999</v>
      </c>
      <c r="O1960" s="6">
        <v>230.59399999999999</v>
      </c>
      <c r="P1960" s="6">
        <v>140</v>
      </c>
      <c r="Q1960" s="4" t="s">
        <v>26</v>
      </c>
      <c r="R1960" s="4">
        <v>0</v>
      </c>
      <c r="S1960" s="6">
        <v>0</v>
      </c>
      <c r="T1960" s="6">
        <v>67</v>
      </c>
      <c r="U1960" s="6">
        <v>111</v>
      </c>
      <c r="V1960" s="6">
        <f>IF(ISERROR(VLOOKUP($S$1960,'TAR FIN'!$A$1:$O$115,15,0)),0,VLOOKUP($S$1960,'TAR FIN'!$A$1:$O$115,15,0))</f>
        <v>0</v>
      </c>
      <c r="W1960" s="6">
        <f>IF(ISERROR(VLOOKUP($T$1960,'TAR FIN'!$A$1:$O$115,15,0)),0,VLOOKUP($T$1960,'TAR FIN'!$A$1:$O$115,15,0))</f>
        <v>463.6</v>
      </c>
      <c r="X1960" s="6">
        <f>IF(ISERROR(VLOOKUP($U$1960,'TAR FIN'!$A$1:$O$115,15,0)),0,VLOOKUP($U$1960,'TAR FIN'!$A$1:$O$115,15,0))</f>
        <v>176.58</v>
      </c>
      <c r="Y1960" s="6"/>
      <c r="Z1960" s="6">
        <f ca="1">('TUSD BE'!$AM$65+'TUSD BF'!$AM$65+'TUSD CVA'!$AM$65)*1</f>
        <v>502.21976924570083</v>
      </c>
      <c r="AA1960" s="6">
        <f>('TE BE'!$AB$48+'TE BF'!$AB$48+'TE CVA'!$AB$48)*1</f>
        <v>230.68197444058345</v>
      </c>
      <c r="AB1960" s="6">
        <f>$K$1960*$V$1960</f>
        <v>0</v>
      </c>
      <c r="AC1960" s="6">
        <f>$M$1960*$W$1960</f>
        <v>106903.3784</v>
      </c>
      <c r="AD1960" s="6">
        <f>$O$1960*$X$1960</f>
        <v>40718.288520000002</v>
      </c>
      <c r="AE1960" s="6">
        <f>$K$1960*$Y$1960</f>
        <v>0</v>
      </c>
      <c r="AF1960" s="6">
        <f ca="1">$M$1960*$Z$1960</f>
        <v>115808.86546944313</v>
      </c>
      <c r="AG1960" s="6">
        <f>$O$1960*$AA$1960</f>
        <v>53193.879214151901</v>
      </c>
    </row>
    <row r="1961" spans="1:33" ht="11.25" customHeight="1" x14ac:dyDescent="0.25">
      <c r="A1961" s="4" t="s">
        <v>28</v>
      </c>
      <c r="B1961" s="4" t="s">
        <v>39</v>
      </c>
      <c r="C1961" s="4" t="s">
        <v>23</v>
      </c>
      <c r="D1961" s="4" t="s">
        <v>40</v>
      </c>
      <c r="E1961" s="4" t="s">
        <v>25</v>
      </c>
      <c r="F1961" s="4" t="s">
        <v>25</v>
      </c>
      <c r="G1961" s="4" t="s">
        <v>25</v>
      </c>
      <c r="H1961" s="4" t="s">
        <v>25</v>
      </c>
      <c r="I1961" s="5">
        <v>44621</v>
      </c>
      <c r="J1961" s="6">
        <v>0</v>
      </c>
      <c r="K1961" s="6">
        <v>0</v>
      </c>
      <c r="L1961" s="6">
        <v>48.39</v>
      </c>
      <c r="M1961" s="6">
        <v>48.39</v>
      </c>
      <c r="N1961" s="6">
        <v>48.39</v>
      </c>
      <c r="O1961" s="6">
        <v>48.39</v>
      </c>
      <c r="P1961" s="6">
        <v>41</v>
      </c>
      <c r="Q1961" s="4" t="s">
        <v>26</v>
      </c>
      <c r="R1961" s="4">
        <v>0</v>
      </c>
      <c r="S1961" s="6">
        <v>0</v>
      </c>
      <c r="T1961" s="6">
        <v>67</v>
      </c>
      <c r="U1961" s="6">
        <v>111</v>
      </c>
      <c r="V1961" s="6">
        <f>IF(ISERROR(VLOOKUP($S$1961,'TAR FIN'!$A$1:$O$115,15,0)),0,VLOOKUP($S$1961,'TAR FIN'!$A$1:$O$115,15,0))</f>
        <v>0</v>
      </c>
      <c r="W1961" s="6">
        <f>IF(ISERROR(VLOOKUP($T$1961,'TAR FIN'!$A$1:$O$115,15,0)),0,VLOOKUP($T$1961,'TAR FIN'!$A$1:$O$115,15,0))</f>
        <v>463.6</v>
      </c>
      <c r="X1961" s="6">
        <f>IF(ISERROR(VLOOKUP($U$1961,'TAR FIN'!$A$1:$O$115,15,0)),0,VLOOKUP($U$1961,'TAR FIN'!$A$1:$O$115,15,0))</f>
        <v>176.58</v>
      </c>
      <c r="Y1961" s="6"/>
      <c r="Z1961" s="6">
        <f ca="1">('TUSD BE'!$AM$65+'TUSD BF'!$AM$65+'TUSD CVA'!$AM$65)*1</f>
        <v>502.21976924570083</v>
      </c>
      <c r="AA1961" s="6">
        <f>('TE BE'!$AB$48+'TE BF'!$AB$48+'TE CVA'!$AB$48)*1</f>
        <v>230.68197444058345</v>
      </c>
      <c r="AB1961" s="6">
        <f>$K$1961*$V$1961</f>
        <v>0</v>
      </c>
      <c r="AC1961" s="6">
        <f>$M$1961*$W$1961</f>
        <v>22433.604000000003</v>
      </c>
      <c r="AD1961" s="6">
        <f>$O$1961*$X$1961</f>
        <v>8544.7062000000005</v>
      </c>
      <c r="AE1961" s="6">
        <f>$K$1961*$Y$1961</f>
        <v>0</v>
      </c>
      <c r="AF1961" s="6">
        <f ca="1">$M$1961*$Z$1961</f>
        <v>24302.414633799464</v>
      </c>
      <c r="AG1961" s="6">
        <f>$O$1961*$AA$1961</f>
        <v>11162.700743179834</v>
      </c>
    </row>
    <row r="1962" spans="1:33" ht="11.25" customHeight="1" x14ac:dyDescent="0.25">
      <c r="A1962" s="4" t="s">
        <v>30</v>
      </c>
      <c r="B1962" s="4" t="s">
        <v>39</v>
      </c>
      <c r="C1962" s="4" t="s">
        <v>23</v>
      </c>
      <c r="D1962" s="4" t="s">
        <v>40</v>
      </c>
      <c r="E1962" s="4" t="s">
        <v>25</v>
      </c>
      <c r="F1962" s="4" t="s">
        <v>25</v>
      </c>
      <c r="G1962" s="4" t="s">
        <v>25</v>
      </c>
      <c r="H1962" s="4" t="s">
        <v>25</v>
      </c>
      <c r="I1962" s="5">
        <v>44621</v>
      </c>
      <c r="J1962" s="6">
        <v>0</v>
      </c>
      <c r="K1962" s="6">
        <v>0</v>
      </c>
      <c r="L1962" s="6">
        <v>13.256</v>
      </c>
      <c r="M1962" s="6">
        <v>13.256</v>
      </c>
      <c r="N1962" s="6">
        <v>13.256</v>
      </c>
      <c r="O1962" s="6">
        <v>13.256</v>
      </c>
      <c r="P1962" s="6">
        <v>10</v>
      </c>
      <c r="Q1962" s="4" t="s">
        <v>26</v>
      </c>
      <c r="R1962" s="4">
        <v>0</v>
      </c>
      <c r="S1962" s="6">
        <v>0</v>
      </c>
      <c r="T1962" s="6">
        <v>67</v>
      </c>
      <c r="U1962" s="6">
        <v>111</v>
      </c>
      <c r="V1962" s="6">
        <f>IF(ISERROR(VLOOKUP($S$1962,'TAR FIN'!$A$1:$O$115,15,0)),0,VLOOKUP($S$1962,'TAR FIN'!$A$1:$O$115,15,0))</f>
        <v>0</v>
      </c>
      <c r="W1962" s="6">
        <f>IF(ISERROR(VLOOKUP($T$1962,'TAR FIN'!$A$1:$O$115,15,0)),0,VLOOKUP($T$1962,'TAR FIN'!$A$1:$O$115,15,0))</f>
        <v>463.6</v>
      </c>
      <c r="X1962" s="6">
        <f>IF(ISERROR(VLOOKUP($U$1962,'TAR FIN'!$A$1:$O$115,15,0)),0,VLOOKUP($U$1962,'TAR FIN'!$A$1:$O$115,15,0))</f>
        <v>176.58</v>
      </c>
      <c r="Y1962" s="6"/>
      <c r="Z1962" s="6">
        <f ca="1">('TUSD BE'!$AM$65+'TUSD BF'!$AM$65+'TUSD CVA'!$AM$65)*1</f>
        <v>502.21976924570083</v>
      </c>
      <c r="AA1962" s="6">
        <f>('TE BE'!$AB$48+'TE BF'!$AB$48+'TE CVA'!$AB$48)*1</f>
        <v>230.68197444058345</v>
      </c>
      <c r="AB1962" s="6">
        <f>$K$1962*$V$1962</f>
        <v>0</v>
      </c>
      <c r="AC1962" s="6">
        <f>$M$1962*$W$1962</f>
        <v>6145.4816000000001</v>
      </c>
      <c r="AD1962" s="6">
        <f>$O$1962*$X$1962</f>
        <v>2340.7444800000003</v>
      </c>
      <c r="AE1962" s="6">
        <f>$K$1962*$Y$1962</f>
        <v>0</v>
      </c>
      <c r="AF1962" s="6">
        <f ca="1">$M$1962*$Z$1962</f>
        <v>6657.4252611210104</v>
      </c>
      <c r="AG1962" s="6">
        <f>$O$1962*$AA$1962</f>
        <v>3057.9202531843744</v>
      </c>
    </row>
    <row r="1963" spans="1:33" ht="11.25" customHeight="1" x14ac:dyDescent="0.25">
      <c r="A1963" s="4" t="s">
        <v>21</v>
      </c>
      <c r="B1963" s="4" t="s">
        <v>39</v>
      </c>
      <c r="C1963" s="4" t="s">
        <v>23</v>
      </c>
      <c r="D1963" s="4" t="s">
        <v>40</v>
      </c>
      <c r="E1963" s="4" t="s">
        <v>25</v>
      </c>
      <c r="F1963" s="4" t="s">
        <v>25</v>
      </c>
      <c r="G1963" s="4" t="s">
        <v>25</v>
      </c>
      <c r="H1963" s="4" t="s">
        <v>25</v>
      </c>
      <c r="I1963" s="5">
        <v>44652</v>
      </c>
      <c r="J1963" s="6">
        <v>0</v>
      </c>
      <c r="K1963" s="6">
        <v>0</v>
      </c>
      <c r="L1963" s="6">
        <v>248.05</v>
      </c>
      <c r="M1963" s="6">
        <v>248.05</v>
      </c>
      <c r="N1963" s="6">
        <v>248.05</v>
      </c>
      <c r="O1963" s="6">
        <v>248.05</v>
      </c>
      <c r="P1963" s="6">
        <v>136</v>
      </c>
      <c r="Q1963" s="4" t="s">
        <v>26</v>
      </c>
      <c r="R1963" s="4">
        <v>0</v>
      </c>
      <c r="S1963" s="6">
        <v>0</v>
      </c>
      <c r="T1963" s="6">
        <v>67</v>
      </c>
      <c r="U1963" s="6">
        <v>111</v>
      </c>
      <c r="V1963" s="6">
        <f>IF(ISERROR(VLOOKUP($S$1963,'TAR FIN'!$A$1:$O$115,15,0)),0,VLOOKUP($S$1963,'TAR FIN'!$A$1:$O$115,15,0))</f>
        <v>0</v>
      </c>
      <c r="W1963" s="6">
        <f>IF(ISERROR(VLOOKUP($T$1963,'TAR FIN'!$A$1:$O$115,15,0)),0,VLOOKUP($T$1963,'TAR FIN'!$A$1:$O$115,15,0))</f>
        <v>463.6</v>
      </c>
      <c r="X1963" s="6">
        <f>IF(ISERROR(VLOOKUP($U$1963,'TAR FIN'!$A$1:$O$115,15,0)),0,VLOOKUP($U$1963,'TAR FIN'!$A$1:$O$115,15,0))</f>
        <v>176.58</v>
      </c>
      <c r="Y1963" s="6"/>
      <c r="Z1963" s="6">
        <f ca="1">('TUSD BE'!$AM$65+'TUSD BF'!$AM$65+'TUSD CVA'!$AM$65)*1</f>
        <v>502.21976924570083</v>
      </c>
      <c r="AA1963" s="6">
        <f>('TE BE'!$AB$48+'TE BF'!$AB$48+'TE CVA'!$AB$48)*1</f>
        <v>230.68197444058345</v>
      </c>
      <c r="AB1963" s="6">
        <f>$K$1963*$V$1963</f>
        <v>0</v>
      </c>
      <c r="AC1963" s="6">
        <f>$M$1963*$W$1963</f>
        <v>114995.98000000001</v>
      </c>
      <c r="AD1963" s="6">
        <f>$O$1963*$X$1963</f>
        <v>43800.669000000002</v>
      </c>
      <c r="AE1963" s="6">
        <f>$K$1963*$Y$1963</f>
        <v>0</v>
      </c>
      <c r="AF1963" s="6">
        <f ca="1">$M$1963*$Z$1963</f>
        <v>124575.6137613961</v>
      </c>
      <c r="AG1963" s="6">
        <f>$O$1963*$AA$1963</f>
        <v>57220.663759986724</v>
      </c>
    </row>
    <row r="1964" spans="1:33" ht="11.25" customHeight="1" x14ac:dyDescent="0.25">
      <c r="A1964" s="4" t="s">
        <v>27</v>
      </c>
      <c r="B1964" s="4" t="s">
        <v>39</v>
      </c>
      <c r="C1964" s="4" t="s">
        <v>23</v>
      </c>
      <c r="D1964" s="4" t="s">
        <v>40</v>
      </c>
      <c r="E1964" s="4" t="s">
        <v>25</v>
      </c>
      <c r="F1964" s="4" t="s">
        <v>25</v>
      </c>
      <c r="G1964" s="4" t="s">
        <v>25</v>
      </c>
      <c r="H1964" s="4" t="s">
        <v>25</v>
      </c>
      <c r="I1964" s="5">
        <v>44652</v>
      </c>
      <c r="J1964" s="6">
        <v>0</v>
      </c>
      <c r="K1964" s="6">
        <v>0</v>
      </c>
      <c r="L1964" s="6">
        <v>-2.6160000000000001</v>
      </c>
      <c r="M1964" s="6">
        <v>-2.6160000000000001</v>
      </c>
      <c r="N1964" s="6">
        <v>-2.6160000000000001</v>
      </c>
      <c r="O1964" s="6">
        <v>-2.6160000000000001</v>
      </c>
      <c r="P1964" s="6">
        <v>-1</v>
      </c>
      <c r="Q1964" s="4" t="s">
        <v>26</v>
      </c>
      <c r="R1964" s="4">
        <v>0</v>
      </c>
      <c r="S1964" s="6">
        <v>0</v>
      </c>
      <c r="T1964" s="6">
        <v>67</v>
      </c>
      <c r="U1964" s="6">
        <v>111</v>
      </c>
      <c r="V1964" s="6">
        <f>IF(ISERROR(VLOOKUP($S$1964,'TAR FIN'!$A$1:$O$115,15,0)),0,VLOOKUP($S$1964,'TAR FIN'!$A$1:$O$115,15,0))</f>
        <v>0</v>
      </c>
      <c r="W1964" s="6">
        <f>IF(ISERROR(VLOOKUP($T$1964,'TAR FIN'!$A$1:$O$115,15,0)),0,VLOOKUP($T$1964,'TAR FIN'!$A$1:$O$115,15,0))</f>
        <v>463.6</v>
      </c>
      <c r="X1964" s="6">
        <f>IF(ISERROR(VLOOKUP($U$1964,'TAR FIN'!$A$1:$O$115,15,0)),0,VLOOKUP($U$1964,'TAR FIN'!$A$1:$O$115,15,0))</f>
        <v>176.58</v>
      </c>
      <c r="Y1964" s="6"/>
      <c r="Z1964" s="6">
        <f ca="1">('TUSD BE'!$AM$65+'TUSD BF'!$AM$65+'TUSD CVA'!$AM$65)*1</f>
        <v>502.21976924570083</v>
      </c>
      <c r="AA1964" s="6">
        <f>('TE BE'!$AB$48+'TE BF'!$AB$48+'TE CVA'!$AB$48)*1</f>
        <v>230.68197444058345</v>
      </c>
      <c r="AB1964" s="6">
        <f>$K$1964*$V$1964</f>
        <v>0</v>
      </c>
      <c r="AC1964" s="6">
        <f>$M$1964*$W$1964</f>
        <v>-1212.7776000000001</v>
      </c>
      <c r="AD1964" s="6">
        <f>$O$1964*$X$1964</f>
        <v>-461.93328000000002</v>
      </c>
      <c r="AE1964" s="6">
        <f>$K$1964*$Y$1964</f>
        <v>0</v>
      </c>
      <c r="AF1964" s="6">
        <f ca="1">$M$1964*$Z$1964</f>
        <v>-1313.8069163467535</v>
      </c>
      <c r="AG1964" s="6">
        <f>$O$1964*$AA$1964</f>
        <v>-603.46404513656637</v>
      </c>
    </row>
    <row r="1965" spans="1:33" ht="11.25" customHeight="1" x14ac:dyDescent="0.25">
      <c r="A1965" s="4" t="s">
        <v>28</v>
      </c>
      <c r="B1965" s="4" t="s">
        <v>39</v>
      </c>
      <c r="C1965" s="4" t="s">
        <v>23</v>
      </c>
      <c r="D1965" s="4" t="s">
        <v>40</v>
      </c>
      <c r="E1965" s="4" t="s">
        <v>25</v>
      </c>
      <c r="F1965" s="4" t="s">
        <v>25</v>
      </c>
      <c r="G1965" s="4" t="s">
        <v>25</v>
      </c>
      <c r="H1965" s="4" t="s">
        <v>25</v>
      </c>
      <c r="I1965" s="5">
        <v>44652</v>
      </c>
      <c r="J1965" s="6">
        <v>0</v>
      </c>
      <c r="K1965" s="6">
        <v>0</v>
      </c>
      <c r="L1965" s="6">
        <v>54.962000000000003</v>
      </c>
      <c r="M1965" s="6">
        <v>54.962000000000003</v>
      </c>
      <c r="N1965" s="6">
        <v>54.962000000000003</v>
      </c>
      <c r="O1965" s="6">
        <v>54.962000000000003</v>
      </c>
      <c r="P1965" s="6">
        <v>41</v>
      </c>
      <c r="Q1965" s="4" t="s">
        <v>26</v>
      </c>
      <c r="R1965" s="4">
        <v>0</v>
      </c>
      <c r="S1965" s="6">
        <v>0</v>
      </c>
      <c r="T1965" s="6">
        <v>67</v>
      </c>
      <c r="U1965" s="6">
        <v>111</v>
      </c>
      <c r="V1965" s="6">
        <f>IF(ISERROR(VLOOKUP($S$1965,'TAR FIN'!$A$1:$O$115,15,0)),0,VLOOKUP($S$1965,'TAR FIN'!$A$1:$O$115,15,0))</f>
        <v>0</v>
      </c>
      <c r="W1965" s="6">
        <f>IF(ISERROR(VLOOKUP($T$1965,'TAR FIN'!$A$1:$O$115,15,0)),0,VLOOKUP($T$1965,'TAR FIN'!$A$1:$O$115,15,0))</f>
        <v>463.6</v>
      </c>
      <c r="X1965" s="6">
        <f>IF(ISERROR(VLOOKUP($U$1965,'TAR FIN'!$A$1:$O$115,15,0)),0,VLOOKUP($U$1965,'TAR FIN'!$A$1:$O$115,15,0))</f>
        <v>176.58</v>
      </c>
      <c r="Y1965" s="6"/>
      <c r="Z1965" s="6">
        <f ca="1">('TUSD BE'!$AM$65+'TUSD BF'!$AM$65+'TUSD CVA'!$AM$65)*1</f>
        <v>502.21976924570083</v>
      </c>
      <c r="AA1965" s="6">
        <f>('TE BE'!$AB$48+'TE BF'!$AB$48+'TE CVA'!$AB$48)*1</f>
        <v>230.68197444058345</v>
      </c>
      <c r="AB1965" s="6">
        <f>$K$1965*$V$1965</f>
        <v>0</v>
      </c>
      <c r="AC1965" s="6">
        <f>$M$1965*$W$1965</f>
        <v>25480.383200000004</v>
      </c>
      <c r="AD1965" s="6">
        <f>$O$1965*$X$1965</f>
        <v>9705.1899600000015</v>
      </c>
      <c r="AE1965" s="6">
        <f>$K$1965*$Y$1965</f>
        <v>0</v>
      </c>
      <c r="AF1965" s="6">
        <f ca="1">$M$1965*$Z$1965</f>
        <v>27603.00295728221</v>
      </c>
      <c r="AG1965" s="6">
        <f>$O$1965*$AA$1965</f>
        <v>12678.742679203348</v>
      </c>
    </row>
    <row r="1966" spans="1:33" ht="11.25" customHeight="1" x14ac:dyDescent="0.25">
      <c r="A1966" s="4" t="s">
        <v>30</v>
      </c>
      <c r="B1966" s="4" t="s">
        <v>39</v>
      </c>
      <c r="C1966" s="4" t="s">
        <v>23</v>
      </c>
      <c r="D1966" s="4" t="s">
        <v>40</v>
      </c>
      <c r="E1966" s="4" t="s">
        <v>25</v>
      </c>
      <c r="F1966" s="4" t="s">
        <v>25</v>
      </c>
      <c r="G1966" s="4" t="s">
        <v>25</v>
      </c>
      <c r="H1966" s="4" t="s">
        <v>25</v>
      </c>
      <c r="I1966" s="5">
        <v>44652</v>
      </c>
      <c r="J1966" s="6">
        <v>0</v>
      </c>
      <c r="K1966" s="6">
        <v>0</v>
      </c>
      <c r="L1966" s="6">
        <v>16.506</v>
      </c>
      <c r="M1966" s="6">
        <v>16.506</v>
      </c>
      <c r="N1966" s="6">
        <v>16.506</v>
      </c>
      <c r="O1966" s="6">
        <v>16.506</v>
      </c>
      <c r="P1966" s="6">
        <v>12</v>
      </c>
      <c r="Q1966" s="4" t="s">
        <v>26</v>
      </c>
      <c r="R1966" s="4">
        <v>0</v>
      </c>
      <c r="S1966" s="6">
        <v>0</v>
      </c>
      <c r="T1966" s="6">
        <v>67</v>
      </c>
      <c r="U1966" s="6">
        <v>111</v>
      </c>
      <c r="V1966" s="6">
        <f>IF(ISERROR(VLOOKUP($S$1966,'TAR FIN'!$A$1:$O$115,15,0)),0,VLOOKUP($S$1966,'TAR FIN'!$A$1:$O$115,15,0))</f>
        <v>0</v>
      </c>
      <c r="W1966" s="6">
        <f>IF(ISERROR(VLOOKUP($T$1966,'TAR FIN'!$A$1:$O$115,15,0)),0,VLOOKUP($T$1966,'TAR FIN'!$A$1:$O$115,15,0))</f>
        <v>463.6</v>
      </c>
      <c r="X1966" s="6">
        <f>IF(ISERROR(VLOOKUP($U$1966,'TAR FIN'!$A$1:$O$115,15,0)),0,VLOOKUP($U$1966,'TAR FIN'!$A$1:$O$115,15,0))</f>
        <v>176.58</v>
      </c>
      <c r="Y1966" s="6"/>
      <c r="Z1966" s="6">
        <f ca="1">('TUSD BE'!$AM$65+'TUSD BF'!$AM$65+'TUSD CVA'!$AM$65)*1</f>
        <v>502.21976924570083</v>
      </c>
      <c r="AA1966" s="6">
        <f>('TE BE'!$AB$48+'TE BF'!$AB$48+'TE CVA'!$AB$48)*1</f>
        <v>230.68197444058345</v>
      </c>
      <c r="AB1966" s="6">
        <f>$K$1966*$V$1966</f>
        <v>0</v>
      </c>
      <c r="AC1966" s="6">
        <f>$M$1966*$W$1966</f>
        <v>7652.1816000000008</v>
      </c>
      <c r="AD1966" s="6">
        <f>$O$1966*$X$1966</f>
        <v>2914.6294800000001</v>
      </c>
      <c r="AE1966" s="6">
        <f>$K$1966*$Y$1966</f>
        <v>0</v>
      </c>
      <c r="AF1966" s="6">
        <f ca="1">$M$1966*$Z$1966</f>
        <v>8289.6395111695383</v>
      </c>
      <c r="AG1966" s="6">
        <f>$O$1966*$AA$1966</f>
        <v>3807.6366701162706</v>
      </c>
    </row>
    <row r="1967" spans="1:33" ht="11.25" customHeight="1" x14ac:dyDescent="0.25">
      <c r="A1967" s="4" t="s">
        <v>21</v>
      </c>
      <c r="B1967" s="4" t="s">
        <v>39</v>
      </c>
      <c r="C1967" s="4" t="s">
        <v>23</v>
      </c>
      <c r="D1967" s="4" t="s">
        <v>40</v>
      </c>
      <c r="E1967" s="4" t="s">
        <v>25</v>
      </c>
      <c r="F1967" s="4" t="s">
        <v>25</v>
      </c>
      <c r="G1967" s="4" t="s">
        <v>25</v>
      </c>
      <c r="H1967" s="4" t="s">
        <v>25</v>
      </c>
      <c r="I1967" s="5">
        <v>44682</v>
      </c>
      <c r="J1967" s="6">
        <v>0</v>
      </c>
      <c r="K1967" s="6">
        <v>0</v>
      </c>
      <c r="L1967" s="6">
        <v>240.24100000000001</v>
      </c>
      <c r="M1967" s="6">
        <v>240.24100000000001</v>
      </c>
      <c r="N1967" s="6">
        <v>240.24100000000001</v>
      </c>
      <c r="O1967" s="6">
        <v>240.24100000000001</v>
      </c>
      <c r="P1967" s="6">
        <v>142</v>
      </c>
      <c r="Q1967" s="4" t="s">
        <v>26</v>
      </c>
      <c r="R1967" s="4">
        <v>0</v>
      </c>
      <c r="S1967" s="6">
        <v>0</v>
      </c>
      <c r="T1967" s="6">
        <v>67</v>
      </c>
      <c r="U1967" s="6">
        <v>111</v>
      </c>
      <c r="V1967" s="6">
        <f>IF(ISERROR(VLOOKUP($S$1967,'TAR FIN'!$A$1:$O$115,15,0)),0,VLOOKUP($S$1967,'TAR FIN'!$A$1:$O$115,15,0))</f>
        <v>0</v>
      </c>
      <c r="W1967" s="6">
        <f>IF(ISERROR(VLOOKUP($T$1967,'TAR FIN'!$A$1:$O$115,15,0)),0,VLOOKUP($T$1967,'TAR FIN'!$A$1:$O$115,15,0))</f>
        <v>463.6</v>
      </c>
      <c r="X1967" s="6">
        <f>IF(ISERROR(VLOOKUP($U$1967,'TAR FIN'!$A$1:$O$115,15,0)),0,VLOOKUP($U$1967,'TAR FIN'!$A$1:$O$115,15,0))</f>
        <v>176.58</v>
      </c>
      <c r="Y1967" s="6"/>
      <c r="Z1967" s="6">
        <f ca="1">('TUSD BE'!$AM$65+'TUSD BF'!$AM$65+'TUSD CVA'!$AM$65)*1</f>
        <v>502.21976924570083</v>
      </c>
      <c r="AA1967" s="6">
        <f>('TE BE'!$AB$48+'TE BF'!$AB$48+'TE CVA'!$AB$48)*1</f>
        <v>230.68197444058345</v>
      </c>
      <c r="AB1967" s="6">
        <f>$K$1967*$V$1967</f>
        <v>0</v>
      </c>
      <c r="AC1967" s="6">
        <f>$M$1967*$W$1967</f>
        <v>111375.72760000001</v>
      </c>
      <c r="AD1967" s="6">
        <f>$O$1967*$X$1967</f>
        <v>42421.755780000007</v>
      </c>
      <c r="AE1967" s="6">
        <f>$K$1967*$Y$1967</f>
        <v>0</v>
      </c>
      <c r="AF1967" s="6">
        <f ca="1">$M$1967*$Z$1967</f>
        <v>120653.77958335642</v>
      </c>
      <c r="AG1967" s="6">
        <f>$O$1967*$AA$1967</f>
        <v>55419.268221580212</v>
      </c>
    </row>
    <row r="1968" spans="1:33" ht="11.25" customHeight="1" x14ac:dyDescent="0.25">
      <c r="A1968" s="4" t="s">
        <v>28</v>
      </c>
      <c r="B1968" s="4" t="s">
        <v>39</v>
      </c>
      <c r="C1968" s="4" t="s">
        <v>23</v>
      </c>
      <c r="D1968" s="4" t="s">
        <v>40</v>
      </c>
      <c r="E1968" s="4" t="s">
        <v>25</v>
      </c>
      <c r="F1968" s="4" t="s">
        <v>25</v>
      </c>
      <c r="G1968" s="4" t="s">
        <v>25</v>
      </c>
      <c r="H1968" s="4" t="s">
        <v>25</v>
      </c>
      <c r="I1968" s="5">
        <v>44682</v>
      </c>
      <c r="J1968" s="6">
        <v>0</v>
      </c>
      <c r="K1968" s="6">
        <v>0</v>
      </c>
      <c r="L1968" s="6">
        <v>54.588999999999999</v>
      </c>
      <c r="M1968" s="6">
        <v>54.588999999999999</v>
      </c>
      <c r="N1968" s="6">
        <v>54.588999999999999</v>
      </c>
      <c r="O1968" s="6">
        <v>54.588999999999999</v>
      </c>
      <c r="P1968" s="6">
        <v>42</v>
      </c>
      <c r="Q1968" s="4" t="s">
        <v>26</v>
      </c>
      <c r="R1968" s="4">
        <v>0</v>
      </c>
      <c r="S1968" s="6">
        <v>0</v>
      </c>
      <c r="T1968" s="6">
        <v>67</v>
      </c>
      <c r="U1968" s="6">
        <v>111</v>
      </c>
      <c r="V1968" s="6">
        <f>IF(ISERROR(VLOOKUP($S$1968,'TAR FIN'!$A$1:$O$115,15,0)),0,VLOOKUP($S$1968,'TAR FIN'!$A$1:$O$115,15,0))</f>
        <v>0</v>
      </c>
      <c r="W1968" s="6">
        <f>IF(ISERROR(VLOOKUP($T$1968,'TAR FIN'!$A$1:$O$115,15,0)),0,VLOOKUP($T$1968,'TAR FIN'!$A$1:$O$115,15,0))</f>
        <v>463.6</v>
      </c>
      <c r="X1968" s="6">
        <f>IF(ISERROR(VLOOKUP($U$1968,'TAR FIN'!$A$1:$O$115,15,0)),0,VLOOKUP($U$1968,'TAR FIN'!$A$1:$O$115,15,0))</f>
        <v>176.58</v>
      </c>
      <c r="Y1968" s="6"/>
      <c r="Z1968" s="6">
        <f ca="1">('TUSD BE'!$AM$65+'TUSD BF'!$AM$65+'TUSD CVA'!$AM$65)*1</f>
        <v>502.21976924570083</v>
      </c>
      <c r="AA1968" s="6">
        <f>('TE BE'!$AB$48+'TE BF'!$AB$48+'TE CVA'!$AB$48)*1</f>
        <v>230.68197444058345</v>
      </c>
      <c r="AB1968" s="6">
        <f>$K$1968*$V$1968</f>
        <v>0</v>
      </c>
      <c r="AC1968" s="6">
        <f>$M$1968*$W$1968</f>
        <v>25307.4604</v>
      </c>
      <c r="AD1968" s="6">
        <f>$O$1968*$X$1968</f>
        <v>9639.3256199999996</v>
      </c>
      <c r="AE1968" s="6">
        <f>$K$1968*$Y$1968</f>
        <v>0</v>
      </c>
      <c r="AF1968" s="6">
        <f ca="1">$M$1968*$Z$1968</f>
        <v>27415.674983353561</v>
      </c>
      <c r="AG1968" s="6">
        <f>$O$1968*$AA$1968</f>
        <v>12592.69830273701</v>
      </c>
    </row>
    <row r="1969" spans="1:33" ht="11.25" customHeight="1" x14ac:dyDescent="0.25">
      <c r="A1969" s="4" t="s">
        <v>30</v>
      </c>
      <c r="B1969" s="4" t="s">
        <v>39</v>
      </c>
      <c r="C1969" s="4" t="s">
        <v>23</v>
      </c>
      <c r="D1969" s="4" t="s">
        <v>40</v>
      </c>
      <c r="E1969" s="4" t="s">
        <v>25</v>
      </c>
      <c r="F1969" s="4" t="s">
        <v>25</v>
      </c>
      <c r="G1969" s="4" t="s">
        <v>25</v>
      </c>
      <c r="H1969" s="4" t="s">
        <v>25</v>
      </c>
      <c r="I1969" s="5">
        <v>44682</v>
      </c>
      <c r="J1969" s="6">
        <v>0</v>
      </c>
      <c r="K1969" s="6">
        <v>0</v>
      </c>
      <c r="L1969" s="6">
        <v>11.673</v>
      </c>
      <c r="M1969" s="6">
        <v>11.673</v>
      </c>
      <c r="N1969" s="6">
        <v>11.673</v>
      </c>
      <c r="O1969" s="6">
        <v>11.673</v>
      </c>
      <c r="P1969" s="6">
        <v>12</v>
      </c>
      <c r="Q1969" s="4" t="s">
        <v>26</v>
      </c>
      <c r="R1969" s="4">
        <v>0</v>
      </c>
      <c r="S1969" s="6">
        <v>0</v>
      </c>
      <c r="T1969" s="6">
        <v>67</v>
      </c>
      <c r="U1969" s="6">
        <v>111</v>
      </c>
      <c r="V1969" s="6">
        <f>IF(ISERROR(VLOOKUP($S$1969,'TAR FIN'!$A$1:$O$115,15,0)),0,VLOOKUP($S$1969,'TAR FIN'!$A$1:$O$115,15,0))</f>
        <v>0</v>
      </c>
      <c r="W1969" s="6">
        <f>IF(ISERROR(VLOOKUP($T$1969,'TAR FIN'!$A$1:$O$115,15,0)),0,VLOOKUP($T$1969,'TAR FIN'!$A$1:$O$115,15,0))</f>
        <v>463.6</v>
      </c>
      <c r="X1969" s="6">
        <f>IF(ISERROR(VLOOKUP($U$1969,'TAR FIN'!$A$1:$O$115,15,0)),0,VLOOKUP($U$1969,'TAR FIN'!$A$1:$O$115,15,0))</f>
        <v>176.58</v>
      </c>
      <c r="Y1969" s="6"/>
      <c r="Z1969" s="6">
        <f ca="1">('TUSD BE'!$AM$65+'TUSD BF'!$AM$65+'TUSD CVA'!$AM$65)*1</f>
        <v>502.21976924570083</v>
      </c>
      <c r="AA1969" s="6">
        <f>('TE BE'!$AB$48+'TE BF'!$AB$48+'TE CVA'!$AB$48)*1</f>
        <v>230.68197444058345</v>
      </c>
      <c r="AB1969" s="6">
        <f>$K$1969*$V$1969</f>
        <v>0</v>
      </c>
      <c r="AC1969" s="6">
        <f>$M$1969*$W$1969</f>
        <v>5411.6028000000006</v>
      </c>
      <c r="AD1969" s="6">
        <f>$O$1969*$X$1969</f>
        <v>2061.2183400000004</v>
      </c>
      <c r="AE1969" s="6">
        <f>$K$1969*$Y$1969</f>
        <v>0</v>
      </c>
      <c r="AF1969" s="6">
        <f ca="1">$M$1969*$Z$1969</f>
        <v>5862.4113664050656</v>
      </c>
      <c r="AG1969" s="6">
        <f>$O$1969*$AA$1969</f>
        <v>2692.7506876449306</v>
      </c>
    </row>
    <row r="1970" spans="1:33" ht="11.25" customHeight="1" x14ac:dyDescent="0.25">
      <c r="A1970" s="4" t="s">
        <v>21</v>
      </c>
      <c r="B1970" s="4" t="s">
        <v>39</v>
      </c>
      <c r="C1970" s="4" t="s">
        <v>23</v>
      </c>
      <c r="D1970" s="4" t="s">
        <v>40</v>
      </c>
      <c r="E1970" s="4" t="s">
        <v>25</v>
      </c>
      <c r="F1970" s="4" t="s">
        <v>25</v>
      </c>
      <c r="G1970" s="4" t="s">
        <v>25</v>
      </c>
      <c r="H1970" s="4" t="s">
        <v>25</v>
      </c>
      <c r="I1970" s="5">
        <v>44713</v>
      </c>
      <c r="J1970" s="6">
        <v>0</v>
      </c>
      <c r="K1970" s="6">
        <v>0</v>
      </c>
      <c r="L1970" s="6">
        <v>237.809</v>
      </c>
      <c r="M1970" s="6">
        <v>237.809</v>
      </c>
      <c r="N1970" s="6">
        <v>237.809</v>
      </c>
      <c r="O1970" s="6">
        <v>237.809</v>
      </c>
      <c r="P1970" s="6">
        <v>138</v>
      </c>
      <c r="Q1970" s="4" t="s">
        <v>26</v>
      </c>
      <c r="R1970" s="4">
        <v>0</v>
      </c>
      <c r="S1970" s="6">
        <v>0</v>
      </c>
      <c r="T1970" s="6">
        <v>67</v>
      </c>
      <c r="U1970" s="6">
        <v>111</v>
      </c>
      <c r="V1970" s="6">
        <f>IF(ISERROR(VLOOKUP($S$1970,'TAR FIN'!$A$1:$O$115,15,0)),0,VLOOKUP($S$1970,'TAR FIN'!$A$1:$O$115,15,0))</f>
        <v>0</v>
      </c>
      <c r="W1970" s="6">
        <f>IF(ISERROR(VLOOKUP($T$1970,'TAR FIN'!$A$1:$O$115,15,0)),0,VLOOKUP($T$1970,'TAR FIN'!$A$1:$O$115,15,0))</f>
        <v>463.6</v>
      </c>
      <c r="X1970" s="6">
        <f>IF(ISERROR(VLOOKUP($U$1970,'TAR FIN'!$A$1:$O$115,15,0)),0,VLOOKUP($U$1970,'TAR FIN'!$A$1:$O$115,15,0))</f>
        <v>176.58</v>
      </c>
      <c r="Y1970" s="6"/>
      <c r="Z1970" s="6">
        <f ca="1">('TUSD BE'!$AM$65+'TUSD BF'!$AM$65+'TUSD CVA'!$AM$65)*1</f>
        <v>502.21976924570083</v>
      </c>
      <c r="AA1970" s="6">
        <f>('TE BE'!$AB$48+'TE BF'!$AB$48+'TE CVA'!$AB$48)*1</f>
        <v>230.68197444058345</v>
      </c>
      <c r="AB1970" s="6">
        <f>$K$1970*$V$1970</f>
        <v>0</v>
      </c>
      <c r="AC1970" s="6">
        <f>$M$1970*$W$1970</f>
        <v>110248.2524</v>
      </c>
      <c r="AD1970" s="6">
        <f>$O$1970*$X$1970</f>
        <v>41992.313220000004</v>
      </c>
      <c r="AE1970" s="6">
        <f>$K$1970*$Y$1970</f>
        <v>0</v>
      </c>
      <c r="AF1970" s="6">
        <f ca="1">$M$1970*$Z$1970</f>
        <v>119432.38110455086</v>
      </c>
      <c r="AG1970" s="6">
        <f>$O$1970*$AA$1970</f>
        <v>54858.249659740708</v>
      </c>
    </row>
    <row r="1971" spans="1:33" ht="11.25" customHeight="1" x14ac:dyDescent="0.25">
      <c r="A1971" s="4" t="s">
        <v>28</v>
      </c>
      <c r="B1971" s="4" t="s">
        <v>39</v>
      </c>
      <c r="C1971" s="4" t="s">
        <v>23</v>
      </c>
      <c r="D1971" s="4" t="s">
        <v>40</v>
      </c>
      <c r="E1971" s="4" t="s">
        <v>25</v>
      </c>
      <c r="F1971" s="4" t="s">
        <v>25</v>
      </c>
      <c r="G1971" s="4" t="s">
        <v>25</v>
      </c>
      <c r="H1971" s="4" t="s">
        <v>25</v>
      </c>
      <c r="I1971" s="5">
        <v>44713</v>
      </c>
      <c r="J1971" s="6">
        <v>0</v>
      </c>
      <c r="K1971" s="6">
        <v>0</v>
      </c>
      <c r="L1971" s="6">
        <v>57.137</v>
      </c>
      <c r="M1971" s="6">
        <v>57.137</v>
      </c>
      <c r="N1971" s="6">
        <v>57.137</v>
      </c>
      <c r="O1971" s="6">
        <v>57.137</v>
      </c>
      <c r="P1971" s="6">
        <v>42</v>
      </c>
      <c r="Q1971" s="4" t="s">
        <v>26</v>
      </c>
      <c r="R1971" s="4">
        <v>0</v>
      </c>
      <c r="S1971" s="6">
        <v>0</v>
      </c>
      <c r="T1971" s="6">
        <v>67</v>
      </c>
      <c r="U1971" s="6">
        <v>111</v>
      </c>
      <c r="V1971" s="6">
        <f>IF(ISERROR(VLOOKUP($S$1971,'TAR FIN'!$A$1:$O$115,15,0)),0,VLOOKUP($S$1971,'TAR FIN'!$A$1:$O$115,15,0))</f>
        <v>0</v>
      </c>
      <c r="W1971" s="6">
        <f>IF(ISERROR(VLOOKUP($T$1971,'TAR FIN'!$A$1:$O$115,15,0)),0,VLOOKUP($T$1971,'TAR FIN'!$A$1:$O$115,15,0))</f>
        <v>463.6</v>
      </c>
      <c r="X1971" s="6">
        <f>IF(ISERROR(VLOOKUP($U$1971,'TAR FIN'!$A$1:$O$115,15,0)),0,VLOOKUP($U$1971,'TAR FIN'!$A$1:$O$115,15,0))</f>
        <v>176.58</v>
      </c>
      <c r="Y1971" s="6"/>
      <c r="Z1971" s="6">
        <f ca="1">('TUSD BE'!$AM$65+'TUSD BF'!$AM$65+'TUSD CVA'!$AM$65)*1</f>
        <v>502.21976924570083</v>
      </c>
      <c r="AA1971" s="6">
        <f>('TE BE'!$AB$48+'TE BF'!$AB$48+'TE CVA'!$AB$48)*1</f>
        <v>230.68197444058345</v>
      </c>
      <c r="AB1971" s="6">
        <f>$K$1971*$V$1971</f>
        <v>0</v>
      </c>
      <c r="AC1971" s="6">
        <f>$M$1971*$W$1971</f>
        <v>26488.713200000002</v>
      </c>
      <c r="AD1971" s="6">
        <f>$O$1971*$X$1971</f>
        <v>10089.251460000001</v>
      </c>
      <c r="AE1971" s="6">
        <f>$K$1971*$Y$1971</f>
        <v>0</v>
      </c>
      <c r="AF1971" s="6">
        <f ca="1">$M$1971*$Z$1971</f>
        <v>28695.330955391608</v>
      </c>
      <c r="AG1971" s="6">
        <f>$O$1971*$AA$1971</f>
        <v>13180.475973611616</v>
      </c>
    </row>
    <row r="1972" spans="1:33" ht="11.25" customHeight="1" x14ac:dyDescent="0.25">
      <c r="A1972" s="4" t="s">
        <v>30</v>
      </c>
      <c r="B1972" s="4" t="s">
        <v>39</v>
      </c>
      <c r="C1972" s="4" t="s">
        <v>23</v>
      </c>
      <c r="D1972" s="4" t="s">
        <v>40</v>
      </c>
      <c r="E1972" s="4" t="s">
        <v>25</v>
      </c>
      <c r="F1972" s="4" t="s">
        <v>25</v>
      </c>
      <c r="G1972" s="4" t="s">
        <v>25</v>
      </c>
      <c r="H1972" s="4" t="s">
        <v>25</v>
      </c>
      <c r="I1972" s="5">
        <v>44713</v>
      </c>
      <c r="J1972" s="6">
        <v>0</v>
      </c>
      <c r="K1972" s="6">
        <v>0</v>
      </c>
      <c r="L1972" s="6">
        <v>12.44</v>
      </c>
      <c r="M1972" s="6">
        <v>12.44</v>
      </c>
      <c r="N1972" s="6">
        <v>12.44</v>
      </c>
      <c r="O1972" s="6">
        <v>12.44</v>
      </c>
      <c r="P1972" s="6">
        <v>13</v>
      </c>
      <c r="Q1972" s="4" t="s">
        <v>26</v>
      </c>
      <c r="R1972" s="4">
        <v>0</v>
      </c>
      <c r="S1972" s="6">
        <v>0</v>
      </c>
      <c r="T1972" s="6">
        <v>67</v>
      </c>
      <c r="U1972" s="6">
        <v>111</v>
      </c>
      <c r="V1972" s="6">
        <f>IF(ISERROR(VLOOKUP($S$1972,'TAR FIN'!$A$1:$O$115,15,0)),0,VLOOKUP($S$1972,'TAR FIN'!$A$1:$O$115,15,0))</f>
        <v>0</v>
      </c>
      <c r="W1972" s="6">
        <f>IF(ISERROR(VLOOKUP($T$1972,'TAR FIN'!$A$1:$O$115,15,0)),0,VLOOKUP($T$1972,'TAR FIN'!$A$1:$O$115,15,0))</f>
        <v>463.6</v>
      </c>
      <c r="X1972" s="6">
        <f>IF(ISERROR(VLOOKUP($U$1972,'TAR FIN'!$A$1:$O$115,15,0)),0,VLOOKUP($U$1972,'TAR FIN'!$A$1:$O$115,15,0))</f>
        <v>176.58</v>
      </c>
      <c r="Y1972" s="6"/>
      <c r="Z1972" s="6">
        <f ca="1">('TUSD BE'!$AM$65+'TUSD BF'!$AM$65+'TUSD CVA'!$AM$65)*1</f>
        <v>502.21976924570083</v>
      </c>
      <c r="AA1972" s="6">
        <f>('TE BE'!$AB$48+'TE BF'!$AB$48+'TE CVA'!$AB$48)*1</f>
        <v>230.68197444058345</v>
      </c>
      <c r="AB1972" s="6">
        <f>$K$1972*$V$1972</f>
        <v>0</v>
      </c>
      <c r="AC1972" s="6">
        <f>$M$1972*$W$1972</f>
        <v>5767.1840000000002</v>
      </c>
      <c r="AD1972" s="6">
        <f>$O$1972*$X$1972</f>
        <v>2196.6552000000001</v>
      </c>
      <c r="AE1972" s="6">
        <f>$K$1972*$Y$1972</f>
        <v>0</v>
      </c>
      <c r="AF1972" s="6">
        <f ca="1">$M$1972*$Z$1972</f>
        <v>6247.6139294165177</v>
      </c>
      <c r="AG1972" s="6">
        <f>$O$1972*$AA$1972</f>
        <v>2869.6837620408578</v>
      </c>
    </row>
    <row r="1973" spans="1:33" ht="11.25" customHeight="1" x14ac:dyDescent="0.25">
      <c r="A1973" s="4" t="s">
        <v>21</v>
      </c>
      <c r="B1973" s="4" t="s">
        <v>39</v>
      </c>
      <c r="C1973" s="4" t="s">
        <v>23</v>
      </c>
      <c r="D1973" s="4" t="s">
        <v>40</v>
      </c>
      <c r="E1973" s="4" t="s">
        <v>25</v>
      </c>
      <c r="F1973" s="4" t="s">
        <v>25</v>
      </c>
      <c r="G1973" s="4" t="s">
        <v>25</v>
      </c>
      <c r="H1973" s="4" t="s">
        <v>25</v>
      </c>
      <c r="I1973" s="5">
        <v>44743</v>
      </c>
      <c r="J1973" s="6">
        <v>0</v>
      </c>
      <c r="K1973" s="6">
        <v>0</v>
      </c>
      <c r="L1973" s="6">
        <v>264.55099999999999</v>
      </c>
      <c r="M1973" s="6">
        <v>264.55099999999999</v>
      </c>
      <c r="N1973" s="6">
        <v>264.55099999999999</v>
      </c>
      <c r="O1973" s="6">
        <v>264.55099999999999</v>
      </c>
      <c r="P1973" s="6">
        <v>139</v>
      </c>
      <c r="Q1973" s="4" t="s">
        <v>26</v>
      </c>
      <c r="R1973" s="4">
        <v>0</v>
      </c>
      <c r="S1973" s="6">
        <v>0</v>
      </c>
      <c r="T1973" s="6">
        <v>67</v>
      </c>
      <c r="U1973" s="6">
        <v>111</v>
      </c>
      <c r="V1973" s="6">
        <f>IF(ISERROR(VLOOKUP($S$1973,'TAR FIN'!$A$1:$O$115,15,0)),0,VLOOKUP($S$1973,'TAR FIN'!$A$1:$O$115,15,0))</f>
        <v>0</v>
      </c>
      <c r="W1973" s="6">
        <f>IF(ISERROR(VLOOKUP($T$1973,'TAR FIN'!$A$1:$O$115,15,0)),0,VLOOKUP($T$1973,'TAR FIN'!$A$1:$O$115,15,0))</f>
        <v>463.6</v>
      </c>
      <c r="X1973" s="6">
        <f>IF(ISERROR(VLOOKUP($U$1973,'TAR FIN'!$A$1:$O$115,15,0)),0,VLOOKUP($U$1973,'TAR FIN'!$A$1:$O$115,15,0))</f>
        <v>176.58</v>
      </c>
      <c r="Y1973" s="6"/>
      <c r="Z1973" s="6">
        <f ca="1">('TUSD BE'!$AM$65+'TUSD BF'!$AM$65+'TUSD CVA'!$AM$65)*1</f>
        <v>502.21976924570083</v>
      </c>
      <c r="AA1973" s="6">
        <f>('TE BE'!$AB$48+'TE BF'!$AB$48+'TE CVA'!$AB$48)*1</f>
        <v>230.68197444058345</v>
      </c>
      <c r="AB1973" s="6">
        <f>$K$1973*$V$1973</f>
        <v>0</v>
      </c>
      <c r="AC1973" s="6">
        <f>$M$1973*$W$1973</f>
        <v>122645.84360000001</v>
      </c>
      <c r="AD1973" s="6">
        <f>$O$1973*$X$1973</f>
        <v>46714.415580000001</v>
      </c>
      <c r="AE1973" s="6">
        <f>$K$1973*$Y$1973</f>
        <v>0</v>
      </c>
      <c r="AF1973" s="6">
        <f ca="1">$M$1973*$Z$1973</f>
        <v>132862.74217371939</v>
      </c>
      <c r="AG1973" s="6">
        <f>$O$1973*$AA$1973</f>
        <v>61027.14702023079</v>
      </c>
    </row>
    <row r="1974" spans="1:33" ht="11.25" customHeight="1" x14ac:dyDescent="0.25">
      <c r="A1974" s="4" t="s">
        <v>27</v>
      </c>
      <c r="B1974" s="4" t="s">
        <v>39</v>
      </c>
      <c r="C1974" s="4" t="s">
        <v>23</v>
      </c>
      <c r="D1974" s="4" t="s">
        <v>40</v>
      </c>
      <c r="E1974" s="4" t="s">
        <v>25</v>
      </c>
      <c r="F1974" s="4" t="s">
        <v>25</v>
      </c>
      <c r="G1974" s="4" t="s">
        <v>25</v>
      </c>
      <c r="H1974" s="4" t="s">
        <v>25</v>
      </c>
      <c r="I1974" s="5">
        <v>44743</v>
      </c>
      <c r="J1974" s="6">
        <v>0</v>
      </c>
      <c r="K1974" s="6">
        <v>0</v>
      </c>
      <c r="L1974" s="6">
        <v>-8.0090000000000003</v>
      </c>
      <c r="M1974" s="6">
        <v>-8.0090000000000003</v>
      </c>
      <c r="N1974" s="6">
        <v>-8.0090000000000003</v>
      </c>
      <c r="O1974" s="6">
        <v>-8.0090000000000003</v>
      </c>
      <c r="P1974" s="6">
        <v>-1</v>
      </c>
      <c r="Q1974" s="4" t="s">
        <v>26</v>
      </c>
      <c r="R1974" s="4">
        <v>0</v>
      </c>
      <c r="S1974" s="6">
        <v>0</v>
      </c>
      <c r="T1974" s="6">
        <v>67</v>
      </c>
      <c r="U1974" s="6">
        <v>111</v>
      </c>
      <c r="V1974" s="6">
        <f>IF(ISERROR(VLOOKUP($S$1974,'TAR FIN'!$A$1:$O$115,15,0)),0,VLOOKUP($S$1974,'TAR FIN'!$A$1:$O$115,15,0))</f>
        <v>0</v>
      </c>
      <c r="W1974" s="6">
        <f>IF(ISERROR(VLOOKUP($T$1974,'TAR FIN'!$A$1:$O$115,15,0)),0,VLOOKUP($T$1974,'TAR FIN'!$A$1:$O$115,15,0))</f>
        <v>463.6</v>
      </c>
      <c r="X1974" s="6">
        <f>IF(ISERROR(VLOOKUP($U$1974,'TAR FIN'!$A$1:$O$115,15,0)),0,VLOOKUP($U$1974,'TAR FIN'!$A$1:$O$115,15,0))</f>
        <v>176.58</v>
      </c>
      <c r="Y1974" s="6"/>
      <c r="Z1974" s="6">
        <f ca="1">('TUSD BE'!$AM$65+'TUSD BF'!$AM$65+'TUSD CVA'!$AM$65)*1</f>
        <v>502.21976924570083</v>
      </c>
      <c r="AA1974" s="6">
        <f>('TE BE'!$AB$48+'TE BF'!$AB$48+'TE CVA'!$AB$48)*1</f>
        <v>230.68197444058345</v>
      </c>
      <c r="AB1974" s="6">
        <f>$K$1974*$V$1974</f>
        <v>0</v>
      </c>
      <c r="AC1974" s="6">
        <f>$M$1974*$W$1974</f>
        <v>-3712.9724000000006</v>
      </c>
      <c r="AD1974" s="6">
        <f>$O$1974*$X$1974</f>
        <v>-1414.2292200000002</v>
      </c>
      <c r="AE1974" s="6">
        <f>$K$1974*$Y$1974</f>
        <v>0</v>
      </c>
      <c r="AF1974" s="6">
        <f ca="1">$M$1974*$Z$1974</f>
        <v>-4022.2781318888183</v>
      </c>
      <c r="AG1974" s="6">
        <f>$O$1974*$AA$1974</f>
        <v>-1847.5319332946328</v>
      </c>
    </row>
    <row r="1975" spans="1:33" ht="11.25" customHeight="1" x14ac:dyDescent="0.25">
      <c r="A1975" s="4" t="s">
        <v>28</v>
      </c>
      <c r="B1975" s="4" t="s">
        <v>39</v>
      </c>
      <c r="C1975" s="4" t="s">
        <v>23</v>
      </c>
      <c r="D1975" s="4" t="s">
        <v>40</v>
      </c>
      <c r="E1975" s="4" t="s">
        <v>25</v>
      </c>
      <c r="F1975" s="4" t="s">
        <v>25</v>
      </c>
      <c r="G1975" s="4" t="s">
        <v>25</v>
      </c>
      <c r="H1975" s="4" t="s">
        <v>25</v>
      </c>
      <c r="I1975" s="5">
        <v>44743</v>
      </c>
      <c r="J1975" s="6">
        <v>0</v>
      </c>
      <c r="K1975" s="6">
        <v>0</v>
      </c>
      <c r="L1975" s="6">
        <v>63.402999999999999</v>
      </c>
      <c r="M1975" s="6">
        <v>63.402999999999999</v>
      </c>
      <c r="N1975" s="6">
        <v>63.402999999999999</v>
      </c>
      <c r="O1975" s="6">
        <v>63.402999999999999</v>
      </c>
      <c r="P1975" s="6">
        <v>42</v>
      </c>
      <c r="Q1975" s="4" t="s">
        <v>26</v>
      </c>
      <c r="R1975" s="4">
        <v>0</v>
      </c>
      <c r="S1975" s="6">
        <v>0</v>
      </c>
      <c r="T1975" s="6">
        <v>67</v>
      </c>
      <c r="U1975" s="6">
        <v>111</v>
      </c>
      <c r="V1975" s="6">
        <f>IF(ISERROR(VLOOKUP($S$1975,'TAR FIN'!$A$1:$O$115,15,0)),0,VLOOKUP($S$1975,'TAR FIN'!$A$1:$O$115,15,0))</f>
        <v>0</v>
      </c>
      <c r="W1975" s="6">
        <f>IF(ISERROR(VLOOKUP($T$1975,'TAR FIN'!$A$1:$O$115,15,0)),0,VLOOKUP($T$1975,'TAR FIN'!$A$1:$O$115,15,0))</f>
        <v>463.6</v>
      </c>
      <c r="X1975" s="6">
        <f>IF(ISERROR(VLOOKUP($U$1975,'TAR FIN'!$A$1:$O$115,15,0)),0,VLOOKUP($U$1975,'TAR FIN'!$A$1:$O$115,15,0))</f>
        <v>176.58</v>
      </c>
      <c r="Y1975" s="6"/>
      <c r="Z1975" s="6">
        <f ca="1">('TUSD BE'!$AM$65+'TUSD BF'!$AM$65+'TUSD CVA'!$AM$65)*1</f>
        <v>502.21976924570083</v>
      </c>
      <c r="AA1975" s="6">
        <f>('TE BE'!$AB$48+'TE BF'!$AB$48+'TE CVA'!$AB$48)*1</f>
        <v>230.68197444058345</v>
      </c>
      <c r="AB1975" s="6">
        <f>$K$1975*$V$1975</f>
        <v>0</v>
      </c>
      <c r="AC1975" s="6">
        <f>$M$1975*$W$1975</f>
        <v>29393.630800000003</v>
      </c>
      <c r="AD1975" s="6">
        <f>$O$1975*$X$1975</f>
        <v>11195.70174</v>
      </c>
      <c r="AE1975" s="6">
        <f>$K$1975*$Y$1975</f>
        <v>0</v>
      </c>
      <c r="AF1975" s="6">
        <f ca="1">$M$1975*$Z$1975</f>
        <v>31842.240029485169</v>
      </c>
      <c r="AG1975" s="6">
        <f>$O$1975*$AA$1975</f>
        <v>14625.929225456312</v>
      </c>
    </row>
    <row r="1976" spans="1:33" ht="11.25" customHeight="1" x14ac:dyDescent="0.25">
      <c r="A1976" s="4" t="s">
        <v>30</v>
      </c>
      <c r="B1976" s="4" t="s">
        <v>39</v>
      </c>
      <c r="C1976" s="4" t="s">
        <v>23</v>
      </c>
      <c r="D1976" s="4" t="s">
        <v>40</v>
      </c>
      <c r="E1976" s="4" t="s">
        <v>25</v>
      </c>
      <c r="F1976" s="4" t="s">
        <v>25</v>
      </c>
      <c r="G1976" s="4" t="s">
        <v>25</v>
      </c>
      <c r="H1976" s="4" t="s">
        <v>25</v>
      </c>
      <c r="I1976" s="5">
        <v>44743</v>
      </c>
      <c r="J1976" s="6">
        <v>0</v>
      </c>
      <c r="K1976" s="6">
        <v>0</v>
      </c>
      <c r="L1976" s="6">
        <v>11.417999999999999</v>
      </c>
      <c r="M1976" s="6">
        <v>11.417999999999999</v>
      </c>
      <c r="N1976" s="6">
        <v>11.417999999999999</v>
      </c>
      <c r="O1976" s="6">
        <v>11.417999999999999</v>
      </c>
      <c r="P1976" s="6">
        <v>13</v>
      </c>
      <c r="Q1976" s="4" t="s">
        <v>26</v>
      </c>
      <c r="R1976" s="4">
        <v>0</v>
      </c>
      <c r="S1976" s="6">
        <v>0</v>
      </c>
      <c r="T1976" s="6">
        <v>67</v>
      </c>
      <c r="U1976" s="6">
        <v>111</v>
      </c>
      <c r="V1976" s="6">
        <f>IF(ISERROR(VLOOKUP($S$1976,'TAR FIN'!$A$1:$O$115,15,0)),0,VLOOKUP($S$1976,'TAR FIN'!$A$1:$O$115,15,0))</f>
        <v>0</v>
      </c>
      <c r="W1976" s="6">
        <f>IF(ISERROR(VLOOKUP($T$1976,'TAR FIN'!$A$1:$O$115,15,0)),0,VLOOKUP($T$1976,'TAR FIN'!$A$1:$O$115,15,0))</f>
        <v>463.6</v>
      </c>
      <c r="X1976" s="6">
        <f>IF(ISERROR(VLOOKUP($U$1976,'TAR FIN'!$A$1:$O$115,15,0)),0,VLOOKUP($U$1976,'TAR FIN'!$A$1:$O$115,15,0))</f>
        <v>176.58</v>
      </c>
      <c r="Y1976" s="6"/>
      <c r="Z1976" s="6">
        <f ca="1">('TUSD BE'!$AM$65+'TUSD BF'!$AM$65+'TUSD CVA'!$AM$65)*1</f>
        <v>502.21976924570083</v>
      </c>
      <c r="AA1976" s="6">
        <f>('TE BE'!$AB$48+'TE BF'!$AB$48+'TE CVA'!$AB$48)*1</f>
        <v>230.68197444058345</v>
      </c>
      <c r="AB1976" s="6">
        <f>$K$1976*$V$1976</f>
        <v>0</v>
      </c>
      <c r="AC1976" s="6">
        <f>$M$1976*$W$1976</f>
        <v>5293.3847999999998</v>
      </c>
      <c r="AD1976" s="6">
        <f>$O$1976*$X$1976</f>
        <v>2016.1904400000001</v>
      </c>
      <c r="AE1976" s="6">
        <f>$K$1976*$Y$1976</f>
        <v>0</v>
      </c>
      <c r="AF1976" s="6">
        <f ca="1">$M$1976*$Z$1976</f>
        <v>5734.3453252474119</v>
      </c>
      <c r="AG1976" s="6">
        <f>$O$1976*$AA$1976</f>
        <v>2633.9267841625815</v>
      </c>
    </row>
    <row r="1977" spans="1:33" ht="11.25" customHeight="1" x14ac:dyDescent="0.25">
      <c r="A1977" s="4" t="s">
        <v>21</v>
      </c>
      <c r="B1977" s="4" t="s">
        <v>39</v>
      </c>
      <c r="C1977" s="4" t="s">
        <v>23</v>
      </c>
      <c r="D1977" s="4" t="s">
        <v>40</v>
      </c>
      <c r="E1977" s="4" t="s">
        <v>25</v>
      </c>
      <c r="F1977" s="4" t="s">
        <v>25</v>
      </c>
      <c r="G1977" s="4" t="s">
        <v>25</v>
      </c>
      <c r="H1977" s="4" t="s">
        <v>25</v>
      </c>
      <c r="I1977" s="5">
        <v>44774</v>
      </c>
      <c r="J1977" s="6">
        <v>0</v>
      </c>
      <c r="K1977" s="6">
        <v>0</v>
      </c>
      <c r="L1977" s="6">
        <v>287.07</v>
      </c>
      <c r="M1977" s="6">
        <v>287.07</v>
      </c>
      <c r="N1977" s="6">
        <v>287.07</v>
      </c>
      <c r="O1977" s="6">
        <v>287.07</v>
      </c>
      <c r="P1977" s="6">
        <v>141</v>
      </c>
      <c r="Q1977" s="4" t="s">
        <v>26</v>
      </c>
      <c r="R1977" s="4">
        <v>0</v>
      </c>
      <c r="S1977" s="6">
        <v>0</v>
      </c>
      <c r="T1977" s="6">
        <v>67</v>
      </c>
      <c r="U1977" s="6">
        <v>111</v>
      </c>
      <c r="V1977" s="6">
        <f>IF(ISERROR(VLOOKUP($S$1977,'TAR FIN'!$A$1:$O$115,15,0)),0,VLOOKUP($S$1977,'TAR FIN'!$A$1:$O$115,15,0))</f>
        <v>0</v>
      </c>
      <c r="W1977" s="6">
        <f>IF(ISERROR(VLOOKUP($T$1977,'TAR FIN'!$A$1:$O$115,15,0)),0,VLOOKUP($T$1977,'TAR FIN'!$A$1:$O$115,15,0))</f>
        <v>463.6</v>
      </c>
      <c r="X1977" s="6">
        <f>IF(ISERROR(VLOOKUP($U$1977,'TAR FIN'!$A$1:$O$115,15,0)),0,VLOOKUP($U$1977,'TAR FIN'!$A$1:$O$115,15,0))</f>
        <v>176.58</v>
      </c>
      <c r="Y1977" s="6"/>
      <c r="Z1977" s="6">
        <f ca="1">('TUSD BE'!$AM$65+'TUSD BF'!$AM$65+'TUSD CVA'!$AM$65)*1</f>
        <v>502.21976924570083</v>
      </c>
      <c r="AA1977" s="6">
        <f>('TE BE'!$AB$48+'TE BF'!$AB$48+'TE CVA'!$AB$48)*1</f>
        <v>230.68197444058345</v>
      </c>
      <c r="AB1977" s="6">
        <f>$K$1977*$V$1977</f>
        <v>0</v>
      </c>
      <c r="AC1977" s="6">
        <f>$M$1977*$W$1977</f>
        <v>133085.652</v>
      </c>
      <c r="AD1977" s="6">
        <f>$O$1977*$X$1977</f>
        <v>50690.820599999999</v>
      </c>
      <c r="AE1977" s="6">
        <f>$K$1977*$Y$1977</f>
        <v>0</v>
      </c>
      <c r="AF1977" s="6">
        <f ca="1">$M$1977*$Z$1977</f>
        <v>144172.22915736333</v>
      </c>
      <c r="AG1977" s="6">
        <f>$O$1977*$AA$1977</f>
        <v>66221.874402658286</v>
      </c>
    </row>
    <row r="1978" spans="1:33" ht="11.25" customHeight="1" x14ac:dyDescent="0.25">
      <c r="A1978" s="4" t="s">
        <v>27</v>
      </c>
      <c r="B1978" s="4" t="s">
        <v>39</v>
      </c>
      <c r="C1978" s="4" t="s">
        <v>23</v>
      </c>
      <c r="D1978" s="4" t="s">
        <v>40</v>
      </c>
      <c r="E1978" s="4" t="s">
        <v>25</v>
      </c>
      <c r="F1978" s="4" t="s">
        <v>25</v>
      </c>
      <c r="G1978" s="4" t="s">
        <v>25</v>
      </c>
      <c r="H1978" s="4" t="s">
        <v>25</v>
      </c>
      <c r="I1978" s="5">
        <v>44774</v>
      </c>
      <c r="J1978" s="6">
        <v>0</v>
      </c>
      <c r="K1978" s="6">
        <v>0</v>
      </c>
      <c r="L1978" s="6">
        <v>-16.888999999999999</v>
      </c>
      <c r="M1978" s="6">
        <v>-16.888999999999999</v>
      </c>
      <c r="N1978" s="6">
        <v>-16.888999999999999</v>
      </c>
      <c r="O1978" s="6">
        <v>-16.888999999999999</v>
      </c>
      <c r="P1978" s="6">
        <v>-4</v>
      </c>
      <c r="Q1978" s="4" t="s">
        <v>26</v>
      </c>
      <c r="R1978" s="4">
        <v>0</v>
      </c>
      <c r="S1978" s="6">
        <v>0</v>
      </c>
      <c r="T1978" s="6">
        <v>67</v>
      </c>
      <c r="U1978" s="6">
        <v>111</v>
      </c>
      <c r="V1978" s="6">
        <f>IF(ISERROR(VLOOKUP($S$1978,'TAR FIN'!$A$1:$O$115,15,0)),0,VLOOKUP($S$1978,'TAR FIN'!$A$1:$O$115,15,0))</f>
        <v>0</v>
      </c>
      <c r="W1978" s="6">
        <f>IF(ISERROR(VLOOKUP($T$1978,'TAR FIN'!$A$1:$O$115,15,0)),0,VLOOKUP($T$1978,'TAR FIN'!$A$1:$O$115,15,0))</f>
        <v>463.6</v>
      </c>
      <c r="X1978" s="6">
        <f>IF(ISERROR(VLOOKUP($U$1978,'TAR FIN'!$A$1:$O$115,15,0)),0,VLOOKUP($U$1978,'TAR FIN'!$A$1:$O$115,15,0))</f>
        <v>176.58</v>
      </c>
      <c r="Y1978" s="6"/>
      <c r="Z1978" s="6">
        <f ca="1">('TUSD BE'!$AM$65+'TUSD BF'!$AM$65+'TUSD CVA'!$AM$65)*1</f>
        <v>502.21976924570083</v>
      </c>
      <c r="AA1978" s="6">
        <f>('TE BE'!$AB$48+'TE BF'!$AB$48+'TE CVA'!$AB$48)*1</f>
        <v>230.68197444058345</v>
      </c>
      <c r="AB1978" s="6">
        <f>$K$1978*$V$1978</f>
        <v>0</v>
      </c>
      <c r="AC1978" s="6">
        <f>$M$1978*$W$1978</f>
        <v>-7829.7403999999997</v>
      </c>
      <c r="AD1978" s="6">
        <f>$O$1978*$X$1978</f>
        <v>-2982.2596200000003</v>
      </c>
      <c r="AE1978" s="6">
        <f>$K$1978*$Y$1978</f>
        <v>0</v>
      </c>
      <c r="AF1978" s="6">
        <f ca="1">$M$1978*$Z$1978</f>
        <v>-8481.9896827906414</v>
      </c>
      <c r="AG1978" s="6">
        <f>$O$1978*$AA$1978</f>
        <v>-3895.9878663270138</v>
      </c>
    </row>
    <row r="1979" spans="1:33" ht="11.25" customHeight="1" x14ac:dyDescent="0.25">
      <c r="A1979" s="4" t="s">
        <v>28</v>
      </c>
      <c r="B1979" s="4" t="s">
        <v>39</v>
      </c>
      <c r="C1979" s="4" t="s">
        <v>23</v>
      </c>
      <c r="D1979" s="4" t="s">
        <v>40</v>
      </c>
      <c r="E1979" s="4" t="s">
        <v>25</v>
      </c>
      <c r="F1979" s="4" t="s">
        <v>25</v>
      </c>
      <c r="G1979" s="4" t="s">
        <v>25</v>
      </c>
      <c r="H1979" s="4" t="s">
        <v>25</v>
      </c>
      <c r="I1979" s="5">
        <v>44774</v>
      </c>
      <c r="J1979" s="6">
        <v>0</v>
      </c>
      <c r="K1979" s="6">
        <v>0</v>
      </c>
      <c r="L1979" s="6">
        <v>67.813000000000002</v>
      </c>
      <c r="M1979" s="6">
        <v>67.813000000000002</v>
      </c>
      <c r="N1979" s="6">
        <v>67.813000000000002</v>
      </c>
      <c r="O1979" s="6">
        <v>67.813000000000002</v>
      </c>
      <c r="P1979" s="6">
        <v>42</v>
      </c>
      <c r="Q1979" s="4" t="s">
        <v>26</v>
      </c>
      <c r="R1979" s="4">
        <v>0</v>
      </c>
      <c r="S1979" s="6">
        <v>0</v>
      </c>
      <c r="T1979" s="6">
        <v>67</v>
      </c>
      <c r="U1979" s="6">
        <v>111</v>
      </c>
      <c r="V1979" s="6">
        <f>IF(ISERROR(VLOOKUP($S$1979,'TAR FIN'!$A$1:$O$115,15,0)),0,VLOOKUP($S$1979,'TAR FIN'!$A$1:$O$115,15,0))</f>
        <v>0</v>
      </c>
      <c r="W1979" s="6">
        <f>IF(ISERROR(VLOOKUP($T$1979,'TAR FIN'!$A$1:$O$115,15,0)),0,VLOOKUP($T$1979,'TAR FIN'!$A$1:$O$115,15,0))</f>
        <v>463.6</v>
      </c>
      <c r="X1979" s="6">
        <f>IF(ISERROR(VLOOKUP($U$1979,'TAR FIN'!$A$1:$O$115,15,0)),0,VLOOKUP($U$1979,'TAR FIN'!$A$1:$O$115,15,0))</f>
        <v>176.58</v>
      </c>
      <c r="Y1979" s="6"/>
      <c r="Z1979" s="6">
        <f ca="1">('TUSD BE'!$AM$65+'TUSD BF'!$AM$65+'TUSD CVA'!$AM$65)*1</f>
        <v>502.21976924570083</v>
      </c>
      <c r="AA1979" s="6">
        <f>('TE BE'!$AB$48+'TE BF'!$AB$48+'TE CVA'!$AB$48)*1</f>
        <v>230.68197444058345</v>
      </c>
      <c r="AB1979" s="6">
        <f>$K$1979*$V$1979</f>
        <v>0</v>
      </c>
      <c r="AC1979" s="6">
        <f>$M$1979*$W$1979</f>
        <v>31438.106800000001</v>
      </c>
      <c r="AD1979" s="6">
        <f>$O$1979*$X$1979</f>
        <v>11974.419540000001</v>
      </c>
      <c r="AE1979" s="6">
        <f>$K$1979*$Y$1979</f>
        <v>0</v>
      </c>
      <c r="AF1979" s="6">
        <f ca="1">$M$1979*$Z$1979</f>
        <v>34057.029211858709</v>
      </c>
      <c r="AG1979" s="6">
        <f>$O$1979*$AA$1979</f>
        <v>15643.236732739286</v>
      </c>
    </row>
    <row r="1980" spans="1:33" ht="11.25" customHeight="1" x14ac:dyDescent="0.25">
      <c r="A1980" s="4" t="s">
        <v>30</v>
      </c>
      <c r="B1980" s="4" t="s">
        <v>39</v>
      </c>
      <c r="C1980" s="4" t="s">
        <v>23</v>
      </c>
      <c r="D1980" s="4" t="s">
        <v>40</v>
      </c>
      <c r="E1980" s="4" t="s">
        <v>25</v>
      </c>
      <c r="F1980" s="4" t="s">
        <v>25</v>
      </c>
      <c r="G1980" s="4" t="s">
        <v>25</v>
      </c>
      <c r="H1980" s="4" t="s">
        <v>25</v>
      </c>
      <c r="I1980" s="5">
        <v>44774</v>
      </c>
      <c r="J1980" s="6">
        <v>0</v>
      </c>
      <c r="K1980" s="6">
        <v>0</v>
      </c>
      <c r="L1980" s="6">
        <v>11.07</v>
      </c>
      <c r="M1980" s="6">
        <v>11.07</v>
      </c>
      <c r="N1980" s="6">
        <v>11.07</v>
      </c>
      <c r="O1980" s="6">
        <v>11.07</v>
      </c>
      <c r="P1980" s="6">
        <v>13</v>
      </c>
      <c r="Q1980" s="4" t="s">
        <v>26</v>
      </c>
      <c r="R1980" s="4">
        <v>0</v>
      </c>
      <c r="S1980" s="6">
        <v>0</v>
      </c>
      <c r="T1980" s="6">
        <v>67</v>
      </c>
      <c r="U1980" s="6">
        <v>111</v>
      </c>
      <c r="V1980" s="6">
        <f>IF(ISERROR(VLOOKUP($S$1980,'TAR FIN'!$A$1:$O$115,15,0)),0,VLOOKUP($S$1980,'TAR FIN'!$A$1:$O$115,15,0))</f>
        <v>0</v>
      </c>
      <c r="W1980" s="6">
        <f>IF(ISERROR(VLOOKUP($T$1980,'TAR FIN'!$A$1:$O$115,15,0)),0,VLOOKUP($T$1980,'TAR FIN'!$A$1:$O$115,15,0))</f>
        <v>463.6</v>
      </c>
      <c r="X1980" s="6">
        <f>IF(ISERROR(VLOOKUP($U$1980,'TAR FIN'!$A$1:$O$115,15,0)),0,VLOOKUP($U$1980,'TAR FIN'!$A$1:$O$115,15,0))</f>
        <v>176.58</v>
      </c>
      <c r="Y1980" s="6"/>
      <c r="Z1980" s="6">
        <f ca="1">('TUSD BE'!$AM$65+'TUSD BF'!$AM$65+'TUSD CVA'!$AM$65)*1</f>
        <v>502.21976924570083</v>
      </c>
      <c r="AA1980" s="6">
        <f>('TE BE'!$AB$48+'TE BF'!$AB$48+'TE CVA'!$AB$48)*1</f>
        <v>230.68197444058345</v>
      </c>
      <c r="AB1980" s="6">
        <f>$K$1980*$V$1980</f>
        <v>0</v>
      </c>
      <c r="AC1980" s="6">
        <f>$M$1980*$W$1980</f>
        <v>5132.0520000000006</v>
      </c>
      <c r="AD1980" s="6">
        <f>$O$1980*$X$1980</f>
        <v>1954.7406000000001</v>
      </c>
      <c r="AE1980" s="6">
        <f>$K$1980*$Y$1980</f>
        <v>0</v>
      </c>
      <c r="AF1980" s="6">
        <f ca="1">$M$1980*$Z$1980</f>
        <v>5559.5728455499084</v>
      </c>
      <c r="AG1980" s="6">
        <f>$O$1980*$AA$1980</f>
        <v>2553.6494570572586</v>
      </c>
    </row>
    <row r="1981" spans="1:33" ht="11.25" customHeight="1" x14ac:dyDescent="0.25">
      <c r="A1981" s="4" t="s">
        <v>21</v>
      </c>
      <c r="B1981" s="4" t="s">
        <v>39</v>
      </c>
      <c r="C1981" s="4" t="s">
        <v>23</v>
      </c>
      <c r="D1981" s="4" t="s">
        <v>40</v>
      </c>
      <c r="E1981" s="4" t="s">
        <v>25</v>
      </c>
      <c r="F1981" s="4" t="s">
        <v>25</v>
      </c>
      <c r="G1981" s="4" t="s">
        <v>25</v>
      </c>
      <c r="H1981" s="4" t="s">
        <v>25</v>
      </c>
      <c r="I1981" s="5">
        <v>44805</v>
      </c>
      <c r="J1981" s="6">
        <v>0</v>
      </c>
      <c r="K1981" s="6">
        <v>0</v>
      </c>
      <c r="L1981" s="6">
        <v>301.15699999999998</v>
      </c>
      <c r="M1981" s="6">
        <v>301.15699999999998</v>
      </c>
      <c r="N1981" s="6">
        <v>301.15699999999998</v>
      </c>
      <c r="O1981" s="6">
        <v>301.15699999999998</v>
      </c>
      <c r="P1981" s="6">
        <v>139</v>
      </c>
      <c r="Q1981" s="4" t="s">
        <v>26</v>
      </c>
      <c r="R1981" s="4">
        <v>0</v>
      </c>
      <c r="S1981" s="6">
        <v>0</v>
      </c>
      <c r="T1981" s="6">
        <v>67</v>
      </c>
      <c r="U1981" s="6">
        <v>111</v>
      </c>
      <c r="V1981" s="6">
        <f>IF(ISERROR(VLOOKUP($S$1981,'TAR FIN'!$A$1:$O$115,15,0)),0,VLOOKUP($S$1981,'TAR FIN'!$A$1:$O$115,15,0))</f>
        <v>0</v>
      </c>
      <c r="W1981" s="6">
        <f>IF(ISERROR(VLOOKUP($T$1981,'TAR FIN'!$A$1:$O$115,15,0)),0,VLOOKUP($T$1981,'TAR FIN'!$A$1:$O$115,15,0))</f>
        <v>463.6</v>
      </c>
      <c r="X1981" s="6">
        <f>IF(ISERROR(VLOOKUP($U$1981,'TAR FIN'!$A$1:$O$115,15,0)),0,VLOOKUP($U$1981,'TAR FIN'!$A$1:$O$115,15,0))</f>
        <v>176.58</v>
      </c>
      <c r="Y1981" s="6"/>
      <c r="Z1981" s="6">
        <f ca="1">('TUSD BE'!$AM$65+'TUSD BF'!$AM$65+'TUSD CVA'!$AM$65)*1</f>
        <v>502.21976924570083</v>
      </c>
      <c r="AA1981" s="6">
        <f>('TE BE'!$AB$48+'TE BF'!$AB$48+'TE CVA'!$AB$48)*1</f>
        <v>230.68197444058345</v>
      </c>
      <c r="AB1981" s="6">
        <f>$K$1981*$V$1981</f>
        <v>0</v>
      </c>
      <c r="AC1981" s="6">
        <f>$M$1981*$W$1981</f>
        <v>139616.38519999999</v>
      </c>
      <c r="AD1981" s="6">
        <f>$O$1981*$X$1981</f>
        <v>53178.303059999998</v>
      </c>
      <c r="AE1981" s="6">
        <f>$K$1981*$Y$1981</f>
        <v>0</v>
      </c>
      <c r="AF1981" s="6">
        <f ca="1">$M$1981*$Z$1981</f>
        <v>151246.99904672752</v>
      </c>
      <c r="AG1981" s="6">
        <f>$O$1981*$AA$1981</f>
        <v>69471.491376602789</v>
      </c>
    </row>
    <row r="1982" spans="1:33" ht="11.25" customHeight="1" x14ac:dyDescent="0.25">
      <c r="A1982" s="4" t="s">
        <v>28</v>
      </c>
      <c r="B1982" s="4" t="s">
        <v>39</v>
      </c>
      <c r="C1982" s="4" t="s">
        <v>23</v>
      </c>
      <c r="D1982" s="4" t="s">
        <v>40</v>
      </c>
      <c r="E1982" s="4" t="s">
        <v>25</v>
      </c>
      <c r="F1982" s="4" t="s">
        <v>25</v>
      </c>
      <c r="G1982" s="4" t="s">
        <v>25</v>
      </c>
      <c r="H1982" s="4" t="s">
        <v>25</v>
      </c>
      <c r="I1982" s="5">
        <v>44805</v>
      </c>
      <c r="J1982" s="6">
        <v>0</v>
      </c>
      <c r="K1982" s="6">
        <v>0</v>
      </c>
      <c r="L1982" s="6">
        <v>66.947999999999993</v>
      </c>
      <c r="M1982" s="6">
        <v>66.947999999999993</v>
      </c>
      <c r="N1982" s="6">
        <v>66.947999999999993</v>
      </c>
      <c r="O1982" s="6">
        <v>66.947999999999993</v>
      </c>
      <c r="P1982" s="6">
        <v>43</v>
      </c>
      <c r="Q1982" s="4" t="s">
        <v>26</v>
      </c>
      <c r="R1982" s="4">
        <v>0</v>
      </c>
      <c r="S1982" s="6">
        <v>0</v>
      </c>
      <c r="T1982" s="6">
        <v>67</v>
      </c>
      <c r="U1982" s="6">
        <v>111</v>
      </c>
      <c r="V1982" s="6">
        <f>IF(ISERROR(VLOOKUP($S$1982,'TAR FIN'!$A$1:$O$115,15,0)),0,VLOOKUP($S$1982,'TAR FIN'!$A$1:$O$115,15,0))</f>
        <v>0</v>
      </c>
      <c r="W1982" s="6">
        <f>IF(ISERROR(VLOOKUP($T$1982,'TAR FIN'!$A$1:$O$115,15,0)),0,VLOOKUP($T$1982,'TAR FIN'!$A$1:$O$115,15,0))</f>
        <v>463.6</v>
      </c>
      <c r="X1982" s="6">
        <f>IF(ISERROR(VLOOKUP($U$1982,'TAR FIN'!$A$1:$O$115,15,0)),0,VLOOKUP($U$1982,'TAR FIN'!$A$1:$O$115,15,0))</f>
        <v>176.58</v>
      </c>
      <c r="Y1982" s="6"/>
      <c r="Z1982" s="6">
        <f ca="1">('TUSD BE'!$AM$65+'TUSD BF'!$AM$65+'TUSD CVA'!$AM$65)*1</f>
        <v>502.21976924570083</v>
      </c>
      <c r="AA1982" s="6">
        <f>('TE BE'!$AB$48+'TE BF'!$AB$48+'TE CVA'!$AB$48)*1</f>
        <v>230.68197444058345</v>
      </c>
      <c r="AB1982" s="6">
        <f>$K$1982*$V$1982</f>
        <v>0</v>
      </c>
      <c r="AC1982" s="6">
        <f>$M$1982*$W$1982</f>
        <v>31037.092799999999</v>
      </c>
      <c r="AD1982" s="6">
        <f>$O$1982*$X$1982</f>
        <v>11821.67784</v>
      </c>
      <c r="AE1982" s="6">
        <f>$K$1982*$Y$1982</f>
        <v>0</v>
      </c>
      <c r="AF1982" s="6">
        <f ca="1">$M$1982*$Z$1982</f>
        <v>33622.609111461177</v>
      </c>
      <c r="AG1982" s="6">
        <f>$O$1982*$AA$1982</f>
        <v>15443.696824848179</v>
      </c>
    </row>
    <row r="1983" spans="1:33" ht="11.25" customHeight="1" x14ac:dyDescent="0.25">
      <c r="A1983" s="4" t="s">
        <v>30</v>
      </c>
      <c r="B1983" s="4" t="s">
        <v>39</v>
      </c>
      <c r="C1983" s="4" t="s">
        <v>23</v>
      </c>
      <c r="D1983" s="4" t="s">
        <v>40</v>
      </c>
      <c r="E1983" s="4" t="s">
        <v>25</v>
      </c>
      <c r="F1983" s="4" t="s">
        <v>25</v>
      </c>
      <c r="G1983" s="4" t="s">
        <v>25</v>
      </c>
      <c r="H1983" s="4" t="s">
        <v>25</v>
      </c>
      <c r="I1983" s="5">
        <v>44805</v>
      </c>
      <c r="J1983" s="6">
        <v>0</v>
      </c>
      <c r="K1983" s="6">
        <v>0</v>
      </c>
      <c r="L1983" s="6">
        <v>8.2149999999999999</v>
      </c>
      <c r="M1983" s="6">
        <v>8.2149999999999999</v>
      </c>
      <c r="N1983" s="6">
        <v>8.2149999999999999</v>
      </c>
      <c r="O1983" s="6">
        <v>8.2149999999999999</v>
      </c>
      <c r="P1983" s="6">
        <v>13</v>
      </c>
      <c r="Q1983" s="4" t="s">
        <v>26</v>
      </c>
      <c r="R1983" s="4">
        <v>0</v>
      </c>
      <c r="S1983" s="6">
        <v>0</v>
      </c>
      <c r="T1983" s="6">
        <v>67</v>
      </c>
      <c r="U1983" s="6">
        <v>111</v>
      </c>
      <c r="V1983" s="6">
        <f>IF(ISERROR(VLOOKUP($S$1983,'TAR FIN'!$A$1:$O$115,15,0)),0,VLOOKUP($S$1983,'TAR FIN'!$A$1:$O$115,15,0))</f>
        <v>0</v>
      </c>
      <c r="W1983" s="6">
        <f>IF(ISERROR(VLOOKUP($T$1983,'TAR FIN'!$A$1:$O$115,15,0)),0,VLOOKUP($T$1983,'TAR FIN'!$A$1:$O$115,15,0))</f>
        <v>463.6</v>
      </c>
      <c r="X1983" s="6">
        <f>IF(ISERROR(VLOOKUP($U$1983,'TAR FIN'!$A$1:$O$115,15,0)),0,VLOOKUP($U$1983,'TAR FIN'!$A$1:$O$115,15,0))</f>
        <v>176.58</v>
      </c>
      <c r="Y1983" s="6"/>
      <c r="Z1983" s="6">
        <f ca="1">('TUSD BE'!$AM$65+'TUSD BF'!$AM$65+'TUSD CVA'!$AM$65)*1</f>
        <v>502.21976924570083</v>
      </c>
      <c r="AA1983" s="6">
        <f>('TE BE'!$AB$48+'TE BF'!$AB$48+'TE CVA'!$AB$48)*1</f>
        <v>230.68197444058345</v>
      </c>
      <c r="AB1983" s="6">
        <f>$K$1983*$V$1983</f>
        <v>0</v>
      </c>
      <c r="AC1983" s="6">
        <f>$M$1983*$W$1983</f>
        <v>3808.4740000000002</v>
      </c>
      <c r="AD1983" s="6">
        <f>$O$1983*$X$1983</f>
        <v>1450.6047000000001</v>
      </c>
      <c r="AE1983" s="6">
        <f>$K$1983*$Y$1983</f>
        <v>0</v>
      </c>
      <c r="AF1983" s="6">
        <f ca="1">$M$1983*$Z$1983</f>
        <v>4125.7354043534324</v>
      </c>
      <c r="AG1983" s="6">
        <f>$O$1983*$AA$1983</f>
        <v>1895.052420029393</v>
      </c>
    </row>
    <row r="1984" spans="1:33" ht="11.25" customHeight="1" x14ac:dyDescent="0.25">
      <c r="A1984" s="4" t="s">
        <v>30</v>
      </c>
      <c r="B1984" s="4" t="s">
        <v>39</v>
      </c>
      <c r="C1984" s="4" t="s">
        <v>23</v>
      </c>
      <c r="D1984" s="4" t="s">
        <v>40</v>
      </c>
      <c r="E1984" s="4" t="s">
        <v>25</v>
      </c>
      <c r="F1984" s="4" t="s">
        <v>25</v>
      </c>
      <c r="G1984" s="4" t="s">
        <v>25</v>
      </c>
      <c r="H1984" s="4" t="s">
        <v>25</v>
      </c>
      <c r="I1984" s="5">
        <v>44805</v>
      </c>
      <c r="J1984" s="6">
        <v>0</v>
      </c>
      <c r="K1984" s="6">
        <v>0</v>
      </c>
      <c r="L1984" s="6">
        <v>2.2669999999999999</v>
      </c>
      <c r="M1984" s="6">
        <v>2.2669999999999999</v>
      </c>
      <c r="N1984" s="6">
        <v>2.2669999999999999</v>
      </c>
      <c r="O1984" s="6">
        <v>2.2669999999999999</v>
      </c>
      <c r="P1984" s="6">
        <v>0</v>
      </c>
      <c r="Q1984" s="4" t="s">
        <v>26</v>
      </c>
      <c r="R1984" s="4">
        <v>0</v>
      </c>
      <c r="S1984" s="6">
        <v>0</v>
      </c>
      <c r="T1984" s="6">
        <v>67</v>
      </c>
      <c r="U1984" s="6">
        <v>111</v>
      </c>
      <c r="V1984" s="6">
        <f>IF(ISERROR(VLOOKUP($S$1984,'TAR FIN'!$A$1:$O$115,15,0)),0,VLOOKUP($S$1984,'TAR FIN'!$A$1:$O$115,15,0))</f>
        <v>0</v>
      </c>
      <c r="W1984" s="6">
        <f>IF(ISERROR(VLOOKUP($T$1984,'TAR FIN'!$A$1:$O$115,15,0)),0,VLOOKUP($T$1984,'TAR FIN'!$A$1:$O$115,15,0))</f>
        <v>463.6</v>
      </c>
      <c r="X1984" s="6">
        <f>IF(ISERROR(VLOOKUP($U$1984,'TAR FIN'!$A$1:$O$115,15,0)),0,VLOOKUP($U$1984,'TAR FIN'!$A$1:$O$115,15,0))</f>
        <v>176.58</v>
      </c>
      <c r="Y1984" s="6"/>
      <c r="Z1984" s="6">
        <f ca="1">('TUSD BE'!$AM$65+'TUSD BF'!$AM$65+'TUSD CVA'!$AM$65)*1</f>
        <v>502.21976924570083</v>
      </c>
      <c r="AA1984" s="6">
        <f>('TE BE'!$AB$48+'TE BF'!$AB$48+'TE CVA'!$AB$48)*1</f>
        <v>230.68197444058345</v>
      </c>
      <c r="AB1984" s="6">
        <f>$K$1984*$V$1984</f>
        <v>0</v>
      </c>
      <c r="AC1984" s="6">
        <f>$M$1984*$W$1984</f>
        <v>1050.9811999999999</v>
      </c>
      <c r="AD1984" s="6">
        <f>$O$1984*$X$1984</f>
        <v>400.30686000000003</v>
      </c>
      <c r="AE1984" s="6">
        <f>$K$1984*$Y$1984</f>
        <v>0</v>
      </c>
      <c r="AF1984" s="6">
        <f ca="1">$M$1984*$Z$1984</f>
        <v>1138.5322168800037</v>
      </c>
      <c r="AG1984" s="6">
        <f>$O$1984*$AA$1984</f>
        <v>522.95603605680265</v>
      </c>
    </row>
    <row r="1985" spans="1:33" ht="11.25" customHeight="1" x14ac:dyDescent="0.25">
      <c r="A1985" s="4" t="s">
        <v>21</v>
      </c>
      <c r="B1985" s="4" t="s">
        <v>39</v>
      </c>
      <c r="C1985" s="4" t="s">
        <v>23</v>
      </c>
      <c r="D1985" s="4" t="s">
        <v>40</v>
      </c>
      <c r="E1985" s="4" t="s">
        <v>25</v>
      </c>
      <c r="F1985" s="4" t="s">
        <v>25</v>
      </c>
      <c r="G1985" s="4" t="s">
        <v>25</v>
      </c>
      <c r="H1985" s="4" t="s">
        <v>25</v>
      </c>
      <c r="I1985" s="5">
        <v>44835</v>
      </c>
      <c r="J1985" s="6">
        <v>0</v>
      </c>
      <c r="K1985" s="6">
        <v>0</v>
      </c>
      <c r="L1985" s="6">
        <v>274.10199999999998</v>
      </c>
      <c r="M1985" s="6">
        <v>274.10199999999998</v>
      </c>
      <c r="N1985" s="6">
        <v>274.10199999999998</v>
      </c>
      <c r="O1985" s="6">
        <v>274.10199999999998</v>
      </c>
      <c r="P1985" s="6">
        <v>136</v>
      </c>
      <c r="Q1985" s="4" t="s">
        <v>26</v>
      </c>
      <c r="R1985" s="4">
        <v>0</v>
      </c>
      <c r="S1985" s="6">
        <v>0</v>
      </c>
      <c r="T1985" s="6">
        <v>67</v>
      </c>
      <c r="U1985" s="6">
        <v>111</v>
      </c>
      <c r="V1985" s="6">
        <f>IF(ISERROR(VLOOKUP($S$1985,'TAR FIN'!$A$1:$O$115,15,0)),0,VLOOKUP($S$1985,'TAR FIN'!$A$1:$O$115,15,0))</f>
        <v>0</v>
      </c>
      <c r="W1985" s="6">
        <f>IF(ISERROR(VLOOKUP($T$1985,'TAR FIN'!$A$1:$O$115,15,0)),0,VLOOKUP($T$1985,'TAR FIN'!$A$1:$O$115,15,0))</f>
        <v>463.6</v>
      </c>
      <c r="X1985" s="6">
        <f>IF(ISERROR(VLOOKUP($U$1985,'TAR FIN'!$A$1:$O$115,15,0)),0,VLOOKUP($U$1985,'TAR FIN'!$A$1:$O$115,15,0))</f>
        <v>176.58</v>
      </c>
      <c r="Y1985" s="6"/>
      <c r="Z1985" s="6">
        <f ca="1">('TUSD BE'!$AM$65+'TUSD BF'!$AM$65+'TUSD CVA'!$AM$65)*1</f>
        <v>502.21976924570083</v>
      </c>
      <c r="AA1985" s="6">
        <f>('TE BE'!$AB$48+'TE BF'!$AB$48+'TE CVA'!$AB$48)*1</f>
        <v>230.68197444058345</v>
      </c>
      <c r="AB1985" s="6">
        <f>$K$1985*$V$1985</f>
        <v>0</v>
      </c>
      <c r="AC1985" s="6">
        <f>$M$1985*$W$1985</f>
        <v>127073.6872</v>
      </c>
      <c r="AD1985" s="6">
        <f>$O$1985*$X$1985</f>
        <v>48400.93116</v>
      </c>
      <c r="AE1985" s="6">
        <f>$K$1985*$Y$1985</f>
        <v>0</v>
      </c>
      <c r="AF1985" s="6">
        <f ca="1">$M$1985*$Z$1985</f>
        <v>137659.44318978509</v>
      </c>
      <c r="AG1985" s="6">
        <f>$O$1985*$AA$1985</f>
        <v>63230.390558112798</v>
      </c>
    </row>
    <row r="1986" spans="1:33" ht="11.25" customHeight="1" x14ac:dyDescent="0.25">
      <c r="A1986" s="4" t="s">
        <v>27</v>
      </c>
      <c r="B1986" s="4" t="s">
        <v>39</v>
      </c>
      <c r="C1986" s="4" t="s">
        <v>23</v>
      </c>
      <c r="D1986" s="4" t="s">
        <v>40</v>
      </c>
      <c r="E1986" s="4" t="s">
        <v>25</v>
      </c>
      <c r="F1986" s="4" t="s">
        <v>25</v>
      </c>
      <c r="G1986" s="4" t="s">
        <v>25</v>
      </c>
      <c r="H1986" s="4" t="s">
        <v>25</v>
      </c>
      <c r="I1986" s="5">
        <v>44835</v>
      </c>
      <c r="J1986" s="6">
        <v>0</v>
      </c>
      <c r="K1986" s="6">
        <v>0</v>
      </c>
      <c r="L1986" s="6">
        <v>-2.3479999999999999</v>
      </c>
      <c r="M1986" s="6">
        <v>-2.3479999999999999</v>
      </c>
      <c r="N1986" s="6">
        <v>-2.3479999999999999</v>
      </c>
      <c r="O1986" s="6">
        <v>-2.3479999999999999</v>
      </c>
      <c r="P1986" s="6">
        <v>-1</v>
      </c>
      <c r="Q1986" s="4" t="s">
        <v>26</v>
      </c>
      <c r="R1986" s="4">
        <v>0</v>
      </c>
      <c r="S1986" s="6">
        <v>0</v>
      </c>
      <c r="T1986" s="6">
        <v>67</v>
      </c>
      <c r="U1986" s="6">
        <v>111</v>
      </c>
      <c r="V1986" s="6">
        <f>IF(ISERROR(VLOOKUP($S$1986,'TAR FIN'!$A$1:$O$115,15,0)),0,VLOOKUP($S$1986,'TAR FIN'!$A$1:$O$115,15,0))</f>
        <v>0</v>
      </c>
      <c r="W1986" s="6">
        <f>IF(ISERROR(VLOOKUP($T$1986,'TAR FIN'!$A$1:$O$115,15,0)),0,VLOOKUP($T$1986,'TAR FIN'!$A$1:$O$115,15,0))</f>
        <v>463.6</v>
      </c>
      <c r="X1986" s="6">
        <f>IF(ISERROR(VLOOKUP($U$1986,'TAR FIN'!$A$1:$O$115,15,0)),0,VLOOKUP($U$1986,'TAR FIN'!$A$1:$O$115,15,0))</f>
        <v>176.58</v>
      </c>
      <c r="Y1986" s="6"/>
      <c r="Z1986" s="6">
        <f ca="1">('TUSD BE'!$AM$65+'TUSD BF'!$AM$65+'TUSD CVA'!$AM$65)*1</f>
        <v>502.21976924570083</v>
      </c>
      <c r="AA1986" s="6">
        <f>('TE BE'!$AB$48+'TE BF'!$AB$48+'TE CVA'!$AB$48)*1</f>
        <v>230.68197444058345</v>
      </c>
      <c r="AB1986" s="6">
        <f>$K$1986*$V$1986</f>
        <v>0</v>
      </c>
      <c r="AC1986" s="6">
        <f>$M$1986*$W$1986</f>
        <v>-1088.5328</v>
      </c>
      <c r="AD1986" s="6">
        <f>$O$1986*$X$1986</f>
        <v>-414.60984000000002</v>
      </c>
      <c r="AE1986" s="6">
        <f>$K$1986*$Y$1986</f>
        <v>0</v>
      </c>
      <c r="AF1986" s="6">
        <f ca="1">$M$1986*$Z$1986</f>
        <v>-1179.2120181889054</v>
      </c>
      <c r="AG1986" s="6">
        <f>$O$1986*$AA$1986</f>
        <v>-541.64127598648986</v>
      </c>
    </row>
    <row r="1987" spans="1:33" ht="11.25" customHeight="1" x14ac:dyDescent="0.25">
      <c r="A1987" s="4" t="s">
        <v>28</v>
      </c>
      <c r="B1987" s="4" t="s">
        <v>39</v>
      </c>
      <c r="C1987" s="4" t="s">
        <v>23</v>
      </c>
      <c r="D1987" s="4" t="s">
        <v>40</v>
      </c>
      <c r="E1987" s="4" t="s">
        <v>25</v>
      </c>
      <c r="F1987" s="4" t="s">
        <v>25</v>
      </c>
      <c r="G1987" s="4" t="s">
        <v>25</v>
      </c>
      <c r="H1987" s="4" t="s">
        <v>25</v>
      </c>
      <c r="I1987" s="5">
        <v>44835</v>
      </c>
      <c r="J1987" s="6">
        <v>0</v>
      </c>
      <c r="K1987" s="6">
        <v>0</v>
      </c>
      <c r="L1987" s="6">
        <v>83.93</v>
      </c>
      <c r="M1987" s="6">
        <v>83.93</v>
      </c>
      <c r="N1987" s="6">
        <v>83.93</v>
      </c>
      <c r="O1987" s="6">
        <v>83.93</v>
      </c>
      <c r="P1987" s="6">
        <v>40</v>
      </c>
      <c r="Q1987" s="4" t="s">
        <v>26</v>
      </c>
      <c r="R1987" s="4">
        <v>0</v>
      </c>
      <c r="S1987" s="6">
        <v>0</v>
      </c>
      <c r="T1987" s="6">
        <v>67</v>
      </c>
      <c r="U1987" s="6">
        <v>111</v>
      </c>
      <c r="V1987" s="6">
        <f>IF(ISERROR(VLOOKUP($S$1987,'TAR FIN'!$A$1:$O$115,15,0)),0,VLOOKUP($S$1987,'TAR FIN'!$A$1:$O$115,15,0))</f>
        <v>0</v>
      </c>
      <c r="W1987" s="6">
        <f>IF(ISERROR(VLOOKUP($T$1987,'TAR FIN'!$A$1:$O$115,15,0)),0,VLOOKUP($T$1987,'TAR FIN'!$A$1:$O$115,15,0))</f>
        <v>463.6</v>
      </c>
      <c r="X1987" s="6">
        <f>IF(ISERROR(VLOOKUP($U$1987,'TAR FIN'!$A$1:$O$115,15,0)),0,VLOOKUP($U$1987,'TAR FIN'!$A$1:$O$115,15,0))</f>
        <v>176.58</v>
      </c>
      <c r="Y1987" s="6"/>
      <c r="Z1987" s="6">
        <f ca="1">('TUSD BE'!$AM$65+'TUSD BF'!$AM$65+'TUSD CVA'!$AM$65)*1</f>
        <v>502.21976924570083</v>
      </c>
      <c r="AA1987" s="6">
        <f>('TE BE'!$AB$48+'TE BF'!$AB$48+'TE CVA'!$AB$48)*1</f>
        <v>230.68197444058345</v>
      </c>
      <c r="AB1987" s="6">
        <f>$K$1987*$V$1987</f>
        <v>0</v>
      </c>
      <c r="AC1987" s="6">
        <f>$M$1987*$W$1987</f>
        <v>38909.948000000004</v>
      </c>
      <c r="AD1987" s="6">
        <f>$O$1987*$X$1987</f>
        <v>14820.359400000003</v>
      </c>
      <c r="AE1987" s="6">
        <f>$K$1987*$Y$1987</f>
        <v>0</v>
      </c>
      <c r="AF1987" s="6">
        <f ca="1">$M$1987*$Z$1987</f>
        <v>42151.305232791674</v>
      </c>
      <c r="AG1987" s="6">
        <f>$O$1987*$AA$1987</f>
        <v>19361.13811479817</v>
      </c>
    </row>
    <row r="1988" spans="1:33" ht="11.25" customHeight="1" x14ac:dyDescent="0.25">
      <c r="A1988" s="4" t="s">
        <v>30</v>
      </c>
      <c r="B1988" s="4" t="s">
        <v>39</v>
      </c>
      <c r="C1988" s="4" t="s">
        <v>23</v>
      </c>
      <c r="D1988" s="4" t="s">
        <v>40</v>
      </c>
      <c r="E1988" s="4" t="s">
        <v>25</v>
      </c>
      <c r="F1988" s="4" t="s">
        <v>25</v>
      </c>
      <c r="G1988" s="4" t="s">
        <v>25</v>
      </c>
      <c r="H1988" s="4" t="s">
        <v>25</v>
      </c>
      <c r="I1988" s="5">
        <v>44835</v>
      </c>
      <c r="J1988" s="6">
        <v>0</v>
      </c>
      <c r="K1988" s="6">
        <v>0</v>
      </c>
      <c r="L1988" s="6">
        <v>11.15</v>
      </c>
      <c r="M1988" s="6">
        <v>11.15</v>
      </c>
      <c r="N1988" s="6">
        <v>11.15</v>
      </c>
      <c r="O1988" s="6">
        <v>11.15</v>
      </c>
      <c r="P1988" s="6">
        <v>13</v>
      </c>
      <c r="Q1988" s="4" t="s">
        <v>26</v>
      </c>
      <c r="R1988" s="4">
        <v>0</v>
      </c>
      <c r="S1988" s="6">
        <v>0</v>
      </c>
      <c r="T1988" s="6">
        <v>67</v>
      </c>
      <c r="U1988" s="6">
        <v>111</v>
      </c>
      <c r="V1988" s="6">
        <f>IF(ISERROR(VLOOKUP($S$1988,'TAR FIN'!$A$1:$O$115,15,0)),0,VLOOKUP($S$1988,'TAR FIN'!$A$1:$O$115,15,0))</f>
        <v>0</v>
      </c>
      <c r="W1988" s="6">
        <f>IF(ISERROR(VLOOKUP($T$1988,'TAR FIN'!$A$1:$O$115,15,0)),0,VLOOKUP($T$1988,'TAR FIN'!$A$1:$O$115,15,0))</f>
        <v>463.6</v>
      </c>
      <c r="X1988" s="6">
        <f>IF(ISERROR(VLOOKUP($U$1988,'TAR FIN'!$A$1:$O$115,15,0)),0,VLOOKUP($U$1988,'TAR FIN'!$A$1:$O$115,15,0))</f>
        <v>176.58</v>
      </c>
      <c r="Y1988" s="6"/>
      <c r="Z1988" s="6">
        <f ca="1">('TUSD BE'!$AM$65+'TUSD BF'!$AM$65+'TUSD CVA'!$AM$65)*1</f>
        <v>502.21976924570083</v>
      </c>
      <c r="AA1988" s="6">
        <f>('TE BE'!$AB$48+'TE BF'!$AB$48+'TE CVA'!$AB$48)*1</f>
        <v>230.68197444058345</v>
      </c>
      <c r="AB1988" s="6">
        <f>$K$1988*$V$1988</f>
        <v>0</v>
      </c>
      <c r="AC1988" s="6">
        <f>$M$1988*$W$1988</f>
        <v>5169.1400000000003</v>
      </c>
      <c r="AD1988" s="6">
        <f>$O$1988*$X$1988</f>
        <v>1968.8670000000002</v>
      </c>
      <c r="AE1988" s="6">
        <f>$K$1988*$Y$1988</f>
        <v>0</v>
      </c>
      <c r="AF1988" s="6">
        <f ca="1">$M$1988*$Z$1988</f>
        <v>5599.7504270895643</v>
      </c>
      <c r="AG1988" s="6">
        <f>$O$1988*$AA$1988</f>
        <v>2572.1040150125054</v>
      </c>
    </row>
    <row r="1989" spans="1:33" ht="11.25" customHeight="1" x14ac:dyDescent="0.25">
      <c r="A1989" s="4" t="s">
        <v>59</v>
      </c>
      <c r="B1989" s="4" t="s">
        <v>39</v>
      </c>
      <c r="C1989" s="4" t="s">
        <v>23</v>
      </c>
      <c r="D1989" s="4" t="s">
        <v>40</v>
      </c>
      <c r="E1989" s="4" t="s">
        <v>25</v>
      </c>
      <c r="F1989" s="4" t="s">
        <v>25</v>
      </c>
      <c r="G1989" s="4" t="s">
        <v>25</v>
      </c>
      <c r="H1989" s="4" t="s">
        <v>25</v>
      </c>
      <c r="I1989" s="5">
        <v>44866</v>
      </c>
      <c r="J1989" s="6">
        <v>0</v>
      </c>
      <c r="K1989" s="6">
        <v>0</v>
      </c>
      <c r="L1989" s="6">
        <v>274.10199999999998</v>
      </c>
      <c r="M1989" s="6">
        <v>274.10199999999998</v>
      </c>
      <c r="N1989" s="6">
        <v>274.10199999999998</v>
      </c>
      <c r="O1989" s="6">
        <v>274.10199999999998</v>
      </c>
      <c r="P1989" s="6">
        <v>136</v>
      </c>
      <c r="Q1989" s="4" t="s">
        <v>26</v>
      </c>
      <c r="R1989" s="4">
        <v>0</v>
      </c>
      <c r="S1989" s="6">
        <v>0</v>
      </c>
      <c r="T1989" s="6">
        <v>67</v>
      </c>
      <c r="U1989" s="6">
        <v>111</v>
      </c>
      <c r="V1989" s="6">
        <f>IF(ISERROR(VLOOKUP($S$1989,'TAR FIN'!$A$1:$O$115,15,0)),0,VLOOKUP($S$1989,'TAR FIN'!$A$1:$O$115,15,0))</f>
        <v>0</v>
      </c>
      <c r="W1989" s="6">
        <f>IF(ISERROR(VLOOKUP($T$1989,'TAR FIN'!$A$1:$O$115,15,0)),0,VLOOKUP($T$1989,'TAR FIN'!$A$1:$O$115,15,0))</f>
        <v>463.6</v>
      </c>
      <c r="X1989" s="6">
        <f>IF(ISERROR(VLOOKUP($U$1989,'TAR FIN'!$A$1:$O$115,15,0)),0,VLOOKUP($U$1989,'TAR FIN'!$A$1:$O$115,15,0))</f>
        <v>176.58</v>
      </c>
      <c r="Y1989" s="6"/>
      <c r="Z1989" s="6">
        <f ca="1">('TUSD BE'!$AM$65+'TUSD BF'!$AM$65+'TUSD CVA'!$AM$65)*1</f>
        <v>502.21976924570083</v>
      </c>
      <c r="AA1989" s="6">
        <f>('TE BE'!$AB$48+'TE BF'!$AB$48+'TE CVA'!$AB$48)*1</f>
        <v>230.68197444058345</v>
      </c>
      <c r="AB1989" s="6">
        <f>$K$1989*$V$1989</f>
        <v>0</v>
      </c>
      <c r="AC1989" s="6">
        <f>$M$1989*$W$1989</f>
        <v>127073.6872</v>
      </c>
      <c r="AD1989" s="6">
        <f>$O$1989*$X$1989</f>
        <v>48400.93116</v>
      </c>
      <c r="AE1989" s="6">
        <f>$K$1989*$Y$1989</f>
        <v>0</v>
      </c>
      <c r="AF1989" s="6">
        <f ca="1">$M$1989*$Z$1989</f>
        <v>137659.44318978509</v>
      </c>
      <c r="AG1989" s="6">
        <f>$O$1989*$AA$1989</f>
        <v>63230.390558112798</v>
      </c>
    </row>
    <row r="1990" spans="1:33" ht="11.25" customHeight="1" x14ac:dyDescent="0.25">
      <c r="A1990" s="4" t="s">
        <v>59</v>
      </c>
      <c r="B1990" s="4" t="s">
        <v>39</v>
      </c>
      <c r="C1990" s="4" t="s">
        <v>23</v>
      </c>
      <c r="D1990" s="4" t="s">
        <v>40</v>
      </c>
      <c r="E1990" s="4" t="s">
        <v>25</v>
      </c>
      <c r="F1990" s="4" t="s">
        <v>25</v>
      </c>
      <c r="G1990" s="4" t="s">
        <v>25</v>
      </c>
      <c r="H1990" s="4" t="s">
        <v>25</v>
      </c>
      <c r="I1990" s="5">
        <v>44866</v>
      </c>
      <c r="J1990" s="6">
        <v>0</v>
      </c>
      <c r="K1990" s="6">
        <v>0</v>
      </c>
      <c r="L1990" s="6">
        <v>-2.3479999999999999</v>
      </c>
      <c r="M1990" s="6">
        <v>-2.3479999999999999</v>
      </c>
      <c r="N1990" s="6">
        <v>-2.3479999999999999</v>
      </c>
      <c r="O1990" s="6">
        <v>-2.3479999999999999</v>
      </c>
      <c r="P1990" s="6">
        <v>-1</v>
      </c>
      <c r="Q1990" s="4" t="s">
        <v>26</v>
      </c>
      <c r="R1990" s="4">
        <v>0</v>
      </c>
      <c r="S1990" s="6">
        <v>0</v>
      </c>
      <c r="T1990" s="6">
        <v>67</v>
      </c>
      <c r="U1990" s="6">
        <v>111</v>
      </c>
      <c r="V1990" s="6">
        <f>IF(ISERROR(VLOOKUP($S$1990,'TAR FIN'!$A$1:$O$115,15,0)),0,VLOOKUP($S$1990,'TAR FIN'!$A$1:$O$115,15,0))</f>
        <v>0</v>
      </c>
      <c r="W1990" s="6">
        <f>IF(ISERROR(VLOOKUP($T$1990,'TAR FIN'!$A$1:$O$115,15,0)),0,VLOOKUP($T$1990,'TAR FIN'!$A$1:$O$115,15,0))</f>
        <v>463.6</v>
      </c>
      <c r="X1990" s="6">
        <f>IF(ISERROR(VLOOKUP($U$1990,'TAR FIN'!$A$1:$O$115,15,0)),0,VLOOKUP($U$1990,'TAR FIN'!$A$1:$O$115,15,0))</f>
        <v>176.58</v>
      </c>
      <c r="Y1990" s="6"/>
      <c r="Z1990" s="6">
        <f ca="1">('TUSD BE'!$AM$65+'TUSD BF'!$AM$65+'TUSD CVA'!$AM$65)*1</f>
        <v>502.21976924570083</v>
      </c>
      <c r="AA1990" s="6">
        <f>('TE BE'!$AB$48+'TE BF'!$AB$48+'TE CVA'!$AB$48)*1</f>
        <v>230.68197444058345</v>
      </c>
      <c r="AB1990" s="6">
        <f>$K$1990*$V$1990</f>
        <v>0</v>
      </c>
      <c r="AC1990" s="6">
        <f>$M$1990*$W$1990</f>
        <v>-1088.5328</v>
      </c>
      <c r="AD1990" s="6">
        <f>$O$1990*$X$1990</f>
        <v>-414.60984000000002</v>
      </c>
      <c r="AE1990" s="6">
        <f>$K$1990*$Y$1990</f>
        <v>0</v>
      </c>
      <c r="AF1990" s="6">
        <f ca="1">$M$1990*$Z$1990</f>
        <v>-1179.2120181889054</v>
      </c>
      <c r="AG1990" s="6">
        <f>$O$1990*$AA$1990</f>
        <v>-541.64127598648986</v>
      </c>
    </row>
    <row r="1991" spans="1:33" ht="11.25" customHeight="1" x14ac:dyDescent="0.25">
      <c r="A1991" s="4" t="s">
        <v>59</v>
      </c>
      <c r="B1991" s="4" t="s">
        <v>39</v>
      </c>
      <c r="C1991" s="4" t="s">
        <v>23</v>
      </c>
      <c r="D1991" s="4" t="s">
        <v>40</v>
      </c>
      <c r="E1991" s="4" t="s">
        <v>25</v>
      </c>
      <c r="F1991" s="4" t="s">
        <v>25</v>
      </c>
      <c r="G1991" s="4" t="s">
        <v>25</v>
      </c>
      <c r="H1991" s="4" t="s">
        <v>25</v>
      </c>
      <c r="I1991" s="5">
        <v>44866</v>
      </c>
      <c r="J1991" s="6">
        <v>0</v>
      </c>
      <c r="K1991" s="6">
        <v>0</v>
      </c>
      <c r="L1991" s="6">
        <v>83.93</v>
      </c>
      <c r="M1991" s="6">
        <v>83.93</v>
      </c>
      <c r="N1991" s="6">
        <v>83.93</v>
      </c>
      <c r="O1991" s="6">
        <v>83.93</v>
      </c>
      <c r="P1991" s="6">
        <v>40</v>
      </c>
      <c r="Q1991" s="4" t="s">
        <v>26</v>
      </c>
      <c r="R1991" s="4">
        <v>0</v>
      </c>
      <c r="S1991" s="6">
        <v>0</v>
      </c>
      <c r="T1991" s="6">
        <v>67</v>
      </c>
      <c r="U1991" s="6">
        <v>111</v>
      </c>
      <c r="V1991" s="6">
        <f>IF(ISERROR(VLOOKUP($S$1991,'TAR FIN'!$A$1:$O$115,15,0)),0,VLOOKUP($S$1991,'TAR FIN'!$A$1:$O$115,15,0))</f>
        <v>0</v>
      </c>
      <c r="W1991" s="6">
        <f>IF(ISERROR(VLOOKUP($T$1991,'TAR FIN'!$A$1:$O$115,15,0)),0,VLOOKUP($T$1991,'TAR FIN'!$A$1:$O$115,15,0))</f>
        <v>463.6</v>
      </c>
      <c r="X1991" s="6">
        <f>IF(ISERROR(VLOOKUP($U$1991,'TAR FIN'!$A$1:$O$115,15,0)),0,VLOOKUP($U$1991,'TAR FIN'!$A$1:$O$115,15,0))</f>
        <v>176.58</v>
      </c>
      <c r="Y1991" s="6"/>
      <c r="Z1991" s="6">
        <f ca="1">('TUSD BE'!$AM$65+'TUSD BF'!$AM$65+'TUSD CVA'!$AM$65)*1</f>
        <v>502.21976924570083</v>
      </c>
      <c r="AA1991" s="6">
        <f>('TE BE'!$AB$48+'TE BF'!$AB$48+'TE CVA'!$AB$48)*1</f>
        <v>230.68197444058345</v>
      </c>
      <c r="AB1991" s="6">
        <f>$K$1991*$V$1991</f>
        <v>0</v>
      </c>
      <c r="AC1991" s="6">
        <f>$M$1991*$W$1991</f>
        <v>38909.948000000004</v>
      </c>
      <c r="AD1991" s="6">
        <f>$O$1991*$X$1991</f>
        <v>14820.359400000003</v>
      </c>
      <c r="AE1991" s="6">
        <f>$K$1991*$Y$1991</f>
        <v>0</v>
      </c>
      <c r="AF1991" s="6">
        <f ca="1">$M$1991*$Z$1991</f>
        <v>42151.305232791674</v>
      </c>
      <c r="AG1991" s="6">
        <f>$O$1991*$AA$1991</f>
        <v>19361.13811479817</v>
      </c>
    </row>
    <row r="1992" spans="1:33" ht="11.25" customHeight="1" x14ac:dyDescent="0.25">
      <c r="A1992" s="4" t="s">
        <v>59</v>
      </c>
      <c r="B1992" s="4" t="s">
        <v>39</v>
      </c>
      <c r="C1992" s="4" t="s">
        <v>23</v>
      </c>
      <c r="D1992" s="4" t="s">
        <v>40</v>
      </c>
      <c r="E1992" s="4" t="s">
        <v>25</v>
      </c>
      <c r="F1992" s="4" t="s">
        <v>25</v>
      </c>
      <c r="G1992" s="4" t="s">
        <v>25</v>
      </c>
      <c r="H1992" s="4" t="s">
        <v>25</v>
      </c>
      <c r="I1992" s="5">
        <v>44866</v>
      </c>
      <c r="J1992" s="6">
        <v>0</v>
      </c>
      <c r="K1992" s="6">
        <v>0</v>
      </c>
      <c r="L1992" s="6">
        <v>11.15</v>
      </c>
      <c r="M1992" s="6">
        <v>11.15</v>
      </c>
      <c r="N1992" s="6">
        <v>11.15</v>
      </c>
      <c r="O1992" s="6">
        <v>11.15</v>
      </c>
      <c r="P1992" s="6">
        <v>13</v>
      </c>
      <c r="Q1992" s="4" t="s">
        <v>26</v>
      </c>
      <c r="R1992" s="4">
        <v>0</v>
      </c>
      <c r="S1992" s="6">
        <v>0</v>
      </c>
      <c r="T1992" s="6">
        <v>67</v>
      </c>
      <c r="U1992" s="6">
        <v>111</v>
      </c>
      <c r="V1992" s="6">
        <f>IF(ISERROR(VLOOKUP($S$1992,'TAR FIN'!$A$1:$O$115,15,0)),0,VLOOKUP($S$1992,'TAR FIN'!$A$1:$O$115,15,0))</f>
        <v>0</v>
      </c>
      <c r="W1992" s="6">
        <f>IF(ISERROR(VLOOKUP($T$1992,'TAR FIN'!$A$1:$O$115,15,0)),0,VLOOKUP($T$1992,'TAR FIN'!$A$1:$O$115,15,0))</f>
        <v>463.6</v>
      </c>
      <c r="X1992" s="6">
        <f>IF(ISERROR(VLOOKUP($U$1992,'TAR FIN'!$A$1:$O$115,15,0)),0,VLOOKUP($U$1992,'TAR FIN'!$A$1:$O$115,15,0))</f>
        <v>176.58</v>
      </c>
      <c r="Y1992" s="6"/>
      <c r="Z1992" s="6">
        <f ca="1">('TUSD BE'!$AM$65+'TUSD BF'!$AM$65+'TUSD CVA'!$AM$65)*1</f>
        <v>502.21976924570083</v>
      </c>
      <c r="AA1992" s="6">
        <f>('TE BE'!$AB$48+'TE BF'!$AB$48+'TE CVA'!$AB$48)*1</f>
        <v>230.68197444058345</v>
      </c>
      <c r="AB1992" s="6">
        <f>$K$1992*$V$1992</f>
        <v>0</v>
      </c>
      <c r="AC1992" s="6">
        <f>$M$1992*$W$1992</f>
        <v>5169.1400000000003</v>
      </c>
      <c r="AD1992" s="6">
        <f>$O$1992*$X$1992</f>
        <v>1968.8670000000002</v>
      </c>
      <c r="AE1992" s="6">
        <f>$K$1992*$Y$1992</f>
        <v>0</v>
      </c>
      <c r="AF1992" s="6">
        <f ca="1">$M$1992*$Z$1992</f>
        <v>5599.7504270895643</v>
      </c>
      <c r="AG1992" s="6">
        <f>$O$1992*$AA$1992</f>
        <v>2572.1040150125054</v>
      </c>
    </row>
    <row r="1993" spans="1:33" ht="11.25" customHeight="1" x14ac:dyDescent="0.25">
      <c r="A1993" s="4" t="s">
        <v>21</v>
      </c>
      <c r="B1993" s="4" t="s">
        <v>39</v>
      </c>
      <c r="C1993" s="4" t="s">
        <v>23</v>
      </c>
      <c r="D1993" s="4" t="s">
        <v>48</v>
      </c>
      <c r="E1993" s="4" t="s">
        <v>25</v>
      </c>
      <c r="F1993" s="4" t="s">
        <v>25</v>
      </c>
      <c r="G1993" s="4" t="s">
        <v>25</v>
      </c>
      <c r="H1993" s="4" t="s">
        <v>25</v>
      </c>
      <c r="I1993" s="5">
        <v>44531</v>
      </c>
      <c r="J1993" s="6">
        <v>0</v>
      </c>
      <c r="K1993" s="6">
        <v>0</v>
      </c>
      <c r="L1993" s="6">
        <v>2343.3449999999998</v>
      </c>
      <c r="M1993" s="6">
        <v>2343.3449999999998</v>
      </c>
      <c r="N1993" s="6">
        <v>2343.3449999999998</v>
      </c>
      <c r="O1993" s="6">
        <v>2343.3449999999998</v>
      </c>
      <c r="P1993" s="6">
        <v>1800</v>
      </c>
      <c r="Q1993" s="4" t="s">
        <v>26</v>
      </c>
      <c r="R1993" s="4">
        <v>0</v>
      </c>
      <c r="S1993" s="6">
        <v>0</v>
      </c>
      <c r="T1993" s="6">
        <v>67</v>
      </c>
      <c r="U1993" s="6">
        <v>111</v>
      </c>
      <c r="V1993" s="6">
        <f>IF(ISERROR(VLOOKUP($S$1993,'TAR FIN'!$A$1:$O$115,15,0)),0,VLOOKUP($S$1993,'TAR FIN'!$A$1:$O$115,15,0))</f>
        <v>0</v>
      </c>
      <c r="W1993" s="6">
        <f>IF(ISERROR(VLOOKUP($T$1993,'TAR FIN'!$A$1:$O$115,15,0)),0,VLOOKUP($T$1993,'TAR FIN'!$A$1:$O$115,15,0))</f>
        <v>463.6</v>
      </c>
      <c r="X1993" s="6">
        <f>IF(ISERROR(VLOOKUP($U$1993,'TAR FIN'!$A$1:$O$115,15,0)),0,VLOOKUP($U$1993,'TAR FIN'!$A$1:$O$115,15,0))</f>
        <v>176.58</v>
      </c>
      <c r="Y1993" s="6"/>
      <c r="Z1993" s="6">
        <f ca="1">('TUSD BE'!$AM$65+'TUSD BF'!$AM$65+'TUSD CVA'!$AM$65)*1</f>
        <v>502.21976924570083</v>
      </c>
      <c r="AA1993" s="6">
        <f>('TE BE'!$AB$48+'TE BF'!$AB$48+'TE CVA'!$AB$48)*1</f>
        <v>230.68197444058345</v>
      </c>
      <c r="AB1993" s="6">
        <f>$K$1993*$V$1993</f>
        <v>0</v>
      </c>
      <c r="AC1993" s="6">
        <f>$M$1993*$W$1993</f>
        <v>1086374.7419999999</v>
      </c>
      <c r="AD1993" s="6">
        <f>$O$1993*$X$1993</f>
        <v>413787.86009999999</v>
      </c>
      <c r="AE1993" s="6">
        <f>$K$1993*$Y$1993</f>
        <v>0</v>
      </c>
      <c r="AF1993" s="6">
        <f ca="1">$M$1993*$Z$1993</f>
        <v>1176874.1851630667</v>
      </c>
      <c r="AG1993" s="6">
        <f>$O$1993*$AA$1993</f>
        <v>540567.45139546902</v>
      </c>
    </row>
    <row r="1994" spans="1:33" ht="11.25" customHeight="1" x14ac:dyDescent="0.25">
      <c r="A1994" s="4" t="s">
        <v>27</v>
      </c>
      <c r="B1994" s="4" t="s">
        <v>39</v>
      </c>
      <c r="C1994" s="4" t="s">
        <v>23</v>
      </c>
      <c r="D1994" s="4" t="s">
        <v>48</v>
      </c>
      <c r="E1994" s="4" t="s">
        <v>25</v>
      </c>
      <c r="F1994" s="4" t="s">
        <v>25</v>
      </c>
      <c r="G1994" s="4" t="s">
        <v>25</v>
      </c>
      <c r="H1994" s="4" t="s">
        <v>25</v>
      </c>
      <c r="I1994" s="5">
        <v>44531</v>
      </c>
      <c r="J1994" s="6">
        <v>0</v>
      </c>
      <c r="K1994" s="6">
        <v>0</v>
      </c>
      <c r="L1994" s="6">
        <v>-6.657</v>
      </c>
      <c r="M1994" s="6">
        <v>-6.657</v>
      </c>
      <c r="N1994" s="6">
        <v>-6.657</v>
      </c>
      <c r="O1994" s="6">
        <v>-6.657</v>
      </c>
      <c r="P1994" s="6">
        <v>-146</v>
      </c>
      <c r="Q1994" s="4" t="s">
        <v>26</v>
      </c>
      <c r="R1994" s="4">
        <v>0</v>
      </c>
      <c r="S1994" s="6">
        <v>0</v>
      </c>
      <c r="T1994" s="6">
        <v>67</v>
      </c>
      <c r="U1994" s="6">
        <v>111</v>
      </c>
      <c r="V1994" s="6">
        <f>IF(ISERROR(VLOOKUP($S$1994,'TAR FIN'!$A$1:$O$115,15,0)),0,VLOOKUP($S$1994,'TAR FIN'!$A$1:$O$115,15,0))</f>
        <v>0</v>
      </c>
      <c r="W1994" s="6">
        <f>IF(ISERROR(VLOOKUP($T$1994,'TAR FIN'!$A$1:$O$115,15,0)),0,VLOOKUP($T$1994,'TAR FIN'!$A$1:$O$115,15,0))</f>
        <v>463.6</v>
      </c>
      <c r="X1994" s="6">
        <f>IF(ISERROR(VLOOKUP($U$1994,'TAR FIN'!$A$1:$O$115,15,0)),0,VLOOKUP($U$1994,'TAR FIN'!$A$1:$O$115,15,0))</f>
        <v>176.58</v>
      </c>
      <c r="Y1994" s="6"/>
      <c r="Z1994" s="6">
        <f ca="1">('TUSD BE'!$AM$65+'TUSD BF'!$AM$65+'TUSD CVA'!$AM$65)*1</f>
        <v>502.21976924570083</v>
      </c>
      <c r="AA1994" s="6">
        <f>('TE BE'!$AB$48+'TE BF'!$AB$48+'TE CVA'!$AB$48)*1</f>
        <v>230.68197444058345</v>
      </c>
      <c r="AB1994" s="6">
        <f>$K$1994*$V$1994</f>
        <v>0</v>
      </c>
      <c r="AC1994" s="6">
        <f>$M$1994*$W$1994</f>
        <v>-3086.1852000000003</v>
      </c>
      <c r="AD1994" s="6">
        <f>$O$1994*$X$1994</f>
        <v>-1175.49306</v>
      </c>
      <c r="AE1994" s="6">
        <f>$K$1994*$Y$1994</f>
        <v>0</v>
      </c>
      <c r="AF1994" s="6">
        <f ca="1">$M$1994*$Z$1994</f>
        <v>-3343.2770038686303</v>
      </c>
      <c r="AG1994" s="6">
        <f>$O$1994*$AA$1994</f>
        <v>-1535.6499038509639</v>
      </c>
    </row>
    <row r="1995" spans="1:33" ht="11.25" customHeight="1" x14ac:dyDescent="0.25">
      <c r="A1995" s="4" t="s">
        <v>28</v>
      </c>
      <c r="B1995" s="4" t="s">
        <v>39</v>
      </c>
      <c r="C1995" s="4" t="s">
        <v>23</v>
      </c>
      <c r="D1995" s="4" t="s">
        <v>48</v>
      </c>
      <c r="E1995" s="4" t="s">
        <v>25</v>
      </c>
      <c r="F1995" s="4" t="s">
        <v>25</v>
      </c>
      <c r="G1995" s="4" t="s">
        <v>25</v>
      </c>
      <c r="H1995" s="4" t="s">
        <v>25</v>
      </c>
      <c r="I1995" s="5">
        <v>44531</v>
      </c>
      <c r="J1995" s="6">
        <v>0</v>
      </c>
      <c r="K1995" s="6">
        <v>0</v>
      </c>
      <c r="L1995" s="6">
        <v>1096.2439999999999</v>
      </c>
      <c r="M1995" s="6">
        <v>1096.2439999999999</v>
      </c>
      <c r="N1995" s="6">
        <v>1096.2439999999999</v>
      </c>
      <c r="O1995" s="6">
        <v>1096.2439999999999</v>
      </c>
      <c r="P1995" s="6">
        <v>1021</v>
      </c>
      <c r="Q1995" s="4" t="s">
        <v>26</v>
      </c>
      <c r="R1995" s="4">
        <v>0</v>
      </c>
      <c r="S1995" s="6">
        <v>0</v>
      </c>
      <c r="T1995" s="6">
        <v>67</v>
      </c>
      <c r="U1995" s="6">
        <v>111</v>
      </c>
      <c r="V1995" s="6">
        <f>IF(ISERROR(VLOOKUP($S$1995,'TAR FIN'!$A$1:$O$115,15,0)),0,VLOOKUP($S$1995,'TAR FIN'!$A$1:$O$115,15,0))</f>
        <v>0</v>
      </c>
      <c r="W1995" s="6">
        <f>IF(ISERROR(VLOOKUP($T$1995,'TAR FIN'!$A$1:$O$115,15,0)),0,VLOOKUP($T$1995,'TAR FIN'!$A$1:$O$115,15,0))</f>
        <v>463.6</v>
      </c>
      <c r="X1995" s="6">
        <f>IF(ISERROR(VLOOKUP($U$1995,'TAR FIN'!$A$1:$O$115,15,0)),0,VLOOKUP($U$1995,'TAR FIN'!$A$1:$O$115,15,0))</f>
        <v>176.58</v>
      </c>
      <c r="Y1995" s="6"/>
      <c r="Z1995" s="6">
        <f ca="1">('TUSD BE'!$AM$65+'TUSD BF'!$AM$65+'TUSD CVA'!$AM$65)*1</f>
        <v>502.21976924570083</v>
      </c>
      <c r="AA1995" s="6">
        <f>('TE BE'!$AB$48+'TE BF'!$AB$48+'TE CVA'!$AB$48)*1</f>
        <v>230.68197444058345</v>
      </c>
      <c r="AB1995" s="6">
        <f>$K$1995*$V$1995</f>
        <v>0</v>
      </c>
      <c r="AC1995" s="6">
        <f>$M$1995*$W$1995</f>
        <v>508218.71840000001</v>
      </c>
      <c r="AD1995" s="6">
        <f>$O$1995*$X$1995</f>
        <v>193574.76551999999</v>
      </c>
      <c r="AE1995" s="6">
        <f>$K$1995*$Y$1995</f>
        <v>0</v>
      </c>
      <c r="AF1995" s="6">
        <f ca="1">$M$1995*$Z$1995</f>
        <v>550555.40871698398</v>
      </c>
      <c r="AG1995" s="6">
        <f>$O$1995*$AA$1995</f>
        <v>252883.73038864293</v>
      </c>
    </row>
    <row r="1996" spans="1:33" ht="11.25" customHeight="1" x14ac:dyDescent="0.25">
      <c r="A1996" s="4" t="s">
        <v>29</v>
      </c>
      <c r="B1996" s="4" t="s">
        <v>39</v>
      </c>
      <c r="C1996" s="4" t="s">
        <v>23</v>
      </c>
      <c r="D1996" s="4" t="s">
        <v>48</v>
      </c>
      <c r="E1996" s="4" t="s">
        <v>25</v>
      </c>
      <c r="F1996" s="4" t="s">
        <v>25</v>
      </c>
      <c r="G1996" s="4" t="s">
        <v>25</v>
      </c>
      <c r="H1996" s="4" t="s">
        <v>25</v>
      </c>
      <c r="I1996" s="5">
        <v>44531</v>
      </c>
      <c r="J1996" s="6">
        <v>0</v>
      </c>
      <c r="K1996" s="6">
        <v>0</v>
      </c>
      <c r="L1996" s="6">
        <v>-96.757999999999996</v>
      </c>
      <c r="M1996" s="6">
        <v>-96.757999999999996</v>
      </c>
      <c r="N1996" s="6">
        <v>-96.757999999999996</v>
      </c>
      <c r="O1996" s="6">
        <v>-96.757999999999996</v>
      </c>
      <c r="P1996" s="6">
        <v>-20</v>
      </c>
      <c r="Q1996" s="4" t="s">
        <v>26</v>
      </c>
      <c r="R1996" s="4">
        <v>0</v>
      </c>
      <c r="S1996" s="6">
        <v>0</v>
      </c>
      <c r="T1996" s="6">
        <v>67</v>
      </c>
      <c r="U1996" s="6">
        <v>111</v>
      </c>
      <c r="V1996" s="6">
        <f>IF(ISERROR(VLOOKUP($S$1996,'TAR FIN'!$A$1:$O$115,15,0)),0,VLOOKUP($S$1996,'TAR FIN'!$A$1:$O$115,15,0))</f>
        <v>0</v>
      </c>
      <c r="W1996" s="6">
        <f>IF(ISERROR(VLOOKUP($T$1996,'TAR FIN'!$A$1:$O$115,15,0)),0,VLOOKUP($T$1996,'TAR FIN'!$A$1:$O$115,15,0))</f>
        <v>463.6</v>
      </c>
      <c r="X1996" s="6">
        <f>IF(ISERROR(VLOOKUP($U$1996,'TAR FIN'!$A$1:$O$115,15,0)),0,VLOOKUP($U$1996,'TAR FIN'!$A$1:$O$115,15,0))</f>
        <v>176.58</v>
      </c>
      <c r="Y1996" s="6"/>
      <c r="Z1996" s="6">
        <f ca="1">('TUSD BE'!$AM$65+'TUSD BF'!$AM$65+'TUSD CVA'!$AM$65)*1</f>
        <v>502.21976924570083</v>
      </c>
      <c r="AA1996" s="6">
        <f>('TE BE'!$AB$48+'TE BF'!$AB$48+'TE CVA'!$AB$48)*1</f>
        <v>230.68197444058345</v>
      </c>
      <c r="AB1996" s="6">
        <f>$K$1996*$V$1996</f>
        <v>0</v>
      </c>
      <c r="AC1996" s="6">
        <f>$M$1996*$W$1996</f>
        <v>-44857.008800000003</v>
      </c>
      <c r="AD1996" s="6">
        <f>$O$1996*$X$1996</f>
        <v>-17085.52764</v>
      </c>
      <c r="AE1996" s="6">
        <f>$K$1996*$Y$1996</f>
        <v>0</v>
      </c>
      <c r="AF1996" s="6">
        <f ca="1">$M$1996*$Z$1996</f>
        <v>-48593.780432675521</v>
      </c>
      <c r="AG1996" s="6">
        <f>$O$1996*$AA$1996</f>
        <v>-22320.326482921973</v>
      </c>
    </row>
    <row r="1997" spans="1:33" ht="11.25" customHeight="1" x14ac:dyDescent="0.25">
      <c r="A1997" s="4" t="s">
        <v>21</v>
      </c>
      <c r="B1997" s="4" t="s">
        <v>39</v>
      </c>
      <c r="C1997" s="4" t="s">
        <v>23</v>
      </c>
      <c r="D1997" s="4" t="s">
        <v>48</v>
      </c>
      <c r="E1997" s="4" t="s">
        <v>25</v>
      </c>
      <c r="F1997" s="4" t="s">
        <v>25</v>
      </c>
      <c r="G1997" s="4" t="s">
        <v>25</v>
      </c>
      <c r="H1997" s="4" t="s">
        <v>25</v>
      </c>
      <c r="I1997" s="5">
        <v>44562</v>
      </c>
      <c r="J1997" s="6">
        <v>0</v>
      </c>
      <c r="K1997" s="6">
        <v>0</v>
      </c>
      <c r="L1997" s="6">
        <v>2054.578</v>
      </c>
      <c r="M1997" s="6">
        <v>2054.578</v>
      </c>
      <c r="N1997" s="6">
        <v>2054.578</v>
      </c>
      <c r="O1997" s="6">
        <v>2054.578</v>
      </c>
      <c r="P1997" s="6">
        <v>1799</v>
      </c>
      <c r="Q1997" s="4" t="s">
        <v>26</v>
      </c>
      <c r="R1997" s="4">
        <v>0</v>
      </c>
      <c r="S1997" s="6">
        <v>0</v>
      </c>
      <c r="T1997" s="6">
        <v>67</v>
      </c>
      <c r="U1997" s="6">
        <v>111</v>
      </c>
      <c r="V1997" s="6">
        <f>IF(ISERROR(VLOOKUP($S$1997,'TAR FIN'!$A$1:$O$115,15,0)),0,VLOOKUP($S$1997,'TAR FIN'!$A$1:$O$115,15,0))</f>
        <v>0</v>
      </c>
      <c r="W1997" s="6">
        <f>IF(ISERROR(VLOOKUP($T$1997,'TAR FIN'!$A$1:$O$115,15,0)),0,VLOOKUP($T$1997,'TAR FIN'!$A$1:$O$115,15,0))</f>
        <v>463.6</v>
      </c>
      <c r="X1997" s="6">
        <f>IF(ISERROR(VLOOKUP($U$1997,'TAR FIN'!$A$1:$O$115,15,0)),0,VLOOKUP($U$1997,'TAR FIN'!$A$1:$O$115,15,0))</f>
        <v>176.58</v>
      </c>
      <c r="Y1997" s="6"/>
      <c r="Z1997" s="6">
        <f ca="1">('TUSD BE'!$AM$65+'TUSD BF'!$AM$65+'TUSD CVA'!$AM$65)*1</f>
        <v>502.21976924570083</v>
      </c>
      <c r="AA1997" s="6">
        <f>('TE BE'!$AB$48+'TE BF'!$AB$48+'TE CVA'!$AB$48)*1</f>
        <v>230.68197444058345</v>
      </c>
      <c r="AB1997" s="6">
        <f>$K$1997*$V$1997</f>
        <v>0</v>
      </c>
      <c r="AC1997" s="6">
        <f>$M$1997*$W$1997</f>
        <v>952502.36080000002</v>
      </c>
      <c r="AD1997" s="6">
        <f>$O$1997*$X$1997</f>
        <v>362797.38324</v>
      </c>
      <c r="AE1997" s="6">
        <f>$K$1997*$Y$1997</f>
        <v>0</v>
      </c>
      <c r="AF1997" s="6">
        <f ca="1">$M$1997*$Z$1997</f>
        <v>1031849.6890572935</v>
      </c>
      <c r="AG1997" s="6">
        <f>$O$1997*$AA$1997</f>
        <v>473954.10968218505</v>
      </c>
    </row>
    <row r="1998" spans="1:33" ht="11.25" customHeight="1" x14ac:dyDescent="0.25">
      <c r="A1998" s="4" t="s">
        <v>27</v>
      </c>
      <c r="B1998" s="4" t="s">
        <v>39</v>
      </c>
      <c r="C1998" s="4" t="s">
        <v>23</v>
      </c>
      <c r="D1998" s="4" t="s">
        <v>48</v>
      </c>
      <c r="E1998" s="4" t="s">
        <v>25</v>
      </c>
      <c r="F1998" s="4" t="s">
        <v>25</v>
      </c>
      <c r="G1998" s="4" t="s">
        <v>25</v>
      </c>
      <c r="H1998" s="4" t="s">
        <v>25</v>
      </c>
      <c r="I1998" s="5">
        <v>44562</v>
      </c>
      <c r="J1998" s="6">
        <v>0</v>
      </c>
      <c r="K1998" s="6">
        <v>0</v>
      </c>
      <c r="L1998" s="6">
        <v>-0.75</v>
      </c>
      <c r="M1998" s="6">
        <v>-0.75</v>
      </c>
      <c r="N1998" s="6">
        <v>-0.75</v>
      </c>
      <c r="O1998" s="6">
        <v>-0.75</v>
      </c>
      <c r="P1998" s="6">
        <v>-11</v>
      </c>
      <c r="Q1998" s="4" t="s">
        <v>26</v>
      </c>
      <c r="R1998" s="4">
        <v>0</v>
      </c>
      <c r="S1998" s="6">
        <v>0</v>
      </c>
      <c r="T1998" s="6">
        <v>67</v>
      </c>
      <c r="U1998" s="6">
        <v>111</v>
      </c>
      <c r="V1998" s="6">
        <f>IF(ISERROR(VLOOKUP($S$1998,'TAR FIN'!$A$1:$O$115,15,0)),0,VLOOKUP($S$1998,'TAR FIN'!$A$1:$O$115,15,0))</f>
        <v>0</v>
      </c>
      <c r="W1998" s="6">
        <f>IF(ISERROR(VLOOKUP($T$1998,'TAR FIN'!$A$1:$O$115,15,0)),0,VLOOKUP($T$1998,'TAR FIN'!$A$1:$O$115,15,0))</f>
        <v>463.6</v>
      </c>
      <c r="X1998" s="6">
        <f>IF(ISERROR(VLOOKUP($U$1998,'TAR FIN'!$A$1:$O$115,15,0)),0,VLOOKUP($U$1998,'TAR FIN'!$A$1:$O$115,15,0))</f>
        <v>176.58</v>
      </c>
      <c r="Y1998" s="6"/>
      <c r="Z1998" s="6">
        <f ca="1">('TUSD BE'!$AM$65+'TUSD BF'!$AM$65+'TUSD CVA'!$AM$65)*1</f>
        <v>502.21976924570083</v>
      </c>
      <c r="AA1998" s="6">
        <f>('TE BE'!$AB$48+'TE BF'!$AB$48+'TE CVA'!$AB$48)*1</f>
        <v>230.68197444058345</v>
      </c>
      <c r="AB1998" s="6">
        <f>$K$1998*$V$1998</f>
        <v>0</v>
      </c>
      <c r="AC1998" s="6">
        <f>$M$1998*$W$1998</f>
        <v>-347.70000000000005</v>
      </c>
      <c r="AD1998" s="6">
        <f>$O$1998*$X$1998</f>
        <v>-132.435</v>
      </c>
      <c r="AE1998" s="6">
        <f>$K$1998*$Y$1998</f>
        <v>0</v>
      </c>
      <c r="AF1998" s="6">
        <f ca="1">$M$1998*$Z$1998</f>
        <v>-376.66482693427565</v>
      </c>
      <c r="AG1998" s="6">
        <f>$O$1998*$AA$1998</f>
        <v>-173.01148083043759</v>
      </c>
    </row>
    <row r="1999" spans="1:33" ht="11.25" customHeight="1" x14ac:dyDescent="0.25">
      <c r="A1999" s="4" t="s">
        <v>28</v>
      </c>
      <c r="B1999" s="4" t="s">
        <v>39</v>
      </c>
      <c r="C1999" s="4" t="s">
        <v>23</v>
      </c>
      <c r="D1999" s="4" t="s">
        <v>48</v>
      </c>
      <c r="E1999" s="4" t="s">
        <v>25</v>
      </c>
      <c r="F1999" s="4" t="s">
        <v>25</v>
      </c>
      <c r="G1999" s="4" t="s">
        <v>25</v>
      </c>
      <c r="H1999" s="4" t="s">
        <v>25</v>
      </c>
      <c r="I1999" s="5">
        <v>44562</v>
      </c>
      <c r="J1999" s="6">
        <v>0</v>
      </c>
      <c r="K1999" s="6">
        <v>0</v>
      </c>
      <c r="L1999" s="6">
        <v>937.68299999999999</v>
      </c>
      <c r="M1999" s="6">
        <v>937.68299999999999</v>
      </c>
      <c r="N1999" s="6">
        <v>937.68299999999999</v>
      </c>
      <c r="O1999" s="6">
        <v>937.68299999999999</v>
      </c>
      <c r="P1999" s="6">
        <v>1013</v>
      </c>
      <c r="Q1999" s="4" t="s">
        <v>26</v>
      </c>
      <c r="R1999" s="4">
        <v>0</v>
      </c>
      <c r="S1999" s="6">
        <v>0</v>
      </c>
      <c r="T1999" s="6">
        <v>67</v>
      </c>
      <c r="U1999" s="6">
        <v>111</v>
      </c>
      <c r="V1999" s="6">
        <f>IF(ISERROR(VLOOKUP($S$1999,'TAR FIN'!$A$1:$O$115,15,0)),0,VLOOKUP($S$1999,'TAR FIN'!$A$1:$O$115,15,0))</f>
        <v>0</v>
      </c>
      <c r="W1999" s="6">
        <f>IF(ISERROR(VLOOKUP($T$1999,'TAR FIN'!$A$1:$O$115,15,0)),0,VLOOKUP($T$1999,'TAR FIN'!$A$1:$O$115,15,0))</f>
        <v>463.6</v>
      </c>
      <c r="X1999" s="6">
        <f>IF(ISERROR(VLOOKUP($U$1999,'TAR FIN'!$A$1:$O$115,15,0)),0,VLOOKUP($U$1999,'TAR FIN'!$A$1:$O$115,15,0))</f>
        <v>176.58</v>
      </c>
      <c r="Y1999" s="6"/>
      <c r="Z1999" s="6">
        <f ca="1">('TUSD BE'!$AM$65+'TUSD BF'!$AM$65+'TUSD CVA'!$AM$65)*1</f>
        <v>502.21976924570083</v>
      </c>
      <c r="AA1999" s="6">
        <f>('TE BE'!$AB$48+'TE BF'!$AB$48+'TE CVA'!$AB$48)*1</f>
        <v>230.68197444058345</v>
      </c>
      <c r="AB1999" s="6">
        <f>$K$1999*$V$1999</f>
        <v>0</v>
      </c>
      <c r="AC1999" s="6">
        <f>$M$1999*$W$1999</f>
        <v>434709.83880000003</v>
      </c>
      <c r="AD1999" s="6">
        <f>$O$1999*$X$1999</f>
        <v>165576.06414</v>
      </c>
      <c r="AE1999" s="6">
        <f>$K$1999*$Y$1999</f>
        <v>0</v>
      </c>
      <c r="AF1999" s="6">
        <f ca="1">$M$1999*$Z$1999</f>
        <v>470922.93988561648</v>
      </c>
      <c r="AG1999" s="6">
        <f>$O$1999*$AA$1999</f>
        <v>216306.56583936961</v>
      </c>
    </row>
    <row r="2000" spans="1:33" ht="11.25" customHeight="1" x14ac:dyDescent="0.25">
      <c r="A2000" s="4" t="s">
        <v>21</v>
      </c>
      <c r="B2000" s="4" t="s">
        <v>39</v>
      </c>
      <c r="C2000" s="4" t="s">
        <v>23</v>
      </c>
      <c r="D2000" s="4" t="s">
        <v>48</v>
      </c>
      <c r="E2000" s="4" t="s">
        <v>25</v>
      </c>
      <c r="F2000" s="4" t="s">
        <v>25</v>
      </c>
      <c r="G2000" s="4" t="s">
        <v>25</v>
      </c>
      <c r="H2000" s="4" t="s">
        <v>25</v>
      </c>
      <c r="I2000" s="5">
        <v>44593</v>
      </c>
      <c r="J2000" s="6">
        <v>0</v>
      </c>
      <c r="K2000" s="6">
        <v>0</v>
      </c>
      <c r="L2000" s="6">
        <v>1868.3040000000001</v>
      </c>
      <c r="M2000" s="6">
        <v>1868.3040000000001</v>
      </c>
      <c r="N2000" s="6">
        <v>1868.3040000000001</v>
      </c>
      <c r="O2000" s="6">
        <v>1868.3040000000001</v>
      </c>
      <c r="P2000" s="6">
        <v>1795</v>
      </c>
      <c r="Q2000" s="4" t="s">
        <v>26</v>
      </c>
      <c r="R2000" s="4">
        <v>0</v>
      </c>
      <c r="S2000" s="6">
        <v>0</v>
      </c>
      <c r="T2000" s="6">
        <v>67</v>
      </c>
      <c r="U2000" s="6">
        <v>111</v>
      </c>
      <c r="V2000" s="6">
        <f>IF(ISERROR(VLOOKUP($S$2000,'TAR FIN'!$A$1:$O$115,15,0)),0,VLOOKUP($S$2000,'TAR FIN'!$A$1:$O$115,15,0))</f>
        <v>0</v>
      </c>
      <c r="W2000" s="6">
        <f>IF(ISERROR(VLOOKUP($T$2000,'TAR FIN'!$A$1:$O$115,15,0)),0,VLOOKUP($T$2000,'TAR FIN'!$A$1:$O$115,15,0))</f>
        <v>463.6</v>
      </c>
      <c r="X2000" s="6">
        <f>IF(ISERROR(VLOOKUP($U$2000,'TAR FIN'!$A$1:$O$115,15,0)),0,VLOOKUP($U$2000,'TAR FIN'!$A$1:$O$115,15,0))</f>
        <v>176.58</v>
      </c>
      <c r="Y2000" s="6"/>
      <c r="Z2000" s="6">
        <f ca="1">('TUSD BE'!$AM$65+'TUSD BF'!$AM$65+'TUSD CVA'!$AM$65)*1</f>
        <v>502.21976924570083</v>
      </c>
      <c r="AA2000" s="6">
        <f>('TE BE'!$AB$48+'TE BF'!$AB$48+'TE CVA'!$AB$48)*1</f>
        <v>230.68197444058345</v>
      </c>
      <c r="AB2000" s="6">
        <f>$K$2000*$V$2000</f>
        <v>0</v>
      </c>
      <c r="AC2000" s="6">
        <f>$M$2000*$W$2000</f>
        <v>866145.73440000007</v>
      </c>
      <c r="AD2000" s="6">
        <f>$O$2000*$X$2000</f>
        <v>329905.12032000005</v>
      </c>
      <c r="AE2000" s="6">
        <f>$K$2000*$Y$2000</f>
        <v>0</v>
      </c>
      <c r="AF2000" s="6">
        <f ca="1">$M$2000*$Z$2000</f>
        <v>938299.20376081986</v>
      </c>
      <c r="AG2000" s="6">
        <f>$O$2000*$AA$2000</f>
        <v>430984.05557523982</v>
      </c>
    </row>
    <row r="2001" spans="1:33" ht="11.25" customHeight="1" x14ac:dyDescent="0.25">
      <c r="A2001" s="4" t="s">
        <v>27</v>
      </c>
      <c r="B2001" s="4" t="s">
        <v>39</v>
      </c>
      <c r="C2001" s="4" t="s">
        <v>23</v>
      </c>
      <c r="D2001" s="4" t="s">
        <v>48</v>
      </c>
      <c r="E2001" s="4" t="s">
        <v>25</v>
      </c>
      <c r="F2001" s="4" t="s">
        <v>25</v>
      </c>
      <c r="G2001" s="4" t="s">
        <v>25</v>
      </c>
      <c r="H2001" s="4" t="s">
        <v>25</v>
      </c>
      <c r="I2001" s="5">
        <v>44593</v>
      </c>
      <c r="J2001" s="6">
        <v>0</v>
      </c>
      <c r="K2001" s="6">
        <v>0</v>
      </c>
      <c r="L2001" s="6">
        <v>-0.32</v>
      </c>
      <c r="M2001" s="6">
        <v>-0.32</v>
      </c>
      <c r="N2001" s="6">
        <v>-0.32</v>
      </c>
      <c r="O2001" s="6">
        <v>-0.32</v>
      </c>
      <c r="P2001" s="6">
        <v>-2</v>
      </c>
      <c r="Q2001" s="4" t="s">
        <v>26</v>
      </c>
      <c r="R2001" s="4">
        <v>0</v>
      </c>
      <c r="S2001" s="6">
        <v>0</v>
      </c>
      <c r="T2001" s="6">
        <v>67</v>
      </c>
      <c r="U2001" s="6">
        <v>111</v>
      </c>
      <c r="V2001" s="6">
        <f>IF(ISERROR(VLOOKUP($S$2001,'TAR FIN'!$A$1:$O$115,15,0)),0,VLOOKUP($S$2001,'TAR FIN'!$A$1:$O$115,15,0))</f>
        <v>0</v>
      </c>
      <c r="W2001" s="6">
        <f>IF(ISERROR(VLOOKUP($T$2001,'TAR FIN'!$A$1:$O$115,15,0)),0,VLOOKUP($T$2001,'TAR FIN'!$A$1:$O$115,15,0))</f>
        <v>463.6</v>
      </c>
      <c r="X2001" s="6">
        <f>IF(ISERROR(VLOOKUP($U$2001,'TAR FIN'!$A$1:$O$115,15,0)),0,VLOOKUP($U$2001,'TAR FIN'!$A$1:$O$115,15,0))</f>
        <v>176.58</v>
      </c>
      <c r="Y2001" s="6"/>
      <c r="Z2001" s="6">
        <f ca="1">('TUSD BE'!$AM$65+'TUSD BF'!$AM$65+'TUSD CVA'!$AM$65)*1</f>
        <v>502.21976924570083</v>
      </c>
      <c r="AA2001" s="6">
        <f>('TE BE'!$AB$48+'TE BF'!$AB$48+'TE CVA'!$AB$48)*1</f>
        <v>230.68197444058345</v>
      </c>
      <c r="AB2001" s="6">
        <f>$K$2001*$V$2001</f>
        <v>0</v>
      </c>
      <c r="AC2001" s="6">
        <f>$M$2001*$W$2001</f>
        <v>-148.352</v>
      </c>
      <c r="AD2001" s="6">
        <f>$O$2001*$X$2001</f>
        <v>-56.505600000000008</v>
      </c>
      <c r="AE2001" s="6">
        <f>$K$2001*$Y$2001</f>
        <v>0</v>
      </c>
      <c r="AF2001" s="6">
        <f ca="1">$M$2001*$Z$2001</f>
        <v>-160.71032615862427</v>
      </c>
      <c r="AG2001" s="6">
        <f>$O$2001*$AA$2001</f>
        <v>-73.818231820986711</v>
      </c>
    </row>
    <row r="2002" spans="1:33" ht="11.25" customHeight="1" x14ac:dyDescent="0.25">
      <c r="A2002" s="4" t="s">
        <v>28</v>
      </c>
      <c r="B2002" s="4" t="s">
        <v>39</v>
      </c>
      <c r="C2002" s="4" t="s">
        <v>23</v>
      </c>
      <c r="D2002" s="4" t="s">
        <v>48</v>
      </c>
      <c r="E2002" s="4" t="s">
        <v>25</v>
      </c>
      <c r="F2002" s="4" t="s">
        <v>25</v>
      </c>
      <c r="G2002" s="4" t="s">
        <v>25</v>
      </c>
      <c r="H2002" s="4" t="s">
        <v>25</v>
      </c>
      <c r="I2002" s="5">
        <v>44593</v>
      </c>
      <c r="J2002" s="6">
        <v>0</v>
      </c>
      <c r="K2002" s="6">
        <v>0</v>
      </c>
      <c r="L2002" s="6">
        <v>842.548</v>
      </c>
      <c r="M2002" s="6">
        <v>842.548</v>
      </c>
      <c r="N2002" s="6">
        <v>842.548</v>
      </c>
      <c r="O2002" s="6">
        <v>842.548</v>
      </c>
      <c r="P2002" s="6">
        <v>1014</v>
      </c>
      <c r="Q2002" s="4" t="s">
        <v>26</v>
      </c>
      <c r="R2002" s="4">
        <v>0</v>
      </c>
      <c r="S2002" s="6">
        <v>0</v>
      </c>
      <c r="T2002" s="6">
        <v>67</v>
      </c>
      <c r="U2002" s="6">
        <v>111</v>
      </c>
      <c r="V2002" s="6">
        <f>IF(ISERROR(VLOOKUP($S$2002,'TAR FIN'!$A$1:$O$115,15,0)),0,VLOOKUP($S$2002,'TAR FIN'!$A$1:$O$115,15,0))</f>
        <v>0</v>
      </c>
      <c r="W2002" s="6">
        <f>IF(ISERROR(VLOOKUP($T$2002,'TAR FIN'!$A$1:$O$115,15,0)),0,VLOOKUP($T$2002,'TAR FIN'!$A$1:$O$115,15,0))</f>
        <v>463.6</v>
      </c>
      <c r="X2002" s="6">
        <f>IF(ISERROR(VLOOKUP($U$2002,'TAR FIN'!$A$1:$O$115,15,0)),0,VLOOKUP($U$2002,'TAR FIN'!$A$1:$O$115,15,0))</f>
        <v>176.58</v>
      </c>
      <c r="Y2002" s="6"/>
      <c r="Z2002" s="6">
        <f ca="1">('TUSD BE'!$AM$65+'TUSD BF'!$AM$65+'TUSD CVA'!$AM$65)*1</f>
        <v>502.21976924570083</v>
      </c>
      <c r="AA2002" s="6">
        <f>('TE BE'!$AB$48+'TE BF'!$AB$48+'TE CVA'!$AB$48)*1</f>
        <v>230.68197444058345</v>
      </c>
      <c r="AB2002" s="6">
        <f>$K$2002*$V$2002</f>
        <v>0</v>
      </c>
      <c r="AC2002" s="6">
        <f>$M$2002*$W$2002</f>
        <v>390605.25280000002</v>
      </c>
      <c r="AD2002" s="6">
        <f>$O$2002*$X$2002</f>
        <v>148777.12584000002</v>
      </c>
      <c r="AE2002" s="6">
        <f>$K$2002*$Y$2002</f>
        <v>0</v>
      </c>
      <c r="AF2002" s="6">
        <f ca="1">$M$2002*$Z$2002</f>
        <v>423144.26213842677</v>
      </c>
      <c r="AG2002" s="6">
        <f>$O$2002*$AA$2002</f>
        <v>194360.63620096471</v>
      </c>
    </row>
    <row r="2003" spans="1:33" ht="11.25" customHeight="1" x14ac:dyDescent="0.25">
      <c r="A2003" s="4" t="s">
        <v>21</v>
      </c>
      <c r="B2003" s="4" t="s">
        <v>39</v>
      </c>
      <c r="C2003" s="4" t="s">
        <v>23</v>
      </c>
      <c r="D2003" s="4" t="s">
        <v>48</v>
      </c>
      <c r="E2003" s="4" t="s">
        <v>25</v>
      </c>
      <c r="F2003" s="4" t="s">
        <v>25</v>
      </c>
      <c r="G2003" s="4" t="s">
        <v>25</v>
      </c>
      <c r="H2003" s="4" t="s">
        <v>25</v>
      </c>
      <c r="I2003" s="5">
        <v>44621</v>
      </c>
      <c r="J2003" s="6">
        <v>0</v>
      </c>
      <c r="K2003" s="6">
        <v>0</v>
      </c>
      <c r="L2003" s="6">
        <v>1872.5809999999999</v>
      </c>
      <c r="M2003" s="6">
        <v>1872.5809999999999</v>
      </c>
      <c r="N2003" s="6">
        <v>1872.5809999999999</v>
      </c>
      <c r="O2003" s="6">
        <v>1872.5809999999999</v>
      </c>
      <c r="P2003" s="6">
        <v>1799</v>
      </c>
      <c r="Q2003" s="4" t="s">
        <v>26</v>
      </c>
      <c r="R2003" s="4">
        <v>0</v>
      </c>
      <c r="S2003" s="6">
        <v>0</v>
      </c>
      <c r="T2003" s="6">
        <v>67</v>
      </c>
      <c r="U2003" s="6">
        <v>111</v>
      </c>
      <c r="V2003" s="6">
        <f>IF(ISERROR(VLOOKUP($S$2003,'TAR FIN'!$A$1:$O$115,15,0)),0,VLOOKUP($S$2003,'TAR FIN'!$A$1:$O$115,15,0))</f>
        <v>0</v>
      </c>
      <c r="W2003" s="6">
        <f>IF(ISERROR(VLOOKUP($T$2003,'TAR FIN'!$A$1:$O$115,15,0)),0,VLOOKUP($T$2003,'TAR FIN'!$A$1:$O$115,15,0))</f>
        <v>463.6</v>
      </c>
      <c r="X2003" s="6">
        <f>IF(ISERROR(VLOOKUP($U$2003,'TAR FIN'!$A$1:$O$115,15,0)),0,VLOOKUP($U$2003,'TAR FIN'!$A$1:$O$115,15,0))</f>
        <v>176.58</v>
      </c>
      <c r="Y2003" s="6"/>
      <c r="Z2003" s="6">
        <f ca="1">('TUSD BE'!$AM$65+'TUSD BF'!$AM$65+'TUSD CVA'!$AM$65)*1</f>
        <v>502.21976924570083</v>
      </c>
      <c r="AA2003" s="6">
        <f>('TE BE'!$AB$48+'TE BF'!$AB$48+'TE CVA'!$AB$48)*1</f>
        <v>230.68197444058345</v>
      </c>
      <c r="AB2003" s="6">
        <f>$K$2003*$V$2003</f>
        <v>0</v>
      </c>
      <c r="AC2003" s="6">
        <f>$M$2003*$W$2003</f>
        <v>868128.55160000001</v>
      </c>
      <c r="AD2003" s="6">
        <f>$O$2003*$X$2003</f>
        <v>330660.35298000003</v>
      </c>
      <c r="AE2003" s="6">
        <f>$K$2003*$Y$2003</f>
        <v>0</v>
      </c>
      <c r="AF2003" s="6">
        <f ca="1">$M$2003*$Z$2003</f>
        <v>940447.19771388371</v>
      </c>
      <c r="AG2003" s="6">
        <f>$O$2003*$AA$2003</f>
        <v>431970.68237992219</v>
      </c>
    </row>
    <row r="2004" spans="1:33" ht="11.25" customHeight="1" x14ac:dyDescent="0.25">
      <c r="A2004" s="4" t="s">
        <v>28</v>
      </c>
      <c r="B2004" s="4" t="s">
        <v>39</v>
      </c>
      <c r="C2004" s="4" t="s">
        <v>23</v>
      </c>
      <c r="D2004" s="4" t="s">
        <v>48</v>
      </c>
      <c r="E2004" s="4" t="s">
        <v>25</v>
      </c>
      <c r="F2004" s="4" t="s">
        <v>25</v>
      </c>
      <c r="G2004" s="4" t="s">
        <v>25</v>
      </c>
      <c r="H2004" s="4" t="s">
        <v>25</v>
      </c>
      <c r="I2004" s="5">
        <v>44621</v>
      </c>
      <c r="J2004" s="6">
        <v>0</v>
      </c>
      <c r="K2004" s="6">
        <v>0</v>
      </c>
      <c r="L2004" s="6">
        <v>826.08799999999997</v>
      </c>
      <c r="M2004" s="6">
        <v>826.08799999999997</v>
      </c>
      <c r="N2004" s="6">
        <v>826.08799999999997</v>
      </c>
      <c r="O2004" s="6">
        <v>826.08799999999997</v>
      </c>
      <c r="P2004" s="6">
        <v>1018</v>
      </c>
      <c r="Q2004" s="4" t="s">
        <v>26</v>
      </c>
      <c r="R2004" s="4">
        <v>0</v>
      </c>
      <c r="S2004" s="6">
        <v>0</v>
      </c>
      <c r="T2004" s="6">
        <v>67</v>
      </c>
      <c r="U2004" s="6">
        <v>111</v>
      </c>
      <c r="V2004" s="6">
        <f>IF(ISERROR(VLOOKUP($S$2004,'TAR FIN'!$A$1:$O$115,15,0)),0,VLOOKUP($S$2004,'TAR FIN'!$A$1:$O$115,15,0))</f>
        <v>0</v>
      </c>
      <c r="W2004" s="6">
        <f>IF(ISERROR(VLOOKUP($T$2004,'TAR FIN'!$A$1:$O$115,15,0)),0,VLOOKUP($T$2004,'TAR FIN'!$A$1:$O$115,15,0))</f>
        <v>463.6</v>
      </c>
      <c r="X2004" s="6">
        <f>IF(ISERROR(VLOOKUP($U$2004,'TAR FIN'!$A$1:$O$115,15,0)),0,VLOOKUP($U$2004,'TAR FIN'!$A$1:$O$115,15,0))</f>
        <v>176.58</v>
      </c>
      <c r="Y2004" s="6"/>
      <c r="Z2004" s="6">
        <f ca="1">('TUSD BE'!$AM$65+'TUSD BF'!$AM$65+'TUSD CVA'!$AM$65)*1</f>
        <v>502.21976924570083</v>
      </c>
      <c r="AA2004" s="6">
        <f>('TE BE'!$AB$48+'TE BF'!$AB$48+'TE CVA'!$AB$48)*1</f>
        <v>230.68197444058345</v>
      </c>
      <c r="AB2004" s="6">
        <f>$K$2004*$V$2004</f>
        <v>0</v>
      </c>
      <c r="AC2004" s="6">
        <f>$M$2004*$W$2004</f>
        <v>382974.39679999999</v>
      </c>
      <c r="AD2004" s="6">
        <f>$O$2004*$X$2004</f>
        <v>145870.61903999999</v>
      </c>
      <c r="AE2004" s="6">
        <f>$K$2004*$Y$2004</f>
        <v>0</v>
      </c>
      <c r="AF2004" s="6">
        <f ca="1">$M$2004*$Z$2004</f>
        <v>414877.7247366425</v>
      </c>
      <c r="AG2004" s="6">
        <f>$O$2004*$AA$2004</f>
        <v>190563.61090167268</v>
      </c>
    </row>
    <row r="2005" spans="1:33" ht="11.25" customHeight="1" x14ac:dyDescent="0.25">
      <c r="A2005" s="4" t="s">
        <v>21</v>
      </c>
      <c r="B2005" s="4" t="s">
        <v>39</v>
      </c>
      <c r="C2005" s="4" t="s">
        <v>23</v>
      </c>
      <c r="D2005" s="4" t="s">
        <v>48</v>
      </c>
      <c r="E2005" s="4" t="s">
        <v>25</v>
      </c>
      <c r="F2005" s="4" t="s">
        <v>25</v>
      </c>
      <c r="G2005" s="4" t="s">
        <v>25</v>
      </c>
      <c r="H2005" s="4" t="s">
        <v>25</v>
      </c>
      <c r="I2005" s="5">
        <v>44652</v>
      </c>
      <c r="J2005" s="6">
        <v>0</v>
      </c>
      <c r="K2005" s="6">
        <v>0</v>
      </c>
      <c r="L2005" s="6">
        <v>2228.373</v>
      </c>
      <c r="M2005" s="6">
        <v>2228.373</v>
      </c>
      <c r="N2005" s="6">
        <v>2228.373</v>
      </c>
      <c r="O2005" s="6">
        <v>2228.373</v>
      </c>
      <c r="P2005" s="6">
        <v>1801</v>
      </c>
      <c r="Q2005" s="4" t="s">
        <v>26</v>
      </c>
      <c r="R2005" s="4">
        <v>0</v>
      </c>
      <c r="S2005" s="6">
        <v>0</v>
      </c>
      <c r="T2005" s="6">
        <v>67</v>
      </c>
      <c r="U2005" s="6">
        <v>111</v>
      </c>
      <c r="V2005" s="6">
        <f>IF(ISERROR(VLOOKUP($S$2005,'TAR FIN'!$A$1:$O$115,15,0)),0,VLOOKUP($S$2005,'TAR FIN'!$A$1:$O$115,15,0))</f>
        <v>0</v>
      </c>
      <c r="W2005" s="6">
        <f>IF(ISERROR(VLOOKUP($T$2005,'TAR FIN'!$A$1:$O$115,15,0)),0,VLOOKUP($T$2005,'TAR FIN'!$A$1:$O$115,15,0))</f>
        <v>463.6</v>
      </c>
      <c r="X2005" s="6">
        <f>IF(ISERROR(VLOOKUP($U$2005,'TAR FIN'!$A$1:$O$115,15,0)),0,VLOOKUP($U$2005,'TAR FIN'!$A$1:$O$115,15,0))</f>
        <v>176.58</v>
      </c>
      <c r="Y2005" s="6"/>
      <c r="Z2005" s="6">
        <f ca="1">('TUSD BE'!$AM$65+'TUSD BF'!$AM$65+'TUSD CVA'!$AM$65)*1</f>
        <v>502.21976924570083</v>
      </c>
      <c r="AA2005" s="6">
        <f>('TE BE'!$AB$48+'TE BF'!$AB$48+'TE CVA'!$AB$48)*1</f>
        <v>230.68197444058345</v>
      </c>
      <c r="AB2005" s="6">
        <f>$K$2005*$V$2005</f>
        <v>0</v>
      </c>
      <c r="AC2005" s="6">
        <f>$M$2005*$W$2005</f>
        <v>1033073.7228000001</v>
      </c>
      <c r="AD2005" s="6">
        <f>$O$2005*$X$2005</f>
        <v>393486.10434000002</v>
      </c>
      <c r="AE2005" s="6">
        <f>$K$2005*$Y$2005</f>
        <v>0</v>
      </c>
      <c r="AF2005" s="6">
        <f ca="1">$M$2005*$Z$2005</f>
        <v>1119132.9738533502</v>
      </c>
      <c r="AG2005" s="6">
        <f>$O$2005*$AA$2005</f>
        <v>514045.48343008629</v>
      </c>
    </row>
    <row r="2006" spans="1:33" ht="11.25" customHeight="1" x14ac:dyDescent="0.25">
      <c r="A2006" s="4" t="s">
        <v>28</v>
      </c>
      <c r="B2006" s="4" t="s">
        <v>39</v>
      </c>
      <c r="C2006" s="4" t="s">
        <v>23</v>
      </c>
      <c r="D2006" s="4" t="s">
        <v>48</v>
      </c>
      <c r="E2006" s="4" t="s">
        <v>25</v>
      </c>
      <c r="F2006" s="4" t="s">
        <v>25</v>
      </c>
      <c r="G2006" s="4" t="s">
        <v>25</v>
      </c>
      <c r="H2006" s="4" t="s">
        <v>25</v>
      </c>
      <c r="I2006" s="5">
        <v>44652</v>
      </c>
      <c r="J2006" s="6">
        <v>0</v>
      </c>
      <c r="K2006" s="6">
        <v>0</v>
      </c>
      <c r="L2006" s="6">
        <v>928.88</v>
      </c>
      <c r="M2006" s="6">
        <v>928.88</v>
      </c>
      <c r="N2006" s="6">
        <v>928.88</v>
      </c>
      <c r="O2006" s="6">
        <v>928.88</v>
      </c>
      <c r="P2006" s="6">
        <v>1021</v>
      </c>
      <c r="Q2006" s="4" t="s">
        <v>26</v>
      </c>
      <c r="R2006" s="4">
        <v>0</v>
      </c>
      <c r="S2006" s="6">
        <v>0</v>
      </c>
      <c r="T2006" s="6">
        <v>67</v>
      </c>
      <c r="U2006" s="6">
        <v>111</v>
      </c>
      <c r="V2006" s="6">
        <f>IF(ISERROR(VLOOKUP($S$2006,'TAR FIN'!$A$1:$O$115,15,0)),0,VLOOKUP($S$2006,'TAR FIN'!$A$1:$O$115,15,0))</f>
        <v>0</v>
      </c>
      <c r="W2006" s="6">
        <f>IF(ISERROR(VLOOKUP($T$2006,'TAR FIN'!$A$1:$O$115,15,0)),0,VLOOKUP($T$2006,'TAR FIN'!$A$1:$O$115,15,0))</f>
        <v>463.6</v>
      </c>
      <c r="X2006" s="6">
        <f>IF(ISERROR(VLOOKUP($U$2006,'TAR FIN'!$A$1:$O$115,15,0)),0,VLOOKUP($U$2006,'TAR FIN'!$A$1:$O$115,15,0))</f>
        <v>176.58</v>
      </c>
      <c r="Y2006" s="6"/>
      <c r="Z2006" s="6">
        <f ca="1">('TUSD BE'!$AM$65+'TUSD BF'!$AM$65+'TUSD CVA'!$AM$65)*1</f>
        <v>502.21976924570083</v>
      </c>
      <c r="AA2006" s="6">
        <f>('TE BE'!$AB$48+'TE BF'!$AB$48+'TE CVA'!$AB$48)*1</f>
        <v>230.68197444058345</v>
      </c>
      <c r="AB2006" s="6">
        <f>$K$2006*$V$2006</f>
        <v>0</v>
      </c>
      <c r="AC2006" s="6">
        <f>$M$2006*$W$2006</f>
        <v>430628.76800000004</v>
      </c>
      <c r="AD2006" s="6">
        <f>$O$2006*$X$2006</f>
        <v>164021.63040000002</v>
      </c>
      <c r="AE2006" s="6">
        <f>$K$2006*$Y$2006</f>
        <v>0</v>
      </c>
      <c r="AF2006" s="6">
        <f ca="1">$M$2006*$Z$2006</f>
        <v>466501.89925694658</v>
      </c>
      <c r="AG2006" s="6">
        <f>$O$2006*$AA$2006</f>
        <v>214275.87241836914</v>
      </c>
    </row>
    <row r="2007" spans="1:33" ht="11.25" customHeight="1" x14ac:dyDescent="0.25">
      <c r="A2007" s="4" t="s">
        <v>30</v>
      </c>
      <c r="B2007" s="4" t="s">
        <v>39</v>
      </c>
      <c r="C2007" s="4" t="s">
        <v>23</v>
      </c>
      <c r="D2007" s="4" t="s">
        <v>48</v>
      </c>
      <c r="E2007" s="4" t="s">
        <v>25</v>
      </c>
      <c r="F2007" s="4" t="s">
        <v>25</v>
      </c>
      <c r="G2007" s="4" t="s">
        <v>25</v>
      </c>
      <c r="H2007" s="4" t="s">
        <v>25</v>
      </c>
      <c r="I2007" s="5">
        <v>44652</v>
      </c>
      <c r="J2007" s="6">
        <v>0</v>
      </c>
      <c r="K2007" s="6">
        <v>0</v>
      </c>
      <c r="L2007" s="6">
        <v>0.1</v>
      </c>
      <c r="M2007" s="6">
        <v>0.1</v>
      </c>
      <c r="N2007" s="6">
        <v>0.1</v>
      </c>
      <c r="O2007" s="6">
        <v>0.1</v>
      </c>
      <c r="P2007" s="6">
        <v>1</v>
      </c>
      <c r="Q2007" s="4" t="s">
        <v>26</v>
      </c>
      <c r="R2007" s="4">
        <v>0</v>
      </c>
      <c r="S2007" s="6">
        <v>0</v>
      </c>
      <c r="T2007" s="6">
        <v>67</v>
      </c>
      <c r="U2007" s="6">
        <v>111</v>
      </c>
      <c r="V2007" s="6">
        <f>IF(ISERROR(VLOOKUP($S$2007,'TAR FIN'!$A$1:$O$115,15,0)),0,VLOOKUP($S$2007,'TAR FIN'!$A$1:$O$115,15,0))</f>
        <v>0</v>
      </c>
      <c r="W2007" s="6">
        <f>IF(ISERROR(VLOOKUP($T$2007,'TAR FIN'!$A$1:$O$115,15,0)),0,VLOOKUP($T$2007,'TAR FIN'!$A$1:$O$115,15,0))</f>
        <v>463.6</v>
      </c>
      <c r="X2007" s="6">
        <f>IF(ISERROR(VLOOKUP($U$2007,'TAR FIN'!$A$1:$O$115,15,0)),0,VLOOKUP($U$2007,'TAR FIN'!$A$1:$O$115,15,0))</f>
        <v>176.58</v>
      </c>
      <c r="Y2007" s="6"/>
      <c r="Z2007" s="6">
        <f ca="1">('TUSD BE'!$AM$65+'TUSD BF'!$AM$65+'TUSD CVA'!$AM$65)*1</f>
        <v>502.21976924570083</v>
      </c>
      <c r="AA2007" s="6">
        <f>('TE BE'!$AB$48+'TE BF'!$AB$48+'TE CVA'!$AB$48)*1</f>
        <v>230.68197444058345</v>
      </c>
      <c r="AB2007" s="6">
        <f>$K$2007*$V$2007</f>
        <v>0</v>
      </c>
      <c r="AC2007" s="6">
        <f>$M$2007*$W$2007</f>
        <v>46.360000000000007</v>
      </c>
      <c r="AD2007" s="6">
        <f>$O$2007*$X$2007</f>
        <v>17.658000000000001</v>
      </c>
      <c r="AE2007" s="6">
        <f>$K$2007*$Y$2007</f>
        <v>0</v>
      </c>
      <c r="AF2007" s="6">
        <f ca="1">$M$2007*$Z$2007</f>
        <v>50.221976924570086</v>
      </c>
      <c r="AG2007" s="6">
        <f>$O$2007*$AA$2007</f>
        <v>23.068197444058345</v>
      </c>
    </row>
    <row r="2008" spans="1:33" ht="11.25" customHeight="1" x14ac:dyDescent="0.25">
      <c r="A2008" s="4" t="s">
        <v>21</v>
      </c>
      <c r="B2008" s="4" t="s">
        <v>39</v>
      </c>
      <c r="C2008" s="4" t="s">
        <v>23</v>
      </c>
      <c r="D2008" s="4" t="s">
        <v>48</v>
      </c>
      <c r="E2008" s="4" t="s">
        <v>25</v>
      </c>
      <c r="F2008" s="4" t="s">
        <v>25</v>
      </c>
      <c r="G2008" s="4" t="s">
        <v>25</v>
      </c>
      <c r="H2008" s="4" t="s">
        <v>25</v>
      </c>
      <c r="I2008" s="5">
        <v>44682</v>
      </c>
      <c r="J2008" s="6">
        <v>0</v>
      </c>
      <c r="K2008" s="6">
        <v>0</v>
      </c>
      <c r="L2008" s="6">
        <v>2492.3620000000001</v>
      </c>
      <c r="M2008" s="6">
        <v>2492.3620000000001</v>
      </c>
      <c r="N2008" s="6">
        <v>2492.3620000000001</v>
      </c>
      <c r="O2008" s="6">
        <v>2492.3620000000001</v>
      </c>
      <c r="P2008" s="6">
        <v>1791</v>
      </c>
      <c r="Q2008" s="4" t="s">
        <v>26</v>
      </c>
      <c r="R2008" s="4">
        <v>0</v>
      </c>
      <c r="S2008" s="6">
        <v>0</v>
      </c>
      <c r="T2008" s="6">
        <v>67</v>
      </c>
      <c r="U2008" s="6">
        <v>111</v>
      </c>
      <c r="V2008" s="6">
        <f>IF(ISERROR(VLOOKUP($S$2008,'TAR FIN'!$A$1:$O$115,15,0)),0,VLOOKUP($S$2008,'TAR FIN'!$A$1:$O$115,15,0))</f>
        <v>0</v>
      </c>
      <c r="W2008" s="6">
        <f>IF(ISERROR(VLOOKUP($T$2008,'TAR FIN'!$A$1:$O$115,15,0)),0,VLOOKUP($T$2008,'TAR FIN'!$A$1:$O$115,15,0))</f>
        <v>463.6</v>
      </c>
      <c r="X2008" s="6">
        <f>IF(ISERROR(VLOOKUP($U$2008,'TAR FIN'!$A$1:$O$115,15,0)),0,VLOOKUP($U$2008,'TAR FIN'!$A$1:$O$115,15,0))</f>
        <v>176.58</v>
      </c>
      <c r="Y2008" s="6"/>
      <c r="Z2008" s="6">
        <f ca="1">('TUSD BE'!$AM$65+'TUSD BF'!$AM$65+'TUSD CVA'!$AM$65)*1</f>
        <v>502.21976924570083</v>
      </c>
      <c r="AA2008" s="6">
        <f>('TE BE'!$AB$48+'TE BF'!$AB$48+'TE CVA'!$AB$48)*1</f>
        <v>230.68197444058345</v>
      </c>
      <c r="AB2008" s="6">
        <f>$K$2008*$V$2008</f>
        <v>0</v>
      </c>
      <c r="AC2008" s="6">
        <f>$M$2008*$W$2008</f>
        <v>1155459.0232000002</v>
      </c>
      <c r="AD2008" s="6">
        <f>$O$2008*$X$2008</f>
        <v>440101.28196000005</v>
      </c>
      <c r="AE2008" s="6">
        <f>$K$2008*$Y$2008</f>
        <v>0</v>
      </c>
      <c r="AF2008" s="6">
        <f ca="1">$M$2008*$Z$2008</f>
        <v>1251713.4685167535</v>
      </c>
      <c r="AG2008" s="6">
        <f>$O$2008*$AA$2008</f>
        <v>574942.98718068143</v>
      </c>
    </row>
    <row r="2009" spans="1:33" ht="11.25" customHeight="1" x14ac:dyDescent="0.25">
      <c r="A2009" s="4" t="s">
        <v>27</v>
      </c>
      <c r="B2009" s="4" t="s">
        <v>39</v>
      </c>
      <c r="C2009" s="4" t="s">
        <v>23</v>
      </c>
      <c r="D2009" s="4" t="s">
        <v>48</v>
      </c>
      <c r="E2009" s="4" t="s">
        <v>25</v>
      </c>
      <c r="F2009" s="4" t="s">
        <v>25</v>
      </c>
      <c r="G2009" s="4" t="s">
        <v>25</v>
      </c>
      <c r="H2009" s="4" t="s">
        <v>25</v>
      </c>
      <c r="I2009" s="5">
        <v>44682</v>
      </c>
      <c r="J2009" s="6">
        <v>0</v>
      </c>
      <c r="K2009" s="6">
        <v>0</v>
      </c>
      <c r="L2009" s="6">
        <v>-0.16</v>
      </c>
      <c r="M2009" s="6">
        <v>-0.16</v>
      </c>
      <c r="N2009" s="6">
        <v>-0.16</v>
      </c>
      <c r="O2009" s="6">
        <v>-0.16</v>
      </c>
      <c r="P2009" s="6">
        <v>-2</v>
      </c>
      <c r="Q2009" s="4" t="s">
        <v>26</v>
      </c>
      <c r="R2009" s="4">
        <v>0</v>
      </c>
      <c r="S2009" s="6">
        <v>0</v>
      </c>
      <c r="T2009" s="6">
        <v>67</v>
      </c>
      <c r="U2009" s="6">
        <v>111</v>
      </c>
      <c r="V2009" s="6">
        <f>IF(ISERROR(VLOOKUP($S$2009,'TAR FIN'!$A$1:$O$115,15,0)),0,VLOOKUP($S$2009,'TAR FIN'!$A$1:$O$115,15,0))</f>
        <v>0</v>
      </c>
      <c r="W2009" s="6">
        <f>IF(ISERROR(VLOOKUP($T$2009,'TAR FIN'!$A$1:$O$115,15,0)),0,VLOOKUP($T$2009,'TAR FIN'!$A$1:$O$115,15,0))</f>
        <v>463.6</v>
      </c>
      <c r="X2009" s="6">
        <f>IF(ISERROR(VLOOKUP($U$2009,'TAR FIN'!$A$1:$O$115,15,0)),0,VLOOKUP($U$2009,'TAR FIN'!$A$1:$O$115,15,0))</f>
        <v>176.58</v>
      </c>
      <c r="Y2009" s="6"/>
      <c r="Z2009" s="6">
        <f ca="1">('TUSD BE'!$AM$65+'TUSD BF'!$AM$65+'TUSD CVA'!$AM$65)*1</f>
        <v>502.21976924570083</v>
      </c>
      <c r="AA2009" s="6">
        <f>('TE BE'!$AB$48+'TE BF'!$AB$48+'TE CVA'!$AB$48)*1</f>
        <v>230.68197444058345</v>
      </c>
      <c r="AB2009" s="6">
        <f>$K$2009*$V$2009</f>
        <v>0</v>
      </c>
      <c r="AC2009" s="6">
        <f>$M$2009*$W$2009</f>
        <v>-74.176000000000002</v>
      </c>
      <c r="AD2009" s="6">
        <f>$O$2009*$X$2009</f>
        <v>-28.252800000000004</v>
      </c>
      <c r="AE2009" s="6">
        <f>$K$2009*$Y$2009</f>
        <v>0</v>
      </c>
      <c r="AF2009" s="6">
        <f ca="1">$M$2009*$Z$2009</f>
        <v>-80.355163079312135</v>
      </c>
      <c r="AG2009" s="6">
        <f>$O$2009*$AA$2009</f>
        <v>-36.909115910493355</v>
      </c>
    </row>
    <row r="2010" spans="1:33" ht="11.25" customHeight="1" x14ac:dyDescent="0.25">
      <c r="A2010" s="4" t="s">
        <v>28</v>
      </c>
      <c r="B2010" s="4" t="s">
        <v>39</v>
      </c>
      <c r="C2010" s="4" t="s">
        <v>23</v>
      </c>
      <c r="D2010" s="4" t="s">
        <v>48</v>
      </c>
      <c r="E2010" s="4" t="s">
        <v>25</v>
      </c>
      <c r="F2010" s="4" t="s">
        <v>25</v>
      </c>
      <c r="G2010" s="4" t="s">
        <v>25</v>
      </c>
      <c r="H2010" s="4" t="s">
        <v>25</v>
      </c>
      <c r="I2010" s="5">
        <v>44682</v>
      </c>
      <c r="J2010" s="6">
        <v>0</v>
      </c>
      <c r="K2010" s="6">
        <v>0</v>
      </c>
      <c r="L2010" s="6">
        <v>1046.462</v>
      </c>
      <c r="M2010" s="6">
        <v>1046.462</v>
      </c>
      <c r="N2010" s="6">
        <v>1046.462</v>
      </c>
      <c r="O2010" s="6">
        <v>1046.462</v>
      </c>
      <c r="P2010" s="6">
        <v>1024</v>
      </c>
      <c r="Q2010" s="4" t="s">
        <v>26</v>
      </c>
      <c r="R2010" s="4">
        <v>0</v>
      </c>
      <c r="S2010" s="6">
        <v>0</v>
      </c>
      <c r="T2010" s="6">
        <v>67</v>
      </c>
      <c r="U2010" s="6">
        <v>111</v>
      </c>
      <c r="V2010" s="6">
        <f>IF(ISERROR(VLOOKUP($S$2010,'TAR FIN'!$A$1:$O$115,15,0)),0,VLOOKUP($S$2010,'TAR FIN'!$A$1:$O$115,15,0))</f>
        <v>0</v>
      </c>
      <c r="W2010" s="6">
        <f>IF(ISERROR(VLOOKUP($T$2010,'TAR FIN'!$A$1:$O$115,15,0)),0,VLOOKUP($T$2010,'TAR FIN'!$A$1:$O$115,15,0))</f>
        <v>463.6</v>
      </c>
      <c r="X2010" s="6">
        <f>IF(ISERROR(VLOOKUP($U$2010,'TAR FIN'!$A$1:$O$115,15,0)),0,VLOOKUP($U$2010,'TAR FIN'!$A$1:$O$115,15,0))</f>
        <v>176.58</v>
      </c>
      <c r="Y2010" s="6"/>
      <c r="Z2010" s="6">
        <f ca="1">('TUSD BE'!$AM$65+'TUSD BF'!$AM$65+'TUSD CVA'!$AM$65)*1</f>
        <v>502.21976924570083</v>
      </c>
      <c r="AA2010" s="6">
        <f>('TE BE'!$AB$48+'TE BF'!$AB$48+'TE CVA'!$AB$48)*1</f>
        <v>230.68197444058345</v>
      </c>
      <c r="AB2010" s="6">
        <f>$K$2010*$V$2010</f>
        <v>0</v>
      </c>
      <c r="AC2010" s="6">
        <f>$M$2010*$W$2010</f>
        <v>485139.78320000001</v>
      </c>
      <c r="AD2010" s="6">
        <f>$O$2010*$X$2010</f>
        <v>184784.25996000002</v>
      </c>
      <c r="AE2010" s="6">
        <f>$K$2010*$Y$2010</f>
        <v>0</v>
      </c>
      <c r="AF2010" s="6">
        <f ca="1">$M$2010*$Z$2010</f>
        <v>525553.9041643946</v>
      </c>
      <c r="AG2010" s="6">
        <f>$O$2010*$AA$2010</f>
        <v>241399.92033704184</v>
      </c>
    </row>
    <row r="2011" spans="1:33" ht="11.25" customHeight="1" x14ac:dyDescent="0.25">
      <c r="A2011" s="4" t="s">
        <v>30</v>
      </c>
      <c r="B2011" s="4" t="s">
        <v>39</v>
      </c>
      <c r="C2011" s="4" t="s">
        <v>23</v>
      </c>
      <c r="D2011" s="4" t="s">
        <v>48</v>
      </c>
      <c r="E2011" s="4" t="s">
        <v>25</v>
      </c>
      <c r="F2011" s="4" t="s">
        <v>25</v>
      </c>
      <c r="G2011" s="4" t="s">
        <v>25</v>
      </c>
      <c r="H2011" s="4" t="s">
        <v>25</v>
      </c>
      <c r="I2011" s="5">
        <v>44682</v>
      </c>
      <c r="J2011" s="6">
        <v>0</v>
      </c>
      <c r="K2011" s="6">
        <v>0</v>
      </c>
      <c r="L2011" s="6">
        <v>0.1</v>
      </c>
      <c r="M2011" s="6">
        <v>0.1</v>
      </c>
      <c r="N2011" s="6">
        <v>0.1</v>
      </c>
      <c r="O2011" s="6">
        <v>0.1</v>
      </c>
      <c r="P2011" s="6">
        <v>1</v>
      </c>
      <c r="Q2011" s="4" t="s">
        <v>26</v>
      </c>
      <c r="R2011" s="4">
        <v>0</v>
      </c>
      <c r="S2011" s="6">
        <v>0</v>
      </c>
      <c r="T2011" s="6">
        <v>67</v>
      </c>
      <c r="U2011" s="6">
        <v>111</v>
      </c>
      <c r="V2011" s="6">
        <f>IF(ISERROR(VLOOKUP($S$2011,'TAR FIN'!$A$1:$O$115,15,0)),0,VLOOKUP($S$2011,'TAR FIN'!$A$1:$O$115,15,0))</f>
        <v>0</v>
      </c>
      <c r="W2011" s="6">
        <f>IF(ISERROR(VLOOKUP($T$2011,'TAR FIN'!$A$1:$O$115,15,0)),0,VLOOKUP($T$2011,'TAR FIN'!$A$1:$O$115,15,0))</f>
        <v>463.6</v>
      </c>
      <c r="X2011" s="6">
        <f>IF(ISERROR(VLOOKUP($U$2011,'TAR FIN'!$A$1:$O$115,15,0)),0,VLOOKUP($U$2011,'TAR FIN'!$A$1:$O$115,15,0))</f>
        <v>176.58</v>
      </c>
      <c r="Y2011" s="6"/>
      <c r="Z2011" s="6">
        <f ca="1">('TUSD BE'!$AM$65+'TUSD BF'!$AM$65+'TUSD CVA'!$AM$65)*1</f>
        <v>502.21976924570083</v>
      </c>
      <c r="AA2011" s="6">
        <f>('TE BE'!$AB$48+'TE BF'!$AB$48+'TE CVA'!$AB$48)*1</f>
        <v>230.68197444058345</v>
      </c>
      <c r="AB2011" s="6">
        <f>$K$2011*$V$2011</f>
        <v>0</v>
      </c>
      <c r="AC2011" s="6">
        <f>$M$2011*$W$2011</f>
        <v>46.360000000000007</v>
      </c>
      <c r="AD2011" s="6">
        <f>$O$2011*$X$2011</f>
        <v>17.658000000000001</v>
      </c>
      <c r="AE2011" s="6">
        <f>$K$2011*$Y$2011</f>
        <v>0</v>
      </c>
      <c r="AF2011" s="6">
        <f ca="1">$M$2011*$Z$2011</f>
        <v>50.221976924570086</v>
      </c>
      <c r="AG2011" s="6">
        <f>$O$2011*$AA$2011</f>
        <v>23.068197444058345</v>
      </c>
    </row>
    <row r="2012" spans="1:33" ht="11.25" customHeight="1" x14ac:dyDescent="0.25">
      <c r="A2012" s="4" t="s">
        <v>21</v>
      </c>
      <c r="B2012" s="4" t="s">
        <v>39</v>
      </c>
      <c r="C2012" s="4" t="s">
        <v>23</v>
      </c>
      <c r="D2012" s="4" t="s">
        <v>48</v>
      </c>
      <c r="E2012" s="4" t="s">
        <v>25</v>
      </c>
      <c r="F2012" s="4" t="s">
        <v>25</v>
      </c>
      <c r="G2012" s="4" t="s">
        <v>25</v>
      </c>
      <c r="H2012" s="4" t="s">
        <v>25</v>
      </c>
      <c r="I2012" s="5">
        <v>44713</v>
      </c>
      <c r="J2012" s="6">
        <v>0</v>
      </c>
      <c r="K2012" s="6">
        <v>0</v>
      </c>
      <c r="L2012" s="6">
        <v>2354.482</v>
      </c>
      <c r="M2012" s="6">
        <v>2354.482</v>
      </c>
      <c r="N2012" s="6">
        <v>2354.482</v>
      </c>
      <c r="O2012" s="6">
        <v>2354.482</v>
      </c>
      <c r="P2012" s="6">
        <v>1790</v>
      </c>
      <c r="Q2012" s="4" t="s">
        <v>26</v>
      </c>
      <c r="R2012" s="4">
        <v>0</v>
      </c>
      <c r="S2012" s="6">
        <v>0</v>
      </c>
      <c r="T2012" s="6">
        <v>67</v>
      </c>
      <c r="U2012" s="6">
        <v>111</v>
      </c>
      <c r="V2012" s="6">
        <f>IF(ISERROR(VLOOKUP($S$2012,'TAR FIN'!$A$1:$O$115,15,0)),0,VLOOKUP($S$2012,'TAR FIN'!$A$1:$O$115,15,0))</f>
        <v>0</v>
      </c>
      <c r="W2012" s="6">
        <f>IF(ISERROR(VLOOKUP($T$2012,'TAR FIN'!$A$1:$O$115,15,0)),0,VLOOKUP($T$2012,'TAR FIN'!$A$1:$O$115,15,0))</f>
        <v>463.6</v>
      </c>
      <c r="X2012" s="6">
        <f>IF(ISERROR(VLOOKUP($U$2012,'TAR FIN'!$A$1:$O$115,15,0)),0,VLOOKUP($U$2012,'TAR FIN'!$A$1:$O$115,15,0))</f>
        <v>176.58</v>
      </c>
      <c r="Y2012" s="6"/>
      <c r="Z2012" s="6">
        <f ca="1">('TUSD BE'!$AM$65+'TUSD BF'!$AM$65+'TUSD CVA'!$AM$65)*1</f>
        <v>502.21976924570083</v>
      </c>
      <c r="AA2012" s="6">
        <f>('TE BE'!$AB$48+'TE BF'!$AB$48+'TE CVA'!$AB$48)*1</f>
        <v>230.68197444058345</v>
      </c>
      <c r="AB2012" s="6">
        <f>$K$2012*$V$2012</f>
        <v>0</v>
      </c>
      <c r="AC2012" s="6">
        <f>$M$2012*$W$2012</f>
        <v>1091537.8552000001</v>
      </c>
      <c r="AD2012" s="6">
        <f>$O$2012*$X$2012</f>
        <v>415754.43156</v>
      </c>
      <c r="AE2012" s="6">
        <f>$K$2012*$Y$2012</f>
        <v>0</v>
      </c>
      <c r="AF2012" s="6">
        <f ca="1">$M$2012*$Z$2012</f>
        <v>1182467.4067331562</v>
      </c>
      <c r="AG2012" s="6">
        <f>$O$2012*$AA$2012</f>
        <v>543136.55654481379</v>
      </c>
    </row>
    <row r="2013" spans="1:33" ht="11.25" customHeight="1" x14ac:dyDescent="0.25">
      <c r="A2013" s="4" t="s">
        <v>27</v>
      </c>
      <c r="B2013" s="4" t="s">
        <v>39</v>
      </c>
      <c r="C2013" s="4" t="s">
        <v>23</v>
      </c>
      <c r="D2013" s="4" t="s">
        <v>48</v>
      </c>
      <c r="E2013" s="4" t="s">
        <v>25</v>
      </c>
      <c r="F2013" s="4" t="s">
        <v>25</v>
      </c>
      <c r="G2013" s="4" t="s">
        <v>25</v>
      </c>
      <c r="H2013" s="4" t="s">
        <v>25</v>
      </c>
      <c r="I2013" s="5">
        <v>44713</v>
      </c>
      <c r="J2013" s="6">
        <v>0</v>
      </c>
      <c r="K2013" s="6">
        <v>0</v>
      </c>
      <c r="L2013" s="6">
        <v>4.7830000000000004</v>
      </c>
      <c r="M2013" s="6">
        <v>4.7830000000000004</v>
      </c>
      <c r="N2013" s="6">
        <v>4.7830000000000004</v>
      </c>
      <c r="O2013" s="6">
        <v>4.7830000000000004</v>
      </c>
      <c r="P2013" s="6">
        <v>2</v>
      </c>
      <c r="Q2013" s="4" t="s">
        <v>26</v>
      </c>
      <c r="R2013" s="4">
        <v>0</v>
      </c>
      <c r="S2013" s="6">
        <v>0</v>
      </c>
      <c r="T2013" s="6">
        <v>67</v>
      </c>
      <c r="U2013" s="6">
        <v>111</v>
      </c>
      <c r="V2013" s="6">
        <f>IF(ISERROR(VLOOKUP($S$2013,'TAR FIN'!$A$1:$O$115,15,0)),0,VLOOKUP($S$2013,'TAR FIN'!$A$1:$O$115,15,0))</f>
        <v>0</v>
      </c>
      <c r="W2013" s="6">
        <f>IF(ISERROR(VLOOKUP($T$2013,'TAR FIN'!$A$1:$O$115,15,0)),0,VLOOKUP($T$2013,'TAR FIN'!$A$1:$O$115,15,0))</f>
        <v>463.6</v>
      </c>
      <c r="X2013" s="6">
        <f>IF(ISERROR(VLOOKUP($U$2013,'TAR FIN'!$A$1:$O$115,15,0)),0,VLOOKUP($U$2013,'TAR FIN'!$A$1:$O$115,15,0))</f>
        <v>176.58</v>
      </c>
      <c r="Y2013" s="6"/>
      <c r="Z2013" s="6">
        <f ca="1">('TUSD BE'!$AM$65+'TUSD BF'!$AM$65+'TUSD CVA'!$AM$65)*1</f>
        <v>502.21976924570083</v>
      </c>
      <c r="AA2013" s="6">
        <f>('TE BE'!$AB$48+'TE BF'!$AB$48+'TE CVA'!$AB$48)*1</f>
        <v>230.68197444058345</v>
      </c>
      <c r="AB2013" s="6">
        <f>$K$2013*$V$2013</f>
        <v>0</v>
      </c>
      <c r="AC2013" s="6">
        <f>$M$2013*$W$2013</f>
        <v>2217.3988000000004</v>
      </c>
      <c r="AD2013" s="6">
        <f>$O$2013*$X$2013</f>
        <v>844.58214000000009</v>
      </c>
      <c r="AE2013" s="6">
        <f>$K$2013*$Y$2013</f>
        <v>0</v>
      </c>
      <c r="AF2013" s="6">
        <f ca="1">$M$2013*$Z$2013</f>
        <v>2402.1171563021871</v>
      </c>
      <c r="AG2013" s="6">
        <f>$O$2013*$AA$2013</f>
        <v>1103.3518837493107</v>
      </c>
    </row>
    <row r="2014" spans="1:33" ht="11.25" customHeight="1" x14ac:dyDescent="0.25">
      <c r="A2014" s="4" t="s">
        <v>28</v>
      </c>
      <c r="B2014" s="4" t="s">
        <v>39</v>
      </c>
      <c r="C2014" s="4" t="s">
        <v>23</v>
      </c>
      <c r="D2014" s="4" t="s">
        <v>48</v>
      </c>
      <c r="E2014" s="4" t="s">
        <v>25</v>
      </c>
      <c r="F2014" s="4" t="s">
        <v>25</v>
      </c>
      <c r="G2014" s="4" t="s">
        <v>25</v>
      </c>
      <c r="H2014" s="4" t="s">
        <v>25</v>
      </c>
      <c r="I2014" s="5">
        <v>44713</v>
      </c>
      <c r="J2014" s="6">
        <v>0</v>
      </c>
      <c r="K2014" s="6">
        <v>0</v>
      </c>
      <c r="L2014" s="6">
        <v>988.85699999999997</v>
      </c>
      <c r="M2014" s="6">
        <v>988.85699999999997</v>
      </c>
      <c r="N2014" s="6">
        <v>988.85699999999997</v>
      </c>
      <c r="O2014" s="6">
        <v>988.85699999999997</v>
      </c>
      <c r="P2014" s="6">
        <v>1020</v>
      </c>
      <c r="Q2014" s="4" t="s">
        <v>26</v>
      </c>
      <c r="R2014" s="4">
        <v>0</v>
      </c>
      <c r="S2014" s="6">
        <v>0</v>
      </c>
      <c r="T2014" s="6">
        <v>67</v>
      </c>
      <c r="U2014" s="6">
        <v>111</v>
      </c>
      <c r="V2014" s="6">
        <f>IF(ISERROR(VLOOKUP($S$2014,'TAR FIN'!$A$1:$O$115,15,0)),0,VLOOKUP($S$2014,'TAR FIN'!$A$1:$O$115,15,0))</f>
        <v>0</v>
      </c>
      <c r="W2014" s="6">
        <f>IF(ISERROR(VLOOKUP($T$2014,'TAR FIN'!$A$1:$O$115,15,0)),0,VLOOKUP($T$2014,'TAR FIN'!$A$1:$O$115,15,0))</f>
        <v>463.6</v>
      </c>
      <c r="X2014" s="6">
        <f>IF(ISERROR(VLOOKUP($U$2014,'TAR FIN'!$A$1:$O$115,15,0)),0,VLOOKUP($U$2014,'TAR FIN'!$A$1:$O$115,15,0))</f>
        <v>176.58</v>
      </c>
      <c r="Y2014" s="6"/>
      <c r="Z2014" s="6">
        <f ca="1">('TUSD BE'!$AM$65+'TUSD BF'!$AM$65+'TUSD CVA'!$AM$65)*1</f>
        <v>502.21976924570083</v>
      </c>
      <c r="AA2014" s="6">
        <f>('TE BE'!$AB$48+'TE BF'!$AB$48+'TE CVA'!$AB$48)*1</f>
        <v>230.68197444058345</v>
      </c>
      <c r="AB2014" s="6">
        <f>$K$2014*$V$2014</f>
        <v>0</v>
      </c>
      <c r="AC2014" s="6">
        <f>$M$2014*$W$2014</f>
        <v>458434.10519999999</v>
      </c>
      <c r="AD2014" s="6">
        <f>$O$2014*$X$2014</f>
        <v>174612.36906</v>
      </c>
      <c r="AE2014" s="6">
        <f>$K$2014*$Y$2014</f>
        <v>0</v>
      </c>
      <c r="AF2014" s="6">
        <f ca="1">$M$2014*$Z$2014</f>
        <v>496623.53435699595</v>
      </c>
      <c r="AG2014" s="6">
        <f>$O$2014*$AA$2014</f>
        <v>228111.48519939202</v>
      </c>
    </row>
    <row r="2015" spans="1:33" ht="11.25" customHeight="1" x14ac:dyDescent="0.25">
      <c r="A2015" s="4" t="s">
        <v>30</v>
      </c>
      <c r="B2015" s="4" t="s">
        <v>39</v>
      </c>
      <c r="C2015" s="4" t="s">
        <v>23</v>
      </c>
      <c r="D2015" s="4" t="s">
        <v>48</v>
      </c>
      <c r="E2015" s="4" t="s">
        <v>25</v>
      </c>
      <c r="F2015" s="4" t="s">
        <v>25</v>
      </c>
      <c r="G2015" s="4" t="s">
        <v>25</v>
      </c>
      <c r="H2015" s="4" t="s">
        <v>25</v>
      </c>
      <c r="I2015" s="5">
        <v>44713</v>
      </c>
      <c r="J2015" s="6">
        <v>0</v>
      </c>
      <c r="K2015" s="6">
        <v>0</v>
      </c>
      <c r="L2015" s="6">
        <v>3.0670000000000002</v>
      </c>
      <c r="M2015" s="6">
        <v>3.0670000000000002</v>
      </c>
      <c r="N2015" s="6">
        <v>3.0670000000000002</v>
      </c>
      <c r="O2015" s="6">
        <v>3.0670000000000002</v>
      </c>
      <c r="P2015" s="6">
        <v>3</v>
      </c>
      <c r="Q2015" s="4" t="s">
        <v>26</v>
      </c>
      <c r="R2015" s="4">
        <v>0</v>
      </c>
      <c r="S2015" s="6">
        <v>0</v>
      </c>
      <c r="T2015" s="6">
        <v>67</v>
      </c>
      <c r="U2015" s="6">
        <v>111</v>
      </c>
      <c r="V2015" s="6">
        <f>IF(ISERROR(VLOOKUP($S$2015,'TAR FIN'!$A$1:$O$115,15,0)),0,VLOOKUP($S$2015,'TAR FIN'!$A$1:$O$115,15,0))</f>
        <v>0</v>
      </c>
      <c r="W2015" s="6">
        <f>IF(ISERROR(VLOOKUP($T$2015,'TAR FIN'!$A$1:$O$115,15,0)),0,VLOOKUP($T$2015,'TAR FIN'!$A$1:$O$115,15,0))</f>
        <v>463.6</v>
      </c>
      <c r="X2015" s="6">
        <f>IF(ISERROR(VLOOKUP($U$2015,'TAR FIN'!$A$1:$O$115,15,0)),0,VLOOKUP($U$2015,'TAR FIN'!$A$1:$O$115,15,0))</f>
        <v>176.58</v>
      </c>
      <c r="Y2015" s="6"/>
      <c r="Z2015" s="6">
        <f ca="1">('TUSD BE'!$AM$65+'TUSD BF'!$AM$65+'TUSD CVA'!$AM$65)*1</f>
        <v>502.21976924570083</v>
      </c>
      <c r="AA2015" s="6">
        <f>('TE BE'!$AB$48+'TE BF'!$AB$48+'TE CVA'!$AB$48)*1</f>
        <v>230.68197444058345</v>
      </c>
      <c r="AB2015" s="6">
        <f>$K$2015*$V$2015</f>
        <v>0</v>
      </c>
      <c r="AC2015" s="6">
        <f>$M$2015*$W$2015</f>
        <v>1421.8612000000001</v>
      </c>
      <c r="AD2015" s="6">
        <f>$O$2015*$X$2015</f>
        <v>541.57086000000004</v>
      </c>
      <c r="AE2015" s="6">
        <f>$K$2015*$Y$2015</f>
        <v>0</v>
      </c>
      <c r="AF2015" s="6">
        <f ca="1">$M$2015*$Z$2015</f>
        <v>1540.3080322765645</v>
      </c>
      <c r="AG2015" s="6">
        <f>$O$2015*$AA$2015</f>
        <v>707.50161560926949</v>
      </c>
    </row>
    <row r="2016" spans="1:33" ht="11.25" customHeight="1" x14ac:dyDescent="0.25">
      <c r="A2016" s="4" t="s">
        <v>30</v>
      </c>
      <c r="B2016" s="4" t="s">
        <v>39</v>
      </c>
      <c r="C2016" s="4" t="s">
        <v>23</v>
      </c>
      <c r="D2016" s="4" t="s">
        <v>48</v>
      </c>
      <c r="E2016" s="4" t="s">
        <v>25</v>
      </c>
      <c r="F2016" s="4" t="s">
        <v>25</v>
      </c>
      <c r="G2016" s="4" t="s">
        <v>25</v>
      </c>
      <c r="H2016" s="4" t="s">
        <v>25</v>
      </c>
      <c r="I2016" s="5">
        <v>44713</v>
      </c>
      <c r="J2016" s="6">
        <v>0</v>
      </c>
      <c r="K2016" s="6">
        <v>0</v>
      </c>
      <c r="L2016" s="6">
        <v>1.0609999999999999</v>
      </c>
      <c r="M2016" s="6">
        <v>1.0609999999999999</v>
      </c>
      <c r="N2016" s="6">
        <v>1.0609999999999999</v>
      </c>
      <c r="O2016" s="6">
        <v>1.0609999999999999</v>
      </c>
      <c r="P2016" s="6">
        <v>1</v>
      </c>
      <c r="Q2016" s="4" t="s">
        <v>26</v>
      </c>
      <c r="R2016" s="4">
        <v>0</v>
      </c>
      <c r="S2016" s="6">
        <v>0</v>
      </c>
      <c r="T2016" s="6">
        <v>67</v>
      </c>
      <c r="U2016" s="6">
        <v>111</v>
      </c>
      <c r="V2016" s="6">
        <f>IF(ISERROR(VLOOKUP($S$2016,'TAR FIN'!$A$1:$O$115,15,0)),0,VLOOKUP($S$2016,'TAR FIN'!$A$1:$O$115,15,0))</f>
        <v>0</v>
      </c>
      <c r="W2016" s="6">
        <f>IF(ISERROR(VLOOKUP($T$2016,'TAR FIN'!$A$1:$O$115,15,0)),0,VLOOKUP($T$2016,'TAR FIN'!$A$1:$O$115,15,0))</f>
        <v>463.6</v>
      </c>
      <c r="X2016" s="6">
        <f>IF(ISERROR(VLOOKUP($U$2016,'TAR FIN'!$A$1:$O$115,15,0)),0,VLOOKUP($U$2016,'TAR FIN'!$A$1:$O$115,15,0))</f>
        <v>176.58</v>
      </c>
      <c r="Y2016" s="6"/>
      <c r="Z2016" s="6">
        <f ca="1">('TUSD BE'!$AM$65+'TUSD BF'!$AM$65+'TUSD CVA'!$AM$65)*1</f>
        <v>502.21976924570083</v>
      </c>
      <c r="AA2016" s="6">
        <f>('TE BE'!$AB$48+'TE BF'!$AB$48+'TE CVA'!$AB$48)*1</f>
        <v>230.68197444058345</v>
      </c>
      <c r="AB2016" s="6">
        <f>$K$2016*$V$2016</f>
        <v>0</v>
      </c>
      <c r="AC2016" s="6">
        <f>$M$2016*$W$2016</f>
        <v>491.87959999999998</v>
      </c>
      <c r="AD2016" s="6">
        <f>$O$2016*$X$2016</f>
        <v>187.35138000000001</v>
      </c>
      <c r="AE2016" s="6">
        <f>$K$2016*$Y$2016</f>
        <v>0</v>
      </c>
      <c r="AF2016" s="6">
        <f ca="1">$M$2016*$Z$2016</f>
        <v>532.85517516968855</v>
      </c>
      <c r="AG2016" s="6">
        <f>$O$2016*$AA$2016</f>
        <v>244.75357488145903</v>
      </c>
    </row>
    <row r="2017" spans="1:33" ht="11.25" customHeight="1" x14ac:dyDescent="0.25">
      <c r="A2017" s="4" t="s">
        <v>21</v>
      </c>
      <c r="B2017" s="4" t="s">
        <v>39</v>
      </c>
      <c r="C2017" s="4" t="s">
        <v>23</v>
      </c>
      <c r="D2017" s="4" t="s">
        <v>48</v>
      </c>
      <c r="E2017" s="4" t="s">
        <v>25</v>
      </c>
      <c r="F2017" s="4" t="s">
        <v>25</v>
      </c>
      <c r="G2017" s="4" t="s">
        <v>25</v>
      </c>
      <c r="H2017" s="4" t="s">
        <v>25</v>
      </c>
      <c r="I2017" s="5">
        <v>44743</v>
      </c>
      <c r="J2017" s="6">
        <v>0</v>
      </c>
      <c r="K2017" s="6">
        <v>0</v>
      </c>
      <c r="L2017" s="6">
        <v>2655.08</v>
      </c>
      <c r="M2017" s="6">
        <v>2655.08</v>
      </c>
      <c r="N2017" s="6">
        <v>2655.08</v>
      </c>
      <c r="O2017" s="6">
        <v>2655.08</v>
      </c>
      <c r="P2017" s="6">
        <v>1791</v>
      </c>
      <c r="Q2017" s="4" t="s">
        <v>26</v>
      </c>
      <c r="R2017" s="4">
        <v>0</v>
      </c>
      <c r="S2017" s="6">
        <v>0</v>
      </c>
      <c r="T2017" s="6">
        <v>67</v>
      </c>
      <c r="U2017" s="6">
        <v>111</v>
      </c>
      <c r="V2017" s="6">
        <f>IF(ISERROR(VLOOKUP($S$2017,'TAR FIN'!$A$1:$O$115,15,0)),0,VLOOKUP($S$2017,'TAR FIN'!$A$1:$O$115,15,0))</f>
        <v>0</v>
      </c>
      <c r="W2017" s="6">
        <f>IF(ISERROR(VLOOKUP($T$2017,'TAR FIN'!$A$1:$O$115,15,0)),0,VLOOKUP($T$2017,'TAR FIN'!$A$1:$O$115,15,0))</f>
        <v>463.6</v>
      </c>
      <c r="X2017" s="6">
        <f>IF(ISERROR(VLOOKUP($U$2017,'TAR FIN'!$A$1:$O$115,15,0)),0,VLOOKUP($U$2017,'TAR FIN'!$A$1:$O$115,15,0))</f>
        <v>176.58</v>
      </c>
      <c r="Y2017" s="6"/>
      <c r="Z2017" s="6">
        <f ca="1">('TUSD BE'!$AM$65+'TUSD BF'!$AM$65+'TUSD CVA'!$AM$65)*1</f>
        <v>502.21976924570083</v>
      </c>
      <c r="AA2017" s="6">
        <f>('TE BE'!$AB$48+'TE BF'!$AB$48+'TE CVA'!$AB$48)*1</f>
        <v>230.68197444058345</v>
      </c>
      <c r="AB2017" s="6">
        <f>$K$2017*$V$2017</f>
        <v>0</v>
      </c>
      <c r="AC2017" s="6">
        <f>$M$2017*$W$2017</f>
        <v>1230895.088</v>
      </c>
      <c r="AD2017" s="6">
        <f>$O$2017*$X$2017</f>
        <v>468834.02640000003</v>
      </c>
      <c r="AE2017" s="6">
        <f>$K$2017*$Y$2017</f>
        <v>0</v>
      </c>
      <c r="AF2017" s="6">
        <f ca="1">$M$2017*$Z$2017</f>
        <v>1333433.6649288754</v>
      </c>
      <c r="AG2017" s="6">
        <f>$O$2017*$AA$2017</f>
        <v>612479.09669770428</v>
      </c>
    </row>
    <row r="2018" spans="1:33" ht="11.25" customHeight="1" x14ac:dyDescent="0.25">
      <c r="A2018" s="4" t="s">
        <v>27</v>
      </c>
      <c r="B2018" s="4" t="s">
        <v>39</v>
      </c>
      <c r="C2018" s="4" t="s">
        <v>23</v>
      </c>
      <c r="D2018" s="4" t="s">
        <v>48</v>
      </c>
      <c r="E2018" s="4" t="s">
        <v>25</v>
      </c>
      <c r="F2018" s="4" t="s">
        <v>25</v>
      </c>
      <c r="G2018" s="4" t="s">
        <v>25</v>
      </c>
      <c r="H2018" s="4" t="s">
        <v>25</v>
      </c>
      <c r="I2018" s="5">
        <v>44743</v>
      </c>
      <c r="J2018" s="6">
        <v>0</v>
      </c>
      <c r="K2018" s="6">
        <v>0</v>
      </c>
      <c r="L2018" s="6">
        <v>2.4660000000000002</v>
      </c>
      <c r="M2018" s="6">
        <v>2.4660000000000002</v>
      </c>
      <c r="N2018" s="6">
        <v>2.4660000000000002</v>
      </c>
      <c r="O2018" s="6">
        <v>2.4660000000000002</v>
      </c>
      <c r="P2018" s="6">
        <v>-1</v>
      </c>
      <c r="Q2018" s="4" t="s">
        <v>26</v>
      </c>
      <c r="R2018" s="4">
        <v>0</v>
      </c>
      <c r="S2018" s="6">
        <v>0</v>
      </c>
      <c r="T2018" s="6">
        <v>67</v>
      </c>
      <c r="U2018" s="6">
        <v>111</v>
      </c>
      <c r="V2018" s="6">
        <f>IF(ISERROR(VLOOKUP($S$2018,'TAR FIN'!$A$1:$O$115,15,0)),0,VLOOKUP($S$2018,'TAR FIN'!$A$1:$O$115,15,0))</f>
        <v>0</v>
      </c>
      <c r="W2018" s="6">
        <f>IF(ISERROR(VLOOKUP($T$2018,'TAR FIN'!$A$1:$O$115,15,0)),0,VLOOKUP($T$2018,'TAR FIN'!$A$1:$O$115,15,0))</f>
        <v>463.6</v>
      </c>
      <c r="X2018" s="6">
        <f>IF(ISERROR(VLOOKUP($U$2018,'TAR FIN'!$A$1:$O$115,15,0)),0,VLOOKUP($U$2018,'TAR FIN'!$A$1:$O$115,15,0))</f>
        <v>176.58</v>
      </c>
      <c r="Y2018" s="6"/>
      <c r="Z2018" s="6">
        <f ca="1">('TUSD BE'!$AM$65+'TUSD BF'!$AM$65+'TUSD CVA'!$AM$65)*1</f>
        <v>502.21976924570083</v>
      </c>
      <c r="AA2018" s="6">
        <f>('TE BE'!$AB$48+'TE BF'!$AB$48+'TE CVA'!$AB$48)*1</f>
        <v>230.68197444058345</v>
      </c>
      <c r="AB2018" s="6">
        <f>$K$2018*$V$2018</f>
        <v>0</v>
      </c>
      <c r="AC2018" s="6">
        <f>$M$2018*$W$2018</f>
        <v>1143.2376000000002</v>
      </c>
      <c r="AD2018" s="6">
        <f>$O$2018*$X$2018</f>
        <v>435.44628000000006</v>
      </c>
      <c r="AE2018" s="6">
        <f>$K$2018*$Y$2018</f>
        <v>0</v>
      </c>
      <c r="AF2018" s="6">
        <f ca="1">$M$2018*$Z$2018</f>
        <v>1238.4739509598983</v>
      </c>
      <c r="AG2018" s="6">
        <f>$O$2018*$AA$2018</f>
        <v>568.86174897047886</v>
      </c>
    </row>
    <row r="2019" spans="1:33" ht="11.25" customHeight="1" x14ac:dyDescent="0.25">
      <c r="A2019" s="4" t="s">
        <v>28</v>
      </c>
      <c r="B2019" s="4" t="s">
        <v>39</v>
      </c>
      <c r="C2019" s="4" t="s">
        <v>23</v>
      </c>
      <c r="D2019" s="4" t="s">
        <v>48</v>
      </c>
      <c r="E2019" s="4" t="s">
        <v>25</v>
      </c>
      <c r="F2019" s="4" t="s">
        <v>25</v>
      </c>
      <c r="G2019" s="4" t="s">
        <v>25</v>
      </c>
      <c r="H2019" s="4" t="s">
        <v>25</v>
      </c>
      <c r="I2019" s="5">
        <v>44743</v>
      </c>
      <c r="J2019" s="6">
        <v>0</v>
      </c>
      <c r="K2019" s="6">
        <v>0</v>
      </c>
      <c r="L2019" s="6">
        <v>1157.019</v>
      </c>
      <c r="M2019" s="6">
        <v>1157.019</v>
      </c>
      <c r="N2019" s="6">
        <v>1157.019</v>
      </c>
      <c r="O2019" s="6">
        <v>1157.019</v>
      </c>
      <c r="P2019" s="6">
        <v>1032</v>
      </c>
      <c r="Q2019" s="4" t="s">
        <v>26</v>
      </c>
      <c r="R2019" s="4">
        <v>0</v>
      </c>
      <c r="S2019" s="6">
        <v>0</v>
      </c>
      <c r="T2019" s="6">
        <v>67</v>
      </c>
      <c r="U2019" s="6">
        <v>111</v>
      </c>
      <c r="V2019" s="6">
        <f>IF(ISERROR(VLOOKUP($S$2019,'TAR FIN'!$A$1:$O$115,15,0)),0,VLOOKUP($S$2019,'TAR FIN'!$A$1:$O$115,15,0))</f>
        <v>0</v>
      </c>
      <c r="W2019" s="6">
        <f>IF(ISERROR(VLOOKUP($T$2019,'TAR FIN'!$A$1:$O$115,15,0)),0,VLOOKUP($T$2019,'TAR FIN'!$A$1:$O$115,15,0))</f>
        <v>463.6</v>
      </c>
      <c r="X2019" s="6">
        <f>IF(ISERROR(VLOOKUP($U$2019,'TAR FIN'!$A$1:$O$115,15,0)),0,VLOOKUP($U$2019,'TAR FIN'!$A$1:$O$115,15,0))</f>
        <v>176.58</v>
      </c>
      <c r="Y2019" s="6"/>
      <c r="Z2019" s="6">
        <f ca="1">('TUSD BE'!$AM$65+'TUSD BF'!$AM$65+'TUSD CVA'!$AM$65)*1</f>
        <v>502.21976924570083</v>
      </c>
      <c r="AA2019" s="6">
        <f>('TE BE'!$AB$48+'TE BF'!$AB$48+'TE CVA'!$AB$48)*1</f>
        <v>230.68197444058345</v>
      </c>
      <c r="AB2019" s="6">
        <f>$K$2019*$V$2019</f>
        <v>0</v>
      </c>
      <c r="AC2019" s="6">
        <f>$M$2019*$W$2019</f>
        <v>536394.00840000005</v>
      </c>
      <c r="AD2019" s="6">
        <f>$O$2019*$X$2019</f>
        <v>204306.41502000001</v>
      </c>
      <c r="AE2019" s="6">
        <f>$K$2019*$Y$2019</f>
        <v>0</v>
      </c>
      <c r="AF2019" s="6">
        <f ca="1">$M$2019*$Z$2019</f>
        <v>581077.81519289152</v>
      </c>
      <c r="AG2019" s="6">
        <f>$O$2019*$AA$2019</f>
        <v>266903.42738526943</v>
      </c>
    </row>
    <row r="2020" spans="1:33" ht="11.25" customHeight="1" x14ac:dyDescent="0.25">
      <c r="A2020" s="4" t="s">
        <v>30</v>
      </c>
      <c r="B2020" s="4" t="s">
        <v>39</v>
      </c>
      <c r="C2020" s="4" t="s">
        <v>23</v>
      </c>
      <c r="D2020" s="4" t="s">
        <v>48</v>
      </c>
      <c r="E2020" s="4" t="s">
        <v>25</v>
      </c>
      <c r="F2020" s="4" t="s">
        <v>25</v>
      </c>
      <c r="G2020" s="4" t="s">
        <v>25</v>
      </c>
      <c r="H2020" s="4" t="s">
        <v>25</v>
      </c>
      <c r="I2020" s="5">
        <v>44743</v>
      </c>
      <c r="J2020" s="6">
        <v>0</v>
      </c>
      <c r="K2020" s="6">
        <v>0</v>
      </c>
      <c r="L2020" s="6">
        <v>1.909</v>
      </c>
      <c r="M2020" s="6">
        <v>1.909</v>
      </c>
      <c r="N2020" s="6">
        <v>1.909</v>
      </c>
      <c r="O2020" s="6">
        <v>1.909</v>
      </c>
      <c r="P2020" s="6">
        <v>2</v>
      </c>
      <c r="Q2020" s="4" t="s">
        <v>26</v>
      </c>
      <c r="R2020" s="4">
        <v>0</v>
      </c>
      <c r="S2020" s="6">
        <v>0</v>
      </c>
      <c r="T2020" s="6">
        <v>67</v>
      </c>
      <c r="U2020" s="6">
        <v>111</v>
      </c>
      <c r="V2020" s="6">
        <f>IF(ISERROR(VLOOKUP($S$2020,'TAR FIN'!$A$1:$O$115,15,0)),0,VLOOKUP($S$2020,'TAR FIN'!$A$1:$O$115,15,0))</f>
        <v>0</v>
      </c>
      <c r="W2020" s="6">
        <f>IF(ISERROR(VLOOKUP($T$2020,'TAR FIN'!$A$1:$O$115,15,0)),0,VLOOKUP($T$2020,'TAR FIN'!$A$1:$O$115,15,0))</f>
        <v>463.6</v>
      </c>
      <c r="X2020" s="6">
        <f>IF(ISERROR(VLOOKUP($U$2020,'TAR FIN'!$A$1:$O$115,15,0)),0,VLOOKUP($U$2020,'TAR FIN'!$A$1:$O$115,15,0))</f>
        <v>176.58</v>
      </c>
      <c r="Y2020" s="6"/>
      <c r="Z2020" s="6">
        <f ca="1">('TUSD BE'!$AM$65+'TUSD BF'!$AM$65+'TUSD CVA'!$AM$65)*1</f>
        <v>502.21976924570083</v>
      </c>
      <c r="AA2020" s="6">
        <f>('TE BE'!$AB$48+'TE BF'!$AB$48+'TE CVA'!$AB$48)*1</f>
        <v>230.68197444058345</v>
      </c>
      <c r="AB2020" s="6">
        <f>$K$2020*$V$2020</f>
        <v>0</v>
      </c>
      <c r="AC2020" s="6">
        <f>$M$2020*$W$2020</f>
        <v>885.01240000000007</v>
      </c>
      <c r="AD2020" s="6">
        <f>$O$2020*$X$2020</f>
        <v>337.09122000000002</v>
      </c>
      <c r="AE2020" s="6">
        <f>$K$2020*$Y$2020</f>
        <v>0</v>
      </c>
      <c r="AF2020" s="6">
        <f ca="1">$M$2020*$Z$2020</f>
        <v>958.73753949004288</v>
      </c>
      <c r="AG2020" s="6">
        <f>$O$2020*$AA$2020</f>
        <v>440.37188920707382</v>
      </c>
    </row>
    <row r="2021" spans="1:33" ht="11.25" customHeight="1" x14ac:dyDescent="0.25">
      <c r="A2021" s="4" t="s">
        <v>30</v>
      </c>
      <c r="B2021" s="4" t="s">
        <v>39</v>
      </c>
      <c r="C2021" s="4" t="s">
        <v>23</v>
      </c>
      <c r="D2021" s="4" t="s">
        <v>48</v>
      </c>
      <c r="E2021" s="4" t="s">
        <v>25</v>
      </c>
      <c r="F2021" s="4" t="s">
        <v>25</v>
      </c>
      <c r="G2021" s="4" t="s">
        <v>25</v>
      </c>
      <c r="H2021" s="4" t="s">
        <v>25</v>
      </c>
      <c r="I2021" s="5">
        <v>44743</v>
      </c>
      <c r="J2021" s="6">
        <v>0</v>
      </c>
      <c r="K2021" s="6">
        <v>0</v>
      </c>
      <c r="L2021" s="6">
        <v>0.52200000000000002</v>
      </c>
      <c r="M2021" s="6">
        <v>0.52200000000000002</v>
      </c>
      <c r="N2021" s="6">
        <v>0.52200000000000002</v>
      </c>
      <c r="O2021" s="6">
        <v>0.52200000000000002</v>
      </c>
      <c r="P2021" s="6">
        <v>0</v>
      </c>
      <c r="Q2021" s="4" t="s">
        <v>26</v>
      </c>
      <c r="R2021" s="4">
        <v>0</v>
      </c>
      <c r="S2021" s="6">
        <v>0</v>
      </c>
      <c r="T2021" s="6">
        <v>67</v>
      </c>
      <c r="U2021" s="6">
        <v>111</v>
      </c>
      <c r="V2021" s="6">
        <f>IF(ISERROR(VLOOKUP($S$2021,'TAR FIN'!$A$1:$O$115,15,0)),0,VLOOKUP($S$2021,'TAR FIN'!$A$1:$O$115,15,0))</f>
        <v>0</v>
      </c>
      <c r="W2021" s="6">
        <f>IF(ISERROR(VLOOKUP($T$2021,'TAR FIN'!$A$1:$O$115,15,0)),0,VLOOKUP($T$2021,'TAR FIN'!$A$1:$O$115,15,0))</f>
        <v>463.6</v>
      </c>
      <c r="X2021" s="6">
        <f>IF(ISERROR(VLOOKUP($U$2021,'TAR FIN'!$A$1:$O$115,15,0)),0,VLOOKUP($U$2021,'TAR FIN'!$A$1:$O$115,15,0))</f>
        <v>176.58</v>
      </c>
      <c r="Y2021" s="6"/>
      <c r="Z2021" s="6">
        <f ca="1">('TUSD BE'!$AM$65+'TUSD BF'!$AM$65+'TUSD CVA'!$AM$65)*1</f>
        <v>502.21976924570083</v>
      </c>
      <c r="AA2021" s="6">
        <f>('TE BE'!$AB$48+'TE BF'!$AB$48+'TE CVA'!$AB$48)*1</f>
        <v>230.68197444058345</v>
      </c>
      <c r="AB2021" s="6">
        <f>$K$2021*$V$2021</f>
        <v>0</v>
      </c>
      <c r="AC2021" s="6">
        <f>$M$2021*$W$2021</f>
        <v>241.99920000000003</v>
      </c>
      <c r="AD2021" s="6">
        <f>$O$2021*$X$2021</f>
        <v>92.174760000000006</v>
      </c>
      <c r="AE2021" s="6">
        <f>$K$2021*$Y$2021</f>
        <v>0</v>
      </c>
      <c r="AF2021" s="6">
        <f ca="1">$M$2021*$Z$2021</f>
        <v>262.15871954625584</v>
      </c>
      <c r="AG2021" s="6">
        <f>$O$2021*$AA$2021</f>
        <v>120.41599065798457</v>
      </c>
    </row>
    <row r="2022" spans="1:33" ht="11.25" customHeight="1" x14ac:dyDescent="0.25">
      <c r="A2022" s="4" t="s">
        <v>21</v>
      </c>
      <c r="B2022" s="4" t="s">
        <v>39</v>
      </c>
      <c r="C2022" s="4" t="s">
        <v>23</v>
      </c>
      <c r="D2022" s="4" t="s">
        <v>48</v>
      </c>
      <c r="E2022" s="4" t="s">
        <v>25</v>
      </c>
      <c r="F2022" s="4" t="s">
        <v>25</v>
      </c>
      <c r="G2022" s="4" t="s">
        <v>25</v>
      </c>
      <c r="H2022" s="4" t="s">
        <v>25</v>
      </c>
      <c r="I2022" s="5">
        <v>44774</v>
      </c>
      <c r="J2022" s="6">
        <v>0</v>
      </c>
      <c r="K2022" s="6">
        <v>0</v>
      </c>
      <c r="L2022" s="6">
        <v>2868.5</v>
      </c>
      <c r="M2022" s="6">
        <v>2868.5</v>
      </c>
      <c r="N2022" s="6">
        <v>2868.5</v>
      </c>
      <c r="O2022" s="6">
        <v>2868.5</v>
      </c>
      <c r="P2022" s="6">
        <v>1794</v>
      </c>
      <c r="Q2022" s="4" t="s">
        <v>26</v>
      </c>
      <c r="R2022" s="4">
        <v>0</v>
      </c>
      <c r="S2022" s="6">
        <v>0</v>
      </c>
      <c r="T2022" s="6">
        <v>67</v>
      </c>
      <c r="U2022" s="6">
        <v>111</v>
      </c>
      <c r="V2022" s="6">
        <f>IF(ISERROR(VLOOKUP($S$2022,'TAR FIN'!$A$1:$O$115,15,0)),0,VLOOKUP($S$2022,'TAR FIN'!$A$1:$O$115,15,0))</f>
        <v>0</v>
      </c>
      <c r="W2022" s="6">
        <f>IF(ISERROR(VLOOKUP($T$2022,'TAR FIN'!$A$1:$O$115,15,0)),0,VLOOKUP($T$2022,'TAR FIN'!$A$1:$O$115,15,0))</f>
        <v>463.6</v>
      </c>
      <c r="X2022" s="6">
        <f>IF(ISERROR(VLOOKUP($U$2022,'TAR FIN'!$A$1:$O$115,15,0)),0,VLOOKUP($U$2022,'TAR FIN'!$A$1:$O$115,15,0))</f>
        <v>176.58</v>
      </c>
      <c r="Y2022" s="6"/>
      <c r="Z2022" s="6">
        <f ca="1">('TUSD BE'!$AM$65+'TUSD BF'!$AM$65+'TUSD CVA'!$AM$65)*1</f>
        <v>502.21976924570083</v>
      </c>
      <c r="AA2022" s="6">
        <f>('TE BE'!$AB$48+'TE BF'!$AB$48+'TE CVA'!$AB$48)*1</f>
        <v>230.68197444058345</v>
      </c>
      <c r="AB2022" s="6">
        <f>$K$2022*$V$2022</f>
        <v>0</v>
      </c>
      <c r="AC2022" s="6">
        <f>$M$2022*$W$2022</f>
        <v>1329836.6000000001</v>
      </c>
      <c r="AD2022" s="6">
        <f>$O$2022*$X$2022</f>
        <v>506519.73000000004</v>
      </c>
      <c r="AE2022" s="6">
        <f>$K$2022*$Y$2022</f>
        <v>0</v>
      </c>
      <c r="AF2022" s="6">
        <f ca="1">$M$2022*$Z$2022</f>
        <v>1440617.4080812929</v>
      </c>
      <c r="AG2022" s="6">
        <f>$O$2022*$AA$2022</f>
        <v>661711.2436828136</v>
      </c>
    </row>
    <row r="2023" spans="1:33" ht="11.25" customHeight="1" x14ac:dyDescent="0.25">
      <c r="A2023" s="4" t="s">
        <v>27</v>
      </c>
      <c r="B2023" s="4" t="s">
        <v>39</v>
      </c>
      <c r="C2023" s="4" t="s">
        <v>23</v>
      </c>
      <c r="D2023" s="4" t="s">
        <v>48</v>
      </c>
      <c r="E2023" s="4" t="s">
        <v>25</v>
      </c>
      <c r="F2023" s="4" t="s">
        <v>25</v>
      </c>
      <c r="G2023" s="4" t="s">
        <v>25</v>
      </c>
      <c r="H2023" s="4" t="s">
        <v>25</v>
      </c>
      <c r="I2023" s="5">
        <v>44774</v>
      </c>
      <c r="J2023" s="6">
        <v>0</v>
      </c>
      <c r="K2023" s="6">
        <v>0</v>
      </c>
      <c r="L2023" s="6">
        <v>0.14299999999999999</v>
      </c>
      <c r="M2023" s="6">
        <v>0.14299999999999999</v>
      </c>
      <c r="N2023" s="6">
        <v>0.14299999999999999</v>
      </c>
      <c r="O2023" s="6">
        <v>0.14299999999999999</v>
      </c>
      <c r="P2023" s="6">
        <v>-2</v>
      </c>
      <c r="Q2023" s="4" t="s">
        <v>26</v>
      </c>
      <c r="R2023" s="4">
        <v>0</v>
      </c>
      <c r="S2023" s="6">
        <v>0</v>
      </c>
      <c r="T2023" s="6">
        <v>67</v>
      </c>
      <c r="U2023" s="6">
        <v>111</v>
      </c>
      <c r="V2023" s="6">
        <f>IF(ISERROR(VLOOKUP($S$2023,'TAR FIN'!$A$1:$O$115,15,0)),0,VLOOKUP($S$2023,'TAR FIN'!$A$1:$O$115,15,0))</f>
        <v>0</v>
      </c>
      <c r="W2023" s="6">
        <f>IF(ISERROR(VLOOKUP($T$2023,'TAR FIN'!$A$1:$O$115,15,0)),0,VLOOKUP($T$2023,'TAR FIN'!$A$1:$O$115,15,0))</f>
        <v>463.6</v>
      </c>
      <c r="X2023" s="6">
        <f>IF(ISERROR(VLOOKUP($U$2023,'TAR FIN'!$A$1:$O$115,15,0)),0,VLOOKUP($U$2023,'TAR FIN'!$A$1:$O$115,15,0))</f>
        <v>176.58</v>
      </c>
      <c r="Y2023" s="6"/>
      <c r="Z2023" s="6">
        <f ca="1">('TUSD BE'!$AM$65+'TUSD BF'!$AM$65+'TUSD CVA'!$AM$65)*1</f>
        <v>502.21976924570083</v>
      </c>
      <c r="AA2023" s="6">
        <f>('TE BE'!$AB$48+'TE BF'!$AB$48+'TE CVA'!$AB$48)*1</f>
        <v>230.68197444058345</v>
      </c>
      <c r="AB2023" s="6">
        <f>$K$2023*$V$2023</f>
        <v>0</v>
      </c>
      <c r="AC2023" s="6">
        <f>$M$2023*$W$2023</f>
        <v>66.294799999999995</v>
      </c>
      <c r="AD2023" s="6">
        <f>$O$2023*$X$2023</f>
        <v>25.25094</v>
      </c>
      <c r="AE2023" s="6">
        <f>$K$2023*$Y$2023</f>
        <v>0</v>
      </c>
      <c r="AF2023" s="6">
        <f ca="1">$M$2023*$Z$2023</f>
        <v>71.817427002135219</v>
      </c>
      <c r="AG2023" s="6">
        <f>$O$2023*$AA$2023</f>
        <v>32.987522345003427</v>
      </c>
    </row>
    <row r="2024" spans="1:33" ht="11.25" customHeight="1" x14ac:dyDescent="0.25">
      <c r="A2024" s="4" t="s">
        <v>28</v>
      </c>
      <c r="B2024" s="4" t="s">
        <v>39</v>
      </c>
      <c r="C2024" s="4" t="s">
        <v>23</v>
      </c>
      <c r="D2024" s="4" t="s">
        <v>48</v>
      </c>
      <c r="E2024" s="4" t="s">
        <v>25</v>
      </c>
      <c r="F2024" s="4" t="s">
        <v>25</v>
      </c>
      <c r="G2024" s="4" t="s">
        <v>25</v>
      </c>
      <c r="H2024" s="4" t="s">
        <v>25</v>
      </c>
      <c r="I2024" s="5">
        <v>44774</v>
      </c>
      <c r="J2024" s="6">
        <v>0</v>
      </c>
      <c r="K2024" s="6">
        <v>0</v>
      </c>
      <c r="L2024" s="6">
        <v>1115.1610000000001</v>
      </c>
      <c r="M2024" s="6">
        <v>1115.1610000000001</v>
      </c>
      <c r="N2024" s="6">
        <v>1115.1610000000001</v>
      </c>
      <c r="O2024" s="6">
        <v>1115.1610000000001</v>
      </c>
      <c r="P2024" s="6">
        <v>1036</v>
      </c>
      <c r="Q2024" s="4" t="s">
        <v>26</v>
      </c>
      <c r="R2024" s="4">
        <v>0</v>
      </c>
      <c r="S2024" s="6">
        <v>0</v>
      </c>
      <c r="T2024" s="6">
        <v>67</v>
      </c>
      <c r="U2024" s="6">
        <v>111</v>
      </c>
      <c r="V2024" s="6">
        <f>IF(ISERROR(VLOOKUP($S$2024,'TAR FIN'!$A$1:$O$115,15,0)),0,VLOOKUP($S$2024,'TAR FIN'!$A$1:$O$115,15,0))</f>
        <v>0</v>
      </c>
      <c r="W2024" s="6">
        <f>IF(ISERROR(VLOOKUP($T$2024,'TAR FIN'!$A$1:$O$115,15,0)),0,VLOOKUP($T$2024,'TAR FIN'!$A$1:$O$115,15,0))</f>
        <v>463.6</v>
      </c>
      <c r="X2024" s="6">
        <f>IF(ISERROR(VLOOKUP($U$2024,'TAR FIN'!$A$1:$O$115,15,0)),0,VLOOKUP($U$2024,'TAR FIN'!$A$1:$O$115,15,0))</f>
        <v>176.58</v>
      </c>
      <c r="Y2024" s="6"/>
      <c r="Z2024" s="6">
        <f ca="1">('TUSD BE'!$AM$65+'TUSD BF'!$AM$65+'TUSD CVA'!$AM$65)*1</f>
        <v>502.21976924570083</v>
      </c>
      <c r="AA2024" s="6">
        <f>('TE BE'!$AB$48+'TE BF'!$AB$48+'TE CVA'!$AB$48)*1</f>
        <v>230.68197444058345</v>
      </c>
      <c r="AB2024" s="6">
        <f>$K$2024*$V$2024</f>
        <v>0</v>
      </c>
      <c r="AC2024" s="6">
        <f>$M$2024*$W$2024</f>
        <v>516988.63960000005</v>
      </c>
      <c r="AD2024" s="6">
        <f>$O$2024*$X$2024</f>
        <v>196915.12938000003</v>
      </c>
      <c r="AE2024" s="6">
        <f>$K$2024*$Y$2024</f>
        <v>0</v>
      </c>
      <c r="AF2024" s="6">
        <f ca="1">$M$2024*$Z$2024</f>
        <v>560055.90009180503</v>
      </c>
      <c r="AG2024" s="6">
        <f>$O$2024*$AA$2024</f>
        <v>257247.54129913548</v>
      </c>
    </row>
    <row r="2025" spans="1:33" ht="11.25" customHeight="1" x14ac:dyDescent="0.25">
      <c r="A2025" s="4" t="s">
        <v>30</v>
      </c>
      <c r="B2025" s="4" t="s">
        <v>39</v>
      </c>
      <c r="C2025" s="4" t="s">
        <v>23</v>
      </c>
      <c r="D2025" s="4" t="s">
        <v>48</v>
      </c>
      <c r="E2025" s="4" t="s">
        <v>25</v>
      </c>
      <c r="F2025" s="4" t="s">
        <v>25</v>
      </c>
      <c r="G2025" s="4" t="s">
        <v>25</v>
      </c>
      <c r="H2025" s="4" t="s">
        <v>25</v>
      </c>
      <c r="I2025" s="5">
        <v>44774</v>
      </c>
      <c r="J2025" s="6">
        <v>0</v>
      </c>
      <c r="K2025" s="6">
        <v>0</v>
      </c>
      <c r="L2025" s="6">
        <v>1.05</v>
      </c>
      <c r="M2025" s="6">
        <v>1.05</v>
      </c>
      <c r="N2025" s="6">
        <v>1.05</v>
      </c>
      <c r="O2025" s="6">
        <v>1.05</v>
      </c>
      <c r="P2025" s="6">
        <v>2</v>
      </c>
      <c r="Q2025" s="4" t="s">
        <v>26</v>
      </c>
      <c r="R2025" s="4">
        <v>0</v>
      </c>
      <c r="S2025" s="6">
        <v>0</v>
      </c>
      <c r="T2025" s="6">
        <v>67</v>
      </c>
      <c r="U2025" s="6">
        <v>111</v>
      </c>
      <c r="V2025" s="6">
        <f>IF(ISERROR(VLOOKUP($S$2025,'TAR FIN'!$A$1:$O$115,15,0)),0,VLOOKUP($S$2025,'TAR FIN'!$A$1:$O$115,15,0))</f>
        <v>0</v>
      </c>
      <c r="W2025" s="6">
        <f>IF(ISERROR(VLOOKUP($T$2025,'TAR FIN'!$A$1:$O$115,15,0)),0,VLOOKUP($T$2025,'TAR FIN'!$A$1:$O$115,15,0))</f>
        <v>463.6</v>
      </c>
      <c r="X2025" s="6">
        <f>IF(ISERROR(VLOOKUP($U$2025,'TAR FIN'!$A$1:$O$115,15,0)),0,VLOOKUP($U$2025,'TAR FIN'!$A$1:$O$115,15,0))</f>
        <v>176.58</v>
      </c>
      <c r="Y2025" s="6"/>
      <c r="Z2025" s="6">
        <f ca="1">('TUSD BE'!$AM$65+'TUSD BF'!$AM$65+'TUSD CVA'!$AM$65)*1</f>
        <v>502.21976924570083</v>
      </c>
      <c r="AA2025" s="6">
        <f>('TE BE'!$AB$48+'TE BF'!$AB$48+'TE CVA'!$AB$48)*1</f>
        <v>230.68197444058345</v>
      </c>
      <c r="AB2025" s="6">
        <f>$K$2025*$V$2025</f>
        <v>0</v>
      </c>
      <c r="AC2025" s="6">
        <f>$M$2025*$W$2025</f>
        <v>486.78000000000003</v>
      </c>
      <c r="AD2025" s="6">
        <f>$O$2025*$X$2025</f>
        <v>185.40900000000002</v>
      </c>
      <c r="AE2025" s="6">
        <f>$K$2025*$Y$2025</f>
        <v>0</v>
      </c>
      <c r="AF2025" s="6">
        <f ca="1">$M$2025*$Z$2025</f>
        <v>527.33075770798587</v>
      </c>
      <c r="AG2025" s="6">
        <f>$O$2025*$AA$2025</f>
        <v>242.21607316261262</v>
      </c>
    </row>
    <row r="2026" spans="1:33" ht="11.25" customHeight="1" x14ac:dyDescent="0.25">
      <c r="A2026" s="4" t="s">
        <v>21</v>
      </c>
      <c r="B2026" s="4" t="s">
        <v>39</v>
      </c>
      <c r="C2026" s="4" t="s">
        <v>23</v>
      </c>
      <c r="D2026" s="4" t="s">
        <v>48</v>
      </c>
      <c r="E2026" s="4" t="s">
        <v>25</v>
      </c>
      <c r="F2026" s="4" t="s">
        <v>25</v>
      </c>
      <c r="G2026" s="4" t="s">
        <v>25</v>
      </c>
      <c r="H2026" s="4" t="s">
        <v>25</v>
      </c>
      <c r="I2026" s="5">
        <v>44805</v>
      </c>
      <c r="J2026" s="6">
        <v>0</v>
      </c>
      <c r="K2026" s="6">
        <v>0</v>
      </c>
      <c r="L2026" s="6">
        <v>2589.1</v>
      </c>
      <c r="M2026" s="6">
        <v>2589.1</v>
      </c>
      <c r="N2026" s="6">
        <v>2589.1</v>
      </c>
      <c r="O2026" s="6">
        <v>2589.1</v>
      </c>
      <c r="P2026" s="6">
        <v>1799</v>
      </c>
      <c r="Q2026" s="4" t="s">
        <v>26</v>
      </c>
      <c r="R2026" s="4">
        <v>0</v>
      </c>
      <c r="S2026" s="6">
        <v>0</v>
      </c>
      <c r="T2026" s="6">
        <v>67</v>
      </c>
      <c r="U2026" s="6">
        <v>111</v>
      </c>
      <c r="V2026" s="6">
        <f>IF(ISERROR(VLOOKUP($S$2026,'TAR FIN'!$A$1:$O$115,15,0)),0,VLOOKUP($S$2026,'TAR FIN'!$A$1:$O$115,15,0))</f>
        <v>0</v>
      </c>
      <c r="W2026" s="6">
        <f>IF(ISERROR(VLOOKUP($T$2026,'TAR FIN'!$A$1:$O$115,15,0)),0,VLOOKUP($T$2026,'TAR FIN'!$A$1:$O$115,15,0))</f>
        <v>463.6</v>
      </c>
      <c r="X2026" s="6">
        <f>IF(ISERROR(VLOOKUP($U$2026,'TAR FIN'!$A$1:$O$115,15,0)),0,VLOOKUP($U$2026,'TAR FIN'!$A$1:$O$115,15,0))</f>
        <v>176.58</v>
      </c>
      <c r="Y2026" s="6"/>
      <c r="Z2026" s="6">
        <f ca="1">('TUSD BE'!$AM$65+'TUSD BF'!$AM$65+'TUSD CVA'!$AM$65)*1</f>
        <v>502.21976924570083</v>
      </c>
      <c r="AA2026" s="6">
        <f>('TE BE'!$AB$48+'TE BF'!$AB$48+'TE CVA'!$AB$48)*1</f>
        <v>230.68197444058345</v>
      </c>
      <c r="AB2026" s="6">
        <f>$K$2026*$V$2026</f>
        <v>0</v>
      </c>
      <c r="AC2026" s="6">
        <f>$M$2026*$W$2026</f>
        <v>1200306.76</v>
      </c>
      <c r="AD2026" s="6">
        <f>$O$2026*$X$2026</f>
        <v>457183.27799999999</v>
      </c>
      <c r="AE2026" s="6">
        <f>$K$2026*$Y$2026</f>
        <v>0</v>
      </c>
      <c r="AF2026" s="6">
        <f ca="1">$M$2026*$Z$2026</f>
        <v>1300297.2045540439</v>
      </c>
      <c r="AG2026" s="6">
        <f>$O$2026*$AA$2026</f>
        <v>597258.70002411457</v>
      </c>
    </row>
    <row r="2027" spans="1:33" ht="11.25" customHeight="1" x14ac:dyDescent="0.25">
      <c r="A2027" s="4" t="s">
        <v>28</v>
      </c>
      <c r="B2027" s="4" t="s">
        <v>39</v>
      </c>
      <c r="C2027" s="4" t="s">
        <v>23</v>
      </c>
      <c r="D2027" s="4" t="s">
        <v>48</v>
      </c>
      <c r="E2027" s="4" t="s">
        <v>25</v>
      </c>
      <c r="F2027" s="4" t="s">
        <v>25</v>
      </c>
      <c r="G2027" s="4" t="s">
        <v>25</v>
      </c>
      <c r="H2027" s="4" t="s">
        <v>25</v>
      </c>
      <c r="I2027" s="5">
        <v>44805</v>
      </c>
      <c r="J2027" s="6">
        <v>0</v>
      </c>
      <c r="K2027" s="6">
        <v>0</v>
      </c>
      <c r="L2027" s="6">
        <v>1138.297</v>
      </c>
      <c r="M2027" s="6">
        <v>1138.297</v>
      </c>
      <c r="N2027" s="6">
        <v>1138.297</v>
      </c>
      <c r="O2027" s="6">
        <v>1138.297</v>
      </c>
      <c r="P2027" s="6">
        <v>1037</v>
      </c>
      <c r="Q2027" s="4" t="s">
        <v>26</v>
      </c>
      <c r="R2027" s="4">
        <v>0</v>
      </c>
      <c r="S2027" s="6">
        <v>0</v>
      </c>
      <c r="T2027" s="6">
        <v>67</v>
      </c>
      <c r="U2027" s="6">
        <v>111</v>
      </c>
      <c r="V2027" s="6">
        <f>IF(ISERROR(VLOOKUP($S$2027,'TAR FIN'!$A$1:$O$115,15,0)),0,VLOOKUP($S$2027,'TAR FIN'!$A$1:$O$115,15,0))</f>
        <v>0</v>
      </c>
      <c r="W2027" s="6">
        <f>IF(ISERROR(VLOOKUP($T$2027,'TAR FIN'!$A$1:$O$115,15,0)),0,VLOOKUP($T$2027,'TAR FIN'!$A$1:$O$115,15,0))</f>
        <v>463.6</v>
      </c>
      <c r="X2027" s="6">
        <f>IF(ISERROR(VLOOKUP($U$2027,'TAR FIN'!$A$1:$O$115,15,0)),0,VLOOKUP($U$2027,'TAR FIN'!$A$1:$O$115,15,0))</f>
        <v>176.58</v>
      </c>
      <c r="Y2027" s="6"/>
      <c r="Z2027" s="6">
        <f ca="1">('TUSD BE'!$AM$65+'TUSD BF'!$AM$65+'TUSD CVA'!$AM$65)*1</f>
        <v>502.21976924570083</v>
      </c>
      <c r="AA2027" s="6">
        <f>('TE BE'!$AB$48+'TE BF'!$AB$48+'TE CVA'!$AB$48)*1</f>
        <v>230.68197444058345</v>
      </c>
      <c r="AB2027" s="6">
        <f>$K$2027*$V$2027</f>
        <v>0</v>
      </c>
      <c r="AC2027" s="6">
        <f>$M$2027*$W$2027</f>
        <v>527714.48920000007</v>
      </c>
      <c r="AD2027" s="6">
        <f>$O$2027*$X$2027</f>
        <v>201000.48426000003</v>
      </c>
      <c r="AE2027" s="6">
        <f>$K$2027*$Y$2027</f>
        <v>0</v>
      </c>
      <c r="AF2027" s="6">
        <f ca="1">$M$2027*$Z$2027</f>
        <v>571675.25667307351</v>
      </c>
      <c r="AG2027" s="6">
        <f>$O$2027*$AA$2027</f>
        <v>262584.59945979284</v>
      </c>
    </row>
    <row r="2028" spans="1:33" ht="11.25" customHeight="1" x14ac:dyDescent="0.25">
      <c r="A2028" s="4" t="s">
        <v>29</v>
      </c>
      <c r="B2028" s="4" t="s">
        <v>39</v>
      </c>
      <c r="C2028" s="4" t="s">
        <v>23</v>
      </c>
      <c r="D2028" s="4" t="s">
        <v>48</v>
      </c>
      <c r="E2028" s="4" t="s">
        <v>25</v>
      </c>
      <c r="F2028" s="4" t="s">
        <v>25</v>
      </c>
      <c r="G2028" s="4" t="s">
        <v>25</v>
      </c>
      <c r="H2028" s="4" t="s">
        <v>25</v>
      </c>
      <c r="I2028" s="5">
        <v>44805</v>
      </c>
      <c r="J2028" s="6">
        <v>0</v>
      </c>
      <c r="K2028" s="6">
        <v>0</v>
      </c>
      <c r="L2028" s="6">
        <v>6.2450000000000001</v>
      </c>
      <c r="M2028" s="6">
        <v>6.2450000000000001</v>
      </c>
      <c r="N2028" s="6">
        <v>6.2450000000000001</v>
      </c>
      <c r="O2028" s="6">
        <v>6.2450000000000001</v>
      </c>
      <c r="P2028" s="6">
        <v>0</v>
      </c>
      <c r="Q2028" s="4" t="s">
        <v>26</v>
      </c>
      <c r="R2028" s="4">
        <v>0</v>
      </c>
      <c r="S2028" s="6">
        <v>0</v>
      </c>
      <c r="T2028" s="6">
        <v>67</v>
      </c>
      <c r="U2028" s="6">
        <v>111</v>
      </c>
      <c r="V2028" s="6">
        <f>IF(ISERROR(VLOOKUP($S$2028,'TAR FIN'!$A$1:$O$115,15,0)),0,VLOOKUP($S$2028,'TAR FIN'!$A$1:$O$115,15,0))</f>
        <v>0</v>
      </c>
      <c r="W2028" s="6">
        <f>IF(ISERROR(VLOOKUP($T$2028,'TAR FIN'!$A$1:$O$115,15,0)),0,VLOOKUP($T$2028,'TAR FIN'!$A$1:$O$115,15,0))</f>
        <v>463.6</v>
      </c>
      <c r="X2028" s="6">
        <f>IF(ISERROR(VLOOKUP($U$2028,'TAR FIN'!$A$1:$O$115,15,0)),0,VLOOKUP($U$2028,'TAR FIN'!$A$1:$O$115,15,0))</f>
        <v>176.58</v>
      </c>
      <c r="Y2028" s="6"/>
      <c r="Z2028" s="6">
        <f ca="1">('TUSD BE'!$AM$65+'TUSD BF'!$AM$65+'TUSD CVA'!$AM$65)*1</f>
        <v>502.21976924570083</v>
      </c>
      <c r="AA2028" s="6">
        <f>('TE BE'!$AB$48+'TE BF'!$AB$48+'TE CVA'!$AB$48)*1</f>
        <v>230.68197444058345</v>
      </c>
      <c r="AB2028" s="6">
        <f>$K$2028*$V$2028</f>
        <v>0</v>
      </c>
      <c r="AC2028" s="6">
        <f>$M$2028*$W$2028</f>
        <v>2895.1820000000002</v>
      </c>
      <c r="AD2028" s="6">
        <f>$O$2028*$X$2028</f>
        <v>1102.7421000000002</v>
      </c>
      <c r="AE2028" s="6">
        <f>$K$2028*$Y$2028</f>
        <v>0</v>
      </c>
      <c r="AF2028" s="6">
        <f ca="1">$M$2028*$Z$2028</f>
        <v>3136.3624589394017</v>
      </c>
      <c r="AG2028" s="6">
        <f>$O$2028*$AA$2028</f>
        <v>1440.6089303814435</v>
      </c>
    </row>
    <row r="2029" spans="1:33" ht="11.25" customHeight="1" x14ac:dyDescent="0.25">
      <c r="A2029" s="4" t="s">
        <v>30</v>
      </c>
      <c r="B2029" s="4" t="s">
        <v>39</v>
      </c>
      <c r="C2029" s="4" t="s">
        <v>23</v>
      </c>
      <c r="D2029" s="4" t="s">
        <v>48</v>
      </c>
      <c r="E2029" s="4" t="s">
        <v>25</v>
      </c>
      <c r="F2029" s="4" t="s">
        <v>25</v>
      </c>
      <c r="G2029" s="4" t="s">
        <v>25</v>
      </c>
      <c r="H2029" s="4" t="s">
        <v>25</v>
      </c>
      <c r="I2029" s="5">
        <v>44805</v>
      </c>
      <c r="J2029" s="6">
        <v>0</v>
      </c>
      <c r="K2029" s="6">
        <v>0</v>
      </c>
      <c r="L2029" s="6">
        <v>0.57399999999999995</v>
      </c>
      <c r="M2029" s="6">
        <v>0.57399999999999995</v>
      </c>
      <c r="N2029" s="6">
        <v>0.57399999999999995</v>
      </c>
      <c r="O2029" s="6">
        <v>0.57399999999999995</v>
      </c>
      <c r="P2029" s="6">
        <v>2</v>
      </c>
      <c r="Q2029" s="4" t="s">
        <v>26</v>
      </c>
      <c r="R2029" s="4">
        <v>0</v>
      </c>
      <c r="S2029" s="6">
        <v>0</v>
      </c>
      <c r="T2029" s="6">
        <v>67</v>
      </c>
      <c r="U2029" s="6">
        <v>111</v>
      </c>
      <c r="V2029" s="6">
        <f>IF(ISERROR(VLOOKUP($S$2029,'TAR FIN'!$A$1:$O$115,15,0)),0,VLOOKUP($S$2029,'TAR FIN'!$A$1:$O$115,15,0))</f>
        <v>0</v>
      </c>
      <c r="W2029" s="6">
        <f>IF(ISERROR(VLOOKUP($T$2029,'TAR FIN'!$A$1:$O$115,15,0)),0,VLOOKUP($T$2029,'TAR FIN'!$A$1:$O$115,15,0))</f>
        <v>463.6</v>
      </c>
      <c r="X2029" s="6">
        <f>IF(ISERROR(VLOOKUP($U$2029,'TAR FIN'!$A$1:$O$115,15,0)),0,VLOOKUP($U$2029,'TAR FIN'!$A$1:$O$115,15,0))</f>
        <v>176.58</v>
      </c>
      <c r="Y2029" s="6"/>
      <c r="Z2029" s="6">
        <f ca="1">('TUSD BE'!$AM$65+'TUSD BF'!$AM$65+'TUSD CVA'!$AM$65)*1</f>
        <v>502.21976924570083</v>
      </c>
      <c r="AA2029" s="6">
        <f>('TE BE'!$AB$48+'TE BF'!$AB$48+'TE CVA'!$AB$48)*1</f>
        <v>230.68197444058345</v>
      </c>
      <c r="AB2029" s="6">
        <f>$K$2029*$V$2029</f>
        <v>0</v>
      </c>
      <c r="AC2029" s="6">
        <f>$M$2029*$W$2029</f>
        <v>266.10640000000001</v>
      </c>
      <c r="AD2029" s="6">
        <f>$O$2029*$X$2029</f>
        <v>101.35692</v>
      </c>
      <c r="AE2029" s="6">
        <f>$K$2029*$Y$2029</f>
        <v>0</v>
      </c>
      <c r="AF2029" s="6">
        <f ca="1">$M$2029*$Z$2029</f>
        <v>288.27414754703227</v>
      </c>
      <c r="AG2029" s="6">
        <f>$O$2029*$AA$2029</f>
        <v>132.41145332889488</v>
      </c>
    </row>
    <row r="2030" spans="1:33" ht="11.25" customHeight="1" x14ac:dyDescent="0.25">
      <c r="A2030" s="4" t="s">
        <v>21</v>
      </c>
      <c r="B2030" s="4" t="s">
        <v>39</v>
      </c>
      <c r="C2030" s="4" t="s">
        <v>23</v>
      </c>
      <c r="D2030" s="4" t="s">
        <v>48</v>
      </c>
      <c r="E2030" s="4" t="s">
        <v>25</v>
      </c>
      <c r="F2030" s="4" t="s">
        <v>25</v>
      </c>
      <c r="G2030" s="4" t="s">
        <v>25</v>
      </c>
      <c r="H2030" s="4" t="s">
        <v>25</v>
      </c>
      <c r="I2030" s="5">
        <v>44835</v>
      </c>
      <c r="J2030" s="6">
        <v>0</v>
      </c>
      <c r="K2030" s="6">
        <v>0</v>
      </c>
      <c r="L2030" s="6">
        <v>3006.2080000000001</v>
      </c>
      <c r="M2030" s="6">
        <v>3006.2080000000001</v>
      </c>
      <c r="N2030" s="6">
        <v>3006.2080000000001</v>
      </c>
      <c r="O2030" s="6">
        <v>3006.2080000000001</v>
      </c>
      <c r="P2030" s="6">
        <v>1788</v>
      </c>
      <c r="Q2030" s="4" t="s">
        <v>26</v>
      </c>
      <c r="R2030" s="4">
        <v>0</v>
      </c>
      <c r="S2030" s="6">
        <v>0</v>
      </c>
      <c r="T2030" s="6">
        <v>67</v>
      </c>
      <c r="U2030" s="6">
        <v>111</v>
      </c>
      <c r="V2030" s="6">
        <f>IF(ISERROR(VLOOKUP($S$2030,'TAR FIN'!$A$1:$O$115,15,0)),0,VLOOKUP($S$2030,'TAR FIN'!$A$1:$O$115,15,0))</f>
        <v>0</v>
      </c>
      <c r="W2030" s="6">
        <f>IF(ISERROR(VLOOKUP($T$2030,'TAR FIN'!$A$1:$O$115,15,0)),0,VLOOKUP($T$2030,'TAR FIN'!$A$1:$O$115,15,0))</f>
        <v>463.6</v>
      </c>
      <c r="X2030" s="6">
        <f>IF(ISERROR(VLOOKUP($U$2030,'TAR FIN'!$A$1:$O$115,15,0)),0,VLOOKUP($U$2030,'TAR FIN'!$A$1:$O$115,15,0))</f>
        <v>176.58</v>
      </c>
      <c r="Y2030" s="6"/>
      <c r="Z2030" s="6">
        <f ca="1">('TUSD BE'!$AM$65+'TUSD BF'!$AM$65+'TUSD CVA'!$AM$65)*1</f>
        <v>502.21976924570083</v>
      </c>
      <c r="AA2030" s="6">
        <f>('TE BE'!$AB$48+'TE BF'!$AB$48+'TE CVA'!$AB$48)*1</f>
        <v>230.68197444058345</v>
      </c>
      <c r="AB2030" s="6">
        <f>$K$2030*$V$2030</f>
        <v>0</v>
      </c>
      <c r="AC2030" s="6">
        <f>$M$2030*$W$2030</f>
        <v>1393678.0288000002</v>
      </c>
      <c r="AD2030" s="6">
        <f>$O$2030*$X$2030</f>
        <v>530836.20864000008</v>
      </c>
      <c r="AE2030" s="6">
        <f>$K$2030*$Y$2030</f>
        <v>0</v>
      </c>
      <c r="AF2030" s="6">
        <f ca="1">$M$2030*$Z$2030</f>
        <v>1509777.0880645798</v>
      </c>
      <c r="AG2030" s="6">
        <f>$O$2030*$AA$2030</f>
        <v>693477.99701907753</v>
      </c>
    </row>
    <row r="2031" spans="1:33" ht="11.25" customHeight="1" x14ac:dyDescent="0.25">
      <c r="A2031" s="4" t="s">
        <v>27</v>
      </c>
      <c r="B2031" s="4" t="s">
        <v>39</v>
      </c>
      <c r="C2031" s="4" t="s">
        <v>23</v>
      </c>
      <c r="D2031" s="4" t="s">
        <v>48</v>
      </c>
      <c r="E2031" s="4" t="s">
        <v>25</v>
      </c>
      <c r="F2031" s="4" t="s">
        <v>25</v>
      </c>
      <c r="G2031" s="4" t="s">
        <v>25</v>
      </c>
      <c r="H2031" s="4" t="s">
        <v>25</v>
      </c>
      <c r="I2031" s="5">
        <v>44835</v>
      </c>
      <c r="J2031" s="6">
        <v>0</v>
      </c>
      <c r="K2031" s="6">
        <v>0</v>
      </c>
      <c r="L2031" s="6">
        <v>-4.3120000000000003</v>
      </c>
      <c r="M2031" s="6">
        <v>-4.3120000000000003</v>
      </c>
      <c r="N2031" s="6">
        <v>-4.3120000000000003</v>
      </c>
      <c r="O2031" s="6">
        <v>-4.3120000000000003</v>
      </c>
      <c r="P2031" s="6">
        <v>0</v>
      </c>
      <c r="Q2031" s="4" t="s">
        <v>26</v>
      </c>
      <c r="R2031" s="4">
        <v>0</v>
      </c>
      <c r="S2031" s="6">
        <v>0</v>
      </c>
      <c r="T2031" s="6">
        <v>67</v>
      </c>
      <c r="U2031" s="6">
        <v>111</v>
      </c>
      <c r="V2031" s="6">
        <f>IF(ISERROR(VLOOKUP($S$2031,'TAR FIN'!$A$1:$O$115,15,0)),0,VLOOKUP($S$2031,'TAR FIN'!$A$1:$O$115,15,0))</f>
        <v>0</v>
      </c>
      <c r="W2031" s="6">
        <f>IF(ISERROR(VLOOKUP($T$2031,'TAR FIN'!$A$1:$O$115,15,0)),0,VLOOKUP($T$2031,'TAR FIN'!$A$1:$O$115,15,0))</f>
        <v>463.6</v>
      </c>
      <c r="X2031" s="6">
        <f>IF(ISERROR(VLOOKUP($U$2031,'TAR FIN'!$A$1:$O$115,15,0)),0,VLOOKUP($U$2031,'TAR FIN'!$A$1:$O$115,15,0))</f>
        <v>176.58</v>
      </c>
      <c r="Y2031" s="6"/>
      <c r="Z2031" s="6">
        <f ca="1">('TUSD BE'!$AM$65+'TUSD BF'!$AM$65+'TUSD CVA'!$AM$65)*1</f>
        <v>502.21976924570083</v>
      </c>
      <c r="AA2031" s="6">
        <f>('TE BE'!$AB$48+'TE BF'!$AB$48+'TE CVA'!$AB$48)*1</f>
        <v>230.68197444058345</v>
      </c>
      <c r="AB2031" s="6">
        <f>$K$2031*$V$2031</f>
        <v>0</v>
      </c>
      <c r="AC2031" s="6">
        <f>$M$2031*$W$2031</f>
        <v>-1999.0432000000003</v>
      </c>
      <c r="AD2031" s="6">
        <f>$O$2031*$X$2031</f>
        <v>-761.41296000000011</v>
      </c>
      <c r="AE2031" s="6">
        <f>$K$2031*$Y$2031</f>
        <v>0</v>
      </c>
      <c r="AF2031" s="6">
        <f ca="1">$M$2031*$Z$2031</f>
        <v>-2165.5716449874622</v>
      </c>
      <c r="AG2031" s="6">
        <f>$O$2031*$AA$2031</f>
        <v>-994.70067378779584</v>
      </c>
    </row>
    <row r="2032" spans="1:33" ht="11.25" customHeight="1" x14ac:dyDescent="0.25">
      <c r="A2032" s="4" t="s">
        <v>28</v>
      </c>
      <c r="B2032" s="4" t="s">
        <v>39</v>
      </c>
      <c r="C2032" s="4" t="s">
        <v>23</v>
      </c>
      <c r="D2032" s="4" t="s">
        <v>48</v>
      </c>
      <c r="E2032" s="4" t="s">
        <v>25</v>
      </c>
      <c r="F2032" s="4" t="s">
        <v>25</v>
      </c>
      <c r="G2032" s="4" t="s">
        <v>25</v>
      </c>
      <c r="H2032" s="4" t="s">
        <v>25</v>
      </c>
      <c r="I2032" s="5">
        <v>44835</v>
      </c>
      <c r="J2032" s="6">
        <v>0</v>
      </c>
      <c r="K2032" s="6">
        <v>0</v>
      </c>
      <c r="L2032" s="6">
        <v>1290.7349999999999</v>
      </c>
      <c r="M2032" s="6">
        <v>1290.7349999999999</v>
      </c>
      <c r="N2032" s="6">
        <v>1290.7349999999999</v>
      </c>
      <c r="O2032" s="6">
        <v>1290.7349999999999</v>
      </c>
      <c r="P2032" s="6">
        <v>1036</v>
      </c>
      <c r="Q2032" s="4" t="s">
        <v>26</v>
      </c>
      <c r="R2032" s="4">
        <v>0</v>
      </c>
      <c r="S2032" s="6">
        <v>0</v>
      </c>
      <c r="T2032" s="6">
        <v>67</v>
      </c>
      <c r="U2032" s="6">
        <v>111</v>
      </c>
      <c r="V2032" s="6">
        <f>IF(ISERROR(VLOOKUP($S$2032,'TAR FIN'!$A$1:$O$115,15,0)),0,VLOOKUP($S$2032,'TAR FIN'!$A$1:$O$115,15,0))</f>
        <v>0</v>
      </c>
      <c r="W2032" s="6">
        <f>IF(ISERROR(VLOOKUP($T$2032,'TAR FIN'!$A$1:$O$115,15,0)),0,VLOOKUP($T$2032,'TAR FIN'!$A$1:$O$115,15,0))</f>
        <v>463.6</v>
      </c>
      <c r="X2032" s="6">
        <f>IF(ISERROR(VLOOKUP($U$2032,'TAR FIN'!$A$1:$O$115,15,0)),0,VLOOKUP($U$2032,'TAR FIN'!$A$1:$O$115,15,0))</f>
        <v>176.58</v>
      </c>
      <c r="Y2032" s="6"/>
      <c r="Z2032" s="6">
        <f ca="1">('TUSD BE'!$AM$65+'TUSD BF'!$AM$65+'TUSD CVA'!$AM$65)*1</f>
        <v>502.21976924570083</v>
      </c>
      <c r="AA2032" s="6">
        <f>('TE BE'!$AB$48+'TE BF'!$AB$48+'TE CVA'!$AB$48)*1</f>
        <v>230.68197444058345</v>
      </c>
      <c r="AB2032" s="6">
        <f>$K$2032*$V$2032</f>
        <v>0</v>
      </c>
      <c r="AC2032" s="6">
        <f>$M$2032*$W$2032</f>
        <v>598384.74599999993</v>
      </c>
      <c r="AD2032" s="6">
        <f>$O$2032*$X$2032</f>
        <v>227917.98629999999</v>
      </c>
      <c r="AE2032" s="6">
        <f>$K$2032*$Y$2032</f>
        <v>0</v>
      </c>
      <c r="AF2032" s="6">
        <f ca="1">$M$2032*$Z$2032</f>
        <v>648232.63385734963</v>
      </c>
      <c r="AG2032" s="6">
        <f>$O$2032*$AA$2032</f>
        <v>297749.29827956646</v>
      </c>
    </row>
    <row r="2033" spans="1:33" ht="11.25" customHeight="1" x14ac:dyDescent="0.25">
      <c r="A2033" s="4" t="s">
        <v>29</v>
      </c>
      <c r="B2033" s="4" t="s">
        <v>39</v>
      </c>
      <c r="C2033" s="4" t="s">
        <v>23</v>
      </c>
      <c r="D2033" s="4" t="s">
        <v>48</v>
      </c>
      <c r="E2033" s="4" t="s">
        <v>25</v>
      </c>
      <c r="F2033" s="4" t="s">
        <v>25</v>
      </c>
      <c r="G2033" s="4" t="s">
        <v>25</v>
      </c>
      <c r="H2033" s="4" t="s">
        <v>25</v>
      </c>
      <c r="I2033" s="5">
        <v>44835</v>
      </c>
      <c r="J2033" s="6">
        <v>0</v>
      </c>
      <c r="K2033" s="6">
        <v>0</v>
      </c>
      <c r="L2033" s="6">
        <v>-9.4550000000000001</v>
      </c>
      <c r="M2033" s="6">
        <v>-9.4550000000000001</v>
      </c>
      <c r="N2033" s="6">
        <v>-9.4550000000000001</v>
      </c>
      <c r="O2033" s="6">
        <v>-9.4550000000000001</v>
      </c>
      <c r="P2033" s="6">
        <v>0</v>
      </c>
      <c r="Q2033" s="4" t="s">
        <v>26</v>
      </c>
      <c r="R2033" s="4">
        <v>0</v>
      </c>
      <c r="S2033" s="6">
        <v>0</v>
      </c>
      <c r="T2033" s="6">
        <v>67</v>
      </c>
      <c r="U2033" s="6">
        <v>111</v>
      </c>
      <c r="V2033" s="6">
        <f>IF(ISERROR(VLOOKUP($S$2033,'TAR FIN'!$A$1:$O$115,15,0)),0,VLOOKUP($S$2033,'TAR FIN'!$A$1:$O$115,15,0))</f>
        <v>0</v>
      </c>
      <c r="W2033" s="6">
        <f>IF(ISERROR(VLOOKUP($T$2033,'TAR FIN'!$A$1:$O$115,15,0)),0,VLOOKUP($T$2033,'TAR FIN'!$A$1:$O$115,15,0))</f>
        <v>463.6</v>
      </c>
      <c r="X2033" s="6">
        <f>IF(ISERROR(VLOOKUP($U$2033,'TAR FIN'!$A$1:$O$115,15,0)),0,VLOOKUP($U$2033,'TAR FIN'!$A$1:$O$115,15,0))</f>
        <v>176.58</v>
      </c>
      <c r="Y2033" s="6"/>
      <c r="Z2033" s="6">
        <f ca="1">('TUSD BE'!$AM$65+'TUSD BF'!$AM$65+'TUSD CVA'!$AM$65)*1</f>
        <v>502.21976924570083</v>
      </c>
      <c r="AA2033" s="6">
        <f>('TE BE'!$AB$48+'TE BF'!$AB$48+'TE CVA'!$AB$48)*1</f>
        <v>230.68197444058345</v>
      </c>
      <c r="AB2033" s="6">
        <f>$K$2033*$V$2033</f>
        <v>0</v>
      </c>
      <c r="AC2033" s="6">
        <f>$M$2033*$W$2033</f>
        <v>-4383.3380000000006</v>
      </c>
      <c r="AD2033" s="6">
        <f>$O$2033*$X$2033</f>
        <v>-1669.5639000000001</v>
      </c>
      <c r="AE2033" s="6">
        <f>$K$2033*$Y$2033</f>
        <v>0</v>
      </c>
      <c r="AF2033" s="6">
        <f ca="1">$M$2033*$Z$2033</f>
        <v>-4748.4879182181012</v>
      </c>
      <c r="AG2033" s="6">
        <f>$O$2033*$AA$2033</f>
        <v>-2181.0980683357166</v>
      </c>
    </row>
    <row r="2034" spans="1:33" ht="11.25" customHeight="1" x14ac:dyDescent="0.25">
      <c r="A2034" s="4" t="s">
        <v>30</v>
      </c>
      <c r="B2034" s="4" t="s">
        <v>39</v>
      </c>
      <c r="C2034" s="4" t="s">
        <v>23</v>
      </c>
      <c r="D2034" s="4" t="s">
        <v>48</v>
      </c>
      <c r="E2034" s="4" t="s">
        <v>25</v>
      </c>
      <c r="F2034" s="4" t="s">
        <v>25</v>
      </c>
      <c r="G2034" s="4" t="s">
        <v>25</v>
      </c>
      <c r="H2034" s="4" t="s">
        <v>25</v>
      </c>
      <c r="I2034" s="5">
        <v>44835</v>
      </c>
      <c r="J2034" s="6">
        <v>0</v>
      </c>
      <c r="K2034" s="6">
        <v>0</v>
      </c>
      <c r="L2034" s="6">
        <v>0.98099999999999998</v>
      </c>
      <c r="M2034" s="6">
        <v>0.98099999999999998</v>
      </c>
      <c r="N2034" s="6">
        <v>0.98099999999999998</v>
      </c>
      <c r="O2034" s="6">
        <v>0.98099999999999998</v>
      </c>
      <c r="P2034" s="6">
        <v>2</v>
      </c>
      <c r="Q2034" s="4" t="s">
        <v>26</v>
      </c>
      <c r="R2034" s="4">
        <v>0</v>
      </c>
      <c r="S2034" s="6">
        <v>0</v>
      </c>
      <c r="T2034" s="6">
        <v>67</v>
      </c>
      <c r="U2034" s="6">
        <v>111</v>
      </c>
      <c r="V2034" s="6">
        <f>IF(ISERROR(VLOOKUP($S$2034,'TAR FIN'!$A$1:$O$115,15,0)),0,VLOOKUP($S$2034,'TAR FIN'!$A$1:$O$115,15,0))</f>
        <v>0</v>
      </c>
      <c r="W2034" s="6">
        <f>IF(ISERROR(VLOOKUP($T$2034,'TAR FIN'!$A$1:$O$115,15,0)),0,VLOOKUP($T$2034,'TAR FIN'!$A$1:$O$115,15,0))</f>
        <v>463.6</v>
      </c>
      <c r="X2034" s="6">
        <f>IF(ISERROR(VLOOKUP($U$2034,'TAR FIN'!$A$1:$O$115,15,0)),0,VLOOKUP($U$2034,'TAR FIN'!$A$1:$O$115,15,0))</f>
        <v>176.58</v>
      </c>
      <c r="Y2034" s="6"/>
      <c r="Z2034" s="6">
        <f ca="1">('TUSD BE'!$AM$65+'TUSD BF'!$AM$65+'TUSD CVA'!$AM$65)*1</f>
        <v>502.21976924570083</v>
      </c>
      <c r="AA2034" s="6">
        <f>('TE BE'!$AB$48+'TE BF'!$AB$48+'TE CVA'!$AB$48)*1</f>
        <v>230.68197444058345</v>
      </c>
      <c r="AB2034" s="6">
        <f>$K$2034*$V$2034</f>
        <v>0</v>
      </c>
      <c r="AC2034" s="6">
        <f>$M$2034*$W$2034</f>
        <v>454.79160000000002</v>
      </c>
      <c r="AD2034" s="6">
        <f>$O$2034*$X$2034</f>
        <v>173.22498000000002</v>
      </c>
      <c r="AE2034" s="6">
        <f>$K$2034*$Y$2034</f>
        <v>0</v>
      </c>
      <c r="AF2034" s="6">
        <f ca="1">$M$2034*$Z$2034</f>
        <v>492.6775936300325</v>
      </c>
      <c r="AG2034" s="6">
        <f>$O$2034*$AA$2034</f>
        <v>226.29901692621235</v>
      </c>
    </row>
    <row r="2035" spans="1:33" ht="11.25" customHeight="1" x14ac:dyDescent="0.25">
      <c r="A2035" s="4" t="s">
        <v>59</v>
      </c>
      <c r="B2035" s="4" t="s">
        <v>39</v>
      </c>
      <c r="C2035" s="4" t="s">
        <v>23</v>
      </c>
      <c r="D2035" s="4" t="s">
        <v>48</v>
      </c>
      <c r="E2035" s="4" t="s">
        <v>25</v>
      </c>
      <c r="F2035" s="4" t="s">
        <v>25</v>
      </c>
      <c r="G2035" s="4" t="s">
        <v>25</v>
      </c>
      <c r="H2035" s="4" t="s">
        <v>25</v>
      </c>
      <c r="I2035" s="5">
        <v>44866</v>
      </c>
      <c r="J2035" s="6">
        <v>0</v>
      </c>
      <c r="K2035" s="6">
        <v>0</v>
      </c>
      <c r="L2035" s="6">
        <v>3006.2080000000001</v>
      </c>
      <c r="M2035" s="6">
        <v>3006.2080000000001</v>
      </c>
      <c r="N2035" s="6">
        <v>3006.2080000000001</v>
      </c>
      <c r="O2035" s="6">
        <v>3006.2080000000001</v>
      </c>
      <c r="P2035" s="6">
        <v>1788</v>
      </c>
      <c r="Q2035" s="4" t="s">
        <v>26</v>
      </c>
      <c r="R2035" s="4">
        <v>0</v>
      </c>
      <c r="S2035" s="6">
        <v>0</v>
      </c>
      <c r="T2035" s="6">
        <v>67</v>
      </c>
      <c r="U2035" s="6">
        <v>111</v>
      </c>
      <c r="V2035" s="6">
        <f>IF(ISERROR(VLOOKUP($S$2035,'TAR FIN'!$A$1:$O$115,15,0)),0,VLOOKUP($S$2035,'TAR FIN'!$A$1:$O$115,15,0))</f>
        <v>0</v>
      </c>
      <c r="W2035" s="6">
        <f>IF(ISERROR(VLOOKUP($T$2035,'TAR FIN'!$A$1:$O$115,15,0)),0,VLOOKUP($T$2035,'TAR FIN'!$A$1:$O$115,15,0))</f>
        <v>463.6</v>
      </c>
      <c r="X2035" s="6">
        <f>IF(ISERROR(VLOOKUP($U$2035,'TAR FIN'!$A$1:$O$115,15,0)),0,VLOOKUP($U$2035,'TAR FIN'!$A$1:$O$115,15,0))</f>
        <v>176.58</v>
      </c>
      <c r="Y2035" s="6"/>
      <c r="Z2035" s="6">
        <f ca="1">('TUSD BE'!$AM$65+'TUSD BF'!$AM$65+'TUSD CVA'!$AM$65)*1</f>
        <v>502.21976924570083</v>
      </c>
      <c r="AA2035" s="6">
        <f>('TE BE'!$AB$48+'TE BF'!$AB$48+'TE CVA'!$AB$48)*1</f>
        <v>230.68197444058345</v>
      </c>
      <c r="AB2035" s="6">
        <f>$K$2035*$V$2035</f>
        <v>0</v>
      </c>
      <c r="AC2035" s="6">
        <f>$M$2035*$W$2035</f>
        <v>1393678.0288000002</v>
      </c>
      <c r="AD2035" s="6">
        <f>$O$2035*$X$2035</f>
        <v>530836.20864000008</v>
      </c>
      <c r="AE2035" s="6">
        <f>$K$2035*$Y$2035</f>
        <v>0</v>
      </c>
      <c r="AF2035" s="6">
        <f ca="1">$M$2035*$Z$2035</f>
        <v>1509777.0880645798</v>
      </c>
      <c r="AG2035" s="6">
        <f>$O$2035*$AA$2035</f>
        <v>693477.99701907753</v>
      </c>
    </row>
    <row r="2036" spans="1:33" ht="11.25" customHeight="1" x14ac:dyDescent="0.25">
      <c r="A2036" s="4" t="s">
        <v>59</v>
      </c>
      <c r="B2036" s="4" t="s">
        <v>39</v>
      </c>
      <c r="C2036" s="4" t="s">
        <v>23</v>
      </c>
      <c r="D2036" s="4" t="s">
        <v>48</v>
      </c>
      <c r="E2036" s="4" t="s">
        <v>25</v>
      </c>
      <c r="F2036" s="4" t="s">
        <v>25</v>
      </c>
      <c r="G2036" s="4" t="s">
        <v>25</v>
      </c>
      <c r="H2036" s="4" t="s">
        <v>25</v>
      </c>
      <c r="I2036" s="5">
        <v>44866</v>
      </c>
      <c r="J2036" s="6">
        <v>0</v>
      </c>
      <c r="K2036" s="6">
        <v>0</v>
      </c>
      <c r="L2036" s="6">
        <v>-4.3120000000000003</v>
      </c>
      <c r="M2036" s="6">
        <v>-4.3120000000000003</v>
      </c>
      <c r="N2036" s="6">
        <v>-4.3120000000000003</v>
      </c>
      <c r="O2036" s="6">
        <v>-4.3120000000000003</v>
      </c>
      <c r="P2036" s="6">
        <v>0</v>
      </c>
      <c r="Q2036" s="4" t="s">
        <v>26</v>
      </c>
      <c r="R2036" s="4">
        <v>0</v>
      </c>
      <c r="S2036" s="6">
        <v>0</v>
      </c>
      <c r="T2036" s="6">
        <v>67</v>
      </c>
      <c r="U2036" s="6">
        <v>111</v>
      </c>
      <c r="V2036" s="6">
        <f>IF(ISERROR(VLOOKUP($S$2036,'TAR FIN'!$A$1:$O$115,15,0)),0,VLOOKUP($S$2036,'TAR FIN'!$A$1:$O$115,15,0))</f>
        <v>0</v>
      </c>
      <c r="W2036" s="6">
        <f>IF(ISERROR(VLOOKUP($T$2036,'TAR FIN'!$A$1:$O$115,15,0)),0,VLOOKUP($T$2036,'TAR FIN'!$A$1:$O$115,15,0))</f>
        <v>463.6</v>
      </c>
      <c r="X2036" s="6">
        <f>IF(ISERROR(VLOOKUP($U$2036,'TAR FIN'!$A$1:$O$115,15,0)),0,VLOOKUP($U$2036,'TAR FIN'!$A$1:$O$115,15,0))</f>
        <v>176.58</v>
      </c>
      <c r="Y2036" s="6"/>
      <c r="Z2036" s="6">
        <f ca="1">('TUSD BE'!$AM$65+'TUSD BF'!$AM$65+'TUSD CVA'!$AM$65)*1</f>
        <v>502.21976924570083</v>
      </c>
      <c r="AA2036" s="6">
        <f>('TE BE'!$AB$48+'TE BF'!$AB$48+'TE CVA'!$AB$48)*1</f>
        <v>230.68197444058345</v>
      </c>
      <c r="AB2036" s="6">
        <f>$K$2036*$V$2036</f>
        <v>0</v>
      </c>
      <c r="AC2036" s="6">
        <f>$M$2036*$W$2036</f>
        <v>-1999.0432000000003</v>
      </c>
      <c r="AD2036" s="6">
        <f>$O$2036*$X$2036</f>
        <v>-761.41296000000011</v>
      </c>
      <c r="AE2036" s="6">
        <f>$K$2036*$Y$2036</f>
        <v>0</v>
      </c>
      <c r="AF2036" s="6">
        <f ca="1">$M$2036*$Z$2036</f>
        <v>-2165.5716449874622</v>
      </c>
      <c r="AG2036" s="6">
        <f>$O$2036*$AA$2036</f>
        <v>-994.70067378779584</v>
      </c>
    </row>
    <row r="2037" spans="1:33" ht="11.25" customHeight="1" x14ac:dyDescent="0.25">
      <c r="A2037" s="4" t="s">
        <v>59</v>
      </c>
      <c r="B2037" s="4" t="s">
        <v>39</v>
      </c>
      <c r="C2037" s="4" t="s">
        <v>23</v>
      </c>
      <c r="D2037" s="4" t="s">
        <v>48</v>
      </c>
      <c r="E2037" s="4" t="s">
        <v>25</v>
      </c>
      <c r="F2037" s="4" t="s">
        <v>25</v>
      </c>
      <c r="G2037" s="4" t="s">
        <v>25</v>
      </c>
      <c r="H2037" s="4" t="s">
        <v>25</v>
      </c>
      <c r="I2037" s="5">
        <v>44866</v>
      </c>
      <c r="J2037" s="6">
        <v>0</v>
      </c>
      <c r="K2037" s="6">
        <v>0</v>
      </c>
      <c r="L2037" s="6">
        <v>1290.7349999999999</v>
      </c>
      <c r="M2037" s="6">
        <v>1290.7349999999999</v>
      </c>
      <c r="N2037" s="6">
        <v>1290.7349999999999</v>
      </c>
      <c r="O2037" s="6">
        <v>1290.7349999999999</v>
      </c>
      <c r="P2037" s="6">
        <v>1036</v>
      </c>
      <c r="Q2037" s="4" t="s">
        <v>26</v>
      </c>
      <c r="R2037" s="4">
        <v>0</v>
      </c>
      <c r="S2037" s="6">
        <v>0</v>
      </c>
      <c r="T2037" s="6">
        <v>67</v>
      </c>
      <c r="U2037" s="6">
        <v>111</v>
      </c>
      <c r="V2037" s="6">
        <f>IF(ISERROR(VLOOKUP($S$2037,'TAR FIN'!$A$1:$O$115,15,0)),0,VLOOKUP($S$2037,'TAR FIN'!$A$1:$O$115,15,0))</f>
        <v>0</v>
      </c>
      <c r="W2037" s="6">
        <f>IF(ISERROR(VLOOKUP($T$2037,'TAR FIN'!$A$1:$O$115,15,0)),0,VLOOKUP($T$2037,'TAR FIN'!$A$1:$O$115,15,0))</f>
        <v>463.6</v>
      </c>
      <c r="X2037" s="6">
        <f>IF(ISERROR(VLOOKUP($U$2037,'TAR FIN'!$A$1:$O$115,15,0)),0,VLOOKUP($U$2037,'TAR FIN'!$A$1:$O$115,15,0))</f>
        <v>176.58</v>
      </c>
      <c r="Y2037" s="6"/>
      <c r="Z2037" s="6">
        <f ca="1">('TUSD BE'!$AM$65+'TUSD BF'!$AM$65+'TUSD CVA'!$AM$65)*1</f>
        <v>502.21976924570083</v>
      </c>
      <c r="AA2037" s="6">
        <f>('TE BE'!$AB$48+'TE BF'!$AB$48+'TE CVA'!$AB$48)*1</f>
        <v>230.68197444058345</v>
      </c>
      <c r="AB2037" s="6">
        <f>$K$2037*$V$2037</f>
        <v>0</v>
      </c>
      <c r="AC2037" s="6">
        <f>$M$2037*$W$2037</f>
        <v>598384.74599999993</v>
      </c>
      <c r="AD2037" s="6">
        <f>$O$2037*$X$2037</f>
        <v>227917.98629999999</v>
      </c>
      <c r="AE2037" s="6">
        <f>$K$2037*$Y$2037</f>
        <v>0</v>
      </c>
      <c r="AF2037" s="6">
        <f ca="1">$M$2037*$Z$2037</f>
        <v>648232.63385734963</v>
      </c>
      <c r="AG2037" s="6">
        <f>$O$2037*$AA$2037</f>
        <v>297749.29827956646</v>
      </c>
    </row>
    <row r="2038" spans="1:33" ht="11.25" customHeight="1" x14ac:dyDescent="0.25">
      <c r="A2038" s="4" t="s">
        <v>59</v>
      </c>
      <c r="B2038" s="4" t="s">
        <v>39</v>
      </c>
      <c r="C2038" s="4" t="s">
        <v>23</v>
      </c>
      <c r="D2038" s="4" t="s">
        <v>48</v>
      </c>
      <c r="E2038" s="4" t="s">
        <v>25</v>
      </c>
      <c r="F2038" s="4" t="s">
        <v>25</v>
      </c>
      <c r="G2038" s="4" t="s">
        <v>25</v>
      </c>
      <c r="H2038" s="4" t="s">
        <v>25</v>
      </c>
      <c r="I2038" s="5">
        <v>44866</v>
      </c>
      <c r="J2038" s="6">
        <v>0</v>
      </c>
      <c r="K2038" s="6">
        <v>0</v>
      </c>
      <c r="L2038" s="6">
        <v>-9.4550000000000001</v>
      </c>
      <c r="M2038" s="6">
        <v>-9.4550000000000001</v>
      </c>
      <c r="N2038" s="6">
        <v>-9.4550000000000001</v>
      </c>
      <c r="O2038" s="6">
        <v>-9.4550000000000001</v>
      </c>
      <c r="P2038" s="6">
        <v>0</v>
      </c>
      <c r="Q2038" s="4" t="s">
        <v>26</v>
      </c>
      <c r="R2038" s="4">
        <v>0</v>
      </c>
      <c r="S2038" s="6">
        <v>0</v>
      </c>
      <c r="T2038" s="6">
        <v>67</v>
      </c>
      <c r="U2038" s="6">
        <v>111</v>
      </c>
      <c r="V2038" s="6">
        <f>IF(ISERROR(VLOOKUP($S$2038,'TAR FIN'!$A$1:$O$115,15,0)),0,VLOOKUP($S$2038,'TAR FIN'!$A$1:$O$115,15,0))</f>
        <v>0</v>
      </c>
      <c r="W2038" s="6">
        <f>IF(ISERROR(VLOOKUP($T$2038,'TAR FIN'!$A$1:$O$115,15,0)),0,VLOOKUP($T$2038,'TAR FIN'!$A$1:$O$115,15,0))</f>
        <v>463.6</v>
      </c>
      <c r="X2038" s="6">
        <f>IF(ISERROR(VLOOKUP($U$2038,'TAR FIN'!$A$1:$O$115,15,0)),0,VLOOKUP($U$2038,'TAR FIN'!$A$1:$O$115,15,0))</f>
        <v>176.58</v>
      </c>
      <c r="Y2038" s="6"/>
      <c r="Z2038" s="6">
        <f ca="1">('TUSD BE'!$AM$65+'TUSD BF'!$AM$65+'TUSD CVA'!$AM$65)*1</f>
        <v>502.21976924570083</v>
      </c>
      <c r="AA2038" s="6">
        <f>('TE BE'!$AB$48+'TE BF'!$AB$48+'TE CVA'!$AB$48)*1</f>
        <v>230.68197444058345</v>
      </c>
      <c r="AB2038" s="6">
        <f>$K$2038*$V$2038</f>
        <v>0</v>
      </c>
      <c r="AC2038" s="6">
        <f>$M$2038*$W$2038</f>
        <v>-4383.3380000000006</v>
      </c>
      <c r="AD2038" s="6">
        <f>$O$2038*$X$2038</f>
        <v>-1669.5639000000001</v>
      </c>
      <c r="AE2038" s="6">
        <f>$K$2038*$Y$2038</f>
        <v>0</v>
      </c>
      <c r="AF2038" s="6">
        <f ca="1">$M$2038*$Z$2038</f>
        <v>-4748.4879182181012</v>
      </c>
      <c r="AG2038" s="6">
        <f>$O$2038*$AA$2038</f>
        <v>-2181.0980683357166</v>
      </c>
    </row>
    <row r="2039" spans="1:33" ht="11.25" customHeight="1" x14ac:dyDescent="0.25">
      <c r="A2039" s="4" t="s">
        <v>59</v>
      </c>
      <c r="B2039" s="4" t="s">
        <v>39</v>
      </c>
      <c r="C2039" s="4" t="s">
        <v>23</v>
      </c>
      <c r="D2039" s="4" t="s">
        <v>48</v>
      </c>
      <c r="E2039" s="4" t="s">
        <v>25</v>
      </c>
      <c r="F2039" s="4" t="s">
        <v>25</v>
      </c>
      <c r="G2039" s="4" t="s">
        <v>25</v>
      </c>
      <c r="H2039" s="4" t="s">
        <v>25</v>
      </c>
      <c r="I2039" s="5">
        <v>44866</v>
      </c>
      <c r="J2039" s="6">
        <v>0</v>
      </c>
      <c r="K2039" s="6">
        <v>0</v>
      </c>
      <c r="L2039" s="6">
        <v>0.98099999999999998</v>
      </c>
      <c r="M2039" s="6">
        <v>0.98099999999999998</v>
      </c>
      <c r="N2039" s="6">
        <v>0.98099999999999998</v>
      </c>
      <c r="O2039" s="6">
        <v>0.98099999999999998</v>
      </c>
      <c r="P2039" s="6">
        <v>2</v>
      </c>
      <c r="Q2039" s="4" t="s">
        <v>26</v>
      </c>
      <c r="R2039" s="4">
        <v>0</v>
      </c>
      <c r="S2039" s="6">
        <v>0</v>
      </c>
      <c r="T2039" s="6">
        <v>67</v>
      </c>
      <c r="U2039" s="6">
        <v>111</v>
      </c>
      <c r="V2039" s="6">
        <f>IF(ISERROR(VLOOKUP($S$2039,'TAR FIN'!$A$1:$O$115,15,0)),0,VLOOKUP($S$2039,'TAR FIN'!$A$1:$O$115,15,0))</f>
        <v>0</v>
      </c>
      <c r="W2039" s="6">
        <f>IF(ISERROR(VLOOKUP($T$2039,'TAR FIN'!$A$1:$O$115,15,0)),0,VLOOKUP($T$2039,'TAR FIN'!$A$1:$O$115,15,0))</f>
        <v>463.6</v>
      </c>
      <c r="X2039" s="6">
        <f>IF(ISERROR(VLOOKUP($U$2039,'TAR FIN'!$A$1:$O$115,15,0)),0,VLOOKUP($U$2039,'TAR FIN'!$A$1:$O$115,15,0))</f>
        <v>176.58</v>
      </c>
      <c r="Y2039" s="6"/>
      <c r="Z2039" s="6">
        <f ca="1">('TUSD BE'!$AM$65+'TUSD BF'!$AM$65+'TUSD CVA'!$AM$65)*1</f>
        <v>502.21976924570083</v>
      </c>
      <c r="AA2039" s="6">
        <f>('TE BE'!$AB$48+'TE BF'!$AB$48+'TE CVA'!$AB$48)*1</f>
        <v>230.68197444058345</v>
      </c>
      <c r="AB2039" s="6">
        <f>$K$2039*$V$2039</f>
        <v>0</v>
      </c>
      <c r="AC2039" s="6">
        <f>$M$2039*$W$2039</f>
        <v>454.79160000000002</v>
      </c>
      <c r="AD2039" s="6">
        <f>$O$2039*$X$2039</f>
        <v>173.22498000000002</v>
      </c>
      <c r="AE2039" s="6">
        <f>$K$2039*$Y$2039</f>
        <v>0</v>
      </c>
      <c r="AF2039" s="6">
        <f ca="1">$M$2039*$Z$2039</f>
        <v>492.6775936300325</v>
      </c>
      <c r="AG2039" s="6">
        <f>$O$2039*$AA$2039</f>
        <v>226.29901692621235</v>
      </c>
    </row>
    <row r="2040" spans="1:33" ht="11.25" customHeight="1" x14ac:dyDescent="0.25">
      <c r="A2040" s="4" t="s">
        <v>21</v>
      </c>
      <c r="B2040" s="4" t="s">
        <v>39</v>
      </c>
      <c r="C2040" s="4" t="s">
        <v>23</v>
      </c>
      <c r="D2040" s="4" t="s">
        <v>52</v>
      </c>
      <c r="E2040" s="4" t="s">
        <v>53</v>
      </c>
      <c r="F2040" s="4" t="s">
        <v>25</v>
      </c>
      <c r="G2040" s="4" t="s">
        <v>25</v>
      </c>
      <c r="H2040" s="4" t="s">
        <v>25</v>
      </c>
      <c r="I2040" s="5">
        <v>44531</v>
      </c>
      <c r="J2040" s="6">
        <v>0</v>
      </c>
      <c r="K2040" s="42">
        <v>0</v>
      </c>
      <c r="L2040" s="6">
        <v>207.70500000000001</v>
      </c>
      <c r="M2040" s="42">
        <v>207.70500000000001</v>
      </c>
      <c r="N2040" s="6">
        <v>207.70500000000001</v>
      </c>
      <c r="O2040" s="42">
        <v>207.70500000000001</v>
      </c>
      <c r="P2040" s="6">
        <v>85</v>
      </c>
      <c r="Q2040" s="4" t="s">
        <v>26</v>
      </c>
      <c r="R2040" s="4">
        <v>0</v>
      </c>
      <c r="S2040" s="6">
        <v>0</v>
      </c>
      <c r="T2040" s="6">
        <v>67</v>
      </c>
      <c r="U2040" s="6">
        <v>111</v>
      </c>
      <c r="V2040" s="42">
        <f>IF(ISERROR(VLOOKUP($S$2040,'TAR FIN'!$A$1:$O$115,15,0)),0,VLOOKUP($S$2040,'TAR FIN'!$A$1:$O$115,15,0))</f>
        <v>0</v>
      </c>
      <c r="W2040" s="42">
        <f>IF(ISERROR(VLOOKUP($T$2040,'TAR FIN'!$A$1:$O$115,15,0)),0,VLOOKUP($T$2040,'TAR FIN'!$A$1:$O$115,15,0))*(1-0.06)</f>
        <v>435.78399999999999</v>
      </c>
      <c r="X2040" s="42">
        <f>IF(ISERROR(VLOOKUP($U$2040,'TAR FIN'!$A$1:$O$115,15,0)),0,VLOOKUP($U$2040,'TAR FIN'!$A$1:$O$115,15,0))*(1-0.06)</f>
        <v>165.98519999999999</v>
      </c>
      <c r="Y2040" s="42"/>
      <c r="Z2040" s="42">
        <f ca="1">('TUSD BE'!$AM$65+'TUSD BF'!$AM$65+'TUSD CVA'!$AM$65)*1*(1-0.03)</f>
        <v>487.15317616832982</v>
      </c>
      <c r="AA2040" s="42">
        <f>('TE BE'!$AB$48+'TE BF'!$AB$48+'TE CVA'!$AB$48)*1*(1-0.03)</f>
        <v>223.76151520736593</v>
      </c>
      <c r="AB2040" s="6">
        <f>$K$2040*$V$2040</f>
        <v>0</v>
      </c>
      <c r="AC2040" s="6">
        <f>$M$2040*$W$2040</f>
        <v>90514.51572000001</v>
      </c>
      <c r="AD2040" s="6">
        <f>$O$2040*$X$2040</f>
        <v>34475.955966000001</v>
      </c>
      <c r="AE2040" s="6">
        <f>$K$2040*$Y$2040</f>
        <v>0</v>
      </c>
      <c r="AF2040" s="6">
        <f ca="1">$M$2040*$Z$2040</f>
        <v>101184.15045604295</v>
      </c>
      <c r="AG2040" s="6">
        <f>$O$2040*$AA$2040</f>
        <v>46476.385516145943</v>
      </c>
    </row>
    <row r="2041" spans="1:33" ht="11.25" customHeight="1" x14ac:dyDescent="0.25">
      <c r="A2041" s="4" t="s">
        <v>28</v>
      </c>
      <c r="B2041" s="4" t="s">
        <v>39</v>
      </c>
      <c r="C2041" s="4" t="s">
        <v>23</v>
      </c>
      <c r="D2041" s="4" t="s">
        <v>52</v>
      </c>
      <c r="E2041" s="4" t="s">
        <v>53</v>
      </c>
      <c r="F2041" s="4" t="s">
        <v>25</v>
      </c>
      <c r="G2041" s="4" t="s">
        <v>25</v>
      </c>
      <c r="H2041" s="4" t="s">
        <v>25</v>
      </c>
      <c r="I2041" s="5">
        <v>44531</v>
      </c>
      <c r="J2041" s="6">
        <v>0</v>
      </c>
      <c r="K2041" s="42">
        <v>0</v>
      </c>
      <c r="L2041" s="6">
        <v>578.97699999999998</v>
      </c>
      <c r="M2041" s="42">
        <v>578.97699999999998</v>
      </c>
      <c r="N2041" s="6">
        <v>578.97699999999998</v>
      </c>
      <c r="O2041" s="42">
        <v>578.97699999999998</v>
      </c>
      <c r="P2041" s="6">
        <v>111</v>
      </c>
      <c r="Q2041" s="4" t="s">
        <v>26</v>
      </c>
      <c r="R2041" s="4">
        <v>0</v>
      </c>
      <c r="S2041" s="6">
        <v>0</v>
      </c>
      <c r="T2041" s="6">
        <v>67</v>
      </c>
      <c r="U2041" s="6">
        <v>111</v>
      </c>
      <c r="V2041" s="42">
        <f>IF(ISERROR(VLOOKUP($S$2041,'TAR FIN'!$A$1:$O$115,15,0)),0,VLOOKUP($S$2041,'TAR FIN'!$A$1:$O$115,15,0))</f>
        <v>0</v>
      </c>
      <c r="W2041" s="42">
        <f>IF(ISERROR(VLOOKUP($T$2041,'TAR FIN'!$A$1:$O$115,15,0)),0,VLOOKUP($T$2041,'TAR FIN'!$A$1:$O$115,15,0))*(1-0.06)</f>
        <v>435.78399999999999</v>
      </c>
      <c r="X2041" s="42">
        <f>IF(ISERROR(VLOOKUP($U$2041,'TAR FIN'!$A$1:$O$115,15,0)),0,VLOOKUP($U$2041,'TAR FIN'!$A$1:$O$115,15,0))*(1-0.06)</f>
        <v>165.98519999999999</v>
      </c>
      <c r="Y2041" s="42"/>
      <c r="Z2041" s="42">
        <f ca="1">('TUSD BE'!$AM$65+'TUSD BF'!$AM$65+'TUSD CVA'!$AM$65)*1*(1-0.03)</f>
        <v>487.15317616832982</v>
      </c>
      <c r="AA2041" s="42">
        <f>('TE BE'!$AB$48+'TE BF'!$AB$48+'TE CVA'!$AB$48)*1*(1-0.03)</f>
        <v>223.76151520736593</v>
      </c>
      <c r="AB2041" s="6">
        <f>$K$2041*$V$2041</f>
        <v>0</v>
      </c>
      <c r="AC2041" s="6">
        <f>$M$2041*$W$2041</f>
        <v>252308.91296799999</v>
      </c>
      <c r="AD2041" s="6">
        <f>$O$2041*$X$2041</f>
        <v>96101.61314039999</v>
      </c>
      <c r="AE2041" s="6">
        <f>$K$2041*$Y$2041</f>
        <v>0</v>
      </c>
      <c r="AF2041" s="6">
        <f ca="1">$M$2041*$Z$2041</f>
        <v>282050.48447841109</v>
      </c>
      <c r="AG2041" s="6">
        <f>$O$2041*$AA$2041</f>
        <v>129552.7707902151</v>
      </c>
    </row>
    <row r="2042" spans="1:33" ht="11.25" customHeight="1" x14ac:dyDescent="0.25">
      <c r="A2042" s="4" t="s">
        <v>21</v>
      </c>
      <c r="B2042" s="4" t="s">
        <v>39</v>
      </c>
      <c r="C2042" s="4" t="s">
        <v>23</v>
      </c>
      <c r="D2042" s="4" t="s">
        <v>52</v>
      </c>
      <c r="E2042" s="4" t="s">
        <v>53</v>
      </c>
      <c r="F2042" s="4" t="s">
        <v>25</v>
      </c>
      <c r="G2042" s="4" t="s">
        <v>25</v>
      </c>
      <c r="H2042" s="4" t="s">
        <v>25</v>
      </c>
      <c r="I2042" s="5">
        <v>44562</v>
      </c>
      <c r="J2042" s="6">
        <v>0</v>
      </c>
      <c r="K2042" s="42">
        <v>0</v>
      </c>
      <c r="L2042" s="6">
        <v>227.67</v>
      </c>
      <c r="M2042" s="42">
        <v>227.67</v>
      </c>
      <c r="N2042" s="6">
        <v>227.67</v>
      </c>
      <c r="O2042" s="42">
        <v>227.67</v>
      </c>
      <c r="P2042" s="6">
        <v>83</v>
      </c>
      <c r="Q2042" s="4" t="s">
        <v>26</v>
      </c>
      <c r="R2042" s="4">
        <v>0</v>
      </c>
      <c r="S2042" s="6">
        <v>0</v>
      </c>
      <c r="T2042" s="6">
        <v>67</v>
      </c>
      <c r="U2042" s="6">
        <v>111</v>
      </c>
      <c r="V2042" s="42">
        <f>IF(ISERROR(VLOOKUP($S$2042,'TAR FIN'!$A$1:$O$115,15,0)),0,VLOOKUP($S$2042,'TAR FIN'!$A$1:$O$115,15,0))</f>
        <v>0</v>
      </c>
      <c r="W2042" s="42">
        <f>IF(ISERROR(VLOOKUP($T$2042,'TAR FIN'!$A$1:$O$115,15,0)),0,VLOOKUP($T$2042,'TAR FIN'!$A$1:$O$115,15,0))*(1-0.06)</f>
        <v>435.78399999999999</v>
      </c>
      <c r="X2042" s="42">
        <f>IF(ISERROR(VLOOKUP($U$2042,'TAR FIN'!$A$1:$O$115,15,0)),0,VLOOKUP($U$2042,'TAR FIN'!$A$1:$O$115,15,0))*(1-0.06)</f>
        <v>165.98519999999999</v>
      </c>
      <c r="Y2042" s="42"/>
      <c r="Z2042" s="42">
        <f ca="1">('TUSD BE'!$AM$65+'TUSD BF'!$AM$65+'TUSD CVA'!$AM$65)*1*(1-0.03)</f>
        <v>487.15317616832982</v>
      </c>
      <c r="AA2042" s="42">
        <f>('TE BE'!$AB$48+'TE BF'!$AB$48+'TE CVA'!$AB$48)*1*(1-0.03)</f>
        <v>223.76151520736593</v>
      </c>
      <c r="AB2042" s="6">
        <f>$K$2042*$V$2042</f>
        <v>0</v>
      </c>
      <c r="AC2042" s="6">
        <f>$M$2042*$W$2042</f>
        <v>99214.943279999992</v>
      </c>
      <c r="AD2042" s="6">
        <f>$O$2042*$X$2042</f>
        <v>37789.850483999995</v>
      </c>
      <c r="AE2042" s="6">
        <f>$K$2042*$Y$2042</f>
        <v>0</v>
      </c>
      <c r="AF2042" s="6">
        <f ca="1">$M$2042*$Z$2042</f>
        <v>110910.16361824365</v>
      </c>
      <c r="AG2042" s="6">
        <f>$O$2042*$AA$2042</f>
        <v>50943.784167261001</v>
      </c>
    </row>
    <row r="2043" spans="1:33" ht="11.25" customHeight="1" x14ac:dyDescent="0.25">
      <c r="A2043" s="4" t="s">
        <v>28</v>
      </c>
      <c r="B2043" s="4" t="s">
        <v>39</v>
      </c>
      <c r="C2043" s="4" t="s">
        <v>23</v>
      </c>
      <c r="D2043" s="4" t="s">
        <v>52</v>
      </c>
      <c r="E2043" s="4" t="s">
        <v>53</v>
      </c>
      <c r="F2043" s="4" t="s">
        <v>25</v>
      </c>
      <c r="G2043" s="4" t="s">
        <v>25</v>
      </c>
      <c r="H2043" s="4" t="s">
        <v>25</v>
      </c>
      <c r="I2043" s="5">
        <v>44562</v>
      </c>
      <c r="J2043" s="6">
        <v>0</v>
      </c>
      <c r="K2043" s="42">
        <v>0</v>
      </c>
      <c r="L2043" s="6">
        <v>583.32899999999995</v>
      </c>
      <c r="M2043" s="42">
        <v>583.32899999999995</v>
      </c>
      <c r="N2043" s="6">
        <v>583.32899999999995</v>
      </c>
      <c r="O2043" s="42">
        <v>583.32899999999995</v>
      </c>
      <c r="P2043" s="6">
        <v>111</v>
      </c>
      <c r="Q2043" s="4" t="s">
        <v>26</v>
      </c>
      <c r="R2043" s="4">
        <v>0</v>
      </c>
      <c r="S2043" s="6">
        <v>0</v>
      </c>
      <c r="T2043" s="6">
        <v>67</v>
      </c>
      <c r="U2043" s="6">
        <v>111</v>
      </c>
      <c r="V2043" s="42">
        <f>IF(ISERROR(VLOOKUP($S$2043,'TAR FIN'!$A$1:$O$115,15,0)),0,VLOOKUP($S$2043,'TAR FIN'!$A$1:$O$115,15,0))</f>
        <v>0</v>
      </c>
      <c r="W2043" s="42">
        <f>IF(ISERROR(VLOOKUP($T$2043,'TAR FIN'!$A$1:$O$115,15,0)),0,VLOOKUP($T$2043,'TAR FIN'!$A$1:$O$115,15,0))*(1-0.06)</f>
        <v>435.78399999999999</v>
      </c>
      <c r="X2043" s="42">
        <f>IF(ISERROR(VLOOKUP($U$2043,'TAR FIN'!$A$1:$O$115,15,0)),0,VLOOKUP($U$2043,'TAR FIN'!$A$1:$O$115,15,0))*(1-0.06)</f>
        <v>165.98519999999999</v>
      </c>
      <c r="Y2043" s="42"/>
      <c r="Z2043" s="42">
        <f ca="1">('TUSD BE'!$AM$65+'TUSD BF'!$AM$65+'TUSD CVA'!$AM$65)*1*(1-0.03)</f>
        <v>487.15317616832982</v>
      </c>
      <c r="AA2043" s="42">
        <f>('TE BE'!$AB$48+'TE BF'!$AB$48+'TE CVA'!$AB$48)*1*(1-0.03)</f>
        <v>223.76151520736593</v>
      </c>
      <c r="AB2043" s="6">
        <f>$K$2043*$V$2043</f>
        <v>0</v>
      </c>
      <c r="AC2043" s="6">
        <f>$M$2043*$W$2043</f>
        <v>254205.44493599999</v>
      </c>
      <c r="AD2043" s="6">
        <f>$O$2043*$X$2043</f>
        <v>96823.980730799987</v>
      </c>
      <c r="AE2043" s="6">
        <f>$K$2043*$Y$2043</f>
        <v>0</v>
      </c>
      <c r="AF2043" s="6">
        <f ca="1">$M$2043*$Z$2043</f>
        <v>284170.57510109566</v>
      </c>
      <c r="AG2043" s="6">
        <f>$O$2043*$AA$2043</f>
        <v>130526.58090439755</v>
      </c>
    </row>
    <row r="2044" spans="1:33" ht="11.25" customHeight="1" x14ac:dyDescent="0.25">
      <c r="A2044" s="4" t="s">
        <v>21</v>
      </c>
      <c r="B2044" s="4" t="s">
        <v>39</v>
      </c>
      <c r="C2044" s="4" t="s">
        <v>23</v>
      </c>
      <c r="D2044" s="4" t="s">
        <v>52</v>
      </c>
      <c r="E2044" s="4" t="s">
        <v>53</v>
      </c>
      <c r="F2044" s="4" t="s">
        <v>25</v>
      </c>
      <c r="G2044" s="4" t="s">
        <v>25</v>
      </c>
      <c r="H2044" s="4" t="s">
        <v>25</v>
      </c>
      <c r="I2044" s="5">
        <v>44593</v>
      </c>
      <c r="J2044" s="6">
        <v>0</v>
      </c>
      <c r="K2044" s="42">
        <v>0</v>
      </c>
      <c r="L2044" s="6">
        <v>212.714</v>
      </c>
      <c r="M2044" s="42">
        <v>212.714</v>
      </c>
      <c r="N2044" s="6">
        <v>212.714</v>
      </c>
      <c r="O2044" s="42">
        <v>212.714</v>
      </c>
      <c r="P2044" s="6">
        <v>83</v>
      </c>
      <c r="Q2044" s="4" t="s">
        <v>26</v>
      </c>
      <c r="R2044" s="4">
        <v>0</v>
      </c>
      <c r="S2044" s="6">
        <v>0</v>
      </c>
      <c r="T2044" s="6">
        <v>67</v>
      </c>
      <c r="U2044" s="6">
        <v>111</v>
      </c>
      <c r="V2044" s="42">
        <f>IF(ISERROR(VLOOKUP($S$2044,'TAR FIN'!$A$1:$O$115,15,0)),0,VLOOKUP($S$2044,'TAR FIN'!$A$1:$O$115,15,0))</f>
        <v>0</v>
      </c>
      <c r="W2044" s="42">
        <f>IF(ISERROR(VLOOKUP($T$2044,'TAR FIN'!$A$1:$O$115,15,0)),0,VLOOKUP($T$2044,'TAR FIN'!$A$1:$O$115,15,0))*(1-0.06)</f>
        <v>435.78399999999999</v>
      </c>
      <c r="X2044" s="42">
        <f>IF(ISERROR(VLOOKUP($U$2044,'TAR FIN'!$A$1:$O$115,15,0)),0,VLOOKUP($U$2044,'TAR FIN'!$A$1:$O$115,15,0))*(1-0.06)</f>
        <v>165.98519999999999</v>
      </c>
      <c r="Y2044" s="42"/>
      <c r="Z2044" s="42">
        <f ca="1">('TUSD BE'!$AM$65+'TUSD BF'!$AM$65+'TUSD CVA'!$AM$65)*1*(1-0.03)</f>
        <v>487.15317616832982</v>
      </c>
      <c r="AA2044" s="42">
        <f>('TE BE'!$AB$48+'TE BF'!$AB$48+'TE CVA'!$AB$48)*1*(1-0.03)</f>
        <v>223.76151520736593</v>
      </c>
      <c r="AB2044" s="6">
        <f>$K$2044*$V$2044</f>
        <v>0</v>
      </c>
      <c r="AC2044" s="6">
        <f>$M$2044*$W$2044</f>
        <v>92697.357776000004</v>
      </c>
      <c r="AD2044" s="6">
        <f>$O$2044*$X$2044</f>
        <v>35307.375832799997</v>
      </c>
      <c r="AE2044" s="6">
        <f>$K$2044*$Y$2044</f>
        <v>0</v>
      </c>
      <c r="AF2044" s="6">
        <f ca="1">$M$2044*$Z$2044</f>
        <v>103624.3007154701</v>
      </c>
      <c r="AG2044" s="6">
        <f>$O$2044*$AA$2044</f>
        <v>47597.206945819635</v>
      </c>
    </row>
    <row r="2045" spans="1:33" ht="11.25" customHeight="1" x14ac:dyDescent="0.25">
      <c r="A2045" s="4" t="s">
        <v>27</v>
      </c>
      <c r="B2045" s="4" t="s">
        <v>39</v>
      </c>
      <c r="C2045" s="4" t="s">
        <v>23</v>
      </c>
      <c r="D2045" s="4" t="s">
        <v>52</v>
      </c>
      <c r="E2045" s="4" t="s">
        <v>53</v>
      </c>
      <c r="F2045" s="4" t="s">
        <v>25</v>
      </c>
      <c r="G2045" s="4" t="s">
        <v>25</v>
      </c>
      <c r="H2045" s="4" t="s">
        <v>25</v>
      </c>
      <c r="I2045" s="5">
        <v>44593</v>
      </c>
      <c r="J2045" s="6">
        <v>0</v>
      </c>
      <c r="K2045" s="42">
        <v>0</v>
      </c>
      <c r="L2045" s="6">
        <v>4.2999999999999997E-2</v>
      </c>
      <c r="M2045" s="42">
        <v>4.2999999999999997E-2</v>
      </c>
      <c r="N2045" s="6">
        <v>4.2999999999999997E-2</v>
      </c>
      <c r="O2045" s="42">
        <v>4.2999999999999997E-2</v>
      </c>
      <c r="P2045" s="6">
        <v>0</v>
      </c>
      <c r="Q2045" s="4" t="s">
        <v>26</v>
      </c>
      <c r="R2045" s="4">
        <v>0</v>
      </c>
      <c r="S2045" s="6">
        <v>0</v>
      </c>
      <c r="T2045" s="6">
        <v>67</v>
      </c>
      <c r="U2045" s="6">
        <v>111</v>
      </c>
      <c r="V2045" s="42">
        <f>IF(ISERROR(VLOOKUP($S$2045,'TAR FIN'!$A$1:$O$115,15,0)),0,VLOOKUP($S$2045,'TAR FIN'!$A$1:$O$115,15,0))</f>
        <v>0</v>
      </c>
      <c r="W2045" s="42">
        <f>IF(ISERROR(VLOOKUP($T$2045,'TAR FIN'!$A$1:$O$115,15,0)),0,VLOOKUP($T$2045,'TAR FIN'!$A$1:$O$115,15,0))*(1-0.06)</f>
        <v>435.78399999999999</v>
      </c>
      <c r="X2045" s="42">
        <f>IF(ISERROR(VLOOKUP($U$2045,'TAR FIN'!$A$1:$O$115,15,0)),0,VLOOKUP($U$2045,'TAR FIN'!$A$1:$O$115,15,0))*(1-0.06)</f>
        <v>165.98519999999999</v>
      </c>
      <c r="Y2045" s="42"/>
      <c r="Z2045" s="42">
        <f ca="1">('TUSD BE'!$AM$65+'TUSD BF'!$AM$65+'TUSD CVA'!$AM$65)*1*(1-0.03)</f>
        <v>487.15317616832982</v>
      </c>
      <c r="AA2045" s="42">
        <f>('TE BE'!$AB$48+'TE BF'!$AB$48+'TE CVA'!$AB$48)*1*(1-0.03)</f>
        <v>223.76151520736593</v>
      </c>
      <c r="AB2045" s="6">
        <f>$K$2045*$V$2045</f>
        <v>0</v>
      </c>
      <c r="AC2045" s="6">
        <f>$M$2045*$W$2045</f>
        <v>18.738712</v>
      </c>
      <c r="AD2045" s="6">
        <f>$O$2045*$X$2045</f>
        <v>7.1373635999999987</v>
      </c>
      <c r="AE2045" s="6">
        <f>$K$2045*$Y$2045</f>
        <v>0</v>
      </c>
      <c r="AF2045" s="6">
        <f ca="1">$M$2045*$Z$2045</f>
        <v>20.94758657523818</v>
      </c>
      <c r="AG2045" s="6">
        <f>$O$2045*$AA$2045</f>
        <v>9.6217451539167342</v>
      </c>
    </row>
    <row r="2046" spans="1:33" ht="11.25" customHeight="1" x14ac:dyDescent="0.25">
      <c r="A2046" s="4" t="s">
        <v>28</v>
      </c>
      <c r="B2046" s="4" t="s">
        <v>39</v>
      </c>
      <c r="C2046" s="4" t="s">
        <v>23</v>
      </c>
      <c r="D2046" s="4" t="s">
        <v>52</v>
      </c>
      <c r="E2046" s="4" t="s">
        <v>53</v>
      </c>
      <c r="F2046" s="4" t="s">
        <v>25</v>
      </c>
      <c r="G2046" s="4" t="s">
        <v>25</v>
      </c>
      <c r="H2046" s="4" t="s">
        <v>25</v>
      </c>
      <c r="I2046" s="5">
        <v>44593</v>
      </c>
      <c r="J2046" s="6">
        <v>0</v>
      </c>
      <c r="K2046" s="42">
        <v>0</v>
      </c>
      <c r="L2046" s="6">
        <v>576.90099999999995</v>
      </c>
      <c r="M2046" s="42">
        <v>576.90099999999995</v>
      </c>
      <c r="N2046" s="6">
        <v>576.90099999999995</v>
      </c>
      <c r="O2046" s="42">
        <v>576.90099999999995</v>
      </c>
      <c r="P2046" s="6">
        <v>111</v>
      </c>
      <c r="Q2046" s="4" t="s">
        <v>26</v>
      </c>
      <c r="R2046" s="4">
        <v>0</v>
      </c>
      <c r="S2046" s="6">
        <v>0</v>
      </c>
      <c r="T2046" s="6">
        <v>67</v>
      </c>
      <c r="U2046" s="6">
        <v>111</v>
      </c>
      <c r="V2046" s="42">
        <f>IF(ISERROR(VLOOKUP($S$2046,'TAR FIN'!$A$1:$O$115,15,0)),0,VLOOKUP($S$2046,'TAR FIN'!$A$1:$O$115,15,0))</f>
        <v>0</v>
      </c>
      <c r="W2046" s="42">
        <f>IF(ISERROR(VLOOKUP($T$2046,'TAR FIN'!$A$1:$O$115,15,0)),0,VLOOKUP($T$2046,'TAR FIN'!$A$1:$O$115,15,0))*(1-0.06)</f>
        <v>435.78399999999999</v>
      </c>
      <c r="X2046" s="42">
        <f>IF(ISERROR(VLOOKUP($U$2046,'TAR FIN'!$A$1:$O$115,15,0)),0,VLOOKUP($U$2046,'TAR FIN'!$A$1:$O$115,15,0))*(1-0.06)</f>
        <v>165.98519999999999</v>
      </c>
      <c r="Y2046" s="42"/>
      <c r="Z2046" s="42">
        <f ca="1">('TUSD BE'!$AM$65+'TUSD BF'!$AM$65+'TUSD CVA'!$AM$65)*1*(1-0.03)</f>
        <v>487.15317616832982</v>
      </c>
      <c r="AA2046" s="42">
        <f>('TE BE'!$AB$48+'TE BF'!$AB$48+'TE CVA'!$AB$48)*1*(1-0.03)</f>
        <v>223.76151520736593</v>
      </c>
      <c r="AB2046" s="6">
        <f>$K$2046*$V$2046</f>
        <v>0</v>
      </c>
      <c r="AC2046" s="6">
        <f>$M$2046*$W$2046</f>
        <v>251404.22538399996</v>
      </c>
      <c r="AD2046" s="6">
        <f>$O$2046*$X$2046</f>
        <v>95757.027865199983</v>
      </c>
      <c r="AE2046" s="6">
        <f>$K$2046*$Y$2046</f>
        <v>0</v>
      </c>
      <c r="AF2046" s="6">
        <f ca="1">$M$2046*$Z$2046</f>
        <v>281039.15448468563</v>
      </c>
      <c r="AG2046" s="6">
        <f>$O$2046*$AA$2046</f>
        <v>129088.24188464461</v>
      </c>
    </row>
    <row r="2047" spans="1:33" ht="11.25" customHeight="1" x14ac:dyDescent="0.25">
      <c r="A2047" s="4" t="s">
        <v>21</v>
      </c>
      <c r="B2047" s="4" t="s">
        <v>39</v>
      </c>
      <c r="C2047" s="4" t="s">
        <v>23</v>
      </c>
      <c r="D2047" s="4" t="s">
        <v>52</v>
      </c>
      <c r="E2047" s="4" t="s">
        <v>53</v>
      </c>
      <c r="F2047" s="4" t="s">
        <v>25</v>
      </c>
      <c r="G2047" s="4" t="s">
        <v>25</v>
      </c>
      <c r="H2047" s="4" t="s">
        <v>25</v>
      </c>
      <c r="I2047" s="5">
        <v>44621</v>
      </c>
      <c r="J2047" s="6">
        <v>0</v>
      </c>
      <c r="K2047" s="42">
        <v>0</v>
      </c>
      <c r="L2047" s="6">
        <v>199.59299999999999</v>
      </c>
      <c r="M2047" s="42">
        <v>199.59299999999999</v>
      </c>
      <c r="N2047" s="6">
        <v>199.59299999999999</v>
      </c>
      <c r="O2047" s="42">
        <v>199.59299999999999</v>
      </c>
      <c r="P2047" s="6">
        <v>81</v>
      </c>
      <c r="Q2047" s="4" t="s">
        <v>26</v>
      </c>
      <c r="R2047" s="4">
        <v>0</v>
      </c>
      <c r="S2047" s="6">
        <v>0</v>
      </c>
      <c r="T2047" s="6">
        <v>67</v>
      </c>
      <c r="U2047" s="6">
        <v>111</v>
      </c>
      <c r="V2047" s="42">
        <f>IF(ISERROR(VLOOKUP($S$2047,'TAR FIN'!$A$1:$O$115,15,0)),0,VLOOKUP($S$2047,'TAR FIN'!$A$1:$O$115,15,0))</f>
        <v>0</v>
      </c>
      <c r="W2047" s="42">
        <f>IF(ISERROR(VLOOKUP($T$2047,'TAR FIN'!$A$1:$O$115,15,0)),0,VLOOKUP($T$2047,'TAR FIN'!$A$1:$O$115,15,0))*(1-0.06)</f>
        <v>435.78399999999999</v>
      </c>
      <c r="X2047" s="42">
        <f>IF(ISERROR(VLOOKUP($U$2047,'TAR FIN'!$A$1:$O$115,15,0)),0,VLOOKUP($U$2047,'TAR FIN'!$A$1:$O$115,15,0))*(1-0.06)</f>
        <v>165.98519999999999</v>
      </c>
      <c r="Y2047" s="42"/>
      <c r="Z2047" s="42">
        <f ca="1">('TUSD BE'!$AM$65+'TUSD BF'!$AM$65+'TUSD CVA'!$AM$65)*1*(1-0.03)</f>
        <v>487.15317616832982</v>
      </c>
      <c r="AA2047" s="42">
        <f>('TE BE'!$AB$48+'TE BF'!$AB$48+'TE CVA'!$AB$48)*1*(1-0.03)</f>
        <v>223.76151520736593</v>
      </c>
      <c r="AB2047" s="6">
        <f>$K$2047*$V$2047</f>
        <v>0</v>
      </c>
      <c r="AC2047" s="6">
        <f>$M$2047*$W$2047</f>
        <v>86979.435912000001</v>
      </c>
      <c r="AD2047" s="6">
        <f>$O$2047*$X$2047</f>
        <v>33129.484023599995</v>
      </c>
      <c r="AE2047" s="6">
        <f>$K$2047*$Y$2047</f>
        <v>0</v>
      </c>
      <c r="AF2047" s="6">
        <f ca="1">$M$2047*$Z$2047</f>
        <v>97232.363890965455</v>
      </c>
      <c r="AG2047" s="6">
        <f>$O$2047*$AA$2047</f>
        <v>44661.232104783783</v>
      </c>
    </row>
    <row r="2048" spans="1:33" ht="11.25" customHeight="1" x14ac:dyDescent="0.25">
      <c r="A2048" s="4" t="s">
        <v>28</v>
      </c>
      <c r="B2048" s="4" t="s">
        <v>39</v>
      </c>
      <c r="C2048" s="4" t="s">
        <v>23</v>
      </c>
      <c r="D2048" s="4" t="s">
        <v>52</v>
      </c>
      <c r="E2048" s="4" t="s">
        <v>53</v>
      </c>
      <c r="F2048" s="4" t="s">
        <v>25</v>
      </c>
      <c r="G2048" s="4" t="s">
        <v>25</v>
      </c>
      <c r="H2048" s="4" t="s">
        <v>25</v>
      </c>
      <c r="I2048" s="5">
        <v>44621</v>
      </c>
      <c r="J2048" s="6">
        <v>0</v>
      </c>
      <c r="K2048" s="42">
        <v>0</v>
      </c>
      <c r="L2048" s="6">
        <v>556.97799999999995</v>
      </c>
      <c r="M2048" s="42">
        <v>556.97799999999995</v>
      </c>
      <c r="N2048" s="6">
        <v>556.97799999999995</v>
      </c>
      <c r="O2048" s="42">
        <v>556.97799999999995</v>
      </c>
      <c r="P2048" s="6">
        <v>110</v>
      </c>
      <c r="Q2048" s="4" t="s">
        <v>26</v>
      </c>
      <c r="R2048" s="4">
        <v>0</v>
      </c>
      <c r="S2048" s="6">
        <v>0</v>
      </c>
      <c r="T2048" s="6">
        <v>67</v>
      </c>
      <c r="U2048" s="6">
        <v>111</v>
      </c>
      <c r="V2048" s="42">
        <f>IF(ISERROR(VLOOKUP($S$2048,'TAR FIN'!$A$1:$O$115,15,0)),0,VLOOKUP($S$2048,'TAR FIN'!$A$1:$O$115,15,0))</f>
        <v>0</v>
      </c>
      <c r="W2048" s="42">
        <f>IF(ISERROR(VLOOKUP($T$2048,'TAR FIN'!$A$1:$O$115,15,0)),0,VLOOKUP($T$2048,'TAR FIN'!$A$1:$O$115,15,0))*(1-0.06)</f>
        <v>435.78399999999999</v>
      </c>
      <c r="X2048" s="42">
        <f>IF(ISERROR(VLOOKUP($U$2048,'TAR FIN'!$A$1:$O$115,15,0)),0,VLOOKUP($U$2048,'TAR FIN'!$A$1:$O$115,15,0))*(1-0.06)</f>
        <v>165.98519999999999</v>
      </c>
      <c r="Y2048" s="42"/>
      <c r="Z2048" s="42">
        <f ca="1">('TUSD BE'!$AM$65+'TUSD BF'!$AM$65+'TUSD CVA'!$AM$65)*1*(1-0.03)</f>
        <v>487.15317616832982</v>
      </c>
      <c r="AA2048" s="42">
        <f>('TE BE'!$AB$48+'TE BF'!$AB$48+'TE CVA'!$AB$48)*1*(1-0.03)</f>
        <v>223.76151520736593</v>
      </c>
      <c r="AB2048" s="6">
        <f>$K$2048*$V$2048</f>
        <v>0</v>
      </c>
      <c r="AC2048" s="6">
        <f>$M$2048*$W$2048</f>
        <v>242722.10075199997</v>
      </c>
      <c r="AD2048" s="6">
        <f>$O$2048*$X$2048</f>
        <v>92450.104725599987</v>
      </c>
      <c r="AE2048" s="6">
        <f>$K$2048*$Y$2048</f>
        <v>0</v>
      </c>
      <c r="AF2048" s="6">
        <f ca="1">$M$2048*$Z$2048</f>
        <v>271333.60175588401</v>
      </c>
      <c r="AG2048" s="6">
        <f>$O$2048*$AA$2048</f>
        <v>124630.24121716825</v>
      </c>
    </row>
    <row r="2049" spans="1:33" ht="11.25" customHeight="1" x14ac:dyDescent="0.25">
      <c r="A2049" s="4" t="s">
        <v>21</v>
      </c>
      <c r="B2049" s="4" t="s">
        <v>39</v>
      </c>
      <c r="C2049" s="4" t="s">
        <v>23</v>
      </c>
      <c r="D2049" s="4" t="s">
        <v>52</v>
      </c>
      <c r="E2049" s="4" t="s">
        <v>53</v>
      </c>
      <c r="F2049" s="4" t="s">
        <v>25</v>
      </c>
      <c r="G2049" s="4" t="s">
        <v>25</v>
      </c>
      <c r="H2049" s="4" t="s">
        <v>25</v>
      </c>
      <c r="I2049" s="5">
        <v>44652</v>
      </c>
      <c r="J2049" s="6">
        <v>0</v>
      </c>
      <c r="K2049" s="42">
        <v>0</v>
      </c>
      <c r="L2049" s="6">
        <v>228.82</v>
      </c>
      <c r="M2049" s="42">
        <v>228.82</v>
      </c>
      <c r="N2049" s="6">
        <v>228.82</v>
      </c>
      <c r="O2049" s="42">
        <v>228.82</v>
      </c>
      <c r="P2049" s="6">
        <v>64</v>
      </c>
      <c r="Q2049" s="4" t="s">
        <v>26</v>
      </c>
      <c r="R2049" s="4">
        <v>0</v>
      </c>
      <c r="S2049" s="6">
        <v>0</v>
      </c>
      <c r="T2049" s="6">
        <v>67</v>
      </c>
      <c r="U2049" s="6">
        <v>111</v>
      </c>
      <c r="V2049" s="42">
        <f>IF(ISERROR(VLOOKUP($S$2049,'TAR FIN'!$A$1:$O$115,15,0)),0,VLOOKUP($S$2049,'TAR FIN'!$A$1:$O$115,15,0))</f>
        <v>0</v>
      </c>
      <c r="W2049" s="42">
        <f>IF(ISERROR(VLOOKUP($T$2049,'TAR FIN'!$A$1:$O$115,15,0)),0,VLOOKUP($T$2049,'TAR FIN'!$A$1:$O$115,15,0))*(1-0.06)</f>
        <v>435.78399999999999</v>
      </c>
      <c r="X2049" s="42">
        <f>IF(ISERROR(VLOOKUP($U$2049,'TAR FIN'!$A$1:$O$115,15,0)),0,VLOOKUP($U$2049,'TAR FIN'!$A$1:$O$115,15,0))*(1-0.06)</f>
        <v>165.98519999999999</v>
      </c>
      <c r="Y2049" s="42"/>
      <c r="Z2049" s="42">
        <f ca="1">('TUSD BE'!$AM$65+'TUSD BF'!$AM$65+'TUSD CVA'!$AM$65)*1*(1-0.03)</f>
        <v>487.15317616832982</v>
      </c>
      <c r="AA2049" s="42">
        <f>('TE BE'!$AB$48+'TE BF'!$AB$48+'TE CVA'!$AB$48)*1*(1-0.03)</f>
        <v>223.76151520736593</v>
      </c>
      <c r="AB2049" s="6">
        <f>$K$2049*$V$2049</f>
        <v>0</v>
      </c>
      <c r="AC2049" s="6">
        <f>$M$2049*$W$2049</f>
        <v>99716.09487999999</v>
      </c>
      <c r="AD2049" s="6">
        <f>$O$2049*$X$2049</f>
        <v>37980.733463999997</v>
      </c>
      <c r="AE2049" s="6">
        <f>$K$2049*$Y$2049</f>
        <v>0</v>
      </c>
      <c r="AF2049" s="6">
        <f ca="1">$M$2049*$Z$2049</f>
        <v>111470.38977083722</v>
      </c>
      <c r="AG2049" s="6">
        <f>$O$2049*$AA$2049</f>
        <v>51201.109909749473</v>
      </c>
    </row>
    <row r="2050" spans="1:33" ht="11.25" customHeight="1" x14ac:dyDescent="0.25">
      <c r="A2050" s="4" t="s">
        <v>28</v>
      </c>
      <c r="B2050" s="4" t="s">
        <v>39</v>
      </c>
      <c r="C2050" s="4" t="s">
        <v>23</v>
      </c>
      <c r="D2050" s="4" t="s">
        <v>52</v>
      </c>
      <c r="E2050" s="4" t="s">
        <v>53</v>
      </c>
      <c r="F2050" s="4" t="s">
        <v>25</v>
      </c>
      <c r="G2050" s="4" t="s">
        <v>25</v>
      </c>
      <c r="H2050" s="4" t="s">
        <v>25</v>
      </c>
      <c r="I2050" s="5">
        <v>44652</v>
      </c>
      <c r="J2050" s="6">
        <v>0</v>
      </c>
      <c r="K2050" s="42">
        <v>0</v>
      </c>
      <c r="L2050" s="6">
        <v>619.88599999999997</v>
      </c>
      <c r="M2050" s="42">
        <v>619.88599999999997</v>
      </c>
      <c r="N2050" s="6">
        <v>619.88599999999997</v>
      </c>
      <c r="O2050" s="42">
        <v>619.88599999999997</v>
      </c>
      <c r="P2050" s="6">
        <v>110</v>
      </c>
      <c r="Q2050" s="4" t="s">
        <v>26</v>
      </c>
      <c r="R2050" s="4">
        <v>0</v>
      </c>
      <c r="S2050" s="6">
        <v>0</v>
      </c>
      <c r="T2050" s="6">
        <v>67</v>
      </c>
      <c r="U2050" s="6">
        <v>111</v>
      </c>
      <c r="V2050" s="42">
        <f>IF(ISERROR(VLOOKUP($S$2050,'TAR FIN'!$A$1:$O$115,15,0)),0,VLOOKUP($S$2050,'TAR FIN'!$A$1:$O$115,15,0))</f>
        <v>0</v>
      </c>
      <c r="W2050" s="42">
        <f>IF(ISERROR(VLOOKUP($T$2050,'TAR FIN'!$A$1:$O$115,15,0)),0,VLOOKUP($T$2050,'TAR FIN'!$A$1:$O$115,15,0))*(1-0.06)</f>
        <v>435.78399999999999</v>
      </c>
      <c r="X2050" s="42">
        <f>IF(ISERROR(VLOOKUP($U$2050,'TAR FIN'!$A$1:$O$115,15,0)),0,VLOOKUP($U$2050,'TAR FIN'!$A$1:$O$115,15,0))*(1-0.06)</f>
        <v>165.98519999999999</v>
      </c>
      <c r="Y2050" s="42"/>
      <c r="Z2050" s="42">
        <f ca="1">('TUSD BE'!$AM$65+'TUSD BF'!$AM$65+'TUSD CVA'!$AM$65)*1*(1-0.03)</f>
        <v>487.15317616832982</v>
      </c>
      <c r="AA2050" s="42">
        <f>('TE BE'!$AB$48+'TE BF'!$AB$48+'TE CVA'!$AB$48)*1*(1-0.03)</f>
        <v>223.76151520736593</v>
      </c>
      <c r="AB2050" s="6">
        <f>$K$2050*$V$2050</f>
        <v>0</v>
      </c>
      <c r="AC2050" s="6">
        <f>$M$2050*$W$2050</f>
        <v>270136.400624</v>
      </c>
      <c r="AD2050" s="6">
        <f>$O$2050*$X$2050</f>
        <v>102891.90168719999</v>
      </c>
      <c r="AE2050" s="6">
        <f>$K$2050*$Y$2050</f>
        <v>0</v>
      </c>
      <c r="AF2050" s="6">
        <f ca="1">$M$2050*$Z$2050</f>
        <v>301979.43376228126</v>
      </c>
      <c r="AG2050" s="6">
        <f>$O$2050*$AA$2050</f>
        <v>138706.63061583324</v>
      </c>
    </row>
    <row r="2051" spans="1:33" ht="11.25" customHeight="1" x14ac:dyDescent="0.25">
      <c r="A2051" s="4" t="s">
        <v>21</v>
      </c>
      <c r="B2051" s="4" t="s">
        <v>39</v>
      </c>
      <c r="C2051" s="4" t="s">
        <v>23</v>
      </c>
      <c r="D2051" s="4" t="s">
        <v>52</v>
      </c>
      <c r="E2051" s="4" t="s">
        <v>53</v>
      </c>
      <c r="F2051" s="4" t="s">
        <v>25</v>
      </c>
      <c r="G2051" s="4" t="s">
        <v>25</v>
      </c>
      <c r="H2051" s="4" t="s">
        <v>25</v>
      </c>
      <c r="I2051" s="5">
        <v>44682</v>
      </c>
      <c r="J2051" s="6">
        <v>0</v>
      </c>
      <c r="K2051" s="42">
        <v>0</v>
      </c>
      <c r="L2051" s="6">
        <v>192.78</v>
      </c>
      <c r="M2051" s="42">
        <v>192.78</v>
      </c>
      <c r="N2051" s="6">
        <v>192.78</v>
      </c>
      <c r="O2051" s="42">
        <v>192.78</v>
      </c>
      <c r="P2051" s="6">
        <v>44</v>
      </c>
      <c r="Q2051" s="4" t="s">
        <v>26</v>
      </c>
      <c r="R2051" s="4">
        <v>0</v>
      </c>
      <c r="S2051" s="6">
        <v>0</v>
      </c>
      <c r="T2051" s="6">
        <v>67</v>
      </c>
      <c r="U2051" s="6">
        <v>111</v>
      </c>
      <c r="V2051" s="42">
        <f>IF(ISERROR(VLOOKUP($S$2051,'TAR FIN'!$A$1:$O$115,15,0)),0,VLOOKUP($S$2051,'TAR FIN'!$A$1:$O$115,15,0))</f>
        <v>0</v>
      </c>
      <c r="W2051" s="42">
        <f>IF(ISERROR(VLOOKUP($T$2051,'TAR FIN'!$A$1:$O$115,15,0)),0,VLOOKUP($T$2051,'TAR FIN'!$A$1:$O$115,15,0))*(1-0.06)</f>
        <v>435.78399999999999</v>
      </c>
      <c r="X2051" s="42">
        <f>IF(ISERROR(VLOOKUP($U$2051,'TAR FIN'!$A$1:$O$115,15,0)),0,VLOOKUP($U$2051,'TAR FIN'!$A$1:$O$115,15,0))*(1-0.06)</f>
        <v>165.98519999999999</v>
      </c>
      <c r="Y2051" s="42"/>
      <c r="Z2051" s="42">
        <f ca="1">('TUSD BE'!$AM$65+'TUSD BF'!$AM$65+'TUSD CVA'!$AM$65)*1*(1-0.03)</f>
        <v>487.15317616832982</v>
      </c>
      <c r="AA2051" s="42">
        <f>('TE BE'!$AB$48+'TE BF'!$AB$48+'TE CVA'!$AB$48)*1*(1-0.03)</f>
        <v>223.76151520736593</v>
      </c>
      <c r="AB2051" s="6">
        <f>$K$2051*$V$2051</f>
        <v>0</v>
      </c>
      <c r="AC2051" s="6">
        <f>$M$2051*$W$2051</f>
        <v>84010.43952</v>
      </c>
      <c r="AD2051" s="6">
        <f>$O$2051*$X$2051</f>
        <v>31998.626855999999</v>
      </c>
      <c r="AE2051" s="6">
        <f>$K$2051*$Y$2051</f>
        <v>0</v>
      </c>
      <c r="AF2051" s="6">
        <f ca="1">$M$2051*$Z$2051</f>
        <v>93913.389301730625</v>
      </c>
      <c r="AG2051" s="6">
        <f>$O$2051*$AA$2051</f>
        <v>43136.744901676007</v>
      </c>
    </row>
    <row r="2052" spans="1:33" ht="11.25" customHeight="1" x14ac:dyDescent="0.25">
      <c r="A2052" s="4" t="s">
        <v>27</v>
      </c>
      <c r="B2052" s="4" t="s">
        <v>39</v>
      </c>
      <c r="C2052" s="4" t="s">
        <v>23</v>
      </c>
      <c r="D2052" s="4" t="s">
        <v>52</v>
      </c>
      <c r="E2052" s="4" t="s">
        <v>53</v>
      </c>
      <c r="F2052" s="4" t="s">
        <v>25</v>
      </c>
      <c r="G2052" s="4" t="s">
        <v>25</v>
      </c>
      <c r="H2052" s="4" t="s">
        <v>25</v>
      </c>
      <c r="I2052" s="5">
        <v>44682</v>
      </c>
      <c r="J2052" s="6">
        <v>0</v>
      </c>
      <c r="K2052" s="42">
        <v>0</v>
      </c>
      <c r="L2052" s="6">
        <v>-0.1</v>
      </c>
      <c r="M2052" s="42">
        <v>-0.1</v>
      </c>
      <c r="N2052" s="6">
        <v>-0.1</v>
      </c>
      <c r="O2052" s="42">
        <v>-0.1</v>
      </c>
      <c r="P2052" s="6">
        <v>-1</v>
      </c>
      <c r="Q2052" s="4" t="s">
        <v>26</v>
      </c>
      <c r="R2052" s="4">
        <v>0</v>
      </c>
      <c r="S2052" s="6">
        <v>0</v>
      </c>
      <c r="T2052" s="6">
        <v>67</v>
      </c>
      <c r="U2052" s="6">
        <v>111</v>
      </c>
      <c r="V2052" s="42">
        <f>IF(ISERROR(VLOOKUP($S$2052,'TAR FIN'!$A$1:$O$115,15,0)),0,VLOOKUP($S$2052,'TAR FIN'!$A$1:$O$115,15,0))</f>
        <v>0</v>
      </c>
      <c r="W2052" s="42">
        <f>IF(ISERROR(VLOOKUP($T$2052,'TAR FIN'!$A$1:$O$115,15,0)),0,VLOOKUP($T$2052,'TAR FIN'!$A$1:$O$115,15,0))*(1-0.06)</f>
        <v>435.78399999999999</v>
      </c>
      <c r="X2052" s="42">
        <f>IF(ISERROR(VLOOKUP($U$2052,'TAR FIN'!$A$1:$O$115,15,0)),0,VLOOKUP($U$2052,'TAR FIN'!$A$1:$O$115,15,0))*(1-0.06)</f>
        <v>165.98519999999999</v>
      </c>
      <c r="Y2052" s="42"/>
      <c r="Z2052" s="42">
        <f ca="1">('TUSD BE'!$AM$65+'TUSD BF'!$AM$65+'TUSD CVA'!$AM$65)*1*(1-0.03)</f>
        <v>487.15317616832982</v>
      </c>
      <c r="AA2052" s="42">
        <f>('TE BE'!$AB$48+'TE BF'!$AB$48+'TE CVA'!$AB$48)*1*(1-0.03)</f>
        <v>223.76151520736593</v>
      </c>
      <c r="AB2052" s="6">
        <f>$K$2052*$V$2052</f>
        <v>0</v>
      </c>
      <c r="AC2052" s="6">
        <f>$M$2052*$W$2052</f>
        <v>-43.578400000000002</v>
      </c>
      <c r="AD2052" s="6">
        <f>$O$2052*$X$2052</f>
        <v>-16.598520000000001</v>
      </c>
      <c r="AE2052" s="6">
        <f>$K$2052*$Y$2052</f>
        <v>0</v>
      </c>
      <c r="AF2052" s="6">
        <f ca="1">$M$2052*$Z$2052</f>
        <v>-48.715317616832984</v>
      </c>
      <c r="AG2052" s="6">
        <f>$O$2052*$AA$2052</f>
        <v>-22.376151520736595</v>
      </c>
    </row>
    <row r="2053" spans="1:33" ht="11.25" customHeight="1" x14ac:dyDescent="0.25">
      <c r="A2053" s="4" t="s">
        <v>28</v>
      </c>
      <c r="B2053" s="4" t="s">
        <v>39</v>
      </c>
      <c r="C2053" s="4" t="s">
        <v>23</v>
      </c>
      <c r="D2053" s="4" t="s">
        <v>52</v>
      </c>
      <c r="E2053" s="4" t="s">
        <v>53</v>
      </c>
      <c r="F2053" s="4" t="s">
        <v>25</v>
      </c>
      <c r="G2053" s="4" t="s">
        <v>25</v>
      </c>
      <c r="H2053" s="4" t="s">
        <v>25</v>
      </c>
      <c r="I2053" s="5">
        <v>44682</v>
      </c>
      <c r="J2053" s="6">
        <v>0</v>
      </c>
      <c r="K2053" s="42">
        <v>0</v>
      </c>
      <c r="L2053" s="6">
        <v>583.01499999999999</v>
      </c>
      <c r="M2053" s="42">
        <v>583.01499999999999</v>
      </c>
      <c r="N2053" s="6">
        <v>583.01499999999999</v>
      </c>
      <c r="O2053" s="42">
        <v>583.01499999999999</v>
      </c>
      <c r="P2053" s="6">
        <v>115</v>
      </c>
      <c r="Q2053" s="4" t="s">
        <v>26</v>
      </c>
      <c r="R2053" s="4">
        <v>0</v>
      </c>
      <c r="S2053" s="6">
        <v>0</v>
      </c>
      <c r="T2053" s="6">
        <v>67</v>
      </c>
      <c r="U2053" s="6">
        <v>111</v>
      </c>
      <c r="V2053" s="42">
        <f>IF(ISERROR(VLOOKUP($S$2053,'TAR FIN'!$A$1:$O$115,15,0)),0,VLOOKUP($S$2053,'TAR FIN'!$A$1:$O$115,15,0))</f>
        <v>0</v>
      </c>
      <c r="W2053" s="42">
        <f>IF(ISERROR(VLOOKUP($T$2053,'TAR FIN'!$A$1:$O$115,15,0)),0,VLOOKUP($T$2053,'TAR FIN'!$A$1:$O$115,15,0))*(1-0.06)</f>
        <v>435.78399999999999</v>
      </c>
      <c r="X2053" s="42">
        <f>IF(ISERROR(VLOOKUP($U$2053,'TAR FIN'!$A$1:$O$115,15,0)),0,VLOOKUP($U$2053,'TAR FIN'!$A$1:$O$115,15,0))*(1-0.06)</f>
        <v>165.98519999999999</v>
      </c>
      <c r="Y2053" s="42"/>
      <c r="Z2053" s="42">
        <f ca="1">('TUSD BE'!$AM$65+'TUSD BF'!$AM$65+'TUSD CVA'!$AM$65)*1*(1-0.03)</f>
        <v>487.15317616832982</v>
      </c>
      <c r="AA2053" s="42">
        <f>('TE BE'!$AB$48+'TE BF'!$AB$48+'TE CVA'!$AB$48)*1*(1-0.03)</f>
        <v>223.76151520736593</v>
      </c>
      <c r="AB2053" s="6">
        <f>$K$2053*$V$2053</f>
        <v>0</v>
      </c>
      <c r="AC2053" s="6">
        <f>$M$2053*$W$2053</f>
        <v>254068.60876</v>
      </c>
      <c r="AD2053" s="6">
        <f>$O$2053*$X$2053</f>
        <v>96771.861377999987</v>
      </c>
      <c r="AE2053" s="6">
        <f>$K$2053*$Y$2053</f>
        <v>0</v>
      </c>
      <c r="AF2053" s="6">
        <f ca="1">$M$2053*$Z$2053</f>
        <v>284017.60900377878</v>
      </c>
      <c r="AG2053" s="6">
        <f>$O$2053*$AA$2053</f>
        <v>130456.31978862245</v>
      </c>
    </row>
    <row r="2054" spans="1:33" ht="11.25" customHeight="1" x14ac:dyDescent="0.25">
      <c r="A2054" s="4" t="s">
        <v>21</v>
      </c>
      <c r="B2054" s="4" t="s">
        <v>39</v>
      </c>
      <c r="C2054" s="4" t="s">
        <v>23</v>
      </c>
      <c r="D2054" s="4" t="s">
        <v>52</v>
      </c>
      <c r="E2054" s="4" t="s">
        <v>53</v>
      </c>
      <c r="F2054" s="4" t="s">
        <v>25</v>
      </c>
      <c r="G2054" s="4" t="s">
        <v>25</v>
      </c>
      <c r="H2054" s="4" t="s">
        <v>25</v>
      </c>
      <c r="I2054" s="5">
        <v>44713</v>
      </c>
      <c r="J2054" s="6">
        <v>0</v>
      </c>
      <c r="K2054" s="42">
        <v>0</v>
      </c>
      <c r="L2054" s="6">
        <v>225.28800000000001</v>
      </c>
      <c r="M2054" s="42">
        <v>225.28800000000001</v>
      </c>
      <c r="N2054" s="6">
        <v>225.28800000000001</v>
      </c>
      <c r="O2054" s="42">
        <v>225.28800000000001</v>
      </c>
      <c r="P2054" s="6">
        <v>54</v>
      </c>
      <c r="Q2054" s="4" t="s">
        <v>26</v>
      </c>
      <c r="R2054" s="4">
        <v>0</v>
      </c>
      <c r="S2054" s="6">
        <v>0</v>
      </c>
      <c r="T2054" s="6">
        <v>67</v>
      </c>
      <c r="U2054" s="6">
        <v>111</v>
      </c>
      <c r="V2054" s="42">
        <f>IF(ISERROR(VLOOKUP($S$2054,'TAR FIN'!$A$1:$O$115,15,0)),0,VLOOKUP($S$2054,'TAR FIN'!$A$1:$O$115,15,0))</f>
        <v>0</v>
      </c>
      <c r="W2054" s="42">
        <f>IF(ISERROR(VLOOKUP($T$2054,'TAR FIN'!$A$1:$O$115,15,0)),0,VLOOKUP($T$2054,'TAR FIN'!$A$1:$O$115,15,0))*(1-0.06)</f>
        <v>435.78399999999999</v>
      </c>
      <c r="X2054" s="42">
        <f>IF(ISERROR(VLOOKUP($U$2054,'TAR FIN'!$A$1:$O$115,15,0)),0,VLOOKUP($U$2054,'TAR FIN'!$A$1:$O$115,15,0))*(1-0.06)</f>
        <v>165.98519999999999</v>
      </c>
      <c r="Y2054" s="42"/>
      <c r="Z2054" s="42">
        <f ca="1">('TUSD BE'!$AM$65+'TUSD BF'!$AM$65+'TUSD CVA'!$AM$65)*1*(1-0.03)</f>
        <v>487.15317616832982</v>
      </c>
      <c r="AA2054" s="42">
        <f>('TE BE'!$AB$48+'TE BF'!$AB$48+'TE CVA'!$AB$48)*1*(1-0.03)</f>
        <v>223.76151520736593</v>
      </c>
      <c r="AB2054" s="6">
        <f>$K$2054*$V$2054</f>
        <v>0</v>
      </c>
      <c r="AC2054" s="6">
        <f>$M$2054*$W$2054</f>
        <v>98176.905792000005</v>
      </c>
      <c r="AD2054" s="6">
        <f>$O$2054*$X$2054</f>
        <v>37394.473737599998</v>
      </c>
      <c r="AE2054" s="6">
        <f>$K$2054*$Y$2054</f>
        <v>0</v>
      </c>
      <c r="AF2054" s="6">
        <f ca="1">$M$2054*$Z$2054</f>
        <v>109749.76475261069</v>
      </c>
      <c r="AG2054" s="6">
        <f>$O$2054*$AA$2054</f>
        <v>50410.784238037057</v>
      </c>
    </row>
    <row r="2055" spans="1:33" ht="11.25" customHeight="1" x14ac:dyDescent="0.25">
      <c r="A2055" s="4" t="s">
        <v>28</v>
      </c>
      <c r="B2055" s="4" t="s">
        <v>39</v>
      </c>
      <c r="C2055" s="4" t="s">
        <v>23</v>
      </c>
      <c r="D2055" s="4" t="s">
        <v>52</v>
      </c>
      <c r="E2055" s="4" t="s">
        <v>53</v>
      </c>
      <c r="F2055" s="4" t="s">
        <v>25</v>
      </c>
      <c r="G2055" s="4" t="s">
        <v>25</v>
      </c>
      <c r="H2055" s="4" t="s">
        <v>25</v>
      </c>
      <c r="I2055" s="5">
        <v>44713</v>
      </c>
      <c r="J2055" s="6">
        <v>0</v>
      </c>
      <c r="K2055" s="42">
        <v>0</v>
      </c>
      <c r="L2055" s="6">
        <v>608.83100000000002</v>
      </c>
      <c r="M2055" s="42">
        <v>608.83100000000002</v>
      </c>
      <c r="N2055" s="6">
        <v>608.83100000000002</v>
      </c>
      <c r="O2055" s="42">
        <v>608.83100000000002</v>
      </c>
      <c r="P2055" s="6">
        <v>118</v>
      </c>
      <c r="Q2055" s="4" t="s">
        <v>26</v>
      </c>
      <c r="R2055" s="4">
        <v>0</v>
      </c>
      <c r="S2055" s="6">
        <v>0</v>
      </c>
      <c r="T2055" s="6">
        <v>67</v>
      </c>
      <c r="U2055" s="6">
        <v>111</v>
      </c>
      <c r="V2055" s="42">
        <f>IF(ISERROR(VLOOKUP($S$2055,'TAR FIN'!$A$1:$O$115,15,0)),0,VLOOKUP($S$2055,'TAR FIN'!$A$1:$O$115,15,0))</f>
        <v>0</v>
      </c>
      <c r="W2055" s="42">
        <f>IF(ISERROR(VLOOKUP($T$2055,'TAR FIN'!$A$1:$O$115,15,0)),0,VLOOKUP($T$2055,'TAR FIN'!$A$1:$O$115,15,0))*(1-0.06)</f>
        <v>435.78399999999999</v>
      </c>
      <c r="X2055" s="42">
        <f>IF(ISERROR(VLOOKUP($U$2055,'TAR FIN'!$A$1:$O$115,15,0)),0,VLOOKUP($U$2055,'TAR FIN'!$A$1:$O$115,15,0))*(1-0.06)</f>
        <v>165.98519999999999</v>
      </c>
      <c r="Y2055" s="42"/>
      <c r="Z2055" s="42">
        <f ca="1">('TUSD BE'!$AM$65+'TUSD BF'!$AM$65+'TUSD CVA'!$AM$65)*1*(1-0.03)</f>
        <v>487.15317616832982</v>
      </c>
      <c r="AA2055" s="42">
        <f>('TE BE'!$AB$48+'TE BF'!$AB$48+'TE CVA'!$AB$48)*1*(1-0.03)</f>
        <v>223.76151520736593</v>
      </c>
      <c r="AB2055" s="6">
        <f>$K$2055*$V$2055</f>
        <v>0</v>
      </c>
      <c r="AC2055" s="6">
        <f>$M$2055*$W$2055</f>
        <v>265318.80850400002</v>
      </c>
      <c r="AD2055" s="6">
        <f>$O$2055*$X$2055</f>
        <v>101056.93530119999</v>
      </c>
      <c r="AE2055" s="6">
        <f>$K$2055*$Y$2055</f>
        <v>0</v>
      </c>
      <c r="AF2055" s="6">
        <f ca="1">$M$2055*$Z$2055</f>
        <v>296593.95539974043</v>
      </c>
      <c r="AG2055" s="6">
        <f>$O$2055*$AA$2055</f>
        <v>136232.94706521582</v>
      </c>
    </row>
    <row r="2056" spans="1:33" ht="11.25" customHeight="1" x14ac:dyDescent="0.25">
      <c r="A2056" s="4" t="s">
        <v>21</v>
      </c>
      <c r="B2056" s="4" t="s">
        <v>39</v>
      </c>
      <c r="C2056" s="4" t="s">
        <v>23</v>
      </c>
      <c r="D2056" s="4" t="s">
        <v>52</v>
      </c>
      <c r="E2056" s="4" t="s">
        <v>53</v>
      </c>
      <c r="F2056" s="4" t="s">
        <v>25</v>
      </c>
      <c r="G2056" s="4" t="s">
        <v>25</v>
      </c>
      <c r="H2056" s="4" t="s">
        <v>25</v>
      </c>
      <c r="I2056" s="5">
        <v>44743</v>
      </c>
      <c r="J2056" s="6">
        <v>0</v>
      </c>
      <c r="K2056" s="42">
        <v>0</v>
      </c>
      <c r="L2056" s="6">
        <v>212.22800000000001</v>
      </c>
      <c r="M2056" s="42">
        <v>212.22800000000001</v>
      </c>
      <c r="N2056" s="6">
        <v>212.22800000000001</v>
      </c>
      <c r="O2056" s="42">
        <v>212.22800000000001</v>
      </c>
      <c r="P2056" s="6">
        <v>54</v>
      </c>
      <c r="Q2056" s="4" t="s">
        <v>26</v>
      </c>
      <c r="R2056" s="4">
        <v>0</v>
      </c>
      <c r="S2056" s="6">
        <v>0</v>
      </c>
      <c r="T2056" s="6">
        <v>67</v>
      </c>
      <c r="U2056" s="6">
        <v>111</v>
      </c>
      <c r="V2056" s="42">
        <f>IF(ISERROR(VLOOKUP($S$2056,'TAR FIN'!$A$1:$O$115,15,0)),0,VLOOKUP($S$2056,'TAR FIN'!$A$1:$O$115,15,0))</f>
        <v>0</v>
      </c>
      <c r="W2056" s="42">
        <f>IF(ISERROR(VLOOKUP($T$2056,'TAR FIN'!$A$1:$O$115,15,0)),0,VLOOKUP($T$2056,'TAR FIN'!$A$1:$O$115,15,0))*(1-0.06)</f>
        <v>435.78399999999999</v>
      </c>
      <c r="X2056" s="42">
        <f>IF(ISERROR(VLOOKUP($U$2056,'TAR FIN'!$A$1:$O$115,15,0)),0,VLOOKUP($U$2056,'TAR FIN'!$A$1:$O$115,15,0))*(1-0.06)</f>
        <v>165.98519999999999</v>
      </c>
      <c r="Y2056" s="42"/>
      <c r="Z2056" s="42">
        <f ca="1">('TUSD BE'!$AM$65+'TUSD BF'!$AM$65+'TUSD CVA'!$AM$65)*1*(1-0.03)</f>
        <v>487.15317616832982</v>
      </c>
      <c r="AA2056" s="42">
        <f>('TE BE'!$AB$48+'TE BF'!$AB$48+'TE CVA'!$AB$48)*1*(1-0.03)</f>
        <v>223.76151520736593</v>
      </c>
      <c r="AB2056" s="6">
        <f>$K$2056*$V$2056</f>
        <v>0</v>
      </c>
      <c r="AC2056" s="6">
        <f>$M$2056*$W$2056</f>
        <v>92485.566751999999</v>
      </c>
      <c r="AD2056" s="6">
        <f>$O$2056*$X$2056</f>
        <v>35226.707025600001</v>
      </c>
      <c r="AE2056" s="6">
        <f>$K$2056*$Y$2056</f>
        <v>0</v>
      </c>
      <c r="AF2056" s="6">
        <f ca="1">$M$2056*$Z$2056</f>
        <v>103387.54427185231</v>
      </c>
      <c r="AG2056" s="6">
        <f>$O$2056*$AA$2056</f>
        <v>47488.458849428862</v>
      </c>
    </row>
    <row r="2057" spans="1:33" ht="11.25" customHeight="1" x14ac:dyDescent="0.25">
      <c r="A2057" s="4" t="s">
        <v>28</v>
      </c>
      <c r="B2057" s="4" t="s">
        <v>39</v>
      </c>
      <c r="C2057" s="4" t="s">
        <v>23</v>
      </c>
      <c r="D2057" s="4" t="s">
        <v>52</v>
      </c>
      <c r="E2057" s="4" t="s">
        <v>53</v>
      </c>
      <c r="F2057" s="4" t="s">
        <v>25</v>
      </c>
      <c r="G2057" s="4" t="s">
        <v>25</v>
      </c>
      <c r="H2057" s="4" t="s">
        <v>25</v>
      </c>
      <c r="I2057" s="5">
        <v>44743</v>
      </c>
      <c r="J2057" s="6">
        <v>0</v>
      </c>
      <c r="K2057" s="42">
        <v>0</v>
      </c>
      <c r="L2057" s="6">
        <v>624.28899999999999</v>
      </c>
      <c r="M2057" s="42">
        <v>624.28899999999999</v>
      </c>
      <c r="N2057" s="6">
        <v>624.28899999999999</v>
      </c>
      <c r="O2057" s="42">
        <v>624.28899999999999</v>
      </c>
      <c r="P2057" s="6">
        <v>119</v>
      </c>
      <c r="Q2057" s="4" t="s">
        <v>26</v>
      </c>
      <c r="R2057" s="4">
        <v>0</v>
      </c>
      <c r="S2057" s="6">
        <v>0</v>
      </c>
      <c r="T2057" s="6">
        <v>67</v>
      </c>
      <c r="U2057" s="6">
        <v>111</v>
      </c>
      <c r="V2057" s="42">
        <f>IF(ISERROR(VLOOKUP($S$2057,'TAR FIN'!$A$1:$O$115,15,0)),0,VLOOKUP($S$2057,'TAR FIN'!$A$1:$O$115,15,0))</f>
        <v>0</v>
      </c>
      <c r="W2057" s="42">
        <f>IF(ISERROR(VLOOKUP($T$2057,'TAR FIN'!$A$1:$O$115,15,0)),0,VLOOKUP($T$2057,'TAR FIN'!$A$1:$O$115,15,0))*(1-0.06)</f>
        <v>435.78399999999999</v>
      </c>
      <c r="X2057" s="42">
        <f>IF(ISERROR(VLOOKUP($U$2057,'TAR FIN'!$A$1:$O$115,15,0)),0,VLOOKUP($U$2057,'TAR FIN'!$A$1:$O$115,15,0))*(1-0.06)</f>
        <v>165.98519999999999</v>
      </c>
      <c r="Y2057" s="42"/>
      <c r="Z2057" s="42">
        <f ca="1">('TUSD BE'!$AM$65+'TUSD BF'!$AM$65+'TUSD CVA'!$AM$65)*1*(1-0.03)</f>
        <v>487.15317616832982</v>
      </c>
      <c r="AA2057" s="42">
        <f>('TE BE'!$AB$48+'TE BF'!$AB$48+'TE CVA'!$AB$48)*1*(1-0.03)</f>
        <v>223.76151520736593</v>
      </c>
      <c r="AB2057" s="6">
        <f>$K$2057*$V$2057</f>
        <v>0</v>
      </c>
      <c r="AC2057" s="6">
        <f>$M$2057*$W$2057</f>
        <v>272055.15757599997</v>
      </c>
      <c r="AD2057" s="6">
        <f>$O$2057*$X$2057</f>
        <v>103622.73452279999</v>
      </c>
      <c r="AE2057" s="6">
        <f>$K$2057*$Y$2057</f>
        <v>0</v>
      </c>
      <c r="AF2057" s="6">
        <f ca="1">$M$2057*$Z$2057</f>
        <v>304124.36919695046</v>
      </c>
      <c r="AG2057" s="6">
        <f>$O$2057*$AA$2057</f>
        <v>139691.85256729127</v>
      </c>
    </row>
    <row r="2058" spans="1:33" ht="11.25" customHeight="1" x14ac:dyDescent="0.25">
      <c r="A2058" s="4" t="s">
        <v>29</v>
      </c>
      <c r="B2058" s="4" t="s">
        <v>39</v>
      </c>
      <c r="C2058" s="4" t="s">
        <v>23</v>
      </c>
      <c r="D2058" s="4" t="s">
        <v>52</v>
      </c>
      <c r="E2058" s="4" t="s">
        <v>53</v>
      </c>
      <c r="F2058" s="4" t="s">
        <v>25</v>
      </c>
      <c r="G2058" s="4" t="s">
        <v>25</v>
      </c>
      <c r="H2058" s="4" t="s">
        <v>25</v>
      </c>
      <c r="I2058" s="5">
        <v>44743</v>
      </c>
      <c r="J2058" s="6">
        <v>0</v>
      </c>
      <c r="K2058" s="42">
        <v>0</v>
      </c>
      <c r="L2058" s="6">
        <v>-0.21299999999999999</v>
      </c>
      <c r="M2058" s="42">
        <v>-0.21299999999999999</v>
      </c>
      <c r="N2058" s="6">
        <v>-0.21299999999999999</v>
      </c>
      <c r="O2058" s="42">
        <v>-0.21299999999999999</v>
      </c>
      <c r="P2058" s="6">
        <v>0</v>
      </c>
      <c r="Q2058" s="4" t="s">
        <v>26</v>
      </c>
      <c r="R2058" s="4">
        <v>0</v>
      </c>
      <c r="S2058" s="6">
        <v>0</v>
      </c>
      <c r="T2058" s="6">
        <v>67</v>
      </c>
      <c r="U2058" s="6">
        <v>111</v>
      </c>
      <c r="V2058" s="42">
        <f>IF(ISERROR(VLOOKUP($S$2058,'TAR FIN'!$A$1:$O$115,15,0)),0,VLOOKUP($S$2058,'TAR FIN'!$A$1:$O$115,15,0))</f>
        <v>0</v>
      </c>
      <c r="W2058" s="42">
        <f>IF(ISERROR(VLOOKUP($T$2058,'TAR FIN'!$A$1:$O$115,15,0)),0,VLOOKUP($T$2058,'TAR FIN'!$A$1:$O$115,15,0))*(1-0.06)</f>
        <v>435.78399999999999</v>
      </c>
      <c r="X2058" s="42">
        <f>IF(ISERROR(VLOOKUP($U$2058,'TAR FIN'!$A$1:$O$115,15,0)),0,VLOOKUP($U$2058,'TAR FIN'!$A$1:$O$115,15,0))*(1-0.06)</f>
        <v>165.98519999999999</v>
      </c>
      <c r="Y2058" s="42"/>
      <c r="Z2058" s="42">
        <f ca="1">('TUSD BE'!$AM$65+'TUSD BF'!$AM$65+'TUSD CVA'!$AM$65)*1*(1-0.03)</f>
        <v>487.15317616832982</v>
      </c>
      <c r="AA2058" s="42">
        <f>('TE BE'!$AB$48+'TE BF'!$AB$48+'TE CVA'!$AB$48)*1*(1-0.03)</f>
        <v>223.76151520736593</v>
      </c>
      <c r="AB2058" s="6">
        <f>$K$2058*$V$2058</f>
        <v>0</v>
      </c>
      <c r="AC2058" s="6">
        <f>$M$2058*$W$2058</f>
        <v>-92.821991999999995</v>
      </c>
      <c r="AD2058" s="6">
        <f>$O$2058*$X$2058</f>
        <v>-35.354847599999999</v>
      </c>
      <c r="AE2058" s="6">
        <f>$K$2058*$Y$2058</f>
        <v>0</v>
      </c>
      <c r="AF2058" s="6">
        <f ca="1">$M$2058*$Z$2058</f>
        <v>-103.76362652385426</v>
      </c>
      <c r="AG2058" s="6">
        <f>$O$2058*$AA$2058</f>
        <v>-47.661202739168942</v>
      </c>
    </row>
    <row r="2059" spans="1:33" ht="11.25" customHeight="1" x14ac:dyDescent="0.25">
      <c r="A2059" s="4" t="s">
        <v>21</v>
      </c>
      <c r="B2059" s="4" t="s">
        <v>39</v>
      </c>
      <c r="C2059" s="4" t="s">
        <v>23</v>
      </c>
      <c r="D2059" s="4" t="s">
        <v>52</v>
      </c>
      <c r="E2059" s="4" t="s">
        <v>53</v>
      </c>
      <c r="F2059" s="4" t="s">
        <v>25</v>
      </c>
      <c r="G2059" s="4" t="s">
        <v>25</v>
      </c>
      <c r="H2059" s="4" t="s">
        <v>25</v>
      </c>
      <c r="I2059" s="5">
        <v>44774</v>
      </c>
      <c r="J2059" s="6">
        <v>0</v>
      </c>
      <c r="K2059" s="42">
        <v>0</v>
      </c>
      <c r="L2059" s="6">
        <v>595.33299999999997</v>
      </c>
      <c r="M2059" s="42">
        <v>595.33299999999997</v>
      </c>
      <c r="N2059" s="6">
        <v>595.33299999999997</v>
      </c>
      <c r="O2059" s="42">
        <v>595.33299999999997</v>
      </c>
      <c r="P2059" s="6">
        <v>57</v>
      </c>
      <c r="Q2059" s="4" t="s">
        <v>26</v>
      </c>
      <c r="R2059" s="4">
        <v>0</v>
      </c>
      <c r="S2059" s="6">
        <v>0</v>
      </c>
      <c r="T2059" s="6">
        <v>67</v>
      </c>
      <c r="U2059" s="6">
        <v>111</v>
      </c>
      <c r="V2059" s="42">
        <f>IF(ISERROR(VLOOKUP($S$2059,'TAR FIN'!$A$1:$O$115,15,0)),0,VLOOKUP($S$2059,'TAR FIN'!$A$1:$O$115,15,0))</f>
        <v>0</v>
      </c>
      <c r="W2059" s="42">
        <f>IF(ISERROR(VLOOKUP($T$2059,'TAR FIN'!$A$1:$O$115,15,0)),0,VLOOKUP($T$2059,'TAR FIN'!$A$1:$O$115,15,0))*(1-0.06)</f>
        <v>435.78399999999999</v>
      </c>
      <c r="X2059" s="42">
        <f>IF(ISERROR(VLOOKUP($U$2059,'TAR FIN'!$A$1:$O$115,15,0)),0,VLOOKUP($U$2059,'TAR FIN'!$A$1:$O$115,15,0))*(1-0.06)</f>
        <v>165.98519999999999</v>
      </c>
      <c r="Y2059" s="42"/>
      <c r="Z2059" s="42">
        <f ca="1">('TUSD BE'!$AM$65+'TUSD BF'!$AM$65+'TUSD CVA'!$AM$65)*1*(1-0.03)</f>
        <v>487.15317616832982</v>
      </c>
      <c r="AA2059" s="42">
        <f>('TE BE'!$AB$48+'TE BF'!$AB$48+'TE CVA'!$AB$48)*1*(1-0.03)</f>
        <v>223.76151520736593</v>
      </c>
      <c r="AB2059" s="6">
        <f>$K$2059*$V$2059</f>
        <v>0</v>
      </c>
      <c r="AC2059" s="6">
        <f>$M$2059*$W$2059</f>
        <v>259436.59607199999</v>
      </c>
      <c r="AD2059" s="6">
        <f>$O$2059*$X$2059</f>
        <v>98816.467071599996</v>
      </c>
      <c r="AE2059" s="6">
        <f>$K$2059*$Y$2059</f>
        <v>0</v>
      </c>
      <c r="AF2059" s="6">
        <f ca="1">$M$2059*$Z$2059</f>
        <v>290018.36182782031</v>
      </c>
      <c r="AG2059" s="6">
        <f>$O$2059*$AA$2059</f>
        <v>133212.61413294676</v>
      </c>
    </row>
    <row r="2060" spans="1:33" ht="11.25" customHeight="1" x14ac:dyDescent="0.25">
      <c r="A2060" s="4" t="s">
        <v>27</v>
      </c>
      <c r="B2060" s="4" t="s">
        <v>39</v>
      </c>
      <c r="C2060" s="4" t="s">
        <v>23</v>
      </c>
      <c r="D2060" s="4" t="s">
        <v>52</v>
      </c>
      <c r="E2060" s="4" t="s">
        <v>53</v>
      </c>
      <c r="F2060" s="4" t="s">
        <v>25</v>
      </c>
      <c r="G2060" s="4" t="s">
        <v>25</v>
      </c>
      <c r="H2060" s="4" t="s">
        <v>25</v>
      </c>
      <c r="I2060" s="5">
        <v>44774</v>
      </c>
      <c r="J2060" s="6">
        <v>0</v>
      </c>
      <c r="K2060" s="42">
        <v>0</v>
      </c>
      <c r="L2060" s="6">
        <v>-487.476</v>
      </c>
      <c r="M2060" s="42">
        <v>-487.476</v>
      </c>
      <c r="N2060" s="6">
        <v>-487.476</v>
      </c>
      <c r="O2060" s="42">
        <v>-487.476</v>
      </c>
      <c r="P2060" s="6">
        <v>-1</v>
      </c>
      <c r="Q2060" s="4" t="s">
        <v>26</v>
      </c>
      <c r="R2060" s="4">
        <v>0</v>
      </c>
      <c r="S2060" s="6">
        <v>0</v>
      </c>
      <c r="T2060" s="6">
        <v>67</v>
      </c>
      <c r="U2060" s="6">
        <v>111</v>
      </c>
      <c r="V2060" s="42">
        <f>IF(ISERROR(VLOOKUP($S$2060,'TAR FIN'!$A$1:$O$115,15,0)),0,VLOOKUP($S$2060,'TAR FIN'!$A$1:$O$115,15,0))</f>
        <v>0</v>
      </c>
      <c r="W2060" s="42">
        <f>IF(ISERROR(VLOOKUP($T$2060,'TAR FIN'!$A$1:$O$115,15,0)),0,VLOOKUP($T$2060,'TAR FIN'!$A$1:$O$115,15,0))*(1-0.06)</f>
        <v>435.78399999999999</v>
      </c>
      <c r="X2060" s="42">
        <f>IF(ISERROR(VLOOKUP($U$2060,'TAR FIN'!$A$1:$O$115,15,0)),0,VLOOKUP($U$2060,'TAR FIN'!$A$1:$O$115,15,0))*(1-0.06)</f>
        <v>165.98519999999999</v>
      </c>
      <c r="Y2060" s="42"/>
      <c r="Z2060" s="42">
        <f ca="1">('TUSD BE'!$AM$65+'TUSD BF'!$AM$65+'TUSD CVA'!$AM$65)*1*(1-0.03)</f>
        <v>487.15317616832982</v>
      </c>
      <c r="AA2060" s="42">
        <f>('TE BE'!$AB$48+'TE BF'!$AB$48+'TE CVA'!$AB$48)*1*(1-0.03)</f>
        <v>223.76151520736593</v>
      </c>
      <c r="AB2060" s="6">
        <f>$K$2060*$V$2060</f>
        <v>0</v>
      </c>
      <c r="AC2060" s="6">
        <f>$M$2060*$W$2060</f>
        <v>-212434.24118399998</v>
      </c>
      <c r="AD2060" s="6">
        <f>$O$2060*$X$2060</f>
        <v>-80913.80135519999</v>
      </c>
      <c r="AE2060" s="6">
        <f>$K$2060*$Y$2060</f>
        <v>0</v>
      </c>
      <c r="AF2060" s="6">
        <f ca="1">$M$2060*$Z$2060</f>
        <v>-237475.48170583276</v>
      </c>
      <c r="AG2060" s="6">
        <f>$O$2060*$AA$2060</f>
        <v>-109078.36838722591</v>
      </c>
    </row>
    <row r="2061" spans="1:33" ht="11.25" customHeight="1" x14ac:dyDescent="0.25">
      <c r="A2061" s="4" t="s">
        <v>28</v>
      </c>
      <c r="B2061" s="4" t="s">
        <v>39</v>
      </c>
      <c r="C2061" s="4" t="s">
        <v>23</v>
      </c>
      <c r="D2061" s="4" t="s">
        <v>52</v>
      </c>
      <c r="E2061" s="4" t="s">
        <v>53</v>
      </c>
      <c r="F2061" s="4" t="s">
        <v>25</v>
      </c>
      <c r="G2061" s="4" t="s">
        <v>25</v>
      </c>
      <c r="H2061" s="4" t="s">
        <v>25</v>
      </c>
      <c r="I2061" s="5">
        <v>44774</v>
      </c>
      <c r="J2061" s="6">
        <v>0</v>
      </c>
      <c r="K2061" s="42">
        <v>0</v>
      </c>
      <c r="L2061" s="6">
        <v>640.26900000000001</v>
      </c>
      <c r="M2061" s="42">
        <v>640.26900000000001</v>
      </c>
      <c r="N2061" s="6">
        <v>640.26900000000001</v>
      </c>
      <c r="O2061" s="42">
        <v>640.26900000000001</v>
      </c>
      <c r="P2061" s="6">
        <v>120</v>
      </c>
      <c r="Q2061" s="4" t="s">
        <v>26</v>
      </c>
      <c r="R2061" s="4">
        <v>0</v>
      </c>
      <c r="S2061" s="6">
        <v>0</v>
      </c>
      <c r="T2061" s="6">
        <v>67</v>
      </c>
      <c r="U2061" s="6">
        <v>111</v>
      </c>
      <c r="V2061" s="42">
        <f>IF(ISERROR(VLOOKUP($S$2061,'TAR FIN'!$A$1:$O$115,15,0)),0,VLOOKUP($S$2061,'TAR FIN'!$A$1:$O$115,15,0))</f>
        <v>0</v>
      </c>
      <c r="W2061" s="42">
        <f>IF(ISERROR(VLOOKUP($T$2061,'TAR FIN'!$A$1:$O$115,15,0)),0,VLOOKUP($T$2061,'TAR FIN'!$A$1:$O$115,15,0))*(1-0.06)</f>
        <v>435.78399999999999</v>
      </c>
      <c r="X2061" s="42">
        <f>IF(ISERROR(VLOOKUP($U$2061,'TAR FIN'!$A$1:$O$115,15,0)),0,VLOOKUP($U$2061,'TAR FIN'!$A$1:$O$115,15,0))*(1-0.06)</f>
        <v>165.98519999999999</v>
      </c>
      <c r="Y2061" s="42"/>
      <c r="Z2061" s="42">
        <f ca="1">('TUSD BE'!$AM$65+'TUSD BF'!$AM$65+'TUSD CVA'!$AM$65)*1*(1-0.03)</f>
        <v>487.15317616832982</v>
      </c>
      <c r="AA2061" s="42">
        <f>('TE BE'!$AB$48+'TE BF'!$AB$48+'TE CVA'!$AB$48)*1*(1-0.03)</f>
        <v>223.76151520736593</v>
      </c>
      <c r="AB2061" s="6">
        <f>$K$2061*$V$2061</f>
        <v>0</v>
      </c>
      <c r="AC2061" s="6">
        <f>$M$2061*$W$2061</f>
        <v>279018.985896</v>
      </c>
      <c r="AD2061" s="6">
        <f>$O$2061*$X$2061</f>
        <v>106275.1780188</v>
      </c>
      <c r="AE2061" s="6">
        <f>$K$2061*$Y$2061</f>
        <v>0</v>
      </c>
      <c r="AF2061" s="6">
        <f ca="1">$M$2061*$Z$2061</f>
        <v>311909.07695212035</v>
      </c>
      <c r="AG2061" s="6">
        <f>$O$2061*$AA$2061</f>
        <v>143267.56158030499</v>
      </c>
    </row>
    <row r="2062" spans="1:33" ht="11.25" customHeight="1" x14ac:dyDescent="0.25">
      <c r="A2062" s="4" t="s">
        <v>29</v>
      </c>
      <c r="B2062" s="4" t="s">
        <v>39</v>
      </c>
      <c r="C2062" s="4" t="s">
        <v>23</v>
      </c>
      <c r="D2062" s="4" t="s">
        <v>52</v>
      </c>
      <c r="E2062" s="4" t="s">
        <v>53</v>
      </c>
      <c r="F2062" s="4" t="s">
        <v>25</v>
      </c>
      <c r="G2062" s="4" t="s">
        <v>25</v>
      </c>
      <c r="H2062" s="4" t="s">
        <v>25</v>
      </c>
      <c r="I2062" s="5">
        <v>44774</v>
      </c>
      <c r="J2062" s="6">
        <v>0</v>
      </c>
      <c r="K2062" s="42">
        <v>0</v>
      </c>
      <c r="L2062" s="6">
        <v>-3.7069999999999999</v>
      </c>
      <c r="M2062" s="42">
        <v>-3.7069999999999999</v>
      </c>
      <c r="N2062" s="6">
        <v>-3.7069999999999999</v>
      </c>
      <c r="O2062" s="42">
        <v>-3.7069999999999999</v>
      </c>
      <c r="P2062" s="6">
        <v>-1</v>
      </c>
      <c r="Q2062" s="4" t="s">
        <v>26</v>
      </c>
      <c r="R2062" s="4">
        <v>0</v>
      </c>
      <c r="S2062" s="6">
        <v>0</v>
      </c>
      <c r="T2062" s="6">
        <v>67</v>
      </c>
      <c r="U2062" s="6">
        <v>111</v>
      </c>
      <c r="V2062" s="42">
        <f>IF(ISERROR(VLOOKUP($S$2062,'TAR FIN'!$A$1:$O$115,15,0)),0,VLOOKUP($S$2062,'TAR FIN'!$A$1:$O$115,15,0))</f>
        <v>0</v>
      </c>
      <c r="W2062" s="42">
        <f>IF(ISERROR(VLOOKUP($T$2062,'TAR FIN'!$A$1:$O$115,15,0)),0,VLOOKUP($T$2062,'TAR FIN'!$A$1:$O$115,15,0))*(1-0.06)</f>
        <v>435.78399999999999</v>
      </c>
      <c r="X2062" s="42">
        <f>IF(ISERROR(VLOOKUP($U$2062,'TAR FIN'!$A$1:$O$115,15,0)),0,VLOOKUP($U$2062,'TAR FIN'!$A$1:$O$115,15,0))*(1-0.06)</f>
        <v>165.98519999999999</v>
      </c>
      <c r="Y2062" s="42"/>
      <c r="Z2062" s="42">
        <f ca="1">('TUSD BE'!$AM$65+'TUSD BF'!$AM$65+'TUSD CVA'!$AM$65)*1*(1-0.03)</f>
        <v>487.15317616832982</v>
      </c>
      <c r="AA2062" s="42">
        <f>('TE BE'!$AB$48+'TE BF'!$AB$48+'TE CVA'!$AB$48)*1*(1-0.03)</f>
        <v>223.76151520736593</v>
      </c>
      <c r="AB2062" s="6">
        <f>$K$2062*$V$2062</f>
        <v>0</v>
      </c>
      <c r="AC2062" s="6">
        <f>$M$2062*$W$2062</f>
        <v>-1615.451288</v>
      </c>
      <c r="AD2062" s="6">
        <f>$O$2062*$X$2062</f>
        <v>-615.30713639999999</v>
      </c>
      <c r="AE2062" s="6">
        <f>$K$2062*$Y$2062</f>
        <v>0</v>
      </c>
      <c r="AF2062" s="6">
        <f ca="1">$M$2062*$Z$2062</f>
        <v>-1805.8768240559987</v>
      </c>
      <c r="AG2062" s="6">
        <f>$O$2062*$AA$2062</f>
        <v>-829.48393687370549</v>
      </c>
    </row>
    <row r="2063" spans="1:33" ht="11.25" customHeight="1" x14ac:dyDescent="0.25">
      <c r="A2063" s="4" t="s">
        <v>21</v>
      </c>
      <c r="B2063" s="4" t="s">
        <v>39</v>
      </c>
      <c r="C2063" s="4" t="s">
        <v>23</v>
      </c>
      <c r="D2063" s="4" t="s">
        <v>52</v>
      </c>
      <c r="E2063" s="4" t="s">
        <v>53</v>
      </c>
      <c r="F2063" s="4" t="s">
        <v>25</v>
      </c>
      <c r="G2063" s="4" t="s">
        <v>25</v>
      </c>
      <c r="H2063" s="4" t="s">
        <v>25</v>
      </c>
      <c r="I2063" s="5">
        <v>44805</v>
      </c>
      <c r="J2063" s="6">
        <v>0</v>
      </c>
      <c r="K2063" s="42">
        <v>0</v>
      </c>
      <c r="L2063" s="6">
        <v>184.00700000000001</v>
      </c>
      <c r="M2063" s="42">
        <v>184.00700000000001</v>
      </c>
      <c r="N2063" s="6">
        <v>184.00700000000001</v>
      </c>
      <c r="O2063" s="42">
        <v>184.00700000000001</v>
      </c>
      <c r="P2063" s="6">
        <v>55</v>
      </c>
      <c r="Q2063" s="4" t="s">
        <v>26</v>
      </c>
      <c r="R2063" s="4">
        <v>0</v>
      </c>
      <c r="S2063" s="6">
        <v>0</v>
      </c>
      <c r="T2063" s="6">
        <v>67</v>
      </c>
      <c r="U2063" s="6">
        <v>111</v>
      </c>
      <c r="V2063" s="42">
        <f>IF(ISERROR(VLOOKUP($S$2063,'TAR FIN'!$A$1:$O$115,15,0)),0,VLOOKUP($S$2063,'TAR FIN'!$A$1:$O$115,15,0))</f>
        <v>0</v>
      </c>
      <c r="W2063" s="42">
        <f>IF(ISERROR(VLOOKUP($T$2063,'TAR FIN'!$A$1:$O$115,15,0)),0,VLOOKUP($T$2063,'TAR FIN'!$A$1:$O$115,15,0))*(1-0.06)</f>
        <v>435.78399999999999</v>
      </c>
      <c r="X2063" s="42">
        <f>IF(ISERROR(VLOOKUP($U$2063,'TAR FIN'!$A$1:$O$115,15,0)),0,VLOOKUP($U$2063,'TAR FIN'!$A$1:$O$115,15,0))*(1-0.06)</f>
        <v>165.98519999999999</v>
      </c>
      <c r="Y2063" s="42"/>
      <c r="Z2063" s="42">
        <f ca="1">('TUSD BE'!$AM$65+'TUSD BF'!$AM$65+'TUSD CVA'!$AM$65)*1*(1-0.03)</f>
        <v>487.15317616832982</v>
      </c>
      <c r="AA2063" s="42">
        <f>('TE BE'!$AB$48+'TE BF'!$AB$48+'TE CVA'!$AB$48)*1*(1-0.03)</f>
        <v>223.76151520736593</v>
      </c>
      <c r="AB2063" s="6">
        <f>$K$2063*$V$2063</f>
        <v>0</v>
      </c>
      <c r="AC2063" s="6">
        <f>$M$2063*$W$2063</f>
        <v>80187.306488000002</v>
      </c>
      <c r="AD2063" s="6">
        <f>$O$2063*$X$2063</f>
        <v>30542.4386964</v>
      </c>
      <c r="AE2063" s="6">
        <f>$K$2063*$Y$2063</f>
        <v>0</v>
      </c>
      <c r="AF2063" s="6">
        <f ca="1">$M$2063*$Z$2063</f>
        <v>89639.594487205861</v>
      </c>
      <c r="AG2063" s="6">
        <f>$O$2063*$AA$2063</f>
        <v>41173.685128761783</v>
      </c>
    </row>
    <row r="2064" spans="1:33" ht="11.25" customHeight="1" x14ac:dyDescent="0.25">
      <c r="A2064" s="4" t="s">
        <v>28</v>
      </c>
      <c r="B2064" s="4" t="s">
        <v>39</v>
      </c>
      <c r="C2064" s="4" t="s">
        <v>23</v>
      </c>
      <c r="D2064" s="4" t="s">
        <v>52</v>
      </c>
      <c r="E2064" s="4" t="s">
        <v>53</v>
      </c>
      <c r="F2064" s="4" t="s">
        <v>25</v>
      </c>
      <c r="G2064" s="4" t="s">
        <v>25</v>
      </c>
      <c r="H2064" s="4" t="s">
        <v>25</v>
      </c>
      <c r="I2064" s="5">
        <v>44805</v>
      </c>
      <c r="J2064" s="6">
        <v>0</v>
      </c>
      <c r="K2064" s="42">
        <v>0</v>
      </c>
      <c r="L2064" s="6">
        <v>626.57399999999996</v>
      </c>
      <c r="M2064" s="42">
        <v>626.57399999999996</v>
      </c>
      <c r="N2064" s="6">
        <v>626.57399999999996</v>
      </c>
      <c r="O2064" s="42">
        <v>626.57399999999996</v>
      </c>
      <c r="P2064" s="6">
        <v>119</v>
      </c>
      <c r="Q2064" s="4" t="s">
        <v>26</v>
      </c>
      <c r="R2064" s="4">
        <v>0</v>
      </c>
      <c r="S2064" s="6">
        <v>0</v>
      </c>
      <c r="T2064" s="6">
        <v>67</v>
      </c>
      <c r="U2064" s="6">
        <v>111</v>
      </c>
      <c r="V2064" s="42">
        <f>IF(ISERROR(VLOOKUP($S$2064,'TAR FIN'!$A$1:$O$115,15,0)),0,VLOOKUP($S$2064,'TAR FIN'!$A$1:$O$115,15,0))</f>
        <v>0</v>
      </c>
      <c r="W2064" s="42">
        <f>IF(ISERROR(VLOOKUP($T$2064,'TAR FIN'!$A$1:$O$115,15,0)),0,VLOOKUP($T$2064,'TAR FIN'!$A$1:$O$115,15,0))*(1-0.06)</f>
        <v>435.78399999999999</v>
      </c>
      <c r="X2064" s="42">
        <f>IF(ISERROR(VLOOKUP($U$2064,'TAR FIN'!$A$1:$O$115,15,0)),0,VLOOKUP($U$2064,'TAR FIN'!$A$1:$O$115,15,0))*(1-0.06)</f>
        <v>165.98519999999999</v>
      </c>
      <c r="Y2064" s="42"/>
      <c r="Z2064" s="42">
        <f ca="1">('TUSD BE'!$AM$65+'TUSD BF'!$AM$65+'TUSD CVA'!$AM$65)*1*(1-0.03)</f>
        <v>487.15317616832982</v>
      </c>
      <c r="AA2064" s="42">
        <f>('TE BE'!$AB$48+'TE BF'!$AB$48+'TE CVA'!$AB$48)*1*(1-0.03)</f>
        <v>223.76151520736593</v>
      </c>
      <c r="AB2064" s="6">
        <f>$K$2064*$V$2064</f>
        <v>0</v>
      </c>
      <c r="AC2064" s="6">
        <f>$M$2064*$W$2064</f>
        <v>273050.924016</v>
      </c>
      <c r="AD2064" s="6">
        <f>$O$2064*$X$2064</f>
        <v>104002.01070479999</v>
      </c>
      <c r="AE2064" s="6">
        <f>$K$2064*$Y$2064</f>
        <v>0</v>
      </c>
      <c r="AF2064" s="6">
        <f ca="1">$M$2064*$Z$2064</f>
        <v>305237.51420449506</v>
      </c>
      <c r="AG2064" s="6">
        <f>$O$2064*$AA$2064</f>
        <v>140203.14762954009</v>
      </c>
    </row>
    <row r="2065" spans="1:33" ht="11.25" customHeight="1" x14ac:dyDescent="0.25">
      <c r="A2065" s="4" t="s">
        <v>29</v>
      </c>
      <c r="B2065" s="4" t="s">
        <v>39</v>
      </c>
      <c r="C2065" s="4" t="s">
        <v>23</v>
      </c>
      <c r="D2065" s="4" t="s">
        <v>52</v>
      </c>
      <c r="E2065" s="4" t="s">
        <v>53</v>
      </c>
      <c r="F2065" s="4" t="s">
        <v>25</v>
      </c>
      <c r="G2065" s="4" t="s">
        <v>25</v>
      </c>
      <c r="H2065" s="4" t="s">
        <v>25</v>
      </c>
      <c r="I2065" s="5">
        <v>44805</v>
      </c>
      <c r="J2065" s="6">
        <v>0</v>
      </c>
      <c r="K2065" s="42">
        <v>0</v>
      </c>
      <c r="L2065" s="6">
        <v>-0.17100000000000001</v>
      </c>
      <c r="M2065" s="42">
        <v>-0.17100000000000001</v>
      </c>
      <c r="N2065" s="6">
        <v>-0.17100000000000001</v>
      </c>
      <c r="O2065" s="42">
        <v>-0.17100000000000001</v>
      </c>
      <c r="P2065" s="6">
        <v>0</v>
      </c>
      <c r="Q2065" s="4" t="s">
        <v>26</v>
      </c>
      <c r="R2065" s="4">
        <v>0</v>
      </c>
      <c r="S2065" s="6">
        <v>0</v>
      </c>
      <c r="T2065" s="6">
        <v>67</v>
      </c>
      <c r="U2065" s="6">
        <v>111</v>
      </c>
      <c r="V2065" s="42">
        <f>IF(ISERROR(VLOOKUP($S$2065,'TAR FIN'!$A$1:$O$115,15,0)),0,VLOOKUP($S$2065,'TAR FIN'!$A$1:$O$115,15,0))</f>
        <v>0</v>
      </c>
      <c r="W2065" s="42">
        <f>IF(ISERROR(VLOOKUP($T$2065,'TAR FIN'!$A$1:$O$115,15,0)),0,VLOOKUP($T$2065,'TAR FIN'!$A$1:$O$115,15,0))*(1-0.06)</f>
        <v>435.78399999999999</v>
      </c>
      <c r="X2065" s="42">
        <f>IF(ISERROR(VLOOKUP($U$2065,'TAR FIN'!$A$1:$O$115,15,0)),0,VLOOKUP($U$2065,'TAR FIN'!$A$1:$O$115,15,0))*(1-0.06)</f>
        <v>165.98519999999999</v>
      </c>
      <c r="Y2065" s="42"/>
      <c r="Z2065" s="42">
        <f ca="1">('TUSD BE'!$AM$65+'TUSD BF'!$AM$65+'TUSD CVA'!$AM$65)*1*(1-0.03)</f>
        <v>487.15317616832982</v>
      </c>
      <c r="AA2065" s="42">
        <f>('TE BE'!$AB$48+'TE BF'!$AB$48+'TE CVA'!$AB$48)*1*(1-0.03)</f>
        <v>223.76151520736593</v>
      </c>
      <c r="AB2065" s="6">
        <f>$K$2065*$V$2065</f>
        <v>0</v>
      </c>
      <c r="AC2065" s="6">
        <f>$M$2065*$W$2065</f>
        <v>-74.519064</v>
      </c>
      <c r="AD2065" s="6">
        <f>$O$2065*$X$2065</f>
        <v>-28.3834692</v>
      </c>
      <c r="AE2065" s="6">
        <f>$K$2065*$Y$2065</f>
        <v>0</v>
      </c>
      <c r="AF2065" s="6">
        <f ca="1">$M$2065*$Z$2065</f>
        <v>-83.3031931247844</v>
      </c>
      <c r="AG2065" s="6">
        <f>$O$2065*$AA$2065</f>
        <v>-38.26321910045958</v>
      </c>
    </row>
    <row r="2066" spans="1:33" ht="11.25" customHeight="1" x14ac:dyDescent="0.25">
      <c r="A2066" s="4" t="s">
        <v>21</v>
      </c>
      <c r="B2066" s="4" t="s">
        <v>39</v>
      </c>
      <c r="C2066" s="4" t="s">
        <v>23</v>
      </c>
      <c r="D2066" s="4" t="s">
        <v>52</v>
      </c>
      <c r="E2066" s="4" t="s">
        <v>53</v>
      </c>
      <c r="F2066" s="4" t="s">
        <v>25</v>
      </c>
      <c r="G2066" s="4" t="s">
        <v>25</v>
      </c>
      <c r="H2066" s="4" t="s">
        <v>25</v>
      </c>
      <c r="I2066" s="5">
        <v>44835</v>
      </c>
      <c r="J2066" s="6">
        <v>0</v>
      </c>
      <c r="K2066" s="42">
        <v>0</v>
      </c>
      <c r="L2066" s="6">
        <v>143.55099999999999</v>
      </c>
      <c r="M2066" s="42">
        <v>143.55099999999999</v>
      </c>
      <c r="N2066" s="6">
        <v>143.55099999999999</v>
      </c>
      <c r="O2066" s="42">
        <v>143.55099999999999</v>
      </c>
      <c r="P2066" s="6">
        <v>55</v>
      </c>
      <c r="Q2066" s="4" t="s">
        <v>26</v>
      </c>
      <c r="R2066" s="4">
        <v>0</v>
      </c>
      <c r="S2066" s="6">
        <v>0</v>
      </c>
      <c r="T2066" s="6">
        <v>67</v>
      </c>
      <c r="U2066" s="6">
        <v>111</v>
      </c>
      <c r="V2066" s="42">
        <f>IF(ISERROR(VLOOKUP($S$2066,'TAR FIN'!$A$1:$O$115,15,0)),0,VLOOKUP($S$2066,'TAR FIN'!$A$1:$O$115,15,0))</f>
        <v>0</v>
      </c>
      <c r="W2066" s="42">
        <f>IF(ISERROR(VLOOKUP($T$2066,'TAR FIN'!$A$1:$O$115,15,0)),0,VLOOKUP($T$2066,'TAR FIN'!$A$1:$O$115,15,0))*(1-0.06)</f>
        <v>435.78399999999999</v>
      </c>
      <c r="X2066" s="42">
        <f>IF(ISERROR(VLOOKUP($U$2066,'TAR FIN'!$A$1:$O$115,15,0)),0,VLOOKUP($U$2066,'TAR FIN'!$A$1:$O$115,15,0))*(1-0.06)</f>
        <v>165.98519999999999</v>
      </c>
      <c r="Y2066" s="42"/>
      <c r="Z2066" s="42">
        <f ca="1">('TUSD BE'!$AM$65+'TUSD BF'!$AM$65+'TUSD CVA'!$AM$65)*1*(1-0.03)</f>
        <v>487.15317616832982</v>
      </c>
      <c r="AA2066" s="42">
        <f>('TE BE'!$AB$48+'TE BF'!$AB$48+'TE CVA'!$AB$48)*1*(1-0.03)</f>
        <v>223.76151520736593</v>
      </c>
      <c r="AB2066" s="6">
        <f>$K$2066*$V$2066</f>
        <v>0</v>
      </c>
      <c r="AC2066" s="6">
        <f>$M$2066*$W$2066</f>
        <v>62557.228983999994</v>
      </c>
      <c r="AD2066" s="6">
        <f>$O$2066*$X$2066</f>
        <v>23827.341445199996</v>
      </c>
      <c r="AE2066" s="6">
        <f>$K$2066*$Y$2066</f>
        <v>0</v>
      </c>
      <c r="AF2066" s="6">
        <f ca="1">$M$2066*$Z$2066</f>
        <v>69931.32559213991</v>
      </c>
      <c r="AG2066" s="6">
        <f>$O$2066*$AA$2066</f>
        <v>32121.189269532584</v>
      </c>
    </row>
    <row r="2067" spans="1:33" ht="11.25" customHeight="1" x14ac:dyDescent="0.25">
      <c r="A2067" s="4" t="s">
        <v>27</v>
      </c>
      <c r="B2067" s="4" t="s">
        <v>39</v>
      </c>
      <c r="C2067" s="4" t="s">
        <v>23</v>
      </c>
      <c r="D2067" s="4" t="s">
        <v>52</v>
      </c>
      <c r="E2067" s="4" t="s">
        <v>53</v>
      </c>
      <c r="F2067" s="4" t="s">
        <v>25</v>
      </c>
      <c r="G2067" s="4" t="s">
        <v>25</v>
      </c>
      <c r="H2067" s="4" t="s">
        <v>25</v>
      </c>
      <c r="I2067" s="5">
        <v>44835</v>
      </c>
      <c r="J2067" s="6">
        <v>0</v>
      </c>
      <c r="K2067" s="42">
        <v>0</v>
      </c>
      <c r="L2067" s="6">
        <v>-0.1</v>
      </c>
      <c r="M2067" s="42">
        <v>-0.1</v>
      </c>
      <c r="N2067" s="6">
        <v>-0.1</v>
      </c>
      <c r="O2067" s="42">
        <v>-0.1</v>
      </c>
      <c r="P2067" s="6">
        <v>-1</v>
      </c>
      <c r="Q2067" s="4" t="s">
        <v>26</v>
      </c>
      <c r="R2067" s="4">
        <v>0</v>
      </c>
      <c r="S2067" s="6">
        <v>0</v>
      </c>
      <c r="T2067" s="6">
        <v>67</v>
      </c>
      <c r="U2067" s="6">
        <v>111</v>
      </c>
      <c r="V2067" s="42">
        <f>IF(ISERROR(VLOOKUP($S$2067,'TAR FIN'!$A$1:$O$115,15,0)),0,VLOOKUP($S$2067,'TAR FIN'!$A$1:$O$115,15,0))</f>
        <v>0</v>
      </c>
      <c r="W2067" s="42">
        <f>IF(ISERROR(VLOOKUP($T$2067,'TAR FIN'!$A$1:$O$115,15,0)),0,VLOOKUP($T$2067,'TAR FIN'!$A$1:$O$115,15,0))*(1-0.06)</f>
        <v>435.78399999999999</v>
      </c>
      <c r="X2067" s="42">
        <f>IF(ISERROR(VLOOKUP($U$2067,'TAR FIN'!$A$1:$O$115,15,0)),0,VLOOKUP($U$2067,'TAR FIN'!$A$1:$O$115,15,0))*(1-0.06)</f>
        <v>165.98519999999999</v>
      </c>
      <c r="Y2067" s="42"/>
      <c r="Z2067" s="42">
        <f ca="1">('TUSD BE'!$AM$65+'TUSD BF'!$AM$65+'TUSD CVA'!$AM$65)*1*(1-0.03)</f>
        <v>487.15317616832982</v>
      </c>
      <c r="AA2067" s="42">
        <f>('TE BE'!$AB$48+'TE BF'!$AB$48+'TE CVA'!$AB$48)*1*(1-0.03)</f>
        <v>223.76151520736593</v>
      </c>
      <c r="AB2067" s="6">
        <f>$K$2067*$V$2067</f>
        <v>0</v>
      </c>
      <c r="AC2067" s="6">
        <f>$M$2067*$W$2067</f>
        <v>-43.578400000000002</v>
      </c>
      <c r="AD2067" s="6">
        <f>$O$2067*$X$2067</f>
        <v>-16.598520000000001</v>
      </c>
      <c r="AE2067" s="6">
        <f>$K$2067*$Y$2067</f>
        <v>0</v>
      </c>
      <c r="AF2067" s="6">
        <f ca="1">$M$2067*$Z$2067</f>
        <v>-48.715317616832984</v>
      </c>
      <c r="AG2067" s="6">
        <f>$O$2067*$AA$2067</f>
        <v>-22.376151520736595</v>
      </c>
    </row>
    <row r="2068" spans="1:33" ht="11.25" customHeight="1" x14ac:dyDescent="0.25">
      <c r="A2068" s="4" t="s">
        <v>28</v>
      </c>
      <c r="B2068" s="4" t="s">
        <v>39</v>
      </c>
      <c r="C2068" s="4" t="s">
        <v>23</v>
      </c>
      <c r="D2068" s="4" t="s">
        <v>52</v>
      </c>
      <c r="E2068" s="4" t="s">
        <v>53</v>
      </c>
      <c r="F2068" s="4" t="s">
        <v>25</v>
      </c>
      <c r="G2068" s="4" t="s">
        <v>25</v>
      </c>
      <c r="H2068" s="4" t="s">
        <v>25</v>
      </c>
      <c r="I2068" s="5">
        <v>44835</v>
      </c>
      <c r="J2068" s="6">
        <v>0</v>
      </c>
      <c r="K2068" s="42">
        <v>0</v>
      </c>
      <c r="L2068" s="6">
        <v>529.55600000000004</v>
      </c>
      <c r="M2068" s="42">
        <v>529.55600000000004</v>
      </c>
      <c r="N2068" s="6">
        <v>529.55600000000004</v>
      </c>
      <c r="O2068" s="42">
        <v>529.55600000000004</v>
      </c>
      <c r="P2068" s="6">
        <v>120</v>
      </c>
      <c r="Q2068" s="4" t="s">
        <v>26</v>
      </c>
      <c r="R2068" s="4">
        <v>0</v>
      </c>
      <c r="S2068" s="6">
        <v>0</v>
      </c>
      <c r="T2068" s="6">
        <v>67</v>
      </c>
      <c r="U2068" s="6">
        <v>111</v>
      </c>
      <c r="V2068" s="42">
        <f>IF(ISERROR(VLOOKUP($S$2068,'TAR FIN'!$A$1:$O$115,15,0)),0,VLOOKUP($S$2068,'TAR FIN'!$A$1:$O$115,15,0))</f>
        <v>0</v>
      </c>
      <c r="W2068" s="42">
        <f>IF(ISERROR(VLOOKUP($T$2068,'TAR FIN'!$A$1:$O$115,15,0)),0,VLOOKUP($T$2068,'TAR FIN'!$A$1:$O$115,15,0))*(1-0.06)</f>
        <v>435.78399999999999</v>
      </c>
      <c r="X2068" s="42">
        <f>IF(ISERROR(VLOOKUP($U$2068,'TAR FIN'!$A$1:$O$115,15,0)),0,VLOOKUP($U$2068,'TAR FIN'!$A$1:$O$115,15,0))*(1-0.06)</f>
        <v>165.98519999999999</v>
      </c>
      <c r="Y2068" s="42"/>
      <c r="Z2068" s="42">
        <f ca="1">('TUSD BE'!$AM$65+'TUSD BF'!$AM$65+'TUSD CVA'!$AM$65)*1*(1-0.03)</f>
        <v>487.15317616832982</v>
      </c>
      <c r="AA2068" s="42">
        <f>('TE BE'!$AB$48+'TE BF'!$AB$48+'TE CVA'!$AB$48)*1*(1-0.03)</f>
        <v>223.76151520736593</v>
      </c>
      <c r="AB2068" s="6">
        <f>$K$2068*$V$2068</f>
        <v>0</v>
      </c>
      <c r="AC2068" s="6">
        <f>$M$2068*$W$2068</f>
        <v>230772.031904</v>
      </c>
      <c r="AD2068" s="6">
        <f>$O$2068*$X$2068</f>
        <v>87898.458571199997</v>
      </c>
      <c r="AE2068" s="6">
        <f>$K$2068*$Y$2068</f>
        <v>0</v>
      </c>
      <c r="AF2068" s="6">
        <f ca="1">$M$2068*$Z$2068</f>
        <v>257974.88735899609</v>
      </c>
      <c r="AG2068" s="6">
        <f>$O$2068*$AA$2068</f>
        <v>118494.25294715188</v>
      </c>
    </row>
    <row r="2069" spans="1:33" ht="11.25" customHeight="1" x14ac:dyDescent="0.25">
      <c r="A2069" s="4" t="s">
        <v>29</v>
      </c>
      <c r="B2069" s="4" t="s">
        <v>39</v>
      </c>
      <c r="C2069" s="4" t="s">
        <v>23</v>
      </c>
      <c r="D2069" s="4" t="s">
        <v>52</v>
      </c>
      <c r="E2069" s="4" t="s">
        <v>53</v>
      </c>
      <c r="F2069" s="4" t="s">
        <v>25</v>
      </c>
      <c r="G2069" s="4" t="s">
        <v>25</v>
      </c>
      <c r="H2069" s="4" t="s">
        <v>25</v>
      </c>
      <c r="I2069" s="5">
        <v>44835</v>
      </c>
      <c r="J2069" s="6">
        <v>0</v>
      </c>
      <c r="K2069" s="42">
        <v>0</v>
      </c>
      <c r="L2069" s="6">
        <v>-0.17499999999999999</v>
      </c>
      <c r="M2069" s="42">
        <v>-0.17499999999999999</v>
      </c>
      <c r="N2069" s="6">
        <v>-0.17499999999999999</v>
      </c>
      <c r="O2069" s="42">
        <v>-0.17499999999999999</v>
      </c>
      <c r="P2069" s="6">
        <v>0</v>
      </c>
      <c r="Q2069" s="4" t="s">
        <v>26</v>
      </c>
      <c r="R2069" s="4">
        <v>0</v>
      </c>
      <c r="S2069" s="6">
        <v>0</v>
      </c>
      <c r="T2069" s="6">
        <v>67</v>
      </c>
      <c r="U2069" s="6">
        <v>111</v>
      </c>
      <c r="V2069" s="42">
        <f>IF(ISERROR(VLOOKUP($S$2069,'TAR FIN'!$A$1:$O$115,15,0)),0,VLOOKUP($S$2069,'TAR FIN'!$A$1:$O$115,15,0))</f>
        <v>0</v>
      </c>
      <c r="W2069" s="42">
        <f>IF(ISERROR(VLOOKUP($T$2069,'TAR FIN'!$A$1:$O$115,15,0)),0,VLOOKUP($T$2069,'TAR FIN'!$A$1:$O$115,15,0))*(1-0.06)</f>
        <v>435.78399999999999</v>
      </c>
      <c r="X2069" s="42">
        <f>IF(ISERROR(VLOOKUP($U$2069,'TAR FIN'!$A$1:$O$115,15,0)),0,VLOOKUP($U$2069,'TAR FIN'!$A$1:$O$115,15,0))*(1-0.06)</f>
        <v>165.98519999999999</v>
      </c>
      <c r="Y2069" s="42"/>
      <c r="Z2069" s="42">
        <f ca="1">('TUSD BE'!$AM$65+'TUSD BF'!$AM$65+'TUSD CVA'!$AM$65)*1*(1-0.03)</f>
        <v>487.15317616832982</v>
      </c>
      <c r="AA2069" s="42">
        <f>('TE BE'!$AB$48+'TE BF'!$AB$48+'TE CVA'!$AB$48)*1*(1-0.03)</f>
        <v>223.76151520736593</v>
      </c>
      <c r="AB2069" s="6">
        <f>$K$2069*$V$2069</f>
        <v>0</v>
      </c>
      <c r="AC2069" s="6">
        <f>$M$2069*$W$2069</f>
        <v>-76.262199999999993</v>
      </c>
      <c r="AD2069" s="6">
        <f>$O$2069*$X$2069</f>
        <v>-29.047409999999996</v>
      </c>
      <c r="AE2069" s="6">
        <f>$K$2069*$Y$2069</f>
        <v>0</v>
      </c>
      <c r="AF2069" s="6">
        <f ca="1">$M$2069*$Z$2069</f>
        <v>-85.251805829457709</v>
      </c>
      <c r="AG2069" s="6">
        <f>$O$2069*$AA$2069</f>
        <v>-39.158265161289037</v>
      </c>
    </row>
    <row r="2070" spans="1:33" ht="11.25" customHeight="1" x14ac:dyDescent="0.25">
      <c r="A2070" s="4" t="s">
        <v>59</v>
      </c>
      <c r="B2070" s="4" t="s">
        <v>39</v>
      </c>
      <c r="C2070" s="4" t="s">
        <v>23</v>
      </c>
      <c r="D2070" s="4" t="s">
        <v>52</v>
      </c>
      <c r="E2070" s="4" t="s">
        <v>53</v>
      </c>
      <c r="F2070" s="4" t="s">
        <v>25</v>
      </c>
      <c r="G2070" s="4" t="s">
        <v>25</v>
      </c>
      <c r="H2070" s="4" t="s">
        <v>25</v>
      </c>
      <c r="I2070" s="5">
        <v>44866</v>
      </c>
      <c r="J2070" s="6">
        <v>0</v>
      </c>
      <c r="K2070" s="42">
        <v>0</v>
      </c>
      <c r="L2070" s="6">
        <v>143.55099999999999</v>
      </c>
      <c r="M2070" s="42">
        <v>143.55099999999999</v>
      </c>
      <c r="N2070" s="6">
        <v>143.55099999999999</v>
      </c>
      <c r="O2070" s="42">
        <v>143.55099999999999</v>
      </c>
      <c r="P2070" s="6">
        <v>55</v>
      </c>
      <c r="Q2070" s="4" t="s">
        <v>26</v>
      </c>
      <c r="R2070" s="4">
        <v>0</v>
      </c>
      <c r="S2070" s="6">
        <v>0</v>
      </c>
      <c r="T2070" s="6">
        <v>67</v>
      </c>
      <c r="U2070" s="6">
        <v>111</v>
      </c>
      <c r="V2070" s="42">
        <f>IF(ISERROR(VLOOKUP($S$2070,'TAR FIN'!$A$1:$O$115,15,0)),0,VLOOKUP($S$2070,'TAR FIN'!$A$1:$O$115,15,0))</f>
        <v>0</v>
      </c>
      <c r="W2070" s="42">
        <f>IF(ISERROR(VLOOKUP($T$2070,'TAR FIN'!$A$1:$O$115,15,0)),0,VLOOKUP($T$2070,'TAR FIN'!$A$1:$O$115,15,0))*(1-0.06)</f>
        <v>435.78399999999999</v>
      </c>
      <c r="X2070" s="42">
        <f>IF(ISERROR(VLOOKUP($U$2070,'TAR FIN'!$A$1:$O$115,15,0)),0,VLOOKUP($U$2070,'TAR FIN'!$A$1:$O$115,15,0))*(1-0.06)</f>
        <v>165.98519999999999</v>
      </c>
      <c r="Y2070" s="42"/>
      <c r="Z2070" s="42">
        <f ca="1">('TUSD BE'!$AM$65+'TUSD BF'!$AM$65+'TUSD CVA'!$AM$65)*1*(1-0.03)</f>
        <v>487.15317616832982</v>
      </c>
      <c r="AA2070" s="42">
        <f>('TE BE'!$AB$48+'TE BF'!$AB$48+'TE CVA'!$AB$48)*1*(1-0.03)</f>
        <v>223.76151520736593</v>
      </c>
      <c r="AB2070" s="6">
        <f>$K$2070*$V$2070</f>
        <v>0</v>
      </c>
      <c r="AC2070" s="6">
        <f>$M$2070*$W$2070</f>
        <v>62557.228983999994</v>
      </c>
      <c r="AD2070" s="6">
        <f>$O$2070*$X$2070</f>
        <v>23827.341445199996</v>
      </c>
      <c r="AE2070" s="6">
        <f>$K$2070*$Y$2070</f>
        <v>0</v>
      </c>
      <c r="AF2070" s="6">
        <f ca="1">$M$2070*$Z$2070</f>
        <v>69931.32559213991</v>
      </c>
      <c r="AG2070" s="6">
        <f>$O$2070*$AA$2070</f>
        <v>32121.189269532584</v>
      </c>
    </row>
    <row r="2071" spans="1:33" ht="11.25" customHeight="1" x14ac:dyDescent="0.25">
      <c r="A2071" s="4" t="s">
        <v>59</v>
      </c>
      <c r="B2071" s="4" t="s">
        <v>39</v>
      </c>
      <c r="C2071" s="4" t="s">
        <v>23</v>
      </c>
      <c r="D2071" s="4" t="s">
        <v>52</v>
      </c>
      <c r="E2071" s="4" t="s">
        <v>53</v>
      </c>
      <c r="F2071" s="4" t="s">
        <v>25</v>
      </c>
      <c r="G2071" s="4" t="s">
        <v>25</v>
      </c>
      <c r="H2071" s="4" t="s">
        <v>25</v>
      </c>
      <c r="I2071" s="5">
        <v>44866</v>
      </c>
      <c r="J2071" s="6">
        <v>0</v>
      </c>
      <c r="K2071" s="42">
        <v>0</v>
      </c>
      <c r="L2071" s="6">
        <v>-0.1</v>
      </c>
      <c r="M2071" s="42">
        <v>-0.1</v>
      </c>
      <c r="N2071" s="6">
        <v>-0.1</v>
      </c>
      <c r="O2071" s="42">
        <v>-0.1</v>
      </c>
      <c r="P2071" s="6">
        <v>-1</v>
      </c>
      <c r="Q2071" s="4" t="s">
        <v>26</v>
      </c>
      <c r="R2071" s="4">
        <v>0</v>
      </c>
      <c r="S2071" s="6">
        <v>0</v>
      </c>
      <c r="T2071" s="6">
        <v>67</v>
      </c>
      <c r="U2071" s="6">
        <v>111</v>
      </c>
      <c r="V2071" s="42">
        <f>IF(ISERROR(VLOOKUP($S$2071,'TAR FIN'!$A$1:$O$115,15,0)),0,VLOOKUP($S$2071,'TAR FIN'!$A$1:$O$115,15,0))</f>
        <v>0</v>
      </c>
      <c r="W2071" s="42">
        <f>IF(ISERROR(VLOOKUP($T$2071,'TAR FIN'!$A$1:$O$115,15,0)),0,VLOOKUP($T$2071,'TAR FIN'!$A$1:$O$115,15,0))*(1-0.06)</f>
        <v>435.78399999999999</v>
      </c>
      <c r="X2071" s="42">
        <f>IF(ISERROR(VLOOKUP($U$2071,'TAR FIN'!$A$1:$O$115,15,0)),0,VLOOKUP($U$2071,'TAR FIN'!$A$1:$O$115,15,0))*(1-0.06)</f>
        <v>165.98519999999999</v>
      </c>
      <c r="Y2071" s="42"/>
      <c r="Z2071" s="42">
        <f ca="1">('TUSD BE'!$AM$65+'TUSD BF'!$AM$65+'TUSD CVA'!$AM$65)*1*(1-0.03)</f>
        <v>487.15317616832982</v>
      </c>
      <c r="AA2071" s="42">
        <f>('TE BE'!$AB$48+'TE BF'!$AB$48+'TE CVA'!$AB$48)*1*(1-0.03)</f>
        <v>223.76151520736593</v>
      </c>
      <c r="AB2071" s="6">
        <f>$K$2071*$V$2071</f>
        <v>0</v>
      </c>
      <c r="AC2071" s="6">
        <f>$M$2071*$W$2071</f>
        <v>-43.578400000000002</v>
      </c>
      <c r="AD2071" s="6">
        <f>$O$2071*$X$2071</f>
        <v>-16.598520000000001</v>
      </c>
      <c r="AE2071" s="6">
        <f>$K$2071*$Y$2071</f>
        <v>0</v>
      </c>
      <c r="AF2071" s="6">
        <f ca="1">$M$2071*$Z$2071</f>
        <v>-48.715317616832984</v>
      </c>
      <c r="AG2071" s="6">
        <f>$O$2071*$AA$2071</f>
        <v>-22.376151520736595</v>
      </c>
    </row>
    <row r="2072" spans="1:33" ht="11.25" customHeight="1" x14ac:dyDescent="0.25">
      <c r="A2072" s="4" t="s">
        <v>59</v>
      </c>
      <c r="B2072" s="4" t="s">
        <v>39</v>
      </c>
      <c r="C2072" s="4" t="s">
        <v>23</v>
      </c>
      <c r="D2072" s="4" t="s">
        <v>52</v>
      </c>
      <c r="E2072" s="4" t="s">
        <v>53</v>
      </c>
      <c r="F2072" s="4" t="s">
        <v>25</v>
      </c>
      <c r="G2072" s="4" t="s">
        <v>25</v>
      </c>
      <c r="H2072" s="4" t="s">
        <v>25</v>
      </c>
      <c r="I2072" s="5">
        <v>44866</v>
      </c>
      <c r="J2072" s="6">
        <v>0</v>
      </c>
      <c r="K2072" s="42">
        <v>0</v>
      </c>
      <c r="L2072" s="6">
        <v>529.55600000000004</v>
      </c>
      <c r="M2072" s="42">
        <v>529.55600000000004</v>
      </c>
      <c r="N2072" s="6">
        <v>529.55600000000004</v>
      </c>
      <c r="O2072" s="42">
        <v>529.55600000000004</v>
      </c>
      <c r="P2072" s="6">
        <v>120</v>
      </c>
      <c r="Q2072" s="4" t="s">
        <v>26</v>
      </c>
      <c r="R2072" s="4">
        <v>0</v>
      </c>
      <c r="S2072" s="6">
        <v>0</v>
      </c>
      <c r="T2072" s="6">
        <v>67</v>
      </c>
      <c r="U2072" s="6">
        <v>111</v>
      </c>
      <c r="V2072" s="42">
        <f>IF(ISERROR(VLOOKUP($S$2072,'TAR FIN'!$A$1:$O$115,15,0)),0,VLOOKUP($S$2072,'TAR FIN'!$A$1:$O$115,15,0))</f>
        <v>0</v>
      </c>
      <c r="W2072" s="42">
        <f>IF(ISERROR(VLOOKUP($T$2072,'TAR FIN'!$A$1:$O$115,15,0)),0,VLOOKUP($T$2072,'TAR FIN'!$A$1:$O$115,15,0))*(1-0.06)</f>
        <v>435.78399999999999</v>
      </c>
      <c r="X2072" s="42">
        <f>IF(ISERROR(VLOOKUP($U$2072,'TAR FIN'!$A$1:$O$115,15,0)),0,VLOOKUP($U$2072,'TAR FIN'!$A$1:$O$115,15,0))*(1-0.06)</f>
        <v>165.98519999999999</v>
      </c>
      <c r="Y2072" s="42"/>
      <c r="Z2072" s="42">
        <f ca="1">('TUSD BE'!$AM$65+'TUSD BF'!$AM$65+'TUSD CVA'!$AM$65)*1*(1-0.03)</f>
        <v>487.15317616832982</v>
      </c>
      <c r="AA2072" s="42">
        <f>('TE BE'!$AB$48+'TE BF'!$AB$48+'TE CVA'!$AB$48)*1*(1-0.03)</f>
        <v>223.76151520736593</v>
      </c>
      <c r="AB2072" s="6">
        <f>$K$2072*$V$2072</f>
        <v>0</v>
      </c>
      <c r="AC2072" s="6">
        <f>$M$2072*$W$2072</f>
        <v>230772.031904</v>
      </c>
      <c r="AD2072" s="6">
        <f>$O$2072*$X$2072</f>
        <v>87898.458571199997</v>
      </c>
      <c r="AE2072" s="6">
        <f>$K$2072*$Y$2072</f>
        <v>0</v>
      </c>
      <c r="AF2072" s="6">
        <f ca="1">$M$2072*$Z$2072</f>
        <v>257974.88735899609</v>
      </c>
      <c r="AG2072" s="6">
        <f>$O$2072*$AA$2072</f>
        <v>118494.25294715188</v>
      </c>
    </row>
    <row r="2073" spans="1:33" ht="11.25" customHeight="1" x14ac:dyDescent="0.25">
      <c r="A2073" s="4" t="s">
        <v>59</v>
      </c>
      <c r="B2073" s="4" t="s">
        <v>39</v>
      </c>
      <c r="C2073" s="4" t="s">
        <v>23</v>
      </c>
      <c r="D2073" s="4" t="s">
        <v>52</v>
      </c>
      <c r="E2073" s="4" t="s">
        <v>53</v>
      </c>
      <c r="F2073" s="4" t="s">
        <v>25</v>
      </c>
      <c r="G2073" s="4" t="s">
        <v>25</v>
      </c>
      <c r="H2073" s="4" t="s">
        <v>25</v>
      </c>
      <c r="I2073" s="5">
        <v>44866</v>
      </c>
      <c r="J2073" s="6">
        <v>0</v>
      </c>
      <c r="K2073" s="42">
        <v>0</v>
      </c>
      <c r="L2073" s="6">
        <v>-0.17499999999999999</v>
      </c>
      <c r="M2073" s="42">
        <v>-0.17499999999999999</v>
      </c>
      <c r="N2073" s="6">
        <v>-0.17499999999999999</v>
      </c>
      <c r="O2073" s="42">
        <v>-0.17499999999999999</v>
      </c>
      <c r="P2073" s="6">
        <v>0</v>
      </c>
      <c r="Q2073" s="4" t="s">
        <v>26</v>
      </c>
      <c r="R2073" s="4">
        <v>0</v>
      </c>
      <c r="S2073" s="6">
        <v>0</v>
      </c>
      <c r="T2073" s="6">
        <v>67</v>
      </c>
      <c r="U2073" s="6">
        <v>111</v>
      </c>
      <c r="V2073" s="42">
        <f>IF(ISERROR(VLOOKUP($S$2073,'TAR FIN'!$A$1:$O$115,15,0)),0,VLOOKUP($S$2073,'TAR FIN'!$A$1:$O$115,15,0))</f>
        <v>0</v>
      </c>
      <c r="W2073" s="42">
        <f>IF(ISERROR(VLOOKUP($T$2073,'TAR FIN'!$A$1:$O$115,15,0)),0,VLOOKUP($T$2073,'TAR FIN'!$A$1:$O$115,15,0))*(1-0.06)</f>
        <v>435.78399999999999</v>
      </c>
      <c r="X2073" s="42">
        <f>IF(ISERROR(VLOOKUP($U$2073,'TAR FIN'!$A$1:$O$115,15,0)),0,VLOOKUP($U$2073,'TAR FIN'!$A$1:$O$115,15,0))*(1-0.06)</f>
        <v>165.98519999999999</v>
      </c>
      <c r="Y2073" s="42"/>
      <c r="Z2073" s="42">
        <f ca="1">('TUSD BE'!$AM$65+'TUSD BF'!$AM$65+'TUSD CVA'!$AM$65)*1*(1-0.03)</f>
        <v>487.15317616832982</v>
      </c>
      <c r="AA2073" s="42">
        <f>('TE BE'!$AB$48+'TE BF'!$AB$48+'TE CVA'!$AB$48)*1*(1-0.03)</f>
        <v>223.76151520736593</v>
      </c>
      <c r="AB2073" s="6">
        <f>$K$2073*$V$2073</f>
        <v>0</v>
      </c>
      <c r="AC2073" s="6">
        <f>$M$2073*$W$2073</f>
        <v>-76.262199999999993</v>
      </c>
      <c r="AD2073" s="6">
        <f>$O$2073*$X$2073</f>
        <v>-29.047409999999996</v>
      </c>
      <c r="AE2073" s="6">
        <f>$K$2073*$Y$2073</f>
        <v>0</v>
      </c>
      <c r="AF2073" s="6">
        <f ca="1">$M$2073*$Z$2073</f>
        <v>-85.251805829457709</v>
      </c>
      <c r="AG2073" s="6">
        <f>$O$2073*$AA$2073</f>
        <v>-39.158265161289037</v>
      </c>
    </row>
    <row r="2074" spans="1:33" ht="11.25" customHeight="1" x14ac:dyDescent="0.25">
      <c r="A2074" s="4" t="s">
        <v>21</v>
      </c>
      <c r="B2074" s="4" t="s">
        <v>49</v>
      </c>
      <c r="C2074" s="4" t="s">
        <v>23</v>
      </c>
      <c r="D2074" s="4" t="s">
        <v>50</v>
      </c>
      <c r="E2074" s="4" t="s">
        <v>51</v>
      </c>
      <c r="F2074" s="4" t="s">
        <v>25</v>
      </c>
      <c r="G2074" s="4" t="s">
        <v>25</v>
      </c>
      <c r="H2074" s="4" t="s">
        <v>25</v>
      </c>
      <c r="I2074" s="5">
        <v>44531</v>
      </c>
      <c r="J2074" s="6">
        <v>0</v>
      </c>
      <c r="K2074" s="6">
        <v>0</v>
      </c>
      <c r="L2074" s="6">
        <v>2728.7550000000001</v>
      </c>
      <c r="M2074" s="6">
        <v>2728.7550000000001</v>
      </c>
      <c r="N2074" s="6">
        <v>2728.7550000000001</v>
      </c>
      <c r="O2074" s="6">
        <v>2728.7550000000001</v>
      </c>
      <c r="P2074" s="6">
        <v>369</v>
      </c>
      <c r="Q2074" s="4" t="s">
        <v>26</v>
      </c>
      <c r="R2074" s="4">
        <v>0</v>
      </c>
      <c r="S2074" s="6">
        <v>0</v>
      </c>
      <c r="T2074" s="6">
        <v>69</v>
      </c>
      <c r="U2074" s="6">
        <v>113</v>
      </c>
      <c r="V2074" s="6">
        <f>IF(ISERROR(VLOOKUP($S$2074,'TAR FIN'!$A$1:$O$115,15,0)),0,VLOOKUP($S$2074,'TAR FIN'!$A$1:$O$115,15,0))</f>
        <v>0</v>
      </c>
      <c r="W2074" s="6">
        <f>IF(ISERROR(VLOOKUP($T$2074,'TAR FIN'!$A$1:$O$115,15,0)),0,VLOOKUP($T$2074,'TAR FIN'!$A$1:$O$115,15,0))</f>
        <v>254.98</v>
      </c>
      <c r="X2074" s="6">
        <f>IF(ISERROR(VLOOKUP($U$2074,'TAR FIN'!$A$1:$O$115,15,0)),0,VLOOKUP($U$2074,'TAR FIN'!$A$1:$O$115,15,0))</f>
        <v>97.12</v>
      </c>
      <c r="Y2074" s="6"/>
      <c r="Z2074" s="6">
        <f ca="1">('TUSD BE'!$AM$67+'TUSD BF'!$AM$67+'TUSD CVA'!$AM$67)*1</f>
        <v>276.22087308513545</v>
      </c>
      <c r="AA2074" s="6">
        <f>('TE BE'!$AB$50+'TE BF'!$AB$50+'TE CVA'!$AB$50)*1</f>
        <v>126.87508594232092</v>
      </c>
      <c r="AB2074" s="6">
        <f>$K$2074*$V$2074</f>
        <v>0</v>
      </c>
      <c r="AC2074" s="6">
        <f>$M$2074*$W$2074</f>
        <v>695777.94990000001</v>
      </c>
      <c r="AD2074" s="6">
        <f>$O$2074*$X$2074</f>
        <v>265016.68560000003</v>
      </c>
      <c r="AE2074" s="6">
        <f>$K$2074*$Y$2074</f>
        <v>0</v>
      </c>
      <c r="AF2074" s="6">
        <f ca="1">$M$2074*$Z$2074</f>
        <v>753739.08853542886</v>
      </c>
      <c r="AG2074" s="6">
        <f>$O$2074*$AA$2074</f>
        <v>346211.02514053794</v>
      </c>
    </row>
    <row r="2075" spans="1:33" ht="11.25" customHeight="1" x14ac:dyDescent="0.25">
      <c r="A2075" s="4" t="s">
        <v>28</v>
      </c>
      <c r="B2075" s="4" t="s">
        <v>49</v>
      </c>
      <c r="C2075" s="4" t="s">
        <v>23</v>
      </c>
      <c r="D2075" s="4" t="s">
        <v>50</v>
      </c>
      <c r="E2075" s="4" t="s">
        <v>51</v>
      </c>
      <c r="F2075" s="4" t="s">
        <v>25</v>
      </c>
      <c r="G2075" s="4" t="s">
        <v>25</v>
      </c>
      <c r="H2075" s="4" t="s">
        <v>25</v>
      </c>
      <c r="I2075" s="5">
        <v>44531</v>
      </c>
      <c r="J2075" s="6">
        <v>0</v>
      </c>
      <c r="K2075" s="6">
        <v>0</v>
      </c>
      <c r="L2075" s="6">
        <v>1067.463</v>
      </c>
      <c r="M2075" s="6">
        <v>1067.463</v>
      </c>
      <c r="N2075" s="6">
        <v>1067.463</v>
      </c>
      <c r="O2075" s="6">
        <v>1067.463</v>
      </c>
      <c r="P2075" s="6">
        <v>85</v>
      </c>
      <c r="Q2075" s="4" t="s">
        <v>26</v>
      </c>
      <c r="R2075" s="4">
        <v>0</v>
      </c>
      <c r="S2075" s="6">
        <v>0</v>
      </c>
      <c r="T2075" s="6">
        <v>69</v>
      </c>
      <c r="U2075" s="6">
        <v>113</v>
      </c>
      <c r="V2075" s="6">
        <f>IF(ISERROR(VLOOKUP($S$2075,'TAR FIN'!$A$1:$O$115,15,0)),0,VLOOKUP($S$2075,'TAR FIN'!$A$1:$O$115,15,0))</f>
        <v>0</v>
      </c>
      <c r="W2075" s="6">
        <f>IF(ISERROR(VLOOKUP($T$2075,'TAR FIN'!$A$1:$O$115,15,0)),0,VLOOKUP($T$2075,'TAR FIN'!$A$1:$O$115,15,0))</f>
        <v>254.98</v>
      </c>
      <c r="X2075" s="6">
        <f>IF(ISERROR(VLOOKUP($U$2075,'TAR FIN'!$A$1:$O$115,15,0)),0,VLOOKUP($U$2075,'TAR FIN'!$A$1:$O$115,15,0))</f>
        <v>97.12</v>
      </c>
      <c r="Y2075" s="6"/>
      <c r="Z2075" s="6">
        <f ca="1">('TUSD BE'!$AM$67+'TUSD BF'!$AM$67+'TUSD CVA'!$AM$67)*1</f>
        <v>276.22087308513545</v>
      </c>
      <c r="AA2075" s="6">
        <f>('TE BE'!$AB$50+'TE BF'!$AB$50+'TE CVA'!$AB$50)*1</f>
        <v>126.87508594232092</v>
      </c>
      <c r="AB2075" s="6">
        <f>$K$2075*$V$2075</f>
        <v>0</v>
      </c>
      <c r="AC2075" s="6">
        <f>$M$2075*$W$2075</f>
        <v>272181.71573999996</v>
      </c>
      <c r="AD2075" s="6">
        <f>$O$2075*$X$2075</f>
        <v>103672.00655999999</v>
      </c>
      <c r="AE2075" s="6">
        <f>$K$2075*$Y$2075</f>
        <v>0</v>
      </c>
      <c r="AF2075" s="6">
        <f ca="1">$M$2075*$Z$2075</f>
        <v>294855.56184607791</v>
      </c>
      <c r="AG2075" s="6">
        <f>$O$2075*$AA$2075</f>
        <v>135434.45986524771</v>
      </c>
    </row>
    <row r="2076" spans="1:33" ht="11.25" customHeight="1" x14ac:dyDescent="0.25">
      <c r="A2076" s="4" t="s">
        <v>21</v>
      </c>
      <c r="B2076" s="4" t="s">
        <v>49</v>
      </c>
      <c r="C2076" s="4" t="s">
        <v>23</v>
      </c>
      <c r="D2076" s="4" t="s">
        <v>50</v>
      </c>
      <c r="E2076" s="4" t="s">
        <v>51</v>
      </c>
      <c r="F2076" s="4" t="s">
        <v>25</v>
      </c>
      <c r="G2076" s="4" t="s">
        <v>25</v>
      </c>
      <c r="H2076" s="4" t="s">
        <v>25</v>
      </c>
      <c r="I2076" s="5">
        <v>44562</v>
      </c>
      <c r="J2076" s="6">
        <v>0</v>
      </c>
      <c r="K2076" s="6">
        <v>0</v>
      </c>
      <c r="L2076" s="6">
        <v>3100.297</v>
      </c>
      <c r="M2076" s="6">
        <v>3100.297</v>
      </c>
      <c r="N2076" s="6">
        <v>3100.297</v>
      </c>
      <c r="O2076" s="6">
        <v>3100.297</v>
      </c>
      <c r="P2076" s="6">
        <v>373</v>
      </c>
      <c r="Q2076" s="4" t="s">
        <v>26</v>
      </c>
      <c r="R2076" s="4">
        <v>0</v>
      </c>
      <c r="S2076" s="6">
        <v>0</v>
      </c>
      <c r="T2076" s="6">
        <v>69</v>
      </c>
      <c r="U2076" s="6">
        <v>113</v>
      </c>
      <c r="V2076" s="6">
        <f>IF(ISERROR(VLOOKUP($S$2076,'TAR FIN'!$A$1:$O$115,15,0)),0,VLOOKUP($S$2076,'TAR FIN'!$A$1:$O$115,15,0))</f>
        <v>0</v>
      </c>
      <c r="W2076" s="6">
        <f>IF(ISERROR(VLOOKUP($T$2076,'TAR FIN'!$A$1:$O$115,15,0)),0,VLOOKUP($T$2076,'TAR FIN'!$A$1:$O$115,15,0))</f>
        <v>254.98</v>
      </c>
      <c r="X2076" s="6">
        <f>IF(ISERROR(VLOOKUP($U$2076,'TAR FIN'!$A$1:$O$115,15,0)),0,VLOOKUP($U$2076,'TAR FIN'!$A$1:$O$115,15,0))</f>
        <v>97.12</v>
      </c>
      <c r="Y2076" s="6"/>
      <c r="Z2076" s="6">
        <f ca="1">('TUSD BE'!$AM$67+'TUSD BF'!$AM$67+'TUSD CVA'!$AM$67)*1</f>
        <v>276.22087308513545</v>
      </c>
      <c r="AA2076" s="6">
        <f>('TE BE'!$AB$50+'TE BF'!$AB$50+'TE CVA'!$AB$50)*1</f>
        <v>126.87508594232092</v>
      </c>
      <c r="AB2076" s="6">
        <f>$K$2076*$V$2076</f>
        <v>0</v>
      </c>
      <c r="AC2076" s="6">
        <f>$M$2076*$W$2076</f>
        <v>790513.72905999993</v>
      </c>
      <c r="AD2076" s="6">
        <f>$O$2076*$X$2076</f>
        <v>301100.84464000002</v>
      </c>
      <c r="AE2076" s="6">
        <f>$K$2076*$Y$2076</f>
        <v>0</v>
      </c>
      <c r="AF2076" s="6">
        <f ca="1">$M$2076*$Z$2076</f>
        <v>856366.74416322622</v>
      </c>
      <c r="AG2076" s="6">
        <f>$O$2076*$AA$2076</f>
        <v>393350.44832171971</v>
      </c>
    </row>
    <row r="2077" spans="1:33" ht="11.25" customHeight="1" x14ac:dyDescent="0.25">
      <c r="A2077" s="4" t="s">
        <v>28</v>
      </c>
      <c r="B2077" s="4" t="s">
        <v>49</v>
      </c>
      <c r="C2077" s="4" t="s">
        <v>23</v>
      </c>
      <c r="D2077" s="4" t="s">
        <v>50</v>
      </c>
      <c r="E2077" s="4" t="s">
        <v>51</v>
      </c>
      <c r="F2077" s="4" t="s">
        <v>25</v>
      </c>
      <c r="G2077" s="4" t="s">
        <v>25</v>
      </c>
      <c r="H2077" s="4" t="s">
        <v>25</v>
      </c>
      <c r="I2077" s="5">
        <v>44562</v>
      </c>
      <c r="J2077" s="6">
        <v>0</v>
      </c>
      <c r="K2077" s="6">
        <v>0</v>
      </c>
      <c r="L2077" s="6">
        <v>1069.21</v>
      </c>
      <c r="M2077" s="6">
        <v>1069.21</v>
      </c>
      <c r="N2077" s="6">
        <v>1069.21</v>
      </c>
      <c r="O2077" s="6">
        <v>1069.21</v>
      </c>
      <c r="P2077" s="6">
        <v>86</v>
      </c>
      <c r="Q2077" s="4" t="s">
        <v>26</v>
      </c>
      <c r="R2077" s="4">
        <v>0</v>
      </c>
      <c r="S2077" s="6">
        <v>0</v>
      </c>
      <c r="T2077" s="6">
        <v>69</v>
      </c>
      <c r="U2077" s="6">
        <v>113</v>
      </c>
      <c r="V2077" s="6">
        <f>IF(ISERROR(VLOOKUP($S$2077,'TAR FIN'!$A$1:$O$115,15,0)),0,VLOOKUP($S$2077,'TAR FIN'!$A$1:$O$115,15,0))</f>
        <v>0</v>
      </c>
      <c r="W2077" s="6">
        <f>IF(ISERROR(VLOOKUP($T$2077,'TAR FIN'!$A$1:$O$115,15,0)),0,VLOOKUP($T$2077,'TAR FIN'!$A$1:$O$115,15,0))</f>
        <v>254.98</v>
      </c>
      <c r="X2077" s="6">
        <f>IF(ISERROR(VLOOKUP($U$2077,'TAR FIN'!$A$1:$O$115,15,0)),0,VLOOKUP($U$2077,'TAR FIN'!$A$1:$O$115,15,0))</f>
        <v>97.12</v>
      </c>
      <c r="Y2077" s="6"/>
      <c r="Z2077" s="6">
        <f ca="1">('TUSD BE'!$AM$67+'TUSD BF'!$AM$67+'TUSD CVA'!$AM$67)*1</f>
        <v>276.22087308513545</v>
      </c>
      <c r="AA2077" s="6">
        <f>('TE BE'!$AB$50+'TE BF'!$AB$50+'TE CVA'!$AB$50)*1</f>
        <v>126.87508594232092</v>
      </c>
      <c r="AB2077" s="6">
        <f>$K$2077*$V$2077</f>
        <v>0</v>
      </c>
      <c r="AC2077" s="6">
        <f>$M$2077*$W$2077</f>
        <v>272627.16580000002</v>
      </c>
      <c r="AD2077" s="6">
        <f>$O$2077*$X$2077</f>
        <v>103841.67520000001</v>
      </c>
      <c r="AE2077" s="6">
        <f>$K$2077*$Y$2077</f>
        <v>0</v>
      </c>
      <c r="AF2077" s="6">
        <f ca="1">$M$2077*$Z$2077</f>
        <v>295338.11971135769</v>
      </c>
      <c r="AG2077" s="6">
        <f>$O$2077*$AA$2077</f>
        <v>135656.11064038897</v>
      </c>
    </row>
    <row r="2078" spans="1:33" ht="11.25" customHeight="1" x14ac:dyDescent="0.25">
      <c r="A2078" s="4" t="s">
        <v>21</v>
      </c>
      <c r="B2078" s="4" t="s">
        <v>49</v>
      </c>
      <c r="C2078" s="4" t="s">
        <v>23</v>
      </c>
      <c r="D2078" s="4" t="s">
        <v>50</v>
      </c>
      <c r="E2078" s="4" t="s">
        <v>51</v>
      </c>
      <c r="F2078" s="4" t="s">
        <v>25</v>
      </c>
      <c r="G2078" s="4" t="s">
        <v>25</v>
      </c>
      <c r="H2078" s="4" t="s">
        <v>25</v>
      </c>
      <c r="I2078" s="5">
        <v>44593</v>
      </c>
      <c r="J2078" s="6">
        <v>0</v>
      </c>
      <c r="K2078" s="6">
        <v>0</v>
      </c>
      <c r="L2078" s="6">
        <v>2735.3440000000001</v>
      </c>
      <c r="M2078" s="6">
        <v>2735.3440000000001</v>
      </c>
      <c r="N2078" s="6">
        <v>2735.3440000000001</v>
      </c>
      <c r="O2078" s="6">
        <v>2735.3440000000001</v>
      </c>
      <c r="P2078" s="6">
        <v>375</v>
      </c>
      <c r="Q2078" s="4" t="s">
        <v>26</v>
      </c>
      <c r="R2078" s="4">
        <v>0</v>
      </c>
      <c r="S2078" s="6">
        <v>0</v>
      </c>
      <c r="T2078" s="6">
        <v>69</v>
      </c>
      <c r="U2078" s="6">
        <v>113</v>
      </c>
      <c r="V2078" s="6">
        <f>IF(ISERROR(VLOOKUP($S$2078,'TAR FIN'!$A$1:$O$115,15,0)),0,VLOOKUP($S$2078,'TAR FIN'!$A$1:$O$115,15,0))</f>
        <v>0</v>
      </c>
      <c r="W2078" s="6">
        <f>IF(ISERROR(VLOOKUP($T$2078,'TAR FIN'!$A$1:$O$115,15,0)),0,VLOOKUP($T$2078,'TAR FIN'!$A$1:$O$115,15,0))</f>
        <v>254.98</v>
      </c>
      <c r="X2078" s="6">
        <f>IF(ISERROR(VLOOKUP($U$2078,'TAR FIN'!$A$1:$O$115,15,0)),0,VLOOKUP($U$2078,'TAR FIN'!$A$1:$O$115,15,0))</f>
        <v>97.12</v>
      </c>
      <c r="Y2078" s="6"/>
      <c r="Z2078" s="6">
        <f ca="1">('TUSD BE'!$AM$67+'TUSD BF'!$AM$67+'TUSD CVA'!$AM$67)*1</f>
        <v>276.22087308513545</v>
      </c>
      <c r="AA2078" s="6">
        <f>('TE BE'!$AB$50+'TE BF'!$AB$50+'TE CVA'!$AB$50)*1</f>
        <v>126.87508594232092</v>
      </c>
      <c r="AB2078" s="6">
        <f>$K$2078*$V$2078</f>
        <v>0</v>
      </c>
      <c r="AC2078" s="6">
        <f>$M$2078*$W$2078</f>
        <v>697458.01312000002</v>
      </c>
      <c r="AD2078" s="6">
        <f>$O$2078*$X$2078</f>
        <v>265656.60928000003</v>
      </c>
      <c r="AE2078" s="6">
        <f>$K$2078*$Y$2078</f>
        <v>0</v>
      </c>
      <c r="AF2078" s="6">
        <f ca="1">$M$2078*$Z$2078</f>
        <v>755559.10786818678</v>
      </c>
      <c r="AG2078" s="6">
        <f>$O$2078*$AA$2078</f>
        <v>347047.00508181186</v>
      </c>
    </row>
    <row r="2079" spans="1:33" ht="11.25" customHeight="1" x14ac:dyDescent="0.25">
      <c r="A2079" s="4" t="s">
        <v>28</v>
      </c>
      <c r="B2079" s="4" t="s">
        <v>49</v>
      </c>
      <c r="C2079" s="4" t="s">
        <v>23</v>
      </c>
      <c r="D2079" s="4" t="s">
        <v>50</v>
      </c>
      <c r="E2079" s="4" t="s">
        <v>51</v>
      </c>
      <c r="F2079" s="4" t="s">
        <v>25</v>
      </c>
      <c r="G2079" s="4" t="s">
        <v>25</v>
      </c>
      <c r="H2079" s="4" t="s">
        <v>25</v>
      </c>
      <c r="I2079" s="5">
        <v>44593</v>
      </c>
      <c r="J2079" s="6">
        <v>0</v>
      </c>
      <c r="K2079" s="6">
        <v>0</v>
      </c>
      <c r="L2079" s="6">
        <v>1539.951</v>
      </c>
      <c r="M2079" s="6">
        <v>1539.951</v>
      </c>
      <c r="N2079" s="6">
        <v>1539.951</v>
      </c>
      <c r="O2079" s="6">
        <v>1539.951</v>
      </c>
      <c r="P2079" s="6">
        <v>87</v>
      </c>
      <c r="Q2079" s="4" t="s">
        <v>26</v>
      </c>
      <c r="R2079" s="4">
        <v>0</v>
      </c>
      <c r="S2079" s="6">
        <v>0</v>
      </c>
      <c r="T2079" s="6">
        <v>69</v>
      </c>
      <c r="U2079" s="6">
        <v>113</v>
      </c>
      <c r="V2079" s="6">
        <f>IF(ISERROR(VLOOKUP($S$2079,'TAR FIN'!$A$1:$O$115,15,0)),0,VLOOKUP($S$2079,'TAR FIN'!$A$1:$O$115,15,0))</f>
        <v>0</v>
      </c>
      <c r="W2079" s="6">
        <f>IF(ISERROR(VLOOKUP($T$2079,'TAR FIN'!$A$1:$O$115,15,0)),0,VLOOKUP($T$2079,'TAR FIN'!$A$1:$O$115,15,0))</f>
        <v>254.98</v>
      </c>
      <c r="X2079" s="6">
        <f>IF(ISERROR(VLOOKUP($U$2079,'TAR FIN'!$A$1:$O$115,15,0)),0,VLOOKUP($U$2079,'TAR FIN'!$A$1:$O$115,15,0))</f>
        <v>97.12</v>
      </c>
      <c r="Y2079" s="6"/>
      <c r="Z2079" s="6">
        <f ca="1">('TUSD BE'!$AM$67+'TUSD BF'!$AM$67+'TUSD CVA'!$AM$67)*1</f>
        <v>276.22087308513545</v>
      </c>
      <c r="AA2079" s="6">
        <f>('TE BE'!$AB$50+'TE BF'!$AB$50+'TE CVA'!$AB$50)*1</f>
        <v>126.87508594232092</v>
      </c>
      <c r="AB2079" s="6">
        <f>$K$2079*$V$2079</f>
        <v>0</v>
      </c>
      <c r="AC2079" s="6">
        <f>$M$2079*$W$2079</f>
        <v>392656.70597999997</v>
      </c>
      <c r="AD2079" s="6">
        <f>$O$2079*$X$2079</f>
        <v>149560.04112000001</v>
      </c>
      <c r="AE2079" s="6">
        <f>$K$2079*$Y$2079</f>
        <v>0</v>
      </c>
      <c r="AF2079" s="6">
        <f ca="1">$M$2079*$Z$2079</f>
        <v>425366.60972832743</v>
      </c>
      <c r="AG2079" s="6">
        <f>$O$2079*$AA$2079</f>
        <v>195381.41547196306</v>
      </c>
    </row>
    <row r="2080" spans="1:33" ht="11.25" customHeight="1" x14ac:dyDescent="0.25">
      <c r="A2080" s="4" t="s">
        <v>21</v>
      </c>
      <c r="B2080" s="4" t="s">
        <v>49</v>
      </c>
      <c r="C2080" s="4" t="s">
        <v>23</v>
      </c>
      <c r="D2080" s="4" t="s">
        <v>50</v>
      </c>
      <c r="E2080" s="4" t="s">
        <v>51</v>
      </c>
      <c r="F2080" s="4" t="s">
        <v>25</v>
      </c>
      <c r="G2080" s="4" t="s">
        <v>25</v>
      </c>
      <c r="H2080" s="4" t="s">
        <v>25</v>
      </c>
      <c r="I2080" s="5">
        <v>44621</v>
      </c>
      <c r="J2080" s="6">
        <v>0</v>
      </c>
      <c r="K2080" s="6">
        <v>0</v>
      </c>
      <c r="L2080" s="6">
        <v>3075.13</v>
      </c>
      <c r="M2080" s="6">
        <v>3075.13</v>
      </c>
      <c r="N2080" s="6">
        <v>3075.13</v>
      </c>
      <c r="O2080" s="6">
        <v>3075.13</v>
      </c>
      <c r="P2080" s="6">
        <v>368</v>
      </c>
      <c r="Q2080" s="4" t="s">
        <v>26</v>
      </c>
      <c r="R2080" s="4">
        <v>0</v>
      </c>
      <c r="S2080" s="6">
        <v>0</v>
      </c>
      <c r="T2080" s="6">
        <v>69</v>
      </c>
      <c r="U2080" s="6">
        <v>113</v>
      </c>
      <c r="V2080" s="6">
        <f>IF(ISERROR(VLOOKUP($S$2080,'TAR FIN'!$A$1:$O$115,15,0)),0,VLOOKUP($S$2080,'TAR FIN'!$A$1:$O$115,15,0))</f>
        <v>0</v>
      </c>
      <c r="W2080" s="6">
        <f>IF(ISERROR(VLOOKUP($T$2080,'TAR FIN'!$A$1:$O$115,15,0)),0,VLOOKUP($T$2080,'TAR FIN'!$A$1:$O$115,15,0))</f>
        <v>254.98</v>
      </c>
      <c r="X2080" s="6">
        <f>IF(ISERROR(VLOOKUP($U$2080,'TAR FIN'!$A$1:$O$115,15,0)),0,VLOOKUP($U$2080,'TAR FIN'!$A$1:$O$115,15,0))</f>
        <v>97.12</v>
      </c>
      <c r="Y2080" s="6"/>
      <c r="Z2080" s="6">
        <f ca="1">('TUSD BE'!$AM$67+'TUSD BF'!$AM$67+'TUSD CVA'!$AM$67)*1</f>
        <v>276.22087308513545</v>
      </c>
      <c r="AA2080" s="6">
        <f>('TE BE'!$AB$50+'TE BF'!$AB$50+'TE CVA'!$AB$50)*1</f>
        <v>126.87508594232092</v>
      </c>
      <c r="AB2080" s="6">
        <f>$K$2080*$V$2080</f>
        <v>0</v>
      </c>
      <c r="AC2080" s="6">
        <f>$M$2080*$W$2080</f>
        <v>784096.64740000002</v>
      </c>
      <c r="AD2080" s="6">
        <f>$O$2080*$X$2080</f>
        <v>298656.62560000003</v>
      </c>
      <c r="AE2080" s="6">
        <f>$K$2080*$Y$2080</f>
        <v>0</v>
      </c>
      <c r="AF2080" s="6">
        <f ca="1">$M$2080*$Z$2080</f>
        <v>849415.0934502926</v>
      </c>
      <c r="AG2080" s="6">
        <f>$O$2080*$AA$2080</f>
        <v>390157.38303380937</v>
      </c>
    </row>
    <row r="2081" spans="1:33" ht="11.25" customHeight="1" x14ac:dyDescent="0.25">
      <c r="A2081" s="4" t="s">
        <v>28</v>
      </c>
      <c r="B2081" s="4" t="s">
        <v>49</v>
      </c>
      <c r="C2081" s="4" t="s">
        <v>23</v>
      </c>
      <c r="D2081" s="4" t="s">
        <v>50</v>
      </c>
      <c r="E2081" s="4" t="s">
        <v>51</v>
      </c>
      <c r="F2081" s="4" t="s">
        <v>25</v>
      </c>
      <c r="G2081" s="4" t="s">
        <v>25</v>
      </c>
      <c r="H2081" s="4" t="s">
        <v>25</v>
      </c>
      <c r="I2081" s="5">
        <v>44621</v>
      </c>
      <c r="J2081" s="6">
        <v>0</v>
      </c>
      <c r="K2081" s="6">
        <v>0</v>
      </c>
      <c r="L2081" s="6">
        <v>1401.1510000000001</v>
      </c>
      <c r="M2081" s="6">
        <v>1401.1510000000001</v>
      </c>
      <c r="N2081" s="6">
        <v>1401.1510000000001</v>
      </c>
      <c r="O2081" s="6">
        <v>1401.1510000000001</v>
      </c>
      <c r="P2081" s="6">
        <v>87</v>
      </c>
      <c r="Q2081" s="4" t="s">
        <v>26</v>
      </c>
      <c r="R2081" s="4">
        <v>0</v>
      </c>
      <c r="S2081" s="6">
        <v>0</v>
      </c>
      <c r="T2081" s="6">
        <v>69</v>
      </c>
      <c r="U2081" s="6">
        <v>113</v>
      </c>
      <c r="V2081" s="6">
        <f>IF(ISERROR(VLOOKUP($S$2081,'TAR FIN'!$A$1:$O$115,15,0)),0,VLOOKUP($S$2081,'TAR FIN'!$A$1:$O$115,15,0))</f>
        <v>0</v>
      </c>
      <c r="W2081" s="6">
        <f>IF(ISERROR(VLOOKUP($T$2081,'TAR FIN'!$A$1:$O$115,15,0)),0,VLOOKUP($T$2081,'TAR FIN'!$A$1:$O$115,15,0))</f>
        <v>254.98</v>
      </c>
      <c r="X2081" s="6">
        <f>IF(ISERROR(VLOOKUP($U$2081,'TAR FIN'!$A$1:$O$115,15,0)),0,VLOOKUP($U$2081,'TAR FIN'!$A$1:$O$115,15,0))</f>
        <v>97.12</v>
      </c>
      <c r="Y2081" s="6"/>
      <c r="Z2081" s="6">
        <f ca="1">('TUSD BE'!$AM$67+'TUSD BF'!$AM$67+'TUSD CVA'!$AM$67)*1</f>
        <v>276.22087308513545</v>
      </c>
      <c r="AA2081" s="6">
        <f>('TE BE'!$AB$50+'TE BF'!$AB$50+'TE CVA'!$AB$50)*1</f>
        <v>126.87508594232092</v>
      </c>
      <c r="AB2081" s="6">
        <f>$K$2081*$V$2081</f>
        <v>0</v>
      </c>
      <c r="AC2081" s="6">
        <f>$M$2081*$W$2081</f>
        <v>357265.48197999998</v>
      </c>
      <c r="AD2081" s="6">
        <f>$O$2081*$X$2081</f>
        <v>136079.78512000002</v>
      </c>
      <c r="AE2081" s="6">
        <f>$K$2081*$Y$2081</f>
        <v>0</v>
      </c>
      <c r="AF2081" s="6">
        <f ca="1">$M$2081*$Z$2081</f>
        <v>387027.15254411066</v>
      </c>
      <c r="AG2081" s="6">
        <f>$O$2081*$AA$2081</f>
        <v>177771.15354316891</v>
      </c>
    </row>
    <row r="2082" spans="1:33" ht="11.25" customHeight="1" x14ac:dyDescent="0.25">
      <c r="A2082" s="4" t="s">
        <v>21</v>
      </c>
      <c r="B2082" s="4" t="s">
        <v>49</v>
      </c>
      <c r="C2082" s="4" t="s">
        <v>23</v>
      </c>
      <c r="D2082" s="4" t="s">
        <v>50</v>
      </c>
      <c r="E2082" s="4" t="s">
        <v>51</v>
      </c>
      <c r="F2082" s="4" t="s">
        <v>25</v>
      </c>
      <c r="G2082" s="4" t="s">
        <v>25</v>
      </c>
      <c r="H2082" s="4" t="s">
        <v>25</v>
      </c>
      <c r="I2082" s="5">
        <v>44652</v>
      </c>
      <c r="J2082" s="6">
        <v>0</v>
      </c>
      <c r="K2082" s="6">
        <v>0</v>
      </c>
      <c r="L2082" s="6">
        <v>3494.0070000000001</v>
      </c>
      <c r="M2082" s="6">
        <v>3494.0070000000001</v>
      </c>
      <c r="N2082" s="6">
        <v>3494.0070000000001</v>
      </c>
      <c r="O2082" s="6">
        <v>3494.0070000000001</v>
      </c>
      <c r="P2082" s="6">
        <v>372</v>
      </c>
      <c r="Q2082" s="4" t="s">
        <v>26</v>
      </c>
      <c r="R2082" s="4">
        <v>0</v>
      </c>
      <c r="S2082" s="6">
        <v>0</v>
      </c>
      <c r="T2082" s="6">
        <v>69</v>
      </c>
      <c r="U2082" s="6">
        <v>113</v>
      </c>
      <c r="V2082" s="6">
        <f>IF(ISERROR(VLOOKUP($S$2082,'TAR FIN'!$A$1:$O$115,15,0)),0,VLOOKUP($S$2082,'TAR FIN'!$A$1:$O$115,15,0))</f>
        <v>0</v>
      </c>
      <c r="W2082" s="6">
        <f>IF(ISERROR(VLOOKUP($T$2082,'TAR FIN'!$A$1:$O$115,15,0)),0,VLOOKUP($T$2082,'TAR FIN'!$A$1:$O$115,15,0))</f>
        <v>254.98</v>
      </c>
      <c r="X2082" s="6">
        <f>IF(ISERROR(VLOOKUP($U$2082,'TAR FIN'!$A$1:$O$115,15,0)),0,VLOOKUP($U$2082,'TAR FIN'!$A$1:$O$115,15,0))</f>
        <v>97.12</v>
      </c>
      <c r="Y2082" s="6"/>
      <c r="Z2082" s="6">
        <f ca="1">('TUSD BE'!$AM$67+'TUSD BF'!$AM$67+'TUSD CVA'!$AM$67)*1</f>
        <v>276.22087308513545</v>
      </c>
      <c r="AA2082" s="6">
        <f>('TE BE'!$AB$50+'TE BF'!$AB$50+'TE CVA'!$AB$50)*1</f>
        <v>126.87508594232092</v>
      </c>
      <c r="AB2082" s="6">
        <f>$K$2082*$V$2082</f>
        <v>0</v>
      </c>
      <c r="AC2082" s="6">
        <f>$M$2082*$W$2082</f>
        <v>890901.90486000001</v>
      </c>
      <c r="AD2082" s="6">
        <f>$O$2082*$X$2082</f>
        <v>339337.95984000002</v>
      </c>
      <c r="AE2082" s="6">
        <f>$K$2082*$Y$2082</f>
        <v>0</v>
      </c>
      <c r="AF2082" s="6">
        <f ca="1">$M$2082*$Z$2082</f>
        <v>965117.66410557483</v>
      </c>
      <c r="AG2082" s="6">
        <f>$O$2082*$AA$2082</f>
        <v>443302.43840807088</v>
      </c>
    </row>
    <row r="2083" spans="1:33" ht="11.25" customHeight="1" x14ac:dyDescent="0.25">
      <c r="A2083" s="4" t="s">
        <v>27</v>
      </c>
      <c r="B2083" s="4" t="s">
        <v>49</v>
      </c>
      <c r="C2083" s="4" t="s">
        <v>23</v>
      </c>
      <c r="D2083" s="4" t="s">
        <v>50</v>
      </c>
      <c r="E2083" s="4" t="s">
        <v>51</v>
      </c>
      <c r="F2083" s="4" t="s">
        <v>25</v>
      </c>
      <c r="G2083" s="4" t="s">
        <v>25</v>
      </c>
      <c r="H2083" s="4" t="s">
        <v>25</v>
      </c>
      <c r="I2083" s="5">
        <v>44652</v>
      </c>
      <c r="J2083" s="6">
        <v>0</v>
      </c>
      <c r="K2083" s="6">
        <v>0</v>
      </c>
      <c r="L2083" s="6">
        <v>-0.51700000000000002</v>
      </c>
      <c r="M2083" s="6">
        <v>-0.51700000000000002</v>
      </c>
      <c r="N2083" s="6">
        <v>-0.51700000000000002</v>
      </c>
      <c r="O2083" s="6">
        <v>-0.51700000000000002</v>
      </c>
      <c r="P2083" s="6">
        <v>-1</v>
      </c>
      <c r="Q2083" s="4" t="s">
        <v>26</v>
      </c>
      <c r="R2083" s="4">
        <v>0</v>
      </c>
      <c r="S2083" s="6">
        <v>0</v>
      </c>
      <c r="T2083" s="6">
        <v>69</v>
      </c>
      <c r="U2083" s="6">
        <v>113</v>
      </c>
      <c r="V2083" s="6">
        <f>IF(ISERROR(VLOOKUP($S$2083,'TAR FIN'!$A$1:$O$115,15,0)),0,VLOOKUP($S$2083,'TAR FIN'!$A$1:$O$115,15,0))</f>
        <v>0</v>
      </c>
      <c r="W2083" s="6">
        <f>IF(ISERROR(VLOOKUP($T$2083,'TAR FIN'!$A$1:$O$115,15,0)),0,VLOOKUP($T$2083,'TAR FIN'!$A$1:$O$115,15,0))</f>
        <v>254.98</v>
      </c>
      <c r="X2083" s="6">
        <f>IF(ISERROR(VLOOKUP($U$2083,'TAR FIN'!$A$1:$O$115,15,0)),0,VLOOKUP($U$2083,'TAR FIN'!$A$1:$O$115,15,0))</f>
        <v>97.12</v>
      </c>
      <c r="Y2083" s="6"/>
      <c r="Z2083" s="6">
        <f ca="1">('TUSD BE'!$AM$67+'TUSD BF'!$AM$67+'TUSD CVA'!$AM$67)*1</f>
        <v>276.22087308513545</v>
      </c>
      <c r="AA2083" s="6">
        <f>('TE BE'!$AB$50+'TE BF'!$AB$50+'TE CVA'!$AB$50)*1</f>
        <v>126.87508594232092</v>
      </c>
      <c r="AB2083" s="6">
        <f>$K$2083*$V$2083</f>
        <v>0</v>
      </c>
      <c r="AC2083" s="6">
        <f>$M$2083*$W$2083</f>
        <v>-131.82465999999999</v>
      </c>
      <c r="AD2083" s="6">
        <f>$O$2083*$X$2083</f>
        <v>-50.211040000000004</v>
      </c>
      <c r="AE2083" s="6">
        <f>$K$2083*$Y$2083</f>
        <v>0</v>
      </c>
      <c r="AF2083" s="6">
        <f ca="1">$M$2083*$Z$2083</f>
        <v>-142.80619138501504</v>
      </c>
      <c r="AG2083" s="6">
        <f>$O$2083*$AA$2083</f>
        <v>-65.594419432179919</v>
      </c>
    </row>
    <row r="2084" spans="1:33" ht="11.25" customHeight="1" x14ac:dyDescent="0.25">
      <c r="A2084" s="4" t="s">
        <v>28</v>
      </c>
      <c r="B2084" s="4" t="s">
        <v>49</v>
      </c>
      <c r="C2084" s="4" t="s">
        <v>23</v>
      </c>
      <c r="D2084" s="4" t="s">
        <v>50</v>
      </c>
      <c r="E2084" s="4" t="s">
        <v>51</v>
      </c>
      <c r="F2084" s="4" t="s">
        <v>25</v>
      </c>
      <c r="G2084" s="4" t="s">
        <v>25</v>
      </c>
      <c r="H2084" s="4" t="s">
        <v>25</v>
      </c>
      <c r="I2084" s="5">
        <v>44652</v>
      </c>
      <c r="J2084" s="6">
        <v>0</v>
      </c>
      <c r="K2084" s="6">
        <v>0</v>
      </c>
      <c r="L2084" s="6">
        <v>1040.809</v>
      </c>
      <c r="M2084" s="6">
        <v>1040.809</v>
      </c>
      <c r="N2084" s="6">
        <v>1040.809</v>
      </c>
      <c r="O2084" s="6">
        <v>1040.809</v>
      </c>
      <c r="P2084" s="6">
        <v>86</v>
      </c>
      <c r="Q2084" s="4" t="s">
        <v>26</v>
      </c>
      <c r="R2084" s="4">
        <v>0</v>
      </c>
      <c r="S2084" s="6">
        <v>0</v>
      </c>
      <c r="T2084" s="6">
        <v>69</v>
      </c>
      <c r="U2084" s="6">
        <v>113</v>
      </c>
      <c r="V2084" s="6">
        <f>IF(ISERROR(VLOOKUP($S$2084,'TAR FIN'!$A$1:$O$115,15,0)),0,VLOOKUP($S$2084,'TAR FIN'!$A$1:$O$115,15,0))</f>
        <v>0</v>
      </c>
      <c r="W2084" s="6">
        <f>IF(ISERROR(VLOOKUP($T$2084,'TAR FIN'!$A$1:$O$115,15,0)),0,VLOOKUP($T$2084,'TAR FIN'!$A$1:$O$115,15,0))</f>
        <v>254.98</v>
      </c>
      <c r="X2084" s="6">
        <f>IF(ISERROR(VLOOKUP($U$2084,'TAR FIN'!$A$1:$O$115,15,0)),0,VLOOKUP($U$2084,'TAR FIN'!$A$1:$O$115,15,0))</f>
        <v>97.12</v>
      </c>
      <c r="Y2084" s="6"/>
      <c r="Z2084" s="6">
        <f ca="1">('TUSD BE'!$AM$67+'TUSD BF'!$AM$67+'TUSD CVA'!$AM$67)*1</f>
        <v>276.22087308513545</v>
      </c>
      <c r="AA2084" s="6">
        <f>('TE BE'!$AB$50+'TE BF'!$AB$50+'TE CVA'!$AB$50)*1</f>
        <v>126.87508594232092</v>
      </c>
      <c r="AB2084" s="6">
        <f>$K$2084*$V$2084</f>
        <v>0</v>
      </c>
      <c r="AC2084" s="6">
        <f>$M$2084*$W$2084</f>
        <v>265385.47881999996</v>
      </c>
      <c r="AD2084" s="6">
        <f>$O$2084*$X$2084</f>
        <v>101083.37008000001</v>
      </c>
      <c r="AE2084" s="6">
        <f>$K$2084*$Y$2084</f>
        <v>0</v>
      </c>
      <c r="AF2084" s="6">
        <f ca="1">$M$2084*$Z$2084</f>
        <v>287493.17069486674</v>
      </c>
      <c r="AG2084" s="6">
        <f>$O$2084*$AA$2084</f>
        <v>132052.73132454109</v>
      </c>
    </row>
    <row r="2085" spans="1:33" ht="11.25" customHeight="1" x14ac:dyDescent="0.25">
      <c r="A2085" s="4" t="s">
        <v>21</v>
      </c>
      <c r="B2085" s="4" t="s">
        <v>49</v>
      </c>
      <c r="C2085" s="4" t="s">
        <v>23</v>
      </c>
      <c r="D2085" s="4" t="s">
        <v>50</v>
      </c>
      <c r="E2085" s="4" t="s">
        <v>51</v>
      </c>
      <c r="F2085" s="4" t="s">
        <v>25</v>
      </c>
      <c r="G2085" s="4" t="s">
        <v>25</v>
      </c>
      <c r="H2085" s="4" t="s">
        <v>25</v>
      </c>
      <c r="I2085" s="5">
        <v>44682</v>
      </c>
      <c r="J2085" s="6">
        <v>0</v>
      </c>
      <c r="K2085" s="6">
        <v>0</v>
      </c>
      <c r="L2085" s="6">
        <v>2812.8359999999998</v>
      </c>
      <c r="M2085" s="6">
        <v>2812.8359999999998</v>
      </c>
      <c r="N2085" s="6">
        <v>2812.8359999999998</v>
      </c>
      <c r="O2085" s="6">
        <v>2812.8359999999998</v>
      </c>
      <c r="P2085" s="6">
        <v>366</v>
      </c>
      <c r="Q2085" s="4" t="s">
        <v>26</v>
      </c>
      <c r="R2085" s="4">
        <v>0</v>
      </c>
      <c r="S2085" s="6">
        <v>0</v>
      </c>
      <c r="T2085" s="6">
        <v>69</v>
      </c>
      <c r="U2085" s="6">
        <v>113</v>
      </c>
      <c r="V2085" s="6">
        <f>IF(ISERROR(VLOOKUP($S$2085,'TAR FIN'!$A$1:$O$115,15,0)),0,VLOOKUP($S$2085,'TAR FIN'!$A$1:$O$115,15,0))</f>
        <v>0</v>
      </c>
      <c r="W2085" s="6">
        <f>IF(ISERROR(VLOOKUP($T$2085,'TAR FIN'!$A$1:$O$115,15,0)),0,VLOOKUP($T$2085,'TAR FIN'!$A$1:$O$115,15,0))</f>
        <v>254.98</v>
      </c>
      <c r="X2085" s="6">
        <f>IF(ISERROR(VLOOKUP($U$2085,'TAR FIN'!$A$1:$O$115,15,0)),0,VLOOKUP($U$2085,'TAR FIN'!$A$1:$O$115,15,0))</f>
        <v>97.12</v>
      </c>
      <c r="Y2085" s="6"/>
      <c r="Z2085" s="6">
        <f ca="1">('TUSD BE'!$AM$67+'TUSD BF'!$AM$67+'TUSD CVA'!$AM$67)*1</f>
        <v>276.22087308513545</v>
      </c>
      <c r="AA2085" s="6">
        <f>('TE BE'!$AB$50+'TE BF'!$AB$50+'TE CVA'!$AB$50)*1</f>
        <v>126.87508594232092</v>
      </c>
      <c r="AB2085" s="6">
        <f>$K$2085*$V$2085</f>
        <v>0</v>
      </c>
      <c r="AC2085" s="6">
        <f>$M$2085*$W$2085</f>
        <v>717216.92327999987</v>
      </c>
      <c r="AD2085" s="6">
        <f>$O$2085*$X$2085</f>
        <v>273182.63231999998</v>
      </c>
      <c r="AE2085" s="6">
        <f>$K$2085*$Y$2085</f>
        <v>0</v>
      </c>
      <c r="AF2085" s="6">
        <f ca="1">$M$2085*$Z$2085</f>
        <v>776964.01576530002</v>
      </c>
      <c r="AG2085" s="6">
        <f>$O$2085*$AA$2085</f>
        <v>356878.80924165418</v>
      </c>
    </row>
    <row r="2086" spans="1:33" ht="11.25" customHeight="1" x14ac:dyDescent="0.25">
      <c r="A2086" s="4" t="s">
        <v>28</v>
      </c>
      <c r="B2086" s="4" t="s">
        <v>49</v>
      </c>
      <c r="C2086" s="4" t="s">
        <v>23</v>
      </c>
      <c r="D2086" s="4" t="s">
        <v>50</v>
      </c>
      <c r="E2086" s="4" t="s">
        <v>51</v>
      </c>
      <c r="F2086" s="4" t="s">
        <v>25</v>
      </c>
      <c r="G2086" s="4" t="s">
        <v>25</v>
      </c>
      <c r="H2086" s="4" t="s">
        <v>25</v>
      </c>
      <c r="I2086" s="5">
        <v>44682</v>
      </c>
      <c r="J2086" s="6">
        <v>0</v>
      </c>
      <c r="K2086" s="6">
        <v>0</v>
      </c>
      <c r="L2086" s="6">
        <v>1072.2629999999999</v>
      </c>
      <c r="M2086" s="6">
        <v>1072.2629999999999</v>
      </c>
      <c r="N2086" s="6">
        <v>1072.2629999999999</v>
      </c>
      <c r="O2086" s="6">
        <v>1072.2629999999999</v>
      </c>
      <c r="P2086" s="6">
        <v>88</v>
      </c>
      <c r="Q2086" s="4" t="s">
        <v>26</v>
      </c>
      <c r="R2086" s="4">
        <v>0</v>
      </c>
      <c r="S2086" s="6">
        <v>0</v>
      </c>
      <c r="T2086" s="6">
        <v>69</v>
      </c>
      <c r="U2086" s="6">
        <v>113</v>
      </c>
      <c r="V2086" s="6">
        <f>IF(ISERROR(VLOOKUP($S$2086,'TAR FIN'!$A$1:$O$115,15,0)),0,VLOOKUP($S$2086,'TAR FIN'!$A$1:$O$115,15,0))</f>
        <v>0</v>
      </c>
      <c r="W2086" s="6">
        <f>IF(ISERROR(VLOOKUP($T$2086,'TAR FIN'!$A$1:$O$115,15,0)),0,VLOOKUP($T$2086,'TAR FIN'!$A$1:$O$115,15,0))</f>
        <v>254.98</v>
      </c>
      <c r="X2086" s="6">
        <f>IF(ISERROR(VLOOKUP($U$2086,'TAR FIN'!$A$1:$O$115,15,0)),0,VLOOKUP($U$2086,'TAR FIN'!$A$1:$O$115,15,0))</f>
        <v>97.12</v>
      </c>
      <c r="Y2086" s="6"/>
      <c r="Z2086" s="6">
        <f ca="1">('TUSD BE'!$AM$67+'TUSD BF'!$AM$67+'TUSD CVA'!$AM$67)*1</f>
        <v>276.22087308513545</v>
      </c>
      <c r="AA2086" s="6">
        <f>('TE BE'!$AB$50+'TE BF'!$AB$50+'TE CVA'!$AB$50)*1</f>
        <v>126.87508594232092</v>
      </c>
      <c r="AB2086" s="6">
        <f>$K$2086*$V$2086</f>
        <v>0</v>
      </c>
      <c r="AC2086" s="6">
        <f>$M$2086*$W$2086</f>
        <v>273405.61973999999</v>
      </c>
      <c r="AD2086" s="6">
        <f>$O$2086*$X$2086</f>
        <v>104138.18256</v>
      </c>
      <c r="AE2086" s="6">
        <f>$K$2086*$Y$2086</f>
        <v>0</v>
      </c>
      <c r="AF2086" s="6">
        <f ca="1">$M$2086*$Z$2086</f>
        <v>296181.42203688656</v>
      </c>
      <c r="AG2086" s="6">
        <f>$O$2086*$AA$2086</f>
        <v>136043.46027777085</v>
      </c>
    </row>
    <row r="2087" spans="1:33" ht="11.25" customHeight="1" x14ac:dyDescent="0.25">
      <c r="A2087" s="4" t="s">
        <v>21</v>
      </c>
      <c r="B2087" s="4" t="s">
        <v>49</v>
      </c>
      <c r="C2087" s="4" t="s">
        <v>23</v>
      </c>
      <c r="D2087" s="4" t="s">
        <v>50</v>
      </c>
      <c r="E2087" s="4" t="s">
        <v>51</v>
      </c>
      <c r="F2087" s="4" t="s">
        <v>25</v>
      </c>
      <c r="G2087" s="4" t="s">
        <v>25</v>
      </c>
      <c r="H2087" s="4" t="s">
        <v>25</v>
      </c>
      <c r="I2087" s="5">
        <v>44713</v>
      </c>
      <c r="J2087" s="6">
        <v>0</v>
      </c>
      <c r="K2087" s="6">
        <v>0</v>
      </c>
      <c r="L2087" s="6">
        <v>2705.3670000000002</v>
      </c>
      <c r="M2087" s="6">
        <v>2705.3670000000002</v>
      </c>
      <c r="N2087" s="6">
        <v>2705.3670000000002</v>
      </c>
      <c r="O2087" s="6">
        <v>2705.3670000000002</v>
      </c>
      <c r="P2087" s="6">
        <v>364</v>
      </c>
      <c r="Q2087" s="4" t="s">
        <v>26</v>
      </c>
      <c r="R2087" s="4">
        <v>0</v>
      </c>
      <c r="S2087" s="6">
        <v>0</v>
      </c>
      <c r="T2087" s="6">
        <v>69</v>
      </c>
      <c r="U2087" s="6">
        <v>113</v>
      </c>
      <c r="V2087" s="6">
        <f>IF(ISERROR(VLOOKUP($S$2087,'TAR FIN'!$A$1:$O$115,15,0)),0,VLOOKUP($S$2087,'TAR FIN'!$A$1:$O$115,15,0))</f>
        <v>0</v>
      </c>
      <c r="W2087" s="6">
        <f>IF(ISERROR(VLOOKUP($T$2087,'TAR FIN'!$A$1:$O$115,15,0)),0,VLOOKUP($T$2087,'TAR FIN'!$A$1:$O$115,15,0))</f>
        <v>254.98</v>
      </c>
      <c r="X2087" s="6">
        <f>IF(ISERROR(VLOOKUP($U$2087,'TAR FIN'!$A$1:$O$115,15,0)),0,VLOOKUP($U$2087,'TAR FIN'!$A$1:$O$115,15,0))</f>
        <v>97.12</v>
      </c>
      <c r="Y2087" s="6"/>
      <c r="Z2087" s="6">
        <f ca="1">('TUSD BE'!$AM$67+'TUSD BF'!$AM$67+'TUSD CVA'!$AM$67)*1</f>
        <v>276.22087308513545</v>
      </c>
      <c r="AA2087" s="6">
        <f>('TE BE'!$AB$50+'TE BF'!$AB$50+'TE CVA'!$AB$50)*1</f>
        <v>126.87508594232092</v>
      </c>
      <c r="AB2087" s="6">
        <f>$K$2087*$V$2087</f>
        <v>0</v>
      </c>
      <c r="AC2087" s="6">
        <f>$M$2087*$W$2087</f>
        <v>689814.47765999998</v>
      </c>
      <c r="AD2087" s="6">
        <f>$O$2087*$X$2087</f>
        <v>262745.24304000003</v>
      </c>
      <c r="AE2087" s="6">
        <f>$K$2087*$Y$2087</f>
        <v>0</v>
      </c>
      <c r="AF2087" s="6">
        <f ca="1">$M$2087*$Z$2087</f>
        <v>747278.8347557137</v>
      </c>
      <c r="AG2087" s="6">
        <f>$O$2087*$AA$2087</f>
        <v>343243.67063051893</v>
      </c>
    </row>
    <row r="2088" spans="1:33" ht="11.25" customHeight="1" x14ac:dyDescent="0.25">
      <c r="A2088" s="4" t="s">
        <v>27</v>
      </c>
      <c r="B2088" s="4" t="s">
        <v>49</v>
      </c>
      <c r="C2088" s="4" t="s">
        <v>23</v>
      </c>
      <c r="D2088" s="4" t="s">
        <v>50</v>
      </c>
      <c r="E2088" s="4" t="s">
        <v>51</v>
      </c>
      <c r="F2088" s="4" t="s">
        <v>25</v>
      </c>
      <c r="G2088" s="4" t="s">
        <v>25</v>
      </c>
      <c r="H2088" s="4" t="s">
        <v>25</v>
      </c>
      <c r="I2088" s="5">
        <v>44713</v>
      </c>
      <c r="J2088" s="6">
        <v>0</v>
      </c>
      <c r="K2088" s="6">
        <v>0</v>
      </c>
      <c r="L2088" s="6">
        <v>-0.36899999999999999</v>
      </c>
      <c r="M2088" s="6">
        <v>-0.36899999999999999</v>
      </c>
      <c r="N2088" s="6">
        <v>-0.36899999999999999</v>
      </c>
      <c r="O2088" s="6">
        <v>-0.36899999999999999</v>
      </c>
      <c r="P2088" s="6">
        <v>0</v>
      </c>
      <c r="Q2088" s="4" t="s">
        <v>26</v>
      </c>
      <c r="R2088" s="4">
        <v>0</v>
      </c>
      <c r="S2088" s="6">
        <v>0</v>
      </c>
      <c r="T2088" s="6">
        <v>69</v>
      </c>
      <c r="U2088" s="6">
        <v>113</v>
      </c>
      <c r="V2088" s="6">
        <f>IF(ISERROR(VLOOKUP($S$2088,'TAR FIN'!$A$1:$O$115,15,0)),0,VLOOKUP($S$2088,'TAR FIN'!$A$1:$O$115,15,0))</f>
        <v>0</v>
      </c>
      <c r="W2088" s="6">
        <f>IF(ISERROR(VLOOKUP($T$2088,'TAR FIN'!$A$1:$O$115,15,0)),0,VLOOKUP($T$2088,'TAR FIN'!$A$1:$O$115,15,0))</f>
        <v>254.98</v>
      </c>
      <c r="X2088" s="6">
        <f>IF(ISERROR(VLOOKUP($U$2088,'TAR FIN'!$A$1:$O$115,15,0)),0,VLOOKUP($U$2088,'TAR FIN'!$A$1:$O$115,15,0))</f>
        <v>97.12</v>
      </c>
      <c r="Y2088" s="6"/>
      <c r="Z2088" s="6">
        <f ca="1">('TUSD BE'!$AM$67+'TUSD BF'!$AM$67+'TUSD CVA'!$AM$67)*1</f>
        <v>276.22087308513545</v>
      </c>
      <c r="AA2088" s="6">
        <f>('TE BE'!$AB$50+'TE BF'!$AB$50+'TE CVA'!$AB$50)*1</f>
        <v>126.87508594232092</v>
      </c>
      <c r="AB2088" s="6">
        <f>$K$2088*$V$2088</f>
        <v>0</v>
      </c>
      <c r="AC2088" s="6">
        <f>$M$2088*$W$2088</f>
        <v>-94.087620000000001</v>
      </c>
      <c r="AD2088" s="6">
        <f>$O$2088*$X$2088</f>
        <v>-35.83728</v>
      </c>
      <c r="AE2088" s="6">
        <f>$K$2088*$Y$2088</f>
        <v>0</v>
      </c>
      <c r="AF2088" s="6">
        <f ca="1">$M$2088*$Z$2088</f>
        <v>-101.92550216841498</v>
      </c>
      <c r="AG2088" s="6">
        <f>$O$2088*$AA$2088</f>
        <v>-46.816906712716417</v>
      </c>
    </row>
    <row r="2089" spans="1:33" ht="11.25" customHeight="1" x14ac:dyDescent="0.25">
      <c r="A2089" s="4" t="s">
        <v>28</v>
      </c>
      <c r="B2089" s="4" t="s">
        <v>49</v>
      </c>
      <c r="C2089" s="4" t="s">
        <v>23</v>
      </c>
      <c r="D2089" s="4" t="s">
        <v>50</v>
      </c>
      <c r="E2089" s="4" t="s">
        <v>51</v>
      </c>
      <c r="F2089" s="4" t="s">
        <v>25</v>
      </c>
      <c r="G2089" s="4" t="s">
        <v>25</v>
      </c>
      <c r="H2089" s="4" t="s">
        <v>25</v>
      </c>
      <c r="I2089" s="5">
        <v>44713</v>
      </c>
      <c r="J2089" s="6">
        <v>0</v>
      </c>
      <c r="K2089" s="6">
        <v>0</v>
      </c>
      <c r="L2089" s="6">
        <v>1035.412</v>
      </c>
      <c r="M2089" s="6">
        <v>1035.412</v>
      </c>
      <c r="N2089" s="6">
        <v>1035.412</v>
      </c>
      <c r="O2089" s="6">
        <v>1035.412</v>
      </c>
      <c r="P2089" s="6">
        <v>83</v>
      </c>
      <c r="Q2089" s="4" t="s">
        <v>26</v>
      </c>
      <c r="R2089" s="4">
        <v>0</v>
      </c>
      <c r="S2089" s="6">
        <v>0</v>
      </c>
      <c r="T2089" s="6">
        <v>69</v>
      </c>
      <c r="U2089" s="6">
        <v>113</v>
      </c>
      <c r="V2089" s="6">
        <f>IF(ISERROR(VLOOKUP($S$2089,'TAR FIN'!$A$1:$O$115,15,0)),0,VLOOKUP($S$2089,'TAR FIN'!$A$1:$O$115,15,0))</f>
        <v>0</v>
      </c>
      <c r="W2089" s="6">
        <f>IF(ISERROR(VLOOKUP($T$2089,'TAR FIN'!$A$1:$O$115,15,0)),0,VLOOKUP($T$2089,'TAR FIN'!$A$1:$O$115,15,0))</f>
        <v>254.98</v>
      </c>
      <c r="X2089" s="6">
        <f>IF(ISERROR(VLOOKUP($U$2089,'TAR FIN'!$A$1:$O$115,15,0)),0,VLOOKUP($U$2089,'TAR FIN'!$A$1:$O$115,15,0))</f>
        <v>97.12</v>
      </c>
      <c r="Y2089" s="6"/>
      <c r="Z2089" s="6">
        <f ca="1">('TUSD BE'!$AM$67+'TUSD BF'!$AM$67+'TUSD CVA'!$AM$67)*1</f>
        <v>276.22087308513545</v>
      </c>
      <c r="AA2089" s="6">
        <f>('TE BE'!$AB$50+'TE BF'!$AB$50+'TE CVA'!$AB$50)*1</f>
        <v>126.87508594232092</v>
      </c>
      <c r="AB2089" s="6">
        <f>$K$2089*$V$2089</f>
        <v>0</v>
      </c>
      <c r="AC2089" s="6">
        <f>$M$2089*$W$2089</f>
        <v>264009.35175999999</v>
      </c>
      <c r="AD2089" s="6">
        <f>$O$2089*$X$2089</f>
        <v>100559.21344000001</v>
      </c>
      <c r="AE2089" s="6">
        <f>$K$2089*$Y$2089</f>
        <v>0</v>
      </c>
      <c r="AF2089" s="6">
        <f ca="1">$M$2089*$Z$2089</f>
        <v>286002.40664282627</v>
      </c>
      <c r="AG2089" s="6">
        <f>$O$2089*$AA$2089</f>
        <v>131367.9864857104</v>
      </c>
    </row>
    <row r="2090" spans="1:33" ht="11.25" customHeight="1" x14ac:dyDescent="0.25">
      <c r="A2090" s="4" t="s">
        <v>21</v>
      </c>
      <c r="B2090" s="4" t="s">
        <v>49</v>
      </c>
      <c r="C2090" s="4" t="s">
        <v>23</v>
      </c>
      <c r="D2090" s="4" t="s">
        <v>50</v>
      </c>
      <c r="E2090" s="4" t="s">
        <v>51</v>
      </c>
      <c r="F2090" s="4" t="s">
        <v>25</v>
      </c>
      <c r="G2090" s="4" t="s">
        <v>25</v>
      </c>
      <c r="H2090" s="4" t="s">
        <v>25</v>
      </c>
      <c r="I2090" s="5">
        <v>44743</v>
      </c>
      <c r="J2090" s="6">
        <v>0</v>
      </c>
      <c r="K2090" s="6">
        <v>0</v>
      </c>
      <c r="L2090" s="6">
        <v>2837.2240000000002</v>
      </c>
      <c r="M2090" s="6">
        <v>2837.2240000000002</v>
      </c>
      <c r="N2090" s="6">
        <v>2837.2240000000002</v>
      </c>
      <c r="O2090" s="6">
        <v>2837.2240000000002</v>
      </c>
      <c r="P2090" s="6">
        <v>363</v>
      </c>
      <c r="Q2090" s="4" t="s">
        <v>26</v>
      </c>
      <c r="R2090" s="4">
        <v>0</v>
      </c>
      <c r="S2090" s="6">
        <v>0</v>
      </c>
      <c r="T2090" s="6">
        <v>69</v>
      </c>
      <c r="U2090" s="6">
        <v>113</v>
      </c>
      <c r="V2090" s="6">
        <f>IF(ISERROR(VLOOKUP($S$2090,'TAR FIN'!$A$1:$O$115,15,0)),0,VLOOKUP($S$2090,'TAR FIN'!$A$1:$O$115,15,0))</f>
        <v>0</v>
      </c>
      <c r="W2090" s="6">
        <f>IF(ISERROR(VLOOKUP($T$2090,'TAR FIN'!$A$1:$O$115,15,0)),0,VLOOKUP($T$2090,'TAR FIN'!$A$1:$O$115,15,0))</f>
        <v>254.98</v>
      </c>
      <c r="X2090" s="6">
        <f>IF(ISERROR(VLOOKUP($U$2090,'TAR FIN'!$A$1:$O$115,15,0)),0,VLOOKUP($U$2090,'TAR FIN'!$A$1:$O$115,15,0))</f>
        <v>97.12</v>
      </c>
      <c r="Y2090" s="6"/>
      <c r="Z2090" s="6">
        <f ca="1">('TUSD BE'!$AM$67+'TUSD BF'!$AM$67+'TUSD CVA'!$AM$67)*1</f>
        <v>276.22087308513545</v>
      </c>
      <c r="AA2090" s="6">
        <f>('TE BE'!$AB$50+'TE BF'!$AB$50+'TE CVA'!$AB$50)*1</f>
        <v>126.87508594232092</v>
      </c>
      <c r="AB2090" s="6">
        <f>$K$2090*$V$2090</f>
        <v>0</v>
      </c>
      <c r="AC2090" s="6">
        <f>$M$2090*$W$2090</f>
        <v>723435.37552</v>
      </c>
      <c r="AD2090" s="6">
        <f>$O$2090*$X$2090</f>
        <v>275551.19488000002</v>
      </c>
      <c r="AE2090" s="6">
        <f>$K$2090*$Y$2090</f>
        <v>0</v>
      </c>
      <c r="AF2090" s="6">
        <f ca="1">$M$2090*$Z$2090</f>
        <v>783700.49041810038</v>
      </c>
      <c r="AG2090" s="6">
        <f>$O$2090*$AA$2090</f>
        <v>359973.03883761558</v>
      </c>
    </row>
    <row r="2091" spans="1:33" ht="11.25" customHeight="1" x14ac:dyDescent="0.25">
      <c r="A2091" s="4" t="s">
        <v>28</v>
      </c>
      <c r="B2091" s="4" t="s">
        <v>49</v>
      </c>
      <c r="C2091" s="4" t="s">
        <v>23</v>
      </c>
      <c r="D2091" s="4" t="s">
        <v>50</v>
      </c>
      <c r="E2091" s="4" t="s">
        <v>51</v>
      </c>
      <c r="F2091" s="4" t="s">
        <v>25</v>
      </c>
      <c r="G2091" s="4" t="s">
        <v>25</v>
      </c>
      <c r="H2091" s="4" t="s">
        <v>25</v>
      </c>
      <c r="I2091" s="5">
        <v>44743</v>
      </c>
      <c r="J2091" s="6">
        <v>0</v>
      </c>
      <c r="K2091" s="6">
        <v>0</v>
      </c>
      <c r="L2091" s="6">
        <v>1081.5360000000001</v>
      </c>
      <c r="M2091" s="6">
        <v>1081.5360000000001</v>
      </c>
      <c r="N2091" s="6">
        <v>1081.5360000000001</v>
      </c>
      <c r="O2091" s="6">
        <v>1081.5360000000001</v>
      </c>
      <c r="P2091" s="6">
        <v>89</v>
      </c>
      <c r="Q2091" s="4" t="s">
        <v>26</v>
      </c>
      <c r="R2091" s="4">
        <v>0</v>
      </c>
      <c r="S2091" s="6">
        <v>0</v>
      </c>
      <c r="T2091" s="6">
        <v>69</v>
      </c>
      <c r="U2091" s="6">
        <v>113</v>
      </c>
      <c r="V2091" s="6">
        <f>IF(ISERROR(VLOOKUP($S$2091,'TAR FIN'!$A$1:$O$115,15,0)),0,VLOOKUP($S$2091,'TAR FIN'!$A$1:$O$115,15,0))</f>
        <v>0</v>
      </c>
      <c r="W2091" s="6">
        <f>IF(ISERROR(VLOOKUP($T$2091,'TAR FIN'!$A$1:$O$115,15,0)),0,VLOOKUP($T$2091,'TAR FIN'!$A$1:$O$115,15,0))</f>
        <v>254.98</v>
      </c>
      <c r="X2091" s="6">
        <f>IF(ISERROR(VLOOKUP($U$2091,'TAR FIN'!$A$1:$O$115,15,0)),0,VLOOKUP($U$2091,'TAR FIN'!$A$1:$O$115,15,0))</f>
        <v>97.12</v>
      </c>
      <c r="Y2091" s="6"/>
      <c r="Z2091" s="6">
        <f ca="1">('TUSD BE'!$AM$67+'TUSD BF'!$AM$67+'TUSD CVA'!$AM$67)*1</f>
        <v>276.22087308513545</v>
      </c>
      <c r="AA2091" s="6">
        <f>('TE BE'!$AB$50+'TE BF'!$AB$50+'TE CVA'!$AB$50)*1</f>
        <v>126.87508594232092</v>
      </c>
      <c r="AB2091" s="6">
        <f>$K$2091*$V$2091</f>
        <v>0</v>
      </c>
      <c r="AC2091" s="6">
        <f>$M$2091*$W$2091</f>
        <v>275770.04927999998</v>
      </c>
      <c r="AD2091" s="6">
        <f>$O$2091*$X$2091</f>
        <v>105038.77632</v>
      </c>
      <c r="AE2091" s="6">
        <f>$K$2091*$Y$2091</f>
        <v>0</v>
      </c>
      <c r="AF2091" s="6">
        <f ca="1">$M$2091*$Z$2091</f>
        <v>298742.81819300505</v>
      </c>
      <c r="AG2091" s="6">
        <f>$O$2091*$AA$2091</f>
        <v>137219.97294971402</v>
      </c>
    </row>
    <row r="2092" spans="1:33" ht="11.25" customHeight="1" x14ac:dyDescent="0.25">
      <c r="A2092" s="4" t="s">
        <v>21</v>
      </c>
      <c r="B2092" s="4" t="s">
        <v>49</v>
      </c>
      <c r="C2092" s="4" t="s">
        <v>23</v>
      </c>
      <c r="D2092" s="4" t="s">
        <v>50</v>
      </c>
      <c r="E2092" s="4" t="s">
        <v>51</v>
      </c>
      <c r="F2092" s="4" t="s">
        <v>25</v>
      </c>
      <c r="G2092" s="4" t="s">
        <v>25</v>
      </c>
      <c r="H2092" s="4" t="s">
        <v>25</v>
      </c>
      <c r="I2092" s="5">
        <v>44774</v>
      </c>
      <c r="J2092" s="6">
        <v>0</v>
      </c>
      <c r="K2092" s="6">
        <v>0</v>
      </c>
      <c r="L2092" s="6">
        <v>2991.7440000000001</v>
      </c>
      <c r="M2092" s="6">
        <v>2991.7440000000001</v>
      </c>
      <c r="N2092" s="6">
        <v>2991.7440000000001</v>
      </c>
      <c r="O2092" s="6">
        <v>2991.7440000000001</v>
      </c>
      <c r="P2092" s="6">
        <v>362</v>
      </c>
      <c r="Q2092" s="4" t="s">
        <v>26</v>
      </c>
      <c r="R2092" s="4">
        <v>0</v>
      </c>
      <c r="S2092" s="6">
        <v>0</v>
      </c>
      <c r="T2092" s="6">
        <v>69</v>
      </c>
      <c r="U2092" s="6">
        <v>113</v>
      </c>
      <c r="V2092" s="6">
        <f>IF(ISERROR(VLOOKUP($S$2092,'TAR FIN'!$A$1:$O$115,15,0)),0,VLOOKUP($S$2092,'TAR FIN'!$A$1:$O$115,15,0))</f>
        <v>0</v>
      </c>
      <c r="W2092" s="6">
        <f>IF(ISERROR(VLOOKUP($T$2092,'TAR FIN'!$A$1:$O$115,15,0)),0,VLOOKUP($T$2092,'TAR FIN'!$A$1:$O$115,15,0))</f>
        <v>254.98</v>
      </c>
      <c r="X2092" s="6">
        <f>IF(ISERROR(VLOOKUP($U$2092,'TAR FIN'!$A$1:$O$115,15,0)),0,VLOOKUP($U$2092,'TAR FIN'!$A$1:$O$115,15,0))</f>
        <v>97.12</v>
      </c>
      <c r="Y2092" s="6"/>
      <c r="Z2092" s="6">
        <f ca="1">('TUSD BE'!$AM$67+'TUSD BF'!$AM$67+'TUSD CVA'!$AM$67)*1</f>
        <v>276.22087308513545</v>
      </c>
      <c r="AA2092" s="6">
        <f>('TE BE'!$AB$50+'TE BF'!$AB$50+'TE CVA'!$AB$50)*1</f>
        <v>126.87508594232092</v>
      </c>
      <c r="AB2092" s="6">
        <f>$K$2092*$V$2092</f>
        <v>0</v>
      </c>
      <c r="AC2092" s="6">
        <f>$M$2092*$W$2092</f>
        <v>762834.88511999999</v>
      </c>
      <c r="AD2092" s="6">
        <f>$O$2092*$X$2092</f>
        <v>290558.17728</v>
      </c>
      <c r="AE2092" s="6">
        <f>$K$2092*$Y$2092</f>
        <v>0</v>
      </c>
      <c r="AF2092" s="6">
        <f ca="1">$M$2092*$Z$2092</f>
        <v>826382.13972721552</v>
      </c>
      <c r="AG2092" s="6">
        <f>$O$2092*$AA$2092</f>
        <v>379577.77711742296</v>
      </c>
    </row>
    <row r="2093" spans="1:33" ht="11.25" customHeight="1" x14ac:dyDescent="0.25">
      <c r="A2093" s="4" t="s">
        <v>28</v>
      </c>
      <c r="B2093" s="4" t="s">
        <v>49</v>
      </c>
      <c r="C2093" s="4" t="s">
        <v>23</v>
      </c>
      <c r="D2093" s="4" t="s">
        <v>50</v>
      </c>
      <c r="E2093" s="4" t="s">
        <v>51</v>
      </c>
      <c r="F2093" s="4" t="s">
        <v>25</v>
      </c>
      <c r="G2093" s="4" t="s">
        <v>25</v>
      </c>
      <c r="H2093" s="4" t="s">
        <v>25</v>
      </c>
      <c r="I2093" s="5">
        <v>44774</v>
      </c>
      <c r="J2093" s="6">
        <v>0</v>
      </c>
      <c r="K2093" s="6">
        <v>0</v>
      </c>
      <c r="L2093" s="6">
        <v>1078.5619999999999</v>
      </c>
      <c r="M2093" s="6">
        <v>1078.5619999999999</v>
      </c>
      <c r="N2093" s="6">
        <v>1078.5619999999999</v>
      </c>
      <c r="O2093" s="6">
        <v>1078.5619999999999</v>
      </c>
      <c r="P2093" s="6">
        <v>88</v>
      </c>
      <c r="Q2093" s="4" t="s">
        <v>26</v>
      </c>
      <c r="R2093" s="4">
        <v>0</v>
      </c>
      <c r="S2093" s="6">
        <v>0</v>
      </c>
      <c r="T2093" s="6">
        <v>69</v>
      </c>
      <c r="U2093" s="6">
        <v>113</v>
      </c>
      <c r="V2093" s="6">
        <f>IF(ISERROR(VLOOKUP($S$2093,'TAR FIN'!$A$1:$O$115,15,0)),0,VLOOKUP($S$2093,'TAR FIN'!$A$1:$O$115,15,0))</f>
        <v>0</v>
      </c>
      <c r="W2093" s="6">
        <f>IF(ISERROR(VLOOKUP($T$2093,'TAR FIN'!$A$1:$O$115,15,0)),0,VLOOKUP($T$2093,'TAR FIN'!$A$1:$O$115,15,0))</f>
        <v>254.98</v>
      </c>
      <c r="X2093" s="6">
        <f>IF(ISERROR(VLOOKUP($U$2093,'TAR FIN'!$A$1:$O$115,15,0)),0,VLOOKUP($U$2093,'TAR FIN'!$A$1:$O$115,15,0))</f>
        <v>97.12</v>
      </c>
      <c r="Y2093" s="6"/>
      <c r="Z2093" s="6">
        <f ca="1">('TUSD BE'!$AM$67+'TUSD BF'!$AM$67+'TUSD CVA'!$AM$67)*1</f>
        <v>276.22087308513545</v>
      </c>
      <c r="AA2093" s="6">
        <f>('TE BE'!$AB$50+'TE BF'!$AB$50+'TE CVA'!$AB$50)*1</f>
        <v>126.87508594232092</v>
      </c>
      <c r="AB2093" s="6">
        <f>$K$2093*$V$2093</f>
        <v>0</v>
      </c>
      <c r="AC2093" s="6">
        <f>$M$2093*$W$2093</f>
        <v>275011.73875999998</v>
      </c>
      <c r="AD2093" s="6">
        <f>$O$2093*$X$2093</f>
        <v>104749.94144</v>
      </c>
      <c r="AE2093" s="6">
        <f>$K$2093*$Y$2093</f>
        <v>0</v>
      </c>
      <c r="AF2093" s="6">
        <f ca="1">$M$2093*$Z$2093</f>
        <v>297921.33731644985</v>
      </c>
      <c r="AG2093" s="6">
        <f>$O$2093*$AA$2093</f>
        <v>136842.64644412152</v>
      </c>
    </row>
    <row r="2094" spans="1:33" ht="11.25" customHeight="1" x14ac:dyDescent="0.25">
      <c r="A2094" s="4" t="s">
        <v>21</v>
      </c>
      <c r="B2094" s="4" t="s">
        <v>49</v>
      </c>
      <c r="C2094" s="4" t="s">
        <v>23</v>
      </c>
      <c r="D2094" s="4" t="s">
        <v>50</v>
      </c>
      <c r="E2094" s="4" t="s">
        <v>51</v>
      </c>
      <c r="F2094" s="4" t="s">
        <v>25</v>
      </c>
      <c r="G2094" s="4" t="s">
        <v>25</v>
      </c>
      <c r="H2094" s="4" t="s">
        <v>25</v>
      </c>
      <c r="I2094" s="5">
        <v>44805</v>
      </c>
      <c r="J2094" s="6">
        <v>0</v>
      </c>
      <c r="K2094" s="6">
        <v>0</v>
      </c>
      <c r="L2094" s="6">
        <v>2756.1149999999998</v>
      </c>
      <c r="M2094" s="6">
        <v>2756.1149999999998</v>
      </c>
      <c r="N2094" s="6">
        <v>2756.1149999999998</v>
      </c>
      <c r="O2094" s="6">
        <v>2756.1149999999998</v>
      </c>
      <c r="P2094" s="6">
        <v>365</v>
      </c>
      <c r="Q2094" s="4" t="s">
        <v>26</v>
      </c>
      <c r="R2094" s="4">
        <v>0</v>
      </c>
      <c r="S2094" s="6">
        <v>0</v>
      </c>
      <c r="T2094" s="6">
        <v>69</v>
      </c>
      <c r="U2094" s="6">
        <v>113</v>
      </c>
      <c r="V2094" s="6">
        <f>IF(ISERROR(VLOOKUP($S$2094,'TAR FIN'!$A$1:$O$115,15,0)),0,VLOOKUP($S$2094,'TAR FIN'!$A$1:$O$115,15,0))</f>
        <v>0</v>
      </c>
      <c r="W2094" s="6">
        <f>IF(ISERROR(VLOOKUP($T$2094,'TAR FIN'!$A$1:$O$115,15,0)),0,VLOOKUP($T$2094,'TAR FIN'!$A$1:$O$115,15,0))</f>
        <v>254.98</v>
      </c>
      <c r="X2094" s="6">
        <f>IF(ISERROR(VLOOKUP($U$2094,'TAR FIN'!$A$1:$O$115,15,0)),0,VLOOKUP($U$2094,'TAR FIN'!$A$1:$O$115,15,0))</f>
        <v>97.12</v>
      </c>
      <c r="Y2094" s="6"/>
      <c r="Z2094" s="6">
        <f ca="1">('TUSD BE'!$AM$67+'TUSD BF'!$AM$67+'TUSD CVA'!$AM$67)*1</f>
        <v>276.22087308513545</v>
      </c>
      <c r="AA2094" s="6">
        <f>('TE BE'!$AB$50+'TE BF'!$AB$50+'TE CVA'!$AB$50)*1</f>
        <v>126.87508594232092</v>
      </c>
      <c r="AB2094" s="6">
        <f>$K$2094*$V$2094</f>
        <v>0</v>
      </c>
      <c r="AC2094" s="6">
        <f>$M$2094*$W$2094</f>
        <v>702754.20269999991</v>
      </c>
      <c r="AD2094" s="6">
        <f>$O$2094*$X$2094</f>
        <v>267673.88880000002</v>
      </c>
      <c r="AE2094" s="6">
        <f>$K$2094*$Y$2094</f>
        <v>0</v>
      </c>
      <c r="AF2094" s="6">
        <f ca="1">$M$2094*$Z$2094</f>
        <v>761296.49162303808</v>
      </c>
      <c r="AG2094" s="6">
        <f>$O$2094*$AA$2094</f>
        <v>349682.3274919198</v>
      </c>
    </row>
    <row r="2095" spans="1:33" ht="11.25" customHeight="1" x14ac:dyDescent="0.25">
      <c r="A2095" s="4" t="s">
        <v>28</v>
      </c>
      <c r="B2095" s="4" t="s">
        <v>49</v>
      </c>
      <c r="C2095" s="4" t="s">
        <v>23</v>
      </c>
      <c r="D2095" s="4" t="s">
        <v>50</v>
      </c>
      <c r="E2095" s="4" t="s">
        <v>51</v>
      </c>
      <c r="F2095" s="4" t="s">
        <v>25</v>
      </c>
      <c r="G2095" s="4" t="s">
        <v>25</v>
      </c>
      <c r="H2095" s="4" t="s">
        <v>25</v>
      </c>
      <c r="I2095" s="5">
        <v>44805</v>
      </c>
      <c r="J2095" s="6">
        <v>0</v>
      </c>
      <c r="K2095" s="6">
        <v>0</v>
      </c>
      <c r="L2095" s="6">
        <v>1398.29</v>
      </c>
      <c r="M2095" s="6">
        <v>1398.29</v>
      </c>
      <c r="N2095" s="6">
        <v>1398.29</v>
      </c>
      <c r="O2095" s="6">
        <v>1398.29</v>
      </c>
      <c r="P2095" s="6">
        <v>92</v>
      </c>
      <c r="Q2095" s="4" t="s">
        <v>26</v>
      </c>
      <c r="R2095" s="4">
        <v>0</v>
      </c>
      <c r="S2095" s="6">
        <v>0</v>
      </c>
      <c r="T2095" s="6">
        <v>69</v>
      </c>
      <c r="U2095" s="6">
        <v>113</v>
      </c>
      <c r="V2095" s="6">
        <f>IF(ISERROR(VLOOKUP($S$2095,'TAR FIN'!$A$1:$O$115,15,0)),0,VLOOKUP($S$2095,'TAR FIN'!$A$1:$O$115,15,0))</f>
        <v>0</v>
      </c>
      <c r="W2095" s="6">
        <f>IF(ISERROR(VLOOKUP($T$2095,'TAR FIN'!$A$1:$O$115,15,0)),0,VLOOKUP($T$2095,'TAR FIN'!$A$1:$O$115,15,0))</f>
        <v>254.98</v>
      </c>
      <c r="X2095" s="6">
        <f>IF(ISERROR(VLOOKUP($U$2095,'TAR FIN'!$A$1:$O$115,15,0)),0,VLOOKUP($U$2095,'TAR FIN'!$A$1:$O$115,15,0))</f>
        <v>97.12</v>
      </c>
      <c r="Y2095" s="6"/>
      <c r="Z2095" s="6">
        <f ca="1">('TUSD BE'!$AM$67+'TUSD BF'!$AM$67+'TUSD CVA'!$AM$67)*1</f>
        <v>276.22087308513545</v>
      </c>
      <c r="AA2095" s="6">
        <f>('TE BE'!$AB$50+'TE BF'!$AB$50+'TE CVA'!$AB$50)*1</f>
        <v>126.87508594232092</v>
      </c>
      <c r="AB2095" s="6">
        <f>$K$2095*$V$2095</f>
        <v>0</v>
      </c>
      <c r="AC2095" s="6">
        <f>$M$2095*$W$2095</f>
        <v>356535.98419999995</v>
      </c>
      <c r="AD2095" s="6">
        <f>$O$2095*$X$2095</f>
        <v>135801.92480000001</v>
      </c>
      <c r="AE2095" s="6">
        <f>$K$2095*$Y$2095</f>
        <v>0</v>
      </c>
      <c r="AF2095" s="6">
        <f ca="1">$M$2095*$Z$2095</f>
        <v>386236.88462621404</v>
      </c>
      <c r="AG2095" s="6">
        <f>$O$2095*$AA$2095</f>
        <v>177408.16392228793</v>
      </c>
    </row>
    <row r="2096" spans="1:33" ht="11.25" customHeight="1" x14ac:dyDescent="0.25">
      <c r="A2096" s="4" t="s">
        <v>29</v>
      </c>
      <c r="B2096" s="4" t="s">
        <v>49</v>
      </c>
      <c r="C2096" s="4" t="s">
        <v>23</v>
      </c>
      <c r="D2096" s="4" t="s">
        <v>50</v>
      </c>
      <c r="E2096" s="4" t="s">
        <v>51</v>
      </c>
      <c r="F2096" s="4" t="s">
        <v>25</v>
      </c>
      <c r="G2096" s="4" t="s">
        <v>25</v>
      </c>
      <c r="H2096" s="4" t="s">
        <v>25</v>
      </c>
      <c r="I2096" s="5">
        <v>44805</v>
      </c>
      <c r="J2096" s="6">
        <v>0</v>
      </c>
      <c r="K2096" s="6">
        <v>0</v>
      </c>
      <c r="L2096" s="6">
        <v>-4.3999999999999997E-2</v>
      </c>
      <c r="M2096" s="6">
        <v>-4.3999999999999997E-2</v>
      </c>
      <c r="N2096" s="6">
        <v>-4.3999999999999997E-2</v>
      </c>
      <c r="O2096" s="6">
        <v>-4.3999999999999997E-2</v>
      </c>
      <c r="P2096" s="6">
        <v>0</v>
      </c>
      <c r="Q2096" s="4" t="s">
        <v>26</v>
      </c>
      <c r="R2096" s="4">
        <v>0</v>
      </c>
      <c r="S2096" s="6">
        <v>0</v>
      </c>
      <c r="T2096" s="6">
        <v>69</v>
      </c>
      <c r="U2096" s="6">
        <v>113</v>
      </c>
      <c r="V2096" s="6">
        <f>IF(ISERROR(VLOOKUP($S$2096,'TAR FIN'!$A$1:$O$115,15,0)),0,VLOOKUP($S$2096,'TAR FIN'!$A$1:$O$115,15,0))</f>
        <v>0</v>
      </c>
      <c r="W2096" s="6">
        <f>IF(ISERROR(VLOOKUP($T$2096,'TAR FIN'!$A$1:$O$115,15,0)),0,VLOOKUP($T$2096,'TAR FIN'!$A$1:$O$115,15,0))</f>
        <v>254.98</v>
      </c>
      <c r="X2096" s="6">
        <f>IF(ISERROR(VLOOKUP($U$2096,'TAR FIN'!$A$1:$O$115,15,0)),0,VLOOKUP($U$2096,'TAR FIN'!$A$1:$O$115,15,0))</f>
        <v>97.12</v>
      </c>
      <c r="Y2096" s="6"/>
      <c r="Z2096" s="6">
        <f ca="1">('TUSD BE'!$AM$67+'TUSD BF'!$AM$67+'TUSD CVA'!$AM$67)*1</f>
        <v>276.22087308513545</v>
      </c>
      <c r="AA2096" s="6">
        <f>('TE BE'!$AB$50+'TE BF'!$AB$50+'TE CVA'!$AB$50)*1</f>
        <v>126.87508594232092</v>
      </c>
      <c r="AB2096" s="6">
        <f>$K$2096*$V$2096</f>
        <v>0</v>
      </c>
      <c r="AC2096" s="6">
        <f>$M$2096*$W$2096</f>
        <v>-11.219119999999998</v>
      </c>
      <c r="AD2096" s="6">
        <f>$O$2096*$X$2096</f>
        <v>-4.2732799999999997</v>
      </c>
      <c r="AE2096" s="6">
        <f>$K$2096*$Y$2096</f>
        <v>0</v>
      </c>
      <c r="AF2096" s="6">
        <f ca="1">$M$2096*$Z$2096</f>
        <v>-12.15371841574596</v>
      </c>
      <c r="AG2096" s="6">
        <f>$O$2096*$AA$2096</f>
        <v>-5.5825037814621199</v>
      </c>
    </row>
    <row r="2097" spans="1:33" ht="11.25" customHeight="1" x14ac:dyDescent="0.25">
      <c r="A2097" s="4" t="s">
        <v>21</v>
      </c>
      <c r="B2097" s="4" t="s">
        <v>49</v>
      </c>
      <c r="C2097" s="4" t="s">
        <v>23</v>
      </c>
      <c r="D2097" s="4" t="s">
        <v>50</v>
      </c>
      <c r="E2097" s="4" t="s">
        <v>51</v>
      </c>
      <c r="F2097" s="4" t="s">
        <v>25</v>
      </c>
      <c r="G2097" s="4" t="s">
        <v>25</v>
      </c>
      <c r="H2097" s="4" t="s">
        <v>25</v>
      </c>
      <c r="I2097" s="5">
        <v>44835</v>
      </c>
      <c r="J2097" s="6">
        <v>0</v>
      </c>
      <c r="K2097" s="6">
        <v>0</v>
      </c>
      <c r="L2097" s="6">
        <v>3114.703</v>
      </c>
      <c r="M2097" s="6">
        <v>3114.703</v>
      </c>
      <c r="N2097" s="6">
        <v>3114.703</v>
      </c>
      <c r="O2097" s="6">
        <v>3114.703</v>
      </c>
      <c r="P2097" s="6">
        <v>365</v>
      </c>
      <c r="Q2097" s="4" t="s">
        <v>26</v>
      </c>
      <c r="R2097" s="4">
        <v>0</v>
      </c>
      <c r="S2097" s="6">
        <v>0</v>
      </c>
      <c r="T2097" s="6">
        <v>69</v>
      </c>
      <c r="U2097" s="6">
        <v>113</v>
      </c>
      <c r="V2097" s="6">
        <f>IF(ISERROR(VLOOKUP($S$2097,'TAR FIN'!$A$1:$O$115,15,0)),0,VLOOKUP($S$2097,'TAR FIN'!$A$1:$O$115,15,0))</f>
        <v>0</v>
      </c>
      <c r="W2097" s="6">
        <f>IF(ISERROR(VLOOKUP($T$2097,'TAR FIN'!$A$1:$O$115,15,0)),0,VLOOKUP($T$2097,'TAR FIN'!$A$1:$O$115,15,0))</f>
        <v>254.98</v>
      </c>
      <c r="X2097" s="6">
        <f>IF(ISERROR(VLOOKUP($U$2097,'TAR FIN'!$A$1:$O$115,15,0)),0,VLOOKUP($U$2097,'TAR FIN'!$A$1:$O$115,15,0))</f>
        <v>97.12</v>
      </c>
      <c r="Y2097" s="6"/>
      <c r="Z2097" s="6">
        <f ca="1">('TUSD BE'!$AM$67+'TUSD BF'!$AM$67+'TUSD CVA'!$AM$67)*1</f>
        <v>276.22087308513545</v>
      </c>
      <c r="AA2097" s="6">
        <f>('TE BE'!$AB$50+'TE BF'!$AB$50+'TE CVA'!$AB$50)*1</f>
        <v>126.87508594232092</v>
      </c>
      <c r="AB2097" s="6">
        <f>$K$2097*$V$2097</f>
        <v>0</v>
      </c>
      <c r="AC2097" s="6">
        <f>$M$2097*$W$2097</f>
        <v>794186.97093999991</v>
      </c>
      <c r="AD2097" s="6">
        <f>$O$2097*$X$2097</f>
        <v>302499.95536000002</v>
      </c>
      <c r="AE2097" s="6">
        <f>$K$2097*$Y$2097</f>
        <v>0</v>
      </c>
      <c r="AF2097" s="6">
        <f ca="1">$M$2097*$Z$2097</f>
        <v>860345.98206089064</v>
      </c>
      <c r="AG2097" s="6">
        <f>$O$2097*$AA$2097</f>
        <v>395178.21080980479</v>
      </c>
    </row>
    <row r="2098" spans="1:33" ht="11.25" customHeight="1" x14ac:dyDescent="0.25">
      <c r="A2098" s="4" t="s">
        <v>27</v>
      </c>
      <c r="B2098" s="4" t="s">
        <v>49</v>
      </c>
      <c r="C2098" s="4" t="s">
        <v>23</v>
      </c>
      <c r="D2098" s="4" t="s">
        <v>50</v>
      </c>
      <c r="E2098" s="4" t="s">
        <v>51</v>
      </c>
      <c r="F2098" s="4" t="s">
        <v>25</v>
      </c>
      <c r="G2098" s="4" t="s">
        <v>25</v>
      </c>
      <c r="H2098" s="4" t="s">
        <v>25</v>
      </c>
      <c r="I2098" s="5">
        <v>44835</v>
      </c>
      <c r="J2098" s="6">
        <v>0</v>
      </c>
      <c r="K2098" s="6">
        <v>0</v>
      </c>
      <c r="L2098" s="6">
        <v>-18.777000000000001</v>
      </c>
      <c r="M2098" s="6">
        <v>-18.777000000000001</v>
      </c>
      <c r="N2098" s="6">
        <v>-18.777000000000001</v>
      </c>
      <c r="O2098" s="6">
        <v>-18.777000000000001</v>
      </c>
      <c r="P2098" s="6">
        <v>-3</v>
      </c>
      <c r="Q2098" s="4" t="s">
        <v>26</v>
      </c>
      <c r="R2098" s="4">
        <v>0</v>
      </c>
      <c r="S2098" s="6">
        <v>0</v>
      </c>
      <c r="T2098" s="6">
        <v>69</v>
      </c>
      <c r="U2098" s="6">
        <v>113</v>
      </c>
      <c r="V2098" s="6">
        <f>IF(ISERROR(VLOOKUP($S$2098,'TAR FIN'!$A$1:$O$115,15,0)),0,VLOOKUP($S$2098,'TAR FIN'!$A$1:$O$115,15,0))</f>
        <v>0</v>
      </c>
      <c r="W2098" s="6">
        <f>IF(ISERROR(VLOOKUP($T$2098,'TAR FIN'!$A$1:$O$115,15,0)),0,VLOOKUP($T$2098,'TAR FIN'!$A$1:$O$115,15,0))</f>
        <v>254.98</v>
      </c>
      <c r="X2098" s="6">
        <f>IF(ISERROR(VLOOKUP($U$2098,'TAR FIN'!$A$1:$O$115,15,0)),0,VLOOKUP($U$2098,'TAR FIN'!$A$1:$O$115,15,0))</f>
        <v>97.12</v>
      </c>
      <c r="Y2098" s="6"/>
      <c r="Z2098" s="6">
        <f ca="1">('TUSD BE'!$AM$67+'TUSD BF'!$AM$67+'TUSD CVA'!$AM$67)*1</f>
        <v>276.22087308513545</v>
      </c>
      <c r="AA2098" s="6">
        <f>('TE BE'!$AB$50+'TE BF'!$AB$50+'TE CVA'!$AB$50)*1</f>
        <v>126.87508594232092</v>
      </c>
      <c r="AB2098" s="6">
        <f>$K$2098*$V$2098</f>
        <v>0</v>
      </c>
      <c r="AC2098" s="6">
        <f>$M$2098*$W$2098</f>
        <v>-4787.7594600000002</v>
      </c>
      <c r="AD2098" s="6">
        <f>$O$2098*$X$2098</f>
        <v>-1823.6222400000001</v>
      </c>
      <c r="AE2098" s="6">
        <f>$K$2098*$Y$2098</f>
        <v>0</v>
      </c>
      <c r="AF2098" s="6">
        <f ca="1">$M$2098*$Z$2098</f>
        <v>-5186.5993339195884</v>
      </c>
      <c r="AG2098" s="6">
        <f>$O$2098*$AA$2098</f>
        <v>-2382.3334887389601</v>
      </c>
    </row>
    <row r="2099" spans="1:33" ht="11.25" customHeight="1" x14ac:dyDescent="0.25">
      <c r="A2099" s="4" t="s">
        <v>28</v>
      </c>
      <c r="B2099" s="4" t="s">
        <v>49</v>
      </c>
      <c r="C2099" s="4" t="s">
        <v>23</v>
      </c>
      <c r="D2099" s="4" t="s">
        <v>50</v>
      </c>
      <c r="E2099" s="4" t="s">
        <v>51</v>
      </c>
      <c r="F2099" s="4" t="s">
        <v>25</v>
      </c>
      <c r="G2099" s="4" t="s">
        <v>25</v>
      </c>
      <c r="H2099" s="4" t="s">
        <v>25</v>
      </c>
      <c r="I2099" s="5">
        <v>44835</v>
      </c>
      <c r="J2099" s="6">
        <v>0</v>
      </c>
      <c r="K2099" s="6">
        <v>0</v>
      </c>
      <c r="L2099" s="6">
        <v>1076.3969999999999</v>
      </c>
      <c r="M2099" s="6">
        <v>1076.3969999999999</v>
      </c>
      <c r="N2099" s="6">
        <v>1076.3969999999999</v>
      </c>
      <c r="O2099" s="6">
        <v>1076.3969999999999</v>
      </c>
      <c r="P2099" s="6">
        <v>94</v>
      </c>
      <c r="Q2099" s="4" t="s">
        <v>26</v>
      </c>
      <c r="R2099" s="4">
        <v>0</v>
      </c>
      <c r="S2099" s="6">
        <v>0</v>
      </c>
      <c r="T2099" s="6">
        <v>69</v>
      </c>
      <c r="U2099" s="6">
        <v>113</v>
      </c>
      <c r="V2099" s="6">
        <f>IF(ISERROR(VLOOKUP($S$2099,'TAR FIN'!$A$1:$O$115,15,0)),0,VLOOKUP($S$2099,'TAR FIN'!$A$1:$O$115,15,0))</f>
        <v>0</v>
      </c>
      <c r="W2099" s="6">
        <f>IF(ISERROR(VLOOKUP($T$2099,'TAR FIN'!$A$1:$O$115,15,0)),0,VLOOKUP($T$2099,'TAR FIN'!$A$1:$O$115,15,0))</f>
        <v>254.98</v>
      </c>
      <c r="X2099" s="6">
        <f>IF(ISERROR(VLOOKUP($U$2099,'TAR FIN'!$A$1:$O$115,15,0)),0,VLOOKUP($U$2099,'TAR FIN'!$A$1:$O$115,15,0))</f>
        <v>97.12</v>
      </c>
      <c r="Y2099" s="6"/>
      <c r="Z2099" s="6">
        <f ca="1">('TUSD BE'!$AM$67+'TUSD BF'!$AM$67+'TUSD CVA'!$AM$67)*1</f>
        <v>276.22087308513545</v>
      </c>
      <c r="AA2099" s="6">
        <f>('TE BE'!$AB$50+'TE BF'!$AB$50+'TE CVA'!$AB$50)*1</f>
        <v>126.87508594232092</v>
      </c>
      <c r="AB2099" s="6">
        <f>$K$2099*$V$2099</f>
        <v>0</v>
      </c>
      <c r="AC2099" s="6">
        <f>$M$2099*$W$2099</f>
        <v>274459.70705999999</v>
      </c>
      <c r="AD2099" s="6">
        <f>$O$2099*$X$2099</f>
        <v>104539.67664000001</v>
      </c>
      <c r="AE2099" s="6">
        <f>$K$2099*$Y$2099</f>
        <v>0</v>
      </c>
      <c r="AF2099" s="6">
        <f ca="1">$M$2099*$Z$2099</f>
        <v>297323.31912622054</v>
      </c>
      <c r="AG2099" s="6">
        <f>$O$2099*$AA$2099</f>
        <v>136567.96188305641</v>
      </c>
    </row>
    <row r="2100" spans="1:33" ht="11.25" customHeight="1" x14ac:dyDescent="0.25">
      <c r="A2100" s="4" t="s">
        <v>59</v>
      </c>
      <c r="B2100" s="4" t="s">
        <v>49</v>
      </c>
      <c r="C2100" s="4" t="s">
        <v>23</v>
      </c>
      <c r="D2100" s="4" t="s">
        <v>50</v>
      </c>
      <c r="E2100" s="4" t="s">
        <v>51</v>
      </c>
      <c r="F2100" s="4" t="s">
        <v>25</v>
      </c>
      <c r="G2100" s="4" t="s">
        <v>25</v>
      </c>
      <c r="H2100" s="4" t="s">
        <v>25</v>
      </c>
      <c r="I2100" s="5">
        <v>44866</v>
      </c>
      <c r="J2100" s="6">
        <v>0</v>
      </c>
      <c r="K2100" s="6">
        <v>0</v>
      </c>
      <c r="L2100" s="6">
        <v>3114.703</v>
      </c>
      <c r="M2100" s="6">
        <v>3114.703</v>
      </c>
      <c r="N2100" s="6">
        <v>3114.703</v>
      </c>
      <c r="O2100" s="6">
        <v>3114.703</v>
      </c>
      <c r="P2100" s="6">
        <v>365</v>
      </c>
      <c r="Q2100" s="4" t="s">
        <v>26</v>
      </c>
      <c r="R2100" s="4">
        <v>0</v>
      </c>
      <c r="S2100" s="6">
        <v>0</v>
      </c>
      <c r="T2100" s="6">
        <v>69</v>
      </c>
      <c r="U2100" s="6">
        <v>113</v>
      </c>
      <c r="V2100" s="6">
        <f>IF(ISERROR(VLOOKUP($S$2100,'TAR FIN'!$A$1:$O$115,15,0)),0,VLOOKUP($S$2100,'TAR FIN'!$A$1:$O$115,15,0))</f>
        <v>0</v>
      </c>
      <c r="W2100" s="6">
        <f>IF(ISERROR(VLOOKUP($T$2100,'TAR FIN'!$A$1:$O$115,15,0)),0,VLOOKUP($T$2100,'TAR FIN'!$A$1:$O$115,15,0))</f>
        <v>254.98</v>
      </c>
      <c r="X2100" s="6">
        <f>IF(ISERROR(VLOOKUP($U$2100,'TAR FIN'!$A$1:$O$115,15,0)),0,VLOOKUP($U$2100,'TAR FIN'!$A$1:$O$115,15,0))</f>
        <v>97.12</v>
      </c>
      <c r="Y2100" s="6"/>
      <c r="Z2100" s="6">
        <f ca="1">('TUSD BE'!$AM$67+'TUSD BF'!$AM$67+'TUSD CVA'!$AM$67)*1</f>
        <v>276.22087308513545</v>
      </c>
      <c r="AA2100" s="6">
        <f>('TE BE'!$AB$50+'TE BF'!$AB$50+'TE CVA'!$AB$50)*1</f>
        <v>126.87508594232092</v>
      </c>
      <c r="AB2100" s="6">
        <f>$K$2100*$V$2100</f>
        <v>0</v>
      </c>
      <c r="AC2100" s="6">
        <f>$M$2100*$W$2100</f>
        <v>794186.97093999991</v>
      </c>
      <c r="AD2100" s="6">
        <f>$O$2100*$X$2100</f>
        <v>302499.95536000002</v>
      </c>
      <c r="AE2100" s="6">
        <f>$K$2100*$Y$2100</f>
        <v>0</v>
      </c>
      <c r="AF2100" s="6">
        <f ca="1">$M$2100*$Z$2100</f>
        <v>860345.98206089064</v>
      </c>
      <c r="AG2100" s="6">
        <f>$O$2100*$AA$2100</f>
        <v>395178.21080980479</v>
      </c>
    </row>
    <row r="2101" spans="1:33" ht="11.25" customHeight="1" x14ac:dyDescent="0.25">
      <c r="A2101" s="4" t="s">
        <v>59</v>
      </c>
      <c r="B2101" s="4" t="s">
        <v>49</v>
      </c>
      <c r="C2101" s="4" t="s">
        <v>23</v>
      </c>
      <c r="D2101" s="4" t="s">
        <v>50</v>
      </c>
      <c r="E2101" s="4" t="s">
        <v>51</v>
      </c>
      <c r="F2101" s="4" t="s">
        <v>25</v>
      </c>
      <c r="G2101" s="4" t="s">
        <v>25</v>
      </c>
      <c r="H2101" s="4" t="s">
        <v>25</v>
      </c>
      <c r="I2101" s="5">
        <v>44866</v>
      </c>
      <c r="J2101" s="6">
        <v>0</v>
      </c>
      <c r="K2101" s="6">
        <v>0</v>
      </c>
      <c r="L2101" s="6">
        <v>-18.777000000000001</v>
      </c>
      <c r="M2101" s="6">
        <v>-18.777000000000001</v>
      </c>
      <c r="N2101" s="6">
        <v>-18.777000000000001</v>
      </c>
      <c r="O2101" s="6">
        <v>-18.777000000000001</v>
      </c>
      <c r="P2101" s="6">
        <v>-3</v>
      </c>
      <c r="Q2101" s="4" t="s">
        <v>26</v>
      </c>
      <c r="R2101" s="4">
        <v>0</v>
      </c>
      <c r="S2101" s="6">
        <v>0</v>
      </c>
      <c r="T2101" s="6">
        <v>69</v>
      </c>
      <c r="U2101" s="6">
        <v>113</v>
      </c>
      <c r="V2101" s="6">
        <f>IF(ISERROR(VLOOKUP($S$2101,'TAR FIN'!$A$1:$O$115,15,0)),0,VLOOKUP($S$2101,'TAR FIN'!$A$1:$O$115,15,0))</f>
        <v>0</v>
      </c>
      <c r="W2101" s="6">
        <f>IF(ISERROR(VLOOKUP($T$2101,'TAR FIN'!$A$1:$O$115,15,0)),0,VLOOKUP($T$2101,'TAR FIN'!$A$1:$O$115,15,0))</f>
        <v>254.98</v>
      </c>
      <c r="X2101" s="6">
        <f>IF(ISERROR(VLOOKUP($U$2101,'TAR FIN'!$A$1:$O$115,15,0)),0,VLOOKUP($U$2101,'TAR FIN'!$A$1:$O$115,15,0))</f>
        <v>97.12</v>
      </c>
      <c r="Y2101" s="6"/>
      <c r="Z2101" s="6">
        <f ca="1">('TUSD BE'!$AM$67+'TUSD BF'!$AM$67+'TUSD CVA'!$AM$67)*1</f>
        <v>276.22087308513545</v>
      </c>
      <c r="AA2101" s="6">
        <f>('TE BE'!$AB$50+'TE BF'!$AB$50+'TE CVA'!$AB$50)*1</f>
        <v>126.87508594232092</v>
      </c>
      <c r="AB2101" s="6">
        <f>$K$2101*$V$2101</f>
        <v>0</v>
      </c>
      <c r="AC2101" s="6">
        <f>$M$2101*$W$2101</f>
        <v>-4787.7594600000002</v>
      </c>
      <c r="AD2101" s="6">
        <f>$O$2101*$X$2101</f>
        <v>-1823.6222400000001</v>
      </c>
      <c r="AE2101" s="6">
        <f>$K$2101*$Y$2101</f>
        <v>0</v>
      </c>
      <c r="AF2101" s="6">
        <f ca="1">$M$2101*$Z$2101</f>
        <v>-5186.5993339195884</v>
      </c>
      <c r="AG2101" s="6">
        <f>$O$2101*$AA$2101</f>
        <v>-2382.3334887389601</v>
      </c>
    </row>
    <row r="2102" spans="1:33" ht="11.25" customHeight="1" x14ac:dyDescent="0.25">
      <c r="A2102" s="4" t="s">
        <v>59</v>
      </c>
      <c r="B2102" s="4" t="s">
        <v>49</v>
      </c>
      <c r="C2102" s="4" t="s">
        <v>23</v>
      </c>
      <c r="D2102" s="4" t="s">
        <v>50</v>
      </c>
      <c r="E2102" s="4" t="s">
        <v>51</v>
      </c>
      <c r="F2102" s="4" t="s">
        <v>25</v>
      </c>
      <c r="G2102" s="4" t="s">
        <v>25</v>
      </c>
      <c r="H2102" s="4" t="s">
        <v>25</v>
      </c>
      <c r="I2102" s="5">
        <v>44866</v>
      </c>
      <c r="J2102" s="6">
        <v>0</v>
      </c>
      <c r="K2102" s="6">
        <v>0</v>
      </c>
      <c r="L2102" s="6">
        <v>1076.3969999999999</v>
      </c>
      <c r="M2102" s="6">
        <v>1076.3969999999999</v>
      </c>
      <c r="N2102" s="6">
        <v>1076.3969999999999</v>
      </c>
      <c r="O2102" s="6">
        <v>1076.3969999999999</v>
      </c>
      <c r="P2102" s="6">
        <v>94</v>
      </c>
      <c r="Q2102" s="4" t="s">
        <v>26</v>
      </c>
      <c r="R2102" s="4">
        <v>0</v>
      </c>
      <c r="S2102" s="6">
        <v>0</v>
      </c>
      <c r="T2102" s="6">
        <v>69</v>
      </c>
      <c r="U2102" s="6">
        <v>113</v>
      </c>
      <c r="V2102" s="6">
        <f>IF(ISERROR(VLOOKUP($S$2102,'TAR FIN'!$A$1:$O$115,15,0)),0,VLOOKUP($S$2102,'TAR FIN'!$A$1:$O$115,15,0))</f>
        <v>0</v>
      </c>
      <c r="W2102" s="6">
        <f>IF(ISERROR(VLOOKUP($T$2102,'TAR FIN'!$A$1:$O$115,15,0)),0,VLOOKUP($T$2102,'TAR FIN'!$A$1:$O$115,15,0))</f>
        <v>254.98</v>
      </c>
      <c r="X2102" s="6">
        <f>IF(ISERROR(VLOOKUP($U$2102,'TAR FIN'!$A$1:$O$115,15,0)),0,VLOOKUP($U$2102,'TAR FIN'!$A$1:$O$115,15,0))</f>
        <v>97.12</v>
      </c>
      <c r="Y2102" s="6"/>
      <c r="Z2102" s="6">
        <f ca="1">('TUSD BE'!$AM$67+'TUSD BF'!$AM$67+'TUSD CVA'!$AM$67)*1</f>
        <v>276.22087308513545</v>
      </c>
      <c r="AA2102" s="6">
        <f>('TE BE'!$AB$50+'TE BF'!$AB$50+'TE CVA'!$AB$50)*1</f>
        <v>126.87508594232092</v>
      </c>
      <c r="AB2102" s="6">
        <f>$K$2102*$V$2102</f>
        <v>0</v>
      </c>
      <c r="AC2102" s="6">
        <f>$M$2102*$W$2102</f>
        <v>274459.70705999999</v>
      </c>
      <c r="AD2102" s="6">
        <f>$O$2102*$X$2102</f>
        <v>104539.67664000001</v>
      </c>
      <c r="AE2102" s="6">
        <f>$K$2102*$Y$2102</f>
        <v>0</v>
      </c>
      <c r="AF2102" s="6">
        <f ca="1">$M$2102*$Z$2102</f>
        <v>297323.31912622054</v>
      </c>
      <c r="AG2102" s="6">
        <f>$O$2102*$AA$2102</f>
        <v>136567.96188305641</v>
      </c>
    </row>
  </sheetData>
  <pageMargins left="0.511811024" right="0.511811024" top="0.78740157499999996" bottom="0.78740157499999996" header="0.31496062000000002" footer="0.31496062000000002"/>
  <pageSetup paperSize="9" orientation="landscape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0752F-B7EE-47F5-898C-A9CED3BFE6D1}">
  <sheetPr codeName="Planilha17"/>
  <dimension ref="A1:AJ2103"/>
  <sheetViews>
    <sheetView showGridLines="0" topLeftCell="Z1" workbookViewId="0">
      <selection activeCell="AH26" sqref="AH26"/>
    </sheetView>
  </sheetViews>
  <sheetFormatPr defaultRowHeight="11.25" customHeight="1" x14ac:dyDescent="0.25"/>
  <cols>
    <col min="1" max="1" width="23.7109375" style="4" bestFit="1" customWidth="1"/>
    <col min="2" max="2" width="13.28515625" style="4" bestFit="1" customWidth="1"/>
    <col min="3" max="3" width="14.5703125" style="4" bestFit="1" customWidth="1"/>
    <col min="4" max="4" width="11.5703125" style="4" bestFit="1" customWidth="1"/>
    <col min="5" max="5" width="25.140625" style="4" bestFit="1" customWidth="1"/>
    <col min="6" max="6" width="13.28515625" style="4" bestFit="1" customWidth="1"/>
    <col min="7" max="7" width="14.140625" style="4" bestFit="1" customWidth="1"/>
    <col min="8" max="8" width="10.28515625" style="4" bestFit="1" customWidth="1"/>
    <col min="9" max="9" width="12.140625" style="5" bestFit="1" customWidth="1"/>
    <col min="10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8.71093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19.140625" style="4" bestFit="1" customWidth="1"/>
    <col min="29" max="29" width="20.5703125" style="4" bestFit="1" customWidth="1"/>
    <col min="30" max="30" width="19" style="4" bestFit="1" customWidth="1"/>
    <col min="31" max="31" width="20.42578125" style="4" bestFit="1" customWidth="1"/>
    <col min="32" max="32" width="32.140625" style="4" bestFit="1" customWidth="1"/>
    <col min="33" max="33" width="9.140625" style="4"/>
    <col min="34" max="34" width="32.140625" style="4" bestFit="1" customWidth="1"/>
    <col min="35" max="36" width="10.85546875" style="4" bestFit="1" customWidth="1"/>
    <col min="37" max="16384" width="9.140625" style="4"/>
  </cols>
  <sheetData>
    <row r="1" spans="1:36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881</v>
      </c>
      <c r="W1" s="1" t="s">
        <v>882</v>
      </c>
      <c r="X1" s="1" t="s">
        <v>883</v>
      </c>
      <c r="Y1" s="1" t="s">
        <v>884</v>
      </c>
      <c r="Z1" s="1" t="s">
        <v>885</v>
      </c>
      <c r="AA1" s="1" t="s">
        <v>886</v>
      </c>
      <c r="AB1" s="1" t="s">
        <v>928</v>
      </c>
      <c r="AC1" s="1" t="s">
        <v>929</v>
      </c>
      <c r="AD1" s="1" t="s">
        <v>930</v>
      </c>
      <c r="AE1" s="1" t="s">
        <v>931</v>
      </c>
      <c r="AF1" s="1" t="s">
        <v>932</v>
      </c>
      <c r="AH1" s="34" t="s">
        <v>932</v>
      </c>
      <c r="AI1" s="34" t="s">
        <v>939</v>
      </c>
      <c r="AJ1" s="34" t="s">
        <v>940</v>
      </c>
    </row>
    <row r="2" spans="1:36" ht="11.25" customHeight="1" x14ac:dyDescent="0.25">
      <c r="A2" s="4" t="s">
        <v>21</v>
      </c>
      <c r="B2" s="4" t="s">
        <v>43</v>
      </c>
      <c r="C2" s="4" t="s">
        <v>44</v>
      </c>
      <c r="D2" s="4" t="s">
        <v>47</v>
      </c>
      <c r="E2" s="4" t="s">
        <v>55</v>
      </c>
      <c r="F2" s="4" t="s">
        <v>57</v>
      </c>
      <c r="G2" s="4" t="s">
        <v>25</v>
      </c>
      <c r="H2" s="4" t="s">
        <v>37</v>
      </c>
      <c r="I2" s="5">
        <v>44713</v>
      </c>
      <c r="J2" s="6">
        <v>0</v>
      </c>
      <c r="K2" s="6">
        <v>0</v>
      </c>
      <c r="L2" s="6">
        <v>0.68300000000000005</v>
      </c>
      <c r="M2" s="6">
        <v>0.1366</v>
      </c>
      <c r="N2" s="6">
        <v>0.68300000000000005</v>
      </c>
      <c r="O2" s="6">
        <v>0.1366</v>
      </c>
      <c r="P2" s="6">
        <v>0</v>
      </c>
      <c r="Q2" s="4" t="s">
        <v>26</v>
      </c>
      <c r="R2" s="4">
        <v>0</v>
      </c>
      <c r="S2" s="4">
        <v>0</v>
      </c>
      <c r="T2" s="4">
        <v>14</v>
      </c>
      <c r="U2" s="4">
        <v>72</v>
      </c>
      <c r="V2" s="6">
        <f>IF(ISERROR(VLOOKUP($S$2,'TAR FIN'!$A$1:$O$115,15,0)),0,VLOOKUP($S$2,'TAR FIN'!$A$1:$O$115,15,0))</f>
        <v>0</v>
      </c>
      <c r="W2" s="6">
        <f>IF(ISERROR(VLOOKUP($T$2,'TAR FIN'!$A$1:$O$115,15,0)),0,VLOOKUP($T$2,'TAR FIN'!$A$1:$O$115,15,0))</f>
        <v>84.31</v>
      </c>
      <c r="X2" s="6">
        <f>IF(ISERROR(VLOOKUP($U$2,'TAR FIN'!$A$1:$O$115,15,0)),0,VLOOKUP($U$2,'TAR FIN'!$A$1:$O$115,15,0))</f>
        <v>168.06</v>
      </c>
      <c r="Y2" s="6"/>
      <c r="Z2" s="6">
        <f ca="1">('TUSD BE'!$AM$16+'TUSD BF'!$AM$16+'TUSD CVA'!$AM$16)*1</f>
        <v>113.43121292628391</v>
      </c>
      <c r="AA2" s="6">
        <f>('TE BE'!$AB$9+'TE BF'!$AB$9+'TE CVA'!$AB$9)*1</f>
        <v>218.6854278594964</v>
      </c>
      <c r="AB2" s="6">
        <f t="shared" ref="AB2:AB65" si="0">(J2-K2)*V2</f>
        <v>0</v>
      </c>
      <c r="AC2" s="6">
        <f t="shared" ref="AC2:AC65" si="1">(L2-M2)*W2+(N2-O2)*X2</f>
        <v>137.89496800000001</v>
      </c>
      <c r="AD2" s="6">
        <f t="shared" ref="AD2:AD65" si="2">(J2-K2)*Y2</f>
        <v>0</v>
      </c>
      <c r="AE2" s="6">
        <f t="shared" ref="AE2:AE65" ca="1" si="3">(L2-M2)*Z2+(N2-O2)*AA2</f>
        <v>181.46853252535035</v>
      </c>
      <c r="AF2" s="4" t="s">
        <v>934</v>
      </c>
      <c r="AH2" s="35" t="s">
        <v>936</v>
      </c>
      <c r="AI2" s="36">
        <f t="shared" ref="AI2:AI9" si="4">SUMIF($AF$2:$AF$2103,AH2,$AB$2:$AB$2103)+SUMIF($AF$2:$AF$2103,AH2,$AC$2:$AC$2103)</f>
        <v>5950336.6276128329</v>
      </c>
      <c r="AJ2" s="36">
        <f t="shared" ref="AJ2:AJ9" ca="1" si="5">SUMIF($AF$2:$AF$2103,AH2,$AD$2:$AD$2103)+SUMIF($AF$2:$AF$2103,AH2,$AE$2:$AE$2103)</f>
        <v>6085191.6842119563</v>
      </c>
    </row>
    <row r="3" spans="1:36" ht="11.25" customHeight="1" x14ac:dyDescent="0.25">
      <c r="A3" s="4" t="s">
        <v>21</v>
      </c>
      <c r="B3" s="4" t="s">
        <v>43</v>
      </c>
      <c r="C3" s="4" t="s">
        <v>44</v>
      </c>
      <c r="D3" s="4" t="s">
        <v>47</v>
      </c>
      <c r="E3" s="4" t="s">
        <v>55</v>
      </c>
      <c r="F3" s="4" t="s">
        <v>57</v>
      </c>
      <c r="G3" s="4" t="s">
        <v>25</v>
      </c>
      <c r="H3" s="4" t="s">
        <v>37</v>
      </c>
      <c r="I3" s="5">
        <v>44743</v>
      </c>
      <c r="J3" s="6">
        <v>0</v>
      </c>
      <c r="K3" s="6">
        <v>0</v>
      </c>
      <c r="L3" s="6">
        <v>1.639</v>
      </c>
      <c r="M3" s="6">
        <v>0.32779999999999998</v>
      </c>
      <c r="N3" s="6">
        <v>1.639</v>
      </c>
      <c r="O3" s="6">
        <v>0.32779999999999998</v>
      </c>
      <c r="P3" s="6">
        <v>0</v>
      </c>
      <c r="Q3" s="4" t="s">
        <v>26</v>
      </c>
      <c r="R3" s="4">
        <v>0</v>
      </c>
      <c r="S3" s="4">
        <v>0</v>
      </c>
      <c r="T3" s="4">
        <v>14</v>
      </c>
      <c r="U3" s="4">
        <v>72</v>
      </c>
      <c r="V3" s="6">
        <f>IF(ISERROR(VLOOKUP($S$3,'TAR FIN'!$A$1:$O$115,15,0)),0,VLOOKUP($S$3,'TAR FIN'!$A$1:$O$115,15,0))</f>
        <v>0</v>
      </c>
      <c r="W3" s="6">
        <f>IF(ISERROR(VLOOKUP($T$3,'TAR FIN'!$A$1:$O$115,15,0)),0,VLOOKUP($T$3,'TAR FIN'!$A$1:$O$115,15,0))</f>
        <v>84.31</v>
      </c>
      <c r="X3" s="6">
        <f>IF(ISERROR(VLOOKUP($U$3,'TAR FIN'!$A$1:$O$115,15,0)),0,VLOOKUP($U$3,'TAR FIN'!$A$1:$O$115,15,0))</f>
        <v>168.06</v>
      </c>
      <c r="Y3" s="6"/>
      <c r="Z3" s="6">
        <f ca="1">('TUSD BE'!$AM$16+'TUSD BF'!$AM$16+'TUSD CVA'!$AM$16)*1</f>
        <v>113.43121292628391</v>
      </c>
      <c r="AA3" s="6">
        <f>('TE BE'!$AB$9+'TE BF'!$AB$9+'TE CVA'!$AB$9)*1</f>
        <v>218.6854278594964</v>
      </c>
      <c r="AB3" s="6">
        <f t="shared" si="0"/>
        <v>0</v>
      </c>
      <c r="AC3" s="6">
        <f t="shared" si="1"/>
        <v>330.90754399999997</v>
      </c>
      <c r="AD3" s="6">
        <f t="shared" si="2"/>
        <v>0</v>
      </c>
      <c r="AE3" s="6">
        <f t="shared" ca="1" si="3"/>
        <v>435.47133939831514</v>
      </c>
      <c r="AF3" s="4" t="s">
        <v>934</v>
      </c>
      <c r="AH3" s="35" t="s">
        <v>941</v>
      </c>
      <c r="AI3" s="36">
        <f t="shared" si="4"/>
        <v>0</v>
      </c>
      <c r="AJ3" s="36">
        <f t="shared" si="5"/>
        <v>0</v>
      </c>
    </row>
    <row r="4" spans="1:36" ht="11.25" customHeight="1" x14ac:dyDescent="0.25">
      <c r="A4" s="4" t="s">
        <v>21</v>
      </c>
      <c r="B4" s="4" t="s">
        <v>43</v>
      </c>
      <c r="C4" s="4" t="s">
        <v>44</v>
      </c>
      <c r="D4" s="4" t="s">
        <v>47</v>
      </c>
      <c r="E4" s="4" t="s">
        <v>55</v>
      </c>
      <c r="F4" s="4" t="s">
        <v>57</v>
      </c>
      <c r="G4" s="4" t="s">
        <v>25</v>
      </c>
      <c r="H4" s="4" t="s">
        <v>37</v>
      </c>
      <c r="I4" s="5">
        <v>44774</v>
      </c>
      <c r="J4" s="6">
        <v>0</v>
      </c>
      <c r="K4" s="6">
        <v>0</v>
      </c>
      <c r="L4" s="6">
        <v>1.837</v>
      </c>
      <c r="M4" s="6">
        <v>0.3674</v>
      </c>
      <c r="N4" s="6">
        <v>1.837</v>
      </c>
      <c r="O4" s="6">
        <v>0.3674</v>
      </c>
      <c r="P4" s="6">
        <v>0</v>
      </c>
      <c r="Q4" s="4" t="s">
        <v>26</v>
      </c>
      <c r="R4" s="4">
        <v>0</v>
      </c>
      <c r="S4" s="4">
        <v>0</v>
      </c>
      <c r="T4" s="4">
        <v>14</v>
      </c>
      <c r="U4" s="4">
        <v>72</v>
      </c>
      <c r="V4" s="6">
        <f>IF(ISERROR(VLOOKUP($S$4,'TAR FIN'!$A$1:$O$115,15,0)),0,VLOOKUP($S$4,'TAR FIN'!$A$1:$O$115,15,0))</f>
        <v>0</v>
      </c>
      <c r="W4" s="6">
        <f>IF(ISERROR(VLOOKUP($T$4,'TAR FIN'!$A$1:$O$115,15,0)),0,VLOOKUP($T$4,'TAR FIN'!$A$1:$O$115,15,0))</f>
        <v>84.31</v>
      </c>
      <c r="X4" s="6">
        <f>IF(ISERROR(VLOOKUP($U$4,'TAR FIN'!$A$1:$O$115,15,0)),0,VLOOKUP($U$4,'TAR FIN'!$A$1:$O$115,15,0))</f>
        <v>168.06</v>
      </c>
      <c r="Y4" s="6"/>
      <c r="Z4" s="6">
        <f ca="1">('TUSD BE'!$AM$16+'TUSD BF'!$AM$16+'TUSD CVA'!$AM$16)*1</f>
        <v>113.43121292628391</v>
      </c>
      <c r="AA4" s="6">
        <f>('TE BE'!$AB$9+'TE BF'!$AB$9+'TE CVA'!$AB$9)*1</f>
        <v>218.6854278594964</v>
      </c>
      <c r="AB4" s="6">
        <f t="shared" si="0"/>
        <v>0</v>
      </c>
      <c r="AC4" s="6">
        <f t="shared" si="1"/>
        <v>370.88295199999999</v>
      </c>
      <c r="AD4" s="6">
        <f t="shared" si="2"/>
        <v>0</v>
      </c>
      <c r="AE4" s="6">
        <f t="shared" ca="1" si="3"/>
        <v>488.07861529878278</v>
      </c>
      <c r="AF4" s="4" t="s">
        <v>934</v>
      </c>
      <c r="AH4" s="35" t="s">
        <v>937</v>
      </c>
      <c r="AI4" s="36">
        <f t="shared" si="4"/>
        <v>0</v>
      </c>
      <c r="AJ4" s="36">
        <f t="shared" ca="1" si="5"/>
        <v>0</v>
      </c>
    </row>
    <row r="5" spans="1:36" ht="11.25" customHeight="1" x14ac:dyDescent="0.25">
      <c r="A5" s="4" t="s">
        <v>21</v>
      </c>
      <c r="B5" s="4" t="s">
        <v>43</v>
      </c>
      <c r="C5" s="4" t="s">
        <v>44</v>
      </c>
      <c r="D5" s="4" t="s">
        <v>47</v>
      </c>
      <c r="E5" s="4" t="s">
        <v>55</v>
      </c>
      <c r="F5" s="4" t="s">
        <v>57</v>
      </c>
      <c r="G5" s="4" t="s">
        <v>25</v>
      </c>
      <c r="H5" s="4" t="s">
        <v>37</v>
      </c>
      <c r="I5" s="5">
        <v>44805</v>
      </c>
      <c r="J5" s="6">
        <v>0</v>
      </c>
      <c r="K5" s="6">
        <v>0</v>
      </c>
      <c r="L5" s="6">
        <v>0.99299999999999999</v>
      </c>
      <c r="M5" s="6">
        <v>0.1986</v>
      </c>
      <c r="N5" s="6">
        <v>0.99299999999999999</v>
      </c>
      <c r="O5" s="6">
        <v>0.1986</v>
      </c>
      <c r="P5" s="6">
        <v>0</v>
      </c>
      <c r="Q5" s="4" t="s">
        <v>26</v>
      </c>
      <c r="R5" s="4">
        <v>0</v>
      </c>
      <c r="S5" s="4">
        <v>0</v>
      </c>
      <c r="T5" s="4">
        <v>14</v>
      </c>
      <c r="U5" s="4">
        <v>72</v>
      </c>
      <c r="V5" s="6">
        <f>IF(ISERROR(VLOOKUP($S$5,'TAR FIN'!$A$1:$O$115,15,0)),0,VLOOKUP($S$5,'TAR FIN'!$A$1:$O$115,15,0))</f>
        <v>0</v>
      </c>
      <c r="W5" s="6">
        <f>IF(ISERROR(VLOOKUP($T$5,'TAR FIN'!$A$1:$O$115,15,0)),0,VLOOKUP($T$5,'TAR FIN'!$A$1:$O$115,15,0))</f>
        <v>84.31</v>
      </c>
      <c r="X5" s="6">
        <f>IF(ISERROR(VLOOKUP($U$5,'TAR FIN'!$A$1:$O$115,15,0)),0,VLOOKUP($U$5,'TAR FIN'!$A$1:$O$115,15,0))</f>
        <v>168.06</v>
      </c>
      <c r="Y5" s="6"/>
      <c r="Z5" s="6">
        <f ca="1">('TUSD BE'!$AM$16+'TUSD BF'!$AM$16+'TUSD CVA'!$AM$16)*1</f>
        <v>113.43121292628391</v>
      </c>
      <c r="AA5" s="6">
        <f>('TE BE'!$AB$9+'TE BF'!$AB$9+'TE CVA'!$AB$9)*1</f>
        <v>218.6854278594964</v>
      </c>
      <c r="AB5" s="6">
        <f t="shared" si="0"/>
        <v>0</v>
      </c>
      <c r="AC5" s="6">
        <f t="shared" si="1"/>
        <v>200.48272800000001</v>
      </c>
      <c r="AD5" s="6">
        <f t="shared" si="2"/>
        <v>0</v>
      </c>
      <c r="AE5" s="6">
        <f t="shared" ca="1" si="3"/>
        <v>263.83345944022386</v>
      </c>
      <c r="AF5" s="4" t="s">
        <v>934</v>
      </c>
      <c r="AH5" s="35" t="s">
        <v>935</v>
      </c>
      <c r="AI5" s="36">
        <f t="shared" si="4"/>
        <v>1451327.4930372003</v>
      </c>
      <c r="AJ5" s="36">
        <f t="shared" ca="1" si="5"/>
        <v>860795.24177492387</v>
      </c>
    </row>
    <row r="6" spans="1:36" ht="11.25" customHeight="1" x14ac:dyDescent="0.25">
      <c r="A6" s="4" t="s">
        <v>21</v>
      </c>
      <c r="B6" s="4" t="s">
        <v>43</v>
      </c>
      <c r="C6" s="4" t="s">
        <v>44</v>
      </c>
      <c r="D6" s="4" t="s">
        <v>47</v>
      </c>
      <c r="E6" s="4" t="s">
        <v>55</v>
      </c>
      <c r="F6" s="4" t="s">
        <v>57</v>
      </c>
      <c r="G6" s="4" t="s">
        <v>25</v>
      </c>
      <c r="H6" s="4" t="s">
        <v>37</v>
      </c>
      <c r="I6" s="5">
        <v>44835</v>
      </c>
      <c r="J6" s="6">
        <v>0</v>
      </c>
      <c r="K6" s="6">
        <v>0</v>
      </c>
      <c r="L6" s="6">
        <v>1.141</v>
      </c>
      <c r="M6" s="6">
        <v>0.22819999999999999</v>
      </c>
      <c r="N6" s="6">
        <v>1.141</v>
      </c>
      <c r="O6" s="6">
        <v>0.22819999999999999</v>
      </c>
      <c r="P6" s="6">
        <v>0</v>
      </c>
      <c r="Q6" s="4" t="s">
        <v>26</v>
      </c>
      <c r="R6" s="4">
        <v>0</v>
      </c>
      <c r="S6" s="4">
        <v>0</v>
      </c>
      <c r="T6" s="4">
        <v>14</v>
      </c>
      <c r="U6" s="4">
        <v>72</v>
      </c>
      <c r="V6" s="6">
        <f>IF(ISERROR(VLOOKUP($S$6,'TAR FIN'!$A$1:$O$115,15,0)),0,VLOOKUP($S$6,'TAR FIN'!$A$1:$O$115,15,0))</f>
        <v>0</v>
      </c>
      <c r="W6" s="6">
        <f>IF(ISERROR(VLOOKUP($T$6,'TAR FIN'!$A$1:$O$115,15,0)),0,VLOOKUP($T$6,'TAR FIN'!$A$1:$O$115,15,0))</f>
        <v>84.31</v>
      </c>
      <c r="X6" s="6">
        <f>IF(ISERROR(VLOOKUP($U$6,'TAR FIN'!$A$1:$O$115,15,0)),0,VLOOKUP($U$6,'TAR FIN'!$A$1:$O$115,15,0))</f>
        <v>168.06</v>
      </c>
      <c r="Y6" s="6"/>
      <c r="Z6" s="6">
        <f ca="1">('TUSD BE'!$AM$16+'TUSD BF'!$AM$16+'TUSD CVA'!$AM$16)*1</f>
        <v>113.43121292628391</v>
      </c>
      <c r="AA6" s="6">
        <f>('TE BE'!$AB$9+'TE BF'!$AB$9+'TE CVA'!$AB$9)*1</f>
        <v>218.6854278594964</v>
      </c>
      <c r="AB6" s="6">
        <f t="shared" si="0"/>
        <v>0</v>
      </c>
      <c r="AC6" s="6">
        <f t="shared" si="1"/>
        <v>230.363336</v>
      </c>
      <c r="AD6" s="6">
        <f t="shared" si="2"/>
        <v>0</v>
      </c>
      <c r="AE6" s="6">
        <f t="shared" ca="1" si="3"/>
        <v>303.15606970926029</v>
      </c>
      <c r="AF6" s="4" t="s">
        <v>934</v>
      </c>
      <c r="AH6" s="35" t="s">
        <v>933</v>
      </c>
      <c r="AI6" s="36">
        <f t="shared" si="4"/>
        <v>3522095.1141262413</v>
      </c>
      <c r="AJ6" s="36">
        <f t="shared" ca="1" si="5"/>
        <v>2017746.5278038988</v>
      </c>
    </row>
    <row r="7" spans="1:36" ht="11.25" customHeight="1" x14ac:dyDescent="0.25">
      <c r="A7" s="4" t="s">
        <v>59</v>
      </c>
      <c r="B7" s="4" t="s">
        <v>43</v>
      </c>
      <c r="C7" s="4" t="s">
        <v>44</v>
      </c>
      <c r="D7" s="4" t="s">
        <v>47</v>
      </c>
      <c r="E7" s="4" t="s">
        <v>55</v>
      </c>
      <c r="F7" s="4" t="s">
        <v>57</v>
      </c>
      <c r="G7" s="4" t="s">
        <v>25</v>
      </c>
      <c r="H7" s="4" t="s">
        <v>37</v>
      </c>
      <c r="I7" s="5">
        <v>44866</v>
      </c>
      <c r="J7" s="6">
        <v>0</v>
      </c>
      <c r="K7" s="6">
        <v>0</v>
      </c>
      <c r="L7" s="6">
        <v>1.141</v>
      </c>
      <c r="M7" s="6">
        <v>0.22819999999999999</v>
      </c>
      <c r="N7" s="6">
        <v>1.141</v>
      </c>
      <c r="O7" s="6">
        <v>0.22819999999999999</v>
      </c>
      <c r="P7" s="6">
        <v>0</v>
      </c>
      <c r="Q7" s="4" t="s">
        <v>26</v>
      </c>
      <c r="R7" s="4">
        <v>0</v>
      </c>
      <c r="S7" s="4">
        <v>0</v>
      </c>
      <c r="T7" s="4">
        <v>14</v>
      </c>
      <c r="U7" s="4">
        <v>72</v>
      </c>
      <c r="V7" s="6">
        <f>IF(ISERROR(VLOOKUP($S$7,'TAR FIN'!$A$1:$O$115,15,0)),0,VLOOKUP($S$7,'TAR FIN'!$A$1:$O$115,15,0))</f>
        <v>0</v>
      </c>
      <c r="W7" s="6">
        <f>IF(ISERROR(VLOOKUP($T$7,'TAR FIN'!$A$1:$O$115,15,0)),0,VLOOKUP($T$7,'TAR FIN'!$A$1:$O$115,15,0))</f>
        <v>84.31</v>
      </c>
      <c r="X7" s="6">
        <f>IF(ISERROR(VLOOKUP($U$7,'TAR FIN'!$A$1:$O$115,15,0)),0,VLOOKUP($U$7,'TAR FIN'!$A$1:$O$115,15,0))</f>
        <v>168.06</v>
      </c>
      <c r="Y7" s="6"/>
      <c r="Z7" s="6">
        <f ca="1">('TUSD BE'!$AM$16+'TUSD BF'!$AM$16+'TUSD CVA'!$AM$16)*1</f>
        <v>113.43121292628391</v>
      </c>
      <c r="AA7" s="6">
        <f>('TE BE'!$AB$9+'TE BF'!$AB$9+'TE CVA'!$AB$9)*1</f>
        <v>218.6854278594964</v>
      </c>
      <c r="AB7" s="6">
        <f t="shared" si="0"/>
        <v>0</v>
      </c>
      <c r="AC7" s="6">
        <f t="shared" si="1"/>
        <v>230.363336</v>
      </c>
      <c r="AD7" s="6">
        <f t="shared" si="2"/>
        <v>0</v>
      </c>
      <c r="AE7" s="6">
        <f t="shared" ca="1" si="3"/>
        <v>303.15606970926029</v>
      </c>
      <c r="AF7" s="4" t="s">
        <v>934</v>
      </c>
      <c r="AH7" s="35" t="s">
        <v>934</v>
      </c>
      <c r="AI7" s="36">
        <f t="shared" si="4"/>
        <v>33235.826624800007</v>
      </c>
      <c r="AJ7" s="36">
        <f t="shared" ca="1" si="5"/>
        <v>37292.774338903058</v>
      </c>
    </row>
    <row r="8" spans="1:36" ht="11.25" customHeight="1" x14ac:dyDescent="0.25">
      <c r="A8" s="4" t="s">
        <v>21</v>
      </c>
      <c r="B8" s="4" t="s">
        <v>43</v>
      </c>
      <c r="C8" s="4" t="s">
        <v>44</v>
      </c>
      <c r="D8" s="4" t="s">
        <v>47</v>
      </c>
      <c r="E8" s="4" t="s">
        <v>55</v>
      </c>
      <c r="F8" s="4" t="s">
        <v>25</v>
      </c>
      <c r="G8" s="4" t="s">
        <v>25</v>
      </c>
      <c r="H8" s="4" t="s">
        <v>37</v>
      </c>
      <c r="I8" s="5">
        <v>44774</v>
      </c>
      <c r="J8" s="6">
        <v>0</v>
      </c>
      <c r="K8" s="42">
        <v>0</v>
      </c>
      <c r="L8" s="6">
        <v>0.73499999999999999</v>
      </c>
      <c r="M8" s="42">
        <v>0.73499999999999999</v>
      </c>
      <c r="N8" s="6">
        <v>0.73499999999999999</v>
      </c>
      <c r="O8" s="42">
        <v>0.73499999999999999</v>
      </c>
      <c r="P8" s="6">
        <v>0</v>
      </c>
      <c r="Q8" s="4" t="s">
        <v>26</v>
      </c>
      <c r="R8" s="4">
        <v>0</v>
      </c>
      <c r="S8" s="4">
        <v>0</v>
      </c>
      <c r="T8" s="4">
        <v>14</v>
      </c>
      <c r="U8" s="4">
        <v>72</v>
      </c>
      <c r="V8" s="42">
        <f>IF(ISERROR(VLOOKUP($S$8,'TAR FIN'!$A$1:$O$115,15,0)),0,VLOOKUP($S$8,'TAR FIN'!$A$1:$O$115,15,0))</f>
        <v>0</v>
      </c>
      <c r="W8" s="42">
        <f>IF(ISERROR(VLOOKUP($T$8,'TAR FIN'!$A$1:$O$115,15,0)),0,VLOOKUP($T$8,'TAR FIN'!$A$1:$O$115,15,0))*(1-0.04)</f>
        <v>80.937600000000003</v>
      </c>
      <c r="X8" s="42">
        <f>IF(ISERROR(VLOOKUP($U$8,'TAR FIN'!$A$1:$O$115,15,0)),0,VLOOKUP($U$8,'TAR FIN'!$A$1:$O$115,15,0))*(1-0.04)</f>
        <v>161.33760000000001</v>
      </c>
      <c r="Y8" s="42"/>
      <c r="Z8" s="42">
        <f ca="1">('TUSD BE'!$AM$16+'TUSD BF'!$AM$16+'TUSD CVA'!$AM$16)*1*(1-0.02)</f>
        <v>111.16258866775823</v>
      </c>
      <c r="AA8" s="42">
        <f>('TE BE'!$AB$9+'TE BF'!$AB$9+'TE CVA'!$AB$9)*1*(1-0.02)</f>
        <v>214.31171930230647</v>
      </c>
      <c r="AB8" s="42">
        <f>(SUBSIDIO!$J$8*SUBSIDIO!$V$8)*(0.04)/(1-0.04)</f>
        <v>0</v>
      </c>
      <c r="AC8" s="42">
        <f>((SUBSIDIO!$L$8*SUBSIDIO!$W$8)+(SUBSIDIO!$N$8*SUBSIDIO!$X$8))*(0.04)/(1-0.04)</f>
        <v>7.4196780000000002</v>
      </c>
      <c r="AD8" s="42">
        <f>(SUBSIDIO!$J$8*SUBSIDIO!$Y$8)*(0.02)/(1-0.02)</f>
        <v>0</v>
      </c>
      <c r="AE8" s="42">
        <f ca="1">((SUBSIDIO!$L$8*SUBSIDIO!$Z$8)+(SUBSIDIO!$N$8*SUBSIDIO!$AA$8))*(0.02)/(1-0.02)</f>
        <v>4.8821146195509701</v>
      </c>
      <c r="AF8" s="4" t="s">
        <v>933</v>
      </c>
      <c r="AH8" s="35" t="s">
        <v>938</v>
      </c>
      <c r="AI8" s="36">
        <f t="shared" si="4"/>
        <v>20893414.175170004</v>
      </c>
      <c r="AJ8" s="36">
        <f t="shared" ca="1" si="5"/>
        <v>23417474.351742506</v>
      </c>
    </row>
    <row r="9" spans="1:36" ht="11.25" customHeight="1" x14ac:dyDescent="0.25">
      <c r="A9" s="4" t="s">
        <v>21</v>
      </c>
      <c r="B9" s="4" t="s">
        <v>43</v>
      </c>
      <c r="C9" s="4" t="s">
        <v>44</v>
      </c>
      <c r="D9" s="4" t="s">
        <v>47</v>
      </c>
      <c r="E9" s="4" t="s">
        <v>55</v>
      </c>
      <c r="F9" s="4" t="s">
        <v>25</v>
      </c>
      <c r="G9" s="4" t="s">
        <v>25</v>
      </c>
      <c r="H9" s="4" t="s">
        <v>37</v>
      </c>
      <c r="I9" s="5">
        <v>44805</v>
      </c>
      <c r="J9" s="6">
        <v>0</v>
      </c>
      <c r="K9" s="42">
        <v>0</v>
      </c>
      <c r="L9" s="6">
        <v>0.71299999999999997</v>
      </c>
      <c r="M9" s="42">
        <v>0.71299999999999997</v>
      </c>
      <c r="N9" s="6">
        <v>0.71299999999999997</v>
      </c>
      <c r="O9" s="42">
        <v>0.71299999999999997</v>
      </c>
      <c r="P9" s="6">
        <v>0</v>
      </c>
      <c r="Q9" s="4" t="s">
        <v>26</v>
      </c>
      <c r="R9" s="4">
        <v>0</v>
      </c>
      <c r="S9" s="4">
        <v>0</v>
      </c>
      <c r="T9" s="4">
        <v>14</v>
      </c>
      <c r="U9" s="4">
        <v>72</v>
      </c>
      <c r="V9" s="42">
        <f>IF(ISERROR(VLOOKUP($S$9,'TAR FIN'!$A$1:$O$115,15,0)),0,VLOOKUP($S$9,'TAR FIN'!$A$1:$O$115,15,0))</f>
        <v>0</v>
      </c>
      <c r="W9" s="42">
        <f>IF(ISERROR(VLOOKUP($T$9,'TAR FIN'!$A$1:$O$115,15,0)),0,VLOOKUP($T$9,'TAR FIN'!$A$1:$O$115,15,0))*(1-0.04)</f>
        <v>80.937600000000003</v>
      </c>
      <c r="X9" s="42">
        <f>IF(ISERROR(VLOOKUP($U$9,'TAR FIN'!$A$1:$O$115,15,0)),0,VLOOKUP($U$9,'TAR FIN'!$A$1:$O$115,15,0))*(1-0.04)</f>
        <v>161.33760000000001</v>
      </c>
      <c r="Y9" s="42"/>
      <c r="Z9" s="42">
        <f ca="1">('TUSD BE'!$AM$16+'TUSD BF'!$AM$16+'TUSD CVA'!$AM$16)*1*(1-0.02)</f>
        <v>111.16258866775823</v>
      </c>
      <c r="AA9" s="42">
        <f>('TE BE'!$AB$9+'TE BF'!$AB$9+'TE CVA'!$AB$9)*1*(1-0.02)</f>
        <v>214.31171930230647</v>
      </c>
      <c r="AB9" s="42">
        <f>(SUBSIDIO!$J$9*SUBSIDIO!$V$9)*(0.04)/(1-0.04)</f>
        <v>0</v>
      </c>
      <c r="AC9" s="42">
        <f>((SUBSIDIO!$L$9*SUBSIDIO!$W$9)+(SUBSIDIO!$N$9*SUBSIDIO!$X$9))*(0.04)/(1-0.04)</f>
        <v>7.1975924000000004</v>
      </c>
      <c r="AD9" s="42">
        <f>(SUBSIDIO!$J$9*SUBSIDIO!$Y$9)*(0.02)/(1-0.02)</f>
        <v>0</v>
      </c>
      <c r="AE9" s="42">
        <f ca="1">((SUBSIDIO!$L$9*SUBSIDIO!$Z$9)+(SUBSIDIO!$N$9*SUBSIDIO!$AA$9))*(0.02)/(1-0.02)</f>
        <v>4.7359832976052267</v>
      </c>
      <c r="AF9" s="4" t="s">
        <v>933</v>
      </c>
      <c r="AH9" s="35" t="s">
        <v>942</v>
      </c>
      <c r="AI9" s="36">
        <f t="shared" si="4"/>
        <v>0</v>
      </c>
      <c r="AJ9" s="36">
        <f t="shared" si="5"/>
        <v>0</v>
      </c>
    </row>
    <row r="10" spans="1:36" ht="11.25" customHeight="1" x14ac:dyDescent="0.25">
      <c r="A10" s="4" t="s">
        <v>21</v>
      </c>
      <c r="B10" s="4" t="s">
        <v>43</v>
      </c>
      <c r="C10" s="4" t="s">
        <v>44</v>
      </c>
      <c r="D10" s="4" t="s">
        <v>47</v>
      </c>
      <c r="E10" s="4" t="s">
        <v>55</v>
      </c>
      <c r="F10" s="4" t="s">
        <v>25</v>
      </c>
      <c r="G10" s="4" t="s">
        <v>25</v>
      </c>
      <c r="H10" s="4" t="s">
        <v>37</v>
      </c>
      <c r="I10" s="5">
        <v>44835</v>
      </c>
      <c r="J10" s="6">
        <v>0</v>
      </c>
      <c r="K10" s="42">
        <v>0</v>
      </c>
      <c r="L10" s="6">
        <v>0.50800000000000001</v>
      </c>
      <c r="M10" s="42">
        <v>0.50800000000000001</v>
      </c>
      <c r="N10" s="6">
        <v>0.50800000000000001</v>
      </c>
      <c r="O10" s="42">
        <v>0.50800000000000001</v>
      </c>
      <c r="P10" s="6">
        <v>0</v>
      </c>
      <c r="Q10" s="4" t="s">
        <v>26</v>
      </c>
      <c r="R10" s="4">
        <v>0</v>
      </c>
      <c r="S10" s="4">
        <v>0</v>
      </c>
      <c r="T10" s="4">
        <v>14</v>
      </c>
      <c r="U10" s="4">
        <v>72</v>
      </c>
      <c r="V10" s="42">
        <f>IF(ISERROR(VLOOKUP($S$10,'TAR FIN'!$A$1:$O$115,15,0)),0,VLOOKUP($S$10,'TAR FIN'!$A$1:$O$115,15,0))</f>
        <v>0</v>
      </c>
      <c r="W10" s="42">
        <f>IF(ISERROR(VLOOKUP($T$10,'TAR FIN'!$A$1:$O$115,15,0)),0,VLOOKUP($T$10,'TAR FIN'!$A$1:$O$115,15,0))*(1-0.04)</f>
        <v>80.937600000000003</v>
      </c>
      <c r="X10" s="42">
        <f>IF(ISERROR(VLOOKUP($U$10,'TAR FIN'!$A$1:$O$115,15,0)),0,VLOOKUP($U$10,'TAR FIN'!$A$1:$O$115,15,0))*(1-0.04)</f>
        <v>161.33760000000001</v>
      </c>
      <c r="Y10" s="42"/>
      <c r="Z10" s="42">
        <f ca="1">('TUSD BE'!$AM$16+'TUSD BF'!$AM$16+'TUSD CVA'!$AM$16)*1*(1-0.02)</f>
        <v>111.16258866775823</v>
      </c>
      <c r="AA10" s="42">
        <f>('TE BE'!$AB$9+'TE BF'!$AB$9+'TE CVA'!$AB$9)*1*(1-0.02)</f>
        <v>214.31171930230647</v>
      </c>
      <c r="AB10" s="42">
        <f>(SUBSIDIO!$J$10*SUBSIDIO!$V$10)*(0.04)/(1-0.04)</f>
        <v>0</v>
      </c>
      <c r="AC10" s="42">
        <f>((SUBSIDIO!$L$10*SUBSIDIO!$W$10)+(SUBSIDIO!$N$10*SUBSIDIO!$X$10))*(0.04)/(1-0.04)</f>
        <v>5.1281584000000002</v>
      </c>
      <c r="AD10" s="42">
        <f>(SUBSIDIO!$J$10*SUBSIDIO!$Y$10)*(0.02)/(1-0.02)</f>
        <v>0</v>
      </c>
      <c r="AE10" s="42">
        <f ca="1">((SUBSIDIO!$L$10*SUBSIDIO!$Z$10)+(SUBSIDIO!$N$10*SUBSIDIO!$AA$10))*(0.02)/(1-0.02)</f>
        <v>3.3743050703835276</v>
      </c>
      <c r="AF10" s="4" t="s">
        <v>933</v>
      </c>
    </row>
    <row r="11" spans="1:36" ht="11.25" customHeight="1" x14ac:dyDescent="0.25">
      <c r="A11" s="4" t="s">
        <v>59</v>
      </c>
      <c r="B11" s="4" t="s">
        <v>43</v>
      </c>
      <c r="C11" s="4" t="s">
        <v>44</v>
      </c>
      <c r="D11" s="4" t="s">
        <v>47</v>
      </c>
      <c r="E11" s="4" t="s">
        <v>55</v>
      </c>
      <c r="F11" s="4" t="s">
        <v>25</v>
      </c>
      <c r="G11" s="4" t="s">
        <v>25</v>
      </c>
      <c r="H11" s="4" t="s">
        <v>37</v>
      </c>
      <c r="I11" s="5">
        <v>44866</v>
      </c>
      <c r="J11" s="6">
        <v>0</v>
      </c>
      <c r="K11" s="42">
        <v>0</v>
      </c>
      <c r="L11" s="6">
        <v>0.50800000000000001</v>
      </c>
      <c r="M11" s="42">
        <v>0.50800000000000001</v>
      </c>
      <c r="N11" s="6">
        <v>0.50800000000000001</v>
      </c>
      <c r="O11" s="42">
        <v>0.50800000000000001</v>
      </c>
      <c r="P11" s="6">
        <v>0</v>
      </c>
      <c r="Q11" s="4" t="s">
        <v>26</v>
      </c>
      <c r="R11" s="4">
        <v>0</v>
      </c>
      <c r="S11" s="4">
        <v>0</v>
      </c>
      <c r="T11" s="4">
        <v>14</v>
      </c>
      <c r="U11" s="4">
        <v>72</v>
      </c>
      <c r="V11" s="42">
        <f>IF(ISERROR(VLOOKUP($S$11,'TAR FIN'!$A$1:$O$115,15,0)),0,VLOOKUP($S$11,'TAR FIN'!$A$1:$O$115,15,0))</f>
        <v>0</v>
      </c>
      <c r="W11" s="42">
        <f>IF(ISERROR(VLOOKUP($T$11,'TAR FIN'!$A$1:$O$115,15,0)),0,VLOOKUP($T$11,'TAR FIN'!$A$1:$O$115,15,0))*(1-0.04)</f>
        <v>80.937600000000003</v>
      </c>
      <c r="X11" s="42">
        <f>IF(ISERROR(VLOOKUP($U$11,'TAR FIN'!$A$1:$O$115,15,0)),0,VLOOKUP($U$11,'TAR FIN'!$A$1:$O$115,15,0))*(1-0.04)</f>
        <v>161.33760000000001</v>
      </c>
      <c r="Y11" s="42"/>
      <c r="Z11" s="42">
        <f ca="1">('TUSD BE'!$AM$16+'TUSD BF'!$AM$16+'TUSD CVA'!$AM$16)*1*(1-0.02)</f>
        <v>111.16258866775823</v>
      </c>
      <c r="AA11" s="42">
        <f>('TE BE'!$AB$9+'TE BF'!$AB$9+'TE CVA'!$AB$9)*1*(1-0.02)</f>
        <v>214.31171930230647</v>
      </c>
      <c r="AB11" s="42">
        <f>(SUBSIDIO!$J$11*SUBSIDIO!$V$11)*(0.04)/(1-0.04)</f>
        <v>0</v>
      </c>
      <c r="AC11" s="42">
        <f>((SUBSIDIO!$L$11*SUBSIDIO!$W$11)+(SUBSIDIO!$N$11*SUBSIDIO!$X$11))*(0.04)/(1-0.04)</f>
        <v>5.1281584000000002</v>
      </c>
      <c r="AD11" s="42">
        <f>(SUBSIDIO!$J$11*SUBSIDIO!$Y$11)*(0.02)/(1-0.02)</f>
        <v>0</v>
      </c>
      <c r="AE11" s="42">
        <f ca="1">((SUBSIDIO!$L$11*SUBSIDIO!$Z$11)+(SUBSIDIO!$N$11*SUBSIDIO!$AA$11))*(0.02)/(1-0.02)</f>
        <v>3.3743050703835276</v>
      </c>
      <c r="AF11" s="4" t="s">
        <v>933</v>
      </c>
    </row>
    <row r="12" spans="1:36" ht="11.25" customHeight="1" x14ac:dyDescent="0.25">
      <c r="A12" s="4" t="s">
        <v>21</v>
      </c>
      <c r="B12" s="4" t="s">
        <v>43</v>
      </c>
      <c r="C12" s="4" t="s">
        <v>44</v>
      </c>
      <c r="D12" s="4" t="s">
        <v>47</v>
      </c>
      <c r="E12" s="4" t="s">
        <v>55</v>
      </c>
      <c r="F12" s="4" t="s">
        <v>25</v>
      </c>
      <c r="G12" s="4" t="s">
        <v>25</v>
      </c>
      <c r="H12" s="4" t="s">
        <v>25</v>
      </c>
      <c r="I12" s="5">
        <v>44713</v>
      </c>
      <c r="J12" s="6">
        <v>15</v>
      </c>
      <c r="K12" s="42">
        <v>15</v>
      </c>
      <c r="L12" s="6">
        <v>0</v>
      </c>
      <c r="M12" s="42">
        <v>0</v>
      </c>
      <c r="N12" s="6">
        <v>0</v>
      </c>
      <c r="O12" s="42">
        <v>0</v>
      </c>
      <c r="P12" s="6">
        <v>1</v>
      </c>
      <c r="Q12" s="4" t="s">
        <v>26</v>
      </c>
      <c r="R12" s="4">
        <v>0</v>
      </c>
      <c r="S12" s="4">
        <v>12</v>
      </c>
      <c r="T12" s="4">
        <v>0</v>
      </c>
      <c r="U12" s="4">
        <v>0</v>
      </c>
      <c r="V12" s="42">
        <f>IF(ISERROR(VLOOKUP($S$12,'TAR FIN'!$A$1:$O$115,15,0)),0,VLOOKUP($S$12,'TAR FIN'!$A$1:$O$115,15,0))*(1-0.04)</f>
        <v>19.007999999999999</v>
      </c>
      <c r="W12" s="42">
        <f>IF(ISERROR(VLOOKUP($T$12,'TAR FIN'!$A$1:$O$115,15,0)),0,VLOOKUP($T$12,'TAR FIN'!$A$1:$O$115,15,0))</f>
        <v>0</v>
      </c>
      <c r="X12" s="42">
        <f>IF(ISERROR(VLOOKUP($U$12,'TAR FIN'!$A$1:$O$115,15,0)),0,VLOOKUP($U$12,'TAR FIN'!$A$1:$O$115,15,0))</f>
        <v>0</v>
      </c>
      <c r="Y12" s="42">
        <f ca="1">('TUSD BE'!$AM$14+'TUSD BF'!$AM$14+'TUSD CVA'!$AM$14)*1*(1-0.02)</f>
        <v>20.202910043621255</v>
      </c>
      <c r="Z12" s="42"/>
      <c r="AA12" s="42"/>
      <c r="AB12" s="42">
        <f>(SUBSIDIO!$J$12*SUBSIDIO!$V$12)*(0.04)/(1-0.04)</f>
        <v>11.88</v>
      </c>
      <c r="AC12" s="42">
        <f>((SUBSIDIO!$L$12*SUBSIDIO!$W$12)+(SUBSIDIO!$N$12*SUBSIDIO!$X$12))*(0.04)/(1-0.04)</f>
        <v>0</v>
      </c>
      <c r="AD12" s="42">
        <f ca="1">(SUBSIDIO!$J$12*SUBSIDIO!$Y$12)*(0.02)/(1-0.02)</f>
        <v>6.1845642990677314</v>
      </c>
      <c r="AE12" s="42">
        <f>((SUBSIDIO!$L$12*SUBSIDIO!$Z$12)+(SUBSIDIO!$N$12*SUBSIDIO!$AA$12))*(0.02)/(1-0.02)</f>
        <v>0</v>
      </c>
      <c r="AF12" s="4" t="s">
        <v>933</v>
      </c>
    </row>
    <row r="13" spans="1:36" ht="11.25" customHeight="1" x14ac:dyDescent="0.25">
      <c r="A13" s="4" t="s">
        <v>21</v>
      </c>
      <c r="B13" s="4" t="s">
        <v>43</v>
      </c>
      <c r="C13" s="4" t="s">
        <v>44</v>
      </c>
      <c r="D13" s="4" t="s">
        <v>47</v>
      </c>
      <c r="E13" s="4" t="s">
        <v>55</v>
      </c>
      <c r="F13" s="4" t="s">
        <v>25</v>
      </c>
      <c r="G13" s="4" t="s">
        <v>25</v>
      </c>
      <c r="H13" s="4" t="s">
        <v>25</v>
      </c>
      <c r="I13" s="5">
        <v>44743</v>
      </c>
      <c r="J13" s="6">
        <v>15</v>
      </c>
      <c r="K13" s="42">
        <v>15</v>
      </c>
      <c r="L13" s="6">
        <v>0</v>
      </c>
      <c r="M13" s="42">
        <v>0</v>
      </c>
      <c r="N13" s="6">
        <v>0</v>
      </c>
      <c r="O13" s="42">
        <v>0</v>
      </c>
      <c r="P13" s="6">
        <v>1</v>
      </c>
      <c r="Q13" s="4" t="s">
        <v>26</v>
      </c>
      <c r="R13" s="4">
        <v>0</v>
      </c>
      <c r="S13" s="4">
        <v>12</v>
      </c>
      <c r="T13" s="4">
        <v>0</v>
      </c>
      <c r="U13" s="4">
        <v>0</v>
      </c>
      <c r="V13" s="42">
        <f>IF(ISERROR(VLOOKUP($S$13,'TAR FIN'!$A$1:$O$115,15,0)),0,VLOOKUP($S$13,'TAR FIN'!$A$1:$O$115,15,0))*(1-0.04)</f>
        <v>19.007999999999999</v>
      </c>
      <c r="W13" s="42">
        <f>IF(ISERROR(VLOOKUP($T$13,'TAR FIN'!$A$1:$O$115,15,0)),0,VLOOKUP($T$13,'TAR FIN'!$A$1:$O$115,15,0))</f>
        <v>0</v>
      </c>
      <c r="X13" s="42">
        <f>IF(ISERROR(VLOOKUP($U$13,'TAR FIN'!$A$1:$O$115,15,0)),0,VLOOKUP($U$13,'TAR FIN'!$A$1:$O$115,15,0))</f>
        <v>0</v>
      </c>
      <c r="Y13" s="42">
        <f ca="1">('TUSD BE'!$AM$14+'TUSD BF'!$AM$14+'TUSD CVA'!$AM$14)*1*(1-0.02)</f>
        <v>20.202910043621255</v>
      </c>
      <c r="Z13" s="42"/>
      <c r="AA13" s="42"/>
      <c r="AB13" s="42">
        <f>(SUBSIDIO!$J$13*SUBSIDIO!$V$13)*(0.04)/(1-0.04)</f>
        <v>11.88</v>
      </c>
      <c r="AC13" s="42">
        <f>((SUBSIDIO!$L$13*SUBSIDIO!$W$13)+(SUBSIDIO!$N$13*SUBSIDIO!$X$13))*(0.04)/(1-0.04)</f>
        <v>0</v>
      </c>
      <c r="AD13" s="42">
        <f ca="1">(SUBSIDIO!$J$13*SUBSIDIO!$Y$13)*(0.02)/(1-0.02)</f>
        <v>6.1845642990677314</v>
      </c>
      <c r="AE13" s="42">
        <f>((SUBSIDIO!$L$13*SUBSIDIO!$Z$13)+(SUBSIDIO!$N$13*SUBSIDIO!$AA$13))*(0.02)/(1-0.02)</f>
        <v>0</v>
      </c>
      <c r="AF13" s="4" t="s">
        <v>933</v>
      </c>
    </row>
    <row r="14" spans="1:36" ht="11.25" customHeight="1" x14ac:dyDescent="0.25">
      <c r="A14" s="4" t="s">
        <v>21</v>
      </c>
      <c r="B14" s="4" t="s">
        <v>43</v>
      </c>
      <c r="C14" s="4" t="s">
        <v>44</v>
      </c>
      <c r="D14" s="4" t="s">
        <v>47</v>
      </c>
      <c r="E14" s="4" t="s">
        <v>55</v>
      </c>
      <c r="F14" s="4" t="s">
        <v>25</v>
      </c>
      <c r="G14" s="4" t="s">
        <v>25</v>
      </c>
      <c r="H14" s="4" t="s">
        <v>25</v>
      </c>
      <c r="I14" s="5">
        <v>44774</v>
      </c>
      <c r="J14" s="6">
        <v>15</v>
      </c>
      <c r="K14" s="42">
        <v>15</v>
      </c>
      <c r="L14" s="6">
        <v>0</v>
      </c>
      <c r="M14" s="42">
        <v>0</v>
      </c>
      <c r="N14" s="6">
        <v>0</v>
      </c>
      <c r="O14" s="42">
        <v>0</v>
      </c>
      <c r="P14" s="6">
        <v>1</v>
      </c>
      <c r="Q14" s="4" t="s">
        <v>26</v>
      </c>
      <c r="R14" s="4">
        <v>0</v>
      </c>
      <c r="S14" s="4">
        <v>12</v>
      </c>
      <c r="T14" s="4">
        <v>0</v>
      </c>
      <c r="U14" s="4">
        <v>0</v>
      </c>
      <c r="V14" s="42">
        <f>IF(ISERROR(VLOOKUP($S$14,'TAR FIN'!$A$1:$O$115,15,0)),0,VLOOKUP($S$14,'TAR FIN'!$A$1:$O$115,15,0))*(1-0.04)</f>
        <v>19.007999999999999</v>
      </c>
      <c r="W14" s="42">
        <f>IF(ISERROR(VLOOKUP($T$14,'TAR FIN'!$A$1:$O$115,15,0)),0,VLOOKUP($T$14,'TAR FIN'!$A$1:$O$115,15,0))</f>
        <v>0</v>
      </c>
      <c r="X14" s="42">
        <f>IF(ISERROR(VLOOKUP($U$14,'TAR FIN'!$A$1:$O$115,15,0)),0,VLOOKUP($U$14,'TAR FIN'!$A$1:$O$115,15,0))</f>
        <v>0</v>
      </c>
      <c r="Y14" s="42">
        <f ca="1">('TUSD BE'!$AM$14+'TUSD BF'!$AM$14+'TUSD CVA'!$AM$14)*1*(1-0.02)</f>
        <v>20.202910043621255</v>
      </c>
      <c r="Z14" s="42"/>
      <c r="AA14" s="42"/>
      <c r="AB14" s="42">
        <f>(SUBSIDIO!$J$14*SUBSIDIO!$V$14)*(0.04)/(1-0.04)</f>
        <v>11.88</v>
      </c>
      <c r="AC14" s="42">
        <f>((SUBSIDIO!$L$14*SUBSIDIO!$W$14)+(SUBSIDIO!$N$14*SUBSIDIO!$X$14))*(0.04)/(1-0.04)</f>
        <v>0</v>
      </c>
      <c r="AD14" s="42">
        <f ca="1">(SUBSIDIO!$J$14*SUBSIDIO!$Y$14)*(0.02)/(1-0.02)</f>
        <v>6.1845642990677314</v>
      </c>
      <c r="AE14" s="42">
        <f>((SUBSIDIO!$L$14*SUBSIDIO!$Z$14)+(SUBSIDIO!$N$14*SUBSIDIO!$AA$14))*(0.02)/(1-0.02)</f>
        <v>0</v>
      </c>
      <c r="AF14" s="4" t="s">
        <v>933</v>
      </c>
    </row>
    <row r="15" spans="1:36" ht="11.25" customHeight="1" x14ac:dyDescent="0.25">
      <c r="A15" s="4" t="s">
        <v>21</v>
      </c>
      <c r="B15" s="4" t="s">
        <v>43</v>
      </c>
      <c r="C15" s="4" t="s">
        <v>44</v>
      </c>
      <c r="D15" s="4" t="s">
        <v>47</v>
      </c>
      <c r="E15" s="4" t="s">
        <v>55</v>
      </c>
      <c r="F15" s="4" t="s">
        <v>25</v>
      </c>
      <c r="G15" s="4" t="s">
        <v>25</v>
      </c>
      <c r="H15" s="4" t="s">
        <v>25</v>
      </c>
      <c r="I15" s="5">
        <v>44805</v>
      </c>
      <c r="J15" s="6">
        <v>14</v>
      </c>
      <c r="K15" s="42">
        <v>14</v>
      </c>
      <c r="L15" s="6">
        <v>0</v>
      </c>
      <c r="M15" s="42">
        <v>0</v>
      </c>
      <c r="N15" s="6">
        <v>0</v>
      </c>
      <c r="O15" s="42">
        <v>0</v>
      </c>
      <c r="P15" s="6">
        <v>1</v>
      </c>
      <c r="Q15" s="4" t="s">
        <v>26</v>
      </c>
      <c r="R15" s="4">
        <v>0</v>
      </c>
      <c r="S15" s="4">
        <v>12</v>
      </c>
      <c r="T15" s="4">
        <v>0</v>
      </c>
      <c r="U15" s="4">
        <v>0</v>
      </c>
      <c r="V15" s="42">
        <f>IF(ISERROR(VLOOKUP($S$15,'TAR FIN'!$A$1:$O$115,15,0)),0,VLOOKUP($S$15,'TAR FIN'!$A$1:$O$115,15,0))*(1-0.04)</f>
        <v>19.007999999999999</v>
      </c>
      <c r="W15" s="42">
        <f>IF(ISERROR(VLOOKUP($T$15,'TAR FIN'!$A$1:$O$115,15,0)),0,VLOOKUP($T$15,'TAR FIN'!$A$1:$O$115,15,0))</f>
        <v>0</v>
      </c>
      <c r="X15" s="42">
        <f>IF(ISERROR(VLOOKUP($U$15,'TAR FIN'!$A$1:$O$115,15,0)),0,VLOOKUP($U$15,'TAR FIN'!$A$1:$O$115,15,0))</f>
        <v>0</v>
      </c>
      <c r="Y15" s="42">
        <f ca="1">('TUSD BE'!$AM$14+'TUSD BF'!$AM$14+'TUSD CVA'!$AM$14)*1*(1-0.02)</f>
        <v>20.202910043621255</v>
      </c>
      <c r="Z15" s="42"/>
      <c r="AA15" s="42"/>
      <c r="AB15" s="42">
        <f>(SUBSIDIO!$J$15*SUBSIDIO!$V$15)*(0.04)/(1-0.04)</f>
        <v>11.088000000000001</v>
      </c>
      <c r="AC15" s="42">
        <f>((SUBSIDIO!$L$15*SUBSIDIO!$W$15)+(SUBSIDIO!$N$15*SUBSIDIO!$X$15))*(0.04)/(1-0.04)</f>
        <v>0</v>
      </c>
      <c r="AD15" s="42">
        <f ca="1">(SUBSIDIO!$J$15*SUBSIDIO!$Y$15)*(0.02)/(1-0.02)</f>
        <v>5.7722600124632164</v>
      </c>
      <c r="AE15" s="42">
        <f>((SUBSIDIO!$L$15*SUBSIDIO!$Z$15)+(SUBSIDIO!$N$15*SUBSIDIO!$AA$15))*(0.02)/(1-0.02)</f>
        <v>0</v>
      </c>
      <c r="AF15" s="4" t="s">
        <v>933</v>
      </c>
    </row>
    <row r="16" spans="1:36" ht="11.25" customHeight="1" x14ac:dyDescent="0.25">
      <c r="A16" s="4" t="s">
        <v>21</v>
      </c>
      <c r="B16" s="4" t="s">
        <v>43</v>
      </c>
      <c r="C16" s="4" t="s">
        <v>44</v>
      </c>
      <c r="D16" s="4" t="s">
        <v>47</v>
      </c>
      <c r="E16" s="4" t="s">
        <v>55</v>
      </c>
      <c r="F16" s="4" t="s">
        <v>25</v>
      </c>
      <c r="G16" s="4" t="s">
        <v>25</v>
      </c>
      <c r="H16" s="4" t="s">
        <v>25</v>
      </c>
      <c r="I16" s="5">
        <v>44835</v>
      </c>
      <c r="J16" s="6">
        <v>14</v>
      </c>
      <c r="K16" s="42">
        <v>14</v>
      </c>
      <c r="L16" s="6">
        <v>0</v>
      </c>
      <c r="M16" s="42">
        <v>0</v>
      </c>
      <c r="N16" s="6">
        <v>0</v>
      </c>
      <c r="O16" s="42">
        <v>0</v>
      </c>
      <c r="P16" s="6">
        <v>1</v>
      </c>
      <c r="Q16" s="4" t="s">
        <v>26</v>
      </c>
      <c r="R16" s="4">
        <v>0</v>
      </c>
      <c r="S16" s="4">
        <v>12</v>
      </c>
      <c r="T16" s="4">
        <v>0</v>
      </c>
      <c r="U16" s="4">
        <v>0</v>
      </c>
      <c r="V16" s="42">
        <f>IF(ISERROR(VLOOKUP($S$16,'TAR FIN'!$A$1:$O$115,15,0)),0,VLOOKUP($S$16,'TAR FIN'!$A$1:$O$115,15,0))*(1-0.04)</f>
        <v>19.007999999999999</v>
      </c>
      <c r="W16" s="42">
        <f>IF(ISERROR(VLOOKUP($T$16,'TAR FIN'!$A$1:$O$115,15,0)),0,VLOOKUP($T$16,'TAR FIN'!$A$1:$O$115,15,0))</f>
        <v>0</v>
      </c>
      <c r="X16" s="42">
        <f>IF(ISERROR(VLOOKUP($U$16,'TAR FIN'!$A$1:$O$115,15,0)),0,VLOOKUP($U$16,'TAR FIN'!$A$1:$O$115,15,0))</f>
        <v>0</v>
      </c>
      <c r="Y16" s="42">
        <f ca="1">('TUSD BE'!$AM$14+'TUSD BF'!$AM$14+'TUSD CVA'!$AM$14)*1*(1-0.02)</f>
        <v>20.202910043621255</v>
      </c>
      <c r="Z16" s="42"/>
      <c r="AA16" s="42"/>
      <c r="AB16" s="42">
        <f>(SUBSIDIO!$J$16*SUBSIDIO!$V$16)*(0.04)/(1-0.04)</f>
        <v>11.088000000000001</v>
      </c>
      <c r="AC16" s="42">
        <f>((SUBSIDIO!$L$16*SUBSIDIO!$W$16)+(SUBSIDIO!$N$16*SUBSIDIO!$X$16))*(0.04)/(1-0.04)</f>
        <v>0</v>
      </c>
      <c r="AD16" s="42">
        <f ca="1">(SUBSIDIO!$J$16*SUBSIDIO!$Y$16)*(0.02)/(1-0.02)</f>
        <v>5.7722600124632164</v>
      </c>
      <c r="AE16" s="42">
        <f>((SUBSIDIO!$L$16*SUBSIDIO!$Z$16)+(SUBSIDIO!$N$16*SUBSIDIO!$AA$16))*(0.02)/(1-0.02)</f>
        <v>0</v>
      </c>
      <c r="AF16" s="4" t="s">
        <v>933</v>
      </c>
    </row>
    <row r="17" spans="1:32" ht="11.25" customHeight="1" x14ac:dyDescent="0.25">
      <c r="A17" s="4" t="s">
        <v>59</v>
      </c>
      <c r="B17" s="4" t="s">
        <v>43</v>
      </c>
      <c r="C17" s="4" t="s">
        <v>44</v>
      </c>
      <c r="D17" s="4" t="s">
        <v>47</v>
      </c>
      <c r="E17" s="4" t="s">
        <v>55</v>
      </c>
      <c r="F17" s="4" t="s">
        <v>25</v>
      </c>
      <c r="G17" s="4" t="s">
        <v>25</v>
      </c>
      <c r="H17" s="4" t="s">
        <v>25</v>
      </c>
      <c r="I17" s="5">
        <v>44866</v>
      </c>
      <c r="J17" s="6">
        <v>14</v>
      </c>
      <c r="K17" s="42">
        <v>14</v>
      </c>
      <c r="L17" s="6">
        <v>0</v>
      </c>
      <c r="M17" s="42">
        <v>0</v>
      </c>
      <c r="N17" s="6">
        <v>0</v>
      </c>
      <c r="O17" s="42">
        <v>0</v>
      </c>
      <c r="P17" s="6">
        <v>1</v>
      </c>
      <c r="Q17" s="4" t="s">
        <v>26</v>
      </c>
      <c r="R17" s="4">
        <v>0</v>
      </c>
      <c r="S17" s="4">
        <v>12</v>
      </c>
      <c r="T17" s="4">
        <v>0</v>
      </c>
      <c r="U17" s="4">
        <v>0</v>
      </c>
      <c r="V17" s="42">
        <f>IF(ISERROR(VLOOKUP($S$17,'TAR FIN'!$A$1:$O$115,15,0)),0,VLOOKUP($S$17,'TAR FIN'!$A$1:$O$115,15,0))*(1-0.04)</f>
        <v>19.007999999999999</v>
      </c>
      <c r="W17" s="42">
        <f>IF(ISERROR(VLOOKUP($T$17,'TAR FIN'!$A$1:$O$115,15,0)),0,VLOOKUP($T$17,'TAR FIN'!$A$1:$O$115,15,0))</f>
        <v>0</v>
      </c>
      <c r="X17" s="42">
        <f>IF(ISERROR(VLOOKUP($U$17,'TAR FIN'!$A$1:$O$115,15,0)),0,VLOOKUP($U$17,'TAR FIN'!$A$1:$O$115,15,0))</f>
        <v>0</v>
      </c>
      <c r="Y17" s="42">
        <f ca="1">('TUSD BE'!$AM$14+'TUSD BF'!$AM$14+'TUSD CVA'!$AM$14)*1*(1-0.02)</f>
        <v>20.202910043621255</v>
      </c>
      <c r="Z17" s="42"/>
      <c r="AA17" s="42"/>
      <c r="AB17" s="42">
        <f>(SUBSIDIO!$J$17*SUBSIDIO!$V$17)*(0.04)/(1-0.04)</f>
        <v>11.088000000000001</v>
      </c>
      <c r="AC17" s="42">
        <f>((SUBSIDIO!$L$17*SUBSIDIO!$W$17)+(SUBSIDIO!$N$17*SUBSIDIO!$X$17))*(0.04)/(1-0.04)</f>
        <v>0</v>
      </c>
      <c r="AD17" s="42">
        <f ca="1">(SUBSIDIO!$J$17*SUBSIDIO!$Y$17)*(0.02)/(1-0.02)</f>
        <v>5.7722600124632164</v>
      </c>
      <c r="AE17" s="42">
        <f>((SUBSIDIO!$L$17*SUBSIDIO!$Z$17)+(SUBSIDIO!$N$17*SUBSIDIO!$AA$17))*(0.02)/(1-0.02)</f>
        <v>0</v>
      </c>
      <c r="AF17" s="4" t="s">
        <v>933</v>
      </c>
    </row>
    <row r="18" spans="1:32" ht="11.25" customHeight="1" x14ac:dyDescent="0.25">
      <c r="A18" s="4" t="s">
        <v>21</v>
      </c>
      <c r="B18" s="4" t="s">
        <v>43</v>
      </c>
      <c r="C18" s="4" t="s">
        <v>44</v>
      </c>
      <c r="D18" s="4" t="s">
        <v>47</v>
      </c>
      <c r="E18" s="4" t="s">
        <v>55</v>
      </c>
      <c r="F18" s="4" t="s">
        <v>25</v>
      </c>
      <c r="G18" s="4" t="s">
        <v>25</v>
      </c>
      <c r="H18" s="4" t="s">
        <v>36</v>
      </c>
      <c r="I18" s="5">
        <v>44713</v>
      </c>
      <c r="J18" s="6">
        <v>0</v>
      </c>
      <c r="K18" s="42">
        <v>0</v>
      </c>
      <c r="L18" s="6">
        <v>6.0000000000000001E-3</v>
      </c>
      <c r="M18" s="42">
        <v>6.0000000000000001E-3</v>
      </c>
      <c r="N18" s="6">
        <v>6.0000000000000001E-3</v>
      </c>
      <c r="O18" s="42">
        <v>6.0000000000000001E-3</v>
      </c>
      <c r="P18" s="6">
        <v>0</v>
      </c>
      <c r="Q18" s="4" t="s">
        <v>26</v>
      </c>
      <c r="R18" s="4">
        <v>0</v>
      </c>
      <c r="S18" s="4">
        <v>0</v>
      </c>
      <c r="T18" s="4">
        <v>13</v>
      </c>
      <c r="U18" s="4">
        <v>71</v>
      </c>
      <c r="V18" s="42">
        <f>IF(ISERROR(VLOOKUP($S$18,'TAR FIN'!$A$1:$O$115,15,0)),0,VLOOKUP($S$18,'TAR FIN'!$A$1:$O$115,15,0))</f>
        <v>0</v>
      </c>
      <c r="W18" s="42">
        <f>IF(ISERROR(VLOOKUP($T$18,'TAR FIN'!$A$1:$O$115,15,0)),0,VLOOKUP($T$18,'TAR FIN'!$A$1:$O$115,15,0))*(1-0.04)</f>
        <v>1391.0016000000001</v>
      </c>
      <c r="X18" s="42">
        <f>IF(ISERROR(VLOOKUP($U$18,'TAR FIN'!$A$1:$O$115,15,0)),0,VLOOKUP($U$18,'TAR FIN'!$A$1:$O$115,15,0))*(1-0.04)</f>
        <v>259.488</v>
      </c>
      <c r="Y18" s="42"/>
      <c r="Z18" s="42">
        <f ca="1">('TUSD BE'!$AM$15+'TUSD BF'!$AM$15+'TUSD CVA'!$AM$15)*1*(1-0.02)</f>
        <v>1450.5254602362083</v>
      </c>
      <c r="AA18" s="42">
        <f>('TE BE'!$AB$8+'TE BF'!$AB$8+'TE CVA'!$AB$8)*1*(1-0.02)</f>
        <v>355.39110709588994</v>
      </c>
      <c r="AB18" s="42">
        <f>(SUBSIDIO!$J$18*SUBSIDIO!$V$18)*(0.04)/(1-0.04)</f>
        <v>0</v>
      </c>
      <c r="AC18" s="42">
        <f>((SUBSIDIO!$L$18*SUBSIDIO!$W$18)+(SUBSIDIO!$N$18*SUBSIDIO!$X$18))*(0.04)/(1-0.04)</f>
        <v>0.41262240000000006</v>
      </c>
      <c r="AD18" s="42">
        <f>(SUBSIDIO!$J$18*SUBSIDIO!$Y$18)*(0.02)/(1-0.02)</f>
        <v>0</v>
      </c>
      <c r="AE18" s="42">
        <f ca="1">((SUBSIDIO!$L$18*SUBSIDIO!$Z$18)+(SUBSIDIO!$N$18*SUBSIDIO!$AA$18))*(0.02)/(1-0.02)</f>
        <v>0.22113264089780796</v>
      </c>
      <c r="AF18" s="4" t="s">
        <v>933</v>
      </c>
    </row>
    <row r="19" spans="1:32" ht="11.25" customHeight="1" x14ac:dyDescent="0.25">
      <c r="A19" s="4" t="s">
        <v>21</v>
      </c>
      <c r="B19" s="4" t="s">
        <v>43</v>
      </c>
      <c r="C19" s="4" t="s">
        <v>44</v>
      </c>
      <c r="D19" s="4" t="s">
        <v>47</v>
      </c>
      <c r="E19" s="4" t="s">
        <v>55</v>
      </c>
      <c r="F19" s="4" t="s">
        <v>25</v>
      </c>
      <c r="G19" s="4" t="s">
        <v>25</v>
      </c>
      <c r="H19" s="4" t="s">
        <v>36</v>
      </c>
      <c r="I19" s="5">
        <v>44743</v>
      </c>
      <c r="J19" s="6">
        <v>0</v>
      </c>
      <c r="K19" s="42">
        <v>0</v>
      </c>
      <c r="L19" s="6">
        <v>7.0000000000000001E-3</v>
      </c>
      <c r="M19" s="42">
        <v>7.0000000000000001E-3</v>
      </c>
      <c r="N19" s="6">
        <v>7.0000000000000001E-3</v>
      </c>
      <c r="O19" s="42">
        <v>7.0000000000000001E-3</v>
      </c>
      <c r="P19" s="6">
        <v>0</v>
      </c>
      <c r="Q19" s="4" t="s">
        <v>26</v>
      </c>
      <c r="R19" s="4">
        <v>0</v>
      </c>
      <c r="S19" s="4">
        <v>0</v>
      </c>
      <c r="T19" s="4">
        <v>13</v>
      </c>
      <c r="U19" s="4">
        <v>71</v>
      </c>
      <c r="V19" s="42">
        <f>IF(ISERROR(VLOOKUP($S$19,'TAR FIN'!$A$1:$O$115,15,0)),0,VLOOKUP($S$19,'TAR FIN'!$A$1:$O$115,15,0))</f>
        <v>0</v>
      </c>
      <c r="W19" s="42">
        <f>IF(ISERROR(VLOOKUP($T$19,'TAR FIN'!$A$1:$O$115,15,0)),0,VLOOKUP($T$19,'TAR FIN'!$A$1:$O$115,15,0))*(1-0.04)</f>
        <v>1391.0016000000001</v>
      </c>
      <c r="X19" s="42">
        <f>IF(ISERROR(VLOOKUP($U$19,'TAR FIN'!$A$1:$O$115,15,0)),0,VLOOKUP($U$19,'TAR FIN'!$A$1:$O$115,15,0))*(1-0.04)</f>
        <v>259.488</v>
      </c>
      <c r="Y19" s="42"/>
      <c r="Z19" s="42">
        <f ca="1">('TUSD BE'!$AM$15+'TUSD BF'!$AM$15+'TUSD CVA'!$AM$15)*1*(1-0.02)</f>
        <v>1450.5254602362083</v>
      </c>
      <c r="AA19" s="42">
        <f>('TE BE'!$AB$8+'TE BF'!$AB$8+'TE CVA'!$AB$8)*1*(1-0.02)</f>
        <v>355.39110709588994</v>
      </c>
      <c r="AB19" s="42">
        <f>(SUBSIDIO!$J$19*SUBSIDIO!$V$19)*(0.04)/(1-0.04)</f>
        <v>0</v>
      </c>
      <c r="AC19" s="42">
        <f>((SUBSIDIO!$L$19*SUBSIDIO!$W$19)+(SUBSIDIO!$N$19*SUBSIDIO!$X$19))*(0.04)/(1-0.04)</f>
        <v>0.48139280000000012</v>
      </c>
      <c r="AD19" s="42">
        <f>(SUBSIDIO!$J$19*SUBSIDIO!$Y$19)*(0.02)/(1-0.02)</f>
        <v>0</v>
      </c>
      <c r="AE19" s="42">
        <f ca="1">((SUBSIDIO!$L$19*SUBSIDIO!$Z$19)+(SUBSIDIO!$N$19*SUBSIDIO!$AA$19))*(0.02)/(1-0.02)</f>
        <v>0.25798808104744259</v>
      </c>
      <c r="AF19" s="4" t="s">
        <v>933</v>
      </c>
    </row>
    <row r="20" spans="1:32" ht="11.25" customHeight="1" x14ac:dyDescent="0.25">
      <c r="A20" s="4" t="s">
        <v>21</v>
      </c>
      <c r="B20" s="4" t="s">
        <v>43</v>
      </c>
      <c r="C20" s="4" t="s">
        <v>44</v>
      </c>
      <c r="D20" s="4" t="s">
        <v>47</v>
      </c>
      <c r="E20" s="4" t="s">
        <v>55</v>
      </c>
      <c r="F20" s="4" t="s">
        <v>25</v>
      </c>
      <c r="G20" s="4" t="s">
        <v>25</v>
      </c>
      <c r="H20" s="4" t="s">
        <v>36</v>
      </c>
      <c r="I20" s="5">
        <v>44774</v>
      </c>
      <c r="J20" s="6">
        <v>0</v>
      </c>
      <c r="K20" s="42">
        <v>0</v>
      </c>
      <c r="L20" s="6">
        <v>1.2E-2</v>
      </c>
      <c r="M20" s="42">
        <v>1.2E-2</v>
      </c>
      <c r="N20" s="6">
        <v>1.2E-2</v>
      </c>
      <c r="O20" s="42">
        <v>1.2E-2</v>
      </c>
      <c r="P20" s="6">
        <v>0</v>
      </c>
      <c r="Q20" s="4" t="s">
        <v>26</v>
      </c>
      <c r="R20" s="4">
        <v>0</v>
      </c>
      <c r="S20" s="4">
        <v>0</v>
      </c>
      <c r="T20" s="4">
        <v>13</v>
      </c>
      <c r="U20" s="4">
        <v>71</v>
      </c>
      <c r="V20" s="42">
        <f>IF(ISERROR(VLOOKUP($S$20,'TAR FIN'!$A$1:$O$115,15,0)),0,VLOOKUP($S$20,'TAR FIN'!$A$1:$O$115,15,0))</f>
        <v>0</v>
      </c>
      <c r="W20" s="42">
        <f>IF(ISERROR(VLOOKUP($T$20,'TAR FIN'!$A$1:$O$115,15,0)),0,VLOOKUP($T$20,'TAR FIN'!$A$1:$O$115,15,0))*(1-0.04)</f>
        <v>1391.0016000000001</v>
      </c>
      <c r="X20" s="42">
        <f>IF(ISERROR(VLOOKUP($U$20,'TAR FIN'!$A$1:$O$115,15,0)),0,VLOOKUP($U$20,'TAR FIN'!$A$1:$O$115,15,0))*(1-0.04)</f>
        <v>259.488</v>
      </c>
      <c r="Y20" s="42"/>
      <c r="Z20" s="42">
        <f ca="1">('TUSD BE'!$AM$15+'TUSD BF'!$AM$15+'TUSD CVA'!$AM$15)*1*(1-0.02)</f>
        <v>1450.5254602362083</v>
      </c>
      <c r="AA20" s="42">
        <f>('TE BE'!$AB$8+'TE BF'!$AB$8+'TE CVA'!$AB$8)*1*(1-0.02)</f>
        <v>355.39110709588994</v>
      </c>
      <c r="AB20" s="42">
        <f>(SUBSIDIO!$J$20*SUBSIDIO!$V$20)*(0.04)/(1-0.04)</f>
        <v>0</v>
      </c>
      <c r="AC20" s="42">
        <f>((SUBSIDIO!$L$20*SUBSIDIO!$W$20)+(SUBSIDIO!$N$20*SUBSIDIO!$X$20))*(0.04)/(1-0.04)</f>
        <v>0.82524480000000011</v>
      </c>
      <c r="AD20" s="42">
        <f>(SUBSIDIO!$J$20*SUBSIDIO!$Y$20)*(0.02)/(1-0.02)</f>
        <v>0</v>
      </c>
      <c r="AE20" s="42">
        <f ca="1">((SUBSIDIO!$L$20*SUBSIDIO!$Z$20)+(SUBSIDIO!$N$20*SUBSIDIO!$AA$20))*(0.02)/(1-0.02)</f>
        <v>0.44226528179561592</v>
      </c>
      <c r="AF20" s="4" t="s">
        <v>933</v>
      </c>
    </row>
    <row r="21" spans="1:32" ht="11.25" customHeight="1" x14ac:dyDescent="0.25">
      <c r="A21" s="4" t="s">
        <v>21</v>
      </c>
      <c r="B21" s="4" t="s">
        <v>43</v>
      </c>
      <c r="C21" s="4" t="s">
        <v>44</v>
      </c>
      <c r="D21" s="4" t="s">
        <v>47</v>
      </c>
      <c r="E21" s="4" t="s">
        <v>55</v>
      </c>
      <c r="F21" s="4" t="s">
        <v>25</v>
      </c>
      <c r="G21" s="4" t="s">
        <v>25</v>
      </c>
      <c r="H21" s="4" t="s">
        <v>36</v>
      </c>
      <c r="I21" s="5">
        <v>44805</v>
      </c>
      <c r="J21" s="6">
        <v>0</v>
      </c>
      <c r="K21" s="42">
        <v>0</v>
      </c>
      <c r="L21" s="6">
        <v>1.2E-2</v>
      </c>
      <c r="M21" s="42">
        <v>1.2E-2</v>
      </c>
      <c r="N21" s="6">
        <v>1.2E-2</v>
      </c>
      <c r="O21" s="42">
        <v>1.2E-2</v>
      </c>
      <c r="P21" s="6">
        <v>0</v>
      </c>
      <c r="Q21" s="4" t="s">
        <v>26</v>
      </c>
      <c r="R21" s="4">
        <v>0</v>
      </c>
      <c r="S21" s="4">
        <v>0</v>
      </c>
      <c r="T21" s="4">
        <v>13</v>
      </c>
      <c r="U21" s="4">
        <v>71</v>
      </c>
      <c r="V21" s="42">
        <f>IF(ISERROR(VLOOKUP($S$21,'TAR FIN'!$A$1:$O$115,15,0)),0,VLOOKUP($S$21,'TAR FIN'!$A$1:$O$115,15,0))</f>
        <v>0</v>
      </c>
      <c r="W21" s="42">
        <f>IF(ISERROR(VLOOKUP($T$21,'TAR FIN'!$A$1:$O$115,15,0)),0,VLOOKUP($T$21,'TAR FIN'!$A$1:$O$115,15,0))*(1-0.04)</f>
        <v>1391.0016000000001</v>
      </c>
      <c r="X21" s="42">
        <f>IF(ISERROR(VLOOKUP($U$21,'TAR FIN'!$A$1:$O$115,15,0)),0,VLOOKUP($U$21,'TAR FIN'!$A$1:$O$115,15,0))*(1-0.04)</f>
        <v>259.488</v>
      </c>
      <c r="Y21" s="42"/>
      <c r="Z21" s="42">
        <f ca="1">('TUSD BE'!$AM$15+'TUSD BF'!$AM$15+'TUSD CVA'!$AM$15)*1*(1-0.02)</f>
        <v>1450.5254602362083</v>
      </c>
      <c r="AA21" s="42">
        <f>('TE BE'!$AB$8+'TE BF'!$AB$8+'TE CVA'!$AB$8)*1*(1-0.02)</f>
        <v>355.39110709588994</v>
      </c>
      <c r="AB21" s="42">
        <f>(SUBSIDIO!$J$21*SUBSIDIO!$V$21)*(0.04)/(1-0.04)</f>
        <v>0</v>
      </c>
      <c r="AC21" s="42">
        <f>((SUBSIDIO!$L$21*SUBSIDIO!$W$21)+(SUBSIDIO!$N$21*SUBSIDIO!$X$21))*(0.04)/(1-0.04)</f>
        <v>0.82524480000000011</v>
      </c>
      <c r="AD21" s="42">
        <f>(SUBSIDIO!$J$21*SUBSIDIO!$Y$21)*(0.02)/(1-0.02)</f>
        <v>0</v>
      </c>
      <c r="AE21" s="42">
        <f ca="1">((SUBSIDIO!$L$21*SUBSIDIO!$Z$21)+(SUBSIDIO!$N$21*SUBSIDIO!$AA$21))*(0.02)/(1-0.02)</f>
        <v>0.44226528179561592</v>
      </c>
      <c r="AF21" s="4" t="s">
        <v>933</v>
      </c>
    </row>
    <row r="22" spans="1:32" ht="11.25" customHeight="1" x14ac:dyDescent="0.25">
      <c r="A22" s="4" t="s">
        <v>21</v>
      </c>
      <c r="B22" s="4" t="s">
        <v>43</v>
      </c>
      <c r="C22" s="4" t="s">
        <v>44</v>
      </c>
      <c r="D22" s="4" t="s">
        <v>47</v>
      </c>
      <c r="E22" s="4" t="s">
        <v>55</v>
      </c>
      <c r="F22" s="4" t="s">
        <v>25</v>
      </c>
      <c r="G22" s="4" t="s">
        <v>25</v>
      </c>
      <c r="H22" s="4" t="s">
        <v>36</v>
      </c>
      <c r="I22" s="5">
        <v>44835</v>
      </c>
      <c r="J22" s="6">
        <v>0</v>
      </c>
      <c r="K22" s="42">
        <v>0</v>
      </c>
      <c r="L22" s="6">
        <v>8.0000000000000002E-3</v>
      </c>
      <c r="M22" s="42">
        <v>8.0000000000000002E-3</v>
      </c>
      <c r="N22" s="6">
        <v>8.0000000000000002E-3</v>
      </c>
      <c r="O22" s="42">
        <v>8.0000000000000002E-3</v>
      </c>
      <c r="P22" s="6">
        <v>0</v>
      </c>
      <c r="Q22" s="4" t="s">
        <v>26</v>
      </c>
      <c r="R22" s="4">
        <v>0</v>
      </c>
      <c r="S22" s="4">
        <v>0</v>
      </c>
      <c r="T22" s="4">
        <v>13</v>
      </c>
      <c r="U22" s="4">
        <v>71</v>
      </c>
      <c r="V22" s="42">
        <f>IF(ISERROR(VLOOKUP($S$22,'TAR FIN'!$A$1:$O$115,15,0)),0,VLOOKUP($S$22,'TAR FIN'!$A$1:$O$115,15,0))</f>
        <v>0</v>
      </c>
      <c r="W22" s="42">
        <f>IF(ISERROR(VLOOKUP($T$22,'TAR FIN'!$A$1:$O$115,15,0)),0,VLOOKUP($T$22,'TAR FIN'!$A$1:$O$115,15,0))*(1-0.04)</f>
        <v>1391.0016000000001</v>
      </c>
      <c r="X22" s="42">
        <f>IF(ISERROR(VLOOKUP($U$22,'TAR FIN'!$A$1:$O$115,15,0)),0,VLOOKUP($U$22,'TAR FIN'!$A$1:$O$115,15,0))*(1-0.04)</f>
        <v>259.488</v>
      </c>
      <c r="Y22" s="42"/>
      <c r="Z22" s="42">
        <f ca="1">('TUSD BE'!$AM$15+'TUSD BF'!$AM$15+'TUSD CVA'!$AM$15)*1*(1-0.02)</f>
        <v>1450.5254602362083</v>
      </c>
      <c r="AA22" s="42">
        <f>('TE BE'!$AB$8+'TE BF'!$AB$8+'TE CVA'!$AB$8)*1*(1-0.02)</f>
        <v>355.39110709588994</v>
      </c>
      <c r="AB22" s="42">
        <f>(SUBSIDIO!$J$22*SUBSIDIO!$V$22)*(0.04)/(1-0.04)</f>
        <v>0</v>
      </c>
      <c r="AC22" s="42">
        <f>((SUBSIDIO!$L$22*SUBSIDIO!$W$22)+(SUBSIDIO!$N$22*SUBSIDIO!$X$22))*(0.04)/(1-0.04)</f>
        <v>0.55016320000000007</v>
      </c>
      <c r="AD22" s="42">
        <f>(SUBSIDIO!$J$22*SUBSIDIO!$Y$22)*(0.02)/(1-0.02)</f>
        <v>0</v>
      </c>
      <c r="AE22" s="42">
        <f ca="1">((SUBSIDIO!$L$22*SUBSIDIO!$Z$22)+(SUBSIDIO!$N$22*SUBSIDIO!$AA$22))*(0.02)/(1-0.02)</f>
        <v>0.2948435211970773</v>
      </c>
      <c r="AF22" s="4" t="s">
        <v>933</v>
      </c>
    </row>
    <row r="23" spans="1:32" ht="11.25" customHeight="1" x14ac:dyDescent="0.25">
      <c r="A23" s="4" t="s">
        <v>59</v>
      </c>
      <c r="B23" s="4" t="s">
        <v>43</v>
      </c>
      <c r="C23" s="4" t="s">
        <v>44</v>
      </c>
      <c r="D23" s="4" t="s">
        <v>47</v>
      </c>
      <c r="E23" s="4" t="s">
        <v>55</v>
      </c>
      <c r="F23" s="4" t="s">
        <v>25</v>
      </c>
      <c r="G23" s="4" t="s">
        <v>25</v>
      </c>
      <c r="H23" s="4" t="s">
        <v>36</v>
      </c>
      <c r="I23" s="5">
        <v>44866</v>
      </c>
      <c r="J23" s="6">
        <v>0</v>
      </c>
      <c r="K23" s="42">
        <v>0</v>
      </c>
      <c r="L23" s="6">
        <v>8.0000000000000002E-3</v>
      </c>
      <c r="M23" s="42">
        <v>8.0000000000000002E-3</v>
      </c>
      <c r="N23" s="6">
        <v>8.0000000000000002E-3</v>
      </c>
      <c r="O23" s="42">
        <v>8.0000000000000002E-3</v>
      </c>
      <c r="P23" s="6">
        <v>0</v>
      </c>
      <c r="Q23" s="4" t="s">
        <v>26</v>
      </c>
      <c r="R23" s="4">
        <v>0</v>
      </c>
      <c r="S23" s="4">
        <v>0</v>
      </c>
      <c r="T23" s="4">
        <v>13</v>
      </c>
      <c r="U23" s="4">
        <v>71</v>
      </c>
      <c r="V23" s="42">
        <f>IF(ISERROR(VLOOKUP($S$23,'TAR FIN'!$A$1:$O$115,15,0)),0,VLOOKUP($S$23,'TAR FIN'!$A$1:$O$115,15,0))</f>
        <v>0</v>
      </c>
      <c r="W23" s="42">
        <f>IF(ISERROR(VLOOKUP($T$23,'TAR FIN'!$A$1:$O$115,15,0)),0,VLOOKUP($T$23,'TAR FIN'!$A$1:$O$115,15,0))*(1-0.04)</f>
        <v>1391.0016000000001</v>
      </c>
      <c r="X23" s="42">
        <f>IF(ISERROR(VLOOKUP($U$23,'TAR FIN'!$A$1:$O$115,15,0)),0,VLOOKUP($U$23,'TAR FIN'!$A$1:$O$115,15,0))*(1-0.04)</f>
        <v>259.488</v>
      </c>
      <c r="Y23" s="42"/>
      <c r="Z23" s="42">
        <f ca="1">('TUSD BE'!$AM$15+'TUSD BF'!$AM$15+'TUSD CVA'!$AM$15)*1*(1-0.02)</f>
        <v>1450.5254602362083</v>
      </c>
      <c r="AA23" s="42">
        <f>('TE BE'!$AB$8+'TE BF'!$AB$8+'TE CVA'!$AB$8)*1*(1-0.02)</f>
        <v>355.39110709588994</v>
      </c>
      <c r="AB23" s="42">
        <f>(SUBSIDIO!$J$23*SUBSIDIO!$V$23)*(0.04)/(1-0.04)</f>
        <v>0</v>
      </c>
      <c r="AC23" s="42">
        <f>((SUBSIDIO!$L$23*SUBSIDIO!$W$23)+(SUBSIDIO!$N$23*SUBSIDIO!$X$23))*(0.04)/(1-0.04)</f>
        <v>0.55016320000000007</v>
      </c>
      <c r="AD23" s="42">
        <f>(SUBSIDIO!$J$23*SUBSIDIO!$Y$23)*(0.02)/(1-0.02)</f>
        <v>0</v>
      </c>
      <c r="AE23" s="42">
        <f ca="1">((SUBSIDIO!$L$23*SUBSIDIO!$Z$23)+(SUBSIDIO!$N$23*SUBSIDIO!$AA$23))*(0.02)/(1-0.02)</f>
        <v>0.2948435211970773</v>
      </c>
      <c r="AF23" s="4" t="s">
        <v>933</v>
      </c>
    </row>
    <row r="24" spans="1:32" ht="11.25" customHeight="1" x14ac:dyDescent="0.25">
      <c r="A24" s="4" t="s">
        <v>21</v>
      </c>
      <c r="B24" s="4" t="s">
        <v>43</v>
      </c>
      <c r="C24" s="4" t="s">
        <v>44</v>
      </c>
      <c r="D24" s="4" t="s">
        <v>47</v>
      </c>
      <c r="E24" s="4" t="s">
        <v>25</v>
      </c>
      <c r="F24" s="4" t="s">
        <v>25</v>
      </c>
      <c r="G24" s="4" t="s">
        <v>25</v>
      </c>
      <c r="H24" s="4" t="s">
        <v>37</v>
      </c>
      <c r="I24" s="5">
        <v>44621</v>
      </c>
      <c r="J24" s="6">
        <v>0</v>
      </c>
      <c r="K24" s="42">
        <v>0</v>
      </c>
      <c r="L24" s="6">
        <v>7.3620000000000001</v>
      </c>
      <c r="M24" s="42">
        <v>7.3620000000000001</v>
      </c>
      <c r="N24" s="6">
        <v>7.3620000000000001</v>
      </c>
      <c r="O24" s="42">
        <v>7.3620000000000001</v>
      </c>
      <c r="P24" s="6">
        <v>0</v>
      </c>
      <c r="Q24" s="4" t="s">
        <v>26</v>
      </c>
      <c r="R24" s="4">
        <v>0</v>
      </c>
      <c r="S24" s="4">
        <v>0</v>
      </c>
      <c r="T24" s="4">
        <v>14</v>
      </c>
      <c r="U24" s="4">
        <v>72</v>
      </c>
      <c r="V24" s="42">
        <f>IF(ISERROR(VLOOKUP($S$24,'TAR FIN'!$A$1:$O$115,15,0)),0,VLOOKUP($S$24,'TAR FIN'!$A$1:$O$115,15,0))</f>
        <v>0</v>
      </c>
      <c r="W24" s="42">
        <f>IF(ISERROR(VLOOKUP($T$24,'TAR FIN'!$A$1:$O$115,15,0)),0,VLOOKUP($T$24,'TAR FIN'!$A$1:$O$115,15,0))*(1-0.04)</f>
        <v>80.937600000000003</v>
      </c>
      <c r="X24" s="42">
        <f>IF(ISERROR(VLOOKUP($U$24,'TAR FIN'!$A$1:$O$115,15,0)),0,VLOOKUP($U$24,'TAR FIN'!$A$1:$O$115,15,0))*(1-0.04)</f>
        <v>161.33760000000001</v>
      </c>
      <c r="Y24" s="42"/>
      <c r="Z24" s="42">
        <f ca="1">('TUSD BE'!$AM$16+'TUSD BF'!$AM$16+'TUSD CVA'!$AM$16)*1*(1-0.02)</f>
        <v>111.16258866775823</v>
      </c>
      <c r="AA24" s="42">
        <f>('TE BE'!$AB$9+'TE BF'!$AB$9+'TE CVA'!$AB$9)*1*(1-0.02)</f>
        <v>214.31171930230647</v>
      </c>
      <c r="AB24" s="42">
        <f>(SUBSIDIO!$J$24*SUBSIDIO!$V$24)*(0.04)/(1-0.04)</f>
        <v>0</v>
      </c>
      <c r="AC24" s="42">
        <f>((SUBSIDIO!$L$24*SUBSIDIO!$W$24)+(SUBSIDIO!$N$24*SUBSIDIO!$X$24))*(0.04)/(1-0.04)</f>
        <v>74.317917600000015</v>
      </c>
      <c r="AD24" s="42">
        <f>(SUBSIDIO!$J$24*SUBSIDIO!$Y$24)*(0.02)/(1-0.02)</f>
        <v>0</v>
      </c>
      <c r="AE24" s="42">
        <f ca="1">((SUBSIDIO!$L$24*SUBSIDIO!$Z$24)+(SUBSIDIO!$N$24*SUBSIDIO!$AA$24))*(0.02)/(1-0.02)</f>
        <v>48.900854189298293</v>
      </c>
      <c r="AF24" s="4" t="s">
        <v>933</v>
      </c>
    </row>
    <row r="25" spans="1:32" ht="11.25" customHeight="1" x14ac:dyDescent="0.25">
      <c r="A25" s="4" t="s">
        <v>21</v>
      </c>
      <c r="B25" s="4" t="s">
        <v>43</v>
      </c>
      <c r="C25" s="4" t="s">
        <v>44</v>
      </c>
      <c r="D25" s="4" t="s">
        <v>47</v>
      </c>
      <c r="E25" s="4" t="s">
        <v>25</v>
      </c>
      <c r="F25" s="4" t="s">
        <v>25</v>
      </c>
      <c r="G25" s="4" t="s">
        <v>25</v>
      </c>
      <c r="H25" s="4" t="s">
        <v>37</v>
      </c>
      <c r="I25" s="5">
        <v>44652</v>
      </c>
      <c r="J25" s="6">
        <v>0</v>
      </c>
      <c r="K25" s="42">
        <v>0</v>
      </c>
      <c r="L25" s="6">
        <v>7.01</v>
      </c>
      <c r="M25" s="42">
        <v>7.01</v>
      </c>
      <c r="N25" s="6">
        <v>7.01</v>
      </c>
      <c r="O25" s="42">
        <v>7.01</v>
      </c>
      <c r="P25" s="6">
        <v>0</v>
      </c>
      <c r="Q25" s="4" t="s">
        <v>26</v>
      </c>
      <c r="R25" s="4">
        <v>0</v>
      </c>
      <c r="S25" s="4">
        <v>0</v>
      </c>
      <c r="T25" s="4">
        <v>14</v>
      </c>
      <c r="U25" s="4">
        <v>72</v>
      </c>
      <c r="V25" s="42">
        <f>IF(ISERROR(VLOOKUP($S$25,'TAR FIN'!$A$1:$O$115,15,0)),0,VLOOKUP($S$25,'TAR FIN'!$A$1:$O$115,15,0))</f>
        <v>0</v>
      </c>
      <c r="W25" s="42">
        <f>IF(ISERROR(VLOOKUP($T$25,'TAR FIN'!$A$1:$O$115,15,0)),0,VLOOKUP($T$25,'TAR FIN'!$A$1:$O$115,15,0))*(1-0.04)</f>
        <v>80.937600000000003</v>
      </c>
      <c r="X25" s="42">
        <f>IF(ISERROR(VLOOKUP($U$25,'TAR FIN'!$A$1:$O$115,15,0)),0,VLOOKUP($U$25,'TAR FIN'!$A$1:$O$115,15,0))*(1-0.04)</f>
        <v>161.33760000000001</v>
      </c>
      <c r="Y25" s="42"/>
      <c r="Z25" s="42">
        <f ca="1">('TUSD BE'!$AM$16+'TUSD BF'!$AM$16+'TUSD CVA'!$AM$16)*1*(1-0.02)</f>
        <v>111.16258866775823</v>
      </c>
      <c r="AA25" s="42">
        <f>('TE BE'!$AB$9+'TE BF'!$AB$9+'TE CVA'!$AB$9)*1*(1-0.02)</f>
        <v>214.31171930230647</v>
      </c>
      <c r="AB25" s="42">
        <f>(SUBSIDIO!$J$25*SUBSIDIO!$V$25)*(0.04)/(1-0.04)</f>
        <v>0</v>
      </c>
      <c r="AC25" s="42">
        <f>((SUBSIDIO!$L$25*SUBSIDIO!$W$25)+(SUBSIDIO!$N$25*SUBSIDIO!$X$25))*(0.04)/(1-0.04)</f>
        <v>70.764548000000005</v>
      </c>
      <c r="AD25" s="42">
        <f>(SUBSIDIO!$J$25*SUBSIDIO!$Y$25)*(0.02)/(1-0.02)</f>
        <v>0</v>
      </c>
      <c r="AE25" s="42">
        <f ca="1">((SUBSIDIO!$L$25*SUBSIDIO!$Z$25)+(SUBSIDIO!$N$25*SUBSIDIO!$AA$25))*(0.02)/(1-0.02)</f>
        <v>46.562753038166399</v>
      </c>
      <c r="AF25" s="4" t="s">
        <v>933</v>
      </c>
    </row>
    <row r="26" spans="1:32" ht="11.25" customHeight="1" x14ac:dyDescent="0.25">
      <c r="A26" s="4" t="s">
        <v>21</v>
      </c>
      <c r="B26" s="4" t="s">
        <v>43</v>
      </c>
      <c r="C26" s="4" t="s">
        <v>44</v>
      </c>
      <c r="D26" s="4" t="s">
        <v>47</v>
      </c>
      <c r="E26" s="4" t="s">
        <v>25</v>
      </c>
      <c r="F26" s="4" t="s">
        <v>25</v>
      </c>
      <c r="G26" s="4" t="s">
        <v>25</v>
      </c>
      <c r="H26" s="4" t="s">
        <v>37</v>
      </c>
      <c r="I26" s="5">
        <v>44682</v>
      </c>
      <c r="J26" s="6">
        <v>0</v>
      </c>
      <c r="K26" s="42">
        <v>0</v>
      </c>
      <c r="L26" s="6">
        <v>16.87</v>
      </c>
      <c r="M26" s="42">
        <v>16.87</v>
      </c>
      <c r="N26" s="6">
        <v>16.87</v>
      </c>
      <c r="O26" s="42">
        <v>16.87</v>
      </c>
      <c r="P26" s="6">
        <v>0</v>
      </c>
      <c r="Q26" s="4" t="s">
        <v>26</v>
      </c>
      <c r="R26" s="4">
        <v>0</v>
      </c>
      <c r="S26" s="4">
        <v>0</v>
      </c>
      <c r="T26" s="4">
        <v>14</v>
      </c>
      <c r="U26" s="4">
        <v>72</v>
      </c>
      <c r="V26" s="42">
        <f>IF(ISERROR(VLOOKUP($S$26,'TAR FIN'!$A$1:$O$115,15,0)),0,VLOOKUP($S$26,'TAR FIN'!$A$1:$O$115,15,0))</f>
        <v>0</v>
      </c>
      <c r="W26" s="42">
        <f>IF(ISERROR(VLOOKUP($T$26,'TAR FIN'!$A$1:$O$115,15,0)),0,VLOOKUP($T$26,'TAR FIN'!$A$1:$O$115,15,0))*(1-0.04)</f>
        <v>80.937600000000003</v>
      </c>
      <c r="X26" s="42">
        <f>IF(ISERROR(VLOOKUP($U$26,'TAR FIN'!$A$1:$O$115,15,0)),0,VLOOKUP($U$26,'TAR FIN'!$A$1:$O$115,15,0))*(1-0.04)</f>
        <v>161.33760000000001</v>
      </c>
      <c r="Y26" s="42"/>
      <c r="Z26" s="42">
        <f ca="1">('TUSD BE'!$AM$16+'TUSD BF'!$AM$16+'TUSD CVA'!$AM$16)*1*(1-0.02)</f>
        <v>111.16258866775823</v>
      </c>
      <c r="AA26" s="42">
        <f>('TE BE'!$AB$9+'TE BF'!$AB$9+'TE CVA'!$AB$9)*1*(1-0.02)</f>
        <v>214.31171930230647</v>
      </c>
      <c r="AB26" s="42">
        <f>(SUBSIDIO!$J$26*SUBSIDIO!$V$26)*(0.04)/(1-0.04)</f>
        <v>0</v>
      </c>
      <c r="AC26" s="42">
        <f>((SUBSIDIO!$L$26*SUBSIDIO!$W$26)+(SUBSIDIO!$N$26*SUBSIDIO!$X$26))*(0.04)/(1-0.04)</f>
        <v>170.29927600000002</v>
      </c>
      <c r="AD26" s="42">
        <f>(SUBSIDIO!$J$26*SUBSIDIO!$Y$26)*(0.02)/(1-0.02)</f>
        <v>0</v>
      </c>
      <c r="AE26" s="42">
        <f ca="1">((SUBSIDIO!$L$26*SUBSIDIO!$Z$26)+(SUBSIDIO!$N$26*SUBSIDIO!$AA$26))*(0.02)/(1-0.02)</f>
        <v>112.05615460112227</v>
      </c>
      <c r="AF26" s="4" t="s">
        <v>933</v>
      </c>
    </row>
    <row r="27" spans="1:32" ht="11.25" customHeight="1" x14ac:dyDescent="0.25">
      <c r="A27" s="4" t="s">
        <v>21</v>
      </c>
      <c r="B27" s="4" t="s">
        <v>43</v>
      </c>
      <c r="C27" s="4" t="s">
        <v>44</v>
      </c>
      <c r="D27" s="4" t="s">
        <v>47</v>
      </c>
      <c r="E27" s="4" t="s">
        <v>25</v>
      </c>
      <c r="F27" s="4" t="s">
        <v>25</v>
      </c>
      <c r="G27" s="4" t="s">
        <v>25</v>
      </c>
      <c r="H27" s="4" t="s">
        <v>37</v>
      </c>
      <c r="I27" s="5">
        <v>44713</v>
      </c>
      <c r="J27" s="6">
        <v>0</v>
      </c>
      <c r="K27" s="42">
        <v>0</v>
      </c>
      <c r="L27" s="6">
        <v>9.4410000000000007</v>
      </c>
      <c r="M27" s="42">
        <v>9.4410000000000007</v>
      </c>
      <c r="N27" s="6">
        <v>9.4410000000000007</v>
      </c>
      <c r="O27" s="42">
        <v>9.4410000000000007</v>
      </c>
      <c r="P27" s="6">
        <v>0</v>
      </c>
      <c r="Q27" s="4" t="s">
        <v>26</v>
      </c>
      <c r="R27" s="4">
        <v>0</v>
      </c>
      <c r="S27" s="4">
        <v>0</v>
      </c>
      <c r="T27" s="4">
        <v>14</v>
      </c>
      <c r="U27" s="4">
        <v>72</v>
      </c>
      <c r="V27" s="42">
        <f>IF(ISERROR(VLOOKUP($S$27,'TAR FIN'!$A$1:$O$115,15,0)),0,VLOOKUP($S$27,'TAR FIN'!$A$1:$O$115,15,0))</f>
        <v>0</v>
      </c>
      <c r="W27" s="42">
        <f>IF(ISERROR(VLOOKUP($T$27,'TAR FIN'!$A$1:$O$115,15,0)),0,VLOOKUP($T$27,'TAR FIN'!$A$1:$O$115,15,0))*(1-0.04)</f>
        <v>80.937600000000003</v>
      </c>
      <c r="X27" s="42">
        <f>IF(ISERROR(VLOOKUP($U$27,'TAR FIN'!$A$1:$O$115,15,0)),0,VLOOKUP($U$27,'TAR FIN'!$A$1:$O$115,15,0))*(1-0.04)</f>
        <v>161.33760000000001</v>
      </c>
      <c r="Y27" s="42"/>
      <c r="Z27" s="42">
        <f ca="1">('TUSD BE'!$AM$16+'TUSD BF'!$AM$16+'TUSD CVA'!$AM$16)*1*(1-0.02)</f>
        <v>111.16258866775823</v>
      </c>
      <c r="AA27" s="42">
        <f>('TE BE'!$AB$9+'TE BF'!$AB$9+'TE CVA'!$AB$9)*1*(1-0.02)</f>
        <v>214.31171930230647</v>
      </c>
      <c r="AB27" s="42">
        <f>(SUBSIDIO!$J$27*SUBSIDIO!$V$27)*(0.04)/(1-0.04)</f>
        <v>0</v>
      </c>
      <c r="AC27" s="42">
        <f>((SUBSIDIO!$L$27*SUBSIDIO!$W$27)+(SUBSIDIO!$N$27*SUBSIDIO!$X$27))*(0.04)/(1-0.04)</f>
        <v>95.305006800000001</v>
      </c>
      <c r="AD27" s="42">
        <f>(SUBSIDIO!$J$27*SUBSIDIO!$Y$27)*(0.02)/(1-0.02)</f>
        <v>0</v>
      </c>
      <c r="AE27" s="42">
        <f ca="1">((SUBSIDIO!$L$27*SUBSIDIO!$Z$27)+(SUBSIDIO!$N$27*SUBSIDIO!$AA$27))*(0.02)/(1-0.02)</f>
        <v>62.710264113171043</v>
      </c>
      <c r="AF27" s="4" t="s">
        <v>933</v>
      </c>
    </row>
    <row r="28" spans="1:32" ht="11.25" customHeight="1" x14ac:dyDescent="0.25">
      <c r="A28" s="4" t="s">
        <v>21</v>
      </c>
      <c r="B28" s="4" t="s">
        <v>43</v>
      </c>
      <c r="C28" s="4" t="s">
        <v>44</v>
      </c>
      <c r="D28" s="4" t="s">
        <v>47</v>
      </c>
      <c r="E28" s="4" t="s">
        <v>25</v>
      </c>
      <c r="F28" s="4" t="s">
        <v>25</v>
      </c>
      <c r="G28" s="4" t="s">
        <v>25</v>
      </c>
      <c r="H28" s="4" t="s">
        <v>37</v>
      </c>
      <c r="I28" s="5">
        <v>44743</v>
      </c>
      <c r="J28" s="6">
        <v>0</v>
      </c>
      <c r="K28" s="42">
        <v>0</v>
      </c>
      <c r="L28" s="6">
        <v>8.7940000000000005</v>
      </c>
      <c r="M28" s="42">
        <v>8.7940000000000005</v>
      </c>
      <c r="N28" s="6">
        <v>8.7940000000000005</v>
      </c>
      <c r="O28" s="42">
        <v>8.7940000000000005</v>
      </c>
      <c r="P28" s="6">
        <v>0</v>
      </c>
      <c r="Q28" s="4" t="s">
        <v>26</v>
      </c>
      <c r="R28" s="4">
        <v>0</v>
      </c>
      <c r="S28" s="4">
        <v>0</v>
      </c>
      <c r="T28" s="4">
        <v>14</v>
      </c>
      <c r="U28" s="4">
        <v>72</v>
      </c>
      <c r="V28" s="42">
        <f>IF(ISERROR(VLOOKUP($S$28,'TAR FIN'!$A$1:$O$115,15,0)),0,VLOOKUP($S$28,'TAR FIN'!$A$1:$O$115,15,0))</f>
        <v>0</v>
      </c>
      <c r="W28" s="42">
        <f>IF(ISERROR(VLOOKUP($T$28,'TAR FIN'!$A$1:$O$115,15,0)),0,VLOOKUP($T$28,'TAR FIN'!$A$1:$O$115,15,0))*(1-0.04)</f>
        <v>80.937600000000003</v>
      </c>
      <c r="X28" s="42">
        <f>IF(ISERROR(VLOOKUP($U$28,'TAR FIN'!$A$1:$O$115,15,0)),0,VLOOKUP($U$28,'TAR FIN'!$A$1:$O$115,15,0))*(1-0.04)</f>
        <v>161.33760000000001</v>
      </c>
      <c r="Y28" s="42"/>
      <c r="Z28" s="42">
        <f ca="1">('TUSD BE'!$AM$16+'TUSD BF'!$AM$16+'TUSD CVA'!$AM$16)*1*(1-0.02)</f>
        <v>111.16258866775823</v>
      </c>
      <c r="AA28" s="42">
        <f>('TE BE'!$AB$9+'TE BF'!$AB$9+'TE CVA'!$AB$9)*1*(1-0.02)</f>
        <v>214.31171930230647</v>
      </c>
      <c r="AB28" s="42">
        <f>(SUBSIDIO!$J$28*SUBSIDIO!$V$28)*(0.04)/(1-0.04)</f>
        <v>0</v>
      </c>
      <c r="AC28" s="42">
        <f>((SUBSIDIO!$L$28*SUBSIDIO!$W$28)+(SUBSIDIO!$N$28*SUBSIDIO!$X$28))*(0.04)/(1-0.04)</f>
        <v>88.77367120000001</v>
      </c>
      <c r="AD28" s="42">
        <f>(SUBSIDIO!$J$28*SUBSIDIO!$Y$28)*(0.02)/(1-0.02)</f>
        <v>0</v>
      </c>
      <c r="AE28" s="42">
        <f ca="1">((SUBSIDIO!$L$28*SUBSIDIO!$Z$28)+(SUBSIDIO!$N$28*SUBSIDIO!$AA$28))*(0.02)/(1-0.02)</f>
        <v>58.412674781403048</v>
      </c>
      <c r="AF28" s="4" t="s">
        <v>933</v>
      </c>
    </row>
    <row r="29" spans="1:32" ht="11.25" customHeight="1" x14ac:dyDescent="0.25">
      <c r="A29" s="4" t="s">
        <v>21</v>
      </c>
      <c r="B29" s="4" t="s">
        <v>43</v>
      </c>
      <c r="C29" s="4" t="s">
        <v>44</v>
      </c>
      <c r="D29" s="4" t="s">
        <v>47</v>
      </c>
      <c r="E29" s="4" t="s">
        <v>25</v>
      </c>
      <c r="F29" s="4" t="s">
        <v>25</v>
      </c>
      <c r="G29" s="4" t="s">
        <v>25</v>
      </c>
      <c r="H29" s="4" t="s">
        <v>37</v>
      </c>
      <c r="I29" s="5">
        <v>44774</v>
      </c>
      <c r="J29" s="6">
        <v>0</v>
      </c>
      <c r="K29" s="42">
        <v>0</v>
      </c>
      <c r="L29" s="6">
        <v>3.9180000000000001</v>
      </c>
      <c r="M29" s="42">
        <v>3.9180000000000001</v>
      </c>
      <c r="N29" s="6">
        <v>3.9180000000000001</v>
      </c>
      <c r="O29" s="42">
        <v>3.9180000000000001</v>
      </c>
      <c r="P29" s="6">
        <v>0</v>
      </c>
      <c r="Q29" s="4" t="s">
        <v>26</v>
      </c>
      <c r="R29" s="4">
        <v>0</v>
      </c>
      <c r="S29" s="4">
        <v>0</v>
      </c>
      <c r="T29" s="4">
        <v>14</v>
      </c>
      <c r="U29" s="4">
        <v>72</v>
      </c>
      <c r="V29" s="42">
        <f>IF(ISERROR(VLOOKUP($S$29,'TAR FIN'!$A$1:$O$115,15,0)),0,VLOOKUP($S$29,'TAR FIN'!$A$1:$O$115,15,0))</f>
        <v>0</v>
      </c>
      <c r="W29" s="42">
        <f>IF(ISERROR(VLOOKUP($T$29,'TAR FIN'!$A$1:$O$115,15,0)),0,VLOOKUP($T$29,'TAR FIN'!$A$1:$O$115,15,0))*(1-0.04)</f>
        <v>80.937600000000003</v>
      </c>
      <c r="X29" s="42">
        <f>IF(ISERROR(VLOOKUP($U$29,'TAR FIN'!$A$1:$O$115,15,0)),0,VLOOKUP($U$29,'TAR FIN'!$A$1:$O$115,15,0))*(1-0.04)</f>
        <v>161.33760000000001</v>
      </c>
      <c r="Y29" s="42"/>
      <c r="Z29" s="42">
        <f ca="1">('TUSD BE'!$AM$16+'TUSD BF'!$AM$16+'TUSD CVA'!$AM$16)*1*(1-0.02)</f>
        <v>111.16258866775823</v>
      </c>
      <c r="AA29" s="42">
        <f>('TE BE'!$AB$9+'TE BF'!$AB$9+'TE CVA'!$AB$9)*1*(1-0.02)</f>
        <v>214.31171930230647</v>
      </c>
      <c r="AB29" s="42">
        <f>(SUBSIDIO!$J$29*SUBSIDIO!$V$29)*(0.04)/(1-0.04)</f>
        <v>0</v>
      </c>
      <c r="AC29" s="42">
        <f>((SUBSIDIO!$L$29*SUBSIDIO!$W$29)+(SUBSIDIO!$N$29*SUBSIDIO!$X$29))*(0.04)/(1-0.04)</f>
        <v>39.551426400000011</v>
      </c>
      <c r="AD29" s="42">
        <f>(SUBSIDIO!$J$29*SUBSIDIO!$Y$29)*(0.02)/(1-0.02)</f>
        <v>0</v>
      </c>
      <c r="AE29" s="42">
        <f ca="1">((SUBSIDIO!$L$29*SUBSIDIO!$Z$29)+(SUBSIDIO!$N$29*SUBSIDIO!$AA$29))*(0.02)/(1-0.02)</f>
        <v>26.024659971973747</v>
      </c>
      <c r="AF29" s="4" t="s">
        <v>933</v>
      </c>
    </row>
    <row r="30" spans="1:32" ht="11.25" customHeight="1" x14ac:dyDescent="0.25">
      <c r="A30" s="4" t="s">
        <v>21</v>
      </c>
      <c r="B30" s="4" t="s">
        <v>43</v>
      </c>
      <c r="C30" s="4" t="s">
        <v>44</v>
      </c>
      <c r="D30" s="4" t="s">
        <v>47</v>
      </c>
      <c r="E30" s="4" t="s">
        <v>25</v>
      </c>
      <c r="F30" s="4" t="s">
        <v>25</v>
      </c>
      <c r="G30" s="4" t="s">
        <v>25</v>
      </c>
      <c r="H30" s="4" t="s">
        <v>37</v>
      </c>
      <c r="I30" s="5">
        <v>44805</v>
      </c>
      <c r="J30" s="6">
        <v>0</v>
      </c>
      <c r="K30" s="42">
        <v>0</v>
      </c>
      <c r="L30" s="6">
        <v>6.423</v>
      </c>
      <c r="M30" s="42">
        <v>6.423</v>
      </c>
      <c r="N30" s="6">
        <v>6.423</v>
      </c>
      <c r="O30" s="42">
        <v>6.423</v>
      </c>
      <c r="P30" s="6">
        <v>0</v>
      </c>
      <c r="Q30" s="4" t="s">
        <v>26</v>
      </c>
      <c r="R30" s="4">
        <v>0</v>
      </c>
      <c r="S30" s="4">
        <v>0</v>
      </c>
      <c r="T30" s="4">
        <v>14</v>
      </c>
      <c r="U30" s="4">
        <v>72</v>
      </c>
      <c r="V30" s="42">
        <f>IF(ISERROR(VLOOKUP($S$30,'TAR FIN'!$A$1:$O$115,15,0)),0,VLOOKUP($S$30,'TAR FIN'!$A$1:$O$115,15,0))</f>
        <v>0</v>
      </c>
      <c r="W30" s="42">
        <f>IF(ISERROR(VLOOKUP($T$30,'TAR FIN'!$A$1:$O$115,15,0)),0,VLOOKUP($T$30,'TAR FIN'!$A$1:$O$115,15,0))*(1-0.04)</f>
        <v>80.937600000000003</v>
      </c>
      <c r="X30" s="42">
        <f>IF(ISERROR(VLOOKUP($U$30,'TAR FIN'!$A$1:$O$115,15,0)),0,VLOOKUP($U$30,'TAR FIN'!$A$1:$O$115,15,0))*(1-0.04)</f>
        <v>161.33760000000001</v>
      </c>
      <c r="Y30" s="42"/>
      <c r="Z30" s="42">
        <f ca="1">('TUSD BE'!$AM$16+'TUSD BF'!$AM$16+'TUSD CVA'!$AM$16)*1*(1-0.02)</f>
        <v>111.16258866775823</v>
      </c>
      <c r="AA30" s="42">
        <f>('TE BE'!$AB$9+'TE BF'!$AB$9+'TE CVA'!$AB$9)*1*(1-0.02)</f>
        <v>214.31171930230647</v>
      </c>
      <c r="AB30" s="42">
        <f>(SUBSIDIO!$J$30*SUBSIDIO!$V$30)*(0.04)/(1-0.04)</f>
        <v>0</v>
      </c>
      <c r="AC30" s="42">
        <f>((SUBSIDIO!$L$30*SUBSIDIO!$W$30)+(SUBSIDIO!$N$30*SUBSIDIO!$X$30))*(0.04)/(1-0.04)</f>
        <v>64.8389004</v>
      </c>
      <c r="AD30" s="42">
        <f>(SUBSIDIO!$J$30*SUBSIDIO!$Y$30)*(0.02)/(1-0.02)</f>
        <v>0</v>
      </c>
      <c r="AE30" s="42">
        <f ca="1">((SUBSIDIO!$L$30*SUBSIDIO!$Z$30)+(SUBSIDIO!$N$30*SUBSIDIO!$AA$30))*(0.02)/(1-0.02)</f>
        <v>42.663703675341338</v>
      </c>
      <c r="AF30" s="4" t="s">
        <v>933</v>
      </c>
    </row>
    <row r="31" spans="1:32" ht="11.25" customHeight="1" x14ac:dyDescent="0.25">
      <c r="A31" s="4" t="s">
        <v>21</v>
      </c>
      <c r="B31" s="4" t="s">
        <v>43</v>
      </c>
      <c r="C31" s="4" t="s">
        <v>44</v>
      </c>
      <c r="D31" s="4" t="s">
        <v>47</v>
      </c>
      <c r="E31" s="4" t="s">
        <v>25</v>
      </c>
      <c r="F31" s="4" t="s">
        <v>25</v>
      </c>
      <c r="G31" s="4" t="s">
        <v>25</v>
      </c>
      <c r="H31" s="4" t="s">
        <v>37</v>
      </c>
      <c r="I31" s="5">
        <v>44835</v>
      </c>
      <c r="J31" s="6">
        <v>0</v>
      </c>
      <c r="K31" s="42">
        <v>0</v>
      </c>
      <c r="L31" s="6">
        <v>4.0030000000000001</v>
      </c>
      <c r="M31" s="42">
        <v>4.0030000000000001</v>
      </c>
      <c r="N31" s="6">
        <v>4.0030000000000001</v>
      </c>
      <c r="O31" s="42">
        <v>4.0030000000000001</v>
      </c>
      <c r="P31" s="6">
        <v>0</v>
      </c>
      <c r="Q31" s="4" t="s">
        <v>26</v>
      </c>
      <c r="R31" s="4">
        <v>0</v>
      </c>
      <c r="S31" s="4">
        <v>0</v>
      </c>
      <c r="T31" s="4">
        <v>14</v>
      </c>
      <c r="U31" s="4">
        <v>72</v>
      </c>
      <c r="V31" s="42">
        <f>IF(ISERROR(VLOOKUP($S$31,'TAR FIN'!$A$1:$O$115,15,0)),0,VLOOKUP($S$31,'TAR FIN'!$A$1:$O$115,15,0))</f>
        <v>0</v>
      </c>
      <c r="W31" s="42">
        <f>IF(ISERROR(VLOOKUP($T$31,'TAR FIN'!$A$1:$O$115,15,0)),0,VLOOKUP($T$31,'TAR FIN'!$A$1:$O$115,15,0))*(1-0.04)</f>
        <v>80.937600000000003</v>
      </c>
      <c r="X31" s="42">
        <f>IF(ISERROR(VLOOKUP($U$31,'TAR FIN'!$A$1:$O$115,15,0)),0,VLOOKUP($U$31,'TAR FIN'!$A$1:$O$115,15,0))*(1-0.04)</f>
        <v>161.33760000000001</v>
      </c>
      <c r="Y31" s="42"/>
      <c r="Z31" s="42">
        <f ca="1">('TUSD BE'!$AM$16+'TUSD BF'!$AM$16+'TUSD CVA'!$AM$16)*1*(1-0.02)</f>
        <v>111.16258866775823</v>
      </c>
      <c r="AA31" s="42">
        <f>('TE BE'!$AB$9+'TE BF'!$AB$9+'TE CVA'!$AB$9)*1*(1-0.02)</f>
        <v>214.31171930230647</v>
      </c>
      <c r="AB31" s="42">
        <f>(SUBSIDIO!$J$31*SUBSIDIO!$V$31)*(0.04)/(1-0.04)</f>
        <v>0</v>
      </c>
      <c r="AC31" s="42">
        <f>((SUBSIDIO!$L$31*SUBSIDIO!$W$31)+(SUBSIDIO!$N$31*SUBSIDIO!$X$31))*(0.04)/(1-0.04)</f>
        <v>40.409484400000011</v>
      </c>
      <c r="AD31" s="42">
        <f>(SUBSIDIO!$J$31*SUBSIDIO!$Y$31)*(0.02)/(1-0.02)</f>
        <v>0</v>
      </c>
      <c r="AE31" s="42">
        <f ca="1">((SUBSIDIO!$L$31*SUBSIDIO!$Z$31)+(SUBSIDIO!$N$31*SUBSIDIO!$AA$31))*(0.02)/(1-0.02)</f>
        <v>26.58925826130957</v>
      </c>
      <c r="AF31" s="4" t="s">
        <v>933</v>
      </c>
    </row>
    <row r="32" spans="1:32" ht="11.25" customHeight="1" x14ac:dyDescent="0.25">
      <c r="A32" s="4" t="s">
        <v>59</v>
      </c>
      <c r="B32" s="4" t="s">
        <v>43</v>
      </c>
      <c r="C32" s="4" t="s">
        <v>44</v>
      </c>
      <c r="D32" s="4" t="s">
        <v>47</v>
      </c>
      <c r="E32" s="4" t="s">
        <v>25</v>
      </c>
      <c r="F32" s="4" t="s">
        <v>25</v>
      </c>
      <c r="G32" s="4" t="s">
        <v>25</v>
      </c>
      <c r="H32" s="4" t="s">
        <v>37</v>
      </c>
      <c r="I32" s="5">
        <v>44866</v>
      </c>
      <c r="J32" s="6">
        <v>0</v>
      </c>
      <c r="K32" s="42">
        <v>0</v>
      </c>
      <c r="L32" s="6">
        <v>4.0030000000000001</v>
      </c>
      <c r="M32" s="42">
        <v>4.0030000000000001</v>
      </c>
      <c r="N32" s="6">
        <v>4.0030000000000001</v>
      </c>
      <c r="O32" s="42">
        <v>4.0030000000000001</v>
      </c>
      <c r="P32" s="6">
        <v>0</v>
      </c>
      <c r="Q32" s="4" t="s">
        <v>26</v>
      </c>
      <c r="R32" s="4">
        <v>0</v>
      </c>
      <c r="S32" s="4">
        <v>0</v>
      </c>
      <c r="T32" s="4">
        <v>14</v>
      </c>
      <c r="U32" s="4">
        <v>72</v>
      </c>
      <c r="V32" s="42">
        <f>IF(ISERROR(VLOOKUP($S$32,'TAR FIN'!$A$1:$O$115,15,0)),0,VLOOKUP($S$32,'TAR FIN'!$A$1:$O$115,15,0))</f>
        <v>0</v>
      </c>
      <c r="W32" s="42">
        <f>IF(ISERROR(VLOOKUP($T$32,'TAR FIN'!$A$1:$O$115,15,0)),0,VLOOKUP($T$32,'TAR FIN'!$A$1:$O$115,15,0))*(1-0.04)</f>
        <v>80.937600000000003</v>
      </c>
      <c r="X32" s="42">
        <f>IF(ISERROR(VLOOKUP($U$32,'TAR FIN'!$A$1:$O$115,15,0)),0,VLOOKUP($U$32,'TAR FIN'!$A$1:$O$115,15,0))*(1-0.04)</f>
        <v>161.33760000000001</v>
      </c>
      <c r="Y32" s="42"/>
      <c r="Z32" s="42">
        <f ca="1">('TUSD BE'!$AM$16+'TUSD BF'!$AM$16+'TUSD CVA'!$AM$16)*1*(1-0.02)</f>
        <v>111.16258866775823</v>
      </c>
      <c r="AA32" s="42">
        <f>('TE BE'!$AB$9+'TE BF'!$AB$9+'TE CVA'!$AB$9)*1*(1-0.02)</f>
        <v>214.31171930230647</v>
      </c>
      <c r="AB32" s="42">
        <f>(SUBSIDIO!$J$32*SUBSIDIO!$V$32)*(0.04)/(1-0.04)</f>
        <v>0</v>
      </c>
      <c r="AC32" s="42">
        <f>((SUBSIDIO!$L$32*SUBSIDIO!$W$32)+(SUBSIDIO!$N$32*SUBSIDIO!$X$32))*(0.04)/(1-0.04)</f>
        <v>40.409484400000011</v>
      </c>
      <c r="AD32" s="42">
        <f>(SUBSIDIO!$J$32*SUBSIDIO!$Y$32)*(0.02)/(1-0.02)</f>
        <v>0</v>
      </c>
      <c r="AE32" s="42">
        <f ca="1">((SUBSIDIO!$L$32*SUBSIDIO!$Z$32)+(SUBSIDIO!$N$32*SUBSIDIO!$AA$32))*(0.02)/(1-0.02)</f>
        <v>26.58925826130957</v>
      </c>
      <c r="AF32" s="4" t="s">
        <v>933</v>
      </c>
    </row>
    <row r="33" spans="1:32" ht="11.25" customHeight="1" x14ac:dyDescent="0.25">
      <c r="A33" s="4" t="s">
        <v>21</v>
      </c>
      <c r="B33" s="4" t="s">
        <v>43</v>
      </c>
      <c r="C33" s="4" t="s">
        <v>44</v>
      </c>
      <c r="D33" s="4" t="s">
        <v>47</v>
      </c>
      <c r="E33" s="4" t="s">
        <v>25</v>
      </c>
      <c r="F33" s="4" t="s">
        <v>25</v>
      </c>
      <c r="G33" s="4" t="s">
        <v>25</v>
      </c>
      <c r="H33" s="4" t="s">
        <v>25</v>
      </c>
      <c r="I33" s="5">
        <v>44621</v>
      </c>
      <c r="J33" s="6">
        <v>108</v>
      </c>
      <c r="K33" s="42">
        <v>108</v>
      </c>
      <c r="L33" s="6">
        <v>0</v>
      </c>
      <c r="M33" s="42">
        <v>0</v>
      </c>
      <c r="N33" s="6">
        <v>0</v>
      </c>
      <c r="O33" s="42">
        <v>0</v>
      </c>
      <c r="P33" s="6">
        <v>1</v>
      </c>
      <c r="Q33" s="4" t="s">
        <v>26</v>
      </c>
      <c r="R33" s="4">
        <v>0</v>
      </c>
      <c r="S33" s="4">
        <v>12</v>
      </c>
      <c r="T33" s="4">
        <v>0</v>
      </c>
      <c r="U33" s="4">
        <v>0</v>
      </c>
      <c r="V33" s="42">
        <f>IF(ISERROR(VLOOKUP($S$33,'TAR FIN'!$A$1:$O$115,15,0)),0,VLOOKUP($S$33,'TAR FIN'!$A$1:$O$115,15,0))*(1-0.04)</f>
        <v>19.007999999999999</v>
      </c>
      <c r="W33" s="42">
        <f>IF(ISERROR(VLOOKUP($T$33,'TAR FIN'!$A$1:$O$115,15,0)),0,VLOOKUP($T$33,'TAR FIN'!$A$1:$O$115,15,0))</f>
        <v>0</v>
      </c>
      <c r="X33" s="42">
        <f>IF(ISERROR(VLOOKUP($U$33,'TAR FIN'!$A$1:$O$115,15,0)),0,VLOOKUP($U$33,'TAR FIN'!$A$1:$O$115,15,0))</f>
        <v>0</v>
      </c>
      <c r="Y33" s="42">
        <f ca="1">('TUSD BE'!$AM$14+'TUSD BF'!$AM$14+'TUSD CVA'!$AM$14)*1*(1-0.02)</f>
        <v>20.202910043621255</v>
      </c>
      <c r="Z33" s="42"/>
      <c r="AA33" s="42"/>
      <c r="AB33" s="42">
        <f>(SUBSIDIO!$J$33*SUBSIDIO!$V$33)*(0.04)/(1-0.04)</f>
        <v>85.536000000000001</v>
      </c>
      <c r="AC33" s="42">
        <f>((SUBSIDIO!$L$33*SUBSIDIO!$W$33)+(SUBSIDIO!$N$33*SUBSIDIO!$X$33))*(0.04)/(1-0.04)</f>
        <v>0</v>
      </c>
      <c r="AD33" s="42">
        <f ca="1">(SUBSIDIO!$J$33*SUBSIDIO!$Y$33)*(0.02)/(1-0.02)</f>
        <v>44.528862953287671</v>
      </c>
      <c r="AE33" s="42">
        <f>((SUBSIDIO!$L$33*SUBSIDIO!$Z$33)+(SUBSIDIO!$N$33*SUBSIDIO!$AA$33))*(0.02)/(1-0.02)</f>
        <v>0</v>
      </c>
      <c r="AF33" s="4" t="s">
        <v>933</v>
      </c>
    </row>
    <row r="34" spans="1:32" ht="11.25" customHeight="1" x14ac:dyDescent="0.25">
      <c r="A34" s="4" t="s">
        <v>21</v>
      </c>
      <c r="B34" s="4" t="s">
        <v>43</v>
      </c>
      <c r="C34" s="4" t="s">
        <v>44</v>
      </c>
      <c r="D34" s="4" t="s">
        <v>47</v>
      </c>
      <c r="E34" s="4" t="s">
        <v>25</v>
      </c>
      <c r="F34" s="4" t="s">
        <v>25</v>
      </c>
      <c r="G34" s="4" t="s">
        <v>25</v>
      </c>
      <c r="H34" s="4" t="s">
        <v>25</v>
      </c>
      <c r="I34" s="5">
        <v>44652</v>
      </c>
      <c r="J34" s="6">
        <v>160</v>
      </c>
      <c r="K34" s="42">
        <v>160</v>
      </c>
      <c r="L34" s="6">
        <v>0</v>
      </c>
      <c r="M34" s="42">
        <v>0</v>
      </c>
      <c r="N34" s="6">
        <v>0</v>
      </c>
      <c r="O34" s="42">
        <v>0</v>
      </c>
      <c r="P34" s="6">
        <v>2</v>
      </c>
      <c r="Q34" s="4" t="s">
        <v>26</v>
      </c>
      <c r="R34" s="4">
        <v>0</v>
      </c>
      <c r="S34" s="4">
        <v>12</v>
      </c>
      <c r="T34" s="4">
        <v>0</v>
      </c>
      <c r="U34" s="4">
        <v>0</v>
      </c>
      <c r="V34" s="42">
        <f>IF(ISERROR(VLOOKUP($S$34,'TAR FIN'!$A$1:$O$115,15,0)),0,VLOOKUP($S$34,'TAR FIN'!$A$1:$O$115,15,0))*(1-0.04)</f>
        <v>19.007999999999999</v>
      </c>
      <c r="W34" s="42">
        <f>IF(ISERROR(VLOOKUP($T$34,'TAR FIN'!$A$1:$O$115,15,0)),0,VLOOKUP($T$34,'TAR FIN'!$A$1:$O$115,15,0))</f>
        <v>0</v>
      </c>
      <c r="X34" s="42">
        <f>IF(ISERROR(VLOOKUP($U$34,'TAR FIN'!$A$1:$O$115,15,0)),0,VLOOKUP($U$34,'TAR FIN'!$A$1:$O$115,15,0))</f>
        <v>0</v>
      </c>
      <c r="Y34" s="42">
        <f ca="1">('TUSD BE'!$AM$14+'TUSD BF'!$AM$14+'TUSD CVA'!$AM$14)*1*(1-0.02)</f>
        <v>20.202910043621255</v>
      </c>
      <c r="Z34" s="42"/>
      <c r="AA34" s="42"/>
      <c r="AB34" s="42">
        <f>(SUBSIDIO!$J$34*SUBSIDIO!$V$34)*(0.04)/(1-0.04)</f>
        <v>126.72</v>
      </c>
      <c r="AC34" s="42">
        <f>((SUBSIDIO!$L$34*SUBSIDIO!$W$34)+(SUBSIDIO!$N$34*SUBSIDIO!$X$34))*(0.04)/(1-0.04)</f>
        <v>0</v>
      </c>
      <c r="AD34" s="42">
        <f ca="1">(SUBSIDIO!$J$34*SUBSIDIO!$Y$34)*(0.02)/(1-0.02)</f>
        <v>65.968685856722473</v>
      </c>
      <c r="AE34" s="42">
        <f>((SUBSIDIO!$L$34*SUBSIDIO!$Z$34)+(SUBSIDIO!$N$34*SUBSIDIO!$AA$34))*(0.02)/(1-0.02)</f>
        <v>0</v>
      </c>
      <c r="AF34" s="4" t="s">
        <v>933</v>
      </c>
    </row>
    <row r="35" spans="1:32" ht="11.25" customHeight="1" x14ac:dyDescent="0.25">
      <c r="A35" s="4" t="s">
        <v>21</v>
      </c>
      <c r="B35" s="4" t="s">
        <v>43</v>
      </c>
      <c r="C35" s="4" t="s">
        <v>44</v>
      </c>
      <c r="D35" s="4" t="s">
        <v>47</v>
      </c>
      <c r="E35" s="4" t="s">
        <v>25</v>
      </c>
      <c r="F35" s="4" t="s">
        <v>25</v>
      </c>
      <c r="G35" s="4" t="s">
        <v>25</v>
      </c>
      <c r="H35" s="4" t="s">
        <v>25</v>
      </c>
      <c r="I35" s="5">
        <v>44682</v>
      </c>
      <c r="J35" s="6">
        <v>173</v>
      </c>
      <c r="K35" s="42">
        <v>173</v>
      </c>
      <c r="L35" s="6">
        <v>0</v>
      </c>
      <c r="M35" s="42">
        <v>0</v>
      </c>
      <c r="N35" s="6">
        <v>0</v>
      </c>
      <c r="O35" s="42">
        <v>0</v>
      </c>
      <c r="P35" s="6">
        <v>2</v>
      </c>
      <c r="Q35" s="4" t="s">
        <v>26</v>
      </c>
      <c r="R35" s="4">
        <v>0</v>
      </c>
      <c r="S35" s="4">
        <v>12</v>
      </c>
      <c r="T35" s="4">
        <v>0</v>
      </c>
      <c r="U35" s="4">
        <v>0</v>
      </c>
      <c r="V35" s="42">
        <f>IF(ISERROR(VLOOKUP($S$35,'TAR FIN'!$A$1:$O$115,15,0)),0,VLOOKUP($S$35,'TAR FIN'!$A$1:$O$115,15,0))*(1-0.04)</f>
        <v>19.007999999999999</v>
      </c>
      <c r="W35" s="42">
        <f>IF(ISERROR(VLOOKUP($T$35,'TAR FIN'!$A$1:$O$115,15,0)),0,VLOOKUP($T$35,'TAR FIN'!$A$1:$O$115,15,0))</f>
        <v>0</v>
      </c>
      <c r="X35" s="42">
        <f>IF(ISERROR(VLOOKUP($U$35,'TAR FIN'!$A$1:$O$115,15,0)),0,VLOOKUP($U$35,'TAR FIN'!$A$1:$O$115,15,0))</f>
        <v>0</v>
      </c>
      <c r="Y35" s="42">
        <f ca="1">('TUSD BE'!$AM$14+'TUSD BF'!$AM$14+'TUSD CVA'!$AM$14)*1*(1-0.02)</f>
        <v>20.202910043621255</v>
      </c>
      <c r="Z35" s="42"/>
      <c r="AA35" s="42"/>
      <c r="AB35" s="42">
        <f>(SUBSIDIO!$J$35*SUBSIDIO!$V$35)*(0.04)/(1-0.04)</f>
        <v>137.01599999999999</v>
      </c>
      <c r="AC35" s="42">
        <f>((SUBSIDIO!$L$35*SUBSIDIO!$W$35)+(SUBSIDIO!$N$35*SUBSIDIO!$X$35))*(0.04)/(1-0.04)</f>
        <v>0</v>
      </c>
      <c r="AD35" s="42">
        <f ca="1">(SUBSIDIO!$J$35*SUBSIDIO!$Y$35)*(0.02)/(1-0.02)</f>
        <v>71.32864158258117</v>
      </c>
      <c r="AE35" s="42">
        <f>((SUBSIDIO!$L$35*SUBSIDIO!$Z$35)+(SUBSIDIO!$N$35*SUBSIDIO!$AA$35))*(0.02)/(1-0.02)</f>
        <v>0</v>
      </c>
      <c r="AF35" s="4" t="s">
        <v>933</v>
      </c>
    </row>
    <row r="36" spans="1:32" ht="11.25" customHeight="1" x14ac:dyDescent="0.25">
      <c r="A36" s="4" t="s">
        <v>21</v>
      </c>
      <c r="B36" s="4" t="s">
        <v>43</v>
      </c>
      <c r="C36" s="4" t="s">
        <v>44</v>
      </c>
      <c r="D36" s="4" t="s">
        <v>47</v>
      </c>
      <c r="E36" s="4" t="s">
        <v>25</v>
      </c>
      <c r="F36" s="4" t="s">
        <v>25</v>
      </c>
      <c r="G36" s="4" t="s">
        <v>25</v>
      </c>
      <c r="H36" s="4" t="s">
        <v>25</v>
      </c>
      <c r="I36" s="5">
        <v>44713</v>
      </c>
      <c r="J36" s="6">
        <v>186</v>
      </c>
      <c r="K36" s="42">
        <v>186</v>
      </c>
      <c r="L36" s="6">
        <v>0</v>
      </c>
      <c r="M36" s="42">
        <v>0</v>
      </c>
      <c r="N36" s="6">
        <v>0</v>
      </c>
      <c r="O36" s="42">
        <v>0</v>
      </c>
      <c r="P36" s="6">
        <v>2</v>
      </c>
      <c r="Q36" s="4" t="s">
        <v>26</v>
      </c>
      <c r="R36" s="4">
        <v>0</v>
      </c>
      <c r="S36" s="4">
        <v>12</v>
      </c>
      <c r="T36" s="4">
        <v>0</v>
      </c>
      <c r="U36" s="4">
        <v>0</v>
      </c>
      <c r="V36" s="42">
        <f>IF(ISERROR(VLOOKUP($S$36,'TAR FIN'!$A$1:$O$115,15,0)),0,VLOOKUP($S$36,'TAR FIN'!$A$1:$O$115,15,0))*(1-0.04)</f>
        <v>19.007999999999999</v>
      </c>
      <c r="W36" s="42">
        <f>IF(ISERROR(VLOOKUP($T$36,'TAR FIN'!$A$1:$O$115,15,0)),0,VLOOKUP($T$36,'TAR FIN'!$A$1:$O$115,15,0))</f>
        <v>0</v>
      </c>
      <c r="X36" s="42">
        <f>IF(ISERROR(VLOOKUP($U$36,'TAR FIN'!$A$1:$O$115,15,0)),0,VLOOKUP($U$36,'TAR FIN'!$A$1:$O$115,15,0))</f>
        <v>0</v>
      </c>
      <c r="Y36" s="42">
        <f ca="1">('TUSD BE'!$AM$14+'TUSD BF'!$AM$14+'TUSD CVA'!$AM$14)*1*(1-0.02)</f>
        <v>20.202910043621255</v>
      </c>
      <c r="Z36" s="42"/>
      <c r="AA36" s="42"/>
      <c r="AB36" s="42">
        <f>(SUBSIDIO!$J$36*SUBSIDIO!$V$36)*(0.04)/(1-0.04)</f>
        <v>147.31200000000001</v>
      </c>
      <c r="AC36" s="42">
        <f>((SUBSIDIO!$L$36*SUBSIDIO!$W$36)+(SUBSIDIO!$N$36*SUBSIDIO!$X$36))*(0.04)/(1-0.04)</f>
        <v>0</v>
      </c>
      <c r="AD36" s="42">
        <f ca="1">(SUBSIDIO!$J$36*SUBSIDIO!$Y$36)*(0.02)/(1-0.02)</f>
        <v>76.688597308439867</v>
      </c>
      <c r="AE36" s="42">
        <f>((SUBSIDIO!$L$36*SUBSIDIO!$Z$36)+(SUBSIDIO!$N$36*SUBSIDIO!$AA$36))*(0.02)/(1-0.02)</f>
        <v>0</v>
      </c>
      <c r="AF36" s="4" t="s">
        <v>933</v>
      </c>
    </row>
    <row r="37" spans="1:32" ht="11.25" customHeight="1" x14ac:dyDescent="0.25">
      <c r="A37" s="4" t="s">
        <v>21</v>
      </c>
      <c r="B37" s="4" t="s">
        <v>43</v>
      </c>
      <c r="C37" s="4" t="s">
        <v>44</v>
      </c>
      <c r="D37" s="4" t="s">
        <v>47</v>
      </c>
      <c r="E37" s="4" t="s">
        <v>25</v>
      </c>
      <c r="F37" s="4" t="s">
        <v>25</v>
      </c>
      <c r="G37" s="4" t="s">
        <v>25</v>
      </c>
      <c r="H37" s="4" t="s">
        <v>25</v>
      </c>
      <c r="I37" s="5">
        <v>44743</v>
      </c>
      <c r="J37" s="6">
        <v>138</v>
      </c>
      <c r="K37" s="42">
        <v>138</v>
      </c>
      <c r="L37" s="6">
        <v>0</v>
      </c>
      <c r="M37" s="42">
        <v>0</v>
      </c>
      <c r="N37" s="6">
        <v>0</v>
      </c>
      <c r="O37" s="42">
        <v>0</v>
      </c>
      <c r="P37" s="6">
        <v>2</v>
      </c>
      <c r="Q37" s="4" t="s">
        <v>26</v>
      </c>
      <c r="R37" s="4">
        <v>0</v>
      </c>
      <c r="S37" s="4">
        <v>12</v>
      </c>
      <c r="T37" s="4">
        <v>0</v>
      </c>
      <c r="U37" s="4">
        <v>0</v>
      </c>
      <c r="V37" s="42">
        <f>IF(ISERROR(VLOOKUP($S$37,'TAR FIN'!$A$1:$O$115,15,0)),0,VLOOKUP($S$37,'TAR FIN'!$A$1:$O$115,15,0))*(1-0.04)</f>
        <v>19.007999999999999</v>
      </c>
      <c r="W37" s="42">
        <f>IF(ISERROR(VLOOKUP($T$37,'TAR FIN'!$A$1:$O$115,15,0)),0,VLOOKUP($T$37,'TAR FIN'!$A$1:$O$115,15,0))</f>
        <v>0</v>
      </c>
      <c r="X37" s="42">
        <f>IF(ISERROR(VLOOKUP($U$37,'TAR FIN'!$A$1:$O$115,15,0)),0,VLOOKUP($U$37,'TAR FIN'!$A$1:$O$115,15,0))</f>
        <v>0</v>
      </c>
      <c r="Y37" s="42">
        <f ca="1">('TUSD BE'!$AM$14+'TUSD BF'!$AM$14+'TUSD CVA'!$AM$14)*1*(1-0.02)</f>
        <v>20.202910043621255</v>
      </c>
      <c r="Z37" s="42"/>
      <c r="AA37" s="42"/>
      <c r="AB37" s="42">
        <f>(SUBSIDIO!$J$37*SUBSIDIO!$V$37)*(0.04)/(1-0.04)</f>
        <v>109.29600000000001</v>
      </c>
      <c r="AC37" s="42">
        <f>((SUBSIDIO!$L$37*SUBSIDIO!$W$37)+(SUBSIDIO!$N$37*SUBSIDIO!$X$37))*(0.04)/(1-0.04)</f>
        <v>0</v>
      </c>
      <c r="AD37" s="42">
        <f ca="1">(SUBSIDIO!$J$37*SUBSIDIO!$Y$37)*(0.02)/(1-0.02)</f>
        <v>56.897991551423125</v>
      </c>
      <c r="AE37" s="42">
        <f>((SUBSIDIO!$L$37*SUBSIDIO!$Z$37)+(SUBSIDIO!$N$37*SUBSIDIO!$AA$37))*(0.02)/(1-0.02)</f>
        <v>0</v>
      </c>
      <c r="AF37" s="4" t="s">
        <v>933</v>
      </c>
    </row>
    <row r="38" spans="1:32" ht="11.25" customHeight="1" x14ac:dyDescent="0.25">
      <c r="A38" s="4" t="s">
        <v>21</v>
      </c>
      <c r="B38" s="4" t="s">
        <v>43</v>
      </c>
      <c r="C38" s="4" t="s">
        <v>44</v>
      </c>
      <c r="D38" s="4" t="s">
        <v>47</v>
      </c>
      <c r="E38" s="4" t="s">
        <v>25</v>
      </c>
      <c r="F38" s="4" t="s">
        <v>25</v>
      </c>
      <c r="G38" s="4" t="s">
        <v>25</v>
      </c>
      <c r="H38" s="4" t="s">
        <v>25</v>
      </c>
      <c r="I38" s="5">
        <v>44774</v>
      </c>
      <c r="J38" s="6">
        <v>37</v>
      </c>
      <c r="K38" s="42">
        <v>37</v>
      </c>
      <c r="L38" s="6">
        <v>0</v>
      </c>
      <c r="M38" s="42">
        <v>0</v>
      </c>
      <c r="N38" s="6">
        <v>0</v>
      </c>
      <c r="O38" s="42">
        <v>0</v>
      </c>
      <c r="P38" s="6">
        <v>2</v>
      </c>
      <c r="Q38" s="4" t="s">
        <v>26</v>
      </c>
      <c r="R38" s="4">
        <v>0</v>
      </c>
      <c r="S38" s="4">
        <v>12</v>
      </c>
      <c r="T38" s="4">
        <v>0</v>
      </c>
      <c r="U38" s="4">
        <v>0</v>
      </c>
      <c r="V38" s="42">
        <f>IF(ISERROR(VLOOKUP($S$38,'TAR FIN'!$A$1:$O$115,15,0)),0,VLOOKUP($S$38,'TAR FIN'!$A$1:$O$115,15,0))*(1-0.04)</f>
        <v>19.007999999999999</v>
      </c>
      <c r="W38" s="42">
        <f>IF(ISERROR(VLOOKUP($T$38,'TAR FIN'!$A$1:$O$115,15,0)),0,VLOOKUP($T$38,'TAR FIN'!$A$1:$O$115,15,0))</f>
        <v>0</v>
      </c>
      <c r="X38" s="42">
        <f>IF(ISERROR(VLOOKUP($U$38,'TAR FIN'!$A$1:$O$115,15,0)),0,VLOOKUP($U$38,'TAR FIN'!$A$1:$O$115,15,0))</f>
        <v>0</v>
      </c>
      <c r="Y38" s="42">
        <f ca="1">('TUSD BE'!$AM$14+'TUSD BF'!$AM$14+'TUSD CVA'!$AM$14)*1*(1-0.02)</f>
        <v>20.202910043621255</v>
      </c>
      <c r="Z38" s="42"/>
      <c r="AA38" s="42"/>
      <c r="AB38" s="42">
        <f>(SUBSIDIO!$J$38*SUBSIDIO!$V$38)*(0.04)/(1-0.04)</f>
        <v>29.303999999999998</v>
      </c>
      <c r="AC38" s="42">
        <f>((SUBSIDIO!$L$38*SUBSIDIO!$W$38)+(SUBSIDIO!$N$38*SUBSIDIO!$X$38))*(0.04)/(1-0.04)</f>
        <v>0</v>
      </c>
      <c r="AD38" s="42">
        <f ca="1">(SUBSIDIO!$J$38*SUBSIDIO!$Y$38)*(0.02)/(1-0.02)</f>
        <v>15.25525860436707</v>
      </c>
      <c r="AE38" s="42">
        <f>((SUBSIDIO!$L$38*SUBSIDIO!$Z$38)+(SUBSIDIO!$N$38*SUBSIDIO!$AA$38))*(0.02)/(1-0.02)</f>
        <v>0</v>
      </c>
      <c r="AF38" s="4" t="s">
        <v>933</v>
      </c>
    </row>
    <row r="39" spans="1:32" ht="11.25" customHeight="1" x14ac:dyDescent="0.25">
      <c r="A39" s="4" t="s">
        <v>21</v>
      </c>
      <c r="B39" s="4" t="s">
        <v>43</v>
      </c>
      <c r="C39" s="4" t="s">
        <v>44</v>
      </c>
      <c r="D39" s="4" t="s">
        <v>47</v>
      </c>
      <c r="E39" s="4" t="s">
        <v>25</v>
      </c>
      <c r="F39" s="4" t="s">
        <v>25</v>
      </c>
      <c r="G39" s="4" t="s">
        <v>25</v>
      </c>
      <c r="H39" s="4" t="s">
        <v>25</v>
      </c>
      <c r="I39" s="5">
        <v>44805</v>
      </c>
      <c r="J39" s="6">
        <v>170</v>
      </c>
      <c r="K39" s="42">
        <v>170</v>
      </c>
      <c r="L39" s="6">
        <v>0</v>
      </c>
      <c r="M39" s="42">
        <v>0</v>
      </c>
      <c r="N39" s="6">
        <v>0</v>
      </c>
      <c r="O39" s="42">
        <v>0</v>
      </c>
      <c r="P39" s="6">
        <v>2</v>
      </c>
      <c r="Q39" s="4" t="s">
        <v>26</v>
      </c>
      <c r="R39" s="4">
        <v>0</v>
      </c>
      <c r="S39" s="4">
        <v>12</v>
      </c>
      <c r="T39" s="4">
        <v>0</v>
      </c>
      <c r="U39" s="4">
        <v>0</v>
      </c>
      <c r="V39" s="42">
        <f>IF(ISERROR(VLOOKUP($S$39,'TAR FIN'!$A$1:$O$115,15,0)),0,VLOOKUP($S$39,'TAR FIN'!$A$1:$O$115,15,0))*(1-0.04)</f>
        <v>19.007999999999999</v>
      </c>
      <c r="W39" s="42">
        <f>IF(ISERROR(VLOOKUP($T$39,'TAR FIN'!$A$1:$O$115,15,0)),0,VLOOKUP($T$39,'TAR FIN'!$A$1:$O$115,15,0))</f>
        <v>0</v>
      </c>
      <c r="X39" s="42">
        <f>IF(ISERROR(VLOOKUP($U$39,'TAR FIN'!$A$1:$O$115,15,0)),0,VLOOKUP($U$39,'TAR FIN'!$A$1:$O$115,15,0))</f>
        <v>0</v>
      </c>
      <c r="Y39" s="42">
        <f ca="1">('TUSD BE'!$AM$14+'TUSD BF'!$AM$14+'TUSD CVA'!$AM$14)*1*(1-0.02)</f>
        <v>20.202910043621255</v>
      </c>
      <c r="Z39" s="42"/>
      <c r="AA39" s="42"/>
      <c r="AB39" s="42">
        <f>(SUBSIDIO!$J$39*SUBSIDIO!$V$39)*(0.04)/(1-0.04)</f>
        <v>134.63999999999999</v>
      </c>
      <c r="AC39" s="42">
        <f>((SUBSIDIO!$L$39*SUBSIDIO!$W$39)+(SUBSIDIO!$N$39*SUBSIDIO!$X$39))*(0.04)/(1-0.04)</f>
        <v>0</v>
      </c>
      <c r="AD39" s="42">
        <f ca="1">(SUBSIDIO!$J$39*SUBSIDIO!$Y$39)*(0.02)/(1-0.02)</f>
        <v>70.091728722767627</v>
      </c>
      <c r="AE39" s="42">
        <f>((SUBSIDIO!$L$39*SUBSIDIO!$Z$39)+(SUBSIDIO!$N$39*SUBSIDIO!$AA$39))*(0.02)/(1-0.02)</f>
        <v>0</v>
      </c>
      <c r="AF39" s="4" t="s">
        <v>933</v>
      </c>
    </row>
    <row r="40" spans="1:32" ht="11.25" customHeight="1" x14ac:dyDescent="0.25">
      <c r="A40" s="4" t="s">
        <v>21</v>
      </c>
      <c r="B40" s="4" t="s">
        <v>43</v>
      </c>
      <c r="C40" s="4" t="s">
        <v>44</v>
      </c>
      <c r="D40" s="4" t="s">
        <v>47</v>
      </c>
      <c r="E40" s="4" t="s">
        <v>25</v>
      </c>
      <c r="F40" s="4" t="s">
        <v>25</v>
      </c>
      <c r="G40" s="4" t="s">
        <v>25</v>
      </c>
      <c r="H40" s="4" t="s">
        <v>25</v>
      </c>
      <c r="I40" s="5">
        <v>44835</v>
      </c>
      <c r="J40" s="6">
        <v>85</v>
      </c>
      <c r="K40" s="42">
        <v>85</v>
      </c>
      <c r="L40" s="6">
        <v>0</v>
      </c>
      <c r="M40" s="42">
        <v>0</v>
      </c>
      <c r="N40" s="6">
        <v>0</v>
      </c>
      <c r="O40" s="42">
        <v>0</v>
      </c>
      <c r="P40" s="6">
        <v>2</v>
      </c>
      <c r="Q40" s="4" t="s">
        <v>26</v>
      </c>
      <c r="R40" s="4">
        <v>0</v>
      </c>
      <c r="S40" s="4">
        <v>12</v>
      </c>
      <c r="T40" s="4">
        <v>0</v>
      </c>
      <c r="U40" s="4">
        <v>0</v>
      </c>
      <c r="V40" s="42">
        <f>IF(ISERROR(VLOOKUP($S$40,'TAR FIN'!$A$1:$O$115,15,0)),0,VLOOKUP($S$40,'TAR FIN'!$A$1:$O$115,15,0))*(1-0.04)</f>
        <v>19.007999999999999</v>
      </c>
      <c r="W40" s="42">
        <f>IF(ISERROR(VLOOKUP($T$40,'TAR FIN'!$A$1:$O$115,15,0)),0,VLOOKUP($T$40,'TAR FIN'!$A$1:$O$115,15,0))</f>
        <v>0</v>
      </c>
      <c r="X40" s="42">
        <f>IF(ISERROR(VLOOKUP($U$40,'TAR FIN'!$A$1:$O$115,15,0)),0,VLOOKUP($U$40,'TAR FIN'!$A$1:$O$115,15,0))</f>
        <v>0</v>
      </c>
      <c r="Y40" s="42">
        <f ca="1">('TUSD BE'!$AM$14+'TUSD BF'!$AM$14+'TUSD CVA'!$AM$14)*1*(1-0.02)</f>
        <v>20.202910043621255</v>
      </c>
      <c r="Z40" s="42"/>
      <c r="AA40" s="42"/>
      <c r="AB40" s="42">
        <f>(SUBSIDIO!$J$40*SUBSIDIO!$V$40)*(0.04)/(1-0.04)</f>
        <v>67.319999999999993</v>
      </c>
      <c r="AC40" s="42">
        <f>((SUBSIDIO!$L$40*SUBSIDIO!$W$40)+(SUBSIDIO!$N$40*SUBSIDIO!$X$40))*(0.04)/(1-0.04)</f>
        <v>0</v>
      </c>
      <c r="AD40" s="42">
        <f ca="1">(SUBSIDIO!$J$40*SUBSIDIO!$Y$40)*(0.02)/(1-0.02)</f>
        <v>35.045864361383813</v>
      </c>
      <c r="AE40" s="42">
        <f>((SUBSIDIO!$L$40*SUBSIDIO!$Z$40)+(SUBSIDIO!$N$40*SUBSIDIO!$AA$40))*(0.02)/(1-0.02)</f>
        <v>0</v>
      </c>
      <c r="AF40" s="4" t="s">
        <v>933</v>
      </c>
    </row>
    <row r="41" spans="1:32" ht="11.25" customHeight="1" x14ac:dyDescent="0.25">
      <c r="A41" s="4" t="s">
        <v>59</v>
      </c>
      <c r="B41" s="4" t="s">
        <v>43</v>
      </c>
      <c r="C41" s="4" t="s">
        <v>44</v>
      </c>
      <c r="D41" s="4" t="s">
        <v>47</v>
      </c>
      <c r="E41" s="4" t="s">
        <v>25</v>
      </c>
      <c r="F41" s="4" t="s">
        <v>25</v>
      </c>
      <c r="G41" s="4" t="s">
        <v>25</v>
      </c>
      <c r="H41" s="4" t="s">
        <v>25</v>
      </c>
      <c r="I41" s="5">
        <v>44866</v>
      </c>
      <c r="J41" s="6">
        <v>85</v>
      </c>
      <c r="K41" s="42">
        <v>85</v>
      </c>
      <c r="L41" s="6">
        <v>0</v>
      </c>
      <c r="M41" s="42">
        <v>0</v>
      </c>
      <c r="N41" s="6">
        <v>0</v>
      </c>
      <c r="O41" s="42">
        <v>0</v>
      </c>
      <c r="P41" s="6">
        <v>2</v>
      </c>
      <c r="Q41" s="4" t="s">
        <v>26</v>
      </c>
      <c r="R41" s="4">
        <v>0</v>
      </c>
      <c r="S41" s="4">
        <v>12</v>
      </c>
      <c r="T41" s="4">
        <v>0</v>
      </c>
      <c r="U41" s="4">
        <v>0</v>
      </c>
      <c r="V41" s="42">
        <f>IF(ISERROR(VLOOKUP($S$41,'TAR FIN'!$A$1:$O$115,15,0)),0,VLOOKUP($S$41,'TAR FIN'!$A$1:$O$115,15,0))*(1-0.04)</f>
        <v>19.007999999999999</v>
      </c>
      <c r="W41" s="42">
        <f>IF(ISERROR(VLOOKUP($T$41,'TAR FIN'!$A$1:$O$115,15,0)),0,VLOOKUP($T$41,'TAR FIN'!$A$1:$O$115,15,0))</f>
        <v>0</v>
      </c>
      <c r="X41" s="42">
        <f>IF(ISERROR(VLOOKUP($U$41,'TAR FIN'!$A$1:$O$115,15,0)),0,VLOOKUP($U$41,'TAR FIN'!$A$1:$O$115,15,0))</f>
        <v>0</v>
      </c>
      <c r="Y41" s="42">
        <f ca="1">('TUSD BE'!$AM$14+'TUSD BF'!$AM$14+'TUSD CVA'!$AM$14)*1*(1-0.02)</f>
        <v>20.202910043621255</v>
      </c>
      <c r="Z41" s="42"/>
      <c r="AA41" s="42"/>
      <c r="AB41" s="42">
        <f>(SUBSIDIO!$J$41*SUBSIDIO!$V$41)*(0.04)/(1-0.04)</f>
        <v>67.319999999999993</v>
      </c>
      <c r="AC41" s="42">
        <f>((SUBSIDIO!$L$41*SUBSIDIO!$W$41)+(SUBSIDIO!$N$41*SUBSIDIO!$X$41))*(0.04)/(1-0.04)</f>
        <v>0</v>
      </c>
      <c r="AD41" s="42">
        <f ca="1">(SUBSIDIO!$J$41*SUBSIDIO!$Y$41)*(0.02)/(1-0.02)</f>
        <v>35.045864361383813</v>
      </c>
      <c r="AE41" s="42">
        <f>((SUBSIDIO!$L$41*SUBSIDIO!$Z$41)+(SUBSIDIO!$N$41*SUBSIDIO!$AA$41))*(0.02)/(1-0.02)</f>
        <v>0</v>
      </c>
      <c r="AF41" s="4" t="s">
        <v>933</v>
      </c>
    </row>
    <row r="42" spans="1:32" ht="11.25" customHeight="1" x14ac:dyDescent="0.25">
      <c r="A42" s="4" t="s">
        <v>21</v>
      </c>
      <c r="B42" s="4" t="s">
        <v>43</v>
      </c>
      <c r="C42" s="4" t="s">
        <v>44</v>
      </c>
      <c r="D42" s="4" t="s">
        <v>47</v>
      </c>
      <c r="E42" s="4" t="s">
        <v>25</v>
      </c>
      <c r="F42" s="4" t="s">
        <v>25</v>
      </c>
      <c r="G42" s="4" t="s">
        <v>25</v>
      </c>
      <c r="H42" s="4" t="s">
        <v>36</v>
      </c>
      <c r="I42" s="5">
        <v>44621</v>
      </c>
      <c r="J42" s="6">
        <v>0</v>
      </c>
      <c r="K42" s="42">
        <v>0</v>
      </c>
      <c r="L42" s="6">
        <v>1.2589999999999999</v>
      </c>
      <c r="M42" s="42">
        <v>1.2589999999999999</v>
      </c>
      <c r="N42" s="6">
        <v>1.2589999999999999</v>
      </c>
      <c r="O42" s="42">
        <v>1.2589999999999999</v>
      </c>
      <c r="P42" s="6">
        <v>0</v>
      </c>
      <c r="Q42" s="4" t="s">
        <v>26</v>
      </c>
      <c r="R42" s="4">
        <v>0</v>
      </c>
      <c r="S42" s="4">
        <v>0</v>
      </c>
      <c r="T42" s="4">
        <v>13</v>
      </c>
      <c r="U42" s="4">
        <v>71</v>
      </c>
      <c r="V42" s="42">
        <f>IF(ISERROR(VLOOKUP($S$42,'TAR FIN'!$A$1:$O$115,15,0)),0,VLOOKUP($S$42,'TAR FIN'!$A$1:$O$115,15,0))</f>
        <v>0</v>
      </c>
      <c r="W42" s="42">
        <f>IF(ISERROR(VLOOKUP($T$42,'TAR FIN'!$A$1:$O$115,15,0)),0,VLOOKUP($T$42,'TAR FIN'!$A$1:$O$115,15,0))*(1-0.04)</f>
        <v>1391.0016000000001</v>
      </c>
      <c r="X42" s="42">
        <f>IF(ISERROR(VLOOKUP($U$42,'TAR FIN'!$A$1:$O$115,15,0)),0,VLOOKUP($U$42,'TAR FIN'!$A$1:$O$115,15,0))*(1-0.04)</f>
        <v>259.488</v>
      </c>
      <c r="Y42" s="42"/>
      <c r="Z42" s="42">
        <f ca="1">('TUSD BE'!$AM$15+'TUSD BF'!$AM$15+'TUSD CVA'!$AM$15)*1*(1-0.02)</f>
        <v>1450.5254602362083</v>
      </c>
      <c r="AA42" s="42">
        <f>('TE BE'!$AB$8+'TE BF'!$AB$8+'TE CVA'!$AB$8)*1*(1-0.02)</f>
        <v>355.39110709588994</v>
      </c>
      <c r="AB42" s="42">
        <f>(SUBSIDIO!$J$42*SUBSIDIO!$V$42)*(0.04)/(1-0.04)</f>
        <v>0</v>
      </c>
      <c r="AC42" s="42">
        <f>((SUBSIDIO!$L$42*SUBSIDIO!$W$42)+(SUBSIDIO!$N$42*SUBSIDIO!$X$42))*(0.04)/(1-0.04)</f>
        <v>86.581933599999999</v>
      </c>
      <c r="AD42" s="42">
        <f>(SUBSIDIO!$J$42*SUBSIDIO!$Y$42)*(0.02)/(1-0.02)</f>
        <v>0</v>
      </c>
      <c r="AE42" s="42">
        <f ca="1">((SUBSIDIO!$L$42*SUBSIDIO!$Z$42)+(SUBSIDIO!$N$42*SUBSIDIO!$AA$42))*(0.02)/(1-0.02)</f>
        <v>46.400999148390035</v>
      </c>
      <c r="AF42" s="4" t="s">
        <v>933</v>
      </c>
    </row>
    <row r="43" spans="1:32" ht="11.25" customHeight="1" x14ac:dyDescent="0.25">
      <c r="A43" s="4" t="s">
        <v>21</v>
      </c>
      <c r="B43" s="4" t="s">
        <v>43</v>
      </c>
      <c r="C43" s="4" t="s">
        <v>44</v>
      </c>
      <c r="D43" s="4" t="s">
        <v>47</v>
      </c>
      <c r="E43" s="4" t="s">
        <v>25</v>
      </c>
      <c r="F43" s="4" t="s">
        <v>25</v>
      </c>
      <c r="G43" s="4" t="s">
        <v>25</v>
      </c>
      <c r="H43" s="4" t="s">
        <v>36</v>
      </c>
      <c r="I43" s="5">
        <v>44652</v>
      </c>
      <c r="J43" s="6">
        <v>0</v>
      </c>
      <c r="K43" s="42">
        <v>0</v>
      </c>
      <c r="L43" s="6">
        <v>0.70099999999999996</v>
      </c>
      <c r="M43" s="42">
        <v>0.70099999999999996</v>
      </c>
      <c r="N43" s="6">
        <v>0.70099999999999996</v>
      </c>
      <c r="O43" s="42">
        <v>0.70099999999999996</v>
      </c>
      <c r="P43" s="6">
        <v>0</v>
      </c>
      <c r="Q43" s="4" t="s">
        <v>26</v>
      </c>
      <c r="R43" s="4">
        <v>0</v>
      </c>
      <c r="S43" s="4">
        <v>0</v>
      </c>
      <c r="T43" s="4">
        <v>13</v>
      </c>
      <c r="U43" s="4">
        <v>71</v>
      </c>
      <c r="V43" s="42">
        <f>IF(ISERROR(VLOOKUP($S$43,'TAR FIN'!$A$1:$O$115,15,0)),0,VLOOKUP($S$43,'TAR FIN'!$A$1:$O$115,15,0))</f>
        <v>0</v>
      </c>
      <c r="W43" s="42">
        <f>IF(ISERROR(VLOOKUP($T$43,'TAR FIN'!$A$1:$O$115,15,0)),0,VLOOKUP($T$43,'TAR FIN'!$A$1:$O$115,15,0))*(1-0.04)</f>
        <v>1391.0016000000001</v>
      </c>
      <c r="X43" s="42">
        <f>IF(ISERROR(VLOOKUP($U$43,'TAR FIN'!$A$1:$O$115,15,0)),0,VLOOKUP($U$43,'TAR FIN'!$A$1:$O$115,15,0))*(1-0.04)</f>
        <v>259.488</v>
      </c>
      <c r="Y43" s="42"/>
      <c r="Z43" s="42">
        <f ca="1">('TUSD BE'!$AM$15+'TUSD BF'!$AM$15+'TUSD CVA'!$AM$15)*1*(1-0.02)</f>
        <v>1450.5254602362083</v>
      </c>
      <c r="AA43" s="42">
        <f>('TE BE'!$AB$8+'TE BF'!$AB$8+'TE CVA'!$AB$8)*1*(1-0.02)</f>
        <v>355.39110709588994</v>
      </c>
      <c r="AB43" s="42">
        <f>(SUBSIDIO!$J$43*SUBSIDIO!$V$43)*(0.04)/(1-0.04)</f>
        <v>0</v>
      </c>
      <c r="AC43" s="42">
        <f>((SUBSIDIO!$L$43*SUBSIDIO!$W$43)+(SUBSIDIO!$N$43*SUBSIDIO!$X$43))*(0.04)/(1-0.04)</f>
        <v>48.208050400000005</v>
      </c>
      <c r="AD43" s="42">
        <f>(SUBSIDIO!$J$43*SUBSIDIO!$Y$43)*(0.02)/(1-0.02)</f>
        <v>0</v>
      </c>
      <c r="AE43" s="42">
        <f ca="1">((SUBSIDIO!$L$43*SUBSIDIO!$Z$43)+(SUBSIDIO!$N$43*SUBSIDIO!$AA$43))*(0.02)/(1-0.02)</f>
        <v>25.835663544893894</v>
      </c>
      <c r="AF43" s="4" t="s">
        <v>933</v>
      </c>
    </row>
    <row r="44" spans="1:32" ht="11.25" customHeight="1" x14ac:dyDescent="0.25">
      <c r="A44" s="4" t="s">
        <v>21</v>
      </c>
      <c r="B44" s="4" t="s">
        <v>43</v>
      </c>
      <c r="C44" s="4" t="s">
        <v>44</v>
      </c>
      <c r="D44" s="4" t="s">
        <v>47</v>
      </c>
      <c r="E44" s="4" t="s">
        <v>25</v>
      </c>
      <c r="F44" s="4" t="s">
        <v>25</v>
      </c>
      <c r="G44" s="4" t="s">
        <v>25</v>
      </c>
      <c r="H44" s="4" t="s">
        <v>36</v>
      </c>
      <c r="I44" s="5">
        <v>44682</v>
      </c>
      <c r="J44" s="6">
        <v>0</v>
      </c>
      <c r="K44" s="42">
        <v>0</v>
      </c>
      <c r="L44" s="6">
        <v>2.1110000000000002</v>
      </c>
      <c r="M44" s="42">
        <v>2.1110000000000002</v>
      </c>
      <c r="N44" s="6">
        <v>2.1110000000000002</v>
      </c>
      <c r="O44" s="42">
        <v>2.1110000000000002</v>
      </c>
      <c r="P44" s="6">
        <v>0</v>
      </c>
      <c r="Q44" s="4" t="s">
        <v>26</v>
      </c>
      <c r="R44" s="4">
        <v>0</v>
      </c>
      <c r="S44" s="4">
        <v>0</v>
      </c>
      <c r="T44" s="4">
        <v>13</v>
      </c>
      <c r="U44" s="4">
        <v>71</v>
      </c>
      <c r="V44" s="42">
        <f>IF(ISERROR(VLOOKUP($S$44,'TAR FIN'!$A$1:$O$115,15,0)),0,VLOOKUP($S$44,'TAR FIN'!$A$1:$O$115,15,0))</f>
        <v>0</v>
      </c>
      <c r="W44" s="42">
        <f>IF(ISERROR(VLOOKUP($T$44,'TAR FIN'!$A$1:$O$115,15,0)),0,VLOOKUP($T$44,'TAR FIN'!$A$1:$O$115,15,0))*(1-0.04)</f>
        <v>1391.0016000000001</v>
      </c>
      <c r="X44" s="42">
        <f>IF(ISERROR(VLOOKUP($U$44,'TAR FIN'!$A$1:$O$115,15,0)),0,VLOOKUP($U$44,'TAR FIN'!$A$1:$O$115,15,0))*(1-0.04)</f>
        <v>259.488</v>
      </c>
      <c r="Y44" s="42"/>
      <c r="Z44" s="42">
        <f ca="1">('TUSD BE'!$AM$15+'TUSD BF'!$AM$15+'TUSD CVA'!$AM$15)*1*(1-0.02)</f>
        <v>1450.5254602362083</v>
      </c>
      <c r="AA44" s="42">
        <f>('TE BE'!$AB$8+'TE BF'!$AB$8+'TE CVA'!$AB$8)*1*(1-0.02)</f>
        <v>355.39110709588994</v>
      </c>
      <c r="AB44" s="42">
        <f>(SUBSIDIO!$J$44*SUBSIDIO!$V$44)*(0.04)/(1-0.04)</f>
        <v>0</v>
      </c>
      <c r="AC44" s="42">
        <f>((SUBSIDIO!$L$44*SUBSIDIO!$W$44)+(SUBSIDIO!$N$44*SUBSIDIO!$X$44))*(0.04)/(1-0.04)</f>
        <v>145.17431440000001</v>
      </c>
      <c r="AD44" s="42">
        <f>(SUBSIDIO!$J$44*SUBSIDIO!$Y$44)*(0.02)/(1-0.02)</f>
        <v>0</v>
      </c>
      <c r="AE44" s="42">
        <f ca="1">((SUBSIDIO!$L$44*SUBSIDIO!$Z$44)+(SUBSIDIO!$N$44*SUBSIDIO!$AA$44))*(0.02)/(1-0.02)</f>
        <v>77.80183415587878</v>
      </c>
      <c r="AF44" s="4" t="s">
        <v>933</v>
      </c>
    </row>
    <row r="45" spans="1:32" ht="11.25" customHeight="1" x14ac:dyDescent="0.25">
      <c r="A45" s="4" t="s">
        <v>21</v>
      </c>
      <c r="B45" s="4" t="s">
        <v>43</v>
      </c>
      <c r="C45" s="4" t="s">
        <v>44</v>
      </c>
      <c r="D45" s="4" t="s">
        <v>47</v>
      </c>
      <c r="E45" s="4" t="s">
        <v>25</v>
      </c>
      <c r="F45" s="4" t="s">
        <v>25</v>
      </c>
      <c r="G45" s="4" t="s">
        <v>25</v>
      </c>
      <c r="H45" s="4" t="s">
        <v>36</v>
      </c>
      <c r="I45" s="5">
        <v>44713</v>
      </c>
      <c r="J45" s="6">
        <v>0</v>
      </c>
      <c r="K45" s="42">
        <v>0</v>
      </c>
      <c r="L45" s="6">
        <v>1.43</v>
      </c>
      <c r="M45" s="42">
        <v>1.43</v>
      </c>
      <c r="N45" s="6">
        <v>1.43</v>
      </c>
      <c r="O45" s="42">
        <v>1.43</v>
      </c>
      <c r="P45" s="6">
        <v>0</v>
      </c>
      <c r="Q45" s="4" t="s">
        <v>26</v>
      </c>
      <c r="R45" s="4">
        <v>0</v>
      </c>
      <c r="S45" s="4">
        <v>0</v>
      </c>
      <c r="T45" s="4">
        <v>13</v>
      </c>
      <c r="U45" s="4">
        <v>71</v>
      </c>
      <c r="V45" s="42">
        <f>IF(ISERROR(VLOOKUP($S$45,'TAR FIN'!$A$1:$O$115,15,0)),0,VLOOKUP($S$45,'TAR FIN'!$A$1:$O$115,15,0))</f>
        <v>0</v>
      </c>
      <c r="W45" s="42">
        <f>IF(ISERROR(VLOOKUP($T$45,'TAR FIN'!$A$1:$O$115,15,0)),0,VLOOKUP($T$45,'TAR FIN'!$A$1:$O$115,15,0))*(1-0.04)</f>
        <v>1391.0016000000001</v>
      </c>
      <c r="X45" s="42">
        <f>IF(ISERROR(VLOOKUP($U$45,'TAR FIN'!$A$1:$O$115,15,0)),0,VLOOKUP($U$45,'TAR FIN'!$A$1:$O$115,15,0))*(1-0.04)</f>
        <v>259.488</v>
      </c>
      <c r="Y45" s="42"/>
      <c r="Z45" s="42">
        <f ca="1">('TUSD BE'!$AM$15+'TUSD BF'!$AM$15+'TUSD CVA'!$AM$15)*1*(1-0.02)</f>
        <v>1450.5254602362083</v>
      </c>
      <c r="AA45" s="42">
        <f>('TE BE'!$AB$8+'TE BF'!$AB$8+'TE CVA'!$AB$8)*1*(1-0.02)</f>
        <v>355.39110709588994</v>
      </c>
      <c r="AB45" s="42">
        <f>(SUBSIDIO!$J$45*SUBSIDIO!$V$45)*(0.04)/(1-0.04)</f>
        <v>0</v>
      </c>
      <c r="AC45" s="42">
        <f>((SUBSIDIO!$L$45*SUBSIDIO!$W$45)+(SUBSIDIO!$N$45*SUBSIDIO!$X$45))*(0.04)/(1-0.04)</f>
        <v>98.341672000000003</v>
      </c>
      <c r="AD45" s="42">
        <f>(SUBSIDIO!$J$45*SUBSIDIO!$Y$45)*(0.02)/(1-0.02)</f>
        <v>0</v>
      </c>
      <c r="AE45" s="42">
        <f ca="1">((SUBSIDIO!$L$45*SUBSIDIO!$Z$45)+(SUBSIDIO!$N$45*SUBSIDIO!$AA$45))*(0.02)/(1-0.02)</f>
        <v>52.703279413977569</v>
      </c>
      <c r="AF45" s="4" t="s">
        <v>933</v>
      </c>
    </row>
    <row r="46" spans="1:32" ht="11.25" customHeight="1" x14ac:dyDescent="0.25">
      <c r="A46" s="4" t="s">
        <v>21</v>
      </c>
      <c r="B46" s="4" t="s">
        <v>43</v>
      </c>
      <c r="C46" s="4" t="s">
        <v>44</v>
      </c>
      <c r="D46" s="4" t="s">
        <v>47</v>
      </c>
      <c r="E46" s="4" t="s">
        <v>25</v>
      </c>
      <c r="F46" s="4" t="s">
        <v>25</v>
      </c>
      <c r="G46" s="4" t="s">
        <v>25</v>
      </c>
      <c r="H46" s="4" t="s">
        <v>36</v>
      </c>
      <c r="I46" s="5">
        <v>44743</v>
      </c>
      <c r="J46" s="6">
        <v>0</v>
      </c>
      <c r="K46" s="42">
        <v>0</v>
      </c>
      <c r="L46" s="6">
        <v>1.331</v>
      </c>
      <c r="M46" s="42">
        <v>1.331</v>
      </c>
      <c r="N46" s="6">
        <v>1.331</v>
      </c>
      <c r="O46" s="42">
        <v>1.331</v>
      </c>
      <c r="P46" s="6">
        <v>0</v>
      </c>
      <c r="Q46" s="4" t="s">
        <v>26</v>
      </c>
      <c r="R46" s="4">
        <v>0</v>
      </c>
      <c r="S46" s="4">
        <v>0</v>
      </c>
      <c r="T46" s="4">
        <v>13</v>
      </c>
      <c r="U46" s="4">
        <v>71</v>
      </c>
      <c r="V46" s="42">
        <f>IF(ISERROR(VLOOKUP($S$46,'TAR FIN'!$A$1:$O$115,15,0)),0,VLOOKUP($S$46,'TAR FIN'!$A$1:$O$115,15,0))</f>
        <v>0</v>
      </c>
      <c r="W46" s="42">
        <f>IF(ISERROR(VLOOKUP($T$46,'TAR FIN'!$A$1:$O$115,15,0)),0,VLOOKUP($T$46,'TAR FIN'!$A$1:$O$115,15,0))*(1-0.04)</f>
        <v>1391.0016000000001</v>
      </c>
      <c r="X46" s="42">
        <f>IF(ISERROR(VLOOKUP($U$46,'TAR FIN'!$A$1:$O$115,15,0)),0,VLOOKUP($U$46,'TAR FIN'!$A$1:$O$115,15,0))*(1-0.04)</f>
        <v>259.488</v>
      </c>
      <c r="Y46" s="42"/>
      <c r="Z46" s="42">
        <f ca="1">('TUSD BE'!$AM$15+'TUSD BF'!$AM$15+'TUSD CVA'!$AM$15)*1*(1-0.02)</f>
        <v>1450.5254602362083</v>
      </c>
      <c r="AA46" s="42">
        <f>('TE BE'!$AB$8+'TE BF'!$AB$8+'TE CVA'!$AB$8)*1*(1-0.02)</f>
        <v>355.39110709588994</v>
      </c>
      <c r="AB46" s="42">
        <f>(SUBSIDIO!$J$46*SUBSIDIO!$V$46)*(0.04)/(1-0.04)</f>
        <v>0</v>
      </c>
      <c r="AC46" s="42">
        <f>((SUBSIDIO!$L$46*SUBSIDIO!$W$46)+(SUBSIDIO!$N$46*SUBSIDIO!$X$46))*(0.04)/(1-0.04)</f>
        <v>91.5334024</v>
      </c>
      <c r="AD46" s="42">
        <f>(SUBSIDIO!$J$46*SUBSIDIO!$Y$46)*(0.02)/(1-0.02)</f>
        <v>0</v>
      </c>
      <c r="AE46" s="42">
        <f ca="1">((SUBSIDIO!$L$46*SUBSIDIO!$Z$46)+(SUBSIDIO!$N$46*SUBSIDIO!$AA$46))*(0.02)/(1-0.02)</f>
        <v>49.054590839163737</v>
      </c>
      <c r="AF46" s="4" t="s">
        <v>933</v>
      </c>
    </row>
    <row r="47" spans="1:32" ht="11.25" customHeight="1" x14ac:dyDescent="0.25">
      <c r="A47" s="4" t="s">
        <v>21</v>
      </c>
      <c r="B47" s="4" t="s">
        <v>43</v>
      </c>
      <c r="C47" s="4" t="s">
        <v>44</v>
      </c>
      <c r="D47" s="4" t="s">
        <v>47</v>
      </c>
      <c r="E47" s="4" t="s">
        <v>25</v>
      </c>
      <c r="F47" s="4" t="s">
        <v>25</v>
      </c>
      <c r="G47" s="4" t="s">
        <v>25</v>
      </c>
      <c r="H47" s="4" t="s">
        <v>36</v>
      </c>
      <c r="I47" s="5">
        <v>44774</v>
      </c>
      <c r="J47" s="6">
        <v>0</v>
      </c>
      <c r="K47" s="42">
        <v>0</v>
      </c>
      <c r="L47" s="6">
        <v>0.73199999999999998</v>
      </c>
      <c r="M47" s="42">
        <v>0.73199999999999998</v>
      </c>
      <c r="N47" s="6">
        <v>0.73199999999999998</v>
      </c>
      <c r="O47" s="42">
        <v>0.73199999999999998</v>
      </c>
      <c r="P47" s="6">
        <v>0</v>
      </c>
      <c r="Q47" s="4" t="s">
        <v>26</v>
      </c>
      <c r="R47" s="4">
        <v>0</v>
      </c>
      <c r="S47" s="4">
        <v>0</v>
      </c>
      <c r="T47" s="4">
        <v>13</v>
      </c>
      <c r="U47" s="4">
        <v>71</v>
      </c>
      <c r="V47" s="42">
        <f>IF(ISERROR(VLOOKUP($S$47,'TAR FIN'!$A$1:$O$115,15,0)),0,VLOOKUP($S$47,'TAR FIN'!$A$1:$O$115,15,0))</f>
        <v>0</v>
      </c>
      <c r="W47" s="42">
        <f>IF(ISERROR(VLOOKUP($T$47,'TAR FIN'!$A$1:$O$115,15,0)),0,VLOOKUP($T$47,'TAR FIN'!$A$1:$O$115,15,0))*(1-0.04)</f>
        <v>1391.0016000000001</v>
      </c>
      <c r="X47" s="42">
        <f>IF(ISERROR(VLOOKUP($U$47,'TAR FIN'!$A$1:$O$115,15,0)),0,VLOOKUP($U$47,'TAR FIN'!$A$1:$O$115,15,0))*(1-0.04)</f>
        <v>259.488</v>
      </c>
      <c r="Y47" s="42"/>
      <c r="Z47" s="42">
        <f ca="1">('TUSD BE'!$AM$15+'TUSD BF'!$AM$15+'TUSD CVA'!$AM$15)*1*(1-0.02)</f>
        <v>1450.5254602362083</v>
      </c>
      <c r="AA47" s="42">
        <f>('TE BE'!$AB$8+'TE BF'!$AB$8+'TE CVA'!$AB$8)*1*(1-0.02)</f>
        <v>355.39110709588994</v>
      </c>
      <c r="AB47" s="42">
        <f>(SUBSIDIO!$J$47*SUBSIDIO!$V$47)*(0.04)/(1-0.04)</f>
        <v>0</v>
      </c>
      <c r="AC47" s="42">
        <f>((SUBSIDIO!$L$47*SUBSIDIO!$W$47)+(SUBSIDIO!$N$47*SUBSIDIO!$X$47))*(0.04)/(1-0.04)</f>
        <v>50.339932800000007</v>
      </c>
      <c r="AD47" s="42">
        <f>(SUBSIDIO!$J$47*SUBSIDIO!$Y$47)*(0.02)/(1-0.02)</f>
        <v>0</v>
      </c>
      <c r="AE47" s="42">
        <f ca="1">((SUBSIDIO!$L$47*SUBSIDIO!$Z$47)+(SUBSIDIO!$N$47*SUBSIDIO!$AA$47))*(0.02)/(1-0.02)</f>
        <v>26.978182189532571</v>
      </c>
      <c r="AF47" s="4" t="s">
        <v>933</v>
      </c>
    </row>
    <row r="48" spans="1:32" ht="11.25" customHeight="1" x14ac:dyDescent="0.25">
      <c r="A48" s="4" t="s">
        <v>21</v>
      </c>
      <c r="B48" s="4" t="s">
        <v>43</v>
      </c>
      <c r="C48" s="4" t="s">
        <v>44</v>
      </c>
      <c r="D48" s="4" t="s">
        <v>47</v>
      </c>
      <c r="E48" s="4" t="s">
        <v>25</v>
      </c>
      <c r="F48" s="4" t="s">
        <v>25</v>
      </c>
      <c r="G48" s="4" t="s">
        <v>25</v>
      </c>
      <c r="H48" s="4" t="s">
        <v>36</v>
      </c>
      <c r="I48" s="5">
        <v>44805</v>
      </c>
      <c r="J48" s="6">
        <v>0</v>
      </c>
      <c r="K48" s="42">
        <v>0</v>
      </c>
      <c r="L48" s="6">
        <v>0.79300000000000004</v>
      </c>
      <c r="M48" s="42">
        <v>0.79300000000000004</v>
      </c>
      <c r="N48" s="6">
        <v>0.79300000000000004</v>
      </c>
      <c r="O48" s="42">
        <v>0.79300000000000004</v>
      </c>
      <c r="P48" s="6">
        <v>0</v>
      </c>
      <c r="Q48" s="4" t="s">
        <v>26</v>
      </c>
      <c r="R48" s="4">
        <v>0</v>
      </c>
      <c r="S48" s="4">
        <v>0</v>
      </c>
      <c r="T48" s="4">
        <v>13</v>
      </c>
      <c r="U48" s="4">
        <v>71</v>
      </c>
      <c r="V48" s="42">
        <f>IF(ISERROR(VLOOKUP($S$48,'TAR FIN'!$A$1:$O$115,15,0)),0,VLOOKUP($S$48,'TAR FIN'!$A$1:$O$115,15,0))</f>
        <v>0</v>
      </c>
      <c r="W48" s="42">
        <f>IF(ISERROR(VLOOKUP($T$48,'TAR FIN'!$A$1:$O$115,15,0)),0,VLOOKUP($T$48,'TAR FIN'!$A$1:$O$115,15,0))*(1-0.04)</f>
        <v>1391.0016000000001</v>
      </c>
      <c r="X48" s="42">
        <f>IF(ISERROR(VLOOKUP($U$48,'TAR FIN'!$A$1:$O$115,15,0)),0,VLOOKUP($U$48,'TAR FIN'!$A$1:$O$115,15,0))*(1-0.04)</f>
        <v>259.488</v>
      </c>
      <c r="Y48" s="42"/>
      <c r="Z48" s="42">
        <f ca="1">('TUSD BE'!$AM$15+'TUSD BF'!$AM$15+'TUSD CVA'!$AM$15)*1*(1-0.02)</f>
        <v>1450.5254602362083</v>
      </c>
      <c r="AA48" s="42">
        <f>('TE BE'!$AB$8+'TE BF'!$AB$8+'TE CVA'!$AB$8)*1*(1-0.02)</f>
        <v>355.39110709588994</v>
      </c>
      <c r="AB48" s="42">
        <f>(SUBSIDIO!$J$48*SUBSIDIO!$V$48)*(0.04)/(1-0.04)</f>
        <v>0</v>
      </c>
      <c r="AC48" s="42">
        <f>((SUBSIDIO!$L$48*SUBSIDIO!$W$48)+(SUBSIDIO!$N$48*SUBSIDIO!$X$48))*(0.04)/(1-0.04)</f>
        <v>54.534927200000006</v>
      </c>
      <c r="AD48" s="42">
        <f>(SUBSIDIO!$J$48*SUBSIDIO!$Y$48)*(0.02)/(1-0.02)</f>
        <v>0</v>
      </c>
      <c r="AE48" s="42">
        <f ca="1">((SUBSIDIO!$L$48*SUBSIDIO!$Z$48)+(SUBSIDIO!$N$48*SUBSIDIO!$AA$48))*(0.02)/(1-0.02)</f>
        <v>29.226364038660286</v>
      </c>
      <c r="AF48" s="4" t="s">
        <v>933</v>
      </c>
    </row>
    <row r="49" spans="1:32" ht="11.25" customHeight="1" x14ac:dyDescent="0.25">
      <c r="A49" s="4" t="s">
        <v>21</v>
      </c>
      <c r="B49" s="4" t="s">
        <v>43</v>
      </c>
      <c r="C49" s="4" t="s">
        <v>44</v>
      </c>
      <c r="D49" s="4" t="s">
        <v>47</v>
      </c>
      <c r="E49" s="4" t="s">
        <v>25</v>
      </c>
      <c r="F49" s="4" t="s">
        <v>25</v>
      </c>
      <c r="G49" s="4" t="s">
        <v>25</v>
      </c>
      <c r="H49" s="4" t="s">
        <v>36</v>
      </c>
      <c r="I49" s="5">
        <v>44835</v>
      </c>
      <c r="J49" s="6">
        <v>0</v>
      </c>
      <c r="K49" s="42">
        <v>0</v>
      </c>
      <c r="L49" s="6">
        <v>0.61499999999999999</v>
      </c>
      <c r="M49" s="42">
        <v>0.61499999999999999</v>
      </c>
      <c r="N49" s="6">
        <v>0.61499999999999999</v>
      </c>
      <c r="O49" s="42">
        <v>0.61499999999999999</v>
      </c>
      <c r="P49" s="6">
        <v>0</v>
      </c>
      <c r="Q49" s="4" t="s">
        <v>26</v>
      </c>
      <c r="R49" s="4">
        <v>0</v>
      </c>
      <c r="S49" s="4">
        <v>0</v>
      </c>
      <c r="T49" s="4">
        <v>13</v>
      </c>
      <c r="U49" s="4">
        <v>71</v>
      </c>
      <c r="V49" s="42">
        <f>IF(ISERROR(VLOOKUP($S$49,'TAR FIN'!$A$1:$O$115,15,0)),0,VLOOKUP($S$49,'TAR FIN'!$A$1:$O$115,15,0))</f>
        <v>0</v>
      </c>
      <c r="W49" s="42">
        <f>IF(ISERROR(VLOOKUP($T$49,'TAR FIN'!$A$1:$O$115,15,0)),0,VLOOKUP($T$49,'TAR FIN'!$A$1:$O$115,15,0))*(1-0.04)</f>
        <v>1391.0016000000001</v>
      </c>
      <c r="X49" s="42">
        <f>IF(ISERROR(VLOOKUP($U$49,'TAR FIN'!$A$1:$O$115,15,0)),0,VLOOKUP($U$49,'TAR FIN'!$A$1:$O$115,15,0))*(1-0.04)</f>
        <v>259.488</v>
      </c>
      <c r="Y49" s="42"/>
      <c r="Z49" s="42">
        <f ca="1">('TUSD BE'!$AM$15+'TUSD BF'!$AM$15+'TUSD CVA'!$AM$15)*1*(1-0.02)</f>
        <v>1450.5254602362083</v>
      </c>
      <c r="AA49" s="42">
        <f>('TE BE'!$AB$8+'TE BF'!$AB$8+'TE CVA'!$AB$8)*1*(1-0.02)</f>
        <v>355.39110709588994</v>
      </c>
      <c r="AB49" s="42">
        <f>(SUBSIDIO!$J$49*SUBSIDIO!$V$49)*(0.04)/(1-0.04)</f>
        <v>0</v>
      </c>
      <c r="AC49" s="42">
        <f>((SUBSIDIO!$L$49*SUBSIDIO!$W$49)+(SUBSIDIO!$N$49*SUBSIDIO!$X$49))*(0.04)/(1-0.04)</f>
        <v>42.293796</v>
      </c>
      <c r="AD49" s="42">
        <f>(SUBSIDIO!$J$49*SUBSIDIO!$Y$49)*(0.02)/(1-0.02)</f>
        <v>0</v>
      </c>
      <c r="AE49" s="42">
        <f ca="1">((SUBSIDIO!$L$49*SUBSIDIO!$Z$49)+(SUBSIDIO!$N$49*SUBSIDIO!$AA$49))*(0.02)/(1-0.02)</f>
        <v>22.666095692025319</v>
      </c>
      <c r="AF49" s="4" t="s">
        <v>933</v>
      </c>
    </row>
    <row r="50" spans="1:32" ht="11.25" customHeight="1" x14ac:dyDescent="0.25">
      <c r="A50" s="4" t="s">
        <v>59</v>
      </c>
      <c r="B50" s="4" t="s">
        <v>43</v>
      </c>
      <c r="C50" s="4" t="s">
        <v>44</v>
      </c>
      <c r="D50" s="4" t="s">
        <v>47</v>
      </c>
      <c r="E50" s="4" t="s">
        <v>25</v>
      </c>
      <c r="F50" s="4" t="s">
        <v>25</v>
      </c>
      <c r="G50" s="4" t="s">
        <v>25</v>
      </c>
      <c r="H50" s="4" t="s">
        <v>36</v>
      </c>
      <c r="I50" s="5">
        <v>44866</v>
      </c>
      <c r="J50" s="6">
        <v>0</v>
      </c>
      <c r="K50" s="42">
        <v>0</v>
      </c>
      <c r="L50" s="6">
        <v>0.61499999999999999</v>
      </c>
      <c r="M50" s="42">
        <v>0.61499999999999999</v>
      </c>
      <c r="N50" s="6">
        <v>0.61499999999999999</v>
      </c>
      <c r="O50" s="42">
        <v>0.61499999999999999</v>
      </c>
      <c r="P50" s="6">
        <v>0</v>
      </c>
      <c r="Q50" s="4" t="s">
        <v>26</v>
      </c>
      <c r="R50" s="4">
        <v>0</v>
      </c>
      <c r="S50" s="4">
        <v>0</v>
      </c>
      <c r="T50" s="4">
        <v>13</v>
      </c>
      <c r="U50" s="4">
        <v>71</v>
      </c>
      <c r="V50" s="42">
        <f>IF(ISERROR(VLOOKUP($S$50,'TAR FIN'!$A$1:$O$115,15,0)),0,VLOOKUP($S$50,'TAR FIN'!$A$1:$O$115,15,0))</f>
        <v>0</v>
      </c>
      <c r="W50" s="42">
        <f>IF(ISERROR(VLOOKUP($T$50,'TAR FIN'!$A$1:$O$115,15,0)),0,VLOOKUP($T$50,'TAR FIN'!$A$1:$O$115,15,0))*(1-0.04)</f>
        <v>1391.0016000000001</v>
      </c>
      <c r="X50" s="42">
        <f>IF(ISERROR(VLOOKUP($U$50,'TAR FIN'!$A$1:$O$115,15,0)),0,VLOOKUP($U$50,'TAR FIN'!$A$1:$O$115,15,0))*(1-0.04)</f>
        <v>259.488</v>
      </c>
      <c r="Y50" s="42"/>
      <c r="Z50" s="42">
        <f ca="1">('TUSD BE'!$AM$15+'TUSD BF'!$AM$15+'TUSD CVA'!$AM$15)*1*(1-0.02)</f>
        <v>1450.5254602362083</v>
      </c>
      <c r="AA50" s="42">
        <f>('TE BE'!$AB$8+'TE BF'!$AB$8+'TE CVA'!$AB$8)*1*(1-0.02)</f>
        <v>355.39110709588994</v>
      </c>
      <c r="AB50" s="42">
        <f>(SUBSIDIO!$J$50*SUBSIDIO!$V$50)*(0.04)/(1-0.04)</f>
        <v>0</v>
      </c>
      <c r="AC50" s="42">
        <f>((SUBSIDIO!$L$50*SUBSIDIO!$W$50)+(SUBSIDIO!$N$50*SUBSIDIO!$X$50))*(0.04)/(1-0.04)</f>
        <v>42.293796</v>
      </c>
      <c r="AD50" s="42">
        <f>(SUBSIDIO!$J$50*SUBSIDIO!$Y$50)*(0.02)/(1-0.02)</f>
        <v>0</v>
      </c>
      <c r="AE50" s="42">
        <f ca="1">((SUBSIDIO!$L$50*SUBSIDIO!$Z$50)+(SUBSIDIO!$N$50*SUBSIDIO!$AA$50))*(0.02)/(1-0.02)</f>
        <v>22.666095692025319</v>
      </c>
      <c r="AF50" s="4" t="s">
        <v>933</v>
      </c>
    </row>
    <row r="51" spans="1:32" ht="11.25" customHeight="1" x14ac:dyDescent="0.25">
      <c r="A51" s="4" t="s">
        <v>21</v>
      </c>
      <c r="B51" s="4" t="s">
        <v>43</v>
      </c>
      <c r="C51" s="4" t="s">
        <v>44</v>
      </c>
      <c r="D51" s="4" t="s">
        <v>52</v>
      </c>
      <c r="E51" s="4" t="s">
        <v>53</v>
      </c>
      <c r="F51" s="4" t="s">
        <v>25</v>
      </c>
      <c r="G51" s="4" t="s">
        <v>25</v>
      </c>
      <c r="H51" s="4" t="s">
        <v>25</v>
      </c>
      <c r="I51" s="5">
        <v>44531</v>
      </c>
      <c r="J51" s="6">
        <v>35</v>
      </c>
      <c r="K51" s="43">
        <v>35</v>
      </c>
      <c r="L51" s="6">
        <v>0</v>
      </c>
      <c r="M51" s="42">
        <v>0</v>
      </c>
      <c r="N51" s="6">
        <v>0</v>
      </c>
      <c r="O51" s="42">
        <v>0</v>
      </c>
      <c r="P51" s="6">
        <v>1</v>
      </c>
      <c r="Q51" s="4" t="s">
        <v>26</v>
      </c>
      <c r="R51" s="4">
        <v>0</v>
      </c>
      <c r="S51" s="4">
        <v>12</v>
      </c>
      <c r="T51" s="4">
        <v>0</v>
      </c>
      <c r="U51" s="4">
        <v>0</v>
      </c>
      <c r="V51" s="42">
        <f>IF(ISERROR(VLOOKUP($S$51,'TAR FIN'!$A$1:$O$115,15,0)),0,VLOOKUP($S$51,'TAR FIN'!$A$1:$O$115,15,0))*(1-0.06)</f>
        <v>18.611999999999998</v>
      </c>
      <c r="W51" s="42">
        <f>IF(ISERROR(VLOOKUP($T$51,'TAR FIN'!$A$1:$O$115,15,0)),0,VLOOKUP($T$51,'TAR FIN'!$A$1:$O$115,15,0))</f>
        <v>0</v>
      </c>
      <c r="X51" s="42">
        <f>IF(ISERROR(VLOOKUP($U$51,'TAR FIN'!$A$1:$O$115,15,0)),0,VLOOKUP($U$51,'TAR FIN'!$A$1:$O$115,15,0))</f>
        <v>0</v>
      </c>
      <c r="Y51" s="42">
        <f ca="1">('TUSD BE'!$AM$14+'TUSD BF'!$AM$14+'TUSD CVA'!$AM$14)*1*(1-0.03)</f>
        <v>19.996757900318997</v>
      </c>
      <c r="Z51" s="42"/>
      <c r="AA51" s="42"/>
      <c r="AB51" s="42">
        <f>(SUBSIDIO!$J$51*SUBSIDIO!$V$51)*(0.06)/(1-0.06)</f>
        <v>41.58</v>
      </c>
      <c r="AC51" s="42">
        <f>((SUBSIDIO!$L$51*SUBSIDIO!$W$51)+(SUBSIDIO!$N$51*SUBSIDIO!$X$51))*(0.06)/(1-0.06)</f>
        <v>0</v>
      </c>
      <c r="AD51" s="42">
        <f ca="1">(SUBSIDIO!$J$51*SUBSIDIO!$Y$51)*(0.03)/(1-0.03)</f>
        <v>21.64597504673706</v>
      </c>
      <c r="AE51" s="42">
        <f>((SUBSIDIO!$L$51*SUBSIDIO!$Z$51)+(SUBSIDIO!$N$51*SUBSIDIO!$AA$51))*(0.03)/(1-0.03)</f>
        <v>0</v>
      </c>
      <c r="AF51" s="4" t="s">
        <v>935</v>
      </c>
    </row>
    <row r="52" spans="1:32" ht="11.25" customHeight="1" x14ac:dyDescent="0.25">
      <c r="A52" s="4" t="s">
        <v>21</v>
      </c>
      <c r="B52" s="4" t="s">
        <v>43</v>
      </c>
      <c r="C52" s="4" t="s">
        <v>44</v>
      </c>
      <c r="D52" s="4" t="s">
        <v>52</v>
      </c>
      <c r="E52" s="4" t="s">
        <v>53</v>
      </c>
      <c r="F52" s="4" t="s">
        <v>25</v>
      </c>
      <c r="G52" s="4" t="s">
        <v>25</v>
      </c>
      <c r="H52" s="4" t="s">
        <v>25</v>
      </c>
      <c r="I52" s="5">
        <v>44562</v>
      </c>
      <c r="J52" s="6">
        <v>35</v>
      </c>
      <c r="K52" s="43">
        <v>35</v>
      </c>
      <c r="L52" s="6">
        <v>0</v>
      </c>
      <c r="M52" s="42">
        <v>0</v>
      </c>
      <c r="N52" s="6">
        <v>0</v>
      </c>
      <c r="O52" s="42">
        <v>0</v>
      </c>
      <c r="P52" s="6">
        <v>1</v>
      </c>
      <c r="Q52" s="4" t="s">
        <v>26</v>
      </c>
      <c r="R52" s="4">
        <v>0</v>
      </c>
      <c r="S52" s="4">
        <v>12</v>
      </c>
      <c r="T52" s="4">
        <v>0</v>
      </c>
      <c r="U52" s="4">
        <v>0</v>
      </c>
      <c r="V52" s="42">
        <f>IF(ISERROR(VLOOKUP($S$52,'TAR FIN'!$A$1:$O$115,15,0)),0,VLOOKUP($S$52,'TAR FIN'!$A$1:$O$115,15,0))*(1-0.06)</f>
        <v>18.611999999999998</v>
      </c>
      <c r="W52" s="42">
        <f>IF(ISERROR(VLOOKUP($T$52,'TAR FIN'!$A$1:$O$115,15,0)),0,VLOOKUP($T$52,'TAR FIN'!$A$1:$O$115,15,0))</f>
        <v>0</v>
      </c>
      <c r="X52" s="42">
        <f>IF(ISERROR(VLOOKUP($U$52,'TAR FIN'!$A$1:$O$115,15,0)),0,VLOOKUP($U$52,'TAR FIN'!$A$1:$O$115,15,0))</f>
        <v>0</v>
      </c>
      <c r="Y52" s="42">
        <f ca="1">('TUSD BE'!$AM$14+'TUSD BF'!$AM$14+'TUSD CVA'!$AM$14)*1*(1-0.03)</f>
        <v>19.996757900318997</v>
      </c>
      <c r="Z52" s="42"/>
      <c r="AA52" s="42"/>
      <c r="AB52" s="42">
        <f>(SUBSIDIO!$J$52*SUBSIDIO!$V$52)*(0.06)/(1-0.06)</f>
        <v>41.58</v>
      </c>
      <c r="AC52" s="42">
        <f>((SUBSIDIO!$L$52*SUBSIDIO!$W$52)+(SUBSIDIO!$N$52*SUBSIDIO!$X$52))*(0.06)/(1-0.06)</f>
        <v>0</v>
      </c>
      <c r="AD52" s="42">
        <f ca="1">(SUBSIDIO!$J$52*SUBSIDIO!$Y$52)*(0.03)/(1-0.03)</f>
        <v>21.64597504673706</v>
      </c>
      <c r="AE52" s="42">
        <f>((SUBSIDIO!$L$52*SUBSIDIO!$Z$52)+(SUBSIDIO!$N$52*SUBSIDIO!$AA$52))*(0.03)/(1-0.03)</f>
        <v>0</v>
      </c>
      <c r="AF52" s="4" t="s">
        <v>935</v>
      </c>
    </row>
    <row r="53" spans="1:32" ht="11.25" customHeight="1" x14ac:dyDescent="0.25">
      <c r="A53" s="4" t="s">
        <v>21</v>
      </c>
      <c r="B53" s="4" t="s">
        <v>43</v>
      </c>
      <c r="C53" s="4" t="s">
        <v>44</v>
      </c>
      <c r="D53" s="4" t="s">
        <v>52</v>
      </c>
      <c r="E53" s="4" t="s">
        <v>53</v>
      </c>
      <c r="F53" s="4" t="s">
        <v>25</v>
      </c>
      <c r="G53" s="4" t="s">
        <v>25</v>
      </c>
      <c r="H53" s="4" t="s">
        <v>25</v>
      </c>
      <c r="I53" s="5">
        <v>44593</v>
      </c>
      <c r="J53" s="6">
        <v>35</v>
      </c>
      <c r="K53" s="43">
        <v>35</v>
      </c>
      <c r="L53" s="6">
        <v>0</v>
      </c>
      <c r="M53" s="42">
        <v>0</v>
      </c>
      <c r="N53" s="6">
        <v>0</v>
      </c>
      <c r="O53" s="42">
        <v>0</v>
      </c>
      <c r="P53" s="6">
        <v>1</v>
      </c>
      <c r="Q53" s="4" t="s">
        <v>26</v>
      </c>
      <c r="R53" s="4">
        <v>0</v>
      </c>
      <c r="S53" s="4">
        <v>12</v>
      </c>
      <c r="T53" s="4">
        <v>0</v>
      </c>
      <c r="U53" s="4">
        <v>0</v>
      </c>
      <c r="V53" s="42">
        <f>IF(ISERROR(VLOOKUP($S$53,'TAR FIN'!$A$1:$O$115,15,0)),0,VLOOKUP($S$53,'TAR FIN'!$A$1:$O$115,15,0))*(1-0.06)</f>
        <v>18.611999999999998</v>
      </c>
      <c r="W53" s="42">
        <f>IF(ISERROR(VLOOKUP($T$53,'TAR FIN'!$A$1:$O$115,15,0)),0,VLOOKUP($T$53,'TAR FIN'!$A$1:$O$115,15,0))</f>
        <v>0</v>
      </c>
      <c r="X53" s="42">
        <f>IF(ISERROR(VLOOKUP($U$53,'TAR FIN'!$A$1:$O$115,15,0)),0,VLOOKUP($U$53,'TAR FIN'!$A$1:$O$115,15,0))</f>
        <v>0</v>
      </c>
      <c r="Y53" s="42">
        <f ca="1">('TUSD BE'!$AM$14+'TUSD BF'!$AM$14+'TUSD CVA'!$AM$14)*1*(1-0.03)</f>
        <v>19.996757900318997</v>
      </c>
      <c r="Z53" s="42"/>
      <c r="AA53" s="42"/>
      <c r="AB53" s="42">
        <f>(SUBSIDIO!$J$53*SUBSIDIO!$V$53)*(0.06)/(1-0.06)</f>
        <v>41.58</v>
      </c>
      <c r="AC53" s="42">
        <f>((SUBSIDIO!$L$53*SUBSIDIO!$W$53)+(SUBSIDIO!$N$53*SUBSIDIO!$X$53))*(0.06)/(1-0.06)</f>
        <v>0</v>
      </c>
      <c r="AD53" s="42">
        <f ca="1">(SUBSIDIO!$J$53*SUBSIDIO!$Y$53)*(0.03)/(1-0.03)</f>
        <v>21.64597504673706</v>
      </c>
      <c r="AE53" s="42">
        <f>((SUBSIDIO!$L$53*SUBSIDIO!$Z$53)+(SUBSIDIO!$N$53*SUBSIDIO!$AA$53))*(0.03)/(1-0.03)</f>
        <v>0</v>
      </c>
      <c r="AF53" s="4" t="s">
        <v>935</v>
      </c>
    </row>
    <row r="54" spans="1:32" ht="11.25" customHeight="1" x14ac:dyDescent="0.25">
      <c r="A54" s="4" t="s">
        <v>21</v>
      </c>
      <c r="B54" s="4" t="s">
        <v>43</v>
      </c>
      <c r="C54" s="4" t="s">
        <v>44</v>
      </c>
      <c r="D54" s="4" t="s">
        <v>52</v>
      </c>
      <c r="E54" s="4" t="s">
        <v>53</v>
      </c>
      <c r="F54" s="4" t="s">
        <v>25</v>
      </c>
      <c r="G54" s="4" t="s">
        <v>25</v>
      </c>
      <c r="H54" s="4" t="s">
        <v>25</v>
      </c>
      <c r="I54" s="5">
        <v>44621</v>
      </c>
      <c r="J54" s="6">
        <v>35</v>
      </c>
      <c r="K54" s="43">
        <v>35</v>
      </c>
      <c r="L54" s="6">
        <v>0</v>
      </c>
      <c r="M54" s="42">
        <v>0</v>
      </c>
      <c r="N54" s="6">
        <v>0</v>
      </c>
      <c r="O54" s="42">
        <v>0</v>
      </c>
      <c r="P54" s="6">
        <v>1</v>
      </c>
      <c r="Q54" s="4" t="s">
        <v>26</v>
      </c>
      <c r="R54" s="4">
        <v>0</v>
      </c>
      <c r="S54" s="4">
        <v>12</v>
      </c>
      <c r="T54" s="4">
        <v>0</v>
      </c>
      <c r="U54" s="4">
        <v>0</v>
      </c>
      <c r="V54" s="42">
        <f>IF(ISERROR(VLOOKUP($S$54,'TAR FIN'!$A$1:$O$115,15,0)),0,VLOOKUP($S$54,'TAR FIN'!$A$1:$O$115,15,0))*(1-0.06)</f>
        <v>18.611999999999998</v>
      </c>
      <c r="W54" s="42">
        <f>IF(ISERROR(VLOOKUP($T$54,'TAR FIN'!$A$1:$O$115,15,0)),0,VLOOKUP($T$54,'TAR FIN'!$A$1:$O$115,15,0))</f>
        <v>0</v>
      </c>
      <c r="X54" s="42">
        <f>IF(ISERROR(VLOOKUP($U$54,'TAR FIN'!$A$1:$O$115,15,0)),0,VLOOKUP($U$54,'TAR FIN'!$A$1:$O$115,15,0))</f>
        <v>0</v>
      </c>
      <c r="Y54" s="42">
        <f ca="1">('TUSD BE'!$AM$14+'TUSD BF'!$AM$14+'TUSD CVA'!$AM$14)*1*(1-0.03)</f>
        <v>19.996757900318997</v>
      </c>
      <c r="Z54" s="42"/>
      <c r="AA54" s="42"/>
      <c r="AB54" s="42">
        <f>(SUBSIDIO!$J$54*SUBSIDIO!$V$54)*(0.06)/(1-0.06)</f>
        <v>41.58</v>
      </c>
      <c r="AC54" s="42">
        <f>((SUBSIDIO!$L$54*SUBSIDIO!$W$54)+(SUBSIDIO!$N$54*SUBSIDIO!$X$54))*(0.06)/(1-0.06)</f>
        <v>0</v>
      </c>
      <c r="AD54" s="42">
        <f ca="1">(SUBSIDIO!$J$54*SUBSIDIO!$Y$54)*(0.03)/(1-0.03)</f>
        <v>21.64597504673706</v>
      </c>
      <c r="AE54" s="42">
        <f>((SUBSIDIO!$L$54*SUBSIDIO!$Z$54)+(SUBSIDIO!$N$54*SUBSIDIO!$AA$54))*(0.03)/(1-0.03)</f>
        <v>0</v>
      </c>
      <c r="AF54" s="4" t="s">
        <v>935</v>
      </c>
    </row>
    <row r="55" spans="1:32" ht="11.25" customHeight="1" x14ac:dyDescent="0.25">
      <c r="A55" s="4" t="s">
        <v>21</v>
      </c>
      <c r="B55" s="4" t="s">
        <v>43</v>
      </c>
      <c r="C55" s="4" t="s">
        <v>44</v>
      </c>
      <c r="D55" s="4" t="s">
        <v>52</v>
      </c>
      <c r="E55" s="4" t="s">
        <v>53</v>
      </c>
      <c r="F55" s="4" t="s">
        <v>25</v>
      </c>
      <c r="G55" s="4" t="s">
        <v>25</v>
      </c>
      <c r="H55" s="4" t="s">
        <v>25</v>
      </c>
      <c r="I55" s="5">
        <v>44652</v>
      </c>
      <c r="J55" s="6">
        <v>35</v>
      </c>
      <c r="K55" s="43">
        <v>35</v>
      </c>
      <c r="L55" s="6">
        <v>0</v>
      </c>
      <c r="M55" s="42">
        <v>0</v>
      </c>
      <c r="N55" s="6">
        <v>0</v>
      </c>
      <c r="O55" s="42">
        <v>0</v>
      </c>
      <c r="P55" s="6">
        <v>1</v>
      </c>
      <c r="Q55" s="4" t="s">
        <v>26</v>
      </c>
      <c r="R55" s="4">
        <v>0</v>
      </c>
      <c r="S55" s="4">
        <v>12</v>
      </c>
      <c r="T55" s="4">
        <v>0</v>
      </c>
      <c r="U55" s="4">
        <v>0</v>
      </c>
      <c r="V55" s="42">
        <f>IF(ISERROR(VLOOKUP($S$55,'TAR FIN'!$A$1:$O$115,15,0)),0,VLOOKUP($S$55,'TAR FIN'!$A$1:$O$115,15,0))*(1-0.06)</f>
        <v>18.611999999999998</v>
      </c>
      <c r="W55" s="42">
        <f>IF(ISERROR(VLOOKUP($T$55,'TAR FIN'!$A$1:$O$115,15,0)),0,VLOOKUP($T$55,'TAR FIN'!$A$1:$O$115,15,0))</f>
        <v>0</v>
      </c>
      <c r="X55" s="42">
        <f>IF(ISERROR(VLOOKUP($U$55,'TAR FIN'!$A$1:$O$115,15,0)),0,VLOOKUP($U$55,'TAR FIN'!$A$1:$O$115,15,0))</f>
        <v>0</v>
      </c>
      <c r="Y55" s="42">
        <f ca="1">('TUSD BE'!$AM$14+'TUSD BF'!$AM$14+'TUSD CVA'!$AM$14)*1*(1-0.03)</f>
        <v>19.996757900318997</v>
      </c>
      <c r="Z55" s="42"/>
      <c r="AA55" s="42"/>
      <c r="AB55" s="42">
        <f>(SUBSIDIO!$J$55*SUBSIDIO!$V$55)*(0.06)/(1-0.06)</f>
        <v>41.58</v>
      </c>
      <c r="AC55" s="42">
        <f>((SUBSIDIO!$L$55*SUBSIDIO!$W$55)+(SUBSIDIO!$N$55*SUBSIDIO!$X$55))*(0.06)/(1-0.06)</f>
        <v>0</v>
      </c>
      <c r="AD55" s="42">
        <f ca="1">(SUBSIDIO!$J$55*SUBSIDIO!$Y$55)*(0.03)/(1-0.03)</f>
        <v>21.64597504673706</v>
      </c>
      <c r="AE55" s="42">
        <f>((SUBSIDIO!$L$55*SUBSIDIO!$Z$55)+(SUBSIDIO!$N$55*SUBSIDIO!$AA$55))*(0.03)/(1-0.03)</f>
        <v>0</v>
      </c>
      <c r="AF55" s="4" t="s">
        <v>935</v>
      </c>
    </row>
    <row r="56" spans="1:32" ht="11.25" customHeight="1" x14ac:dyDescent="0.25">
      <c r="A56" s="4" t="s">
        <v>21</v>
      </c>
      <c r="B56" s="4" t="s">
        <v>43</v>
      </c>
      <c r="C56" s="4" t="s">
        <v>44</v>
      </c>
      <c r="D56" s="4" t="s">
        <v>52</v>
      </c>
      <c r="E56" s="4" t="s">
        <v>53</v>
      </c>
      <c r="F56" s="4" t="s">
        <v>25</v>
      </c>
      <c r="G56" s="4" t="s">
        <v>25</v>
      </c>
      <c r="H56" s="4" t="s">
        <v>25</v>
      </c>
      <c r="I56" s="5">
        <v>44682</v>
      </c>
      <c r="J56" s="6">
        <v>35</v>
      </c>
      <c r="K56" s="43">
        <v>35</v>
      </c>
      <c r="L56" s="6">
        <v>0</v>
      </c>
      <c r="M56" s="42">
        <v>0</v>
      </c>
      <c r="N56" s="6">
        <v>0</v>
      </c>
      <c r="O56" s="42">
        <v>0</v>
      </c>
      <c r="P56" s="6">
        <v>1</v>
      </c>
      <c r="Q56" s="4" t="s">
        <v>26</v>
      </c>
      <c r="R56" s="4">
        <v>0</v>
      </c>
      <c r="S56" s="4">
        <v>12</v>
      </c>
      <c r="T56" s="4">
        <v>0</v>
      </c>
      <c r="U56" s="4">
        <v>0</v>
      </c>
      <c r="V56" s="42">
        <f>IF(ISERROR(VLOOKUP($S$56,'TAR FIN'!$A$1:$O$115,15,0)),0,VLOOKUP($S$56,'TAR FIN'!$A$1:$O$115,15,0))*(1-0.06)</f>
        <v>18.611999999999998</v>
      </c>
      <c r="W56" s="42">
        <f>IF(ISERROR(VLOOKUP($T$56,'TAR FIN'!$A$1:$O$115,15,0)),0,VLOOKUP($T$56,'TAR FIN'!$A$1:$O$115,15,0))</f>
        <v>0</v>
      </c>
      <c r="X56" s="42">
        <f>IF(ISERROR(VLOOKUP($U$56,'TAR FIN'!$A$1:$O$115,15,0)),0,VLOOKUP($U$56,'TAR FIN'!$A$1:$O$115,15,0))</f>
        <v>0</v>
      </c>
      <c r="Y56" s="42">
        <f ca="1">('TUSD BE'!$AM$14+'TUSD BF'!$AM$14+'TUSD CVA'!$AM$14)*1*(1-0.03)</f>
        <v>19.996757900318997</v>
      </c>
      <c r="Z56" s="42"/>
      <c r="AA56" s="42"/>
      <c r="AB56" s="42">
        <f>(SUBSIDIO!$J$56*SUBSIDIO!$V$56)*(0.06)/(1-0.06)</f>
        <v>41.58</v>
      </c>
      <c r="AC56" s="42">
        <f>((SUBSIDIO!$L$56*SUBSIDIO!$W$56)+(SUBSIDIO!$N$56*SUBSIDIO!$X$56))*(0.06)/(1-0.06)</f>
        <v>0</v>
      </c>
      <c r="AD56" s="42">
        <f ca="1">(SUBSIDIO!$J$56*SUBSIDIO!$Y$56)*(0.03)/(1-0.03)</f>
        <v>21.64597504673706</v>
      </c>
      <c r="AE56" s="42">
        <f>((SUBSIDIO!$L$56*SUBSIDIO!$Z$56)+(SUBSIDIO!$N$56*SUBSIDIO!$AA$56))*(0.03)/(1-0.03)</f>
        <v>0</v>
      </c>
      <c r="AF56" s="4" t="s">
        <v>935</v>
      </c>
    </row>
    <row r="57" spans="1:32" ht="11.25" customHeight="1" x14ac:dyDescent="0.25">
      <c r="A57" s="4" t="s">
        <v>21</v>
      </c>
      <c r="B57" s="4" t="s">
        <v>43</v>
      </c>
      <c r="C57" s="4" t="s">
        <v>44</v>
      </c>
      <c r="D57" s="4" t="s">
        <v>52</v>
      </c>
      <c r="E57" s="4" t="s">
        <v>53</v>
      </c>
      <c r="F57" s="4" t="s">
        <v>25</v>
      </c>
      <c r="G57" s="4" t="s">
        <v>25</v>
      </c>
      <c r="H57" s="4" t="s">
        <v>25</v>
      </c>
      <c r="I57" s="5">
        <v>44713</v>
      </c>
      <c r="J57" s="6">
        <v>35</v>
      </c>
      <c r="K57" s="43">
        <v>35</v>
      </c>
      <c r="L57" s="6">
        <v>0</v>
      </c>
      <c r="M57" s="42">
        <v>0</v>
      </c>
      <c r="N57" s="6">
        <v>0</v>
      </c>
      <c r="O57" s="42">
        <v>0</v>
      </c>
      <c r="P57" s="6">
        <v>1</v>
      </c>
      <c r="Q57" s="4" t="s">
        <v>26</v>
      </c>
      <c r="R57" s="4">
        <v>0</v>
      </c>
      <c r="S57" s="4">
        <v>12</v>
      </c>
      <c r="T57" s="4">
        <v>0</v>
      </c>
      <c r="U57" s="4">
        <v>0</v>
      </c>
      <c r="V57" s="42">
        <f>IF(ISERROR(VLOOKUP($S$57,'TAR FIN'!$A$1:$O$115,15,0)),0,VLOOKUP($S$57,'TAR FIN'!$A$1:$O$115,15,0))*(1-0.06)</f>
        <v>18.611999999999998</v>
      </c>
      <c r="W57" s="42">
        <f>IF(ISERROR(VLOOKUP($T$57,'TAR FIN'!$A$1:$O$115,15,0)),0,VLOOKUP($T$57,'TAR FIN'!$A$1:$O$115,15,0))</f>
        <v>0</v>
      </c>
      <c r="X57" s="42">
        <f>IF(ISERROR(VLOOKUP($U$57,'TAR FIN'!$A$1:$O$115,15,0)),0,VLOOKUP($U$57,'TAR FIN'!$A$1:$O$115,15,0))</f>
        <v>0</v>
      </c>
      <c r="Y57" s="42">
        <f ca="1">('TUSD BE'!$AM$14+'TUSD BF'!$AM$14+'TUSD CVA'!$AM$14)*1*(1-0.03)</f>
        <v>19.996757900318997</v>
      </c>
      <c r="Z57" s="42"/>
      <c r="AA57" s="42"/>
      <c r="AB57" s="42">
        <f>(SUBSIDIO!$J$57*SUBSIDIO!$V$57)*(0.06)/(1-0.06)</f>
        <v>41.58</v>
      </c>
      <c r="AC57" s="42">
        <f>((SUBSIDIO!$L$57*SUBSIDIO!$W$57)+(SUBSIDIO!$N$57*SUBSIDIO!$X$57))*(0.06)/(1-0.06)</f>
        <v>0</v>
      </c>
      <c r="AD57" s="42">
        <f ca="1">(SUBSIDIO!$J$57*SUBSIDIO!$Y$57)*(0.03)/(1-0.03)</f>
        <v>21.64597504673706</v>
      </c>
      <c r="AE57" s="42">
        <f>((SUBSIDIO!$L$57*SUBSIDIO!$Z$57)+(SUBSIDIO!$N$57*SUBSIDIO!$AA$57))*(0.03)/(1-0.03)</f>
        <v>0</v>
      </c>
      <c r="AF57" s="4" t="s">
        <v>935</v>
      </c>
    </row>
    <row r="58" spans="1:32" ht="11.25" customHeight="1" x14ac:dyDescent="0.25">
      <c r="A58" s="4" t="s">
        <v>21</v>
      </c>
      <c r="B58" s="4" t="s">
        <v>43</v>
      </c>
      <c r="C58" s="4" t="s">
        <v>44</v>
      </c>
      <c r="D58" s="4" t="s">
        <v>52</v>
      </c>
      <c r="E58" s="4" t="s">
        <v>53</v>
      </c>
      <c r="F58" s="4" t="s">
        <v>25</v>
      </c>
      <c r="G58" s="4" t="s">
        <v>25</v>
      </c>
      <c r="H58" s="4" t="s">
        <v>25</v>
      </c>
      <c r="I58" s="5">
        <v>44743</v>
      </c>
      <c r="J58" s="6">
        <v>35</v>
      </c>
      <c r="K58" s="43">
        <v>35</v>
      </c>
      <c r="L58" s="6">
        <v>0</v>
      </c>
      <c r="M58" s="42">
        <v>0</v>
      </c>
      <c r="N58" s="6">
        <v>0</v>
      </c>
      <c r="O58" s="42">
        <v>0</v>
      </c>
      <c r="P58" s="6">
        <v>1</v>
      </c>
      <c r="Q58" s="4" t="s">
        <v>26</v>
      </c>
      <c r="R58" s="4">
        <v>0</v>
      </c>
      <c r="S58" s="4">
        <v>12</v>
      </c>
      <c r="T58" s="4">
        <v>0</v>
      </c>
      <c r="U58" s="4">
        <v>0</v>
      </c>
      <c r="V58" s="42">
        <f>IF(ISERROR(VLOOKUP($S$58,'TAR FIN'!$A$1:$O$115,15,0)),0,VLOOKUP($S$58,'TAR FIN'!$A$1:$O$115,15,0))*(1-0.06)</f>
        <v>18.611999999999998</v>
      </c>
      <c r="W58" s="42">
        <f>IF(ISERROR(VLOOKUP($T$58,'TAR FIN'!$A$1:$O$115,15,0)),0,VLOOKUP($T$58,'TAR FIN'!$A$1:$O$115,15,0))</f>
        <v>0</v>
      </c>
      <c r="X58" s="42">
        <f>IF(ISERROR(VLOOKUP($U$58,'TAR FIN'!$A$1:$O$115,15,0)),0,VLOOKUP($U$58,'TAR FIN'!$A$1:$O$115,15,0))</f>
        <v>0</v>
      </c>
      <c r="Y58" s="42">
        <f ca="1">('TUSD BE'!$AM$14+'TUSD BF'!$AM$14+'TUSD CVA'!$AM$14)*1*(1-0.03)</f>
        <v>19.996757900318997</v>
      </c>
      <c r="Z58" s="42"/>
      <c r="AA58" s="42"/>
      <c r="AB58" s="42">
        <f>(SUBSIDIO!$J$58*SUBSIDIO!$V$58)*(0.06)/(1-0.06)</f>
        <v>41.58</v>
      </c>
      <c r="AC58" s="42">
        <f>((SUBSIDIO!$L$58*SUBSIDIO!$W$58)+(SUBSIDIO!$N$58*SUBSIDIO!$X$58))*(0.06)/(1-0.06)</f>
        <v>0</v>
      </c>
      <c r="AD58" s="42">
        <f ca="1">(SUBSIDIO!$J$58*SUBSIDIO!$Y$58)*(0.03)/(1-0.03)</f>
        <v>21.64597504673706</v>
      </c>
      <c r="AE58" s="42">
        <f>((SUBSIDIO!$L$58*SUBSIDIO!$Z$58)+(SUBSIDIO!$N$58*SUBSIDIO!$AA$58))*(0.03)/(1-0.03)</f>
        <v>0</v>
      </c>
      <c r="AF58" s="4" t="s">
        <v>935</v>
      </c>
    </row>
    <row r="59" spans="1:32" ht="11.25" customHeight="1" x14ac:dyDescent="0.25">
      <c r="A59" s="4" t="s">
        <v>21</v>
      </c>
      <c r="B59" s="4" t="s">
        <v>43</v>
      </c>
      <c r="C59" s="4" t="s">
        <v>44</v>
      </c>
      <c r="D59" s="4" t="s">
        <v>52</v>
      </c>
      <c r="E59" s="4" t="s">
        <v>53</v>
      </c>
      <c r="F59" s="4" t="s">
        <v>25</v>
      </c>
      <c r="G59" s="4" t="s">
        <v>25</v>
      </c>
      <c r="H59" s="4" t="s">
        <v>25</v>
      </c>
      <c r="I59" s="5">
        <v>44774</v>
      </c>
      <c r="J59" s="6">
        <v>35</v>
      </c>
      <c r="K59" s="43">
        <v>35</v>
      </c>
      <c r="L59" s="6">
        <v>0</v>
      </c>
      <c r="M59" s="42">
        <v>0</v>
      </c>
      <c r="N59" s="6">
        <v>0</v>
      </c>
      <c r="O59" s="42">
        <v>0</v>
      </c>
      <c r="P59" s="6">
        <v>1</v>
      </c>
      <c r="Q59" s="4" t="s">
        <v>26</v>
      </c>
      <c r="R59" s="4">
        <v>0</v>
      </c>
      <c r="S59" s="4">
        <v>12</v>
      </c>
      <c r="T59" s="4">
        <v>0</v>
      </c>
      <c r="U59" s="4">
        <v>0</v>
      </c>
      <c r="V59" s="42">
        <f>IF(ISERROR(VLOOKUP($S$59,'TAR FIN'!$A$1:$O$115,15,0)),0,VLOOKUP($S$59,'TAR FIN'!$A$1:$O$115,15,0))*(1-0.06)</f>
        <v>18.611999999999998</v>
      </c>
      <c r="W59" s="42">
        <f>IF(ISERROR(VLOOKUP($T$59,'TAR FIN'!$A$1:$O$115,15,0)),0,VLOOKUP($T$59,'TAR FIN'!$A$1:$O$115,15,0))</f>
        <v>0</v>
      </c>
      <c r="X59" s="42">
        <f>IF(ISERROR(VLOOKUP($U$59,'TAR FIN'!$A$1:$O$115,15,0)),0,VLOOKUP($U$59,'TAR FIN'!$A$1:$O$115,15,0))</f>
        <v>0</v>
      </c>
      <c r="Y59" s="42">
        <f ca="1">('TUSD BE'!$AM$14+'TUSD BF'!$AM$14+'TUSD CVA'!$AM$14)*1*(1-0.03)</f>
        <v>19.996757900318997</v>
      </c>
      <c r="Z59" s="42"/>
      <c r="AA59" s="42"/>
      <c r="AB59" s="42">
        <f>(SUBSIDIO!$J$59*SUBSIDIO!$V$59)*(0.06)/(1-0.06)</f>
        <v>41.58</v>
      </c>
      <c r="AC59" s="42">
        <f>((SUBSIDIO!$L$59*SUBSIDIO!$W$59)+(SUBSIDIO!$N$59*SUBSIDIO!$X$59))*(0.06)/(1-0.06)</f>
        <v>0</v>
      </c>
      <c r="AD59" s="42">
        <f ca="1">(SUBSIDIO!$J$59*SUBSIDIO!$Y$59)*(0.03)/(1-0.03)</f>
        <v>21.64597504673706</v>
      </c>
      <c r="AE59" s="42">
        <f>((SUBSIDIO!$L$59*SUBSIDIO!$Z$59)+(SUBSIDIO!$N$59*SUBSIDIO!$AA$59))*(0.03)/(1-0.03)</f>
        <v>0</v>
      </c>
      <c r="AF59" s="4" t="s">
        <v>935</v>
      </c>
    </row>
    <row r="60" spans="1:32" ht="11.25" customHeight="1" x14ac:dyDescent="0.25">
      <c r="A60" s="4" t="s">
        <v>21</v>
      </c>
      <c r="B60" s="4" t="s">
        <v>43</v>
      </c>
      <c r="C60" s="4" t="s">
        <v>44</v>
      </c>
      <c r="D60" s="4" t="s">
        <v>52</v>
      </c>
      <c r="E60" s="4" t="s">
        <v>53</v>
      </c>
      <c r="F60" s="4" t="s">
        <v>25</v>
      </c>
      <c r="G60" s="4" t="s">
        <v>25</v>
      </c>
      <c r="H60" s="4" t="s">
        <v>25</v>
      </c>
      <c r="I60" s="5">
        <v>44805</v>
      </c>
      <c r="J60" s="6">
        <v>35</v>
      </c>
      <c r="K60" s="43">
        <v>35</v>
      </c>
      <c r="L60" s="6">
        <v>0</v>
      </c>
      <c r="M60" s="42">
        <v>0</v>
      </c>
      <c r="N60" s="6">
        <v>0</v>
      </c>
      <c r="O60" s="42">
        <v>0</v>
      </c>
      <c r="P60" s="6">
        <v>1</v>
      </c>
      <c r="Q60" s="4" t="s">
        <v>26</v>
      </c>
      <c r="R60" s="4">
        <v>0</v>
      </c>
      <c r="S60" s="4">
        <v>12</v>
      </c>
      <c r="T60" s="4">
        <v>0</v>
      </c>
      <c r="U60" s="4">
        <v>0</v>
      </c>
      <c r="V60" s="42">
        <f>IF(ISERROR(VLOOKUP($S$60,'TAR FIN'!$A$1:$O$115,15,0)),0,VLOOKUP($S$60,'TAR FIN'!$A$1:$O$115,15,0))*(1-0.06)</f>
        <v>18.611999999999998</v>
      </c>
      <c r="W60" s="42">
        <f>IF(ISERROR(VLOOKUP($T$60,'TAR FIN'!$A$1:$O$115,15,0)),0,VLOOKUP($T$60,'TAR FIN'!$A$1:$O$115,15,0))</f>
        <v>0</v>
      </c>
      <c r="X60" s="42">
        <f>IF(ISERROR(VLOOKUP($U$60,'TAR FIN'!$A$1:$O$115,15,0)),0,VLOOKUP($U$60,'TAR FIN'!$A$1:$O$115,15,0))</f>
        <v>0</v>
      </c>
      <c r="Y60" s="42">
        <f ca="1">('TUSD BE'!$AM$14+'TUSD BF'!$AM$14+'TUSD CVA'!$AM$14)*1*(1-0.03)</f>
        <v>19.996757900318997</v>
      </c>
      <c r="Z60" s="42"/>
      <c r="AA60" s="42"/>
      <c r="AB60" s="42">
        <f>(SUBSIDIO!$J$60*SUBSIDIO!$V$60)*(0.06)/(1-0.06)</f>
        <v>41.58</v>
      </c>
      <c r="AC60" s="42">
        <f>((SUBSIDIO!$L$60*SUBSIDIO!$W$60)+(SUBSIDIO!$N$60*SUBSIDIO!$X$60))*(0.06)/(1-0.06)</f>
        <v>0</v>
      </c>
      <c r="AD60" s="42">
        <f ca="1">(SUBSIDIO!$J$60*SUBSIDIO!$Y$60)*(0.03)/(1-0.03)</f>
        <v>21.64597504673706</v>
      </c>
      <c r="AE60" s="42">
        <f>((SUBSIDIO!$L$60*SUBSIDIO!$Z$60)+(SUBSIDIO!$N$60*SUBSIDIO!$AA$60))*(0.03)/(1-0.03)</f>
        <v>0</v>
      </c>
      <c r="AF60" s="4" t="s">
        <v>935</v>
      </c>
    </row>
    <row r="61" spans="1:32" ht="11.25" customHeight="1" x14ac:dyDescent="0.25">
      <c r="A61" s="4" t="s">
        <v>21</v>
      </c>
      <c r="B61" s="4" t="s">
        <v>43</v>
      </c>
      <c r="C61" s="4" t="s">
        <v>44</v>
      </c>
      <c r="D61" s="4" t="s">
        <v>52</v>
      </c>
      <c r="E61" s="4" t="s">
        <v>53</v>
      </c>
      <c r="F61" s="4" t="s">
        <v>25</v>
      </c>
      <c r="G61" s="4" t="s">
        <v>25</v>
      </c>
      <c r="H61" s="4" t="s">
        <v>25</v>
      </c>
      <c r="I61" s="5">
        <v>44835</v>
      </c>
      <c r="J61" s="6">
        <v>35</v>
      </c>
      <c r="K61" s="43">
        <v>35</v>
      </c>
      <c r="L61" s="6">
        <v>0</v>
      </c>
      <c r="M61" s="42">
        <v>0</v>
      </c>
      <c r="N61" s="6">
        <v>0</v>
      </c>
      <c r="O61" s="42">
        <v>0</v>
      </c>
      <c r="P61" s="6">
        <v>1</v>
      </c>
      <c r="Q61" s="4" t="s">
        <v>26</v>
      </c>
      <c r="R61" s="4">
        <v>0</v>
      </c>
      <c r="S61" s="4">
        <v>12</v>
      </c>
      <c r="T61" s="4">
        <v>0</v>
      </c>
      <c r="U61" s="4">
        <v>0</v>
      </c>
      <c r="V61" s="42">
        <f>IF(ISERROR(VLOOKUP($S$61,'TAR FIN'!$A$1:$O$115,15,0)),0,VLOOKUP($S$61,'TAR FIN'!$A$1:$O$115,15,0))*(1-0.06)</f>
        <v>18.611999999999998</v>
      </c>
      <c r="W61" s="42">
        <f>IF(ISERROR(VLOOKUP($T$61,'TAR FIN'!$A$1:$O$115,15,0)),0,VLOOKUP($T$61,'TAR FIN'!$A$1:$O$115,15,0))</f>
        <v>0</v>
      </c>
      <c r="X61" s="42">
        <f>IF(ISERROR(VLOOKUP($U$61,'TAR FIN'!$A$1:$O$115,15,0)),0,VLOOKUP($U$61,'TAR FIN'!$A$1:$O$115,15,0))</f>
        <v>0</v>
      </c>
      <c r="Y61" s="42">
        <f ca="1">('TUSD BE'!$AM$14+'TUSD BF'!$AM$14+'TUSD CVA'!$AM$14)*1*(1-0.03)</f>
        <v>19.996757900318997</v>
      </c>
      <c r="Z61" s="42"/>
      <c r="AA61" s="42"/>
      <c r="AB61" s="42">
        <f>(SUBSIDIO!$J$61*SUBSIDIO!$V$61)*(0.06)/(1-0.06)</f>
        <v>41.58</v>
      </c>
      <c r="AC61" s="42">
        <f>((SUBSIDIO!$L$61*SUBSIDIO!$W$61)+(SUBSIDIO!$N$61*SUBSIDIO!$X$61))*(0.06)/(1-0.06)</f>
        <v>0</v>
      </c>
      <c r="AD61" s="42">
        <f ca="1">(SUBSIDIO!$J$61*SUBSIDIO!$Y$61)*(0.03)/(1-0.03)</f>
        <v>21.64597504673706</v>
      </c>
      <c r="AE61" s="42">
        <f>((SUBSIDIO!$L$61*SUBSIDIO!$Z$61)+(SUBSIDIO!$N$61*SUBSIDIO!$AA$61))*(0.03)/(1-0.03)</f>
        <v>0</v>
      </c>
      <c r="AF61" s="4" t="s">
        <v>935</v>
      </c>
    </row>
    <row r="62" spans="1:32" ht="11.25" customHeight="1" x14ac:dyDescent="0.25">
      <c r="A62" s="4" t="s">
        <v>59</v>
      </c>
      <c r="B62" s="4" t="s">
        <v>43</v>
      </c>
      <c r="C62" s="4" t="s">
        <v>44</v>
      </c>
      <c r="D62" s="4" t="s">
        <v>52</v>
      </c>
      <c r="E62" s="4" t="s">
        <v>53</v>
      </c>
      <c r="F62" s="4" t="s">
        <v>25</v>
      </c>
      <c r="G62" s="4" t="s">
        <v>25</v>
      </c>
      <c r="H62" s="4" t="s">
        <v>25</v>
      </c>
      <c r="I62" s="5">
        <v>44866</v>
      </c>
      <c r="J62" s="6">
        <v>35</v>
      </c>
      <c r="K62" s="43">
        <v>35</v>
      </c>
      <c r="L62" s="6">
        <v>0</v>
      </c>
      <c r="M62" s="42">
        <v>0</v>
      </c>
      <c r="N62" s="6">
        <v>0</v>
      </c>
      <c r="O62" s="42">
        <v>0</v>
      </c>
      <c r="P62" s="6">
        <v>1</v>
      </c>
      <c r="Q62" s="4" t="s">
        <v>26</v>
      </c>
      <c r="R62" s="4">
        <v>0</v>
      </c>
      <c r="S62" s="4">
        <v>12</v>
      </c>
      <c r="T62" s="4">
        <v>0</v>
      </c>
      <c r="U62" s="4">
        <v>0</v>
      </c>
      <c r="V62" s="42">
        <f>IF(ISERROR(VLOOKUP($S$62,'TAR FIN'!$A$1:$O$115,15,0)),0,VLOOKUP($S$62,'TAR FIN'!$A$1:$O$115,15,0))*(1-0.06)</f>
        <v>18.611999999999998</v>
      </c>
      <c r="W62" s="42">
        <f>IF(ISERROR(VLOOKUP($T$62,'TAR FIN'!$A$1:$O$115,15,0)),0,VLOOKUP($T$62,'TAR FIN'!$A$1:$O$115,15,0))</f>
        <v>0</v>
      </c>
      <c r="X62" s="42">
        <f>IF(ISERROR(VLOOKUP($U$62,'TAR FIN'!$A$1:$O$115,15,0)),0,VLOOKUP($U$62,'TAR FIN'!$A$1:$O$115,15,0))</f>
        <v>0</v>
      </c>
      <c r="Y62" s="42">
        <f ca="1">('TUSD BE'!$AM$14+'TUSD BF'!$AM$14+'TUSD CVA'!$AM$14)*1*(1-0.03)</f>
        <v>19.996757900318997</v>
      </c>
      <c r="Z62" s="42"/>
      <c r="AA62" s="42"/>
      <c r="AB62" s="42">
        <f>(SUBSIDIO!$J$62*SUBSIDIO!$V$62)*(0.06)/(1-0.06)</f>
        <v>41.58</v>
      </c>
      <c r="AC62" s="42">
        <f>((SUBSIDIO!$L$62*SUBSIDIO!$W$62)+(SUBSIDIO!$N$62*SUBSIDIO!$X$62))*(0.06)/(1-0.06)</f>
        <v>0</v>
      </c>
      <c r="AD62" s="42">
        <f ca="1">(SUBSIDIO!$J$62*SUBSIDIO!$Y$62)*(0.03)/(1-0.03)</f>
        <v>21.64597504673706</v>
      </c>
      <c r="AE62" s="42">
        <f>((SUBSIDIO!$L$62*SUBSIDIO!$Z$62)+(SUBSIDIO!$N$62*SUBSIDIO!$AA$62))*(0.03)/(1-0.03)</f>
        <v>0</v>
      </c>
      <c r="AF62" s="4" t="s">
        <v>935</v>
      </c>
    </row>
    <row r="63" spans="1:32" ht="11.25" customHeight="1" x14ac:dyDescent="0.25">
      <c r="A63" s="4" t="s">
        <v>21</v>
      </c>
      <c r="B63" s="4" t="s">
        <v>41</v>
      </c>
      <c r="C63" s="4" t="s">
        <v>42</v>
      </c>
      <c r="D63" s="4" t="s">
        <v>40</v>
      </c>
      <c r="E63" s="4" t="s">
        <v>25</v>
      </c>
      <c r="F63" s="4" t="s">
        <v>60</v>
      </c>
      <c r="G63" s="4" t="s">
        <v>25</v>
      </c>
      <c r="H63" s="4" t="s">
        <v>37</v>
      </c>
      <c r="I63" s="5">
        <v>44531</v>
      </c>
      <c r="J63" s="6">
        <v>4858</v>
      </c>
      <c r="K63" s="6">
        <v>2164.7248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4" t="s">
        <v>61</v>
      </c>
      <c r="R63" s="4">
        <v>0</v>
      </c>
      <c r="S63" s="4">
        <v>20</v>
      </c>
      <c r="T63" s="4">
        <v>0</v>
      </c>
      <c r="U63" s="4">
        <v>0</v>
      </c>
      <c r="V63" s="6">
        <f>IF(ISERROR(VLOOKUP($S$63,'TAR FIN'!$A$1:$O$115,15,0)),0,VLOOKUP($S$63,'TAR FIN'!$A$1:$O$115,15,0))</f>
        <v>19.8</v>
      </c>
      <c r="W63" s="6">
        <f>IF(ISERROR(VLOOKUP($T$63,'TAR FIN'!$A$1:$O$115,15,0)),0,VLOOKUP($T$63,'TAR FIN'!$A$1:$O$115,15,0))</f>
        <v>0</v>
      </c>
      <c r="X63" s="6">
        <f>IF(ISERROR(VLOOKUP($U$63,'TAR FIN'!$A$1:$O$115,15,0)),0,VLOOKUP($U$63,'TAR FIN'!$A$1:$O$115,15,0))</f>
        <v>0</v>
      </c>
      <c r="Y63" s="6">
        <f ca="1">('TUSD BE'!$AM$20+'TUSD BF'!$AM$20+'TUSD CVA'!$AM$20)*1</f>
        <v>20.615214330225772</v>
      </c>
      <c r="Z63" s="6">
        <f ca="1">('TUSD BE'!$AM$21+'TUSD BF'!$AM$21+'TUSD CVA'!$AM$21)*1</f>
        <v>113.43121292628391</v>
      </c>
      <c r="AA63" s="6"/>
      <c r="AB63" s="6">
        <f t="shared" si="0"/>
        <v>53326.848960000003</v>
      </c>
      <c r="AC63" s="6">
        <f t="shared" si="1"/>
        <v>0</v>
      </c>
      <c r="AD63" s="6">
        <f t="shared" ca="1" si="2"/>
        <v>55522.445498281682</v>
      </c>
      <c r="AE63" s="6">
        <f t="shared" ca="1" si="3"/>
        <v>0</v>
      </c>
      <c r="AF63" s="4" t="s">
        <v>936</v>
      </c>
    </row>
    <row r="64" spans="1:32" ht="11.25" customHeight="1" x14ac:dyDescent="0.25">
      <c r="A64" s="4" t="s">
        <v>21</v>
      </c>
      <c r="B64" s="4" t="s">
        <v>41</v>
      </c>
      <c r="C64" s="4" t="s">
        <v>42</v>
      </c>
      <c r="D64" s="4" t="s">
        <v>40</v>
      </c>
      <c r="E64" s="4" t="s">
        <v>25</v>
      </c>
      <c r="F64" s="4" t="s">
        <v>60</v>
      </c>
      <c r="G64" s="4" t="s">
        <v>25</v>
      </c>
      <c r="H64" s="4" t="s">
        <v>37</v>
      </c>
      <c r="I64" s="5">
        <v>44562</v>
      </c>
      <c r="J64" s="6">
        <v>4864</v>
      </c>
      <c r="K64" s="6">
        <v>2281.7024000000001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4" t="s">
        <v>61</v>
      </c>
      <c r="R64" s="4">
        <v>0</v>
      </c>
      <c r="S64" s="4">
        <v>20</v>
      </c>
      <c r="T64" s="4">
        <v>0</v>
      </c>
      <c r="U64" s="4">
        <v>0</v>
      </c>
      <c r="V64" s="6">
        <f>IF(ISERROR(VLOOKUP($S$64,'TAR FIN'!$A$1:$O$115,15,0)),0,VLOOKUP($S$64,'TAR FIN'!$A$1:$O$115,15,0))</f>
        <v>19.8</v>
      </c>
      <c r="W64" s="6">
        <f>IF(ISERROR(VLOOKUP($T$64,'TAR FIN'!$A$1:$O$115,15,0)),0,VLOOKUP($T$64,'TAR FIN'!$A$1:$O$115,15,0))</f>
        <v>0</v>
      </c>
      <c r="X64" s="6">
        <f>IF(ISERROR(VLOOKUP($U$64,'TAR FIN'!$A$1:$O$115,15,0)),0,VLOOKUP($U$64,'TAR FIN'!$A$1:$O$115,15,0))</f>
        <v>0</v>
      </c>
      <c r="Y64" s="6">
        <f ca="1">('TUSD BE'!$AM$20+'TUSD BF'!$AM$20+'TUSD CVA'!$AM$20)*1</f>
        <v>20.615214330225772</v>
      </c>
      <c r="Z64" s="6">
        <f ca="1">('TUSD BE'!$AM$21+'TUSD BF'!$AM$21+'TUSD CVA'!$AM$21)*1</f>
        <v>113.43121292628391</v>
      </c>
      <c r="AA64" s="6"/>
      <c r="AB64" s="6">
        <f t="shared" si="0"/>
        <v>51129.492480000001</v>
      </c>
      <c r="AC64" s="6">
        <f t="shared" si="1"/>
        <v>0</v>
      </c>
      <c r="AD64" s="6">
        <f t="shared" ca="1" si="2"/>
        <v>53234.618488427615</v>
      </c>
      <c r="AE64" s="6">
        <f t="shared" ca="1" si="3"/>
        <v>0</v>
      </c>
      <c r="AF64" s="4" t="s">
        <v>936</v>
      </c>
    </row>
    <row r="65" spans="1:32" ht="11.25" customHeight="1" x14ac:dyDescent="0.25">
      <c r="A65" s="4" t="s">
        <v>21</v>
      </c>
      <c r="B65" s="4" t="s">
        <v>41</v>
      </c>
      <c r="C65" s="4" t="s">
        <v>42</v>
      </c>
      <c r="D65" s="4" t="s">
        <v>40</v>
      </c>
      <c r="E65" s="4" t="s">
        <v>25</v>
      </c>
      <c r="F65" s="4" t="s">
        <v>60</v>
      </c>
      <c r="G65" s="4" t="s">
        <v>25</v>
      </c>
      <c r="H65" s="4" t="s">
        <v>37</v>
      </c>
      <c r="I65" s="5">
        <v>44593</v>
      </c>
      <c r="J65" s="6">
        <v>4856</v>
      </c>
      <c r="K65" s="6">
        <v>2446.4528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4" t="s">
        <v>61</v>
      </c>
      <c r="R65" s="4">
        <v>0</v>
      </c>
      <c r="S65" s="4">
        <v>20</v>
      </c>
      <c r="T65" s="4">
        <v>0</v>
      </c>
      <c r="U65" s="4">
        <v>0</v>
      </c>
      <c r="V65" s="6">
        <f>IF(ISERROR(VLOOKUP($S$65,'TAR FIN'!$A$1:$O$115,15,0)),0,VLOOKUP($S$65,'TAR FIN'!$A$1:$O$115,15,0))</f>
        <v>19.8</v>
      </c>
      <c r="W65" s="6">
        <f>IF(ISERROR(VLOOKUP($T$65,'TAR FIN'!$A$1:$O$115,15,0)),0,VLOOKUP($T$65,'TAR FIN'!$A$1:$O$115,15,0))</f>
        <v>0</v>
      </c>
      <c r="X65" s="6">
        <f>IF(ISERROR(VLOOKUP($U$65,'TAR FIN'!$A$1:$O$115,15,0)),0,VLOOKUP($U$65,'TAR FIN'!$A$1:$O$115,15,0))</f>
        <v>0</v>
      </c>
      <c r="Y65" s="6">
        <f ca="1">('TUSD BE'!$AM$20+'TUSD BF'!$AM$20+'TUSD CVA'!$AM$20)*1</f>
        <v>20.615214330225772</v>
      </c>
      <c r="Z65" s="6">
        <f ca="1">('TUSD BE'!$AM$21+'TUSD BF'!$AM$21+'TUSD CVA'!$AM$21)*1</f>
        <v>113.43121292628391</v>
      </c>
      <c r="AA65" s="6"/>
      <c r="AB65" s="6">
        <f t="shared" si="0"/>
        <v>47709.03456</v>
      </c>
      <c r="AC65" s="6">
        <f t="shared" si="1"/>
        <v>0</v>
      </c>
      <c r="AD65" s="6">
        <f t="shared" ca="1" si="2"/>
        <v>49673.331966795384</v>
      </c>
      <c r="AE65" s="6">
        <f t="shared" ca="1" si="3"/>
        <v>0</v>
      </c>
      <c r="AF65" s="4" t="s">
        <v>936</v>
      </c>
    </row>
    <row r="66" spans="1:32" ht="11.25" customHeight="1" x14ac:dyDescent="0.25">
      <c r="A66" s="4" t="s">
        <v>21</v>
      </c>
      <c r="B66" s="4" t="s">
        <v>41</v>
      </c>
      <c r="C66" s="4" t="s">
        <v>42</v>
      </c>
      <c r="D66" s="4" t="s">
        <v>40</v>
      </c>
      <c r="E66" s="4" t="s">
        <v>25</v>
      </c>
      <c r="F66" s="4" t="s">
        <v>60</v>
      </c>
      <c r="G66" s="4" t="s">
        <v>25</v>
      </c>
      <c r="H66" s="4" t="s">
        <v>37</v>
      </c>
      <c r="I66" s="5">
        <v>44621</v>
      </c>
      <c r="J66" s="6">
        <v>4846</v>
      </c>
      <c r="K66" s="6">
        <v>2428.3305999999998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4" t="s">
        <v>61</v>
      </c>
      <c r="R66" s="4">
        <v>0</v>
      </c>
      <c r="S66" s="4">
        <v>20</v>
      </c>
      <c r="T66" s="4">
        <v>0</v>
      </c>
      <c r="U66" s="4">
        <v>0</v>
      </c>
      <c r="V66" s="6">
        <f>IF(ISERROR(VLOOKUP($S$66,'TAR FIN'!$A$1:$O$115,15,0)),0,VLOOKUP($S$66,'TAR FIN'!$A$1:$O$115,15,0))</f>
        <v>19.8</v>
      </c>
      <c r="W66" s="6">
        <f>IF(ISERROR(VLOOKUP($T$66,'TAR FIN'!$A$1:$O$115,15,0)),0,VLOOKUP($T$66,'TAR FIN'!$A$1:$O$115,15,0))</f>
        <v>0</v>
      </c>
      <c r="X66" s="6">
        <f>IF(ISERROR(VLOOKUP($U$66,'TAR FIN'!$A$1:$O$115,15,0)),0,VLOOKUP($U$66,'TAR FIN'!$A$1:$O$115,15,0))</f>
        <v>0</v>
      </c>
      <c r="Y66" s="6">
        <f ca="1">('TUSD BE'!$AM$20+'TUSD BF'!$AM$20+'TUSD CVA'!$AM$20)*1</f>
        <v>20.615214330225772</v>
      </c>
      <c r="Z66" s="6">
        <f ca="1">('TUSD BE'!$AM$21+'TUSD BF'!$AM$21+'TUSD CVA'!$AM$21)*1</f>
        <v>113.43121292628391</v>
      </c>
      <c r="AA66" s="6"/>
      <c r="AB66" s="6">
        <f t="shared" ref="AB66:AB98" si="6">(J66-K66)*V66</f>
        <v>47869.854120000004</v>
      </c>
      <c r="AC66" s="6">
        <f t="shared" ref="AC66:AC98" si="7">(L66-M66)*W66+(N66-O66)*X66</f>
        <v>0</v>
      </c>
      <c r="AD66" s="6">
        <f t="shared" ref="AD66:AD98" ca="1" si="8">(J66-K66)*Y66</f>
        <v>49840.772860628349</v>
      </c>
      <c r="AE66" s="6">
        <f t="shared" ref="AE66:AE98" ca="1" si="9">(L66-M66)*Z66+(N66-O66)*AA66</f>
        <v>0</v>
      </c>
      <c r="AF66" s="4" t="s">
        <v>936</v>
      </c>
    </row>
    <row r="67" spans="1:32" ht="11.25" customHeight="1" x14ac:dyDescent="0.25">
      <c r="A67" s="4" t="s">
        <v>21</v>
      </c>
      <c r="B67" s="4" t="s">
        <v>41</v>
      </c>
      <c r="C67" s="4" t="s">
        <v>42</v>
      </c>
      <c r="D67" s="4" t="s">
        <v>40</v>
      </c>
      <c r="E67" s="4" t="s">
        <v>25</v>
      </c>
      <c r="F67" s="4" t="s">
        <v>60</v>
      </c>
      <c r="G67" s="4" t="s">
        <v>25</v>
      </c>
      <c r="H67" s="4" t="s">
        <v>37</v>
      </c>
      <c r="I67" s="5">
        <v>44652</v>
      </c>
      <c r="J67" s="6">
        <v>4846</v>
      </c>
      <c r="K67" s="6">
        <v>2429.7844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4" t="s">
        <v>61</v>
      </c>
      <c r="R67" s="4">
        <v>0</v>
      </c>
      <c r="S67" s="4">
        <v>20</v>
      </c>
      <c r="T67" s="4">
        <v>0</v>
      </c>
      <c r="U67" s="4">
        <v>0</v>
      </c>
      <c r="V67" s="6">
        <f>IF(ISERROR(VLOOKUP($S$67,'TAR FIN'!$A$1:$O$115,15,0)),0,VLOOKUP($S$67,'TAR FIN'!$A$1:$O$115,15,0))</f>
        <v>19.8</v>
      </c>
      <c r="W67" s="6">
        <f>IF(ISERROR(VLOOKUP($T$67,'TAR FIN'!$A$1:$O$115,15,0)),0,VLOOKUP($T$67,'TAR FIN'!$A$1:$O$115,15,0))</f>
        <v>0</v>
      </c>
      <c r="X67" s="6">
        <f>IF(ISERROR(VLOOKUP($U$67,'TAR FIN'!$A$1:$O$115,15,0)),0,VLOOKUP($U$67,'TAR FIN'!$A$1:$O$115,15,0))</f>
        <v>0</v>
      </c>
      <c r="Y67" s="6">
        <f ca="1">('TUSD BE'!$AM$20+'TUSD BF'!$AM$20+'TUSD CVA'!$AM$20)*1</f>
        <v>20.615214330225772</v>
      </c>
      <c r="Z67" s="6">
        <f ca="1">('TUSD BE'!$AM$21+'TUSD BF'!$AM$21+'TUSD CVA'!$AM$21)*1</f>
        <v>113.43121292628391</v>
      </c>
      <c r="AA67" s="6"/>
      <c r="AB67" s="6">
        <f t="shared" si="6"/>
        <v>47841.068879999999</v>
      </c>
      <c r="AC67" s="6">
        <f t="shared" si="7"/>
        <v>0</v>
      </c>
      <c r="AD67" s="6">
        <f t="shared" ca="1" si="8"/>
        <v>49810.802462035062</v>
      </c>
      <c r="AE67" s="6">
        <f t="shared" ca="1" si="9"/>
        <v>0</v>
      </c>
      <c r="AF67" s="4" t="s">
        <v>936</v>
      </c>
    </row>
    <row r="68" spans="1:32" ht="11.25" customHeight="1" x14ac:dyDescent="0.25">
      <c r="A68" s="4" t="s">
        <v>21</v>
      </c>
      <c r="B68" s="4" t="s">
        <v>41</v>
      </c>
      <c r="C68" s="4" t="s">
        <v>42</v>
      </c>
      <c r="D68" s="4" t="s">
        <v>40</v>
      </c>
      <c r="E68" s="4" t="s">
        <v>25</v>
      </c>
      <c r="F68" s="4" t="s">
        <v>60</v>
      </c>
      <c r="G68" s="4" t="s">
        <v>25</v>
      </c>
      <c r="H68" s="4" t="s">
        <v>37</v>
      </c>
      <c r="I68" s="5">
        <v>44682</v>
      </c>
      <c r="J68" s="6">
        <v>4856</v>
      </c>
      <c r="K68" s="6">
        <v>2432.3703999999998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4" t="s">
        <v>61</v>
      </c>
      <c r="R68" s="4">
        <v>0</v>
      </c>
      <c r="S68" s="4">
        <v>20</v>
      </c>
      <c r="T68" s="4">
        <v>0</v>
      </c>
      <c r="U68" s="4">
        <v>0</v>
      </c>
      <c r="V68" s="6">
        <f>IF(ISERROR(VLOOKUP($S$68,'TAR FIN'!$A$1:$O$115,15,0)),0,VLOOKUP($S$68,'TAR FIN'!$A$1:$O$115,15,0))</f>
        <v>19.8</v>
      </c>
      <c r="W68" s="6">
        <f>IF(ISERROR(VLOOKUP($T$68,'TAR FIN'!$A$1:$O$115,15,0)),0,VLOOKUP($T$68,'TAR FIN'!$A$1:$O$115,15,0))</f>
        <v>0</v>
      </c>
      <c r="X68" s="6">
        <f>IF(ISERROR(VLOOKUP($U$68,'TAR FIN'!$A$1:$O$115,15,0)),0,VLOOKUP($U$68,'TAR FIN'!$A$1:$O$115,15,0))</f>
        <v>0</v>
      </c>
      <c r="Y68" s="6">
        <f ca="1">('TUSD BE'!$AM$20+'TUSD BF'!$AM$20+'TUSD CVA'!$AM$20)*1</f>
        <v>20.615214330225772</v>
      </c>
      <c r="Z68" s="6">
        <f ca="1">('TUSD BE'!$AM$21+'TUSD BF'!$AM$21+'TUSD CVA'!$AM$21)*1</f>
        <v>113.43121292628391</v>
      </c>
      <c r="AA68" s="6"/>
      <c r="AB68" s="6">
        <f t="shared" si="6"/>
        <v>47987.866080000007</v>
      </c>
      <c r="AC68" s="6">
        <f t="shared" si="7"/>
        <v>0</v>
      </c>
      <c r="AD68" s="6">
        <f t="shared" ca="1" si="8"/>
        <v>49963.643661079361</v>
      </c>
      <c r="AE68" s="6">
        <f t="shared" ca="1" si="9"/>
        <v>0</v>
      </c>
      <c r="AF68" s="4" t="s">
        <v>936</v>
      </c>
    </row>
    <row r="69" spans="1:32" ht="11.25" customHeight="1" x14ac:dyDescent="0.25">
      <c r="A69" s="4" t="s">
        <v>21</v>
      </c>
      <c r="B69" s="4" t="s">
        <v>41</v>
      </c>
      <c r="C69" s="4" t="s">
        <v>42</v>
      </c>
      <c r="D69" s="4" t="s">
        <v>40</v>
      </c>
      <c r="E69" s="4" t="s">
        <v>25</v>
      </c>
      <c r="F69" s="4" t="s">
        <v>60</v>
      </c>
      <c r="G69" s="4" t="s">
        <v>25</v>
      </c>
      <c r="H69" s="4" t="s">
        <v>37</v>
      </c>
      <c r="I69" s="5">
        <v>44713</v>
      </c>
      <c r="J69" s="6">
        <v>4853</v>
      </c>
      <c r="K69" s="6">
        <v>2429.4117999999999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4" t="s">
        <v>61</v>
      </c>
      <c r="R69" s="4">
        <v>0</v>
      </c>
      <c r="S69" s="4">
        <v>20</v>
      </c>
      <c r="T69" s="4">
        <v>0</v>
      </c>
      <c r="U69" s="4">
        <v>0</v>
      </c>
      <c r="V69" s="6">
        <f>IF(ISERROR(VLOOKUP($S$69,'TAR FIN'!$A$1:$O$115,15,0)),0,VLOOKUP($S$69,'TAR FIN'!$A$1:$O$115,15,0))</f>
        <v>19.8</v>
      </c>
      <c r="W69" s="6">
        <f>IF(ISERROR(VLOOKUP($T$69,'TAR FIN'!$A$1:$O$115,15,0)),0,VLOOKUP($T$69,'TAR FIN'!$A$1:$O$115,15,0))</f>
        <v>0</v>
      </c>
      <c r="X69" s="6">
        <f>IF(ISERROR(VLOOKUP($U$69,'TAR FIN'!$A$1:$O$115,15,0)),0,VLOOKUP($U$69,'TAR FIN'!$A$1:$O$115,15,0))</f>
        <v>0</v>
      </c>
      <c r="Y69" s="6">
        <f ca="1">('TUSD BE'!$AM$20+'TUSD BF'!$AM$20+'TUSD CVA'!$AM$20)*1</f>
        <v>20.615214330225772</v>
      </c>
      <c r="Z69" s="6">
        <f ca="1">('TUSD BE'!$AM$21+'TUSD BF'!$AM$21+'TUSD CVA'!$AM$21)*1</f>
        <v>113.43121292628391</v>
      </c>
      <c r="AA69" s="6"/>
      <c r="AB69" s="6">
        <f t="shared" si="6"/>
        <v>47987.046360000008</v>
      </c>
      <c r="AC69" s="6">
        <f t="shared" si="7"/>
        <v>0</v>
      </c>
      <c r="AD69" s="6">
        <f t="shared" ca="1" si="8"/>
        <v>49962.790191206084</v>
      </c>
      <c r="AE69" s="6">
        <f t="shared" ca="1" si="9"/>
        <v>0</v>
      </c>
      <c r="AF69" s="4" t="s">
        <v>936</v>
      </c>
    </row>
    <row r="70" spans="1:32" ht="11.25" customHeight="1" x14ac:dyDescent="0.25">
      <c r="A70" s="4" t="s">
        <v>21</v>
      </c>
      <c r="B70" s="4" t="s">
        <v>41</v>
      </c>
      <c r="C70" s="4" t="s">
        <v>42</v>
      </c>
      <c r="D70" s="4" t="s">
        <v>40</v>
      </c>
      <c r="E70" s="4" t="s">
        <v>25</v>
      </c>
      <c r="F70" s="4" t="s">
        <v>60</v>
      </c>
      <c r="G70" s="4" t="s">
        <v>25</v>
      </c>
      <c r="H70" s="4" t="s">
        <v>37</v>
      </c>
      <c r="I70" s="5">
        <v>44743</v>
      </c>
      <c r="J70" s="6">
        <v>4864</v>
      </c>
      <c r="K70" s="6">
        <v>2440.7552000000001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4" t="s">
        <v>61</v>
      </c>
      <c r="R70" s="4">
        <v>0</v>
      </c>
      <c r="S70" s="4">
        <v>20</v>
      </c>
      <c r="T70" s="4">
        <v>0</v>
      </c>
      <c r="U70" s="4">
        <v>0</v>
      </c>
      <c r="V70" s="6">
        <f>IF(ISERROR(VLOOKUP($S$70,'TAR FIN'!$A$1:$O$115,15,0)),0,VLOOKUP($S$70,'TAR FIN'!$A$1:$O$115,15,0))</f>
        <v>19.8</v>
      </c>
      <c r="W70" s="6">
        <f>IF(ISERROR(VLOOKUP($T$70,'TAR FIN'!$A$1:$O$115,15,0)),0,VLOOKUP($T$70,'TAR FIN'!$A$1:$O$115,15,0))</f>
        <v>0</v>
      </c>
      <c r="X70" s="6">
        <f>IF(ISERROR(VLOOKUP($U$70,'TAR FIN'!$A$1:$O$115,15,0)),0,VLOOKUP($U$70,'TAR FIN'!$A$1:$O$115,15,0))</f>
        <v>0</v>
      </c>
      <c r="Y70" s="6">
        <f ca="1">('TUSD BE'!$AM$20+'TUSD BF'!$AM$20+'TUSD CVA'!$AM$20)*1</f>
        <v>20.615214330225772</v>
      </c>
      <c r="Z70" s="6">
        <f ca="1">('TUSD BE'!$AM$21+'TUSD BF'!$AM$21+'TUSD CVA'!$AM$21)*1</f>
        <v>113.43121292628391</v>
      </c>
      <c r="AA70" s="6"/>
      <c r="AB70" s="6">
        <f t="shared" si="6"/>
        <v>47980.247040000002</v>
      </c>
      <c r="AC70" s="6">
        <f t="shared" si="7"/>
        <v>0</v>
      </c>
      <c r="AD70" s="6">
        <f t="shared" ca="1" si="8"/>
        <v>49955.710926605083</v>
      </c>
      <c r="AE70" s="6">
        <f t="shared" ca="1" si="9"/>
        <v>0</v>
      </c>
      <c r="AF70" s="4" t="s">
        <v>936</v>
      </c>
    </row>
    <row r="71" spans="1:32" ht="11.25" customHeight="1" x14ac:dyDescent="0.25">
      <c r="A71" s="4" t="s">
        <v>21</v>
      </c>
      <c r="B71" s="4" t="s">
        <v>41</v>
      </c>
      <c r="C71" s="4" t="s">
        <v>42</v>
      </c>
      <c r="D71" s="4" t="s">
        <v>40</v>
      </c>
      <c r="E71" s="4" t="s">
        <v>25</v>
      </c>
      <c r="F71" s="4" t="s">
        <v>60</v>
      </c>
      <c r="G71" s="4" t="s">
        <v>25</v>
      </c>
      <c r="H71" s="4" t="s">
        <v>37</v>
      </c>
      <c r="I71" s="5">
        <v>44774</v>
      </c>
      <c r="J71" s="6">
        <v>4868</v>
      </c>
      <c r="K71" s="6">
        <v>2436.4340000000002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4" t="s">
        <v>61</v>
      </c>
      <c r="R71" s="4">
        <v>0</v>
      </c>
      <c r="S71" s="4">
        <v>20</v>
      </c>
      <c r="T71" s="4">
        <v>0</v>
      </c>
      <c r="U71" s="4">
        <v>0</v>
      </c>
      <c r="V71" s="6">
        <f>IF(ISERROR(VLOOKUP($S$71,'TAR FIN'!$A$1:$O$115,15,0)),0,VLOOKUP($S$71,'TAR FIN'!$A$1:$O$115,15,0))</f>
        <v>19.8</v>
      </c>
      <c r="W71" s="6">
        <f>IF(ISERROR(VLOOKUP($T$71,'TAR FIN'!$A$1:$O$115,15,0)),0,VLOOKUP($T$71,'TAR FIN'!$A$1:$O$115,15,0))</f>
        <v>0</v>
      </c>
      <c r="X71" s="6">
        <f>IF(ISERROR(VLOOKUP($U$71,'TAR FIN'!$A$1:$O$115,15,0)),0,VLOOKUP($U$71,'TAR FIN'!$A$1:$O$115,15,0))</f>
        <v>0</v>
      </c>
      <c r="Y71" s="6">
        <f ca="1">('TUSD BE'!$AM$20+'TUSD BF'!$AM$20+'TUSD CVA'!$AM$20)*1</f>
        <v>20.615214330225772</v>
      </c>
      <c r="Z71" s="6">
        <f ca="1">('TUSD BE'!$AM$21+'TUSD BF'!$AM$21+'TUSD CVA'!$AM$21)*1</f>
        <v>113.43121292628391</v>
      </c>
      <c r="AA71" s="6"/>
      <c r="AB71" s="6">
        <f t="shared" si="6"/>
        <v>48145.006799999996</v>
      </c>
      <c r="AC71" s="6">
        <f t="shared" si="7"/>
        <v>0</v>
      </c>
      <c r="AD71" s="6">
        <f t="shared" ca="1" si="8"/>
        <v>50127.254248089754</v>
      </c>
      <c r="AE71" s="6">
        <f t="shared" ca="1" si="9"/>
        <v>0</v>
      </c>
      <c r="AF71" s="4" t="s">
        <v>936</v>
      </c>
    </row>
    <row r="72" spans="1:32" ht="11.25" customHeight="1" x14ac:dyDescent="0.25">
      <c r="A72" s="4" t="s">
        <v>21</v>
      </c>
      <c r="B72" s="4" t="s">
        <v>41</v>
      </c>
      <c r="C72" s="4" t="s">
        <v>42</v>
      </c>
      <c r="D72" s="4" t="s">
        <v>40</v>
      </c>
      <c r="E72" s="4" t="s">
        <v>25</v>
      </c>
      <c r="F72" s="4" t="s">
        <v>60</v>
      </c>
      <c r="G72" s="4" t="s">
        <v>25</v>
      </c>
      <c r="H72" s="4" t="s">
        <v>37</v>
      </c>
      <c r="I72" s="5">
        <v>44805</v>
      </c>
      <c r="J72" s="6">
        <v>4901</v>
      </c>
      <c r="K72" s="6">
        <v>2451.9703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4" t="s">
        <v>61</v>
      </c>
      <c r="R72" s="4">
        <v>0</v>
      </c>
      <c r="S72" s="4">
        <v>20</v>
      </c>
      <c r="T72" s="4">
        <v>0</v>
      </c>
      <c r="U72" s="4">
        <v>0</v>
      </c>
      <c r="V72" s="6">
        <f>IF(ISERROR(VLOOKUP($S$72,'TAR FIN'!$A$1:$O$115,15,0)),0,VLOOKUP($S$72,'TAR FIN'!$A$1:$O$115,15,0))</f>
        <v>19.8</v>
      </c>
      <c r="W72" s="6">
        <f>IF(ISERROR(VLOOKUP($T$72,'TAR FIN'!$A$1:$O$115,15,0)),0,VLOOKUP($T$72,'TAR FIN'!$A$1:$O$115,15,0))</f>
        <v>0</v>
      </c>
      <c r="X72" s="6">
        <f>IF(ISERROR(VLOOKUP($U$72,'TAR FIN'!$A$1:$O$115,15,0)),0,VLOOKUP($U$72,'TAR FIN'!$A$1:$O$115,15,0))</f>
        <v>0</v>
      </c>
      <c r="Y72" s="6">
        <f ca="1">('TUSD BE'!$AM$20+'TUSD BF'!$AM$20+'TUSD CVA'!$AM$20)*1</f>
        <v>20.615214330225772</v>
      </c>
      <c r="Z72" s="6">
        <f ca="1">('TUSD BE'!$AM$21+'TUSD BF'!$AM$21+'TUSD CVA'!$AM$21)*1</f>
        <v>113.43121292628391</v>
      </c>
      <c r="AA72" s="6"/>
      <c r="AB72" s="6">
        <f t="shared" si="6"/>
        <v>48490.788060000006</v>
      </c>
      <c r="AC72" s="6">
        <f t="shared" si="7"/>
        <v>0</v>
      </c>
      <c r="AD72" s="6">
        <f t="shared" ca="1" si="8"/>
        <v>50487.272166588526</v>
      </c>
      <c r="AE72" s="6">
        <f t="shared" ca="1" si="9"/>
        <v>0</v>
      </c>
      <c r="AF72" s="4" t="s">
        <v>936</v>
      </c>
    </row>
    <row r="73" spans="1:32" ht="11.25" customHeight="1" x14ac:dyDescent="0.25">
      <c r="A73" s="4" t="s">
        <v>21</v>
      </c>
      <c r="B73" s="4" t="s">
        <v>41</v>
      </c>
      <c r="C73" s="4" t="s">
        <v>42</v>
      </c>
      <c r="D73" s="4" t="s">
        <v>40</v>
      </c>
      <c r="E73" s="4" t="s">
        <v>25</v>
      </c>
      <c r="F73" s="4" t="s">
        <v>60</v>
      </c>
      <c r="G73" s="4" t="s">
        <v>25</v>
      </c>
      <c r="H73" s="4" t="s">
        <v>37</v>
      </c>
      <c r="I73" s="5">
        <v>44835</v>
      </c>
      <c r="J73" s="6">
        <v>5033</v>
      </c>
      <c r="K73" s="6">
        <v>2531.0956999999999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4" t="s">
        <v>61</v>
      </c>
      <c r="R73" s="4">
        <v>0</v>
      </c>
      <c r="S73" s="4">
        <v>20</v>
      </c>
      <c r="T73" s="4">
        <v>0</v>
      </c>
      <c r="U73" s="4">
        <v>0</v>
      </c>
      <c r="V73" s="6">
        <f>IF(ISERROR(VLOOKUP($S$73,'TAR FIN'!$A$1:$O$115,15,0)),0,VLOOKUP($S$73,'TAR FIN'!$A$1:$O$115,15,0))</f>
        <v>19.8</v>
      </c>
      <c r="W73" s="6">
        <f>IF(ISERROR(VLOOKUP($T$73,'TAR FIN'!$A$1:$O$115,15,0)),0,VLOOKUP($T$73,'TAR FIN'!$A$1:$O$115,15,0))</f>
        <v>0</v>
      </c>
      <c r="X73" s="6">
        <f>IF(ISERROR(VLOOKUP($U$73,'TAR FIN'!$A$1:$O$115,15,0)),0,VLOOKUP($U$73,'TAR FIN'!$A$1:$O$115,15,0))</f>
        <v>0</v>
      </c>
      <c r="Y73" s="6">
        <f ca="1">('TUSD BE'!$AM$20+'TUSD BF'!$AM$20+'TUSD CVA'!$AM$20)*1</f>
        <v>20.615214330225772</v>
      </c>
      <c r="Z73" s="6">
        <f ca="1">('TUSD BE'!$AM$21+'TUSD BF'!$AM$21+'TUSD CVA'!$AM$21)*1</f>
        <v>113.43121292628391</v>
      </c>
      <c r="AA73" s="6"/>
      <c r="AB73" s="6">
        <f t="shared" si="6"/>
        <v>49537.705140000005</v>
      </c>
      <c r="AC73" s="6">
        <f t="shared" si="7"/>
        <v>0</v>
      </c>
      <c r="AD73" s="6">
        <f t="shared" ca="1" si="8"/>
        <v>51577.293378213479</v>
      </c>
      <c r="AE73" s="6">
        <f t="shared" ca="1" si="9"/>
        <v>0</v>
      </c>
      <c r="AF73" s="4" t="s">
        <v>936</v>
      </c>
    </row>
    <row r="74" spans="1:32" ht="11.25" customHeight="1" x14ac:dyDescent="0.25">
      <c r="A74" s="4" t="s">
        <v>59</v>
      </c>
      <c r="B74" s="4" t="s">
        <v>41</v>
      </c>
      <c r="C74" s="4" t="s">
        <v>42</v>
      </c>
      <c r="D74" s="4" t="s">
        <v>40</v>
      </c>
      <c r="E74" s="4" t="s">
        <v>25</v>
      </c>
      <c r="F74" s="4" t="s">
        <v>60</v>
      </c>
      <c r="G74" s="4" t="s">
        <v>25</v>
      </c>
      <c r="H74" s="4" t="s">
        <v>37</v>
      </c>
      <c r="I74" s="5">
        <v>44866</v>
      </c>
      <c r="J74" s="6">
        <v>5033</v>
      </c>
      <c r="K74" s="6">
        <v>2531.0956999999999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4" t="s">
        <v>61</v>
      </c>
      <c r="R74" s="4">
        <v>0</v>
      </c>
      <c r="S74" s="4">
        <v>20</v>
      </c>
      <c r="T74" s="4">
        <v>0</v>
      </c>
      <c r="U74" s="4">
        <v>0</v>
      </c>
      <c r="V74" s="6">
        <f>IF(ISERROR(VLOOKUP($S$74,'TAR FIN'!$A$1:$O$115,15,0)),0,VLOOKUP($S$74,'TAR FIN'!$A$1:$O$115,15,0))</f>
        <v>19.8</v>
      </c>
      <c r="W74" s="6">
        <f>IF(ISERROR(VLOOKUP($T$74,'TAR FIN'!$A$1:$O$115,15,0)),0,VLOOKUP($T$74,'TAR FIN'!$A$1:$O$115,15,0))</f>
        <v>0</v>
      </c>
      <c r="X74" s="6">
        <f>IF(ISERROR(VLOOKUP($U$74,'TAR FIN'!$A$1:$O$115,15,0)),0,VLOOKUP($U$74,'TAR FIN'!$A$1:$O$115,15,0))</f>
        <v>0</v>
      </c>
      <c r="Y74" s="6">
        <f ca="1">('TUSD BE'!$AM$20+'TUSD BF'!$AM$20+'TUSD CVA'!$AM$20)*1</f>
        <v>20.615214330225772</v>
      </c>
      <c r="Z74" s="6">
        <f ca="1">('TUSD BE'!$AM$21+'TUSD BF'!$AM$21+'TUSD CVA'!$AM$21)*1</f>
        <v>113.43121292628391</v>
      </c>
      <c r="AA74" s="6"/>
      <c r="AB74" s="6">
        <f t="shared" si="6"/>
        <v>49537.705140000005</v>
      </c>
      <c r="AC74" s="6">
        <f t="shared" si="7"/>
        <v>0</v>
      </c>
      <c r="AD74" s="6">
        <f t="shared" ca="1" si="8"/>
        <v>51577.293378213479</v>
      </c>
      <c r="AE74" s="6">
        <f t="shared" ca="1" si="9"/>
        <v>0</v>
      </c>
      <c r="AF74" s="4" t="s">
        <v>936</v>
      </c>
    </row>
    <row r="75" spans="1:32" ht="11.25" customHeight="1" x14ac:dyDescent="0.25">
      <c r="A75" s="4" t="s">
        <v>21</v>
      </c>
      <c r="B75" s="4" t="s">
        <v>41</v>
      </c>
      <c r="C75" s="4" t="s">
        <v>42</v>
      </c>
      <c r="D75" s="4" t="s">
        <v>40</v>
      </c>
      <c r="E75" s="4" t="s">
        <v>25</v>
      </c>
      <c r="F75" s="4" t="s">
        <v>60</v>
      </c>
      <c r="G75" s="4" t="s">
        <v>25</v>
      </c>
      <c r="H75" s="4" t="s">
        <v>25</v>
      </c>
      <c r="I75" s="5">
        <v>44531</v>
      </c>
      <c r="J75" s="6">
        <v>0</v>
      </c>
      <c r="K75" s="6">
        <v>0</v>
      </c>
      <c r="L75" s="6">
        <v>2019.317</v>
      </c>
      <c r="M75" s="6">
        <v>2019.317</v>
      </c>
      <c r="N75" s="6">
        <v>0</v>
      </c>
      <c r="O75" s="6">
        <v>0</v>
      </c>
      <c r="P75" s="6">
        <v>12</v>
      </c>
      <c r="Q75" s="4" t="s">
        <v>61</v>
      </c>
      <c r="R75" s="4">
        <v>0</v>
      </c>
      <c r="S75" s="4">
        <v>0</v>
      </c>
      <c r="T75" s="4">
        <v>21</v>
      </c>
      <c r="U75" s="4">
        <v>0</v>
      </c>
      <c r="V75" s="6">
        <f>IF(ISERROR(VLOOKUP($S$75,'TAR FIN'!$A$1:$O$115,15,0)),0,VLOOKUP($S$75,'TAR FIN'!$A$1:$O$115,15,0))</f>
        <v>0</v>
      </c>
      <c r="W75" s="6">
        <f>IF(ISERROR(VLOOKUP($T$75,'TAR FIN'!$A$1:$O$115,15,0)),0,VLOOKUP($T$75,'TAR FIN'!$A$1:$O$115,15,0))</f>
        <v>84.31</v>
      </c>
      <c r="X75" s="6">
        <f>IF(ISERROR(VLOOKUP($U$75,'TAR FIN'!$A$1:$O$115,15,0)),0,VLOOKUP($U$75,'TAR FIN'!$A$1:$O$115,15,0))</f>
        <v>0</v>
      </c>
      <c r="Y75" s="6"/>
      <c r="Z75" s="6">
        <f ca="1">('TUSD BE'!$AM$21+'TUSD BF'!$AM$21+'TUSD CVA'!$AM$21)*1</f>
        <v>113.43121292628391</v>
      </c>
      <c r="AA75" s="6"/>
      <c r="AB75" s="6">
        <f t="shared" si="6"/>
        <v>0</v>
      </c>
      <c r="AC75" s="6">
        <f t="shared" si="7"/>
        <v>0</v>
      </c>
      <c r="AD75" s="6">
        <f t="shared" si="8"/>
        <v>0</v>
      </c>
      <c r="AE75" s="6">
        <f t="shared" ca="1" si="9"/>
        <v>0</v>
      </c>
      <c r="AF75" s="4" t="s">
        <v>936</v>
      </c>
    </row>
    <row r="76" spans="1:32" ht="11.25" customHeight="1" x14ac:dyDescent="0.25">
      <c r="A76" s="4" t="s">
        <v>21</v>
      </c>
      <c r="B76" s="4" t="s">
        <v>41</v>
      </c>
      <c r="C76" s="4" t="s">
        <v>42</v>
      </c>
      <c r="D76" s="4" t="s">
        <v>40</v>
      </c>
      <c r="E76" s="4" t="s">
        <v>25</v>
      </c>
      <c r="F76" s="4" t="s">
        <v>60</v>
      </c>
      <c r="G76" s="4" t="s">
        <v>25</v>
      </c>
      <c r="H76" s="4" t="s">
        <v>25</v>
      </c>
      <c r="I76" s="5">
        <v>44562</v>
      </c>
      <c r="J76" s="6">
        <v>0</v>
      </c>
      <c r="K76" s="6">
        <v>0</v>
      </c>
      <c r="L76" s="6">
        <v>2064.0639999999999</v>
      </c>
      <c r="M76" s="6">
        <v>2064.0639999999999</v>
      </c>
      <c r="N76" s="6">
        <v>0</v>
      </c>
      <c r="O76" s="6">
        <v>0</v>
      </c>
      <c r="P76" s="6">
        <v>12</v>
      </c>
      <c r="Q76" s="4" t="s">
        <v>61</v>
      </c>
      <c r="R76" s="4">
        <v>0</v>
      </c>
      <c r="S76" s="4">
        <v>0</v>
      </c>
      <c r="T76" s="4">
        <v>21</v>
      </c>
      <c r="U76" s="4">
        <v>0</v>
      </c>
      <c r="V76" s="6">
        <f>IF(ISERROR(VLOOKUP($S$76,'TAR FIN'!$A$1:$O$115,15,0)),0,VLOOKUP($S$76,'TAR FIN'!$A$1:$O$115,15,0))</f>
        <v>0</v>
      </c>
      <c r="W76" s="6">
        <f>IF(ISERROR(VLOOKUP($T$76,'TAR FIN'!$A$1:$O$115,15,0)),0,VLOOKUP($T$76,'TAR FIN'!$A$1:$O$115,15,0))</f>
        <v>84.31</v>
      </c>
      <c r="X76" s="6">
        <f>IF(ISERROR(VLOOKUP($U$76,'TAR FIN'!$A$1:$O$115,15,0)),0,VLOOKUP($U$76,'TAR FIN'!$A$1:$O$115,15,0))</f>
        <v>0</v>
      </c>
      <c r="Y76" s="6"/>
      <c r="Z76" s="6">
        <f ca="1">('TUSD BE'!$AM$21+'TUSD BF'!$AM$21+'TUSD CVA'!$AM$21)*1</f>
        <v>113.43121292628391</v>
      </c>
      <c r="AA76" s="6"/>
      <c r="AB76" s="6">
        <f t="shared" si="6"/>
        <v>0</v>
      </c>
      <c r="AC76" s="6">
        <f t="shared" si="7"/>
        <v>0</v>
      </c>
      <c r="AD76" s="6">
        <f t="shared" si="8"/>
        <v>0</v>
      </c>
      <c r="AE76" s="6">
        <f t="shared" ca="1" si="9"/>
        <v>0</v>
      </c>
      <c r="AF76" s="4" t="s">
        <v>936</v>
      </c>
    </row>
    <row r="77" spans="1:32" ht="11.25" customHeight="1" x14ac:dyDescent="0.25">
      <c r="A77" s="4" t="s">
        <v>21</v>
      </c>
      <c r="B77" s="4" t="s">
        <v>41</v>
      </c>
      <c r="C77" s="4" t="s">
        <v>42</v>
      </c>
      <c r="D77" s="4" t="s">
        <v>40</v>
      </c>
      <c r="E77" s="4" t="s">
        <v>25</v>
      </c>
      <c r="F77" s="4" t="s">
        <v>60</v>
      </c>
      <c r="G77" s="4" t="s">
        <v>25</v>
      </c>
      <c r="H77" s="4" t="s">
        <v>25</v>
      </c>
      <c r="I77" s="5">
        <v>44593</v>
      </c>
      <c r="J77" s="6">
        <v>0</v>
      </c>
      <c r="K77" s="6">
        <v>0</v>
      </c>
      <c r="L77" s="6">
        <v>2016.529</v>
      </c>
      <c r="M77" s="6">
        <v>2016.529</v>
      </c>
      <c r="N77" s="6">
        <v>0</v>
      </c>
      <c r="O77" s="6">
        <v>0</v>
      </c>
      <c r="P77" s="6">
        <v>12</v>
      </c>
      <c r="Q77" s="4" t="s">
        <v>61</v>
      </c>
      <c r="R77" s="4">
        <v>0</v>
      </c>
      <c r="S77" s="4">
        <v>0</v>
      </c>
      <c r="T77" s="4">
        <v>21</v>
      </c>
      <c r="U77" s="4">
        <v>0</v>
      </c>
      <c r="V77" s="6">
        <f>IF(ISERROR(VLOOKUP($S$77,'TAR FIN'!$A$1:$O$115,15,0)),0,VLOOKUP($S$77,'TAR FIN'!$A$1:$O$115,15,0))</f>
        <v>0</v>
      </c>
      <c r="W77" s="6">
        <f>IF(ISERROR(VLOOKUP($T$77,'TAR FIN'!$A$1:$O$115,15,0)),0,VLOOKUP($T$77,'TAR FIN'!$A$1:$O$115,15,0))</f>
        <v>84.31</v>
      </c>
      <c r="X77" s="6">
        <f>IF(ISERROR(VLOOKUP($U$77,'TAR FIN'!$A$1:$O$115,15,0)),0,VLOOKUP($U$77,'TAR FIN'!$A$1:$O$115,15,0))</f>
        <v>0</v>
      </c>
      <c r="Y77" s="6"/>
      <c r="Z77" s="6">
        <f ca="1">('TUSD BE'!$AM$21+'TUSD BF'!$AM$21+'TUSD CVA'!$AM$21)*1</f>
        <v>113.43121292628391</v>
      </c>
      <c r="AA77" s="6"/>
      <c r="AB77" s="6">
        <f t="shared" si="6"/>
        <v>0</v>
      </c>
      <c r="AC77" s="6">
        <f t="shared" si="7"/>
        <v>0</v>
      </c>
      <c r="AD77" s="6">
        <f t="shared" si="8"/>
        <v>0</v>
      </c>
      <c r="AE77" s="6">
        <f t="shared" ca="1" si="9"/>
        <v>0</v>
      </c>
      <c r="AF77" s="4" t="s">
        <v>936</v>
      </c>
    </row>
    <row r="78" spans="1:32" ht="11.25" customHeight="1" x14ac:dyDescent="0.25">
      <c r="A78" s="4" t="s">
        <v>21</v>
      </c>
      <c r="B78" s="4" t="s">
        <v>41</v>
      </c>
      <c r="C78" s="4" t="s">
        <v>42</v>
      </c>
      <c r="D78" s="4" t="s">
        <v>40</v>
      </c>
      <c r="E78" s="4" t="s">
        <v>25</v>
      </c>
      <c r="F78" s="4" t="s">
        <v>60</v>
      </c>
      <c r="G78" s="4" t="s">
        <v>25</v>
      </c>
      <c r="H78" s="4" t="s">
        <v>25</v>
      </c>
      <c r="I78" s="5">
        <v>44621</v>
      </c>
      <c r="J78" s="6">
        <v>0</v>
      </c>
      <c r="K78" s="6">
        <v>0</v>
      </c>
      <c r="L78" s="6">
        <v>1755.4349999999999</v>
      </c>
      <c r="M78" s="6">
        <v>1755.4349999999999</v>
      </c>
      <c r="N78" s="6">
        <v>0</v>
      </c>
      <c r="O78" s="6">
        <v>0</v>
      </c>
      <c r="P78" s="6">
        <v>12</v>
      </c>
      <c r="Q78" s="4" t="s">
        <v>61</v>
      </c>
      <c r="R78" s="4">
        <v>0</v>
      </c>
      <c r="S78" s="4">
        <v>0</v>
      </c>
      <c r="T78" s="4">
        <v>21</v>
      </c>
      <c r="U78" s="4">
        <v>0</v>
      </c>
      <c r="V78" s="6">
        <f>IF(ISERROR(VLOOKUP($S$78,'TAR FIN'!$A$1:$O$115,15,0)),0,VLOOKUP($S$78,'TAR FIN'!$A$1:$O$115,15,0))</f>
        <v>0</v>
      </c>
      <c r="W78" s="6">
        <f>IF(ISERROR(VLOOKUP($T$78,'TAR FIN'!$A$1:$O$115,15,0)),0,VLOOKUP($T$78,'TAR FIN'!$A$1:$O$115,15,0))</f>
        <v>84.31</v>
      </c>
      <c r="X78" s="6">
        <f>IF(ISERROR(VLOOKUP($U$78,'TAR FIN'!$A$1:$O$115,15,0)),0,VLOOKUP($U$78,'TAR FIN'!$A$1:$O$115,15,0))</f>
        <v>0</v>
      </c>
      <c r="Y78" s="6"/>
      <c r="Z78" s="6">
        <f ca="1">('TUSD BE'!$AM$21+'TUSD BF'!$AM$21+'TUSD CVA'!$AM$21)*1</f>
        <v>113.43121292628391</v>
      </c>
      <c r="AA78" s="6"/>
      <c r="AB78" s="6">
        <f t="shared" si="6"/>
        <v>0</v>
      </c>
      <c r="AC78" s="6">
        <f t="shared" si="7"/>
        <v>0</v>
      </c>
      <c r="AD78" s="6">
        <f t="shared" si="8"/>
        <v>0</v>
      </c>
      <c r="AE78" s="6">
        <f t="shared" ca="1" si="9"/>
        <v>0</v>
      </c>
      <c r="AF78" s="4" t="s">
        <v>936</v>
      </c>
    </row>
    <row r="79" spans="1:32" ht="11.25" customHeight="1" x14ac:dyDescent="0.25">
      <c r="A79" s="4" t="s">
        <v>21</v>
      </c>
      <c r="B79" s="4" t="s">
        <v>41</v>
      </c>
      <c r="C79" s="4" t="s">
        <v>42</v>
      </c>
      <c r="D79" s="4" t="s">
        <v>40</v>
      </c>
      <c r="E79" s="4" t="s">
        <v>25</v>
      </c>
      <c r="F79" s="4" t="s">
        <v>60</v>
      </c>
      <c r="G79" s="4" t="s">
        <v>25</v>
      </c>
      <c r="H79" s="4" t="s">
        <v>25</v>
      </c>
      <c r="I79" s="5">
        <v>44652</v>
      </c>
      <c r="J79" s="6">
        <v>0</v>
      </c>
      <c r="K79" s="6">
        <v>0</v>
      </c>
      <c r="L79" s="6">
        <v>1929.7170000000001</v>
      </c>
      <c r="M79" s="6">
        <v>1929.7170000000001</v>
      </c>
      <c r="N79" s="6">
        <v>0</v>
      </c>
      <c r="O79" s="6">
        <v>0</v>
      </c>
      <c r="P79" s="6">
        <v>12</v>
      </c>
      <c r="Q79" s="4" t="s">
        <v>61</v>
      </c>
      <c r="R79" s="4">
        <v>0</v>
      </c>
      <c r="S79" s="4">
        <v>0</v>
      </c>
      <c r="T79" s="4">
        <v>21</v>
      </c>
      <c r="U79" s="4">
        <v>0</v>
      </c>
      <c r="V79" s="6">
        <f>IF(ISERROR(VLOOKUP($S$79,'TAR FIN'!$A$1:$O$115,15,0)),0,VLOOKUP($S$79,'TAR FIN'!$A$1:$O$115,15,0))</f>
        <v>0</v>
      </c>
      <c r="W79" s="6">
        <f>IF(ISERROR(VLOOKUP($T$79,'TAR FIN'!$A$1:$O$115,15,0)),0,VLOOKUP($T$79,'TAR FIN'!$A$1:$O$115,15,0))</f>
        <v>84.31</v>
      </c>
      <c r="X79" s="6">
        <f>IF(ISERROR(VLOOKUP($U$79,'TAR FIN'!$A$1:$O$115,15,0)),0,VLOOKUP($U$79,'TAR FIN'!$A$1:$O$115,15,0))</f>
        <v>0</v>
      </c>
      <c r="Y79" s="6"/>
      <c r="Z79" s="6">
        <f ca="1">('TUSD BE'!$AM$21+'TUSD BF'!$AM$21+'TUSD CVA'!$AM$21)*1</f>
        <v>113.43121292628391</v>
      </c>
      <c r="AA79" s="6"/>
      <c r="AB79" s="6">
        <f t="shared" si="6"/>
        <v>0</v>
      </c>
      <c r="AC79" s="6">
        <f t="shared" si="7"/>
        <v>0</v>
      </c>
      <c r="AD79" s="6">
        <f t="shared" si="8"/>
        <v>0</v>
      </c>
      <c r="AE79" s="6">
        <f t="shared" ca="1" si="9"/>
        <v>0</v>
      </c>
      <c r="AF79" s="4" t="s">
        <v>936</v>
      </c>
    </row>
    <row r="80" spans="1:32" ht="11.25" customHeight="1" x14ac:dyDescent="0.25">
      <c r="A80" s="4" t="s">
        <v>21</v>
      </c>
      <c r="B80" s="4" t="s">
        <v>41</v>
      </c>
      <c r="C80" s="4" t="s">
        <v>42</v>
      </c>
      <c r="D80" s="4" t="s">
        <v>40</v>
      </c>
      <c r="E80" s="4" t="s">
        <v>25</v>
      </c>
      <c r="F80" s="4" t="s">
        <v>60</v>
      </c>
      <c r="G80" s="4" t="s">
        <v>25</v>
      </c>
      <c r="H80" s="4" t="s">
        <v>25</v>
      </c>
      <c r="I80" s="5">
        <v>44682</v>
      </c>
      <c r="J80" s="6">
        <v>0</v>
      </c>
      <c r="K80" s="6">
        <v>0</v>
      </c>
      <c r="L80" s="6">
        <v>1867.058</v>
      </c>
      <c r="M80" s="6">
        <v>1867.058</v>
      </c>
      <c r="N80" s="6">
        <v>0</v>
      </c>
      <c r="O80" s="6">
        <v>0</v>
      </c>
      <c r="P80" s="6">
        <v>12</v>
      </c>
      <c r="Q80" s="4" t="s">
        <v>61</v>
      </c>
      <c r="R80" s="4">
        <v>0</v>
      </c>
      <c r="S80" s="4">
        <v>0</v>
      </c>
      <c r="T80" s="4">
        <v>21</v>
      </c>
      <c r="U80" s="4">
        <v>0</v>
      </c>
      <c r="V80" s="6">
        <f>IF(ISERROR(VLOOKUP($S$80,'TAR FIN'!$A$1:$O$115,15,0)),0,VLOOKUP($S$80,'TAR FIN'!$A$1:$O$115,15,0))</f>
        <v>0</v>
      </c>
      <c r="W80" s="6">
        <f>IF(ISERROR(VLOOKUP($T$80,'TAR FIN'!$A$1:$O$115,15,0)),0,VLOOKUP($T$80,'TAR FIN'!$A$1:$O$115,15,0))</f>
        <v>84.31</v>
      </c>
      <c r="X80" s="6">
        <f>IF(ISERROR(VLOOKUP($U$80,'TAR FIN'!$A$1:$O$115,15,0)),0,VLOOKUP($U$80,'TAR FIN'!$A$1:$O$115,15,0))</f>
        <v>0</v>
      </c>
      <c r="Y80" s="6"/>
      <c r="Z80" s="6">
        <f ca="1">('TUSD BE'!$AM$21+'TUSD BF'!$AM$21+'TUSD CVA'!$AM$21)*1</f>
        <v>113.43121292628391</v>
      </c>
      <c r="AA80" s="6"/>
      <c r="AB80" s="6">
        <f t="shared" si="6"/>
        <v>0</v>
      </c>
      <c r="AC80" s="6">
        <f t="shared" si="7"/>
        <v>0</v>
      </c>
      <c r="AD80" s="6">
        <f t="shared" si="8"/>
        <v>0</v>
      </c>
      <c r="AE80" s="6">
        <f t="shared" ca="1" si="9"/>
        <v>0</v>
      </c>
      <c r="AF80" s="4" t="s">
        <v>936</v>
      </c>
    </row>
    <row r="81" spans="1:32" ht="11.25" customHeight="1" x14ac:dyDescent="0.25">
      <c r="A81" s="4" t="s">
        <v>21</v>
      </c>
      <c r="B81" s="4" t="s">
        <v>41</v>
      </c>
      <c r="C81" s="4" t="s">
        <v>42</v>
      </c>
      <c r="D81" s="4" t="s">
        <v>40</v>
      </c>
      <c r="E81" s="4" t="s">
        <v>25</v>
      </c>
      <c r="F81" s="4" t="s">
        <v>60</v>
      </c>
      <c r="G81" s="4" t="s">
        <v>25</v>
      </c>
      <c r="H81" s="4" t="s">
        <v>25</v>
      </c>
      <c r="I81" s="5">
        <v>44713</v>
      </c>
      <c r="J81" s="6">
        <v>0</v>
      </c>
      <c r="K81" s="6">
        <v>0</v>
      </c>
      <c r="L81" s="6">
        <v>1875.107</v>
      </c>
      <c r="M81" s="6">
        <v>1875.107</v>
      </c>
      <c r="N81" s="6">
        <v>0</v>
      </c>
      <c r="O81" s="6">
        <v>0</v>
      </c>
      <c r="P81" s="6">
        <v>12</v>
      </c>
      <c r="Q81" s="4" t="s">
        <v>61</v>
      </c>
      <c r="R81" s="4">
        <v>0</v>
      </c>
      <c r="S81" s="4">
        <v>0</v>
      </c>
      <c r="T81" s="4">
        <v>21</v>
      </c>
      <c r="U81" s="4">
        <v>0</v>
      </c>
      <c r="V81" s="6">
        <f>IF(ISERROR(VLOOKUP($S$81,'TAR FIN'!$A$1:$O$115,15,0)),0,VLOOKUP($S$81,'TAR FIN'!$A$1:$O$115,15,0))</f>
        <v>0</v>
      </c>
      <c r="W81" s="6">
        <f>IF(ISERROR(VLOOKUP($T$81,'TAR FIN'!$A$1:$O$115,15,0)),0,VLOOKUP($T$81,'TAR FIN'!$A$1:$O$115,15,0))</f>
        <v>84.31</v>
      </c>
      <c r="X81" s="6">
        <f>IF(ISERROR(VLOOKUP($U$81,'TAR FIN'!$A$1:$O$115,15,0)),0,VLOOKUP($U$81,'TAR FIN'!$A$1:$O$115,15,0))</f>
        <v>0</v>
      </c>
      <c r="Y81" s="6"/>
      <c r="Z81" s="6">
        <f ca="1">('TUSD BE'!$AM$21+'TUSD BF'!$AM$21+'TUSD CVA'!$AM$21)*1</f>
        <v>113.43121292628391</v>
      </c>
      <c r="AA81" s="6"/>
      <c r="AB81" s="6">
        <f t="shared" si="6"/>
        <v>0</v>
      </c>
      <c r="AC81" s="6">
        <f t="shared" si="7"/>
        <v>0</v>
      </c>
      <c r="AD81" s="6">
        <f t="shared" si="8"/>
        <v>0</v>
      </c>
      <c r="AE81" s="6">
        <f t="shared" ca="1" si="9"/>
        <v>0</v>
      </c>
      <c r="AF81" s="4" t="s">
        <v>936</v>
      </c>
    </row>
    <row r="82" spans="1:32" ht="11.25" customHeight="1" x14ac:dyDescent="0.25">
      <c r="A82" s="4" t="s">
        <v>21</v>
      </c>
      <c r="B82" s="4" t="s">
        <v>41</v>
      </c>
      <c r="C82" s="4" t="s">
        <v>42</v>
      </c>
      <c r="D82" s="4" t="s">
        <v>40</v>
      </c>
      <c r="E82" s="4" t="s">
        <v>25</v>
      </c>
      <c r="F82" s="4" t="s">
        <v>60</v>
      </c>
      <c r="G82" s="4" t="s">
        <v>25</v>
      </c>
      <c r="H82" s="4" t="s">
        <v>25</v>
      </c>
      <c r="I82" s="5">
        <v>44743</v>
      </c>
      <c r="J82" s="6">
        <v>0</v>
      </c>
      <c r="K82" s="6">
        <v>0</v>
      </c>
      <c r="L82" s="6">
        <v>1747.7439999999999</v>
      </c>
      <c r="M82" s="6">
        <v>1747.7439999999999</v>
      </c>
      <c r="N82" s="6">
        <v>0</v>
      </c>
      <c r="O82" s="6">
        <v>0</v>
      </c>
      <c r="P82" s="6">
        <v>12</v>
      </c>
      <c r="Q82" s="4" t="s">
        <v>61</v>
      </c>
      <c r="R82" s="4">
        <v>0</v>
      </c>
      <c r="S82" s="4">
        <v>0</v>
      </c>
      <c r="T82" s="4">
        <v>21</v>
      </c>
      <c r="U82" s="4">
        <v>0</v>
      </c>
      <c r="V82" s="6">
        <f>IF(ISERROR(VLOOKUP($S$82,'TAR FIN'!$A$1:$O$115,15,0)),0,VLOOKUP($S$82,'TAR FIN'!$A$1:$O$115,15,0))</f>
        <v>0</v>
      </c>
      <c r="W82" s="6">
        <f>IF(ISERROR(VLOOKUP($T$82,'TAR FIN'!$A$1:$O$115,15,0)),0,VLOOKUP($T$82,'TAR FIN'!$A$1:$O$115,15,0))</f>
        <v>84.31</v>
      </c>
      <c r="X82" s="6">
        <f>IF(ISERROR(VLOOKUP($U$82,'TAR FIN'!$A$1:$O$115,15,0)),0,VLOOKUP($U$82,'TAR FIN'!$A$1:$O$115,15,0))</f>
        <v>0</v>
      </c>
      <c r="Y82" s="6"/>
      <c r="Z82" s="6">
        <f ca="1">('TUSD BE'!$AM$21+'TUSD BF'!$AM$21+'TUSD CVA'!$AM$21)*1</f>
        <v>113.43121292628391</v>
      </c>
      <c r="AA82" s="6"/>
      <c r="AB82" s="6">
        <f t="shared" si="6"/>
        <v>0</v>
      </c>
      <c r="AC82" s="6">
        <f t="shared" si="7"/>
        <v>0</v>
      </c>
      <c r="AD82" s="6">
        <f t="shared" si="8"/>
        <v>0</v>
      </c>
      <c r="AE82" s="6">
        <f t="shared" ca="1" si="9"/>
        <v>0</v>
      </c>
      <c r="AF82" s="4" t="s">
        <v>936</v>
      </c>
    </row>
    <row r="83" spans="1:32" ht="11.25" customHeight="1" x14ac:dyDescent="0.25">
      <c r="A83" s="4" t="s">
        <v>21</v>
      </c>
      <c r="B83" s="4" t="s">
        <v>41</v>
      </c>
      <c r="C83" s="4" t="s">
        <v>42</v>
      </c>
      <c r="D83" s="4" t="s">
        <v>40</v>
      </c>
      <c r="E83" s="4" t="s">
        <v>25</v>
      </c>
      <c r="F83" s="4" t="s">
        <v>60</v>
      </c>
      <c r="G83" s="4" t="s">
        <v>25</v>
      </c>
      <c r="H83" s="4" t="s">
        <v>25</v>
      </c>
      <c r="I83" s="5">
        <v>44774</v>
      </c>
      <c r="J83" s="6">
        <v>0</v>
      </c>
      <c r="K83" s="6">
        <v>0</v>
      </c>
      <c r="L83" s="6">
        <v>1954.0909999999999</v>
      </c>
      <c r="M83" s="6">
        <v>1954.0909999999999</v>
      </c>
      <c r="N83" s="6">
        <v>0</v>
      </c>
      <c r="O83" s="6">
        <v>0</v>
      </c>
      <c r="P83" s="6">
        <v>12</v>
      </c>
      <c r="Q83" s="4" t="s">
        <v>61</v>
      </c>
      <c r="R83" s="4">
        <v>0</v>
      </c>
      <c r="S83" s="4">
        <v>0</v>
      </c>
      <c r="T83" s="4">
        <v>21</v>
      </c>
      <c r="U83" s="4">
        <v>0</v>
      </c>
      <c r="V83" s="6">
        <f>IF(ISERROR(VLOOKUP($S$83,'TAR FIN'!$A$1:$O$115,15,0)),0,VLOOKUP($S$83,'TAR FIN'!$A$1:$O$115,15,0))</f>
        <v>0</v>
      </c>
      <c r="W83" s="6">
        <f>IF(ISERROR(VLOOKUP($T$83,'TAR FIN'!$A$1:$O$115,15,0)),0,VLOOKUP($T$83,'TAR FIN'!$A$1:$O$115,15,0))</f>
        <v>84.31</v>
      </c>
      <c r="X83" s="6">
        <f>IF(ISERROR(VLOOKUP($U$83,'TAR FIN'!$A$1:$O$115,15,0)),0,VLOOKUP($U$83,'TAR FIN'!$A$1:$O$115,15,0))</f>
        <v>0</v>
      </c>
      <c r="Y83" s="6"/>
      <c r="Z83" s="6">
        <f ca="1">('TUSD BE'!$AM$21+'TUSD BF'!$AM$21+'TUSD CVA'!$AM$21)*1</f>
        <v>113.43121292628391</v>
      </c>
      <c r="AA83" s="6"/>
      <c r="AB83" s="6">
        <f t="shared" si="6"/>
        <v>0</v>
      </c>
      <c r="AC83" s="6">
        <f t="shared" si="7"/>
        <v>0</v>
      </c>
      <c r="AD83" s="6">
        <f t="shared" si="8"/>
        <v>0</v>
      </c>
      <c r="AE83" s="6">
        <f t="shared" ca="1" si="9"/>
        <v>0</v>
      </c>
      <c r="AF83" s="4" t="s">
        <v>936</v>
      </c>
    </row>
    <row r="84" spans="1:32" ht="11.25" customHeight="1" x14ac:dyDescent="0.25">
      <c r="A84" s="4" t="s">
        <v>21</v>
      </c>
      <c r="B84" s="4" t="s">
        <v>41</v>
      </c>
      <c r="C84" s="4" t="s">
        <v>42</v>
      </c>
      <c r="D84" s="4" t="s">
        <v>40</v>
      </c>
      <c r="E84" s="4" t="s">
        <v>25</v>
      </c>
      <c r="F84" s="4" t="s">
        <v>60</v>
      </c>
      <c r="G84" s="4" t="s">
        <v>25</v>
      </c>
      <c r="H84" s="4" t="s">
        <v>25</v>
      </c>
      <c r="I84" s="5">
        <v>44805</v>
      </c>
      <c r="J84" s="6">
        <v>0</v>
      </c>
      <c r="K84" s="6">
        <v>0</v>
      </c>
      <c r="L84" s="6">
        <v>1663.943</v>
      </c>
      <c r="M84" s="6">
        <v>1663.943</v>
      </c>
      <c r="N84" s="6">
        <v>0</v>
      </c>
      <c r="O84" s="6">
        <v>0</v>
      </c>
      <c r="P84" s="6">
        <v>12</v>
      </c>
      <c r="Q84" s="4" t="s">
        <v>61</v>
      </c>
      <c r="R84" s="4">
        <v>0</v>
      </c>
      <c r="S84" s="4">
        <v>0</v>
      </c>
      <c r="T84" s="4">
        <v>21</v>
      </c>
      <c r="U84" s="4">
        <v>0</v>
      </c>
      <c r="V84" s="6">
        <f>IF(ISERROR(VLOOKUP($S$84,'TAR FIN'!$A$1:$O$115,15,0)),0,VLOOKUP($S$84,'TAR FIN'!$A$1:$O$115,15,0))</f>
        <v>0</v>
      </c>
      <c r="W84" s="6">
        <f>IF(ISERROR(VLOOKUP($T$84,'TAR FIN'!$A$1:$O$115,15,0)),0,VLOOKUP($T$84,'TAR FIN'!$A$1:$O$115,15,0))</f>
        <v>84.31</v>
      </c>
      <c r="X84" s="6">
        <f>IF(ISERROR(VLOOKUP($U$84,'TAR FIN'!$A$1:$O$115,15,0)),0,VLOOKUP($U$84,'TAR FIN'!$A$1:$O$115,15,0))</f>
        <v>0</v>
      </c>
      <c r="Y84" s="6"/>
      <c r="Z84" s="6">
        <f ca="1">('TUSD BE'!$AM$21+'TUSD BF'!$AM$21+'TUSD CVA'!$AM$21)*1</f>
        <v>113.43121292628391</v>
      </c>
      <c r="AA84" s="6"/>
      <c r="AB84" s="6">
        <f t="shared" si="6"/>
        <v>0</v>
      </c>
      <c r="AC84" s="6">
        <f t="shared" si="7"/>
        <v>0</v>
      </c>
      <c r="AD84" s="6">
        <f t="shared" si="8"/>
        <v>0</v>
      </c>
      <c r="AE84" s="6">
        <f t="shared" ca="1" si="9"/>
        <v>0</v>
      </c>
      <c r="AF84" s="4" t="s">
        <v>936</v>
      </c>
    </row>
    <row r="85" spans="1:32" ht="11.25" customHeight="1" x14ac:dyDescent="0.25">
      <c r="A85" s="4" t="s">
        <v>21</v>
      </c>
      <c r="B85" s="4" t="s">
        <v>41</v>
      </c>
      <c r="C85" s="4" t="s">
        <v>42</v>
      </c>
      <c r="D85" s="4" t="s">
        <v>40</v>
      </c>
      <c r="E85" s="4" t="s">
        <v>25</v>
      </c>
      <c r="F85" s="4" t="s">
        <v>60</v>
      </c>
      <c r="G85" s="4" t="s">
        <v>25</v>
      </c>
      <c r="H85" s="4" t="s">
        <v>25</v>
      </c>
      <c r="I85" s="5">
        <v>44835</v>
      </c>
      <c r="J85" s="6">
        <v>0</v>
      </c>
      <c r="K85" s="6">
        <v>0</v>
      </c>
      <c r="L85" s="6">
        <v>1688.5150000000001</v>
      </c>
      <c r="M85" s="6">
        <v>1688.5150000000001</v>
      </c>
      <c r="N85" s="6">
        <v>0</v>
      </c>
      <c r="O85" s="6">
        <v>0</v>
      </c>
      <c r="P85" s="6">
        <v>13</v>
      </c>
      <c r="Q85" s="4" t="s">
        <v>61</v>
      </c>
      <c r="R85" s="4">
        <v>0</v>
      </c>
      <c r="S85" s="4">
        <v>0</v>
      </c>
      <c r="T85" s="4">
        <v>21</v>
      </c>
      <c r="U85" s="4">
        <v>0</v>
      </c>
      <c r="V85" s="6">
        <f>IF(ISERROR(VLOOKUP($S$85,'TAR FIN'!$A$1:$O$115,15,0)),0,VLOOKUP($S$85,'TAR FIN'!$A$1:$O$115,15,0))</f>
        <v>0</v>
      </c>
      <c r="W85" s="6">
        <f>IF(ISERROR(VLOOKUP($T$85,'TAR FIN'!$A$1:$O$115,15,0)),0,VLOOKUP($T$85,'TAR FIN'!$A$1:$O$115,15,0))</f>
        <v>84.31</v>
      </c>
      <c r="X85" s="6">
        <f>IF(ISERROR(VLOOKUP($U$85,'TAR FIN'!$A$1:$O$115,15,0)),0,VLOOKUP($U$85,'TAR FIN'!$A$1:$O$115,15,0))</f>
        <v>0</v>
      </c>
      <c r="Y85" s="6"/>
      <c r="Z85" s="6">
        <f ca="1">('TUSD BE'!$AM$21+'TUSD BF'!$AM$21+'TUSD CVA'!$AM$21)*1</f>
        <v>113.43121292628391</v>
      </c>
      <c r="AA85" s="6"/>
      <c r="AB85" s="6">
        <f t="shared" si="6"/>
        <v>0</v>
      </c>
      <c r="AC85" s="6">
        <f t="shared" si="7"/>
        <v>0</v>
      </c>
      <c r="AD85" s="6">
        <f t="shared" si="8"/>
        <v>0</v>
      </c>
      <c r="AE85" s="6">
        <f t="shared" ca="1" si="9"/>
        <v>0</v>
      </c>
      <c r="AF85" s="4" t="s">
        <v>936</v>
      </c>
    </row>
    <row r="86" spans="1:32" ht="11.25" customHeight="1" x14ac:dyDescent="0.25">
      <c r="A86" s="4" t="s">
        <v>59</v>
      </c>
      <c r="B86" s="4" t="s">
        <v>41</v>
      </c>
      <c r="C86" s="4" t="s">
        <v>42</v>
      </c>
      <c r="D86" s="4" t="s">
        <v>40</v>
      </c>
      <c r="E86" s="4" t="s">
        <v>25</v>
      </c>
      <c r="F86" s="4" t="s">
        <v>60</v>
      </c>
      <c r="G86" s="4" t="s">
        <v>25</v>
      </c>
      <c r="H86" s="4" t="s">
        <v>25</v>
      </c>
      <c r="I86" s="5">
        <v>44866</v>
      </c>
      <c r="J86" s="6">
        <v>0</v>
      </c>
      <c r="K86" s="6">
        <v>0</v>
      </c>
      <c r="L86" s="6">
        <v>1688.5150000000001</v>
      </c>
      <c r="M86" s="6">
        <v>1688.5150000000001</v>
      </c>
      <c r="N86" s="6">
        <v>0</v>
      </c>
      <c r="O86" s="6">
        <v>0</v>
      </c>
      <c r="P86" s="6">
        <v>13</v>
      </c>
      <c r="Q86" s="4" t="s">
        <v>61</v>
      </c>
      <c r="R86" s="4">
        <v>0</v>
      </c>
      <c r="S86" s="4">
        <v>0</v>
      </c>
      <c r="T86" s="4">
        <v>21</v>
      </c>
      <c r="U86" s="4">
        <v>0</v>
      </c>
      <c r="V86" s="6">
        <f>IF(ISERROR(VLOOKUP($S$86,'TAR FIN'!$A$1:$O$115,15,0)),0,VLOOKUP($S$86,'TAR FIN'!$A$1:$O$115,15,0))</f>
        <v>0</v>
      </c>
      <c r="W86" s="6">
        <f>IF(ISERROR(VLOOKUP($T$86,'TAR FIN'!$A$1:$O$115,15,0)),0,VLOOKUP($T$86,'TAR FIN'!$A$1:$O$115,15,0))</f>
        <v>84.31</v>
      </c>
      <c r="X86" s="6">
        <f>IF(ISERROR(VLOOKUP($U$86,'TAR FIN'!$A$1:$O$115,15,0)),0,VLOOKUP($U$86,'TAR FIN'!$A$1:$O$115,15,0))</f>
        <v>0</v>
      </c>
      <c r="Y86" s="6"/>
      <c r="Z86" s="6">
        <f ca="1">('TUSD BE'!$AM$21+'TUSD BF'!$AM$21+'TUSD CVA'!$AM$21)*1</f>
        <v>113.43121292628391</v>
      </c>
      <c r="AA86" s="6"/>
      <c r="AB86" s="6">
        <f t="shared" si="6"/>
        <v>0</v>
      </c>
      <c r="AC86" s="6">
        <f t="shared" si="7"/>
        <v>0</v>
      </c>
      <c r="AD86" s="6">
        <f t="shared" si="8"/>
        <v>0</v>
      </c>
      <c r="AE86" s="6">
        <f t="shared" ca="1" si="9"/>
        <v>0</v>
      </c>
      <c r="AF86" s="4" t="s">
        <v>936</v>
      </c>
    </row>
    <row r="87" spans="1:32" ht="11.25" customHeight="1" x14ac:dyDescent="0.25">
      <c r="A87" s="4" t="s">
        <v>21</v>
      </c>
      <c r="B87" s="4" t="s">
        <v>41</v>
      </c>
      <c r="C87" s="4" t="s">
        <v>42</v>
      </c>
      <c r="D87" s="4" t="s">
        <v>40</v>
      </c>
      <c r="E87" s="4" t="s">
        <v>25</v>
      </c>
      <c r="F87" s="4" t="s">
        <v>60</v>
      </c>
      <c r="G87" s="4" t="s">
        <v>25</v>
      </c>
      <c r="H87" s="4" t="s">
        <v>36</v>
      </c>
      <c r="I87" s="5">
        <v>44531</v>
      </c>
      <c r="J87" s="6">
        <v>4457</v>
      </c>
      <c r="K87" s="6">
        <v>1950.3832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4" t="s">
        <v>61</v>
      </c>
      <c r="R87" s="4">
        <v>0</v>
      </c>
      <c r="S87" s="4">
        <v>19</v>
      </c>
      <c r="T87" s="4">
        <v>0</v>
      </c>
      <c r="U87" s="4">
        <v>0</v>
      </c>
      <c r="V87" s="6">
        <f>IF(ISERROR(VLOOKUP($S$87,'TAR FIN'!$A$1:$O$115,15,0)),0,VLOOKUP($S$87,'TAR FIN'!$A$1:$O$115,15,0))</f>
        <v>56.22</v>
      </c>
      <c r="W87" s="6">
        <f>IF(ISERROR(VLOOKUP($T$87,'TAR FIN'!$A$1:$O$115,15,0)),0,VLOOKUP($T$87,'TAR FIN'!$A$1:$O$115,15,0))</f>
        <v>0</v>
      </c>
      <c r="X87" s="6">
        <f>IF(ISERROR(VLOOKUP($U$87,'TAR FIN'!$A$1:$O$115,15,0)),0,VLOOKUP($U$87,'TAR FIN'!$A$1:$O$115,15,0))</f>
        <v>0</v>
      </c>
      <c r="Y87" s="6">
        <f ca="1">('TUSD BE'!$AM$19+'TUSD BF'!$AM$19+'TUSD CVA'!$AM$19)*1</f>
        <v>56.308577648144677</v>
      </c>
      <c r="Z87" s="6">
        <f ca="1">('TUSD BE'!$AM$21+'TUSD BF'!$AM$21+'TUSD CVA'!$AM$21)*1</f>
        <v>113.43121292628391</v>
      </c>
      <c r="AA87" s="6"/>
      <c r="AB87" s="6">
        <f t="shared" si="6"/>
        <v>140921.99649599998</v>
      </c>
      <c r="AC87" s="6">
        <f t="shared" si="7"/>
        <v>0</v>
      </c>
      <c r="AD87" s="6">
        <f t="shared" ca="1" si="8"/>
        <v>141144.02671694392</v>
      </c>
      <c r="AE87" s="6">
        <f t="shared" ca="1" si="9"/>
        <v>0</v>
      </c>
      <c r="AF87" s="4" t="s">
        <v>936</v>
      </c>
    </row>
    <row r="88" spans="1:32" ht="11.25" customHeight="1" x14ac:dyDescent="0.25">
      <c r="A88" s="4" t="s">
        <v>21</v>
      </c>
      <c r="B88" s="4" t="s">
        <v>41</v>
      </c>
      <c r="C88" s="4" t="s">
        <v>42</v>
      </c>
      <c r="D88" s="4" t="s">
        <v>40</v>
      </c>
      <c r="E88" s="4" t="s">
        <v>25</v>
      </c>
      <c r="F88" s="4" t="s">
        <v>60</v>
      </c>
      <c r="G88" s="4" t="s">
        <v>25</v>
      </c>
      <c r="H88" s="4" t="s">
        <v>36</v>
      </c>
      <c r="I88" s="5">
        <v>44562</v>
      </c>
      <c r="J88" s="6">
        <v>4470</v>
      </c>
      <c r="K88" s="6">
        <v>2077.2089999999998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4" t="s">
        <v>61</v>
      </c>
      <c r="R88" s="4">
        <v>0</v>
      </c>
      <c r="S88" s="4">
        <v>19</v>
      </c>
      <c r="T88" s="4">
        <v>0</v>
      </c>
      <c r="U88" s="4">
        <v>0</v>
      </c>
      <c r="V88" s="6">
        <f>IF(ISERROR(VLOOKUP($S$88,'TAR FIN'!$A$1:$O$115,15,0)),0,VLOOKUP($S$88,'TAR FIN'!$A$1:$O$115,15,0))</f>
        <v>56.22</v>
      </c>
      <c r="W88" s="6">
        <f>IF(ISERROR(VLOOKUP($T$88,'TAR FIN'!$A$1:$O$115,15,0)),0,VLOOKUP($T$88,'TAR FIN'!$A$1:$O$115,15,0))</f>
        <v>0</v>
      </c>
      <c r="X88" s="6">
        <f>IF(ISERROR(VLOOKUP($U$88,'TAR FIN'!$A$1:$O$115,15,0)),0,VLOOKUP($U$88,'TAR FIN'!$A$1:$O$115,15,0))</f>
        <v>0</v>
      </c>
      <c r="Y88" s="6">
        <f ca="1">('TUSD BE'!$AM$19+'TUSD BF'!$AM$19+'TUSD CVA'!$AM$19)*1</f>
        <v>56.308577648144677</v>
      </c>
      <c r="Z88" s="6">
        <f ca="1">('TUSD BE'!$AM$21+'TUSD BF'!$AM$21+'TUSD CVA'!$AM$21)*1</f>
        <v>113.43121292628391</v>
      </c>
      <c r="AA88" s="6"/>
      <c r="AB88" s="6">
        <f t="shared" si="6"/>
        <v>134522.71002</v>
      </c>
      <c r="AC88" s="6">
        <f t="shared" si="7"/>
        <v>0</v>
      </c>
      <c r="AD88" s="6">
        <f t="shared" ca="1" si="8"/>
        <v>134734.65781928177</v>
      </c>
      <c r="AE88" s="6">
        <f t="shared" ca="1" si="9"/>
        <v>0</v>
      </c>
      <c r="AF88" s="4" t="s">
        <v>936</v>
      </c>
    </row>
    <row r="89" spans="1:32" ht="11.25" customHeight="1" x14ac:dyDescent="0.25">
      <c r="A89" s="4" t="s">
        <v>21</v>
      </c>
      <c r="B89" s="4" t="s">
        <v>41</v>
      </c>
      <c r="C89" s="4" t="s">
        <v>42</v>
      </c>
      <c r="D89" s="4" t="s">
        <v>40</v>
      </c>
      <c r="E89" s="4" t="s">
        <v>25</v>
      </c>
      <c r="F89" s="4" t="s">
        <v>60</v>
      </c>
      <c r="G89" s="4" t="s">
        <v>25</v>
      </c>
      <c r="H89" s="4" t="s">
        <v>36</v>
      </c>
      <c r="I89" s="5">
        <v>44593</v>
      </c>
      <c r="J89" s="6">
        <v>4490</v>
      </c>
      <c r="K89" s="6">
        <v>2261.1640000000002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4" t="s">
        <v>61</v>
      </c>
      <c r="R89" s="4">
        <v>0</v>
      </c>
      <c r="S89" s="4">
        <v>19</v>
      </c>
      <c r="T89" s="4">
        <v>0</v>
      </c>
      <c r="U89" s="4">
        <v>0</v>
      </c>
      <c r="V89" s="6">
        <f>IF(ISERROR(VLOOKUP($S$89,'TAR FIN'!$A$1:$O$115,15,0)),0,VLOOKUP($S$89,'TAR FIN'!$A$1:$O$115,15,0))</f>
        <v>56.22</v>
      </c>
      <c r="W89" s="6">
        <f>IF(ISERROR(VLOOKUP($T$89,'TAR FIN'!$A$1:$O$115,15,0)),0,VLOOKUP($T$89,'TAR FIN'!$A$1:$O$115,15,0))</f>
        <v>0</v>
      </c>
      <c r="X89" s="6">
        <f>IF(ISERROR(VLOOKUP($U$89,'TAR FIN'!$A$1:$O$115,15,0)),0,VLOOKUP($U$89,'TAR FIN'!$A$1:$O$115,15,0))</f>
        <v>0</v>
      </c>
      <c r="Y89" s="6">
        <f ca="1">('TUSD BE'!$AM$19+'TUSD BF'!$AM$19+'TUSD CVA'!$AM$19)*1</f>
        <v>56.308577648144677</v>
      </c>
      <c r="Z89" s="6">
        <f ca="1">('TUSD BE'!$AM$21+'TUSD BF'!$AM$21+'TUSD CVA'!$AM$21)*1</f>
        <v>113.43121292628391</v>
      </c>
      <c r="AA89" s="6"/>
      <c r="AB89" s="6">
        <f t="shared" si="6"/>
        <v>125305.15991999999</v>
      </c>
      <c r="AC89" s="6">
        <f t="shared" si="7"/>
        <v>0</v>
      </c>
      <c r="AD89" s="6">
        <f t="shared" ca="1" si="8"/>
        <v>125502.58497098018</v>
      </c>
      <c r="AE89" s="6">
        <f t="shared" ca="1" si="9"/>
        <v>0</v>
      </c>
      <c r="AF89" s="4" t="s">
        <v>936</v>
      </c>
    </row>
    <row r="90" spans="1:32" ht="11.25" customHeight="1" x14ac:dyDescent="0.25">
      <c r="A90" s="4" t="s">
        <v>21</v>
      </c>
      <c r="B90" s="4" t="s">
        <v>41</v>
      </c>
      <c r="C90" s="4" t="s">
        <v>42</v>
      </c>
      <c r="D90" s="4" t="s">
        <v>40</v>
      </c>
      <c r="E90" s="4" t="s">
        <v>25</v>
      </c>
      <c r="F90" s="4" t="s">
        <v>60</v>
      </c>
      <c r="G90" s="4" t="s">
        <v>25</v>
      </c>
      <c r="H90" s="4" t="s">
        <v>36</v>
      </c>
      <c r="I90" s="5">
        <v>44621</v>
      </c>
      <c r="J90" s="6">
        <v>4461</v>
      </c>
      <c r="K90" s="6">
        <v>2234.9609999999998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4" t="s">
        <v>61</v>
      </c>
      <c r="R90" s="4">
        <v>0</v>
      </c>
      <c r="S90" s="4">
        <v>19</v>
      </c>
      <c r="T90" s="4">
        <v>0</v>
      </c>
      <c r="U90" s="4">
        <v>0</v>
      </c>
      <c r="V90" s="6">
        <f>IF(ISERROR(VLOOKUP($S$90,'TAR FIN'!$A$1:$O$115,15,0)),0,VLOOKUP($S$90,'TAR FIN'!$A$1:$O$115,15,0))</f>
        <v>56.22</v>
      </c>
      <c r="W90" s="6">
        <f>IF(ISERROR(VLOOKUP($T$90,'TAR FIN'!$A$1:$O$115,15,0)),0,VLOOKUP($T$90,'TAR FIN'!$A$1:$O$115,15,0))</f>
        <v>0</v>
      </c>
      <c r="X90" s="6">
        <f>IF(ISERROR(VLOOKUP($U$90,'TAR FIN'!$A$1:$O$115,15,0)),0,VLOOKUP($U$90,'TAR FIN'!$A$1:$O$115,15,0))</f>
        <v>0</v>
      </c>
      <c r="Y90" s="6">
        <f ca="1">('TUSD BE'!$AM$19+'TUSD BF'!$AM$19+'TUSD CVA'!$AM$19)*1</f>
        <v>56.308577648144677</v>
      </c>
      <c r="Z90" s="6">
        <f ca="1">('TUSD BE'!$AM$21+'TUSD BF'!$AM$21+'TUSD CVA'!$AM$21)*1</f>
        <v>113.43121292628391</v>
      </c>
      <c r="AA90" s="6"/>
      <c r="AB90" s="6">
        <f t="shared" si="6"/>
        <v>125147.91258</v>
      </c>
      <c r="AC90" s="6">
        <f t="shared" si="7"/>
        <v>0</v>
      </c>
      <c r="AD90" s="6">
        <f t="shared" ca="1" si="8"/>
        <v>125345.08987929834</v>
      </c>
      <c r="AE90" s="6">
        <f t="shared" ca="1" si="9"/>
        <v>0</v>
      </c>
      <c r="AF90" s="4" t="s">
        <v>936</v>
      </c>
    </row>
    <row r="91" spans="1:32" ht="11.25" customHeight="1" x14ac:dyDescent="0.25">
      <c r="A91" s="4" t="s">
        <v>21</v>
      </c>
      <c r="B91" s="4" t="s">
        <v>41</v>
      </c>
      <c r="C91" s="4" t="s">
        <v>42</v>
      </c>
      <c r="D91" s="4" t="s">
        <v>40</v>
      </c>
      <c r="E91" s="4" t="s">
        <v>25</v>
      </c>
      <c r="F91" s="4" t="s">
        <v>60</v>
      </c>
      <c r="G91" s="4" t="s">
        <v>25</v>
      </c>
      <c r="H91" s="4" t="s">
        <v>36</v>
      </c>
      <c r="I91" s="5">
        <v>44652</v>
      </c>
      <c r="J91" s="6">
        <v>4443</v>
      </c>
      <c r="K91" s="6">
        <v>2227.7202000000002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4" t="s">
        <v>61</v>
      </c>
      <c r="R91" s="4">
        <v>0</v>
      </c>
      <c r="S91" s="4">
        <v>19</v>
      </c>
      <c r="T91" s="4">
        <v>0</v>
      </c>
      <c r="U91" s="4">
        <v>0</v>
      </c>
      <c r="V91" s="6">
        <f>IF(ISERROR(VLOOKUP($S$91,'TAR FIN'!$A$1:$O$115,15,0)),0,VLOOKUP($S$91,'TAR FIN'!$A$1:$O$115,15,0))</f>
        <v>56.22</v>
      </c>
      <c r="W91" s="6">
        <f>IF(ISERROR(VLOOKUP($T$91,'TAR FIN'!$A$1:$O$115,15,0)),0,VLOOKUP($T$91,'TAR FIN'!$A$1:$O$115,15,0))</f>
        <v>0</v>
      </c>
      <c r="X91" s="6">
        <f>IF(ISERROR(VLOOKUP($U$91,'TAR FIN'!$A$1:$O$115,15,0)),0,VLOOKUP($U$91,'TAR FIN'!$A$1:$O$115,15,0))</f>
        <v>0</v>
      </c>
      <c r="Y91" s="6">
        <f ca="1">('TUSD BE'!$AM$19+'TUSD BF'!$AM$19+'TUSD CVA'!$AM$19)*1</f>
        <v>56.308577648144677</v>
      </c>
      <c r="Z91" s="6">
        <f ca="1">('TUSD BE'!$AM$21+'TUSD BF'!$AM$21+'TUSD CVA'!$AM$21)*1</f>
        <v>113.43121292628391</v>
      </c>
      <c r="AA91" s="6"/>
      <c r="AB91" s="6">
        <f t="shared" si="6"/>
        <v>124543.03035599999</v>
      </c>
      <c r="AC91" s="6">
        <f t="shared" si="7"/>
        <v>0</v>
      </c>
      <c r="AD91" s="6">
        <f t="shared" ca="1" si="8"/>
        <v>124739.2546306664</v>
      </c>
      <c r="AE91" s="6">
        <f t="shared" ca="1" si="9"/>
        <v>0</v>
      </c>
      <c r="AF91" s="4" t="s">
        <v>936</v>
      </c>
    </row>
    <row r="92" spans="1:32" ht="11.25" customHeight="1" x14ac:dyDescent="0.25">
      <c r="A92" s="4" t="s">
        <v>21</v>
      </c>
      <c r="B92" s="4" t="s">
        <v>41</v>
      </c>
      <c r="C92" s="4" t="s">
        <v>42</v>
      </c>
      <c r="D92" s="4" t="s">
        <v>40</v>
      </c>
      <c r="E92" s="4" t="s">
        <v>25</v>
      </c>
      <c r="F92" s="4" t="s">
        <v>60</v>
      </c>
      <c r="G92" s="4" t="s">
        <v>25</v>
      </c>
      <c r="H92" s="4" t="s">
        <v>36</v>
      </c>
      <c r="I92" s="5">
        <v>44682</v>
      </c>
      <c r="J92" s="6">
        <v>4444</v>
      </c>
      <c r="K92" s="6">
        <v>2225.9996000000001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4" t="s">
        <v>61</v>
      </c>
      <c r="R92" s="4">
        <v>0</v>
      </c>
      <c r="S92" s="4">
        <v>19</v>
      </c>
      <c r="T92" s="4">
        <v>0</v>
      </c>
      <c r="U92" s="4">
        <v>0</v>
      </c>
      <c r="V92" s="6">
        <f>IF(ISERROR(VLOOKUP($S$92,'TAR FIN'!$A$1:$O$115,15,0)),0,VLOOKUP($S$92,'TAR FIN'!$A$1:$O$115,15,0))</f>
        <v>56.22</v>
      </c>
      <c r="W92" s="6">
        <f>IF(ISERROR(VLOOKUP($T$92,'TAR FIN'!$A$1:$O$115,15,0)),0,VLOOKUP($T$92,'TAR FIN'!$A$1:$O$115,15,0))</f>
        <v>0</v>
      </c>
      <c r="X92" s="6">
        <f>IF(ISERROR(VLOOKUP($U$92,'TAR FIN'!$A$1:$O$115,15,0)),0,VLOOKUP($U$92,'TAR FIN'!$A$1:$O$115,15,0))</f>
        <v>0</v>
      </c>
      <c r="Y92" s="6">
        <f ca="1">('TUSD BE'!$AM$19+'TUSD BF'!$AM$19+'TUSD CVA'!$AM$19)*1</f>
        <v>56.308577648144677</v>
      </c>
      <c r="Z92" s="6">
        <f ca="1">('TUSD BE'!$AM$21+'TUSD BF'!$AM$21+'TUSD CVA'!$AM$21)*1</f>
        <v>113.43121292628391</v>
      </c>
      <c r="AA92" s="6"/>
      <c r="AB92" s="6">
        <f t="shared" si="6"/>
        <v>124695.98248799999</v>
      </c>
      <c r="AC92" s="6">
        <f t="shared" si="7"/>
        <v>0</v>
      </c>
      <c r="AD92" s="6">
        <f t="shared" ca="1" si="8"/>
        <v>124892.44774701595</v>
      </c>
      <c r="AE92" s="6">
        <f t="shared" ca="1" si="9"/>
        <v>0</v>
      </c>
      <c r="AF92" s="4" t="s">
        <v>936</v>
      </c>
    </row>
    <row r="93" spans="1:32" ht="11.25" customHeight="1" x14ac:dyDescent="0.25">
      <c r="A93" s="4" t="s">
        <v>21</v>
      </c>
      <c r="B93" s="4" t="s">
        <v>41</v>
      </c>
      <c r="C93" s="4" t="s">
        <v>42</v>
      </c>
      <c r="D93" s="4" t="s">
        <v>40</v>
      </c>
      <c r="E93" s="4" t="s">
        <v>25</v>
      </c>
      <c r="F93" s="4" t="s">
        <v>60</v>
      </c>
      <c r="G93" s="4" t="s">
        <v>25</v>
      </c>
      <c r="H93" s="4" t="s">
        <v>36</v>
      </c>
      <c r="I93" s="5">
        <v>44713</v>
      </c>
      <c r="J93" s="6">
        <v>4443</v>
      </c>
      <c r="K93" s="6">
        <v>2224.1658000000002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4" t="s">
        <v>61</v>
      </c>
      <c r="R93" s="4">
        <v>0</v>
      </c>
      <c r="S93" s="4">
        <v>19</v>
      </c>
      <c r="T93" s="4">
        <v>0</v>
      </c>
      <c r="U93" s="4">
        <v>0</v>
      </c>
      <c r="V93" s="6">
        <f>IF(ISERROR(VLOOKUP($S$93,'TAR FIN'!$A$1:$O$115,15,0)),0,VLOOKUP($S$93,'TAR FIN'!$A$1:$O$115,15,0))</f>
        <v>56.22</v>
      </c>
      <c r="W93" s="6">
        <f>IF(ISERROR(VLOOKUP($T$93,'TAR FIN'!$A$1:$O$115,15,0)),0,VLOOKUP($T$93,'TAR FIN'!$A$1:$O$115,15,0))</f>
        <v>0</v>
      </c>
      <c r="X93" s="6">
        <f>IF(ISERROR(VLOOKUP($U$93,'TAR FIN'!$A$1:$O$115,15,0)),0,VLOOKUP($U$93,'TAR FIN'!$A$1:$O$115,15,0))</f>
        <v>0</v>
      </c>
      <c r="Y93" s="6">
        <f ca="1">('TUSD BE'!$AM$19+'TUSD BF'!$AM$19+'TUSD CVA'!$AM$19)*1</f>
        <v>56.308577648144677</v>
      </c>
      <c r="Z93" s="6">
        <f ca="1">('TUSD BE'!$AM$21+'TUSD BF'!$AM$21+'TUSD CVA'!$AM$21)*1</f>
        <v>113.43121292628391</v>
      </c>
      <c r="AA93" s="6"/>
      <c r="AB93" s="6">
        <f t="shared" si="6"/>
        <v>124742.85872399999</v>
      </c>
      <c r="AC93" s="6">
        <f t="shared" si="7"/>
        <v>0</v>
      </c>
      <c r="AD93" s="6">
        <f t="shared" ca="1" si="8"/>
        <v>124939.39783905896</v>
      </c>
      <c r="AE93" s="6">
        <f t="shared" ca="1" si="9"/>
        <v>0</v>
      </c>
      <c r="AF93" s="4" t="s">
        <v>936</v>
      </c>
    </row>
    <row r="94" spans="1:32" ht="11.25" customHeight="1" x14ac:dyDescent="0.25">
      <c r="A94" s="4" t="s">
        <v>21</v>
      </c>
      <c r="B94" s="4" t="s">
        <v>41</v>
      </c>
      <c r="C94" s="4" t="s">
        <v>42</v>
      </c>
      <c r="D94" s="4" t="s">
        <v>40</v>
      </c>
      <c r="E94" s="4" t="s">
        <v>25</v>
      </c>
      <c r="F94" s="4" t="s">
        <v>60</v>
      </c>
      <c r="G94" s="4" t="s">
        <v>25</v>
      </c>
      <c r="H94" s="4" t="s">
        <v>36</v>
      </c>
      <c r="I94" s="5">
        <v>44743</v>
      </c>
      <c r="J94" s="6">
        <v>4443</v>
      </c>
      <c r="K94" s="6">
        <v>2229.4974000000002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4" t="s">
        <v>61</v>
      </c>
      <c r="R94" s="4">
        <v>0</v>
      </c>
      <c r="S94" s="4">
        <v>19</v>
      </c>
      <c r="T94" s="4">
        <v>0</v>
      </c>
      <c r="U94" s="4">
        <v>0</v>
      </c>
      <c r="V94" s="6">
        <f>IF(ISERROR(VLOOKUP($S$94,'TAR FIN'!$A$1:$O$115,15,0)),0,VLOOKUP($S$94,'TAR FIN'!$A$1:$O$115,15,0))</f>
        <v>56.22</v>
      </c>
      <c r="W94" s="6">
        <f>IF(ISERROR(VLOOKUP($T$94,'TAR FIN'!$A$1:$O$115,15,0)),0,VLOOKUP($T$94,'TAR FIN'!$A$1:$O$115,15,0))</f>
        <v>0</v>
      </c>
      <c r="X94" s="6">
        <f>IF(ISERROR(VLOOKUP($U$94,'TAR FIN'!$A$1:$O$115,15,0)),0,VLOOKUP($U$94,'TAR FIN'!$A$1:$O$115,15,0))</f>
        <v>0</v>
      </c>
      <c r="Y94" s="6">
        <f ca="1">('TUSD BE'!$AM$19+'TUSD BF'!$AM$19+'TUSD CVA'!$AM$19)*1</f>
        <v>56.308577648144677</v>
      </c>
      <c r="Z94" s="6">
        <f ca="1">('TUSD BE'!$AM$21+'TUSD BF'!$AM$21+'TUSD CVA'!$AM$21)*1</f>
        <v>113.43121292628391</v>
      </c>
      <c r="AA94" s="6"/>
      <c r="AB94" s="6">
        <f t="shared" si="6"/>
        <v>124443.11617199998</v>
      </c>
      <c r="AC94" s="6">
        <f t="shared" si="7"/>
        <v>0</v>
      </c>
      <c r="AD94" s="6">
        <f t="shared" ca="1" si="8"/>
        <v>124639.18302647011</v>
      </c>
      <c r="AE94" s="6">
        <f t="shared" ca="1" si="9"/>
        <v>0</v>
      </c>
      <c r="AF94" s="4" t="s">
        <v>936</v>
      </c>
    </row>
    <row r="95" spans="1:32" ht="11.25" customHeight="1" x14ac:dyDescent="0.25">
      <c r="A95" s="4" t="s">
        <v>21</v>
      </c>
      <c r="B95" s="4" t="s">
        <v>41</v>
      </c>
      <c r="C95" s="4" t="s">
        <v>42</v>
      </c>
      <c r="D95" s="4" t="s">
        <v>40</v>
      </c>
      <c r="E95" s="4" t="s">
        <v>25</v>
      </c>
      <c r="F95" s="4" t="s">
        <v>60</v>
      </c>
      <c r="G95" s="4" t="s">
        <v>25</v>
      </c>
      <c r="H95" s="4" t="s">
        <v>36</v>
      </c>
      <c r="I95" s="5">
        <v>44774</v>
      </c>
      <c r="J95" s="6">
        <v>4466</v>
      </c>
      <c r="K95" s="6">
        <v>2235.2330000000002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4" t="s">
        <v>61</v>
      </c>
      <c r="R95" s="4">
        <v>0</v>
      </c>
      <c r="S95" s="4">
        <v>19</v>
      </c>
      <c r="T95" s="4">
        <v>0</v>
      </c>
      <c r="U95" s="4">
        <v>0</v>
      </c>
      <c r="V95" s="6">
        <f>IF(ISERROR(VLOOKUP($S$95,'TAR FIN'!$A$1:$O$115,15,0)),0,VLOOKUP($S$95,'TAR FIN'!$A$1:$O$115,15,0))</f>
        <v>56.22</v>
      </c>
      <c r="W95" s="6">
        <f>IF(ISERROR(VLOOKUP($T$95,'TAR FIN'!$A$1:$O$115,15,0)),0,VLOOKUP($T$95,'TAR FIN'!$A$1:$O$115,15,0))</f>
        <v>0</v>
      </c>
      <c r="X95" s="6">
        <f>IF(ISERROR(VLOOKUP($U$95,'TAR FIN'!$A$1:$O$115,15,0)),0,VLOOKUP($U$95,'TAR FIN'!$A$1:$O$115,15,0))</f>
        <v>0</v>
      </c>
      <c r="Y95" s="6">
        <f ca="1">('TUSD BE'!$AM$19+'TUSD BF'!$AM$19+'TUSD CVA'!$AM$19)*1</f>
        <v>56.308577648144677</v>
      </c>
      <c r="Z95" s="6">
        <f ca="1">('TUSD BE'!$AM$21+'TUSD BF'!$AM$21+'TUSD CVA'!$AM$21)*1</f>
        <v>113.43121292628391</v>
      </c>
      <c r="AA95" s="6"/>
      <c r="AB95" s="6">
        <f t="shared" si="6"/>
        <v>125413.72073999999</v>
      </c>
      <c r="AC95" s="6">
        <f t="shared" si="7"/>
        <v>0</v>
      </c>
      <c r="AD95" s="6">
        <f t="shared" ca="1" si="8"/>
        <v>125611.31683441874</v>
      </c>
      <c r="AE95" s="6">
        <f t="shared" ca="1" si="9"/>
        <v>0</v>
      </c>
      <c r="AF95" s="4" t="s">
        <v>936</v>
      </c>
    </row>
    <row r="96" spans="1:32" ht="11.25" customHeight="1" x14ac:dyDescent="0.25">
      <c r="A96" s="4" t="s">
        <v>21</v>
      </c>
      <c r="B96" s="4" t="s">
        <v>41</v>
      </c>
      <c r="C96" s="4" t="s">
        <v>42</v>
      </c>
      <c r="D96" s="4" t="s">
        <v>40</v>
      </c>
      <c r="E96" s="4" t="s">
        <v>25</v>
      </c>
      <c r="F96" s="4" t="s">
        <v>60</v>
      </c>
      <c r="G96" s="4" t="s">
        <v>25</v>
      </c>
      <c r="H96" s="4" t="s">
        <v>36</v>
      </c>
      <c r="I96" s="5">
        <v>44805</v>
      </c>
      <c r="J96" s="6">
        <v>4524</v>
      </c>
      <c r="K96" s="6">
        <v>2263.3571999999999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4" t="s">
        <v>61</v>
      </c>
      <c r="R96" s="4">
        <v>0</v>
      </c>
      <c r="S96" s="4">
        <v>19</v>
      </c>
      <c r="T96" s="4">
        <v>0</v>
      </c>
      <c r="U96" s="4">
        <v>0</v>
      </c>
      <c r="V96" s="6">
        <f>IF(ISERROR(VLOOKUP($S$96,'TAR FIN'!$A$1:$O$115,15,0)),0,VLOOKUP($S$96,'TAR FIN'!$A$1:$O$115,15,0))</f>
        <v>56.22</v>
      </c>
      <c r="W96" s="6">
        <f>IF(ISERROR(VLOOKUP($T$96,'TAR FIN'!$A$1:$O$115,15,0)),0,VLOOKUP($T$96,'TAR FIN'!$A$1:$O$115,15,0))</f>
        <v>0</v>
      </c>
      <c r="X96" s="6">
        <f>IF(ISERROR(VLOOKUP($U$96,'TAR FIN'!$A$1:$O$115,15,0)),0,VLOOKUP($U$96,'TAR FIN'!$A$1:$O$115,15,0))</f>
        <v>0</v>
      </c>
      <c r="Y96" s="6">
        <f ca="1">('TUSD BE'!$AM$19+'TUSD BF'!$AM$19+'TUSD CVA'!$AM$19)*1</f>
        <v>56.308577648144677</v>
      </c>
      <c r="Z96" s="6">
        <f ca="1">('TUSD BE'!$AM$21+'TUSD BF'!$AM$21+'TUSD CVA'!$AM$21)*1</f>
        <v>113.43121292628391</v>
      </c>
      <c r="AA96" s="6"/>
      <c r="AB96" s="6">
        <f t="shared" si="6"/>
        <v>127093.338216</v>
      </c>
      <c r="AC96" s="6">
        <f t="shared" si="7"/>
        <v>0</v>
      </c>
      <c r="AD96" s="6">
        <f t="shared" ca="1" si="8"/>
        <v>127293.5806385192</v>
      </c>
      <c r="AE96" s="6">
        <f t="shared" ca="1" si="9"/>
        <v>0</v>
      </c>
      <c r="AF96" s="4" t="s">
        <v>936</v>
      </c>
    </row>
    <row r="97" spans="1:32" ht="11.25" customHeight="1" x14ac:dyDescent="0.25">
      <c r="A97" s="4" t="s">
        <v>21</v>
      </c>
      <c r="B97" s="4" t="s">
        <v>41</v>
      </c>
      <c r="C97" s="4" t="s">
        <v>42</v>
      </c>
      <c r="D97" s="4" t="s">
        <v>40</v>
      </c>
      <c r="E97" s="4" t="s">
        <v>25</v>
      </c>
      <c r="F97" s="4" t="s">
        <v>60</v>
      </c>
      <c r="G97" s="4" t="s">
        <v>25</v>
      </c>
      <c r="H97" s="4" t="s">
        <v>36</v>
      </c>
      <c r="I97" s="5">
        <v>44835</v>
      </c>
      <c r="J97" s="6">
        <v>4597</v>
      </c>
      <c r="K97" s="6">
        <v>2311.8312999999998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4" t="s">
        <v>61</v>
      </c>
      <c r="R97" s="4">
        <v>0</v>
      </c>
      <c r="S97" s="4">
        <v>19</v>
      </c>
      <c r="T97" s="4">
        <v>0</v>
      </c>
      <c r="U97" s="4">
        <v>0</v>
      </c>
      <c r="V97" s="6">
        <f>IF(ISERROR(VLOOKUP($S$97,'TAR FIN'!$A$1:$O$115,15,0)),0,VLOOKUP($S$97,'TAR FIN'!$A$1:$O$115,15,0))</f>
        <v>56.22</v>
      </c>
      <c r="W97" s="6">
        <f>IF(ISERROR(VLOOKUP($T$97,'TAR FIN'!$A$1:$O$115,15,0)),0,VLOOKUP($T$97,'TAR FIN'!$A$1:$O$115,15,0))</f>
        <v>0</v>
      </c>
      <c r="X97" s="6">
        <f>IF(ISERROR(VLOOKUP($U$97,'TAR FIN'!$A$1:$O$115,15,0)),0,VLOOKUP($U$97,'TAR FIN'!$A$1:$O$115,15,0))</f>
        <v>0</v>
      </c>
      <c r="Y97" s="6">
        <f ca="1">('TUSD BE'!$AM$19+'TUSD BF'!$AM$19+'TUSD CVA'!$AM$19)*1</f>
        <v>56.308577648144677</v>
      </c>
      <c r="Z97" s="6">
        <f ca="1">('TUSD BE'!$AM$21+'TUSD BF'!$AM$21+'TUSD CVA'!$AM$21)*1</f>
        <v>113.43121292628391</v>
      </c>
      <c r="AA97" s="6"/>
      <c r="AB97" s="6">
        <f t="shared" si="6"/>
        <v>128472.18431400001</v>
      </c>
      <c r="AC97" s="6">
        <f t="shared" si="7"/>
        <v>0</v>
      </c>
      <c r="AD97" s="6">
        <f t="shared" ca="1" si="8"/>
        <v>128674.59918305984</v>
      </c>
      <c r="AE97" s="6">
        <f t="shared" ca="1" si="9"/>
        <v>0</v>
      </c>
      <c r="AF97" s="4" t="s">
        <v>936</v>
      </c>
    </row>
    <row r="98" spans="1:32" ht="11.25" customHeight="1" x14ac:dyDescent="0.25">
      <c r="A98" s="4" t="s">
        <v>59</v>
      </c>
      <c r="B98" s="4" t="s">
        <v>41</v>
      </c>
      <c r="C98" s="4" t="s">
        <v>42</v>
      </c>
      <c r="D98" s="4" t="s">
        <v>40</v>
      </c>
      <c r="E98" s="4" t="s">
        <v>25</v>
      </c>
      <c r="F98" s="4" t="s">
        <v>60</v>
      </c>
      <c r="G98" s="4" t="s">
        <v>25</v>
      </c>
      <c r="H98" s="4" t="s">
        <v>36</v>
      </c>
      <c r="I98" s="5">
        <v>44866</v>
      </c>
      <c r="J98" s="6">
        <v>4597</v>
      </c>
      <c r="K98" s="6">
        <v>2311.8312999999998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4" t="s">
        <v>61</v>
      </c>
      <c r="R98" s="4">
        <v>0</v>
      </c>
      <c r="S98" s="4">
        <v>19</v>
      </c>
      <c r="T98" s="4">
        <v>0</v>
      </c>
      <c r="U98" s="4">
        <v>0</v>
      </c>
      <c r="V98" s="6">
        <f>IF(ISERROR(VLOOKUP($S$98,'TAR FIN'!$A$1:$O$115,15,0)),0,VLOOKUP($S$98,'TAR FIN'!$A$1:$O$115,15,0))</f>
        <v>56.22</v>
      </c>
      <c r="W98" s="6">
        <f>IF(ISERROR(VLOOKUP($T$98,'TAR FIN'!$A$1:$O$115,15,0)),0,VLOOKUP($T$98,'TAR FIN'!$A$1:$O$115,15,0))</f>
        <v>0</v>
      </c>
      <c r="X98" s="6">
        <f>IF(ISERROR(VLOOKUP($U$98,'TAR FIN'!$A$1:$O$115,15,0)),0,VLOOKUP($U$98,'TAR FIN'!$A$1:$O$115,15,0))</f>
        <v>0</v>
      </c>
      <c r="Y98" s="6">
        <f ca="1">('TUSD BE'!$AM$19+'TUSD BF'!$AM$19+'TUSD CVA'!$AM$19)*1</f>
        <v>56.308577648144677</v>
      </c>
      <c r="Z98" s="6">
        <f ca="1">('TUSD BE'!$AM$21+'TUSD BF'!$AM$21+'TUSD CVA'!$AM$21)*1</f>
        <v>113.43121292628391</v>
      </c>
      <c r="AA98" s="6"/>
      <c r="AB98" s="6">
        <f t="shared" si="6"/>
        <v>128472.18431400001</v>
      </c>
      <c r="AC98" s="6">
        <f t="shared" si="7"/>
        <v>0</v>
      </c>
      <c r="AD98" s="6">
        <f t="shared" ca="1" si="8"/>
        <v>128674.59918305984</v>
      </c>
      <c r="AE98" s="6">
        <f t="shared" ca="1" si="9"/>
        <v>0</v>
      </c>
      <c r="AF98" s="4" t="s">
        <v>936</v>
      </c>
    </row>
    <row r="99" spans="1:32" ht="11.25" customHeight="1" x14ac:dyDescent="0.25">
      <c r="A99" s="4" t="s">
        <v>21</v>
      </c>
      <c r="B99" s="4" t="s">
        <v>41</v>
      </c>
      <c r="C99" s="4" t="s">
        <v>42</v>
      </c>
      <c r="D99" s="4" t="s">
        <v>47</v>
      </c>
      <c r="E99" s="4" t="s">
        <v>25</v>
      </c>
      <c r="F99" s="4" t="s">
        <v>25</v>
      </c>
      <c r="G99" s="4" t="s">
        <v>25</v>
      </c>
      <c r="H99" s="4" t="s">
        <v>37</v>
      </c>
      <c r="I99" s="5">
        <v>44531</v>
      </c>
      <c r="J99" s="6">
        <v>37</v>
      </c>
      <c r="K99" s="42">
        <v>37</v>
      </c>
      <c r="L99" s="6">
        <v>2.7469999999999999</v>
      </c>
      <c r="M99" s="42">
        <v>2.7469999999999999</v>
      </c>
      <c r="N99" s="6">
        <v>2.7469999999999999</v>
      </c>
      <c r="O99" s="42">
        <v>2.7469999999999999</v>
      </c>
      <c r="P99" s="6">
        <v>0</v>
      </c>
      <c r="Q99" s="4" t="s">
        <v>26</v>
      </c>
      <c r="R99" s="4">
        <v>0</v>
      </c>
      <c r="S99" s="4">
        <v>20</v>
      </c>
      <c r="T99" s="4">
        <v>21</v>
      </c>
      <c r="U99" s="4">
        <v>75</v>
      </c>
      <c r="V99" s="42">
        <f>IF(ISERROR(VLOOKUP($S$99,'TAR FIN'!$A$1:$O$115,15,0)),0,VLOOKUP($S$99,'TAR FIN'!$A$1:$O$115,15,0))*(1-0.04)</f>
        <v>19.007999999999999</v>
      </c>
      <c r="W99" s="42">
        <f>IF(ISERROR(VLOOKUP($T$99,'TAR FIN'!$A$1:$O$115,15,0)),0,VLOOKUP($T$99,'TAR FIN'!$A$1:$O$115,15,0))*(1-0.04)</f>
        <v>80.937600000000003</v>
      </c>
      <c r="X99" s="42">
        <f>IF(ISERROR(VLOOKUP($U$99,'TAR FIN'!$A$1:$O$115,15,0)),0,VLOOKUP($U$99,'TAR FIN'!$A$1:$O$115,15,0))*(1-0.04)</f>
        <v>161.33760000000001</v>
      </c>
      <c r="Y99" s="42">
        <f ca="1">('TUSD BE'!$AM$20+'TUSD BF'!$AM$20+'TUSD CVA'!$AM$20)*1*(1-0.02)</f>
        <v>20.202910043621255</v>
      </c>
      <c r="Z99" s="42">
        <f ca="1">('TUSD BE'!$AM$21+'TUSD BF'!$AM$21+'TUSD CVA'!$AM$21)*1*(1-0.02)</f>
        <v>111.16258866775823</v>
      </c>
      <c r="AA99" s="42">
        <f>('TE BE'!$AB$12+'TE BF'!$AB$12+'TE CVA'!$AB$12)*1*(1-0.02)</f>
        <v>214.31171930230647</v>
      </c>
      <c r="AB99" s="42">
        <f>(SUBSIDIO!$J$99*SUBSIDIO!$V$99)*(0.04)/(1-0.04)</f>
        <v>29.303999999999998</v>
      </c>
      <c r="AC99" s="42">
        <f>((SUBSIDIO!$L$99*SUBSIDIO!$W$99)+(SUBSIDIO!$N$99*SUBSIDIO!$X$99))*(0.04)/(1-0.04)</f>
        <v>27.730415600000004</v>
      </c>
      <c r="AD99" s="42">
        <f ca="1">(SUBSIDIO!$J$99*SUBSIDIO!$Y$99)*(0.02)/(1-0.02)</f>
        <v>15.25525860436707</v>
      </c>
      <c r="AE99" s="42">
        <f ca="1">((SUBSIDIO!$L$99*SUBSIDIO!$Z$99)+(SUBSIDIO!$N$99*SUBSIDIO!$AA$99))*(0.02)/(1-0.02)</f>
        <v>18.24648824477077</v>
      </c>
      <c r="AF99" s="4" t="s">
        <v>933</v>
      </c>
    </row>
    <row r="100" spans="1:32" ht="11.25" customHeight="1" x14ac:dyDescent="0.25">
      <c r="A100" s="4" t="s">
        <v>21</v>
      </c>
      <c r="B100" s="4" t="s">
        <v>41</v>
      </c>
      <c r="C100" s="4" t="s">
        <v>42</v>
      </c>
      <c r="D100" s="4" t="s">
        <v>47</v>
      </c>
      <c r="E100" s="4" t="s">
        <v>25</v>
      </c>
      <c r="F100" s="4" t="s">
        <v>25</v>
      </c>
      <c r="G100" s="4" t="s">
        <v>25</v>
      </c>
      <c r="H100" s="4" t="s">
        <v>37</v>
      </c>
      <c r="I100" s="5">
        <v>44562</v>
      </c>
      <c r="J100" s="6">
        <v>38</v>
      </c>
      <c r="K100" s="42">
        <v>38</v>
      </c>
      <c r="L100" s="6">
        <v>2.8290000000000002</v>
      </c>
      <c r="M100" s="42">
        <v>2.8290000000000002</v>
      </c>
      <c r="N100" s="6">
        <v>2.8290000000000002</v>
      </c>
      <c r="O100" s="42">
        <v>2.8290000000000002</v>
      </c>
      <c r="P100" s="6">
        <v>0</v>
      </c>
      <c r="Q100" s="4" t="s">
        <v>26</v>
      </c>
      <c r="R100" s="4">
        <v>0</v>
      </c>
      <c r="S100" s="4">
        <v>20</v>
      </c>
      <c r="T100" s="4">
        <v>21</v>
      </c>
      <c r="U100" s="4">
        <v>75</v>
      </c>
      <c r="V100" s="42">
        <f>IF(ISERROR(VLOOKUP($S$100,'TAR FIN'!$A$1:$O$115,15,0)),0,VLOOKUP($S$100,'TAR FIN'!$A$1:$O$115,15,0))*(1-0.04)</f>
        <v>19.007999999999999</v>
      </c>
      <c r="W100" s="42">
        <f>IF(ISERROR(VLOOKUP($T$100,'TAR FIN'!$A$1:$O$115,15,0)),0,VLOOKUP($T$100,'TAR FIN'!$A$1:$O$115,15,0))*(1-0.04)</f>
        <v>80.937600000000003</v>
      </c>
      <c r="X100" s="42">
        <f>IF(ISERROR(VLOOKUP($U$100,'TAR FIN'!$A$1:$O$115,15,0)),0,VLOOKUP($U$100,'TAR FIN'!$A$1:$O$115,15,0))*(1-0.04)</f>
        <v>161.33760000000001</v>
      </c>
      <c r="Y100" s="42">
        <f ca="1">('TUSD BE'!$AM$20+'TUSD BF'!$AM$20+'TUSD CVA'!$AM$20)*1*(1-0.02)</f>
        <v>20.202910043621255</v>
      </c>
      <c r="Z100" s="42">
        <f ca="1">('TUSD BE'!$AM$21+'TUSD BF'!$AM$21+'TUSD CVA'!$AM$21)*1*(1-0.02)</f>
        <v>111.16258866775823</v>
      </c>
      <c r="AA100" s="42">
        <f>('TE BE'!$AB$12+'TE BF'!$AB$12+'TE CVA'!$AB$12)*1*(1-0.02)</f>
        <v>214.31171930230647</v>
      </c>
      <c r="AB100" s="42">
        <f>(SUBSIDIO!$J$100*SUBSIDIO!$V$100)*(0.04)/(1-0.04)</f>
        <v>30.096</v>
      </c>
      <c r="AC100" s="42">
        <f>((SUBSIDIO!$L$100*SUBSIDIO!$W$100)+(SUBSIDIO!$N$100*SUBSIDIO!$X$100))*(0.04)/(1-0.04)</f>
        <v>28.558189200000008</v>
      </c>
      <c r="AD100" s="42">
        <f ca="1">(SUBSIDIO!$J$100*SUBSIDIO!$Y$100)*(0.02)/(1-0.02)</f>
        <v>15.667562890971586</v>
      </c>
      <c r="AE100" s="42">
        <f ca="1">((SUBSIDIO!$L$100*SUBSIDIO!$Z$100)+(SUBSIDIO!$N$100*SUBSIDIO!$AA$100))*(0.02)/(1-0.02)</f>
        <v>18.79115953565945</v>
      </c>
      <c r="AF100" s="4" t="s">
        <v>933</v>
      </c>
    </row>
    <row r="101" spans="1:32" ht="11.25" customHeight="1" x14ac:dyDescent="0.25">
      <c r="A101" s="4" t="s">
        <v>21</v>
      </c>
      <c r="B101" s="4" t="s">
        <v>41</v>
      </c>
      <c r="C101" s="4" t="s">
        <v>42</v>
      </c>
      <c r="D101" s="4" t="s">
        <v>47</v>
      </c>
      <c r="E101" s="4" t="s">
        <v>25</v>
      </c>
      <c r="F101" s="4" t="s">
        <v>25</v>
      </c>
      <c r="G101" s="4" t="s">
        <v>25</v>
      </c>
      <c r="H101" s="4" t="s">
        <v>37</v>
      </c>
      <c r="I101" s="5">
        <v>44593</v>
      </c>
      <c r="J101" s="6">
        <v>43</v>
      </c>
      <c r="K101" s="42">
        <v>43</v>
      </c>
      <c r="L101" s="6">
        <v>2.4849999999999999</v>
      </c>
      <c r="M101" s="42">
        <v>2.4849999999999999</v>
      </c>
      <c r="N101" s="6">
        <v>2.4849999999999999</v>
      </c>
      <c r="O101" s="42">
        <v>2.4849999999999999</v>
      </c>
      <c r="P101" s="6">
        <v>0</v>
      </c>
      <c r="Q101" s="4" t="s">
        <v>26</v>
      </c>
      <c r="R101" s="4">
        <v>0</v>
      </c>
      <c r="S101" s="4">
        <v>20</v>
      </c>
      <c r="T101" s="4">
        <v>21</v>
      </c>
      <c r="U101" s="4">
        <v>75</v>
      </c>
      <c r="V101" s="42">
        <f>IF(ISERROR(VLOOKUP($S$101,'TAR FIN'!$A$1:$O$115,15,0)),0,VLOOKUP($S$101,'TAR FIN'!$A$1:$O$115,15,0))*(1-0.04)</f>
        <v>19.007999999999999</v>
      </c>
      <c r="W101" s="42">
        <f>IF(ISERROR(VLOOKUP($T$101,'TAR FIN'!$A$1:$O$115,15,0)),0,VLOOKUP($T$101,'TAR FIN'!$A$1:$O$115,15,0))*(1-0.04)</f>
        <v>80.937600000000003</v>
      </c>
      <c r="X101" s="42">
        <f>IF(ISERROR(VLOOKUP($U$101,'TAR FIN'!$A$1:$O$115,15,0)),0,VLOOKUP($U$101,'TAR FIN'!$A$1:$O$115,15,0))*(1-0.04)</f>
        <v>161.33760000000001</v>
      </c>
      <c r="Y101" s="42">
        <f ca="1">('TUSD BE'!$AM$20+'TUSD BF'!$AM$20+'TUSD CVA'!$AM$20)*1*(1-0.02)</f>
        <v>20.202910043621255</v>
      </c>
      <c r="Z101" s="42">
        <f ca="1">('TUSD BE'!$AM$21+'TUSD BF'!$AM$21+'TUSD CVA'!$AM$21)*1*(1-0.02)</f>
        <v>111.16258866775823</v>
      </c>
      <c r="AA101" s="42">
        <f>('TE BE'!$AB$12+'TE BF'!$AB$12+'TE CVA'!$AB$12)*1*(1-0.02)</f>
        <v>214.31171930230647</v>
      </c>
      <c r="AB101" s="42">
        <f>(SUBSIDIO!$J$101*SUBSIDIO!$V$101)*(0.04)/(1-0.04)</f>
        <v>34.055999999999997</v>
      </c>
      <c r="AC101" s="42">
        <f>((SUBSIDIO!$L$101*SUBSIDIO!$W$101)+(SUBSIDIO!$N$101*SUBSIDIO!$X$101))*(0.04)/(1-0.04)</f>
        <v>25.085577999999998</v>
      </c>
      <c r="AD101" s="42">
        <f ca="1">(SUBSIDIO!$J$101*SUBSIDIO!$Y$101)*(0.02)/(1-0.02)</f>
        <v>17.729084323994162</v>
      </c>
      <c r="AE101" s="42">
        <f ca="1">((SUBSIDIO!$L$101*SUBSIDIO!$Z$101)+(SUBSIDIO!$N$101*SUBSIDIO!$AA$101))*(0.02)/(1-0.02)</f>
        <v>16.506197047053284</v>
      </c>
      <c r="AF101" s="4" t="s">
        <v>933</v>
      </c>
    </row>
    <row r="102" spans="1:32" ht="11.25" customHeight="1" x14ac:dyDescent="0.25">
      <c r="A102" s="4" t="s">
        <v>21</v>
      </c>
      <c r="B102" s="4" t="s">
        <v>41</v>
      </c>
      <c r="C102" s="4" t="s">
        <v>42</v>
      </c>
      <c r="D102" s="4" t="s">
        <v>47</v>
      </c>
      <c r="E102" s="4" t="s">
        <v>25</v>
      </c>
      <c r="F102" s="4" t="s">
        <v>25</v>
      </c>
      <c r="G102" s="4" t="s">
        <v>25</v>
      </c>
      <c r="H102" s="4" t="s">
        <v>37</v>
      </c>
      <c r="I102" s="5">
        <v>44621</v>
      </c>
      <c r="J102" s="6">
        <v>46</v>
      </c>
      <c r="K102" s="42">
        <v>46</v>
      </c>
      <c r="L102" s="6">
        <v>2.7090000000000001</v>
      </c>
      <c r="M102" s="42">
        <v>2.7090000000000001</v>
      </c>
      <c r="N102" s="6">
        <v>2.7090000000000001</v>
      </c>
      <c r="O102" s="42">
        <v>2.7090000000000001</v>
      </c>
      <c r="P102" s="6">
        <v>0</v>
      </c>
      <c r="Q102" s="4" t="s">
        <v>26</v>
      </c>
      <c r="R102" s="4">
        <v>0</v>
      </c>
      <c r="S102" s="4">
        <v>20</v>
      </c>
      <c r="T102" s="4">
        <v>21</v>
      </c>
      <c r="U102" s="4">
        <v>75</v>
      </c>
      <c r="V102" s="42">
        <f>IF(ISERROR(VLOOKUP($S$102,'TAR FIN'!$A$1:$O$115,15,0)),0,VLOOKUP($S$102,'TAR FIN'!$A$1:$O$115,15,0))*(1-0.04)</f>
        <v>19.007999999999999</v>
      </c>
      <c r="W102" s="42">
        <f>IF(ISERROR(VLOOKUP($T$102,'TAR FIN'!$A$1:$O$115,15,0)),0,VLOOKUP($T$102,'TAR FIN'!$A$1:$O$115,15,0))*(1-0.04)</f>
        <v>80.937600000000003</v>
      </c>
      <c r="X102" s="42">
        <f>IF(ISERROR(VLOOKUP($U$102,'TAR FIN'!$A$1:$O$115,15,0)),0,VLOOKUP($U$102,'TAR FIN'!$A$1:$O$115,15,0))*(1-0.04)</f>
        <v>161.33760000000001</v>
      </c>
      <c r="Y102" s="42">
        <f ca="1">('TUSD BE'!$AM$20+'TUSD BF'!$AM$20+'TUSD CVA'!$AM$20)*1*(1-0.02)</f>
        <v>20.202910043621255</v>
      </c>
      <c r="Z102" s="42">
        <f ca="1">('TUSD BE'!$AM$21+'TUSD BF'!$AM$21+'TUSD CVA'!$AM$21)*1*(1-0.02)</f>
        <v>111.16258866775823</v>
      </c>
      <c r="AA102" s="42">
        <f>('TE BE'!$AB$12+'TE BF'!$AB$12+'TE CVA'!$AB$12)*1*(1-0.02)</f>
        <v>214.31171930230647</v>
      </c>
      <c r="AB102" s="42">
        <f>(SUBSIDIO!$J$102*SUBSIDIO!$V$102)*(0.04)/(1-0.04)</f>
        <v>36.432000000000002</v>
      </c>
      <c r="AC102" s="42">
        <f>((SUBSIDIO!$L$102*SUBSIDIO!$W$102)+(SUBSIDIO!$N$102*SUBSIDIO!$X$102))*(0.04)/(1-0.04)</f>
        <v>27.346813200000007</v>
      </c>
      <c r="AD102" s="42">
        <f ca="1">(SUBSIDIO!$J$102*SUBSIDIO!$Y$102)*(0.02)/(1-0.02)</f>
        <v>18.965997183807712</v>
      </c>
      <c r="AE102" s="42">
        <f ca="1">((SUBSIDIO!$L$102*SUBSIDIO!$Z$102)+(SUBSIDIO!$N$102*SUBSIDIO!$AA$102))*(0.02)/(1-0.02)</f>
        <v>17.994079597773577</v>
      </c>
      <c r="AF102" s="4" t="s">
        <v>933</v>
      </c>
    </row>
    <row r="103" spans="1:32" ht="11.25" customHeight="1" x14ac:dyDescent="0.25">
      <c r="A103" s="4" t="s">
        <v>21</v>
      </c>
      <c r="B103" s="4" t="s">
        <v>41</v>
      </c>
      <c r="C103" s="4" t="s">
        <v>42</v>
      </c>
      <c r="D103" s="4" t="s">
        <v>47</v>
      </c>
      <c r="E103" s="4" t="s">
        <v>25</v>
      </c>
      <c r="F103" s="4" t="s">
        <v>25</v>
      </c>
      <c r="G103" s="4" t="s">
        <v>25</v>
      </c>
      <c r="H103" s="4" t="s">
        <v>37</v>
      </c>
      <c r="I103" s="5">
        <v>44652</v>
      </c>
      <c r="J103" s="6">
        <v>39</v>
      </c>
      <c r="K103" s="42">
        <v>39</v>
      </c>
      <c r="L103" s="6">
        <v>3.3929999999999998</v>
      </c>
      <c r="M103" s="42">
        <v>3.3929999999999998</v>
      </c>
      <c r="N103" s="6">
        <v>3.3929999999999998</v>
      </c>
      <c r="O103" s="42">
        <v>3.3929999999999998</v>
      </c>
      <c r="P103" s="6">
        <v>0</v>
      </c>
      <c r="Q103" s="4" t="s">
        <v>26</v>
      </c>
      <c r="R103" s="4">
        <v>0</v>
      </c>
      <c r="S103" s="4">
        <v>20</v>
      </c>
      <c r="T103" s="4">
        <v>21</v>
      </c>
      <c r="U103" s="4">
        <v>75</v>
      </c>
      <c r="V103" s="42">
        <f>IF(ISERROR(VLOOKUP($S$103,'TAR FIN'!$A$1:$O$115,15,0)),0,VLOOKUP($S$103,'TAR FIN'!$A$1:$O$115,15,0))*(1-0.04)</f>
        <v>19.007999999999999</v>
      </c>
      <c r="W103" s="42">
        <f>IF(ISERROR(VLOOKUP($T$103,'TAR FIN'!$A$1:$O$115,15,0)),0,VLOOKUP($T$103,'TAR FIN'!$A$1:$O$115,15,0))*(1-0.04)</f>
        <v>80.937600000000003</v>
      </c>
      <c r="X103" s="42">
        <f>IF(ISERROR(VLOOKUP($U$103,'TAR FIN'!$A$1:$O$115,15,0)),0,VLOOKUP($U$103,'TAR FIN'!$A$1:$O$115,15,0))*(1-0.04)</f>
        <v>161.33760000000001</v>
      </c>
      <c r="Y103" s="42">
        <f ca="1">('TUSD BE'!$AM$20+'TUSD BF'!$AM$20+'TUSD CVA'!$AM$20)*1*(1-0.02)</f>
        <v>20.202910043621255</v>
      </c>
      <c r="Z103" s="42">
        <f ca="1">('TUSD BE'!$AM$21+'TUSD BF'!$AM$21+'TUSD CVA'!$AM$21)*1*(1-0.02)</f>
        <v>111.16258866775823</v>
      </c>
      <c r="AA103" s="42">
        <f>('TE BE'!$AB$12+'TE BF'!$AB$12+'TE CVA'!$AB$12)*1*(1-0.02)</f>
        <v>214.31171930230647</v>
      </c>
      <c r="AB103" s="42">
        <f>(SUBSIDIO!$J$103*SUBSIDIO!$V$103)*(0.04)/(1-0.04)</f>
        <v>30.888000000000002</v>
      </c>
      <c r="AC103" s="42">
        <f>((SUBSIDIO!$L$103*SUBSIDIO!$W$103)+(SUBSIDIO!$N$103*SUBSIDIO!$X$103))*(0.04)/(1-0.04)</f>
        <v>34.251656400000002</v>
      </c>
      <c r="AD103" s="42">
        <f ca="1">(SUBSIDIO!$J$103*SUBSIDIO!$Y$103)*(0.02)/(1-0.02)</f>
        <v>16.079867177576102</v>
      </c>
      <c r="AE103" s="42">
        <f ca="1">((SUBSIDIO!$L$103*SUBSIDIO!$Z$103)+(SUBSIDIO!$N$103*SUBSIDIO!$AA$103))*(0.02)/(1-0.02)</f>
        <v>22.537435243723049</v>
      </c>
      <c r="AF103" s="4" t="s">
        <v>933</v>
      </c>
    </row>
    <row r="104" spans="1:32" ht="11.25" customHeight="1" x14ac:dyDescent="0.25">
      <c r="A104" s="4" t="s">
        <v>21</v>
      </c>
      <c r="B104" s="4" t="s">
        <v>41</v>
      </c>
      <c r="C104" s="4" t="s">
        <v>42</v>
      </c>
      <c r="D104" s="4" t="s">
        <v>47</v>
      </c>
      <c r="E104" s="4" t="s">
        <v>25</v>
      </c>
      <c r="F104" s="4" t="s">
        <v>25</v>
      </c>
      <c r="G104" s="4" t="s">
        <v>25</v>
      </c>
      <c r="H104" s="4" t="s">
        <v>37</v>
      </c>
      <c r="I104" s="5">
        <v>44682</v>
      </c>
      <c r="J104" s="6">
        <v>40</v>
      </c>
      <c r="K104" s="42">
        <v>40</v>
      </c>
      <c r="L104" s="6">
        <v>5.5970000000000004</v>
      </c>
      <c r="M104" s="42">
        <v>5.5970000000000004</v>
      </c>
      <c r="N104" s="6">
        <v>5.5970000000000004</v>
      </c>
      <c r="O104" s="42">
        <v>5.5970000000000004</v>
      </c>
      <c r="P104" s="6">
        <v>0</v>
      </c>
      <c r="Q104" s="4" t="s">
        <v>26</v>
      </c>
      <c r="R104" s="4">
        <v>0</v>
      </c>
      <c r="S104" s="4">
        <v>20</v>
      </c>
      <c r="T104" s="4">
        <v>21</v>
      </c>
      <c r="U104" s="4">
        <v>75</v>
      </c>
      <c r="V104" s="42">
        <f>IF(ISERROR(VLOOKUP($S$104,'TAR FIN'!$A$1:$O$115,15,0)),0,VLOOKUP($S$104,'TAR FIN'!$A$1:$O$115,15,0))*(1-0.04)</f>
        <v>19.007999999999999</v>
      </c>
      <c r="W104" s="42">
        <f>IF(ISERROR(VLOOKUP($T$104,'TAR FIN'!$A$1:$O$115,15,0)),0,VLOOKUP($T$104,'TAR FIN'!$A$1:$O$115,15,0))*(1-0.04)</f>
        <v>80.937600000000003</v>
      </c>
      <c r="X104" s="42">
        <f>IF(ISERROR(VLOOKUP($U$104,'TAR FIN'!$A$1:$O$115,15,0)),0,VLOOKUP($U$104,'TAR FIN'!$A$1:$O$115,15,0))*(1-0.04)</f>
        <v>161.33760000000001</v>
      </c>
      <c r="Y104" s="42">
        <f ca="1">('TUSD BE'!$AM$20+'TUSD BF'!$AM$20+'TUSD CVA'!$AM$20)*1*(1-0.02)</f>
        <v>20.202910043621255</v>
      </c>
      <c r="Z104" s="42">
        <f ca="1">('TUSD BE'!$AM$21+'TUSD BF'!$AM$21+'TUSD CVA'!$AM$21)*1*(1-0.02)</f>
        <v>111.16258866775823</v>
      </c>
      <c r="AA104" s="42">
        <f>('TE BE'!$AB$12+'TE BF'!$AB$12+'TE CVA'!$AB$12)*1*(1-0.02)</f>
        <v>214.31171930230647</v>
      </c>
      <c r="AB104" s="42">
        <f>(SUBSIDIO!$J$104*SUBSIDIO!$V$104)*(0.04)/(1-0.04)</f>
        <v>31.68</v>
      </c>
      <c r="AC104" s="42">
        <f>((SUBSIDIO!$L$104*SUBSIDIO!$W$104)+(SUBSIDIO!$N$104*SUBSIDIO!$X$104))*(0.04)/(1-0.04)</f>
        <v>56.500595600000011</v>
      </c>
      <c r="AD104" s="42">
        <f ca="1">(SUBSIDIO!$J$104*SUBSIDIO!$Y$104)*(0.02)/(1-0.02)</f>
        <v>16.492171464180618</v>
      </c>
      <c r="AE104" s="42">
        <f ca="1">((SUBSIDIO!$L$104*SUBSIDIO!$Z$104)+(SUBSIDIO!$N$104*SUBSIDIO!$AA$104))*(0.02)/(1-0.02)</f>
        <v>37.177136769560256</v>
      </c>
      <c r="AF104" s="4" t="s">
        <v>933</v>
      </c>
    </row>
    <row r="105" spans="1:32" ht="11.25" customHeight="1" x14ac:dyDescent="0.25">
      <c r="A105" s="4" t="s">
        <v>21</v>
      </c>
      <c r="B105" s="4" t="s">
        <v>41</v>
      </c>
      <c r="C105" s="4" t="s">
        <v>42</v>
      </c>
      <c r="D105" s="4" t="s">
        <v>47</v>
      </c>
      <c r="E105" s="4" t="s">
        <v>25</v>
      </c>
      <c r="F105" s="4" t="s">
        <v>25</v>
      </c>
      <c r="G105" s="4" t="s">
        <v>25</v>
      </c>
      <c r="H105" s="4" t="s">
        <v>37</v>
      </c>
      <c r="I105" s="5">
        <v>44713</v>
      </c>
      <c r="J105" s="6">
        <v>37</v>
      </c>
      <c r="K105" s="42">
        <v>37</v>
      </c>
      <c r="L105" s="6">
        <v>5.2489999999999997</v>
      </c>
      <c r="M105" s="42">
        <v>5.2489999999999997</v>
      </c>
      <c r="N105" s="6">
        <v>5.2489999999999997</v>
      </c>
      <c r="O105" s="42">
        <v>5.2489999999999997</v>
      </c>
      <c r="P105" s="6">
        <v>0</v>
      </c>
      <c r="Q105" s="4" t="s">
        <v>26</v>
      </c>
      <c r="R105" s="4">
        <v>0</v>
      </c>
      <c r="S105" s="4">
        <v>20</v>
      </c>
      <c r="T105" s="4">
        <v>21</v>
      </c>
      <c r="U105" s="4">
        <v>75</v>
      </c>
      <c r="V105" s="42">
        <f>IF(ISERROR(VLOOKUP($S$105,'TAR FIN'!$A$1:$O$115,15,0)),0,VLOOKUP($S$105,'TAR FIN'!$A$1:$O$115,15,0))*(1-0.04)</f>
        <v>19.007999999999999</v>
      </c>
      <c r="W105" s="42">
        <f>IF(ISERROR(VLOOKUP($T$105,'TAR FIN'!$A$1:$O$115,15,0)),0,VLOOKUP($T$105,'TAR FIN'!$A$1:$O$115,15,0))*(1-0.04)</f>
        <v>80.937600000000003</v>
      </c>
      <c r="X105" s="42">
        <f>IF(ISERROR(VLOOKUP($U$105,'TAR FIN'!$A$1:$O$115,15,0)),0,VLOOKUP($U$105,'TAR FIN'!$A$1:$O$115,15,0))*(1-0.04)</f>
        <v>161.33760000000001</v>
      </c>
      <c r="Y105" s="42">
        <f ca="1">('TUSD BE'!$AM$20+'TUSD BF'!$AM$20+'TUSD CVA'!$AM$20)*1*(1-0.02)</f>
        <v>20.202910043621255</v>
      </c>
      <c r="Z105" s="42">
        <f ca="1">('TUSD BE'!$AM$21+'TUSD BF'!$AM$21+'TUSD CVA'!$AM$21)*1*(1-0.02)</f>
        <v>111.16258866775823</v>
      </c>
      <c r="AA105" s="42">
        <f>('TE BE'!$AB$12+'TE BF'!$AB$12+'TE CVA'!$AB$12)*1*(1-0.02)</f>
        <v>214.31171930230647</v>
      </c>
      <c r="AB105" s="42">
        <f>(SUBSIDIO!$J$105*SUBSIDIO!$V$105)*(0.04)/(1-0.04)</f>
        <v>29.303999999999998</v>
      </c>
      <c r="AC105" s="42">
        <f>((SUBSIDIO!$L$105*SUBSIDIO!$W$105)+(SUBSIDIO!$N$105*SUBSIDIO!$X$105))*(0.04)/(1-0.04)</f>
        <v>52.987605200000004</v>
      </c>
      <c r="AD105" s="42">
        <f ca="1">(SUBSIDIO!$J$105*SUBSIDIO!$Y$105)*(0.02)/(1-0.02)</f>
        <v>15.25525860436707</v>
      </c>
      <c r="AE105" s="42">
        <f ca="1">((SUBSIDIO!$L$105*SUBSIDIO!$Z$105)+(SUBSIDIO!$N$105*SUBSIDIO!$AA$105))*(0.02)/(1-0.02)</f>
        <v>34.865604949691217</v>
      </c>
      <c r="AF105" s="4" t="s">
        <v>933</v>
      </c>
    </row>
    <row r="106" spans="1:32" ht="11.25" customHeight="1" x14ac:dyDescent="0.25">
      <c r="A106" s="4" t="s">
        <v>21</v>
      </c>
      <c r="B106" s="4" t="s">
        <v>41</v>
      </c>
      <c r="C106" s="4" t="s">
        <v>42</v>
      </c>
      <c r="D106" s="4" t="s">
        <v>47</v>
      </c>
      <c r="E106" s="4" t="s">
        <v>25</v>
      </c>
      <c r="F106" s="4" t="s">
        <v>25</v>
      </c>
      <c r="G106" s="4" t="s">
        <v>25</v>
      </c>
      <c r="H106" s="4" t="s">
        <v>37</v>
      </c>
      <c r="I106" s="5">
        <v>44743</v>
      </c>
      <c r="J106" s="6">
        <v>36</v>
      </c>
      <c r="K106" s="42">
        <v>36</v>
      </c>
      <c r="L106" s="6">
        <v>5.2160000000000002</v>
      </c>
      <c r="M106" s="42">
        <v>5.2160000000000002</v>
      </c>
      <c r="N106" s="6">
        <v>5.2160000000000002</v>
      </c>
      <c r="O106" s="42">
        <v>5.2160000000000002</v>
      </c>
      <c r="P106" s="6">
        <v>0</v>
      </c>
      <c r="Q106" s="4" t="s">
        <v>26</v>
      </c>
      <c r="R106" s="4">
        <v>0</v>
      </c>
      <c r="S106" s="4">
        <v>20</v>
      </c>
      <c r="T106" s="4">
        <v>21</v>
      </c>
      <c r="U106" s="4">
        <v>75</v>
      </c>
      <c r="V106" s="42">
        <f>IF(ISERROR(VLOOKUP($S$106,'TAR FIN'!$A$1:$O$115,15,0)),0,VLOOKUP($S$106,'TAR FIN'!$A$1:$O$115,15,0))*(1-0.04)</f>
        <v>19.007999999999999</v>
      </c>
      <c r="W106" s="42">
        <f>IF(ISERROR(VLOOKUP($T$106,'TAR FIN'!$A$1:$O$115,15,0)),0,VLOOKUP($T$106,'TAR FIN'!$A$1:$O$115,15,0))*(1-0.04)</f>
        <v>80.937600000000003</v>
      </c>
      <c r="X106" s="42">
        <f>IF(ISERROR(VLOOKUP($U$106,'TAR FIN'!$A$1:$O$115,15,0)),0,VLOOKUP($U$106,'TAR FIN'!$A$1:$O$115,15,0))*(1-0.04)</f>
        <v>161.33760000000001</v>
      </c>
      <c r="Y106" s="42">
        <f ca="1">('TUSD BE'!$AM$20+'TUSD BF'!$AM$20+'TUSD CVA'!$AM$20)*1*(1-0.02)</f>
        <v>20.202910043621255</v>
      </c>
      <c r="Z106" s="42">
        <f ca="1">('TUSD BE'!$AM$21+'TUSD BF'!$AM$21+'TUSD CVA'!$AM$21)*1*(1-0.02)</f>
        <v>111.16258866775823</v>
      </c>
      <c r="AA106" s="42">
        <f>('TE BE'!$AB$12+'TE BF'!$AB$12+'TE CVA'!$AB$12)*1*(1-0.02)</f>
        <v>214.31171930230647</v>
      </c>
      <c r="AB106" s="42">
        <f>(SUBSIDIO!$J$106*SUBSIDIO!$V$106)*(0.04)/(1-0.04)</f>
        <v>28.512</v>
      </c>
      <c r="AC106" s="42">
        <f>((SUBSIDIO!$L$106*SUBSIDIO!$W$106)+(SUBSIDIO!$N$106*SUBSIDIO!$X$106))*(0.04)/(1-0.04)</f>
        <v>52.654476800000005</v>
      </c>
      <c r="AD106" s="42">
        <f ca="1">(SUBSIDIO!$J$106*SUBSIDIO!$Y$106)*(0.02)/(1-0.02)</f>
        <v>14.842954317762555</v>
      </c>
      <c r="AE106" s="42">
        <f ca="1">((SUBSIDIO!$L$106*SUBSIDIO!$Z$106)+(SUBSIDIO!$N$106*SUBSIDIO!$AA$106))*(0.02)/(1-0.02)</f>
        <v>34.646407966772607</v>
      </c>
      <c r="AF106" s="4" t="s">
        <v>933</v>
      </c>
    </row>
    <row r="107" spans="1:32" ht="11.25" customHeight="1" x14ac:dyDescent="0.25">
      <c r="A107" s="4" t="s">
        <v>21</v>
      </c>
      <c r="B107" s="4" t="s">
        <v>41</v>
      </c>
      <c r="C107" s="4" t="s">
        <v>42</v>
      </c>
      <c r="D107" s="4" t="s">
        <v>47</v>
      </c>
      <c r="E107" s="4" t="s">
        <v>25</v>
      </c>
      <c r="F107" s="4" t="s">
        <v>25</v>
      </c>
      <c r="G107" s="4" t="s">
        <v>25</v>
      </c>
      <c r="H107" s="4" t="s">
        <v>37</v>
      </c>
      <c r="I107" s="5">
        <v>44774</v>
      </c>
      <c r="J107" s="6">
        <v>40</v>
      </c>
      <c r="K107" s="42">
        <v>40</v>
      </c>
      <c r="L107" s="6">
        <v>6.2619999999999996</v>
      </c>
      <c r="M107" s="42">
        <v>6.2619999999999996</v>
      </c>
      <c r="N107" s="6">
        <v>6.2619999999999996</v>
      </c>
      <c r="O107" s="42">
        <v>6.2619999999999996</v>
      </c>
      <c r="P107" s="6">
        <v>0</v>
      </c>
      <c r="Q107" s="4" t="s">
        <v>26</v>
      </c>
      <c r="R107" s="4">
        <v>0</v>
      </c>
      <c r="S107" s="4">
        <v>20</v>
      </c>
      <c r="T107" s="4">
        <v>21</v>
      </c>
      <c r="U107" s="4">
        <v>75</v>
      </c>
      <c r="V107" s="42">
        <f>IF(ISERROR(VLOOKUP($S$107,'TAR FIN'!$A$1:$O$115,15,0)),0,VLOOKUP($S$107,'TAR FIN'!$A$1:$O$115,15,0))*(1-0.04)</f>
        <v>19.007999999999999</v>
      </c>
      <c r="W107" s="42">
        <f>IF(ISERROR(VLOOKUP($T$107,'TAR FIN'!$A$1:$O$115,15,0)),0,VLOOKUP($T$107,'TAR FIN'!$A$1:$O$115,15,0))*(1-0.04)</f>
        <v>80.937600000000003</v>
      </c>
      <c r="X107" s="42">
        <f>IF(ISERROR(VLOOKUP($U$107,'TAR FIN'!$A$1:$O$115,15,0)),0,VLOOKUP($U$107,'TAR FIN'!$A$1:$O$115,15,0))*(1-0.04)</f>
        <v>161.33760000000001</v>
      </c>
      <c r="Y107" s="42">
        <f ca="1">('TUSD BE'!$AM$20+'TUSD BF'!$AM$20+'TUSD CVA'!$AM$20)*1*(1-0.02)</f>
        <v>20.202910043621255</v>
      </c>
      <c r="Z107" s="42">
        <f ca="1">('TUSD BE'!$AM$21+'TUSD BF'!$AM$21+'TUSD CVA'!$AM$21)*1*(1-0.02)</f>
        <v>111.16258866775823</v>
      </c>
      <c r="AA107" s="42">
        <f>('TE BE'!$AB$12+'TE BF'!$AB$12+'TE CVA'!$AB$12)*1*(1-0.02)</f>
        <v>214.31171930230647</v>
      </c>
      <c r="AB107" s="42">
        <f>(SUBSIDIO!$J$107*SUBSIDIO!$V$107)*(0.04)/(1-0.04)</f>
        <v>31.68</v>
      </c>
      <c r="AC107" s="42">
        <f>((SUBSIDIO!$L$107*SUBSIDIO!$W$107)+(SUBSIDIO!$N$107*SUBSIDIO!$X$107))*(0.04)/(1-0.04)</f>
        <v>63.213637599999998</v>
      </c>
      <c r="AD107" s="42">
        <f ca="1">(SUBSIDIO!$J$107*SUBSIDIO!$Y$107)*(0.02)/(1-0.02)</f>
        <v>16.492171464180618</v>
      </c>
      <c r="AE107" s="42">
        <f ca="1">((SUBSIDIO!$L$107*SUBSIDIO!$Z$107)+(SUBSIDIO!$N$107*SUBSIDIO!$AA$107))*(0.02)/(1-0.02)</f>
        <v>41.594288092011126</v>
      </c>
      <c r="AF107" s="4" t="s">
        <v>933</v>
      </c>
    </row>
    <row r="108" spans="1:32" ht="11.25" customHeight="1" x14ac:dyDescent="0.25">
      <c r="A108" s="4" t="s">
        <v>21</v>
      </c>
      <c r="B108" s="4" t="s">
        <v>41</v>
      </c>
      <c r="C108" s="4" t="s">
        <v>42</v>
      </c>
      <c r="D108" s="4" t="s">
        <v>47</v>
      </c>
      <c r="E108" s="4" t="s">
        <v>25</v>
      </c>
      <c r="F108" s="4" t="s">
        <v>25</v>
      </c>
      <c r="G108" s="4" t="s">
        <v>25</v>
      </c>
      <c r="H108" s="4" t="s">
        <v>37</v>
      </c>
      <c r="I108" s="5">
        <v>44805</v>
      </c>
      <c r="J108" s="6">
        <v>38</v>
      </c>
      <c r="K108" s="42">
        <v>38</v>
      </c>
      <c r="L108" s="6">
        <v>6.8289999999999997</v>
      </c>
      <c r="M108" s="42">
        <v>6.8289999999999997</v>
      </c>
      <c r="N108" s="6">
        <v>6.8289999999999997</v>
      </c>
      <c r="O108" s="42">
        <v>6.8289999999999997</v>
      </c>
      <c r="P108" s="6">
        <v>0</v>
      </c>
      <c r="Q108" s="4" t="s">
        <v>26</v>
      </c>
      <c r="R108" s="4">
        <v>0</v>
      </c>
      <c r="S108" s="4">
        <v>20</v>
      </c>
      <c r="T108" s="4">
        <v>21</v>
      </c>
      <c r="U108" s="4">
        <v>75</v>
      </c>
      <c r="V108" s="42">
        <f>IF(ISERROR(VLOOKUP($S$108,'TAR FIN'!$A$1:$O$115,15,0)),0,VLOOKUP($S$108,'TAR FIN'!$A$1:$O$115,15,0))*(1-0.04)</f>
        <v>19.007999999999999</v>
      </c>
      <c r="W108" s="42">
        <f>IF(ISERROR(VLOOKUP($T$108,'TAR FIN'!$A$1:$O$115,15,0)),0,VLOOKUP($T$108,'TAR FIN'!$A$1:$O$115,15,0))*(1-0.04)</f>
        <v>80.937600000000003</v>
      </c>
      <c r="X108" s="42">
        <f>IF(ISERROR(VLOOKUP($U$108,'TAR FIN'!$A$1:$O$115,15,0)),0,VLOOKUP($U$108,'TAR FIN'!$A$1:$O$115,15,0))*(1-0.04)</f>
        <v>161.33760000000001</v>
      </c>
      <c r="Y108" s="42">
        <f ca="1">('TUSD BE'!$AM$20+'TUSD BF'!$AM$20+'TUSD CVA'!$AM$20)*1*(1-0.02)</f>
        <v>20.202910043621255</v>
      </c>
      <c r="Z108" s="42">
        <f ca="1">('TUSD BE'!$AM$21+'TUSD BF'!$AM$21+'TUSD CVA'!$AM$21)*1*(1-0.02)</f>
        <v>111.16258866775823</v>
      </c>
      <c r="AA108" s="42">
        <f>('TE BE'!$AB$12+'TE BF'!$AB$12+'TE CVA'!$AB$12)*1*(1-0.02)</f>
        <v>214.31171930230647</v>
      </c>
      <c r="AB108" s="42">
        <f>(SUBSIDIO!$J$108*SUBSIDIO!$V$108)*(0.04)/(1-0.04)</f>
        <v>30.096</v>
      </c>
      <c r="AC108" s="42">
        <f>((SUBSIDIO!$L$108*SUBSIDIO!$W$108)+(SUBSIDIO!$N$108*SUBSIDIO!$X$108))*(0.04)/(1-0.04)</f>
        <v>68.937389199999998</v>
      </c>
      <c r="AD108" s="42">
        <f ca="1">(SUBSIDIO!$J$108*SUBSIDIO!$Y$108)*(0.02)/(1-0.02)</f>
        <v>15.667562890971586</v>
      </c>
      <c r="AE108" s="42">
        <f ca="1">((SUBSIDIO!$L$108*SUBSIDIO!$Z$108)+(SUBSIDIO!$N$108*SUBSIDIO!$AA$108))*(0.02)/(1-0.02)</f>
        <v>45.360490798521873</v>
      </c>
      <c r="AF108" s="4" t="s">
        <v>933</v>
      </c>
    </row>
    <row r="109" spans="1:32" ht="11.25" customHeight="1" x14ac:dyDescent="0.25">
      <c r="A109" s="4" t="s">
        <v>21</v>
      </c>
      <c r="B109" s="4" t="s">
        <v>41</v>
      </c>
      <c r="C109" s="4" t="s">
        <v>42</v>
      </c>
      <c r="D109" s="4" t="s">
        <v>47</v>
      </c>
      <c r="E109" s="4" t="s">
        <v>25</v>
      </c>
      <c r="F109" s="4" t="s">
        <v>25</v>
      </c>
      <c r="G109" s="4" t="s">
        <v>25</v>
      </c>
      <c r="H109" s="4" t="s">
        <v>37</v>
      </c>
      <c r="I109" s="5">
        <v>44835</v>
      </c>
      <c r="J109" s="6">
        <v>41</v>
      </c>
      <c r="K109" s="42">
        <v>41</v>
      </c>
      <c r="L109" s="6">
        <v>6.1150000000000002</v>
      </c>
      <c r="M109" s="42">
        <v>6.1150000000000002</v>
      </c>
      <c r="N109" s="6">
        <v>6.1150000000000002</v>
      </c>
      <c r="O109" s="42">
        <v>6.1150000000000002</v>
      </c>
      <c r="P109" s="6">
        <v>0</v>
      </c>
      <c r="Q109" s="4" t="s">
        <v>26</v>
      </c>
      <c r="R109" s="4">
        <v>0</v>
      </c>
      <c r="S109" s="4">
        <v>20</v>
      </c>
      <c r="T109" s="4">
        <v>21</v>
      </c>
      <c r="U109" s="4">
        <v>75</v>
      </c>
      <c r="V109" s="42">
        <f>IF(ISERROR(VLOOKUP($S$109,'TAR FIN'!$A$1:$O$115,15,0)),0,VLOOKUP($S$109,'TAR FIN'!$A$1:$O$115,15,0))*(1-0.04)</f>
        <v>19.007999999999999</v>
      </c>
      <c r="W109" s="42">
        <f>IF(ISERROR(VLOOKUP($T$109,'TAR FIN'!$A$1:$O$115,15,0)),0,VLOOKUP($T$109,'TAR FIN'!$A$1:$O$115,15,0))*(1-0.04)</f>
        <v>80.937600000000003</v>
      </c>
      <c r="X109" s="42">
        <f>IF(ISERROR(VLOOKUP($U$109,'TAR FIN'!$A$1:$O$115,15,0)),0,VLOOKUP($U$109,'TAR FIN'!$A$1:$O$115,15,0))*(1-0.04)</f>
        <v>161.33760000000001</v>
      </c>
      <c r="Y109" s="42">
        <f ca="1">('TUSD BE'!$AM$20+'TUSD BF'!$AM$20+'TUSD CVA'!$AM$20)*1*(1-0.02)</f>
        <v>20.202910043621255</v>
      </c>
      <c r="Z109" s="42">
        <f ca="1">('TUSD BE'!$AM$21+'TUSD BF'!$AM$21+'TUSD CVA'!$AM$21)*1*(1-0.02)</f>
        <v>111.16258866775823</v>
      </c>
      <c r="AA109" s="42">
        <f>('TE BE'!$AB$12+'TE BF'!$AB$12+'TE CVA'!$AB$12)*1*(1-0.02)</f>
        <v>214.31171930230647</v>
      </c>
      <c r="AB109" s="42">
        <f>(SUBSIDIO!$J$109*SUBSIDIO!$V$109)*(0.04)/(1-0.04)</f>
        <v>32.472000000000001</v>
      </c>
      <c r="AC109" s="42">
        <f>((SUBSIDIO!$L$109*SUBSIDIO!$W$109)+(SUBSIDIO!$N$109*SUBSIDIO!$X$109))*(0.04)/(1-0.04)</f>
        <v>61.729702000000017</v>
      </c>
      <c r="AD109" s="42">
        <f ca="1">(SUBSIDIO!$J$109*SUBSIDIO!$Y$109)*(0.02)/(1-0.02)</f>
        <v>16.904475750785135</v>
      </c>
      <c r="AE109" s="42">
        <f ca="1">((SUBSIDIO!$L$109*SUBSIDIO!$Z$109)+(SUBSIDIO!$N$109*SUBSIDIO!$AA$109))*(0.02)/(1-0.02)</f>
        <v>40.617865168100934</v>
      </c>
      <c r="AF109" s="4" t="s">
        <v>933</v>
      </c>
    </row>
    <row r="110" spans="1:32" ht="11.25" customHeight="1" x14ac:dyDescent="0.25">
      <c r="A110" s="4" t="s">
        <v>59</v>
      </c>
      <c r="B110" s="4" t="s">
        <v>41</v>
      </c>
      <c r="C110" s="4" t="s">
        <v>42</v>
      </c>
      <c r="D110" s="4" t="s">
        <v>47</v>
      </c>
      <c r="E110" s="4" t="s">
        <v>25</v>
      </c>
      <c r="F110" s="4" t="s">
        <v>25</v>
      </c>
      <c r="G110" s="4" t="s">
        <v>25</v>
      </c>
      <c r="H110" s="4" t="s">
        <v>37</v>
      </c>
      <c r="I110" s="5">
        <v>44866</v>
      </c>
      <c r="J110" s="6">
        <v>41</v>
      </c>
      <c r="K110" s="42">
        <v>41</v>
      </c>
      <c r="L110" s="6">
        <v>6.1150000000000002</v>
      </c>
      <c r="M110" s="42">
        <v>6.1150000000000002</v>
      </c>
      <c r="N110" s="6">
        <v>6.1150000000000002</v>
      </c>
      <c r="O110" s="42">
        <v>6.1150000000000002</v>
      </c>
      <c r="P110" s="6">
        <v>0</v>
      </c>
      <c r="Q110" s="4" t="s">
        <v>26</v>
      </c>
      <c r="R110" s="4">
        <v>0</v>
      </c>
      <c r="S110" s="4">
        <v>20</v>
      </c>
      <c r="T110" s="4">
        <v>21</v>
      </c>
      <c r="U110" s="4">
        <v>75</v>
      </c>
      <c r="V110" s="42">
        <f>IF(ISERROR(VLOOKUP($S$110,'TAR FIN'!$A$1:$O$115,15,0)),0,VLOOKUP($S$110,'TAR FIN'!$A$1:$O$115,15,0))*(1-0.04)</f>
        <v>19.007999999999999</v>
      </c>
      <c r="W110" s="42">
        <f>IF(ISERROR(VLOOKUP($T$110,'TAR FIN'!$A$1:$O$115,15,0)),0,VLOOKUP($T$110,'TAR FIN'!$A$1:$O$115,15,0))*(1-0.04)</f>
        <v>80.937600000000003</v>
      </c>
      <c r="X110" s="42">
        <f>IF(ISERROR(VLOOKUP($U$110,'TAR FIN'!$A$1:$O$115,15,0)),0,VLOOKUP($U$110,'TAR FIN'!$A$1:$O$115,15,0))*(1-0.04)</f>
        <v>161.33760000000001</v>
      </c>
      <c r="Y110" s="42">
        <f ca="1">('TUSD BE'!$AM$20+'TUSD BF'!$AM$20+'TUSD CVA'!$AM$20)*1*(1-0.02)</f>
        <v>20.202910043621255</v>
      </c>
      <c r="Z110" s="42">
        <f ca="1">('TUSD BE'!$AM$21+'TUSD BF'!$AM$21+'TUSD CVA'!$AM$21)*1*(1-0.02)</f>
        <v>111.16258866775823</v>
      </c>
      <c r="AA110" s="42">
        <f>('TE BE'!$AB$12+'TE BF'!$AB$12+'TE CVA'!$AB$12)*1*(1-0.02)</f>
        <v>214.31171930230647</v>
      </c>
      <c r="AB110" s="42">
        <f>(SUBSIDIO!$J$110*SUBSIDIO!$V$110)*(0.04)/(1-0.04)</f>
        <v>32.472000000000001</v>
      </c>
      <c r="AC110" s="42">
        <f>((SUBSIDIO!$L$110*SUBSIDIO!$W$110)+(SUBSIDIO!$N$110*SUBSIDIO!$X$110))*(0.04)/(1-0.04)</f>
        <v>61.729702000000017</v>
      </c>
      <c r="AD110" s="42">
        <f ca="1">(SUBSIDIO!$J$110*SUBSIDIO!$Y$110)*(0.02)/(1-0.02)</f>
        <v>16.904475750785135</v>
      </c>
      <c r="AE110" s="42">
        <f ca="1">((SUBSIDIO!$L$110*SUBSIDIO!$Z$110)+(SUBSIDIO!$N$110*SUBSIDIO!$AA$110))*(0.02)/(1-0.02)</f>
        <v>40.617865168100934</v>
      </c>
      <c r="AF110" s="4" t="s">
        <v>933</v>
      </c>
    </row>
    <row r="111" spans="1:32" ht="11.25" customHeight="1" x14ac:dyDescent="0.25">
      <c r="A111" s="4" t="s">
        <v>21</v>
      </c>
      <c r="B111" s="4" t="s">
        <v>41</v>
      </c>
      <c r="C111" s="4" t="s">
        <v>42</v>
      </c>
      <c r="D111" s="4" t="s">
        <v>47</v>
      </c>
      <c r="E111" s="4" t="s">
        <v>25</v>
      </c>
      <c r="F111" s="4" t="s">
        <v>25</v>
      </c>
      <c r="G111" s="4" t="s">
        <v>25</v>
      </c>
      <c r="H111" s="4" t="s">
        <v>36</v>
      </c>
      <c r="I111" s="5">
        <v>44531</v>
      </c>
      <c r="J111" s="6">
        <v>7</v>
      </c>
      <c r="K111" s="42">
        <v>7</v>
      </c>
      <c r="L111" s="6">
        <v>0.246</v>
      </c>
      <c r="M111" s="42">
        <v>0.246</v>
      </c>
      <c r="N111" s="6">
        <v>0.246</v>
      </c>
      <c r="O111" s="42">
        <v>0.246</v>
      </c>
      <c r="P111" s="6">
        <v>0</v>
      </c>
      <c r="Q111" s="4" t="s">
        <v>26</v>
      </c>
      <c r="R111" s="4">
        <v>0</v>
      </c>
      <c r="S111" s="4">
        <v>19</v>
      </c>
      <c r="T111" s="4">
        <v>21</v>
      </c>
      <c r="U111" s="4">
        <v>74</v>
      </c>
      <c r="V111" s="42">
        <f>IF(ISERROR(VLOOKUP($S$111,'TAR FIN'!$A$1:$O$115,15,0)),0,VLOOKUP($S$111,'TAR FIN'!$A$1:$O$115,15,0))*(1-0.04)</f>
        <v>53.971199999999996</v>
      </c>
      <c r="W111" s="42">
        <f>IF(ISERROR(VLOOKUP($T$111,'TAR FIN'!$A$1:$O$115,15,0)),0,VLOOKUP($T$111,'TAR FIN'!$A$1:$O$115,15,0))*(1-0.04)</f>
        <v>80.937600000000003</v>
      </c>
      <c r="X111" s="42">
        <f>IF(ISERROR(VLOOKUP($U$111,'TAR FIN'!$A$1:$O$115,15,0)),0,VLOOKUP($U$111,'TAR FIN'!$A$1:$O$115,15,0))*(1-0.04)</f>
        <v>259.488</v>
      </c>
      <c r="Y111" s="42">
        <f ca="1">('TUSD BE'!$AM$19+'TUSD BF'!$AM$19+'TUSD CVA'!$AM$19)*1*(1-0.02)</f>
        <v>55.182406095181783</v>
      </c>
      <c r="Z111" s="42">
        <f ca="1">('TUSD BE'!$AM$21+'TUSD BF'!$AM$21+'TUSD CVA'!$AM$21)*1*(1-0.02)</f>
        <v>111.16258866775823</v>
      </c>
      <c r="AA111" s="42">
        <f>('TE BE'!$AB$11+'TE BF'!$AB$11+'TE CVA'!$AB$11)*1*(1-0.02)</f>
        <v>355.39110709588994</v>
      </c>
      <c r="AB111" s="42">
        <f>(SUBSIDIO!$J$111*SUBSIDIO!$V$111)*(0.04)/(1-0.04)</f>
        <v>15.741599999999998</v>
      </c>
      <c r="AC111" s="42">
        <f>((SUBSIDIO!$L$111*SUBSIDIO!$W$111)+(SUBSIDIO!$N$111*SUBSIDIO!$X$111))*(0.04)/(1-0.04)</f>
        <v>3.4893624000000001</v>
      </c>
      <c r="AD111" s="42">
        <f ca="1">(SUBSIDIO!$J$111*SUBSIDIO!$Y$111)*(0.02)/(1-0.02)</f>
        <v>7.8832008707402554</v>
      </c>
      <c r="AE111" s="42">
        <f ca="1">((SUBSIDIO!$L$111*SUBSIDIO!$Z$111)+(SUBSIDIO!$N$111*SUBSIDIO!$AA$111))*(0.02)/(1-0.02)</f>
        <v>2.3422899828134174</v>
      </c>
      <c r="AF111" s="4" t="s">
        <v>933</v>
      </c>
    </row>
    <row r="112" spans="1:32" ht="11.25" customHeight="1" x14ac:dyDescent="0.25">
      <c r="A112" s="4" t="s">
        <v>21</v>
      </c>
      <c r="B112" s="4" t="s">
        <v>41</v>
      </c>
      <c r="C112" s="4" t="s">
        <v>42</v>
      </c>
      <c r="D112" s="4" t="s">
        <v>47</v>
      </c>
      <c r="E112" s="4" t="s">
        <v>25</v>
      </c>
      <c r="F112" s="4" t="s">
        <v>25</v>
      </c>
      <c r="G112" s="4" t="s">
        <v>25</v>
      </c>
      <c r="H112" s="4" t="s">
        <v>36</v>
      </c>
      <c r="I112" s="5">
        <v>44562</v>
      </c>
      <c r="J112" s="6">
        <v>7</v>
      </c>
      <c r="K112" s="42">
        <v>7</v>
      </c>
      <c r="L112" s="6">
        <v>0.246</v>
      </c>
      <c r="M112" s="42">
        <v>0.246</v>
      </c>
      <c r="N112" s="6">
        <v>0.246</v>
      </c>
      <c r="O112" s="42">
        <v>0.246</v>
      </c>
      <c r="P112" s="6">
        <v>0</v>
      </c>
      <c r="Q112" s="4" t="s">
        <v>26</v>
      </c>
      <c r="R112" s="4">
        <v>0</v>
      </c>
      <c r="S112" s="4">
        <v>19</v>
      </c>
      <c r="T112" s="4">
        <v>21</v>
      </c>
      <c r="U112" s="4">
        <v>74</v>
      </c>
      <c r="V112" s="42">
        <f>IF(ISERROR(VLOOKUP($S$112,'TAR FIN'!$A$1:$O$115,15,0)),0,VLOOKUP($S$112,'TAR FIN'!$A$1:$O$115,15,0))*(1-0.04)</f>
        <v>53.971199999999996</v>
      </c>
      <c r="W112" s="42">
        <f>IF(ISERROR(VLOOKUP($T$112,'TAR FIN'!$A$1:$O$115,15,0)),0,VLOOKUP($T$112,'TAR FIN'!$A$1:$O$115,15,0))*(1-0.04)</f>
        <v>80.937600000000003</v>
      </c>
      <c r="X112" s="42">
        <f>IF(ISERROR(VLOOKUP($U$112,'TAR FIN'!$A$1:$O$115,15,0)),0,VLOOKUP($U$112,'TAR FIN'!$A$1:$O$115,15,0))*(1-0.04)</f>
        <v>259.488</v>
      </c>
      <c r="Y112" s="42">
        <f ca="1">('TUSD BE'!$AM$19+'TUSD BF'!$AM$19+'TUSD CVA'!$AM$19)*1*(1-0.02)</f>
        <v>55.182406095181783</v>
      </c>
      <c r="Z112" s="42">
        <f ca="1">('TUSD BE'!$AM$21+'TUSD BF'!$AM$21+'TUSD CVA'!$AM$21)*1*(1-0.02)</f>
        <v>111.16258866775823</v>
      </c>
      <c r="AA112" s="42">
        <f>('TE BE'!$AB$11+'TE BF'!$AB$11+'TE CVA'!$AB$11)*1*(1-0.02)</f>
        <v>355.39110709588994</v>
      </c>
      <c r="AB112" s="42">
        <f>(SUBSIDIO!$J$112*SUBSIDIO!$V$112)*(0.04)/(1-0.04)</f>
        <v>15.741599999999998</v>
      </c>
      <c r="AC112" s="42">
        <f>((SUBSIDIO!$L$112*SUBSIDIO!$W$112)+(SUBSIDIO!$N$112*SUBSIDIO!$X$112))*(0.04)/(1-0.04)</f>
        <v>3.4893624000000001</v>
      </c>
      <c r="AD112" s="42">
        <f ca="1">(SUBSIDIO!$J$112*SUBSIDIO!$Y$112)*(0.02)/(1-0.02)</f>
        <v>7.8832008707402554</v>
      </c>
      <c r="AE112" s="42">
        <f ca="1">((SUBSIDIO!$L$112*SUBSIDIO!$Z$112)+(SUBSIDIO!$N$112*SUBSIDIO!$AA$112))*(0.02)/(1-0.02)</f>
        <v>2.3422899828134174</v>
      </c>
      <c r="AF112" s="4" t="s">
        <v>933</v>
      </c>
    </row>
    <row r="113" spans="1:32" ht="11.25" customHeight="1" x14ac:dyDescent="0.25">
      <c r="A113" s="4" t="s">
        <v>21</v>
      </c>
      <c r="B113" s="4" t="s">
        <v>41</v>
      </c>
      <c r="C113" s="4" t="s">
        <v>42</v>
      </c>
      <c r="D113" s="4" t="s">
        <v>47</v>
      </c>
      <c r="E113" s="4" t="s">
        <v>25</v>
      </c>
      <c r="F113" s="4" t="s">
        <v>25</v>
      </c>
      <c r="G113" s="4" t="s">
        <v>25</v>
      </c>
      <c r="H113" s="4" t="s">
        <v>36</v>
      </c>
      <c r="I113" s="5">
        <v>44593</v>
      </c>
      <c r="J113" s="6">
        <v>7</v>
      </c>
      <c r="K113" s="42">
        <v>7</v>
      </c>
      <c r="L113" s="6">
        <v>0.23400000000000001</v>
      </c>
      <c r="M113" s="42">
        <v>0.23400000000000001</v>
      </c>
      <c r="N113" s="6">
        <v>0.23400000000000001</v>
      </c>
      <c r="O113" s="42">
        <v>0.23400000000000001</v>
      </c>
      <c r="P113" s="6">
        <v>0</v>
      </c>
      <c r="Q113" s="4" t="s">
        <v>26</v>
      </c>
      <c r="R113" s="4">
        <v>0</v>
      </c>
      <c r="S113" s="4">
        <v>19</v>
      </c>
      <c r="T113" s="4">
        <v>21</v>
      </c>
      <c r="U113" s="4">
        <v>74</v>
      </c>
      <c r="V113" s="42">
        <f>IF(ISERROR(VLOOKUP($S$113,'TAR FIN'!$A$1:$O$115,15,0)),0,VLOOKUP($S$113,'TAR FIN'!$A$1:$O$115,15,0))*(1-0.04)</f>
        <v>53.971199999999996</v>
      </c>
      <c r="W113" s="42">
        <f>IF(ISERROR(VLOOKUP($T$113,'TAR FIN'!$A$1:$O$115,15,0)),0,VLOOKUP($T$113,'TAR FIN'!$A$1:$O$115,15,0))*(1-0.04)</f>
        <v>80.937600000000003</v>
      </c>
      <c r="X113" s="42">
        <f>IF(ISERROR(VLOOKUP($U$113,'TAR FIN'!$A$1:$O$115,15,0)),0,VLOOKUP($U$113,'TAR FIN'!$A$1:$O$115,15,0))*(1-0.04)</f>
        <v>259.488</v>
      </c>
      <c r="Y113" s="42">
        <f ca="1">('TUSD BE'!$AM$19+'TUSD BF'!$AM$19+'TUSD CVA'!$AM$19)*1*(1-0.02)</f>
        <v>55.182406095181783</v>
      </c>
      <c r="Z113" s="42">
        <f ca="1">('TUSD BE'!$AM$21+'TUSD BF'!$AM$21+'TUSD CVA'!$AM$21)*1*(1-0.02)</f>
        <v>111.16258866775823</v>
      </c>
      <c r="AA113" s="42">
        <f>('TE BE'!$AB$11+'TE BF'!$AB$11+'TE CVA'!$AB$11)*1*(1-0.02)</f>
        <v>355.39110709588994</v>
      </c>
      <c r="AB113" s="42">
        <f>(SUBSIDIO!$J$113*SUBSIDIO!$V$113)*(0.04)/(1-0.04)</f>
        <v>15.741599999999998</v>
      </c>
      <c r="AC113" s="42">
        <f>((SUBSIDIO!$L$113*SUBSIDIO!$W$113)+(SUBSIDIO!$N$113*SUBSIDIO!$X$113))*(0.04)/(1-0.04)</f>
        <v>3.3191496000000007</v>
      </c>
      <c r="AD113" s="42">
        <f ca="1">(SUBSIDIO!$J$113*SUBSIDIO!$Y$113)*(0.02)/(1-0.02)</f>
        <v>7.8832008707402554</v>
      </c>
      <c r="AE113" s="42">
        <f ca="1">((SUBSIDIO!$L$113*SUBSIDIO!$Z$113)+(SUBSIDIO!$N$113*SUBSIDIO!$AA$113))*(0.02)/(1-0.02)</f>
        <v>2.2280319348713</v>
      </c>
      <c r="AF113" s="4" t="s">
        <v>933</v>
      </c>
    </row>
    <row r="114" spans="1:32" ht="11.25" customHeight="1" x14ac:dyDescent="0.25">
      <c r="A114" s="4" t="s">
        <v>21</v>
      </c>
      <c r="B114" s="4" t="s">
        <v>41</v>
      </c>
      <c r="C114" s="4" t="s">
        <v>42</v>
      </c>
      <c r="D114" s="4" t="s">
        <v>47</v>
      </c>
      <c r="E114" s="4" t="s">
        <v>25</v>
      </c>
      <c r="F114" s="4" t="s">
        <v>25</v>
      </c>
      <c r="G114" s="4" t="s">
        <v>25</v>
      </c>
      <c r="H114" s="4" t="s">
        <v>36</v>
      </c>
      <c r="I114" s="5">
        <v>44621</v>
      </c>
      <c r="J114" s="6">
        <v>8</v>
      </c>
      <c r="K114" s="42">
        <v>8</v>
      </c>
      <c r="L114" s="6">
        <v>0.26100000000000001</v>
      </c>
      <c r="M114" s="42">
        <v>0.26100000000000001</v>
      </c>
      <c r="N114" s="6">
        <v>0.26100000000000001</v>
      </c>
      <c r="O114" s="42">
        <v>0.26100000000000001</v>
      </c>
      <c r="P114" s="6">
        <v>0</v>
      </c>
      <c r="Q114" s="4" t="s">
        <v>26</v>
      </c>
      <c r="R114" s="4">
        <v>0</v>
      </c>
      <c r="S114" s="4">
        <v>19</v>
      </c>
      <c r="T114" s="4">
        <v>21</v>
      </c>
      <c r="U114" s="4">
        <v>74</v>
      </c>
      <c r="V114" s="42">
        <f>IF(ISERROR(VLOOKUP($S$114,'TAR FIN'!$A$1:$O$115,15,0)),0,VLOOKUP($S$114,'TAR FIN'!$A$1:$O$115,15,0))*(1-0.04)</f>
        <v>53.971199999999996</v>
      </c>
      <c r="W114" s="42">
        <f>IF(ISERROR(VLOOKUP($T$114,'TAR FIN'!$A$1:$O$115,15,0)),0,VLOOKUP($T$114,'TAR FIN'!$A$1:$O$115,15,0))*(1-0.04)</f>
        <v>80.937600000000003</v>
      </c>
      <c r="X114" s="42">
        <f>IF(ISERROR(VLOOKUP($U$114,'TAR FIN'!$A$1:$O$115,15,0)),0,VLOOKUP($U$114,'TAR FIN'!$A$1:$O$115,15,0))*(1-0.04)</f>
        <v>259.488</v>
      </c>
      <c r="Y114" s="42">
        <f ca="1">('TUSD BE'!$AM$19+'TUSD BF'!$AM$19+'TUSD CVA'!$AM$19)*1*(1-0.02)</f>
        <v>55.182406095181783</v>
      </c>
      <c r="Z114" s="42">
        <f ca="1">('TUSD BE'!$AM$21+'TUSD BF'!$AM$21+'TUSD CVA'!$AM$21)*1*(1-0.02)</f>
        <v>111.16258866775823</v>
      </c>
      <c r="AA114" s="42">
        <f>('TE BE'!$AB$11+'TE BF'!$AB$11+'TE CVA'!$AB$11)*1*(1-0.02)</f>
        <v>355.39110709588994</v>
      </c>
      <c r="AB114" s="42">
        <f>(SUBSIDIO!$J$114*SUBSIDIO!$V$114)*(0.04)/(1-0.04)</f>
        <v>17.990400000000001</v>
      </c>
      <c r="AC114" s="42">
        <f>((SUBSIDIO!$L$114*SUBSIDIO!$W$114)+(SUBSIDIO!$N$114*SUBSIDIO!$X$114))*(0.04)/(1-0.04)</f>
        <v>3.7021284000000008</v>
      </c>
      <c r="AD114" s="42">
        <f ca="1">(SUBSIDIO!$J$114*SUBSIDIO!$Y$114)*(0.02)/(1-0.02)</f>
        <v>9.0093724237031481</v>
      </c>
      <c r="AE114" s="42">
        <f ca="1">((SUBSIDIO!$L$114*SUBSIDIO!$Z$114)+(SUBSIDIO!$N$114*SUBSIDIO!$AA$114))*(0.02)/(1-0.02)</f>
        <v>2.485112542741065</v>
      </c>
      <c r="AF114" s="4" t="s">
        <v>933</v>
      </c>
    </row>
    <row r="115" spans="1:32" ht="11.25" customHeight="1" x14ac:dyDescent="0.25">
      <c r="A115" s="4" t="s">
        <v>21</v>
      </c>
      <c r="B115" s="4" t="s">
        <v>41</v>
      </c>
      <c r="C115" s="4" t="s">
        <v>42</v>
      </c>
      <c r="D115" s="4" t="s">
        <v>47</v>
      </c>
      <c r="E115" s="4" t="s">
        <v>25</v>
      </c>
      <c r="F115" s="4" t="s">
        <v>25</v>
      </c>
      <c r="G115" s="4" t="s">
        <v>25</v>
      </c>
      <c r="H115" s="4" t="s">
        <v>36</v>
      </c>
      <c r="I115" s="5">
        <v>44652</v>
      </c>
      <c r="J115" s="6">
        <v>8</v>
      </c>
      <c r="K115" s="42">
        <v>8</v>
      </c>
      <c r="L115" s="6">
        <v>0.28599999999999998</v>
      </c>
      <c r="M115" s="42">
        <v>0.28599999999999998</v>
      </c>
      <c r="N115" s="6">
        <v>0.28599999999999998</v>
      </c>
      <c r="O115" s="42">
        <v>0.28599999999999998</v>
      </c>
      <c r="P115" s="6">
        <v>0</v>
      </c>
      <c r="Q115" s="4" t="s">
        <v>26</v>
      </c>
      <c r="R115" s="4">
        <v>0</v>
      </c>
      <c r="S115" s="4">
        <v>19</v>
      </c>
      <c r="T115" s="4">
        <v>21</v>
      </c>
      <c r="U115" s="4">
        <v>74</v>
      </c>
      <c r="V115" s="42">
        <f>IF(ISERROR(VLOOKUP($S$115,'TAR FIN'!$A$1:$O$115,15,0)),0,VLOOKUP($S$115,'TAR FIN'!$A$1:$O$115,15,0))*(1-0.04)</f>
        <v>53.971199999999996</v>
      </c>
      <c r="W115" s="42">
        <f>IF(ISERROR(VLOOKUP($T$115,'TAR FIN'!$A$1:$O$115,15,0)),0,VLOOKUP($T$115,'TAR FIN'!$A$1:$O$115,15,0))*(1-0.04)</f>
        <v>80.937600000000003</v>
      </c>
      <c r="X115" s="42">
        <f>IF(ISERROR(VLOOKUP($U$115,'TAR FIN'!$A$1:$O$115,15,0)),0,VLOOKUP($U$115,'TAR FIN'!$A$1:$O$115,15,0))*(1-0.04)</f>
        <v>259.488</v>
      </c>
      <c r="Y115" s="42">
        <f ca="1">('TUSD BE'!$AM$19+'TUSD BF'!$AM$19+'TUSD CVA'!$AM$19)*1*(1-0.02)</f>
        <v>55.182406095181783</v>
      </c>
      <c r="Z115" s="42">
        <f ca="1">('TUSD BE'!$AM$21+'TUSD BF'!$AM$21+'TUSD CVA'!$AM$21)*1*(1-0.02)</f>
        <v>111.16258866775823</v>
      </c>
      <c r="AA115" s="42">
        <f>('TE BE'!$AB$11+'TE BF'!$AB$11+'TE CVA'!$AB$11)*1*(1-0.02)</f>
        <v>355.39110709588994</v>
      </c>
      <c r="AB115" s="42">
        <f>(SUBSIDIO!$J$115*SUBSIDIO!$V$115)*(0.04)/(1-0.04)</f>
        <v>17.990400000000001</v>
      </c>
      <c r="AC115" s="42">
        <f>((SUBSIDIO!$L$115*SUBSIDIO!$W$115)+(SUBSIDIO!$N$115*SUBSIDIO!$X$115))*(0.04)/(1-0.04)</f>
        <v>4.0567383999999995</v>
      </c>
      <c r="AD115" s="42">
        <f ca="1">(SUBSIDIO!$J$115*SUBSIDIO!$Y$115)*(0.02)/(1-0.02)</f>
        <v>9.0093724237031481</v>
      </c>
      <c r="AE115" s="42">
        <f ca="1">((SUBSIDIO!$L$115*SUBSIDIO!$Z$115)+(SUBSIDIO!$N$115*SUBSIDIO!$AA$115))*(0.02)/(1-0.02)</f>
        <v>2.7231501426204767</v>
      </c>
      <c r="AF115" s="4" t="s">
        <v>933</v>
      </c>
    </row>
    <row r="116" spans="1:32" ht="11.25" customHeight="1" x14ac:dyDescent="0.25">
      <c r="A116" s="4" t="s">
        <v>21</v>
      </c>
      <c r="B116" s="4" t="s">
        <v>41</v>
      </c>
      <c r="C116" s="4" t="s">
        <v>42</v>
      </c>
      <c r="D116" s="4" t="s">
        <v>47</v>
      </c>
      <c r="E116" s="4" t="s">
        <v>25</v>
      </c>
      <c r="F116" s="4" t="s">
        <v>25</v>
      </c>
      <c r="G116" s="4" t="s">
        <v>25</v>
      </c>
      <c r="H116" s="4" t="s">
        <v>36</v>
      </c>
      <c r="I116" s="5">
        <v>44682</v>
      </c>
      <c r="J116" s="6">
        <v>9</v>
      </c>
      <c r="K116" s="42">
        <v>9</v>
      </c>
      <c r="L116" s="6">
        <v>0.26700000000000002</v>
      </c>
      <c r="M116" s="42">
        <v>0.26700000000000002</v>
      </c>
      <c r="N116" s="6">
        <v>0.26700000000000002</v>
      </c>
      <c r="O116" s="42">
        <v>0.26700000000000002</v>
      </c>
      <c r="P116" s="6">
        <v>0</v>
      </c>
      <c r="Q116" s="4" t="s">
        <v>26</v>
      </c>
      <c r="R116" s="4">
        <v>0</v>
      </c>
      <c r="S116" s="4">
        <v>19</v>
      </c>
      <c r="T116" s="4">
        <v>21</v>
      </c>
      <c r="U116" s="4">
        <v>74</v>
      </c>
      <c r="V116" s="42">
        <f>IF(ISERROR(VLOOKUP($S$116,'TAR FIN'!$A$1:$O$115,15,0)),0,VLOOKUP($S$116,'TAR FIN'!$A$1:$O$115,15,0))*(1-0.04)</f>
        <v>53.971199999999996</v>
      </c>
      <c r="W116" s="42">
        <f>IF(ISERROR(VLOOKUP($T$116,'TAR FIN'!$A$1:$O$115,15,0)),0,VLOOKUP($T$116,'TAR FIN'!$A$1:$O$115,15,0))*(1-0.04)</f>
        <v>80.937600000000003</v>
      </c>
      <c r="X116" s="42">
        <f>IF(ISERROR(VLOOKUP($U$116,'TAR FIN'!$A$1:$O$115,15,0)),0,VLOOKUP($U$116,'TAR FIN'!$A$1:$O$115,15,0))*(1-0.04)</f>
        <v>259.488</v>
      </c>
      <c r="Y116" s="42">
        <f ca="1">('TUSD BE'!$AM$19+'TUSD BF'!$AM$19+'TUSD CVA'!$AM$19)*1*(1-0.02)</f>
        <v>55.182406095181783</v>
      </c>
      <c r="Z116" s="42">
        <f ca="1">('TUSD BE'!$AM$21+'TUSD BF'!$AM$21+'TUSD CVA'!$AM$21)*1*(1-0.02)</f>
        <v>111.16258866775823</v>
      </c>
      <c r="AA116" s="42">
        <f>('TE BE'!$AB$11+'TE BF'!$AB$11+'TE CVA'!$AB$11)*1*(1-0.02)</f>
        <v>355.39110709588994</v>
      </c>
      <c r="AB116" s="42">
        <f>(SUBSIDIO!$J$116*SUBSIDIO!$V$116)*(0.04)/(1-0.04)</f>
        <v>20.2392</v>
      </c>
      <c r="AC116" s="42">
        <f>((SUBSIDIO!$L$116*SUBSIDIO!$W$116)+(SUBSIDIO!$N$116*SUBSIDIO!$X$116))*(0.04)/(1-0.04)</f>
        <v>3.7872348000000007</v>
      </c>
      <c r="AD116" s="42">
        <f ca="1">(SUBSIDIO!$J$116*SUBSIDIO!$Y$116)*(0.02)/(1-0.02)</f>
        <v>10.135543976666041</v>
      </c>
      <c r="AE116" s="42">
        <f ca="1">((SUBSIDIO!$L$116*SUBSIDIO!$Z$116)+(SUBSIDIO!$N$116*SUBSIDIO!$AA$116))*(0.02)/(1-0.02)</f>
        <v>2.5422415667121236</v>
      </c>
      <c r="AF116" s="4" t="s">
        <v>933</v>
      </c>
    </row>
    <row r="117" spans="1:32" ht="11.25" customHeight="1" x14ac:dyDescent="0.25">
      <c r="A117" s="4" t="s">
        <v>21</v>
      </c>
      <c r="B117" s="4" t="s">
        <v>41</v>
      </c>
      <c r="C117" s="4" t="s">
        <v>42</v>
      </c>
      <c r="D117" s="4" t="s">
        <v>47</v>
      </c>
      <c r="E117" s="4" t="s">
        <v>25</v>
      </c>
      <c r="F117" s="4" t="s">
        <v>25</v>
      </c>
      <c r="G117" s="4" t="s">
        <v>25</v>
      </c>
      <c r="H117" s="4" t="s">
        <v>36</v>
      </c>
      <c r="I117" s="5">
        <v>44713</v>
      </c>
      <c r="J117" s="6">
        <v>8</v>
      </c>
      <c r="K117" s="42">
        <v>8</v>
      </c>
      <c r="L117" s="6">
        <v>0.23100000000000001</v>
      </c>
      <c r="M117" s="42">
        <v>0.23100000000000001</v>
      </c>
      <c r="N117" s="6">
        <v>0.23100000000000001</v>
      </c>
      <c r="O117" s="42">
        <v>0.23100000000000001</v>
      </c>
      <c r="P117" s="6">
        <v>0</v>
      </c>
      <c r="Q117" s="4" t="s">
        <v>26</v>
      </c>
      <c r="R117" s="4">
        <v>0</v>
      </c>
      <c r="S117" s="4">
        <v>19</v>
      </c>
      <c r="T117" s="4">
        <v>21</v>
      </c>
      <c r="U117" s="4">
        <v>74</v>
      </c>
      <c r="V117" s="42">
        <f>IF(ISERROR(VLOOKUP($S$117,'TAR FIN'!$A$1:$O$115,15,0)),0,VLOOKUP($S$117,'TAR FIN'!$A$1:$O$115,15,0))*(1-0.04)</f>
        <v>53.971199999999996</v>
      </c>
      <c r="W117" s="42">
        <f>IF(ISERROR(VLOOKUP($T$117,'TAR FIN'!$A$1:$O$115,15,0)),0,VLOOKUP($T$117,'TAR FIN'!$A$1:$O$115,15,0))*(1-0.04)</f>
        <v>80.937600000000003</v>
      </c>
      <c r="X117" s="42">
        <f>IF(ISERROR(VLOOKUP($U$117,'TAR FIN'!$A$1:$O$115,15,0)),0,VLOOKUP($U$117,'TAR FIN'!$A$1:$O$115,15,0))*(1-0.04)</f>
        <v>259.488</v>
      </c>
      <c r="Y117" s="42">
        <f ca="1">('TUSD BE'!$AM$19+'TUSD BF'!$AM$19+'TUSD CVA'!$AM$19)*1*(1-0.02)</f>
        <v>55.182406095181783</v>
      </c>
      <c r="Z117" s="42">
        <f ca="1">('TUSD BE'!$AM$21+'TUSD BF'!$AM$21+'TUSD CVA'!$AM$21)*1*(1-0.02)</f>
        <v>111.16258866775823</v>
      </c>
      <c r="AA117" s="42">
        <f>('TE BE'!$AB$11+'TE BF'!$AB$11+'TE CVA'!$AB$11)*1*(1-0.02)</f>
        <v>355.39110709588994</v>
      </c>
      <c r="AB117" s="42">
        <f>(SUBSIDIO!$J$117*SUBSIDIO!$V$117)*(0.04)/(1-0.04)</f>
        <v>17.990400000000001</v>
      </c>
      <c r="AC117" s="42">
        <f>((SUBSIDIO!$L$117*SUBSIDIO!$W$117)+(SUBSIDIO!$N$117*SUBSIDIO!$X$117))*(0.04)/(1-0.04)</f>
        <v>3.2765964000000003</v>
      </c>
      <c r="AD117" s="42">
        <f ca="1">(SUBSIDIO!$J$117*SUBSIDIO!$Y$117)*(0.02)/(1-0.02)</f>
        <v>9.0093724237031481</v>
      </c>
      <c r="AE117" s="42">
        <f ca="1">((SUBSIDIO!$L$117*SUBSIDIO!$Z$117)+(SUBSIDIO!$N$117*SUBSIDIO!$AA$117))*(0.02)/(1-0.02)</f>
        <v>2.1994674228857698</v>
      </c>
      <c r="AF117" s="4" t="s">
        <v>933</v>
      </c>
    </row>
    <row r="118" spans="1:32" ht="11.25" customHeight="1" x14ac:dyDescent="0.25">
      <c r="A118" s="4" t="s">
        <v>21</v>
      </c>
      <c r="B118" s="4" t="s">
        <v>41</v>
      </c>
      <c r="C118" s="4" t="s">
        <v>42</v>
      </c>
      <c r="D118" s="4" t="s">
        <v>47</v>
      </c>
      <c r="E118" s="4" t="s">
        <v>25</v>
      </c>
      <c r="F118" s="4" t="s">
        <v>25</v>
      </c>
      <c r="G118" s="4" t="s">
        <v>25</v>
      </c>
      <c r="H118" s="4" t="s">
        <v>36</v>
      </c>
      <c r="I118" s="5">
        <v>44743</v>
      </c>
      <c r="J118" s="6">
        <v>10</v>
      </c>
      <c r="K118" s="42">
        <v>10</v>
      </c>
      <c r="L118" s="6">
        <v>0.222</v>
      </c>
      <c r="M118" s="42">
        <v>0.222</v>
      </c>
      <c r="N118" s="6">
        <v>0.222</v>
      </c>
      <c r="O118" s="42">
        <v>0.222</v>
      </c>
      <c r="P118" s="6">
        <v>0</v>
      </c>
      <c r="Q118" s="4" t="s">
        <v>26</v>
      </c>
      <c r="R118" s="4">
        <v>0</v>
      </c>
      <c r="S118" s="4">
        <v>19</v>
      </c>
      <c r="T118" s="4">
        <v>21</v>
      </c>
      <c r="U118" s="4">
        <v>74</v>
      </c>
      <c r="V118" s="42">
        <f>IF(ISERROR(VLOOKUP($S$118,'TAR FIN'!$A$1:$O$115,15,0)),0,VLOOKUP($S$118,'TAR FIN'!$A$1:$O$115,15,0))*(1-0.04)</f>
        <v>53.971199999999996</v>
      </c>
      <c r="W118" s="42">
        <f>IF(ISERROR(VLOOKUP($T$118,'TAR FIN'!$A$1:$O$115,15,0)),0,VLOOKUP($T$118,'TAR FIN'!$A$1:$O$115,15,0))*(1-0.04)</f>
        <v>80.937600000000003</v>
      </c>
      <c r="X118" s="42">
        <f>IF(ISERROR(VLOOKUP($U$118,'TAR FIN'!$A$1:$O$115,15,0)),0,VLOOKUP($U$118,'TAR FIN'!$A$1:$O$115,15,0))*(1-0.04)</f>
        <v>259.488</v>
      </c>
      <c r="Y118" s="42">
        <f ca="1">('TUSD BE'!$AM$19+'TUSD BF'!$AM$19+'TUSD CVA'!$AM$19)*1*(1-0.02)</f>
        <v>55.182406095181783</v>
      </c>
      <c r="Z118" s="42">
        <f ca="1">('TUSD BE'!$AM$21+'TUSD BF'!$AM$21+'TUSD CVA'!$AM$21)*1*(1-0.02)</f>
        <v>111.16258866775823</v>
      </c>
      <c r="AA118" s="42">
        <f>('TE BE'!$AB$11+'TE BF'!$AB$11+'TE CVA'!$AB$11)*1*(1-0.02)</f>
        <v>355.39110709588994</v>
      </c>
      <c r="AB118" s="42">
        <f>(SUBSIDIO!$J$118*SUBSIDIO!$V$118)*(0.04)/(1-0.04)</f>
        <v>22.488000000000003</v>
      </c>
      <c r="AC118" s="42">
        <f>((SUBSIDIO!$L$118*SUBSIDIO!$W$118)+(SUBSIDIO!$N$118*SUBSIDIO!$X$118))*(0.04)/(1-0.04)</f>
        <v>3.1489368000000004</v>
      </c>
      <c r="AD118" s="42">
        <f ca="1">(SUBSIDIO!$J$118*SUBSIDIO!$Y$118)*(0.02)/(1-0.02)</f>
        <v>11.261715529628937</v>
      </c>
      <c r="AE118" s="42">
        <f ca="1">((SUBSIDIO!$L$118*SUBSIDIO!$Z$118)+(SUBSIDIO!$N$118*SUBSIDIO!$AA$118))*(0.02)/(1-0.02)</f>
        <v>2.1137738869291818</v>
      </c>
      <c r="AF118" s="4" t="s">
        <v>933</v>
      </c>
    </row>
    <row r="119" spans="1:32" ht="11.25" customHeight="1" x14ac:dyDescent="0.25">
      <c r="A119" s="4" t="s">
        <v>21</v>
      </c>
      <c r="B119" s="4" t="s">
        <v>41</v>
      </c>
      <c r="C119" s="4" t="s">
        <v>42</v>
      </c>
      <c r="D119" s="4" t="s">
        <v>47</v>
      </c>
      <c r="E119" s="4" t="s">
        <v>25</v>
      </c>
      <c r="F119" s="4" t="s">
        <v>25</v>
      </c>
      <c r="G119" s="4" t="s">
        <v>25</v>
      </c>
      <c r="H119" s="4" t="s">
        <v>36</v>
      </c>
      <c r="I119" s="5">
        <v>44774</v>
      </c>
      <c r="J119" s="6">
        <v>10</v>
      </c>
      <c r="K119" s="42">
        <v>10</v>
      </c>
      <c r="L119" s="6">
        <v>0.34300000000000003</v>
      </c>
      <c r="M119" s="42">
        <v>0.34300000000000003</v>
      </c>
      <c r="N119" s="6">
        <v>0.34300000000000003</v>
      </c>
      <c r="O119" s="42">
        <v>0.34300000000000003</v>
      </c>
      <c r="P119" s="6">
        <v>0</v>
      </c>
      <c r="Q119" s="4" t="s">
        <v>26</v>
      </c>
      <c r="R119" s="4">
        <v>0</v>
      </c>
      <c r="S119" s="4">
        <v>19</v>
      </c>
      <c r="T119" s="4">
        <v>21</v>
      </c>
      <c r="U119" s="4">
        <v>74</v>
      </c>
      <c r="V119" s="42">
        <f>IF(ISERROR(VLOOKUP($S$119,'TAR FIN'!$A$1:$O$115,15,0)),0,VLOOKUP($S$119,'TAR FIN'!$A$1:$O$115,15,0))*(1-0.04)</f>
        <v>53.971199999999996</v>
      </c>
      <c r="W119" s="42">
        <f>IF(ISERROR(VLOOKUP($T$119,'TAR FIN'!$A$1:$O$115,15,0)),0,VLOOKUP($T$119,'TAR FIN'!$A$1:$O$115,15,0))*(1-0.04)</f>
        <v>80.937600000000003</v>
      </c>
      <c r="X119" s="42">
        <f>IF(ISERROR(VLOOKUP($U$119,'TAR FIN'!$A$1:$O$115,15,0)),0,VLOOKUP($U$119,'TAR FIN'!$A$1:$O$115,15,0))*(1-0.04)</f>
        <v>259.488</v>
      </c>
      <c r="Y119" s="42">
        <f ca="1">('TUSD BE'!$AM$19+'TUSD BF'!$AM$19+'TUSD CVA'!$AM$19)*1*(1-0.02)</f>
        <v>55.182406095181783</v>
      </c>
      <c r="Z119" s="42">
        <f ca="1">('TUSD BE'!$AM$21+'TUSD BF'!$AM$21+'TUSD CVA'!$AM$21)*1*(1-0.02)</f>
        <v>111.16258866775823</v>
      </c>
      <c r="AA119" s="42">
        <f>('TE BE'!$AB$11+'TE BF'!$AB$11+'TE CVA'!$AB$11)*1*(1-0.02)</f>
        <v>355.39110709588994</v>
      </c>
      <c r="AB119" s="42">
        <f>(SUBSIDIO!$J$119*SUBSIDIO!$V$119)*(0.04)/(1-0.04)</f>
        <v>22.488000000000003</v>
      </c>
      <c r="AC119" s="42">
        <f>((SUBSIDIO!$L$119*SUBSIDIO!$W$119)+(SUBSIDIO!$N$119*SUBSIDIO!$X$119))*(0.04)/(1-0.04)</f>
        <v>4.8652492000000001</v>
      </c>
      <c r="AD119" s="42">
        <f ca="1">(SUBSIDIO!$J$119*SUBSIDIO!$Y$119)*(0.02)/(1-0.02)</f>
        <v>11.261715529628937</v>
      </c>
      <c r="AE119" s="42">
        <f ca="1">((SUBSIDIO!$L$119*SUBSIDIO!$Z$119)+(SUBSIDIO!$N$119*SUBSIDIO!$AA$119))*(0.02)/(1-0.02)</f>
        <v>3.2658758703455373</v>
      </c>
      <c r="AF119" s="4" t="s">
        <v>933</v>
      </c>
    </row>
    <row r="120" spans="1:32" ht="11.25" customHeight="1" x14ac:dyDescent="0.25">
      <c r="A120" s="4" t="s">
        <v>21</v>
      </c>
      <c r="B120" s="4" t="s">
        <v>41</v>
      </c>
      <c r="C120" s="4" t="s">
        <v>42</v>
      </c>
      <c r="D120" s="4" t="s">
        <v>47</v>
      </c>
      <c r="E120" s="4" t="s">
        <v>25</v>
      </c>
      <c r="F120" s="4" t="s">
        <v>25</v>
      </c>
      <c r="G120" s="4" t="s">
        <v>25</v>
      </c>
      <c r="H120" s="4" t="s">
        <v>36</v>
      </c>
      <c r="I120" s="5">
        <v>44805</v>
      </c>
      <c r="J120" s="6">
        <v>21</v>
      </c>
      <c r="K120" s="42">
        <v>21</v>
      </c>
      <c r="L120" s="6">
        <v>0.36</v>
      </c>
      <c r="M120" s="42">
        <v>0.36</v>
      </c>
      <c r="N120" s="6">
        <v>0.36</v>
      </c>
      <c r="O120" s="42">
        <v>0.36</v>
      </c>
      <c r="P120" s="6">
        <v>0</v>
      </c>
      <c r="Q120" s="4" t="s">
        <v>26</v>
      </c>
      <c r="R120" s="4">
        <v>0</v>
      </c>
      <c r="S120" s="4">
        <v>19</v>
      </c>
      <c r="T120" s="4">
        <v>21</v>
      </c>
      <c r="U120" s="4">
        <v>74</v>
      </c>
      <c r="V120" s="42">
        <f>IF(ISERROR(VLOOKUP($S$120,'TAR FIN'!$A$1:$O$115,15,0)),0,VLOOKUP($S$120,'TAR FIN'!$A$1:$O$115,15,0))*(1-0.04)</f>
        <v>53.971199999999996</v>
      </c>
      <c r="W120" s="42">
        <f>IF(ISERROR(VLOOKUP($T$120,'TAR FIN'!$A$1:$O$115,15,0)),0,VLOOKUP($T$120,'TAR FIN'!$A$1:$O$115,15,0))*(1-0.04)</f>
        <v>80.937600000000003</v>
      </c>
      <c r="X120" s="42">
        <f>IF(ISERROR(VLOOKUP($U$120,'TAR FIN'!$A$1:$O$115,15,0)),0,VLOOKUP($U$120,'TAR FIN'!$A$1:$O$115,15,0))*(1-0.04)</f>
        <v>259.488</v>
      </c>
      <c r="Y120" s="42">
        <f ca="1">('TUSD BE'!$AM$19+'TUSD BF'!$AM$19+'TUSD CVA'!$AM$19)*1*(1-0.02)</f>
        <v>55.182406095181783</v>
      </c>
      <c r="Z120" s="42">
        <f ca="1">('TUSD BE'!$AM$21+'TUSD BF'!$AM$21+'TUSD CVA'!$AM$21)*1*(1-0.02)</f>
        <v>111.16258866775823</v>
      </c>
      <c r="AA120" s="42">
        <f>('TE BE'!$AB$11+'TE BF'!$AB$11+'TE CVA'!$AB$11)*1*(1-0.02)</f>
        <v>355.39110709588994</v>
      </c>
      <c r="AB120" s="42">
        <f>(SUBSIDIO!$J$120*SUBSIDIO!$V$120)*(0.04)/(1-0.04)</f>
        <v>47.224800000000002</v>
      </c>
      <c r="AC120" s="42">
        <f>((SUBSIDIO!$L$120*SUBSIDIO!$W$120)+(SUBSIDIO!$N$120*SUBSIDIO!$X$120))*(0.04)/(1-0.04)</f>
        <v>5.1063840000000003</v>
      </c>
      <c r="AD120" s="42">
        <f ca="1">(SUBSIDIO!$J$120*SUBSIDIO!$Y$120)*(0.02)/(1-0.02)</f>
        <v>23.649602612220765</v>
      </c>
      <c r="AE120" s="42">
        <f ca="1">((SUBSIDIO!$L$120*SUBSIDIO!$Z$120)+(SUBSIDIO!$N$120*SUBSIDIO!$AA$120))*(0.02)/(1-0.02)</f>
        <v>3.4277414382635372</v>
      </c>
      <c r="AF120" s="4" t="s">
        <v>933</v>
      </c>
    </row>
    <row r="121" spans="1:32" ht="11.25" customHeight="1" x14ac:dyDescent="0.25">
      <c r="A121" s="4" t="s">
        <v>21</v>
      </c>
      <c r="B121" s="4" t="s">
        <v>41</v>
      </c>
      <c r="C121" s="4" t="s">
        <v>42</v>
      </c>
      <c r="D121" s="4" t="s">
        <v>47</v>
      </c>
      <c r="E121" s="4" t="s">
        <v>25</v>
      </c>
      <c r="F121" s="4" t="s">
        <v>25</v>
      </c>
      <c r="G121" s="4" t="s">
        <v>25</v>
      </c>
      <c r="H121" s="4" t="s">
        <v>36</v>
      </c>
      <c r="I121" s="5">
        <v>44835</v>
      </c>
      <c r="J121" s="6">
        <v>9</v>
      </c>
      <c r="K121" s="42">
        <v>9</v>
      </c>
      <c r="L121" s="6">
        <v>0.318</v>
      </c>
      <c r="M121" s="42">
        <v>0.318</v>
      </c>
      <c r="N121" s="6">
        <v>0.318</v>
      </c>
      <c r="O121" s="42">
        <v>0.318</v>
      </c>
      <c r="P121" s="6">
        <v>0</v>
      </c>
      <c r="Q121" s="4" t="s">
        <v>26</v>
      </c>
      <c r="R121" s="4">
        <v>0</v>
      </c>
      <c r="S121" s="4">
        <v>19</v>
      </c>
      <c r="T121" s="4">
        <v>21</v>
      </c>
      <c r="U121" s="4">
        <v>74</v>
      </c>
      <c r="V121" s="42">
        <f>IF(ISERROR(VLOOKUP($S$121,'TAR FIN'!$A$1:$O$115,15,0)),0,VLOOKUP($S$121,'TAR FIN'!$A$1:$O$115,15,0))*(1-0.04)</f>
        <v>53.971199999999996</v>
      </c>
      <c r="W121" s="42">
        <f>IF(ISERROR(VLOOKUP($T$121,'TAR FIN'!$A$1:$O$115,15,0)),0,VLOOKUP($T$121,'TAR FIN'!$A$1:$O$115,15,0))*(1-0.04)</f>
        <v>80.937600000000003</v>
      </c>
      <c r="X121" s="42">
        <f>IF(ISERROR(VLOOKUP($U$121,'TAR FIN'!$A$1:$O$115,15,0)),0,VLOOKUP($U$121,'TAR FIN'!$A$1:$O$115,15,0))*(1-0.04)</f>
        <v>259.488</v>
      </c>
      <c r="Y121" s="42">
        <f ca="1">('TUSD BE'!$AM$19+'TUSD BF'!$AM$19+'TUSD CVA'!$AM$19)*1*(1-0.02)</f>
        <v>55.182406095181783</v>
      </c>
      <c r="Z121" s="42">
        <f ca="1">('TUSD BE'!$AM$21+'TUSD BF'!$AM$21+'TUSD CVA'!$AM$21)*1*(1-0.02)</f>
        <v>111.16258866775823</v>
      </c>
      <c r="AA121" s="42">
        <f>('TE BE'!$AB$11+'TE BF'!$AB$11+'TE CVA'!$AB$11)*1*(1-0.02)</f>
        <v>355.39110709588994</v>
      </c>
      <c r="AB121" s="42">
        <f>(SUBSIDIO!$J$121*SUBSIDIO!$V$121)*(0.04)/(1-0.04)</f>
        <v>20.2392</v>
      </c>
      <c r="AC121" s="42">
        <f>((SUBSIDIO!$L$121*SUBSIDIO!$W$121)+(SUBSIDIO!$N$121*SUBSIDIO!$X$121))*(0.04)/(1-0.04)</f>
        <v>4.5106392000000008</v>
      </c>
      <c r="AD121" s="42">
        <f ca="1">(SUBSIDIO!$J$121*SUBSIDIO!$Y$121)*(0.02)/(1-0.02)</f>
        <v>10.135543976666041</v>
      </c>
      <c r="AE121" s="42">
        <f ca="1">((SUBSIDIO!$L$121*SUBSIDIO!$Z$121)+(SUBSIDIO!$N$121*SUBSIDIO!$AA$121))*(0.02)/(1-0.02)</f>
        <v>3.0278382704661251</v>
      </c>
      <c r="AF121" s="4" t="s">
        <v>933</v>
      </c>
    </row>
    <row r="122" spans="1:32" ht="11.25" customHeight="1" x14ac:dyDescent="0.25">
      <c r="A122" s="4" t="s">
        <v>59</v>
      </c>
      <c r="B122" s="4" t="s">
        <v>41</v>
      </c>
      <c r="C122" s="4" t="s">
        <v>42</v>
      </c>
      <c r="D122" s="4" t="s">
        <v>47</v>
      </c>
      <c r="E122" s="4" t="s">
        <v>25</v>
      </c>
      <c r="F122" s="4" t="s">
        <v>25</v>
      </c>
      <c r="G122" s="4" t="s">
        <v>25</v>
      </c>
      <c r="H122" s="4" t="s">
        <v>36</v>
      </c>
      <c r="I122" s="5">
        <v>44866</v>
      </c>
      <c r="J122" s="6">
        <v>9</v>
      </c>
      <c r="K122" s="42">
        <v>9</v>
      </c>
      <c r="L122" s="6">
        <v>0.318</v>
      </c>
      <c r="M122" s="42">
        <v>0.318</v>
      </c>
      <c r="N122" s="6">
        <v>0.318</v>
      </c>
      <c r="O122" s="42">
        <v>0.318</v>
      </c>
      <c r="P122" s="6">
        <v>0</v>
      </c>
      <c r="Q122" s="4" t="s">
        <v>26</v>
      </c>
      <c r="R122" s="4">
        <v>0</v>
      </c>
      <c r="S122" s="4">
        <v>19</v>
      </c>
      <c r="T122" s="4">
        <v>21</v>
      </c>
      <c r="U122" s="4">
        <v>74</v>
      </c>
      <c r="V122" s="42">
        <f>IF(ISERROR(VLOOKUP($S$122,'TAR FIN'!$A$1:$O$115,15,0)),0,VLOOKUP($S$122,'TAR FIN'!$A$1:$O$115,15,0))*(1-0.04)</f>
        <v>53.971199999999996</v>
      </c>
      <c r="W122" s="42">
        <f>IF(ISERROR(VLOOKUP($T$122,'TAR FIN'!$A$1:$O$115,15,0)),0,VLOOKUP($T$122,'TAR FIN'!$A$1:$O$115,15,0))*(1-0.04)</f>
        <v>80.937600000000003</v>
      </c>
      <c r="X122" s="42">
        <f>IF(ISERROR(VLOOKUP($U$122,'TAR FIN'!$A$1:$O$115,15,0)),0,VLOOKUP($U$122,'TAR FIN'!$A$1:$O$115,15,0))*(1-0.04)</f>
        <v>259.488</v>
      </c>
      <c r="Y122" s="42">
        <f ca="1">('TUSD BE'!$AM$19+'TUSD BF'!$AM$19+'TUSD CVA'!$AM$19)*1*(1-0.02)</f>
        <v>55.182406095181783</v>
      </c>
      <c r="Z122" s="42">
        <f ca="1">('TUSD BE'!$AM$21+'TUSD BF'!$AM$21+'TUSD CVA'!$AM$21)*1*(1-0.02)</f>
        <v>111.16258866775823</v>
      </c>
      <c r="AA122" s="42">
        <f>('TE BE'!$AB$11+'TE BF'!$AB$11+'TE CVA'!$AB$11)*1*(1-0.02)</f>
        <v>355.39110709588994</v>
      </c>
      <c r="AB122" s="42">
        <f>(SUBSIDIO!$J$122*SUBSIDIO!$V$122)*(0.04)/(1-0.04)</f>
        <v>20.2392</v>
      </c>
      <c r="AC122" s="42">
        <f>((SUBSIDIO!$L$122*SUBSIDIO!$W$122)+(SUBSIDIO!$N$122*SUBSIDIO!$X$122))*(0.04)/(1-0.04)</f>
        <v>4.5106392000000008</v>
      </c>
      <c r="AD122" s="42">
        <f ca="1">(SUBSIDIO!$J$122*SUBSIDIO!$Y$122)*(0.02)/(1-0.02)</f>
        <v>10.135543976666041</v>
      </c>
      <c r="AE122" s="42">
        <f ca="1">((SUBSIDIO!$L$122*SUBSIDIO!$Z$122)+(SUBSIDIO!$N$122*SUBSIDIO!$AA$122))*(0.02)/(1-0.02)</f>
        <v>3.0278382704661251</v>
      </c>
      <c r="AF122" s="4" t="s">
        <v>933</v>
      </c>
    </row>
    <row r="123" spans="1:32" ht="11.25" customHeight="1" x14ac:dyDescent="0.25">
      <c r="A123" s="4" t="s">
        <v>21</v>
      </c>
      <c r="B123" s="4" t="s">
        <v>41</v>
      </c>
      <c r="C123" s="4" t="s">
        <v>42</v>
      </c>
      <c r="D123" s="4" t="s">
        <v>52</v>
      </c>
      <c r="E123" s="4" t="s">
        <v>53</v>
      </c>
      <c r="F123" s="4" t="s">
        <v>25</v>
      </c>
      <c r="G123" s="4" t="s">
        <v>25</v>
      </c>
      <c r="H123" s="4" t="s">
        <v>37</v>
      </c>
      <c r="I123" s="5">
        <v>44531</v>
      </c>
      <c r="J123" s="6">
        <v>1956</v>
      </c>
      <c r="K123" s="43">
        <v>1956</v>
      </c>
      <c r="L123" s="6">
        <v>541.90200000000004</v>
      </c>
      <c r="M123" s="42">
        <v>541.90200000000004</v>
      </c>
      <c r="N123" s="6">
        <v>541.90200000000004</v>
      </c>
      <c r="O123" s="42">
        <v>541.90200000000004</v>
      </c>
      <c r="P123" s="6">
        <v>0</v>
      </c>
      <c r="Q123" s="4" t="s">
        <v>26</v>
      </c>
      <c r="R123" s="4">
        <v>0</v>
      </c>
      <c r="S123" s="4">
        <v>20</v>
      </c>
      <c r="T123" s="4">
        <v>21</v>
      </c>
      <c r="U123" s="4">
        <v>75</v>
      </c>
      <c r="V123" s="42">
        <f>IF(ISERROR(VLOOKUP($S$123,'TAR FIN'!$A$1:$O$115,15,0)),0,VLOOKUP($S$123,'TAR FIN'!$A$1:$O$115,15,0))*(1-0.06)</f>
        <v>18.611999999999998</v>
      </c>
      <c r="W123" s="42">
        <f>IF(ISERROR(VLOOKUP($T$123,'TAR FIN'!$A$1:$O$115,15,0)),0,VLOOKUP($T$123,'TAR FIN'!$A$1:$O$115,15,0))*(1-0.06)</f>
        <v>79.251400000000004</v>
      </c>
      <c r="X123" s="42">
        <f>IF(ISERROR(VLOOKUP($U$123,'TAR FIN'!$A$1:$O$115,15,0)),0,VLOOKUP($U$123,'TAR FIN'!$A$1:$O$115,15,0))*(1-0.06)</f>
        <v>157.97639999999998</v>
      </c>
      <c r="Y123" s="42">
        <f ca="1">('TUSD BE'!$AM$20+'TUSD BF'!$AM$20+'TUSD CVA'!$AM$20)*1*(1-0.03)</f>
        <v>19.996757900318997</v>
      </c>
      <c r="Z123" s="42">
        <f ca="1">('TUSD BE'!$AM$21+'TUSD BF'!$AM$21+'TUSD CVA'!$AM$21)*1*(1-0.03)</f>
        <v>110.02827653849539</v>
      </c>
      <c r="AA123" s="42">
        <f>('TE BE'!$AB$12+'TE BF'!$AB$12+'TE CVA'!$AB$12)*1*(1-0.03)</f>
        <v>212.12486502371149</v>
      </c>
      <c r="AB123" s="42">
        <f>(SUBSIDIO!$J$123*SUBSIDIO!$V$123)*(0.06)/(1-0.06)</f>
        <v>2323.7280000000001</v>
      </c>
      <c r="AC123" s="42">
        <f>((SUBSIDIO!$L$123*SUBSIDIO!$W$123)+(SUBSIDIO!$N$123*SUBSIDIO!$X$123))*(0.06)/(1-0.06)</f>
        <v>8205.5884644000016</v>
      </c>
      <c r="AD123" s="42">
        <f ca="1">(SUBSIDIO!$J$123*SUBSIDIO!$Y$123)*(0.03)/(1-0.03)</f>
        <v>1209.700776897648</v>
      </c>
      <c r="AE123" s="42">
        <f ca="1">((SUBSIDIO!$L$123*SUBSIDIO!$Z$123)+(SUBSIDIO!$N$123*SUBSIDIO!$AA$123))*(0.03)/(1-0.03)</f>
        <v>5399.2401562528785</v>
      </c>
      <c r="AF123" s="4" t="s">
        <v>935</v>
      </c>
    </row>
    <row r="124" spans="1:32" ht="11.25" customHeight="1" x14ac:dyDescent="0.25">
      <c r="A124" s="4" t="s">
        <v>28</v>
      </c>
      <c r="B124" s="4" t="s">
        <v>41</v>
      </c>
      <c r="C124" s="4" t="s">
        <v>42</v>
      </c>
      <c r="D124" s="4" t="s">
        <v>52</v>
      </c>
      <c r="E124" s="4" t="s">
        <v>53</v>
      </c>
      <c r="F124" s="4" t="s">
        <v>25</v>
      </c>
      <c r="G124" s="4" t="s">
        <v>25</v>
      </c>
      <c r="H124" s="4" t="s">
        <v>37</v>
      </c>
      <c r="I124" s="5">
        <v>44531</v>
      </c>
      <c r="J124" s="6">
        <v>97</v>
      </c>
      <c r="K124" s="43">
        <v>97</v>
      </c>
      <c r="L124" s="6">
        <v>37.679000000000002</v>
      </c>
      <c r="M124" s="42">
        <v>37.679000000000002</v>
      </c>
      <c r="N124" s="6">
        <v>37.679000000000002</v>
      </c>
      <c r="O124" s="42">
        <v>37.679000000000002</v>
      </c>
      <c r="P124" s="6">
        <v>0</v>
      </c>
      <c r="Q124" s="4" t="s">
        <v>26</v>
      </c>
      <c r="R124" s="4">
        <v>0</v>
      </c>
      <c r="S124" s="4">
        <v>20</v>
      </c>
      <c r="T124" s="4">
        <v>21</v>
      </c>
      <c r="U124" s="4">
        <v>75</v>
      </c>
      <c r="V124" s="42">
        <f>IF(ISERROR(VLOOKUP($S$124,'TAR FIN'!$A$1:$O$115,15,0)),0,VLOOKUP($S$124,'TAR FIN'!$A$1:$O$115,15,0))*(1-0.06)</f>
        <v>18.611999999999998</v>
      </c>
      <c r="W124" s="42">
        <f>IF(ISERROR(VLOOKUP($T$124,'TAR FIN'!$A$1:$O$115,15,0)),0,VLOOKUP($T$124,'TAR FIN'!$A$1:$O$115,15,0))*(1-0.06)</f>
        <v>79.251400000000004</v>
      </c>
      <c r="X124" s="42">
        <f>IF(ISERROR(VLOOKUP($U$124,'TAR FIN'!$A$1:$O$115,15,0)),0,VLOOKUP($U$124,'TAR FIN'!$A$1:$O$115,15,0))*(1-0.06)</f>
        <v>157.97639999999998</v>
      </c>
      <c r="Y124" s="42">
        <f ca="1">('TUSD BE'!$AM$20+'TUSD BF'!$AM$20+'TUSD CVA'!$AM$20)*1*(1-0.03)</f>
        <v>19.996757900318997</v>
      </c>
      <c r="Z124" s="42">
        <f ca="1">('TUSD BE'!$AM$21+'TUSD BF'!$AM$21+'TUSD CVA'!$AM$21)*1*(1-0.03)</f>
        <v>110.02827653849539</v>
      </c>
      <c r="AA124" s="42">
        <f>('TE BE'!$AB$12+'TE BF'!$AB$12+'TE CVA'!$AB$12)*1*(1-0.03)</f>
        <v>212.12486502371149</v>
      </c>
      <c r="AB124" s="42">
        <f>(SUBSIDIO!$J$124*SUBSIDIO!$V$124)*(0.06)/(1-0.06)</f>
        <v>115.23599999999999</v>
      </c>
      <c r="AC124" s="42">
        <f>((SUBSIDIO!$L$124*SUBSIDIO!$W$124)+(SUBSIDIO!$N$124*SUBSIDIO!$X$124))*(0.06)/(1-0.06)</f>
        <v>570.54295380000008</v>
      </c>
      <c r="AD124" s="42">
        <f ca="1">(SUBSIDIO!$J$124*SUBSIDIO!$Y$124)*(0.03)/(1-0.03)</f>
        <v>59.990273700956983</v>
      </c>
      <c r="AE124" s="42">
        <f ca="1">((SUBSIDIO!$L$124*SUBSIDIO!$Z$124)+(SUBSIDIO!$N$124*SUBSIDIO!$AA$124))*(0.03)/(1-0.03)</f>
        <v>375.41468724502249</v>
      </c>
      <c r="AF124" s="4" t="s">
        <v>935</v>
      </c>
    </row>
    <row r="125" spans="1:32" ht="11.25" customHeight="1" x14ac:dyDescent="0.25">
      <c r="A125" s="4" t="s">
        <v>21</v>
      </c>
      <c r="B125" s="4" t="s">
        <v>41</v>
      </c>
      <c r="C125" s="4" t="s">
        <v>42</v>
      </c>
      <c r="D125" s="4" t="s">
        <v>52</v>
      </c>
      <c r="E125" s="4" t="s">
        <v>53</v>
      </c>
      <c r="F125" s="4" t="s">
        <v>25</v>
      </c>
      <c r="G125" s="4" t="s">
        <v>25</v>
      </c>
      <c r="H125" s="4" t="s">
        <v>37</v>
      </c>
      <c r="I125" s="5">
        <v>44562</v>
      </c>
      <c r="J125" s="6">
        <v>158</v>
      </c>
      <c r="K125" s="43">
        <v>158</v>
      </c>
      <c r="L125" s="6">
        <v>92.040999999999997</v>
      </c>
      <c r="M125" s="42">
        <v>92.040999999999997</v>
      </c>
      <c r="N125" s="6">
        <v>92.040999999999997</v>
      </c>
      <c r="O125" s="42">
        <v>92.040999999999997</v>
      </c>
      <c r="P125" s="6">
        <v>0</v>
      </c>
      <c r="Q125" s="4" t="s">
        <v>26</v>
      </c>
      <c r="R125" s="4">
        <v>0</v>
      </c>
      <c r="S125" s="4">
        <v>20</v>
      </c>
      <c r="T125" s="4">
        <v>21</v>
      </c>
      <c r="U125" s="4">
        <v>75</v>
      </c>
      <c r="V125" s="42">
        <f>IF(ISERROR(VLOOKUP($S$125,'TAR FIN'!$A$1:$O$115,15,0)),0,VLOOKUP($S$125,'TAR FIN'!$A$1:$O$115,15,0))*(1-0.06)</f>
        <v>18.611999999999998</v>
      </c>
      <c r="W125" s="42">
        <f>IF(ISERROR(VLOOKUP($T$125,'TAR FIN'!$A$1:$O$115,15,0)),0,VLOOKUP($T$125,'TAR FIN'!$A$1:$O$115,15,0))*(1-0.06)</f>
        <v>79.251400000000004</v>
      </c>
      <c r="X125" s="42">
        <f>IF(ISERROR(VLOOKUP($U$125,'TAR FIN'!$A$1:$O$115,15,0)),0,VLOOKUP($U$125,'TAR FIN'!$A$1:$O$115,15,0))*(1-0.06)</f>
        <v>157.97639999999998</v>
      </c>
      <c r="Y125" s="42">
        <f ca="1">('TUSD BE'!$AM$20+'TUSD BF'!$AM$20+'TUSD CVA'!$AM$20)*1*(1-0.03)</f>
        <v>19.996757900318997</v>
      </c>
      <c r="Z125" s="42">
        <f ca="1">('TUSD BE'!$AM$21+'TUSD BF'!$AM$21+'TUSD CVA'!$AM$21)*1*(1-0.03)</f>
        <v>110.02827653849539</v>
      </c>
      <c r="AA125" s="42">
        <f>('TE BE'!$AB$12+'TE BF'!$AB$12+'TE CVA'!$AB$12)*1*(1-0.03)</f>
        <v>212.12486502371149</v>
      </c>
      <c r="AB125" s="42">
        <f>(SUBSIDIO!$J$125*SUBSIDIO!$V$125)*(0.06)/(1-0.06)</f>
        <v>187.70400000000001</v>
      </c>
      <c r="AC125" s="42">
        <f>((SUBSIDIO!$L$125*SUBSIDIO!$W$125)+(SUBSIDIO!$N$125*SUBSIDIO!$X$125))*(0.06)/(1-0.06)</f>
        <v>1393.7032301999998</v>
      </c>
      <c r="AD125" s="42">
        <f ca="1">(SUBSIDIO!$J$125*SUBSIDIO!$Y$125)*(0.03)/(1-0.03)</f>
        <v>97.716115925270159</v>
      </c>
      <c r="AE125" s="42">
        <f ca="1">((SUBSIDIO!$L$125*SUBSIDIO!$Z$125)+(SUBSIDIO!$N$125*SUBSIDIO!$AA$125))*(0.03)/(1-0.03)</f>
        <v>917.05043203692014</v>
      </c>
      <c r="AF125" s="4" t="s">
        <v>935</v>
      </c>
    </row>
    <row r="126" spans="1:32" ht="11.25" customHeight="1" x14ac:dyDescent="0.25">
      <c r="A126" s="4" t="s">
        <v>28</v>
      </c>
      <c r="B126" s="4" t="s">
        <v>41</v>
      </c>
      <c r="C126" s="4" t="s">
        <v>42</v>
      </c>
      <c r="D126" s="4" t="s">
        <v>52</v>
      </c>
      <c r="E126" s="4" t="s">
        <v>53</v>
      </c>
      <c r="F126" s="4" t="s">
        <v>25</v>
      </c>
      <c r="G126" s="4" t="s">
        <v>25</v>
      </c>
      <c r="H126" s="4" t="s">
        <v>37</v>
      </c>
      <c r="I126" s="5">
        <v>44562</v>
      </c>
      <c r="J126" s="6">
        <v>91</v>
      </c>
      <c r="K126" s="43">
        <v>91</v>
      </c>
      <c r="L126" s="6">
        <v>36.326000000000001</v>
      </c>
      <c r="M126" s="42">
        <v>36.326000000000001</v>
      </c>
      <c r="N126" s="6">
        <v>36.326000000000001</v>
      </c>
      <c r="O126" s="42">
        <v>36.326000000000001</v>
      </c>
      <c r="P126" s="6">
        <v>0</v>
      </c>
      <c r="Q126" s="4" t="s">
        <v>26</v>
      </c>
      <c r="R126" s="4">
        <v>0</v>
      </c>
      <c r="S126" s="4">
        <v>20</v>
      </c>
      <c r="T126" s="4">
        <v>21</v>
      </c>
      <c r="U126" s="4">
        <v>75</v>
      </c>
      <c r="V126" s="42">
        <f>IF(ISERROR(VLOOKUP($S$126,'TAR FIN'!$A$1:$O$115,15,0)),0,VLOOKUP($S$126,'TAR FIN'!$A$1:$O$115,15,0))*(1-0.06)</f>
        <v>18.611999999999998</v>
      </c>
      <c r="W126" s="42">
        <f>IF(ISERROR(VLOOKUP($T$126,'TAR FIN'!$A$1:$O$115,15,0)),0,VLOOKUP($T$126,'TAR FIN'!$A$1:$O$115,15,0))*(1-0.06)</f>
        <v>79.251400000000004</v>
      </c>
      <c r="X126" s="42">
        <f>IF(ISERROR(VLOOKUP($U$126,'TAR FIN'!$A$1:$O$115,15,0)),0,VLOOKUP($U$126,'TAR FIN'!$A$1:$O$115,15,0))*(1-0.06)</f>
        <v>157.97639999999998</v>
      </c>
      <c r="Y126" s="42">
        <f ca="1">('TUSD BE'!$AM$20+'TUSD BF'!$AM$20+'TUSD CVA'!$AM$20)*1*(1-0.03)</f>
        <v>19.996757900318997</v>
      </c>
      <c r="Z126" s="42">
        <f ca="1">('TUSD BE'!$AM$21+'TUSD BF'!$AM$21+'TUSD CVA'!$AM$21)*1*(1-0.03)</f>
        <v>110.02827653849539</v>
      </c>
      <c r="AA126" s="42">
        <f>('TE BE'!$AB$12+'TE BF'!$AB$12+'TE CVA'!$AB$12)*1*(1-0.03)</f>
        <v>212.12486502371149</v>
      </c>
      <c r="AB126" s="42">
        <f>(SUBSIDIO!$J$126*SUBSIDIO!$V$126)*(0.06)/(1-0.06)</f>
        <v>108.10799999999999</v>
      </c>
      <c r="AC126" s="42">
        <f>((SUBSIDIO!$L$126*SUBSIDIO!$W$126)+(SUBSIDIO!$N$126*SUBSIDIO!$X$126))*(0.06)/(1-0.06)</f>
        <v>550.05555719999995</v>
      </c>
      <c r="AD126" s="42">
        <f ca="1">(SUBSIDIO!$J$126*SUBSIDIO!$Y$126)*(0.03)/(1-0.03)</f>
        <v>56.279535121516354</v>
      </c>
      <c r="AE126" s="42">
        <f ca="1">((SUBSIDIO!$L$126*SUBSIDIO!$Z$126)+(SUBSIDIO!$N$126*SUBSIDIO!$AA$126))*(0.03)/(1-0.03)</f>
        <v>361.9340727955277</v>
      </c>
      <c r="AF126" s="4" t="s">
        <v>935</v>
      </c>
    </row>
    <row r="127" spans="1:32" ht="11.25" customHeight="1" x14ac:dyDescent="0.25">
      <c r="A127" s="4" t="s">
        <v>21</v>
      </c>
      <c r="B127" s="4" t="s">
        <v>41</v>
      </c>
      <c r="C127" s="4" t="s">
        <v>42</v>
      </c>
      <c r="D127" s="4" t="s">
        <v>52</v>
      </c>
      <c r="E127" s="4" t="s">
        <v>53</v>
      </c>
      <c r="F127" s="4" t="s">
        <v>25</v>
      </c>
      <c r="G127" s="4" t="s">
        <v>25</v>
      </c>
      <c r="H127" s="4" t="s">
        <v>37</v>
      </c>
      <c r="I127" s="5">
        <v>44593</v>
      </c>
      <c r="J127" s="6">
        <v>156</v>
      </c>
      <c r="K127" s="43">
        <v>156</v>
      </c>
      <c r="L127" s="6">
        <v>85.494</v>
      </c>
      <c r="M127" s="42">
        <v>85.494</v>
      </c>
      <c r="N127" s="6">
        <v>85.494</v>
      </c>
      <c r="O127" s="42">
        <v>85.494</v>
      </c>
      <c r="P127" s="6">
        <v>0</v>
      </c>
      <c r="Q127" s="4" t="s">
        <v>26</v>
      </c>
      <c r="R127" s="4">
        <v>0</v>
      </c>
      <c r="S127" s="4">
        <v>20</v>
      </c>
      <c r="T127" s="4">
        <v>21</v>
      </c>
      <c r="U127" s="4">
        <v>75</v>
      </c>
      <c r="V127" s="42">
        <f>IF(ISERROR(VLOOKUP($S$127,'TAR FIN'!$A$1:$O$115,15,0)),0,VLOOKUP($S$127,'TAR FIN'!$A$1:$O$115,15,0))*(1-0.06)</f>
        <v>18.611999999999998</v>
      </c>
      <c r="W127" s="42">
        <f>IF(ISERROR(VLOOKUP($T$127,'TAR FIN'!$A$1:$O$115,15,0)),0,VLOOKUP($T$127,'TAR FIN'!$A$1:$O$115,15,0))*(1-0.06)</f>
        <v>79.251400000000004</v>
      </c>
      <c r="X127" s="42">
        <f>IF(ISERROR(VLOOKUP($U$127,'TAR FIN'!$A$1:$O$115,15,0)),0,VLOOKUP($U$127,'TAR FIN'!$A$1:$O$115,15,0))*(1-0.06)</f>
        <v>157.97639999999998</v>
      </c>
      <c r="Y127" s="42">
        <f ca="1">('TUSD BE'!$AM$20+'TUSD BF'!$AM$20+'TUSD CVA'!$AM$20)*1*(1-0.03)</f>
        <v>19.996757900318997</v>
      </c>
      <c r="Z127" s="42">
        <f ca="1">('TUSD BE'!$AM$21+'TUSD BF'!$AM$21+'TUSD CVA'!$AM$21)*1*(1-0.03)</f>
        <v>110.02827653849539</v>
      </c>
      <c r="AA127" s="42">
        <f>('TE BE'!$AB$12+'TE BF'!$AB$12+'TE CVA'!$AB$12)*1*(1-0.03)</f>
        <v>212.12486502371149</v>
      </c>
      <c r="AB127" s="42">
        <f>(SUBSIDIO!$J$127*SUBSIDIO!$V$127)*(0.06)/(1-0.06)</f>
        <v>185.328</v>
      </c>
      <c r="AC127" s="42">
        <f>((SUBSIDIO!$L$127*SUBSIDIO!$W$127)+(SUBSIDIO!$N$127*SUBSIDIO!$X$127))*(0.06)/(1-0.06)</f>
        <v>1294.5672468</v>
      </c>
      <c r="AD127" s="42">
        <f ca="1">(SUBSIDIO!$J$127*SUBSIDIO!$Y$127)*(0.03)/(1-0.03)</f>
        <v>96.479203065456602</v>
      </c>
      <c r="AE127" s="42">
        <f ca="1">((SUBSIDIO!$L$127*SUBSIDIO!$Z$127)+(SUBSIDIO!$N$127*SUBSIDIO!$AA$127))*(0.03)/(1-0.03)</f>
        <v>851.81940262018497</v>
      </c>
      <c r="AF127" s="4" t="s">
        <v>935</v>
      </c>
    </row>
    <row r="128" spans="1:32" ht="11.25" customHeight="1" x14ac:dyDescent="0.25">
      <c r="A128" s="4" t="s">
        <v>28</v>
      </c>
      <c r="B128" s="4" t="s">
        <v>41</v>
      </c>
      <c r="C128" s="4" t="s">
        <v>42</v>
      </c>
      <c r="D128" s="4" t="s">
        <v>52</v>
      </c>
      <c r="E128" s="4" t="s">
        <v>53</v>
      </c>
      <c r="F128" s="4" t="s">
        <v>25</v>
      </c>
      <c r="G128" s="4" t="s">
        <v>25</v>
      </c>
      <c r="H128" s="4" t="s">
        <v>37</v>
      </c>
      <c r="I128" s="5">
        <v>44593</v>
      </c>
      <c r="J128" s="6">
        <v>90</v>
      </c>
      <c r="K128" s="43">
        <v>90</v>
      </c>
      <c r="L128" s="6">
        <v>40.375</v>
      </c>
      <c r="M128" s="42">
        <v>40.375</v>
      </c>
      <c r="N128" s="6">
        <v>40.375</v>
      </c>
      <c r="O128" s="42">
        <v>40.375</v>
      </c>
      <c r="P128" s="6">
        <v>0</v>
      </c>
      <c r="Q128" s="4" t="s">
        <v>26</v>
      </c>
      <c r="R128" s="4">
        <v>0</v>
      </c>
      <c r="S128" s="4">
        <v>20</v>
      </c>
      <c r="T128" s="4">
        <v>21</v>
      </c>
      <c r="U128" s="4">
        <v>75</v>
      </c>
      <c r="V128" s="42">
        <f>IF(ISERROR(VLOOKUP($S$128,'TAR FIN'!$A$1:$O$115,15,0)),0,VLOOKUP($S$128,'TAR FIN'!$A$1:$O$115,15,0))*(1-0.06)</f>
        <v>18.611999999999998</v>
      </c>
      <c r="W128" s="42">
        <f>IF(ISERROR(VLOOKUP($T$128,'TAR FIN'!$A$1:$O$115,15,0)),0,VLOOKUP($T$128,'TAR FIN'!$A$1:$O$115,15,0))*(1-0.06)</f>
        <v>79.251400000000004</v>
      </c>
      <c r="X128" s="42">
        <f>IF(ISERROR(VLOOKUP($U$128,'TAR FIN'!$A$1:$O$115,15,0)),0,VLOOKUP($U$128,'TAR FIN'!$A$1:$O$115,15,0))*(1-0.06)</f>
        <v>157.97639999999998</v>
      </c>
      <c r="Y128" s="42">
        <f ca="1">('TUSD BE'!$AM$20+'TUSD BF'!$AM$20+'TUSD CVA'!$AM$20)*1*(1-0.03)</f>
        <v>19.996757900318997</v>
      </c>
      <c r="Z128" s="42">
        <f ca="1">('TUSD BE'!$AM$21+'TUSD BF'!$AM$21+'TUSD CVA'!$AM$21)*1*(1-0.03)</f>
        <v>110.02827653849539</v>
      </c>
      <c r="AA128" s="42">
        <f>('TE BE'!$AB$12+'TE BF'!$AB$12+'TE CVA'!$AB$12)*1*(1-0.03)</f>
        <v>212.12486502371149</v>
      </c>
      <c r="AB128" s="42">
        <f>(SUBSIDIO!$J$128*SUBSIDIO!$V$128)*(0.06)/(1-0.06)</f>
        <v>106.91999999999999</v>
      </c>
      <c r="AC128" s="42">
        <f>((SUBSIDIO!$L$128*SUBSIDIO!$W$128)+(SUBSIDIO!$N$128*SUBSIDIO!$X$128))*(0.06)/(1-0.06)</f>
        <v>611.36632499999985</v>
      </c>
      <c r="AD128" s="42">
        <f ca="1">(SUBSIDIO!$J$128*SUBSIDIO!$Y$128)*(0.03)/(1-0.03)</f>
        <v>55.661078691609575</v>
      </c>
      <c r="AE128" s="42">
        <f ca="1">((SUBSIDIO!$L$128*SUBSIDIO!$Z$128)+(SUBSIDIO!$N$128*SUBSIDIO!$AA$128))*(0.03)/(1-0.03)</f>
        <v>402.27628115177635</v>
      </c>
      <c r="AF128" s="4" t="s">
        <v>935</v>
      </c>
    </row>
    <row r="129" spans="1:32" ht="11.25" customHeight="1" x14ac:dyDescent="0.25">
      <c r="A129" s="4" t="s">
        <v>21</v>
      </c>
      <c r="B129" s="4" t="s">
        <v>41</v>
      </c>
      <c r="C129" s="4" t="s">
        <v>42</v>
      </c>
      <c r="D129" s="4" t="s">
        <v>52</v>
      </c>
      <c r="E129" s="4" t="s">
        <v>53</v>
      </c>
      <c r="F129" s="4" t="s">
        <v>25</v>
      </c>
      <c r="G129" s="4" t="s">
        <v>25</v>
      </c>
      <c r="H129" s="4" t="s">
        <v>37</v>
      </c>
      <c r="I129" s="5">
        <v>44621</v>
      </c>
      <c r="J129" s="6">
        <v>160</v>
      </c>
      <c r="K129" s="43">
        <v>160</v>
      </c>
      <c r="L129" s="6">
        <v>93.093000000000004</v>
      </c>
      <c r="M129" s="42">
        <v>93.093000000000004</v>
      </c>
      <c r="N129" s="6">
        <v>93.093000000000004</v>
      </c>
      <c r="O129" s="42">
        <v>93.093000000000004</v>
      </c>
      <c r="P129" s="6">
        <v>0</v>
      </c>
      <c r="Q129" s="4" t="s">
        <v>26</v>
      </c>
      <c r="R129" s="4">
        <v>0</v>
      </c>
      <c r="S129" s="4">
        <v>20</v>
      </c>
      <c r="T129" s="4">
        <v>21</v>
      </c>
      <c r="U129" s="4">
        <v>75</v>
      </c>
      <c r="V129" s="42">
        <f>IF(ISERROR(VLOOKUP($S$129,'TAR FIN'!$A$1:$O$115,15,0)),0,VLOOKUP($S$129,'TAR FIN'!$A$1:$O$115,15,0))*(1-0.06)</f>
        <v>18.611999999999998</v>
      </c>
      <c r="W129" s="42">
        <f>IF(ISERROR(VLOOKUP($T$129,'TAR FIN'!$A$1:$O$115,15,0)),0,VLOOKUP($T$129,'TAR FIN'!$A$1:$O$115,15,0))*(1-0.06)</f>
        <v>79.251400000000004</v>
      </c>
      <c r="X129" s="42">
        <f>IF(ISERROR(VLOOKUP($U$129,'TAR FIN'!$A$1:$O$115,15,0)),0,VLOOKUP($U$129,'TAR FIN'!$A$1:$O$115,15,0))*(1-0.06)</f>
        <v>157.97639999999998</v>
      </c>
      <c r="Y129" s="42">
        <f ca="1">('TUSD BE'!$AM$20+'TUSD BF'!$AM$20+'TUSD CVA'!$AM$20)*1*(1-0.03)</f>
        <v>19.996757900318997</v>
      </c>
      <c r="Z129" s="42">
        <f ca="1">('TUSD BE'!$AM$21+'TUSD BF'!$AM$21+'TUSD CVA'!$AM$21)*1*(1-0.03)</f>
        <v>110.02827653849539</v>
      </c>
      <c r="AA129" s="42">
        <f>('TE BE'!$AB$12+'TE BF'!$AB$12+'TE CVA'!$AB$12)*1*(1-0.03)</f>
        <v>212.12486502371149</v>
      </c>
      <c r="AB129" s="42">
        <f>(SUBSIDIO!$J$129*SUBSIDIO!$V$129)*(0.06)/(1-0.06)</f>
        <v>190.07999999999996</v>
      </c>
      <c r="AC129" s="42">
        <f>((SUBSIDIO!$L$129*SUBSIDIO!$W$129)+(SUBSIDIO!$N$129*SUBSIDIO!$X$129))*(0.06)/(1-0.06)</f>
        <v>1409.6328246</v>
      </c>
      <c r="AD129" s="42">
        <f ca="1">(SUBSIDIO!$J$129*SUBSIDIO!$Y$129)*(0.03)/(1-0.03)</f>
        <v>98.953028785083688</v>
      </c>
      <c r="AE129" s="42">
        <f ca="1">((SUBSIDIO!$L$129*SUBSIDIO!$Z$129)+(SUBSIDIO!$N$129*SUBSIDIO!$AA$129))*(0.03)/(1-0.03)</f>
        <v>927.53203322011927</v>
      </c>
      <c r="AF129" s="4" t="s">
        <v>935</v>
      </c>
    </row>
    <row r="130" spans="1:32" ht="11.25" customHeight="1" x14ac:dyDescent="0.25">
      <c r="A130" s="4" t="s">
        <v>28</v>
      </c>
      <c r="B130" s="4" t="s">
        <v>41</v>
      </c>
      <c r="C130" s="4" t="s">
        <v>42</v>
      </c>
      <c r="D130" s="4" t="s">
        <v>52</v>
      </c>
      <c r="E130" s="4" t="s">
        <v>53</v>
      </c>
      <c r="F130" s="4" t="s">
        <v>25</v>
      </c>
      <c r="G130" s="4" t="s">
        <v>25</v>
      </c>
      <c r="H130" s="4" t="s">
        <v>37</v>
      </c>
      <c r="I130" s="5">
        <v>44621</v>
      </c>
      <c r="J130" s="6">
        <v>91</v>
      </c>
      <c r="K130" s="43">
        <v>91</v>
      </c>
      <c r="L130" s="6">
        <v>36.768999999999998</v>
      </c>
      <c r="M130" s="42">
        <v>36.768999999999998</v>
      </c>
      <c r="N130" s="6">
        <v>36.768999999999998</v>
      </c>
      <c r="O130" s="42">
        <v>36.768999999999998</v>
      </c>
      <c r="P130" s="6">
        <v>0</v>
      </c>
      <c r="Q130" s="4" t="s">
        <v>26</v>
      </c>
      <c r="R130" s="4">
        <v>0</v>
      </c>
      <c r="S130" s="4">
        <v>20</v>
      </c>
      <c r="T130" s="4">
        <v>21</v>
      </c>
      <c r="U130" s="4">
        <v>75</v>
      </c>
      <c r="V130" s="42">
        <f>IF(ISERROR(VLOOKUP($S$130,'TAR FIN'!$A$1:$O$115,15,0)),0,VLOOKUP($S$130,'TAR FIN'!$A$1:$O$115,15,0))*(1-0.06)</f>
        <v>18.611999999999998</v>
      </c>
      <c r="W130" s="42">
        <f>IF(ISERROR(VLOOKUP($T$130,'TAR FIN'!$A$1:$O$115,15,0)),0,VLOOKUP($T$130,'TAR FIN'!$A$1:$O$115,15,0))*(1-0.06)</f>
        <v>79.251400000000004</v>
      </c>
      <c r="X130" s="42">
        <f>IF(ISERROR(VLOOKUP($U$130,'TAR FIN'!$A$1:$O$115,15,0)),0,VLOOKUP($U$130,'TAR FIN'!$A$1:$O$115,15,0))*(1-0.06)</f>
        <v>157.97639999999998</v>
      </c>
      <c r="Y130" s="42">
        <f ca="1">('TUSD BE'!$AM$20+'TUSD BF'!$AM$20+'TUSD CVA'!$AM$20)*1*(1-0.03)</f>
        <v>19.996757900318997</v>
      </c>
      <c r="Z130" s="42">
        <f ca="1">('TUSD BE'!$AM$21+'TUSD BF'!$AM$21+'TUSD CVA'!$AM$21)*1*(1-0.03)</f>
        <v>110.02827653849539</v>
      </c>
      <c r="AA130" s="42">
        <f>('TE BE'!$AB$12+'TE BF'!$AB$12+'TE CVA'!$AB$12)*1*(1-0.03)</f>
        <v>212.12486502371149</v>
      </c>
      <c r="AB130" s="42">
        <f>(SUBSIDIO!$J$130*SUBSIDIO!$V$130)*(0.06)/(1-0.06)</f>
        <v>108.10799999999999</v>
      </c>
      <c r="AC130" s="42">
        <f>((SUBSIDIO!$L$130*SUBSIDIO!$W$130)+(SUBSIDIO!$N$130*SUBSIDIO!$X$130))*(0.06)/(1-0.06)</f>
        <v>556.76355179999996</v>
      </c>
      <c r="AD130" s="42">
        <f ca="1">(SUBSIDIO!$J$130*SUBSIDIO!$Y$130)*(0.03)/(1-0.03)</f>
        <v>56.279535121516354</v>
      </c>
      <c r="AE130" s="42">
        <f ca="1">((SUBSIDIO!$L$130*SUBSIDIO!$Z$130)+(SUBSIDIO!$N$130*SUBSIDIO!$AA$130))*(0.03)/(1-0.03)</f>
        <v>366.34790295157069</v>
      </c>
      <c r="AF130" s="4" t="s">
        <v>935</v>
      </c>
    </row>
    <row r="131" spans="1:32" ht="11.25" customHeight="1" x14ac:dyDescent="0.25">
      <c r="A131" s="4" t="s">
        <v>21</v>
      </c>
      <c r="B131" s="4" t="s">
        <v>41</v>
      </c>
      <c r="C131" s="4" t="s">
        <v>42</v>
      </c>
      <c r="D131" s="4" t="s">
        <v>52</v>
      </c>
      <c r="E131" s="4" t="s">
        <v>53</v>
      </c>
      <c r="F131" s="4" t="s">
        <v>25</v>
      </c>
      <c r="G131" s="4" t="s">
        <v>25</v>
      </c>
      <c r="H131" s="4" t="s">
        <v>37</v>
      </c>
      <c r="I131" s="5">
        <v>44652</v>
      </c>
      <c r="J131" s="6">
        <v>160</v>
      </c>
      <c r="K131" s="43">
        <v>160</v>
      </c>
      <c r="L131" s="6">
        <v>88.587000000000003</v>
      </c>
      <c r="M131" s="42">
        <v>88.587000000000003</v>
      </c>
      <c r="N131" s="6">
        <v>88.587000000000003</v>
      </c>
      <c r="O131" s="42">
        <v>88.587000000000003</v>
      </c>
      <c r="P131" s="6">
        <v>0</v>
      </c>
      <c r="Q131" s="4" t="s">
        <v>26</v>
      </c>
      <c r="R131" s="4">
        <v>0</v>
      </c>
      <c r="S131" s="4">
        <v>20</v>
      </c>
      <c r="T131" s="4">
        <v>21</v>
      </c>
      <c r="U131" s="4">
        <v>75</v>
      </c>
      <c r="V131" s="42">
        <f>IF(ISERROR(VLOOKUP($S$131,'TAR FIN'!$A$1:$O$115,15,0)),0,VLOOKUP($S$131,'TAR FIN'!$A$1:$O$115,15,0))*(1-0.06)</f>
        <v>18.611999999999998</v>
      </c>
      <c r="W131" s="42">
        <f>IF(ISERROR(VLOOKUP($T$131,'TAR FIN'!$A$1:$O$115,15,0)),0,VLOOKUP($T$131,'TAR FIN'!$A$1:$O$115,15,0))*(1-0.06)</f>
        <v>79.251400000000004</v>
      </c>
      <c r="X131" s="42">
        <f>IF(ISERROR(VLOOKUP($U$131,'TAR FIN'!$A$1:$O$115,15,0)),0,VLOOKUP($U$131,'TAR FIN'!$A$1:$O$115,15,0))*(1-0.06)</f>
        <v>157.97639999999998</v>
      </c>
      <c r="Y131" s="42">
        <f ca="1">('TUSD BE'!$AM$20+'TUSD BF'!$AM$20+'TUSD CVA'!$AM$20)*1*(1-0.03)</f>
        <v>19.996757900318997</v>
      </c>
      <c r="Z131" s="42">
        <f ca="1">('TUSD BE'!$AM$21+'TUSD BF'!$AM$21+'TUSD CVA'!$AM$21)*1*(1-0.03)</f>
        <v>110.02827653849539</v>
      </c>
      <c r="AA131" s="42">
        <f>('TE BE'!$AB$12+'TE BF'!$AB$12+'TE CVA'!$AB$12)*1*(1-0.03)</f>
        <v>212.12486502371149</v>
      </c>
      <c r="AB131" s="42">
        <f>(SUBSIDIO!$J$131*SUBSIDIO!$V$131)*(0.06)/(1-0.06)</f>
        <v>190.07999999999996</v>
      </c>
      <c r="AC131" s="42">
        <f>((SUBSIDIO!$L$131*SUBSIDIO!$W$131)+(SUBSIDIO!$N$131*SUBSIDIO!$X$131))*(0.06)/(1-0.06)</f>
        <v>1341.4020714000001</v>
      </c>
      <c r="AD131" s="42">
        <f ca="1">(SUBSIDIO!$J$131*SUBSIDIO!$Y$131)*(0.03)/(1-0.03)</f>
        <v>98.953028785083688</v>
      </c>
      <c r="AE131" s="42">
        <f ca="1">((SUBSIDIO!$L$131*SUBSIDIO!$Z$131)+(SUBSIDIO!$N$131*SUBSIDIO!$AA$131))*(0.03)/(1-0.03)</f>
        <v>882.63650571869755</v>
      </c>
      <c r="AF131" s="4" t="s">
        <v>935</v>
      </c>
    </row>
    <row r="132" spans="1:32" ht="11.25" customHeight="1" x14ac:dyDescent="0.25">
      <c r="A132" s="4" t="s">
        <v>28</v>
      </c>
      <c r="B132" s="4" t="s">
        <v>41</v>
      </c>
      <c r="C132" s="4" t="s">
        <v>42</v>
      </c>
      <c r="D132" s="4" t="s">
        <v>52</v>
      </c>
      <c r="E132" s="4" t="s">
        <v>53</v>
      </c>
      <c r="F132" s="4" t="s">
        <v>25</v>
      </c>
      <c r="G132" s="4" t="s">
        <v>25</v>
      </c>
      <c r="H132" s="4" t="s">
        <v>37</v>
      </c>
      <c r="I132" s="5">
        <v>44652</v>
      </c>
      <c r="J132" s="6">
        <v>93</v>
      </c>
      <c r="K132" s="43">
        <v>93</v>
      </c>
      <c r="L132" s="6">
        <v>39.274999999999999</v>
      </c>
      <c r="M132" s="42">
        <v>39.274999999999999</v>
      </c>
      <c r="N132" s="6">
        <v>39.274999999999999</v>
      </c>
      <c r="O132" s="42">
        <v>39.274999999999999</v>
      </c>
      <c r="P132" s="6">
        <v>0</v>
      </c>
      <c r="Q132" s="4" t="s">
        <v>26</v>
      </c>
      <c r="R132" s="4">
        <v>0</v>
      </c>
      <c r="S132" s="4">
        <v>20</v>
      </c>
      <c r="T132" s="4">
        <v>21</v>
      </c>
      <c r="U132" s="4">
        <v>75</v>
      </c>
      <c r="V132" s="42">
        <f>IF(ISERROR(VLOOKUP($S$132,'TAR FIN'!$A$1:$O$115,15,0)),0,VLOOKUP($S$132,'TAR FIN'!$A$1:$O$115,15,0))*(1-0.06)</f>
        <v>18.611999999999998</v>
      </c>
      <c r="W132" s="42">
        <f>IF(ISERROR(VLOOKUP($T$132,'TAR FIN'!$A$1:$O$115,15,0)),0,VLOOKUP($T$132,'TAR FIN'!$A$1:$O$115,15,0))*(1-0.06)</f>
        <v>79.251400000000004</v>
      </c>
      <c r="X132" s="42">
        <f>IF(ISERROR(VLOOKUP($U$132,'TAR FIN'!$A$1:$O$115,15,0)),0,VLOOKUP($U$132,'TAR FIN'!$A$1:$O$115,15,0))*(1-0.06)</f>
        <v>157.97639999999998</v>
      </c>
      <c r="Y132" s="42">
        <f ca="1">('TUSD BE'!$AM$20+'TUSD BF'!$AM$20+'TUSD CVA'!$AM$20)*1*(1-0.03)</f>
        <v>19.996757900318997</v>
      </c>
      <c r="Z132" s="42">
        <f ca="1">('TUSD BE'!$AM$21+'TUSD BF'!$AM$21+'TUSD CVA'!$AM$21)*1*(1-0.03)</f>
        <v>110.02827653849539</v>
      </c>
      <c r="AA132" s="42">
        <f>('TE BE'!$AB$12+'TE BF'!$AB$12+'TE CVA'!$AB$12)*1*(1-0.03)</f>
        <v>212.12486502371149</v>
      </c>
      <c r="AB132" s="42">
        <f>(SUBSIDIO!$J$132*SUBSIDIO!$V$132)*(0.06)/(1-0.06)</f>
        <v>110.48399999999999</v>
      </c>
      <c r="AC132" s="42">
        <f>((SUBSIDIO!$L$132*SUBSIDIO!$W$132)+(SUBSIDIO!$N$132*SUBSIDIO!$X$132))*(0.06)/(1-0.06)</f>
        <v>594.70990499999994</v>
      </c>
      <c r="AD132" s="42">
        <f ca="1">(SUBSIDIO!$J$132*SUBSIDIO!$Y$132)*(0.03)/(1-0.03)</f>
        <v>57.516447981329897</v>
      </c>
      <c r="AE132" s="42">
        <f ca="1">((SUBSIDIO!$L$132*SUBSIDIO!$Z$132)+(SUBSIDIO!$N$132*SUBSIDIO!$AA$132))*(0.03)/(1-0.03)</f>
        <v>391.31643200584557</v>
      </c>
      <c r="AF132" s="4" t="s">
        <v>935</v>
      </c>
    </row>
    <row r="133" spans="1:32" ht="11.25" customHeight="1" x14ac:dyDescent="0.25">
      <c r="A133" s="4" t="s">
        <v>21</v>
      </c>
      <c r="B133" s="4" t="s">
        <v>41</v>
      </c>
      <c r="C133" s="4" t="s">
        <v>42</v>
      </c>
      <c r="D133" s="4" t="s">
        <v>52</v>
      </c>
      <c r="E133" s="4" t="s">
        <v>53</v>
      </c>
      <c r="F133" s="4" t="s">
        <v>25</v>
      </c>
      <c r="G133" s="4" t="s">
        <v>25</v>
      </c>
      <c r="H133" s="4" t="s">
        <v>37</v>
      </c>
      <c r="I133" s="5">
        <v>44682</v>
      </c>
      <c r="J133" s="6">
        <v>158</v>
      </c>
      <c r="K133" s="43">
        <v>158</v>
      </c>
      <c r="L133" s="6">
        <v>92.653000000000006</v>
      </c>
      <c r="M133" s="42">
        <v>92.653000000000006</v>
      </c>
      <c r="N133" s="6">
        <v>92.653000000000006</v>
      </c>
      <c r="O133" s="42">
        <v>92.653000000000006</v>
      </c>
      <c r="P133" s="6">
        <v>0</v>
      </c>
      <c r="Q133" s="4" t="s">
        <v>26</v>
      </c>
      <c r="R133" s="4">
        <v>0</v>
      </c>
      <c r="S133" s="4">
        <v>20</v>
      </c>
      <c r="T133" s="4">
        <v>21</v>
      </c>
      <c r="U133" s="4">
        <v>75</v>
      </c>
      <c r="V133" s="42">
        <f>IF(ISERROR(VLOOKUP($S$133,'TAR FIN'!$A$1:$O$115,15,0)),0,VLOOKUP($S$133,'TAR FIN'!$A$1:$O$115,15,0))*(1-0.06)</f>
        <v>18.611999999999998</v>
      </c>
      <c r="W133" s="42">
        <f>IF(ISERROR(VLOOKUP($T$133,'TAR FIN'!$A$1:$O$115,15,0)),0,VLOOKUP($T$133,'TAR FIN'!$A$1:$O$115,15,0))*(1-0.06)</f>
        <v>79.251400000000004</v>
      </c>
      <c r="X133" s="42">
        <f>IF(ISERROR(VLOOKUP($U$133,'TAR FIN'!$A$1:$O$115,15,0)),0,VLOOKUP($U$133,'TAR FIN'!$A$1:$O$115,15,0))*(1-0.06)</f>
        <v>157.97639999999998</v>
      </c>
      <c r="Y133" s="42">
        <f ca="1">('TUSD BE'!$AM$20+'TUSD BF'!$AM$20+'TUSD CVA'!$AM$20)*1*(1-0.03)</f>
        <v>19.996757900318997</v>
      </c>
      <c r="Z133" s="42">
        <f ca="1">('TUSD BE'!$AM$21+'TUSD BF'!$AM$21+'TUSD CVA'!$AM$21)*1*(1-0.03)</f>
        <v>110.02827653849539</v>
      </c>
      <c r="AA133" s="42">
        <f>('TE BE'!$AB$12+'TE BF'!$AB$12+'TE CVA'!$AB$12)*1*(1-0.03)</f>
        <v>212.12486502371149</v>
      </c>
      <c r="AB133" s="42">
        <f>(SUBSIDIO!$J$133*SUBSIDIO!$V$133)*(0.06)/(1-0.06)</f>
        <v>187.70400000000001</v>
      </c>
      <c r="AC133" s="42">
        <f>((SUBSIDIO!$L$133*SUBSIDIO!$W$133)+(SUBSIDIO!$N$133*SUBSIDIO!$X$133))*(0.06)/(1-0.06)</f>
        <v>1402.9702566000001</v>
      </c>
      <c r="AD133" s="42">
        <f ca="1">(SUBSIDIO!$J$133*SUBSIDIO!$Y$133)*(0.03)/(1-0.03)</f>
        <v>97.716115925270159</v>
      </c>
      <c r="AE133" s="42">
        <f ca="1">((SUBSIDIO!$L$133*SUBSIDIO!$Z$133)+(SUBSIDIO!$N$133*SUBSIDIO!$AA$133))*(0.03)/(1-0.03)</f>
        <v>923.14809356174715</v>
      </c>
      <c r="AF133" s="4" t="s">
        <v>935</v>
      </c>
    </row>
    <row r="134" spans="1:32" ht="11.25" customHeight="1" x14ac:dyDescent="0.25">
      <c r="A134" s="4" t="s">
        <v>28</v>
      </c>
      <c r="B134" s="4" t="s">
        <v>41</v>
      </c>
      <c r="C134" s="4" t="s">
        <v>42</v>
      </c>
      <c r="D134" s="4" t="s">
        <v>52</v>
      </c>
      <c r="E134" s="4" t="s">
        <v>53</v>
      </c>
      <c r="F134" s="4" t="s">
        <v>25</v>
      </c>
      <c r="G134" s="4" t="s">
        <v>25</v>
      </c>
      <c r="H134" s="4" t="s">
        <v>37</v>
      </c>
      <c r="I134" s="5">
        <v>44682</v>
      </c>
      <c r="J134" s="6">
        <v>94</v>
      </c>
      <c r="K134" s="43">
        <v>94</v>
      </c>
      <c r="L134" s="6">
        <v>38.981999999999999</v>
      </c>
      <c r="M134" s="42">
        <v>38.981999999999999</v>
      </c>
      <c r="N134" s="6">
        <v>38.981999999999999</v>
      </c>
      <c r="O134" s="42">
        <v>38.981999999999999</v>
      </c>
      <c r="P134" s="6">
        <v>0</v>
      </c>
      <c r="Q134" s="4" t="s">
        <v>26</v>
      </c>
      <c r="R134" s="4">
        <v>0</v>
      </c>
      <c r="S134" s="4">
        <v>20</v>
      </c>
      <c r="T134" s="4">
        <v>21</v>
      </c>
      <c r="U134" s="4">
        <v>75</v>
      </c>
      <c r="V134" s="42">
        <f>IF(ISERROR(VLOOKUP($S$134,'TAR FIN'!$A$1:$O$115,15,0)),0,VLOOKUP($S$134,'TAR FIN'!$A$1:$O$115,15,0))*(1-0.06)</f>
        <v>18.611999999999998</v>
      </c>
      <c r="W134" s="42">
        <f>IF(ISERROR(VLOOKUP($T$134,'TAR FIN'!$A$1:$O$115,15,0)),0,VLOOKUP($T$134,'TAR FIN'!$A$1:$O$115,15,0))*(1-0.06)</f>
        <v>79.251400000000004</v>
      </c>
      <c r="X134" s="42">
        <f>IF(ISERROR(VLOOKUP($U$134,'TAR FIN'!$A$1:$O$115,15,0)),0,VLOOKUP($U$134,'TAR FIN'!$A$1:$O$115,15,0))*(1-0.06)</f>
        <v>157.97639999999998</v>
      </c>
      <c r="Y134" s="42">
        <f ca="1">('TUSD BE'!$AM$20+'TUSD BF'!$AM$20+'TUSD CVA'!$AM$20)*1*(1-0.03)</f>
        <v>19.996757900318997</v>
      </c>
      <c r="Z134" s="42">
        <f ca="1">('TUSD BE'!$AM$21+'TUSD BF'!$AM$21+'TUSD CVA'!$AM$21)*1*(1-0.03)</f>
        <v>110.02827653849539</v>
      </c>
      <c r="AA134" s="42">
        <f>('TE BE'!$AB$12+'TE BF'!$AB$12+'TE CVA'!$AB$12)*1*(1-0.03)</f>
        <v>212.12486502371149</v>
      </c>
      <c r="AB134" s="42">
        <f>(SUBSIDIO!$J$134*SUBSIDIO!$V$134)*(0.06)/(1-0.06)</f>
        <v>111.67199999999998</v>
      </c>
      <c r="AC134" s="42">
        <f>((SUBSIDIO!$L$134*SUBSIDIO!$W$134)+(SUBSIDIO!$N$134*SUBSIDIO!$X$134))*(0.06)/(1-0.06)</f>
        <v>590.27324039999996</v>
      </c>
      <c r="AD134" s="42">
        <f ca="1">(SUBSIDIO!$J$134*SUBSIDIO!$Y$134)*(0.03)/(1-0.03)</f>
        <v>58.134904411236668</v>
      </c>
      <c r="AE134" s="42">
        <f ca="1">((SUBSIDIO!$L$134*SUBSIDIO!$Z$134)+(SUBSIDIO!$N$134*SUBSIDIO!$AA$134))*(0.03)/(1-0.03)</f>
        <v>388.39712673333867</v>
      </c>
      <c r="AF134" s="4" t="s">
        <v>935</v>
      </c>
    </row>
    <row r="135" spans="1:32" ht="11.25" customHeight="1" x14ac:dyDescent="0.25">
      <c r="A135" s="4" t="s">
        <v>21</v>
      </c>
      <c r="B135" s="4" t="s">
        <v>41</v>
      </c>
      <c r="C135" s="4" t="s">
        <v>42</v>
      </c>
      <c r="D135" s="4" t="s">
        <v>52</v>
      </c>
      <c r="E135" s="4" t="s">
        <v>53</v>
      </c>
      <c r="F135" s="4" t="s">
        <v>25</v>
      </c>
      <c r="G135" s="4" t="s">
        <v>25</v>
      </c>
      <c r="H135" s="4" t="s">
        <v>37</v>
      </c>
      <c r="I135" s="5">
        <v>44713</v>
      </c>
      <c r="J135" s="6">
        <v>159</v>
      </c>
      <c r="K135" s="43">
        <v>159</v>
      </c>
      <c r="L135" s="6">
        <v>85.656000000000006</v>
      </c>
      <c r="M135" s="42">
        <v>85.656000000000006</v>
      </c>
      <c r="N135" s="6">
        <v>85.656000000000006</v>
      </c>
      <c r="O135" s="42">
        <v>85.656000000000006</v>
      </c>
      <c r="P135" s="6">
        <v>0</v>
      </c>
      <c r="Q135" s="4" t="s">
        <v>26</v>
      </c>
      <c r="R135" s="4">
        <v>0</v>
      </c>
      <c r="S135" s="4">
        <v>20</v>
      </c>
      <c r="T135" s="4">
        <v>21</v>
      </c>
      <c r="U135" s="4">
        <v>75</v>
      </c>
      <c r="V135" s="42">
        <f>IF(ISERROR(VLOOKUP($S$135,'TAR FIN'!$A$1:$O$115,15,0)),0,VLOOKUP($S$135,'TAR FIN'!$A$1:$O$115,15,0))*(1-0.06)</f>
        <v>18.611999999999998</v>
      </c>
      <c r="W135" s="42">
        <f>IF(ISERROR(VLOOKUP($T$135,'TAR FIN'!$A$1:$O$115,15,0)),0,VLOOKUP($T$135,'TAR FIN'!$A$1:$O$115,15,0))*(1-0.06)</f>
        <v>79.251400000000004</v>
      </c>
      <c r="X135" s="42">
        <f>IF(ISERROR(VLOOKUP($U$135,'TAR FIN'!$A$1:$O$115,15,0)),0,VLOOKUP($U$135,'TAR FIN'!$A$1:$O$115,15,0))*(1-0.06)</f>
        <v>157.97639999999998</v>
      </c>
      <c r="Y135" s="42">
        <f ca="1">('TUSD BE'!$AM$20+'TUSD BF'!$AM$20+'TUSD CVA'!$AM$20)*1*(1-0.03)</f>
        <v>19.996757900318997</v>
      </c>
      <c r="Z135" s="42">
        <f ca="1">('TUSD BE'!$AM$21+'TUSD BF'!$AM$21+'TUSD CVA'!$AM$21)*1*(1-0.03)</f>
        <v>110.02827653849539</v>
      </c>
      <c r="AA135" s="42">
        <f>('TE BE'!$AB$12+'TE BF'!$AB$12+'TE CVA'!$AB$12)*1*(1-0.03)</f>
        <v>212.12486502371149</v>
      </c>
      <c r="AB135" s="42">
        <f>(SUBSIDIO!$J$135*SUBSIDIO!$V$135)*(0.06)/(1-0.06)</f>
        <v>188.892</v>
      </c>
      <c r="AC135" s="42">
        <f>((SUBSIDIO!$L$135*SUBSIDIO!$W$135)+(SUBSIDIO!$N$135*SUBSIDIO!$X$135))*(0.06)/(1-0.06)</f>
        <v>1297.0202832</v>
      </c>
      <c r="AD135" s="42">
        <f ca="1">(SUBSIDIO!$J$135*SUBSIDIO!$Y$135)*(0.03)/(1-0.03)</f>
        <v>98.334572355176917</v>
      </c>
      <c r="AE135" s="42">
        <f ca="1">((SUBSIDIO!$L$135*SUBSIDIO!$Z$135)+(SUBSIDIO!$N$135*SUBSIDIO!$AA$135))*(0.03)/(1-0.03)</f>
        <v>853.43348949440394</v>
      </c>
      <c r="AF135" s="4" t="s">
        <v>935</v>
      </c>
    </row>
    <row r="136" spans="1:32" ht="11.25" customHeight="1" x14ac:dyDescent="0.25">
      <c r="A136" s="4" t="s">
        <v>28</v>
      </c>
      <c r="B136" s="4" t="s">
        <v>41</v>
      </c>
      <c r="C136" s="4" t="s">
        <v>42</v>
      </c>
      <c r="D136" s="4" t="s">
        <v>52</v>
      </c>
      <c r="E136" s="4" t="s">
        <v>53</v>
      </c>
      <c r="F136" s="4" t="s">
        <v>25</v>
      </c>
      <c r="G136" s="4" t="s">
        <v>25</v>
      </c>
      <c r="H136" s="4" t="s">
        <v>37</v>
      </c>
      <c r="I136" s="5">
        <v>44713</v>
      </c>
      <c r="J136" s="6">
        <v>93</v>
      </c>
      <c r="K136" s="43">
        <v>93</v>
      </c>
      <c r="L136" s="6">
        <v>45.875</v>
      </c>
      <c r="M136" s="42">
        <v>45.875</v>
      </c>
      <c r="N136" s="6">
        <v>45.875</v>
      </c>
      <c r="O136" s="42">
        <v>45.875</v>
      </c>
      <c r="P136" s="6">
        <v>0</v>
      </c>
      <c r="Q136" s="4" t="s">
        <v>26</v>
      </c>
      <c r="R136" s="4">
        <v>0</v>
      </c>
      <c r="S136" s="4">
        <v>20</v>
      </c>
      <c r="T136" s="4">
        <v>21</v>
      </c>
      <c r="U136" s="4">
        <v>75</v>
      </c>
      <c r="V136" s="42">
        <f>IF(ISERROR(VLOOKUP($S$136,'TAR FIN'!$A$1:$O$115,15,0)),0,VLOOKUP($S$136,'TAR FIN'!$A$1:$O$115,15,0))*(1-0.06)</f>
        <v>18.611999999999998</v>
      </c>
      <c r="W136" s="42">
        <f>IF(ISERROR(VLOOKUP($T$136,'TAR FIN'!$A$1:$O$115,15,0)),0,VLOOKUP($T$136,'TAR FIN'!$A$1:$O$115,15,0))*(1-0.06)</f>
        <v>79.251400000000004</v>
      </c>
      <c r="X136" s="42">
        <f>IF(ISERROR(VLOOKUP($U$136,'TAR FIN'!$A$1:$O$115,15,0)),0,VLOOKUP($U$136,'TAR FIN'!$A$1:$O$115,15,0))*(1-0.06)</f>
        <v>157.97639999999998</v>
      </c>
      <c r="Y136" s="42">
        <f ca="1">('TUSD BE'!$AM$20+'TUSD BF'!$AM$20+'TUSD CVA'!$AM$20)*1*(1-0.03)</f>
        <v>19.996757900318997</v>
      </c>
      <c r="Z136" s="42">
        <f ca="1">('TUSD BE'!$AM$21+'TUSD BF'!$AM$21+'TUSD CVA'!$AM$21)*1*(1-0.03)</f>
        <v>110.02827653849539</v>
      </c>
      <c r="AA136" s="42">
        <f>('TE BE'!$AB$12+'TE BF'!$AB$12+'TE CVA'!$AB$12)*1*(1-0.03)</f>
        <v>212.12486502371149</v>
      </c>
      <c r="AB136" s="42">
        <f>(SUBSIDIO!$J$136*SUBSIDIO!$V$136)*(0.06)/(1-0.06)</f>
        <v>110.48399999999999</v>
      </c>
      <c r="AC136" s="42">
        <f>((SUBSIDIO!$L$136*SUBSIDIO!$W$136)+(SUBSIDIO!$N$136*SUBSIDIO!$X$136))*(0.06)/(1-0.06)</f>
        <v>694.64842499999997</v>
      </c>
      <c r="AD136" s="42">
        <f ca="1">(SUBSIDIO!$J$136*SUBSIDIO!$Y$136)*(0.03)/(1-0.03)</f>
        <v>57.516447981329897</v>
      </c>
      <c r="AE136" s="42">
        <f ca="1">((SUBSIDIO!$L$136*SUBSIDIO!$Z$136)+(SUBSIDIO!$N$136*SUBSIDIO!$AA$136))*(0.03)/(1-0.03)</f>
        <v>457.07552688143011</v>
      </c>
      <c r="AF136" s="4" t="s">
        <v>935</v>
      </c>
    </row>
    <row r="137" spans="1:32" ht="11.25" customHeight="1" x14ac:dyDescent="0.25">
      <c r="A137" s="4" t="s">
        <v>21</v>
      </c>
      <c r="B137" s="4" t="s">
        <v>41</v>
      </c>
      <c r="C137" s="4" t="s">
        <v>42</v>
      </c>
      <c r="D137" s="4" t="s">
        <v>52</v>
      </c>
      <c r="E137" s="4" t="s">
        <v>53</v>
      </c>
      <c r="F137" s="4" t="s">
        <v>25</v>
      </c>
      <c r="G137" s="4" t="s">
        <v>25</v>
      </c>
      <c r="H137" s="4" t="s">
        <v>37</v>
      </c>
      <c r="I137" s="5">
        <v>44743</v>
      </c>
      <c r="J137" s="6">
        <v>155</v>
      </c>
      <c r="K137" s="43">
        <v>155</v>
      </c>
      <c r="L137" s="6">
        <v>93.438999999999993</v>
      </c>
      <c r="M137" s="42">
        <v>93.438999999999993</v>
      </c>
      <c r="N137" s="6">
        <v>93.438999999999993</v>
      </c>
      <c r="O137" s="42">
        <v>93.438999999999993</v>
      </c>
      <c r="P137" s="6">
        <v>0</v>
      </c>
      <c r="Q137" s="4" t="s">
        <v>26</v>
      </c>
      <c r="R137" s="4">
        <v>0</v>
      </c>
      <c r="S137" s="4">
        <v>20</v>
      </c>
      <c r="T137" s="4">
        <v>21</v>
      </c>
      <c r="U137" s="4">
        <v>75</v>
      </c>
      <c r="V137" s="42">
        <f>IF(ISERROR(VLOOKUP($S$137,'TAR FIN'!$A$1:$O$115,15,0)),0,VLOOKUP($S$137,'TAR FIN'!$A$1:$O$115,15,0))*(1-0.06)</f>
        <v>18.611999999999998</v>
      </c>
      <c r="W137" s="42">
        <f>IF(ISERROR(VLOOKUP($T$137,'TAR FIN'!$A$1:$O$115,15,0)),0,VLOOKUP($T$137,'TAR FIN'!$A$1:$O$115,15,0))*(1-0.06)</f>
        <v>79.251400000000004</v>
      </c>
      <c r="X137" s="42">
        <f>IF(ISERROR(VLOOKUP($U$137,'TAR FIN'!$A$1:$O$115,15,0)),0,VLOOKUP($U$137,'TAR FIN'!$A$1:$O$115,15,0))*(1-0.06)</f>
        <v>157.97639999999998</v>
      </c>
      <c r="Y137" s="42">
        <f ca="1">('TUSD BE'!$AM$20+'TUSD BF'!$AM$20+'TUSD CVA'!$AM$20)*1*(1-0.03)</f>
        <v>19.996757900318997</v>
      </c>
      <c r="Z137" s="42">
        <f ca="1">('TUSD BE'!$AM$21+'TUSD BF'!$AM$21+'TUSD CVA'!$AM$21)*1*(1-0.03)</f>
        <v>110.02827653849539</v>
      </c>
      <c r="AA137" s="42">
        <f>('TE BE'!$AB$12+'TE BF'!$AB$12+'TE CVA'!$AB$12)*1*(1-0.03)</f>
        <v>212.12486502371149</v>
      </c>
      <c r="AB137" s="42">
        <f>(SUBSIDIO!$J$137*SUBSIDIO!$V$137)*(0.06)/(1-0.06)</f>
        <v>184.14</v>
      </c>
      <c r="AC137" s="42">
        <f>((SUBSIDIO!$L$137*SUBSIDIO!$W$137)+(SUBSIDIO!$N$137*SUBSIDIO!$X$137))*(0.06)/(1-0.06)</f>
        <v>1414.8720258000001</v>
      </c>
      <c r="AD137" s="42">
        <f ca="1">(SUBSIDIO!$J$137*SUBSIDIO!$Y$137)*(0.03)/(1-0.03)</f>
        <v>95.86074663554983</v>
      </c>
      <c r="AE137" s="42">
        <f ca="1">((SUBSIDIO!$L$137*SUBSIDIO!$Z$137)+(SUBSIDIO!$N$137*SUBSIDIO!$AA$137))*(0.03)/(1-0.03)</f>
        <v>930.97940395147555</v>
      </c>
      <c r="AF137" s="4" t="s">
        <v>935</v>
      </c>
    </row>
    <row r="138" spans="1:32" ht="11.25" customHeight="1" x14ac:dyDescent="0.25">
      <c r="A138" s="4" t="s">
        <v>28</v>
      </c>
      <c r="B138" s="4" t="s">
        <v>41</v>
      </c>
      <c r="C138" s="4" t="s">
        <v>42</v>
      </c>
      <c r="D138" s="4" t="s">
        <v>52</v>
      </c>
      <c r="E138" s="4" t="s">
        <v>53</v>
      </c>
      <c r="F138" s="4" t="s">
        <v>25</v>
      </c>
      <c r="G138" s="4" t="s">
        <v>25</v>
      </c>
      <c r="H138" s="4" t="s">
        <v>37</v>
      </c>
      <c r="I138" s="5">
        <v>44743</v>
      </c>
      <c r="J138" s="6">
        <v>94</v>
      </c>
      <c r="K138" s="43">
        <v>94</v>
      </c>
      <c r="L138" s="6">
        <v>47.609000000000002</v>
      </c>
      <c r="M138" s="42">
        <v>47.609000000000002</v>
      </c>
      <c r="N138" s="6">
        <v>47.609000000000002</v>
      </c>
      <c r="O138" s="42">
        <v>47.609000000000002</v>
      </c>
      <c r="P138" s="6">
        <v>0</v>
      </c>
      <c r="Q138" s="4" t="s">
        <v>26</v>
      </c>
      <c r="R138" s="4">
        <v>0</v>
      </c>
      <c r="S138" s="4">
        <v>20</v>
      </c>
      <c r="T138" s="4">
        <v>21</v>
      </c>
      <c r="U138" s="4">
        <v>75</v>
      </c>
      <c r="V138" s="42">
        <f>IF(ISERROR(VLOOKUP($S$138,'TAR FIN'!$A$1:$O$115,15,0)),0,VLOOKUP($S$138,'TAR FIN'!$A$1:$O$115,15,0))*(1-0.06)</f>
        <v>18.611999999999998</v>
      </c>
      <c r="W138" s="42">
        <f>IF(ISERROR(VLOOKUP($T$138,'TAR FIN'!$A$1:$O$115,15,0)),0,VLOOKUP($T$138,'TAR FIN'!$A$1:$O$115,15,0))*(1-0.06)</f>
        <v>79.251400000000004</v>
      </c>
      <c r="X138" s="42">
        <f>IF(ISERROR(VLOOKUP($U$138,'TAR FIN'!$A$1:$O$115,15,0)),0,VLOOKUP($U$138,'TAR FIN'!$A$1:$O$115,15,0))*(1-0.06)</f>
        <v>157.97639999999998</v>
      </c>
      <c r="Y138" s="42">
        <f ca="1">('TUSD BE'!$AM$20+'TUSD BF'!$AM$20+'TUSD CVA'!$AM$20)*1*(1-0.03)</f>
        <v>19.996757900318997</v>
      </c>
      <c r="Z138" s="42">
        <f ca="1">('TUSD BE'!$AM$21+'TUSD BF'!$AM$21+'TUSD CVA'!$AM$21)*1*(1-0.03)</f>
        <v>110.02827653849539</v>
      </c>
      <c r="AA138" s="42">
        <f>('TE BE'!$AB$12+'TE BF'!$AB$12+'TE CVA'!$AB$12)*1*(1-0.03)</f>
        <v>212.12486502371149</v>
      </c>
      <c r="AB138" s="42">
        <f>(SUBSIDIO!$J$138*SUBSIDIO!$V$138)*(0.06)/(1-0.06)</f>
        <v>111.67199999999998</v>
      </c>
      <c r="AC138" s="42">
        <f>((SUBSIDIO!$L$138*SUBSIDIO!$W$138)+(SUBSIDIO!$N$138*SUBSIDIO!$X$138))*(0.06)/(1-0.06)</f>
        <v>720.90499980000004</v>
      </c>
      <c r="AD138" s="42">
        <f ca="1">(SUBSIDIO!$J$138*SUBSIDIO!$Y$138)*(0.03)/(1-0.03)</f>
        <v>58.134904411236668</v>
      </c>
      <c r="AE138" s="42">
        <f ca="1">((SUBSIDIO!$L$138*SUBSIDIO!$Z$138)+(SUBSIDIO!$N$138*SUBSIDIO!$AA$138))*(0.03)/(1-0.03)</f>
        <v>474.3522345351065</v>
      </c>
      <c r="AF138" s="4" t="s">
        <v>935</v>
      </c>
    </row>
    <row r="139" spans="1:32" ht="11.25" customHeight="1" x14ac:dyDescent="0.25">
      <c r="A139" s="4" t="s">
        <v>21</v>
      </c>
      <c r="B139" s="4" t="s">
        <v>41</v>
      </c>
      <c r="C139" s="4" t="s">
        <v>42</v>
      </c>
      <c r="D139" s="4" t="s">
        <v>52</v>
      </c>
      <c r="E139" s="4" t="s">
        <v>53</v>
      </c>
      <c r="F139" s="4" t="s">
        <v>25</v>
      </c>
      <c r="G139" s="4" t="s">
        <v>25</v>
      </c>
      <c r="H139" s="4" t="s">
        <v>37</v>
      </c>
      <c r="I139" s="5">
        <v>44774</v>
      </c>
      <c r="J139" s="6">
        <v>161</v>
      </c>
      <c r="K139" s="43">
        <v>161</v>
      </c>
      <c r="L139" s="6">
        <v>95.522999999999996</v>
      </c>
      <c r="M139" s="42">
        <v>95.522999999999996</v>
      </c>
      <c r="N139" s="6">
        <v>95.522999999999996</v>
      </c>
      <c r="O139" s="42">
        <v>95.522999999999996</v>
      </c>
      <c r="P139" s="6">
        <v>0</v>
      </c>
      <c r="Q139" s="4" t="s">
        <v>26</v>
      </c>
      <c r="R139" s="4">
        <v>0</v>
      </c>
      <c r="S139" s="4">
        <v>20</v>
      </c>
      <c r="T139" s="4">
        <v>21</v>
      </c>
      <c r="U139" s="4">
        <v>75</v>
      </c>
      <c r="V139" s="42">
        <f>IF(ISERROR(VLOOKUP($S$139,'TAR FIN'!$A$1:$O$115,15,0)),0,VLOOKUP($S$139,'TAR FIN'!$A$1:$O$115,15,0))*(1-0.06)</f>
        <v>18.611999999999998</v>
      </c>
      <c r="W139" s="42">
        <f>IF(ISERROR(VLOOKUP($T$139,'TAR FIN'!$A$1:$O$115,15,0)),0,VLOOKUP($T$139,'TAR FIN'!$A$1:$O$115,15,0))*(1-0.06)</f>
        <v>79.251400000000004</v>
      </c>
      <c r="X139" s="42">
        <f>IF(ISERROR(VLOOKUP($U$139,'TAR FIN'!$A$1:$O$115,15,0)),0,VLOOKUP($U$139,'TAR FIN'!$A$1:$O$115,15,0))*(1-0.06)</f>
        <v>157.97639999999998</v>
      </c>
      <c r="Y139" s="42">
        <f ca="1">('TUSD BE'!$AM$20+'TUSD BF'!$AM$20+'TUSD CVA'!$AM$20)*1*(1-0.03)</f>
        <v>19.996757900318997</v>
      </c>
      <c r="Z139" s="42">
        <f ca="1">('TUSD BE'!$AM$21+'TUSD BF'!$AM$21+'TUSD CVA'!$AM$21)*1*(1-0.03)</f>
        <v>110.02827653849539</v>
      </c>
      <c r="AA139" s="42">
        <f>('TE BE'!$AB$12+'TE BF'!$AB$12+'TE CVA'!$AB$12)*1*(1-0.03)</f>
        <v>212.12486502371149</v>
      </c>
      <c r="AB139" s="42">
        <f>(SUBSIDIO!$J$139*SUBSIDIO!$V$139)*(0.06)/(1-0.06)</f>
        <v>191.26799999999997</v>
      </c>
      <c r="AC139" s="42">
        <f>((SUBSIDIO!$L$139*SUBSIDIO!$W$139)+(SUBSIDIO!$N$139*SUBSIDIO!$X$139))*(0.06)/(1-0.06)</f>
        <v>1446.4283705999999</v>
      </c>
      <c r="AD139" s="42">
        <f ca="1">(SUBSIDIO!$J$139*SUBSIDIO!$Y$139)*(0.03)/(1-0.03)</f>
        <v>99.571485214990474</v>
      </c>
      <c r="AE139" s="42">
        <f ca="1">((SUBSIDIO!$L$139*SUBSIDIO!$Z$139)+(SUBSIDIO!$N$139*SUBSIDIO!$AA$139))*(0.03)/(1-0.03)</f>
        <v>951.74333633340257</v>
      </c>
      <c r="AF139" s="4" t="s">
        <v>935</v>
      </c>
    </row>
    <row r="140" spans="1:32" ht="11.25" customHeight="1" x14ac:dyDescent="0.25">
      <c r="A140" s="4" t="s">
        <v>28</v>
      </c>
      <c r="B140" s="4" t="s">
        <v>41</v>
      </c>
      <c r="C140" s="4" t="s">
        <v>42</v>
      </c>
      <c r="D140" s="4" t="s">
        <v>52</v>
      </c>
      <c r="E140" s="4" t="s">
        <v>53</v>
      </c>
      <c r="F140" s="4" t="s">
        <v>25</v>
      </c>
      <c r="G140" s="4" t="s">
        <v>25</v>
      </c>
      <c r="H140" s="4" t="s">
        <v>37</v>
      </c>
      <c r="I140" s="5">
        <v>44774</v>
      </c>
      <c r="J140" s="6">
        <v>104</v>
      </c>
      <c r="K140" s="43">
        <v>104</v>
      </c>
      <c r="L140" s="6">
        <v>48.96</v>
      </c>
      <c r="M140" s="42">
        <v>48.96</v>
      </c>
      <c r="N140" s="6">
        <v>48.96</v>
      </c>
      <c r="O140" s="42">
        <v>48.96</v>
      </c>
      <c r="P140" s="6">
        <v>0</v>
      </c>
      <c r="Q140" s="4" t="s">
        <v>26</v>
      </c>
      <c r="R140" s="4">
        <v>0</v>
      </c>
      <c r="S140" s="4">
        <v>20</v>
      </c>
      <c r="T140" s="4">
        <v>21</v>
      </c>
      <c r="U140" s="4">
        <v>75</v>
      </c>
      <c r="V140" s="42">
        <f>IF(ISERROR(VLOOKUP($S$140,'TAR FIN'!$A$1:$O$115,15,0)),0,VLOOKUP($S$140,'TAR FIN'!$A$1:$O$115,15,0))*(1-0.06)</f>
        <v>18.611999999999998</v>
      </c>
      <c r="W140" s="42">
        <f>IF(ISERROR(VLOOKUP($T$140,'TAR FIN'!$A$1:$O$115,15,0)),0,VLOOKUP($T$140,'TAR FIN'!$A$1:$O$115,15,0))*(1-0.06)</f>
        <v>79.251400000000004</v>
      </c>
      <c r="X140" s="42">
        <f>IF(ISERROR(VLOOKUP($U$140,'TAR FIN'!$A$1:$O$115,15,0)),0,VLOOKUP($U$140,'TAR FIN'!$A$1:$O$115,15,0))*(1-0.06)</f>
        <v>157.97639999999998</v>
      </c>
      <c r="Y140" s="42">
        <f ca="1">('TUSD BE'!$AM$20+'TUSD BF'!$AM$20+'TUSD CVA'!$AM$20)*1*(1-0.03)</f>
        <v>19.996757900318997</v>
      </c>
      <c r="Z140" s="42">
        <f ca="1">('TUSD BE'!$AM$21+'TUSD BF'!$AM$21+'TUSD CVA'!$AM$21)*1*(1-0.03)</f>
        <v>110.02827653849539</v>
      </c>
      <c r="AA140" s="42">
        <f>('TE BE'!$AB$12+'TE BF'!$AB$12+'TE CVA'!$AB$12)*1*(1-0.03)</f>
        <v>212.12486502371149</v>
      </c>
      <c r="AB140" s="42">
        <f>(SUBSIDIO!$J$140*SUBSIDIO!$V$140)*(0.06)/(1-0.06)</f>
        <v>123.55199999999999</v>
      </c>
      <c r="AC140" s="42">
        <f>((SUBSIDIO!$L$140*SUBSIDIO!$W$140)+(SUBSIDIO!$N$140*SUBSIDIO!$X$140))*(0.06)/(1-0.06)</f>
        <v>741.36211199999991</v>
      </c>
      <c r="AD140" s="42">
        <f ca="1">(SUBSIDIO!$J$140*SUBSIDIO!$Y$140)*(0.03)/(1-0.03)</f>
        <v>64.319468710304392</v>
      </c>
      <c r="AE140" s="42">
        <f ca="1">((SUBSIDIO!$L$140*SUBSIDIO!$Z$140)+(SUBSIDIO!$N$140*SUBSIDIO!$AA$140))*(0.03)/(1-0.03)</f>
        <v>487.81292198615415</v>
      </c>
      <c r="AF140" s="4" t="s">
        <v>935</v>
      </c>
    </row>
    <row r="141" spans="1:32" ht="11.25" customHeight="1" x14ac:dyDescent="0.25">
      <c r="A141" s="4" t="s">
        <v>21</v>
      </c>
      <c r="B141" s="4" t="s">
        <v>41</v>
      </c>
      <c r="C141" s="4" t="s">
        <v>42</v>
      </c>
      <c r="D141" s="4" t="s">
        <v>52</v>
      </c>
      <c r="E141" s="4" t="s">
        <v>53</v>
      </c>
      <c r="F141" s="4" t="s">
        <v>25</v>
      </c>
      <c r="G141" s="4" t="s">
        <v>25</v>
      </c>
      <c r="H141" s="4" t="s">
        <v>37</v>
      </c>
      <c r="I141" s="5">
        <v>44805</v>
      </c>
      <c r="J141" s="6">
        <v>162</v>
      </c>
      <c r="K141" s="43">
        <v>162</v>
      </c>
      <c r="L141" s="6">
        <v>92.162000000000006</v>
      </c>
      <c r="M141" s="42">
        <v>92.162000000000006</v>
      </c>
      <c r="N141" s="6">
        <v>92.162000000000006</v>
      </c>
      <c r="O141" s="42">
        <v>92.162000000000006</v>
      </c>
      <c r="P141" s="6">
        <v>0</v>
      </c>
      <c r="Q141" s="4" t="s">
        <v>26</v>
      </c>
      <c r="R141" s="4">
        <v>0</v>
      </c>
      <c r="S141" s="4">
        <v>20</v>
      </c>
      <c r="T141" s="4">
        <v>21</v>
      </c>
      <c r="U141" s="4">
        <v>75</v>
      </c>
      <c r="V141" s="42">
        <f>IF(ISERROR(VLOOKUP($S$141,'TAR FIN'!$A$1:$O$115,15,0)),0,VLOOKUP($S$141,'TAR FIN'!$A$1:$O$115,15,0))*(1-0.06)</f>
        <v>18.611999999999998</v>
      </c>
      <c r="W141" s="42">
        <f>IF(ISERROR(VLOOKUP($T$141,'TAR FIN'!$A$1:$O$115,15,0)),0,VLOOKUP($T$141,'TAR FIN'!$A$1:$O$115,15,0))*(1-0.06)</f>
        <v>79.251400000000004</v>
      </c>
      <c r="X141" s="42">
        <f>IF(ISERROR(VLOOKUP($U$141,'TAR FIN'!$A$1:$O$115,15,0)),0,VLOOKUP($U$141,'TAR FIN'!$A$1:$O$115,15,0))*(1-0.06)</f>
        <v>157.97639999999998</v>
      </c>
      <c r="Y141" s="42">
        <f ca="1">('TUSD BE'!$AM$20+'TUSD BF'!$AM$20+'TUSD CVA'!$AM$20)*1*(1-0.03)</f>
        <v>19.996757900318997</v>
      </c>
      <c r="Z141" s="42">
        <f ca="1">('TUSD BE'!$AM$21+'TUSD BF'!$AM$21+'TUSD CVA'!$AM$21)*1*(1-0.03)</f>
        <v>110.02827653849539</v>
      </c>
      <c r="AA141" s="42">
        <f>('TE BE'!$AB$12+'TE BF'!$AB$12+'TE CVA'!$AB$12)*1*(1-0.03)</f>
        <v>212.12486502371149</v>
      </c>
      <c r="AB141" s="42">
        <f>(SUBSIDIO!$J$141*SUBSIDIO!$V$141)*(0.06)/(1-0.06)</f>
        <v>192.45599999999999</v>
      </c>
      <c r="AC141" s="42">
        <f>((SUBSIDIO!$L$141*SUBSIDIO!$W$141)+(SUBSIDIO!$N$141*SUBSIDIO!$X$141))*(0.06)/(1-0.06)</f>
        <v>1395.5354364</v>
      </c>
      <c r="AD141" s="42">
        <f ca="1">(SUBSIDIO!$J$141*SUBSIDIO!$Y$141)*(0.03)/(1-0.03)</f>
        <v>100.18994164489723</v>
      </c>
      <c r="AE141" s="42">
        <f ca="1">((SUBSIDIO!$L$141*SUBSIDIO!$Z$141)+(SUBSIDIO!$N$141*SUBSIDIO!$AA$141))*(0.03)/(1-0.03)</f>
        <v>918.25601544297263</v>
      </c>
      <c r="AF141" s="4" t="s">
        <v>935</v>
      </c>
    </row>
    <row r="142" spans="1:32" ht="11.25" customHeight="1" x14ac:dyDescent="0.25">
      <c r="A142" s="4" t="s">
        <v>28</v>
      </c>
      <c r="B142" s="4" t="s">
        <v>41</v>
      </c>
      <c r="C142" s="4" t="s">
        <v>42</v>
      </c>
      <c r="D142" s="4" t="s">
        <v>52</v>
      </c>
      <c r="E142" s="4" t="s">
        <v>53</v>
      </c>
      <c r="F142" s="4" t="s">
        <v>25</v>
      </c>
      <c r="G142" s="4" t="s">
        <v>25</v>
      </c>
      <c r="H142" s="4" t="s">
        <v>37</v>
      </c>
      <c r="I142" s="5">
        <v>44805</v>
      </c>
      <c r="J142" s="6">
        <v>120</v>
      </c>
      <c r="K142" s="43">
        <v>120</v>
      </c>
      <c r="L142" s="6">
        <v>51.665999999999997</v>
      </c>
      <c r="M142" s="42">
        <v>51.665999999999997</v>
      </c>
      <c r="N142" s="6">
        <v>51.665999999999997</v>
      </c>
      <c r="O142" s="42">
        <v>51.665999999999997</v>
      </c>
      <c r="P142" s="6">
        <v>0</v>
      </c>
      <c r="Q142" s="4" t="s">
        <v>26</v>
      </c>
      <c r="R142" s="4">
        <v>0</v>
      </c>
      <c r="S142" s="4">
        <v>20</v>
      </c>
      <c r="T142" s="4">
        <v>21</v>
      </c>
      <c r="U142" s="4">
        <v>75</v>
      </c>
      <c r="V142" s="42">
        <f>IF(ISERROR(VLOOKUP($S$142,'TAR FIN'!$A$1:$O$115,15,0)),0,VLOOKUP($S$142,'TAR FIN'!$A$1:$O$115,15,0))*(1-0.06)</f>
        <v>18.611999999999998</v>
      </c>
      <c r="W142" s="42">
        <f>IF(ISERROR(VLOOKUP($T$142,'TAR FIN'!$A$1:$O$115,15,0)),0,VLOOKUP($T$142,'TAR FIN'!$A$1:$O$115,15,0))*(1-0.06)</f>
        <v>79.251400000000004</v>
      </c>
      <c r="X142" s="42">
        <f>IF(ISERROR(VLOOKUP($U$142,'TAR FIN'!$A$1:$O$115,15,0)),0,VLOOKUP($U$142,'TAR FIN'!$A$1:$O$115,15,0))*(1-0.06)</f>
        <v>157.97639999999998</v>
      </c>
      <c r="Y142" s="42">
        <f ca="1">('TUSD BE'!$AM$20+'TUSD BF'!$AM$20+'TUSD CVA'!$AM$20)*1*(1-0.03)</f>
        <v>19.996757900318997</v>
      </c>
      <c r="Z142" s="42">
        <f ca="1">('TUSD BE'!$AM$21+'TUSD BF'!$AM$21+'TUSD CVA'!$AM$21)*1*(1-0.03)</f>
        <v>110.02827653849539</v>
      </c>
      <c r="AA142" s="42">
        <f>('TE BE'!$AB$12+'TE BF'!$AB$12+'TE CVA'!$AB$12)*1*(1-0.03)</f>
        <v>212.12486502371149</v>
      </c>
      <c r="AB142" s="42">
        <f>(SUBSIDIO!$J$142*SUBSIDIO!$V$142)*(0.06)/(1-0.06)</f>
        <v>142.56</v>
      </c>
      <c r="AC142" s="42">
        <f>((SUBSIDIO!$L$142*SUBSIDIO!$W$142)+(SUBSIDIO!$N$142*SUBSIDIO!$X$142))*(0.06)/(1-0.06)</f>
        <v>782.33690520000005</v>
      </c>
      <c r="AD142" s="42">
        <f ca="1">(SUBSIDIO!$J$142*SUBSIDIO!$Y$142)*(0.03)/(1-0.03)</f>
        <v>74.214771588812766</v>
      </c>
      <c r="AE142" s="42">
        <f ca="1">((SUBSIDIO!$L$142*SUBSIDIO!$Z$142)+(SUBSIDIO!$N$142*SUBSIDIO!$AA$142))*(0.03)/(1-0.03)</f>
        <v>514.77415088514363</v>
      </c>
      <c r="AF142" s="4" t="s">
        <v>935</v>
      </c>
    </row>
    <row r="143" spans="1:32" ht="11.25" customHeight="1" x14ac:dyDescent="0.25">
      <c r="A143" s="4" t="s">
        <v>21</v>
      </c>
      <c r="B143" s="4" t="s">
        <v>41</v>
      </c>
      <c r="C143" s="4" t="s">
        <v>42</v>
      </c>
      <c r="D143" s="4" t="s">
        <v>52</v>
      </c>
      <c r="E143" s="4" t="s">
        <v>53</v>
      </c>
      <c r="F143" s="4" t="s">
        <v>25</v>
      </c>
      <c r="G143" s="4" t="s">
        <v>25</v>
      </c>
      <c r="H143" s="4" t="s">
        <v>37</v>
      </c>
      <c r="I143" s="5">
        <v>44835</v>
      </c>
      <c r="J143" s="6">
        <v>211</v>
      </c>
      <c r="K143" s="43">
        <v>211</v>
      </c>
      <c r="L143" s="6">
        <v>133.714</v>
      </c>
      <c r="M143" s="42">
        <v>133.714</v>
      </c>
      <c r="N143" s="6">
        <v>133.714</v>
      </c>
      <c r="O143" s="42">
        <v>133.714</v>
      </c>
      <c r="P143" s="6">
        <v>0</v>
      </c>
      <c r="Q143" s="4" t="s">
        <v>26</v>
      </c>
      <c r="R143" s="4">
        <v>0</v>
      </c>
      <c r="S143" s="4">
        <v>20</v>
      </c>
      <c r="T143" s="4">
        <v>21</v>
      </c>
      <c r="U143" s="4">
        <v>75</v>
      </c>
      <c r="V143" s="42">
        <f>IF(ISERROR(VLOOKUP($S$143,'TAR FIN'!$A$1:$O$115,15,0)),0,VLOOKUP($S$143,'TAR FIN'!$A$1:$O$115,15,0))*(1-0.06)</f>
        <v>18.611999999999998</v>
      </c>
      <c r="W143" s="42">
        <f>IF(ISERROR(VLOOKUP($T$143,'TAR FIN'!$A$1:$O$115,15,0)),0,VLOOKUP($T$143,'TAR FIN'!$A$1:$O$115,15,0))*(1-0.06)</f>
        <v>79.251400000000004</v>
      </c>
      <c r="X143" s="42">
        <f>IF(ISERROR(VLOOKUP($U$143,'TAR FIN'!$A$1:$O$115,15,0)),0,VLOOKUP($U$143,'TAR FIN'!$A$1:$O$115,15,0))*(1-0.06)</f>
        <v>157.97639999999998</v>
      </c>
      <c r="Y143" s="42">
        <f ca="1">('TUSD BE'!$AM$20+'TUSD BF'!$AM$20+'TUSD CVA'!$AM$20)*1*(1-0.03)</f>
        <v>19.996757900318997</v>
      </c>
      <c r="Z143" s="42">
        <f ca="1">('TUSD BE'!$AM$21+'TUSD BF'!$AM$21+'TUSD CVA'!$AM$21)*1*(1-0.03)</f>
        <v>110.02827653849539</v>
      </c>
      <c r="AA143" s="42">
        <f>('TE BE'!$AB$12+'TE BF'!$AB$12+'TE CVA'!$AB$12)*1*(1-0.03)</f>
        <v>212.12486502371149</v>
      </c>
      <c r="AB143" s="42">
        <f>(SUBSIDIO!$J$143*SUBSIDIO!$V$143)*(0.06)/(1-0.06)</f>
        <v>250.66799999999998</v>
      </c>
      <c r="AC143" s="42">
        <f>((SUBSIDIO!$L$143*SUBSIDIO!$W$143)+(SUBSIDIO!$N$143*SUBSIDIO!$X$143))*(0.06)/(1-0.06)</f>
        <v>2024.7241307999998</v>
      </c>
      <c r="AD143" s="42">
        <f ca="1">(SUBSIDIO!$J$143*SUBSIDIO!$Y$143)*(0.03)/(1-0.03)</f>
        <v>130.49430671032911</v>
      </c>
      <c r="AE143" s="42">
        <f ca="1">((SUBSIDIO!$L$143*SUBSIDIO!$Z$143)+(SUBSIDIO!$N$143*SUBSIDIO!$AA$143))*(0.03)/(1-0.03)</f>
        <v>1332.2593351808948</v>
      </c>
      <c r="AF143" s="4" t="s">
        <v>935</v>
      </c>
    </row>
    <row r="144" spans="1:32" ht="11.25" customHeight="1" x14ac:dyDescent="0.25">
      <c r="A144" s="4" t="s">
        <v>28</v>
      </c>
      <c r="B144" s="4" t="s">
        <v>41</v>
      </c>
      <c r="C144" s="4" t="s">
        <v>42</v>
      </c>
      <c r="D144" s="4" t="s">
        <v>52</v>
      </c>
      <c r="E144" s="4" t="s">
        <v>53</v>
      </c>
      <c r="F144" s="4" t="s">
        <v>25</v>
      </c>
      <c r="G144" s="4" t="s">
        <v>25</v>
      </c>
      <c r="H144" s="4" t="s">
        <v>37</v>
      </c>
      <c r="I144" s="5">
        <v>44835</v>
      </c>
      <c r="J144" s="6">
        <v>171</v>
      </c>
      <c r="K144" s="43">
        <v>171</v>
      </c>
      <c r="L144" s="6">
        <v>98.372</v>
      </c>
      <c r="M144" s="42">
        <v>98.372</v>
      </c>
      <c r="N144" s="6">
        <v>98.372</v>
      </c>
      <c r="O144" s="42">
        <v>98.372</v>
      </c>
      <c r="P144" s="6">
        <v>0</v>
      </c>
      <c r="Q144" s="4" t="s">
        <v>26</v>
      </c>
      <c r="R144" s="4">
        <v>0</v>
      </c>
      <c r="S144" s="4">
        <v>20</v>
      </c>
      <c r="T144" s="4">
        <v>21</v>
      </c>
      <c r="U144" s="4">
        <v>75</v>
      </c>
      <c r="V144" s="42">
        <f>IF(ISERROR(VLOOKUP($S$144,'TAR FIN'!$A$1:$O$115,15,0)),0,VLOOKUP($S$144,'TAR FIN'!$A$1:$O$115,15,0))*(1-0.06)</f>
        <v>18.611999999999998</v>
      </c>
      <c r="W144" s="42">
        <f>IF(ISERROR(VLOOKUP($T$144,'TAR FIN'!$A$1:$O$115,15,0)),0,VLOOKUP($T$144,'TAR FIN'!$A$1:$O$115,15,0))*(1-0.06)</f>
        <v>79.251400000000004</v>
      </c>
      <c r="X144" s="42">
        <f>IF(ISERROR(VLOOKUP($U$144,'TAR FIN'!$A$1:$O$115,15,0)),0,VLOOKUP($U$144,'TAR FIN'!$A$1:$O$115,15,0))*(1-0.06)</f>
        <v>157.97639999999998</v>
      </c>
      <c r="Y144" s="42">
        <f ca="1">('TUSD BE'!$AM$20+'TUSD BF'!$AM$20+'TUSD CVA'!$AM$20)*1*(1-0.03)</f>
        <v>19.996757900318997</v>
      </c>
      <c r="Z144" s="42">
        <f ca="1">('TUSD BE'!$AM$21+'TUSD BF'!$AM$21+'TUSD CVA'!$AM$21)*1*(1-0.03)</f>
        <v>110.02827653849539</v>
      </c>
      <c r="AA144" s="42">
        <f>('TE BE'!$AB$12+'TE BF'!$AB$12+'TE CVA'!$AB$12)*1*(1-0.03)</f>
        <v>212.12486502371149</v>
      </c>
      <c r="AB144" s="42">
        <f>(SUBSIDIO!$J$144*SUBSIDIO!$V$144)*(0.06)/(1-0.06)</f>
        <v>203.14799999999997</v>
      </c>
      <c r="AC144" s="42">
        <f>((SUBSIDIO!$L$144*SUBSIDIO!$W$144)+(SUBSIDIO!$N$144*SUBSIDIO!$X$144))*(0.06)/(1-0.06)</f>
        <v>1489.5684984</v>
      </c>
      <c r="AD144" s="42">
        <f ca="1">(SUBSIDIO!$J$144*SUBSIDIO!$Y$144)*(0.03)/(1-0.03)</f>
        <v>105.75604951405819</v>
      </c>
      <c r="AE144" s="42">
        <f ca="1">((SUBSIDIO!$L$144*SUBSIDIO!$Z$144)+(SUBSIDIO!$N$144*SUBSIDIO!$AA$144))*(0.03)/(1-0.03)</f>
        <v>980.12934562136343</v>
      </c>
      <c r="AF144" s="4" t="s">
        <v>935</v>
      </c>
    </row>
    <row r="145" spans="1:32" ht="11.25" customHeight="1" x14ac:dyDescent="0.25">
      <c r="A145" s="4" t="s">
        <v>59</v>
      </c>
      <c r="B145" s="4" t="s">
        <v>41</v>
      </c>
      <c r="C145" s="4" t="s">
        <v>42</v>
      </c>
      <c r="D145" s="4" t="s">
        <v>52</v>
      </c>
      <c r="E145" s="4" t="s">
        <v>53</v>
      </c>
      <c r="F145" s="4" t="s">
        <v>25</v>
      </c>
      <c r="G145" s="4" t="s">
        <v>25</v>
      </c>
      <c r="H145" s="4" t="s">
        <v>37</v>
      </c>
      <c r="I145" s="5">
        <v>44866</v>
      </c>
      <c r="J145" s="6">
        <v>211</v>
      </c>
      <c r="K145" s="43">
        <v>211</v>
      </c>
      <c r="L145" s="6">
        <v>133.714</v>
      </c>
      <c r="M145" s="42">
        <v>133.714</v>
      </c>
      <c r="N145" s="6">
        <v>133.714</v>
      </c>
      <c r="O145" s="42">
        <v>133.714</v>
      </c>
      <c r="P145" s="6">
        <v>0</v>
      </c>
      <c r="Q145" s="4" t="s">
        <v>26</v>
      </c>
      <c r="R145" s="4">
        <v>0</v>
      </c>
      <c r="S145" s="4">
        <v>20</v>
      </c>
      <c r="T145" s="4">
        <v>21</v>
      </c>
      <c r="U145" s="4">
        <v>75</v>
      </c>
      <c r="V145" s="42">
        <f>IF(ISERROR(VLOOKUP($S$145,'TAR FIN'!$A$1:$O$115,15,0)),0,VLOOKUP($S$145,'TAR FIN'!$A$1:$O$115,15,0))*(1-0.06)</f>
        <v>18.611999999999998</v>
      </c>
      <c r="W145" s="42">
        <f>IF(ISERROR(VLOOKUP($T$145,'TAR FIN'!$A$1:$O$115,15,0)),0,VLOOKUP($T$145,'TAR FIN'!$A$1:$O$115,15,0))*(1-0.06)</f>
        <v>79.251400000000004</v>
      </c>
      <c r="X145" s="42">
        <f>IF(ISERROR(VLOOKUP($U$145,'TAR FIN'!$A$1:$O$115,15,0)),0,VLOOKUP($U$145,'TAR FIN'!$A$1:$O$115,15,0))*(1-0.06)</f>
        <v>157.97639999999998</v>
      </c>
      <c r="Y145" s="42">
        <f ca="1">('TUSD BE'!$AM$20+'TUSD BF'!$AM$20+'TUSD CVA'!$AM$20)*1*(1-0.03)</f>
        <v>19.996757900318997</v>
      </c>
      <c r="Z145" s="42">
        <f ca="1">('TUSD BE'!$AM$21+'TUSD BF'!$AM$21+'TUSD CVA'!$AM$21)*1*(1-0.03)</f>
        <v>110.02827653849539</v>
      </c>
      <c r="AA145" s="42">
        <f>('TE BE'!$AB$12+'TE BF'!$AB$12+'TE CVA'!$AB$12)*1*(1-0.03)</f>
        <v>212.12486502371149</v>
      </c>
      <c r="AB145" s="42">
        <f>(SUBSIDIO!$J$145*SUBSIDIO!$V$145)*(0.06)/(1-0.06)</f>
        <v>250.66799999999998</v>
      </c>
      <c r="AC145" s="42">
        <f>((SUBSIDIO!$L$145*SUBSIDIO!$W$145)+(SUBSIDIO!$N$145*SUBSIDIO!$X$145))*(0.06)/(1-0.06)</f>
        <v>2024.7241307999998</v>
      </c>
      <c r="AD145" s="42">
        <f ca="1">(SUBSIDIO!$J$145*SUBSIDIO!$Y$145)*(0.03)/(1-0.03)</f>
        <v>130.49430671032911</v>
      </c>
      <c r="AE145" s="42">
        <f ca="1">((SUBSIDIO!$L$145*SUBSIDIO!$Z$145)+(SUBSIDIO!$N$145*SUBSIDIO!$AA$145))*(0.03)/(1-0.03)</f>
        <v>1332.2593351808948</v>
      </c>
      <c r="AF145" s="4" t="s">
        <v>935</v>
      </c>
    </row>
    <row r="146" spans="1:32" ht="11.25" customHeight="1" x14ac:dyDescent="0.25">
      <c r="A146" s="4" t="s">
        <v>59</v>
      </c>
      <c r="B146" s="4" t="s">
        <v>41</v>
      </c>
      <c r="C146" s="4" t="s">
        <v>42</v>
      </c>
      <c r="D146" s="4" t="s">
        <v>52</v>
      </c>
      <c r="E146" s="4" t="s">
        <v>53</v>
      </c>
      <c r="F146" s="4" t="s">
        <v>25</v>
      </c>
      <c r="G146" s="4" t="s">
        <v>25</v>
      </c>
      <c r="H146" s="4" t="s">
        <v>37</v>
      </c>
      <c r="I146" s="5">
        <v>44866</v>
      </c>
      <c r="J146" s="6">
        <v>171</v>
      </c>
      <c r="K146" s="43">
        <v>171</v>
      </c>
      <c r="L146" s="6">
        <v>98.372</v>
      </c>
      <c r="M146" s="42">
        <v>98.372</v>
      </c>
      <c r="N146" s="6">
        <v>98.372</v>
      </c>
      <c r="O146" s="42">
        <v>98.372</v>
      </c>
      <c r="P146" s="6">
        <v>0</v>
      </c>
      <c r="Q146" s="4" t="s">
        <v>26</v>
      </c>
      <c r="R146" s="4">
        <v>0</v>
      </c>
      <c r="S146" s="4">
        <v>20</v>
      </c>
      <c r="T146" s="4">
        <v>21</v>
      </c>
      <c r="U146" s="4">
        <v>75</v>
      </c>
      <c r="V146" s="42">
        <f>IF(ISERROR(VLOOKUP($S$146,'TAR FIN'!$A$1:$O$115,15,0)),0,VLOOKUP($S$146,'TAR FIN'!$A$1:$O$115,15,0))*(1-0.06)</f>
        <v>18.611999999999998</v>
      </c>
      <c r="W146" s="42">
        <f>IF(ISERROR(VLOOKUP($T$146,'TAR FIN'!$A$1:$O$115,15,0)),0,VLOOKUP($T$146,'TAR FIN'!$A$1:$O$115,15,0))*(1-0.06)</f>
        <v>79.251400000000004</v>
      </c>
      <c r="X146" s="42">
        <f>IF(ISERROR(VLOOKUP($U$146,'TAR FIN'!$A$1:$O$115,15,0)),0,VLOOKUP($U$146,'TAR FIN'!$A$1:$O$115,15,0))*(1-0.06)</f>
        <v>157.97639999999998</v>
      </c>
      <c r="Y146" s="42">
        <f ca="1">('TUSD BE'!$AM$20+'TUSD BF'!$AM$20+'TUSD CVA'!$AM$20)*1*(1-0.03)</f>
        <v>19.996757900318997</v>
      </c>
      <c r="Z146" s="42">
        <f ca="1">('TUSD BE'!$AM$21+'TUSD BF'!$AM$21+'TUSD CVA'!$AM$21)*1*(1-0.03)</f>
        <v>110.02827653849539</v>
      </c>
      <c r="AA146" s="42">
        <f>('TE BE'!$AB$12+'TE BF'!$AB$12+'TE CVA'!$AB$12)*1*(1-0.03)</f>
        <v>212.12486502371149</v>
      </c>
      <c r="AB146" s="42">
        <f>(SUBSIDIO!$J$146*SUBSIDIO!$V$146)*(0.06)/(1-0.06)</f>
        <v>203.14799999999997</v>
      </c>
      <c r="AC146" s="42">
        <f>((SUBSIDIO!$L$146*SUBSIDIO!$W$146)+(SUBSIDIO!$N$146*SUBSIDIO!$X$146))*(0.06)/(1-0.06)</f>
        <v>1489.5684984</v>
      </c>
      <c r="AD146" s="42">
        <f ca="1">(SUBSIDIO!$J$146*SUBSIDIO!$Y$146)*(0.03)/(1-0.03)</f>
        <v>105.75604951405819</v>
      </c>
      <c r="AE146" s="42">
        <f ca="1">((SUBSIDIO!$L$146*SUBSIDIO!$Z$146)+(SUBSIDIO!$N$146*SUBSIDIO!$AA$146))*(0.03)/(1-0.03)</f>
        <v>980.12934562136343</v>
      </c>
      <c r="AF146" s="4" t="s">
        <v>935</v>
      </c>
    </row>
    <row r="147" spans="1:32" ht="11.25" customHeight="1" x14ac:dyDescent="0.25">
      <c r="A147" s="4" t="s">
        <v>21</v>
      </c>
      <c r="B147" s="4" t="s">
        <v>41</v>
      </c>
      <c r="C147" s="4" t="s">
        <v>42</v>
      </c>
      <c r="D147" s="4" t="s">
        <v>52</v>
      </c>
      <c r="E147" s="4" t="s">
        <v>53</v>
      </c>
      <c r="F147" s="4" t="s">
        <v>25</v>
      </c>
      <c r="G147" s="4" t="s">
        <v>25</v>
      </c>
      <c r="H147" s="4" t="s">
        <v>36</v>
      </c>
      <c r="I147" s="5">
        <v>44531</v>
      </c>
      <c r="J147" s="6">
        <v>1953</v>
      </c>
      <c r="K147" s="43">
        <v>1953</v>
      </c>
      <c r="L147" s="6">
        <v>58.834000000000003</v>
      </c>
      <c r="M147" s="42">
        <v>58.834000000000003</v>
      </c>
      <c r="N147" s="6">
        <v>58.834000000000003</v>
      </c>
      <c r="O147" s="42">
        <v>58.834000000000003</v>
      </c>
      <c r="P147" s="6">
        <v>0</v>
      </c>
      <c r="Q147" s="4" t="s">
        <v>26</v>
      </c>
      <c r="R147" s="4">
        <v>0</v>
      </c>
      <c r="S147" s="4">
        <v>19</v>
      </c>
      <c r="T147" s="4">
        <v>21</v>
      </c>
      <c r="U147" s="4">
        <v>74</v>
      </c>
      <c r="V147" s="42">
        <f>IF(ISERROR(VLOOKUP($S$147,'TAR FIN'!$A$1:$O$115,15,0)),0,VLOOKUP($S$147,'TAR FIN'!$A$1:$O$115,15,0))*(1-0.06)</f>
        <v>52.846799999999995</v>
      </c>
      <c r="W147" s="42">
        <f>IF(ISERROR(VLOOKUP($T$147,'TAR FIN'!$A$1:$O$115,15,0)),0,VLOOKUP($T$147,'TAR FIN'!$A$1:$O$115,15,0))*(1-0.06)</f>
        <v>79.251400000000004</v>
      </c>
      <c r="X147" s="42">
        <f>IF(ISERROR(VLOOKUP($U$147,'TAR FIN'!$A$1:$O$115,15,0)),0,VLOOKUP($U$147,'TAR FIN'!$A$1:$O$115,15,0))*(1-0.06)</f>
        <v>254.08199999999999</v>
      </c>
      <c r="Y147" s="42">
        <f ca="1">('TUSD BE'!$AM$19+'TUSD BF'!$AM$19+'TUSD CVA'!$AM$19)*1*(1-0.03)</f>
        <v>54.619320318700332</v>
      </c>
      <c r="Z147" s="42">
        <f ca="1">('TUSD BE'!$AM$21+'TUSD BF'!$AM$21+'TUSD CVA'!$AM$21)*1*(1-0.03)</f>
        <v>110.02827653849539</v>
      </c>
      <c r="AA147" s="42">
        <f>('TE BE'!$AB$11+'TE BF'!$AB$11+'TE CVA'!$AB$11)*1*(1-0.03)</f>
        <v>351.76466722756453</v>
      </c>
      <c r="AB147" s="42">
        <f>(SUBSIDIO!$J$147*SUBSIDIO!$V$147)*(0.06)/(1-0.06)</f>
        <v>6587.8595999999998</v>
      </c>
      <c r="AC147" s="42">
        <f>((SUBSIDIO!$L$147*SUBSIDIO!$W$147)+(SUBSIDIO!$N$147*SUBSIDIO!$X$147))*(0.06)/(1-0.06)</f>
        <v>1251.7874844</v>
      </c>
      <c r="AD147" s="42">
        <f ca="1">(SUBSIDIO!$J$147*SUBSIDIO!$Y$147)*(0.03)/(1-0.03)</f>
        <v>3299.1195644047962</v>
      </c>
      <c r="AE147" s="42">
        <f ca="1">((SUBSIDIO!$L$147*SUBSIDIO!$Z$147)+(SUBSIDIO!$N$147*SUBSIDIO!$AA$147))*(0.03)/(1-0.03)</f>
        <v>840.28224907832089</v>
      </c>
      <c r="AF147" s="4" t="s">
        <v>935</v>
      </c>
    </row>
    <row r="148" spans="1:32" ht="11.25" customHeight="1" x14ac:dyDescent="0.25">
      <c r="A148" s="4" t="s">
        <v>28</v>
      </c>
      <c r="B148" s="4" t="s">
        <v>41</v>
      </c>
      <c r="C148" s="4" t="s">
        <v>42</v>
      </c>
      <c r="D148" s="4" t="s">
        <v>52</v>
      </c>
      <c r="E148" s="4" t="s">
        <v>53</v>
      </c>
      <c r="F148" s="4" t="s">
        <v>25</v>
      </c>
      <c r="G148" s="4" t="s">
        <v>25</v>
      </c>
      <c r="H148" s="4" t="s">
        <v>36</v>
      </c>
      <c r="I148" s="5">
        <v>44531</v>
      </c>
      <c r="J148" s="6">
        <v>95</v>
      </c>
      <c r="K148" s="43">
        <v>95</v>
      </c>
      <c r="L148" s="6">
        <v>4.5919999999999996</v>
      </c>
      <c r="M148" s="42">
        <v>4.5919999999999996</v>
      </c>
      <c r="N148" s="6">
        <v>4.5919999999999996</v>
      </c>
      <c r="O148" s="42">
        <v>4.5919999999999996</v>
      </c>
      <c r="P148" s="6">
        <v>0</v>
      </c>
      <c r="Q148" s="4" t="s">
        <v>26</v>
      </c>
      <c r="R148" s="4">
        <v>0</v>
      </c>
      <c r="S148" s="4">
        <v>19</v>
      </c>
      <c r="T148" s="4">
        <v>21</v>
      </c>
      <c r="U148" s="4">
        <v>74</v>
      </c>
      <c r="V148" s="42">
        <f>IF(ISERROR(VLOOKUP($S$148,'TAR FIN'!$A$1:$O$115,15,0)),0,VLOOKUP($S$148,'TAR FIN'!$A$1:$O$115,15,0))*(1-0.06)</f>
        <v>52.846799999999995</v>
      </c>
      <c r="W148" s="42">
        <f>IF(ISERROR(VLOOKUP($T$148,'TAR FIN'!$A$1:$O$115,15,0)),0,VLOOKUP($T$148,'TAR FIN'!$A$1:$O$115,15,0))*(1-0.06)</f>
        <v>79.251400000000004</v>
      </c>
      <c r="X148" s="42">
        <f>IF(ISERROR(VLOOKUP($U$148,'TAR FIN'!$A$1:$O$115,15,0)),0,VLOOKUP($U$148,'TAR FIN'!$A$1:$O$115,15,0))*(1-0.06)</f>
        <v>254.08199999999999</v>
      </c>
      <c r="Y148" s="42">
        <f ca="1">('TUSD BE'!$AM$19+'TUSD BF'!$AM$19+'TUSD CVA'!$AM$19)*1*(1-0.03)</f>
        <v>54.619320318700332</v>
      </c>
      <c r="Z148" s="42">
        <f ca="1">('TUSD BE'!$AM$21+'TUSD BF'!$AM$21+'TUSD CVA'!$AM$21)*1*(1-0.03)</f>
        <v>110.02827653849539</v>
      </c>
      <c r="AA148" s="42">
        <f>('TE BE'!$AB$11+'TE BF'!$AB$11+'TE CVA'!$AB$11)*1*(1-0.03)</f>
        <v>351.76466722756453</v>
      </c>
      <c r="AB148" s="42">
        <f>(SUBSIDIO!$J$148*SUBSIDIO!$V$148)*(0.06)/(1-0.06)</f>
        <v>320.45399999999995</v>
      </c>
      <c r="AC148" s="42">
        <f>((SUBSIDIO!$L$148*SUBSIDIO!$W$148)+(SUBSIDIO!$N$148*SUBSIDIO!$X$148))*(0.06)/(1-0.06)</f>
        <v>97.702147199999999</v>
      </c>
      <c r="AD148" s="42">
        <f ca="1">(SUBSIDIO!$J$148*SUBSIDIO!$Y$148)*(0.03)/(1-0.03)</f>
        <v>160.47944629721235</v>
      </c>
      <c r="AE148" s="42">
        <f ca="1">((SUBSIDIO!$L$148*SUBSIDIO!$Z$148)+(SUBSIDIO!$N$148*SUBSIDIO!$AA$148))*(0.03)/(1-0.03)</f>
        <v>65.58411951877568</v>
      </c>
      <c r="AF148" s="4" t="s">
        <v>935</v>
      </c>
    </row>
    <row r="149" spans="1:32" ht="11.25" customHeight="1" x14ac:dyDescent="0.25">
      <c r="A149" s="4" t="s">
        <v>21</v>
      </c>
      <c r="B149" s="4" t="s">
        <v>41</v>
      </c>
      <c r="C149" s="4" t="s">
        <v>42</v>
      </c>
      <c r="D149" s="4" t="s">
        <v>52</v>
      </c>
      <c r="E149" s="4" t="s">
        <v>53</v>
      </c>
      <c r="F149" s="4" t="s">
        <v>25</v>
      </c>
      <c r="G149" s="4" t="s">
        <v>25</v>
      </c>
      <c r="H149" s="4" t="s">
        <v>36</v>
      </c>
      <c r="I149" s="5">
        <v>44562</v>
      </c>
      <c r="J149" s="6">
        <v>157</v>
      </c>
      <c r="K149" s="43">
        <v>157</v>
      </c>
      <c r="L149" s="6">
        <v>10.702</v>
      </c>
      <c r="M149" s="42">
        <v>10.702</v>
      </c>
      <c r="N149" s="6">
        <v>10.702</v>
      </c>
      <c r="O149" s="42">
        <v>10.702</v>
      </c>
      <c r="P149" s="6">
        <v>0</v>
      </c>
      <c r="Q149" s="4" t="s">
        <v>26</v>
      </c>
      <c r="R149" s="4">
        <v>0</v>
      </c>
      <c r="S149" s="4">
        <v>19</v>
      </c>
      <c r="T149" s="4">
        <v>21</v>
      </c>
      <c r="U149" s="4">
        <v>74</v>
      </c>
      <c r="V149" s="42">
        <f>IF(ISERROR(VLOOKUP($S$149,'TAR FIN'!$A$1:$O$115,15,0)),0,VLOOKUP($S$149,'TAR FIN'!$A$1:$O$115,15,0))*(1-0.06)</f>
        <v>52.846799999999995</v>
      </c>
      <c r="W149" s="42">
        <f>IF(ISERROR(VLOOKUP($T$149,'TAR FIN'!$A$1:$O$115,15,0)),0,VLOOKUP($T$149,'TAR FIN'!$A$1:$O$115,15,0))*(1-0.06)</f>
        <v>79.251400000000004</v>
      </c>
      <c r="X149" s="42">
        <f>IF(ISERROR(VLOOKUP($U$149,'TAR FIN'!$A$1:$O$115,15,0)),0,VLOOKUP($U$149,'TAR FIN'!$A$1:$O$115,15,0))*(1-0.06)</f>
        <v>254.08199999999999</v>
      </c>
      <c r="Y149" s="42">
        <f ca="1">('TUSD BE'!$AM$19+'TUSD BF'!$AM$19+'TUSD CVA'!$AM$19)*1*(1-0.03)</f>
        <v>54.619320318700332</v>
      </c>
      <c r="Z149" s="42">
        <f ca="1">('TUSD BE'!$AM$21+'TUSD BF'!$AM$21+'TUSD CVA'!$AM$21)*1*(1-0.03)</f>
        <v>110.02827653849539</v>
      </c>
      <c r="AA149" s="42">
        <f>('TE BE'!$AB$11+'TE BF'!$AB$11+'TE CVA'!$AB$11)*1*(1-0.03)</f>
        <v>351.76466722756453</v>
      </c>
      <c r="AB149" s="42">
        <f>(SUBSIDIO!$J$149*SUBSIDIO!$V$149)*(0.06)/(1-0.06)</f>
        <v>529.5924</v>
      </c>
      <c r="AC149" s="42">
        <f>((SUBSIDIO!$L$149*SUBSIDIO!$W$149)+(SUBSIDIO!$N$149*SUBSIDIO!$X$149))*(0.06)/(1-0.06)</f>
        <v>227.7021732</v>
      </c>
      <c r="AD149" s="42">
        <f ca="1">(SUBSIDIO!$J$149*SUBSIDIO!$Y$149)*(0.03)/(1-0.03)</f>
        <v>265.21340072276138</v>
      </c>
      <c r="AE149" s="42">
        <f ca="1">((SUBSIDIO!$L$149*SUBSIDIO!$Z$149)+(SUBSIDIO!$N$149*SUBSIDIO!$AA$149))*(0.03)/(1-0.03)</f>
        <v>152.84870363456824</v>
      </c>
      <c r="AF149" s="4" t="s">
        <v>935</v>
      </c>
    </row>
    <row r="150" spans="1:32" ht="11.25" customHeight="1" x14ac:dyDescent="0.25">
      <c r="A150" s="4" t="s">
        <v>28</v>
      </c>
      <c r="B150" s="4" t="s">
        <v>41</v>
      </c>
      <c r="C150" s="4" t="s">
        <v>42</v>
      </c>
      <c r="D150" s="4" t="s">
        <v>52</v>
      </c>
      <c r="E150" s="4" t="s">
        <v>53</v>
      </c>
      <c r="F150" s="4" t="s">
        <v>25</v>
      </c>
      <c r="G150" s="4" t="s">
        <v>25</v>
      </c>
      <c r="H150" s="4" t="s">
        <v>36</v>
      </c>
      <c r="I150" s="5">
        <v>44562</v>
      </c>
      <c r="J150" s="6">
        <v>89</v>
      </c>
      <c r="K150" s="43">
        <v>89</v>
      </c>
      <c r="L150" s="6">
        <v>5.6580000000000004</v>
      </c>
      <c r="M150" s="42">
        <v>5.6580000000000004</v>
      </c>
      <c r="N150" s="6">
        <v>5.6580000000000004</v>
      </c>
      <c r="O150" s="42">
        <v>5.6580000000000004</v>
      </c>
      <c r="P150" s="6">
        <v>0</v>
      </c>
      <c r="Q150" s="4" t="s">
        <v>26</v>
      </c>
      <c r="R150" s="4">
        <v>0</v>
      </c>
      <c r="S150" s="4">
        <v>19</v>
      </c>
      <c r="T150" s="4">
        <v>21</v>
      </c>
      <c r="U150" s="4">
        <v>74</v>
      </c>
      <c r="V150" s="42">
        <f>IF(ISERROR(VLOOKUP($S$150,'TAR FIN'!$A$1:$O$115,15,0)),0,VLOOKUP($S$150,'TAR FIN'!$A$1:$O$115,15,0))*(1-0.06)</f>
        <v>52.846799999999995</v>
      </c>
      <c r="W150" s="42">
        <f>IF(ISERROR(VLOOKUP($T$150,'TAR FIN'!$A$1:$O$115,15,0)),0,VLOOKUP($T$150,'TAR FIN'!$A$1:$O$115,15,0))*(1-0.06)</f>
        <v>79.251400000000004</v>
      </c>
      <c r="X150" s="42">
        <f>IF(ISERROR(VLOOKUP($U$150,'TAR FIN'!$A$1:$O$115,15,0)),0,VLOOKUP($U$150,'TAR FIN'!$A$1:$O$115,15,0))*(1-0.06)</f>
        <v>254.08199999999999</v>
      </c>
      <c r="Y150" s="42">
        <f ca="1">('TUSD BE'!$AM$19+'TUSD BF'!$AM$19+'TUSD CVA'!$AM$19)*1*(1-0.03)</f>
        <v>54.619320318700332</v>
      </c>
      <c r="Z150" s="42">
        <f ca="1">('TUSD BE'!$AM$21+'TUSD BF'!$AM$21+'TUSD CVA'!$AM$21)*1*(1-0.03)</f>
        <v>110.02827653849539</v>
      </c>
      <c r="AA150" s="42">
        <f>('TE BE'!$AB$11+'TE BF'!$AB$11+'TE CVA'!$AB$11)*1*(1-0.03)</f>
        <v>351.76466722756453</v>
      </c>
      <c r="AB150" s="42">
        <f>(SUBSIDIO!$J$150*SUBSIDIO!$V$150)*(0.06)/(1-0.06)</f>
        <v>300.21479999999997</v>
      </c>
      <c r="AC150" s="42">
        <f>((SUBSIDIO!$L$150*SUBSIDIO!$W$150)+(SUBSIDIO!$N$150*SUBSIDIO!$X$150))*(0.06)/(1-0.06)</f>
        <v>120.38300280000001</v>
      </c>
      <c r="AD150" s="42">
        <f ca="1">(SUBSIDIO!$J$150*SUBSIDIO!$Y$150)*(0.03)/(1-0.03)</f>
        <v>150.34390232054628</v>
      </c>
      <c r="AE150" s="42">
        <f ca="1">((SUBSIDIO!$L$150*SUBSIDIO!$Z$150)+(SUBSIDIO!$N$150*SUBSIDIO!$AA$150))*(0.03)/(1-0.03)</f>
        <v>80.809004407062901</v>
      </c>
      <c r="AF150" s="4" t="s">
        <v>935</v>
      </c>
    </row>
    <row r="151" spans="1:32" ht="11.25" customHeight="1" x14ac:dyDescent="0.25">
      <c r="A151" s="4" t="s">
        <v>21</v>
      </c>
      <c r="B151" s="4" t="s">
        <v>41</v>
      </c>
      <c r="C151" s="4" t="s">
        <v>42</v>
      </c>
      <c r="D151" s="4" t="s">
        <v>52</v>
      </c>
      <c r="E151" s="4" t="s">
        <v>53</v>
      </c>
      <c r="F151" s="4" t="s">
        <v>25</v>
      </c>
      <c r="G151" s="4" t="s">
        <v>25</v>
      </c>
      <c r="H151" s="4" t="s">
        <v>36</v>
      </c>
      <c r="I151" s="5">
        <v>44593</v>
      </c>
      <c r="J151" s="6">
        <v>155</v>
      </c>
      <c r="K151" s="43">
        <v>155</v>
      </c>
      <c r="L151" s="6">
        <v>10.286</v>
      </c>
      <c r="M151" s="42">
        <v>10.286</v>
      </c>
      <c r="N151" s="6">
        <v>10.286</v>
      </c>
      <c r="O151" s="42">
        <v>10.286</v>
      </c>
      <c r="P151" s="6">
        <v>0</v>
      </c>
      <c r="Q151" s="4" t="s">
        <v>26</v>
      </c>
      <c r="R151" s="4">
        <v>0</v>
      </c>
      <c r="S151" s="4">
        <v>19</v>
      </c>
      <c r="T151" s="4">
        <v>21</v>
      </c>
      <c r="U151" s="4">
        <v>74</v>
      </c>
      <c r="V151" s="42">
        <f>IF(ISERROR(VLOOKUP($S$151,'TAR FIN'!$A$1:$O$115,15,0)),0,VLOOKUP($S$151,'TAR FIN'!$A$1:$O$115,15,0))*(1-0.06)</f>
        <v>52.846799999999995</v>
      </c>
      <c r="W151" s="42">
        <f>IF(ISERROR(VLOOKUP($T$151,'TAR FIN'!$A$1:$O$115,15,0)),0,VLOOKUP($T$151,'TAR FIN'!$A$1:$O$115,15,0))*(1-0.06)</f>
        <v>79.251400000000004</v>
      </c>
      <c r="X151" s="42">
        <f>IF(ISERROR(VLOOKUP($U$151,'TAR FIN'!$A$1:$O$115,15,0)),0,VLOOKUP($U$151,'TAR FIN'!$A$1:$O$115,15,0))*(1-0.06)</f>
        <v>254.08199999999999</v>
      </c>
      <c r="Y151" s="42">
        <f ca="1">('TUSD BE'!$AM$19+'TUSD BF'!$AM$19+'TUSD CVA'!$AM$19)*1*(1-0.03)</f>
        <v>54.619320318700332</v>
      </c>
      <c r="Z151" s="42">
        <f ca="1">('TUSD BE'!$AM$21+'TUSD BF'!$AM$21+'TUSD CVA'!$AM$21)*1*(1-0.03)</f>
        <v>110.02827653849539</v>
      </c>
      <c r="AA151" s="42">
        <f>('TE BE'!$AB$11+'TE BF'!$AB$11+'TE CVA'!$AB$11)*1*(1-0.03)</f>
        <v>351.76466722756453</v>
      </c>
      <c r="AB151" s="42">
        <f>(SUBSIDIO!$J$151*SUBSIDIO!$V$151)*(0.06)/(1-0.06)</f>
        <v>522.846</v>
      </c>
      <c r="AC151" s="42">
        <f>((SUBSIDIO!$L$151*SUBSIDIO!$W$151)+(SUBSIDIO!$N$151*SUBSIDIO!$X$151))*(0.06)/(1-0.06)</f>
        <v>218.85110760000001</v>
      </c>
      <c r="AD151" s="42">
        <f ca="1">(SUBSIDIO!$J$151*SUBSIDIO!$Y$151)*(0.03)/(1-0.03)</f>
        <v>261.83488606387272</v>
      </c>
      <c r="AE151" s="42">
        <f ca="1">((SUBSIDIO!$L$151*SUBSIDIO!$Z$151)+(SUBSIDIO!$N$151*SUBSIDIO!$AA$151))*(0.03)/(1-0.03)</f>
        <v>146.90728514157811</v>
      </c>
      <c r="AF151" s="4" t="s">
        <v>935</v>
      </c>
    </row>
    <row r="152" spans="1:32" ht="11.25" customHeight="1" x14ac:dyDescent="0.25">
      <c r="A152" s="4" t="s">
        <v>28</v>
      </c>
      <c r="B152" s="4" t="s">
        <v>41</v>
      </c>
      <c r="C152" s="4" t="s">
        <v>42</v>
      </c>
      <c r="D152" s="4" t="s">
        <v>52</v>
      </c>
      <c r="E152" s="4" t="s">
        <v>53</v>
      </c>
      <c r="F152" s="4" t="s">
        <v>25</v>
      </c>
      <c r="G152" s="4" t="s">
        <v>25</v>
      </c>
      <c r="H152" s="4" t="s">
        <v>36</v>
      </c>
      <c r="I152" s="5">
        <v>44593</v>
      </c>
      <c r="J152" s="6">
        <v>87</v>
      </c>
      <c r="K152" s="43">
        <v>87</v>
      </c>
      <c r="L152" s="6">
        <v>4.9939999999999998</v>
      </c>
      <c r="M152" s="42">
        <v>4.9939999999999998</v>
      </c>
      <c r="N152" s="6">
        <v>4.9939999999999998</v>
      </c>
      <c r="O152" s="42">
        <v>4.9939999999999998</v>
      </c>
      <c r="P152" s="6">
        <v>0</v>
      </c>
      <c r="Q152" s="4" t="s">
        <v>26</v>
      </c>
      <c r="R152" s="4">
        <v>0</v>
      </c>
      <c r="S152" s="4">
        <v>19</v>
      </c>
      <c r="T152" s="4">
        <v>21</v>
      </c>
      <c r="U152" s="4">
        <v>74</v>
      </c>
      <c r="V152" s="42">
        <f>IF(ISERROR(VLOOKUP($S$152,'TAR FIN'!$A$1:$O$115,15,0)),0,VLOOKUP($S$152,'TAR FIN'!$A$1:$O$115,15,0))*(1-0.06)</f>
        <v>52.846799999999995</v>
      </c>
      <c r="W152" s="42">
        <f>IF(ISERROR(VLOOKUP($T$152,'TAR FIN'!$A$1:$O$115,15,0)),0,VLOOKUP($T$152,'TAR FIN'!$A$1:$O$115,15,0))*(1-0.06)</f>
        <v>79.251400000000004</v>
      </c>
      <c r="X152" s="42">
        <f>IF(ISERROR(VLOOKUP($U$152,'TAR FIN'!$A$1:$O$115,15,0)),0,VLOOKUP($U$152,'TAR FIN'!$A$1:$O$115,15,0))*(1-0.06)</f>
        <v>254.08199999999999</v>
      </c>
      <c r="Y152" s="42">
        <f ca="1">('TUSD BE'!$AM$19+'TUSD BF'!$AM$19+'TUSD CVA'!$AM$19)*1*(1-0.03)</f>
        <v>54.619320318700332</v>
      </c>
      <c r="Z152" s="42">
        <f ca="1">('TUSD BE'!$AM$21+'TUSD BF'!$AM$21+'TUSD CVA'!$AM$21)*1*(1-0.03)</f>
        <v>110.02827653849539</v>
      </c>
      <c r="AA152" s="42">
        <f>('TE BE'!$AB$11+'TE BF'!$AB$11+'TE CVA'!$AB$11)*1*(1-0.03)</f>
        <v>351.76466722756453</v>
      </c>
      <c r="AB152" s="42">
        <f>(SUBSIDIO!$J$152*SUBSIDIO!$V$152)*(0.06)/(1-0.06)</f>
        <v>293.46839999999997</v>
      </c>
      <c r="AC152" s="42">
        <f>((SUBSIDIO!$L$152*SUBSIDIO!$W$152)+(SUBSIDIO!$N$152*SUBSIDIO!$X$152))*(0.06)/(1-0.06)</f>
        <v>106.25534039999999</v>
      </c>
      <c r="AD152" s="42">
        <f ca="1">(SUBSIDIO!$J$152*SUBSIDIO!$Y$152)*(0.03)/(1-0.03)</f>
        <v>146.96538766165759</v>
      </c>
      <c r="AE152" s="42">
        <f ca="1">((SUBSIDIO!$L$152*SUBSIDIO!$Z$152)+(SUBSIDIO!$N$152*SUBSIDIO!$AA$152))*(0.03)/(1-0.03)</f>
        <v>71.325586427867094</v>
      </c>
      <c r="AF152" s="4" t="s">
        <v>935</v>
      </c>
    </row>
    <row r="153" spans="1:32" ht="11.25" customHeight="1" x14ac:dyDescent="0.25">
      <c r="A153" s="4" t="s">
        <v>21</v>
      </c>
      <c r="B153" s="4" t="s">
        <v>41</v>
      </c>
      <c r="C153" s="4" t="s">
        <v>42</v>
      </c>
      <c r="D153" s="4" t="s">
        <v>52</v>
      </c>
      <c r="E153" s="4" t="s">
        <v>53</v>
      </c>
      <c r="F153" s="4" t="s">
        <v>25</v>
      </c>
      <c r="G153" s="4" t="s">
        <v>25</v>
      </c>
      <c r="H153" s="4" t="s">
        <v>36</v>
      </c>
      <c r="I153" s="5">
        <v>44621</v>
      </c>
      <c r="J153" s="6">
        <v>152</v>
      </c>
      <c r="K153" s="43">
        <v>152</v>
      </c>
      <c r="L153" s="6">
        <v>11.295</v>
      </c>
      <c r="M153" s="42">
        <v>11.295</v>
      </c>
      <c r="N153" s="6">
        <v>11.295</v>
      </c>
      <c r="O153" s="42">
        <v>11.295</v>
      </c>
      <c r="P153" s="6">
        <v>0</v>
      </c>
      <c r="Q153" s="4" t="s">
        <v>26</v>
      </c>
      <c r="R153" s="4">
        <v>0</v>
      </c>
      <c r="S153" s="4">
        <v>19</v>
      </c>
      <c r="T153" s="4">
        <v>21</v>
      </c>
      <c r="U153" s="4">
        <v>74</v>
      </c>
      <c r="V153" s="42">
        <f>IF(ISERROR(VLOOKUP($S$153,'TAR FIN'!$A$1:$O$115,15,0)),0,VLOOKUP($S$153,'TAR FIN'!$A$1:$O$115,15,0))*(1-0.06)</f>
        <v>52.846799999999995</v>
      </c>
      <c r="W153" s="42">
        <f>IF(ISERROR(VLOOKUP($T$153,'TAR FIN'!$A$1:$O$115,15,0)),0,VLOOKUP($T$153,'TAR FIN'!$A$1:$O$115,15,0))*(1-0.06)</f>
        <v>79.251400000000004</v>
      </c>
      <c r="X153" s="42">
        <f>IF(ISERROR(VLOOKUP($U$153,'TAR FIN'!$A$1:$O$115,15,0)),0,VLOOKUP($U$153,'TAR FIN'!$A$1:$O$115,15,0))*(1-0.06)</f>
        <v>254.08199999999999</v>
      </c>
      <c r="Y153" s="42">
        <f ca="1">('TUSD BE'!$AM$19+'TUSD BF'!$AM$19+'TUSD CVA'!$AM$19)*1*(1-0.03)</f>
        <v>54.619320318700332</v>
      </c>
      <c r="Z153" s="42">
        <f ca="1">('TUSD BE'!$AM$21+'TUSD BF'!$AM$21+'TUSD CVA'!$AM$21)*1*(1-0.03)</f>
        <v>110.02827653849539</v>
      </c>
      <c r="AA153" s="42">
        <f>('TE BE'!$AB$11+'TE BF'!$AB$11+'TE CVA'!$AB$11)*1*(1-0.03)</f>
        <v>351.76466722756453</v>
      </c>
      <c r="AB153" s="42">
        <f>(SUBSIDIO!$J$153*SUBSIDIO!$V$153)*(0.06)/(1-0.06)</f>
        <v>512.7263999999999</v>
      </c>
      <c r="AC153" s="42">
        <f>((SUBSIDIO!$L$153*SUBSIDIO!$W$153)+(SUBSIDIO!$N$153*SUBSIDIO!$X$153))*(0.06)/(1-0.06)</f>
        <v>240.31919700000003</v>
      </c>
      <c r="AD153" s="42">
        <f ca="1">(SUBSIDIO!$J$153*SUBSIDIO!$Y$153)*(0.03)/(1-0.03)</f>
        <v>256.76711407553967</v>
      </c>
      <c r="AE153" s="42">
        <f ca="1">((SUBSIDIO!$L$153*SUBSIDIO!$Z$153)+(SUBSIDIO!$N$153*SUBSIDIO!$AA$153))*(0.03)/(1-0.03)</f>
        <v>161.31808143827772</v>
      </c>
      <c r="AF153" s="4" t="s">
        <v>935</v>
      </c>
    </row>
    <row r="154" spans="1:32" ht="11.25" customHeight="1" x14ac:dyDescent="0.25">
      <c r="A154" s="4" t="s">
        <v>28</v>
      </c>
      <c r="B154" s="4" t="s">
        <v>41</v>
      </c>
      <c r="C154" s="4" t="s">
        <v>42</v>
      </c>
      <c r="D154" s="4" t="s">
        <v>52</v>
      </c>
      <c r="E154" s="4" t="s">
        <v>53</v>
      </c>
      <c r="F154" s="4" t="s">
        <v>25</v>
      </c>
      <c r="G154" s="4" t="s">
        <v>25</v>
      </c>
      <c r="H154" s="4" t="s">
        <v>36</v>
      </c>
      <c r="I154" s="5">
        <v>44621</v>
      </c>
      <c r="J154" s="6">
        <v>89</v>
      </c>
      <c r="K154" s="43">
        <v>89</v>
      </c>
      <c r="L154" s="6">
        <v>4.6829999999999998</v>
      </c>
      <c r="M154" s="42">
        <v>4.6829999999999998</v>
      </c>
      <c r="N154" s="6">
        <v>4.6829999999999998</v>
      </c>
      <c r="O154" s="42">
        <v>4.6829999999999998</v>
      </c>
      <c r="P154" s="6">
        <v>0</v>
      </c>
      <c r="Q154" s="4" t="s">
        <v>26</v>
      </c>
      <c r="R154" s="4">
        <v>0</v>
      </c>
      <c r="S154" s="4">
        <v>19</v>
      </c>
      <c r="T154" s="4">
        <v>21</v>
      </c>
      <c r="U154" s="4">
        <v>74</v>
      </c>
      <c r="V154" s="42">
        <f>IF(ISERROR(VLOOKUP($S$154,'TAR FIN'!$A$1:$O$115,15,0)),0,VLOOKUP($S$154,'TAR FIN'!$A$1:$O$115,15,0))*(1-0.06)</f>
        <v>52.846799999999995</v>
      </c>
      <c r="W154" s="42">
        <f>IF(ISERROR(VLOOKUP($T$154,'TAR FIN'!$A$1:$O$115,15,0)),0,VLOOKUP($T$154,'TAR FIN'!$A$1:$O$115,15,0))*(1-0.06)</f>
        <v>79.251400000000004</v>
      </c>
      <c r="X154" s="42">
        <f>IF(ISERROR(VLOOKUP($U$154,'TAR FIN'!$A$1:$O$115,15,0)),0,VLOOKUP($U$154,'TAR FIN'!$A$1:$O$115,15,0))*(1-0.06)</f>
        <v>254.08199999999999</v>
      </c>
      <c r="Y154" s="42">
        <f ca="1">('TUSD BE'!$AM$19+'TUSD BF'!$AM$19+'TUSD CVA'!$AM$19)*1*(1-0.03)</f>
        <v>54.619320318700332</v>
      </c>
      <c r="Z154" s="42">
        <f ca="1">('TUSD BE'!$AM$21+'TUSD BF'!$AM$21+'TUSD CVA'!$AM$21)*1*(1-0.03)</f>
        <v>110.02827653849539</v>
      </c>
      <c r="AA154" s="42">
        <f>('TE BE'!$AB$11+'TE BF'!$AB$11+'TE CVA'!$AB$11)*1*(1-0.03)</f>
        <v>351.76466722756453</v>
      </c>
      <c r="AB154" s="42">
        <f>(SUBSIDIO!$J$154*SUBSIDIO!$V$154)*(0.06)/(1-0.06)</f>
        <v>300.21479999999997</v>
      </c>
      <c r="AC154" s="42">
        <f>((SUBSIDIO!$L$154*SUBSIDIO!$W$154)+(SUBSIDIO!$N$154*SUBSIDIO!$X$154))*(0.06)/(1-0.06)</f>
        <v>99.63831780000001</v>
      </c>
      <c r="AD154" s="42">
        <f ca="1">(SUBSIDIO!$J$154*SUBSIDIO!$Y$154)*(0.03)/(1-0.03)</f>
        <v>150.34390232054628</v>
      </c>
      <c r="AE154" s="42">
        <f ca="1">((SUBSIDIO!$L$154*SUBSIDIO!$Z$154)+(SUBSIDIO!$N$154*SUBSIDIO!$AA$154))*(0.03)/(1-0.03)</f>
        <v>66.883804814117269</v>
      </c>
      <c r="AF154" s="4" t="s">
        <v>935</v>
      </c>
    </row>
    <row r="155" spans="1:32" ht="11.25" customHeight="1" x14ac:dyDescent="0.25">
      <c r="A155" s="4" t="s">
        <v>21</v>
      </c>
      <c r="B155" s="4" t="s">
        <v>41</v>
      </c>
      <c r="C155" s="4" t="s">
        <v>42</v>
      </c>
      <c r="D155" s="4" t="s">
        <v>52</v>
      </c>
      <c r="E155" s="4" t="s">
        <v>53</v>
      </c>
      <c r="F155" s="4" t="s">
        <v>25</v>
      </c>
      <c r="G155" s="4" t="s">
        <v>25</v>
      </c>
      <c r="H155" s="4" t="s">
        <v>36</v>
      </c>
      <c r="I155" s="5">
        <v>44652</v>
      </c>
      <c r="J155" s="6">
        <v>152</v>
      </c>
      <c r="K155" s="43">
        <v>152</v>
      </c>
      <c r="L155" s="6">
        <v>10.167</v>
      </c>
      <c r="M155" s="42">
        <v>10.167</v>
      </c>
      <c r="N155" s="6">
        <v>10.167</v>
      </c>
      <c r="O155" s="42">
        <v>10.167</v>
      </c>
      <c r="P155" s="6">
        <v>0</v>
      </c>
      <c r="Q155" s="4" t="s">
        <v>26</v>
      </c>
      <c r="R155" s="4">
        <v>0</v>
      </c>
      <c r="S155" s="4">
        <v>19</v>
      </c>
      <c r="T155" s="4">
        <v>21</v>
      </c>
      <c r="U155" s="4">
        <v>74</v>
      </c>
      <c r="V155" s="42">
        <f>IF(ISERROR(VLOOKUP($S$155,'TAR FIN'!$A$1:$O$115,15,0)),0,VLOOKUP($S$155,'TAR FIN'!$A$1:$O$115,15,0))*(1-0.06)</f>
        <v>52.846799999999995</v>
      </c>
      <c r="W155" s="42">
        <f>IF(ISERROR(VLOOKUP($T$155,'TAR FIN'!$A$1:$O$115,15,0)),0,VLOOKUP($T$155,'TAR FIN'!$A$1:$O$115,15,0))*(1-0.06)</f>
        <v>79.251400000000004</v>
      </c>
      <c r="X155" s="42">
        <f>IF(ISERROR(VLOOKUP($U$155,'TAR FIN'!$A$1:$O$115,15,0)),0,VLOOKUP($U$155,'TAR FIN'!$A$1:$O$115,15,0))*(1-0.06)</f>
        <v>254.08199999999999</v>
      </c>
      <c r="Y155" s="42">
        <f ca="1">('TUSD BE'!$AM$19+'TUSD BF'!$AM$19+'TUSD CVA'!$AM$19)*1*(1-0.03)</f>
        <v>54.619320318700332</v>
      </c>
      <c r="Z155" s="42">
        <f ca="1">('TUSD BE'!$AM$21+'TUSD BF'!$AM$21+'TUSD CVA'!$AM$21)*1*(1-0.03)</f>
        <v>110.02827653849539</v>
      </c>
      <c r="AA155" s="42">
        <f>('TE BE'!$AB$11+'TE BF'!$AB$11+'TE CVA'!$AB$11)*1*(1-0.03)</f>
        <v>351.76466722756453</v>
      </c>
      <c r="AB155" s="42">
        <f>(SUBSIDIO!$J$155*SUBSIDIO!$V$155)*(0.06)/(1-0.06)</f>
        <v>512.7263999999999</v>
      </c>
      <c r="AC155" s="42">
        <f>((SUBSIDIO!$L$155*SUBSIDIO!$W$155)+(SUBSIDIO!$N$155*SUBSIDIO!$X$155))*(0.06)/(1-0.06)</f>
        <v>216.3191922</v>
      </c>
      <c r="AD155" s="42">
        <f ca="1">(SUBSIDIO!$J$155*SUBSIDIO!$Y$155)*(0.03)/(1-0.03)</f>
        <v>256.76711407553967</v>
      </c>
      <c r="AE155" s="42">
        <f ca="1">((SUBSIDIO!$L$155*SUBSIDIO!$Z$155)+(SUBSIDIO!$N$155*SUBSIDIO!$AA$155))*(0.03)/(1-0.03)</f>
        <v>145.20769667843911</v>
      </c>
      <c r="AF155" s="4" t="s">
        <v>935</v>
      </c>
    </row>
    <row r="156" spans="1:32" ht="11.25" customHeight="1" x14ac:dyDescent="0.25">
      <c r="A156" s="4" t="s">
        <v>28</v>
      </c>
      <c r="B156" s="4" t="s">
        <v>41</v>
      </c>
      <c r="C156" s="4" t="s">
        <v>42</v>
      </c>
      <c r="D156" s="4" t="s">
        <v>52</v>
      </c>
      <c r="E156" s="4" t="s">
        <v>53</v>
      </c>
      <c r="F156" s="4" t="s">
        <v>25</v>
      </c>
      <c r="G156" s="4" t="s">
        <v>25</v>
      </c>
      <c r="H156" s="4" t="s">
        <v>36</v>
      </c>
      <c r="I156" s="5">
        <v>44652</v>
      </c>
      <c r="J156" s="6">
        <v>90</v>
      </c>
      <c r="K156" s="43">
        <v>90</v>
      </c>
      <c r="L156" s="6">
        <v>5.32</v>
      </c>
      <c r="M156" s="42">
        <v>5.32</v>
      </c>
      <c r="N156" s="6">
        <v>5.32</v>
      </c>
      <c r="O156" s="42">
        <v>5.32</v>
      </c>
      <c r="P156" s="6">
        <v>0</v>
      </c>
      <c r="Q156" s="4" t="s">
        <v>26</v>
      </c>
      <c r="R156" s="4">
        <v>0</v>
      </c>
      <c r="S156" s="4">
        <v>19</v>
      </c>
      <c r="T156" s="4">
        <v>21</v>
      </c>
      <c r="U156" s="4">
        <v>74</v>
      </c>
      <c r="V156" s="42">
        <f>IF(ISERROR(VLOOKUP($S$156,'TAR FIN'!$A$1:$O$115,15,0)),0,VLOOKUP($S$156,'TAR FIN'!$A$1:$O$115,15,0))*(1-0.06)</f>
        <v>52.846799999999995</v>
      </c>
      <c r="W156" s="42">
        <f>IF(ISERROR(VLOOKUP($T$156,'TAR FIN'!$A$1:$O$115,15,0)),0,VLOOKUP($T$156,'TAR FIN'!$A$1:$O$115,15,0))*(1-0.06)</f>
        <v>79.251400000000004</v>
      </c>
      <c r="X156" s="42">
        <f>IF(ISERROR(VLOOKUP($U$156,'TAR FIN'!$A$1:$O$115,15,0)),0,VLOOKUP($U$156,'TAR FIN'!$A$1:$O$115,15,0))*(1-0.06)</f>
        <v>254.08199999999999</v>
      </c>
      <c r="Y156" s="42">
        <f ca="1">('TUSD BE'!$AM$19+'TUSD BF'!$AM$19+'TUSD CVA'!$AM$19)*1*(1-0.03)</f>
        <v>54.619320318700332</v>
      </c>
      <c r="Z156" s="42">
        <f ca="1">('TUSD BE'!$AM$21+'TUSD BF'!$AM$21+'TUSD CVA'!$AM$21)*1*(1-0.03)</f>
        <v>110.02827653849539</v>
      </c>
      <c r="AA156" s="42">
        <f>('TE BE'!$AB$11+'TE BF'!$AB$11+'TE CVA'!$AB$11)*1*(1-0.03)</f>
        <v>351.76466722756453</v>
      </c>
      <c r="AB156" s="42">
        <f>(SUBSIDIO!$J$156*SUBSIDIO!$V$156)*(0.06)/(1-0.06)</f>
        <v>303.58799999999997</v>
      </c>
      <c r="AC156" s="42">
        <f>((SUBSIDIO!$L$156*SUBSIDIO!$W$156)+(SUBSIDIO!$N$156*SUBSIDIO!$X$156))*(0.06)/(1-0.06)</f>
        <v>113.19151199999999</v>
      </c>
      <c r="AD156" s="42">
        <f ca="1">(SUBSIDIO!$J$156*SUBSIDIO!$Y$156)*(0.03)/(1-0.03)</f>
        <v>152.03315964999061</v>
      </c>
      <c r="AE156" s="42">
        <f ca="1">((SUBSIDIO!$L$156*SUBSIDIO!$Z$156)+(SUBSIDIO!$N$156*SUBSIDIO!$AA$156))*(0.03)/(1-0.03)</f>
        <v>75.981601881508425</v>
      </c>
      <c r="AF156" s="4" t="s">
        <v>935</v>
      </c>
    </row>
    <row r="157" spans="1:32" ht="11.25" customHeight="1" x14ac:dyDescent="0.25">
      <c r="A157" s="4" t="s">
        <v>21</v>
      </c>
      <c r="B157" s="4" t="s">
        <v>41</v>
      </c>
      <c r="C157" s="4" t="s">
        <v>42</v>
      </c>
      <c r="D157" s="4" t="s">
        <v>52</v>
      </c>
      <c r="E157" s="4" t="s">
        <v>53</v>
      </c>
      <c r="F157" s="4" t="s">
        <v>25</v>
      </c>
      <c r="G157" s="4" t="s">
        <v>25</v>
      </c>
      <c r="H157" s="4" t="s">
        <v>36</v>
      </c>
      <c r="I157" s="5">
        <v>44682</v>
      </c>
      <c r="J157" s="6">
        <v>158</v>
      </c>
      <c r="K157" s="43">
        <v>158</v>
      </c>
      <c r="L157" s="6">
        <v>10.941000000000001</v>
      </c>
      <c r="M157" s="42">
        <v>10.941000000000001</v>
      </c>
      <c r="N157" s="6">
        <v>10.941000000000001</v>
      </c>
      <c r="O157" s="42">
        <v>10.941000000000001</v>
      </c>
      <c r="P157" s="6">
        <v>0</v>
      </c>
      <c r="Q157" s="4" t="s">
        <v>26</v>
      </c>
      <c r="R157" s="4">
        <v>0</v>
      </c>
      <c r="S157" s="4">
        <v>19</v>
      </c>
      <c r="T157" s="4">
        <v>21</v>
      </c>
      <c r="U157" s="4">
        <v>74</v>
      </c>
      <c r="V157" s="42">
        <f>IF(ISERROR(VLOOKUP($S$157,'TAR FIN'!$A$1:$O$115,15,0)),0,VLOOKUP($S$157,'TAR FIN'!$A$1:$O$115,15,0))*(1-0.06)</f>
        <v>52.846799999999995</v>
      </c>
      <c r="W157" s="42">
        <f>IF(ISERROR(VLOOKUP($T$157,'TAR FIN'!$A$1:$O$115,15,0)),0,VLOOKUP($T$157,'TAR FIN'!$A$1:$O$115,15,0))*(1-0.06)</f>
        <v>79.251400000000004</v>
      </c>
      <c r="X157" s="42">
        <f>IF(ISERROR(VLOOKUP($U$157,'TAR FIN'!$A$1:$O$115,15,0)),0,VLOOKUP($U$157,'TAR FIN'!$A$1:$O$115,15,0))*(1-0.06)</f>
        <v>254.08199999999999</v>
      </c>
      <c r="Y157" s="42">
        <f ca="1">('TUSD BE'!$AM$19+'TUSD BF'!$AM$19+'TUSD CVA'!$AM$19)*1*(1-0.03)</f>
        <v>54.619320318700332</v>
      </c>
      <c r="Z157" s="42">
        <f ca="1">('TUSD BE'!$AM$21+'TUSD BF'!$AM$21+'TUSD CVA'!$AM$21)*1*(1-0.03)</f>
        <v>110.02827653849539</v>
      </c>
      <c r="AA157" s="42">
        <f>('TE BE'!$AB$11+'TE BF'!$AB$11+'TE CVA'!$AB$11)*1*(1-0.03)</f>
        <v>351.76466722756453</v>
      </c>
      <c r="AB157" s="42">
        <f>(SUBSIDIO!$J$157*SUBSIDIO!$V$157)*(0.06)/(1-0.06)</f>
        <v>532.96559999999999</v>
      </c>
      <c r="AC157" s="42">
        <f>((SUBSIDIO!$L$157*SUBSIDIO!$W$157)+(SUBSIDIO!$N$157*SUBSIDIO!$X$157))*(0.06)/(1-0.06)</f>
        <v>232.78728060000003</v>
      </c>
      <c r="AD157" s="42">
        <f ca="1">(SUBSIDIO!$J$157*SUBSIDIO!$Y$157)*(0.03)/(1-0.03)</f>
        <v>266.90265805220577</v>
      </c>
      <c r="AE157" s="42">
        <f ca="1">((SUBSIDIO!$L$157*SUBSIDIO!$Z$157)+(SUBSIDIO!$N$157*SUBSIDIO!$AA$157))*(0.03)/(1-0.03)</f>
        <v>156.26216281683904</v>
      </c>
      <c r="AF157" s="4" t="s">
        <v>935</v>
      </c>
    </row>
    <row r="158" spans="1:32" ht="11.25" customHeight="1" x14ac:dyDescent="0.25">
      <c r="A158" s="4" t="s">
        <v>28</v>
      </c>
      <c r="B158" s="4" t="s">
        <v>41</v>
      </c>
      <c r="C158" s="4" t="s">
        <v>42</v>
      </c>
      <c r="D158" s="4" t="s">
        <v>52</v>
      </c>
      <c r="E158" s="4" t="s">
        <v>53</v>
      </c>
      <c r="F158" s="4" t="s">
        <v>25</v>
      </c>
      <c r="G158" s="4" t="s">
        <v>25</v>
      </c>
      <c r="H158" s="4" t="s">
        <v>36</v>
      </c>
      <c r="I158" s="5">
        <v>44682</v>
      </c>
      <c r="J158" s="6">
        <v>89</v>
      </c>
      <c r="K158" s="43">
        <v>89</v>
      </c>
      <c r="L158" s="6">
        <v>3.4540000000000002</v>
      </c>
      <c r="M158" s="42">
        <v>3.4540000000000002</v>
      </c>
      <c r="N158" s="6">
        <v>3.4540000000000002</v>
      </c>
      <c r="O158" s="42">
        <v>3.4540000000000002</v>
      </c>
      <c r="P158" s="6">
        <v>0</v>
      </c>
      <c r="Q158" s="4" t="s">
        <v>26</v>
      </c>
      <c r="R158" s="4">
        <v>0</v>
      </c>
      <c r="S158" s="4">
        <v>19</v>
      </c>
      <c r="T158" s="4">
        <v>21</v>
      </c>
      <c r="U158" s="4">
        <v>74</v>
      </c>
      <c r="V158" s="42">
        <f>IF(ISERROR(VLOOKUP($S$158,'TAR FIN'!$A$1:$O$115,15,0)),0,VLOOKUP($S$158,'TAR FIN'!$A$1:$O$115,15,0))*(1-0.06)</f>
        <v>52.846799999999995</v>
      </c>
      <c r="W158" s="42">
        <f>IF(ISERROR(VLOOKUP($T$158,'TAR FIN'!$A$1:$O$115,15,0)),0,VLOOKUP($T$158,'TAR FIN'!$A$1:$O$115,15,0))*(1-0.06)</f>
        <v>79.251400000000004</v>
      </c>
      <c r="X158" s="42">
        <f>IF(ISERROR(VLOOKUP($U$158,'TAR FIN'!$A$1:$O$115,15,0)),0,VLOOKUP($U$158,'TAR FIN'!$A$1:$O$115,15,0))*(1-0.06)</f>
        <v>254.08199999999999</v>
      </c>
      <c r="Y158" s="42">
        <f ca="1">('TUSD BE'!$AM$19+'TUSD BF'!$AM$19+'TUSD CVA'!$AM$19)*1*(1-0.03)</f>
        <v>54.619320318700332</v>
      </c>
      <c r="Z158" s="42">
        <f ca="1">('TUSD BE'!$AM$21+'TUSD BF'!$AM$21+'TUSD CVA'!$AM$21)*1*(1-0.03)</f>
        <v>110.02827653849539</v>
      </c>
      <c r="AA158" s="42">
        <f>('TE BE'!$AB$11+'TE BF'!$AB$11+'TE CVA'!$AB$11)*1*(1-0.03)</f>
        <v>351.76466722756453</v>
      </c>
      <c r="AB158" s="42">
        <f>(SUBSIDIO!$J$158*SUBSIDIO!$V$158)*(0.06)/(1-0.06)</f>
        <v>300.21479999999997</v>
      </c>
      <c r="AC158" s="42">
        <f>((SUBSIDIO!$L$158*SUBSIDIO!$W$158)+(SUBSIDIO!$N$158*SUBSIDIO!$X$158))*(0.06)/(1-0.06)</f>
        <v>73.489376400000012</v>
      </c>
      <c r="AD158" s="42">
        <f ca="1">(SUBSIDIO!$J$158*SUBSIDIO!$Y$158)*(0.03)/(1-0.03)</f>
        <v>150.34390232054628</v>
      </c>
      <c r="AE158" s="42">
        <f ca="1">((SUBSIDIO!$L$158*SUBSIDIO!$Z$158)+(SUBSIDIO!$N$158*SUBSIDIO!$AA$158))*(0.03)/(1-0.03)</f>
        <v>49.330912199009411</v>
      </c>
      <c r="AF158" s="4" t="s">
        <v>935</v>
      </c>
    </row>
    <row r="159" spans="1:32" ht="11.25" customHeight="1" x14ac:dyDescent="0.25">
      <c r="A159" s="4" t="s">
        <v>21</v>
      </c>
      <c r="B159" s="4" t="s">
        <v>41</v>
      </c>
      <c r="C159" s="4" t="s">
        <v>42</v>
      </c>
      <c r="D159" s="4" t="s">
        <v>52</v>
      </c>
      <c r="E159" s="4" t="s">
        <v>53</v>
      </c>
      <c r="F159" s="4" t="s">
        <v>25</v>
      </c>
      <c r="G159" s="4" t="s">
        <v>25</v>
      </c>
      <c r="H159" s="4" t="s">
        <v>36</v>
      </c>
      <c r="I159" s="5">
        <v>44713</v>
      </c>
      <c r="J159" s="6">
        <v>158</v>
      </c>
      <c r="K159" s="43">
        <v>158</v>
      </c>
      <c r="L159" s="6">
        <v>10.625999999999999</v>
      </c>
      <c r="M159" s="42">
        <v>10.625999999999999</v>
      </c>
      <c r="N159" s="6">
        <v>10.625999999999999</v>
      </c>
      <c r="O159" s="42">
        <v>10.625999999999999</v>
      </c>
      <c r="P159" s="6">
        <v>0</v>
      </c>
      <c r="Q159" s="4" t="s">
        <v>26</v>
      </c>
      <c r="R159" s="4">
        <v>0</v>
      </c>
      <c r="S159" s="4">
        <v>19</v>
      </c>
      <c r="T159" s="4">
        <v>21</v>
      </c>
      <c r="U159" s="4">
        <v>74</v>
      </c>
      <c r="V159" s="42">
        <f>IF(ISERROR(VLOOKUP($S$159,'TAR FIN'!$A$1:$O$115,15,0)),0,VLOOKUP($S$159,'TAR FIN'!$A$1:$O$115,15,0))*(1-0.06)</f>
        <v>52.846799999999995</v>
      </c>
      <c r="W159" s="42">
        <f>IF(ISERROR(VLOOKUP($T$159,'TAR FIN'!$A$1:$O$115,15,0)),0,VLOOKUP($T$159,'TAR FIN'!$A$1:$O$115,15,0))*(1-0.06)</f>
        <v>79.251400000000004</v>
      </c>
      <c r="X159" s="42">
        <f>IF(ISERROR(VLOOKUP($U$159,'TAR FIN'!$A$1:$O$115,15,0)),0,VLOOKUP($U$159,'TAR FIN'!$A$1:$O$115,15,0))*(1-0.06)</f>
        <v>254.08199999999999</v>
      </c>
      <c r="Y159" s="42">
        <f ca="1">('TUSD BE'!$AM$19+'TUSD BF'!$AM$19+'TUSD CVA'!$AM$19)*1*(1-0.03)</f>
        <v>54.619320318700332</v>
      </c>
      <c r="Z159" s="42">
        <f ca="1">('TUSD BE'!$AM$21+'TUSD BF'!$AM$21+'TUSD CVA'!$AM$21)*1*(1-0.03)</f>
        <v>110.02827653849539</v>
      </c>
      <c r="AA159" s="42">
        <f>('TE BE'!$AB$11+'TE BF'!$AB$11+'TE CVA'!$AB$11)*1*(1-0.03)</f>
        <v>351.76466722756453</v>
      </c>
      <c r="AB159" s="42">
        <f>(SUBSIDIO!$J$159*SUBSIDIO!$V$159)*(0.06)/(1-0.06)</f>
        <v>532.96559999999999</v>
      </c>
      <c r="AC159" s="42">
        <f>((SUBSIDIO!$L$159*SUBSIDIO!$W$159)+(SUBSIDIO!$N$159*SUBSIDIO!$X$159))*(0.06)/(1-0.06)</f>
        <v>226.08515159999999</v>
      </c>
      <c r="AD159" s="42">
        <f ca="1">(SUBSIDIO!$J$159*SUBSIDIO!$Y$159)*(0.03)/(1-0.03)</f>
        <v>266.90265805220577</v>
      </c>
      <c r="AE159" s="42">
        <f ca="1">((SUBSIDIO!$L$159*SUBSIDIO!$Z$159)+(SUBSIDIO!$N$159*SUBSIDIO!$AA$159))*(0.03)/(1-0.03)</f>
        <v>151.7632521791181</v>
      </c>
      <c r="AF159" s="4" t="s">
        <v>935</v>
      </c>
    </row>
    <row r="160" spans="1:32" ht="11.25" customHeight="1" x14ac:dyDescent="0.25">
      <c r="A160" s="4" t="s">
        <v>28</v>
      </c>
      <c r="B160" s="4" t="s">
        <v>41</v>
      </c>
      <c r="C160" s="4" t="s">
        <v>42</v>
      </c>
      <c r="D160" s="4" t="s">
        <v>52</v>
      </c>
      <c r="E160" s="4" t="s">
        <v>53</v>
      </c>
      <c r="F160" s="4" t="s">
        <v>25</v>
      </c>
      <c r="G160" s="4" t="s">
        <v>25</v>
      </c>
      <c r="H160" s="4" t="s">
        <v>36</v>
      </c>
      <c r="I160" s="5">
        <v>44713</v>
      </c>
      <c r="J160" s="6">
        <v>91</v>
      </c>
      <c r="K160" s="43">
        <v>91</v>
      </c>
      <c r="L160" s="6">
        <v>1.837</v>
      </c>
      <c r="M160" s="42">
        <v>1.837</v>
      </c>
      <c r="N160" s="6">
        <v>1.837</v>
      </c>
      <c r="O160" s="42">
        <v>1.837</v>
      </c>
      <c r="P160" s="6">
        <v>0</v>
      </c>
      <c r="Q160" s="4" t="s">
        <v>26</v>
      </c>
      <c r="R160" s="4">
        <v>0</v>
      </c>
      <c r="S160" s="4">
        <v>19</v>
      </c>
      <c r="T160" s="4">
        <v>21</v>
      </c>
      <c r="U160" s="4">
        <v>74</v>
      </c>
      <c r="V160" s="42">
        <f>IF(ISERROR(VLOOKUP($S$160,'TAR FIN'!$A$1:$O$115,15,0)),0,VLOOKUP($S$160,'TAR FIN'!$A$1:$O$115,15,0))*(1-0.06)</f>
        <v>52.846799999999995</v>
      </c>
      <c r="W160" s="42">
        <f>IF(ISERROR(VLOOKUP($T$160,'TAR FIN'!$A$1:$O$115,15,0)),0,VLOOKUP($T$160,'TAR FIN'!$A$1:$O$115,15,0))*(1-0.06)</f>
        <v>79.251400000000004</v>
      </c>
      <c r="X160" s="42">
        <f>IF(ISERROR(VLOOKUP($U$160,'TAR FIN'!$A$1:$O$115,15,0)),0,VLOOKUP($U$160,'TAR FIN'!$A$1:$O$115,15,0))*(1-0.06)</f>
        <v>254.08199999999999</v>
      </c>
      <c r="Y160" s="42">
        <f ca="1">('TUSD BE'!$AM$19+'TUSD BF'!$AM$19+'TUSD CVA'!$AM$19)*1*(1-0.03)</f>
        <v>54.619320318700332</v>
      </c>
      <c r="Z160" s="42">
        <f ca="1">('TUSD BE'!$AM$21+'TUSD BF'!$AM$21+'TUSD CVA'!$AM$21)*1*(1-0.03)</f>
        <v>110.02827653849539</v>
      </c>
      <c r="AA160" s="42">
        <f>('TE BE'!$AB$11+'TE BF'!$AB$11+'TE CVA'!$AB$11)*1*(1-0.03)</f>
        <v>351.76466722756453</v>
      </c>
      <c r="AB160" s="42">
        <f>(SUBSIDIO!$J$160*SUBSIDIO!$V$160)*(0.06)/(1-0.06)</f>
        <v>306.96120000000002</v>
      </c>
      <c r="AC160" s="42">
        <f>((SUBSIDIO!$L$160*SUBSIDIO!$W$160)+(SUBSIDIO!$N$160*SUBSIDIO!$X$160))*(0.06)/(1-0.06)</f>
        <v>39.0851142</v>
      </c>
      <c r="AD160" s="42">
        <f ca="1">(SUBSIDIO!$J$160*SUBSIDIO!$Y$160)*(0.03)/(1-0.03)</f>
        <v>153.72241697943497</v>
      </c>
      <c r="AE160" s="42">
        <f ca="1">((SUBSIDIO!$L$160*SUBSIDIO!$Z$160)+(SUBSIDIO!$N$160*SUBSIDIO!$AA$160))*(0.03)/(1-0.03)</f>
        <v>26.236504258708827</v>
      </c>
      <c r="AF160" s="4" t="s">
        <v>935</v>
      </c>
    </row>
    <row r="161" spans="1:32" ht="11.25" customHeight="1" x14ac:dyDescent="0.25">
      <c r="A161" s="4" t="s">
        <v>21</v>
      </c>
      <c r="B161" s="4" t="s">
        <v>41</v>
      </c>
      <c r="C161" s="4" t="s">
        <v>42</v>
      </c>
      <c r="D161" s="4" t="s">
        <v>52</v>
      </c>
      <c r="E161" s="4" t="s">
        <v>53</v>
      </c>
      <c r="F161" s="4" t="s">
        <v>25</v>
      </c>
      <c r="G161" s="4" t="s">
        <v>25</v>
      </c>
      <c r="H161" s="4" t="s">
        <v>36</v>
      </c>
      <c r="I161" s="5">
        <v>44743</v>
      </c>
      <c r="J161" s="6">
        <v>155</v>
      </c>
      <c r="K161" s="43">
        <v>155</v>
      </c>
      <c r="L161" s="6">
        <v>11.025</v>
      </c>
      <c r="M161" s="42">
        <v>11.025</v>
      </c>
      <c r="N161" s="6">
        <v>11.025</v>
      </c>
      <c r="O161" s="42">
        <v>11.025</v>
      </c>
      <c r="P161" s="6">
        <v>0</v>
      </c>
      <c r="Q161" s="4" t="s">
        <v>26</v>
      </c>
      <c r="R161" s="4">
        <v>0</v>
      </c>
      <c r="S161" s="4">
        <v>19</v>
      </c>
      <c r="T161" s="4">
        <v>21</v>
      </c>
      <c r="U161" s="4">
        <v>74</v>
      </c>
      <c r="V161" s="42">
        <f>IF(ISERROR(VLOOKUP($S$161,'TAR FIN'!$A$1:$O$115,15,0)),0,VLOOKUP($S$161,'TAR FIN'!$A$1:$O$115,15,0))*(1-0.06)</f>
        <v>52.846799999999995</v>
      </c>
      <c r="W161" s="42">
        <f>IF(ISERROR(VLOOKUP($T$161,'TAR FIN'!$A$1:$O$115,15,0)),0,VLOOKUP($T$161,'TAR FIN'!$A$1:$O$115,15,0))*(1-0.06)</f>
        <v>79.251400000000004</v>
      </c>
      <c r="X161" s="42">
        <f>IF(ISERROR(VLOOKUP($U$161,'TAR FIN'!$A$1:$O$115,15,0)),0,VLOOKUP($U$161,'TAR FIN'!$A$1:$O$115,15,0))*(1-0.06)</f>
        <v>254.08199999999999</v>
      </c>
      <c r="Y161" s="42">
        <f ca="1">('TUSD BE'!$AM$19+'TUSD BF'!$AM$19+'TUSD CVA'!$AM$19)*1*(1-0.03)</f>
        <v>54.619320318700332</v>
      </c>
      <c r="Z161" s="42">
        <f ca="1">('TUSD BE'!$AM$21+'TUSD BF'!$AM$21+'TUSD CVA'!$AM$21)*1*(1-0.03)</f>
        <v>110.02827653849539</v>
      </c>
      <c r="AA161" s="42">
        <f>('TE BE'!$AB$11+'TE BF'!$AB$11+'TE CVA'!$AB$11)*1*(1-0.03)</f>
        <v>351.76466722756453</v>
      </c>
      <c r="AB161" s="42">
        <f>(SUBSIDIO!$J$161*SUBSIDIO!$V$161)*(0.06)/(1-0.06)</f>
        <v>522.846</v>
      </c>
      <c r="AC161" s="42">
        <f>((SUBSIDIO!$L$161*SUBSIDIO!$W$161)+(SUBSIDIO!$N$161*SUBSIDIO!$X$161))*(0.06)/(1-0.06)</f>
        <v>234.57451500000002</v>
      </c>
      <c r="AD161" s="42">
        <f ca="1">(SUBSIDIO!$J$161*SUBSIDIO!$Y$161)*(0.03)/(1-0.03)</f>
        <v>261.83488606387272</v>
      </c>
      <c r="AE161" s="42">
        <f ca="1">((SUBSIDIO!$L$161*SUBSIDIO!$Z$161)+(SUBSIDIO!$N$161*SUBSIDIO!$AA$161))*(0.03)/(1-0.03)</f>
        <v>157.46187232023127</v>
      </c>
      <c r="AF161" s="4" t="s">
        <v>935</v>
      </c>
    </row>
    <row r="162" spans="1:32" ht="11.25" customHeight="1" x14ac:dyDescent="0.25">
      <c r="A162" s="4" t="s">
        <v>28</v>
      </c>
      <c r="B162" s="4" t="s">
        <v>41</v>
      </c>
      <c r="C162" s="4" t="s">
        <v>42</v>
      </c>
      <c r="D162" s="4" t="s">
        <v>52</v>
      </c>
      <c r="E162" s="4" t="s">
        <v>53</v>
      </c>
      <c r="F162" s="4" t="s">
        <v>25</v>
      </c>
      <c r="G162" s="4" t="s">
        <v>25</v>
      </c>
      <c r="H162" s="4" t="s">
        <v>36</v>
      </c>
      <c r="I162" s="5">
        <v>44743</v>
      </c>
      <c r="J162" s="6">
        <v>92</v>
      </c>
      <c r="K162" s="43">
        <v>92</v>
      </c>
      <c r="L162" s="6">
        <v>3.1419999999999999</v>
      </c>
      <c r="M162" s="42">
        <v>3.1419999999999999</v>
      </c>
      <c r="N162" s="6">
        <v>3.1419999999999999</v>
      </c>
      <c r="O162" s="42">
        <v>3.1419999999999999</v>
      </c>
      <c r="P162" s="6">
        <v>0</v>
      </c>
      <c r="Q162" s="4" t="s">
        <v>26</v>
      </c>
      <c r="R162" s="4">
        <v>0</v>
      </c>
      <c r="S162" s="4">
        <v>19</v>
      </c>
      <c r="T162" s="4">
        <v>21</v>
      </c>
      <c r="U162" s="4">
        <v>74</v>
      </c>
      <c r="V162" s="42">
        <f>IF(ISERROR(VLOOKUP($S$162,'TAR FIN'!$A$1:$O$115,15,0)),0,VLOOKUP($S$162,'TAR FIN'!$A$1:$O$115,15,0))*(1-0.06)</f>
        <v>52.846799999999995</v>
      </c>
      <c r="W162" s="42">
        <f>IF(ISERROR(VLOOKUP($T$162,'TAR FIN'!$A$1:$O$115,15,0)),0,VLOOKUP($T$162,'TAR FIN'!$A$1:$O$115,15,0))*(1-0.06)</f>
        <v>79.251400000000004</v>
      </c>
      <c r="X162" s="42">
        <f>IF(ISERROR(VLOOKUP($U$162,'TAR FIN'!$A$1:$O$115,15,0)),0,VLOOKUP($U$162,'TAR FIN'!$A$1:$O$115,15,0))*(1-0.06)</f>
        <v>254.08199999999999</v>
      </c>
      <c r="Y162" s="42">
        <f ca="1">('TUSD BE'!$AM$19+'TUSD BF'!$AM$19+'TUSD CVA'!$AM$19)*1*(1-0.03)</f>
        <v>54.619320318700332</v>
      </c>
      <c r="Z162" s="42">
        <f ca="1">('TUSD BE'!$AM$21+'TUSD BF'!$AM$21+'TUSD CVA'!$AM$21)*1*(1-0.03)</f>
        <v>110.02827653849539</v>
      </c>
      <c r="AA162" s="42">
        <f>('TE BE'!$AB$11+'TE BF'!$AB$11+'TE CVA'!$AB$11)*1*(1-0.03)</f>
        <v>351.76466722756453</v>
      </c>
      <c r="AB162" s="42">
        <f>(SUBSIDIO!$J$162*SUBSIDIO!$V$162)*(0.06)/(1-0.06)</f>
        <v>310.33439999999996</v>
      </c>
      <c r="AC162" s="42">
        <f>((SUBSIDIO!$L$162*SUBSIDIO!$W$162)+(SUBSIDIO!$N$162*SUBSIDIO!$X$162))*(0.06)/(1-0.06)</f>
        <v>66.851077200000006</v>
      </c>
      <c r="AD162" s="42">
        <f ca="1">(SUBSIDIO!$J$162*SUBSIDIO!$Y$162)*(0.03)/(1-0.03)</f>
        <v>155.41167430887933</v>
      </c>
      <c r="AE162" s="42">
        <f ca="1">((SUBSIDIO!$L$162*SUBSIDIO!$Z$162)+(SUBSIDIO!$N$162*SUBSIDIO!$AA$162))*(0.03)/(1-0.03)</f>
        <v>44.874848329266811</v>
      </c>
      <c r="AF162" s="4" t="s">
        <v>935</v>
      </c>
    </row>
    <row r="163" spans="1:32" ht="11.25" customHeight="1" x14ac:dyDescent="0.25">
      <c r="A163" s="4" t="s">
        <v>21</v>
      </c>
      <c r="B163" s="4" t="s">
        <v>41</v>
      </c>
      <c r="C163" s="4" t="s">
        <v>42</v>
      </c>
      <c r="D163" s="4" t="s">
        <v>52</v>
      </c>
      <c r="E163" s="4" t="s">
        <v>53</v>
      </c>
      <c r="F163" s="4" t="s">
        <v>25</v>
      </c>
      <c r="G163" s="4" t="s">
        <v>25</v>
      </c>
      <c r="H163" s="4" t="s">
        <v>36</v>
      </c>
      <c r="I163" s="5">
        <v>44774</v>
      </c>
      <c r="J163" s="6">
        <v>160</v>
      </c>
      <c r="K163" s="43">
        <v>160</v>
      </c>
      <c r="L163" s="6">
        <v>11.971</v>
      </c>
      <c r="M163" s="42">
        <v>11.971</v>
      </c>
      <c r="N163" s="6">
        <v>11.971</v>
      </c>
      <c r="O163" s="42">
        <v>11.971</v>
      </c>
      <c r="P163" s="6">
        <v>0</v>
      </c>
      <c r="Q163" s="4" t="s">
        <v>26</v>
      </c>
      <c r="R163" s="4">
        <v>0</v>
      </c>
      <c r="S163" s="4">
        <v>19</v>
      </c>
      <c r="T163" s="4">
        <v>21</v>
      </c>
      <c r="U163" s="4">
        <v>74</v>
      </c>
      <c r="V163" s="42">
        <f>IF(ISERROR(VLOOKUP($S$163,'TAR FIN'!$A$1:$O$115,15,0)),0,VLOOKUP($S$163,'TAR FIN'!$A$1:$O$115,15,0))*(1-0.06)</f>
        <v>52.846799999999995</v>
      </c>
      <c r="W163" s="42">
        <f>IF(ISERROR(VLOOKUP($T$163,'TAR FIN'!$A$1:$O$115,15,0)),0,VLOOKUP($T$163,'TAR FIN'!$A$1:$O$115,15,0))*(1-0.06)</f>
        <v>79.251400000000004</v>
      </c>
      <c r="X163" s="42">
        <f>IF(ISERROR(VLOOKUP($U$163,'TAR FIN'!$A$1:$O$115,15,0)),0,VLOOKUP($U$163,'TAR FIN'!$A$1:$O$115,15,0))*(1-0.06)</f>
        <v>254.08199999999999</v>
      </c>
      <c r="Y163" s="42">
        <f ca="1">('TUSD BE'!$AM$19+'TUSD BF'!$AM$19+'TUSD CVA'!$AM$19)*1*(1-0.03)</f>
        <v>54.619320318700332</v>
      </c>
      <c r="Z163" s="42">
        <f ca="1">('TUSD BE'!$AM$21+'TUSD BF'!$AM$21+'TUSD CVA'!$AM$21)*1*(1-0.03)</f>
        <v>110.02827653849539</v>
      </c>
      <c r="AA163" s="42">
        <f>('TE BE'!$AB$11+'TE BF'!$AB$11+'TE CVA'!$AB$11)*1*(1-0.03)</f>
        <v>351.76466722756453</v>
      </c>
      <c r="AB163" s="42">
        <f>(SUBSIDIO!$J$163*SUBSIDIO!$V$163)*(0.06)/(1-0.06)</f>
        <v>539.71199999999999</v>
      </c>
      <c r="AC163" s="42">
        <f>((SUBSIDIO!$L$163*SUBSIDIO!$W$163)+(SUBSIDIO!$N$163*SUBSIDIO!$X$163))*(0.06)/(1-0.06)</f>
        <v>254.7021786</v>
      </c>
      <c r="AD163" s="42">
        <f ca="1">(SUBSIDIO!$J$163*SUBSIDIO!$Y$163)*(0.03)/(1-0.03)</f>
        <v>270.28117271109437</v>
      </c>
      <c r="AE163" s="42">
        <f ca="1">((SUBSIDIO!$L$163*SUBSIDIO!$Z$163)+(SUBSIDIO!$N$163*SUBSIDIO!$AA$163))*(0.03)/(1-0.03)</f>
        <v>170.97288648938672</v>
      </c>
      <c r="AF163" s="4" t="s">
        <v>935</v>
      </c>
    </row>
    <row r="164" spans="1:32" ht="11.25" customHeight="1" x14ac:dyDescent="0.25">
      <c r="A164" s="4" t="s">
        <v>28</v>
      </c>
      <c r="B164" s="4" t="s">
        <v>41</v>
      </c>
      <c r="C164" s="4" t="s">
        <v>42</v>
      </c>
      <c r="D164" s="4" t="s">
        <v>52</v>
      </c>
      <c r="E164" s="4" t="s">
        <v>53</v>
      </c>
      <c r="F164" s="4" t="s">
        <v>25</v>
      </c>
      <c r="G164" s="4" t="s">
        <v>25</v>
      </c>
      <c r="H164" s="4" t="s">
        <v>36</v>
      </c>
      <c r="I164" s="5">
        <v>44774</v>
      </c>
      <c r="J164" s="6">
        <v>92</v>
      </c>
      <c r="K164" s="43">
        <v>92</v>
      </c>
      <c r="L164" s="6">
        <v>2.6739999999999999</v>
      </c>
      <c r="M164" s="42">
        <v>2.6739999999999999</v>
      </c>
      <c r="N164" s="6">
        <v>2.6739999999999999</v>
      </c>
      <c r="O164" s="42">
        <v>2.6739999999999999</v>
      </c>
      <c r="P164" s="6">
        <v>0</v>
      </c>
      <c r="Q164" s="4" t="s">
        <v>26</v>
      </c>
      <c r="R164" s="4">
        <v>0</v>
      </c>
      <c r="S164" s="4">
        <v>19</v>
      </c>
      <c r="T164" s="4">
        <v>21</v>
      </c>
      <c r="U164" s="4">
        <v>74</v>
      </c>
      <c r="V164" s="42">
        <f>IF(ISERROR(VLOOKUP($S$164,'TAR FIN'!$A$1:$O$115,15,0)),0,VLOOKUP($S$164,'TAR FIN'!$A$1:$O$115,15,0))*(1-0.06)</f>
        <v>52.846799999999995</v>
      </c>
      <c r="W164" s="42">
        <f>IF(ISERROR(VLOOKUP($T$164,'TAR FIN'!$A$1:$O$115,15,0)),0,VLOOKUP($T$164,'TAR FIN'!$A$1:$O$115,15,0))*(1-0.06)</f>
        <v>79.251400000000004</v>
      </c>
      <c r="X164" s="42">
        <f>IF(ISERROR(VLOOKUP($U$164,'TAR FIN'!$A$1:$O$115,15,0)),0,VLOOKUP($U$164,'TAR FIN'!$A$1:$O$115,15,0))*(1-0.06)</f>
        <v>254.08199999999999</v>
      </c>
      <c r="Y164" s="42">
        <f ca="1">('TUSD BE'!$AM$19+'TUSD BF'!$AM$19+'TUSD CVA'!$AM$19)*1*(1-0.03)</f>
        <v>54.619320318700332</v>
      </c>
      <c r="Z164" s="42">
        <f ca="1">('TUSD BE'!$AM$21+'TUSD BF'!$AM$21+'TUSD CVA'!$AM$21)*1*(1-0.03)</f>
        <v>110.02827653849539</v>
      </c>
      <c r="AA164" s="42">
        <f>('TE BE'!$AB$11+'TE BF'!$AB$11+'TE CVA'!$AB$11)*1*(1-0.03)</f>
        <v>351.76466722756453</v>
      </c>
      <c r="AB164" s="42">
        <f>(SUBSIDIO!$J$164*SUBSIDIO!$V$164)*(0.06)/(1-0.06)</f>
        <v>310.33439999999996</v>
      </c>
      <c r="AC164" s="42">
        <f>((SUBSIDIO!$L$164*SUBSIDIO!$W$164)+(SUBSIDIO!$N$164*SUBSIDIO!$X$164))*(0.06)/(1-0.06)</f>
        <v>56.893628399999997</v>
      </c>
      <c r="AD164" s="42">
        <f ca="1">(SUBSIDIO!$J$164*SUBSIDIO!$Y$164)*(0.03)/(1-0.03)</f>
        <v>155.41167430887933</v>
      </c>
      <c r="AE164" s="42">
        <f ca="1">((SUBSIDIO!$L$164*SUBSIDIO!$Z$164)+(SUBSIDIO!$N$164*SUBSIDIO!$AA$164))*(0.03)/(1-0.03)</f>
        <v>38.190752524652915</v>
      </c>
      <c r="AF164" s="4" t="s">
        <v>935</v>
      </c>
    </row>
    <row r="165" spans="1:32" ht="11.25" customHeight="1" x14ac:dyDescent="0.25">
      <c r="A165" s="4" t="s">
        <v>21</v>
      </c>
      <c r="B165" s="4" t="s">
        <v>41</v>
      </c>
      <c r="C165" s="4" t="s">
        <v>42</v>
      </c>
      <c r="D165" s="4" t="s">
        <v>52</v>
      </c>
      <c r="E165" s="4" t="s">
        <v>53</v>
      </c>
      <c r="F165" s="4" t="s">
        <v>25</v>
      </c>
      <c r="G165" s="4" t="s">
        <v>25</v>
      </c>
      <c r="H165" s="4" t="s">
        <v>36</v>
      </c>
      <c r="I165" s="5">
        <v>44805</v>
      </c>
      <c r="J165" s="6">
        <v>160</v>
      </c>
      <c r="K165" s="43">
        <v>160</v>
      </c>
      <c r="L165" s="6">
        <v>11.391999999999999</v>
      </c>
      <c r="M165" s="42">
        <v>11.391999999999999</v>
      </c>
      <c r="N165" s="6">
        <v>11.391999999999999</v>
      </c>
      <c r="O165" s="42">
        <v>11.391999999999999</v>
      </c>
      <c r="P165" s="6">
        <v>0</v>
      </c>
      <c r="Q165" s="4" t="s">
        <v>26</v>
      </c>
      <c r="R165" s="4">
        <v>0</v>
      </c>
      <c r="S165" s="4">
        <v>19</v>
      </c>
      <c r="T165" s="4">
        <v>21</v>
      </c>
      <c r="U165" s="4">
        <v>74</v>
      </c>
      <c r="V165" s="42">
        <f>IF(ISERROR(VLOOKUP($S$165,'TAR FIN'!$A$1:$O$115,15,0)),0,VLOOKUP($S$165,'TAR FIN'!$A$1:$O$115,15,0))*(1-0.06)</f>
        <v>52.846799999999995</v>
      </c>
      <c r="W165" s="42">
        <f>IF(ISERROR(VLOOKUP($T$165,'TAR FIN'!$A$1:$O$115,15,0)),0,VLOOKUP($T$165,'TAR FIN'!$A$1:$O$115,15,0))*(1-0.06)</f>
        <v>79.251400000000004</v>
      </c>
      <c r="X165" s="42">
        <f>IF(ISERROR(VLOOKUP($U$165,'TAR FIN'!$A$1:$O$115,15,0)),0,VLOOKUP($U$165,'TAR FIN'!$A$1:$O$115,15,0))*(1-0.06)</f>
        <v>254.08199999999999</v>
      </c>
      <c r="Y165" s="42">
        <f ca="1">('TUSD BE'!$AM$19+'TUSD BF'!$AM$19+'TUSD CVA'!$AM$19)*1*(1-0.03)</f>
        <v>54.619320318700332</v>
      </c>
      <c r="Z165" s="42">
        <f ca="1">('TUSD BE'!$AM$21+'TUSD BF'!$AM$21+'TUSD CVA'!$AM$21)*1*(1-0.03)</f>
        <v>110.02827653849539</v>
      </c>
      <c r="AA165" s="42">
        <f>('TE BE'!$AB$11+'TE BF'!$AB$11+'TE CVA'!$AB$11)*1*(1-0.03)</f>
        <v>351.76466722756453</v>
      </c>
      <c r="AB165" s="42">
        <f>(SUBSIDIO!$J$165*SUBSIDIO!$V$165)*(0.06)/(1-0.06)</f>
        <v>539.71199999999999</v>
      </c>
      <c r="AC165" s="42">
        <f>((SUBSIDIO!$L$165*SUBSIDIO!$W$165)+(SUBSIDIO!$N$165*SUBSIDIO!$X$165))*(0.06)/(1-0.06)</f>
        <v>242.38302719999999</v>
      </c>
      <c r="AD165" s="42">
        <f ca="1">(SUBSIDIO!$J$165*SUBSIDIO!$Y$165)*(0.03)/(1-0.03)</f>
        <v>270.28117271109437</v>
      </c>
      <c r="AE165" s="42">
        <f ca="1">((SUBSIDIO!$L$165*SUBSIDIO!$Z$165)+(SUBSIDIO!$N$165*SUBSIDIO!$AA$165))*(0.03)/(1-0.03)</f>
        <v>162.70346026957591</v>
      </c>
      <c r="AF165" s="4" t="s">
        <v>935</v>
      </c>
    </row>
    <row r="166" spans="1:32" ht="11.25" customHeight="1" x14ac:dyDescent="0.25">
      <c r="A166" s="4" t="s">
        <v>28</v>
      </c>
      <c r="B166" s="4" t="s">
        <v>41</v>
      </c>
      <c r="C166" s="4" t="s">
        <v>42</v>
      </c>
      <c r="D166" s="4" t="s">
        <v>52</v>
      </c>
      <c r="E166" s="4" t="s">
        <v>53</v>
      </c>
      <c r="F166" s="4" t="s">
        <v>25</v>
      </c>
      <c r="G166" s="4" t="s">
        <v>25</v>
      </c>
      <c r="H166" s="4" t="s">
        <v>36</v>
      </c>
      <c r="I166" s="5">
        <v>44805</v>
      </c>
      <c r="J166" s="6">
        <v>104</v>
      </c>
      <c r="K166" s="43">
        <v>104</v>
      </c>
      <c r="L166" s="6">
        <v>1.718</v>
      </c>
      <c r="M166" s="42">
        <v>1.718</v>
      </c>
      <c r="N166" s="6">
        <v>1.718</v>
      </c>
      <c r="O166" s="42">
        <v>1.718</v>
      </c>
      <c r="P166" s="6">
        <v>0</v>
      </c>
      <c r="Q166" s="4" t="s">
        <v>26</v>
      </c>
      <c r="R166" s="4">
        <v>0</v>
      </c>
      <c r="S166" s="4">
        <v>19</v>
      </c>
      <c r="T166" s="4">
        <v>21</v>
      </c>
      <c r="U166" s="4">
        <v>74</v>
      </c>
      <c r="V166" s="42">
        <f>IF(ISERROR(VLOOKUP($S$166,'TAR FIN'!$A$1:$O$115,15,0)),0,VLOOKUP($S$166,'TAR FIN'!$A$1:$O$115,15,0))*(1-0.06)</f>
        <v>52.846799999999995</v>
      </c>
      <c r="W166" s="42">
        <f>IF(ISERROR(VLOOKUP($T$166,'TAR FIN'!$A$1:$O$115,15,0)),0,VLOOKUP($T$166,'TAR FIN'!$A$1:$O$115,15,0))*(1-0.06)</f>
        <v>79.251400000000004</v>
      </c>
      <c r="X166" s="42">
        <f>IF(ISERROR(VLOOKUP($U$166,'TAR FIN'!$A$1:$O$115,15,0)),0,VLOOKUP($U$166,'TAR FIN'!$A$1:$O$115,15,0))*(1-0.06)</f>
        <v>254.08199999999999</v>
      </c>
      <c r="Y166" s="42">
        <f ca="1">('TUSD BE'!$AM$19+'TUSD BF'!$AM$19+'TUSD CVA'!$AM$19)*1*(1-0.03)</f>
        <v>54.619320318700332</v>
      </c>
      <c r="Z166" s="42">
        <f ca="1">('TUSD BE'!$AM$21+'TUSD BF'!$AM$21+'TUSD CVA'!$AM$21)*1*(1-0.03)</f>
        <v>110.02827653849539</v>
      </c>
      <c r="AA166" s="42">
        <f>('TE BE'!$AB$11+'TE BF'!$AB$11+'TE CVA'!$AB$11)*1*(1-0.03)</f>
        <v>351.76466722756453</v>
      </c>
      <c r="AB166" s="42">
        <f>(SUBSIDIO!$J$166*SUBSIDIO!$V$166)*(0.06)/(1-0.06)</f>
        <v>350.81279999999998</v>
      </c>
      <c r="AC166" s="42">
        <f>((SUBSIDIO!$L$166*SUBSIDIO!$W$166)+(SUBSIDIO!$N$166*SUBSIDIO!$X$166))*(0.06)/(1-0.06)</f>
        <v>36.553198800000004</v>
      </c>
      <c r="AD166" s="42">
        <f ca="1">(SUBSIDIO!$J$166*SUBSIDIO!$Y$166)*(0.03)/(1-0.03)</f>
        <v>175.68276226221138</v>
      </c>
      <c r="AE166" s="42">
        <f ca="1">((SUBSIDIO!$L$166*SUBSIDIO!$Z$166)+(SUBSIDIO!$N$166*SUBSIDIO!$AA$166))*(0.03)/(1-0.03)</f>
        <v>24.536915795569818</v>
      </c>
      <c r="AF166" s="4" t="s">
        <v>935</v>
      </c>
    </row>
    <row r="167" spans="1:32" ht="11.25" customHeight="1" x14ac:dyDescent="0.25">
      <c r="A167" s="4" t="s">
        <v>21</v>
      </c>
      <c r="B167" s="4" t="s">
        <v>41</v>
      </c>
      <c r="C167" s="4" t="s">
        <v>42</v>
      </c>
      <c r="D167" s="4" t="s">
        <v>52</v>
      </c>
      <c r="E167" s="4" t="s">
        <v>53</v>
      </c>
      <c r="F167" s="4" t="s">
        <v>25</v>
      </c>
      <c r="G167" s="4" t="s">
        <v>25</v>
      </c>
      <c r="H167" s="4" t="s">
        <v>36</v>
      </c>
      <c r="I167" s="5">
        <v>44835</v>
      </c>
      <c r="J167" s="6">
        <v>209</v>
      </c>
      <c r="K167" s="43">
        <v>209</v>
      </c>
      <c r="L167" s="6">
        <v>14.791</v>
      </c>
      <c r="M167" s="42">
        <v>14.791</v>
      </c>
      <c r="N167" s="6">
        <v>14.791</v>
      </c>
      <c r="O167" s="42">
        <v>14.791</v>
      </c>
      <c r="P167" s="6">
        <v>0</v>
      </c>
      <c r="Q167" s="4" t="s">
        <v>26</v>
      </c>
      <c r="R167" s="4">
        <v>0</v>
      </c>
      <c r="S167" s="4">
        <v>19</v>
      </c>
      <c r="T167" s="4">
        <v>21</v>
      </c>
      <c r="U167" s="4">
        <v>74</v>
      </c>
      <c r="V167" s="42">
        <f>IF(ISERROR(VLOOKUP($S$167,'TAR FIN'!$A$1:$O$115,15,0)),0,VLOOKUP($S$167,'TAR FIN'!$A$1:$O$115,15,0))*(1-0.06)</f>
        <v>52.846799999999995</v>
      </c>
      <c r="W167" s="42">
        <f>IF(ISERROR(VLOOKUP($T$167,'TAR FIN'!$A$1:$O$115,15,0)),0,VLOOKUP($T$167,'TAR FIN'!$A$1:$O$115,15,0))*(1-0.06)</f>
        <v>79.251400000000004</v>
      </c>
      <c r="X167" s="42">
        <f>IF(ISERROR(VLOOKUP($U$167,'TAR FIN'!$A$1:$O$115,15,0)),0,VLOOKUP($U$167,'TAR FIN'!$A$1:$O$115,15,0))*(1-0.06)</f>
        <v>254.08199999999999</v>
      </c>
      <c r="Y167" s="42">
        <f ca="1">('TUSD BE'!$AM$19+'TUSD BF'!$AM$19+'TUSD CVA'!$AM$19)*1*(1-0.03)</f>
        <v>54.619320318700332</v>
      </c>
      <c r="Z167" s="42">
        <f ca="1">('TUSD BE'!$AM$21+'TUSD BF'!$AM$21+'TUSD CVA'!$AM$21)*1*(1-0.03)</f>
        <v>110.02827653849539</v>
      </c>
      <c r="AA167" s="42">
        <f>('TE BE'!$AB$11+'TE BF'!$AB$11+'TE CVA'!$AB$11)*1*(1-0.03)</f>
        <v>351.76466722756453</v>
      </c>
      <c r="AB167" s="42">
        <f>(SUBSIDIO!$J$167*SUBSIDIO!$V$167)*(0.06)/(1-0.06)</f>
        <v>704.99879999999985</v>
      </c>
      <c r="AC167" s="42">
        <f>((SUBSIDIO!$L$167*SUBSIDIO!$W$167)+(SUBSIDIO!$N$167*SUBSIDIO!$X$167))*(0.06)/(1-0.06)</f>
        <v>314.70219059999999</v>
      </c>
      <c r="AD167" s="42">
        <f ca="1">(SUBSIDIO!$J$167*SUBSIDIO!$Y$167)*(0.03)/(1-0.03)</f>
        <v>353.0547818538671</v>
      </c>
      <c r="AE167" s="42">
        <f ca="1">((SUBSIDIO!$L$167*SUBSIDIO!$Z$167)+(SUBSIDIO!$N$167*SUBSIDIO!$AA$167))*(0.03)/(1-0.03)</f>
        <v>211.24884838898328</v>
      </c>
      <c r="AF167" s="4" t="s">
        <v>935</v>
      </c>
    </row>
    <row r="168" spans="1:32" ht="11.25" customHeight="1" x14ac:dyDescent="0.25">
      <c r="A168" s="4" t="s">
        <v>28</v>
      </c>
      <c r="B168" s="4" t="s">
        <v>41</v>
      </c>
      <c r="C168" s="4" t="s">
        <v>42</v>
      </c>
      <c r="D168" s="4" t="s">
        <v>52</v>
      </c>
      <c r="E168" s="4" t="s">
        <v>53</v>
      </c>
      <c r="F168" s="4" t="s">
        <v>25</v>
      </c>
      <c r="G168" s="4" t="s">
        <v>25</v>
      </c>
      <c r="H168" s="4" t="s">
        <v>36</v>
      </c>
      <c r="I168" s="5">
        <v>44835</v>
      </c>
      <c r="J168" s="6">
        <v>163</v>
      </c>
      <c r="K168" s="43">
        <v>163</v>
      </c>
      <c r="L168" s="6">
        <v>7.6289999999999996</v>
      </c>
      <c r="M168" s="42">
        <v>7.6289999999999996</v>
      </c>
      <c r="N168" s="6">
        <v>7.6289999999999996</v>
      </c>
      <c r="O168" s="42">
        <v>7.6289999999999996</v>
      </c>
      <c r="P168" s="6">
        <v>0</v>
      </c>
      <c r="Q168" s="4" t="s">
        <v>26</v>
      </c>
      <c r="R168" s="4">
        <v>0</v>
      </c>
      <c r="S168" s="4">
        <v>19</v>
      </c>
      <c r="T168" s="4">
        <v>21</v>
      </c>
      <c r="U168" s="4">
        <v>74</v>
      </c>
      <c r="V168" s="42">
        <f>IF(ISERROR(VLOOKUP($S$168,'TAR FIN'!$A$1:$O$115,15,0)),0,VLOOKUP($S$168,'TAR FIN'!$A$1:$O$115,15,0))*(1-0.06)</f>
        <v>52.846799999999995</v>
      </c>
      <c r="W168" s="42">
        <f>IF(ISERROR(VLOOKUP($T$168,'TAR FIN'!$A$1:$O$115,15,0)),0,VLOOKUP($T$168,'TAR FIN'!$A$1:$O$115,15,0))*(1-0.06)</f>
        <v>79.251400000000004</v>
      </c>
      <c r="X168" s="42">
        <f>IF(ISERROR(VLOOKUP($U$168,'TAR FIN'!$A$1:$O$115,15,0)),0,VLOOKUP($U$168,'TAR FIN'!$A$1:$O$115,15,0))*(1-0.06)</f>
        <v>254.08199999999999</v>
      </c>
      <c r="Y168" s="42">
        <f ca="1">('TUSD BE'!$AM$19+'TUSD BF'!$AM$19+'TUSD CVA'!$AM$19)*1*(1-0.03)</f>
        <v>54.619320318700332</v>
      </c>
      <c r="Z168" s="42">
        <f ca="1">('TUSD BE'!$AM$21+'TUSD BF'!$AM$21+'TUSD CVA'!$AM$21)*1*(1-0.03)</f>
        <v>110.02827653849539</v>
      </c>
      <c r="AA168" s="42">
        <f>('TE BE'!$AB$11+'TE BF'!$AB$11+'TE CVA'!$AB$11)*1*(1-0.03)</f>
        <v>351.76466722756453</v>
      </c>
      <c r="AB168" s="42">
        <f>(SUBSIDIO!$J$168*SUBSIDIO!$V$168)*(0.06)/(1-0.06)</f>
        <v>549.83159999999998</v>
      </c>
      <c r="AC168" s="42">
        <f>((SUBSIDIO!$L$168*SUBSIDIO!$W$168)+(SUBSIDIO!$N$168*SUBSIDIO!$X$168))*(0.06)/(1-0.06)</f>
        <v>162.31918139999996</v>
      </c>
      <c r="AD168" s="42">
        <f ca="1">(SUBSIDIO!$J$168*SUBSIDIO!$Y$168)*(0.03)/(1-0.03)</f>
        <v>275.34894469942742</v>
      </c>
      <c r="AE168" s="42">
        <f ca="1">((SUBSIDIO!$L$168*SUBSIDIO!$Z$168)+(SUBSIDIO!$N$168*SUBSIDIO!$AA$168))*(0.03)/(1-0.03)</f>
        <v>108.95933096880219</v>
      </c>
      <c r="AF168" s="4" t="s">
        <v>935</v>
      </c>
    </row>
    <row r="169" spans="1:32" ht="11.25" customHeight="1" x14ac:dyDescent="0.25">
      <c r="A169" s="4" t="s">
        <v>59</v>
      </c>
      <c r="B169" s="4" t="s">
        <v>41</v>
      </c>
      <c r="C169" s="4" t="s">
        <v>42</v>
      </c>
      <c r="D169" s="4" t="s">
        <v>52</v>
      </c>
      <c r="E169" s="4" t="s">
        <v>53</v>
      </c>
      <c r="F169" s="4" t="s">
        <v>25</v>
      </c>
      <c r="G169" s="4" t="s">
        <v>25</v>
      </c>
      <c r="H169" s="4" t="s">
        <v>36</v>
      </c>
      <c r="I169" s="5">
        <v>44866</v>
      </c>
      <c r="J169" s="6">
        <v>209</v>
      </c>
      <c r="K169" s="43">
        <v>209</v>
      </c>
      <c r="L169" s="6">
        <v>14.791</v>
      </c>
      <c r="M169" s="42">
        <v>14.791</v>
      </c>
      <c r="N169" s="6">
        <v>14.791</v>
      </c>
      <c r="O169" s="42">
        <v>14.791</v>
      </c>
      <c r="P169" s="6">
        <v>0</v>
      </c>
      <c r="Q169" s="4" t="s">
        <v>26</v>
      </c>
      <c r="R169" s="4">
        <v>0</v>
      </c>
      <c r="S169" s="4">
        <v>19</v>
      </c>
      <c r="T169" s="4">
        <v>21</v>
      </c>
      <c r="U169" s="4">
        <v>74</v>
      </c>
      <c r="V169" s="42">
        <f>IF(ISERROR(VLOOKUP($S$169,'TAR FIN'!$A$1:$O$115,15,0)),0,VLOOKUP($S$169,'TAR FIN'!$A$1:$O$115,15,0))*(1-0.06)</f>
        <v>52.846799999999995</v>
      </c>
      <c r="W169" s="42">
        <f>IF(ISERROR(VLOOKUP($T$169,'TAR FIN'!$A$1:$O$115,15,0)),0,VLOOKUP($T$169,'TAR FIN'!$A$1:$O$115,15,0))*(1-0.06)</f>
        <v>79.251400000000004</v>
      </c>
      <c r="X169" s="42">
        <f>IF(ISERROR(VLOOKUP($U$169,'TAR FIN'!$A$1:$O$115,15,0)),0,VLOOKUP($U$169,'TAR FIN'!$A$1:$O$115,15,0))*(1-0.06)</f>
        <v>254.08199999999999</v>
      </c>
      <c r="Y169" s="42">
        <f ca="1">('TUSD BE'!$AM$19+'TUSD BF'!$AM$19+'TUSD CVA'!$AM$19)*1*(1-0.03)</f>
        <v>54.619320318700332</v>
      </c>
      <c r="Z169" s="42">
        <f ca="1">('TUSD BE'!$AM$21+'TUSD BF'!$AM$21+'TUSD CVA'!$AM$21)*1*(1-0.03)</f>
        <v>110.02827653849539</v>
      </c>
      <c r="AA169" s="42">
        <f>('TE BE'!$AB$11+'TE BF'!$AB$11+'TE CVA'!$AB$11)*1*(1-0.03)</f>
        <v>351.76466722756453</v>
      </c>
      <c r="AB169" s="42">
        <f>(SUBSIDIO!$J$169*SUBSIDIO!$V$169)*(0.06)/(1-0.06)</f>
        <v>704.99879999999985</v>
      </c>
      <c r="AC169" s="42">
        <f>((SUBSIDIO!$L$169*SUBSIDIO!$W$169)+(SUBSIDIO!$N$169*SUBSIDIO!$X$169))*(0.06)/(1-0.06)</f>
        <v>314.70219059999999</v>
      </c>
      <c r="AD169" s="42">
        <f ca="1">(SUBSIDIO!$J$169*SUBSIDIO!$Y$169)*(0.03)/(1-0.03)</f>
        <v>353.0547818538671</v>
      </c>
      <c r="AE169" s="42">
        <f ca="1">((SUBSIDIO!$L$169*SUBSIDIO!$Z$169)+(SUBSIDIO!$N$169*SUBSIDIO!$AA$169))*(0.03)/(1-0.03)</f>
        <v>211.24884838898328</v>
      </c>
      <c r="AF169" s="4" t="s">
        <v>935</v>
      </c>
    </row>
    <row r="170" spans="1:32" ht="11.25" customHeight="1" x14ac:dyDescent="0.25">
      <c r="A170" s="4" t="s">
        <v>59</v>
      </c>
      <c r="B170" s="4" t="s">
        <v>41</v>
      </c>
      <c r="C170" s="4" t="s">
        <v>42</v>
      </c>
      <c r="D170" s="4" t="s">
        <v>52</v>
      </c>
      <c r="E170" s="4" t="s">
        <v>53</v>
      </c>
      <c r="F170" s="4" t="s">
        <v>25</v>
      </c>
      <c r="G170" s="4" t="s">
        <v>25</v>
      </c>
      <c r="H170" s="4" t="s">
        <v>36</v>
      </c>
      <c r="I170" s="5">
        <v>44866</v>
      </c>
      <c r="J170" s="6">
        <v>163</v>
      </c>
      <c r="K170" s="43">
        <v>163</v>
      </c>
      <c r="L170" s="6">
        <v>7.6289999999999996</v>
      </c>
      <c r="M170" s="42">
        <v>7.6289999999999996</v>
      </c>
      <c r="N170" s="6">
        <v>7.6289999999999996</v>
      </c>
      <c r="O170" s="42">
        <v>7.6289999999999996</v>
      </c>
      <c r="P170" s="6">
        <v>0</v>
      </c>
      <c r="Q170" s="4" t="s">
        <v>26</v>
      </c>
      <c r="R170" s="4">
        <v>0</v>
      </c>
      <c r="S170" s="4">
        <v>19</v>
      </c>
      <c r="T170" s="4">
        <v>21</v>
      </c>
      <c r="U170" s="4">
        <v>74</v>
      </c>
      <c r="V170" s="42">
        <f>IF(ISERROR(VLOOKUP($S$170,'TAR FIN'!$A$1:$O$115,15,0)),0,VLOOKUP($S$170,'TAR FIN'!$A$1:$O$115,15,0))*(1-0.06)</f>
        <v>52.846799999999995</v>
      </c>
      <c r="W170" s="42">
        <f>IF(ISERROR(VLOOKUP($T$170,'TAR FIN'!$A$1:$O$115,15,0)),0,VLOOKUP($T$170,'TAR FIN'!$A$1:$O$115,15,0))*(1-0.06)</f>
        <v>79.251400000000004</v>
      </c>
      <c r="X170" s="42">
        <f>IF(ISERROR(VLOOKUP($U$170,'TAR FIN'!$A$1:$O$115,15,0)),0,VLOOKUP($U$170,'TAR FIN'!$A$1:$O$115,15,0))*(1-0.06)</f>
        <v>254.08199999999999</v>
      </c>
      <c r="Y170" s="42">
        <f ca="1">('TUSD BE'!$AM$19+'TUSD BF'!$AM$19+'TUSD CVA'!$AM$19)*1*(1-0.03)</f>
        <v>54.619320318700332</v>
      </c>
      <c r="Z170" s="42">
        <f ca="1">('TUSD BE'!$AM$21+'TUSD BF'!$AM$21+'TUSD CVA'!$AM$21)*1*(1-0.03)</f>
        <v>110.02827653849539</v>
      </c>
      <c r="AA170" s="42">
        <f>('TE BE'!$AB$11+'TE BF'!$AB$11+'TE CVA'!$AB$11)*1*(1-0.03)</f>
        <v>351.76466722756453</v>
      </c>
      <c r="AB170" s="42">
        <f>(SUBSIDIO!$J$170*SUBSIDIO!$V$170)*(0.06)/(1-0.06)</f>
        <v>549.83159999999998</v>
      </c>
      <c r="AC170" s="42">
        <f>((SUBSIDIO!$L$170*SUBSIDIO!$W$170)+(SUBSIDIO!$N$170*SUBSIDIO!$X$170))*(0.06)/(1-0.06)</f>
        <v>162.31918139999996</v>
      </c>
      <c r="AD170" s="42">
        <f ca="1">(SUBSIDIO!$J$170*SUBSIDIO!$Y$170)*(0.03)/(1-0.03)</f>
        <v>275.34894469942742</v>
      </c>
      <c r="AE170" s="42">
        <f ca="1">((SUBSIDIO!$L$170*SUBSIDIO!$Z$170)+(SUBSIDIO!$N$170*SUBSIDIO!$AA$170))*(0.03)/(1-0.03)</f>
        <v>108.95933096880219</v>
      </c>
      <c r="AF170" s="4" t="s">
        <v>935</v>
      </c>
    </row>
    <row r="171" spans="1:32" ht="11.25" customHeight="1" x14ac:dyDescent="0.25">
      <c r="A171" s="4" t="s">
        <v>21</v>
      </c>
      <c r="B171" s="4" t="s">
        <v>41</v>
      </c>
      <c r="C171" s="4" t="s">
        <v>62</v>
      </c>
      <c r="D171" s="4" t="s">
        <v>25</v>
      </c>
      <c r="E171" s="4" t="s">
        <v>25</v>
      </c>
      <c r="F171" s="4" t="s">
        <v>25</v>
      </c>
      <c r="G171" s="4" t="s">
        <v>63</v>
      </c>
      <c r="H171" s="4" t="s">
        <v>37</v>
      </c>
      <c r="I171" s="5">
        <v>44531</v>
      </c>
      <c r="J171" s="6">
        <v>1568</v>
      </c>
      <c r="K171" s="6">
        <v>1568</v>
      </c>
      <c r="L171" s="6">
        <v>689.67899999999997</v>
      </c>
      <c r="M171" s="6">
        <v>689.67899999999997</v>
      </c>
      <c r="N171" s="6">
        <v>0</v>
      </c>
      <c r="O171" s="6">
        <v>0</v>
      </c>
      <c r="P171" s="6">
        <v>0</v>
      </c>
      <c r="Q171" s="4" t="s">
        <v>64</v>
      </c>
      <c r="R171" s="4">
        <v>7019</v>
      </c>
      <c r="S171" s="4">
        <v>24</v>
      </c>
      <c r="T171" s="4">
        <v>25</v>
      </c>
      <c r="U171" s="4">
        <v>0</v>
      </c>
      <c r="V171" s="6">
        <f>IF(ISERROR(VLOOKUP($S$171,'TAR FIN'!$A$1:$O$115,15,0)),0,VLOOKUP($S$171,'TAR FIN'!$A$1:$O$115,15,0))</f>
        <v>7.64</v>
      </c>
      <c r="W171" s="6">
        <f>IF(ISERROR(VLOOKUP($T$171,'TAR FIN'!$A$1:$O$115,15,0)),0,VLOOKUP($T$171,'TAR FIN'!$A$1:$O$115,15,0))</f>
        <v>10.28</v>
      </c>
      <c r="X171" s="6">
        <f>IF(ISERROR(VLOOKUP($U$171,'TAR FIN'!$A$1:$O$115,15,0)),0,VLOOKUP($U$171,'TAR FIN'!$A$1:$O$115,15,0))</f>
        <v>0</v>
      </c>
      <c r="Y171" s="6">
        <f ca="1">('TUSD BE'!$AM$24+'TUSD BF'!$AM$24+'TUSD CVA'!$AM$24)*1</f>
        <v>9.6081279297339091</v>
      </c>
      <c r="Z171" s="6">
        <f ca="1">('TUSD BE'!$AM$25+'TUSD BF'!$AM$25+'TUSD CVA'!$AM$25)*1</f>
        <v>15.91855481032834</v>
      </c>
      <c r="AA171" s="6">
        <f>('TE BE'!$AB$16+'TE BF'!$AB$16+'TE CVA'!$AB$16)*1</f>
        <v>220.39434315508052</v>
      </c>
      <c r="AB171" s="6">
        <f t="shared" ref="AB171:AB193" si="10">(J171-K171)*V171</f>
        <v>0</v>
      </c>
      <c r="AC171" s="6">
        <f t="shared" ref="AC171:AC193" si="11">(L171-M171)*W171+(N171-O171)*X171</f>
        <v>0</v>
      </c>
      <c r="AD171" s="6">
        <f t="shared" ref="AD171:AD193" ca="1" si="12">(J171-K171)*Y171</f>
        <v>0</v>
      </c>
      <c r="AE171" s="6">
        <f t="shared" ref="AE171:AE193" ca="1" si="13">(L171-M171)*Z171+(N171-O171)*AA171</f>
        <v>0</v>
      </c>
      <c r="AF171" s="4" t="s">
        <v>937</v>
      </c>
    </row>
    <row r="172" spans="1:32" ht="11.25" customHeight="1" x14ac:dyDescent="0.25">
      <c r="A172" s="4" t="s">
        <v>21</v>
      </c>
      <c r="B172" s="4" t="s">
        <v>41</v>
      </c>
      <c r="C172" s="4" t="s">
        <v>62</v>
      </c>
      <c r="D172" s="4" t="s">
        <v>25</v>
      </c>
      <c r="E172" s="4" t="s">
        <v>25</v>
      </c>
      <c r="F172" s="4" t="s">
        <v>25</v>
      </c>
      <c r="G172" s="4" t="s">
        <v>63</v>
      </c>
      <c r="H172" s="4" t="s">
        <v>37</v>
      </c>
      <c r="I172" s="5">
        <v>44562</v>
      </c>
      <c r="J172" s="6">
        <v>1478</v>
      </c>
      <c r="K172" s="6">
        <v>1478</v>
      </c>
      <c r="L172" s="6">
        <v>761.09</v>
      </c>
      <c r="M172" s="6">
        <v>761.09</v>
      </c>
      <c r="N172" s="6">
        <v>0</v>
      </c>
      <c r="O172" s="6">
        <v>0</v>
      </c>
      <c r="P172" s="6">
        <v>0</v>
      </c>
      <c r="Q172" s="4" t="s">
        <v>64</v>
      </c>
      <c r="R172" s="4">
        <v>7019</v>
      </c>
      <c r="S172" s="4">
        <v>24</v>
      </c>
      <c r="T172" s="4">
        <v>25</v>
      </c>
      <c r="U172" s="4">
        <v>0</v>
      </c>
      <c r="V172" s="6">
        <f>IF(ISERROR(VLOOKUP($S$172,'TAR FIN'!$A$1:$O$115,15,0)),0,VLOOKUP($S$172,'TAR FIN'!$A$1:$O$115,15,0))</f>
        <v>7.64</v>
      </c>
      <c r="W172" s="6">
        <f>IF(ISERROR(VLOOKUP($T$172,'TAR FIN'!$A$1:$O$115,15,0)),0,VLOOKUP($T$172,'TAR FIN'!$A$1:$O$115,15,0))</f>
        <v>10.28</v>
      </c>
      <c r="X172" s="6">
        <f>IF(ISERROR(VLOOKUP($U$172,'TAR FIN'!$A$1:$O$115,15,0)),0,VLOOKUP($U$172,'TAR FIN'!$A$1:$O$115,15,0))</f>
        <v>0</v>
      </c>
      <c r="Y172" s="6">
        <f ca="1">('TUSD BE'!$AM$24+'TUSD BF'!$AM$24+'TUSD CVA'!$AM$24)*1</f>
        <v>9.6081279297339091</v>
      </c>
      <c r="Z172" s="6">
        <f ca="1">('TUSD BE'!$AM$25+'TUSD BF'!$AM$25+'TUSD CVA'!$AM$25)*1</f>
        <v>15.91855481032834</v>
      </c>
      <c r="AA172" s="6">
        <f>('TE BE'!$AB$16+'TE BF'!$AB$16+'TE CVA'!$AB$16)*1</f>
        <v>220.39434315508052</v>
      </c>
      <c r="AB172" s="6">
        <f t="shared" si="10"/>
        <v>0</v>
      </c>
      <c r="AC172" s="6">
        <f t="shared" si="11"/>
        <v>0</v>
      </c>
      <c r="AD172" s="6">
        <f t="shared" ca="1" si="12"/>
        <v>0</v>
      </c>
      <c r="AE172" s="6">
        <f t="shared" ca="1" si="13"/>
        <v>0</v>
      </c>
      <c r="AF172" s="4" t="s">
        <v>937</v>
      </c>
    </row>
    <row r="173" spans="1:32" ht="11.25" customHeight="1" x14ac:dyDescent="0.25">
      <c r="A173" s="4" t="s">
        <v>21</v>
      </c>
      <c r="B173" s="4" t="s">
        <v>41</v>
      </c>
      <c r="C173" s="4" t="s">
        <v>62</v>
      </c>
      <c r="D173" s="4" t="s">
        <v>25</v>
      </c>
      <c r="E173" s="4" t="s">
        <v>25</v>
      </c>
      <c r="F173" s="4" t="s">
        <v>25</v>
      </c>
      <c r="G173" s="4" t="s">
        <v>63</v>
      </c>
      <c r="H173" s="4" t="s">
        <v>37</v>
      </c>
      <c r="I173" s="5">
        <v>44593</v>
      </c>
      <c r="J173" s="6">
        <v>1568</v>
      </c>
      <c r="K173" s="6">
        <v>1568</v>
      </c>
      <c r="L173" s="6">
        <v>747.32</v>
      </c>
      <c r="M173" s="6">
        <v>747.32</v>
      </c>
      <c r="N173" s="6">
        <v>0</v>
      </c>
      <c r="O173" s="6">
        <v>0</v>
      </c>
      <c r="P173" s="6">
        <v>0</v>
      </c>
      <c r="Q173" s="4" t="s">
        <v>64</v>
      </c>
      <c r="R173" s="4">
        <v>7019</v>
      </c>
      <c r="S173" s="4">
        <v>24</v>
      </c>
      <c r="T173" s="4">
        <v>25</v>
      </c>
      <c r="U173" s="4">
        <v>0</v>
      </c>
      <c r="V173" s="6">
        <f>IF(ISERROR(VLOOKUP($S$173,'TAR FIN'!$A$1:$O$115,15,0)),0,VLOOKUP($S$173,'TAR FIN'!$A$1:$O$115,15,0))</f>
        <v>7.64</v>
      </c>
      <c r="W173" s="6">
        <f>IF(ISERROR(VLOOKUP($T$173,'TAR FIN'!$A$1:$O$115,15,0)),0,VLOOKUP($T$173,'TAR FIN'!$A$1:$O$115,15,0))</f>
        <v>10.28</v>
      </c>
      <c r="X173" s="6">
        <f>IF(ISERROR(VLOOKUP($U$173,'TAR FIN'!$A$1:$O$115,15,0)),0,VLOOKUP($U$173,'TAR FIN'!$A$1:$O$115,15,0))</f>
        <v>0</v>
      </c>
      <c r="Y173" s="6">
        <f ca="1">('TUSD BE'!$AM$24+'TUSD BF'!$AM$24+'TUSD CVA'!$AM$24)*1</f>
        <v>9.6081279297339091</v>
      </c>
      <c r="Z173" s="6">
        <f ca="1">('TUSD BE'!$AM$25+'TUSD BF'!$AM$25+'TUSD CVA'!$AM$25)*1</f>
        <v>15.91855481032834</v>
      </c>
      <c r="AA173" s="6">
        <f>('TE BE'!$AB$16+'TE BF'!$AB$16+'TE CVA'!$AB$16)*1</f>
        <v>220.39434315508052</v>
      </c>
      <c r="AB173" s="6">
        <f t="shared" si="10"/>
        <v>0</v>
      </c>
      <c r="AC173" s="6">
        <f t="shared" si="11"/>
        <v>0</v>
      </c>
      <c r="AD173" s="6">
        <f t="shared" ca="1" si="12"/>
        <v>0</v>
      </c>
      <c r="AE173" s="6">
        <f t="shared" ca="1" si="13"/>
        <v>0</v>
      </c>
      <c r="AF173" s="4" t="s">
        <v>937</v>
      </c>
    </row>
    <row r="174" spans="1:32" ht="11.25" customHeight="1" x14ac:dyDescent="0.25">
      <c r="A174" s="4" t="s">
        <v>21</v>
      </c>
      <c r="B174" s="4" t="s">
        <v>41</v>
      </c>
      <c r="C174" s="4" t="s">
        <v>62</v>
      </c>
      <c r="D174" s="4" t="s">
        <v>25</v>
      </c>
      <c r="E174" s="4" t="s">
        <v>25</v>
      </c>
      <c r="F174" s="4" t="s">
        <v>25</v>
      </c>
      <c r="G174" s="4" t="s">
        <v>63</v>
      </c>
      <c r="H174" s="4" t="s">
        <v>37</v>
      </c>
      <c r="I174" s="5">
        <v>44621</v>
      </c>
      <c r="J174" s="6">
        <v>1500</v>
      </c>
      <c r="K174" s="6">
        <v>1500</v>
      </c>
      <c r="L174" s="6">
        <v>668.10199999999998</v>
      </c>
      <c r="M174" s="6">
        <v>668.10199999999998</v>
      </c>
      <c r="N174" s="6">
        <v>0</v>
      </c>
      <c r="O174" s="6">
        <v>0</v>
      </c>
      <c r="P174" s="6">
        <v>0</v>
      </c>
      <c r="Q174" s="4" t="s">
        <v>64</v>
      </c>
      <c r="R174" s="4">
        <v>7019</v>
      </c>
      <c r="S174" s="4">
        <v>24</v>
      </c>
      <c r="T174" s="4">
        <v>25</v>
      </c>
      <c r="U174" s="4">
        <v>0</v>
      </c>
      <c r="V174" s="6">
        <f>IF(ISERROR(VLOOKUP($S$174,'TAR FIN'!$A$1:$O$115,15,0)),0,VLOOKUP($S$174,'TAR FIN'!$A$1:$O$115,15,0))</f>
        <v>7.64</v>
      </c>
      <c r="W174" s="6">
        <f>IF(ISERROR(VLOOKUP($T$174,'TAR FIN'!$A$1:$O$115,15,0)),0,VLOOKUP($T$174,'TAR FIN'!$A$1:$O$115,15,0))</f>
        <v>10.28</v>
      </c>
      <c r="X174" s="6">
        <f>IF(ISERROR(VLOOKUP($U$174,'TAR FIN'!$A$1:$O$115,15,0)),0,VLOOKUP($U$174,'TAR FIN'!$A$1:$O$115,15,0))</f>
        <v>0</v>
      </c>
      <c r="Y174" s="6">
        <f ca="1">('TUSD BE'!$AM$24+'TUSD BF'!$AM$24+'TUSD CVA'!$AM$24)*1</f>
        <v>9.6081279297339091</v>
      </c>
      <c r="Z174" s="6">
        <f ca="1">('TUSD BE'!$AM$25+'TUSD BF'!$AM$25+'TUSD CVA'!$AM$25)*1</f>
        <v>15.91855481032834</v>
      </c>
      <c r="AA174" s="6">
        <f>('TE BE'!$AB$16+'TE BF'!$AB$16+'TE CVA'!$AB$16)*1</f>
        <v>220.39434315508052</v>
      </c>
      <c r="AB174" s="6">
        <f t="shared" si="10"/>
        <v>0</v>
      </c>
      <c r="AC174" s="6">
        <f t="shared" si="11"/>
        <v>0</v>
      </c>
      <c r="AD174" s="6">
        <f t="shared" ca="1" si="12"/>
        <v>0</v>
      </c>
      <c r="AE174" s="6">
        <f t="shared" ca="1" si="13"/>
        <v>0</v>
      </c>
      <c r="AF174" s="4" t="s">
        <v>937</v>
      </c>
    </row>
    <row r="175" spans="1:32" ht="11.25" customHeight="1" x14ac:dyDescent="0.25">
      <c r="A175" s="4" t="s">
        <v>21</v>
      </c>
      <c r="B175" s="4" t="s">
        <v>41</v>
      </c>
      <c r="C175" s="4" t="s">
        <v>62</v>
      </c>
      <c r="D175" s="4" t="s">
        <v>25</v>
      </c>
      <c r="E175" s="4" t="s">
        <v>25</v>
      </c>
      <c r="F175" s="4" t="s">
        <v>25</v>
      </c>
      <c r="G175" s="4" t="s">
        <v>63</v>
      </c>
      <c r="H175" s="4" t="s">
        <v>37</v>
      </c>
      <c r="I175" s="5">
        <v>44652</v>
      </c>
      <c r="J175" s="6">
        <v>1500</v>
      </c>
      <c r="K175" s="6">
        <v>1500</v>
      </c>
      <c r="L175" s="6">
        <v>751.74900000000002</v>
      </c>
      <c r="M175" s="6">
        <v>751.74900000000002</v>
      </c>
      <c r="N175" s="6">
        <v>0</v>
      </c>
      <c r="O175" s="6">
        <v>0</v>
      </c>
      <c r="P175" s="6">
        <v>0</v>
      </c>
      <c r="Q175" s="4" t="s">
        <v>64</v>
      </c>
      <c r="R175" s="4">
        <v>7019</v>
      </c>
      <c r="S175" s="4">
        <v>24</v>
      </c>
      <c r="T175" s="4">
        <v>25</v>
      </c>
      <c r="U175" s="4">
        <v>0</v>
      </c>
      <c r="V175" s="6">
        <f>IF(ISERROR(VLOOKUP($S$175,'TAR FIN'!$A$1:$O$115,15,0)),0,VLOOKUP($S$175,'TAR FIN'!$A$1:$O$115,15,0))</f>
        <v>7.64</v>
      </c>
      <c r="W175" s="6">
        <f>IF(ISERROR(VLOOKUP($T$175,'TAR FIN'!$A$1:$O$115,15,0)),0,VLOOKUP($T$175,'TAR FIN'!$A$1:$O$115,15,0))</f>
        <v>10.28</v>
      </c>
      <c r="X175" s="6">
        <f>IF(ISERROR(VLOOKUP($U$175,'TAR FIN'!$A$1:$O$115,15,0)),0,VLOOKUP($U$175,'TAR FIN'!$A$1:$O$115,15,0))</f>
        <v>0</v>
      </c>
      <c r="Y175" s="6">
        <f ca="1">('TUSD BE'!$AM$24+'TUSD BF'!$AM$24+'TUSD CVA'!$AM$24)*1</f>
        <v>9.6081279297339091</v>
      </c>
      <c r="Z175" s="6">
        <f ca="1">('TUSD BE'!$AM$25+'TUSD BF'!$AM$25+'TUSD CVA'!$AM$25)*1</f>
        <v>15.91855481032834</v>
      </c>
      <c r="AA175" s="6">
        <f>('TE BE'!$AB$16+'TE BF'!$AB$16+'TE CVA'!$AB$16)*1</f>
        <v>220.39434315508052</v>
      </c>
      <c r="AB175" s="6">
        <f t="shared" si="10"/>
        <v>0</v>
      </c>
      <c r="AC175" s="6">
        <f t="shared" si="11"/>
        <v>0</v>
      </c>
      <c r="AD175" s="6">
        <f t="shared" ca="1" si="12"/>
        <v>0</v>
      </c>
      <c r="AE175" s="6">
        <f t="shared" ca="1" si="13"/>
        <v>0</v>
      </c>
      <c r="AF175" s="4" t="s">
        <v>937</v>
      </c>
    </row>
    <row r="176" spans="1:32" ht="11.25" customHeight="1" x14ac:dyDescent="0.25">
      <c r="A176" s="4" t="s">
        <v>21</v>
      </c>
      <c r="B176" s="4" t="s">
        <v>41</v>
      </c>
      <c r="C176" s="4" t="s">
        <v>62</v>
      </c>
      <c r="D176" s="4" t="s">
        <v>25</v>
      </c>
      <c r="E176" s="4" t="s">
        <v>25</v>
      </c>
      <c r="F176" s="4" t="s">
        <v>25</v>
      </c>
      <c r="G176" s="4" t="s">
        <v>63</v>
      </c>
      <c r="H176" s="4" t="s">
        <v>37</v>
      </c>
      <c r="I176" s="5">
        <v>44682</v>
      </c>
      <c r="J176" s="6">
        <v>1657</v>
      </c>
      <c r="K176" s="6">
        <v>1657</v>
      </c>
      <c r="L176" s="6">
        <v>747.19600000000003</v>
      </c>
      <c r="M176" s="6">
        <v>747.19600000000003</v>
      </c>
      <c r="N176" s="6">
        <v>0</v>
      </c>
      <c r="O176" s="6">
        <v>0</v>
      </c>
      <c r="P176" s="6">
        <v>0</v>
      </c>
      <c r="Q176" s="4" t="s">
        <v>64</v>
      </c>
      <c r="R176" s="4">
        <v>7019</v>
      </c>
      <c r="S176" s="4">
        <v>24</v>
      </c>
      <c r="T176" s="4">
        <v>25</v>
      </c>
      <c r="U176" s="4">
        <v>0</v>
      </c>
      <c r="V176" s="6">
        <f>IF(ISERROR(VLOOKUP($S$176,'TAR FIN'!$A$1:$O$115,15,0)),0,VLOOKUP($S$176,'TAR FIN'!$A$1:$O$115,15,0))</f>
        <v>7.64</v>
      </c>
      <c r="W176" s="6">
        <f>IF(ISERROR(VLOOKUP($T$176,'TAR FIN'!$A$1:$O$115,15,0)),0,VLOOKUP($T$176,'TAR FIN'!$A$1:$O$115,15,0))</f>
        <v>10.28</v>
      </c>
      <c r="X176" s="6">
        <f>IF(ISERROR(VLOOKUP($U$176,'TAR FIN'!$A$1:$O$115,15,0)),0,VLOOKUP($U$176,'TAR FIN'!$A$1:$O$115,15,0))</f>
        <v>0</v>
      </c>
      <c r="Y176" s="6">
        <f ca="1">('TUSD BE'!$AM$24+'TUSD BF'!$AM$24+'TUSD CVA'!$AM$24)*1</f>
        <v>9.6081279297339091</v>
      </c>
      <c r="Z176" s="6">
        <f ca="1">('TUSD BE'!$AM$25+'TUSD BF'!$AM$25+'TUSD CVA'!$AM$25)*1</f>
        <v>15.91855481032834</v>
      </c>
      <c r="AA176" s="6">
        <f>('TE BE'!$AB$16+'TE BF'!$AB$16+'TE CVA'!$AB$16)*1</f>
        <v>220.39434315508052</v>
      </c>
      <c r="AB176" s="6">
        <f t="shared" si="10"/>
        <v>0</v>
      </c>
      <c r="AC176" s="6">
        <f t="shared" si="11"/>
        <v>0</v>
      </c>
      <c r="AD176" s="6">
        <f t="shared" ca="1" si="12"/>
        <v>0</v>
      </c>
      <c r="AE176" s="6">
        <f t="shared" ca="1" si="13"/>
        <v>0</v>
      </c>
      <c r="AF176" s="4" t="s">
        <v>937</v>
      </c>
    </row>
    <row r="177" spans="1:32" ht="11.25" customHeight="1" x14ac:dyDescent="0.25">
      <c r="A177" s="4" t="s">
        <v>21</v>
      </c>
      <c r="B177" s="4" t="s">
        <v>41</v>
      </c>
      <c r="C177" s="4" t="s">
        <v>62</v>
      </c>
      <c r="D177" s="4" t="s">
        <v>25</v>
      </c>
      <c r="E177" s="4" t="s">
        <v>25</v>
      </c>
      <c r="F177" s="4" t="s">
        <v>25</v>
      </c>
      <c r="G177" s="4" t="s">
        <v>63</v>
      </c>
      <c r="H177" s="4" t="s">
        <v>37</v>
      </c>
      <c r="I177" s="5">
        <v>44713</v>
      </c>
      <c r="J177" s="6">
        <v>1523</v>
      </c>
      <c r="K177" s="6">
        <v>1523</v>
      </c>
      <c r="L177" s="6">
        <v>757.09199999999998</v>
      </c>
      <c r="M177" s="6">
        <v>757.09199999999998</v>
      </c>
      <c r="N177" s="6">
        <v>0</v>
      </c>
      <c r="O177" s="6">
        <v>0</v>
      </c>
      <c r="P177" s="6">
        <v>0</v>
      </c>
      <c r="Q177" s="4" t="s">
        <v>64</v>
      </c>
      <c r="R177" s="4">
        <v>7019</v>
      </c>
      <c r="S177" s="4">
        <v>24</v>
      </c>
      <c r="T177" s="4">
        <v>25</v>
      </c>
      <c r="U177" s="4">
        <v>0</v>
      </c>
      <c r="V177" s="6">
        <f>IF(ISERROR(VLOOKUP($S$177,'TAR FIN'!$A$1:$O$115,15,0)),0,VLOOKUP($S$177,'TAR FIN'!$A$1:$O$115,15,0))</f>
        <v>7.64</v>
      </c>
      <c r="W177" s="6">
        <f>IF(ISERROR(VLOOKUP($T$177,'TAR FIN'!$A$1:$O$115,15,0)),0,VLOOKUP($T$177,'TAR FIN'!$A$1:$O$115,15,0))</f>
        <v>10.28</v>
      </c>
      <c r="X177" s="6">
        <f>IF(ISERROR(VLOOKUP($U$177,'TAR FIN'!$A$1:$O$115,15,0)),0,VLOOKUP($U$177,'TAR FIN'!$A$1:$O$115,15,0))</f>
        <v>0</v>
      </c>
      <c r="Y177" s="6">
        <f ca="1">('TUSD BE'!$AM$24+'TUSD BF'!$AM$24+'TUSD CVA'!$AM$24)*1</f>
        <v>9.6081279297339091</v>
      </c>
      <c r="Z177" s="6">
        <f ca="1">('TUSD BE'!$AM$25+'TUSD BF'!$AM$25+'TUSD CVA'!$AM$25)*1</f>
        <v>15.91855481032834</v>
      </c>
      <c r="AA177" s="6">
        <f>('TE BE'!$AB$16+'TE BF'!$AB$16+'TE CVA'!$AB$16)*1</f>
        <v>220.39434315508052</v>
      </c>
      <c r="AB177" s="6">
        <f t="shared" si="10"/>
        <v>0</v>
      </c>
      <c r="AC177" s="6">
        <f t="shared" si="11"/>
        <v>0</v>
      </c>
      <c r="AD177" s="6">
        <f t="shared" ca="1" si="12"/>
        <v>0</v>
      </c>
      <c r="AE177" s="6">
        <f t="shared" ca="1" si="13"/>
        <v>0</v>
      </c>
      <c r="AF177" s="4" t="s">
        <v>937</v>
      </c>
    </row>
    <row r="178" spans="1:32" ht="11.25" customHeight="1" x14ac:dyDescent="0.25">
      <c r="A178" s="4" t="s">
        <v>21</v>
      </c>
      <c r="B178" s="4" t="s">
        <v>41</v>
      </c>
      <c r="C178" s="4" t="s">
        <v>62</v>
      </c>
      <c r="D178" s="4" t="s">
        <v>25</v>
      </c>
      <c r="E178" s="4" t="s">
        <v>25</v>
      </c>
      <c r="F178" s="4" t="s">
        <v>25</v>
      </c>
      <c r="G178" s="4" t="s">
        <v>63</v>
      </c>
      <c r="H178" s="4" t="s">
        <v>37</v>
      </c>
      <c r="I178" s="5">
        <v>44743</v>
      </c>
      <c r="J178" s="6">
        <v>1456</v>
      </c>
      <c r="K178" s="6">
        <v>1456</v>
      </c>
      <c r="L178" s="6">
        <v>711.88800000000003</v>
      </c>
      <c r="M178" s="6">
        <v>711.88800000000003</v>
      </c>
      <c r="N178" s="6">
        <v>0</v>
      </c>
      <c r="O178" s="6">
        <v>0</v>
      </c>
      <c r="P178" s="6">
        <v>0</v>
      </c>
      <c r="Q178" s="4" t="s">
        <v>64</v>
      </c>
      <c r="R178" s="4">
        <v>7019</v>
      </c>
      <c r="S178" s="4">
        <v>24</v>
      </c>
      <c r="T178" s="4">
        <v>25</v>
      </c>
      <c r="U178" s="4">
        <v>0</v>
      </c>
      <c r="V178" s="6">
        <f>IF(ISERROR(VLOOKUP($S$178,'TAR FIN'!$A$1:$O$115,15,0)),0,VLOOKUP($S$178,'TAR FIN'!$A$1:$O$115,15,0))</f>
        <v>7.64</v>
      </c>
      <c r="W178" s="6">
        <f>IF(ISERROR(VLOOKUP($T$178,'TAR FIN'!$A$1:$O$115,15,0)),0,VLOOKUP($T$178,'TAR FIN'!$A$1:$O$115,15,0))</f>
        <v>10.28</v>
      </c>
      <c r="X178" s="6">
        <f>IF(ISERROR(VLOOKUP($U$178,'TAR FIN'!$A$1:$O$115,15,0)),0,VLOOKUP($U$178,'TAR FIN'!$A$1:$O$115,15,0))</f>
        <v>0</v>
      </c>
      <c r="Y178" s="6">
        <f ca="1">('TUSD BE'!$AM$24+'TUSD BF'!$AM$24+'TUSD CVA'!$AM$24)*1</f>
        <v>9.6081279297339091</v>
      </c>
      <c r="Z178" s="6">
        <f ca="1">('TUSD BE'!$AM$25+'TUSD BF'!$AM$25+'TUSD CVA'!$AM$25)*1</f>
        <v>15.91855481032834</v>
      </c>
      <c r="AA178" s="6">
        <f>('TE BE'!$AB$16+'TE BF'!$AB$16+'TE CVA'!$AB$16)*1</f>
        <v>220.39434315508052</v>
      </c>
      <c r="AB178" s="6">
        <f t="shared" si="10"/>
        <v>0</v>
      </c>
      <c r="AC178" s="6">
        <f t="shared" si="11"/>
        <v>0</v>
      </c>
      <c r="AD178" s="6">
        <f t="shared" ca="1" si="12"/>
        <v>0</v>
      </c>
      <c r="AE178" s="6">
        <f t="shared" ca="1" si="13"/>
        <v>0</v>
      </c>
      <c r="AF178" s="4" t="s">
        <v>937</v>
      </c>
    </row>
    <row r="179" spans="1:32" ht="11.25" customHeight="1" x14ac:dyDescent="0.25">
      <c r="A179" s="4" t="s">
        <v>21</v>
      </c>
      <c r="B179" s="4" t="s">
        <v>41</v>
      </c>
      <c r="C179" s="4" t="s">
        <v>62</v>
      </c>
      <c r="D179" s="4" t="s">
        <v>25</v>
      </c>
      <c r="E179" s="4" t="s">
        <v>25</v>
      </c>
      <c r="F179" s="4" t="s">
        <v>25</v>
      </c>
      <c r="G179" s="4" t="s">
        <v>63</v>
      </c>
      <c r="H179" s="4" t="s">
        <v>37</v>
      </c>
      <c r="I179" s="5">
        <v>44774</v>
      </c>
      <c r="J179" s="6">
        <v>1568</v>
      </c>
      <c r="K179" s="6">
        <v>1568</v>
      </c>
      <c r="L179" s="6">
        <v>766.42700000000002</v>
      </c>
      <c r="M179" s="6">
        <v>766.42700000000002</v>
      </c>
      <c r="N179" s="6">
        <v>0</v>
      </c>
      <c r="O179" s="6">
        <v>0</v>
      </c>
      <c r="P179" s="6">
        <v>0</v>
      </c>
      <c r="Q179" s="4" t="s">
        <v>64</v>
      </c>
      <c r="R179" s="4">
        <v>7019</v>
      </c>
      <c r="S179" s="4">
        <v>24</v>
      </c>
      <c r="T179" s="4">
        <v>25</v>
      </c>
      <c r="U179" s="4">
        <v>0</v>
      </c>
      <c r="V179" s="6">
        <f>IF(ISERROR(VLOOKUP($S$179,'TAR FIN'!$A$1:$O$115,15,0)),0,VLOOKUP($S$179,'TAR FIN'!$A$1:$O$115,15,0))</f>
        <v>7.64</v>
      </c>
      <c r="W179" s="6">
        <f>IF(ISERROR(VLOOKUP($T$179,'TAR FIN'!$A$1:$O$115,15,0)),0,VLOOKUP($T$179,'TAR FIN'!$A$1:$O$115,15,0))</f>
        <v>10.28</v>
      </c>
      <c r="X179" s="6">
        <f>IF(ISERROR(VLOOKUP($U$179,'TAR FIN'!$A$1:$O$115,15,0)),0,VLOOKUP($U$179,'TAR FIN'!$A$1:$O$115,15,0))</f>
        <v>0</v>
      </c>
      <c r="Y179" s="6">
        <f ca="1">('TUSD BE'!$AM$24+'TUSD BF'!$AM$24+'TUSD CVA'!$AM$24)*1</f>
        <v>9.6081279297339091</v>
      </c>
      <c r="Z179" s="6">
        <f ca="1">('TUSD BE'!$AM$25+'TUSD BF'!$AM$25+'TUSD CVA'!$AM$25)*1</f>
        <v>15.91855481032834</v>
      </c>
      <c r="AA179" s="6">
        <f>('TE BE'!$AB$16+'TE BF'!$AB$16+'TE CVA'!$AB$16)*1</f>
        <v>220.39434315508052</v>
      </c>
      <c r="AB179" s="6">
        <f t="shared" si="10"/>
        <v>0</v>
      </c>
      <c r="AC179" s="6">
        <f t="shared" si="11"/>
        <v>0</v>
      </c>
      <c r="AD179" s="6">
        <f t="shared" ca="1" si="12"/>
        <v>0</v>
      </c>
      <c r="AE179" s="6">
        <f t="shared" ca="1" si="13"/>
        <v>0</v>
      </c>
      <c r="AF179" s="4" t="s">
        <v>937</v>
      </c>
    </row>
    <row r="180" spans="1:32" ht="11.25" customHeight="1" x14ac:dyDescent="0.25">
      <c r="A180" s="4" t="s">
        <v>21</v>
      </c>
      <c r="B180" s="4" t="s">
        <v>41</v>
      </c>
      <c r="C180" s="4" t="s">
        <v>62</v>
      </c>
      <c r="D180" s="4" t="s">
        <v>25</v>
      </c>
      <c r="E180" s="4" t="s">
        <v>25</v>
      </c>
      <c r="F180" s="4" t="s">
        <v>25</v>
      </c>
      <c r="G180" s="4" t="s">
        <v>63</v>
      </c>
      <c r="H180" s="4" t="s">
        <v>37</v>
      </c>
      <c r="I180" s="5">
        <v>44805</v>
      </c>
      <c r="J180" s="6">
        <v>1680</v>
      </c>
      <c r="K180" s="6">
        <v>1680</v>
      </c>
      <c r="L180" s="6">
        <v>775.72900000000004</v>
      </c>
      <c r="M180" s="6">
        <v>775.72900000000004</v>
      </c>
      <c r="N180" s="6">
        <v>0</v>
      </c>
      <c r="O180" s="6">
        <v>0</v>
      </c>
      <c r="P180" s="6">
        <v>0</v>
      </c>
      <c r="Q180" s="4" t="s">
        <v>64</v>
      </c>
      <c r="R180" s="4">
        <v>7019</v>
      </c>
      <c r="S180" s="4">
        <v>24</v>
      </c>
      <c r="T180" s="4">
        <v>25</v>
      </c>
      <c r="U180" s="4">
        <v>0</v>
      </c>
      <c r="V180" s="6">
        <f>IF(ISERROR(VLOOKUP($S$180,'TAR FIN'!$A$1:$O$115,15,0)),0,VLOOKUP($S$180,'TAR FIN'!$A$1:$O$115,15,0))</f>
        <v>7.64</v>
      </c>
      <c r="W180" s="6">
        <f>IF(ISERROR(VLOOKUP($T$180,'TAR FIN'!$A$1:$O$115,15,0)),0,VLOOKUP($T$180,'TAR FIN'!$A$1:$O$115,15,0))</f>
        <v>10.28</v>
      </c>
      <c r="X180" s="6">
        <f>IF(ISERROR(VLOOKUP($U$180,'TAR FIN'!$A$1:$O$115,15,0)),0,VLOOKUP($U$180,'TAR FIN'!$A$1:$O$115,15,0))</f>
        <v>0</v>
      </c>
      <c r="Y180" s="6">
        <f ca="1">('TUSD BE'!$AM$24+'TUSD BF'!$AM$24+'TUSD CVA'!$AM$24)*1</f>
        <v>9.6081279297339091</v>
      </c>
      <c r="Z180" s="6">
        <f ca="1">('TUSD BE'!$AM$25+'TUSD BF'!$AM$25+'TUSD CVA'!$AM$25)*1</f>
        <v>15.91855481032834</v>
      </c>
      <c r="AA180" s="6">
        <f>('TE BE'!$AB$16+'TE BF'!$AB$16+'TE CVA'!$AB$16)*1</f>
        <v>220.39434315508052</v>
      </c>
      <c r="AB180" s="6">
        <f t="shared" si="10"/>
        <v>0</v>
      </c>
      <c r="AC180" s="6">
        <f t="shared" si="11"/>
        <v>0</v>
      </c>
      <c r="AD180" s="6">
        <f t="shared" ca="1" si="12"/>
        <v>0</v>
      </c>
      <c r="AE180" s="6">
        <f t="shared" ca="1" si="13"/>
        <v>0</v>
      </c>
      <c r="AF180" s="4" t="s">
        <v>937</v>
      </c>
    </row>
    <row r="181" spans="1:32" ht="11.25" customHeight="1" x14ac:dyDescent="0.25">
      <c r="A181" s="4" t="s">
        <v>21</v>
      </c>
      <c r="B181" s="4" t="s">
        <v>41</v>
      </c>
      <c r="C181" s="4" t="s">
        <v>62</v>
      </c>
      <c r="D181" s="4" t="s">
        <v>25</v>
      </c>
      <c r="E181" s="4" t="s">
        <v>25</v>
      </c>
      <c r="F181" s="4" t="s">
        <v>25</v>
      </c>
      <c r="G181" s="4" t="s">
        <v>63</v>
      </c>
      <c r="H181" s="4" t="s">
        <v>37</v>
      </c>
      <c r="I181" s="5">
        <v>44835</v>
      </c>
      <c r="J181" s="6">
        <v>1826</v>
      </c>
      <c r="K181" s="6">
        <v>1826</v>
      </c>
      <c r="L181" s="6">
        <v>828.01499999999999</v>
      </c>
      <c r="M181" s="6">
        <v>828.01499999999999</v>
      </c>
      <c r="N181" s="6">
        <v>0</v>
      </c>
      <c r="O181" s="6">
        <v>0</v>
      </c>
      <c r="P181" s="6">
        <v>0</v>
      </c>
      <c r="Q181" s="4" t="s">
        <v>64</v>
      </c>
      <c r="R181" s="4">
        <v>7019</v>
      </c>
      <c r="S181" s="4">
        <v>24</v>
      </c>
      <c r="T181" s="4">
        <v>25</v>
      </c>
      <c r="U181" s="4">
        <v>0</v>
      </c>
      <c r="V181" s="6">
        <f>IF(ISERROR(VLOOKUP($S$181,'TAR FIN'!$A$1:$O$115,15,0)),0,VLOOKUP($S$181,'TAR FIN'!$A$1:$O$115,15,0))</f>
        <v>7.64</v>
      </c>
      <c r="W181" s="6">
        <f>IF(ISERROR(VLOOKUP($T$181,'TAR FIN'!$A$1:$O$115,15,0)),0,VLOOKUP($T$181,'TAR FIN'!$A$1:$O$115,15,0))</f>
        <v>10.28</v>
      </c>
      <c r="X181" s="6">
        <f>IF(ISERROR(VLOOKUP($U$181,'TAR FIN'!$A$1:$O$115,15,0)),0,VLOOKUP($U$181,'TAR FIN'!$A$1:$O$115,15,0))</f>
        <v>0</v>
      </c>
      <c r="Y181" s="6">
        <f ca="1">('TUSD BE'!$AM$24+'TUSD BF'!$AM$24+'TUSD CVA'!$AM$24)*1</f>
        <v>9.6081279297339091</v>
      </c>
      <c r="Z181" s="6">
        <f ca="1">('TUSD BE'!$AM$25+'TUSD BF'!$AM$25+'TUSD CVA'!$AM$25)*1</f>
        <v>15.91855481032834</v>
      </c>
      <c r="AA181" s="6">
        <f>('TE BE'!$AB$16+'TE BF'!$AB$16+'TE CVA'!$AB$16)*1</f>
        <v>220.39434315508052</v>
      </c>
      <c r="AB181" s="6">
        <f t="shared" si="10"/>
        <v>0</v>
      </c>
      <c r="AC181" s="6">
        <f t="shared" si="11"/>
        <v>0</v>
      </c>
      <c r="AD181" s="6">
        <f t="shared" ca="1" si="12"/>
        <v>0</v>
      </c>
      <c r="AE181" s="6">
        <f t="shared" ca="1" si="13"/>
        <v>0</v>
      </c>
      <c r="AF181" s="4" t="s">
        <v>937</v>
      </c>
    </row>
    <row r="182" spans="1:32" ht="11.25" customHeight="1" x14ac:dyDescent="0.25">
      <c r="A182" s="4" t="s">
        <v>59</v>
      </c>
      <c r="B182" s="4" t="s">
        <v>41</v>
      </c>
      <c r="C182" s="4" t="s">
        <v>62</v>
      </c>
      <c r="D182" s="4" t="s">
        <v>25</v>
      </c>
      <c r="E182" s="4" t="s">
        <v>25</v>
      </c>
      <c r="F182" s="4" t="s">
        <v>25</v>
      </c>
      <c r="G182" s="4" t="s">
        <v>63</v>
      </c>
      <c r="H182" s="4" t="s">
        <v>37</v>
      </c>
      <c r="I182" s="5">
        <v>44866</v>
      </c>
      <c r="J182" s="6">
        <v>1826</v>
      </c>
      <c r="K182" s="6">
        <v>1826</v>
      </c>
      <c r="L182" s="6">
        <v>828.01499999999999</v>
      </c>
      <c r="M182" s="6">
        <v>828.01499999999999</v>
      </c>
      <c r="N182" s="6">
        <v>0</v>
      </c>
      <c r="O182" s="6">
        <v>0</v>
      </c>
      <c r="P182" s="6">
        <v>0</v>
      </c>
      <c r="Q182" s="4" t="s">
        <v>64</v>
      </c>
      <c r="R182" s="4">
        <v>7019</v>
      </c>
      <c r="S182" s="4">
        <v>24</v>
      </c>
      <c r="T182" s="4">
        <v>25</v>
      </c>
      <c r="U182" s="4">
        <v>0</v>
      </c>
      <c r="V182" s="6">
        <f>IF(ISERROR(VLOOKUP($S$182,'TAR FIN'!$A$1:$O$115,15,0)),0,VLOOKUP($S$182,'TAR FIN'!$A$1:$O$115,15,0))</f>
        <v>7.64</v>
      </c>
      <c r="W182" s="6">
        <f>IF(ISERROR(VLOOKUP($T$182,'TAR FIN'!$A$1:$O$115,15,0)),0,VLOOKUP($T$182,'TAR FIN'!$A$1:$O$115,15,0))</f>
        <v>10.28</v>
      </c>
      <c r="X182" s="6">
        <f>IF(ISERROR(VLOOKUP($U$182,'TAR FIN'!$A$1:$O$115,15,0)),0,VLOOKUP($U$182,'TAR FIN'!$A$1:$O$115,15,0))</f>
        <v>0</v>
      </c>
      <c r="Y182" s="6">
        <f ca="1">('TUSD BE'!$AM$24+'TUSD BF'!$AM$24+'TUSD CVA'!$AM$24)*1</f>
        <v>9.6081279297339091</v>
      </c>
      <c r="Z182" s="6">
        <f ca="1">('TUSD BE'!$AM$25+'TUSD BF'!$AM$25+'TUSD CVA'!$AM$25)*1</f>
        <v>15.91855481032834</v>
      </c>
      <c r="AA182" s="6">
        <f>('TE BE'!$AB$16+'TE BF'!$AB$16+'TE CVA'!$AB$16)*1</f>
        <v>220.39434315508052</v>
      </c>
      <c r="AB182" s="6">
        <f t="shared" si="10"/>
        <v>0</v>
      </c>
      <c r="AC182" s="6">
        <f t="shared" si="11"/>
        <v>0</v>
      </c>
      <c r="AD182" s="6">
        <f t="shared" ca="1" si="12"/>
        <v>0</v>
      </c>
      <c r="AE182" s="6">
        <f t="shared" ca="1" si="13"/>
        <v>0</v>
      </c>
      <c r="AF182" s="4" t="s">
        <v>937</v>
      </c>
    </row>
    <row r="183" spans="1:32" ht="11.25" customHeight="1" x14ac:dyDescent="0.25">
      <c r="A183" s="4" t="s">
        <v>21</v>
      </c>
      <c r="B183" s="4" t="s">
        <v>41</v>
      </c>
      <c r="C183" s="4" t="s">
        <v>62</v>
      </c>
      <c r="D183" s="4" t="s">
        <v>25</v>
      </c>
      <c r="E183" s="4" t="s">
        <v>25</v>
      </c>
      <c r="F183" s="4" t="s">
        <v>25</v>
      </c>
      <c r="G183" s="4" t="s">
        <v>63</v>
      </c>
      <c r="H183" s="4" t="s">
        <v>25</v>
      </c>
      <c r="I183" s="5">
        <v>44531</v>
      </c>
      <c r="J183" s="6">
        <v>0</v>
      </c>
      <c r="K183" s="6">
        <v>0</v>
      </c>
      <c r="L183" s="6">
        <v>0</v>
      </c>
      <c r="M183" s="6">
        <v>0</v>
      </c>
      <c r="N183" s="6">
        <v>763.34699999999998</v>
      </c>
      <c r="O183" s="6">
        <v>763.34699999999998</v>
      </c>
      <c r="P183" s="6">
        <v>0</v>
      </c>
      <c r="Q183" s="4" t="s">
        <v>64</v>
      </c>
      <c r="R183" s="4">
        <v>7019</v>
      </c>
      <c r="S183" s="4">
        <v>0</v>
      </c>
      <c r="T183" s="4">
        <v>0</v>
      </c>
      <c r="U183" s="4">
        <v>79</v>
      </c>
      <c r="V183" s="6">
        <f>IF(ISERROR(VLOOKUP($S$183,'TAR FIN'!$A$1:$O$115,15,0)),0,VLOOKUP($S$183,'TAR FIN'!$A$1:$O$115,15,0))</f>
        <v>0</v>
      </c>
      <c r="W183" s="6">
        <f>IF(ISERROR(VLOOKUP($T$183,'TAR FIN'!$A$1:$O$115,15,0)),0,VLOOKUP($T$183,'TAR FIN'!$A$1:$O$115,15,0))</f>
        <v>0</v>
      </c>
      <c r="X183" s="6">
        <f>IF(ISERROR(VLOOKUP($U$183,'TAR FIN'!$A$1:$O$115,15,0)),0,VLOOKUP($U$183,'TAR FIN'!$A$1:$O$115,15,0))</f>
        <v>157.19999999999999</v>
      </c>
      <c r="Y183" s="6">
        <f ca="1">0.72*('TUSD BE'!$AM$23+'TUSD BF'!$AM$23+'TUSD CVA'!$AM$23)*1+('TUSD BE'!$AM$24+'TUSD BF'!$AM$24+'TUSD CVA'!$AM$24)*1</f>
        <v>23.06347892440748</v>
      </c>
      <c r="Z183" s="6">
        <f ca="1">('TUSD BE'!$AM$25+'TUSD BF'!$AM$25+'TUSD CVA'!$AM$25)*1</f>
        <v>15.91855481032834</v>
      </c>
      <c r="AA183" s="6">
        <f>('TE BE'!$AB$16+'TE BF'!$AB$16+'TE CVA'!$AB$16)*1</f>
        <v>220.39434315508052</v>
      </c>
      <c r="AB183" s="6">
        <f t="shared" si="10"/>
        <v>0</v>
      </c>
      <c r="AC183" s="6">
        <f t="shared" si="11"/>
        <v>0</v>
      </c>
      <c r="AD183" s="6">
        <f t="shared" ca="1" si="12"/>
        <v>0</v>
      </c>
      <c r="AE183" s="6">
        <f t="shared" ca="1" si="13"/>
        <v>0</v>
      </c>
      <c r="AF183" s="4" t="s">
        <v>937</v>
      </c>
    </row>
    <row r="184" spans="1:32" ht="11.25" customHeight="1" x14ac:dyDescent="0.25">
      <c r="A184" s="4" t="s">
        <v>21</v>
      </c>
      <c r="B184" s="4" t="s">
        <v>41</v>
      </c>
      <c r="C184" s="4" t="s">
        <v>62</v>
      </c>
      <c r="D184" s="4" t="s">
        <v>25</v>
      </c>
      <c r="E184" s="4" t="s">
        <v>25</v>
      </c>
      <c r="F184" s="4" t="s">
        <v>25</v>
      </c>
      <c r="G184" s="4" t="s">
        <v>63</v>
      </c>
      <c r="H184" s="4" t="s">
        <v>25</v>
      </c>
      <c r="I184" s="5">
        <v>44562</v>
      </c>
      <c r="J184" s="6">
        <v>0</v>
      </c>
      <c r="K184" s="6">
        <v>0</v>
      </c>
      <c r="L184" s="6">
        <v>0</v>
      </c>
      <c r="M184" s="6">
        <v>0</v>
      </c>
      <c r="N184" s="6">
        <v>850.53300000000002</v>
      </c>
      <c r="O184" s="6">
        <v>850.53300000000002</v>
      </c>
      <c r="P184" s="6">
        <v>0</v>
      </c>
      <c r="Q184" s="4" t="s">
        <v>64</v>
      </c>
      <c r="R184" s="4">
        <v>7019</v>
      </c>
      <c r="S184" s="4">
        <v>0</v>
      </c>
      <c r="T184" s="4">
        <v>0</v>
      </c>
      <c r="U184" s="4">
        <v>79</v>
      </c>
      <c r="V184" s="6">
        <f>IF(ISERROR(VLOOKUP($S$184,'TAR FIN'!$A$1:$O$115,15,0)),0,VLOOKUP($S$184,'TAR FIN'!$A$1:$O$115,15,0))</f>
        <v>0</v>
      </c>
      <c r="W184" s="6">
        <f>IF(ISERROR(VLOOKUP($T$184,'TAR FIN'!$A$1:$O$115,15,0)),0,VLOOKUP($T$184,'TAR FIN'!$A$1:$O$115,15,0))</f>
        <v>0</v>
      </c>
      <c r="X184" s="6">
        <f>IF(ISERROR(VLOOKUP($U$184,'TAR FIN'!$A$1:$O$115,15,0)),0,VLOOKUP($U$184,'TAR FIN'!$A$1:$O$115,15,0))</f>
        <v>157.19999999999999</v>
      </c>
      <c r="Y184" s="6">
        <f ca="1">0.72*('TUSD BE'!$AM$23+'TUSD BF'!$AM$23+'TUSD CVA'!$AM$23)*1+('TUSD BE'!$AM$24+'TUSD BF'!$AM$24+'TUSD CVA'!$AM$24)*1</f>
        <v>23.06347892440748</v>
      </c>
      <c r="Z184" s="6">
        <f ca="1">('TUSD BE'!$AM$25+'TUSD BF'!$AM$25+'TUSD CVA'!$AM$25)*1</f>
        <v>15.91855481032834</v>
      </c>
      <c r="AA184" s="6">
        <f>('TE BE'!$AB$16+'TE BF'!$AB$16+'TE CVA'!$AB$16)*1</f>
        <v>220.39434315508052</v>
      </c>
      <c r="AB184" s="6">
        <f t="shared" si="10"/>
        <v>0</v>
      </c>
      <c r="AC184" s="6">
        <f t="shared" si="11"/>
        <v>0</v>
      </c>
      <c r="AD184" s="6">
        <f t="shared" ca="1" si="12"/>
        <v>0</v>
      </c>
      <c r="AE184" s="6">
        <f t="shared" ca="1" si="13"/>
        <v>0</v>
      </c>
      <c r="AF184" s="4" t="s">
        <v>937</v>
      </c>
    </row>
    <row r="185" spans="1:32" ht="11.25" customHeight="1" x14ac:dyDescent="0.25">
      <c r="A185" s="4" t="s">
        <v>21</v>
      </c>
      <c r="B185" s="4" t="s">
        <v>41</v>
      </c>
      <c r="C185" s="4" t="s">
        <v>62</v>
      </c>
      <c r="D185" s="4" t="s">
        <v>25</v>
      </c>
      <c r="E185" s="4" t="s">
        <v>25</v>
      </c>
      <c r="F185" s="4" t="s">
        <v>25</v>
      </c>
      <c r="G185" s="4" t="s">
        <v>63</v>
      </c>
      <c r="H185" s="4" t="s">
        <v>25</v>
      </c>
      <c r="I185" s="5">
        <v>44593</v>
      </c>
      <c r="J185" s="6">
        <v>0</v>
      </c>
      <c r="K185" s="6">
        <v>0</v>
      </c>
      <c r="L185" s="6">
        <v>0</v>
      </c>
      <c r="M185" s="6">
        <v>0</v>
      </c>
      <c r="N185" s="6">
        <v>830.18299999999999</v>
      </c>
      <c r="O185" s="6">
        <v>830.18299999999999</v>
      </c>
      <c r="P185" s="6">
        <v>0</v>
      </c>
      <c r="Q185" s="4" t="s">
        <v>64</v>
      </c>
      <c r="R185" s="4">
        <v>7019</v>
      </c>
      <c r="S185" s="4">
        <v>0</v>
      </c>
      <c r="T185" s="4">
        <v>0</v>
      </c>
      <c r="U185" s="4">
        <v>79</v>
      </c>
      <c r="V185" s="6">
        <f>IF(ISERROR(VLOOKUP($S$185,'TAR FIN'!$A$1:$O$115,15,0)),0,VLOOKUP($S$185,'TAR FIN'!$A$1:$O$115,15,0))</f>
        <v>0</v>
      </c>
      <c r="W185" s="6">
        <f>IF(ISERROR(VLOOKUP($T$185,'TAR FIN'!$A$1:$O$115,15,0)),0,VLOOKUP($T$185,'TAR FIN'!$A$1:$O$115,15,0))</f>
        <v>0</v>
      </c>
      <c r="X185" s="6">
        <f>IF(ISERROR(VLOOKUP($U$185,'TAR FIN'!$A$1:$O$115,15,0)),0,VLOOKUP($U$185,'TAR FIN'!$A$1:$O$115,15,0))</f>
        <v>157.19999999999999</v>
      </c>
      <c r="Y185" s="6">
        <f ca="1">0.72*('TUSD BE'!$AM$23+'TUSD BF'!$AM$23+'TUSD CVA'!$AM$23)*1+('TUSD BE'!$AM$24+'TUSD BF'!$AM$24+'TUSD CVA'!$AM$24)*1</f>
        <v>23.06347892440748</v>
      </c>
      <c r="Z185" s="6">
        <f ca="1">('TUSD BE'!$AM$25+'TUSD BF'!$AM$25+'TUSD CVA'!$AM$25)*1</f>
        <v>15.91855481032834</v>
      </c>
      <c r="AA185" s="6">
        <f>('TE BE'!$AB$16+'TE BF'!$AB$16+'TE CVA'!$AB$16)*1</f>
        <v>220.39434315508052</v>
      </c>
      <c r="AB185" s="6">
        <f t="shared" si="10"/>
        <v>0</v>
      </c>
      <c r="AC185" s="6">
        <f t="shared" si="11"/>
        <v>0</v>
      </c>
      <c r="AD185" s="6">
        <f t="shared" ca="1" si="12"/>
        <v>0</v>
      </c>
      <c r="AE185" s="6">
        <f t="shared" ca="1" si="13"/>
        <v>0</v>
      </c>
      <c r="AF185" s="4" t="s">
        <v>937</v>
      </c>
    </row>
    <row r="186" spans="1:32" ht="11.25" customHeight="1" x14ac:dyDescent="0.25">
      <c r="A186" s="4" t="s">
        <v>21</v>
      </c>
      <c r="B186" s="4" t="s">
        <v>41</v>
      </c>
      <c r="C186" s="4" t="s">
        <v>62</v>
      </c>
      <c r="D186" s="4" t="s">
        <v>25</v>
      </c>
      <c r="E186" s="4" t="s">
        <v>25</v>
      </c>
      <c r="F186" s="4" t="s">
        <v>25</v>
      </c>
      <c r="G186" s="4" t="s">
        <v>63</v>
      </c>
      <c r="H186" s="4" t="s">
        <v>25</v>
      </c>
      <c r="I186" s="5">
        <v>44621</v>
      </c>
      <c r="J186" s="6">
        <v>0</v>
      </c>
      <c r="K186" s="6">
        <v>0</v>
      </c>
      <c r="L186" s="6">
        <v>0</v>
      </c>
      <c r="M186" s="6">
        <v>0</v>
      </c>
      <c r="N186" s="6">
        <v>745.49400000000003</v>
      </c>
      <c r="O186" s="6">
        <v>745.49400000000003</v>
      </c>
      <c r="P186" s="6">
        <v>0</v>
      </c>
      <c r="Q186" s="4" t="s">
        <v>64</v>
      </c>
      <c r="R186" s="4">
        <v>7019</v>
      </c>
      <c r="S186" s="4">
        <v>0</v>
      </c>
      <c r="T186" s="4">
        <v>0</v>
      </c>
      <c r="U186" s="4">
        <v>79</v>
      </c>
      <c r="V186" s="6">
        <f>IF(ISERROR(VLOOKUP($S$186,'TAR FIN'!$A$1:$O$115,15,0)),0,VLOOKUP($S$186,'TAR FIN'!$A$1:$O$115,15,0))</f>
        <v>0</v>
      </c>
      <c r="W186" s="6">
        <f>IF(ISERROR(VLOOKUP($T$186,'TAR FIN'!$A$1:$O$115,15,0)),0,VLOOKUP($T$186,'TAR FIN'!$A$1:$O$115,15,0))</f>
        <v>0</v>
      </c>
      <c r="X186" s="6">
        <f>IF(ISERROR(VLOOKUP($U$186,'TAR FIN'!$A$1:$O$115,15,0)),0,VLOOKUP($U$186,'TAR FIN'!$A$1:$O$115,15,0))</f>
        <v>157.19999999999999</v>
      </c>
      <c r="Y186" s="6">
        <f ca="1">0.72*('TUSD BE'!$AM$23+'TUSD BF'!$AM$23+'TUSD CVA'!$AM$23)*1+('TUSD BE'!$AM$24+'TUSD BF'!$AM$24+'TUSD CVA'!$AM$24)*1</f>
        <v>23.06347892440748</v>
      </c>
      <c r="Z186" s="6">
        <f ca="1">('TUSD BE'!$AM$25+'TUSD BF'!$AM$25+'TUSD CVA'!$AM$25)*1</f>
        <v>15.91855481032834</v>
      </c>
      <c r="AA186" s="6">
        <f>('TE BE'!$AB$16+'TE BF'!$AB$16+'TE CVA'!$AB$16)*1</f>
        <v>220.39434315508052</v>
      </c>
      <c r="AB186" s="6">
        <f t="shared" si="10"/>
        <v>0</v>
      </c>
      <c r="AC186" s="6">
        <f t="shared" si="11"/>
        <v>0</v>
      </c>
      <c r="AD186" s="6">
        <f t="shared" ca="1" si="12"/>
        <v>0</v>
      </c>
      <c r="AE186" s="6">
        <f t="shared" ca="1" si="13"/>
        <v>0</v>
      </c>
      <c r="AF186" s="4" t="s">
        <v>937</v>
      </c>
    </row>
    <row r="187" spans="1:32" ht="11.25" customHeight="1" x14ac:dyDescent="0.25">
      <c r="A187" s="4" t="s">
        <v>21</v>
      </c>
      <c r="B187" s="4" t="s">
        <v>41</v>
      </c>
      <c r="C187" s="4" t="s">
        <v>62</v>
      </c>
      <c r="D187" s="4" t="s">
        <v>25</v>
      </c>
      <c r="E187" s="4" t="s">
        <v>25</v>
      </c>
      <c r="F187" s="4" t="s">
        <v>25</v>
      </c>
      <c r="G187" s="4" t="s">
        <v>63</v>
      </c>
      <c r="H187" s="4" t="s">
        <v>25</v>
      </c>
      <c r="I187" s="5">
        <v>44652</v>
      </c>
      <c r="J187" s="6">
        <v>0</v>
      </c>
      <c r="K187" s="6">
        <v>0</v>
      </c>
      <c r="L187" s="6">
        <v>0</v>
      </c>
      <c r="M187" s="6">
        <v>0</v>
      </c>
      <c r="N187" s="6">
        <v>836.30399999999997</v>
      </c>
      <c r="O187" s="6">
        <v>836.30399999999997</v>
      </c>
      <c r="P187" s="6">
        <v>0</v>
      </c>
      <c r="Q187" s="4" t="s">
        <v>64</v>
      </c>
      <c r="R187" s="4">
        <v>7019</v>
      </c>
      <c r="S187" s="4">
        <v>0</v>
      </c>
      <c r="T187" s="4">
        <v>0</v>
      </c>
      <c r="U187" s="4">
        <v>79</v>
      </c>
      <c r="V187" s="6">
        <f>IF(ISERROR(VLOOKUP($S$187,'TAR FIN'!$A$1:$O$115,15,0)),0,VLOOKUP($S$187,'TAR FIN'!$A$1:$O$115,15,0))</f>
        <v>0</v>
      </c>
      <c r="W187" s="6">
        <f>IF(ISERROR(VLOOKUP($T$187,'TAR FIN'!$A$1:$O$115,15,0)),0,VLOOKUP($T$187,'TAR FIN'!$A$1:$O$115,15,0))</f>
        <v>0</v>
      </c>
      <c r="X187" s="6">
        <f>IF(ISERROR(VLOOKUP($U$187,'TAR FIN'!$A$1:$O$115,15,0)),0,VLOOKUP($U$187,'TAR FIN'!$A$1:$O$115,15,0))</f>
        <v>157.19999999999999</v>
      </c>
      <c r="Y187" s="6">
        <f ca="1">0.72*('TUSD BE'!$AM$23+'TUSD BF'!$AM$23+'TUSD CVA'!$AM$23)*1+('TUSD BE'!$AM$24+'TUSD BF'!$AM$24+'TUSD CVA'!$AM$24)*1</f>
        <v>23.06347892440748</v>
      </c>
      <c r="Z187" s="6">
        <f ca="1">('TUSD BE'!$AM$25+'TUSD BF'!$AM$25+'TUSD CVA'!$AM$25)*1</f>
        <v>15.91855481032834</v>
      </c>
      <c r="AA187" s="6">
        <f>('TE BE'!$AB$16+'TE BF'!$AB$16+'TE CVA'!$AB$16)*1</f>
        <v>220.39434315508052</v>
      </c>
      <c r="AB187" s="6">
        <f t="shared" si="10"/>
        <v>0</v>
      </c>
      <c r="AC187" s="6">
        <f t="shared" si="11"/>
        <v>0</v>
      </c>
      <c r="AD187" s="6">
        <f t="shared" ca="1" si="12"/>
        <v>0</v>
      </c>
      <c r="AE187" s="6">
        <f t="shared" ca="1" si="13"/>
        <v>0</v>
      </c>
      <c r="AF187" s="4" t="s">
        <v>937</v>
      </c>
    </row>
    <row r="188" spans="1:32" ht="11.25" customHeight="1" x14ac:dyDescent="0.25">
      <c r="A188" s="4" t="s">
        <v>21</v>
      </c>
      <c r="B188" s="4" t="s">
        <v>41</v>
      </c>
      <c r="C188" s="4" t="s">
        <v>62</v>
      </c>
      <c r="D188" s="4" t="s">
        <v>25</v>
      </c>
      <c r="E188" s="4" t="s">
        <v>25</v>
      </c>
      <c r="F188" s="4" t="s">
        <v>25</v>
      </c>
      <c r="G188" s="4" t="s">
        <v>63</v>
      </c>
      <c r="H188" s="4" t="s">
        <v>25</v>
      </c>
      <c r="I188" s="5">
        <v>44682</v>
      </c>
      <c r="J188" s="6">
        <v>0</v>
      </c>
      <c r="K188" s="6">
        <v>0</v>
      </c>
      <c r="L188" s="6">
        <v>0</v>
      </c>
      <c r="M188" s="6">
        <v>0</v>
      </c>
      <c r="N188" s="6">
        <v>823.65300000000002</v>
      </c>
      <c r="O188" s="6">
        <v>823.65300000000002</v>
      </c>
      <c r="P188" s="6">
        <v>0</v>
      </c>
      <c r="Q188" s="4" t="s">
        <v>64</v>
      </c>
      <c r="R188" s="4">
        <v>7019</v>
      </c>
      <c r="S188" s="4">
        <v>0</v>
      </c>
      <c r="T188" s="4">
        <v>0</v>
      </c>
      <c r="U188" s="4">
        <v>79</v>
      </c>
      <c r="V188" s="6">
        <f>IF(ISERROR(VLOOKUP($S$188,'TAR FIN'!$A$1:$O$115,15,0)),0,VLOOKUP($S$188,'TAR FIN'!$A$1:$O$115,15,0))</f>
        <v>0</v>
      </c>
      <c r="W188" s="6">
        <f>IF(ISERROR(VLOOKUP($T$188,'TAR FIN'!$A$1:$O$115,15,0)),0,VLOOKUP($T$188,'TAR FIN'!$A$1:$O$115,15,0))</f>
        <v>0</v>
      </c>
      <c r="X188" s="6">
        <f>IF(ISERROR(VLOOKUP($U$188,'TAR FIN'!$A$1:$O$115,15,0)),0,VLOOKUP($U$188,'TAR FIN'!$A$1:$O$115,15,0))</f>
        <v>157.19999999999999</v>
      </c>
      <c r="Y188" s="6">
        <f ca="1">0.72*('TUSD BE'!$AM$23+'TUSD BF'!$AM$23+'TUSD CVA'!$AM$23)*1+('TUSD BE'!$AM$24+'TUSD BF'!$AM$24+'TUSD CVA'!$AM$24)*1</f>
        <v>23.06347892440748</v>
      </c>
      <c r="Z188" s="6">
        <f ca="1">('TUSD BE'!$AM$25+'TUSD BF'!$AM$25+'TUSD CVA'!$AM$25)*1</f>
        <v>15.91855481032834</v>
      </c>
      <c r="AA188" s="6">
        <f>('TE BE'!$AB$16+'TE BF'!$AB$16+'TE CVA'!$AB$16)*1</f>
        <v>220.39434315508052</v>
      </c>
      <c r="AB188" s="6">
        <f t="shared" si="10"/>
        <v>0</v>
      </c>
      <c r="AC188" s="6">
        <f t="shared" si="11"/>
        <v>0</v>
      </c>
      <c r="AD188" s="6">
        <f t="shared" ca="1" si="12"/>
        <v>0</v>
      </c>
      <c r="AE188" s="6">
        <f t="shared" ca="1" si="13"/>
        <v>0</v>
      </c>
      <c r="AF188" s="4" t="s">
        <v>937</v>
      </c>
    </row>
    <row r="189" spans="1:32" ht="11.25" customHeight="1" x14ac:dyDescent="0.25">
      <c r="A189" s="4" t="s">
        <v>21</v>
      </c>
      <c r="B189" s="4" t="s">
        <v>41</v>
      </c>
      <c r="C189" s="4" t="s">
        <v>62</v>
      </c>
      <c r="D189" s="4" t="s">
        <v>25</v>
      </c>
      <c r="E189" s="4" t="s">
        <v>25</v>
      </c>
      <c r="F189" s="4" t="s">
        <v>25</v>
      </c>
      <c r="G189" s="4" t="s">
        <v>63</v>
      </c>
      <c r="H189" s="4" t="s">
        <v>25</v>
      </c>
      <c r="I189" s="5">
        <v>44713</v>
      </c>
      <c r="J189" s="6">
        <v>0</v>
      </c>
      <c r="K189" s="6">
        <v>0</v>
      </c>
      <c r="L189" s="6">
        <v>0</v>
      </c>
      <c r="M189" s="6">
        <v>0</v>
      </c>
      <c r="N189" s="6">
        <v>839.31100000000004</v>
      </c>
      <c r="O189" s="6">
        <v>839.31100000000004</v>
      </c>
      <c r="P189" s="6">
        <v>0</v>
      </c>
      <c r="Q189" s="4" t="s">
        <v>64</v>
      </c>
      <c r="R189" s="4">
        <v>7019</v>
      </c>
      <c r="S189" s="4">
        <v>0</v>
      </c>
      <c r="T189" s="4">
        <v>0</v>
      </c>
      <c r="U189" s="4">
        <v>79</v>
      </c>
      <c r="V189" s="6">
        <f>IF(ISERROR(VLOOKUP($S$189,'TAR FIN'!$A$1:$O$115,15,0)),0,VLOOKUP($S$189,'TAR FIN'!$A$1:$O$115,15,0))</f>
        <v>0</v>
      </c>
      <c r="W189" s="6">
        <f>IF(ISERROR(VLOOKUP($T$189,'TAR FIN'!$A$1:$O$115,15,0)),0,VLOOKUP($T$189,'TAR FIN'!$A$1:$O$115,15,0))</f>
        <v>0</v>
      </c>
      <c r="X189" s="6">
        <f>IF(ISERROR(VLOOKUP($U$189,'TAR FIN'!$A$1:$O$115,15,0)),0,VLOOKUP($U$189,'TAR FIN'!$A$1:$O$115,15,0))</f>
        <v>157.19999999999999</v>
      </c>
      <c r="Y189" s="6">
        <f ca="1">0.72*('TUSD BE'!$AM$23+'TUSD BF'!$AM$23+'TUSD CVA'!$AM$23)*1+('TUSD BE'!$AM$24+'TUSD BF'!$AM$24+'TUSD CVA'!$AM$24)*1</f>
        <v>23.06347892440748</v>
      </c>
      <c r="Z189" s="6">
        <f ca="1">('TUSD BE'!$AM$25+'TUSD BF'!$AM$25+'TUSD CVA'!$AM$25)*1</f>
        <v>15.91855481032834</v>
      </c>
      <c r="AA189" s="6">
        <f>('TE BE'!$AB$16+'TE BF'!$AB$16+'TE CVA'!$AB$16)*1</f>
        <v>220.39434315508052</v>
      </c>
      <c r="AB189" s="6">
        <f t="shared" si="10"/>
        <v>0</v>
      </c>
      <c r="AC189" s="6">
        <f t="shared" si="11"/>
        <v>0</v>
      </c>
      <c r="AD189" s="6">
        <f t="shared" ca="1" si="12"/>
        <v>0</v>
      </c>
      <c r="AE189" s="6">
        <f t="shared" ca="1" si="13"/>
        <v>0</v>
      </c>
      <c r="AF189" s="4" t="s">
        <v>937</v>
      </c>
    </row>
    <row r="190" spans="1:32" ht="11.25" customHeight="1" x14ac:dyDescent="0.25">
      <c r="A190" s="4" t="s">
        <v>21</v>
      </c>
      <c r="B190" s="4" t="s">
        <v>41</v>
      </c>
      <c r="C190" s="4" t="s">
        <v>62</v>
      </c>
      <c r="D190" s="4" t="s">
        <v>25</v>
      </c>
      <c r="E190" s="4" t="s">
        <v>25</v>
      </c>
      <c r="F190" s="4" t="s">
        <v>25</v>
      </c>
      <c r="G190" s="4" t="s">
        <v>63</v>
      </c>
      <c r="H190" s="4" t="s">
        <v>25</v>
      </c>
      <c r="I190" s="5">
        <v>44743</v>
      </c>
      <c r="J190" s="6">
        <v>0</v>
      </c>
      <c r="K190" s="6">
        <v>0</v>
      </c>
      <c r="L190" s="6">
        <v>0</v>
      </c>
      <c r="M190" s="6">
        <v>0</v>
      </c>
      <c r="N190" s="6">
        <v>791.92899999999997</v>
      </c>
      <c r="O190" s="6">
        <v>791.92899999999997</v>
      </c>
      <c r="P190" s="6">
        <v>0</v>
      </c>
      <c r="Q190" s="4" t="s">
        <v>64</v>
      </c>
      <c r="R190" s="4">
        <v>7019</v>
      </c>
      <c r="S190" s="4">
        <v>0</v>
      </c>
      <c r="T190" s="4">
        <v>0</v>
      </c>
      <c r="U190" s="4">
        <v>79</v>
      </c>
      <c r="V190" s="6">
        <f>IF(ISERROR(VLOOKUP($S$190,'TAR FIN'!$A$1:$O$115,15,0)),0,VLOOKUP($S$190,'TAR FIN'!$A$1:$O$115,15,0))</f>
        <v>0</v>
      </c>
      <c r="W190" s="6">
        <f>IF(ISERROR(VLOOKUP($T$190,'TAR FIN'!$A$1:$O$115,15,0)),0,VLOOKUP($T$190,'TAR FIN'!$A$1:$O$115,15,0))</f>
        <v>0</v>
      </c>
      <c r="X190" s="6">
        <f>IF(ISERROR(VLOOKUP($U$190,'TAR FIN'!$A$1:$O$115,15,0)),0,VLOOKUP($U$190,'TAR FIN'!$A$1:$O$115,15,0))</f>
        <v>157.19999999999999</v>
      </c>
      <c r="Y190" s="6">
        <f ca="1">0.72*('TUSD BE'!$AM$23+'TUSD BF'!$AM$23+'TUSD CVA'!$AM$23)*1+('TUSD BE'!$AM$24+'TUSD BF'!$AM$24+'TUSD CVA'!$AM$24)*1</f>
        <v>23.06347892440748</v>
      </c>
      <c r="Z190" s="6">
        <f ca="1">('TUSD BE'!$AM$25+'TUSD BF'!$AM$25+'TUSD CVA'!$AM$25)*1</f>
        <v>15.91855481032834</v>
      </c>
      <c r="AA190" s="6">
        <f>('TE BE'!$AB$16+'TE BF'!$AB$16+'TE CVA'!$AB$16)*1</f>
        <v>220.39434315508052</v>
      </c>
      <c r="AB190" s="6">
        <f t="shared" si="10"/>
        <v>0</v>
      </c>
      <c r="AC190" s="6">
        <f t="shared" si="11"/>
        <v>0</v>
      </c>
      <c r="AD190" s="6">
        <f t="shared" ca="1" si="12"/>
        <v>0</v>
      </c>
      <c r="AE190" s="6">
        <f t="shared" ca="1" si="13"/>
        <v>0</v>
      </c>
      <c r="AF190" s="4" t="s">
        <v>937</v>
      </c>
    </row>
    <row r="191" spans="1:32" ht="11.25" customHeight="1" x14ac:dyDescent="0.25">
      <c r="A191" s="4" t="s">
        <v>21</v>
      </c>
      <c r="B191" s="4" t="s">
        <v>41</v>
      </c>
      <c r="C191" s="4" t="s">
        <v>62</v>
      </c>
      <c r="D191" s="4" t="s">
        <v>25</v>
      </c>
      <c r="E191" s="4" t="s">
        <v>25</v>
      </c>
      <c r="F191" s="4" t="s">
        <v>25</v>
      </c>
      <c r="G191" s="4" t="s">
        <v>63</v>
      </c>
      <c r="H191" s="4" t="s">
        <v>25</v>
      </c>
      <c r="I191" s="5">
        <v>44774</v>
      </c>
      <c r="J191" s="6">
        <v>0</v>
      </c>
      <c r="K191" s="6">
        <v>0</v>
      </c>
      <c r="L191" s="6">
        <v>0</v>
      </c>
      <c r="M191" s="6">
        <v>0</v>
      </c>
      <c r="N191" s="6">
        <v>854.55399999999997</v>
      </c>
      <c r="O191" s="6">
        <v>854.55399999999997</v>
      </c>
      <c r="P191" s="6">
        <v>0</v>
      </c>
      <c r="Q191" s="4" t="s">
        <v>64</v>
      </c>
      <c r="R191" s="4">
        <v>7019</v>
      </c>
      <c r="S191" s="4">
        <v>0</v>
      </c>
      <c r="T191" s="4">
        <v>0</v>
      </c>
      <c r="U191" s="4">
        <v>79</v>
      </c>
      <c r="V191" s="6">
        <f>IF(ISERROR(VLOOKUP($S$191,'TAR FIN'!$A$1:$O$115,15,0)),0,VLOOKUP($S$191,'TAR FIN'!$A$1:$O$115,15,0))</f>
        <v>0</v>
      </c>
      <c r="W191" s="6">
        <f>IF(ISERROR(VLOOKUP($T$191,'TAR FIN'!$A$1:$O$115,15,0)),0,VLOOKUP($T$191,'TAR FIN'!$A$1:$O$115,15,0))</f>
        <v>0</v>
      </c>
      <c r="X191" s="6">
        <f>IF(ISERROR(VLOOKUP($U$191,'TAR FIN'!$A$1:$O$115,15,0)),0,VLOOKUP($U$191,'TAR FIN'!$A$1:$O$115,15,0))</f>
        <v>157.19999999999999</v>
      </c>
      <c r="Y191" s="6">
        <f ca="1">0.72*('TUSD BE'!$AM$23+'TUSD BF'!$AM$23+'TUSD CVA'!$AM$23)*1+('TUSD BE'!$AM$24+'TUSD BF'!$AM$24+'TUSD CVA'!$AM$24)*1</f>
        <v>23.06347892440748</v>
      </c>
      <c r="Z191" s="6">
        <f ca="1">('TUSD BE'!$AM$25+'TUSD BF'!$AM$25+'TUSD CVA'!$AM$25)*1</f>
        <v>15.91855481032834</v>
      </c>
      <c r="AA191" s="6">
        <f>('TE BE'!$AB$16+'TE BF'!$AB$16+'TE CVA'!$AB$16)*1</f>
        <v>220.39434315508052</v>
      </c>
      <c r="AB191" s="6">
        <f t="shared" si="10"/>
        <v>0</v>
      </c>
      <c r="AC191" s="6">
        <f t="shared" si="11"/>
        <v>0</v>
      </c>
      <c r="AD191" s="6">
        <f t="shared" ca="1" si="12"/>
        <v>0</v>
      </c>
      <c r="AE191" s="6">
        <f t="shared" ca="1" si="13"/>
        <v>0</v>
      </c>
      <c r="AF191" s="4" t="s">
        <v>937</v>
      </c>
    </row>
    <row r="192" spans="1:32" ht="11.25" customHeight="1" x14ac:dyDescent="0.25">
      <c r="A192" s="4" t="s">
        <v>21</v>
      </c>
      <c r="B192" s="4" t="s">
        <v>41</v>
      </c>
      <c r="C192" s="4" t="s">
        <v>62</v>
      </c>
      <c r="D192" s="4" t="s">
        <v>25</v>
      </c>
      <c r="E192" s="4" t="s">
        <v>25</v>
      </c>
      <c r="F192" s="4" t="s">
        <v>25</v>
      </c>
      <c r="G192" s="4" t="s">
        <v>63</v>
      </c>
      <c r="H192" s="4" t="s">
        <v>25</v>
      </c>
      <c r="I192" s="5">
        <v>44805</v>
      </c>
      <c r="J192" s="6">
        <v>0</v>
      </c>
      <c r="K192" s="6">
        <v>0</v>
      </c>
      <c r="L192" s="6">
        <v>0</v>
      </c>
      <c r="M192" s="6">
        <v>0</v>
      </c>
      <c r="N192" s="6">
        <v>871.35400000000004</v>
      </c>
      <c r="O192" s="6">
        <v>871.35400000000004</v>
      </c>
      <c r="P192" s="6">
        <v>0</v>
      </c>
      <c r="Q192" s="4" t="s">
        <v>64</v>
      </c>
      <c r="R192" s="4">
        <v>7019</v>
      </c>
      <c r="S192" s="4">
        <v>0</v>
      </c>
      <c r="T192" s="4">
        <v>0</v>
      </c>
      <c r="U192" s="4">
        <v>79</v>
      </c>
      <c r="V192" s="6">
        <f>IF(ISERROR(VLOOKUP($S$192,'TAR FIN'!$A$1:$O$115,15,0)),0,VLOOKUP($S$192,'TAR FIN'!$A$1:$O$115,15,0))</f>
        <v>0</v>
      </c>
      <c r="W192" s="6">
        <f>IF(ISERROR(VLOOKUP($T$192,'TAR FIN'!$A$1:$O$115,15,0)),0,VLOOKUP($T$192,'TAR FIN'!$A$1:$O$115,15,0))</f>
        <v>0</v>
      </c>
      <c r="X192" s="6">
        <f>IF(ISERROR(VLOOKUP($U$192,'TAR FIN'!$A$1:$O$115,15,0)),0,VLOOKUP($U$192,'TAR FIN'!$A$1:$O$115,15,0))</f>
        <v>157.19999999999999</v>
      </c>
      <c r="Y192" s="6">
        <f ca="1">0.72*('TUSD BE'!$AM$23+'TUSD BF'!$AM$23+'TUSD CVA'!$AM$23)*1+('TUSD BE'!$AM$24+'TUSD BF'!$AM$24+'TUSD CVA'!$AM$24)*1</f>
        <v>23.06347892440748</v>
      </c>
      <c r="Z192" s="6">
        <f ca="1">('TUSD BE'!$AM$25+'TUSD BF'!$AM$25+'TUSD CVA'!$AM$25)*1</f>
        <v>15.91855481032834</v>
      </c>
      <c r="AA192" s="6">
        <f>('TE BE'!$AB$16+'TE BF'!$AB$16+'TE CVA'!$AB$16)*1</f>
        <v>220.39434315508052</v>
      </c>
      <c r="AB192" s="6">
        <f t="shared" si="10"/>
        <v>0</v>
      </c>
      <c r="AC192" s="6">
        <f t="shared" si="11"/>
        <v>0</v>
      </c>
      <c r="AD192" s="6">
        <f t="shared" ca="1" si="12"/>
        <v>0</v>
      </c>
      <c r="AE192" s="6">
        <f t="shared" ca="1" si="13"/>
        <v>0</v>
      </c>
      <c r="AF192" s="4" t="s">
        <v>937</v>
      </c>
    </row>
    <row r="193" spans="1:32" ht="11.25" customHeight="1" x14ac:dyDescent="0.25">
      <c r="A193" s="4" t="s">
        <v>21</v>
      </c>
      <c r="B193" s="4" t="s">
        <v>41</v>
      </c>
      <c r="C193" s="4" t="s">
        <v>62</v>
      </c>
      <c r="D193" s="4" t="s">
        <v>25</v>
      </c>
      <c r="E193" s="4" t="s">
        <v>25</v>
      </c>
      <c r="F193" s="4" t="s">
        <v>25</v>
      </c>
      <c r="G193" s="4" t="s">
        <v>63</v>
      </c>
      <c r="H193" s="4" t="s">
        <v>25</v>
      </c>
      <c r="I193" s="5">
        <v>44835</v>
      </c>
      <c r="J193" s="6">
        <v>0</v>
      </c>
      <c r="K193" s="6">
        <v>0</v>
      </c>
      <c r="L193" s="6">
        <v>0</v>
      </c>
      <c r="M193" s="6">
        <v>0</v>
      </c>
      <c r="N193" s="6">
        <v>921.48900000000003</v>
      </c>
      <c r="O193" s="6">
        <v>921.48900000000003</v>
      </c>
      <c r="P193" s="6">
        <v>0</v>
      </c>
      <c r="Q193" s="4" t="s">
        <v>64</v>
      </c>
      <c r="R193" s="4">
        <v>7019</v>
      </c>
      <c r="S193" s="4">
        <v>0</v>
      </c>
      <c r="T193" s="4">
        <v>0</v>
      </c>
      <c r="U193" s="4">
        <v>79</v>
      </c>
      <c r="V193" s="6">
        <f>IF(ISERROR(VLOOKUP($S$193,'TAR FIN'!$A$1:$O$115,15,0)),0,VLOOKUP($S$193,'TAR FIN'!$A$1:$O$115,15,0))</f>
        <v>0</v>
      </c>
      <c r="W193" s="6">
        <f>IF(ISERROR(VLOOKUP($T$193,'TAR FIN'!$A$1:$O$115,15,0)),0,VLOOKUP($T$193,'TAR FIN'!$A$1:$O$115,15,0))</f>
        <v>0</v>
      </c>
      <c r="X193" s="6">
        <f>IF(ISERROR(VLOOKUP($U$193,'TAR FIN'!$A$1:$O$115,15,0)),0,VLOOKUP($U$193,'TAR FIN'!$A$1:$O$115,15,0))</f>
        <v>157.19999999999999</v>
      </c>
      <c r="Y193" s="6">
        <f ca="1">0.72*('TUSD BE'!$AM$23+'TUSD BF'!$AM$23+'TUSD CVA'!$AM$23)*1+('TUSD BE'!$AM$24+'TUSD BF'!$AM$24+'TUSD CVA'!$AM$24)*1</f>
        <v>23.06347892440748</v>
      </c>
      <c r="Z193" s="6">
        <f ca="1">('TUSD BE'!$AM$25+'TUSD BF'!$AM$25+'TUSD CVA'!$AM$25)*1</f>
        <v>15.91855481032834</v>
      </c>
      <c r="AA193" s="6">
        <f>('TE BE'!$AB$16+'TE BF'!$AB$16+'TE CVA'!$AB$16)*1</f>
        <v>220.39434315508052</v>
      </c>
      <c r="AB193" s="6">
        <f t="shared" si="10"/>
        <v>0</v>
      </c>
      <c r="AC193" s="6">
        <f t="shared" si="11"/>
        <v>0</v>
      </c>
      <c r="AD193" s="6">
        <f t="shared" ca="1" si="12"/>
        <v>0</v>
      </c>
      <c r="AE193" s="6">
        <f t="shared" ca="1" si="13"/>
        <v>0</v>
      </c>
      <c r="AF193" s="4" t="s">
        <v>937</v>
      </c>
    </row>
    <row r="194" spans="1:32" ht="11.25" customHeight="1" x14ac:dyDescent="0.25">
      <c r="A194" s="4" t="s">
        <v>59</v>
      </c>
      <c r="B194" s="4" t="s">
        <v>41</v>
      </c>
      <c r="C194" s="4" t="s">
        <v>62</v>
      </c>
      <c r="D194" s="4" t="s">
        <v>25</v>
      </c>
      <c r="E194" s="4" t="s">
        <v>25</v>
      </c>
      <c r="F194" s="4" t="s">
        <v>25</v>
      </c>
      <c r="G194" s="4" t="s">
        <v>63</v>
      </c>
      <c r="H194" s="4" t="s">
        <v>25</v>
      </c>
      <c r="I194" s="5">
        <v>44866</v>
      </c>
      <c r="J194" s="6">
        <v>0</v>
      </c>
      <c r="K194" s="6">
        <v>0</v>
      </c>
      <c r="L194" s="6">
        <v>0</v>
      </c>
      <c r="M194" s="6">
        <v>0</v>
      </c>
      <c r="N194" s="6">
        <v>921.48900000000003</v>
      </c>
      <c r="O194" s="6">
        <v>921.48900000000003</v>
      </c>
      <c r="P194" s="6">
        <v>0</v>
      </c>
      <c r="Q194" s="4" t="s">
        <v>64</v>
      </c>
      <c r="R194" s="4">
        <v>7019</v>
      </c>
      <c r="S194" s="4">
        <v>0</v>
      </c>
      <c r="T194" s="4">
        <v>0</v>
      </c>
      <c r="U194" s="4">
        <v>79</v>
      </c>
      <c r="V194" s="6">
        <f>IF(ISERROR(VLOOKUP($S$194,'TAR FIN'!$A$1:$O$115,15,0)),0,VLOOKUP($S$194,'TAR FIN'!$A$1:$O$115,15,0))</f>
        <v>0</v>
      </c>
      <c r="W194" s="6">
        <f>IF(ISERROR(VLOOKUP($T$194,'TAR FIN'!$A$1:$O$115,15,0)),0,VLOOKUP($T$194,'TAR FIN'!$A$1:$O$115,15,0))</f>
        <v>0</v>
      </c>
      <c r="X194" s="6">
        <f>IF(ISERROR(VLOOKUP($U$194,'TAR FIN'!$A$1:$O$115,15,0)),0,VLOOKUP($U$194,'TAR FIN'!$A$1:$O$115,15,0))</f>
        <v>157.19999999999999</v>
      </c>
      <c r="Y194" s="6">
        <f ca="1">0.72*('TUSD BE'!$AM$23+'TUSD BF'!$AM$23+'TUSD CVA'!$AM$23)*1+('TUSD BE'!$AM$24+'TUSD BF'!$AM$24+'TUSD CVA'!$AM$24)*1</f>
        <v>23.06347892440748</v>
      </c>
      <c r="Z194" s="6">
        <f ca="1">('TUSD BE'!$AM$25+'TUSD BF'!$AM$25+'TUSD CVA'!$AM$25)*1</f>
        <v>15.91855481032834</v>
      </c>
      <c r="AA194" s="6">
        <f>('TE BE'!$AB$16+'TE BF'!$AB$16+'TE CVA'!$AB$16)*1</f>
        <v>220.39434315508052</v>
      </c>
      <c r="AB194" s="6">
        <f t="shared" ref="AB194:AB242" si="14">(J194-K194)*V194</f>
        <v>0</v>
      </c>
      <c r="AC194" s="6">
        <f t="shared" ref="AC194:AC242" si="15">(L194-M194)*W194+(N194-O194)*X194</f>
        <v>0</v>
      </c>
      <c r="AD194" s="6">
        <f t="shared" ref="AD194:AD242" ca="1" si="16">(J194-K194)*Y194</f>
        <v>0</v>
      </c>
      <c r="AE194" s="6">
        <f t="shared" ref="AE194:AE242" ca="1" si="17">(L194-M194)*Z194+(N194-O194)*AA194</f>
        <v>0</v>
      </c>
      <c r="AF194" s="4" t="s">
        <v>937</v>
      </c>
    </row>
    <row r="195" spans="1:32" ht="11.25" customHeight="1" x14ac:dyDescent="0.25">
      <c r="A195" s="4" t="s">
        <v>21</v>
      </c>
      <c r="B195" s="4" t="s">
        <v>41</v>
      </c>
      <c r="C195" s="4" t="s">
        <v>62</v>
      </c>
      <c r="D195" s="4" t="s">
        <v>25</v>
      </c>
      <c r="E195" s="4" t="s">
        <v>25</v>
      </c>
      <c r="F195" s="4" t="s">
        <v>25</v>
      </c>
      <c r="G195" s="4" t="s">
        <v>63</v>
      </c>
      <c r="H195" s="4" t="s">
        <v>36</v>
      </c>
      <c r="I195" s="5">
        <v>44531</v>
      </c>
      <c r="J195" s="6">
        <v>1523</v>
      </c>
      <c r="K195" s="6">
        <v>1523</v>
      </c>
      <c r="L195" s="6">
        <v>73.668000000000006</v>
      </c>
      <c r="M195" s="6">
        <v>73.668000000000006</v>
      </c>
      <c r="N195" s="6">
        <v>0</v>
      </c>
      <c r="O195" s="6">
        <v>0</v>
      </c>
      <c r="P195" s="6">
        <v>0</v>
      </c>
      <c r="Q195" s="4" t="s">
        <v>64</v>
      </c>
      <c r="R195" s="4">
        <v>7019</v>
      </c>
      <c r="S195" s="4">
        <v>23</v>
      </c>
      <c r="T195" s="4">
        <v>25</v>
      </c>
      <c r="U195" s="4">
        <v>0</v>
      </c>
      <c r="V195" s="6">
        <f>IF(ISERROR(VLOOKUP($S$195,'TAR FIN'!$A$1:$O$115,15,0)),0,VLOOKUP($S$195,'TAR FIN'!$A$1:$O$115,15,0))</f>
        <v>15.78</v>
      </c>
      <c r="W195" s="6">
        <f>IF(ISERROR(VLOOKUP($T$195,'TAR FIN'!$A$1:$O$115,15,0)),0,VLOOKUP($T$195,'TAR FIN'!$A$1:$O$115,15,0))</f>
        <v>10.28</v>
      </c>
      <c r="X195" s="6">
        <f>IF(ISERROR(VLOOKUP($U$195,'TAR FIN'!$A$1:$O$115,15,0)),0,VLOOKUP($U$195,'TAR FIN'!$A$1:$O$115,15,0))</f>
        <v>0</v>
      </c>
      <c r="Y195" s="6">
        <f ca="1">('TUSD BE'!$AM$23+'TUSD BF'!$AM$23+'TUSD CVA'!$AM$23)*1</f>
        <v>18.687987492602183</v>
      </c>
      <c r="Z195" s="6">
        <f ca="1">('TUSD BE'!$AM$25+'TUSD BF'!$AM$25+'TUSD CVA'!$AM$25)*1</f>
        <v>15.91855481032834</v>
      </c>
      <c r="AA195" s="6">
        <f>('TE BE'!$AB$16+'TE BF'!$AB$16+'TE CVA'!$AB$16)*1</f>
        <v>220.39434315508052</v>
      </c>
      <c r="AB195" s="6">
        <f t="shared" si="14"/>
        <v>0</v>
      </c>
      <c r="AC195" s="6">
        <f t="shared" si="15"/>
        <v>0</v>
      </c>
      <c r="AD195" s="6">
        <f t="shared" ca="1" si="16"/>
        <v>0</v>
      </c>
      <c r="AE195" s="6">
        <f t="shared" ca="1" si="17"/>
        <v>0</v>
      </c>
      <c r="AF195" s="4" t="s">
        <v>937</v>
      </c>
    </row>
    <row r="196" spans="1:32" ht="11.25" customHeight="1" x14ac:dyDescent="0.25">
      <c r="A196" s="4" t="s">
        <v>21</v>
      </c>
      <c r="B196" s="4" t="s">
        <v>41</v>
      </c>
      <c r="C196" s="4" t="s">
        <v>62</v>
      </c>
      <c r="D196" s="4" t="s">
        <v>25</v>
      </c>
      <c r="E196" s="4" t="s">
        <v>25</v>
      </c>
      <c r="F196" s="4" t="s">
        <v>25</v>
      </c>
      <c r="G196" s="4" t="s">
        <v>63</v>
      </c>
      <c r="H196" s="4" t="s">
        <v>36</v>
      </c>
      <c r="I196" s="5">
        <v>44562</v>
      </c>
      <c r="J196" s="6">
        <v>1456</v>
      </c>
      <c r="K196" s="6">
        <v>1456</v>
      </c>
      <c r="L196" s="6">
        <v>89.442999999999998</v>
      </c>
      <c r="M196" s="6">
        <v>89.442999999999998</v>
      </c>
      <c r="N196" s="6">
        <v>0</v>
      </c>
      <c r="O196" s="6">
        <v>0</v>
      </c>
      <c r="P196" s="6">
        <v>0</v>
      </c>
      <c r="Q196" s="4" t="s">
        <v>64</v>
      </c>
      <c r="R196" s="4">
        <v>7019</v>
      </c>
      <c r="S196" s="4">
        <v>23</v>
      </c>
      <c r="T196" s="4">
        <v>25</v>
      </c>
      <c r="U196" s="4">
        <v>0</v>
      </c>
      <c r="V196" s="6">
        <f>IF(ISERROR(VLOOKUP($S$196,'TAR FIN'!$A$1:$O$115,15,0)),0,VLOOKUP($S$196,'TAR FIN'!$A$1:$O$115,15,0))</f>
        <v>15.78</v>
      </c>
      <c r="W196" s="6">
        <f>IF(ISERROR(VLOOKUP($T$196,'TAR FIN'!$A$1:$O$115,15,0)),0,VLOOKUP($T$196,'TAR FIN'!$A$1:$O$115,15,0))</f>
        <v>10.28</v>
      </c>
      <c r="X196" s="6">
        <f>IF(ISERROR(VLOOKUP($U$196,'TAR FIN'!$A$1:$O$115,15,0)),0,VLOOKUP($U$196,'TAR FIN'!$A$1:$O$115,15,0))</f>
        <v>0</v>
      </c>
      <c r="Y196" s="6">
        <f ca="1">('TUSD BE'!$AM$23+'TUSD BF'!$AM$23+'TUSD CVA'!$AM$23)*1</f>
        <v>18.687987492602183</v>
      </c>
      <c r="Z196" s="6">
        <f ca="1">('TUSD BE'!$AM$25+'TUSD BF'!$AM$25+'TUSD CVA'!$AM$25)*1</f>
        <v>15.91855481032834</v>
      </c>
      <c r="AA196" s="6">
        <f>('TE BE'!$AB$16+'TE BF'!$AB$16+'TE CVA'!$AB$16)*1</f>
        <v>220.39434315508052</v>
      </c>
      <c r="AB196" s="6">
        <f t="shared" si="14"/>
        <v>0</v>
      </c>
      <c r="AC196" s="6">
        <f t="shared" si="15"/>
        <v>0</v>
      </c>
      <c r="AD196" s="6">
        <f t="shared" ca="1" si="16"/>
        <v>0</v>
      </c>
      <c r="AE196" s="6">
        <f t="shared" ca="1" si="17"/>
        <v>0</v>
      </c>
      <c r="AF196" s="4" t="s">
        <v>937</v>
      </c>
    </row>
    <row r="197" spans="1:32" ht="11.25" customHeight="1" x14ac:dyDescent="0.25">
      <c r="A197" s="4" t="s">
        <v>21</v>
      </c>
      <c r="B197" s="4" t="s">
        <v>41</v>
      </c>
      <c r="C197" s="4" t="s">
        <v>62</v>
      </c>
      <c r="D197" s="4" t="s">
        <v>25</v>
      </c>
      <c r="E197" s="4" t="s">
        <v>25</v>
      </c>
      <c r="F197" s="4" t="s">
        <v>25</v>
      </c>
      <c r="G197" s="4" t="s">
        <v>63</v>
      </c>
      <c r="H197" s="4" t="s">
        <v>36</v>
      </c>
      <c r="I197" s="5">
        <v>44593</v>
      </c>
      <c r="J197" s="6">
        <v>1568</v>
      </c>
      <c r="K197" s="6">
        <v>1568</v>
      </c>
      <c r="L197" s="6">
        <v>82.863</v>
      </c>
      <c r="M197" s="6">
        <v>82.863</v>
      </c>
      <c r="N197" s="6">
        <v>0</v>
      </c>
      <c r="O197" s="6">
        <v>0</v>
      </c>
      <c r="P197" s="6">
        <v>0</v>
      </c>
      <c r="Q197" s="4" t="s">
        <v>64</v>
      </c>
      <c r="R197" s="4">
        <v>7019</v>
      </c>
      <c r="S197" s="4">
        <v>23</v>
      </c>
      <c r="T197" s="4">
        <v>25</v>
      </c>
      <c r="U197" s="4">
        <v>0</v>
      </c>
      <c r="V197" s="6">
        <f>IF(ISERROR(VLOOKUP($S$197,'TAR FIN'!$A$1:$O$115,15,0)),0,VLOOKUP($S$197,'TAR FIN'!$A$1:$O$115,15,0))</f>
        <v>15.78</v>
      </c>
      <c r="W197" s="6">
        <f>IF(ISERROR(VLOOKUP($T$197,'TAR FIN'!$A$1:$O$115,15,0)),0,VLOOKUP($T$197,'TAR FIN'!$A$1:$O$115,15,0))</f>
        <v>10.28</v>
      </c>
      <c r="X197" s="6">
        <f>IF(ISERROR(VLOOKUP($U$197,'TAR FIN'!$A$1:$O$115,15,0)),0,VLOOKUP($U$197,'TAR FIN'!$A$1:$O$115,15,0))</f>
        <v>0</v>
      </c>
      <c r="Y197" s="6">
        <f ca="1">('TUSD BE'!$AM$23+'TUSD BF'!$AM$23+'TUSD CVA'!$AM$23)*1</f>
        <v>18.687987492602183</v>
      </c>
      <c r="Z197" s="6">
        <f ca="1">('TUSD BE'!$AM$25+'TUSD BF'!$AM$25+'TUSD CVA'!$AM$25)*1</f>
        <v>15.91855481032834</v>
      </c>
      <c r="AA197" s="6">
        <f>('TE BE'!$AB$16+'TE BF'!$AB$16+'TE CVA'!$AB$16)*1</f>
        <v>220.39434315508052</v>
      </c>
      <c r="AB197" s="6">
        <f t="shared" si="14"/>
        <v>0</v>
      </c>
      <c r="AC197" s="6">
        <f t="shared" si="15"/>
        <v>0</v>
      </c>
      <c r="AD197" s="6">
        <f t="shared" ca="1" si="16"/>
        <v>0</v>
      </c>
      <c r="AE197" s="6">
        <f t="shared" ca="1" si="17"/>
        <v>0</v>
      </c>
      <c r="AF197" s="4" t="s">
        <v>937</v>
      </c>
    </row>
    <row r="198" spans="1:32" ht="11.25" customHeight="1" x14ac:dyDescent="0.25">
      <c r="A198" s="4" t="s">
        <v>21</v>
      </c>
      <c r="B198" s="4" t="s">
        <v>41</v>
      </c>
      <c r="C198" s="4" t="s">
        <v>62</v>
      </c>
      <c r="D198" s="4" t="s">
        <v>25</v>
      </c>
      <c r="E198" s="4" t="s">
        <v>25</v>
      </c>
      <c r="F198" s="4" t="s">
        <v>25</v>
      </c>
      <c r="G198" s="4" t="s">
        <v>63</v>
      </c>
      <c r="H198" s="4" t="s">
        <v>36</v>
      </c>
      <c r="I198" s="5">
        <v>44621</v>
      </c>
      <c r="J198" s="6">
        <v>1500</v>
      </c>
      <c r="K198" s="6">
        <v>1500</v>
      </c>
      <c r="L198" s="6">
        <v>77.391999999999996</v>
      </c>
      <c r="M198" s="6">
        <v>77.391999999999996</v>
      </c>
      <c r="N198" s="6">
        <v>0</v>
      </c>
      <c r="O198" s="6">
        <v>0</v>
      </c>
      <c r="P198" s="6">
        <v>0</v>
      </c>
      <c r="Q198" s="4" t="s">
        <v>64</v>
      </c>
      <c r="R198" s="4">
        <v>7019</v>
      </c>
      <c r="S198" s="4">
        <v>23</v>
      </c>
      <c r="T198" s="4">
        <v>25</v>
      </c>
      <c r="U198" s="4">
        <v>0</v>
      </c>
      <c r="V198" s="6">
        <f>IF(ISERROR(VLOOKUP($S$198,'TAR FIN'!$A$1:$O$115,15,0)),0,VLOOKUP($S$198,'TAR FIN'!$A$1:$O$115,15,0))</f>
        <v>15.78</v>
      </c>
      <c r="W198" s="6">
        <f>IF(ISERROR(VLOOKUP($T$198,'TAR FIN'!$A$1:$O$115,15,0)),0,VLOOKUP($T$198,'TAR FIN'!$A$1:$O$115,15,0))</f>
        <v>10.28</v>
      </c>
      <c r="X198" s="6">
        <f>IF(ISERROR(VLOOKUP($U$198,'TAR FIN'!$A$1:$O$115,15,0)),0,VLOOKUP($U$198,'TAR FIN'!$A$1:$O$115,15,0))</f>
        <v>0</v>
      </c>
      <c r="Y198" s="6">
        <f ca="1">('TUSD BE'!$AM$23+'TUSD BF'!$AM$23+'TUSD CVA'!$AM$23)*1</f>
        <v>18.687987492602183</v>
      </c>
      <c r="Z198" s="6">
        <f ca="1">('TUSD BE'!$AM$25+'TUSD BF'!$AM$25+'TUSD CVA'!$AM$25)*1</f>
        <v>15.91855481032834</v>
      </c>
      <c r="AA198" s="6">
        <f>('TE BE'!$AB$16+'TE BF'!$AB$16+'TE CVA'!$AB$16)*1</f>
        <v>220.39434315508052</v>
      </c>
      <c r="AB198" s="6">
        <f t="shared" si="14"/>
        <v>0</v>
      </c>
      <c r="AC198" s="6">
        <f t="shared" si="15"/>
        <v>0</v>
      </c>
      <c r="AD198" s="6">
        <f t="shared" ca="1" si="16"/>
        <v>0</v>
      </c>
      <c r="AE198" s="6">
        <f t="shared" ca="1" si="17"/>
        <v>0</v>
      </c>
      <c r="AF198" s="4" t="s">
        <v>937</v>
      </c>
    </row>
    <row r="199" spans="1:32" ht="11.25" customHeight="1" x14ac:dyDescent="0.25">
      <c r="A199" s="4" t="s">
        <v>21</v>
      </c>
      <c r="B199" s="4" t="s">
        <v>41</v>
      </c>
      <c r="C199" s="4" t="s">
        <v>62</v>
      </c>
      <c r="D199" s="4" t="s">
        <v>25</v>
      </c>
      <c r="E199" s="4" t="s">
        <v>25</v>
      </c>
      <c r="F199" s="4" t="s">
        <v>25</v>
      </c>
      <c r="G199" s="4" t="s">
        <v>63</v>
      </c>
      <c r="H199" s="4" t="s">
        <v>36</v>
      </c>
      <c r="I199" s="5">
        <v>44652</v>
      </c>
      <c r="J199" s="6">
        <v>1478</v>
      </c>
      <c r="K199" s="6">
        <v>1478</v>
      </c>
      <c r="L199" s="6">
        <v>84.554000000000002</v>
      </c>
      <c r="M199" s="6">
        <v>84.554000000000002</v>
      </c>
      <c r="N199" s="6">
        <v>0</v>
      </c>
      <c r="O199" s="6">
        <v>0</v>
      </c>
      <c r="P199" s="6">
        <v>0</v>
      </c>
      <c r="Q199" s="4" t="s">
        <v>64</v>
      </c>
      <c r="R199" s="4">
        <v>7019</v>
      </c>
      <c r="S199" s="4">
        <v>23</v>
      </c>
      <c r="T199" s="4">
        <v>25</v>
      </c>
      <c r="U199" s="4">
        <v>0</v>
      </c>
      <c r="V199" s="6">
        <f>IF(ISERROR(VLOOKUP($S$199,'TAR FIN'!$A$1:$O$115,15,0)),0,VLOOKUP($S$199,'TAR FIN'!$A$1:$O$115,15,0))</f>
        <v>15.78</v>
      </c>
      <c r="W199" s="6">
        <f>IF(ISERROR(VLOOKUP($T$199,'TAR FIN'!$A$1:$O$115,15,0)),0,VLOOKUP($T$199,'TAR FIN'!$A$1:$O$115,15,0))</f>
        <v>10.28</v>
      </c>
      <c r="X199" s="6">
        <f>IF(ISERROR(VLOOKUP($U$199,'TAR FIN'!$A$1:$O$115,15,0)),0,VLOOKUP($U$199,'TAR FIN'!$A$1:$O$115,15,0))</f>
        <v>0</v>
      </c>
      <c r="Y199" s="6">
        <f ca="1">('TUSD BE'!$AM$23+'TUSD BF'!$AM$23+'TUSD CVA'!$AM$23)*1</f>
        <v>18.687987492602183</v>
      </c>
      <c r="Z199" s="6">
        <f ca="1">('TUSD BE'!$AM$25+'TUSD BF'!$AM$25+'TUSD CVA'!$AM$25)*1</f>
        <v>15.91855481032834</v>
      </c>
      <c r="AA199" s="6">
        <f>('TE BE'!$AB$16+'TE BF'!$AB$16+'TE CVA'!$AB$16)*1</f>
        <v>220.39434315508052</v>
      </c>
      <c r="AB199" s="6">
        <f t="shared" si="14"/>
        <v>0</v>
      </c>
      <c r="AC199" s="6">
        <f t="shared" si="15"/>
        <v>0</v>
      </c>
      <c r="AD199" s="6">
        <f t="shared" ca="1" si="16"/>
        <v>0</v>
      </c>
      <c r="AE199" s="6">
        <f t="shared" ca="1" si="17"/>
        <v>0</v>
      </c>
      <c r="AF199" s="4" t="s">
        <v>937</v>
      </c>
    </row>
    <row r="200" spans="1:32" ht="11.25" customHeight="1" x14ac:dyDescent="0.25">
      <c r="A200" s="4" t="s">
        <v>21</v>
      </c>
      <c r="B200" s="4" t="s">
        <v>41</v>
      </c>
      <c r="C200" s="4" t="s">
        <v>62</v>
      </c>
      <c r="D200" s="4" t="s">
        <v>25</v>
      </c>
      <c r="E200" s="4" t="s">
        <v>25</v>
      </c>
      <c r="F200" s="4" t="s">
        <v>25</v>
      </c>
      <c r="G200" s="4" t="s">
        <v>63</v>
      </c>
      <c r="H200" s="4" t="s">
        <v>36</v>
      </c>
      <c r="I200" s="5">
        <v>44682</v>
      </c>
      <c r="J200" s="6">
        <v>1612</v>
      </c>
      <c r="K200" s="6">
        <v>1612</v>
      </c>
      <c r="L200" s="6">
        <v>76.456000000000003</v>
      </c>
      <c r="M200" s="6">
        <v>76.456000000000003</v>
      </c>
      <c r="N200" s="6">
        <v>0</v>
      </c>
      <c r="O200" s="6">
        <v>0</v>
      </c>
      <c r="P200" s="6">
        <v>0</v>
      </c>
      <c r="Q200" s="4" t="s">
        <v>64</v>
      </c>
      <c r="R200" s="4">
        <v>7019</v>
      </c>
      <c r="S200" s="4">
        <v>23</v>
      </c>
      <c r="T200" s="4">
        <v>25</v>
      </c>
      <c r="U200" s="4">
        <v>0</v>
      </c>
      <c r="V200" s="6">
        <f>IF(ISERROR(VLOOKUP($S$200,'TAR FIN'!$A$1:$O$115,15,0)),0,VLOOKUP($S$200,'TAR FIN'!$A$1:$O$115,15,0))</f>
        <v>15.78</v>
      </c>
      <c r="W200" s="6">
        <f>IF(ISERROR(VLOOKUP($T$200,'TAR FIN'!$A$1:$O$115,15,0)),0,VLOOKUP($T$200,'TAR FIN'!$A$1:$O$115,15,0))</f>
        <v>10.28</v>
      </c>
      <c r="X200" s="6">
        <f>IF(ISERROR(VLOOKUP($U$200,'TAR FIN'!$A$1:$O$115,15,0)),0,VLOOKUP($U$200,'TAR FIN'!$A$1:$O$115,15,0))</f>
        <v>0</v>
      </c>
      <c r="Y200" s="6">
        <f ca="1">('TUSD BE'!$AM$23+'TUSD BF'!$AM$23+'TUSD CVA'!$AM$23)*1</f>
        <v>18.687987492602183</v>
      </c>
      <c r="Z200" s="6">
        <f ca="1">('TUSD BE'!$AM$25+'TUSD BF'!$AM$25+'TUSD CVA'!$AM$25)*1</f>
        <v>15.91855481032834</v>
      </c>
      <c r="AA200" s="6">
        <f>('TE BE'!$AB$16+'TE BF'!$AB$16+'TE CVA'!$AB$16)*1</f>
        <v>220.39434315508052</v>
      </c>
      <c r="AB200" s="6">
        <f t="shared" si="14"/>
        <v>0</v>
      </c>
      <c r="AC200" s="6">
        <f t="shared" si="15"/>
        <v>0</v>
      </c>
      <c r="AD200" s="6">
        <f t="shared" ca="1" si="16"/>
        <v>0</v>
      </c>
      <c r="AE200" s="6">
        <f t="shared" ca="1" si="17"/>
        <v>0</v>
      </c>
      <c r="AF200" s="4" t="s">
        <v>937</v>
      </c>
    </row>
    <row r="201" spans="1:32" ht="11.25" customHeight="1" x14ac:dyDescent="0.25">
      <c r="A201" s="4" t="s">
        <v>21</v>
      </c>
      <c r="B201" s="4" t="s">
        <v>41</v>
      </c>
      <c r="C201" s="4" t="s">
        <v>62</v>
      </c>
      <c r="D201" s="4" t="s">
        <v>25</v>
      </c>
      <c r="E201" s="4" t="s">
        <v>25</v>
      </c>
      <c r="F201" s="4" t="s">
        <v>25</v>
      </c>
      <c r="G201" s="4" t="s">
        <v>63</v>
      </c>
      <c r="H201" s="4" t="s">
        <v>36</v>
      </c>
      <c r="I201" s="5">
        <v>44713</v>
      </c>
      <c r="J201" s="6">
        <v>1545</v>
      </c>
      <c r="K201" s="6">
        <v>1545</v>
      </c>
      <c r="L201" s="6">
        <v>82.218999999999994</v>
      </c>
      <c r="M201" s="6">
        <v>82.218999999999994</v>
      </c>
      <c r="N201" s="6">
        <v>0</v>
      </c>
      <c r="O201" s="6">
        <v>0</v>
      </c>
      <c r="P201" s="6">
        <v>0</v>
      </c>
      <c r="Q201" s="4" t="s">
        <v>64</v>
      </c>
      <c r="R201" s="4">
        <v>7019</v>
      </c>
      <c r="S201" s="4">
        <v>23</v>
      </c>
      <c r="T201" s="4">
        <v>25</v>
      </c>
      <c r="U201" s="4">
        <v>0</v>
      </c>
      <c r="V201" s="6">
        <f>IF(ISERROR(VLOOKUP($S$201,'TAR FIN'!$A$1:$O$115,15,0)),0,VLOOKUP($S$201,'TAR FIN'!$A$1:$O$115,15,0))</f>
        <v>15.78</v>
      </c>
      <c r="W201" s="6">
        <f>IF(ISERROR(VLOOKUP($T$201,'TAR FIN'!$A$1:$O$115,15,0)),0,VLOOKUP($T$201,'TAR FIN'!$A$1:$O$115,15,0))</f>
        <v>10.28</v>
      </c>
      <c r="X201" s="6">
        <f>IF(ISERROR(VLOOKUP($U$201,'TAR FIN'!$A$1:$O$115,15,0)),0,VLOOKUP($U$201,'TAR FIN'!$A$1:$O$115,15,0))</f>
        <v>0</v>
      </c>
      <c r="Y201" s="6">
        <f ca="1">('TUSD BE'!$AM$23+'TUSD BF'!$AM$23+'TUSD CVA'!$AM$23)*1</f>
        <v>18.687987492602183</v>
      </c>
      <c r="Z201" s="6">
        <f ca="1">('TUSD BE'!$AM$25+'TUSD BF'!$AM$25+'TUSD CVA'!$AM$25)*1</f>
        <v>15.91855481032834</v>
      </c>
      <c r="AA201" s="6">
        <f>('TE BE'!$AB$16+'TE BF'!$AB$16+'TE CVA'!$AB$16)*1</f>
        <v>220.39434315508052</v>
      </c>
      <c r="AB201" s="6">
        <f t="shared" si="14"/>
        <v>0</v>
      </c>
      <c r="AC201" s="6">
        <f t="shared" si="15"/>
        <v>0</v>
      </c>
      <c r="AD201" s="6">
        <f t="shared" ca="1" si="16"/>
        <v>0</v>
      </c>
      <c r="AE201" s="6">
        <f t="shared" ca="1" si="17"/>
        <v>0</v>
      </c>
      <c r="AF201" s="4" t="s">
        <v>937</v>
      </c>
    </row>
    <row r="202" spans="1:32" ht="11.25" customHeight="1" x14ac:dyDescent="0.25">
      <c r="A202" s="4" t="s">
        <v>21</v>
      </c>
      <c r="B202" s="4" t="s">
        <v>41</v>
      </c>
      <c r="C202" s="4" t="s">
        <v>62</v>
      </c>
      <c r="D202" s="4" t="s">
        <v>25</v>
      </c>
      <c r="E202" s="4" t="s">
        <v>25</v>
      </c>
      <c r="F202" s="4" t="s">
        <v>25</v>
      </c>
      <c r="G202" s="4" t="s">
        <v>63</v>
      </c>
      <c r="H202" s="4" t="s">
        <v>36</v>
      </c>
      <c r="I202" s="5">
        <v>44743</v>
      </c>
      <c r="J202" s="6">
        <v>1456</v>
      </c>
      <c r="K202" s="6">
        <v>1456</v>
      </c>
      <c r="L202" s="6">
        <v>80.040000000000006</v>
      </c>
      <c r="M202" s="6">
        <v>80.040000000000006</v>
      </c>
      <c r="N202" s="6">
        <v>0</v>
      </c>
      <c r="O202" s="6">
        <v>0</v>
      </c>
      <c r="P202" s="6">
        <v>0</v>
      </c>
      <c r="Q202" s="4" t="s">
        <v>64</v>
      </c>
      <c r="R202" s="4">
        <v>7019</v>
      </c>
      <c r="S202" s="4">
        <v>23</v>
      </c>
      <c r="T202" s="4">
        <v>25</v>
      </c>
      <c r="U202" s="4">
        <v>0</v>
      </c>
      <c r="V202" s="6">
        <f>IF(ISERROR(VLOOKUP($S$202,'TAR FIN'!$A$1:$O$115,15,0)),0,VLOOKUP($S$202,'TAR FIN'!$A$1:$O$115,15,0))</f>
        <v>15.78</v>
      </c>
      <c r="W202" s="6">
        <f>IF(ISERROR(VLOOKUP($T$202,'TAR FIN'!$A$1:$O$115,15,0)),0,VLOOKUP($T$202,'TAR FIN'!$A$1:$O$115,15,0))</f>
        <v>10.28</v>
      </c>
      <c r="X202" s="6">
        <f>IF(ISERROR(VLOOKUP($U$202,'TAR FIN'!$A$1:$O$115,15,0)),0,VLOOKUP($U$202,'TAR FIN'!$A$1:$O$115,15,0))</f>
        <v>0</v>
      </c>
      <c r="Y202" s="6">
        <f ca="1">('TUSD BE'!$AM$23+'TUSD BF'!$AM$23+'TUSD CVA'!$AM$23)*1</f>
        <v>18.687987492602183</v>
      </c>
      <c r="Z202" s="6">
        <f ca="1">('TUSD BE'!$AM$25+'TUSD BF'!$AM$25+'TUSD CVA'!$AM$25)*1</f>
        <v>15.91855481032834</v>
      </c>
      <c r="AA202" s="6">
        <f>('TE BE'!$AB$16+'TE BF'!$AB$16+'TE CVA'!$AB$16)*1</f>
        <v>220.39434315508052</v>
      </c>
      <c r="AB202" s="6">
        <f t="shared" si="14"/>
        <v>0</v>
      </c>
      <c r="AC202" s="6">
        <f t="shared" si="15"/>
        <v>0</v>
      </c>
      <c r="AD202" s="6">
        <f t="shared" ca="1" si="16"/>
        <v>0</v>
      </c>
      <c r="AE202" s="6">
        <f t="shared" ca="1" si="17"/>
        <v>0</v>
      </c>
      <c r="AF202" s="4" t="s">
        <v>937</v>
      </c>
    </row>
    <row r="203" spans="1:32" ht="11.25" customHeight="1" x14ac:dyDescent="0.25">
      <c r="A203" s="4" t="s">
        <v>21</v>
      </c>
      <c r="B203" s="4" t="s">
        <v>41</v>
      </c>
      <c r="C203" s="4" t="s">
        <v>62</v>
      </c>
      <c r="D203" s="4" t="s">
        <v>25</v>
      </c>
      <c r="E203" s="4" t="s">
        <v>25</v>
      </c>
      <c r="F203" s="4" t="s">
        <v>25</v>
      </c>
      <c r="G203" s="4" t="s">
        <v>63</v>
      </c>
      <c r="H203" s="4" t="s">
        <v>36</v>
      </c>
      <c r="I203" s="5">
        <v>44774</v>
      </c>
      <c r="J203" s="6">
        <v>1545</v>
      </c>
      <c r="K203" s="6">
        <v>1545</v>
      </c>
      <c r="L203" s="6">
        <v>88.126999999999995</v>
      </c>
      <c r="M203" s="6">
        <v>88.126999999999995</v>
      </c>
      <c r="N203" s="6">
        <v>0</v>
      </c>
      <c r="O203" s="6">
        <v>0</v>
      </c>
      <c r="P203" s="6">
        <v>0</v>
      </c>
      <c r="Q203" s="4" t="s">
        <v>64</v>
      </c>
      <c r="R203" s="4">
        <v>7019</v>
      </c>
      <c r="S203" s="4">
        <v>23</v>
      </c>
      <c r="T203" s="4">
        <v>25</v>
      </c>
      <c r="U203" s="4">
        <v>0</v>
      </c>
      <c r="V203" s="6">
        <f>IF(ISERROR(VLOOKUP($S$203,'TAR FIN'!$A$1:$O$115,15,0)),0,VLOOKUP($S$203,'TAR FIN'!$A$1:$O$115,15,0))</f>
        <v>15.78</v>
      </c>
      <c r="W203" s="6">
        <f>IF(ISERROR(VLOOKUP($T$203,'TAR FIN'!$A$1:$O$115,15,0)),0,VLOOKUP($T$203,'TAR FIN'!$A$1:$O$115,15,0))</f>
        <v>10.28</v>
      </c>
      <c r="X203" s="6">
        <f>IF(ISERROR(VLOOKUP($U$203,'TAR FIN'!$A$1:$O$115,15,0)),0,VLOOKUP($U$203,'TAR FIN'!$A$1:$O$115,15,0))</f>
        <v>0</v>
      </c>
      <c r="Y203" s="6">
        <f ca="1">('TUSD BE'!$AM$23+'TUSD BF'!$AM$23+'TUSD CVA'!$AM$23)*1</f>
        <v>18.687987492602183</v>
      </c>
      <c r="Z203" s="6">
        <f ca="1">('TUSD BE'!$AM$25+'TUSD BF'!$AM$25+'TUSD CVA'!$AM$25)*1</f>
        <v>15.91855481032834</v>
      </c>
      <c r="AA203" s="6">
        <f>('TE BE'!$AB$16+'TE BF'!$AB$16+'TE CVA'!$AB$16)*1</f>
        <v>220.39434315508052</v>
      </c>
      <c r="AB203" s="6">
        <f t="shared" si="14"/>
        <v>0</v>
      </c>
      <c r="AC203" s="6">
        <f t="shared" si="15"/>
        <v>0</v>
      </c>
      <c r="AD203" s="6">
        <f t="shared" ca="1" si="16"/>
        <v>0</v>
      </c>
      <c r="AE203" s="6">
        <f t="shared" ca="1" si="17"/>
        <v>0</v>
      </c>
      <c r="AF203" s="4" t="s">
        <v>937</v>
      </c>
    </row>
    <row r="204" spans="1:32" ht="11.25" customHeight="1" x14ac:dyDescent="0.25">
      <c r="A204" s="4" t="s">
        <v>21</v>
      </c>
      <c r="B204" s="4" t="s">
        <v>41</v>
      </c>
      <c r="C204" s="4" t="s">
        <v>62</v>
      </c>
      <c r="D204" s="4" t="s">
        <v>25</v>
      </c>
      <c r="E204" s="4" t="s">
        <v>25</v>
      </c>
      <c r="F204" s="4" t="s">
        <v>25</v>
      </c>
      <c r="G204" s="4" t="s">
        <v>63</v>
      </c>
      <c r="H204" s="4" t="s">
        <v>36</v>
      </c>
      <c r="I204" s="5">
        <v>44805</v>
      </c>
      <c r="J204" s="6">
        <v>1646</v>
      </c>
      <c r="K204" s="6">
        <v>1646</v>
      </c>
      <c r="L204" s="6">
        <v>95.625</v>
      </c>
      <c r="M204" s="6">
        <v>95.625</v>
      </c>
      <c r="N204" s="6">
        <v>0</v>
      </c>
      <c r="O204" s="6">
        <v>0</v>
      </c>
      <c r="P204" s="6">
        <v>0</v>
      </c>
      <c r="Q204" s="4" t="s">
        <v>64</v>
      </c>
      <c r="R204" s="4">
        <v>7019</v>
      </c>
      <c r="S204" s="4">
        <v>23</v>
      </c>
      <c r="T204" s="4">
        <v>25</v>
      </c>
      <c r="U204" s="4">
        <v>0</v>
      </c>
      <c r="V204" s="6">
        <f>IF(ISERROR(VLOOKUP($S$204,'TAR FIN'!$A$1:$O$115,15,0)),0,VLOOKUP($S$204,'TAR FIN'!$A$1:$O$115,15,0))</f>
        <v>15.78</v>
      </c>
      <c r="W204" s="6">
        <f>IF(ISERROR(VLOOKUP($T$204,'TAR FIN'!$A$1:$O$115,15,0)),0,VLOOKUP($T$204,'TAR FIN'!$A$1:$O$115,15,0))</f>
        <v>10.28</v>
      </c>
      <c r="X204" s="6">
        <f>IF(ISERROR(VLOOKUP($U$204,'TAR FIN'!$A$1:$O$115,15,0)),0,VLOOKUP($U$204,'TAR FIN'!$A$1:$O$115,15,0))</f>
        <v>0</v>
      </c>
      <c r="Y204" s="6">
        <f ca="1">('TUSD BE'!$AM$23+'TUSD BF'!$AM$23+'TUSD CVA'!$AM$23)*1</f>
        <v>18.687987492602183</v>
      </c>
      <c r="Z204" s="6">
        <f ca="1">('TUSD BE'!$AM$25+'TUSD BF'!$AM$25+'TUSD CVA'!$AM$25)*1</f>
        <v>15.91855481032834</v>
      </c>
      <c r="AA204" s="6">
        <f>('TE BE'!$AB$16+'TE BF'!$AB$16+'TE CVA'!$AB$16)*1</f>
        <v>220.39434315508052</v>
      </c>
      <c r="AB204" s="6">
        <f t="shared" si="14"/>
        <v>0</v>
      </c>
      <c r="AC204" s="6">
        <f t="shared" si="15"/>
        <v>0</v>
      </c>
      <c r="AD204" s="6">
        <f t="shared" ca="1" si="16"/>
        <v>0</v>
      </c>
      <c r="AE204" s="6">
        <f t="shared" ca="1" si="17"/>
        <v>0</v>
      </c>
      <c r="AF204" s="4" t="s">
        <v>937</v>
      </c>
    </row>
    <row r="205" spans="1:32" ht="11.25" customHeight="1" x14ac:dyDescent="0.25">
      <c r="A205" s="4" t="s">
        <v>21</v>
      </c>
      <c r="B205" s="4" t="s">
        <v>41</v>
      </c>
      <c r="C205" s="4" t="s">
        <v>62</v>
      </c>
      <c r="D205" s="4" t="s">
        <v>25</v>
      </c>
      <c r="E205" s="4" t="s">
        <v>25</v>
      </c>
      <c r="F205" s="4" t="s">
        <v>25</v>
      </c>
      <c r="G205" s="4" t="s">
        <v>63</v>
      </c>
      <c r="H205" s="4" t="s">
        <v>36</v>
      </c>
      <c r="I205" s="5">
        <v>44835</v>
      </c>
      <c r="J205" s="6">
        <v>1825</v>
      </c>
      <c r="K205" s="6">
        <v>1825</v>
      </c>
      <c r="L205" s="6">
        <v>93.472999999999999</v>
      </c>
      <c r="M205" s="6">
        <v>93.472999999999999</v>
      </c>
      <c r="N205" s="6">
        <v>0</v>
      </c>
      <c r="O205" s="6">
        <v>0</v>
      </c>
      <c r="P205" s="6">
        <v>0</v>
      </c>
      <c r="Q205" s="4" t="s">
        <v>64</v>
      </c>
      <c r="R205" s="4">
        <v>7019</v>
      </c>
      <c r="S205" s="4">
        <v>23</v>
      </c>
      <c r="T205" s="4">
        <v>25</v>
      </c>
      <c r="U205" s="4">
        <v>0</v>
      </c>
      <c r="V205" s="6">
        <f>IF(ISERROR(VLOOKUP($S$205,'TAR FIN'!$A$1:$O$115,15,0)),0,VLOOKUP($S$205,'TAR FIN'!$A$1:$O$115,15,0))</f>
        <v>15.78</v>
      </c>
      <c r="W205" s="6">
        <f>IF(ISERROR(VLOOKUP($T$205,'TAR FIN'!$A$1:$O$115,15,0)),0,VLOOKUP($T$205,'TAR FIN'!$A$1:$O$115,15,0))</f>
        <v>10.28</v>
      </c>
      <c r="X205" s="6">
        <f>IF(ISERROR(VLOOKUP($U$205,'TAR FIN'!$A$1:$O$115,15,0)),0,VLOOKUP($U$205,'TAR FIN'!$A$1:$O$115,15,0))</f>
        <v>0</v>
      </c>
      <c r="Y205" s="6">
        <f ca="1">('TUSD BE'!$AM$23+'TUSD BF'!$AM$23+'TUSD CVA'!$AM$23)*1</f>
        <v>18.687987492602183</v>
      </c>
      <c r="Z205" s="6">
        <f ca="1">('TUSD BE'!$AM$25+'TUSD BF'!$AM$25+'TUSD CVA'!$AM$25)*1</f>
        <v>15.91855481032834</v>
      </c>
      <c r="AA205" s="6">
        <f>('TE BE'!$AB$16+'TE BF'!$AB$16+'TE CVA'!$AB$16)*1</f>
        <v>220.39434315508052</v>
      </c>
      <c r="AB205" s="6">
        <f t="shared" si="14"/>
        <v>0</v>
      </c>
      <c r="AC205" s="6">
        <f t="shared" si="15"/>
        <v>0</v>
      </c>
      <c r="AD205" s="6">
        <f t="shared" ca="1" si="16"/>
        <v>0</v>
      </c>
      <c r="AE205" s="6">
        <f t="shared" ca="1" si="17"/>
        <v>0</v>
      </c>
      <c r="AF205" s="4" t="s">
        <v>937</v>
      </c>
    </row>
    <row r="206" spans="1:32" ht="11.25" customHeight="1" x14ac:dyDescent="0.25">
      <c r="A206" s="4" t="s">
        <v>59</v>
      </c>
      <c r="B206" s="4" t="s">
        <v>41</v>
      </c>
      <c r="C206" s="4" t="s">
        <v>62</v>
      </c>
      <c r="D206" s="4" t="s">
        <v>25</v>
      </c>
      <c r="E206" s="4" t="s">
        <v>25</v>
      </c>
      <c r="F206" s="4" t="s">
        <v>25</v>
      </c>
      <c r="G206" s="4" t="s">
        <v>63</v>
      </c>
      <c r="H206" s="4" t="s">
        <v>36</v>
      </c>
      <c r="I206" s="5">
        <v>44866</v>
      </c>
      <c r="J206" s="6">
        <v>1825</v>
      </c>
      <c r="K206" s="6">
        <v>1825</v>
      </c>
      <c r="L206" s="6">
        <v>93.472999999999999</v>
      </c>
      <c r="M206" s="6">
        <v>93.472999999999999</v>
      </c>
      <c r="N206" s="6">
        <v>0</v>
      </c>
      <c r="O206" s="6">
        <v>0</v>
      </c>
      <c r="P206" s="6">
        <v>0</v>
      </c>
      <c r="Q206" s="4" t="s">
        <v>64</v>
      </c>
      <c r="R206" s="4">
        <v>7019</v>
      </c>
      <c r="S206" s="4">
        <v>23</v>
      </c>
      <c r="T206" s="4">
        <v>25</v>
      </c>
      <c r="U206" s="4">
        <v>0</v>
      </c>
      <c r="V206" s="6">
        <f>IF(ISERROR(VLOOKUP($S$206,'TAR FIN'!$A$1:$O$115,15,0)),0,VLOOKUP($S$206,'TAR FIN'!$A$1:$O$115,15,0))</f>
        <v>15.78</v>
      </c>
      <c r="W206" s="6">
        <f>IF(ISERROR(VLOOKUP($T$206,'TAR FIN'!$A$1:$O$115,15,0)),0,VLOOKUP($T$206,'TAR FIN'!$A$1:$O$115,15,0))</f>
        <v>10.28</v>
      </c>
      <c r="X206" s="6">
        <f>IF(ISERROR(VLOOKUP($U$206,'TAR FIN'!$A$1:$O$115,15,0)),0,VLOOKUP($U$206,'TAR FIN'!$A$1:$O$115,15,0))</f>
        <v>0</v>
      </c>
      <c r="Y206" s="6">
        <f ca="1">('TUSD BE'!$AM$23+'TUSD BF'!$AM$23+'TUSD CVA'!$AM$23)*1</f>
        <v>18.687987492602183</v>
      </c>
      <c r="Z206" s="6">
        <f ca="1">('TUSD BE'!$AM$25+'TUSD BF'!$AM$25+'TUSD CVA'!$AM$25)*1</f>
        <v>15.91855481032834</v>
      </c>
      <c r="AA206" s="6">
        <f>('TE BE'!$AB$16+'TE BF'!$AB$16+'TE CVA'!$AB$16)*1</f>
        <v>220.39434315508052</v>
      </c>
      <c r="AB206" s="6">
        <f t="shared" si="14"/>
        <v>0</v>
      </c>
      <c r="AC206" s="6">
        <f t="shared" si="15"/>
        <v>0</v>
      </c>
      <c r="AD206" s="6">
        <f t="shared" ca="1" si="16"/>
        <v>0</v>
      </c>
      <c r="AE206" s="6">
        <f t="shared" ca="1" si="17"/>
        <v>0</v>
      </c>
      <c r="AF206" s="4" t="s">
        <v>937</v>
      </c>
    </row>
    <row r="207" spans="1:32" ht="11.25" customHeight="1" x14ac:dyDescent="0.25">
      <c r="A207" s="4" t="s">
        <v>21</v>
      </c>
      <c r="B207" s="4" t="s">
        <v>41</v>
      </c>
      <c r="C207" s="4" t="s">
        <v>44</v>
      </c>
      <c r="D207" s="4" t="s">
        <v>40</v>
      </c>
      <c r="E207" s="4" t="s">
        <v>25</v>
      </c>
      <c r="F207" s="4" t="s">
        <v>60</v>
      </c>
      <c r="G207" s="4" t="s">
        <v>25</v>
      </c>
      <c r="H207" s="4" t="s">
        <v>37</v>
      </c>
      <c r="I207" s="5">
        <v>44531</v>
      </c>
      <c r="J207" s="6">
        <v>0</v>
      </c>
      <c r="K207" s="6">
        <v>0</v>
      </c>
      <c r="L207" s="6">
        <v>2450.3670000000002</v>
      </c>
      <c r="M207" s="6">
        <v>2450.3670000000002</v>
      </c>
      <c r="N207" s="6">
        <v>0</v>
      </c>
      <c r="O207" s="6">
        <v>0</v>
      </c>
      <c r="P207" s="6">
        <v>0</v>
      </c>
      <c r="Q207" s="4" t="s">
        <v>61</v>
      </c>
      <c r="R207" s="4">
        <v>0</v>
      </c>
      <c r="S207" s="4">
        <v>0</v>
      </c>
      <c r="T207" s="4">
        <v>29</v>
      </c>
      <c r="U207" s="4">
        <v>0</v>
      </c>
      <c r="V207" s="6">
        <f>IF(ISERROR(VLOOKUP($S$207,'TAR FIN'!$A$1:$O$115,15,0)),0,VLOOKUP($S$207,'TAR FIN'!$A$1:$O$115,15,0))</f>
        <v>0</v>
      </c>
      <c r="W207" s="6">
        <f>IF(ISERROR(VLOOKUP($T$207,'TAR FIN'!$A$1:$O$115,15,0)),0,VLOOKUP($T$207,'TAR FIN'!$A$1:$O$115,15,0))</f>
        <v>84.31</v>
      </c>
      <c r="X207" s="6">
        <f>IF(ISERROR(VLOOKUP($U$207,'TAR FIN'!$A$1:$O$115,15,0)),0,VLOOKUP($U$207,'TAR FIN'!$A$1:$O$115,15,0))</f>
        <v>0</v>
      </c>
      <c r="Y207" s="6"/>
      <c r="Z207" s="6">
        <f ca="1">('TUSD BE'!$AM$29+'TUSD BF'!$AM$29+'TUSD CVA'!$AM$29)*1</f>
        <v>113.43121292628391</v>
      </c>
      <c r="AA207" s="6"/>
      <c r="AB207" s="6">
        <f t="shared" si="14"/>
        <v>0</v>
      </c>
      <c r="AC207" s="6">
        <f t="shared" si="15"/>
        <v>0</v>
      </c>
      <c r="AD207" s="6">
        <f t="shared" si="16"/>
        <v>0</v>
      </c>
      <c r="AE207" s="6">
        <f t="shared" ca="1" si="17"/>
        <v>0</v>
      </c>
      <c r="AF207" s="4" t="s">
        <v>936</v>
      </c>
    </row>
    <row r="208" spans="1:32" ht="11.25" customHeight="1" x14ac:dyDescent="0.25">
      <c r="A208" s="4" t="s">
        <v>21</v>
      </c>
      <c r="B208" s="4" t="s">
        <v>41</v>
      </c>
      <c r="C208" s="4" t="s">
        <v>44</v>
      </c>
      <c r="D208" s="4" t="s">
        <v>40</v>
      </c>
      <c r="E208" s="4" t="s">
        <v>25</v>
      </c>
      <c r="F208" s="4" t="s">
        <v>60</v>
      </c>
      <c r="G208" s="4" t="s">
        <v>25</v>
      </c>
      <c r="H208" s="4" t="s">
        <v>37</v>
      </c>
      <c r="I208" s="5">
        <v>44562</v>
      </c>
      <c r="J208" s="6">
        <v>0</v>
      </c>
      <c r="K208" s="6">
        <v>0</v>
      </c>
      <c r="L208" s="6">
        <v>2744.922</v>
      </c>
      <c r="M208" s="6">
        <v>2744.922</v>
      </c>
      <c r="N208" s="6">
        <v>0</v>
      </c>
      <c r="O208" s="6">
        <v>0</v>
      </c>
      <c r="P208" s="6">
        <v>0</v>
      </c>
      <c r="Q208" s="4" t="s">
        <v>61</v>
      </c>
      <c r="R208" s="4">
        <v>0</v>
      </c>
      <c r="S208" s="4">
        <v>0</v>
      </c>
      <c r="T208" s="4">
        <v>29</v>
      </c>
      <c r="U208" s="4">
        <v>0</v>
      </c>
      <c r="V208" s="6">
        <f>IF(ISERROR(VLOOKUP($S$208,'TAR FIN'!$A$1:$O$115,15,0)),0,VLOOKUP($S$208,'TAR FIN'!$A$1:$O$115,15,0))</f>
        <v>0</v>
      </c>
      <c r="W208" s="6">
        <f>IF(ISERROR(VLOOKUP($T$208,'TAR FIN'!$A$1:$O$115,15,0)),0,VLOOKUP($T$208,'TAR FIN'!$A$1:$O$115,15,0))</f>
        <v>84.31</v>
      </c>
      <c r="X208" s="6">
        <f>IF(ISERROR(VLOOKUP($U$208,'TAR FIN'!$A$1:$O$115,15,0)),0,VLOOKUP($U$208,'TAR FIN'!$A$1:$O$115,15,0))</f>
        <v>0</v>
      </c>
      <c r="Y208" s="6"/>
      <c r="Z208" s="6">
        <f ca="1">('TUSD BE'!$AM$29+'TUSD BF'!$AM$29+'TUSD CVA'!$AM$29)*1</f>
        <v>113.43121292628391</v>
      </c>
      <c r="AA208" s="6"/>
      <c r="AB208" s="6">
        <f t="shared" si="14"/>
        <v>0</v>
      </c>
      <c r="AC208" s="6">
        <f t="shared" si="15"/>
        <v>0</v>
      </c>
      <c r="AD208" s="6">
        <f t="shared" si="16"/>
        <v>0</v>
      </c>
      <c r="AE208" s="6">
        <f t="shared" ca="1" si="17"/>
        <v>0</v>
      </c>
      <c r="AF208" s="4" t="s">
        <v>936</v>
      </c>
    </row>
    <row r="209" spans="1:32" ht="11.25" customHeight="1" x14ac:dyDescent="0.25">
      <c r="A209" s="4" t="s">
        <v>21</v>
      </c>
      <c r="B209" s="4" t="s">
        <v>41</v>
      </c>
      <c r="C209" s="4" t="s">
        <v>44</v>
      </c>
      <c r="D209" s="4" t="s">
        <v>40</v>
      </c>
      <c r="E209" s="4" t="s">
        <v>25</v>
      </c>
      <c r="F209" s="4" t="s">
        <v>60</v>
      </c>
      <c r="G209" s="4" t="s">
        <v>25</v>
      </c>
      <c r="H209" s="4" t="s">
        <v>37</v>
      </c>
      <c r="I209" s="5">
        <v>44593</v>
      </c>
      <c r="J209" s="6">
        <v>0</v>
      </c>
      <c r="K209" s="6">
        <v>0</v>
      </c>
      <c r="L209" s="6">
        <v>2716.1419999999998</v>
      </c>
      <c r="M209" s="6">
        <v>2716.1419999999998</v>
      </c>
      <c r="N209" s="6">
        <v>0</v>
      </c>
      <c r="O209" s="6">
        <v>0</v>
      </c>
      <c r="P209" s="6">
        <v>0</v>
      </c>
      <c r="Q209" s="4" t="s">
        <v>61</v>
      </c>
      <c r="R209" s="4">
        <v>0</v>
      </c>
      <c r="S209" s="4">
        <v>0</v>
      </c>
      <c r="T209" s="4">
        <v>29</v>
      </c>
      <c r="U209" s="4">
        <v>0</v>
      </c>
      <c r="V209" s="6">
        <f>IF(ISERROR(VLOOKUP($S$209,'TAR FIN'!$A$1:$O$115,15,0)),0,VLOOKUP($S$209,'TAR FIN'!$A$1:$O$115,15,0))</f>
        <v>0</v>
      </c>
      <c r="W209" s="6">
        <f>IF(ISERROR(VLOOKUP($T$209,'TAR FIN'!$A$1:$O$115,15,0)),0,VLOOKUP($T$209,'TAR FIN'!$A$1:$O$115,15,0))</f>
        <v>84.31</v>
      </c>
      <c r="X209" s="6">
        <f>IF(ISERROR(VLOOKUP($U$209,'TAR FIN'!$A$1:$O$115,15,0)),0,VLOOKUP($U$209,'TAR FIN'!$A$1:$O$115,15,0))</f>
        <v>0</v>
      </c>
      <c r="Y209" s="6"/>
      <c r="Z209" s="6">
        <f ca="1">('TUSD BE'!$AM$29+'TUSD BF'!$AM$29+'TUSD CVA'!$AM$29)*1</f>
        <v>113.43121292628391</v>
      </c>
      <c r="AA209" s="6"/>
      <c r="AB209" s="6">
        <f t="shared" si="14"/>
        <v>0</v>
      </c>
      <c r="AC209" s="6">
        <f t="shared" si="15"/>
        <v>0</v>
      </c>
      <c r="AD209" s="6">
        <f t="shared" si="16"/>
        <v>0</v>
      </c>
      <c r="AE209" s="6">
        <f t="shared" ca="1" si="17"/>
        <v>0</v>
      </c>
      <c r="AF209" s="4" t="s">
        <v>936</v>
      </c>
    </row>
    <row r="210" spans="1:32" ht="11.25" customHeight="1" x14ac:dyDescent="0.25">
      <c r="A210" s="4" t="s">
        <v>21</v>
      </c>
      <c r="B210" s="4" t="s">
        <v>41</v>
      </c>
      <c r="C210" s="4" t="s">
        <v>44</v>
      </c>
      <c r="D210" s="4" t="s">
        <v>40</v>
      </c>
      <c r="E210" s="4" t="s">
        <v>25</v>
      </c>
      <c r="F210" s="4" t="s">
        <v>60</v>
      </c>
      <c r="G210" s="4" t="s">
        <v>25</v>
      </c>
      <c r="H210" s="4" t="s">
        <v>37</v>
      </c>
      <c r="I210" s="5">
        <v>44621</v>
      </c>
      <c r="J210" s="6">
        <v>0</v>
      </c>
      <c r="K210" s="6">
        <v>0</v>
      </c>
      <c r="L210" s="6">
        <v>2189.94</v>
      </c>
      <c r="M210" s="6">
        <v>2189.94</v>
      </c>
      <c r="N210" s="6">
        <v>0</v>
      </c>
      <c r="O210" s="6">
        <v>0</v>
      </c>
      <c r="P210" s="6">
        <v>0</v>
      </c>
      <c r="Q210" s="4" t="s">
        <v>61</v>
      </c>
      <c r="R210" s="4">
        <v>0</v>
      </c>
      <c r="S210" s="4">
        <v>0</v>
      </c>
      <c r="T210" s="4">
        <v>29</v>
      </c>
      <c r="U210" s="4">
        <v>0</v>
      </c>
      <c r="V210" s="6">
        <f>IF(ISERROR(VLOOKUP($S$210,'TAR FIN'!$A$1:$O$115,15,0)),0,VLOOKUP($S$210,'TAR FIN'!$A$1:$O$115,15,0))</f>
        <v>0</v>
      </c>
      <c r="W210" s="6">
        <f>IF(ISERROR(VLOOKUP($T$210,'TAR FIN'!$A$1:$O$115,15,0)),0,VLOOKUP($T$210,'TAR FIN'!$A$1:$O$115,15,0))</f>
        <v>84.31</v>
      </c>
      <c r="X210" s="6">
        <f>IF(ISERROR(VLOOKUP($U$210,'TAR FIN'!$A$1:$O$115,15,0)),0,VLOOKUP($U$210,'TAR FIN'!$A$1:$O$115,15,0))</f>
        <v>0</v>
      </c>
      <c r="Y210" s="6"/>
      <c r="Z210" s="6">
        <f ca="1">('TUSD BE'!$AM$29+'TUSD BF'!$AM$29+'TUSD CVA'!$AM$29)*1</f>
        <v>113.43121292628391</v>
      </c>
      <c r="AA210" s="6"/>
      <c r="AB210" s="6">
        <f t="shared" si="14"/>
        <v>0</v>
      </c>
      <c r="AC210" s="6">
        <f t="shared" si="15"/>
        <v>0</v>
      </c>
      <c r="AD210" s="6">
        <f t="shared" si="16"/>
        <v>0</v>
      </c>
      <c r="AE210" s="6">
        <f t="shared" ca="1" si="17"/>
        <v>0</v>
      </c>
      <c r="AF210" s="4" t="s">
        <v>936</v>
      </c>
    </row>
    <row r="211" spans="1:32" ht="11.25" customHeight="1" x14ac:dyDescent="0.25">
      <c r="A211" s="4" t="s">
        <v>21</v>
      </c>
      <c r="B211" s="4" t="s">
        <v>41</v>
      </c>
      <c r="C211" s="4" t="s">
        <v>44</v>
      </c>
      <c r="D211" s="4" t="s">
        <v>40</v>
      </c>
      <c r="E211" s="4" t="s">
        <v>25</v>
      </c>
      <c r="F211" s="4" t="s">
        <v>60</v>
      </c>
      <c r="G211" s="4" t="s">
        <v>25</v>
      </c>
      <c r="H211" s="4" t="s">
        <v>37</v>
      </c>
      <c r="I211" s="5">
        <v>44652</v>
      </c>
      <c r="J211" s="6">
        <v>0</v>
      </c>
      <c r="K211" s="6">
        <v>0</v>
      </c>
      <c r="L211" s="6">
        <v>2757.8380000000002</v>
      </c>
      <c r="M211" s="6">
        <v>2757.8380000000002</v>
      </c>
      <c r="N211" s="6">
        <v>0</v>
      </c>
      <c r="O211" s="6">
        <v>0</v>
      </c>
      <c r="P211" s="6">
        <v>0</v>
      </c>
      <c r="Q211" s="4" t="s">
        <v>61</v>
      </c>
      <c r="R211" s="4">
        <v>0</v>
      </c>
      <c r="S211" s="4">
        <v>0</v>
      </c>
      <c r="T211" s="4">
        <v>29</v>
      </c>
      <c r="U211" s="4">
        <v>0</v>
      </c>
      <c r="V211" s="6">
        <f>IF(ISERROR(VLOOKUP($S$211,'TAR FIN'!$A$1:$O$115,15,0)),0,VLOOKUP($S$211,'TAR FIN'!$A$1:$O$115,15,0))</f>
        <v>0</v>
      </c>
      <c r="W211" s="6">
        <f>IF(ISERROR(VLOOKUP($T$211,'TAR FIN'!$A$1:$O$115,15,0)),0,VLOOKUP($T$211,'TAR FIN'!$A$1:$O$115,15,0))</f>
        <v>84.31</v>
      </c>
      <c r="X211" s="6">
        <f>IF(ISERROR(VLOOKUP($U$211,'TAR FIN'!$A$1:$O$115,15,0)),0,VLOOKUP($U$211,'TAR FIN'!$A$1:$O$115,15,0))</f>
        <v>0</v>
      </c>
      <c r="Y211" s="6"/>
      <c r="Z211" s="6">
        <f ca="1">('TUSD BE'!$AM$29+'TUSD BF'!$AM$29+'TUSD CVA'!$AM$29)*1</f>
        <v>113.43121292628391</v>
      </c>
      <c r="AA211" s="6"/>
      <c r="AB211" s="6">
        <f t="shared" si="14"/>
        <v>0</v>
      </c>
      <c r="AC211" s="6">
        <f t="shared" si="15"/>
        <v>0</v>
      </c>
      <c r="AD211" s="6">
        <f t="shared" si="16"/>
        <v>0</v>
      </c>
      <c r="AE211" s="6">
        <f t="shared" ca="1" si="17"/>
        <v>0</v>
      </c>
      <c r="AF211" s="4" t="s">
        <v>936</v>
      </c>
    </row>
    <row r="212" spans="1:32" ht="11.25" customHeight="1" x14ac:dyDescent="0.25">
      <c r="A212" s="4" t="s">
        <v>21</v>
      </c>
      <c r="B212" s="4" t="s">
        <v>41</v>
      </c>
      <c r="C212" s="4" t="s">
        <v>44</v>
      </c>
      <c r="D212" s="4" t="s">
        <v>40</v>
      </c>
      <c r="E212" s="4" t="s">
        <v>25</v>
      </c>
      <c r="F212" s="4" t="s">
        <v>60</v>
      </c>
      <c r="G212" s="4" t="s">
        <v>25</v>
      </c>
      <c r="H212" s="4" t="s">
        <v>37</v>
      </c>
      <c r="I212" s="5">
        <v>44682</v>
      </c>
      <c r="J212" s="6">
        <v>0</v>
      </c>
      <c r="K212" s="6">
        <v>0</v>
      </c>
      <c r="L212" s="6">
        <v>2743.1109999999999</v>
      </c>
      <c r="M212" s="6">
        <v>2743.1109999999999</v>
      </c>
      <c r="N212" s="6">
        <v>0</v>
      </c>
      <c r="O212" s="6">
        <v>0</v>
      </c>
      <c r="P212" s="6">
        <v>0</v>
      </c>
      <c r="Q212" s="4" t="s">
        <v>61</v>
      </c>
      <c r="R212" s="4">
        <v>0</v>
      </c>
      <c r="S212" s="4">
        <v>0</v>
      </c>
      <c r="T212" s="4">
        <v>29</v>
      </c>
      <c r="U212" s="4">
        <v>0</v>
      </c>
      <c r="V212" s="6">
        <f>IF(ISERROR(VLOOKUP($S$212,'TAR FIN'!$A$1:$O$115,15,0)),0,VLOOKUP($S$212,'TAR FIN'!$A$1:$O$115,15,0))</f>
        <v>0</v>
      </c>
      <c r="W212" s="6">
        <f>IF(ISERROR(VLOOKUP($T$212,'TAR FIN'!$A$1:$O$115,15,0)),0,VLOOKUP($T$212,'TAR FIN'!$A$1:$O$115,15,0))</f>
        <v>84.31</v>
      </c>
      <c r="X212" s="6">
        <f>IF(ISERROR(VLOOKUP($U$212,'TAR FIN'!$A$1:$O$115,15,0)),0,VLOOKUP($U$212,'TAR FIN'!$A$1:$O$115,15,0))</f>
        <v>0</v>
      </c>
      <c r="Y212" s="6"/>
      <c r="Z212" s="6">
        <f ca="1">('TUSD BE'!$AM$29+'TUSD BF'!$AM$29+'TUSD CVA'!$AM$29)*1</f>
        <v>113.43121292628391</v>
      </c>
      <c r="AA212" s="6"/>
      <c r="AB212" s="6">
        <f t="shared" si="14"/>
        <v>0</v>
      </c>
      <c r="AC212" s="6">
        <f t="shared" si="15"/>
        <v>0</v>
      </c>
      <c r="AD212" s="6">
        <f t="shared" si="16"/>
        <v>0</v>
      </c>
      <c r="AE212" s="6">
        <f t="shared" ca="1" si="17"/>
        <v>0</v>
      </c>
      <c r="AF212" s="4" t="s">
        <v>936</v>
      </c>
    </row>
    <row r="213" spans="1:32" ht="11.25" customHeight="1" x14ac:dyDescent="0.25">
      <c r="A213" s="4" t="s">
        <v>21</v>
      </c>
      <c r="B213" s="4" t="s">
        <v>41</v>
      </c>
      <c r="C213" s="4" t="s">
        <v>44</v>
      </c>
      <c r="D213" s="4" t="s">
        <v>40</v>
      </c>
      <c r="E213" s="4" t="s">
        <v>25</v>
      </c>
      <c r="F213" s="4" t="s">
        <v>60</v>
      </c>
      <c r="G213" s="4" t="s">
        <v>25</v>
      </c>
      <c r="H213" s="4" t="s">
        <v>37</v>
      </c>
      <c r="I213" s="5">
        <v>44713</v>
      </c>
      <c r="J213" s="6">
        <v>0</v>
      </c>
      <c r="K213" s="6">
        <v>0</v>
      </c>
      <c r="L213" s="6">
        <v>2862.6149999999998</v>
      </c>
      <c r="M213" s="6">
        <v>2862.6149999999998</v>
      </c>
      <c r="N213" s="6">
        <v>0</v>
      </c>
      <c r="O213" s="6">
        <v>0</v>
      </c>
      <c r="P213" s="6">
        <v>0</v>
      </c>
      <c r="Q213" s="4" t="s">
        <v>61</v>
      </c>
      <c r="R213" s="4">
        <v>0</v>
      </c>
      <c r="S213" s="4">
        <v>0</v>
      </c>
      <c r="T213" s="4">
        <v>29</v>
      </c>
      <c r="U213" s="4">
        <v>0</v>
      </c>
      <c r="V213" s="6">
        <f>IF(ISERROR(VLOOKUP($S$213,'TAR FIN'!$A$1:$O$115,15,0)),0,VLOOKUP($S$213,'TAR FIN'!$A$1:$O$115,15,0))</f>
        <v>0</v>
      </c>
      <c r="W213" s="6">
        <f>IF(ISERROR(VLOOKUP($T$213,'TAR FIN'!$A$1:$O$115,15,0)),0,VLOOKUP($T$213,'TAR FIN'!$A$1:$O$115,15,0))</f>
        <v>84.31</v>
      </c>
      <c r="X213" s="6">
        <f>IF(ISERROR(VLOOKUP($U$213,'TAR FIN'!$A$1:$O$115,15,0)),0,VLOOKUP($U$213,'TAR FIN'!$A$1:$O$115,15,0))</f>
        <v>0</v>
      </c>
      <c r="Y213" s="6"/>
      <c r="Z213" s="6">
        <f ca="1">('TUSD BE'!$AM$29+'TUSD BF'!$AM$29+'TUSD CVA'!$AM$29)*1</f>
        <v>113.43121292628391</v>
      </c>
      <c r="AA213" s="6"/>
      <c r="AB213" s="6">
        <f t="shared" si="14"/>
        <v>0</v>
      </c>
      <c r="AC213" s="6">
        <f t="shared" si="15"/>
        <v>0</v>
      </c>
      <c r="AD213" s="6">
        <f t="shared" si="16"/>
        <v>0</v>
      </c>
      <c r="AE213" s="6">
        <f t="shared" ca="1" si="17"/>
        <v>0</v>
      </c>
      <c r="AF213" s="4" t="s">
        <v>936</v>
      </c>
    </row>
    <row r="214" spans="1:32" ht="11.25" customHeight="1" x14ac:dyDescent="0.25">
      <c r="A214" s="4" t="s">
        <v>21</v>
      </c>
      <c r="B214" s="4" t="s">
        <v>41</v>
      </c>
      <c r="C214" s="4" t="s">
        <v>44</v>
      </c>
      <c r="D214" s="4" t="s">
        <v>40</v>
      </c>
      <c r="E214" s="4" t="s">
        <v>25</v>
      </c>
      <c r="F214" s="4" t="s">
        <v>60</v>
      </c>
      <c r="G214" s="4" t="s">
        <v>25</v>
      </c>
      <c r="H214" s="4" t="s">
        <v>37</v>
      </c>
      <c r="I214" s="5">
        <v>44743</v>
      </c>
      <c r="J214" s="6">
        <v>0</v>
      </c>
      <c r="K214" s="6">
        <v>0</v>
      </c>
      <c r="L214" s="6">
        <v>2650.5569999999998</v>
      </c>
      <c r="M214" s="6">
        <v>2650.5569999999998</v>
      </c>
      <c r="N214" s="6">
        <v>0</v>
      </c>
      <c r="O214" s="6">
        <v>0</v>
      </c>
      <c r="P214" s="6">
        <v>0</v>
      </c>
      <c r="Q214" s="4" t="s">
        <v>61</v>
      </c>
      <c r="R214" s="4">
        <v>0</v>
      </c>
      <c r="S214" s="4">
        <v>0</v>
      </c>
      <c r="T214" s="4">
        <v>29</v>
      </c>
      <c r="U214" s="4">
        <v>0</v>
      </c>
      <c r="V214" s="6">
        <f>IF(ISERROR(VLOOKUP($S$214,'TAR FIN'!$A$1:$O$115,15,0)),0,VLOOKUP($S$214,'TAR FIN'!$A$1:$O$115,15,0))</f>
        <v>0</v>
      </c>
      <c r="W214" s="6">
        <f>IF(ISERROR(VLOOKUP($T$214,'TAR FIN'!$A$1:$O$115,15,0)),0,VLOOKUP($T$214,'TAR FIN'!$A$1:$O$115,15,0))</f>
        <v>84.31</v>
      </c>
      <c r="X214" s="6">
        <f>IF(ISERROR(VLOOKUP($U$214,'TAR FIN'!$A$1:$O$115,15,0)),0,VLOOKUP($U$214,'TAR FIN'!$A$1:$O$115,15,0))</f>
        <v>0</v>
      </c>
      <c r="Y214" s="6"/>
      <c r="Z214" s="6">
        <f ca="1">('TUSD BE'!$AM$29+'TUSD BF'!$AM$29+'TUSD CVA'!$AM$29)*1</f>
        <v>113.43121292628391</v>
      </c>
      <c r="AA214" s="6"/>
      <c r="AB214" s="6">
        <f t="shared" si="14"/>
        <v>0</v>
      </c>
      <c r="AC214" s="6">
        <f t="shared" si="15"/>
        <v>0</v>
      </c>
      <c r="AD214" s="6">
        <f t="shared" si="16"/>
        <v>0</v>
      </c>
      <c r="AE214" s="6">
        <f t="shared" ca="1" si="17"/>
        <v>0</v>
      </c>
      <c r="AF214" s="4" t="s">
        <v>936</v>
      </c>
    </row>
    <row r="215" spans="1:32" ht="11.25" customHeight="1" x14ac:dyDescent="0.25">
      <c r="A215" s="4" t="s">
        <v>21</v>
      </c>
      <c r="B215" s="4" t="s">
        <v>41</v>
      </c>
      <c r="C215" s="4" t="s">
        <v>44</v>
      </c>
      <c r="D215" s="4" t="s">
        <v>40</v>
      </c>
      <c r="E215" s="4" t="s">
        <v>25</v>
      </c>
      <c r="F215" s="4" t="s">
        <v>60</v>
      </c>
      <c r="G215" s="4" t="s">
        <v>25</v>
      </c>
      <c r="H215" s="4" t="s">
        <v>37</v>
      </c>
      <c r="I215" s="5">
        <v>44774</v>
      </c>
      <c r="J215" s="6">
        <v>0</v>
      </c>
      <c r="K215" s="6">
        <v>0</v>
      </c>
      <c r="L215" s="6">
        <v>2895.6869999999999</v>
      </c>
      <c r="M215" s="6">
        <v>2895.6869999999999</v>
      </c>
      <c r="N215" s="6">
        <v>0</v>
      </c>
      <c r="O215" s="6">
        <v>0</v>
      </c>
      <c r="P215" s="6">
        <v>0</v>
      </c>
      <c r="Q215" s="4" t="s">
        <v>61</v>
      </c>
      <c r="R215" s="4">
        <v>0</v>
      </c>
      <c r="S215" s="4">
        <v>0</v>
      </c>
      <c r="T215" s="4">
        <v>29</v>
      </c>
      <c r="U215" s="4">
        <v>0</v>
      </c>
      <c r="V215" s="6">
        <f>IF(ISERROR(VLOOKUP($S$215,'TAR FIN'!$A$1:$O$115,15,0)),0,VLOOKUP($S$215,'TAR FIN'!$A$1:$O$115,15,0))</f>
        <v>0</v>
      </c>
      <c r="W215" s="6">
        <f>IF(ISERROR(VLOOKUP($T$215,'TAR FIN'!$A$1:$O$115,15,0)),0,VLOOKUP($T$215,'TAR FIN'!$A$1:$O$115,15,0))</f>
        <v>84.31</v>
      </c>
      <c r="X215" s="6">
        <f>IF(ISERROR(VLOOKUP($U$215,'TAR FIN'!$A$1:$O$115,15,0)),0,VLOOKUP($U$215,'TAR FIN'!$A$1:$O$115,15,0))</f>
        <v>0</v>
      </c>
      <c r="Y215" s="6"/>
      <c r="Z215" s="6">
        <f ca="1">('TUSD BE'!$AM$29+'TUSD BF'!$AM$29+'TUSD CVA'!$AM$29)*1</f>
        <v>113.43121292628391</v>
      </c>
      <c r="AA215" s="6"/>
      <c r="AB215" s="6">
        <f t="shared" si="14"/>
        <v>0</v>
      </c>
      <c r="AC215" s="6">
        <f t="shared" si="15"/>
        <v>0</v>
      </c>
      <c r="AD215" s="6">
        <f t="shared" si="16"/>
        <v>0</v>
      </c>
      <c r="AE215" s="6">
        <f t="shared" ca="1" si="17"/>
        <v>0</v>
      </c>
      <c r="AF215" s="4" t="s">
        <v>936</v>
      </c>
    </row>
    <row r="216" spans="1:32" ht="11.25" customHeight="1" x14ac:dyDescent="0.25">
      <c r="A216" s="4" t="s">
        <v>21</v>
      </c>
      <c r="B216" s="4" t="s">
        <v>41</v>
      </c>
      <c r="C216" s="4" t="s">
        <v>44</v>
      </c>
      <c r="D216" s="4" t="s">
        <v>40</v>
      </c>
      <c r="E216" s="4" t="s">
        <v>25</v>
      </c>
      <c r="F216" s="4" t="s">
        <v>60</v>
      </c>
      <c r="G216" s="4" t="s">
        <v>25</v>
      </c>
      <c r="H216" s="4" t="s">
        <v>37</v>
      </c>
      <c r="I216" s="5">
        <v>44805</v>
      </c>
      <c r="J216" s="6">
        <v>0</v>
      </c>
      <c r="K216" s="6">
        <v>0</v>
      </c>
      <c r="L216" s="6">
        <v>2887.0039999999999</v>
      </c>
      <c r="M216" s="6">
        <v>2887.0039999999999</v>
      </c>
      <c r="N216" s="6">
        <v>0</v>
      </c>
      <c r="O216" s="6">
        <v>0</v>
      </c>
      <c r="P216" s="6">
        <v>0</v>
      </c>
      <c r="Q216" s="4" t="s">
        <v>61</v>
      </c>
      <c r="R216" s="4">
        <v>0</v>
      </c>
      <c r="S216" s="4">
        <v>0</v>
      </c>
      <c r="T216" s="4">
        <v>29</v>
      </c>
      <c r="U216" s="4">
        <v>0</v>
      </c>
      <c r="V216" s="6">
        <f>IF(ISERROR(VLOOKUP($S$216,'TAR FIN'!$A$1:$O$115,15,0)),0,VLOOKUP($S$216,'TAR FIN'!$A$1:$O$115,15,0))</f>
        <v>0</v>
      </c>
      <c r="W216" s="6">
        <f>IF(ISERROR(VLOOKUP($T$216,'TAR FIN'!$A$1:$O$115,15,0)),0,VLOOKUP($T$216,'TAR FIN'!$A$1:$O$115,15,0))</f>
        <v>84.31</v>
      </c>
      <c r="X216" s="6">
        <f>IF(ISERROR(VLOOKUP($U$216,'TAR FIN'!$A$1:$O$115,15,0)),0,VLOOKUP($U$216,'TAR FIN'!$A$1:$O$115,15,0))</f>
        <v>0</v>
      </c>
      <c r="Y216" s="6"/>
      <c r="Z216" s="6">
        <f ca="1">('TUSD BE'!$AM$29+'TUSD BF'!$AM$29+'TUSD CVA'!$AM$29)*1</f>
        <v>113.43121292628391</v>
      </c>
      <c r="AA216" s="6"/>
      <c r="AB216" s="6">
        <f t="shared" si="14"/>
        <v>0</v>
      </c>
      <c r="AC216" s="6">
        <f t="shared" si="15"/>
        <v>0</v>
      </c>
      <c r="AD216" s="6">
        <f t="shared" si="16"/>
        <v>0</v>
      </c>
      <c r="AE216" s="6">
        <f t="shared" ca="1" si="17"/>
        <v>0</v>
      </c>
      <c r="AF216" s="4" t="s">
        <v>936</v>
      </c>
    </row>
    <row r="217" spans="1:32" ht="11.25" customHeight="1" x14ac:dyDescent="0.25">
      <c r="A217" s="4" t="s">
        <v>21</v>
      </c>
      <c r="B217" s="4" t="s">
        <v>41</v>
      </c>
      <c r="C217" s="4" t="s">
        <v>44</v>
      </c>
      <c r="D217" s="4" t="s">
        <v>40</v>
      </c>
      <c r="E217" s="4" t="s">
        <v>25</v>
      </c>
      <c r="F217" s="4" t="s">
        <v>60</v>
      </c>
      <c r="G217" s="4" t="s">
        <v>25</v>
      </c>
      <c r="H217" s="4" t="s">
        <v>37</v>
      </c>
      <c r="I217" s="5">
        <v>44835</v>
      </c>
      <c r="J217" s="6">
        <v>0</v>
      </c>
      <c r="K217" s="6">
        <v>0</v>
      </c>
      <c r="L217" s="6">
        <v>2789.5140000000001</v>
      </c>
      <c r="M217" s="6">
        <v>2789.5140000000001</v>
      </c>
      <c r="N217" s="6">
        <v>0</v>
      </c>
      <c r="O217" s="6">
        <v>0</v>
      </c>
      <c r="P217" s="6">
        <v>0</v>
      </c>
      <c r="Q217" s="4" t="s">
        <v>61</v>
      </c>
      <c r="R217" s="4">
        <v>0</v>
      </c>
      <c r="S217" s="4">
        <v>0</v>
      </c>
      <c r="T217" s="4">
        <v>29</v>
      </c>
      <c r="U217" s="4">
        <v>0</v>
      </c>
      <c r="V217" s="6">
        <f>IF(ISERROR(VLOOKUP($S$217,'TAR FIN'!$A$1:$O$115,15,0)),0,VLOOKUP($S$217,'TAR FIN'!$A$1:$O$115,15,0))</f>
        <v>0</v>
      </c>
      <c r="W217" s="6">
        <f>IF(ISERROR(VLOOKUP($T$217,'TAR FIN'!$A$1:$O$115,15,0)),0,VLOOKUP($T$217,'TAR FIN'!$A$1:$O$115,15,0))</f>
        <v>84.31</v>
      </c>
      <c r="X217" s="6">
        <f>IF(ISERROR(VLOOKUP($U$217,'TAR FIN'!$A$1:$O$115,15,0)),0,VLOOKUP($U$217,'TAR FIN'!$A$1:$O$115,15,0))</f>
        <v>0</v>
      </c>
      <c r="Y217" s="6"/>
      <c r="Z217" s="6">
        <f ca="1">('TUSD BE'!$AM$29+'TUSD BF'!$AM$29+'TUSD CVA'!$AM$29)*1</f>
        <v>113.43121292628391</v>
      </c>
      <c r="AA217" s="6"/>
      <c r="AB217" s="6">
        <f t="shared" si="14"/>
        <v>0</v>
      </c>
      <c r="AC217" s="6">
        <f t="shared" si="15"/>
        <v>0</v>
      </c>
      <c r="AD217" s="6">
        <f t="shared" si="16"/>
        <v>0</v>
      </c>
      <c r="AE217" s="6">
        <f t="shared" ca="1" si="17"/>
        <v>0</v>
      </c>
      <c r="AF217" s="4" t="s">
        <v>936</v>
      </c>
    </row>
    <row r="218" spans="1:32" ht="11.25" customHeight="1" x14ac:dyDescent="0.25">
      <c r="A218" s="4" t="s">
        <v>59</v>
      </c>
      <c r="B218" s="4" t="s">
        <v>41</v>
      </c>
      <c r="C218" s="4" t="s">
        <v>44</v>
      </c>
      <c r="D218" s="4" t="s">
        <v>40</v>
      </c>
      <c r="E218" s="4" t="s">
        <v>25</v>
      </c>
      <c r="F218" s="4" t="s">
        <v>60</v>
      </c>
      <c r="G218" s="4" t="s">
        <v>25</v>
      </c>
      <c r="H218" s="4" t="s">
        <v>37</v>
      </c>
      <c r="I218" s="5">
        <v>44866</v>
      </c>
      <c r="J218" s="6">
        <v>0</v>
      </c>
      <c r="K218" s="6">
        <v>0</v>
      </c>
      <c r="L218" s="6">
        <v>2789.5140000000001</v>
      </c>
      <c r="M218" s="6">
        <v>2789.5140000000001</v>
      </c>
      <c r="N218" s="6">
        <v>0</v>
      </c>
      <c r="O218" s="6">
        <v>0</v>
      </c>
      <c r="P218" s="6">
        <v>0</v>
      </c>
      <c r="Q218" s="4" t="s">
        <v>61</v>
      </c>
      <c r="R218" s="4">
        <v>0</v>
      </c>
      <c r="S218" s="4">
        <v>0</v>
      </c>
      <c r="T218" s="4">
        <v>29</v>
      </c>
      <c r="U218" s="4">
        <v>0</v>
      </c>
      <c r="V218" s="6">
        <f>IF(ISERROR(VLOOKUP($S$218,'TAR FIN'!$A$1:$O$115,15,0)),0,VLOOKUP($S$218,'TAR FIN'!$A$1:$O$115,15,0))</f>
        <v>0</v>
      </c>
      <c r="W218" s="6">
        <f>IF(ISERROR(VLOOKUP($T$218,'TAR FIN'!$A$1:$O$115,15,0)),0,VLOOKUP($T$218,'TAR FIN'!$A$1:$O$115,15,0))</f>
        <v>84.31</v>
      </c>
      <c r="X218" s="6">
        <f>IF(ISERROR(VLOOKUP($U$218,'TAR FIN'!$A$1:$O$115,15,0)),0,VLOOKUP($U$218,'TAR FIN'!$A$1:$O$115,15,0))</f>
        <v>0</v>
      </c>
      <c r="Y218" s="6"/>
      <c r="Z218" s="6">
        <f ca="1">('TUSD BE'!$AM$29+'TUSD BF'!$AM$29+'TUSD CVA'!$AM$29)*1</f>
        <v>113.43121292628391</v>
      </c>
      <c r="AA218" s="6"/>
      <c r="AB218" s="6">
        <f t="shared" si="14"/>
        <v>0</v>
      </c>
      <c r="AC218" s="6">
        <f t="shared" si="15"/>
        <v>0</v>
      </c>
      <c r="AD218" s="6">
        <f t="shared" si="16"/>
        <v>0</v>
      </c>
      <c r="AE218" s="6">
        <f t="shared" ca="1" si="17"/>
        <v>0</v>
      </c>
      <c r="AF218" s="4" t="s">
        <v>936</v>
      </c>
    </row>
    <row r="219" spans="1:32" ht="11.25" customHeight="1" x14ac:dyDescent="0.25">
      <c r="A219" s="4" t="s">
        <v>21</v>
      </c>
      <c r="B219" s="4" t="s">
        <v>41</v>
      </c>
      <c r="C219" s="4" t="s">
        <v>44</v>
      </c>
      <c r="D219" s="4" t="s">
        <v>40</v>
      </c>
      <c r="E219" s="4" t="s">
        <v>25</v>
      </c>
      <c r="F219" s="4" t="s">
        <v>60</v>
      </c>
      <c r="G219" s="4" t="s">
        <v>25</v>
      </c>
      <c r="H219" s="4" t="s">
        <v>25</v>
      </c>
      <c r="I219" s="5">
        <v>44531</v>
      </c>
      <c r="J219" s="6">
        <v>10411</v>
      </c>
      <c r="K219" s="6">
        <v>4047.7968000000001</v>
      </c>
      <c r="L219" s="6">
        <v>0</v>
      </c>
      <c r="M219" s="6">
        <v>0</v>
      </c>
      <c r="N219" s="6">
        <v>0</v>
      </c>
      <c r="O219" s="6">
        <v>0</v>
      </c>
      <c r="P219" s="6">
        <v>24</v>
      </c>
      <c r="Q219" s="4" t="s">
        <v>61</v>
      </c>
      <c r="R219" s="4">
        <v>0</v>
      </c>
      <c r="S219" s="4">
        <v>27</v>
      </c>
      <c r="T219" s="4">
        <v>0</v>
      </c>
      <c r="U219" s="4">
        <v>0</v>
      </c>
      <c r="V219" s="6">
        <f>IF(ISERROR(VLOOKUP($S$219,'TAR FIN'!$A$1:$O$115,15,0)),0,VLOOKUP($S$219,'TAR FIN'!$A$1:$O$115,15,0))</f>
        <v>19.8</v>
      </c>
      <c r="W219" s="6">
        <f>IF(ISERROR(VLOOKUP($T$219,'TAR FIN'!$A$1:$O$115,15,0)),0,VLOOKUP($T$219,'TAR FIN'!$A$1:$O$115,15,0))</f>
        <v>0</v>
      </c>
      <c r="X219" s="6">
        <f>IF(ISERROR(VLOOKUP($U$219,'TAR FIN'!$A$1:$O$115,15,0)),0,VLOOKUP($U$219,'TAR FIN'!$A$1:$O$115,15,0))</f>
        <v>0</v>
      </c>
      <c r="Y219" s="6">
        <f ca="1">('TUSD BE'!$AM$27+'TUSD BF'!$AM$27+'TUSD CVA'!$AM$27)*1</f>
        <v>20.615214330225772</v>
      </c>
      <c r="Z219" s="6"/>
      <c r="AA219" s="6"/>
      <c r="AB219" s="6">
        <f t="shared" si="14"/>
        <v>125991.42336</v>
      </c>
      <c r="AC219" s="6">
        <f t="shared" si="15"/>
        <v>0</v>
      </c>
      <c r="AD219" s="6">
        <f t="shared" ca="1" si="16"/>
        <v>131178.79779477848</v>
      </c>
      <c r="AE219" s="6">
        <f t="shared" si="17"/>
        <v>0</v>
      </c>
      <c r="AF219" s="4" t="s">
        <v>936</v>
      </c>
    </row>
    <row r="220" spans="1:32" ht="11.25" customHeight="1" x14ac:dyDescent="0.25">
      <c r="A220" s="4" t="s">
        <v>21</v>
      </c>
      <c r="B220" s="4" t="s">
        <v>41</v>
      </c>
      <c r="C220" s="4" t="s">
        <v>44</v>
      </c>
      <c r="D220" s="4" t="s">
        <v>40</v>
      </c>
      <c r="E220" s="4" t="s">
        <v>25</v>
      </c>
      <c r="F220" s="4" t="s">
        <v>60</v>
      </c>
      <c r="G220" s="4" t="s">
        <v>25</v>
      </c>
      <c r="H220" s="4" t="s">
        <v>25</v>
      </c>
      <c r="I220" s="5">
        <v>44562</v>
      </c>
      <c r="J220" s="6">
        <v>10420</v>
      </c>
      <c r="K220" s="6">
        <v>4182.5879999999997</v>
      </c>
      <c r="L220" s="6">
        <v>0</v>
      </c>
      <c r="M220" s="6">
        <v>0</v>
      </c>
      <c r="N220" s="6">
        <v>0</v>
      </c>
      <c r="O220" s="6">
        <v>0</v>
      </c>
      <c r="P220" s="6">
        <v>24</v>
      </c>
      <c r="Q220" s="4" t="s">
        <v>61</v>
      </c>
      <c r="R220" s="4">
        <v>0</v>
      </c>
      <c r="S220" s="4">
        <v>27</v>
      </c>
      <c r="T220" s="4">
        <v>0</v>
      </c>
      <c r="U220" s="4">
        <v>0</v>
      </c>
      <c r="V220" s="6">
        <f>IF(ISERROR(VLOOKUP($S$220,'TAR FIN'!$A$1:$O$115,15,0)),0,VLOOKUP($S$220,'TAR FIN'!$A$1:$O$115,15,0))</f>
        <v>19.8</v>
      </c>
      <c r="W220" s="6">
        <f>IF(ISERROR(VLOOKUP($T$220,'TAR FIN'!$A$1:$O$115,15,0)),0,VLOOKUP($T$220,'TAR FIN'!$A$1:$O$115,15,0))</f>
        <v>0</v>
      </c>
      <c r="X220" s="6">
        <f>IF(ISERROR(VLOOKUP($U$220,'TAR FIN'!$A$1:$O$115,15,0)),0,VLOOKUP($U$220,'TAR FIN'!$A$1:$O$115,15,0))</f>
        <v>0</v>
      </c>
      <c r="Y220" s="6">
        <f ca="1">('TUSD BE'!$AM$27+'TUSD BF'!$AM$27+'TUSD CVA'!$AM$27)*1</f>
        <v>20.615214330225772</v>
      </c>
      <c r="Z220" s="6"/>
      <c r="AA220" s="6"/>
      <c r="AB220" s="6">
        <f t="shared" si="14"/>
        <v>123500.75760000001</v>
      </c>
      <c r="AC220" s="6">
        <f t="shared" si="15"/>
        <v>0</v>
      </c>
      <c r="AD220" s="6">
        <f t="shared" ca="1" si="16"/>
        <v>128585.58524592219</v>
      </c>
      <c r="AE220" s="6">
        <f t="shared" si="17"/>
        <v>0</v>
      </c>
      <c r="AF220" s="4" t="s">
        <v>936</v>
      </c>
    </row>
    <row r="221" spans="1:32" ht="11.25" customHeight="1" x14ac:dyDescent="0.25">
      <c r="A221" s="4" t="s">
        <v>21</v>
      </c>
      <c r="B221" s="4" t="s">
        <v>41</v>
      </c>
      <c r="C221" s="4" t="s">
        <v>44</v>
      </c>
      <c r="D221" s="4" t="s">
        <v>40</v>
      </c>
      <c r="E221" s="4" t="s">
        <v>25</v>
      </c>
      <c r="F221" s="4" t="s">
        <v>60</v>
      </c>
      <c r="G221" s="4" t="s">
        <v>25</v>
      </c>
      <c r="H221" s="4" t="s">
        <v>25</v>
      </c>
      <c r="I221" s="5">
        <v>44593</v>
      </c>
      <c r="J221" s="6">
        <v>10412</v>
      </c>
      <c r="K221" s="6">
        <v>4457.3771999999999</v>
      </c>
      <c r="L221" s="6">
        <v>0</v>
      </c>
      <c r="M221" s="6">
        <v>0</v>
      </c>
      <c r="N221" s="6">
        <v>0</v>
      </c>
      <c r="O221" s="6">
        <v>0</v>
      </c>
      <c r="P221" s="6">
        <v>24</v>
      </c>
      <c r="Q221" s="4" t="s">
        <v>61</v>
      </c>
      <c r="R221" s="4">
        <v>0</v>
      </c>
      <c r="S221" s="4">
        <v>27</v>
      </c>
      <c r="T221" s="4">
        <v>0</v>
      </c>
      <c r="U221" s="4">
        <v>0</v>
      </c>
      <c r="V221" s="6">
        <f>IF(ISERROR(VLOOKUP($S$221,'TAR FIN'!$A$1:$O$115,15,0)),0,VLOOKUP($S$221,'TAR FIN'!$A$1:$O$115,15,0))</f>
        <v>19.8</v>
      </c>
      <c r="W221" s="6">
        <f>IF(ISERROR(VLOOKUP($T$221,'TAR FIN'!$A$1:$O$115,15,0)),0,VLOOKUP($T$221,'TAR FIN'!$A$1:$O$115,15,0))</f>
        <v>0</v>
      </c>
      <c r="X221" s="6">
        <f>IF(ISERROR(VLOOKUP($U$221,'TAR FIN'!$A$1:$O$115,15,0)),0,VLOOKUP($U$221,'TAR FIN'!$A$1:$O$115,15,0))</f>
        <v>0</v>
      </c>
      <c r="Y221" s="6">
        <f ca="1">('TUSD BE'!$AM$27+'TUSD BF'!$AM$27+'TUSD CVA'!$AM$27)*1</f>
        <v>20.615214330225772</v>
      </c>
      <c r="Z221" s="6"/>
      <c r="AA221" s="6"/>
      <c r="AB221" s="6">
        <f t="shared" si="14"/>
        <v>117901.53144000001</v>
      </c>
      <c r="AC221" s="6">
        <f t="shared" si="15"/>
        <v>0</v>
      </c>
      <c r="AD221" s="6">
        <f t="shared" ca="1" si="16"/>
        <v>122755.82527764911</v>
      </c>
      <c r="AE221" s="6">
        <f t="shared" si="17"/>
        <v>0</v>
      </c>
      <c r="AF221" s="4" t="s">
        <v>936</v>
      </c>
    </row>
    <row r="222" spans="1:32" ht="11.25" customHeight="1" x14ac:dyDescent="0.25">
      <c r="A222" s="4" t="s">
        <v>21</v>
      </c>
      <c r="B222" s="4" t="s">
        <v>41</v>
      </c>
      <c r="C222" s="4" t="s">
        <v>44</v>
      </c>
      <c r="D222" s="4" t="s">
        <v>40</v>
      </c>
      <c r="E222" s="4" t="s">
        <v>25</v>
      </c>
      <c r="F222" s="4" t="s">
        <v>60</v>
      </c>
      <c r="G222" s="4" t="s">
        <v>25</v>
      </c>
      <c r="H222" s="4" t="s">
        <v>25</v>
      </c>
      <c r="I222" s="5">
        <v>44621</v>
      </c>
      <c r="J222" s="6">
        <v>10391</v>
      </c>
      <c r="K222" s="6">
        <v>4422.4096</v>
      </c>
      <c r="L222" s="6">
        <v>0</v>
      </c>
      <c r="M222" s="6">
        <v>0</v>
      </c>
      <c r="N222" s="6">
        <v>0</v>
      </c>
      <c r="O222" s="6">
        <v>0</v>
      </c>
      <c r="P222" s="6">
        <v>24</v>
      </c>
      <c r="Q222" s="4" t="s">
        <v>61</v>
      </c>
      <c r="R222" s="4">
        <v>0</v>
      </c>
      <c r="S222" s="4">
        <v>27</v>
      </c>
      <c r="T222" s="4">
        <v>0</v>
      </c>
      <c r="U222" s="4">
        <v>0</v>
      </c>
      <c r="V222" s="6">
        <f>IF(ISERROR(VLOOKUP($S$222,'TAR FIN'!$A$1:$O$115,15,0)),0,VLOOKUP($S$222,'TAR FIN'!$A$1:$O$115,15,0))</f>
        <v>19.8</v>
      </c>
      <c r="W222" s="6">
        <f>IF(ISERROR(VLOOKUP($T$222,'TAR FIN'!$A$1:$O$115,15,0)),0,VLOOKUP($T$222,'TAR FIN'!$A$1:$O$115,15,0))</f>
        <v>0</v>
      </c>
      <c r="X222" s="6">
        <f>IF(ISERROR(VLOOKUP($U$222,'TAR FIN'!$A$1:$O$115,15,0)),0,VLOOKUP($U$222,'TAR FIN'!$A$1:$O$115,15,0))</f>
        <v>0</v>
      </c>
      <c r="Y222" s="6">
        <f ca="1">('TUSD BE'!$AM$27+'TUSD BF'!$AM$27+'TUSD CVA'!$AM$27)*1</f>
        <v>20.615214330225772</v>
      </c>
      <c r="Z222" s="6"/>
      <c r="AA222" s="6"/>
      <c r="AB222" s="6">
        <f t="shared" si="14"/>
        <v>118178.08992</v>
      </c>
      <c r="AC222" s="6">
        <f t="shared" si="15"/>
        <v>0</v>
      </c>
      <c r="AD222" s="6">
        <f t="shared" ca="1" si="16"/>
        <v>123043.77034532797</v>
      </c>
      <c r="AE222" s="6">
        <f t="shared" si="17"/>
        <v>0</v>
      </c>
      <c r="AF222" s="4" t="s">
        <v>936</v>
      </c>
    </row>
    <row r="223" spans="1:32" ht="11.25" customHeight="1" x14ac:dyDescent="0.25">
      <c r="A223" s="4" t="s">
        <v>21</v>
      </c>
      <c r="B223" s="4" t="s">
        <v>41</v>
      </c>
      <c r="C223" s="4" t="s">
        <v>44</v>
      </c>
      <c r="D223" s="4" t="s">
        <v>40</v>
      </c>
      <c r="E223" s="4" t="s">
        <v>25</v>
      </c>
      <c r="F223" s="4" t="s">
        <v>60</v>
      </c>
      <c r="G223" s="4" t="s">
        <v>25</v>
      </c>
      <c r="H223" s="4" t="s">
        <v>25</v>
      </c>
      <c r="I223" s="5">
        <v>44652</v>
      </c>
      <c r="J223" s="6">
        <v>10411</v>
      </c>
      <c r="K223" s="6">
        <v>5072.2392</v>
      </c>
      <c r="L223" s="6">
        <v>0</v>
      </c>
      <c r="M223" s="6">
        <v>0</v>
      </c>
      <c r="N223" s="6">
        <v>0</v>
      </c>
      <c r="O223" s="6">
        <v>0</v>
      </c>
      <c r="P223" s="6">
        <v>24</v>
      </c>
      <c r="Q223" s="4" t="s">
        <v>61</v>
      </c>
      <c r="R223" s="4">
        <v>0</v>
      </c>
      <c r="S223" s="4">
        <v>27</v>
      </c>
      <c r="T223" s="4">
        <v>0</v>
      </c>
      <c r="U223" s="4">
        <v>0</v>
      </c>
      <c r="V223" s="6">
        <f>IF(ISERROR(VLOOKUP($S$223,'TAR FIN'!$A$1:$O$115,15,0)),0,VLOOKUP($S$223,'TAR FIN'!$A$1:$O$115,15,0))</f>
        <v>19.8</v>
      </c>
      <c r="W223" s="6">
        <f>IF(ISERROR(VLOOKUP($T$223,'TAR FIN'!$A$1:$O$115,15,0)),0,VLOOKUP($T$223,'TAR FIN'!$A$1:$O$115,15,0))</f>
        <v>0</v>
      </c>
      <c r="X223" s="6">
        <f>IF(ISERROR(VLOOKUP($U$223,'TAR FIN'!$A$1:$O$115,15,0)),0,VLOOKUP($U$223,'TAR FIN'!$A$1:$O$115,15,0))</f>
        <v>0</v>
      </c>
      <c r="Y223" s="6">
        <f ca="1">('TUSD BE'!$AM$27+'TUSD BF'!$AM$27+'TUSD CVA'!$AM$27)*1</f>
        <v>20.615214330225772</v>
      </c>
      <c r="Z223" s="6"/>
      <c r="AA223" s="6"/>
      <c r="AB223" s="6">
        <f t="shared" si="14"/>
        <v>105707.46384000001</v>
      </c>
      <c r="AC223" s="6">
        <f t="shared" si="15"/>
        <v>0</v>
      </c>
      <c r="AD223" s="6">
        <f t="shared" ca="1" si="16"/>
        <v>110059.69814980761</v>
      </c>
      <c r="AE223" s="6">
        <f t="shared" si="17"/>
        <v>0</v>
      </c>
      <c r="AF223" s="4" t="s">
        <v>936</v>
      </c>
    </row>
    <row r="224" spans="1:32" ht="11.25" customHeight="1" x14ac:dyDescent="0.25">
      <c r="A224" s="4" t="s">
        <v>21</v>
      </c>
      <c r="B224" s="4" t="s">
        <v>41</v>
      </c>
      <c r="C224" s="4" t="s">
        <v>44</v>
      </c>
      <c r="D224" s="4" t="s">
        <v>40</v>
      </c>
      <c r="E224" s="4" t="s">
        <v>25</v>
      </c>
      <c r="F224" s="4" t="s">
        <v>60</v>
      </c>
      <c r="G224" s="4" t="s">
        <v>25</v>
      </c>
      <c r="H224" s="4" t="s">
        <v>25</v>
      </c>
      <c r="I224" s="5">
        <v>44682</v>
      </c>
      <c r="J224" s="6">
        <v>10423</v>
      </c>
      <c r="K224" s="6">
        <v>5010.3361000000004</v>
      </c>
      <c r="L224" s="6">
        <v>0</v>
      </c>
      <c r="M224" s="6">
        <v>0</v>
      </c>
      <c r="N224" s="6">
        <v>0</v>
      </c>
      <c r="O224" s="6">
        <v>0</v>
      </c>
      <c r="P224" s="6">
        <v>24</v>
      </c>
      <c r="Q224" s="4" t="s">
        <v>61</v>
      </c>
      <c r="R224" s="4">
        <v>0</v>
      </c>
      <c r="S224" s="4">
        <v>27</v>
      </c>
      <c r="T224" s="4">
        <v>0</v>
      </c>
      <c r="U224" s="4">
        <v>0</v>
      </c>
      <c r="V224" s="6">
        <f>IF(ISERROR(VLOOKUP($S$224,'TAR FIN'!$A$1:$O$115,15,0)),0,VLOOKUP($S$224,'TAR FIN'!$A$1:$O$115,15,0))</f>
        <v>19.8</v>
      </c>
      <c r="W224" s="6">
        <f>IF(ISERROR(VLOOKUP($T$224,'TAR FIN'!$A$1:$O$115,15,0)),0,VLOOKUP($T$224,'TAR FIN'!$A$1:$O$115,15,0))</f>
        <v>0</v>
      </c>
      <c r="X224" s="6">
        <f>IF(ISERROR(VLOOKUP($U$224,'TAR FIN'!$A$1:$O$115,15,0)),0,VLOOKUP($U$224,'TAR FIN'!$A$1:$O$115,15,0))</f>
        <v>0</v>
      </c>
      <c r="Y224" s="6">
        <f ca="1">('TUSD BE'!$AM$27+'TUSD BF'!$AM$27+'TUSD CVA'!$AM$27)*1</f>
        <v>20.615214330225772</v>
      </c>
      <c r="Z224" s="6"/>
      <c r="AA224" s="6"/>
      <c r="AB224" s="6">
        <f t="shared" si="14"/>
        <v>107170.74522</v>
      </c>
      <c r="AC224" s="6">
        <f t="shared" si="15"/>
        <v>0</v>
      </c>
      <c r="AD224" s="6">
        <f t="shared" ca="1" si="16"/>
        <v>111583.22639597571</v>
      </c>
      <c r="AE224" s="6">
        <f t="shared" si="17"/>
        <v>0</v>
      </c>
      <c r="AF224" s="4" t="s">
        <v>936</v>
      </c>
    </row>
    <row r="225" spans="1:32" ht="11.25" customHeight="1" x14ac:dyDescent="0.25">
      <c r="A225" s="4" t="s">
        <v>21</v>
      </c>
      <c r="B225" s="4" t="s">
        <v>41</v>
      </c>
      <c r="C225" s="4" t="s">
        <v>44</v>
      </c>
      <c r="D225" s="4" t="s">
        <v>40</v>
      </c>
      <c r="E225" s="4" t="s">
        <v>25</v>
      </c>
      <c r="F225" s="4" t="s">
        <v>60</v>
      </c>
      <c r="G225" s="4" t="s">
        <v>25</v>
      </c>
      <c r="H225" s="4" t="s">
        <v>25</v>
      </c>
      <c r="I225" s="5">
        <v>44713</v>
      </c>
      <c r="J225" s="6">
        <v>10016</v>
      </c>
      <c r="K225" s="6">
        <v>4800.6688000000004</v>
      </c>
      <c r="L225" s="6">
        <v>0</v>
      </c>
      <c r="M225" s="6">
        <v>0</v>
      </c>
      <c r="N225" s="6">
        <v>0</v>
      </c>
      <c r="O225" s="6">
        <v>0</v>
      </c>
      <c r="P225" s="6">
        <v>24</v>
      </c>
      <c r="Q225" s="4" t="s">
        <v>61</v>
      </c>
      <c r="R225" s="4">
        <v>0</v>
      </c>
      <c r="S225" s="4">
        <v>27</v>
      </c>
      <c r="T225" s="4">
        <v>0</v>
      </c>
      <c r="U225" s="4">
        <v>0</v>
      </c>
      <c r="V225" s="6">
        <f>IF(ISERROR(VLOOKUP($S$225,'TAR FIN'!$A$1:$O$115,15,0)),0,VLOOKUP($S$225,'TAR FIN'!$A$1:$O$115,15,0))</f>
        <v>19.8</v>
      </c>
      <c r="W225" s="6">
        <f>IF(ISERROR(VLOOKUP($T$225,'TAR FIN'!$A$1:$O$115,15,0)),0,VLOOKUP($T$225,'TAR FIN'!$A$1:$O$115,15,0))</f>
        <v>0</v>
      </c>
      <c r="X225" s="6">
        <f>IF(ISERROR(VLOOKUP($U$225,'TAR FIN'!$A$1:$O$115,15,0)),0,VLOOKUP($U$225,'TAR FIN'!$A$1:$O$115,15,0))</f>
        <v>0</v>
      </c>
      <c r="Y225" s="6">
        <f ca="1">('TUSD BE'!$AM$27+'TUSD BF'!$AM$27+'TUSD CVA'!$AM$27)*1</f>
        <v>20.615214330225772</v>
      </c>
      <c r="Z225" s="6"/>
      <c r="AA225" s="6"/>
      <c r="AB225" s="6">
        <f t="shared" si="14"/>
        <v>103263.55776</v>
      </c>
      <c r="AC225" s="6">
        <f t="shared" si="15"/>
        <v>0</v>
      </c>
      <c r="AD225" s="6">
        <f t="shared" ca="1" si="16"/>
        <v>107515.17049111356</v>
      </c>
      <c r="AE225" s="6">
        <f t="shared" si="17"/>
        <v>0</v>
      </c>
      <c r="AF225" s="4" t="s">
        <v>936</v>
      </c>
    </row>
    <row r="226" spans="1:32" ht="11.25" customHeight="1" x14ac:dyDescent="0.25">
      <c r="A226" s="4" t="s">
        <v>21</v>
      </c>
      <c r="B226" s="4" t="s">
        <v>41</v>
      </c>
      <c r="C226" s="4" t="s">
        <v>44</v>
      </c>
      <c r="D226" s="4" t="s">
        <v>40</v>
      </c>
      <c r="E226" s="4" t="s">
        <v>25</v>
      </c>
      <c r="F226" s="4" t="s">
        <v>60</v>
      </c>
      <c r="G226" s="4" t="s">
        <v>25</v>
      </c>
      <c r="H226" s="4" t="s">
        <v>25</v>
      </c>
      <c r="I226" s="5">
        <v>44743</v>
      </c>
      <c r="J226" s="6">
        <v>10022</v>
      </c>
      <c r="K226" s="6">
        <v>4855.6589999999997</v>
      </c>
      <c r="L226" s="6">
        <v>0</v>
      </c>
      <c r="M226" s="6">
        <v>0</v>
      </c>
      <c r="N226" s="6">
        <v>0</v>
      </c>
      <c r="O226" s="6">
        <v>0</v>
      </c>
      <c r="P226" s="6">
        <v>24</v>
      </c>
      <c r="Q226" s="4" t="s">
        <v>61</v>
      </c>
      <c r="R226" s="4">
        <v>0</v>
      </c>
      <c r="S226" s="4">
        <v>27</v>
      </c>
      <c r="T226" s="4">
        <v>0</v>
      </c>
      <c r="U226" s="4">
        <v>0</v>
      </c>
      <c r="V226" s="6">
        <f>IF(ISERROR(VLOOKUP($S$226,'TAR FIN'!$A$1:$O$115,15,0)),0,VLOOKUP($S$226,'TAR FIN'!$A$1:$O$115,15,0))</f>
        <v>19.8</v>
      </c>
      <c r="W226" s="6">
        <f>IF(ISERROR(VLOOKUP($T$226,'TAR FIN'!$A$1:$O$115,15,0)),0,VLOOKUP($T$226,'TAR FIN'!$A$1:$O$115,15,0))</f>
        <v>0</v>
      </c>
      <c r="X226" s="6">
        <f>IF(ISERROR(VLOOKUP($U$226,'TAR FIN'!$A$1:$O$115,15,0)),0,VLOOKUP($U$226,'TAR FIN'!$A$1:$O$115,15,0))</f>
        <v>0</v>
      </c>
      <c r="Y226" s="6">
        <f ca="1">('TUSD BE'!$AM$27+'TUSD BF'!$AM$27+'TUSD CVA'!$AM$27)*1</f>
        <v>20.615214330225772</v>
      </c>
      <c r="Z226" s="6"/>
      <c r="AA226" s="6"/>
      <c r="AB226" s="6">
        <f t="shared" si="14"/>
        <v>102293.55180000002</v>
      </c>
      <c r="AC226" s="6">
        <f t="shared" si="15"/>
        <v>0</v>
      </c>
      <c r="AD226" s="6">
        <f t="shared" ca="1" si="16"/>
        <v>106505.22701803295</v>
      </c>
      <c r="AE226" s="6">
        <f t="shared" si="17"/>
        <v>0</v>
      </c>
      <c r="AF226" s="4" t="s">
        <v>936</v>
      </c>
    </row>
    <row r="227" spans="1:32" ht="11.25" customHeight="1" x14ac:dyDescent="0.25">
      <c r="A227" s="4" t="s">
        <v>21</v>
      </c>
      <c r="B227" s="4" t="s">
        <v>41</v>
      </c>
      <c r="C227" s="4" t="s">
        <v>44</v>
      </c>
      <c r="D227" s="4" t="s">
        <v>40</v>
      </c>
      <c r="E227" s="4" t="s">
        <v>25</v>
      </c>
      <c r="F227" s="4" t="s">
        <v>60</v>
      </c>
      <c r="G227" s="4" t="s">
        <v>25</v>
      </c>
      <c r="H227" s="4" t="s">
        <v>25</v>
      </c>
      <c r="I227" s="5">
        <v>44774</v>
      </c>
      <c r="J227" s="6">
        <v>10030</v>
      </c>
      <c r="K227" s="6">
        <v>4800.3580000000002</v>
      </c>
      <c r="L227" s="6">
        <v>0</v>
      </c>
      <c r="M227" s="6">
        <v>0</v>
      </c>
      <c r="N227" s="6">
        <v>0</v>
      </c>
      <c r="O227" s="6">
        <v>0</v>
      </c>
      <c r="P227" s="6">
        <v>24</v>
      </c>
      <c r="Q227" s="4" t="s">
        <v>61</v>
      </c>
      <c r="R227" s="4">
        <v>0</v>
      </c>
      <c r="S227" s="4">
        <v>27</v>
      </c>
      <c r="T227" s="4">
        <v>0</v>
      </c>
      <c r="U227" s="4">
        <v>0</v>
      </c>
      <c r="V227" s="6">
        <f>IF(ISERROR(VLOOKUP($S$227,'TAR FIN'!$A$1:$O$115,15,0)),0,VLOOKUP($S$227,'TAR FIN'!$A$1:$O$115,15,0))</f>
        <v>19.8</v>
      </c>
      <c r="W227" s="6">
        <f>IF(ISERROR(VLOOKUP($T$227,'TAR FIN'!$A$1:$O$115,15,0)),0,VLOOKUP($T$227,'TAR FIN'!$A$1:$O$115,15,0))</f>
        <v>0</v>
      </c>
      <c r="X227" s="6">
        <f>IF(ISERROR(VLOOKUP($U$227,'TAR FIN'!$A$1:$O$115,15,0)),0,VLOOKUP($U$227,'TAR FIN'!$A$1:$O$115,15,0))</f>
        <v>0</v>
      </c>
      <c r="Y227" s="6">
        <f ca="1">('TUSD BE'!$AM$27+'TUSD BF'!$AM$27+'TUSD CVA'!$AM$27)*1</f>
        <v>20.615214330225772</v>
      </c>
      <c r="Z227" s="6"/>
      <c r="AA227" s="6"/>
      <c r="AB227" s="6">
        <f t="shared" si="14"/>
        <v>103546.91160000001</v>
      </c>
      <c r="AC227" s="6">
        <f t="shared" si="15"/>
        <v>0</v>
      </c>
      <c r="AD227" s="6">
        <f t="shared" ca="1" si="16"/>
        <v>107810.19070035056</v>
      </c>
      <c r="AE227" s="6">
        <f t="shared" si="17"/>
        <v>0</v>
      </c>
      <c r="AF227" s="4" t="s">
        <v>936</v>
      </c>
    </row>
    <row r="228" spans="1:32" ht="11.25" customHeight="1" x14ac:dyDescent="0.25">
      <c r="A228" s="4" t="s">
        <v>21</v>
      </c>
      <c r="B228" s="4" t="s">
        <v>41</v>
      </c>
      <c r="C228" s="4" t="s">
        <v>44</v>
      </c>
      <c r="D228" s="4" t="s">
        <v>40</v>
      </c>
      <c r="E228" s="4" t="s">
        <v>25</v>
      </c>
      <c r="F228" s="4" t="s">
        <v>60</v>
      </c>
      <c r="G228" s="4" t="s">
        <v>25</v>
      </c>
      <c r="H228" s="4" t="s">
        <v>25</v>
      </c>
      <c r="I228" s="5">
        <v>44805</v>
      </c>
      <c r="J228" s="6">
        <v>9994</v>
      </c>
      <c r="K228" s="6">
        <v>4837.0959999999995</v>
      </c>
      <c r="L228" s="6">
        <v>0</v>
      </c>
      <c r="M228" s="6">
        <v>0</v>
      </c>
      <c r="N228" s="6">
        <v>0</v>
      </c>
      <c r="O228" s="6">
        <v>0</v>
      </c>
      <c r="P228" s="6">
        <v>24</v>
      </c>
      <c r="Q228" s="4" t="s">
        <v>61</v>
      </c>
      <c r="R228" s="4">
        <v>0</v>
      </c>
      <c r="S228" s="4">
        <v>27</v>
      </c>
      <c r="T228" s="4">
        <v>0</v>
      </c>
      <c r="U228" s="4">
        <v>0</v>
      </c>
      <c r="V228" s="6">
        <f>IF(ISERROR(VLOOKUP($S$228,'TAR FIN'!$A$1:$O$115,15,0)),0,VLOOKUP($S$228,'TAR FIN'!$A$1:$O$115,15,0))</f>
        <v>19.8</v>
      </c>
      <c r="W228" s="6">
        <f>IF(ISERROR(VLOOKUP($T$228,'TAR FIN'!$A$1:$O$115,15,0)),0,VLOOKUP($T$228,'TAR FIN'!$A$1:$O$115,15,0))</f>
        <v>0</v>
      </c>
      <c r="X228" s="6">
        <f>IF(ISERROR(VLOOKUP($U$228,'TAR FIN'!$A$1:$O$115,15,0)),0,VLOOKUP($U$228,'TAR FIN'!$A$1:$O$115,15,0))</f>
        <v>0</v>
      </c>
      <c r="Y228" s="6">
        <f ca="1">('TUSD BE'!$AM$27+'TUSD BF'!$AM$27+'TUSD CVA'!$AM$27)*1</f>
        <v>20.615214330225772</v>
      </c>
      <c r="Z228" s="6"/>
      <c r="AA228" s="6"/>
      <c r="AB228" s="6">
        <f t="shared" si="14"/>
        <v>102106.69920000002</v>
      </c>
      <c r="AC228" s="6">
        <f t="shared" si="15"/>
        <v>0</v>
      </c>
      <c r="AD228" s="6">
        <f t="shared" ca="1" si="16"/>
        <v>106310.68124039861</v>
      </c>
      <c r="AE228" s="6">
        <f t="shared" si="17"/>
        <v>0</v>
      </c>
      <c r="AF228" s="4" t="s">
        <v>936</v>
      </c>
    </row>
    <row r="229" spans="1:32" ht="11.25" customHeight="1" x14ac:dyDescent="0.25">
      <c r="A229" s="4" t="s">
        <v>21</v>
      </c>
      <c r="B229" s="4" t="s">
        <v>41</v>
      </c>
      <c r="C229" s="4" t="s">
        <v>44</v>
      </c>
      <c r="D229" s="4" t="s">
        <v>40</v>
      </c>
      <c r="E229" s="4" t="s">
        <v>25</v>
      </c>
      <c r="F229" s="4" t="s">
        <v>60</v>
      </c>
      <c r="G229" s="4" t="s">
        <v>25</v>
      </c>
      <c r="H229" s="4" t="s">
        <v>25</v>
      </c>
      <c r="I229" s="5">
        <v>44835</v>
      </c>
      <c r="J229" s="6">
        <v>10210</v>
      </c>
      <c r="K229" s="6">
        <v>4988.6059999999998</v>
      </c>
      <c r="L229" s="6">
        <v>0</v>
      </c>
      <c r="M229" s="6">
        <v>0</v>
      </c>
      <c r="N229" s="6">
        <v>0</v>
      </c>
      <c r="O229" s="6">
        <v>0</v>
      </c>
      <c r="P229" s="6">
        <v>25</v>
      </c>
      <c r="Q229" s="4" t="s">
        <v>61</v>
      </c>
      <c r="R229" s="4">
        <v>0</v>
      </c>
      <c r="S229" s="4">
        <v>27</v>
      </c>
      <c r="T229" s="4">
        <v>0</v>
      </c>
      <c r="U229" s="4">
        <v>0</v>
      </c>
      <c r="V229" s="6">
        <f>IF(ISERROR(VLOOKUP($S$229,'TAR FIN'!$A$1:$O$115,15,0)),0,VLOOKUP($S$229,'TAR FIN'!$A$1:$O$115,15,0))</f>
        <v>19.8</v>
      </c>
      <c r="W229" s="6">
        <f>IF(ISERROR(VLOOKUP($T$229,'TAR FIN'!$A$1:$O$115,15,0)),0,VLOOKUP($T$229,'TAR FIN'!$A$1:$O$115,15,0))</f>
        <v>0</v>
      </c>
      <c r="X229" s="6">
        <f>IF(ISERROR(VLOOKUP($U$229,'TAR FIN'!$A$1:$O$115,15,0)),0,VLOOKUP($U$229,'TAR FIN'!$A$1:$O$115,15,0))</f>
        <v>0</v>
      </c>
      <c r="Y229" s="6">
        <f ca="1">('TUSD BE'!$AM$27+'TUSD BF'!$AM$27+'TUSD CVA'!$AM$27)*1</f>
        <v>20.615214330225772</v>
      </c>
      <c r="Z229" s="6"/>
      <c r="AA229" s="6"/>
      <c r="AB229" s="6">
        <f t="shared" si="14"/>
        <v>103383.6012</v>
      </c>
      <c r="AC229" s="6">
        <f t="shared" si="15"/>
        <v>0</v>
      </c>
      <c r="AD229" s="6">
        <f t="shared" ca="1" si="16"/>
        <v>107640.15641255488</v>
      </c>
      <c r="AE229" s="6">
        <f t="shared" si="17"/>
        <v>0</v>
      </c>
      <c r="AF229" s="4" t="s">
        <v>936</v>
      </c>
    </row>
    <row r="230" spans="1:32" ht="11.25" customHeight="1" x14ac:dyDescent="0.25">
      <c r="A230" s="4" t="s">
        <v>59</v>
      </c>
      <c r="B230" s="4" t="s">
        <v>41</v>
      </c>
      <c r="C230" s="4" t="s">
        <v>44</v>
      </c>
      <c r="D230" s="4" t="s">
        <v>40</v>
      </c>
      <c r="E230" s="4" t="s">
        <v>25</v>
      </c>
      <c r="F230" s="4" t="s">
        <v>60</v>
      </c>
      <c r="G230" s="4" t="s">
        <v>25</v>
      </c>
      <c r="H230" s="4" t="s">
        <v>25</v>
      </c>
      <c r="I230" s="5">
        <v>44866</v>
      </c>
      <c r="J230" s="6">
        <v>10210</v>
      </c>
      <c r="K230" s="6">
        <v>4988.6059999999998</v>
      </c>
      <c r="L230" s="6">
        <v>0</v>
      </c>
      <c r="M230" s="6">
        <v>0</v>
      </c>
      <c r="N230" s="6">
        <v>0</v>
      </c>
      <c r="O230" s="6">
        <v>0</v>
      </c>
      <c r="P230" s="6">
        <v>25</v>
      </c>
      <c r="Q230" s="4" t="s">
        <v>61</v>
      </c>
      <c r="R230" s="4">
        <v>0</v>
      </c>
      <c r="S230" s="4">
        <v>27</v>
      </c>
      <c r="T230" s="4">
        <v>0</v>
      </c>
      <c r="U230" s="4">
        <v>0</v>
      </c>
      <c r="V230" s="6">
        <f>IF(ISERROR(VLOOKUP($S$230,'TAR FIN'!$A$1:$O$115,15,0)),0,VLOOKUP($S$230,'TAR FIN'!$A$1:$O$115,15,0))</f>
        <v>19.8</v>
      </c>
      <c r="W230" s="6">
        <f>IF(ISERROR(VLOOKUP($T$230,'TAR FIN'!$A$1:$O$115,15,0)),0,VLOOKUP($T$230,'TAR FIN'!$A$1:$O$115,15,0))</f>
        <v>0</v>
      </c>
      <c r="X230" s="6">
        <f>IF(ISERROR(VLOOKUP($U$230,'TAR FIN'!$A$1:$O$115,15,0)),0,VLOOKUP($U$230,'TAR FIN'!$A$1:$O$115,15,0))</f>
        <v>0</v>
      </c>
      <c r="Y230" s="6">
        <f ca="1">('TUSD BE'!$AM$27+'TUSD BF'!$AM$27+'TUSD CVA'!$AM$27)*1</f>
        <v>20.615214330225772</v>
      </c>
      <c r="Z230" s="6"/>
      <c r="AA230" s="6"/>
      <c r="AB230" s="6">
        <f t="shared" si="14"/>
        <v>103383.6012</v>
      </c>
      <c r="AC230" s="6">
        <f t="shared" si="15"/>
        <v>0</v>
      </c>
      <c r="AD230" s="6">
        <f t="shared" ca="1" si="16"/>
        <v>107640.15641255488</v>
      </c>
      <c r="AE230" s="6">
        <f t="shared" si="17"/>
        <v>0</v>
      </c>
      <c r="AF230" s="4" t="s">
        <v>936</v>
      </c>
    </row>
    <row r="231" spans="1:32" ht="11.25" customHeight="1" x14ac:dyDescent="0.25">
      <c r="A231" s="4" t="s">
        <v>21</v>
      </c>
      <c r="B231" s="4" t="s">
        <v>41</v>
      </c>
      <c r="C231" s="4" t="s">
        <v>44</v>
      </c>
      <c r="D231" s="4" t="s">
        <v>40</v>
      </c>
      <c r="E231" s="4" t="s">
        <v>25</v>
      </c>
      <c r="F231" s="4" t="s">
        <v>60</v>
      </c>
      <c r="G231" s="4" t="s">
        <v>25</v>
      </c>
      <c r="H231" s="4" t="s">
        <v>36</v>
      </c>
      <c r="I231" s="5">
        <v>44531</v>
      </c>
      <c r="J231" s="6">
        <v>0</v>
      </c>
      <c r="K231" s="6">
        <v>0</v>
      </c>
      <c r="L231" s="6">
        <v>245.66200000000001</v>
      </c>
      <c r="M231" s="6">
        <v>97.748909800000007</v>
      </c>
      <c r="N231" s="6">
        <v>0</v>
      </c>
      <c r="O231" s="6">
        <v>0</v>
      </c>
      <c r="P231" s="6">
        <v>0</v>
      </c>
      <c r="Q231" s="4" t="s">
        <v>61</v>
      </c>
      <c r="R231" s="4">
        <v>0</v>
      </c>
      <c r="S231" s="4">
        <v>0</v>
      </c>
      <c r="T231" s="4">
        <v>28</v>
      </c>
      <c r="U231" s="4">
        <v>0</v>
      </c>
      <c r="V231" s="6">
        <f>IF(ISERROR(VLOOKUP($S$231,'TAR FIN'!$A$1:$O$115,15,0)),0,VLOOKUP($S$231,'TAR FIN'!$A$1:$O$115,15,0))</f>
        <v>0</v>
      </c>
      <c r="W231" s="6">
        <f>IF(ISERROR(VLOOKUP($T$231,'TAR FIN'!$A$1:$O$115,15,0)),0,VLOOKUP($T$231,'TAR FIN'!$A$1:$O$115,15,0))</f>
        <v>1448.96</v>
      </c>
      <c r="X231" s="6">
        <f>IF(ISERROR(VLOOKUP($U$231,'TAR FIN'!$A$1:$O$115,15,0)),0,VLOOKUP($U$231,'TAR FIN'!$A$1:$O$115,15,0))</f>
        <v>0</v>
      </c>
      <c r="Y231" s="6"/>
      <c r="Z231" s="6">
        <f ca="1">('TUSD BE'!$AM$28+'TUSD BF'!$AM$28+'TUSD CVA'!$AM$28)*1</f>
        <v>1480.1280206491922</v>
      </c>
      <c r="AA231" s="6"/>
      <c r="AB231" s="6">
        <f t="shared" si="14"/>
        <v>0</v>
      </c>
      <c r="AC231" s="6">
        <f t="shared" si="15"/>
        <v>214320.15117619201</v>
      </c>
      <c r="AD231" s="6">
        <f t="shared" si="16"/>
        <v>0</v>
      </c>
      <c r="AE231" s="6">
        <f t="shared" ca="1" si="17"/>
        <v>218930.30942583142</v>
      </c>
      <c r="AF231" s="4" t="s">
        <v>936</v>
      </c>
    </row>
    <row r="232" spans="1:32" ht="11.25" customHeight="1" x14ac:dyDescent="0.25">
      <c r="A232" s="4" t="s">
        <v>21</v>
      </c>
      <c r="B232" s="4" t="s">
        <v>41</v>
      </c>
      <c r="C232" s="4" t="s">
        <v>44</v>
      </c>
      <c r="D232" s="4" t="s">
        <v>40</v>
      </c>
      <c r="E232" s="4" t="s">
        <v>25</v>
      </c>
      <c r="F232" s="4" t="s">
        <v>60</v>
      </c>
      <c r="G232" s="4" t="s">
        <v>25</v>
      </c>
      <c r="H232" s="4" t="s">
        <v>36</v>
      </c>
      <c r="I232" s="5">
        <v>44562</v>
      </c>
      <c r="J232" s="6">
        <v>0</v>
      </c>
      <c r="K232" s="6">
        <v>0</v>
      </c>
      <c r="L232" s="6">
        <v>290.80900000000003</v>
      </c>
      <c r="M232" s="6">
        <v>132.0563669</v>
      </c>
      <c r="N232" s="6">
        <v>0</v>
      </c>
      <c r="O232" s="6">
        <v>0</v>
      </c>
      <c r="P232" s="6">
        <v>0</v>
      </c>
      <c r="Q232" s="4" t="s">
        <v>61</v>
      </c>
      <c r="R232" s="4">
        <v>0</v>
      </c>
      <c r="S232" s="4">
        <v>0</v>
      </c>
      <c r="T232" s="4">
        <v>28</v>
      </c>
      <c r="U232" s="4">
        <v>0</v>
      </c>
      <c r="V232" s="6">
        <f>IF(ISERROR(VLOOKUP($S$232,'TAR FIN'!$A$1:$O$115,15,0)),0,VLOOKUP($S$232,'TAR FIN'!$A$1:$O$115,15,0))</f>
        <v>0</v>
      </c>
      <c r="W232" s="6">
        <f>IF(ISERROR(VLOOKUP($T$232,'TAR FIN'!$A$1:$O$115,15,0)),0,VLOOKUP($T$232,'TAR FIN'!$A$1:$O$115,15,0))</f>
        <v>1448.96</v>
      </c>
      <c r="X232" s="6">
        <f>IF(ISERROR(VLOOKUP($U$232,'TAR FIN'!$A$1:$O$115,15,0)),0,VLOOKUP($U$232,'TAR FIN'!$A$1:$O$115,15,0))</f>
        <v>0</v>
      </c>
      <c r="Y232" s="6"/>
      <c r="Z232" s="6">
        <f ca="1">('TUSD BE'!$AM$28+'TUSD BF'!$AM$28+'TUSD CVA'!$AM$28)*1</f>
        <v>1480.1280206491922</v>
      </c>
      <c r="AA232" s="6"/>
      <c r="AB232" s="6">
        <f t="shared" si="14"/>
        <v>0</v>
      </c>
      <c r="AC232" s="6">
        <f t="shared" si="15"/>
        <v>230026.21525657605</v>
      </c>
      <c r="AD232" s="6">
        <f t="shared" si="16"/>
        <v>0</v>
      </c>
      <c r="AE232" s="6">
        <f t="shared" ca="1" si="17"/>
        <v>234974.22060315046</v>
      </c>
      <c r="AF232" s="4" t="s">
        <v>936</v>
      </c>
    </row>
    <row r="233" spans="1:32" ht="11.25" customHeight="1" x14ac:dyDescent="0.25">
      <c r="A233" s="4" t="s">
        <v>21</v>
      </c>
      <c r="B233" s="4" t="s">
        <v>41</v>
      </c>
      <c r="C233" s="4" t="s">
        <v>44</v>
      </c>
      <c r="D233" s="4" t="s">
        <v>40</v>
      </c>
      <c r="E233" s="4" t="s">
        <v>25</v>
      </c>
      <c r="F233" s="4" t="s">
        <v>60</v>
      </c>
      <c r="G233" s="4" t="s">
        <v>25</v>
      </c>
      <c r="H233" s="4" t="s">
        <v>36</v>
      </c>
      <c r="I233" s="5">
        <v>44593</v>
      </c>
      <c r="J233" s="6">
        <v>0</v>
      </c>
      <c r="K233" s="6">
        <v>0</v>
      </c>
      <c r="L233" s="6">
        <v>257.99400000000003</v>
      </c>
      <c r="M233" s="6">
        <v>129.40979039999999</v>
      </c>
      <c r="N233" s="6">
        <v>0</v>
      </c>
      <c r="O233" s="6">
        <v>0</v>
      </c>
      <c r="P233" s="6">
        <v>0</v>
      </c>
      <c r="Q233" s="4" t="s">
        <v>61</v>
      </c>
      <c r="R233" s="4">
        <v>0</v>
      </c>
      <c r="S233" s="4">
        <v>0</v>
      </c>
      <c r="T233" s="4">
        <v>28</v>
      </c>
      <c r="U233" s="4">
        <v>0</v>
      </c>
      <c r="V233" s="6">
        <f>IF(ISERROR(VLOOKUP($S$233,'TAR FIN'!$A$1:$O$115,15,0)),0,VLOOKUP($S$233,'TAR FIN'!$A$1:$O$115,15,0))</f>
        <v>0</v>
      </c>
      <c r="W233" s="6">
        <f>IF(ISERROR(VLOOKUP($T$233,'TAR FIN'!$A$1:$O$115,15,0)),0,VLOOKUP($T$233,'TAR FIN'!$A$1:$O$115,15,0))</f>
        <v>1448.96</v>
      </c>
      <c r="X233" s="6">
        <f>IF(ISERROR(VLOOKUP($U$233,'TAR FIN'!$A$1:$O$115,15,0)),0,VLOOKUP($U$233,'TAR FIN'!$A$1:$O$115,15,0))</f>
        <v>0</v>
      </c>
      <c r="Y233" s="6"/>
      <c r="Z233" s="6">
        <f ca="1">('TUSD BE'!$AM$28+'TUSD BF'!$AM$28+'TUSD CVA'!$AM$28)*1</f>
        <v>1480.1280206491922</v>
      </c>
      <c r="AA233" s="6"/>
      <c r="AB233" s="6">
        <f t="shared" si="14"/>
        <v>0</v>
      </c>
      <c r="AC233" s="6">
        <f t="shared" si="15"/>
        <v>186313.37634201607</v>
      </c>
      <c r="AD233" s="6">
        <f t="shared" si="16"/>
        <v>0</v>
      </c>
      <c r="AE233" s="6">
        <f t="shared" ca="1" si="17"/>
        <v>190321.09164198893</v>
      </c>
      <c r="AF233" s="4" t="s">
        <v>936</v>
      </c>
    </row>
    <row r="234" spans="1:32" ht="11.25" customHeight="1" x14ac:dyDescent="0.25">
      <c r="A234" s="4" t="s">
        <v>21</v>
      </c>
      <c r="B234" s="4" t="s">
        <v>41</v>
      </c>
      <c r="C234" s="4" t="s">
        <v>44</v>
      </c>
      <c r="D234" s="4" t="s">
        <v>40</v>
      </c>
      <c r="E234" s="4" t="s">
        <v>25</v>
      </c>
      <c r="F234" s="4" t="s">
        <v>60</v>
      </c>
      <c r="G234" s="4" t="s">
        <v>25</v>
      </c>
      <c r="H234" s="4" t="s">
        <v>36</v>
      </c>
      <c r="I234" s="5">
        <v>44621</v>
      </c>
      <c r="J234" s="6">
        <v>0</v>
      </c>
      <c r="K234" s="6">
        <v>0</v>
      </c>
      <c r="L234" s="6">
        <v>236.024</v>
      </c>
      <c r="M234" s="6">
        <v>108.31141359999999</v>
      </c>
      <c r="N234" s="6">
        <v>0</v>
      </c>
      <c r="O234" s="6">
        <v>0</v>
      </c>
      <c r="P234" s="6">
        <v>0</v>
      </c>
      <c r="Q234" s="4" t="s">
        <v>61</v>
      </c>
      <c r="R234" s="4">
        <v>0</v>
      </c>
      <c r="S234" s="4">
        <v>0</v>
      </c>
      <c r="T234" s="4">
        <v>28</v>
      </c>
      <c r="U234" s="4">
        <v>0</v>
      </c>
      <c r="V234" s="6">
        <f>IF(ISERROR(VLOOKUP($S$234,'TAR FIN'!$A$1:$O$115,15,0)),0,VLOOKUP($S$234,'TAR FIN'!$A$1:$O$115,15,0))</f>
        <v>0</v>
      </c>
      <c r="W234" s="6">
        <f>IF(ISERROR(VLOOKUP($T$234,'TAR FIN'!$A$1:$O$115,15,0)),0,VLOOKUP($T$234,'TAR FIN'!$A$1:$O$115,15,0))</f>
        <v>1448.96</v>
      </c>
      <c r="X234" s="6">
        <f>IF(ISERROR(VLOOKUP($U$234,'TAR FIN'!$A$1:$O$115,15,0)),0,VLOOKUP($U$234,'TAR FIN'!$A$1:$O$115,15,0))</f>
        <v>0</v>
      </c>
      <c r="Y234" s="6"/>
      <c r="Z234" s="6">
        <f ca="1">('TUSD BE'!$AM$28+'TUSD BF'!$AM$28+'TUSD CVA'!$AM$28)*1</f>
        <v>1480.1280206491922</v>
      </c>
      <c r="AA234" s="6"/>
      <c r="AB234" s="6">
        <f t="shared" si="14"/>
        <v>0</v>
      </c>
      <c r="AC234" s="6">
        <f t="shared" si="15"/>
        <v>185050.429190144</v>
      </c>
      <c r="AD234" s="6">
        <f t="shared" si="16"/>
        <v>0</v>
      </c>
      <c r="AE234" s="6">
        <f t="shared" ca="1" si="17"/>
        <v>189030.97772022095</v>
      </c>
      <c r="AF234" s="4" t="s">
        <v>936</v>
      </c>
    </row>
    <row r="235" spans="1:32" ht="11.25" customHeight="1" x14ac:dyDescent="0.25">
      <c r="A235" s="4" t="s">
        <v>21</v>
      </c>
      <c r="B235" s="4" t="s">
        <v>41</v>
      </c>
      <c r="C235" s="4" t="s">
        <v>44</v>
      </c>
      <c r="D235" s="4" t="s">
        <v>40</v>
      </c>
      <c r="E235" s="4" t="s">
        <v>25</v>
      </c>
      <c r="F235" s="4" t="s">
        <v>60</v>
      </c>
      <c r="G235" s="4" t="s">
        <v>25</v>
      </c>
      <c r="H235" s="4" t="s">
        <v>36</v>
      </c>
      <c r="I235" s="5">
        <v>44652</v>
      </c>
      <c r="J235" s="6">
        <v>0</v>
      </c>
      <c r="K235" s="6">
        <v>0</v>
      </c>
      <c r="L235" s="6">
        <v>292.24799999999999</v>
      </c>
      <c r="M235" s="6">
        <v>136.8597384</v>
      </c>
      <c r="N235" s="6">
        <v>0</v>
      </c>
      <c r="O235" s="6">
        <v>0</v>
      </c>
      <c r="P235" s="6">
        <v>0</v>
      </c>
      <c r="Q235" s="4" t="s">
        <v>61</v>
      </c>
      <c r="R235" s="4">
        <v>0</v>
      </c>
      <c r="S235" s="4">
        <v>0</v>
      </c>
      <c r="T235" s="4">
        <v>28</v>
      </c>
      <c r="U235" s="4">
        <v>0</v>
      </c>
      <c r="V235" s="6">
        <f>IF(ISERROR(VLOOKUP($S$235,'TAR FIN'!$A$1:$O$115,15,0)),0,VLOOKUP($S$235,'TAR FIN'!$A$1:$O$115,15,0))</f>
        <v>0</v>
      </c>
      <c r="W235" s="6">
        <f>IF(ISERROR(VLOOKUP($T$235,'TAR FIN'!$A$1:$O$115,15,0)),0,VLOOKUP($T$235,'TAR FIN'!$A$1:$O$115,15,0))</f>
        <v>1448.96</v>
      </c>
      <c r="X235" s="6">
        <f>IF(ISERROR(VLOOKUP($U$235,'TAR FIN'!$A$1:$O$115,15,0)),0,VLOOKUP($U$235,'TAR FIN'!$A$1:$O$115,15,0))</f>
        <v>0</v>
      </c>
      <c r="Y235" s="6"/>
      <c r="Z235" s="6">
        <f ca="1">('TUSD BE'!$AM$28+'TUSD BF'!$AM$28+'TUSD CVA'!$AM$28)*1</f>
        <v>1480.1280206491922</v>
      </c>
      <c r="AA235" s="6"/>
      <c r="AB235" s="6">
        <f t="shared" si="14"/>
        <v>0</v>
      </c>
      <c r="AC235" s="6">
        <f t="shared" si="15"/>
        <v>225151.375527936</v>
      </c>
      <c r="AD235" s="6">
        <f t="shared" si="16"/>
        <v>0</v>
      </c>
      <c r="AE235" s="6">
        <f t="shared" ca="1" si="17"/>
        <v>229994.52007412686</v>
      </c>
      <c r="AF235" s="4" t="s">
        <v>936</v>
      </c>
    </row>
    <row r="236" spans="1:32" ht="11.25" customHeight="1" x14ac:dyDescent="0.25">
      <c r="A236" s="4" t="s">
        <v>21</v>
      </c>
      <c r="B236" s="4" t="s">
        <v>41</v>
      </c>
      <c r="C236" s="4" t="s">
        <v>44</v>
      </c>
      <c r="D236" s="4" t="s">
        <v>40</v>
      </c>
      <c r="E236" s="4" t="s">
        <v>25</v>
      </c>
      <c r="F236" s="4" t="s">
        <v>60</v>
      </c>
      <c r="G236" s="4" t="s">
        <v>25</v>
      </c>
      <c r="H236" s="4" t="s">
        <v>36</v>
      </c>
      <c r="I236" s="5">
        <v>44682</v>
      </c>
      <c r="J236" s="6">
        <v>0</v>
      </c>
      <c r="K236" s="6">
        <v>0</v>
      </c>
      <c r="L236" s="6">
        <v>261.45400000000001</v>
      </c>
      <c r="M236" s="6">
        <v>129.26285759999999</v>
      </c>
      <c r="N236" s="6">
        <v>0</v>
      </c>
      <c r="O236" s="6">
        <v>0</v>
      </c>
      <c r="P236" s="6">
        <v>0</v>
      </c>
      <c r="Q236" s="4" t="s">
        <v>61</v>
      </c>
      <c r="R236" s="4">
        <v>0</v>
      </c>
      <c r="S236" s="4">
        <v>0</v>
      </c>
      <c r="T236" s="4">
        <v>28</v>
      </c>
      <c r="U236" s="4">
        <v>0</v>
      </c>
      <c r="V236" s="6">
        <f>IF(ISERROR(VLOOKUP($S$236,'TAR FIN'!$A$1:$O$115,15,0)),0,VLOOKUP($S$236,'TAR FIN'!$A$1:$O$115,15,0))</f>
        <v>0</v>
      </c>
      <c r="W236" s="6">
        <f>IF(ISERROR(VLOOKUP($T$236,'TAR FIN'!$A$1:$O$115,15,0)),0,VLOOKUP($T$236,'TAR FIN'!$A$1:$O$115,15,0))</f>
        <v>1448.96</v>
      </c>
      <c r="X236" s="6">
        <f>IF(ISERROR(VLOOKUP($U$236,'TAR FIN'!$A$1:$O$115,15,0)),0,VLOOKUP($U$236,'TAR FIN'!$A$1:$O$115,15,0))</f>
        <v>0</v>
      </c>
      <c r="Y236" s="6"/>
      <c r="Z236" s="6">
        <f ca="1">('TUSD BE'!$AM$28+'TUSD BF'!$AM$28+'TUSD CVA'!$AM$28)*1</f>
        <v>1480.1280206491922</v>
      </c>
      <c r="AA236" s="6"/>
      <c r="AB236" s="6">
        <f t="shared" si="14"/>
        <v>0</v>
      </c>
      <c r="AC236" s="6">
        <f t="shared" si="15"/>
        <v>191539.67769190404</v>
      </c>
      <c r="AD236" s="6">
        <f t="shared" si="16"/>
        <v>0</v>
      </c>
      <c r="AE236" s="6">
        <f t="shared" ca="1" si="17"/>
        <v>195659.81394786754</v>
      </c>
      <c r="AF236" s="4" t="s">
        <v>936</v>
      </c>
    </row>
    <row r="237" spans="1:32" ht="11.25" customHeight="1" x14ac:dyDescent="0.25">
      <c r="A237" s="4" t="s">
        <v>21</v>
      </c>
      <c r="B237" s="4" t="s">
        <v>41</v>
      </c>
      <c r="C237" s="4" t="s">
        <v>44</v>
      </c>
      <c r="D237" s="4" t="s">
        <v>40</v>
      </c>
      <c r="E237" s="4" t="s">
        <v>25</v>
      </c>
      <c r="F237" s="4" t="s">
        <v>60</v>
      </c>
      <c r="G237" s="4" t="s">
        <v>25</v>
      </c>
      <c r="H237" s="4" t="s">
        <v>36</v>
      </c>
      <c r="I237" s="5">
        <v>44713</v>
      </c>
      <c r="J237" s="6">
        <v>0</v>
      </c>
      <c r="K237" s="6">
        <v>0</v>
      </c>
      <c r="L237" s="6">
        <v>301.29399999999998</v>
      </c>
      <c r="M237" s="6">
        <v>153.11761079999999</v>
      </c>
      <c r="N237" s="6">
        <v>0</v>
      </c>
      <c r="O237" s="6">
        <v>0</v>
      </c>
      <c r="P237" s="6">
        <v>0</v>
      </c>
      <c r="Q237" s="4" t="s">
        <v>61</v>
      </c>
      <c r="R237" s="4">
        <v>0</v>
      </c>
      <c r="S237" s="4">
        <v>0</v>
      </c>
      <c r="T237" s="4">
        <v>28</v>
      </c>
      <c r="U237" s="4">
        <v>0</v>
      </c>
      <c r="V237" s="6">
        <f>IF(ISERROR(VLOOKUP($S$237,'TAR FIN'!$A$1:$O$115,15,0)),0,VLOOKUP($S$237,'TAR FIN'!$A$1:$O$115,15,0))</f>
        <v>0</v>
      </c>
      <c r="W237" s="6">
        <f>IF(ISERROR(VLOOKUP($T$237,'TAR FIN'!$A$1:$O$115,15,0)),0,VLOOKUP($T$237,'TAR FIN'!$A$1:$O$115,15,0))</f>
        <v>1448.96</v>
      </c>
      <c r="X237" s="6">
        <f>IF(ISERROR(VLOOKUP($U$237,'TAR FIN'!$A$1:$O$115,15,0)),0,VLOOKUP($U$237,'TAR FIN'!$A$1:$O$115,15,0))</f>
        <v>0</v>
      </c>
      <c r="Y237" s="6"/>
      <c r="Z237" s="6">
        <f ca="1">('TUSD BE'!$AM$28+'TUSD BF'!$AM$28+'TUSD CVA'!$AM$28)*1</f>
        <v>1480.1280206491922</v>
      </c>
      <c r="AA237" s="6"/>
      <c r="AB237" s="6">
        <f t="shared" si="14"/>
        <v>0</v>
      </c>
      <c r="AC237" s="6">
        <f t="shared" si="15"/>
        <v>214701.66089523199</v>
      </c>
      <c r="AD237" s="6">
        <f t="shared" si="16"/>
        <v>0</v>
      </c>
      <c r="AE237" s="6">
        <f t="shared" ca="1" si="17"/>
        <v>219320.02565354033</v>
      </c>
      <c r="AF237" s="4" t="s">
        <v>936</v>
      </c>
    </row>
    <row r="238" spans="1:32" ht="11.25" customHeight="1" x14ac:dyDescent="0.25">
      <c r="A238" s="4" t="s">
        <v>21</v>
      </c>
      <c r="B238" s="4" t="s">
        <v>41</v>
      </c>
      <c r="C238" s="4" t="s">
        <v>44</v>
      </c>
      <c r="D238" s="4" t="s">
        <v>40</v>
      </c>
      <c r="E238" s="4" t="s">
        <v>25</v>
      </c>
      <c r="F238" s="4" t="s">
        <v>60</v>
      </c>
      <c r="G238" s="4" t="s">
        <v>25</v>
      </c>
      <c r="H238" s="4" t="s">
        <v>36</v>
      </c>
      <c r="I238" s="5">
        <v>44743</v>
      </c>
      <c r="J238" s="6">
        <v>0</v>
      </c>
      <c r="K238" s="6">
        <v>0</v>
      </c>
      <c r="L238" s="6">
        <v>268.952</v>
      </c>
      <c r="M238" s="6">
        <v>141.33427599999999</v>
      </c>
      <c r="N238" s="6">
        <v>0</v>
      </c>
      <c r="O238" s="6">
        <v>0</v>
      </c>
      <c r="P238" s="6">
        <v>0</v>
      </c>
      <c r="Q238" s="4" t="s">
        <v>61</v>
      </c>
      <c r="R238" s="4">
        <v>0</v>
      </c>
      <c r="S238" s="4">
        <v>0</v>
      </c>
      <c r="T238" s="4">
        <v>28</v>
      </c>
      <c r="U238" s="4">
        <v>0</v>
      </c>
      <c r="V238" s="6">
        <f>IF(ISERROR(VLOOKUP($S$238,'TAR FIN'!$A$1:$O$115,15,0)),0,VLOOKUP($S$238,'TAR FIN'!$A$1:$O$115,15,0))</f>
        <v>0</v>
      </c>
      <c r="W238" s="6">
        <f>IF(ISERROR(VLOOKUP($T$238,'TAR FIN'!$A$1:$O$115,15,0)),0,VLOOKUP($T$238,'TAR FIN'!$A$1:$O$115,15,0))</f>
        <v>1448.96</v>
      </c>
      <c r="X238" s="6">
        <f>IF(ISERROR(VLOOKUP($U$238,'TAR FIN'!$A$1:$O$115,15,0)),0,VLOOKUP($U$238,'TAR FIN'!$A$1:$O$115,15,0))</f>
        <v>0</v>
      </c>
      <c r="Y238" s="6"/>
      <c r="Z238" s="6">
        <f ca="1">('TUSD BE'!$AM$28+'TUSD BF'!$AM$28+'TUSD CVA'!$AM$28)*1</f>
        <v>1480.1280206491922</v>
      </c>
      <c r="AA238" s="6"/>
      <c r="AB238" s="6">
        <f t="shared" si="14"/>
        <v>0</v>
      </c>
      <c r="AC238" s="6">
        <f t="shared" si="15"/>
        <v>184912.97736704003</v>
      </c>
      <c r="AD238" s="6">
        <f t="shared" si="16"/>
        <v>0</v>
      </c>
      <c r="AE238" s="6">
        <f t="shared" ca="1" si="17"/>
        <v>188890.56922387492</v>
      </c>
      <c r="AF238" s="4" t="s">
        <v>936</v>
      </c>
    </row>
    <row r="239" spans="1:32" ht="11.25" customHeight="1" x14ac:dyDescent="0.25">
      <c r="A239" s="4" t="s">
        <v>21</v>
      </c>
      <c r="B239" s="4" t="s">
        <v>41</v>
      </c>
      <c r="C239" s="4" t="s">
        <v>44</v>
      </c>
      <c r="D239" s="4" t="s">
        <v>40</v>
      </c>
      <c r="E239" s="4" t="s">
        <v>25</v>
      </c>
      <c r="F239" s="4" t="s">
        <v>60</v>
      </c>
      <c r="G239" s="4" t="s">
        <v>25</v>
      </c>
      <c r="H239" s="4" t="s">
        <v>36</v>
      </c>
      <c r="I239" s="5">
        <v>44774</v>
      </c>
      <c r="J239" s="6">
        <v>0</v>
      </c>
      <c r="K239" s="6">
        <v>0</v>
      </c>
      <c r="L239" s="6">
        <v>279.03699999999998</v>
      </c>
      <c r="M239" s="6">
        <v>149.53592829999999</v>
      </c>
      <c r="N239" s="6">
        <v>0</v>
      </c>
      <c r="O239" s="6">
        <v>0</v>
      </c>
      <c r="P239" s="6">
        <v>0</v>
      </c>
      <c r="Q239" s="4" t="s">
        <v>61</v>
      </c>
      <c r="R239" s="4">
        <v>0</v>
      </c>
      <c r="S239" s="4">
        <v>0</v>
      </c>
      <c r="T239" s="4">
        <v>28</v>
      </c>
      <c r="U239" s="4">
        <v>0</v>
      </c>
      <c r="V239" s="6">
        <f>IF(ISERROR(VLOOKUP($S$239,'TAR FIN'!$A$1:$O$115,15,0)),0,VLOOKUP($S$239,'TAR FIN'!$A$1:$O$115,15,0))</f>
        <v>0</v>
      </c>
      <c r="W239" s="6">
        <f>IF(ISERROR(VLOOKUP($T$239,'TAR FIN'!$A$1:$O$115,15,0)),0,VLOOKUP($T$239,'TAR FIN'!$A$1:$O$115,15,0))</f>
        <v>1448.96</v>
      </c>
      <c r="X239" s="6">
        <f>IF(ISERROR(VLOOKUP($U$239,'TAR FIN'!$A$1:$O$115,15,0)),0,VLOOKUP($U$239,'TAR FIN'!$A$1:$O$115,15,0))</f>
        <v>0</v>
      </c>
      <c r="Y239" s="6"/>
      <c r="Z239" s="6">
        <f ca="1">('TUSD BE'!$AM$28+'TUSD BF'!$AM$28+'TUSD CVA'!$AM$28)*1</f>
        <v>1480.1280206491922</v>
      </c>
      <c r="AA239" s="6"/>
      <c r="AB239" s="6">
        <f t="shared" si="14"/>
        <v>0</v>
      </c>
      <c r="AC239" s="6">
        <f t="shared" si="15"/>
        <v>187641.87285043197</v>
      </c>
      <c r="AD239" s="6">
        <f t="shared" si="16"/>
        <v>0</v>
      </c>
      <c r="AE239" s="6">
        <f t="shared" ca="1" si="17"/>
        <v>191678.16492727009</v>
      </c>
      <c r="AF239" s="4" t="s">
        <v>936</v>
      </c>
    </row>
    <row r="240" spans="1:32" ht="11.25" customHeight="1" x14ac:dyDescent="0.25">
      <c r="A240" s="4" t="s">
        <v>21</v>
      </c>
      <c r="B240" s="4" t="s">
        <v>41</v>
      </c>
      <c r="C240" s="4" t="s">
        <v>44</v>
      </c>
      <c r="D240" s="4" t="s">
        <v>40</v>
      </c>
      <c r="E240" s="4" t="s">
        <v>25</v>
      </c>
      <c r="F240" s="4" t="s">
        <v>60</v>
      </c>
      <c r="G240" s="4" t="s">
        <v>25</v>
      </c>
      <c r="H240" s="4" t="s">
        <v>36</v>
      </c>
      <c r="I240" s="5">
        <v>44805</v>
      </c>
      <c r="J240" s="6">
        <v>0</v>
      </c>
      <c r="K240" s="6">
        <v>0</v>
      </c>
      <c r="L240" s="6">
        <v>328.87700000000001</v>
      </c>
      <c r="M240" s="6">
        <v>161.0839546</v>
      </c>
      <c r="N240" s="6">
        <v>0</v>
      </c>
      <c r="O240" s="6">
        <v>0</v>
      </c>
      <c r="P240" s="6">
        <v>0</v>
      </c>
      <c r="Q240" s="4" t="s">
        <v>61</v>
      </c>
      <c r="R240" s="4">
        <v>0</v>
      </c>
      <c r="S240" s="4">
        <v>0</v>
      </c>
      <c r="T240" s="4">
        <v>28</v>
      </c>
      <c r="U240" s="4">
        <v>0</v>
      </c>
      <c r="V240" s="6">
        <f>IF(ISERROR(VLOOKUP($S$240,'TAR FIN'!$A$1:$O$115,15,0)),0,VLOOKUP($S$240,'TAR FIN'!$A$1:$O$115,15,0))</f>
        <v>0</v>
      </c>
      <c r="W240" s="6">
        <f>IF(ISERROR(VLOOKUP($T$240,'TAR FIN'!$A$1:$O$115,15,0)),0,VLOOKUP($T$240,'TAR FIN'!$A$1:$O$115,15,0))</f>
        <v>1448.96</v>
      </c>
      <c r="X240" s="6">
        <f>IF(ISERROR(VLOOKUP($U$240,'TAR FIN'!$A$1:$O$115,15,0)),0,VLOOKUP($U$240,'TAR FIN'!$A$1:$O$115,15,0))</f>
        <v>0</v>
      </c>
      <c r="Y240" s="6"/>
      <c r="Z240" s="6">
        <f ca="1">('TUSD BE'!$AM$28+'TUSD BF'!$AM$28+'TUSD CVA'!$AM$28)*1</f>
        <v>1480.1280206491922</v>
      </c>
      <c r="AA240" s="6"/>
      <c r="AB240" s="6">
        <f t="shared" si="14"/>
        <v>0</v>
      </c>
      <c r="AC240" s="6">
        <f t="shared" si="15"/>
        <v>243125.41106278403</v>
      </c>
      <c r="AD240" s="6">
        <f t="shared" si="16"/>
        <v>0</v>
      </c>
      <c r="AE240" s="6">
        <f t="shared" ca="1" si="17"/>
        <v>248355.18816660205</v>
      </c>
      <c r="AF240" s="4" t="s">
        <v>936</v>
      </c>
    </row>
    <row r="241" spans="1:32" ht="11.25" customHeight="1" x14ac:dyDescent="0.25">
      <c r="A241" s="4" t="s">
        <v>21</v>
      </c>
      <c r="B241" s="4" t="s">
        <v>41</v>
      </c>
      <c r="C241" s="4" t="s">
        <v>44</v>
      </c>
      <c r="D241" s="4" t="s">
        <v>40</v>
      </c>
      <c r="E241" s="4" t="s">
        <v>25</v>
      </c>
      <c r="F241" s="4" t="s">
        <v>60</v>
      </c>
      <c r="G241" s="4" t="s">
        <v>25</v>
      </c>
      <c r="H241" s="4" t="s">
        <v>36</v>
      </c>
      <c r="I241" s="5">
        <v>44835</v>
      </c>
      <c r="J241" s="6">
        <v>0</v>
      </c>
      <c r="K241" s="6">
        <v>0</v>
      </c>
      <c r="L241" s="6">
        <v>299.41699999999997</v>
      </c>
      <c r="M241" s="6">
        <v>144.1992272</v>
      </c>
      <c r="N241" s="6">
        <v>0</v>
      </c>
      <c r="O241" s="6">
        <v>0</v>
      </c>
      <c r="P241" s="6">
        <v>0</v>
      </c>
      <c r="Q241" s="4" t="s">
        <v>61</v>
      </c>
      <c r="R241" s="4">
        <v>0</v>
      </c>
      <c r="S241" s="4">
        <v>0</v>
      </c>
      <c r="T241" s="4">
        <v>28</v>
      </c>
      <c r="U241" s="4">
        <v>0</v>
      </c>
      <c r="V241" s="6">
        <f>IF(ISERROR(VLOOKUP($S$241,'TAR FIN'!$A$1:$O$115,15,0)),0,VLOOKUP($S$241,'TAR FIN'!$A$1:$O$115,15,0))</f>
        <v>0</v>
      </c>
      <c r="W241" s="6">
        <f>IF(ISERROR(VLOOKUP($T$241,'TAR FIN'!$A$1:$O$115,15,0)),0,VLOOKUP($T$241,'TAR FIN'!$A$1:$O$115,15,0))</f>
        <v>1448.96</v>
      </c>
      <c r="X241" s="6">
        <f>IF(ISERROR(VLOOKUP($U$241,'TAR FIN'!$A$1:$O$115,15,0)),0,VLOOKUP($U$241,'TAR FIN'!$A$1:$O$115,15,0))</f>
        <v>0</v>
      </c>
      <c r="Y241" s="6"/>
      <c r="Z241" s="6">
        <f ca="1">('TUSD BE'!$AM$28+'TUSD BF'!$AM$28+'TUSD CVA'!$AM$28)*1</f>
        <v>1480.1280206491922</v>
      </c>
      <c r="AA241" s="6"/>
      <c r="AB241" s="6">
        <f t="shared" si="14"/>
        <v>0</v>
      </c>
      <c r="AC241" s="6">
        <f t="shared" si="15"/>
        <v>224904.34407628796</v>
      </c>
      <c r="AD241" s="6">
        <f t="shared" si="16"/>
        <v>0</v>
      </c>
      <c r="AE241" s="6">
        <f t="shared" ca="1" si="17"/>
        <v>229742.17482403998</v>
      </c>
      <c r="AF241" s="4" t="s">
        <v>936</v>
      </c>
    </row>
    <row r="242" spans="1:32" ht="11.25" customHeight="1" x14ac:dyDescent="0.25">
      <c r="A242" s="4" t="s">
        <v>59</v>
      </c>
      <c r="B242" s="4" t="s">
        <v>41</v>
      </c>
      <c r="C242" s="4" t="s">
        <v>44</v>
      </c>
      <c r="D242" s="4" t="s">
        <v>40</v>
      </c>
      <c r="E242" s="4" t="s">
        <v>25</v>
      </c>
      <c r="F242" s="4" t="s">
        <v>60</v>
      </c>
      <c r="G242" s="4" t="s">
        <v>25</v>
      </c>
      <c r="H242" s="4" t="s">
        <v>36</v>
      </c>
      <c r="I242" s="5">
        <v>44866</v>
      </c>
      <c r="J242" s="6">
        <v>0</v>
      </c>
      <c r="K242" s="6">
        <v>0</v>
      </c>
      <c r="L242" s="6">
        <v>299.41699999999997</v>
      </c>
      <c r="M242" s="6">
        <v>144.1992272</v>
      </c>
      <c r="N242" s="6">
        <v>0</v>
      </c>
      <c r="O242" s="6">
        <v>0</v>
      </c>
      <c r="P242" s="6">
        <v>0</v>
      </c>
      <c r="Q242" s="4" t="s">
        <v>61</v>
      </c>
      <c r="R242" s="4">
        <v>0</v>
      </c>
      <c r="S242" s="4">
        <v>0</v>
      </c>
      <c r="T242" s="4">
        <v>28</v>
      </c>
      <c r="U242" s="4">
        <v>0</v>
      </c>
      <c r="V242" s="6">
        <f>IF(ISERROR(VLOOKUP($S$242,'TAR FIN'!$A$1:$O$115,15,0)),0,VLOOKUP($S$242,'TAR FIN'!$A$1:$O$115,15,0))</f>
        <v>0</v>
      </c>
      <c r="W242" s="6">
        <f>IF(ISERROR(VLOOKUP($T$242,'TAR FIN'!$A$1:$O$115,15,0)),0,VLOOKUP($T$242,'TAR FIN'!$A$1:$O$115,15,0))</f>
        <v>1448.96</v>
      </c>
      <c r="X242" s="6">
        <f>IF(ISERROR(VLOOKUP($U$242,'TAR FIN'!$A$1:$O$115,15,0)),0,VLOOKUP($U$242,'TAR FIN'!$A$1:$O$115,15,0))</f>
        <v>0</v>
      </c>
      <c r="Y242" s="6"/>
      <c r="Z242" s="6">
        <f ca="1">('TUSD BE'!$AM$28+'TUSD BF'!$AM$28+'TUSD CVA'!$AM$28)*1</f>
        <v>1480.1280206491922</v>
      </c>
      <c r="AA242" s="6"/>
      <c r="AB242" s="6">
        <f t="shared" si="14"/>
        <v>0</v>
      </c>
      <c r="AC242" s="6">
        <f t="shared" si="15"/>
        <v>224904.34407628796</v>
      </c>
      <c r="AD242" s="6">
        <f t="shared" si="16"/>
        <v>0</v>
      </c>
      <c r="AE242" s="6">
        <f t="shared" ca="1" si="17"/>
        <v>229742.17482403998</v>
      </c>
      <c r="AF242" s="4" t="s">
        <v>936</v>
      </c>
    </row>
    <row r="243" spans="1:32" ht="11.25" customHeight="1" x14ac:dyDescent="0.25">
      <c r="A243" s="4" t="s">
        <v>21</v>
      </c>
      <c r="B243" s="4" t="s">
        <v>41</v>
      </c>
      <c r="C243" s="4" t="s">
        <v>44</v>
      </c>
      <c r="D243" s="4" t="s">
        <v>47</v>
      </c>
      <c r="E243" s="4" t="s">
        <v>25</v>
      </c>
      <c r="F243" s="4" t="s">
        <v>25</v>
      </c>
      <c r="G243" s="4" t="s">
        <v>25</v>
      </c>
      <c r="H243" s="4" t="s">
        <v>37</v>
      </c>
      <c r="I243" s="5">
        <v>44743</v>
      </c>
      <c r="J243" s="6">
        <v>0</v>
      </c>
      <c r="K243" s="42">
        <v>0</v>
      </c>
      <c r="L243" s="6">
        <v>2.1999999999999999E-2</v>
      </c>
      <c r="M243" s="42">
        <v>2.1999999999999999E-2</v>
      </c>
      <c r="N243" s="6">
        <v>2.1999999999999999E-2</v>
      </c>
      <c r="O243" s="42">
        <v>2.1999999999999999E-2</v>
      </c>
      <c r="P243" s="6">
        <v>0</v>
      </c>
      <c r="Q243" s="4" t="s">
        <v>26</v>
      </c>
      <c r="R243" s="4">
        <v>0</v>
      </c>
      <c r="S243" s="4">
        <v>0</v>
      </c>
      <c r="T243" s="4">
        <v>29</v>
      </c>
      <c r="U243" s="4">
        <v>75</v>
      </c>
      <c r="V243" s="42">
        <f>IF(ISERROR(VLOOKUP($S$243,'TAR FIN'!$A$1:$O$115,15,0)),0,VLOOKUP($S$243,'TAR FIN'!$A$1:$O$115,15,0))</f>
        <v>0</v>
      </c>
      <c r="W243" s="42">
        <f>IF(ISERROR(VLOOKUP($T$243,'TAR FIN'!$A$1:$O$115,15,0)),0,VLOOKUP($T$243,'TAR FIN'!$A$1:$O$115,15,0))*(1-0.04)</f>
        <v>80.937600000000003</v>
      </c>
      <c r="X243" s="42">
        <f>IF(ISERROR(VLOOKUP($U$243,'TAR FIN'!$A$1:$O$115,15,0)),0,VLOOKUP($U$243,'TAR FIN'!$A$1:$O$115,15,0))*(1-0.04)</f>
        <v>161.33760000000001</v>
      </c>
      <c r="Y243" s="42"/>
      <c r="Z243" s="42">
        <f ca="1">('TUSD BE'!$AM$29+'TUSD BF'!$AM$29+'TUSD CVA'!$AM$29)*1*(1-0.02)</f>
        <v>111.16258866775823</v>
      </c>
      <c r="AA243" s="42">
        <f>('TE BE'!$AB$12+'TE BF'!$AB$12+'TE CVA'!$AB$12)*1*(1-0.02)</f>
        <v>214.31171930230647</v>
      </c>
      <c r="AB243" s="42">
        <f>(SUBSIDIO!$J$243*SUBSIDIO!$V$243)*(0.04)/(1-0.04)</f>
        <v>0</v>
      </c>
      <c r="AC243" s="42">
        <f>((SUBSIDIO!$L$243*SUBSIDIO!$W$243)+(SUBSIDIO!$N$243*SUBSIDIO!$X$243))*(0.04)/(1-0.04)</f>
        <v>0.22208559999999999</v>
      </c>
      <c r="AD243" s="42">
        <f>(SUBSIDIO!$J$243*SUBSIDIO!$Y$243)*(0.02)/(1-0.02)</f>
        <v>0</v>
      </c>
      <c r="AE243" s="42">
        <f ca="1">((SUBSIDIO!$L$243*SUBSIDIO!$Z$243)+(SUBSIDIO!$N$243*SUBSIDIO!$AA$243))*(0.02)/(1-0.02)</f>
        <v>0.14613132194574333</v>
      </c>
      <c r="AF243" s="4" t="s">
        <v>933</v>
      </c>
    </row>
    <row r="244" spans="1:32" ht="11.25" customHeight="1" x14ac:dyDescent="0.25">
      <c r="A244" s="4" t="s">
        <v>21</v>
      </c>
      <c r="B244" s="4" t="s">
        <v>41</v>
      </c>
      <c r="C244" s="4" t="s">
        <v>44</v>
      </c>
      <c r="D244" s="4" t="s">
        <v>47</v>
      </c>
      <c r="E244" s="4" t="s">
        <v>25</v>
      </c>
      <c r="F244" s="4" t="s">
        <v>25</v>
      </c>
      <c r="G244" s="4" t="s">
        <v>25</v>
      </c>
      <c r="H244" s="4" t="s">
        <v>37</v>
      </c>
      <c r="I244" s="5">
        <v>44774</v>
      </c>
      <c r="J244" s="6">
        <v>0</v>
      </c>
      <c r="K244" s="42">
        <v>0</v>
      </c>
      <c r="L244" s="6">
        <v>8.2000000000000003E-2</v>
      </c>
      <c r="M244" s="42">
        <v>8.2000000000000003E-2</v>
      </c>
      <c r="N244" s="6">
        <v>8.2000000000000003E-2</v>
      </c>
      <c r="O244" s="42">
        <v>8.2000000000000003E-2</v>
      </c>
      <c r="P244" s="6">
        <v>0</v>
      </c>
      <c r="Q244" s="4" t="s">
        <v>26</v>
      </c>
      <c r="R244" s="4">
        <v>0</v>
      </c>
      <c r="S244" s="4">
        <v>0</v>
      </c>
      <c r="T244" s="4">
        <v>29</v>
      </c>
      <c r="U244" s="4">
        <v>75</v>
      </c>
      <c r="V244" s="42">
        <f>IF(ISERROR(VLOOKUP($S$244,'TAR FIN'!$A$1:$O$115,15,0)),0,VLOOKUP($S$244,'TAR FIN'!$A$1:$O$115,15,0))</f>
        <v>0</v>
      </c>
      <c r="W244" s="42">
        <f>IF(ISERROR(VLOOKUP($T$244,'TAR FIN'!$A$1:$O$115,15,0)),0,VLOOKUP($T$244,'TAR FIN'!$A$1:$O$115,15,0))*(1-0.04)</f>
        <v>80.937600000000003</v>
      </c>
      <c r="X244" s="42">
        <f>IF(ISERROR(VLOOKUP($U$244,'TAR FIN'!$A$1:$O$115,15,0)),0,VLOOKUP($U$244,'TAR FIN'!$A$1:$O$115,15,0))*(1-0.04)</f>
        <v>161.33760000000001</v>
      </c>
      <c r="Y244" s="42"/>
      <c r="Z244" s="42">
        <f ca="1">('TUSD BE'!$AM$29+'TUSD BF'!$AM$29+'TUSD CVA'!$AM$29)*1*(1-0.02)</f>
        <v>111.16258866775823</v>
      </c>
      <c r="AA244" s="42">
        <f>('TE BE'!$AB$12+'TE BF'!$AB$12+'TE CVA'!$AB$12)*1*(1-0.02)</f>
        <v>214.31171930230647</v>
      </c>
      <c r="AB244" s="42">
        <f>(SUBSIDIO!$J$244*SUBSIDIO!$V$244)*(0.04)/(1-0.04)</f>
        <v>0</v>
      </c>
      <c r="AC244" s="42">
        <f>((SUBSIDIO!$L$244*SUBSIDIO!$W$244)+(SUBSIDIO!$N$244*SUBSIDIO!$X$244))*(0.04)/(1-0.04)</f>
        <v>0.82777360000000022</v>
      </c>
      <c r="AD244" s="42">
        <f>(SUBSIDIO!$J$244*SUBSIDIO!$Y$244)*(0.02)/(1-0.02)</f>
        <v>0</v>
      </c>
      <c r="AE244" s="42">
        <f ca="1">((SUBSIDIO!$L$244*SUBSIDIO!$Z$244)+(SUBSIDIO!$N$244*SUBSIDIO!$AA$244))*(0.02)/(1-0.02)</f>
        <v>0.54467129088867983</v>
      </c>
      <c r="AF244" s="4" t="s">
        <v>933</v>
      </c>
    </row>
    <row r="245" spans="1:32" ht="11.25" customHeight="1" x14ac:dyDescent="0.25">
      <c r="A245" s="4" t="s">
        <v>21</v>
      </c>
      <c r="B245" s="4" t="s">
        <v>41</v>
      </c>
      <c r="C245" s="4" t="s">
        <v>44</v>
      </c>
      <c r="D245" s="4" t="s">
        <v>47</v>
      </c>
      <c r="E245" s="4" t="s">
        <v>25</v>
      </c>
      <c r="F245" s="4" t="s">
        <v>25</v>
      </c>
      <c r="G245" s="4" t="s">
        <v>25</v>
      </c>
      <c r="H245" s="4" t="s">
        <v>37</v>
      </c>
      <c r="I245" s="5">
        <v>44805</v>
      </c>
      <c r="J245" s="6">
        <v>0</v>
      </c>
      <c r="K245" s="42">
        <v>0</v>
      </c>
      <c r="L245" s="6">
        <v>2E-3</v>
      </c>
      <c r="M245" s="42">
        <v>2E-3</v>
      </c>
      <c r="N245" s="6">
        <v>2E-3</v>
      </c>
      <c r="O245" s="42">
        <v>2E-3</v>
      </c>
      <c r="P245" s="6">
        <v>0</v>
      </c>
      <c r="Q245" s="4" t="s">
        <v>26</v>
      </c>
      <c r="R245" s="4">
        <v>0</v>
      </c>
      <c r="S245" s="4">
        <v>0</v>
      </c>
      <c r="T245" s="4">
        <v>29</v>
      </c>
      <c r="U245" s="4">
        <v>75</v>
      </c>
      <c r="V245" s="42">
        <f>IF(ISERROR(VLOOKUP($S$245,'TAR FIN'!$A$1:$O$115,15,0)),0,VLOOKUP($S$245,'TAR FIN'!$A$1:$O$115,15,0))</f>
        <v>0</v>
      </c>
      <c r="W245" s="42">
        <f>IF(ISERROR(VLOOKUP($T$245,'TAR FIN'!$A$1:$O$115,15,0)),0,VLOOKUP($T$245,'TAR FIN'!$A$1:$O$115,15,0))*(1-0.04)</f>
        <v>80.937600000000003</v>
      </c>
      <c r="X245" s="42">
        <f>IF(ISERROR(VLOOKUP($U$245,'TAR FIN'!$A$1:$O$115,15,0)),0,VLOOKUP($U$245,'TAR FIN'!$A$1:$O$115,15,0))*(1-0.04)</f>
        <v>161.33760000000001</v>
      </c>
      <c r="Y245" s="42"/>
      <c r="Z245" s="42">
        <f ca="1">('TUSD BE'!$AM$29+'TUSD BF'!$AM$29+'TUSD CVA'!$AM$29)*1*(1-0.02)</f>
        <v>111.16258866775823</v>
      </c>
      <c r="AA245" s="42">
        <f>('TE BE'!$AB$12+'TE BF'!$AB$12+'TE CVA'!$AB$12)*1*(1-0.02)</f>
        <v>214.31171930230647</v>
      </c>
      <c r="AB245" s="42">
        <f>(SUBSIDIO!$J$245*SUBSIDIO!$V$245)*(0.04)/(1-0.04)</f>
        <v>0</v>
      </c>
      <c r="AC245" s="42">
        <f>((SUBSIDIO!$L$245*SUBSIDIO!$W$245)+(SUBSIDIO!$N$245*SUBSIDIO!$X$245))*(0.04)/(1-0.04)</f>
        <v>2.0189600000000002E-2</v>
      </c>
      <c r="AD245" s="42">
        <f>(SUBSIDIO!$J$245*SUBSIDIO!$Y$245)*(0.02)/(1-0.02)</f>
        <v>0</v>
      </c>
      <c r="AE245" s="42">
        <f ca="1">((SUBSIDIO!$L$245*SUBSIDIO!$Z$245)+(SUBSIDIO!$N$245*SUBSIDIO!$AA$245))*(0.02)/(1-0.02)</f>
        <v>1.3284665631431214E-2</v>
      </c>
      <c r="AF245" s="4" t="s">
        <v>933</v>
      </c>
    </row>
    <row r="246" spans="1:32" ht="11.25" customHeight="1" x14ac:dyDescent="0.25">
      <c r="A246" s="4" t="s">
        <v>21</v>
      </c>
      <c r="B246" s="4" t="s">
        <v>41</v>
      </c>
      <c r="C246" s="4" t="s">
        <v>44</v>
      </c>
      <c r="D246" s="4" t="s">
        <v>47</v>
      </c>
      <c r="E246" s="4" t="s">
        <v>25</v>
      </c>
      <c r="F246" s="4" t="s">
        <v>25</v>
      </c>
      <c r="G246" s="4" t="s">
        <v>25</v>
      </c>
      <c r="H246" s="4" t="s">
        <v>37</v>
      </c>
      <c r="I246" s="5">
        <v>44835</v>
      </c>
      <c r="J246" s="6">
        <v>0</v>
      </c>
      <c r="K246" s="42">
        <v>0</v>
      </c>
      <c r="L246" s="6">
        <v>1E-3</v>
      </c>
      <c r="M246" s="42">
        <v>1E-3</v>
      </c>
      <c r="N246" s="6">
        <v>1E-3</v>
      </c>
      <c r="O246" s="42">
        <v>1E-3</v>
      </c>
      <c r="P246" s="6">
        <v>0</v>
      </c>
      <c r="Q246" s="4" t="s">
        <v>26</v>
      </c>
      <c r="R246" s="4">
        <v>0</v>
      </c>
      <c r="S246" s="4">
        <v>0</v>
      </c>
      <c r="T246" s="4">
        <v>29</v>
      </c>
      <c r="U246" s="4">
        <v>75</v>
      </c>
      <c r="V246" s="42">
        <f>IF(ISERROR(VLOOKUP($S$246,'TAR FIN'!$A$1:$O$115,15,0)),0,VLOOKUP($S$246,'TAR FIN'!$A$1:$O$115,15,0))</f>
        <v>0</v>
      </c>
      <c r="W246" s="42">
        <f>IF(ISERROR(VLOOKUP($T$246,'TAR FIN'!$A$1:$O$115,15,0)),0,VLOOKUP($T$246,'TAR FIN'!$A$1:$O$115,15,0))*(1-0.04)</f>
        <v>80.937600000000003</v>
      </c>
      <c r="X246" s="42">
        <f>IF(ISERROR(VLOOKUP($U$246,'TAR FIN'!$A$1:$O$115,15,0)),0,VLOOKUP($U$246,'TAR FIN'!$A$1:$O$115,15,0))*(1-0.04)</f>
        <v>161.33760000000001</v>
      </c>
      <c r="Y246" s="42"/>
      <c r="Z246" s="42">
        <f ca="1">('TUSD BE'!$AM$29+'TUSD BF'!$AM$29+'TUSD CVA'!$AM$29)*1*(1-0.02)</f>
        <v>111.16258866775823</v>
      </c>
      <c r="AA246" s="42">
        <f>('TE BE'!$AB$12+'TE BF'!$AB$12+'TE CVA'!$AB$12)*1*(1-0.02)</f>
        <v>214.31171930230647</v>
      </c>
      <c r="AB246" s="42">
        <f>(SUBSIDIO!$J$246*SUBSIDIO!$V$246)*(0.04)/(1-0.04)</f>
        <v>0</v>
      </c>
      <c r="AC246" s="42">
        <f>((SUBSIDIO!$L$246*SUBSIDIO!$W$246)+(SUBSIDIO!$N$246*SUBSIDIO!$X$246))*(0.04)/(1-0.04)</f>
        <v>1.0094800000000001E-2</v>
      </c>
      <c r="AD246" s="42">
        <f>(SUBSIDIO!$J$246*SUBSIDIO!$Y$246)*(0.02)/(1-0.02)</f>
        <v>0</v>
      </c>
      <c r="AE246" s="42">
        <f ca="1">((SUBSIDIO!$L$246*SUBSIDIO!$Z$246)+(SUBSIDIO!$N$246*SUBSIDIO!$AA$246))*(0.02)/(1-0.02)</f>
        <v>6.642332815715607E-3</v>
      </c>
      <c r="AF246" s="4" t="s">
        <v>933</v>
      </c>
    </row>
    <row r="247" spans="1:32" ht="11.25" customHeight="1" x14ac:dyDescent="0.25">
      <c r="A247" s="4" t="s">
        <v>59</v>
      </c>
      <c r="B247" s="4" t="s">
        <v>41</v>
      </c>
      <c r="C247" s="4" t="s">
        <v>44</v>
      </c>
      <c r="D247" s="4" t="s">
        <v>47</v>
      </c>
      <c r="E247" s="4" t="s">
        <v>25</v>
      </c>
      <c r="F247" s="4" t="s">
        <v>25</v>
      </c>
      <c r="G247" s="4" t="s">
        <v>25</v>
      </c>
      <c r="H247" s="4" t="s">
        <v>37</v>
      </c>
      <c r="I247" s="5">
        <v>44866</v>
      </c>
      <c r="J247" s="6">
        <v>0</v>
      </c>
      <c r="K247" s="42">
        <v>0</v>
      </c>
      <c r="L247" s="6">
        <v>1E-3</v>
      </c>
      <c r="M247" s="42">
        <v>1E-3</v>
      </c>
      <c r="N247" s="6">
        <v>1E-3</v>
      </c>
      <c r="O247" s="42">
        <v>1E-3</v>
      </c>
      <c r="P247" s="6">
        <v>0</v>
      </c>
      <c r="Q247" s="4" t="s">
        <v>26</v>
      </c>
      <c r="R247" s="4">
        <v>0</v>
      </c>
      <c r="S247" s="4">
        <v>0</v>
      </c>
      <c r="T247" s="4">
        <v>29</v>
      </c>
      <c r="U247" s="4">
        <v>75</v>
      </c>
      <c r="V247" s="42">
        <f>IF(ISERROR(VLOOKUP($S$247,'TAR FIN'!$A$1:$O$115,15,0)),0,VLOOKUP($S$247,'TAR FIN'!$A$1:$O$115,15,0))</f>
        <v>0</v>
      </c>
      <c r="W247" s="42">
        <f>IF(ISERROR(VLOOKUP($T$247,'TAR FIN'!$A$1:$O$115,15,0)),0,VLOOKUP($T$247,'TAR FIN'!$A$1:$O$115,15,0))*(1-0.04)</f>
        <v>80.937600000000003</v>
      </c>
      <c r="X247" s="42">
        <f>IF(ISERROR(VLOOKUP($U$247,'TAR FIN'!$A$1:$O$115,15,0)),0,VLOOKUP($U$247,'TAR FIN'!$A$1:$O$115,15,0))*(1-0.04)</f>
        <v>161.33760000000001</v>
      </c>
      <c r="Y247" s="42"/>
      <c r="Z247" s="42">
        <f ca="1">('TUSD BE'!$AM$29+'TUSD BF'!$AM$29+'TUSD CVA'!$AM$29)*1*(1-0.02)</f>
        <v>111.16258866775823</v>
      </c>
      <c r="AA247" s="42">
        <f>('TE BE'!$AB$12+'TE BF'!$AB$12+'TE CVA'!$AB$12)*1*(1-0.02)</f>
        <v>214.31171930230647</v>
      </c>
      <c r="AB247" s="42">
        <f>(SUBSIDIO!$J$247*SUBSIDIO!$V$247)*(0.04)/(1-0.04)</f>
        <v>0</v>
      </c>
      <c r="AC247" s="42">
        <f>((SUBSIDIO!$L$247*SUBSIDIO!$W$247)+(SUBSIDIO!$N$247*SUBSIDIO!$X$247))*(0.04)/(1-0.04)</f>
        <v>1.0094800000000001E-2</v>
      </c>
      <c r="AD247" s="42">
        <f>(SUBSIDIO!$J$247*SUBSIDIO!$Y$247)*(0.02)/(1-0.02)</f>
        <v>0</v>
      </c>
      <c r="AE247" s="42">
        <f ca="1">((SUBSIDIO!$L$247*SUBSIDIO!$Z$247)+(SUBSIDIO!$N$247*SUBSIDIO!$AA$247))*(0.02)/(1-0.02)</f>
        <v>6.642332815715607E-3</v>
      </c>
      <c r="AF247" s="4" t="s">
        <v>933</v>
      </c>
    </row>
    <row r="248" spans="1:32" ht="11.25" customHeight="1" x14ac:dyDescent="0.25">
      <c r="A248" s="4" t="s">
        <v>21</v>
      </c>
      <c r="B248" s="4" t="s">
        <v>41</v>
      </c>
      <c r="C248" s="4" t="s">
        <v>44</v>
      </c>
      <c r="D248" s="4" t="s">
        <v>47</v>
      </c>
      <c r="E248" s="4" t="s">
        <v>25</v>
      </c>
      <c r="F248" s="4" t="s">
        <v>25</v>
      </c>
      <c r="G248" s="4" t="s">
        <v>25</v>
      </c>
      <c r="H248" s="4" t="s">
        <v>25</v>
      </c>
      <c r="I248" s="5">
        <v>44774</v>
      </c>
      <c r="J248" s="6">
        <v>15</v>
      </c>
      <c r="K248" s="42">
        <v>15</v>
      </c>
      <c r="L248" s="6">
        <v>0</v>
      </c>
      <c r="M248" s="42">
        <v>0</v>
      </c>
      <c r="N248" s="6">
        <v>0</v>
      </c>
      <c r="O248" s="42">
        <v>0</v>
      </c>
      <c r="P248" s="6">
        <v>1</v>
      </c>
      <c r="Q248" s="4" t="s">
        <v>26</v>
      </c>
      <c r="R248" s="4">
        <v>0</v>
      </c>
      <c r="S248" s="4">
        <v>27</v>
      </c>
      <c r="T248" s="4">
        <v>0</v>
      </c>
      <c r="U248" s="4">
        <v>0</v>
      </c>
      <c r="V248" s="42">
        <f>IF(ISERROR(VLOOKUP($S$248,'TAR FIN'!$A$1:$O$115,15,0)),0,VLOOKUP($S$248,'TAR FIN'!$A$1:$O$115,15,0))*(1-0.04)</f>
        <v>19.007999999999999</v>
      </c>
      <c r="W248" s="42">
        <f>IF(ISERROR(VLOOKUP($T$248,'TAR FIN'!$A$1:$O$115,15,0)),0,VLOOKUP($T$248,'TAR FIN'!$A$1:$O$115,15,0))</f>
        <v>0</v>
      </c>
      <c r="X248" s="42">
        <f>IF(ISERROR(VLOOKUP($U$248,'TAR FIN'!$A$1:$O$115,15,0)),0,VLOOKUP($U$248,'TAR FIN'!$A$1:$O$115,15,0))</f>
        <v>0</v>
      </c>
      <c r="Y248" s="42">
        <f ca="1">('TUSD BE'!$AM$27+'TUSD BF'!$AM$27+'TUSD CVA'!$AM$27)*1*(1-0.02)</f>
        <v>20.202910043621255</v>
      </c>
      <c r="Z248" s="42"/>
      <c r="AA248" s="42"/>
      <c r="AB248" s="42">
        <f>(SUBSIDIO!$J$248*SUBSIDIO!$V$248)*(0.04)/(1-0.04)</f>
        <v>11.88</v>
      </c>
      <c r="AC248" s="42">
        <f>((SUBSIDIO!$L$248*SUBSIDIO!$W$248)+(SUBSIDIO!$N$248*SUBSIDIO!$X$248))*(0.04)/(1-0.04)</f>
        <v>0</v>
      </c>
      <c r="AD248" s="42">
        <f ca="1">(SUBSIDIO!$J$248*SUBSIDIO!$Y$248)*(0.02)/(1-0.02)</f>
        <v>6.1845642990677314</v>
      </c>
      <c r="AE248" s="42">
        <f>((SUBSIDIO!$L$248*SUBSIDIO!$Z$248)+(SUBSIDIO!$N$248*SUBSIDIO!$AA$248))*(0.02)/(1-0.02)</f>
        <v>0</v>
      </c>
      <c r="AF248" s="4" t="s">
        <v>933</v>
      </c>
    </row>
    <row r="249" spans="1:32" ht="11.25" customHeight="1" x14ac:dyDescent="0.25">
      <c r="A249" s="4" t="s">
        <v>21</v>
      </c>
      <c r="B249" s="4" t="s">
        <v>41</v>
      </c>
      <c r="C249" s="4" t="s">
        <v>44</v>
      </c>
      <c r="D249" s="4" t="s">
        <v>47</v>
      </c>
      <c r="E249" s="4" t="s">
        <v>25</v>
      </c>
      <c r="F249" s="4" t="s">
        <v>25</v>
      </c>
      <c r="G249" s="4" t="s">
        <v>25</v>
      </c>
      <c r="H249" s="4" t="s">
        <v>25</v>
      </c>
      <c r="I249" s="5">
        <v>44805</v>
      </c>
      <c r="J249" s="6">
        <v>1</v>
      </c>
      <c r="K249" s="42">
        <v>1</v>
      </c>
      <c r="L249" s="6">
        <v>0</v>
      </c>
      <c r="M249" s="42">
        <v>0</v>
      </c>
      <c r="N249" s="6">
        <v>0</v>
      </c>
      <c r="O249" s="42">
        <v>0</v>
      </c>
      <c r="P249" s="6">
        <v>1</v>
      </c>
      <c r="Q249" s="4" t="s">
        <v>26</v>
      </c>
      <c r="R249" s="4">
        <v>0</v>
      </c>
      <c r="S249" s="4">
        <v>27</v>
      </c>
      <c r="T249" s="4">
        <v>0</v>
      </c>
      <c r="U249" s="4">
        <v>0</v>
      </c>
      <c r="V249" s="42">
        <f>IF(ISERROR(VLOOKUP($S$249,'TAR FIN'!$A$1:$O$115,15,0)),0,VLOOKUP($S$249,'TAR FIN'!$A$1:$O$115,15,0))*(1-0.04)</f>
        <v>19.007999999999999</v>
      </c>
      <c r="W249" s="42">
        <f>IF(ISERROR(VLOOKUP($T$249,'TAR FIN'!$A$1:$O$115,15,0)),0,VLOOKUP($T$249,'TAR FIN'!$A$1:$O$115,15,0))</f>
        <v>0</v>
      </c>
      <c r="X249" s="42">
        <f>IF(ISERROR(VLOOKUP($U$249,'TAR FIN'!$A$1:$O$115,15,0)),0,VLOOKUP($U$249,'TAR FIN'!$A$1:$O$115,15,0))</f>
        <v>0</v>
      </c>
      <c r="Y249" s="42">
        <f ca="1">('TUSD BE'!$AM$27+'TUSD BF'!$AM$27+'TUSD CVA'!$AM$27)*1*(1-0.02)</f>
        <v>20.202910043621255</v>
      </c>
      <c r="Z249" s="42"/>
      <c r="AA249" s="42"/>
      <c r="AB249" s="42">
        <f>(SUBSIDIO!$J$249*SUBSIDIO!$V$249)*(0.04)/(1-0.04)</f>
        <v>0.79200000000000004</v>
      </c>
      <c r="AC249" s="42">
        <f>((SUBSIDIO!$L$249*SUBSIDIO!$W$249)+(SUBSIDIO!$N$249*SUBSIDIO!$X$249))*(0.04)/(1-0.04)</f>
        <v>0</v>
      </c>
      <c r="AD249" s="42">
        <f ca="1">(SUBSIDIO!$J$249*SUBSIDIO!$Y$249)*(0.02)/(1-0.02)</f>
        <v>0.4123042866045154</v>
      </c>
      <c r="AE249" s="42">
        <f>((SUBSIDIO!$L$249*SUBSIDIO!$Z$249)+(SUBSIDIO!$N$249*SUBSIDIO!$AA$249))*(0.02)/(1-0.02)</f>
        <v>0</v>
      </c>
      <c r="AF249" s="4" t="s">
        <v>933</v>
      </c>
    </row>
    <row r="250" spans="1:32" ht="11.25" customHeight="1" x14ac:dyDescent="0.25">
      <c r="A250" s="4" t="s">
        <v>21</v>
      </c>
      <c r="B250" s="4" t="s">
        <v>41</v>
      </c>
      <c r="C250" s="4" t="s">
        <v>44</v>
      </c>
      <c r="D250" s="4" t="s">
        <v>47</v>
      </c>
      <c r="E250" s="4" t="s">
        <v>25</v>
      </c>
      <c r="F250" s="4" t="s">
        <v>25</v>
      </c>
      <c r="G250" s="4" t="s">
        <v>25</v>
      </c>
      <c r="H250" s="4" t="s">
        <v>25</v>
      </c>
      <c r="I250" s="5">
        <v>44835</v>
      </c>
      <c r="J250" s="6">
        <v>1</v>
      </c>
      <c r="K250" s="42">
        <v>1</v>
      </c>
      <c r="L250" s="6">
        <v>0</v>
      </c>
      <c r="M250" s="42">
        <v>0</v>
      </c>
      <c r="N250" s="6">
        <v>0</v>
      </c>
      <c r="O250" s="42">
        <v>0</v>
      </c>
      <c r="P250" s="6">
        <v>1</v>
      </c>
      <c r="Q250" s="4" t="s">
        <v>26</v>
      </c>
      <c r="R250" s="4">
        <v>0</v>
      </c>
      <c r="S250" s="4">
        <v>27</v>
      </c>
      <c r="T250" s="4">
        <v>0</v>
      </c>
      <c r="U250" s="4">
        <v>0</v>
      </c>
      <c r="V250" s="42">
        <f>IF(ISERROR(VLOOKUP($S$250,'TAR FIN'!$A$1:$O$115,15,0)),0,VLOOKUP($S$250,'TAR FIN'!$A$1:$O$115,15,0))*(1-0.04)</f>
        <v>19.007999999999999</v>
      </c>
      <c r="W250" s="42">
        <f>IF(ISERROR(VLOOKUP($T$250,'TAR FIN'!$A$1:$O$115,15,0)),0,VLOOKUP($T$250,'TAR FIN'!$A$1:$O$115,15,0))</f>
        <v>0</v>
      </c>
      <c r="X250" s="42">
        <f>IF(ISERROR(VLOOKUP($U$250,'TAR FIN'!$A$1:$O$115,15,0)),0,VLOOKUP($U$250,'TAR FIN'!$A$1:$O$115,15,0))</f>
        <v>0</v>
      </c>
      <c r="Y250" s="42">
        <f ca="1">('TUSD BE'!$AM$27+'TUSD BF'!$AM$27+'TUSD CVA'!$AM$27)*1*(1-0.02)</f>
        <v>20.202910043621255</v>
      </c>
      <c r="Z250" s="42"/>
      <c r="AA250" s="42"/>
      <c r="AB250" s="42">
        <f>(SUBSIDIO!$J$250*SUBSIDIO!$V$250)*(0.04)/(1-0.04)</f>
        <v>0.79200000000000004</v>
      </c>
      <c r="AC250" s="42">
        <f>((SUBSIDIO!$L$250*SUBSIDIO!$W$250)+(SUBSIDIO!$N$250*SUBSIDIO!$X$250))*(0.04)/(1-0.04)</f>
        <v>0</v>
      </c>
      <c r="AD250" s="42">
        <f ca="1">(SUBSIDIO!$J$250*SUBSIDIO!$Y$250)*(0.02)/(1-0.02)</f>
        <v>0.4123042866045154</v>
      </c>
      <c r="AE250" s="42">
        <f>((SUBSIDIO!$L$250*SUBSIDIO!$Z$250)+(SUBSIDIO!$N$250*SUBSIDIO!$AA$250))*(0.02)/(1-0.02)</f>
        <v>0</v>
      </c>
      <c r="AF250" s="4" t="s">
        <v>933</v>
      </c>
    </row>
    <row r="251" spans="1:32" ht="11.25" customHeight="1" x14ac:dyDescent="0.25">
      <c r="A251" s="4" t="s">
        <v>59</v>
      </c>
      <c r="B251" s="4" t="s">
        <v>41</v>
      </c>
      <c r="C251" s="4" t="s">
        <v>44</v>
      </c>
      <c r="D251" s="4" t="s">
        <v>47</v>
      </c>
      <c r="E251" s="4" t="s">
        <v>25</v>
      </c>
      <c r="F251" s="4" t="s">
        <v>25</v>
      </c>
      <c r="G251" s="4" t="s">
        <v>25</v>
      </c>
      <c r="H251" s="4" t="s">
        <v>25</v>
      </c>
      <c r="I251" s="5">
        <v>44866</v>
      </c>
      <c r="J251" s="6">
        <v>1</v>
      </c>
      <c r="K251" s="42">
        <v>1</v>
      </c>
      <c r="L251" s="6">
        <v>0</v>
      </c>
      <c r="M251" s="42">
        <v>0</v>
      </c>
      <c r="N251" s="6">
        <v>0</v>
      </c>
      <c r="O251" s="42">
        <v>0</v>
      </c>
      <c r="P251" s="6">
        <v>1</v>
      </c>
      <c r="Q251" s="4" t="s">
        <v>26</v>
      </c>
      <c r="R251" s="4">
        <v>0</v>
      </c>
      <c r="S251" s="4">
        <v>27</v>
      </c>
      <c r="T251" s="4">
        <v>0</v>
      </c>
      <c r="U251" s="4">
        <v>0</v>
      </c>
      <c r="V251" s="42">
        <f>IF(ISERROR(VLOOKUP($S$251,'TAR FIN'!$A$1:$O$115,15,0)),0,VLOOKUP($S$251,'TAR FIN'!$A$1:$O$115,15,0))*(1-0.04)</f>
        <v>19.007999999999999</v>
      </c>
      <c r="W251" s="42">
        <f>IF(ISERROR(VLOOKUP($T$251,'TAR FIN'!$A$1:$O$115,15,0)),0,VLOOKUP($T$251,'TAR FIN'!$A$1:$O$115,15,0))</f>
        <v>0</v>
      </c>
      <c r="X251" s="42">
        <f>IF(ISERROR(VLOOKUP($U$251,'TAR FIN'!$A$1:$O$115,15,0)),0,VLOOKUP($U$251,'TAR FIN'!$A$1:$O$115,15,0))</f>
        <v>0</v>
      </c>
      <c r="Y251" s="42">
        <f ca="1">('TUSD BE'!$AM$27+'TUSD BF'!$AM$27+'TUSD CVA'!$AM$27)*1*(1-0.02)</f>
        <v>20.202910043621255</v>
      </c>
      <c r="Z251" s="42"/>
      <c r="AA251" s="42"/>
      <c r="AB251" s="42">
        <f>(SUBSIDIO!$J$251*SUBSIDIO!$V$251)*(0.04)/(1-0.04)</f>
        <v>0.79200000000000004</v>
      </c>
      <c r="AC251" s="42">
        <f>((SUBSIDIO!$L$251*SUBSIDIO!$W$251)+(SUBSIDIO!$N$251*SUBSIDIO!$X$251))*(0.04)/(1-0.04)</f>
        <v>0</v>
      </c>
      <c r="AD251" s="42">
        <f ca="1">(SUBSIDIO!$J$251*SUBSIDIO!$Y$251)*(0.02)/(1-0.02)</f>
        <v>0.4123042866045154</v>
      </c>
      <c r="AE251" s="42">
        <f>((SUBSIDIO!$L$251*SUBSIDIO!$Z$251)+(SUBSIDIO!$N$251*SUBSIDIO!$AA$251))*(0.02)/(1-0.02)</f>
        <v>0</v>
      </c>
      <c r="AF251" s="4" t="s">
        <v>933</v>
      </c>
    </row>
    <row r="252" spans="1:32" ht="11.25" customHeight="1" x14ac:dyDescent="0.25">
      <c r="A252" s="4" t="s">
        <v>27</v>
      </c>
      <c r="B252" s="4" t="s">
        <v>41</v>
      </c>
      <c r="C252" s="4" t="s">
        <v>44</v>
      </c>
      <c r="D252" s="4" t="s">
        <v>47</v>
      </c>
      <c r="E252" s="4" t="s">
        <v>25</v>
      </c>
      <c r="F252" s="4" t="s">
        <v>25</v>
      </c>
      <c r="G252" s="4" t="s">
        <v>25</v>
      </c>
      <c r="H252" s="4" t="s">
        <v>36</v>
      </c>
      <c r="I252" s="5">
        <v>44531</v>
      </c>
      <c r="J252" s="6">
        <v>0</v>
      </c>
      <c r="K252" s="42">
        <v>0</v>
      </c>
      <c r="L252" s="6">
        <v>-0.35899999999999999</v>
      </c>
      <c r="M252" s="42">
        <v>-0.35899999999999999</v>
      </c>
      <c r="N252" s="6">
        <v>-0.35899999999999999</v>
      </c>
      <c r="O252" s="42">
        <v>-0.35899999999999999</v>
      </c>
      <c r="P252" s="6">
        <v>0</v>
      </c>
      <c r="Q252" s="4" t="s">
        <v>26</v>
      </c>
      <c r="R252" s="4">
        <v>0</v>
      </c>
      <c r="S252" s="4">
        <v>0</v>
      </c>
      <c r="T252" s="4">
        <v>28</v>
      </c>
      <c r="U252" s="4">
        <v>74</v>
      </c>
      <c r="V252" s="42">
        <f>IF(ISERROR(VLOOKUP($S$252,'TAR FIN'!$A$1:$O$115,15,0)),0,VLOOKUP($S$252,'TAR FIN'!$A$1:$O$115,15,0))</f>
        <v>0</v>
      </c>
      <c r="W252" s="42">
        <f>IF(ISERROR(VLOOKUP($T$252,'TAR FIN'!$A$1:$O$115,15,0)),0,VLOOKUP($T$252,'TAR FIN'!$A$1:$O$115,15,0))*(1-0.04)</f>
        <v>1391.0016000000001</v>
      </c>
      <c r="X252" s="42">
        <f>IF(ISERROR(VLOOKUP($U$252,'TAR FIN'!$A$1:$O$115,15,0)),0,VLOOKUP($U$252,'TAR FIN'!$A$1:$O$115,15,0))*(1-0.04)</f>
        <v>259.488</v>
      </c>
      <c r="Y252" s="42"/>
      <c r="Z252" s="42">
        <f ca="1">('TUSD BE'!$AM$28+'TUSD BF'!$AM$28+'TUSD CVA'!$AM$28)*1*(1-0.02)</f>
        <v>1450.5254602362083</v>
      </c>
      <c r="AA252" s="42">
        <f>('TE BE'!$AB$11+'TE BF'!$AB$11+'TE CVA'!$AB$11)*1*(1-0.02)</f>
        <v>355.39110709588994</v>
      </c>
      <c r="AB252" s="42">
        <f>(SUBSIDIO!$J$252*SUBSIDIO!$V$252)*(0.04)/(1-0.04)</f>
        <v>0</v>
      </c>
      <c r="AC252" s="42">
        <f>((SUBSIDIO!$L$252*SUBSIDIO!$W$252)+(SUBSIDIO!$N$252*SUBSIDIO!$X$252))*(0.04)/(1-0.04)</f>
        <v>-24.688573599999998</v>
      </c>
      <c r="AD252" s="42">
        <f>(SUBSIDIO!$J$252*SUBSIDIO!$Y$252)*(0.02)/(1-0.02)</f>
        <v>0</v>
      </c>
      <c r="AE252" s="42">
        <f ca="1">((SUBSIDIO!$L$252*SUBSIDIO!$Z$252)+(SUBSIDIO!$N$252*SUBSIDIO!$AA$252))*(0.02)/(1-0.02)</f>
        <v>-13.231103013718842</v>
      </c>
      <c r="AF252" s="4" t="s">
        <v>933</v>
      </c>
    </row>
    <row r="253" spans="1:32" ht="11.25" customHeight="1" x14ac:dyDescent="0.25">
      <c r="A253" s="4" t="s">
        <v>21</v>
      </c>
      <c r="B253" s="4" t="s">
        <v>41</v>
      </c>
      <c r="C253" s="4" t="s">
        <v>44</v>
      </c>
      <c r="D253" s="4" t="s">
        <v>47</v>
      </c>
      <c r="E253" s="4" t="s">
        <v>25</v>
      </c>
      <c r="F253" s="4" t="s">
        <v>25</v>
      </c>
      <c r="G253" s="4" t="s">
        <v>25</v>
      </c>
      <c r="H253" s="4" t="s">
        <v>36</v>
      </c>
      <c r="I253" s="5">
        <v>44743</v>
      </c>
      <c r="J253" s="6">
        <v>0</v>
      </c>
      <c r="K253" s="42">
        <v>0</v>
      </c>
      <c r="L253" s="6">
        <v>2E-3</v>
      </c>
      <c r="M253" s="42">
        <v>2E-3</v>
      </c>
      <c r="N253" s="6">
        <v>2E-3</v>
      </c>
      <c r="O253" s="42">
        <v>2E-3</v>
      </c>
      <c r="P253" s="6">
        <v>0</v>
      </c>
      <c r="Q253" s="4" t="s">
        <v>26</v>
      </c>
      <c r="R253" s="4">
        <v>0</v>
      </c>
      <c r="S253" s="4">
        <v>0</v>
      </c>
      <c r="T253" s="4">
        <v>28</v>
      </c>
      <c r="U253" s="4">
        <v>74</v>
      </c>
      <c r="V253" s="42">
        <f>IF(ISERROR(VLOOKUP($S$253,'TAR FIN'!$A$1:$O$115,15,0)),0,VLOOKUP($S$253,'TAR FIN'!$A$1:$O$115,15,0))</f>
        <v>0</v>
      </c>
      <c r="W253" s="42">
        <f>IF(ISERROR(VLOOKUP($T$253,'TAR FIN'!$A$1:$O$115,15,0)),0,VLOOKUP($T$253,'TAR FIN'!$A$1:$O$115,15,0))*(1-0.04)</f>
        <v>1391.0016000000001</v>
      </c>
      <c r="X253" s="42">
        <f>IF(ISERROR(VLOOKUP($U$253,'TAR FIN'!$A$1:$O$115,15,0)),0,VLOOKUP($U$253,'TAR FIN'!$A$1:$O$115,15,0))*(1-0.04)</f>
        <v>259.488</v>
      </c>
      <c r="Y253" s="42"/>
      <c r="Z253" s="42">
        <f ca="1">('TUSD BE'!$AM$28+'TUSD BF'!$AM$28+'TUSD CVA'!$AM$28)*1*(1-0.02)</f>
        <v>1450.5254602362083</v>
      </c>
      <c r="AA253" s="42">
        <f>('TE BE'!$AB$11+'TE BF'!$AB$11+'TE CVA'!$AB$11)*1*(1-0.02)</f>
        <v>355.39110709588994</v>
      </c>
      <c r="AB253" s="42">
        <f>(SUBSIDIO!$J$253*SUBSIDIO!$V$253)*(0.04)/(1-0.04)</f>
        <v>0</v>
      </c>
      <c r="AC253" s="42">
        <f>((SUBSIDIO!$L$253*SUBSIDIO!$W$253)+(SUBSIDIO!$N$253*SUBSIDIO!$X$253))*(0.04)/(1-0.04)</f>
        <v>0.13754080000000002</v>
      </c>
      <c r="AD253" s="42">
        <f>(SUBSIDIO!$J$253*SUBSIDIO!$Y$253)*(0.02)/(1-0.02)</f>
        <v>0</v>
      </c>
      <c r="AE253" s="42">
        <f ca="1">((SUBSIDIO!$L$253*SUBSIDIO!$Z$253)+(SUBSIDIO!$N$253*SUBSIDIO!$AA$253))*(0.02)/(1-0.02)</f>
        <v>7.3710880299269324E-2</v>
      </c>
      <c r="AF253" s="4" t="s">
        <v>933</v>
      </c>
    </row>
    <row r="254" spans="1:32" ht="11.25" customHeight="1" x14ac:dyDescent="0.25">
      <c r="A254" s="4" t="s">
        <v>21</v>
      </c>
      <c r="B254" s="4" t="s">
        <v>41</v>
      </c>
      <c r="C254" s="4" t="s">
        <v>44</v>
      </c>
      <c r="D254" s="4" t="s">
        <v>52</v>
      </c>
      <c r="E254" s="4" t="s">
        <v>53</v>
      </c>
      <c r="F254" s="4" t="s">
        <v>25</v>
      </c>
      <c r="G254" s="4" t="s">
        <v>25</v>
      </c>
      <c r="H254" s="4" t="s">
        <v>37</v>
      </c>
      <c r="I254" s="5">
        <v>44531</v>
      </c>
      <c r="J254" s="6">
        <v>0</v>
      </c>
      <c r="K254" s="42">
        <v>0</v>
      </c>
      <c r="L254" s="6">
        <v>2337.0320000000002</v>
      </c>
      <c r="M254" s="42">
        <v>2337.0320000000002</v>
      </c>
      <c r="N254" s="6">
        <v>2337.0320000000002</v>
      </c>
      <c r="O254" s="42">
        <v>2337.0320000000002</v>
      </c>
      <c r="P254" s="6">
        <v>0</v>
      </c>
      <c r="Q254" s="4" t="s">
        <v>26</v>
      </c>
      <c r="R254" s="4">
        <v>0</v>
      </c>
      <c r="S254" s="4">
        <v>0</v>
      </c>
      <c r="T254" s="4">
        <v>29</v>
      </c>
      <c r="U254" s="4">
        <v>75</v>
      </c>
      <c r="V254" s="42">
        <f>IF(ISERROR(VLOOKUP($S$254,'TAR FIN'!$A$1:$O$115,15,0)),0,VLOOKUP($S$254,'TAR FIN'!$A$1:$O$115,15,0))</f>
        <v>0</v>
      </c>
      <c r="W254" s="42">
        <f>IF(ISERROR(VLOOKUP($T$254,'TAR FIN'!$A$1:$O$115,15,0)),0,VLOOKUP($T$254,'TAR FIN'!$A$1:$O$115,15,0))*(1-0.06)</f>
        <v>79.251400000000004</v>
      </c>
      <c r="X254" s="42">
        <f>IF(ISERROR(VLOOKUP($U$254,'TAR FIN'!$A$1:$O$115,15,0)),0,VLOOKUP($U$254,'TAR FIN'!$A$1:$O$115,15,0))*(1-0.06)</f>
        <v>157.97639999999998</v>
      </c>
      <c r="Y254" s="42"/>
      <c r="Z254" s="42">
        <f ca="1">('TUSD BE'!$AM$29+'TUSD BF'!$AM$29+'TUSD CVA'!$AM$29)*1*(1-0.03)</f>
        <v>110.02827653849539</v>
      </c>
      <c r="AA254" s="42">
        <f>('TE BE'!$AB$12+'TE BF'!$AB$12+'TE CVA'!$AB$12)*1*(1-0.03)</f>
        <v>212.12486502371149</v>
      </c>
      <c r="AB254" s="42">
        <f>(SUBSIDIO!$J$254*SUBSIDIO!$V$254)*(0.06)/(1-0.06)</f>
        <v>0</v>
      </c>
      <c r="AC254" s="42">
        <f>((SUBSIDIO!$L$254*SUBSIDIO!$W$254)+(SUBSIDIO!$N$254*SUBSIDIO!$X$254))*(0.06)/(1-0.06)</f>
        <v>35387.805950400005</v>
      </c>
      <c r="AD254" s="42">
        <f>(SUBSIDIO!$J$254*SUBSIDIO!$Y$254)*(0.03)/(1-0.03)</f>
        <v>0</v>
      </c>
      <c r="AE254" s="42">
        <f ca="1">((SUBSIDIO!$L$254*SUBSIDIO!$Z$254)+(SUBSIDIO!$N$254*SUBSIDIO!$AA$254))*(0.03)/(1-0.03)</f>
        <v>23285.016517466214</v>
      </c>
      <c r="AF254" s="4" t="s">
        <v>935</v>
      </c>
    </row>
    <row r="255" spans="1:32" ht="11.25" customHeight="1" x14ac:dyDescent="0.25">
      <c r="A255" s="4" t="s">
        <v>28</v>
      </c>
      <c r="B255" s="4" t="s">
        <v>41</v>
      </c>
      <c r="C255" s="4" t="s">
        <v>44</v>
      </c>
      <c r="D255" s="4" t="s">
        <v>52</v>
      </c>
      <c r="E255" s="4" t="s">
        <v>53</v>
      </c>
      <c r="F255" s="4" t="s">
        <v>25</v>
      </c>
      <c r="G255" s="4" t="s">
        <v>25</v>
      </c>
      <c r="H255" s="4" t="s">
        <v>37</v>
      </c>
      <c r="I255" s="5">
        <v>44531</v>
      </c>
      <c r="J255" s="6">
        <v>0</v>
      </c>
      <c r="K255" s="42">
        <v>0</v>
      </c>
      <c r="L255" s="6">
        <v>325.91500000000002</v>
      </c>
      <c r="M255" s="42">
        <v>325.91500000000002</v>
      </c>
      <c r="N255" s="6">
        <v>325.91500000000002</v>
      </c>
      <c r="O255" s="42">
        <v>325.91500000000002</v>
      </c>
      <c r="P255" s="6">
        <v>0</v>
      </c>
      <c r="Q255" s="4" t="s">
        <v>26</v>
      </c>
      <c r="R255" s="4">
        <v>0</v>
      </c>
      <c r="S255" s="4">
        <v>0</v>
      </c>
      <c r="T255" s="4">
        <v>29</v>
      </c>
      <c r="U255" s="4">
        <v>75</v>
      </c>
      <c r="V255" s="42">
        <f>IF(ISERROR(VLOOKUP($S$255,'TAR FIN'!$A$1:$O$115,15,0)),0,VLOOKUP($S$255,'TAR FIN'!$A$1:$O$115,15,0))</f>
        <v>0</v>
      </c>
      <c r="W255" s="42">
        <f>IF(ISERROR(VLOOKUP($T$255,'TAR FIN'!$A$1:$O$115,15,0)),0,VLOOKUP($T$255,'TAR FIN'!$A$1:$O$115,15,0))*(1-0.06)</f>
        <v>79.251400000000004</v>
      </c>
      <c r="X255" s="42">
        <f>IF(ISERROR(VLOOKUP($U$255,'TAR FIN'!$A$1:$O$115,15,0)),0,VLOOKUP($U$255,'TAR FIN'!$A$1:$O$115,15,0))*(1-0.06)</f>
        <v>157.97639999999998</v>
      </c>
      <c r="Y255" s="42"/>
      <c r="Z255" s="42">
        <f ca="1">('TUSD BE'!$AM$29+'TUSD BF'!$AM$29+'TUSD CVA'!$AM$29)*1*(1-0.03)</f>
        <v>110.02827653849539</v>
      </c>
      <c r="AA255" s="42">
        <f>('TE BE'!$AB$12+'TE BF'!$AB$12+'TE CVA'!$AB$12)*1*(1-0.03)</f>
        <v>212.12486502371149</v>
      </c>
      <c r="AB255" s="42">
        <f>(SUBSIDIO!$J$255*SUBSIDIO!$V$255)*(0.06)/(1-0.06)</f>
        <v>0</v>
      </c>
      <c r="AC255" s="42">
        <f>((SUBSIDIO!$L$255*SUBSIDIO!$W$255)+(SUBSIDIO!$N$255*SUBSIDIO!$X$255))*(0.06)/(1-0.06)</f>
        <v>4935.0701129999998</v>
      </c>
      <c r="AD255" s="42">
        <f>(SUBSIDIO!$J$255*SUBSIDIO!$Y$255)*(0.03)/(1-0.03)</f>
        <v>0</v>
      </c>
      <c r="AE255" s="42">
        <f ca="1">((SUBSIDIO!$L$255*SUBSIDIO!$Z$255)+(SUBSIDIO!$N$255*SUBSIDIO!$AA$255))*(0.03)/(1-0.03)</f>
        <v>3247.2538494509272</v>
      </c>
      <c r="AF255" s="4" t="s">
        <v>935</v>
      </c>
    </row>
    <row r="256" spans="1:32" ht="11.25" customHeight="1" x14ac:dyDescent="0.25">
      <c r="A256" s="4" t="s">
        <v>21</v>
      </c>
      <c r="B256" s="4" t="s">
        <v>41</v>
      </c>
      <c r="C256" s="4" t="s">
        <v>44</v>
      </c>
      <c r="D256" s="4" t="s">
        <v>52</v>
      </c>
      <c r="E256" s="4" t="s">
        <v>53</v>
      </c>
      <c r="F256" s="4" t="s">
        <v>25</v>
      </c>
      <c r="G256" s="4" t="s">
        <v>25</v>
      </c>
      <c r="H256" s="4" t="s">
        <v>37</v>
      </c>
      <c r="I256" s="5">
        <v>44562</v>
      </c>
      <c r="J256" s="6">
        <v>0</v>
      </c>
      <c r="K256" s="42">
        <v>0</v>
      </c>
      <c r="L256" s="6">
        <v>2800.4690000000001</v>
      </c>
      <c r="M256" s="42">
        <v>2800.4690000000001</v>
      </c>
      <c r="N256" s="6">
        <v>2800.4690000000001</v>
      </c>
      <c r="O256" s="42">
        <v>2800.4690000000001</v>
      </c>
      <c r="P256" s="6">
        <v>0</v>
      </c>
      <c r="Q256" s="4" t="s">
        <v>26</v>
      </c>
      <c r="R256" s="4">
        <v>0</v>
      </c>
      <c r="S256" s="4">
        <v>0</v>
      </c>
      <c r="T256" s="4">
        <v>29</v>
      </c>
      <c r="U256" s="4">
        <v>75</v>
      </c>
      <c r="V256" s="42">
        <f>IF(ISERROR(VLOOKUP($S$256,'TAR FIN'!$A$1:$O$115,15,0)),0,VLOOKUP($S$256,'TAR FIN'!$A$1:$O$115,15,0))</f>
        <v>0</v>
      </c>
      <c r="W256" s="42">
        <f>IF(ISERROR(VLOOKUP($T$256,'TAR FIN'!$A$1:$O$115,15,0)),0,VLOOKUP($T$256,'TAR FIN'!$A$1:$O$115,15,0))*(1-0.06)</f>
        <v>79.251400000000004</v>
      </c>
      <c r="X256" s="42">
        <f>IF(ISERROR(VLOOKUP($U$256,'TAR FIN'!$A$1:$O$115,15,0)),0,VLOOKUP($U$256,'TAR FIN'!$A$1:$O$115,15,0))*(1-0.06)</f>
        <v>157.97639999999998</v>
      </c>
      <c r="Y256" s="42"/>
      <c r="Z256" s="42">
        <f ca="1">('TUSD BE'!$AM$29+'TUSD BF'!$AM$29+'TUSD CVA'!$AM$29)*1*(1-0.03)</f>
        <v>110.02827653849539</v>
      </c>
      <c r="AA256" s="42">
        <f>('TE BE'!$AB$12+'TE BF'!$AB$12+'TE CVA'!$AB$12)*1*(1-0.03)</f>
        <v>212.12486502371149</v>
      </c>
      <c r="AB256" s="42">
        <f>(SUBSIDIO!$J$256*SUBSIDIO!$V$256)*(0.06)/(1-0.06)</f>
        <v>0</v>
      </c>
      <c r="AC256" s="42">
        <f>((SUBSIDIO!$L$256*SUBSIDIO!$W$256)+(SUBSIDIO!$N$256*SUBSIDIO!$X$256))*(0.06)/(1-0.06)</f>
        <v>42405.261691799999</v>
      </c>
      <c r="AD256" s="42">
        <f>(SUBSIDIO!$J$256*SUBSIDIO!$Y$256)*(0.03)/(1-0.03)</f>
        <v>0</v>
      </c>
      <c r="AE256" s="42">
        <f ca="1">((SUBSIDIO!$L$256*SUBSIDIO!$Z$256)+(SUBSIDIO!$N$256*SUBSIDIO!$AA$256))*(0.03)/(1-0.03)</f>
        <v>27902.470707141398</v>
      </c>
      <c r="AF256" s="4" t="s">
        <v>935</v>
      </c>
    </row>
    <row r="257" spans="1:32" ht="11.25" customHeight="1" x14ac:dyDescent="0.25">
      <c r="A257" s="4" t="s">
        <v>28</v>
      </c>
      <c r="B257" s="4" t="s">
        <v>41</v>
      </c>
      <c r="C257" s="4" t="s">
        <v>44</v>
      </c>
      <c r="D257" s="4" t="s">
        <v>52</v>
      </c>
      <c r="E257" s="4" t="s">
        <v>53</v>
      </c>
      <c r="F257" s="4" t="s">
        <v>25</v>
      </c>
      <c r="G257" s="4" t="s">
        <v>25</v>
      </c>
      <c r="H257" s="4" t="s">
        <v>37</v>
      </c>
      <c r="I257" s="5">
        <v>44562</v>
      </c>
      <c r="J257" s="6">
        <v>0</v>
      </c>
      <c r="K257" s="42">
        <v>0</v>
      </c>
      <c r="L257" s="6">
        <v>348.46</v>
      </c>
      <c r="M257" s="42">
        <v>348.46</v>
      </c>
      <c r="N257" s="6">
        <v>348.46</v>
      </c>
      <c r="O257" s="42">
        <v>348.46</v>
      </c>
      <c r="P257" s="6">
        <v>0</v>
      </c>
      <c r="Q257" s="4" t="s">
        <v>26</v>
      </c>
      <c r="R257" s="4">
        <v>0</v>
      </c>
      <c r="S257" s="4">
        <v>0</v>
      </c>
      <c r="T257" s="4">
        <v>29</v>
      </c>
      <c r="U257" s="4">
        <v>75</v>
      </c>
      <c r="V257" s="42">
        <f>IF(ISERROR(VLOOKUP($S$257,'TAR FIN'!$A$1:$O$115,15,0)),0,VLOOKUP($S$257,'TAR FIN'!$A$1:$O$115,15,0))</f>
        <v>0</v>
      </c>
      <c r="W257" s="42">
        <f>IF(ISERROR(VLOOKUP($T$257,'TAR FIN'!$A$1:$O$115,15,0)),0,VLOOKUP($T$257,'TAR FIN'!$A$1:$O$115,15,0))*(1-0.06)</f>
        <v>79.251400000000004</v>
      </c>
      <c r="X257" s="42">
        <f>IF(ISERROR(VLOOKUP($U$257,'TAR FIN'!$A$1:$O$115,15,0)),0,VLOOKUP($U$257,'TAR FIN'!$A$1:$O$115,15,0))*(1-0.06)</f>
        <v>157.97639999999998</v>
      </c>
      <c r="Y257" s="42"/>
      <c r="Z257" s="42">
        <f ca="1">('TUSD BE'!$AM$29+'TUSD BF'!$AM$29+'TUSD CVA'!$AM$29)*1*(1-0.03)</f>
        <v>110.02827653849539</v>
      </c>
      <c r="AA257" s="42">
        <f>('TE BE'!$AB$12+'TE BF'!$AB$12+'TE CVA'!$AB$12)*1*(1-0.03)</f>
        <v>212.12486502371149</v>
      </c>
      <c r="AB257" s="42">
        <f>(SUBSIDIO!$J$257*SUBSIDIO!$V$257)*(0.06)/(1-0.06)</f>
        <v>0</v>
      </c>
      <c r="AC257" s="42">
        <f>((SUBSIDIO!$L$257*SUBSIDIO!$W$257)+(SUBSIDIO!$N$257*SUBSIDIO!$X$257))*(0.06)/(1-0.06)</f>
        <v>5276.4510119999995</v>
      </c>
      <c r="AD257" s="42">
        <f>(SUBSIDIO!$J$257*SUBSIDIO!$Y$257)*(0.03)/(1-0.03)</f>
        <v>0</v>
      </c>
      <c r="AE257" s="42">
        <f ca="1">((SUBSIDIO!$L$257*SUBSIDIO!$Z$257)+(SUBSIDIO!$N$257*SUBSIDIO!$AA$257))*(0.03)/(1-0.03)</f>
        <v>3471.8809394463897</v>
      </c>
      <c r="AF257" s="4" t="s">
        <v>935</v>
      </c>
    </row>
    <row r="258" spans="1:32" ht="11.25" customHeight="1" x14ac:dyDescent="0.25">
      <c r="A258" s="4" t="s">
        <v>21</v>
      </c>
      <c r="B258" s="4" t="s">
        <v>41</v>
      </c>
      <c r="C258" s="4" t="s">
        <v>44</v>
      </c>
      <c r="D258" s="4" t="s">
        <v>52</v>
      </c>
      <c r="E258" s="4" t="s">
        <v>53</v>
      </c>
      <c r="F258" s="4" t="s">
        <v>25</v>
      </c>
      <c r="G258" s="4" t="s">
        <v>25</v>
      </c>
      <c r="H258" s="4" t="s">
        <v>37</v>
      </c>
      <c r="I258" s="5">
        <v>44593</v>
      </c>
      <c r="J258" s="6">
        <v>0</v>
      </c>
      <c r="K258" s="42">
        <v>0</v>
      </c>
      <c r="L258" s="6">
        <v>2556.0419999999999</v>
      </c>
      <c r="M258" s="42">
        <v>2556.0419999999999</v>
      </c>
      <c r="N258" s="6">
        <v>2556.0419999999999</v>
      </c>
      <c r="O258" s="42">
        <v>2556.0419999999999</v>
      </c>
      <c r="P258" s="6">
        <v>0</v>
      </c>
      <c r="Q258" s="4" t="s">
        <v>26</v>
      </c>
      <c r="R258" s="4">
        <v>0</v>
      </c>
      <c r="S258" s="4">
        <v>0</v>
      </c>
      <c r="T258" s="4">
        <v>29</v>
      </c>
      <c r="U258" s="4">
        <v>75</v>
      </c>
      <c r="V258" s="42">
        <f>IF(ISERROR(VLOOKUP($S$258,'TAR FIN'!$A$1:$O$115,15,0)),0,VLOOKUP($S$258,'TAR FIN'!$A$1:$O$115,15,0))</f>
        <v>0</v>
      </c>
      <c r="W258" s="42">
        <f>IF(ISERROR(VLOOKUP($T$258,'TAR FIN'!$A$1:$O$115,15,0)),0,VLOOKUP($T$258,'TAR FIN'!$A$1:$O$115,15,0))*(1-0.06)</f>
        <v>79.251400000000004</v>
      </c>
      <c r="X258" s="42">
        <f>IF(ISERROR(VLOOKUP($U$258,'TAR FIN'!$A$1:$O$115,15,0)),0,VLOOKUP($U$258,'TAR FIN'!$A$1:$O$115,15,0))*(1-0.06)</f>
        <v>157.97639999999998</v>
      </c>
      <c r="Y258" s="42"/>
      <c r="Z258" s="42">
        <f ca="1">('TUSD BE'!$AM$29+'TUSD BF'!$AM$29+'TUSD CVA'!$AM$29)*1*(1-0.03)</f>
        <v>110.02827653849539</v>
      </c>
      <c r="AA258" s="42">
        <f>('TE BE'!$AB$12+'TE BF'!$AB$12+'TE CVA'!$AB$12)*1*(1-0.03)</f>
        <v>212.12486502371149</v>
      </c>
      <c r="AB258" s="42">
        <f>(SUBSIDIO!$J$258*SUBSIDIO!$V$258)*(0.06)/(1-0.06)</f>
        <v>0</v>
      </c>
      <c r="AC258" s="42">
        <f>((SUBSIDIO!$L$258*SUBSIDIO!$W$258)+(SUBSIDIO!$N$258*SUBSIDIO!$X$258))*(0.06)/(1-0.06)</f>
        <v>38704.099172399998</v>
      </c>
      <c r="AD258" s="42">
        <f>(SUBSIDIO!$J$258*SUBSIDIO!$Y$258)*(0.03)/(1-0.03)</f>
        <v>0</v>
      </c>
      <c r="AE258" s="42">
        <f ca="1">((SUBSIDIO!$L$258*SUBSIDIO!$Z$258)+(SUBSIDIO!$N$258*SUBSIDIO!$AA$258))*(0.03)/(1-0.03)</f>
        <v>25467.122482421019</v>
      </c>
      <c r="AF258" s="4" t="s">
        <v>935</v>
      </c>
    </row>
    <row r="259" spans="1:32" ht="11.25" customHeight="1" x14ac:dyDescent="0.25">
      <c r="A259" s="4" t="s">
        <v>28</v>
      </c>
      <c r="B259" s="4" t="s">
        <v>41</v>
      </c>
      <c r="C259" s="4" t="s">
        <v>44</v>
      </c>
      <c r="D259" s="4" t="s">
        <v>52</v>
      </c>
      <c r="E259" s="4" t="s">
        <v>53</v>
      </c>
      <c r="F259" s="4" t="s">
        <v>25</v>
      </c>
      <c r="G259" s="4" t="s">
        <v>25</v>
      </c>
      <c r="H259" s="4" t="s">
        <v>37</v>
      </c>
      <c r="I259" s="5">
        <v>44593</v>
      </c>
      <c r="J259" s="6">
        <v>0</v>
      </c>
      <c r="K259" s="42">
        <v>0</v>
      </c>
      <c r="L259" s="6">
        <v>328.28699999999998</v>
      </c>
      <c r="M259" s="42">
        <v>328.28699999999998</v>
      </c>
      <c r="N259" s="6">
        <v>328.28699999999998</v>
      </c>
      <c r="O259" s="42">
        <v>328.28699999999998</v>
      </c>
      <c r="P259" s="6">
        <v>0</v>
      </c>
      <c r="Q259" s="4" t="s">
        <v>26</v>
      </c>
      <c r="R259" s="4">
        <v>0</v>
      </c>
      <c r="S259" s="4">
        <v>0</v>
      </c>
      <c r="T259" s="4">
        <v>29</v>
      </c>
      <c r="U259" s="4">
        <v>75</v>
      </c>
      <c r="V259" s="42">
        <f>IF(ISERROR(VLOOKUP($S$259,'TAR FIN'!$A$1:$O$115,15,0)),0,VLOOKUP($S$259,'TAR FIN'!$A$1:$O$115,15,0))</f>
        <v>0</v>
      </c>
      <c r="W259" s="42">
        <f>IF(ISERROR(VLOOKUP($T$259,'TAR FIN'!$A$1:$O$115,15,0)),0,VLOOKUP($T$259,'TAR FIN'!$A$1:$O$115,15,0))*(1-0.06)</f>
        <v>79.251400000000004</v>
      </c>
      <c r="X259" s="42">
        <f>IF(ISERROR(VLOOKUP($U$259,'TAR FIN'!$A$1:$O$115,15,0)),0,VLOOKUP($U$259,'TAR FIN'!$A$1:$O$115,15,0))*(1-0.06)</f>
        <v>157.97639999999998</v>
      </c>
      <c r="Y259" s="42"/>
      <c r="Z259" s="42">
        <f ca="1">('TUSD BE'!$AM$29+'TUSD BF'!$AM$29+'TUSD CVA'!$AM$29)*1*(1-0.03)</f>
        <v>110.02827653849539</v>
      </c>
      <c r="AA259" s="42">
        <f>('TE BE'!$AB$12+'TE BF'!$AB$12+'TE CVA'!$AB$12)*1*(1-0.03)</f>
        <v>212.12486502371149</v>
      </c>
      <c r="AB259" s="42">
        <f>(SUBSIDIO!$J$259*SUBSIDIO!$V$259)*(0.06)/(1-0.06)</f>
        <v>0</v>
      </c>
      <c r="AC259" s="42">
        <f>((SUBSIDIO!$L$259*SUBSIDIO!$W$259)+(SUBSIDIO!$N$259*SUBSIDIO!$X$259))*(0.06)/(1-0.06)</f>
        <v>4970.9874113999986</v>
      </c>
      <c r="AD259" s="42">
        <f>(SUBSIDIO!$J$259*SUBSIDIO!$Y$259)*(0.03)/(1-0.03)</f>
        <v>0</v>
      </c>
      <c r="AE259" s="42">
        <f ca="1">((SUBSIDIO!$L$259*SUBSIDIO!$Z$259)+(SUBSIDIO!$N$259*SUBSIDIO!$AA$259))*(0.03)/(1-0.03)</f>
        <v>3270.8872696092435</v>
      </c>
      <c r="AF259" s="4" t="s">
        <v>935</v>
      </c>
    </row>
    <row r="260" spans="1:32" ht="11.25" customHeight="1" x14ac:dyDescent="0.25">
      <c r="A260" s="4" t="s">
        <v>21</v>
      </c>
      <c r="B260" s="4" t="s">
        <v>41</v>
      </c>
      <c r="C260" s="4" t="s">
        <v>44</v>
      </c>
      <c r="D260" s="4" t="s">
        <v>52</v>
      </c>
      <c r="E260" s="4" t="s">
        <v>53</v>
      </c>
      <c r="F260" s="4" t="s">
        <v>25</v>
      </c>
      <c r="G260" s="4" t="s">
        <v>25</v>
      </c>
      <c r="H260" s="4" t="s">
        <v>37</v>
      </c>
      <c r="I260" s="5">
        <v>44621</v>
      </c>
      <c r="J260" s="6">
        <v>0</v>
      </c>
      <c r="K260" s="42">
        <v>0</v>
      </c>
      <c r="L260" s="6">
        <v>2638.0169999999998</v>
      </c>
      <c r="M260" s="42">
        <v>2638.0169999999998</v>
      </c>
      <c r="N260" s="6">
        <v>2638.0169999999998</v>
      </c>
      <c r="O260" s="42">
        <v>2638.0169999999998</v>
      </c>
      <c r="P260" s="6">
        <v>0</v>
      </c>
      <c r="Q260" s="4" t="s">
        <v>26</v>
      </c>
      <c r="R260" s="4">
        <v>0</v>
      </c>
      <c r="S260" s="4">
        <v>0</v>
      </c>
      <c r="T260" s="4">
        <v>29</v>
      </c>
      <c r="U260" s="4">
        <v>75</v>
      </c>
      <c r="V260" s="42">
        <f>IF(ISERROR(VLOOKUP($S$260,'TAR FIN'!$A$1:$O$115,15,0)),0,VLOOKUP($S$260,'TAR FIN'!$A$1:$O$115,15,0))</f>
        <v>0</v>
      </c>
      <c r="W260" s="42">
        <f>IF(ISERROR(VLOOKUP($T$260,'TAR FIN'!$A$1:$O$115,15,0)),0,VLOOKUP($T$260,'TAR FIN'!$A$1:$O$115,15,0))*(1-0.06)</f>
        <v>79.251400000000004</v>
      </c>
      <c r="X260" s="42">
        <f>IF(ISERROR(VLOOKUP($U$260,'TAR FIN'!$A$1:$O$115,15,0)),0,VLOOKUP($U$260,'TAR FIN'!$A$1:$O$115,15,0))*(1-0.06)</f>
        <v>157.97639999999998</v>
      </c>
      <c r="Y260" s="42"/>
      <c r="Z260" s="42">
        <f ca="1">('TUSD BE'!$AM$29+'TUSD BF'!$AM$29+'TUSD CVA'!$AM$29)*1*(1-0.03)</f>
        <v>110.02827653849539</v>
      </c>
      <c r="AA260" s="42">
        <f>('TE BE'!$AB$12+'TE BF'!$AB$12+'TE CVA'!$AB$12)*1*(1-0.03)</f>
        <v>212.12486502371149</v>
      </c>
      <c r="AB260" s="42">
        <f>(SUBSIDIO!$J$260*SUBSIDIO!$V$260)*(0.06)/(1-0.06)</f>
        <v>0</v>
      </c>
      <c r="AC260" s="42">
        <f>((SUBSIDIO!$L$260*SUBSIDIO!$W$260)+(SUBSIDIO!$N$260*SUBSIDIO!$X$260))*(0.06)/(1-0.06)</f>
        <v>39945.381017399995</v>
      </c>
      <c r="AD260" s="42">
        <f>(SUBSIDIO!$J$260*SUBSIDIO!$Y$260)*(0.03)/(1-0.03)</f>
        <v>0</v>
      </c>
      <c r="AE260" s="42">
        <f ca="1">((SUBSIDIO!$L$260*SUBSIDIO!$Z$260)+(SUBSIDIO!$N$260*SUBSIDIO!$AA$260))*(0.03)/(1-0.03)</f>
        <v>26283.880331273453</v>
      </c>
      <c r="AF260" s="4" t="s">
        <v>935</v>
      </c>
    </row>
    <row r="261" spans="1:32" ht="11.25" customHeight="1" x14ac:dyDescent="0.25">
      <c r="A261" s="4" t="s">
        <v>28</v>
      </c>
      <c r="B261" s="4" t="s">
        <v>41</v>
      </c>
      <c r="C261" s="4" t="s">
        <v>44</v>
      </c>
      <c r="D261" s="4" t="s">
        <v>52</v>
      </c>
      <c r="E261" s="4" t="s">
        <v>53</v>
      </c>
      <c r="F261" s="4" t="s">
        <v>25</v>
      </c>
      <c r="G261" s="4" t="s">
        <v>25</v>
      </c>
      <c r="H261" s="4" t="s">
        <v>37</v>
      </c>
      <c r="I261" s="5">
        <v>44621</v>
      </c>
      <c r="J261" s="6">
        <v>0</v>
      </c>
      <c r="K261" s="42">
        <v>0</v>
      </c>
      <c r="L261" s="6">
        <v>324.35599999999999</v>
      </c>
      <c r="M261" s="42">
        <v>324.35599999999999</v>
      </c>
      <c r="N261" s="6">
        <v>324.35599999999999</v>
      </c>
      <c r="O261" s="42">
        <v>324.35599999999999</v>
      </c>
      <c r="P261" s="6">
        <v>0</v>
      </c>
      <c r="Q261" s="4" t="s">
        <v>26</v>
      </c>
      <c r="R261" s="4">
        <v>0</v>
      </c>
      <c r="S261" s="4">
        <v>0</v>
      </c>
      <c r="T261" s="4">
        <v>29</v>
      </c>
      <c r="U261" s="4">
        <v>75</v>
      </c>
      <c r="V261" s="42">
        <f>IF(ISERROR(VLOOKUP($S$261,'TAR FIN'!$A$1:$O$115,15,0)),0,VLOOKUP($S$261,'TAR FIN'!$A$1:$O$115,15,0))</f>
        <v>0</v>
      </c>
      <c r="W261" s="42">
        <f>IF(ISERROR(VLOOKUP($T$261,'TAR FIN'!$A$1:$O$115,15,0)),0,VLOOKUP($T$261,'TAR FIN'!$A$1:$O$115,15,0))*(1-0.06)</f>
        <v>79.251400000000004</v>
      </c>
      <c r="X261" s="42">
        <f>IF(ISERROR(VLOOKUP($U$261,'TAR FIN'!$A$1:$O$115,15,0)),0,VLOOKUP($U$261,'TAR FIN'!$A$1:$O$115,15,0))*(1-0.06)</f>
        <v>157.97639999999998</v>
      </c>
      <c r="Y261" s="42"/>
      <c r="Z261" s="42">
        <f ca="1">('TUSD BE'!$AM$29+'TUSD BF'!$AM$29+'TUSD CVA'!$AM$29)*1*(1-0.03)</f>
        <v>110.02827653849539</v>
      </c>
      <c r="AA261" s="42">
        <f>('TE BE'!$AB$12+'TE BF'!$AB$12+'TE CVA'!$AB$12)*1*(1-0.03)</f>
        <v>212.12486502371149</v>
      </c>
      <c r="AB261" s="42">
        <f>(SUBSIDIO!$J$261*SUBSIDIO!$V$261)*(0.06)/(1-0.06)</f>
        <v>0</v>
      </c>
      <c r="AC261" s="42">
        <f>((SUBSIDIO!$L$261*SUBSIDIO!$W$261)+(SUBSIDIO!$N$261*SUBSIDIO!$X$261))*(0.06)/(1-0.06)</f>
        <v>4911.4634231999999</v>
      </c>
      <c r="AD261" s="42">
        <f>(SUBSIDIO!$J$261*SUBSIDIO!$Y$261)*(0.03)/(1-0.03)</f>
        <v>0</v>
      </c>
      <c r="AE261" s="42">
        <f ca="1">((SUBSIDIO!$L$261*SUBSIDIO!$Z$261)+(SUBSIDIO!$N$261*SUBSIDIO!$AA$261))*(0.03)/(1-0.03)</f>
        <v>3231.720754161377</v>
      </c>
      <c r="AF261" s="4" t="s">
        <v>935</v>
      </c>
    </row>
    <row r="262" spans="1:32" ht="11.25" customHeight="1" x14ac:dyDescent="0.25">
      <c r="A262" s="4" t="s">
        <v>21</v>
      </c>
      <c r="B262" s="4" t="s">
        <v>41</v>
      </c>
      <c r="C262" s="4" t="s">
        <v>44</v>
      </c>
      <c r="D262" s="4" t="s">
        <v>52</v>
      </c>
      <c r="E262" s="4" t="s">
        <v>53</v>
      </c>
      <c r="F262" s="4" t="s">
        <v>25</v>
      </c>
      <c r="G262" s="4" t="s">
        <v>25</v>
      </c>
      <c r="H262" s="4" t="s">
        <v>37</v>
      </c>
      <c r="I262" s="5">
        <v>44652</v>
      </c>
      <c r="J262" s="6">
        <v>0</v>
      </c>
      <c r="K262" s="42">
        <v>0</v>
      </c>
      <c r="L262" s="6">
        <v>2707.72</v>
      </c>
      <c r="M262" s="42">
        <v>2707.72</v>
      </c>
      <c r="N262" s="6">
        <v>2707.72</v>
      </c>
      <c r="O262" s="42">
        <v>2707.72</v>
      </c>
      <c r="P262" s="6">
        <v>0</v>
      </c>
      <c r="Q262" s="4" t="s">
        <v>26</v>
      </c>
      <c r="R262" s="4">
        <v>0</v>
      </c>
      <c r="S262" s="4">
        <v>0</v>
      </c>
      <c r="T262" s="4">
        <v>29</v>
      </c>
      <c r="U262" s="4">
        <v>75</v>
      </c>
      <c r="V262" s="42">
        <f>IF(ISERROR(VLOOKUP($S$262,'TAR FIN'!$A$1:$O$115,15,0)),0,VLOOKUP($S$262,'TAR FIN'!$A$1:$O$115,15,0))</f>
        <v>0</v>
      </c>
      <c r="W262" s="42">
        <f>IF(ISERROR(VLOOKUP($T$262,'TAR FIN'!$A$1:$O$115,15,0)),0,VLOOKUP($T$262,'TAR FIN'!$A$1:$O$115,15,0))*(1-0.06)</f>
        <v>79.251400000000004</v>
      </c>
      <c r="X262" s="42">
        <f>IF(ISERROR(VLOOKUP($U$262,'TAR FIN'!$A$1:$O$115,15,0)),0,VLOOKUP($U$262,'TAR FIN'!$A$1:$O$115,15,0))*(1-0.06)</f>
        <v>157.97639999999998</v>
      </c>
      <c r="Y262" s="42"/>
      <c r="Z262" s="42">
        <f ca="1">('TUSD BE'!$AM$29+'TUSD BF'!$AM$29+'TUSD CVA'!$AM$29)*1*(1-0.03)</f>
        <v>110.02827653849539</v>
      </c>
      <c r="AA262" s="42">
        <f>('TE BE'!$AB$12+'TE BF'!$AB$12+'TE CVA'!$AB$12)*1*(1-0.03)</f>
        <v>212.12486502371149</v>
      </c>
      <c r="AB262" s="42">
        <f>(SUBSIDIO!$J$262*SUBSIDIO!$V$262)*(0.06)/(1-0.06)</f>
        <v>0</v>
      </c>
      <c r="AC262" s="42">
        <f>((SUBSIDIO!$L$262*SUBSIDIO!$W$262)+(SUBSIDIO!$N$262*SUBSIDIO!$X$262))*(0.06)/(1-0.06)</f>
        <v>41000.837783999996</v>
      </c>
      <c r="AD262" s="42">
        <f>(SUBSIDIO!$J$262*SUBSIDIO!$Y$262)*(0.03)/(1-0.03)</f>
        <v>0</v>
      </c>
      <c r="AE262" s="42">
        <f ca="1">((SUBSIDIO!$L$262*SUBSIDIO!$Z$262)+(SUBSIDIO!$N$262*SUBSIDIO!$AA$262))*(0.03)/(1-0.03)</f>
        <v>26978.366117654183</v>
      </c>
      <c r="AF262" s="4" t="s">
        <v>935</v>
      </c>
    </row>
    <row r="263" spans="1:32" ht="11.25" customHeight="1" x14ac:dyDescent="0.25">
      <c r="A263" s="4" t="s">
        <v>28</v>
      </c>
      <c r="B263" s="4" t="s">
        <v>41</v>
      </c>
      <c r="C263" s="4" t="s">
        <v>44</v>
      </c>
      <c r="D263" s="4" t="s">
        <v>52</v>
      </c>
      <c r="E263" s="4" t="s">
        <v>53</v>
      </c>
      <c r="F263" s="4" t="s">
        <v>25</v>
      </c>
      <c r="G263" s="4" t="s">
        <v>25</v>
      </c>
      <c r="H263" s="4" t="s">
        <v>37</v>
      </c>
      <c r="I263" s="5">
        <v>44652</v>
      </c>
      <c r="J263" s="6">
        <v>0</v>
      </c>
      <c r="K263" s="42">
        <v>0</v>
      </c>
      <c r="L263" s="6">
        <v>341.45400000000001</v>
      </c>
      <c r="M263" s="42">
        <v>341.45400000000001</v>
      </c>
      <c r="N263" s="6">
        <v>341.45400000000001</v>
      </c>
      <c r="O263" s="42">
        <v>341.45400000000001</v>
      </c>
      <c r="P263" s="6">
        <v>0</v>
      </c>
      <c r="Q263" s="4" t="s">
        <v>26</v>
      </c>
      <c r="R263" s="4">
        <v>0</v>
      </c>
      <c r="S263" s="4">
        <v>0</v>
      </c>
      <c r="T263" s="4">
        <v>29</v>
      </c>
      <c r="U263" s="4">
        <v>75</v>
      </c>
      <c r="V263" s="42">
        <f>IF(ISERROR(VLOOKUP($S$263,'TAR FIN'!$A$1:$O$115,15,0)),0,VLOOKUP($S$263,'TAR FIN'!$A$1:$O$115,15,0))</f>
        <v>0</v>
      </c>
      <c r="W263" s="42">
        <f>IF(ISERROR(VLOOKUP($T$263,'TAR FIN'!$A$1:$O$115,15,0)),0,VLOOKUP($T$263,'TAR FIN'!$A$1:$O$115,15,0))*(1-0.06)</f>
        <v>79.251400000000004</v>
      </c>
      <c r="X263" s="42">
        <f>IF(ISERROR(VLOOKUP($U$263,'TAR FIN'!$A$1:$O$115,15,0)),0,VLOOKUP($U$263,'TAR FIN'!$A$1:$O$115,15,0))*(1-0.06)</f>
        <v>157.97639999999998</v>
      </c>
      <c r="Y263" s="42"/>
      <c r="Z263" s="42">
        <f ca="1">('TUSD BE'!$AM$29+'TUSD BF'!$AM$29+'TUSD CVA'!$AM$29)*1*(1-0.03)</f>
        <v>110.02827653849539</v>
      </c>
      <c r="AA263" s="42">
        <f>('TE BE'!$AB$12+'TE BF'!$AB$12+'TE CVA'!$AB$12)*1*(1-0.03)</f>
        <v>212.12486502371149</v>
      </c>
      <c r="AB263" s="42">
        <f>(SUBSIDIO!$J$263*SUBSIDIO!$V$263)*(0.06)/(1-0.06)</f>
        <v>0</v>
      </c>
      <c r="AC263" s="42">
        <f>((SUBSIDIO!$L$263*SUBSIDIO!$W$263)+(SUBSIDIO!$N$263*SUBSIDIO!$X$263))*(0.06)/(1-0.06)</f>
        <v>5170.3647588000013</v>
      </c>
      <c r="AD263" s="42">
        <f>(SUBSIDIO!$J$263*SUBSIDIO!$Y$263)*(0.03)/(1-0.03)</f>
        <v>0</v>
      </c>
      <c r="AE263" s="42">
        <f ca="1">((SUBSIDIO!$L$263*SUBSIDIO!$Z$263)+(SUBSIDIO!$N$263*SUBSIDIO!$AA$263))*(0.03)/(1-0.03)</f>
        <v>3402.0766638860346</v>
      </c>
      <c r="AF263" s="4" t="s">
        <v>935</v>
      </c>
    </row>
    <row r="264" spans="1:32" ht="11.25" customHeight="1" x14ac:dyDescent="0.25">
      <c r="A264" s="4" t="s">
        <v>21</v>
      </c>
      <c r="B264" s="4" t="s">
        <v>41</v>
      </c>
      <c r="C264" s="4" t="s">
        <v>44</v>
      </c>
      <c r="D264" s="4" t="s">
        <v>52</v>
      </c>
      <c r="E264" s="4" t="s">
        <v>53</v>
      </c>
      <c r="F264" s="4" t="s">
        <v>25</v>
      </c>
      <c r="G264" s="4" t="s">
        <v>25</v>
      </c>
      <c r="H264" s="4" t="s">
        <v>37</v>
      </c>
      <c r="I264" s="5">
        <v>44682</v>
      </c>
      <c r="J264" s="6">
        <v>0</v>
      </c>
      <c r="K264" s="42">
        <v>0</v>
      </c>
      <c r="L264" s="6">
        <v>2835.127</v>
      </c>
      <c r="M264" s="42">
        <v>2835.127</v>
      </c>
      <c r="N264" s="6">
        <v>2835.127</v>
      </c>
      <c r="O264" s="42">
        <v>2835.127</v>
      </c>
      <c r="P264" s="6">
        <v>0</v>
      </c>
      <c r="Q264" s="4" t="s">
        <v>26</v>
      </c>
      <c r="R264" s="4">
        <v>0</v>
      </c>
      <c r="S264" s="4">
        <v>0</v>
      </c>
      <c r="T264" s="4">
        <v>29</v>
      </c>
      <c r="U264" s="4">
        <v>75</v>
      </c>
      <c r="V264" s="42">
        <f>IF(ISERROR(VLOOKUP($S$264,'TAR FIN'!$A$1:$O$115,15,0)),0,VLOOKUP($S$264,'TAR FIN'!$A$1:$O$115,15,0))</f>
        <v>0</v>
      </c>
      <c r="W264" s="42">
        <f>IF(ISERROR(VLOOKUP($T$264,'TAR FIN'!$A$1:$O$115,15,0)),0,VLOOKUP($T$264,'TAR FIN'!$A$1:$O$115,15,0))*(1-0.06)</f>
        <v>79.251400000000004</v>
      </c>
      <c r="X264" s="42">
        <f>IF(ISERROR(VLOOKUP($U$264,'TAR FIN'!$A$1:$O$115,15,0)),0,VLOOKUP($U$264,'TAR FIN'!$A$1:$O$115,15,0))*(1-0.06)</f>
        <v>157.97639999999998</v>
      </c>
      <c r="Y264" s="42"/>
      <c r="Z264" s="42">
        <f ca="1">('TUSD BE'!$AM$29+'TUSD BF'!$AM$29+'TUSD CVA'!$AM$29)*1*(1-0.03)</f>
        <v>110.02827653849539</v>
      </c>
      <c r="AA264" s="42">
        <f>('TE BE'!$AB$12+'TE BF'!$AB$12+'TE CVA'!$AB$12)*1*(1-0.03)</f>
        <v>212.12486502371149</v>
      </c>
      <c r="AB264" s="42">
        <f>(SUBSIDIO!$J$264*SUBSIDIO!$V$264)*(0.06)/(1-0.06)</f>
        <v>0</v>
      </c>
      <c r="AC264" s="42">
        <f>((SUBSIDIO!$L$264*SUBSIDIO!$W$264)+(SUBSIDIO!$N$264*SUBSIDIO!$X$264))*(0.06)/(1-0.06)</f>
        <v>42930.060059400006</v>
      </c>
      <c r="AD264" s="42">
        <f>(SUBSIDIO!$J$264*SUBSIDIO!$Y$264)*(0.03)/(1-0.03)</f>
        <v>0</v>
      </c>
      <c r="AE264" s="42">
        <f ca="1">((SUBSIDIO!$L$264*SUBSIDIO!$Z$264)+(SUBSIDIO!$N$264*SUBSIDIO!$AA$264))*(0.03)/(1-0.03)</f>
        <v>28247.785663232011</v>
      </c>
      <c r="AF264" s="4" t="s">
        <v>935</v>
      </c>
    </row>
    <row r="265" spans="1:32" ht="11.25" customHeight="1" x14ac:dyDescent="0.25">
      <c r="A265" s="4" t="s">
        <v>28</v>
      </c>
      <c r="B265" s="4" t="s">
        <v>41</v>
      </c>
      <c r="C265" s="4" t="s">
        <v>44</v>
      </c>
      <c r="D265" s="4" t="s">
        <v>52</v>
      </c>
      <c r="E265" s="4" t="s">
        <v>53</v>
      </c>
      <c r="F265" s="4" t="s">
        <v>25</v>
      </c>
      <c r="G265" s="4" t="s">
        <v>25</v>
      </c>
      <c r="H265" s="4" t="s">
        <v>37</v>
      </c>
      <c r="I265" s="5">
        <v>44682</v>
      </c>
      <c r="J265" s="6">
        <v>0</v>
      </c>
      <c r="K265" s="42">
        <v>0</v>
      </c>
      <c r="L265" s="6">
        <v>347.22</v>
      </c>
      <c r="M265" s="42">
        <v>347.22</v>
      </c>
      <c r="N265" s="6">
        <v>347.22</v>
      </c>
      <c r="O265" s="42">
        <v>347.22</v>
      </c>
      <c r="P265" s="6">
        <v>0</v>
      </c>
      <c r="Q265" s="4" t="s">
        <v>26</v>
      </c>
      <c r="R265" s="4">
        <v>0</v>
      </c>
      <c r="S265" s="4">
        <v>0</v>
      </c>
      <c r="T265" s="4">
        <v>29</v>
      </c>
      <c r="U265" s="4">
        <v>75</v>
      </c>
      <c r="V265" s="42">
        <f>IF(ISERROR(VLOOKUP($S$265,'TAR FIN'!$A$1:$O$115,15,0)),0,VLOOKUP($S$265,'TAR FIN'!$A$1:$O$115,15,0))</f>
        <v>0</v>
      </c>
      <c r="W265" s="42">
        <f>IF(ISERROR(VLOOKUP($T$265,'TAR FIN'!$A$1:$O$115,15,0)),0,VLOOKUP($T$265,'TAR FIN'!$A$1:$O$115,15,0))*(1-0.06)</f>
        <v>79.251400000000004</v>
      </c>
      <c r="X265" s="42">
        <f>IF(ISERROR(VLOOKUP($U$265,'TAR FIN'!$A$1:$O$115,15,0)),0,VLOOKUP($U$265,'TAR FIN'!$A$1:$O$115,15,0))*(1-0.06)</f>
        <v>157.97639999999998</v>
      </c>
      <c r="Y265" s="42"/>
      <c r="Z265" s="42">
        <f ca="1">('TUSD BE'!$AM$29+'TUSD BF'!$AM$29+'TUSD CVA'!$AM$29)*1*(1-0.03)</f>
        <v>110.02827653849539</v>
      </c>
      <c r="AA265" s="42">
        <f>('TE BE'!$AB$12+'TE BF'!$AB$12+'TE CVA'!$AB$12)*1*(1-0.03)</f>
        <v>212.12486502371149</v>
      </c>
      <c r="AB265" s="42">
        <f>(SUBSIDIO!$J$265*SUBSIDIO!$V$265)*(0.06)/(1-0.06)</f>
        <v>0</v>
      </c>
      <c r="AC265" s="42">
        <f>((SUBSIDIO!$L$265*SUBSIDIO!$W$265)+(SUBSIDIO!$N$265*SUBSIDIO!$X$265))*(0.06)/(1-0.06)</f>
        <v>5257.6746840000005</v>
      </c>
      <c r="AD265" s="42">
        <f>(SUBSIDIO!$J$265*SUBSIDIO!$Y$265)*(0.03)/(1-0.03)</f>
        <v>0</v>
      </c>
      <c r="AE265" s="42">
        <f ca="1">((SUBSIDIO!$L$265*SUBSIDIO!$Z$265)+(SUBSIDIO!$N$265*SUBSIDIO!$AA$265))*(0.03)/(1-0.03)</f>
        <v>3459.5262004091592</v>
      </c>
      <c r="AF265" s="4" t="s">
        <v>935</v>
      </c>
    </row>
    <row r="266" spans="1:32" ht="11.25" customHeight="1" x14ac:dyDescent="0.25">
      <c r="A266" s="4" t="s">
        <v>21</v>
      </c>
      <c r="B266" s="4" t="s">
        <v>41</v>
      </c>
      <c r="C266" s="4" t="s">
        <v>44</v>
      </c>
      <c r="D266" s="4" t="s">
        <v>52</v>
      </c>
      <c r="E266" s="4" t="s">
        <v>53</v>
      </c>
      <c r="F266" s="4" t="s">
        <v>25</v>
      </c>
      <c r="G266" s="4" t="s">
        <v>25</v>
      </c>
      <c r="H266" s="4" t="s">
        <v>37</v>
      </c>
      <c r="I266" s="5">
        <v>44713</v>
      </c>
      <c r="J266" s="6">
        <v>0</v>
      </c>
      <c r="K266" s="42">
        <v>0</v>
      </c>
      <c r="L266" s="6">
        <v>2605.1640000000002</v>
      </c>
      <c r="M266" s="42">
        <v>2605.1640000000002</v>
      </c>
      <c r="N266" s="6">
        <v>2605.1640000000002</v>
      </c>
      <c r="O266" s="42">
        <v>2605.1640000000002</v>
      </c>
      <c r="P266" s="6">
        <v>0</v>
      </c>
      <c r="Q266" s="4" t="s">
        <v>26</v>
      </c>
      <c r="R266" s="4">
        <v>0</v>
      </c>
      <c r="S266" s="4">
        <v>0</v>
      </c>
      <c r="T266" s="4">
        <v>29</v>
      </c>
      <c r="U266" s="4">
        <v>75</v>
      </c>
      <c r="V266" s="42">
        <f>IF(ISERROR(VLOOKUP($S$266,'TAR FIN'!$A$1:$O$115,15,0)),0,VLOOKUP($S$266,'TAR FIN'!$A$1:$O$115,15,0))</f>
        <v>0</v>
      </c>
      <c r="W266" s="42">
        <f>IF(ISERROR(VLOOKUP($T$266,'TAR FIN'!$A$1:$O$115,15,0)),0,VLOOKUP($T$266,'TAR FIN'!$A$1:$O$115,15,0))*(1-0.06)</f>
        <v>79.251400000000004</v>
      </c>
      <c r="X266" s="42">
        <f>IF(ISERROR(VLOOKUP($U$266,'TAR FIN'!$A$1:$O$115,15,0)),0,VLOOKUP($U$266,'TAR FIN'!$A$1:$O$115,15,0))*(1-0.06)</f>
        <v>157.97639999999998</v>
      </c>
      <c r="Y266" s="42"/>
      <c r="Z266" s="42">
        <f ca="1">('TUSD BE'!$AM$29+'TUSD BF'!$AM$29+'TUSD CVA'!$AM$29)*1*(1-0.03)</f>
        <v>110.02827653849539</v>
      </c>
      <c r="AA266" s="42">
        <f>('TE BE'!$AB$12+'TE BF'!$AB$12+'TE CVA'!$AB$12)*1*(1-0.03)</f>
        <v>212.12486502371149</v>
      </c>
      <c r="AB266" s="42">
        <f>(SUBSIDIO!$J$266*SUBSIDIO!$V$266)*(0.06)/(1-0.06)</f>
        <v>0</v>
      </c>
      <c r="AC266" s="42">
        <f>((SUBSIDIO!$L$266*SUBSIDIO!$W$266)+(SUBSIDIO!$N$266*SUBSIDIO!$X$266))*(0.06)/(1-0.06)</f>
        <v>39447.914320800002</v>
      </c>
      <c r="AD266" s="42">
        <f>(SUBSIDIO!$J$266*SUBSIDIO!$Y$266)*(0.03)/(1-0.03)</f>
        <v>0</v>
      </c>
      <c r="AE266" s="42">
        <f ca="1">((SUBSIDIO!$L$266*SUBSIDIO!$Z$266)+(SUBSIDIO!$N$266*SUBSIDIO!$AA$266))*(0.03)/(1-0.03)</f>
        <v>25956.549491281399</v>
      </c>
      <c r="AF266" s="4" t="s">
        <v>935</v>
      </c>
    </row>
    <row r="267" spans="1:32" ht="11.25" customHeight="1" x14ac:dyDescent="0.25">
      <c r="A267" s="4" t="s">
        <v>28</v>
      </c>
      <c r="B267" s="4" t="s">
        <v>41</v>
      </c>
      <c r="C267" s="4" t="s">
        <v>44</v>
      </c>
      <c r="D267" s="4" t="s">
        <v>52</v>
      </c>
      <c r="E267" s="4" t="s">
        <v>53</v>
      </c>
      <c r="F267" s="4" t="s">
        <v>25</v>
      </c>
      <c r="G267" s="4" t="s">
        <v>25</v>
      </c>
      <c r="H267" s="4" t="s">
        <v>37</v>
      </c>
      <c r="I267" s="5">
        <v>44713</v>
      </c>
      <c r="J267" s="6">
        <v>0</v>
      </c>
      <c r="K267" s="42">
        <v>0</v>
      </c>
      <c r="L267" s="6">
        <v>350.101</v>
      </c>
      <c r="M267" s="42">
        <v>350.101</v>
      </c>
      <c r="N267" s="6">
        <v>350.101</v>
      </c>
      <c r="O267" s="42">
        <v>350.101</v>
      </c>
      <c r="P267" s="6">
        <v>0</v>
      </c>
      <c r="Q267" s="4" t="s">
        <v>26</v>
      </c>
      <c r="R267" s="4">
        <v>0</v>
      </c>
      <c r="S267" s="4">
        <v>0</v>
      </c>
      <c r="T267" s="4">
        <v>29</v>
      </c>
      <c r="U267" s="4">
        <v>75</v>
      </c>
      <c r="V267" s="42">
        <f>IF(ISERROR(VLOOKUP($S$267,'TAR FIN'!$A$1:$O$115,15,0)),0,VLOOKUP($S$267,'TAR FIN'!$A$1:$O$115,15,0))</f>
        <v>0</v>
      </c>
      <c r="W267" s="42">
        <f>IF(ISERROR(VLOOKUP($T$267,'TAR FIN'!$A$1:$O$115,15,0)),0,VLOOKUP($T$267,'TAR FIN'!$A$1:$O$115,15,0))*(1-0.06)</f>
        <v>79.251400000000004</v>
      </c>
      <c r="X267" s="42">
        <f>IF(ISERROR(VLOOKUP($U$267,'TAR FIN'!$A$1:$O$115,15,0)),0,VLOOKUP($U$267,'TAR FIN'!$A$1:$O$115,15,0))*(1-0.06)</f>
        <v>157.97639999999998</v>
      </c>
      <c r="Y267" s="42"/>
      <c r="Z267" s="42">
        <f ca="1">('TUSD BE'!$AM$29+'TUSD BF'!$AM$29+'TUSD CVA'!$AM$29)*1*(1-0.03)</f>
        <v>110.02827653849539</v>
      </c>
      <c r="AA267" s="42">
        <f>('TE BE'!$AB$12+'TE BF'!$AB$12+'TE CVA'!$AB$12)*1*(1-0.03)</f>
        <v>212.12486502371149</v>
      </c>
      <c r="AB267" s="42">
        <f>(SUBSIDIO!$J$267*SUBSIDIO!$V$267)*(0.06)/(1-0.06)</f>
        <v>0</v>
      </c>
      <c r="AC267" s="42">
        <f>((SUBSIDIO!$L$267*SUBSIDIO!$W$267)+(SUBSIDIO!$N$267*SUBSIDIO!$X$267))*(0.06)/(1-0.06)</f>
        <v>5301.2993621999995</v>
      </c>
      <c r="AD267" s="42">
        <f>(SUBSIDIO!$J$267*SUBSIDIO!$Y$267)*(0.03)/(1-0.03)</f>
        <v>0</v>
      </c>
      <c r="AE267" s="42">
        <f ca="1">((SUBSIDIO!$L$267*SUBSIDIO!$Z$267)+(SUBSIDIO!$N$267*SUBSIDIO!$AA$267))*(0.03)/(1-0.03)</f>
        <v>3488.2310416722739</v>
      </c>
      <c r="AF267" s="4" t="s">
        <v>935</v>
      </c>
    </row>
    <row r="268" spans="1:32" ht="11.25" customHeight="1" x14ac:dyDescent="0.25">
      <c r="A268" s="4" t="s">
        <v>21</v>
      </c>
      <c r="B268" s="4" t="s">
        <v>41</v>
      </c>
      <c r="C268" s="4" t="s">
        <v>44</v>
      </c>
      <c r="D268" s="4" t="s">
        <v>52</v>
      </c>
      <c r="E268" s="4" t="s">
        <v>53</v>
      </c>
      <c r="F268" s="4" t="s">
        <v>25</v>
      </c>
      <c r="G268" s="4" t="s">
        <v>25</v>
      </c>
      <c r="H268" s="4" t="s">
        <v>37</v>
      </c>
      <c r="I268" s="5">
        <v>44743</v>
      </c>
      <c r="J268" s="6">
        <v>0</v>
      </c>
      <c r="K268" s="42">
        <v>0</v>
      </c>
      <c r="L268" s="6">
        <v>2857.5189999999998</v>
      </c>
      <c r="M268" s="42">
        <v>2857.5189999999998</v>
      </c>
      <c r="N268" s="6">
        <v>2857.5189999999998</v>
      </c>
      <c r="O268" s="42">
        <v>2857.5189999999998</v>
      </c>
      <c r="P268" s="6">
        <v>0</v>
      </c>
      <c r="Q268" s="4" t="s">
        <v>26</v>
      </c>
      <c r="R268" s="4">
        <v>0</v>
      </c>
      <c r="S268" s="4">
        <v>0</v>
      </c>
      <c r="T268" s="4">
        <v>29</v>
      </c>
      <c r="U268" s="4">
        <v>75</v>
      </c>
      <c r="V268" s="42">
        <f>IF(ISERROR(VLOOKUP($S$268,'TAR FIN'!$A$1:$O$115,15,0)),0,VLOOKUP($S$268,'TAR FIN'!$A$1:$O$115,15,0))</f>
        <v>0</v>
      </c>
      <c r="W268" s="42">
        <f>IF(ISERROR(VLOOKUP($T$268,'TAR FIN'!$A$1:$O$115,15,0)),0,VLOOKUP($T$268,'TAR FIN'!$A$1:$O$115,15,0))*(1-0.06)</f>
        <v>79.251400000000004</v>
      </c>
      <c r="X268" s="42">
        <f>IF(ISERROR(VLOOKUP($U$268,'TAR FIN'!$A$1:$O$115,15,0)),0,VLOOKUP($U$268,'TAR FIN'!$A$1:$O$115,15,0))*(1-0.06)</f>
        <v>157.97639999999998</v>
      </c>
      <c r="Y268" s="42"/>
      <c r="Z268" s="42">
        <f ca="1">('TUSD BE'!$AM$29+'TUSD BF'!$AM$29+'TUSD CVA'!$AM$29)*1*(1-0.03)</f>
        <v>110.02827653849539</v>
      </c>
      <c r="AA268" s="42">
        <f>('TE BE'!$AB$12+'TE BF'!$AB$12+'TE CVA'!$AB$12)*1*(1-0.03)</f>
        <v>212.12486502371149</v>
      </c>
      <c r="AB268" s="42">
        <f>(SUBSIDIO!$J$268*SUBSIDIO!$V$268)*(0.06)/(1-0.06)</f>
        <v>0</v>
      </c>
      <c r="AC268" s="42">
        <f>((SUBSIDIO!$L$268*SUBSIDIO!$W$268)+(SUBSIDIO!$N$268*SUBSIDIO!$X$268))*(0.06)/(1-0.06)</f>
        <v>43269.12420179999</v>
      </c>
      <c r="AD268" s="42">
        <f>(SUBSIDIO!$J$268*SUBSIDIO!$Y$268)*(0.03)/(1-0.03)</f>
        <v>0</v>
      </c>
      <c r="AE268" s="42">
        <f ca="1">((SUBSIDIO!$L$268*SUBSIDIO!$Z$268)+(SUBSIDIO!$N$268*SUBSIDIO!$AA$268))*(0.03)/(1-0.03)</f>
        <v>28470.888337846263</v>
      </c>
      <c r="AF268" s="4" t="s">
        <v>935</v>
      </c>
    </row>
    <row r="269" spans="1:32" ht="11.25" customHeight="1" x14ac:dyDescent="0.25">
      <c r="A269" s="4" t="s">
        <v>27</v>
      </c>
      <c r="B269" s="4" t="s">
        <v>41</v>
      </c>
      <c r="C269" s="4" t="s">
        <v>44</v>
      </c>
      <c r="D269" s="4" t="s">
        <v>52</v>
      </c>
      <c r="E269" s="4" t="s">
        <v>53</v>
      </c>
      <c r="F269" s="4" t="s">
        <v>25</v>
      </c>
      <c r="G269" s="4" t="s">
        <v>25</v>
      </c>
      <c r="H269" s="4" t="s">
        <v>37</v>
      </c>
      <c r="I269" s="5">
        <v>44743</v>
      </c>
      <c r="J269" s="6">
        <v>0</v>
      </c>
      <c r="K269" s="42">
        <v>0</v>
      </c>
      <c r="L269" s="6">
        <v>-347.2</v>
      </c>
      <c r="M269" s="42">
        <v>-347.2</v>
      </c>
      <c r="N269" s="6">
        <v>-347.2</v>
      </c>
      <c r="O269" s="42">
        <v>-347.2</v>
      </c>
      <c r="P269" s="6">
        <v>0</v>
      </c>
      <c r="Q269" s="4" t="s">
        <v>26</v>
      </c>
      <c r="R269" s="4">
        <v>0</v>
      </c>
      <c r="S269" s="4">
        <v>0</v>
      </c>
      <c r="T269" s="4">
        <v>29</v>
      </c>
      <c r="U269" s="4">
        <v>75</v>
      </c>
      <c r="V269" s="42">
        <f>IF(ISERROR(VLOOKUP($S$269,'TAR FIN'!$A$1:$O$115,15,0)),0,VLOOKUP($S$269,'TAR FIN'!$A$1:$O$115,15,0))</f>
        <v>0</v>
      </c>
      <c r="W269" s="42">
        <f>IF(ISERROR(VLOOKUP($T$269,'TAR FIN'!$A$1:$O$115,15,0)),0,VLOOKUP($T$269,'TAR FIN'!$A$1:$O$115,15,0))*(1-0.06)</f>
        <v>79.251400000000004</v>
      </c>
      <c r="X269" s="42">
        <f>IF(ISERROR(VLOOKUP($U$269,'TAR FIN'!$A$1:$O$115,15,0)),0,VLOOKUP($U$269,'TAR FIN'!$A$1:$O$115,15,0))*(1-0.06)</f>
        <v>157.97639999999998</v>
      </c>
      <c r="Y269" s="42"/>
      <c r="Z269" s="42">
        <f ca="1">('TUSD BE'!$AM$29+'TUSD BF'!$AM$29+'TUSD CVA'!$AM$29)*1*(1-0.03)</f>
        <v>110.02827653849539</v>
      </c>
      <c r="AA269" s="42">
        <f>('TE BE'!$AB$12+'TE BF'!$AB$12+'TE CVA'!$AB$12)*1*(1-0.03)</f>
        <v>212.12486502371149</v>
      </c>
      <c r="AB269" s="42">
        <f>(SUBSIDIO!$J$269*SUBSIDIO!$V$269)*(0.06)/(1-0.06)</f>
        <v>0</v>
      </c>
      <c r="AC269" s="42">
        <f>((SUBSIDIO!$L$269*SUBSIDIO!$W$269)+(SUBSIDIO!$N$269*SUBSIDIO!$X$269))*(0.06)/(1-0.06)</f>
        <v>-5257.3718399999998</v>
      </c>
      <c r="AD269" s="42">
        <f>(SUBSIDIO!$J$269*SUBSIDIO!$Y$269)*(0.03)/(1-0.03)</f>
        <v>0</v>
      </c>
      <c r="AE269" s="42">
        <f ca="1">((SUBSIDIO!$L$269*SUBSIDIO!$Z$269)+(SUBSIDIO!$N$269*SUBSIDIO!$AA$269))*(0.03)/(1-0.03)</f>
        <v>-3459.3269304246874</v>
      </c>
      <c r="AF269" s="4" t="s">
        <v>935</v>
      </c>
    </row>
    <row r="270" spans="1:32" ht="11.25" customHeight="1" x14ac:dyDescent="0.25">
      <c r="A270" s="4" t="s">
        <v>28</v>
      </c>
      <c r="B270" s="4" t="s">
        <v>41</v>
      </c>
      <c r="C270" s="4" t="s">
        <v>44</v>
      </c>
      <c r="D270" s="4" t="s">
        <v>52</v>
      </c>
      <c r="E270" s="4" t="s">
        <v>53</v>
      </c>
      <c r="F270" s="4" t="s">
        <v>25</v>
      </c>
      <c r="G270" s="4" t="s">
        <v>25</v>
      </c>
      <c r="H270" s="4" t="s">
        <v>37</v>
      </c>
      <c r="I270" s="5">
        <v>44743</v>
      </c>
      <c r="J270" s="6">
        <v>0</v>
      </c>
      <c r="K270" s="42">
        <v>0</v>
      </c>
      <c r="L270" s="6">
        <v>345.75400000000002</v>
      </c>
      <c r="M270" s="42">
        <v>345.75400000000002</v>
      </c>
      <c r="N270" s="6">
        <v>345.75400000000002</v>
      </c>
      <c r="O270" s="42">
        <v>345.75400000000002</v>
      </c>
      <c r="P270" s="6">
        <v>0</v>
      </c>
      <c r="Q270" s="4" t="s">
        <v>26</v>
      </c>
      <c r="R270" s="4">
        <v>0</v>
      </c>
      <c r="S270" s="4">
        <v>0</v>
      </c>
      <c r="T270" s="4">
        <v>29</v>
      </c>
      <c r="U270" s="4">
        <v>75</v>
      </c>
      <c r="V270" s="42">
        <f>IF(ISERROR(VLOOKUP($S$270,'TAR FIN'!$A$1:$O$115,15,0)),0,VLOOKUP($S$270,'TAR FIN'!$A$1:$O$115,15,0))</f>
        <v>0</v>
      </c>
      <c r="W270" s="42">
        <f>IF(ISERROR(VLOOKUP($T$270,'TAR FIN'!$A$1:$O$115,15,0)),0,VLOOKUP($T$270,'TAR FIN'!$A$1:$O$115,15,0))*(1-0.06)</f>
        <v>79.251400000000004</v>
      </c>
      <c r="X270" s="42">
        <f>IF(ISERROR(VLOOKUP($U$270,'TAR FIN'!$A$1:$O$115,15,0)),0,VLOOKUP($U$270,'TAR FIN'!$A$1:$O$115,15,0))*(1-0.06)</f>
        <v>157.97639999999998</v>
      </c>
      <c r="Y270" s="42"/>
      <c r="Z270" s="42">
        <f ca="1">('TUSD BE'!$AM$29+'TUSD BF'!$AM$29+'TUSD CVA'!$AM$29)*1*(1-0.03)</f>
        <v>110.02827653849539</v>
      </c>
      <c r="AA270" s="42">
        <f>('TE BE'!$AB$12+'TE BF'!$AB$12+'TE CVA'!$AB$12)*1*(1-0.03)</f>
        <v>212.12486502371149</v>
      </c>
      <c r="AB270" s="42">
        <f>(SUBSIDIO!$J$270*SUBSIDIO!$V$270)*(0.06)/(1-0.06)</f>
        <v>0</v>
      </c>
      <c r="AC270" s="42">
        <f>((SUBSIDIO!$L$270*SUBSIDIO!$W$270)+(SUBSIDIO!$N$270*SUBSIDIO!$X$270))*(0.06)/(1-0.06)</f>
        <v>5235.4762188000004</v>
      </c>
      <c r="AD270" s="42">
        <f>(SUBSIDIO!$J$270*SUBSIDIO!$Y$270)*(0.03)/(1-0.03)</f>
        <v>0</v>
      </c>
      <c r="AE270" s="42">
        <f ca="1">((SUBSIDIO!$L$270*SUBSIDIO!$Z$270)+(SUBSIDIO!$N$270*SUBSIDIO!$AA$270))*(0.03)/(1-0.03)</f>
        <v>3444.9197105474004</v>
      </c>
      <c r="AF270" s="4" t="s">
        <v>935</v>
      </c>
    </row>
    <row r="271" spans="1:32" ht="11.25" customHeight="1" x14ac:dyDescent="0.25">
      <c r="A271" s="4" t="s">
        <v>21</v>
      </c>
      <c r="B271" s="4" t="s">
        <v>41</v>
      </c>
      <c r="C271" s="4" t="s">
        <v>44</v>
      </c>
      <c r="D271" s="4" t="s">
        <v>52</v>
      </c>
      <c r="E271" s="4" t="s">
        <v>53</v>
      </c>
      <c r="F271" s="4" t="s">
        <v>25</v>
      </c>
      <c r="G271" s="4" t="s">
        <v>25</v>
      </c>
      <c r="H271" s="4" t="s">
        <v>37</v>
      </c>
      <c r="I271" s="5">
        <v>44774</v>
      </c>
      <c r="J271" s="6">
        <v>0</v>
      </c>
      <c r="K271" s="42">
        <v>0</v>
      </c>
      <c r="L271" s="6">
        <v>2959.0990000000002</v>
      </c>
      <c r="M271" s="42">
        <v>2959.0990000000002</v>
      </c>
      <c r="N271" s="6">
        <v>2959.0990000000002</v>
      </c>
      <c r="O271" s="42">
        <v>2959.0990000000002</v>
      </c>
      <c r="P271" s="6">
        <v>0</v>
      </c>
      <c r="Q271" s="4" t="s">
        <v>26</v>
      </c>
      <c r="R271" s="4">
        <v>0</v>
      </c>
      <c r="S271" s="4">
        <v>0</v>
      </c>
      <c r="T271" s="4">
        <v>29</v>
      </c>
      <c r="U271" s="4">
        <v>75</v>
      </c>
      <c r="V271" s="42">
        <f>IF(ISERROR(VLOOKUP($S$271,'TAR FIN'!$A$1:$O$115,15,0)),0,VLOOKUP($S$271,'TAR FIN'!$A$1:$O$115,15,0))</f>
        <v>0</v>
      </c>
      <c r="W271" s="42">
        <f>IF(ISERROR(VLOOKUP($T$271,'TAR FIN'!$A$1:$O$115,15,0)),0,VLOOKUP($T$271,'TAR FIN'!$A$1:$O$115,15,0))*(1-0.06)</f>
        <v>79.251400000000004</v>
      </c>
      <c r="X271" s="42">
        <f>IF(ISERROR(VLOOKUP($U$271,'TAR FIN'!$A$1:$O$115,15,0)),0,VLOOKUP($U$271,'TAR FIN'!$A$1:$O$115,15,0))*(1-0.06)</f>
        <v>157.97639999999998</v>
      </c>
      <c r="Y271" s="42"/>
      <c r="Z271" s="42">
        <f ca="1">('TUSD BE'!$AM$29+'TUSD BF'!$AM$29+'TUSD CVA'!$AM$29)*1*(1-0.03)</f>
        <v>110.02827653849539</v>
      </c>
      <c r="AA271" s="42">
        <f>('TE BE'!$AB$12+'TE BF'!$AB$12+'TE CVA'!$AB$12)*1*(1-0.03)</f>
        <v>212.12486502371149</v>
      </c>
      <c r="AB271" s="42">
        <f>(SUBSIDIO!$J$271*SUBSIDIO!$V$271)*(0.06)/(1-0.06)</f>
        <v>0</v>
      </c>
      <c r="AC271" s="42">
        <f>((SUBSIDIO!$L$271*SUBSIDIO!$W$271)+(SUBSIDIO!$N$271*SUBSIDIO!$X$271))*(0.06)/(1-0.06)</f>
        <v>44807.268877800001</v>
      </c>
      <c r="AD271" s="42">
        <f>(SUBSIDIO!$J$271*SUBSIDIO!$Y$271)*(0.03)/(1-0.03)</f>
        <v>0</v>
      </c>
      <c r="AE271" s="42">
        <f ca="1">((SUBSIDIO!$L$271*SUBSIDIO!$Z$271)+(SUBSIDIO!$N$271*SUBSIDIO!$AA$271))*(0.03)/(1-0.03)</f>
        <v>29482.98058897685</v>
      </c>
      <c r="AF271" s="4" t="s">
        <v>935</v>
      </c>
    </row>
    <row r="272" spans="1:32" ht="11.25" customHeight="1" x14ac:dyDescent="0.25">
      <c r="A272" s="4" t="s">
        <v>27</v>
      </c>
      <c r="B272" s="4" t="s">
        <v>41</v>
      </c>
      <c r="C272" s="4" t="s">
        <v>44</v>
      </c>
      <c r="D272" s="4" t="s">
        <v>52</v>
      </c>
      <c r="E272" s="4" t="s">
        <v>53</v>
      </c>
      <c r="F272" s="4" t="s">
        <v>25</v>
      </c>
      <c r="G272" s="4" t="s">
        <v>25</v>
      </c>
      <c r="H272" s="4" t="s">
        <v>37</v>
      </c>
      <c r="I272" s="5">
        <v>44774</v>
      </c>
      <c r="J272" s="6">
        <v>0</v>
      </c>
      <c r="K272" s="42">
        <v>0</v>
      </c>
      <c r="L272" s="6">
        <v>-74.131</v>
      </c>
      <c r="M272" s="42">
        <v>-74.131</v>
      </c>
      <c r="N272" s="6">
        <v>-74.131</v>
      </c>
      <c r="O272" s="42">
        <v>-74.131</v>
      </c>
      <c r="P272" s="6">
        <v>0</v>
      </c>
      <c r="Q272" s="4" t="s">
        <v>26</v>
      </c>
      <c r="R272" s="4">
        <v>0</v>
      </c>
      <c r="S272" s="4">
        <v>0</v>
      </c>
      <c r="T272" s="4">
        <v>29</v>
      </c>
      <c r="U272" s="4">
        <v>75</v>
      </c>
      <c r="V272" s="42">
        <f>IF(ISERROR(VLOOKUP($S$272,'TAR FIN'!$A$1:$O$115,15,0)),0,VLOOKUP($S$272,'TAR FIN'!$A$1:$O$115,15,0))</f>
        <v>0</v>
      </c>
      <c r="W272" s="42">
        <f>IF(ISERROR(VLOOKUP($T$272,'TAR FIN'!$A$1:$O$115,15,0)),0,VLOOKUP($T$272,'TAR FIN'!$A$1:$O$115,15,0))*(1-0.06)</f>
        <v>79.251400000000004</v>
      </c>
      <c r="X272" s="42">
        <f>IF(ISERROR(VLOOKUP($U$272,'TAR FIN'!$A$1:$O$115,15,0)),0,VLOOKUP($U$272,'TAR FIN'!$A$1:$O$115,15,0))*(1-0.06)</f>
        <v>157.97639999999998</v>
      </c>
      <c r="Y272" s="42"/>
      <c r="Z272" s="42">
        <f ca="1">('TUSD BE'!$AM$29+'TUSD BF'!$AM$29+'TUSD CVA'!$AM$29)*1*(1-0.03)</f>
        <v>110.02827653849539</v>
      </c>
      <c r="AA272" s="42">
        <f>('TE BE'!$AB$12+'TE BF'!$AB$12+'TE CVA'!$AB$12)*1*(1-0.03)</f>
        <v>212.12486502371149</v>
      </c>
      <c r="AB272" s="42">
        <f>(SUBSIDIO!$J$272*SUBSIDIO!$V$272)*(0.06)/(1-0.06)</f>
        <v>0</v>
      </c>
      <c r="AC272" s="42">
        <f>((SUBSIDIO!$L$272*SUBSIDIO!$W$272)+(SUBSIDIO!$N$272*SUBSIDIO!$X$272))*(0.06)/(1-0.06)</f>
        <v>-1122.5064282000001</v>
      </c>
      <c r="AD272" s="42">
        <f>(SUBSIDIO!$J$272*SUBSIDIO!$Y$272)*(0.03)/(1-0.03)</f>
        <v>0</v>
      </c>
      <c r="AE272" s="42">
        <f ca="1">((SUBSIDIO!$L$272*SUBSIDIO!$Z$272)+(SUBSIDIO!$N$272*SUBSIDIO!$AA$272))*(0.03)/(1-0.03)</f>
        <v>-738.60416094272045</v>
      </c>
      <c r="AF272" s="4" t="s">
        <v>935</v>
      </c>
    </row>
    <row r="273" spans="1:32" ht="11.25" customHeight="1" x14ac:dyDescent="0.25">
      <c r="A273" s="4" t="s">
        <v>28</v>
      </c>
      <c r="B273" s="4" t="s">
        <v>41</v>
      </c>
      <c r="C273" s="4" t="s">
        <v>44</v>
      </c>
      <c r="D273" s="4" t="s">
        <v>52</v>
      </c>
      <c r="E273" s="4" t="s">
        <v>53</v>
      </c>
      <c r="F273" s="4" t="s">
        <v>25</v>
      </c>
      <c r="G273" s="4" t="s">
        <v>25</v>
      </c>
      <c r="H273" s="4" t="s">
        <v>37</v>
      </c>
      <c r="I273" s="5">
        <v>44774</v>
      </c>
      <c r="J273" s="6">
        <v>0</v>
      </c>
      <c r="K273" s="42">
        <v>0</v>
      </c>
      <c r="L273" s="6">
        <v>347.33</v>
      </c>
      <c r="M273" s="42">
        <v>347.33</v>
      </c>
      <c r="N273" s="6">
        <v>347.33</v>
      </c>
      <c r="O273" s="42">
        <v>347.33</v>
      </c>
      <c r="P273" s="6">
        <v>0</v>
      </c>
      <c r="Q273" s="4" t="s">
        <v>26</v>
      </c>
      <c r="R273" s="4">
        <v>0</v>
      </c>
      <c r="S273" s="4">
        <v>0</v>
      </c>
      <c r="T273" s="4">
        <v>29</v>
      </c>
      <c r="U273" s="4">
        <v>75</v>
      </c>
      <c r="V273" s="42">
        <f>IF(ISERROR(VLOOKUP($S$273,'TAR FIN'!$A$1:$O$115,15,0)),0,VLOOKUP($S$273,'TAR FIN'!$A$1:$O$115,15,0))</f>
        <v>0</v>
      </c>
      <c r="W273" s="42">
        <f>IF(ISERROR(VLOOKUP($T$273,'TAR FIN'!$A$1:$O$115,15,0)),0,VLOOKUP($T$273,'TAR FIN'!$A$1:$O$115,15,0))*(1-0.06)</f>
        <v>79.251400000000004</v>
      </c>
      <c r="X273" s="42">
        <f>IF(ISERROR(VLOOKUP($U$273,'TAR FIN'!$A$1:$O$115,15,0)),0,VLOOKUP($U$273,'TAR FIN'!$A$1:$O$115,15,0))*(1-0.06)</f>
        <v>157.97639999999998</v>
      </c>
      <c r="Y273" s="42"/>
      <c r="Z273" s="42">
        <f ca="1">('TUSD BE'!$AM$29+'TUSD BF'!$AM$29+'TUSD CVA'!$AM$29)*1*(1-0.03)</f>
        <v>110.02827653849539</v>
      </c>
      <c r="AA273" s="42">
        <f>('TE BE'!$AB$12+'TE BF'!$AB$12+'TE CVA'!$AB$12)*1*(1-0.03)</f>
        <v>212.12486502371149</v>
      </c>
      <c r="AB273" s="42">
        <f>(SUBSIDIO!$J$273*SUBSIDIO!$V$273)*(0.06)/(1-0.06)</f>
        <v>0</v>
      </c>
      <c r="AC273" s="42">
        <f>((SUBSIDIO!$L$273*SUBSIDIO!$W$273)+(SUBSIDIO!$N$273*SUBSIDIO!$X$273))*(0.06)/(1-0.06)</f>
        <v>5259.3403259999995</v>
      </c>
      <c r="AD273" s="42">
        <f>(SUBSIDIO!$J$273*SUBSIDIO!$Y$273)*(0.03)/(1-0.03)</f>
        <v>0</v>
      </c>
      <c r="AE273" s="42">
        <f ca="1">((SUBSIDIO!$L$273*SUBSIDIO!$Z$273)+(SUBSIDIO!$N$273*SUBSIDIO!$AA$273))*(0.03)/(1-0.03)</f>
        <v>3460.6221853237516</v>
      </c>
      <c r="AF273" s="4" t="s">
        <v>935</v>
      </c>
    </row>
    <row r="274" spans="1:32" ht="11.25" customHeight="1" x14ac:dyDescent="0.25">
      <c r="A274" s="4" t="s">
        <v>21</v>
      </c>
      <c r="B274" s="4" t="s">
        <v>41</v>
      </c>
      <c r="C274" s="4" t="s">
        <v>44</v>
      </c>
      <c r="D274" s="4" t="s">
        <v>52</v>
      </c>
      <c r="E274" s="4" t="s">
        <v>53</v>
      </c>
      <c r="F274" s="4" t="s">
        <v>25</v>
      </c>
      <c r="G274" s="4" t="s">
        <v>25</v>
      </c>
      <c r="H274" s="4" t="s">
        <v>37</v>
      </c>
      <c r="I274" s="5">
        <v>44805</v>
      </c>
      <c r="J274" s="6">
        <v>0</v>
      </c>
      <c r="K274" s="42">
        <v>0</v>
      </c>
      <c r="L274" s="6">
        <v>2789.5410000000002</v>
      </c>
      <c r="M274" s="42">
        <v>2789.5410000000002</v>
      </c>
      <c r="N274" s="6">
        <v>2789.5410000000002</v>
      </c>
      <c r="O274" s="42">
        <v>2789.5410000000002</v>
      </c>
      <c r="P274" s="6">
        <v>0</v>
      </c>
      <c r="Q274" s="4" t="s">
        <v>26</v>
      </c>
      <c r="R274" s="4">
        <v>0</v>
      </c>
      <c r="S274" s="4">
        <v>0</v>
      </c>
      <c r="T274" s="4">
        <v>29</v>
      </c>
      <c r="U274" s="4">
        <v>75</v>
      </c>
      <c r="V274" s="42">
        <f>IF(ISERROR(VLOOKUP($S$274,'TAR FIN'!$A$1:$O$115,15,0)),0,VLOOKUP($S$274,'TAR FIN'!$A$1:$O$115,15,0))</f>
        <v>0</v>
      </c>
      <c r="W274" s="42">
        <f>IF(ISERROR(VLOOKUP($T$274,'TAR FIN'!$A$1:$O$115,15,0)),0,VLOOKUP($T$274,'TAR FIN'!$A$1:$O$115,15,0))*(1-0.06)</f>
        <v>79.251400000000004</v>
      </c>
      <c r="X274" s="42">
        <f>IF(ISERROR(VLOOKUP($U$274,'TAR FIN'!$A$1:$O$115,15,0)),0,VLOOKUP($U$274,'TAR FIN'!$A$1:$O$115,15,0))*(1-0.06)</f>
        <v>157.97639999999998</v>
      </c>
      <c r="Y274" s="42"/>
      <c r="Z274" s="42">
        <f ca="1">('TUSD BE'!$AM$29+'TUSD BF'!$AM$29+'TUSD CVA'!$AM$29)*1*(1-0.03)</f>
        <v>110.02827653849539</v>
      </c>
      <c r="AA274" s="42">
        <f>('TE BE'!$AB$12+'TE BF'!$AB$12+'TE CVA'!$AB$12)*1*(1-0.03)</f>
        <v>212.12486502371149</v>
      </c>
      <c r="AB274" s="42">
        <f>(SUBSIDIO!$J$274*SUBSIDIO!$V$274)*(0.06)/(1-0.06)</f>
        <v>0</v>
      </c>
      <c r="AC274" s="42">
        <f>((SUBSIDIO!$L$274*SUBSIDIO!$W$274)+(SUBSIDIO!$N$274*SUBSIDIO!$X$274))*(0.06)/(1-0.06)</f>
        <v>42239.787730199998</v>
      </c>
      <c r="AD274" s="42">
        <f>(SUBSIDIO!$J$274*SUBSIDIO!$Y$274)*(0.03)/(1-0.03)</f>
        <v>0</v>
      </c>
      <c r="AE274" s="42">
        <f ca="1">((SUBSIDIO!$L$274*SUBSIDIO!$Z$274)+(SUBSIDIO!$N$274*SUBSIDIO!$AA$274))*(0.03)/(1-0.03)</f>
        <v>27793.589587626186</v>
      </c>
      <c r="AF274" s="4" t="s">
        <v>935</v>
      </c>
    </row>
    <row r="275" spans="1:32" ht="11.25" customHeight="1" x14ac:dyDescent="0.25">
      <c r="A275" s="4" t="s">
        <v>28</v>
      </c>
      <c r="B275" s="4" t="s">
        <v>41</v>
      </c>
      <c r="C275" s="4" t="s">
        <v>44</v>
      </c>
      <c r="D275" s="4" t="s">
        <v>52</v>
      </c>
      <c r="E275" s="4" t="s">
        <v>53</v>
      </c>
      <c r="F275" s="4" t="s">
        <v>25</v>
      </c>
      <c r="G275" s="4" t="s">
        <v>25</v>
      </c>
      <c r="H275" s="4" t="s">
        <v>37</v>
      </c>
      <c r="I275" s="5">
        <v>44805</v>
      </c>
      <c r="J275" s="6">
        <v>0</v>
      </c>
      <c r="K275" s="42">
        <v>0</v>
      </c>
      <c r="L275" s="6">
        <v>345.07299999999998</v>
      </c>
      <c r="M275" s="42">
        <v>345.07299999999998</v>
      </c>
      <c r="N275" s="6">
        <v>345.07299999999998</v>
      </c>
      <c r="O275" s="42">
        <v>345.07299999999998</v>
      </c>
      <c r="P275" s="6">
        <v>0</v>
      </c>
      <c r="Q275" s="4" t="s">
        <v>26</v>
      </c>
      <c r="R275" s="4">
        <v>0</v>
      </c>
      <c r="S275" s="4">
        <v>0</v>
      </c>
      <c r="T275" s="4">
        <v>29</v>
      </c>
      <c r="U275" s="4">
        <v>75</v>
      </c>
      <c r="V275" s="42">
        <f>IF(ISERROR(VLOOKUP($S$275,'TAR FIN'!$A$1:$O$115,15,0)),0,VLOOKUP($S$275,'TAR FIN'!$A$1:$O$115,15,0))</f>
        <v>0</v>
      </c>
      <c r="W275" s="42">
        <f>IF(ISERROR(VLOOKUP($T$275,'TAR FIN'!$A$1:$O$115,15,0)),0,VLOOKUP($T$275,'TAR FIN'!$A$1:$O$115,15,0))*(1-0.06)</f>
        <v>79.251400000000004</v>
      </c>
      <c r="X275" s="42">
        <f>IF(ISERROR(VLOOKUP($U$275,'TAR FIN'!$A$1:$O$115,15,0)),0,VLOOKUP($U$275,'TAR FIN'!$A$1:$O$115,15,0))*(1-0.06)</f>
        <v>157.97639999999998</v>
      </c>
      <c r="Y275" s="42"/>
      <c r="Z275" s="42">
        <f ca="1">('TUSD BE'!$AM$29+'TUSD BF'!$AM$29+'TUSD CVA'!$AM$29)*1*(1-0.03)</f>
        <v>110.02827653849539</v>
      </c>
      <c r="AA275" s="42">
        <f>('TE BE'!$AB$12+'TE BF'!$AB$12+'TE CVA'!$AB$12)*1*(1-0.03)</f>
        <v>212.12486502371149</v>
      </c>
      <c r="AB275" s="42">
        <f>(SUBSIDIO!$J$275*SUBSIDIO!$V$275)*(0.06)/(1-0.06)</f>
        <v>0</v>
      </c>
      <c r="AC275" s="42">
        <f>((SUBSIDIO!$L$275*SUBSIDIO!$W$275)+(SUBSIDIO!$N$275*SUBSIDIO!$X$275))*(0.06)/(1-0.06)</f>
        <v>5225.1643805999993</v>
      </c>
      <c r="AD275" s="42">
        <f>(SUBSIDIO!$J$275*SUBSIDIO!$Y$275)*(0.03)/(1-0.03)</f>
        <v>0</v>
      </c>
      <c r="AE275" s="42">
        <f ca="1">((SUBSIDIO!$L$275*SUBSIDIO!$Z$275)+(SUBSIDIO!$N$275*SUBSIDIO!$AA$275))*(0.03)/(1-0.03)</f>
        <v>3438.1345675761463</v>
      </c>
      <c r="AF275" s="4" t="s">
        <v>935</v>
      </c>
    </row>
    <row r="276" spans="1:32" ht="11.25" customHeight="1" x14ac:dyDescent="0.25">
      <c r="A276" s="4" t="s">
        <v>21</v>
      </c>
      <c r="B276" s="4" t="s">
        <v>41</v>
      </c>
      <c r="C276" s="4" t="s">
        <v>44</v>
      </c>
      <c r="D276" s="4" t="s">
        <v>52</v>
      </c>
      <c r="E276" s="4" t="s">
        <v>53</v>
      </c>
      <c r="F276" s="4" t="s">
        <v>25</v>
      </c>
      <c r="G276" s="4" t="s">
        <v>25</v>
      </c>
      <c r="H276" s="4" t="s">
        <v>37</v>
      </c>
      <c r="I276" s="5">
        <v>44835</v>
      </c>
      <c r="J276" s="6">
        <v>0</v>
      </c>
      <c r="K276" s="42">
        <v>0</v>
      </c>
      <c r="L276" s="6">
        <v>2803.8290000000002</v>
      </c>
      <c r="M276" s="42">
        <v>2803.8290000000002</v>
      </c>
      <c r="N276" s="6">
        <v>2803.8290000000002</v>
      </c>
      <c r="O276" s="42">
        <v>2803.8290000000002</v>
      </c>
      <c r="P276" s="6">
        <v>0</v>
      </c>
      <c r="Q276" s="4" t="s">
        <v>26</v>
      </c>
      <c r="R276" s="4">
        <v>0</v>
      </c>
      <c r="S276" s="4">
        <v>0</v>
      </c>
      <c r="T276" s="4">
        <v>29</v>
      </c>
      <c r="U276" s="4">
        <v>75</v>
      </c>
      <c r="V276" s="42">
        <f>IF(ISERROR(VLOOKUP($S$276,'TAR FIN'!$A$1:$O$115,15,0)),0,VLOOKUP($S$276,'TAR FIN'!$A$1:$O$115,15,0))</f>
        <v>0</v>
      </c>
      <c r="W276" s="42">
        <f>IF(ISERROR(VLOOKUP($T$276,'TAR FIN'!$A$1:$O$115,15,0)),0,VLOOKUP($T$276,'TAR FIN'!$A$1:$O$115,15,0))*(1-0.06)</f>
        <v>79.251400000000004</v>
      </c>
      <c r="X276" s="42">
        <f>IF(ISERROR(VLOOKUP($U$276,'TAR FIN'!$A$1:$O$115,15,0)),0,VLOOKUP($U$276,'TAR FIN'!$A$1:$O$115,15,0))*(1-0.06)</f>
        <v>157.97639999999998</v>
      </c>
      <c r="Y276" s="42"/>
      <c r="Z276" s="42">
        <f ca="1">('TUSD BE'!$AM$29+'TUSD BF'!$AM$29+'TUSD CVA'!$AM$29)*1*(1-0.03)</f>
        <v>110.02827653849539</v>
      </c>
      <c r="AA276" s="42">
        <f>('TE BE'!$AB$12+'TE BF'!$AB$12+'TE CVA'!$AB$12)*1*(1-0.03)</f>
        <v>212.12486502371149</v>
      </c>
      <c r="AB276" s="42">
        <f>(SUBSIDIO!$J$276*SUBSIDIO!$V$276)*(0.06)/(1-0.06)</f>
        <v>0</v>
      </c>
      <c r="AC276" s="42">
        <f>((SUBSIDIO!$L$276*SUBSIDIO!$W$276)+(SUBSIDIO!$N$276*SUBSIDIO!$X$276))*(0.06)/(1-0.06)</f>
        <v>42456.139483800005</v>
      </c>
      <c r="AD276" s="42">
        <f>(SUBSIDIO!$J$276*SUBSIDIO!$Y$276)*(0.03)/(1-0.03)</f>
        <v>0</v>
      </c>
      <c r="AE276" s="42">
        <f ca="1">((SUBSIDIO!$L$276*SUBSIDIO!$Z$276)+(SUBSIDIO!$N$276*SUBSIDIO!$AA$276))*(0.03)/(1-0.03)</f>
        <v>27935.948064532611</v>
      </c>
      <c r="AF276" s="4" t="s">
        <v>935</v>
      </c>
    </row>
    <row r="277" spans="1:32" ht="11.25" customHeight="1" x14ac:dyDescent="0.25">
      <c r="A277" s="4" t="s">
        <v>28</v>
      </c>
      <c r="B277" s="4" t="s">
        <v>41</v>
      </c>
      <c r="C277" s="4" t="s">
        <v>44</v>
      </c>
      <c r="D277" s="4" t="s">
        <v>52</v>
      </c>
      <c r="E277" s="4" t="s">
        <v>53</v>
      </c>
      <c r="F277" s="4" t="s">
        <v>25</v>
      </c>
      <c r="G277" s="4" t="s">
        <v>25</v>
      </c>
      <c r="H277" s="4" t="s">
        <v>37</v>
      </c>
      <c r="I277" s="5">
        <v>44835</v>
      </c>
      <c r="J277" s="6">
        <v>0</v>
      </c>
      <c r="K277" s="42">
        <v>0</v>
      </c>
      <c r="L277" s="6">
        <v>387.18</v>
      </c>
      <c r="M277" s="42">
        <v>387.18</v>
      </c>
      <c r="N277" s="6">
        <v>387.18</v>
      </c>
      <c r="O277" s="42">
        <v>387.18</v>
      </c>
      <c r="P277" s="6">
        <v>0</v>
      </c>
      <c r="Q277" s="4" t="s">
        <v>26</v>
      </c>
      <c r="R277" s="4">
        <v>0</v>
      </c>
      <c r="S277" s="4">
        <v>0</v>
      </c>
      <c r="T277" s="4">
        <v>29</v>
      </c>
      <c r="U277" s="4">
        <v>75</v>
      </c>
      <c r="V277" s="42">
        <f>IF(ISERROR(VLOOKUP($S$277,'TAR FIN'!$A$1:$O$115,15,0)),0,VLOOKUP($S$277,'TAR FIN'!$A$1:$O$115,15,0))</f>
        <v>0</v>
      </c>
      <c r="W277" s="42">
        <f>IF(ISERROR(VLOOKUP($T$277,'TAR FIN'!$A$1:$O$115,15,0)),0,VLOOKUP($T$277,'TAR FIN'!$A$1:$O$115,15,0))*(1-0.06)</f>
        <v>79.251400000000004</v>
      </c>
      <c r="X277" s="42">
        <f>IF(ISERROR(VLOOKUP($U$277,'TAR FIN'!$A$1:$O$115,15,0)),0,VLOOKUP($U$277,'TAR FIN'!$A$1:$O$115,15,0))*(1-0.06)</f>
        <v>157.97639999999998</v>
      </c>
      <c r="Y277" s="42"/>
      <c r="Z277" s="42">
        <f ca="1">('TUSD BE'!$AM$29+'TUSD BF'!$AM$29+'TUSD CVA'!$AM$29)*1*(1-0.03)</f>
        <v>110.02827653849539</v>
      </c>
      <c r="AA277" s="42">
        <f>('TE BE'!$AB$12+'TE BF'!$AB$12+'TE CVA'!$AB$12)*1*(1-0.03)</f>
        <v>212.12486502371149</v>
      </c>
      <c r="AB277" s="42">
        <f>(SUBSIDIO!$J$277*SUBSIDIO!$V$277)*(0.06)/(1-0.06)</f>
        <v>0</v>
      </c>
      <c r="AC277" s="42">
        <f>((SUBSIDIO!$L$277*SUBSIDIO!$W$277)+(SUBSIDIO!$N$277*SUBSIDIO!$X$277))*(0.06)/(1-0.06)</f>
        <v>5862.7569960000001</v>
      </c>
      <c r="AD277" s="42">
        <f>(SUBSIDIO!$J$277*SUBSIDIO!$Y$277)*(0.03)/(1-0.03)</f>
        <v>0</v>
      </c>
      <c r="AE277" s="42">
        <f ca="1">((SUBSIDIO!$L$277*SUBSIDIO!$Z$277)+(SUBSIDIO!$N$277*SUBSIDIO!$AA$277))*(0.03)/(1-0.03)</f>
        <v>3857.667629383152</v>
      </c>
      <c r="AF277" s="4" t="s">
        <v>935</v>
      </c>
    </row>
    <row r="278" spans="1:32" ht="11.25" customHeight="1" x14ac:dyDescent="0.25">
      <c r="A278" s="4" t="s">
        <v>59</v>
      </c>
      <c r="B278" s="4" t="s">
        <v>41</v>
      </c>
      <c r="C278" s="4" t="s">
        <v>44</v>
      </c>
      <c r="D278" s="4" t="s">
        <v>52</v>
      </c>
      <c r="E278" s="4" t="s">
        <v>53</v>
      </c>
      <c r="F278" s="4" t="s">
        <v>25</v>
      </c>
      <c r="G278" s="4" t="s">
        <v>25</v>
      </c>
      <c r="H278" s="4" t="s">
        <v>37</v>
      </c>
      <c r="I278" s="5">
        <v>44866</v>
      </c>
      <c r="J278" s="6">
        <v>0</v>
      </c>
      <c r="K278" s="42">
        <v>0</v>
      </c>
      <c r="L278" s="6">
        <v>2803.8290000000002</v>
      </c>
      <c r="M278" s="42">
        <v>2803.8290000000002</v>
      </c>
      <c r="N278" s="6">
        <v>2803.8290000000002</v>
      </c>
      <c r="O278" s="42">
        <v>2803.8290000000002</v>
      </c>
      <c r="P278" s="6">
        <v>0</v>
      </c>
      <c r="Q278" s="4" t="s">
        <v>26</v>
      </c>
      <c r="R278" s="4">
        <v>0</v>
      </c>
      <c r="S278" s="4">
        <v>0</v>
      </c>
      <c r="T278" s="4">
        <v>29</v>
      </c>
      <c r="U278" s="4">
        <v>75</v>
      </c>
      <c r="V278" s="42">
        <f>IF(ISERROR(VLOOKUP($S$278,'TAR FIN'!$A$1:$O$115,15,0)),0,VLOOKUP($S$278,'TAR FIN'!$A$1:$O$115,15,0))</f>
        <v>0</v>
      </c>
      <c r="W278" s="42">
        <f>IF(ISERROR(VLOOKUP($T$278,'TAR FIN'!$A$1:$O$115,15,0)),0,VLOOKUP($T$278,'TAR FIN'!$A$1:$O$115,15,0))*(1-0.06)</f>
        <v>79.251400000000004</v>
      </c>
      <c r="X278" s="42">
        <f>IF(ISERROR(VLOOKUP($U$278,'TAR FIN'!$A$1:$O$115,15,0)),0,VLOOKUP($U$278,'TAR FIN'!$A$1:$O$115,15,0))*(1-0.06)</f>
        <v>157.97639999999998</v>
      </c>
      <c r="Y278" s="42"/>
      <c r="Z278" s="42">
        <f ca="1">('TUSD BE'!$AM$29+'TUSD BF'!$AM$29+'TUSD CVA'!$AM$29)*1*(1-0.03)</f>
        <v>110.02827653849539</v>
      </c>
      <c r="AA278" s="42">
        <f>('TE BE'!$AB$12+'TE BF'!$AB$12+'TE CVA'!$AB$12)*1*(1-0.03)</f>
        <v>212.12486502371149</v>
      </c>
      <c r="AB278" s="42">
        <f>(SUBSIDIO!$J$278*SUBSIDIO!$V$278)*(0.06)/(1-0.06)</f>
        <v>0</v>
      </c>
      <c r="AC278" s="42">
        <f>((SUBSIDIO!$L$278*SUBSIDIO!$W$278)+(SUBSIDIO!$N$278*SUBSIDIO!$X$278))*(0.06)/(1-0.06)</f>
        <v>42456.139483800005</v>
      </c>
      <c r="AD278" s="42">
        <f>(SUBSIDIO!$J$278*SUBSIDIO!$Y$278)*(0.03)/(1-0.03)</f>
        <v>0</v>
      </c>
      <c r="AE278" s="42">
        <f ca="1">((SUBSIDIO!$L$278*SUBSIDIO!$Z$278)+(SUBSIDIO!$N$278*SUBSIDIO!$AA$278))*(0.03)/(1-0.03)</f>
        <v>27935.948064532611</v>
      </c>
      <c r="AF278" s="4" t="s">
        <v>935</v>
      </c>
    </row>
    <row r="279" spans="1:32" ht="11.25" customHeight="1" x14ac:dyDescent="0.25">
      <c r="A279" s="4" t="s">
        <v>59</v>
      </c>
      <c r="B279" s="4" t="s">
        <v>41</v>
      </c>
      <c r="C279" s="4" t="s">
        <v>44</v>
      </c>
      <c r="D279" s="4" t="s">
        <v>52</v>
      </c>
      <c r="E279" s="4" t="s">
        <v>53</v>
      </c>
      <c r="F279" s="4" t="s">
        <v>25</v>
      </c>
      <c r="G279" s="4" t="s">
        <v>25</v>
      </c>
      <c r="H279" s="4" t="s">
        <v>37</v>
      </c>
      <c r="I279" s="5">
        <v>44866</v>
      </c>
      <c r="J279" s="6">
        <v>0</v>
      </c>
      <c r="K279" s="42">
        <v>0</v>
      </c>
      <c r="L279" s="6">
        <v>387.18</v>
      </c>
      <c r="M279" s="42">
        <v>387.18</v>
      </c>
      <c r="N279" s="6">
        <v>387.18</v>
      </c>
      <c r="O279" s="42">
        <v>387.18</v>
      </c>
      <c r="P279" s="6">
        <v>0</v>
      </c>
      <c r="Q279" s="4" t="s">
        <v>26</v>
      </c>
      <c r="R279" s="4">
        <v>0</v>
      </c>
      <c r="S279" s="4">
        <v>0</v>
      </c>
      <c r="T279" s="4">
        <v>29</v>
      </c>
      <c r="U279" s="4">
        <v>75</v>
      </c>
      <c r="V279" s="42">
        <f>IF(ISERROR(VLOOKUP($S$279,'TAR FIN'!$A$1:$O$115,15,0)),0,VLOOKUP($S$279,'TAR FIN'!$A$1:$O$115,15,0))</f>
        <v>0</v>
      </c>
      <c r="W279" s="42">
        <f>IF(ISERROR(VLOOKUP($T$279,'TAR FIN'!$A$1:$O$115,15,0)),0,VLOOKUP($T$279,'TAR FIN'!$A$1:$O$115,15,0))*(1-0.06)</f>
        <v>79.251400000000004</v>
      </c>
      <c r="X279" s="42">
        <f>IF(ISERROR(VLOOKUP($U$279,'TAR FIN'!$A$1:$O$115,15,0)),0,VLOOKUP($U$279,'TAR FIN'!$A$1:$O$115,15,0))*(1-0.06)</f>
        <v>157.97639999999998</v>
      </c>
      <c r="Y279" s="42"/>
      <c r="Z279" s="42">
        <f ca="1">('TUSD BE'!$AM$29+'TUSD BF'!$AM$29+'TUSD CVA'!$AM$29)*1*(1-0.03)</f>
        <v>110.02827653849539</v>
      </c>
      <c r="AA279" s="42">
        <f>('TE BE'!$AB$12+'TE BF'!$AB$12+'TE CVA'!$AB$12)*1*(1-0.03)</f>
        <v>212.12486502371149</v>
      </c>
      <c r="AB279" s="42">
        <f>(SUBSIDIO!$J$279*SUBSIDIO!$V$279)*(0.06)/(1-0.06)</f>
        <v>0</v>
      </c>
      <c r="AC279" s="42">
        <f>((SUBSIDIO!$L$279*SUBSIDIO!$W$279)+(SUBSIDIO!$N$279*SUBSIDIO!$X$279))*(0.06)/(1-0.06)</f>
        <v>5862.7569960000001</v>
      </c>
      <c r="AD279" s="42">
        <f>(SUBSIDIO!$J$279*SUBSIDIO!$Y$279)*(0.03)/(1-0.03)</f>
        <v>0</v>
      </c>
      <c r="AE279" s="42">
        <f ca="1">((SUBSIDIO!$L$279*SUBSIDIO!$Z$279)+(SUBSIDIO!$N$279*SUBSIDIO!$AA$279))*(0.03)/(1-0.03)</f>
        <v>3857.667629383152</v>
      </c>
      <c r="AF279" s="4" t="s">
        <v>935</v>
      </c>
    </row>
    <row r="280" spans="1:32" ht="11.25" customHeight="1" x14ac:dyDescent="0.25">
      <c r="A280" s="4" t="s">
        <v>21</v>
      </c>
      <c r="B280" s="4" t="s">
        <v>41</v>
      </c>
      <c r="C280" s="4" t="s">
        <v>44</v>
      </c>
      <c r="D280" s="4" t="s">
        <v>52</v>
      </c>
      <c r="E280" s="4" t="s">
        <v>53</v>
      </c>
      <c r="F280" s="4" t="s">
        <v>25</v>
      </c>
      <c r="G280" s="4" t="s">
        <v>25</v>
      </c>
      <c r="H280" s="4" t="s">
        <v>25</v>
      </c>
      <c r="I280" s="5">
        <v>44531</v>
      </c>
      <c r="J280" s="6">
        <v>5681</v>
      </c>
      <c r="K280" s="43">
        <v>5681</v>
      </c>
      <c r="L280" s="6">
        <v>0</v>
      </c>
      <c r="M280" s="42">
        <v>0</v>
      </c>
      <c r="N280" s="6">
        <v>0</v>
      </c>
      <c r="O280" s="42">
        <v>0</v>
      </c>
      <c r="P280" s="6">
        <v>29</v>
      </c>
      <c r="Q280" s="4" t="s">
        <v>26</v>
      </c>
      <c r="R280" s="4">
        <v>0</v>
      </c>
      <c r="S280" s="4">
        <v>27</v>
      </c>
      <c r="T280" s="4">
        <v>0</v>
      </c>
      <c r="U280" s="4">
        <v>0</v>
      </c>
      <c r="V280" s="42">
        <f>IF(ISERROR(VLOOKUP($S$280,'TAR FIN'!$A$1:$O$115,15,0)),0,VLOOKUP($S$280,'TAR FIN'!$A$1:$O$115,15,0))*(1-0.06)</f>
        <v>18.611999999999998</v>
      </c>
      <c r="W280" s="42">
        <f>IF(ISERROR(VLOOKUP($T$280,'TAR FIN'!$A$1:$O$115,15,0)),0,VLOOKUP($T$280,'TAR FIN'!$A$1:$O$115,15,0))</f>
        <v>0</v>
      </c>
      <c r="X280" s="42">
        <f>IF(ISERROR(VLOOKUP($U$280,'TAR FIN'!$A$1:$O$115,15,0)),0,VLOOKUP($U$280,'TAR FIN'!$A$1:$O$115,15,0))</f>
        <v>0</v>
      </c>
      <c r="Y280" s="42">
        <f ca="1">('TUSD BE'!$AM$27+'TUSD BF'!$AM$27+'TUSD CVA'!$AM$27)*1*(1-0.03)</f>
        <v>19.996757900318997</v>
      </c>
      <c r="Z280" s="42"/>
      <c r="AA280" s="42"/>
      <c r="AB280" s="42">
        <f>(SUBSIDIO!$J$280*SUBSIDIO!$V$280)*(0.06)/(1-0.06)</f>
        <v>6749.0279999999993</v>
      </c>
      <c r="AC280" s="42">
        <f>((SUBSIDIO!$L$280*SUBSIDIO!$W$280)+(SUBSIDIO!$N$280*SUBSIDIO!$X$280))*(0.06)/(1-0.06)</f>
        <v>0</v>
      </c>
      <c r="AD280" s="42">
        <f ca="1">(SUBSIDIO!$J$280*SUBSIDIO!$Y$280)*(0.03)/(1-0.03)</f>
        <v>3513.4509783003782</v>
      </c>
      <c r="AE280" s="42">
        <f>((SUBSIDIO!$L$280*SUBSIDIO!$Z$280)+(SUBSIDIO!$N$280*SUBSIDIO!$AA$280))*(0.03)/(1-0.03)</f>
        <v>0</v>
      </c>
      <c r="AF280" s="4" t="s">
        <v>935</v>
      </c>
    </row>
    <row r="281" spans="1:32" ht="11.25" customHeight="1" x14ac:dyDescent="0.25">
      <c r="A281" s="4" t="s">
        <v>28</v>
      </c>
      <c r="B281" s="4" t="s">
        <v>41</v>
      </c>
      <c r="C281" s="4" t="s">
        <v>44</v>
      </c>
      <c r="D281" s="4" t="s">
        <v>52</v>
      </c>
      <c r="E281" s="4" t="s">
        <v>53</v>
      </c>
      <c r="F281" s="4" t="s">
        <v>25</v>
      </c>
      <c r="G281" s="4" t="s">
        <v>25</v>
      </c>
      <c r="H281" s="4" t="s">
        <v>25</v>
      </c>
      <c r="I281" s="5">
        <v>44531</v>
      </c>
      <c r="J281" s="6">
        <v>979</v>
      </c>
      <c r="K281" s="43">
        <v>979</v>
      </c>
      <c r="L281" s="6">
        <v>0</v>
      </c>
      <c r="M281" s="42">
        <v>0</v>
      </c>
      <c r="N281" s="6">
        <v>0</v>
      </c>
      <c r="O281" s="42">
        <v>0</v>
      </c>
      <c r="P281" s="6">
        <v>10</v>
      </c>
      <c r="Q281" s="4" t="s">
        <v>26</v>
      </c>
      <c r="R281" s="4">
        <v>0</v>
      </c>
      <c r="S281" s="4">
        <v>27</v>
      </c>
      <c r="T281" s="4">
        <v>0</v>
      </c>
      <c r="U281" s="4">
        <v>0</v>
      </c>
      <c r="V281" s="42">
        <f>IF(ISERROR(VLOOKUP($S$281,'TAR FIN'!$A$1:$O$115,15,0)),0,VLOOKUP($S$281,'TAR FIN'!$A$1:$O$115,15,0))*(1-0.06)</f>
        <v>18.611999999999998</v>
      </c>
      <c r="W281" s="42">
        <f>IF(ISERROR(VLOOKUP($T$281,'TAR FIN'!$A$1:$O$115,15,0)),0,VLOOKUP($T$281,'TAR FIN'!$A$1:$O$115,15,0))</f>
        <v>0</v>
      </c>
      <c r="X281" s="42">
        <f>IF(ISERROR(VLOOKUP($U$281,'TAR FIN'!$A$1:$O$115,15,0)),0,VLOOKUP($U$281,'TAR FIN'!$A$1:$O$115,15,0))</f>
        <v>0</v>
      </c>
      <c r="Y281" s="42">
        <f ca="1">('TUSD BE'!$AM$27+'TUSD BF'!$AM$27+'TUSD CVA'!$AM$27)*1*(1-0.03)</f>
        <v>19.996757900318997</v>
      </c>
      <c r="Z281" s="42"/>
      <c r="AA281" s="42"/>
      <c r="AB281" s="42">
        <f>(SUBSIDIO!$J$281*SUBSIDIO!$V$281)*(0.06)/(1-0.06)</f>
        <v>1163.0519999999999</v>
      </c>
      <c r="AC281" s="42">
        <f>((SUBSIDIO!$L$281*SUBSIDIO!$W$281)+(SUBSIDIO!$N$281*SUBSIDIO!$X$281))*(0.06)/(1-0.06)</f>
        <v>0</v>
      </c>
      <c r="AD281" s="42">
        <f ca="1">(SUBSIDIO!$J$281*SUBSIDIO!$Y$281)*(0.03)/(1-0.03)</f>
        <v>605.46884487873081</v>
      </c>
      <c r="AE281" s="42">
        <f>((SUBSIDIO!$L$281*SUBSIDIO!$Z$281)+(SUBSIDIO!$N$281*SUBSIDIO!$AA$281))*(0.03)/(1-0.03)</f>
        <v>0</v>
      </c>
      <c r="AF281" s="4" t="s">
        <v>935</v>
      </c>
    </row>
    <row r="282" spans="1:32" ht="11.25" customHeight="1" x14ac:dyDescent="0.25">
      <c r="A282" s="4" t="s">
        <v>21</v>
      </c>
      <c r="B282" s="4" t="s">
        <v>41</v>
      </c>
      <c r="C282" s="4" t="s">
        <v>44</v>
      </c>
      <c r="D282" s="4" t="s">
        <v>52</v>
      </c>
      <c r="E282" s="4" t="s">
        <v>53</v>
      </c>
      <c r="F282" s="4" t="s">
        <v>25</v>
      </c>
      <c r="G282" s="4" t="s">
        <v>25</v>
      </c>
      <c r="H282" s="4" t="s">
        <v>25</v>
      </c>
      <c r="I282" s="5">
        <v>44562</v>
      </c>
      <c r="J282" s="6">
        <v>6635</v>
      </c>
      <c r="K282" s="43">
        <v>6635</v>
      </c>
      <c r="L282" s="6">
        <v>0</v>
      </c>
      <c r="M282" s="42">
        <v>0</v>
      </c>
      <c r="N282" s="6">
        <v>0</v>
      </c>
      <c r="O282" s="42">
        <v>0</v>
      </c>
      <c r="P282" s="6">
        <v>29</v>
      </c>
      <c r="Q282" s="4" t="s">
        <v>26</v>
      </c>
      <c r="R282" s="4">
        <v>0</v>
      </c>
      <c r="S282" s="4">
        <v>27</v>
      </c>
      <c r="T282" s="4">
        <v>0</v>
      </c>
      <c r="U282" s="4">
        <v>0</v>
      </c>
      <c r="V282" s="42">
        <f>IF(ISERROR(VLOOKUP($S$282,'TAR FIN'!$A$1:$O$115,15,0)),0,VLOOKUP($S$282,'TAR FIN'!$A$1:$O$115,15,0))*(1-0.06)</f>
        <v>18.611999999999998</v>
      </c>
      <c r="W282" s="42">
        <f>IF(ISERROR(VLOOKUP($T$282,'TAR FIN'!$A$1:$O$115,15,0)),0,VLOOKUP($T$282,'TAR FIN'!$A$1:$O$115,15,0))</f>
        <v>0</v>
      </c>
      <c r="X282" s="42">
        <f>IF(ISERROR(VLOOKUP($U$282,'TAR FIN'!$A$1:$O$115,15,0)),0,VLOOKUP($U$282,'TAR FIN'!$A$1:$O$115,15,0))</f>
        <v>0</v>
      </c>
      <c r="Y282" s="42">
        <f ca="1">('TUSD BE'!$AM$27+'TUSD BF'!$AM$27+'TUSD CVA'!$AM$27)*1*(1-0.03)</f>
        <v>19.996757900318997</v>
      </c>
      <c r="Z282" s="42"/>
      <c r="AA282" s="42"/>
      <c r="AB282" s="42">
        <f>(SUBSIDIO!$J$282*SUBSIDIO!$V$282)*(0.06)/(1-0.06)</f>
        <v>7882.38</v>
      </c>
      <c r="AC282" s="42">
        <f>((SUBSIDIO!$L$282*SUBSIDIO!$W$282)+(SUBSIDIO!$N$282*SUBSIDIO!$X$282))*(0.06)/(1-0.06)</f>
        <v>0</v>
      </c>
      <c r="AD282" s="42">
        <f ca="1">(SUBSIDIO!$J$282*SUBSIDIO!$Y$282)*(0.03)/(1-0.03)</f>
        <v>4103.4584124314388</v>
      </c>
      <c r="AE282" s="42">
        <f>((SUBSIDIO!$L$282*SUBSIDIO!$Z$282)+(SUBSIDIO!$N$282*SUBSIDIO!$AA$282))*(0.03)/(1-0.03)</f>
        <v>0</v>
      </c>
      <c r="AF282" s="4" t="s">
        <v>935</v>
      </c>
    </row>
    <row r="283" spans="1:32" ht="11.25" customHeight="1" x14ac:dyDescent="0.25">
      <c r="A283" s="4" t="s">
        <v>28</v>
      </c>
      <c r="B283" s="4" t="s">
        <v>41</v>
      </c>
      <c r="C283" s="4" t="s">
        <v>44</v>
      </c>
      <c r="D283" s="4" t="s">
        <v>52</v>
      </c>
      <c r="E283" s="4" t="s">
        <v>53</v>
      </c>
      <c r="F283" s="4" t="s">
        <v>25</v>
      </c>
      <c r="G283" s="4" t="s">
        <v>25</v>
      </c>
      <c r="H283" s="4" t="s">
        <v>25</v>
      </c>
      <c r="I283" s="5">
        <v>44562</v>
      </c>
      <c r="J283" s="6">
        <v>965</v>
      </c>
      <c r="K283" s="43">
        <v>965</v>
      </c>
      <c r="L283" s="6">
        <v>0</v>
      </c>
      <c r="M283" s="42">
        <v>0</v>
      </c>
      <c r="N283" s="6">
        <v>0</v>
      </c>
      <c r="O283" s="42">
        <v>0</v>
      </c>
      <c r="P283" s="6">
        <v>10</v>
      </c>
      <c r="Q283" s="4" t="s">
        <v>26</v>
      </c>
      <c r="R283" s="4">
        <v>0</v>
      </c>
      <c r="S283" s="4">
        <v>27</v>
      </c>
      <c r="T283" s="4">
        <v>0</v>
      </c>
      <c r="U283" s="4">
        <v>0</v>
      </c>
      <c r="V283" s="42">
        <f>IF(ISERROR(VLOOKUP($S$283,'TAR FIN'!$A$1:$O$115,15,0)),0,VLOOKUP($S$283,'TAR FIN'!$A$1:$O$115,15,0))*(1-0.06)</f>
        <v>18.611999999999998</v>
      </c>
      <c r="W283" s="42">
        <f>IF(ISERROR(VLOOKUP($T$283,'TAR FIN'!$A$1:$O$115,15,0)),0,VLOOKUP($T$283,'TAR FIN'!$A$1:$O$115,15,0))</f>
        <v>0</v>
      </c>
      <c r="X283" s="42">
        <f>IF(ISERROR(VLOOKUP($U$283,'TAR FIN'!$A$1:$O$115,15,0)),0,VLOOKUP($U$283,'TAR FIN'!$A$1:$O$115,15,0))</f>
        <v>0</v>
      </c>
      <c r="Y283" s="42">
        <f ca="1">('TUSD BE'!$AM$27+'TUSD BF'!$AM$27+'TUSD CVA'!$AM$27)*1*(1-0.03)</f>
        <v>19.996757900318997</v>
      </c>
      <c r="Z283" s="42"/>
      <c r="AA283" s="42"/>
      <c r="AB283" s="42">
        <f>(SUBSIDIO!$J$283*SUBSIDIO!$V$283)*(0.06)/(1-0.06)</f>
        <v>1146.4199999999998</v>
      </c>
      <c r="AC283" s="42">
        <f>((SUBSIDIO!$L$283*SUBSIDIO!$W$283)+(SUBSIDIO!$N$283*SUBSIDIO!$X$283))*(0.06)/(1-0.06)</f>
        <v>0</v>
      </c>
      <c r="AD283" s="42">
        <f ca="1">(SUBSIDIO!$J$283*SUBSIDIO!$Y$283)*(0.03)/(1-0.03)</f>
        <v>596.81045486003609</v>
      </c>
      <c r="AE283" s="42">
        <f>((SUBSIDIO!$L$283*SUBSIDIO!$Z$283)+(SUBSIDIO!$N$283*SUBSIDIO!$AA$283))*(0.03)/(1-0.03)</f>
        <v>0</v>
      </c>
      <c r="AF283" s="4" t="s">
        <v>935</v>
      </c>
    </row>
    <row r="284" spans="1:32" ht="11.25" customHeight="1" x14ac:dyDescent="0.25">
      <c r="A284" s="4" t="s">
        <v>21</v>
      </c>
      <c r="B284" s="4" t="s">
        <v>41</v>
      </c>
      <c r="C284" s="4" t="s">
        <v>44</v>
      </c>
      <c r="D284" s="4" t="s">
        <v>52</v>
      </c>
      <c r="E284" s="4" t="s">
        <v>53</v>
      </c>
      <c r="F284" s="4" t="s">
        <v>25</v>
      </c>
      <c r="G284" s="4" t="s">
        <v>25</v>
      </c>
      <c r="H284" s="4" t="s">
        <v>25</v>
      </c>
      <c r="I284" s="5">
        <v>44593</v>
      </c>
      <c r="J284" s="6">
        <v>6429</v>
      </c>
      <c r="K284" s="43">
        <v>6429</v>
      </c>
      <c r="L284" s="6">
        <v>0</v>
      </c>
      <c r="M284" s="42">
        <v>0</v>
      </c>
      <c r="N284" s="6">
        <v>0</v>
      </c>
      <c r="O284" s="42">
        <v>0</v>
      </c>
      <c r="P284" s="6">
        <v>29</v>
      </c>
      <c r="Q284" s="4" t="s">
        <v>26</v>
      </c>
      <c r="R284" s="4">
        <v>0</v>
      </c>
      <c r="S284" s="4">
        <v>27</v>
      </c>
      <c r="T284" s="4">
        <v>0</v>
      </c>
      <c r="U284" s="4">
        <v>0</v>
      </c>
      <c r="V284" s="42">
        <f>IF(ISERROR(VLOOKUP($S$284,'TAR FIN'!$A$1:$O$115,15,0)),0,VLOOKUP($S$284,'TAR FIN'!$A$1:$O$115,15,0))*(1-0.06)</f>
        <v>18.611999999999998</v>
      </c>
      <c r="W284" s="42">
        <f>IF(ISERROR(VLOOKUP($T$284,'TAR FIN'!$A$1:$O$115,15,0)),0,VLOOKUP($T$284,'TAR FIN'!$A$1:$O$115,15,0))</f>
        <v>0</v>
      </c>
      <c r="X284" s="42">
        <f>IF(ISERROR(VLOOKUP($U$284,'TAR FIN'!$A$1:$O$115,15,0)),0,VLOOKUP($U$284,'TAR FIN'!$A$1:$O$115,15,0))</f>
        <v>0</v>
      </c>
      <c r="Y284" s="42">
        <f ca="1">('TUSD BE'!$AM$27+'TUSD BF'!$AM$27+'TUSD CVA'!$AM$27)*1*(1-0.03)</f>
        <v>19.996757900318997</v>
      </c>
      <c r="Z284" s="42"/>
      <c r="AA284" s="42"/>
      <c r="AB284" s="42">
        <f>(SUBSIDIO!$J$284*SUBSIDIO!$V$284)*(0.06)/(1-0.06)</f>
        <v>7637.652</v>
      </c>
      <c r="AC284" s="42">
        <f>((SUBSIDIO!$L$284*SUBSIDIO!$W$284)+(SUBSIDIO!$N$284*SUBSIDIO!$X$284))*(0.06)/(1-0.06)</f>
        <v>0</v>
      </c>
      <c r="AD284" s="42">
        <f ca="1">(SUBSIDIO!$J$284*SUBSIDIO!$Y$284)*(0.03)/(1-0.03)</f>
        <v>3976.0563878706444</v>
      </c>
      <c r="AE284" s="42">
        <f>((SUBSIDIO!$L$284*SUBSIDIO!$Z$284)+(SUBSIDIO!$N$284*SUBSIDIO!$AA$284))*(0.03)/(1-0.03)</f>
        <v>0</v>
      </c>
      <c r="AF284" s="4" t="s">
        <v>935</v>
      </c>
    </row>
    <row r="285" spans="1:32" ht="11.25" customHeight="1" x14ac:dyDescent="0.25">
      <c r="A285" s="4" t="s">
        <v>28</v>
      </c>
      <c r="B285" s="4" t="s">
        <v>41</v>
      </c>
      <c r="C285" s="4" t="s">
        <v>44</v>
      </c>
      <c r="D285" s="4" t="s">
        <v>52</v>
      </c>
      <c r="E285" s="4" t="s">
        <v>53</v>
      </c>
      <c r="F285" s="4" t="s">
        <v>25</v>
      </c>
      <c r="G285" s="4" t="s">
        <v>25</v>
      </c>
      <c r="H285" s="4" t="s">
        <v>25</v>
      </c>
      <c r="I285" s="5">
        <v>44593</v>
      </c>
      <c r="J285" s="6">
        <v>970</v>
      </c>
      <c r="K285" s="43">
        <v>970</v>
      </c>
      <c r="L285" s="6">
        <v>0</v>
      </c>
      <c r="M285" s="42">
        <v>0</v>
      </c>
      <c r="N285" s="6">
        <v>0</v>
      </c>
      <c r="O285" s="42">
        <v>0</v>
      </c>
      <c r="P285" s="6">
        <v>10</v>
      </c>
      <c r="Q285" s="4" t="s">
        <v>26</v>
      </c>
      <c r="R285" s="4">
        <v>0</v>
      </c>
      <c r="S285" s="4">
        <v>27</v>
      </c>
      <c r="T285" s="4">
        <v>0</v>
      </c>
      <c r="U285" s="4">
        <v>0</v>
      </c>
      <c r="V285" s="42">
        <f>IF(ISERROR(VLOOKUP($S$285,'TAR FIN'!$A$1:$O$115,15,0)),0,VLOOKUP($S$285,'TAR FIN'!$A$1:$O$115,15,0))*(1-0.06)</f>
        <v>18.611999999999998</v>
      </c>
      <c r="W285" s="42">
        <f>IF(ISERROR(VLOOKUP($T$285,'TAR FIN'!$A$1:$O$115,15,0)),0,VLOOKUP($T$285,'TAR FIN'!$A$1:$O$115,15,0))</f>
        <v>0</v>
      </c>
      <c r="X285" s="42">
        <f>IF(ISERROR(VLOOKUP($U$285,'TAR FIN'!$A$1:$O$115,15,0)),0,VLOOKUP($U$285,'TAR FIN'!$A$1:$O$115,15,0))</f>
        <v>0</v>
      </c>
      <c r="Y285" s="42">
        <f ca="1">('TUSD BE'!$AM$27+'TUSD BF'!$AM$27+'TUSD CVA'!$AM$27)*1*(1-0.03)</f>
        <v>19.996757900318997</v>
      </c>
      <c r="Z285" s="42"/>
      <c r="AA285" s="42"/>
      <c r="AB285" s="42">
        <f>(SUBSIDIO!$J$285*SUBSIDIO!$V$285)*(0.06)/(1-0.06)</f>
        <v>1152.3600000000001</v>
      </c>
      <c r="AC285" s="42">
        <f>((SUBSIDIO!$L$285*SUBSIDIO!$W$285)+(SUBSIDIO!$N$285*SUBSIDIO!$X$285))*(0.06)/(1-0.06)</f>
        <v>0</v>
      </c>
      <c r="AD285" s="42">
        <f ca="1">(SUBSIDIO!$J$285*SUBSIDIO!$Y$285)*(0.03)/(1-0.03)</f>
        <v>599.90273700956993</v>
      </c>
      <c r="AE285" s="42">
        <f>((SUBSIDIO!$L$285*SUBSIDIO!$Z$285)+(SUBSIDIO!$N$285*SUBSIDIO!$AA$285))*(0.03)/(1-0.03)</f>
        <v>0</v>
      </c>
      <c r="AF285" s="4" t="s">
        <v>935</v>
      </c>
    </row>
    <row r="286" spans="1:32" ht="11.25" customHeight="1" x14ac:dyDescent="0.25">
      <c r="A286" s="4" t="s">
        <v>21</v>
      </c>
      <c r="B286" s="4" t="s">
        <v>41</v>
      </c>
      <c r="C286" s="4" t="s">
        <v>44</v>
      </c>
      <c r="D286" s="4" t="s">
        <v>52</v>
      </c>
      <c r="E286" s="4" t="s">
        <v>53</v>
      </c>
      <c r="F286" s="4" t="s">
        <v>25</v>
      </c>
      <c r="G286" s="4" t="s">
        <v>25</v>
      </c>
      <c r="H286" s="4" t="s">
        <v>25</v>
      </c>
      <c r="I286" s="5">
        <v>44621</v>
      </c>
      <c r="J286" s="6">
        <v>6431</v>
      </c>
      <c r="K286" s="43">
        <v>6431</v>
      </c>
      <c r="L286" s="6">
        <v>0</v>
      </c>
      <c r="M286" s="42">
        <v>0</v>
      </c>
      <c r="N286" s="6">
        <v>0</v>
      </c>
      <c r="O286" s="42">
        <v>0</v>
      </c>
      <c r="P286" s="6">
        <v>29</v>
      </c>
      <c r="Q286" s="4" t="s">
        <v>26</v>
      </c>
      <c r="R286" s="4">
        <v>0</v>
      </c>
      <c r="S286" s="4">
        <v>27</v>
      </c>
      <c r="T286" s="4">
        <v>0</v>
      </c>
      <c r="U286" s="4">
        <v>0</v>
      </c>
      <c r="V286" s="42">
        <f>IF(ISERROR(VLOOKUP($S$286,'TAR FIN'!$A$1:$O$115,15,0)),0,VLOOKUP($S$286,'TAR FIN'!$A$1:$O$115,15,0))*(1-0.06)</f>
        <v>18.611999999999998</v>
      </c>
      <c r="W286" s="42">
        <f>IF(ISERROR(VLOOKUP($T$286,'TAR FIN'!$A$1:$O$115,15,0)),0,VLOOKUP($T$286,'TAR FIN'!$A$1:$O$115,15,0))</f>
        <v>0</v>
      </c>
      <c r="X286" s="42">
        <f>IF(ISERROR(VLOOKUP($U$286,'TAR FIN'!$A$1:$O$115,15,0)),0,VLOOKUP($U$286,'TAR FIN'!$A$1:$O$115,15,0))</f>
        <v>0</v>
      </c>
      <c r="Y286" s="42">
        <f ca="1">('TUSD BE'!$AM$27+'TUSD BF'!$AM$27+'TUSD CVA'!$AM$27)*1*(1-0.03)</f>
        <v>19.996757900318997</v>
      </c>
      <c r="Z286" s="42"/>
      <c r="AA286" s="42"/>
      <c r="AB286" s="42">
        <f>(SUBSIDIO!$J$286*SUBSIDIO!$V$286)*(0.06)/(1-0.06)</f>
        <v>7640.0279999999984</v>
      </c>
      <c r="AC286" s="42">
        <f>((SUBSIDIO!$L$286*SUBSIDIO!$W$286)+(SUBSIDIO!$N$286*SUBSIDIO!$X$286))*(0.06)/(1-0.06)</f>
        <v>0</v>
      </c>
      <c r="AD286" s="42">
        <f ca="1">(SUBSIDIO!$J$286*SUBSIDIO!$Y$286)*(0.03)/(1-0.03)</f>
        <v>3977.2933007304582</v>
      </c>
      <c r="AE286" s="42">
        <f>((SUBSIDIO!$L$286*SUBSIDIO!$Z$286)+(SUBSIDIO!$N$286*SUBSIDIO!$AA$286))*(0.03)/(1-0.03)</f>
        <v>0</v>
      </c>
      <c r="AF286" s="4" t="s">
        <v>935</v>
      </c>
    </row>
    <row r="287" spans="1:32" ht="11.25" customHeight="1" x14ac:dyDescent="0.25">
      <c r="A287" s="4" t="s">
        <v>28</v>
      </c>
      <c r="B287" s="4" t="s">
        <v>41</v>
      </c>
      <c r="C287" s="4" t="s">
        <v>44</v>
      </c>
      <c r="D287" s="4" t="s">
        <v>52</v>
      </c>
      <c r="E287" s="4" t="s">
        <v>53</v>
      </c>
      <c r="F287" s="4" t="s">
        <v>25</v>
      </c>
      <c r="G287" s="4" t="s">
        <v>25</v>
      </c>
      <c r="H287" s="4" t="s">
        <v>25</v>
      </c>
      <c r="I287" s="5">
        <v>44621</v>
      </c>
      <c r="J287" s="6">
        <v>974</v>
      </c>
      <c r="K287" s="43">
        <v>974</v>
      </c>
      <c r="L287" s="6">
        <v>0</v>
      </c>
      <c r="M287" s="42">
        <v>0</v>
      </c>
      <c r="N287" s="6">
        <v>0</v>
      </c>
      <c r="O287" s="42">
        <v>0</v>
      </c>
      <c r="P287" s="6">
        <v>10</v>
      </c>
      <c r="Q287" s="4" t="s">
        <v>26</v>
      </c>
      <c r="R287" s="4">
        <v>0</v>
      </c>
      <c r="S287" s="4">
        <v>27</v>
      </c>
      <c r="T287" s="4">
        <v>0</v>
      </c>
      <c r="U287" s="4">
        <v>0</v>
      </c>
      <c r="V287" s="42">
        <f>IF(ISERROR(VLOOKUP($S$287,'TAR FIN'!$A$1:$O$115,15,0)),0,VLOOKUP($S$287,'TAR FIN'!$A$1:$O$115,15,0))*(1-0.06)</f>
        <v>18.611999999999998</v>
      </c>
      <c r="W287" s="42">
        <f>IF(ISERROR(VLOOKUP($T$287,'TAR FIN'!$A$1:$O$115,15,0)),0,VLOOKUP($T$287,'TAR FIN'!$A$1:$O$115,15,0))</f>
        <v>0</v>
      </c>
      <c r="X287" s="42">
        <f>IF(ISERROR(VLOOKUP($U$287,'TAR FIN'!$A$1:$O$115,15,0)),0,VLOOKUP($U$287,'TAR FIN'!$A$1:$O$115,15,0))</f>
        <v>0</v>
      </c>
      <c r="Y287" s="42">
        <f ca="1">('TUSD BE'!$AM$27+'TUSD BF'!$AM$27+'TUSD CVA'!$AM$27)*1*(1-0.03)</f>
        <v>19.996757900318997</v>
      </c>
      <c r="Z287" s="42"/>
      <c r="AA287" s="42"/>
      <c r="AB287" s="42">
        <f>(SUBSIDIO!$J$287*SUBSIDIO!$V$287)*(0.06)/(1-0.06)</f>
        <v>1157.1120000000001</v>
      </c>
      <c r="AC287" s="42">
        <f>((SUBSIDIO!$L$287*SUBSIDIO!$W$287)+(SUBSIDIO!$N$287*SUBSIDIO!$X$287))*(0.06)/(1-0.06)</f>
        <v>0</v>
      </c>
      <c r="AD287" s="42">
        <f ca="1">(SUBSIDIO!$J$287*SUBSIDIO!$Y$287)*(0.03)/(1-0.03)</f>
        <v>602.37656272919696</v>
      </c>
      <c r="AE287" s="42">
        <f>((SUBSIDIO!$L$287*SUBSIDIO!$Z$287)+(SUBSIDIO!$N$287*SUBSIDIO!$AA$287))*(0.03)/(1-0.03)</f>
        <v>0</v>
      </c>
      <c r="AF287" s="4" t="s">
        <v>935</v>
      </c>
    </row>
    <row r="288" spans="1:32" ht="11.25" customHeight="1" x14ac:dyDescent="0.25">
      <c r="A288" s="4" t="s">
        <v>21</v>
      </c>
      <c r="B288" s="4" t="s">
        <v>41</v>
      </c>
      <c r="C288" s="4" t="s">
        <v>44</v>
      </c>
      <c r="D288" s="4" t="s">
        <v>52</v>
      </c>
      <c r="E288" s="4" t="s">
        <v>53</v>
      </c>
      <c r="F288" s="4" t="s">
        <v>25</v>
      </c>
      <c r="G288" s="4" t="s">
        <v>25</v>
      </c>
      <c r="H288" s="4" t="s">
        <v>25</v>
      </c>
      <c r="I288" s="5">
        <v>44652</v>
      </c>
      <c r="J288" s="6">
        <v>6380</v>
      </c>
      <c r="K288" s="43">
        <v>6380</v>
      </c>
      <c r="L288" s="6">
        <v>0</v>
      </c>
      <c r="M288" s="42">
        <v>0</v>
      </c>
      <c r="N288" s="6">
        <v>0</v>
      </c>
      <c r="O288" s="42">
        <v>0</v>
      </c>
      <c r="P288" s="6">
        <v>29</v>
      </c>
      <c r="Q288" s="4" t="s">
        <v>26</v>
      </c>
      <c r="R288" s="4">
        <v>0</v>
      </c>
      <c r="S288" s="4">
        <v>27</v>
      </c>
      <c r="T288" s="4">
        <v>0</v>
      </c>
      <c r="U288" s="4">
        <v>0</v>
      </c>
      <c r="V288" s="42">
        <f>IF(ISERROR(VLOOKUP($S$288,'TAR FIN'!$A$1:$O$115,15,0)),0,VLOOKUP($S$288,'TAR FIN'!$A$1:$O$115,15,0))*(1-0.06)</f>
        <v>18.611999999999998</v>
      </c>
      <c r="W288" s="42">
        <f>IF(ISERROR(VLOOKUP($T$288,'TAR FIN'!$A$1:$O$115,15,0)),0,VLOOKUP($T$288,'TAR FIN'!$A$1:$O$115,15,0))</f>
        <v>0</v>
      </c>
      <c r="X288" s="42">
        <f>IF(ISERROR(VLOOKUP($U$288,'TAR FIN'!$A$1:$O$115,15,0)),0,VLOOKUP($U$288,'TAR FIN'!$A$1:$O$115,15,0))</f>
        <v>0</v>
      </c>
      <c r="Y288" s="42">
        <f ca="1">('TUSD BE'!$AM$27+'TUSD BF'!$AM$27+'TUSD CVA'!$AM$27)*1*(1-0.03)</f>
        <v>19.996757900318997</v>
      </c>
      <c r="Z288" s="42"/>
      <c r="AA288" s="42"/>
      <c r="AB288" s="42">
        <f>(SUBSIDIO!$J$288*SUBSIDIO!$V$288)*(0.06)/(1-0.06)</f>
        <v>7579.44</v>
      </c>
      <c r="AC288" s="42">
        <f>((SUBSIDIO!$L$288*SUBSIDIO!$W$288)+(SUBSIDIO!$N$288*SUBSIDIO!$X$288))*(0.06)/(1-0.06)</f>
        <v>0</v>
      </c>
      <c r="AD288" s="42">
        <f ca="1">(SUBSIDIO!$J$288*SUBSIDIO!$Y$288)*(0.03)/(1-0.03)</f>
        <v>3945.7520228052122</v>
      </c>
      <c r="AE288" s="42">
        <f>((SUBSIDIO!$L$288*SUBSIDIO!$Z$288)+(SUBSIDIO!$N$288*SUBSIDIO!$AA$288))*(0.03)/(1-0.03)</f>
        <v>0</v>
      </c>
      <c r="AF288" s="4" t="s">
        <v>935</v>
      </c>
    </row>
    <row r="289" spans="1:32" ht="11.25" customHeight="1" x14ac:dyDescent="0.25">
      <c r="A289" s="4" t="s">
        <v>28</v>
      </c>
      <c r="B289" s="4" t="s">
        <v>41</v>
      </c>
      <c r="C289" s="4" t="s">
        <v>44</v>
      </c>
      <c r="D289" s="4" t="s">
        <v>52</v>
      </c>
      <c r="E289" s="4" t="s">
        <v>53</v>
      </c>
      <c r="F289" s="4" t="s">
        <v>25</v>
      </c>
      <c r="G289" s="4" t="s">
        <v>25</v>
      </c>
      <c r="H289" s="4" t="s">
        <v>25</v>
      </c>
      <c r="I289" s="5">
        <v>44652</v>
      </c>
      <c r="J289" s="6">
        <v>1001</v>
      </c>
      <c r="K289" s="43">
        <v>1001</v>
      </c>
      <c r="L289" s="6">
        <v>0</v>
      </c>
      <c r="M289" s="42">
        <v>0</v>
      </c>
      <c r="N289" s="6">
        <v>0</v>
      </c>
      <c r="O289" s="42">
        <v>0</v>
      </c>
      <c r="P289" s="6">
        <v>10</v>
      </c>
      <c r="Q289" s="4" t="s">
        <v>26</v>
      </c>
      <c r="R289" s="4">
        <v>0</v>
      </c>
      <c r="S289" s="4">
        <v>27</v>
      </c>
      <c r="T289" s="4">
        <v>0</v>
      </c>
      <c r="U289" s="4">
        <v>0</v>
      </c>
      <c r="V289" s="42">
        <f>IF(ISERROR(VLOOKUP($S$289,'TAR FIN'!$A$1:$O$115,15,0)),0,VLOOKUP($S$289,'TAR FIN'!$A$1:$O$115,15,0))*(1-0.06)</f>
        <v>18.611999999999998</v>
      </c>
      <c r="W289" s="42">
        <f>IF(ISERROR(VLOOKUP($T$289,'TAR FIN'!$A$1:$O$115,15,0)),0,VLOOKUP($T$289,'TAR FIN'!$A$1:$O$115,15,0))</f>
        <v>0</v>
      </c>
      <c r="X289" s="42">
        <f>IF(ISERROR(VLOOKUP($U$289,'TAR FIN'!$A$1:$O$115,15,0)),0,VLOOKUP($U$289,'TAR FIN'!$A$1:$O$115,15,0))</f>
        <v>0</v>
      </c>
      <c r="Y289" s="42">
        <f ca="1">('TUSD BE'!$AM$27+'TUSD BF'!$AM$27+'TUSD CVA'!$AM$27)*1*(1-0.03)</f>
        <v>19.996757900318997</v>
      </c>
      <c r="Z289" s="42"/>
      <c r="AA289" s="42"/>
      <c r="AB289" s="42">
        <f>(SUBSIDIO!$J$289*SUBSIDIO!$V$289)*(0.06)/(1-0.06)</f>
        <v>1189.1879999999999</v>
      </c>
      <c r="AC289" s="42">
        <f>((SUBSIDIO!$L$289*SUBSIDIO!$W$289)+(SUBSIDIO!$N$289*SUBSIDIO!$X$289))*(0.06)/(1-0.06)</f>
        <v>0</v>
      </c>
      <c r="AD289" s="42">
        <f ca="1">(SUBSIDIO!$J$289*SUBSIDIO!$Y$289)*(0.03)/(1-0.03)</f>
        <v>619.07488633667992</v>
      </c>
      <c r="AE289" s="42">
        <f>((SUBSIDIO!$L$289*SUBSIDIO!$Z$289)+(SUBSIDIO!$N$289*SUBSIDIO!$AA$289))*(0.03)/(1-0.03)</f>
        <v>0</v>
      </c>
      <c r="AF289" s="4" t="s">
        <v>935</v>
      </c>
    </row>
    <row r="290" spans="1:32" ht="11.25" customHeight="1" x14ac:dyDescent="0.25">
      <c r="A290" s="4" t="s">
        <v>21</v>
      </c>
      <c r="B290" s="4" t="s">
        <v>41</v>
      </c>
      <c r="C290" s="4" t="s">
        <v>44</v>
      </c>
      <c r="D290" s="4" t="s">
        <v>52</v>
      </c>
      <c r="E290" s="4" t="s">
        <v>53</v>
      </c>
      <c r="F290" s="4" t="s">
        <v>25</v>
      </c>
      <c r="G290" s="4" t="s">
        <v>25</v>
      </c>
      <c r="H290" s="4" t="s">
        <v>25</v>
      </c>
      <c r="I290" s="5">
        <v>44682</v>
      </c>
      <c r="J290" s="6">
        <v>6385</v>
      </c>
      <c r="K290" s="43">
        <v>6385</v>
      </c>
      <c r="L290" s="6">
        <v>0</v>
      </c>
      <c r="M290" s="42">
        <v>0</v>
      </c>
      <c r="N290" s="6">
        <v>0</v>
      </c>
      <c r="O290" s="42">
        <v>0</v>
      </c>
      <c r="P290" s="6">
        <v>29</v>
      </c>
      <c r="Q290" s="4" t="s">
        <v>26</v>
      </c>
      <c r="R290" s="4">
        <v>0</v>
      </c>
      <c r="S290" s="4">
        <v>27</v>
      </c>
      <c r="T290" s="4">
        <v>0</v>
      </c>
      <c r="U290" s="4">
        <v>0</v>
      </c>
      <c r="V290" s="42">
        <f>IF(ISERROR(VLOOKUP($S$290,'TAR FIN'!$A$1:$O$115,15,0)),0,VLOOKUP($S$290,'TAR FIN'!$A$1:$O$115,15,0))*(1-0.06)</f>
        <v>18.611999999999998</v>
      </c>
      <c r="W290" s="42">
        <f>IF(ISERROR(VLOOKUP($T$290,'TAR FIN'!$A$1:$O$115,15,0)),0,VLOOKUP($T$290,'TAR FIN'!$A$1:$O$115,15,0))</f>
        <v>0</v>
      </c>
      <c r="X290" s="42">
        <f>IF(ISERROR(VLOOKUP($U$290,'TAR FIN'!$A$1:$O$115,15,0)),0,VLOOKUP($U$290,'TAR FIN'!$A$1:$O$115,15,0))</f>
        <v>0</v>
      </c>
      <c r="Y290" s="42">
        <f ca="1">('TUSD BE'!$AM$27+'TUSD BF'!$AM$27+'TUSD CVA'!$AM$27)*1*(1-0.03)</f>
        <v>19.996757900318997</v>
      </c>
      <c r="Z290" s="42"/>
      <c r="AA290" s="42"/>
      <c r="AB290" s="42">
        <f>(SUBSIDIO!$J$290*SUBSIDIO!$V$290)*(0.06)/(1-0.06)</f>
        <v>7585.3799999999992</v>
      </c>
      <c r="AC290" s="42">
        <f>((SUBSIDIO!$L$290*SUBSIDIO!$W$290)+(SUBSIDIO!$N$290*SUBSIDIO!$X$290))*(0.06)/(1-0.06)</f>
        <v>0</v>
      </c>
      <c r="AD290" s="42">
        <f ca="1">(SUBSIDIO!$J$290*SUBSIDIO!$Y$290)*(0.03)/(1-0.03)</f>
        <v>3948.8443049547459</v>
      </c>
      <c r="AE290" s="42">
        <f>((SUBSIDIO!$L$290*SUBSIDIO!$Z$290)+(SUBSIDIO!$N$290*SUBSIDIO!$AA$290))*(0.03)/(1-0.03)</f>
        <v>0</v>
      </c>
      <c r="AF290" s="4" t="s">
        <v>935</v>
      </c>
    </row>
    <row r="291" spans="1:32" ht="11.25" customHeight="1" x14ac:dyDescent="0.25">
      <c r="A291" s="4" t="s">
        <v>28</v>
      </c>
      <c r="B291" s="4" t="s">
        <v>41</v>
      </c>
      <c r="C291" s="4" t="s">
        <v>44</v>
      </c>
      <c r="D291" s="4" t="s">
        <v>52</v>
      </c>
      <c r="E291" s="4" t="s">
        <v>53</v>
      </c>
      <c r="F291" s="4" t="s">
        <v>25</v>
      </c>
      <c r="G291" s="4" t="s">
        <v>25</v>
      </c>
      <c r="H291" s="4" t="s">
        <v>25</v>
      </c>
      <c r="I291" s="5">
        <v>44682</v>
      </c>
      <c r="J291" s="6">
        <v>976</v>
      </c>
      <c r="K291" s="43">
        <v>976</v>
      </c>
      <c r="L291" s="6">
        <v>0</v>
      </c>
      <c r="M291" s="42">
        <v>0</v>
      </c>
      <c r="N291" s="6">
        <v>0</v>
      </c>
      <c r="O291" s="42">
        <v>0</v>
      </c>
      <c r="P291" s="6">
        <v>10</v>
      </c>
      <c r="Q291" s="4" t="s">
        <v>26</v>
      </c>
      <c r="R291" s="4">
        <v>0</v>
      </c>
      <c r="S291" s="4">
        <v>27</v>
      </c>
      <c r="T291" s="4">
        <v>0</v>
      </c>
      <c r="U291" s="4">
        <v>0</v>
      </c>
      <c r="V291" s="42">
        <f>IF(ISERROR(VLOOKUP($S$291,'TAR FIN'!$A$1:$O$115,15,0)),0,VLOOKUP($S$291,'TAR FIN'!$A$1:$O$115,15,0))*(1-0.06)</f>
        <v>18.611999999999998</v>
      </c>
      <c r="W291" s="42">
        <f>IF(ISERROR(VLOOKUP($T$291,'TAR FIN'!$A$1:$O$115,15,0)),0,VLOOKUP($T$291,'TAR FIN'!$A$1:$O$115,15,0))</f>
        <v>0</v>
      </c>
      <c r="X291" s="42">
        <f>IF(ISERROR(VLOOKUP($U$291,'TAR FIN'!$A$1:$O$115,15,0)),0,VLOOKUP($U$291,'TAR FIN'!$A$1:$O$115,15,0))</f>
        <v>0</v>
      </c>
      <c r="Y291" s="42">
        <f ca="1">('TUSD BE'!$AM$27+'TUSD BF'!$AM$27+'TUSD CVA'!$AM$27)*1*(1-0.03)</f>
        <v>19.996757900318997</v>
      </c>
      <c r="Z291" s="42"/>
      <c r="AA291" s="42"/>
      <c r="AB291" s="42">
        <f>(SUBSIDIO!$J$291*SUBSIDIO!$V$291)*(0.06)/(1-0.06)</f>
        <v>1159.4880000000001</v>
      </c>
      <c r="AC291" s="42">
        <f>((SUBSIDIO!$L$291*SUBSIDIO!$W$291)+(SUBSIDIO!$N$291*SUBSIDIO!$X$291))*(0.06)/(1-0.06)</f>
        <v>0</v>
      </c>
      <c r="AD291" s="42">
        <f ca="1">(SUBSIDIO!$J$291*SUBSIDIO!$Y$291)*(0.03)/(1-0.03)</f>
        <v>603.61347558901059</v>
      </c>
      <c r="AE291" s="42">
        <f>((SUBSIDIO!$L$291*SUBSIDIO!$Z$291)+(SUBSIDIO!$N$291*SUBSIDIO!$AA$291))*(0.03)/(1-0.03)</f>
        <v>0</v>
      </c>
      <c r="AF291" s="4" t="s">
        <v>935</v>
      </c>
    </row>
    <row r="292" spans="1:32" ht="11.25" customHeight="1" x14ac:dyDescent="0.25">
      <c r="A292" s="4" t="s">
        <v>21</v>
      </c>
      <c r="B292" s="4" t="s">
        <v>41</v>
      </c>
      <c r="C292" s="4" t="s">
        <v>44</v>
      </c>
      <c r="D292" s="4" t="s">
        <v>52</v>
      </c>
      <c r="E292" s="4" t="s">
        <v>53</v>
      </c>
      <c r="F292" s="4" t="s">
        <v>25</v>
      </c>
      <c r="G292" s="4" t="s">
        <v>25</v>
      </c>
      <c r="H292" s="4" t="s">
        <v>25</v>
      </c>
      <c r="I292" s="5">
        <v>44713</v>
      </c>
      <c r="J292" s="6">
        <v>6466</v>
      </c>
      <c r="K292" s="43">
        <v>6466</v>
      </c>
      <c r="L292" s="6">
        <v>0</v>
      </c>
      <c r="M292" s="42">
        <v>0</v>
      </c>
      <c r="N292" s="6">
        <v>0</v>
      </c>
      <c r="O292" s="42">
        <v>0</v>
      </c>
      <c r="P292" s="6">
        <v>29</v>
      </c>
      <c r="Q292" s="4" t="s">
        <v>26</v>
      </c>
      <c r="R292" s="4">
        <v>0</v>
      </c>
      <c r="S292" s="4">
        <v>27</v>
      </c>
      <c r="T292" s="4">
        <v>0</v>
      </c>
      <c r="U292" s="4">
        <v>0</v>
      </c>
      <c r="V292" s="42">
        <f>IF(ISERROR(VLOOKUP($S$292,'TAR FIN'!$A$1:$O$115,15,0)),0,VLOOKUP($S$292,'TAR FIN'!$A$1:$O$115,15,0))*(1-0.06)</f>
        <v>18.611999999999998</v>
      </c>
      <c r="W292" s="42">
        <f>IF(ISERROR(VLOOKUP($T$292,'TAR FIN'!$A$1:$O$115,15,0)),0,VLOOKUP($T$292,'TAR FIN'!$A$1:$O$115,15,0))</f>
        <v>0</v>
      </c>
      <c r="X292" s="42">
        <f>IF(ISERROR(VLOOKUP($U$292,'TAR FIN'!$A$1:$O$115,15,0)),0,VLOOKUP($U$292,'TAR FIN'!$A$1:$O$115,15,0))</f>
        <v>0</v>
      </c>
      <c r="Y292" s="42">
        <f ca="1">('TUSD BE'!$AM$27+'TUSD BF'!$AM$27+'TUSD CVA'!$AM$27)*1*(1-0.03)</f>
        <v>19.996757900318997</v>
      </c>
      <c r="Z292" s="42"/>
      <c r="AA292" s="42"/>
      <c r="AB292" s="42">
        <f>(SUBSIDIO!$J$292*SUBSIDIO!$V$292)*(0.06)/(1-0.06)</f>
        <v>7681.6080000000002</v>
      </c>
      <c r="AC292" s="42">
        <f>((SUBSIDIO!$L$292*SUBSIDIO!$W$292)+(SUBSIDIO!$N$292*SUBSIDIO!$X$292))*(0.06)/(1-0.06)</f>
        <v>0</v>
      </c>
      <c r="AD292" s="42">
        <f ca="1">(SUBSIDIO!$J$292*SUBSIDIO!$Y$292)*(0.03)/(1-0.03)</f>
        <v>3998.9392757771948</v>
      </c>
      <c r="AE292" s="42">
        <f>((SUBSIDIO!$L$292*SUBSIDIO!$Z$292)+(SUBSIDIO!$N$292*SUBSIDIO!$AA$292))*(0.03)/(1-0.03)</f>
        <v>0</v>
      </c>
      <c r="AF292" s="4" t="s">
        <v>935</v>
      </c>
    </row>
    <row r="293" spans="1:32" ht="11.25" customHeight="1" x14ac:dyDescent="0.25">
      <c r="A293" s="4" t="s">
        <v>28</v>
      </c>
      <c r="B293" s="4" t="s">
        <v>41</v>
      </c>
      <c r="C293" s="4" t="s">
        <v>44</v>
      </c>
      <c r="D293" s="4" t="s">
        <v>52</v>
      </c>
      <c r="E293" s="4" t="s">
        <v>53</v>
      </c>
      <c r="F293" s="4" t="s">
        <v>25</v>
      </c>
      <c r="G293" s="4" t="s">
        <v>25</v>
      </c>
      <c r="H293" s="4" t="s">
        <v>25</v>
      </c>
      <c r="I293" s="5">
        <v>44713</v>
      </c>
      <c r="J293" s="6">
        <v>972</v>
      </c>
      <c r="K293" s="43">
        <v>972</v>
      </c>
      <c r="L293" s="6">
        <v>0</v>
      </c>
      <c r="M293" s="42">
        <v>0</v>
      </c>
      <c r="N293" s="6">
        <v>0</v>
      </c>
      <c r="O293" s="42">
        <v>0</v>
      </c>
      <c r="P293" s="6">
        <v>10</v>
      </c>
      <c r="Q293" s="4" t="s">
        <v>26</v>
      </c>
      <c r="R293" s="4">
        <v>0</v>
      </c>
      <c r="S293" s="4">
        <v>27</v>
      </c>
      <c r="T293" s="4">
        <v>0</v>
      </c>
      <c r="U293" s="4">
        <v>0</v>
      </c>
      <c r="V293" s="42">
        <f>IF(ISERROR(VLOOKUP($S$293,'TAR FIN'!$A$1:$O$115,15,0)),0,VLOOKUP($S$293,'TAR FIN'!$A$1:$O$115,15,0))*(1-0.06)</f>
        <v>18.611999999999998</v>
      </c>
      <c r="W293" s="42">
        <f>IF(ISERROR(VLOOKUP($T$293,'TAR FIN'!$A$1:$O$115,15,0)),0,VLOOKUP($T$293,'TAR FIN'!$A$1:$O$115,15,0))</f>
        <v>0</v>
      </c>
      <c r="X293" s="42">
        <f>IF(ISERROR(VLOOKUP($U$293,'TAR FIN'!$A$1:$O$115,15,0)),0,VLOOKUP($U$293,'TAR FIN'!$A$1:$O$115,15,0))</f>
        <v>0</v>
      </c>
      <c r="Y293" s="42">
        <f ca="1">('TUSD BE'!$AM$27+'TUSD BF'!$AM$27+'TUSD CVA'!$AM$27)*1*(1-0.03)</f>
        <v>19.996757900318997</v>
      </c>
      <c r="Z293" s="42"/>
      <c r="AA293" s="42"/>
      <c r="AB293" s="42">
        <f>(SUBSIDIO!$J$293*SUBSIDIO!$V$293)*(0.06)/(1-0.06)</f>
        <v>1154.7359999999999</v>
      </c>
      <c r="AC293" s="42">
        <f>((SUBSIDIO!$L$293*SUBSIDIO!$W$293)+(SUBSIDIO!$N$293*SUBSIDIO!$X$293))*(0.06)/(1-0.06)</f>
        <v>0</v>
      </c>
      <c r="AD293" s="42">
        <f ca="1">(SUBSIDIO!$J$293*SUBSIDIO!$Y$293)*(0.03)/(1-0.03)</f>
        <v>601.13964986938345</v>
      </c>
      <c r="AE293" s="42">
        <f>((SUBSIDIO!$L$293*SUBSIDIO!$Z$293)+(SUBSIDIO!$N$293*SUBSIDIO!$AA$293))*(0.03)/(1-0.03)</f>
        <v>0</v>
      </c>
      <c r="AF293" s="4" t="s">
        <v>935</v>
      </c>
    </row>
    <row r="294" spans="1:32" ht="11.25" customHeight="1" x14ac:dyDescent="0.25">
      <c r="A294" s="4" t="s">
        <v>21</v>
      </c>
      <c r="B294" s="4" t="s">
        <v>41</v>
      </c>
      <c r="C294" s="4" t="s">
        <v>44</v>
      </c>
      <c r="D294" s="4" t="s">
        <v>52</v>
      </c>
      <c r="E294" s="4" t="s">
        <v>53</v>
      </c>
      <c r="F294" s="4" t="s">
        <v>25</v>
      </c>
      <c r="G294" s="4" t="s">
        <v>25</v>
      </c>
      <c r="H294" s="4" t="s">
        <v>25</v>
      </c>
      <c r="I294" s="5">
        <v>44743</v>
      </c>
      <c r="J294" s="6">
        <v>6283</v>
      </c>
      <c r="K294" s="43">
        <v>6283</v>
      </c>
      <c r="L294" s="6">
        <v>0</v>
      </c>
      <c r="M294" s="42">
        <v>0</v>
      </c>
      <c r="N294" s="6">
        <v>0</v>
      </c>
      <c r="O294" s="42">
        <v>0</v>
      </c>
      <c r="P294" s="6">
        <v>30</v>
      </c>
      <c r="Q294" s="4" t="s">
        <v>26</v>
      </c>
      <c r="R294" s="4">
        <v>0</v>
      </c>
      <c r="S294" s="4">
        <v>27</v>
      </c>
      <c r="T294" s="4">
        <v>0</v>
      </c>
      <c r="U294" s="4">
        <v>0</v>
      </c>
      <c r="V294" s="42">
        <f>IF(ISERROR(VLOOKUP($S$294,'TAR FIN'!$A$1:$O$115,15,0)),0,VLOOKUP($S$294,'TAR FIN'!$A$1:$O$115,15,0))*(1-0.06)</f>
        <v>18.611999999999998</v>
      </c>
      <c r="W294" s="42">
        <f>IF(ISERROR(VLOOKUP($T$294,'TAR FIN'!$A$1:$O$115,15,0)),0,VLOOKUP($T$294,'TAR FIN'!$A$1:$O$115,15,0))</f>
        <v>0</v>
      </c>
      <c r="X294" s="42">
        <f>IF(ISERROR(VLOOKUP($U$294,'TAR FIN'!$A$1:$O$115,15,0)),0,VLOOKUP($U$294,'TAR FIN'!$A$1:$O$115,15,0))</f>
        <v>0</v>
      </c>
      <c r="Y294" s="42">
        <f ca="1">('TUSD BE'!$AM$27+'TUSD BF'!$AM$27+'TUSD CVA'!$AM$27)*1*(1-0.03)</f>
        <v>19.996757900318997</v>
      </c>
      <c r="Z294" s="42"/>
      <c r="AA294" s="42"/>
      <c r="AB294" s="42">
        <f>(SUBSIDIO!$J$294*SUBSIDIO!$V$294)*(0.06)/(1-0.06)</f>
        <v>7464.2039999999997</v>
      </c>
      <c r="AC294" s="42">
        <f>((SUBSIDIO!$L$294*SUBSIDIO!$W$294)+(SUBSIDIO!$N$294*SUBSIDIO!$X$294))*(0.06)/(1-0.06)</f>
        <v>0</v>
      </c>
      <c r="AD294" s="42">
        <f ca="1">(SUBSIDIO!$J$294*SUBSIDIO!$Y$294)*(0.03)/(1-0.03)</f>
        <v>3885.7617491042552</v>
      </c>
      <c r="AE294" s="42">
        <f>((SUBSIDIO!$L$294*SUBSIDIO!$Z$294)+(SUBSIDIO!$N$294*SUBSIDIO!$AA$294))*(0.03)/(1-0.03)</f>
        <v>0</v>
      </c>
      <c r="AF294" s="4" t="s">
        <v>935</v>
      </c>
    </row>
    <row r="295" spans="1:32" ht="11.25" customHeight="1" x14ac:dyDescent="0.25">
      <c r="A295" s="4" t="s">
        <v>28</v>
      </c>
      <c r="B295" s="4" t="s">
        <v>41</v>
      </c>
      <c r="C295" s="4" t="s">
        <v>44</v>
      </c>
      <c r="D295" s="4" t="s">
        <v>52</v>
      </c>
      <c r="E295" s="4" t="s">
        <v>53</v>
      </c>
      <c r="F295" s="4" t="s">
        <v>25</v>
      </c>
      <c r="G295" s="4" t="s">
        <v>25</v>
      </c>
      <c r="H295" s="4" t="s">
        <v>25</v>
      </c>
      <c r="I295" s="5">
        <v>44743</v>
      </c>
      <c r="J295" s="6">
        <v>968</v>
      </c>
      <c r="K295" s="43">
        <v>968</v>
      </c>
      <c r="L295" s="6">
        <v>0</v>
      </c>
      <c r="M295" s="42">
        <v>0</v>
      </c>
      <c r="N295" s="6">
        <v>0</v>
      </c>
      <c r="O295" s="42">
        <v>0</v>
      </c>
      <c r="P295" s="6">
        <v>10</v>
      </c>
      <c r="Q295" s="4" t="s">
        <v>26</v>
      </c>
      <c r="R295" s="4">
        <v>0</v>
      </c>
      <c r="S295" s="4">
        <v>27</v>
      </c>
      <c r="T295" s="4">
        <v>0</v>
      </c>
      <c r="U295" s="4">
        <v>0</v>
      </c>
      <c r="V295" s="42">
        <f>IF(ISERROR(VLOOKUP($S$295,'TAR FIN'!$A$1:$O$115,15,0)),0,VLOOKUP($S$295,'TAR FIN'!$A$1:$O$115,15,0))*(1-0.06)</f>
        <v>18.611999999999998</v>
      </c>
      <c r="W295" s="42">
        <f>IF(ISERROR(VLOOKUP($T$295,'TAR FIN'!$A$1:$O$115,15,0)),0,VLOOKUP($T$295,'TAR FIN'!$A$1:$O$115,15,0))</f>
        <v>0</v>
      </c>
      <c r="X295" s="42">
        <f>IF(ISERROR(VLOOKUP($U$295,'TAR FIN'!$A$1:$O$115,15,0)),0,VLOOKUP($U$295,'TAR FIN'!$A$1:$O$115,15,0))</f>
        <v>0</v>
      </c>
      <c r="Y295" s="42">
        <f ca="1">('TUSD BE'!$AM$27+'TUSD BF'!$AM$27+'TUSD CVA'!$AM$27)*1*(1-0.03)</f>
        <v>19.996757900318997</v>
      </c>
      <c r="Z295" s="42"/>
      <c r="AA295" s="42"/>
      <c r="AB295" s="42">
        <f>(SUBSIDIO!$J$295*SUBSIDIO!$V$295)*(0.06)/(1-0.06)</f>
        <v>1149.9839999999999</v>
      </c>
      <c r="AC295" s="42">
        <f>((SUBSIDIO!$L$295*SUBSIDIO!$W$295)+(SUBSIDIO!$N$295*SUBSIDIO!$X$295))*(0.06)/(1-0.06)</f>
        <v>0</v>
      </c>
      <c r="AD295" s="42">
        <f ca="1">(SUBSIDIO!$J$295*SUBSIDIO!$Y$295)*(0.03)/(1-0.03)</f>
        <v>598.6658241497563</v>
      </c>
      <c r="AE295" s="42">
        <f>((SUBSIDIO!$L$295*SUBSIDIO!$Z$295)+(SUBSIDIO!$N$295*SUBSIDIO!$AA$295))*(0.03)/(1-0.03)</f>
        <v>0</v>
      </c>
      <c r="AF295" s="4" t="s">
        <v>935</v>
      </c>
    </row>
    <row r="296" spans="1:32" ht="11.25" customHeight="1" x14ac:dyDescent="0.25">
      <c r="A296" s="4" t="s">
        <v>21</v>
      </c>
      <c r="B296" s="4" t="s">
        <v>41</v>
      </c>
      <c r="C296" s="4" t="s">
        <v>44</v>
      </c>
      <c r="D296" s="4" t="s">
        <v>52</v>
      </c>
      <c r="E296" s="4" t="s">
        <v>53</v>
      </c>
      <c r="F296" s="4" t="s">
        <v>25</v>
      </c>
      <c r="G296" s="4" t="s">
        <v>25</v>
      </c>
      <c r="H296" s="4" t="s">
        <v>25</v>
      </c>
      <c r="I296" s="5">
        <v>44774</v>
      </c>
      <c r="J296" s="6">
        <v>6345</v>
      </c>
      <c r="K296" s="43">
        <v>6345</v>
      </c>
      <c r="L296" s="6">
        <v>0</v>
      </c>
      <c r="M296" s="42">
        <v>0</v>
      </c>
      <c r="N296" s="6">
        <v>0</v>
      </c>
      <c r="O296" s="42">
        <v>0</v>
      </c>
      <c r="P296" s="6">
        <v>30</v>
      </c>
      <c r="Q296" s="4" t="s">
        <v>26</v>
      </c>
      <c r="R296" s="4">
        <v>0</v>
      </c>
      <c r="S296" s="4">
        <v>27</v>
      </c>
      <c r="T296" s="4">
        <v>0</v>
      </c>
      <c r="U296" s="4">
        <v>0</v>
      </c>
      <c r="V296" s="42">
        <f>IF(ISERROR(VLOOKUP($S$296,'TAR FIN'!$A$1:$O$115,15,0)),0,VLOOKUP($S$296,'TAR FIN'!$A$1:$O$115,15,0))*(1-0.06)</f>
        <v>18.611999999999998</v>
      </c>
      <c r="W296" s="42">
        <f>IF(ISERROR(VLOOKUP($T$296,'TAR FIN'!$A$1:$O$115,15,0)),0,VLOOKUP($T$296,'TAR FIN'!$A$1:$O$115,15,0))</f>
        <v>0</v>
      </c>
      <c r="X296" s="42">
        <f>IF(ISERROR(VLOOKUP($U$296,'TAR FIN'!$A$1:$O$115,15,0)),0,VLOOKUP($U$296,'TAR FIN'!$A$1:$O$115,15,0))</f>
        <v>0</v>
      </c>
      <c r="Y296" s="42">
        <f ca="1">('TUSD BE'!$AM$27+'TUSD BF'!$AM$27+'TUSD CVA'!$AM$27)*1*(1-0.03)</f>
        <v>19.996757900318997</v>
      </c>
      <c r="Z296" s="42"/>
      <c r="AA296" s="42"/>
      <c r="AB296" s="42">
        <f>(SUBSIDIO!$J$296*SUBSIDIO!$V$296)*(0.06)/(1-0.06)</f>
        <v>7537.8599999999988</v>
      </c>
      <c r="AC296" s="42">
        <f>((SUBSIDIO!$L$296*SUBSIDIO!$W$296)+(SUBSIDIO!$N$296*SUBSIDIO!$X$296))*(0.06)/(1-0.06)</f>
        <v>0</v>
      </c>
      <c r="AD296" s="42">
        <f ca="1">(SUBSIDIO!$J$296*SUBSIDIO!$Y$296)*(0.03)/(1-0.03)</f>
        <v>3924.1060477584751</v>
      </c>
      <c r="AE296" s="42">
        <f>((SUBSIDIO!$L$296*SUBSIDIO!$Z$296)+(SUBSIDIO!$N$296*SUBSIDIO!$AA$296))*(0.03)/(1-0.03)</f>
        <v>0</v>
      </c>
      <c r="AF296" s="4" t="s">
        <v>935</v>
      </c>
    </row>
    <row r="297" spans="1:32" ht="11.25" customHeight="1" x14ac:dyDescent="0.25">
      <c r="A297" s="4" t="s">
        <v>28</v>
      </c>
      <c r="B297" s="4" t="s">
        <v>41</v>
      </c>
      <c r="C297" s="4" t="s">
        <v>44</v>
      </c>
      <c r="D297" s="4" t="s">
        <v>52</v>
      </c>
      <c r="E297" s="4" t="s">
        <v>53</v>
      </c>
      <c r="F297" s="4" t="s">
        <v>25</v>
      </c>
      <c r="G297" s="4" t="s">
        <v>25</v>
      </c>
      <c r="H297" s="4" t="s">
        <v>25</v>
      </c>
      <c r="I297" s="5">
        <v>44774</v>
      </c>
      <c r="J297" s="6">
        <v>972</v>
      </c>
      <c r="K297" s="43">
        <v>972</v>
      </c>
      <c r="L297" s="6">
        <v>0</v>
      </c>
      <c r="M297" s="42">
        <v>0</v>
      </c>
      <c r="N297" s="6">
        <v>0</v>
      </c>
      <c r="O297" s="42">
        <v>0</v>
      </c>
      <c r="P297" s="6">
        <v>10</v>
      </c>
      <c r="Q297" s="4" t="s">
        <v>26</v>
      </c>
      <c r="R297" s="4">
        <v>0</v>
      </c>
      <c r="S297" s="4">
        <v>27</v>
      </c>
      <c r="T297" s="4">
        <v>0</v>
      </c>
      <c r="U297" s="4">
        <v>0</v>
      </c>
      <c r="V297" s="42">
        <f>IF(ISERROR(VLOOKUP($S$297,'TAR FIN'!$A$1:$O$115,15,0)),0,VLOOKUP($S$297,'TAR FIN'!$A$1:$O$115,15,0))*(1-0.06)</f>
        <v>18.611999999999998</v>
      </c>
      <c r="W297" s="42">
        <f>IF(ISERROR(VLOOKUP($T$297,'TAR FIN'!$A$1:$O$115,15,0)),0,VLOOKUP($T$297,'TAR FIN'!$A$1:$O$115,15,0))</f>
        <v>0</v>
      </c>
      <c r="X297" s="42">
        <f>IF(ISERROR(VLOOKUP($U$297,'TAR FIN'!$A$1:$O$115,15,0)),0,VLOOKUP($U$297,'TAR FIN'!$A$1:$O$115,15,0))</f>
        <v>0</v>
      </c>
      <c r="Y297" s="42">
        <f ca="1">('TUSD BE'!$AM$27+'TUSD BF'!$AM$27+'TUSD CVA'!$AM$27)*1*(1-0.03)</f>
        <v>19.996757900318997</v>
      </c>
      <c r="Z297" s="42"/>
      <c r="AA297" s="42"/>
      <c r="AB297" s="42">
        <f>(SUBSIDIO!$J$297*SUBSIDIO!$V$297)*(0.06)/(1-0.06)</f>
        <v>1154.7359999999999</v>
      </c>
      <c r="AC297" s="42">
        <f>((SUBSIDIO!$L$297*SUBSIDIO!$W$297)+(SUBSIDIO!$N$297*SUBSIDIO!$X$297))*(0.06)/(1-0.06)</f>
        <v>0</v>
      </c>
      <c r="AD297" s="42">
        <f ca="1">(SUBSIDIO!$J$297*SUBSIDIO!$Y$297)*(0.03)/(1-0.03)</f>
        <v>601.13964986938345</v>
      </c>
      <c r="AE297" s="42">
        <f>((SUBSIDIO!$L$297*SUBSIDIO!$Z$297)+(SUBSIDIO!$N$297*SUBSIDIO!$AA$297))*(0.03)/(1-0.03)</f>
        <v>0</v>
      </c>
      <c r="AF297" s="4" t="s">
        <v>935</v>
      </c>
    </row>
    <row r="298" spans="1:32" ht="11.25" customHeight="1" x14ac:dyDescent="0.25">
      <c r="A298" s="4" t="s">
        <v>21</v>
      </c>
      <c r="B298" s="4" t="s">
        <v>41</v>
      </c>
      <c r="C298" s="4" t="s">
        <v>44</v>
      </c>
      <c r="D298" s="4" t="s">
        <v>52</v>
      </c>
      <c r="E298" s="4" t="s">
        <v>53</v>
      </c>
      <c r="F298" s="4" t="s">
        <v>25</v>
      </c>
      <c r="G298" s="4" t="s">
        <v>25</v>
      </c>
      <c r="H298" s="4" t="s">
        <v>25</v>
      </c>
      <c r="I298" s="5">
        <v>44805</v>
      </c>
      <c r="J298" s="6">
        <v>6631</v>
      </c>
      <c r="K298" s="43">
        <v>6631</v>
      </c>
      <c r="L298" s="6">
        <v>0</v>
      </c>
      <c r="M298" s="42">
        <v>0</v>
      </c>
      <c r="N298" s="6">
        <v>0</v>
      </c>
      <c r="O298" s="42">
        <v>0</v>
      </c>
      <c r="P298" s="6">
        <v>29</v>
      </c>
      <c r="Q298" s="4" t="s">
        <v>26</v>
      </c>
      <c r="R298" s="4">
        <v>0</v>
      </c>
      <c r="S298" s="4">
        <v>27</v>
      </c>
      <c r="T298" s="4">
        <v>0</v>
      </c>
      <c r="U298" s="4">
        <v>0</v>
      </c>
      <c r="V298" s="42">
        <f>IF(ISERROR(VLOOKUP($S$298,'TAR FIN'!$A$1:$O$115,15,0)),0,VLOOKUP($S$298,'TAR FIN'!$A$1:$O$115,15,0))*(1-0.06)</f>
        <v>18.611999999999998</v>
      </c>
      <c r="W298" s="42">
        <f>IF(ISERROR(VLOOKUP($T$298,'TAR FIN'!$A$1:$O$115,15,0)),0,VLOOKUP($T$298,'TAR FIN'!$A$1:$O$115,15,0))</f>
        <v>0</v>
      </c>
      <c r="X298" s="42">
        <f>IF(ISERROR(VLOOKUP($U$298,'TAR FIN'!$A$1:$O$115,15,0)),0,VLOOKUP($U$298,'TAR FIN'!$A$1:$O$115,15,0))</f>
        <v>0</v>
      </c>
      <c r="Y298" s="42">
        <f ca="1">('TUSD BE'!$AM$27+'TUSD BF'!$AM$27+'TUSD CVA'!$AM$27)*1*(1-0.03)</f>
        <v>19.996757900318997</v>
      </c>
      <c r="Z298" s="42"/>
      <c r="AA298" s="42"/>
      <c r="AB298" s="42">
        <f>(SUBSIDIO!$J$298*SUBSIDIO!$V$298)*(0.06)/(1-0.06)</f>
        <v>7877.6279999999997</v>
      </c>
      <c r="AC298" s="42">
        <f>((SUBSIDIO!$L$298*SUBSIDIO!$W$298)+(SUBSIDIO!$N$298*SUBSIDIO!$X$298))*(0.06)/(1-0.06)</f>
        <v>0</v>
      </c>
      <c r="AD298" s="42">
        <f ca="1">(SUBSIDIO!$J$298*SUBSIDIO!$Y$298)*(0.03)/(1-0.03)</f>
        <v>4100.984586711812</v>
      </c>
      <c r="AE298" s="42">
        <f>((SUBSIDIO!$L$298*SUBSIDIO!$Z$298)+(SUBSIDIO!$N$298*SUBSIDIO!$AA$298))*(0.03)/(1-0.03)</f>
        <v>0</v>
      </c>
      <c r="AF298" s="4" t="s">
        <v>935</v>
      </c>
    </row>
    <row r="299" spans="1:32" ht="11.25" customHeight="1" x14ac:dyDescent="0.25">
      <c r="A299" s="4" t="s">
        <v>28</v>
      </c>
      <c r="B299" s="4" t="s">
        <v>41</v>
      </c>
      <c r="C299" s="4" t="s">
        <v>44</v>
      </c>
      <c r="D299" s="4" t="s">
        <v>52</v>
      </c>
      <c r="E299" s="4" t="s">
        <v>53</v>
      </c>
      <c r="F299" s="4" t="s">
        <v>25</v>
      </c>
      <c r="G299" s="4" t="s">
        <v>25</v>
      </c>
      <c r="H299" s="4" t="s">
        <v>25</v>
      </c>
      <c r="I299" s="5">
        <v>44805</v>
      </c>
      <c r="J299" s="6">
        <v>975</v>
      </c>
      <c r="K299" s="43">
        <v>975</v>
      </c>
      <c r="L299" s="6">
        <v>0</v>
      </c>
      <c r="M299" s="42">
        <v>0</v>
      </c>
      <c r="N299" s="6">
        <v>0</v>
      </c>
      <c r="O299" s="42">
        <v>0</v>
      </c>
      <c r="P299" s="6">
        <v>10</v>
      </c>
      <c r="Q299" s="4" t="s">
        <v>26</v>
      </c>
      <c r="R299" s="4">
        <v>0</v>
      </c>
      <c r="S299" s="4">
        <v>27</v>
      </c>
      <c r="T299" s="4">
        <v>0</v>
      </c>
      <c r="U299" s="4">
        <v>0</v>
      </c>
      <c r="V299" s="42">
        <f>IF(ISERROR(VLOOKUP($S$299,'TAR FIN'!$A$1:$O$115,15,0)),0,VLOOKUP($S$299,'TAR FIN'!$A$1:$O$115,15,0))*(1-0.06)</f>
        <v>18.611999999999998</v>
      </c>
      <c r="W299" s="42">
        <f>IF(ISERROR(VLOOKUP($T$299,'TAR FIN'!$A$1:$O$115,15,0)),0,VLOOKUP($T$299,'TAR FIN'!$A$1:$O$115,15,0))</f>
        <v>0</v>
      </c>
      <c r="X299" s="42">
        <f>IF(ISERROR(VLOOKUP($U$299,'TAR FIN'!$A$1:$O$115,15,0)),0,VLOOKUP($U$299,'TAR FIN'!$A$1:$O$115,15,0))</f>
        <v>0</v>
      </c>
      <c r="Y299" s="42">
        <f ca="1">('TUSD BE'!$AM$27+'TUSD BF'!$AM$27+'TUSD CVA'!$AM$27)*1*(1-0.03)</f>
        <v>19.996757900318997</v>
      </c>
      <c r="Z299" s="42"/>
      <c r="AA299" s="42"/>
      <c r="AB299" s="42">
        <f>(SUBSIDIO!$J$299*SUBSIDIO!$V$299)*(0.06)/(1-0.06)</f>
        <v>1158.2999999999997</v>
      </c>
      <c r="AC299" s="42">
        <f>((SUBSIDIO!$L$299*SUBSIDIO!$W$299)+(SUBSIDIO!$N$299*SUBSIDIO!$X$299))*(0.06)/(1-0.06)</f>
        <v>0</v>
      </c>
      <c r="AD299" s="42">
        <f ca="1">(SUBSIDIO!$J$299*SUBSIDIO!$Y$299)*(0.03)/(1-0.03)</f>
        <v>602.99501915910366</v>
      </c>
      <c r="AE299" s="42">
        <f>((SUBSIDIO!$L$299*SUBSIDIO!$Z$299)+(SUBSIDIO!$N$299*SUBSIDIO!$AA$299))*(0.03)/(1-0.03)</f>
        <v>0</v>
      </c>
      <c r="AF299" s="4" t="s">
        <v>935</v>
      </c>
    </row>
    <row r="300" spans="1:32" ht="11.25" customHeight="1" x14ac:dyDescent="0.25">
      <c r="A300" s="4" t="s">
        <v>21</v>
      </c>
      <c r="B300" s="4" t="s">
        <v>41</v>
      </c>
      <c r="C300" s="4" t="s">
        <v>44</v>
      </c>
      <c r="D300" s="4" t="s">
        <v>52</v>
      </c>
      <c r="E300" s="4" t="s">
        <v>53</v>
      </c>
      <c r="F300" s="4" t="s">
        <v>25</v>
      </c>
      <c r="G300" s="4" t="s">
        <v>25</v>
      </c>
      <c r="H300" s="4" t="s">
        <v>25</v>
      </c>
      <c r="I300" s="5">
        <v>44835</v>
      </c>
      <c r="J300" s="6">
        <v>6695</v>
      </c>
      <c r="K300" s="43">
        <v>6695</v>
      </c>
      <c r="L300" s="6">
        <v>0</v>
      </c>
      <c r="M300" s="42">
        <v>0</v>
      </c>
      <c r="N300" s="6">
        <v>0</v>
      </c>
      <c r="O300" s="42">
        <v>0</v>
      </c>
      <c r="P300" s="6">
        <v>29</v>
      </c>
      <c r="Q300" s="4" t="s">
        <v>26</v>
      </c>
      <c r="R300" s="4">
        <v>0</v>
      </c>
      <c r="S300" s="4">
        <v>27</v>
      </c>
      <c r="T300" s="4">
        <v>0</v>
      </c>
      <c r="U300" s="4">
        <v>0</v>
      </c>
      <c r="V300" s="42">
        <f>IF(ISERROR(VLOOKUP($S$300,'TAR FIN'!$A$1:$O$115,15,0)),0,VLOOKUP($S$300,'TAR FIN'!$A$1:$O$115,15,0))*(1-0.06)</f>
        <v>18.611999999999998</v>
      </c>
      <c r="W300" s="42">
        <f>IF(ISERROR(VLOOKUP($T$300,'TAR FIN'!$A$1:$O$115,15,0)),0,VLOOKUP($T$300,'TAR FIN'!$A$1:$O$115,15,0))</f>
        <v>0</v>
      </c>
      <c r="X300" s="42">
        <f>IF(ISERROR(VLOOKUP($U$300,'TAR FIN'!$A$1:$O$115,15,0)),0,VLOOKUP($U$300,'TAR FIN'!$A$1:$O$115,15,0))</f>
        <v>0</v>
      </c>
      <c r="Y300" s="42">
        <f ca="1">('TUSD BE'!$AM$27+'TUSD BF'!$AM$27+'TUSD CVA'!$AM$27)*1*(1-0.03)</f>
        <v>19.996757900318997</v>
      </c>
      <c r="Z300" s="42"/>
      <c r="AA300" s="42"/>
      <c r="AB300" s="42">
        <f>(SUBSIDIO!$J$300*SUBSIDIO!$V$300)*(0.06)/(1-0.06)</f>
        <v>7953.6599999999989</v>
      </c>
      <c r="AC300" s="42">
        <f>((SUBSIDIO!$L$300*SUBSIDIO!$W$300)+(SUBSIDIO!$N$300*SUBSIDIO!$X$300))*(0.06)/(1-0.06)</f>
        <v>0</v>
      </c>
      <c r="AD300" s="42">
        <f ca="1">(SUBSIDIO!$J$300*SUBSIDIO!$Y$300)*(0.03)/(1-0.03)</f>
        <v>4140.5657982258463</v>
      </c>
      <c r="AE300" s="42">
        <f>((SUBSIDIO!$L$300*SUBSIDIO!$Z$300)+(SUBSIDIO!$N$300*SUBSIDIO!$AA$300))*(0.03)/(1-0.03)</f>
        <v>0</v>
      </c>
      <c r="AF300" s="4" t="s">
        <v>935</v>
      </c>
    </row>
    <row r="301" spans="1:32" ht="11.25" customHeight="1" x14ac:dyDescent="0.25">
      <c r="A301" s="4" t="s">
        <v>28</v>
      </c>
      <c r="B301" s="4" t="s">
        <v>41</v>
      </c>
      <c r="C301" s="4" t="s">
        <v>44</v>
      </c>
      <c r="D301" s="4" t="s">
        <v>52</v>
      </c>
      <c r="E301" s="4" t="s">
        <v>53</v>
      </c>
      <c r="F301" s="4" t="s">
        <v>25</v>
      </c>
      <c r="G301" s="4" t="s">
        <v>25</v>
      </c>
      <c r="H301" s="4" t="s">
        <v>25</v>
      </c>
      <c r="I301" s="5">
        <v>44835</v>
      </c>
      <c r="J301" s="6">
        <v>1139</v>
      </c>
      <c r="K301" s="43">
        <v>1139</v>
      </c>
      <c r="L301" s="6">
        <v>0</v>
      </c>
      <c r="M301" s="42">
        <v>0</v>
      </c>
      <c r="N301" s="6">
        <v>0</v>
      </c>
      <c r="O301" s="42">
        <v>0</v>
      </c>
      <c r="P301" s="6">
        <v>13</v>
      </c>
      <c r="Q301" s="4" t="s">
        <v>26</v>
      </c>
      <c r="R301" s="4">
        <v>0</v>
      </c>
      <c r="S301" s="4">
        <v>27</v>
      </c>
      <c r="T301" s="4">
        <v>0</v>
      </c>
      <c r="U301" s="4">
        <v>0</v>
      </c>
      <c r="V301" s="42">
        <f>IF(ISERROR(VLOOKUP($S$301,'TAR FIN'!$A$1:$O$115,15,0)),0,VLOOKUP($S$301,'TAR FIN'!$A$1:$O$115,15,0))*(1-0.06)</f>
        <v>18.611999999999998</v>
      </c>
      <c r="W301" s="42">
        <f>IF(ISERROR(VLOOKUP($T$301,'TAR FIN'!$A$1:$O$115,15,0)),0,VLOOKUP($T$301,'TAR FIN'!$A$1:$O$115,15,0))</f>
        <v>0</v>
      </c>
      <c r="X301" s="42">
        <f>IF(ISERROR(VLOOKUP($U$301,'TAR FIN'!$A$1:$O$115,15,0)),0,VLOOKUP($U$301,'TAR FIN'!$A$1:$O$115,15,0))</f>
        <v>0</v>
      </c>
      <c r="Y301" s="42">
        <f ca="1">('TUSD BE'!$AM$27+'TUSD BF'!$AM$27+'TUSD CVA'!$AM$27)*1*(1-0.03)</f>
        <v>19.996757900318997</v>
      </c>
      <c r="Z301" s="42"/>
      <c r="AA301" s="42"/>
      <c r="AB301" s="42">
        <f>(SUBSIDIO!$J$301*SUBSIDIO!$V$301)*(0.06)/(1-0.06)</f>
        <v>1353.1320000000001</v>
      </c>
      <c r="AC301" s="42">
        <f>((SUBSIDIO!$L$301*SUBSIDIO!$W$301)+(SUBSIDIO!$N$301*SUBSIDIO!$X$301))*(0.06)/(1-0.06)</f>
        <v>0</v>
      </c>
      <c r="AD301" s="42">
        <f ca="1">(SUBSIDIO!$J$301*SUBSIDIO!$Y$301)*(0.03)/(1-0.03)</f>
        <v>704.42187366381449</v>
      </c>
      <c r="AE301" s="42">
        <f>((SUBSIDIO!$L$301*SUBSIDIO!$Z$301)+(SUBSIDIO!$N$301*SUBSIDIO!$AA$301))*(0.03)/(1-0.03)</f>
        <v>0</v>
      </c>
      <c r="AF301" s="4" t="s">
        <v>935</v>
      </c>
    </row>
    <row r="302" spans="1:32" ht="11.25" customHeight="1" x14ac:dyDescent="0.25">
      <c r="A302" s="4" t="s">
        <v>59</v>
      </c>
      <c r="B302" s="4" t="s">
        <v>41</v>
      </c>
      <c r="C302" s="4" t="s">
        <v>44</v>
      </c>
      <c r="D302" s="4" t="s">
        <v>52</v>
      </c>
      <c r="E302" s="4" t="s">
        <v>53</v>
      </c>
      <c r="F302" s="4" t="s">
        <v>25</v>
      </c>
      <c r="G302" s="4" t="s">
        <v>25</v>
      </c>
      <c r="H302" s="4" t="s">
        <v>25</v>
      </c>
      <c r="I302" s="5">
        <v>44866</v>
      </c>
      <c r="J302" s="6">
        <v>6695</v>
      </c>
      <c r="K302" s="43">
        <v>6695</v>
      </c>
      <c r="L302" s="6">
        <v>0</v>
      </c>
      <c r="M302" s="42">
        <v>0</v>
      </c>
      <c r="N302" s="6">
        <v>0</v>
      </c>
      <c r="O302" s="42">
        <v>0</v>
      </c>
      <c r="P302" s="6">
        <v>29</v>
      </c>
      <c r="Q302" s="4" t="s">
        <v>26</v>
      </c>
      <c r="R302" s="4">
        <v>0</v>
      </c>
      <c r="S302" s="4">
        <v>27</v>
      </c>
      <c r="T302" s="4">
        <v>0</v>
      </c>
      <c r="U302" s="4">
        <v>0</v>
      </c>
      <c r="V302" s="42">
        <f>IF(ISERROR(VLOOKUP($S$302,'TAR FIN'!$A$1:$O$115,15,0)),0,VLOOKUP($S$302,'TAR FIN'!$A$1:$O$115,15,0))*(1-0.06)</f>
        <v>18.611999999999998</v>
      </c>
      <c r="W302" s="42">
        <f>IF(ISERROR(VLOOKUP($T$302,'TAR FIN'!$A$1:$O$115,15,0)),0,VLOOKUP($T$302,'TAR FIN'!$A$1:$O$115,15,0))</f>
        <v>0</v>
      </c>
      <c r="X302" s="42">
        <f>IF(ISERROR(VLOOKUP($U$302,'TAR FIN'!$A$1:$O$115,15,0)),0,VLOOKUP($U$302,'TAR FIN'!$A$1:$O$115,15,0))</f>
        <v>0</v>
      </c>
      <c r="Y302" s="42">
        <f ca="1">('TUSD BE'!$AM$27+'TUSD BF'!$AM$27+'TUSD CVA'!$AM$27)*1*(1-0.03)</f>
        <v>19.996757900318997</v>
      </c>
      <c r="Z302" s="42"/>
      <c r="AA302" s="42"/>
      <c r="AB302" s="42">
        <f>(SUBSIDIO!$J$302*SUBSIDIO!$V$302)*(0.06)/(1-0.06)</f>
        <v>7953.6599999999989</v>
      </c>
      <c r="AC302" s="42">
        <f>((SUBSIDIO!$L$302*SUBSIDIO!$W$302)+(SUBSIDIO!$N$302*SUBSIDIO!$X$302))*(0.06)/(1-0.06)</f>
        <v>0</v>
      </c>
      <c r="AD302" s="42">
        <f ca="1">(SUBSIDIO!$J$302*SUBSIDIO!$Y$302)*(0.03)/(1-0.03)</f>
        <v>4140.5657982258463</v>
      </c>
      <c r="AE302" s="42">
        <f>((SUBSIDIO!$L$302*SUBSIDIO!$Z$302)+(SUBSIDIO!$N$302*SUBSIDIO!$AA$302))*(0.03)/(1-0.03)</f>
        <v>0</v>
      </c>
      <c r="AF302" s="4" t="s">
        <v>935</v>
      </c>
    </row>
    <row r="303" spans="1:32" ht="11.25" customHeight="1" x14ac:dyDescent="0.25">
      <c r="A303" s="4" t="s">
        <v>59</v>
      </c>
      <c r="B303" s="4" t="s">
        <v>41</v>
      </c>
      <c r="C303" s="4" t="s">
        <v>44</v>
      </c>
      <c r="D303" s="4" t="s">
        <v>52</v>
      </c>
      <c r="E303" s="4" t="s">
        <v>53</v>
      </c>
      <c r="F303" s="4" t="s">
        <v>25</v>
      </c>
      <c r="G303" s="4" t="s">
        <v>25</v>
      </c>
      <c r="H303" s="4" t="s">
        <v>25</v>
      </c>
      <c r="I303" s="5">
        <v>44866</v>
      </c>
      <c r="J303" s="6">
        <v>1139</v>
      </c>
      <c r="K303" s="43">
        <v>1139</v>
      </c>
      <c r="L303" s="6">
        <v>0</v>
      </c>
      <c r="M303" s="42">
        <v>0</v>
      </c>
      <c r="N303" s="6">
        <v>0</v>
      </c>
      <c r="O303" s="42">
        <v>0</v>
      </c>
      <c r="P303" s="6">
        <v>13</v>
      </c>
      <c r="Q303" s="4" t="s">
        <v>26</v>
      </c>
      <c r="R303" s="4">
        <v>0</v>
      </c>
      <c r="S303" s="4">
        <v>27</v>
      </c>
      <c r="T303" s="4">
        <v>0</v>
      </c>
      <c r="U303" s="4">
        <v>0</v>
      </c>
      <c r="V303" s="42">
        <f>IF(ISERROR(VLOOKUP($S$303,'TAR FIN'!$A$1:$O$115,15,0)),0,VLOOKUP($S$303,'TAR FIN'!$A$1:$O$115,15,0))*(1-0.06)</f>
        <v>18.611999999999998</v>
      </c>
      <c r="W303" s="42">
        <f>IF(ISERROR(VLOOKUP($T$303,'TAR FIN'!$A$1:$O$115,15,0)),0,VLOOKUP($T$303,'TAR FIN'!$A$1:$O$115,15,0))</f>
        <v>0</v>
      </c>
      <c r="X303" s="42">
        <f>IF(ISERROR(VLOOKUP($U$303,'TAR FIN'!$A$1:$O$115,15,0)),0,VLOOKUP($U$303,'TAR FIN'!$A$1:$O$115,15,0))</f>
        <v>0</v>
      </c>
      <c r="Y303" s="42">
        <f ca="1">('TUSD BE'!$AM$27+'TUSD BF'!$AM$27+'TUSD CVA'!$AM$27)*1*(1-0.03)</f>
        <v>19.996757900318997</v>
      </c>
      <c r="Z303" s="42"/>
      <c r="AA303" s="42"/>
      <c r="AB303" s="42">
        <f>(SUBSIDIO!$J$303*SUBSIDIO!$V$303)*(0.06)/(1-0.06)</f>
        <v>1353.1320000000001</v>
      </c>
      <c r="AC303" s="42">
        <f>((SUBSIDIO!$L$303*SUBSIDIO!$W$303)+(SUBSIDIO!$N$303*SUBSIDIO!$X$303))*(0.06)/(1-0.06)</f>
        <v>0</v>
      </c>
      <c r="AD303" s="42">
        <f ca="1">(SUBSIDIO!$J$303*SUBSIDIO!$Y$303)*(0.03)/(1-0.03)</f>
        <v>704.42187366381449</v>
      </c>
      <c r="AE303" s="42">
        <f>((SUBSIDIO!$L$303*SUBSIDIO!$Z$303)+(SUBSIDIO!$N$303*SUBSIDIO!$AA$303))*(0.03)/(1-0.03)</f>
        <v>0</v>
      </c>
      <c r="AF303" s="4" t="s">
        <v>935</v>
      </c>
    </row>
    <row r="304" spans="1:32" ht="11.25" customHeight="1" x14ac:dyDescent="0.25">
      <c r="A304" s="4" t="s">
        <v>21</v>
      </c>
      <c r="B304" s="4" t="s">
        <v>41</v>
      </c>
      <c r="C304" s="4" t="s">
        <v>44</v>
      </c>
      <c r="D304" s="4" t="s">
        <v>52</v>
      </c>
      <c r="E304" s="4" t="s">
        <v>53</v>
      </c>
      <c r="F304" s="4" t="s">
        <v>25</v>
      </c>
      <c r="G304" s="4" t="s">
        <v>25</v>
      </c>
      <c r="H304" s="4" t="s">
        <v>36</v>
      </c>
      <c r="I304" s="5">
        <v>44531</v>
      </c>
      <c r="J304" s="6">
        <v>0</v>
      </c>
      <c r="K304" s="42">
        <v>0</v>
      </c>
      <c r="L304" s="6">
        <v>240.178</v>
      </c>
      <c r="M304" s="42">
        <v>240.178</v>
      </c>
      <c r="N304" s="6">
        <v>240.178</v>
      </c>
      <c r="O304" s="42">
        <v>240.178</v>
      </c>
      <c r="P304" s="6">
        <v>0</v>
      </c>
      <c r="Q304" s="4" t="s">
        <v>26</v>
      </c>
      <c r="R304" s="4">
        <v>0</v>
      </c>
      <c r="S304" s="4">
        <v>0</v>
      </c>
      <c r="T304" s="4">
        <v>28</v>
      </c>
      <c r="U304" s="4">
        <v>74</v>
      </c>
      <c r="V304" s="42">
        <f>IF(ISERROR(VLOOKUP($S$304,'TAR FIN'!$A$1:$O$115,15,0)),0,VLOOKUP($S$304,'TAR FIN'!$A$1:$O$115,15,0))</f>
        <v>0</v>
      </c>
      <c r="W304" s="42">
        <f>IF(ISERROR(VLOOKUP($T$304,'TAR FIN'!$A$1:$O$115,15,0)),0,VLOOKUP($T$304,'TAR FIN'!$A$1:$O$115,15,0))*(1-0.06)</f>
        <v>1362.0224000000001</v>
      </c>
      <c r="X304" s="42">
        <f>IF(ISERROR(VLOOKUP($U$304,'TAR FIN'!$A$1:$O$115,15,0)),0,VLOOKUP($U$304,'TAR FIN'!$A$1:$O$115,15,0))*(1-0.06)</f>
        <v>254.08199999999999</v>
      </c>
      <c r="Y304" s="42"/>
      <c r="Z304" s="42">
        <f ca="1">('TUSD BE'!$AM$28+'TUSD BF'!$AM$28+'TUSD CVA'!$AM$28)*1*(1-0.03)</f>
        <v>1435.7241800297163</v>
      </c>
      <c r="AA304" s="42">
        <f>('TE BE'!$AB$11+'TE BF'!$AB$11+'TE CVA'!$AB$11)*1*(1-0.03)</f>
        <v>351.76466722756453</v>
      </c>
      <c r="AB304" s="42">
        <f>(SUBSIDIO!$J$304*SUBSIDIO!$V$304)*(0.06)/(1-0.06)</f>
        <v>0</v>
      </c>
      <c r="AC304" s="42">
        <f>((SUBSIDIO!$L$304*SUBSIDIO!$W$304)+(SUBSIDIO!$N$304*SUBSIDIO!$X$304))*(0.06)/(1-0.06)</f>
        <v>24775.705696800003</v>
      </c>
      <c r="AD304" s="42">
        <f>(SUBSIDIO!$J$304*SUBSIDIO!$Y$304)*(0.03)/(1-0.03)</f>
        <v>0</v>
      </c>
      <c r="AE304" s="42">
        <f ca="1">((SUBSIDIO!$L$304*SUBSIDIO!$Z$304)+(SUBSIDIO!$N$304*SUBSIDIO!$AA$304))*(0.03)/(1-0.03)</f>
        <v>13277.798856388426</v>
      </c>
      <c r="AF304" s="4" t="s">
        <v>935</v>
      </c>
    </row>
    <row r="305" spans="1:32" ht="11.25" customHeight="1" x14ac:dyDescent="0.25">
      <c r="A305" s="4" t="s">
        <v>28</v>
      </c>
      <c r="B305" s="4" t="s">
        <v>41</v>
      </c>
      <c r="C305" s="4" t="s">
        <v>44</v>
      </c>
      <c r="D305" s="4" t="s">
        <v>52</v>
      </c>
      <c r="E305" s="4" t="s">
        <v>53</v>
      </c>
      <c r="F305" s="4" t="s">
        <v>25</v>
      </c>
      <c r="G305" s="4" t="s">
        <v>25</v>
      </c>
      <c r="H305" s="4" t="s">
        <v>36</v>
      </c>
      <c r="I305" s="5">
        <v>44531</v>
      </c>
      <c r="J305" s="6">
        <v>0</v>
      </c>
      <c r="K305" s="42">
        <v>0</v>
      </c>
      <c r="L305" s="6">
        <v>32.902000000000001</v>
      </c>
      <c r="M305" s="42">
        <v>32.902000000000001</v>
      </c>
      <c r="N305" s="6">
        <v>32.902000000000001</v>
      </c>
      <c r="O305" s="42">
        <v>32.902000000000001</v>
      </c>
      <c r="P305" s="6">
        <v>0</v>
      </c>
      <c r="Q305" s="4" t="s">
        <v>26</v>
      </c>
      <c r="R305" s="4">
        <v>0</v>
      </c>
      <c r="S305" s="4">
        <v>0</v>
      </c>
      <c r="T305" s="4">
        <v>28</v>
      </c>
      <c r="U305" s="4">
        <v>74</v>
      </c>
      <c r="V305" s="42">
        <f>IF(ISERROR(VLOOKUP($S$305,'TAR FIN'!$A$1:$O$115,15,0)),0,VLOOKUP($S$305,'TAR FIN'!$A$1:$O$115,15,0))</f>
        <v>0</v>
      </c>
      <c r="W305" s="42">
        <f>IF(ISERROR(VLOOKUP($T$305,'TAR FIN'!$A$1:$O$115,15,0)),0,VLOOKUP($T$305,'TAR FIN'!$A$1:$O$115,15,0))*(1-0.06)</f>
        <v>1362.0224000000001</v>
      </c>
      <c r="X305" s="42">
        <f>IF(ISERROR(VLOOKUP($U$305,'TAR FIN'!$A$1:$O$115,15,0)),0,VLOOKUP($U$305,'TAR FIN'!$A$1:$O$115,15,0))*(1-0.06)</f>
        <v>254.08199999999999</v>
      </c>
      <c r="Y305" s="42"/>
      <c r="Z305" s="42">
        <f ca="1">('TUSD BE'!$AM$28+'TUSD BF'!$AM$28+'TUSD CVA'!$AM$28)*1*(1-0.03)</f>
        <v>1435.7241800297163</v>
      </c>
      <c r="AA305" s="42">
        <f>('TE BE'!$AB$11+'TE BF'!$AB$11+'TE CVA'!$AB$11)*1*(1-0.03)</f>
        <v>351.76466722756453</v>
      </c>
      <c r="AB305" s="42">
        <f>(SUBSIDIO!$J$305*SUBSIDIO!$V$305)*(0.06)/(1-0.06)</f>
        <v>0</v>
      </c>
      <c r="AC305" s="42">
        <f>((SUBSIDIO!$L$305*SUBSIDIO!$W$305)+(SUBSIDIO!$N$305*SUBSIDIO!$X$305))*(0.06)/(1-0.06)</f>
        <v>3394.0255512000003</v>
      </c>
      <c r="AD305" s="42">
        <f>(SUBSIDIO!$J$305*SUBSIDIO!$Y$305)*(0.03)/(1-0.03)</f>
        <v>0</v>
      </c>
      <c r="AE305" s="42">
        <f ca="1">((SUBSIDIO!$L$305*SUBSIDIO!$Z$305)+(SUBSIDIO!$N$305*SUBSIDIO!$AA$305))*(0.03)/(1-0.03)</f>
        <v>1818.9265377049192</v>
      </c>
      <c r="AF305" s="4" t="s">
        <v>935</v>
      </c>
    </row>
    <row r="306" spans="1:32" ht="11.25" customHeight="1" x14ac:dyDescent="0.25">
      <c r="A306" s="4" t="s">
        <v>21</v>
      </c>
      <c r="B306" s="4" t="s">
        <v>41</v>
      </c>
      <c r="C306" s="4" t="s">
        <v>44</v>
      </c>
      <c r="D306" s="4" t="s">
        <v>52</v>
      </c>
      <c r="E306" s="4" t="s">
        <v>53</v>
      </c>
      <c r="F306" s="4" t="s">
        <v>25</v>
      </c>
      <c r="G306" s="4" t="s">
        <v>25</v>
      </c>
      <c r="H306" s="4" t="s">
        <v>36</v>
      </c>
      <c r="I306" s="5">
        <v>44562</v>
      </c>
      <c r="J306" s="6">
        <v>0</v>
      </c>
      <c r="K306" s="42">
        <v>0</v>
      </c>
      <c r="L306" s="6">
        <v>277.27300000000002</v>
      </c>
      <c r="M306" s="42">
        <v>277.27300000000002</v>
      </c>
      <c r="N306" s="6">
        <v>277.27300000000002</v>
      </c>
      <c r="O306" s="42">
        <v>277.27300000000002</v>
      </c>
      <c r="P306" s="6">
        <v>0</v>
      </c>
      <c r="Q306" s="4" t="s">
        <v>26</v>
      </c>
      <c r="R306" s="4">
        <v>0</v>
      </c>
      <c r="S306" s="4">
        <v>0</v>
      </c>
      <c r="T306" s="4">
        <v>28</v>
      </c>
      <c r="U306" s="4">
        <v>74</v>
      </c>
      <c r="V306" s="42">
        <f>IF(ISERROR(VLOOKUP($S$306,'TAR FIN'!$A$1:$O$115,15,0)),0,VLOOKUP($S$306,'TAR FIN'!$A$1:$O$115,15,0))</f>
        <v>0</v>
      </c>
      <c r="W306" s="42">
        <f>IF(ISERROR(VLOOKUP($T$306,'TAR FIN'!$A$1:$O$115,15,0)),0,VLOOKUP($T$306,'TAR FIN'!$A$1:$O$115,15,0))*(1-0.06)</f>
        <v>1362.0224000000001</v>
      </c>
      <c r="X306" s="42">
        <f>IF(ISERROR(VLOOKUP($U$306,'TAR FIN'!$A$1:$O$115,15,0)),0,VLOOKUP($U$306,'TAR FIN'!$A$1:$O$115,15,0))*(1-0.06)</f>
        <v>254.08199999999999</v>
      </c>
      <c r="Y306" s="42"/>
      <c r="Z306" s="42">
        <f ca="1">('TUSD BE'!$AM$28+'TUSD BF'!$AM$28+'TUSD CVA'!$AM$28)*1*(1-0.03)</f>
        <v>1435.7241800297163</v>
      </c>
      <c r="AA306" s="42">
        <f>('TE BE'!$AB$11+'TE BF'!$AB$11+'TE CVA'!$AB$11)*1*(1-0.03)</f>
        <v>351.76466722756453</v>
      </c>
      <c r="AB306" s="42">
        <f>(SUBSIDIO!$J$306*SUBSIDIO!$V$306)*(0.06)/(1-0.06)</f>
        <v>0</v>
      </c>
      <c r="AC306" s="42">
        <f>((SUBSIDIO!$L$306*SUBSIDIO!$W$306)+(SUBSIDIO!$N$306*SUBSIDIO!$X$306))*(0.06)/(1-0.06)</f>
        <v>28602.262678800005</v>
      </c>
      <c r="AD306" s="42">
        <f>(SUBSIDIO!$J$306*SUBSIDIO!$Y$306)*(0.03)/(1-0.03)</f>
        <v>0</v>
      </c>
      <c r="AE306" s="42">
        <f ca="1">((SUBSIDIO!$L$306*SUBSIDIO!$Z$306)+(SUBSIDIO!$N$306*SUBSIDIO!$AA$306))*(0.03)/(1-0.03)</f>
        <v>15328.527684914476</v>
      </c>
      <c r="AF306" s="4" t="s">
        <v>935</v>
      </c>
    </row>
    <row r="307" spans="1:32" ht="11.25" customHeight="1" x14ac:dyDescent="0.25">
      <c r="A307" s="4" t="s">
        <v>28</v>
      </c>
      <c r="B307" s="4" t="s">
        <v>41</v>
      </c>
      <c r="C307" s="4" t="s">
        <v>44</v>
      </c>
      <c r="D307" s="4" t="s">
        <v>52</v>
      </c>
      <c r="E307" s="4" t="s">
        <v>53</v>
      </c>
      <c r="F307" s="4" t="s">
        <v>25</v>
      </c>
      <c r="G307" s="4" t="s">
        <v>25</v>
      </c>
      <c r="H307" s="4" t="s">
        <v>36</v>
      </c>
      <c r="I307" s="5">
        <v>44562</v>
      </c>
      <c r="J307" s="6">
        <v>0</v>
      </c>
      <c r="K307" s="42">
        <v>0</v>
      </c>
      <c r="L307" s="6">
        <v>35.567999999999998</v>
      </c>
      <c r="M307" s="42">
        <v>35.567999999999998</v>
      </c>
      <c r="N307" s="6">
        <v>35.567999999999998</v>
      </c>
      <c r="O307" s="42">
        <v>35.567999999999998</v>
      </c>
      <c r="P307" s="6">
        <v>0</v>
      </c>
      <c r="Q307" s="4" t="s">
        <v>26</v>
      </c>
      <c r="R307" s="4">
        <v>0</v>
      </c>
      <c r="S307" s="4">
        <v>0</v>
      </c>
      <c r="T307" s="4">
        <v>28</v>
      </c>
      <c r="U307" s="4">
        <v>74</v>
      </c>
      <c r="V307" s="42">
        <f>IF(ISERROR(VLOOKUP($S$307,'TAR FIN'!$A$1:$O$115,15,0)),0,VLOOKUP($S$307,'TAR FIN'!$A$1:$O$115,15,0))</f>
        <v>0</v>
      </c>
      <c r="W307" s="42">
        <f>IF(ISERROR(VLOOKUP($T$307,'TAR FIN'!$A$1:$O$115,15,0)),0,VLOOKUP($T$307,'TAR FIN'!$A$1:$O$115,15,0))*(1-0.06)</f>
        <v>1362.0224000000001</v>
      </c>
      <c r="X307" s="42">
        <f>IF(ISERROR(VLOOKUP($U$307,'TAR FIN'!$A$1:$O$115,15,0)),0,VLOOKUP($U$307,'TAR FIN'!$A$1:$O$115,15,0))*(1-0.06)</f>
        <v>254.08199999999999</v>
      </c>
      <c r="Y307" s="42"/>
      <c r="Z307" s="42">
        <f ca="1">('TUSD BE'!$AM$28+'TUSD BF'!$AM$28+'TUSD CVA'!$AM$28)*1*(1-0.03)</f>
        <v>1435.7241800297163</v>
      </c>
      <c r="AA307" s="42">
        <f>('TE BE'!$AB$11+'TE BF'!$AB$11+'TE CVA'!$AB$11)*1*(1-0.03)</f>
        <v>351.76466722756453</v>
      </c>
      <c r="AB307" s="42">
        <f>(SUBSIDIO!$J$307*SUBSIDIO!$V$307)*(0.06)/(1-0.06)</f>
        <v>0</v>
      </c>
      <c r="AC307" s="42">
        <f>((SUBSIDIO!$L$307*SUBSIDIO!$W$307)+(SUBSIDIO!$N$307*SUBSIDIO!$X$307))*(0.06)/(1-0.06)</f>
        <v>3669.0383808000006</v>
      </c>
      <c r="AD307" s="42">
        <f>(SUBSIDIO!$J$307*SUBSIDIO!$Y$307)*(0.03)/(1-0.03)</f>
        <v>0</v>
      </c>
      <c r="AE307" s="42">
        <f ca="1">((SUBSIDIO!$L$307*SUBSIDIO!$Z$307)+(SUBSIDIO!$N$307*SUBSIDIO!$AA$307))*(0.03)/(1-0.03)</f>
        <v>1966.3114428633082</v>
      </c>
      <c r="AF307" s="4" t="s">
        <v>935</v>
      </c>
    </row>
    <row r="308" spans="1:32" ht="11.25" customHeight="1" x14ac:dyDescent="0.25">
      <c r="A308" s="4" t="s">
        <v>21</v>
      </c>
      <c r="B308" s="4" t="s">
        <v>41</v>
      </c>
      <c r="C308" s="4" t="s">
        <v>44</v>
      </c>
      <c r="D308" s="4" t="s">
        <v>52</v>
      </c>
      <c r="E308" s="4" t="s">
        <v>53</v>
      </c>
      <c r="F308" s="4" t="s">
        <v>25</v>
      </c>
      <c r="G308" s="4" t="s">
        <v>25</v>
      </c>
      <c r="H308" s="4" t="s">
        <v>36</v>
      </c>
      <c r="I308" s="5">
        <v>44593</v>
      </c>
      <c r="J308" s="6">
        <v>0</v>
      </c>
      <c r="K308" s="42">
        <v>0</v>
      </c>
      <c r="L308" s="6">
        <v>249.84299999999999</v>
      </c>
      <c r="M308" s="42">
        <v>249.84299999999999</v>
      </c>
      <c r="N308" s="6">
        <v>249.84299999999999</v>
      </c>
      <c r="O308" s="42">
        <v>249.84299999999999</v>
      </c>
      <c r="P308" s="6">
        <v>0</v>
      </c>
      <c r="Q308" s="4" t="s">
        <v>26</v>
      </c>
      <c r="R308" s="4">
        <v>0</v>
      </c>
      <c r="S308" s="4">
        <v>0</v>
      </c>
      <c r="T308" s="4">
        <v>28</v>
      </c>
      <c r="U308" s="4">
        <v>74</v>
      </c>
      <c r="V308" s="42">
        <f>IF(ISERROR(VLOOKUP($S$308,'TAR FIN'!$A$1:$O$115,15,0)),0,VLOOKUP($S$308,'TAR FIN'!$A$1:$O$115,15,0))</f>
        <v>0</v>
      </c>
      <c r="W308" s="42">
        <f>IF(ISERROR(VLOOKUP($T$308,'TAR FIN'!$A$1:$O$115,15,0)),0,VLOOKUP($T$308,'TAR FIN'!$A$1:$O$115,15,0))*(1-0.06)</f>
        <v>1362.0224000000001</v>
      </c>
      <c r="X308" s="42">
        <f>IF(ISERROR(VLOOKUP($U$308,'TAR FIN'!$A$1:$O$115,15,0)),0,VLOOKUP($U$308,'TAR FIN'!$A$1:$O$115,15,0))*(1-0.06)</f>
        <v>254.08199999999999</v>
      </c>
      <c r="Y308" s="42"/>
      <c r="Z308" s="42">
        <f ca="1">('TUSD BE'!$AM$28+'TUSD BF'!$AM$28+'TUSD CVA'!$AM$28)*1*(1-0.03)</f>
        <v>1435.7241800297163</v>
      </c>
      <c r="AA308" s="42">
        <f>('TE BE'!$AB$11+'TE BF'!$AB$11+'TE CVA'!$AB$11)*1*(1-0.03)</f>
        <v>351.76466722756453</v>
      </c>
      <c r="AB308" s="42">
        <f>(SUBSIDIO!$J$308*SUBSIDIO!$V$308)*(0.06)/(1-0.06)</f>
        <v>0</v>
      </c>
      <c r="AC308" s="42">
        <f>((SUBSIDIO!$L$308*SUBSIDIO!$W$308)+(SUBSIDIO!$N$308*SUBSIDIO!$X$308))*(0.06)/(1-0.06)</f>
        <v>25772.704570800001</v>
      </c>
      <c r="AD308" s="42">
        <f>(SUBSIDIO!$J$308*SUBSIDIO!$Y$308)*(0.03)/(1-0.03)</f>
        <v>0</v>
      </c>
      <c r="AE308" s="42">
        <f ca="1">((SUBSIDIO!$L$308*SUBSIDIO!$Z$308)+(SUBSIDIO!$N$308*SUBSIDIO!$AA$308))*(0.03)/(1-0.03)</f>
        <v>13812.110599957759</v>
      </c>
      <c r="AF308" s="4" t="s">
        <v>935</v>
      </c>
    </row>
    <row r="309" spans="1:32" ht="11.25" customHeight="1" x14ac:dyDescent="0.25">
      <c r="A309" s="4" t="s">
        <v>27</v>
      </c>
      <c r="B309" s="4" t="s">
        <v>41</v>
      </c>
      <c r="C309" s="4" t="s">
        <v>44</v>
      </c>
      <c r="D309" s="4" t="s">
        <v>52</v>
      </c>
      <c r="E309" s="4" t="s">
        <v>53</v>
      </c>
      <c r="F309" s="4" t="s">
        <v>25</v>
      </c>
      <c r="G309" s="4" t="s">
        <v>25</v>
      </c>
      <c r="H309" s="4" t="s">
        <v>36</v>
      </c>
      <c r="I309" s="5">
        <v>44593</v>
      </c>
      <c r="J309" s="6">
        <v>0</v>
      </c>
      <c r="K309" s="42">
        <v>0</v>
      </c>
      <c r="L309" s="6">
        <v>-1E-3</v>
      </c>
      <c r="M309" s="42">
        <v>-1E-3</v>
      </c>
      <c r="N309" s="6">
        <v>-1E-3</v>
      </c>
      <c r="O309" s="42">
        <v>-1E-3</v>
      </c>
      <c r="P309" s="6">
        <v>0</v>
      </c>
      <c r="Q309" s="4" t="s">
        <v>26</v>
      </c>
      <c r="R309" s="4">
        <v>0</v>
      </c>
      <c r="S309" s="4">
        <v>0</v>
      </c>
      <c r="T309" s="4">
        <v>28</v>
      </c>
      <c r="U309" s="4">
        <v>74</v>
      </c>
      <c r="V309" s="42">
        <f>IF(ISERROR(VLOOKUP($S$309,'TAR FIN'!$A$1:$O$115,15,0)),0,VLOOKUP($S$309,'TAR FIN'!$A$1:$O$115,15,0))</f>
        <v>0</v>
      </c>
      <c r="W309" s="42">
        <f>IF(ISERROR(VLOOKUP($T$309,'TAR FIN'!$A$1:$O$115,15,0)),0,VLOOKUP($T$309,'TAR FIN'!$A$1:$O$115,15,0))*(1-0.06)</f>
        <v>1362.0224000000001</v>
      </c>
      <c r="X309" s="42">
        <f>IF(ISERROR(VLOOKUP($U$309,'TAR FIN'!$A$1:$O$115,15,0)),0,VLOOKUP($U$309,'TAR FIN'!$A$1:$O$115,15,0))*(1-0.06)</f>
        <v>254.08199999999999</v>
      </c>
      <c r="Y309" s="42"/>
      <c r="Z309" s="42">
        <f ca="1">('TUSD BE'!$AM$28+'TUSD BF'!$AM$28+'TUSD CVA'!$AM$28)*1*(1-0.03)</f>
        <v>1435.7241800297163</v>
      </c>
      <c r="AA309" s="42">
        <f>('TE BE'!$AB$11+'TE BF'!$AB$11+'TE CVA'!$AB$11)*1*(1-0.03)</f>
        <v>351.76466722756453</v>
      </c>
      <c r="AB309" s="42">
        <f>(SUBSIDIO!$J$309*SUBSIDIO!$V$309)*(0.06)/(1-0.06)</f>
        <v>0</v>
      </c>
      <c r="AC309" s="42">
        <f>((SUBSIDIO!$L$309*SUBSIDIO!$W$309)+(SUBSIDIO!$N$309*SUBSIDIO!$X$309))*(0.06)/(1-0.06)</f>
        <v>-0.1031556</v>
      </c>
      <c r="AD309" s="42">
        <f>(SUBSIDIO!$J$309*SUBSIDIO!$Y$309)*(0.03)/(1-0.03)</f>
        <v>0</v>
      </c>
      <c r="AE309" s="42">
        <f ca="1">((SUBSIDIO!$L$309*SUBSIDIO!$Z$309)+(SUBSIDIO!$N$309*SUBSIDIO!$AA$309))*(0.03)/(1-0.03)</f>
        <v>-5.5283160224451976E-2</v>
      </c>
      <c r="AF309" s="4" t="s">
        <v>935</v>
      </c>
    </row>
    <row r="310" spans="1:32" ht="11.25" customHeight="1" x14ac:dyDescent="0.25">
      <c r="A310" s="4" t="s">
        <v>28</v>
      </c>
      <c r="B310" s="4" t="s">
        <v>41</v>
      </c>
      <c r="C310" s="4" t="s">
        <v>44</v>
      </c>
      <c r="D310" s="4" t="s">
        <v>52</v>
      </c>
      <c r="E310" s="4" t="s">
        <v>53</v>
      </c>
      <c r="F310" s="4" t="s">
        <v>25</v>
      </c>
      <c r="G310" s="4" t="s">
        <v>25</v>
      </c>
      <c r="H310" s="4" t="s">
        <v>36</v>
      </c>
      <c r="I310" s="5">
        <v>44593</v>
      </c>
      <c r="J310" s="6">
        <v>0</v>
      </c>
      <c r="K310" s="42">
        <v>0</v>
      </c>
      <c r="L310" s="6">
        <v>33.691000000000003</v>
      </c>
      <c r="M310" s="42">
        <v>33.691000000000003</v>
      </c>
      <c r="N310" s="6">
        <v>33.691000000000003</v>
      </c>
      <c r="O310" s="42">
        <v>33.691000000000003</v>
      </c>
      <c r="P310" s="6">
        <v>0</v>
      </c>
      <c r="Q310" s="4" t="s">
        <v>26</v>
      </c>
      <c r="R310" s="4">
        <v>0</v>
      </c>
      <c r="S310" s="4">
        <v>0</v>
      </c>
      <c r="T310" s="4">
        <v>28</v>
      </c>
      <c r="U310" s="4">
        <v>74</v>
      </c>
      <c r="V310" s="42">
        <f>IF(ISERROR(VLOOKUP($S$310,'TAR FIN'!$A$1:$O$115,15,0)),0,VLOOKUP($S$310,'TAR FIN'!$A$1:$O$115,15,0))</f>
        <v>0</v>
      </c>
      <c r="W310" s="42">
        <f>IF(ISERROR(VLOOKUP($T$310,'TAR FIN'!$A$1:$O$115,15,0)),0,VLOOKUP($T$310,'TAR FIN'!$A$1:$O$115,15,0))*(1-0.06)</f>
        <v>1362.0224000000001</v>
      </c>
      <c r="X310" s="42">
        <f>IF(ISERROR(VLOOKUP($U$310,'TAR FIN'!$A$1:$O$115,15,0)),0,VLOOKUP($U$310,'TAR FIN'!$A$1:$O$115,15,0))*(1-0.06)</f>
        <v>254.08199999999999</v>
      </c>
      <c r="Y310" s="42"/>
      <c r="Z310" s="42">
        <f ca="1">('TUSD BE'!$AM$28+'TUSD BF'!$AM$28+'TUSD CVA'!$AM$28)*1*(1-0.03)</f>
        <v>1435.7241800297163</v>
      </c>
      <c r="AA310" s="42">
        <f>('TE BE'!$AB$11+'TE BF'!$AB$11+'TE CVA'!$AB$11)*1*(1-0.03)</f>
        <v>351.76466722756453</v>
      </c>
      <c r="AB310" s="42">
        <f>(SUBSIDIO!$J$310*SUBSIDIO!$V$310)*(0.06)/(1-0.06)</f>
        <v>0</v>
      </c>
      <c r="AC310" s="42">
        <f>((SUBSIDIO!$L$310*SUBSIDIO!$W$310)+(SUBSIDIO!$N$310*SUBSIDIO!$X$310))*(0.06)/(1-0.06)</f>
        <v>3475.4153196000011</v>
      </c>
      <c r="AD310" s="42">
        <f>(SUBSIDIO!$J$310*SUBSIDIO!$Y$310)*(0.03)/(1-0.03)</f>
        <v>0</v>
      </c>
      <c r="AE310" s="42">
        <f ca="1">((SUBSIDIO!$L$310*SUBSIDIO!$Z$310)+(SUBSIDIO!$N$310*SUBSIDIO!$AA$310))*(0.03)/(1-0.03)</f>
        <v>1862.5449511220118</v>
      </c>
      <c r="AF310" s="4" t="s">
        <v>935</v>
      </c>
    </row>
    <row r="311" spans="1:32" ht="11.25" customHeight="1" x14ac:dyDescent="0.25">
      <c r="A311" s="4" t="s">
        <v>21</v>
      </c>
      <c r="B311" s="4" t="s">
        <v>41</v>
      </c>
      <c r="C311" s="4" t="s">
        <v>44</v>
      </c>
      <c r="D311" s="4" t="s">
        <v>52</v>
      </c>
      <c r="E311" s="4" t="s">
        <v>53</v>
      </c>
      <c r="F311" s="4" t="s">
        <v>25</v>
      </c>
      <c r="G311" s="4" t="s">
        <v>25</v>
      </c>
      <c r="H311" s="4" t="s">
        <v>36</v>
      </c>
      <c r="I311" s="5">
        <v>44621</v>
      </c>
      <c r="J311" s="6">
        <v>0</v>
      </c>
      <c r="K311" s="42">
        <v>0</v>
      </c>
      <c r="L311" s="6">
        <v>264.14299999999997</v>
      </c>
      <c r="M311" s="42">
        <v>264.14299999999997</v>
      </c>
      <c r="N311" s="6">
        <v>264.14299999999997</v>
      </c>
      <c r="O311" s="42">
        <v>264.14299999999997</v>
      </c>
      <c r="P311" s="6">
        <v>0</v>
      </c>
      <c r="Q311" s="4" t="s">
        <v>26</v>
      </c>
      <c r="R311" s="4">
        <v>0</v>
      </c>
      <c r="S311" s="4">
        <v>0</v>
      </c>
      <c r="T311" s="4">
        <v>28</v>
      </c>
      <c r="U311" s="4">
        <v>74</v>
      </c>
      <c r="V311" s="42">
        <f>IF(ISERROR(VLOOKUP($S$311,'TAR FIN'!$A$1:$O$115,15,0)),0,VLOOKUP($S$311,'TAR FIN'!$A$1:$O$115,15,0))</f>
        <v>0</v>
      </c>
      <c r="W311" s="42">
        <f>IF(ISERROR(VLOOKUP($T$311,'TAR FIN'!$A$1:$O$115,15,0)),0,VLOOKUP($T$311,'TAR FIN'!$A$1:$O$115,15,0))*(1-0.06)</f>
        <v>1362.0224000000001</v>
      </c>
      <c r="X311" s="42">
        <f>IF(ISERROR(VLOOKUP($U$311,'TAR FIN'!$A$1:$O$115,15,0)),0,VLOOKUP($U$311,'TAR FIN'!$A$1:$O$115,15,0))*(1-0.06)</f>
        <v>254.08199999999999</v>
      </c>
      <c r="Y311" s="42"/>
      <c r="Z311" s="42">
        <f ca="1">('TUSD BE'!$AM$28+'TUSD BF'!$AM$28+'TUSD CVA'!$AM$28)*1*(1-0.03)</f>
        <v>1435.7241800297163</v>
      </c>
      <c r="AA311" s="42">
        <f>('TE BE'!$AB$11+'TE BF'!$AB$11+'TE CVA'!$AB$11)*1*(1-0.03)</f>
        <v>351.76466722756453</v>
      </c>
      <c r="AB311" s="42">
        <f>(SUBSIDIO!$J$311*SUBSIDIO!$V$311)*(0.06)/(1-0.06)</f>
        <v>0</v>
      </c>
      <c r="AC311" s="42">
        <f>((SUBSIDIO!$L$311*SUBSIDIO!$W$311)+(SUBSIDIO!$N$311*SUBSIDIO!$X$311))*(0.06)/(1-0.06)</f>
        <v>27247.829650799995</v>
      </c>
      <c r="AD311" s="42">
        <f>(SUBSIDIO!$J$311*SUBSIDIO!$Y$311)*(0.03)/(1-0.03)</f>
        <v>0</v>
      </c>
      <c r="AE311" s="42">
        <f ca="1">((SUBSIDIO!$L$311*SUBSIDIO!$Z$311)+(SUBSIDIO!$N$311*SUBSIDIO!$AA$311))*(0.03)/(1-0.03)</f>
        <v>14602.65979116742</v>
      </c>
      <c r="AF311" s="4" t="s">
        <v>935</v>
      </c>
    </row>
    <row r="312" spans="1:32" ht="11.25" customHeight="1" x14ac:dyDescent="0.25">
      <c r="A312" s="4" t="s">
        <v>28</v>
      </c>
      <c r="B312" s="4" t="s">
        <v>41</v>
      </c>
      <c r="C312" s="4" t="s">
        <v>44</v>
      </c>
      <c r="D312" s="4" t="s">
        <v>52</v>
      </c>
      <c r="E312" s="4" t="s">
        <v>53</v>
      </c>
      <c r="F312" s="4" t="s">
        <v>25</v>
      </c>
      <c r="G312" s="4" t="s">
        <v>25</v>
      </c>
      <c r="H312" s="4" t="s">
        <v>36</v>
      </c>
      <c r="I312" s="5">
        <v>44621</v>
      </c>
      <c r="J312" s="6">
        <v>0</v>
      </c>
      <c r="K312" s="42">
        <v>0</v>
      </c>
      <c r="L312" s="6">
        <v>34.070999999999998</v>
      </c>
      <c r="M312" s="42">
        <v>34.070999999999998</v>
      </c>
      <c r="N312" s="6">
        <v>34.070999999999998</v>
      </c>
      <c r="O312" s="42">
        <v>34.070999999999998</v>
      </c>
      <c r="P312" s="6">
        <v>0</v>
      </c>
      <c r="Q312" s="4" t="s">
        <v>26</v>
      </c>
      <c r="R312" s="4">
        <v>0</v>
      </c>
      <c r="S312" s="4">
        <v>0</v>
      </c>
      <c r="T312" s="4">
        <v>28</v>
      </c>
      <c r="U312" s="4">
        <v>74</v>
      </c>
      <c r="V312" s="42">
        <f>IF(ISERROR(VLOOKUP($S$312,'TAR FIN'!$A$1:$O$115,15,0)),0,VLOOKUP($S$312,'TAR FIN'!$A$1:$O$115,15,0))</f>
        <v>0</v>
      </c>
      <c r="W312" s="42">
        <f>IF(ISERROR(VLOOKUP($T$312,'TAR FIN'!$A$1:$O$115,15,0)),0,VLOOKUP($T$312,'TAR FIN'!$A$1:$O$115,15,0))*(1-0.06)</f>
        <v>1362.0224000000001</v>
      </c>
      <c r="X312" s="42">
        <f>IF(ISERROR(VLOOKUP($U$312,'TAR FIN'!$A$1:$O$115,15,0)),0,VLOOKUP($U$312,'TAR FIN'!$A$1:$O$115,15,0))*(1-0.06)</f>
        <v>254.08199999999999</v>
      </c>
      <c r="Y312" s="42"/>
      <c r="Z312" s="42">
        <f ca="1">('TUSD BE'!$AM$28+'TUSD BF'!$AM$28+'TUSD CVA'!$AM$28)*1*(1-0.03)</f>
        <v>1435.7241800297163</v>
      </c>
      <c r="AA312" s="42">
        <f>('TE BE'!$AB$11+'TE BF'!$AB$11+'TE CVA'!$AB$11)*1*(1-0.03)</f>
        <v>351.76466722756453</v>
      </c>
      <c r="AB312" s="42">
        <f>(SUBSIDIO!$J$312*SUBSIDIO!$V$312)*(0.06)/(1-0.06)</f>
        <v>0</v>
      </c>
      <c r="AC312" s="42">
        <f>((SUBSIDIO!$L$312*SUBSIDIO!$W$312)+(SUBSIDIO!$N$312*SUBSIDIO!$X$312))*(0.06)/(1-0.06)</f>
        <v>3514.6144475999999</v>
      </c>
      <c r="AD312" s="42">
        <f>(SUBSIDIO!$J$312*SUBSIDIO!$Y$312)*(0.03)/(1-0.03)</f>
        <v>0</v>
      </c>
      <c r="AE312" s="42">
        <f ca="1">((SUBSIDIO!$L$312*SUBSIDIO!$Z$312)+(SUBSIDIO!$N$312*SUBSIDIO!$AA$312))*(0.03)/(1-0.03)</f>
        <v>1883.5525520073033</v>
      </c>
      <c r="AF312" s="4" t="s">
        <v>935</v>
      </c>
    </row>
    <row r="313" spans="1:32" ht="11.25" customHeight="1" x14ac:dyDescent="0.25">
      <c r="A313" s="4" t="s">
        <v>21</v>
      </c>
      <c r="B313" s="4" t="s">
        <v>41</v>
      </c>
      <c r="C313" s="4" t="s">
        <v>44</v>
      </c>
      <c r="D313" s="4" t="s">
        <v>52</v>
      </c>
      <c r="E313" s="4" t="s">
        <v>53</v>
      </c>
      <c r="F313" s="4" t="s">
        <v>25</v>
      </c>
      <c r="G313" s="4" t="s">
        <v>25</v>
      </c>
      <c r="H313" s="4" t="s">
        <v>36</v>
      </c>
      <c r="I313" s="5">
        <v>44652</v>
      </c>
      <c r="J313" s="6">
        <v>0</v>
      </c>
      <c r="K313" s="42">
        <v>0</v>
      </c>
      <c r="L313" s="6">
        <v>251.489</v>
      </c>
      <c r="M313" s="42">
        <v>251.489</v>
      </c>
      <c r="N313" s="6">
        <v>251.489</v>
      </c>
      <c r="O313" s="42">
        <v>251.489</v>
      </c>
      <c r="P313" s="6">
        <v>0</v>
      </c>
      <c r="Q313" s="4" t="s">
        <v>26</v>
      </c>
      <c r="R313" s="4">
        <v>0</v>
      </c>
      <c r="S313" s="4">
        <v>0</v>
      </c>
      <c r="T313" s="4">
        <v>28</v>
      </c>
      <c r="U313" s="4">
        <v>74</v>
      </c>
      <c r="V313" s="42">
        <f>IF(ISERROR(VLOOKUP($S$313,'TAR FIN'!$A$1:$O$115,15,0)),0,VLOOKUP($S$313,'TAR FIN'!$A$1:$O$115,15,0))</f>
        <v>0</v>
      </c>
      <c r="W313" s="42">
        <f>IF(ISERROR(VLOOKUP($T$313,'TAR FIN'!$A$1:$O$115,15,0)),0,VLOOKUP($T$313,'TAR FIN'!$A$1:$O$115,15,0))*(1-0.06)</f>
        <v>1362.0224000000001</v>
      </c>
      <c r="X313" s="42">
        <f>IF(ISERROR(VLOOKUP($U$313,'TAR FIN'!$A$1:$O$115,15,0)),0,VLOOKUP($U$313,'TAR FIN'!$A$1:$O$115,15,0))*(1-0.06)</f>
        <v>254.08199999999999</v>
      </c>
      <c r="Y313" s="42"/>
      <c r="Z313" s="42">
        <f ca="1">('TUSD BE'!$AM$28+'TUSD BF'!$AM$28+'TUSD CVA'!$AM$28)*1*(1-0.03)</f>
        <v>1435.7241800297163</v>
      </c>
      <c r="AA313" s="42">
        <f>('TE BE'!$AB$11+'TE BF'!$AB$11+'TE CVA'!$AB$11)*1*(1-0.03)</f>
        <v>351.76466722756453</v>
      </c>
      <c r="AB313" s="42">
        <f>(SUBSIDIO!$J$313*SUBSIDIO!$V$313)*(0.06)/(1-0.06)</f>
        <v>0</v>
      </c>
      <c r="AC313" s="42">
        <f>((SUBSIDIO!$L$313*SUBSIDIO!$W$313)+(SUBSIDIO!$N$313*SUBSIDIO!$X$313))*(0.06)/(1-0.06)</f>
        <v>25942.498688400003</v>
      </c>
      <c r="AD313" s="42">
        <f>(SUBSIDIO!$J$313*SUBSIDIO!$Y$313)*(0.03)/(1-0.03)</f>
        <v>0</v>
      </c>
      <c r="AE313" s="42">
        <f ca="1">((SUBSIDIO!$L$313*SUBSIDIO!$Z$313)+(SUBSIDIO!$N$313*SUBSIDIO!$AA$313))*(0.03)/(1-0.03)</f>
        <v>13903.106681687204</v>
      </c>
      <c r="AF313" s="4" t="s">
        <v>935</v>
      </c>
    </row>
    <row r="314" spans="1:32" ht="11.25" customHeight="1" x14ac:dyDescent="0.25">
      <c r="A314" s="4" t="s">
        <v>28</v>
      </c>
      <c r="B314" s="4" t="s">
        <v>41</v>
      </c>
      <c r="C314" s="4" t="s">
        <v>44</v>
      </c>
      <c r="D314" s="4" t="s">
        <v>52</v>
      </c>
      <c r="E314" s="4" t="s">
        <v>53</v>
      </c>
      <c r="F314" s="4" t="s">
        <v>25</v>
      </c>
      <c r="G314" s="4" t="s">
        <v>25</v>
      </c>
      <c r="H314" s="4" t="s">
        <v>36</v>
      </c>
      <c r="I314" s="5">
        <v>44652</v>
      </c>
      <c r="J314" s="6">
        <v>0</v>
      </c>
      <c r="K314" s="42">
        <v>0</v>
      </c>
      <c r="L314" s="6">
        <v>33.68</v>
      </c>
      <c r="M314" s="42">
        <v>33.68</v>
      </c>
      <c r="N314" s="6">
        <v>33.68</v>
      </c>
      <c r="O314" s="42">
        <v>33.68</v>
      </c>
      <c r="P314" s="6">
        <v>0</v>
      </c>
      <c r="Q314" s="4" t="s">
        <v>26</v>
      </c>
      <c r="R314" s="4">
        <v>0</v>
      </c>
      <c r="S314" s="4">
        <v>0</v>
      </c>
      <c r="T314" s="4">
        <v>28</v>
      </c>
      <c r="U314" s="4">
        <v>74</v>
      </c>
      <c r="V314" s="42">
        <f>IF(ISERROR(VLOOKUP($S$314,'TAR FIN'!$A$1:$O$115,15,0)),0,VLOOKUP($S$314,'TAR FIN'!$A$1:$O$115,15,0))</f>
        <v>0</v>
      </c>
      <c r="W314" s="42">
        <f>IF(ISERROR(VLOOKUP($T$314,'TAR FIN'!$A$1:$O$115,15,0)),0,VLOOKUP($T$314,'TAR FIN'!$A$1:$O$115,15,0))*(1-0.06)</f>
        <v>1362.0224000000001</v>
      </c>
      <c r="X314" s="42">
        <f>IF(ISERROR(VLOOKUP($U$314,'TAR FIN'!$A$1:$O$115,15,0)),0,VLOOKUP($U$314,'TAR FIN'!$A$1:$O$115,15,0))*(1-0.06)</f>
        <v>254.08199999999999</v>
      </c>
      <c r="Y314" s="42"/>
      <c r="Z314" s="42">
        <f ca="1">('TUSD BE'!$AM$28+'TUSD BF'!$AM$28+'TUSD CVA'!$AM$28)*1*(1-0.03)</f>
        <v>1435.7241800297163</v>
      </c>
      <c r="AA314" s="42">
        <f>('TE BE'!$AB$11+'TE BF'!$AB$11+'TE CVA'!$AB$11)*1*(1-0.03)</f>
        <v>351.76466722756453</v>
      </c>
      <c r="AB314" s="42">
        <f>(SUBSIDIO!$J$314*SUBSIDIO!$V$314)*(0.06)/(1-0.06)</f>
        <v>0</v>
      </c>
      <c r="AC314" s="42">
        <f>((SUBSIDIO!$L$314*SUBSIDIO!$W$314)+(SUBSIDIO!$N$314*SUBSIDIO!$X$314))*(0.06)/(1-0.06)</f>
        <v>3474.2806080000005</v>
      </c>
      <c r="AD314" s="42">
        <f>(SUBSIDIO!$J$314*SUBSIDIO!$Y$314)*(0.03)/(1-0.03)</f>
        <v>0</v>
      </c>
      <c r="AE314" s="42">
        <f ca="1">((SUBSIDIO!$L$314*SUBSIDIO!$Z$314)+(SUBSIDIO!$N$314*SUBSIDIO!$AA$314))*(0.03)/(1-0.03)</f>
        <v>1861.9368363595429</v>
      </c>
      <c r="AF314" s="4" t="s">
        <v>935</v>
      </c>
    </row>
    <row r="315" spans="1:32" ht="11.25" customHeight="1" x14ac:dyDescent="0.25">
      <c r="A315" s="4" t="s">
        <v>21</v>
      </c>
      <c r="B315" s="4" t="s">
        <v>41</v>
      </c>
      <c r="C315" s="4" t="s">
        <v>44</v>
      </c>
      <c r="D315" s="4" t="s">
        <v>52</v>
      </c>
      <c r="E315" s="4" t="s">
        <v>53</v>
      </c>
      <c r="F315" s="4" t="s">
        <v>25</v>
      </c>
      <c r="G315" s="4" t="s">
        <v>25</v>
      </c>
      <c r="H315" s="4" t="s">
        <v>36</v>
      </c>
      <c r="I315" s="5">
        <v>44682</v>
      </c>
      <c r="J315" s="6">
        <v>0</v>
      </c>
      <c r="K315" s="42">
        <v>0</v>
      </c>
      <c r="L315" s="6">
        <v>271.93599999999998</v>
      </c>
      <c r="M315" s="42">
        <v>271.93599999999998</v>
      </c>
      <c r="N315" s="6">
        <v>271.93599999999998</v>
      </c>
      <c r="O315" s="42">
        <v>271.93599999999998</v>
      </c>
      <c r="P315" s="6">
        <v>0</v>
      </c>
      <c r="Q315" s="4" t="s">
        <v>26</v>
      </c>
      <c r="R315" s="4">
        <v>0</v>
      </c>
      <c r="S315" s="4">
        <v>0</v>
      </c>
      <c r="T315" s="4">
        <v>28</v>
      </c>
      <c r="U315" s="4">
        <v>74</v>
      </c>
      <c r="V315" s="42">
        <f>IF(ISERROR(VLOOKUP($S$315,'TAR FIN'!$A$1:$O$115,15,0)),0,VLOOKUP($S$315,'TAR FIN'!$A$1:$O$115,15,0))</f>
        <v>0</v>
      </c>
      <c r="W315" s="42">
        <f>IF(ISERROR(VLOOKUP($T$315,'TAR FIN'!$A$1:$O$115,15,0)),0,VLOOKUP($T$315,'TAR FIN'!$A$1:$O$115,15,0))*(1-0.06)</f>
        <v>1362.0224000000001</v>
      </c>
      <c r="X315" s="42">
        <f>IF(ISERROR(VLOOKUP($U$315,'TAR FIN'!$A$1:$O$115,15,0)),0,VLOOKUP($U$315,'TAR FIN'!$A$1:$O$115,15,0))*(1-0.06)</f>
        <v>254.08199999999999</v>
      </c>
      <c r="Y315" s="42"/>
      <c r="Z315" s="42">
        <f ca="1">('TUSD BE'!$AM$28+'TUSD BF'!$AM$28+'TUSD CVA'!$AM$28)*1*(1-0.03)</f>
        <v>1435.7241800297163</v>
      </c>
      <c r="AA315" s="42">
        <f>('TE BE'!$AB$11+'TE BF'!$AB$11+'TE CVA'!$AB$11)*1*(1-0.03)</f>
        <v>351.76466722756453</v>
      </c>
      <c r="AB315" s="42">
        <f>(SUBSIDIO!$J$315*SUBSIDIO!$V$315)*(0.06)/(1-0.06)</f>
        <v>0</v>
      </c>
      <c r="AC315" s="42">
        <f>((SUBSIDIO!$L$315*SUBSIDIO!$W$315)+(SUBSIDIO!$N$315*SUBSIDIO!$X$315))*(0.06)/(1-0.06)</f>
        <v>28051.7212416</v>
      </c>
      <c r="AD315" s="42">
        <f>(SUBSIDIO!$J$315*SUBSIDIO!$Y$315)*(0.03)/(1-0.03)</f>
        <v>0</v>
      </c>
      <c r="AE315" s="42">
        <f ca="1">((SUBSIDIO!$L$315*SUBSIDIO!$Z$315)+(SUBSIDIO!$N$315*SUBSIDIO!$AA$315))*(0.03)/(1-0.03)</f>
        <v>15033.481458796574</v>
      </c>
      <c r="AF315" s="4" t="s">
        <v>935</v>
      </c>
    </row>
    <row r="316" spans="1:32" ht="11.25" customHeight="1" x14ac:dyDescent="0.25">
      <c r="A316" s="4" t="s">
        <v>28</v>
      </c>
      <c r="B316" s="4" t="s">
        <v>41</v>
      </c>
      <c r="C316" s="4" t="s">
        <v>44</v>
      </c>
      <c r="D316" s="4" t="s">
        <v>52</v>
      </c>
      <c r="E316" s="4" t="s">
        <v>53</v>
      </c>
      <c r="F316" s="4" t="s">
        <v>25</v>
      </c>
      <c r="G316" s="4" t="s">
        <v>25</v>
      </c>
      <c r="H316" s="4" t="s">
        <v>36</v>
      </c>
      <c r="I316" s="5">
        <v>44682</v>
      </c>
      <c r="J316" s="6">
        <v>0</v>
      </c>
      <c r="K316" s="42">
        <v>0</v>
      </c>
      <c r="L316" s="6">
        <v>33.322000000000003</v>
      </c>
      <c r="M316" s="42">
        <v>33.322000000000003</v>
      </c>
      <c r="N316" s="6">
        <v>33.322000000000003</v>
      </c>
      <c r="O316" s="42">
        <v>33.322000000000003</v>
      </c>
      <c r="P316" s="6">
        <v>0</v>
      </c>
      <c r="Q316" s="4" t="s">
        <v>26</v>
      </c>
      <c r="R316" s="4">
        <v>0</v>
      </c>
      <c r="S316" s="4">
        <v>0</v>
      </c>
      <c r="T316" s="4">
        <v>28</v>
      </c>
      <c r="U316" s="4">
        <v>74</v>
      </c>
      <c r="V316" s="42">
        <f>IF(ISERROR(VLOOKUP($S$316,'TAR FIN'!$A$1:$O$115,15,0)),0,VLOOKUP($S$316,'TAR FIN'!$A$1:$O$115,15,0))</f>
        <v>0</v>
      </c>
      <c r="W316" s="42">
        <f>IF(ISERROR(VLOOKUP($T$316,'TAR FIN'!$A$1:$O$115,15,0)),0,VLOOKUP($T$316,'TAR FIN'!$A$1:$O$115,15,0))*(1-0.06)</f>
        <v>1362.0224000000001</v>
      </c>
      <c r="X316" s="42">
        <f>IF(ISERROR(VLOOKUP($U$316,'TAR FIN'!$A$1:$O$115,15,0)),0,VLOOKUP($U$316,'TAR FIN'!$A$1:$O$115,15,0))*(1-0.06)</f>
        <v>254.08199999999999</v>
      </c>
      <c r="Y316" s="42"/>
      <c r="Z316" s="42">
        <f ca="1">('TUSD BE'!$AM$28+'TUSD BF'!$AM$28+'TUSD CVA'!$AM$28)*1*(1-0.03)</f>
        <v>1435.7241800297163</v>
      </c>
      <c r="AA316" s="42">
        <f>('TE BE'!$AB$11+'TE BF'!$AB$11+'TE CVA'!$AB$11)*1*(1-0.03)</f>
        <v>351.76466722756453</v>
      </c>
      <c r="AB316" s="42">
        <f>(SUBSIDIO!$J$316*SUBSIDIO!$V$316)*(0.06)/(1-0.06)</f>
        <v>0</v>
      </c>
      <c r="AC316" s="42">
        <f>((SUBSIDIO!$L$316*SUBSIDIO!$W$316)+(SUBSIDIO!$N$316*SUBSIDIO!$X$316))*(0.06)/(1-0.06)</f>
        <v>3437.3509032000006</v>
      </c>
      <c r="AD316" s="42">
        <f>(SUBSIDIO!$J$316*SUBSIDIO!$Y$316)*(0.03)/(1-0.03)</f>
        <v>0</v>
      </c>
      <c r="AE316" s="42">
        <f ca="1">((SUBSIDIO!$L$316*SUBSIDIO!$Z$316)+(SUBSIDIO!$N$316*SUBSIDIO!$AA$316))*(0.03)/(1-0.03)</f>
        <v>1842.1454649991892</v>
      </c>
      <c r="AF316" s="4" t="s">
        <v>935</v>
      </c>
    </row>
    <row r="317" spans="1:32" ht="11.25" customHeight="1" x14ac:dyDescent="0.25">
      <c r="A317" s="4" t="s">
        <v>21</v>
      </c>
      <c r="B317" s="4" t="s">
        <v>41</v>
      </c>
      <c r="C317" s="4" t="s">
        <v>44</v>
      </c>
      <c r="D317" s="4" t="s">
        <v>52</v>
      </c>
      <c r="E317" s="4" t="s">
        <v>53</v>
      </c>
      <c r="F317" s="4" t="s">
        <v>25</v>
      </c>
      <c r="G317" s="4" t="s">
        <v>25</v>
      </c>
      <c r="H317" s="4" t="s">
        <v>36</v>
      </c>
      <c r="I317" s="5">
        <v>44713</v>
      </c>
      <c r="J317" s="6">
        <v>0</v>
      </c>
      <c r="K317" s="42">
        <v>0</v>
      </c>
      <c r="L317" s="6">
        <v>258.11</v>
      </c>
      <c r="M317" s="42">
        <v>258.11</v>
      </c>
      <c r="N317" s="6">
        <v>258.11</v>
      </c>
      <c r="O317" s="42">
        <v>258.11</v>
      </c>
      <c r="P317" s="6">
        <v>0</v>
      </c>
      <c r="Q317" s="4" t="s">
        <v>26</v>
      </c>
      <c r="R317" s="4">
        <v>0</v>
      </c>
      <c r="S317" s="4">
        <v>0</v>
      </c>
      <c r="T317" s="4">
        <v>28</v>
      </c>
      <c r="U317" s="4">
        <v>74</v>
      </c>
      <c r="V317" s="42">
        <f>IF(ISERROR(VLOOKUP($S$317,'TAR FIN'!$A$1:$O$115,15,0)),0,VLOOKUP($S$317,'TAR FIN'!$A$1:$O$115,15,0))</f>
        <v>0</v>
      </c>
      <c r="W317" s="42">
        <f>IF(ISERROR(VLOOKUP($T$317,'TAR FIN'!$A$1:$O$115,15,0)),0,VLOOKUP($T$317,'TAR FIN'!$A$1:$O$115,15,0))*(1-0.06)</f>
        <v>1362.0224000000001</v>
      </c>
      <c r="X317" s="42">
        <f>IF(ISERROR(VLOOKUP($U$317,'TAR FIN'!$A$1:$O$115,15,0)),0,VLOOKUP($U$317,'TAR FIN'!$A$1:$O$115,15,0))*(1-0.06)</f>
        <v>254.08199999999999</v>
      </c>
      <c r="Y317" s="42"/>
      <c r="Z317" s="42">
        <f ca="1">('TUSD BE'!$AM$28+'TUSD BF'!$AM$28+'TUSD CVA'!$AM$28)*1*(1-0.03)</f>
        <v>1435.7241800297163</v>
      </c>
      <c r="AA317" s="42">
        <f>('TE BE'!$AB$11+'TE BF'!$AB$11+'TE CVA'!$AB$11)*1*(1-0.03)</f>
        <v>351.76466722756453</v>
      </c>
      <c r="AB317" s="42">
        <f>(SUBSIDIO!$J$317*SUBSIDIO!$V$317)*(0.06)/(1-0.06)</f>
        <v>0</v>
      </c>
      <c r="AC317" s="42">
        <f>((SUBSIDIO!$L$317*SUBSIDIO!$W$317)+(SUBSIDIO!$N$317*SUBSIDIO!$X$317))*(0.06)/(1-0.06)</f>
        <v>26625.491916000003</v>
      </c>
      <c r="AD317" s="42">
        <f>(SUBSIDIO!$J$317*SUBSIDIO!$Y$317)*(0.03)/(1-0.03)</f>
        <v>0</v>
      </c>
      <c r="AE317" s="42">
        <f ca="1">((SUBSIDIO!$L$317*SUBSIDIO!$Z$317)+(SUBSIDIO!$N$317*SUBSIDIO!$AA$317))*(0.03)/(1-0.03)</f>
        <v>14269.136485533303</v>
      </c>
      <c r="AF317" s="4" t="s">
        <v>935</v>
      </c>
    </row>
    <row r="318" spans="1:32" ht="11.25" customHeight="1" x14ac:dyDescent="0.25">
      <c r="A318" s="4" t="s">
        <v>28</v>
      </c>
      <c r="B318" s="4" t="s">
        <v>41</v>
      </c>
      <c r="C318" s="4" t="s">
        <v>44</v>
      </c>
      <c r="D318" s="4" t="s">
        <v>52</v>
      </c>
      <c r="E318" s="4" t="s">
        <v>53</v>
      </c>
      <c r="F318" s="4" t="s">
        <v>25</v>
      </c>
      <c r="G318" s="4" t="s">
        <v>25</v>
      </c>
      <c r="H318" s="4" t="s">
        <v>36</v>
      </c>
      <c r="I318" s="5">
        <v>44713</v>
      </c>
      <c r="J318" s="6">
        <v>0</v>
      </c>
      <c r="K318" s="42">
        <v>0</v>
      </c>
      <c r="L318" s="6">
        <v>35.677</v>
      </c>
      <c r="M318" s="42">
        <v>35.677</v>
      </c>
      <c r="N318" s="6">
        <v>35.677</v>
      </c>
      <c r="O318" s="42">
        <v>35.677</v>
      </c>
      <c r="P318" s="6">
        <v>0</v>
      </c>
      <c r="Q318" s="4" t="s">
        <v>26</v>
      </c>
      <c r="R318" s="4">
        <v>0</v>
      </c>
      <c r="S318" s="4">
        <v>0</v>
      </c>
      <c r="T318" s="4">
        <v>28</v>
      </c>
      <c r="U318" s="4">
        <v>74</v>
      </c>
      <c r="V318" s="42">
        <f>IF(ISERROR(VLOOKUP($S$318,'TAR FIN'!$A$1:$O$115,15,0)),0,VLOOKUP($S$318,'TAR FIN'!$A$1:$O$115,15,0))</f>
        <v>0</v>
      </c>
      <c r="W318" s="42">
        <f>IF(ISERROR(VLOOKUP($T$318,'TAR FIN'!$A$1:$O$115,15,0)),0,VLOOKUP($T$318,'TAR FIN'!$A$1:$O$115,15,0))*(1-0.06)</f>
        <v>1362.0224000000001</v>
      </c>
      <c r="X318" s="42">
        <f>IF(ISERROR(VLOOKUP($U$318,'TAR FIN'!$A$1:$O$115,15,0)),0,VLOOKUP($U$318,'TAR FIN'!$A$1:$O$115,15,0))*(1-0.06)</f>
        <v>254.08199999999999</v>
      </c>
      <c r="Y318" s="42"/>
      <c r="Z318" s="42">
        <f ca="1">('TUSD BE'!$AM$28+'TUSD BF'!$AM$28+'TUSD CVA'!$AM$28)*1*(1-0.03)</f>
        <v>1435.7241800297163</v>
      </c>
      <c r="AA318" s="42">
        <f>('TE BE'!$AB$11+'TE BF'!$AB$11+'TE CVA'!$AB$11)*1*(1-0.03)</f>
        <v>351.76466722756453</v>
      </c>
      <c r="AB318" s="42">
        <f>(SUBSIDIO!$J$318*SUBSIDIO!$V$318)*(0.06)/(1-0.06)</f>
        <v>0</v>
      </c>
      <c r="AC318" s="42">
        <f>((SUBSIDIO!$L$318*SUBSIDIO!$W$318)+(SUBSIDIO!$N$318*SUBSIDIO!$X$318))*(0.06)/(1-0.06)</f>
        <v>3680.2823412000002</v>
      </c>
      <c r="AD318" s="42">
        <f>(SUBSIDIO!$J$318*SUBSIDIO!$Y$318)*(0.03)/(1-0.03)</f>
        <v>0</v>
      </c>
      <c r="AE318" s="42">
        <f ca="1">((SUBSIDIO!$L$318*SUBSIDIO!$Z$318)+(SUBSIDIO!$N$318*SUBSIDIO!$AA$318))*(0.03)/(1-0.03)</f>
        <v>1972.3373073277733</v>
      </c>
      <c r="AF318" s="4" t="s">
        <v>935</v>
      </c>
    </row>
    <row r="319" spans="1:32" ht="11.25" customHeight="1" x14ac:dyDescent="0.25">
      <c r="A319" s="4" t="s">
        <v>21</v>
      </c>
      <c r="B319" s="4" t="s">
        <v>41</v>
      </c>
      <c r="C319" s="4" t="s">
        <v>44</v>
      </c>
      <c r="D319" s="4" t="s">
        <v>52</v>
      </c>
      <c r="E319" s="4" t="s">
        <v>53</v>
      </c>
      <c r="F319" s="4" t="s">
        <v>25</v>
      </c>
      <c r="G319" s="4" t="s">
        <v>25</v>
      </c>
      <c r="H319" s="4" t="s">
        <v>36</v>
      </c>
      <c r="I319" s="5">
        <v>44743</v>
      </c>
      <c r="J319" s="6">
        <v>0</v>
      </c>
      <c r="K319" s="42">
        <v>0</v>
      </c>
      <c r="L319" s="6">
        <v>276.87799999999999</v>
      </c>
      <c r="M319" s="42">
        <v>276.87799999999999</v>
      </c>
      <c r="N319" s="6">
        <v>276.87799999999999</v>
      </c>
      <c r="O319" s="42">
        <v>276.87799999999999</v>
      </c>
      <c r="P319" s="6">
        <v>0</v>
      </c>
      <c r="Q319" s="4" t="s">
        <v>26</v>
      </c>
      <c r="R319" s="4">
        <v>0</v>
      </c>
      <c r="S319" s="4">
        <v>0</v>
      </c>
      <c r="T319" s="4">
        <v>28</v>
      </c>
      <c r="U319" s="4">
        <v>74</v>
      </c>
      <c r="V319" s="42">
        <f>IF(ISERROR(VLOOKUP($S$319,'TAR FIN'!$A$1:$O$115,15,0)),0,VLOOKUP($S$319,'TAR FIN'!$A$1:$O$115,15,0))</f>
        <v>0</v>
      </c>
      <c r="W319" s="42">
        <f>IF(ISERROR(VLOOKUP($T$319,'TAR FIN'!$A$1:$O$115,15,0)),0,VLOOKUP($T$319,'TAR FIN'!$A$1:$O$115,15,0))*(1-0.06)</f>
        <v>1362.0224000000001</v>
      </c>
      <c r="X319" s="42">
        <f>IF(ISERROR(VLOOKUP($U$319,'TAR FIN'!$A$1:$O$115,15,0)),0,VLOOKUP($U$319,'TAR FIN'!$A$1:$O$115,15,0))*(1-0.06)</f>
        <v>254.08199999999999</v>
      </c>
      <c r="Y319" s="42"/>
      <c r="Z319" s="42">
        <f ca="1">('TUSD BE'!$AM$28+'TUSD BF'!$AM$28+'TUSD CVA'!$AM$28)*1*(1-0.03)</f>
        <v>1435.7241800297163</v>
      </c>
      <c r="AA319" s="42">
        <f>('TE BE'!$AB$11+'TE BF'!$AB$11+'TE CVA'!$AB$11)*1*(1-0.03)</f>
        <v>351.76466722756453</v>
      </c>
      <c r="AB319" s="42">
        <f>(SUBSIDIO!$J$319*SUBSIDIO!$V$319)*(0.06)/(1-0.06)</f>
        <v>0</v>
      </c>
      <c r="AC319" s="42">
        <f>((SUBSIDIO!$L$319*SUBSIDIO!$W$319)+(SUBSIDIO!$N$319*SUBSIDIO!$X$319))*(0.06)/(1-0.06)</f>
        <v>28561.516216799999</v>
      </c>
      <c r="AD319" s="42">
        <f>(SUBSIDIO!$J$319*SUBSIDIO!$Y$319)*(0.03)/(1-0.03)</f>
        <v>0</v>
      </c>
      <c r="AE319" s="42">
        <f ca="1">((SUBSIDIO!$L$319*SUBSIDIO!$Z$319)+(SUBSIDIO!$N$319*SUBSIDIO!$AA$319))*(0.03)/(1-0.03)</f>
        <v>15306.690836625816</v>
      </c>
      <c r="AF319" s="4" t="s">
        <v>935</v>
      </c>
    </row>
    <row r="320" spans="1:32" ht="11.25" customHeight="1" x14ac:dyDescent="0.25">
      <c r="A320" s="4" t="s">
        <v>28</v>
      </c>
      <c r="B320" s="4" t="s">
        <v>41</v>
      </c>
      <c r="C320" s="4" t="s">
        <v>44</v>
      </c>
      <c r="D320" s="4" t="s">
        <v>52</v>
      </c>
      <c r="E320" s="4" t="s">
        <v>53</v>
      </c>
      <c r="F320" s="4" t="s">
        <v>25</v>
      </c>
      <c r="G320" s="4" t="s">
        <v>25</v>
      </c>
      <c r="H320" s="4" t="s">
        <v>36</v>
      </c>
      <c r="I320" s="5">
        <v>44743</v>
      </c>
      <c r="J320" s="6">
        <v>0</v>
      </c>
      <c r="K320" s="42">
        <v>0</v>
      </c>
      <c r="L320" s="6">
        <v>34.813000000000002</v>
      </c>
      <c r="M320" s="42">
        <v>34.813000000000002</v>
      </c>
      <c r="N320" s="6">
        <v>34.813000000000002</v>
      </c>
      <c r="O320" s="42">
        <v>34.813000000000002</v>
      </c>
      <c r="P320" s="6">
        <v>0</v>
      </c>
      <c r="Q320" s="4" t="s">
        <v>26</v>
      </c>
      <c r="R320" s="4">
        <v>0</v>
      </c>
      <c r="S320" s="4">
        <v>0</v>
      </c>
      <c r="T320" s="4">
        <v>28</v>
      </c>
      <c r="U320" s="4">
        <v>74</v>
      </c>
      <c r="V320" s="42">
        <f>IF(ISERROR(VLOOKUP($S$320,'TAR FIN'!$A$1:$O$115,15,0)),0,VLOOKUP($S$320,'TAR FIN'!$A$1:$O$115,15,0))</f>
        <v>0</v>
      </c>
      <c r="W320" s="42">
        <f>IF(ISERROR(VLOOKUP($T$320,'TAR FIN'!$A$1:$O$115,15,0)),0,VLOOKUP($T$320,'TAR FIN'!$A$1:$O$115,15,0))*(1-0.06)</f>
        <v>1362.0224000000001</v>
      </c>
      <c r="X320" s="42">
        <f>IF(ISERROR(VLOOKUP($U$320,'TAR FIN'!$A$1:$O$115,15,0)),0,VLOOKUP($U$320,'TAR FIN'!$A$1:$O$115,15,0))*(1-0.06)</f>
        <v>254.08199999999999</v>
      </c>
      <c r="Y320" s="42"/>
      <c r="Z320" s="42">
        <f ca="1">('TUSD BE'!$AM$28+'TUSD BF'!$AM$28+'TUSD CVA'!$AM$28)*1*(1-0.03)</f>
        <v>1435.7241800297163</v>
      </c>
      <c r="AA320" s="42">
        <f>('TE BE'!$AB$11+'TE BF'!$AB$11+'TE CVA'!$AB$11)*1*(1-0.03)</f>
        <v>351.76466722756453</v>
      </c>
      <c r="AB320" s="42">
        <f>(SUBSIDIO!$J$320*SUBSIDIO!$V$320)*(0.06)/(1-0.06)</f>
        <v>0</v>
      </c>
      <c r="AC320" s="42">
        <f>((SUBSIDIO!$L$320*SUBSIDIO!$W$320)+(SUBSIDIO!$N$320*SUBSIDIO!$X$320))*(0.06)/(1-0.06)</f>
        <v>3591.1559028000006</v>
      </c>
      <c r="AD320" s="42">
        <f>(SUBSIDIO!$J$320*SUBSIDIO!$Y$320)*(0.03)/(1-0.03)</f>
        <v>0</v>
      </c>
      <c r="AE320" s="42">
        <f ca="1">((SUBSIDIO!$L$320*SUBSIDIO!$Z$320)+(SUBSIDIO!$N$320*SUBSIDIO!$AA$320))*(0.03)/(1-0.03)</f>
        <v>1924.5726568938471</v>
      </c>
      <c r="AF320" s="4" t="s">
        <v>935</v>
      </c>
    </row>
    <row r="321" spans="1:32" ht="11.25" customHeight="1" x14ac:dyDescent="0.25">
      <c r="A321" s="4" t="s">
        <v>21</v>
      </c>
      <c r="B321" s="4" t="s">
        <v>41</v>
      </c>
      <c r="C321" s="4" t="s">
        <v>44</v>
      </c>
      <c r="D321" s="4" t="s">
        <v>52</v>
      </c>
      <c r="E321" s="4" t="s">
        <v>53</v>
      </c>
      <c r="F321" s="4" t="s">
        <v>25</v>
      </c>
      <c r="G321" s="4" t="s">
        <v>25</v>
      </c>
      <c r="H321" s="4" t="s">
        <v>36</v>
      </c>
      <c r="I321" s="5">
        <v>44774</v>
      </c>
      <c r="J321" s="6">
        <v>0</v>
      </c>
      <c r="K321" s="42">
        <v>0</v>
      </c>
      <c r="L321" s="6">
        <v>298.75900000000001</v>
      </c>
      <c r="M321" s="42">
        <v>298.75900000000001</v>
      </c>
      <c r="N321" s="6">
        <v>298.75900000000001</v>
      </c>
      <c r="O321" s="42">
        <v>298.75900000000001</v>
      </c>
      <c r="P321" s="6">
        <v>0</v>
      </c>
      <c r="Q321" s="4" t="s">
        <v>26</v>
      </c>
      <c r="R321" s="4">
        <v>0</v>
      </c>
      <c r="S321" s="4">
        <v>0</v>
      </c>
      <c r="T321" s="4">
        <v>28</v>
      </c>
      <c r="U321" s="4">
        <v>74</v>
      </c>
      <c r="V321" s="42">
        <f>IF(ISERROR(VLOOKUP($S$321,'TAR FIN'!$A$1:$O$115,15,0)),0,VLOOKUP($S$321,'TAR FIN'!$A$1:$O$115,15,0))</f>
        <v>0</v>
      </c>
      <c r="W321" s="42">
        <f>IF(ISERROR(VLOOKUP($T$321,'TAR FIN'!$A$1:$O$115,15,0)),0,VLOOKUP($T$321,'TAR FIN'!$A$1:$O$115,15,0))*(1-0.06)</f>
        <v>1362.0224000000001</v>
      </c>
      <c r="X321" s="42">
        <f>IF(ISERROR(VLOOKUP($U$321,'TAR FIN'!$A$1:$O$115,15,0)),0,VLOOKUP($U$321,'TAR FIN'!$A$1:$O$115,15,0))*(1-0.06)</f>
        <v>254.08199999999999</v>
      </c>
      <c r="Y321" s="42"/>
      <c r="Z321" s="42">
        <f ca="1">('TUSD BE'!$AM$28+'TUSD BF'!$AM$28+'TUSD CVA'!$AM$28)*1*(1-0.03)</f>
        <v>1435.7241800297163</v>
      </c>
      <c r="AA321" s="42">
        <f>('TE BE'!$AB$11+'TE BF'!$AB$11+'TE CVA'!$AB$11)*1*(1-0.03)</f>
        <v>351.76466722756453</v>
      </c>
      <c r="AB321" s="42">
        <f>(SUBSIDIO!$J$321*SUBSIDIO!$V$321)*(0.06)/(1-0.06)</f>
        <v>0</v>
      </c>
      <c r="AC321" s="42">
        <f>((SUBSIDIO!$L$321*SUBSIDIO!$W$321)+(SUBSIDIO!$N$321*SUBSIDIO!$X$321))*(0.06)/(1-0.06)</f>
        <v>30818.663900400003</v>
      </c>
      <c r="AD321" s="42">
        <f>(SUBSIDIO!$J$321*SUBSIDIO!$Y$321)*(0.03)/(1-0.03)</f>
        <v>0</v>
      </c>
      <c r="AE321" s="42">
        <f ca="1">((SUBSIDIO!$L$321*SUBSIDIO!$Z$321)+(SUBSIDIO!$N$321*SUBSIDIO!$AA$321))*(0.03)/(1-0.03)</f>
        <v>16516.34166549705</v>
      </c>
      <c r="AF321" s="4" t="s">
        <v>935</v>
      </c>
    </row>
    <row r="322" spans="1:32" ht="11.25" customHeight="1" x14ac:dyDescent="0.25">
      <c r="A322" s="4" t="s">
        <v>27</v>
      </c>
      <c r="B322" s="4" t="s">
        <v>41</v>
      </c>
      <c r="C322" s="4" t="s">
        <v>44</v>
      </c>
      <c r="D322" s="4" t="s">
        <v>52</v>
      </c>
      <c r="E322" s="4" t="s">
        <v>53</v>
      </c>
      <c r="F322" s="4" t="s">
        <v>25</v>
      </c>
      <c r="G322" s="4" t="s">
        <v>25</v>
      </c>
      <c r="H322" s="4" t="s">
        <v>36</v>
      </c>
      <c r="I322" s="5">
        <v>44774</v>
      </c>
      <c r="J322" s="6">
        <v>0</v>
      </c>
      <c r="K322" s="42">
        <v>0</v>
      </c>
      <c r="L322" s="6">
        <v>-6.2350000000000003</v>
      </c>
      <c r="M322" s="42">
        <v>-6.2350000000000003</v>
      </c>
      <c r="N322" s="6">
        <v>-6.2350000000000003</v>
      </c>
      <c r="O322" s="42">
        <v>-6.2350000000000003</v>
      </c>
      <c r="P322" s="6">
        <v>0</v>
      </c>
      <c r="Q322" s="4" t="s">
        <v>26</v>
      </c>
      <c r="R322" s="4">
        <v>0</v>
      </c>
      <c r="S322" s="4">
        <v>0</v>
      </c>
      <c r="T322" s="4">
        <v>28</v>
      </c>
      <c r="U322" s="4">
        <v>74</v>
      </c>
      <c r="V322" s="42">
        <f>IF(ISERROR(VLOOKUP($S$322,'TAR FIN'!$A$1:$O$115,15,0)),0,VLOOKUP($S$322,'TAR FIN'!$A$1:$O$115,15,0))</f>
        <v>0</v>
      </c>
      <c r="W322" s="42">
        <f>IF(ISERROR(VLOOKUP($T$322,'TAR FIN'!$A$1:$O$115,15,0)),0,VLOOKUP($T$322,'TAR FIN'!$A$1:$O$115,15,0))*(1-0.06)</f>
        <v>1362.0224000000001</v>
      </c>
      <c r="X322" s="42">
        <f>IF(ISERROR(VLOOKUP($U$322,'TAR FIN'!$A$1:$O$115,15,0)),0,VLOOKUP($U$322,'TAR FIN'!$A$1:$O$115,15,0))*(1-0.06)</f>
        <v>254.08199999999999</v>
      </c>
      <c r="Y322" s="42"/>
      <c r="Z322" s="42">
        <f ca="1">('TUSD BE'!$AM$28+'TUSD BF'!$AM$28+'TUSD CVA'!$AM$28)*1*(1-0.03)</f>
        <v>1435.7241800297163</v>
      </c>
      <c r="AA322" s="42">
        <f>('TE BE'!$AB$11+'TE BF'!$AB$11+'TE CVA'!$AB$11)*1*(1-0.03)</f>
        <v>351.76466722756453</v>
      </c>
      <c r="AB322" s="42">
        <f>(SUBSIDIO!$J$322*SUBSIDIO!$V$322)*(0.06)/(1-0.06)</f>
        <v>0</v>
      </c>
      <c r="AC322" s="42">
        <f>((SUBSIDIO!$L$322*SUBSIDIO!$W$322)+(SUBSIDIO!$N$322*SUBSIDIO!$X$322))*(0.06)/(1-0.06)</f>
        <v>-643.17516599999999</v>
      </c>
      <c r="AD322" s="42">
        <f>(SUBSIDIO!$J$322*SUBSIDIO!$Y$322)*(0.03)/(1-0.03)</f>
        <v>0</v>
      </c>
      <c r="AE322" s="42">
        <f ca="1">((SUBSIDIO!$L$322*SUBSIDIO!$Z$322)+(SUBSIDIO!$N$322*SUBSIDIO!$AA$322))*(0.03)/(1-0.03)</f>
        <v>-344.69050399945814</v>
      </c>
      <c r="AF322" s="4" t="s">
        <v>935</v>
      </c>
    </row>
    <row r="323" spans="1:32" ht="11.25" customHeight="1" x14ac:dyDescent="0.25">
      <c r="A323" s="4" t="s">
        <v>28</v>
      </c>
      <c r="B323" s="4" t="s">
        <v>41</v>
      </c>
      <c r="C323" s="4" t="s">
        <v>44</v>
      </c>
      <c r="D323" s="4" t="s">
        <v>52</v>
      </c>
      <c r="E323" s="4" t="s">
        <v>53</v>
      </c>
      <c r="F323" s="4" t="s">
        <v>25</v>
      </c>
      <c r="G323" s="4" t="s">
        <v>25</v>
      </c>
      <c r="H323" s="4" t="s">
        <v>36</v>
      </c>
      <c r="I323" s="5">
        <v>44774</v>
      </c>
      <c r="J323" s="6">
        <v>0</v>
      </c>
      <c r="K323" s="42">
        <v>0</v>
      </c>
      <c r="L323" s="6">
        <v>35.14</v>
      </c>
      <c r="M323" s="42">
        <v>35.14</v>
      </c>
      <c r="N323" s="6">
        <v>35.14</v>
      </c>
      <c r="O323" s="42">
        <v>35.14</v>
      </c>
      <c r="P323" s="6">
        <v>0</v>
      </c>
      <c r="Q323" s="4" t="s">
        <v>26</v>
      </c>
      <c r="R323" s="4">
        <v>0</v>
      </c>
      <c r="S323" s="4">
        <v>0</v>
      </c>
      <c r="T323" s="4">
        <v>28</v>
      </c>
      <c r="U323" s="4">
        <v>74</v>
      </c>
      <c r="V323" s="42">
        <f>IF(ISERROR(VLOOKUP($S$323,'TAR FIN'!$A$1:$O$115,15,0)),0,VLOOKUP($S$323,'TAR FIN'!$A$1:$O$115,15,0))</f>
        <v>0</v>
      </c>
      <c r="W323" s="42">
        <f>IF(ISERROR(VLOOKUP($T$323,'TAR FIN'!$A$1:$O$115,15,0)),0,VLOOKUP($T$323,'TAR FIN'!$A$1:$O$115,15,0))*(1-0.06)</f>
        <v>1362.0224000000001</v>
      </c>
      <c r="X323" s="42">
        <f>IF(ISERROR(VLOOKUP($U$323,'TAR FIN'!$A$1:$O$115,15,0)),0,VLOOKUP($U$323,'TAR FIN'!$A$1:$O$115,15,0))*(1-0.06)</f>
        <v>254.08199999999999</v>
      </c>
      <c r="Y323" s="42"/>
      <c r="Z323" s="42">
        <f ca="1">('TUSD BE'!$AM$28+'TUSD BF'!$AM$28+'TUSD CVA'!$AM$28)*1*(1-0.03)</f>
        <v>1435.7241800297163</v>
      </c>
      <c r="AA323" s="42">
        <f>('TE BE'!$AB$11+'TE BF'!$AB$11+'TE CVA'!$AB$11)*1*(1-0.03)</f>
        <v>351.76466722756453</v>
      </c>
      <c r="AB323" s="42">
        <f>(SUBSIDIO!$J$323*SUBSIDIO!$V$323)*(0.06)/(1-0.06)</f>
        <v>0</v>
      </c>
      <c r="AC323" s="42">
        <f>((SUBSIDIO!$L$323*SUBSIDIO!$W$323)+(SUBSIDIO!$N$323*SUBSIDIO!$X$323))*(0.06)/(1-0.06)</f>
        <v>3624.887784</v>
      </c>
      <c r="AD323" s="42">
        <f>(SUBSIDIO!$J$323*SUBSIDIO!$Y$323)*(0.03)/(1-0.03)</f>
        <v>0</v>
      </c>
      <c r="AE323" s="42">
        <f ca="1">((SUBSIDIO!$L$323*SUBSIDIO!$Z$323)+(SUBSIDIO!$N$323*SUBSIDIO!$AA$323))*(0.03)/(1-0.03)</f>
        <v>1942.6502502872429</v>
      </c>
      <c r="AF323" s="4" t="s">
        <v>935</v>
      </c>
    </row>
    <row r="324" spans="1:32" ht="11.25" customHeight="1" x14ac:dyDescent="0.25">
      <c r="A324" s="4" t="s">
        <v>21</v>
      </c>
      <c r="B324" s="4" t="s">
        <v>41</v>
      </c>
      <c r="C324" s="4" t="s">
        <v>44</v>
      </c>
      <c r="D324" s="4" t="s">
        <v>52</v>
      </c>
      <c r="E324" s="4" t="s">
        <v>53</v>
      </c>
      <c r="F324" s="4" t="s">
        <v>25</v>
      </c>
      <c r="G324" s="4" t="s">
        <v>25</v>
      </c>
      <c r="H324" s="4" t="s">
        <v>36</v>
      </c>
      <c r="I324" s="5">
        <v>44805</v>
      </c>
      <c r="J324" s="6">
        <v>0</v>
      </c>
      <c r="K324" s="42">
        <v>0</v>
      </c>
      <c r="L324" s="6">
        <v>283.12200000000001</v>
      </c>
      <c r="M324" s="42">
        <v>283.12200000000001</v>
      </c>
      <c r="N324" s="6">
        <v>283.12200000000001</v>
      </c>
      <c r="O324" s="42">
        <v>283.12200000000001</v>
      </c>
      <c r="P324" s="6">
        <v>0</v>
      </c>
      <c r="Q324" s="4" t="s">
        <v>26</v>
      </c>
      <c r="R324" s="4">
        <v>0</v>
      </c>
      <c r="S324" s="4">
        <v>0</v>
      </c>
      <c r="T324" s="4">
        <v>28</v>
      </c>
      <c r="U324" s="4">
        <v>74</v>
      </c>
      <c r="V324" s="42">
        <f>IF(ISERROR(VLOOKUP($S$324,'TAR FIN'!$A$1:$O$115,15,0)),0,VLOOKUP($S$324,'TAR FIN'!$A$1:$O$115,15,0))</f>
        <v>0</v>
      </c>
      <c r="W324" s="42">
        <f>IF(ISERROR(VLOOKUP($T$324,'TAR FIN'!$A$1:$O$115,15,0)),0,VLOOKUP($T$324,'TAR FIN'!$A$1:$O$115,15,0))*(1-0.06)</f>
        <v>1362.0224000000001</v>
      </c>
      <c r="X324" s="42">
        <f>IF(ISERROR(VLOOKUP($U$324,'TAR FIN'!$A$1:$O$115,15,0)),0,VLOOKUP($U$324,'TAR FIN'!$A$1:$O$115,15,0))*(1-0.06)</f>
        <v>254.08199999999999</v>
      </c>
      <c r="Y324" s="42"/>
      <c r="Z324" s="42">
        <f ca="1">('TUSD BE'!$AM$28+'TUSD BF'!$AM$28+'TUSD CVA'!$AM$28)*1*(1-0.03)</f>
        <v>1435.7241800297163</v>
      </c>
      <c r="AA324" s="42">
        <f>('TE BE'!$AB$11+'TE BF'!$AB$11+'TE CVA'!$AB$11)*1*(1-0.03)</f>
        <v>351.76466722756453</v>
      </c>
      <c r="AB324" s="42">
        <f>(SUBSIDIO!$J$324*SUBSIDIO!$V$324)*(0.06)/(1-0.06)</f>
        <v>0</v>
      </c>
      <c r="AC324" s="42">
        <f>((SUBSIDIO!$L$324*SUBSIDIO!$W$324)+(SUBSIDIO!$N$324*SUBSIDIO!$X$324))*(0.06)/(1-0.06)</f>
        <v>29205.619783200003</v>
      </c>
      <c r="AD324" s="42">
        <f>(SUBSIDIO!$J$324*SUBSIDIO!$Y$324)*(0.03)/(1-0.03)</f>
        <v>0</v>
      </c>
      <c r="AE324" s="42">
        <f ca="1">((SUBSIDIO!$L$324*SUBSIDIO!$Z$324)+(SUBSIDIO!$N$324*SUBSIDIO!$AA$324))*(0.03)/(1-0.03)</f>
        <v>15651.878889067297</v>
      </c>
      <c r="AF324" s="4" t="s">
        <v>935</v>
      </c>
    </row>
    <row r="325" spans="1:32" ht="11.25" customHeight="1" x14ac:dyDescent="0.25">
      <c r="A325" s="4" t="s">
        <v>28</v>
      </c>
      <c r="B325" s="4" t="s">
        <v>41</v>
      </c>
      <c r="C325" s="4" t="s">
        <v>44</v>
      </c>
      <c r="D325" s="4" t="s">
        <v>52</v>
      </c>
      <c r="E325" s="4" t="s">
        <v>53</v>
      </c>
      <c r="F325" s="4" t="s">
        <v>25</v>
      </c>
      <c r="G325" s="4" t="s">
        <v>25</v>
      </c>
      <c r="H325" s="4" t="s">
        <v>36</v>
      </c>
      <c r="I325" s="5">
        <v>44805</v>
      </c>
      <c r="J325" s="6">
        <v>0</v>
      </c>
      <c r="K325" s="42">
        <v>0</v>
      </c>
      <c r="L325" s="6">
        <v>35.819000000000003</v>
      </c>
      <c r="M325" s="42">
        <v>35.819000000000003</v>
      </c>
      <c r="N325" s="6">
        <v>35.819000000000003</v>
      </c>
      <c r="O325" s="42">
        <v>35.819000000000003</v>
      </c>
      <c r="P325" s="6">
        <v>0</v>
      </c>
      <c r="Q325" s="4" t="s">
        <v>26</v>
      </c>
      <c r="R325" s="4">
        <v>0</v>
      </c>
      <c r="S325" s="4">
        <v>0</v>
      </c>
      <c r="T325" s="4">
        <v>28</v>
      </c>
      <c r="U325" s="4">
        <v>74</v>
      </c>
      <c r="V325" s="42">
        <f>IF(ISERROR(VLOOKUP($S$325,'TAR FIN'!$A$1:$O$115,15,0)),0,VLOOKUP($S$325,'TAR FIN'!$A$1:$O$115,15,0))</f>
        <v>0</v>
      </c>
      <c r="W325" s="42">
        <f>IF(ISERROR(VLOOKUP($T$325,'TAR FIN'!$A$1:$O$115,15,0)),0,VLOOKUP($T$325,'TAR FIN'!$A$1:$O$115,15,0))*(1-0.06)</f>
        <v>1362.0224000000001</v>
      </c>
      <c r="X325" s="42">
        <f>IF(ISERROR(VLOOKUP($U$325,'TAR FIN'!$A$1:$O$115,15,0)),0,VLOOKUP($U$325,'TAR FIN'!$A$1:$O$115,15,0))*(1-0.06)</f>
        <v>254.08199999999999</v>
      </c>
      <c r="Y325" s="42"/>
      <c r="Z325" s="42">
        <f ca="1">('TUSD BE'!$AM$28+'TUSD BF'!$AM$28+'TUSD CVA'!$AM$28)*1*(1-0.03)</f>
        <v>1435.7241800297163</v>
      </c>
      <c r="AA325" s="42">
        <f>('TE BE'!$AB$11+'TE BF'!$AB$11+'TE CVA'!$AB$11)*1*(1-0.03)</f>
        <v>351.76466722756453</v>
      </c>
      <c r="AB325" s="42">
        <f>(SUBSIDIO!$J$325*SUBSIDIO!$V$325)*(0.06)/(1-0.06)</f>
        <v>0</v>
      </c>
      <c r="AC325" s="42">
        <f>((SUBSIDIO!$L$325*SUBSIDIO!$W$325)+(SUBSIDIO!$N$325*SUBSIDIO!$X$325))*(0.06)/(1-0.06)</f>
        <v>3694.9304364</v>
      </c>
      <c r="AD325" s="42">
        <f>(SUBSIDIO!$J$325*SUBSIDIO!$Y$325)*(0.03)/(1-0.03)</f>
        <v>0</v>
      </c>
      <c r="AE325" s="42">
        <f ca="1">((SUBSIDIO!$L$325*SUBSIDIO!$Z$325)+(SUBSIDIO!$N$325*SUBSIDIO!$AA$325))*(0.03)/(1-0.03)</f>
        <v>1980.187516079646</v>
      </c>
      <c r="AF325" s="4" t="s">
        <v>935</v>
      </c>
    </row>
    <row r="326" spans="1:32" ht="11.25" customHeight="1" x14ac:dyDescent="0.25">
      <c r="A326" s="4" t="s">
        <v>21</v>
      </c>
      <c r="B326" s="4" t="s">
        <v>41</v>
      </c>
      <c r="C326" s="4" t="s">
        <v>44</v>
      </c>
      <c r="D326" s="4" t="s">
        <v>52</v>
      </c>
      <c r="E326" s="4" t="s">
        <v>53</v>
      </c>
      <c r="F326" s="4" t="s">
        <v>25</v>
      </c>
      <c r="G326" s="4" t="s">
        <v>25</v>
      </c>
      <c r="H326" s="4" t="s">
        <v>36</v>
      </c>
      <c r="I326" s="5">
        <v>44835</v>
      </c>
      <c r="J326" s="6">
        <v>0</v>
      </c>
      <c r="K326" s="42">
        <v>0</v>
      </c>
      <c r="L326" s="6">
        <v>260.20999999999998</v>
      </c>
      <c r="M326" s="42">
        <v>260.20999999999998</v>
      </c>
      <c r="N326" s="6">
        <v>260.20999999999998</v>
      </c>
      <c r="O326" s="42">
        <v>260.20999999999998</v>
      </c>
      <c r="P326" s="6">
        <v>0</v>
      </c>
      <c r="Q326" s="4" t="s">
        <v>26</v>
      </c>
      <c r="R326" s="4">
        <v>0</v>
      </c>
      <c r="S326" s="4">
        <v>0</v>
      </c>
      <c r="T326" s="4">
        <v>28</v>
      </c>
      <c r="U326" s="4">
        <v>74</v>
      </c>
      <c r="V326" s="42">
        <f>IF(ISERROR(VLOOKUP($S$326,'TAR FIN'!$A$1:$O$115,15,0)),0,VLOOKUP($S$326,'TAR FIN'!$A$1:$O$115,15,0))</f>
        <v>0</v>
      </c>
      <c r="W326" s="42">
        <f>IF(ISERROR(VLOOKUP($T$326,'TAR FIN'!$A$1:$O$115,15,0)),0,VLOOKUP($T$326,'TAR FIN'!$A$1:$O$115,15,0))*(1-0.06)</f>
        <v>1362.0224000000001</v>
      </c>
      <c r="X326" s="42">
        <f>IF(ISERROR(VLOOKUP($U$326,'TAR FIN'!$A$1:$O$115,15,0)),0,VLOOKUP($U$326,'TAR FIN'!$A$1:$O$115,15,0))*(1-0.06)</f>
        <v>254.08199999999999</v>
      </c>
      <c r="Y326" s="42"/>
      <c r="Z326" s="42">
        <f ca="1">('TUSD BE'!$AM$28+'TUSD BF'!$AM$28+'TUSD CVA'!$AM$28)*1*(1-0.03)</f>
        <v>1435.7241800297163</v>
      </c>
      <c r="AA326" s="42">
        <f>('TE BE'!$AB$11+'TE BF'!$AB$11+'TE CVA'!$AB$11)*1*(1-0.03)</f>
        <v>351.76466722756453</v>
      </c>
      <c r="AB326" s="42">
        <f>(SUBSIDIO!$J$326*SUBSIDIO!$V$326)*(0.06)/(1-0.06)</f>
        <v>0</v>
      </c>
      <c r="AC326" s="42">
        <f>((SUBSIDIO!$L$326*SUBSIDIO!$W$326)+(SUBSIDIO!$N$326*SUBSIDIO!$X$326))*(0.06)/(1-0.06)</f>
        <v>26842.118676000002</v>
      </c>
      <c r="AD326" s="42">
        <f>(SUBSIDIO!$J$326*SUBSIDIO!$Y$326)*(0.03)/(1-0.03)</f>
        <v>0</v>
      </c>
      <c r="AE326" s="42">
        <f ca="1">((SUBSIDIO!$L$326*SUBSIDIO!$Z$326)+(SUBSIDIO!$N$326*SUBSIDIO!$AA$326))*(0.03)/(1-0.03)</f>
        <v>14385.23112200465</v>
      </c>
      <c r="AF326" s="4" t="s">
        <v>935</v>
      </c>
    </row>
    <row r="327" spans="1:32" ht="11.25" customHeight="1" x14ac:dyDescent="0.25">
      <c r="A327" s="4" t="s">
        <v>28</v>
      </c>
      <c r="B327" s="4" t="s">
        <v>41</v>
      </c>
      <c r="C327" s="4" t="s">
        <v>44</v>
      </c>
      <c r="D327" s="4" t="s">
        <v>52</v>
      </c>
      <c r="E327" s="4" t="s">
        <v>53</v>
      </c>
      <c r="F327" s="4" t="s">
        <v>25</v>
      </c>
      <c r="G327" s="4" t="s">
        <v>25</v>
      </c>
      <c r="H327" s="4" t="s">
        <v>36</v>
      </c>
      <c r="I327" s="5">
        <v>44835</v>
      </c>
      <c r="J327" s="6">
        <v>0</v>
      </c>
      <c r="K327" s="42">
        <v>0</v>
      </c>
      <c r="L327" s="6">
        <v>38.566000000000003</v>
      </c>
      <c r="M327" s="42">
        <v>38.566000000000003</v>
      </c>
      <c r="N327" s="6">
        <v>38.566000000000003</v>
      </c>
      <c r="O327" s="42">
        <v>38.566000000000003</v>
      </c>
      <c r="P327" s="6">
        <v>0</v>
      </c>
      <c r="Q327" s="4" t="s">
        <v>26</v>
      </c>
      <c r="R327" s="4">
        <v>0</v>
      </c>
      <c r="S327" s="4">
        <v>0</v>
      </c>
      <c r="T327" s="4">
        <v>28</v>
      </c>
      <c r="U327" s="4">
        <v>74</v>
      </c>
      <c r="V327" s="42">
        <f>IF(ISERROR(VLOOKUP($S$327,'TAR FIN'!$A$1:$O$115,15,0)),0,VLOOKUP($S$327,'TAR FIN'!$A$1:$O$115,15,0))</f>
        <v>0</v>
      </c>
      <c r="W327" s="42">
        <f>IF(ISERROR(VLOOKUP($T$327,'TAR FIN'!$A$1:$O$115,15,0)),0,VLOOKUP($T$327,'TAR FIN'!$A$1:$O$115,15,0))*(1-0.06)</f>
        <v>1362.0224000000001</v>
      </c>
      <c r="X327" s="42">
        <f>IF(ISERROR(VLOOKUP($U$327,'TAR FIN'!$A$1:$O$115,15,0)),0,VLOOKUP($U$327,'TAR FIN'!$A$1:$O$115,15,0))*(1-0.06)</f>
        <v>254.08199999999999</v>
      </c>
      <c r="Y327" s="42"/>
      <c r="Z327" s="42">
        <f ca="1">('TUSD BE'!$AM$28+'TUSD BF'!$AM$28+'TUSD CVA'!$AM$28)*1*(1-0.03)</f>
        <v>1435.7241800297163</v>
      </c>
      <c r="AA327" s="42">
        <f>('TE BE'!$AB$11+'TE BF'!$AB$11+'TE CVA'!$AB$11)*1*(1-0.03)</f>
        <v>351.76466722756453</v>
      </c>
      <c r="AB327" s="42">
        <f>(SUBSIDIO!$J$327*SUBSIDIO!$V$327)*(0.06)/(1-0.06)</f>
        <v>0</v>
      </c>
      <c r="AC327" s="42">
        <f>((SUBSIDIO!$L$327*SUBSIDIO!$W$327)+(SUBSIDIO!$N$327*SUBSIDIO!$X$327))*(0.06)/(1-0.06)</f>
        <v>3978.2988696000007</v>
      </c>
      <c r="AD327" s="42">
        <f>(SUBSIDIO!$J$327*SUBSIDIO!$Y$327)*(0.03)/(1-0.03)</f>
        <v>0</v>
      </c>
      <c r="AE327" s="42">
        <f ca="1">((SUBSIDIO!$L$327*SUBSIDIO!$Z$327)+(SUBSIDIO!$N$327*SUBSIDIO!$AA$327))*(0.03)/(1-0.03)</f>
        <v>2132.0503572162152</v>
      </c>
      <c r="AF327" s="4" t="s">
        <v>935</v>
      </c>
    </row>
    <row r="328" spans="1:32" ht="11.25" customHeight="1" x14ac:dyDescent="0.25">
      <c r="A328" s="4" t="s">
        <v>59</v>
      </c>
      <c r="B328" s="4" t="s">
        <v>41</v>
      </c>
      <c r="C328" s="4" t="s">
        <v>44</v>
      </c>
      <c r="D328" s="4" t="s">
        <v>52</v>
      </c>
      <c r="E328" s="4" t="s">
        <v>53</v>
      </c>
      <c r="F328" s="4" t="s">
        <v>25</v>
      </c>
      <c r="G328" s="4" t="s">
        <v>25</v>
      </c>
      <c r="H328" s="4" t="s">
        <v>36</v>
      </c>
      <c r="I328" s="5">
        <v>44866</v>
      </c>
      <c r="J328" s="6">
        <v>0</v>
      </c>
      <c r="K328" s="42">
        <v>0</v>
      </c>
      <c r="L328" s="6">
        <v>260.20999999999998</v>
      </c>
      <c r="M328" s="42">
        <v>260.20999999999998</v>
      </c>
      <c r="N328" s="6">
        <v>260.20999999999998</v>
      </c>
      <c r="O328" s="42">
        <v>260.20999999999998</v>
      </c>
      <c r="P328" s="6">
        <v>0</v>
      </c>
      <c r="Q328" s="4" t="s">
        <v>26</v>
      </c>
      <c r="R328" s="4">
        <v>0</v>
      </c>
      <c r="S328" s="4">
        <v>0</v>
      </c>
      <c r="T328" s="4">
        <v>28</v>
      </c>
      <c r="U328" s="4">
        <v>74</v>
      </c>
      <c r="V328" s="42">
        <f>IF(ISERROR(VLOOKUP($S$328,'TAR FIN'!$A$1:$O$115,15,0)),0,VLOOKUP($S$328,'TAR FIN'!$A$1:$O$115,15,0))</f>
        <v>0</v>
      </c>
      <c r="W328" s="42">
        <f>IF(ISERROR(VLOOKUP($T$328,'TAR FIN'!$A$1:$O$115,15,0)),0,VLOOKUP($T$328,'TAR FIN'!$A$1:$O$115,15,0))*(1-0.06)</f>
        <v>1362.0224000000001</v>
      </c>
      <c r="X328" s="42">
        <f>IF(ISERROR(VLOOKUP($U$328,'TAR FIN'!$A$1:$O$115,15,0)),0,VLOOKUP($U$328,'TAR FIN'!$A$1:$O$115,15,0))*(1-0.06)</f>
        <v>254.08199999999999</v>
      </c>
      <c r="Y328" s="42"/>
      <c r="Z328" s="42">
        <f ca="1">('TUSD BE'!$AM$28+'TUSD BF'!$AM$28+'TUSD CVA'!$AM$28)*1*(1-0.03)</f>
        <v>1435.7241800297163</v>
      </c>
      <c r="AA328" s="42">
        <f>('TE BE'!$AB$11+'TE BF'!$AB$11+'TE CVA'!$AB$11)*1*(1-0.03)</f>
        <v>351.76466722756453</v>
      </c>
      <c r="AB328" s="42">
        <f>(SUBSIDIO!$J$328*SUBSIDIO!$V$328)*(0.06)/(1-0.06)</f>
        <v>0</v>
      </c>
      <c r="AC328" s="42">
        <f>((SUBSIDIO!$L$328*SUBSIDIO!$W$328)+(SUBSIDIO!$N$328*SUBSIDIO!$X$328))*(0.06)/(1-0.06)</f>
        <v>26842.118676000002</v>
      </c>
      <c r="AD328" s="42">
        <f>(SUBSIDIO!$J$328*SUBSIDIO!$Y$328)*(0.03)/(1-0.03)</f>
        <v>0</v>
      </c>
      <c r="AE328" s="42">
        <f ca="1">((SUBSIDIO!$L$328*SUBSIDIO!$Z$328)+(SUBSIDIO!$N$328*SUBSIDIO!$AA$328))*(0.03)/(1-0.03)</f>
        <v>14385.23112200465</v>
      </c>
      <c r="AF328" s="4" t="s">
        <v>935</v>
      </c>
    </row>
    <row r="329" spans="1:32" ht="11.25" customHeight="1" x14ac:dyDescent="0.25">
      <c r="A329" s="4" t="s">
        <v>59</v>
      </c>
      <c r="B329" s="4" t="s">
        <v>41</v>
      </c>
      <c r="C329" s="4" t="s">
        <v>44</v>
      </c>
      <c r="D329" s="4" t="s">
        <v>52</v>
      </c>
      <c r="E329" s="4" t="s">
        <v>53</v>
      </c>
      <c r="F329" s="4" t="s">
        <v>25</v>
      </c>
      <c r="G329" s="4" t="s">
        <v>25</v>
      </c>
      <c r="H329" s="4" t="s">
        <v>36</v>
      </c>
      <c r="I329" s="5">
        <v>44866</v>
      </c>
      <c r="J329" s="6">
        <v>0</v>
      </c>
      <c r="K329" s="42">
        <v>0</v>
      </c>
      <c r="L329" s="6">
        <v>38.566000000000003</v>
      </c>
      <c r="M329" s="42">
        <v>38.566000000000003</v>
      </c>
      <c r="N329" s="6">
        <v>38.566000000000003</v>
      </c>
      <c r="O329" s="42">
        <v>38.566000000000003</v>
      </c>
      <c r="P329" s="6">
        <v>0</v>
      </c>
      <c r="Q329" s="4" t="s">
        <v>26</v>
      </c>
      <c r="R329" s="4">
        <v>0</v>
      </c>
      <c r="S329" s="4">
        <v>0</v>
      </c>
      <c r="T329" s="4">
        <v>28</v>
      </c>
      <c r="U329" s="4">
        <v>74</v>
      </c>
      <c r="V329" s="42">
        <f>IF(ISERROR(VLOOKUP($S$329,'TAR FIN'!$A$1:$O$115,15,0)),0,VLOOKUP($S$329,'TAR FIN'!$A$1:$O$115,15,0))</f>
        <v>0</v>
      </c>
      <c r="W329" s="42">
        <f>IF(ISERROR(VLOOKUP($T$329,'TAR FIN'!$A$1:$O$115,15,0)),0,VLOOKUP($T$329,'TAR FIN'!$A$1:$O$115,15,0))*(1-0.06)</f>
        <v>1362.0224000000001</v>
      </c>
      <c r="X329" s="42">
        <f>IF(ISERROR(VLOOKUP($U$329,'TAR FIN'!$A$1:$O$115,15,0)),0,VLOOKUP($U$329,'TAR FIN'!$A$1:$O$115,15,0))*(1-0.06)</f>
        <v>254.08199999999999</v>
      </c>
      <c r="Y329" s="42"/>
      <c r="Z329" s="42">
        <f ca="1">('TUSD BE'!$AM$28+'TUSD BF'!$AM$28+'TUSD CVA'!$AM$28)*1*(1-0.03)</f>
        <v>1435.7241800297163</v>
      </c>
      <c r="AA329" s="42">
        <f>('TE BE'!$AB$11+'TE BF'!$AB$11+'TE CVA'!$AB$11)*1*(1-0.03)</f>
        <v>351.76466722756453</v>
      </c>
      <c r="AB329" s="42">
        <f>(SUBSIDIO!$J$329*SUBSIDIO!$V$329)*(0.06)/(1-0.06)</f>
        <v>0</v>
      </c>
      <c r="AC329" s="42">
        <f>((SUBSIDIO!$L$329*SUBSIDIO!$W$329)+(SUBSIDIO!$N$329*SUBSIDIO!$X$329))*(0.06)/(1-0.06)</f>
        <v>3978.2988696000007</v>
      </c>
      <c r="AD329" s="42">
        <f>(SUBSIDIO!$J$329*SUBSIDIO!$Y$329)*(0.03)/(1-0.03)</f>
        <v>0</v>
      </c>
      <c r="AE329" s="42">
        <f ca="1">((SUBSIDIO!$L$329*SUBSIDIO!$Z$329)+(SUBSIDIO!$N$329*SUBSIDIO!$AA$329))*(0.03)/(1-0.03)</f>
        <v>2132.0503572162152</v>
      </c>
      <c r="AF329" s="4" t="s">
        <v>935</v>
      </c>
    </row>
    <row r="330" spans="1:32" ht="11.25" customHeight="1" x14ac:dyDescent="0.25">
      <c r="A330" s="4" t="s">
        <v>21</v>
      </c>
      <c r="B330" s="4" t="s">
        <v>22</v>
      </c>
      <c r="C330" s="4" t="s">
        <v>23</v>
      </c>
      <c r="D330" s="4" t="s">
        <v>24</v>
      </c>
      <c r="E330" s="4" t="s">
        <v>24</v>
      </c>
      <c r="F330" s="4" t="s">
        <v>25</v>
      </c>
      <c r="G330" s="4" t="s">
        <v>25</v>
      </c>
      <c r="H330" s="4" t="s">
        <v>25</v>
      </c>
      <c r="I330" s="5">
        <v>44531</v>
      </c>
      <c r="J330" s="6">
        <v>0</v>
      </c>
      <c r="K330" s="6">
        <v>0</v>
      </c>
      <c r="L330" s="6">
        <v>30655.42</v>
      </c>
      <c r="M330" s="6">
        <v>30655.42</v>
      </c>
      <c r="N330" s="6">
        <v>30655.42</v>
      </c>
      <c r="O330" s="6">
        <v>30655.42</v>
      </c>
      <c r="P330" s="6">
        <v>133989</v>
      </c>
      <c r="Q330" s="4" t="s">
        <v>26</v>
      </c>
      <c r="R330" s="4">
        <v>0</v>
      </c>
      <c r="S330" s="4">
        <v>0</v>
      </c>
      <c r="T330" s="4">
        <v>39</v>
      </c>
      <c r="U330" s="4">
        <v>83</v>
      </c>
      <c r="V330" s="6">
        <f>IF(ISERROR(VLOOKUP($S$330,'TAR FIN'!$A$1:$O$115,15,0)),0,VLOOKUP($S$330,'TAR FIN'!$A$1:$O$115,15,0))</f>
        <v>0</v>
      </c>
      <c r="W330" s="6">
        <f>IF(ISERROR(VLOOKUP($T$330,'TAR FIN'!$A$1:$O$115,15,0)),0,VLOOKUP($T$330,'TAR FIN'!$A$1:$O$115,15,0))</f>
        <v>463.6</v>
      </c>
      <c r="X330" s="6">
        <f>IF(ISERROR(VLOOKUP($U$330,'TAR FIN'!$A$1:$O$115,15,0)),0,VLOOKUP($U$330,'TAR FIN'!$A$1:$O$115,15,0))</f>
        <v>176.58</v>
      </c>
      <c r="Y330" s="6"/>
      <c r="Z330" s="6">
        <f ca="1">('TUSD BE'!$AM$37+'TUSD BF'!$AM$37+'TUSD CVA'!$AM$37)*1</f>
        <v>502.21976924570083</v>
      </c>
      <c r="AA330" s="6">
        <f>('TE BE'!$AB$20+'TE BF'!$AB$20+'TE CVA'!$AB$20)*1</f>
        <v>230.68197444058345</v>
      </c>
      <c r="AB330" s="6">
        <f t="shared" ref="AB330:AB385" si="18">(J330-K330)*V330</f>
        <v>0</v>
      </c>
      <c r="AC330" s="6">
        <f t="shared" ref="AC330" si="19">(L330-M330)*W330+(N330-O330)*X330</f>
        <v>0</v>
      </c>
      <c r="AD330" s="6">
        <f t="shared" ref="AD330:AD385" si="20">(J330-K330)*Y330</f>
        <v>0</v>
      </c>
      <c r="AE330" s="6">
        <f t="shared" ref="AE330" ca="1" si="21">(L330-M330)*Z330+(N330-O330)*AA330</f>
        <v>0</v>
      </c>
    </row>
    <row r="331" spans="1:32" ht="11.25" customHeight="1" x14ac:dyDescent="0.25">
      <c r="A331" s="4" t="s">
        <v>21</v>
      </c>
      <c r="B331" s="4" t="s">
        <v>22</v>
      </c>
      <c r="C331" s="4" t="s">
        <v>23</v>
      </c>
      <c r="D331" s="4" t="s">
        <v>24</v>
      </c>
      <c r="E331" s="4" t="s">
        <v>31</v>
      </c>
      <c r="F331" s="4" t="s">
        <v>25</v>
      </c>
      <c r="G331" s="4" t="s">
        <v>25</v>
      </c>
      <c r="H331" s="4" t="s">
        <v>25</v>
      </c>
      <c r="I331" s="5">
        <v>44531</v>
      </c>
      <c r="J331" s="6">
        <v>0</v>
      </c>
      <c r="K331" s="6">
        <v>0</v>
      </c>
      <c r="L331" s="6">
        <v>1084.356</v>
      </c>
      <c r="M331" s="6">
        <v>1084.356</v>
      </c>
      <c r="N331" s="6">
        <v>1084.356</v>
      </c>
      <c r="O331" s="6">
        <v>1084.356</v>
      </c>
      <c r="P331" s="6">
        <v>2464</v>
      </c>
      <c r="Q331" s="4" t="s">
        <v>26</v>
      </c>
      <c r="R331" s="4">
        <v>0</v>
      </c>
      <c r="S331" s="4">
        <v>0</v>
      </c>
      <c r="T331" s="4">
        <v>40</v>
      </c>
      <c r="U331" s="4">
        <v>84</v>
      </c>
      <c r="V331" s="6">
        <f>IF(ISERROR(VLOOKUP($S$331,'TAR FIN'!$A$1:$O$115,15,0)),0,VLOOKUP($S$331,'TAR FIN'!$A$1:$O$115,15,0))</f>
        <v>0</v>
      </c>
      <c r="W331" s="6">
        <f>IF(ISERROR(VLOOKUP($T$331,'TAR FIN'!$A$1:$O$115,15,0)),0,VLOOKUP($T$331,'TAR FIN'!$A$1:$O$115,15,0))</f>
        <v>141.44</v>
      </c>
      <c r="X331" s="6">
        <f>IF(ISERROR(VLOOKUP($U$331,'TAR FIN'!$A$1:$O$115,15,0)),0,VLOOKUP($U$331,'TAR FIN'!$A$1:$O$115,15,0))</f>
        <v>61.8</v>
      </c>
      <c r="Y331" s="6"/>
      <c r="Z331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31" s="6">
        <f>('TE BE'!$AB$21+'TE BF'!$AB$21+'TE CVA'!$AB$21)*(1-CUSTOS!$M$34)</f>
        <v>80.738691054204196</v>
      </c>
      <c r="AB331" s="6">
        <f t="shared" si="18"/>
        <v>0</v>
      </c>
      <c r="AC331" s="6">
        <f>(L331-M331)*(W331+X331)+($W$522+$X$522-$W$331-$X$331)*(L331)</f>
        <v>409301.01576000004</v>
      </c>
      <c r="AD331" s="6">
        <f t="shared" si="20"/>
        <v>0</v>
      </c>
      <c r="AE331" s="6">
        <f ca="1">(L331-M331)*(Z331+AA331)+($Z$522+$AA$522-$Z$331-$AA$331)*(L331)</f>
        <v>458743.68680333649</v>
      </c>
      <c r="AF331" s="4" t="s">
        <v>938</v>
      </c>
    </row>
    <row r="332" spans="1:32" ht="11.25" customHeight="1" x14ac:dyDescent="0.25">
      <c r="A332" s="4" t="s">
        <v>27</v>
      </c>
      <c r="B332" s="4" t="s">
        <v>22</v>
      </c>
      <c r="C332" s="4" t="s">
        <v>23</v>
      </c>
      <c r="D332" s="4" t="s">
        <v>24</v>
      </c>
      <c r="E332" s="4" t="s">
        <v>31</v>
      </c>
      <c r="F332" s="4" t="s">
        <v>25</v>
      </c>
      <c r="G332" s="4" t="s">
        <v>25</v>
      </c>
      <c r="H332" s="4" t="s">
        <v>25</v>
      </c>
      <c r="I332" s="5">
        <v>44531</v>
      </c>
      <c r="J332" s="6">
        <v>0</v>
      </c>
      <c r="K332" s="6">
        <v>0</v>
      </c>
      <c r="L332" s="6">
        <v>-4.7779999999999996</v>
      </c>
      <c r="M332" s="6">
        <v>-4.7779999999999996</v>
      </c>
      <c r="N332" s="6">
        <v>-4.7779999999999996</v>
      </c>
      <c r="O332" s="6">
        <v>-4.7779999999999996</v>
      </c>
      <c r="P332" s="6">
        <v>109</v>
      </c>
      <c r="Q332" s="4" t="s">
        <v>26</v>
      </c>
      <c r="R332" s="4">
        <v>0</v>
      </c>
      <c r="S332" s="4">
        <v>0</v>
      </c>
      <c r="T332" s="4">
        <v>40</v>
      </c>
      <c r="U332" s="4">
        <v>84</v>
      </c>
      <c r="V332" s="6">
        <f>IF(ISERROR(VLOOKUP($S$332,'TAR FIN'!$A$1:$O$115,15,0)),0,VLOOKUP($S$332,'TAR FIN'!$A$1:$O$115,15,0))</f>
        <v>0</v>
      </c>
      <c r="W332" s="6">
        <f>IF(ISERROR(VLOOKUP($T$332,'TAR FIN'!$A$1:$O$115,15,0)),0,VLOOKUP($T$332,'TAR FIN'!$A$1:$O$115,15,0))</f>
        <v>141.44</v>
      </c>
      <c r="X332" s="6">
        <f>IF(ISERROR(VLOOKUP($U$332,'TAR FIN'!$A$1:$O$115,15,0)),0,VLOOKUP($U$332,'TAR FIN'!$A$1:$O$115,15,0))</f>
        <v>61.8</v>
      </c>
      <c r="Y332" s="6"/>
      <c r="Z332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32" s="6">
        <f>('TE BE'!$AB$21+'TE BF'!$AB$21+'TE CVA'!$AB$21)*(1-CUSTOS!$M$34)</f>
        <v>80.738691054204196</v>
      </c>
      <c r="AB332" s="6">
        <f t="shared" si="18"/>
        <v>0</v>
      </c>
      <c r="AC332" s="6">
        <f>(L332-M332)*(W332+X332)+($W$522+$X$522-$W$332-$X$332)*(L332)</f>
        <v>-1803.50388</v>
      </c>
      <c r="AD332" s="6">
        <f t="shared" si="20"/>
        <v>0</v>
      </c>
      <c r="AE332" s="6">
        <f ca="1">(L332-M332)*(Z332+AA332)+($Z$522+$AA$522-$Z$332-$AA$332)*(L332)</f>
        <v>-2021.3632197786903</v>
      </c>
      <c r="AF332" s="4" t="s">
        <v>938</v>
      </c>
    </row>
    <row r="333" spans="1:32" ht="11.25" customHeight="1" x14ac:dyDescent="0.25">
      <c r="A333" s="4" t="s">
        <v>28</v>
      </c>
      <c r="B333" s="4" t="s">
        <v>22</v>
      </c>
      <c r="C333" s="4" t="s">
        <v>23</v>
      </c>
      <c r="D333" s="4" t="s">
        <v>24</v>
      </c>
      <c r="E333" s="4" t="s">
        <v>31</v>
      </c>
      <c r="F333" s="4" t="s">
        <v>25</v>
      </c>
      <c r="G333" s="4" t="s">
        <v>25</v>
      </c>
      <c r="H333" s="4" t="s">
        <v>25</v>
      </c>
      <c r="I333" s="5">
        <v>44531</v>
      </c>
      <c r="J333" s="6">
        <v>0</v>
      </c>
      <c r="K333" s="6">
        <v>0</v>
      </c>
      <c r="L333" s="6">
        <v>580.52</v>
      </c>
      <c r="M333" s="6">
        <v>580.52</v>
      </c>
      <c r="N333" s="6">
        <v>580.52</v>
      </c>
      <c r="O333" s="6">
        <v>580.52</v>
      </c>
      <c r="P333" s="6">
        <v>1686</v>
      </c>
      <c r="Q333" s="4" t="s">
        <v>26</v>
      </c>
      <c r="R333" s="4">
        <v>0</v>
      </c>
      <c r="S333" s="4">
        <v>0</v>
      </c>
      <c r="T333" s="4">
        <v>40</v>
      </c>
      <c r="U333" s="4">
        <v>84</v>
      </c>
      <c r="V333" s="6">
        <f>IF(ISERROR(VLOOKUP($S$333,'TAR FIN'!$A$1:$O$115,15,0)),0,VLOOKUP($S$333,'TAR FIN'!$A$1:$O$115,15,0))</f>
        <v>0</v>
      </c>
      <c r="W333" s="6">
        <f>IF(ISERROR(VLOOKUP($T$333,'TAR FIN'!$A$1:$O$115,15,0)),0,VLOOKUP($T$333,'TAR FIN'!$A$1:$O$115,15,0))</f>
        <v>141.44</v>
      </c>
      <c r="X333" s="6">
        <f>IF(ISERROR(VLOOKUP($U$333,'TAR FIN'!$A$1:$O$115,15,0)),0,VLOOKUP($U$333,'TAR FIN'!$A$1:$O$115,15,0))</f>
        <v>61.8</v>
      </c>
      <c r="Y333" s="6"/>
      <c r="Z333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33" s="6">
        <f>('TE BE'!$AB$21+'TE BF'!$AB$21+'TE CVA'!$AB$21)*(1-CUSTOS!$M$34)</f>
        <v>80.738691054204196</v>
      </c>
      <c r="AB333" s="6">
        <f t="shared" si="18"/>
        <v>0</v>
      </c>
      <c r="AC333" s="6">
        <f>(L333-M333)*(W333+X333)+($W$522+$X$522-$W$333-$X$333)*(L333)</f>
        <v>219123.07920000001</v>
      </c>
      <c r="AD333" s="6">
        <f t="shared" si="20"/>
        <v>0</v>
      </c>
      <c r="AE333" s="6">
        <f ca="1">(L333-M333)*(Z333+AA333)+($Z$522+$AA$522-$Z$333-$AA$333)*(L333)</f>
        <v>245592.66980869096</v>
      </c>
      <c r="AF333" s="4" t="s">
        <v>938</v>
      </c>
    </row>
    <row r="334" spans="1:32" ht="11.25" customHeight="1" x14ac:dyDescent="0.25">
      <c r="A334" s="4" t="s">
        <v>29</v>
      </c>
      <c r="B334" s="4" t="s">
        <v>22</v>
      </c>
      <c r="C334" s="4" t="s">
        <v>23</v>
      </c>
      <c r="D334" s="4" t="s">
        <v>24</v>
      </c>
      <c r="E334" s="4" t="s">
        <v>31</v>
      </c>
      <c r="F334" s="4" t="s">
        <v>25</v>
      </c>
      <c r="G334" s="4" t="s">
        <v>25</v>
      </c>
      <c r="H334" s="4" t="s">
        <v>25</v>
      </c>
      <c r="I334" s="5">
        <v>44531</v>
      </c>
      <c r="J334" s="6">
        <v>0</v>
      </c>
      <c r="K334" s="6">
        <v>0</v>
      </c>
      <c r="L334" s="6">
        <v>2.4940000000000002</v>
      </c>
      <c r="M334" s="6">
        <v>2.4940000000000002</v>
      </c>
      <c r="N334" s="6">
        <v>2.4940000000000002</v>
      </c>
      <c r="O334" s="6">
        <v>2.4940000000000002</v>
      </c>
      <c r="P334" s="6">
        <v>39</v>
      </c>
      <c r="Q334" s="4" t="s">
        <v>26</v>
      </c>
      <c r="R334" s="4">
        <v>0</v>
      </c>
      <c r="S334" s="4">
        <v>0</v>
      </c>
      <c r="T334" s="4">
        <v>40</v>
      </c>
      <c r="U334" s="4">
        <v>84</v>
      </c>
      <c r="V334" s="6">
        <f>IF(ISERROR(VLOOKUP($S$334,'TAR FIN'!$A$1:$O$115,15,0)),0,VLOOKUP($S$334,'TAR FIN'!$A$1:$O$115,15,0))</f>
        <v>0</v>
      </c>
      <c r="W334" s="6">
        <f>IF(ISERROR(VLOOKUP($T$334,'TAR FIN'!$A$1:$O$115,15,0)),0,VLOOKUP($T$334,'TAR FIN'!$A$1:$O$115,15,0))</f>
        <v>141.44</v>
      </c>
      <c r="X334" s="6">
        <f>IF(ISERROR(VLOOKUP($U$334,'TAR FIN'!$A$1:$O$115,15,0)),0,VLOOKUP($U$334,'TAR FIN'!$A$1:$O$115,15,0))</f>
        <v>61.8</v>
      </c>
      <c r="Y334" s="6"/>
      <c r="Z334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34" s="6">
        <f>('TE BE'!$AB$21+'TE BF'!$AB$21+'TE CVA'!$AB$21)*(1-CUSTOS!$M$34)</f>
        <v>80.738691054204196</v>
      </c>
      <c r="AB334" s="6">
        <f t="shared" si="18"/>
        <v>0</v>
      </c>
      <c r="AC334" s="6">
        <f>(L334-M334)*(W334+X334)+($W$522+$X$522-$W$334-$X$334)*(L334)</f>
        <v>941.38524000000018</v>
      </c>
      <c r="AD334" s="6">
        <f t="shared" si="20"/>
        <v>0</v>
      </c>
      <c r="AE334" s="6">
        <f ca="1">(L334-M334)*(Z334+AA334)+($Z$522+$AA$522-$Z$334-$AA$334)*(L334)</f>
        <v>1055.1025261883747</v>
      </c>
      <c r="AF334" s="4" t="s">
        <v>938</v>
      </c>
    </row>
    <row r="335" spans="1:32" ht="11.25" customHeight="1" x14ac:dyDescent="0.25">
      <c r="A335" s="4" t="s">
        <v>30</v>
      </c>
      <c r="B335" s="4" t="s">
        <v>22</v>
      </c>
      <c r="C335" s="4" t="s">
        <v>23</v>
      </c>
      <c r="D335" s="4" t="s">
        <v>24</v>
      </c>
      <c r="E335" s="4" t="s">
        <v>31</v>
      </c>
      <c r="F335" s="4" t="s">
        <v>25</v>
      </c>
      <c r="G335" s="4" t="s">
        <v>25</v>
      </c>
      <c r="H335" s="4" t="s">
        <v>25</v>
      </c>
      <c r="I335" s="5">
        <v>44531</v>
      </c>
      <c r="J335" s="6">
        <v>0</v>
      </c>
      <c r="K335" s="6">
        <v>0</v>
      </c>
      <c r="L335" s="6">
        <v>0.87</v>
      </c>
      <c r="M335" s="6">
        <v>0.87</v>
      </c>
      <c r="N335" s="6">
        <v>0.87</v>
      </c>
      <c r="O335" s="6">
        <v>0.87</v>
      </c>
      <c r="P335" s="6">
        <v>0</v>
      </c>
      <c r="Q335" s="4" t="s">
        <v>26</v>
      </c>
      <c r="R335" s="4">
        <v>0</v>
      </c>
      <c r="S335" s="4">
        <v>0</v>
      </c>
      <c r="T335" s="4">
        <v>40</v>
      </c>
      <c r="U335" s="4">
        <v>84</v>
      </c>
      <c r="V335" s="6">
        <f>IF(ISERROR(VLOOKUP($S$335,'TAR FIN'!$A$1:$O$115,15,0)),0,VLOOKUP($S$335,'TAR FIN'!$A$1:$O$115,15,0))</f>
        <v>0</v>
      </c>
      <c r="W335" s="6">
        <f>IF(ISERROR(VLOOKUP($T$335,'TAR FIN'!$A$1:$O$115,15,0)),0,VLOOKUP($T$335,'TAR FIN'!$A$1:$O$115,15,0))</f>
        <v>141.44</v>
      </c>
      <c r="X335" s="6">
        <f>IF(ISERROR(VLOOKUP($U$335,'TAR FIN'!$A$1:$O$115,15,0)),0,VLOOKUP($U$335,'TAR FIN'!$A$1:$O$115,15,0))</f>
        <v>61.8</v>
      </c>
      <c r="Y335" s="6"/>
      <c r="Z335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35" s="6">
        <f>('TE BE'!$AB$21+'TE BF'!$AB$21+'TE CVA'!$AB$21)*(1-CUSTOS!$M$34)</f>
        <v>80.738691054204196</v>
      </c>
      <c r="AB335" s="6">
        <f t="shared" si="18"/>
        <v>0</v>
      </c>
      <c r="AC335" s="6">
        <f>(L335-M335)*(W335+X335)+($W$522+$X$522-$W$335-$X$335)*(L335)</f>
        <v>328.39020000000005</v>
      </c>
      <c r="AD335" s="6">
        <f t="shared" si="20"/>
        <v>0</v>
      </c>
      <c r="AE335" s="6">
        <f ca="1">(L335-M335)*(Z335+AA335)+($Z$522+$AA$522-$Z$335-$AA$335)*(L335)</f>
        <v>368.05902076338651</v>
      </c>
      <c r="AF335" s="4" t="s">
        <v>938</v>
      </c>
    </row>
    <row r="336" spans="1:32" ht="11.25" customHeight="1" x14ac:dyDescent="0.25">
      <c r="A336" s="4" t="s">
        <v>30</v>
      </c>
      <c r="B336" s="4" t="s">
        <v>22</v>
      </c>
      <c r="C336" s="4" t="s">
        <v>23</v>
      </c>
      <c r="D336" s="4" t="s">
        <v>24</v>
      </c>
      <c r="E336" s="4" t="s">
        <v>31</v>
      </c>
      <c r="F336" s="4" t="s">
        <v>25</v>
      </c>
      <c r="G336" s="4" t="s">
        <v>25</v>
      </c>
      <c r="H336" s="4" t="s">
        <v>25</v>
      </c>
      <c r="I336" s="5">
        <v>44531</v>
      </c>
      <c r="J336" s="6">
        <v>0</v>
      </c>
      <c r="K336" s="6">
        <v>0</v>
      </c>
      <c r="L336" s="6">
        <v>0.33900000000000002</v>
      </c>
      <c r="M336" s="6">
        <v>0.33900000000000002</v>
      </c>
      <c r="N336" s="6">
        <v>0.33900000000000002</v>
      </c>
      <c r="O336" s="6">
        <v>0.33900000000000002</v>
      </c>
      <c r="P336" s="6">
        <v>1</v>
      </c>
      <c r="Q336" s="4" t="s">
        <v>26</v>
      </c>
      <c r="R336" s="4">
        <v>0</v>
      </c>
      <c r="S336" s="4">
        <v>0</v>
      </c>
      <c r="T336" s="4">
        <v>40</v>
      </c>
      <c r="U336" s="4">
        <v>84</v>
      </c>
      <c r="V336" s="6">
        <f>IF(ISERROR(VLOOKUP($S$336,'TAR FIN'!$A$1:$O$115,15,0)),0,VLOOKUP($S$336,'TAR FIN'!$A$1:$O$115,15,0))</f>
        <v>0</v>
      </c>
      <c r="W336" s="6">
        <f>IF(ISERROR(VLOOKUP($T$336,'TAR FIN'!$A$1:$O$115,15,0)),0,VLOOKUP($T$336,'TAR FIN'!$A$1:$O$115,15,0))</f>
        <v>141.44</v>
      </c>
      <c r="X336" s="6">
        <f>IF(ISERROR(VLOOKUP($U$336,'TAR FIN'!$A$1:$O$115,15,0)),0,VLOOKUP($U$336,'TAR FIN'!$A$1:$O$115,15,0))</f>
        <v>61.8</v>
      </c>
      <c r="Y336" s="6"/>
      <c r="Z336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36" s="6">
        <f>('TE BE'!$AB$21+'TE BF'!$AB$21+'TE CVA'!$AB$21)*(1-CUSTOS!$M$34)</f>
        <v>80.738691054204196</v>
      </c>
      <c r="AB336" s="6">
        <f t="shared" si="18"/>
        <v>0</v>
      </c>
      <c r="AC336" s="6">
        <f>(L336-M336)*(W336+X336)+($W$522+$X$522-$W$336-$X$336)*(L336)</f>
        <v>127.95894000000003</v>
      </c>
      <c r="AD336" s="6">
        <f t="shared" si="20"/>
        <v>0</v>
      </c>
      <c r="AE336" s="6">
        <f ca="1">(L336-M336)*(Z336+AA336)+($Z$522+$AA$522-$Z$336-$AA$336)*(L336)</f>
        <v>143.41610119400923</v>
      </c>
      <c r="AF336" s="4" t="s">
        <v>938</v>
      </c>
    </row>
    <row r="337" spans="1:32" ht="11.25" customHeight="1" x14ac:dyDescent="0.25">
      <c r="A337" s="4" t="s">
        <v>21</v>
      </c>
      <c r="B337" s="4" t="s">
        <v>22</v>
      </c>
      <c r="C337" s="4" t="s">
        <v>23</v>
      </c>
      <c r="D337" s="4" t="s">
        <v>24</v>
      </c>
      <c r="E337" s="4" t="s">
        <v>31</v>
      </c>
      <c r="F337" s="4" t="s">
        <v>25</v>
      </c>
      <c r="G337" s="4" t="s">
        <v>25</v>
      </c>
      <c r="H337" s="4" t="s">
        <v>25</v>
      </c>
      <c r="I337" s="5">
        <v>44562</v>
      </c>
      <c r="J337" s="6">
        <v>0</v>
      </c>
      <c r="K337" s="6">
        <v>0</v>
      </c>
      <c r="L337" s="6">
        <v>1094.567</v>
      </c>
      <c r="M337" s="6">
        <v>1094.567</v>
      </c>
      <c r="N337" s="6">
        <v>1094.567</v>
      </c>
      <c r="O337" s="6">
        <v>1094.567</v>
      </c>
      <c r="P337" s="6">
        <v>2408</v>
      </c>
      <c r="Q337" s="4" t="s">
        <v>26</v>
      </c>
      <c r="R337" s="4">
        <v>0</v>
      </c>
      <c r="S337" s="4">
        <v>0</v>
      </c>
      <c r="T337" s="4">
        <v>40</v>
      </c>
      <c r="U337" s="4">
        <v>84</v>
      </c>
      <c r="V337" s="6">
        <f>IF(ISERROR(VLOOKUP($S$337,'TAR FIN'!$A$1:$O$115,15,0)),0,VLOOKUP($S$337,'TAR FIN'!$A$1:$O$115,15,0))</f>
        <v>0</v>
      </c>
      <c r="W337" s="6">
        <f>IF(ISERROR(VLOOKUP($T$337,'TAR FIN'!$A$1:$O$115,15,0)),0,VLOOKUP($T$337,'TAR FIN'!$A$1:$O$115,15,0))</f>
        <v>141.44</v>
      </c>
      <c r="X337" s="6">
        <f>IF(ISERROR(VLOOKUP($U$337,'TAR FIN'!$A$1:$O$115,15,0)),0,VLOOKUP($U$337,'TAR FIN'!$A$1:$O$115,15,0))</f>
        <v>61.8</v>
      </c>
      <c r="Y337" s="6"/>
      <c r="Z337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37" s="6">
        <f>('TE BE'!$AB$21+'TE BF'!$AB$21+'TE CVA'!$AB$21)*(1-CUSTOS!$M$34)</f>
        <v>80.738691054204196</v>
      </c>
      <c r="AB337" s="6">
        <f t="shared" si="18"/>
        <v>0</v>
      </c>
      <c r="AC337" s="6">
        <f>(L337-M337)*(W337+X337)+($W$522+$X$522-$W$337-$X$337)*(L337)</f>
        <v>413155.25982000004</v>
      </c>
      <c r="AD337" s="6">
        <f t="shared" si="20"/>
        <v>0</v>
      </c>
      <c r="AE337" s="6">
        <f ca="1">(L337-M337)*(Z337+AA337)+($Z$522+$AA$522-$Z$337-$AA$337)*(L337)</f>
        <v>463063.51514933066</v>
      </c>
      <c r="AF337" s="4" t="s">
        <v>938</v>
      </c>
    </row>
    <row r="338" spans="1:32" ht="11.25" customHeight="1" x14ac:dyDescent="0.25">
      <c r="A338" s="4" t="s">
        <v>27</v>
      </c>
      <c r="B338" s="4" t="s">
        <v>22</v>
      </c>
      <c r="C338" s="4" t="s">
        <v>23</v>
      </c>
      <c r="D338" s="4" t="s">
        <v>24</v>
      </c>
      <c r="E338" s="4" t="s">
        <v>31</v>
      </c>
      <c r="F338" s="4" t="s">
        <v>25</v>
      </c>
      <c r="G338" s="4" t="s">
        <v>25</v>
      </c>
      <c r="H338" s="4" t="s">
        <v>25</v>
      </c>
      <c r="I338" s="5">
        <v>44562</v>
      </c>
      <c r="J338" s="6">
        <v>0</v>
      </c>
      <c r="K338" s="6">
        <v>0</v>
      </c>
      <c r="L338" s="6">
        <v>25.379000000000001</v>
      </c>
      <c r="M338" s="6">
        <v>25.379000000000001</v>
      </c>
      <c r="N338" s="6">
        <v>25.379000000000001</v>
      </c>
      <c r="O338" s="6">
        <v>25.379000000000001</v>
      </c>
      <c r="P338" s="6">
        <v>165</v>
      </c>
      <c r="Q338" s="4" t="s">
        <v>26</v>
      </c>
      <c r="R338" s="4">
        <v>0</v>
      </c>
      <c r="S338" s="4">
        <v>0</v>
      </c>
      <c r="T338" s="4">
        <v>40</v>
      </c>
      <c r="U338" s="4">
        <v>84</v>
      </c>
      <c r="V338" s="6">
        <f>IF(ISERROR(VLOOKUP($S$338,'TAR FIN'!$A$1:$O$115,15,0)),0,VLOOKUP($S$338,'TAR FIN'!$A$1:$O$115,15,0))</f>
        <v>0</v>
      </c>
      <c r="W338" s="6">
        <f>IF(ISERROR(VLOOKUP($T$338,'TAR FIN'!$A$1:$O$115,15,0)),0,VLOOKUP($T$338,'TAR FIN'!$A$1:$O$115,15,0))</f>
        <v>141.44</v>
      </c>
      <c r="X338" s="6">
        <f>IF(ISERROR(VLOOKUP($U$338,'TAR FIN'!$A$1:$O$115,15,0)),0,VLOOKUP($U$338,'TAR FIN'!$A$1:$O$115,15,0))</f>
        <v>61.8</v>
      </c>
      <c r="Y338" s="6"/>
      <c r="Z338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38" s="6">
        <f>('TE BE'!$AB$21+'TE BF'!$AB$21+'TE CVA'!$AB$21)*(1-CUSTOS!$M$34)</f>
        <v>80.738691054204196</v>
      </c>
      <c r="AB338" s="6">
        <f t="shared" si="18"/>
        <v>0</v>
      </c>
      <c r="AC338" s="6">
        <f>(L338-M338)*(W338+X338)+($W$522+$X$522-$W$338-$X$338)*(L338)</f>
        <v>9579.5573400000012</v>
      </c>
      <c r="AD338" s="6">
        <f t="shared" si="20"/>
        <v>0</v>
      </c>
      <c r="AE338" s="6">
        <f ca="1">(L338-M338)*(Z338+AA338)+($Z$522+$AA$522-$Z$338-$AA$338)*(L338)</f>
        <v>10736.746997648261</v>
      </c>
      <c r="AF338" s="4" t="s">
        <v>938</v>
      </c>
    </row>
    <row r="339" spans="1:32" ht="11.25" customHeight="1" x14ac:dyDescent="0.25">
      <c r="A339" s="4" t="s">
        <v>28</v>
      </c>
      <c r="B339" s="4" t="s">
        <v>22</v>
      </c>
      <c r="C339" s="4" t="s">
        <v>23</v>
      </c>
      <c r="D339" s="4" t="s">
        <v>24</v>
      </c>
      <c r="E339" s="4" t="s">
        <v>31</v>
      </c>
      <c r="F339" s="4" t="s">
        <v>25</v>
      </c>
      <c r="G339" s="4" t="s">
        <v>25</v>
      </c>
      <c r="H339" s="4" t="s">
        <v>25</v>
      </c>
      <c r="I339" s="5">
        <v>44562</v>
      </c>
      <c r="J339" s="6">
        <v>0</v>
      </c>
      <c r="K339" s="6">
        <v>0</v>
      </c>
      <c r="L339" s="6">
        <v>585.21799999999996</v>
      </c>
      <c r="M339" s="6">
        <v>585.21799999999996</v>
      </c>
      <c r="N339" s="6">
        <v>585.21799999999996</v>
      </c>
      <c r="O339" s="6">
        <v>585.21799999999996</v>
      </c>
      <c r="P339" s="6">
        <v>1685</v>
      </c>
      <c r="Q339" s="4" t="s">
        <v>26</v>
      </c>
      <c r="R339" s="4">
        <v>0</v>
      </c>
      <c r="S339" s="4">
        <v>0</v>
      </c>
      <c r="T339" s="4">
        <v>40</v>
      </c>
      <c r="U339" s="4">
        <v>84</v>
      </c>
      <c r="V339" s="6">
        <f>IF(ISERROR(VLOOKUP($S$339,'TAR FIN'!$A$1:$O$115,15,0)),0,VLOOKUP($S$339,'TAR FIN'!$A$1:$O$115,15,0))</f>
        <v>0</v>
      </c>
      <c r="W339" s="6">
        <f>IF(ISERROR(VLOOKUP($T$339,'TAR FIN'!$A$1:$O$115,15,0)),0,VLOOKUP($T$339,'TAR FIN'!$A$1:$O$115,15,0))</f>
        <v>141.44</v>
      </c>
      <c r="X339" s="6">
        <f>IF(ISERROR(VLOOKUP($U$339,'TAR FIN'!$A$1:$O$115,15,0)),0,VLOOKUP($U$339,'TAR FIN'!$A$1:$O$115,15,0))</f>
        <v>61.8</v>
      </c>
      <c r="Y339" s="6"/>
      <c r="Z339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39" s="6">
        <f>('TE BE'!$AB$21+'TE BF'!$AB$21+'TE CVA'!$AB$21)*(1-CUSTOS!$M$34)</f>
        <v>80.738691054204196</v>
      </c>
      <c r="AB339" s="6">
        <f t="shared" si="18"/>
        <v>0</v>
      </c>
      <c r="AC339" s="6">
        <f>(L339-M339)*(W339+X339)+($W$522+$X$522-$W$339-$X$339)*(L339)</f>
        <v>220896.38628000001</v>
      </c>
      <c r="AD339" s="6">
        <f t="shared" si="20"/>
        <v>0</v>
      </c>
      <c r="AE339" s="6">
        <f ca="1">(L339-M339)*(Z339+AA339)+($Z$522+$AA$522-$Z$339-$AA$339)*(L339)</f>
        <v>247580.18852081324</v>
      </c>
      <c r="AF339" s="4" t="s">
        <v>938</v>
      </c>
    </row>
    <row r="340" spans="1:32" ht="11.25" customHeight="1" x14ac:dyDescent="0.25">
      <c r="A340" s="4" t="s">
        <v>29</v>
      </c>
      <c r="B340" s="4" t="s">
        <v>22</v>
      </c>
      <c r="C340" s="4" t="s">
        <v>23</v>
      </c>
      <c r="D340" s="4" t="s">
        <v>24</v>
      </c>
      <c r="E340" s="4" t="s">
        <v>31</v>
      </c>
      <c r="F340" s="4" t="s">
        <v>25</v>
      </c>
      <c r="G340" s="4" t="s">
        <v>25</v>
      </c>
      <c r="H340" s="4" t="s">
        <v>25</v>
      </c>
      <c r="I340" s="5">
        <v>44562</v>
      </c>
      <c r="J340" s="6">
        <v>0</v>
      </c>
      <c r="K340" s="6">
        <v>0</v>
      </c>
      <c r="L340" s="6">
        <v>4.0890000000000004</v>
      </c>
      <c r="M340" s="6">
        <v>4.0890000000000004</v>
      </c>
      <c r="N340" s="6">
        <v>4.0890000000000004</v>
      </c>
      <c r="O340" s="6">
        <v>4.0890000000000004</v>
      </c>
      <c r="P340" s="6">
        <v>46</v>
      </c>
      <c r="Q340" s="4" t="s">
        <v>26</v>
      </c>
      <c r="R340" s="4">
        <v>0</v>
      </c>
      <c r="S340" s="4">
        <v>0</v>
      </c>
      <c r="T340" s="4">
        <v>40</v>
      </c>
      <c r="U340" s="4">
        <v>84</v>
      </c>
      <c r="V340" s="6">
        <f>IF(ISERROR(VLOOKUP($S$340,'TAR FIN'!$A$1:$O$115,15,0)),0,VLOOKUP($S$340,'TAR FIN'!$A$1:$O$115,15,0))</f>
        <v>0</v>
      </c>
      <c r="W340" s="6">
        <f>IF(ISERROR(VLOOKUP($T$340,'TAR FIN'!$A$1:$O$115,15,0)),0,VLOOKUP($T$340,'TAR FIN'!$A$1:$O$115,15,0))</f>
        <v>141.44</v>
      </c>
      <c r="X340" s="6">
        <f>IF(ISERROR(VLOOKUP($U$340,'TAR FIN'!$A$1:$O$115,15,0)),0,VLOOKUP($U$340,'TAR FIN'!$A$1:$O$115,15,0))</f>
        <v>61.8</v>
      </c>
      <c r="Y340" s="6"/>
      <c r="Z340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40" s="6">
        <f>('TE BE'!$AB$21+'TE BF'!$AB$21+'TE CVA'!$AB$21)*(1-CUSTOS!$M$34)</f>
        <v>80.738691054204196</v>
      </c>
      <c r="AB340" s="6">
        <f t="shared" si="18"/>
        <v>0</v>
      </c>
      <c r="AC340" s="6">
        <f>(L340-M340)*(W340+X340)+($W$522+$X$522-$W$340-$X$340)*(L340)</f>
        <v>1543.4339400000003</v>
      </c>
      <c r="AD340" s="6">
        <f t="shared" si="20"/>
        <v>0</v>
      </c>
      <c r="AE340" s="6">
        <f ca="1">(L340-M340)*(Z340+AA340)+($Z$522+$AA$522-$Z$340-$AA$340)*(L340)</f>
        <v>1729.8773975879167</v>
      </c>
      <c r="AF340" s="4" t="s">
        <v>938</v>
      </c>
    </row>
    <row r="341" spans="1:32" ht="11.25" customHeight="1" x14ac:dyDescent="0.25">
      <c r="A341" s="4" t="s">
        <v>30</v>
      </c>
      <c r="B341" s="4" t="s">
        <v>22</v>
      </c>
      <c r="C341" s="4" t="s">
        <v>23</v>
      </c>
      <c r="D341" s="4" t="s">
        <v>24</v>
      </c>
      <c r="E341" s="4" t="s">
        <v>31</v>
      </c>
      <c r="F341" s="4" t="s">
        <v>25</v>
      </c>
      <c r="G341" s="4" t="s">
        <v>25</v>
      </c>
      <c r="H341" s="4" t="s">
        <v>25</v>
      </c>
      <c r="I341" s="5">
        <v>44562</v>
      </c>
      <c r="J341" s="6">
        <v>0</v>
      </c>
      <c r="K341" s="6">
        <v>0</v>
      </c>
      <c r="L341" s="6">
        <v>1.02</v>
      </c>
      <c r="M341" s="6">
        <v>1.02</v>
      </c>
      <c r="N341" s="6">
        <v>1.02</v>
      </c>
      <c r="O341" s="6">
        <v>1.02</v>
      </c>
      <c r="P341" s="6">
        <v>0</v>
      </c>
      <c r="Q341" s="4" t="s">
        <v>26</v>
      </c>
      <c r="R341" s="4">
        <v>0</v>
      </c>
      <c r="S341" s="4">
        <v>0</v>
      </c>
      <c r="T341" s="4">
        <v>40</v>
      </c>
      <c r="U341" s="4">
        <v>84</v>
      </c>
      <c r="V341" s="6">
        <f>IF(ISERROR(VLOOKUP($S$341,'TAR FIN'!$A$1:$O$115,15,0)),0,VLOOKUP($S$341,'TAR FIN'!$A$1:$O$115,15,0))</f>
        <v>0</v>
      </c>
      <c r="W341" s="6">
        <f>IF(ISERROR(VLOOKUP($T$341,'TAR FIN'!$A$1:$O$115,15,0)),0,VLOOKUP($T$341,'TAR FIN'!$A$1:$O$115,15,0))</f>
        <v>141.44</v>
      </c>
      <c r="X341" s="6">
        <f>IF(ISERROR(VLOOKUP($U$341,'TAR FIN'!$A$1:$O$115,15,0)),0,VLOOKUP($U$341,'TAR FIN'!$A$1:$O$115,15,0))</f>
        <v>61.8</v>
      </c>
      <c r="Y341" s="6"/>
      <c r="Z341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41" s="6">
        <f>('TE BE'!$AB$21+'TE BF'!$AB$21+'TE CVA'!$AB$21)*(1-CUSTOS!$M$34)</f>
        <v>80.738691054204196</v>
      </c>
      <c r="AB341" s="6">
        <f t="shared" si="18"/>
        <v>0</v>
      </c>
      <c r="AC341" s="6">
        <f>(L341-M341)*(W341+X341)+($W$522+$X$522-$W$341-$X$341)*(L341)</f>
        <v>385.00920000000002</v>
      </c>
      <c r="AD341" s="6">
        <f t="shared" si="20"/>
        <v>0</v>
      </c>
      <c r="AE341" s="6">
        <f ca="1">(L341-M341)*(Z341+AA341)+($Z$522+$AA$522-$Z$341-$AA$341)*(L341)</f>
        <v>431.51747261914284</v>
      </c>
      <c r="AF341" s="4" t="s">
        <v>938</v>
      </c>
    </row>
    <row r="342" spans="1:32" ht="11.25" customHeight="1" x14ac:dyDescent="0.25">
      <c r="A342" s="4" t="s">
        <v>30</v>
      </c>
      <c r="B342" s="4" t="s">
        <v>22</v>
      </c>
      <c r="C342" s="4" t="s">
        <v>23</v>
      </c>
      <c r="D342" s="4" t="s">
        <v>24</v>
      </c>
      <c r="E342" s="4" t="s">
        <v>31</v>
      </c>
      <c r="F342" s="4" t="s">
        <v>25</v>
      </c>
      <c r="G342" s="4" t="s">
        <v>25</v>
      </c>
      <c r="H342" s="4" t="s">
        <v>25</v>
      </c>
      <c r="I342" s="5">
        <v>44562</v>
      </c>
      <c r="J342" s="6">
        <v>0</v>
      </c>
      <c r="K342" s="6">
        <v>0</v>
      </c>
      <c r="L342" s="6">
        <v>0.20200000000000001</v>
      </c>
      <c r="M342" s="6">
        <v>0.20200000000000001</v>
      </c>
      <c r="N342" s="6">
        <v>0.20200000000000001</v>
      </c>
      <c r="O342" s="6">
        <v>0.20200000000000001</v>
      </c>
      <c r="P342" s="6">
        <v>1</v>
      </c>
      <c r="Q342" s="4" t="s">
        <v>26</v>
      </c>
      <c r="R342" s="4">
        <v>0</v>
      </c>
      <c r="S342" s="4">
        <v>0</v>
      </c>
      <c r="T342" s="4">
        <v>40</v>
      </c>
      <c r="U342" s="4">
        <v>84</v>
      </c>
      <c r="V342" s="6">
        <f>IF(ISERROR(VLOOKUP($S$342,'TAR FIN'!$A$1:$O$115,15,0)),0,VLOOKUP($S$342,'TAR FIN'!$A$1:$O$115,15,0))</f>
        <v>0</v>
      </c>
      <c r="W342" s="6">
        <f>IF(ISERROR(VLOOKUP($T$342,'TAR FIN'!$A$1:$O$115,15,0)),0,VLOOKUP($T$342,'TAR FIN'!$A$1:$O$115,15,0))</f>
        <v>141.44</v>
      </c>
      <c r="X342" s="6">
        <f>IF(ISERROR(VLOOKUP($U$342,'TAR FIN'!$A$1:$O$115,15,0)),0,VLOOKUP($U$342,'TAR FIN'!$A$1:$O$115,15,0))</f>
        <v>61.8</v>
      </c>
      <c r="Y342" s="6"/>
      <c r="Z342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42" s="6">
        <f>('TE BE'!$AB$21+'TE BF'!$AB$21+'TE CVA'!$AB$21)*(1-CUSTOS!$M$34)</f>
        <v>80.738691054204196</v>
      </c>
      <c r="AB342" s="6">
        <f t="shared" si="18"/>
        <v>0</v>
      </c>
      <c r="AC342" s="6">
        <f>(L342-M342)*(W342+X342)+($W$522+$X$522-$W$342-$X$342)*(L342)</f>
        <v>76.246920000000017</v>
      </c>
      <c r="AD342" s="6">
        <f t="shared" si="20"/>
        <v>0</v>
      </c>
      <c r="AE342" s="6">
        <f ca="1">(L342-M342)*(Z342+AA342)+($Z$522+$AA$522-$Z$342-$AA$342)*(L342)</f>
        <v>85.457381832418477</v>
      </c>
      <c r="AF342" s="4" t="s">
        <v>938</v>
      </c>
    </row>
    <row r="343" spans="1:32" ht="11.25" customHeight="1" x14ac:dyDescent="0.25">
      <c r="A343" s="4" t="s">
        <v>21</v>
      </c>
      <c r="B343" s="4" t="s">
        <v>22</v>
      </c>
      <c r="C343" s="4" t="s">
        <v>23</v>
      </c>
      <c r="D343" s="4" t="s">
        <v>24</v>
      </c>
      <c r="E343" s="4" t="s">
        <v>31</v>
      </c>
      <c r="F343" s="4" t="s">
        <v>25</v>
      </c>
      <c r="G343" s="4" t="s">
        <v>25</v>
      </c>
      <c r="H343" s="4" t="s">
        <v>25</v>
      </c>
      <c r="I343" s="5">
        <v>44593</v>
      </c>
      <c r="J343" s="6">
        <v>0</v>
      </c>
      <c r="K343" s="6">
        <v>0</v>
      </c>
      <c r="L343" s="6">
        <v>1200.49</v>
      </c>
      <c r="M343" s="6">
        <v>1200.49</v>
      </c>
      <c r="N343" s="6">
        <v>1200.49</v>
      </c>
      <c r="O343" s="6">
        <v>1200.49</v>
      </c>
      <c r="P343" s="6">
        <v>2787</v>
      </c>
      <c r="Q343" s="4" t="s">
        <v>26</v>
      </c>
      <c r="R343" s="4">
        <v>0</v>
      </c>
      <c r="S343" s="4">
        <v>0</v>
      </c>
      <c r="T343" s="4">
        <v>40</v>
      </c>
      <c r="U343" s="4">
        <v>84</v>
      </c>
      <c r="V343" s="6">
        <f>IF(ISERROR(VLOOKUP($S$343,'TAR FIN'!$A$1:$O$115,15,0)),0,VLOOKUP($S$343,'TAR FIN'!$A$1:$O$115,15,0))</f>
        <v>0</v>
      </c>
      <c r="W343" s="6">
        <f>IF(ISERROR(VLOOKUP($T$343,'TAR FIN'!$A$1:$O$115,15,0)),0,VLOOKUP($T$343,'TAR FIN'!$A$1:$O$115,15,0))</f>
        <v>141.44</v>
      </c>
      <c r="X343" s="6">
        <f>IF(ISERROR(VLOOKUP($U$343,'TAR FIN'!$A$1:$O$115,15,0)),0,VLOOKUP($U$343,'TAR FIN'!$A$1:$O$115,15,0))</f>
        <v>61.8</v>
      </c>
      <c r="Y343" s="6"/>
      <c r="Z343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43" s="6">
        <f>('TE BE'!$AB$21+'TE BF'!$AB$21+'TE CVA'!$AB$21)*(1-CUSTOS!$M$34)</f>
        <v>80.738691054204196</v>
      </c>
      <c r="AB343" s="6">
        <f t="shared" si="18"/>
        <v>0</v>
      </c>
      <c r="AC343" s="6">
        <f>(L343-M343)*(W343+X343)+($W$522+$X$522-$W$343-$X$343)*(L343)</f>
        <v>453136.95540000004</v>
      </c>
      <c r="AD343" s="6">
        <f t="shared" si="20"/>
        <v>0</v>
      </c>
      <c r="AE343" s="6">
        <f ca="1">(L343-M343)*(Z343+AA343)+($Z$522+$AA$522-$Z$343-$AA$343)*(L343)</f>
        <v>507874.91245544585</v>
      </c>
      <c r="AF343" s="4" t="s">
        <v>938</v>
      </c>
    </row>
    <row r="344" spans="1:32" ht="11.25" customHeight="1" x14ac:dyDescent="0.25">
      <c r="A344" s="4" t="s">
        <v>27</v>
      </c>
      <c r="B344" s="4" t="s">
        <v>22</v>
      </c>
      <c r="C344" s="4" t="s">
        <v>23</v>
      </c>
      <c r="D344" s="4" t="s">
        <v>24</v>
      </c>
      <c r="E344" s="4" t="s">
        <v>31</v>
      </c>
      <c r="F344" s="4" t="s">
        <v>25</v>
      </c>
      <c r="G344" s="4" t="s">
        <v>25</v>
      </c>
      <c r="H344" s="4" t="s">
        <v>25</v>
      </c>
      <c r="I344" s="5">
        <v>44593</v>
      </c>
      <c r="J344" s="6">
        <v>0</v>
      </c>
      <c r="K344" s="6">
        <v>0</v>
      </c>
      <c r="L344" s="6">
        <v>0.39100000000000001</v>
      </c>
      <c r="M344" s="6">
        <v>0.39100000000000001</v>
      </c>
      <c r="N344" s="6">
        <v>0.39100000000000001</v>
      </c>
      <c r="O344" s="6">
        <v>0.39100000000000001</v>
      </c>
      <c r="P344" s="6">
        <v>56</v>
      </c>
      <c r="Q344" s="4" t="s">
        <v>26</v>
      </c>
      <c r="R344" s="4">
        <v>0</v>
      </c>
      <c r="S344" s="4">
        <v>0</v>
      </c>
      <c r="T344" s="4">
        <v>40</v>
      </c>
      <c r="U344" s="4">
        <v>84</v>
      </c>
      <c r="V344" s="6">
        <f>IF(ISERROR(VLOOKUP($S$344,'TAR FIN'!$A$1:$O$115,15,0)),0,VLOOKUP($S$344,'TAR FIN'!$A$1:$O$115,15,0))</f>
        <v>0</v>
      </c>
      <c r="W344" s="6">
        <f>IF(ISERROR(VLOOKUP($T$344,'TAR FIN'!$A$1:$O$115,15,0)),0,VLOOKUP($T$344,'TAR FIN'!$A$1:$O$115,15,0))</f>
        <v>141.44</v>
      </c>
      <c r="X344" s="6">
        <f>IF(ISERROR(VLOOKUP($U$344,'TAR FIN'!$A$1:$O$115,15,0)),0,VLOOKUP($U$344,'TAR FIN'!$A$1:$O$115,15,0))</f>
        <v>61.8</v>
      </c>
      <c r="Y344" s="6"/>
      <c r="Z344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44" s="6">
        <f>('TE BE'!$AB$21+'TE BF'!$AB$21+'TE CVA'!$AB$21)*(1-CUSTOS!$M$34)</f>
        <v>80.738691054204196</v>
      </c>
      <c r="AB344" s="6">
        <f t="shared" si="18"/>
        <v>0</v>
      </c>
      <c r="AC344" s="6">
        <f>(L344-M344)*(W344+X344)+($W$522+$X$522-$W$344-$X$344)*(L344)</f>
        <v>147.58686000000003</v>
      </c>
      <c r="AD344" s="6">
        <f t="shared" si="20"/>
        <v>0</v>
      </c>
      <c r="AE344" s="6">
        <f ca="1">(L344-M344)*(Z344+AA344)+($Z$522+$AA$522-$Z$344-$AA$344)*(L344)</f>
        <v>165.41503117067143</v>
      </c>
      <c r="AF344" s="4" t="s">
        <v>938</v>
      </c>
    </row>
    <row r="345" spans="1:32" ht="11.25" customHeight="1" x14ac:dyDescent="0.25">
      <c r="A345" s="4" t="s">
        <v>28</v>
      </c>
      <c r="B345" s="4" t="s">
        <v>22</v>
      </c>
      <c r="C345" s="4" t="s">
        <v>23</v>
      </c>
      <c r="D345" s="4" t="s">
        <v>24</v>
      </c>
      <c r="E345" s="4" t="s">
        <v>31</v>
      </c>
      <c r="F345" s="4" t="s">
        <v>25</v>
      </c>
      <c r="G345" s="4" t="s">
        <v>25</v>
      </c>
      <c r="H345" s="4" t="s">
        <v>25</v>
      </c>
      <c r="I345" s="5">
        <v>44593</v>
      </c>
      <c r="J345" s="6">
        <v>0</v>
      </c>
      <c r="K345" s="6">
        <v>0</v>
      </c>
      <c r="L345" s="6">
        <v>609.83699999999999</v>
      </c>
      <c r="M345" s="6">
        <v>609.83699999999999</v>
      </c>
      <c r="N345" s="6">
        <v>609.83699999999999</v>
      </c>
      <c r="O345" s="6">
        <v>609.83699999999999</v>
      </c>
      <c r="P345" s="6">
        <v>1822</v>
      </c>
      <c r="Q345" s="4" t="s">
        <v>26</v>
      </c>
      <c r="R345" s="4">
        <v>0</v>
      </c>
      <c r="S345" s="4">
        <v>0</v>
      </c>
      <c r="T345" s="4">
        <v>40</v>
      </c>
      <c r="U345" s="4">
        <v>84</v>
      </c>
      <c r="V345" s="6">
        <f>IF(ISERROR(VLOOKUP($S$345,'TAR FIN'!$A$1:$O$115,15,0)),0,VLOOKUP($S$345,'TAR FIN'!$A$1:$O$115,15,0))</f>
        <v>0</v>
      </c>
      <c r="W345" s="6">
        <f>IF(ISERROR(VLOOKUP($T$345,'TAR FIN'!$A$1:$O$115,15,0)),0,VLOOKUP($T$345,'TAR FIN'!$A$1:$O$115,15,0))</f>
        <v>141.44</v>
      </c>
      <c r="X345" s="6">
        <f>IF(ISERROR(VLOOKUP($U$345,'TAR FIN'!$A$1:$O$115,15,0)),0,VLOOKUP($U$345,'TAR FIN'!$A$1:$O$115,15,0))</f>
        <v>61.8</v>
      </c>
      <c r="Y345" s="6"/>
      <c r="Z345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45" s="6">
        <f>('TE BE'!$AB$21+'TE BF'!$AB$21+'TE CVA'!$AB$21)*(1-CUSTOS!$M$34)</f>
        <v>80.738691054204196</v>
      </c>
      <c r="AB345" s="6">
        <f t="shared" si="18"/>
        <v>0</v>
      </c>
      <c r="AC345" s="6">
        <f>(L345-M345)*(W345+X345)+($W$522+$X$522-$W$345-$X$345)*(L345)</f>
        <v>230189.07402000003</v>
      </c>
      <c r="AD345" s="6">
        <f t="shared" si="20"/>
        <v>0</v>
      </c>
      <c r="AE345" s="6">
        <f ca="1">(L345-M345)*(Z345+AA345)+($Z$522+$AA$522-$Z$345-$AA$345)*(L345)</f>
        <v>257995.41269572568</v>
      </c>
      <c r="AF345" s="4" t="s">
        <v>938</v>
      </c>
    </row>
    <row r="346" spans="1:32" ht="11.25" customHeight="1" x14ac:dyDescent="0.25">
      <c r="A346" s="4" t="s">
        <v>29</v>
      </c>
      <c r="B346" s="4" t="s">
        <v>22</v>
      </c>
      <c r="C346" s="4" t="s">
        <v>23</v>
      </c>
      <c r="D346" s="4" t="s">
        <v>24</v>
      </c>
      <c r="E346" s="4" t="s">
        <v>31</v>
      </c>
      <c r="F346" s="4" t="s">
        <v>25</v>
      </c>
      <c r="G346" s="4" t="s">
        <v>25</v>
      </c>
      <c r="H346" s="4" t="s">
        <v>25</v>
      </c>
      <c r="I346" s="5">
        <v>44593</v>
      </c>
      <c r="J346" s="6">
        <v>0</v>
      </c>
      <c r="K346" s="6">
        <v>0</v>
      </c>
      <c r="L346" s="6">
        <v>-0.86899999999999999</v>
      </c>
      <c r="M346" s="6">
        <v>-0.86899999999999999</v>
      </c>
      <c r="N346" s="6">
        <v>-0.86899999999999999</v>
      </c>
      <c r="O346" s="6">
        <v>-0.86899999999999999</v>
      </c>
      <c r="P346" s="6">
        <v>8</v>
      </c>
      <c r="Q346" s="4" t="s">
        <v>26</v>
      </c>
      <c r="R346" s="4">
        <v>0</v>
      </c>
      <c r="S346" s="4">
        <v>0</v>
      </c>
      <c r="T346" s="4">
        <v>40</v>
      </c>
      <c r="U346" s="4">
        <v>84</v>
      </c>
      <c r="V346" s="6">
        <f>IF(ISERROR(VLOOKUP($S$346,'TAR FIN'!$A$1:$O$115,15,0)),0,VLOOKUP($S$346,'TAR FIN'!$A$1:$O$115,15,0))</f>
        <v>0</v>
      </c>
      <c r="W346" s="6">
        <f>IF(ISERROR(VLOOKUP($T$346,'TAR FIN'!$A$1:$O$115,15,0)),0,VLOOKUP($T$346,'TAR FIN'!$A$1:$O$115,15,0))</f>
        <v>141.44</v>
      </c>
      <c r="X346" s="6">
        <f>IF(ISERROR(VLOOKUP($U$346,'TAR FIN'!$A$1:$O$115,15,0)),0,VLOOKUP($U$346,'TAR FIN'!$A$1:$O$115,15,0))</f>
        <v>61.8</v>
      </c>
      <c r="Y346" s="6"/>
      <c r="Z346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46" s="6">
        <f>('TE BE'!$AB$21+'TE BF'!$AB$21+'TE CVA'!$AB$21)*(1-CUSTOS!$M$34)</f>
        <v>80.738691054204196</v>
      </c>
      <c r="AB346" s="6">
        <f t="shared" si="18"/>
        <v>0</v>
      </c>
      <c r="AC346" s="6">
        <f>(L346-M346)*(W346+X346)+($W$522+$X$522-$W$346-$X$346)*(L346)</f>
        <v>-328.01274000000001</v>
      </c>
      <c r="AD346" s="6">
        <f t="shared" si="20"/>
        <v>0</v>
      </c>
      <c r="AE346" s="6">
        <f ca="1">(L346-M346)*(Z346+AA346)+($Z$522+$AA$522-$Z$346-$AA$346)*(L346)</f>
        <v>-367.63596441768146</v>
      </c>
      <c r="AF346" s="4" t="s">
        <v>938</v>
      </c>
    </row>
    <row r="347" spans="1:32" ht="11.25" customHeight="1" x14ac:dyDescent="0.25">
      <c r="A347" s="4" t="s">
        <v>30</v>
      </c>
      <c r="B347" s="4" t="s">
        <v>22</v>
      </c>
      <c r="C347" s="4" t="s">
        <v>23</v>
      </c>
      <c r="D347" s="4" t="s">
        <v>24</v>
      </c>
      <c r="E347" s="4" t="s">
        <v>31</v>
      </c>
      <c r="F347" s="4" t="s">
        <v>25</v>
      </c>
      <c r="G347" s="4" t="s">
        <v>25</v>
      </c>
      <c r="H347" s="4" t="s">
        <v>25</v>
      </c>
      <c r="I347" s="5">
        <v>44593</v>
      </c>
      <c r="J347" s="6">
        <v>0</v>
      </c>
      <c r="K347" s="6">
        <v>0</v>
      </c>
      <c r="L347" s="6">
        <v>1.17</v>
      </c>
      <c r="M347" s="6">
        <v>1.17</v>
      </c>
      <c r="N347" s="6">
        <v>1.17</v>
      </c>
      <c r="O347" s="6">
        <v>1.17</v>
      </c>
      <c r="P347" s="6">
        <v>0</v>
      </c>
      <c r="Q347" s="4" t="s">
        <v>26</v>
      </c>
      <c r="R347" s="4">
        <v>0</v>
      </c>
      <c r="S347" s="4">
        <v>0</v>
      </c>
      <c r="T347" s="4">
        <v>40</v>
      </c>
      <c r="U347" s="4">
        <v>84</v>
      </c>
      <c r="V347" s="6">
        <f>IF(ISERROR(VLOOKUP($S$347,'TAR FIN'!$A$1:$O$115,15,0)),0,VLOOKUP($S$347,'TAR FIN'!$A$1:$O$115,15,0))</f>
        <v>0</v>
      </c>
      <c r="W347" s="6">
        <f>IF(ISERROR(VLOOKUP($T$347,'TAR FIN'!$A$1:$O$115,15,0)),0,VLOOKUP($T$347,'TAR FIN'!$A$1:$O$115,15,0))</f>
        <v>141.44</v>
      </c>
      <c r="X347" s="6">
        <f>IF(ISERROR(VLOOKUP($U$347,'TAR FIN'!$A$1:$O$115,15,0)),0,VLOOKUP($U$347,'TAR FIN'!$A$1:$O$115,15,0))</f>
        <v>61.8</v>
      </c>
      <c r="Y347" s="6"/>
      <c r="Z347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47" s="6">
        <f>('TE BE'!$AB$21+'TE BF'!$AB$21+'TE CVA'!$AB$21)*(1-CUSTOS!$M$34)</f>
        <v>80.738691054204196</v>
      </c>
      <c r="AB347" s="6">
        <f t="shared" si="18"/>
        <v>0</v>
      </c>
      <c r="AC347" s="6">
        <f>(L347-M347)*(W347+X347)+($W$522+$X$522-$W$347-$X$347)*(L347)</f>
        <v>441.62819999999999</v>
      </c>
      <c r="AD347" s="6">
        <f t="shared" si="20"/>
        <v>0</v>
      </c>
      <c r="AE347" s="6">
        <f ca="1">(L347-M347)*(Z347+AA347)+($Z$522+$AA$522-$Z$347-$AA$347)*(L347)</f>
        <v>494.97592447489905</v>
      </c>
      <c r="AF347" s="4" t="s">
        <v>938</v>
      </c>
    </row>
    <row r="348" spans="1:32" ht="11.25" customHeight="1" x14ac:dyDescent="0.25">
      <c r="A348" s="4" t="s">
        <v>30</v>
      </c>
      <c r="B348" s="4" t="s">
        <v>22</v>
      </c>
      <c r="C348" s="4" t="s">
        <v>23</v>
      </c>
      <c r="D348" s="4" t="s">
        <v>24</v>
      </c>
      <c r="E348" s="4" t="s">
        <v>31</v>
      </c>
      <c r="F348" s="4" t="s">
        <v>25</v>
      </c>
      <c r="G348" s="4" t="s">
        <v>25</v>
      </c>
      <c r="H348" s="4" t="s">
        <v>25</v>
      </c>
      <c r="I348" s="5">
        <v>44593</v>
      </c>
      <c r="J348" s="6">
        <v>0</v>
      </c>
      <c r="K348" s="6">
        <v>0</v>
      </c>
      <c r="L348" s="6">
        <v>0.24099999999999999</v>
      </c>
      <c r="M348" s="6">
        <v>0.24099999999999999</v>
      </c>
      <c r="N348" s="6">
        <v>0.24099999999999999</v>
      </c>
      <c r="O348" s="6">
        <v>0.24099999999999999</v>
      </c>
      <c r="P348" s="6">
        <v>1</v>
      </c>
      <c r="Q348" s="4" t="s">
        <v>26</v>
      </c>
      <c r="R348" s="4">
        <v>0</v>
      </c>
      <c r="S348" s="4">
        <v>0</v>
      </c>
      <c r="T348" s="4">
        <v>40</v>
      </c>
      <c r="U348" s="4">
        <v>84</v>
      </c>
      <c r="V348" s="6">
        <f>IF(ISERROR(VLOOKUP($S$348,'TAR FIN'!$A$1:$O$115,15,0)),0,VLOOKUP($S$348,'TAR FIN'!$A$1:$O$115,15,0))</f>
        <v>0</v>
      </c>
      <c r="W348" s="6">
        <f>IF(ISERROR(VLOOKUP($T$348,'TAR FIN'!$A$1:$O$115,15,0)),0,VLOOKUP($T$348,'TAR FIN'!$A$1:$O$115,15,0))</f>
        <v>141.44</v>
      </c>
      <c r="X348" s="6">
        <f>IF(ISERROR(VLOOKUP($U$348,'TAR FIN'!$A$1:$O$115,15,0)),0,VLOOKUP($U$348,'TAR FIN'!$A$1:$O$115,15,0))</f>
        <v>61.8</v>
      </c>
      <c r="Y348" s="6"/>
      <c r="Z348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48" s="6">
        <f>('TE BE'!$AB$21+'TE BF'!$AB$21+'TE CVA'!$AB$21)*(1-CUSTOS!$M$34)</f>
        <v>80.738691054204196</v>
      </c>
      <c r="AB348" s="6">
        <f t="shared" si="18"/>
        <v>0</v>
      </c>
      <c r="AC348" s="6">
        <f>(L348-M348)*(W348+X348)+($W$522+$X$522-$W$348-$X$348)*(L348)</f>
        <v>90.967860000000002</v>
      </c>
      <c r="AD348" s="6">
        <f t="shared" si="20"/>
        <v>0</v>
      </c>
      <c r="AE348" s="6">
        <f ca="1">(L348-M348)*(Z348+AA348)+($Z$522+$AA$522-$Z$348-$AA$348)*(L348)</f>
        <v>101.9565793149151</v>
      </c>
      <c r="AF348" s="4" t="s">
        <v>938</v>
      </c>
    </row>
    <row r="349" spans="1:32" ht="11.25" customHeight="1" x14ac:dyDescent="0.25">
      <c r="A349" s="4" t="s">
        <v>21</v>
      </c>
      <c r="B349" s="4" t="s">
        <v>22</v>
      </c>
      <c r="C349" s="4" t="s">
        <v>23</v>
      </c>
      <c r="D349" s="4" t="s">
        <v>24</v>
      </c>
      <c r="E349" s="4" t="s">
        <v>31</v>
      </c>
      <c r="F349" s="4" t="s">
        <v>25</v>
      </c>
      <c r="G349" s="4" t="s">
        <v>25</v>
      </c>
      <c r="H349" s="4" t="s">
        <v>25</v>
      </c>
      <c r="I349" s="5">
        <v>44621</v>
      </c>
      <c r="J349" s="6">
        <v>0</v>
      </c>
      <c r="K349" s="6">
        <v>0</v>
      </c>
      <c r="L349" s="6">
        <v>1246.335</v>
      </c>
      <c r="M349" s="6">
        <v>1246.335</v>
      </c>
      <c r="N349" s="6">
        <v>1246.335</v>
      </c>
      <c r="O349" s="6">
        <v>1246.335</v>
      </c>
      <c r="P349" s="6">
        <v>2714</v>
      </c>
      <c r="Q349" s="4" t="s">
        <v>26</v>
      </c>
      <c r="R349" s="4">
        <v>0</v>
      </c>
      <c r="S349" s="4">
        <v>0</v>
      </c>
      <c r="T349" s="4">
        <v>40</v>
      </c>
      <c r="U349" s="4">
        <v>84</v>
      </c>
      <c r="V349" s="6">
        <f>IF(ISERROR(VLOOKUP($S$349,'TAR FIN'!$A$1:$O$115,15,0)),0,VLOOKUP($S$349,'TAR FIN'!$A$1:$O$115,15,0))</f>
        <v>0</v>
      </c>
      <c r="W349" s="6">
        <f>IF(ISERROR(VLOOKUP($T$349,'TAR FIN'!$A$1:$O$115,15,0)),0,VLOOKUP($T$349,'TAR FIN'!$A$1:$O$115,15,0))</f>
        <v>141.44</v>
      </c>
      <c r="X349" s="6">
        <f>IF(ISERROR(VLOOKUP($U$349,'TAR FIN'!$A$1:$O$115,15,0)),0,VLOOKUP($U$349,'TAR FIN'!$A$1:$O$115,15,0))</f>
        <v>61.8</v>
      </c>
      <c r="Y349" s="6"/>
      <c r="Z349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49" s="6">
        <f>('TE BE'!$AB$21+'TE BF'!$AB$21+'TE CVA'!$AB$21)*(1-CUSTOS!$M$34)</f>
        <v>80.738691054204196</v>
      </c>
      <c r="AB349" s="6">
        <f t="shared" si="18"/>
        <v>0</v>
      </c>
      <c r="AC349" s="6">
        <f>(L349-M349)*(W349+X349)+($W$522+$X$522-$W$349-$X$349)*(L349)</f>
        <v>470441.60910000006</v>
      </c>
      <c r="AD349" s="6">
        <f t="shared" si="20"/>
        <v>0</v>
      </c>
      <c r="AE349" s="6">
        <f ca="1">(L349-M349)*(Z349+AA349)+($Z$522+$AA$522-$Z$349-$AA$349)*(L349)</f>
        <v>527269.93062429351</v>
      </c>
      <c r="AF349" s="4" t="s">
        <v>938</v>
      </c>
    </row>
    <row r="350" spans="1:32" ht="11.25" customHeight="1" x14ac:dyDescent="0.25">
      <c r="A350" s="4" t="s">
        <v>27</v>
      </c>
      <c r="B350" s="4" t="s">
        <v>22</v>
      </c>
      <c r="C350" s="4" t="s">
        <v>23</v>
      </c>
      <c r="D350" s="4" t="s">
        <v>24</v>
      </c>
      <c r="E350" s="4" t="s">
        <v>31</v>
      </c>
      <c r="F350" s="4" t="s">
        <v>25</v>
      </c>
      <c r="G350" s="4" t="s">
        <v>25</v>
      </c>
      <c r="H350" s="4" t="s">
        <v>25</v>
      </c>
      <c r="I350" s="5">
        <v>44621</v>
      </c>
      <c r="J350" s="6">
        <v>0</v>
      </c>
      <c r="K350" s="6">
        <v>0</v>
      </c>
      <c r="L350" s="6">
        <v>-6.5339999999999998</v>
      </c>
      <c r="M350" s="6">
        <v>-6.5339999999999998</v>
      </c>
      <c r="N350" s="6">
        <v>-6.5339999999999998</v>
      </c>
      <c r="O350" s="6">
        <v>-6.5339999999999998</v>
      </c>
      <c r="P350" s="6">
        <v>32</v>
      </c>
      <c r="Q350" s="4" t="s">
        <v>26</v>
      </c>
      <c r="R350" s="4">
        <v>0</v>
      </c>
      <c r="S350" s="4">
        <v>0</v>
      </c>
      <c r="T350" s="4">
        <v>40</v>
      </c>
      <c r="U350" s="4">
        <v>84</v>
      </c>
      <c r="V350" s="6">
        <f>IF(ISERROR(VLOOKUP($S$350,'TAR FIN'!$A$1:$O$115,15,0)),0,VLOOKUP($S$350,'TAR FIN'!$A$1:$O$115,15,0))</f>
        <v>0</v>
      </c>
      <c r="W350" s="6">
        <f>IF(ISERROR(VLOOKUP($T$350,'TAR FIN'!$A$1:$O$115,15,0)),0,VLOOKUP($T$350,'TAR FIN'!$A$1:$O$115,15,0))</f>
        <v>141.44</v>
      </c>
      <c r="X350" s="6">
        <f>IF(ISERROR(VLOOKUP($U$350,'TAR FIN'!$A$1:$O$115,15,0)),0,VLOOKUP($U$350,'TAR FIN'!$A$1:$O$115,15,0))</f>
        <v>61.8</v>
      </c>
      <c r="Y350" s="6"/>
      <c r="Z350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50" s="6">
        <f>('TE BE'!$AB$21+'TE BF'!$AB$21+'TE CVA'!$AB$21)*(1-CUSTOS!$M$34)</f>
        <v>80.738691054204196</v>
      </c>
      <c r="AB350" s="6">
        <f t="shared" si="18"/>
        <v>0</v>
      </c>
      <c r="AC350" s="6">
        <f>(L350-M350)*(W350+X350)+($W$522+$X$522-$W$350-$X$350)*(L350)</f>
        <v>-2466.3236400000001</v>
      </c>
      <c r="AD350" s="6">
        <f t="shared" si="20"/>
        <v>0</v>
      </c>
      <c r="AE350" s="6">
        <f ca="1">(L350-M350)*(Z350+AA350)+($Z$522+$AA$522-$Z$350-$AA$350)*(L350)</f>
        <v>-2764.250162836744</v>
      </c>
      <c r="AF350" s="4" t="s">
        <v>938</v>
      </c>
    </row>
    <row r="351" spans="1:32" ht="11.25" customHeight="1" x14ac:dyDescent="0.25">
      <c r="A351" s="4" t="s">
        <v>28</v>
      </c>
      <c r="B351" s="4" t="s">
        <v>22</v>
      </c>
      <c r="C351" s="4" t="s">
        <v>23</v>
      </c>
      <c r="D351" s="4" t="s">
        <v>24</v>
      </c>
      <c r="E351" s="4" t="s">
        <v>31</v>
      </c>
      <c r="F351" s="4" t="s">
        <v>25</v>
      </c>
      <c r="G351" s="4" t="s">
        <v>25</v>
      </c>
      <c r="H351" s="4" t="s">
        <v>25</v>
      </c>
      <c r="I351" s="5">
        <v>44621</v>
      </c>
      <c r="J351" s="6">
        <v>0</v>
      </c>
      <c r="K351" s="6">
        <v>0</v>
      </c>
      <c r="L351" s="6">
        <v>618.73599999999999</v>
      </c>
      <c r="M351" s="6">
        <v>618.73599999999999</v>
      </c>
      <c r="N351" s="6">
        <v>618.73599999999999</v>
      </c>
      <c r="O351" s="6">
        <v>618.73599999999999</v>
      </c>
      <c r="P351" s="6">
        <v>1837</v>
      </c>
      <c r="Q351" s="4" t="s">
        <v>26</v>
      </c>
      <c r="R351" s="4">
        <v>0</v>
      </c>
      <c r="S351" s="4">
        <v>0</v>
      </c>
      <c r="T351" s="4">
        <v>40</v>
      </c>
      <c r="U351" s="4">
        <v>84</v>
      </c>
      <c r="V351" s="6">
        <f>IF(ISERROR(VLOOKUP($S$351,'TAR FIN'!$A$1:$O$115,15,0)),0,VLOOKUP($S$351,'TAR FIN'!$A$1:$O$115,15,0))</f>
        <v>0</v>
      </c>
      <c r="W351" s="6">
        <f>IF(ISERROR(VLOOKUP($T$351,'TAR FIN'!$A$1:$O$115,15,0)),0,VLOOKUP($T$351,'TAR FIN'!$A$1:$O$115,15,0))</f>
        <v>141.44</v>
      </c>
      <c r="X351" s="6">
        <f>IF(ISERROR(VLOOKUP($U$351,'TAR FIN'!$A$1:$O$115,15,0)),0,VLOOKUP($U$351,'TAR FIN'!$A$1:$O$115,15,0))</f>
        <v>61.8</v>
      </c>
      <c r="Y351" s="6"/>
      <c r="Z351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51" s="6">
        <f>('TE BE'!$AB$21+'TE BF'!$AB$21+'TE CVA'!$AB$21)*(1-CUSTOS!$M$34)</f>
        <v>80.738691054204196</v>
      </c>
      <c r="AB351" s="6">
        <f t="shared" si="18"/>
        <v>0</v>
      </c>
      <c r="AC351" s="6">
        <f>(L351-M351)*(W351+X351)+($W$522+$X$522-$W$351-$X$351)*(L351)</f>
        <v>233548.09056000001</v>
      </c>
      <c r="AD351" s="6">
        <f t="shared" si="20"/>
        <v>0</v>
      </c>
      <c r="AE351" s="6">
        <f ca="1">(L351-M351)*(Z351+AA351)+($Z$522+$AA$522-$Z$351-$AA$351)*(L351)</f>
        <v>261760.19111615483</v>
      </c>
      <c r="AF351" s="4" t="s">
        <v>938</v>
      </c>
    </row>
    <row r="352" spans="1:32" ht="11.25" customHeight="1" x14ac:dyDescent="0.25">
      <c r="A352" s="4" t="s">
        <v>29</v>
      </c>
      <c r="B352" s="4" t="s">
        <v>22</v>
      </c>
      <c r="C352" s="4" t="s">
        <v>23</v>
      </c>
      <c r="D352" s="4" t="s">
        <v>24</v>
      </c>
      <c r="E352" s="4" t="s">
        <v>31</v>
      </c>
      <c r="F352" s="4" t="s">
        <v>25</v>
      </c>
      <c r="G352" s="4" t="s">
        <v>25</v>
      </c>
      <c r="H352" s="4" t="s">
        <v>25</v>
      </c>
      <c r="I352" s="5">
        <v>44621</v>
      </c>
      <c r="J352" s="6">
        <v>0</v>
      </c>
      <c r="K352" s="6">
        <v>0</v>
      </c>
      <c r="L352" s="6">
        <v>3.1789999999999998</v>
      </c>
      <c r="M352" s="6">
        <v>3.1789999999999998</v>
      </c>
      <c r="N352" s="6">
        <v>3.1789999999999998</v>
      </c>
      <c r="O352" s="6">
        <v>3.1789999999999998</v>
      </c>
      <c r="P352" s="6">
        <v>51</v>
      </c>
      <c r="Q352" s="4" t="s">
        <v>26</v>
      </c>
      <c r="R352" s="4">
        <v>0</v>
      </c>
      <c r="S352" s="4">
        <v>0</v>
      </c>
      <c r="T352" s="4">
        <v>40</v>
      </c>
      <c r="U352" s="4">
        <v>84</v>
      </c>
      <c r="V352" s="6">
        <f>IF(ISERROR(VLOOKUP($S$352,'TAR FIN'!$A$1:$O$115,15,0)),0,VLOOKUP($S$352,'TAR FIN'!$A$1:$O$115,15,0))</f>
        <v>0</v>
      </c>
      <c r="W352" s="6">
        <f>IF(ISERROR(VLOOKUP($T$352,'TAR FIN'!$A$1:$O$115,15,0)),0,VLOOKUP($T$352,'TAR FIN'!$A$1:$O$115,15,0))</f>
        <v>141.44</v>
      </c>
      <c r="X352" s="6">
        <f>IF(ISERROR(VLOOKUP($U$352,'TAR FIN'!$A$1:$O$115,15,0)),0,VLOOKUP($U$352,'TAR FIN'!$A$1:$O$115,15,0))</f>
        <v>61.8</v>
      </c>
      <c r="Y352" s="6"/>
      <c r="Z352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52" s="6">
        <f>('TE BE'!$AB$21+'TE BF'!$AB$21+'TE CVA'!$AB$21)*(1-CUSTOS!$M$34)</f>
        <v>80.738691054204196</v>
      </c>
      <c r="AB352" s="6">
        <f t="shared" si="18"/>
        <v>0</v>
      </c>
      <c r="AC352" s="6">
        <f>(L352-M352)*(W352+X352)+($W$522+$X$522-$W$352-$X$352)*(L352)</f>
        <v>1199.94534</v>
      </c>
      <c r="AD352" s="6">
        <f t="shared" si="20"/>
        <v>0</v>
      </c>
      <c r="AE352" s="6">
        <f ca="1">(L352-M352)*(Z352+AA352)+($Z$522+$AA$522-$Z$352-$AA$352)*(L352)</f>
        <v>1344.8961229963284</v>
      </c>
      <c r="AF352" s="4" t="s">
        <v>938</v>
      </c>
    </row>
    <row r="353" spans="1:32" ht="11.25" customHeight="1" x14ac:dyDescent="0.25">
      <c r="A353" s="4" t="s">
        <v>30</v>
      </c>
      <c r="B353" s="4" t="s">
        <v>22</v>
      </c>
      <c r="C353" s="4" t="s">
        <v>23</v>
      </c>
      <c r="D353" s="4" t="s">
        <v>24</v>
      </c>
      <c r="E353" s="4" t="s">
        <v>31</v>
      </c>
      <c r="F353" s="4" t="s">
        <v>25</v>
      </c>
      <c r="G353" s="4" t="s">
        <v>25</v>
      </c>
      <c r="H353" s="4" t="s">
        <v>25</v>
      </c>
      <c r="I353" s="5">
        <v>44621</v>
      </c>
      <c r="J353" s="6">
        <v>0</v>
      </c>
      <c r="K353" s="6">
        <v>0</v>
      </c>
      <c r="L353" s="6">
        <v>1.29</v>
      </c>
      <c r="M353" s="6">
        <v>1.29</v>
      </c>
      <c r="N353" s="6">
        <v>1.29</v>
      </c>
      <c r="O353" s="6">
        <v>1.29</v>
      </c>
      <c r="P353" s="6">
        <v>0</v>
      </c>
      <c r="Q353" s="4" t="s">
        <v>26</v>
      </c>
      <c r="R353" s="4">
        <v>0</v>
      </c>
      <c r="S353" s="4">
        <v>0</v>
      </c>
      <c r="T353" s="4">
        <v>40</v>
      </c>
      <c r="U353" s="4">
        <v>84</v>
      </c>
      <c r="V353" s="6">
        <f>IF(ISERROR(VLOOKUP($S$353,'TAR FIN'!$A$1:$O$115,15,0)),0,VLOOKUP($S$353,'TAR FIN'!$A$1:$O$115,15,0))</f>
        <v>0</v>
      </c>
      <c r="W353" s="6">
        <f>IF(ISERROR(VLOOKUP($T$353,'TAR FIN'!$A$1:$O$115,15,0)),0,VLOOKUP($T$353,'TAR FIN'!$A$1:$O$115,15,0))</f>
        <v>141.44</v>
      </c>
      <c r="X353" s="6">
        <f>IF(ISERROR(VLOOKUP($U$353,'TAR FIN'!$A$1:$O$115,15,0)),0,VLOOKUP($U$353,'TAR FIN'!$A$1:$O$115,15,0))</f>
        <v>61.8</v>
      </c>
      <c r="Y353" s="6"/>
      <c r="Z353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53" s="6">
        <f>('TE BE'!$AB$21+'TE BF'!$AB$21+'TE CVA'!$AB$21)*(1-CUSTOS!$M$34)</f>
        <v>80.738691054204196</v>
      </c>
      <c r="AB353" s="6">
        <f t="shared" si="18"/>
        <v>0</v>
      </c>
      <c r="AC353" s="6">
        <f>(L353-M353)*(W353+X353)+($W$522+$X$522-$W$353-$X$353)*(L353)</f>
        <v>486.92340000000007</v>
      </c>
      <c r="AD353" s="6">
        <f t="shared" si="20"/>
        <v>0</v>
      </c>
      <c r="AE353" s="6">
        <f ca="1">(L353-M353)*(Z353+AA353)+($Z$522+$AA$522-$Z$353-$AA$353)*(L353)</f>
        <v>545.74268595950412</v>
      </c>
      <c r="AF353" s="4" t="s">
        <v>938</v>
      </c>
    </row>
    <row r="354" spans="1:32" ht="11.25" customHeight="1" x14ac:dyDescent="0.25">
      <c r="A354" s="4" t="s">
        <v>21</v>
      </c>
      <c r="B354" s="4" t="s">
        <v>22</v>
      </c>
      <c r="C354" s="4" t="s">
        <v>23</v>
      </c>
      <c r="D354" s="4" t="s">
        <v>24</v>
      </c>
      <c r="E354" s="4" t="s">
        <v>31</v>
      </c>
      <c r="F354" s="4" t="s">
        <v>25</v>
      </c>
      <c r="G354" s="4" t="s">
        <v>25</v>
      </c>
      <c r="H354" s="4" t="s">
        <v>25</v>
      </c>
      <c r="I354" s="5">
        <v>44652</v>
      </c>
      <c r="J354" s="6">
        <v>0</v>
      </c>
      <c r="K354" s="6">
        <v>0</v>
      </c>
      <c r="L354" s="6">
        <v>1293.701</v>
      </c>
      <c r="M354" s="6">
        <v>1293.701</v>
      </c>
      <c r="N354" s="6">
        <v>1293.701</v>
      </c>
      <c r="O354" s="6">
        <v>1293.701</v>
      </c>
      <c r="P354" s="6">
        <v>2880</v>
      </c>
      <c r="Q354" s="4" t="s">
        <v>26</v>
      </c>
      <c r="R354" s="4">
        <v>0</v>
      </c>
      <c r="S354" s="4">
        <v>0</v>
      </c>
      <c r="T354" s="4">
        <v>40</v>
      </c>
      <c r="U354" s="4">
        <v>84</v>
      </c>
      <c r="V354" s="6">
        <f>IF(ISERROR(VLOOKUP($S$354,'TAR FIN'!$A$1:$O$115,15,0)),0,VLOOKUP($S$354,'TAR FIN'!$A$1:$O$115,15,0))</f>
        <v>0</v>
      </c>
      <c r="W354" s="6">
        <f>IF(ISERROR(VLOOKUP($T$354,'TAR FIN'!$A$1:$O$115,15,0)),0,VLOOKUP($T$354,'TAR FIN'!$A$1:$O$115,15,0))</f>
        <v>141.44</v>
      </c>
      <c r="X354" s="6">
        <f>IF(ISERROR(VLOOKUP($U$354,'TAR FIN'!$A$1:$O$115,15,0)),0,VLOOKUP($U$354,'TAR FIN'!$A$1:$O$115,15,0))</f>
        <v>61.8</v>
      </c>
      <c r="Y354" s="6"/>
      <c r="Z354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54" s="6">
        <f>('TE BE'!$AB$21+'TE BF'!$AB$21+'TE CVA'!$AB$21)*(1-CUSTOS!$M$34)</f>
        <v>80.738691054204196</v>
      </c>
      <c r="AB354" s="6">
        <f t="shared" si="18"/>
        <v>0</v>
      </c>
      <c r="AC354" s="6">
        <f>(L354-M354)*(W354+X354)+($W$522+$X$522-$W$354-$X$354)*(L354)</f>
        <v>488320.37946000008</v>
      </c>
      <c r="AD354" s="6">
        <f t="shared" si="20"/>
        <v>0</v>
      </c>
      <c r="AE354" s="6">
        <f ca="1">(L354-M354)*(Z354+AA354)+($Z$522+$AA$522-$Z$354-$AA$354)*(L354)</f>
        <v>547308.4174949585</v>
      </c>
      <c r="AF354" s="4" t="s">
        <v>938</v>
      </c>
    </row>
    <row r="355" spans="1:32" ht="11.25" customHeight="1" x14ac:dyDescent="0.25">
      <c r="A355" s="4" t="s">
        <v>27</v>
      </c>
      <c r="B355" s="4" t="s">
        <v>22</v>
      </c>
      <c r="C355" s="4" t="s">
        <v>23</v>
      </c>
      <c r="D355" s="4" t="s">
        <v>24</v>
      </c>
      <c r="E355" s="4" t="s">
        <v>31</v>
      </c>
      <c r="F355" s="4" t="s">
        <v>25</v>
      </c>
      <c r="G355" s="4" t="s">
        <v>25</v>
      </c>
      <c r="H355" s="4" t="s">
        <v>25</v>
      </c>
      <c r="I355" s="5">
        <v>44652</v>
      </c>
      <c r="J355" s="6">
        <v>0</v>
      </c>
      <c r="K355" s="6">
        <v>0</v>
      </c>
      <c r="L355" s="6">
        <v>-1.2669999999999999</v>
      </c>
      <c r="M355" s="6">
        <v>-1.2669999999999999</v>
      </c>
      <c r="N355" s="6">
        <v>-1.2669999999999999</v>
      </c>
      <c r="O355" s="6">
        <v>-1.2669999999999999</v>
      </c>
      <c r="P355" s="6">
        <v>41</v>
      </c>
      <c r="Q355" s="4" t="s">
        <v>26</v>
      </c>
      <c r="R355" s="4">
        <v>0</v>
      </c>
      <c r="S355" s="4">
        <v>0</v>
      </c>
      <c r="T355" s="4">
        <v>40</v>
      </c>
      <c r="U355" s="4">
        <v>84</v>
      </c>
      <c r="V355" s="6">
        <f>IF(ISERROR(VLOOKUP($S$355,'TAR FIN'!$A$1:$O$115,15,0)),0,VLOOKUP($S$355,'TAR FIN'!$A$1:$O$115,15,0))</f>
        <v>0</v>
      </c>
      <c r="W355" s="6">
        <f>IF(ISERROR(VLOOKUP($T$355,'TAR FIN'!$A$1:$O$115,15,0)),0,VLOOKUP($T$355,'TAR FIN'!$A$1:$O$115,15,0))</f>
        <v>141.44</v>
      </c>
      <c r="X355" s="6">
        <f>IF(ISERROR(VLOOKUP($U$355,'TAR FIN'!$A$1:$O$115,15,0)),0,VLOOKUP($U$355,'TAR FIN'!$A$1:$O$115,15,0))</f>
        <v>61.8</v>
      </c>
      <c r="Y355" s="6"/>
      <c r="Z355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55" s="6">
        <f>('TE BE'!$AB$21+'TE BF'!$AB$21+'TE CVA'!$AB$21)*(1-CUSTOS!$M$34)</f>
        <v>80.738691054204196</v>
      </c>
      <c r="AB355" s="6">
        <f t="shared" si="18"/>
        <v>0</v>
      </c>
      <c r="AC355" s="6">
        <f>(L355-M355)*(W355+X355)+($W$522+$X$522-$W$355-$X$355)*(L355)</f>
        <v>-478.24182000000002</v>
      </c>
      <c r="AD355" s="6">
        <f t="shared" si="20"/>
        <v>0</v>
      </c>
      <c r="AE355" s="6">
        <f ca="1">(L355-M355)*(Z355+AA355)+($Z$522+$AA$522-$Z$355-$AA$355)*(L355)</f>
        <v>-536.01239000828809</v>
      </c>
      <c r="AF355" s="4" t="s">
        <v>938</v>
      </c>
    </row>
    <row r="356" spans="1:32" ht="11.25" customHeight="1" x14ac:dyDescent="0.25">
      <c r="A356" s="4" t="s">
        <v>28</v>
      </c>
      <c r="B356" s="4" t="s">
        <v>22</v>
      </c>
      <c r="C356" s="4" t="s">
        <v>23</v>
      </c>
      <c r="D356" s="4" t="s">
        <v>24</v>
      </c>
      <c r="E356" s="4" t="s">
        <v>31</v>
      </c>
      <c r="F356" s="4" t="s">
        <v>25</v>
      </c>
      <c r="G356" s="4" t="s">
        <v>25</v>
      </c>
      <c r="H356" s="4" t="s">
        <v>25</v>
      </c>
      <c r="I356" s="5">
        <v>44652</v>
      </c>
      <c r="J356" s="6">
        <v>0</v>
      </c>
      <c r="K356" s="6">
        <v>0</v>
      </c>
      <c r="L356" s="6">
        <v>629.86800000000005</v>
      </c>
      <c r="M356" s="6">
        <v>629.86800000000005</v>
      </c>
      <c r="N356" s="6">
        <v>629.86800000000005</v>
      </c>
      <c r="O356" s="6">
        <v>629.86800000000005</v>
      </c>
      <c r="P356" s="6">
        <v>1817</v>
      </c>
      <c r="Q356" s="4" t="s">
        <v>26</v>
      </c>
      <c r="R356" s="4">
        <v>0</v>
      </c>
      <c r="S356" s="4">
        <v>0</v>
      </c>
      <c r="T356" s="4">
        <v>40</v>
      </c>
      <c r="U356" s="4">
        <v>84</v>
      </c>
      <c r="V356" s="6">
        <f>IF(ISERROR(VLOOKUP($S$356,'TAR FIN'!$A$1:$O$115,15,0)),0,VLOOKUP($S$356,'TAR FIN'!$A$1:$O$115,15,0))</f>
        <v>0</v>
      </c>
      <c r="W356" s="6">
        <f>IF(ISERROR(VLOOKUP($T$356,'TAR FIN'!$A$1:$O$115,15,0)),0,VLOOKUP($T$356,'TAR FIN'!$A$1:$O$115,15,0))</f>
        <v>141.44</v>
      </c>
      <c r="X356" s="6">
        <f>IF(ISERROR(VLOOKUP($U$356,'TAR FIN'!$A$1:$O$115,15,0)),0,VLOOKUP($U$356,'TAR FIN'!$A$1:$O$115,15,0))</f>
        <v>61.8</v>
      </c>
      <c r="Y356" s="6"/>
      <c r="Z356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56" s="6">
        <f>('TE BE'!$AB$21+'TE BF'!$AB$21+'TE CVA'!$AB$21)*(1-CUSTOS!$M$34)</f>
        <v>80.738691054204196</v>
      </c>
      <c r="AB356" s="6">
        <f t="shared" si="18"/>
        <v>0</v>
      </c>
      <c r="AC356" s="6">
        <f>(L356-M356)*(W356+X356)+($W$522+$X$522-$W$356-$X$356)*(L356)</f>
        <v>237749.97528000004</v>
      </c>
      <c r="AD356" s="6">
        <f t="shared" si="20"/>
        <v>0</v>
      </c>
      <c r="AE356" s="6">
        <f ca="1">(L356-M356)*(Z356+AA356)+($Z$522+$AA$522-$Z$356-$AA$356)*(L356)</f>
        <v>266469.65435654338</v>
      </c>
      <c r="AF356" s="4" t="s">
        <v>938</v>
      </c>
    </row>
    <row r="357" spans="1:32" ht="11.25" customHeight="1" x14ac:dyDescent="0.25">
      <c r="A357" s="4" t="s">
        <v>29</v>
      </c>
      <c r="B357" s="4" t="s">
        <v>22</v>
      </c>
      <c r="C357" s="4" t="s">
        <v>23</v>
      </c>
      <c r="D357" s="4" t="s">
        <v>24</v>
      </c>
      <c r="E357" s="4" t="s">
        <v>31</v>
      </c>
      <c r="F357" s="4" t="s">
        <v>25</v>
      </c>
      <c r="G357" s="4" t="s">
        <v>25</v>
      </c>
      <c r="H357" s="4" t="s">
        <v>25</v>
      </c>
      <c r="I357" s="5">
        <v>44652</v>
      </c>
      <c r="J357" s="6">
        <v>0</v>
      </c>
      <c r="K357" s="6">
        <v>0</v>
      </c>
      <c r="L357" s="6">
        <v>0.79700000000000004</v>
      </c>
      <c r="M357" s="6">
        <v>0.79700000000000004</v>
      </c>
      <c r="N357" s="6">
        <v>0.79700000000000004</v>
      </c>
      <c r="O357" s="6">
        <v>0.79700000000000004</v>
      </c>
      <c r="P357" s="6">
        <v>99</v>
      </c>
      <c r="Q357" s="4" t="s">
        <v>26</v>
      </c>
      <c r="R357" s="4">
        <v>0</v>
      </c>
      <c r="S357" s="4">
        <v>0</v>
      </c>
      <c r="T357" s="4">
        <v>40</v>
      </c>
      <c r="U357" s="4">
        <v>84</v>
      </c>
      <c r="V357" s="6">
        <f>IF(ISERROR(VLOOKUP($S$357,'TAR FIN'!$A$1:$O$115,15,0)),0,VLOOKUP($S$357,'TAR FIN'!$A$1:$O$115,15,0))</f>
        <v>0</v>
      </c>
      <c r="W357" s="6">
        <f>IF(ISERROR(VLOOKUP($T$357,'TAR FIN'!$A$1:$O$115,15,0)),0,VLOOKUP($T$357,'TAR FIN'!$A$1:$O$115,15,0))</f>
        <v>141.44</v>
      </c>
      <c r="X357" s="6">
        <f>IF(ISERROR(VLOOKUP($U$357,'TAR FIN'!$A$1:$O$115,15,0)),0,VLOOKUP($U$357,'TAR FIN'!$A$1:$O$115,15,0))</f>
        <v>61.8</v>
      </c>
      <c r="Y357" s="6"/>
      <c r="Z357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57" s="6">
        <f>('TE BE'!$AB$21+'TE BF'!$AB$21+'TE CVA'!$AB$21)*(1-CUSTOS!$M$34)</f>
        <v>80.738691054204196</v>
      </c>
      <c r="AB357" s="6">
        <f t="shared" si="18"/>
        <v>0</v>
      </c>
      <c r="AC357" s="6">
        <f>(L357-M357)*(W357+X357)+($W$522+$X$522-$W$357-$X$357)*(L357)</f>
        <v>300.83562000000006</v>
      </c>
      <c r="AD357" s="6">
        <f t="shared" si="20"/>
        <v>0</v>
      </c>
      <c r="AE357" s="6">
        <f ca="1">(L357-M357)*(Z357+AA357)+($Z$522+$AA$522-$Z$357-$AA$357)*(L357)</f>
        <v>337.17590752691848</v>
      </c>
      <c r="AF357" s="4" t="s">
        <v>938</v>
      </c>
    </row>
    <row r="358" spans="1:32" ht="11.25" customHeight="1" x14ac:dyDescent="0.25">
      <c r="A358" s="4" t="s">
        <v>30</v>
      </c>
      <c r="B358" s="4" t="s">
        <v>22</v>
      </c>
      <c r="C358" s="4" t="s">
        <v>23</v>
      </c>
      <c r="D358" s="4" t="s">
        <v>24</v>
      </c>
      <c r="E358" s="4" t="s">
        <v>31</v>
      </c>
      <c r="F358" s="4" t="s">
        <v>25</v>
      </c>
      <c r="G358" s="4" t="s">
        <v>25</v>
      </c>
      <c r="H358" s="4" t="s">
        <v>25</v>
      </c>
      <c r="I358" s="5">
        <v>44652</v>
      </c>
      <c r="J358" s="6">
        <v>0</v>
      </c>
      <c r="K358" s="6">
        <v>0</v>
      </c>
      <c r="L358" s="6">
        <v>1.41</v>
      </c>
      <c r="M358" s="6">
        <v>1.41</v>
      </c>
      <c r="N358" s="6">
        <v>1.41</v>
      </c>
      <c r="O358" s="6">
        <v>1.41</v>
      </c>
      <c r="P358" s="6">
        <v>0</v>
      </c>
      <c r="Q358" s="4" t="s">
        <v>26</v>
      </c>
      <c r="R358" s="4">
        <v>0</v>
      </c>
      <c r="S358" s="4">
        <v>0</v>
      </c>
      <c r="T358" s="4">
        <v>40</v>
      </c>
      <c r="U358" s="4">
        <v>84</v>
      </c>
      <c r="V358" s="6">
        <f>IF(ISERROR(VLOOKUP($S$358,'TAR FIN'!$A$1:$O$115,15,0)),0,VLOOKUP($S$358,'TAR FIN'!$A$1:$O$115,15,0))</f>
        <v>0</v>
      </c>
      <c r="W358" s="6">
        <f>IF(ISERROR(VLOOKUP($T$358,'TAR FIN'!$A$1:$O$115,15,0)),0,VLOOKUP($T$358,'TAR FIN'!$A$1:$O$115,15,0))</f>
        <v>141.44</v>
      </c>
      <c r="X358" s="6">
        <f>IF(ISERROR(VLOOKUP($U$358,'TAR FIN'!$A$1:$O$115,15,0)),0,VLOOKUP($U$358,'TAR FIN'!$A$1:$O$115,15,0))</f>
        <v>61.8</v>
      </c>
      <c r="Y358" s="6"/>
      <c r="Z358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58" s="6">
        <f>('TE BE'!$AB$21+'TE BF'!$AB$21+'TE CVA'!$AB$21)*(1-CUSTOS!$M$34)</f>
        <v>80.738691054204196</v>
      </c>
      <c r="AB358" s="6">
        <f t="shared" si="18"/>
        <v>0</v>
      </c>
      <c r="AC358" s="6">
        <f>(L358-M358)*(W358+X358)+($W$522+$X$522-$W$358-$X$358)*(L358)</f>
        <v>532.21860000000004</v>
      </c>
      <c r="AD358" s="6">
        <f t="shared" si="20"/>
        <v>0</v>
      </c>
      <c r="AE358" s="6">
        <f ca="1">(L358-M358)*(Z358+AA358)+($Z$522+$AA$522-$Z$358-$AA$358)*(L358)</f>
        <v>596.50944744410913</v>
      </c>
      <c r="AF358" s="4" t="s">
        <v>938</v>
      </c>
    </row>
    <row r="359" spans="1:32" ht="11.25" customHeight="1" x14ac:dyDescent="0.25">
      <c r="A359" s="4" t="s">
        <v>21</v>
      </c>
      <c r="B359" s="4" t="s">
        <v>22</v>
      </c>
      <c r="C359" s="4" t="s">
        <v>23</v>
      </c>
      <c r="D359" s="4" t="s">
        <v>24</v>
      </c>
      <c r="E359" s="4" t="s">
        <v>31</v>
      </c>
      <c r="F359" s="4" t="s">
        <v>25</v>
      </c>
      <c r="G359" s="4" t="s">
        <v>25</v>
      </c>
      <c r="H359" s="4" t="s">
        <v>25</v>
      </c>
      <c r="I359" s="5">
        <v>44682</v>
      </c>
      <c r="J359" s="6">
        <v>0</v>
      </c>
      <c r="K359" s="6">
        <v>0</v>
      </c>
      <c r="L359" s="6">
        <v>1272.3420000000001</v>
      </c>
      <c r="M359" s="6">
        <v>1272.3420000000001</v>
      </c>
      <c r="N359" s="6">
        <v>1272.3420000000001</v>
      </c>
      <c r="O359" s="6">
        <v>1272.3420000000001</v>
      </c>
      <c r="P359" s="6">
        <v>2882</v>
      </c>
      <c r="Q359" s="4" t="s">
        <v>26</v>
      </c>
      <c r="R359" s="4">
        <v>0</v>
      </c>
      <c r="S359" s="4">
        <v>0</v>
      </c>
      <c r="T359" s="4">
        <v>40</v>
      </c>
      <c r="U359" s="4">
        <v>84</v>
      </c>
      <c r="V359" s="6">
        <f>IF(ISERROR(VLOOKUP($S$359,'TAR FIN'!$A$1:$O$115,15,0)),0,VLOOKUP($S$359,'TAR FIN'!$A$1:$O$115,15,0))</f>
        <v>0</v>
      </c>
      <c r="W359" s="6">
        <f>IF(ISERROR(VLOOKUP($T$359,'TAR FIN'!$A$1:$O$115,15,0)),0,VLOOKUP($T$359,'TAR FIN'!$A$1:$O$115,15,0))</f>
        <v>141.44</v>
      </c>
      <c r="X359" s="6">
        <f>IF(ISERROR(VLOOKUP($U$359,'TAR FIN'!$A$1:$O$115,15,0)),0,VLOOKUP($U$359,'TAR FIN'!$A$1:$O$115,15,0))</f>
        <v>61.8</v>
      </c>
      <c r="Y359" s="6"/>
      <c r="Z359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59" s="6">
        <f>('TE BE'!$AB$21+'TE BF'!$AB$21+'TE CVA'!$AB$21)*(1-CUSTOS!$M$34)</f>
        <v>80.738691054204196</v>
      </c>
      <c r="AB359" s="6">
        <f t="shared" si="18"/>
        <v>0</v>
      </c>
      <c r="AC359" s="6">
        <f>(L359-M359)*(W359+X359)+($W$522+$X$522-$W$359-$X$359)*(L359)</f>
        <v>480258.21132000006</v>
      </c>
      <c r="AD359" s="6">
        <f t="shared" si="20"/>
        <v>0</v>
      </c>
      <c r="AE359" s="6">
        <f ca="1">(L359-M359)*(Z359+AA359)+($Z$522+$AA$522-$Z$359-$AA$359)*(L359)</f>
        <v>538272.3570070446</v>
      </c>
      <c r="AF359" s="4" t="s">
        <v>938</v>
      </c>
    </row>
    <row r="360" spans="1:32" ht="11.25" customHeight="1" x14ac:dyDescent="0.25">
      <c r="A360" s="4" t="s">
        <v>27</v>
      </c>
      <c r="B360" s="4" t="s">
        <v>22</v>
      </c>
      <c r="C360" s="4" t="s">
        <v>23</v>
      </c>
      <c r="D360" s="4" t="s">
        <v>24</v>
      </c>
      <c r="E360" s="4" t="s">
        <v>31</v>
      </c>
      <c r="F360" s="4" t="s">
        <v>25</v>
      </c>
      <c r="G360" s="4" t="s">
        <v>25</v>
      </c>
      <c r="H360" s="4" t="s">
        <v>25</v>
      </c>
      <c r="I360" s="5">
        <v>44682</v>
      </c>
      <c r="J360" s="6">
        <v>0</v>
      </c>
      <c r="K360" s="6">
        <v>0</v>
      </c>
      <c r="L360" s="6">
        <v>-5.1760000000000002</v>
      </c>
      <c r="M360" s="6">
        <v>-5.1760000000000002</v>
      </c>
      <c r="N360" s="6">
        <v>-5.1760000000000002</v>
      </c>
      <c r="O360" s="6">
        <v>-5.1760000000000002</v>
      </c>
      <c r="P360" s="6">
        <v>23</v>
      </c>
      <c r="Q360" s="4" t="s">
        <v>26</v>
      </c>
      <c r="R360" s="4">
        <v>0</v>
      </c>
      <c r="S360" s="4">
        <v>0</v>
      </c>
      <c r="T360" s="4">
        <v>40</v>
      </c>
      <c r="U360" s="4">
        <v>84</v>
      </c>
      <c r="V360" s="6">
        <f>IF(ISERROR(VLOOKUP($S$360,'TAR FIN'!$A$1:$O$115,15,0)),0,VLOOKUP($S$360,'TAR FIN'!$A$1:$O$115,15,0))</f>
        <v>0</v>
      </c>
      <c r="W360" s="6">
        <f>IF(ISERROR(VLOOKUP($T$360,'TAR FIN'!$A$1:$O$115,15,0)),0,VLOOKUP($T$360,'TAR FIN'!$A$1:$O$115,15,0))</f>
        <v>141.44</v>
      </c>
      <c r="X360" s="6">
        <f>IF(ISERROR(VLOOKUP($U$360,'TAR FIN'!$A$1:$O$115,15,0)),0,VLOOKUP($U$360,'TAR FIN'!$A$1:$O$115,15,0))</f>
        <v>61.8</v>
      </c>
      <c r="Y360" s="6"/>
      <c r="Z360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60" s="6">
        <f>('TE BE'!$AB$21+'TE BF'!$AB$21+'TE CVA'!$AB$21)*(1-CUSTOS!$M$34)</f>
        <v>80.738691054204196</v>
      </c>
      <c r="AB360" s="6">
        <f t="shared" si="18"/>
        <v>0</v>
      </c>
      <c r="AC360" s="6">
        <f>(L360-M360)*(W360+X360)+($W$522+$X$522-$W$360-$X$360)*(L360)</f>
        <v>-1953.7329600000003</v>
      </c>
      <c r="AD360" s="6">
        <f t="shared" si="20"/>
        <v>0</v>
      </c>
      <c r="AE360" s="6">
        <f ca="1">(L360-M360)*(Z360+AA360)+($Z$522+$AA$522-$Z$360-$AA$360)*(L360)</f>
        <v>-2189.7396453692972</v>
      </c>
      <c r="AF360" s="4" t="s">
        <v>938</v>
      </c>
    </row>
    <row r="361" spans="1:32" ht="11.25" customHeight="1" x14ac:dyDescent="0.25">
      <c r="A361" s="4" t="s">
        <v>28</v>
      </c>
      <c r="B361" s="4" t="s">
        <v>22</v>
      </c>
      <c r="C361" s="4" t="s">
        <v>23</v>
      </c>
      <c r="D361" s="4" t="s">
        <v>24</v>
      </c>
      <c r="E361" s="4" t="s">
        <v>31</v>
      </c>
      <c r="F361" s="4" t="s">
        <v>25</v>
      </c>
      <c r="G361" s="4" t="s">
        <v>25</v>
      </c>
      <c r="H361" s="4" t="s">
        <v>25</v>
      </c>
      <c r="I361" s="5">
        <v>44682</v>
      </c>
      <c r="J361" s="6">
        <v>0</v>
      </c>
      <c r="K361" s="6">
        <v>0</v>
      </c>
      <c r="L361" s="6">
        <v>621.33199999999999</v>
      </c>
      <c r="M361" s="6">
        <v>621.33199999999999</v>
      </c>
      <c r="N361" s="6">
        <v>621.33199999999999</v>
      </c>
      <c r="O361" s="6">
        <v>621.33199999999999</v>
      </c>
      <c r="P361" s="6">
        <v>1815</v>
      </c>
      <c r="Q361" s="4" t="s">
        <v>26</v>
      </c>
      <c r="R361" s="4">
        <v>0</v>
      </c>
      <c r="S361" s="4">
        <v>0</v>
      </c>
      <c r="T361" s="4">
        <v>40</v>
      </c>
      <c r="U361" s="4">
        <v>84</v>
      </c>
      <c r="V361" s="6">
        <f>IF(ISERROR(VLOOKUP($S$361,'TAR FIN'!$A$1:$O$115,15,0)),0,VLOOKUP($S$361,'TAR FIN'!$A$1:$O$115,15,0))</f>
        <v>0</v>
      </c>
      <c r="W361" s="6">
        <f>IF(ISERROR(VLOOKUP($T$361,'TAR FIN'!$A$1:$O$115,15,0)),0,VLOOKUP($T$361,'TAR FIN'!$A$1:$O$115,15,0))</f>
        <v>141.44</v>
      </c>
      <c r="X361" s="6">
        <f>IF(ISERROR(VLOOKUP($U$361,'TAR FIN'!$A$1:$O$115,15,0)),0,VLOOKUP($U$361,'TAR FIN'!$A$1:$O$115,15,0))</f>
        <v>61.8</v>
      </c>
      <c r="Y361" s="6"/>
      <c r="Z361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61" s="6">
        <f>('TE BE'!$AB$21+'TE BF'!$AB$21+'TE CVA'!$AB$21)*(1-CUSTOS!$M$34)</f>
        <v>80.738691054204196</v>
      </c>
      <c r="AB361" s="6">
        <f t="shared" si="18"/>
        <v>0</v>
      </c>
      <c r="AC361" s="6">
        <f>(L361-M361)*(W361+X361)+($W$522+$X$522-$W$361-$X$361)*(L361)</f>
        <v>234527.97672000001</v>
      </c>
      <c r="AD361" s="6">
        <f t="shared" si="20"/>
        <v>0</v>
      </c>
      <c r="AE361" s="6">
        <f ca="1">(L361-M361)*(Z361+AA361)+($Z$522+$AA$522-$Z$361-$AA$361)*(L361)</f>
        <v>262858.44538960513</v>
      </c>
      <c r="AF361" s="4" t="s">
        <v>938</v>
      </c>
    </row>
    <row r="362" spans="1:32" ht="11.25" customHeight="1" x14ac:dyDescent="0.25">
      <c r="A362" s="4" t="s">
        <v>29</v>
      </c>
      <c r="B362" s="4" t="s">
        <v>22</v>
      </c>
      <c r="C362" s="4" t="s">
        <v>23</v>
      </c>
      <c r="D362" s="4" t="s">
        <v>24</v>
      </c>
      <c r="E362" s="4" t="s">
        <v>31</v>
      </c>
      <c r="F362" s="4" t="s">
        <v>25</v>
      </c>
      <c r="G362" s="4" t="s">
        <v>25</v>
      </c>
      <c r="H362" s="4" t="s">
        <v>25</v>
      </c>
      <c r="I362" s="5">
        <v>44682</v>
      </c>
      <c r="J362" s="6">
        <v>0</v>
      </c>
      <c r="K362" s="6">
        <v>0</v>
      </c>
      <c r="L362" s="6">
        <v>4.4800000000000004</v>
      </c>
      <c r="M362" s="6">
        <v>4.4800000000000004</v>
      </c>
      <c r="N362" s="6">
        <v>4.4800000000000004</v>
      </c>
      <c r="O362" s="6">
        <v>4.4800000000000004</v>
      </c>
      <c r="P362" s="6">
        <v>112</v>
      </c>
      <c r="Q362" s="4" t="s">
        <v>26</v>
      </c>
      <c r="R362" s="4">
        <v>0</v>
      </c>
      <c r="S362" s="4">
        <v>0</v>
      </c>
      <c r="T362" s="4">
        <v>40</v>
      </c>
      <c r="U362" s="4">
        <v>84</v>
      </c>
      <c r="V362" s="6">
        <f>IF(ISERROR(VLOOKUP($S$362,'TAR FIN'!$A$1:$O$115,15,0)),0,VLOOKUP($S$362,'TAR FIN'!$A$1:$O$115,15,0))</f>
        <v>0</v>
      </c>
      <c r="W362" s="6">
        <f>IF(ISERROR(VLOOKUP($T$362,'TAR FIN'!$A$1:$O$115,15,0)),0,VLOOKUP($T$362,'TAR FIN'!$A$1:$O$115,15,0))</f>
        <v>141.44</v>
      </c>
      <c r="X362" s="6">
        <f>IF(ISERROR(VLOOKUP($U$362,'TAR FIN'!$A$1:$O$115,15,0)),0,VLOOKUP($U$362,'TAR FIN'!$A$1:$O$115,15,0))</f>
        <v>61.8</v>
      </c>
      <c r="Y362" s="6"/>
      <c r="Z362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62" s="6">
        <f>('TE BE'!$AB$21+'TE BF'!$AB$21+'TE CVA'!$AB$21)*(1-CUSTOS!$M$34)</f>
        <v>80.738691054204196</v>
      </c>
      <c r="AB362" s="6">
        <f t="shared" si="18"/>
        <v>0</v>
      </c>
      <c r="AC362" s="6">
        <f>(L362-M362)*(W362+X362)+($W$522+$X$522-$W$362-$X$362)*(L362)</f>
        <v>1691.0208000000002</v>
      </c>
      <c r="AD362" s="6">
        <f t="shared" si="20"/>
        <v>0</v>
      </c>
      <c r="AE362" s="6">
        <f ca="1">(L362-M362)*(Z362+AA362)+($Z$522+$AA$522-$Z$362-$AA$362)*(L362)</f>
        <v>1895.2924287585881</v>
      </c>
      <c r="AF362" s="4" t="s">
        <v>938</v>
      </c>
    </row>
    <row r="363" spans="1:32" ht="11.25" customHeight="1" x14ac:dyDescent="0.25">
      <c r="A363" s="4" t="s">
        <v>30</v>
      </c>
      <c r="B363" s="4" t="s">
        <v>22</v>
      </c>
      <c r="C363" s="4" t="s">
        <v>23</v>
      </c>
      <c r="D363" s="4" t="s">
        <v>24</v>
      </c>
      <c r="E363" s="4" t="s">
        <v>31</v>
      </c>
      <c r="F363" s="4" t="s">
        <v>25</v>
      </c>
      <c r="G363" s="4" t="s">
        <v>25</v>
      </c>
      <c r="H363" s="4" t="s">
        <v>25</v>
      </c>
      <c r="I363" s="5">
        <v>44682</v>
      </c>
      <c r="J363" s="6">
        <v>0</v>
      </c>
      <c r="K363" s="6">
        <v>0</v>
      </c>
      <c r="L363" s="6">
        <v>1.38</v>
      </c>
      <c r="M363" s="6">
        <v>1.38</v>
      </c>
      <c r="N363" s="6">
        <v>1.38</v>
      </c>
      <c r="O363" s="6">
        <v>1.38</v>
      </c>
      <c r="P363" s="6">
        <v>0</v>
      </c>
      <c r="Q363" s="4" t="s">
        <v>26</v>
      </c>
      <c r="R363" s="4">
        <v>0</v>
      </c>
      <c r="S363" s="4">
        <v>0</v>
      </c>
      <c r="T363" s="4">
        <v>40</v>
      </c>
      <c r="U363" s="4">
        <v>84</v>
      </c>
      <c r="V363" s="6">
        <f>IF(ISERROR(VLOOKUP($S$363,'TAR FIN'!$A$1:$O$115,15,0)),0,VLOOKUP($S$363,'TAR FIN'!$A$1:$O$115,15,0))</f>
        <v>0</v>
      </c>
      <c r="W363" s="6">
        <f>IF(ISERROR(VLOOKUP($T$363,'TAR FIN'!$A$1:$O$115,15,0)),0,VLOOKUP($T$363,'TAR FIN'!$A$1:$O$115,15,0))</f>
        <v>141.44</v>
      </c>
      <c r="X363" s="6">
        <f>IF(ISERROR(VLOOKUP($U$363,'TAR FIN'!$A$1:$O$115,15,0)),0,VLOOKUP($U$363,'TAR FIN'!$A$1:$O$115,15,0))</f>
        <v>61.8</v>
      </c>
      <c r="Y363" s="6"/>
      <c r="Z363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63" s="6">
        <f>('TE BE'!$AB$21+'TE BF'!$AB$21+'TE CVA'!$AB$21)*(1-CUSTOS!$M$34)</f>
        <v>80.738691054204196</v>
      </c>
      <c r="AB363" s="6">
        <f t="shared" si="18"/>
        <v>0</v>
      </c>
      <c r="AC363" s="6">
        <f>(L363-M363)*(W363+X363)+($W$522+$X$522-$W$363-$X$363)*(L363)</f>
        <v>520.89480000000003</v>
      </c>
      <c r="AD363" s="6">
        <f t="shared" si="20"/>
        <v>0</v>
      </c>
      <c r="AE363" s="6">
        <f ca="1">(L363-M363)*(Z363+AA363)+($Z$522+$AA$522-$Z$363-$AA$363)*(L363)</f>
        <v>583.81775707295787</v>
      </c>
      <c r="AF363" s="4" t="s">
        <v>938</v>
      </c>
    </row>
    <row r="364" spans="1:32" ht="11.25" customHeight="1" x14ac:dyDescent="0.25">
      <c r="A364" s="4" t="s">
        <v>21</v>
      </c>
      <c r="B364" s="4" t="s">
        <v>22</v>
      </c>
      <c r="C364" s="4" t="s">
        <v>23</v>
      </c>
      <c r="D364" s="4" t="s">
        <v>24</v>
      </c>
      <c r="E364" s="4" t="s">
        <v>31</v>
      </c>
      <c r="F364" s="4" t="s">
        <v>25</v>
      </c>
      <c r="G364" s="4" t="s">
        <v>25</v>
      </c>
      <c r="H364" s="4" t="s">
        <v>25</v>
      </c>
      <c r="I364" s="5">
        <v>44713</v>
      </c>
      <c r="J364" s="6">
        <v>0</v>
      </c>
      <c r="K364" s="6">
        <v>0</v>
      </c>
      <c r="L364" s="6">
        <v>1297.2560000000001</v>
      </c>
      <c r="M364" s="6">
        <v>1297.2560000000001</v>
      </c>
      <c r="N364" s="6">
        <v>1297.2560000000001</v>
      </c>
      <c r="O364" s="6">
        <v>1297.2560000000001</v>
      </c>
      <c r="P364" s="6">
        <v>3032</v>
      </c>
      <c r="Q364" s="4" t="s">
        <v>26</v>
      </c>
      <c r="R364" s="4">
        <v>0</v>
      </c>
      <c r="S364" s="4">
        <v>0</v>
      </c>
      <c r="T364" s="4">
        <v>40</v>
      </c>
      <c r="U364" s="4">
        <v>84</v>
      </c>
      <c r="V364" s="6">
        <f>IF(ISERROR(VLOOKUP($S$364,'TAR FIN'!$A$1:$O$115,15,0)),0,VLOOKUP($S$364,'TAR FIN'!$A$1:$O$115,15,0))</f>
        <v>0</v>
      </c>
      <c r="W364" s="6">
        <f>IF(ISERROR(VLOOKUP($T$364,'TAR FIN'!$A$1:$O$115,15,0)),0,VLOOKUP($T$364,'TAR FIN'!$A$1:$O$115,15,0))</f>
        <v>141.44</v>
      </c>
      <c r="X364" s="6">
        <f>IF(ISERROR(VLOOKUP($U$364,'TAR FIN'!$A$1:$O$115,15,0)),0,VLOOKUP($U$364,'TAR FIN'!$A$1:$O$115,15,0))</f>
        <v>61.8</v>
      </c>
      <c r="Y364" s="6"/>
      <c r="Z364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64" s="6">
        <f>('TE BE'!$AB$21+'TE BF'!$AB$21+'TE CVA'!$AB$21)*(1-CUSTOS!$M$34)</f>
        <v>80.738691054204196</v>
      </c>
      <c r="AB364" s="6">
        <f t="shared" si="18"/>
        <v>0</v>
      </c>
      <c r="AC364" s="6">
        <f>(L364-M364)*(W364+X364)+($W$522+$X$522-$W$364-$X$364)*(L364)</f>
        <v>489662.24976000009</v>
      </c>
      <c r="AD364" s="6">
        <f t="shared" si="20"/>
        <v>0</v>
      </c>
      <c r="AE364" s="6">
        <f ca="1">(L364-M364)*(Z364+AA364)+($Z$522+$AA$522-$Z$364-$AA$364)*(L364)</f>
        <v>548812.38280393998</v>
      </c>
      <c r="AF364" s="4" t="s">
        <v>938</v>
      </c>
    </row>
    <row r="365" spans="1:32" ht="11.25" customHeight="1" x14ac:dyDescent="0.25">
      <c r="A365" s="4" t="s">
        <v>27</v>
      </c>
      <c r="B365" s="4" t="s">
        <v>22</v>
      </c>
      <c r="C365" s="4" t="s">
        <v>23</v>
      </c>
      <c r="D365" s="4" t="s">
        <v>24</v>
      </c>
      <c r="E365" s="4" t="s">
        <v>31</v>
      </c>
      <c r="F365" s="4" t="s">
        <v>25</v>
      </c>
      <c r="G365" s="4" t="s">
        <v>25</v>
      </c>
      <c r="H365" s="4" t="s">
        <v>25</v>
      </c>
      <c r="I365" s="5">
        <v>44713</v>
      </c>
      <c r="J365" s="6">
        <v>0</v>
      </c>
      <c r="K365" s="6">
        <v>0</v>
      </c>
      <c r="L365" s="6">
        <v>6.46</v>
      </c>
      <c r="M365" s="6">
        <v>6.46</v>
      </c>
      <c r="N365" s="6">
        <v>6.46</v>
      </c>
      <c r="O365" s="6">
        <v>6.46</v>
      </c>
      <c r="P365" s="6">
        <v>48</v>
      </c>
      <c r="Q365" s="4" t="s">
        <v>26</v>
      </c>
      <c r="R365" s="4">
        <v>0</v>
      </c>
      <c r="S365" s="4">
        <v>0</v>
      </c>
      <c r="T365" s="4">
        <v>40</v>
      </c>
      <c r="U365" s="4">
        <v>84</v>
      </c>
      <c r="V365" s="6">
        <f>IF(ISERROR(VLOOKUP($S$365,'TAR FIN'!$A$1:$O$115,15,0)),0,VLOOKUP($S$365,'TAR FIN'!$A$1:$O$115,15,0))</f>
        <v>0</v>
      </c>
      <c r="W365" s="6">
        <f>IF(ISERROR(VLOOKUP($T$365,'TAR FIN'!$A$1:$O$115,15,0)),0,VLOOKUP($T$365,'TAR FIN'!$A$1:$O$115,15,0))</f>
        <v>141.44</v>
      </c>
      <c r="X365" s="6">
        <f>IF(ISERROR(VLOOKUP($U$365,'TAR FIN'!$A$1:$O$115,15,0)),0,VLOOKUP($U$365,'TAR FIN'!$A$1:$O$115,15,0))</f>
        <v>61.8</v>
      </c>
      <c r="Y365" s="6"/>
      <c r="Z365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65" s="6">
        <f>('TE BE'!$AB$21+'TE BF'!$AB$21+'TE CVA'!$AB$21)*(1-CUSTOS!$M$34)</f>
        <v>80.738691054204196</v>
      </c>
      <c r="AB365" s="6">
        <f t="shared" si="18"/>
        <v>0</v>
      </c>
      <c r="AC365" s="6">
        <f>(L365-M365)*(W365+X365)+($W$522+$X$522-$W$365-$X$365)*(L365)</f>
        <v>2438.3916000000004</v>
      </c>
      <c r="AD365" s="6">
        <f t="shared" si="20"/>
        <v>0</v>
      </c>
      <c r="AE365" s="6">
        <f ca="1">(L365-M365)*(Z365+AA365)+($Z$522+$AA$522-$Z$365-$AA$365)*(L365)</f>
        <v>2732.9439932545711</v>
      </c>
      <c r="AF365" s="4" t="s">
        <v>938</v>
      </c>
    </row>
    <row r="366" spans="1:32" ht="11.25" customHeight="1" x14ac:dyDescent="0.25">
      <c r="A366" s="4" t="s">
        <v>28</v>
      </c>
      <c r="B366" s="4" t="s">
        <v>22</v>
      </c>
      <c r="C366" s="4" t="s">
        <v>23</v>
      </c>
      <c r="D366" s="4" t="s">
        <v>24</v>
      </c>
      <c r="E366" s="4" t="s">
        <v>31</v>
      </c>
      <c r="F366" s="4" t="s">
        <v>25</v>
      </c>
      <c r="G366" s="4" t="s">
        <v>25</v>
      </c>
      <c r="H366" s="4" t="s">
        <v>25</v>
      </c>
      <c r="I366" s="5">
        <v>44713</v>
      </c>
      <c r="J366" s="6">
        <v>0</v>
      </c>
      <c r="K366" s="6">
        <v>0</v>
      </c>
      <c r="L366" s="6">
        <v>629.74400000000003</v>
      </c>
      <c r="M366" s="6">
        <v>629.74400000000003</v>
      </c>
      <c r="N366" s="6">
        <v>629.74400000000003</v>
      </c>
      <c r="O366" s="6">
        <v>629.74400000000003</v>
      </c>
      <c r="P366" s="6">
        <v>1821</v>
      </c>
      <c r="Q366" s="4" t="s">
        <v>26</v>
      </c>
      <c r="R366" s="4">
        <v>0</v>
      </c>
      <c r="S366" s="4">
        <v>0</v>
      </c>
      <c r="T366" s="4">
        <v>40</v>
      </c>
      <c r="U366" s="4">
        <v>84</v>
      </c>
      <c r="V366" s="6">
        <f>IF(ISERROR(VLOOKUP($S$366,'TAR FIN'!$A$1:$O$115,15,0)),0,VLOOKUP($S$366,'TAR FIN'!$A$1:$O$115,15,0))</f>
        <v>0</v>
      </c>
      <c r="W366" s="6">
        <f>IF(ISERROR(VLOOKUP($T$366,'TAR FIN'!$A$1:$O$115,15,0)),0,VLOOKUP($T$366,'TAR FIN'!$A$1:$O$115,15,0))</f>
        <v>141.44</v>
      </c>
      <c r="X366" s="6">
        <f>IF(ISERROR(VLOOKUP($U$366,'TAR FIN'!$A$1:$O$115,15,0)),0,VLOOKUP($U$366,'TAR FIN'!$A$1:$O$115,15,0))</f>
        <v>61.8</v>
      </c>
      <c r="Y366" s="6"/>
      <c r="Z366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66" s="6">
        <f>('TE BE'!$AB$21+'TE BF'!$AB$21+'TE CVA'!$AB$21)*(1-CUSTOS!$M$34)</f>
        <v>80.738691054204196</v>
      </c>
      <c r="AB366" s="6">
        <f t="shared" si="18"/>
        <v>0</v>
      </c>
      <c r="AC366" s="6">
        <f>(L366-M366)*(W366+X366)+($W$522+$X$522-$W$366-$X$366)*(L366)</f>
        <v>237703.17024000004</v>
      </c>
      <c r="AD366" s="6">
        <f t="shared" si="20"/>
        <v>0</v>
      </c>
      <c r="AE366" s="6">
        <f ca="1">(L366-M366)*(Z366+AA366)+($Z$522+$AA$522-$Z$366-$AA$366)*(L366)</f>
        <v>266417.19536967593</v>
      </c>
      <c r="AF366" s="4" t="s">
        <v>938</v>
      </c>
    </row>
    <row r="367" spans="1:32" ht="11.25" customHeight="1" x14ac:dyDescent="0.25">
      <c r="A367" s="4" t="s">
        <v>29</v>
      </c>
      <c r="B367" s="4" t="s">
        <v>22</v>
      </c>
      <c r="C367" s="4" t="s">
        <v>23</v>
      </c>
      <c r="D367" s="4" t="s">
        <v>24</v>
      </c>
      <c r="E367" s="4" t="s">
        <v>31</v>
      </c>
      <c r="F367" s="4" t="s">
        <v>25</v>
      </c>
      <c r="G367" s="4" t="s">
        <v>25</v>
      </c>
      <c r="H367" s="4" t="s">
        <v>25</v>
      </c>
      <c r="I367" s="5">
        <v>44713</v>
      </c>
      <c r="J367" s="6">
        <v>0</v>
      </c>
      <c r="K367" s="6">
        <v>0</v>
      </c>
      <c r="L367" s="6">
        <v>1.1140000000000001</v>
      </c>
      <c r="M367" s="6">
        <v>1.1140000000000001</v>
      </c>
      <c r="N367" s="6">
        <v>1.1140000000000001</v>
      </c>
      <c r="O367" s="6">
        <v>1.1140000000000001</v>
      </c>
      <c r="P367" s="6">
        <v>10</v>
      </c>
      <c r="Q367" s="4" t="s">
        <v>26</v>
      </c>
      <c r="R367" s="4">
        <v>0</v>
      </c>
      <c r="S367" s="4">
        <v>0</v>
      </c>
      <c r="T367" s="4">
        <v>40</v>
      </c>
      <c r="U367" s="4">
        <v>84</v>
      </c>
      <c r="V367" s="6">
        <f>IF(ISERROR(VLOOKUP($S$367,'TAR FIN'!$A$1:$O$115,15,0)),0,VLOOKUP($S$367,'TAR FIN'!$A$1:$O$115,15,0))</f>
        <v>0</v>
      </c>
      <c r="W367" s="6">
        <f>IF(ISERROR(VLOOKUP($T$367,'TAR FIN'!$A$1:$O$115,15,0)),0,VLOOKUP($T$367,'TAR FIN'!$A$1:$O$115,15,0))</f>
        <v>141.44</v>
      </c>
      <c r="X367" s="6">
        <f>IF(ISERROR(VLOOKUP($U$367,'TAR FIN'!$A$1:$O$115,15,0)),0,VLOOKUP($U$367,'TAR FIN'!$A$1:$O$115,15,0))</f>
        <v>61.8</v>
      </c>
      <c r="Y367" s="6"/>
      <c r="Z367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67" s="6">
        <f>('TE BE'!$AB$21+'TE BF'!$AB$21+'TE CVA'!$AB$21)*(1-CUSTOS!$M$34)</f>
        <v>80.738691054204196</v>
      </c>
      <c r="AB367" s="6">
        <f t="shared" si="18"/>
        <v>0</v>
      </c>
      <c r="AC367" s="6">
        <f>(L367-M367)*(W367+X367)+($W$522+$X$522-$W$367-$X$367)*(L367)</f>
        <v>420.49044000000009</v>
      </c>
      <c r="AD367" s="6">
        <f t="shared" si="20"/>
        <v>0</v>
      </c>
      <c r="AE367" s="6">
        <f ca="1">(L367-M367)*(Z367+AA367)+($Z$522+$AA$522-$Z$367-$AA$367)*(L367)</f>
        <v>471.28476911541679</v>
      </c>
      <c r="AF367" s="4" t="s">
        <v>938</v>
      </c>
    </row>
    <row r="368" spans="1:32" ht="11.25" customHeight="1" x14ac:dyDescent="0.25">
      <c r="A368" s="4" t="s">
        <v>30</v>
      </c>
      <c r="B368" s="4" t="s">
        <v>22</v>
      </c>
      <c r="C368" s="4" t="s">
        <v>23</v>
      </c>
      <c r="D368" s="4" t="s">
        <v>24</v>
      </c>
      <c r="E368" s="4" t="s">
        <v>31</v>
      </c>
      <c r="F368" s="4" t="s">
        <v>25</v>
      </c>
      <c r="G368" s="4" t="s">
        <v>25</v>
      </c>
      <c r="H368" s="4" t="s">
        <v>25</v>
      </c>
      <c r="I368" s="5">
        <v>44713</v>
      </c>
      <c r="J368" s="6">
        <v>0</v>
      </c>
      <c r="K368" s="6">
        <v>0</v>
      </c>
      <c r="L368" s="6">
        <v>1.44</v>
      </c>
      <c r="M368" s="6">
        <v>1.44</v>
      </c>
      <c r="N368" s="6">
        <v>1.44</v>
      </c>
      <c r="O368" s="6">
        <v>1.44</v>
      </c>
      <c r="P368" s="6">
        <v>0</v>
      </c>
      <c r="Q368" s="4" t="s">
        <v>26</v>
      </c>
      <c r="R368" s="4">
        <v>0</v>
      </c>
      <c r="S368" s="4">
        <v>0</v>
      </c>
      <c r="T368" s="4">
        <v>40</v>
      </c>
      <c r="U368" s="4">
        <v>84</v>
      </c>
      <c r="V368" s="6">
        <f>IF(ISERROR(VLOOKUP($S$368,'TAR FIN'!$A$1:$O$115,15,0)),0,VLOOKUP($S$368,'TAR FIN'!$A$1:$O$115,15,0))</f>
        <v>0</v>
      </c>
      <c r="W368" s="6">
        <f>IF(ISERROR(VLOOKUP($T$368,'TAR FIN'!$A$1:$O$115,15,0)),0,VLOOKUP($T$368,'TAR FIN'!$A$1:$O$115,15,0))</f>
        <v>141.44</v>
      </c>
      <c r="X368" s="6">
        <f>IF(ISERROR(VLOOKUP($U$368,'TAR FIN'!$A$1:$O$115,15,0)),0,VLOOKUP($U$368,'TAR FIN'!$A$1:$O$115,15,0))</f>
        <v>61.8</v>
      </c>
      <c r="Y368" s="6"/>
      <c r="Z368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68" s="6">
        <f>('TE BE'!$AB$21+'TE BF'!$AB$21+'TE CVA'!$AB$21)*(1-CUSTOS!$M$34)</f>
        <v>80.738691054204196</v>
      </c>
      <c r="AB368" s="6">
        <f t="shared" si="18"/>
        <v>0</v>
      </c>
      <c r="AC368" s="6">
        <f>(L368-M368)*(W368+X368)+($W$522+$X$522-$W$368-$X$368)*(L368)</f>
        <v>543.54240000000004</v>
      </c>
      <c r="AD368" s="6">
        <f t="shared" si="20"/>
        <v>0</v>
      </c>
      <c r="AE368" s="6">
        <f ca="1">(L368-M368)*(Z368+AA368)+($Z$522+$AA$522-$Z$368-$AA$368)*(L368)</f>
        <v>609.20113781526038</v>
      </c>
      <c r="AF368" s="4" t="s">
        <v>938</v>
      </c>
    </row>
    <row r="369" spans="1:32" ht="11.25" customHeight="1" x14ac:dyDescent="0.25">
      <c r="A369" s="4" t="s">
        <v>21</v>
      </c>
      <c r="B369" s="4" t="s">
        <v>22</v>
      </c>
      <c r="C369" s="4" t="s">
        <v>23</v>
      </c>
      <c r="D369" s="4" t="s">
        <v>24</v>
      </c>
      <c r="E369" s="4" t="s">
        <v>31</v>
      </c>
      <c r="F369" s="4" t="s">
        <v>25</v>
      </c>
      <c r="G369" s="4" t="s">
        <v>25</v>
      </c>
      <c r="H369" s="4" t="s">
        <v>25</v>
      </c>
      <c r="I369" s="5">
        <v>44743</v>
      </c>
      <c r="J369" s="6">
        <v>0</v>
      </c>
      <c r="K369" s="6">
        <v>0</v>
      </c>
      <c r="L369" s="6">
        <v>1337.239</v>
      </c>
      <c r="M369" s="6">
        <v>1337.239</v>
      </c>
      <c r="N369" s="6">
        <v>1337.239</v>
      </c>
      <c r="O369" s="6">
        <v>1337.239</v>
      </c>
      <c r="P369" s="6">
        <v>3072</v>
      </c>
      <c r="Q369" s="4" t="s">
        <v>26</v>
      </c>
      <c r="R369" s="4">
        <v>0</v>
      </c>
      <c r="S369" s="4">
        <v>0</v>
      </c>
      <c r="T369" s="4">
        <v>40</v>
      </c>
      <c r="U369" s="4">
        <v>84</v>
      </c>
      <c r="V369" s="6">
        <f>IF(ISERROR(VLOOKUP($S$369,'TAR FIN'!$A$1:$O$115,15,0)),0,VLOOKUP($S$369,'TAR FIN'!$A$1:$O$115,15,0))</f>
        <v>0</v>
      </c>
      <c r="W369" s="6">
        <f>IF(ISERROR(VLOOKUP($T$369,'TAR FIN'!$A$1:$O$115,15,0)),0,VLOOKUP($T$369,'TAR FIN'!$A$1:$O$115,15,0))</f>
        <v>141.44</v>
      </c>
      <c r="X369" s="6">
        <f>IF(ISERROR(VLOOKUP($U$369,'TAR FIN'!$A$1:$O$115,15,0)),0,VLOOKUP($U$369,'TAR FIN'!$A$1:$O$115,15,0))</f>
        <v>61.8</v>
      </c>
      <c r="Y369" s="6"/>
      <c r="Z369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69" s="6">
        <f>('TE BE'!$AB$21+'TE BF'!$AB$21+'TE CVA'!$AB$21)*(1-CUSTOS!$M$34)</f>
        <v>80.738691054204196</v>
      </c>
      <c r="AB369" s="6">
        <f t="shared" si="18"/>
        <v>0</v>
      </c>
      <c r="AC369" s="6">
        <f>(L369-M369)*(W369+X369)+($W$522+$X$522-$W$369-$X$369)*(L369)</f>
        <v>504754.23294000007</v>
      </c>
      <c r="AD369" s="6">
        <f t="shared" si="20"/>
        <v>0</v>
      </c>
      <c r="AE369" s="6">
        <f ca="1">(L369-M369)*(Z369+AA369)+($Z$522+$AA$522-$Z$369-$AA$369)*(L369)</f>
        <v>565727.44467426464</v>
      </c>
      <c r="AF369" s="4" t="s">
        <v>938</v>
      </c>
    </row>
    <row r="370" spans="1:32" ht="11.25" customHeight="1" x14ac:dyDescent="0.25">
      <c r="A370" s="4" t="s">
        <v>27</v>
      </c>
      <c r="B370" s="4" t="s">
        <v>22</v>
      </c>
      <c r="C370" s="4" t="s">
        <v>23</v>
      </c>
      <c r="D370" s="4" t="s">
        <v>24</v>
      </c>
      <c r="E370" s="4" t="s">
        <v>31</v>
      </c>
      <c r="F370" s="4" t="s">
        <v>25</v>
      </c>
      <c r="G370" s="4" t="s">
        <v>25</v>
      </c>
      <c r="H370" s="4" t="s">
        <v>25</v>
      </c>
      <c r="I370" s="5">
        <v>44743</v>
      </c>
      <c r="J370" s="6">
        <v>0</v>
      </c>
      <c r="K370" s="6">
        <v>0</v>
      </c>
      <c r="L370" s="6">
        <v>10.766</v>
      </c>
      <c r="M370" s="6">
        <v>10.766</v>
      </c>
      <c r="N370" s="6">
        <v>10.766</v>
      </c>
      <c r="O370" s="6">
        <v>10.766</v>
      </c>
      <c r="P370" s="6">
        <v>61</v>
      </c>
      <c r="Q370" s="4" t="s">
        <v>26</v>
      </c>
      <c r="R370" s="4">
        <v>0</v>
      </c>
      <c r="S370" s="4">
        <v>0</v>
      </c>
      <c r="T370" s="4">
        <v>40</v>
      </c>
      <c r="U370" s="4">
        <v>84</v>
      </c>
      <c r="V370" s="6">
        <f>IF(ISERROR(VLOOKUP($S$370,'TAR FIN'!$A$1:$O$115,15,0)),0,VLOOKUP($S$370,'TAR FIN'!$A$1:$O$115,15,0))</f>
        <v>0</v>
      </c>
      <c r="W370" s="6">
        <f>IF(ISERROR(VLOOKUP($T$370,'TAR FIN'!$A$1:$O$115,15,0)),0,VLOOKUP($T$370,'TAR FIN'!$A$1:$O$115,15,0))</f>
        <v>141.44</v>
      </c>
      <c r="X370" s="6">
        <f>IF(ISERROR(VLOOKUP($U$370,'TAR FIN'!$A$1:$O$115,15,0)),0,VLOOKUP($U$370,'TAR FIN'!$A$1:$O$115,15,0))</f>
        <v>61.8</v>
      </c>
      <c r="Y370" s="6"/>
      <c r="Z370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70" s="6">
        <f>('TE BE'!$AB$21+'TE BF'!$AB$21+'TE CVA'!$AB$21)*(1-CUSTOS!$M$34)</f>
        <v>80.738691054204196</v>
      </c>
      <c r="AB370" s="6">
        <f t="shared" si="18"/>
        <v>0</v>
      </c>
      <c r="AC370" s="6">
        <f>(L370-M370)*(W370+X370)+($W$522+$X$522-$W$370-$X$370)*(L370)</f>
        <v>4063.7343600000004</v>
      </c>
      <c r="AD370" s="6">
        <f t="shared" si="20"/>
        <v>0</v>
      </c>
      <c r="AE370" s="6">
        <f ca="1">(L370-M370)*(Z370+AA370)+($Z$522+$AA$522-$Z$370-$AA$370)*(L370)</f>
        <v>4554.6246178604815</v>
      </c>
      <c r="AF370" s="4" t="s">
        <v>938</v>
      </c>
    </row>
    <row r="371" spans="1:32" ht="11.25" customHeight="1" x14ac:dyDescent="0.25">
      <c r="A371" s="4" t="s">
        <v>28</v>
      </c>
      <c r="B371" s="4" t="s">
        <v>22</v>
      </c>
      <c r="C371" s="4" t="s">
        <v>23</v>
      </c>
      <c r="D371" s="4" t="s">
        <v>24</v>
      </c>
      <c r="E371" s="4" t="s">
        <v>31</v>
      </c>
      <c r="F371" s="4" t="s">
        <v>25</v>
      </c>
      <c r="G371" s="4" t="s">
        <v>25</v>
      </c>
      <c r="H371" s="4" t="s">
        <v>25</v>
      </c>
      <c r="I371" s="5">
        <v>44743</v>
      </c>
      <c r="J371" s="6">
        <v>0</v>
      </c>
      <c r="K371" s="6">
        <v>0</v>
      </c>
      <c r="L371" s="6">
        <v>650.20100000000002</v>
      </c>
      <c r="M371" s="6">
        <v>650.20100000000002</v>
      </c>
      <c r="N371" s="6">
        <v>650.20100000000002</v>
      </c>
      <c r="O371" s="6">
        <v>650.20100000000002</v>
      </c>
      <c r="P371" s="6">
        <v>1741</v>
      </c>
      <c r="Q371" s="4" t="s">
        <v>26</v>
      </c>
      <c r="R371" s="4">
        <v>0</v>
      </c>
      <c r="S371" s="4">
        <v>0</v>
      </c>
      <c r="T371" s="4">
        <v>40</v>
      </c>
      <c r="U371" s="4">
        <v>84</v>
      </c>
      <c r="V371" s="6">
        <f>IF(ISERROR(VLOOKUP($S$371,'TAR FIN'!$A$1:$O$115,15,0)),0,VLOOKUP($S$371,'TAR FIN'!$A$1:$O$115,15,0))</f>
        <v>0</v>
      </c>
      <c r="W371" s="6">
        <f>IF(ISERROR(VLOOKUP($T$371,'TAR FIN'!$A$1:$O$115,15,0)),0,VLOOKUP($T$371,'TAR FIN'!$A$1:$O$115,15,0))</f>
        <v>141.44</v>
      </c>
      <c r="X371" s="6">
        <f>IF(ISERROR(VLOOKUP($U$371,'TAR FIN'!$A$1:$O$115,15,0)),0,VLOOKUP($U$371,'TAR FIN'!$A$1:$O$115,15,0))</f>
        <v>61.8</v>
      </c>
      <c r="Y371" s="6"/>
      <c r="Z371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71" s="6">
        <f>('TE BE'!$AB$21+'TE BF'!$AB$21+'TE CVA'!$AB$21)*(1-CUSTOS!$M$34)</f>
        <v>80.738691054204196</v>
      </c>
      <c r="AB371" s="6">
        <f t="shared" si="18"/>
        <v>0</v>
      </c>
      <c r="AC371" s="6">
        <f>(L371-M371)*(W371+X371)+($W$522+$X$522-$W$371-$X$371)*(L371)</f>
        <v>245424.86946000005</v>
      </c>
      <c r="AD371" s="6">
        <f t="shared" si="20"/>
        <v>0</v>
      </c>
      <c r="AE371" s="6">
        <f ca="1">(L371-M371)*(Z371+AA371)+($Z$522+$AA$522-$Z$371-$AA$371)*(L371)</f>
        <v>275071.65903376398</v>
      </c>
      <c r="AF371" s="4" t="s">
        <v>938</v>
      </c>
    </row>
    <row r="372" spans="1:32" ht="11.25" customHeight="1" x14ac:dyDescent="0.25">
      <c r="A372" s="4" t="s">
        <v>29</v>
      </c>
      <c r="B372" s="4" t="s">
        <v>22</v>
      </c>
      <c r="C372" s="4" t="s">
        <v>23</v>
      </c>
      <c r="D372" s="4" t="s">
        <v>24</v>
      </c>
      <c r="E372" s="4" t="s">
        <v>31</v>
      </c>
      <c r="F372" s="4" t="s">
        <v>25</v>
      </c>
      <c r="G372" s="4" t="s">
        <v>25</v>
      </c>
      <c r="H372" s="4" t="s">
        <v>25</v>
      </c>
      <c r="I372" s="5">
        <v>44743</v>
      </c>
      <c r="J372" s="6">
        <v>0</v>
      </c>
      <c r="K372" s="6">
        <v>0</v>
      </c>
      <c r="L372" s="6">
        <v>0.53400000000000003</v>
      </c>
      <c r="M372" s="6">
        <v>0.53400000000000003</v>
      </c>
      <c r="N372" s="6">
        <v>0.53400000000000003</v>
      </c>
      <c r="O372" s="6">
        <v>0.53400000000000003</v>
      </c>
      <c r="P372" s="6">
        <v>15</v>
      </c>
      <c r="Q372" s="4" t="s">
        <v>26</v>
      </c>
      <c r="R372" s="4">
        <v>0</v>
      </c>
      <c r="S372" s="4">
        <v>0</v>
      </c>
      <c r="T372" s="4">
        <v>40</v>
      </c>
      <c r="U372" s="4">
        <v>84</v>
      </c>
      <c r="V372" s="6">
        <f>IF(ISERROR(VLOOKUP($S$372,'TAR FIN'!$A$1:$O$115,15,0)),0,VLOOKUP($S$372,'TAR FIN'!$A$1:$O$115,15,0))</f>
        <v>0</v>
      </c>
      <c r="W372" s="6">
        <f>IF(ISERROR(VLOOKUP($T$372,'TAR FIN'!$A$1:$O$115,15,0)),0,VLOOKUP($T$372,'TAR FIN'!$A$1:$O$115,15,0))</f>
        <v>141.44</v>
      </c>
      <c r="X372" s="6">
        <f>IF(ISERROR(VLOOKUP($U$372,'TAR FIN'!$A$1:$O$115,15,0)),0,VLOOKUP($U$372,'TAR FIN'!$A$1:$O$115,15,0))</f>
        <v>61.8</v>
      </c>
      <c r="Y372" s="6"/>
      <c r="Z372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72" s="6">
        <f>('TE BE'!$AB$21+'TE BF'!$AB$21+'TE CVA'!$AB$21)*(1-CUSTOS!$M$34)</f>
        <v>80.738691054204196</v>
      </c>
      <c r="AB372" s="6">
        <f t="shared" si="18"/>
        <v>0</v>
      </c>
      <c r="AC372" s="6">
        <f>(L372-M372)*(W372+X372)+($W$522+$X$522-$W$372-$X$372)*(L372)</f>
        <v>201.56364000000002</v>
      </c>
      <c r="AD372" s="6">
        <f t="shared" si="20"/>
        <v>0</v>
      </c>
      <c r="AE372" s="6">
        <f ca="1">(L372-M372)*(Z372+AA372)+($Z$522+$AA$522-$Z$372-$AA$372)*(L372)</f>
        <v>225.91208860649243</v>
      </c>
      <c r="AF372" s="4" t="s">
        <v>938</v>
      </c>
    </row>
    <row r="373" spans="1:32" ht="11.25" customHeight="1" x14ac:dyDescent="0.25">
      <c r="A373" s="4" t="s">
        <v>30</v>
      </c>
      <c r="B373" s="4" t="s">
        <v>22</v>
      </c>
      <c r="C373" s="4" t="s">
        <v>23</v>
      </c>
      <c r="D373" s="4" t="s">
        <v>24</v>
      </c>
      <c r="E373" s="4" t="s">
        <v>31</v>
      </c>
      <c r="F373" s="4" t="s">
        <v>25</v>
      </c>
      <c r="G373" s="4" t="s">
        <v>25</v>
      </c>
      <c r="H373" s="4" t="s">
        <v>25</v>
      </c>
      <c r="I373" s="5">
        <v>44743</v>
      </c>
      <c r="J373" s="6">
        <v>0</v>
      </c>
      <c r="K373" s="6">
        <v>0</v>
      </c>
      <c r="L373" s="6">
        <v>1.56</v>
      </c>
      <c r="M373" s="6">
        <v>1.56</v>
      </c>
      <c r="N373" s="6">
        <v>1.56</v>
      </c>
      <c r="O373" s="6">
        <v>1.56</v>
      </c>
      <c r="P373" s="6">
        <v>0</v>
      </c>
      <c r="Q373" s="4" t="s">
        <v>26</v>
      </c>
      <c r="R373" s="4">
        <v>0</v>
      </c>
      <c r="S373" s="4">
        <v>0</v>
      </c>
      <c r="T373" s="4">
        <v>40</v>
      </c>
      <c r="U373" s="4">
        <v>84</v>
      </c>
      <c r="V373" s="6">
        <f>IF(ISERROR(VLOOKUP($S$373,'TAR FIN'!$A$1:$O$115,15,0)),0,VLOOKUP($S$373,'TAR FIN'!$A$1:$O$115,15,0))</f>
        <v>0</v>
      </c>
      <c r="W373" s="6">
        <f>IF(ISERROR(VLOOKUP($T$373,'TAR FIN'!$A$1:$O$115,15,0)),0,VLOOKUP($T$373,'TAR FIN'!$A$1:$O$115,15,0))</f>
        <v>141.44</v>
      </c>
      <c r="X373" s="6">
        <f>IF(ISERROR(VLOOKUP($U$373,'TAR FIN'!$A$1:$O$115,15,0)),0,VLOOKUP($U$373,'TAR FIN'!$A$1:$O$115,15,0))</f>
        <v>61.8</v>
      </c>
      <c r="Y373" s="6"/>
      <c r="Z373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73" s="6">
        <f>('TE BE'!$AB$21+'TE BF'!$AB$21+'TE CVA'!$AB$21)*(1-CUSTOS!$M$34)</f>
        <v>80.738691054204196</v>
      </c>
      <c r="AB373" s="6">
        <f t="shared" si="18"/>
        <v>0</v>
      </c>
      <c r="AC373" s="6">
        <f>(L373-M373)*(W373+X373)+($W$522+$X$522-$W$373-$X$373)*(L373)</f>
        <v>588.83760000000007</v>
      </c>
      <c r="AD373" s="6">
        <f t="shared" si="20"/>
        <v>0</v>
      </c>
      <c r="AE373" s="6">
        <f ca="1">(L373-M373)*(Z373+AA373)+($Z$522+$AA$522-$Z$373-$AA$373)*(L373)</f>
        <v>659.96789929986551</v>
      </c>
      <c r="AF373" s="4" t="s">
        <v>938</v>
      </c>
    </row>
    <row r="374" spans="1:32" ht="11.25" customHeight="1" x14ac:dyDescent="0.25">
      <c r="A374" s="4" t="s">
        <v>21</v>
      </c>
      <c r="B374" s="4" t="s">
        <v>22</v>
      </c>
      <c r="C374" s="4" t="s">
        <v>23</v>
      </c>
      <c r="D374" s="4" t="s">
        <v>24</v>
      </c>
      <c r="E374" s="4" t="s">
        <v>31</v>
      </c>
      <c r="F374" s="4" t="s">
        <v>25</v>
      </c>
      <c r="G374" s="4" t="s">
        <v>25</v>
      </c>
      <c r="H374" s="4" t="s">
        <v>25</v>
      </c>
      <c r="I374" s="5">
        <v>44774</v>
      </c>
      <c r="J374" s="6">
        <v>0</v>
      </c>
      <c r="K374" s="6">
        <v>0</v>
      </c>
      <c r="L374" s="6">
        <v>1083.0219999999999</v>
      </c>
      <c r="M374" s="6">
        <v>1083.0219999999999</v>
      </c>
      <c r="N374" s="6">
        <v>1083.0219999999999</v>
      </c>
      <c r="O374" s="6">
        <v>1083.0219999999999</v>
      </c>
      <c r="P374" s="6">
        <v>2005</v>
      </c>
      <c r="Q374" s="4" t="s">
        <v>26</v>
      </c>
      <c r="R374" s="4">
        <v>0</v>
      </c>
      <c r="S374" s="4">
        <v>0</v>
      </c>
      <c r="T374" s="4">
        <v>40</v>
      </c>
      <c r="U374" s="4">
        <v>84</v>
      </c>
      <c r="V374" s="6">
        <f>IF(ISERROR(VLOOKUP($S$374,'TAR FIN'!$A$1:$O$115,15,0)),0,VLOOKUP($S$374,'TAR FIN'!$A$1:$O$115,15,0))</f>
        <v>0</v>
      </c>
      <c r="W374" s="6">
        <f>IF(ISERROR(VLOOKUP($T$374,'TAR FIN'!$A$1:$O$115,15,0)),0,VLOOKUP($T$374,'TAR FIN'!$A$1:$O$115,15,0))</f>
        <v>141.44</v>
      </c>
      <c r="X374" s="6">
        <f>IF(ISERROR(VLOOKUP($U$374,'TAR FIN'!$A$1:$O$115,15,0)),0,VLOOKUP($U$374,'TAR FIN'!$A$1:$O$115,15,0))</f>
        <v>61.8</v>
      </c>
      <c r="Y374" s="6"/>
      <c r="Z374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74" s="6">
        <f>('TE BE'!$AB$21+'TE BF'!$AB$21+'TE CVA'!$AB$21)*(1-CUSTOS!$M$34)</f>
        <v>80.738691054204196</v>
      </c>
      <c r="AB374" s="6">
        <f t="shared" si="18"/>
        <v>0</v>
      </c>
      <c r="AC374" s="6">
        <f>(L374-M374)*(W374+X374)+($W$522+$X$522-$W$374-$X$374)*(L374)</f>
        <v>408797.48412000004</v>
      </c>
      <c r="AD374" s="6">
        <f t="shared" si="20"/>
        <v>0</v>
      </c>
      <c r="AE374" s="6">
        <f ca="1">(L374-M374)*(Z374+AA374)+($Z$522+$AA$522-$Z$374-$AA$374)*(L374)</f>
        <v>458179.32963816595</v>
      </c>
      <c r="AF374" s="4" t="s">
        <v>938</v>
      </c>
    </row>
    <row r="375" spans="1:32" ht="11.25" customHeight="1" x14ac:dyDescent="0.25">
      <c r="A375" s="4" t="s">
        <v>27</v>
      </c>
      <c r="B375" s="4" t="s">
        <v>22</v>
      </c>
      <c r="C375" s="4" t="s">
        <v>23</v>
      </c>
      <c r="D375" s="4" t="s">
        <v>24</v>
      </c>
      <c r="E375" s="4" t="s">
        <v>31</v>
      </c>
      <c r="F375" s="4" t="s">
        <v>25</v>
      </c>
      <c r="G375" s="4" t="s">
        <v>25</v>
      </c>
      <c r="H375" s="4" t="s">
        <v>25</v>
      </c>
      <c r="I375" s="5">
        <v>44774</v>
      </c>
      <c r="J375" s="6">
        <v>0</v>
      </c>
      <c r="K375" s="6">
        <v>0</v>
      </c>
      <c r="L375" s="6">
        <v>6.1360000000000001</v>
      </c>
      <c r="M375" s="6">
        <v>6.1360000000000001</v>
      </c>
      <c r="N375" s="6">
        <v>6.1360000000000001</v>
      </c>
      <c r="O375" s="6">
        <v>6.1360000000000001</v>
      </c>
      <c r="P375" s="6">
        <v>31</v>
      </c>
      <c r="Q375" s="4" t="s">
        <v>26</v>
      </c>
      <c r="R375" s="4">
        <v>0</v>
      </c>
      <c r="S375" s="4">
        <v>0</v>
      </c>
      <c r="T375" s="4">
        <v>40</v>
      </c>
      <c r="U375" s="4">
        <v>84</v>
      </c>
      <c r="V375" s="6">
        <f>IF(ISERROR(VLOOKUP($S$375,'TAR FIN'!$A$1:$O$115,15,0)),0,VLOOKUP($S$375,'TAR FIN'!$A$1:$O$115,15,0))</f>
        <v>0</v>
      </c>
      <c r="W375" s="6">
        <f>IF(ISERROR(VLOOKUP($T$375,'TAR FIN'!$A$1:$O$115,15,0)),0,VLOOKUP($T$375,'TAR FIN'!$A$1:$O$115,15,0))</f>
        <v>141.44</v>
      </c>
      <c r="X375" s="6">
        <f>IF(ISERROR(VLOOKUP($U$375,'TAR FIN'!$A$1:$O$115,15,0)),0,VLOOKUP($U$375,'TAR FIN'!$A$1:$O$115,15,0))</f>
        <v>61.8</v>
      </c>
      <c r="Y375" s="6"/>
      <c r="Z375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75" s="6">
        <f>('TE BE'!$AB$21+'TE BF'!$AB$21+'TE CVA'!$AB$21)*(1-CUSTOS!$M$34)</f>
        <v>80.738691054204196</v>
      </c>
      <c r="AB375" s="6">
        <f t="shared" si="18"/>
        <v>0</v>
      </c>
      <c r="AC375" s="6">
        <f>(L375-M375)*(W375+X375)+($W$522+$X$522-$W$375-$X$375)*(L375)</f>
        <v>2316.0945600000005</v>
      </c>
      <c r="AD375" s="6">
        <f t="shared" si="20"/>
        <v>0</v>
      </c>
      <c r="AE375" s="6">
        <f ca="1">(L375-M375)*(Z375+AA375)+($Z$522+$AA$522-$Z$375-$AA$375)*(L375)</f>
        <v>2595.8737372461374</v>
      </c>
      <c r="AF375" s="4" t="s">
        <v>938</v>
      </c>
    </row>
    <row r="376" spans="1:32" ht="11.25" customHeight="1" x14ac:dyDescent="0.25">
      <c r="A376" s="4" t="s">
        <v>28</v>
      </c>
      <c r="B376" s="4" t="s">
        <v>22</v>
      </c>
      <c r="C376" s="4" t="s">
        <v>23</v>
      </c>
      <c r="D376" s="4" t="s">
        <v>24</v>
      </c>
      <c r="E376" s="4" t="s">
        <v>31</v>
      </c>
      <c r="F376" s="4" t="s">
        <v>25</v>
      </c>
      <c r="G376" s="4" t="s">
        <v>25</v>
      </c>
      <c r="H376" s="4" t="s">
        <v>25</v>
      </c>
      <c r="I376" s="5">
        <v>44774</v>
      </c>
      <c r="J376" s="6">
        <v>0</v>
      </c>
      <c r="K376" s="6">
        <v>0</v>
      </c>
      <c r="L376" s="6">
        <v>916.375</v>
      </c>
      <c r="M376" s="6">
        <v>916.375</v>
      </c>
      <c r="N376" s="6">
        <v>916.375</v>
      </c>
      <c r="O376" s="6">
        <v>916.375</v>
      </c>
      <c r="P376" s="6">
        <v>2596</v>
      </c>
      <c r="Q376" s="4" t="s">
        <v>26</v>
      </c>
      <c r="R376" s="4">
        <v>0</v>
      </c>
      <c r="S376" s="4">
        <v>0</v>
      </c>
      <c r="T376" s="4">
        <v>40</v>
      </c>
      <c r="U376" s="4">
        <v>84</v>
      </c>
      <c r="V376" s="6">
        <f>IF(ISERROR(VLOOKUP($S$376,'TAR FIN'!$A$1:$O$115,15,0)),0,VLOOKUP($S$376,'TAR FIN'!$A$1:$O$115,15,0))</f>
        <v>0</v>
      </c>
      <c r="W376" s="6">
        <f>IF(ISERROR(VLOOKUP($T$376,'TAR FIN'!$A$1:$O$115,15,0)),0,VLOOKUP($T$376,'TAR FIN'!$A$1:$O$115,15,0))</f>
        <v>141.44</v>
      </c>
      <c r="X376" s="6">
        <f>IF(ISERROR(VLOOKUP($U$376,'TAR FIN'!$A$1:$O$115,15,0)),0,VLOOKUP($U$376,'TAR FIN'!$A$1:$O$115,15,0))</f>
        <v>61.8</v>
      </c>
      <c r="Y376" s="6"/>
      <c r="Z376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76" s="6">
        <f>('TE BE'!$AB$21+'TE BF'!$AB$21+'TE CVA'!$AB$21)*(1-CUSTOS!$M$34)</f>
        <v>80.738691054204196</v>
      </c>
      <c r="AB376" s="6">
        <f t="shared" si="18"/>
        <v>0</v>
      </c>
      <c r="AC376" s="6">
        <f>(L376-M376)*(W376+X376)+($W$522+$X$522-$W$376-$X$376)*(L376)</f>
        <v>345894.90750000003</v>
      </c>
      <c r="AD376" s="6">
        <f t="shared" si="20"/>
        <v>0</v>
      </c>
      <c r="AE376" s="6">
        <f ca="1">(L376-M376)*(Z376+AA376)+($Z$522+$AA$522-$Z$376-$AA$376)*(L376)</f>
        <v>387678.25879545783</v>
      </c>
      <c r="AF376" s="4" t="s">
        <v>938</v>
      </c>
    </row>
    <row r="377" spans="1:32" ht="11.25" customHeight="1" x14ac:dyDescent="0.25">
      <c r="A377" s="4" t="s">
        <v>29</v>
      </c>
      <c r="B377" s="4" t="s">
        <v>22</v>
      </c>
      <c r="C377" s="4" t="s">
        <v>23</v>
      </c>
      <c r="D377" s="4" t="s">
        <v>24</v>
      </c>
      <c r="E377" s="4" t="s">
        <v>31</v>
      </c>
      <c r="F377" s="4" t="s">
        <v>25</v>
      </c>
      <c r="G377" s="4" t="s">
        <v>25</v>
      </c>
      <c r="H377" s="4" t="s">
        <v>25</v>
      </c>
      <c r="I377" s="5">
        <v>44774</v>
      </c>
      <c r="J377" s="6">
        <v>0</v>
      </c>
      <c r="K377" s="6">
        <v>0</v>
      </c>
      <c r="L377" s="6">
        <v>2.6059999999999999</v>
      </c>
      <c r="M377" s="6">
        <v>2.6059999999999999</v>
      </c>
      <c r="N377" s="6">
        <v>2.6059999999999999</v>
      </c>
      <c r="O377" s="6">
        <v>2.6059999999999999</v>
      </c>
      <c r="P377" s="6">
        <v>30</v>
      </c>
      <c r="Q377" s="4" t="s">
        <v>26</v>
      </c>
      <c r="R377" s="4">
        <v>0</v>
      </c>
      <c r="S377" s="4">
        <v>0</v>
      </c>
      <c r="T377" s="4">
        <v>40</v>
      </c>
      <c r="U377" s="4">
        <v>84</v>
      </c>
      <c r="V377" s="6">
        <f>IF(ISERROR(VLOOKUP($S$377,'TAR FIN'!$A$1:$O$115,15,0)),0,VLOOKUP($S$377,'TAR FIN'!$A$1:$O$115,15,0))</f>
        <v>0</v>
      </c>
      <c r="W377" s="6">
        <f>IF(ISERROR(VLOOKUP($T$377,'TAR FIN'!$A$1:$O$115,15,0)),0,VLOOKUP($T$377,'TAR FIN'!$A$1:$O$115,15,0))</f>
        <v>141.44</v>
      </c>
      <c r="X377" s="6">
        <f>IF(ISERROR(VLOOKUP($U$377,'TAR FIN'!$A$1:$O$115,15,0)),0,VLOOKUP($U$377,'TAR FIN'!$A$1:$O$115,15,0))</f>
        <v>61.8</v>
      </c>
      <c r="Y377" s="6"/>
      <c r="Z377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77" s="6">
        <f>('TE BE'!$AB$21+'TE BF'!$AB$21+'TE CVA'!$AB$21)*(1-CUSTOS!$M$34)</f>
        <v>80.738691054204196</v>
      </c>
      <c r="AB377" s="6">
        <f t="shared" si="18"/>
        <v>0</v>
      </c>
      <c r="AC377" s="6">
        <f>(L377-M377)*(W377+X377)+($W$522+$X$522-$W$377-$X$377)*(L377)</f>
        <v>983.6607600000001</v>
      </c>
      <c r="AD377" s="6">
        <f t="shared" si="20"/>
        <v>0</v>
      </c>
      <c r="AE377" s="6">
        <f ca="1">(L377-M377)*(Z377+AA377)+($Z$522+$AA$522-$Z$377-$AA$377)*(L377)</f>
        <v>1102.4848369073393</v>
      </c>
      <c r="AF377" s="4" t="s">
        <v>938</v>
      </c>
    </row>
    <row r="378" spans="1:32" ht="11.25" customHeight="1" x14ac:dyDescent="0.25">
      <c r="A378" s="4" t="s">
        <v>30</v>
      </c>
      <c r="B378" s="4" t="s">
        <v>22</v>
      </c>
      <c r="C378" s="4" t="s">
        <v>23</v>
      </c>
      <c r="D378" s="4" t="s">
        <v>24</v>
      </c>
      <c r="E378" s="4" t="s">
        <v>31</v>
      </c>
      <c r="F378" s="4" t="s">
        <v>25</v>
      </c>
      <c r="G378" s="4" t="s">
        <v>25</v>
      </c>
      <c r="H378" s="4" t="s">
        <v>25</v>
      </c>
      <c r="I378" s="5">
        <v>44774</v>
      </c>
      <c r="J378" s="6">
        <v>0</v>
      </c>
      <c r="K378" s="6">
        <v>0</v>
      </c>
      <c r="L378" s="6">
        <v>1.62</v>
      </c>
      <c r="M378" s="6">
        <v>1.62</v>
      </c>
      <c r="N378" s="6">
        <v>1.62</v>
      </c>
      <c r="O378" s="6">
        <v>1.62</v>
      </c>
      <c r="P378" s="6">
        <v>0</v>
      </c>
      <c r="Q378" s="4" t="s">
        <v>26</v>
      </c>
      <c r="R378" s="4">
        <v>0</v>
      </c>
      <c r="S378" s="4">
        <v>0</v>
      </c>
      <c r="T378" s="4">
        <v>40</v>
      </c>
      <c r="U378" s="4">
        <v>84</v>
      </c>
      <c r="V378" s="6">
        <f>IF(ISERROR(VLOOKUP($S$378,'TAR FIN'!$A$1:$O$115,15,0)),0,VLOOKUP($S$378,'TAR FIN'!$A$1:$O$115,15,0))</f>
        <v>0</v>
      </c>
      <c r="W378" s="6">
        <f>IF(ISERROR(VLOOKUP($T$378,'TAR FIN'!$A$1:$O$115,15,0)),0,VLOOKUP($T$378,'TAR FIN'!$A$1:$O$115,15,0))</f>
        <v>141.44</v>
      </c>
      <c r="X378" s="6">
        <f>IF(ISERROR(VLOOKUP($U$378,'TAR FIN'!$A$1:$O$115,15,0)),0,VLOOKUP($U$378,'TAR FIN'!$A$1:$O$115,15,0))</f>
        <v>61.8</v>
      </c>
      <c r="Y378" s="6"/>
      <c r="Z378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78" s="6">
        <f>('TE BE'!$AB$21+'TE BF'!$AB$21+'TE CVA'!$AB$21)*(1-CUSTOS!$M$34)</f>
        <v>80.738691054204196</v>
      </c>
      <c r="AB378" s="6">
        <f t="shared" si="18"/>
        <v>0</v>
      </c>
      <c r="AC378" s="6">
        <f>(L378-M378)*(W378+X378)+($W$522+$X$522-$W$378-$X$378)*(L378)</f>
        <v>611.48520000000008</v>
      </c>
      <c r="AD378" s="6">
        <f t="shared" si="20"/>
        <v>0</v>
      </c>
      <c r="AE378" s="6">
        <f ca="1">(L378-M378)*(Z378+AA378)+($Z$522+$AA$522-$Z$378-$AA$378)*(L378)</f>
        <v>685.35128004216801</v>
      </c>
      <c r="AF378" s="4" t="s">
        <v>938</v>
      </c>
    </row>
    <row r="379" spans="1:32" ht="11.25" customHeight="1" x14ac:dyDescent="0.25">
      <c r="A379" s="4" t="s">
        <v>30</v>
      </c>
      <c r="B379" s="4" t="s">
        <v>22</v>
      </c>
      <c r="C379" s="4" t="s">
        <v>23</v>
      </c>
      <c r="D379" s="4" t="s">
        <v>24</v>
      </c>
      <c r="E379" s="4" t="s">
        <v>31</v>
      </c>
      <c r="F379" s="4" t="s">
        <v>25</v>
      </c>
      <c r="G379" s="4" t="s">
        <v>25</v>
      </c>
      <c r="H379" s="4" t="s">
        <v>25</v>
      </c>
      <c r="I379" s="5">
        <v>44774</v>
      </c>
      <c r="J379" s="6">
        <v>0</v>
      </c>
      <c r="K379" s="6">
        <v>0</v>
      </c>
      <c r="L379" s="6">
        <v>0.624</v>
      </c>
      <c r="M379" s="6">
        <v>0.624</v>
      </c>
      <c r="N379" s="6">
        <v>0.624</v>
      </c>
      <c r="O379" s="6">
        <v>0.624</v>
      </c>
      <c r="P379" s="6">
        <v>1</v>
      </c>
      <c r="Q379" s="4" t="s">
        <v>26</v>
      </c>
      <c r="R379" s="4">
        <v>0</v>
      </c>
      <c r="S379" s="4">
        <v>0</v>
      </c>
      <c r="T379" s="4">
        <v>40</v>
      </c>
      <c r="U379" s="4">
        <v>84</v>
      </c>
      <c r="V379" s="6">
        <f>IF(ISERROR(VLOOKUP($S$379,'TAR FIN'!$A$1:$O$115,15,0)),0,VLOOKUP($S$379,'TAR FIN'!$A$1:$O$115,15,0))</f>
        <v>0</v>
      </c>
      <c r="W379" s="6">
        <f>IF(ISERROR(VLOOKUP($T$379,'TAR FIN'!$A$1:$O$115,15,0)),0,VLOOKUP($T$379,'TAR FIN'!$A$1:$O$115,15,0))</f>
        <v>141.44</v>
      </c>
      <c r="X379" s="6">
        <f>IF(ISERROR(VLOOKUP($U$379,'TAR FIN'!$A$1:$O$115,15,0)),0,VLOOKUP($U$379,'TAR FIN'!$A$1:$O$115,15,0))</f>
        <v>61.8</v>
      </c>
      <c r="Y379" s="6"/>
      <c r="Z379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79" s="6">
        <f>('TE BE'!$AB$21+'TE BF'!$AB$21+'TE CVA'!$AB$21)*(1-CUSTOS!$M$34)</f>
        <v>80.738691054204196</v>
      </c>
      <c r="AB379" s="6">
        <f t="shared" si="18"/>
        <v>0</v>
      </c>
      <c r="AC379" s="6">
        <f>(L379-M379)*(W379+X379)+($W$522+$X$522-$W$379-$X$379)*(L379)</f>
        <v>235.53504000000001</v>
      </c>
      <c r="AD379" s="6">
        <f t="shared" si="20"/>
        <v>0</v>
      </c>
      <c r="AE379" s="6">
        <f ca="1">(L379-M379)*(Z379+AA379)+($Z$522+$AA$522-$Z$379-$AA$379)*(L379)</f>
        <v>263.98715971994619</v>
      </c>
      <c r="AF379" s="4" t="s">
        <v>938</v>
      </c>
    </row>
    <row r="380" spans="1:32" ht="11.25" customHeight="1" x14ac:dyDescent="0.25">
      <c r="A380" s="4" t="s">
        <v>21</v>
      </c>
      <c r="B380" s="4" t="s">
        <v>22</v>
      </c>
      <c r="C380" s="4" t="s">
        <v>23</v>
      </c>
      <c r="D380" s="4" t="s">
        <v>24</v>
      </c>
      <c r="E380" s="4" t="s">
        <v>31</v>
      </c>
      <c r="F380" s="4" t="s">
        <v>25</v>
      </c>
      <c r="G380" s="4" t="s">
        <v>25</v>
      </c>
      <c r="H380" s="4" t="s">
        <v>25</v>
      </c>
      <c r="I380" s="5">
        <v>44805</v>
      </c>
      <c r="J380" s="6">
        <v>0</v>
      </c>
      <c r="K380" s="6">
        <v>0</v>
      </c>
      <c r="L380" s="6">
        <v>1373.327</v>
      </c>
      <c r="M380" s="6">
        <v>1373.327</v>
      </c>
      <c r="N380" s="6">
        <v>1373.327</v>
      </c>
      <c r="O380" s="6">
        <v>1373.327</v>
      </c>
      <c r="P380" s="6">
        <v>2934</v>
      </c>
      <c r="Q380" s="4" t="s">
        <v>26</v>
      </c>
      <c r="R380" s="4">
        <v>0</v>
      </c>
      <c r="S380" s="4">
        <v>0</v>
      </c>
      <c r="T380" s="4">
        <v>40</v>
      </c>
      <c r="U380" s="4">
        <v>84</v>
      </c>
      <c r="V380" s="6">
        <f>IF(ISERROR(VLOOKUP($S$380,'TAR FIN'!$A$1:$O$115,15,0)),0,VLOOKUP($S$380,'TAR FIN'!$A$1:$O$115,15,0))</f>
        <v>0</v>
      </c>
      <c r="W380" s="6">
        <f>IF(ISERROR(VLOOKUP($T$380,'TAR FIN'!$A$1:$O$115,15,0)),0,VLOOKUP($T$380,'TAR FIN'!$A$1:$O$115,15,0))</f>
        <v>141.44</v>
      </c>
      <c r="X380" s="6">
        <f>IF(ISERROR(VLOOKUP($U$380,'TAR FIN'!$A$1:$O$115,15,0)),0,VLOOKUP($U$380,'TAR FIN'!$A$1:$O$115,15,0))</f>
        <v>61.8</v>
      </c>
      <c r="Y380" s="6"/>
      <c r="Z380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80" s="6">
        <f>('TE BE'!$AB$21+'TE BF'!$AB$21+'TE CVA'!$AB$21)*(1-CUSTOS!$M$34)</f>
        <v>80.738691054204196</v>
      </c>
      <c r="AB380" s="6">
        <f t="shared" si="18"/>
        <v>0</v>
      </c>
      <c r="AC380" s="6">
        <f>(L380-M380)*(W380+X380)+($W$522+$X$522-$W$380-$X$380)*(L380)</f>
        <v>518376.00942000007</v>
      </c>
      <c r="AD380" s="6">
        <f t="shared" si="20"/>
        <v>0</v>
      </c>
      <c r="AE380" s="6">
        <f ca="1">(L380-M380)*(Z380+AA380)+($Z$522+$AA$522-$Z$380-$AA$380)*(L380)</f>
        <v>580994.70207806816</v>
      </c>
      <c r="AF380" s="4" t="s">
        <v>938</v>
      </c>
    </row>
    <row r="381" spans="1:32" ht="11.25" customHeight="1" x14ac:dyDescent="0.25">
      <c r="A381" s="4" t="s">
        <v>27</v>
      </c>
      <c r="B381" s="4" t="s">
        <v>22</v>
      </c>
      <c r="C381" s="4" t="s">
        <v>23</v>
      </c>
      <c r="D381" s="4" t="s">
        <v>24</v>
      </c>
      <c r="E381" s="4" t="s">
        <v>31</v>
      </c>
      <c r="F381" s="4" t="s">
        <v>25</v>
      </c>
      <c r="G381" s="4" t="s">
        <v>25</v>
      </c>
      <c r="H381" s="4" t="s">
        <v>25</v>
      </c>
      <c r="I381" s="5">
        <v>44805</v>
      </c>
      <c r="J381" s="6">
        <v>0</v>
      </c>
      <c r="K381" s="6">
        <v>0</v>
      </c>
      <c r="L381" s="6">
        <v>2.96</v>
      </c>
      <c r="M381" s="6">
        <v>2.96</v>
      </c>
      <c r="N381" s="6">
        <v>2.96</v>
      </c>
      <c r="O381" s="6">
        <v>2.96</v>
      </c>
      <c r="P381" s="6">
        <v>19</v>
      </c>
      <c r="Q381" s="4" t="s">
        <v>26</v>
      </c>
      <c r="R381" s="4">
        <v>0</v>
      </c>
      <c r="S381" s="4">
        <v>0</v>
      </c>
      <c r="T381" s="4">
        <v>40</v>
      </c>
      <c r="U381" s="4">
        <v>84</v>
      </c>
      <c r="V381" s="6">
        <f>IF(ISERROR(VLOOKUP($S$381,'TAR FIN'!$A$1:$O$115,15,0)),0,VLOOKUP($S$381,'TAR FIN'!$A$1:$O$115,15,0))</f>
        <v>0</v>
      </c>
      <c r="W381" s="6">
        <f>IF(ISERROR(VLOOKUP($T$381,'TAR FIN'!$A$1:$O$115,15,0)),0,VLOOKUP($T$381,'TAR FIN'!$A$1:$O$115,15,0))</f>
        <v>141.44</v>
      </c>
      <c r="X381" s="6">
        <f>IF(ISERROR(VLOOKUP($U$381,'TAR FIN'!$A$1:$O$115,15,0)),0,VLOOKUP($U$381,'TAR FIN'!$A$1:$O$115,15,0))</f>
        <v>61.8</v>
      </c>
      <c r="Y381" s="6"/>
      <c r="Z381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81" s="6">
        <f>('TE BE'!$AB$21+'TE BF'!$AB$21+'TE CVA'!$AB$21)*(1-CUSTOS!$M$34)</f>
        <v>80.738691054204196</v>
      </c>
      <c r="AB381" s="6">
        <f t="shared" si="18"/>
        <v>0</v>
      </c>
      <c r="AC381" s="6">
        <f>(L381-M381)*(W381+X381)+($W$522+$X$522-$W$381-$X$381)*(L381)</f>
        <v>1117.2816</v>
      </c>
      <c r="AD381" s="6">
        <f t="shared" si="20"/>
        <v>0</v>
      </c>
      <c r="AE381" s="6">
        <f ca="1">(L381-M381)*(Z381+AA381)+($Z$522+$AA$522-$Z$381-$AA$381)*(L381)</f>
        <v>1252.2467832869243</v>
      </c>
      <c r="AF381" s="4" t="s">
        <v>938</v>
      </c>
    </row>
    <row r="382" spans="1:32" ht="11.25" customHeight="1" x14ac:dyDescent="0.25">
      <c r="A382" s="4" t="s">
        <v>28</v>
      </c>
      <c r="B382" s="4" t="s">
        <v>22</v>
      </c>
      <c r="C382" s="4" t="s">
        <v>23</v>
      </c>
      <c r="D382" s="4" t="s">
        <v>24</v>
      </c>
      <c r="E382" s="4" t="s">
        <v>31</v>
      </c>
      <c r="F382" s="4" t="s">
        <v>25</v>
      </c>
      <c r="G382" s="4" t="s">
        <v>25</v>
      </c>
      <c r="H382" s="4" t="s">
        <v>25</v>
      </c>
      <c r="I382" s="5">
        <v>44805</v>
      </c>
      <c r="J382" s="6">
        <v>0</v>
      </c>
      <c r="K382" s="6">
        <v>0</v>
      </c>
      <c r="L382" s="6">
        <v>658.04600000000005</v>
      </c>
      <c r="M382" s="6">
        <v>658.04600000000005</v>
      </c>
      <c r="N382" s="6">
        <v>658.04600000000005</v>
      </c>
      <c r="O382" s="6">
        <v>658.04600000000005</v>
      </c>
      <c r="P382" s="6">
        <v>1671</v>
      </c>
      <c r="Q382" s="4" t="s">
        <v>26</v>
      </c>
      <c r="R382" s="4">
        <v>0</v>
      </c>
      <c r="S382" s="4">
        <v>0</v>
      </c>
      <c r="T382" s="4">
        <v>40</v>
      </c>
      <c r="U382" s="4">
        <v>84</v>
      </c>
      <c r="V382" s="6">
        <f>IF(ISERROR(VLOOKUP($S$382,'TAR FIN'!$A$1:$O$115,15,0)),0,VLOOKUP($S$382,'TAR FIN'!$A$1:$O$115,15,0))</f>
        <v>0</v>
      </c>
      <c r="W382" s="6">
        <f>IF(ISERROR(VLOOKUP($T$382,'TAR FIN'!$A$1:$O$115,15,0)),0,VLOOKUP($T$382,'TAR FIN'!$A$1:$O$115,15,0))</f>
        <v>141.44</v>
      </c>
      <c r="X382" s="6">
        <f>IF(ISERROR(VLOOKUP($U$382,'TAR FIN'!$A$1:$O$115,15,0)),0,VLOOKUP($U$382,'TAR FIN'!$A$1:$O$115,15,0))</f>
        <v>61.8</v>
      </c>
      <c r="Y382" s="6"/>
      <c r="Z382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82" s="6">
        <f>('TE BE'!$AB$21+'TE BF'!$AB$21+'TE CVA'!$AB$21)*(1-CUSTOS!$M$34)</f>
        <v>80.738691054204196</v>
      </c>
      <c r="AB382" s="6">
        <f t="shared" si="18"/>
        <v>0</v>
      </c>
      <c r="AC382" s="6">
        <f>(L382-M382)*(W382+X382)+($W$522+$X$522-$W$382-$X$382)*(L382)</f>
        <v>248386.04316000003</v>
      </c>
      <c r="AD382" s="6">
        <f t="shared" si="20"/>
        <v>0</v>
      </c>
      <c r="AE382" s="6">
        <f ca="1">(L382-M382)*(Z382+AA382)+($Z$522+$AA$522-$Z$382-$AA$382)*(L382)</f>
        <v>278390.53606582008</v>
      </c>
      <c r="AF382" s="4" t="s">
        <v>938</v>
      </c>
    </row>
    <row r="383" spans="1:32" ht="11.25" customHeight="1" x14ac:dyDescent="0.25">
      <c r="A383" s="4" t="s">
        <v>29</v>
      </c>
      <c r="B383" s="4" t="s">
        <v>22</v>
      </c>
      <c r="C383" s="4" t="s">
        <v>23</v>
      </c>
      <c r="D383" s="4" t="s">
        <v>24</v>
      </c>
      <c r="E383" s="4" t="s">
        <v>31</v>
      </c>
      <c r="F383" s="4" t="s">
        <v>25</v>
      </c>
      <c r="G383" s="4" t="s">
        <v>25</v>
      </c>
      <c r="H383" s="4" t="s">
        <v>25</v>
      </c>
      <c r="I383" s="5">
        <v>44805</v>
      </c>
      <c r="J383" s="6">
        <v>0</v>
      </c>
      <c r="K383" s="6">
        <v>0</v>
      </c>
      <c r="L383" s="6">
        <v>-0.13900000000000001</v>
      </c>
      <c r="M383" s="6">
        <v>-0.13900000000000001</v>
      </c>
      <c r="N383" s="6">
        <v>-0.13900000000000001</v>
      </c>
      <c r="O383" s="6">
        <v>-0.13900000000000001</v>
      </c>
      <c r="P383" s="6">
        <v>2</v>
      </c>
      <c r="Q383" s="4" t="s">
        <v>26</v>
      </c>
      <c r="R383" s="4">
        <v>0</v>
      </c>
      <c r="S383" s="4">
        <v>0</v>
      </c>
      <c r="T383" s="4">
        <v>40</v>
      </c>
      <c r="U383" s="4">
        <v>84</v>
      </c>
      <c r="V383" s="6">
        <f>IF(ISERROR(VLOOKUP($S$383,'TAR FIN'!$A$1:$O$115,15,0)),0,VLOOKUP($S$383,'TAR FIN'!$A$1:$O$115,15,0))</f>
        <v>0</v>
      </c>
      <c r="W383" s="6">
        <f>IF(ISERROR(VLOOKUP($T$383,'TAR FIN'!$A$1:$O$115,15,0)),0,VLOOKUP($T$383,'TAR FIN'!$A$1:$O$115,15,0))</f>
        <v>141.44</v>
      </c>
      <c r="X383" s="6">
        <f>IF(ISERROR(VLOOKUP($U$383,'TAR FIN'!$A$1:$O$115,15,0)),0,VLOOKUP($U$383,'TAR FIN'!$A$1:$O$115,15,0))</f>
        <v>61.8</v>
      </c>
      <c r="Y383" s="6"/>
      <c r="Z383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83" s="6">
        <f>('TE BE'!$AB$21+'TE BF'!$AB$21+'TE CVA'!$AB$21)*(1-CUSTOS!$M$34)</f>
        <v>80.738691054204196</v>
      </c>
      <c r="AB383" s="6">
        <f t="shared" si="18"/>
        <v>0</v>
      </c>
      <c r="AC383" s="6">
        <f>(L383-M383)*(W383+X383)+($W$522+$X$522-$W$383-$X$383)*(L383)</f>
        <v>-52.466940000000008</v>
      </c>
      <c r="AD383" s="6">
        <f t="shared" si="20"/>
        <v>0</v>
      </c>
      <c r="AE383" s="6">
        <f ca="1">(L383-M383)*(Z383+AA383)+($Z$522+$AA$522-$Z$383-$AA$383)*(L383)</f>
        <v>-58.804832053000837</v>
      </c>
      <c r="AF383" s="4" t="s">
        <v>938</v>
      </c>
    </row>
    <row r="384" spans="1:32" ht="11.25" customHeight="1" x14ac:dyDescent="0.25">
      <c r="A384" s="4" t="s">
        <v>30</v>
      </c>
      <c r="B384" s="4" t="s">
        <v>22</v>
      </c>
      <c r="C384" s="4" t="s">
        <v>23</v>
      </c>
      <c r="D384" s="4" t="s">
        <v>24</v>
      </c>
      <c r="E384" s="4" t="s">
        <v>31</v>
      </c>
      <c r="F384" s="4" t="s">
        <v>25</v>
      </c>
      <c r="G384" s="4" t="s">
        <v>25</v>
      </c>
      <c r="H384" s="4" t="s">
        <v>25</v>
      </c>
      <c r="I384" s="5">
        <v>44805</v>
      </c>
      <c r="J384" s="6">
        <v>0</v>
      </c>
      <c r="K384" s="6">
        <v>0</v>
      </c>
      <c r="L384" s="6">
        <v>1.86</v>
      </c>
      <c r="M384" s="6">
        <v>1.86</v>
      </c>
      <c r="N384" s="6">
        <v>1.86</v>
      </c>
      <c r="O384" s="6">
        <v>1.86</v>
      </c>
      <c r="P384" s="6">
        <v>0</v>
      </c>
      <c r="Q384" s="4" t="s">
        <v>26</v>
      </c>
      <c r="R384" s="4">
        <v>0</v>
      </c>
      <c r="S384" s="4">
        <v>0</v>
      </c>
      <c r="T384" s="4">
        <v>40</v>
      </c>
      <c r="U384" s="4">
        <v>84</v>
      </c>
      <c r="V384" s="6">
        <f>IF(ISERROR(VLOOKUP($S$384,'TAR FIN'!$A$1:$O$115,15,0)),0,VLOOKUP($S$384,'TAR FIN'!$A$1:$O$115,15,0))</f>
        <v>0</v>
      </c>
      <c r="W384" s="6">
        <f>IF(ISERROR(VLOOKUP($T$384,'TAR FIN'!$A$1:$O$115,15,0)),0,VLOOKUP($T$384,'TAR FIN'!$A$1:$O$115,15,0))</f>
        <v>141.44</v>
      </c>
      <c r="X384" s="6">
        <f>IF(ISERROR(VLOOKUP($U$384,'TAR FIN'!$A$1:$O$115,15,0)),0,VLOOKUP($U$384,'TAR FIN'!$A$1:$O$115,15,0))</f>
        <v>61.8</v>
      </c>
      <c r="Y384" s="6"/>
      <c r="Z384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84" s="6">
        <f>('TE BE'!$AB$21+'TE BF'!$AB$21+'TE CVA'!$AB$21)*(1-CUSTOS!$M$34)</f>
        <v>80.738691054204196</v>
      </c>
      <c r="AB384" s="6">
        <f t="shared" si="18"/>
        <v>0</v>
      </c>
      <c r="AC384" s="6">
        <f>(L384-M384)*(W384+X384)+($W$522+$X$522-$W$384-$X$384)*(L384)</f>
        <v>702.07560000000012</v>
      </c>
      <c r="AD384" s="6">
        <f t="shared" si="20"/>
        <v>0</v>
      </c>
      <c r="AE384" s="6">
        <f ca="1">(L384-M384)*(Z384+AA384)+($Z$522+$AA$522-$Z$384-$AA$384)*(L384)</f>
        <v>786.88480301137804</v>
      </c>
      <c r="AF384" s="4" t="s">
        <v>938</v>
      </c>
    </row>
    <row r="385" spans="1:32" ht="11.25" customHeight="1" x14ac:dyDescent="0.25">
      <c r="A385" s="4" t="s">
        <v>21</v>
      </c>
      <c r="B385" s="4" t="s">
        <v>22</v>
      </c>
      <c r="C385" s="4" t="s">
        <v>23</v>
      </c>
      <c r="D385" s="4" t="s">
        <v>24</v>
      </c>
      <c r="E385" s="4" t="s">
        <v>31</v>
      </c>
      <c r="F385" s="4" t="s">
        <v>25</v>
      </c>
      <c r="G385" s="4" t="s">
        <v>25</v>
      </c>
      <c r="H385" s="4" t="s">
        <v>25</v>
      </c>
      <c r="I385" s="5">
        <v>44835</v>
      </c>
      <c r="J385" s="6">
        <v>0</v>
      </c>
      <c r="K385" s="6">
        <v>0</v>
      </c>
      <c r="L385" s="6">
        <v>1398.9880000000001</v>
      </c>
      <c r="M385" s="6">
        <v>1398.9880000000001</v>
      </c>
      <c r="N385" s="6">
        <v>1398.9880000000001</v>
      </c>
      <c r="O385" s="6">
        <v>1398.9880000000001</v>
      </c>
      <c r="P385" s="6">
        <v>2757</v>
      </c>
      <c r="Q385" s="4" t="s">
        <v>26</v>
      </c>
      <c r="R385" s="4">
        <v>0</v>
      </c>
      <c r="S385" s="4">
        <v>0</v>
      </c>
      <c r="T385" s="4">
        <v>40</v>
      </c>
      <c r="U385" s="4">
        <v>84</v>
      </c>
      <c r="V385" s="6">
        <f>IF(ISERROR(VLOOKUP($S$385,'TAR FIN'!$A$1:$O$115,15,0)),0,VLOOKUP($S$385,'TAR FIN'!$A$1:$O$115,15,0))</f>
        <v>0</v>
      </c>
      <c r="W385" s="6">
        <f>IF(ISERROR(VLOOKUP($T$385,'TAR FIN'!$A$1:$O$115,15,0)),0,VLOOKUP($T$385,'TAR FIN'!$A$1:$O$115,15,0))</f>
        <v>141.44</v>
      </c>
      <c r="X385" s="6">
        <f>IF(ISERROR(VLOOKUP($U$385,'TAR FIN'!$A$1:$O$115,15,0)),0,VLOOKUP($U$385,'TAR FIN'!$A$1:$O$115,15,0))</f>
        <v>61.8</v>
      </c>
      <c r="Y385" s="6"/>
      <c r="Z385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85" s="6">
        <f>('TE BE'!$AB$21+'TE BF'!$AB$21+'TE CVA'!$AB$21)*(1-CUSTOS!$M$34)</f>
        <v>80.738691054204196</v>
      </c>
      <c r="AB385" s="6">
        <f t="shared" si="18"/>
        <v>0</v>
      </c>
      <c r="AC385" s="6">
        <f>(L385-M385)*(W385+X385)+($W$522+$X$522-$W$385-$X$385)*(L385)</f>
        <v>528062.01048000006</v>
      </c>
      <c r="AD385" s="6">
        <f t="shared" si="20"/>
        <v>0</v>
      </c>
      <c r="AE385" s="6">
        <f ca="1">(L385-M385)*(Z385+AA385)+($Z$522+$AA$522-$Z$385-$AA$385)*(L385)</f>
        <v>591850.75096520525</v>
      </c>
      <c r="AF385" s="4" t="s">
        <v>938</v>
      </c>
    </row>
    <row r="386" spans="1:32" ht="11.25" customHeight="1" x14ac:dyDescent="0.25">
      <c r="A386" s="4" t="s">
        <v>27</v>
      </c>
      <c r="B386" s="4" t="s">
        <v>22</v>
      </c>
      <c r="C386" s="4" t="s">
        <v>23</v>
      </c>
      <c r="D386" s="4" t="s">
        <v>24</v>
      </c>
      <c r="E386" s="4" t="s">
        <v>31</v>
      </c>
      <c r="F386" s="4" t="s">
        <v>25</v>
      </c>
      <c r="G386" s="4" t="s">
        <v>25</v>
      </c>
      <c r="H386" s="4" t="s">
        <v>25</v>
      </c>
      <c r="I386" s="5">
        <v>44835</v>
      </c>
      <c r="J386" s="6">
        <v>0</v>
      </c>
      <c r="K386" s="6">
        <v>0</v>
      </c>
      <c r="L386" s="6">
        <v>3.2320000000000002</v>
      </c>
      <c r="M386" s="6">
        <v>3.2320000000000002</v>
      </c>
      <c r="N386" s="6">
        <v>3.2320000000000002</v>
      </c>
      <c r="O386" s="6">
        <v>3.2320000000000002</v>
      </c>
      <c r="P386" s="6">
        <v>39</v>
      </c>
      <c r="Q386" s="4" t="s">
        <v>26</v>
      </c>
      <c r="R386" s="4">
        <v>0</v>
      </c>
      <c r="S386" s="4">
        <v>0</v>
      </c>
      <c r="T386" s="4">
        <v>40</v>
      </c>
      <c r="U386" s="4">
        <v>84</v>
      </c>
      <c r="V386" s="6">
        <f>IF(ISERROR(VLOOKUP($S$386,'TAR FIN'!$A$1:$O$115,15,0)),0,VLOOKUP($S$386,'TAR FIN'!$A$1:$O$115,15,0))</f>
        <v>0</v>
      </c>
      <c r="W386" s="6">
        <f>IF(ISERROR(VLOOKUP($T$386,'TAR FIN'!$A$1:$O$115,15,0)),0,VLOOKUP($T$386,'TAR FIN'!$A$1:$O$115,15,0))</f>
        <v>141.44</v>
      </c>
      <c r="X386" s="6">
        <f>IF(ISERROR(VLOOKUP($U$386,'TAR FIN'!$A$1:$O$115,15,0)),0,VLOOKUP($U$386,'TAR FIN'!$A$1:$O$115,15,0))</f>
        <v>61.8</v>
      </c>
      <c r="Y386" s="6"/>
      <c r="Z386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86" s="6">
        <f>('TE BE'!$AB$21+'TE BF'!$AB$21+'TE CVA'!$AB$21)*(1-CUSTOS!$M$34)</f>
        <v>80.738691054204196</v>
      </c>
      <c r="AB386" s="6">
        <f t="shared" ref="AB386:AB449" si="22">(J386-K386)*V386</f>
        <v>0</v>
      </c>
      <c r="AC386" s="6">
        <f>(L386-M386)*(W386+X386)+($W$522+$X$522-$W$386-$X$386)*(L386)</f>
        <v>1219.9507200000003</v>
      </c>
      <c r="AD386" s="6">
        <f t="shared" ref="AD386:AD449" si="23">(J386-K386)*Y386</f>
        <v>0</v>
      </c>
      <c r="AE386" s="6">
        <f ca="1">(L386-M386)*(Z386+AA386)+($Z$522+$AA$522-$Z$386-$AA$386)*(L386)</f>
        <v>1367.3181093186956</v>
      </c>
      <c r="AF386" s="4" t="s">
        <v>938</v>
      </c>
    </row>
    <row r="387" spans="1:32" ht="11.25" customHeight="1" x14ac:dyDescent="0.25">
      <c r="A387" s="4" t="s">
        <v>28</v>
      </c>
      <c r="B387" s="4" t="s">
        <v>22</v>
      </c>
      <c r="C387" s="4" t="s">
        <v>23</v>
      </c>
      <c r="D387" s="4" t="s">
        <v>24</v>
      </c>
      <c r="E387" s="4" t="s">
        <v>31</v>
      </c>
      <c r="F387" s="4" t="s">
        <v>25</v>
      </c>
      <c r="G387" s="4" t="s">
        <v>25</v>
      </c>
      <c r="H387" s="4" t="s">
        <v>25</v>
      </c>
      <c r="I387" s="5">
        <v>44835</v>
      </c>
      <c r="J387" s="6">
        <v>0</v>
      </c>
      <c r="K387" s="6">
        <v>0</v>
      </c>
      <c r="L387" s="6">
        <v>674.40800000000002</v>
      </c>
      <c r="M387" s="6">
        <v>674.40800000000002</v>
      </c>
      <c r="N387" s="6">
        <v>674.40800000000002</v>
      </c>
      <c r="O387" s="6">
        <v>674.40800000000002</v>
      </c>
      <c r="P387" s="6">
        <v>1569</v>
      </c>
      <c r="Q387" s="4" t="s">
        <v>26</v>
      </c>
      <c r="R387" s="4">
        <v>0</v>
      </c>
      <c r="S387" s="4">
        <v>0</v>
      </c>
      <c r="T387" s="4">
        <v>40</v>
      </c>
      <c r="U387" s="4">
        <v>84</v>
      </c>
      <c r="V387" s="6">
        <f>IF(ISERROR(VLOOKUP($S$387,'TAR FIN'!$A$1:$O$115,15,0)),0,VLOOKUP($S$387,'TAR FIN'!$A$1:$O$115,15,0))</f>
        <v>0</v>
      </c>
      <c r="W387" s="6">
        <f>IF(ISERROR(VLOOKUP($T$387,'TAR FIN'!$A$1:$O$115,15,0)),0,VLOOKUP($T$387,'TAR FIN'!$A$1:$O$115,15,0))</f>
        <v>141.44</v>
      </c>
      <c r="X387" s="6">
        <f>IF(ISERROR(VLOOKUP($U$387,'TAR FIN'!$A$1:$O$115,15,0)),0,VLOOKUP($U$387,'TAR FIN'!$A$1:$O$115,15,0))</f>
        <v>61.8</v>
      </c>
      <c r="Y387" s="6"/>
      <c r="Z387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87" s="6">
        <f>('TE BE'!$AB$21+'TE BF'!$AB$21+'TE CVA'!$AB$21)*(1-CUSTOS!$M$34)</f>
        <v>80.738691054204196</v>
      </c>
      <c r="AB387" s="6">
        <f t="shared" si="22"/>
        <v>0</v>
      </c>
      <c r="AC387" s="6">
        <f>(L387-M387)*(W387+X387)+($W$522+$X$522-$W$387-$X$387)*(L387)</f>
        <v>254562.04368000003</v>
      </c>
      <c r="AD387" s="6">
        <f t="shared" si="23"/>
        <v>0</v>
      </c>
      <c r="AE387" s="6">
        <f ca="1">(L387-M387)*(Z387+AA387)+($Z$522+$AA$522-$Z$387-$AA$387)*(L387)</f>
        <v>285312.58399424597</v>
      </c>
      <c r="AF387" s="4" t="s">
        <v>938</v>
      </c>
    </row>
    <row r="388" spans="1:32" ht="11.25" customHeight="1" x14ac:dyDescent="0.25">
      <c r="A388" s="4" t="s">
        <v>29</v>
      </c>
      <c r="B388" s="4" t="s">
        <v>22</v>
      </c>
      <c r="C388" s="4" t="s">
        <v>23</v>
      </c>
      <c r="D388" s="4" t="s">
        <v>24</v>
      </c>
      <c r="E388" s="4" t="s">
        <v>31</v>
      </c>
      <c r="F388" s="4" t="s">
        <v>25</v>
      </c>
      <c r="G388" s="4" t="s">
        <v>25</v>
      </c>
      <c r="H388" s="4" t="s">
        <v>25</v>
      </c>
      <c r="I388" s="5">
        <v>44835</v>
      </c>
      <c r="J388" s="6">
        <v>0</v>
      </c>
      <c r="K388" s="6">
        <v>0</v>
      </c>
      <c r="L388" s="6">
        <v>0.439</v>
      </c>
      <c r="M388" s="6">
        <v>0.439</v>
      </c>
      <c r="N388" s="6">
        <v>0.439</v>
      </c>
      <c r="O388" s="6">
        <v>0.439</v>
      </c>
      <c r="P388" s="6">
        <v>49</v>
      </c>
      <c r="Q388" s="4" t="s">
        <v>26</v>
      </c>
      <c r="R388" s="4">
        <v>0</v>
      </c>
      <c r="S388" s="4">
        <v>0</v>
      </c>
      <c r="T388" s="4">
        <v>40</v>
      </c>
      <c r="U388" s="4">
        <v>84</v>
      </c>
      <c r="V388" s="6">
        <f>IF(ISERROR(VLOOKUP($S$388,'TAR FIN'!$A$1:$O$115,15,0)),0,VLOOKUP($S$388,'TAR FIN'!$A$1:$O$115,15,0))</f>
        <v>0</v>
      </c>
      <c r="W388" s="6">
        <f>IF(ISERROR(VLOOKUP($T$388,'TAR FIN'!$A$1:$O$115,15,0)),0,VLOOKUP($T$388,'TAR FIN'!$A$1:$O$115,15,0))</f>
        <v>141.44</v>
      </c>
      <c r="X388" s="6">
        <f>IF(ISERROR(VLOOKUP($U$388,'TAR FIN'!$A$1:$O$115,15,0)),0,VLOOKUP($U$388,'TAR FIN'!$A$1:$O$115,15,0))</f>
        <v>61.8</v>
      </c>
      <c r="Y388" s="6"/>
      <c r="Z388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88" s="6">
        <f>('TE BE'!$AB$21+'TE BF'!$AB$21+'TE CVA'!$AB$21)*(1-CUSTOS!$M$34)</f>
        <v>80.738691054204196</v>
      </c>
      <c r="AB388" s="6">
        <f t="shared" si="22"/>
        <v>0</v>
      </c>
      <c r="AC388" s="6">
        <f>(L388-M388)*(W388+X388)+($W$522+$X$522-$W$388-$X$388)*(L388)</f>
        <v>165.70494000000002</v>
      </c>
      <c r="AD388" s="6">
        <f t="shared" si="23"/>
        <v>0</v>
      </c>
      <c r="AE388" s="6">
        <f ca="1">(L388-M388)*(Z388+AA388)+($Z$522+$AA$522-$Z$388-$AA$388)*(L388)</f>
        <v>185.72173576451343</v>
      </c>
      <c r="AF388" s="4" t="s">
        <v>938</v>
      </c>
    </row>
    <row r="389" spans="1:32" ht="11.25" customHeight="1" x14ac:dyDescent="0.25">
      <c r="A389" s="4" t="s">
        <v>30</v>
      </c>
      <c r="B389" s="4" t="s">
        <v>22</v>
      </c>
      <c r="C389" s="4" t="s">
        <v>23</v>
      </c>
      <c r="D389" s="4" t="s">
        <v>24</v>
      </c>
      <c r="E389" s="4" t="s">
        <v>31</v>
      </c>
      <c r="F389" s="4" t="s">
        <v>25</v>
      </c>
      <c r="G389" s="4" t="s">
        <v>25</v>
      </c>
      <c r="H389" s="4" t="s">
        <v>25</v>
      </c>
      <c r="I389" s="5">
        <v>44835</v>
      </c>
      <c r="J389" s="6">
        <v>0</v>
      </c>
      <c r="K389" s="6">
        <v>0</v>
      </c>
      <c r="L389" s="6">
        <v>1.95</v>
      </c>
      <c r="M389" s="6">
        <v>1.95</v>
      </c>
      <c r="N389" s="6">
        <v>1.95</v>
      </c>
      <c r="O389" s="6">
        <v>1.95</v>
      </c>
      <c r="P389" s="6">
        <v>0</v>
      </c>
      <c r="Q389" s="4" t="s">
        <v>26</v>
      </c>
      <c r="R389" s="4">
        <v>0</v>
      </c>
      <c r="S389" s="4">
        <v>0</v>
      </c>
      <c r="T389" s="4">
        <v>40</v>
      </c>
      <c r="U389" s="4">
        <v>84</v>
      </c>
      <c r="V389" s="6">
        <f>IF(ISERROR(VLOOKUP($S$389,'TAR FIN'!$A$1:$O$115,15,0)),0,VLOOKUP($S$389,'TAR FIN'!$A$1:$O$115,15,0))</f>
        <v>0</v>
      </c>
      <c r="W389" s="6">
        <f>IF(ISERROR(VLOOKUP($T$389,'TAR FIN'!$A$1:$O$115,15,0)),0,VLOOKUP($T$389,'TAR FIN'!$A$1:$O$115,15,0))</f>
        <v>141.44</v>
      </c>
      <c r="X389" s="6">
        <f>IF(ISERROR(VLOOKUP($U$389,'TAR FIN'!$A$1:$O$115,15,0)),0,VLOOKUP($U$389,'TAR FIN'!$A$1:$O$115,15,0))</f>
        <v>61.8</v>
      </c>
      <c r="Y389" s="6"/>
      <c r="Z389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89" s="6">
        <f>('TE BE'!$AB$21+'TE BF'!$AB$21+'TE CVA'!$AB$21)*(1-CUSTOS!$M$34)</f>
        <v>80.738691054204196</v>
      </c>
      <c r="AB389" s="6">
        <f t="shared" si="22"/>
        <v>0</v>
      </c>
      <c r="AC389" s="6">
        <f>(L389-M389)*(W389+X389)+($W$522+$X$522-$W$389-$X$389)*(L389)</f>
        <v>736.04700000000003</v>
      </c>
      <c r="AD389" s="6">
        <f t="shared" si="23"/>
        <v>0</v>
      </c>
      <c r="AE389" s="6">
        <f ca="1">(L389-M389)*(Z389+AA389)+($Z$522+$AA$522-$Z$389-$AA$389)*(L389)</f>
        <v>824.9598741248318</v>
      </c>
      <c r="AF389" s="4" t="s">
        <v>938</v>
      </c>
    </row>
    <row r="390" spans="1:32" ht="11.25" customHeight="1" x14ac:dyDescent="0.25">
      <c r="A390" s="4" t="s">
        <v>59</v>
      </c>
      <c r="B390" s="4" t="s">
        <v>22</v>
      </c>
      <c r="C390" s="4" t="s">
        <v>23</v>
      </c>
      <c r="D390" s="4" t="s">
        <v>24</v>
      </c>
      <c r="E390" s="4" t="s">
        <v>31</v>
      </c>
      <c r="F390" s="4" t="s">
        <v>25</v>
      </c>
      <c r="G390" s="4" t="s">
        <v>25</v>
      </c>
      <c r="H390" s="4" t="s">
        <v>25</v>
      </c>
      <c r="I390" s="5">
        <v>44866</v>
      </c>
      <c r="J390" s="6">
        <v>0</v>
      </c>
      <c r="K390" s="6">
        <v>0</v>
      </c>
      <c r="L390" s="6">
        <v>1398.9880000000001</v>
      </c>
      <c r="M390" s="6">
        <v>1398.9880000000001</v>
      </c>
      <c r="N390" s="6">
        <v>1398.9880000000001</v>
      </c>
      <c r="O390" s="6">
        <v>1398.9880000000001</v>
      </c>
      <c r="P390" s="6">
        <v>2757</v>
      </c>
      <c r="Q390" s="4" t="s">
        <v>26</v>
      </c>
      <c r="R390" s="4">
        <v>0</v>
      </c>
      <c r="S390" s="4">
        <v>0</v>
      </c>
      <c r="T390" s="4">
        <v>40</v>
      </c>
      <c r="U390" s="4">
        <v>84</v>
      </c>
      <c r="V390" s="6">
        <f>IF(ISERROR(VLOOKUP($S$390,'TAR FIN'!$A$1:$O$115,15,0)),0,VLOOKUP($S$390,'TAR FIN'!$A$1:$O$115,15,0))</f>
        <v>0</v>
      </c>
      <c r="W390" s="6">
        <f>IF(ISERROR(VLOOKUP($T$390,'TAR FIN'!$A$1:$O$115,15,0)),0,VLOOKUP($T$390,'TAR FIN'!$A$1:$O$115,15,0))</f>
        <v>141.44</v>
      </c>
      <c r="X390" s="6">
        <f>IF(ISERROR(VLOOKUP($U$390,'TAR FIN'!$A$1:$O$115,15,0)),0,VLOOKUP($U$390,'TAR FIN'!$A$1:$O$115,15,0))</f>
        <v>61.8</v>
      </c>
      <c r="Y390" s="6"/>
      <c r="Z390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90" s="6">
        <f>('TE BE'!$AB$21+'TE BF'!$AB$21+'TE CVA'!$AB$21)*(1-CUSTOS!$M$34)</f>
        <v>80.738691054204196</v>
      </c>
      <c r="AB390" s="6">
        <f t="shared" si="22"/>
        <v>0</v>
      </c>
      <c r="AC390" s="6">
        <f>(L390-M390)*(W390+X390)+($W$522+$X$522-$W$390-$X$390)*(L390)</f>
        <v>528062.01048000006</v>
      </c>
      <c r="AD390" s="6">
        <f t="shared" si="23"/>
        <v>0</v>
      </c>
      <c r="AE390" s="6">
        <f ca="1">(L390-M390)*(Z390+AA390)+($Z$522+$AA$522-$Z$390-$AA$390)*(L390)</f>
        <v>591850.75096520525</v>
      </c>
      <c r="AF390" s="4" t="s">
        <v>938</v>
      </c>
    </row>
    <row r="391" spans="1:32" ht="11.25" customHeight="1" x14ac:dyDescent="0.25">
      <c r="A391" s="4" t="s">
        <v>59</v>
      </c>
      <c r="B391" s="4" t="s">
        <v>22</v>
      </c>
      <c r="C391" s="4" t="s">
        <v>23</v>
      </c>
      <c r="D391" s="4" t="s">
        <v>24</v>
      </c>
      <c r="E391" s="4" t="s">
        <v>31</v>
      </c>
      <c r="F391" s="4" t="s">
        <v>25</v>
      </c>
      <c r="G391" s="4" t="s">
        <v>25</v>
      </c>
      <c r="H391" s="4" t="s">
        <v>25</v>
      </c>
      <c r="I391" s="5">
        <v>44866</v>
      </c>
      <c r="J391" s="6">
        <v>0</v>
      </c>
      <c r="K391" s="6">
        <v>0</v>
      </c>
      <c r="L391" s="6">
        <v>3.2320000000000002</v>
      </c>
      <c r="M391" s="6">
        <v>3.2320000000000002</v>
      </c>
      <c r="N391" s="6">
        <v>3.2320000000000002</v>
      </c>
      <c r="O391" s="6">
        <v>3.2320000000000002</v>
      </c>
      <c r="P391" s="6">
        <v>39</v>
      </c>
      <c r="Q391" s="4" t="s">
        <v>26</v>
      </c>
      <c r="R391" s="4">
        <v>0</v>
      </c>
      <c r="S391" s="4">
        <v>0</v>
      </c>
      <c r="T391" s="4">
        <v>40</v>
      </c>
      <c r="U391" s="4">
        <v>84</v>
      </c>
      <c r="V391" s="6">
        <f>IF(ISERROR(VLOOKUP($S$391,'TAR FIN'!$A$1:$O$115,15,0)),0,VLOOKUP($S$391,'TAR FIN'!$A$1:$O$115,15,0))</f>
        <v>0</v>
      </c>
      <c r="W391" s="6">
        <f>IF(ISERROR(VLOOKUP($T$391,'TAR FIN'!$A$1:$O$115,15,0)),0,VLOOKUP($T$391,'TAR FIN'!$A$1:$O$115,15,0))</f>
        <v>141.44</v>
      </c>
      <c r="X391" s="6">
        <f>IF(ISERROR(VLOOKUP($U$391,'TAR FIN'!$A$1:$O$115,15,0)),0,VLOOKUP($U$391,'TAR FIN'!$A$1:$O$115,15,0))</f>
        <v>61.8</v>
      </c>
      <c r="Y391" s="6"/>
      <c r="Z391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91" s="6">
        <f>('TE BE'!$AB$21+'TE BF'!$AB$21+'TE CVA'!$AB$21)*(1-CUSTOS!$M$34)</f>
        <v>80.738691054204196</v>
      </c>
      <c r="AB391" s="6">
        <f t="shared" si="22"/>
        <v>0</v>
      </c>
      <c r="AC391" s="6">
        <f>(L391-M391)*(W391+X391)+($W$522+$X$522-$W$391-$X$391)*(L391)</f>
        <v>1219.9507200000003</v>
      </c>
      <c r="AD391" s="6">
        <f t="shared" si="23"/>
        <v>0</v>
      </c>
      <c r="AE391" s="6">
        <f ca="1">(L391-M391)*(Z391+AA391)+($Z$522+$AA$522-$Z$391-$AA$391)*(L391)</f>
        <v>1367.3181093186956</v>
      </c>
      <c r="AF391" s="4" t="s">
        <v>938</v>
      </c>
    </row>
    <row r="392" spans="1:32" ht="11.25" customHeight="1" x14ac:dyDescent="0.25">
      <c r="A392" s="4" t="s">
        <v>59</v>
      </c>
      <c r="B392" s="4" t="s">
        <v>22</v>
      </c>
      <c r="C392" s="4" t="s">
        <v>23</v>
      </c>
      <c r="D392" s="4" t="s">
        <v>24</v>
      </c>
      <c r="E392" s="4" t="s">
        <v>31</v>
      </c>
      <c r="F392" s="4" t="s">
        <v>25</v>
      </c>
      <c r="G392" s="4" t="s">
        <v>25</v>
      </c>
      <c r="H392" s="4" t="s">
        <v>25</v>
      </c>
      <c r="I392" s="5">
        <v>44866</v>
      </c>
      <c r="J392" s="6">
        <v>0</v>
      </c>
      <c r="K392" s="6">
        <v>0</v>
      </c>
      <c r="L392" s="6">
        <v>674.40800000000002</v>
      </c>
      <c r="M392" s="6">
        <v>674.40800000000002</v>
      </c>
      <c r="N392" s="6">
        <v>674.40800000000002</v>
      </c>
      <c r="O392" s="6">
        <v>674.40800000000002</v>
      </c>
      <c r="P392" s="6">
        <v>1569</v>
      </c>
      <c r="Q392" s="4" t="s">
        <v>26</v>
      </c>
      <c r="R392" s="4">
        <v>0</v>
      </c>
      <c r="S392" s="4">
        <v>0</v>
      </c>
      <c r="T392" s="4">
        <v>40</v>
      </c>
      <c r="U392" s="4">
        <v>84</v>
      </c>
      <c r="V392" s="6">
        <f>IF(ISERROR(VLOOKUP($S$392,'TAR FIN'!$A$1:$O$115,15,0)),0,VLOOKUP($S$392,'TAR FIN'!$A$1:$O$115,15,0))</f>
        <v>0</v>
      </c>
      <c r="W392" s="6">
        <f>IF(ISERROR(VLOOKUP($T$392,'TAR FIN'!$A$1:$O$115,15,0)),0,VLOOKUP($T$392,'TAR FIN'!$A$1:$O$115,15,0))</f>
        <v>141.44</v>
      </c>
      <c r="X392" s="6">
        <f>IF(ISERROR(VLOOKUP($U$392,'TAR FIN'!$A$1:$O$115,15,0)),0,VLOOKUP($U$392,'TAR FIN'!$A$1:$O$115,15,0))</f>
        <v>61.8</v>
      </c>
      <c r="Y392" s="6"/>
      <c r="Z392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92" s="6">
        <f>('TE BE'!$AB$21+'TE BF'!$AB$21+'TE CVA'!$AB$21)*(1-CUSTOS!$M$34)</f>
        <v>80.738691054204196</v>
      </c>
      <c r="AB392" s="6">
        <f t="shared" si="22"/>
        <v>0</v>
      </c>
      <c r="AC392" s="6">
        <f>(L392-M392)*(W392+X392)+($W$522+$X$522-$W$392-$X$392)*(L392)</f>
        <v>254562.04368000003</v>
      </c>
      <c r="AD392" s="6">
        <f t="shared" si="23"/>
        <v>0</v>
      </c>
      <c r="AE392" s="6">
        <f ca="1">(L392-M392)*(Z392+AA392)+($Z$522+$AA$522-$Z$392-$AA$392)*(L392)</f>
        <v>285312.58399424597</v>
      </c>
      <c r="AF392" s="4" t="s">
        <v>938</v>
      </c>
    </row>
    <row r="393" spans="1:32" ht="11.25" customHeight="1" x14ac:dyDescent="0.25">
      <c r="A393" s="4" t="s">
        <v>59</v>
      </c>
      <c r="B393" s="4" t="s">
        <v>22</v>
      </c>
      <c r="C393" s="4" t="s">
        <v>23</v>
      </c>
      <c r="D393" s="4" t="s">
        <v>24</v>
      </c>
      <c r="E393" s="4" t="s">
        <v>31</v>
      </c>
      <c r="F393" s="4" t="s">
        <v>25</v>
      </c>
      <c r="G393" s="4" t="s">
        <v>25</v>
      </c>
      <c r="H393" s="4" t="s">
        <v>25</v>
      </c>
      <c r="I393" s="5">
        <v>44866</v>
      </c>
      <c r="J393" s="6">
        <v>0</v>
      </c>
      <c r="K393" s="6">
        <v>0</v>
      </c>
      <c r="L393" s="6">
        <v>0.439</v>
      </c>
      <c r="M393" s="6">
        <v>0.439</v>
      </c>
      <c r="N393" s="6">
        <v>0.439</v>
      </c>
      <c r="O393" s="6">
        <v>0.439</v>
      </c>
      <c r="P393" s="6">
        <v>49</v>
      </c>
      <c r="Q393" s="4" t="s">
        <v>26</v>
      </c>
      <c r="R393" s="4">
        <v>0</v>
      </c>
      <c r="S393" s="4">
        <v>0</v>
      </c>
      <c r="T393" s="4">
        <v>40</v>
      </c>
      <c r="U393" s="4">
        <v>84</v>
      </c>
      <c r="V393" s="6">
        <f>IF(ISERROR(VLOOKUP($S$393,'TAR FIN'!$A$1:$O$115,15,0)),0,VLOOKUP($S$393,'TAR FIN'!$A$1:$O$115,15,0))</f>
        <v>0</v>
      </c>
      <c r="W393" s="6">
        <f>IF(ISERROR(VLOOKUP($T$393,'TAR FIN'!$A$1:$O$115,15,0)),0,VLOOKUP($T$393,'TAR FIN'!$A$1:$O$115,15,0))</f>
        <v>141.44</v>
      </c>
      <c r="X393" s="6">
        <f>IF(ISERROR(VLOOKUP($U$393,'TAR FIN'!$A$1:$O$115,15,0)),0,VLOOKUP($U$393,'TAR FIN'!$A$1:$O$115,15,0))</f>
        <v>61.8</v>
      </c>
      <c r="Y393" s="6"/>
      <c r="Z393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93" s="6">
        <f>('TE BE'!$AB$21+'TE BF'!$AB$21+'TE CVA'!$AB$21)*(1-CUSTOS!$M$34)</f>
        <v>80.738691054204196</v>
      </c>
      <c r="AB393" s="6">
        <f t="shared" si="22"/>
        <v>0</v>
      </c>
      <c r="AC393" s="6">
        <f>(L393-M393)*(W393+X393)+($W$522+$X$522-$W$393-$X$393)*(L393)</f>
        <v>165.70494000000002</v>
      </c>
      <c r="AD393" s="6">
        <f t="shared" si="23"/>
        <v>0</v>
      </c>
      <c r="AE393" s="6">
        <f ca="1">(L393-M393)*(Z393+AA393)+($Z$522+$AA$522-$Z$393-$AA$393)*(L393)</f>
        <v>185.72173576451343</v>
      </c>
      <c r="AF393" s="4" t="s">
        <v>938</v>
      </c>
    </row>
    <row r="394" spans="1:32" ht="11.25" customHeight="1" x14ac:dyDescent="0.25">
      <c r="A394" s="4" t="s">
        <v>59</v>
      </c>
      <c r="B394" s="4" t="s">
        <v>22</v>
      </c>
      <c r="C394" s="4" t="s">
        <v>23</v>
      </c>
      <c r="D394" s="4" t="s">
        <v>24</v>
      </c>
      <c r="E394" s="4" t="s">
        <v>31</v>
      </c>
      <c r="F394" s="4" t="s">
        <v>25</v>
      </c>
      <c r="G394" s="4" t="s">
        <v>25</v>
      </c>
      <c r="H394" s="4" t="s">
        <v>25</v>
      </c>
      <c r="I394" s="5">
        <v>44866</v>
      </c>
      <c r="J394" s="6">
        <v>0</v>
      </c>
      <c r="K394" s="6">
        <v>0</v>
      </c>
      <c r="L394" s="6">
        <v>1.95</v>
      </c>
      <c r="M394" s="6">
        <v>1.95</v>
      </c>
      <c r="N394" s="6">
        <v>1.95</v>
      </c>
      <c r="O394" s="6">
        <v>1.95</v>
      </c>
      <c r="P394" s="6">
        <v>0</v>
      </c>
      <c r="Q394" s="4" t="s">
        <v>26</v>
      </c>
      <c r="R394" s="4">
        <v>0</v>
      </c>
      <c r="S394" s="4">
        <v>0</v>
      </c>
      <c r="T394" s="4">
        <v>40</v>
      </c>
      <c r="U394" s="4">
        <v>84</v>
      </c>
      <c r="V394" s="6">
        <f>IF(ISERROR(VLOOKUP($S$394,'TAR FIN'!$A$1:$O$115,15,0)),0,VLOOKUP($S$394,'TAR FIN'!$A$1:$O$115,15,0))</f>
        <v>0</v>
      </c>
      <c r="W394" s="6">
        <f>IF(ISERROR(VLOOKUP($T$394,'TAR FIN'!$A$1:$O$115,15,0)),0,VLOOKUP($T$394,'TAR FIN'!$A$1:$O$115,15,0))</f>
        <v>141.44</v>
      </c>
      <c r="X394" s="6">
        <f>IF(ISERROR(VLOOKUP($U$394,'TAR FIN'!$A$1:$O$115,15,0)),0,VLOOKUP($U$394,'TAR FIN'!$A$1:$O$115,15,0))</f>
        <v>61.8</v>
      </c>
      <c r="Y394" s="6"/>
      <c r="Z394" s="6">
        <f ca="1">('TUSD BE'!$AM$38+'TUSD BF'!$AM$38+'TUSD CVA'!$AM$38-('TUSD BE'!$P$38+'TUSD BF'!$P$38+'TUSD CVA'!$P$38)-('TUSD BE'!$Q$38+'TUSD BF'!$Q$38+'TUSD CVA'!$Q$38)-('TUSD BE'!$R$38+'TUSD BF'!$R$38+'TUSD CVA'!$R$38))*(1-CUSTOS!$M$34)</f>
        <v>147.06087971004914</v>
      </c>
      <c r="AA394" s="6">
        <f>('TE BE'!$AB$21+'TE BF'!$AB$21+'TE CVA'!$AB$21)*(1-CUSTOS!$M$34)</f>
        <v>80.738691054204196</v>
      </c>
      <c r="AB394" s="6">
        <f t="shared" si="22"/>
        <v>0</v>
      </c>
      <c r="AC394" s="6">
        <f>(L394-M394)*(W394+X394)+($W$522+$X$522-$W$394-$X$394)*(L394)</f>
        <v>736.04700000000003</v>
      </c>
      <c r="AD394" s="6">
        <f t="shared" si="23"/>
        <v>0</v>
      </c>
      <c r="AE394" s="6">
        <f ca="1">(L394-M394)*(Z394+AA394)+($Z$522+$AA$522-$Z$394-$AA$394)*(L394)</f>
        <v>824.9598741248318</v>
      </c>
      <c r="AF394" s="4" t="s">
        <v>938</v>
      </c>
    </row>
    <row r="395" spans="1:32" ht="11.25" customHeight="1" x14ac:dyDescent="0.25">
      <c r="A395" s="4" t="s">
        <v>21</v>
      </c>
      <c r="B395" s="4" t="s">
        <v>22</v>
      </c>
      <c r="C395" s="4" t="s">
        <v>23</v>
      </c>
      <c r="D395" s="4" t="s">
        <v>24</v>
      </c>
      <c r="E395" s="4" t="s">
        <v>32</v>
      </c>
      <c r="F395" s="4" t="s">
        <v>25</v>
      </c>
      <c r="G395" s="4" t="s">
        <v>25</v>
      </c>
      <c r="H395" s="4" t="s">
        <v>25</v>
      </c>
      <c r="I395" s="5">
        <v>44531</v>
      </c>
      <c r="J395" s="6">
        <v>0</v>
      </c>
      <c r="K395" s="6">
        <v>0</v>
      </c>
      <c r="L395" s="6">
        <v>2133.8649999999998</v>
      </c>
      <c r="M395" s="6">
        <v>2133.8649999999998</v>
      </c>
      <c r="N395" s="6">
        <v>2133.8649999999998</v>
      </c>
      <c r="O395" s="6">
        <v>2133.8649999999998</v>
      </c>
      <c r="P395" s="6">
        <v>8045</v>
      </c>
      <c r="Q395" s="4" t="s">
        <v>26</v>
      </c>
      <c r="R395" s="4">
        <v>0</v>
      </c>
      <c r="S395" s="4">
        <v>0</v>
      </c>
      <c r="T395" s="4">
        <v>41</v>
      </c>
      <c r="U395" s="4">
        <v>85</v>
      </c>
      <c r="V395" s="6">
        <f>IF(ISERROR(VLOOKUP($S$395,'TAR FIN'!$A$1:$O$115,15,0)),0,VLOOKUP($S$395,'TAR FIN'!$A$1:$O$115,15,0))</f>
        <v>0</v>
      </c>
      <c r="W395" s="6">
        <f>IF(ISERROR(VLOOKUP($T$395,'TAR FIN'!$A$1:$O$115,15,0)),0,VLOOKUP($T$395,'TAR FIN'!$A$1:$O$115,15,0))</f>
        <v>242.47</v>
      </c>
      <c r="X395" s="6">
        <f>IF(ISERROR(VLOOKUP($U$395,'TAR FIN'!$A$1:$O$115,15,0)),0,VLOOKUP($U$395,'TAR FIN'!$A$1:$O$115,15,0))</f>
        <v>105.95</v>
      </c>
      <c r="Y395" s="6"/>
      <c r="Z395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395" s="6">
        <f>('TE BE'!$AB$22+'TE BF'!$AB$22+'TE CVA'!$AB$22)*(1-CUSTOS!$M$35)</f>
        <v>138.40918466435005</v>
      </c>
      <c r="AB395" s="6">
        <f t="shared" si="22"/>
        <v>0</v>
      </c>
      <c r="AC395" s="6">
        <f>(L395-M395)*(W395+X395)+($W$522+$X$522-$W$395-$X$395)*(L395)</f>
        <v>495654.16220000002</v>
      </c>
      <c r="AD395" s="6">
        <f t="shared" si="23"/>
        <v>0</v>
      </c>
      <c r="AE395" s="6">
        <f ca="1">(L395-M395)*(Z395+AA395)+($Z$522+$AA$522-$Z$395-$AA$395)*(L395)</f>
        <v>555535.4640787011</v>
      </c>
      <c r="AF395" s="4" t="s">
        <v>938</v>
      </c>
    </row>
    <row r="396" spans="1:32" ht="11.25" customHeight="1" x14ac:dyDescent="0.25">
      <c r="A396" s="4" t="s">
        <v>27</v>
      </c>
      <c r="B396" s="4" t="s">
        <v>22</v>
      </c>
      <c r="C396" s="4" t="s">
        <v>23</v>
      </c>
      <c r="D396" s="4" t="s">
        <v>24</v>
      </c>
      <c r="E396" s="4" t="s">
        <v>32</v>
      </c>
      <c r="F396" s="4" t="s">
        <v>25</v>
      </c>
      <c r="G396" s="4" t="s">
        <v>25</v>
      </c>
      <c r="H396" s="4" t="s">
        <v>25</v>
      </c>
      <c r="I396" s="5">
        <v>44531</v>
      </c>
      <c r="J396" s="6">
        <v>0</v>
      </c>
      <c r="K396" s="6">
        <v>0</v>
      </c>
      <c r="L396" s="6">
        <v>-29.978000000000002</v>
      </c>
      <c r="M396" s="6">
        <v>-29.978000000000002</v>
      </c>
      <c r="N396" s="6">
        <v>-29.978000000000002</v>
      </c>
      <c r="O396" s="6">
        <v>-29.978000000000002</v>
      </c>
      <c r="P396" s="6">
        <v>-33</v>
      </c>
      <c r="Q396" s="4" t="s">
        <v>26</v>
      </c>
      <c r="R396" s="4">
        <v>0</v>
      </c>
      <c r="S396" s="4">
        <v>0</v>
      </c>
      <c r="T396" s="4">
        <v>41</v>
      </c>
      <c r="U396" s="4">
        <v>85</v>
      </c>
      <c r="V396" s="6">
        <f>IF(ISERROR(VLOOKUP($S$396,'TAR FIN'!$A$1:$O$115,15,0)),0,VLOOKUP($S$396,'TAR FIN'!$A$1:$O$115,15,0))</f>
        <v>0</v>
      </c>
      <c r="W396" s="6">
        <f>IF(ISERROR(VLOOKUP($T$396,'TAR FIN'!$A$1:$O$115,15,0)),0,VLOOKUP($T$396,'TAR FIN'!$A$1:$O$115,15,0))</f>
        <v>242.47</v>
      </c>
      <c r="X396" s="6">
        <f>IF(ISERROR(VLOOKUP($U$396,'TAR FIN'!$A$1:$O$115,15,0)),0,VLOOKUP($U$396,'TAR FIN'!$A$1:$O$115,15,0))</f>
        <v>105.95</v>
      </c>
      <c r="Y396" s="6"/>
      <c r="Z396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396" s="6">
        <f>('TE BE'!$AB$22+'TE BF'!$AB$22+'TE CVA'!$AB$22)*(1-CUSTOS!$M$35)</f>
        <v>138.40918466435005</v>
      </c>
      <c r="AB396" s="6">
        <f t="shared" si="22"/>
        <v>0</v>
      </c>
      <c r="AC396" s="6">
        <f>(L396-M396)*(W396+X396)+($W$522+$X$522-$W$396-$X$396)*(L396)</f>
        <v>-6963.2898400000013</v>
      </c>
      <c r="AD396" s="6">
        <f t="shared" si="23"/>
        <v>0</v>
      </c>
      <c r="AE396" s="6">
        <f ca="1">(L396-M396)*(Z396+AA396)+($Z$522+$AA$522-$Z$396-$AA$396)*(L396)</f>
        <v>-7804.543465566614</v>
      </c>
      <c r="AF396" s="4" t="s">
        <v>938</v>
      </c>
    </row>
    <row r="397" spans="1:32" ht="11.25" customHeight="1" x14ac:dyDescent="0.25">
      <c r="A397" s="4" t="s">
        <v>28</v>
      </c>
      <c r="B397" s="4" t="s">
        <v>22</v>
      </c>
      <c r="C397" s="4" t="s">
        <v>23</v>
      </c>
      <c r="D397" s="4" t="s">
        <v>24</v>
      </c>
      <c r="E397" s="4" t="s">
        <v>32</v>
      </c>
      <c r="F397" s="4" t="s">
        <v>25</v>
      </c>
      <c r="G397" s="4" t="s">
        <v>25</v>
      </c>
      <c r="H397" s="4" t="s">
        <v>25</v>
      </c>
      <c r="I397" s="5">
        <v>44531</v>
      </c>
      <c r="J397" s="6">
        <v>0</v>
      </c>
      <c r="K397" s="6">
        <v>0</v>
      </c>
      <c r="L397" s="6">
        <v>1049.431</v>
      </c>
      <c r="M397" s="6">
        <v>1049.431</v>
      </c>
      <c r="N397" s="6">
        <v>1049.431</v>
      </c>
      <c r="O397" s="6">
        <v>1049.431</v>
      </c>
      <c r="P397" s="6">
        <v>6694</v>
      </c>
      <c r="Q397" s="4" t="s">
        <v>26</v>
      </c>
      <c r="R397" s="4">
        <v>0</v>
      </c>
      <c r="S397" s="4">
        <v>0</v>
      </c>
      <c r="T397" s="4">
        <v>41</v>
      </c>
      <c r="U397" s="4">
        <v>85</v>
      </c>
      <c r="V397" s="6">
        <f>IF(ISERROR(VLOOKUP($S$397,'TAR FIN'!$A$1:$O$115,15,0)),0,VLOOKUP($S$397,'TAR FIN'!$A$1:$O$115,15,0))</f>
        <v>0</v>
      </c>
      <c r="W397" s="6">
        <f>IF(ISERROR(VLOOKUP($T$397,'TAR FIN'!$A$1:$O$115,15,0)),0,VLOOKUP($T$397,'TAR FIN'!$A$1:$O$115,15,0))</f>
        <v>242.47</v>
      </c>
      <c r="X397" s="6">
        <f>IF(ISERROR(VLOOKUP($U$397,'TAR FIN'!$A$1:$O$115,15,0)),0,VLOOKUP($U$397,'TAR FIN'!$A$1:$O$115,15,0))</f>
        <v>105.95</v>
      </c>
      <c r="Y397" s="6"/>
      <c r="Z397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397" s="6">
        <f>('TE BE'!$AB$22+'TE BF'!$AB$22+'TE CVA'!$AB$22)*(1-CUSTOS!$M$35)</f>
        <v>138.40918466435005</v>
      </c>
      <c r="AB397" s="6">
        <f t="shared" si="22"/>
        <v>0</v>
      </c>
      <c r="AC397" s="6">
        <f>(L397-M397)*(W397+X397)+($W$522+$X$522-$W$397-$X$397)*(L397)</f>
        <v>243761.83268000005</v>
      </c>
      <c r="AD397" s="6">
        <f t="shared" si="23"/>
        <v>0</v>
      </c>
      <c r="AE397" s="6">
        <f ca="1">(L397-M397)*(Z397+AA397)+($Z$522+$AA$522-$Z$397-$AA$397)*(L397)</f>
        <v>273211.3501105156</v>
      </c>
      <c r="AF397" s="4" t="s">
        <v>938</v>
      </c>
    </row>
    <row r="398" spans="1:32" ht="11.25" customHeight="1" x14ac:dyDescent="0.25">
      <c r="A398" s="4" t="s">
        <v>29</v>
      </c>
      <c r="B398" s="4" t="s">
        <v>22</v>
      </c>
      <c r="C398" s="4" t="s">
        <v>23</v>
      </c>
      <c r="D398" s="4" t="s">
        <v>24</v>
      </c>
      <c r="E398" s="4" t="s">
        <v>32</v>
      </c>
      <c r="F398" s="4" t="s">
        <v>25</v>
      </c>
      <c r="G398" s="4" t="s">
        <v>25</v>
      </c>
      <c r="H398" s="4" t="s">
        <v>25</v>
      </c>
      <c r="I398" s="5">
        <v>44531</v>
      </c>
      <c r="J398" s="6">
        <v>0</v>
      </c>
      <c r="K398" s="6">
        <v>0</v>
      </c>
      <c r="L398" s="6">
        <v>-1.8089999999999999</v>
      </c>
      <c r="M398" s="6">
        <v>-1.8089999999999999</v>
      </c>
      <c r="N398" s="6">
        <v>-1.8089999999999999</v>
      </c>
      <c r="O398" s="6">
        <v>-1.8089999999999999</v>
      </c>
      <c r="P398" s="6">
        <v>-34</v>
      </c>
      <c r="Q398" s="4" t="s">
        <v>26</v>
      </c>
      <c r="R398" s="4">
        <v>0</v>
      </c>
      <c r="S398" s="4">
        <v>0</v>
      </c>
      <c r="T398" s="4">
        <v>41</v>
      </c>
      <c r="U398" s="4">
        <v>85</v>
      </c>
      <c r="V398" s="6">
        <f>IF(ISERROR(VLOOKUP($S$398,'TAR FIN'!$A$1:$O$115,15,0)),0,VLOOKUP($S$398,'TAR FIN'!$A$1:$O$115,15,0))</f>
        <v>0</v>
      </c>
      <c r="W398" s="6">
        <f>IF(ISERROR(VLOOKUP($T$398,'TAR FIN'!$A$1:$O$115,15,0)),0,VLOOKUP($T$398,'TAR FIN'!$A$1:$O$115,15,0))</f>
        <v>242.47</v>
      </c>
      <c r="X398" s="6">
        <f>IF(ISERROR(VLOOKUP($U$398,'TAR FIN'!$A$1:$O$115,15,0)),0,VLOOKUP($U$398,'TAR FIN'!$A$1:$O$115,15,0))</f>
        <v>105.95</v>
      </c>
      <c r="Y398" s="6"/>
      <c r="Z398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398" s="6">
        <f>('TE BE'!$AB$22+'TE BF'!$AB$22+'TE CVA'!$AB$22)*(1-CUSTOS!$M$35)</f>
        <v>138.40918466435005</v>
      </c>
      <c r="AB398" s="6">
        <f t="shared" si="22"/>
        <v>0</v>
      </c>
      <c r="AC398" s="6">
        <f>(L398-M398)*(W398+X398)+($W$522+$X$522-$W$398-$X$398)*(L398)</f>
        <v>-420.19452000000007</v>
      </c>
      <c r="AD398" s="6">
        <f t="shared" si="23"/>
        <v>0</v>
      </c>
      <c r="AE398" s="6">
        <f ca="1">(L398-M398)*(Z398+AA398)+($Z$522+$AA$522-$Z$398-$AA$398)*(L398)</f>
        <v>-470.95934115718205</v>
      </c>
      <c r="AF398" s="4" t="s">
        <v>938</v>
      </c>
    </row>
    <row r="399" spans="1:32" ht="11.25" customHeight="1" x14ac:dyDescent="0.25">
      <c r="A399" s="4" t="s">
        <v>30</v>
      </c>
      <c r="B399" s="4" t="s">
        <v>22</v>
      </c>
      <c r="C399" s="4" t="s">
        <v>23</v>
      </c>
      <c r="D399" s="4" t="s">
        <v>24</v>
      </c>
      <c r="E399" s="4" t="s">
        <v>32</v>
      </c>
      <c r="F399" s="4" t="s">
        <v>25</v>
      </c>
      <c r="G399" s="4" t="s">
        <v>25</v>
      </c>
      <c r="H399" s="4" t="s">
        <v>25</v>
      </c>
      <c r="I399" s="5">
        <v>44531</v>
      </c>
      <c r="J399" s="6">
        <v>0</v>
      </c>
      <c r="K399" s="6">
        <v>0</v>
      </c>
      <c r="L399" s="6">
        <v>1.46</v>
      </c>
      <c r="M399" s="6">
        <v>1.46</v>
      </c>
      <c r="N399" s="6">
        <v>1.46</v>
      </c>
      <c r="O399" s="6">
        <v>1.46</v>
      </c>
      <c r="P399" s="6">
        <v>0</v>
      </c>
      <c r="Q399" s="4" t="s">
        <v>26</v>
      </c>
      <c r="R399" s="4">
        <v>0</v>
      </c>
      <c r="S399" s="4">
        <v>0</v>
      </c>
      <c r="T399" s="4">
        <v>41</v>
      </c>
      <c r="U399" s="4">
        <v>85</v>
      </c>
      <c r="V399" s="6">
        <f>IF(ISERROR(VLOOKUP($S$399,'TAR FIN'!$A$1:$O$115,15,0)),0,VLOOKUP($S$399,'TAR FIN'!$A$1:$O$115,15,0))</f>
        <v>0</v>
      </c>
      <c r="W399" s="6">
        <f>IF(ISERROR(VLOOKUP($T$399,'TAR FIN'!$A$1:$O$115,15,0)),0,VLOOKUP($T$399,'TAR FIN'!$A$1:$O$115,15,0))</f>
        <v>242.47</v>
      </c>
      <c r="X399" s="6">
        <f>IF(ISERROR(VLOOKUP($U$399,'TAR FIN'!$A$1:$O$115,15,0)),0,VLOOKUP($U$399,'TAR FIN'!$A$1:$O$115,15,0))</f>
        <v>105.95</v>
      </c>
      <c r="Y399" s="6"/>
      <c r="Z399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399" s="6">
        <f>('TE BE'!$AB$22+'TE BF'!$AB$22+'TE CVA'!$AB$22)*(1-CUSTOS!$M$35)</f>
        <v>138.40918466435005</v>
      </c>
      <c r="AB399" s="6">
        <f t="shared" si="22"/>
        <v>0</v>
      </c>
      <c r="AC399" s="6">
        <f>(L399-M399)*(W399+X399)+($W$522+$X$522-$W$399-$X$399)*(L399)</f>
        <v>339.12880000000001</v>
      </c>
      <c r="AD399" s="6">
        <f t="shared" si="23"/>
        <v>0</v>
      </c>
      <c r="AE399" s="6">
        <f ca="1">(L399-M399)*(Z399+AA399)+($Z$522+$AA$522-$Z$399-$AA$399)*(L399)</f>
        <v>380.09985521806846</v>
      </c>
      <c r="AF399" s="4" t="s">
        <v>938</v>
      </c>
    </row>
    <row r="400" spans="1:32" ht="11.25" customHeight="1" x14ac:dyDescent="0.25">
      <c r="A400" s="4" t="s">
        <v>30</v>
      </c>
      <c r="B400" s="4" t="s">
        <v>22</v>
      </c>
      <c r="C400" s="4" t="s">
        <v>23</v>
      </c>
      <c r="D400" s="4" t="s">
        <v>24</v>
      </c>
      <c r="E400" s="4" t="s">
        <v>32</v>
      </c>
      <c r="F400" s="4" t="s">
        <v>25</v>
      </c>
      <c r="G400" s="4" t="s">
        <v>25</v>
      </c>
      <c r="H400" s="4" t="s">
        <v>25</v>
      </c>
      <c r="I400" s="5">
        <v>44531</v>
      </c>
      <c r="J400" s="6">
        <v>0</v>
      </c>
      <c r="K400" s="6">
        <v>0</v>
      </c>
      <c r="L400" s="6">
        <v>-7.0000000000000007E-2</v>
      </c>
      <c r="M400" s="6">
        <v>-7.0000000000000007E-2</v>
      </c>
      <c r="N400" s="6">
        <v>-7.0000000000000007E-2</v>
      </c>
      <c r="O400" s="6">
        <v>-7.0000000000000007E-2</v>
      </c>
      <c r="P400" s="6">
        <v>0</v>
      </c>
      <c r="Q400" s="4" t="s">
        <v>26</v>
      </c>
      <c r="R400" s="4">
        <v>0</v>
      </c>
      <c r="S400" s="4">
        <v>0</v>
      </c>
      <c r="T400" s="4">
        <v>41</v>
      </c>
      <c r="U400" s="4">
        <v>85</v>
      </c>
      <c r="V400" s="6">
        <f>IF(ISERROR(VLOOKUP($S$400,'TAR FIN'!$A$1:$O$115,15,0)),0,VLOOKUP($S$400,'TAR FIN'!$A$1:$O$115,15,0))</f>
        <v>0</v>
      </c>
      <c r="W400" s="6">
        <f>IF(ISERROR(VLOOKUP($T$400,'TAR FIN'!$A$1:$O$115,15,0)),0,VLOOKUP($T$400,'TAR FIN'!$A$1:$O$115,15,0))</f>
        <v>242.47</v>
      </c>
      <c r="X400" s="6">
        <f>IF(ISERROR(VLOOKUP($U$400,'TAR FIN'!$A$1:$O$115,15,0)),0,VLOOKUP($U$400,'TAR FIN'!$A$1:$O$115,15,0))</f>
        <v>105.95</v>
      </c>
      <c r="Y400" s="6"/>
      <c r="Z400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00" s="6">
        <f>('TE BE'!$AB$22+'TE BF'!$AB$22+'TE CVA'!$AB$22)*(1-CUSTOS!$M$35)</f>
        <v>138.40918466435005</v>
      </c>
      <c r="AB400" s="6">
        <f t="shared" si="22"/>
        <v>0</v>
      </c>
      <c r="AC400" s="6">
        <f>(L400-M400)*(W400+X400)+($W$522+$X$522-$W$400-$X$400)*(L400)</f>
        <v>-16.259600000000002</v>
      </c>
      <c r="AD400" s="6">
        <f t="shared" si="23"/>
        <v>0</v>
      </c>
      <c r="AE400" s="6">
        <f ca="1">(L400-M400)*(Z400+AA400)+($Z$522+$AA$522-$Z$400-$AA$400)*(L400)</f>
        <v>-18.223965661140269</v>
      </c>
      <c r="AF400" s="4" t="s">
        <v>938</v>
      </c>
    </row>
    <row r="401" spans="1:32" ht="11.25" customHeight="1" x14ac:dyDescent="0.25">
      <c r="A401" s="4" t="s">
        <v>21</v>
      </c>
      <c r="B401" s="4" t="s">
        <v>22</v>
      </c>
      <c r="C401" s="4" t="s">
        <v>23</v>
      </c>
      <c r="D401" s="4" t="s">
        <v>24</v>
      </c>
      <c r="E401" s="4" t="s">
        <v>32</v>
      </c>
      <c r="F401" s="4" t="s">
        <v>25</v>
      </c>
      <c r="G401" s="4" t="s">
        <v>25</v>
      </c>
      <c r="H401" s="4" t="s">
        <v>25</v>
      </c>
      <c r="I401" s="5">
        <v>44562</v>
      </c>
      <c r="J401" s="6">
        <v>0</v>
      </c>
      <c r="K401" s="6">
        <v>0</v>
      </c>
      <c r="L401" s="6">
        <v>2159.6320000000001</v>
      </c>
      <c r="M401" s="6">
        <v>2159.6320000000001</v>
      </c>
      <c r="N401" s="6">
        <v>2159.6320000000001</v>
      </c>
      <c r="O401" s="6">
        <v>2159.6320000000001</v>
      </c>
      <c r="P401" s="6">
        <v>8160</v>
      </c>
      <c r="Q401" s="4" t="s">
        <v>26</v>
      </c>
      <c r="R401" s="4">
        <v>0</v>
      </c>
      <c r="S401" s="4">
        <v>0</v>
      </c>
      <c r="T401" s="4">
        <v>41</v>
      </c>
      <c r="U401" s="4">
        <v>85</v>
      </c>
      <c r="V401" s="6">
        <f>IF(ISERROR(VLOOKUP($S$401,'TAR FIN'!$A$1:$O$115,15,0)),0,VLOOKUP($S$401,'TAR FIN'!$A$1:$O$115,15,0))</f>
        <v>0</v>
      </c>
      <c r="W401" s="6">
        <f>IF(ISERROR(VLOOKUP($T$401,'TAR FIN'!$A$1:$O$115,15,0)),0,VLOOKUP($T$401,'TAR FIN'!$A$1:$O$115,15,0))</f>
        <v>242.47</v>
      </c>
      <c r="X401" s="6">
        <f>IF(ISERROR(VLOOKUP($U$401,'TAR FIN'!$A$1:$O$115,15,0)),0,VLOOKUP($U$401,'TAR FIN'!$A$1:$O$115,15,0))</f>
        <v>105.95</v>
      </c>
      <c r="Y401" s="6"/>
      <c r="Z401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01" s="6">
        <f>('TE BE'!$AB$22+'TE BF'!$AB$22+'TE CVA'!$AB$22)*(1-CUSTOS!$M$35)</f>
        <v>138.40918466435005</v>
      </c>
      <c r="AB401" s="6">
        <f t="shared" si="22"/>
        <v>0</v>
      </c>
      <c r="AC401" s="6">
        <f>(L401-M401)*(W401+X401)+($W$522+$X$522-$W$401-$X$401)*(L401)</f>
        <v>501639.3209600001</v>
      </c>
      <c r="AD401" s="6">
        <f t="shared" si="23"/>
        <v>0</v>
      </c>
      <c r="AE401" s="6">
        <f ca="1">(L401-M401)*(Z401+AA401)+($Z$522+$AA$522-$Z$401-$AA$401)*(L401)</f>
        <v>562243.70583856688</v>
      </c>
      <c r="AF401" s="4" t="s">
        <v>938</v>
      </c>
    </row>
    <row r="402" spans="1:32" ht="11.25" customHeight="1" x14ac:dyDescent="0.25">
      <c r="A402" s="4" t="s">
        <v>27</v>
      </c>
      <c r="B402" s="4" t="s">
        <v>22</v>
      </c>
      <c r="C402" s="4" t="s">
        <v>23</v>
      </c>
      <c r="D402" s="4" t="s">
        <v>24</v>
      </c>
      <c r="E402" s="4" t="s">
        <v>32</v>
      </c>
      <c r="F402" s="4" t="s">
        <v>25</v>
      </c>
      <c r="G402" s="4" t="s">
        <v>25</v>
      </c>
      <c r="H402" s="4" t="s">
        <v>25</v>
      </c>
      <c r="I402" s="5">
        <v>44562</v>
      </c>
      <c r="J402" s="6">
        <v>0</v>
      </c>
      <c r="K402" s="6">
        <v>0</v>
      </c>
      <c r="L402" s="6">
        <v>-11.404</v>
      </c>
      <c r="M402" s="6">
        <v>-11.404</v>
      </c>
      <c r="N402" s="6">
        <v>-11.404</v>
      </c>
      <c r="O402" s="6">
        <v>-11.404</v>
      </c>
      <c r="P402" s="6">
        <v>-36</v>
      </c>
      <c r="Q402" s="4" t="s">
        <v>26</v>
      </c>
      <c r="R402" s="4">
        <v>0</v>
      </c>
      <c r="S402" s="4">
        <v>0</v>
      </c>
      <c r="T402" s="4">
        <v>41</v>
      </c>
      <c r="U402" s="4">
        <v>85</v>
      </c>
      <c r="V402" s="6">
        <f>IF(ISERROR(VLOOKUP($S$402,'TAR FIN'!$A$1:$O$115,15,0)),0,VLOOKUP($S$402,'TAR FIN'!$A$1:$O$115,15,0))</f>
        <v>0</v>
      </c>
      <c r="W402" s="6">
        <f>IF(ISERROR(VLOOKUP($T$402,'TAR FIN'!$A$1:$O$115,15,0)),0,VLOOKUP($T$402,'TAR FIN'!$A$1:$O$115,15,0))</f>
        <v>242.47</v>
      </c>
      <c r="X402" s="6">
        <f>IF(ISERROR(VLOOKUP($U$402,'TAR FIN'!$A$1:$O$115,15,0)),0,VLOOKUP($U$402,'TAR FIN'!$A$1:$O$115,15,0))</f>
        <v>105.95</v>
      </c>
      <c r="Y402" s="6"/>
      <c r="Z402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02" s="6">
        <f>('TE BE'!$AB$22+'TE BF'!$AB$22+'TE CVA'!$AB$22)*(1-CUSTOS!$M$35)</f>
        <v>138.40918466435005</v>
      </c>
      <c r="AB402" s="6">
        <f t="shared" si="22"/>
        <v>0</v>
      </c>
      <c r="AC402" s="6">
        <f>(L402-M402)*(W402+X402)+($W$522+$X$522-$W$402-$X$402)*(L402)</f>
        <v>-2648.9211200000004</v>
      </c>
      <c r="AD402" s="6">
        <f t="shared" si="23"/>
        <v>0</v>
      </c>
      <c r="AE402" s="6">
        <f ca="1">(L402-M402)*(Z402+AA402)+($Z$522+$AA$522-$Z$402-$AA$402)*(L402)</f>
        <v>-2968.9443485663373</v>
      </c>
      <c r="AF402" s="4" t="s">
        <v>938</v>
      </c>
    </row>
    <row r="403" spans="1:32" ht="11.25" customHeight="1" x14ac:dyDescent="0.25">
      <c r="A403" s="4" t="s">
        <v>28</v>
      </c>
      <c r="B403" s="4" t="s">
        <v>22</v>
      </c>
      <c r="C403" s="4" t="s">
        <v>23</v>
      </c>
      <c r="D403" s="4" t="s">
        <v>24</v>
      </c>
      <c r="E403" s="4" t="s">
        <v>32</v>
      </c>
      <c r="F403" s="4" t="s">
        <v>25</v>
      </c>
      <c r="G403" s="4" t="s">
        <v>25</v>
      </c>
      <c r="H403" s="4" t="s">
        <v>25</v>
      </c>
      <c r="I403" s="5">
        <v>44562</v>
      </c>
      <c r="J403" s="6">
        <v>0</v>
      </c>
      <c r="K403" s="6">
        <v>0</v>
      </c>
      <c r="L403" s="6">
        <v>1060.7249999999999</v>
      </c>
      <c r="M403" s="6">
        <v>1060.7249999999999</v>
      </c>
      <c r="N403" s="6">
        <v>1060.7249999999999</v>
      </c>
      <c r="O403" s="6">
        <v>1060.7249999999999</v>
      </c>
      <c r="P403" s="6">
        <v>6694</v>
      </c>
      <c r="Q403" s="4" t="s">
        <v>26</v>
      </c>
      <c r="R403" s="4">
        <v>0</v>
      </c>
      <c r="S403" s="4">
        <v>0</v>
      </c>
      <c r="T403" s="4">
        <v>41</v>
      </c>
      <c r="U403" s="4">
        <v>85</v>
      </c>
      <c r="V403" s="6">
        <f>IF(ISERROR(VLOOKUP($S$403,'TAR FIN'!$A$1:$O$115,15,0)),0,VLOOKUP($S$403,'TAR FIN'!$A$1:$O$115,15,0))</f>
        <v>0</v>
      </c>
      <c r="W403" s="6">
        <f>IF(ISERROR(VLOOKUP($T$403,'TAR FIN'!$A$1:$O$115,15,0)),0,VLOOKUP($T$403,'TAR FIN'!$A$1:$O$115,15,0))</f>
        <v>242.47</v>
      </c>
      <c r="X403" s="6">
        <f>IF(ISERROR(VLOOKUP($U$403,'TAR FIN'!$A$1:$O$115,15,0)),0,VLOOKUP($U$403,'TAR FIN'!$A$1:$O$115,15,0))</f>
        <v>105.95</v>
      </c>
      <c r="Y403" s="6"/>
      <c r="Z403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03" s="6">
        <f>('TE BE'!$AB$22+'TE BF'!$AB$22+'TE CVA'!$AB$22)*(1-CUSTOS!$M$35)</f>
        <v>138.40918466435005</v>
      </c>
      <c r="AB403" s="6">
        <f t="shared" si="22"/>
        <v>0</v>
      </c>
      <c r="AC403" s="6">
        <f>(L403-M403)*(W403+X403)+($W$522+$X$522-$W$403-$X$403)*(L403)</f>
        <v>246385.20300000001</v>
      </c>
      <c r="AD403" s="6">
        <f t="shared" si="23"/>
        <v>0</v>
      </c>
      <c r="AE403" s="6">
        <f ca="1">(L403-M403)*(Z403+AA403)+($Z$522+$AA$522-$Z$403-$AA$403)*(L403)</f>
        <v>276151.65679875726</v>
      </c>
      <c r="AF403" s="4" t="s">
        <v>938</v>
      </c>
    </row>
    <row r="404" spans="1:32" ht="11.25" customHeight="1" x14ac:dyDescent="0.25">
      <c r="A404" s="4" t="s">
        <v>29</v>
      </c>
      <c r="B404" s="4" t="s">
        <v>22</v>
      </c>
      <c r="C404" s="4" t="s">
        <v>23</v>
      </c>
      <c r="D404" s="4" t="s">
        <v>24</v>
      </c>
      <c r="E404" s="4" t="s">
        <v>32</v>
      </c>
      <c r="F404" s="4" t="s">
        <v>25</v>
      </c>
      <c r="G404" s="4" t="s">
        <v>25</v>
      </c>
      <c r="H404" s="4" t="s">
        <v>25</v>
      </c>
      <c r="I404" s="5">
        <v>44562</v>
      </c>
      <c r="J404" s="6">
        <v>0</v>
      </c>
      <c r="K404" s="6">
        <v>0</v>
      </c>
      <c r="L404" s="6">
        <v>-2.4180000000000001</v>
      </c>
      <c r="M404" s="6">
        <v>-2.4180000000000001</v>
      </c>
      <c r="N404" s="6">
        <v>-2.4180000000000001</v>
      </c>
      <c r="O404" s="6">
        <v>-2.4180000000000001</v>
      </c>
      <c r="P404" s="6">
        <v>-37</v>
      </c>
      <c r="Q404" s="4" t="s">
        <v>26</v>
      </c>
      <c r="R404" s="4">
        <v>0</v>
      </c>
      <c r="S404" s="4">
        <v>0</v>
      </c>
      <c r="T404" s="4">
        <v>41</v>
      </c>
      <c r="U404" s="4">
        <v>85</v>
      </c>
      <c r="V404" s="6">
        <f>IF(ISERROR(VLOOKUP($S$404,'TAR FIN'!$A$1:$O$115,15,0)),0,VLOOKUP($S$404,'TAR FIN'!$A$1:$O$115,15,0))</f>
        <v>0</v>
      </c>
      <c r="W404" s="6">
        <f>IF(ISERROR(VLOOKUP($T$404,'TAR FIN'!$A$1:$O$115,15,0)),0,VLOOKUP($T$404,'TAR FIN'!$A$1:$O$115,15,0))</f>
        <v>242.47</v>
      </c>
      <c r="X404" s="6">
        <f>IF(ISERROR(VLOOKUP($U$404,'TAR FIN'!$A$1:$O$115,15,0)),0,VLOOKUP($U$404,'TAR FIN'!$A$1:$O$115,15,0))</f>
        <v>105.95</v>
      </c>
      <c r="Y404" s="6"/>
      <c r="Z404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04" s="6">
        <f>('TE BE'!$AB$22+'TE BF'!$AB$22+'TE CVA'!$AB$22)*(1-CUSTOS!$M$35)</f>
        <v>138.40918466435005</v>
      </c>
      <c r="AB404" s="6">
        <f t="shared" si="22"/>
        <v>0</v>
      </c>
      <c r="AC404" s="6">
        <f>(L404-M404)*(W404+X404)+($W$522+$X$522-$W$404-$X$404)*(L404)</f>
        <v>-561.65304000000015</v>
      </c>
      <c r="AD404" s="6">
        <f t="shared" si="23"/>
        <v>0</v>
      </c>
      <c r="AE404" s="6">
        <f ca="1">(L404-M404)*(Z404+AA404)+($Z$522+$AA$522-$Z$404-$AA$404)*(L404)</f>
        <v>-629.50784240910241</v>
      </c>
      <c r="AF404" s="4" t="s">
        <v>938</v>
      </c>
    </row>
    <row r="405" spans="1:32" ht="11.25" customHeight="1" x14ac:dyDescent="0.25">
      <c r="A405" s="4" t="s">
        <v>30</v>
      </c>
      <c r="B405" s="4" t="s">
        <v>22</v>
      </c>
      <c r="C405" s="4" t="s">
        <v>23</v>
      </c>
      <c r="D405" s="4" t="s">
        <v>24</v>
      </c>
      <c r="E405" s="4" t="s">
        <v>32</v>
      </c>
      <c r="F405" s="4" t="s">
        <v>25</v>
      </c>
      <c r="G405" s="4" t="s">
        <v>25</v>
      </c>
      <c r="H405" s="4" t="s">
        <v>25</v>
      </c>
      <c r="I405" s="5">
        <v>44562</v>
      </c>
      <c r="J405" s="6">
        <v>0</v>
      </c>
      <c r="K405" s="6">
        <v>0</v>
      </c>
      <c r="L405" s="6">
        <v>1.5229999999999999</v>
      </c>
      <c r="M405" s="6">
        <v>1.5229999999999999</v>
      </c>
      <c r="N405" s="6">
        <v>1.5229999999999999</v>
      </c>
      <c r="O405" s="6">
        <v>1.5229999999999999</v>
      </c>
      <c r="P405" s="6">
        <v>0</v>
      </c>
      <c r="Q405" s="4" t="s">
        <v>26</v>
      </c>
      <c r="R405" s="4">
        <v>0</v>
      </c>
      <c r="S405" s="4">
        <v>0</v>
      </c>
      <c r="T405" s="4">
        <v>41</v>
      </c>
      <c r="U405" s="4">
        <v>85</v>
      </c>
      <c r="V405" s="6">
        <f>IF(ISERROR(VLOOKUP($S$405,'TAR FIN'!$A$1:$O$115,15,0)),0,VLOOKUP($S$405,'TAR FIN'!$A$1:$O$115,15,0))</f>
        <v>0</v>
      </c>
      <c r="W405" s="6">
        <f>IF(ISERROR(VLOOKUP($T$405,'TAR FIN'!$A$1:$O$115,15,0)),0,VLOOKUP($T$405,'TAR FIN'!$A$1:$O$115,15,0))</f>
        <v>242.47</v>
      </c>
      <c r="X405" s="6">
        <f>IF(ISERROR(VLOOKUP($U$405,'TAR FIN'!$A$1:$O$115,15,0)),0,VLOOKUP($U$405,'TAR FIN'!$A$1:$O$115,15,0))</f>
        <v>105.95</v>
      </c>
      <c r="Y405" s="6"/>
      <c r="Z405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05" s="6">
        <f>('TE BE'!$AB$22+'TE BF'!$AB$22+'TE CVA'!$AB$22)*(1-CUSTOS!$M$35)</f>
        <v>138.40918466435005</v>
      </c>
      <c r="AB405" s="6">
        <f t="shared" si="22"/>
        <v>0</v>
      </c>
      <c r="AC405" s="6">
        <f>(L405-M405)*(W405+X405)+($W$522+$X$522-$W$405-$X$405)*(L405)</f>
        <v>353.76244000000003</v>
      </c>
      <c r="AD405" s="6">
        <f t="shared" si="23"/>
        <v>0</v>
      </c>
      <c r="AE405" s="6">
        <f ca="1">(L405-M405)*(Z405+AA405)+($Z$522+$AA$522-$Z$405-$AA$405)*(L405)</f>
        <v>396.50142431309467</v>
      </c>
      <c r="AF405" s="4" t="s">
        <v>938</v>
      </c>
    </row>
    <row r="406" spans="1:32" ht="11.25" customHeight="1" x14ac:dyDescent="0.25">
      <c r="A406" s="4" t="s">
        <v>30</v>
      </c>
      <c r="B406" s="4" t="s">
        <v>22</v>
      </c>
      <c r="C406" s="4" t="s">
        <v>23</v>
      </c>
      <c r="D406" s="4" t="s">
        <v>24</v>
      </c>
      <c r="E406" s="4" t="s">
        <v>32</v>
      </c>
      <c r="F406" s="4" t="s">
        <v>25</v>
      </c>
      <c r="G406" s="4" t="s">
        <v>25</v>
      </c>
      <c r="H406" s="4" t="s">
        <v>25</v>
      </c>
      <c r="I406" s="5">
        <v>44562</v>
      </c>
      <c r="J406" s="6">
        <v>0</v>
      </c>
      <c r="K406" s="6">
        <v>0</v>
      </c>
      <c r="L406" s="6">
        <v>-7.0000000000000007E-2</v>
      </c>
      <c r="M406" s="6">
        <v>-7.0000000000000007E-2</v>
      </c>
      <c r="N406" s="6">
        <v>-7.0000000000000007E-2</v>
      </c>
      <c r="O406" s="6">
        <v>-7.0000000000000007E-2</v>
      </c>
      <c r="P406" s="6">
        <v>0</v>
      </c>
      <c r="Q406" s="4" t="s">
        <v>26</v>
      </c>
      <c r="R406" s="4">
        <v>0</v>
      </c>
      <c r="S406" s="4">
        <v>0</v>
      </c>
      <c r="T406" s="4">
        <v>41</v>
      </c>
      <c r="U406" s="4">
        <v>85</v>
      </c>
      <c r="V406" s="6">
        <f>IF(ISERROR(VLOOKUP($S$406,'TAR FIN'!$A$1:$O$115,15,0)),0,VLOOKUP($S$406,'TAR FIN'!$A$1:$O$115,15,0))</f>
        <v>0</v>
      </c>
      <c r="W406" s="6">
        <f>IF(ISERROR(VLOOKUP($T$406,'TAR FIN'!$A$1:$O$115,15,0)),0,VLOOKUP($T$406,'TAR FIN'!$A$1:$O$115,15,0))</f>
        <v>242.47</v>
      </c>
      <c r="X406" s="6">
        <f>IF(ISERROR(VLOOKUP($U$406,'TAR FIN'!$A$1:$O$115,15,0)),0,VLOOKUP($U$406,'TAR FIN'!$A$1:$O$115,15,0))</f>
        <v>105.95</v>
      </c>
      <c r="Y406" s="6"/>
      <c r="Z406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06" s="6">
        <f>('TE BE'!$AB$22+'TE BF'!$AB$22+'TE CVA'!$AB$22)*(1-CUSTOS!$M$35)</f>
        <v>138.40918466435005</v>
      </c>
      <c r="AB406" s="6">
        <f t="shared" si="22"/>
        <v>0</v>
      </c>
      <c r="AC406" s="6">
        <f>(L406-M406)*(W406+X406)+($W$522+$X$522-$W$406-$X$406)*(L406)</f>
        <v>-16.259600000000002</v>
      </c>
      <c r="AD406" s="6">
        <f t="shared" si="23"/>
        <v>0</v>
      </c>
      <c r="AE406" s="6">
        <f ca="1">(L406-M406)*(Z406+AA406)+($Z$522+$AA$522-$Z$406-$AA$406)*(L406)</f>
        <v>-18.223965661140269</v>
      </c>
      <c r="AF406" s="4" t="s">
        <v>938</v>
      </c>
    </row>
    <row r="407" spans="1:32" ht="11.25" customHeight="1" x14ac:dyDescent="0.25">
      <c r="A407" s="4" t="s">
        <v>21</v>
      </c>
      <c r="B407" s="4" t="s">
        <v>22</v>
      </c>
      <c r="C407" s="4" t="s">
        <v>23</v>
      </c>
      <c r="D407" s="4" t="s">
        <v>24</v>
      </c>
      <c r="E407" s="4" t="s">
        <v>32</v>
      </c>
      <c r="F407" s="4" t="s">
        <v>25</v>
      </c>
      <c r="G407" s="4" t="s">
        <v>25</v>
      </c>
      <c r="H407" s="4" t="s">
        <v>25</v>
      </c>
      <c r="I407" s="5">
        <v>44593</v>
      </c>
      <c r="J407" s="6">
        <v>0</v>
      </c>
      <c r="K407" s="6">
        <v>0</v>
      </c>
      <c r="L407" s="6">
        <v>2301.9749999999999</v>
      </c>
      <c r="M407" s="6">
        <v>2301.9749999999999</v>
      </c>
      <c r="N407" s="6">
        <v>2301.9749999999999</v>
      </c>
      <c r="O407" s="6">
        <v>2301.9749999999999</v>
      </c>
      <c r="P407" s="6">
        <v>10619</v>
      </c>
      <c r="Q407" s="4" t="s">
        <v>26</v>
      </c>
      <c r="R407" s="4">
        <v>0</v>
      </c>
      <c r="S407" s="4">
        <v>0</v>
      </c>
      <c r="T407" s="4">
        <v>41</v>
      </c>
      <c r="U407" s="4">
        <v>85</v>
      </c>
      <c r="V407" s="6">
        <f>IF(ISERROR(VLOOKUP($S$407,'TAR FIN'!$A$1:$O$115,15,0)),0,VLOOKUP($S$407,'TAR FIN'!$A$1:$O$115,15,0))</f>
        <v>0</v>
      </c>
      <c r="W407" s="6">
        <f>IF(ISERROR(VLOOKUP($T$407,'TAR FIN'!$A$1:$O$115,15,0)),0,VLOOKUP($T$407,'TAR FIN'!$A$1:$O$115,15,0))</f>
        <v>242.47</v>
      </c>
      <c r="X407" s="6">
        <f>IF(ISERROR(VLOOKUP($U$407,'TAR FIN'!$A$1:$O$115,15,0)),0,VLOOKUP($U$407,'TAR FIN'!$A$1:$O$115,15,0))</f>
        <v>105.95</v>
      </c>
      <c r="Y407" s="6"/>
      <c r="Z407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07" s="6">
        <f>('TE BE'!$AB$22+'TE BF'!$AB$22+'TE CVA'!$AB$22)*(1-CUSTOS!$M$35)</f>
        <v>138.40918466435005</v>
      </c>
      <c r="AB407" s="6">
        <f t="shared" si="22"/>
        <v>0</v>
      </c>
      <c r="AC407" s="6">
        <f>(L407-M407)*(W407+X407)+($W$522+$X$522-$W$407-$X$407)*(L407)</f>
        <v>534702.75300000003</v>
      </c>
      <c r="AD407" s="6">
        <f t="shared" si="23"/>
        <v>0</v>
      </c>
      <c r="AE407" s="6">
        <f ca="1">(L407-M407)*(Z407+AA407)+($Z$522+$AA$522-$Z$407-$AA$407)*(L407)</f>
        <v>599301.61932576238</v>
      </c>
      <c r="AF407" s="4" t="s">
        <v>938</v>
      </c>
    </row>
    <row r="408" spans="1:32" ht="11.25" customHeight="1" x14ac:dyDescent="0.25">
      <c r="A408" s="4" t="s">
        <v>27</v>
      </c>
      <c r="B408" s="4" t="s">
        <v>22</v>
      </c>
      <c r="C408" s="4" t="s">
        <v>23</v>
      </c>
      <c r="D408" s="4" t="s">
        <v>24</v>
      </c>
      <c r="E408" s="4" t="s">
        <v>32</v>
      </c>
      <c r="F408" s="4" t="s">
        <v>25</v>
      </c>
      <c r="G408" s="4" t="s">
        <v>25</v>
      </c>
      <c r="H408" s="4" t="s">
        <v>25</v>
      </c>
      <c r="I408" s="5">
        <v>44593</v>
      </c>
      <c r="J408" s="6">
        <v>0</v>
      </c>
      <c r="K408" s="6">
        <v>0</v>
      </c>
      <c r="L408" s="6">
        <v>-11.833</v>
      </c>
      <c r="M408" s="6">
        <v>-11.833</v>
      </c>
      <c r="N408" s="6">
        <v>-11.833</v>
      </c>
      <c r="O408" s="6">
        <v>-11.833</v>
      </c>
      <c r="P408" s="6">
        <v>-11</v>
      </c>
      <c r="Q408" s="4" t="s">
        <v>26</v>
      </c>
      <c r="R408" s="4">
        <v>0</v>
      </c>
      <c r="S408" s="4">
        <v>0</v>
      </c>
      <c r="T408" s="4">
        <v>41</v>
      </c>
      <c r="U408" s="4">
        <v>85</v>
      </c>
      <c r="V408" s="6">
        <f>IF(ISERROR(VLOOKUP($S$408,'TAR FIN'!$A$1:$O$115,15,0)),0,VLOOKUP($S$408,'TAR FIN'!$A$1:$O$115,15,0))</f>
        <v>0</v>
      </c>
      <c r="W408" s="6">
        <f>IF(ISERROR(VLOOKUP($T$408,'TAR FIN'!$A$1:$O$115,15,0)),0,VLOOKUP($T$408,'TAR FIN'!$A$1:$O$115,15,0))</f>
        <v>242.47</v>
      </c>
      <c r="X408" s="6">
        <f>IF(ISERROR(VLOOKUP($U$408,'TAR FIN'!$A$1:$O$115,15,0)),0,VLOOKUP($U$408,'TAR FIN'!$A$1:$O$115,15,0))</f>
        <v>105.95</v>
      </c>
      <c r="Y408" s="6"/>
      <c r="Z408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08" s="6">
        <f>('TE BE'!$AB$22+'TE BF'!$AB$22+'TE CVA'!$AB$22)*(1-CUSTOS!$M$35)</f>
        <v>138.40918466435005</v>
      </c>
      <c r="AB408" s="6">
        <f t="shared" si="22"/>
        <v>0</v>
      </c>
      <c r="AC408" s="6">
        <f>(L408-M408)*(W408+X408)+($W$522+$X$522-$W$408-$X$408)*(L408)</f>
        <v>-2748.5692400000003</v>
      </c>
      <c r="AD408" s="6">
        <f t="shared" si="23"/>
        <v>0</v>
      </c>
      <c r="AE408" s="6">
        <f ca="1">(L408-M408)*(Z408+AA408)+($Z$522+$AA$522-$Z$408-$AA$408)*(L408)</f>
        <v>-3080.6312238324685</v>
      </c>
      <c r="AF408" s="4" t="s">
        <v>938</v>
      </c>
    </row>
    <row r="409" spans="1:32" ht="11.25" customHeight="1" x14ac:dyDescent="0.25">
      <c r="A409" s="4" t="s">
        <v>28</v>
      </c>
      <c r="B409" s="4" t="s">
        <v>22</v>
      </c>
      <c r="C409" s="4" t="s">
        <v>23</v>
      </c>
      <c r="D409" s="4" t="s">
        <v>24</v>
      </c>
      <c r="E409" s="4" t="s">
        <v>32</v>
      </c>
      <c r="F409" s="4" t="s">
        <v>25</v>
      </c>
      <c r="G409" s="4" t="s">
        <v>25</v>
      </c>
      <c r="H409" s="4" t="s">
        <v>25</v>
      </c>
      <c r="I409" s="5">
        <v>44593</v>
      </c>
      <c r="J409" s="6">
        <v>0</v>
      </c>
      <c r="K409" s="6">
        <v>0</v>
      </c>
      <c r="L409" s="6">
        <v>1070.5719999999999</v>
      </c>
      <c r="M409" s="6">
        <v>1070.5719999999999</v>
      </c>
      <c r="N409" s="6">
        <v>1070.5719999999999</v>
      </c>
      <c r="O409" s="6">
        <v>1070.5719999999999</v>
      </c>
      <c r="P409" s="6">
        <v>7907</v>
      </c>
      <c r="Q409" s="4" t="s">
        <v>26</v>
      </c>
      <c r="R409" s="4">
        <v>0</v>
      </c>
      <c r="S409" s="4">
        <v>0</v>
      </c>
      <c r="T409" s="4">
        <v>41</v>
      </c>
      <c r="U409" s="4">
        <v>85</v>
      </c>
      <c r="V409" s="6">
        <f>IF(ISERROR(VLOOKUP($S$409,'TAR FIN'!$A$1:$O$115,15,0)),0,VLOOKUP($S$409,'TAR FIN'!$A$1:$O$115,15,0))</f>
        <v>0</v>
      </c>
      <c r="W409" s="6">
        <f>IF(ISERROR(VLOOKUP($T$409,'TAR FIN'!$A$1:$O$115,15,0)),0,VLOOKUP($T$409,'TAR FIN'!$A$1:$O$115,15,0))</f>
        <v>242.47</v>
      </c>
      <c r="X409" s="6">
        <f>IF(ISERROR(VLOOKUP($U$409,'TAR FIN'!$A$1:$O$115,15,0)),0,VLOOKUP($U$409,'TAR FIN'!$A$1:$O$115,15,0))</f>
        <v>105.95</v>
      </c>
      <c r="Y409" s="6"/>
      <c r="Z409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09" s="6">
        <f>('TE BE'!$AB$22+'TE BF'!$AB$22+'TE CVA'!$AB$22)*(1-CUSTOS!$M$35)</f>
        <v>138.40918466435005</v>
      </c>
      <c r="AB409" s="6">
        <f t="shared" si="22"/>
        <v>0</v>
      </c>
      <c r="AC409" s="6">
        <f>(L409-M409)*(W409+X409)+($W$522+$X$522-$W$409-$X$409)*(L409)</f>
        <v>248672.46416</v>
      </c>
      <c r="AD409" s="6">
        <f t="shared" si="23"/>
        <v>0</v>
      </c>
      <c r="AE409" s="6">
        <f ca="1">(L409-M409)*(Z409+AA409)+($Z$522+$AA$522-$Z$409-$AA$409)*(L409)</f>
        <v>278715.24808254652</v>
      </c>
      <c r="AF409" s="4" t="s">
        <v>938</v>
      </c>
    </row>
    <row r="410" spans="1:32" ht="11.25" customHeight="1" x14ac:dyDescent="0.25">
      <c r="A410" s="4" t="s">
        <v>29</v>
      </c>
      <c r="B410" s="4" t="s">
        <v>22</v>
      </c>
      <c r="C410" s="4" t="s">
        <v>23</v>
      </c>
      <c r="D410" s="4" t="s">
        <v>24</v>
      </c>
      <c r="E410" s="4" t="s">
        <v>32</v>
      </c>
      <c r="F410" s="4" t="s">
        <v>25</v>
      </c>
      <c r="G410" s="4" t="s">
        <v>25</v>
      </c>
      <c r="H410" s="4" t="s">
        <v>25</v>
      </c>
      <c r="I410" s="5">
        <v>44593</v>
      </c>
      <c r="J410" s="6">
        <v>0</v>
      </c>
      <c r="K410" s="6">
        <v>0</v>
      </c>
      <c r="L410" s="6">
        <v>-1.7230000000000001</v>
      </c>
      <c r="M410" s="6">
        <v>-1.7230000000000001</v>
      </c>
      <c r="N410" s="6">
        <v>-1.7230000000000001</v>
      </c>
      <c r="O410" s="6">
        <v>-1.7230000000000001</v>
      </c>
      <c r="P410" s="6">
        <v>-3</v>
      </c>
      <c r="Q410" s="4" t="s">
        <v>26</v>
      </c>
      <c r="R410" s="4">
        <v>0</v>
      </c>
      <c r="S410" s="4">
        <v>0</v>
      </c>
      <c r="T410" s="4">
        <v>41</v>
      </c>
      <c r="U410" s="4">
        <v>85</v>
      </c>
      <c r="V410" s="6">
        <f>IF(ISERROR(VLOOKUP($S$410,'TAR FIN'!$A$1:$O$115,15,0)),0,VLOOKUP($S$410,'TAR FIN'!$A$1:$O$115,15,0))</f>
        <v>0</v>
      </c>
      <c r="W410" s="6">
        <f>IF(ISERROR(VLOOKUP($T$410,'TAR FIN'!$A$1:$O$115,15,0)),0,VLOOKUP($T$410,'TAR FIN'!$A$1:$O$115,15,0))</f>
        <v>242.47</v>
      </c>
      <c r="X410" s="6">
        <f>IF(ISERROR(VLOOKUP($U$410,'TAR FIN'!$A$1:$O$115,15,0)),0,VLOOKUP($U$410,'TAR FIN'!$A$1:$O$115,15,0))</f>
        <v>105.95</v>
      </c>
      <c r="Y410" s="6"/>
      <c r="Z410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10" s="6">
        <f>('TE BE'!$AB$22+'TE BF'!$AB$22+'TE CVA'!$AB$22)*(1-CUSTOS!$M$35)</f>
        <v>138.40918466435005</v>
      </c>
      <c r="AB410" s="6">
        <f t="shared" si="22"/>
        <v>0</v>
      </c>
      <c r="AC410" s="6">
        <f>(L410-M410)*(W410+X410)+($W$522+$X$522-$W$410-$X$410)*(L410)</f>
        <v>-400.21844000000004</v>
      </c>
      <c r="AD410" s="6">
        <f t="shared" si="23"/>
        <v>0</v>
      </c>
      <c r="AE410" s="6">
        <f ca="1">(L410-M410)*(Z410+AA410)+($Z$522+$AA$522-$Z$410-$AA$410)*(L410)</f>
        <v>-448.56989763063837</v>
      </c>
      <c r="AF410" s="4" t="s">
        <v>938</v>
      </c>
    </row>
    <row r="411" spans="1:32" ht="11.25" customHeight="1" x14ac:dyDescent="0.25">
      <c r="A411" s="4" t="s">
        <v>30</v>
      </c>
      <c r="B411" s="4" t="s">
        <v>22</v>
      </c>
      <c r="C411" s="4" t="s">
        <v>23</v>
      </c>
      <c r="D411" s="4" t="s">
        <v>24</v>
      </c>
      <c r="E411" s="4" t="s">
        <v>32</v>
      </c>
      <c r="F411" s="4" t="s">
        <v>25</v>
      </c>
      <c r="G411" s="4" t="s">
        <v>25</v>
      </c>
      <c r="H411" s="4" t="s">
        <v>25</v>
      </c>
      <c r="I411" s="5">
        <v>44593</v>
      </c>
      <c r="J411" s="6">
        <v>0</v>
      </c>
      <c r="K411" s="6">
        <v>0</v>
      </c>
      <c r="L411" s="6">
        <v>1.607</v>
      </c>
      <c r="M411" s="6">
        <v>1.607</v>
      </c>
      <c r="N411" s="6">
        <v>1.607</v>
      </c>
      <c r="O411" s="6">
        <v>1.607</v>
      </c>
      <c r="P411" s="6">
        <v>0</v>
      </c>
      <c r="Q411" s="4" t="s">
        <v>26</v>
      </c>
      <c r="R411" s="4">
        <v>0</v>
      </c>
      <c r="S411" s="4">
        <v>0</v>
      </c>
      <c r="T411" s="4">
        <v>41</v>
      </c>
      <c r="U411" s="4">
        <v>85</v>
      </c>
      <c r="V411" s="6">
        <f>IF(ISERROR(VLOOKUP($S$411,'TAR FIN'!$A$1:$O$115,15,0)),0,VLOOKUP($S$411,'TAR FIN'!$A$1:$O$115,15,0))</f>
        <v>0</v>
      </c>
      <c r="W411" s="6">
        <f>IF(ISERROR(VLOOKUP($T$411,'TAR FIN'!$A$1:$O$115,15,0)),0,VLOOKUP($T$411,'TAR FIN'!$A$1:$O$115,15,0))</f>
        <v>242.47</v>
      </c>
      <c r="X411" s="6">
        <f>IF(ISERROR(VLOOKUP($U$411,'TAR FIN'!$A$1:$O$115,15,0)),0,VLOOKUP($U$411,'TAR FIN'!$A$1:$O$115,15,0))</f>
        <v>105.95</v>
      </c>
      <c r="Y411" s="6"/>
      <c r="Z411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11" s="6">
        <f>('TE BE'!$AB$22+'TE BF'!$AB$22+'TE CVA'!$AB$22)*(1-CUSTOS!$M$35)</f>
        <v>138.40918466435005</v>
      </c>
      <c r="AB411" s="6">
        <f t="shared" si="22"/>
        <v>0</v>
      </c>
      <c r="AC411" s="6">
        <f>(L411-M411)*(W411+X411)+($W$522+$X$522-$W$411-$X$411)*(L411)</f>
        <v>373.27396000000005</v>
      </c>
      <c r="AD411" s="6">
        <f t="shared" si="23"/>
        <v>0</v>
      </c>
      <c r="AE411" s="6">
        <f ca="1">(L411-M411)*(Z411+AA411)+($Z$522+$AA$522-$Z$411-$AA$411)*(L411)</f>
        <v>418.370183106463</v>
      </c>
      <c r="AF411" s="4" t="s">
        <v>938</v>
      </c>
    </row>
    <row r="412" spans="1:32" ht="11.25" customHeight="1" x14ac:dyDescent="0.25">
      <c r="A412" s="4" t="s">
        <v>30</v>
      </c>
      <c r="B412" s="4" t="s">
        <v>22</v>
      </c>
      <c r="C412" s="4" t="s">
        <v>23</v>
      </c>
      <c r="D412" s="4" t="s">
        <v>24</v>
      </c>
      <c r="E412" s="4" t="s">
        <v>32</v>
      </c>
      <c r="F412" s="4" t="s">
        <v>25</v>
      </c>
      <c r="G412" s="4" t="s">
        <v>25</v>
      </c>
      <c r="H412" s="4" t="s">
        <v>25</v>
      </c>
      <c r="I412" s="5">
        <v>44593</v>
      </c>
      <c r="J412" s="6">
        <v>0</v>
      </c>
      <c r="K412" s="6">
        <v>0</v>
      </c>
      <c r="L412" s="6">
        <v>-7.0000000000000007E-2</v>
      </c>
      <c r="M412" s="6">
        <v>-7.0000000000000007E-2</v>
      </c>
      <c r="N412" s="6">
        <v>-7.0000000000000007E-2</v>
      </c>
      <c r="O412" s="6">
        <v>-7.0000000000000007E-2</v>
      </c>
      <c r="P412" s="6">
        <v>0</v>
      </c>
      <c r="Q412" s="4" t="s">
        <v>26</v>
      </c>
      <c r="R412" s="4">
        <v>0</v>
      </c>
      <c r="S412" s="4">
        <v>0</v>
      </c>
      <c r="T412" s="4">
        <v>41</v>
      </c>
      <c r="U412" s="4">
        <v>85</v>
      </c>
      <c r="V412" s="6">
        <f>IF(ISERROR(VLOOKUP($S$412,'TAR FIN'!$A$1:$O$115,15,0)),0,VLOOKUP($S$412,'TAR FIN'!$A$1:$O$115,15,0))</f>
        <v>0</v>
      </c>
      <c r="W412" s="6">
        <f>IF(ISERROR(VLOOKUP($T$412,'TAR FIN'!$A$1:$O$115,15,0)),0,VLOOKUP($T$412,'TAR FIN'!$A$1:$O$115,15,0))</f>
        <v>242.47</v>
      </c>
      <c r="X412" s="6">
        <f>IF(ISERROR(VLOOKUP($U$412,'TAR FIN'!$A$1:$O$115,15,0)),0,VLOOKUP($U$412,'TAR FIN'!$A$1:$O$115,15,0))</f>
        <v>105.95</v>
      </c>
      <c r="Y412" s="6"/>
      <c r="Z412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12" s="6">
        <f>('TE BE'!$AB$22+'TE BF'!$AB$22+'TE CVA'!$AB$22)*(1-CUSTOS!$M$35)</f>
        <v>138.40918466435005</v>
      </c>
      <c r="AB412" s="6">
        <f t="shared" si="22"/>
        <v>0</v>
      </c>
      <c r="AC412" s="6">
        <f>(L412-M412)*(W412+X412)+($W$522+$X$522-$W$412-$X$412)*(L412)</f>
        <v>-16.259600000000002</v>
      </c>
      <c r="AD412" s="6">
        <f t="shared" si="23"/>
        <v>0</v>
      </c>
      <c r="AE412" s="6">
        <f ca="1">(L412-M412)*(Z412+AA412)+($Z$522+$AA$522-$Z$412-$AA$412)*(L412)</f>
        <v>-18.223965661140269</v>
      </c>
      <c r="AF412" s="4" t="s">
        <v>938</v>
      </c>
    </row>
    <row r="413" spans="1:32" ht="11.25" customHeight="1" x14ac:dyDescent="0.25">
      <c r="A413" s="4" t="s">
        <v>21</v>
      </c>
      <c r="B413" s="4" t="s">
        <v>22</v>
      </c>
      <c r="C413" s="4" t="s">
        <v>23</v>
      </c>
      <c r="D413" s="4" t="s">
        <v>24</v>
      </c>
      <c r="E413" s="4" t="s">
        <v>32</v>
      </c>
      <c r="F413" s="4" t="s">
        <v>25</v>
      </c>
      <c r="G413" s="4" t="s">
        <v>25</v>
      </c>
      <c r="H413" s="4" t="s">
        <v>25</v>
      </c>
      <c r="I413" s="5">
        <v>44621</v>
      </c>
      <c r="J413" s="6">
        <v>0</v>
      </c>
      <c r="K413" s="6">
        <v>0</v>
      </c>
      <c r="L413" s="6">
        <v>2431.069</v>
      </c>
      <c r="M413" s="6">
        <v>2431.069</v>
      </c>
      <c r="N413" s="6">
        <v>2431.069</v>
      </c>
      <c r="O413" s="6">
        <v>2431.069</v>
      </c>
      <c r="P413" s="6">
        <v>10017</v>
      </c>
      <c r="Q413" s="4" t="s">
        <v>26</v>
      </c>
      <c r="R413" s="4">
        <v>0</v>
      </c>
      <c r="S413" s="4">
        <v>0</v>
      </c>
      <c r="T413" s="4">
        <v>41</v>
      </c>
      <c r="U413" s="4">
        <v>85</v>
      </c>
      <c r="V413" s="6">
        <f>IF(ISERROR(VLOOKUP($S$413,'TAR FIN'!$A$1:$O$115,15,0)),0,VLOOKUP($S$413,'TAR FIN'!$A$1:$O$115,15,0))</f>
        <v>0</v>
      </c>
      <c r="W413" s="6">
        <f>IF(ISERROR(VLOOKUP($T$413,'TAR FIN'!$A$1:$O$115,15,0)),0,VLOOKUP($T$413,'TAR FIN'!$A$1:$O$115,15,0))</f>
        <v>242.47</v>
      </c>
      <c r="X413" s="6">
        <f>IF(ISERROR(VLOOKUP($U$413,'TAR FIN'!$A$1:$O$115,15,0)),0,VLOOKUP($U$413,'TAR FIN'!$A$1:$O$115,15,0))</f>
        <v>105.95</v>
      </c>
      <c r="Y413" s="6"/>
      <c r="Z413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13" s="6">
        <f>('TE BE'!$AB$22+'TE BF'!$AB$22+'TE CVA'!$AB$22)*(1-CUSTOS!$M$35)</f>
        <v>138.40918466435005</v>
      </c>
      <c r="AB413" s="6">
        <f t="shared" si="22"/>
        <v>0</v>
      </c>
      <c r="AC413" s="6">
        <f>(L413-M413)*(W413+X413)+($W$522+$X$522-$W$413-$X$413)*(L413)</f>
        <v>564688.70732000005</v>
      </c>
      <c r="AD413" s="6">
        <f t="shared" si="23"/>
        <v>0</v>
      </c>
      <c r="AE413" s="6">
        <f ca="1">(L413-M413)*(Z413+AA413)+($Z$522+$AA$522-$Z$413-$AA$413)*(L413)</f>
        <v>632910.25679803733</v>
      </c>
      <c r="AF413" s="4" t="s">
        <v>938</v>
      </c>
    </row>
    <row r="414" spans="1:32" ht="11.25" customHeight="1" x14ac:dyDescent="0.25">
      <c r="A414" s="4" t="s">
        <v>27</v>
      </c>
      <c r="B414" s="4" t="s">
        <v>22</v>
      </c>
      <c r="C414" s="4" t="s">
        <v>23</v>
      </c>
      <c r="D414" s="4" t="s">
        <v>24</v>
      </c>
      <c r="E414" s="4" t="s">
        <v>32</v>
      </c>
      <c r="F414" s="4" t="s">
        <v>25</v>
      </c>
      <c r="G414" s="4" t="s">
        <v>25</v>
      </c>
      <c r="H414" s="4" t="s">
        <v>25</v>
      </c>
      <c r="I414" s="5">
        <v>44621</v>
      </c>
      <c r="J414" s="6">
        <v>0</v>
      </c>
      <c r="K414" s="6">
        <v>0</v>
      </c>
      <c r="L414" s="6">
        <v>-18.042999999999999</v>
      </c>
      <c r="M414" s="6">
        <v>-18.042999999999999</v>
      </c>
      <c r="N414" s="6">
        <v>-18.042999999999999</v>
      </c>
      <c r="O414" s="6">
        <v>-18.042999999999999</v>
      </c>
      <c r="P414" s="6">
        <v>-5</v>
      </c>
      <c r="Q414" s="4" t="s">
        <v>26</v>
      </c>
      <c r="R414" s="4">
        <v>0</v>
      </c>
      <c r="S414" s="4">
        <v>0</v>
      </c>
      <c r="T414" s="4">
        <v>41</v>
      </c>
      <c r="U414" s="4">
        <v>85</v>
      </c>
      <c r="V414" s="6">
        <f>IF(ISERROR(VLOOKUP($S$414,'TAR FIN'!$A$1:$O$115,15,0)),0,VLOOKUP($S$414,'TAR FIN'!$A$1:$O$115,15,0))</f>
        <v>0</v>
      </c>
      <c r="W414" s="6">
        <f>IF(ISERROR(VLOOKUP($T$414,'TAR FIN'!$A$1:$O$115,15,0)),0,VLOOKUP($T$414,'TAR FIN'!$A$1:$O$115,15,0))</f>
        <v>242.47</v>
      </c>
      <c r="X414" s="6">
        <f>IF(ISERROR(VLOOKUP($U$414,'TAR FIN'!$A$1:$O$115,15,0)),0,VLOOKUP($U$414,'TAR FIN'!$A$1:$O$115,15,0))</f>
        <v>105.95</v>
      </c>
      <c r="Y414" s="6"/>
      <c r="Z414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14" s="6">
        <f>('TE BE'!$AB$22+'TE BF'!$AB$22+'TE CVA'!$AB$22)*(1-CUSTOS!$M$35)</f>
        <v>138.40918466435005</v>
      </c>
      <c r="AB414" s="6">
        <f t="shared" si="22"/>
        <v>0</v>
      </c>
      <c r="AC414" s="6">
        <f>(L414-M414)*(W414+X414)+($W$522+$X$522-$W$414-$X$414)*(L414)</f>
        <v>-4191.0280400000001</v>
      </c>
      <c r="AD414" s="6">
        <f t="shared" si="23"/>
        <v>0</v>
      </c>
      <c r="AE414" s="6">
        <f ca="1">(L414-M414)*(Z414+AA414)+($Z$522+$AA$522-$Z$414-$AA$414)*(L414)</f>
        <v>-4697.3573203421975</v>
      </c>
      <c r="AF414" s="4" t="s">
        <v>938</v>
      </c>
    </row>
    <row r="415" spans="1:32" ht="11.25" customHeight="1" x14ac:dyDescent="0.25">
      <c r="A415" s="4" t="s">
        <v>28</v>
      </c>
      <c r="B415" s="4" t="s">
        <v>22</v>
      </c>
      <c r="C415" s="4" t="s">
        <v>23</v>
      </c>
      <c r="D415" s="4" t="s">
        <v>24</v>
      </c>
      <c r="E415" s="4" t="s">
        <v>32</v>
      </c>
      <c r="F415" s="4" t="s">
        <v>25</v>
      </c>
      <c r="G415" s="4" t="s">
        <v>25</v>
      </c>
      <c r="H415" s="4" t="s">
        <v>25</v>
      </c>
      <c r="I415" s="5">
        <v>44621</v>
      </c>
      <c r="J415" s="6">
        <v>0</v>
      </c>
      <c r="K415" s="6">
        <v>0</v>
      </c>
      <c r="L415" s="6">
        <v>1100.816</v>
      </c>
      <c r="M415" s="6">
        <v>1100.816</v>
      </c>
      <c r="N415" s="6">
        <v>1100.816</v>
      </c>
      <c r="O415" s="6">
        <v>1100.816</v>
      </c>
      <c r="P415" s="6">
        <v>7501</v>
      </c>
      <c r="Q415" s="4" t="s">
        <v>26</v>
      </c>
      <c r="R415" s="4">
        <v>0</v>
      </c>
      <c r="S415" s="4">
        <v>0</v>
      </c>
      <c r="T415" s="4">
        <v>41</v>
      </c>
      <c r="U415" s="4">
        <v>85</v>
      </c>
      <c r="V415" s="6">
        <f>IF(ISERROR(VLOOKUP($S$415,'TAR FIN'!$A$1:$O$115,15,0)),0,VLOOKUP($S$415,'TAR FIN'!$A$1:$O$115,15,0))</f>
        <v>0</v>
      </c>
      <c r="W415" s="6">
        <f>IF(ISERROR(VLOOKUP($T$415,'TAR FIN'!$A$1:$O$115,15,0)),0,VLOOKUP($T$415,'TAR FIN'!$A$1:$O$115,15,0))</f>
        <v>242.47</v>
      </c>
      <c r="X415" s="6">
        <f>IF(ISERROR(VLOOKUP($U$415,'TAR FIN'!$A$1:$O$115,15,0)),0,VLOOKUP($U$415,'TAR FIN'!$A$1:$O$115,15,0))</f>
        <v>105.95</v>
      </c>
      <c r="Y415" s="6"/>
      <c r="Z415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15" s="6">
        <f>('TE BE'!$AB$22+'TE BF'!$AB$22+'TE CVA'!$AB$22)*(1-CUSTOS!$M$35)</f>
        <v>138.40918466435005</v>
      </c>
      <c r="AB415" s="6">
        <f t="shared" si="22"/>
        <v>0</v>
      </c>
      <c r="AC415" s="6">
        <f>(L415-M415)*(W415+X415)+($W$522+$X$522-$W$415-$X$415)*(L415)</f>
        <v>255697.54048000005</v>
      </c>
      <c r="AD415" s="6">
        <f t="shared" si="23"/>
        <v>0</v>
      </c>
      <c r="AE415" s="6">
        <f ca="1">(L415-M415)*(Z415+AA415)+($Z$522+$AA$522-$Z$415-$AA$415)*(L415)</f>
        <v>286589.0426176255</v>
      </c>
      <c r="AF415" s="4" t="s">
        <v>938</v>
      </c>
    </row>
    <row r="416" spans="1:32" ht="11.25" customHeight="1" x14ac:dyDescent="0.25">
      <c r="A416" s="4" t="s">
        <v>29</v>
      </c>
      <c r="B416" s="4" t="s">
        <v>22</v>
      </c>
      <c r="C416" s="4" t="s">
        <v>23</v>
      </c>
      <c r="D416" s="4" t="s">
        <v>24</v>
      </c>
      <c r="E416" s="4" t="s">
        <v>32</v>
      </c>
      <c r="F416" s="4" t="s">
        <v>25</v>
      </c>
      <c r="G416" s="4" t="s">
        <v>25</v>
      </c>
      <c r="H416" s="4" t="s">
        <v>25</v>
      </c>
      <c r="I416" s="5">
        <v>44621</v>
      </c>
      <c r="J416" s="6">
        <v>0</v>
      </c>
      <c r="K416" s="6">
        <v>0</v>
      </c>
      <c r="L416" s="6">
        <v>-2.6819999999999999</v>
      </c>
      <c r="M416" s="6">
        <v>-2.6819999999999999</v>
      </c>
      <c r="N416" s="6">
        <v>-2.6819999999999999</v>
      </c>
      <c r="O416" s="6">
        <v>-2.6819999999999999</v>
      </c>
      <c r="P416" s="6">
        <v>-31</v>
      </c>
      <c r="Q416" s="4" t="s">
        <v>26</v>
      </c>
      <c r="R416" s="4">
        <v>0</v>
      </c>
      <c r="S416" s="4">
        <v>0</v>
      </c>
      <c r="T416" s="4">
        <v>41</v>
      </c>
      <c r="U416" s="4">
        <v>85</v>
      </c>
      <c r="V416" s="6">
        <f>IF(ISERROR(VLOOKUP($S$416,'TAR FIN'!$A$1:$O$115,15,0)),0,VLOOKUP($S$416,'TAR FIN'!$A$1:$O$115,15,0))</f>
        <v>0</v>
      </c>
      <c r="W416" s="6">
        <f>IF(ISERROR(VLOOKUP($T$416,'TAR FIN'!$A$1:$O$115,15,0)),0,VLOOKUP($T$416,'TAR FIN'!$A$1:$O$115,15,0))</f>
        <v>242.47</v>
      </c>
      <c r="X416" s="6">
        <f>IF(ISERROR(VLOOKUP($U$416,'TAR FIN'!$A$1:$O$115,15,0)),0,VLOOKUP($U$416,'TAR FIN'!$A$1:$O$115,15,0))</f>
        <v>105.95</v>
      </c>
      <c r="Y416" s="6"/>
      <c r="Z416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16" s="6">
        <f>('TE BE'!$AB$22+'TE BF'!$AB$22+'TE CVA'!$AB$22)*(1-CUSTOS!$M$35)</f>
        <v>138.40918466435005</v>
      </c>
      <c r="AB416" s="6">
        <f t="shared" si="22"/>
        <v>0</v>
      </c>
      <c r="AC416" s="6">
        <f>(L416-M416)*(W416+X416)+($W$522+$X$522-$W$416-$X$416)*(L416)</f>
        <v>-622.97496000000001</v>
      </c>
      <c r="AD416" s="6">
        <f t="shared" si="23"/>
        <v>0</v>
      </c>
      <c r="AE416" s="6">
        <f ca="1">(L416-M416)*(Z416+AA416)+($Z$522+$AA$522-$Z$416-$AA$416)*(L416)</f>
        <v>-698.23822718826</v>
      </c>
      <c r="AF416" s="4" t="s">
        <v>938</v>
      </c>
    </row>
    <row r="417" spans="1:32" ht="11.25" customHeight="1" x14ac:dyDescent="0.25">
      <c r="A417" s="4" t="s">
        <v>30</v>
      </c>
      <c r="B417" s="4" t="s">
        <v>22</v>
      </c>
      <c r="C417" s="4" t="s">
        <v>23</v>
      </c>
      <c r="D417" s="4" t="s">
        <v>24</v>
      </c>
      <c r="E417" s="4" t="s">
        <v>32</v>
      </c>
      <c r="F417" s="4" t="s">
        <v>25</v>
      </c>
      <c r="G417" s="4" t="s">
        <v>25</v>
      </c>
      <c r="H417" s="4" t="s">
        <v>25</v>
      </c>
      <c r="I417" s="5">
        <v>44621</v>
      </c>
      <c r="J417" s="6">
        <v>0</v>
      </c>
      <c r="K417" s="6">
        <v>0</v>
      </c>
      <c r="L417" s="6">
        <v>1.8180000000000001</v>
      </c>
      <c r="M417" s="6">
        <v>1.8180000000000001</v>
      </c>
      <c r="N417" s="6">
        <v>1.8180000000000001</v>
      </c>
      <c r="O417" s="6">
        <v>1.8180000000000001</v>
      </c>
      <c r="P417" s="6">
        <v>1</v>
      </c>
      <c r="Q417" s="4" t="s">
        <v>26</v>
      </c>
      <c r="R417" s="4">
        <v>0</v>
      </c>
      <c r="S417" s="4">
        <v>0</v>
      </c>
      <c r="T417" s="4">
        <v>41</v>
      </c>
      <c r="U417" s="4">
        <v>85</v>
      </c>
      <c r="V417" s="6">
        <f>IF(ISERROR(VLOOKUP($S$417,'TAR FIN'!$A$1:$O$115,15,0)),0,VLOOKUP($S$417,'TAR FIN'!$A$1:$O$115,15,0))</f>
        <v>0</v>
      </c>
      <c r="W417" s="6">
        <f>IF(ISERROR(VLOOKUP($T$417,'TAR FIN'!$A$1:$O$115,15,0)),0,VLOOKUP($T$417,'TAR FIN'!$A$1:$O$115,15,0))</f>
        <v>242.47</v>
      </c>
      <c r="X417" s="6">
        <f>IF(ISERROR(VLOOKUP($U$417,'TAR FIN'!$A$1:$O$115,15,0)),0,VLOOKUP($U$417,'TAR FIN'!$A$1:$O$115,15,0))</f>
        <v>105.95</v>
      </c>
      <c r="Y417" s="6"/>
      <c r="Z417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17" s="6">
        <f>('TE BE'!$AB$22+'TE BF'!$AB$22+'TE CVA'!$AB$22)*(1-CUSTOS!$M$35)</f>
        <v>138.40918466435005</v>
      </c>
      <c r="AB417" s="6">
        <f t="shared" si="22"/>
        <v>0</v>
      </c>
      <c r="AC417" s="6">
        <f>(L417-M417)*(W417+X417)+($W$522+$X$522-$W$417-$X$417)*(L417)</f>
        <v>422.28504000000009</v>
      </c>
      <c r="AD417" s="6">
        <f t="shared" si="23"/>
        <v>0</v>
      </c>
      <c r="AE417" s="6">
        <f ca="1">(L417-M417)*(Z417+AA417)+($Z$522+$AA$522-$Z$417-$AA$417)*(L417)</f>
        <v>473.30242245647156</v>
      </c>
      <c r="AF417" s="4" t="s">
        <v>938</v>
      </c>
    </row>
    <row r="418" spans="1:32" ht="11.25" customHeight="1" x14ac:dyDescent="0.25">
      <c r="A418" s="4" t="s">
        <v>21</v>
      </c>
      <c r="B418" s="4" t="s">
        <v>22</v>
      </c>
      <c r="C418" s="4" t="s">
        <v>23</v>
      </c>
      <c r="D418" s="4" t="s">
        <v>24</v>
      </c>
      <c r="E418" s="4" t="s">
        <v>32</v>
      </c>
      <c r="F418" s="4" t="s">
        <v>25</v>
      </c>
      <c r="G418" s="4" t="s">
        <v>25</v>
      </c>
      <c r="H418" s="4" t="s">
        <v>25</v>
      </c>
      <c r="I418" s="5">
        <v>44652</v>
      </c>
      <c r="J418" s="6">
        <v>0</v>
      </c>
      <c r="K418" s="6">
        <v>0</v>
      </c>
      <c r="L418" s="6">
        <v>2521.8629999999998</v>
      </c>
      <c r="M418" s="6">
        <v>2521.8629999999998</v>
      </c>
      <c r="N418" s="6">
        <v>2521.8629999999998</v>
      </c>
      <c r="O418" s="6">
        <v>2521.8629999999998</v>
      </c>
      <c r="P418" s="6">
        <v>10413</v>
      </c>
      <c r="Q418" s="4" t="s">
        <v>26</v>
      </c>
      <c r="R418" s="4">
        <v>0</v>
      </c>
      <c r="S418" s="4">
        <v>0</v>
      </c>
      <c r="T418" s="4">
        <v>41</v>
      </c>
      <c r="U418" s="4">
        <v>85</v>
      </c>
      <c r="V418" s="6">
        <f>IF(ISERROR(VLOOKUP($S$418,'TAR FIN'!$A$1:$O$115,15,0)),0,VLOOKUP($S$418,'TAR FIN'!$A$1:$O$115,15,0))</f>
        <v>0</v>
      </c>
      <c r="W418" s="6">
        <f>IF(ISERROR(VLOOKUP($T$418,'TAR FIN'!$A$1:$O$115,15,0)),0,VLOOKUP($T$418,'TAR FIN'!$A$1:$O$115,15,0))</f>
        <v>242.47</v>
      </c>
      <c r="X418" s="6">
        <f>IF(ISERROR(VLOOKUP($U$418,'TAR FIN'!$A$1:$O$115,15,0)),0,VLOOKUP($U$418,'TAR FIN'!$A$1:$O$115,15,0))</f>
        <v>105.95</v>
      </c>
      <c r="Y418" s="6"/>
      <c r="Z418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18" s="6">
        <f>('TE BE'!$AB$22+'TE BF'!$AB$22+'TE CVA'!$AB$22)*(1-CUSTOS!$M$35)</f>
        <v>138.40918466435005</v>
      </c>
      <c r="AB418" s="6">
        <f t="shared" si="22"/>
        <v>0</v>
      </c>
      <c r="AC418" s="6">
        <f>(L418-M418)*(W418+X418)+($W$522+$X$522-$W$418-$X$418)*(L418)</f>
        <v>585778.33764000004</v>
      </c>
      <c r="AD418" s="6">
        <f t="shared" si="23"/>
        <v>0</v>
      </c>
      <c r="AE418" s="6">
        <f ca="1">(L418-M418)*(Z418+AA418)+($Z$522+$AA$522-$Z$418-$AA$418)*(L418)</f>
        <v>656547.78163000254</v>
      </c>
      <c r="AF418" s="4" t="s">
        <v>938</v>
      </c>
    </row>
    <row r="419" spans="1:32" ht="11.25" customHeight="1" x14ac:dyDescent="0.25">
      <c r="A419" s="4" t="s">
        <v>27</v>
      </c>
      <c r="B419" s="4" t="s">
        <v>22</v>
      </c>
      <c r="C419" s="4" t="s">
        <v>23</v>
      </c>
      <c r="D419" s="4" t="s">
        <v>24</v>
      </c>
      <c r="E419" s="4" t="s">
        <v>32</v>
      </c>
      <c r="F419" s="4" t="s">
        <v>25</v>
      </c>
      <c r="G419" s="4" t="s">
        <v>25</v>
      </c>
      <c r="H419" s="4" t="s">
        <v>25</v>
      </c>
      <c r="I419" s="5">
        <v>44652</v>
      </c>
      <c r="J419" s="6">
        <v>0</v>
      </c>
      <c r="K419" s="6">
        <v>0</v>
      </c>
      <c r="L419" s="6">
        <v>-9.798</v>
      </c>
      <c r="M419" s="6">
        <v>-9.798</v>
      </c>
      <c r="N419" s="6">
        <v>-9.798</v>
      </c>
      <c r="O419" s="6">
        <v>-9.798</v>
      </c>
      <c r="P419" s="6">
        <v>-7</v>
      </c>
      <c r="Q419" s="4" t="s">
        <v>26</v>
      </c>
      <c r="R419" s="4">
        <v>0</v>
      </c>
      <c r="S419" s="4">
        <v>0</v>
      </c>
      <c r="T419" s="4">
        <v>41</v>
      </c>
      <c r="U419" s="4">
        <v>85</v>
      </c>
      <c r="V419" s="6">
        <f>IF(ISERROR(VLOOKUP($S$419,'TAR FIN'!$A$1:$O$115,15,0)),0,VLOOKUP($S$419,'TAR FIN'!$A$1:$O$115,15,0))</f>
        <v>0</v>
      </c>
      <c r="W419" s="6">
        <f>IF(ISERROR(VLOOKUP($T$419,'TAR FIN'!$A$1:$O$115,15,0)),0,VLOOKUP($T$419,'TAR FIN'!$A$1:$O$115,15,0))</f>
        <v>242.47</v>
      </c>
      <c r="X419" s="6">
        <f>IF(ISERROR(VLOOKUP($U$419,'TAR FIN'!$A$1:$O$115,15,0)),0,VLOOKUP($U$419,'TAR FIN'!$A$1:$O$115,15,0))</f>
        <v>105.95</v>
      </c>
      <c r="Y419" s="6"/>
      <c r="Z419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19" s="6">
        <f>('TE BE'!$AB$22+'TE BF'!$AB$22+'TE CVA'!$AB$22)*(1-CUSTOS!$M$35)</f>
        <v>138.40918466435005</v>
      </c>
      <c r="AB419" s="6">
        <f t="shared" si="22"/>
        <v>0</v>
      </c>
      <c r="AC419" s="6">
        <f>(L419-M419)*(W419+X419)+($W$522+$X$522-$W$419-$X$419)*(L419)</f>
        <v>-2275.8794400000002</v>
      </c>
      <c r="AD419" s="6">
        <f t="shared" si="23"/>
        <v>0</v>
      </c>
      <c r="AE419" s="6">
        <f ca="1">(L419-M419)*(Z419+AA419)+($Z$522+$AA$522-$Z$419-$AA$419)*(L419)</f>
        <v>-2550.834507826462</v>
      </c>
      <c r="AF419" s="4" t="s">
        <v>938</v>
      </c>
    </row>
    <row r="420" spans="1:32" ht="11.25" customHeight="1" x14ac:dyDescent="0.25">
      <c r="A420" s="4" t="s">
        <v>28</v>
      </c>
      <c r="B420" s="4" t="s">
        <v>22</v>
      </c>
      <c r="C420" s="4" t="s">
        <v>23</v>
      </c>
      <c r="D420" s="4" t="s">
        <v>24</v>
      </c>
      <c r="E420" s="4" t="s">
        <v>32</v>
      </c>
      <c r="F420" s="4" t="s">
        <v>25</v>
      </c>
      <c r="G420" s="4" t="s">
        <v>25</v>
      </c>
      <c r="H420" s="4" t="s">
        <v>25</v>
      </c>
      <c r="I420" s="5">
        <v>44652</v>
      </c>
      <c r="J420" s="6">
        <v>0</v>
      </c>
      <c r="K420" s="6">
        <v>0</v>
      </c>
      <c r="L420" s="6">
        <v>1131.9100000000001</v>
      </c>
      <c r="M420" s="6">
        <v>1131.9100000000001</v>
      </c>
      <c r="N420" s="6">
        <v>1131.9100000000001</v>
      </c>
      <c r="O420" s="6">
        <v>1131.9100000000001</v>
      </c>
      <c r="P420" s="6">
        <v>7524</v>
      </c>
      <c r="Q420" s="4" t="s">
        <v>26</v>
      </c>
      <c r="R420" s="4">
        <v>0</v>
      </c>
      <c r="S420" s="4">
        <v>0</v>
      </c>
      <c r="T420" s="4">
        <v>41</v>
      </c>
      <c r="U420" s="4">
        <v>85</v>
      </c>
      <c r="V420" s="6">
        <f>IF(ISERROR(VLOOKUP($S$420,'TAR FIN'!$A$1:$O$115,15,0)),0,VLOOKUP($S$420,'TAR FIN'!$A$1:$O$115,15,0))</f>
        <v>0</v>
      </c>
      <c r="W420" s="6">
        <f>IF(ISERROR(VLOOKUP($T$420,'TAR FIN'!$A$1:$O$115,15,0)),0,VLOOKUP($T$420,'TAR FIN'!$A$1:$O$115,15,0))</f>
        <v>242.47</v>
      </c>
      <c r="X420" s="6">
        <f>IF(ISERROR(VLOOKUP($U$420,'TAR FIN'!$A$1:$O$115,15,0)),0,VLOOKUP($U$420,'TAR FIN'!$A$1:$O$115,15,0))</f>
        <v>105.95</v>
      </c>
      <c r="Y420" s="6"/>
      <c r="Z420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20" s="6">
        <f>('TE BE'!$AB$22+'TE BF'!$AB$22+'TE CVA'!$AB$22)*(1-CUSTOS!$M$35)</f>
        <v>138.40918466435005</v>
      </c>
      <c r="AB420" s="6">
        <f t="shared" si="22"/>
        <v>0</v>
      </c>
      <c r="AC420" s="6">
        <f>(L420-M420)*(W420+X420)+($W$522+$X$522-$W$420-$X$420)*(L420)</f>
        <v>262920.05480000004</v>
      </c>
      <c r="AD420" s="6">
        <f t="shared" si="23"/>
        <v>0</v>
      </c>
      <c r="AE420" s="6">
        <f ca="1">(L420-M420)*(Z420+AA420)+($Z$522+$AA$522-$Z$420-$AA$420)*(L420)</f>
        <v>294684.12816430401</v>
      </c>
      <c r="AF420" s="4" t="s">
        <v>938</v>
      </c>
    </row>
    <row r="421" spans="1:32" ht="11.25" customHeight="1" x14ac:dyDescent="0.25">
      <c r="A421" s="4" t="s">
        <v>29</v>
      </c>
      <c r="B421" s="4" t="s">
        <v>22</v>
      </c>
      <c r="C421" s="4" t="s">
        <v>23</v>
      </c>
      <c r="D421" s="4" t="s">
        <v>24</v>
      </c>
      <c r="E421" s="4" t="s">
        <v>32</v>
      </c>
      <c r="F421" s="4" t="s">
        <v>25</v>
      </c>
      <c r="G421" s="4" t="s">
        <v>25</v>
      </c>
      <c r="H421" s="4" t="s">
        <v>25</v>
      </c>
      <c r="I421" s="5">
        <v>44652</v>
      </c>
      <c r="J421" s="6">
        <v>0</v>
      </c>
      <c r="K421" s="6">
        <v>0</v>
      </c>
      <c r="L421" s="6">
        <v>-6.3710000000000004</v>
      </c>
      <c r="M421" s="6">
        <v>-6.3710000000000004</v>
      </c>
      <c r="N421" s="6">
        <v>-6.3710000000000004</v>
      </c>
      <c r="O421" s="6">
        <v>-6.3710000000000004</v>
      </c>
      <c r="P421" s="6">
        <v>-108</v>
      </c>
      <c r="Q421" s="4" t="s">
        <v>26</v>
      </c>
      <c r="R421" s="4">
        <v>0</v>
      </c>
      <c r="S421" s="4">
        <v>0</v>
      </c>
      <c r="T421" s="4">
        <v>41</v>
      </c>
      <c r="U421" s="4">
        <v>85</v>
      </c>
      <c r="V421" s="6">
        <f>IF(ISERROR(VLOOKUP($S$421,'TAR FIN'!$A$1:$O$115,15,0)),0,VLOOKUP($S$421,'TAR FIN'!$A$1:$O$115,15,0))</f>
        <v>0</v>
      </c>
      <c r="W421" s="6">
        <f>IF(ISERROR(VLOOKUP($T$421,'TAR FIN'!$A$1:$O$115,15,0)),0,VLOOKUP($T$421,'TAR FIN'!$A$1:$O$115,15,0))</f>
        <v>242.47</v>
      </c>
      <c r="X421" s="6">
        <f>IF(ISERROR(VLOOKUP($U$421,'TAR FIN'!$A$1:$O$115,15,0)),0,VLOOKUP($U$421,'TAR FIN'!$A$1:$O$115,15,0))</f>
        <v>105.95</v>
      </c>
      <c r="Y421" s="6"/>
      <c r="Z421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21" s="6">
        <f>('TE BE'!$AB$22+'TE BF'!$AB$22+'TE CVA'!$AB$22)*(1-CUSTOS!$M$35)</f>
        <v>138.40918466435005</v>
      </c>
      <c r="AB421" s="6">
        <f t="shared" si="22"/>
        <v>0</v>
      </c>
      <c r="AC421" s="6">
        <f>(L421-M421)*(W421+X421)+($W$522+$X$522-$W$421-$X$421)*(L421)</f>
        <v>-1479.8558800000003</v>
      </c>
      <c r="AD421" s="6">
        <f t="shared" si="23"/>
        <v>0</v>
      </c>
      <c r="AE421" s="6">
        <f ca="1">(L421-M421)*(Z421+AA421)+($Z$522+$AA$522-$Z$421-$AA$421)*(L421)</f>
        <v>-1658.6412175303522</v>
      </c>
      <c r="AF421" s="4" t="s">
        <v>938</v>
      </c>
    </row>
    <row r="422" spans="1:32" ht="11.25" customHeight="1" x14ac:dyDescent="0.25">
      <c r="A422" s="4" t="s">
        <v>30</v>
      </c>
      <c r="B422" s="4" t="s">
        <v>22</v>
      </c>
      <c r="C422" s="4" t="s">
        <v>23</v>
      </c>
      <c r="D422" s="4" t="s">
        <v>24</v>
      </c>
      <c r="E422" s="4" t="s">
        <v>32</v>
      </c>
      <c r="F422" s="4" t="s">
        <v>25</v>
      </c>
      <c r="G422" s="4" t="s">
        <v>25</v>
      </c>
      <c r="H422" s="4" t="s">
        <v>25</v>
      </c>
      <c r="I422" s="5">
        <v>44652</v>
      </c>
      <c r="J422" s="6">
        <v>0</v>
      </c>
      <c r="K422" s="6">
        <v>0</v>
      </c>
      <c r="L422" s="6">
        <v>1.722</v>
      </c>
      <c r="M422" s="6">
        <v>1.722</v>
      </c>
      <c r="N422" s="6">
        <v>1.722</v>
      </c>
      <c r="O422" s="6">
        <v>1.722</v>
      </c>
      <c r="P422" s="6">
        <v>1</v>
      </c>
      <c r="Q422" s="4" t="s">
        <v>26</v>
      </c>
      <c r="R422" s="4">
        <v>0</v>
      </c>
      <c r="S422" s="4">
        <v>0</v>
      </c>
      <c r="T422" s="4">
        <v>41</v>
      </c>
      <c r="U422" s="4">
        <v>85</v>
      </c>
      <c r="V422" s="6">
        <f>IF(ISERROR(VLOOKUP($S$422,'TAR FIN'!$A$1:$O$115,15,0)),0,VLOOKUP($S$422,'TAR FIN'!$A$1:$O$115,15,0))</f>
        <v>0</v>
      </c>
      <c r="W422" s="6">
        <f>IF(ISERROR(VLOOKUP($T$422,'TAR FIN'!$A$1:$O$115,15,0)),0,VLOOKUP($T$422,'TAR FIN'!$A$1:$O$115,15,0))</f>
        <v>242.47</v>
      </c>
      <c r="X422" s="6">
        <f>IF(ISERROR(VLOOKUP($U$422,'TAR FIN'!$A$1:$O$115,15,0)),0,VLOOKUP($U$422,'TAR FIN'!$A$1:$O$115,15,0))</f>
        <v>105.95</v>
      </c>
      <c r="Y422" s="6"/>
      <c r="Z422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22" s="6">
        <f>('TE BE'!$AB$22+'TE BF'!$AB$22+'TE CVA'!$AB$22)*(1-CUSTOS!$M$35)</f>
        <v>138.40918466435005</v>
      </c>
      <c r="AB422" s="6">
        <f t="shared" si="22"/>
        <v>0</v>
      </c>
      <c r="AC422" s="6">
        <f>(L422-M422)*(W422+X422)+($W$522+$X$522-$W$422-$X$422)*(L422)</f>
        <v>399.98616000000004</v>
      </c>
      <c r="AD422" s="6">
        <f t="shared" si="23"/>
        <v>0</v>
      </c>
      <c r="AE422" s="6">
        <f ca="1">(L422-M422)*(Z422+AA422)+($Z$522+$AA$522-$Z$422-$AA$422)*(L422)</f>
        <v>448.30955526405057</v>
      </c>
      <c r="AF422" s="4" t="s">
        <v>938</v>
      </c>
    </row>
    <row r="423" spans="1:32" ht="11.25" customHeight="1" x14ac:dyDescent="0.25">
      <c r="A423" s="4" t="s">
        <v>21</v>
      </c>
      <c r="B423" s="4" t="s">
        <v>22</v>
      </c>
      <c r="C423" s="4" t="s">
        <v>23</v>
      </c>
      <c r="D423" s="4" t="s">
        <v>24</v>
      </c>
      <c r="E423" s="4" t="s">
        <v>32</v>
      </c>
      <c r="F423" s="4" t="s">
        <v>25</v>
      </c>
      <c r="G423" s="4" t="s">
        <v>25</v>
      </c>
      <c r="H423" s="4" t="s">
        <v>25</v>
      </c>
      <c r="I423" s="5">
        <v>44682</v>
      </c>
      <c r="J423" s="6">
        <v>0</v>
      </c>
      <c r="K423" s="6">
        <v>0</v>
      </c>
      <c r="L423" s="6">
        <v>2471.2730000000001</v>
      </c>
      <c r="M423" s="6">
        <v>2471.2730000000001</v>
      </c>
      <c r="N423" s="6">
        <v>2471.2730000000001</v>
      </c>
      <c r="O423" s="6">
        <v>2471.2730000000001</v>
      </c>
      <c r="P423" s="6">
        <v>10459</v>
      </c>
      <c r="Q423" s="4" t="s">
        <v>26</v>
      </c>
      <c r="R423" s="4">
        <v>0</v>
      </c>
      <c r="S423" s="4">
        <v>0</v>
      </c>
      <c r="T423" s="4">
        <v>41</v>
      </c>
      <c r="U423" s="4">
        <v>85</v>
      </c>
      <c r="V423" s="6">
        <f>IF(ISERROR(VLOOKUP($S$423,'TAR FIN'!$A$1:$O$115,15,0)),0,VLOOKUP($S$423,'TAR FIN'!$A$1:$O$115,15,0))</f>
        <v>0</v>
      </c>
      <c r="W423" s="6">
        <f>IF(ISERROR(VLOOKUP($T$423,'TAR FIN'!$A$1:$O$115,15,0)),0,VLOOKUP($T$423,'TAR FIN'!$A$1:$O$115,15,0))</f>
        <v>242.47</v>
      </c>
      <c r="X423" s="6">
        <f>IF(ISERROR(VLOOKUP($U$423,'TAR FIN'!$A$1:$O$115,15,0)),0,VLOOKUP($U$423,'TAR FIN'!$A$1:$O$115,15,0))</f>
        <v>105.95</v>
      </c>
      <c r="Y423" s="6"/>
      <c r="Z423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23" s="6">
        <f>('TE BE'!$AB$22+'TE BF'!$AB$22+'TE CVA'!$AB$22)*(1-CUSTOS!$M$35)</f>
        <v>138.40918466435005</v>
      </c>
      <c r="AB423" s="6">
        <f t="shared" si="22"/>
        <v>0</v>
      </c>
      <c r="AC423" s="6">
        <f>(L423-M423)*(W423+X423)+($W$522+$X$522-$W$423-$X$423)*(L423)</f>
        <v>574027.29244000011</v>
      </c>
      <c r="AD423" s="6">
        <f t="shared" si="23"/>
        <v>0</v>
      </c>
      <c r="AE423" s="6">
        <f ca="1">(L423-M423)*(Z423+AA423)+($Z$522+$AA$522-$Z$423-$AA$423)*(L423)</f>
        <v>643377.06130432989</v>
      </c>
      <c r="AF423" s="4" t="s">
        <v>938</v>
      </c>
    </row>
    <row r="424" spans="1:32" ht="11.25" customHeight="1" x14ac:dyDescent="0.25">
      <c r="A424" s="4" t="s">
        <v>27</v>
      </c>
      <c r="B424" s="4" t="s">
        <v>22</v>
      </c>
      <c r="C424" s="4" t="s">
        <v>23</v>
      </c>
      <c r="D424" s="4" t="s">
        <v>24</v>
      </c>
      <c r="E424" s="4" t="s">
        <v>32</v>
      </c>
      <c r="F424" s="4" t="s">
        <v>25</v>
      </c>
      <c r="G424" s="4" t="s">
        <v>25</v>
      </c>
      <c r="H424" s="4" t="s">
        <v>25</v>
      </c>
      <c r="I424" s="5">
        <v>44682</v>
      </c>
      <c r="J424" s="6">
        <v>0</v>
      </c>
      <c r="K424" s="6">
        <v>0</v>
      </c>
      <c r="L424" s="6">
        <v>-10.853</v>
      </c>
      <c r="M424" s="6">
        <v>-10.853</v>
      </c>
      <c r="N424" s="6">
        <v>-10.853</v>
      </c>
      <c r="O424" s="6">
        <v>-10.853</v>
      </c>
      <c r="P424" s="6">
        <v>-3</v>
      </c>
      <c r="Q424" s="4" t="s">
        <v>26</v>
      </c>
      <c r="R424" s="4">
        <v>0</v>
      </c>
      <c r="S424" s="4">
        <v>0</v>
      </c>
      <c r="T424" s="4">
        <v>41</v>
      </c>
      <c r="U424" s="4">
        <v>85</v>
      </c>
      <c r="V424" s="6">
        <f>IF(ISERROR(VLOOKUP($S$424,'TAR FIN'!$A$1:$O$115,15,0)),0,VLOOKUP($S$424,'TAR FIN'!$A$1:$O$115,15,0))</f>
        <v>0</v>
      </c>
      <c r="W424" s="6">
        <f>IF(ISERROR(VLOOKUP($T$424,'TAR FIN'!$A$1:$O$115,15,0)),0,VLOOKUP($T$424,'TAR FIN'!$A$1:$O$115,15,0))</f>
        <v>242.47</v>
      </c>
      <c r="X424" s="6">
        <f>IF(ISERROR(VLOOKUP($U$424,'TAR FIN'!$A$1:$O$115,15,0)),0,VLOOKUP($U$424,'TAR FIN'!$A$1:$O$115,15,0))</f>
        <v>105.95</v>
      </c>
      <c r="Y424" s="6"/>
      <c r="Z424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24" s="6">
        <f>('TE BE'!$AB$22+'TE BF'!$AB$22+'TE CVA'!$AB$22)*(1-CUSTOS!$M$35)</f>
        <v>138.40918466435005</v>
      </c>
      <c r="AB424" s="6">
        <f t="shared" si="22"/>
        <v>0</v>
      </c>
      <c r="AC424" s="6">
        <f>(L424-M424)*(W424+X424)+($W$522+$X$522-$W$424-$X$424)*(L424)</f>
        <v>-2520.9348400000003</v>
      </c>
      <c r="AD424" s="6">
        <f t="shared" si="23"/>
        <v>0</v>
      </c>
      <c r="AE424" s="6">
        <f ca="1">(L424-M424)*(Z424+AA424)+($Z$522+$AA$522-$Z$424-$AA$424)*(L424)</f>
        <v>-2825.4957045765045</v>
      </c>
      <c r="AF424" s="4" t="s">
        <v>938</v>
      </c>
    </row>
    <row r="425" spans="1:32" ht="11.25" customHeight="1" x14ac:dyDescent="0.25">
      <c r="A425" s="4" t="s">
        <v>28</v>
      </c>
      <c r="B425" s="4" t="s">
        <v>22</v>
      </c>
      <c r="C425" s="4" t="s">
        <v>23</v>
      </c>
      <c r="D425" s="4" t="s">
        <v>24</v>
      </c>
      <c r="E425" s="4" t="s">
        <v>32</v>
      </c>
      <c r="F425" s="4" t="s">
        <v>25</v>
      </c>
      <c r="G425" s="4" t="s">
        <v>25</v>
      </c>
      <c r="H425" s="4" t="s">
        <v>25</v>
      </c>
      <c r="I425" s="5">
        <v>44682</v>
      </c>
      <c r="J425" s="6">
        <v>0</v>
      </c>
      <c r="K425" s="6">
        <v>0</v>
      </c>
      <c r="L425" s="6">
        <v>1102.3599999999999</v>
      </c>
      <c r="M425" s="6">
        <v>1102.3599999999999</v>
      </c>
      <c r="N425" s="6">
        <v>1102.3599999999999</v>
      </c>
      <c r="O425" s="6">
        <v>1102.3599999999999</v>
      </c>
      <c r="P425" s="6">
        <v>7805</v>
      </c>
      <c r="Q425" s="4" t="s">
        <v>26</v>
      </c>
      <c r="R425" s="4">
        <v>0</v>
      </c>
      <c r="S425" s="4">
        <v>0</v>
      </c>
      <c r="T425" s="4">
        <v>41</v>
      </c>
      <c r="U425" s="4">
        <v>85</v>
      </c>
      <c r="V425" s="6">
        <f>IF(ISERROR(VLOOKUP($S$425,'TAR FIN'!$A$1:$O$115,15,0)),0,VLOOKUP($S$425,'TAR FIN'!$A$1:$O$115,15,0))</f>
        <v>0</v>
      </c>
      <c r="W425" s="6">
        <f>IF(ISERROR(VLOOKUP($T$425,'TAR FIN'!$A$1:$O$115,15,0)),0,VLOOKUP($T$425,'TAR FIN'!$A$1:$O$115,15,0))</f>
        <v>242.47</v>
      </c>
      <c r="X425" s="6">
        <f>IF(ISERROR(VLOOKUP($U$425,'TAR FIN'!$A$1:$O$115,15,0)),0,VLOOKUP($U$425,'TAR FIN'!$A$1:$O$115,15,0))</f>
        <v>105.95</v>
      </c>
      <c r="Y425" s="6"/>
      <c r="Z425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25" s="6">
        <f>('TE BE'!$AB$22+'TE BF'!$AB$22+'TE CVA'!$AB$22)*(1-CUSTOS!$M$35)</f>
        <v>138.40918466435005</v>
      </c>
      <c r="AB425" s="6">
        <f t="shared" si="22"/>
        <v>0</v>
      </c>
      <c r="AC425" s="6">
        <f>(L425-M425)*(W425+X425)+($W$522+$X$522-$W$425-$X$425)*(L425)</f>
        <v>256056.1808</v>
      </c>
      <c r="AD425" s="6">
        <f t="shared" si="23"/>
        <v>0</v>
      </c>
      <c r="AE425" s="6">
        <f ca="1">(L425-M425)*(Z425+AA425)+($Z$522+$AA$522-$Z$425-$AA$425)*(L425)</f>
        <v>286991.01123163692</v>
      </c>
      <c r="AF425" s="4" t="s">
        <v>938</v>
      </c>
    </row>
    <row r="426" spans="1:32" ht="11.25" customHeight="1" x14ac:dyDescent="0.25">
      <c r="A426" s="4" t="s">
        <v>29</v>
      </c>
      <c r="B426" s="4" t="s">
        <v>22</v>
      </c>
      <c r="C426" s="4" t="s">
        <v>23</v>
      </c>
      <c r="D426" s="4" t="s">
        <v>24</v>
      </c>
      <c r="E426" s="4" t="s">
        <v>32</v>
      </c>
      <c r="F426" s="4" t="s">
        <v>25</v>
      </c>
      <c r="G426" s="4" t="s">
        <v>25</v>
      </c>
      <c r="H426" s="4" t="s">
        <v>25</v>
      </c>
      <c r="I426" s="5">
        <v>44682</v>
      </c>
      <c r="J426" s="6">
        <v>0</v>
      </c>
      <c r="K426" s="6">
        <v>0</v>
      </c>
      <c r="L426" s="6">
        <v>-3.1150000000000002</v>
      </c>
      <c r="M426" s="6">
        <v>-3.1150000000000002</v>
      </c>
      <c r="N426" s="6">
        <v>-3.1150000000000002</v>
      </c>
      <c r="O426" s="6">
        <v>-3.1150000000000002</v>
      </c>
      <c r="P426" s="6">
        <v>-99</v>
      </c>
      <c r="Q426" s="4" t="s">
        <v>26</v>
      </c>
      <c r="R426" s="4">
        <v>0</v>
      </c>
      <c r="S426" s="4">
        <v>0</v>
      </c>
      <c r="T426" s="4">
        <v>41</v>
      </c>
      <c r="U426" s="4">
        <v>85</v>
      </c>
      <c r="V426" s="6">
        <f>IF(ISERROR(VLOOKUP($S$426,'TAR FIN'!$A$1:$O$115,15,0)),0,VLOOKUP($S$426,'TAR FIN'!$A$1:$O$115,15,0))</f>
        <v>0</v>
      </c>
      <c r="W426" s="6">
        <f>IF(ISERROR(VLOOKUP($T$426,'TAR FIN'!$A$1:$O$115,15,0)),0,VLOOKUP($T$426,'TAR FIN'!$A$1:$O$115,15,0))</f>
        <v>242.47</v>
      </c>
      <c r="X426" s="6">
        <f>IF(ISERROR(VLOOKUP($U$426,'TAR FIN'!$A$1:$O$115,15,0)),0,VLOOKUP($U$426,'TAR FIN'!$A$1:$O$115,15,0))</f>
        <v>105.95</v>
      </c>
      <c r="Y426" s="6"/>
      <c r="Z426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26" s="6">
        <f>('TE BE'!$AB$22+'TE BF'!$AB$22+'TE CVA'!$AB$22)*(1-CUSTOS!$M$35)</f>
        <v>138.40918466435005</v>
      </c>
      <c r="AB426" s="6">
        <f t="shared" si="22"/>
        <v>0</v>
      </c>
      <c r="AC426" s="6">
        <f>(L426-M426)*(W426+X426)+($W$522+$X$522-$W$426-$X$426)*(L426)</f>
        <v>-723.5522000000002</v>
      </c>
      <c r="AD426" s="6">
        <f t="shared" si="23"/>
        <v>0</v>
      </c>
      <c r="AE426" s="6">
        <f ca="1">(L426-M426)*(Z426+AA426)+($Z$522+$AA$522-$Z$426-$AA$426)*(L426)</f>
        <v>-810.96647192074204</v>
      </c>
      <c r="AF426" s="4" t="s">
        <v>938</v>
      </c>
    </row>
    <row r="427" spans="1:32" ht="11.25" customHeight="1" x14ac:dyDescent="0.25">
      <c r="A427" s="4" t="s">
        <v>30</v>
      </c>
      <c r="B427" s="4" t="s">
        <v>22</v>
      </c>
      <c r="C427" s="4" t="s">
        <v>23</v>
      </c>
      <c r="D427" s="4" t="s">
        <v>24</v>
      </c>
      <c r="E427" s="4" t="s">
        <v>32</v>
      </c>
      <c r="F427" s="4" t="s">
        <v>25</v>
      </c>
      <c r="G427" s="4" t="s">
        <v>25</v>
      </c>
      <c r="H427" s="4" t="s">
        <v>25</v>
      </c>
      <c r="I427" s="5">
        <v>44682</v>
      </c>
      <c r="J427" s="6">
        <v>0</v>
      </c>
      <c r="K427" s="6">
        <v>0</v>
      </c>
      <c r="L427" s="6">
        <v>1.6970000000000001</v>
      </c>
      <c r="M427" s="6">
        <v>1.6970000000000001</v>
      </c>
      <c r="N427" s="6">
        <v>1.6970000000000001</v>
      </c>
      <c r="O427" s="6">
        <v>1.6970000000000001</v>
      </c>
      <c r="P427" s="6">
        <v>1</v>
      </c>
      <c r="Q427" s="4" t="s">
        <v>26</v>
      </c>
      <c r="R427" s="4">
        <v>0</v>
      </c>
      <c r="S427" s="4">
        <v>0</v>
      </c>
      <c r="T427" s="4">
        <v>41</v>
      </c>
      <c r="U427" s="4">
        <v>85</v>
      </c>
      <c r="V427" s="6">
        <f>IF(ISERROR(VLOOKUP($S$427,'TAR FIN'!$A$1:$O$115,15,0)),0,VLOOKUP($S$427,'TAR FIN'!$A$1:$O$115,15,0))</f>
        <v>0</v>
      </c>
      <c r="W427" s="6">
        <f>IF(ISERROR(VLOOKUP($T$427,'TAR FIN'!$A$1:$O$115,15,0)),0,VLOOKUP($T$427,'TAR FIN'!$A$1:$O$115,15,0))</f>
        <v>242.47</v>
      </c>
      <c r="X427" s="6">
        <f>IF(ISERROR(VLOOKUP($U$427,'TAR FIN'!$A$1:$O$115,15,0)),0,VLOOKUP($U$427,'TAR FIN'!$A$1:$O$115,15,0))</f>
        <v>105.95</v>
      </c>
      <c r="Y427" s="6"/>
      <c r="Z427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27" s="6">
        <f>('TE BE'!$AB$22+'TE BF'!$AB$22+'TE CVA'!$AB$22)*(1-CUSTOS!$M$35)</f>
        <v>138.40918466435005</v>
      </c>
      <c r="AB427" s="6">
        <f t="shared" si="22"/>
        <v>0</v>
      </c>
      <c r="AC427" s="6">
        <f>(L427-M427)*(W427+X427)+($W$522+$X$522-$W$427-$X$427)*(L427)</f>
        <v>394.17916000000008</v>
      </c>
      <c r="AD427" s="6">
        <f t="shared" si="23"/>
        <v>0</v>
      </c>
      <c r="AE427" s="6">
        <f ca="1">(L427-M427)*(Z427+AA427)+($Z$522+$AA$522-$Z$427-$AA$427)*(L427)</f>
        <v>441.80099609935769</v>
      </c>
      <c r="AF427" s="4" t="s">
        <v>938</v>
      </c>
    </row>
    <row r="428" spans="1:32" ht="11.25" customHeight="1" x14ac:dyDescent="0.25">
      <c r="A428" s="4" t="s">
        <v>21</v>
      </c>
      <c r="B428" s="4" t="s">
        <v>22</v>
      </c>
      <c r="C428" s="4" t="s">
        <v>23</v>
      </c>
      <c r="D428" s="4" t="s">
        <v>24</v>
      </c>
      <c r="E428" s="4" t="s">
        <v>32</v>
      </c>
      <c r="F428" s="4" t="s">
        <v>25</v>
      </c>
      <c r="G428" s="4" t="s">
        <v>25</v>
      </c>
      <c r="H428" s="4" t="s">
        <v>25</v>
      </c>
      <c r="I428" s="5">
        <v>44713</v>
      </c>
      <c r="J428" s="6">
        <v>0</v>
      </c>
      <c r="K428" s="6">
        <v>0</v>
      </c>
      <c r="L428" s="6">
        <v>2481.6579999999999</v>
      </c>
      <c r="M428" s="6">
        <v>2481.6579999999999</v>
      </c>
      <c r="N428" s="6">
        <v>2481.6579999999999</v>
      </c>
      <c r="O428" s="6">
        <v>2481.6579999999999</v>
      </c>
      <c r="P428" s="6">
        <v>11949</v>
      </c>
      <c r="Q428" s="4" t="s">
        <v>26</v>
      </c>
      <c r="R428" s="4">
        <v>0</v>
      </c>
      <c r="S428" s="4">
        <v>0</v>
      </c>
      <c r="T428" s="4">
        <v>41</v>
      </c>
      <c r="U428" s="4">
        <v>85</v>
      </c>
      <c r="V428" s="6">
        <f>IF(ISERROR(VLOOKUP($S$428,'TAR FIN'!$A$1:$O$115,15,0)),0,VLOOKUP($S$428,'TAR FIN'!$A$1:$O$115,15,0))</f>
        <v>0</v>
      </c>
      <c r="W428" s="6">
        <f>IF(ISERROR(VLOOKUP($T$428,'TAR FIN'!$A$1:$O$115,15,0)),0,VLOOKUP($T$428,'TAR FIN'!$A$1:$O$115,15,0))</f>
        <v>242.47</v>
      </c>
      <c r="X428" s="6">
        <f>IF(ISERROR(VLOOKUP($U$428,'TAR FIN'!$A$1:$O$115,15,0)),0,VLOOKUP($U$428,'TAR FIN'!$A$1:$O$115,15,0))</f>
        <v>105.95</v>
      </c>
      <c r="Y428" s="6"/>
      <c r="Z428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28" s="6">
        <f>('TE BE'!$AB$22+'TE BF'!$AB$22+'TE CVA'!$AB$22)*(1-CUSTOS!$M$35)</f>
        <v>138.40918466435005</v>
      </c>
      <c r="AB428" s="6">
        <f t="shared" si="22"/>
        <v>0</v>
      </c>
      <c r="AC428" s="6">
        <f>(L428-M428)*(W428+X428)+($W$522+$X$522-$W$428-$X$428)*(L428)</f>
        <v>576439.5202400001</v>
      </c>
      <c r="AD428" s="6">
        <f t="shared" si="23"/>
        <v>0</v>
      </c>
      <c r="AE428" s="6">
        <f ca="1">(L428-M428)*(Z428+AA428)+($Z$522+$AA$522-$Z$428-$AA$428)*(L428)</f>
        <v>646080.71678134333</v>
      </c>
      <c r="AF428" s="4" t="s">
        <v>938</v>
      </c>
    </row>
    <row r="429" spans="1:32" ht="11.25" customHeight="1" x14ac:dyDescent="0.25">
      <c r="A429" s="4" t="s">
        <v>27</v>
      </c>
      <c r="B429" s="4" t="s">
        <v>22</v>
      </c>
      <c r="C429" s="4" t="s">
        <v>23</v>
      </c>
      <c r="D429" s="4" t="s">
        <v>24</v>
      </c>
      <c r="E429" s="4" t="s">
        <v>32</v>
      </c>
      <c r="F429" s="4" t="s">
        <v>25</v>
      </c>
      <c r="G429" s="4" t="s">
        <v>25</v>
      </c>
      <c r="H429" s="4" t="s">
        <v>25</v>
      </c>
      <c r="I429" s="5">
        <v>44713</v>
      </c>
      <c r="J429" s="6">
        <v>0</v>
      </c>
      <c r="K429" s="6">
        <v>0</v>
      </c>
      <c r="L429" s="6">
        <v>-4.3730000000000002</v>
      </c>
      <c r="M429" s="6">
        <v>-4.3730000000000002</v>
      </c>
      <c r="N429" s="6">
        <v>-4.3730000000000002</v>
      </c>
      <c r="O429" s="6">
        <v>-4.3730000000000002</v>
      </c>
      <c r="P429" s="6">
        <v>-11</v>
      </c>
      <c r="Q429" s="4" t="s">
        <v>26</v>
      </c>
      <c r="R429" s="4">
        <v>0</v>
      </c>
      <c r="S429" s="4">
        <v>0</v>
      </c>
      <c r="T429" s="4">
        <v>41</v>
      </c>
      <c r="U429" s="4">
        <v>85</v>
      </c>
      <c r="V429" s="6">
        <f>IF(ISERROR(VLOOKUP($S$429,'TAR FIN'!$A$1:$O$115,15,0)),0,VLOOKUP($S$429,'TAR FIN'!$A$1:$O$115,15,0))</f>
        <v>0</v>
      </c>
      <c r="W429" s="6">
        <f>IF(ISERROR(VLOOKUP($T$429,'TAR FIN'!$A$1:$O$115,15,0)),0,VLOOKUP($T$429,'TAR FIN'!$A$1:$O$115,15,0))</f>
        <v>242.47</v>
      </c>
      <c r="X429" s="6">
        <f>IF(ISERROR(VLOOKUP($U$429,'TAR FIN'!$A$1:$O$115,15,0)),0,VLOOKUP($U$429,'TAR FIN'!$A$1:$O$115,15,0))</f>
        <v>105.95</v>
      </c>
      <c r="Y429" s="6"/>
      <c r="Z429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29" s="6">
        <f>('TE BE'!$AB$22+'TE BF'!$AB$22+'TE CVA'!$AB$22)*(1-CUSTOS!$M$35)</f>
        <v>138.40918466435005</v>
      </c>
      <c r="AB429" s="6">
        <f t="shared" si="22"/>
        <v>0</v>
      </c>
      <c r="AC429" s="6">
        <f>(L429-M429)*(W429+X429)+($W$522+$X$522-$W$429-$X$429)*(L429)</f>
        <v>-1015.7604400000001</v>
      </c>
      <c r="AD429" s="6">
        <f t="shared" si="23"/>
        <v>0</v>
      </c>
      <c r="AE429" s="6">
        <f ca="1">(L429-M429)*(Z429+AA429)+($Z$522+$AA$522-$Z$429-$AA$429)*(L429)</f>
        <v>-1138.4771690880914</v>
      </c>
      <c r="AF429" s="4" t="s">
        <v>938</v>
      </c>
    </row>
    <row r="430" spans="1:32" ht="11.25" customHeight="1" x14ac:dyDescent="0.25">
      <c r="A430" s="4" t="s">
        <v>28</v>
      </c>
      <c r="B430" s="4" t="s">
        <v>22</v>
      </c>
      <c r="C430" s="4" t="s">
        <v>23</v>
      </c>
      <c r="D430" s="4" t="s">
        <v>24</v>
      </c>
      <c r="E430" s="4" t="s">
        <v>32</v>
      </c>
      <c r="F430" s="4" t="s">
        <v>25</v>
      </c>
      <c r="G430" s="4" t="s">
        <v>25</v>
      </c>
      <c r="H430" s="4" t="s">
        <v>25</v>
      </c>
      <c r="I430" s="5">
        <v>44713</v>
      </c>
      <c r="J430" s="6">
        <v>0</v>
      </c>
      <c r="K430" s="6">
        <v>0</v>
      </c>
      <c r="L430" s="6">
        <v>1104.2239999999999</v>
      </c>
      <c r="M430" s="6">
        <v>1104.2239999999999</v>
      </c>
      <c r="N430" s="6">
        <v>1104.2239999999999</v>
      </c>
      <c r="O430" s="6">
        <v>1104.2239999999999</v>
      </c>
      <c r="P430" s="6">
        <v>8313</v>
      </c>
      <c r="Q430" s="4" t="s">
        <v>26</v>
      </c>
      <c r="R430" s="4">
        <v>0</v>
      </c>
      <c r="S430" s="4">
        <v>0</v>
      </c>
      <c r="T430" s="4">
        <v>41</v>
      </c>
      <c r="U430" s="4">
        <v>85</v>
      </c>
      <c r="V430" s="6">
        <f>IF(ISERROR(VLOOKUP($S$430,'TAR FIN'!$A$1:$O$115,15,0)),0,VLOOKUP($S$430,'TAR FIN'!$A$1:$O$115,15,0))</f>
        <v>0</v>
      </c>
      <c r="W430" s="6">
        <f>IF(ISERROR(VLOOKUP($T$430,'TAR FIN'!$A$1:$O$115,15,0)),0,VLOOKUP($T$430,'TAR FIN'!$A$1:$O$115,15,0))</f>
        <v>242.47</v>
      </c>
      <c r="X430" s="6">
        <f>IF(ISERROR(VLOOKUP($U$430,'TAR FIN'!$A$1:$O$115,15,0)),0,VLOOKUP($U$430,'TAR FIN'!$A$1:$O$115,15,0))</f>
        <v>105.95</v>
      </c>
      <c r="Y430" s="6"/>
      <c r="Z430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30" s="6">
        <f>('TE BE'!$AB$22+'TE BF'!$AB$22+'TE CVA'!$AB$22)*(1-CUSTOS!$M$35)</f>
        <v>138.40918466435005</v>
      </c>
      <c r="AB430" s="6">
        <f t="shared" si="22"/>
        <v>0</v>
      </c>
      <c r="AC430" s="6">
        <f>(L430-M430)*(W430+X430)+($W$522+$X$522-$W$430-$X$430)*(L430)</f>
        <v>256489.15072000001</v>
      </c>
      <c r="AD430" s="6">
        <f t="shared" si="23"/>
        <v>0</v>
      </c>
      <c r="AE430" s="6">
        <f ca="1">(L430-M430)*(Z430+AA430)+($Z$522+$AA$522-$Z$430-$AA$430)*(L430)</f>
        <v>287476.28940295643</v>
      </c>
      <c r="AF430" s="4" t="s">
        <v>938</v>
      </c>
    </row>
    <row r="431" spans="1:32" ht="11.25" customHeight="1" x14ac:dyDescent="0.25">
      <c r="A431" s="4" t="s">
        <v>29</v>
      </c>
      <c r="B431" s="4" t="s">
        <v>22</v>
      </c>
      <c r="C431" s="4" t="s">
        <v>23</v>
      </c>
      <c r="D431" s="4" t="s">
        <v>24</v>
      </c>
      <c r="E431" s="4" t="s">
        <v>32</v>
      </c>
      <c r="F431" s="4" t="s">
        <v>25</v>
      </c>
      <c r="G431" s="4" t="s">
        <v>25</v>
      </c>
      <c r="H431" s="4" t="s">
        <v>25</v>
      </c>
      <c r="I431" s="5">
        <v>44713</v>
      </c>
      <c r="J431" s="6">
        <v>0</v>
      </c>
      <c r="K431" s="6">
        <v>0</v>
      </c>
      <c r="L431" s="6">
        <v>-0.39600000000000002</v>
      </c>
      <c r="M431" s="6">
        <v>-0.39600000000000002</v>
      </c>
      <c r="N431" s="6">
        <v>-0.39600000000000002</v>
      </c>
      <c r="O431" s="6">
        <v>-0.39600000000000002</v>
      </c>
      <c r="P431" s="6">
        <v>-7</v>
      </c>
      <c r="Q431" s="4" t="s">
        <v>26</v>
      </c>
      <c r="R431" s="4">
        <v>0</v>
      </c>
      <c r="S431" s="4">
        <v>0</v>
      </c>
      <c r="T431" s="4">
        <v>41</v>
      </c>
      <c r="U431" s="4">
        <v>85</v>
      </c>
      <c r="V431" s="6">
        <f>IF(ISERROR(VLOOKUP($S$431,'TAR FIN'!$A$1:$O$115,15,0)),0,VLOOKUP($S$431,'TAR FIN'!$A$1:$O$115,15,0))</f>
        <v>0</v>
      </c>
      <c r="W431" s="6">
        <f>IF(ISERROR(VLOOKUP($T$431,'TAR FIN'!$A$1:$O$115,15,0)),0,VLOOKUP($T$431,'TAR FIN'!$A$1:$O$115,15,0))</f>
        <v>242.47</v>
      </c>
      <c r="X431" s="6">
        <f>IF(ISERROR(VLOOKUP($U$431,'TAR FIN'!$A$1:$O$115,15,0)),0,VLOOKUP($U$431,'TAR FIN'!$A$1:$O$115,15,0))</f>
        <v>105.95</v>
      </c>
      <c r="Y431" s="6"/>
      <c r="Z431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31" s="6">
        <f>('TE BE'!$AB$22+'TE BF'!$AB$22+'TE CVA'!$AB$22)*(1-CUSTOS!$M$35)</f>
        <v>138.40918466435005</v>
      </c>
      <c r="AB431" s="6">
        <f t="shared" si="22"/>
        <v>0</v>
      </c>
      <c r="AC431" s="6">
        <f>(L431-M431)*(W431+X431)+($W$522+$X$522-$W$431-$X$431)*(L431)</f>
        <v>-91.982880000000023</v>
      </c>
      <c r="AD431" s="6">
        <f t="shared" si="23"/>
        <v>0</v>
      </c>
      <c r="AE431" s="6">
        <f ca="1">(L431-M431)*(Z431+AA431)+($Z$522+$AA$522-$Z$431-$AA$431)*(L431)</f>
        <v>-103.09557716873638</v>
      </c>
      <c r="AF431" s="4" t="s">
        <v>938</v>
      </c>
    </row>
    <row r="432" spans="1:32" ht="11.25" customHeight="1" x14ac:dyDescent="0.25">
      <c r="A432" s="4" t="s">
        <v>30</v>
      </c>
      <c r="B432" s="4" t="s">
        <v>22</v>
      </c>
      <c r="C432" s="4" t="s">
        <v>23</v>
      </c>
      <c r="D432" s="4" t="s">
        <v>24</v>
      </c>
      <c r="E432" s="4" t="s">
        <v>32</v>
      </c>
      <c r="F432" s="4" t="s">
        <v>25</v>
      </c>
      <c r="G432" s="4" t="s">
        <v>25</v>
      </c>
      <c r="H432" s="4" t="s">
        <v>25</v>
      </c>
      <c r="I432" s="5">
        <v>44713</v>
      </c>
      <c r="J432" s="6">
        <v>0</v>
      </c>
      <c r="K432" s="6">
        <v>0</v>
      </c>
      <c r="L432" s="6">
        <v>1.655</v>
      </c>
      <c r="M432" s="6">
        <v>1.655</v>
      </c>
      <c r="N432" s="6">
        <v>1.655</v>
      </c>
      <c r="O432" s="6">
        <v>1.655</v>
      </c>
      <c r="P432" s="6">
        <v>1</v>
      </c>
      <c r="Q432" s="4" t="s">
        <v>26</v>
      </c>
      <c r="R432" s="4">
        <v>0</v>
      </c>
      <c r="S432" s="4">
        <v>0</v>
      </c>
      <c r="T432" s="4">
        <v>41</v>
      </c>
      <c r="U432" s="4">
        <v>85</v>
      </c>
      <c r="V432" s="6">
        <f>IF(ISERROR(VLOOKUP($S$432,'TAR FIN'!$A$1:$O$115,15,0)),0,VLOOKUP($S$432,'TAR FIN'!$A$1:$O$115,15,0))</f>
        <v>0</v>
      </c>
      <c r="W432" s="6">
        <f>IF(ISERROR(VLOOKUP($T$432,'TAR FIN'!$A$1:$O$115,15,0)),0,VLOOKUP($T$432,'TAR FIN'!$A$1:$O$115,15,0))</f>
        <v>242.47</v>
      </c>
      <c r="X432" s="6">
        <f>IF(ISERROR(VLOOKUP($U$432,'TAR FIN'!$A$1:$O$115,15,0)),0,VLOOKUP($U$432,'TAR FIN'!$A$1:$O$115,15,0))</f>
        <v>105.95</v>
      </c>
      <c r="Y432" s="6"/>
      <c r="Z432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32" s="6">
        <f>('TE BE'!$AB$22+'TE BF'!$AB$22+'TE CVA'!$AB$22)*(1-CUSTOS!$M$35)</f>
        <v>138.40918466435005</v>
      </c>
      <c r="AB432" s="6">
        <f t="shared" si="22"/>
        <v>0</v>
      </c>
      <c r="AC432" s="6">
        <f>(L432-M432)*(W432+X432)+($W$522+$X$522-$W$432-$X$432)*(L432)</f>
        <v>384.42340000000007</v>
      </c>
      <c r="AD432" s="6">
        <f t="shared" si="23"/>
        <v>0</v>
      </c>
      <c r="AE432" s="6">
        <f ca="1">(L432-M432)*(Z432+AA432)+($Z$522+$AA$522-$Z$432-$AA$432)*(L432)</f>
        <v>430.86661670267347</v>
      </c>
      <c r="AF432" s="4" t="s">
        <v>938</v>
      </c>
    </row>
    <row r="433" spans="1:32" ht="11.25" customHeight="1" x14ac:dyDescent="0.25">
      <c r="A433" s="4" t="s">
        <v>21</v>
      </c>
      <c r="B433" s="4" t="s">
        <v>22</v>
      </c>
      <c r="C433" s="4" t="s">
        <v>23</v>
      </c>
      <c r="D433" s="4" t="s">
        <v>24</v>
      </c>
      <c r="E433" s="4" t="s">
        <v>32</v>
      </c>
      <c r="F433" s="4" t="s">
        <v>25</v>
      </c>
      <c r="G433" s="4" t="s">
        <v>25</v>
      </c>
      <c r="H433" s="4" t="s">
        <v>25</v>
      </c>
      <c r="I433" s="5">
        <v>44743</v>
      </c>
      <c r="J433" s="6">
        <v>0</v>
      </c>
      <c r="K433" s="6">
        <v>0</v>
      </c>
      <c r="L433" s="6">
        <v>2615.866</v>
      </c>
      <c r="M433" s="6">
        <v>2615.866</v>
      </c>
      <c r="N433" s="6">
        <v>2615.866</v>
      </c>
      <c r="O433" s="6">
        <v>2615.866</v>
      </c>
      <c r="P433" s="6">
        <v>10528</v>
      </c>
      <c r="Q433" s="4" t="s">
        <v>26</v>
      </c>
      <c r="R433" s="4">
        <v>0</v>
      </c>
      <c r="S433" s="4">
        <v>0</v>
      </c>
      <c r="T433" s="4">
        <v>41</v>
      </c>
      <c r="U433" s="4">
        <v>85</v>
      </c>
      <c r="V433" s="6">
        <f>IF(ISERROR(VLOOKUP($S$433,'TAR FIN'!$A$1:$O$115,15,0)),0,VLOOKUP($S$433,'TAR FIN'!$A$1:$O$115,15,0))</f>
        <v>0</v>
      </c>
      <c r="W433" s="6">
        <f>IF(ISERROR(VLOOKUP($T$433,'TAR FIN'!$A$1:$O$115,15,0)),0,VLOOKUP($T$433,'TAR FIN'!$A$1:$O$115,15,0))</f>
        <v>242.47</v>
      </c>
      <c r="X433" s="6">
        <f>IF(ISERROR(VLOOKUP($U$433,'TAR FIN'!$A$1:$O$115,15,0)),0,VLOOKUP($U$433,'TAR FIN'!$A$1:$O$115,15,0))</f>
        <v>105.95</v>
      </c>
      <c r="Y433" s="6"/>
      <c r="Z433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33" s="6">
        <f>('TE BE'!$AB$22+'TE BF'!$AB$22+'TE CVA'!$AB$22)*(1-CUSTOS!$M$35)</f>
        <v>138.40918466435005</v>
      </c>
      <c r="AB433" s="6">
        <f t="shared" si="22"/>
        <v>0</v>
      </c>
      <c r="AC433" s="6">
        <f>(L433-M433)*(W433+X433)+($W$522+$X$522-$W$433-$X$433)*(L433)</f>
        <v>607613.3544800001</v>
      </c>
      <c r="AD433" s="6">
        <f t="shared" si="23"/>
        <v>0</v>
      </c>
      <c r="AE433" s="6">
        <f ca="1">(L433-M433)*(Z433+AA433)+($Z$522+$AA$522-$Z$433-$AA$433)*(L433)</f>
        <v>681020.7451163478</v>
      </c>
      <c r="AF433" s="4" t="s">
        <v>938</v>
      </c>
    </row>
    <row r="434" spans="1:32" ht="11.25" customHeight="1" x14ac:dyDescent="0.25">
      <c r="A434" s="4" t="s">
        <v>27</v>
      </c>
      <c r="B434" s="4" t="s">
        <v>22</v>
      </c>
      <c r="C434" s="4" t="s">
        <v>23</v>
      </c>
      <c r="D434" s="4" t="s">
        <v>24</v>
      </c>
      <c r="E434" s="4" t="s">
        <v>32</v>
      </c>
      <c r="F434" s="4" t="s">
        <v>25</v>
      </c>
      <c r="G434" s="4" t="s">
        <v>25</v>
      </c>
      <c r="H434" s="4" t="s">
        <v>25</v>
      </c>
      <c r="I434" s="5">
        <v>44743</v>
      </c>
      <c r="J434" s="6">
        <v>0</v>
      </c>
      <c r="K434" s="6">
        <v>0</v>
      </c>
      <c r="L434" s="6">
        <v>-4.8159999999999998</v>
      </c>
      <c r="M434" s="6">
        <v>-4.8159999999999998</v>
      </c>
      <c r="N434" s="6">
        <v>-4.8159999999999998</v>
      </c>
      <c r="O434" s="6">
        <v>-4.8159999999999998</v>
      </c>
      <c r="P434" s="6">
        <v>-9</v>
      </c>
      <c r="Q434" s="4" t="s">
        <v>26</v>
      </c>
      <c r="R434" s="4">
        <v>0</v>
      </c>
      <c r="S434" s="4">
        <v>0</v>
      </c>
      <c r="T434" s="4">
        <v>41</v>
      </c>
      <c r="U434" s="4">
        <v>85</v>
      </c>
      <c r="V434" s="6">
        <f>IF(ISERROR(VLOOKUP($S$434,'TAR FIN'!$A$1:$O$115,15,0)),0,VLOOKUP($S$434,'TAR FIN'!$A$1:$O$115,15,0))</f>
        <v>0</v>
      </c>
      <c r="W434" s="6">
        <f>IF(ISERROR(VLOOKUP($T$434,'TAR FIN'!$A$1:$O$115,15,0)),0,VLOOKUP($T$434,'TAR FIN'!$A$1:$O$115,15,0))</f>
        <v>242.47</v>
      </c>
      <c r="X434" s="6">
        <f>IF(ISERROR(VLOOKUP($U$434,'TAR FIN'!$A$1:$O$115,15,0)),0,VLOOKUP($U$434,'TAR FIN'!$A$1:$O$115,15,0))</f>
        <v>105.95</v>
      </c>
      <c r="Y434" s="6"/>
      <c r="Z434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34" s="6">
        <f>('TE BE'!$AB$22+'TE BF'!$AB$22+'TE CVA'!$AB$22)*(1-CUSTOS!$M$35)</f>
        <v>138.40918466435005</v>
      </c>
      <c r="AB434" s="6">
        <f t="shared" si="22"/>
        <v>0</v>
      </c>
      <c r="AC434" s="6">
        <f>(L434-M434)*(W434+X434)+($W$522+$X$522-$W$434-$X$434)*(L434)</f>
        <v>-1118.66048</v>
      </c>
      <c r="AD434" s="6">
        <f t="shared" si="23"/>
        <v>0</v>
      </c>
      <c r="AE434" s="6">
        <f ca="1">(L434-M434)*(Z434+AA434)+($Z$522+$AA$522-$Z$434-$AA$434)*(L434)</f>
        <v>-1253.8088374864503</v>
      </c>
      <c r="AF434" s="4" t="s">
        <v>938</v>
      </c>
    </row>
    <row r="435" spans="1:32" ht="11.25" customHeight="1" x14ac:dyDescent="0.25">
      <c r="A435" s="4" t="s">
        <v>28</v>
      </c>
      <c r="B435" s="4" t="s">
        <v>22</v>
      </c>
      <c r="C435" s="4" t="s">
        <v>23</v>
      </c>
      <c r="D435" s="4" t="s">
        <v>24</v>
      </c>
      <c r="E435" s="4" t="s">
        <v>32</v>
      </c>
      <c r="F435" s="4" t="s">
        <v>25</v>
      </c>
      <c r="G435" s="4" t="s">
        <v>25</v>
      </c>
      <c r="H435" s="4" t="s">
        <v>25</v>
      </c>
      <c r="I435" s="5">
        <v>44743</v>
      </c>
      <c r="J435" s="6">
        <v>0</v>
      </c>
      <c r="K435" s="6">
        <v>0</v>
      </c>
      <c r="L435" s="6">
        <v>1186.0730000000001</v>
      </c>
      <c r="M435" s="6">
        <v>1186.0730000000001</v>
      </c>
      <c r="N435" s="6">
        <v>1186.0730000000001</v>
      </c>
      <c r="O435" s="6">
        <v>1186.0730000000001</v>
      </c>
      <c r="P435" s="6">
        <v>7615</v>
      </c>
      <c r="Q435" s="4" t="s">
        <v>26</v>
      </c>
      <c r="R435" s="4">
        <v>0</v>
      </c>
      <c r="S435" s="4">
        <v>0</v>
      </c>
      <c r="T435" s="4">
        <v>41</v>
      </c>
      <c r="U435" s="4">
        <v>85</v>
      </c>
      <c r="V435" s="6">
        <f>IF(ISERROR(VLOOKUP($S$435,'TAR FIN'!$A$1:$O$115,15,0)),0,VLOOKUP($S$435,'TAR FIN'!$A$1:$O$115,15,0))</f>
        <v>0</v>
      </c>
      <c r="W435" s="6">
        <f>IF(ISERROR(VLOOKUP($T$435,'TAR FIN'!$A$1:$O$115,15,0)),0,VLOOKUP($T$435,'TAR FIN'!$A$1:$O$115,15,0))</f>
        <v>242.47</v>
      </c>
      <c r="X435" s="6">
        <f>IF(ISERROR(VLOOKUP($U$435,'TAR FIN'!$A$1:$O$115,15,0)),0,VLOOKUP($U$435,'TAR FIN'!$A$1:$O$115,15,0))</f>
        <v>105.95</v>
      </c>
      <c r="Y435" s="6"/>
      <c r="Z435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35" s="6">
        <f>('TE BE'!$AB$22+'TE BF'!$AB$22+'TE CVA'!$AB$22)*(1-CUSTOS!$M$35)</f>
        <v>138.40918466435005</v>
      </c>
      <c r="AB435" s="6">
        <f t="shared" si="22"/>
        <v>0</v>
      </c>
      <c r="AC435" s="6">
        <f>(L435-M435)*(W435+X435)+($W$522+$X$522-$W$435-$X$435)*(L435)</f>
        <v>275501.03644000005</v>
      </c>
      <c r="AD435" s="6">
        <f t="shared" si="23"/>
        <v>0</v>
      </c>
      <c r="AE435" s="6">
        <f ca="1">(L435-M435)*(Z435+AA435)+($Z$522+$AA$522-$Z$435-$AA$435)*(L435)</f>
        <v>308785.05176579463</v>
      </c>
      <c r="AF435" s="4" t="s">
        <v>938</v>
      </c>
    </row>
    <row r="436" spans="1:32" ht="11.25" customHeight="1" x14ac:dyDescent="0.25">
      <c r="A436" s="4" t="s">
        <v>29</v>
      </c>
      <c r="B436" s="4" t="s">
        <v>22</v>
      </c>
      <c r="C436" s="4" t="s">
        <v>23</v>
      </c>
      <c r="D436" s="4" t="s">
        <v>24</v>
      </c>
      <c r="E436" s="4" t="s">
        <v>32</v>
      </c>
      <c r="F436" s="4" t="s">
        <v>25</v>
      </c>
      <c r="G436" s="4" t="s">
        <v>25</v>
      </c>
      <c r="H436" s="4" t="s">
        <v>25</v>
      </c>
      <c r="I436" s="5">
        <v>44743</v>
      </c>
      <c r="J436" s="6">
        <v>0</v>
      </c>
      <c r="K436" s="6">
        <v>0</v>
      </c>
      <c r="L436" s="6">
        <v>-0.629</v>
      </c>
      <c r="M436" s="6">
        <v>-0.629</v>
      </c>
      <c r="N436" s="6">
        <v>-0.629</v>
      </c>
      <c r="O436" s="6">
        <v>-0.629</v>
      </c>
      <c r="P436" s="6">
        <v>-10</v>
      </c>
      <c r="Q436" s="4" t="s">
        <v>26</v>
      </c>
      <c r="R436" s="4">
        <v>0</v>
      </c>
      <c r="S436" s="4">
        <v>0</v>
      </c>
      <c r="T436" s="4">
        <v>41</v>
      </c>
      <c r="U436" s="4">
        <v>85</v>
      </c>
      <c r="V436" s="6">
        <f>IF(ISERROR(VLOOKUP($S$436,'TAR FIN'!$A$1:$O$115,15,0)),0,VLOOKUP($S$436,'TAR FIN'!$A$1:$O$115,15,0))</f>
        <v>0</v>
      </c>
      <c r="W436" s="6">
        <f>IF(ISERROR(VLOOKUP($T$436,'TAR FIN'!$A$1:$O$115,15,0)),0,VLOOKUP($T$436,'TAR FIN'!$A$1:$O$115,15,0))</f>
        <v>242.47</v>
      </c>
      <c r="X436" s="6">
        <f>IF(ISERROR(VLOOKUP($U$436,'TAR FIN'!$A$1:$O$115,15,0)),0,VLOOKUP($U$436,'TAR FIN'!$A$1:$O$115,15,0))</f>
        <v>105.95</v>
      </c>
      <c r="Y436" s="6"/>
      <c r="Z436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36" s="6">
        <f>('TE BE'!$AB$22+'TE BF'!$AB$22+'TE CVA'!$AB$22)*(1-CUSTOS!$M$35)</f>
        <v>138.40918466435005</v>
      </c>
      <c r="AB436" s="6">
        <f t="shared" si="22"/>
        <v>0</v>
      </c>
      <c r="AC436" s="6">
        <f>(L436-M436)*(W436+X436)+($W$522+$X$522-$W$436-$X$436)*(L436)</f>
        <v>-146.10412000000002</v>
      </c>
      <c r="AD436" s="6">
        <f t="shared" si="23"/>
        <v>0</v>
      </c>
      <c r="AE436" s="6">
        <f ca="1">(L436-M436)*(Z436+AA436)+($Z$522+$AA$522-$Z$436-$AA$436)*(L436)</f>
        <v>-163.7553485836747</v>
      </c>
      <c r="AF436" s="4" t="s">
        <v>938</v>
      </c>
    </row>
    <row r="437" spans="1:32" ht="11.25" customHeight="1" x14ac:dyDescent="0.25">
      <c r="A437" s="4" t="s">
        <v>30</v>
      </c>
      <c r="B437" s="4" t="s">
        <v>22</v>
      </c>
      <c r="C437" s="4" t="s">
        <v>23</v>
      </c>
      <c r="D437" s="4" t="s">
        <v>24</v>
      </c>
      <c r="E437" s="4" t="s">
        <v>32</v>
      </c>
      <c r="F437" s="4" t="s">
        <v>25</v>
      </c>
      <c r="G437" s="4" t="s">
        <v>25</v>
      </c>
      <c r="H437" s="4" t="s">
        <v>25</v>
      </c>
      <c r="I437" s="5">
        <v>44743</v>
      </c>
      <c r="J437" s="6">
        <v>0</v>
      </c>
      <c r="K437" s="6">
        <v>0</v>
      </c>
      <c r="L437" s="6">
        <v>1.877</v>
      </c>
      <c r="M437" s="6">
        <v>1.877</v>
      </c>
      <c r="N437" s="6">
        <v>1.877</v>
      </c>
      <c r="O437" s="6">
        <v>1.877</v>
      </c>
      <c r="P437" s="6">
        <v>1</v>
      </c>
      <c r="Q437" s="4" t="s">
        <v>26</v>
      </c>
      <c r="R437" s="4">
        <v>0</v>
      </c>
      <c r="S437" s="4">
        <v>0</v>
      </c>
      <c r="T437" s="4">
        <v>41</v>
      </c>
      <c r="U437" s="4">
        <v>85</v>
      </c>
      <c r="V437" s="6">
        <f>IF(ISERROR(VLOOKUP($S$437,'TAR FIN'!$A$1:$O$115,15,0)),0,VLOOKUP($S$437,'TAR FIN'!$A$1:$O$115,15,0))</f>
        <v>0</v>
      </c>
      <c r="W437" s="6">
        <f>IF(ISERROR(VLOOKUP($T$437,'TAR FIN'!$A$1:$O$115,15,0)),0,VLOOKUP($T$437,'TAR FIN'!$A$1:$O$115,15,0))</f>
        <v>242.47</v>
      </c>
      <c r="X437" s="6">
        <f>IF(ISERROR(VLOOKUP($U$437,'TAR FIN'!$A$1:$O$115,15,0)),0,VLOOKUP($U$437,'TAR FIN'!$A$1:$O$115,15,0))</f>
        <v>105.95</v>
      </c>
      <c r="Y437" s="6"/>
      <c r="Z437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37" s="6">
        <f>('TE BE'!$AB$22+'TE BF'!$AB$22+'TE CVA'!$AB$22)*(1-CUSTOS!$M$35)</f>
        <v>138.40918466435005</v>
      </c>
      <c r="AB437" s="6">
        <f t="shared" si="22"/>
        <v>0</v>
      </c>
      <c r="AC437" s="6">
        <f>(L437-M437)*(W437+X437)+($W$522+$X$522-$W$437-$X$437)*(L437)</f>
        <v>435.98956000000004</v>
      </c>
      <c r="AD437" s="6">
        <f t="shared" si="23"/>
        <v>0</v>
      </c>
      <c r="AE437" s="6">
        <f ca="1">(L437-M437)*(Z437+AA437)+($Z$522+$AA$522-$Z$437-$AA$437)*(L437)</f>
        <v>488.66262208514689</v>
      </c>
      <c r="AF437" s="4" t="s">
        <v>938</v>
      </c>
    </row>
    <row r="438" spans="1:32" ht="11.25" customHeight="1" x14ac:dyDescent="0.25">
      <c r="A438" s="4" t="s">
        <v>21</v>
      </c>
      <c r="B438" s="4" t="s">
        <v>22</v>
      </c>
      <c r="C438" s="4" t="s">
        <v>23</v>
      </c>
      <c r="D438" s="4" t="s">
        <v>24</v>
      </c>
      <c r="E438" s="4" t="s">
        <v>32</v>
      </c>
      <c r="F438" s="4" t="s">
        <v>25</v>
      </c>
      <c r="G438" s="4" t="s">
        <v>25</v>
      </c>
      <c r="H438" s="4" t="s">
        <v>25</v>
      </c>
      <c r="I438" s="5">
        <v>44774</v>
      </c>
      <c r="J438" s="6">
        <v>0</v>
      </c>
      <c r="K438" s="6">
        <v>0</v>
      </c>
      <c r="L438" s="6">
        <v>2214.701</v>
      </c>
      <c r="M438" s="6">
        <v>2214.701</v>
      </c>
      <c r="N438" s="6">
        <v>2214.701</v>
      </c>
      <c r="O438" s="6">
        <v>2214.701</v>
      </c>
      <c r="P438" s="6">
        <v>6120</v>
      </c>
      <c r="Q438" s="4" t="s">
        <v>26</v>
      </c>
      <c r="R438" s="4">
        <v>0</v>
      </c>
      <c r="S438" s="4">
        <v>0</v>
      </c>
      <c r="T438" s="4">
        <v>41</v>
      </c>
      <c r="U438" s="4">
        <v>85</v>
      </c>
      <c r="V438" s="6">
        <f>IF(ISERROR(VLOOKUP($S$438,'TAR FIN'!$A$1:$O$115,15,0)),0,VLOOKUP($S$438,'TAR FIN'!$A$1:$O$115,15,0))</f>
        <v>0</v>
      </c>
      <c r="W438" s="6">
        <f>IF(ISERROR(VLOOKUP($T$438,'TAR FIN'!$A$1:$O$115,15,0)),0,VLOOKUP($T$438,'TAR FIN'!$A$1:$O$115,15,0))</f>
        <v>242.47</v>
      </c>
      <c r="X438" s="6">
        <f>IF(ISERROR(VLOOKUP($U$438,'TAR FIN'!$A$1:$O$115,15,0)),0,VLOOKUP($U$438,'TAR FIN'!$A$1:$O$115,15,0))</f>
        <v>105.95</v>
      </c>
      <c r="Y438" s="6"/>
      <c r="Z438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38" s="6">
        <f>('TE BE'!$AB$22+'TE BF'!$AB$22+'TE CVA'!$AB$22)*(1-CUSTOS!$M$35)</f>
        <v>138.40918466435005</v>
      </c>
      <c r="AB438" s="6">
        <f t="shared" si="22"/>
        <v>0</v>
      </c>
      <c r="AC438" s="6">
        <f>(L438-M438)*(W438+X438)+($W$522+$X$522-$W$438-$X$438)*(L438)</f>
        <v>514430.74828000006</v>
      </c>
      <c r="AD438" s="6">
        <f t="shared" si="23"/>
        <v>0</v>
      </c>
      <c r="AE438" s="6">
        <f ca="1">(L438-M438)*(Z438+AA438)+($Z$522+$AA$522-$Z$438-$AA$438)*(L438)</f>
        <v>576580.49962418596</v>
      </c>
      <c r="AF438" s="4" t="s">
        <v>938</v>
      </c>
    </row>
    <row r="439" spans="1:32" ht="11.25" customHeight="1" x14ac:dyDescent="0.25">
      <c r="A439" s="4" t="s">
        <v>27</v>
      </c>
      <c r="B439" s="4" t="s">
        <v>22</v>
      </c>
      <c r="C439" s="4" t="s">
        <v>23</v>
      </c>
      <c r="D439" s="4" t="s">
        <v>24</v>
      </c>
      <c r="E439" s="4" t="s">
        <v>32</v>
      </c>
      <c r="F439" s="4" t="s">
        <v>25</v>
      </c>
      <c r="G439" s="4" t="s">
        <v>25</v>
      </c>
      <c r="H439" s="4" t="s">
        <v>25</v>
      </c>
      <c r="I439" s="5">
        <v>44774</v>
      </c>
      <c r="J439" s="6">
        <v>0</v>
      </c>
      <c r="K439" s="6">
        <v>0</v>
      </c>
      <c r="L439" s="6">
        <v>-2.077</v>
      </c>
      <c r="M439" s="6">
        <v>-2.077</v>
      </c>
      <c r="N439" s="6">
        <v>-2.077</v>
      </c>
      <c r="O439" s="6">
        <v>-2.077</v>
      </c>
      <c r="P439" s="6">
        <v>-4</v>
      </c>
      <c r="Q439" s="4" t="s">
        <v>26</v>
      </c>
      <c r="R439" s="4">
        <v>0</v>
      </c>
      <c r="S439" s="4">
        <v>0</v>
      </c>
      <c r="T439" s="4">
        <v>41</v>
      </c>
      <c r="U439" s="4">
        <v>85</v>
      </c>
      <c r="V439" s="6">
        <f>IF(ISERROR(VLOOKUP($S$439,'TAR FIN'!$A$1:$O$115,15,0)),0,VLOOKUP($S$439,'TAR FIN'!$A$1:$O$115,15,0))</f>
        <v>0</v>
      </c>
      <c r="W439" s="6">
        <f>IF(ISERROR(VLOOKUP($T$439,'TAR FIN'!$A$1:$O$115,15,0)),0,VLOOKUP($T$439,'TAR FIN'!$A$1:$O$115,15,0))</f>
        <v>242.47</v>
      </c>
      <c r="X439" s="6">
        <f>IF(ISERROR(VLOOKUP($U$439,'TAR FIN'!$A$1:$O$115,15,0)),0,VLOOKUP($U$439,'TAR FIN'!$A$1:$O$115,15,0))</f>
        <v>105.95</v>
      </c>
      <c r="Y439" s="6"/>
      <c r="Z439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39" s="6">
        <f>('TE BE'!$AB$22+'TE BF'!$AB$22+'TE CVA'!$AB$22)*(1-CUSTOS!$M$35)</f>
        <v>138.40918466435005</v>
      </c>
      <c r="AB439" s="6">
        <f t="shared" si="22"/>
        <v>0</v>
      </c>
      <c r="AC439" s="6">
        <f>(L439-M439)*(W439+X439)+($W$522+$X$522-$W$439-$X$439)*(L439)</f>
        <v>-482.44556000000006</v>
      </c>
      <c r="AD439" s="6">
        <f t="shared" si="23"/>
        <v>0</v>
      </c>
      <c r="AE439" s="6">
        <f ca="1">(L439-M439)*(Z439+AA439)+($Z$522+$AA$522-$Z$439-$AA$439)*(L439)</f>
        <v>-540.73109540269047</v>
      </c>
      <c r="AF439" s="4" t="s">
        <v>938</v>
      </c>
    </row>
    <row r="440" spans="1:32" ht="11.25" customHeight="1" x14ac:dyDescent="0.25">
      <c r="A440" s="4" t="s">
        <v>28</v>
      </c>
      <c r="B440" s="4" t="s">
        <v>22</v>
      </c>
      <c r="C440" s="4" t="s">
        <v>23</v>
      </c>
      <c r="D440" s="4" t="s">
        <v>24</v>
      </c>
      <c r="E440" s="4" t="s">
        <v>32</v>
      </c>
      <c r="F440" s="4" t="s">
        <v>25</v>
      </c>
      <c r="G440" s="4" t="s">
        <v>25</v>
      </c>
      <c r="H440" s="4" t="s">
        <v>25</v>
      </c>
      <c r="I440" s="5">
        <v>44774</v>
      </c>
      <c r="J440" s="6">
        <v>0</v>
      </c>
      <c r="K440" s="6">
        <v>0</v>
      </c>
      <c r="L440" s="6">
        <v>1644.7819999999999</v>
      </c>
      <c r="M440" s="6">
        <v>1644.7819999999999</v>
      </c>
      <c r="N440" s="6">
        <v>1644.7819999999999</v>
      </c>
      <c r="O440" s="6">
        <v>1644.7819999999999</v>
      </c>
      <c r="P440" s="6">
        <v>11294</v>
      </c>
      <c r="Q440" s="4" t="s">
        <v>26</v>
      </c>
      <c r="R440" s="4">
        <v>0</v>
      </c>
      <c r="S440" s="4">
        <v>0</v>
      </c>
      <c r="T440" s="4">
        <v>41</v>
      </c>
      <c r="U440" s="4">
        <v>85</v>
      </c>
      <c r="V440" s="6">
        <f>IF(ISERROR(VLOOKUP($S$440,'TAR FIN'!$A$1:$O$115,15,0)),0,VLOOKUP($S$440,'TAR FIN'!$A$1:$O$115,15,0))</f>
        <v>0</v>
      </c>
      <c r="W440" s="6">
        <f>IF(ISERROR(VLOOKUP($T$440,'TAR FIN'!$A$1:$O$115,15,0)),0,VLOOKUP($T$440,'TAR FIN'!$A$1:$O$115,15,0))</f>
        <v>242.47</v>
      </c>
      <c r="X440" s="6">
        <f>IF(ISERROR(VLOOKUP($U$440,'TAR FIN'!$A$1:$O$115,15,0)),0,VLOOKUP($U$440,'TAR FIN'!$A$1:$O$115,15,0))</f>
        <v>105.95</v>
      </c>
      <c r="Y440" s="6"/>
      <c r="Z440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40" s="6">
        <f>('TE BE'!$AB$22+'TE BF'!$AB$22+'TE CVA'!$AB$22)*(1-CUSTOS!$M$35)</f>
        <v>138.40918466435005</v>
      </c>
      <c r="AB440" s="6">
        <f t="shared" si="22"/>
        <v>0</v>
      </c>
      <c r="AC440" s="6">
        <f>(L440-M440)*(W440+X440)+($W$522+$X$522-$W$440-$X$440)*(L440)</f>
        <v>382049.96296000003</v>
      </c>
      <c r="AD440" s="6">
        <f t="shared" si="23"/>
        <v>0</v>
      </c>
      <c r="AE440" s="6">
        <f ca="1">(L440-M440)*(Z440+AA440)+($Z$522+$AA$522-$Z$440-$AA$440)*(L440)</f>
        <v>428206.43840088014</v>
      </c>
      <c r="AF440" s="4" t="s">
        <v>938</v>
      </c>
    </row>
    <row r="441" spans="1:32" ht="11.25" customHeight="1" x14ac:dyDescent="0.25">
      <c r="A441" s="4" t="s">
        <v>29</v>
      </c>
      <c r="B441" s="4" t="s">
        <v>22</v>
      </c>
      <c r="C441" s="4" t="s">
        <v>23</v>
      </c>
      <c r="D441" s="4" t="s">
        <v>24</v>
      </c>
      <c r="E441" s="4" t="s">
        <v>32</v>
      </c>
      <c r="F441" s="4" t="s">
        <v>25</v>
      </c>
      <c r="G441" s="4" t="s">
        <v>25</v>
      </c>
      <c r="H441" s="4" t="s">
        <v>25</v>
      </c>
      <c r="I441" s="5">
        <v>44774</v>
      </c>
      <c r="J441" s="6">
        <v>0</v>
      </c>
      <c r="K441" s="6">
        <v>0</v>
      </c>
      <c r="L441" s="6">
        <v>-1.8680000000000001</v>
      </c>
      <c r="M441" s="6">
        <v>-1.8680000000000001</v>
      </c>
      <c r="N441" s="6">
        <v>-1.8680000000000001</v>
      </c>
      <c r="O441" s="6">
        <v>-1.8680000000000001</v>
      </c>
      <c r="P441" s="6">
        <v>-14</v>
      </c>
      <c r="Q441" s="4" t="s">
        <v>26</v>
      </c>
      <c r="R441" s="4">
        <v>0</v>
      </c>
      <c r="S441" s="4">
        <v>0</v>
      </c>
      <c r="T441" s="4">
        <v>41</v>
      </c>
      <c r="U441" s="4">
        <v>85</v>
      </c>
      <c r="V441" s="6">
        <f>IF(ISERROR(VLOOKUP($S$441,'TAR FIN'!$A$1:$O$115,15,0)),0,VLOOKUP($S$441,'TAR FIN'!$A$1:$O$115,15,0))</f>
        <v>0</v>
      </c>
      <c r="W441" s="6">
        <f>IF(ISERROR(VLOOKUP($T$441,'TAR FIN'!$A$1:$O$115,15,0)),0,VLOOKUP($T$441,'TAR FIN'!$A$1:$O$115,15,0))</f>
        <v>242.47</v>
      </c>
      <c r="X441" s="6">
        <f>IF(ISERROR(VLOOKUP($U$441,'TAR FIN'!$A$1:$O$115,15,0)),0,VLOOKUP($U$441,'TAR FIN'!$A$1:$O$115,15,0))</f>
        <v>105.95</v>
      </c>
      <c r="Y441" s="6"/>
      <c r="Z441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41" s="6">
        <f>('TE BE'!$AB$22+'TE BF'!$AB$22+'TE CVA'!$AB$22)*(1-CUSTOS!$M$35)</f>
        <v>138.40918466435005</v>
      </c>
      <c r="AB441" s="6">
        <f t="shared" si="22"/>
        <v>0</v>
      </c>
      <c r="AC441" s="6">
        <f>(L441-M441)*(W441+X441)+($W$522+$X$522-$W$441-$X$441)*(L441)</f>
        <v>-433.89904000000007</v>
      </c>
      <c r="AD441" s="6">
        <f t="shared" si="23"/>
        <v>0</v>
      </c>
      <c r="AE441" s="6">
        <f ca="1">(L441-M441)*(Z441+AA441)+($Z$522+$AA$522-$Z$441-$AA$441)*(L441)</f>
        <v>-486.3195407858575</v>
      </c>
      <c r="AF441" s="4" t="s">
        <v>938</v>
      </c>
    </row>
    <row r="442" spans="1:32" ht="11.25" customHeight="1" x14ac:dyDescent="0.25">
      <c r="A442" s="4" t="s">
        <v>30</v>
      </c>
      <c r="B442" s="4" t="s">
        <v>22</v>
      </c>
      <c r="C442" s="4" t="s">
        <v>23</v>
      </c>
      <c r="D442" s="4" t="s">
        <v>24</v>
      </c>
      <c r="E442" s="4" t="s">
        <v>32</v>
      </c>
      <c r="F442" s="4" t="s">
        <v>25</v>
      </c>
      <c r="G442" s="4" t="s">
        <v>25</v>
      </c>
      <c r="H442" s="4" t="s">
        <v>25</v>
      </c>
      <c r="I442" s="5">
        <v>44774</v>
      </c>
      <c r="J442" s="6">
        <v>0</v>
      </c>
      <c r="K442" s="6">
        <v>0</v>
      </c>
      <c r="L442" s="6">
        <v>2.0299999999999998</v>
      </c>
      <c r="M442" s="6">
        <v>2.0299999999999998</v>
      </c>
      <c r="N442" s="6">
        <v>2.0299999999999998</v>
      </c>
      <c r="O442" s="6">
        <v>2.0299999999999998</v>
      </c>
      <c r="P442" s="6">
        <v>0</v>
      </c>
      <c r="Q442" s="4" t="s">
        <v>26</v>
      </c>
      <c r="R442" s="4">
        <v>0</v>
      </c>
      <c r="S442" s="4">
        <v>0</v>
      </c>
      <c r="T442" s="4">
        <v>41</v>
      </c>
      <c r="U442" s="4">
        <v>85</v>
      </c>
      <c r="V442" s="6">
        <f>IF(ISERROR(VLOOKUP($S$442,'TAR FIN'!$A$1:$O$115,15,0)),0,VLOOKUP($S$442,'TAR FIN'!$A$1:$O$115,15,0))</f>
        <v>0</v>
      </c>
      <c r="W442" s="6">
        <f>IF(ISERROR(VLOOKUP($T$442,'TAR FIN'!$A$1:$O$115,15,0)),0,VLOOKUP($T$442,'TAR FIN'!$A$1:$O$115,15,0))</f>
        <v>242.47</v>
      </c>
      <c r="X442" s="6">
        <f>IF(ISERROR(VLOOKUP($U$442,'TAR FIN'!$A$1:$O$115,15,0)),0,VLOOKUP($U$442,'TAR FIN'!$A$1:$O$115,15,0))</f>
        <v>105.95</v>
      </c>
      <c r="Y442" s="6"/>
      <c r="Z442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42" s="6">
        <f>('TE BE'!$AB$22+'TE BF'!$AB$22+'TE CVA'!$AB$22)*(1-CUSTOS!$M$35)</f>
        <v>138.40918466435005</v>
      </c>
      <c r="AB442" s="6">
        <f t="shared" si="22"/>
        <v>0</v>
      </c>
      <c r="AC442" s="6">
        <f>(L442-M442)*(W442+X442)+($W$522+$X$522-$W$442-$X$442)*(L442)</f>
        <v>471.52840000000003</v>
      </c>
      <c r="AD442" s="6">
        <f t="shared" si="23"/>
        <v>0</v>
      </c>
      <c r="AE442" s="6">
        <f ca="1">(L442-M442)*(Z442+AA442)+($Z$522+$AA$522-$Z$442-$AA$442)*(L442)</f>
        <v>528.49500417306774</v>
      </c>
      <c r="AF442" s="4" t="s">
        <v>938</v>
      </c>
    </row>
    <row r="443" spans="1:32" ht="11.25" customHeight="1" x14ac:dyDescent="0.25">
      <c r="A443" s="4" t="s">
        <v>30</v>
      </c>
      <c r="B443" s="4" t="s">
        <v>22</v>
      </c>
      <c r="C443" s="4" t="s">
        <v>23</v>
      </c>
      <c r="D443" s="4" t="s">
        <v>24</v>
      </c>
      <c r="E443" s="4" t="s">
        <v>32</v>
      </c>
      <c r="F443" s="4" t="s">
        <v>25</v>
      </c>
      <c r="G443" s="4" t="s">
        <v>25</v>
      </c>
      <c r="H443" s="4" t="s">
        <v>25</v>
      </c>
      <c r="I443" s="5">
        <v>44774</v>
      </c>
      <c r="J443" s="6">
        <v>0</v>
      </c>
      <c r="K443" s="6">
        <v>0</v>
      </c>
      <c r="L443" s="6">
        <v>-0.02</v>
      </c>
      <c r="M443" s="6">
        <v>-0.02</v>
      </c>
      <c r="N443" s="6">
        <v>-0.02</v>
      </c>
      <c r="O443" s="6">
        <v>-0.02</v>
      </c>
      <c r="P443" s="6">
        <v>0</v>
      </c>
      <c r="Q443" s="4" t="s">
        <v>26</v>
      </c>
      <c r="R443" s="4">
        <v>0</v>
      </c>
      <c r="S443" s="4">
        <v>0</v>
      </c>
      <c r="T443" s="4">
        <v>41</v>
      </c>
      <c r="U443" s="4">
        <v>85</v>
      </c>
      <c r="V443" s="6">
        <f>IF(ISERROR(VLOOKUP($S$443,'TAR FIN'!$A$1:$O$115,15,0)),0,VLOOKUP($S$443,'TAR FIN'!$A$1:$O$115,15,0))</f>
        <v>0</v>
      </c>
      <c r="W443" s="6">
        <f>IF(ISERROR(VLOOKUP($T$443,'TAR FIN'!$A$1:$O$115,15,0)),0,VLOOKUP($T$443,'TAR FIN'!$A$1:$O$115,15,0))</f>
        <v>242.47</v>
      </c>
      <c r="X443" s="6">
        <f>IF(ISERROR(VLOOKUP($U$443,'TAR FIN'!$A$1:$O$115,15,0)),0,VLOOKUP($U$443,'TAR FIN'!$A$1:$O$115,15,0))</f>
        <v>105.95</v>
      </c>
      <c r="Y443" s="6"/>
      <c r="Z443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43" s="6">
        <f>('TE BE'!$AB$22+'TE BF'!$AB$22+'TE CVA'!$AB$22)*(1-CUSTOS!$M$35)</f>
        <v>138.40918466435005</v>
      </c>
      <c r="AB443" s="6">
        <f t="shared" si="22"/>
        <v>0</v>
      </c>
      <c r="AC443" s="6">
        <f>(L443-M443)*(W443+X443)+($W$522+$X$522-$W$443-$X$443)*(L443)</f>
        <v>-4.6456000000000008</v>
      </c>
      <c r="AD443" s="6">
        <f t="shared" si="23"/>
        <v>0</v>
      </c>
      <c r="AE443" s="6">
        <f ca="1">(L443-M443)*(Z443+AA443)+($Z$522+$AA$522-$Z$443-$AA$443)*(L443)</f>
        <v>-5.2068473317543624</v>
      </c>
      <c r="AF443" s="4" t="s">
        <v>938</v>
      </c>
    </row>
    <row r="444" spans="1:32" ht="11.25" customHeight="1" x14ac:dyDescent="0.25">
      <c r="A444" s="4" t="s">
        <v>21</v>
      </c>
      <c r="B444" s="4" t="s">
        <v>22</v>
      </c>
      <c r="C444" s="4" t="s">
        <v>23</v>
      </c>
      <c r="D444" s="4" t="s">
        <v>24</v>
      </c>
      <c r="E444" s="4" t="s">
        <v>32</v>
      </c>
      <c r="F444" s="4" t="s">
        <v>25</v>
      </c>
      <c r="G444" s="4" t="s">
        <v>25</v>
      </c>
      <c r="H444" s="4" t="s">
        <v>25</v>
      </c>
      <c r="I444" s="5">
        <v>44805</v>
      </c>
      <c r="J444" s="6">
        <v>0</v>
      </c>
      <c r="K444" s="6">
        <v>0</v>
      </c>
      <c r="L444" s="6">
        <v>2698.616</v>
      </c>
      <c r="M444" s="6">
        <v>2698.616</v>
      </c>
      <c r="N444" s="6">
        <v>2698.616</v>
      </c>
      <c r="O444" s="6">
        <v>2698.616</v>
      </c>
      <c r="P444" s="6">
        <v>10741</v>
      </c>
      <c r="Q444" s="4" t="s">
        <v>26</v>
      </c>
      <c r="R444" s="4">
        <v>0</v>
      </c>
      <c r="S444" s="4">
        <v>0</v>
      </c>
      <c r="T444" s="4">
        <v>41</v>
      </c>
      <c r="U444" s="4">
        <v>85</v>
      </c>
      <c r="V444" s="6">
        <f>IF(ISERROR(VLOOKUP($S$444,'TAR FIN'!$A$1:$O$115,15,0)),0,VLOOKUP($S$444,'TAR FIN'!$A$1:$O$115,15,0))</f>
        <v>0</v>
      </c>
      <c r="W444" s="6">
        <f>IF(ISERROR(VLOOKUP($T$444,'TAR FIN'!$A$1:$O$115,15,0)),0,VLOOKUP($T$444,'TAR FIN'!$A$1:$O$115,15,0))</f>
        <v>242.47</v>
      </c>
      <c r="X444" s="6">
        <f>IF(ISERROR(VLOOKUP($U$444,'TAR FIN'!$A$1:$O$115,15,0)),0,VLOOKUP($U$444,'TAR FIN'!$A$1:$O$115,15,0))</f>
        <v>105.95</v>
      </c>
      <c r="Y444" s="6"/>
      <c r="Z444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44" s="6">
        <f>('TE BE'!$AB$22+'TE BF'!$AB$22+'TE CVA'!$AB$22)*(1-CUSTOS!$M$35)</f>
        <v>138.40918466435005</v>
      </c>
      <c r="AB444" s="6">
        <f t="shared" si="22"/>
        <v>0</v>
      </c>
      <c r="AC444" s="6">
        <f>(L444-M444)*(W444+X444)+($W$522+$X$522-$W$444-$X$444)*(L444)</f>
        <v>626834.52448000002</v>
      </c>
      <c r="AD444" s="6">
        <f t="shared" si="23"/>
        <v>0</v>
      </c>
      <c r="AE444" s="6">
        <f ca="1">(L444-M444)*(Z444+AA444)+($Z$522+$AA$522-$Z$444-$AA$444)*(L444)</f>
        <v>702564.07595148147</v>
      </c>
      <c r="AF444" s="4" t="s">
        <v>938</v>
      </c>
    </row>
    <row r="445" spans="1:32" ht="11.25" customHeight="1" x14ac:dyDescent="0.25">
      <c r="A445" s="4" t="s">
        <v>27</v>
      </c>
      <c r="B445" s="4" t="s">
        <v>22</v>
      </c>
      <c r="C445" s="4" t="s">
        <v>23</v>
      </c>
      <c r="D445" s="4" t="s">
        <v>24</v>
      </c>
      <c r="E445" s="4" t="s">
        <v>32</v>
      </c>
      <c r="F445" s="4" t="s">
        <v>25</v>
      </c>
      <c r="G445" s="4" t="s">
        <v>25</v>
      </c>
      <c r="H445" s="4" t="s">
        <v>25</v>
      </c>
      <c r="I445" s="5">
        <v>44805</v>
      </c>
      <c r="J445" s="6">
        <v>0</v>
      </c>
      <c r="K445" s="6">
        <v>0</v>
      </c>
      <c r="L445" s="6">
        <v>-4.7080000000000002</v>
      </c>
      <c r="M445" s="6">
        <v>-4.7080000000000002</v>
      </c>
      <c r="N445" s="6">
        <v>-4.7080000000000002</v>
      </c>
      <c r="O445" s="6">
        <v>-4.7080000000000002</v>
      </c>
      <c r="P445" s="6">
        <v>0</v>
      </c>
      <c r="Q445" s="4" t="s">
        <v>26</v>
      </c>
      <c r="R445" s="4">
        <v>0</v>
      </c>
      <c r="S445" s="4">
        <v>0</v>
      </c>
      <c r="T445" s="4">
        <v>41</v>
      </c>
      <c r="U445" s="4">
        <v>85</v>
      </c>
      <c r="V445" s="6">
        <f>IF(ISERROR(VLOOKUP($S$445,'TAR FIN'!$A$1:$O$115,15,0)),0,VLOOKUP($S$445,'TAR FIN'!$A$1:$O$115,15,0))</f>
        <v>0</v>
      </c>
      <c r="W445" s="6">
        <f>IF(ISERROR(VLOOKUP($T$445,'TAR FIN'!$A$1:$O$115,15,0)),0,VLOOKUP($T$445,'TAR FIN'!$A$1:$O$115,15,0))</f>
        <v>242.47</v>
      </c>
      <c r="X445" s="6">
        <f>IF(ISERROR(VLOOKUP($U$445,'TAR FIN'!$A$1:$O$115,15,0)),0,VLOOKUP($U$445,'TAR FIN'!$A$1:$O$115,15,0))</f>
        <v>105.95</v>
      </c>
      <c r="Y445" s="6"/>
      <c r="Z445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45" s="6">
        <f>('TE BE'!$AB$22+'TE BF'!$AB$22+'TE CVA'!$AB$22)*(1-CUSTOS!$M$35)</f>
        <v>138.40918466435005</v>
      </c>
      <c r="AB445" s="6">
        <f t="shared" si="22"/>
        <v>0</v>
      </c>
      <c r="AC445" s="6">
        <f>(L445-M445)*(W445+X445)+($W$522+$X$522-$W$445-$X$445)*(L445)</f>
        <v>-1093.5742400000001</v>
      </c>
      <c r="AD445" s="6">
        <f t="shared" si="23"/>
        <v>0</v>
      </c>
      <c r="AE445" s="6">
        <f ca="1">(L445-M445)*(Z445+AA445)+($Z$522+$AA$522-$Z$445-$AA$445)*(L445)</f>
        <v>-1225.6918618949769</v>
      </c>
      <c r="AF445" s="4" t="s">
        <v>938</v>
      </c>
    </row>
    <row r="446" spans="1:32" ht="11.25" customHeight="1" x14ac:dyDescent="0.25">
      <c r="A446" s="4" t="s">
        <v>28</v>
      </c>
      <c r="B446" s="4" t="s">
        <v>22</v>
      </c>
      <c r="C446" s="4" t="s">
        <v>23</v>
      </c>
      <c r="D446" s="4" t="s">
        <v>24</v>
      </c>
      <c r="E446" s="4" t="s">
        <v>32</v>
      </c>
      <c r="F446" s="4" t="s">
        <v>25</v>
      </c>
      <c r="G446" s="4" t="s">
        <v>25</v>
      </c>
      <c r="H446" s="4" t="s">
        <v>25</v>
      </c>
      <c r="I446" s="5">
        <v>44805</v>
      </c>
      <c r="J446" s="6">
        <v>0</v>
      </c>
      <c r="K446" s="6">
        <v>0</v>
      </c>
      <c r="L446" s="6">
        <v>1204.258</v>
      </c>
      <c r="M446" s="6">
        <v>1204.258</v>
      </c>
      <c r="N446" s="6">
        <v>1204.258</v>
      </c>
      <c r="O446" s="6">
        <v>1204.258</v>
      </c>
      <c r="P446" s="6">
        <v>7781</v>
      </c>
      <c r="Q446" s="4" t="s">
        <v>26</v>
      </c>
      <c r="R446" s="4">
        <v>0</v>
      </c>
      <c r="S446" s="4">
        <v>0</v>
      </c>
      <c r="T446" s="4">
        <v>41</v>
      </c>
      <c r="U446" s="4">
        <v>85</v>
      </c>
      <c r="V446" s="6">
        <f>IF(ISERROR(VLOOKUP($S$446,'TAR FIN'!$A$1:$O$115,15,0)),0,VLOOKUP($S$446,'TAR FIN'!$A$1:$O$115,15,0))</f>
        <v>0</v>
      </c>
      <c r="W446" s="6">
        <f>IF(ISERROR(VLOOKUP($T$446,'TAR FIN'!$A$1:$O$115,15,0)),0,VLOOKUP($T$446,'TAR FIN'!$A$1:$O$115,15,0))</f>
        <v>242.47</v>
      </c>
      <c r="X446" s="6">
        <f>IF(ISERROR(VLOOKUP($U$446,'TAR FIN'!$A$1:$O$115,15,0)),0,VLOOKUP($U$446,'TAR FIN'!$A$1:$O$115,15,0))</f>
        <v>105.95</v>
      </c>
      <c r="Y446" s="6"/>
      <c r="Z446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46" s="6">
        <f>('TE BE'!$AB$22+'TE BF'!$AB$22+'TE CVA'!$AB$22)*(1-CUSTOS!$M$35)</f>
        <v>138.40918466435005</v>
      </c>
      <c r="AB446" s="6">
        <f t="shared" si="22"/>
        <v>0</v>
      </c>
      <c r="AC446" s="6">
        <f>(L446-M446)*(W446+X446)+($W$522+$X$522-$W$446-$X$446)*(L446)</f>
        <v>279725.04824000003</v>
      </c>
      <c r="AD446" s="6">
        <f t="shared" si="23"/>
        <v>0</v>
      </c>
      <c r="AE446" s="6">
        <f ca="1">(L446-M446)*(Z446+AA446)+($Z$522+$AA$522-$Z$446-$AA$446)*(L446)</f>
        <v>313519.37770219223</v>
      </c>
      <c r="AF446" s="4" t="s">
        <v>938</v>
      </c>
    </row>
    <row r="447" spans="1:32" ht="11.25" customHeight="1" x14ac:dyDescent="0.25">
      <c r="A447" s="4" t="s">
        <v>29</v>
      </c>
      <c r="B447" s="4" t="s">
        <v>22</v>
      </c>
      <c r="C447" s="4" t="s">
        <v>23</v>
      </c>
      <c r="D447" s="4" t="s">
        <v>24</v>
      </c>
      <c r="E447" s="4" t="s">
        <v>32</v>
      </c>
      <c r="F447" s="4" t="s">
        <v>25</v>
      </c>
      <c r="G447" s="4" t="s">
        <v>25</v>
      </c>
      <c r="H447" s="4" t="s">
        <v>25</v>
      </c>
      <c r="I447" s="5">
        <v>44805</v>
      </c>
      <c r="J447" s="6">
        <v>0</v>
      </c>
      <c r="K447" s="6">
        <v>0</v>
      </c>
      <c r="L447" s="6">
        <v>-0.36</v>
      </c>
      <c r="M447" s="6">
        <v>-0.36</v>
      </c>
      <c r="N447" s="6">
        <v>-0.36</v>
      </c>
      <c r="O447" s="6">
        <v>-0.36</v>
      </c>
      <c r="P447" s="6">
        <v>-4</v>
      </c>
      <c r="Q447" s="4" t="s">
        <v>26</v>
      </c>
      <c r="R447" s="4">
        <v>0</v>
      </c>
      <c r="S447" s="4">
        <v>0</v>
      </c>
      <c r="T447" s="4">
        <v>41</v>
      </c>
      <c r="U447" s="4">
        <v>85</v>
      </c>
      <c r="V447" s="6">
        <f>IF(ISERROR(VLOOKUP($S$447,'TAR FIN'!$A$1:$O$115,15,0)),0,VLOOKUP($S$447,'TAR FIN'!$A$1:$O$115,15,0))</f>
        <v>0</v>
      </c>
      <c r="W447" s="6">
        <f>IF(ISERROR(VLOOKUP($T$447,'TAR FIN'!$A$1:$O$115,15,0)),0,VLOOKUP($T$447,'TAR FIN'!$A$1:$O$115,15,0))</f>
        <v>242.47</v>
      </c>
      <c r="X447" s="6">
        <f>IF(ISERROR(VLOOKUP($U$447,'TAR FIN'!$A$1:$O$115,15,0)),0,VLOOKUP($U$447,'TAR FIN'!$A$1:$O$115,15,0))</f>
        <v>105.95</v>
      </c>
      <c r="Y447" s="6"/>
      <c r="Z447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47" s="6">
        <f>('TE BE'!$AB$22+'TE BF'!$AB$22+'TE CVA'!$AB$22)*(1-CUSTOS!$M$35)</f>
        <v>138.40918466435005</v>
      </c>
      <c r="AB447" s="6">
        <f t="shared" si="22"/>
        <v>0</v>
      </c>
      <c r="AC447" s="6">
        <f>(L447-M447)*(W447+X447)+($W$522+$X$522-$W$447-$X$447)*(L447)</f>
        <v>-83.620800000000003</v>
      </c>
      <c r="AD447" s="6">
        <f t="shared" si="23"/>
        <v>0</v>
      </c>
      <c r="AE447" s="6">
        <f ca="1">(L447-M447)*(Z447+AA447)+($Z$522+$AA$522-$Z$447-$AA$447)*(L447)</f>
        <v>-93.72325197157852</v>
      </c>
      <c r="AF447" s="4" t="s">
        <v>938</v>
      </c>
    </row>
    <row r="448" spans="1:32" ht="11.25" customHeight="1" x14ac:dyDescent="0.25">
      <c r="A448" s="4" t="s">
        <v>30</v>
      </c>
      <c r="B448" s="4" t="s">
        <v>22</v>
      </c>
      <c r="C448" s="4" t="s">
        <v>23</v>
      </c>
      <c r="D448" s="4" t="s">
        <v>24</v>
      </c>
      <c r="E448" s="4" t="s">
        <v>32</v>
      </c>
      <c r="F448" s="4" t="s">
        <v>25</v>
      </c>
      <c r="G448" s="4" t="s">
        <v>25</v>
      </c>
      <c r="H448" s="4" t="s">
        <v>25</v>
      </c>
      <c r="I448" s="5">
        <v>44805</v>
      </c>
      <c r="J448" s="6">
        <v>0</v>
      </c>
      <c r="K448" s="6">
        <v>0</v>
      </c>
      <c r="L448" s="6">
        <v>2.3959999999999999</v>
      </c>
      <c r="M448" s="6">
        <v>2.3959999999999999</v>
      </c>
      <c r="N448" s="6">
        <v>2.3959999999999999</v>
      </c>
      <c r="O448" s="6">
        <v>2.3959999999999999</v>
      </c>
      <c r="P448" s="6">
        <v>2</v>
      </c>
      <c r="Q448" s="4" t="s">
        <v>26</v>
      </c>
      <c r="R448" s="4">
        <v>0</v>
      </c>
      <c r="S448" s="4">
        <v>0</v>
      </c>
      <c r="T448" s="4">
        <v>41</v>
      </c>
      <c r="U448" s="4">
        <v>85</v>
      </c>
      <c r="V448" s="6">
        <f>IF(ISERROR(VLOOKUP($S$448,'TAR FIN'!$A$1:$O$115,15,0)),0,VLOOKUP($S$448,'TAR FIN'!$A$1:$O$115,15,0))</f>
        <v>0</v>
      </c>
      <c r="W448" s="6">
        <f>IF(ISERROR(VLOOKUP($T$448,'TAR FIN'!$A$1:$O$115,15,0)),0,VLOOKUP($T$448,'TAR FIN'!$A$1:$O$115,15,0))</f>
        <v>242.47</v>
      </c>
      <c r="X448" s="6">
        <f>IF(ISERROR(VLOOKUP($U$448,'TAR FIN'!$A$1:$O$115,15,0)),0,VLOOKUP($U$448,'TAR FIN'!$A$1:$O$115,15,0))</f>
        <v>105.95</v>
      </c>
      <c r="Y448" s="6"/>
      <c r="Z448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48" s="6">
        <f>('TE BE'!$AB$22+'TE BF'!$AB$22+'TE CVA'!$AB$22)*(1-CUSTOS!$M$35)</f>
        <v>138.40918466435005</v>
      </c>
      <c r="AB448" s="6">
        <f t="shared" si="22"/>
        <v>0</v>
      </c>
      <c r="AC448" s="6">
        <f>(L448-M448)*(W448+X448)+($W$522+$X$522-$W$448-$X$448)*(L448)</f>
        <v>556.54288000000008</v>
      </c>
      <c r="AD448" s="6">
        <f t="shared" si="23"/>
        <v>0</v>
      </c>
      <c r="AE448" s="6">
        <f ca="1">(L448-M448)*(Z448+AA448)+($Z$522+$AA$522-$Z$448-$AA$448)*(L448)</f>
        <v>623.78031034417256</v>
      </c>
      <c r="AF448" s="4" t="s">
        <v>938</v>
      </c>
    </row>
    <row r="449" spans="1:32" ht="11.25" customHeight="1" x14ac:dyDescent="0.25">
      <c r="A449" s="4" t="s">
        <v>21</v>
      </c>
      <c r="B449" s="4" t="s">
        <v>22</v>
      </c>
      <c r="C449" s="4" t="s">
        <v>23</v>
      </c>
      <c r="D449" s="4" t="s">
        <v>24</v>
      </c>
      <c r="E449" s="4" t="s">
        <v>32</v>
      </c>
      <c r="F449" s="4" t="s">
        <v>25</v>
      </c>
      <c r="G449" s="4" t="s">
        <v>25</v>
      </c>
      <c r="H449" s="4" t="s">
        <v>25</v>
      </c>
      <c r="I449" s="5">
        <v>44835</v>
      </c>
      <c r="J449" s="6">
        <v>0</v>
      </c>
      <c r="K449" s="6">
        <v>0</v>
      </c>
      <c r="L449" s="6">
        <v>2802.288</v>
      </c>
      <c r="M449" s="6">
        <v>2802.288</v>
      </c>
      <c r="N449" s="6">
        <v>2802.288</v>
      </c>
      <c r="O449" s="6">
        <v>2802.288</v>
      </c>
      <c r="P449" s="6">
        <v>9559</v>
      </c>
      <c r="Q449" s="4" t="s">
        <v>26</v>
      </c>
      <c r="R449" s="4">
        <v>0</v>
      </c>
      <c r="S449" s="4">
        <v>0</v>
      </c>
      <c r="T449" s="4">
        <v>41</v>
      </c>
      <c r="U449" s="4">
        <v>85</v>
      </c>
      <c r="V449" s="6">
        <f>IF(ISERROR(VLOOKUP($S$449,'TAR FIN'!$A$1:$O$115,15,0)),0,VLOOKUP($S$449,'TAR FIN'!$A$1:$O$115,15,0))</f>
        <v>0</v>
      </c>
      <c r="W449" s="6">
        <f>IF(ISERROR(VLOOKUP($T$449,'TAR FIN'!$A$1:$O$115,15,0)),0,VLOOKUP($T$449,'TAR FIN'!$A$1:$O$115,15,0))</f>
        <v>242.47</v>
      </c>
      <c r="X449" s="6">
        <f>IF(ISERROR(VLOOKUP($U$449,'TAR FIN'!$A$1:$O$115,15,0)),0,VLOOKUP($U$449,'TAR FIN'!$A$1:$O$115,15,0))</f>
        <v>105.95</v>
      </c>
      <c r="Y449" s="6"/>
      <c r="Z449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49" s="6">
        <f>('TE BE'!$AB$22+'TE BF'!$AB$22+'TE CVA'!$AB$22)*(1-CUSTOS!$M$35)</f>
        <v>138.40918466435005</v>
      </c>
      <c r="AB449" s="6">
        <f t="shared" si="22"/>
        <v>0</v>
      </c>
      <c r="AC449" s="6">
        <f>(L449-M449)*(W449+X449)+($W$522+$X$522-$W$449-$X$449)*(L449)</f>
        <v>650915.45664000011</v>
      </c>
      <c r="AD449" s="6">
        <f t="shared" si="23"/>
        <v>0</v>
      </c>
      <c r="AE449" s="6">
        <f ca="1">(L449-M449)*(Z449+AA449)+($Z$522+$AA$522-$Z$449-$AA$449)*(L449)</f>
        <v>729554.28978036344</v>
      </c>
      <c r="AF449" s="4" t="s">
        <v>938</v>
      </c>
    </row>
    <row r="450" spans="1:32" ht="11.25" customHeight="1" x14ac:dyDescent="0.25">
      <c r="A450" s="4" t="s">
        <v>27</v>
      </c>
      <c r="B450" s="4" t="s">
        <v>22</v>
      </c>
      <c r="C450" s="4" t="s">
        <v>23</v>
      </c>
      <c r="D450" s="4" t="s">
        <v>24</v>
      </c>
      <c r="E450" s="4" t="s">
        <v>32</v>
      </c>
      <c r="F450" s="4" t="s">
        <v>25</v>
      </c>
      <c r="G450" s="4" t="s">
        <v>25</v>
      </c>
      <c r="H450" s="4" t="s">
        <v>25</v>
      </c>
      <c r="I450" s="5">
        <v>44835</v>
      </c>
      <c r="J450" s="6">
        <v>0</v>
      </c>
      <c r="K450" s="6">
        <v>0</v>
      </c>
      <c r="L450" s="6">
        <v>-7.4139999999999997</v>
      </c>
      <c r="M450" s="6">
        <v>-7.4139999999999997</v>
      </c>
      <c r="N450" s="6">
        <v>-7.4139999999999997</v>
      </c>
      <c r="O450" s="6">
        <v>-7.4139999999999997</v>
      </c>
      <c r="P450" s="6">
        <v>-3</v>
      </c>
      <c r="Q450" s="4" t="s">
        <v>26</v>
      </c>
      <c r="R450" s="4">
        <v>0</v>
      </c>
      <c r="S450" s="4">
        <v>0</v>
      </c>
      <c r="T450" s="4">
        <v>41</v>
      </c>
      <c r="U450" s="4">
        <v>85</v>
      </c>
      <c r="V450" s="6">
        <f>IF(ISERROR(VLOOKUP($S$450,'TAR FIN'!$A$1:$O$115,15,0)),0,VLOOKUP($S$450,'TAR FIN'!$A$1:$O$115,15,0))</f>
        <v>0</v>
      </c>
      <c r="W450" s="6">
        <f>IF(ISERROR(VLOOKUP($T$450,'TAR FIN'!$A$1:$O$115,15,0)),0,VLOOKUP($T$450,'TAR FIN'!$A$1:$O$115,15,0))</f>
        <v>242.47</v>
      </c>
      <c r="X450" s="6">
        <f>IF(ISERROR(VLOOKUP($U$450,'TAR FIN'!$A$1:$O$115,15,0)),0,VLOOKUP($U$450,'TAR FIN'!$A$1:$O$115,15,0))</f>
        <v>105.95</v>
      </c>
      <c r="Y450" s="6"/>
      <c r="Z450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50" s="6">
        <f>('TE BE'!$AB$22+'TE BF'!$AB$22+'TE CVA'!$AB$22)*(1-CUSTOS!$M$35)</f>
        <v>138.40918466435005</v>
      </c>
      <c r="AB450" s="6">
        <f t="shared" ref="AB450:AB513" si="24">(J450-K450)*V450</f>
        <v>0</v>
      </c>
      <c r="AC450" s="6">
        <f>(L450-M450)*(W450+X450)+($W$522+$X$522-$W$450-$X$450)*(L450)</f>
        <v>-1722.1239200000002</v>
      </c>
      <c r="AD450" s="6">
        <f t="shared" ref="AD450:AD513" si="25">(J450-K450)*Y450</f>
        <v>0</v>
      </c>
      <c r="AE450" s="6">
        <f ca="1">(L450-M450)*(Z450+AA450)+($Z$522+$AA$522-$Z$450-$AA$450)*(L450)</f>
        <v>-1930.1783058813421</v>
      </c>
      <c r="AF450" s="4" t="s">
        <v>938</v>
      </c>
    </row>
    <row r="451" spans="1:32" ht="11.25" customHeight="1" x14ac:dyDescent="0.25">
      <c r="A451" s="4" t="s">
        <v>28</v>
      </c>
      <c r="B451" s="4" t="s">
        <v>22</v>
      </c>
      <c r="C451" s="4" t="s">
        <v>23</v>
      </c>
      <c r="D451" s="4" t="s">
        <v>24</v>
      </c>
      <c r="E451" s="4" t="s">
        <v>32</v>
      </c>
      <c r="F451" s="4" t="s">
        <v>25</v>
      </c>
      <c r="G451" s="4" t="s">
        <v>25</v>
      </c>
      <c r="H451" s="4" t="s">
        <v>25</v>
      </c>
      <c r="I451" s="5">
        <v>44835</v>
      </c>
      <c r="J451" s="6">
        <v>0</v>
      </c>
      <c r="K451" s="6">
        <v>0</v>
      </c>
      <c r="L451" s="6">
        <v>1254.0550000000001</v>
      </c>
      <c r="M451" s="6">
        <v>1254.0550000000001</v>
      </c>
      <c r="N451" s="6">
        <v>1254.0550000000001</v>
      </c>
      <c r="O451" s="6">
        <v>1254.0550000000001</v>
      </c>
      <c r="P451" s="6">
        <v>7651</v>
      </c>
      <c r="Q451" s="4" t="s">
        <v>26</v>
      </c>
      <c r="R451" s="4">
        <v>0</v>
      </c>
      <c r="S451" s="4">
        <v>0</v>
      </c>
      <c r="T451" s="4">
        <v>41</v>
      </c>
      <c r="U451" s="4">
        <v>85</v>
      </c>
      <c r="V451" s="6">
        <f>IF(ISERROR(VLOOKUP($S$451,'TAR FIN'!$A$1:$O$115,15,0)),0,VLOOKUP($S$451,'TAR FIN'!$A$1:$O$115,15,0))</f>
        <v>0</v>
      </c>
      <c r="W451" s="6">
        <f>IF(ISERROR(VLOOKUP($T$451,'TAR FIN'!$A$1:$O$115,15,0)),0,VLOOKUP($T$451,'TAR FIN'!$A$1:$O$115,15,0))</f>
        <v>242.47</v>
      </c>
      <c r="X451" s="6">
        <f>IF(ISERROR(VLOOKUP($U$451,'TAR FIN'!$A$1:$O$115,15,0)),0,VLOOKUP($U$451,'TAR FIN'!$A$1:$O$115,15,0))</f>
        <v>105.95</v>
      </c>
      <c r="Y451" s="6"/>
      <c r="Z451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51" s="6">
        <f>('TE BE'!$AB$22+'TE BF'!$AB$22+'TE CVA'!$AB$22)*(1-CUSTOS!$M$35)</f>
        <v>138.40918466435005</v>
      </c>
      <c r="AB451" s="6">
        <f t="shared" si="24"/>
        <v>0</v>
      </c>
      <c r="AC451" s="6">
        <f>(L451-M451)*(W451+X451)+($W$522+$X$522-$W$451-$X$451)*(L451)</f>
        <v>291291.89540000004</v>
      </c>
      <c r="AD451" s="6">
        <f t="shared" si="25"/>
        <v>0</v>
      </c>
      <c r="AE451" s="6">
        <f ca="1">(L451-M451)*(Z451+AA451)+($Z$522+$AA$522-$Z$451-$AA$451)*(L451)</f>
        <v>326483.64653116086</v>
      </c>
      <c r="AF451" s="4" t="s">
        <v>938</v>
      </c>
    </row>
    <row r="452" spans="1:32" ht="11.25" customHeight="1" x14ac:dyDescent="0.25">
      <c r="A452" s="4" t="s">
        <v>29</v>
      </c>
      <c r="B452" s="4" t="s">
        <v>22</v>
      </c>
      <c r="C452" s="4" t="s">
        <v>23</v>
      </c>
      <c r="D452" s="4" t="s">
        <v>24</v>
      </c>
      <c r="E452" s="4" t="s">
        <v>32</v>
      </c>
      <c r="F452" s="4" t="s">
        <v>25</v>
      </c>
      <c r="G452" s="4" t="s">
        <v>25</v>
      </c>
      <c r="H452" s="4" t="s">
        <v>25</v>
      </c>
      <c r="I452" s="5">
        <v>44835</v>
      </c>
      <c r="J452" s="6">
        <v>0</v>
      </c>
      <c r="K452" s="6">
        <v>0</v>
      </c>
      <c r="L452" s="6">
        <v>-3.7069999999999999</v>
      </c>
      <c r="M452" s="6">
        <v>-3.7069999999999999</v>
      </c>
      <c r="N452" s="6">
        <v>-3.7069999999999999</v>
      </c>
      <c r="O452" s="6">
        <v>-3.7069999999999999</v>
      </c>
      <c r="P452" s="6">
        <v>-4</v>
      </c>
      <c r="Q452" s="4" t="s">
        <v>26</v>
      </c>
      <c r="R452" s="4">
        <v>0</v>
      </c>
      <c r="S452" s="4">
        <v>0</v>
      </c>
      <c r="T452" s="4">
        <v>41</v>
      </c>
      <c r="U452" s="4">
        <v>85</v>
      </c>
      <c r="V452" s="6">
        <f>IF(ISERROR(VLOOKUP($S$452,'TAR FIN'!$A$1:$O$115,15,0)),0,VLOOKUP($S$452,'TAR FIN'!$A$1:$O$115,15,0))</f>
        <v>0</v>
      </c>
      <c r="W452" s="6">
        <f>IF(ISERROR(VLOOKUP($T$452,'TAR FIN'!$A$1:$O$115,15,0)),0,VLOOKUP($T$452,'TAR FIN'!$A$1:$O$115,15,0))</f>
        <v>242.47</v>
      </c>
      <c r="X452" s="6">
        <f>IF(ISERROR(VLOOKUP($U$452,'TAR FIN'!$A$1:$O$115,15,0)),0,VLOOKUP($U$452,'TAR FIN'!$A$1:$O$115,15,0))</f>
        <v>105.95</v>
      </c>
      <c r="Y452" s="6"/>
      <c r="Z452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52" s="6">
        <f>('TE BE'!$AB$22+'TE BF'!$AB$22+'TE CVA'!$AB$22)*(1-CUSTOS!$M$35)</f>
        <v>138.40918466435005</v>
      </c>
      <c r="AB452" s="6">
        <f t="shared" si="24"/>
        <v>0</v>
      </c>
      <c r="AC452" s="6">
        <f>(L452-M452)*(W452+X452)+($W$522+$X$522-$W$452-$X$452)*(L452)</f>
        <v>-861.06196000000011</v>
      </c>
      <c r="AD452" s="6">
        <f t="shared" si="25"/>
        <v>0</v>
      </c>
      <c r="AE452" s="6">
        <f ca="1">(L452-M452)*(Z452+AA452)+($Z$522+$AA$522-$Z$452-$AA$452)*(L452)</f>
        <v>-965.08915294067106</v>
      </c>
      <c r="AF452" s="4" t="s">
        <v>938</v>
      </c>
    </row>
    <row r="453" spans="1:32" ht="11.25" customHeight="1" x14ac:dyDescent="0.25">
      <c r="A453" s="4" t="s">
        <v>30</v>
      </c>
      <c r="B453" s="4" t="s">
        <v>22</v>
      </c>
      <c r="C453" s="4" t="s">
        <v>23</v>
      </c>
      <c r="D453" s="4" t="s">
        <v>24</v>
      </c>
      <c r="E453" s="4" t="s">
        <v>32</v>
      </c>
      <c r="F453" s="4" t="s">
        <v>25</v>
      </c>
      <c r="G453" s="4" t="s">
        <v>25</v>
      </c>
      <c r="H453" s="4" t="s">
        <v>25</v>
      </c>
      <c r="I453" s="5">
        <v>44835</v>
      </c>
      <c r="J453" s="6">
        <v>0</v>
      </c>
      <c r="K453" s="6">
        <v>0</v>
      </c>
      <c r="L453" s="6">
        <v>2.5870000000000002</v>
      </c>
      <c r="M453" s="6">
        <v>2.5870000000000002</v>
      </c>
      <c r="N453" s="6">
        <v>2.5870000000000002</v>
      </c>
      <c r="O453" s="6">
        <v>2.5870000000000002</v>
      </c>
      <c r="P453" s="6">
        <v>0</v>
      </c>
      <c r="Q453" s="4" t="s">
        <v>26</v>
      </c>
      <c r="R453" s="4">
        <v>0</v>
      </c>
      <c r="S453" s="4">
        <v>0</v>
      </c>
      <c r="T453" s="4">
        <v>41</v>
      </c>
      <c r="U453" s="4">
        <v>85</v>
      </c>
      <c r="V453" s="6">
        <f>IF(ISERROR(VLOOKUP($S$453,'TAR FIN'!$A$1:$O$115,15,0)),0,VLOOKUP($S$453,'TAR FIN'!$A$1:$O$115,15,0))</f>
        <v>0</v>
      </c>
      <c r="W453" s="6">
        <f>IF(ISERROR(VLOOKUP($T$453,'TAR FIN'!$A$1:$O$115,15,0)),0,VLOOKUP($T$453,'TAR FIN'!$A$1:$O$115,15,0))</f>
        <v>242.47</v>
      </c>
      <c r="X453" s="6">
        <f>IF(ISERROR(VLOOKUP($U$453,'TAR FIN'!$A$1:$O$115,15,0)),0,VLOOKUP($U$453,'TAR FIN'!$A$1:$O$115,15,0))</f>
        <v>105.95</v>
      </c>
      <c r="Y453" s="6"/>
      <c r="Z453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53" s="6">
        <f>('TE BE'!$AB$22+'TE BF'!$AB$22+'TE CVA'!$AB$22)*(1-CUSTOS!$M$35)</f>
        <v>138.40918466435005</v>
      </c>
      <c r="AB453" s="6">
        <f t="shared" si="24"/>
        <v>0</v>
      </c>
      <c r="AC453" s="6">
        <f>(L453-M453)*(W453+X453)+($W$522+$X$522-$W$453-$X$453)*(L453)</f>
        <v>600.90836000000013</v>
      </c>
      <c r="AD453" s="6">
        <f t="shared" si="25"/>
        <v>0</v>
      </c>
      <c r="AE453" s="6">
        <f ca="1">(L453-M453)*(Z453+AA453)+($Z$522+$AA$522-$Z$453-$AA$453)*(L453)</f>
        <v>673.50570236242686</v>
      </c>
      <c r="AF453" s="4" t="s">
        <v>938</v>
      </c>
    </row>
    <row r="454" spans="1:32" ht="11.25" customHeight="1" x14ac:dyDescent="0.25">
      <c r="A454" s="4" t="s">
        <v>59</v>
      </c>
      <c r="B454" s="4" t="s">
        <v>22</v>
      </c>
      <c r="C454" s="4" t="s">
        <v>23</v>
      </c>
      <c r="D454" s="4" t="s">
        <v>24</v>
      </c>
      <c r="E454" s="4" t="s">
        <v>32</v>
      </c>
      <c r="F454" s="4" t="s">
        <v>25</v>
      </c>
      <c r="G454" s="4" t="s">
        <v>25</v>
      </c>
      <c r="H454" s="4" t="s">
        <v>25</v>
      </c>
      <c r="I454" s="5">
        <v>44866</v>
      </c>
      <c r="J454" s="6">
        <v>0</v>
      </c>
      <c r="K454" s="6">
        <v>0</v>
      </c>
      <c r="L454" s="6">
        <v>2802.288</v>
      </c>
      <c r="M454" s="6">
        <v>2802.288</v>
      </c>
      <c r="N454" s="6">
        <v>2802.288</v>
      </c>
      <c r="O454" s="6">
        <v>2802.288</v>
      </c>
      <c r="P454" s="6">
        <v>9559</v>
      </c>
      <c r="Q454" s="4" t="s">
        <v>26</v>
      </c>
      <c r="R454" s="4">
        <v>0</v>
      </c>
      <c r="S454" s="4">
        <v>0</v>
      </c>
      <c r="T454" s="4">
        <v>41</v>
      </c>
      <c r="U454" s="4">
        <v>85</v>
      </c>
      <c r="V454" s="6">
        <f>IF(ISERROR(VLOOKUP($S$454,'TAR FIN'!$A$1:$O$115,15,0)),0,VLOOKUP($S$454,'TAR FIN'!$A$1:$O$115,15,0))</f>
        <v>0</v>
      </c>
      <c r="W454" s="6">
        <f>IF(ISERROR(VLOOKUP($T$454,'TAR FIN'!$A$1:$O$115,15,0)),0,VLOOKUP($T$454,'TAR FIN'!$A$1:$O$115,15,0))</f>
        <v>242.47</v>
      </c>
      <c r="X454" s="6">
        <f>IF(ISERROR(VLOOKUP($U$454,'TAR FIN'!$A$1:$O$115,15,0)),0,VLOOKUP($U$454,'TAR FIN'!$A$1:$O$115,15,0))</f>
        <v>105.95</v>
      </c>
      <c r="Y454" s="6"/>
      <c r="Z454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54" s="6">
        <f>('TE BE'!$AB$22+'TE BF'!$AB$22+'TE CVA'!$AB$22)*(1-CUSTOS!$M$35)</f>
        <v>138.40918466435005</v>
      </c>
      <c r="AB454" s="6">
        <f t="shared" si="24"/>
        <v>0</v>
      </c>
      <c r="AC454" s="6">
        <f>(L454-M454)*(W454+X454)+($W$522+$X$522-$W$454-$X$454)*(L454)</f>
        <v>650915.45664000011</v>
      </c>
      <c r="AD454" s="6">
        <f t="shared" si="25"/>
        <v>0</v>
      </c>
      <c r="AE454" s="6">
        <f ca="1">(L454-M454)*(Z454+AA454)+($Z$522+$AA$522-$Z$454-$AA$454)*(L454)</f>
        <v>729554.28978036344</v>
      </c>
      <c r="AF454" s="4" t="s">
        <v>938</v>
      </c>
    </row>
    <row r="455" spans="1:32" ht="11.25" customHeight="1" x14ac:dyDescent="0.25">
      <c r="A455" s="4" t="s">
        <v>59</v>
      </c>
      <c r="B455" s="4" t="s">
        <v>22</v>
      </c>
      <c r="C455" s="4" t="s">
        <v>23</v>
      </c>
      <c r="D455" s="4" t="s">
        <v>24</v>
      </c>
      <c r="E455" s="4" t="s">
        <v>32</v>
      </c>
      <c r="F455" s="4" t="s">
        <v>25</v>
      </c>
      <c r="G455" s="4" t="s">
        <v>25</v>
      </c>
      <c r="H455" s="4" t="s">
        <v>25</v>
      </c>
      <c r="I455" s="5">
        <v>44866</v>
      </c>
      <c r="J455" s="6">
        <v>0</v>
      </c>
      <c r="K455" s="6">
        <v>0</v>
      </c>
      <c r="L455" s="6">
        <v>-7.4139999999999997</v>
      </c>
      <c r="M455" s="6">
        <v>-7.4139999999999997</v>
      </c>
      <c r="N455" s="6">
        <v>-7.4139999999999997</v>
      </c>
      <c r="O455" s="6">
        <v>-7.4139999999999997</v>
      </c>
      <c r="P455" s="6">
        <v>-3</v>
      </c>
      <c r="Q455" s="4" t="s">
        <v>26</v>
      </c>
      <c r="R455" s="4">
        <v>0</v>
      </c>
      <c r="S455" s="4">
        <v>0</v>
      </c>
      <c r="T455" s="4">
        <v>41</v>
      </c>
      <c r="U455" s="4">
        <v>85</v>
      </c>
      <c r="V455" s="6">
        <f>IF(ISERROR(VLOOKUP($S$455,'TAR FIN'!$A$1:$O$115,15,0)),0,VLOOKUP($S$455,'TAR FIN'!$A$1:$O$115,15,0))</f>
        <v>0</v>
      </c>
      <c r="W455" s="6">
        <f>IF(ISERROR(VLOOKUP($T$455,'TAR FIN'!$A$1:$O$115,15,0)),0,VLOOKUP($T$455,'TAR FIN'!$A$1:$O$115,15,0))</f>
        <v>242.47</v>
      </c>
      <c r="X455" s="6">
        <f>IF(ISERROR(VLOOKUP($U$455,'TAR FIN'!$A$1:$O$115,15,0)),0,VLOOKUP($U$455,'TAR FIN'!$A$1:$O$115,15,0))</f>
        <v>105.95</v>
      </c>
      <c r="Y455" s="6"/>
      <c r="Z455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55" s="6">
        <f>('TE BE'!$AB$22+'TE BF'!$AB$22+'TE CVA'!$AB$22)*(1-CUSTOS!$M$35)</f>
        <v>138.40918466435005</v>
      </c>
      <c r="AB455" s="6">
        <f t="shared" si="24"/>
        <v>0</v>
      </c>
      <c r="AC455" s="6">
        <f>(L455-M455)*(W455+X455)+($W$522+$X$522-$W$455-$X$455)*(L455)</f>
        <v>-1722.1239200000002</v>
      </c>
      <c r="AD455" s="6">
        <f t="shared" si="25"/>
        <v>0</v>
      </c>
      <c r="AE455" s="6">
        <f ca="1">(L455-M455)*(Z455+AA455)+($Z$522+$AA$522-$Z$455-$AA$455)*(L455)</f>
        <v>-1930.1783058813421</v>
      </c>
      <c r="AF455" s="4" t="s">
        <v>938</v>
      </c>
    </row>
    <row r="456" spans="1:32" ht="11.25" customHeight="1" x14ac:dyDescent="0.25">
      <c r="A456" s="4" t="s">
        <v>59</v>
      </c>
      <c r="B456" s="4" t="s">
        <v>22</v>
      </c>
      <c r="C456" s="4" t="s">
        <v>23</v>
      </c>
      <c r="D456" s="4" t="s">
        <v>24</v>
      </c>
      <c r="E456" s="4" t="s">
        <v>32</v>
      </c>
      <c r="F456" s="4" t="s">
        <v>25</v>
      </c>
      <c r="G456" s="4" t="s">
        <v>25</v>
      </c>
      <c r="H456" s="4" t="s">
        <v>25</v>
      </c>
      <c r="I456" s="5">
        <v>44866</v>
      </c>
      <c r="J456" s="6">
        <v>0</v>
      </c>
      <c r="K456" s="6">
        <v>0</v>
      </c>
      <c r="L456" s="6">
        <v>1254.0550000000001</v>
      </c>
      <c r="M456" s="6">
        <v>1254.0550000000001</v>
      </c>
      <c r="N456" s="6">
        <v>1254.0550000000001</v>
      </c>
      <c r="O456" s="6">
        <v>1254.0550000000001</v>
      </c>
      <c r="P456" s="6">
        <v>7651</v>
      </c>
      <c r="Q456" s="4" t="s">
        <v>26</v>
      </c>
      <c r="R456" s="4">
        <v>0</v>
      </c>
      <c r="S456" s="4">
        <v>0</v>
      </c>
      <c r="T456" s="4">
        <v>41</v>
      </c>
      <c r="U456" s="4">
        <v>85</v>
      </c>
      <c r="V456" s="6">
        <f>IF(ISERROR(VLOOKUP($S$456,'TAR FIN'!$A$1:$O$115,15,0)),0,VLOOKUP($S$456,'TAR FIN'!$A$1:$O$115,15,0))</f>
        <v>0</v>
      </c>
      <c r="W456" s="6">
        <f>IF(ISERROR(VLOOKUP($T$456,'TAR FIN'!$A$1:$O$115,15,0)),0,VLOOKUP($T$456,'TAR FIN'!$A$1:$O$115,15,0))</f>
        <v>242.47</v>
      </c>
      <c r="X456" s="6">
        <f>IF(ISERROR(VLOOKUP($U$456,'TAR FIN'!$A$1:$O$115,15,0)),0,VLOOKUP($U$456,'TAR FIN'!$A$1:$O$115,15,0))</f>
        <v>105.95</v>
      </c>
      <c r="Y456" s="6"/>
      <c r="Z456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56" s="6">
        <f>('TE BE'!$AB$22+'TE BF'!$AB$22+'TE CVA'!$AB$22)*(1-CUSTOS!$M$35)</f>
        <v>138.40918466435005</v>
      </c>
      <c r="AB456" s="6">
        <f t="shared" si="24"/>
        <v>0</v>
      </c>
      <c r="AC456" s="6">
        <f>(L456-M456)*(W456+X456)+($W$522+$X$522-$W$456-$X$456)*(L456)</f>
        <v>291291.89540000004</v>
      </c>
      <c r="AD456" s="6">
        <f t="shared" si="25"/>
        <v>0</v>
      </c>
      <c r="AE456" s="6">
        <f ca="1">(L456-M456)*(Z456+AA456)+($Z$522+$AA$522-$Z$456-$AA$456)*(L456)</f>
        <v>326483.64653116086</v>
      </c>
      <c r="AF456" s="4" t="s">
        <v>938</v>
      </c>
    </row>
    <row r="457" spans="1:32" ht="11.25" customHeight="1" x14ac:dyDescent="0.25">
      <c r="A457" s="4" t="s">
        <v>59</v>
      </c>
      <c r="B457" s="4" t="s">
        <v>22</v>
      </c>
      <c r="C457" s="4" t="s">
        <v>23</v>
      </c>
      <c r="D457" s="4" t="s">
        <v>24</v>
      </c>
      <c r="E457" s="4" t="s">
        <v>32</v>
      </c>
      <c r="F457" s="4" t="s">
        <v>25</v>
      </c>
      <c r="G457" s="4" t="s">
        <v>25</v>
      </c>
      <c r="H457" s="4" t="s">
        <v>25</v>
      </c>
      <c r="I457" s="5">
        <v>44866</v>
      </c>
      <c r="J457" s="6">
        <v>0</v>
      </c>
      <c r="K457" s="6">
        <v>0</v>
      </c>
      <c r="L457" s="6">
        <v>-3.7069999999999999</v>
      </c>
      <c r="M457" s="6">
        <v>-3.7069999999999999</v>
      </c>
      <c r="N457" s="6">
        <v>-3.7069999999999999</v>
      </c>
      <c r="O457" s="6">
        <v>-3.7069999999999999</v>
      </c>
      <c r="P457" s="6">
        <v>-4</v>
      </c>
      <c r="Q457" s="4" t="s">
        <v>26</v>
      </c>
      <c r="R457" s="4">
        <v>0</v>
      </c>
      <c r="S457" s="4">
        <v>0</v>
      </c>
      <c r="T457" s="4">
        <v>41</v>
      </c>
      <c r="U457" s="4">
        <v>85</v>
      </c>
      <c r="V457" s="6">
        <f>IF(ISERROR(VLOOKUP($S$457,'TAR FIN'!$A$1:$O$115,15,0)),0,VLOOKUP($S$457,'TAR FIN'!$A$1:$O$115,15,0))</f>
        <v>0</v>
      </c>
      <c r="W457" s="6">
        <f>IF(ISERROR(VLOOKUP($T$457,'TAR FIN'!$A$1:$O$115,15,0)),0,VLOOKUP($T$457,'TAR FIN'!$A$1:$O$115,15,0))</f>
        <v>242.47</v>
      </c>
      <c r="X457" s="6">
        <f>IF(ISERROR(VLOOKUP($U$457,'TAR FIN'!$A$1:$O$115,15,0)),0,VLOOKUP($U$457,'TAR FIN'!$A$1:$O$115,15,0))</f>
        <v>105.95</v>
      </c>
      <c r="Y457" s="6"/>
      <c r="Z457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57" s="6">
        <f>('TE BE'!$AB$22+'TE BF'!$AB$22+'TE CVA'!$AB$22)*(1-CUSTOS!$M$35)</f>
        <v>138.40918466435005</v>
      </c>
      <c r="AB457" s="6">
        <f t="shared" si="24"/>
        <v>0</v>
      </c>
      <c r="AC457" s="6">
        <f>(L457-M457)*(W457+X457)+($W$522+$X$522-$W$457-$X$457)*(L457)</f>
        <v>-861.06196000000011</v>
      </c>
      <c r="AD457" s="6">
        <f t="shared" si="25"/>
        <v>0</v>
      </c>
      <c r="AE457" s="6">
        <f ca="1">(L457-M457)*(Z457+AA457)+($Z$522+$AA$522-$Z$457-$AA$457)*(L457)</f>
        <v>-965.08915294067106</v>
      </c>
      <c r="AF457" s="4" t="s">
        <v>938</v>
      </c>
    </row>
    <row r="458" spans="1:32" ht="11.25" customHeight="1" x14ac:dyDescent="0.25">
      <c r="A458" s="4" t="s">
        <v>59</v>
      </c>
      <c r="B458" s="4" t="s">
        <v>22</v>
      </c>
      <c r="C458" s="4" t="s">
        <v>23</v>
      </c>
      <c r="D458" s="4" t="s">
        <v>24</v>
      </c>
      <c r="E458" s="4" t="s">
        <v>32</v>
      </c>
      <c r="F458" s="4" t="s">
        <v>25</v>
      </c>
      <c r="G458" s="4" t="s">
        <v>25</v>
      </c>
      <c r="H458" s="4" t="s">
        <v>25</v>
      </c>
      <c r="I458" s="5">
        <v>44866</v>
      </c>
      <c r="J458" s="6">
        <v>0</v>
      </c>
      <c r="K458" s="6">
        <v>0</v>
      </c>
      <c r="L458" s="6">
        <v>2.5870000000000002</v>
      </c>
      <c r="M458" s="6">
        <v>2.5870000000000002</v>
      </c>
      <c r="N458" s="6">
        <v>2.5870000000000002</v>
      </c>
      <c r="O458" s="6">
        <v>2.5870000000000002</v>
      </c>
      <c r="P458" s="6">
        <v>0</v>
      </c>
      <c r="Q458" s="4" t="s">
        <v>26</v>
      </c>
      <c r="R458" s="4">
        <v>0</v>
      </c>
      <c r="S458" s="4">
        <v>0</v>
      </c>
      <c r="T458" s="4">
        <v>41</v>
      </c>
      <c r="U458" s="4">
        <v>85</v>
      </c>
      <c r="V458" s="6">
        <f>IF(ISERROR(VLOOKUP($S$458,'TAR FIN'!$A$1:$O$115,15,0)),0,VLOOKUP($S$458,'TAR FIN'!$A$1:$O$115,15,0))</f>
        <v>0</v>
      </c>
      <c r="W458" s="6">
        <f>IF(ISERROR(VLOOKUP($T$458,'TAR FIN'!$A$1:$O$115,15,0)),0,VLOOKUP($T$458,'TAR FIN'!$A$1:$O$115,15,0))</f>
        <v>242.47</v>
      </c>
      <c r="X458" s="6">
        <f>IF(ISERROR(VLOOKUP($U$458,'TAR FIN'!$A$1:$O$115,15,0)),0,VLOOKUP($U$458,'TAR FIN'!$A$1:$O$115,15,0))</f>
        <v>105.95</v>
      </c>
      <c r="Y458" s="6"/>
      <c r="Z458" s="6">
        <f ca="1">('TUSD BE'!$AM$39+'TUSD BF'!$AM$39+'TUSD CVA'!$AM$39-('TUSD BE'!$P$39+'TUSD BF'!$P$39+'TUSD CVA'!$P$39)-('TUSD BE'!$Q$39+'TUSD BF'!$Q$39+'TUSD CVA'!$Q$39)-('TUSD BE'!$R$39+'TUSD BF'!$R$39+'TUSD CVA'!$R$39))*(1-CUSTOS!$M$35)</f>
        <v>252.1043652172271</v>
      </c>
      <c r="AA458" s="6">
        <f>('TE BE'!$AB$22+'TE BF'!$AB$22+'TE CVA'!$AB$22)*(1-CUSTOS!$M$35)</f>
        <v>138.40918466435005</v>
      </c>
      <c r="AB458" s="6">
        <f t="shared" si="24"/>
        <v>0</v>
      </c>
      <c r="AC458" s="6">
        <f>(L458-M458)*(W458+X458)+($W$522+$X$522-$W$458-$X$458)*(L458)</f>
        <v>600.90836000000013</v>
      </c>
      <c r="AD458" s="6">
        <f t="shared" si="25"/>
        <v>0</v>
      </c>
      <c r="AE458" s="6">
        <f ca="1">(L458-M458)*(Z458+AA458)+($Z$522+$AA$522-$Z$458-$AA$458)*(L458)</f>
        <v>673.50570236242686</v>
      </c>
      <c r="AF458" s="4" t="s">
        <v>938</v>
      </c>
    </row>
    <row r="459" spans="1:32" ht="11.25" customHeight="1" x14ac:dyDescent="0.25">
      <c r="A459" s="4" t="s">
        <v>21</v>
      </c>
      <c r="B459" s="4" t="s">
        <v>22</v>
      </c>
      <c r="C459" s="4" t="s">
        <v>23</v>
      </c>
      <c r="D459" s="4" t="s">
        <v>24</v>
      </c>
      <c r="E459" s="4" t="s">
        <v>33</v>
      </c>
      <c r="F459" s="4" t="s">
        <v>25</v>
      </c>
      <c r="G459" s="4" t="s">
        <v>25</v>
      </c>
      <c r="H459" s="4" t="s">
        <v>25</v>
      </c>
      <c r="I459" s="5">
        <v>44531</v>
      </c>
      <c r="J459" s="6">
        <v>0</v>
      </c>
      <c r="K459" s="6">
        <v>0</v>
      </c>
      <c r="L459" s="6">
        <v>1946.9680000000001</v>
      </c>
      <c r="M459" s="6">
        <v>1946.9680000000001</v>
      </c>
      <c r="N459" s="6">
        <v>1946.9680000000001</v>
      </c>
      <c r="O459" s="6">
        <v>1946.9680000000001</v>
      </c>
      <c r="P459" s="6">
        <v>17173</v>
      </c>
      <c r="Q459" s="4" t="s">
        <v>26</v>
      </c>
      <c r="R459" s="4">
        <v>0</v>
      </c>
      <c r="S459" s="4">
        <v>0</v>
      </c>
      <c r="T459" s="4">
        <v>42</v>
      </c>
      <c r="U459" s="4">
        <v>86</v>
      </c>
      <c r="V459" s="6">
        <f>IF(ISERROR(VLOOKUP($S$459,'TAR FIN'!$A$1:$O$115,15,0)),0,VLOOKUP($S$459,'TAR FIN'!$A$1:$O$115,15,0))</f>
        <v>0</v>
      </c>
      <c r="W459" s="6">
        <f>IF(ISERROR(VLOOKUP($T$459,'TAR FIN'!$A$1:$O$115,15,0)),0,VLOOKUP($T$459,'TAR FIN'!$A$1:$O$115,15,0))</f>
        <v>363.71</v>
      </c>
      <c r="X459" s="6">
        <f>IF(ISERROR(VLOOKUP($U$459,'TAR FIN'!$A$1:$O$115,15,0)),0,VLOOKUP($U$459,'TAR FIN'!$A$1:$O$115,15,0))</f>
        <v>158.91999999999999</v>
      </c>
      <c r="Y459" s="6"/>
      <c r="Z459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59" s="6">
        <f>('TE BE'!$AB$23+'TE BF'!$AB$23+'TE CVA'!$AB$23)*(1-CUSTOS!$M$36)</f>
        <v>207.6137769965251</v>
      </c>
      <c r="AB459" s="6">
        <f t="shared" si="24"/>
        <v>0</v>
      </c>
      <c r="AC459" s="6">
        <f>(L459-M459)*(W459+X459)+($W$522+$X$522-$W$459-$X$459)*(L459)</f>
        <v>113060.43176000015</v>
      </c>
      <c r="AD459" s="6">
        <f t="shared" si="25"/>
        <v>0</v>
      </c>
      <c r="AE459" s="6">
        <f ca="1">(L459-M459)*(Z459+AA459)+($Z$522+$AA$522-$Z$459-$AA$459)*(L459)</f>
        <v>126719.56419763902</v>
      </c>
      <c r="AF459" s="4" t="s">
        <v>938</v>
      </c>
    </row>
    <row r="460" spans="1:32" ht="11.25" customHeight="1" x14ac:dyDescent="0.25">
      <c r="A460" s="4" t="s">
        <v>27</v>
      </c>
      <c r="B460" s="4" t="s">
        <v>22</v>
      </c>
      <c r="C460" s="4" t="s">
        <v>23</v>
      </c>
      <c r="D460" s="4" t="s">
        <v>24</v>
      </c>
      <c r="E460" s="4" t="s">
        <v>33</v>
      </c>
      <c r="F460" s="4" t="s">
        <v>25</v>
      </c>
      <c r="G460" s="4" t="s">
        <v>25</v>
      </c>
      <c r="H460" s="4" t="s">
        <v>25</v>
      </c>
      <c r="I460" s="5">
        <v>44531</v>
      </c>
      <c r="J460" s="6">
        <v>0</v>
      </c>
      <c r="K460" s="6">
        <v>0</v>
      </c>
      <c r="L460" s="6">
        <v>-29.727</v>
      </c>
      <c r="M460" s="6">
        <v>-29.727</v>
      </c>
      <c r="N460" s="6">
        <v>-29.727</v>
      </c>
      <c r="O460" s="6">
        <v>-29.727</v>
      </c>
      <c r="P460" s="6">
        <v>-55</v>
      </c>
      <c r="Q460" s="4" t="s">
        <v>26</v>
      </c>
      <c r="R460" s="4">
        <v>0</v>
      </c>
      <c r="S460" s="4">
        <v>0</v>
      </c>
      <c r="T460" s="4">
        <v>42</v>
      </c>
      <c r="U460" s="4">
        <v>86</v>
      </c>
      <c r="V460" s="6">
        <f>IF(ISERROR(VLOOKUP($S$460,'TAR FIN'!$A$1:$O$115,15,0)),0,VLOOKUP($S$460,'TAR FIN'!$A$1:$O$115,15,0))</f>
        <v>0</v>
      </c>
      <c r="W460" s="6">
        <f>IF(ISERROR(VLOOKUP($T$460,'TAR FIN'!$A$1:$O$115,15,0)),0,VLOOKUP($T$460,'TAR FIN'!$A$1:$O$115,15,0))</f>
        <v>363.71</v>
      </c>
      <c r="X460" s="6">
        <f>IF(ISERROR(VLOOKUP($U$460,'TAR FIN'!$A$1:$O$115,15,0)),0,VLOOKUP($U$460,'TAR FIN'!$A$1:$O$115,15,0))</f>
        <v>158.91999999999999</v>
      </c>
      <c r="Y460" s="6"/>
      <c r="Z460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60" s="6">
        <f>('TE BE'!$AB$23+'TE BF'!$AB$23+'TE CVA'!$AB$23)*(1-CUSTOS!$M$36)</f>
        <v>207.6137769965251</v>
      </c>
      <c r="AB460" s="6">
        <f t="shared" si="24"/>
        <v>0</v>
      </c>
      <c r="AC460" s="6">
        <f>(L460-M460)*(W460+X460)+($W$522+$X$522-$W$460-$X$460)*(L460)</f>
        <v>-1726.2468900000024</v>
      </c>
      <c r="AD460" s="6">
        <f t="shared" si="25"/>
        <v>0</v>
      </c>
      <c r="AE460" s="6">
        <f ca="1">(L460-M460)*(Z460+AA460)+($Z$522+$AA$522-$Z$460-$AA$460)*(L460)</f>
        <v>-1934.7993828882729</v>
      </c>
      <c r="AF460" s="4" t="s">
        <v>938</v>
      </c>
    </row>
    <row r="461" spans="1:32" ht="11.25" customHeight="1" x14ac:dyDescent="0.25">
      <c r="A461" s="4" t="s">
        <v>28</v>
      </c>
      <c r="B461" s="4" t="s">
        <v>22</v>
      </c>
      <c r="C461" s="4" t="s">
        <v>23</v>
      </c>
      <c r="D461" s="4" t="s">
        <v>24</v>
      </c>
      <c r="E461" s="4" t="s">
        <v>33</v>
      </c>
      <c r="F461" s="4" t="s">
        <v>25</v>
      </c>
      <c r="G461" s="4" t="s">
        <v>25</v>
      </c>
      <c r="H461" s="4" t="s">
        <v>25</v>
      </c>
      <c r="I461" s="5">
        <v>44531</v>
      </c>
      <c r="J461" s="6">
        <v>0</v>
      </c>
      <c r="K461" s="6">
        <v>0</v>
      </c>
      <c r="L461" s="6">
        <v>679.99</v>
      </c>
      <c r="M461" s="6">
        <v>679.99</v>
      </c>
      <c r="N461" s="6">
        <v>679.99</v>
      </c>
      <c r="O461" s="6">
        <v>679.99</v>
      </c>
      <c r="P461" s="6">
        <v>8647</v>
      </c>
      <c r="Q461" s="4" t="s">
        <v>26</v>
      </c>
      <c r="R461" s="4">
        <v>0</v>
      </c>
      <c r="S461" s="4">
        <v>0</v>
      </c>
      <c r="T461" s="4">
        <v>42</v>
      </c>
      <c r="U461" s="4">
        <v>86</v>
      </c>
      <c r="V461" s="6">
        <f>IF(ISERROR(VLOOKUP($S$461,'TAR FIN'!$A$1:$O$115,15,0)),0,VLOOKUP($S$461,'TAR FIN'!$A$1:$O$115,15,0))</f>
        <v>0</v>
      </c>
      <c r="W461" s="6">
        <f>IF(ISERROR(VLOOKUP($T$461,'TAR FIN'!$A$1:$O$115,15,0)),0,VLOOKUP($T$461,'TAR FIN'!$A$1:$O$115,15,0))</f>
        <v>363.71</v>
      </c>
      <c r="X461" s="6">
        <f>IF(ISERROR(VLOOKUP($U$461,'TAR FIN'!$A$1:$O$115,15,0)),0,VLOOKUP($U$461,'TAR FIN'!$A$1:$O$115,15,0))</f>
        <v>158.91999999999999</v>
      </c>
      <c r="Y461" s="6"/>
      <c r="Z461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61" s="6">
        <f>('TE BE'!$AB$23+'TE BF'!$AB$23+'TE CVA'!$AB$23)*(1-CUSTOS!$M$36)</f>
        <v>207.6137769965251</v>
      </c>
      <c r="AB461" s="6">
        <f t="shared" si="24"/>
        <v>0</v>
      </c>
      <c r="AC461" s="6">
        <f>(L461-M461)*(W461+X461)+($W$522+$X$522-$W$461-$X$461)*(L461)</f>
        <v>39487.019300000051</v>
      </c>
      <c r="AD461" s="6">
        <f t="shared" si="25"/>
        <v>0</v>
      </c>
      <c r="AE461" s="6">
        <f ca="1">(L461-M461)*(Z461+AA461)+($Z$522+$AA$522-$Z$461-$AA$461)*(L461)</f>
        <v>44257.55146399558</v>
      </c>
      <c r="AF461" s="4" t="s">
        <v>938</v>
      </c>
    </row>
    <row r="462" spans="1:32" ht="11.25" customHeight="1" x14ac:dyDescent="0.25">
      <c r="A462" s="4" t="s">
        <v>29</v>
      </c>
      <c r="B462" s="4" t="s">
        <v>22</v>
      </c>
      <c r="C462" s="4" t="s">
        <v>23</v>
      </c>
      <c r="D462" s="4" t="s">
        <v>24</v>
      </c>
      <c r="E462" s="4" t="s">
        <v>33</v>
      </c>
      <c r="F462" s="4" t="s">
        <v>25</v>
      </c>
      <c r="G462" s="4" t="s">
        <v>25</v>
      </c>
      <c r="H462" s="4" t="s">
        <v>25</v>
      </c>
      <c r="I462" s="5">
        <v>44531</v>
      </c>
      <c r="J462" s="6">
        <v>0</v>
      </c>
      <c r="K462" s="6">
        <v>0</v>
      </c>
      <c r="L462" s="6">
        <v>-0.59099999999999997</v>
      </c>
      <c r="M462" s="6">
        <v>-0.59099999999999997</v>
      </c>
      <c r="N462" s="6">
        <v>-0.59099999999999997</v>
      </c>
      <c r="O462" s="6">
        <v>-0.59099999999999997</v>
      </c>
      <c r="P462" s="6">
        <v>-7</v>
      </c>
      <c r="Q462" s="4" t="s">
        <v>26</v>
      </c>
      <c r="R462" s="4">
        <v>0</v>
      </c>
      <c r="S462" s="4">
        <v>0</v>
      </c>
      <c r="T462" s="4">
        <v>42</v>
      </c>
      <c r="U462" s="4">
        <v>86</v>
      </c>
      <c r="V462" s="6">
        <f>IF(ISERROR(VLOOKUP($S$462,'TAR FIN'!$A$1:$O$115,15,0)),0,VLOOKUP($S$462,'TAR FIN'!$A$1:$O$115,15,0))</f>
        <v>0</v>
      </c>
      <c r="W462" s="6">
        <f>IF(ISERROR(VLOOKUP($T$462,'TAR FIN'!$A$1:$O$115,15,0)),0,VLOOKUP($T$462,'TAR FIN'!$A$1:$O$115,15,0))</f>
        <v>363.71</v>
      </c>
      <c r="X462" s="6">
        <f>IF(ISERROR(VLOOKUP($U$462,'TAR FIN'!$A$1:$O$115,15,0)),0,VLOOKUP($U$462,'TAR FIN'!$A$1:$O$115,15,0))</f>
        <v>158.91999999999999</v>
      </c>
      <c r="Y462" s="6"/>
      <c r="Z462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62" s="6">
        <f>('TE BE'!$AB$23+'TE BF'!$AB$23+'TE CVA'!$AB$23)*(1-CUSTOS!$M$36)</f>
        <v>207.6137769965251</v>
      </c>
      <c r="AB462" s="6">
        <f t="shared" si="24"/>
        <v>0</v>
      </c>
      <c r="AC462" s="6">
        <f>(L462-M462)*(W462+X462)+($W$522+$X$522-$W$462-$X$462)*(L462)</f>
        <v>-34.319370000000042</v>
      </c>
      <c r="AD462" s="6">
        <f t="shared" si="25"/>
        <v>0</v>
      </c>
      <c r="AE462" s="6">
        <f ca="1">(L462-M462)*(Z462+AA462)+($Z$522+$AA$522-$Z$462-$AA$462)*(L462)</f>
        <v>-38.465584663335328</v>
      </c>
      <c r="AF462" s="4" t="s">
        <v>938</v>
      </c>
    </row>
    <row r="463" spans="1:32" ht="11.25" customHeight="1" x14ac:dyDescent="0.25">
      <c r="A463" s="4" t="s">
        <v>30</v>
      </c>
      <c r="B463" s="4" t="s">
        <v>22</v>
      </c>
      <c r="C463" s="4" t="s">
        <v>23</v>
      </c>
      <c r="D463" s="4" t="s">
        <v>24</v>
      </c>
      <c r="E463" s="4" t="s">
        <v>33</v>
      </c>
      <c r="F463" s="4" t="s">
        <v>25</v>
      </c>
      <c r="G463" s="4" t="s">
        <v>25</v>
      </c>
      <c r="H463" s="4" t="s">
        <v>25</v>
      </c>
      <c r="I463" s="5">
        <v>44531</v>
      </c>
      <c r="J463" s="6">
        <v>0</v>
      </c>
      <c r="K463" s="6">
        <v>0</v>
      </c>
      <c r="L463" s="6">
        <v>1.887</v>
      </c>
      <c r="M463" s="6">
        <v>1.887</v>
      </c>
      <c r="N463" s="6">
        <v>1.887</v>
      </c>
      <c r="O463" s="6">
        <v>1.887</v>
      </c>
      <c r="P463" s="6">
        <v>1</v>
      </c>
      <c r="Q463" s="4" t="s">
        <v>26</v>
      </c>
      <c r="R463" s="4">
        <v>0</v>
      </c>
      <c r="S463" s="4">
        <v>0</v>
      </c>
      <c r="T463" s="4">
        <v>42</v>
      </c>
      <c r="U463" s="4">
        <v>86</v>
      </c>
      <c r="V463" s="6">
        <f>IF(ISERROR(VLOOKUP($S$463,'TAR FIN'!$A$1:$O$115,15,0)),0,VLOOKUP($S$463,'TAR FIN'!$A$1:$O$115,15,0))</f>
        <v>0</v>
      </c>
      <c r="W463" s="6">
        <f>IF(ISERROR(VLOOKUP($T$463,'TAR FIN'!$A$1:$O$115,15,0)),0,VLOOKUP($T$463,'TAR FIN'!$A$1:$O$115,15,0))</f>
        <v>363.71</v>
      </c>
      <c r="X463" s="6">
        <f>IF(ISERROR(VLOOKUP($U$463,'TAR FIN'!$A$1:$O$115,15,0)),0,VLOOKUP($U$463,'TAR FIN'!$A$1:$O$115,15,0))</f>
        <v>158.91999999999999</v>
      </c>
      <c r="Y463" s="6"/>
      <c r="Z463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63" s="6">
        <f>('TE BE'!$AB$23+'TE BF'!$AB$23+'TE CVA'!$AB$23)*(1-CUSTOS!$M$36)</f>
        <v>207.6137769965251</v>
      </c>
      <c r="AB463" s="6">
        <f t="shared" si="24"/>
        <v>0</v>
      </c>
      <c r="AC463" s="6">
        <f>(L463-M463)*(W463+X463)+($W$522+$X$522-$W$463-$X$463)*(L463)</f>
        <v>109.57809000000015</v>
      </c>
      <c r="AD463" s="6">
        <f t="shared" si="25"/>
        <v>0</v>
      </c>
      <c r="AE463" s="6">
        <f ca="1">(L463-M463)*(Z463+AA463)+($Z$522+$AA$522-$Z$463-$AA$463)*(L463)</f>
        <v>122.81651143775595</v>
      </c>
      <c r="AF463" s="4" t="s">
        <v>938</v>
      </c>
    </row>
    <row r="464" spans="1:32" ht="11.25" customHeight="1" x14ac:dyDescent="0.25">
      <c r="A464" s="4" t="s">
        <v>30</v>
      </c>
      <c r="B464" s="4" t="s">
        <v>22</v>
      </c>
      <c r="C464" s="4" t="s">
        <v>23</v>
      </c>
      <c r="D464" s="4" t="s">
        <v>24</v>
      </c>
      <c r="E464" s="4" t="s">
        <v>33</v>
      </c>
      <c r="F464" s="4" t="s">
        <v>25</v>
      </c>
      <c r="G464" s="4" t="s">
        <v>25</v>
      </c>
      <c r="H464" s="4" t="s">
        <v>25</v>
      </c>
      <c r="I464" s="5">
        <v>44531</v>
      </c>
      <c r="J464" s="6">
        <v>0</v>
      </c>
      <c r="K464" s="6">
        <v>0</v>
      </c>
      <c r="L464" s="6">
        <v>-0.12</v>
      </c>
      <c r="M464" s="6">
        <v>-0.12</v>
      </c>
      <c r="N464" s="6">
        <v>-0.12</v>
      </c>
      <c r="O464" s="6">
        <v>-0.12</v>
      </c>
      <c r="P464" s="6">
        <v>0</v>
      </c>
      <c r="Q464" s="4" t="s">
        <v>26</v>
      </c>
      <c r="R464" s="4">
        <v>0</v>
      </c>
      <c r="S464" s="4">
        <v>0</v>
      </c>
      <c r="T464" s="4">
        <v>42</v>
      </c>
      <c r="U464" s="4">
        <v>86</v>
      </c>
      <c r="V464" s="6">
        <f>IF(ISERROR(VLOOKUP($S$464,'TAR FIN'!$A$1:$O$115,15,0)),0,VLOOKUP($S$464,'TAR FIN'!$A$1:$O$115,15,0))</f>
        <v>0</v>
      </c>
      <c r="W464" s="6">
        <f>IF(ISERROR(VLOOKUP($T$464,'TAR FIN'!$A$1:$O$115,15,0)),0,VLOOKUP($T$464,'TAR FIN'!$A$1:$O$115,15,0))</f>
        <v>363.71</v>
      </c>
      <c r="X464" s="6">
        <f>IF(ISERROR(VLOOKUP($U$464,'TAR FIN'!$A$1:$O$115,15,0)),0,VLOOKUP($U$464,'TAR FIN'!$A$1:$O$115,15,0))</f>
        <v>158.91999999999999</v>
      </c>
      <c r="Y464" s="6"/>
      <c r="Z464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64" s="6">
        <f>('TE BE'!$AB$23+'TE BF'!$AB$23+'TE CVA'!$AB$23)*(1-CUSTOS!$M$36)</f>
        <v>207.6137769965251</v>
      </c>
      <c r="AB464" s="6">
        <f t="shared" si="24"/>
        <v>0</v>
      </c>
      <c r="AC464" s="6">
        <f>(L464-M464)*(W464+X464)+($W$522+$X$522-$W$464-$X$464)*(L464)</f>
        <v>-6.9684000000000088</v>
      </c>
      <c r="AD464" s="6">
        <f t="shared" si="25"/>
        <v>0</v>
      </c>
      <c r="AE464" s="6">
        <f ca="1">(L464-M464)*(Z464+AA464)+($Z$522+$AA$522-$Z$464-$AA$464)*(L464)</f>
        <v>-7.8102709976315383</v>
      </c>
      <c r="AF464" s="4" t="s">
        <v>938</v>
      </c>
    </row>
    <row r="465" spans="1:32" ht="11.25" customHeight="1" x14ac:dyDescent="0.25">
      <c r="A465" s="4" t="s">
        <v>21</v>
      </c>
      <c r="B465" s="4" t="s">
        <v>22</v>
      </c>
      <c r="C465" s="4" t="s">
        <v>23</v>
      </c>
      <c r="D465" s="4" t="s">
        <v>24</v>
      </c>
      <c r="E465" s="4" t="s">
        <v>33</v>
      </c>
      <c r="F465" s="4" t="s">
        <v>25</v>
      </c>
      <c r="G465" s="4" t="s">
        <v>25</v>
      </c>
      <c r="H465" s="4" t="s">
        <v>25</v>
      </c>
      <c r="I465" s="5">
        <v>44562</v>
      </c>
      <c r="J465" s="6">
        <v>0</v>
      </c>
      <c r="K465" s="6">
        <v>0</v>
      </c>
      <c r="L465" s="6">
        <v>1980.35</v>
      </c>
      <c r="M465" s="6">
        <v>1980.35</v>
      </c>
      <c r="N465" s="6">
        <v>1980.35</v>
      </c>
      <c r="O465" s="6">
        <v>1980.35</v>
      </c>
      <c r="P465" s="6">
        <v>17131</v>
      </c>
      <c r="Q465" s="4" t="s">
        <v>26</v>
      </c>
      <c r="R465" s="4">
        <v>0</v>
      </c>
      <c r="S465" s="4">
        <v>0</v>
      </c>
      <c r="T465" s="4">
        <v>42</v>
      </c>
      <c r="U465" s="4">
        <v>86</v>
      </c>
      <c r="V465" s="6">
        <f>IF(ISERROR(VLOOKUP($S$465,'TAR FIN'!$A$1:$O$115,15,0)),0,VLOOKUP($S$465,'TAR FIN'!$A$1:$O$115,15,0))</f>
        <v>0</v>
      </c>
      <c r="W465" s="6">
        <f>IF(ISERROR(VLOOKUP($T$465,'TAR FIN'!$A$1:$O$115,15,0)),0,VLOOKUP($T$465,'TAR FIN'!$A$1:$O$115,15,0))</f>
        <v>363.71</v>
      </c>
      <c r="X465" s="6">
        <f>IF(ISERROR(VLOOKUP($U$465,'TAR FIN'!$A$1:$O$115,15,0)),0,VLOOKUP($U$465,'TAR FIN'!$A$1:$O$115,15,0))</f>
        <v>158.91999999999999</v>
      </c>
      <c r="Y465" s="6"/>
      <c r="Z465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65" s="6">
        <f>('TE BE'!$AB$23+'TE BF'!$AB$23+'TE CVA'!$AB$23)*(1-CUSTOS!$M$36)</f>
        <v>207.6137769965251</v>
      </c>
      <c r="AB465" s="6">
        <f t="shared" si="24"/>
        <v>0</v>
      </c>
      <c r="AC465" s="6">
        <f>(L465-M465)*(W465+X465)+($W$522+$X$522-$W$465-$X$465)*(L465)</f>
        <v>114998.92450000015</v>
      </c>
      <c r="AD465" s="6">
        <f t="shared" si="25"/>
        <v>0</v>
      </c>
      <c r="AE465" s="6">
        <f ca="1">(L465-M465)*(Z465+AA465)+($Z$522+$AA$522-$Z$465-$AA$465)*(L465)</f>
        <v>128892.2514179968</v>
      </c>
      <c r="AF465" s="4" t="s">
        <v>938</v>
      </c>
    </row>
    <row r="466" spans="1:32" ht="11.25" customHeight="1" x14ac:dyDescent="0.25">
      <c r="A466" s="4" t="s">
        <v>27</v>
      </c>
      <c r="B466" s="4" t="s">
        <v>22</v>
      </c>
      <c r="C466" s="4" t="s">
        <v>23</v>
      </c>
      <c r="D466" s="4" t="s">
        <v>24</v>
      </c>
      <c r="E466" s="4" t="s">
        <v>33</v>
      </c>
      <c r="F466" s="4" t="s">
        <v>25</v>
      </c>
      <c r="G466" s="4" t="s">
        <v>25</v>
      </c>
      <c r="H466" s="4" t="s">
        <v>25</v>
      </c>
      <c r="I466" s="5">
        <v>44562</v>
      </c>
      <c r="J466" s="6">
        <v>0</v>
      </c>
      <c r="K466" s="6">
        <v>0</v>
      </c>
      <c r="L466" s="6">
        <v>-11.058999999999999</v>
      </c>
      <c r="M466" s="6">
        <v>-11.058999999999999</v>
      </c>
      <c r="N466" s="6">
        <v>-11.058999999999999</v>
      </c>
      <c r="O466" s="6">
        <v>-11.058999999999999</v>
      </c>
      <c r="P466" s="6">
        <v>-81</v>
      </c>
      <c r="Q466" s="4" t="s">
        <v>26</v>
      </c>
      <c r="R466" s="4">
        <v>0</v>
      </c>
      <c r="S466" s="4">
        <v>0</v>
      </c>
      <c r="T466" s="4">
        <v>42</v>
      </c>
      <c r="U466" s="4">
        <v>86</v>
      </c>
      <c r="V466" s="6">
        <f>IF(ISERROR(VLOOKUP($S$466,'TAR FIN'!$A$1:$O$115,15,0)),0,VLOOKUP($S$466,'TAR FIN'!$A$1:$O$115,15,0))</f>
        <v>0</v>
      </c>
      <c r="W466" s="6">
        <f>IF(ISERROR(VLOOKUP($T$466,'TAR FIN'!$A$1:$O$115,15,0)),0,VLOOKUP($T$466,'TAR FIN'!$A$1:$O$115,15,0))</f>
        <v>363.71</v>
      </c>
      <c r="X466" s="6">
        <f>IF(ISERROR(VLOOKUP($U$466,'TAR FIN'!$A$1:$O$115,15,0)),0,VLOOKUP($U$466,'TAR FIN'!$A$1:$O$115,15,0))</f>
        <v>158.91999999999999</v>
      </c>
      <c r="Y466" s="6"/>
      <c r="Z466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66" s="6">
        <f>('TE BE'!$AB$23+'TE BF'!$AB$23+'TE CVA'!$AB$23)*(1-CUSTOS!$M$36)</f>
        <v>207.6137769965251</v>
      </c>
      <c r="AB466" s="6">
        <f t="shared" si="24"/>
        <v>0</v>
      </c>
      <c r="AC466" s="6">
        <f>(L466-M466)*(W466+X466)+($W$522+$X$522-$W$466-$X$466)*(L466)</f>
        <v>-642.19613000000084</v>
      </c>
      <c r="AD466" s="6">
        <f t="shared" si="25"/>
        <v>0</v>
      </c>
      <c r="AE466" s="6">
        <f ca="1">(L466-M466)*(Z466+AA466)+($Z$522+$AA$522-$Z$466-$AA$466)*(L466)</f>
        <v>-719.78155802339313</v>
      </c>
      <c r="AF466" s="4" t="s">
        <v>938</v>
      </c>
    </row>
    <row r="467" spans="1:32" ht="11.25" customHeight="1" x14ac:dyDescent="0.25">
      <c r="A467" s="4" t="s">
        <v>28</v>
      </c>
      <c r="B467" s="4" t="s">
        <v>22</v>
      </c>
      <c r="C467" s="4" t="s">
        <v>23</v>
      </c>
      <c r="D467" s="4" t="s">
        <v>24</v>
      </c>
      <c r="E467" s="4" t="s">
        <v>33</v>
      </c>
      <c r="F467" s="4" t="s">
        <v>25</v>
      </c>
      <c r="G467" s="4" t="s">
        <v>25</v>
      </c>
      <c r="H467" s="4" t="s">
        <v>25</v>
      </c>
      <c r="I467" s="5">
        <v>44562</v>
      </c>
      <c r="J467" s="6">
        <v>0</v>
      </c>
      <c r="K467" s="6">
        <v>0</v>
      </c>
      <c r="L467" s="6">
        <v>698.64099999999996</v>
      </c>
      <c r="M467" s="6">
        <v>698.64099999999996</v>
      </c>
      <c r="N467" s="6">
        <v>698.64099999999996</v>
      </c>
      <c r="O467" s="6">
        <v>698.64099999999996</v>
      </c>
      <c r="P467" s="6">
        <v>8716</v>
      </c>
      <c r="Q467" s="4" t="s">
        <v>26</v>
      </c>
      <c r="R467" s="4">
        <v>0</v>
      </c>
      <c r="S467" s="4">
        <v>0</v>
      </c>
      <c r="T467" s="4">
        <v>42</v>
      </c>
      <c r="U467" s="4">
        <v>86</v>
      </c>
      <c r="V467" s="6">
        <f>IF(ISERROR(VLOOKUP($S$467,'TAR FIN'!$A$1:$O$115,15,0)),0,VLOOKUP($S$467,'TAR FIN'!$A$1:$O$115,15,0))</f>
        <v>0</v>
      </c>
      <c r="W467" s="6">
        <f>IF(ISERROR(VLOOKUP($T$467,'TAR FIN'!$A$1:$O$115,15,0)),0,VLOOKUP($T$467,'TAR FIN'!$A$1:$O$115,15,0))</f>
        <v>363.71</v>
      </c>
      <c r="X467" s="6">
        <f>IF(ISERROR(VLOOKUP($U$467,'TAR FIN'!$A$1:$O$115,15,0)),0,VLOOKUP($U$467,'TAR FIN'!$A$1:$O$115,15,0))</f>
        <v>158.91999999999999</v>
      </c>
      <c r="Y467" s="6"/>
      <c r="Z467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67" s="6">
        <f>('TE BE'!$AB$23+'TE BF'!$AB$23+'TE CVA'!$AB$23)*(1-CUSTOS!$M$36)</f>
        <v>207.6137769965251</v>
      </c>
      <c r="AB467" s="6">
        <f t="shared" si="24"/>
        <v>0</v>
      </c>
      <c r="AC467" s="6">
        <f>(L467-M467)*(W467+X467)+($W$522+$X$522-$W$467-$X$467)*(L467)</f>
        <v>40570.082870000049</v>
      </c>
      <c r="AD467" s="6">
        <f t="shared" si="25"/>
        <v>0</v>
      </c>
      <c r="AE467" s="6">
        <f ca="1">(L467-M467)*(Z467+AA467)+($Z$522+$AA$522-$Z$467-$AA$467)*(L467)</f>
        <v>45471.462833802463</v>
      </c>
      <c r="AF467" s="4" t="s">
        <v>938</v>
      </c>
    </row>
    <row r="468" spans="1:32" ht="11.25" customHeight="1" x14ac:dyDescent="0.25">
      <c r="A468" s="4" t="s">
        <v>29</v>
      </c>
      <c r="B468" s="4" t="s">
        <v>22</v>
      </c>
      <c r="C468" s="4" t="s">
        <v>23</v>
      </c>
      <c r="D468" s="4" t="s">
        <v>24</v>
      </c>
      <c r="E468" s="4" t="s">
        <v>33</v>
      </c>
      <c r="F468" s="4" t="s">
        <v>25</v>
      </c>
      <c r="G468" s="4" t="s">
        <v>25</v>
      </c>
      <c r="H468" s="4" t="s">
        <v>25</v>
      </c>
      <c r="I468" s="5">
        <v>44562</v>
      </c>
      <c r="J468" s="6">
        <v>0</v>
      </c>
      <c r="K468" s="6">
        <v>0</v>
      </c>
      <c r="L468" s="6">
        <v>-0.83499999999999996</v>
      </c>
      <c r="M468" s="6">
        <v>-0.83499999999999996</v>
      </c>
      <c r="N468" s="6">
        <v>-0.83499999999999996</v>
      </c>
      <c r="O468" s="6">
        <v>-0.83499999999999996</v>
      </c>
      <c r="P468" s="6">
        <v>-15</v>
      </c>
      <c r="Q468" s="4" t="s">
        <v>26</v>
      </c>
      <c r="R468" s="4">
        <v>0</v>
      </c>
      <c r="S468" s="4">
        <v>0</v>
      </c>
      <c r="T468" s="4">
        <v>42</v>
      </c>
      <c r="U468" s="4">
        <v>86</v>
      </c>
      <c r="V468" s="6">
        <f>IF(ISERROR(VLOOKUP($S$468,'TAR FIN'!$A$1:$O$115,15,0)),0,VLOOKUP($S$468,'TAR FIN'!$A$1:$O$115,15,0))</f>
        <v>0</v>
      </c>
      <c r="W468" s="6">
        <f>IF(ISERROR(VLOOKUP($T$468,'TAR FIN'!$A$1:$O$115,15,0)),0,VLOOKUP($T$468,'TAR FIN'!$A$1:$O$115,15,0))</f>
        <v>363.71</v>
      </c>
      <c r="X468" s="6">
        <f>IF(ISERROR(VLOOKUP($U$468,'TAR FIN'!$A$1:$O$115,15,0)),0,VLOOKUP($U$468,'TAR FIN'!$A$1:$O$115,15,0))</f>
        <v>158.91999999999999</v>
      </c>
      <c r="Y468" s="6"/>
      <c r="Z468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68" s="6">
        <f>('TE BE'!$AB$23+'TE BF'!$AB$23+'TE CVA'!$AB$23)*(1-CUSTOS!$M$36)</f>
        <v>207.6137769965251</v>
      </c>
      <c r="AB468" s="6">
        <f t="shared" si="24"/>
        <v>0</v>
      </c>
      <c r="AC468" s="6">
        <f>(L468-M468)*(W468+X468)+($W$522+$X$522-$W$468-$X$468)*(L468)</f>
        <v>-48.488450000000064</v>
      </c>
      <c r="AD468" s="6">
        <f t="shared" si="25"/>
        <v>0</v>
      </c>
      <c r="AE468" s="6">
        <f ca="1">(L468-M468)*(Z468+AA468)+($Z$522+$AA$522-$Z$468-$AA$468)*(L468)</f>
        <v>-54.346469025186117</v>
      </c>
      <c r="AF468" s="4" t="s">
        <v>938</v>
      </c>
    </row>
    <row r="469" spans="1:32" ht="11.25" customHeight="1" x14ac:dyDescent="0.25">
      <c r="A469" s="4" t="s">
        <v>30</v>
      </c>
      <c r="B469" s="4" t="s">
        <v>22</v>
      </c>
      <c r="C469" s="4" t="s">
        <v>23</v>
      </c>
      <c r="D469" s="4" t="s">
        <v>24</v>
      </c>
      <c r="E469" s="4" t="s">
        <v>33</v>
      </c>
      <c r="F469" s="4" t="s">
        <v>25</v>
      </c>
      <c r="G469" s="4" t="s">
        <v>25</v>
      </c>
      <c r="H469" s="4" t="s">
        <v>25</v>
      </c>
      <c r="I469" s="5">
        <v>44562</v>
      </c>
      <c r="J469" s="6">
        <v>0</v>
      </c>
      <c r="K469" s="6">
        <v>0</v>
      </c>
      <c r="L469" s="6">
        <v>1.1519999999999999</v>
      </c>
      <c r="M469" s="6">
        <v>1.1519999999999999</v>
      </c>
      <c r="N469" s="6">
        <v>1.1519999999999999</v>
      </c>
      <c r="O469" s="6">
        <v>1.1519999999999999</v>
      </c>
      <c r="P469" s="6">
        <v>4</v>
      </c>
      <c r="Q469" s="4" t="s">
        <v>26</v>
      </c>
      <c r="R469" s="4">
        <v>0</v>
      </c>
      <c r="S469" s="4">
        <v>0</v>
      </c>
      <c r="T469" s="4">
        <v>42</v>
      </c>
      <c r="U469" s="4">
        <v>86</v>
      </c>
      <c r="V469" s="6">
        <f>IF(ISERROR(VLOOKUP($S$469,'TAR FIN'!$A$1:$O$115,15,0)),0,VLOOKUP($S$469,'TAR FIN'!$A$1:$O$115,15,0))</f>
        <v>0</v>
      </c>
      <c r="W469" s="6">
        <f>IF(ISERROR(VLOOKUP($T$469,'TAR FIN'!$A$1:$O$115,15,0)),0,VLOOKUP($T$469,'TAR FIN'!$A$1:$O$115,15,0))</f>
        <v>363.71</v>
      </c>
      <c r="X469" s="6">
        <f>IF(ISERROR(VLOOKUP($U$469,'TAR FIN'!$A$1:$O$115,15,0)),0,VLOOKUP($U$469,'TAR FIN'!$A$1:$O$115,15,0))</f>
        <v>158.91999999999999</v>
      </c>
      <c r="Y469" s="6"/>
      <c r="Z469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69" s="6">
        <f>('TE BE'!$AB$23+'TE BF'!$AB$23+'TE CVA'!$AB$23)*(1-CUSTOS!$M$36)</f>
        <v>207.6137769965251</v>
      </c>
      <c r="AB469" s="6">
        <f t="shared" si="24"/>
        <v>0</v>
      </c>
      <c r="AC469" s="6">
        <f>(L469-M469)*(W469+X469)+($W$522+$X$522-$W$469-$X$469)*(L469)</f>
        <v>66.89664000000009</v>
      </c>
      <c r="AD469" s="6">
        <f t="shared" si="25"/>
        <v>0</v>
      </c>
      <c r="AE469" s="6">
        <f ca="1">(L469-M469)*(Z469+AA469)+($Z$522+$AA$522-$Z$469-$AA$469)*(L469)</f>
        <v>74.978601577262765</v>
      </c>
      <c r="AF469" s="4" t="s">
        <v>938</v>
      </c>
    </row>
    <row r="470" spans="1:32" ht="11.25" customHeight="1" x14ac:dyDescent="0.25">
      <c r="A470" s="4" t="s">
        <v>30</v>
      </c>
      <c r="B470" s="4" t="s">
        <v>22</v>
      </c>
      <c r="C470" s="4" t="s">
        <v>23</v>
      </c>
      <c r="D470" s="4" t="s">
        <v>24</v>
      </c>
      <c r="E470" s="4" t="s">
        <v>33</v>
      </c>
      <c r="F470" s="4" t="s">
        <v>25</v>
      </c>
      <c r="G470" s="4" t="s">
        <v>25</v>
      </c>
      <c r="H470" s="4" t="s">
        <v>25</v>
      </c>
      <c r="I470" s="5">
        <v>44562</v>
      </c>
      <c r="J470" s="6">
        <v>0</v>
      </c>
      <c r="K470" s="6">
        <v>0</v>
      </c>
      <c r="L470" s="6">
        <v>-0.12</v>
      </c>
      <c r="M470" s="6">
        <v>-0.12</v>
      </c>
      <c r="N470" s="6">
        <v>-0.12</v>
      </c>
      <c r="O470" s="6">
        <v>-0.12</v>
      </c>
      <c r="P470" s="6">
        <v>0</v>
      </c>
      <c r="Q470" s="4" t="s">
        <v>26</v>
      </c>
      <c r="R470" s="4">
        <v>0</v>
      </c>
      <c r="S470" s="4">
        <v>0</v>
      </c>
      <c r="T470" s="4">
        <v>42</v>
      </c>
      <c r="U470" s="4">
        <v>86</v>
      </c>
      <c r="V470" s="6">
        <f>IF(ISERROR(VLOOKUP($S$470,'TAR FIN'!$A$1:$O$115,15,0)),0,VLOOKUP($S$470,'TAR FIN'!$A$1:$O$115,15,0))</f>
        <v>0</v>
      </c>
      <c r="W470" s="6">
        <f>IF(ISERROR(VLOOKUP($T$470,'TAR FIN'!$A$1:$O$115,15,0)),0,VLOOKUP($T$470,'TAR FIN'!$A$1:$O$115,15,0))</f>
        <v>363.71</v>
      </c>
      <c r="X470" s="6">
        <f>IF(ISERROR(VLOOKUP($U$470,'TAR FIN'!$A$1:$O$115,15,0)),0,VLOOKUP($U$470,'TAR FIN'!$A$1:$O$115,15,0))</f>
        <v>158.91999999999999</v>
      </c>
      <c r="Y470" s="6"/>
      <c r="Z470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70" s="6">
        <f>('TE BE'!$AB$23+'TE BF'!$AB$23+'TE CVA'!$AB$23)*(1-CUSTOS!$M$36)</f>
        <v>207.6137769965251</v>
      </c>
      <c r="AB470" s="6">
        <f t="shared" si="24"/>
        <v>0</v>
      </c>
      <c r="AC470" s="6">
        <f>(L470-M470)*(W470+X470)+($W$522+$X$522-$W$470-$X$470)*(L470)</f>
        <v>-6.9684000000000088</v>
      </c>
      <c r="AD470" s="6">
        <f t="shared" si="25"/>
        <v>0</v>
      </c>
      <c r="AE470" s="6">
        <f ca="1">(L470-M470)*(Z470+AA470)+($Z$522+$AA$522-$Z$470-$AA$470)*(L470)</f>
        <v>-7.8102709976315383</v>
      </c>
      <c r="AF470" s="4" t="s">
        <v>938</v>
      </c>
    </row>
    <row r="471" spans="1:32" ht="11.25" customHeight="1" x14ac:dyDescent="0.25">
      <c r="A471" s="4" t="s">
        <v>21</v>
      </c>
      <c r="B471" s="4" t="s">
        <v>22</v>
      </c>
      <c r="C471" s="4" t="s">
        <v>23</v>
      </c>
      <c r="D471" s="4" t="s">
        <v>24</v>
      </c>
      <c r="E471" s="4" t="s">
        <v>33</v>
      </c>
      <c r="F471" s="4" t="s">
        <v>25</v>
      </c>
      <c r="G471" s="4" t="s">
        <v>25</v>
      </c>
      <c r="H471" s="4" t="s">
        <v>25</v>
      </c>
      <c r="I471" s="5">
        <v>44593</v>
      </c>
      <c r="J471" s="6">
        <v>0</v>
      </c>
      <c r="K471" s="6">
        <v>0</v>
      </c>
      <c r="L471" s="6">
        <v>1915.366</v>
      </c>
      <c r="M471" s="6">
        <v>1915.366</v>
      </c>
      <c r="N471" s="6">
        <v>1915.366</v>
      </c>
      <c r="O471" s="6">
        <v>1915.366</v>
      </c>
      <c r="P471" s="6">
        <v>18658</v>
      </c>
      <c r="Q471" s="4" t="s">
        <v>26</v>
      </c>
      <c r="R471" s="4">
        <v>0</v>
      </c>
      <c r="S471" s="4">
        <v>0</v>
      </c>
      <c r="T471" s="4">
        <v>42</v>
      </c>
      <c r="U471" s="4">
        <v>86</v>
      </c>
      <c r="V471" s="6">
        <f>IF(ISERROR(VLOOKUP($S$471,'TAR FIN'!$A$1:$O$115,15,0)),0,VLOOKUP($S$471,'TAR FIN'!$A$1:$O$115,15,0))</f>
        <v>0</v>
      </c>
      <c r="W471" s="6">
        <f>IF(ISERROR(VLOOKUP($T$471,'TAR FIN'!$A$1:$O$115,15,0)),0,VLOOKUP($T$471,'TAR FIN'!$A$1:$O$115,15,0))</f>
        <v>363.71</v>
      </c>
      <c r="X471" s="6">
        <f>IF(ISERROR(VLOOKUP($U$471,'TAR FIN'!$A$1:$O$115,15,0)),0,VLOOKUP($U$471,'TAR FIN'!$A$1:$O$115,15,0))</f>
        <v>158.91999999999999</v>
      </c>
      <c r="Y471" s="6"/>
      <c r="Z471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71" s="6">
        <f>('TE BE'!$AB$23+'TE BF'!$AB$23+'TE CVA'!$AB$23)*(1-CUSTOS!$M$36)</f>
        <v>207.6137769965251</v>
      </c>
      <c r="AB471" s="6">
        <f t="shared" si="24"/>
        <v>0</v>
      </c>
      <c r="AC471" s="6">
        <f>(L471-M471)*(W471+X471)+($W$522+$X$522-$W$471-$X$471)*(L471)</f>
        <v>111225.30362000015</v>
      </c>
      <c r="AD471" s="6">
        <f t="shared" si="25"/>
        <v>0</v>
      </c>
      <c r="AE471" s="6">
        <f ca="1">(L471-M471)*(Z471+AA471)+($Z$522+$AA$522-$Z$471-$AA$471)*(L471)</f>
        <v>124662.72933041274</v>
      </c>
      <c r="AF471" s="4" t="s">
        <v>938</v>
      </c>
    </row>
    <row r="472" spans="1:32" ht="11.25" customHeight="1" x14ac:dyDescent="0.25">
      <c r="A472" s="4" t="s">
        <v>27</v>
      </c>
      <c r="B472" s="4" t="s">
        <v>22</v>
      </c>
      <c r="C472" s="4" t="s">
        <v>23</v>
      </c>
      <c r="D472" s="4" t="s">
        <v>24</v>
      </c>
      <c r="E472" s="4" t="s">
        <v>33</v>
      </c>
      <c r="F472" s="4" t="s">
        <v>25</v>
      </c>
      <c r="G472" s="4" t="s">
        <v>25</v>
      </c>
      <c r="H472" s="4" t="s">
        <v>25</v>
      </c>
      <c r="I472" s="5">
        <v>44593</v>
      </c>
      <c r="J472" s="6">
        <v>0</v>
      </c>
      <c r="K472" s="6">
        <v>0</v>
      </c>
      <c r="L472" s="6">
        <v>-12.904</v>
      </c>
      <c r="M472" s="6">
        <v>-12.904</v>
      </c>
      <c r="N472" s="6">
        <v>-12.904</v>
      </c>
      <c r="O472" s="6">
        <v>-12.904</v>
      </c>
      <c r="P472" s="6">
        <v>-22</v>
      </c>
      <c r="Q472" s="4" t="s">
        <v>26</v>
      </c>
      <c r="R472" s="4">
        <v>0</v>
      </c>
      <c r="S472" s="4">
        <v>0</v>
      </c>
      <c r="T472" s="4">
        <v>42</v>
      </c>
      <c r="U472" s="4">
        <v>86</v>
      </c>
      <c r="V472" s="6">
        <f>IF(ISERROR(VLOOKUP($S$472,'TAR FIN'!$A$1:$O$115,15,0)),0,VLOOKUP($S$472,'TAR FIN'!$A$1:$O$115,15,0))</f>
        <v>0</v>
      </c>
      <c r="W472" s="6">
        <f>IF(ISERROR(VLOOKUP($T$472,'TAR FIN'!$A$1:$O$115,15,0)),0,VLOOKUP($T$472,'TAR FIN'!$A$1:$O$115,15,0))</f>
        <v>363.71</v>
      </c>
      <c r="X472" s="6">
        <f>IF(ISERROR(VLOOKUP($U$472,'TAR FIN'!$A$1:$O$115,15,0)),0,VLOOKUP($U$472,'TAR FIN'!$A$1:$O$115,15,0))</f>
        <v>158.91999999999999</v>
      </c>
      <c r="Y472" s="6"/>
      <c r="Z472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72" s="6">
        <f>('TE BE'!$AB$23+'TE BF'!$AB$23+'TE CVA'!$AB$23)*(1-CUSTOS!$M$36)</f>
        <v>207.6137769965251</v>
      </c>
      <c r="AB472" s="6">
        <f t="shared" si="24"/>
        <v>0</v>
      </c>
      <c r="AC472" s="6">
        <f>(L472-M472)*(W472+X472)+($W$522+$X$522-$W$472-$X$472)*(L472)</f>
        <v>-749.33528000000103</v>
      </c>
      <c r="AD472" s="6">
        <f t="shared" si="25"/>
        <v>0</v>
      </c>
      <c r="AE472" s="6">
        <f ca="1">(L472-M472)*(Z472+AA472)+($Z$522+$AA$522-$Z$472-$AA$472)*(L472)</f>
        <v>-839.86447461197804</v>
      </c>
      <c r="AF472" s="4" t="s">
        <v>938</v>
      </c>
    </row>
    <row r="473" spans="1:32" ht="11.25" customHeight="1" x14ac:dyDescent="0.25">
      <c r="A473" s="4" t="s">
        <v>28</v>
      </c>
      <c r="B473" s="4" t="s">
        <v>22</v>
      </c>
      <c r="C473" s="4" t="s">
        <v>23</v>
      </c>
      <c r="D473" s="4" t="s">
        <v>24</v>
      </c>
      <c r="E473" s="4" t="s">
        <v>33</v>
      </c>
      <c r="F473" s="4" t="s">
        <v>25</v>
      </c>
      <c r="G473" s="4" t="s">
        <v>25</v>
      </c>
      <c r="H473" s="4" t="s">
        <v>25</v>
      </c>
      <c r="I473" s="5">
        <v>44593</v>
      </c>
      <c r="J473" s="6">
        <v>0</v>
      </c>
      <c r="K473" s="6">
        <v>0</v>
      </c>
      <c r="L473" s="6">
        <v>631.60599999999999</v>
      </c>
      <c r="M473" s="6">
        <v>631.60599999999999</v>
      </c>
      <c r="N473" s="6">
        <v>631.60599999999999</v>
      </c>
      <c r="O473" s="6">
        <v>631.60599999999999</v>
      </c>
      <c r="P473" s="6">
        <v>8574</v>
      </c>
      <c r="Q473" s="4" t="s">
        <v>26</v>
      </c>
      <c r="R473" s="4">
        <v>0</v>
      </c>
      <c r="S473" s="4">
        <v>0</v>
      </c>
      <c r="T473" s="4">
        <v>42</v>
      </c>
      <c r="U473" s="4">
        <v>86</v>
      </c>
      <c r="V473" s="6">
        <f>IF(ISERROR(VLOOKUP($S$473,'TAR FIN'!$A$1:$O$115,15,0)),0,VLOOKUP($S$473,'TAR FIN'!$A$1:$O$115,15,0))</f>
        <v>0</v>
      </c>
      <c r="W473" s="6">
        <f>IF(ISERROR(VLOOKUP($T$473,'TAR FIN'!$A$1:$O$115,15,0)),0,VLOOKUP($T$473,'TAR FIN'!$A$1:$O$115,15,0))</f>
        <v>363.71</v>
      </c>
      <c r="X473" s="6">
        <f>IF(ISERROR(VLOOKUP($U$473,'TAR FIN'!$A$1:$O$115,15,0)),0,VLOOKUP($U$473,'TAR FIN'!$A$1:$O$115,15,0))</f>
        <v>158.91999999999999</v>
      </c>
      <c r="Y473" s="6"/>
      <c r="Z473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73" s="6">
        <f>('TE BE'!$AB$23+'TE BF'!$AB$23+'TE CVA'!$AB$23)*(1-CUSTOS!$M$36)</f>
        <v>207.6137769965251</v>
      </c>
      <c r="AB473" s="6">
        <f t="shared" si="24"/>
        <v>0</v>
      </c>
      <c r="AC473" s="6">
        <f>(L473-M473)*(W473+X473)+($W$522+$X$522-$W$473-$X$473)*(L473)</f>
        <v>36677.360420000048</v>
      </c>
      <c r="AD473" s="6">
        <f t="shared" si="25"/>
        <v>0</v>
      </c>
      <c r="AE473" s="6">
        <f ca="1">(L473-M473)*(Z473+AA473)+($Z$522+$AA$522-$Z$473-$AA$473)*(L473)</f>
        <v>41108.450197750542</v>
      </c>
      <c r="AF473" s="4" t="s">
        <v>938</v>
      </c>
    </row>
    <row r="474" spans="1:32" ht="11.25" customHeight="1" x14ac:dyDescent="0.25">
      <c r="A474" s="4" t="s">
        <v>29</v>
      </c>
      <c r="B474" s="4" t="s">
        <v>22</v>
      </c>
      <c r="C474" s="4" t="s">
        <v>23</v>
      </c>
      <c r="D474" s="4" t="s">
        <v>24</v>
      </c>
      <c r="E474" s="4" t="s">
        <v>33</v>
      </c>
      <c r="F474" s="4" t="s">
        <v>25</v>
      </c>
      <c r="G474" s="4" t="s">
        <v>25</v>
      </c>
      <c r="H474" s="4" t="s">
        <v>25</v>
      </c>
      <c r="I474" s="5">
        <v>44593</v>
      </c>
      <c r="J474" s="6">
        <v>0</v>
      </c>
      <c r="K474" s="6">
        <v>0</v>
      </c>
      <c r="L474" s="6">
        <v>-1.839</v>
      </c>
      <c r="M474" s="6">
        <v>-1.839</v>
      </c>
      <c r="N474" s="6">
        <v>-1.839</v>
      </c>
      <c r="O474" s="6">
        <v>-1.839</v>
      </c>
      <c r="P474" s="6">
        <v>-2</v>
      </c>
      <c r="Q474" s="4" t="s">
        <v>26</v>
      </c>
      <c r="R474" s="4">
        <v>0</v>
      </c>
      <c r="S474" s="4">
        <v>0</v>
      </c>
      <c r="T474" s="4">
        <v>42</v>
      </c>
      <c r="U474" s="4">
        <v>86</v>
      </c>
      <c r="V474" s="6">
        <f>IF(ISERROR(VLOOKUP($S$474,'TAR FIN'!$A$1:$O$115,15,0)),0,VLOOKUP($S$474,'TAR FIN'!$A$1:$O$115,15,0))</f>
        <v>0</v>
      </c>
      <c r="W474" s="6">
        <f>IF(ISERROR(VLOOKUP($T$474,'TAR FIN'!$A$1:$O$115,15,0)),0,VLOOKUP($T$474,'TAR FIN'!$A$1:$O$115,15,0))</f>
        <v>363.71</v>
      </c>
      <c r="X474" s="6">
        <f>IF(ISERROR(VLOOKUP($U$474,'TAR FIN'!$A$1:$O$115,15,0)),0,VLOOKUP($U$474,'TAR FIN'!$A$1:$O$115,15,0))</f>
        <v>158.91999999999999</v>
      </c>
      <c r="Y474" s="6"/>
      <c r="Z474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74" s="6">
        <f>('TE BE'!$AB$23+'TE BF'!$AB$23+'TE CVA'!$AB$23)*(1-CUSTOS!$M$36)</f>
        <v>207.6137769965251</v>
      </c>
      <c r="AB474" s="6">
        <f t="shared" si="24"/>
        <v>0</v>
      </c>
      <c r="AC474" s="6">
        <f>(L474-M474)*(W474+X474)+($W$522+$X$522-$W$474-$X$474)*(L474)</f>
        <v>-106.79073000000014</v>
      </c>
      <c r="AD474" s="6">
        <f t="shared" si="25"/>
        <v>0</v>
      </c>
      <c r="AE474" s="6">
        <f ca="1">(L474-M474)*(Z474+AA474)+($Z$522+$AA$522-$Z$474-$AA$474)*(L474)</f>
        <v>-119.69240303870332</v>
      </c>
      <c r="AF474" s="4" t="s">
        <v>938</v>
      </c>
    </row>
    <row r="475" spans="1:32" ht="11.25" customHeight="1" x14ac:dyDescent="0.25">
      <c r="A475" s="4" t="s">
        <v>30</v>
      </c>
      <c r="B475" s="4" t="s">
        <v>22</v>
      </c>
      <c r="C475" s="4" t="s">
        <v>23</v>
      </c>
      <c r="D475" s="4" t="s">
        <v>24</v>
      </c>
      <c r="E475" s="4" t="s">
        <v>33</v>
      </c>
      <c r="F475" s="4" t="s">
        <v>25</v>
      </c>
      <c r="G475" s="4" t="s">
        <v>25</v>
      </c>
      <c r="H475" s="4" t="s">
        <v>25</v>
      </c>
      <c r="I475" s="5">
        <v>44593</v>
      </c>
      <c r="J475" s="6">
        <v>0</v>
      </c>
      <c r="K475" s="6">
        <v>0</v>
      </c>
      <c r="L475" s="6">
        <v>1.286</v>
      </c>
      <c r="M475" s="6">
        <v>1.286</v>
      </c>
      <c r="N475" s="6">
        <v>1.286</v>
      </c>
      <c r="O475" s="6">
        <v>1.286</v>
      </c>
      <c r="P475" s="6">
        <v>5</v>
      </c>
      <c r="Q475" s="4" t="s">
        <v>26</v>
      </c>
      <c r="R475" s="4">
        <v>0</v>
      </c>
      <c r="S475" s="4">
        <v>0</v>
      </c>
      <c r="T475" s="4">
        <v>42</v>
      </c>
      <c r="U475" s="4">
        <v>86</v>
      </c>
      <c r="V475" s="6">
        <f>IF(ISERROR(VLOOKUP($S$475,'TAR FIN'!$A$1:$O$115,15,0)),0,VLOOKUP($S$475,'TAR FIN'!$A$1:$O$115,15,0))</f>
        <v>0</v>
      </c>
      <c r="W475" s="6">
        <f>IF(ISERROR(VLOOKUP($T$475,'TAR FIN'!$A$1:$O$115,15,0)),0,VLOOKUP($T$475,'TAR FIN'!$A$1:$O$115,15,0))</f>
        <v>363.71</v>
      </c>
      <c r="X475" s="6">
        <f>IF(ISERROR(VLOOKUP($U$475,'TAR FIN'!$A$1:$O$115,15,0)),0,VLOOKUP($U$475,'TAR FIN'!$A$1:$O$115,15,0))</f>
        <v>158.91999999999999</v>
      </c>
      <c r="Y475" s="6"/>
      <c r="Z475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75" s="6">
        <f>('TE BE'!$AB$23+'TE BF'!$AB$23+'TE CVA'!$AB$23)*(1-CUSTOS!$M$36)</f>
        <v>207.6137769965251</v>
      </c>
      <c r="AB475" s="6">
        <f t="shared" si="24"/>
        <v>0</v>
      </c>
      <c r="AC475" s="6">
        <f>(L475-M475)*(W475+X475)+($W$522+$X$522-$W$475-$X$475)*(L475)</f>
        <v>74.678020000000103</v>
      </c>
      <c r="AD475" s="6">
        <f t="shared" si="25"/>
        <v>0</v>
      </c>
      <c r="AE475" s="6">
        <f ca="1">(L475-M475)*(Z475+AA475)+($Z$522+$AA$522-$Z$475-$AA$475)*(L475)</f>
        <v>83.700070857951317</v>
      </c>
      <c r="AF475" s="4" t="s">
        <v>938</v>
      </c>
    </row>
    <row r="476" spans="1:32" ht="11.25" customHeight="1" x14ac:dyDescent="0.25">
      <c r="A476" s="4" t="s">
        <v>30</v>
      </c>
      <c r="B476" s="4" t="s">
        <v>22</v>
      </c>
      <c r="C476" s="4" t="s">
        <v>23</v>
      </c>
      <c r="D476" s="4" t="s">
        <v>24</v>
      </c>
      <c r="E476" s="4" t="s">
        <v>33</v>
      </c>
      <c r="F476" s="4" t="s">
        <v>25</v>
      </c>
      <c r="G476" s="4" t="s">
        <v>25</v>
      </c>
      <c r="H476" s="4" t="s">
        <v>25</v>
      </c>
      <c r="I476" s="5">
        <v>44593</v>
      </c>
      <c r="J476" s="6">
        <v>0</v>
      </c>
      <c r="K476" s="6">
        <v>0</v>
      </c>
      <c r="L476" s="6">
        <v>-0.12</v>
      </c>
      <c r="M476" s="6">
        <v>-0.12</v>
      </c>
      <c r="N476" s="6">
        <v>-0.12</v>
      </c>
      <c r="O476" s="6">
        <v>-0.12</v>
      </c>
      <c r="P476" s="6">
        <v>0</v>
      </c>
      <c r="Q476" s="4" t="s">
        <v>26</v>
      </c>
      <c r="R476" s="4">
        <v>0</v>
      </c>
      <c r="S476" s="4">
        <v>0</v>
      </c>
      <c r="T476" s="4">
        <v>42</v>
      </c>
      <c r="U476" s="4">
        <v>86</v>
      </c>
      <c r="V476" s="6">
        <f>IF(ISERROR(VLOOKUP($S$476,'TAR FIN'!$A$1:$O$115,15,0)),0,VLOOKUP($S$476,'TAR FIN'!$A$1:$O$115,15,0))</f>
        <v>0</v>
      </c>
      <c r="W476" s="6">
        <f>IF(ISERROR(VLOOKUP($T$476,'TAR FIN'!$A$1:$O$115,15,0)),0,VLOOKUP($T$476,'TAR FIN'!$A$1:$O$115,15,0))</f>
        <v>363.71</v>
      </c>
      <c r="X476" s="6">
        <f>IF(ISERROR(VLOOKUP($U$476,'TAR FIN'!$A$1:$O$115,15,0)),0,VLOOKUP($U$476,'TAR FIN'!$A$1:$O$115,15,0))</f>
        <v>158.91999999999999</v>
      </c>
      <c r="Y476" s="6"/>
      <c r="Z476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76" s="6">
        <f>('TE BE'!$AB$23+'TE BF'!$AB$23+'TE CVA'!$AB$23)*(1-CUSTOS!$M$36)</f>
        <v>207.6137769965251</v>
      </c>
      <c r="AB476" s="6">
        <f t="shared" si="24"/>
        <v>0</v>
      </c>
      <c r="AC476" s="6">
        <f>(L476-M476)*(W476+X476)+($W$522+$X$522-$W$476-$X$476)*(L476)</f>
        <v>-6.9684000000000088</v>
      </c>
      <c r="AD476" s="6">
        <f t="shared" si="25"/>
        <v>0</v>
      </c>
      <c r="AE476" s="6">
        <f ca="1">(L476-M476)*(Z476+AA476)+($Z$522+$AA$522-$Z$476-$AA$476)*(L476)</f>
        <v>-7.8102709976315383</v>
      </c>
      <c r="AF476" s="4" t="s">
        <v>938</v>
      </c>
    </row>
    <row r="477" spans="1:32" ht="11.25" customHeight="1" x14ac:dyDescent="0.25">
      <c r="A477" s="4" t="s">
        <v>21</v>
      </c>
      <c r="B477" s="4" t="s">
        <v>22</v>
      </c>
      <c r="C477" s="4" t="s">
        <v>23</v>
      </c>
      <c r="D477" s="4" t="s">
        <v>24</v>
      </c>
      <c r="E477" s="4" t="s">
        <v>33</v>
      </c>
      <c r="F477" s="4" t="s">
        <v>25</v>
      </c>
      <c r="G477" s="4" t="s">
        <v>25</v>
      </c>
      <c r="H477" s="4" t="s">
        <v>25</v>
      </c>
      <c r="I477" s="5">
        <v>44621</v>
      </c>
      <c r="J477" s="6">
        <v>0</v>
      </c>
      <c r="K477" s="6">
        <v>0</v>
      </c>
      <c r="L477" s="6">
        <v>2132.096</v>
      </c>
      <c r="M477" s="6">
        <v>2132.096</v>
      </c>
      <c r="N477" s="6">
        <v>2132.096</v>
      </c>
      <c r="O477" s="6">
        <v>2132.096</v>
      </c>
      <c r="P477" s="6">
        <v>19774</v>
      </c>
      <c r="Q477" s="4" t="s">
        <v>26</v>
      </c>
      <c r="R477" s="4">
        <v>0</v>
      </c>
      <c r="S477" s="4">
        <v>0</v>
      </c>
      <c r="T477" s="4">
        <v>42</v>
      </c>
      <c r="U477" s="4">
        <v>86</v>
      </c>
      <c r="V477" s="6">
        <f>IF(ISERROR(VLOOKUP($S$477,'TAR FIN'!$A$1:$O$115,15,0)),0,VLOOKUP($S$477,'TAR FIN'!$A$1:$O$115,15,0))</f>
        <v>0</v>
      </c>
      <c r="W477" s="6">
        <f>IF(ISERROR(VLOOKUP($T$477,'TAR FIN'!$A$1:$O$115,15,0)),0,VLOOKUP($T$477,'TAR FIN'!$A$1:$O$115,15,0))</f>
        <v>363.71</v>
      </c>
      <c r="X477" s="6">
        <f>IF(ISERROR(VLOOKUP($U$477,'TAR FIN'!$A$1:$O$115,15,0)),0,VLOOKUP($U$477,'TAR FIN'!$A$1:$O$115,15,0))</f>
        <v>158.91999999999999</v>
      </c>
      <c r="Y477" s="6"/>
      <c r="Z477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77" s="6">
        <f>('TE BE'!$AB$23+'TE BF'!$AB$23+'TE CVA'!$AB$23)*(1-CUSTOS!$M$36)</f>
        <v>207.6137769965251</v>
      </c>
      <c r="AB477" s="6">
        <f t="shared" si="24"/>
        <v>0</v>
      </c>
      <c r="AC477" s="6">
        <f>(L477-M477)*(W477+X477)+($W$522+$X$522-$W$477-$X$477)*(L477)</f>
        <v>123810.81472000017</v>
      </c>
      <c r="AD477" s="6">
        <f t="shared" si="25"/>
        <v>0</v>
      </c>
      <c r="AE477" s="6">
        <f ca="1">(L477-M477)*(Z477+AA477)+($Z$522+$AA$522-$Z$477-$AA$477)*(L477)</f>
        <v>138768.72960805177</v>
      </c>
      <c r="AF477" s="4" t="s">
        <v>938</v>
      </c>
    </row>
    <row r="478" spans="1:32" ht="11.25" customHeight="1" x14ac:dyDescent="0.25">
      <c r="A478" s="4" t="s">
        <v>27</v>
      </c>
      <c r="B478" s="4" t="s">
        <v>22</v>
      </c>
      <c r="C478" s="4" t="s">
        <v>23</v>
      </c>
      <c r="D478" s="4" t="s">
        <v>24</v>
      </c>
      <c r="E478" s="4" t="s">
        <v>33</v>
      </c>
      <c r="F478" s="4" t="s">
        <v>25</v>
      </c>
      <c r="G478" s="4" t="s">
        <v>25</v>
      </c>
      <c r="H478" s="4" t="s">
        <v>25</v>
      </c>
      <c r="I478" s="5">
        <v>44621</v>
      </c>
      <c r="J478" s="6">
        <v>0</v>
      </c>
      <c r="K478" s="6">
        <v>0</v>
      </c>
      <c r="L478" s="6">
        <v>-17.984000000000002</v>
      </c>
      <c r="M478" s="6">
        <v>-17.984000000000002</v>
      </c>
      <c r="N478" s="6">
        <v>-17.984000000000002</v>
      </c>
      <c r="O478" s="6">
        <v>-17.984000000000002</v>
      </c>
      <c r="P478" s="6">
        <v>-5</v>
      </c>
      <c r="Q478" s="4" t="s">
        <v>26</v>
      </c>
      <c r="R478" s="4">
        <v>0</v>
      </c>
      <c r="S478" s="4">
        <v>0</v>
      </c>
      <c r="T478" s="4">
        <v>42</v>
      </c>
      <c r="U478" s="4">
        <v>86</v>
      </c>
      <c r="V478" s="6">
        <f>IF(ISERROR(VLOOKUP($S$478,'TAR FIN'!$A$1:$O$115,15,0)),0,VLOOKUP($S$478,'TAR FIN'!$A$1:$O$115,15,0))</f>
        <v>0</v>
      </c>
      <c r="W478" s="6">
        <f>IF(ISERROR(VLOOKUP($T$478,'TAR FIN'!$A$1:$O$115,15,0)),0,VLOOKUP($T$478,'TAR FIN'!$A$1:$O$115,15,0))</f>
        <v>363.71</v>
      </c>
      <c r="X478" s="6">
        <f>IF(ISERROR(VLOOKUP($U$478,'TAR FIN'!$A$1:$O$115,15,0)),0,VLOOKUP($U$478,'TAR FIN'!$A$1:$O$115,15,0))</f>
        <v>158.91999999999999</v>
      </c>
      <c r="Y478" s="6"/>
      <c r="Z478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78" s="6">
        <f>('TE BE'!$AB$23+'TE BF'!$AB$23+'TE CVA'!$AB$23)*(1-CUSTOS!$M$36)</f>
        <v>207.6137769965251</v>
      </c>
      <c r="AB478" s="6">
        <f t="shared" si="24"/>
        <v>0</v>
      </c>
      <c r="AC478" s="6">
        <f>(L478-M478)*(W478+X478)+($W$522+$X$522-$W$478-$X$478)*(L478)</f>
        <v>-1044.3308800000016</v>
      </c>
      <c r="AD478" s="6">
        <f t="shared" si="25"/>
        <v>0</v>
      </c>
      <c r="AE478" s="6">
        <f ca="1">(L478-M478)*(Z478+AA478)+($Z$522+$AA$522-$Z$478-$AA$478)*(L478)</f>
        <v>-1170.4992801783801</v>
      </c>
      <c r="AF478" s="4" t="s">
        <v>938</v>
      </c>
    </row>
    <row r="479" spans="1:32" ht="11.25" customHeight="1" x14ac:dyDescent="0.25">
      <c r="A479" s="4" t="s">
        <v>28</v>
      </c>
      <c r="B479" s="4" t="s">
        <v>22</v>
      </c>
      <c r="C479" s="4" t="s">
        <v>23</v>
      </c>
      <c r="D479" s="4" t="s">
        <v>24</v>
      </c>
      <c r="E479" s="4" t="s">
        <v>33</v>
      </c>
      <c r="F479" s="4" t="s">
        <v>25</v>
      </c>
      <c r="G479" s="4" t="s">
        <v>25</v>
      </c>
      <c r="H479" s="4" t="s">
        <v>25</v>
      </c>
      <c r="I479" s="5">
        <v>44621</v>
      </c>
      <c r="J479" s="6">
        <v>0</v>
      </c>
      <c r="K479" s="6">
        <v>0</v>
      </c>
      <c r="L479" s="6">
        <v>690.65200000000004</v>
      </c>
      <c r="M479" s="6">
        <v>690.65200000000004</v>
      </c>
      <c r="N479" s="6">
        <v>690.65200000000004</v>
      </c>
      <c r="O479" s="6">
        <v>690.65200000000004</v>
      </c>
      <c r="P479" s="6">
        <v>8988</v>
      </c>
      <c r="Q479" s="4" t="s">
        <v>26</v>
      </c>
      <c r="R479" s="4">
        <v>0</v>
      </c>
      <c r="S479" s="4">
        <v>0</v>
      </c>
      <c r="T479" s="4">
        <v>42</v>
      </c>
      <c r="U479" s="4">
        <v>86</v>
      </c>
      <c r="V479" s="6">
        <f>IF(ISERROR(VLOOKUP($S$479,'TAR FIN'!$A$1:$O$115,15,0)),0,VLOOKUP($S$479,'TAR FIN'!$A$1:$O$115,15,0))</f>
        <v>0</v>
      </c>
      <c r="W479" s="6">
        <f>IF(ISERROR(VLOOKUP($T$479,'TAR FIN'!$A$1:$O$115,15,0)),0,VLOOKUP($T$479,'TAR FIN'!$A$1:$O$115,15,0))</f>
        <v>363.71</v>
      </c>
      <c r="X479" s="6">
        <f>IF(ISERROR(VLOOKUP($U$479,'TAR FIN'!$A$1:$O$115,15,0)),0,VLOOKUP($U$479,'TAR FIN'!$A$1:$O$115,15,0))</f>
        <v>158.91999999999999</v>
      </c>
      <c r="Y479" s="6"/>
      <c r="Z479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79" s="6">
        <f>('TE BE'!$AB$23+'TE BF'!$AB$23+'TE CVA'!$AB$23)*(1-CUSTOS!$M$36)</f>
        <v>207.6137769965251</v>
      </c>
      <c r="AB479" s="6">
        <f t="shared" si="24"/>
        <v>0</v>
      </c>
      <c r="AC479" s="6">
        <f>(L479-M479)*(W479+X479)+($W$522+$X$522-$W$479-$X$479)*(L479)</f>
        <v>40106.161640000057</v>
      </c>
      <c r="AD479" s="6">
        <f t="shared" si="25"/>
        <v>0</v>
      </c>
      <c r="AE479" s="6">
        <f ca="1">(L479-M479)*(Z479+AA479)+($Z$522+$AA$522-$Z$479-$AA$479)*(L479)</f>
        <v>44951.494042135149</v>
      </c>
      <c r="AF479" s="4" t="s">
        <v>938</v>
      </c>
    </row>
    <row r="480" spans="1:32" ht="11.25" customHeight="1" x14ac:dyDescent="0.25">
      <c r="A480" s="4" t="s">
        <v>29</v>
      </c>
      <c r="B480" s="4" t="s">
        <v>22</v>
      </c>
      <c r="C480" s="4" t="s">
        <v>23</v>
      </c>
      <c r="D480" s="4" t="s">
        <v>24</v>
      </c>
      <c r="E480" s="4" t="s">
        <v>33</v>
      </c>
      <c r="F480" s="4" t="s">
        <v>25</v>
      </c>
      <c r="G480" s="4" t="s">
        <v>25</v>
      </c>
      <c r="H480" s="4" t="s">
        <v>25</v>
      </c>
      <c r="I480" s="5">
        <v>44621</v>
      </c>
      <c r="J480" s="6">
        <v>0</v>
      </c>
      <c r="K480" s="6">
        <v>0</v>
      </c>
      <c r="L480" s="6">
        <v>-1.0860000000000001</v>
      </c>
      <c r="M480" s="6">
        <v>-1.0860000000000001</v>
      </c>
      <c r="N480" s="6">
        <v>-1.0860000000000001</v>
      </c>
      <c r="O480" s="6">
        <v>-1.0860000000000001</v>
      </c>
      <c r="P480" s="6">
        <v>-14</v>
      </c>
      <c r="Q480" s="4" t="s">
        <v>26</v>
      </c>
      <c r="R480" s="4">
        <v>0</v>
      </c>
      <c r="S480" s="4">
        <v>0</v>
      </c>
      <c r="T480" s="4">
        <v>42</v>
      </c>
      <c r="U480" s="4">
        <v>86</v>
      </c>
      <c r="V480" s="6">
        <f>IF(ISERROR(VLOOKUP($S$480,'TAR FIN'!$A$1:$O$115,15,0)),0,VLOOKUP($S$480,'TAR FIN'!$A$1:$O$115,15,0))</f>
        <v>0</v>
      </c>
      <c r="W480" s="6">
        <f>IF(ISERROR(VLOOKUP($T$480,'TAR FIN'!$A$1:$O$115,15,0)),0,VLOOKUP($T$480,'TAR FIN'!$A$1:$O$115,15,0))</f>
        <v>363.71</v>
      </c>
      <c r="X480" s="6">
        <f>IF(ISERROR(VLOOKUP($U$480,'TAR FIN'!$A$1:$O$115,15,0)),0,VLOOKUP($U$480,'TAR FIN'!$A$1:$O$115,15,0))</f>
        <v>158.91999999999999</v>
      </c>
      <c r="Y480" s="6"/>
      <c r="Z480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80" s="6">
        <f>('TE BE'!$AB$23+'TE BF'!$AB$23+'TE CVA'!$AB$23)*(1-CUSTOS!$M$36)</f>
        <v>207.6137769965251</v>
      </c>
      <c r="AB480" s="6">
        <f t="shared" si="24"/>
        <v>0</v>
      </c>
      <c r="AC480" s="6">
        <f>(L480-M480)*(W480+X480)+($W$522+$X$522-$W$480-$X$480)*(L480)</f>
        <v>-63.064020000000092</v>
      </c>
      <c r="AD480" s="6">
        <f t="shared" si="25"/>
        <v>0</v>
      </c>
      <c r="AE480" s="6">
        <f ca="1">(L480-M480)*(Z480+AA480)+($Z$522+$AA$522-$Z$480-$AA$480)*(L480)</f>
        <v>-70.682952528565423</v>
      </c>
      <c r="AF480" s="4" t="s">
        <v>938</v>
      </c>
    </row>
    <row r="481" spans="1:32" ht="11.25" customHeight="1" x14ac:dyDescent="0.25">
      <c r="A481" s="4" t="s">
        <v>30</v>
      </c>
      <c r="B481" s="4" t="s">
        <v>22</v>
      </c>
      <c r="C481" s="4" t="s">
        <v>23</v>
      </c>
      <c r="D481" s="4" t="s">
        <v>24</v>
      </c>
      <c r="E481" s="4" t="s">
        <v>33</v>
      </c>
      <c r="F481" s="4" t="s">
        <v>25</v>
      </c>
      <c r="G481" s="4" t="s">
        <v>25</v>
      </c>
      <c r="H481" s="4" t="s">
        <v>25</v>
      </c>
      <c r="I481" s="5">
        <v>44621</v>
      </c>
      <c r="J481" s="6">
        <v>0</v>
      </c>
      <c r="K481" s="6">
        <v>0</v>
      </c>
      <c r="L481" s="6">
        <v>1.1200000000000001</v>
      </c>
      <c r="M481" s="6">
        <v>1.1200000000000001</v>
      </c>
      <c r="N481" s="6">
        <v>1.1200000000000001</v>
      </c>
      <c r="O481" s="6">
        <v>1.1200000000000001</v>
      </c>
      <c r="P481" s="6">
        <v>5</v>
      </c>
      <c r="Q481" s="4" t="s">
        <v>26</v>
      </c>
      <c r="R481" s="4">
        <v>0</v>
      </c>
      <c r="S481" s="4">
        <v>0</v>
      </c>
      <c r="T481" s="4">
        <v>42</v>
      </c>
      <c r="U481" s="4">
        <v>86</v>
      </c>
      <c r="V481" s="6">
        <f>IF(ISERROR(VLOOKUP($S$481,'TAR FIN'!$A$1:$O$115,15,0)),0,VLOOKUP($S$481,'TAR FIN'!$A$1:$O$115,15,0))</f>
        <v>0</v>
      </c>
      <c r="W481" s="6">
        <f>IF(ISERROR(VLOOKUP($T$481,'TAR FIN'!$A$1:$O$115,15,0)),0,VLOOKUP($T$481,'TAR FIN'!$A$1:$O$115,15,0))</f>
        <v>363.71</v>
      </c>
      <c r="X481" s="6">
        <f>IF(ISERROR(VLOOKUP($U$481,'TAR FIN'!$A$1:$O$115,15,0)),0,VLOOKUP($U$481,'TAR FIN'!$A$1:$O$115,15,0))</f>
        <v>158.91999999999999</v>
      </c>
      <c r="Y481" s="6"/>
      <c r="Z481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81" s="6">
        <f>('TE BE'!$AB$23+'TE BF'!$AB$23+'TE CVA'!$AB$23)*(1-CUSTOS!$M$36)</f>
        <v>207.6137769965251</v>
      </c>
      <c r="AB481" s="6">
        <f t="shared" si="24"/>
        <v>0</v>
      </c>
      <c r="AC481" s="6">
        <f>(L481-M481)*(W481+X481)+($W$522+$X$522-$W$481-$X$481)*(L481)</f>
        <v>65.038400000000095</v>
      </c>
      <c r="AD481" s="6">
        <f t="shared" si="25"/>
        <v>0</v>
      </c>
      <c r="AE481" s="6">
        <f ca="1">(L481-M481)*(Z481+AA481)+($Z$522+$AA$522-$Z$481-$AA$481)*(L481)</f>
        <v>72.895862644561035</v>
      </c>
      <c r="AF481" s="4" t="s">
        <v>938</v>
      </c>
    </row>
    <row r="482" spans="1:32" ht="11.25" customHeight="1" x14ac:dyDescent="0.25">
      <c r="A482" s="4" t="s">
        <v>21</v>
      </c>
      <c r="B482" s="4" t="s">
        <v>22</v>
      </c>
      <c r="C482" s="4" t="s">
        <v>23</v>
      </c>
      <c r="D482" s="4" t="s">
        <v>24</v>
      </c>
      <c r="E482" s="4" t="s">
        <v>33</v>
      </c>
      <c r="F482" s="4" t="s">
        <v>25</v>
      </c>
      <c r="G482" s="4" t="s">
        <v>25</v>
      </c>
      <c r="H482" s="4" t="s">
        <v>25</v>
      </c>
      <c r="I482" s="5">
        <v>44652</v>
      </c>
      <c r="J482" s="6">
        <v>0</v>
      </c>
      <c r="K482" s="6">
        <v>0</v>
      </c>
      <c r="L482" s="6">
        <v>2202.0889999999999</v>
      </c>
      <c r="M482" s="6">
        <v>2202.0889999999999</v>
      </c>
      <c r="N482" s="6">
        <v>2202.0889999999999</v>
      </c>
      <c r="O482" s="6">
        <v>2202.0889999999999</v>
      </c>
      <c r="P482" s="6">
        <v>20561</v>
      </c>
      <c r="Q482" s="4" t="s">
        <v>26</v>
      </c>
      <c r="R482" s="4">
        <v>0</v>
      </c>
      <c r="S482" s="4">
        <v>0</v>
      </c>
      <c r="T482" s="4">
        <v>42</v>
      </c>
      <c r="U482" s="4">
        <v>86</v>
      </c>
      <c r="V482" s="6">
        <f>IF(ISERROR(VLOOKUP($S$482,'TAR FIN'!$A$1:$O$115,15,0)),0,VLOOKUP($S$482,'TAR FIN'!$A$1:$O$115,15,0))</f>
        <v>0</v>
      </c>
      <c r="W482" s="6">
        <f>IF(ISERROR(VLOOKUP($T$482,'TAR FIN'!$A$1:$O$115,15,0)),0,VLOOKUP($T$482,'TAR FIN'!$A$1:$O$115,15,0))</f>
        <v>363.71</v>
      </c>
      <c r="X482" s="6">
        <f>IF(ISERROR(VLOOKUP($U$482,'TAR FIN'!$A$1:$O$115,15,0)),0,VLOOKUP($U$482,'TAR FIN'!$A$1:$O$115,15,0))</f>
        <v>158.91999999999999</v>
      </c>
      <c r="Y482" s="6"/>
      <c r="Z482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82" s="6">
        <f>('TE BE'!$AB$23+'TE BF'!$AB$23+'TE CVA'!$AB$23)*(1-CUSTOS!$M$36)</f>
        <v>207.6137769965251</v>
      </c>
      <c r="AB482" s="6">
        <f t="shared" si="24"/>
        <v>0</v>
      </c>
      <c r="AC482" s="6">
        <f>(L482-M482)*(W482+X482)+($W$522+$X$522-$W$482-$X$482)*(L482)</f>
        <v>127875.30823000017</v>
      </c>
      <c r="AD482" s="6">
        <f t="shared" si="25"/>
        <v>0</v>
      </c>
      <c r="AE482" s="6">
        <f ca="1">(L482-M482)*(Z482+AA482)+($Z$522+$AA$522-$Z$482-$AA$482)*(L482)</f>
        <v>143324.2654241953</v>
      </c>
      <c r="AF482" s="4" t="s">
        <v>938</v>
      </c>
    </row>
    <row r="483" spans="1:32" ht="11.25" customHeight="1" x14ac:dyDescent="0.25">
      <c r="A483" s="4" t="s">
        <v>27</v>
      </c>
      <c r="B483" s="4" t="s">
        <v>22</v>
      </c>
      <c r="C483" s="4" t="s">
        <v>23</v>
      </c>
      <c r="D483" s="4" t="s">
        <v>24</v>
      </c>
      <c r="E483" s="4" t="s">
        <v>33</v>
      </c>
      <c r="F483" s="4" t="s">
        <v>25</v>
      </c>
      <c r="G483" s="4" t="s">
        <v>25</v>
      </c>
      <c r="H483" s="4" t="s">
        <v>25</v>
      </c>
      <c r="I483" s="5">
        <v>44652</v>
      </c>
      <c r="J483" s="6">
        <v>0</v>
      </c>
      <c r="K483" s="6">
        <v>0</v>
      </c>
      <c r="L483" s="6">
        <v>-10.914999999999999</v>
      </c>
      <c r="M483" s="6">
        <v>-10.914999999999999</v>
      </c>
      <c r="N483" s="6">
        <v>-10.914999999999999</v>
      </c>
      <c r="O483" s="6">
        <v>-10.914999999999999</v>
      </c>
      <c r="P483" s="6">
        <v>-7</v>
      </c>
      <c r="Q483" s="4" t="s">
        <v>26</v>
      </c>
      <c r="R483" s="4">
        <v>0</v>
      </c>
      <c r="S483" s="4">
        <v>0</v>
      </c>
      <c r="T483" s="4">
        <v>42</v>
      </c>
      <c r="U483" s="4">
        <v>86</v>
      </c>
      <c r="V483" s="6">
        <f>IF(ISERROR(VLOOKUP($S$483,'TAR FIN'!$A$1:$O$115,15,0)),0,VLOOKUP($S$483,'TAR FIN'!$A$1:$O$115,15,0))</f>
        <v>0</v>
      </c>
      <c r="W483" s="6">
        <f>IF(ISERROR(VLOOKUP($T$483,'TAR FIN'!$A$1:$O$115,15,0)),0,VLOOKUP($T$483,'TAR FIN'!$A$1:$O$115,15,0))</f>
        <v>363.71</v>
      </c>
      <c r="X483" s="6">
        <f>IF(ISERROR(VLOOKUP($U$483,'TAR FIN'!$A$1:$O$115,15,0)),0,VLOOKUP($U$483,'TAR FIN'!$A$1:$O$115,15,0))</f>
        <v>158.91999999999999</v>
      </c>
      <c r="Y483" s="6"/>
      <c r="Z483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83" s="6">
        <f>('TE BE'!$AB$23+'TE BF'!$AB$23+'TE CVA'!$AB$23)*(1-CUSTOS!$M$36)</f>
        <v>207.6137769965251</v>
      </c>
      <c r="AB483" s="6">
        <f t="shared" si="24"/>
        <v>0</v>
      </c>
      <c r="AC483" s="6">
        <f>(L483-M483)*(W483+X483)+($W$522+$X$522-$W$483-$X$483)*(L483)</f>
        <v>-633.83405000000084</v>
      </c>
      <c r="AD483" s="6">
        <f t="shared" si="25"/>
        <v>0</v>
      </c>
      <c r="AE483" s="6">
        <f ca="1">(L483-M483)*(Z483+AA483)+($Z$522+$AA$522-$Z$483-$AA$483)*(L483)</f>
        <v>-710.40923282623532</v>
      </c>
      <c r="AF483" s="4" t="s">
        <v>938</v>
      </c>
    </row>
    <row r="484" spans="1:32" ht="11.25" customHeight="1" x14ac:dyDescent="0.25">
      <c r="A484" s="4" t="s">
        <v>28</v>
      </c>
      <c r="B484" s="4" t="s">
        <v>22</v>
      </c>
      <c r="C484" s="4" t="s">
        <v>23</v>
      </c>
      <c r="D484" s="4" t="s">
        <v>24</v>
      </c>
      <c r="E484" s="4" t="s">
        <v>33</v>
      </c>
      <c r="F484" s="4" t="s">
        <v>25</v>
      </c>
      <c r="G484" s="4" t="s">
        <v>25</v>
      </c>
      <c r="H484" s="4" t="s">
        <v>25</v>
      </c>
      <c r="I484" s="5">
        <v>44652</v>
      </c>
      <c r="J484" s="6">
        <v>0</v>
      </c>
      <c r="K484" s="6">
        <v>0</v>
      </c>
      <c r="L484" s="6">
        <v>715.89200000000005</v>
      </c>
      <c r="M484" s="6">
        <v>715.89200000000005</v>
      </c>
      <c r="N484" s="6">
        <v>715.89200000000005</v>
      </c>
      <c r="O484" s="6">
        <v>715.89200000000005</v>
      </c>
      <c r="P484" s="6">
        <v>9310</v>
      </c>
      <c r="Q484" s="4" t="s">
        <v>26</v>
      </c>
      <c r="R484" s="4">
        <v>0</v>
      </c>
      <c r="S484" s="4">
        <v>0</v>
      </c>
      <c r="T484" s="4">
        <v>42</v>
      </c>
      <c r="U484" s="4">
        <v>86</v>
      </c>
      <c r="V484" s="6">
        <f>IF(ISERROR(VLOOKUP($S$484,'TAR FIN'!$A$1:$O$115,15,0)),0,VLOOKUP($S$484,'TAR FIN'!$A$1:$O$115,15,0))</f>
        <v>0</v>
      </c>
      <c r="W484" s="6">
        <f>IF(ISERROR(VLOOKUP($T$484,'TAR FIN'!$A$1:$O$115,15,0)),0,VLOOKUP($T$484,'TAR FIN'!$A$1:$O$115,15,0))</f>
        <v>363.71</v>
      </c>
      <c r="X484" s="6">
        <f>IF(ISERROR(VLOOKUP($U$484,'TAR FIN'!$A$1:$O$115,15,0)),0,VLOOKUP($U$484,'TAR FIN'!$A$1:$O$115,15,0))</f>
        <v>158.91999999999999</v>
      </c>
      <c r="Y484" s="6"/>
      <c r="Z484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84" s="6">
        <f>('TE BE'!$AB$23+'TE BF'!$AB$23+'TE CVA'!$AB$23)*(1-CUSTOS!$M$36)</f>
        <v>207.6137769965251</v>
      </c>
      <c r="AB484" s="6">
        <f t="shared" si="24"/>
        <v>0</v>
      </c>
      <c r="AC484" s="6">
        <f>(L484-M484)*(W484+X484)+($W$522+$X$522-$W$484-$X$484)*(L484)</f>
        <v>41571.84844000006</v>
      </c>
      <c r="AD484" s="6">
        <f t="shared" si="25"/>
        <v>0</v>
      </c>
      <c r="AE484" s="6">
        <f ca="1">(L484-M484)*(Z484+AA484)+($Z$522+$AA$522-$Z$484-$AA$484)*(L484)</f>
        <v>46594.254375303644</v>
      </c>
      <c r="AF484" s="4" t="s">
        <v>938</v>
      </c>
    </row>
    <row r="485" spans="1:32" ht="11.25" customHeight="1" x14ac:dyDescent="0.25">
      <c r="A485" s="4" t="s">
        <v>29</v>
      </c>
      <c r="B485" s="4" t="s">
        <v>22</v>
      </c>
      <c r="C485" s="4" t="s">
        <v>23</v>
      </c>
      <c r="D485" s="4" t="s">
        <v>24</v>
      </c>
      <c r="E485" s="4" t="s">
        <v>33</v>
      </c>
      <c r="F485" s="4" t="s">
        <v>25</v>
      </c>
      <c r="G485" s="4" t="s">
        <v>25</v>
      </c>
      <c r="H485" s="4" t="s">
        <v>25</v>
      </c>
      <c r="I485" s="5">
        <v>44652</v>
      </c>
      <c r="J485" s="6">
        <v>0</v>
      </c>
      <c r="K485" s="6">
        <v>0</v>
      </c>
      <c r="L485" s="6">
        <v>-1.1240000000000001</v>
      </c>
      <c r="M485" s="6">
        <v>-1.1240000000000001</v>
      </c>
      <c r="N485" s="6">
        <v>-1.1240000000000001</v>
      </c>
      <c r="O485" s="6">
        <v>-1.1240000000000001</v>
      </c>
      <c r="P485" s="6">
        <v>-42</v>
      </c>
      <c r="Q485" s="4" t="s">
        <v>26</v>
      </c>
      <c r="R485" s="4">
        <v>0</v>
      </c>
      <c r="S485" s="4">
        <v>0</v>
      </c>
      <c r="T485" s="4">
        <v>42</v>
      </c>
      <c r="U485" s="4">
        <v>86</v>
      </c>
      <c r="V485" s="6">
        <f>IF(ISERROR(VLOOKUP($S$485,'TAR FIN'!$A$1:$O$115,15,0)),0,VLOOKUP($S$485,'TAR FIN'!$A$1:$O$115,15,0))</f>
        <v>0</v>
      </c>
      <c r="W485" s="6">
        <f>IF(ISERROR(VLOOKUP($T$485,'TAR FIN'!$A$1:$O$115,15,0)),0,VLOOKUP($T$485,'TAR FIN'!$A$1:$O$115,15,0))</f>
        <v>363.71</v>
      </c>
      <c r="X485" s="6">
        <f>IF(ISERROR(VLOOKUP($U$485,'TAR FIN'!$A$1:$O$115,15,0)),0,VLOOKUP($U$485,'TAR FIN'!$A$1:$O$115,15,0))</f>
        <v>158.91999999999999</v>
      </c>
      <c r="Y485" s="6"/>
      <c r="Z485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85" s="6">
        <f>('TE BE'!$AB$23+'TE BF'!$AB$23+'TE CVA'!$AB$23)*(1-CUSTOS!$M$36)</f>
        <v>207.6137769965251</v>
      </c>
      <c r="AB485" s="6">
        <f t="shared" si="24"/>
        <v>0</v>
      </c>
      <c r="AC485" s="6">
        <f>(L485-M485)*(W485+X485)+($W$522+$X$522-$W$485-$X$485)*(L485)</f>
        <v>-65.270680000000098</v>
      </c>
      <c r="AD485" s="6">
        <f t="shared" si="25"/>
        <v>0</v>
      </c>
      <c r="AE485" s="6">
        <f ca="1">(L485-M485)*(Z485+AA485)+($Z$522+$AA$522-$Z$485-$AA$485)*(L485)</f>
        <v>-73.156205011148757</v>
      </c>
      <c r="AF485" s="4" t="s">
        <v>938</v>
      </c>
    </row>
    <row r="486" spans="1:32" ht="11.25" customHeight="1" x14ac:dyDescent="0.25">
      <c r="A486" s="4" t="s">
        <v>30</v>
      </c>
      <c r="B486" s="4" t="s">
        <v>22</v>
      </c>
      <c r="C486" s="4" t="s">
        <v>23</v>
      </c>
      <c r="D486" s="4" t="s">
        <v>24</v>
      </c>
      <c r="E486" s="4" t="s">
        <v>33</v>
      </c>
      <c r="F486" s="4" t="s">
        <v>25</v>
      </c>
      <c r="G486" s="4" t="s">
        <v>25</v>
      </c>
      <c r="H486" s="4" t="s">
        <v>25</v>
      </c>
      <c r="I486" s="5">
        <v>44652</v>
      </c>
      <c r="J486" s="6">
        <v>0</v>
      </c>
      <c r="K486" s="6">
        <v>0</v>
      </c>
      <c r="L486" s="6">
        <v>1.546</v>
      </c>
      <c r="M486" s="6">
        <v>1.546</v>
      </c>
      <c r="N486" s="6">
        <v>1.546</v>
      </c>
      <c r="O486" s="6">
        <v>1.546</v>
      </c>
      <c r="P486" s="6">
        <v>7</v>
      </c>
      <c r="Q486" s="4" t="s">
        <v>26</v>
      </c>
      <c r="R486" s="4">
        <v>0</v>
      </c>
      <c r="S486" s="4">
        <v>0</v>
      </c>
      <c r="T486" s="4">
        <v>42</v>
      </c>
      <c r="U486" s="4">
        <v>86</v>
      </c>
      <c r="V486" s="6">
        <f>IF(ISERROR(VLOOKUP($S$486,'TAR FIN'!$A$1:$O$115,15,0)),0,VLOOKUP($S$486,'TAR FIN'!$A$1:$O$115,15,0))</f>
        <v>0</v>
      </c>
      <c r="W486" s="6">
        <f>IF(ISERROR(VLOOKUP($T$486,'TAR FIN'!$A$1:$O$115,15,0)),0,VLOOKUP($T$486,'TAR FIN'!$A$1:$O$115,15,0))</f>
        <v>363.71</v>
      </c>
      <c r="X486" s="6">
        <f>IF(ISERROR(VLOOKUP($U$486,'TAR FIN'!$A$1:$O$115,15,0)),0,VLOOKUP($U$486,'TAR FIN'!$A$1:$O$115,15,0))</f>
        <v>158.91999999999999</v>
      </c>
      <c r="Y486" s="6"/>
      <c r="Z486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86" s="6">
        <f>('TE BE'!$AB$23+'TE BF'!$AB$23+'TE CVA'!$AB$23)*(1-CUSTOS!$M$36)</f>
        <v>207.6137769965251</v>
      </c>
      <c r="AB486" s="6">
        <f t="shared" si="24"/>
        <v>0</v>
      </c>
      <c r="AC486" s="6">
        <f>(L486-M486)*(W486+X486)+($W$522+$X$522-$W$486-$X$486)*(L486)</f>
        <v>89.776220000000123</v>
      </c>
      <c r="AD486" s="6">
        <f t="shared" si="25"/>
        <v>0</v>
      </c>
      <c r="AE486" s="6">
        <f ca="1">(L486-M486)*(Z486+AA486)+($Z$522+$AA$522-$Z$486-$AA$486)*(L486)</f>
        <v>100.62232468615299</v>
      </c>
      <c r="AF486" s="4" t="s">
        <v>938</v>
      </c>
    </row>
    <row r="487" spans="1:32" ht="11.25" customHeight="1" x14ac:dyDescent="0.25">
      <c r="A487" s="4" t="s">
        <v>21</v>
      </c>
      <c r="B487" s="4" t="s">
        <v>22</v>
      </c>
      <c r="C487" s="4" t="s">
        <v>23</v>
      </c>
      <c r="D487" s="4" t="s">
        <v>24</v>
      </c>
      <c r="E487" s="4" t="s">
        <v>33</v>
      </c>
      <c r="F487" s="4" t="s">
        <v>25</v>
      </c>
      <c r="G487" s="4" t="s">
        <v>25</v>
      </c>
      <c r="H487" s="4" t="s">
        <v>25</v>
      </c>
      <c r="I487" s="5">
        <v>44682</v>
      </c>
      <c r="J487" s="6">
        <v>0</v>
      </c>
      <c r="K487" s="6">
        <v>0</v>
      </c>
      <c r="L487" s="6">
        <v>2136.712</v>
      </c>
      <c r="M487" s="6">
        <v>2136.712</v>
      </c>
      <c r="N487" s="6">
        <v>2136.712</v>
      </c>
      <c r="O487" s="6">
        <v>2136.712</v>
      </c>
      <c r="P487" s="6">
        <v>19961</v>
      </c>
      <c r="Q487" s="4" t="s">
        <v>26</v>
      </c>
      <c r="R487" s="4">
        <v>0</v>
      </c>
      <c r="S487" s="4">
        <v>0</v>
      </c>
      <c r="T487" s="4">
        <v>42</v>
      </c>
      <c r="U487" s="4">
        <v>86</v>
      </c>
      <c r="V487" s="6">
        <f>IF(ISERROR(VLOOKUP($S$487,'TAR FIN'!$A$1:$O$115,15,0)),0,VLOOKUP($S$487,'TAR FIN'!$A$1:$O$115,15,0))</f>
        <v>0</v>
      </c>
      <c r="W487" s="6">
        <f>IF(ISERROR(VLOOKUP($T$487,'TAR FIN'!$A$1:$O$115,15,0)),0,VLOOKUP($T$487,'TAR FIN'!$A$1:$O$115,15,0))</f>
        <v>363.71</v>
      </c>
      <c r="X487" s="6">
        <f>IF(ISERROR(VLOOKUP($U$487,'TAR FIN'!$A$1:$O$115,15,0)),0,VLOOKUP($U$487,'TAR FIN'!$A$1:$O$115,15,0))</f>
        <v>158.91999999999999</v>
      </c>
      <c r="Y487" s="6"/>
      <c r="Z487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87" s="6">
        <f>('TE BE'!$AB$23+'TE BF'!$AB$23+'TE CVA'!$AB$23)*(1-CUSTOS!$M$36)</f>
        <v>207.6137769965251</v>
      </c>
      <c r="AB487" s="6">
        <f t="shared" si="24"/>
        <v>0</v>
      </c>
      <c r="AC487" s="6">
        <f>(L487-M487)*(W487+X487)+($W$522+$X$522-$W$487-$X$487)*(L487)</f>
        <v>124078.86584000017</v>
      </c>
      <c r="AD487" s="6">
        <f t="shared" si="25"/>
        <v>0</v>
      </c>
      <c r="AE487" s="6">
        <f ca="1">(L487-M487)*(Z487+AA487)+($Z$522+$AA$522-$Z$487-$AA$487)*(L487)</f>
        <v>139069.16469909399</v>
      </c>
      <c r="AF487" s="4" t="s">
        <v>938</v>
      </c>
    </row>
    <row r="488" spans="1:32" ht="11.25" customHeight="1" x14ac:dyDescent="0.25">
      <c r="A488" s="4" t="s">
        <v>27</v>
      </c>
      <c r="B488" s="4" t="s">
        <v>22</v>
      </c>
      <c r="C488" s="4" t="s">
        <v>23</v>
      </c>
      <c r="D488" s="4" t="s">
        <v>24</v>
      </c>
      <c r="E488" s="4" t="s">
        <v>33</v>
      </c>
      <c r="F488" s="4" t="s">
        <v>25</v>
      </c>
      <c r="G488" s="4" t="s">
        <v>25</v>
      </c>
      <c r="H488" s="4" t="s">
        <v>25</v>
      </c>
      <c r="I488" s="5">
        <v>44682</v>
      </c>
      <c r="J488" s="6">
        <v>0</v>
      </c>
      <c r="K488" s="6">
        <v>0</v>
      </c>
      <c r="L488" s="6">
        <v>-11.265000000000001</v>
      </c>
      <c r="M488" s="6">
        <v>-11.265000000000001</v>
      </c>
      <c r="N488" s="6">
        <v>-11.265000000000001</v>
      </c>
      <c r="O488" s="6">
        <v>-11.265000000000001</v>
      </c>
      <c r="P488" s="6">
        <v>-6</v>
      </c>
      <c r="Q488" s="4" t="s">
        <v>26</v>
      </c>
      <c r="R488" s="4">
        <v>0</v>
      </c>
      <c r="S488" s="4">
        <v>0</v>
      </c>
      <c r="T488" s="4">
        <v>42</v>
      </c>
      <c r="U488" s="4">
        <v>86</v>
      </c>
      <c r="V488" s="6">
        <f>IF(ISERROR(VLOOKUP($S$488,'TAR FIN'!$A$1:$O$115,15,0)),0,VLOOKUP($S$488,'TAR FIN'!$A$1:$O$115,15,0))</f>
        <v>0</v>
      </c>
      <c r="W488" s="6">
        <f>IF(ISERROR(VLOOKUP($T$488,'TAR FIN'!$A$1:$O$115,15,0)),0,VLOOKUP($T$488,'TAR FIN'!$A$1:$O$115,15,0))</f>
        <v>363.71</v>
      </c>
      <c r="X488" s="6">
        <f>IF(ISERROR(VLOOKUP($U$488,'TAR FIN'!$A$1:$O$115,15,0)),0,VLOOKUP($U$488,'TAR FIN'!$A$1:$O$115,15,0))</f>
        <v>158.91999999999999</v>
      </c>
      <c r="Y488" s="6"/>
      <c r="Z488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88" s="6">
        <f>('TE BE'!$AB$23+'TE BF'!$AB$23+'TE CVA'!$AB$23)*(1-CUSTOS!$M$36)</f>
        <v>207.6137769965251</v>
      </c>
      <c r="AB488" s="6">
        <f t="shared" si="24"/>
        <v>0</v>
      </c>
      <c r="AC488" s="6">
        <f>(L488-M488)*(W488+X488)+($W$522+$X$522-$W$488-$X$488)*(L488)</f>
        <v>-654.1585500000009</v>
      </c>
      <c r="AD488" s="6">
        <f t="shared" si="25"/>
        <v>0</v>
      </c>
      <c r="AE488" s="6">
        <f ca="1">(L488-M488)*(Z488+AA488)+($Z$522+$AA$522-$Z$488-$AA$488)*(L488)</f>
        <v>-733.1891899026607</v>
      </c>
      <c r="AF488" s="4" t="s">
        <v>938</v>
      </c>
    </row>
    <row r="489" spans="1:32" ht="11.25" customHeight="1" x14ac:dyDescent="0.25">
      <c r="A489" s="4" t="s">
        <v>28</v>
      </c>
      <c r="B489" s="4" t="s">
        <v>22</v>
      </c>
      <c r="C489" s="4" t="s">
        <v>23</v>
      </c>
      <c r="D489" s="4" t="s">
        <v>24</v>
      </c>
      <c r="E489" s="4" t="s">
        <v>33</v>
      </c>
      <c r="F489" s="4" t="s">
        <v>25</v>
      </c>
      <c r="G489" s="4" t="s">
        <v>25</v>
      </c>
      <c r="H489" s="4" t="s">
        <v>25</v>
      </c>
      <c r="I489" s="5">
        <v>44682</v>
      </c>
      <c r="J489" s="6">
        <v>0</v>
      </c>
      <c r="K489" s="6">
        <v>0</v>
      </c>
      <c r="L489" s="6">
        <v>669.12400000000002</v>
      </c>
      <c r="M489" s="6">
        <v>669.12400000000002</v>
      </c>
      <c r="N489" s="6">
        <v>669.12400000000002</v>
      </c>
      <c r="O489" s="6">
        <v>669.12400000000002</v>
      </c>
      <c r="P489" s="6">
        <v>8927</v>
      </c>
      <c r="Q489" s="4" t="s">
        <v>26</v>
      </c>
      <c r="R489" s="4">
        <v>0</v>
      </c>
      <c r="S489" s="4">
        <v>0</v>
      </c>
      <c r="T489" s="4">
        <v>42</v>
      </c>
      <c r="U489" s="4">
        <v>86</v>
      </c>
      <c r="V489" s="6">
        <f>IF(ISERROR(VLOOKUP($S$489,'TAR FIN'!$A$1:$O$115,15,0)),0,VLOOKUP($S$489,'TAR FIN'!$A$1:$O$115,15,0))</f>
        <v>0</v>
      </c>
      <c r="W489" s="6">
        <f>IF(ISERROR(VLOOKUP($T$489,'TAR FIN'!$A$1:$O$115,15,0)),0,VLOOKUP($T$489,'TAR FIN'!$A$1:$O$115,15,0))</f>
        <v>363.71</v>
      </c>
      <c r="X489" s="6">
        <f>IF(ISERROR(VLOOKUP($U$489,'TAR FIN'!$A$1:$O$115,15,0)),0,VLOOKUP($U$489,'TAR FIN'!$A$1:$O$115,15,0))</f>
        <v>158.91999999999999</v>
      </c>
      <c r="Y489" s="6"/>
      <c r="Z489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89" s="6">
        <f>('TE BE'!$AB$23+'TE BF'!$AB$23+'TE CVA'!$AB$23)*(1-CUSTOS!$M$36)</f>
        <v>207.6137769965251</v>
      </c>
      <c r="AB489" s="6">
        <f t="shared" si="24"/>
        <v>0</v>
      </c>
      <c r="AC489" s="6">
        <f>(L489-M489)*(W489+X489)+($W$522+$X$522-$W$489-$X$489)*(L489)</f>
        <v>38856.030680000054</v>
      </c>
      <c r="AD489" s="6">
        <f t="shared" si="25"/>
        <v>0</v>
      </c>
      <c r="AE489" s="6">
        <f ca="1">(L489-M489)*(Z489+AA489)+($Z$522+$AA$522-$Z$489-$AA$489)*(L489)</f>
        <v>43550.331425160046</v>
      </c>
      <c r="AF489" s="4" t="s">
        <v>938</v>
      </c>
    </row>
    <row r="490" spans="1:32" ht="11.25" customHeight="1" x14ac:dyDescent="0.25">
      <c r="A490" s="4" t="s">
        <v>29</v>
      </c>
      <c r="B490" s="4" t="s">
        <v>22</v>
      </c>
      <c r="C490" s="4" t="s">
        <v>23</v>
      </c>
      <c r="D490" s="4" t="s">
        <v>24</v>
      </c>
      <c r="E490" s="4" t="s">
        <v>33</v>
      </c>
      <c r="F490" s="4" t="s">
        <v>25</v>
      </c>
      <c r="G490" s="4" t="s">
        <v>25</v>
      </c>
      <c r="H490" s="4" t="s">
        <v>25</v>
      </c>
      <c r="I490" s="5">
        <v>44682</v>
      </c>
      <c r="J490" s="6">
        <v>0</v>
      </c>
      <c r="K490" s="6">
        <v>0</v>
      </c>
      <c r="L490" s="6">
        <v>-1.2549999999999999</v>
      </c>
      <c r="M490" s="6">
        <v>-1.2549999999999999</v>
      </c>
      <c r="N490" s="6">
        <v>-1.2549999999999999</v>
      </c>
      <c r="O490" s="6">
        <v>-1.2549999999999999</v>
      </c>
      <c r="P490" s="6">
        <v>-6</v>
      </c>
      <c r="Q490" s="4" t="s">
        <v>26</v>
      </c>
      <c r="R490" s="4">
        <v>0</v>
      </c>
      <c r="S490" s="4">
        <v>0</v>
      </c>
      <c r="T490" s="4">
        <v>42</v>
      </c>
      <c r="U490" s="4">
        <v>86</v>
      </c>
      <c r="V490" s="6">
        <f>IF(ISERROR(VLOOKUP($S$490,'TAR FIN'!$A$1:$O$115,15,0)),0,VLOOKUP($S$490,'TAR FIN'!$A$1:$O$115,15,0))</f>
        <v>0</v>
      </c>
      <c r="W490" s="6">
        <f>IF(ISERROR(VLOOKUP($T$490,'TAR FIN'!$A$1:$O$115,15,0)),0,VLOOKUP($T$490,'TAR FIN'!$A$1:$O$115,15,0))</f>
        <v>363.71</v>
      </c>
      <c r="X490" s="6">
        <f>IF(ISERROR(VLOOKUP($U$490,'TAR FIN'!$A$1:$O$115,15,0)),0,VLOOKUP($U$490,'TAR FIN'!$A$1:$O$115,15,0))</f>
        <v>158.91999999999999</v>
      </c>
      <c r="Y490" s="6"/>
      <c r="Z490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90" s="6">
        <f>('TE BE'!$AB$23+'TE BF'!$AB$23+'TE CVA'!$AB$23)*(1-CUSTOS!$M$36)</f>
        <v>207.6137769965251</v>
      </c>
      <c r="AB490" s="6">
        <f t="shared" si="24"/>
        <v>0</v>
      </c>
      <c r="AC490" s="6">
        <f>(L490-M490)*(W490+X490)+($W$522+$X$522-$W$490-$X$490)*(L490)</f>
        <v>-72.877850000000095</v>
      </c>
      <c r="AD490" s="6">
        <f t="shared" si="25"/>
        <v>0</v>
      </c>
      <c r="AE490" s="6">
        <f ca="1">(L490-M490)*(Z490+AA490)+($Z$522+$AA$522-$Z$490-$AA$490)*(L490)</f>
        <v>-81.682417516896493</v>
      </c>
      <c r="AF490" s="4" t="s">
        <v>938</v>
      </c>
    </row>
    <row r="491" spans="1:32" ht="11.25" customHeight="1" x14ac:dyDescent="0.25">
      <c r="A491" s="4" t="s">
        <v>30</v>
      </c>
      <c r="B491" s="4" t="s">
        <v>22</v>
      </c>
      <c r="C491" s="4" t="s">
        <v>23</v>
      </c>
      <c r="D491" s="4" t="s">
        <v>24</v>
      </c>
      <c r="E491" s="4" t="s">
        <v>33</v>
      </c>
      <c r="F491" s="4" t="s">
        <v>25</v>
      </c>
      <c r="G491" s="4" t="s">
        <v>25</v>
      </c>
      <c r="H491" s="4" t="s">
        <v>25</v>
      </c>
      <c r="I491" s="5">
        <v>44682</v>
      </c>
      <c r="J491" s="6">
        <v>0</v>
      </c>
      <c r="K491" s="6">
        <v>0</v>
      </c>
      <c r="L491" s="6">
        <v>1.0049999999999999</v>
      </c>
      <c r="M491" s="6">
        <v>1.0049999999999999</v>
      </c>
      <c r="N491" s="6">
        <v>1.0049999999999999</v>
      </c>
      <c r="O491" s="6">
        <v>1.0049999999999999</v>
      </c>
      <c r="P491" s="6">
        <v>5</v>
      </c>
      <c r="Q491" s="4" t="s">
        <v>26</v>
      </c>
      <c r="R491" s="4">
        <v>0</v>
      </c>
      <c r="S491" s="4">
        <v>0</v>
      </c>
      <c r="T491" s="4">
        <v>42</v>
      </c>
      <c r="U491" s="4">
        <v>86</v>
      </c>
      <c r="V491" s="6">
        <f>IF(ISERROR(VLOOKUP($S$491,'TAR FIN'!$A$1:$O$115,15,0)),0,VLOOKUP($S$491,'TAR FIN'!$A$1:$O$115,15,0))</f>
        <v>0</v>
      </c>
      <c r="W491" s="6">
        <f>IF(ISERROR(VLOOKUP($T$491,'TAR FIN'!$A$1:$O$115,15,0)),0,VLOOKUP($T$491,'TAR FIN'!$A$1:$O$115,15,0))</f>
        <v>363.71</v>
      </c>
      <c r="X491" s="6">
        <f>IF(ISERROR(VLOOKUP($U$491,'TAR FIN'!$A$1:$O$115,15,0)),0,VLOOKUP($U$491,'TAR FIN'!$A$1:$O$115,15,0))</f>
        <v>158.91999999999999</v>
      </c>
      <c r="Y491" s="6"/>
      <c r="Z491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91" s="6">
        <f>('TE BE'!$AB$23+'TE BF'!$AB$23+'TE CVA'!$AB$23)*(1-CUSTOS!$M$36)</f>
        <v>207.6137769965251</v>
      </c>
      <c r="AB491" s="6">
        <f t="shared" si="24"/>
        <v>0</v>
      </c>
      <c r="AC491" s="6">
        <f>(L491-M491)*(W491+X491)+($W$522+$X$522-$W$491-$X$491)*(L491)</f>
        <v>58.360350000000075</v>
      </c>
      <c r="AD491" s="6">
        <f t="shared" si="25"/>
        <v>0</v>
      </c>
      <c r="AE491" s="6">
        <f ca="1">(L491-M491)*(Z491+AA491)+($Z$522+$AA$522-$Z$491-$AA$491)*(L491)</f>
        <v>65.411019605164128</v>
      </c>
      <c r="AF491" s="4" t="s">
        <v>938</v>
      </c>
    </row>
    <row r="492" spans="1:32" ht="11.25" customHeight="1" x14ac:dyDescent="0.25">
      <c r="A492" s="4" t="s">
        <v>21</v>
      </c>
      <c r="B492" s="4" t="s">
        <v>22</v>
      </c>
      <c r="C492" s="4" t="s">
        <v>23</v>
      </c>
      <c r="D492" s="4" t="s">
        <v>24</v>
      </c>
      <c r="E492" s="4" t="s">
        <v>33</v>
      </c>
      <c r="F492" s="4" t="s">
        <v>25</v>
      </c>
      <c r="G492" s="4" t="s">
        <v>25</v>
      </c>
      <c r="H492" s="4" t="s">
        <v>25</v>
      </c>
      <c r="I492" s="5">
        <v>44713</v>
      </c>
      <c r="J492" s="6">
        <v>0</v>
      </c>
      <c r="K492" s="6">
        <v>0</v>
      </c>
      <c r="L492" s="6">
        <v>1966.913</v>
      </c>
      <c r="M492" s="6">
        <v>1966.913</v>
      </c>
      <c r="N492" s="6">
        <v>1966.913</v>
      </c>
      <c r="O492" s="6">
        <v>1966.913</v>
      </c>
      <c r="P492" s="6">
        <v>20598</v>
      </c>
      <c r="Q492" s="4" t="s">
        <v>26</v>
      </c>
      <c r="R492" s="4">
        <v>0</v>
      </c>
      <c r="S492" s="4">
        <v>0</v>
      </c>
      <c r="T492" s="4">
        <v>42</v>
      </c>
      <c r="U492" s="4">
        <v>86</v>
      </c>
      <c r="V492" s="6">
        <f>IF(ISERROR(VLOOKUP($S$492,'TAR FIN'!$A$1:$O$115,15,0)),0,VLOOKUP($S$492,'TAR FIN'!$A$1:$O$115,15,0))</f>
        <v>0</v>
      </c>
      <c r="W492" s="6">
        <f>IF(ISERROR(VLOOKUP($T$492,'TAR FIN'!$A$1:$O$115,15,0)),0,VLOOKUP($T$492,'TAR FIN'!$A$1:$O$115,15,0))</f>
        <v>363.71</v>
      </c>
      <c r="X492" s="6">
        <f>IF(ISERROR(VLOOKUP($U$492,'TAR FIN'!$A$1:$O$115,15,0)),0,VLOOKUP($U$492,'TAR FIN'!$A$1:$O$115,15,0))</f>
        <v>158.91999999999999</v>
      </c>
      <c r="Y492" s="6"/>
      <c r="Z492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92" s="6">
        <f>('TE BE'!$AB$23+'TE BF'!$AB$23+'TE CVA'!$AB$23)*(1-CUSTOS!$M$36)</f>
        <v>207.6137769965251</v>
      </c>
      <c r="AB492" s="6">
        <f t="shared" si="24"/>
        <v>0</v>
      </c>
      <c r="AC492" s="6">
        <f>(L492-M492)*(W492+X492)+($W$522+$X$522-$W$492-$X$492)*(L492)</f>
        <v>114218.63791000015</v>
      </c>
      <c r="AD492" s="6">
        <f t="shared" si="25"/>
        <v>0</v>
      </c>
      <c r="AE492" s="6">
        <f ca="1">(L492-M492)*(Z492+AA492)+($Z$522+$AA$522-$Z$492-$AA$492)*(L492)</f>
        <v>128017.69632303702</v>
      </c>
      <c r="AF492" s="4" t="s">
        <v>938</v>
      </c>
    </row>
    <row r="493" spans="1:32" ht="11.25" customHeight="1" x14ac:dyDescent="0.25">
      <c r="A493" s="4" t="s">
        <v>27</v>
      </c>
      <c r="B493" s="4" t="s">
        <v>22</v>
      </c>
      <c r="C493" s="4" t="s">
        <v>23</v>
      </c>
      <c r="D493" s="4" t="s">
        <v>24</v>
      </c>
      <c r="E493" s="4" t="s">
        <v>33</v>
      </c>
      <c r="F493" s="4" t="s">
        <v>25</v>
      </c>
      <c r="G493" s="4" t="s">
        <v>25</v>
      </c>
      <c r="H493" s="4" t="s">
        <v>25</v>
      </c>
      <c r="I493" s="5">
        <v>44713</v>
      </c>
      <c r="J493" s="6">
        <v>0</v>
      </c>
      <c r="K493" s="6">
        <v>0</v>
      </c>
      <c r="L493" s="6">
        <v>-4.7759999999999998</v>
      </c>
      <c r="M493" s="6">
        <v>-4.7759999999999998</v>
      </c>
      <c r="N493" s="6">
        <v>-4.7759999999999998</v>
      </c>
      <c r="O493" s="6">
        <v>-4.7759999999999998</v>
      </c>
      <c r="P493" s="6">
        <v>-12</v>
      </c>
      <c r="Q493" s="4" t="s">
        <v>26</v>
      </c>
      <c r="R493" s="4">
        <v>0</v>
      </c>
      <c r="S493" s="4">
        <v>0</v>
      </c>
      <c r="T493" s="4">
        <v>42</v>
      </c>
      <c r="U493" s="4">
        <v>86</v>
      </c>
      <c r="V493" s="6">
        <f>IF(ISERROR(VLOOKUP($S$493,'TAR FIN'!$A$1:$O$115,15,0)),0,VLOOKUP($S$493,'TAR FIN'!$A$1:$O$115,15,0))</f>
        <v>0</v>
      </c>
      <c r="W493" s="6">
        <f>IF(ISERROR(VLOOKUP($T$493,'TAR FIN'!$A$1:$O$115,15,0)),0,VLOOKUP($T$493,'TAR FIN'!$A$1:$O$115,15,0))</f>
        <v>363.71</v>
      </c>
      <c r="X493" s="6">
        <f>IF(ISERROR(VLOOKUP($U$493,'TAR FIN'!$A$1:$O$115,15,0)),0,VLOOKUP($U$493,'TAR FIN'!$A$1:$O$115,15,0))</f>
        <v>158.91999999999999</v>
      </c>
      <c r="Y493" s="6"/>
      <c r="Z493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93" s="6">
        <f>('TE BE'!$AB$23+'TE BF'!$AB$23+'TE CVA'!$AB$23)*(1-CUSTOS!$M$36)</f>
        <v>207.6137769965251</v>
      </c>
      <c r="AB493" s="6">
        <f t="shared" si="24"/>
        <v>0</v>
      </c>
      <c r="AC493" s="6">
        <f>(L493-M493)*(W493+X493)+($W$522+$X$522-$W$493-$X$493)*(L493)</f>
        <v>-277.34232000000037</v>
      </c>
      <c r="AD493" s="6">
        <f t="shared" si="25"/>
        <v>0</v>
      </c>
      <c r="AE493" s="6">
        <f ca="1">(L493-M493)*(Z493+AA493)+($Z$522+$AA$522-$Z$493-$AA$493)*(L493)</f>
        <v>-310.84878570573522</v>
      </c>
      <c r="AF493" s="4" t="s">
        <v>938</v>
      </c>
    </row>
    <row r="494" spans="1:32" ht="11.25" customHeight="1" x14ac:dyDescent="0.25">
      <c r="A494" s="4" t="s">
        <v>28</v>
      </c>
      <c r="B494" s="4" t="s">
        <v>22</v>
      </c>
      <c r="C494" s="4" t="s">
        <v>23</v>
      </c>
      <c r="D494" s="4" t="s">
        <v>24</v>
      </c>
      <c r="E494" s="4" t="s">
        <v>33</v>
      </c>
      <c r="F494" s="4" t="s">
        <v>25</v>
      </c>
      <c r="G494" s="4" t="s">
        <v>25</v>
      </c>
      <c r="H494" s="4" t="s">
        <v>25</v>
      </c>
      <c r="I494" s="5">
        <v>44713</v>
      </c>
      <c r="J494" s="6">
        <v>0</v>
      </c>
      <c r="K494" s="6">
        <v>0</v>
      </c>
      <c r="L494" s="6">
        <v>631.46799999999996</v>
      </c>
      <c r="M494" s="6">
        <v>631.46799999999996</v>
      </c>
      <c r="N494" s="6">
        <v>631.46799999999996</v>
      </c>
      <c r="O494" s="6">
        <v>631.46799999999996</v>
      </c>
      <c r="P494" s="6">
        <v>8796</v>
      </c>
      <c r="Q494" s="4" t="s">
        <v>26</v>
      </c>
      <c r="R494" s="4">
        <v>0</v>
      </c>
      <c r="S494" s="4">
        <v>0</v>
      </c>
      <c r="T494" s="4">
        <v>42</v>
      </c>
      <c r="U494" s="4">
        <v>86</v>
      </c>
      <c r="V494" s="6">
        <f>IF(ISERROR(VLOOKUP($S$494,'TAR FIN'!$A$1:$O$115,15,0)),0,VLOOKUP($S$494,'TAR FIN'!$A$1:$O$115,15,0))</f>
        <v>0</v>
      </c>
      <c r="W494" s="6">
        <f>IF(ISERROR(VLOOKUP($T$494,'TAR FIN'!$A$1:$O$115,15,0)),0,VLOOKUP($T$494,'TAR FIN'!$A$1:$O$115,15,0))</f>
        <v>363.71</v>
      </c>
      <c r="X494" s="6">
        <f>IF(ISERROR(VLOOKUP($U$494,'TAR FIN'!$A$1:$O$115,15,0)),0,VLOOKUP($U$494,'TAR FIN'!$A$1:$O$115,15,0))</f>
        <v>158.91999999999999</v>
      </c>
      <c r="Y494" s="6"/>
      <c r="Z494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94" s="6">
        <f>('TE BE'!$AB$23+'TE BF'!$AB$23+'TE CVA'!$AB$23)*(1-CUSTOS!$M$36)</f>
        <v>207.6137769965251</v>
      </c>
      <c r="AB494" s="6">
        <f t="shared" si="24"/>
        <v>0</v>
      </c>
      <c r="AC494" s="6">
        <f>(L494-M494)*(W494+X494)+($W$522+$X$522-$W$494-$X$494)*(L494)</f>
        <v>36669.346760000044</v>
      </c>
      <c r="AD494" s="6">
        <f t="shared" si="25"/>
        <v>0</v>
      </c>
      <c r="AE494" s="6">
        <f ca="1">(L494-M494)*(Z494+AA494)+($Z$522+$AA$522-$Z$494-$AA$494)*(L494)</f>
        <v>41099.468386103268</v>
      </c>
      <c r="AF494" s="4" t="s">
        <v>938</v>
      </c>
    </row>
    <row r="495" spans="1:32" ht="11.25" customHeight="1" x14ac:dyDescent="0.25">
      <c r="A495" s="4" t="s">
        <v>29</v>
      </c>
      <c r="B495" s="4" t="s">
        <v>22</v>
      </c>
      <c r="C495" s="4" t="s">
        <v>23</v>
      </c>
      <c r="D495" s="4" t="s">
        <v>24</v>
      </c>
      <c r="E495" s="4" t="s">
        <v>33</v>
      </c>
      <c r="F495" s="4" t="s">
        <v>25</v>
      </c>
      <c r="G495" s="4" t="s">
        <v>25</v>
      </c>
      <c r="H495" s="4" t="s">
        <v>25</v>
      </c>
      <c r="I495" s="5">
        <v>44713</v>
      </c>
      <c r="J495" s="6">
        <v>0</v>
      </c>
      <c r="K495" s="6">
        <v>0</v>
      </c>
      <c r="L495" s="6">
        <v>-0.307</v>
      </c>
      <c r="M495" s="6">
        <v>-0.307</v>
      </c>
      <c r="N495" s="6">
        <v>-0.307</v>
      </c>
      <c r="O495" s="6">
        <v>-0.307</v>
      </c>
      <c r="P495" s="6">
        <v>-1</v>
      </c>
      <c r="Q495" s="4" t="s">
        <v>26</v>
      </c>
      <c r="R495" s="4">
        <v>0</v>
      </c>
      <c r="S495" s="4">
        <v>0</v>
      </c>
      <c r="T495" s="4">
        <v>42</v>
      </c>
      <c r="U495" s="4">
        <v>86</v>
      </c>
      <c r="V495" s="6">
        <f>IF(ISERROR(VLOOKUP($S$495,'TAR FIN'!$A$1:$O$115,15,0)),0,VLOOKUP($S$495,'TAR FIN'!$A$1:$O$115,15,0))</f>
        <v>0</v>
      </c>
      <c r="W495" s="6">
        <f>IF(ISERROR(VLOOKUP($T$495,'TAR FIN'!$A$1:$O$115,15,0)),0,VLOOKUP($T$495,'TAR FIN'!$A$1:$O$115,15,0))</f>
        <v>363.71</v>
      </c>
      <c r="X495" s="6">
        <f>IF(ISERROR(VLOOKUP($U$495,'TAR FIN'!$A$1:$O$115,15,0)),0,VLOOKUP($U$495,'TAR FIN'!$A$1:$O$115,15,0))</f>
        <v>158.91999999999999</v>
      </c>
      <c r="Y495" s="6"/>
      <c r="Z495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95" s="6">
        <f>('TE BE'!$AB$23+'TE BF'!$AB$23+'TE CVA'!$AB$23)*(1-CUSTOS!$M$36)</f>
        <v>207.6137769965251</v>
      </c>
      <c r="AB495" s="6">
        <f t="shared" si="24"/>
        <v>0</v>
      </c>
      <c r="AC495" s="6">
        <f>(L495-M495)*(W495+X495)+($W$522+$X$522-$W$495-$X$495)*(L495)</f>
        <v>-17.827490000000022</v>
      </c>
      <c r="AD495" s="6">
        <f t="shared" si="25"/>
        <v>0</v>
      </c>
      <c r="AE495" s="6">
        <f ca="1">(L495-M495)*(Z495+AA495)+($Z$522+$AA$522-$Z$495-$AA$495)*(L495)</f>
        <v>-19.981276635607351</v>
      </c>
      <c r="AF495" s="4" t="s">
        <v>938</v>
      </c>
    </row>
    <row r="496" spans="1:32" ht="11.25" customHeight="1" x14ac:dyDescent="0.25">
      <c r="A496" s="4" t="s">
        <v>30</v>
      </c>
      <c r="B496" s="4" t="s">
        <v>22</v>
      </c>
      <c r="C496" s="4" t="s">
        <v>23</v>
      </c>
      <c r="D496" s="4" t="s">
        <v>24</v>
      </c>
      <c r="E496" s="4" t="s">
        <v>33</v>
      </c>
      <c r="F496" s="4" t="s">
        <v>25</v>
      </c>
      <c r="G496" s="4" t="s">
        <v>25</v>
      </c>
      <c r="H496" s="4" t="s">
        <v>25</v>
      </c>
      <c r="I496" s="5">
        <v>44713</v>
      </c>
      <c r="J496" s="6">
        <v>0</v>
      </c>
      <c r="K496" s="6">
        <v>0</v>
      </c>
      <c r="L496" s="6">
        <v>0.88500000000000001</v>
      </c>
      <c r="M496" s="6">
        <v>0.88500000000000001</v>
      </c>
      <c r="N496" s="6">
        <v>0.88500000000000001</v>
      </c>
      <c r="O496" s="6">
        <v>0.88500000000000001</v>
      </c>
      <c r="P496" s="6">
        <v>10</v>
      </c>
      <c r="Q496" s="4" t="s">
        <v>26</v>
      </c>
      <c r="R496" s="4">
        <v>0</v>
      </c>
      <c r="S496" s="4">
        <v>0</v>
      </c>
      <c r="T496" s="4">
        <v>42</v>
      </c>
      <c r="U496" s="4">
        <v>86</v>
      </c>
      <c r="V496" s="6">
        <f>IF(ISERROR(VLOOKUP($S$496,'TAR FIN'!$A$1:$O$115,15,0)),0,VLOOKUP($S$496,'TAR FIN'!$A$1:$O$115,15,0))</f>
        <v>0</v>
      </c>
      <c r="W496" s="6">
        <f>IF(ISERROR(VLOOKUP($T$496,'TAR FIN'!$A$1:$O$115,15,0)),0,VLOOKUP($T$496,'TAR FIN'!$A$1:$O$115,15,0))</f>
        <v>363.71</v>
      </c>
      <c r="X496" s="6">
        <f>IF(ISERROR(VLOOKUP($U$496,'TAR FIN'!$A$1:$O$115,15,0)),0,VLOOKUP($U$496,'TAR FIN'!$A$1:$O$115,15,0))</f>
        <v>158.91999999999999</v>
      </c>
      <c r="Y496" s="6"/>
      <c r="Z496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96" s="6">
        <f>('TE BE'!$AB$23+'TE BF'!$AB$23+'TE CVA'!$AB$23)*(1-CUSTOS!$M$36)</f>
        <v>207.6137769965251</v>
      </c>
      <c r="AB496" s="6">
        <f t="shared" si="24"/>
        <v>0</v>
      </c>
      <c r="AC496" s="6">
        <f>(L496-M496)*(W496+X496)+($W$522+$X$522-$W$496-$X$496)*(L496)</f>
        <v>51.391950000000072</v>
      </c>
      <c r="AD496" s="6">
        <f t="shared" si="25"/>
        <v>0</v>
      </c>
      <c r="AE496" s="6">
        <f ca="1">(L496-M496)*(Z496+AA496)+($Z$522+$AA$522-$Z$496-$AA$496)*(L496)</f>
        <v>57.600748607532594</v>
      </c>
      <c r="AF496" s="4" t="s">
        <v>938</v>
      </c>
    </row>
    <row r="497" spans="1:32" ht="11.25" customHeight="1" x14ac:dyDescent="0.25">
      <c r="A497" s="4" t="s">
        <v>21</v>
      </c>
      <c r="B497" s="4" t="s">
        <v>22</v>
      </c>
      <c r="C497" s="4" t="s">
        <v>23</v>
      </c>
      <c r="D497" s="4" t="s">
        <v>24</v>
      </c>
      <c r="E497" s="4" t="s">
        <v>33</v>
      </c>
      <c r="F497" s="4" t="s">
        <v>25</v>
      </c>
      <c r="G497" s="4" t="s">
        <v>25</v>
      </c>
      <c r="H497" s="4" t="s">
        <v>25</v>
      </c>
      <c r="I497" s="5">
        <v>44743</v>
      </c>
      <c r="J497" s="6">
        <v>0</v>
      </c>
      <c r="K497" s="6">
        <v>0</v>
      </c>
      <c r="L497" s="6">
        <v>2318.8159999999998</v>
      </c>
      <c r="M497" s="6">
        <v>2318.8159999999998</v>
      </c>
      <c r="N497" s="6">
        <v>2318.8159999999998</v>
      </c>
      <c r="O497" s="6">
        <v>2318.8159999999998</v>
      </c>
      <c r="P497" s="6">
        <v>21029</v>
      </c>
      <c r="Q497" s="4" t="s">
        <v>26</v>
      </c>
      <c r="R497" s="4">
        <v>0</v>
      </c>
      <c r="S497" s="4">
        <v>0</v>
      </c>
      <c r="T497" s="4">
        <v>42</v>
      </c>
      <c r="U497" s="4">
        <v>86</v>
      </c>
      <c r="V497" s="6">
        <f>IF(ISERROR(VLOOKUP($S$497,'TAR FIN'!$A$1:$O$115,15,0)),0,VLOOKUP($S$497,'TAR FIN'!$A$1:$O$115,15,0))</f>
        <v>0</v>
      </c>
      <c r="W497" s="6">
        <f>IF(ISERROR(VLOOKUP($T$497,'TAR FIN'!$A$1:$O$115,15,0)),0,VLOOKUP($T$497,'TAR FIN'!$A$1:$O$115,15,0))</f>
        <v>363.71</v>
      </c>
      <c r="X497" s="6">
        <f>IF(ISERROR(VLOOKUP($U$497,'TAR FIN'!$A$1:$O$115,15,0)),0,VLOOKUP($U$497,'TAR FIN'!$A$1:$O$115,15,0))</f>
        <v>158.91999999999999</v>
      </c>
      <c r="Y497" s="6"/>
      <c r="Z497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97" s="6">
        <f>('TE BE'!$AB$23+'TE BF'!$AB$23+'TE CVA'!$AB$23)*(1-CUSTOS!$M$36)</f>
        <v>207.6137769965251</v>
      </c>
      <c r="AB497" s="6">
        <f t="shared" si="24"/>
        <v>0</v>
      </c>
      <c r="AC497" s="6">
        <f>(L497-M497)*(W497+X497)+($W$522+$X$522-$W$497-$X$497)*(L497)</f>
        <v>134653.64512000018</v>
      </c>
      <c r="AD497" s="6">
        <f t="shared" si="25"/>
        <v>0</v>
      </c>
      <c r="AE497" s="6">
        <f ca="1">(L497-M497)*(Z497+AA497)+($Z$522+$AA$522-$Z$497-$AA$497)*(L497)</f>
        <v>150921.51128036642</v>
      </c>
      <c r="AF497" s="4" t="s">
        <v>938</v>
      </c>
    </row>
    <row r="498" spans="1:32" ht="11.25" customHeight="1" x14ac:dyDescent="0.25">
      <c r="A498" s="4" t="s">
        <v>27</v>
      </c>
      <c r="B498" s="4" t="s">
        <v>22</v>
      </c>
      <c r="C498" s="4" t="s">
        <v>23</v>
      </c>
      <c r="D498" s="4" t="s">
        <v>24</v>
      </c>
      <c r="E498" s="4" t="s">
        <v>33</v>
      </c>
      <c r="F498" s="4" t="s">
        <v>25</v>
      </c>
      <c r="G498" s="4" t="s">
        <v>25</v>
      </c>
      <c r="H498" s="4" t="s">
        <v>25</v>
      </c>
      <c r="I498" s="5">
        <v>44743</v>
      </c>
      <c r="J498" s="6">
        <v>0</v>
      </c>
      <c r="K498" s="6">
        <v>0</v>
      </c>
      <c r="L498" s="6">
        <v>-4.03</v>
      </c>
      <c r="M498" s="6">
        <v>-4.03</v>
      </c>
      <c r="N498" s="6">
        <v>-4.03</v>
      </c>
      <c r="O498" s="6">
        <v>-4.03</v>
      </c>
      <c r="P498" s="6">
        <v>-20</v>
      </c>
      <c r="Q498" s="4" t="s">
        <v>26</v>
      </c>
      <c r="R498" s="4">
        <v>0</v>
      </c>
      <c r="S498" s="4">
        <v>0</v>
      </c>
      <c r="T498" s="4">
        <v>42</v>
      </c>
      <c r="U498" s="4">
        <v>86</v>
      </c>
      <c r="V498" s="6">
        <f>IF(ISERROR(VLOOKUP($S$498,'TAR FIN'!$A$1:$O$115,15,0)),0,VLOOKUP($S$498,'TAR FIN'!$A$1:$O$115,15,0))</f>
        <v>0</v>
      </c>
      <c r="W498" s="6">
        <f>IF(ISERROR(VLOOKUP($T$498,'TAR FIN'!$A$1:$O$115,15,0)),0,VLOOKUP($T$498,'TAR FIN'!$A$1:$O$115,15,0))</f>
        <v>363.71</v>
      </c>
      <c r="X498" s="6">
        <f>IF(ISERROR(VLOOKUP($U$498,'TAR FIN'!$A$1:$O$115,15,0)),0,VLOOKUP($U$498,'TAR FIN'!$A$1:$O$115,15,0))</f>
        <v>158.91999999999999</v>
      </c>
      <c r="Y498" s="6"/>
      <c r="Z498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98" s="6">
        <f>('TE BE'!$AB$23+'TE BF'!$AB$23+'TE CVA'!$AB$23)*(1-CUSTOS!$M$36)</f>
        <v>207.6137769965251</v>
      </c>
      <c r="AB498" s="6">
        <f t="shared" si="24"/>
        <v>0</v>
      </c>
      <c r="AC498" s="6">
        <f>(L498-M498)*(W498+X498)+($W$522+$X$522-$W$498-$X$498)*(L498)</f>
        <v>-234.02210000000034</v>
      </c>
      <c r="AD498" s="6">
        <f t="shared" si="25"/>
        <v>0</v>
      </c>
      <c r="AE498" s="6">
        <f ca="1">(L498-M498)*(Z498+AA498)+($Z$522+$AA$522-$Z$498-$AA$498)*(L498)</f>
        <v>-262.29493433712582</v>
      </c>
      <c r="AF498" s="4" t="s">
        <v>938</v>
      </c>
    </row>
    <row r="499" spans="1:32" ht="11.25" customHeight="1" x14ac:dyDescent="0.25">
      <c r="A499" s="4" t="s">
        <v>28</v>
      </c>
      <c r="B499" s="4" t="s">
        <v>22</v>
      </c>
      <c r="C499" s="4" t="s">
        <v>23</v>
      </c>
      <c r="D499" s="4" t="s">
        <v>24</v>
      </c>
      <c r="E499" s="4" t="s">
        <v>33</v>
      </c>
      <c r="F499" s="4" t="s">
        <v>25</v>
      </c>
      <c r="G499" s="4" t="s">
        <v>25</v>
      </c>
      <c r="H499" s="4" t="s">
        <v>25</v>
      </c>
      <c r="I499" s="5">
        <v>44743</v>
      </c>
      <c r="J499" s="6">
        <v>0</v>
      </c>
      <c r="K499" s="6">
        <v>0</v>
      </c>
      <c r="L499" s="6">
        <v>761.06799999999998</v>
      </c>
      <c r="M499" s="6">
        <v>761.06799999999998</v>
      </c>
      <c r="N499" s="6">
        <v>761.06799999999998</v>
      </c>
      <c r="O499" s="6">
        <v>761.06799999999998</v>
      </c>
      <c r="P499" s="6">
        <v>9648</v>
      </c>
      <c r="Q499" s="4" t="s">
        <v>26</v>
      </c>
      <c r="R499" s="4">
        <v>0</v>
      </c>
      <c r="S499" s="4">
        <v>0</v>
      </c>
      <c r="T499" s="4">
        <v>42</v>
      </c>
      <c r="U499" s="4">
        <v>86</v>
      </c>
      <c r="V499" s="6">
        <f>IF(ISERROR(VLOOKUP($S$499,'TAR FIN'!$A$1:$O$115,15,0)),0,VLOOKUP($S$499,'TAR FIN'!$A$1:$O$115,15,0))</f>
        <v>0</v>
      </c>
      <c r="W499" s="6">
        <f>IF(ISERROR(VLOOKUP($T$499,'TAR FIN'!$A$1:$O$115,15,0)),0,VLOOKUP($T$499,'TAR FIN'!$A$1:$O$115,15,0))</f>
        <v>363.71</v>
      </c>
      <c r="X499" s="6">
        <f>IF(ISERROR(VLOOKUP($U$499,'TAR FIN'!$A$1:$O$115,15,0)),0,VLOOKUP($U$499,'TAR FIN'!$A$1:$O$115,15,0))</f>
        <v>158.91999999999999</v>
      </c>
      <c r="Y499" s="6"/>
      <c r="Z499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499" s="6">
        <f>('TE BE'!$AB$23+'TE BF'!$AB$23+'TE CVA'!$AB$23)*(1-CUSTOS!$M$36)</f>
        <v>207.6137769965251</v>
      </c>
      <c r="AB499" s="6">
        <f t="shared" si="24"/>
        <v>0</v>
      </c>
      <c r="AC499" s="6">
        <f>(L499-M499)*(W499+X499)+($W$522+$X$522-$W$499-$X$499)*(L499)</f>
        <v>44195.218760000062</v>
      </c>
      <c r="AD499" s="6">
        <f t="shared" si="25"/>
        <v>0</v>
      </c>
      <c r="AE499" s="6">
        <f ca="1">(L499-M499)*(Z499+AA499)+($Z$522+$AA$522-$Z$499-$AA$499)*(L499)</f>
        <v>49534.561063545327</v>
      </c>
      <c r="AF499" s="4" t="s">
        <v>938</v>
      </c>
    </row>
    <row r="500" spans="1:32" ht="11.25" customHeight="1" x14ac:dyDescent="0.25">
      <c r="A500" s="4" t="s">
        <v>29</v>
      </c>
      <c r="B500" s="4" t="s">
        <v>22</v>
      </c>
      <c r="C500" s="4" t="s">
        <v>23</v>
      </c>
      <c r="D500" s="4" t="s">
        <v>24</v>
      </c>
      <c r="E500" s="4" t="s">
        <v>33</v>
      </c>
      <c r="F500" s="4" t="s">
        <v>25</v>
      </c>
      <c r="G500" s="4" t="s">
        <v>25</v>
      </c>
      <c r="H500" s="4" t="s">
        <v>25</v>
      </c>
      <c r="I500" s="5">
        <v>44743</v>
      </c>
      <c r="J500" s="6">
        <v>0</v>
      </c>
      <c r="K500" s="6">
        <v>0</v>
      </c>
      <c r="L500" s="6">
        <v>-0.58199999999999996</v>
      </c>
      <c r="M500" s="6">
        <v>-0.58199999999999996</v>
      </c>
      <c r="N500" s="6">
        <v>-0.58199999999999996</v>
      </c>
      <c r="O500" s="6">
        <v>-0.58199999999999996</v>
      </c>
      <c r="P500" s="6">
        <v>-1</v>
      </c>
      <c r="Q500" s="4" t="s">
        <v>26</v>
      </c>
      <c r="R500" s="4">
        <v>0</v>
      </c>
      <c r="S500" s="4">
        <v>0</v>
      </c>
      <c r="T500" s="4">
        <v>42</v>
      </c>
      <c r="U500" s="4">
        <v>86</v>
      </c>
      <c r="V500" s="6">
        <f>IF(ISERROR(VLOOKUP($S$500,'TAR FIN'!$A$1:$O$115,15,0)),0,VLOOKUP($S$500,'TAR FIN'!$A$1:$O$115,15,0))</f>
        <v>0</v>
      </c>
      <c r="W500" s="6">
        <f>IF(ISERROR(VLOOKUP($T$500,'TAR FIN'!$A$1:$O$115,15,0)),0,VLOOKUP($T$500,'TAR FIN'!$A$1:$O$115,15,0))</f>
        <v>363.71</v>
      </c>
      <c r="X500" s="6">
        <f>IF(ISERROR(VLOOKUP($U$500,'TAR FIN'!$A$1:$O$115,15,0)),0,VLOOKUP($U$500,'TAR FIN'!$A$1:$O$115,15,0))</f>
        <v>158.91999999999999</v>
      </c>
      <c r="Y500" s="6"/>
      <c r="Z500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500" s="6">
        <f>('TE BE'!$AB$23+'TE BF'!$AB$23+'TE CVA'!$AB$23)*(1-CUSTOS!$M$36)</f>
        <v>207.6137769965251</v>
      </c>
      <c r="AB500" s="6">
        <f t="shared" si="24"/>
        <v>0</v>
      </c>
      <c r="AC500" s="6">
        <f>(L500-M500)*(W500+X500)+($W$522+$X$522-$W$500-$X$500)*(L500)</f>
        <v>-33.796740000000042</v>
      </c>
      <c r="AD500" s="6">
        <f t="shared" si="25"/>
        <v>0</v>
      </c>
      <c r="AE500" s="6">
        <f ca="1">(L500-M500)*(Z500+AA500)+($Z$522+$AA$522-$Z$500-$AA$500)*(L500)</f>
        <v>-37.879814338512958</v>
      </c>
      <c r="AF500" s="4" t="s">
        <v>938</v>
      </c>
    </row>
    <row r="501" spans="1:32" ht="11.25" customHeight="1" x14ac:dyDescent="0.25">
      <c r="A501" s="4" t="s">
        <v>30</v>
      </c>
      <c r="B501" s="4" t="s">
        <v>22</v>
      </c>
      <c r="C501" s="4" t="s">
        <v>23</v>
      </c>
      <c r="D501" s="4" t="s">
        <v>24</v>
      </c>
      <c r="E501" s="4" t="s">
        <v>33</v>
      </c>
      <c r="F501" s="4" t="s">
        <v>25</v>
      </c>
      <c r="G501" s="4" t="s">
        <v>25</v>
      </c>
      <c r="H501" s="4" t="s">
        <v>25</v>
      </c>
      <c r="I501" s="5">
        <v>44743</v>
      </c>
      <c r="J501" s="6">
        <v>0</v>
      </c>
      <c r="K501" s="6">
        <v>0</v>
      </c>
      <c r="L501" s="6">
        <v>1.5429999999999999</v>
      </c>
      <c r="M501" s="6">
        <v>1.5429999999999999</v>
      </c>
      <c r="N501" s="6">
        <v>1.5429999999999999</v>
      </c>
      <c r="O501" s="6">
        <v>1.5429999999999999</v>
      </c>
      <c r="P501" s="6">
        <v>7</v>
      </c>
      <c r="Q501" s="4" t="s">
        <v>26</v>
      </c>
      <c r="R501" s="4">
        <v>0</v>
      </c>
      <c r="S501" s="4">
        <v>0</v>
      </c>
      <c r="T501" s="4">
        <v>42</v>
      </c>
      <c r="U501" s="4">
        <v>86</v>
      </c>
      <c r="V501" s="6">
        <f>IF(ISERROR(VLOOKUP($S$501,'TAR FIN'!$A$1:$O$115,15,0)),0,VLOOKUP($S$501,'TAR FIN'!$A$1:$O$115,15,0))</f>
        <v>0</v>
      </c>
      <c r="W501" s="6">
        <f>IF(ISERROR(VLOOKUP($T$501,'TAR FIN'!$A$1:$O$115,15,0)),0,VLOOKUP($T$501,'TAR FIN'!$A$1:$O$115,15,0))</f>
        <v>363.71</v>
      </c>
      <c r="X501" s="6">
        <f>IF(ISERROR(VLOOKUP($U$501,'TAR FIN'!$A$1:$O$115,15,0)),0,VLOOKUP($U$501,'TAR FIN'!$A$1:$O$115,15,0))</f>
        <v>158.91999999999999</v>
      </c>
      <c r="Y501" s="6"/>
      <c r="Z501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501" s="6">
        <f>('TE BE'!$AB$23+'TE BF'!$AB$23+'TE CVA'!$AB$23)*(1-CUSTOS!$M$36)</f>
        <v>207.6137769965251</v>
      </c>
      <c r="AB501" s="6">
        <f t="shared" si="24"/>
        <v>0</v>
      </c>
      <c r="AC501" s="6">
        <f>(L501-M501)*(W501+X501)+($W$522+$X$522-$W$501-$X$501)*(L501)</f>
        <v>89.602010000000121</v>
      </c>
      <c r="AD501" s="6">
        <f t="shared" si="25"/>
        <v>0</v>
      </c>
      <c r="AE501" s="6">
        <f ca="1">(L501-M501)*(Z501+AA501)+($Z$522+$AA$522-$Z$501-$AA$501)*(L501)</f>
        <v>100.42706791121219</v>
      </c>
      <c r="AF501" s="4" t="s">
        <v>938</v>
      </c>
    </row>
    <row r="502" spans="1:32" ht="11.25" customHeight="1" x14ac:dyDescent="0.25">
      <c r="A502" s="4" t="s">
        <v>21</v>
      </c>
      <c r="B502" s="4" t="s">
        <v>22</v>
      </c>
      <c r="C502" s="4" t="s">
        <v>23</v>
      </c>
      <c r="D502" s="4" t="s">
        <v>24</v>
      </c>
      <c r="E502" s="4" t="s">
        <v>33</v>
      </c>
      <c r="F502" s="4" t="s">
        <v>25</v>
      </c>
      <c r="G502" s="4" t="s">
        <v>25</v>
      </c>
      <c r="H502" s="4" t="s">
        <v>25</v>
      </c>
      <c r="I502" s="5">
        <v>44774</v>
      </c>
      <c r="J502" s="6">
        <v>0</v>
      </c>
      <c r="K502" s="6">
        <v>0</v>
      </c>
      <c r="L502" s="6">
        <v>2242.2280000000001</v>
      </c>
      <c r="M502" s="6">
        <v>2242.2280000000001</v>
      </c>
      <c r="N502" s="6">
        <v>2242.2280000000001</v>
      </c>
      <c r="O502" s="6">
        <v>2242.2280000000001</v>
      </c>
      <c r="P502" s="6">
        <v>17330</v>
      </c>
      <c r="Q502" s="4" t="s">
        <v>26</v>
      </c>
      <c r="R502" s="4">
        <v>0</v>
      </c>
      <c r="S502" s="4">
        <v>0</v>
      </c>
      <c r="T502" s="4">
        <v>42</v>
      </c>
      <c r="U502" s="4">
        <v>86</v>
      </c>
      <c r="V502" s="6">
        <f>IF(ISERROR(VLOOKUP($S$502,'TAR FIN'!$A$1:$O$115,15,0)),0,VLOOKUP($S$502,'TAR FIN'!$A$1:$O$115,15,0))</f>
        <v>0</v>
      </c>
      <c r="W502" s="6">
        <f>IF(ISERROR(VLOOKUP($T$502,'TAR FIN'!$A$1:$O$115,15,0)),0,VLOOKUP($T$502,'TAR FIN'!$A$1:$O$115,15,0))</f>
        <v>363.71</v>
      </c>
      <c r="X502" s="6">
        <f>IF(ISERROR(VLOOKUP($U$502,'TAR FIN'!$A$1:$O$115,15,0)),0,VLOOKUP($U$502,'TAR FIN'!$A$1:$O$115,15,0))</f>
        <v>158.91999999999999</v>
      </c>
      <c r="Y502" s="6"/>
      <c r="Z502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502" s="6">
        <f>('TE BE'!$AB$23+'TE BF'!$AB$23+'TE CVA'!$AB$23)*(1-CUSTOS!$M$36)</f>
        <v>207.6137769965251</v>
      </c>
      <c r="AB502" s="6">
        <f t="shared" si="24"/>
        <v>0</v>
      </c>
      <c r="AC502" s="6">
        <f>(L502-M502)*(W502+X502)+($W$522+$X$522-$W$502-$X$502)*(L502)</f>
        <v>130206.17996000018</v>
      </c>
      <c r="AD502" s="6">
        <f t="shared" si="25"/>
        <v>0</v>
      </c>
      <c r="AE502" s="6">
        <f ca="1">(L502-M502)*(Z502+AA502)+($Z$522+$AA$522-$Z$502-$AA$502)*(L502)</f>
        <v>145936.7359873114</v>
      </c>
      <c r="AF502" s="4" t="s">
        <v>938</v>
      </c>
    </row>
    <row r="503" spans="1:32" ht="11.25" customHeight="1" x14ac:dyDescent="0.25">
      <c r="A503" s="4" t="s">
        <v>27</v>
      </c>
      <c r="B503" s="4" t="s">
        <v>22</v>
      </c>
      <c r="C503" s="4" t="s">
        <v>23</v>
      </c>
      <c r="D503" s="4" t="s">
        <v>24</v>
      </c>
      <c r="E503" s="4" t="s">
        <v>33</v>
      </c>
      <c r="F503" s="4" t="s">
        <v>25</v>
      </c>
      <c r="G503" s="4" t="s">
        <v>25</v>
      </c>
      <c r="H503" s="4" t="s">
        <v>25</v>
      </c>
      <c r="I503" s="5">
        <v>44774</v>
      </c>
      <c r="J503" s="6">
        <v>0</v>
      </c>
      <c r="K503" s="6">
        <v>0</v>
      </c>
      <c r="L503" s="6">
        <v>-1.9630000000000001</v>
      </c>
      <c r="M503" s="6">
        <v>-1.9630000000000001</v>
      </c>
      <c r="N503" s="6">
        <v>-1.9630000000000001</v>
      </c>
      <c r="O503" s="6">
        <v>-1.9630000000000001</v>
      </c>
      <c r="P503" s="6">
        <v>-16</v>
      </c>
      <c r="Q503" s="4" t="s">
        <v>26</v>
      </c>
      <c r="R503" s="4">
        <v>0</v>
      </c>
      <c r="S503" s="4">
        <v>0</v>
      </c>
      <c r="T503" s="4">
        <v>42</v>
      </c>
      <c r="U503" s="4">
        <v>86</v>
      </c>
      <c r="V503" s="6">
        <f>IF(ISERROR(VLOOKUP($S$503,'TAR FIN'!$A$1:$O$115,15,0)),0,VLOOKUP($S$503,'TAR FIN'!$A$1:$O$115,15,0))</f>
        <v>0</v>
      </c>
      <c r="W503" s="6">
        <f>IF(ISERROR(VLOOKUP($T$503,'TAR FIN'!$A$1:$O$115,15,0)),0,VLOOKUP($T$503,'TAR FIN'!$A$1:$O$115,15,0))</f>
        <v>363.71</v>
      </c>
      <c r="X503" s="6">
        <f>IF(ISERROR(VLOOKUP($U$503,'TAR FIN'!$A$1:$O$115,15,0)),0,VLOOKUP($U$503,'TAR FIN'!$A$1:$O$115,15,0))</f>
        <v>158.91999999999999</v>
      </c>
      <c r="Y503" s="6"/>
      <c r="Z503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503" s="6">
        <f>('TE BE'!$AB$23+'TE BF'!$AB$23+'TE CVA'!$AB$23)*(1-CUSTOS!$M$36)</f>
        <v>207.6137769965251</v>
      </c>
      <c r="AB503" s="6">
        <f t="shared" si="24"/>
        <v>0</v>
      </c>
      <c r="AC503" s="6">
        <f>(L503-M503)*(W503+X503)+($W$522+$X$522-$W$503-$X$503)*(L503)</f>
        <v>-113.99141000000016</v>
      </c>
      <c r="AD503" s="6">
        <f t="shared" si="25"/>
        <v>0</v>
      </c>
      <c r="AE503" s="6">
        <f ca="1">(L503-M503)*(Z503+AA503)+($Z$522+$AA$522-$Z$503-$AA$503)*(L503)</f>
        <v>-127.76301640292259</v>
      </c>
      <c r="AF503" s="4" t="s">
        <v>938</v>
      </c>
    </row>
    <row r="504" spans="1:32" ht="11.25" customHeight="1" x14ac:dyDescent="0.25">
      <c r="A504" s="4" t="s">
        <v>28</v>
      </c>
      <c r="B504" s="4" t="s">
        <v>22</v>
      </c>
      <c r="C504" s="4" t="s">
        <v>23</v>
      </c>
      <c r="D504" s="4" t="s">
        <v>24</v>
      </c>
      <c r="E504" s="4" t="s">
        <v>33</v>
      </c>
      <c r="F504" s="4" t="s">
        <v>25</v>
      </c>
      <c r="G504" s="4" t="s">
        <v>25</v>
      </c>
      <c r="H504" s="4" t="s">
        <v>25</v>
      </c>
      <c r="I504" s="5">
        <v>44774</v>
      </c>
      <c r="J504" s="6">
        <v>0</v>
      </c>
      <c r="K504" s="6">
        <v>0</v>
      </c>
      <c r="L504" s="6">
        <v>1030.547</v>
      </c>
      <c r="M504" s="6">
        <v>1030.547</v>
      </c>
      <c r="N504" s="6">
        <v>1030.547</v>
      </c>
      <c r="O504" s="6">
        <v>1030.547</v>
      </c>
      <c r="P504" s="6">
        <v>13096</v>
      </c>
      <c r="Q504" s="4" t="s">
        <v>26</v>
      </c>
      <c r="R504" s="4">
        <v>0</v>
      </c>
      <c r="S504" s="4">
        <v>0</v>
      </c>
      <c r="T504" s="4">
        <v>42</v>
      </c>
      <c r="U504" s="4">
        <v>86</v>
      </c>
      <c r="V504" s="6">
        <f>IF(ISERROR(VLOOKUP($S$504,'TAR FIN'!$A$1:$O$115,15,0)),0,VLOOKUP($S$504,'TAR FIN'!$A$1:$O$115,15,0))</f>
        <v>0</v>
      </c>
      <c r="W504" s="6">
        <f>IF(ISERROR(VLOOKUP($T$504,'TAR FIN'!$A$1:$O$115,15,0)),0,VLOOKUP($T$504,'TAR FIN'!$A$1:$O$115,15,0))</f>
        <v>363.71</v>
      </c>
      <c r="X504" s="6">
        <f>IF(ISERROR(VLOOKUP($U$504,'TAR FIN'!$A$1:$O$115,15,0)),0,VLOOKUP($U$504,'TAR FIN'!$A$1:$O$115,15,0))</f>
        <v>158.91999999999999</v>
      </c>
      <c r="Y504" s="6"/>
      <c r="Z504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504" s="6">
        <f>('TE BE'!$AB$23+'TE BF'!$AB$23+'TE CVA'!$AB$23)*(1-CUSTOS!$M$36)</f>
        <v>207.6137769965251</v>
      </c>
      <c r="AB504" s="6">
        <f t="shared" si="24"/>
        <v>0</v>
      </c>
      <c r="AC504" s="6">
        <f>(L504-M504)*(W504+X504)+($W$522+$X$522-$W$504-$X$504)*(L504)</f>
        <v>59843.864290000085</v>
      </c>
      <c r="AD504" s="6">
        <f t="shared" si="25"/>
        <v>0</v>
      </c>
      <c r="AE504" s="6">
        <f ca="1">(L504-M504)*(Z504+AA504)+($Z$522+$AA$522-$Z$504-$AA$504)*(L504)</f>
        <v>67073.761214968239</v>
      </c>
      <c r="AF504" s="4" t="s">
        <v>938</v>
      </c>
    </row>
    <row r="505" spans="1:32" ht="11.25" customHeight="1" x14ac:dyDescent="0.25">
      <c r="A505" s="4" t="s">
        <v>29</v>
      </c>
      <c r="B505" s="4" t="s">
        <v>22</v>
      </c>
      <c r="C505" s="4" t="s">
        <v>23</v>
      </c>
      <c r="D505" s="4" t="s">
        <v>24</v>
      </c>
      <c r="E505" s="4" t="s">
        <v>33</v>
      </c>
      <c r="F505" s="4" t="s">
        <v>25</v>
      </c>
      <c r="G505" s="4" t="s">
        <v>25</v>
      </c>
      <c r="H505" s="4" t="s">
        <v>25</v>
      </c>
      <c r="I505" s="5">
        <v>44774</v>
      </c>
      <c r="J505" s="6">
        <v>0</v>
      </c>
      <c r="K505" s="6">
        <v>0</v>
      </c>
      <c r="L505" s="6">
        <v>-2.016</v>
      </c>
      <c r="M505" s="6">
        <v>-2.016</v>
      </c>
      <c r="N505" s="6">
        <v>-2.016</v>
      </c>
      <c r="O505" s="6">
        <v>-2.016</v>
      </c>
      <c r="P505" s="6">
        <v>-8</v>
      </c>
      <c r="Q505" s="4" t="s">
        <v>26</v>
      </c>
      <c r="R505" s="4">
        <v>0</v>
      </c>
      <c r="S505" s="4">
        <v>0</v>
      </c>
      <c r="T505" s="4">
        <v>42</v>
      </c>
      <c r="U505" s="4">
        <v>86</v>
      </c>
      <c r="V505" s="6">
        <f>IF(ISERROR(VLOOKUP($S$505,'TAR FIN'!$A$1:$O$115,15,0)),0,VLOOKUP($S$505,'TAR FIN'!$A$1:$O$115,15,0))</f>
        <v>0</v>
      </c>
      <c r="W505" s="6">
        <f>IF(ISERROR(VLOOKUP($T$505,'TAR FIN'!$A$1:$O$115,15,0)),0,VLOOKUP($T$505,'TAR FIN'!$A$1:$O$115,15,0))</f>
        <v>363.71</v>
      </c>
      <c r="X505" s="6">
        <f>IF(ISERROR(VLOOKUP($U$505,'TAR FIN'!$A$1:$O$115,15,0)),0,VLOOKUP($U$505,'TAR FIN'!$A$1:$O$115,15,0))</f>
        <v>158.91999999999999</v>
      </c>
      <c r="Y505" s="6"/>
      <c r="Z505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505" s="6">
        <f>('TE BE'!$AB$23+'TE BF'!$AB$23+'TE CVA'!$AB$23)*(1-CUSTOS!$M$36)</f>
        <v>207.6137769965251</v>
      </c>
      <c r="AB505" s="6">
        <f t="shared" si="24"/>
        <v>0</v>
      </c>
      <c r="AC505" s="6">
        <f>(L505-M505)*(W505+X505)+($W$522+$X$522-$W$505-$X$505)*(L505)</f>
        <v>-117.06912000000015</v>
      </c>
      <c r="AD505" s="6">
        <f t="shared" si="25"/>
        <v>0</v>
      </c>
      <c r="AE505" s="6">
        <f ca="1">(L505-M505)*(Z505+AA505)+($Z$522+$AA$522-$Z$505-$AA$505)*(L505)</f>
        <v>-131.21255276020986</v>
      </c>
      <c r="AF505" s="4" t="s">
        <v>938</v>
      </c>
    </row>
    <row r="506" spans="1:32" ht="11.25" customHeight="1" x14ac:dyDescent="0.25">
      <c r="A506" s="4" t="s">
        <v>30</v>
      </c>
      <c r="B506" s="4" t="s">
        <v>22</v>
      </c>
      <c r="C506" s="4" t="s">
        <v>23</v>
      </c>
      <c r="D506" s="4" t="s">
        <v>24</v>
      </c>
      <c r="E506" s="4" t="s">
        <v>33</v>
      </c>
      <c r="F506" s="4" t="s">
        <v>25</v>
      </c>
      <c r="G506" s="4" t="s">
        <v>25</v>
      </c>
      <c r="H506" s="4" t="s">
        <v>25</v>
      </c>
      <c r="I506" s="5">
        <v>44774</v>
      </c>
      <c r="J506" s="6">
        <v>0</v>
      </c>
      <c r="K506" s="6">
        <v>0</v>
      </c>
      <c r="L506" s="6">
        <v>1.619</v>
      </c>
      <c r="M506" s="6">
        <v>1.619</v>
      </c>
      <c r="N506" s="6">
        <v>1.619</v>
      </c>
      <c r="O506" s="6">
        <v>1.619</v>
      </c>
      <c r="P506" s="6">
        <v>9</v>
      </c>
      <c r="Q506" s="4" t="s">
        <v>26</v>
      </c>
      <c r="R506" s="4">
        <v>0</v>
      </c>
      <c r="S506" s="4">
        <v>0</v>
      </c>
      <c r="T506" s="4">
        <v>42</v>
      </c>
      <c r="U506" s="4">
        <v>86</v>
      </c>
      <c r="V506" s="6">
        <f>IF(ISERROR(VLOOKUP($S$506,'TAR FIN'!$A$1:$O$115,15,0)),0,VLOOKUP($S$506,'TAR FIN'!$A$1:$O$115,15,0))</f>
        <v>0</v>
      </c>
      <c r="W506" s="6">
        <f>IF(ISERROR(VLOOKUP($T$506,'TAR FIN'!$A$1:$O$115,15,0)),0,VLOOKUP($T$506,'TAR FIN'!$A$1:$O$115,15,0))</f>
        <v>363.71</v>
      </c>
      <c r="X506" s="6">
        <f>IF(ISERROR(VLOOKUP($U$506,'TAR FIN'!$A$1:$O$115,15,0)),0,VLOOKUP($U$506,'TAR FIN'!$A$1:$O$115,15,0))</f>
        <v>158.91999999999999</v>
      </c>
      <c r="Y506" s="6"/>
      <c r="Z506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506" s="6">
        <f>('TE BE'!$AB$23+'TE BF'!$AB$23+'TE CVA'!$AB$23)*(1-CUSTOS!$M$36)</f>
        <v>207.6137769965251</v>
      </c>
      <c r="AB506" s="6">
        <f t="shared" si="24"/>
        <v>0</v>
      </c>
      <c r="AC506" s="6">
        <f>(L506-M506)*(W506+X506)+($W$522+$X$522-$W$506-$X$506)*(L506)</f>
        <v>94.015330000000134</v>
      </c>
      <c r="AD506" s="6">
        <f t="shared" si="25"/>
        <v>0</v>
      </c>
      <c r="AE506" s="6">
        <f ca="1">(L506-M506)*(Z506+AA506)+($Z$522+$AA$522-$Z$506-$AA$506)*(L506)</f>
        <v>105.37357287637884</v>
      </c>
      <c r="AF506" s="4" t="s">
        <v>938</v>
      </c>
    </row>
    <row r="507" spans="1:32" ht="11.25" customHeight="1" x14ac:dyDescent="0.25">
      <c r="A507" s="4" t="s">
        <v>21</v>
      </c>
      <c r="B507" s="4" t="s">
        <v>22</v>
      </c>
      <c r="C507" s="4" t="s">
        <v>23</v>
      </c>
      <c r="D507" s="4" t="s">
        <v>24</v>
      </c>
      <c r="E507" s="4" t="s">
        <v>33</v>
      </c>
      <c r="F507" s="4" t="s">
        <v>25</v>
      </c>
      <c r="G507" s="4" t="s">
        <v>25</v>
      </c>
      <c r="H507" s="4" t="s">
        <v>25</v>
      </c>
      <c r="I507" s="5">
        <v>44805</v>
      </c>
      <c r="J507" s="6">
        <v>0</v>
      </c>
      <c r="K507" s="6">
        <v>0</v>
      </c>
      <c r="L507" s="6">
        <v>2420.0030000000002</v>
      </c>
      <c r="M507" s="6">
        <v>2420.0030000000002</v>
      </c>
      <c r="N507" s="6">
        <v>2420.0030000000002</v>
      </c>
      <c r="O507" s="6">
        <v>2420.0030000000002</v>
      </c>
      <c r="P507" s="6">
        <v>21267</v>
      </c>
      <c r="Q507" s="4" t="s">
        <v>26</v>
      </c>
      <c r="R507" s="4">
        <v>0</v>
      </c>
      <c r="S507" s="4">
        <v>0</v>
      </c>
      <c r="T507" s="4">
        <v>42</v>
      </c>
      <c r="U507" s="4">
        <v>86</v>
      </c>
      <c r="V507" s="6">
        <f>IF(ISERROR(VLOOKUP($S$507,'TAR FIN'!$A$1:$O$115,15,0)),0,VLOOKUP($S$507,'TAR FIN'!$A$1:$O$115,15,0))</f>
        <v>0</v>
      </c>
      <c r="W507" s="6">
        <f>IF(ISERROR(VLOOKUP($T$507,'TAR FIN'!$A$1:$O$115,15,0)),0,VLOOKUP($T$507,'TAR FIN'!$A$1:$O$115,15,0))</f>
        <v>363.71</v>
      </c>
      <c r="X507" s="6">
        <f>IF(ISERROR(VLOOKUP($U$507,'TAR FIN'!$A$1:$O$115,15,0)),0,VLOOKUP($U$507,'TAR FIN'!$A$1:$O$115,15,0))</f>
        <v>158.91999999999999</v>
      </c>
      <c r="Y507" s="6"/>
      <c r="Z507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507" s="6">
        <f>('TE BE'!$AB$23+'TE BF'!$AB$23+'TE CVA'!$AB$23)*(1-CUSTOS!$M$36)</f>
        <v>207.6137769965251</v>
      </c>
      <c r="AB507" s="6">
        <f t="shared" si="24"/>
        <v>0</v>
      </c>
      <c r="AC507" s="6">
        <f>(L507-M507)*(W507+X507)+($W$522+$X$522-$W$507-$X$507)*(L507)</f>
        <v>140529.5742100002</v>
      </c>
      <c r="AD507" s="6">
        <f t="shared" si="25"/>
        <v>0</v>
      </c>
      <c r="AE507" s="6">
        <f ca="1">(L507-M507)*(Z507+AA507)+($Z$522+$AA$522-$Z$507-$AA$507)*(L507)</f>
        <v>157507.32704234432</v>
      </c>
      <c r="AF507" s="4" t="s">
        <v>938</v>
      </c>
    </row>
    <row r="508" spans="1:32" ht="11.25" customHeight="1" x14ac:dyDescent="0.25">
      <c r="A508" s="4" t="s">
        <v>27</v>
      </c>
      <c r="B508" s="4" t="s">
        <v>22</v>
      </c>
      <c r="C508" s="4" t="s">
        <v>23</v>
      </c>
      <c r="D508" s="4" t="s">
        <v>24</v>
      </c>
      <c r="E508" s="4" t="s">
        <v>33</v>
      </c>
      <c r="F508" s="4" t="s">
        <v>25</v>
      </c>
      <c r="G508" s="4" t="s">
        <v>25</v>
      </c>
      <c r="H508" s="4" t="s">
        <v>25</v>
      </c>
      <c r="I508" s="5">
        <v>44805</v>
      </c>
      <c r="J508" s="6">
        <v>0</v>
      </c>
      <c r="K508" s="6">
        <v>0</v>
      </c>
      <c r="L508" s="6">
        <v>-5.4390000000000001</v>
      </c>
      <c r="M508" s="6">
        <v>-5.4390000000000001</v>
      </c>
      <c r="N508" s="6">
        <v>-5.4390000000000001</v>
      </c>
      <c r="O508" s="6">
        <v>-5.4390000000000001</v>
      </c>
      <c r="P508" s="6">
        <v>-3</v>
      </c>
      <c r="Q508" s="4" t="s">
        <v>26</v>
      </c>
      <c r="R508" s="4">
        <v>0</v>
      </c>
      <c r="S508" s="4">
        <v>0</v>
      </c>
      <c r="T508" s="4">
        <v>42</v>
      </c>
      <c r="U508" s="4">
        <v>86</v>
      </c>
      <c r="V508" s="6">
        <f>IF(ISERROR(VLOOKUP($S$508,'TAR FIN'!$A$1:$O$115,15,0)),0,VLOOKUP($S$508,'TAR FIN'!$A$1:$O$115,15,0))</f>
        <v>0</v>
      </c>
      <c r="W508" s="6">
        <f>IF(ISERROR(VLOOKUP($T$508,'TAR FIN'!$A$1:$O$115,15,0)),0,VLOOKUP($T$508,'TAR FIN'!$A$1:$O$115,15,0))</f>
        <v>363.71</v>
      </c>
      <c r="X508" s="6">
        <f>IF(ISERROR(VLOOKUP($U$508,'TAR FIN'!$A$1:$O$115,15,0)),0,VLOOKUP($U$508,'TAR FIN'!$A$1:$O$115,15,0))</f>
        <v>158.91999999999999</v>
      </c>
      <c r="Y508" s="6"/>
      <c r="Z508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508" s="6">
        <f>('TE BE'!$AB$23+'TE BF'!$AB$23+'TE CVA'!$AB$23)*(1-CUSTOS!$M$36)</f>
        <v>207.6137769965251</v>
      </c>
      <c r="AB508" s="6">
        <f t="shared" si="24"/>
        <v>0</v>
      </c>
      <c r="AC508" s="6">
        <f>(L508-M508)*(W508+X508)+($W$522+$X$522-$W$508-$X$508)*(L508)</f>
        <v>-315.84273000000042</v>
      </c>
      <c r="AD508" s="6">
        <f t="shared" si="25"/>
        <v>0</v>
      </c>
      <c r="AE508" s="6">
        <f ca="1">(L508-M508)*(Z508+AA508)+($Z$522+$AA$522-$Z$508-$AA$508)*(L508)</f>
        <v>-354.00053296764946</v>
      </c>
      <c r="AF508" s="4" t="s">
        <v>938</v>
      </c>
    </row>
    <row r="509" spans="1:32" ht="11.25" customHeight="1" x14ac:dyDescent="0.25">
      <c r="A509" s="4" t="s">
        <v>28</v>
      </c>
      <c r="B509" s="4" t="s">
        <v>22</v>
      </c>
      <c r="C509" s="4" t="s">
        <v>23</v>
      </c>
      <c r="D509" s="4" t="s">
        <v>24</v>
      </c>
      <c r="E509" s="4" t="s">
        <v>33</v>
      </c>
      <c r="F509" s="4" t="s">
        <v>25</v>
      </c>
      <c r="G509" s="4" t="s">
        <v>25</v>
      </c>
      <c r="H509" s="4" t="s">
        <v>25</v>
      </c>
      <c r="I509" s="5">
        <v>44805</v>
      </c>
      <c r="J509" s="6">
        <v>0</v>
      </c>
      <c r="K509" s="6">
        <v>0</v>
      </c>
      <c r="L509" s="6">
        <v>785.86599999999999</v>
      </c>
      <c r="M509" s="6">
        <v>785.86599999999999</v>
      </c>
      <c r="N509" s="6">
        <v>785.86599999999999</v>
      </c>
      <c r="O509" s="6">
        <v>785.86599999999999</v>
      </c>
      <c r="P509" s="6">
        <v>9611</v>
      </c>
      <c r="Q509" s="4" t="s">
        <v>26</v>
      </c>
      <c r="R509" s="4">
        <v>0</v>
      </c>
      <c r="S509" s="4">
        <v>0</v>
      </c>
      <c r="T509" s="4">
        <v>42</v>
      </c>
      <c r="U509" s="4">
        <v>86</v>
      </c>
      <c r="V509" s="6">
        <f>IF(ISERROR(VLOOKUP($S$509,'TAR FIN'!$A$1:$O$115,15,0)),0,VLOOKUP($S$509,'TAR FIN'!$A$1:$O$115,15,0))</f>
        <v>0</v>
      </c>
      <c r="W509" s="6">
        <f>IF(ISERROR(VLOOKUP($T$509,'TAR FIN'!$A$1:$O$115,15,0)),0,VLOOKUP($T$509,'TAR FIN'!$A$1:$O$115,15,0))</f>
        <v>363.71</v>
      </c>
      <c r="X509" s="6">
        <f>IF(ISERROR(VLOOKUP($U$509,'TAR FIN'!$A$1:$O$115,15,0)),0,VLOOKUP($U$509,'TAR FIN'!$A$1:$O$115,15,0))</f>
        <v>158.91999999999999</v>
      </c>
      <c r="Y509" s="6"/>
      <c r="Z509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509" s="6">
        <f>('TE BE'!$AB$23+'TE BF'!$AB$23+'TE CVA'!$AB$23)*(1-CUSTOS!$M$36)</f>
        <v>207.6137769965251</v>
      </c>
      <c r="AB509" s="6">
        <f t="shared" si="24"/>
        <v>0</v>
      </c>
      <c r="AC509" s="6">
        <f>(L509-M509)*(W509+X509)+($W$522+$X$522-$W$509-$X$509)*(L509)</f>
        <v>45635.238620000062</v>
      </c>
      <c r="AD509" s="6">
        <f t="shared" si="25"/>
        <v>0</v>
      </c>
      <c r="AE509" s="6">
        <f ca="1">(L509-M509)*(Z509+AA509)+($Z$522+$AA$522-$Z$509-$AA$509)*(L509)</f>
        <v>51148.55356520589</v>
      </c>
      <c r="AF509" s="4" t="s">
        <v>938</v>
      </c>
    </row>
    <row r="510" spans="1:32" ht="11.25" customHeight="1" x14ac:dyDescent="0.25">
      <c r="A510" s="4" t="s">
        <v>29</v>
      </c>
      <c r="B510" s="4" t="s">
        <v>22</v>
      </c>
      <c r="C510" s="4" t="s">
        <v>23</v>
      </c>
      <c r="D510" s="4" t="s">
        <v>24</v>
      </c>
      <c r="E510" s="4" t="s">
        <v>33</v>
      </c>
      <c r="F510" s="4" t="s">
        <v>25</v>
      </c>
      <c r="G510" s="4" t="s">
        <v>25</v>
      </c>
      <c r="H510" s="4" t="s">
        <v>25</v>
      </c>
      <c r="I510" s="5">
        <v>44805</v>
      </c>
      <c r="J510" s="6">
        <v>0</v>
      </c>
      <c r="K510" s="6">
        <v>0</v>
      </c>
      <c r="L510" s="6">
        <v>-0.48</v>
      </c>
      <c r="M510" s="6">
        <v>-0.48</v>
      </c>
      <c r="N510" s="6">
        <v>-0.48</v>
      </c>
      <c r="O510" s="6">
        <v>-0.48</v>
      </c>
      <c r="P510" s="6">
        <v>0</v>
      </c>
      <c r="Q510" s="4" t="s">
        <v>26</v>
      </c>
      <c r="R510" s="4">
        <v>0</v>
      </c>
      <c r="S510" s="4">
        <v>0</v>
      </c>
      <c r="T510" s="4">
        <v>42</v>
      </c>
      <c r="U510" s="4">
        <v>86</v>
      </c>
      <c r="V510" s="6">
        <f>IF(ISERROR(VLOOKUP($S$510,'TAR FIN'!$A$1:$O$115,15,0)),0,VLOOKUP($S$510,'TAR FIN'!$A$1:$O$115,15,0))</f>
        <v>0</v>
      </c>
      <c r="W510" s="6">
        <f>IF(ISERROR(VLOOKUP($T$510,'TAR FIN'!$A$1:$O$115,15,0)),0,VLOOKUP($T$510,'TAR FIN'!$A$1:$O$115,15,0))</f>
        <v>363.71</v>
      </c>
      <c r="X510" s="6">
        <f>IF(ISERROR(VLOOKUP($U$510,'TAR FIN'!$A$1:$O$115,15,0)),0,VLOOKUP($U$510,'TAR FIN'!$A$1:$O$115,15,0))</f>
        <v>158.91999999999999</v>
      </c>
      <c r="Y510" s="6"/>
      <c r="Z510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510" s="6">
        <f>('TE BE'!$AB$23+'TE BF'!$AB$23+'TE CVA'!$AB$23)*(1-CUSTOS!$M$36)</f>
        <v>207.6137769965251</v>
      </c>
      <c r="AB510" s="6">
        <f t="shared" si="24"/>
        <v>0</v>
      </c>
      <c r="AC510" s="6">
        <f>(L510-M510)*(W510+X510)+($W$522+$X$522-$W$510-$X$510)*(L510)</f>
        <v>-27.873600000000035</v>
      </c>
      <c r="AD510" s="6">
        <f t="shared" si="25"/>
        <v>0</v>
      </c>
      <c r="AE510" s="6">
        <f ca="1">(L510-M510)*(Z510+AA510)+($Z$522+$AA$522-$Z$510-$AA$510)*(L510)</f>
        <v>-31.241083990526153</v>
      </c>
      <c r="AF510" s="4" t="s">
        <v>938</v>
      </c>
    </row>
    <row r="511" spans="1:32" ht="11.25" customHeight="1" x14ac:dyDescent="0.25">
      <c r="A511" s="4" t="s">
        <v>30</v>
      </c>
      <c r="B511" s="4" t="s">
        <v>22</v>
      </c>
      <c r="C511" s="4" t="s">
        <v>23</v>
      </c>
      <c r="D511" s="4" t="s">
        <v>24</v>
      </c>
      <c r="E511" s="4" t="s">
        <v>33</v>
      </c>
      <c r="F511" s="4" t="s">
        <v>25</v>
      </c>
      <c r="G511" s="4" t="s">
        <v>25</v>
      </c>
      <c r="H511" s="4" t="s">
        <v>25</v>
      </c>
      <c r="I511" s="5">
        <v>44805</v>
      </c>
      <c r="J511" s="6">
        <v>0</v>
      </c>
      <c r="K511" s="6">
        <v>0</v>
      </c>
      <c r="L511" s="6">
        <v>1.736</v>
      </c>
      <c r="M511" s="6">
        <v>1.736</v>
      </c>
      <c r="N511" s="6">
        <v>1.736</v>
      </c>
      <c r="O511" s="6">
        <v>1.736</v>
      </c>
      <c r="P511" s="6">
        <v>7</v>
      </c>
      <c r="Q511" s="4" t="s">
        <v>26</v>
      </c>
      <c r="R511" s="4">
        <v>0</v>
      </c>
      <c r="S511" s="4">
        <v>0</v>
      </c>
      <c r="T511" s="4">
        <v>42</v>
      </c>
      <c r="U511" s="4">
        <v>86</v>
      </c>
      <c r="V511" s="6">
        <f>IF(ISERROR(VLOOKUP($S$511,'TAR FIN'!$A$1:$O$115,15,0)),0,VLOOKUP($S$511,'TAR FIN'!$A$1:$O$115,15,0))</f>
        <v>0</v>
      </c>
      <c r="W511" s="6">
        <f>IF(ISERROR(VLOOKUP($T$511,'TAR FIN'!$A$1:$O$115,15,0)),0,VLOOKUP($T$511,'TAR FIN'!$A$1:$O$115,15,0))</f>
        <v>363.71</v>
      </c>
      <c r="X511" s="6">
        <f>IF(ISERROR(VLOOKUP($U$511,'TAR FIN'!$A$1:$O$115,15,0)),0,VLOOKUP($U$511,'TAR FIN'!$A$1:$O$115,15,0))</f>
        <v>158.91999999999999</v>
      </c>
      <c r="Y511" s="6"/>
      <c r="Z511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511" s="6">
        <f>('TE BE'!$AB$23+'TE BF'!$AB$23+'TE CVA'!$AB$23)*(1-CUSTOS!$M$36)</f>
        <v>207.6137769965251</v>
      </c>
      <c r="AB511" s="6">
        <f t="shared" si="24"/>
        <v>0</v>
      </c>
      <c r="AC511" s="6">
        <f>(L511-M511)*(W511+X511)+($W$522+$X$522-$W$511-$X$511)*(L511)</f>
        <v>100.80952000000013</v>
      </c>
      <c r="AD511" s="6">
        <f t="shared" si="25"/>
        <v>0</v>
      </c>
      <c r="AE511" s="6">
        <f ca="1">(L511-M511)*(Z511+AA511)+($Z$522+$AA$522-$Z$511-$AA$511)*(L511)</f>
        <v>112.98858709906959</v>
      </c>
      <c r="AF511" s="4" t="s">
        <v>938</v>
      </c>
    </row>
    <row r="512" spans="1:32" ht="11.25" customHeight="1" x14ac:dyDescent="0.25">
      <c r="A512" s="4" t="s">
        <v>21</v>
      </c>
      <c r="B512" s="4" t="s">
        <v>22</v>
      </c>
      <c r="C512" s="4" t="s">
        <v>23</v>
      </c>
      <c r="D512" s="4" t="s">
        <v>24</v>
      </c>
      <c r="E512" s="4" t="s">
        <v>33</v>
      </c>
      <c r="F512" s="4" t="s">
        <v>25</v>
      </c>
      <c r="G512" s="4" t="s">
        <v>25</v>
      </c>
      <c r="H512" s="4" t="s">
        <v>25</v>
      </c>
      <c r="I512" s="5">
        <v>44835</v>
      </c>
      <c r="J512" s="6">
        <v>0</v>
      </c>
      <c r="K512" s="6">
        <v>0</v>
      </c>
      <c r="L512" s="6">
        <v>2705.0569999999998</v>
      </c>
      <c r="M512" s="6">
        <v>2705.0569999999998</v>
      </c>
      <c r="N512" s="6">
        <v>2705.0569999999998</v>
      </c>
      <c r="O512" s="6">
        <v>2705.0569999999998</v>
      </c>
      <c r="P512" s="6">
        <v>21473</v>
      </c>
      <c r="Q512" s="4" t="s">
        <v>26</v>
      </c>
      <c r="R512" s="4">
        <v>0</v>
      </c>
      <c r="S512" s="4">
        <v>0</v>
      </c>
      <c r="T512" s="4">
        <v>42</v>
      </c>
      <c r="U512" s="4">
        <v>86</v>
      </c>
      <c r="V512" s="6">
        <f>IF(ISERROR(VLOOKUP($S$512,'TAR FIN'!$A$1:$O$115,15,0)),0,VLOOKUP($S$512,'TAR FIN'!$A$1:$O$115,15,0))</f>
        <v>0</v>
      </c>
      <c r="W512" s="6">
        <f>IF(ISERROR(VLOOKUP($T$512,'TAR FIN'!$A$1:$O$115,15,0)),0,VLOOKUP($T$512,'TAR FIN'!$A$1:$O$115,15,0))</f>
        <v>363.71</v>
      </c>
      <c r="X512" s="6">
        <f>IF(ISERROR(VLOOKUP($U$512,'TAR FIN'!$A$1:$O$115,15,0)),0,VLOOKUP($U$512,'TAR FIN'!$A$1:$O$115,15,0))</f>
        <v>158.91999999999999</v>
      </c>
      <c r="Y512" s="6"/>
      <c r="Z512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512" s="6">
        <f>('TE BE'!$AB$23+'TE BF'!$AB$23+'TE CVA'!$AB$23)*(1-CUSTOS!$M$36)</f>
        <v>207.6137769965251</v>
      </c>
      <c r="AB512" s="6">
        <f t="shared" si="24"/>
        <v>0</v>
      </c>
      <c r="AC512" s="6">
        <f>(L512-M512)*(W512+X512)+($W$522+$X$522-$W$512-$X$512)*(L512)</f>
        <v>157082.65999000019</v>
      </c>
      <c r="AD512" s="6">
        <f t="shared" si="25"/>
        <v>0</v>
      </c>
      <c r="AE512" s="6">
        <f ca="1">(L512-M512)*(Z512+AA512)+($Z$522+$AA$522-$Z$512-$AA$512)*(L512)</f>
        <v>176060.23528366812</v>
      </c>
      <c r="AF512" s="4" t="s">
        <v>938</v>
      </c>
    </row>
    <row r="513" spans="1:32" ht="11.25" customHeight="1" x14ac:dyDescent="0.25">
      <c r="A513" s="4" t="s">
        <v>27</v>
      </c>
      <c r="B513" s="4" t="s">
        <v>22</v>
      </c>
      <c r="C513" s="4" t="s">
        <v>23</v>
      </c>
      <c r="D513" s="4" t="s">
        <v>24</v>
      </c>
      <c r="E513" s="4" t="s">
        <v>33</v>
      </c>
      <c r="F513" s="4" t="s">
        <v>25</v>
      </c>
      <c r="G513" s="4" t="s">
        <v>25</v>
      </c>
      <c r="H513" s="4" t="s">
        <v>25</v>
      </c>
      <c r="I513" s="5">
        <v>44835</v>
      </c>
      <c r="J513" s="6">
        <v>0</v>
      </c>
      <c r="K513" s="6">
        <v>0</v>
      </c>
      <c r="L513" s="6">
        <v>-8.7959999999999994</v>
      </c>
      <c r="M513" s="6">
        <v>-8.7959999999999994</v>
      </c>
      <c r="N513" s="6">
        <v>-8.7959999999999994</v>
      </c>
      <c r="O513" s="6">
        <v>-8.7959999999999994</v>
      </c>
      <c r="P513" s="6">
        <v>-7</v>
      </c>
      <c r="Q513" s="4" t="s">
        <v>26</v>
      </c>
      <c r="R513" s="4">
        <v>0</v>
      </c>
      <c r="S513" s="4">
        <v>0</v>
      </c>
      <c r="T513" s="4">
        <v>42</v>
      </c>
      <c r="U513" s="4">
        <v>86</v>
      </c>
      <c r="V513" s="6">
        <f>IF(ISERROR(VLOOKUP($S$513,'TAR FIN'!$A$1:$O$115,15,0)),0,VLOOKUP($S$513,'TAR FIN'!$A$1:$O$115,15,0))</f>
        <v>0</v>
      </c>
      <c r="W513" s="6">
        <f>IF(ISERROR(VLOOKUP($T$513,'TAR FIN'!$A$1:$O$115,15,0)),0,VLOOKUP($T$513,'TAR FIN'!$A$1:$O$115,15,0))</f>
        <v>363.71</v>
      </c>
      <c r="X513" s="6">
        <f>IF(ISERROR(VLOOKUP($U$513,'TAR FIN'!$A$1:$O$115,15,0)),0,VLOOKUP($U$513,'TAR FIN'!$A$1:$O$115,15,0))</f>
        <v>158.91999999999999</v>
      </c>
      <c r="Y513" s="6"/>
      <c r="Z513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513" s="6">
        <f>('TE BE'!$AB$23+'TE BF'!$AB$23+'TE CVA'!$AB$23)*(1-CUSTOS!$M$36)</f>
        <v>207.6137769965251</v>
      </c>
      <c r="AB513" s="6">
        <f t="shared" si="24"/>
        <v>0</v>
      </c>
      <c r="AC513" s="6">
        <f>(L513-M513)*(W513+X513)+($W$522+$X$522-$W$513-$X$513)*(L513)</f>
        <v>-510.78372000000064</v>
      </c>
      <c r="AD513" s="6">
        <f t="shared" si="25"/>
        <v>0</v>
      </c>
      <c r="AE513" s="6">
        <f ca="1">(L513-M513)*(Z513+AA513)+($Z$522+$AA$522-$Z$513-$AA$513)*(L513)</f>
        <v>-572.49286412639174</v>
      </c>
      <c r="AF513" s="4" t="s">
        <v>938</v>
      </c>
    </row>
    <row r="514" spans="1:32" ht="11.25" customHeight="1" x14ac:dyDescent="0.25">
      <c r="A514" s="4" t="s">
        <v>28</v>
      </c>
      <c r="B514" s="4" t="s">
        <v>22</v>
      </c>
      <c r="C514" s="4" t="s">
        <v>23</v>
      </c>
      <c r="D514" s="4" t="s">
        <v>24</v>
      </c>
      <c r="E514" s="4" t="s">
        <v>33</v>
      </c>
      <c r="F514" s="4" t="s">
        <v>25</v>
      </c>
      <c r="G514" s="4" t="s">
        <v>25</v>
      </c>
      <c r="H514" s="4" t="s">
        <v>25</v>
      </c>
      <c r="I514" s="5">
        <v>44835</v>
      </c>
      <c r="J514" s="6">
        <v>0</v>
      </c>
      <c r="K514" s="6">
        <v>0</v>
      </c>
      <c r="L514" s="6">
        <v>864.66600000000005</v>
      </c>
      <c r="M514" s="6">
        <v>864.66600000000005</v>
      </c>
      <c r="N514" s="6">
        <v>864.66600000000005</v>
      </c>
      <c r="O514" s="6">
        <v>864.66600000000005</v>
      </c>
      <c r="P514" s="6">
        <v>9951</v>
      </c>
      <c r="Q514" s="4" t="s">
        <v>26</v>
      </c>
      <c r="R514" s="4">
        <v>0</v>
      </c>
      <c r="S514" s="4">
        <v>0</v>
      </c>
      <c r="T514" s="4">
        <v>42</v>
      </c>
      <c r="U514" s="4">
        <v>86</v>
      </c>
      <c r="V514" s="6">
        <f>IF(ISERROR(VLOOKUP($S$514,'TAR FIN'!$A$1:$O$115,15,0)),0,VLOOKUP($S$514,'TAR FIN'!$A$1:$O$115,15,0))</f>
        <v>0</v>
      </c>
      <c r="W514" s="6">
        <f>IF(ISERROR(VLOOKUP($T$514,'TAR FIN'!$A$1:$O$115,15,0)),0,VLOOKUP($T$514,'TAR FIN'!$A$1:$O$115,15,0))</f>
        <v>363.71</v>
      </c>
      <c r="X514" s="6">
        <f>IF(ISERROR(VLOOKUP($U$514,'TAR FIN'!$A$1:$O$115,15,0)),0,VLOOKUP($U$514,'TAR FIN'!$A$1:$O$115,15,0))</f>
        <v>158.91999999999999</v>
      </c>
      <c r="Y514" s="6"/>
      <c r="Z514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514" s="6">
        <f>('TE BE'!$AB$23+'TE BF'!$AB$23+'TE CVA'!$AB$23)*(1-CUSTOS!$M$36)</f>
        <v>207.6137769965251</v>
      </c>
      <c r="AB514" s="6">
        <f t="shared" ref="AB514:AB577" si="26">(J514-K514)*V514</f>
        <v>0</v>
      </c>
      <c r="AC514" s="6">
        <f>(L514-M514)*(W514+X514)+($W$522+$X$522-$W$514-$X$514)*(L514)</f>
        <v>50211.154620000074</v>
      </c>
      <c r="AD514" s="6">
        <f t="shared" ref="AD514:AD577" si="27">(J514-K514)*Y514</f>
        <v>0</v>
      </c>
      <c r="AE514" s="6">
        <f ca="1">(L514-M514)*(Z514+AA514)+($Z$522+$AA$522-$Z$514-$AA$514)*(L514)</f>
        <v>56277.298186983935</v>
      </c>
      <c r="AF514" s="4" t="s">
        <v>938</v>
      </c>
    </row>
    <row r="515" spans="1:32" ht="11.25" customHeight="1" x14ac:dyDescent="0.25">
      <c r="A515" s="4" t="s">
        <v>29</v>
      </c>
      <c r="B515" s="4" t="s">
        <v>22</v>
      </c>
      <c r="C515" s="4" t="s">
        <v>23</v>
      </c>
      <c r="D515" s="4" t="s">
        <v>24</v>
      </c>
      <c r="E515" s="4" t="s">
        <v>33</v>
      </c>
      <c r="F515" s="4" t="s">
        <v>25</v>
      </c>
      <c r="G515" s="4" t="s">
        <v>25</v>
      </c>
      <c r="H515" s="4" t="s">
        <v>25</v>
      </c>
      <c r="I515" s="5">
        <v>44835</v>
      </c>
      <c r="J515" s="6">
        <v>0</v>
      </c>
      <c r="K515" s="6">
        <v>0</v>
      </c>
      <c r="L515" s="6">
        <v>-6.1689999999999996</v>
      </c>
      <c r="M515" s="6">
        <v>-6.1689999999999996</v>
      </c>
      <c r="N515" s="6">
        <v>-6.1689999999999996</v>
      </c>
      <c r="O515" s="6">
        <v>-6.1689999999999996</v>
      </c>
      <c r="P515" s="6">
        <v>0</v>
      </c>
      <c r="Q515" s="4" t="s">
        <v>26</v>
      </c>
      <c r="R515" s="4">
        <v>0</v>
      </c>
      <c r="S515" s="4">
        <v>0</v>
      </c>
      <c r="T515" s="4">
        <v>42</v>
      </c>
      <c r="U515" s="4">
        <v>86</v>
      </c>
      <c r="V515" s="6">
        <f>IF(ISERROR(VLOOKUP($S$515,'TAR FIN'!$A$1:$O$115,15,0)),0,VLOOKUP($S$515,'TAR FIN'!$A$1:$O$115,15,0))</f>
        <v>0</v>
      </c>
      <c r="W515" s="6">
        <f>IF(ISERROR(VLOOKUP($T$515,'TAR FIN'!$A$1:$O$115,15,0)),0,VLOOKUP($T$515,'TAR FIN'!$A$1:$O$115,15,0))</f>
        <v>363.71</v>
      </c>
      <c r="X515" s="6">
        <f>IF(ISERROR(VLOOKUP($U$515,'TAR FIN'!$A$1:$O$115,15,0)),0,VLOOKUP($U$515,'TAR FIN'!$A$1:$O$115,15,0))</f>
        <v>158.91999999999999</v>
      </c>
      <c r="Y515" s="6"/>
      <c r="Z515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515" s="6">
        <f>('TE BE'!$AB$23+'TE BF'!$AB$23+'TE CVA'!$AB$23)*(1-CUSTOS!$M$36)</f>
        <v>207.6137769965251</v>
      </c>
      <c r="AB515" s="6">
        <f t="shared" si="26"/>
        <v>0</v>
      </c>
      <c r="AC515" s="6">
        <f>(L515-M515)*(W515+X515)+($W$522+$X$522-$W$515-$X$515)*(L515)</f>
        <v>-358.23383000000047</v>
      </c>
      <c r="AD515" s="6">
        <f t="shared" si="27"/>
        <v>0</v>
      </c>
      <c r="AE515" s="6">
        <f ca="1">(L515-M515)*(Z515+AA515)+($Z$522+$AA$522-$Z$515-$AA$515)*(L515)</f>
        <v>-401.51301486990798</v>
      </c>
      <c r="AF515" s="4" t="s">
        <v>938</v>
      </c>
    </row>
    <row r="516" spans="1:32" ht="11.25" customHeight="1" x14ac:dyDescent="0.25">
      <c r="A516" s="4" t="s">
        <v>30</v>
      </c>
      <c r="B516" s="4" t="s">
        <v>22</v>
      </c>
      <c r="C516" s="4" t="s">
        <v>23</v>
      </c>
      <c r="D516" s="4" t="s">
        <v>24</v>
      </c>
      <c r="E516" s="4" t="s">
        <v>33</v>
      </c>
      <c r="F516" s="4" t="s">
        <v>25</v>
      </c>
      <c r="G516" s="4" t="s">
        <v>25</v>
      </c>
      <c r="H516" s="4" t="s">
        <v>25</v>
      </c>
      <c r="I516" s="5">
        <v>44835</v>
      </c>
      <c r="J516" s="6">
        <v>0</v>
      </c>
      <c r="K516" s="6">
        <v>0</v>
      </c>
      <c r="L516" s="6">
        <v>2.1469999999999998</v>
      </c>
      <c r="M516" s="6">
        <v>2.1469999999999998</v>
      </c>
      <c r="N516" s="6">
        <v>2.1469999999999998</v>
      </c>
      <c r="O516" s="6">
        <v>2.1469999999999998</v>
      </c>
      <c r="P516" s="6">
        <v>5</v>
      </c>
      <c r="Q516" s="4" t="s">
        <v>26</v>
      </c>
      <c r="R516" s="4">
        <v>0</v>
      </c>
      <c r="S516" s="4">
        <v>0</v>
      </c>
      <c r="T516" s="4">
        <v>42</v>
      </c>
      <c r="U516" s="4">
        <v>86</v>
      </c>
      <c r="V516" s="6">
        <f>IF(ISERROR(VLOOKUP($S$516,'TAR FIN'!$A$1:$O$115,15,0)),0,VLOOKUP($S$516,'TAR FIN'!$A$1:$O$115,15,0))</f>
        <v>0</v>
      </c>
      <c r="W516" s="6">
        <f>IF(ISERROR(VLOOKUP($T$516,'TAR FIN'!$A$1:$O$115,15,0)),0,VLOOKUP($T$516,'TAR FIN'!$A$1:$O$115,15,0))</f>
        <v>363.71</v>
      </c>
      <c r="X516" s="6">
        <f>IF(ISERROR(VLOOKUP($U$516,'TAR FIN'!$A$1:$O$115,15,0)),0,VLOOKUP($U$516,'TAR FIN'!$A$1:$O$115,15,0))</f>
        <v>158.91999999999999</v>
      </c>
      <c r="Y516" s="6"/>
      <c r="Z516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516" s="6">
        <f>('TE BE'!$AB$23+'TE BF'!$AB$23+'TE CVA'!$AB$23)*(1-CUSTOS!$M$36)</f>
        <v>207.6137769965251</v>
      </c>
      <c r="AB516" s="6">
        <f t="shared" si="26"/>
        <v>0</v>
      </c>
      <c r="AC516" s="6">
        <f>(L516-M516)*(W516+X516)+($W$522+$X$522-$W$516-$X$516)*(L516)</f>
        <v>124.67629000000015</v>
      </c>
      <c r="AD516" s="6">
        <f t="shared" si="27"/>
        <v>0</v>
      </c>
      <c r="AE516" s="6">
        <f ca="1">(L516-M516)*(Z516+AA516)+($Z$522+$AA$522-$Z$516-$AA$516)*(L516)</f>
        <v>139.7387652659576</v>
      </c>
      <c r="AF516" s="4" t="s">
        <v>938</v>
      </c>
    </row>
    <row r="517" spans="1:32" ht="11.25" customHeight="1" x14ac:dyDescent="0.25">
      <c r="A517" s="4" t="s">
        <v>59</v>
      </c>
      <c r="B517" s="4" t="s">
        <v>22</v>
      </c>
      <c r="C517" s="4" t="s">
        <v>23</v>
      </c>
      <c r="D517" s="4" t="s">
        <v>24</v>
      </c>
      <c r="E517" s="4" t="s">
        <v>33</v>
      </c>
      <c r="F517" s="4" t="s">
        <v>25</v>
      </c>
      <c r="G517" s="4" t="s">
        <v>25</v>
      </c>
      <c r="H517" s="4" t="s">
        <v>25</v>
      </c>
      <c r="I517" s="5">
        <v>44866</v>
      </c>
      <c r="J517" s="6">
        <v>0</v>
      </c>
      <c r="K517" s="6">
        <v>0</v>
      </c>
      <c r="L517" s="6">
        <v>2705.0569999999998</v>
      </c>
      <c r="M517" s="6">
        <v>2705.0569999999998</v>
      </c>
      <c r="N517" s="6">
        <v>2705.0569999999998</v>
      </c>
      <c r="O517" s="6">
        <v>2705.0569999999998</v>
      </c>
      <c r="P517" s="6">
        <v>21473</v>
      </c>
      <c r="Q517" s="4" t="s">
        <v>26</v>
      </c>
      <c r="R517" s="4">
        <v>0</v>
      </c>
      <c r="S517" s="4">
        <v>0</v>
      </c>
      <c r="T517" s="4">
        <v>42</v>
      </c>
      <c r="U517" s="4">
        <v>86</v>
      </c>
      <c r="V517" s="6">
        <f>IF(ISERROR(VLOOKUP($S$517,'TAR FIN'!$A$1:$O$115,15,0)),0,VLOOKUP($S$517,'TAR FIN'!$A$1:$O$115,15,0))</f>
        <v>0</v>
      </c>
      <c r="W517" s="6">
        <f>IF(ISERROR(VLOOKUP($T$517,'TAR FIN'!$A$1:$O$115,15,0)),0,VLOOKUP($T$517,'TAR FIN'!$A$1:$O$115,15,0))</f>
        <v>363.71</v>
      </c>
      <c r="X517" s="6">
        <f>IF(ISERROR(VLOOKUP($U$517,'TAR FIN'!$A$1:$O$115,15,0)),0,VLOOKUP($U$517,'TAR FIN'!$A$1:$O$115,15,0))</f>
        <v>158.91999999999999</v>
      </c>
      <c r="Y517" s="6"/>
      <c r="Z517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517" s="6">
        <f>('TE BE'!$AB$23+'TE BF'!$AB$23+'TE CVA'!$AB$23)*(1-CUSTOS!$M$36)</f>
        <v>207.6137769965251</v>
      </c>
      <c r="AB517" s="6">
        <f t="shared" si="26"/>
        <v>0</v>
      </c>
      <c r="AC517" s="6">
        <f>(L517-M517)*(W517+X517)+($W$522+$X$522-$W$517-$X$517)*(L517)</f>
        <v>157082.65999000019</v>
      </c>
      <c r="AD517" s="6">
        <f t="shared" si="27"/>
        <v>0</v>
      </c>
      <c r="AE517" s="6">
        <f ca="1">(L517-M517)*(Z517+AA517)+($Z$522+$AA$522-$Z$517-$AA$517)*(L517)</f>
        <v>176060.23528366812</v>
      </c>
      <c r="AF517" s="4" t="s">
        <v>938</v>
      </c>
    </row>
    <row r="518" spans="1:32" ht="11.25" customHeight="1" x14ac:dyDescent="0.25">
      <c r="A518" s="4" t="s">
        <v>59</v>
      </c>
      <c r="B518" s="4" t="s">
        <v>22</v>
      </c>
      <c r="C518" s="4" t="s">
        <v>23</v>
      </c>
      <c r="D518" s="4" t="s">
        <v>24</v>
      </c>
      <c r="E518" s="4" t="s">
        <v>33</v>
      </c>
      <c r="F518" s="4" t="s">
        <v>25</v>
      </c>
      <c r="G518" s="4" t="s">
        <v>25</v>
      </c>
      <c r="H518" s="4" t="s">
        <v>25</v>
      </c>
      <c r="I518" s="5">
        <v>44866</v>
      </c>
      <c r="J518" s="6">
        <v>0</v>
      </c>
      <c r="K518" s="6">
        <v>0</v>
      </c>
      <c r="L518" s="6">
        <v>-8.7959999999999994</v>
      </c>
      <c r="M518" s="6">
        <v>-8.7959999999999994</v>
      </c>
      <c r="N518" s="6">
        <v>-8.7959999999999994</v>
      </c>
      <c r="O518" s="6">
        <v>-8.7959999999999994</v>
      </c>
      <c r="P518" s="6">
        <v>-7</v>
      </c>
      <c r="Q518" s="4" t="s">
        <v>26</v>
      </c>
      <c r="R518" s="4">
        <v>0</v>
      </c>
      <c r="S518" s="4">
        <v>0</v>
      </c>
      <c r="T518" s="4">
        <v>42</v>
      </c>
      <c r="U518" s="4">
        <v>86</v>
      </c>
      <c r="V518" s="6">
        <f>IF(ISERROR(VLOOKUP($S$518,'TAR FIN'!$A$1:$O$115,15,0)),0,VLOOKUP($S$518,'TAR FIN'!$A$1:$O$115,15,0))</f>
        <v>0</v>
      </c>
      <c r="W518" s="6">
        <f>IF(ISERROR(VLOOKUP($T$518,'TAR FIN'!$A$1:$O$115,15,0)),0,VLOOKUP($T$518,'TAR FIN'!$A$1:$O$115,15,0))</f>
        <v>363.71</v>
      </c>
      <c r="X518" s="6">
        <f>IF(ISERROR(VLOOKUP($U$518,'TAR FIN'!$A$1:$O$115,15,0)),0,VLOOKUP($U$518,'TAR FIN'!$A$1:$O$115,15,0))</f>
        <v>158.91999999999999</v>
      </c>
      <c r="Y518" s="6"/>
      <c r="Z518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518" s="6">
        <f>('TE BE'!$AB$23+'TE BF'!$AB$23+'TE CVA'!$AB$23)*(1-CUSTOS!$M$36)</f>
        <v>207.6137769965251</v>
      </c>
      <c r="AB518" s="6">
        <f t="shared" si="26"/>
        <v>0</v>
      </c>
      <c r="AC518" s="6">
        <f>(L518-M518)*(W518+X518)+($W$522+$X$522-$W$518-$X$518)*(L518)</f>
        <v>-510.78372000000064</v>
      </c>
      <c r="AD518" s="6">
        <f t="shared" si="27"/>
        <v>0</v>
      </c>
      <c r="AE518" s="6">
        <f ca="1">(L518-M518)*(Z518+AA518)+($Z$522+$AA$522-$Z$518-$AA$518)*(L518)</f>
        <v>-572.49286412639174</v>
      </c>
      <c r="AF518" s="4" t="s">
        <v>938</v>
      </c>
    </row>
    <row r="519" spans="1:32" ht="11.25" customHeight="1" x14ac:dyDescent="0.25">
      <c r="A519" s="4" t="s">
        <v>59</v>
      </c>
      <c r="B519" s="4" t="s">
        <v>22</v>
      </c>
      <c r="C519" s="4" t="s">
        <v>23</v>
      </c>
      <c r="D519" s="4" t="s">
        <v>24</v>
      </c>
      <c r="E519" s="4" t="s">
        <v>33</v>
      </c>
      <c r="F519" s="4" t="s">
        <v>25</v>
      </c>
      <c r="G519" s="4" t="s">
        <v>25</v>
      </c>
      <c r="H519" s="4" t="s">
        <v>25</v>
      </c>
      <c r="I519" s="5">
        <v>44866</v>
      </c>
      <c r="J519" s="6">
        <v>0</v>
      </c>
      <c r="K519" s="6">
        <v>0</v>
      </c>
      <c r="L519" s="6">
        <v>864.66600000000005</v>
      </c>
      <c r="M519" s="6">
        <v>864.66600000000005</v>
      </c>
      <c r="N519" s="6">
        <v>864.66600000000005</v>
      </c>
      <c r="O519" s="6">
        <v>864.66600000000005</v>
      </c>
      <c r="P519" s="6">
        <v>9951</v>
      </c>
      <c r="Q519" s="4" t="s">
        <v>26</v>
      </c>
      <c r="R519" s="4">
        <v>0</v>
      </c>
      <c r="S519" s="4">
        <v>0</v>
      </c>
      <c r="T519" s="4">
        <v>42</v>
      </c>
      <c r="U519" s="4">
        <v>86</v>
      </c>
      <c r="V519" s="6">
        <f>IF(ISERROR(VLOOKUP($S$519,'TAR FIN'!$A$1:$O$115,15,0)),0,VLOOKUP($S$519,'TAR FIN'!$A$1:$O$115,15,0))</f>
        <v>0</v>
      </c>
      <c r="W519" s="6">
        <f>IF(ISERROR(VLOOKUP($T$519,'TAR FIN'!$A$1:$O$115,15,0)),0,VLOOKUP($T$519,'TAR FIN'!$A$1:$O$115,15,0))</f>
        <v>363.71</v>
      </c>
      <c r="X519" s="6">
        <f>IF(ISERROR(VLOOKUP($U$519,'TAR FIN'!$A$1:$O$115,15,0)),0,VLOOKUP($U$519,'TAR FIN'!$A$1:$O$115,15,0))</f>
        <v>158.91999999999999</v>
      </c>
      <c r="Y519" s="6"/>
      <c r="Z519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519" s="6">
        <f>('TE BE'!$AB$23+'TE BF'!$AB$23+'TE CVA'!$AB$23)*(1-CUSTOS!$M$36)</f>
        <v>207.6137769965251</v>
      </c>
      <c r="AB519" s="6">
        <f t="shared" si="26"/>
        <v>0</v>
      </c>
      <c r="AC519" s="6">
        <f>(L519-M519)*(W519+X519)+($W$522+$X$522-$W$519-$X$519)*(L519)</f>
        <v>50211.154620000074</v>
      </c>
      <c r="AD519" s="6">
        <f t="shared" si="27"/>
        <v>0</v>
      </c>
      <c r="AE519" s="6">
        <f ca="1">(L519-M519)*(Z519+AA519)+($Z$522+$AA$522-$Z$519-$AA$519)*(L519)</f>
        <v>56277.298186983935</v>
      </c>
      <c r="AF519" s="4" t="s">
        <v>938</v>
      </c>
    </row>
    <row r="520" spans="1:32" ht="11.25" customHeight="1" x14ac:dyDescent="0.25">
      <c r="A520" s="4" t="s">
        <v>59</v>
      </c>
      <c r="B520" s="4" t="s">
        <v>22</v>
      </c>
      <c r="C520" s="4" t="s">
        <v>23</v>
      </c>
      <c r="D520" s="4" t="s">
        <v>24</v>
      </c>
      <c r="E520" s="4" t="s">
        <v>33</v>
      </c>
      <c r="F520" s="4" t="s">
        <v>25</v>
      </c>
      <c r="G520" s="4" t="s">
        <v>25</v>
      </c>
      <c r="H520" s="4" t="s">
        <v>25</v>
      </c>
      <c r="I520" s="5">
        <v>44866</v>
      </c>
      <c r="J520" s="6">
        <v>0</v>
      </c>
      <c r="K520" s="6">
        <v>0</v>
      </c>
      <c r="L520" s="6">
        <v>-6.1689999999999996</v>
      </c>
      <c r="M520" s="6">
        <v>-6.1689999999999996</v>
      </c>
      <c r="N520" s="6">
        <v>-6.1689999999999996</v>
      </c>
      <c r="O520" s="6">
        <v>-6.1689999999999996</v>
      </c>
      <c r="P520" s="6">
        <v>0</v>
      </c>
      <c r="Q520" s="4" t="s">
        <v>26</v>
      </c>
      <c r="R520" s="4">
        <v>0</v>
      </c>
      <c r="S520" s="4">
        <v>0</v>
      </c>
      <c r="T520" s="4">
        <v>42</v>
      </c>
      <c r="U520" s="4">
        <v>86</v>
      </c>
      <c r="V520" s="6">
        <f>IF(ISERROR(VLOOKUP($S$520,'TAR FIN'!$A$1:$O$115,15,0)),0,VLOOKUP($S$520,'TAR FIN'!$A$1:$O$115,15,0))</f>
        <v>0</v>
      </c>
      <c r="W520" s="6">
        <f>IF(ISERROR(VLOOKUP($T$520,'TAR FIN'!$A$1:$O$115,15,0)),0,VLOOKUP($T$520,'TAR FIN'!$A$1:$O$115,15,0))</f>
        <v>363.71</v>
      </c>
      <c r="X520" s="6">
        <f>IF(ISERROR(VLOOKUP($U$520,'TAR FIN'!$A$1:$O$115,15,0)),0,VLOOKUP($U$520,'TAR FIN'!$A$1:$O$115,15,0))</f>
        <v>158.91999999999999</v>
      </c>
      <c r="Y520" s="6"/>
      <c r="Z520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520" s="6">
        <f>('TE BE'!$AB$23+'TE BF'!$AB$23+'TE CVA'!$AB$23)*(1-CUSTOS!$M$36)</f>
        <v>207.6137769965251</v>
      </c>
      <c r="AB520" s="6">
        <f t="shared" si="26"/>
        <v>0</v>
      </c>
      <c r="AC520" s="6">
        <f>(L520-M520)*(W520+X520)+($W$522+$X$522-$W$520-$X$520)*(L520)</f>
        <v>-358.23383000000047</v>
      </c>
      <c r="AD520" s="6">
        <f t="shared" si="27"/>
        <v>0</v>
      </c>
      <c r="AE520" s="6">
        <f ca="1">(L520-M520)*(Z520+AA520)+($Z$522+$AA$522-$Z$520-$AA$520)*(L520)</f>
        <v>-401.51301486990798</v>
      </c>
      <c r="AF520" s="4" t="s">
        <v>938</v>
      </c>
    </row>
    <row r="521" spans="1:32" ht="11.25" customHeight="1" x14ac:dyDescent="0.25">
      <c r="A521" s="4" t="s">
        <v>59</v>
      </c>
      <c r="B521" s="4" t="s">
        <v>22</v>
      </c>
      <c r="C521" s="4" t="s">
        <v>23</v>
      </c>
      <c r="D521" s="4" t="s">
        <v>24</v>
      </c>
      <c r="E521" s="4" t="s">
        <v>33</v>
      </c>
      <c r="F521" s="4" t="s">
        <v>25</v>
      </c>
      <c r="G521" s="4" t="s">
        <v>25</v>
      </c>
      <c r="H521" s="4" t="s">
        <v>25</v>
      </c>
      <c r="I521" s="5">
        <v>44866</v>
      </c>
      <c r="J521" s="6">
        <v>0</v>
      </c>
      <c r="K521" s="6">
        <v>0</v>
      </c>
      <c r="L521" s="6">
        <v>2.1469999999999998</v>
      </c>
      <c r="M521" s="6">
        <v>2.1469999999999998</v>
      </c>
      <c r="N521" s="6">
        <v>2.1469999999999998</v>
      </c>
      <c r="O521" s="6">
        <v>2.1469999999999998</v>
      </c>
      <c r="P521" s="6">
        <v>5</v>
      </c>
      <c r="Q521" s="4" t="s">
        <v>26</v>
      </c>
      <c r="R521" s="4">
        <v>0</v>
      </c>
      <c r="S521" s="4">
        <v>0</v>
      </c>
      <c r="T521" s="4">
        <v>42</v>
      </c>
      <c r="U521" s="4">
        <v>86</v>
      </c>
      <c r="V521" s="6">
        <f>IF(ISERROR(VLOOKUP($S$521,'TAR FIN'!$A$1:$O$115,15,0)),0,VLOOKUP($S$521,'TAR FIN'!$A$1:$O$115,15,0))</f>
        <v>0</v>
      </c>
      <c r="W521" s="6">
        <f>IF(ISERROR(VLOOKUP($T$521,'TAR FIN'!$A$1:$O$115,15,0)),0,VLOOKUP($T$521,'TAR FIN'!$A$1:$O$115,15,0))</f>
        <v>363.71</v>
      </c>
      <c r="X521" s="6">
        <f>IF(ISERROR(VLOOKUP($U$521,'TAR FIN'!$A$1:$O$115,15,0)),0,VLOOKUP($U$521,'TAR FIN'!$A$1:$O$115,15,0))</f>
        <v>158.91999999999999</v>
      </c>
      <c r="Y521" s="6"/>
      <c r="Z521" s="6">
        <f ca="1">('TUSD BE'!$AM$40+'TUSD BF'!$AM$40+'TUSD CVA'!$AM$40-('TUSD BE'!$P$40+'TUSD BF'!$P$40+'TUSD CVA'!$P$40)-('TUSD BE'!$Q$40+'TUSD BF'!$Q$40+'TUSD CVA'!$Q$40)-('TUSD BE'!$R$40+'TUSD BF'!$R$40+'TUSD CVA'!$R$40))*(1-CUSTOS!$M$36)</f>
        <v>378.15654782584068</v>
      </c>
      <c r="AA521" s="6">
        <f>('TE BE'!$AB$23+'TE BF'!$AB$23+'TE CVA'!$AB$23)*(1-CUSTOS!$M$36)</f>
        <v>207.6137769965251</v>
      </c>
      <c r="AB521" s="6">
        <f t="shared" si="26"/>
        <v>0</v>
      </c>
      <c r="AC521" s="6">
        <f>(L521-M521)*(W521+X521)+($W$522+$X$522-$W$521-$X$521)*(L521)</f>
        <v>124.67629000000015</v>
      </c>
      <c r="AD521" s="6">
        <f t="shared" si="27"/>
        <v>0</v>
      </c>
      <c r="AE521" s="6">
        <f ca="1">(L521-M521)*(Z521+AA521)+($Z$522+$AA$522-$Z$521-$AA$521)*(L521)</f>
        <v>139.7387652659576</v>
      </c>
      <c r="AF521" s="4" t="s">
        <v>938</v>
      </c>
    </row>
    <row r="522" spans="1:32" ht="11.25" customHeight="1" x14ac:dyDescent="0.25">
      <c r="A522" s="4" t="s">
        <v>21</v>
      </c>
      <c r="B522" s="4" t="s">
        <v>22</v>
      </c>
      <c r="C522" s="4" t="s">
        <v>23</v>
      </c>
      <c r="D522" s="4" t="s">
        <v>24</v>
      </c>
      <c r="E522" s="4" t="s">
        <v>34</v>
      </c>
      <c r="F522" s="4" t="s">
        <v>25</v>
      </c>
      <c r="G522" s="4" t="s">
        <v>25</v>
      </c>
      <c r="H522" s="4" t="s">
        <v>25</v>
      </c>
      <c r="I522" s="5">
        <v>44531</v>
      </c>
      <c r="J522" s="6">
        <v>0</v>
      </c>
      <c r="K522" s="6">
        <v>0</v>
      </c>
      <c r="L522" s="6">
        <v>1049.191</v>
      </c>
      <c r="M522" s="6">
        <v>1049.191</v>
      </c>
      <c r="N522" s="6">
        <v>1049.191</v>
      </c>
      <c r="O522" s="6">
        <v>1049.191</v>
      </c>
      <c r="P522" s="6">
        <v>8530</v>
      </c>
      <c r="Q522" s="4" t="s">
        <v>26</v>
      </c>
      <c r="R522" s="4">
        <v>0</v>
      </c>
      <c r="S522" s="4">
        <v>0</v>
      </c>
      <c r="T522" s="4">
        <v>43</v>
      </c>
      <c r="U522" s="4">
        <v>87</v>
      </c>
      <c r="V522" s="6">
        <f>IF(ISERROR(VLOOKUP($S$522,'TAR FIN'!$A$1:$O$115,15,0)),0,VLOOKUP($S$522,'TAR FIN'!$A$1:$O$115,15,0))</f>
        <v>0</v>
      </c>
      <c r="W522" s="6">
        <f>IF(ISERROR(VLOOKUP($T$522,'TAR FIN'!$A$1:$O$115,15,0)),0,VLOOKUP($T$522,'TAR FIN'!$A$1:$O$115,15,0))</f>
        <v>404.12</v>
      </c>
      <c r="X522" s="6">
        <f>IF(ISERROR(VLOOKUP($U$522,'TAR FIN'!$A$1:$O$115,15,0)),0,VLOOKUP($U$522,'TAR FIN'!$A$1:$O$115,15,0))</f>
        <v>176.58</v>
      </c>
      <c r="Y522" s="6"/>
      <c r="Z522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22" s="6">
        <f>('TE BE'!$AB$24+'TE BF'!$AB$24+'TE CVA'!$AB$24)*(1-CUSTOS!$M$37)</f>
        <v>230.68197444058345</v>
      </c>
      <c r="AB522" s="6">
        <f t="shared" si="26"/>
        <v>0</v>
      </c>
      <c r="AC522" s="6">
        <f>(L522-M522)*(W522+X522)+($W$522+$X$522-$W$522-$X$522)*(L522)</f>
        <v>2.9819801738995012E-11</v>
      </c>
      <c r="AD522" s="6">
        <f t="shared" si="27"/>
        <v>0</v>
      </c>
      <c r="AE522" s="6">
        <f ca="1">(L522-M522)*(Z522+AA522)+($Z$522+$AA$522-$Z$522-$AA$522)*(L522)</f>
        <v>-2.9819801738995012E-11</v>
      </c>
      <c r="AF522" s="4" t="s">
        <v>938</v>
      </c>
    </row>
    <row r="523" spans="1:32" ht="11.25" customHeight="1" x14ac:dyDescent="0.25">
      <c r="A523" s="4" t="s">
        <v>27</v>
      </c>
      <c r="B523" s="4" t="s">
        <v>22</v>
      </c>
      <c r="C523" s="4" t="s">
        <v>23</v>
      </c>
      <c r="D523" s="4" t="s">
        <v>24</v>
      </c>
      <c r="E523" s="4" t="s">
        <v>34</v>
      </c>
      <c r="F523" s="4" t="s">
        <v>25</v>
      </c>
      <c r="G523" s="4" t="s">
        <v>25</v>
      </c>
      <c r="H523" s="4" t="s">
        <v>25</v>
      </c>
      <c r="I523" s="5">
        <v>44531</v>
      </c>
      <c r="J523" s="6">
        <v>0</v>
      </c>
      <c r="K523" s="6">
        <v>0</v>
      </c>
      <c r="L523" s="6">
        <v>-42.261000000000003</v>
      </c>
      <c r="M523" s="6">
        <v>-42.261000000000003</v>
      </c>
      <c r="N523" s="6">
        <v>-42.261000000000003</v>
      </c>
      <c r="O523" s="6">
        <v>-42.261000000000003</v>
      </c>
      <c r="P523" s="6">
        <v>-91</v>
      </c>
      <c r="Q523" s="4" t="s">
        <v>26</v>
      </c>
      <c r="R523" s="4">
        <v>0</v>
      </c>
      <c r="S523" s="4">
        <v>0</v>
      </c>
      <c r="T523" s="4">
        <v>43</v>
      </c>
      <c r="U523" s="4">
        <v>87</v>
      </c>
      <c r="V523" s="6">
        <f>IF(ISERROR(VLOOKUP($S$523,'TAR FIN'!$A$1:$O$115,15,0)),0,VLOOKUP($S$523,'TAR FIN'!$A$1:$O$115,15,0))</f>
        <v>0</v>
      </c>
      <c r="W523" s="6">
        <f>IF(ISERROR(VLOOKUP($T$523,'TAR FIN'!$A$1:$O$115,15,0)),0,VLOOKUP($T$523,'TAR FIN'!$A$1:$O$115,15,0))</f>
        <v>404.12</v>
      </c>
      <c r="X523" s="6">
        <f>IF(ISERROR(VLOOKUP($U$523,'TAR FIN'!$A$1:$O$115,15,0)),0,VLOOKUP($U$523,'TAR FIN'!$A$1:$O$115,15,0))</f>
        <v>176.58</v>
      </c>
      <c r="Y523" s="6"/>
      <c r="Z523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23" s="6">
        <f>('TE BE'!$AB$24+'TE BF'!$AB$24+'TE CVA'!$AB$24)*(1-CUSTOS!$M$37)</f>
        <v>230.68197444058345</v>
      </c>
      <c r="AB523" s="6">
        <f t="shared" si="26"/>
        <v>0</v>
      </c>
      <c r="AC523" s="6">
        <f>(L523-M523)*(W523+X523)+($W$522+$X$522-$W$523-$X$523)*(L523)</f>
        <v>-1.2011298622383038E-12</v>
      </c>
      <c r="AD523" s="6">
        <f t="shared" si="27"/>
        <v>0</v>
      </c>
      <c r="AE523" s="6">
        <f ca="1">(L523-M523)*(Z523+AA523)+($Z$522+$AA$522-$Z$523-$AA$523)*(L523)</f>
        <v>1.2011298622383038E-12</v>
      </c>
      <c r="AF523" s="4" t="s">
        <v>938</v>
      </c>
    </row>
    <row r="524" spans="1:32" ht="11.25" customHeight="1" x14ac:dyDescent="0.25">
      <c r="A524" s="4" t="s">
        <v>28</v>
      </c>
      <c r="B524" s="4" t="s">
        <v>22</v>
      </c>
      <c r="C524" s="4" t="s">
        <v>23</v>
      </c>
      <c r="D524" s="4" t="s">
        <v>24</v>
      </c>
      <c r="E524" s="4" t="s">
        <v>34</v>
      </c>
      <c r="F524" s="4" t="s">
        <v>25</v>
      </c>
      <c r="G524" s="4" t="s">
        <v>25</v>
      </c>
      <c r="H524" s="4" t="s">
        <v>25</v>
      </c>
      <c r="I524" s="5">
        <v>44531</v>
      </c>
      <c r="J524" s="6">
        <v>0</v>
      </c>
      <c r="K524" s="6">
        <v>0</v>
      </c>
      <c r="L524" s="6">
        <v>269.61799999999999</v>
      </c>
      <c r="M524" s="6">
        <v>269.61799999999999</v>
      </c>
      <c r="N524" s="6">
        <v>269.61799999999999</v>
      </c>
      <c r="O524" s="6">
        <v>269.61799999999999</v>
      </c>
      <c r="P524" s="6">
        <v>2565</v>
      </c>
      <c r="Q524" s="4" t="s">
        <v>26</v>
      </c>
      <c r="R524" s="4">
        <v>0</v>
      </c>
      <c r="S524" s="4">
        <v>0</v>
      </c>
      <c r="T524" s="4">
        <v>43</v>
      </c>
      <c r="U524" s="4">
        <v>87</v>
      </c>
      <c r="V524" s="6">
        <f>IF(ISERROR(VLOOKUP($S$524,'TAR FIN'!$A$1:$O$115,15,0)),0,VLOOKUP($S$524,'TAR FIN'!$A$1:$O$115,15,0))</f>
        <v>0</v>
      </c>
      <c r="W524" s="6">
        <f>IF(ISERROR(VLOOKUP($T$524,'TAR FIN'!$A$1:$O$115,15,0)),0,VLOOKUP($T$524,'TAR FIN'!$A$1:$O$115,15,0))</f>
        <v>404.12</v>
      </c>
      <c r="X524" s="6">
        <f>IF(ISERROR(VLOOKUP($U$524,'TAR FIN'!$A$1:$O$115,15,0)),0,VLOOKUP($U$524,'TAR FIN'!$A$1:$O$115,15,0))</f>
        <v>176.58</v>
      </c>
      <c r="Y524" s="6"/>
      <c r="Z524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24" s="6">
        <f>('TE BE'!$AB$24+'TE BF'!$AB$24+'TE CVA'!$AB$24)*(1-CUSTOS!$M$37)</f>
        <v>230.68197444058345</v>
      </c>
      <c r="AB524" s="6">
        <f t="shared" si="26"/>
        <v>0</v>
      </c>
      <c r="AC524" s="6">
        <f>(L524-M524)*(W524+X524)+($W$522+$X$522-$W$524-$X$524)*(L524)</f>
        <v>7.6630044532066675E-12</v>
      </c>
      <c r="AD524" s="6">
        <f t="shared" si="27"/>
        <v>0</v>
      </c>
      <c r="AE524" s="6">
        <f ca="1">(L524-M524)*(Z524+AA524)+($Z$522+$AA$522-$Z$524-$AA$524)*(L524)</f>
        <v>-7.6630044532066675E-12</v>
      </c>
      <c r="AF524" s="4" t="s">
        <v>938</v>
      </c>
    </row>
    <row r="525" spans="1:32" ht="11.25" customHeight="1" x14ac:dyDescent="0.25">
      <c r="A525" s="4" t="s">
        <v>29</v>
      </c>
      <c r="B525" s="4" t="s">
        <v>22</v>
      </c>
      <c r="C525" s="4" t="s">
        <v>23</v>
      </c>
      <c r="D525" s="4" t="s">
        <v>24</v>
      </c>
      <c r="E525" s="4" t="s">
        <v>34</v>
      </c>
      <c r="F525" s="4" t="s">
        <v>25</v>
      </c>
      <c r="G525" s="4" t="s">
        <v>25</v>
      </c>
      <c r="H525" s="4" t="s">
        <v>25</v>
      </c>
      <c r="I525" s="5">
        <v>44531</v>
      </c>
      <c r="J525" s="6">
        <v>0</v>
      </c>
      <c r="K525" s="6">
        <v>0</v>
      </c>
      <c r="L525" s="6">
        <v>-0.51400000000000001</v>
      </c>
      <c r="M525" s="6">
        <v>-0.51400000000000001</v>
      </c>
      <c r="N525" s="6">
        <v>-0.51400000000000001</v>
      </c>
      <c r="O525" s="6">
        <v>-0.51400000000000001</v>
      </c>
      <c r="P525" s="6">
        <v>-4</v>
      </c>
      <c r="Q525" s="4" t="s">
        <v>26</v>
      </c>
      <c r="R525" s="4">
        <v>0</v>
      </c>
      <c r="S525" s="4">
        <v>0</v>
      </c>
      <c r="T525" s="4">
        <v>43</v>
      </c>
      <c r="U525" s="4">
        <v>87</v>
      </c>
      <c r="V525" s="6">
        <f>IF(ISERROR(VLOOKUP($S$525,'TAR FIN'!$A$1:$O$115,15,0)),0,VLOOKUP($S$525,'TAR FIN'!$A$1:$O$115,15,0))</f>
        <v>0</v>
      </c>
      <c r="W525" s="6">
        <f>IF(ISERROR(VLOOKUP($T$525,'TAR FIN'!$A$1:$O$115,15,0)),0,VLOOKUP($T$525,'TAR FIN'!$A$1:$O$115,15,0))</f>
        <v>404.12</v>
      </c>
      <c r="X525" s="6">
        <f>IF(ISERROR(VLOOKUP($U$525,'TAR FIN'!$A$1:$O$115,15,0)),0,VLOOKUP($U$525,'TAR FIN'!$A$1:$O$115,15,0))</f>
        <v>176.58</v>
      </c>
      <c r="Y525" s="6"/>
      <c r="Z525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25" s="6">
        <f>('TE BE'!$AB$24+'TE BF'!$AB$24+'TE CVA'!$AB$24)*(1-CUSTOS!$M$37)</f>
        <v>230.68197444058345</v>
      </c>
      <c r="AB525" s="6">
        <f t="shared" si="26"/>
        <v>0</v>
      </c>
      <c r="AC525" s="6">
        <f>(L525-M525)*(W525+X525)+($W$522+$X$522-$W$525-$X$525)*(L525)</f>
        <v>-1.460875864722766E-14</v>
      </c>
      <c r="AD525" s="6">
        <f t="shared" si="27"/>
        <v>0</v>
      </c>
      <c r="AE525" s="6">
        <f ca="1">(L525-M525)*(Z525+AA525)+($Z$522+$AA$522-$Z$525-$AA$525)*(L525)</f>
        <v>1.460875864722766E-14</v>
      </c>
      <c r="AF525" s="4" t="s">
        <v>938</v>
      </c>
    </row>
    <row r="526" spans="1:32" ht="11.25" customHeight="1" x14ac:dyDescent="0.25">
      <c r="A526" s="4" t="s">
        <v>30</v>
      </c>
      <c r="B526" s="4" t="s">
        <v>22</v>
      </c>
      <c r="C526" s="4" t="s">
        <v>23</v>
      </c>
      <c r="D526" s="4" t="s">
        <v>24</v>
      </c>
      <c r="E526" s="4" t="s">
        <v>34</v>
      </c>
      <c r="F526" s="4" t="s">
        <v>25</v>
      </c>
      <c r="G526" s="4" t="s">
        <v>25</v>
      </c>
      <c r="H526" s="4" t="s">
        <v>25</v>
      </c>
      <c r="I526" s="5">
        <v>44531</v>
      </c>
      <c r="J526" s="6">
        <v>0</v>
      </c>
      <c r="K526" s="6">
        <v>0</v>
      </c>
      <c r="L526" s="6">
        <v>4.2859999999999996</v>
      </c>
      <c r="M526" s="6">
        <v>4.2859999999999996</v>
      </c>
      <c r="N526" s="6">
        <v>4.2859999999999996</v>
      </c>
      <c r="O526" s="6">
        <v>4.2859999999999996</v>
      </c>
      <c r="P526" s="6">
        <v>28</v>
      </c>
      <c r="Q526" s="4" t="s">
        <v>26</v>
      </c>
      <c r="R526" s="4">
        <v>0</v>
      </c>
      <c r="S526" s="4">
        <v>0</v>
      </c>
      <c r="T526" s="4">
        <v>43</v>
      </c>
      <c r="U526" s="4">
        <v>87</v>
      </c>
      <c r="V526" s="6">
        <f>IF(ISERROR(VLOOKUP($S$526,'TAR FIN'!$A$1:$O$115,15,0)),0,VLOOKUP($S$526,'TAR FIN'!$A$1:$O$115,15,0))</f>
        <v>0</v>
      </c>
      <c r="W526" s="6">
        <f>IF(ISERROR(VLOOKUP($T$526,'TAR FIN'!$A$1:$O$115,15,0)),0,VLOOKUP($T$526,'TAR FIN'!$A$1:$O$115,15,0))</f>
        <v>404.12</v>
      </c>
      <c r="X526" s="6">
        <f>IF(ISERROR(VLOOKUP($U$526,'TAR FIN'!$A$1:$O$115,15,0)),0,VLOOKUP($U$526,'TAR FIN'!$A$1:$O$115,15,0))</f>
        <v>176.58</v>
      </c>
      <c r="Y526" s="6"/>
      <c r="Z526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26" s="6">
        <f>('TE BE'!$AB$24+'TE BF'!$AB$24+'TE CVA'!$AB$24)*(1-CUSTOS!$M$37)</f>
        <v>230.68197444058345</v>
      </c>
      <c r="AB526" s="6">
        <f t="shared" si="26"/>
        <v>0</v>
      </c>
      <c r="AC526" s="6">
        <f>(L526-M526)*(W526+X526)+($W$522+$X$522-$W$526-$X$526)*(L526)</f>
        <v>1.2181544661871156E-13</v>
      </c>
      <c r="AD526" s="6">
        <f t="shared" si="27"/>
        <v>0</v>
      </c>
      <c r="AE526" s="6">
        <f ca="1">(L526-M526)*(Z526+AA526)+($Z$522+$AA$522-$Z$526-$AA$526)*(L526)</f>
        <v>-1.2181544661871156E-13</v>
      </c>
      <c r="AF526" s="4" t="s">
        <v>938</v>
      </c>
    </row>
    <row r="527" spans="1:32" ht="11.25" customHeight="1" x14ac:dyDescent="0.25">
      <c r="A527" s="4" t="s">
        <v>30</v>
      </c>
      <c r="B527" s="4" t="s">
        <v>22</v>
      </c>
      <c r="C527" s="4" t="s">
        <v>23</v>
      </c>
      <c r="D527" s="4" t="s">
        <v>24</v>
      </c>
      <c r="E527" s="4" t="s">
        <v>34</v>
      </c>
      <c r="F527" s="4" t="s">
        <v>25</v>
      </c>
      <c r="G527" s="4" t="s">
        <v>25</v>
      </c>
      <c r="H527" s="4" t="s">
        <v>25</v>
      </c>
      <c r="I527" s="5">
        <v>44531</v>
      </c>
      <c r="J527" s="6">
        <v>0</v>
      </c>
      <c r="K527" s="6">
        <v>0</v>
      </c>
      <c r="L527" s="6">
        <v>-2.1970000000000001</v>
      </c>
      <c r="M527" s="6">
        <v>-2.1970000000000001</v>
      </c>
      <c r="N527" s="6">
        <v>-2.1970000000000001</v>
      </c>
      <c r="O527" s="6">
        <v>-2.1970000000000001</v>
      </c>
      <c r="P527" s="6">
        <v>-1</v>
      </c>
      <c r="Q527" s="4" t="s">
        <v>26</v>
      </c>
      <c r="R527" s="4">
        <v>0</v>
      </c>
      <c r="S527" s="4">
        <v>0</v>
      </c>
      <c r="T527" s="4">
        <v>43</v>
      </c>
      <c r="U527" s="4">
        <v>87</v>
      </c>
      <c r="V527" s="6">
        <f>IF(ISERROR(VLOOKUP($S$527,'TAR FIN'!$A$1:$O$115,15,0)),0,VLOOKUP($S$527,'TAR FIN'!$A$1:$O$115,15,0))</f>
        <v>0</v>
      </c>
      <c r="W527" s="6">
        <f>IF(ISERROR(VLOOKUP($T$527,'TAR FIN'!$A$1:$O$115,15,0)),0,VLOOKUP($T$527,'TAR FIN'!$A$1:$O$115,15,0))</f>
        <v>404.12</v>
      </c>
      <c r="X527" s="6">
        <f>IF(ISERROR(VLOOKUP($U$527,'TAR FIN'!$A$1:$O$115,15,0)),0,VLOOKUP($U$527,'TAR FIN'!$A$1:$O$115,15,0))</f>
        <v>176.58</v>
      </c>
      <c r="Y527" s="6"/>
      <c r="Z527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27" s="6">
        <f>('TE BE'!$AB$24+'TE BF'!$AB$24+'TE CVA'!$AB$24)*(1-CUSTOS!$M$37)</f>
        <v>230.68197444058345</v>
      </c>
      <c r="AB527" s="6">
        <f t="shared" si="26"/>
        <v>0</v>
      </c>
      <c r="AC527" s="6">
        <f>(L527-M527)*(W527+X527)+($W$522+$X$522-$W$527-$X$527)*(L527)</f>
        <v>-6.2442495618597606E-14</v>
      </c>
      <c r="AD527" s="6">
        <f t="shared" si="27"/>
        <v>0</v>
      </c>
      <c r="AE527" s="6">
        <f ca="1">(L527-M527)*(Z527+AA527)+($Z$522+$AA$522-$Z$527-$AA$527)*(L527)</f>
        <v>6.2442495618597606E-14</v>
      </c>
      <c r="AF527" s="4" t="s">
        <v>938</v>
      </c>
    </row>
    <row r="528" spans="1:32" ht="11.25" customHeight="1" x14ac:dyDescent="0.25">
      <c r="A528" s="4" t="s">
        <v>21</v>
      </c>
      <c r="B528" s="4" t="s">
        <v>22</v>
      </c>
      <c r="C528" s="4" t="s">
        <v>23</v>
      </c>
      <c r="D528" s="4" t="s">
        <v>24</v>
      </c>
      <c r="E528" s="4" t="s">
        <v>34</v>
      </c>
      <c r="F528" s="4" t="s">
        <v>25</v>
      </c>
      <c r="G528" s="4" t="s">
        <v>25</v>
      </c>
      <c r="H528" s="4" t="s">
        <v>25</v>
      </c>
      <c r="I528" s="5">
        <v>44562</v>
      </c>
      <c r="J528" s="6">
        <v>0</v>
      </c>
      <c r="K528" s="6">
        <v>0</v>
      </c>
      <c r="L528" s="6">
        <v>1096.509</v>
      </c>
      <c r="M528" s="6">
        <v>1096.509</v>
      </c>
      <c r="N528" s="6">
        <v>1096.509</v>
      </c>
      <c r="O528" s="6">
        <v>1096.509</v>
      </c>
      <c r="P528" s="6">
        <v>8858</v>
      </c>
      <c r="Q528" s="4" t="s">
        <v>26</v>
      </c>
      <c r="R528" s="4">
        <v>0</v>
      </c>
      <c r="S528" s="4">
        <v>0</v>
      </c>
      <c r="T528" s="4">
        <v>43</v>
      </c>
      <c r="U528" s="4">
        <v>87</v>
      </c>
      <c r="V528" s="6">
        <f>IF(ISERROR(VLOOKUP($S$528,'TAR FIN'!$A$1:$O$115,15,0)),0,VLOOKUP($S$528,'TAR FIN'!$A$1:$O$115,15,0))</f>
        <v>0</v>
      </c>
      <c r="W528" s="6">
        <f>IF(ISERROR(VLOOKUP($T$528,'TAR FIN'!$A$1:$O$115,15,0)),0,VLOOKUP($T$528,'TAR FIN'!$A$1:$O$115,15,0))</f>
        <v>404.12</v>
      </c>
      <c r="X528" s="6">
        <f>IF(ISERROR(VLOOKUP($U$528,'TAR FIN'!$A$1:$O$115,15,0)),0,VLOOKUP($U$528,'TAR FIN'!$A$1:$O$115,15,0))</f>
        <v>176.58</v>
      </c>
      <c r="Y528" s="6"/>
      <c r="Z528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28" s="6">
        <f>('TE BE'!$AB$24+'TE BF'!$AB$24+'TE CVA'!$AB$24)*(1-CUSTOS!$M$37)</f>
        <v>230.68197444058345</v>
      </c>
      <c r="AB528" s="6">
        <f t="shared" si="26"/>
        <v>0</v>
      </c>
      <c r="AC528" s="6">
        <f>(L528-M528)*(W528+X528)+($W$522+$X$522-$W$528-$X$528)*(L528)</f>
        <v>3.1164660185822868E-11</v>
      </c>
      <c r="AD528" s="6">
        <f t="shared" si="27"/>
        <v>0</v>
      </c>
      <c r="AE528" s="6">
        <f ca="1">(L528-M528)*(Z528+AA528)+($Z$522+$AA$522-$Z$528-$AA$528)*(L528)</f>
        <v>-3.1164660185822868E-11</v>
      </c>
      <c r="AF528" s="4" t="s">
        <v>938</v>
      </c>
    </row>
    <row r="529" spans="1:32" ht="11.25" customHeight="1" x14ac:dyDescent="0.25">
      <c r="A529" s="4" t="s">
        <v>27</v>
      </c>
      <c r="B529" s="4" t="s">
        <v>22</v>
      </c>
      <c r="C529" s="4" t="s">
        <v>23</v>
      </c>
      <c r="D529" s="4" t="s">
        <v>24</v>
      </c>
      <c r="E529" s="4" t="s">
        <v>34</v>
      </c>
      <c r="F529" s="4" t="s">
        <v>25</v>
      </c>
      <c r="G529" s="4" t="s">
        <v>25</v>
      </c>
      <c r="H529" s="4" t="s">
        <v>25</v>
      </c>
      <c r="I529" s="5">
        <v>44562</v>
      </c>
      <c r="J529" s="6">
        <v>0</v>
      </c>
      <c r="K529" s="6">
        <v>0</v>
      </c>
      <c r="L529" s="6">
        <v>-17.289000000000001</v>
      </c>
      <c r="M529" s="6">
        <v>-17.289000000000001</v>
      </c>
      <c r="N529" s="6">
        <v>-17.289000000000001</v>
      </c>
      <c r="O529" s="6">
        <v>-17.289000000000001</v>
      </c>
      <c r="P529" s="6">
        <v>-52</v>
      </c>
      <c r="Q529" s="4" t="s">
        <v>26</v>
      </c>
      <c r="R529" s="4">
        <v>0</v>
      </c>
      <c r="S529" s="4">
        <v>0</v>
      </c>
      <c r="T529" s="4">
        <v>43</v>
      </c>
      <c r="U529" s="4">
        <v>87</v>
      </c>
      <c r="V529" s="6">
        <f>IF(ISERROR(VLOOKUP($S$529,'TAR FIN'!$A$1:$O$115,15,0)),0,VLOOKUP($S$529,'TAR FIN'!$A$1:$O$115,15,0))</f>
        <v>0</v>
      </c>
      <c r="W529" s="6">
        <f>IF(ISERROR(VLOOKUP($T$529,'TAR FIN'!$A$1:$O$115,15,0)),0,VLOOKUP($T$529,'TAR FIN'!$A$1:$O$115,15,0))</f>
        <v>404.12</v>
      </c>
      <c r="X529" s="6">
        <f>IF(ISERROR(VLOOKUP($U$529,'TAR FIN'!$A$1:$O$115,15,0)),0,VLOOKUP($U$529,'TAR FIN'!$A$1:$O$115,15,0))</f>
        <v>176.58</v>
      </c>
      <c r="Y529" s="6"/>
      <c r="Z529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29" s="6">
        <f>('TE BE'!$AB$24+'TE BF'!$AB$24+'TE CVA'!$AB$24)*(1-CUSTOS!$M$37)</f>
        <v>230.68197444058345</v>
      </c>
      <c r="AB529" s="6">
        <f t="shared" si="26"/>
        <v>0</v>
      </c>
      <c r="AC529" s="6">
        <f>(L529-M529)*(W529+X529)+($W$522+$X$522-$W$529-$X$529)*(L529)</f>
        <v>-4.9138293434225493E-13</v>
      </c>
      <c r="AD529" s="6">
        <f t="shared" si="27"/>
        <v>0</v>
      </c>
      <c r="AE529" s="6">
        <f ca="1">(L529-M529)*(Z529+AA529)+($Z$522+$AA$522-$Z$529-$AA$529)*(L529)</f>
        <v>4.9138293434225493E-13</v>
      </c>
      <c r="AF529" s="4" t="s">
        <v>938</v>
      </c>
    </row>
    <row r="530" spans="1:32" ht="11.25" customHeight="1" x14ac:dyDescent="0.25">
      <c r="A530" s="4" t="s">
        <v>28</v>
      </c>
      <c r="B530" s="4" t="s">
        <v>22</v>
      </c>
      <c r="C530" s="4" t="s">
        <v>23</v>
      </c>
      <c r="D530" s="4" t="s">
        <v>24</v>
      </c>
      <c r="E530" s="4" t="s">
        <v>34</v>
      </c>
      <c r="F530" s="4" t="s">
        <v>25</v>
      </c>
      <c r="G530" s="4" t="s">
        <v>25</v>
      </c>
      <c r="H530" s="4" t="s">
        <v>25</v>
      </c>
      <c r="I530" s="5">
        <v>44562</v>
      </c>
      <c r="J530" s="6">
        <v>0</v>
      </c>
      <c r="K530" s="6">
        <v>0</v>
      </c>
      <c r="L530" s="6">
        <v>281.786</v>
      </c>
      <c r="M530" s="6">
        <v>281.786</v>
      </c>
      <c r="N530" s="6">
        <v>281.786</v>
      </c>
      <c r="O530" s="6">
        <v>281.786</v>
      </c>
      <c r="P530" s="6">
        <v>2654</v>
      </c>
      <c r="Q530" s="4" t="s">
        <v>26</v>
      </c>
      <c r="R530" s="4">
        <v>0</v>
      </c>
      <c r="S530" s="4">
        <v>0</v>
      </c>
      <c r="T530" s="4">
        <v>43</v>
      </c>
      <c r="U530" s="4">
        <v>87</v>
      </c>
      <c r="V530" s="6">
        <f>IF(ISERROR(VLOOKUP($S$530,'TAR FIN'!$A$1:$O$115,15,0)),0,VLOOKUP($S$530,'TAR FIN'!$A$1:$O$115,15,0))</f>
        <v>0</v>
      </c>
      <c r="W530" s="6">
        <f>IF(ISERROR(VLOOKUP($T$530,'TAR FIN'!$A$1:$O$115,15,0)),0,VLOOKUP($T$530,'TAR FIN'!$A$1:$O$115,15,0))</f>
        <v>404.12</v>
      </c>
      <c r="X530" s="6">
        <f>IF(ISERROR(VLOOKUP($U$530,'TAR FIN'!$A$1:$O$115,15,0)),0,VLOOKUP($U$530,'TAR FIN'!$A$1:$O$115,15,0))</f>
        <v>176.58</v>
      </c>
      <c r="Y530" s="6"/>
      <c r="Z530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30" s="6">
        <f>('TE BE'!$AB$24+'TE BF'!$AB$24+'TE CVA'!$AB$24)*(1-CUSTOS!$M$37)</f>
        <v>230.68197444058345</v>
      </c>
      <c r="AB530" s="6">
        <f t="shared" si="26"/>
        <v>0</v>
      </c>
      <c r="AC530" s="6">
        <f>(L530-M530)*(W530+X530)+($W$522+$X$522-$W$530-$X$530)*(L530)</f>
        <v>8.0088398135558237E-12</v>
      </c>
      <c r="AD530" s="6">
        <f t="shared" si="27"/>
        <v>0</v>
      </c>
      <c r="AE530" s="6">
        <f ca="1">(L530-M530)*(Z530+AA530)+($Z$522+$AA$522-$Z$530-$AA$530)*(L530)</f>
        <v>-8.0088398135558237E-12</v>
      </c>
      <c r="AF530" s="4" t="s">
        <v>938</v>
      </c>
    </row>
    <row r="531" spans="1:32" ht="11.25" customHeight="1" x14ac:dyDescent="0.25">
      <c r="A531" s="4" t="s">
        <v>29</v>
      </c>
      <c r="B531" s="4" t="s">
        <v>22</v>
      </c>
      <c r="C531" s="4" t="s">
        <v>23</v>
      </c>
      <c r="D531" s="4" t="s">
        <v>24</v>
      </c>
      <c r="E531" s="4" t="s">
        <v>34</v>
      </c>
      <c r="F531" s="4" t="s">
        <v>25</v>
      </c>
      <c r="G531" s="4" t="s">
        <v>25</v>
      </c>
      <c r="H531" s="4" t="s">
        <v>25</v>
      </c>
      <c r="I531" s="5">
        <v>44562</v>
      </c>
      <c r="J531" s="6">
        <v>0</v>
      </c>
      <c r="K531" s="6">
        <v>0</v>
      </c>
      <c r="L531" s="6">
        <v>-4.2779999999999996</v>
      </c>
      <c r="M531" s="6">
        <v>-4.2779999999999996</v>
      </c>
      <c r="N531" s="6">
        <v>-4.2779999999999996</v>
      </c>
      <c r="O531" s="6">
        <v>-4.2779999999999996</v>
      </c>
      <c r="P531" s="6">
        <v>-5</v>
      </c>
      <c r="Q531" s="4" t="s">
        <v>26</v>
      </c>
      <c r="R531" s="4">
        <v>0</v>
      </c>
      <c r="S531" s="4">
        <v>0</v>
      </c>
      <c r="T531" s="4">
        <v>43</v>
      </c>
      <c r="U531" s="4">
        <v>87</v>
      </c>
      <c r="V531" s="6">
        <f>IF(ISERROR(VLOOKUP($S$531,'TAR FIN'!$A$1:$O$115,15,0)),0,VLOOKUP($S$531,'TAR FIN'!$A$1:$O$115,15,0))</f>
        <v>0</v>
      </c>
      <c r="W531" s="6">
        <f>IF(ISERROR(VLOOKUP($T$531,'TAR FIN'!$A$1:$O$115,15,0)),0,VLOOKUP($T$531,'TAR FIN'!$A$1:$O$115,15,0))</f>
        <v>404.12</v>
      </c>
      <c r="X531" s="6">
        <f>IF(ISERROR(VLOOKUP($U$531,'TAR FIN'!$A$1:$O$115,15,0)),0,VLOOKUP($U$531,'TAR FIN'!$A$1:$O$115,15,0))</f>
        <v>176.58</v>
      </c>
      <c r="Y531" s="6"/>
      <c r="Z531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31" s="6">
        <f>('TE BE'!$AB$24+'TE BF'!$AB$24+'TE CVA'!$AB$24)*(1-CUSTOS!$M$37)</f>
        <v>230.68197444058345</v>
      </c>
      <c r="AB531" s="6">
        <f t="shared" si="26"/>
        <v>0</v>
      </c>
      <c r="AC531" s="6">
        <f>(L531-M531)*(W531+X531)+($W$522+$X$522-$W$531-$X$531)*(L531)</f>
        <v>-1.2158807294326833E-13</v>
      </c>
      <c r="AD531" s="6">
        <f t="shared" si="27"/>
        <v>0</v>
      </c>
      <c r="AE531" s="6">
        <f ca="1">(L531-M531)*(Z531+AA531)+($Z$522+$AA$522-$Z$531-$AA$531)*(L531)</f>
        <v>1.2158807294326833E-13</v>
      </c>
      <c r="AF531" s="4" t="s">
        <v>938</v>
      </c>
    </row>
    <row r="532" spans="1:32" ht="11.25" customHeight="1" x14ac:dyDescent="0.25">
      <c r="A532" s="4" t="s">
        <v>30</v>
      </c>
      <c r="B532" s="4" t="s">
        <v>22</v>
      </c>
      <c r="C532" s="4" t="s">
        <v>23</v>
      </c>
      <c r="D532" s="4" t="s">
        <v>24</v>
      </c>
      <c r="E532" s="4" t="s">
        <v>34</v>
      </c>
      <c r="F532" s="4" t="s">
        <v>25</v>
      </c>
      <c r="G532" s="4" t="s">
        <v>25</v>
      </c>
      <c r="H532" s="4" t="s">
        <v>25</v>
      </c>
      <c r="I532" s="5">
        <v>44562</v>
      </c>
      <c r="J532" s="6">
        <v>0</v>
      </c>
      <c r="K532" s="6">
        <v>0</v>
      </c>
      <c r="L532" s="6">
        <v>3.492</v>
      </c>
      <c r="M532" s="6">
        <v>3.492</v>
      </c>
      <c r="N532" s="6">
        <v>3.492</v>
      </c>
      <c r="O532" s="6">
        <v>3.492</v>
      </c>
      <c r="P532" s="6">
        <v>30</v>
      </c>
      <c r="Q532" s="4" t="s">
        <v>26</v>
      </c>
      <c r="R532" s="4">
        <v>0</v>
      </c>
      <c r="S532" s="4">
        <v>0</v>
      </c>
      <c r="T532" s="4">
        <v>43</v>
      </c>
      <c r="U532" s="4">
        <v>87</v>
      </c>
      <c r="V532" s="6">
        <f>IF(ISERROR(VLOOKUP($S$532,'TAR FIN'!$A$1:$O$115,15,0)),0,VLOOKUP($S$532,'TAR FIN'!$A$1:$O$115,15,0))</f>
        <v>0</v>
      </c>
      <c r="W532" s="6">
        <f>IF(ISERROR(VLOOKUP($T$532,'TAR FIN'!$A$1:$O$115,15,0)),0,VLOOKUP($T$532,'TAR FIN'!$A$1:$O$115,15,0))</f>
        <v>404.12</v>
      </c>
      <c r="X532" s="6">
        <f>IF(ISERROR(VLOOKUP($U$532,'TAR FIN'!$A$1:$O$115,15,0)),0,VLOOKUP($U$532,'TAR FIN'!$A$1:$O$115,15,0))</f>
        <v>176.58</v>
      </c>
      <c r="Y532" s="6"/>
      <c r="Z532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32" s="6">
        <f>('TE BE'!$AB$24+'TE BF'!$AB$24+'TE CVA'!$AB$24)*(1-CUSTOS!$M$37)</f>
        <v>230.68197444058345</v>
      </c>
      <c r="AB532" s="6">
        <f t="shared" si="26"/>
        <v>0</v>
      </c>
      <c r="AC532" s="6">
        <f>(L532-M532)*(W532+X532)+($W$522+$X$522-$W$532-$X$532)*(L532)</f>
        <v>9.9248609330970794E-14</v>
      </c>
      <c r="AD532" s="6">
        <f t="shared" si="27"/>
        <v>0</v>
      </c>
      <c r="AE532" s="6">
        <f ca="1">(L532-M532)*(Z532+AA532)+($Z$522+$AA$522-$Z$532-$AA$532)*(L532)</f>
        <v>-9.9248609330970794E-14</v>
      </c>
      <c r="AF532" s="4" t="s">
        <v>938</v>
      </c>
    </row>
    <row r="533" spans="1:32" ht="11.25" customHeight="1" x14ac:dyDescent="0.25">
      <c r="A533" s="4" t="s">
        <v>30</v>
      </c>
      <c r="B533" s="4" t="s">
        <v>22</v>
      </c>
      <c r="C533" s="4" t="s">
        <v>23</v>
      </c>
      <c r="D533" s="4" t="s">
        <v>24</v>
      </c>
      <c r="E533" s="4" t="s">
        <v>34</v>
      </c>
      <c r="F533" s="4" t="s">
        <v>25</v>
      </c>
      <c r="G533" s="4" t="s">
        <v>25</v>
      </c>
      <c r="H533" s="4" t="s">
        <v>25</v>
      </c>
      <c r="I533" s="5">
        <v>44562</v>
      </c>
      <c r="J533" s="6">
        <v>0</v>
      </c>
      <c r="K533" s="6">
        <v>0</v>
      </c>
      <c r="L533" s="6">
        <v>-0.03</v>
      </c>
      <c r="M533" s="6">
        <v>-0.03</v>
      </c>
      <c r="N533" s="6">
        <v>-0.03</v>
      </c>
      <c r="O533" s="6">
        <v>-0.03</v>
      </c>
      <c r="P533" s="6">
        <v>-1</v>
      </c>
      <c r="Q533" s="4" t="s">
        <v>26</v>
      </c>
      <c r="R533" s="4">
        <v>0</v>
      </c>
      <c r="S533" s="4">
        <v>0</v>
      </c>
      <c r="T533" s="4">
        <v>43</v>
      </c>
      <c r="U533" s="4">
        <v>87</v>
      </c>
      <c r="V533" s="6">
        <f>IF(ISERROR(VLOOKUP($S$533,'TAR FIN'!$A$1:$O$115,15,0)),0,VLOOKUP($S$533,'TAR FIN'!$A$1:$O$115,15,0))</f>
        <v>0</v>
      </c>
      <c r="W533" s="6">
        <f>IF(ISERROR(VLOOKUP($T$533,'TAR FIN'!$A$1:$O$115,15,0)),0,VLOOKUP($T$533,'TAR FIN'!$A$1:$O$115,15,0))</f>
        <v>404.12</v>
      </c>
      <c r="X533" s="6">
        <f>IF(ISERROR(VLOOKUP($U$533,'TAR FIN'!$A$1:$O$115,15,0)),0,VLOOKUP($U$533,'TAR FIN'!$A$1:$O$115,15,0))</f>
        <v>176.58</v>
      </c>
      <c r="Y533" s="6"/>
      <c r="Z533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33" s="6">
        <f>('TE BE'!$AB$24+'TE BF'!$AB$24+'TE CVA'!$AB$24)*(1-CUSTOS!$M$37)</f>
        <v>230.68197444058345</v>
      </c>
      <c r="AB533" s="6">
        <f t="shared" si="26"/>
        <v>0</v>
      </c>
      <c r="AC533" s="6">
        <f>(L533-M533)*(W533+X533)+($W$522+$X$522-$W$533-$X$533)*(L533)</f>
        <v>-8.5265128291212019E-16</v>
      </c>
      <c r="AD533" s="6">
        <f t="shared" si="27"/>
        <v>0</v>
      </c>
      <c r="AE533" s="6">
        <f ca="1">(L533-M533)*(Z533+AA533)+($Z$522+$AA$522-$Z$533-$AA$533)*(L533)</f>
        <v>8.5265128291212019E-16</v>
      </c>
      <c r="AF533" s="4" t="s">
        <v>938</v>
      </c>
    </row>
    <row r="534" spans="1:32" ht="11.25" customHeight="1" x14ac:dyDescent="0.25">
      <c r="A534" s="4" t="s">
        <v>21</v>
      </c>
      <c r="B534" s="4" t="s">
        <v>22</v>
      </c>
      <c r="C534" s="4" t="s">
        <v>23</v>
      </c>
      <c r="D534" s="4" t="s">
        <v>24</v>
      </c>
      <c r="E534" s="4" t="s">
        <v>34</v>
      </c>
      <c r="F534" s="4" t="s">
        <v>25</v>
      </c>
      <c r="G534" s="4" t="s">
        <v>25</v>
      </c>
      <c r="H534" s="4" t="s">
        <v>25</v>
      </c>
      <c r="I534" s="5">
        <v>44593</v>
      </c>
      <c r="J534" s="6">
        <v>0</v>
      </c>
      <c r="K534" s="6">
        <v>0</v>
      </c>
      <c r="L534" s="6">
        <v>990.79200000000003</v>
      </c>
      <c r="M534" s="6">
        <v>990.79200000000003</v>
      </c>
      <c r="N534" s="6">
        <v>990.79200000000003</v>
      </c>
      <c r="O534" s="6">
        <v>990.79200000000003</v>
      </c>
      <c r="P534" s="6">
        <v>8031</v>
      </c>
      <c r="Q534" s="4" t="s">
        <v>26</v>
      </c>
      <c r="R534" s="4">
        <v>0</v>
      </c>
      <c r="S534" s="4">
        <v>0</v>
      </c>
      <c r="T534" s="4">
        <v>43</v>
      </c>
      <c r="U534" s="4">
        <v>87</v>
      </c>
      <c r="V534" s="6">
        <f>IF(ISERROR(VLOOKUP($S$534,'TAR FIN'!$A$1:$O$115,15,0)),0,VLOOKUP($S$534,'TAR FIN'!$A$1:$O$115,15,0))</f>
        <v>0</v>
      </c>
      <c r="W534" s="6">
        <f>IF(ISERROR(VLOOKUP($T$534,'TAR FIN'!$A$1:$O$115,15,0)),0,VLOOKUP($T$534,'TAR FIN'!$A$1:$O$115,15,0))</f>
        <v>404.12</v>
      </c>
      <c r="X534" s="6">
        <f>IF(ISERROR(VLOOKUP($U$534,'TAR FIN'!$A$1:$O$115,15,0)),0,VLOOKUP($U$534,'TAR FIN'!$A$1:$O$115,15,0))</f>
        <v>176.58</v>
      </c>
      <c r="Y534" s="6"/>
      <c r="Z534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34" s="6">
        <f>('TE BE'!$AB$24+'TE BF'!$AB$24+'TE CVA'!$AB$24)*(1-CUSTOS!$M$37)</f>
        <v>230.68197444058345</v>
      </c>
      <c r="AB534" s="6">
        <f t="shared" si="26"/>
        <v>0</v>
      </c>
      <c r="AC534" s="6">
        <f>(L534-M534)*(W534+X534)+($W$522+$X$522-$W$534-$X$534)*(L534)</f>
        <v>2.8160002329968848E-11</v>
      </c>
      <c r="AD534" s="6">
        <f t="shared" si="27"/>
        <v>0</v>
      </c>
      <c r="AE534" s="6">
        <f ca="1">(L534-M534)*(Z534+AA534)+($Z$522+$AA$522-$Z$534-$AA$534)*(L534)</f>
        <v>-2.8160002329968848E-11</v>
      </c>
      <c r="AF534" s="4" t="s">
        <v>938</v>
      </c>
    </row>
    <row r="535" spans="1:32" ht="11.25" customHeight="1" x14ac:dyDescent="0.25">
      <c r="A535" s="4" t="s">
        <v>27</v>
      </c>
      <c r="B535" s="4" t="s">
        <v>22</v>
      </c>
      <c r="C535" s="4" t="s">
        <v>23</v>
      </c>
      <c r="D535" s="4" t="s">
        <v>24</v>
      </c>
      <c r="E535" s="4" t="s">
        <v>34</v>
      </c>
      <c r="F535" s="4" t="s">
        <v>25</v>
      </c>
      <c r="G535" s="4" t="s">
        <v>25</v>
      </c>
      <c r="H535" s="4" t="s">
        <v>25</v>
      </c>
      <c r="I535" s="5">
        <v>44593</v>
      </c>
      <c r="J535" s="6">
        <v>0</v>
      </c>
      <c r="K535" s="6">
        <v>0</v>
      </c>
      <c r="L535" s="6">
        <v>-3.859</v>
      </c>
      <c r="M535" s="6">
        <v>-3.859</v>
      </c>
      <c r="N535" s="6">
        <v>-3.859</v>
      </c>
      <c r="O535" s="6">
        <v>-3.859</v>
      </c>
      <c r="P535" s="6">
        <v>-40</v>
      </c>
      <c r="Q535" s="4" t="s">
        <v>26</v>
      </c>
      <c r="R535" s="4">
        <v>0</v>
      </c>
      <c r="S535" s="4">
        <v>0</v>
      </c>
      <c r="T535" s="4">
        <v>43</v>
      </c>
      <c r="U535" s="4">
        <v>87</v>
      </c>
      <c r="V535" s="6">
        <f>IF(ISERROR(VLOOKUP($S$535,'TAR FIN'!$A$1:$O$115,15,0)),0,VLOOKUP($S$535,'TAR FIN'!$A$1:$O$115,15,0))</f>
        <v>0</v>
      </c>
      <c r="W535" s="6">
        <f>IF(ISERROR(VLOOKUP($T$535,'TAR FIN'!$A$1:$O$115,15,0)),0,VLOOKUP($T$535,'TAR FIN'!$A$1:$O$115,15,0))</f>
        <v>404.12</v>
      </c>
      <c r="X535" s="6">
        <f>IF(ISERROR(VLOOKUP($U$535,'TAR FIN'!$A$1:$O$115,15,0)),0,VLOOKUP($U$535,'TAR FIN'!$A$1:$O$115,15,0))</f>
        <v>176.58</v>
      </c>
      <c r="Y535" s="6"/>
      <c r="Z535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35" s="6">
        <f>('TE BE'!$AB$24+'TE BF'!$AB$24+'TE CVA'!$AB$24)*(1-CUSTOS!$M$37)</f>
        <v>230.68197444058345</v>
      </c>
      <c r="AB535" s="6">
        <f t="shared" si="26"/>
        <v>0</v>
      </c>
      <c r="AC535" s="6">
        <f>(L535-M535)*(W535+X535)+($W$522+$X$522-$W$535-$X$535)*(L535)</f>
        <v>-1.0967937669192906E-13</v>
      </c>
      <c r="AD535" s="6">
        <f t="shared" si="27"/>
        <v>0</v>
      </c>
      <c r="AE535" s="6">
        <f ca="1">(L535-M535)*(Z535+AA535)+($Z$522+$AA$522-$Z$535-$AA$535)*(L535)</f>
        <v>1.0967937669192906E-13</v>
      </c>
      <c r="AF535" s="4" t="s">
        <v>938</v>
      </c>
    </row>
    <row r="536" spans="1:32" ht="11.25" customHeight="1" x14ac:dyDescent="0.25">
      <c r="A536" s="4" t="s">
        <v>28</v>
      </c>
      <c r="B536" s="4" t="s">
        <v>22</v>
      </c>
      <c r="C536" s="4" t="s">
        <v>23</v>
      </c>
      <c r="D536" s="4" t="s">
        <v>24</v>
      </c>
      <c r="E536" s="4" t="s">
        <v>34</v>
      </c>
      <c r="F536" s="4" t="s">
        <v>25</v>
      </c>
      <c r="G536" s="4" t="s">
        <v>25</v>
      </c>
      <c r="H536" s="4" t="s">
        <v>25</v>
      </c>
      <c r="I536" s="5">
        <v>44593</v>
      </c>
      <c r="J536" s="6">
        <v>0</v>
      </c>
      <c r="K536" s="6">
        <v>0</v>
      </c>
      <c r="L536" s="6">
        <v>227.375</v>
      </c>
      <c r="M536" s="6">
        <v>227.375</v>
      </c>
      <c r="N536" s="6">
        <v>227.375</v>
      </c>
      <c r="O536" s="6">
        <v>227.375</v>
      </c>
      <c r="P536" s="6">
        <v>2266</v>
      </c>
      <c r="Q536" s="4" t="s">
        <v>26</v>
      </c>
      <c r="R536" s="4">
        <v>0</v>
      </c>
      <c r="S536" s="4">
        <v>0</v>
      </c>
      <c r="T536" s="4">
        <v>43</v>
      </c>
      <c r="U536" s="4">
        <v>87</v>
      </c>
      <c r="V536" s="6">
        <f>IF(ISERROR(VLOOKUP($S$536,'TAR FIN'!$A$1:$O$115,15,0)),0,VLOOKUP($S$536,'TAR FIN'!$A$1:$O$115,15,0))</f>
        <v>0</v>
      </c>
      <c r="W536" s="6">
        <f>IF(ISERROR(VLOOKUP($T$536,'TAR FIN'!$A$1:$O$115,15,0)),0,VLOOKUP($T$536,'TAR FIN'!$A$1:$O$115,15,0))</f>
        <v>404.12</v>
      </c>
      <c r="X536" s="6">
        <f>IF(ISERROR(VLOOKUP($U$536,'TAR FIN'!$A$1:$O$115,15,0)),0,VLOOKUP($U$536,'TAR FIN'!$A$1:$O$115,15,0))</f>
        <v>176.58</v>
      </c>
      <c r="Y536" s="6"/>
      <c r="Z536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36" s="6">
        <f>('TE BE'!$AB$24+'TE BF'!$AB$24+'TE CVA'!$AB$24)*(1-CUSTOS!$M$37)</f>
        <v>230.68197444058345</v>
      </c>
      <c r="AB536" s="6">
        <f t="shared" si="26"/>
        <v>0</v>
      </c>
      <c r="AC536" s="6">
        <f>(L536-M536)*(W536+X536)+($W$522+$X$522-$W$536-$X$536)*(L536)</f>
        <v>6.4623861817381112E-12</v>
      </c>
      <c r="AD536" s="6">
        <f t="shared" si="27"/>
        <v>0</v>
      </c>
      <c r="AE536" s="6">
        <f ca="1">(L536-M536)*(Z536+AA536)+($Z$522+$AA$522-$Z$536-$AA$536)*(L536)</f>
        <v>-6.4623861817381112E-12</v>
      </c>
      <c r="AF536" s="4" t="s">
        <v>938</v>
      </c>
    </row>
    <row r="537" spans="1:32" ht="11.25" customHeight="1" x14ac:dyDescent="0.25">
      <c r="A537" s="4" t="s">
        <v>29</v>
      </c>
      <c r="B537" s="4" t="s">
        <v>22</v>
      </c>
      <c r="C537" s="4" t="s">
        <v>23</v>
      </c>
      <c r="D537" s="4" t="s">
        <v>24</v>
      </c>
      <c r="E537" s="4" t="s">
        <v>34</v>
      </c>
      <c r="F537" s="4" t="s">
        <v>25</v>
      </c>
      <c r="G537" s="4" t="s">
        <v>25</v>
      </c>
      <c r="H537" s="4" t="s">
        <v>25</v>
      </c>
      <c r="I537" s="5">
        <v>44593</v>
      </c>
      <c r="J537" s="6">
        <v>0</v>
      </c>
      <c r="K537" s="6">
        <v>0</v>
      </c>
      <c r="L537" s="6">
        <v>-14.207000000000001</v>
      </c>
      <c r="M537" s="6">
        <v>-14.207000000000001</v>
      </c>
      <c r="N537" s="6">
        <v>-14.207000000000001</v>
      </c>
      <c r="O537" s="6">
        <v>-14.207000000000001</v>
      </c>
      <c r="P537" s="6">
        <v>-5</v>
      </c>
      <c r="Q537" s="4" t="s">
        <v>26</v>
      </c>
      <c r="R537" s="4">
        <v>0</v>
      </c>
      <c r="S537" s="4">
        <v>0</v>
      </c>
      <c r="T537" s="4">
        <v>43</v>
      </c>
      <c r="U537" s="4">
        <v>87</v>
      </c>
      <c r="V537" s="6">
        <f>IF(ISERROR(VLOOKUP($S$537,'TAR FIN'!$A$1:$O$115,15,0)),0,VLOOKUP($S$537,'TAR FIN'!$A$1:$O$115,15,0))</f>
        <v>0</v>
      </c>
      <c r="W537" s="6">
        <f>IF(ISERROR(VLOOKUP($T$537,'TAR FIN'!$A$1:$O$115,15,0)),0,VLOOKUP($T$537,'TAR FIN'!$A$1:$O$115,15,0))</f>
        <v>404.12</v>
      </c>
      <c r="X537" s="6">
        <f>IF(ISERROR(VLOOKUP($U$537,'TAR FIN'!$A$1:$O$115,15,0)),0,VLOOKUP($U$537,'TAR FIN'!$A$1:$O$115,15,0))</f>
        <v>176.58</v>
      </c>
      <c r="Y537" s="6"/>
      <c r="Z537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37" s="6">
        <f>('TE BE'!$AB$24+'TE BF'!$AB$24+'TE CVA'!$AB$24)*(1-CUSTOS!$M$37)</f>
        <v>230.68197444058345</v>
      </c>
      <c r="AB537" s="6">
        <f t="shared" si="26"/>
        <v>0</v>
      </c>
      <c r="AC537" s="6">
        <f>(L537-M537)*(W537+X537)+($W$522+$X$522-$W$537-$X$537)*(L537)</f>
        <v>-4.0378722587774975E-13</v>
      </c>
      <c r="AD537" s="6">
        <f t="shared" si="27"/>
        <v>0</v>
      </c>
      <c r="AE537" s="6">
        <f ca="1">(L537-M537)*(Z537+AA537)+($Z$522+$AA$522-$Z$537-$AA$537)*(L537)</f>
        <v>4.0378722587774975E-13</v>
      </c>
      <c r="AF537" s="4" t="s">
        <v>938</v>
      </c>
    </row>
    <row r="538" spans="1:32" ht="11.25" customHeight="1" x14ac:dyDescent="0.25">
      <c r="A538" s="4" t="s">
        <v>30</v>
      </c>
      <c r="B538" s="4" t="s">
        <v>22</v>
      </c>
      <c r="C538" s="4" t="s">
        <v>23</v>
      </c>
      <c r="D538" s="4" t="s">
        <v>24</v>
      </c>
      <c r="E538" s="4" t="s">
        <v>34</v>
      </c>
      <c r="F538" s="4" t="s">
        <v>25</v>
      </c>
      <c r="G538" s="4" t="s">
        <v>25</v>
      </c>
      <c r="H538" s="4" t="s">
        <v>25</v>
      </c>
      <c r="I538" s="5">
        <v>44593</v>
      </c>
      <c r="J538" s="6">
        <v>0</v>
      </c>
      <c r="K538" s="6">
        <v>0</v>
      </c>
      <c r="L538" s="6">
        <v>2.3650000000000002</v>
      </c>
      <c r="M538" s="6">
        <v>2.3650000000000002</v>
      </c>
      <c r="N538" s="6">
        <v>2.3650000000000002</v>
      </c>
      <c r="O538" s="6">
        <v>2.3650000000000002</v>
      </c>
      <c r="P538" s="6">
        <v>34</v>
      </c>
      <c r="Q538" s="4" t="s">
        <v>26</v>
      </c>
      <c r="R538" s="4">
        <v>0</v>
      </c>
      <c r="S538" s="4">
        <v>0</v>
      </c>
      <c r="T538" s="4">
        <v>43</v>
      </c>
      <c r="U538" s="4">
        <v>87</v>
      </c>
      <c r="V538" s="6">
        <f>IF(ISERROR(VLOOKUP($S$538,'TAR FIN'!$A$1:$O$115,15,0)),0,VLOOKUP($S$538,'TAR FIN'!$A$1:$O$115,15,0))</f>
        <v>0</v>
      </c>
      <c r="W538" s="6">
        <f>IF(ISERROR(VLOOKUP($T$538,'TAR FIN'!$A$1:$O$115,15,0)),0,VLOOKUP($T$538,'TAR FIN'!$A$1:$O$115,15,0))</f>
        <v>404.12</v>
      </c>
      <c r="X538" s="6">
        <f>IF(ISERROR(VLOOKUP($U$538,'TAR FIN'!$A$1:$O$115,15,0)),0,VLOOKUP($U$538,'TAR FIN'!$A$1:$O$115,15,0))</f>
        <v>176.58</v>
      </c>
      <c r="Y538" s="6"/>
      <c r="Z538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38" s="6">
        <f>('TE BE'!$AB$24+'TE BF'!$AB$24+'TE CVA'!$AB$24)*(1-CUSTOS!$M$37)</f>
        <v>230.68197444058345</v>
      </c>
      <c r="AB538" s="6">
        <f t="shared" si="26"/>
        <v>0</v>
      </c>
      <c r="AC538" s="6">
        <f>(L538-M538)*(W538+X538)+($W$522+$X$522-$W$538-$X$538)*(L538)</f>
        <v>6.7217342802905484E-14</v>
      </c>
      <c r="AD538" s="6">
        <f t="shared" si="27"/>
        <v>0</v>
      </c>
      <c r="AE538" s="6">
        <f ca="1">(L538-M538)*(Z538+AA538)+($Z$522+$AA$522-$Z$538-$AA$538)*(L538)</f>
        <v>-6.7217342802905484E-14</v>
      </c>
      <c r="AF538" s="4" t="s">
        <v>938</v>
      </c>
    </row>
    <row r="539" spans="1:32" ht="11.25" customHeight="1" x14ac:dyDescent="0.25">
      <c r="A539" s="4" t="s">
        <v>30</v>
      </c>
      <c r="B539" s="4" t="s">
        <v>22</v>
      </c>
      <c r="C539" s="4" t="s">
        <v>23</v>
      </c>
      <c r="D539" s="4" t="s">
        <v>24</v>
      </c>
      <c r="E539" s="4" t="s">
        <v>34</v>
      </c>
      <c r="F539" s="4" t="s">
        <v>25</v>
      </c>
      <c r="G539" s="4" t="s">
        <v>25</v>
      </c>
      <c r="H539" s="4" t="s">
        <v>25</v>
      </c>
      <c r="I539" s="5">
        <v>44593</v>
      </c>
      <c r="J539" s="6">
        <v>0</v>
      </c>
      <c r="K539" s="6">
        <v>0</v>
      </c>
      <c r="L539" s="6">
        <v>-2.9000000000000001E-2</v>
      </c>
      <c r="M539" s="6">
        <v>-2.9000000000000001E-2</v>
      </c>
      <c r="N539" s="6">
        <v>-2.9000000000000001E-2</v>
      </c>
      <c r="O539" s="6">
        <v>-2.9000000000000001E-2</v>
      </c>
      <c r="P539" s="6">
        <v>-1</v>
      </c>
      <c r="Q539" s="4" t="s">
        <v>26</v>
      </c>
      <c r="R539" s="4">
        <v>0</v>
      </c>
      <c r="S539" s="4">
        <v>0</v>
      </c>
      <c r="T539" s="4">
        <v>43</v>
      </c>
      <c r="U539" s="4">
        <v>87</v>
      </c>
      <c r="V539" s="6">
        <f>IF(ISERROR(VLOOKUP($S$539,'TAR FIN'!$A$1:$O$115,15,0)),0,VLOOKUP($S$539,'TAR FIN'!$A$1:$O$115,15,0))</f>
        <v>0</v>
      </c>
      <c r="W539" s="6">
        <f>IF(ISERROR(VLOOKUP($T$539,'TAR FIN'!$A$1:$O$115,15,0)),0,VLOOKUP($T$539,'TAR FIN'!$A$1:$O$115,15,0))</f>
        <v>404.12</v>
      </c>
      <c r="X539" s="6">
        <f>IF(ISERROR(VLOOKUP($U$539,'TAR FIN'!$A$1:$O$115,15,0)),0,VLOOKUP($U$539,'TAR FIN'!$A$1:$O$115,15,0))</f>
        <v>176.58</v>
      </c>
      <c r="Y539" s="6"/>
      <c r="Z539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39" s="6">
        <f>('TE BE'!$AB$24+'TE BF'!$AB$24+'TE CVA'!$AB$24)*(1-CUSTOS!$M$37)</f>
        <v>230.68197444058345</v>
      </c>
      <c r="AB539" s="6">
        <f t="shared" si="26"/>
        <v>0</v>
      </c>
      <c r="AC539" s="6">
        <f>(L539-M539)*(W539+X539)+($W$522+$X$522-$W$539-$X$539)*(L539)</f>
        <v>-8.2422957348171626E-16</v>
      </c>
      <c r="AD539" s="6">
        <f t="shared" si="27"/>
        <v>0</v>
      </c>
      <c r="AE539" s="6">
        <f ca="1">(L539-M539)*(Z539+AA539)+($Z$522+$AA$522-$Z$539-$AA$539)*(L539)</f>
        <v>8.2422957348171626E-16</v>
      </c>
      <c r="AF539" s="4" t="s">
        <v>938</v>
      </c>
    </row>
    <row r="540" spans="1:32" ht="11.25" customHeight="1" x14ac:dyDescent="0.25">
      <c r="A540" s="4" t="s">
        <v>21</v>
      </c>
      <c r="B540" s="4" t="s">
        <v>22</v>
      </c>
      <c r="C540" s="4" t="s">
        <v>23</v>
      </c>
      <c r="D540" s="4" t="s">
        <v>24</v>
      </c>
      <c r="E540" s="4" t="s">
        <v>34</v>
      </c>
      <c r="F540" s="4" t="s">
        <v>25</v>
      </c>
      <c r="G540" s="4" t="s">
        <v>25</v>
      </c>
      <c r="H540" s="4" t="s">
        <v>25</v>
      </c>
      <c r="I540" s="5">
        <v>44621</v>
      </c>
      <c r="J540" s="6">
        <v>0</v>
      </c>
      <c r="K540" s="6">
        <v>0</v>
      </c>
      <c r="L540" s="6">
        <v>1061.9000000000001</v>
      </c>
      <c r="M540" s="6">
        <v>1061.9000000000001</v>
      </c>
      <c r="N540" s="6">
        <v>1061.9000000000001</v>
      </c>
      <c r="O540" s="6">
        <v>1061.9000000000001</v>
      </c>
      <c r="P540" s="6">
        <v>9110</v>
      </c>
      <c r="Q540" s="4" t="s">
        <v>26</v>
      </c>
      <c r="R540" s="4">
        <v>0</v>
      </c>
      <c r="S540" s="4">
        <v>0</v>
      </c>
      <c r="T540" s="4">
        <v>43</v>
      </c>
      <c r="U540" s="4">
        <v>87</v>
      </c>
      <c r="V540" s="6">
        <f>IF(ISERROR(VLOOKUP($S$540,'TAR FIN'!$A$1:$O$115,15,0)),0,VLOOKUP($S$540,'TAR FIN'!$A$1:$O$115,15,0))</f>
        <v>0</v>
      </c>
      <c r="W540" s="6">
        <f>IF(ISERROR(VLOOKUP($T$540,'TAR FIN'!$A$1:$O$115,15,0)),0,VLOOKUP($T$540,'TAR FIN'!$A$1:$O$115,15,0))</f>
        <v>404.12</v>
      </c>
      <c r="X540" s="6">
        <f>IF(ISERROR(VLOOKUP($U$540,'TAR FIN'!$A$1:$O$115,15,0)),0,VLOOKUP($U$540,'TAR FIN'!$A$1:$O$115,15,0))</f>
        <v>176.58</v>
      </c>
      <c r="Y540" s="6"/>
      <c r="Z540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40" s="6">
        <f>('TE BE'!$AB$24+'TE BF'!$AB$24+'TE CVA'!$AB$24)*(1-CUSTOS!$M$37)</f>
        <v>230.68197444058345</v>
      </c>
      <c r="AB540" s="6">
        <f t="shared" si="26"/>
        <v>0</v>
      </c>
      <c r="AC540" s="6">
        <f>(L540-M540)*(W540+X540)+($W$522+$X$522-$W$540-$X$540)*(L540)</f>
        <v>3.0181013244146018E-11</v>
      </c>
      <c r="AD540" s="6">
        <f t="shared" si="27"/>
        <v>0</v>
      </c>
      <c r="AE540" s="6">
        <f ca="1">(L540-M540)*(Z540+AA540)+($Z$522+$AA$522-$Z$540-$AA$540)*(L540)</f>
        <v>-3.0181013244146018E-11</v>
      </c>
      <c r="AF540" s="4" t="s">
        <v>938</v>
      </c>
    </row>
    <row r="541" spans="1:32" ht="11.25" customHeight="1" x14ac:dyDescent="0.25">
      <c r="A541" s="4" t="s">
        <v>27</v>
      </c>
      <c r="B541" s="4" t="s">
        <v>22</v>
      </c>
      <c r="C541" s="4" t="s">
        <v>23</v>
      </c>
      <c r="D541" s="4" t="s">
        <v>24</v>
      </c>
      <c r="E541" s="4" t="s">
        <v>34</v>
      </c>
      <c r="F541" s="4" t="s">
        <v>25</v>
      </c>
      <c r="G541" s="4" t="s">
        <v>25</v>
      </c>
      <c r="H541" s="4" t="s">
        <v>25</v>
      </c>
      <c r="I541" s="5">
        <v>44621</v>
      </c>
      <c r="J541" s="6">
        <v>0</v>
      </c>
      <c r="K541" s="6">
        <v>0</v>
      </c>
      <c r="L541" s="6">
        <v>-5.4640000000000004</v>
      </c>
      <c r="M541" s="6">
        <v>-5.4640000000000004</v>
      </c>
      <c r="N541" s="6">
        <v>-5.4640000000000004</v>
      </c>
      <c r="O541" s="6">
        <v>-5.4640000000000004</v>
      </c>
      <c r="P541" s="6">
        <v>-23</v>
      </c>
      <c r="Q541" s="4" t="s">
        <v>26</v>
      </c>
      <c r="R541" s="4">
        <v>0</v>
      </c>
      <c r="S541" s="4">
        <v>0</v>
      </c>
      <c r="T541" s="4">
        <v>43</v>
      </c>
      <c r="U541" s="4">
        <v>87</v>
      </c>
      <c r="V541" s="6">
        <f>IF(ISERROR(VLOOKUP($S$541,'TAR FIN'!$A$1:$O$115,15,0)),0,VLOOKUP($S$541,'TAR FIN'!$A$1:$O$115,15,0))</f>
        <v>0</v>
      </c>
      <c r="W541" s="6">
        <f>IF(ISERROR(VLOOKUP($T$541,'TAR FIN'!$A$1:$O$115,15,0)),0,VLOOKUP($T$541,'TAR FIN'!$A$1:$O$115,15,0))</f>
        <v>404.12</v>
      </c>
      <c r="X541" s="6">
        <f>IF(ISERROR(VLOOKUP($U$541,'TAR FIN'!$A$1:$O$115,15,0)),0,VLOOKUP($U$541,'TAR FIN'!$A$1:$O$115,15,0))</f>
        <v>176.58</v>
      </c>
      <c r="Y541" s="6"/>
      <c r="Z541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41" s="6">
        <f>('TE BE'!$AB$24+'TE BF'!$AB$24+'TE CVA'!$AB$24)*(1-CUSTOS!$M$37)</f>
        <v>230.68197444058345</v>
      </c>
      <c r="AB541" s="6">
        <f t="shared" si="26"/>
        <v>0</v>
      </c>
      <c r="AC541" s="6">
        <f>(L541-M541)*(W541+X541)+($W$522+$X$522-$W$541-$X$541)*(L541)</f>
        <v>-1.5529622032772751E-13</v>
      </c>
      <c r="AD541" s="6">
        <f t="shared" si="27"/>
        <v>0</v>
      </c>
      <c r="AE541" s="6">
        <f ca="1">(L541-M541)*(Z541+AA541)+($Z$522+$AA$522-$Z$541-$AA$541)*(L541)</f>
        <v>1.5529622032772751E-13</v>
      </c>
      <c r="AF541" s="4" t="s">
        <v>938</v>
      </c>
    </row>
    <row r="542" spans="1:32" ht="11.25" customHeight="1" x14ac:dyDescent="0.25">
      <c r="A542" s="4" t="s">
        <v>28</v>
      </c>
      <c r="B542" s="4" t="s">
        <v>22</v>
      </c>
      <c r="C542" s="4" t="s">
        <v>23</v>
      </c>
      <c r="D542" s="4" t="s">
        <v>24</v>
      </c>
      <c r="E542" s="4" t="s">
        <v>34</v>
      </c>
      <c r="F542" s="4" t="s">
        <v>25</v>
      </c>
      <c r="G542" s="4" t="s">
        <v>25</v>
      </c>
      <c r="H542" s="4" t="s">
        <v>25</v>
      </c>
      <c r="I542" s="5">
        <v>44621</v>
      </c>
      <c r="J542" s="6">
        <v>0</v>
      </c>
      <c r="K542" s="6">
        <v>0</v>
      </c>
      <c r="L542" s="6">
        <v>257.94900000000001</v>
      </c>
      <c r="M542" s="6">
        <v>257.94900000000001</v>
      </c>
      <c r="N542" s="6">
        <v>257.94900000000001</v>
      </c>
      <c r="O542" s="6">
        <v>257.94900000000001</v>
      </c>
      <c r="P542" s="6">
        <v>2548</v>
      </c>
      <c r="Q542" s="4" t="s">
        <v>26</v>
      </c>
      <c r="R542" s="4">
        <v>0</v>
      </c>
      <c r="S542" s="4">
        <v>0</v>
      </c>
      <c r="T542" s="4">
        <v>43</v>
      </c>
      <c r="U542" s="4">
        <v>87</v>
      </c>
      <c r="V542" s="6">
        <f>IF(ISERROR(VLOOKUP($S$542,'TAR FIN'!$A$1:$O$115,15,0)),0,VLOOKUP($S$542,'TAR FIN'!$A$1:$O$115,15,0))</f>
        <v>0</v>
      </c>
      <c r="W542" s="6">
        <f>IF(ISERROR(VLOOKUP($T$542,'TAR FIN'!$A$1:$O$115,15,0)),0,VLOOKUP($T$542,'TAR FIN'!$A$1:$O$115,15,0))</f>
        <v>404.12</v>
      </c>
      <c r="X542" s="6">
        <f>IF(ISERROR(VLOOKUP($U$542,'TAR FIN'!$A$1:$O$115,15,0)),0,VLOOKUP($U$542,'TAR FIN'!$A$1:$O$115,15,0))</f>
        <v>176.58</v>
      </c>
      <c r="Y542" s="6"/>
      <c r="Z542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42" s="6">
        <f>('TE BE'!$AB$24+'TE BF'!$AB$24+'TE CVA'!$AB$24)*(1-CUSTOS!$M$37)</f>
        <v>230.68197444058345</v>
      </c>
      <c r="AB542" s="6">
        <f t="shared" si="26"/>
        <v>0</v>
      </c>
      <c r="AC542" s="6">
        <f>(L542-M542)*(W542+X542)+($W$522+$X$522-$W$542-$X$542)*(L542)</f>
        <v>7.3313515258632837E-12</v>
      </c>
      <c r="AD542" s="6">
        <f t="shared" si="27"/>
        <v>0</v>
      </c>
      <c r="AE542" s="6">
        <f ca="1">(L542-M542)*(Z542+AA542)+($Z$522+$AA$522-$Z$542-$AA$542)*(L542)</f>
        <v>-7.3313515258632837E-12</v>
      </c>
      <c r="AF542" s="4" t="s">
        <v>938</v>
      </c>
    </row>
    <row r="543" spans="1:32" ht="11.25" customHeight="1" x14ac:dyDescent="0.25">
      <c r="A543" s="4" t="s">
        <v>29</v>
      </c>
      <c r="B543" s="4" t="s">
        <v>22</v>
      </c>
      <c r="C543" s="4" t="s">
        <v>23</v>
      </c>
      <c r="D543" s="4" t="s">
        <v>24</v>
      </c>
      <c r="E543" s="4" t="s">
        <v>34</v>
      </c>
      <c r="F543" s="4" t="s">
        <v>25</v>
      </c>
      <c r="G543" s="4" t="s">
        <v>25</v>
      </c>
      <c r="H543" s="4" t="s">
        <v>25</v>
      </c>
      <c r="I543" s="5">
        <v>44621</v>
      </c>
      <c r="J543" s="6">
        <v>0</v>
      </c>
      <c r="K543" s="6">
        <v>0</v>
      </c>
      <c r="L543" s="6">
        <v>-0.50700000000000001</v>
      </c>
      <c r="M543" s="6">
        <v>-0.50700000000000001</v>
      </c>
      <c r="N543" s="6">
        <v>-0.50700000000000001</v>
      </c>
      <c r="O543" s="6">
        <v>-0.50700000000000001</v>
      </c>
      <c r="P543" s="6">
        <v>-6</v>
      </c>
      <c r="Q543" s="4" t="s">
        <v>26</v>
      </c>
      <c r="R543" s="4">
        <v>0</v>
      </c>
      <c r="S543" s="4">
        <v>0</v>
      </c>
      <c r="T543" s="4">
        <v>43</v>
      </c>
      <c r="U543" s="4">
        <v>87</v>
      </c>
      <c r="V543" s="6">
        <f>IF(ISERROR(VLOOKUP($S$543,'TAR FIN'!$A$1:$O$115,15,0)),0,VLOOKUP($S$543,'TAR FIN'!$A$1:$O$115,15,0))</f>
        <v>0</v>
      </c>
      <c r="W543" s="6">
        <f>IF(ISERROR(VLOOKUP($T$543,'TAR FIN'!$A$1:$O$115,15,0)),0,VLOOKUP($T$543,'TAR FIN'!$A$1:$O$115,15,0))</f>
        <v>404.12</v>
      </c>
      <c r="X543" s="6">
        <f>IF(ISERROR(VLOOKUP($U$543,'TAR FIN'!$A$1:$O$115,15,0)),0,VLOOKUP($U$543,'TAR FIN'!$A$1:$O$115,15,0))</f>
        <v>176.58</v>
      </c>
      <c r="Y543" s="6"/>
      <c r="Z543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43" s="6">
        <f>('TE BE'!$AB$24+'TE BF'!$AB$24+'TE CVA'!$AB$24)*(1-CUSTOS!$M$37)</f>
        <v>230.68197444058345</v>
      </c>
      <c r="AB543" s="6">
        <f t="shared" si="26"/>
        <v>0</v>
      </c>
      <c r="AC543" s="6">
        <f>(L543-M543)*(W543+X543)+($W$522+$X$522-$W$543-$X$543)*(L543)</f>
        <v>-1.4409806681214832E-14</v>
      </c>
      <c r="AD543" s="6">
        <f t="shared" si="27"/>
        <v>0</v>
      </c>
      <c r="AE543" s="6">
        <f ca="1">(L543-M543)*(Z543+AA543)+($Z$522+$AA$522-$Z$543-$AA$543)*(L543)</f>
        <v>1.4409806681214832E-14</v>
      </c>
      <c r="AF543" s="4" t="s">
        <v>938</v>
      </c>
    </row>
    <row r="544" spans="1:32" ht="11.25" customHeight="1" x14ac:dyDescent="0.25">
      <c r="A544" s="4" t="s">
        <v>30</v>
      </c>
      <c r="B544" s="4" t="s">
        <v>22</v>
      </c>
      <c r="C544" s="4" t="s">
        <v>23</v>
      </c>
      <c r="D544" s="4" t="s">
        <v>24</v>
      </c>
      <c r="E544" s="4" t="s">
        <v>34</v>
      </c>
      <c r="F544" s="4" t="s">
        <v>25</v>
      </c>
      <c r="G544" s="4" t="s">
        <v>25</v>
      </c>
      <c r="H544" s="4" t="s">
        <v>25</v>
      </c>
      <c r="I544" s="5">
        <v>44621</v>
      </c>
      <c r="J544" s="6">
        <v>0</v>
      </c>
      <c r="K544" s="6">
        <v>0</v>
      </c>
      <c r="L544" s="6">
        <v>2.5219999999999998</v>
      </c>
      <c r="M544" s="6">
        <v>2.5219999999999998</v>
      </c>
      <c r="N544" s="6">
        <v>2.5219999999999998</v>
      </c>
      <c r="O544" s="6">
        <v>2.5219999999999998</v>
      </c>
      <c r="P544" s="6">
        <v>37</v>
      </c>
      <c r="Q544" s="4" t="s">
        <v>26</v>
      </c>
      <c r="R544" s="4">
        <v>0</v>
      </c>
      <c r="S544" s="4">
        <v>0</v>
      </c>
      <c r="T544" s="4">
        <v>43</v>
      </c>
      <c r="U544" s="4">
        <v>87</v>
      </c>
      <c r="V544" s="6">
        <f>IF(ISERROR(VLOOKUP($S$544,'TAR FIN'!$A$1:$O$115,15,0)),0,VLOOKUP($S$544,'TAR FIN'!$A$1:$O$115,15,0))</f>
        <v>0</v>
      </c>
      <c r="W544" s="6">
        <f>IF(ISERROR(VLOOKUP($T$544,'TAR FIN'!$A$1:$O$115,15,0)),0,VLOOKUP($T$544,'TAR FIN'!$A$1:$O$115,15,0))</f>
        <v>404.12</v>
      </c>
      <c r="X544" s="6">
        <f>IF(ISERROR(VLOOKUP($U$544,'TAR FIN'!$A$1:$O$115,15,0)),0,VLOOKUP($U$544,'TAR FIN'!$A$1:$O$115,15,0))</f>
        <v>176.58</v>
      </c>
      <c r="Y544" s="6"/>
      <c r="Z544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44" s="6">
        <f>('TE BE'!$AB$24+'TE BF'!$AB$24+'TE CVA'!$AB$24)*(1-CUSTOS!$M$37)</f>
        <v>230.68197444058345</v>
      </c>
      <c r="AB544" s="6">
        <f t="shared" si="26"/>
        <v>0</v>
      </c>
      <c r="AC544" s="6">
        <f>(L544-M544)*(W544+X544)+($W$522+$X$522-$W$544-$X$544)*(L544)</f>
        <v>7.1679551183478901E-14</v>
      </c>
      <c r="AD544" s="6">
        <f t="shared" si="27"/>
        <v>0</v>
      </c>
      <c r="AE544" s="6">
        <f ca="1">(L544-M544)*(Z544+AA544)+($Z$522+$AA$522-$Z$544-$AA$544)*(L544)</f>
        <v>-7.1679551183478901E-14</v>
      </c>
      <c r="AF544" s="4" t="s">
        <v>938</v>
      </c>
    </row>
    <row r="545" spans="1:32" ht="11.25" customHeight="1" x14ac:dyDescent="0.25">
      <c r="A545" s="4" t="s">
        <v>21</v>
      </c>
      <c r="B545" s="4" t="s">
        <v>22</v>
      </c>
      <c r="C545" s="4" t="s">
        <v>23</v>
      </c>
      <c r="D545" s="4" t="s">
        <v>24</v>
      </c>
      <c r="E545" s="4" t="s">
        <v>34</v>
      </c>
      <c r="F545" s="4" t="s">
        <v>25</v>
      </c>
      <c r="G545" s="4" t="s">
        <v>25</v>
      </c>
      <c r="H545" s="4" t="s">
        <v>25</v>
      </c>
      <c r="I545" s="5">
        <v>44652</v>
      </c>
      <c r="J545" s="6">
        <v>0</v>
      </c>
      <c r="K545" s="6">
        <v>0</v>
      </c>
      <c r="L545" s="6">
        <v>1132.326</v>
      </c>
      <c r="M545" s="6">
        <v>1132.326</v>
      </c>
      <c r="N545" s="6">
        <v>1132.326</v>
      </c>
      <c r="O545" s="6">
        <v>1132.326</v>
      </c>
      <c r="P545" s="6">
        <v>9345</v>
      </c>
      <c r="Q545" s="4" t="s">
        <v>26</v>
      </c>
      <c r="R545" s="4">
        <v>0</v>
      </c>
      <c r="S545" s="4">
        <v>0</v>
      </c>
      <c r="T545" s="4">
        <v>43</v>
      </c>
      <c r="U545" s="4">
        <v>87</v>
      </c>
      <c r="V545" s="6">
        <f>IF(ISERROR(VLOOKUP($S$545,'TAR FIN'!$A$1:$O$115,15,0)),0,VLOOKUP($S$545,'TAR FIN'!$A$1:$O$115,15,0))</f>
        <v>0</v>
      </c>
      <c r="W545" s="6">
        <f>IF(ISERROR(VLOOKUP($T$545,'TAR FIN'!$A$1:$O$115,15,0)),0,VLOOKUP($T$545,'TAR FIN'!$A$1:$O$115,15,0))</f>
        <v>404.12</v>
      </c>
      <c r="X545" s="6">
        <f>IF(ISERROR(VLOOKUP($U$545,'TAR FIN'!$A$1:$O$115,15,0)),0,VLOOKUP($U$545,'TAR FIN'!$A$1:$O$115,15,0))</f>
        <v>176.58</v>
      </c>
      <c r="Y545" s="6"/>
      <c r="Z545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45" s="6">
        <f>('TE BE'!$AB$24+'TE BF'!$AB$24+'TE CVA'!$AB$24)*(1-CUSTOS!$M$37)</f>
        <v>230.68197444058345</v>
      </c>
      <c r="AB545" s="6">
        <f t="shared" si="26"/>
        <v>0</v>
      </c>
      <c r="AC545" s="6">
        <f>(L545-M545)*(W545+X545)+($W$522+$X$522-$W$545-$X$545)*(L545)</f>
        <v>3.2182640552491649E-11</v>
      </c>
      <c r="AD545" s="6">
        <f t="shared" si="27"/>
        <v>0</v>
      </c>
      <c r="AE545" s="6">
        <f ca="1">(L545-M545)*(Z545+AA545)+($Z$522+$AA$522-$Z$545-$AA$545)*(L545)</f>
        <v>-3.2182640552491649E-11</v>
      </c>
      <c r="AF545" s="4" t="s">
        <v>938</v>
      </c>
    </row>
    <row r="546" spans="1:32" ht="11.25" customHeight="1" x14ac:dyDescent="0.25">
      <c r="A546" s="4" t="s">
        <v>27</v>
      </c>
      <c r="B546" s="4" t="s">
        <v>22</v>
      </c>
      <c r="C546" s="4" t="s">
        <v>23</v>
      </c>
      <c r="D546" s="4" t="s">
        <v>24</v>
      </c>
      <c r="E546" s="4" t="s">
        <v>34</v>
      </c>
      <c r="F546" s="4" t="s">
        <v>25</v>
      </c>
      <c r="G546" s="4" t="s">
        <v>25</v>
      </c>
      <c r="H546" s="4" t="s">
        <v>25</v>
      </c>
      <c r="I546" s="5">
        <v>44652</v>
      </c>
      <c r="J546" s="6">
        <v>0</v>
      </c>
      <c r="K546" s="6">
        <v>0</v>
      </c>
      <c r="L546" s="6">
        <v>2.7719999999999998</v>
      </c>
      <c r="M546" s="6">
        <v>2.7719999999999998</v>
      </c>
      <c r="N546" s="6">
        <v>2.7719999999999998</v>
      </c>
      <c r="O546" s="6">
        <v>2.7719999999999998</v>
      </c>
      <c r="P546" s="6">
        <v>-34</v>
      </c>
      <c r="Q546" s="4" t="s">
        <v>26</v>
      </c>
      <c r="R546" s="4">
        <v>0</v>
      </c>
      <c r="S546" s="4">
        <v>0</v>
      </c>
      <c r="T546" s="4">
        <v>43</v>
      </c>
      <c r="U546" s="4">
        <v>87</v>
      </c>
      <c r="V546" s="6">
        <f>IF(ISERROR(VLOOKUP($S$546,'TAR FIN'!$A$1:$O$115,15,0)),0,VLOOKUP($S$546,'TAR FIN'!$A$1:$O$115,15,0))</f>
        <v>0</v>
      </c>
      <c r="W546" s="6">
        <f>IF(ISERROR(VLOOKUP($T$546,'TAR FIN'!$A$1:$O$115,15,0)),0,VLOOKUP($T$546,'TAR FIN'!$A$1:$O$115,15,0))</f>
        <v>404.12</v>
      </c>
      <c r="X546" s="6">
        <f>IF(ISERROR(VLOOKUP($U$546,'TAR FIN'!$A$1:$O$115,15,0)),0,VLOOKUP($U$546,'TAR FIN'!$A$1:$O$115,15,0))</f>
        <v>176.58</v>
      </c>
      <c r="Y546" s="6"/>
      <c r="Z546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46" s="6">
        <f>('TE BE'!$AB$24+'TE BF'!$AB$24+'TE CVA'!$AB$24)*(1-CUSTOS!$M$37)</f>
        <v>230.68197444058345</v>
      </c>
      <c r="AB546" s="6">
        <f t="shared" si="26"/>
        <v>0</v>
      </c>
      <c r="AC546" s="6">
        <f>(L546-M546)*(W546+X546)+($W$522+$X$522-$W$546-$X$546)*(L546)</f>
        <v>7.8784978541079903E-14</v>
      </c>
      <c r="AD546" s="6">
        <f t="shared" si="27"/>
        <v>0</v>
      </c>
      <c r="AE546" s="6">
        <f ca="1">(L546-M546)*(Z546+AA546)+($Z$522+$AA$522-$Z$546-$AA$546)*(L546)</f>
        <v>-7.8784978541079903E-14</v>
      </c>
      <c r="AF546" s="4" t="s">
        <v>938</v>
      </c>
    </row>
    <row r="547" spans="1:32" ht="11.25" customHeight="1" x14ac:dyDescent="0.25">
      <c r="A547" s="4" t="s">
        <v>28</v>
      </c>
      <c r="B547" s="4" t="s">
        <v>22</v>
      </c>
      <c r="C547" s="4" t="s">
        <v>23</v>
      </c>
      <c r="D547" s="4" t="s">
        <v>24</v>
      </c>
      <c r="E547" s="4" t="s">
        <v>34</v>
      </c>
      <c r="F547" s="4" t="s">
        <v>25</v>
      </c>
      <c r="G547" s="4" t="s">
        <v>25</v>
      </c>
      <c r="H547" s="4" t="s">
        <v>25</v>
      </c>
      <c r="I547" s="5">
        <v>44652</v>
      </c>
      <c r="J547" s="6">
        <v>0</v>
      </c>
      <c r="K547" s="6">
        <v>0</v>
      </c>
      <c r="L547" s="6">
        <v>269.14</v>
      </c>
      <c r="M547" s="6">
        <v>269.14</v>
      </c>
      <c r="N547" s="6">
        <v>269.14</v>
      </c>
      <c r="O547" s="6">
        <v>269.14</v>
      </c>
      <c r="P547" s="6">
        <v>2632</v>
      </c>
      <c r="Q547" s="4" t="s">
        <v>26</v>
      </c>
      <c r="R547" s="4">
        <v>0</v>
      </c>
      <c r="S547" s="4">
        <v>0</v>
      </c>
      <c r="T547" s="4">
        <v>43</v>
      </c>
      <c r="U547" s="4">
        <v>87</v>
      </c>
      <c r="V547" s="6">
        <f>IF(ISERROR(VLOOKUP($S$547,'TAR FIN'!$A$1:$O$115,15,0)),0,VLOOKUP($S$547,'TAR FIN'!$A$1:$O$115,15,0))</f>
        <v>0</v>
      </c>
      <c r="W547" s="6">
        <f>IF(ISERROR(VLOOKUP($T$547,'TAR FIN'!$A$1:$O$115,15,0)),0,VLOOKUP($T$547,'TAR FIN'!$A$1:$O$115,15,0))</f>
        <v>404.12</v>
      </c>
      <c r="X547" s="6">
        <f>IF(ISERROR(VLOOKUP($U$547,'TAR FIN'!$A$1:$O$115,15,0)),0,VLOOKUP($U$547,'TAR FIN'!$A$1:$O$115,15,0))</f>
        <v>176.58</v>
      </c>
      <c r="Y547" s="6"/>
      <c r="Z547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47" s="6">
        <f>('TE BE'!$AB$24+'TE BF'!$AB$24+'TE CVA'!$AB$24)*(1-CUSTOS!$M$37)</f>
        <v>230.68197444058345</v>
      </c>
      <c r="AB547" s="6">
        <f t="shared" si="26"/>
        <v>0</v>
      </c>
      <c r="AC547" s="6">
        <f>(L547-M547)*(W547+X547)+($W$522+$X$522-$W$547-$X$547)*(L547)</f>
        <v>7.6494188760989342E-12</v>
      </c>
      <c r="AD547" s="6">
        <f t="shared" si="27"/>
        <v>0</v>
      </c>
      <c r="AE547" s="6">
        <f ca="1">(L547-M547)*(Z547+AA547)+($Z$522+$AA$522-$Z$547-$AA$547)*(L547)</f>
        <v>-7.6494188760989342E-12</v>
      </c>
      <c r="AF547" s="4" t="s">
        <v>938</v>
      </c>
    </row>
    <row r="548" spans="1:32" ht="11.25" customHeight="1" x14ac:dyDescent="0.25">
      <c r="A548" s="4" t="s">
        <v>29</v>
      </c>
      <c r="B548" s="4" t="s">
        <v>22</v>
      </c>
      <c r="C548" s="4" t="s">
        <v>23</v>
      </c>
      <c r="D548" s="4" t="s">
        <v>24</v>
      </c>
      <c r="E548" s="4" t="s">
        <v>34</v>
      </c>
      <c r="F548" s="4" t="s">
        <v>25</v>
      </c>
      <c r="G548" s="4" t="s">
        <v>25</v>
      </c>
      <c r="H548" s="4" t="s">
        <v>25</v>
      </c>
      <c r="I548" s="5">
        <v>44652</v>
      </c>
      <c r="J548" s="6">
        <v>0</v>
      </c>
      <c r="K548" s="6">
        <v>0</v>
      </c>
      <c r="L548" s="6">
        <v>-1.2090000000000001</v>
      </c>
      <c r="M548" s="6">
        <v>-1.2090000000000001</v>
      </c>
      <c r="N548" s="6">
        <v>-1.2090000000000001</v>
      </c>
      <c r="O548" s="6">
        <v>-1.2090000000000001</v>
      </c>
      <c r="P548" s="6">
        <v>-14</v>
      </c>
      <c r="Q548" s="4" t="s">
        <v>26</v>
      </c>
      <c r="R548" s="4">
        <v>0</v>
      </c>
      <c r="S548" s="4">
        <v>0</v>
      </c>
      <c r="T548" s="4">
        <v>43</v>
      </c>
      <c r="U548" s="4">
        <v>87</v>
      </c>
      <c r="V548" s="6">
        <f>IF(ISERROR(VLOOKUP($S$548,'TAR FIN'!$A$1:$O$115,15,0)),0,VLOOKUP($S$548,'TAR FIN'!$A$1:$O$115,15,0))</f>
        <v>0</v>
      </c>
      <c r="W548" s="6">
        <f>IF(ISERROR(VLOOKUP($T$548,'TAR FIN'!$A$1:$O$115,15,0)),0,VLOOKUP($T$548,'TAR FIN'!$A$1:$O$115,15,0))</f>
        <v>404.12</v>
      </c>
      <c r="X548" s="6">
        <f>IF(ISERROR(VLOOKUP($U$548,'TAR FIN'!$A$1:$O$115,15,0)),0,VLOOKUP($U$548,'TAR FIN'!$A$1:$O$115,15,0))</f>
        <v>176.58</v>
      </c>
      <c r="Y548" s="6"/>
      <c r="Z548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48" s="6">
        <f>('TE BE'!$AB$24+'TE BF'!$AB$24+'TE CVA'!$AB$24)*(1-CUSTOS!$M$37)</f>
        <v>230.68197444058345</v>
      </c>
      <c r="AB548" s="6">
        <f t="shared" si="26"/>
        <v>0</v>
      </c>
      <c r="AC548" s="6">
        <f>(L548-M548)*(W548+X548)+($W$522+$X$522-$W$548-$X$548)*(L548)</f>
        <v>-3.4361846701358447E-14</v>
      </c>
      <c r="AD548" s="6">
        <f t="shared" si="27"/>
        <v>0</v>
      </c>
      <c r="AE548" s="6">
        <f ca="1">(L548-M548)*(Z548+AA548)+($Z$522+$AA$522-$Z$548-$AA$548)*(L548)</f>
        <v>3.4361846701358447E-14</v>
      </c>
      <c r="AF548" s="4" t="s">
        <v>938</v>
      </c>
    </row>
    <row r="549" spans="1:32" ht="11.25" customHeight="1" x14ac:dyDescent="0.25">
      <c r="A549" s="4" t="s">
        <v>30</v>
      </c>
      <c r="B549" s="4" t="s">
        <v>22</v>
      </c>
      <c r="C549" s="4" t="s">
        <v>23</v>
      </c>
      <c r="D549" s="4" t="s">
        <v>24</v>
      </c>
      <c r="E549" s="4" t="s">
        <v>34</v>
      </c>
      <c r="F549" s="4" t="s">
        <v>25</v>
      </c>
      <c r="G549" s="4" t="s">
        <v>25</v>
      </c>
      <c r="H549" s="4" t="s">
        <v>25</v>
      </c>
      <c r="I549" s="5">
        <v>44652</v>
      </c>
      <c r="J549" s="6">
        <v>0</v>
      </c>
      <c r="K549" s="6">
        <v>0</v>
      </c>
      <c r="L549" s="6">
        <v>1.9550000000000001</v>
      </c>
      <c r="M549" s="6">
        <v>1.9550000000000001</v>
      </c>
      <c r="N549" s="6">
        <v>1.9550000000000001</v>
      </c>
      <c r="O549" s="6">
        <v>1.9550000000000001</v>
      </c>
      <c r="P549" s="6">
        <v>39</v>
      </c>
      <c r="Q549" s="4" t="s">
        <v>26</v>
      </c>
      <c r="R549" s="4">
        <v>0</v>
      </c>
      <c r="S549" s="4">
        <v>0</v>
      </c>
      <c r="T549" s="4">
        <v>43</v>
      </c>
      <c r="U549" s="4">
        <v>87</v>
      </c>
      <c r="V549" s="6">
        <f>IF(ISERROR(VLOOKUP($S$549,'TAR FIN'!$A$1:$O$115,15,0)),0,VLOOKUP($S$549,'TAR FIN'!$A$1:$O$115,15,0))</f>
        <v>0</v>
      </c>
      <c r="W549" s="6">
        <f>IF(ISERROR(VLOOKUP($T$549,'TAR FIN'!$A$1:$O$115,15,0)),0,VLOOKUP($T$549,'TAR FIN'!$A$1:$O$115,15,0))</f>
        <v>404.12</v>
      </c>
      <c r="X549" s="6">
        <f>IF(ISERROR(VLOOKUP($U$549,'TAR FIN'!$A$1:$O$115,15,0)),0,VLOOKUP($U$549,'TAR FIN'!$A$1:$O$115,15,0))</f>
        <v>176.58</v>
      </c>
      <c r="Y549" s="6"/>
      <c r="Z549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49" s="6">
        <f>('TE BE'!$AB$24+'TE BF'!$AB$24+'TE CVA'!$AB$24)*(1-CUSTOS!$M$37)</f>
        <v>230.68197444058345</v>
      </c>
      <c r="AB549" s="6">
        <f t="shared" si="26"/>
        <v>0</v>
      </c>
      <c r="AC549" s="6">
        <f>(L549-M549)*(W549+X549)+($W$522+$X$522-$W$549-$X$549)*(L549)</f>
        <v>5.5564441936439837E-14</v>
      </c>
      <c r="AD549" s="6">
        <f t="shared" si="27"/>
        <v>0</v>
      </c>
      <c r="AE549" s="6">
        <f ca="1">(L549-M549)*(Z549+AA549)+($Z$522+$AA$522-$Z$549-$AA$549)*(L549)</f>
        <v>-5.5564441936439837E-14</v>
      </c>
      <c r="AF549" s="4" t="s">
        <v>938</v>
      </c>
    </row>
    <row r="550" spans="1:32" ht="11.25" customHeight="1" x14ac:dyDescent="0.25">
      <c r="A550" s="4" t="s">
        <v>21</v>
      </c>
      <c r="B550" s="4" t="s">
        <v>22</v>
      </c>
      <c r="C550" s="4" t="s">
        <v>23</v>
      </c>
      <c r="D550" s="4" t="s">
        <v>24</v>
      </c>
      <c r="E550" s="4" t="s">
        <v>34</v>
      </c>
      <c r="F550" s="4" t="s">
        <v>25</v>
      </c>
      <c r="G550" s="4" t="s">
        <v>25</v>
      </c>
      <c r="H550" s="4" t="s">
        <v>25</v>
      </c>
      <c r="I550" s="5">
        <v>44682</v>
      </c>
      <c r="J550" s="6">
        <v>0</v>
      </c>
      <c r="K550" s="6">
        <v>0</v>
      </c>
      <c r="L550" s="6">
        <v>1108.713</v>
      </c>
      <c r="M550" s="6">
        <v>1108.713</v>
      </c>
      <c r="N550" s="6">
        <v>1108.713</v>
      </c>
      <c r="O550" s="6">
        <v>1108.713</v>
      </c>
      <c r="P550" s="6">
        <v>9125</v>
      </c>
      <c r="Q550" s="4" t="s">
        <v>26</v>
      </c>
      <c r="R550" s="4">
        <v>0</v>
      </c>
      <c r="S550" s="4">
        <v>0</v>
      </c>
      <c r="T550" s="4">
        <v>43</v>
      </c>
      <c r="U550" s="4">
        <v>87</v>
      </c>
      <c r="V550" s="6">
        <f>IF(ISERROR(VLOOKUP($S$550,'TAR FIN'!$A$1:$O$115,15,0)),0,VLOOKUP($S$550,'TAR FIN'!$A$1:$O$115,15,0))</f>
        <v>0</v>
      </c>
      <c r="W550" s="6">
        <f>IF(ISERROR(VLOOKUP($T$550,'TAR FIN'!$A$1:$O$115,15,0)),0,VLOOKUP($T$550,'TAR FIN'!$A$1:$O$115,15,0))</f>
        <v>404.12</v>
      </c>
      <c r="X550" s="6">
        <f>IF(ISERROR(VLOOKUP($U$550,'TAR FIN'!$A$1:$O$115,15,0)),0,VLOOKUP($U$550,'TAR FIN'!$A$1:$O$115,15,0))</f>
        <v>176.58</v>
      </c>
      <c r="Y550" s="6"/>
      <c r="Z550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50" s="6">
        <f>('TE BE'!$AB$24+'TE BF'!$AB$24+'TE CVA'!$AB$24)*(1-CUSTOS!$M$37)</f>
        <v>230.68197444058345</v>
      </c>
      <c r="AB550" s="6">
        <f t="shared" si="26"/>
        <v>0</v>
      </c>
      <c r="AC550" s="6">
        <f>(L550-M550)*(W550+X550)+($W$522+$X$522-$W$550-$X$550)*(L550)</f>
        <v>3.1511518727711517E-11</v>
      </c>
      <c r="AD550" s="6">
        <f t="shared" si="27"/>
        <v>0</v>
      </c>
      <c r="AE550" s="6">
        <f ca="1">(L550-M550)*(Z550+AA550)+($Z$522+$AA$522-$Z$550-$AA$550)*(L550)</f>
        <v>-3.1511518727711517E-11</v>
      </c>
      <c r="AF550" s="4" t="s">
        <v>938</v>
      </c>
    </row>
    <row r="551" spans="1:32" ht="11.25" customHeight="1" x14ac:dyDescent="0.25">
      <c r="A551" s="4" t="s">
        <v>27</v>
      </c>
      <c r="B551" s="4" t="s">
        <v>22</v>
      </c>
      <c r="C551" s="4" t="s">
        <v>23</v>
      </c>
      <c r="D551" s="4" t="s">
        <v>24</v>
      </c>
      <c r="E551" s="4" t="s">
        <v>34</v>
      </c>
      <c r="F551" s="4" t="s">
        <v>25</v>
      </c>
      <c r="G551" s="4" t="s">
        <v>25</v>
      </c>
      <c r="H551" s="4" t="s">
        <v>25</v>
      </c>
      <c r="I551" s="5">
        <v>44682</v>
      </c>
      <c r="J551" s="6">
        <v>0</v>
      </c>
      <c r="K551" s="6">
        <v>0</v>
      </c>
      <c r="L551" s="6">
        <v>3.0230000000000001</v>
      </c>
      <c r="M551" s="6">
        <v>3.0230000000000001</v>
      </c>
      <c r="N551" s="6">
        <v>3.0230000000000001</v>
      </c>
      <c r="O551" s="6">
        <v>3.0230000000000001</v>
      </c>
      <c r="P551" s="6">
        <v>-18</v>
      </c>
      <c r="Q551" s="4" t="s">
        <v>26</v>
      </c>
      <c r="R551" s="4">
        <v>0</v>
      </c>
      <c r="S551" s="4">
        <v>0</v>
      </c>
      <c r="T551" s="4">
        <v>43</v>
      </c>
      <c r="U551" s="4">
        <v>87</v>
      </c>
      <c r="V551" s="6">
        <f>IF(ISERROR(VLOOKUP($S$551,'TAR FIN'!$A$1:$O$115,15,0)),0,VLOOKUP($S$551,'TAR FIN'!$A$1:$O$115,15,0))</f>
        <v>0</v>
      </c>
      <c r="W551" s="6">
        <f>IF(ISERROR(VLOOKUP($T$551,'TAR FIN'!$A$1:$O$115,15,0)),0,VLOOKUP($T$551,'TAR FIN'!$A$1:$O$115,15,0))</f>
        <v>404.12</v>
      </c>
      <c r="X551" s="6">
        <f>IF(ISERROR(VLOOKUP($U$551,'TAR FIN'!$A$1:$O$115,15,0)),0,VLOOKUP($U$551,'TAR FIN'!$A$1:$O$115,15,0))</f>
        <v>176.58</v>
      </c>
      <c r="Y551" s="6"/>
      <c r="Z551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51" s="6">
        <f>('TE BE'!$AB$24+'TE BF'!$AB$24+'TE CVA'!$AB$24)*(1-CUSTOS!$M$37)</f>
        <v>230.68197444058345</v>
      </c>
      <c r="AB551" s="6">
        <f t="shared" si="26"/>
        <v>0</v>
      </c>
      <c r="AC551" s="6">
        <f>(L551-M551)*(W551+X551)+($W$522+$X$522-$W$551-$X$551)*(L551)</f>
        <v>8.5918827608111318E-14</v>
      </c>
      <c r="AD551" s="6">
        <f t="shared" si="27"/>
        <v>0</v>
      </c>
      <c r="AE551" s="6">
        <f ca="1">(L551-M551)*(Z551+AA551)+($Z$522+$AA$522-$Z$551-$AA$551)*(L551)</f>
        <v>-8.5918827608111318E-14</v>
      </c>
      <c r="AF551" s="4" t="s">
        <v>938</v>
      </c>
    </row>
    <row r="552" spans="1:32" ht="11.25" customHeight="1" x14ac:dyDescent="0.25">
      <c r="A552" s="4" t="s">
        <v>28</v>
      </c>
      <c r="B552" s="4" t="s">
        <v>22</v>
      </c>
      <c r="C552" s="4" t="s">
        <v>23</v>
      </c>
      <c r="D552" s="4" t="s">
        <v>24</v>
      </c>
      <c r="E552" s="4" t="s">
        <v>34</v>
      </c>
      <c r="F552" s="4" t="s">
        <v>25</v>
      </c>
      <c r="G552" s="4" t="s">
        <v>25</v>
      </c>
      <c r="H552" s="4" t="s">
        <v>25</v>
      </c>
      <c r="I552" s="5">
        <v>44682</v>
      </c>
      <c r="J552" s="6">
        <v>0</v>
      </c>
      <c r="K552" s="6">
        <v>0</v>
      </c>
      <c r="L552" s="6">
        <v>238.76499999999999</v>
      </c>
      <c r="M552" s="6">
        <v>238.76499999999999</v>
      </c>
      <c r="N552" s="6">
        <v>238.76499999999999</v>
      </c>
      <c r="O552" s="6">
        <v>238.76499999999999</v>
      </c>
      <c r="P552" s="6">
        <v>2296</v>
      </c>
      <c r="Q552" s="4" t="s">
        <v>26</v>
      </c>
      <c r="R552" s="4">
        <v>0</v>
      </c>
      <c r="S552" s="4">
        <v>0</v>
      </c>
      <c r="T552" s="4">
        <v>43</v>
      </c>
      <c r="U552" s="4">
        <v>87</v>
      </c>
      <c r="V552" s="6">
        <f>IF(ISERROR(VLOOKUP($S$552,'TAR FIN'!$A$1:$O$115,15,0)),0,VLOOKUP($S$552,'TAR FIN'!$A$1:$O$115,15,0))</f>
        <v>0</v>
      </c>
      <c r="W552" s="6">
        <f>IF(ISERROR(VLOOKUP($T$552,'TAR FIN'!$A$1:$O$115,15,0)),0,VLOOKUP($T$552,'TAR FIN'!$A$1:$O$115,15,0))</f>
        <v>404.12</v>
      </c>
      <c r="X552" s="6">
        <f>IF(ISERROR(VLOOKUP($U$552,'TAR FIN'!$A$1:$O$115,15,0)),0,VLOOKUP($U$552,'TAR FIN'!$A$1:$O$115,15,0))</f>
        <v>176.58</v>
      </c>
      <c r="Y552" s="6"/>
      <c r="Z552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52" s="6">
        <f>('TE BE'!$AB$24+'TE BF'!$AB$24+'TE CVA'!$AB$24)*(1-CUSTOS!$M$37)</f>
        <v>230.68197444058345</v>
      </c>
      <c r="AB552" s="6">
        <f t="shared" si="26"/>
        <v>0</v>
      </c>
      <c r="AC552" s="6">
        <f>(L552-M552)*(W552+X552)+($W$522+$X$522-$W$552-$X$552)*(L552)</f>
        <v>6.7861094521504124E-12</v>
      </c>
      <c r="AD552" s="6">
        <f t="shared" si="27"/>
        <v>0</v>
      </c>
      <c r="AE552" s="6">
        <f ca="1">(L552-M552)*(Z552+AA552)+($Z$522+$AA$522-$Z$552-$AA$552)*(L552)</f>
        <v>-6.7861094521504124E-12</v>
      </c>
      <c r="AF552" s="4" t="s">
        <v>938</v>
      </c>
    </row>
    <row r="553" spans="1:32" ht="11.25" customHeight="1" x14ac:dyDescent="0.25">
      <c r="A553" s="4" t="s">
        <v>29</v>
      </c>
      <c r="B553" s="4" t="s">
        <v>22</v>
      </c>
      <c r="C553" s="4" t="s">
        <v>23</v>
      </c>
      <c r="D553" s="4" t="s">
        <v>24</v>
      </c>
      <c r="E553" s="4" t="s">
        <v>34</v>
      </c>
      <c r="F553" s="4" t="s">
        <v>25</v>
      </c>
      <c r="G553" s="4" t="s">
        <v>25</v>
      </c>
      <c r="H553" s="4" t="s">
        <v>25</v>
      </c>
      <c r="I553" s="5">
        <v>44682</v>
      </c>
      <c r="J553" s="6">
        <v>0</v>
      </c>
      <c r="K553" s="6">
        <v>0</v>
      </c>
      <c r="L553" s="6">
        <v>-6.2050000000000001</v>
      </c>
      <c r="M553" s="6">
        <v>-6.2050000000000001</v>
      </c>
      <c r="N553" s="6">
        <v>-6.2050000000000001</v>
      </c>
      <c r="O553" s="6">
        <v>-6.2050000000000001</v>
      </c>
      <c r="P553" s="6">
        <v>-8</v>
      </c>
      <c r="Q553" s="4" t="s">
        <v>26</v>
      </c>
      <c r="R553" s="4">
        <v>0</v>
      </c>
      <c r="S553" s="4">
        <v>0</v>
      </c>
      <c r="T553" s="4">
        <v>43</v>
      </c>
      <c r="U553" s="4">
        <v>87</v>
      </c>
      <c r="V553" s="6">
        <f>IF(ISERROR(VLOOKUP($S$553,'TAR FIN'!$A$1:$O$115,15,0)),0,VLOOKUP($S$553,'TAR FIN'!$A$1:$O$115,15,0))</f>
        <v>0</v>
      </c>
      <c r="W553" s="6">
        <f>IF(ISERROR(VLOOKUP($T$553,'TAR FIN'!$A$1:$O$115,15,0)),0,VLOOKUP($T$553,'TAR FIN'!$A$1:$O$115,15,0))</f>
        <v>404.12</v>
      </c>
      <c r="X553" s="6">
        <f>IF(ISERROR(VLOOKUP($U$553,'TAR FIN'!$A$1:$O$115,15,0)),0,VLOOKUP($U$553,'TAR FIN'!$A$1:$O$115,15,0))</f>
        <v>176.58</v>
      </c>
      <c r="Y553" s="6"/>
      <c r="Z553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53" s="6">
        <f>('TE BE'!$AB$24+'TE BF'!$AB$24+'TE CVA'!$AB$24)*(1-CUSTOS!$M$37)</f>
        <v>230.68197444058345</v>
      </c>
      <c r="AB553" s="6">
        <f t="shared" si="26"/>
        <v>0</v>
      </c>
      <c r="AC553" s="6">
        <f>(L553-M553)*(W553+X553)+($W$522+$X$522-$W$553-$X$553)*(L553)</f>
        <v>-1.7635670701565687E-13</v>
      </c>
      <c r="AD553" s="6">
        <f t="shared" si="27"/>
        <v>0</v>
      </c>
      <c r="AE553" s="6">
        <f ca="1">(L553-M553)*(Z553+AA553)+($Z$522+$AA$522-$Z$553-$AA$553)*(L553)</f>
        <v>1.7635670701565687E-13</v>
      </c>
      <c r="AF553" s="4" t="s">
        <v>938</v>
      </c>
    </row>
    <row r="554" spans="1:32" ht="11.25" customHeight="1" x14ac:dyDescent="0.25">
      <c r="A554" s="4" t="s">
        <v>30</v>
      </c>
      <c r="B554" s="4" t="s">
        <v>22</v>
      </c>
      <c r="C554" s="4" t="s">
        <v>23</v>
      </c>
      <c r="D554" s="4" t="s">
        <v>24</v>
      </c>
      <c r="E554" s="4" t="s">
        <v>34</v>
      </c>
      <c r="F554" s="4" t="s">
        <v>25</v>
      </c>
      <c r="G554" s="4" t="s">
        <v>25</v>
      </c>
      <c r="H554" s="4" t="s">
        <v>25</v>
      </c>
      <c r="I554" s="5">
        <v>44682</v>
      </c>
      <c r="J554" s="6">
        <v>0</v>
      </c>
      <c r="K554" s="6">
        <v>0</v>
      </c>
      <c r="L554" s="6">
        <v>2.3730000000000002</v>
      </c>
      <c r="M554" s="6">
        <v>2.3730000000000002</v>
      </c>
      <c r="N554" s="6">
        <v>2.3730000000000002</v>
      </c>
      <c r="O554" s="6">
        <v>2.3730000000000002</v>
      </c>
      <c r="P554" s="6">
        <v>40</v>
      </c>
      <c r="Q554" s="4" t="s">
        <v>26</v>
      </c>
      <c r="R554" s="4">
        <v>0</v>
      </c>
      <c r="S554" s="4">
        <v>0</v>
      </c>
      <c r="T554" s="4">
        <v>43</v>
      </c>
      <c r="U554" s="4">
        <v>87</v>
      </c>
      <c r="V554" s="6">
        <f>IF(ISERROR(VLOOKUP($S$554,'TAR FIN'!$A$1:$O$115,15,0)),0,VLOOKUP($S$554,'TAR FIN'!$A$1:$O$115,15,0))</f>
        <v>0</v>
      </c>
      <c r="W554" s="6">
        <f>IF(ISERROR(VLOOKUP($T$554,'TAR FIN'!$A$1:$O$115,15,0)),0,VLOOKUP($T$554,'TAR FIN'!$A$1:$O$115,15,0))</f>
        <v>404.12</v>
      </c>
      <c r="X554" s="6">
        <f>IF(ISERROR(VLOOKUP($U$554,'TAR FIN'!$A$1:$O$115,15,0)),0,VLOOKUP($U$554,'TAR FIN'!$A$1:$O$115,15,0))</f>
        <v>176.58</v>
      </c>
      <c r="Y554" s="6"/>
      <c r="Z554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54" s="6">
        <f>('TE BE'!$AB$24+'TE BF'!$AB$24+'TE CVA'!$AB$24)*(1-CUSTOS!$M$37)</f>
        <v>230.68197444058345</v>
      </c>
      <c r="AB554" s="6">
        <f t="shared" si="26"/>
        <v>0</v>
      </c>
      <c r="AC554" s="6">
        <f>(L554-M554)*(W554+X554)+($W$522+$X$522-$W$554-$X$554)*(L554)</f>
        <v>6.7444716478348716E-14</v>
      </c>
      <c r="AD554" s="6">
        <f t="shared" si="27"/>
        <v>0</v>
      </c>
      <c r="AE554" s="6">
        <f ca="1">(L554-M554)*(Z554+AA554)+($Z$522+$AA$522-$Z$554-$AA$554)*(L554)</f>
        <v>-6.7444716478348716E-14</v>
      </c>
      <c r="AF554" s="4" t="s">
        <v>938</v>
      </c>
    </row>
    <row r="555" spans="1:32" ht="11.25" customHeight="1" x14ac:dyDescent="0.25">
      <c r="A555" s="4" t="s">
        <v>21</v>
      </c>
      <c r="B555" s="4" t="s">
        <v>22</v>
      </c>
      <c r="C555" s="4" t="s">
        <v>23</v>
      </c>
      <c r="D555" s="4" t="s">
        <v>24</v>
      </c>
      <c r="E555" s="4" t="s">
        <v>34</v>
      </c>
      <c r="F555" s="4" t="s">
        <v>25</v>
      </c>
      <c r="G555" s="4" t="s">
        <v>25</v>
      </c>
      <c r="H555" s="4" t="s">
        <v>25</v>
      </c>
      <c r="I555" s="5">
        <v>44713</v>
      </c>
      <c r="J555" s="6">
        <v>0</v>
      </c>
      <c r="K555" s="6">
        <v>0</v>
      </c>
      <c r="L555" s="6">
        <v>862.18299999999999</v>
      </c>
      <c r="M555" s="6">
        <v>862.18299999999999</v>
      </c>
      <c r="N555" s="6">
        <v>862.18299999999999</v>
      </c>
      <c r="O555" s="6">
        <v>862.18299999999999</v>
      </c>
      <c r="P555" s="6">
        <v>7680</v>
      </c>
      <c r="Q555" s="4" t="s">
        <v>26</v>
      </c>
      <c r="R555" s="4">
        <v>0</v>
      </c>
      <c r="S555" s="4">
        <v>0</v>
      </c>
      <c r="T555" s="4">
        <v>43</v>
      </c>
      <c r="U555" s="4">
        <v>87</v>
      </c>
      <c r="V555" s="6">
        <f>IF(ISERROR(VLOOKUP($S$555,'TAR FIN'!$A$1:$O$115,15,0)),0,VLOOKUP($S$555,'TAR FIN'!$A$1:$O$115,15,0))</f>
        <v>0</v>
      </c>
      <c r="W555" s="6">
        <f>IF(ISERROR(VLOOKUP($T$555,'TAR FIN'!$A$1:$O$115,15,0)),0,VLOOKUP($T$555,'TAR FIN'!$A$1:$O$115,15,0))</f>
        <v>404.12</v>
      </c>
      <c r="X555" s="6">
        <f>IF(ISERROR(VLOOKUP($U$555,'TAR FIN'!$A$1:$O$115,15,0)),0,VLOOKUP($U$555,'TAR FIN'!$A$1:$O$115,15,0))</f>
        <v>176.58</v>
      </c>
      <c r="Y555" s="6"/>
      <c r="Z555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55" s="6">
        <f>('TE BE'!$AB$24+'TE BF'!$AB$24+'TE CVA'!$AB$24)*(1-CUSTOS!$M$37)</f>
        <v>230.68197444058345</v>
      </c>
      <c r="AB555" s="6">
        <f t="shared" si="26"/>
        <v>0</v>
      </c>
      <c r="AC555" s="6">
        <f>(L555-M555)*(W555+X555)+($W$522+$X$522-$W$555-$X$555)*(L555)</f>
        <v>2.4504714701834018E-11</v>
      </c>
      <c r="AD555" s="6">
        <f t="shared" si="27"/>
        <v>0</v>
      </c>
      <c r="AE555" s="6">
        <f ca="1">(L555-M555)*(Z555+AA555)+($Z$522+$AA$522-$Z$555-$AA$555)*(L555)</f>
        <v>-2.4504714701834018E-11</v>
      </c>
      <c r="AF555" s="4" t="s">
        <v>938</v>
      </c>
    </row>
    <row r="556" spans="1:32" ht="11.25" customHeight="1" x14ac:dyDescent="0.25">
      <c r="A556" s="4" t="s">
        <v>27</v>
      </c>
      <c r="B556" s="4" t="s">
        <v>22</v>
      </c>
      <c r="C556" s="4" t="s">
        <v>23</v>
      </c>
      <c r="D556" s="4" t="s">
        <v>24</v>
      </c>
      <c r="E556" s="4" t="s">
        <v>34</v>
      </c>
      <c r="F556" s="4" t="s">
        <v>25</v>
      </c>
      <c r="G556" s="4" t="s">
        <v>25</v>
      </c>
      <c r="H556" s="4" t="s">
        <v>25</v>
      </c>
      <c r="I556" s="5">
        <v>44713</v>
      </c>
      <c r="J556" s="6">
        <v>0</v>
      </c>
      <c r="K556" s="6">
        <v>0</v>
      </c>
      <c r="L556" s="6">
        <v>-39.286000000000001</v>
      </c>
      <c r="M556" s="6">
        <v>-39.286000000000001</v>
      </c>
      <c r="N556" s="6">
        <v>-39.286000000000001</v>
      </c>
      <c r="O556" s="6">
        <v>-39.286000000000001</v>
      </c>
      <c r="P556" s="6">
        <v>-24</v>
      </c>
      <c r="Q556" s="4" t="s">
        <v>26</v>
      </c>
      <c r="R556" s="4">
        <v>0</v>
      </c>
      <c r="S556" s="4">
        <v>0</v>
      </c>
      <c r="T556" s="4">
        <v>43</v>
      </c>
      <c r="U556" s="4">
        <v>87</v>
      </c>
      <c r="V556" s="6">
        <f>IF(ISERROR(VLOOKUP($S$556,'TAR FIN'!$A$1:$O$115,15,0)),0,VLOOKUP($S$556,'TAR FIN'!$A$1:$O$115,15,0))</f>
        <v>0</v>
      </c>
      <c r="W556" s="6">
        <f>IF(ISERROR(VLOOKUP($T$556,'TAR FIN'!$A$1:$O$115,15,0)),0,VLOOKUP($T$556,'TAR FIN'!$A$1:$O$115,15,0))</f>
        <v>404.12</v>
      </c>
      <c r="X556" s="6">
        <f>IF(ISERROR(VLOOKUP($U$556,'TAR FIN'!$A$1:$O$115,15,0)),0,VLOOKUP($U$556,'TAR FIN'!$A$1:$O$115,15,0))</f>
        <v>176.58</v>
      </c>
      <c r="Y556" s="6"/>
      <c r="Z556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56" s="6">
        <f>('TE BE'!$AB$24+'TE BF'!$AB$24+'TE CVA'!$AB$24)*(1-CUSTOS!$M$37)</f>
        <v>230.68197444058345</v>
      </c>
      <c r="AB556" s="6">
        <f t="shared" si="26"/>
        <v>0</v>
      </c>
      <c r="AC556" s="6">
        <f>(L556-M556)*(W556+X556)+($W$522+$X$522-$W$556-$X$556)*(L556)</f>
        <v>-1.1165752766828519E-12</v>
      </c>
      <c r="AD556" s="6">
        <f t="shared" si="27"/>
        <v>0</v>
      </c>
      <c r="AE556" s="6">
        <f ca="1">(L556-M556)*(Z556+AA556)+($Z$522+$AA$522-$Z$556-$AA$556)*(L556)</f>
        <v>1.1165752766828519E-12</v>
      </c>
      <c r="AF556" s="4" t="s">
        <v>938</v>
      </c>
    </row>
    <row r="557" spans="1:32" ht="11.25" customHeight="1" x14ac:dyDescent="0.25">
      <c r="A557" s="4" t="s">
        <v>28</v>
      </c>
      <c r="B557" s="4" t="s">
        <v>22</v>
      </c>
      <c r="C557" s="4" t="s">
        <v>23</v>
      </c>
      <c r="D557" s="4" t="s">
        <v>24</v>
      </c>
      <c r="E557" s="4" t="s">
        <v>34</v>
      </c>
      <c r="F557" s="4" t="s">
        <v>25</v>
      </c>
      <c r="G557" s="4" t="s">
        <v>25</v>
      </c>
      <c r="H557" s="4" t="s">
        <v>25</v>
      </c>
      <c r="I557" s="5">
        <v>44713</v>
      </c>
      <c r="J557" s="6">
        <v>0</v>
      </c>
      <c r="K557" s="6">
        <v>0</v>
      </c>
      <c r="L557" s="6">
        <v>197.06899999999999</v>
      </c>
      <c r="M557" s="6">
        <v>197.06899999999999</v>
      </c>
      <c r="N557" s="6">
        <v>197.06899999999999</v>
      </c>
      <c r="O557" s="6">
        <v>197.06899999999999</v>
      </c>
      <c r="P557" s="6">
        <v>2066</v>
      </c>
      <c r="Q557" s="4" t="s">
        <v>26</v>
      </c>
      <c r="R557" s="4">
        <v>0</v>
      </c>
      <c r="S557" s="4">
        <v>0</v>
      </c>
      <c r="T557" s="4">
        <v>43</v>
      </c>
      <c r="U557" s="4">
        <v>87</v>
      </c>
      <c r="V557" s="6">
        <f>IF(ISERROR(VLOOKUP($S$557,'TAR FIN'!$A$1:$O$115,15,0)),0,VLOOKUP($S$557,'TAR FIN'!$A$1:$O$115,15,0))</f>
        <v>0</v>
      </c>
      <c r="W557" s="6">
        <f>IF(ISERROR(VLOOKUP($T$557,'TAR FIN'!$A$1:$O$115,15,0)),0,VLOOKUP($T$557,'TAR FIN'!$A$1:$O$115,15,0))</f>
        <v>404.12</v>
      </c>
      <c r="X557" s="6">
        <f>IF(ISERROR(VLOOKUP($U$557,'TAR FIN'!$A$1:$O$115,15,0)),0,VLOOKUP($U$557,'TAR FIN'!$A$1:$O$115,15,0))</f>
        <v>176.58</v>
      </c>
      <c r="Y557" s="6"/>
      <c r="Z557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57" s="6">
        <f>('TE BE'!$AB$24+'TE BF'!$AB$24+'TE CVA'!$AB$24)*(1-CUSTOS!$M$37)</f>
        <v>230.68197444058345</v>
      </c>
      <c r="AB557" s="6">
        <f t="shared" si="26"/>
        <v>0</v>
      </c>
      <c r="AC557" s="6">
        <f>(L557-M557)*(W557+X557)+($W$522+$X$522-$W$557-$X$557)*(L557)</f>
        <v>5.601037855740287E-12</v>
      </c>
      <c r="AD557" s="6">
        <f t="shared" si="27"/>
        <v>0</v>
      </c>
      <c r="AE557" s="6">
        <f ca="1">(L557-M557)*(Z557+AA557)+($Z$522+$AA$522-$Z$557-$AA$557)*(L557)</f>
        <v>-5.601037855740287E-12</v>
      </c>
      <c r="AF557" s="4" t="s">
        <v>938</v>
      </c>
    </row>
    <row r="558" spans="1:32" ht="11.25" customHeight="1" x14ac:dyDescent="0.25">
      <c r="A558" s="4" t="s">
        <v>29</v>
      </c>
      <c r="B558" s="4" t="s">
        <v>22</v>
      </c>
      <c r="C558" s="4" t="s">
        <v>23</v>
      </c>
      <c r="D558" s="4" t="s">
        <v>24</v>
      </c>
      <c r="E558" s="4" t="s">
        <v>34</v>
      </c>
      <c r="F558" s="4" t="s">
        <v>25</v>
      </c>
      <c r="G558" s="4" t="s">
        <v>25</v>
      </c>
      <c r="H558" s="4" t="s">
        <v>25</v>
      </c>
      <c r="I558" s="5">
        <v>44713</v>
      </c>
      <c r="J558" s="6">
        <v>0</v>
      </c>
      <c r="K558" s="6">
        <v>0</v>
      </c>
      <c r="L558" s="6">
        <v>-4.6539999999999999</v>
      </c>
      <c r="M558" s="6">
        <v>-4.6539999999999999</v>
      </c>
      <c r="N558" s="6">
        <v>-4.6539999999999999</v>
      </c>
      <c r="O558" s="6">
        <v>-4.6539999999999999</v>
      </c>
      <c r="P558" s="6">
        <v>-2</v>
      </c>
      <c r="Q558" s="4" t="s">
        <v>26</v>
      </c>
      <c r="R558" s="4">
        <v>0</v>
      </c>
      <c r="S558" s="4">
        <v>0</v>
      </c>
      <c r="T558" s="4">
        <v>43</v>
      </c>
      <c r="U558" s="4">
        <v>87</v>
      </c>
      <c r="V558" s="6">
        <f>IF(ISERROR(VLOOKUP($S$558,'TAR FIN'!$A$1:$O$115,15,0)),0,VLOOKUP($S$558,'TAR FIN'!$A$1:$O$115,15,0))</f>
        <v>0</v>
      </c>
      <c r="W558" s="6">
        <f>IF(ISERROR(VLOOKUP($T$558,'TAR FIN'!$A$1:$O$115,15,0)),0,VLOOKUP($T$558,'TAR FIN'!$A$1:$O$115,15,0))</f>
        <v>404.12</v>
      </c>
      <c r="X558" s="6">
        <f>IF(ISERROR(VLOOKUP($U$558,'TAR FIN'!$A$1:$O$115,15,0)),0,VLOOKUP($U$558,'TAR FIN'!$A$1:$O$115,15,0))</f>
        <v>176.58</v>
      </c>
      <c r="Y558" s="6"/>
      <c r="Z558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58" s="6">
        <f>('TE BE'!$AB$24+'TE BF'!$AB$24+'TE CVA'!$AB$24)*(1-CUSTOS!$M$37)</f>
        <v>230.68197444058345</v>
      </c>
      <c r="AB558" s="6">
        <f t="shared" si="26"/>
        <v>0</v>
      </c>
      <c r="AC558" s="6">
        <f>(L558-M558)*(W558+X558)+($W$522+$X$522-$W$558-$X$558)*(L558)</f>
        <v>-1.3227463568910025E-13</v>
      </c>
      <c r="AD558" s="6">
        <f t="shared" si="27"/>
        <v>0</v>
      </c>
      <c r="AE558" s="6">
        <f ca="1">(L558-M558)*(Z558+AA558)+($Z$522+$AA$522-$Z$558-$AA$558)*(L558)</f>
        <v>1.3227463568910025E-13</v>
      </c>
      <c r="AF558" s="4" t="s">
        <v>938</v>
      </c>
    </row>
    <row r="559" spans="1:32" ht="11.25" customHeight="1" x14ac:dyDescent="0.25">
      <c r="A559" s="4" t="s">
        <v>30</v>
      </c>
      <c r="B559" s="4" t="s">
        <v>22</v>
      </c>
      <c r="C559" s="4" t="s">
        <v>23</v>
      </c>
      <c r="D559" s="4" t="s">
        <v>24</v>
      </c>
      <c r="E559" s="4" t="s">
        <v>34</v>
      </c>
      <c r="F559" s="4" t="s">
        <v>25</v>
      </c>
      <c r="G559" s="4" t="s">
        <v>25</v>
      </c>
      <c r="H559" s="4" t="s">
        <v>25</v>
      </c>
      <c r="I559" s="5">
        <v>44713</v>
      </c>
      <c r="J559" s="6">
        <v>0</v>
      </c>
      <c r="K559" s="6">
        <v>0</v>
      </c>
      <c r="L559" s="6">
        <v>2.633</v>
      </c>
      <c r="M559" s="6">
        <v>2.633</v>
      </c>
      <c r="N559" s="6">
        <v>2.633</v>
      </c>
      <c r="O559" s="6">
        <v>2.633</v>
      </c>
      <c r="P559" s="6">
        <v>37</v>
      </c>
      <c r="Q559" s="4" t="s">
        <v>26</v>
      </c>
      <c r="R559" s="4">
        <v>0</v>
      </c>
      <c r="S559" s="4">
        <v>0</v>
      </c>
      <c r="T559" s="4">
        <v>43</v>
      </c>
      <c r="U559" s="4">
        <v>87</v>
      </c>
      <c r="V559" s="6">
        <f>IF(ISERROR(VLOOKUP($S$559,'TAR FIN'!$A$1:$O$115,15,0)),0,VLOOKUP($S$559,'TAR FIN'!$A$1:$O$115,15,0))</f>
        <v>0</v>
      </c>
      <c r="W559" s="6">
        <f>IF(ISERROR(VLOOKUP($T$559,'TAR FIN'!$A$1:$O$115,15,0)),0,VLOOKUP($T$559,'TAR FIN'!$A$1:$O$115,15,0))</f>
        <v>404.12</v>
      </c>
      <c r="X559" s="6">
        <f>IF(ISERROR(VLOOKUP($U$559,'TAR FIN'!$A$1:$O$115,15,0)),0,VLOOKUP($U$559,'TAR FIN'!$A$1:$O$115,15,0))</f>
        <v>176.58</v>
      </c>
      <c r="Y559" s="6"/>
      <c r="Z559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59" s="6">
        <f>('TE BE'!$AB$24+'TE BF'!$AB$24+'TE CVA'!$AB$24)*(1-CUSTOS!$M$37)</f>
        <v>230.68197444058345</v>
      </c>
      <c r="AB559" s="6">
        <f t="shared" si="26"/>
        <v>0</v>
      </c>
      <c r="AC559" s="6">
        <f>(L559-M559)*(W559+X559)+($W$522+$X$522-$W$559-$X$559)*(L559)</f>
        <v>7.4834360930253752E-14</v>
      </c>
      <c r="AD559" s="6">
        <f t="shared" si="27"/>
        <v>0</v>
      </c>
      <c r="AE559" s="6">
        <f ca="1">(L559-M559)*(Z559+AA559)+($Z$522+$AA$522-$Z$559-$AA$559)*(L559)</f>
        <v>-7.4834360930253752E-14</v>
      </c>
      <c r="AF559" s="4" t="s">
        <v>938</v>
      </c>
    </row>
    <row r="560" spans="1:32" ht="11.25" customHeight="1" x14ac:dyDescent="0.25">
      <c r="A560" s="4" t="s">
        <v>21</v>
      </c>
      <c r="B560" s="4" t="s">
        <v>22</v>
      </c>
      <c r="C560" s="4" t="s">
        <v>23</v>
      </c>
      <c r="D560" s="4" t="s">
        <v>24</v>
      </c>
      <c r="E560" s="4" t="s">
        <v>34</v>
      </c>
      <c r="F560" s="4" t="s">
        <v>25</v>
      </c>
      <c r="G560" s="4" t="s">
        <v>25</v>
      </c>
      <c r="H560" s="4" t="s">
        <v>25</v>
      </c>
      <c r="I560" s="5">
        <v>44743</v>
      </c>
      <c r="J560" s="6">
        <v>0</v>
      </c>
      <c r="K560" s="6">
        <v>0</v>
      </c>
      <c r="L560" s="6">
        <v>1246.318</v>
      </c>
      <c r="M560" s="6">
        <v>1246.318</v>
      </c>
      <c r="N560" s="6">
        <v>1246.318</v>
      </c>
      <c r="O560" s="6">
        <v>1246.318</v>
      </c>
      <c r="P560" s="6">
        <v>9969</v>
      </c>
      <c r="Q560" s="4" t="s">
        <v>26</v>
      </c>
      <c r="R560" s="4">
        <v>0</v>
      </c>
      <c r="S560" s="4">
        <v>0</v>
      </c>
      <c r="T560" s="4">
        <v>43</v>
      </c>
      <c r="U560" s="4">
        <v>87</v>
      </c>
      <c r="V560" s="6">
        <f>IF(ISERROR(VLOOKUP($S$560,'TAR FIN'!$A$1:$O$115,15,0)),0,VLOOKUP($S$560,'TAR FIN'!$A$1:$O$115,15,0))</f>
        <v>0</v>
      </c>
      <c r="W560" s="6">
        <f>IF(ISERROR(VLOOKUP($T$560,'TAR FIN'!$A$1:$O$115,15,0)),0,VLOOKUP($T$560,'TAR FIN'!$A$1:$O$115,15,0))</f>
        <v>404.12</v>
      </c>
      <c r="X560" s="6">
        <f>IF(ISERROR(VLOOKUP($U$560,'TAR FIN'!$A$1:$O$115,15,0)),0,VLOOKUP($U$560,'TAR FIN'!$A$1:$O$115,15,0))</f>
        <v>176.58</v>
      </c>
      <c r="Y560" s="6"/>
      <c r="Z560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60" s="6">
        <f>('TE BE'!$AB$24+'TE BF'!$AB$24+'TE CVA'!$AB$24)*(1-CUSTOS!$M$37)</f>
        <v>230.68197444058345</v>
      </c>
      <c r="AB560" s="6">
        <f t="shared" si="26"/>
        <v>0</v>
      </c>
      <c r="AC560" s="6">
        <f>(L560-M560)*(W560+X560)+($W$522+$X$522-$W$560-$X$560)*(L560)</f>
        <v>3.5422488053882261E-11</v>
      </c>
      <c r="AD560" s="6">
        <f t="shared" si="27"/>
        <v>0</v>
      </c>
      <c r="AE560" s="6">
        <f ca="1">(L560-M560)*(Z560+AA560)+($Z$522+$AA$522-$Z$560-$AA$560)*(L560)</f>
        <v>-3.5422488053882261E-11</v>
      </c>
      <c r="AF560" s="4" t="s">
        <v>938</v>
      </c>
    </row>
    <row r="561" spans="1:32" ht="11.25" customHeight="1" x14ac:dyDescent="0.25">
      <c r="A561" s="4" t="s">
        <v>27</v>
      </c>
      <c r="B561" s="4" t="s">
        <v>22</v>
      </c>
      <c r="C561" s="4" t="s">
        <v>23</v>
      </c>
      <c r="D561" s="4" t="s">
        <v>24</v>
      </c>
      <c r="E561" s="4" t="s">
        <v>34</v>
      </c>
      <c r="F561" s="4" t="s">
        <v>25</v>
      </c>
      <c r="G561" s="4" t="s">
        <v>25</v>
      </c>
      <c r="H561" s="4" t="s">
        <v>25</v>
      </c>
      <c r="I561" s="5">
        <v>44743</v>
      </c>
      <c r="J561" s="6">
        <v>0</v>
      </c>
      <c r="K561" s="6">
        <v>0</v>
      </c>
      <c r="L561" s="6">
        <v>-28.143000000000001</v>
      </c>
      <c r="M561" s="6">
        <v>-28.143000000000001</v>
      </c>
      <c r="N561" s="6">
        <v>-28.143000000000001</v>
      </c>
      <c r="O561" s="6">
        <v>-28.143000000000001</v>
      </c>
      <c r="P561" s="6">
        <v>-28</v>
      </c>
      <c r="Q561" s="4" t="s">
        <v>26</v>
      </c>
      <c r="R561" s="4">
        <v>0</v>
      </c>
      <c r="S561" s="4">
        <v>0</v>
      </c>
      <c r="T561" s="4">
        <v>43</v>
      </c>
      <c r="U561" s="4">
        <v>87</v>
      </c>
      <c r="V561" s="6">
        <f>IF(ISERROR(VLOOKUP($S$561,'TAR FIN'!$A$1:$O$115,15,0)),0,VLOOKUP($S$561,'TAR FIN'!$A$1:$O$115,15,0))</f>
        <v>0</v>
      </c>
      <c r="W561" s="6">
        <f>IF(ISERROR(VLOOKUP($T$561,'TAR FIN'!$A$1:$O$115,15,0)),0,VLOOKUP($T$561,'TAR FIN'!$A$1:$O$115,15,0))</f>
        <v>404.12</v>
      </c>
      <c r="X561" s="6">
        <f>IF(ISERROR(VLOOKUP($U$561,'TAR FIN'!$A$1:$O$115,15,0)),0,VLOOKUP($U$561,'TAR FIN'!$A$1:$O$115,15,0))</f>
        <v>176.58</v>
      </c>
      <c r="Y561" s="6"/>
      <c r="Z561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61" s="6">
        <f>('TE BE'!$AB$24+'TE BF'!$AB$24+'TE CVA'!$AB$24)*(1-CUSTOS!$M$37)</f>
        <v>230.68197444058345</v>
      </c>
      <c r="AB561" s="6">
        <f t="shared" si="26"/>
        <v>0</v>
      </c>
      <c r="AC561" s="6">
        <f>(L561-M561)*(W561+X561)+($W$522+$X$522-$W$561-$X$561)*(L561)</f>
        <v>-7.9987216849986E-13</v>
      </c>
      <c r="AD561" s="6">
        <f t="shared" si="27"/>
        <v>0</v>
      </c>
      <c r="AE561" s="6">
        <f ca="1">(L561-M561)*(Z561+AA561)+($Z$522+$AA$522-$Z$561-$AA$561)*(L561)</f>
        <v>7.9987216849986E-13</v>
      </c>
      <c r="AF561" s="4" t="s">
        <v>938</v>
      </c>
    </row>
    <row r="562" spans="1:32" ht="11.25" customHeight="1" x14ac:dyDescent="0.25">
      <c r="A562" s="4" t="s">
        <v>28</v>
      </c>
      <c r="B562" s="4" t="s">
        <v>22</v>
      </c>
      <c r="C562" s="4" t="s">
        <v>23</v>
      </c>
      <c r="D562" s="4" t="s">
        <v>24</v>
      </c>
      <c r="E562" s="4" t="s">
        <v>34</v>
      </c>
      <c r="F562" s="4" t="s">
        <v>25</v>
      </c>
      <c r="G562" s="4" t="s">
        <v>25</v>
      </c>
      <c r="H562" s="4" t="s">
        <v>25</v>
      </c>
      <c r="I562" s="5">
        <v>44743</v>
      </c>
      <c r="J562" s="6">
        <v>0</v>
      </c>
      <c r="K562" s="6">
        <v>0</v>
      </c>
      <c r="L562" s="6">
        <v>281.52499999999998</v>
      </c>
      <c r="M562" s="6">
        <v>281.52499999999998</v>
      </c>
      <c r="N562" s="6">
        <v>281.52499999999998</v>
      </c>
      <c r="O562" s="6">
        <v>281.52499999999998</v>
      </c>
      <c r="P562" s="6">
        <v>2679</v>
      </c>
      <c r="Q562" s="4" t="s">
        <v>26</v>
      </c>
      <c r="R562" s="4">
        <v>0</v>
      </c>
      <c r="S562" s="4">
        <v>0</v>
      </c>
      <c r="T562" s="4">
        <v>43</v>
      </c>
      <c r="U562" s="4">
        <v>87</v>
      </c>
      <c r="V562" s="6">
        <f>IF(ISERROR(VLOOKUP($S$562,'TAR FIN'!$A$1:$O$115,15,0)),0,VLOOKUP($S$562,'TAR FIN'!$A$1:$O$115,15,0))</f>
        <v>0</v>
      </c>
      <c r="W562" s="6">
        <f>IF(ISERROR(VLOOKUP($T$562,'TAR FIN'!$A$1:$O$115,15,0)),0,VLOOKUP($T$562,'TAR FIN'!$A$1:$O$115,15,0))</f>
        <v>404.12</v>
      </c>
      <c r="X562" s="6">
        <f>IF(ISERROR(VLOOKUP($U$562,'TAR FIN'!$A$1:$O$115,15,0)),0,VLOOKUP($U$562,'TAR FIN'!$A$1:$O$115,15,0))</f>
        <v>176.58</v>
      </c>
      <c r="Y562" s="6"/>
      <c r="Z562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62" s="6">
        <f>('TE BE'!$AB$24+'TE BF'!$AB$24+'TE CVA'!$AB$24)*(1-CUSTOS!$M$37)</f>
        <v>230.68197444058345</v>
      </c>
      <c r="AB562" s="6">
        <f t="shared" si="26"/>
        <v>0</v>
      </c>
      <c r="AC562" s="6">
        <f>(L562-M562)*(W562+X562)+($W$522+$X$522-$W$562-$X$562)*(L562)</f>
        <v>8.0014217473944875E-12</v>
      </c>
      <c r="AD562" s="6">
        <f t="shared" si="27"/>
        <v>0</v>
      </c>
      <c r="AE562" s="6">
        <f ca="1">(L562-M562)*(Z562+AA562)+($Z$522+$AA$522-$Z$562-$AA$562)*(L562)</f>
        <v>-8.0014217473944875E-12</v>
      </c>
      <c r="AF562" s="4" t="s">
        <v>938</v>
      </c>
    </row>
    <row r="563" spans="1:32" ht="11.25" customHeight="1" x14ac:dyDescent="0.25">
      <c r="A563" s="4" t="s">
        <v>29</v>
      </c>
      <c r="B563" s="4" t="s">
        <v>22</v>
      </c>
      <c r="C563" s="4" t="s">
        <v>23</v>
      </c>
      <c r="D563" s="4" t="s">
        <v>24</v>
      </c>
      <c r="E563" s="4" t="s">
        <v>34</v>
      </c>
      <c r="F563" s="4" t="s">
        <v>25</v>
      </c>
      <c r="G563" s="4" t="s">
        <v>25</v>
      </c>
      <c r="H563" s="4" t="s">
        <v>25</v>
      </c>
      <c r="I563" s="5">
        <v>44743</v>
      </c>
      <c r="J563" s="6">
        <v>0</v>
      </c>
      <c r="K563" s="6">
        <v>0</v>
      </c>
      <c r="L563" s="6">
        <v>-5.6539999999999999</v>
      </c>
      <c r="M563" s="6">
        <v>-5.6539999999999999</v>
      </c>
      <c r="N563" s="6">
        <v>-5.6539999999999999</v>
      </c>
      <c r="O563" s="6">
        <v>-5.6539999999999999</v>
      </c>
      <c r="P563" s="6">
        <v>-4</v>
      </c>
      <c r="Q563" s="4" t="s">
        <v>26</v>
      </c>
      <c r="R563" s="4">
        <v>0</v>
      </c>
      <c r="S563" s="4">
        <v>0</v>
      </c>
      <c r="T563" s="4">
        <v>43</v>
      </c>
      <c r="U563" s="4">
        <v>87</v>
      </c>
      <c r="V563" s="6">
        <f>IF(ISERROR(VLOOKUP($S$563,'TAR FIN'!$A$1:$O$115,15,0)),0,VLOOKUP($S$563,'TAR FIN'!$A$1:$O$115,15,0))</f>
        <v>0</v>
      </c>
      <c r="W563" s="6">
        <f>IF(ISERROR(VLOOKUP($T$563,'TAR FIN'!$A$1:$O$115,15,0)),0,VLOOKUP($T$563,'TAR FIN'!$A$1:$O$115,15,0))</f>
        <v>404.12</v>
      </c>
      <c r="X563" s="6">
        <f>IF(ISERROR(VLOOKUP($U$563,'TAR FIN'!$A$1:$O$115,15,0)),0,VLOOKUP($U$563,'TAR FIN'!$A$1:$O$115,15,0))</f>
        <v>176.58</v>
      </c>
      <c r="Y563" s="6"/>
      <c r="Z563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63" s="6">
        <f>('TE BE'!$AB$24+'TE BF'!$AB$24+'TE CVA'!$AB$24)*(1-CUSTOS!$M$37)</f>
        <v>230.68197444058345</v>
      </c>
      <c r="AB563" s="6">
        <f t="shared" si="26"/>
        <v>0</v>
      </c>
      <c r="AC563" s="6">
        <f>(L563-M563)*(W563+X563)+($W$522+$X$522-$W$563-$X$563)*(L563)</f>
        <v>-1.6069634511950426E-13</v>
      </c>
      <c r="AD563" s="6">
        <f t="shared" si="27"/>
        <v>0</v>
      </c>
      <c r="AE563" s="6">
        <f ca="1">(L563-M563)*(Z563+AA563)+($Z$522+$AA$522-$Z$563-$AA$563)*(L563)</f>
        <v>1.6069634511950426E-13</v>
      </c>
      <c r="AF563" s="4" t="s">
        <v>938</v>
      </c>
    </row>
    <row r="564" spans="1:32" ht="11.25" customHeight="1" x14ac:dyDescent="0.25">
      <c r="A564" s="4" t="s">
        <v>30</v>
      </c>
      <c r="B564" s="4" t="s">
        <v>22</v>
      </c>
      <c r="C564" s="4" t="s">
        <v>23</v>
      </c>
      <c r="D564" s="4" t="s">
        <v>24</v>
      </c>
      <c r="E564" s="4" t="s">
        <v>34</v>
      </c>
      <c r="F564" s="4" t="s">
        <v>25</v>
      </c>
      <c r="G564" s="4" t="s">
        <v>25</v>
      </c>
      <c r="H564" s="4" t="s">
        <v>25</v>
      </c>
      <c r="I564" s="5">
        <v>44743</v>
      </c>
      <c r="J564" s="6">
        <v>0</v>
      </c>
      <c r="K564" s="6">
        <v>0</v>
      </c>
      <c r="L564" s="6">
        <v>2.7109999999999999</v>
      </c>
      <c r="M564" s="6">
        <v>2.7109999999999999</v>
      </c>
      <c r="N564" s="6">
        <v>2.7109999999999999</v>
      </c>
      <c r="O564" s="6">
        <v>2.7109999999999999</v>
      </c>
      <c r="P564" s="6">
        <v>44</v>
      </c>
      <c r="Q564" s="4" t="s">
        <v>26</v>
      </c>
      <c r="R564" s="4">
        <v>0</v>
      </c>
      <c r="S564" s="4">
        <v>0</v>
      </c>
      <c r="T564" s="4">
        <v>43</v>
      </c>
      <c r="U564" s="4">
        <v>87</v>
      </c>
      <c r="V564" s="6">
        <f>IF(ISERROR(VLOOKUP($S$564,'TAR FIN'!$A$1:$O$115,15,0)),0,VLOOKUP($S$564,'TAR FIN'!$A$1:$O$115,15,0))</f>
        <v>0</v>
      </c>
      <c r="W564" s="6">
        <f>IF(ISERROR(VLOOKUP($T$564,'TAR FIN'!$A$1:$O$115,15,0)),0,VLOOKUP($T$564,'TAR FIN'!$A$1:$O$115,15,0))</f>
        <v>404.12</v>
      </c>
      <c r="X564" s="6">
        <f>IF(ISERROR(VLOOKUP($U$564,'TAR FIN'!$A$1:$O$115,15,0)),0,VLOOKUP($U$564,'TAR FIN'!$A$1:$O$115,15,0))</f>
        <v>176.58</v>
      </c>
      <c r="Y564" s="6"/>
      <c r="Z564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64" s="6">
        <f>('TE BE'!$AB$24+'TE BF'!$AB$24+'TE CVA'!$AB$24)*(1-CUSTOS!$M$37)</f>
        <v>230.68197444058345</v>
      </c>
      <c r="AB564" s="6">
        <f t="shared" si="26"/>
        <v>0</v>
      </c>
      <c r="AC564" s="6">
        <f>(L564-M564)*(W564+X564)+($W$522+$X$522-$W$564-$X$564)*(L564)</f>
        <v>7.705125426582526E-14</v>
      </c>
      <c r="AD564" s="6">
        <f t="shared" si="27"/>
        <v>0</v>
      </c>
      <c r="AE564" s="6">
        <f ca="1">(L564-M564)*(Z564+AA564)+($Z$522+$AA$522-$Z$564-$AA$564)*(L564)</f>
        <v>-7.705125426582526E-14</v>
      </c>
      <c r="AF564" s="4" t="s">
        <v>938</v>
      </c>
    </row>
    <row r="565" spans="1:32" ht="11.25" customHeight="1" x14ac:dyDescent="0.25">
      <c r="A565" s="4" t="s">
        <v>21</v>
      </c>
      <c r="B565" s="4" t="s">
        <v>22</v>
      </c>
      <c r="C565" s="4" t="s">
        <v>23</v>
      </c>
      <c r="D565" s="4" t="s">
        <v>24</v>
      </c>
      <c r="E565" s="4" t="s">
        <v>34</v>
      </c>
      <c r="F565" s="4" t="s">
        <v>25</v>
      </c>
      <c r="G565" s="4" t="s">
        <v>25</v>
      </c>
      <c r="H565" s="4" t="s">
        <v>25</v>
      </c>
      <c r="I565" s="5">
        <v>44774</v>
      </c>
      <c r="J565" s="6">
        <v>0</v>
      </c>
      <c r="K565" s="6">
        <v>0</v>
      </c>
      <c r="L565" s="6">
        <v>1378.7329999999999</v>
      </c>
      <c r="M565" s="6">
        <v>1378.7329999999999</v>
      </c>
      <c r="N565" s="6">
        <v>1378.7329999999999</v>
      </c>
      <c r="O565" s="6">
        <v>1378.7329999999999</v>
      </c>
      <c r="P565" s="6">
        <v>10564</v>
      </c>
      <c r="Q565" s="4" t="s">
        <v>26</v>
      </c>
      <c r="R565" s="4">
        <v>0</v>
      </c>
      <c r="S565" s="4">
        <v>0</v>
      </c>
      <c r="T565" s="4">
        <v>43</v>
      </c>
      <c r="U565" s="4">
        <v>87</v>
      </c>
      <c r="V565" s="6">
        <f>IF(ISERROR(VLOOKUP($S$565,'TAR FIN'!$A$1:$O$115,15,0)),0,VLOOKUP($S$565,'TAR FIN'!$A$1:$O$115,15,0))</f>
        <v>0</v>
      </c>
      <c r="W565" s="6">
        <f>IF(ISERROR(VLOOKUP($T$565,'TAR FIN'!$A$1:$O$115,15,0)),0,VLOOKUP($T$565,'TAR FIN'!$A$1:$O$115,15,0))</f>
        <v>404.12</v>
      </c>
      <c r="X565" s="6">
        <f>IF(ISERROR(VLOOKUP($U$565,'TAR FIN'!$A$1:$O$115,15,0)),0,VLOOKUP($U$565,'TAR FIN'!$A$1:$O$115,15,0))</f>
        <v>176.58</v>
      </c>
      <c r="Y565" s="6"/>
      <c r="Z565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65" s="6">
        <f>('TE BE'!$AB$24+'TE BF'!$AB$24+'TE CVA'!$AB$24)*(1-CUSTOS!$M$37)</f>
        <v>230.68197444058345</v>
      </c>
      <c r="AB565" s="6">
        <f t="shared" si="26"/>
        <v>0</v>
      </c>
      <c r="AC565" s="6">
        <f>(L565-M565)*(W565+X565)+($W$522+$X$522-$W$565-$X$565)*(L565)</f>
        <v>3.9185948708109207E-11</v>
      </c>
      <c r="AD565" s="6">
        <f t="shared" si="27"/>
        <v>0</v>
      </c>
      <c r="AE565" s="6">
        <f ca="1">(L565-M565)*(Z565+AA565)+($Z$522+$AA$522-$Z$565-$AA$565)*(L565)</f>
        <v>-3.9185948708109207E-11</v>
      </c>
      <c r="AF565" s="4" t="s">
        <v>938</v>
      </c>
    </row>
    <row r="566" spans="1:32" ht="11.25" customHeight="1" x14ac:dyDescent="0.25">
      <c r="A566" s="4" t="s">
        <v>27</v>
      </c>
      <c r="B566" s="4" t="s">
        <v>22</v>
      </c>
      <c r="C566" s="4" t="s">
        <v>23</v>
      </c>
      <c r="D566" s="4" t="s">
        <v>24</v>
      </c>
      <c r="E566" s="4" t="s">
        <v>34</v>
      </c>
      <c r="F566" s="4" t="s">
        <v>25</v>
      </c>
      <c r="G566" s="4" t="s">
        <v>25</v>
      </c>
      <c r="H566" s="4" t="s">
        <v>25</v>
      </c>
      <c r="I566" s="5">
        <v>44774</v>
      </c>
      <c r="J566" s="6">
        <v>0</v>
      </c>
      <c r="K566" s="6">
        <v>0</v>
      </c>
      <c r="L566" s="6">
        <v>-17.792000000000002</v>
      </c>
      <c r="M566" s="6">
        <v>-17.792000000000002</v>
      </c>
      <c r="N566" s="6">
        <v>-17.792000000000002</v>
      </c>
      <c r="O566" s="6">
        <v>-17.792000000000002</v>
      </c>
      <c r="P566" s="6">
        <v>-11</v>
      </c>
      <c r="Q566" s="4" t="s">
        <v>26</v>
      </c>
      <c r="R566" s="4">
        <v>0</v>
      </c>
      <c r="S566" s="4">
        <v>0</v>
      </c>
      <c r="T566" s="4">
        <v>43</v>
      </c>
      <c r="U566" s="4">
        <v>87</v>
      </c>
      <c r="V566" s="6">
        <f>IF(ISERROR(VLOOKUP($S$566,'TAR FIN'!$A$1:$O$115,15,0)),0,VLOOKUP($S$566,'TAR FIN'!$A$1:$O$115,15,0))</f>
        <v>0</v>
      </c>
      <c r="W566" s="6">
        <f>IF(ISERROR(VLOOKUP($T$566,'TAR FIN'!$A$1:$O$115,15,0)),0,VLOOKUP($T$566,'TAR FIN'!$A$1:$O$115,15,0))</f>
        <v>404.12</v>
      </c>
      <c r="X566" s="6">
        <f>IF(ISERROR(VLOOKUP($U$566,'TAR FIN'!$A$1:$O$115,15,0)),0,VLOOKUP($U$566,'TAR FIN'!$A$1:$O$115,15,0))</f>
        <v>176.58</v>
      </c>
      <c r="Y566" s="6"/>
      <c r="Z566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66" s="6">
        <f>('TE BE'!$AB$24+'TE BF'!$AB$24+'TE CVA'!$AB$24)*(1-CUSTOS!$M$37)</f>
        <v>230.68197444058345</v>
      </c>
      <c r="AB566" s="6">
        <f t="shared" si="26"/>
        <v>0</v>
      </c>
      <c r="AC566" s="6">
        <f>(L566-M566)*(W566+X566)+($W$522+$X$522-$W$566-$X$566)*(L566)</f>
        <v>-5.0567905418574815E-13</v>
      </c>
      <c r="AD566" s="6">
        <f t="shared" si="27"/>
        <v>0</v>
      </c>
      <c r="AE566" s="6">
        <f ca="1">(L566-M566)*(Z566+AA566)+($Z$522+$AA$522-$Z$566-$AA$566)*(L566)</f>
        <v>5.0567905418574815E-13</v>
      </c>
      <c r="AF566" s="4" t="s">
        <v>938</v>
      </c>
    </row>
    <row r="567" spans="1:32" ht="11.25" customHeight="1" x14ac:dyDescent="0.25">
      <c r="A567" s="4" t="s">
        <v>28</v>
      </c>
      <c r="B567" s="4" t="s">
        <v>22</v>
      </c>
      <c r="C567" s="4" t="s">
        <v>23</v>
      </c>
      <c r="D567" s="4" t="s">
        <v>24</v>
      </c>
      <c r="E567" s="4" t="s">
        <v>34</v>
      </c>
      <c r="F567" s="4" t="s">
        <v>25</v>
      </c>
      <c r="G567" s="4" t="s">
        <v>25</v>
      </c>
      <c r="H567" s="4" t="s">
        <v>25</v>
      </c>
      <c r="I567" s="5">
        <v>44774</v>
      </c>
      <c r="J567" s="6">
        <v>0</v>
      </c>
      <c r="K567" s="6">
        <v>0</v>
      </c>
      <c r="L567" s="6">
        <v>424.41399999999999</v>
      </c>
      <c r="M567" s="6">
        <v>424.41399999999999</v>
      </c>
      <c r="N567" s="6">
        <v>424.41399999999999</v>
      </c>
      <c r="O567" s="6">
        <v>424.41399999999999</v>
      </c>
      <c r="P567" s="6">
        <v>3671</v>
      </c>
      <c r="Q567" s="4" t="s">
        <v>26</v>
      </c>
      <c r="R567" s="4">
        <v>0</v>
      </c>
      <c r="S567" s="4">
        <v>0</v>
      </c>
      <c r="T567" s="4">
        <v>43</v>
      </c>
      <c r="U567" s="4">
        <v>87</v>
      </c>
      <c r="V567" s="6">
        <f>IF(ISERROR(VLOOKUP($S$567,'TAR FIN'!$A$1:$O$115,15,0)),0,VLOOKUP($S$567,'TAR FIN'!$A$1:$O$115,15,0))</f>
        <v>0</v>
      </c>
      <c r="W567" s="6">
        <f>IF(ISERROR(VLOOKUP($T$567,'TAR FIN'!$A$1:$O$115,15,0)),0,VLOOKUP($T$567,'TAR FIN'!$A$1:$O$115,15,0))</f>
        <v>404.12</v>
      </c>
      <c r="X567" s="6">
        <f>IF(ISERROR(VLOOKUP($U$567,'TAR FIN'!$A$1:$O$115,15,0)),0,VLOOKUP($U$567,'TAR FIN'!$A$1:$O$115,15,0))</f>
        <v>176.58</v>
      </c>
      <c r="Y567" s="6"/>
      <c r="Z567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67" s="6">
        <f>('TE BE'!$AB$24+'TE BF'!$AB$24+'TE CVA'!$AB$24)*(1-CUSTOS!$M$37)</f>
        <v>230.68197444058345</v>
      </c>
      <c r="AB567" s="6">
        <f t="shared" si="26"/>
        <v>0</v>
      </c>
      <c r="AC567" s="6">
        <f>(L567-M567)*(W567+X567)+($W$522+$X$522-$W$567-$X$567)*(L567)</f>
        <v>1.2062571386195486E-11</v>
      </c>
      <c r="AD567" s="6">
        <f t="shared" si="27"/>
        <v>0</v>
      </c>
      <c r="AE567" s="6">
        <f ca="1">(L567-M567)*(Z567+AA567)+($Z$522+$AA$522-$Z$567-$AA$567)*(L567)</f>
        <v>-1.2062571386195486E-11</v>
      </c>
      <c r="AF567" s="4" t="s">
        <v>938</v>
      </c>
    </row>
    <row r="568" spans="1:32" ht="11.25" customHeight="1" x14ac:dyDescent="0.25">
      <c r="A568" s="4" t="s">
        <v>29</v>
      </c>
      <c r="B568" s="4" t="s">
        <v>22</v>
      </c>
      <c r="C568" s="4" t="s">
        <v>23</v>
      </c>
      <c r="D568" s="4" t="s">
        <v>24</v>
      </c>
      <c r="E568" s="4" t="s">
        <v>34</v>
      </c>
      <c r="F568" s="4" t="s">
        <v>25</v>
      </c>
      <c r="G568" s="4" t="s">
        <v>25</v>
      </c>
      <c r="H568" s="4" t="s">
        <v>25</v>
      </c>
      <c r="I568" s="5">
        <v>44774</v>
      </c>
      <c r="J568" s="6">
        <v>0</v>
      </c>
      <c r="K568" s="6">
        <v>0</v>
      </c>
      <c r="L568" s="6">
        <v>-8.952</v>
      </c>
      <c r="M568" s="6">
        <v>-8.952</v>
      </c>
      <c r="N568" s="6">
        <v>-8.952</v>
      </c>
      <c r="O568" s="6">
        <v>-8.952</v>
      </c>
      <c r="P568" s="6">
        <v>-12</v>
      </c>
      <c r="Q568" s="4" t="s">
        <v>26</v>
      </c>
      <c r="R568" s="4">
        <v>0</v>
      </c>
      <c r="S568" s="4">
        <v>0</v>
      </c>
      <c r="T568" s="4">
        <v>43</v>
      </c>
      <c r="U568" s="4">
        <v>87</v>
      </c>
      <c r="V568" s="6">
        <f>IF(ISERROR(VLOOKUP($S$568,'TAR FIN'!$A$1:$O$115,15,0)),0,VLOOKUP($S$568,'TAR FIN'!$A$1:$O$115,15,0))</f>
        <v>0</v>
      </c>
      <c r="W568" s="6">
        <f>IF(ISERROR(VLOOKUP($T$568,'TAR FIN'!$A$1:$O$115,15,0)),0,VLOOKUP($T$568,'TAR FIN'!$A$1:$O$115,15,0))</f>
        <v>404.12</v>
      </c>
      <c r="X568" s="6">
        <f>IF(ISERROR(VLOOKUP($U$568,'TAR FIN'!$A$1:$O$115,15,0)),0,VLOOKUP($U$568,'TAR FIN'!$A$1:$O$115,15,0))</f>
        <v>176.58</v>
      </c>
      <c r="Y568" s="6"/>
      <c r="Z568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68" s="6">
        <f>('TE BE'!$AB$24+'TE BF'!$AB$24+'TE CVA'!$AB$24)*(1-CUSTOS!$M$37)</f>
        <v>230.68197444058345</v>
      </c>
      <c r="AB568" s="6">
        <f t="shared" si="26"/>
        <v>0</v>
      </c>
      <c r="AC568" s="6">
        <f>(L568-M568)*(W568+X568)+($W$522+$X$522-$W$568-$X$568)*(L568)</f>
        <v>-2.5443114282097667E-13</v>
      </c>
      <c r="AD568" s="6">
        <f t="shared" si="27"/>
        <v>0</v>
      </c>
      <c r="AE568" s="6">
        <f ca="1">(L568-M568)*(Z568+AA568)+($Z$522+$AA$522-$Z$568-$AA$568)*(L568)</f>
        <v>2.5443114282097667E-13</v>
      </c>
      <c r="AF568" s="4" t="s">
        <v>938</v>
      </c>
    </row>
    <row r="569" spans="1:32" ht="11.25" customHeight="1" x14ac:dyDescent="0.25">
      <c r="A569" s="4" t="s">
        <v>30</v>
      </c>
      <c r="B569" s="4" t="s">
        <v>22</v>
      </c>
      <c r="C569" s="4" t="s">
        <v>23</v>
      </c>
      <c r="D569" s="4" t="s">
        <v>24</v>
      </c>
      <c r="E569" s="4" t="s">
        <v>34</v>
      </c>
      <c r="F569" s="4" t="s">
        <v>25</v>
      </c>
      <c r="G569" s="4" t="s">
        <v>25</v>
      </c>
      <c r="H569" s="4" t="s">
        <v>25</v>
      </c>
      <c r="I569" s="5">
        <v>44774</v>
      </c>
      <c r="J569" s="6">
        <v>0</v>
      </c>
      <c r="K569" s="6">
        <v>0</v>
      </c>
      <c r="L569" s="6">
        <v>5.4349999999999996</v>
      </c>
      <c r="M569" s="6">
        <v>5.4349999999999996</v>
      </c>
      <c r="N569" s="6">
        <v>5.4349999999999996</v>
      </c>
      <c r="O569" s="6">
        <v>5.4349999999999996</v>
      </c>
      <c r="P569" s="6">
        <v>45</v>
      </c>
      <c r="Q569" s="4" t="s">
        <v>26</v>
      </c>
      <c r="R569" s="4">
        <v>0</v>
      </c>
      <c r="S569" s="4">
        <v>0</v>
      </c>
      <c r="T569" s="4">
        <v>43</v>
      </c>
      <c r="U569" s="4">
        <v>87</v>
      </c>
      <c r="V569" s="6">
        <f>IF(ISERROR(VLOOKUP($S$569,'TAR FIN'!$A$1:$O$115,15,0)),0,VLOOKUP($S$569,'TAR FIN'!$A$1:$O$115,15,0))</f>
        <v>0</v>
      </c>
      <c r="W569" s="6">
        <f>IF(ISERROR(VLOOKUP($T$569,'TAR FIN'!$A$1:$O$115,15,0)),0,VLOOKUP($T$569,'TAR FIN'!$A$1:$O$115,15,0))</f>
        <v>404.12</v>
      </c>
      <c r="X569" s="6">
        <f>IF(ISERROR(VLOOKUP($U$569,'TAR FIN'!$A$1:$O$115,15,0)),0,VLOOKUP($U$569,'TAR FIN'!$A$1:$O$115,15,0))</f>
        <v>176.58</v>
      </c>
      <c r="Y569" s="6"/>
      <c r="Z569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69" s="6">
        <f>('TE BE'!$AB$24+'TE BF'!$AB$24+'TE CVA'!$AB$24)*(1-CUSTOS!$M$37)</f>
        <v>230.68197444058345</v>
      </c>
      <c r="AB569" s="6">
        <f t="shared" si="26"/>
        <v>0</v>
      </c>
      <c r="AC569" s="6">
        <f>(L569-M569)*(W569+X569)+($W$522+$X$522-$W$569-$X$569)*(L569)</f>
        <v>1.5447199075424577E-13</v>
      </c>
      <c r="AD569" s="6">
        <f t="shared" si="27"/>
        <v>0</v>
      </c>
      <c r="AE569" s="6">
        <f ca="1">(L569-M569)*(Z569+AA569)+($Z$522+$AA$522-$Z$569-$AA$569)*(L569)</f>
        <v>-1.5447199075424577E-13</v>
      </c>
      <c r="AF569" s="4" t="s">
        <v>938</v>
      </c>
    </row>
    <row r="570" spans="1:32" ht="11.25" customHeight="1" x14ac:dyDescent="0.25">
      <c r="A570" s="4" t="s">
        <v>21</v>
      </c>
      <c r="B570" s="4" t="s">
        <v>22</v>
      </c>
      <c r="C570" s="4" t="s">
        <v>23</v>
      </c>
      <c r="D570" s="4" t="s">
        <v>24</v>
      </c>
      <c r="E570" s="4" t="s">
        <v>34</v>
      </c>
      <c r="F570" s="4" t="s">
        <v>25</v>
      </c>
      <c r="G570" s="4" t="s">
        <v>25</v>
      </c>
      <c r="H570" s="4" t="s">
        <v>25</v>
      </c>
      <c r="I570" s="5">
        <v>44805</v>
      </c>
      <c r="J570" s="6">
        <v>0</v>
      </c>
      <c r="K570" s="6">
        <v>0</v>
      </c>
      <c r="L570" s="6">
        <v>1355.74</v>
      </c>
      <c r="M570" s="6">
        <v>1355.74</v>
      </c>
      <c r="N570" s="6">
        <v>1355.74</v>
      </c>
      <c r="O570" s="6">
        <v>1355.74</v>
      </c>
      <c r="P570" s="6">
        <v>10852</v>
      </c>
      <c r="Q570" s="4" t="s">
        <v>26</v>
      </c>
      <c r="R570" s="4">
        <v>0</v>
      </c>
      <c r="S570" s="4">
        <v>0</v>
      </c>
      <c r="T570" s="4">
        <v>43</v>
      </c>
      <c r="U570" s="4">
        <v>87</v>
      </c>
      <c r="V570" s="6">
        <f>IF(ISERROR(VLOOKUP($S$570,'TAR FIN'!$A$1:$O$115,15,0)),0,VLOOKUP($S$570,'TAR FIN'!$A$1:$O$115,15,0))</f>
        <v>0</v>
      </c>
      <c r="W570" s="6">
        <f>IF(ISERROR(VLOOKUP($T$570,'TAR FIN'!$A$1:$O$115,15,0)),0,VLOOKUP($T$570,'TAR FIN'!$A$1:$O$115,15,0))</f>
        <v>404.12</v>
      </c>
      <c r="X570" s="6">
        <f>IF(ISERROR(VLOOKUP($U$570,'TAR FIN'!$A$1:$O$115,15,0)),0,VLOOKUP($U$570,'TAR FIN'!$A$1:$O$115,15,0))</f>
        <v>176.58</v>
      </c>
      <c r="Y570" s="6"/>
      <c r="Z570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70" s="6">
        <f>('TE BE'!$AB$24+'TE BF'!$AB$24+'TE CVA'!$AB$24)*(1-CUSTOS!$M$37)</f>
        <v>230.68197444058345</v>
      </c>
      <c r="AB570" s="6">
        <f t="shared" si="26"/>
        <v>0</v>
      </c>
      <c r="AC570" s="6">
        <f>(L570-M570)*(W570+X570)+($W$522+$X$522-$W$570-$X$570)*(L570)</f>
        <v>3.8532448343175929E-11</v>
      </c>
      <c r="AD570" s="6">
        <f t="shared" si="27"/>
        <v>0</v>
      </c>
      <c r="AE570" s="6">
        <f ca="1">(L570-M570)*(Z570+AA570)+($Z$522+$AA$522-$Z$570-$AA$570)*(L570)</f>
        <v>-3.8532448343175929E-11</v>
      </c>
      <c r="AF570" s="4" t="s">
        <v>938</v>
      </c>
    </row>
    <row r="571" spans="1:32" ht="11.25" customHeight="1" x14ac:dyDescent="0.25">
      <c r="A571" s="4" t="s">
        <v>27</v>
      </c>
      <c r="B571" s="4" t="s">
        <v>22</v>
      </c>
      <c r="C571" s="4" t="s">
        <v>23</v>
      </c>
      <c r="D571" s="4" t="s">
        <v>24</v>
      </c>
      <c r="E571" s="4" t="s">
        <v>34</v>
      </c>
      <c r="F571" s="4" t="s">
        <v>25</v>
      </c>
      <c r="G571" s="4" t="s">
        <v>25</v>
      </c>
      <c r="H571" s="4" t="s">
        <v>25</v>
      </c>
      <c r="I571" s="5">
        <v>44805</v>
      </c>
      <c r="J571" s="6">
        <v>0</v>
      </c>
      <c r="K571" s="6">
        <v>0</v>
      </c>
      <c r="L571" s="6">
        <v>-15.724</v>
      </c>
      <c r="M571" s="6">
        <v>-15.724</v>
      </c>
      <c r="N571" s="6">
        <v>-15.724</v>
      </c>
      <c r="O571" s="6">
        <v>-15.724</v>
      </c>
      <c r="P571" s="6">
        <v>-18</v>
      </c>
      <c r="Q571" s="4" t="s">
        <v>26</v>
      </c>
      <c r="R571" s="4">
        <v>0</v>
      </c>
      <c r="S571" s="4">
        <v>0</v>
      </c>
      <c r="T571" s="4">
        <v>43</v>
      </c>
      <c r="U571" s="4">
        <v>87</v>
      </c>
      <c r="V571" s="6">
        <f>IF(ISERROR(VLOOKUP($S$571,'TAR FIN'!$A$1:$O$115,15,0)),0,VLOOKUP($S$571,'TAR FIN'!$A$1:$O$115,15,0))</f>
        <v>0</v>
      </c>
      <c r="W571" s="6">
        <f>IF(ISERROR(VLOOKUP($T$571,'TAR FIN'!$A$1:$O$115,15,0)),0,VLOOKUP($T$571,'TAR FIN'!$A$1:$O$115,15,0))</f>
        <v>404.12</v>
      </c>
      <c r="X571" s="6">
        <f>IF(ISERROR(VLOOKUP($U$571,'TAR FIN'!$A$1:$O$115,15,0)),0,VLOOKUP($U$571,'TAR FIN'!$A$1:$O$115,15,0))</f>
        <v>176.58</v>
      </c>
      <c r="Y571" s="6"/>
      <c r="Z571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71" s="6">
        <f>('TE BE'!$AB$24+'TE BF'!$AB$24+'TE CVA'!$AB$24)*(1-CUSTOS!$M$37)</f>
        <v>230.68197444058345</v>
      </c>
      <c r="AB571" s="6">
        <f t="shared" si="26"/>
        <v>0</v>
      </c>
      <c r="AC571" s="6">
        <f>(L571-M571)*(W571+X571)+($W$522+$X$522-$W$571-$X$571)*(L571)</f>
        <v>-4.4690295908367262E-13</v>
      </c>
      <c r="AD571" s="6">
        <f t="shared" si="27"/>
        <v>0</v>
      </c>
      <c r="AE571" s="6">
        <f ca="1">(L571-M571)*(Z571+AA571)+($Z$522+$AA$522-$Z$571-$AA$571)*(L571)</f>
        <v>4.4690295908367262E-13</v>
      </c>
      <c r="AF571" s="4" t="s">
        <v>938</v>
      </c>
    </row>
    <row r="572" spans="1:32" ht="11.25" customHeight="1" x14ac:dyDescent="0.25">
      <c r="A572" s="4" t="s">
        <v>28</v>
      </c>
      <c r="B572" s="4" t="s">
        <v>22</v>
      </c>
      <c r="C572" s="4" t="s">
        <v>23</v>
      </c>
      <c r="D572" s="4" t="s">
        <v>24</v>
      </c>
      <c r="E572" s="4" t="s">
        <v>34</v>
      </c>
      <c r="F572" s="4" t="s">
        <v>25</v>
      </c>
      <c r="G572" s="4" t="s">
        <v>25</v>
      </c>
      <c r="H572" s="4" t="s">
        <v>25</v>
      </c>
      <c r="I572" s="5">
        <v>44805</v>
      </c>
      <c r="J572" s="6">
        <v>0</v>
      </c>
      <c r="K572" s="6">
        <v>0</v>
      </c>
      <c r="L572" s="6">
        <v>344.08600000000001</v>
      </c>
      <c r="M572" s="6">
        <v>344.08600000000001</v>
      </c>
      <c r="N572" s="6">
        <v>344.08600000000001</v>
      </c>
      <c r="O572" s="6">
        <v>344.08600000000001</v>
      </c>
      <c r="P572" s="6">
        <v>2879</v>
      </c>
      <c r="Q572" s="4" t="s">
        <v>26</v>
      </c>
      <c r="R572" s="4">
        <v>0</v>
      </c>
      <c r="S572" s="4">
        <v>0</v>
      </c>
      <c r="T572" s="4">
        <v>43</v>
      </c>
      <c r="U572" s="4">
        <v>87</v>
      </c>
      <c r="V572" s="6">
        <f>IF(ISERROR(VLOOKUP($S$572,'TAR FIN'!$A$1:$O$115,15,0)),0,VLOOKUP($S$572,'TAR FIN'!$A$1:$O$115,15,0))</f>
        <v>0</v>
      </c>
      <c r="W572" s="6">
        <f>IF(ISERROR(VLOOKUP($T$572,'TAR FIN'!$A$1:$O$115,15,0)),0,VLOOKUP($T$572,'TAR FIN'!$A$1:$O$115,15,0))</f>
        <v>404.12</v>
      </c>
      <c r="X572" s="6">
        <f>IF(ISERROR(VLOOKUP($U$572,'TAR FIN'!$A$1:$O$115,15,0)),0,VLOOKUP($U$572,'TAR FIN'!$A$1:$O$115,15,0))</f>
        <v>176.58</v>
      </c>
      <c r="Y572" s="6"/>
      <c r="Z572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72" s="6">
        <f>('TE BE'!$AB$24+'TE BF'!$AB$24+'TE CVA'!$AB$24)*(1-CUSTOS!$M$37)</f>
        <v>230.68197444058345</v>
      </c>
      <c r="AB572" s="6">
        <f t="shared" si="26"/>
        <v>0</v>
      </c>
      <c r="AC572" s="6">
        <f>(L572-M572)*(W572+X572)+($W$522+$X$522-$W$572-$X$572)*(L572)</f>
        <v>9.7795123110699937E-12</v>
      </c>
      <c r="AD572" s="6">
        <f t="shared" si="27"/>
        <v>0</v>
      </c>
      <c r="AE572" s="6">
        <f ca="1">(L572-M572)*(Z572+AA572)+($Z$522+$AA$522-$Z$572-$AA$572)*(L572)</f>
        <v>-9.7795123110699937E-12</v>
      </c>
      <c r="AF572" s="4" t="s">
        <v>938</v>
      </c>
    </row>
    <row r="573" spans="1:32" ht="11.25" customHeight="1" x14ac:dyDescent="0.25">
      <c r="A573" s="4" t="s">
        <v>29</v>
      </c>
      <c r="B573" s="4" t="s">
        <v>22</v>
      </c>
      <c r="C573" s="4" t="s">
        <v>23</v>
      </c>
      <c r="D573" s="4" t="s">
        <v>24</v>
      </c>
      <c r="E573" s="4" t="s">
        <v>34</v>
      </c>
      <c r="F573" s="4" t="s">
        <v>25</v>
      </c>
      <c r="G573" s="4" t="s">
        <v>25</v>
      </c>
      <c r="H573" s="4" t="s">
        <v>25</v>
      </c>
      <c r="I573" s="5">
        <v>44805</v>
      </c>
      <c r="J573" s="6">
        <v>0</v>
      </c>
      <c r="K573" s="6">
        <v>0</v>
      </c>
      <c r="L573" s="6">
        <v>-4.3019999999999996</v>
      </c>
      <c r="M573" s="6">
        <v>-4.3019999999999996</v>
      </c>
      <c r="N573" s="6">
        <v>-4.3019999999999996</v>
      </c>
      <c r="O573" s="6">
        <v>-4.3019999999999996</v>
      </c>
      <c r="P573" s="6">
        <v>-4</v>
      </c>
      <c r="Q573" s="4" t="s">
        <v>26</v>
      </c>
      <c r="R573" s="4">
        <v>0</v>
      </c>
      <c r="S573" s="4">
        <v>0</v>
      </c>
      <c r="T573" s="4">
        <v>43</v>
      </c>
      <c r="U573" s="4">
        <v>87</v>
      </c>
      <c r="V573" s="6">
        <f>IF(ISERROR(VLOOKUP($S$573,'TAR FIN'!$A$1:$O$115,15,0)),0,VLOOKUP($S$573,'TAR FIN'!$A$1:$O$115,15,0))</f>
        <v>0</v>
      </c>
      <c r="W573" s="6">
        <f>IF(ISERROR(VLOOKUP($T$573,'TAR FIN'!$A$1:$O$115,15,0)),0,VLOOKUP($T$573,'TAR FIN'!$A$1:$O$115,15,0))</f>
        <v>404.12</v>
      </c>
      <c r="X573" s="6">
        <f>IF(ISERROR(VLOOKUP($U$573,'TAR FIN'!$A$1:$O$115,15,0)),0,VLOOKUP($U$573,'TAR FIN'!$A$1:$O$115,15,0))</f>
        <v>176.58</v>
      </c>
      <c r="Y573" s="6"/>
      <c r="Z573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73" s="6">
        <f>('TE BE'!$AB$24+'TE BF'!$AB$24+'TE CVA'!$AB$24)*(1-CUSTOS!$M$37)</f>
        <v>230.68197444058345</v>
      </c>
      <c r="AB573" s="6">
        <f t="shared" si="26"/>
        <v>0</v>
      </c>
      <c r="AC573" s="6">
        <f>(L573-M573)*(W573+X573)+($W$522+$X$522-$W$573-$X$573)*(L573)</f>
        <v>-1.2227019396959803E-13</v>
      </c>
      <c r="AD573" s="6">
        <f t="shared" si="27"/>
        <v>0</v>
      </c>
      <c r="AE573" s="6">
        <f ca="1">(L573-M573)*(Z573+AA573)+($Z$522+$AA$522-$Z$573-$AA$573)*(L573)</f>
        <v>1.2227019396959803E-13</v>
      </c>
      <c r="AF573" s="4" t="s">
        <v>938</v>
      </c>
    </row>
    <row r="574" spans="1:32" ht="11.25" customHeight="1" x14ac:dyDescent="0.25">
      <c r="A574" s="4" t="s">
        <v>30</v>
      </c>
      <c r="B574" s="4" t="s">
        <v>22</v>
      </c>
      <c r="C574" s="4" t="s">
        <v>23</v>
      </c>
      <c r="D574" s="4" t="s">
        <v>24</v>
      </c>
      <c r="E574" s="4" t="s">
        <v>34</v>
      </c>
      <c r="F574" s="4" t="s">
        <v>25</v>
      </c>
      <c r="G574" s="4" t="s">
        <v>25</v>
      </c>
      <c r="H574" s="4" t="s">
        <v>25</v>
      </c>
      <c r="I574" s="5">
        <v>44805</v>
      </c>
      <c r="J574" s="6">
        <v>0</v>
      </c>
      <c r="K574" s="6">
        <v>0</v>
      </c>
      <c r="L574" s="6">
        <v>7.8170000000000002</v>
      </c>
      <c r="M574" s="6">
        <v>7.8170000000000002</v>
      </c>
      <c r="N574" s="6">
        <v>7.8170000000000002</v>
      </c>
      <c r="O574" s="6">
        <v>7.8170000000000002</v>
      </c>
      <c r="P574" s="6">
        <v>53</v>
      </c>
      <c r="Q574" s="4" t="s">
        <v>26</v>
      </c>
      <c r="R574" s="4">
        <v>0</v>
      </c>
      <c r="S574" s="4">
        <v>0</v>
      </c>
      <c r="T574" s="4">
        <v>43</v>
      </c>
      <c r="U574" s="4">
        <v>87</v>
      </c>
      <c r="V574" s="6">
        <f>IF(ISERROR(VLOOKUP($S$574,'TAR FIN'!$A$1:$O$115,15,0)),0,VLOOKUP($S$574,'TAR FIN'!$A$1:$O$115,15,0))</f>
        <v>0</v>
      </c>
      <c r="W574" s="6">
        <f>IF(ISERROR(VLOOKUP($T$574,'TAR FIN'!$A$1:$O$115,15,0)),0,VLOOKUP($T$574,'TAR FIN'!$A$1:$O$115,15,0))</f>
        <v>404.12</v>
      </c>
      <c r="X574" s="6">
        <f>IF(ISERROR(VLOOKUP($U$574,'TAR FIN'!$A$1:$O$115,15,0)),0,VLOOKUP($U$574,'TAR FIN'!$A$1:$O$115,15,0))</f>
        <v>176.58</v>
      </c>
      <c r="Y574" s="6"/>
      <c r="Z574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74" s="6">
        <f>('TE BE'!$AB$24+'TE BF'!$AB$24+'TE CVA'!$AB$24)*(1-CUSTOS!$M$37)</f>
        <v>230.68197444058345</v>
      </c>
      <c r="AB574" s="6">
        <f t="shared" si="26"/>
        <v>0</v>
      </c>
      <c r="AC574" s="6">
        <f>(L574-M574)*(W574+X574)+($W$522+$X$522-$W$574-$X$574)*(L574)</f>
        <v>2.2217250261746813E-13</v>
      </c>
      <c r="AD574" s="6">
        <f t="shared" si="27"/>
        <v>0</v>
      </c>
      <c r="AE574" s="6">
        <f ca="1">(L574-M574)*(Z574+AA574)+($Z$522+$AA$522-$Z$574-$AA$574)*(L574)</f>
        <v>-2.2217250261746813E-13</v>
      </c>
      <c r="AF574" s="4" t="s">
        <v>938</v>
      </c>
    </row>
    <row r="575" spans="1:32" ht="11.25" customHeight="1" x14ac:dyDescent="0.25">
      <c r="A575" s="4" t="s">
        <v>21</v>
      </c>
      <c r="B575" s="4" t="s">
        <v>22</v>
      </c>
      <c r="C575" s="4" t="s">
        <v>23</v>
      </c>
      <c r="D575" s="4" t="s">
        <v>24</v>
      </c>
      <c r="E575" s="4" t="s">
        <v>34</v>
      </c>
      <c r="F575" s="4" t="s">
        <v>25</v>
      </c>
      <c r="G575" s="4" t="s">
        <v>25</v>
      </c>
      <c r="H575" s="4" t="s">
        <v>25</v>
      </c>
      <c r="I575" s="5">
        <v>44835</v>
      </c>
      <c r="J575" s="6">
        <v>0</v>
      </c>
      <c r="K575" s="6">
        <v>0</v>
      </c>
      <c r="L575" s="6">
        <v>1772.847</v>
      </c>
      <c r="M575" s="6">
        <v>1772.847</v>
      </c>
      <c r="N575" s="6">
        <v>1772.847</v>
      </c>
      <c r="O575" s="6">
        <v>1772.847</v>
      </c>
      <c r="P575" s="6">
        <v>12858</v>
      </c>
      <c r="Q575" s="4" t="s">
        <v>26</v>
      </c>
      <c r="R575" s="4">
        <v>0</v>
      </c>
      <c r="S575" s="4">
        <v>0</v>
      </c>
      <c r="T575" s="4">
        <v>43</v>
      </c>
      <c r="U575" s="4">
        <v>87</v>
      </c>
      <c r="V575" s="6">
        <f>IF(ISERROR(VLOOKUP($S$575,'TAR FIN'!$A$1:$O$115,15,0)),0,VLOOKUP($S$575,'TAR FIN'!$A$1:$O$115,15,0))</f>
        <v>0</v>
      </c>
      <c r="W575" s="6">
        <f>IF(ISERROR(VLOOKUP($T$575,'TAR FIN'!$A$1:$O$115,15,0)),0,VLOOKUP($T$575,'TAR FIN'!$A$1:$O$115,15,0))</f>
        <v>404.12</v>
      </c>
      <c r="X575" s="6">
        <f>IF(ISERROR(VLOOKUP($U$575,'TAR FIN'!$A$1:$O$115,15,0)),0,VLOOKUP($U$575,'TAR FIN'!$A$1:$O$115,15,0))</f>
        <v>176.58</v>
      </c>
      <c r="Y575" s="6"/>
      <c r="Z575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75" s="6">
        <f>('TE BE'!$AB$24+'TE BF'!$AB$24+'TE CVA'!$AB$24)*(1-CUSTOS!$M$37)</f>
        <v>230.68197444058345</v>
      </c>
      <c r="AB575" s="6">
        <f t="shared" si="26"/>
        <v>0</v>
      </c>
      <c r="AC575" s="6">
        <f>(L575-M575)*(W575+X575)+($W$522+$X$522-$W$575-$X$575)*(L575)</f>
        <v>5.0387342298563453E-11</v>
      </c>
      <c r="AD575" s="6">
        <f t="shared" si="27"/>
        <v>0</v>
      </c>
      <c r="AE575" s="6">
        <f ca="1">(L575-M575)*(Z575+AA575)+($Z$522+$AA$522-$Z$575-$AA$575)*(L575)</f>
        <v>-5.0387342298563453E-11</v>
      </c>
      <c r="AF575" s="4" t="s">
        <v>938</v>
      </c>
    </row>
    <row r="576" spans="1:32" ht="11.25" customHeight="1" x14ac:dyDescent="0.25">
      <c r="A576" s="4" t="s">
        <v>27</v>
      </c>
      <c r="B576" s="4" t="s">
        <v>22</v>
      </c>
      <c r="C576" s="4" t="s">
        <v>23</v>
      </c>
      <c r="D576" s="4" t="s">
        <v>24</v>
      </c>
      <c r="E576" s="4" t="s">
        <v>34</v>
      </c>
      <c r="F576" s="4" t="s">
        <v>25</v>
      </c>
      <c r="G576" s="4" t="s">
        <v>25</v>
      </c>
      <c r="H576" s="4" t="s">
        <v>25</v>
      </c>
      <c r="I576" s="5">
        <v>44835</v>
      </c>
      <c r="J576" s="6">
        <v>0</v>
      </c>
      <c r="K576" s="6">
        <v>0</v>
      </c>
      <c r="L576" s="6">
        <v>-13.37</v>
      </c>
      <c r="M576" s="6">
        <v>-13.37</v>
      </c>
      <c r="N576" s="6">
        <v>-13.37</v>
      </c>
      <c r="O576" s="6">
        <v>-13.37</v>
      </c>
      <c r="P576" s="6">
        <v>-33</v>
      </c>
      <c r="Q576" s="4" t="s">
        <v>26</v>
      </c>
      <c r="R576" s="4">
        <v>0</v>
      </c>
      <c r="S576" s="4">
        <v>0</v>
      </c>
      <c r="T576" s="4">
        <v>43</v>
      </c>
      <c r="U576" s="4">
        <v>87</v>
      </c>
      <c r="V576" s="6">
        <f>IF(ISERROR(VLOOKUP($S$576,'TAR FIN'!$A$1:$O$115,15,0)),0,VLOOKUP($S$576,'TAR FIN'!$A$1:$O$115,15,0))</f>
        <v>0</v>
      </c>
      <c r="W576" s="6">
        <f>IF(ISERROR(VLOOKUP($T$576,'TAR FIN'!$A$1:$O$115,15,0)),0,VLOOKUP($T$576,'TAR FIN'!$A$1:$O$115,15,0))</f>
        <v>404.12</v>
      </c>
      <c r="X576" s="6">
        <f>IF(ISERROR(VLOOKUP($U$576,'TAR FIN'!$A$1:$O$115,15,0)),0,VLOOKUP($U$576,'TAR FIN'!$A$1:$O$115,15,0))</f>
        <v>176.58</v>
      </c>
      <c r="Y576" s="6"/>
      <c r="Z576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76" s="6">
        <f>('TE BE'!$AB$24+'TE BF'!$AB$24+'TE CVA'!$AB$24)*(1-CUSTOS!$M$37)</f>
        <v>230.68197444058345</v>
      </c>
      <c r="AB576" s="6">
        <f t="shared" si="26"/>
        <v>0</v>
      </c>
      <c r="AC576" s="6">
        <f>(L576-M576)*(W576+X576)+($W$522+$X$522-$W$576-$X$576)*(L576)</f>
        <v>-3.7999825508450156E-13</v>
      </c>
      <c r="AD576" s="6">
        <f t="shared" si="27"/>
        <v>0</v>
      </c>
      <c r="AE576" s="6">
        <f ca="1">(L576-M576)*(Z576+AA576)+($Z$522+$AA$522-$Z$576-$AA$576)*(L576)</f>
        <v>3.7999825508450156E-13</v>
      </c>
      <c r="AF576" s="4" t="s">
        <v>938</v>
      </c>
    </row>
    <row r="577" spans="1:32" ht="11.25" customHeight="1" x14ac:dyDescent="0.25">
      <c r="A577" s="4" t="s">
        <v>28</v>
      </c>
      <c r="B577" s="4" t="s">
        <v>22</v>
      </c>
      <c r="C577" s="4" t="s">
        <v>23</v>
      </c>
      <c r="D577" s="4" t="s">
        <v>24</v>
      </c>
      <c r="E577" s="4" t="s">
        <v>34</v>
      </c>
      <c r="F577" s="4" t="s">
        <v>25</v>
      </c>
      <c r="G577" s="4" t="s">
        <v>25</v>
      </c>
      <c r="H577" s="4" t="s">
        <v>25</v>
      </c>
      <c r="I577" s="5">
        <v>44835</v>
      </c>
      <c r="J577" s="6">
        <v>0</v>
      </c>
      <c r="K577" s="6">
        <v>0</v>
      </c>
      <c r="L577" s="6">
        <v>391.74</v>
      </c>
      <c r="M577" s="6">
        <v>391.74</v>
      </c>
      <c r="N577" s="6">
        <v>391.74</v>
      </c>
      <c r="O577" s="6">
        <v>391.74</v>
      </c>
      <c r="P577" s="6">
        <v>3327</v>
      </c>
      <c r="Q577" s="4" t="s">
        <v>26</v>
      </c>
      <c r="R577" s="4">
        <v>0</v>
      </c>
      <c r="S577" s="4">
        <v>0</v>
      </c>
      <c r="T577" s="4">
        <v>43</v>
      </c>
      <c r="U577" s="4">
        <v>87</v>
      </c>
      <c r="V577" s="6">
        <f>IF(ISERROR(VLOOKUP($S$577,'TAR FIN'!$A$1:$O$115,15,0)),0,VLOOKUP($S$577,'TAR FIN'!$A$1:$O$115,15,0))</f>
        <v>0</v>
      </c>
      <c r="W577" s="6">
        <f>IF(ISERROR(VLOOKUP($T$577,'TAR FIN'!$A$1:$O$115,15,0)),0,VLOOKUP($T$577,'TAR FIN'!$A$1:$O$115,15,0))</f>
        <v>404.12</v>
      </c>
      <c r="X577" s="6">
        <f>IF(ISERROR(VLOOKUP($U$577,'TAR FIN'!$A$1:$O$115,15,0)),0,VLOOKUP($U$577,'TAR FIN'!$A$1:$O$115,15,0))</f>
        <v>176.58</v>
      </c>
      <c r="Y577" s="6"/>
      <c r="Z577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77" s="6">
        <f>('TE BE'!$AB$24+'TE BF'!$AB$24+'TE CVA'!$AB$24)*(1-CUSTOS!$M$37)</f>
        <v>230.68197444058345</v>
      </c>
      <c r="AB577" s="6">
        <f t="shared" si="26"/>
        <v>0</v>
      </c>
      <c r="AC577" s="6">
        <f>(L577-M577)*(W577+X577)+($W$522+$X$522-$W$577-$X$577)*(L577)</f>
        <v>1.1133920452266466E-11</v>
      </c>
      <c r="AD577" s="6">
        <f t="shared" si="27"/>
        <v>0</v>
      </c>
      <c r="AE577" s="6">
        <f ca="1">(L577-M577)*(Z577+AA577)+($Z$522+$AA$522-$Z$577-$AA$577)*(L577)</f>
        <v>-1.1133920452266466E-11</v>
      </c>
      <c r="AF577" s="4" t="s">
        <v>938</v>
      </c>
    </row>
    <row r="578" spans="1:32" ht="11.25" customHeight="1" x14ac:dyDescent="0.25">
      <c r="A578" s="4" t="s">
        <v>29</v>
      </c>
      <c r="B578" s="4" t="s">
        <v>22</v>
      </c>
      <c r="C578" s="4" t="s">
        <v>23</v>
      </c>
      <c r="D578" s="4" t="s">
        <v>24</v>
      </c>
      <c r="E578" s="4" t="s">
        <v>34</v>
      </c>
      <c r="F578" s="4" t="s">
        <v>25</v>
      </c>
      <c r="G578" s="4" t="s">
        <v>25</v>
      </c>
      <c r="H578" s="4" t="s">
        <v>25</v>
      </c>
      <c r="I578" s="5">
        <v>44835</v>
      </c>
      <c r="J578" s="6">
        <v>0</v>
      </c>
      <c r="K578" s="6">
        <v>0</v>
      </c>
      <c r="L578" s="6">
        <v>-46.872</v>
      </c>
      <c r="M578" s="6">
        <v>-46.872</v>
      </c>
      <c r="N578" s="6">
        <v>-46.872</v>
      </c>
      <c r="O578" s="6">
        <v>-46.872</v>
      </c>
      <c r="P578" s="6">
        <v>-52</v>
      </c>
      <c r="Q578" s="4" t="s">
        <v>26</v>
      </c>
      <c r="R578" s="4">
        <v>0</v>
      </c>
      <c r="S578" s="4">
        <v>0</v>
      </c>
      <c r="T578" s="4">
        <v>43</v>
      </c>
      <c r="U578" s="4">
        <v>87</v>
      </c>
      <c r="V578" s="6">
        <f>IF(ISERROR(VLOOKUP($S$578,'TAR FIN'!$A$1:$O$115,15,0)),0,VLOOKUP($S$578,'TAR FIN'!$A$1:$O$115,15,0))</f>
        <v>0</v>
      </c>
      <c r="W578" s="6">
        <f>IF(ISERROR(VLOOKUP($T$578,'TAR FIN'!$A$1:$O$115,15,0)),0,VLOOKUP($T$578,'TAR FIN'!$A$1:$O$115,15,0))</f>
        <v>404.12</v>
      </c>
      <c r="X578" s="6">
        <f>IF(ISERROR(VLOOKUP($U$578,'TAR FIN'!$A$1:$O$115,15,0)),0,VLOOKUP($U$578,'TAR FIN'!$A$1:$O$115,15,0))</f>
        <v>176.58</v>
      </c>
      <c r="Y578" s="6"/>
      <c r="Z578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78" s="6">
        <f>('TE BE'!$AB$24+'TE BF'!$AB$24+'TE CVA'!$AB$24)*(1-CUSTOS!$M$37)</f>
        <v>230.68197444058345</v>
      </c>
      <c r="AB578" s="6">
        <f t="shared" ref="AB578:AB641" si="28">(J578-K578)*V578</f>
        <v>0</v>
      </c>
      <c r="AC578" s="6">
        <f>(L578-M578)*(W578+X578)+($W$522+$X$522-$W$578-$X$578)*(L578)</f>
        <v>-1.3321823644218966E-12</v>
      </c>
      <c r="AD578" s="6">
        <f t="shared" ref="AD578:AD641" si="29">(J578-K578)*Y578</f>
        <v>0</v>
      </c>
      <c r="AE578" s="6">
        <f ca="1">(L578-M578)*(Z578+AA578)+($Z$522+$AA$522-$Z$578-$AA$578)*(L578)</f>
        <v>1.3321823644218966E-12</v>
      </c>
      <c r="AF578" s="4" t="s">
        <v>938</v>
      </c>
    </row>
    <row r="579" spans="1:32" ht="11.25" customHeight="1" x14ac:dyDescent="0.25">
      <c r="A579" s="4" t="s">
        <v>30</v>
      </c>
      <c r="B579" s="4" t="s">
        <v>22</v>
      </c>
      <c r="C579" s="4" t="s">
        <v>23</v>
      </c>
      <c r="D579" s="4" t="s">
        <v>24</v>
      </c>
      <c r="E579" s="4" t="s">
        <v>34</v>
      </c>
      <c r="F579" s="4" t="s">
        <v>25</v>
      </c>
      <c r="G579" s="4" t="s">
        <v>25</v>
      </c>
      <c r="H579" s="4" t="s">
        <v>25</v>
      </c>
      <c r="I579" s="5">
        <v>44835</v>
      </c>
      <c r="J579" s="6">
        <v>0</v>
      </c>
      <c r="K579" s="6">
        <v>0</v>
      </c>
      <c r="L579" s="6">
        <v>10.426</v>
      </c>
      <c r="M579" s="6">
        <v>10.426</v>
      </c>
      <c r="N579" s="6">
        <v>10.426</v>
      </c>
      <c r="O579" s="6">
        <v>10.426</v>
      </c>
      <c r="P579" s="6">
        <v>60</v>
      </c>
      <c r="Q579" s="4" t="s">
        <v>26</v>
      </c>
      <c r="R579" s="4">
        <v>0</v>
      </c>
      <c r="S579" s="4">
        <v>0</v>
      </c>
      <c r="T579" s="4">
        <v>43</v>
      </c>
      <c r="U579" s="4">
        <v>87</v>
      </c>
      <c r="V579" s="6">
        <f>IF(ISERROR(VLOOKUP($S$579,'TAR FIN'!$A$1:$O$115,15,0)),0,VLOOKUP($S$579,'TAR FIN'!$A$1:$O$115,15,0))</f>
        <v>0</v>
      </c>
      <c r="W579" s="6">
        <f>IF(ISERROR(VLOOKUP($T$579,'TAR FIN'!$A$1:$O$115,15,0)),0,VLOOKUP($T$579,'TAR FIN'!$A$1:$O$115,15,0))</f>
        <v>404.12</v>
      </c>
      <c r="X579" s="6">
        <f>IF(ISERROR(VLOOKUP($U$579,'TAR FIN'!$A$1:$O$115,15,0)),0,VLOOKUP($U$579,'TAR FIN'!$A$1:$O$115,15,0))</f>
        <v>176.58</v>
      </c>
      <c r="Y579" s="6"/>
      <c r="Z579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79" s="6">
        <f>('TE BE'!$AB$24+'TE BF'!$AB$24+'TE CVA'!$AB$24)*(1-CUSTOS!$M$37)</f>
        <v>230.68197444058345</v>
      </c>
      <c r="AB579" s="6">
        <f t="shared" si="28"/>
        <v>0</v>
      </c>
      <c r="AC579" s="6">
        <f>(L579-M579)*(W579+X579)+($W$522+$X$522-$W$579-$X$579)*(L579)</f>
        <v>2.9632474252139219E-13</v>
      </c>
      <c r="AD579" s="6">
        <f t="shared" si="29"/>
        <v>0</v>
      </c>
      <c r="AE579" s="6">
        <f ca="1">(L579-M579)*(Z579+AA579)+($Z$522+$AA$522-$Z$579-$AA$579)*(L579)</f>
        <v>-2.9632474252139219E-13</v>
      </c>
      <c r="AF579" s="4" t="s">
        <v>938</v>
      </c>
    </row>
    <row r="580" spans="1:32" ht="11.25" customHeight="1" x14ac:dyDescent="0.25">
      <c r="A580" s="4" t="s">
        <v>59</v>
      </c>
      <c r="B580" s="4" t="s">
        <v>22</v>
      </c>
      <c r="C580" s="4" t="s">
        <v>23</v>
      </c>
      <c r="D580" s="4" t="s">
        <v>24</v>
      </c>
      <c r="E580" s="4" t="s">
        <v>34</v>
      </c>
      <c r="F580" s="4" t="s">
        <v>25</v>
      </c>
      <c r="G580" s="4" t="s">
        <v>25</v>
      </c>
      <c r="H580" s="4" t="s">
        <v>25</v>
      </c>
      <c r="I580" s="5">
        <v>44866</v>
      </c>
      <c r="J580" s="6">
        <v>0</v>
      </c>
      <c r="K580" s="6">
        <v>0</v>
      </c>
      <c r="L580" s="6">
        <v>1772.847</v>
      </c>
      <c r="M580" s="6">
        <v>1772.847</v>
      </c>
      <c r="N580" s="6">
        <v>1772.847</v>
      </c>
      <c r="O580" s="6">
        <v>1772.847</v>
      </c>
      <c r="P580" s="6">
        <v>12858</v>
      </c>
      <c r="Q580" s="4" t="s">
        <v>26</v>
      </c>
      <c r="R580" s="4">
        <v>0</v>
      </c>
      <c r="S580" s="4">
        <v>0</v>
      </c>
      <c r="T580" s="4">
        <v>43</v>
      </c>
      <c r="U580" s="4">
        <v>87</v>
      </c>
      <c r="V580" s="6">
        <f>IF(ISERROR(VLOOKUP($S$580,'TAR FIN'!$A$1:$O$115,15,0)),0,VLOOKUP($S$580,'TAR FIN'!$A$1:$O$115,15,0))</f>
        <v>0</v>
      </c>
      <c r="W580" s="6">
        <f>IF(ISERROR(VLOOKUP($T$580,'TAR FIN'!$A$1:$O$115,15,0)),0,VLOOKUP($T$580,'TAR FIN'!$A$1:$O$115,15,0))</f>
        <v>404.12</v>
      </c>
      <c r="X580" s="6">
        <f>IF(ISERROR(VLOOKUP($U$580,'TAR FIN'!$A$1:$O$115,15,0)),0,VLOOKUP($U$580,'TAR FIN'!$A$1:$O$115,15,0))</f>
        <v>176.58</v>
      </c>
      <c r="Y580" s="6"/>
      <c r="Z580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80" s="6">
        <f>('TE BE'!$AB$24+'TE BF'!$AB$24+'TE CVA'!$AB$24)*(1-CUSTOS!$M$37)</f>
        <v>230.68197444058345</v>
      </c>
      <c r="AB580" s="6">
        <f t="shared" si="28"/>
        <v>0</v>
      </c>
      <c r="AC580" s="6">
        <f>(L580-M580)*(W580+X580)+($W$522+$X$522-$W$580-$X$580)*(L580)</f>
        <v>5.0387342298563453E-11</v>
      </c>
      <c r="AD580" s="6">
        <f t="shared" si="29"/>
        <v>0</v>
      </c>
      <c r="AE580" s="6">
        <f ca="1">(L580-M580)*(Z580+AA580)+($Z$522+$AA$522-$Z$580-$AA$580)*(L580)</f>
        <v>-5.0387342298563453E-11</v>
      </c>
      <c r="AF580" s="4" t="s">
        <v>938</v>
      </c>
    </row>
    <row r="581" spans="1:32" ht="11.25" customHeight="1" x14ac:dyDescent="0.25">
      <c r="A581" s="4" t="s">
        <v>59</v>
      </c>
      <c r="B581" s="4" t="s">
        <v>22</v>
      </c>
      <c r="C581" s="4" t="s">
        <v>23</v>
      </c>
      <c r="D581" s="4" t="s">
        <v>24</v>
      </c>
      <c r="E581" s="4" t="s">
        <v>34</v>
      </c>
      <c r="F581" s="4" t="s">
        <v>25</v>
      </c>
      <c r="G581" s="4" t="s">
        <v>25</v>
      </c>
      <c r="H581" s="4" t="s">
        <v>25</v>
      </c>
      <c r="I581" s="5">
        <v>44866</v>
      </c>
      <c r="J581" s="6">
        <v>0</v>
      </c>
      <c r="K581" s="6">
        <v>0</v>
      </c>
      <c r="L581" s="6">
        <v>-13.37</v>
      </c>
      <c r="M581" s="6">
        <v>-13.37</v>
      </c>
      <c r="N581" s="6">
        <v>-13.37</v>
      </c>
      <c r="O581" s="6">
        <v>-13.37</v>
      </c>
      <c r="P581" s="6">
        <v>-33</v>
      </c>
      <c r="Q581" s="4" t="s">
        <v>26</v>
      </c>
      <c r="R581" s="4">
        <v>0</v>
      </c>
      <c r="S581" s="4">
        <v>0</v>
      </c>
      <c r="T581" s="4">
        <v>43</v>
      </c>
      <c r="U581" s="4">
        <v>87</v>
      </c>
      <c r="V581" s="6">
        <f>IF(ISERROR(VLOOKUP($S$581,'TAR FIN'!$A$1:$O$115,15,0)),0,VLOOKUP($S$581,'TAR FIN'!$A$1:$O$115,15,0))</f>
        <v>0</v>
      </c>
      <c r="W581" s="6">
        <f>IF(ISERROR(VLOOKUP($T$581,'TAR FIN'!$A$1:$O$115,15,0)),0,VLOOKUP($T$581,'TAR FIN'!$A$1:$O$115,15,0))</f>
        <v>404.12</v>
      </c>
      <c r="X581" s="6">
        <f>IF(ISERROR(VLOOKUP($U$581,'TAR FIN'!$A$1:$O$115,15,0)),0,VLOOKUP($U$581,'TAR FIN'!$A$1:$O$115,15,0))</f>
        <v>176.58</v>
      </c>
      <c r="Y581" s="6"/>
      <c r="Z581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81" s="6">
        <f>('TE BE'!$AB$24+'TE BF'!$AB$24+'TE CVA'!$AB$24)*(1-CUSTOS!$M$37)</f>
        <v>230.68197444058345</v>
      </c>
      <c r="AB581" s="6">
        <f t="shared" si="28"/>
        <v>0</v>
      </c>
      <c r="AC581" s="6">
        <f>(L581-M581)*(W581+X581)+($W$522+$X$522-$W$581-$X$581)*(L581)</f>
        <v>-3.7999825508450156E-13</v>
      </c>
      <c r="AD581" s="6">
        <f t="shared" si="29"/>
        <v>0</v>
      </c>
      <c r="AE581" s="6">
        <f ca="1">(L581-M581)*(Z581+AA581)+($Z$522+$AA$522-$Z$581-$AA$581)*(L581)</f>
        <v>3.7999825508450156E-13</v>
      </c>
      <c r="AF581" s="4" t="s">
        <v>938</v>
      </c>
    </row>
    <row r="582" spans="1:32" ht="11.25" customHeight="1" x14ac:dyDescent="0.25">
      <c r="A582" s="4" t="s">
        <v>59</v>
      </c>
      <c r="B582" s="4" t="s">
        <v>22</v>
      </c>
      <c r="C582" s="4" t="s">
        <v>23</v>
      </c>
      <c r="D582" s="4" t="s">
        <v>24</v>
      </c>
      <c r="E582" s="4" t="s">
        <v>34</v>
      </c>
      <c r="F582" s="4" t="s">
        <v>25</v>
      </c>
      <c r="G582" s="4" t="s">
        <v>25</v>
      </c>
      <c r="H582" s="4" t="s">
        <v>25</v>
      </c>
      <c r="I582" s="5">
        <v>44866</v>
      </c>
      <c r="J582" s="6">
        <v>0</v>
      </c>
      <c r="K582" s="6">
        <v>0</v>
      </c>
      <c r="L582" s="6">
        <v>391.74</v>
      </c>
      <c r="M582" s="6">
        <v>391.74</v>
      </c>
      <c r="N582" s="6">
        <v>391.74</v>
      </c>
      <c r="O582" s="6">
        <v>391.74</v>
      </c>
      <c r="P582" s="6">
        <v>3327</v>
      </c>
      <c r="Q582" s="4" t="s">
        <v>26</v>
      </c>
      <c r="R582" s="4">
        <v>0</v>
      </c>
      <c r="S582" s="4">
        <v>0</v>
      </c>
      <c r="T582" s="4">
        <v>43</v>
      </c>
      <c r="U582" s="4">
        <v>87</v>
      </c>
      <c r="V582" s="6">
        <f>IF(ISERROR(VLOOKUP($S$582,'TAR FIN'!$A$1:$O$115,15,0)),0,VLOOKUP($S$582,'TAR FIN'!$A$1:$O$115,15,0))</f>
        <v>0</v>
      </c>
      <c r="W582" s="6">
        <f>IF(ISERROR(VLOOKUP($T$582,'TAR FIN'!$A$1:$O$115,15,0)),0,VLOOKUP($T$582,'TAR FIN'!$A$1:$O$115,15,0))</f>
        <v>404.12</v>
      </c>
      <c r="X582" s="6">
        <f>IF(ISERROR(VLOOKUP($U$582,'TAR FIN'!$A$1:$O$115,15,0)),0,VLOOKUP($U$582,'TAR FIN'!$A$1:$O$115,15,0))</f>
        <v>176.58</v>
      </c>
      <c r="Y582" s="6"/>
      <c r="Z582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82" s="6">
        <f>('TE BE'!$AB$24+'TE BF'!$AB$24+'TE CVA'!$AB$24)*(1-CUSTOS!$M$37)</f>
        <v>230.68197444058345</v>
      </c>
      <c r="AB582" s="6">
        <f t="shared" si="28"/>
        <v>0</v>
      </c>
      <c r="AC582" s="6">
        <f>(L582-M582)*(W582+X582)+($W$522+$X$522-$W$582-$X$582)*(L582)</f>
        <v>1.1133920452266466E-11</v>
      </c>
      <c r="AD582" s="6">
        <f t="shared" si="29"/>
        <v>0</v>
      </c>
      <c r="AE582" s="6">
        <f ca="1">(L582-M582)*(Z582+AA582)+($Z$522+$AA$522-$Z$582-$AA$582)*(L582)</f>
        <v>-1.1133920452266466E-11</v>
      </c>
      <c r="AF582" s="4" t="s">
        <v>938</v>
      </c>
    </row>
    <row r="583" spans="1:32" ht="11.25" customHeight="1" x14ac:dyDescent="0.25">
      <c r="A583" s="4" t="s">
        <v>59</v>
      </c>
      <c r="B583" s="4" t="s">
        <v>22</v>
      </c>
      <c r="C583" s="4" t="s">
        <v>23</v>
      </c>
      <c r="D583" s="4" t="s">
        <v>24</v>
      </c>
      <c r="E583" s="4" t="s">
        <v>34</v>
      </c>
      <c r="F583" s="4" t="s">
        <v>25</v>
      </c>
      <c r="G583" s="4" t="s">
        <v>25</v>
      </c>
      <c r="H583" s="4" t="s">
        <v>25</v>
      </c>
      <c r="I583" s="5">
        <v>44866</v>
      </c>
      <c r="J583" s="6">
        <v>0</v>
      </c>
      <c r="K583" s="6">
        <v>0</v>
      </c>
      <c r="L583" s="6">
        <v>-46.872</v>
      </c>
      <c r="M583" s="6">
        <v>-46.872</v>
      </c>
      <c r="N583" s="6">
        <v>-46.872</v>
      </c>
      <c r="O583" s="6">
        <v>-46.872</v>
      </c>
      <c r="P583" s="6">
        <v>-52</v>
      </c>
      <c r="Q583" s="4" t="s">
        <v>26</v>
      </c>
      <c r="R583" s="4">
        <v>0</v>
      </c>
      <c r="S583" s="4">
        <v>0</v>
      </c>
      <c r="T583" s="4">
        <v>43</v>
      </c>
      <c r="U583" s="4">
        <v>87</v>
      </c>
      <c r="V583" s="6">
        <f>IF(ISERROR(VLOOKUP($S$583,'TAR FIN'!$A$1:$O$115,15,0)),0,VLOOKUP($S$583,'TAR FIN'!$A$1:$O$115,15,0))</f>
        <v>0</v>
      </c>
      <c r="W583" s="6">
        <f>IF(ISERROR(VLOOKUP($T$583,'TAR FIN'!$A$1:$O$115,15,0)),0,VLOOKUP($T$583,'TAR FIN'!$A$1:$O$115,15,0))</f>
        <v>404.12</v>
      </c>
      <c r="X583" s="6">
        <f>IF(ISERROR(VLOOKUP($U$583,'TAR FIN'!$A$1:$O$115,15,0)),0,VLOOKUP($U$583,'TAR FIN'!$A$1:$O$115,15,0))</f>
        <v>176.58</v>
      </c>
      <c r="Y583" s="6"/>
      <c r="Z583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83" s="6">
        <f>('TE BE'!$AB$24+'TE BF'!$AB$24+'TE CVA'!$AB$24)*(1-CUSTOS!$M$37)</f>
        <v>230.68197444058345</v>
      </c>
      <c r="AB583" s="6">
        <f t="shared" si="28"/>
        <v>0</v>
      </c>
      <c r="AC583" s="6">
        <f>(L583-M583)*(W583+X583)+($W$522+$X$522-$W$583-$X$583)*(L583)</f>
        <v>-1.3321823644218966E-12</v>
      </c>
      <c r="AD583" s="6">
        <f t="shared" si="29"/>
        <v>0</v>
      </c>
      <c r="AE583" s="6">
        <f ca="1">(L583-M583)*(Z583+AA583)+($Z$522+$AA$522-$Z$583-$AA$583)*(L583)</f>
        <v>1.3321823644218966E-12</v>
      </c>
      <c r="AF583" s="4" t="s">
        <v>938</v>
      </c>
    </row>
    <row r="584" spans="1:32" ht="11.25" customHeight="1" x14ac:dyDescent="0.25">
      <c r="A584" s="4" t="s">
        <v>59</v>
      </c>
      <c r="B584" s="4" t="s">
        <v>22</v>
      </c>
      <c r="C584" s="4" t="s">
        <v>23</v>
      </c>
      <c r="D584" s="4" t="s">
        <v>24</v>
      </c>
      <c r="E584" s="4" t="s">
        <v>34</v>
      </c>
      <c r="F584" s="4" t="s">
        <v>25</v>
      </c>
      <c r="G584" s="4" t="s">
        <v>25</v>
      </c>
      <c r="H584" s="4" t="s">
        <v>25</v>
      </c>
      <c r="I584" s="5">
        <v>44866</v>
      </c>
      <c r="J584" s="6">
        <v>0</v>
      </c>
      <c r="K584" s="6">
        <v>0</v>
      </c>
      <c r="L584" s="6">
        <v>10.426</v>
      </c>
      <c r="M584" s="6">
        <v>10.426</v>
      </c>
      <c r="N584" s="6">
        <v>10.426</v>
      </c>
      <c r="O584" s="6">
        <v>10.426</v>
      </c>
      <c r="P584" s="6">
        <v>60</v>
      </c>
      <c r="Q584" s="4" t="s">
        <v>26</v>
      </c>
      <c r="R584" s="4">
        <v>0</v>
      </c>
      <c r="S584" s="4">
        <v>0</v>
      </c>
      <c r="T584" s="4">
        <v>43</v>
      </c>
      <c r="U584" s="4">
        <v>87</v>
      </c>
      <c r="V584" s="6">
        <f>IF(ISERROR(VLOOKUP($S$584,'TAR FIN'!$A$1:$O$115,15,0)),0,VLOOKUP($S$584,'TAR FIN'!$A$1:$O$115,15,0))</f>
        <v>0</v>
      </c>
      <c r="W584" s="6">
        <f>IF(ISERROR(VLOOKUP($T$584,'TAR FIN'!$A$1:$O$115,15,0)),0,VLOOKUP($T$584,'TAR FIN'!$A$1:$O$115,15,0))</f>
        <v>404.12</v>
      </c>
      <c r="X584" s="6">
        <f>IF(ISERROR(VLOOKUP($U$584,'TAR FIN'!$A$1:$O$115,15,0)),0,VLOOKUP($U$584,'TAR FIN'!$A$1:$O$115,15,0))</f>
        <v>176.58</v>
      </c>
      <c r="Y584" s="6"/>
      <c r="Z584" s="6">
        <f ca="1">('TUSD BE'!$AM$41+'TUSD BF'!$AM$41+'TUSD CVA'!$AM$41-('TUSD BE'!$P$41+'TUSD BF'!$P$41+'TUSD CVA'!$P$41)-('TUSD BE'!$Q$41+'TUSD BF'!$Q$41+'TUSD CVA'!$Q$41)-('TUSD BE'!$R$41+'TUSD BF'!$R$41+'TUSD CVA'!$R$41))*(1-CUSTOS!$M$37)</f>
        <v>420.17394202871185</v>
      </c>
      <c r="AA584" s="6">
        <f>('TE BE'!$AB$24+'TE BF'!$AB$24+'TE CVA'!$AB$24)*(1-CUSTOS!$M$37)</f>
        <v>230.68197444058345</v>
      </c>
      <c r="AB584" s="6">
        <f t="shared" si="28"/>
        <v>0</v>
      </c>
      <c r="AC584" s="6">
        <f>(L584-M584)*(W584+X584)+($W$522+$X$522-$W$584-$X$584)*(L584)</f>
        <v>2.9632474252139219E-13</v>
      </c>
      <c r="AD584" s="6">
        <f t="shared" si="29"/>
        <v>0</v>
      </c>
      <c r="AE584" s="6">
        <f ca="1">(L584-M584)*(Z584+AA584)+($Z$522+$AA$522-$Z$584-$AA$584)*(L584)</f>
        <v>-2.9632474252139219E-13</v>
      </c>
      <c r="AF584" s="4" t="s">
        <v>938</v>
      </c>
    </row>
    <row r="585" spans="1:32" ht="11.25" customHeight="1" x14ac:dyDescent="0.25">
      <c r="A585" s="4" t="s">
        <v>21</v>
      </c>
      <c r="B585" s="4" t="s">
        <v>46</v>
      </c>
      <c r="C585" s="4" t="s">
        <v>35</v>
      </c>
      <c r="D585" s="4" t="s">
        <v>47</v>
      </c>
      <c r="E585" s="4" t="s">
        <v>25</v>
      </c>
      <c r="F585" s="4" t="s">
        <v>25</v>
      </c>
      <c r="G585" s="4" t="s">
        <v>25</v>
      </c>
      <c r="H585" s="4" t="s">
        <v>37</v>
      </c>
      <c r="I585" s="5">
        <v>44531</v>
      </c>
      <c r="J585" s="6">
        <v>0</v>
      </c>
      <c r="K585" s="6">
        <v>0</v>
      </c>
      <c r="L585" s="6">
        <v>5.8879999999999999</v>
      </c>
      <c r="M585" s="6">
        <v>5.8879999999999999</v>
      </c>
      <c r="N585" s="6">
        <v>5.8879999999999999</v>
      </c>
      <c r="O585" s="6">
        <v>5.8879999999999999</v>
      </c>
      <c r="P585" s="6">
        <v>0</v>
      </c>
      <c r="Q585" s="4" t="s">
        <v>26</v>
      </c>
      <c r="R585" s="4">
        <v>0</v>
      </c>
      <c r="S585" s="4">
        <v>0</v>
      </c>
      <c r="T585" s="4">
        <v>51</v>
      </c>
      <c r="U585" s="4">
        <v>95</v>
      </c>
      <c r="V585" s="6">
        <f>IF(ISERROR(VLOOKUP($S$585,'TAR FIN'!$A$1:$O$115,15,0)),0,VLOOKUP($S$585,'TAR FIN'!$A$1:$O$115,15,0))</f>
        <v>0</v>
      </c>
      <c r="W585" s="6">
        <f>IF(ISERROR(VLOOKUP($T$585,'TAR FIN'!$A$1:$O$115,15,0)),0,VLOOKUP($T$585,'TAR FIN'!$A$1:$O$115,15,0))</f>
        <v>287.89999999999998</v>
      </c>
      <c r="X585" s="6">
        <f>IF(ISERROR(VLOOKUP($U$585,'TAR FIN'!$A$1:$O$115,15,0)),0,VLOOKUP($U$585,'TAR FIN'!$A$1:$O$115,15,0))</f>
        <v>147.88999999999999</v>
      </c>
      <c r="Y585" s="6"/>
      <c r="Z585" s="6">
        <f ca="1">('TUSD BE'!$AM$49+'TUSD BF'!$AM$49+'TUSD CVA'!$AM$49)*(1-CUSTOS!$M$38)</f>
        <v>344.78762314316725</v>
      </c>
      <c r="AA585" s="6">
        <f>('TE BE'!$AB$32+'TE BF'!$AB$32+'TE CVA'!$AB$32)*(1-CUSTOS!$M$38)</f>
        <v>205.56430218792661</v>
      </c>
      <c r="AB585" s="6">
        <f t="shared" si="28"/>
        <v>0</v>
      </c>
      <c r="AC585" s="6">
        <f>(L585*W585+M585*X585)/(1-CUSTOS!$M$38)*CUSTOS!$M$38</f>
        <v>163.78286297872341</v>
      </c>
      <c r="AD585" s="6">
        <f t="shared" si="29"/>
        <v>0</v>
      </c>
      <c r="AE585" s="6">
        <f ca="1">(L585*Z585+N585*AA585)/(1-CUSTOS!$M$38)*CUSTOS!$M$38</f>
        <v>206.83864700103067</v>
      </c>
      <c r="AF585" s="4" t="s">
        <v>933</v>
      </c>
    </row>
    <row r="586" spans="1:32" ht="11.25" customHeight="1" x14ac:dyDescent="0.25">
      <c r="A586" s="4" t="s">
        <v>28</v>
      </c>
      <c r="B586" s="4" t="s">
        <v>46</v>
      </c>
      <c r="C586" s="4" t="s">
        <v>35</v>
      </c>
      <c r="D586" s="4" t="s">
        <v>47</v>
      </c>
      <c r="E586" s="4" t="s">
        <v>25</v>
      </c>
      <c r="F586" s="4" t="s">
        <v>25</v>
      </c>
      <c r="G586" s="4" t="s">
        <v>25</v>
      </c>
      <c r="H586" s="4" t="s">
        <v>37</v>
      </c>
      <c r="I586" s="5">
        <v>44531</v>
      </c>
      <c r="J586" s="6">
        <v>0</v>
      </c>
      <c r="K586" s="6">
        <v>0</v>
      </c>
      <c r="L586" s="6">
        <v>1.2999999999999999E-2</v>
      </c>
      <c r="M586" s="6">
        <v>1.2999999999999999E-2</v>
      </c>
      <c r="N586" s="6">
        <v>1.2999999999999999E-2</v>
      </c>
      <c r="O586" s="6">
        <v>1.2999999999999999E-2</v>
      </c>
      <c r="P586" s="6">
        <v>0</v>
      </c>
      <c r="Q586" s="4" t="s">
        <v>26</v>
      </c>
      <c r="R586" s="4">
        <v>0</v>
      </c>
      <c r="S586" s="4">
        <v>0</v>
      </c>
      <c r="T586" s="4">
        <v>51</v>
      </c>
      <c r="U586" s="4">
        <v>95</v>
      </c>
      <c r="V586" s="6">
        <f>IF(ISERROR(VLOOKUP($S$586,'TAR FIN'!$A$1:$O$115,15,0)),0,VLOOKUP($S$586,'TAR FIN'!$A$1:$O$115,15,0))</f>
        <v>0</v>
      </c>
      <c r="W586" s="6">
        <f>IF(ISERROR(VLOOKUP($T$586,'TAR FIN'!$A$1:$O$115,15,0)),0,VLOOKUP($T$586,'TAR FIN'!$A$1:$O$115,15,0))</f>
        <v>287.89999999999998</v>
      </c>
      <c r="X586" s="6">
        <f>IF(ISERROR(VLOOKUP($U$586,'TAR FIN'!$A$1:$O$115,15,0)),0,VLOOKUP($U$586,'TAR FIN'!$A$1:$O$115,15,0))</f>
        <v>147.88999999999999</v>
      </c>
      <c r="Y586" s="6"/>
      <c r="Z586" s="6">
        <f ca="1">('TUSD BE'!$AM$49+'TUSD BF'!$AM$49+'TUSD CVA'!$AM$49)*(1-CUSTOS!$M$38)</f>
        <v>344.78762314316725</v>
      </c>
      <c r="AA586" s="6">
        <f>('TE BE'!$AB$32+'TE BF'!$AB$32+'TE CVA'!$AB$32)*(1-CUSTOS!$M$38)</f>
        <v>205.56430218792661</v>
      </c>
      <c r="AB586" s="6">
        <f t="shared" si="28"/>
        <v>0</v>
      </c>
      <c r="AC586" s="6">
        <f>(L586*W586+M586*X586)/(1-CUSTOS!$M$38)*CUSTOS!$M$38</f>
        <v>0.36161297872340425</v>
      </c>
      <c r="AD586" s="6">
        <f t="shared" si="29"/>
        <v>0</v>
      </c>
      <c r="AE586" s="6">
        <f ca="1">(L586*Z586+N586*AA586)/(1-CUSTOS!$M$38)*CUSTOS!$M$38</f>
        <v>0.45667500187048221</v>
      </c>
      <c r="AF586" s="4" t="s">
        <v>933</v>
      </c>
    </row>
    <row r="587" spans="1:32" ht="11.25" customHeight="1" x14ac:dyDescent="0.25">
      <c r="A587" s="4" t="s">
        <v>21</v>
      </c>
      <c r="B587" s="4" t="s">
        <v>46</v>
      </c>
      <c r="C587" s="4" t="s">
        <v>35</v>
      </c>
      <c r="D587" s="4" t="s">
        <v>47</v>
      </c>
      <c r="E587" s="4" t="s">
        <v>25</v>
      </c>
      <c r="F587" s="4" t="s">
        <v>25</v>
      </c>
      <c r="G587" s="4" t="s">
        <v>25</v>
      </c>
      <c r="H587" s="4" t="s">
        <v>37</v>
      </c>
      <c r="I587" s="5">
        <v>44562</v>
      </c>
      <c r="J587" s="6">
        <v>0</v>
      </c>
      <c r="K587" s="6">
        <v>0</v>
      </c>
      <c r="L587" s="6">
        <v>6.4119999999999999</v>
      </c>
      <c r="M587" s="6">
        <v>6.4119999999999999</v>
      </c>
      <c r="N587" s="6">
        <v>6.4119999999999999</v>
      </c>
      <c r="O587" s="6">
        <v>6.4119999999999999</v>
      </c>
      <c r="P587" s="6">
        <v>0</v>
      </c>
      <c r="Q587" s="4" t="s">
        <v>26</v>
      </c>
      <c r="R587" s="4">
        <v>0</v>
      </c>
      <c r="S587" s="4">
        <v>0</v>
      </c>
      <c r="T587" s="4">
        <v>51</v>
      </c>
      <c r="U587" s="4">
        <v>95</v>
      </c>
      <c r="V587" s="6">
        <f>IF(ISERROR(VLOOKUP($S$587,'TAR FIN'!$A$1:$O$115,15,0)),0,VLOOKUP($S$587,'TAR FIN'!$A$1:$O$115,15,0))</f>
        <v>0</v>
      </c>
      <c r="W587" s="6">
        <f>IF(ISERROR(VLOOKUP($T$587,'TAR FIN'!$A$1:$O$115,15,0)),0,VLOOKUP($T$587,'TAR FIN'!$A$1:$O$115,15,0))</f>
        <v>287.89999999999998</v>
      </c>
      <c r="X587" s="6">
        <f>IF(ISERROR(VLOOKUP($U$587,'TAR FIN'!$A$1:$O$115,15,0)),0,VLOOKUP($U$587,'TAR FIN'!$A$1:$O$115,15,0))</f>
        <v>147.88999999999999</v>
      </c>
      <c r="Y587" s="6"/>
      <c r="Z587" s="6">
        <f ca="1">('TUSD BE'!$AM$49+'TUSD BF'!$AM$49+'TUSD CVA'!$AM$49)*(1-CUSTOS!$M$38)</f>
        <v>344.78762314316725</v>
      </c>
      <c r="AA587" s="6">
        <f>('TE BE'!$AB$32+'TE BF'!$AB$32+'TE CVA'!$AB$32)*(1-CUSTOS!$M$38)</f>
        <v>205.56430218792661</v>
      </c>
      <c r="AB587" s="6">
        <f t="shared" si="28"/>
        <v>0</v>
      </c>
      <c r="AC587" s="6">
        <f>(L587*W587+M587*X587)/(1-CUSTOS!$M$38)*CUSTOS!$M$38</f>
        <v>178.35864765957444</v>
      </c>
      <c r="AD587" s="6">
        <f t="shared" si="29"/>
        <v>0</v>
      </c>
      <c r="AE587" s="6">
        <f ca="1">(L587*Z587+N587*AA587)/(1-CUSTOS!$M$38)*CUSTOS!$M$38</f>
        <v>225.24616246104088</v>
      </c>
      <c r="AF587" s="4" t="s">
        <v>933</v>
      </c>
    </row>
    <row r="588" spans="1:32" ht="11.25" customHeight="1" x14ac:dyDescent="0.25">
      <c r="A588" s="4" t="s">
        <v>28</v>
      </c>
      <c r="B588" s="4" t="s">
        <v>46</v>
      </c>
      <c r="C588" s="4" t="s">
        <v>35</v>
      </c>
      <c r="D588" s="4" t="s">
        <v>47</v>
      </c>
      <c r="E588" s="4" t="s">
        <v>25</v>
      </c>
      <c r="F588" s="4" t="s">
        <v>25</v>
      </c>
      <c r="G588" s="4" t="s">
        <v>25</v>
      </c>
      <c r="H588" s="4" t="s">
        <v>37</v>
      </c>
      <c r="I588" s="5">
        <v>44562</v>
      </c>
      <c r="J588" s="6">
        <v>0</v>
      </c>
      <c r="K588" s="6">
        <v>0</v>
      </c>
      <c r="L588" s="6">
        <v>0.223</v>
      </c>
      <c r="M588" s="6">
        <v>0.223</v>
      </c>
      <c r="N588" s="6">
        <v>0.223</v>
      </c>
      <c r="O588" s="6">
        <v>0.223</v>
      </c>
      <c r="P588" s="6">
        <v>0</v>
      </c>
      <c r="Q588" s="4" t="s">
        <v>26</v>
      </c>
      <c r="R588" s="4">
        <v>0</v>
      </c>
      <c r="S588" s="4">
        <v>0</v>
      </c>
      <c r="T588" s="4">
        <v>51</v>
      </c>
      <c r="U588" s="4">
        <v>95</v>
      </c>
      <c r="V588" s="6">
        <f>IF(ISERROR(VLOOKUP($S$588,'TAR FIN'!$A$1:$O$115,15,0)),0,VLOOKUP($S$588,'TAR FIN'!$A$1:$O$115,15,0))</f>
        <v>0</v>
      </c>
      <c r="W588" s="6">
        <f>IF(ISERROR(VLOOKUP($T$588,'TAR FIN'!$A$1:$O$115,15,0)),0,VLOOKUP($T$588,'TAR FIN'!$A$1:$O$115,15,0))</f>
        <v>287.89999999999998</v>
      </c>
      <c r="X588" s="6">
        <f>IF(ISERROR(VLOOKUP($U$588,'TAR FIN'!$A$1:$O$115,15,0)),0,VLOOKUP($U$588,'TAR FIN'!$A$1:$O$115,15,0))</f>
        <v>147.88999999999999</v>
      </c>
      <c r="Y588" s="6"/>
      <c r="Z588" s="6">
        <f ca="1">('TUSD BE'!$AM$49+'TUSD BF'!$AM$49+'TUSD CVA'!$AM$49)*(1-CUSTOS!$M$38)</f>
        <v>344.78762314316725</v>
      </c>
      <c r="AA588" s="6">
        <f>('TE BE'!$AB$32+'TE BF'!$AB$32+'TE CVA'!$AB$32)*(1-CUSTOS!$M$38)</f>
        <v>205.56430218792661</v>
      </c>
      <c r="AB588" s="6">
        <f t="shared" si="28"/>
        <v>0</v>
      </c>
      <c r="AC588" s="6">
        <f>(L588*W588+M588*X588)/(1-CUSTOS!$M$38)*CUSTOS!$M$38</f>
        <v>6.2030534042553196</v>
      </c>
      <c r="AD588" s="6">
        <f t="shared" si="29"/>
        <v>0</v>
      </c>
      <c r="AE588" s="6">
        <f ca="1">(L588*Z588+N588*AA588)/(1-CUSTOS!$M$38)*CUSTOS!$M$38</f>
        <v>7.8337327243936548</v>
      </c>
      <c r="AF588" s="4" t="s">
        <v>933</v>
      </c>
    </row>
    <row r="589" spans="1:32" ht="11.25" customHeight="1" x14ac:dyDescent="0.25">
      <c r="A589" s="4" t="s">
        <v>21</v>
      </c>
      <c r="B589" s="4" t="s">
        <v>46</v>
      </c>
      <c r="C589" s="4" t="s">
        <v>35</v>
      </c>
      <c r="D589" s="4" t="s">
        <v>47</v>
      </c>
      <c r="E589" s="4" t="s">
        <v>25</v>
      </c>
      <c r="F589" s="4" t="s">
        <v>25</v>
      </c>
      <c r="G589" s="4" t="s">
        <v>25</v>
      </c>
      <c r="H589" s="4" t="s">
        <v>37</v>
      </c>
      <c r="I589" s="5">
        <v>44593</v>
      </c>
      <c r="J589" s="6">
        <v>0</v>
      </c>
      <c r="K589" s="6">
        <v>0</v>
      </c>
      <c r="L589" s="6">
        <v>5.51</v>
      </c>
      <c r="M589" s="6">
        <v>5.51</v>
      </c>
      <c r="N589" s="6">
        <v>5.51</v>
      </c>
      <c r="O589" s="6">
        <v>5.51</v>
      </c>
      <c r="P589" s="6">
        <v>0</v>
      </c>
      <c r="Q589" s="4" t="s">
        <v>26</v>
      </c>
      <c r="R589" s="4">
        <v>0</v>
      </c>
      <c r="S589" s="4">
        <v>0</v>
      </c>
      <c r="T589" s="4">
        <v>51</v>
      </c>
      <c r="U589" s="4">
        <v>95</v>
      </c>
      <c r="V589" s="6">
        <f>IF(ISERROR(VLOOKUP($S$589,'TAR FIN'!$A$1:$O$115,15,0)),0,VLOOKUP($S$589,'TAR FIN'!$A$1:$O$115,15,0))</f>
        <v>0</v>
      </c>
      <c r="W589" s="6">
        <f>IF(ISERROR(VLOOKUP($T$589,'TAR FIN'!$A$1:$O$115,15,0)),0,VLOOKUP($T$589,'TAR FIN'!$A$1:$O$115,15,0))</f>
        <v>287.89999999999998</v>
      </c>
      <c r="X589" s="6">
        <f>IF(ISERROR(VLOOKUP($U$589,'TAR FIN'!$A$1:$O$115,15,0)),0,VLOOKUP($U$589,'TAR FIN'!$A$1:$O$115,15,0))</f>
        <v>147.88999999999999</v>
      </c>
      <c r="Y589" s="6"/>
      <c r="Z589" s="6">
        <f ca="1">('TUSD BE'!$AM$49+'TUSD BF'!$AM$49+'TUSD CVA'!$AM$49)*(1-CUSTOS!$M$38)</f>
        <v>344.78762314316725</v>
      </c>
      <c r="AA589" s="6">
        <f>('TE BE'!$AB$32+'TE BF'!$AB$32+'TE CVA'!$AB$32)*(1-CUSTOS!$M$38)</f>
        <v>205.56430218792661</v>
      </c>
      <c r="AB589" s="6">
        <f t="shared" si="28"/>
        <v>0</v>
      </c>
      <c r="AC589" s="6">
        <f>(L589*W589+M589*X589)/(1-CUSTOS!$M$38)*CUSTOS!$M$38</f>
        <v>153.26827021276597</v>
      </c>
      <c r="AD589" s="6">
        <f t="shared" si="29"/>
        <v>0</v>
      </c>
      <c r="AE589" s="6">
        <f ca="1">(L589*Z589+N589*AA589)/(1-CUSTOS!$M$38)*CUSTOS!$M$38</f>
        <v>193.55994310048899</v>
      </c>
      <c r="AF589" s="4" t="s">
        <v>933</v>
      </c>
    </row>
    <row r="590" spans="1:32" ht="11.25" customHeight="1" x14ac:dyDescent="0.25">
      <c r="A590" s="4" t="s">
        <v>28</v>
      </c>
      <c r="B590" s="4" t="s">
        <v>46</v>
      </c>
      <c r="C590" s="4" t="s">
        <v>35</v>
      </c>
      <c r="D590" s="4" t="s">
        <v>47</v>
      </c>
      <c r="E590" s="4" t="s">
        <v>25</v>
      </c>
      <c r="F590" s="4" t="s">
        <v>25</v>
      </c>
      <c r="G590" s="4" t="s">
        <v>25</v>
      </c>
      <c r="H590" s="4" t="s">
        <v>37</v>
      </c>
      <c r="I590" s="5">
        <v>44593</v>
      </c>
      <c r="J590" s="6">
        <v>0</v>
      </c>
      <c r="K590" s="6">
        <v>0</v>
      </c>
      <c r="L590" s="6">
        <v>0.25</v>
      </c>
      <c r="M590" s="6">
        <v>0.25</v>
      </c>
      <c r="N590" s="6">
        <v>0.25</v>
      </c>
      <c r="O590" s="6">
        <v>0.25</v>
      </c>
      <c r="P590" s="6">
        <v>0</v>
      </c>
      <c r="Q590" s="4" t="s">
        <v>26</v>
      </c>
      <c r="R590" s="4">
        <v>0</v>
      </c>
      <c r="S590" s="4">
        <v>0</v>
      </c>
      <c r="T590" s="4">
        <v>51</v>
      </c>
      <c r="U590" s="4">
        <v>95</v>
      </c>
      <c r="V590" s="6">
        <f>IF(ISERROR(VLOOKUP($S$590,'TAR FIN'!$A$1:$O$115,15,0)),0,VLOOKUP($S$590,'TAR FIN'!$A$1:$O$115,15,0))</f>
        <v>0</v>
      </c>
      <c r="W590" s="6">
        <f>IF(ISERROR(VLOOKUP($T$590,'TAR FIN'!$A$1:$O$115,15,0)),0,VLOOKUP($T$590,'TAR FIN'!$A$1:$O$115,15,0))</f>
        <v>287.89999999999998</v>
      </c>
      <c r="X590" s="6">
        <f>IF(ISERROR(VLOOKUP($U$590,'TAR FIN'!$A$1:$O$115,15,0)),0,VLOOKUP($U$590,'TAR FIN'!$A$1:$O$115,15,0))</f>
        <v>147.88999999999999</v>
      </c>
      <c r="Y590" s="6"/>
      <c r="Z590" s="6">
        <f ca="1">('TUSD BE'!$AM$49+'TUSD BF'!$AM$49+'TUSD CVA'!$AM$49)*(1-CUSTOS!$M$38)</f>
        <v>344.78762314316725</v>
      </c>
      <c r="AA590" s="6">
        <f>('TE BE'!$AB$32+'TE BF'!$AB$32+'TE CVA'!$AB$32)*(1-CUSTOS!$M$38)</f>
        <v>205.56430218792661</v>
      </c>
      <c r="AB590" s="6">
        <f t="shared" si="28"/>
        <v>0</v>
      </c>
      <c r="AC590" s="6">
        <f>(L590*W590+M590*X590)/(1-CUSTOS!$M$38)*CUSTOS!$M$38</f>
        <v>6.9540957446808509</v>
      </c>
      <c r="AD590" s="6">
        <f t="shared" si="29"/>
        <v>0</v>
      </c>
      <c r="AE590" s="6">
        <f ca="1">(L590*Z590+N590*AA590)/(1-CUSTOS!$M$38)*CUSTOS!$M$38</f>
        <v>8.782211574432349</v>
      </c>
      <c r="AF590" s="4" t="s">
        <v>933</v>
      </c>
    </row>
    <row r="591" spans="1:32" ht="11.25" customHeight="1" x14ac:dyDescent="0.25">
      <c r="A591" s="4" t="s">
        <v>21</v>
      </c>
      <c r="B591" s="4" t="s">
        <v>46</v>
      </c>
      <c r="C591" s="4" t="s">
        <v>35</v>
      </c>
      <c r="D591" s="4" t="s">
        <v>47</v>
      </c>
      <c r="E591" s="4" t="s">
        <v>25</v>
      </c>
      <c r="F591" s="4" t="s">
        <v>25</v>
      </c>
      <c r="G591" s="4" t="s">
        <v>25</v>
      </c>
      <c r="H591" s="4" t="s">
        <v>37</v>
      </c>
      <c r="I591" s="5">
        <v>44621</v>
      </c>
      <c r="J591" s="6">
        <v>0</v>
      </c>
      <c r="K591" s="6">
        <v>0</v>
      </c>
      <c r="L591" s="6">
        <v>5.5250000000000004</v>
      </c>
      <c r="M591" s="6">
        <v>5.5250000000000004</v>
      </c>
      <c r="N591" s="6">
        <v>5.5250000000000004</v>
      </c>
      <c r="O591" s="6">
        <v>5.5250000000000004</v>
      </c>
      <c r="P591" s="6">
        <v>0</v>
      </c>
      <c r="Q591" s="4" t="s">
        <v>26</v>
      </c>
      <c r="R591" s="4">
        <v>0</v>
      </c>
      <c r="S591" s="4">
        <v>0</v>
      </c>
      <c r="T591" s="4">
        <v>51</v>
      </c>
      <c r="U591" s="4">
        <v>95</v>
      </c>
      <c r="V591" s="6">
        <f>IF(ISERROR(VLOOKUP($S$591,'TAR FIN'!$A$1:$O$115,15,0)),0,VLOOKUP($S$591,'TAR FIN'!$A$1:$O$115,15,0))</f>
        <v>0</v>
      </c>
      <c r="W591" s="6">
        <f>IF(ISERROR(VLOOKUP($T$591,'TAR FIN'!$A$1:$O$115,15,0)),0,VLOOKUP($T$591,'TAR FIN'!$A$1:$O$115,15,0))</f>
        <v>287.89999999999998</v>
      </c>
      <c r="X591" s="6">
        <f>IF(ISERROR(VLOOKUP($U$591,'TAR FIN'!$A$1:$O$115,15,0)),0,VLOOKUP($U$591,'TAR FIN'!$A$1:$O$115,15,0))</f>
        <v>147.88999999999999</v>
      </c>
      <c r="Y591" s="6"/>
      <c r="Z591" s="6">
        <f ca="1">('TUSD BE'!$AM$49+'TUSD BF'!$AM$49+'TUSD CVA'!$AM$49)*(1-CUSTOS!$M$38)</f>
        <v>344.78762314316725</v>
      </c>
      <c r="AA591" s="6">
        <f>('TE BE'!$AB$32+'TE BF'!$AB$32+'TE CVA'!$AB$32)*(1-CUSTOS!$M$38)</f>
        <v>205.56430218792661</v>
      </c>
      <c r="AB591" s="6">
        <f t="shared" si="28"/>
        <v>0</v>
      </c>
      <c r="AC591" s="6">
        <f>(L591*W591+M591*X591)/(1-CUSTOS!$M$38)*CUSTOS!$M$38</f>
        <v>153.6855159574468</v>
      </c>
      <c r="AD591" s="6">
        <f t="shared" si="29"/>
        <v>0</v>
      </c>
      <c r="AE591" s="6">
        <f ca="1">(L591*Z591+N591*AA591)/(1-CUSTOS!$M$38)*CUSTOS!$M$38</f>
        <v>194.08687579495495</v>
      </c>
      <c r="AF591" s="4" t="s">
        <v>933</v>
      </c>
    </row>
    <row r="592" spans="1:32" ht="11.25" customHeight="1" x14ac:dyDescent="0.25">
      <c r="A592" s="4" t="s">
        <v>21</v>
      </c>
      <c r="B592" s="4" t="s">
        <v>46</v>
      </c>
      <c r="C592" s="4" t="s">
        <v>35</v>
      </c>
      <c r="D592" s="4" t="s">
        <v>47</v>
      </c>
      <c r="E592" s="4" t="s">
        <v>25</v>
      </c>
      <c r="F592" s="4" t="s">
        <v>25</v>
      </c>
      <c r="G592" s="4" t="s">
        <v>25</v>
      </c>
      <c r="H592" s="4" t="s">
        <v>37</v>
      </c>
      <c r="I592" s="5">
        <v>44652</v>
      </c>
      <c r="J592" s="6">
        <v>0</v>
      </c>
      <c r="K592" s="6">
        <v>0</v>
      </c>
      <c r="L592" s="6">
        <v>4.8090000000000002</v>
      </c>
      <c r="M592" s="6">
        <v>4.8090000000000002</v>
      </c>
      <c r="N592" s="6">
        <v>4.8090000000000002</v>
      </c>
      <c r="O592" s="6">
        <v>4.8090000000000002</v>
      </c>
      <c r="P592" s="6">
        <v>0</v>
      </c>
      <c r="Q592" s="4" t="s">
        <v>26</v>
      </c>
      <c r="R592" s="4">
        <v>0</v>
      </c>
      <c r="S592" s="4">
        <v>0</v>
      </c>
      <c r="T592" s="4">
        <v>51</v>
      </c>
      <c r="U592" s="4">
        <v>95</v>
      </c>
      <c r="V592" s="6">
        <f>IF(ISERROR(VLOOKUP($S$592,'TAR FIN'!$A$1:$O$115,15,0)),0,VLOOKUP($S$592,'TAR FIN'!$A$1:$O$115,15,0))</f>
        <v>0</v>
      </c>
      <c r="W592" s="6">
        <f>IF(ISERROR(VLOOKUP($T$592,'TAR FIN'!$A$1:$O$115,15,0)),0,VLOOKUP($T$592,'TAR FIN'!$A$1:$O$115,15,0))</f>
        <v>287.89999999999998</v>
      </c>
      <c r="X592" s="6">
        <f>IF(ISERROR(VLOOKUP($U$592,'TAR FIN'!$A$1:$O$115,15,0)),0,VLOOKUP($U$592,'TAR FIN'!$A$1:$O$115,15,0))</f>
        <v>147.88999999999999</v>
      </c>
      <c r="Y592" s="6"/>
      <c r="Z592" s="6">
        <f ca="1">('TUSD BE'!$AM$49+'TUSD BF'!$AM$49+'TUSD CVA'!$AM$49)*(1-CUSTOS!$M$38)</f>
        <v>344.78762314316725</v>
      </c>
      <c r="AA592" s="6">
        <f>('TE BE'!$AB$32+'TE BF'!$AB$32+'TE CVA'!$AB$32)*(1-CUSTOS!$M$38)</f>
        <v>205.56430218792661</v>
      </c>
      <c r="AB592" s="6">
        <f t="shared" si="28"/>
        <v>0</v>
      </c>
      <c r="AC592" s="6">
        <f>(L592*W592+M592*X592)/(1-CUSTOS!$M$38)*CUSTOS!$M$38</f>
        <v>133.76898574468083</v>
      </c>
      <c r="AD592" s="6">
        <f t="shared" si="29"/>
        <v>0</v>
      </c>
      <c r="AE592" s="6">
        <f ca="1">(L592*Z592+N592*AA592)/(1-CUSTOS!$M$38)*CUSTOS!$M$38</f>
        <v>168.93462184578067</v>
      </c>
      <c r="AF592" s="4" t="s">
        <v>933</v>
      </c>
    </row>
    <row r="593" spans="1:32" ht="11.25" customHeight="1" x14ac:dyDescent="0.25">
      <c r="A593" s="4" t="s">
        <v>21</v>
      </c>
      <c r="B593" s="4" t="s">
        <v>46</v>
      </c>
      <c r="C593" s="4" t="s">
        <v>35</v>
      </c>
      <c r="D593" s="4" t="s">
        <v>47</v>
      </c>
      <c r="E593" s="4" t="s">
        <v>25</v>
      </c>
      <c r="F593" s="4" t="s">
        <v>25</v>
      </c>
      <c r="G593" s="4" t="s">
        <v>25</v>
      </c>
      <c r="H593" s="4" t="s">
        <v>37</v>
      </c>
      <c r="I593" s="5">
        <v>44682</v>
      </c>
      <c r="J593" s="6">
        <v>0</v>
      </c>
      <c r="K593" s="6">
        <v>0</v>
      </c>
      <c r="L593" s="6">
        <v>6.3789999999999996</v>
      </c>
      <c r="M593" s="6">
        <v>6.3789999999999996</v>
      </c>
      <c r="N593" s="6">
        <v>6.3789999999999996</v>
      </c>
      <c r="O593" s="6">
        <v>6.3789999999999996</v>
      </c>
      <c r="P593" s="6">
        <v>0</v>
      </c>
      <c r="Q593" s="4" t="s">
        <v>26</v>
      </c>
      <c r="R593" s="4">
        <v>0</v>
      </c>
      <c r="S593" s="4">
        <v>0</v>
      </c>
      <c r="T593" s="4">
        <v>51</v>
      </c>
      <c r="U593" s="4">
        <v>95</v>
      </c>
      <c r="V593" s="6">
        <f>IF(ISERROR(VLOOKUP($S$593,'TAR FIN'!$A$1:$O$115,15,0)),0,VLOOKUP($S$593,'TAR FIN'!$A$1:$O$115,15,0))</f>
        <v>0</v>
      </c>
      <c r="W593" s="6">
        <f>IF(ISERROR(VLOOKUP($T$593,'TAR FIN'!$A$1:$O$115,15,0)),0,VLOOKUP($T$593,'TAR FIN'!$A$1:$O$115,15,0))</f>
        <v>287.89999999999998</v>
      </c>
      <c r="X593" s="6">
        <f>IF(ISERROR(VLOOKUP($U$593,'TAR FIN'!$A$1:$O$115,15,0)),0,VLOOKUP($U$593,'TAR FIN'!$A$1:$O$115,15,0))</f>
        <v>147.88999999999999</v>
      </c>
      <c r="Y593" s="6"/>
      <c r="Z593" s="6">
        <f ca="1">('TUSD BE'!$AM$49+'TUSD BF'!$AM$49+'TUSD CVA'!$AM$49)*(1-CUSTOS!$M$38)</f>
        <v>344.78762314316725</v>
      </c>
      <c r="AA593" s="6">
        <f>('TE BE'!$AB$32+'TE BF'!$AB$32+'TE CVA'!$AB$32)*(1-CUSTOS!$M$38)</f>
        <v>205.56430218792661</v>
      </c>
      <c r="AB593" s="6">
        <f t="shared" si="28"/>
        <v>0</v>
      </c>
      <c r="AC593" s="6">
        <f>(L593*W593+M593*X593)/(1-CUSTOS!$M$38)*CUSTOS!$M$38</f>
        <v>177.44070702127658</v>
      </c>
      <c r="AD593" s="6">
        <f t="shared" si="29"/>
        <v>0</v>
      </c>
      <c r="AE593" s="6">
        <f ca="1">(L593*Z593+N593*AA593)/(1-CUSTOS!$M$38)*CUSTOS!$M$38</f>
        <v>224.08691053321581</v>
      </c>
      <c r="AF593" s="4" t="s">
        <v>933</v>
      </c>
    </row>
    <row r="594" spans="1:32" ht="11.25" customHeight="1" x14ac:dyDescent="0.25">
      <c r="A594" s="4" t="s">
        <v>21</v>
      </c>
      <c r="B594" s="4" t="s">
        <v>46</v>
      </c>
      <c r="C594" s="4" t="s">
        <v>35</v>
      </c>
      <c r="D594" s="4" t="s">
        <v>47</v>
      </c>
      <c r="E594" s="4" t="s">
        <v>25</v>
      </c>
      <c r="F594" s="4" t="s">
        <v>25</v>
      </c>
      <c r="G594" s="4" t="s">
        <v>25</v>
      </c>
      <c r="H594" s="4" t="s">
        <v>37</v>
      </c>
      <c r="I594" s="5">
        <v>44713</v>
      </c>
      <c r="J594" s="6">
        <v>0</v>
      </c>
      <c r="K594" s="6">
        <v>0</v>
      </c>
      <c r="L594" s="6">
        <v>5.6680000000000001</v>
      </c>
      <c r="M594" s="6">
        <v>5.6680000000000001</v>
      </c>
      <c r="N594" s="6">
        <v>5.6680000000000001</v>
      </c>
      <c r="O594" s="6">
        <v>5.6680000000000001</v>
      </c>
      <c r="P594" s="6">
        <v>0</v>
      </c>
      <c r="Q594" s="4" t="s">
        <v>26</v>
      </c>
      <c r="R594" s="4">
        <v>0</v>
      </c>
      <c r="S594" s="4">
        <v>0</v>
      </c>
      <c r="T594" s="4">
        <v>51</v>
      </c>
      <c r="U594" s="4">
        <v>95</v>
      </c>
      <c r="V594" s="6">
        <f>IF(ISERROR(VLOOKUP($S$594,'TAR FIN'!$A$1:$O$115,15,0)),0,VLOOKUP($S$594,'TAR FIN'!$A$1:$O$115,15,0))</f>
        <v>0</v>
      </c>
      <c r="W594" s="6">
        <f>IF(ISERROR(VLOOKUP($T$594,'TAR FIN'!$A$1:$O$115,15,0)),0,VLOOKUP($T$594,'TAR FIN'!$A$1:$O$115,15,0))</f>
        <v>287.89999999999998</v>
      </c>
      <c r="X594" s="6">
        <f>IF(ISERROR(VLOOKUP($U$594,'TAR FIN'!$A$1:$O$115,15,0)),0,VLOOKUP($U$594,'TAR FIN'!$A$1:$O$115,15,0))</f>
        <v>147.88999999999999</v>
      </c>
      <c r="Y594" s="6"/>
      <c r="Z594" s="6">
        <f ca="1">('TUSD BE'!$AM$49+'TUSD BF'!$AM$49+'TUSD CVA'!$AM$49)*(1-CUSTOS!$M$38)</f>
        <v>344.78762314316725</v>
      </c>
      <c r="AA594" s="6">
        <f>('TE BE'!$AB$32+'TE BF'!$AB$32+'TE CVA'!$AB$32)*(1-CUSTOS!$M$38)</f>
        <v>205.56430218792661</v>
      </c>
      <c r="AB594" s="6">
        <f t="shared" si="28"/>
        <v>0</v>
      </c>
      <c r="AC594" s="6">
        <f>(L594*W594+M594*X594)/(1-CUSTOS!$M$38)*CUSTOS!$M$38</f>
        <v>157.66325872340425</v>
      </c>
      <c r="AD594" s="6">
        <f t="shared" si="29"/>
        <v>0</v>
      </c>
      <c r="AE594" s="6">
        <f ca="1">(L594*Z594+N594*AA594)/(1-CUSTOS!$M$38)*CUSTOS!$M$38</f>
        <v>199.11030081553022</v>
      </c>
      <c r="AF594" s="4" t="s">
        <v>933</v>
      </c>
    </row>
    <row r="595" spans="1:32" ht="11.25" customHeight="1" x14ac:dyDescent="0.25">
      <c r="A595" s="4" t="s">
        <v>21</v>
      </c>
      <c r="B595" s="4" t="s">
        <v>46</v>
      </c>
      <c r="C595" s="4" t="s">
        <v>35</v>
      </c>
      <c r="D595" s="4" t="s">
        <v>47</v>
      </c>
      <c r="E595" s="4" t="s">
        <v>25</v>
      </c>
      <c r="F595" s="4" t="s">
        <v>25</v>
      </c>
      <c r="G595" s="4" t="s">
        <v>25</v>
      </c>
      <c r="H595" s="4" t="s">
        <v>37</v>
      </c>
      <c r="I595" s="5">
        <v>44743</v>
      </c>
      <c r="J595" s="6">
        <v>0</v>
      </c>
      <c r="K595" s="6">
        <v>0</v>
      </c>
      <c r="L595" s="6">
        <v>5.7770000000000001</v>
      </c>
      <c r="M595" s="6">
        <v>5.7770000000000001</v>
      </c>
      <c r="N595" s="6">
        <v>5.7770000000000001</v>
      </c>
      <c r="O595" s="6">
        <v>5.7770000000000001</v>
      </c>
      <c r="P595" s="6">
        <v>0</v>
      </c>
      <c r="Q595" s="4" t="s">
        <v>26</v>
      </c>
      <c r="R595" s="4">
        <v>0</v>
      </c>
      <c r="S595" s="4">
        <v>0</v>
      </c>
      <c r="T595" s="4">
        <v>51</v>
      </c>
      <c r="U595" s="4">
        <v>95</v>
      </c>
      <c r="V595" s="6">
        <f>IF(ISERROR(VLOOKUP($S$595,'TAR FIN'!$A$1:$O$115,15,0)),0,VLOOKUP($S$595,'TAR FIN'!$A$1:$O$115,15,0))</f>
        <v>0</v>
      </c>
      <c r="W595" s="6">
        <f>IF(ISERROR(VLOOKUP($T$595,'TAR FIN'!$A$1:$O$115,15,0)),0,VLOOKUP($T$595,'TAR FIN'!$A$1:$O$115,15,0))</f>
        <v>287.89999999999998</v>
      </c>
      <c r="X595" s="6">
        <f>IF(ISERROR(VLOOKUP($U$595,'TAR FIN'!$A$1:$O$115,15,0)),0,VLOOKUP($U$595,'TAR FIN'!$A$1:$O$115,15,0))</f>
        <v>147.88999999999999</v>
      </c>
      <c r="Y595" s="6"/>
      <c r="Z595" s="6">
        <f ca="1">('TUSD BE'!$AM$49+'TUSD BF'!$AM$49+'TUSD CVA'!$AM$49)*(1-CUSTOS!$M$38)</f>
        <v>344.78762314316725</v>
      </c>
      <c r="AA595" s="6">
        <f>('TE BE'!$AB$32+'TE BF'!$AB$32+'TE CVA'!$AB$32)*(1-CUSTOS!$M$38)</f>
        <v>205.56430218792661</v>
      </c>
      <c r="AB595" s="6">
        <f t="shared" si="28"/>
        <v>0</v>
      </c>
      <c r="AC595" s="6">
        <f>(L595*W595+M595*X595)/(1-CUSTOS!$M$38)*CUSTOS!$M$38</f>
        <v>160.69524446808509</v>
      </c>
      <c r="AD595" s="6">
        <f t="shared" si="29"/>
        <v>0</v>
      </c>
      <c r="AE595" s="6">
        <f ca="1">(L595*Z595+N595*AA595)/(1-CUSTOS!$M$38)*CUSTOS!$M$38</f>
        <v>202.93934506198269</v>
      </c>
      <c r="AF595" s="4" t="s">
        <v>933</v>
      </c>
    </row>
    <row r="596" spans="1:32" ht="11.25" customHeight="1" x14ac:dyDescent="0.25">
      <c r="A596" s="4" t="s">
        <v>21</v>
      </c>
      <c r="B596" s="4" t="s">
        <v>46</v>
      </c>
      <c r="C596" s="4" t="s">
        <v>35</v>
      </c>
      <c r="D596" s="4" t="s">
        <v>47</v>
      </c>
      <c r="E596" s="4" t="s">
        <v>25</v>
      </c>
      <c r="F596" s="4" t="s">
        <v>25</v>
      </c>
      <c r="G596" s="4" t="s">
        <v>25</v>
      </c>
      <c r="H596" s="4" t="s">
        <v>37</v>
      </c>
      <c r="I596" s="5">
        <v>44774</v>
      </c>
      <c r="J596" s="6">
        <v>0</v>
      </c>
      <c r="K596" s="6">
        <v>0</v>
      </c>
      <c r="L596" s="6">
        <v>7.75</v>
      </c>
      <c r="M596" s="6">
        <v>7.75</v>
      </c>
      <c r="N596" s="6">
        <v>7.75</v>
      </c>
      <c r="O596" s="6">
        <v>7.75</v>
      </c>
      <c r="P596" s="6">
        <v>0</v>
      </c>
      <c r="Q596" s="4" t="s">
        <v>26</v>
      </c>
      <c r="R596" s="4">
        <v>0</v>
      </c>
      <c r="S596" s="4">
        <v>0</v>
      </c>
      <c r="T596" s="4">
        <v>51</v>
      </c>
      <c r="U596" s="4">
        <v>95</v>
      </c>
      <c r="V596" s="6">
        <f>IF(ISERROR(VLOOKUP($S$596,'TAR FIN'!$A$1:$O$115,15,0)),0,VLOOKUP($S$596,'TAR FIN'!$A$1:$O$115,15,0))</f>
        <v>0</v>
      </c>
      <c r="W596" s="6">
        <f>IF(ISERROR(VLOOKUP($T$596,'TAR FIN'!$A$1:$O$115,15,0)),0,VLOOKUP($T$596,'TAR FIN'!$A$1:$O$115,15,0))</f>
        <v>287.89999999999998</v>
      </c>
      <c r="X596" s="6">
        <f>IF(ISERROR(VLOOKUP($U$596,'TAR FIN'!$A$1:$O$115,15,0)),0,VLOOKUP($U$596,'TAR FIN'!$A$1:$O$115,15,0))</f>
        <v>147.88999999999999</v>
      </c>
      <c r="Y596" s="6"/>
      <c r="Z596" s="6">
        <f ca="1">('TUSD BE'!$AM$49+'TUSD BF'!$AM$49+'TUSD CVA'!$AM$49)*(1-CUSTOS!$M$38)</f>
        <v>344.78762314316725</v>
      </c>
      <c r="AA596" s="6">
        <f>('TE BE'!$AB$32+'TE BF'!$AB$32+'TE CVA'!$AB$32)*(1-CUSTOS!$M$38)</f>
        <v>205.56430218792661</v>
      </c>
      <c r="AB596" s="6">
        <f t="shared" si="28"/>
        <v>0</v>
      </c>
      <c r="AC596" s="6">
        <f>(L596*W596+M596*X596)/(1-CUSTOS!$M$38)*CUSTOS!$M$38</f>
        <v>215.57696808510636</v>
      </c>
      <c r="AD596" s="6">
        <f t="shared" si="29"/>
        <v>0</v>
      </c>
      <c r="AE596" s="6">
        <f ca="1">(L596*Z596+N596*AA596)/(1-CUSTOS!$M$38)*CUSTOS!$M$38</f>
        <v>272.24855880740279</v>
      </c>
      <c r="AF596" s="4" t="s">
        <v>933</v>
      </c>
    </row>
    <row r="597" spans="1:32" ht="11.25" customHeight="1" x14ac:dyDescent="0.25">
      <c r="A597" s="4" t="s">
        <v>21</v>
      </c>
      <c r="B597" s="4" t="s">
        <v>46</v>
      </c>
      <c r="C597" s="4" t="s">
        <v>35</v>
      </c>
      <c r="D597" s="4" t="s">
        <v>47</v>
      </c>
      <c r="E597" s="4" t="s">
        <v>25</v>
      </c>
      <c r="F597" s="4" t="s">
        <v>25</v>
      </c>
      <c r="G597" s="4" t="s">
        <v>25</v>
      </c>
      <c r="H597" s="4" t="s">
        <v>37</v>
      </c>
      <c r="I597" s="5">
        <v>44805</v>
      </c>
      <c r="J597" s="6">
        <v>0</v>
      </c>
      <c r="K597" s="6">
        <v>0</v>
      </c>
      <c r="L597" s="6">
        <v>6.0750000000000002</v>
      </c>
      <c r="M597" s="6">
        <v>6.0750000000000002</v>
      </c>
      <c r="N597" s="6">
        <v>6.0750000000000002</v>
      </c>
      <c r="O597" s="6">
        <v>6.0750000000000002</v>
      </c>
      <c r="P597" s="6">
        <v>0</v>
      </c>
      <c r="Q597" s="4" t="s">
        <v>26</v>
      </c>
      <c r="R597" s="4">
        <v>0</v>
      </c>
      <c r="S597" s="4">
        <v>0</v>
      </c>
      <c r="T597" s="4">
        <v>51</v>
      </c>
      <c r="U597" s="4">
        <v>95</v>
      </c>
      <c r="V597" s="6">
        <f>IF(ISERROR(VLOOKUP($S$597,'TAR FIN'!$A$1:$O$115,15,0)),0,VLOOKUP($S$597,'TAR FIN'!$A$1:$O$115,15,0))</f>
        <v>0</v>
      </c>
      <c r="W597" s="6">
        <f>IF(ISERROR(VLOOKUP($T$597,'TAR FIN'!$A$1:$O$115,15,0)),0,VLOOKUP($T$597,'TAR FIN'!$A$1:$O$115,15,0))</f>
        <v>287.89999999999998</v>
      </c>
      <c r="X597" s="6">
        <f>IF(ISERROR(VLOOKUP($U$597,'TAR FIN'!$A$1:$O$115,15,0)),0,VLOOKUP($U$597,'TAR FIN'!$A$1:$O$115,15,0))</f>
        <v>147.88999999999999</v>
      </c>
      <c r="Y597" s="6"/>
      <c r="Z597" s="6">
        <f ca="1">('TUSD BE'!$AM$49+'TUSD BF'!$AM$49+'TUSD CVA'!$AM$49)*(1-CUSTOS!$M$38)</f>
        <v>344.78762314316725</v>
      </c>
      <c r="AA597" s="6">
        <f>('TE BE'!$AB$32+'TE BF'!$AB$32+'TE CVA'!$AB$32)*(1-CUSTOS!$M$38)</f>
        <v>205.56430218792661</v>
      </c>
      <c r="AB597" s="6">
        <f t="shared" si="28"/>
        <v>0</v>
      </c>
      <c r="AC597" s="6">
        <f>(L597*W597+M597*X597)/(1-CUSTOS!$M$38)*CUSTOS!$M$38</f>
        <v>168.98452659574468</v>
      </c>
      <c r="AD597" s="6">
        <f t="shared" si="29"/>
        <v>0</v>
      </c>
      <c r="AE597" s="6">
        <f ca="1">(L597*Z597+N597*AA597)/(1-CUSTOS!$M$38)*CUSTOS!$M$38</f>
        <v>213.4077412587061</v>
      </c>
      <c r="AF597" s="4" t="s">
        <v>933</v>
      </c>
    </row>
    <row r="598" spans="1:32" ht="11.25" customHeight="1" x14ac:dyDescent="0.25">
      <c r="A598" s="4" t="s">
        <v>21</v>
      </c>
      <c r="B598" s="4" t="s">
        <v>46</v>
      </c>
      <c r="C598" s="4" t="s">
        <v>35</v>
      </c>
      <c r="D598" s="4" t="s">
        <v>47</v>
      </c>
      <c r="E598" s="4" t="s">
        <v>25</v>
      </c>
      <c r="F598" s="4" t="s">
        <v>25</v>
      </c>
      <c r="G598" s="4" t="s">
        <v>25</v>
      </c>
      <c r="H598" s="4" t="s">
        <v>37</v>
      </c>
      <c r="I598" s="5">
        <v>44835</v>
      </c>
      <c r="J598" s="6">
        <v>0</v>
      </c>
      <c r="K598" s="6">
        <v>0</v>
      </c>
      <c r="L598" s="6">
        <v>6.5540000000000003</v>
      </c>
      <c r="M598" s="6">
        <v>6.5540000000000003</v>
      </c>
      <c r="N598" s="6">
        <v>6.5540000000000003</v>
      </c>
      <c r="O598" s="6">
        <v>6.5540000000000003</v>
      </c>
      <c r="P598" s="6">
        <v>0</v>
      </c>
      <c r="Q598" s="4" t="s">
        <v>26</v>
      </c>
      <c r="R598" s="4">
        <v>0</v>
      </c>
      <c r="S598" s="4">
        <v>0</v>
      </c>
      <c r="T598" s="4">
        <v>51</v>
      </c>
      <c r="U598" s="4">
        <v>95</v>
      </c>
      <c r="V598" s="6">
        <f>IF(ISERROR(VLOOKUP($S$598,'TAR FIN'!$A$1:$O$115,15,0)),0,VLOOKUP($S$598,'TAR FIN'!$A$1:$O$115,15,0))</f>
        <v>0</v>
      </c>
      <c r="W598" s="6">
        <f>IF(ISERROR(VLOOKUP($T$598,'TAR FIN'!$A$1:$O$115,15,0)),0,VLOOKUP($T$598,'TAR FIN'!$A$1:$O$115,15,0))</f>
        <v>287.89999999999998</v>
      </c>
      <c r="X598" s="6">
        <f>IF(ISERROR(VLOOKUP($U$598,'TAR FIN'!$A$1:$O$115,15,0)),0,VLOOKUP($U$598,'TAR FIN'!$A$1:$O$115,15,0))</f>
        <v>147.88999999999999</v>
      </c>
      <c r="Y598" s="6"/>
      <c r="Z598" s="6">
        <f ca="1">('TUSD BE'!$AM$49+'TUSD BF'!$AM$49+'TUSD CVA'!$AM$49)*(1-CUSTOS!$M$38)</f>
        <v>344.78762314316725</v>
      </c>
      <c r="AA598" s="6">
        <f>('TE BE'!$AB$32+'TE BF'!$AB$32+'TE CVA'!$AB$32)*(1-CUSTOS!$M$38)</f>
        <v>205.56430218792661</v>
      </c>
      <c r="AB598" s="6">
        <f t="shared" si="28"/>
        <v>0</v>
      </c>
      <c r="AC598" s="6">
        <f>(L598*W598+M598*X598)/(1-CUSTOS!$M$38)*CUSTOS!$M$38</f>
        <v>182.3085740425532</v>
      </c>
      <c r="AD598" s="6">
        <f t="shared" si="29"/>
        <v>0</v>
      </c>
      <c r="AE598" s="6">
        <f ca="1">(L598*Z598+N598*AA598)/(1-CUSTOS!$M$38)*CUSTOS!$M$38</f>
        <v>230.23445863531845</v>
      </c>
      <c r="AF598" s="4" t="s">
        <v>933</v>
      </c>
    </row>
    <row r="599" spans="1:32" ht="11.25" customHeight="1" x14ac:dyDescent="0.25">
      <c r="A599" s="4" t="s">
        <v>59</v>
      </c>
      <c r="B599" s="4" t="s">
        <v>46</v>
      </c>
      <c r="C599" s="4" t="s">
        <v>35</v>
      </c>
      <c r="D599" s="4" t="s">
        <v>47</v>
      </c>
      <c r="E599" s="4" t="s">
        <v>25</v>
      </c>
      <c r="F599" s="4" t="s">
        <v>25</v>
      </c>
      <c r="G599" s="4" t="s">
        <v>25</v>
      </c>
      <c r="H599" s="4" t="s">
        <v>37</v>
      </c>
      <c r="I599" s="5">
        <v>44866</v>
      </c>
      <c r="J599" s="6">
        <v>0</v>
      </c>
      <c r="K599" s="6">
        <v>0</v>
      </c>
      <c r="L599" s="6">
        <v>6.5540000000000003</v>
      </c>
      <c r="M599" s="6">
        <v>6.5540000000000003</v>
      </c>
      <c r="N599" s="6">
        <v>6.5540000000000003</v>
      </c>
      <c r="O599" s="6">
        <v>6.5540000000000003</v>
      </c>
      <c r="P599" s="6">
        <v>0</v>
      </c>
      <c r="Q599" s="4" t="s">
        <v>26</v>
      </c>
      <c r="R599" s="4">
        <v>0</v>
      </c>
      <c r="S599" s="4">
        <v>0</v>
      </c>
      <c r="T599" s="4">
        <v>51</v>
      </c>
      <c r="U599" s="4">
        <v>95</v>
      </c>
      <c r="V599" s="6">
        <f>IF(ISERROR(VLOOKUP($S$599,'TAR FIN'!$A$1:$O$115,15,0)),0,VLOOKUP($S$599,'TAR FIN'!$A$1:$O$115,15,0))</f>
        <v>0</v>
      </c>
      <c r="W599" s="6">
        <f>IF(ISERROR(VLOOKUP($T$599,'TAR FIN'!$A$1:$O$115,15,0)),0,VLOOKUP($T$599,'TAR FIN'!$A$1:$O$115,15,0))</f>
        <v>287.89999999999998</v>
      </c>
      <c r="X599" s="6">
        <f>IF(ISERROR(VLOOKUP($U$599,'TAR FIN'!$A$1:$O$115,15,0)),0,VLOOKUP($U$599,'TAR FIN'!$A$1:$O$115,15,0))</f>
        <v>147.88999999999999</v>
      </c>
      <c r="Y599" s="6"/>
      <c r="Z599" s="6">
        <f ca="1">('TUSD BE'!$AM$49+'TUSD BF'!$AM$49+'TUSD CVA'!$AM$49)*(1-CUSTOS!$M$38)</f>
        <v>344.78762314316725</v>
      </c>
      <c r="AA599" s="6">
        <f>('TE BE'!$AB$32+'TE BF'!$AB$32+'TE CVA'!$AB$32)*(1-CUSTOS!$M$38)</f>
        <v>205.56430218792661</v>
      </c>
      <c r="AB599" s="6">
        <f t="shared" si="28"/>
        <v>0</v>
      </c>
      <c r="AC599" s="6">
        <f>(L599*W599+M599*X599)/(1-CUSTOS!$M$38)*CUSTOS!$M$38</f>
        <v>182.3085740425532</v>
      </c>
      <c r="AD599" s="6">
        <f t="shared" si="29"/>
        <v>0</v>
      </c>
      <c r="AE599" s="6">
        <f ca="1">(L599*Z599+N599*AA599)/(1-CUSTOS!$M$38)*CUSTOS!$M$38</f>
        <v>230.23445863531845</v>
      </c>
      <c r="AF599" s="4" t="s">
        <v>933</v>
      </c>
    </row>
    <row r="600" spans="1:32" ht="11.25" customHeight="1" x14ac:dyDescent="0.25">
      <c r="A600" s="4" t="s">
        <v>21</v>
      </c>
      <c r="B600" s="4" t="s">
        <v>46</v>
      </c>
      <c r="C600" s="4" t="s">
        <v>35</v>
      </c>
      <c r="D600" s="4" t="s">
        <v>47</v>
      </c>
      <c r="E600" s="4" t="s">
        <v>25</v>
      </c>
      <c r="F600" s="4" t="s">
        <v>25</v>
      </c>
      <c r="G600" s="4" t="s">
        <v>25</v>
      </c>
      <c r="H600" s="4" t="s">
        <v>38</v>
      </c>
      <c r="I600" s="5">
        <v>44531</v>
      </c>
      <c r="J600" s="6">
        <v>0</v>
      </c>
      <c r="K600" s="6">
        <v>0</v>
      </c>
      <c r="L600" s="6">
        <v>3.6999999999999998E-2</v>
      </c>
      <c r="M600" s="6">
        <v>3.6999999999999998E-2</v>
      </c>
      <c r="N600" s="6">
        <v>3.6999999999999998E-2</v>
      </c>
      <c r="O600" s="6">
        <v>3.6999999999999998E-2</v>
      </c>
      <c r="P600" s="6">
        <v>0</v>
      </c>
      <c r="Q600" s="4" t="s">
        <v>26</v>
      </c>
      <c r="R600" s="4">
        <v>0</v>
      </c>
      <c r="S600" s="4">
        <v>0</v>
      </c>
      <c r="T600" s="4">
        <v>50</v>
      </c>
      <c r="U600" s="4">
        <v>94</v>
      </c>
      <c r="V600" s="6">
        <f>IF(ISERROR(VLOOKUP($S$600,'TAR FIN'!$A$1:$O$115,15,0)),0,VLOOKUP($S$600,'TAR FIN'!$A$1:$O$115,15,0))</f>
        <v>0</v>
      </c>
      <c r="W600" s="6">
        <f>IF(ISERROR(VLOOKUP($T$600,'TAR FIN'!$A$1:$O$115,15,0)),0,VLOOKUP($T$600,'TAR FIN'!$A$1:$O$115,15,0))</f>
        <v>663.5</v>
      </c>
      <c r="X600" s="6">
        <f>IF(ISERROR(VLOOKUP($U$600,'TAR FIN'!$A$1:$O$115,15,0)),0,VLOOKUP($U$600,'TAR FIN'!$A$1:$O$115,15,0))</f>
        <v>147.88999999999999</v>
      </c>
      <c r="Y600" s="6"/>
      <c r="Z600" s="6">
        <f ca="1">('TUSD BE'!$AM$48+'TUSD BF'!$AM$48+'TUSD CVA'!$AM$48)*(1-CUSTOS!$M$38)</f>
        <v>743.00402372921542</v>
      </c>
      <c r="AA600" s="6">
        <f>('TE BE'!$AB$31+'TE BF'!$AB$31+'TE CVA'!$AB$31)*(1-CUSTOS!$M$38)</f>
        <v>205.56430218792661</v>
      </c>
      <c r="AB600" s="6">
        <f t="shared" si="28"/>
        <v>0</v>
      </c>
      <c r="AC600" s="6">
        <f>(L600*W600+M600*X600)/(1-CUSTOS!$M$38)*CUSTOS!$M$38</f>
        <v>1.9162614893617023</v>
      </c>
      <c r="AD600" s="6">
        <f t="shared" si="29"/>
        <v>0</v>
      </c>
      <c r="AE600" s="6">
        <f ca="1">(L600*Z600+N600*AA600)/(1-CUSTOS!$M$38)*CUSTOS!$M$38</f>
        <v>2.2402358335489954</v>
      </c>
      <c r="AF600" s="4" t="s">
        <v>933</v>
      </c>
    </row>
    <row r="601" spans="1:32" ht="11.25" customHeight="1" x14ac:dyDescent="0.25">
      <c r="A601" s="4" t="s">
        <v>28</v>
      </c>
      <c r="B601" s="4" t="s">
        <v>46</v>
      </c>
      <c r="C601" s="4" t="s">
        <v>35</v>
      </c>
      <c r="D601" s="4" t="s">
        <v>47</v>
      </c>
      <c r="E601" s="4" t="s">
        <v>25</v>
      </c>
      <c r="F601" s="4" t="s">
        <v>25</v>
      </c>
      <c r="G601" s="4" t="s">
        <v>25</v>
      </c>
      <c r="H601" s="4" t="s">
        <v>38</v>
      </c>
      <c r="I601" s="5">
        <v>44531</v>
      </c>
      <c r="J601" s="6">
        <v>0</v>
      </c>
      <c r="K601" s="6">
        <v>0</v>
      </c>
      <c r="L601" s="6">
        <v>1E-3</v>
      </c>
      <c r="M601" s="6">
        <v>1E-3</v>
      </c>
      <c r="N601" s="6">
        <v>1E-3</v>
      </c>
      <c r="O601" s="6">
        <v>1E-3</v>
      </c>
      <c r="P601" s="6">
        <v>0</v>
      </c>
      <c r="Q601" s="4" t="s">
        <v>26</v>
      </c>
      <c r="R601" s="4">
        <v>0</v>
      </c>
      <c r="S601" s="4">
        <v>0</v>
      </c>
      <c r="T601" s="4">
        <v>50</v>
      </c>
      <c r="U601" s="4">
        <v>94</v>
      </c>
      <c r="V601" s="6">
        <f>IF(ISERROR(VLOOKUP($S$601,'TAR FIN'!$A$1:$O$115,15,0)),0,VLOOKUP($S$601,'TAR FIN'!$A$1:$O$115,15,0))</f>
        <v>0</v>
      </c>
      <c r="W601" s="6">
        <f>IF(ISERROR(VLOOKUP($T$601,'TAR FIN'!$A$1:$O$115,15,0)),0,VLOOKUP($T$601,'TAR FIN'!$A$1:$O$115,15,0))</f>
        <v>663.5</v>
      </c>
      <c r="X601" s="6">
        <f>IF(ISERROR(VLOOKUP($U$601,'TAR FIN'!$A$1:$O$115,15,0)),0,VLOOKUP($U$601,'TAR FIN'!$A$1:$O$115,15,0))</f>
        <v>147.88999999999999</v>
      </c>
      <c r="Y601" s="6"/>
      <c r="Z601" s="6">
        <f ca="1">('TUSD BE'!$AM$48+'TUSD BF'!$AM$48+'TUSD CVA'!$AM$48)*(1-CUSTOS!$M$38)</f>
        <v>743.00402372921542</v>
      </c>
      <c r="AA601" s="6">
        <f>('TE BE'!$AB$31+'TE BF'!$AB$31+'TE CVA'!$AB$31)*(1-CUSTOS!$M$38)</f>
        <v>205.56430218792661</v>
      </c>
      <c r="AB601" s="6">
        <f t="shared" si="28"/>
        <v>0</v>
      </c>
      <c r="AC601" s="6">
        <f>(L601*W601+M601*X601)/(1-CUSTOS!$M$38)*CUSTOS!$M$38</f>
        <v>5.1790851063829788E-2</v>
      </c>
      <c r="AD601" s="6">
        <f t="shared" si="29"/>
        <v>0</v>
      </c>
      <c r="AE601" s="6">
        <f ca="1">(L601*Z601+N601*AA601)/(1-CUSTOS!$M$38)*CUSTOS!$M$38</f>
        <v>6.0546914420243118E-2</v>
      </c>
      <c r="AF601" s="4" t="s">
        <v>933</v>
      </c>
    </row>
    <row r="602" spans="1:32" ht="11.25" customHeight="1" x14ac:dyDescent="0.25">
      <c r="A602" s="4" t="s">
        <v>21</v>
      </c>
      <c r="B602" s="4" t="s">
        <v>46</v>
      </c>
      <c r="C602" s="4" t="s">
        <v>35</v>
      </c>
      <c r="D602" s="4" t="s">
        <v>47</v>
      </c>
      <c r="E602" s="4" t="s">
        <v>25</v>
      </c>
      <c r="F602" s="4" t="s">
        <v>25</v>
      </c>
      <c r="G602" s="4" t="s">
        <v>25</v>
      </c>
      <c r="H602" s="4" t="s">
        <v>38</v>
      </c>
      <c r="I602" s="5">
        <v>44562</v>
      </c>
      <c r="J602" s="6">
        <v>0</v>
      </c>
      <c r="K602" s="6">
        <v>0</v>
      </c>
      <c r="L602" s="6">
        <v>5.5E-2</v>
      </c>
      <c r="M602" s="6">
        <v>5.5E-2</v>
      </c>
      <c r="N602" s="6">
        <v>5.5E-2</v>
      </c>
      <c r="O602" s="6">
        <v>5.5E-2</v>
      </c>
      <c r="P602" s="6">
        <v>0</v>
      </c>
      <c r="Q602" s="4" t="s">
        <v>26</v>
      </c>
      <c r="R602" s="4">
        <v>0</v>
      </c>
      <c r="S602" s="4">
        <v>0</v>
      </c>
      <c r="T602" s="4">
        <v>50</v>
      </c>
      <c r="U602" s="4">
        <v>94</v>
      </c>
      <c r="V602" s="6">
        <f>IF(ISERROR(VLOOKUP($S$602,'TAR FIN'!$A$1:$O$115,15,0)),0,VLOOKUP($S$602,'TAR FIN'!$A$1:$O$115,15,0))</f>
        <v>0</v>
      </c>
      <c r="W602" s="6">
        <f>IF(ISERROR(VLOOKUP($T$602,'TAR FIN'!$A$1:$O$115,15,0)),0,VLOOKUP($T$602,'TAR FIN'!$A$1:$O$115,15,0))</f>
        <v>663.5</v>
      </c>
      <c r="X602" s="6">
        <f>IF(ISERROR(VLOOKUP($U$602,'TAR FIN'!$A$1:$O$115,15,0)),0,VLOOKUP($U$602,'TAR FIN'!$A$1:$O$115,15,0))</f>
        <v>147.88999999999999</v>
      </c>
      <c r="Y602" s="6"/>
      <c r="Z602" s="6">
        <f ca="1">('TUSD BE'!$AM$48+'TUSD BF'!$AM$48+'TUSD CVA'!$AM$48)*(1-CUSTOS!$M$38)</f>
        <v>743.00402372921542</v>
      </c>
      <c r="AA602" s="6">
        <f>('TE BE'!$AB$31+'TE BF'!$AB$31+'TE CVA'!$AB$31)*(1-CUSTOS!$M$38)</f>
        <v>205.56430218792661</v>
      </c>
      <c r="AB602" s="6">
        <f t="shared" si="28"/>
        <v>0</v>
      </c>
      <c r="AC602" s="6">
        <f>(L602*W602+M602*X602)/(1-CUSTOS!$M$38)*CUSTOS!$M$38</f>
        <v>2.8484968085106379</v>
      </c>
      <c r="AD602" s="6">
        <f t="shared" si="29"/>
        <v>0</v>
      </c>
      <c r="AE602" s="6">
        <f ca="1">(L602*Z602+N602*AA602)/(1-CUSTOS!$M$38)*CUSTOS!$M$38</f>
        <v>3.3300802931133715</v>
      </c>
      <c r="AF602" s="4" t="s">
        <v>933</v>
      </c>
    </row>
    <row r="603" spans="1:32" ht="11.25" customHeight="1" x14ac:dyDescent="0.25">
      <c r="A603" s="4" t="s">
        <v>28</v>
      </c>
      <c r="B603" s="4" t="s">
        <v>46</v>
      </c>
      <c r="C603" s="4" t="s">
        <v>35</v>
      </c>
      <c r="D603" s="4" t="s">
        <v>47</v>
      </c>
      <c r="E603" s="4" t="s">
        <v>25</v>
      </c>
      <c r="F603" s="4" t="s">
        <v>25</v>
      </c>
      <c r="G603" s="4" t="s">
        <v>25</v>
      </c>
      <c r="H603" s="4" t="s">
        <v>38</v>
      </c>
      <c r="I603" s="5">
        <v>44562</v>
      </c>
      <c r="J603" s="6">
        <v>0</v>
      </c>
      <c r="K603" s="6">
        <v>0</v>
      </c>
      <c r="L603" s="6">
        <v>0.01</v>
      </c>
      <c r="M603" s="6">
        <v>0.01</v>
      </c>
      <c r="N603" s="6">
        <v>0.01</v>
      </c>
      <c r="O603" s="6">
        <v>0.01</v>
      </c>
      <c r="P603" s="6">
        <v>0</v>
      </c>
      <c r="Q603" s="4" t="s">
        <v>26</v>
      </c>
      <c r="R603" s="4">
        <v>0</v>
      </c>
      <c r="S603" s="4">
        <v>0</v>
      </c>
      <c r="T603" s="4">
        <v>50</v>
      </c>
      <c r="U603" s="4">
        <v>94</v>
      </c>
      <c r="V603" s="6">
        <f>IF(ISERROR(VLOOKUP($S$603,'TAR FIN'!$A$1:$O$115,15,0)),0,VLOOKUP($S$603,'TAR FIN'!$A$1:$O$115,15,0))</f>
        <v>0</v>
      </c>
      <c r="W603" s="6">
        <f>IF(ISERROR(VLOOKUP($T$603,'TAR FIN'!$A$1:$O$115,15,0)),0,VLOOKUP($T$603,'TAR FIN'!$A$1:$O$115,15,0))</f>
        <v>663.5</v>
      </c>
      <c r="X603" s="6">
        <f>IF(ISERROR(VLOOKUP($U$603,'TAR FIN'!$A$1:$O$115,15,0)),0,VLOOKUP($U$603,'TAR FIN'!$A$1:$O$115,15,0))</f>
        <v>147.88999999999999</v>
      </c>
      <c r="Y603" s="6"/>
      <c r="Z603" s="6">
        <f ca="1">('TUSD BE'!$AM$48+'TUSD BF'!$AM$48+'TUSD CVA'!$AM$48)*(1-CUSTOS!$M$38)</f>
        <v>743.00402372921542</v>
      </c>
      <c r="AA603" s="6">
        <f>('TE BE'!$AB$31+'TE BF'!$AB$31+'TE CVA'!$AB$31)*(1-CUSTOS!$M$38)</f>
        <v>205.56430218792661</v>
      </c>
      <c r="AB603" s="6">
        <f t="shared" si="28"/>
        <v>0</v>
      </c>
      <c r="AC603" s="6">
        <f>(L603*W603+M603*X603)/(1-CUSTOS!$M$38)*CUSTOS!$M$38</f>
        <v>0.51790851063829779</v>
      </c>
      <c r="AD603" s="6">
        <f t="shared" si="29"/>
        <v>0</v>
      </c>
      <c r="AE603" s="6">
        <f ca="1">(L603*Z603+N603*AA603)/(1-CUSTOS!$M$38)*CUSTOS!$M$38</f>
        <v>0.60546914420243114</v>
      </c>
      <c r="AF603" s="4" t="s">
        <v>933</v>
      </c>
    </row>
    <row r="604" spans="1:32" ht="11.25" customHeight="1" x14ac:dyDescent="0.25">
      <c r="A604" s="4" t="s">
        <v>21</v>
      </c>
      <c r="B604" s="4" t="s">
        <v>46</v>
      </c>
      <c r="C604" s="4" t="s">
        <v>35</v>
      </c>
      <c r="D604" s="4" t="s">
        <v>47</v>
      </c>
      <c r="E604" s="4" t="s">
        <v>25</v>
      </c>
      <c r="F604" s="4" t="s">
        <v>25</v>
      </c>
      <c r="G604" s="4" t="s">
        <v>25</v>
      </c>
      <c r="H604" s="4" t="s">
        <v>38</v>
      </c>
      <c r="I604" s="5">
        <v>44593</v>
      </c>
      <c r="J604" s="6">
        <v>0</v>
      </c>
      <c r="K604" s="6">
        <v>0</v>
      </c>
      <c r="L604" s="6">
        <v>3.5000000000000003E-2</v>
      </c>
      <c r="M604" s="6">
        <v>3.5000000000000003E-2</v>
      </c>
      <c r="N604" s="6">
        <v>3.5000000000000003E-2</v>
      </c>
      <c r="O604" s="6">
        <v>3.5000000000000003E-2</v>
      </c>
      <c r="P604" s="6">
        <v>0</v>
      </c>
      <c r="Q604" s="4" t="s">
        <v>26</v>
      </c>
      <c r="R604" s="4">
        <v>0</v>
      </c>
      <c r="S604" s="4">
        <v>0</v>
      </c>
      <c r="T604" s="4">
        <v>50</v>
      </c>
      <c r="U604" s="4">
        <v>94</v>
      </c>
      <c r="V604" s="6">
        <f>IF(ISERROR(VLOOKUP($S$604,'TAR FIN'!$A$1:$O$115,15,0)),0,VLOOKUP($S$604,'TAR FIN'!$A$1:$O$115,15,0))</f>
        <v>0</v>
      </c>
      <c r="W604" s="6">
        <f>IF(ISERROR(VLOOKUP($T$604,'TAR FIN'!$A$1:$O$115,15,0)),0,VLOOKUP($T$604,'TAR FIN'!$A$1:$O$115,15,0))</f>
        <v>663.5</v>
      </c>
      <c r="X604" s="6">
        <f>IF(ISERROR(VLOOKUP($U$604,'TAR FIN'!$A$1:$O$115,15,0)),0,VLOOKUP($U$604,'TAR FIN'!$A$1:$O$115,15,0))</f>
        <v>147.88999999999999</v>
      </c>
      <c r="Y604" s="6"/>
      <c r="Z604" s="6">
        <f ca="1">('TUSD BE'!$AM$48+'TUSD BF'!$AM$48+'TUSD CVA'!$AM$48)*(1-CUSTOS!$M$38)</f>
        <v>743.00402372921542</v>
      </c>
      <c r="AA604" s="6">
        <f>('TE BE'!$AB$31+'TE BF'!$AB$31+'TE CVA'!$AB$31)*(1-CUSTOS!$M$38)</f>
        <v>205.56430218792661</v>
      </c>
      <c r="AB604" s="6">
        <f t="shared" si="28"/>
        <v>0</v>
      </c>
      <c r="AC604" s="6">
        <f>(L604*W604+M604*X604)/(1-CUSTOS!$M$38)*CUSTOS!$M$38</f>
        <v>1.812679787234043</v>
      </c>
      <c r="AD604" s="6">
        <f t="shared" si="29"/>
        <v>0</v>
      </c>
      <c r="AE604" s="6">
        <f ca="1">(L604*Z604+N604*AA604)/(1-CUSTOS!$M$38)*CUSTOS!$M$38</f>
        <v>2.1191420047085092</v>
      </c>
      <c r="AF604" s="4" t="s">
        <v>933</v>
      </c>
    </row>
    <row r="605" spans="1:32" ht="11.25" customHeight="1" x14ac:dyDescent="0.25">
      <c r="A605" s="4" t="s">
        <v>28</v>
      </c>
      <c r="B605" s="4" t="s">
        <v>46</v>
      </c>
      <c r="C605" s="4" t="s">
        <v>35</v>
      </c>
      <c r="D605" s="4" t="s">
        <v>47</v>
      </c>
      <c r="E605" s="4" t="s">
        <v>25</v>
      </c>
      <c r="F605" s="4" t="s">
        <v>25</v>
      </c>
      <c r="G605" s="4" t="s">
        <v>25</v>
      </c>
      <c r="H605" s="4" t="s">
        <v>38</v>
      </c>
      <c r="I605" s="5">
        <v>44593</v>
      </c>
      <c r="J605" s="6">
        <v>0</v>
      </c>
      <c r="K605" s="6">
        <v>0</v>
      </c>
      <c r="L605" s="6">
        <v>1.4999999999999999E-2</v>
      </c>
      <c r="M605" s="6">
        <v>1.4999999999999999E-2</v>
      </c>
      <c r="N605" s="6">
        <v>1.4999999999999999E-2</v>
      </c>
      <c r="O605" s="6">
        <v>1.4999999999999999E-2</v>
      </c>
      <c r="P605" s="6">
        <v>0</v>
      </c>
      <c r="Q605" s="4" t="s">
        <v>26</v>
      </c>
      <c r="R605" s="4">
        <v>0</v>
      </c>
      <c r="S605" s="4">
        <v>0</v>
      </c>
      <c r="T605" s="4">
        <v>50</v>
      </c>
      <c r="U605" s="4">
        <v>94</v>
      </c>
      <c r="V605" s="6">
        <f>IF(ISERROR(VLOOKUP($S$605,'TAR FIN'!$A$1:$O$115,15,0)),0,VLOOKUP($S$605,'TAR FIN'!$A$1:$O$115,15,0))</f>
        <v>0</v>
      </c>
      <c r="W605" s="6">
        <f>IF(ISERROR(VLOOKUP($T$605,'TAR FIN'!$A$1:$O$115,15,0)),0,VLOOKUP($T$605,'TAR FIN'!$A$1:$O$115,15,0))</f>
        <v>663.5</v>
      </c>
      <c r="X605" s="6">
        <f>IF(ISERROR(VLOOKUP($U$605,'TAR FIN'!$A$1:$O$115,15,0)),0,VLOOKUP($U$605,'TAR FIN'!$A$1:$O$115,15,0))</f>
        <v>147.88999999999999</v>
      </c>
      <c r="Y605" s="6"/>
      <c r="Z605" s="6">
        <f ca="1">('TUSD BE'!$AM$48+'TUSD BF'!$AM$48+'TUSD CVA'!$AM$48)*(1-CUSTOS!$M$38)</f>
        <v>743.00402372921542</v>
      </c>
      <c r="AA605" s="6">
        <f>('TE BE'!$AB$31+'TE BF'!$AB$31+'TE CVA'!$AB$31)*(1-CUSTOS!$M$38)</f>
        <v>205.56430218792661</v>
      </c>
      <c r="AB605" s="6">
        <f t="shared" si="28"/>
        <v>0</v>
      </c>
      <c r="AC605" s="6">
        <f>(L605*W605+M605*X605)/(1-CUSTOS!$M$38)*CUSTOS!$M$38</f>
        <v>0.77686276595744674</v>
      </c>
      <c r="AD605" s="6">
        <f t="shared" si="29"/>
        <v>0</v>
      </c>
      <c r="AE605" s="6">
        <f ca="1">(L605*Z605+N605*AA605)/(1-CUSTOS!$M$38)*CUSTOS!$M$38</f>
        <v>0.9082037163036466</v>
      </c>
      <c r="AF605" s="4" t="s">
        <v>933</v>
      </c>
    </row>
    <row r="606" spans="1:32" ht="11.25" customHeight="1" x14ac:dyDescent="0.25">
      <c r="A606" s="4" t="s">
        <v>21</v>
      </c>
      <c r="B606" s="4" t="s">
        <v>46</v>
      </c>
      <c r="C606" s="4" t="s">
        <v>35</v>
      </c>
      <c r="D606" s="4" t="s">
        <v>47</v>
      </c>
      <c r="E606" s="4" t="s">
        <v>25</v>
      </c>
      <c r="F606" s="4" t="s">
        <v>25</v>
      </c>
      <c r="G606" s="4" t="s">
        <v>25</v>
      </c>
      <c r="H606" s="4" t="s">
        <v>38</v>
      </c>
      <c r="I606" s="5">
        <v>44621</v>
      </c>
      <c r="J606" s="6">
        <v>0</v>
      </c>
      <c r="K606" s="6">
        <v>0</v>
      </c>
      <c r="L606" s="6">
        <v>3.6999999999999998E-2</v>
      </c>
      <c r="M606" s="6">
        <v>3.6999999999999998E-2</v>
      </c>
      <c r="N606" s="6">
        <v>3.6999999999999998E-2</v>
      </c>
      <c r="O606" s="6">
        <v>3.6999999999999998E-2</v>
      </c>
      <c r="P606" s="6">
        <v>0</v>
      </c>
      <c r="Q606" s="4" t="s">
        <v>26</v>
      </c>
      <c r="R606" s="4">
        <v>0</v>
      </c>
      <c r="S606" s="4">
        <v>0</v>
      </c>
      <c r="T606" s="4">
        <v>50</v>
      </c>
      <c r="U606" s="4">
        <v>94</v>
      </c>
      <c r="V606" s="6">
        <f>IF(ISERROR(VLOOKUP($S$606,'TAR FIN'!$A$1:$O$115,15,0)),0,VLOOKUP($S$606,'TAR FIN'!$A$1:$O$115,15,0))</f>
        <v>0</v>
      </c>
      <c r="W606" s="6">
        <f>IF(ISERROR(VLOOKUP($T$606,'TAR FIN'!$A$1:$O$115,15,0)),0,VLOOKUP($T$606,'TAR FIN'!$A$1:$O$115,15,0))</f>
        <v>663.5</v>
      </c>
      <c r="X606" s="6">
        <f>IF(ISERROR(VLOOKUP($U$606,'TAR FIN'!$A$1:$O$115,15,0)),0,VLOOKUP($U$606,'TAR FIN'!$A$1:$O$115,15,0))</f>
        <v>147.88999999999999</v>
      </c>
      <c r="Y606" s="6"/>
      <c r="Z606" s="6">
        <f ca="1">('TUSD BE'!$AM$48+'TUSD BF'!$AM$48+'TUSD CVA'!$AM$48)*(1-CUSTOS!$M$38)</f>
        <v>743.00402372921542</v>
      </c>
      <c r="AA606" s="6">
        <f>('TE BE'!$AB$31+'TE BF'!$AB$31+'TE CVA'!$AB$31)*(1-CUSTOS!$M$38)</f>
        <v>205.56430218792661</v>
      </c>
      <c r="AB606" s="6">
        <f t="shared" si="28"/>
        <v>0</v>
      </c>
      <c r="AC606" s="6">
        <f>(L606*W606+M606*X606)/(1-CUSTOS!$M$38)*CUSTOS!$M$38</f>
        <v>1.9162614893617023</v>
      </c>
      <c r="AD606" s="6">
        <f t="shared" si="29"/>
        <v>0</v>
      </c>
      <c r="AE606" s="6">
        <f ca="1">(L606*Z606+N606*AA606)/(1-CUSTOS!$M$38)*CUSTOS!$M$38</f>
        <v>2.2402358335489954</v>
      </c>
      <c r="AF606" s="4" t="s">
        <v>933</v>
      </c>
    </row>
    <row r="607" spans="1:32" ht="11.25" customHeight="1" x14ac:dyDescent="0.25">
      <c r="A607" s="4" t="s">
        <v>21</v>
      </c>
      <c r="B607" s="4" t="s">
        <v>46</v>
      </c>
      <c r="C607" s="4" t="s">
        <v>35</v>
      </c>
      <c r="D607" s="4" t="s">
        <v>47</v>
      </c>
      <c r="E607" s="4" t="s">
        <v>25</v>
      </c>
      <c r="F607" s="4" t="s">
        <v>25</v>
      </c>
      <c r="G607" s="4" t="s">
        <v>25</v>
      </c>
      <c r="H607" s="4" t="s">
        <v>38</v>
      </c>
      <c r="I607" s="5">
        <v>44652</v>
      </c>
      <c r="J607" s="6">
        <v>0</v>
      </c>
      <c r="K607" s="6">
        <v>0</v>
      </c>
      <c r="L607" s="6">
        <v>3.7999999999999999E-2</v>
      </c>
      <c r="M607" s="6">
        <v>3.7999999999999999E-2</v>
      </c>
      <c r="N607" s="6">
        <v>3.7999999999999999E-2</v>
      </c>
      <c r="O607" s="6">
        <v>3.7999999999999999E-2</v>
      </c>
      <c r="P607" s="6">
        <v>0</v>
      </c>
      <c r="Q607" s="4" t="s">
        <v>26</v>
      </c>
      <c r="R607" s="4">
        <v>0</v>
      </c>
      <c r="S607" s="4">
        <v>0</v>
      </c>
      <c r="T607" s="4">
        <v>50</v>
      </c>
      <c r="U607" s="4">
        <v>94</v>
      </c>
      <c r="V607" s="6">
        <f>IF(ISERROR(VLOOKUP($S$607,'TAR FIN'!$A$1:$O$115,15,0)),0,VLOOKUP($S$607,'TAR FIN'!$A$1:$O$115,15,0))</f>
        <v>0</v>
      </c>
      <c r="W607" s="6">
        <f>IF(ISERROR(VLOOKUP($T$607,'TAR FIN'!$A$1:$O$115,15,0)),0,VLOOKUP($T$607,'TAR FIN'!$A$1:$O$115,15,0))</f>
        <v>663.5</v>
      </c>
      <c r="X607" s="6">
        <f>IF(ISERROR(VLOOKUP($U$607,'TAR FIN'!$A$1:$O$115,15,0)),0,VLOOKUP($U$607,'TAR FIN'!$A$1:$O$115,15,0))</f>
        <v>147.88999999999999</v>
      </c>
      <c r="Y607" s="6"/>
      <c r="Z607" s="6">
        <f ca="1">('TUSD BE'!$AM$48+'TUSD BF'!$AM$48+'TUSD CVA'!$AM$48)*(1-CUSTOS!$M$38)</f>
        <v>743.00402372921542</v>
      </c>
      <c r="AA607" s="6">
        <f>('TE BE'!$AB$31+'TE BF'!$AB$31+'TE CVA'!$AB$31)*(1-CUSTOS!$M$38)</f>
        <v>205.56430218792661</v>
      </c>
      <c r="AB607" s="6">
        <f t="shared" si="28"/>
        <v>0</v>
      </c>
      <c r="AC607" s="6">
        <f>(L607*W607+M607*X607)/(1-CUSTOS!$M$38)*CUSTOS!$M$38</f>
        <v>1.9680523404255321</v>
      </c>
      <c r="AD607" s="6">
        <f t="shared" si="29"/>
        <v>0</v>
      </c>
      <c r="AE607" s="6">
        <f ca="1">(L607*Z607+N607*AA607)/(1-CUSTOS!$M$38)*CUSTOS!$M$38</f>
        <v>2.3007827479692375</v>
      </c>
      <c r="AF607" s="4" t="s">
        <v>933</v>
      </c>
    </row>
    <row r="608" spans="1:32" ht="11.25" customHeight="1" x14ac:dyDescent="0.25">
      <c r="A608" s="4" t="s">
        <v>21</v>
      </c>
      <c r="B608" s="4" t="s">
        <v>46</v>
      </c>
      <c r="C608" s="4" t="s">
        <v>35</v>
      </c>
      <c r="D608" s="4" t="s">
        <v>47</v>
      </c>
      <c r="E608" s="4" t="s">
        <v>25</v>
      </c>
      <c r="F608" s="4" t="s">
        <v>25</v>
      </c>
      <c r="G608" s="4" t="s">
        <v>25</v>
      </c>
      <c r="H608" s="4" t="s">
        <v>38</v>
      </c>
      <c r="I608" s="5">
        <v>44682</v>
      </c>
      <c r="J608" s="6">
        <v>0</v>
      </c>
      <c r="K608" s="6">
        <v>0</v>
      </c>
      <c r="L608" s="6">
        <v>3.1E-2</v>
      </c>
      <c r="M608" s="6">
        <v>3.1E-2</v>
      </c>
      <c r="N608" s="6">
        <v>3.1E-2</v>
      </c>
      <c r="O608" s="6">
        <v>3.1E-2</v>
      </c>
      <c r="P608" s="6">
        <v>0</v>
      </c>
      <c r="Q608" s="4" t="s">
        <v>26</v>
      </c>
      <c r="R608" s="4">
        <v>0</v>
      </c>
      <c r="S608" s="4">
        <v>0</v>
      </c>
      <c r="T608" s="4">
        <v>50</v>
      </c>
      <c r="U608" s="4">
        <v>94</v>
      </c>
      <c r="V608" s="6">
        <f>IF(ISERROR(VLOOKUP($S$608,'TAR FIN'!$A$1:$O$115,15,0)),0,VLOOKUP($S$608,'TAR FIN'!$A$1:$O$115,15,0))</f>
        <v>0</v>
      </c>
      <c r="W608" s="6">
        <f>IF(ISERROR(VLOOKUP($T$608,'TAR FIN'!$A$1:$O$115,15,0)),0,VLOOKUP($T$608,'TAR FIN'!$A$1:$O$115,15,0))</f>
        <v>663.5</v>
      </c>
      <c r="X608" s="6">
        <f>IF(ISERROR(VLOOKUP($U$608,'TAR FIN'!$A$1:$O$115,15,0)),0,VLOOKUP($U$608,'TAR FIN'!$A$1:$O$115,15,0))</f>
        <v>147.88999999999999</v>
      </c>
      <c r="Y608" s="6"/>
      <c r="Z608" s="6">
        <f ca="1">('TUSD BE'!$AM$48+'TUSD BF'!$AM$48+'TUSD CVA'!$AM$48)*(1-CUSTOS!$M$38)</f>
        <v>743.00402372921542</v>
      </c>
      <c r="AA608" s="6">
        <f>('TE BE'!$AB$31+'TE BF'!$AB$31+'TE CVA'!$AB$31)*(1-CUSTOS!$M$38)</f>
        <v>205.56430218792661</v>
      </c>
      <c r="AB608" s="6">
        <f t="shared" si="28"/>
        <v>0</v>
      </c>
      <c r="AC608" s="6">
        <f>(L608*W608+M608*X608)/(1-CUSTOS!$M$38)*CUSTOS!$M$38</f>
        <v>1.6055163829787233</v>
      </c>
      <c r="AD608" s="6">
        <f t="shared" si="29"/>
        <v>0</v>
      </c>
      <c r="AE608" s="6">
        <f ca="1">(L608*Z608+N608*AA608)/(1-CUSTOS!$M$38)*CUSTOS!$M$38</f>
        <v>1.8769543470275365</v>
      </c>
      <c r="AF608" s="4" t="s">
        <v>933</v>
      </c>
    </row>
    <row r="609" spans="1:32" ht="11.25" customHeight="1" x14ac:dyDescent="0.25">
      <c r="A609" s="4" t="s">
        <v>21</v>
      </c>
      <c r="B609" s="4" t="s">
        <v>46</v>
      </c>
      <c r="C609" s="4" t="s">
        <v>35</v>
      </c>
      <c r="D609" s="4" t="s">
        <v>47</v>
      </c>
      <c r="E609" s="4" t="s">
        <v>25</v>
      </c>
      <c r="F609" s="4" t="s">
        <v>25</v>
      </c>
      <c r="G609" s="4" t="s">
        <v>25</v>
      </c>
      <c r="H609" s="4" t="s">
        <v>38</v>
      </c>
      <c r="I609" s="5">
        <v>44713</v>
      </c>
      <c r="J609" s="6">
        <v>0</v>
      </c>
      <c r="K609" s="6">
        <v>0</v>
      </c>
      <c r="L609" s="6">
        <v>3.6999999999999998E-2</v>
      </c>
      <c r="M609" s="6">
        <v>3.6999999999999998E-2</v>
      </c>
      <c r="N609" s="6">
        <v>3.6999999999999998E-2</v>
      </c>
      <c r="O609" s="6">
        <v>3.6999999999999998E-2</v>
      </c>
      <c r="P609" s="6">
        <v>0</v>
      </c>
      <c r="Q609" s="4" t="s">
        <v>26</v>
      </c>
      <c r="R609" s="4">
        <v>0</v>
      </c>
      <c r="S609" s="4">
        <v>0</v>
      </c>
      <c r="T609" s="4">
        <v>50</v>
      </c>
      <c r="U609" s="4">
        <v>94</v>
      </c>
      <c r="V609" s="6">
        <f>IF(ISERROR(VLOOKUP($S$609,'TAR FIN'!$A$1:$O$115,15,0)),0,VLOOKUP($S$609,'TAR FIN'!$A$1:$O$115,15,0))</f>
        <v>0</v>
      </c>
      <c r="W609" s="6">
        <f>IF(ISERROR(VLOOKUP($T$609,'TAR FIN'!$A$1:$O$115,15,0)),0,VLOOKUP($T$609,'TAR FIN'!$A$1:$O$115,15,0))</f>
        <v>663.5</v>
      </c>
      <c r="X609" s="6">
        <f>IF(ISERROR(VLOOKUP($U$609,'TAR FIN'!$A$1:$O$115,15,0)),0,VLOOKUP($U$609,'TAR FIN'!$A$1:$O$115,15,0))</f>
        <v>147.88999999999999</v>
      </c>
      <c r="Y609" s="6"/>
      <c r="Z609" s="6">
        <f ca="1">('TUSD BE'!$AM$48+'TUSD BF'!$AM$48+'TUSD CVA'!$AM$48)*(1-CUSTOS!$M$38)</f>
        <v>743.00402372921542</v>
      </c>
      <c r="AA609" s="6">
        <f>('TE BE'!$AB$31+'TE BF'!$AB$31+'TE CVA'!$AB$31)*(1-CUSTOS!$M$38)</f>
        <v>205.56430218792661</v>
      </c>
      <c r="AB609" s="6">
        <f t="shared" si="28"/>
        <v>0</v>
      </c>
      <c r="AC609" s="6">
        <f>(L609*W609+M609*X609)/(1-CUSTOS!$M$38)*CUSTOS!$M$38</f>
        <v>1.9162614893617023</v>
      </c>
      <c r="AD609" s="6">
        <f t="shared" si="29"/>
        <v>0</v>
      </c>
      <c r="AE609" s="6">
        <f ca="1">(L609*Z609+N609*AA609)/(1-CUSTOS!$M$38)*CUSTOS!$M$38</f>
        <v>2.2402358335489954</v>
      </c>
      <c r="AF609" s="4" t="s">
        <v>933</v>
      </c>
    </row>
    <row r="610" spans="1:32" ht="11.25" customHeight="1" x14ac:dyDescent="0.25">
      <c r="A610" s="4" t="s">
        <v>21</v>
      </c>
      <c r="B610" s="4" t="s">
        <v>46</v>
      </c>
      <c r="C610" s="4" t="s">
        <v>35</v>
      </c>
      <c r="D610" s="4" t="s">
        <v>47</v>
      </c>
      <c r="E610" s="4" t="s">
        <v>25</v>
      </c>
      <c r="F610" s="4" t="s">
        <v>25</v>
      </c>
      <c r="G610" s="4" t="s">
        <v>25</v>
      </c>
      <c r="H610" s="4" t="s">
        <v>38</v>
      </c>
      <c r="I610" s="5">
        <v>44743</v>
      </c>
      <c r="J610" s="6">
        <v>0</v>
      </c>
      <c r="K610" s="6">
        <v>0</v>
      </c>
      <c r="L610" s="6">
        <v>5.1999999999999998E-2</v>
      </c>
      <c r="M610" s="6">
        <v>5.1999999999999998E-2</v>
      </c>
      <c r="N610" s="6">
        <v>5.1999999999999998E-2</v>
      </c>
      <c r="O610" s="6">
        <v>5.1999999999999998E-2</v>
      </c>
      <c r="P610" s="6">
        <v>0</v>
      </c>
      <c r="Q610" s="4" t="s">
        <v>26</v>
      </c>
      <c r="R610" s="4">
        <v>0</v>
      </c>
      <c r="S610" s="4">
        <v>0</v>
      </c>
      <c r="T610" s="4">
        <v>50</v>
      </c>
      <c r="U610" s="4">
        <v>94</v>
      </c>
      <c r="V610" s="6">
        <f>IF(ISERROR(VLOOKUP($S$610,'TAR FIN'!$A$1:$O$115,15,0)),0,VLOOKUP($S$610,'TAR FIN'!$A$1:$O$115,15,0))</f>
        <v>0</v>
      </c>
      <c r="W610" s="6">
        <f>IF(ISERROR(VLOOKUP($T$610,'TAR FIN'!$A$1:$O$115,15,0)),0,VLOOKUP($T$610,'TAR FIN'!$A$1:$O$115,15,0))</f>
        <v>663.5</v>
      </c>
      <c r="X610" s="6">
        <f>IF(ISERROR(VLOOKUP($U$610,'TAR FIN'!$A$1:$O$115,15,0)),0,VLOOKUP($U$610,'TAR FIN'!$A$1:$O$115,15,0))</f>
        <v>147.88999999999999</v>
      </c>
      <c r="Y610" s="6"/>
      <c r="Z610" s="6">
        <f ca="1">('TUSD BE'!$AM$48+'TUSD BF'!$AM$48+'TUSD CVA'!$AM$48)*(1-CUSTOS!$M$38)</f>
        <v>743.00402372921542</v>
      </c>
      <c r="AA610" s="6">
        <f>('TE BE'!$AB$31+'TE BF'!$AB$31+'TE CVA'!$AB$31)*(1-CUSTOS!$M$38)</f>
        <v>205.56430218792661</v>
      </c>
      <c r="AB610" s="6">
        <f t="shared" si="28"/>
        <v>0</v>
      </c>
      <c r="AC610" s="6">
        <f>(L610*W610+M610*X610)/(1-CUSTOS!$M$38)*CUSTOS!$M$38</f>
        <v>2.6931242553191486</v>
      </c>
      <c r="AD610" s="6">
        <f t="shared" si="29"/>
        <v>0</v>
      </c>
      <c r="AE610" s="6">
        <f ca="1">(L610*Z610+N610*AA610)/(1-CUSTOS!$M$38)*CUSTOS!$M$38</f>
        <v>3.1484395498526418</v>
      </c>
      <c r="AF610" s="4" t="s">
        <v>933</v>
      </c>
    </row>
    <row r="611" spans="1:32" ht="11.25" customHeight="1" x14ac:dyDescent="0.25">
      <c r="A611" s="4" t="s">
        <v>21</v>
      </c>
      <c r="B611" s="4" t="s">
        <v>46</v>
      </c>
      <c r="C611" s="4" t="s">
        <v>35</v>
      </c>
      <c r="D611" s="4" t="s">
        <v>47</v>
      </c>
      <c r="E611" s="4" t="s">
        <v>25</v>
      </c>
      <c r="F611" s="4" t="s">
        <v>25</v>
      </c>
      <c r="G611" s="4" t="s">
        <v>25</v>
      </c>
      <c r="H611" s="4" t="s">
        <v>38</v>
      </c>
      <c r="I611" s="5">
        <v>44774</v>
      </c>
      <c r="J611" s="6">
        <v>0</v>
      </c>
      <c r="K611" s="6">
        <v>0</v>
      </c>
      <c r="L611" s="6">
        <v>5.5E-2</v>
      </c>
      <c r="M611" s="6">
        <v>5.5E-2</v>
      </c>
      <c r="N611" s="6">
        <v>5.5E-2</v>
      </c>
      <c r="O611" s="6">
        <v>5.5E-2</v>
      </c>
      <c r="P611" s="6">
        <v>0</v>
      </c>
      <c r="Q611" s="4" t="s">
        <v>26</v>
      </c>
      <c r="R611" s="4">
        <v>0</v>
      </c>
      <c r="S611" s="4">
        <v>0</v>
      </c>
      <c r="T611" s="4">
        <v>50</v>
      </c>
      <c r="U611" s="4">
        <v>94</v>
      </c>
      <c r="V611" s="6">
        <f>IF(ISERROR(VLOOKUP($S$611,'TAR FIN'!$A$1:$O$115,15,0)),0,VLOOKUP($S$611,'TAR FIN'!$A$1:$O$115,15,0))</f>
        <v>0</v>
      </c>
      <c r="W611" s="6">
        <f>IF(ISERROR(VLOOKUP($T$611,'TAR FIN'!$A$1:$O$115,15,0)),0,VLOOKUP($T$611,'TAR FIN'!$A$1:$O$115,15,0))</f>
        <v>663.5</v>
      </c>
      <c r="X611" s="6">
        <f>IF(ISERROR(VLOOKUP($U$611,'TAR FIN'!$A$1:$O$115,15,0)),0,VLOOKUP($U$611,'TAR FIN'!$A$1:$O$115,15,0))</f>
        <v>147.88999999999999</v>
      </c>
      <c r="Y611" s="6"/>
      <c r="Z611" s="6">
        <f ca="1">('TUSD BE'!$AM$48+'TUSD BF'!$AM$48+'TUSD CVA'!$AM$48)*(1-CUSTOS!$M$38)</f>
        <v>743.00402372921542</v>
      </c>
      <c r="AA611" s="6">
        <f>('TE BE'!$AB$31+'TE BF'!$AB$31+'TE CVA'!$AB$31)*(1-CUSTOS!$M$38)</f>
        <v>205.56430218792661</v>
      </c>
      <c r="AB611" s="6">
        <f t="shared" si="28"/>
        <v>0</v>
      </c>
      <c r="AC611" s="6">
        <f>(L611*W611+M611*X611)/(1-CUSTOS!$M$38)*CUSTOS!$M$38</f>
        <v>2.8484968085106379</v>
      </c>
      <c r="AD611" s="6">
        <f t="shared" si="29"/>
        <v>0</v>
      </c>
      <c r="AE611" s="6">
        <f ca="1">(L611*Z611+N611*AA611)/(1-CUSTOS!$M$38)*CUSTOS!$M$38</f>
        <v>3.3300802931133715</v>
      </c>
      <c r="AF611" s="4" t="s">
        <v>933</v>
      </c>
    </row>
    <row r="612" spans="1:32" ht="11.25" customHeight="1" x14ac:dyDescent="0.25">
      <c r="A612" s="4" t="s">
        <v>21</v>
      </c>
      <c r="B612" s="4" t="s">
        <v>46</v>
      </c>
      <c r="C612" s="4" t="s">
        <v>35</v>
      </c>
      <c r="D612" s="4" t="s">
        <v>47</v>
      </c>
      <c r="E612" s="4" t="s">
        <v>25</v>
      </c>
      <c r="F612" s="4" t="s">
        <v>25</v>
      </c>
      <c r="G612" s="4" t="s">
        <v>25</v>
      </c>
      <c r="H612" s="4" t="s">
        <v>38</v>
      </c>
      <c r="I612" s="5">
        <v>44805</v>
      </c>
      <c r="J612" s="6">
        <v>0</v>
      </c>
      <c r="K612" s="6">
        <v>0</v>
      </c>
      <c r="L612" s="6">
        <v>4.5999999999999999E-2</v>
      </c>
      <c r="M612" s="6">
        <v>4.5999999999999999E-2</v>
      </c>
      <c r="N612" s="6">
        <v>4.5999999999999999E-2</v>
      </c>
      <c r="O612" s="6">
        <v>4.5999999999999999E-2</v>
      </c>
      <c r="P612" s="6">
        <v>0</v>
      </c>
      <c r="Q612" s="4" t="s">
        <v>26</v>
      </c>
      <c r="R612" s="4">
        <v>0</v>
      </c>
      <c r="S612" s="4">
        <v>0</v>
      </c>
      <c r="T612" s="4">
        <v>50</v>
      </c>
      <c r="U612" s="4">
        <v>94</v>
      </c>
      <c r="V612" s="6">
        <f>IF(ISERROR(VLOOKUP($S$612,'TAR FIN'!$A$1:$O$115,15,0)),0,VLOOKUP($S$612,'TAR FIN'!$A$1:$O$115,15,0))</f>
        <v>0</v>
      </c>
      <c r="W612" s="6">
        <f>IF(ISERROR(VLOOKUP($T$612,'TAR FIN'!$A$1:$O$115,15,0)),0,VLOOKUP($T$612,'TAR FIN'!$A$1:$O$115,15,0))</f>
        <v>663.5</v>
      </c>
      <c r="X612" s="6">
        <f>IF(ISERROR(VLOOKUP($U$612,'TAR FIN'!$A$1:$O$115,15,0)),0,VLOOKUP($U$612,'TAR FIN'!$A$1:$O$115,15,0))</f>
        <v>147.88999999999999</v>
      </c>
      <c r="Y612" s="6"/>
      <c r="Z612" s="6">
        <f ca="1">('TUSD BE'!$AM$48+'TUSD BF'!$AM$48+'TUSD CVA'!$AM$48)*(1-CUSTOS!$M$38)</f>
        <v>743.00402372921542</v>
      </c>
      <c r="AA612" s="6">
        <f>('TE BE'!$AB$31+'TE BF'!$AB$31+'TE CVA'!$AB$31)*(1-CUSTOS!$M$38)</f>
        <v>205.56430218792661</v>
      </c>
      <c r="AB612" s="6">
        <f t="shared" si="28"/>
        <v>0</v>
      </c>
      <c r="AC612" s="6">
        <f>(L612*W612+M612*X612)/(1-CUSTOS!$M$38)*CUSTOS!$M$38</f>
        <v>2.3823791489361703</v>
      </c>
      <c r="AD612" s="6">
        <f t="shared" si="29"/>
        <v>0</v>
      </c>
      <c r="AE612" s="6">
        <f ca="1">(L612*Z612+N612*AA612)/(1-CUSTOS!$M$38)*CUSTOS!$M$38</f>
        <v>2.785158063331183</v>
      </c>
      <c r="AF612" s="4" t="s">
        <v>933</v>
      </c>
    </row>
    <row r="613" spans="1:32" ht="11.25" customHeight="1" x14ac:dyDescent="0.25">
      <c r="A613" s="4" t="s">
        <v>21</v>
      </c>
      <c r="B613" s="4" t="s">
        <v>46</v>
      </c>
      <c r="C613" s="4" t="s">
        <v>35</v>
      </c>
      <c r="D613" s="4" t="s">
        <v>47</v>
      </c>
      <c r="E613" s="4" t="s">
        <v>25</v>
      </c>
      <c r="F613" s="4" t="s">
        <v>25</v>
      </c>
      <c r="G613" s="4" t="s">
        <v>25</v>
      </c>
      <c r="H613" s="4" t="s">
        <v>38</v>
      </c>
      <c r="I613" s="5">
        <v>44835</v>
      </c>
      <c r="J613" s="6">
        <v>0</v>
      </c>
      <c r="K613" s="6">
        <v>0</v>
      </c>
      <c r="L613" s="6">
        <v>4.9000000000000002E-2</v>
      </c>
      <c r="M613" s="6">
        <v>4.9000000000000002E-2</v>
      </c>
      <c r="N613" s="6">
        <v>4.9000000000000002E-2</v>
      </c>
      <c r="O613" s="6">
        <v>4.9000000000000002E-2</v>
      </c>
      <c r="P613" s="6">
        <v>0</v>
      </c>
      <c r="Q613" s="4" t="s">
        <v>26</v>
      </c>
      <c r="R613" s="4">
        <v>0</v>
      </c>
      <c r="S613" s="4">
        <v>0</v>
      </c>
      <c r="T613" s="4">
        <v>50</v>
      </c>
      <c r="U613" s="4">
        <v>94</v>
      </c>
      <c r="V613" s="6">
        <f>IF(ISERROR(VLOOKUP($S$613,'TAR FIN'!$A$1:$O$115,15,0)),0,VLOOKUP($S$613,'TAR FIN'!$A$1:$O$115,15,0))</f>
        <v>0</v>
      </c>
      <c r="W613" s="6">
        <f>IF(ISERROR(VLOOKUP($T$613,'TAR FIN'!$A$1:$O$115,15,0)),0,VLOOKUP($T$613,'TAR FIN'!$A$1:$O$115,15,0))</f>
        <v>663.5</v>
      </c>
      <c r="X613" s="6">
        <f>IF(ISERROR(VLOOKUP($U$613,'TAR FIN'!$A$1:$O$115,15,0)),0,VLOOKUP($U$613,'TAR FIN'!$A$1:$O$115,15,0))</f>
        <v>147.88999999999999</v>
      </c>
      <c r="Y613" s="6"/>
      <c r="Z613" s="6">
        <f ca="1">('TUSD BE'!$AM$48+'TUSD BF'!$AM$48+'TUSD CVA'!$AM$48)*(1-CUSTOS!$M$38)</f>
        <v>743.00402372921542</v>
      </c>
      <c r="AA613" s="6">
        <f>('TE BE'!$AB$31+'TE BF'!$AB$31+'TE CVA'!$AB$31)*(1-CUSTOS!$M$38)</f>
        <v>205.56430218792661</v>
      </c>
      <c r="AB613" s="6">
        <f t="shared" si="28"/>
        <v>0</v>
      </c>
      <c r="AC613" s="6">
        <f>(L613*W613+M613*X613)/(1-CUSTOS!$M$38)*CUSTOS!$M$38</f>
        <v>2.5377517021276597</v>
      </c>
      <c r="AD613" s="6">
        <f t="shared" si="29"/>
        <v>0</v>
      </c>
      <c r="AE613" s="6">
        <f ca="1">(L613*Z613+N613*AA613)/(1-CUSTOS!$M$38)*CUSTOS!$M$38</f>
        <v>2.9667988065919126</v>
      </c>
      <c r="AF613" s="4" t="s">
        <v>933</v>
      </c>
    </row>
    <row r="614" spans="1:32" ht="11.25" customHeight="1" x14ac:dyDescent="0.25">
      <c r="A614" s="4" t="s">
        <v>59</v>
      </c>
      <c r="B614" s="4" t="s">
        <v>46</v>
      </c>
      <c r="C614" s="4" t="s">
        <v>35</v>
      </c>
      <c r="D614" s="4" t="s">
        <v>47</v>
      </c>
      <c r="E614" s="4" t="s">
        <v>25</v>
      </c>
      <c r="F614" s="4" t="s">
        <v>25</v>
      </c>
      <c r="G614" s="4" t="s">
        <v>25</v>
      </c>
      <c r="H614" s="4" t="s">
        <v>38</v>
      </c>
      <c r="I614" s="5">
        <v>44866</v>
      </c>
      <c r="J614" s="6">
        <v>0</v>
      </c>
      <c r="K614" s="6">
        <v>0</v>
      </c>
      <c r="L614" s="6">
        <v>4.9000000000000002E-2</v>
      </c>
      <c r="M614" s="6">
        <v>4.9000000000000002E-2</v>
      </c>
      <c r="N614" s="6">
        <v>4.9000000000000002E-2</v>
      </c>
      <c r="O614" s="6">
        <v>4.9000000000000002E-2</v>
      </c>
      <c r="P614" s="6">
        <v>0</v>
      </c>
      <c r="Q614" s="4" t="s">
        <v>26</v>
      </c>
      <c r="R614" s="4">
        <v>0</v>
      </c>
      <c r="S614" s="4">
        <v>0</v>
      </c>
      <c r="T614" s="4">
        <v>50</v>
      </c>
      <c r="U614" s="4">
        <v>94</v>
      </c>
      <c r="V614" s="6">
        <f>IF(ISERROR(VLOOKUP($S$614,'TAR FIN'!$A$1:$O$115,15,0)),0,VLOOKUP($S$614,'TAR FIN'!$A$1:$O$115,15,0))</f>
        <v>0</v>
      </c>
      <c r="W614" s="6">
        <f>IF(ISERROR(VLOOKUP($T$614,'TAR FIN'!$A$1:$O$115,15,0)),0,VLOOKUP($T$614,'TAR FIN'!$A$1:$O$115,15,0))</f>
        <v>663.5</v>
      </c>
      <c r="X614" s="6">
        <f>IF(ISERROR(VLOOKUP($U$614,'TAR FIN'!$A$1:$O$115,15,0)),0,VLOOKUP($U$614,'TAR FIN'!$A$1:$O$115,15,0))</f>
        <v>147.88999999999999</v>
      </c>
      <c r="Y614" s="6"/>
      <c r="Z614" s="6">
        <f ca="1">('TUSD BE'!$AM$48+'TUSD BF'!$AM$48+'TUSD CVA'!$AM$48)*(1-CUSTOS!$M$38)</f>
        <v>743.00402372921542</v>
      </c>
      <c r="AA614" s="6">
        <f>('TE BE'!$AB$31+'TE BF'!$AB$31+'TE CVA'!$AB$31)*(1-CUSTOS!$M$38)</f>
        <v>205.56430218792661</v>
      </c>
      <c r="AB614" s="6">
        <f t="shared" si="28"/>
        <v>0</v>
      </c>
      <c r="AC614" s="6">
        <f>(L614*W614+M614*X614)/(1-CUSTOS!$M$38)*CUSTOS!$M$38</f>
        <v>2.5377517021276597</v>
      </c>
      <c r="AD614" s="6">
        <f t="shared" si="29"/>
        <v>0</v>
      </c>
      <c r="AE614" s="6">
        <f ca="1">(L614*Z614+N614*AA614)/(1-CUSTOS!$M$38)*CUSTOS!$M$38</f>
        <v>2.9667988065919126</v>
      </c>
      <c r="AF614" s="4" t="s">
        <v>933</v>
      </c>
    </row>
    <row r="615" spans="1:32" ht="11.25" customHeight="1" x14ac:dyDescent="0.25">
      <c r="A615" s="4" t="s">
        <v>21</v>
      </c>
      <c r="B615" s="4" t="s">
        <v>46</v>
      </c>
      <c r="C615" s="4" t="s">
        <v>35</v>
      </c>
      <c r="D615" s="4" t="s">
        <v>47</v>
      </c>
      <c r="E615" s="4" t="s">
        <v>25</v>
      </c>
      <c r="F615" s="4" t="s">
        <v>25</v>
      </c>
      <c r="G615" s="4" t="s">
        <v>25</v>
      </c>
      <c r="H615" s="4" t="s">
        <v>36</v>
      </c>
      <c r="I615" s="5">
        <v>44531</v>
      </c>
      <c r="J615" s="6">
        <v>0</v>
      </c>
      <c r="K615" s="6">
        <v>0</v>
      </c>
      <c r="L615" s="6">
        <v>0.29199999999999998</v>
      </c>
      <c r="M615" s="6">
        <v>0.29199999999999998</v>
      </c>
      <c r="N615" s="6">
        <v>0.29199999999999998</v>
      </c>
      <c r="O615" s="6">
        <v>0.29199999999999998</v>
      </c>
      <c r="P615" s="6">
        <v>0</v>
      </c>
      <c r="Q615" s="4" t="s">
        <v>26</v>
      </c>
      <c r="R615" s="4">
        <v>0</v>
      </c>
      <c r="S615" s="4">
        <v>0</v>
      </c>
      <c r="T615" s="4">
        <v>49</v>
      </c>
      <c r="U615" s="4">
        <v>93</v>
      </c>
      <c r="V615" s="6">
        <f>IF(ISERROR(VLOOKUP($S$615,'TAR FIN'!$A$1:$O$115,15,0)),0,VLOOKUP($S$615,'TAR FIN'!$A$1:$O$115,15,0))</f>
        <v>0</v>
      </c>
      <c r="W615" s="6">
        <f>IF(ISERROR(VLOOKUP($T$615,'TAR FIN'!$A$1:$O$115,15,0)),0,VLOOKUP($T$615,'TAR FIN'!$A$1:$O$115,15,0))</f>
        <v>1039.0999999999999</v>
      </c>
      <c r="X615" s="6">
        <f>IF(ISERROR(VLOOKUP($U$615,'TAR FIN'!$A$1:$O$115,15,0)),0,VLOOKUP($U$615,'TAR FIN'!$A$1:$O$115,15,0))</f>
        <v>237.87</v>
      </c>
      <c r="Y615" s="6"/>
      <c r="Z615" s="6">
        <f ca="1">('TUSD BE'!$AM$47+'TUSD BF'!$AM$47+'TUSD CVA'!$AM$47)*(1-CUSTOS!$M$38)</f>
        <v>1141.2204051948077</v>
      </c>
      <c r="AA615" s="6">
        <f>('TE BE'!$AB$30+'TE BF'!$AB$30+'TE CVA'!$AB$30)*(1-CUSTOS!$M$38)</f>
        <v>340.88534762258826</v>
      </c>
      <c r="AB615" s="6">
        <f t="shared" si="28"/>
        <v>0</v>
      </c>
      <c r="AC615" s="6">
        <f>(L615*W615+M615*X615)/(1-CUSTOS!$M$38)*CUSTOS!$M$38</f>
        <v>23.800547234042554</v>
      </c>
      <c r="AD615" s="6">
        <f t="shared" si="29"/>
        <v>0</v>
      </c>
      <c r="AE615" s="6">
        <f ca="1">(L615*Z615+N615*AA615)/(1-CUSTOS!$M$38)*CUSTOS!$M$38</f>
        <v>27.623928499319973</v>
      </c>
      <c r="AF615" s="4" t="s">
        <v>933</v>
      </c>
    </row>
    <row r="616" spans="1:32" ht="11.25" customHeight="1" x14ac:dyDescent="0.25">
      <c r="A616" s="4" t="s">
        <v>28</v>
      </c>
      <c r="B616" s="4" t="s">
        <v>46</v>
      </c>
      <c r="C616" s="4" t="s">
        <v>35</v>
      </c>
      <c r="D616" s="4" t="s">
        <v>47</v>
      </c>
      <c r="E616" s="4" t="s">
        <v>25</v>
      </c>
      <c r="F616" s="4" t="s">
        <v>25</v>
      </c>
      <c r="G616" s="4" t="s">
        <v>25</v>
      </c>
      <c r="H616" s="4" t="s">
        <v>36</v>
      </c>
      <c r="I616" s="5">
        <v>44531</v>
      </c>
      <c r="J616" s="6">
        <v>0</v>
      </c>
      <c r="K616" s="6">
        <v>0</v>
      </c>
      <c r="L616" s="6">
        <v>1E-3</v>
      </c>
      <c r="M616" s="6">
        <v>1E-3</v>
      </c>
      <c r="N616" s="6">
        <v>1E-3</v>
      </c>
      <c r="O616" s="6">
        <v>1E-3</v>
      </c>
      <c r="P616" s="6">
        <v>0</v>
      </c>
      <c r="Q616" s="4" t="s">
        <v>26</v>
      </c>
      <c r="R616" s="4">
        <v>0</v>
      </c>
      <c r="S616" s="4">
        <v>0</v>
      </c>
      <c r="T616" s="4">
        <v>49</v>
      </c>
      <c r="U616" s="4">
        <v>93</v>
      </c>
      <c r="V616" s="6">
        <f>IF(ISERROR(VLOOKUP($S$616,'TAR FIN'!$A$1:$O$115,15,0)),0,VLOOKUP($S$616,'TAR FIN'!$A$1:$O$115,15,0))</f>
        <v>0</v>
      </c>
      <c r="W616" s="6">
        <f>IF(ISERROR(VLOOKUP($T$616,'TAR FIN'!$A$1:$O$115,15,0)),0,VLOOKUP($T$616,'TAR FIN'!$A$1:$O$115,15,0))</f>
        <v>1039.0999999999999</v>
      </c>
      <c r="X616" s="6">
        <f>IF(ISERROR(VLOOKUP($U$616,'TAR FIN'!$A$1:$O$115,15,0)),0,VLOOKUP($U$616,'TAR FIN'!$A$1:$O$115,15,0))</f>
        <v>237.87</v>
      </c>
      <c r="Y616" s="6"/>
      <c r="Z616" s="6">
        <f ca="1">('TUSD BE'!$AM$47+'TUSD BF'!$AM$47+'TUSD CVA'!$AM$47)*(1-CUSTOS!$M$38)</f>
        <v>1141.2204051948077</v>
      </c>
      <c r="AA616" s="6">
        <f>('TE BE'!$AB$30+'TE BF'!$AB$30+'TE CVA'!$AB$30)*(1-CUSTOS!$M$38)</f>
        <v>340.88534762258826</v>
      </c>
      <c r="AB616" s="6">
        <f t="shared" si="28"/>
        <v>0</v>
      </c>
      <c r="AC616" s="6">
        <f>(L616*W616+M616*X616)/(1-CUSTOS!$M$38)*CUSTOS!$M$38</f>
        <v>8.1508723404255315E-2</v>
      </c>
      <c r="AD616" s="6">
        <f t="shared" si="29"/>
        <v>0</v>
      </c>
      <c r="AE616" s="6">
        <f ca="1">(L616*Z616+N616*AA616)/(1-CUSTOS!$M$38)*CUSTOS!$M$38</f>
        <v>9.4602494860684838E-2</v>
      </c>
      <c r="AF616" s="4" t="s">
        <v>933</v>
      </c>
    </row>
    <row r="617" spans="1:32" ht="11.25" customHeight="1" x14ac:dyDescent="0.25">
      <c r="A617" s="4" t="s">
        <v>21</v>
      </c>
      <c r="B617" s="4" t="s">
        <v>46</v>
      </c>
      <c r="C617" s="4" t="s">
        <v>35</v>
      </c>
      <c r="D617" s="4" t="s">
        <v>47</v>
      </c>
      <c r="E617" s="4" t="s">
        <v>25</v>
      </c>
      <c r="F617" s="4" t="s">
        <v>25</v>
      </c>
      <c r="G617" s="4" t="s">
        <v>25</v>
      </c>
      <c r="H617" s="4" t="s">
        <v>36</v>
      </c>
      <c r="I617" s="5">
        <v>44562</v>
      </c>
      <c r="J617" s="6">
        <v>0</v>
      </c>
      <c r="K617" s="6">
        <v>0</v>
      </c>
      <c r="L617" s="6">
        <v>0.29599999999999999</v>
      </c>
      <c r="M617" s="6">
        <v>0.29599999999999999</v>
      </c>
      <c r="N617" s="6">
        <v>0.29599999999999999</v>
      </c>
      <c r="O617" s="6">
        <v>0.29599999999999999</v>
      </c>
      <c r="P617" s="6">
        <v>0</v>
      </c>
      <c r="Q617" s="4" t="s">
        <v>26</v>
      </c>
      <c r="R617" s="4">
        <v>0</v>
      </c>
      <c r="S617" s="4">
        <v>0</v>
      </c>
      <c r="T617" s="4">
        <v>49</v>
      </c>
      <c r="U617" s="4">
        <v>93</v>
      </c>
      <c r="V617" s="6">
        <f>IF(ISERROR(VLOOKUP($S$617,'TAR FIN'!$A$1:$O$115,15,0)),0,VLOOKUP($S$617,'TAR FIN'!$A$1:$O$115,15,0))</f>
        <v>0</v>
      </c>
      <c r="W617" s="6">
        <f>IF(ISERROR(VLOOKUP($T$617,'TAR FIN'!$A$1:$O$115,15,0)),0,VLOOKUP($T$617,'TAR FIN'!$A$1:$O$115,15,0))</f>
        <v>1039.0999999999999</v>
      </c>
      <c r="X617" s="6">
        <f>IF(ISERROR(VLOOKUP($U$617,'TAR FIN'!$A$1:$O$115,15,0)),0,VLOOKUP($U$617,'TAR FIN'!$A$1:$O$115,15,0))</f>
        <v>237.87</v>
      </c>
      <c r="Y617" s="6"/>
      <c r="Z617" s="6">
        <f ca="1">('TUSD BE'!$AM$47+'TUSD BF'!$AM$47+'TUSD CVA'!$AM$47)*(1-CUSTOS!$M$38)</f>
        <v>1141.2204051948077</v>
      </c>
      <c r="AA617" s="6">
        <f>('TE BE'!$AB$30+'TE BF'!$AB$30+'TE CVA'!$AB$30)*(1-CUSTOS!$M$38)</f>
        <v>340.88534762258826</v>
      </c>
      <c r="AB617" s="6">
        <f t="shared" si="28"/>
        <v>0</v>
      </c>
      <c r="AC617" s="6">
        <f>(L617*W617+M617*X617)/(1-CUSTOS!$M$38)*CUSTOS!$M$38</f>
        <v>24.126582127659571</v>
      </c>
      <c r="AD617" s="6">
        <f t="shared" si="29"/>
        <v>0</v>
      </c>
      <c r="AE617" s="6">
        <f ca="1">(L617*Z617+N617*AA617)/(1-CUSTOS!$M$38)*CUSTOS!$M$38</f>
        <v>28.002338478762713</v>
      </c>
      <c r="AF617" s="4" t="s">
        <v>933</v>
      </c>
    </row>
    <row r="618" spans="1:32" ht="11.25" customHeight="1" x14ac:dyDescent="0.25">
      <c r="A618" s="4" t="s">
        <v>28</v>
      </c>
      <c r="B618" s="4" t="s">
        <v>46</v>
      </c>
      <c r="C618" s="4" t="s">
        <v>35</v>
      </c>
      <c r="D618" s="4" t="s">
        <v>47</v>
      </c>
      <c r="E618" s="4" t="s">
        <v>25</v>
      </c>
      <c r="F618" s="4" t="s">
        <v>25</v>
      </c>
      <c r="G618" s="4" t="s">
        <v>25</v>
      </c>
      <c r="H618" s="4" t="s">
        <v>36</v>
      </c>
      <c r="I618" s="5">
        <v>44562</v>
      </c>
      <c r="J618" s="6">
        <v>0</v>
      </c>
      <c r="K618" s="6">
        <v>0</v>
      </c>
      <c r="L618" s="6">
        <v>1.2999999999999999E-2</v>
      </c>
      <c r="M618" s="6">
        <v>1.2999999999999999E-2</v>
      </c>
      <c r="N618" s="6">
        <v>1.2999999999999999E-2</v>
      </c>
      <c r="O618" s="6">
        <v>1.2999999999999999E-2</v>
      </c>
      <c r="P618" s="6">
        <v>0</v>
      </c>
      <c r="Q618" s="4" t="s">
        <v>26</v>
      </c>
      <c r="R618" s="4">
        <v>0</v>
      </c>
      <c r="S618" s="4">
        <v>0</v>
      </c>
      <c r="T618" s="4">
        <v>49</v>
      </c>
      <c r="U618" s="4">
        <v>93</v>
      </c>
      <c r="V618" s="6">
        <f>IF(ISERROR(VLOOKUP($S$618,'TAR FIN'!$A$1:$O$115,15,0)),0,VLOOKUP($S$618,'TAR FIN'!$A$1:$O$115,15,0))</f>
        <v>0</v>
      </c>
      <c r="W618" s="6">
        <f>IF(ISERROR(VLOOKUP($T$618,'TAR FIN'!$A$1:$O$115,15,0)),0,VLOOKUP($T$618,'TAR FIN'!$A$1:$O$115,15,0))</f>
        <v>1039.0999999999999</v>
      </c>
      <c r="X618" s="6">
        <f>IF(ISERROR(VLOOKUP($U$618,'TAR FIN'!$A$1:$O$115,15,0)),0,VLOOKUP($U$618,'TAR FIN'!$A$1:$O$115,15,0))</f>
        <v>237.87</v>
      </c>
      <c r="Y618" s="6"/>
      <c r="Z618" s="6">
        <f ca="1">('TUSD BE'!$AM$47+'TUSD BF'!$AM$47+'TUSD CVA'!$AM$47)*(1-CUSTOS!$M$38)</f>
        <v>1141.2204051948077</v>
      </c>
      <c r="AA618" s="6">
        <f>('TE BE'!$AB$30+'TE BF'!$AB$30+'TE CVA'!$AB$30)*(1-CUSTOS!$M$38)</f>
        <v>340.88534762258826</v>
      </c>
      <c r="AB618" s="6">
        <f t="shared" si="28"/>
        <v>0</v>
      </c>
      <c r="AC618" s="6">
        <f>(L618*W618+M618*X618)/(1-CUSTOS!$M$38)*CUSTOS!$M$38</f>
        <v>1.0596134042553191</v>
      </c>
      <c r="AD618" s="6">
        <f t="shared" si="29"/>
        <v>0</v>
      </c>
      <c r="AE618" s="6">
        <f ca="1">(L618*Z618+N618*AA618)/(1-CUSTOS!$M$38)*CUSTOS!$M$38</f>
        <v>1.229832433188903</v>
      </c>
      <c r="AF618" s="4" t="s">
        <v>933</v>
      </c>
    </row>
    <row r="619" spans="1:32" ht="11.25" customHeight="1" x14ac:dyDescent="0.25">
      <c r="A619" s="4" t="s">
        <v>21</v>
      </c>
      <c r="B619" s="4" t="s">
        <v>46</v>
      </c>
      <c r="C619" s="4" t="s">
        <v>35</v>
      </c>
      <c r="D619" s="4" t="s">
        <v>47</v>
      </c>
      <c r="E619" s="4" t="s">
        <v>25</v>
      </c>
      <c r="F619" s="4" t="s">
        <v>25</v>
      </c>
      <c r="G619" s="4" t="s">
        <v>25</v>
      </c>
      <c r="H619" s="4" t="s">
        <v>36</v>
      </c>
      <c r="I619" s="5">
        <v>44593</v>
      </c>
      <c r="J619" s="6">
        <v>0</v>
      </c>
      <c r="K619" s="6">
        <v>0</v>
      </c>
      <c r="L619" s="6">
        <v>0.315</v>
      </c>
      <c r="M619" s="6">
        <v>0.315</v>
      </c>
      <c r="N619" s="6">
        <v>0.315</v>
      </c>
      <c r="O619" s="6">
        <v>0.315</v>
      </c>
      <c r="P619" s="6">
        <v>0</v>
      </c>
      <c r="Q619" s="4" t="s">
        <v>26</v>
      </c>
      <c r="R619" s="4">
        <v>0</v>
      </c>
      <c r="S619" s="4">
        <v>0</v>
      </c>
      <c r="T619" s="4">
        <v>49</v>
      </c>
      <c r="U619" s="4">
        <v>93</v>
      </c>
      <c r="V619" s="6">
        <f>IF(ISERROR(VLOOKUP($S$619,'TAR FIN'!$A$1:$O$115,15,0)),0,VLOOKUP($S$619,'TAR FIN'!$A$1:$O$115,15,0))</f>
        <v>0</v>
      </c>
      <c r="W619" s="6">
        <f>IF(ISERROR(VLOOKUP($T$619,'TAR FIN'!$A$1:$O$115,15,0)),0,VLOOKUP($T$619,'TAR FIN'!$A$1:$O$115,15,0))</f>
        <v>1039.0999999999999</v>
      </c>
      <c r="X619" s="6">
        <f>IF(ISERROR(VLOOKUP($U$619,'TAR FIN'!$A$1:$O$115,15,0)),0,VLOOKUP($U$619,'TAR FIN'!$A$1:$O$115,15,0))</f>
        <v>237.87</v>
      </c>
      <c r="Y619" s="6"/>
      <c r="Z619" s="6">
        <f ca="1">('TUSD BE'!$AM$47+'TUSD BF'!$AM$47+'TUSD CVA'!$AM$47)*(1-CUSTOS!$M$38)</f>
        <v>1141.2204051948077</v>
      </c>
      <c r="AA619" s="6">
        <f>('TE BE'!$AB$30+'TE BF'!$AB$30+'TE CVA'!$AB$30)*(1-CUSTOS!$M$38)</f>
        <v>340.88534762258826</v>
      </c>
      <c r="AB619" s="6">
        <f t="shared" si="28"/>
        <v>0</v>
      </c>
      <c r="AC619" s="6">
        <f>(L619*W619+M619*X619)/(1-CUSTOS!$M$38)*CUSTOS!$M$38</f>
        <v>25.675247872340424</v>
      </c>
      <c r="AD619" s="6">
        <f t="shared" si="29"/>
        <v>0</v>
      </c>
      <c r="AE619" s="6">
        <f ca="1">(L619*Z619+N619*AA619)/(1-CUSTOS!$M$38)*CUSTOS!$M$38</f>
        <v>29.799785881115724</v>
      </c>
      <c r="AF619" s="4" t="s">
        <v>933</v>
      </c>
    </row>
    <row r="620" spans="1:32" ht="11.25" customHeight="1" x14ac:dyDescent="0.25">
      <c r="A620" s="4" t="s">
        <v>28</v>
      </c>
      <c r="B620" s="4" t="s">
        <v>46</v>
      </c>
      <c r="C620" s="4" t="s">
        <v>35</v>
      </c>
      <c r="D620" s="4" t="s">
        <v>47</v>
      </c>
      <c r="E620" s="4" t="s">
        <v>25</v>
      </c>
      <c r="F620" s="4" t="s">
        <v>25</v>
      </c>
      <c r="G620" s="4" t="s">
        <v>25</v>
      </c>
      <c r="H620" s="4" t="s">
        <v>36</v>
      </c>
      <c r="I620" s="5">
        <v>44593</v>
      </c>
      <c r="J620" s="6">
        <v>0</v>
      </c>
      <c r="K620" s="6">
        <v>0</v>
      </c>
      <c r="L620" s="6">
        <v>1.7999999999999999E-2</v>
      </c>
      <c r="M620" s="6">
        <v>1.7999999999999999E-2</v>
      </c>
      <c r="N620" s="6">
        <v>1.7999999999999999E-2</v>
      </c>
      <c r="O620" s="6">
        <v>1.7999999999999999E-2</v>
      </c>
      <c r="P620" s="6">
        <v>0</v>
      </c>
      <c r="Q620" s="4" t="s">
        <v>26</v>
      </c>
      <c r="R620" s="4">
        <v>0</v>
      </c>
      <c r="S620" s="4">
        <v>0</v>
      </c>
      <c r="T620" s="4">
        <v>49</v>
      </c>
      <c r="U620" s="4">
        <v>93</v>
      </c>
      <c r="V620" s="6">
        <f>IF(ISERROR(VLOOKUP($S$620,'TAR FIN'!$A$1:$O$115,15,0)),0,VLOOKUP($S$620,'TAR FIN'!$A$1:$O$115,15,0))</f>
        <v>0</v>
      </c>
      <c r="W620" s="6">
        <f>IF(ISERROR(VLOOKUP($T$620,'TAR FIN'!$A$1:$O$115,15,0)),0,VLOOKUP($T$620,'TAR FIN'!$A$1:$O$115,15,0))</f>
        <v>1039.0999999999999</v>
      </c>
      <c r="X620" s="6">
        <f>IF(ISERROR(VLOOKUP($U$620,'TAR FIN'!$A$1:$O$115,15,0)),0,VLOOKUP($U$620,'TAR FIN'!$A$1:$O$115,15,0))</f>
        <v>237.87</v>
      </c>
      <c r="Y620" s="6"/>
      <c r="Z620" s="6">
        <f ca="1">('TUSD BE'!$AM$47+'TUSD BF'!$AM$47+'TUSD CVA'!$AM$47)*(1-CUSTOS!$M$38)</f>
        <v>1141.2204051948077</v>
      </c>
      <c r="AA620" s="6">
        <f>('TE BE'!$AB$30+'TE BF'!$AB$30+'TE CVA'!$AB$30)*(1-CUSTOS!$M$38)</f>
        <v>340.88534762258826</v>
      </c>
      <c r="AB620" s="6">
        <f t="shared" si="28"/>
        <v>0</v>
      </c>
      <c r="AC620" s="6">
        <f>(L620*W620+M620*X620)/(1-CUSTOS!$M$38)*CUSTOS!$M$38</f>
        <v>1.4671570212765956</v>
      </c>
      <c r="AD620" s="6">
        <f t="shared" si="29"/>
        <v>0</v>
      </c>
      <c r="AE620" s="6">
        <f ca="1">(L620*Z620+N620*AA620)/(1-CUSTOS!$M$38)*CUSTOS!$M$38</f>
        <v>1.7028449074923271</v>
      </c>
      <c r="AF620" s="4" t="s">
        <v>933</v>
      </c>
    </row>
    <row r="621" spans="1:32" ht="11.25" customHeight="1" x14ac:dyDescent="0.25">
      <c r="A621" s="4" t="s">
        <v>21</v>
      </c>
      <c r="B621" s="4" t="s">
        <v>46</v>
      </c>
      <c r="C621" s="4" t="s">
        <v>35</v>
      </c>
      <c r="D621" s="4" t="s">
        <v>47</v>
      </c>
      <c r="E621" s="4" t="s">
        <v>25</v>
      </c>
      <c r="F621" s="4" t="s">
        <v>25</v>
      </c>
      <c r="G621" s="4" t="s">
        <v>25</v>
      </c>
      <c r="H621" s="4" t="s">
        <v>36</v>
      </c>
      <c r="I621" s="5">
        <v>44621</v>
      </c>
      <c r="J621" s="6">
        <v>0</v>
      </c>
      <c r="K621" s="6">
        <v>0</v>
      </c>
      <c r="L621" s="6">
        <v>0.23400000000000001</v>
      </c>
      <c r="M621" s="6">
        <v>0.23400000000000001</v>
      </c>
      <c r="N621" s="6">
        <v>0.23400000000000001</v>
      </c>
      <c r="O621" s="6">
        <v>0.23400000000000001</v>
      </c>
      <c r="P621" s="6">
        <v>0</v>
      </c>
      <c r="Q621" s="4" t="s">
        <v>26</v>
      </c>
      <c r="R621" s="4">
        <v>0</v>
      </c>
      <c r="S621" s="4">
        <v>0</v>
      </c>
      <c r="T621" s="4">
        <v>49</v>
      </c>
      <c r="U621" s="4">
        <v>93</v>
      </c>
      <c r="V621" s="6">
        <f>IF(ISERROR(VLOOKUP($S$621,'TAR FIN'!$A$1:$O$115,15,0)),0,VLOOKUP($S$621,'TAR FIN'!$A$1:$O$115,15,0))</f>
        <v>0</v>
      </c>
      <c r="W621" s="6">
        <f>IF(ISERROR(VLOOKUP($T$621,'TAR FIN'!$A$1:$O$115,15,0)),0,VLOOKUP($T$621,'TAR FIN'!$A$1:$O$115,15,0))</f>
        <v>1039.0999999999999</v>
      </c>
      <c r="X621" s="6">
        <f>IF(ISERROR(VLOOKUP($U$621,'TAR FIN'!$A$1:$O$115,15,0)),0,VLOOKUP($U$621,'TAR FIN'!$A$1:$O$115,15,0))</f>
        <v>237.87</v>
      </c>
      <c r="Y621" s="6"/>
      <c r="Z621" s="6">
        <f ca="1">('TUSD BE'!$AM$47+'TUSD BF'!$AM$47+'TUSD CVA'!$AM$47)*(1-CUSTOS!$M$38)</f>
        <v>1141.2204051948077</v>
      </c>
      <c r="AA621" s="6">
        <f>('TE BE'!$AB$30+'TE BF'!$AB$30+'TE CVA'!$AB$30)*(1-CUSTOS!$M$38)</f>
        <v>340.88534762258826</v>
      </c>
      <c r="AB621" s="6">
        <f t="shared" si="28"/>
        <v>0</v>
      </c>
      <c r="AC621" s="6">
        <f>(L621*W621+M621*X621)/(1-CUSTOS!$M$38)*CUSTOS!$M$38</f>
        <v>19.073041276595742</v>
      </c>
      <c r="AD621" s="6">
        <f t="shared" si="29"/>
        <v>0</v>
      </c>
      <c r="AE621" s="6">
        <f ca="1">(L621*Z621+N621*AA621)/(1-CUSTOS!$M$38)*CUSTOS!$M$38</f>
        <v>22.136983797400255</v>
      </c>
      <c r="AF621" s="4" t="s">
        <v>933</v>
      </c>
    </row>
    <row r="622" spans="1:32" ht="11.25" customHeight="1" x14ac:dyDescent="0.25">
      <c r="A622" s="4" t="s">
        <v>21</v>
      </c>
      <c r="B622" s="4" t="s">
        <v>46</v>
      </c>
      <c r="C622" s="4" t="s">
        <v>35</v>
      </c>
      <c r="D622" s="4" t="s">
        <v>47</v>
      </c>
      <c r="E622" s="4" t="s">
        <v>25</v>
      </c>
      <c r="F622" s="4" t="s">
        <v>25</v>
      </c>
      <c r="G622" s="4" t="s">
        <v>25</v>
      </c>
      <c r="H622" s="4" t="s">
        <v>36</v>
      </c>
      <c r="I622" s="5">
        <v>44652</v>
      </c>
      <c r="J622" s="6">
        <v>0</v>
      </c>
      <c r="K622" s="6">
        <v>0</v>
      </c>
      <c r="L622" s="6">
        <v>0.26700000000000002</v>
      </c>
      <c r="M622" s="6">
        <v>0.26700000000000002</v>
      </c>
      <c r="N622" s="6">
        <v>0.26700000000000002</v>
      </c>
      <c r="O622" s="6">
        <v>0.26700000000000002</v>
      </c>
      <c r="P622" s="6">
        <v>0</v>
      </c>
      <c r="Q622" s="4" t="s">
        <v>26</v>
      </c>
      <c r="R622" s="4">
        <v>0</v>
      </c>
      <c r="S622" s="4">
        <v>0</v>
      </c>
      <c r="T622" s="4">
        <v>49</v>
      </c>
      <c r="U622" s="4">
        <v>93</v>
      </c>
      <c r="V622" s="6">
        <f>IF(ISERROR(VLOOKUP($S$622,'TAR FIN'!$A$1:$O$115,15,0)),0,VLOOKUP($S$622,'TAR FIN'!$A$1:$O$115,15,0))</f>
        <v>0</v>
      </c>
      <c r="W622" s="6">
        <f>IF(ISERROR(VLOOKUP($T$622,'TAR FIN'!$A$1:$O$115,15,0)),0,VLOOKUP($T$622,'TAR FIN'!$A$1:$O$115,15,0))</f>
        <v>1039.0999999999999</v>
      </c>
      <c r="X622" s="6">
        <f>IF(ISERROR(VLOOKUP($U$622,'TAR FIN'!$A$1:$O$115,15,0)),0,VLOOKUP($U$622,'TAR FIN'!$A$1:$O$115,15,0))</f>
        <v>237.87</v>
      </c>
      <c r="Y622" s="6"/>
      <c r="Z622" s="6">
        <f ca="1">('TUSD BE'!$AM$47+'TUSD BF'!$AM$47+'TUSD CVA'!$AM$47)*(1-CUSTOS!$M$38)</f>
        <v>1141.2204051948077</v>
      </c>
      <c r="AA622" s="6">
        <f>('TE BE'!$AB$30+'TE BF'!$AB$30+'TE CVA'!$AB$30)*(1-CUSTOS!$M$38)</f>
        <v>340.88534762258826</v>
      </c>
      <c r="AB622" s="6">
        <f t="shared" si="28"/>
        <v>0</v>
      </c>
      <c r="AC622" s="6">
        <f>(L622*W622+M622*X622)/(1-CUSTOS!$M$38)*CUSTOS!$M$38</f>
        <v>21.762829148936174</v>
      </c>
      <c r="AD622" s="6">
        <f t="shared" si="29"/>
        <v>0</v>
      </c>
      <c r="AE622" s="6">
        <f ca="1">(L622*Z622+N622*AA622)/(1-CUSTOS!$M$38)*CUSTOS!$M$38</f>
        <v>25.258866127802854</v>
      </c>
      <c r="AF622" s="4" t="s">
        <v>933</v>
      </c>
    </row>
    <row r="623" spans="1:32" ht="11.25" customHeight="1" x14ac:dyDescent="0.25">
      <c r="A623" s="4" t="s">
        <v>21</v>
      </c>
      <c r="B623" s="4" t="s">
        <v>46</v>
      </c>
      <c r="C623" s="4" t="s">
        <v>35</v>
      </c>
      <c r="D623" s="4" t="s">
        <v>47</v>
      </c>
      <c r="E623" s="4" t="s">
        <v>25</v>
      </c>
      <c r="F623" s="4" t="s">
        <v>25</v>
      </c>
      <c r="G623" s="4" t="s">
        <v>25</v>
      </c>
      <c r="H623" s="4" t="s">
        <v>36</v>
      </c>
      <c r="I623" s="5">
        <v>44682</v>
      </c>
      <c r="J623" s="6">
        <v>0</v>
      </c>
      <c r="K623" s="6">
        <v>0</v>
      </c>
      <c r="L623" s="6">
        <v>0.34200000000000003</v>
      </c>
      <c r="M623" s="6">
        <v>0.34200000000000003</v>
      </c>
      <c r="N623" s="6">
        <v>0.34200000000000003</v>
      </c>
      <c r="O623" s="6">
        <v>0.34200000000000003</v>
      </c>
      <c r="P623" s="6">
        <v>0</v>
      </c>
      <c r="Q623" s="4" t="s">
        <v>26</v>
      </c>
      <c r="R623" s="4">
        <v>0</v>
      </c>
      <c r="S623" s="4">
        <v>0</v>
      </c>
      <c r="T623" s="4">
        <v>49</v>
      </c>
      <c r="U623" s="4">
        <v>93</v>
      </c>
      <c r="V623" s="6">
        <f>IF(ISERROR(VLOOKUP($S$623,'TAR FIN'!$A$1:$O$115,15,0)),0,VLOOKUP($S$623,'TAR FIN'!$A$1:$O$115,15,0))</f>
        <v>0</v>
      </c>
      <c r="W623" s="6">
        <f>IF(ISERROR(VLOOKUP($T$623,'TAR FIN'!$A$1:$O$115,15,0)),0,VLOOKUP($T$623,'TAR FIN'!$A$1:$O$115,15,0))</f>
        <v>1039.0999999999999</v>
      </c>
      <c r="X623" s="6">
        <f>IF(ISERROR(VLOOKUP($U$623,'TAR FIN'!$A$1:$O$115,15,0)),0,VLOOKUP($U$623,'TAR FIN'!$A$1:$O$115,15,0))</f>
        <v>237.87</v>
      </c>
      <c r="Y623" s="6"/>
      <c r="Z623" s="6">
        <f ca="1">('TUSD BE'!$AM$47+'TUSD BF'!$AM$47+'TUSD CVA'!$AM$47)*(1-CUSTOS!$M$38)</f>
        <v>1141.2204051948077</v>
      </c>
      <c r="AA623" s="6">
        <f>('TE BE'!$AB$30+'TE BF'!$AB$30+'TE CVA'!$AB$30)*(1-CUSTOS!$M$38)</f>
        <v>340.88534762258826</v>
      </c>
      <c r="AB623" s="6">
        <f t="shared" si="28"/>
        <v>0</v>
      </c>
      <c r="AC623" s="6">
        <f>(L623*W623+M623*X623)/(1-CUSTOS!$M$38)*CUSTOS!$M$38</f>
        <v>27.875983404255322</v>
      </c>
      <c r="AD623" s="6">
        <f t="shared" si="29"/>
        <v>0</v>
      </c>
      <c r="AE623" s="6">
        <f ca="1">(L623*Z623+N623*AA623)/(1-CUSTOS!$M$38)*CUSTOS!$M$38</f>
        <v>32.354053242354219</v>
      </c>
      <c r="AF623" s="4" t="s">
        <v>933</v>
      </c>
    </row>
    <row r="624" spans="1:32" ht="11.25" customHeight="1" x14ac:dyDescent="0.25">
      <c r="A624" s="4" t="s">
        <v>21</v>
      </c>
      <c r="B624" s="4" t="s">
        <v>46</v>
      </c>
      <c r="C624" s="4" t="s">
        <v>35</v>
      </c>
      <c r="D624" s="4" t="s">
        <v>47</v>
      </c>
      <c r="E624" s="4" t="s">
        <v>25</v>
      </c>
      <c r="F624" s="4" t="s">
        <v>25</v>
      </c>
      <c r="G624" s="4" t="s">
        <v>25</v>
      </c>
      <c r="H624" s="4" t="s">
        <v>36</v>
      </c>
      <c r="I624" s="5">
        <v>44713</v>
      </c>
      <c r="J624" s="6">
        <v>0</v>
      </c>
      <c r="K624" s="6">
        <v>0</v>
      </c>
      <c r="L624" s="6">
        <v>0.26200000000000001</v>
      </c>
      <c r="M624" s="6">
        <v>0.26200000000000001</v>
      </c>
      <c r="N624" s="6">
        <v>0.26200000000000001</v>
      </c>
      <c r="O624" s="6">
        <v>0.26200000000000001</v>
      </c>
      <c r="P624" s="6">
        <v>0</v>
      </c>
      <c r="Q624" s="4" t="s">
        <v>26</v>
      </c>
      <c r="R624" s="4">
        <v>0</v>
      </c>
      <c r="S624" s="4">
        <v>0</v>
      </c>
      <c r="T624" s="4">
        <v>49</v>
      </c>
      <c r="U624" s="4">
        <v>93</v>
      </c>
      <c r="V624" s="6">
        <f>IF(ISERROR(VLOOKUP($S$624,'TAR FIN'!$A$1:$O$115,15,0)),0,VLOOKUP($S$624,'TAR FIN'!$A$1:$O$115,15,0))</f>
        <v>0</v>
      </c>
      <c r="W624" s="6">
        <f>IF(ISERROR(VLOOKUP($T$624,'TAR FIN'!$A$1:$O$115,15,0)),0,VLOOKUP($T$624,'TAR FIN'!$A$1:$O$115,15,0))</f>
        <v>1039.0999999999999</v>
      </c>
      <c r="X624" s="6">
        <f>IF(ISERROR(VLOOKUP($U$624,'TAR FIN'!$A$1:$O$115,15,0)),0,VLOOKUP($U$624,'TAR FIN'!$A$1:$O$115,15,0))</f>
        <v>237.87</v>
      </c>
      <c r="Y624" s="6"/>
      <c r="Z624" s="6">
        <f ca="1">('TUSD BE'!$AM$47+'TUSD BF'!$AM$47+'TUSD CVA'!$AM$47)*(1-CUSTOS!$M$38)</f>
        <v>1141.2204051948077</v>
      </c>
      <c r="AA624" s="6">
        <f>('TE BE'!$AB$30+'TE BF'!$AB$30+'TE CVA'!$AB$30)*(1-CUSTOS!$M$38)</f>
        <v>340.88534762258826</v>
      </c>
      <c r="AB624" s="6">
        <f t="shared" si="28"/>
        <v>0</v>
      </c>
      <c r="AC624" s="6">
        <f>(L624*W624+M624*X624)/(1-CUSTOS!$M$38)*CUSTOS!$M$38</f>
        <v>21.355285531914891</v>
      </c>
      <c r="AD624" s="6">
        <f t="shared" si="29"/>
        <v>0</v>
      </c>
      <c r="AE624" s="6">
        <f ca="1">(L624*Z624+N624*AA624)/(1-CUSTOS!$M$38)*CUSTOS!$M$38</f>
        <v>24.78585365349943</v>
      </c>
      <c r="AF624" s="4" t="s">
        <v>933</v>
      </c>
    </row>
    <row r="625" spans="1:32" ht="11.25" customHeight="1" x14ac:dyDescent="0.25">
      <c r="A625" s="4" t="s">
        <v>21</v>
      </c>
      <c r="B625" s="4" t="s">
        <v>46</v>
      </c>
      <c r="C625" s="4" t="s">
        <v>35</v>
      </c>
      <c r="D625" s="4" t="s">
        <v>47</v>
      </c>
      <c r="E625" s="4" t="s">
        <v>25</v>
      </c>
      <c r="F625" s="4" t="s">
        <v>25</v>
      </c>
      <c r="G625" s="4" t="s">
        <v>25</v>
      </c>
      <c r="H625" s="4" t="s">
        <v>36</v>
      </c>
      <c r="I625" s="5">
        <v>44743</v>
      </c>
      <c r="J625" s="6">
        <v>0</v>
      </c>
      <c r="K625" s="6">
        <v>0</v>
      </c>
      <c r="L625" s="6">
        <v>0.24</v>
      </c>
      <c r="M625" s="6">
        <v>0.24</v>
      </c>
      <c r="N625" s="6">
        <v>0.24</v>
      </c>
      <c r="O625" s="6">
        <v>0.24</v>
      </c>
      <c r="P625" s="6">
        <v>0</v>
      </c>
      <c r="Q625" s="4" t="s">
        <v>26</v>
      </c>
      <c r="R625" s="4">
        <v>0</v>
      </c>
      <c r="S625" s="4">
        <v>0</v>
      </c>
      <c r="T625" s="4">
        <v>49</v>
      </c>
      <c r="U625" s="4">
        <v>93</v>
      </c>
      <c r="V625" s="6">
        <f>IF(ISERROR(VLOOKUP($S$625,'TAR FIN'!$A$1:$O$115,15,0)),0,VLOOKUP($S$625,'TAR FIN'!$A$1:$O$115,15,0))</f>
        <v>0</v>
      </c>
      <c r="W625" s="6">
        <f>IF(ISERROR(VLOOKUP($T$625,'TAR FIN'!$A$1:$O$115,15,0)),0,VLOOKUP($T$625,'TAR FIN'!$A$1:$O$115,15,0))</f>
        <v>1039.0999999999999</v>
      </c>
      <c r="X625" s="6">
        <f>IF(ISERROR(VLOOKUP($U$625,'TAR FIN'!$A$1:$O$115,15,0)),0,VLOOKUP($U$625,'TAR FIN'!$A$1:$O$115,15,0))</f>
        <v>237.87</v>
      </c>
      <c r="Y625" s="6"/>
      <c r="Z625" s="6">
        <f ca="1">('TUSD BE'!$AM$47+'TUSD BF'!$AM$47+'TUSD CVA'!$AM$47)*(1-CUSTOS!$M$38)</f>
        <v>1141.2204051948077</v>
      </c>
      <c r="AA625" s="6">
        <f>('TE BE'!$AB$30+'TE BF'!$AB$30+'TE CVA'!$AB$30)*(1-CUSTOS!$M$38)</f>
        <v>340.88534762258826</v>
      </c>
      <c r="AB625" s="6">
        <f t="shared" si="28"/>
        <v>0</v>
      </c>
      <c r="AC625" s="6">
        <f>(L625*W625+M625*X625)/(1-CUSTOS!$M$38)*CUSTOS!$M$38</f>
        <v>19.562093617021272</v>
      </c>
      <c r="AD625" s="6">
        <f t="shared" si="29"/>
        <v>0</v>
      </c>
      <c r="AE625" s="6">
        <f ca="1">(L625*Z625+N625*AA625)/(1-CUSTOS!$M$38)*CUSTOS!$M$38</f>
        <v>22.704598766564363</v>
      </c>
      <c r="AF625" s="4" t="s">
        <v>933</v>
      </c>
    </row>
    <row r="626" spans="1:32" ht="11.25" customHeight="1" x14ac:dyDescent="0.25">
      <c r="A626" s="4" t="s">
        <v>21</v>
      </c>
      <c r="B626" s="4" t="s">
        <v>46</v>
      </c>
      <c r="C626" s="4" t="s">
        <v>35</v>
      </c>
      <c r="D626" s="4" t="s">
        <v>47</v>
      </c>
      <c r="E626" s="4" t="s">
        <v>25</v>
      </c>
      <c r="F626" s="4" t="s">
        <v>25</v>
      </c>
      <c r="G626" s="4" t="s">
        <v>25</v>
      </c>
      <c r="H626" s="4" t="s">
        <v>36</v>
      </c>
      <c r="I626" s="5">
        <v>44774</v>
      </c>
      <c r="J626" s="6">
        <v>0</v>
      </c>
      <c r="K626" s="6">
        <v>0</v>
      </c>
      <c r="L626" s="6">
        <v>0.29899999999999999</v>
      </c>
      <c r="M626" s="6">
        <v>0.29899999999999999</v>
      </c>
      <c r="N626" s="6">
        <v>0.29899999999999999</v>
      </c>
      <c r="O626" s="6">
        <v>0.29899999999999999</v>
      </c>
      <c r="P626" s="6">
        <v>0</v>
      </c>
      <c r="Q626" s="4" t="s">
        <v>26</v>
      </c>
      <c r="R626" s="4">
        <v>0</v>
      </c>
      <c r="S626" s="4">
        <v>0</v>
      </c>
      <c r="T626" s="4">
        <v>49</v>
      </c>
      <c r="U626" s="4">
        <v>93</v>
      </c>
      <c r="V626" s="6">
        <f>IF(ISERROR(VLOOKUP($S$626,'TAR FIN'!$A$1:$O$115,15,0)),0,VLOOKUP($S$626,'TAR FIN'!$A$1:$O$115,15,0))</f>
        <v>0</v>
      </c>
      <c r="W626" s="6">
        <f>IF(ISERROR(VLOOKUP($T$626,'TAR FIN'!$A$1:$O$115,15,0)),0,VLOOKUP($T$626,'TAR FIN'!$A$1:$O$115,15,0))</f>
        <v>1039.0999999999999</v>
      </c>
      <c r="X626" s="6">
        <f>IF(ISERROR(VLOOKUP($U$626,'TAR FIN'!$A$1:$O$115,15,0)),0,VLOOKUP($U$626,'TAR FIN'!$A$1:$O$115,15,0))</f>
        <v>237.87</v>
      </c>
      <c r="Y626" s="6"/>
      <c r="Z626" s="6">
        <f ca="1">('TUSD BE'!$AM$47+'TUSD BF'!$AM$47+'TUSD CVA'!$AM$47)*(1-CUSTOS!$M$38)</f>
        <v>1141.2204051948077</v>
      </c>
      <c r="AA626" s="6">
        <f>('TE BE'!$AB$30+'TE BF'!$AB$30+'TE CVA'!$AB$30)*(1-CUSTOS!$M$38)</f>
        <v>340.88534762258826</v>
      </c>
      <c r="AB626" s="6">
        <f t="shared" si="28"/>
        <v>0</v>
      </c>
      <c r="AC626" s="6">
        <f>(L626*W626+M626*X626)/(1-CUSTOS!$M$38)*CUSTOS!$M$38</f>
        <v>24.371108297872336</v>
      </c>
      <c r="AD626" s="6">
        <f t="shared" si="29"/>
        <v>0</v>
      </c>
      <c r="AE626" s="6">
        <f ca="1">(L626*Z626+N626*AA626)/(1-CUSTOS!$M$38)*CUSTOS!$M$38</f>
        <v>28.286145963344765</v>
      </c>
      <c r="AF626" s="4" t="s">
        <v>933</v>
      </c>
    </row>
    <row r="627" spans="1:32" ht="11.25" customHeight="1" x14ac:dyDescent="0.25">
      <c r="A627" s="4" t="s">
        <v>21</v>
      </c>
      <c r="B627" s="4" t="s">
        <v>46</v>
      </c>
      <c r="C627" s="4" t="s">
        <v>35</v>
      </c>
      <c r="D627" s="4" t="s">
        <v>47</v>
      </c>
      <c r="E627" s="4" t="s">
        <v>25</v>
      </c>
      <c r="F627" s="4" t="s">
        <v>25</v>
      </c>
      <c r="G627" s="4" t="s">
        <v>25</v>
      </c>
      <c r="H627" s="4" t="s">
        <v>36</v>
      </c>
      <c r="I627" s="5">
        <v>44805</v>
      </c>
      <c r="J627" s="6">
        <v>0</v>
      </c>
      <c r="K627" s="6">
        <v>0</v>
      </c>
      <c r="L627" s="6">
        <v>0.23599999999999999</v>
      </c>
      <c r="M627" s="6">
        <v>0.23599999999999999</v>
      </c>
      <c r="N627" s="6">
        <v>0.23599999999999999</v>
      </c>
      <c r="O627" s="6">
        <v>0.23599999999999999</v>
      </c>
      <c r="P627" s="6">
        <v>0</v>
      </c>
      <c r="Q627" s="4" t="s">
        <v>26</v>
      </c>
      <c r="R627" s="4">
        <v>0</v>
      </c>
      <c r="S627" s="4">
        <v>0</v>
      </c>
      <c r="T627" s="4">
        <v>49</v>
      </c>
      <c r="U627" s="4">
        <v>93</v>
      </c>
      <c r="V627" s="6">
        <f>IF(ISERROR(VLOOKUP($S$627,'TAR FIN'!$A$1:$O$115,15,0)),0,VLOOKUP($S$627,'TAR FIN'!$A$1:$O$115,15,0))</f>
        <v>0</v>
      </c>
      <c r="W627" s="6">
        <f>IF(ISERROR(VLOOKUP($T$627,'TAR FIN'!$A$1:$O$115,15,0)),0,VLOOKUP($T$627,'TAR FIN'!$A$1:$O$115,15,0))</f>
        <v>1039.0999999999999</v>
      </c>
      <c r="X627" s="6">
        <f>IF(ISERROR(VLOOKUP($U$627,'TAR FIN'!$A$1:$O$115,15,0)),0,VLOOKUP($U$627,'TAR FIN'!$A$1:$O$115,15,0))</f>
        <v>237.87</v>
      </c>
      <c r="Y627" s="6"/>
      <c r="Z627" s="6">
        <f ca="1">('TUSD BE'!$AM$47+'TUSD BF'!$AM$47+'TUSD CVA'!$AM$47)*(1-CUSTOS!$M$38)</f>
        <v>1141.2204051948077</v>
      </c>
      <c r="AA627" s="6">
        <f>('TE BE'!$AB$30+'TE BF'!$AB$30+'TE CVA'!$AB$30)*(1-CUSTOS!$M$38)</f>
        <v>340.88534762258826</v>
      </c>
      <c r="AB627" s="6">
        <f t="shared" si="28"/>
        <v>0</v>
      </c>
      <c r="AC627" s="6">
        <f>(L627*W627+M627*X627)/(1-CUSTOS!$M$38)*CUSTOS!$M$38</f>
        <v>19.236058723404252</v>
      </c>
      <c r="AD627" s="6">
        <f t="shared" si="29"/>
        <v>0</v>
      </c>
      <c r="AE627" s="6">
        <f ca="1">(L627*Z627+N627*AA627)/(1-CUSTOS!$M$38)*CUSTOS!$M$38</f>
        <v>22.326188787121623</v>
      </c>
      <c r="AF627" s="4" t="s">
        <v>933</v>
      </c>
    </row>
    <row r="628" spans="1:32" ht="11.25" customHeight="1" x14ac:dyDescent="0.25">
      <c r="A628" s="4" t="s">
        <v>21</v>
      </c>
      <c r="B628" s="4" t="s">
        <v>46</v>
      </c>
      <c r="C628" s="4" t="s">
        <v>35</v>
      </c>
      <c r="D628" s="4" t="s">
        <v>47</v>
      </c>
      <c r="E628" s="4" t="s">
        <v>25</v>
      </c>
      <c r="F628" s="4" t="s">
        <v>25</v>
      </c>
      <c r="G628" s="4" t="s">
        <v>25</v>
      </c>
      <c r="H628" s="4" t="s">
        <v>36</v>
      </c>
      <c r="I628" s="5">
        <v>44835</v>
      </c>
      <c r="J628" s="6">
        <v>0</v>
      </c>
      <c r="K628" s="6">
        <v>0</v>
      </c>
      <c r="L628" s="6">
        <v>0.309</v>
      </c>
      <c r="M628" s="6">
        <v>0.309</v>
      </c>
      <c r="N628" s="6">
        <v>0.309</v>
      </c>
      <c r="O628" s="6">
        <v>0.309</v>
      </c>
      <c r="P628" s="6">
        <v>0</v>
      </c>
      <c r="Q628" s="4" t="s">
        <v>26</v>
      </c>
      <c r="R628" s="4">
        <v>0</v>
      </c>
      <c r="S628" s="4">
        <v>0</v>
      </c>
      <c r="T628" s="4">
        <v>49</v>
      </c>
      <c r="U628" s="4">
        <v>93</v>
      </c>
      <c r="V628" s="6">
        <f>IF(ISERROR(VLOOKUP($S$628,'TAR FIN'!$A$1:$O$115,15,0)),0,VLOOKUP($S$628,'TAR FIN'!$A$1:$O$115,15,0))</f>
        <v>0</v>
      </c>
      <c r="W628" s="6">
        <f>IF(ISERROR(VLOOKUP($T$628,'TAR FIN'!$A$1:$O$115,15,0)),0,VLOOKUP($T$628,'TAR FIN'!$A$1:$O$115,15,0))</f>
        <v>1039.0999999999999</v>
      </c>
      <c r="X628" s="6">
        <f>IF(ISERROR(VLOOKUP($U$628,'TAR FIN'!$A$1:$O$115,15,0)),0,VLOOKUP($U$628,'TAR FIN'!$A$1:$O$115,15,0))</f>
        <v>237.87</v>
      </c>
      <c r="Y628" s="6"/>
      <c r="Z628" s="6">
        <f ca="1">('TUSD BE'!$AM$47+'TUSD BF'!$AM$47+'TUSD CVA'!$AM$47)*(1-CUSTOS!$M$38)</f>
        <v>1141.2204051948077</v>
      </c>
      <c r="AA628" s="6">
        <f>('TE BE'!$AB$30+'TE BF'!$AB$30+'TE CVA'!$AB$30)*(1-CUSTOS!$M$38)</f>
        <v>340.88534762258826</v>
      </c>
      <c r="AB628" s="6">
        <f t="shared" si="28"/>
        <v>0</v>
      </c>
      <c r="AC628" s="6">
        <f>(L628*W628+M628*X628)/(1-CUSTOS!$M$38)*CUSTOS!$M$38</f>
        <v>25.18619553191489</v>
      </c>
      <c r="AD628" s="6">
        <f t="shared" si="29"/>
        <v>0</v>
      </c>
      <c r="AE628" s="6">
        <f ca="1">(L628*Z628+N628*AA628)/(1-CUSTOS!$M$38)*CUSTOS!$M$38</f>
        <v>29.232170911951616</v>
      </c>
      <c r="AF628" s="4" t="s">
        <v>933</v>
      </c>
    </row>
    <row r="629" spans="1:32" ht="11.25" customHeight="1" x14ac:dyDescent="0.25">
      <c r="A629" s="4" t="s">
        <v>59</v>
      </c>
      <c r="B629" s="4" t="s">
        <v>46</v>
      </c>
      <c r="C629" s="4" t="s">
        <v>35</v>
      </c>
      <c r="D629" s="4" t="s">
        <v>47</v>
      </c>
      <c r="E629" s="4" t="s">
        <v>25</v>
      </c>
      <c r="F629" s="4" t="s">
        <v>25</v>
      </c>
      <c r="G629" s="4" t="s">
        <v>25</v>
      </c>
      <c r="H629" s="4" t="s">
        <v>36</v>
      </c>
      <c r="I629" s="5">
        <v>44866</v>
      </c>
      <c r="J629" s="6">
        <v>0</v>
      </c>
      <c r="K629" s="6">
        <v>0</v>
      </c>
      <c r="L629" s="6">
        <v>0.309</v>
      </c>
      <c r="M629" s="6">
        <v>0.309</v>
      </c>
      <c r="N629" s="6">
        <v>0.309</v>
      </c>
      <c r="O629" s="6">
        <v>0.309</v>
      </c>
      <c r="P629" s="6">
        <v>0</v>
      </c>
      <c r="Q629" s="4" t="s">
        <v>26</v>
      </c>
      <c r="R629" s="4">
        <v>0</v>
      </c>
      <c r="S629" s="4">
        <v>0</v>
      </c>
      <c r="T629" s="4">
        <v>49</v>
      </c>
      <c r="U629" s="4">
        <v>93</v>
      </c>
      <c r="V629" s="6">
        <f>IF(ISERROR(VLOOKUP($S$629,'TAR FIN'!$A$1:$O$115,15,0)),0,VLOOKUP($S$629,'TAR FIN'!$A$1:$O$115,15,0))</f>
        <v>0</v>
      </c>
      <c r="W629" s="6">
        <f>IF(ISERROR(VLOOKUP($T$629,'TAR FIN'!$A$1:$O$115,15,0)),0,VLOOKUP($T$629,'TAR FIN'!$A$1:$O$115,15,0))</f>
        <v>1039.0999999999999</v>
      </c>
      <c r="X629" s="6">
        <f>IF(ISERROR(VLOOKUP($U$629,'TAR FIN'!$A$1:$O$115,15,0)),0,VLOOKUP($U$629,'TAR FIN'!$A$1:$O$115,15,0))</f>
        <v>237.87</v>
      </c>
      <c r="Y629" s="6"/>
      <c r="Z629" s="6">
        <f ca="1">('TUSD BE'!$AM$47+'TUSD BF'!$AM$47+'TUSD CVA'!$AM$47)*(1-CUSTOS!$M$38)</f>
        <v>1141.2204051948077</v>
      </c>
      <c r="AA629" s="6">
        <f>('TE BE'!$AB$30+'TE BF'!$AB$30+'TE CVA'!$AB$30)*(1-CUSTOS!$M$38)</f>
        <v>340.88534762258826</v>
      </c>
      <c r="AB629" s="6">
        <f t="shared" si="28"/>
        <v>0</v>
      </c>
      <c r="AC629" s="6">
        <f>(L629*W629+M629*X629)/(1-CUSTOS!$M$38)*CUSTOS!$M$38</f>
        <v>25.18619553191489</v>
      </c>
      <c r="AD629" s="6">
        <f t="shared" si="29"/>
        <v>0</v>
      </c>
      <c r="AE629" s="6">
        <f ca="1">(L629*Z629+N629*AA629)/(1-CUSTOS!$M$38)*CUSTOS!$M$38</f>
        <v>29.232170911951616</v>
      </c>
      <c r="AF629" s="4" t="s">
        <v>933</v>
      </c>
    </row>
    <row r="630" spans="1:32" ht="11.25" customHeight="1" x14ac:dyDescent="0.25">
      <c r="A630" s="4" t="s">
        <v>21</v>
      </c>
      <c r="B630" s="4" t="s">
        <v>46</v>
      </c>
      <c r="C630" s="4" t="s">
        <v>23</v>
      </c>
      <c r="D630" s="4" t="s">
        <v>47</v>
      </c>
      <c r="E630" s="4" t="s">
        <v>55</v>
      </c>
      <c r="F630" s="4" t="s">
        <v>56</v>
      </c>
      <c r="G630" s="4" t="s">
        <v>25</v>
      </c>
      <c r="H630" s="4" t="s">
        <v>25</v>
      </c>
      <c r="I630" s="5">
        <v>44531</v>
      </c>
      <c r="J630" s="6">
        <v>0</v>
      </c>
      <c r="K630" s="6">
        <v>0</v>
      </c>
      <c r="L630" s="6">
        <v>3.9769999999999999</v>
      </c>
      <c r="M630" s="6">
        <v>3.9769999999999999</v>
      </c>
      <c r="N630" s="6">
        <v>3.9769999999999999</v>
      </c>
      <c r="O630" s="6">
        <v>3.9769999999999999</v>
      </c>
      <c r="P630" s="6">
        <v>0</v>
      </c>
      <c r="Q630" s="4" t="s">
        <v>26</v>
      </c>
      <c r="R630" s="4">
        <v>0</v>
      </c>
      <c r="S630" s="4">
        <v>0</v>
      </c>
      <c r="T630" s="4">
        <v>52</v>
      </c>
      <c r="U630" s="4">
        <v>96</v>
      </c>
      <c r="V630" s="6">
        <f>IF(ISERROR(VLOOKUP($S$630,'TAR FIN'!$A$1:$O$115,15,0)),0,VLOOKUP($S$630,'TAR FIN'!$A$1:$O$115,15,0))</f>
        <v>0</v>
      </c>
      <c r="W630" s="6">
        <f>IF(ISERROR(VLOOKUP($T$630,'TAR FIN'!$A$1:$O$115,15,0)),0,VLOOKUP($T$630,'TAR FIN'!$A$1:$O$115,15,0))</f>
        <v>407.97</v>
      </c>
      <c r="X630" s="6">
        <f>IF(ISERROR(VLOOKUP($U$630,'TAR FIN'!$A$1:$O$115,15,0)),0,VLOOKUP($U$630,'TAR FIN'!$A$1:$O$115,15,0))</f>
        <v>155.38999999999999</v>
      </c>
      <c r="Y630" s="6"/>
      <c r="Z630" s="6">
        <f ca="1">('TUSD BE'!$AM$50+'TUSD BF'!$AM$50+'TUSD CVA'!$AM$50)*(1-CUSTOS!$M$38)</f>
        <v>472.08658309095875</v>
      </c>
      <c r="AA630" s="6">
        <f>('TE BE'!$AB$33+'TE BF'!$AB$33+'TE CVA'!$AB$33)*(1-CUSTOS!$M$38)</f>
        <v>216.84105597414842</v>
      </c>
      <c r="AB630" s="6">
        <f t="shared" si="28"/>
        <v>0</v>
      </c>
      <c r="AC630" s="6">
        <f>(L630-M630)*(W630+X630)+($W$330+$X$330-$W$630-$X$630)*(L630)</f>
        <v>305.51314000000019</v>
      </c>
      <c r="AD630" s="6">
        <f t="shared" si="29"/>
        <v>0</v>
      </c>
      <c r="AE630" s="6">
        <f ca="1">(L630-M630)*(Z630+AA630)+($Z$330+$AA$330-$Z$630-$AA$630)*(L630)</f>
        <v>174.88501407842122</v>
      </c>
      <c r="AF630" s="4" t="s">
        <v>933</v>
      </c>
    </row>
    <row r="631" spans="1:32" ht="11.25" customHeight="1" x14ac:dyDescent="0.25">
      <c r="A631" s="4" t="s">
        <v>28</v>
      </c>
      <c r="B631" s="4" t="s">
        <v>46</v>
      </c>
      <c r="C631" s="4" t="s">
        <v>23</v>
      </c>
      <c r="D631" s="4" t="s">
        <v>47</v>
      </c>
      <c r="E631" s="4" t="s">
        <v>55</v>
      </c>
      <c r="F631" s="4" t="s">
        <v>56</v>
      </c>
      <c r="G631" s="4" t="s">
        <v>25</v>
      </c>
      <c r="H631" s="4" t="s">
        <v>25</v>
      </c>
      <c r="I631" s="5">
        <v>44531</v>
      </c>
      <c r="J631" s="6">
        <v>0</v>
      </c>
      <c r="K631" s="6">
        <v>0</v>
      </c>
      <c r="L631" s="6">
        <v>6.8330000000000002</v>
      </c>
      <c r="M631" s="6">
        <v>6.8330000000000002</v>
      </c>
      <c r="N631" s="6">
        <v>6.8330000000000002</v>
      </c>
      <c r="O631" s="6">
        <v>6.8330000000000002</v>
      </c>
      <c r="P631" s="6">
        <v>0</v>
      </c>
      <c r="Q631" s="4" t="s">
        <v>26</v>
      </c>
      <c r="R631" s="4">
        <v>0</v>
      </c>
      <c r="S631" s="4">
        <v>0</v>
      </c>
      <c r="T631" s="4">
        <v>52</v>
      </c>
      <c r="U631" s="4">
        <v>96</v>
      </c>
      <c r="V631" s="6">
        <f>IF(ISERROR(VLOOKUP($S$631,'TAR FIN'!$A$1:$O$115,15,0)),0,VLOOKUP($S$631,'TAR FIN'!$A$1:$O$115,15,0))</f>
        <v>0</v>
      </c>
      <c r="W631" s="6">
        <f>IF(ISERROR(VLOOKUP($T$631,'TAR FIN'!$A$1:$O$115,15,0)),0,VLOOKUP($T$631,'TAR FIN'!$A$1:$O$115,15,0))</f>
        <v>407.97</v>
      </c>
      <c r="X631" s="6">
        <f>IF(ISERROR(VLOOKUP($U$631,'TAR FIN'!$A$1:$O$115,15,0)),0,VLOOKUP($U$631,'TAR FIN'!$A$1:$O$115,15,0))</f>
        <v>155.38999999999999</v>
      </c>
      <c r="Y631" s="6"/>
      <c r="Z631" s="6">
        <f ca="1">('TUSD BE'!$AM$50+'TUSD BF'!$AM$50+'TUSD CVA'!$AM$50)*(1-CUSTOS!$M$38)</f>
        <v>472.08658309095875</v>
      </c>
      <c r="AA631" s="6">
        <f>('TE BE'!$AB$33+'TE BF'!$AB$33+'TE CVA'!$AB$33)*(1-CUSTOS!$M$38)</f>
        <v>216.84105597414842</v>
      </c>
      <c r="AB631" s="6">
        <f t="shared" si="28"/>
        <v>0</v>
      </c>
      <c r="AC631" s="6">
        <f>(L631-M631)*(W631+X631)+($W$330+$X$330-$W$631-$X$631)*(L631)</f>
        <v>524.91106000000036</v>
      </c>
      <c r="AD631" s="6">
        <f t="shared" si="29"/>
        <v>0</v>
      </c>
      <c r="AE631" s="6">
        <f ca="1">(L631-M631)*(Z631+AA631)+($Z$330+$AA$330-$Z$631-$AA$631)*(L631)</f>
        <v>300.47505687650295</v>
      </c>
      <c r="AF631" s="4" t="s">
        <v>933</v>
      </c>
    </row>
    <row r="632" spans="1:32" ht="11.25" customHeight="1" x14ac:dyDescent="0.25">
      <c r="A632" s="4" t="s">
        <v>29</v>
      </c>
      <c r="B632" s="4" t="s">
        <v>46</v>
      </c>
      <c r="C632" s="4" t="s">
        <v>23</v>
      </c>
      <c r="D632" s="4" t="s">
        <v>47</v>
      </c>
      <c r="E632" s="4" t="s">
        <v>55</v>
      </c>
      <c r="F632" s="4" t="s">
        <v>56</v>
      </c>
      <c r="G632" s="4" t="s">
        <v>25</v>
      </c>
      <c r="H632" s="4" t="s">
        <v>25</v>
      </c>
      <c r="I632" s="5">
        <v>44531</v>
      </c>
      <c r="J632" s="6">
        <v>0</v>
      </c>
      <c r="K632" s="6">
        <v>0</v>
      </c>
      <c r="L632" s="6">
        <v>0.05</v>
      </c>
      <c r="M632" s="6">
        <v>0.05</v>
      </c>
      <c r="N632" s="6">
        <v>0.05</v>
      </c>
      <c r="O632" s="6">
        <v>0.05</v>
      </c>
      <c r="P632" s="6">
        <v>0</v>
      </c>
      <c r="Q632" s="4" t="s">
        <v>26</v>
      </c>
      <c r="R632" s="4">
        <v>0</v>
      </c>
      <c r="S632" s="4">
        <v>0</v>
      </c>
      <c r="T632" s="4">
        <v>52</v>
      </c>
      <c r="U632" s="4">
        <v>96</v>
      </c>
      <c r="V632" s="6">
        <f>IF(ISERROR(VLOOKUP($S$632,'TAR FIN'!$A$1:$O$115,15,0)),0,VLOOKUP($S$632,'TAR FIN'!$A$1:$O$115,15,0))</f>
        <v>0</v>
      </c>
      <c r="W632" s="6">
        <f>IF(ISERROR(VLOOKUP($T$632,'TAR FIN'!$A$1:$O$115,15,0)),0,VLOOKUP($T$632,'TAR FIN'!$A$1:$O$115,15,0))</f>
        <v>407.97</v>
      </c>
      <c r="X632" s="6">
        <f>IF(ISERROR(VLOOKUP($U$632,'TAR FIN'!$A$1:$O$115,15,0)),0,VLOOKUP($U$632,'TAR FIN'!$A$1:$O$115,15,0))</f>
        <v>155.38999999999999</v>
      </c>
      <c r="Y632" s="6"/>
      <c r="Z632" s="6">
        <f ca="1">('TUSD BE'!$AM$50+'TUSD BF'!$AM$50+'TUSD CVA'!$AM$50)*(1-CUSTOS!$M$38)</f>
        <v>472.08658309095875</v>
      </c>
      <c r="AA632" s="6">
        <f>('TE BE'!$AB$33+'TE BF'!$AB$33+'TE CVA'!$AB$33)*(1-CUSTOS!$M$38)</f>
        <v>216.84105597414842</v>
      </c>
      <c r="AB632" s="6">
        <f t="shared" si="28"/>
        <v>0</v>
      </c>
      <c r="AC632" s="6">
        <f>(L632-M632)*(W632+X632)+($W$330+$X$330-$W$632-$X$632)*(L632)</f>
        <v>3.8410000000000029</v>
      </c>
      <c r="AD632" s="6">
        <f t="shared" si="29"/>
        <v>0</v>
      </c>
      <c r="AE632" s="6">
        <f ca="1">(L632-M632)*(Z632+AA632)+($Z$330+$AA$330-$Z$632-$AA$632)*(L632)</f>
        <v>2.1987052310588537</v>
      </c>
      <c r="AF632" s="4" t="s">
        <v>933</v>
      </c>
    </row>
    <row r="633" spans="1:32" ht="11.25" customHeight="1" x14ac:dyDescent="0.25">
      <c r="A633" s="4" t="s">
        <v>21</v>
      </c>
      <c r="B633" s="4" t="s">
        <v>46</v>
      </c>
      <c r="C633" s="4" t="s">
        <v>23</v>
      </c>
      <c r="D633" s="4" t="s">
        <v>47</v>
      </c>
      <c r="E633" s="4" t="s">
        <v>55</v>
      </c>
      <c r="F633" s="4" t="s">
        <v>56</v>
      </c>
      <c r="G633" s="4" t="s">
        <v>25</v>
      </c>
      <c r="H633" s="4" t="s">
        <v>25</v>
      </c>
      <c r="I633" s="5">
        <v>44562</v>
      </c>
      <c r="J633" s="6">
        <v>0</v>
      </c>
      <c r="K633" s="6">
        <v>0</v>
      </c>
      <c r="L633" s="6">
        <v>3.988</v>
      </c>
      <c r="M633" s="6">
        <v>3.988</v>
      </c>
      <c r="N633" s="6">
        <v>3.988</v>
      </c>
      <c r="O633" s="6">
        <v>3.988</v>
      </c>
      <c r="P633" s="6">
        <v>0</v>
      </c>
      <c r="Q633" s="4" t="s">
        <v>26</v>
      </c>
      <c r="R633" s="4">
        <v>0</v>
      </c>
      <c r="S633" s="4">
        <v>0</v>
      </c>
      <c r="T633" s="4">
        <v>52</v>
      </c>
      <c r="U633" s="4">
        <v>96</v>
      </c>
      <c r="V633" s="6">
        <f>IF(ISERROR(VLOOKUP($S$633,'TAR FIN'!$A$1:$O$115,15,0)),0,VLOOKUP($S$633,'TAR FIN'!$A$1:$O$115,15,0))</f>
        <v>0</v>
      </c>
      <c r="W633" s="6">
        <f>IF(ISERROR(VLOOKUP($T$633,'TAR FIN'!$A$1:$O$115,15,0)),0,VLOOKUP($T$633,'TAR FIN'!$A$1:$O$115,15,0))</f>
        <v>407.97</v>
      </c>
      <c r="X633" s="6">
        <f>IF(ISERROR(VLOOKUP($U$633,'TAR FIN'!$A$1:$O$115,15,0)),0,VLOOKUP($U$633,'TAR FIN'!$A$1:$O$115,15,0))</f>
        <v>155.38999999999999</v>
      </c>
      <c r="Y633" s="6"/>
      <c r="Z633" s="6">
        <f ca="1">('TUSD BE'!$AM$50+'TUSD BF'!$AM$50+'TUSD CVA'!$AM$50)*(1-CUSTOS!$M$38)</f>
        <v>472.08658309095875</v>
      </c>
      <c r="AA633" s="6">
        <f>('TE BE'!$AB$33+'TE BF'!$AB$33+'TE CVA'!$AB$33)*(1-CUSTOS!$M$38)</f>
        <v>216.84105597414842</v>
      </c>
      <c r="AB633" s="6">
        <f t="shared" si="28"/>
        <v>0</v>
      </c>
      <c r="AC633" s="6">
        <f>(L633-M633)*(W633+X633)+($W$330+$X$330-$W$633-$X$633)*(L633)</f>
        <v>306.35816000000023</v>
      </c>
      <c r="AD633" s="6">
        <f t="shared" si="29"/>
        <v>0</v>
      </c>
      <c r="AE633" s="6">
        <f ca="1">(L633-M633)*(Z633+AA633)+($Z$330+$AA$330-$Z$633-$AA$633)*(L633)</f>
        <v>175.36872922925417</v>
      </c>
      <c r="AF633" s="4" t="s">
        <v>933</v>
      </c>
    </row>
    <row r="634" spans="1:32" ht="11.25" customHeight="1" x14ac:dyDescent="0.25">
      <c r="A634" s="4" t="s">
        <v>28</v>
      </c>
      <c r="B634" s="4" t="s">
        <v>46</v>
      </c>
      <c r="C634" s="4" t="s">
        <v>23</v>
      </c>
      <c r="D634" s="4" t="s">
        <v>47</v>
      </c>
      <c r="E634" s="4" t="s">
        <v>55</v>
      </c>
      <c r="F634" s="4" t="s">
        <v>56</v>
      </c>
      <c r="G634" s="4" t="s">
        <v>25</v>
      </c>
      <c r="H634" s="4" t="s">
        <v>25</v>
      </c>
      <c r="I634" s="5">
        <v>44562</v>
      </c>
      <c r="J634" s="6">
        <v>0</v>
      </c>
      <c r="K634" s="6">
        <v>0</v>
      </c>
      <c r="L634" s="6">
        <v>0.13700000000000001</v>
      </c>
      <c r="M634" s="6">
        <v>0.13700000000000001</v>
      </c>
      <c r="N634" s="6">
        <v>0.13700000000000001</v>
      </c>
      <c r="O634" s="6">
        <v>0.13700000000000001</v>
      </c>
      <c r="P634" s="6">
        <v>0</v>
      </c>
      <c r="Q634" s="4" t="s">
        <v>26</v>
      </c>
      <c r="R634" s="4">
        <v>0</v>
      </c>
      <c r="S634" s="4">
        <v>0</v>
      </c>
      <c r="T634" s="4">
        <v>52</v>
      </c>
      <c r="U634" s="4">
        <v>96</v>
      </c>
      <c r="V634" s="6">
        <f>IF(ISERROR(VLOOKUP($S$634,'TAR FIN'!$A$1:$O$115,15,0)),0,VLOOKUP($S$634,'TAR FIN'!$A$1:$O$115,15,0))</f>
        <v>0</v>
      </c>
      <c r="W634" s="6">
        <f>IF(ISERROR(VLOOKUP($T$634,'TAR FIN'!$A$1:$O$115,15,0)),0,VLOOKUP($T$634,'TAR FIN'!$A$1:$O$115,15,0))</f>
        <v>407.97</v>
      </c>
      <c r="X634" s="6">
        <f>IF(ISERROR(VLOOKUP($U$634,'TAR FIN'!$A$1:$O$115,15,0)),0,VLOOKUP($U$634,'TAR FIN'!$A$1:$O$115,15,0))</f>
        <v>155.38999999999999</v>
      </c>
      <c r="Y634" s="6"/>
      <c r="Z634" s="6">
        <f ca="1">('TUSD BE'!$AM$50+'TUSD BF'!$AM$50+'TUSD CVA'!$AM$50)*(1-CUSTOS!$M$38)</f>
        <v>472.08658309095875</v>
      </c>
      <c r="AA634" s="6">
        <f>('TE BE'!$AB$33+'TE BF'!$AB$33+'TE CVA'!$AB$33)*(1-CUSTOS!$M$38)</f>
        <v>216.84105597414842</v>
      </c>
      <c r="AB634" s="6">
        <f t="shared" si="28"/>
        <v>0</v>
      </c>
      <c r="AC634" s="6">
        <f>(L634-M634)*(W634+X634)+($W$330+$X$330-$W$634-$X$634)*(L634)</f>
        <v>10.524340000000008</v>
      </c>
      <c r="AD634" s="6">
        <f t="shared" si="29"/>
        <v>0</v>
      </c>
      <c r="AE634" s="6">
        <f ca="1">(L634-M634)*(Z634+AA634)+($Z$330+$AA$330-$Z$634-$AA$634)*(L634)</f>
        <v>6.0244523331012596</v>
      </c>
      <c r="AF634" s="4" t="s">
        <v>933</v>
      </c>
    </row>
    <row r="635" spans="1:32" ht="11.25" customHeight="1" x14ac:dyDescent="0.25">
      <c r="A635" s="4" t="s">
        <v>29</v>
      </c>
      <c r="B635" s="4" t="s">
        <v>46</v>
      </c>
      <c r="C635" s="4" t="s">
        <v>23</v>
      </c>
      <c r="D635" s="4" t="s">
        <v>47</v>
      </c>
      <c r="E635" s="4" t="s">
        <v>55</v>
      </c>
      <c r="F635" s="4" t="s">
        <v>56</v>
      </c>
      <c r="G635" s="4" t="s">
        <v>25</v>
      </c>
      <c r="H635" s="4" t="s">
        <v>25</v>
      </c>
      <c r="I635" s="5">
        <v>44562</v>
      </c>
      <c r="J635" s="6">
        <v>0</v>
      </c>
      <c r="K635" s="6">
        <v>0</v>
      </c>
      <c r="L635" s="6">
        <v>-6.13</v>
      </c>
      <c r="M635" s="6">
        <v>-6.13</v>
      </c>
      <c r="N635" s="6">
        <v>-6.13</v>
      </c>
      <c r="O635" s="6">
        <v>-6.13</v>
      </c>
      <c r="P635" s="6">
        <v>0</v>
      </c>
      <c r="Q635" s="4" t="s">
        <v>26</v>
      </c>
      <c r="R635" s="4">
        <v>0</v>
      </c>
      <c r="S635" s="4">
        <v>0</v>
      </c>
      <c r="T635" s="4">
        <v>52</v>
      </c>
      <c r="U635" s="4">
        <v>96</v>
      </c>
      <c r="V635" s="6">
        <f>IF(ISERROR(VLOOKUP($S$635,'TAR FIN'!$A$1:$O$115,15,0)),0,VLOOKUP($S$635,'TAR FIN'!$A$1:$O$115,15,0))</f>
        <v>0</v>
      </c>
      <c r="W635" s="6">
        <f>IF(ISERROR(VLOOKUP($T$635,'TAR FIN'!$A$1:$O$115,15,0)),0,VLOOKUP($T$635,'TAR FIN'!$A$1:$O$115,15,0))</f>
        <v>407.97</v>
      </c>
      <c r="X635" s="6">
        <f>IF(ISERROR(VLOOKUP($U$635,'TAR FIN'!$A$1:$O$115,15,0)),0,VLOOKUP($U$635,'TAR FIN'!$A$1:$O$115,15,0))</f>
        <v>155.38999999999999</v>
      </c>
      <c r="Y635" s="6"/>
      <c r="Z635" s="6">
        <f ca="1">('TUSD BE'!$AM$50+'TUSD BF'!$AM$50+'TUSD CVA'!$AM$50)*(1-CUSTOS!$M$38)</f>
        <v>472.08658309095875</v>
      </c>
      <c r="AA635" s="6">
        <f>('TE BE'!$AB$33+'TE BF'!$AB$33+'TE CVA'!$AB$33)*(1-CUSTOS!$M$38)</f>
        <v>216.84105597414842</v>
      </c>
      <c r="AB635" s="6">
        <f t="shared" si="28"/>
        <v>0</v>
      </c>
      <c r="AC635" s="6">
        <f>(L635-M635)*(W635+X635)+($W$330+$X$330-$W$635-$X$635)*(L635)</f>
        <v>-470.90660000000031</v>
      </c>
      <c r="AD635" s="6">
        <f t="shared" si="29"/>
        <v>0</v>
      </c>
      <c r="AE635" s="6">
        <f ca="1">(L635-M635)*(Z635+AA635)+($Z$330+$AA$330-$Z$635-$AA$635)*(L635)</f>
        <v>-269.56126132781549</v>
      </c>
      <c r="AF635" s="4" t="s">
        <v>933</v>
      </c>
    </row>
    <row r="636" spans="1:32" ht="11.25" customHeight="1" x14ac:dyDescent="0.25">
      <c r="A636" s="4" t="s">
        <v>21</v>
      </c>
      <c r="B636" s="4" t="s">
        <v>46</v>
      </c>
      <c r="C636" s="4" t="s">
        <v>23</v>
      </c>
      <c r="D636" s="4" t="s">
        <v>47</v>
      </c>
      <c r="E636" s="4" t="s">
        <v>55</v>
      </c>
      <c r="F636" s="4" t="s">
        <v>56</v>
      </c>
      <c r="G636" s="4" t="s">
        <v>25</v>
      </c>
      <c r="H636" s="4" t="s">
        <v>25</v>
      </c>
      <c r="I636" s="5">
        <v>44593</v>
      </c>
      <c r="J636" s="6">
        <v>0</v>
      </c>
      <c r="K636" s="6">
        <v>0</v>
      </c>
      <c r="L636" s="6">
        <v>4.5960000000000001</v>
      </c>
      <c r="M636" s="6">
        <v>4.5960000000000001</v>
      </c>
      <c r="N636" s="6">
        <v>4.5960000000000001</v>
      </c>
      <c r="O636" s="6">
        <v>4.5960000000000001</v>
      </c>
      <c r="P636" s="6">
        <v>0</v>
      </c>
      <c r="Q636" s="4" t="s">
        <v>26</v>
      </c>
      <c r="R636" s="4">
        <v>0</v>
      </c>
      <c r="S636" s="4">
        <v>0</v>
      </c>
      <c r="T636" s="4">
        <v>52</v>
      </c>
      <c r="U636" s="4">
        <v>96</v>
      </c>
      <c r="V636" s="6">
        <f>IF(ISERROR(VLOOKUP($S$636,'TAR FIN'!$A$1:$O$115,15,0)),0,VLOOKUP($S$636,'TAR FIN'!$A$1:$O$115,15,0))</f>
        <v>0</v>
      </c>
      <c r="W636" s="6">
        <f>IF(ISERROR(VLOOKUP($T$636,'TAR FIN'!$A$1:$O$115,15,0)),0,VLOOKUP($T$636,'TAR FIN'!$A$1:$O$115,15,0))</f>
        <v>407.97</v>
      </c>
      <c r="X636" s="6">
        <f>IF(ISERROR(VLOOKUP($U$636,'TAR FIN'!$A$1:$O$115,15,0)),0,VLOOKUP($U$636,'TAR FIN'!$A$1:$O$115,15,0))</f>
        <v>155.38999999999999</v>
      </c>
      <c r="Y636" s="6"/>
      <c r="Z636" s="6">
        <f ca="1">('TUSD BE'!$AM$50+'TUSD BF'!$AM$50+'TUSD CVA'!$AM$50)*(1-CUSTOS!$M$38)</f>
        <v>472.08658309095875</v>
      </c>
      <c r="AA636" s="6">
        <f>('TE BE'!$AB$33+'TE BF'!$AB$33+'TE CVA'!$AB$33)*(1-CUSTOS!$M$38)</f>
        <v>216.84105597414842</v>
      </c>
      <c r="AB636" s="6">
        <f t="shared" si="28"/>
        <v>0</v>
      </c>
      <c r="AC636" s="6">
        <f>(L636-M636)*(W636+X636)+($W$330+$X$330-$W$636-$X$636)*(L636)</f>
        <v>353.06472000000025</v>
      </c>
      <c r="AD636" s="6">
        <f t="shared" si="29"/>
        <v>0</v>
      </c>
      <c r="AE636" s="6">
        <f ca="1">(L636-M636)*(Z636+AA636)+($Z$330+$AA$330-$Z$636-$AA$636)*(L636)</f>
        <v>202.10498483892985</v>
      </c>
      <c r="AF636" s="4" t="s">
        <v>933</v>
      </c>
    </row>
    <row r="637" spans="1:32" ht="11.25" customHeight="1" x14ac:dyDescent="0.25">
      <c r="A637" s="4" t="s">
        <v>28</v>
      </c>
      <c r="B637" s="4" t="s">
        <v>46</v>
      </c>
      <c r="C637" s="4" t="s">
        <v>23</v>
      </c>
      <c r="D637" s="4" t="s">
        <v>47</v>
      </c>
      <c r="E637" s="4" t="s">
        <v>55</v>
      </c>
      <c r="F637" s="4" t="s">
        <v>56</v>
      </c>
      <c r="G637" s="4" t="s">
        <v>25</v>
      </c>
      <c r="H637" s="4" t="s">
        <v>25</v>
      </c>
      <c r="I637" s="5">
        <v>44593</v>
      </c>
      <c r="J637" s="6">
        <v>0</v>
      </c>
      <c r="K637" s="6">
        <v>0</v>
      </c>
      <c r="L637" s="6">
        <v>0.128</v>
      </c>
      <c r="M637" s="6">
        <v>0.128</v>
      </c>
      <c r="N637" s="6">
        <v>0.128</v>
      </c>
      <c r="O637" s="6">
        <v>0.128</v>
      </c>
      <c r="P637" s="6">
        <v>0</v>
      </c>
      <c r="Q637" s="4" t="s">
        <v>26</v>
      </c>
      <c r="R637" s="4">
        <v>0</v>
      </c>
      <c r="S637" s="4">
        <v>0</v>
      </c>
      <c r="T637" s="4">
        <v>52</v>
      </c>
      <c r="U637" s="4">
        <v>96</v>
      </c>
      <c r="V637" s="6">
        <f>IF(ISERROR(VLOOKUP($S$637,'TAR FIN'!$A$1:$O$115,15,0)),0,VLOOKUP($S$637,'TAR FIN'!$A$1:$O$115,15,0))</f>
        <v>0</v>
      </c>
      <c r="W637" s="6">
        <f>IF(ISERROR(VLOOKUP($T$637,'TAR FIN'!$A$1:$O$115,15,0)),0,VLOOKUP($T$637,'TAR FIN'!$A$1:$O$115,15,0))</f>
        <v>407.97</v>
      </c>
      <c r="X637" s="6">
        <f>IF(ISERROR(VLOOKUP($U$637,'TAR FIN'!$A$1:$O$115,15,0)),0,VLOOKUP($U$637,'TAR FIN'!$A$1:$O$115,15,0))</f>
        <v>155.38999999999999</v>
      </c>
      <c r="Y637" s="6"/>
      <c r="Z637" s="6">
        <f ca="1">('TUSD BE'!$AM$50+'TUSD BF'!$AM$50+'TUSD CVA'!$AM$50)*(1-CUSTOS!$M$38)</f>
        <v>472.08658309095875</v>
      </c>
      <c r="AA637" s="6">
        <f>('TE BE'!$AB$33+'TE BF'!$AB$33+'TE CVA'!$AB$33)*(1-CUSTOS!$M$38)</f>
        <v>216.84105597414842</v>
      </c>
      <c r="AB637" s="6">
        <f t="shared" si="28"/>
        <v>0</v>
      </c>
      <c r="AC637" s="6">
        <f>(L637-M637)*(W637+X637)+($W$330+$X$330-$W$637-$X$637)*(L637)</f>
        <v>9.832960000000007</v>
      </c>
      <c r="AD637" s="6">
        <f t="shared" si="29"/>
        <v>0</v>
      </c>
      <c r="AE637" s="6">
        <f ca="1">(L637-M637)*(Z637+AA637)+($Z$330+$AA$330-$Z$637-$AA$637)*(L637)</f>
        <v>5.6286853915106656</v>
      </c>
      <c r="AF637" s="4" t="s">
        <v>933</v>
      </c>
    </row>
    <row r="638" spans="1:32" ht="11.25" customHeight="1" x14ac:dyDescent="0.25">
      <c r="A638" s="4" t="s">
        <v>29</v>
      </c>
      <c r="B638" s="4" t="s">
        <v>46</v>
      </c>
      <c r="C638" s="4" t="s">
        <v>23</v>
      </c>
      <c r="D638" s="4" t="s">
        <v>47</v>
      </c>
      <c r="E638" s="4" t="s">
        <v>55</v>
      </c>
      <c r="F638" s="4" t="s">
        <v>56</v>
      </c>
      <c r="G638" s="4" t="s">
        <v>25</v>
      </c>
      <c r="H638" s="4" t="s">
        <v>25</v>
      </c>
      <c r="I638" s="5">
        <v>44593</v>
      </c>
      <c r="J638" s="6">
        <v>0</v>
      </c>
      <c r="K638" s="6">
        <v>0</v>
      </c>
      <c r="L638" s="6">
        <v>-4.6050000000000004</v>
      </c>
      <c r="M638" s="6">
        <v>-4.6050000000000004</v>
      </c>
      <c r="N638" s="6">
        <v>-4.6050000000000004</v>
      </c>
      <c r="O638" s="6">
        <v>-4.6050000000000004</v>
      </c>
      <c r="P638" s="6">
        <v>0</v>
      </c>
      <c r="Q638" s="4" t="s">
        <v>26</v>
      </c>
      <c r="R638" s="4">
        <v>0</v>
      </c>
      <c r="S638" s="4">
        <v>0</v>
      </c>
      <c r="T638" s="4">
        <v>52</v>
      </c>
      <c r="U638" s="4">
        <v>96</v>
      </c>
      <c r="V638" s="6">
        <f>IF(ISERROR(VLOOKUP($S$638,'TAR FIN'!$A$1:$O$115,15,0)),0,VLOOKUP($S$638,'TAR FIN'!$A$1:$O$115,15,0))</f>
        <v>0</v>
      </c>
      <c r="W638" s="6">
        <f>IF(ISERROR(VLOOKUP($T$638,'TAR FIN'!$A$1:$O$115,15,0)),0,VLOOKUP($T$638,'TAR FIN'!$A$1:$O$115,15,0))</f>
        <v>407.97</v>
      </c>
      <c r="X638" s="6">
        <f>IF(ISERROR(VLOOKUP($U$638,'TAR FIN'!$A$1:$O$115,15,0)),0,VLOOKUP($U$638,'TAR FIN'!$A$1:$O$115,15,0))</f>
        <v>155.38999999999999</v>
      </c>
      <c r="Y638" s="6"/>
      <c r="Z638" s="6">
        <f ca="1">('TUSD BE'!$AM$50+'TUSD BF'!$AM$50+'TUSD CVA'!$AM$50)*(1-CUSTOS!$M$38)</f>
        <v>472.08658309095875</v>
      </c>
      <c r="AA638" s="6">
        <f>('TE BE'!$AB$33+'TE BF'!$AB$33+'TE CVA'!$AB$33)*(1-CUSTOS!$M$38)</f>
        <v>216.84105597414842</v>
      </c>
      <c r="AB638" s="6">
        <f t="shared" si="28"/>
        <v>0</v>
      </c>
      <c r="AC638" s="6">
        <f>(L638-M638)*(W638+X638)+($W$330+$X$330-$W$638-$X$638)*(L638)</f>
        <v>-353.75610000000029</v>
      </c>
      <c r="AD638" s="6">
        <f t="shared" si="29"/>
        <v>0</v>
      </c>
      <c r="AE638" s="6">
        <f ca="1">(L638-M638)*(Z638+AA638)+($Z$330+$AA$330-$Z$638-$AA$638)*(L638)</f>
        <v>-202.50075178052046</v>
      </c>
      <c r="AF638" s="4" t="s">
        <v>933</v>
      </c>
    </row>
    <row r="639" spans="1:32" ht="11.25" customHeight="1" x14ac:dyDescent="0.25">
      <c r="A639" s="4" t="s">
        <v>21</v>
      </c>
      <c r="B639" s="4" t="s">
        <v>46</v>
      </c>
      <c r="C639" s="4" t="s">
        <v>23</v>
      </c>
      <c r="D639" s="4" t="s">
        <v>47</v>
      </c>
      <c r="E639" s="4" t="s">
        <v>55</v>
      </c>
      <c r="F639" s="4" t="s">
        <v>56</v>
      </c>
      <c r="G639" s="4" t="s">
        <v>25</v>
      </c>
      <c r="H639" s="4" t="s">
        <v>25</v>
      </c>
      <c r="I639" s="5">
        <v>44621</v>
      </c>
      <c r="J639" s="6">
        <v>0</v>
      </c>
      <c r="K639" s="6">
        <v>0</v>
      </c>
      <c r="L639" s="6">
        <v>5.0549999999999997</v>
      </c>
      <c r="M639" s="6">
        <v>5.0549999999999997</v>
      </c>
      <c r="N639" s="6">
        <v>5.0549999999999997</v>
      </c>
      <c r="O639" s="6">
        <v>5.0549999999999997</v>
      </c>
      <c r="P639" s="6">
        <v>0</v>
      </c>
      <c r="Q639" s="4" t="s">
        <v>26</v>
      </c>
      <c r="R639" s="4">
        <v>0</v>
      </c>
      <c r="S639" s="4">
        <v>0</v>
      </c>
      <c r="T639" s="4">
        <v>52</v>
      </c>
      <c r="U639" s="4">
        <v>96</v>
      </c>
      <c r="V639" s="6">
        <f>IF(ISERROR(VLOOKUP($S$639,'TAR FIN'!$A$1:$O$115,15,0)),0,VLOOKUP($S$639,'TAR FIN'!$A$1:$O$115,15,0))</f>
        <v>0</v>
      </c>
      <c r="W639" s="6">
        <f>IF(ISERROR(VLOOKUP($T$639,'TAR FIN'!$A$1:$O$115,15,0)),0,VLOOKUP($T$639,'TAR FIN'!$A$1:$O$115,15,0))</f>
        <v>407.97</v>
      </c>
      <c r="X639" s="6">
        <f>IF(ISERROR(VLOOKUP($U$639,'TAR FIN'!$A$1:$O$115,15,0)),0,VLOOKUP($U$639,'TAR FIN'!$A$1:$O$115,15,0))</f>
        <v>155.38999999999999</v>
      </c>
      <c r="Y639" s="6"/>
      <c r="Z639" s="6">
        <f ca="1">('TUSD BE'!$AM$50+'TUSD BF'!$AM$50+'TUSD CVA'!$AM$50)*(1-CUSTOS!$M$38)</f>
        <v>472.08658309095875</v>
      </c>
      <c r="AA639" s="6">
        <f>('TE BE'!$AB$33+'TE BF'!$AB$33+'TE CVA'!$AB$33)*(1-CUSTOS!$M$38)</f>
        <v>216.84105597414842</v>
      </c>
      <c r="AB639" s="6">
        <f t="shared" si="28"/>
        <v>0</v>
      </c>
      <c r="AC639" s="6">
        <f>(L639-M639)*(W639+X639)+($W$330+$X$330-$W$639-$X$639)*(L639)</f>
        <v>388.32510000000025</v>
      </c>
      <c r="AD639" s="6">
        <f t="shared" si="29"/>
        <v>0</v>
      </c>
      <c r="AE639" s="6">
        <f ca="1">(L639-M639)*(Z639+AA639)+($Z$330+$AA$330-$Z$639-$AA$639)*(L639)</f>
        <v>222.2890988600501</v>
      </c>
      <c r="AF639" s="4" t="s">
        <v>933</v>
      </c>
    </row>
    <row r="640" spans="1:32" ht="11.25" customHeight="1" x14ac:dyDescent="0.25">
      <c r="A640" s="4" t="s">
        <v>28</v>
      </c>
      <c r="B640" s="4" t="s">
        <v>46</v>
      </c>
      <c r="C640" s="4" t="s">
        <v>23</v>
      </c>
      <c r="D640" s="4" t="s">
        <v>47</v>
      </c>
      <c r="E640" s="4" t="s">
        <v>55</v>
      </c>
      <c r="F640" s="4" t="s">
        <v>56</v>
      </c>
      <c r="G640" s="4" t="s">
        <v>25</v>
      </c>
      <c r="H640" s="4" t="s">
        <v>25</v>
      </c>
      <c r="I640" s="5">
        <v>44621</v>
      </c>
      <c r="J640" s="6">
        <v>0</v>
      </c>
      <c r="K640" s="6">
        <v>0</v>
      </c>
      <c r="L640" s="6">
        <v>1.7999999999999999E-2</v>
      </c>
      <c r="M640" s="6">
        <v>1.7999999999999999E-2</v>
      </c>
      <c r="N640" s="6">
        <v>1.7999999999999999E-2</v>
      </c>
      <c r="O640" s="6">
        <v>1.7999999999999999E-2</v>
      </c>
      <c r="P640" s="6">
        <v>0</v>
      </c>
      <c r="Q640" s="4" t="s">
        <v>26</v>
      </c>
      <c r="R640" s="4">
        <v>0</v>
      </c>
      <c r="S640" s="4">
        <v>0</v>
      </c>
      <c r="T640" s="4">
        <v>52</v>
      </c>
      <c r="U640" s="4">
        <v>96</v>
      </c>
      <c r="V640" s="6">
        <f>IF(ISERROR(VLOOKUP($S$640,'TAR FIN'!$A$1:$O$115,15,0)),0,VLOOKUP($S$640,'TAR FIN'!$A$1:$O$115,15,0))</f>
        <v>0</v>
      </c>
      <c r="W640" s="6">
        <f>IF(ISERROR(VLOOKUP($T$640,'TAR FIN'!$A$1:$O$115,15,0)),0,VLOOKUP($T$640,'TAR FIN'!$A$1:$O$115,15,0))</f>
        <v>407.97</v>
      </c>
      <c r="X640" s="6">
        <f>IF(ISERROR(VLOOKUP($U$640,'TAR FIN'!$A$1:$O$115,15,0)),0,VLOOKUP($U$640,'TAR FIN'!$A$1:$O$115,15,0))</f>
        <v>155.38999999999999</v>
      </c>
      <c r="Y640" s="6"/>
      <c r="Z640" s="6">
        <f ca="1">('TUSD BE'!$AM$50+'TUSD BF'!$AM$50+'TUSD CVA'!$AM$50)*(1-CUSTOS!$M$38)</f>
        <v>472.08658309095875</v>
      </c>
      <c r="AA640" s="6">
        <f>('TE BE'!$AB$33+'TE BF'!$AB$33+'TE CVA'!$AB$33)*(1-CUSTOS!$M$38)</f>
        <v>216.84105597414842</v>
      </c>
      <c r="AB640" s="6">
        <f t="shared" si="28"/>
        <v>0</v>
      </c>
      <c r="AC640" s="6">
        <f>(L640-M640)*(W640+X640)+($W$330+$X$330-$W$640-$X$640)*(L640)</f>
        <v>1.3827600000000009</v>
      </c>
      <c r="AD640" s="6">
        <f t="shared" si="29"/>
        <v>0</v>
      </c>
      <c r="AE640" s="6">
        <f ca="1">(L640-M640)*(Z640+AA640)+($Z$330+$AA$330-$Z$640-$AA$640)*(L640)</f>
        <v>0.79153388318118734</v>
      </c>
      <c r="AF640" s="4" t="s">
        <v>933</v>
      </c>
    </row>
    <row r="641" spans="1:32" ht="11.25" customHeight="1" x14ac:dyDescent="0.25">
      <c r="A641" s="4" t="s">
        <v>21</v>
      </c>
      <c r="B641" s="4" t="s">
        <v>46</v>
      </c>
      <c r="C641" s="4" t="s">
        <v>23</v>
      </c>
      <c r="D641" s="4" t="s">
        <v>47</v>
      </c>
      <c r="E641" s="4" t="s">
        <v>55</v>
      </c>
      <c r="F641" s="4" t="s">
        <v>56</v>
      </c>
      <c r="G641" s="4" t="s">
        <v>25</v>
      </c>
      <c r="H641" s="4" t="s">
        <v>25</v>
      </c>
      <c r="I641" s="5">
        <v>44652</v>
      </c>
      <c r="J641" s="6">
        <v>0</v>
      </c>
      <c r="K641" s="6">
        <v>0</v>
      </c>
      <c r="L641" s="6">
        <v>3.76</v>
      </c>
      <c r="M641" s="6">
        <v>3.76</v>
      </c>
      <c r="N641" s="6">
        <v>3.76</v>
      </c>
      <c r="O641" s="6">
        <v>3.76</v>
      </c>
      <c r="P641" s="6">
        <v>0</v>
      </c>
      <c r="Q641" s="4" t="s">
        <v>26</v>
      </c>
      <c r="R641" s="4">
        <v>0</v>
      </c>
      <c r="S641" s="4">
        <v>0</v>
      </c>
      <c r="T641" s="4">
        <v>52</v>
      </c>
      <c r="U641" s="4">
        <v>96</v>
      </c>
      <c r="V641" s="6">
        <f>IF(ISERROR(VLOOKUP($S$641,'TAR FIN'!$A$1:$O$115,15,0)),0,VLOOKUP($S$641,'TAR FIN'!$A$1:$O$115,15,0))</f>
        <v>0</v>
      </c>
      <c r="W641" s="6">
        <f>IF(ISERROR(VLOOKUP($T$641,'TAR FIN'!$A$1:$O$115,15,0)),0,VLOOKUP($T$641,'TAR FIN'!$A$1:$O$115,15,0))</f>
        <v>407.97</v>
      </c>
      <c r="X641" s="6">
        <f>IF(ISERROR(VLOOKUP($U$641,'TAR FIN'!$A$1:$O$115,15,0)),0,VLOOKUP($U$641,'TAR FIN'!$A$1:$O$115,15,0))</f>
        <v>155.38999999999999</v>
      </c>
      <c r="Y641" s="6"/>
      <c r="Z641" s="6">
        <f ca="1">('TUSD BE'!$AM$50+'TUSD BF'!$AM$50+'TUSD CVA'!$AM$50)*(1-CUSTOS!$M$38)</f>
        <v>472.08658309095875</v>
      </c>
      <c r="AA641" s="6">
        <f>('TE BE'!$AB$33+'TE BF'!$AB$33+'TE CVA'!$AB$33)*(1-CUSTOS!$M$38)</f>
        <v>216.84105597414842</v>
      </c>
      <c r="AB641" s="6">
        <f t="shared" si="28"/>
        <v>0</v>
      </c>
      <c r="AC641" s="6">
        <f>(L641-M641)*(W641+X641)+($W$330+$X$330-$W$641-$X$641)*(L641)</f>
        <v>288.84320000000019</v>
      </c>
      <c r="AD641" s="6">
        <f t="shared" si="29"/>
        <v>0</v>
      </c>
      <c r="AE641" s="6">
        <f ca="1">(L641-M641)*(Z641+AA641)+($Z$330+$AA$330-$Z$641-$AA$641)*(L641)</f>
        <v>165.34263337562581</v>
      </c>
      <c r="AF641" s="4" t="s">
        <v>933</v>
      </c>
    </row>
    <row r="642" spans="1:32" ht="11.25" customHeight="1" x14ac:dyDescent="0.25">
      <c r="A642" s="4" t="s">
        <v>27</v>
      </c>
      <c r="B642" s="4" t="s">
        <v>46</v>
      </c>
      <c r="C642" s="4" t="s">
        <v>23</v>
      </c>
      <c r="D642" s="4" t="s">
        <v>47</v>
      </c>
      <c r="E642" s="4" t="s">
        <v>55</v>
      </c>
      <c r="F642" s="4" t="s">
        <v>56</v>
      </c>
      <c r="G642" s="4" t="s">
        <v>25</v>
      </c>
      <c r="H642" s="4" t="s">
        <v>25</v>
      </c>
      <c r="I642" s="5">
        <v>44652</v>
      </c>
      <c r="J642" s="6">
        <v>0</v>
      </c>
      <c r="K642" s="6">
        <v>0</v>
      </c>
      <c r="L642" s="6">
        <v>-12.438000000000001</v>
      </c>
      <c r="M642" s="6">
        <v>-12.438000000000001</v>
      </c>
      <c r="N642" s="6">
        <v>-12.438000000000001</v>
      </c>
      <c r="O642" s="6">
        <v>-12.438000000000001</v>
      </c>
      <c r="P642" s="6">
        <v>0</v>
      </c>
      <c r="Q642" s="4" t="s">
        <v>26</v>
      </c>
      <c r="R642" s="4">
        <v>0</v>
      </c>
      <c r="S642" s="4">
        <v>0</v>
      </c>
      <c r="T642" s="4">
        <v>52</v>
      </c>
      <c r="U642" s="4">
        <v>96</v>
      </c>
      <c r="V642" s="6">
        <f>IF(ISERROR(VLOOKUP($S$642,'TAR FIN'!$A$1:$O$115,15,0)),0,VLOOKUP($S$642,'TAR FIN'!$A$1:$O$115,15,0))</f>
        <v>0</v>
      </c>
      <c r="W642" s="6">
        <f>IF(ISERROR(VLOOKUP($T$642,'TAR FIN'!$A$1:$O$115,15,0)),0,VLOOKUP($T$642,'TAR FIN'!$A$1:$O$115,15,0))</f>
        <v>407.97</v>
      </c>
      <c r="X642" s="6">
        <f>IF(ISERROR(VLOOKUP($U$642,'TAR FIN'!$A$1:$O$115,15,0)),0,VLOOKUP($U$642,'TAR FIN'!$A$1:$O$115,15,0))</f>
        <v>155.38999999999999</v>
      </c>
      <c r="Y642" s="6"/>
      <c r="Z642" s="6">
        <f ca="1">('TUSD BE'!$AM$50+'TUSD BF'!$AM$50+'TUSD CVA'!$AM$50)*(1-CUSTOS!$M$38)</f>
        <v>472.08658309095875</v>
      </c>
      <c r="AA642" s="6">
        <f>('TE BE'!$AB$33+'TE BF'!$AB$33+'TE CVA'!$AB$33)*(1-CUSTOS!$M$38)</f>
        <v>216.84105597414842</v>
      </c>
      <c r="AB642" s="6">
        <f t="shared" ref="AB642:AB705" si="30">(J642-K642)*V642</f>
        <v>0</v>
      </c>
      <c r="AC642" s="6">
        <f>(L642-M642)*(W642+X642)+($W$330+$X$330-$W$642-$X$642)*(L642)</f>
        <v>-955.4871600000007</v>
      </c>
      <c r="AD642" s="6">
        <f t="shared" ref="AD642:AD705" si="31">(J642-K642)*Y642</f>
        <v>0</v>
      </c>
      <c r="AE642" s="6">
        <f ca="1">(L642-M642)*(Z642+AA642)+($Z$330+$AA$330-$Z$642-$AA$642)*(L642)</f>
        <v>-546.94991327820048</v>
      </c>
      <c r="AF642" s="4" t="s">
        <v>933</v>
      </c>
    </row>
    <row r="643" spans="1:32" ht="11.25" customHeight="1" x14ac:dyDescent="0.25">
      <c r="A643" s="4" t="s">
        <v>28</v>
      </c>
      <c r="B643" s="4" t="s">
        <v>46</v>
      </c>
      <c r="C643" s="4" t="s">
        <v>23</v>
      </c>
      <c r="D643" s="4" t="s">
        <v>47</v>
      </c>
      <c r="E643" s="4" t="s">
        <v>55</v>
      </c>
      <c r="F643" s="4" t="s">
        <v>56</v>
      </c>
      <c r="G643" s="4" t="s">
        <v>25</v>
      </c>
      <c r="H643" s="4" t="s">
        <v>25</v>
      </c>
      <c r="I643" s="5">
        <v>44652</v>
      </c>
      <c r="J643" s="6">
        <v>0</v>
      </c>
      <c r="K643" s="6">
        <v>0</v>
      </c>
      <c r="L643" s="6">
        <v>0.57199999999999995</v>
      </c>
      <c r="M643" s="6">
        <v>0.57199999999999995</v>
      </c>
      <c r="N643" s="6">
        <v>0.57199999999999995</v>
      </c>
      <c r="O643" s="6">
        <v>0.57199999999999995</v>
      </c>
      <c r="P643" s="6">
        <v>0</v>
      </c>
      <c r="Q643" s="4" t="s">
        <v>26</v>
      </c>
      <c r="R643" s="4">
        <v>0</v>
      </c>
      <c r="S643" s="4">
        <v>0</v>
      </c>
      <c r="T643" s="4">
        <v>52</v>
      </c>
      <c r="U643" s="4">
        <v>96</v>
      </c>
      <c r="V643" s="6">
        <f>IF(ISERROR(VLOOKUP($S$643,'TAR FIN'!$A$1:$O$115,15,0)),0,VLOOKUP($S$643,'TAR FIN'!$A$1:$O$115,15,0))</f>
        <v>0</v>
      </c>
      <c r="W643" s="6">
        <f>IF(ISERROR(VLOOKUP($T$643,'TAR FIN'!$A$1:$O$115,15,0)),0,VLOOKUP($T$643,'TAR FIN'!$A$1:$O$115,15,0))</f>
        <v>407.97</v>
      </c>
      <c r="X643" s="6">
        <f>IF(ISERROR(VLOOKUP($U$643,'TAR FIN'!$A$1:$O$115,15,0)),0,VLOOKUP($U$643,'TAR FIN'!$A$1:$O$115,15,0))</f>
        <v>155.38999999999999</v>
      </c>
      <c r="Y643" s="6"/>
      <c r="Z643" s="6">
        <f ca="1">('TUSD BE'!$AM$50+'TUSD BF'!$AM$50+'TUSD CVA'!$AM$50)*(1-CUSTOS!$M$38)</f>
        <v>472.08658309095875</v>
      </c>
      <c r="AA643" s="6">
        <f>('TE BE'!$AB$33+'TE BF'!$AB$33+'TE CVA'!$AB$33)*(1-CUSTOS!$M$38)</f>
        <v>216.84105597414842</v>
      </c>
      <c r="AB643" s="6">
        <f t="shared" si="30"/>
        <v>0</v>
      </c>
      <c r="AC643" s="6">
        <f>(L643-M643)*(W643+X643)+($W$330+$X$330-$W$643-$X$643)*(L643)</f>
        <v>43.941040000000022</v>
      </c>
      <c r="AD643" s="6">
        <f t="shared" si="31"/>
        <v>0</v>
      </c>
      <c r="AE643" s="6">
        <f ca="1">(L643-M643)*(Z643+AA643)+($Z$330+$AA$330-$Z$643-$AA$643)*(L643)</f>
        <v>25.153187843313287</v>
      </c>
      <c r="AF643" s="4" t="s">
        <v>933</v>
      </c>
    </row>
    <row r="644" spans="1:32" ht="11.25" customHeight="1" x14ac:dyDescent="0.25">
      <c r="A644" s="4" t="s">
        <v>21</v>
      </c>
      <c r="B644" s="4" t="s">
        <v>46</v>
      </c>
      <c r="C644" s="4" t="s">
        <v>23</v>
      </c>
      <c r="D644" s="4" t="s">
        <v>47</v>
      </c>
      <c r="E644" s="4" t="s">
        <v>55</v>
      </c>
      <c r="F644" s="4" t="s">
        <v>56</v>
      </c>
      <c r="G644" s="4" t="s">
        <v>25</v>
      </c>
      <c r="H644" s="4" t="s">
        <v>25</v>
      </c>
      <c r="I644" s="5">
        <v>44682</v>
      </c>
      <c r="J644" s="6">
        <v>0</v>
      </c>
      <c r="K644" s="6">
        <v>0</v>
      </c>
      <c r="L644" s="6">
        <v>15.972</v>
      </c>
      <c r="M644" s="6">
        <v>15.972</v>
      </c>
      <c r="N644" s="6">
        <v>15.972</v>
      </c>
      <c r="O644" s="6">
        <v>15.972</v>
      </c>
      <c r="P644" s="6">
        <v>0</v>
      </c>
      <c r="Q644" s="4" t="s">
        <v>26</v>
      </c>
      <c r="R644" s="4">
        <v>0</v>
      </c>
      <c r="S644" s="4">
        <v>0</v>
      </c>
      <c r="T644" s="4">
        <v>52</v>
      </c>
      <c r="U644" s="4">
        <v>96</v>
      </c>
      <c r="V644" s="6">
        <f>IF(ISERROR(VLOOKUP($S$644,'TAR FIN'!$A$1:$O$115,15,0)),0,VLOOKUP($S$644,'TAR FIN'!$A$1:$O$115,15,0))</f>
        <v>0</v>
      </c>
      <c r="W644" s="6">
        <f>IF(ISERROR(VLOOKUP($T$644,'TAR FIN'!$A$1:$O$115,15,0)),0,VLOOKUP($T$644,'TAR FIN'!$A$1:$O$115,15,0))</f>
        <v>407.97</v>
      </c>
      <c r="X644" s="6">
        <f>IF(ISERROR(VLOOKUP($U$644,'TAR FIN'!$A$1:$O$115,15,0)),0,VLOOKUP($U$644,'TAR FIN'!$A$1:$O$115,15,0))</f>
        <v>155.38999999999999</v>
      </c>
      <c r="Y644" s="6"/>
      <c r="Z644" s="6">
        <f ca="1">('TUSD BE'!$AM$50+'TUSD BF'!$AM$50+'TUSD CVA'!$AM$50)*(1-CUSTOS!$M$38)</f>
        <v>472.08658309095875</v>
      </c>
      <c r="AA644" s="6">
        <f>('TE BE'!$AB$33+'TE BF'!$AB$33+'TE CVA'!$AB$33)*(1-CUSTOS!$M$38)</f>
        <v>216.84105597414842</v>
      </c>
      <c r="AB644" s="6">
        <f t="shared" si="30"/>
        <v>0</v>
      </c>
      <c r="AC644" s="6">
        <f>(L644-M644)*(W644+X644)+($W$330+$X$330-$W$644-$X$644)*(L644)</f>
        <v>1226.9690400000009</v>
      </c>
      <c r="AD644" s="6">
        <f t="shared" si="31"/>
        <v>0</v>
      </c>
      <c r="AE644" s="6">
        <f ca="1">(L644-M644)*(Z644+AA644)+($Z$330+$AA$330-$Z$644-$AA$644)*(L644)</f>
        <v>702.35439900944027</v>
      </c>
      <c r="AF644" s="4" t="s">
        <v>933</v>
      </c>
    </row>
    <row r="645" spans="1:32" ht="11.25" customHeight="1" x14ac:dyDescent="0.25">
      <c r="A645" s="4" t="s">
        <v>27</v>
      </c>
      <c r="B645" s="4" t="s">
        <v>46</v>
      </c>
      <c r="C645" s="4" t="s">
        <v>23</v>
      </c>
      <c r="D645" s="4" t="s">
        <v>47</v>
      </c>
      <c r="E645" s="4" t="s">
        <v>55</v>
      </c>
      <c r="F645" s="4" t="s">
        <v>56</v>
      </c>
      <c r="G645" s="4" t="s">
        <v>25</v>
      </c>
      <c r="H645" s="4" t="s">
        <v>25</v>
      </c>
      <c r="I645" s="5">
        <v>44682</v>
      </c>
      <c r="J645" s="6">
        <v>0</v>
      </c>
      <c r="K645" s="6">
        <v>0</v>
      </c>
      <c r="L645" s="6">
        <v>-0.25700000000000001</v>
      </c>
      <c r="M645" s="6">
        <v>-0.25700000000000001</v>
      </c>
      <c r="N645" s="6">
        <v>-0.25700000000000001</v>
      </c>
      <c r="O645" s="6">
        <v>-0.25700000000000001</v>
      </c>
      <c r="P645" s="6">
        <v>0</v>
      </c>
      <c r="Q645" s="4" t="s">
        <v>26</v>
      </c>
      <c r="R645" s="4">
        <v>0</v>
      </c>
      <c r="S645" s="4">
        <v>0</v>
      </c>
      <c r="T645" s="4">
        <v>52</v>
      </c>
      <c r="U645" s="4">
        <v>96</v>
      </c>
      <c r="V645" s="6">
        <f>IF(ISERROR(VLOOKUP($S$645,'TAR FIN'!$A$1:$O$115,15,0)),0,VLOOKUP($S$645,'TAR FIN'!$A$1:$O$115,15,0))</f>
        <v>0</v>
      </c>
      <c r="W645" s="6">
        <f>IF(ISERROR(VLOOKUP($T$645,'TAR FIN'!$A$1:$O$115,15,0)),0,VLOOKUP($T$645,'TAR FIN'!$A$1:$O$115,15,0))</f>
        <v>407.97</v>
      </c>
      <c r="X645" s="6">
        <f>IF(ISERROR(VLOOKUP($U$645,'TAR FIN'!$A$1:$O$115,15,0)),0,VLOOKUP($U$645,'TAR FIN'!$A$1:$O$115,15,0))</f>
        <v>155.38999999999999</v>
      </c>
      <c r="Y645" s="6"/>
      <c r="Z645" s="6">
        <f ca="1">('TUSD BE'!$AM$50+'TUSD BF'!$AM$50+'TUSD CVA'!$AM$50)*(1-CUSTOS!$M$38)</f>
        <v>472.08658309095875</v>
      </c>
      <c r="AA645" s="6">
        <f>('TE BE'!$AB$33+'TE BF'!$AB$33+'TE CVA'!$AB$33)*(1-CUSTOS!$M$38)</f>
        <v>216.84105597414842</v>
      </c>
      <c r="AB645" s="6">
        <f t="shared" si="30"/>
        <v>0</v>
      </c>
      <c r="AC645" s="6">
        <f>(L645-M645)*(W645+X645)+($W$330+$X$330-$W$645-$X$645)*(L645)</f>
        <v>-19.742740000000012</v>
      </c>
      <c r="AD645" s="6">
        <f t="shared" si="31"/>
        <v>0</v>
      </c>
      <c r="AE645" s="6">
        <f ca="1">(L645-M645)*(Z645+AA645)+($Z$330+$AA$330-$Z$645-$AA$645)*(L645)</f>
        <v>-11.301344887642509</v>
      </c>
      <c r="AF645" s="4" t="s">
        <v>933</v>
      </c>
    </row>
    <row r="646" spans="1:32" ht="11.25" customHeight="1" x14ac:dyDescent="0.25">
      <c r="A646" s="4" t="s">
        <v>28</v>
      </c>
      <c r="B646" s="4" t="s">
        <v>46</v>
      </c>
      <c r="C646" s="4" t="s">
        <v>23</v>
      </c>
      <c r="D646" s="4" t="s">
        <v>47</v>
      </c>
      <c r="E646" s="4" t="s">
        <v>55</v>
      </c>
      <c r="F646" s="4" t="s">
        <v>56</v>
      </c>
      <c r="G646" s="4" t="s">
        <v>25</v>
      </c>
      <c r="H646" s="4" t="s">
        <v>25</v>
      </c>
      <c r="I646" s="5">
        <v>44682</v>
      </c>
      <c r="J646" s="6">
        <v>0</v>
      </c>
      <c r="K646" s="6">
        <v>0</v>
      </c>
      <c r="L646" s="6">
        <v>2.573</v>
      </c>
      <c r="M646" s="6">
        <v>2.573</v>
      </c>
      <c r="N646" s="6">
        <v>2.573</v>
      </c>
      <c r="O646" s="6">
        <v>2.573</v>
      </c>
      <c r="P646" s="6">
        <v>0</v>
      </c>
      <c r="Q646" s="4" t="s">
        <v>26</v>
      </c>
      <c r="R646" s="4">
        <v>0</v>
      </c>
      <c r="S646" s="4">
        <v>0</v>
      </c>
      <c r="T646" s="4">
        <v>52</v>
      </c>
      <c r="U646" s="4">
        <v>96</v>
      </c>
      <c r="V646" s="6">
        <f>IF(ISERROR(VLOOKUP($S$646,'TAR FIN'!$A$1:$O$115,15,0)),0,VLOOKUP($S$646,'TAR FIN'!$A$1:$O$115,15,0))</f>
        <v>0</v>
      </c>
      <c r="W646" s="6">
        <f>IF(ISERROR(VLOOKUP($T$646,'TAR FIN'!$A$1:$O$115,15,0)),0,VLOOKUP($T$646,'TAR FIN'!$A$1:$O$115,15,0))</f>
        <v>407.97</v>
      </c>
      <c r="X646" s="6">
        <f>IF(ISERROR(VLOOKUP($U$646,'TAR FIN'!$A$1:$O$115,15,0)),0,VLOOKUP($U$646,'TAR FIN'!$A$1:$O$115,15,0))</f>
        <v>155.38999999999999</v>
      </c>
      <c r="Y646" s="6"/>
      <c r="Z646" s="6">
        <f ca="1">('TUSD BE'!$AM$50+'TUSD BF'!$AM$50+'TUSD CVA'!$AM$50)*(1-CUSTOS!$M$38)</f>
        <v>472.08658309095875</v>
      </c>
      <c r="AA646" s="6">
        <f>('TE BE'!$AB$33+'TE BF'!$AB$33+'TE CVA'!$AB$33)*(1-CUSTOS!$M$38)</f>
        <v>216.84105597414842</v>
      </c>
      <c r="AB646" s="6">
        <f t="shared" si="30"/>
        <v>0</v>
      </c>
      <c r="AC646" s="6">
        <f>(L646-M646)*(W646+X646)+($W$330+$X$330-$W$646-$X$646)*(L646)</f>
        <v>197.65786000000011</v>
      </c>
      <c r="AD646" s="6">
        <f t="shared" si="31"/>
        <v>0</v>
      </c>
      <c r="AE646" s="6">
        <f ca="1">(L646-M646)*(Z646+AA646)+($Z$330+$AA$330-$Z$646-$AA$646)*(L646)</f>
        <v>113.14537119028861</v>
      </c>
      <c r="AF646" s="4" t="s">
        <v>933</v>
      </c>
    </row>
    <row r="647" spans="1:32" ht="11.25" customHeight="1" x14ac:dyDescent="0.25">
      <c r="A647" s="4" t="s">
        <v>21</v>
      </c>
      <c r="B647" s="4" t="s">
        <v>46</v>
      </c>
      <c r="C647" s="4" t="s">
        <v>23</v>
      </c>
      <c r="D647" s="4" t="s">
        <v>47</v>
      </c>
      <c r="E647" s="4" t="s">
        <v>55</v>
      </c>
      <c r="F647" s="4" t="s">
        <v>56</v>
      </c>
      <c r="G647" s="4" t="s">
        <v>25</v>
      </c>
      <c r="H647" s="4" t="s">
        <v>25</v>
      </c>
      <c r="I647" s="5">
        <v>44713</v>
      </c>
      <c r="J647" s="6">
        <v>0</v>
      </c>
      <c r="K647" s="6">
        <v>0</v>
      </c>
      <c r="L647" s="6">
        <v>9.6989999999999998</v>
      </c>
      <c r="M647" s="6">
        <v>9.6989999999999998</v>
      </c>
      <c r="N647" s="6">
        <v>9.6989999999999998</v>
      </c>
      <c r="O647" s="6">
        <v>9.6989999999999998</v>
      </c>
      <c r="P647" s="6">
        <v>0</v>
      </c>
      <c r="Q647" s="4" t="s">
        <v>26</v>
      </c>
      <c r="R647" s="4">
        <v>0</v>
      </c>
      <c r="S647" s="4">
        <v>0</v>
      </c>
      <c r="T647" s="4">
        <v>52</v>
      </c>
      <c r="U647" s="4">
        <v>96</v>
      </c>
      <c r="V647" s="6">
        <f>IF(ISERROR(VLOOKUP($S$647,'TAR FIN'!$A$1:$O$115,15,0)),0,VLOOKUP($S$647,'TAR FIN'!$A$1:$O$115,15,0))</f>
        <v>0</v>
      </c>
      <c r="W647" s="6">
        <f>IF(ISERROR(VLOOKUP($T$647,'TAR FIN'!$A$1:$O$115,15,0)),0,VLOOKUP($T$647,'TAR FIN'!$A$1:$O$115,15,0))</f>
        <v>407.97</v>
      </c>
      <c r="X647" s="6">
        <f>IF(ISERROR(VLOOKUP($U$647,'TAR FIN'!$A$1:$O$115,15,0)),0,VLOOKUP($U$647,'TAR FIN'!$A$1:$O$115,15,0))</f>
        <v>155.38999999999999</v>
      </c>
      <c r="Y647" s="6"/>
      <c r="Z647" s="6">
        <f ca="1">('TUSD BE'!$AM$50+'TUSD BF'!$AM$50+'TUSD CVA'!$AM$50)*(1-CUSTOS!$M$38)</f>
        <v>472.08658309095875</v>
      </c>
      <c r="AA647" s="6">
        <f>('TE BE'!$AB$33+'TE BF'!$AB$33+'TE CVA'!$AB$33)*(1-CUSTOS!$M$38)</f>
        <v>216.84105597414842</v>
      </c>
      <c r="AB647" s="6">
        <f t="shared" si="30"/>
        <v>0</v>
      </c>
      <c r="AC647" s="6">
        <f>(L647-M647)*(W647+X647)+($W$330+$X$330-$W$647-$X$647)*(L647)</f>
        <v>745.07718000000045</v>
      </c>
      <c r="AD647" s="6">
        <f t="shared" si="31"/>
        <v>0</v>
      </c>
      <c r="AE647" s="6">
        <f ca="1">(L647-M647)*(Z647+AA647)+($Z$330+$AA$330-$Z$647-$AA$647)*(L647)</f>
        <v>426.50484072079644</v>
      </c>
      <c r="AF647" s="4" t="s">
        <v>933</v>
      </c>
    </row>
    <row r="648" spans="1:32" ht="11.25" customHeight="1" x14ac:dyDescent="0.25">
      <c r="A648" s="4" t="s">
        <v>27</v>
      </c>
      <c r="B648" s="4" t="s">
        <v>46</v>
      </c>
      <c r="C648" s="4" t="s">
        <v>23</v>
      </c>
      <c r="D648" s="4" t="s">
        <v>47</v>
      </c>
      <c r="E648" s="4" t="s">
        <v>55</v>
      </c>
      <c r="F648" s="4" t="s">
        <v>56</v>
      </c>
      <c r="G648" s="4" t="s">
        <v>25</v>
      </c>
      <c r="H648" s="4" t="s">
        <v>25</v>
      </c>
      <c r="I648" s="5">
        <v>44713</v>
      </c>
      <c r="J648" s="6">
        <v>0</v>
      </c>
      <c r="K648" s="6">
        <v>0</v>
      </c>
      <c r="L648" s="6">
        <v>-7.1219999999999999</v>
      </c>
      <c r="M648" s="6">
        <v>-7.1219999999999999</v>
      </c>
      <c r="N648" s="6">
        <v>-7.1219999999999999</v>
      </c>
      <c r="O648" s="6">
        <v>-7.1219999999999999</v>
      </c>
      <c r="P648" s="6">
        <v>0</v>
      </c>
      <c r="Q648" s="4" t="s">
        <v>26</v>
      </c>
      <c r="R648" s="4">
        <v>0</v>
      </c>
      <c r="S648" s="4">
        <v>0</v>
      </c>
      <c r="T648" s="4">
        <v>52</v>
      </c>
      <c r="U648" s="4">
        <v>96</v>
      </c>
      <c r="V648" s="6">
        <f>IF(ISERROR(VLOOKUP($S$648,'TAR FIN'!$A$1:$O$115,15,0)),0,VLOOKUP($S$648,'TAR FIN'!$A$1:$O$115,15,0))</f>
        <v>0</v>
      </c>
      <c r="W648" s="6">
        <f>IF(ISERROR(VLOOKUP($T$648,'TAR FIN'!$A$1:$O$115,15,0)),0,VLOOKUP($T$648,'TAR FIN'!$A$1:$O$115,15,0))</f>
        <v>407.97</v>
      </c>
      <c r="X648" s="6">
        <f>IF(ISERROR(VLOOKUP($U$648,'TAR FIN'!$A$1:$O$115,15,0)),0,VLOOKUP($U$648,'TAR FIN'!$A$1:$O$115,15,0))</f>
        <v>155.38999999999999</v>
      </c>
      <c r="Y648" s="6"/>
      <c r="Z648" s="6">
        <f ca="1">('TUSD BE'!$AM$50+'TUSD BF'!$AM$50+'TUSD CVA'!$AM$50)*(1-CUSTOS!$M$38)</f>
        <v>472.08658309095875</v>
      </c>
      <c r="AA648" s="6">
        <f>('TE BE'!$AB$33+'TE BF'!$AB$33+'TE CVA'!$AB$33)*(1-CUSTOS!$M$38)</f>
        <v>216.84105597414842</v>
      </c>
      <c r="AB648" s="6">
        <f t="shared" si="30"/>
        <v>0</v>
      </c>
      <c r="AC648" s="6">
        <f>(L648-M648)*(W648+X648)+($W$330+$X$330-$W$648-$X$648)*(L648)</f>
        <v>-547.11204000000032</v>
      </c>
      <c r="AD648" s="6">
        <f t="shared" si="31"/>
        <v>0</v>
      </c>
      <c r="AE648" s="6">
        <f ca="1">(L648-M648)*(Z648+AA648)+($Z$330+$AA$330-$Z$648-$AA$648)*(L648)</f>
        <v>-313.18357311202311</v>
      </c>
      <c r="AF648" s="4" t="s">
        <v>933</v>
      </c>
    </row>
    <row r="649" spans="1:32" ht="11.25" customHeight="1" x14ac:dyDescent="0.25">
      <c r="A649" s="4" t="s">
        <v>28</v>
      </c>
      <c r="B649" s="4" t="s">
        <v>46</v>
      </c>
      <c r="C649" s="4" t="s">
        <v>23</v>
      </c>
      <c r="D649" s="4" t="s">
        <v>47</v>
      </c>
      <c r="E649" s="4" t="s">
        <v>55</v>
      </c>
      <c r="F649" s="4" t="s">
        <v>56</v>
      </c>
      <c r="G649" s="4" t="s">
        <v>25</v>
      </c>
      <c r="H649" s="4" t="s">
        <v>25</v>
      </c>
      <c r="I649" s="5">
        <v>44713</v>
      </c>
      <c r="J649" s="6">
        <v>0</v>
      </c>
      <c r="K649" s="6">
        <v>0</v>
      </c>
      <c r="L649" s="6">
        <v>1.0009999999999999</v>
      </c>
      <c r="M649" s="6">
        <v>1.0009999999999999</v>
      </c>
      <c r="N649" s="6">
        <v>1.0009999999999999</v>
      </c>
      <c r="O649" s="6">
        <v>1.0009999999999999</v>
      </c>
      <c r="P649" s="6">
        <v>0</v>
      </c>
      <c r="Q649" s="4" t="s">
        <v>26</v>
      </c>
      <c r="R649" s="4">
        <v>0</v>
      </c>
      <c r="S649" s="4">
        <v>0</v>
      </c>
      <c r="T649" s="4">
        <v>52</v>
      </c>
      <c r="U649" s="4">
        <v>96</v>
      </c>
      <c r="V649" s="6">
        <f>IF(ISERROR(VLOOKUP($S$649,'TAR FIN'!$A$1:$O$115,15,0)),0,VLOOKUP($S$649,'TAR FIN'!$A$1:$O$115,15,0))</f>
        <v>0</v>
      </c>
      <c r="W649" s="6">
        <f>IF(ISERROR(VLOOKUP($T$649,'TAR FIN'!$A$1:$O$115,15,0)),0,VLOOKUP($T$649,'TAR FIN'!$A$1:$O$115,15,0))</f>
        <v>407.97</v>
      </c>
      <c r="X649" s="6">
        <f>IF(ISERROR(VLOOKUP($U$649,'TAR FIN'!$A$1:$O$115,15,0)),0,VLOOKUP($U$649,'TAR FIN'!$A$1:$O$115,15,0))</f>
        <v>155.38999999999999</v>
      </c>
      <c r="Y649" s="6"/>
      <c r="Z649" s="6">
        <f ca="1">('TUSD BE'!$AM$50+'TUSD BF'!$AM$50+'TUSD CVA'!$AM$50)*(1-CUSTOS!$M$38)</f>
        <v>472.08658309095875</v>
      </c>
      <c r="AA649" s="6">
        <f>('TE BE'!$AB$33+'TE BF'!$AB$33+'TE CVA'!$AB$33)*(1-CUSTOS!$M$38)</f>
        <v>216.84105597414842</v>
      </c>
      <c r="AB649" s="6">
        <f t="shared" si="30"/>
        <v>0</v>
      </c>
      <c r="AC649" s="6">
        <f>(L649-M649)*(W649+X649)+($W$330+$X$330-$W$649-$X$649)*(L649)</f>
        <v>76.896820000000048</v>
      </c>
      <c r="AD649" s="6">
        <f t="shared" si="31"/>
        <v>0</v>
      </c>
      <c r="AE649" s="6">
        <f ca="1">(L649-M649)*(Z649+AA649)+($Z$330+$AA$330-$Z$649-$AA$649)*(L649)</f>
        <v>44.018078725798247</v>
      </c>
      <c r="AF649" s="4" t="s">
        <v>933</v>
      </c>
    </row>
    <row r="650" spans="1:32" ht="11.25" customHeight="1" x14ac:dyDescent="0.25">
      <c r="A650" s="4" t="s">
        <v>21</v>
      </c>
      <c r="B650" s="4" t="s">
        <v>46</v>
      </c>
      <c r="C650" s="4" t="s">
        <v>23</v>
      </c>
      <c r="D650" s="4" t="s">
        <v>47</v>
      </c>
      <c r="E650" s="4" t="s">
        <v>55</v>
      </c>
      <c r="F650" s="4" t="s">
        <v>56</v>
      </c>
      <c r="G650" s="4" t="s">
        <v>25</v>
      </c>
      <c r="H650" s="4" t="s">
        <v>25</v>
      </c>
      <c r="I650" s="5">
        <v>44743</v>
      </c>
      <c r="J650" s="6">
        <v>0</v>
      </c>
      <c r="K650" s="6">
        <v>0</v>
      </c>
      <c r="L650" s="6">
        <v>3.0059999999999998</v>
      </c>
      <c r="M650" s="6">
        <v>3.0059999999999998</v>
      </c>
      <c r="N650" s="6">
        <v>3.0059999999999998</v>
      </c>
      <c r="O650" s="6">
        <v>3.0059999999999998</v>
      </c>
      <c r="P650" s="6">
        <v>0</v>
      </c>
      <c r="Q650" s="4" t="s">
        <v>26</v>
      </c>
      <c r="R650" s="4">
        <v>0</v>
      </c>
      <c r="S650" s="4">
        <v>0</v>
      </c>
      <c r="T650" s="4">
        <v>52</v>
      </c>
      <c r="U650" s="4">
        <v>96</v>
      </c>
      <c r="V650" s="6">
        <f>IF(ISERROR(VLOOKUP($S$650,'TAR FIN'!$A$1:$O$115,15,0)),0,VLOOKUP($S$650,'TAR FIN'!$A$1:$O$115,15,0))</f>
        <v>0</v>
      </c>
      <c r="W650" s="6">
        <f>IF(ISERROR(VLOOKUP($T$650,'TAR FIN'!$A$1:$O$115,15,0)),0,VLOOKUP($T$650,'TAR FIN'!$A$1:$O$115,15,0))</f>
        <v>407.97</v>
      </c>
      <c r="X650" s="6">
        <f>IF(ISERROR(VLOOKUP($U$650,'TAR FIN'!$A$1:$O$115,15,0)),0,VLOOKUP($U$650,'TAR FIN'!$A$1:$O$115,15,0))</f>
        <v>155.38999999999999</v>
      </c>
      <c r="Y650" s="6"/>
      <c r="Z650" s="6">
        <f ca="1">('TUSD BE'!$AM$50+'TUSD BF'!$AM$50+'TUSD CVA'!$AM$50)*(1-CUSTOS!$M$38)</f>
        <v>472.08658309095875</v>
      </c>
      <c r="AA650" s="6">
        <f>('TE BE'!$AB$33+'TE BF'!$AB$33+'TE CVA'!$AB$33)*(1-CUSTOS!$M$38)</f>
        <v>216.84105597414842</v>
      </c>
      <c r="AB650" s="6">
        <f t="shared" si="30"/>
        <v>0</v>
      </c>
      <c r="AC650" s="6">
        <f>(L650-M650)*(W650+X650)+($W$330+$X$330-$W$650-$X$650)*(L650)</f>
        <v>230.92092000000014</v>
      </c>
      <c r="AD650" s="6">
        <f t="shared" si="31"/>
        <v>0</v>
      </c>
      <c r="AE650" s="6">
        <f ca="1">(L650-M650)*(Z650+AA650)+($Z$330+$AA$330-$Z$650-$AA$650)*(L650)</f>
        <v>132.18615849125828</v>
      </c>
      <c r="AF650" s="4" t="s">
        <v>933</v>
      </c>
    </row>
    <row r="651" spans="1:32" ht="11.25" customHeight="1" x14ac:dyDescent="0.25">
      <c r="A651" s="4" t="s">
        <v>28</v>
      </c>
      <c r="B651" s="4" t="s">
        <v>46</v>
      </c>
      <c r="C651" s="4" t="s">
        <v>23</v>
      </c>
      <c r="D651" s="4" t="s">
        <v>47</v>
      </c>
      <c r="E651" s="4" t="s">
        <v>55</v>
      </c>
      <c r="F651" s="4" t="s">
        <v>56</v>
      </c>
      <c r="G651" s="4" t="s">
        <v>25</v>
      </c>
      <c r="H651" s="4" t="s">
        <v>25</v>
      </c>
      <c r="I651" s="5">
        <v>44743</v>
      </c>
      <c r="J651" s="6">
        <v>0</v>
      </c>
      <c r="K651" s="6">
        <v>0</v>
      </c>
      <c r="L651" s="6">
        <v>1.712</v>
      </c>
      <c r="M651" s="6">
        <v>1.712</v>
      </c>
      <c r="N651" s="6">
        <v>1.712</v>
      </c>
      <c r="O651" s="6">
        <v>1.712</v>
      </c>
      <c r="P651" s="6">
        <v>0</v>
      </c>
      <c r="Q651" s="4" t="s">
        <v>26</v>
      </c>
      <c r="R651" s="4">
        <v>0</v>
      </c>
      <c r="S651" s="4">
        <v>0</v>
      </c>
      <c r="T651" s="4">
        <v>52</v>
      </c>
      <c r="U651" s="4">
        <v>96</v>
      </c>
      <c r="V651" s="6">
        <f>IF(ISERROR(VLOOKUP($S$651,'TAR FIN'!$A$1:$O$115,15,0)),0,VLOOKUP($S$651,'TAR FIN'!$A$1:$O$115,15,0))</f>
        <v>0</v>
      </c>
      <c r="W651" s="6">
        <f>IF(ISERROR(VLOOKUP($T$651,'TAR FIN'!$A$1:$O$115,15,0)),0,VLOOKUP($T$651,'TAR FIN'!$A$1:$O$115,15,0))</f>
        <v>407.97</v>
      </c>
      <c r="X651" s="6">
        <f>IF(ISERROR(VLOOKUP($U$651,'TAR FIN'!$A$1:$O$115,15,0)),0,VLOOKUP($U$651,'TAR FIN'!$A$1:$O$115,15,0))</f>
        <v>155.38999999999999</v>
      </c>
      <c r="Y651" s="6"/>
      <c r="Z651" s="6">
        <f ca="1">('TUSD BE'!$AM$50+'TUSD BF'!$AM$50+'TUSD CVA'!$AM$50)*(1-CUSTOS!$M$38)</f>
        <v>472.08658309095875</v>
      </c>
      <c r="AA651" s="6">
        <f>('TE BE'!$AB$33+'TE BF'!$AB$33+'TE CVA'!$AB$33)*(1-CUSTOS!$M$38)</f>
        <v>216.84105597414842</v>
      </c>
      <c r="AB651" s="6">
        <f t="shared" si="30"/>
        <v>0</v>
      </c>
      <c r="AC651" s="6">
        <f>(L651-M651)*(W651+X651)+($W$330+$X$330-$W$651-$X$651)*(L651)</f>
        <v>131.51584000000008</v>
      </c>
      <c r="AD651" s="6">
        <f t="shared" si="31"/>
        <v>0</v>
      </c>
      <c r="AE651" s="6">
        <f ca="1">(L651-M651)*(Z651+AA651)+($Z$330+$AA$330-$Z$651-$AA$651)*(L651)</f>
        <v>75.283667111455159</v>
      </c>
      <c r="AF651" s="4" t="s">
        <v>933</v>
      </c>
    </row>
    <row r="652" spans="1:32" ht="11.25" customHeight="1" x14ac:dyDescent="0.25">
      <c r="A652" s="4" t="s">
        <v>21</v>
      </c>
      <c r="B652" s="4" t="s">
        <v>46</v>
      </c>
      <c r="C652" s="4" t="s">
        <v>23</v>
      </c>
      <c r="D652" s="4" t="s">
        <v>47</v>
      </c>
      <c r="E652" s="4" t="s">
        <v>55</v>
      </c>
      <c r="F652" s="4" t="s">
        <v>56</v>
      </c>
      <c r="G652" s="4" t="s">
        <v>25</v>
      </c>
      <c r="H652" s="4" t="s">
        <v>25</v>
      </c>
      <c r="I652" s="5">
        <v>44774</v>
      </c>
      <c r="J652" s="6">
        <v>0</v>
      </c>
      <c r="K652" s="6">
        <v>0</v>
      </c>
      <c r="L652" s="6">
        <v>1.7569999999999999</v>
      </c>
      <c r="M652" s="6">
        <v>1.7569999999999999</v>
      </c>
      <c r="N652" s="6">
        <v>1.7569999999999999</v>
      </c>
      <c r="O652" s="6">
        <v>1.7569999999999999</v>
      </c>
      <c r="P652" s="6">
        <v>0</v>
      </c>
      <c r="Q652" s="4" t="s">
        <v>26</v>
      </c>
      <c r="R652" s="4">
        <v>0</v>
      </c>
      <c r="S652" s="4">
        <v>0</v>
      </c>
      <c r="T652" s="4">
        <v>52</v>
      </c>
      <c r="U652" s="4">
        <v>96</v>
      </c>
      <c r="V652" s="6">
        <f>IF(ISERROR(VLOOKUP($S$652,'TAR FIN'!$A$1:$O$115,15,0)),0,VLOOKUP($S$652,'TAR FIN'!$A$1:$O$115,15,0))</f>
        <v>0</v>
      </c>
      <c r="W652" s="6">
        <f>IF(ISERROR(VLOOKUP($T$652,'TAR FIN'!$A$1:$O$115,15,0)),0,VLOOKUP($T$652,'TAR FIN'!$A$1:$O$115,15,0))</f>
        <v>407.97</v>
      </c>
      <c r="X652" s="6">
        <f>IF(ISERROR(VLOOKUP($U$652,'TAR FIN'!$A$1:$O$115,15,0)),0,VLOOKUP($U$652,'TAR FIN'!$A$1:$O$115,15,0))</f>
        <v>155.38999999999999</v>
      </c>
      <c r="Y652" s="6"/>
      <c r="Z652" s="6">
        <f ca="1">('TUSD BE'!$AM$50+'TUSD BF'!$AM$50+'TUSD CVA'!$AM$50)*(1-CUSTOS!$M$38)</f>
        <v>472.08658309095875</v>
      </c>
      <c r="AA652" s="6">
        <f>('TE BE'!$AB$33+'TE BF'!$AB$33+'TE CVA'!$AB$33)*(1-CUSTOS!$M$38)</f>
        <v>216.84105597414842</v>
      </c>
      <c r="AB652" s="6">
        <f t="shared" si="30"/>
        <v>0</v>
      </c>
      <c r="AC652" s="6">
        <f>(L652-M652)*(W652+X652)+($W$330+$X$330-$W$652-$X$652)*(L652)</f>
        <v>134.97274000000007</v>
      </c>
      <c r="AD652" s="6">
        <f t="shared" si="31"/>
        <v>0</v>
      </c>
      <c r="AE652" s="6">
        <f ca="1">(L652-M652)*(Z652+AA652)+($Z$330+$AA$330-$Z$652-$AA$652)*(L652)</f>
        <v>77.262501819408115</v>
      </c>
      <c r="AF652" s="4" t="s">
        <v>933</v>
      </c>
    </row>
    <row r="653" spans="1:32" ht="11.25" customHeight="1" x14ac:dyDescent="0.25">
      <c r="A653" s="4" t="s">
        <v>28</v>
      </c>
      <c r="B653" s="4" t="s">
        <v>46</v>
      </c>
      <c r="C653" s="4" t="s">
        <v>23</v>
      </c>
      <c r="D653" s="4" t="s">
        <v>47</v>
      </c>
      <c r="E653" s="4" t="s">
        <v>55</v>
      </c>
      <c r="F653" s="4" t="s">
        <v>56</v>
      </c>
      <c r="G653" s="4" t="s">
        <v>25</v>
      </c>
      <c r="H653" s="4" t="s">
        <v>25</v>
      </c>
      <c r="I653" s="5">
        <v>44774</v>
      </c>
      <c r="J653" s="6">
        <v>0</v>
      </c>
      <c r="K653" s="6">
        <v>0</v>
      </c>
      <c r="L653" s="6">
        <v>2.359</v>
      </c>
      <c r="M653" s="6">
        <v>2.359</v>
      </c>
      <c r="N653" s="6">
        <v>2.359</v>
      </c>
      <c r="O653" s="6">
        <v>2.359</v>
      </c>
      <c r="P653" s="6">
        <v>0</v>
      </c>
      <c r="Q653" s="4" t="s">
        <v>26</v>
      </c>
      <c r="R653" s="4">
        <v>0</v>
      </c>
      <c r="S653" s="4">
        <v>0</v>
      </c>
      <c r="T653" s="4">
        <v>52</v>
      </c>
      <c r="U653" s="4">
        <v>96</v>
      </c>
      <c r="V653" s="6">
        <f>IF(ISERROR(VLOOKUP($S$653,'TAR FIN'!$A$1:$O$115,15,0)),0,VLOOKUP($S$653,'TAR FIN'!$A$1:$O$115,15,0))</f>
        <v>0</v>
      </c>
      <c r="W653" s="6">
        <f>IF(ISERROR(VLOOKUP($T$653,'TAR FIN'!$A$1:$O$115,15,0)),0,VLOOKUP($T$653,'TAR FIN'!$A$1:$O$115,15,0))</f>
        <v>407.97</v>
      </c>
      <c r="X653" s="6">
        <f>IF(ISERROR(VLOOKUP($U$653,'TAR FIN'!$A$1:$O$115,15,0)),0,VLOOKUP($U$653,'TAR FIN'!$A$1:$O$115,15,0))</f>
        <v>155.38999999999999</v>
      </c>
      <c r="Y653" s="6"/>
      <c r="Z653" s="6">
        <f ca="1">('TUSD BE'!$AM$50+'TUSD BF'!$AM$50+'TUSD CVA'!$AM$50)*(1-CUSTOS!$M$38)</f>
        <v>472.08658309095875</v>
      </c>
      <c r="AA653" s="6">
        <f>('TE BE'!$AB$33+'TE BF'!$AB$33+'TE CVA'!$AB$33)*(1-CUSTOS!$M$38)</f>
        <v>216.84105597414842</v>
      </c>
      <c r="AB653" s="6">
        <f t="shared" si="30"/>
        <v>0</v>
      </c>
      <c r="AC653" s="6">
        <f>(L653-M653)*(W653+X653)+($W$330+$X$330-$W$653-$X$653)*(L653)</f>
        <v>181.21838000000011</v>
      </c>
      <c r="AD653" s="6">
        <f t="shared" si="31"/>
        <v>0</v>
      </c>
      <c r="AE653" s="6">
        <f ca="1">(L653-M653)*(Z653+AA653)+($Z$330+$AA$330-$Z$653-$AA$653)*(L653)</f>
        <v>103.73491280135673</v>
      </c>
      <c r="AF653" s="4" t="s">
        <v>933</v>
      </c>
    </row>
    <row r="654" spans="1:32" ht="11.25" customHeight="1" x14ac:dyDescent="0.25">
      <c r="A654" s="4" t="s">
        <v>21</v>
      </c>
      <c r="B654" s="4" t="s">
        <v>46</v>
      </c>
      <c r="C654" s="4" t="s">
        <v>23</v>
      </c>
      <c r="D654" s="4" t="s">
        <v>47</v>
      </c>
      <c r="E654" s="4" t="s">
        <v>55</v>
      </c>
      <c r="F654" s="4" t="s">
        <v>56</v>
      </c>
      <c r="G654" s="4" t="s">
        <v>25</v>
      </c>
      <c r="H654" s="4" t="s">
        <v>25</v>
      </c>
      <c r="I654" s="5">
        <v>44805</v>
      </c>
      <c r="J654" s="6">
        <v>0</v>
      </c>
      <c r="K654" s="6">
        <v>0</v>
      </c>
      <c r="L654" s="6">
        <v>4.3470000000000004</v>
      </c>
      <c r="M654" s="6">
        <v>4.3470000000000004</v>
      </c>
      <c r="N654" s="6">
        <v>4.3470000000000004</v>
      </c>
      <c r="O654" s="6">
        <v>4.3470000000000004</v>
      </c>
      <c r="P654" s="6">
        <v>0</v>
      </c>
      <c r="Q654" s="4" t="s">
        <v>26</v>
      </c>
      <c r="R654" s="4">
        <v>0</v>
      </c>
      <c r="S654" s="4">
        <v>0</v>
      </c>
      <c r="T654" s="4">
        <v>52</v>
      </c>
      <c r="U654" s="4">
        <v>96</v>
      </c>
      <c r="V654" s="6">
        <f>IF(ISERROR(VLOOKUP($S$654,'TAR FIN'!$A$1:$O$115,15,0)),0,VLOOKUP($S$654,'TAR FIN'!$A$1:$O$115,15,0))</f>
        <v>0</v>
      </c>
      <c r="W654" s="6">
        <f>IF(ISERROR(VLOOKUP($T$654,'TAR FIN'!$A$1:$O$115,15,0)),0,VLOOKUP($T$654,'TAR FIN'!$A$1:$O$115,15,0))</f>
        <v>407.97</v>
      </c>
      <c r="X654" s="6">
        <f>IF(ISERROR(VLOOKUP($U$654,'TAR FIN'!$A$1:$O$115,15,0)),0,VLOOKUP($U$654,'TAR FIN'!$A$1:$O$115,15,0))</f>
        <v>155.38999999999999</v>
      </c>
      <c r="Y654" s="6"/>
      <c r="Z654" s="6">
        <f ca="1">('TUSD BE'!$AM$50+'TUSD BF'!$AM$50+'TUSD CVA'!$AM$50)*(1-CUSTOS!$M$38)</f>
        <v>472.08658309095875</v>
      </c>
      <c r="AA654" s="6">
        <f>('TE BE'!$AB$33+'TE BF'!$AB$33+'TE CVA'!$AB$33)*(1-CUSTOS!$M$38)</f>
        <v>216.84105597414842</v>
      </c>
      <c r="AB654" s="6">
        <f t="shared" si="30"/>
        <v>0</v>
      </c>
      <c r="AC654" s="6">
        <f>(L654-M654)*(W654+X654)+($W$330+$X$330-$W$654-$X$654)*(L654)</f>
        <v>333.93654000000026</v>
      </c>
      <c r="AD654" s="6">
        <f t="shared" si="31"/>
        <v>0</v>
      </c>
      <c r="AE654" s="6">
        <f ca="1">(L654-M654)*(Z654+AA654)+($Z$330+$AA$330-$Z$654-$AA$654)*(L654)</f>
        <v>191.15543278825677</v>
      </c>
      <c r="AF654" s="4" t="s">
        <v>933</v>
      </c>
    </row>
    <row r="655" spans="1:32" ht="11.25" customHeight="1" x14ac:dyDescent="0.25">
      <c r="A655" s="4" t="s">
        <v>28</v>
      </c>
      <c r="B655" s="4" t="s">
        <v>46</v>
      </c>
      <c r="C655" s="4" t="s">
        <v>23</v>
      </c>
      <c r="D655" s="4" t="s">
        <v>47</v>
      </c>
      <c r="E655" s="4" t="s">
        <v>55</v>
      </c>
      <c r="F655" s="4" t="s">
        <v>56</v>
      </c>
      <c r="G655" s="4" t="s">
        <v>25</v>
      </c>
      <c r="H655" s="4" t="s">
        <v>25</v>
      </c>
      <c r="I655" s="5">
        <v>44805</v>
      </c>
      <c r="J655" s="6">
        <v>0</v>
      </c>
      <c r="K655" s="6">
        <v>0</v>
      </c>
      <c r="L655" s="6">
        <v>2.4380000000000002</v>
      </c>
      <c r="M655" s="6">
        <v>2.4380000000000002</v>
      </c>
      <c r="N655" s="6">
        <v>2.4380000000000002</v>
      </c>
      <c r="O655" s="6">
        <v>2.4380000000000002</v>
      </c>
      <c r="P655" s="6">
        <v>0</v>
      </c>
      <c r="Q655" s="4" t="s">
        <v>26</v>
      </c>
      <c r="R655" s="4">
        <v>0</v>
      </c>
      <c r="S655" s="4">
        <v>0</v>
      </c>
      <c r="T655" s="4">
        <v>52</v>
      </c>
      <c r="U655" s="4">
        <v>96</v>
      </c>
      <c r="V655" s="6">
        <f>IF(ISERROR(VLOOKUP($S$655,'TAR FIN'!$A$1:$O$115,15,0)),0,VLOOKUP($S$655,'TAR FIN'!$A$1:$O$115,15,0))</f>
        <v>0</v>
      </c>
      <c r="W655" s="6">
        <f>IF(ISERROR(VLOOKUP($T$655,'TAR FIN'!$A$1:$O$115,15,0)),0,VLOOKUP($T$655,'TAR FIN'!$A$1:$O$115,15,0))</f>
        <v>407.97</v>
      </c>
      <c r="X655" s="6">
        <f>IF(ISERROR(VLOOKUP($U$655,'TAR FIN'!$A$1:$O$115,15,0)),0,VLOOKUP($U$655,'TAR FIN'!$A$1:$O$115,15,0))</f>
        <v>155.38999999999999</v>
      </c>
      <c r="Y655" s="6"/>
      <c r="Z655" s="6">
        <f ca="1">('TUSD BE'!$AM$50+'TUSD BF'!$AM$50+'TUSD CVA'!$AM$50)*(1-CUSTOS!$M$38)</f>
        <v>472.08658309095875</v>
      </c>
      <c r="AA655" s="6">
        <f>('TE BE'!$AB$33+'TE BF'!$AB$33+'TE CVA'!$AB$33)*(1-CUSTOS!$M$38)</f>
        <v>216.84105597414842</v>
      </c>
      <c r="AB655" s="6">
        <f t="shared" si="30"/>
        <v>0</v>
      </c>
      <c r="AC655" s="6">
        <f>(L655-M655)*(W655+X655)+($W$330+$X$330-$W$655-$X$655)*(L655)</f>
        <v>187.28716000000014</v>
      </c>
      <c r="AD655" s="6">
        <f t="shared" si="31"/>
        <v>0</v>
      </c>
      <c r="AE655" s="6">
        <f ca="1">(L655-M655)*(Z655+AA655)+($Z$330+$AA$330-$Z$655-$AA$655)*(L655)</f>
        <v>107.20886706642972</v>
      </c>
      <c r="AF655" s="4" t="s">
        <v>933</v>
      </c>
    </row>
    <row r="656" spans="1:32" ht="11.25" customHeight="1" x14ac:dyDescent="0.25">
      <c r="A656" s="4" t="s">
        <v>21</v>
      </c>
      <c r="B656" s="4" t="s">
        <v>46</v>
      </c>
      <c r="C656" s="4" t="s">
        <v>23</v>
      </c>
      <c r="D656" s="4" t="s">
        <v>47</v>
      </c>
      <c r="E656" s="4" t="s">
        <v>55</v>
      </c>
      <c r="F656" s="4" t="s">
        <v>56</v>
      </c>
      <c r="G656" s="4" t="s">
        <v>25</v>
      </c>
      <c r="H656" s="4" t="s">
        <v>25</v>
      </c>
      <c r="I656" s="5">
        <v>44835</v>
      </c>
      <c r="J656" s="6">
        <v>0</v>
      </c>
      <c r="K656" s="6">
        <v>0</v>
      </c>
      <c r="L656" s="6">
        <v>7.6920000000000002</v>
      </c>
      <c r="M656" s="6">
        <v>7.6920000000000002</v>
      </c>
      <c r="N656" s="6">
        <v>7.6920000000000002</v>
      </c>
      <c r="O656" s="6">
        <v>7.6920000000000002</v>
      </c>
      <c r="P656" s="6">
        <v>0</v>
      </c>
      <c r="Q656" s="4" t="s">
        <v>26</v>
      </c>
      <c r="R656" s="4">
        <v>0</v>
      </c>
      <c r="S656" s="4">
        <v>0</v>
      </c>
      <c r="T656" s="4">
        <v>52</v>
      </c>
      <c r="U656" s="4">
        <v>96</v>
      </c>
      <c r="V656" s="6">
        <f>IF(ISERROR(VLOOKUP($S$656,'TAR FIN'!$A$1:$O$115,15,0)),0,VLOOKUP($S$656,'TAR FIN'!$A$1:$O$115,15,0))</f>
        <v>0</v>
      </c>
      <c r="W656" s="6">
        <f>IF(ISERROR(VLOOKUP($T$656,'TAR FIN'!$A$1:$O$115,15,0)),0,VLOOKUP($T$656,'TAR FIN'!$A$1:$O$115,15,0))</f>
        <v>407.97</v>
      </c>
      <c r="X656" s="6">
        <f>IF(ISERROR(VLOOKUP($U$656,'TAR FIN'!$A$1:$O$115,15,0)),0,VLOOKUP($U$656,'TAR FIN'!$A$1:$O$115,15,0))</f>
        <v>155.38999999999999</v>
      </c>
      <c r="Y656" s="6"/>
      <c r="Z656" s="6">
        <f ca="1">('TUSD BE'!$AM$50+'TUSD BF'!$AM$50+'TUSD CVA'!$AM$50)*(1-CUSTOS!$M$38)</f>
        <v>472.08658309095875</v>
      </c>
      <c r="AA656" s="6">
        <f>('TE BE'!$AB$33+'TE BF'!$AB$33+'TE CVA'!$AB$33)*(1-CUSTOS!$M$38)</f>
        <v>216.84105597414842</v>
      </c>
      <c r="AB656" s="6">
        <f t="shared" si="30"/>
        <v>0</v>
      </c>
      <c r="AC656" s="6">
        <f>(L656-M656)*(W656+X656)+($W$330+$X$330-$W$656-$X$656)*(L656)</f>
        <v>590.89944000000037</v>
      </c>
      <c r="AD656" s="6">
        <f t="shared" si="31"/>
        <v>0</v>
      </c>
      <c r="AE656" s="6">
        <f ca="1">(L656-M656)*(Z656+AA656)+($Z$330+$AA$330-$Z$656-$AA$656)*(L656)</f>
        <v>338.24881274609407</v>
      </c>
      <c r="AF656" s="4" t="s">
        <v>933</v>
      </c>
    </row>
    <row r="657" spans="1:32" ht="11.25" customHeight="1" x14ac:dyDescent="0.25">
      <c r="A657" s="4" t="s">
        <v>28</v>
      </c>
      <c r="B657" s="4" t="s">
        <v>46</v>
      </c>
      <c r="C657" s="4" t="s">
        <v>23</v>
      </c>
      <c r="D657" s="4" t="s">
        <v>47</v>
      </c>
      <c r="E657" s="4" t="s">
        <v>55</v>
      </c>
      <c r="F657" s="4" t="s">
        <v>56</v>
      </c>
      <c r="G657" s="4" t="s">
        <v>25</v>
      </c>
      <c r="H657" s="4" t="s">
        <v>25</v>
      </c>
      <c r="I657" s="5">
        <v>44835</v>
      </c>
      <c r="J657" s="6">
        <v>0</v>
      </c>
      <c r="K657" s="6">
        <v>0</v>
      </c>
      <c r="L657" s="6">
        <v>3.1509999999999998</v>
      </c>
      <c r="M657" s="6">
        <v>3.1509999999999998</v>
      </c>
      <c r="N657" s="6">
        <v>3.1509999999999998</v>
      </c>
      <c r="O657" s="6">
        <v>3.1509999999999998</v>
      </c>
      <c r="P657" s="6">
        <v>0</v>
      </c>
      <c r="Q657" s="4" t="s">
        <v>26</v>
      </c>
      <c r="R657" s="4">
        <v>0</v>
      </c>
      <c r="S657" s="4">
        <v>0</v>
      </c>
      <c r="T657" s="4">
        <v>52</v>
      </c>
      <c r="U657" s="4">
        <v>96</v>
      </c>
      <c r="V657" s="6">
        <f>IF(ISERROR(VLOOKUP($S$657,'TAR FIN'!$A$1:$O$115,15,0)),0,VLOOKUP($S$657,'TAR FIN'!$A$1:$O$115,15,0))</f>
        <v>0</v>
      </c>
      <c r="W657" s="6">
        <f>IF(ISERROR(VLOOKUP($T$657,'TAR FIN'!$A$1:$O$115,15,0)),0,VLOOKUP($T$657,'TAR FIN'!$A$1:$O$115,15,0))</f>
        <v>407.97</v>
      </c>
      <c r="X657" s="6">
        <f>IF(ISERROR(VLOOKUP($U$657,'TAR FIN'!$A$1:$O$115,15,0)),0,VLOOKUP($U$657,'TAR FIN'!$A$1:$O$115,15,0))</f>
        <v>155.38999999999999</v>
      </c>
      <c r="Y657" s="6"/>
      <c r="Z657" s="6">
        <f ca="1">('TUSD BE'!$AM$50+'TUSD BF'!$AM$50+'TUSD CVA'!$AM$50)*(1-CUSTOS!$M$38)</f>
        <v>472.08658309095875</v>
      </c>
      <c r="AA657" s="6">
        <f>('TE BE'!$AB$33+'TE BF'!$AB$33+'TE CVA'!$AB$33)*(1-CUSTOS!$M$38)</f>
        <v>216.84105597414842</v>
      </c>
      <c r="AB657" s="6">
        <f t="shared" si="30"/>
        <v>0</v>
      </c>
      <c r="AC657" s="6">
        <f>(L657-M657)*(W657+X657)+($W$330+$X$330-$W$657-$X$657)*(L657)</f>
        <v>242.05982000000014</v>
      </c>
      <c r="AD657" s="6">
        <f t="shared" si="31"/>
        <v>0</v>
      </c>
      <c r="AE657" s="6">
        <f ca="1">(L657-M657)*(Z657+AA657)+($Z$330+$AA$330-$Z$657-$AA$657)*(L657)</f>
        <v>138.56240366132897</v>
      </c>
      <c r="AF657" s="4" t="s">
        <v>933</v>
      </c>
    </row>
    <row r="658" spans="1:32" ht="11.25" customHeight="1" x14ac:dyDescent="0.25">
      <c r="A658" s="4" t="s">
        <v>59</v>
      </c>
      <c r="B658" s="4" t="s">
        <v>46</v>
      </c>
      <c r="C658" s="4" t="s">
        <v>23</v>
      </c>
      <c r="D658" s="4" t="s">
        <v>47</v>
      </c>
      <c r="E658" s="4" t="s">
        <v>55</v>
      </c>
      <c r="F658" s="4" t="s">
        <v>56</v>
      </c>
      <c r="G658" s="4" t="s">
        <v>25</v>
      </c>
      <c r="H658" s="4" t="s">
        <v>25</v>
      </c>
      <c r="I658" s="5">
        <v>44866</v>
      </c>
      <c r="J658" s="6">
        <v>0</v>
      </c>
      <c r="K658" s="6">
        <v>0</v>
      </c>
      <c r="L658" s="6">
        <v>7.6920000000000002</v>
      </c>
      <c r="M658" s="6">
        <v>7.6920000000000002</v>
      </c>
      <c r="N658" s="6">
        <v>7.6920000000000002</v>
      </c>
      <c r="O658" s="6">
        <v>7.6920000000000002</v>
      </c>
      <c r="P658" s="6">
        <v>0</v>
      </c>
      <c r="Q658" s="4" t="s">
        <v>26</v>
      </c>
      <c r="R658" s="4">
        <v>0</v>
      </c>
      <c r="S658" s="4">
        <v>0</v>
      </c>
      <c r="T658" s="4">
        <v>52</v>
      </c>
      <c r="U658" s="4">
        <v>96</v>
      </c>
      <c r="V658" s="6">
        <f>IF(ISERROR(VLOOKUP($S$658,'TAR FIN'!$A$1:$O$115,15,0)),0,VLOOKUP($S$658,'TAR FIN'!$A$1:$O$115,15,0))</f>
        <v>0</v>
      </c>
      <c r="W658" s="6">
        <f>IF(ISERROR(VLOOKUP($T$658,'TAR FIN'!$A$1:$O$115,15,0)),0,VLOOKUP($T$658,'TAR FIN'!$A$1:$O$115,15,0))</f>
        <v>407.97</v>
      </c>
      <c r="X658" s="6">
        <f>IF(ISERROR(VLOOKUP($U$658,'TAR FIN'!$A$1:$O$115,15,0)),0,VLOOKUP($U$658,'TAR FIN'!$A$1:$O$115,15,0))</f>
        <v>155.38999999999999</v>
      </c>
      <c r="Y658" s="6"/>
      <c r="Z658" s="6">
        <f ca="1">('TUSD BE'!$AM$50+'TUSD BF'!$AM$50+'TUSD CVA'!$AM$50)*(1-CUSTOS!$M$38)</f>
        <v>472.08658309095875</v>
      </c>
      <c r="AA658" s="6">
        <f>('TE BE'!$AB$33+'TE BF'!$AB$33+'TE CVA'!$AB$33)*(1-CUSTOS!$M$38)</f>
        <v>216.84105597414842</v>
      </c>
      <c r="AB658" s="6">
        <f t="shared" si="30"/>
        <v>0</v>
      </c>
      <c r="AC658" s="6">
        <f>(L658-M658)*(W658+X658)+($W$330+$X$330-$W$658-$X$658)*(L658)</f>
        <v>590.89944000000037</v>
      </c>
      <c r="AD658" s="6">
        <f t="shared" si="31"/>
        <v>0</v>
      </c>
      <c r="AE658" s="6">
        <f ca="1">(L658-M658)*(Z658+AA658)+($Z$330+$AA$330-$Z$658-$AA$658)*(L658)</f>
        <v>338.24881274609407</v>
      </c>
      <c r="AF658" s="4" t="s">
        <v>933</v>
      </c>
    </row>
    <row r="659" spans="1:32" ht="11.25" customHeight="1" x14ac:dyDescent="0.25">
      <c r="A659" s="4" t="s">
        <v>59</v>
      </c>
      <c r="B659" s="4" t="s">
        <v>46</v>
      </c>
      <c r="C659" s="4" t="s">
        <v>23</v>
      </c>
      <c r="D659" s="4" t="s">
        <v>47</v>
      </c>
      <c r="E659" s="4" t="s">
        <v>55</v>
      </c>
      <c r="F659" s="4" t="s">
        <v>56</v>
      </c>
      <c r="G659" s="4" t="s">
        <v>25</v>
      </c>
      <c r="H659" s="4" t="s">
        <v>25</v>
      </c>
      <c r="I659" s="5">
        <v>44866</v>
      </c>
      <c r="J659" s="6">
        <v>0</v>
      </c>
      <c r="K659" s="6">
        <v>0</v>
      </c>
      <c r="L659" s="6">
        <v>3.1509999999999998</v>
      </c>
      <c r="M659" s="6">
        <v>3.1509999999999998</v>
      </c>
      <c r="N659" s="6">
        <v>3.1509999999999998</v>
      </c>
      <c r="O659" s="6">
        <v>3.1509999999999998</v>
      </c>
      <c r="P659" s="6">
        <v>0</v>
      </c>
      <c r="Q659" s="4" t="s">
        <v>26</v>
      </c>
      <c r="R659" s="4">
        <v>0</v>
      </c>
      <c r="S659" s="4">
        <v>0</v>
      </c>
      <c r="T659" s="4">
        <v>52</v>
      </c>
      <c r="U659" s="4">
        <v>96</v>
      </c>
      <c r="V659" s="6">
        <f>IF(ISERROR(VLOOKUP($S$659,'TAR FIN'!$A$1:$O$115,15,0)),0,VLOOKUP($S$659,'TAR FIN'!$A$1:$O$115,15,0))</f>
        <v>0</v>
      </c>
      <c r="W659" s="6">
        <f>IF(ISERROR(VLOOKUP($T$659,'TAR FIN'!$A$1:$O$115,15,0)),0,VLOOKUP($T$659,'TAR FIN'!$A$1:$O$115,15,0))</f>
        <v>407.97</v>
      </c>
      <c r="X659" s="6">
        <f>IF(ISERROR(VLOOKUP($U$659,'TAR FIN'!$A$1:$O$115,15,0)),0,VLOOKUP($U$659,'TAR FIN'!$A$1:$O$115,15,0))</f>
        <v>155.38999999999999</v>
      </c>
      <c r="Y659" s="6"/>
      <c r="Z659" s="6">
        <f ca="1">('TUSD BE'!$AM$50+'TUSD BF'!$AM$50+'TUSD CVA'!$AM$50)*(1-CUSTOS!$M$38)</f>
        <v>472.08658309095875</v>
      </c>
      <c r="AA659" s="6">
        <f>('TE BE'!$AB$33+'TE BF'!$AB$33+'TE CVA'!$AB$33)*(1-CUSTOS!$M$38)</f>
        <v>216.84105597414842</v>
      </c>
      <c r="AB659" s="6">
        <f t="shared" si="30"/>
        <v>0</v>
      </c>
      <c r="AC659" s="6">
        <f>(L659-M659)*(W659+X659)+($W$330+$X$330-$W$659-$X$659)*(L659)</f>
        <v>242.05982000000014</v>
      </c>
      <c r="AD659" s="6">
        <f t="shared" si="31"/>
        <v>0</v>
      </c>
      <c r="AE659" s="6">
        <f ca="1">(L659-M659)*(Z659+AA659)+($Z$330+$AA$330-$Z$659-$AA$659)*(L659)</f>
        <v>138.56240366132897</v>
      </c>
      <c r="AF659" s="4" t="s">
        <v>933</v>
      </c>
    </row>
    <row r="660" spans="1:32" ht="11.25" customHeight="1" x14ac:dyDescent="0.25">
      <c r="A660" s="4" t="s">
        <v>21</v>
      </c>
      <c r="B660" s="4" t="s">
        <v>46</v>
      </c>
      <c r="C660" s="4" t="s">
        <v>23</v>
      </c>
      <c r="D660" s="4" t="s">
        <v>47</v>
      </c>
      <c r="E660" s="4" t="s">
        <v>55</v>
      </c>
      <c r="F660" s="4" t="s">
        <v>57</v>
      </c>
      <c r="G660" s="4" t="s">
        <v>25</v>
      </c>
      <c r="H660" s="4" t="s">
        <v>25</v>
      </c>
      <c r="I660" s="5">
        <v>44531</v>
      </c>
      <c r="J660" s="6">
        <v>0</v>
      </c>
      <c r="K660" s="6">
        <v>0</v>
      </c>
      <c r="L660" s="6">
        <v>1.8819999999999999</v>
      </c>
      <c r="M660" s="6">
        <v>0.62105999999999995</v>
      </c>
      <c r="N660" s="6">
        <v>1.8819999999999999</v>
      </c>
      <c r="O660" s="6">
        <v>0.62105999999999995</v>
      </c>
      <c r="P660" s="6">
        <v>0</v>
      </c>
      <c r="Q660" s="4" t="s">
        <v>26</v>
      </c>
      <c r="R660" s="4">
        <v>0</v>
      </c>
      <c r="S660" s="4">
        <v>0</v>
      </c>
      <c r="T660" s="4">
        <v>52</v>
      </c>
      <c r="U660" s="4">
        <v>96</v>
      </c>
      <c r="V660" s="6">
        <f>IF(ISERROR(VLOOKUP($S$660,'TAR FIN'!$A$1:$O$115,15,0)),0,VLOOKUP($S$660,'TAR FIN'!$A$1:$O$115,15,0))</f>
        <v>0</v>
      </c>
      <c r="W660" s="6">
        <f>IF(ISERROR(VLOOKUP($T$660,'TAR FIN'!$A$1:$O$115,15,0)),0,VLOOKUP($T$660,'TAR FIN'!$A$1:$O$115,15,0))</f>
        <v>407.97</v>
      </c>
      <c r="X660" s="6">
        <f>IF(ISERROR(VLOOKUP($U$660,'TAR FIN'!$A$1:$O$115,15,0)),0,VLOOKUP($U$660,'TAR FIN'!$A$1:$O$115,15,0))</f>
        <v>155.38999999999999</v>
      </c>
      <c r="Y660" s="6"/>
      <c r="Z660" s="6">
        <f ca="1">('TUSD BE'!$AM$50+'TUSD BF'!$AM$50+'TUSD CVA'!$AM$50)*(1-CUSTOS!$M$38)</f>
        <v>472.08658309095875</v>
      </c>
      <c r="AA660" s="6">
        <f>('TE BE'!$AB$33+'TE BF'!$AB$33+'TE CVA'!$AB$33)*(1-CUSTOS!$M$38)</f>
        <v>216.84105597414842</v>
      </c>
      <c r="AB660" s="6">
        <f t="shared" si="30"/>
        <v>0</v>
      </c>
      <c r="AC660" s="6">
        <f>(L660-M660)*(W660+X660)+($W$330+$X$330-$W$660-$X$660)*(L660)</f>
        <v>854.9383984000001</v>
      </c>
      <c r="AD660" s="6">
        <f t="shared" si="31"/>
        <v>0</v>
      </c>
      <c r="AE660" s="6">
        <f ca="1">(L660-M660)*(Z660+AA660)+($Z$330+$AA$330-$Z$660-$AA$660)*(L660)</f>
        <v>951.4556820998115</v>
      </c>
      <c r="AF660" s="4" t="s">
        <v>934</v>
      </c>
    </row>
    <row r="661" spans="1:32" ht="11.25" customHeight="1" x14ac:dyDescent="0.25">
      <c r="A661" s="4" t="s">
        <v>28</v>
      </c>
      <c r="B661" s="4" t="s">
        <v>46</v>
      </c>
      <c r="C661" s="4" t="s">
        <v>23</v>
      </c>
      <c r="D661" s="4" t="s">
        <v>47</v>
      </c>
      <c r="E661" s="4" t="s">
        <v>55</v>
      </c>
      <c r="F661" s="4" t="s">
        <v>57</v>
      </c>
      <c r="G661" s="4" t="s">
        <v>25</v>
      </c>
      <c r="H661" s="4" t="s">
        <v>25</v>
      </c>
      <c r="I661" s="5">
        <v>44531</v>
      </c>
      <c r="J661" s="6">
        <v>0</v>
      </c>
      <c r="K661" s="6">
        <v>0</v>
      </c>
      <c r="L661" s="6">
        <v>1.224</v>
      </c>
      <c r="M661" s="6">
        <v>0.40392</v>
      </c>
      <c r="N661" s="6">
        <v>1.224</v>
      </c>
      <c r="O661" s="6">
        <v>0.40392</v>
      </c>
      <c r="P661" s="6">
        <v>0</v>
      </c>
      <c r="Q661" s="4" t="s">
        <v>26</v>
      </c>
      <c r="R661" s="4">
        <v>0</v>
      </c>
      <c r="S661" s="4">
        <v>0</v>
      </c>
      <c r="T661" s="4">
        <v>52</v>
      </c>
      <c r="U661" s="4">
        <v>96</v>
      </c>
      <c r="V661" s="6">
        <f>IF(ISERROR(VLOOKUP($S$661,'TAR FIN'!$A$1:$O$115,15,0)),0,VLOOKUP($S$661,'TAR FIN'!$A$1:$O$115,15,0))</f>
        <v>0</v>
      </c>
      <c r="W661" s="6">
        <f>IF(ISERROR(VLOOKUP($T$661,'TAR FIN'!$A$1:$O$115,15,0)),0,VLOOKUP($T$661,'TAR FIN'!$A$1:$O$115,15,0))</f>
        <v>407.97</v>
      </c>
      <c r="X661" s="6">
        <f>IF(ISERROR(VLOOKUP($U$661,'TAR FIN'!$A$1:$O$115,15,0)),0,VLOOKUP($U$661,'TAR FIN'!$A$1:$O$115,15,0))</f>
        <v>155.38999999999999</v>
      </c>
      <c r="Y661" s="6"/>
      <c r="Z661" s="6">
        <f ca="1">('TUSD BE'!$AM$50+'TUSD BF'!$AM$50+'TUSD CVA'!$AM$50)*(1-CUSTOS!$M$38)</f>
        <v>472.08658309095875</v>
      </c>
      <c r="AA661" s="6">
        <f>('TE BE'!$AB$33+'TE BF'!$AB$33+'TE CVA'!$AB$33)*(1-CUSTOS!$M$38)</f>
        <v>216.84105597414842</v>
      </c>
      <c r="AB661" s="6">
        <f t="shared" si="30"/>
        <v>0</v>
      </c>
      <c r="AC661" s="6">
        <f>(L661-M661)*(W661+X661)+($W$330+$X$330-$W$661-$X$661)*(L661)</f>
        <v>556.02794879999999</v>
      </c>
      <c r="AD661" s="6">
        <f t="shared" si="31"/>
        <v>0</v>
      </c>
      <c r="AE661" s="6">
        <f ca="1">(L661-M661)*(Z661+AA661)+($Z$330+$AA$330-$Z$661-$AA$661)*(L661)</f>
        <v>618.80008230083388</v>
      </c>
      <c r="AF661" s="4" t="s">
        <v>934</v>
      </c>
    </row>
    <row r="662" spans="1:32" ht="11.25" customHeight="1" x14ac:dyDescent="0.25">
      <c r="A662" s="4" t="s">
        <v>21</v>
      </c>
      <c r="B662" s="4" t="s">
        <v>46</v>
      </c>
      <c r="C662" s="4" t="s">
        <v>23</v>
      </c>
      <c r="D662" s="4" t="s">
        <v>47</v>
      </c>
      <c r="E662" s="4" t="s">
        <v>55</v>
      </c>
      <c r="F662" s="4" t="s">
        <v>57</v>
      </c>
      <c r="G662" s="4" t="s">
        <v>25</v>
      </c>
      <c r="H662" s="4" t="s">
        <v>25</v>
      </c>
      <c r="I662" s="5">
        <v>44562</v>
      </c>
      <c r="J662" s="6">
        <v>0</v>
      </c>
      <c r="K662" s="6">
        <v>0</v>
      </c>
      <c r="L662" s="6">
        <v>1.351</v>
      </c>
      <c r="M662" s="6">
        <v>0.44583</v>
      </c>
      <c r="N662" s="6">
        <v>1.351</v>
      </c>
      <c r="O662" s="6">
        <v>0.44583</v>
      </c>
      <c r="P662" s="6">
        <v>0</v>
      </c>
      <c r="Q662" s="4" t="s">
        <v>26</v>
      </c>
      <c r="R662" s="4">
        <v>0</v>
      </c>
      <c r="S662" s="4">
        <v>0</v>
      </c>
      <c r="T662" s="4">
        <v>52</v>
      </c>
      <c r="U662" s="4">
        <v>96</v>
      </c>
      <c r="V662" s="6">
        <f>IF(ISERROR(VLOOKUP($S$662,'TAR FIN'!$A$1:$O$115,15,0)),0,VLOOKUP($S$662,'TAR FIN'!$A$1:$O$115,15,0))</f>
        <v>0</v>
      </c>
      <c r="W662" s="6">
        <f>IF(ISERROR(VLOOKUP($T$662,'TAR FIN'!$A$1:$O$115,15,0)),0,VLOOKUP($T$662,'TAR FIN'!$A$1:$O$115,15,0))</f>
        <v>407.97</v>
      </c>
      <c r="X662" s="6">
        <f>IF(ISERROR(VLOOKUP($U$662,'TAR FIN'!$A$1:$O$115,15,0)),0,VLOOKUP($U$662,'TAR FIN'!$A$1:$O$115,15,0))</f>
        <v>155.38999999999999</v>
      </c>
      <c r="Y662" s="6"/>
      <c r="Z662" s="6">
        <f ca="1">('TUSD BE'!$AM$50+'TUSD BF'!$AM$50+'TUSD CVA'!$AM$50)*(1-CUSTOS!$M$38)</f>
        <v>472.08658309095875</v>
      </c>
      <c r="AA662" s="6">
        <f>('TE BE'!$AB$33+'TE BF'!$AB$33+'TE CVA'!$AB$33)*(1-CUSTOS!$M$38)</f>
        <v>216.84105597414842</v>
      </c>
      <c r="AB662" s="6">
        <f t="shared" si="30"/>
        <v>0</v>
      </c>
      <c r="AC662" s="6">
        <f>(L662-M662)*(W662+X662)+($W$330+$X$330-$W$662-$X$662)*(L662)</f>
        <v>613.72039120000011</v>
      </c>
      <c r="AD662" s="6">
        <f t="shared" si="31"/>
        <v>0</v>
      </c>
      <c r="AE662" s="6">
        <f ca="1">(L662-M662)*(Z662+AA662)+($Z$330+$AA$330-$Z$662-$AA$662)*(L662)</f>
        <v>683.00564639577328</v>
      </c>
      <c r="AF662" s="4" t="s">
        <v>934</v>
      </c>
    </row>
    <row r="663" spans="1:32" ht="11.25" customHeight="1" x14ac:dyDescent="0.25">
      <c r="A663" s="4" t="s">
        <v>28</v>
      </c>
      <c r="B663" s="4" t="s">
        <v>46</v>
      </c>
      <c r="C663" s="4" t="s">
        <v>23</v>
      </c>
      <c r="D663" s="4" t="s">
        <v>47</v>
      </c>
      <c r="E663" s="4" t="s">
        <v>55</v>
      </c>
      <c r="F663" s="4" t="s">
        <v>57</v>
      </c>
      <c r="G663" s="4" t="s">
        <v>25</v>
      </c>
      <c r="H663" s="4" t="s">
        <v>25</v>
      </c>
      <c r="I663" s="5">
        <v>44562</v>
      </c>
      <c r="J663" s="6">
        <v>0</v>
      </c>
      <c r="K663" s="6">
        <v>0</v>
      </c>
      <c r="L663" s="6">
        <v>3.8969999999999998</v>
      </c>
      <c r="M663" s="6">
        <v>1.2860100000000001</v>
      </c>
      <c r="N663" s="6">
        <v>3.8969999999999998</v>
      </c>
      <c r="O663" s="6">
        <v>1.2860100000000001</v>
      </c>
      <c r="P663" s="6">
        <v>0</v>
      </c>
      <c r="Q663" s="4" t="s">
        <v>26</v>
      </c>
      <c r="R663" s="4">
        <v>0</v>
      </c>
      <c r="S663" s="4">
        <v>0</v>
      </c>
      <c r="T663" s="4">
        <v>52</v>
      </c>
      <c r="U663" s="4">
        <v>96</v>
      </c>
      <c r="V663" s="6">
        <f>IF(ISERROR(VLOOKUP($S$663,'TAR FIN'!$A$1:$O$115,15,0)),0,VLOOKUP($S$663,'TAR FIN'!$A$1:$O$115,15,0))</f>
        <v>0</v>
      </c>
      <c r="W663" s="6">
        <f>IF(ISERROR(VLOOKUP($T$663,'TAR FIN'!$A$1:$O$115,15,0)),0,VLOOKUP($T$663,'TAR FIN'!$A$1:$O$115,15,0))</f>
        <v>407.97</v>
      </c>
      <c r="X663" s="6">
        <f>IF(ISERROR(VLOOKUP($U$663,'TAR FIN'!$A$1:$O$115,15,0)),0,VLOOKUP($U$663,'TAR FIN'!$A$1:$O$115,15,0))</f>
        <v>155.38999999999999</v>
      </c>
      <c r="Y663" s="6"/>
      <c r="Z663" s="6">
        <f ca="1">('TUSD BE'!$AM$50+'TUSD BF'!$AM$50+'TUSD CVA'!$AM$50)*(1-CUSTOS!$M$38)</f>
        <v>472.08658309095875</v>
      </c>
      <c r="AA663" s="6">
        <f>('TE BE'!$AB$33+'TE BF'!$AB$33+'TE CVA'!$AB$33)*(1-CUSTOS!$M$38)</f>
        <v>216.84105597414842</v>
      </c>
      <c r="AB663" s="6">
        <f t="shared" si="30"/>
        <v>0</v>
      </c>
      <c r="AC663" s="6">
        <f>(L663-M663)*(W663+X663)+($W$330+$X$330-$W$663-$X$663)*(L663)</f>
        <v>1770.2948664</v>
      </c>
      <c r="AD663" s="6">
        <f t="shared" si="31"/>
        <v>0</v>
      </c>
      <c r="AE663" s="6">
        <f ca="1">(L663-M663)*(Z663+AA663)+($Z$330+$AA$330-$Z$663-$AA$663)*(L663)</f>
        <v>1970.1502620313311</v>
      </c>
      <c r="AF663" s="4" t="s">
        <v>934</v>
      </c>
    </row>
    <row r="664" spans="1:32" ht="11.25" customHeight="1" x14ac:dyDescent="0.25">
      <c r="A664" s="4" t="s">
        <v>29</v>
      </c>
      <c r="B664" s="4" t="s">
        <v>46</v>
      </c>
      <c r="C664" s="4" t="s">
        <v>23</v>
      </c>
      <c r="D664" s="4" t="s">
        <v>47</v>
      </c>
      <c r="E664" s="4" t="s">
        <v>55</v>
      </c>
      <c r="F664" s="4" t="s">
        <v>57</v>
      </c>
      <c r="G664" s="4" t="s">
        <v>25</v>
      </c>
      <c r="H664" s="4" t="s">
        <v>25</v>
      </c>
      <c r="I664" s="5">
        <v>44562</v>
      </c>
      <c r="J664" s="6">
        <v>0</v>
      </c>
      <c r="K664" s="6">
        <v>0</v>
      </c>
      <c r="L664" s="6">
        <v>0.48799999999999999</v>
      </c>
      <c r="M664" s="6">
        <v>0.16103999999999999</v>
      </c>
      <c r="N664" s="6">
        <v>0.48799999999999999</v>
      </c>
      <c r="O664" s="6">
        <v>0.16103999999999999</v>
      </c>
      <c r="P664" s="6">
        <v>0</v>
      </c>
      <c r="Q664" s="4" t="s">
        <v>26</v>
      </c>
      <c r="R664" s="4">
        <v>0</v>
      </c>
      <c r="S664" s="4">
        <v>0</v>
      </c>
      <c r="T664" s="4">
        <v>52</v>
      </c>
      <c r="U664" s="4">
        <v>96</v>
      </c>
      <c r="V664" s="6">
        <f>IF(ISERROR(VLOOKUP($S$664,'TAR FIN'!$A$1:$O$115,15,0)),0,VLOOKUP($S$664,'TAR FIN'!$A$1:$O$115,15,0))</f>
        <v>0</v>
      </c>
      <c r="W664" s="6">
        <f>IF(ISERROR(VLOOKUP($T$664,'TAR FIN'!$A$1:$O$115,15,0)),0,VLOOKUP($T$664,'TAR FIN'!$A$1:$O$115,15,0))</f>
        <v>407.97</v>
      </c>
      <c r="X664" s="6">
        <f>IF(ISERROR(VLOOKUP($U$664,'TAR FIN'!$A$1:$O$115,15,0)),0,VLOOKUP($U$664,'TAR FIN'!$A$1:$O$115,15,0))</f>
        <v>155.38999999999999</v>
      </c>
      <c r="Y664" s="6"/>
      <c r="Z664" s="6">
        <f ca="1">('TUSD BE'!$AM$50+'TUSD BF'!$AM$50+'TUSD CVA'!$AM$50)*(1-CUSTOS!$M$38)</f>
        <v>472.08658309095875</v>
      </c>
      <c r="AA664" s="6">
        <f>('TE BE'!$AB$33+'TE BF'!$AB$33+'TE CVA'!$AB$33)*(1-CUSTOS!$M$38)</f>
        <v>216.84105597414842</v>
      </c>
      <c r="AB664" s="6">
        <f t="shared" si="30"/>
        <v>0</v>
      </c>
      <c r="AC664" s="6">
        <f>(L664-M664)*(W664+X664)+($W$330+$X$330-$W$664-$X$664)*(L664)</f>
        <v>221.68434560000003</v>
      </c>
      <c r="AD664" s="6">
        <f t="shared" si="31"/>
        <v>0</v>
      </c>
      <c r="AE664" s="6">
        <f ca="1">(L664-M664)*(Z664+AA664)+($Z$330+$AA$330-$Z$664-$AA$664)*(L664)</f>
        <v>246.7111439238619</v>
      </c>
      <c r="AF664" s="4" t="s">
        <v>934</v>
      </c>
    </row>
    <row r="665" spans="1:32" ht="11.25" customHeight="1" x14ac:dyDescent="0.25">
      <c r="A665" s="4" t="s">
        <v>21</v>
      </c>
      <c r="B665" s="4" t="s">
        <v>46</v>
      </c>
      <c r="C665" s="4" t="s">
        <v>23</v>
      </c>
      <c r="D665" s="4" t="s">
        <v>47</v>
      </c>
      <c r="E665" s="4" t="s">
        <v>55</v>
      </c>
      <c r="F665" s="4" t="s">
        <v>57</v>
      </c>
      <c r="G665" s="4" t="s">
        <v>25</v>
      </c>
      <c r="H665" s="4" t="s">
        <v>25</v>
      </c>
      <c r="I665" s="5">
        <v>44593</v>
      </c>
      <c r="J665" s="6">
        <v>0</v>
      </c>
      <c r="K665" s="6">
        <v>0</v>
      </c>
      <c r="L665" s="6">
        <v>1.948</v>
      </c>
      <c r="M665" s="6">
        <v>0.64283999999999997</v>
      </c>
      <c r="N665" s="6">
        <v>1.948</v>
      </c>
      <c r="O665" s="6">
        <v>0.64283999999999997</v>
      </c>
      <c r="P665" s="6">
        <v>0</v>
      </c>
      <c r="Q665" s="4" t="s">
        <v>26</v>
      </c>
      <c r="R665" s="4">
        <v>0</v>
      </c>
      <c r="S665" s="4">
        <v>0</v>
      </c>
      <c r="T665" s="4">
        <v>52</v>
      </c>
      <c r="U665" s="4">
        <v>96</v>
      </c>
      <c r="V665" s="6">
        <f>IF(ISERROR(VLOOKUP($S$665,'TAR FIN'!$A$1:$O$115,15,0)),0,VLOOKUP($S$665,'TAR FIN'!$A$1:$O$115,15,0))</f>
        <v>0</v>
      </c>
      <c r="W665" s="6">
        <f>IF(ISERROR(VLOOKUP($T$665,'TAR FIN'!$A$1:$O$115,15,0)),0,VLOOKUP($T$665,'TAR FIN'!$A$1:$O$115,15,0))</f>
        <v>407.97</v>
      </c>
      <c r="X665" s="6">
        <f>IF(ISERROR(VLOOKUP($U$665,'TAR FIN'!$A$1:$O$115,15,0)),0,VLOOKUP($U$665,'TAR FIN'!$A$1:$O$115,15,0))</f>
        <v>155.38999999999999</v>
      </c>
      <c r="Y665" s="6"/>
      <c r="Z665" s="6">
        <f ca="1">('TUSD BE'!$AM$50+'TUSD BF'!$AM$50+'TUSD CVA'!$AM$50)*(1-CUSTOS!$M$38)</f>
        <v>472.08658309095875</v>
      </c>
      <c r="AA665" s="6">
        <f>('TE BE'!$AB$33+'TE BF'!$AB$33+'TE CVA'!$AB$33)*(1-CUSTOS!$M$38)</f>
        <v>216.84105597414842</v>
      </c>
      <c r="AB665" s="6">
        <f t="shared" si="30"/>
        <v>0</v>
      </c>
      <c r="AC665" s="6">
        <f>(L665-M665)*(W665+X665)+($W$330+$X$330-$W$665-$X$665)*(L665)</f>
        <v>884.92029760000003</v>
      </c>
      <c r="AD665" s="6">
        <f t="shared" si="31"/>
        <v>0</v>
      </c>
      <c r="AE665" s="6">
        <f ca="1">(L665-M665)*(Z665+AA665)+($Z$330+$AA$330-$Z$665-$AA$665)*(L665)</f>
        <v>984.82235320426821</v>
      </c>
      <c r="AF665" s="4" t="s">
        <v>934</v>
      </c>
    </row>
    <row r="666" spans="1:32" ht="11.25" customHeight="1" x14ac:dyDescent="0.25">
      <c r="A666" s="4" t="s">
        <v>28</v>
      </c>
      <c r="B666" s="4" t="s">
        <v>46</v>
      </c>
      <c r="C666" s="4" t="s">
        <v>23</v>
      </c>
      <c r="D666" s="4" t="s">
        <v>47</v>
      </c>
      <c r="E666" s="4" t="s">
        <v>55</v>
      </c>
      <c r="F666" s="4" t="s">
        <v>57</v>
      </c>
      <c r="G666" s="4" t="s">
        <v>25</v>
      </c>
      <c r="H666" s="4" t="s">
        <v>25</v>
      </c>
      <c r="I666" s="5">
        <v>44593</v>
      </c>
      <c r="J666" s="6">
        <v>0</v>
      </c>
      <c r="K666" s="6">
        <v>0</v>
      </c>
      <c r="L666" s="6">
        <v>1.242</v>
      </c>
      <c r="M666" s="6">
        <v>0.40986</v>
      </c>
      <c r="N666" s="6">
        <v>1.242</v>
      </c>
      <c r="O666" s="6">
        <v>0.40986</v>
      </c>
      <c r="P666" s="6">
        <v>0</v>
      </c>
      <c r="Q666" s="4" t="s">
        <v>26</v>
      </c>
      <c r="R666" s="4">
        <v>0</v>
      </c>
      <c r="S666" s="4">
        <v>0</v>
      </c>
      <c r="T666" s="4">
        <v>52</v>
      </c>
      <c r="U666" s="4">
        <v>96</v>
      </c>
      <c r="V666" s="6">
        <f>IF(ISERROR(VLOOKUP($S$666,'TAR FIN'!$A$1:$O$115,15,0)),0,VLOOKUP($S$666,'TAR FIN'!$A$1:$O$115,15,0))</f>
        <v>0</v>
      </c>
      <c r="W666" s="6">
        <f>IF(ISERROR(VLOOKUP($T$666,'TAR FIN'!$A$1:$O$115,15,0)),0,VLOOKUP($T$666,'TAR FIN'!$A$1:$O$115,15,0))</f>
        <v>407.97</v>
      </c>
      <c r="X666" s="6">
        <f>IF(ISERROR(VLOOKUP($U$666,'TAR FIN'!$A$1:$O$115,15,0)),0,VLOOKUP($U$666,'TAR FIN'!$A$1:$O$115,15,0))</f>
        <v>155.38999999999999</v>
      </c>
      <c r="Y666" s="6"/>
      <c r="Z666" s="6">
        <f ca="1">('TUSD BE'!$AM$50+'TUSD BF'!$AM$50+'TUSD CVA'!$AM$50)*(1-CUSTOS!$M$38)</f>
        <v>472.08658309095875</v>
      </c>
      <c r="AA666" s="6">
        <f>('TE BE'!$AB$33+'TE BF'!$AB$33+'TE CVA'!$AB$33)*(1-CUSTOS!$M$38)</f>
        <v>216.84105597414842</v>
      </c>
      <c r="AB666" s="6">
        <f t="shared" si="30"/>
        <v>0</v>
      </c>
      <c r="AC666" s="6">
        <f>(L666-M666)*(W666+X666)+($W$330+$X$330-$W$666-$X$666)*(L666)</f>
        <v>564.20483040000011</v>
      </c>
      <c r="AD666" s="6">
        <f t="shared" si="31"/>
        <v>0</v>
      </c>
      <c r="AE666" s="6">
        <f ca="1">(L666-M666)*(Z666+AA666)+($Z$330+$AA$330-$Z$666-$AA$666)*(L666)</f>
        <v>627.90008351114022</v>
      </c>
      <c r="AF666" s="4" t="s">
        <v>934</v>
      </c>
    </row>
    <row r="667" spans="1:32" ht="11.25" customHeight="1" x14ac:dyDescent="0.25">
      <c r="A667" s="4" t="s">
        <v>29</v>
      </c>
      <c r="B667" s="4" t="s">
        <v>46</v>
      </c>
      <c r="C667" s="4" t="s">
        <v>23</v>
      </c>
      <c r="D667" s="4" t="s">
        <v>47</v>
      </c>
      <c r="E667" s="4" t="s">
        <v>55</v>
      </c>
      <c r="F667" s="4" t="s">
        <v>57</v>
      </c>
      <c r="G667" s="4" t="s">
        <v>25</v>
      </c>
      <c r="H667" s="4" t="s">
        <v>25</v>
      </c>
      <c r="I667" s="5">
        <v>44593</v>
      </c>
      <c r="J667" s="6">
        <v>0</v>
      </c>
      <c r="K667" s="6">
        <v>0</v>
      </c>
      <c r="L667" s="6">
        <v>4.5549999999999997</v>
      </c>
      <c r="M667" s="6">
        <v>1.50315</v>
      </c>
      <c r="N667" s="6">
        <v>4.5549999999999997</v>
      </c>
      <c r="O667" s="6">
        <v>1.50315</v>
      </c>
      <c r="P667" s="6">
        <v>0</v>
      </c>
      <c r="Q667" s="4" t="s">
        <v>26</v>
      </c>
      <c r="R667" s="4">
        <v>0</v>
      </c>
      <c r="S667" s="4">
        <v>0</v>
      </c>
      <c r="T667" s="4">
        <v>52</v>
      </c>
      <c r="U667" s="4">
        <v>96</v>
      </c>
      <c r="V667" s="6">
        <f>IF(ISERROR(VLOOKUP($S$667,'TAR FIN'!$A$1:$O$115,15,0)),0,VLOOKUP($S$667,'TAR FIN'!$A$1:$O$115,15,0))</f>
        <v>0</v>
      </c>
      <c r="W667" s="6">
        <f>IF(ISERROR(VLOOKUP($T$667,'TAR FIN'!$A$1:$O$115,15,0)),0,VLOOKUP($T$667,'TAR FIN'!$A$1:$O$115,15,0))</f>
        <v>407.97</v>
      </c>
      <c r="X667" s="6">
        <f>IF(ISERROR(VLOOKUP($U$667,'TAR FIN'!$A$1:$O$115,15,0)),0,VLOOKUP($U$667,'TAR FIN'!$A$1:$O$115,15,0))</f>
        <v>155.38999999999999</v>
      </c>
      <c r="Y667" s="6"/>
      <c r="Z667" s="6">
        <f ca="1">('TUSD BE'!$AM$50+'TUSD BF'!$AM$50+'TUSD CVA'!$AM$50)*(1-CUSTOS!$M$38)</f>
        <v>472.08658309095875</v>
      </c>
      <c r="AA667" s="6">
        <f>('TE BE'!$AB$33+'TE BF'!$AB$33+'TE CVA'!$AB$33)*(1-CUSTOS!$M$38)</f>
        <v>216.84105597414842</v>
      </c>
      <c r="AB667" s="6">
        <f t="shared" si="30"/>
        <v>0</v>
      </c>
      <c r="AC667" s="6">
        <f>(L667-M667)*(W667+X667)+($W$330+$X$330-$W$667-$X$667)*(L667)</f>
        <v>2069.2053160000005</v>
      </c>
      <c r="AD667" s="6">
        <f t="shared" si="31"/>
        <v>0</v>
      </c>
      <c r="AE667" s="6">
        <f ca="1">(L667-M667)*(Z667+AA667)+($Z$330+$AA$330-$Z$667-$AA$667)*(L667)</f>
        <v>2302.8058618303089</v>
      </c>
      <c r="AF667" s="4" t="s">
        <v>934</v>
      </c>
    </row>
    <row r="668" spans="1:32" ht="11.25" customHeight="1" x14ac:dyDescent="0.25">
      <c r="A668" s="4" t="s">
        <v>21</v>
      </c>
      <c r="B668" s="4" t="s">
        <v>46</v>
      </c>
      <c r="C668" s="4" t="s">
        <v>23</v>
      </c>
      <c r="D668" s="4" t="s">
        <v>47</v>
      </c>
      <c r="E668" s="4" t="s">
        <v>55</v>
      </c>
      <c r="F668" s="4" t="s">
        <v>57</v>
      </c>
      <c r="G668" s="4" t="s">
        <v>25</v>
      </c>
      <c r="H668" s="4" t="s">
        <v>25</v>
      </c>
      <c r="I668" s="5">
        <v>44621</v>
      </c>
      <c r="J668" s="6">
        <v>0</v>
      </c>
      <c r="K668" s="6">
        <v>0</v>
      </c>
      <c r="L668" s="6">
        <v>1.423</v>
      </c>
      <c r="M668" s="6">
        <v>0.46959000000000001</v>
      </c>
      <c r="N668" s="6">
        <v>1.423</v>
      </c>
      <c r="O668" s="6">
        <v>0.46959000000000001</v>
      </c>
      <c r="P668" s="6">
        <v>0</v>
      </c>
      <c r="Q668" s="4" t="s">
        <v>26</v>
      </c>
      <c r="R668" s="4">
        <v>0</v>
      </c>
      <c r="S668" s="4">
        <v>0</v>
      </c>
      <c r="T668" s="4">
        <v>52</v>
      </c>
      <c r="U668" s="4">
        <v>96</v>
      </c>
      <c r="V668" s="6">
        <f>IF(ISERROR(VLOOKUP($S$668,'TAR FIN'!$A$1:$O$115,15,0)),0,VLOOKUP($S$668,'TAR FIN'!$A$1:$O$115,15,0))</f>
        <v>0</v>
      </c>
      <c r="W668" s="6">
        <f>IF(ISERROR(VLOOKUP($T$668,'TAR FIN'!$A$1:$O$115,15,0)),0,VLOOKUP($T$668,'TAR FIN'!$A$1:$O$115,15,0))</f>
        <v>407.97</v>
      </c>
      <c r="X668" s="6">
        <f>IF(ISERROR(VLOOKUP($U$668,'TAR FIN'!$A$1:$O$115,15,0)),0,VLOOKUP($U$668,'TAR FIN'!$A$1:$O$115,15,0))</f>
        <v>155.38999999999999</v>
      </c>
      <c r="Y668" s="6"/>
      <c r="Z668" s="6">
        <f ca="1">('TUSD BE'!$AM$50+'TUSD BF'!$AM$50+'TUSD CVA'!$AM$50)*(1-CUSTOS!$M$38)</f>
        <v>472.08658309095875</v>
      </c>
      <c r="AA668" s="6">
        <f>('TE BE'!$AB$33+'TE BF'!$AB$33+'TE CVA'!$AB$33)*(1-CUSTOS!$M$38)</f>
        <v>216.84105597414842</v>
      </c>
      <c r="AB668" s="6">
        <f t="shared" si="30"/>
        <v>0</v>
      </c>
      <c r="AC668" s="6">
        <f>(L668-M668)*(W668+X668)+($W$330+$X$330-$W$668-$X$668)*(L668)</f>
        <v>646.42791760000011</v>
      </c>
      <c r="AD668" s="6">
        <f t="shared" si="31"/>
        <v>0</v>
      </c>
      <c r="AE668" s="6">
        <f ca="1">(L668-M668)*(Z668+AA668)+($Z$330+$AA$330-$Z$668-$AA$668)*(L668)</f>
        <v>719.40565123699889</v>
      </c>
      <c r="AF668" s="4" t="s">
        <v>934</v>
      </c>
    </row>
    <row r="669" spans="1:32" ht="11.25" customHeight="1" x14ac:dyDescent="0.25">
      <c r="A669" s="4" t="s">
        <v>28</v>
      </c>
      <c r="B669" s="4" t="s">
        <v>46</v>
      </c>
      <c r="C669" s="4" t="s">
        <v>23</v>
      </c>
      <c r="D669" s="4" t="s">
        <v>47</v>
      </c>
      <c r="E669" s="4" t="s">
        <v>55</v>
      </c>
      <c r="F669" s="4" t="s">
        <v>57</v>
      </c>
      <c r="G669" s="4" t="s">
        <v>25</v>
      </c>
      <c r="H669" s="4" t="s">
        <v>25</v>
      </c>
      <c r="I669" s="5">
        <v>44621</v>
      </c>
      <c r="J669" s="6">
        <v>0</v>
      </c>
      <c r="K669" s="6">
        <v>0</v>
      </c>
      <c r="L669" s="6">
        <v>0.879</v>
      </c>
      <c r="M669" s="6">
        <v>0.29006999999999999</v>
      </c>
      <c r="N669" s="6">
        <v>0.879</v>
      </c>
      <c r="O669" s="6">
        <v>0.29006999999999999</v>
      </c>
      <c r="P669" s="6">
        <v>0</v>
      </c>
      <c r="Q669" s="4" t="s">
        <v>26</v>
      </c>
      <c r="R669" s="4">
        <v>0</v>
      </c>
      <c r="S669" s="4">
        <v>0</v>
      </c>
      <c r="T669" s="4">
        <v>52</v>
      </c>
      <c r="U669" s="4">
        <v>96</v>
      </c>
      <c r="V669" s="6">
        <f>IF(ISERROR(VLOOKUP($S$669,'TAR FIN'!$A$1:$O$115,15,0)),0,VLOOKUP($S$669,'TAR FIN'!$A$1:$O$115,15,0))</f>
        <v>0</v>
      </c>
      <c r="W669" s="6">
        <f>IF(ISERROR(VLOOKUP($T$669,'TAR FIN'!$A$1:$O$115,15,0)),0,VLOOKUP($T$669,'TAR FIN'!$A$1:$O$115,15,0))</f>
        <v>407.97</v>
      </c>
      <c r="X669" s="6">
        <f>IF(ISERROR(VLOOKUP($U$669,'TAR FIN'!$A$1:$O$115,15,0)),0,VLOOKUP($U$669,'TAR FIN'!$A$1:$O$115,15,0))</f>
        <v>155.38999999999999</v>
      </c>
      <c r="Y669" s="6"/>
      <c r="Z669" s="6">
        <f ca="1">('TUSD BE'!$AM$50+'TUSD BF'!$AM$50+'TUSD CVA'!$AM$50)*(1-CUSTOS!$M$38)</f>
        <v>472.08658309095875</v>
      </c>
      <c r="AA669" s="6">
        <f>('TE BE'!$AB$33+'TE BF'!$AB$33+'TE CVA'!$AB$33)*(1-CUSTOS!$M$38)</f>
        <v>216.84105597414842</v>
      </c>
      <c r="AB669" s="6">
        <f t="shared" si="30"/>
        <v>0</v>
      </c>
      <c r="AC669" s="6">
        <f>(L669-M669)*(W669+X669)+($W$330+$X$330-$W$669-$X$669)*(L669)</f>
        <v>399.30438479999998</v>
      </c>
      <c r="AD669" s="6">
        <f t="shared" si="31"/>
        <v>0</v>
      </c>
      <c r="AE669" s="6">
        <f ca="1">(L669-M669)*(Z669+AA669)+($Z$330+$AA$330-$Z$669-$AA$669)*(L669)</f>
        <v>444.38339243662818</v>
      </c>
      <c r="AF669" s="4" t="s">
        <v>934</v>
      </c>
    </row>
    <row r="670" spans="1:32" ht="11.25" customHeight="1" x14ac:dyDescent="0.25">
      <c r="A670" s="4" t="s">
        <v>21</v>
      </c>
      <c r="B670" s="4" t="s">
        <v>46</v>
      </c>
      <c r="C670" s="4" t="s">
        <v>23</v>
      </c>
      <c r="D670" s="4" t="s">
        <v>47</v>
      </c>
      <c r="E670" s="4" t="s">
        <v>55</v>
      </c>
      <c r="F670" s="4" t="s">
        <v>57</v>
      </c>
      <c r="G670" s="4" t="s">
        <v>25</v>
      </c>
      <c r="H670" s="4" t="s">
        <v>25</v>
      </c>
      <c r="I670" s="5">
        <v>44652</v>
      </c>
      <c r="J670" s="6">
        <v>0</v>
      </c>
      <c r="K670" s="6">
        <v>0</v>
      </c>
      <c r="L670" s="6">
        <v>1.024</v>
      </c>
      <c r="M670" s="6">
        <v>0.33792</v>
      </c>
      <c r="N670" s="6">
        <v>1.024</v>
      </c>
      <c r="O670" s="6">
        <v>0.33792</v>
      </c>
      <c r="P670" s="6">
        <v>0</v>
      </c>
      <c r="Q670" s="4" t="s">
        <v>26</v>
      </c>
      <c r="R670" s="4">
        <v>0</v>
      </c>
      <c r="S670" s="4">
        <v>0</v>
      </c>
      <c r="T670" s="4">
        <v>52</v>
      </c>
      <c r="U670" s="4">
        <v>96</v>
      </c>
      <c r="V670" s="6">
        <f>IF(ISERROR(VLOOKUP($S$670,'TAR FIN'!$A$1:$O$115,15,0)),0,VLOOKUP($S$670,'TAR FIN'!$A$1:$O$115,15,0))</f>
        <v>0</v>
      </c>
      <c r="W670" s="6">
        <f>IF(ISERROR(VLOOKUP($T$670,'TAR FIN'!$A$1:$O$115,15,0)),0,VLOOKUP($T$670,'TAR FIN'!$A$1:$O$115,15,0))</f>
        <v>407.97</v>
      </c>
      <c r="X670" s="6">
        <f>IF(ISERROR(VLOOKUP($U$670,'TAR FIN'!$A$1:$O$115,15,0)),0,VLOOKUP($U$670,'TAR FIN'!$A$1:$O$115,15,0))</f>
        <v>155.38999999999999</v>
      </c>
      <c r="Y670" s="6"/>
      <c r="Z670" s="6">
        <f ca="1">('TUSD BE'!$AM$50+'TUSD BF'!$AM$50+'TUSD CVA'!$AM$50)*(1-CUSTOS!$M$38)</f>
        <v>472.08658309095875</v>
      </c>
      <c r="AA670" s="6">
        <f>('TE BE'!$AB$33+'TE BF'!$AB$33+'TE CVA'!$AB$33)*(1-CUSTOS!$M$38)</f>
        <v>216.84105597414842</v>
      </c>
      <c r="AB670" s="6">
        <f t="shared" si="30"/>
        <v>0</v>
      </c>
      <c r="AC670" s="6">
        <f>(L670-M670)*(W670+X670)+($W$330+$X$330-$W$670-$X$670)*(L670)</f>
        <v>465.1737088000001</v>
      </c>
      <c r="AD670" s="6">
        <f t="shared" si="31"/>
        <v>0</v>
      </c>
      <c r="AE670" s="6">
        <f ca="1">(L670-M670)*(Z670+AA670)+($Z$330+$AA$330-$Z$670-$AA$670)*(L670)</f>
        <v>517.68895774187411</v>
      </c>
      <c r="AF670" s="4" t="s">
        <v>934</v>
      </c>
    </row>
    <row r="671" spans="1:32" ht="11.25" customHeight="1" x14ac:dyDescent="0.25">
      <c r="A671" s="4" t="s">
        <v>27</v>
      </c>
      <c r="B671" s="4" t="s">
        <v>46</v>
      </c>
      <c r="C671" s="4" t="s">
        <v>23</v>
      </c>
      <c r="D671" s="4" t="s">
        <v>47</v>
      </c>
      <c r="E671" s="4" t="s">
        <v>55</v>
      </c>
      <c r="F671" s="4" t="s">
        <v>57</v>
      </c>
      <c r="G671" s="4" t="s">
        <v>25</v>
      </c>
      <c r="H671" s="4" t="s">
        <v>25</v>
      </c>
      <c r="I671" s="5">
        <v>44652</v>
      </c>
      <c r="J671" s="6">
        <v>0</v>
      </c>
      <c r="K671" s="6">
        <v>0</v>
      </c>
      <c r="L671" s="6">
        <v>-8.6999999999999994E-2</v>
      </c>
      <c r="M671" s="6">
        <v>-2.8709999999999999E-2</v>
      </c>
      <c r="N671" s="6">
        <v>-8.6999999999999994E-2</v>
      </c>
      <c r="O671" s="6">
        <v>-2.8709999999999999E-2</v>
      </c>
      <c r="P671" s="6">
        <v>0</v>
      </c>
      <c r="Q671" s="4" t="s">
        <v>26</v>
      </c>
      <c r="R671" s="4">
        <v>0</v>
      </c>
      <c r="S671" s="4">
        <v>0</v>
      </c>
      <c r="T671" s="4">
        <v>52</v>
      </c>
      <c r="U671" s="4">
        <v>96</v>
      </c>
      <c r="V671" s="6">
        <f>IF(ISERROR(VLOOKUP($S$671,'TAR FIN'!$A$1:$O$115,15,0)),0,VLOOKUP($S$671,'TAR FIN'!$A$1:$O$115,15,0))</f>
        <v>0</v>
      </c>
      <c r="W671" s="6">
        <f>IF(ISERROR(VLOOKUP($T$671,'TAR FIN'!$A$1:$O$115,15,0)),0,VLOOKUP($T$671,'TAR FIN'!$A$1:$O$115,15,0))</f>
        <v>407.97</v>
      </c>
      <c r="X671" s="6">
        <f>IF(ISERROR(VLOOKUP($U$671,'TAR FIN'!$A$1:$O$115,15,0)),0,VLOOKUP($U$671,'TAR FIN'!$A$1:$O$115,15,0))</f>
        <v>155.38999999999999</v>
      </c>
      <c r="Y671" s="6"/>
      <c r="Z671" s="6">
        <f ca="1">('TUSD BE'!$AM$50+'TUSD BF'!$AM$50+'TUSD CVA'!$AM$50)*(1-CUSTOS!$M$38)</f>
        <v>472.08658309095875</v>
      </c>
      <c r="AA671" s="6">
        <f>('TE BE'!$AB$33+'TE BF'!$AB$33+'TE CVA'!$AB$33)*(1-CUSTOS!$M$38)</f>
        <v>216.84105597414842</v>
      </c>
      <c r="AB671" s="6">
        <f t="shared" si="30"/>
        <v>0</v>
      </c>
      <c r="AC671" s="6">
        <f>(L671-M671)*(W671+X671)+($W$330+$X$330-$W$671-$X$671)*(L671)</f>
        <v>-39.521594399999998</v>
      </c>
      <c r="AD671" s="6">
        <f t="shared" si="31"/>
        <v>0</v>
      </c>
      <c r="AE671" s="6">
        <f ca="1">(L671-M671)*(Z671+AA671)+($Z$330+$AA$330-$Z$671-$AA$671)*(L671)</f>
        <v>-43.9833391831475</v>
      </c>
      <c r="AF671" s="4" t="s">
        <v>934</v>
      </c>
    </row>
    <row r="672" spans="1:32" ht="11.25" customHeight="1" x14ac:dyDescent="0.25">
      <c r="A672" s="4" t="s">
        <v>28</v>
      </c>
      <c r="B672" s="4" t="s">
        <v>46</v>
      </c>
      <c r="C672" s="4" t="s">
        <v>23</v>
      </c>
      <c r="D672" s="4" t="s">
        <v>47</v>
      </c>
      <c r="E672" s="4" t="s">
        <v>55</v>
      </c>
      <c r="F672" s="4" t="s">
        <v>57</v>
      </c>
      <c r="G672" s="4" t="s">
        <v>25</v>
      </c>
      <c r="H672" s="4" t="s">
        <v>25</v>
      </c>
      <c r="I672" s="5">
        <v>44652</v>
      </c>
      <c r="J672" s="6">
        <v>0</v>
      </c>
      <c r="K672" s="6">
        <v>0</v>
      </c>
      <c r="L672" s="6">
        <v>0.90600000000000003</v>
      </c>
      <c r="M672" s="6">
        <v>0.29898000000000002</v>
      </c>
      <c r="N672" s="6">
        <v>0.90600000000000003</v>
      </c>
      <c r="O672" s="6">
        <v>0.29898000000000002</v>
      </c>
      <c r="P672" s="6">
        <v>0</v>
      </c>
      <c r="Q672" s="4" t="s">
        <v>26</v>
      </c>
      <c r="R672" s="4">
        <v>0</v>
      </c>
      <c r="S672" s="4">
        <v>0</v>
      </c>
      <c r="T672" s="4">
        <v>52</v>
      </c>
      <c r="U672" s="4">
        <v>96</v>
      </c>
      <c r="V672" s="6">
        <f>IF(ISERROR(VLOOKUP($S$672,'TAR FIN'!$A$1:$O$115,15,0)),0,VLOOKUP($S$672,'TAR FIN'!$A$1:$O$115,15,0))</f>
        <v>0</v>
      </c>
      <c r="W672" s="6">
        <f>IF(ISERROR(VLOOKUP($T$672,'TAR FIN'!$A$1:$O$115,15,0)),0,VLOOKUP($T$672,'TAR FIN'!$A$1:$O$115,15,0))</f>
        <v>407.97</v>
      </c>
      <c r="X672" s="6">
        <f>IF(ISERROR(VLOOKUP($U$672,'TAR FIN'!$A$1:$O$115,15,0)),0,VLOOKUP($U$672,'TAR FIN'!$A$1:$O$115,15,0))</f>
        <v>155.38999999999999</v>
      </c>
      <c r="Y672" s="6"/>
      <c r="Z672" s="6">
        <f ca="1">('TUSD BE'!$AM$50+'TUSD BF'!$AM$50+'TUSD CVA'!$AM$50)*(1-CUSTOS!$M$38)</f>
        <v>472.08658309095875</v>
      </c>
      <c r="AA672" s="6">
        <f>('TE BE'!$AB$33+'TE BF'!$AB$33+'TE CVA'!$AB$33)*(1-CUSTOS!$M$38)</f>
        <v>216.84105597414842</v>
      </c>
      <c r="AB672" s="6">
        <f t="shared" si="30"/>
        <v>0</v>
      </c>
      <c r="AC672" s="6">
        <f>(L672-M672)*(W672+X672)+($W$330+$X$330-$W$672-$X$672)*(L672)</f>
        <v>411.56970720000004</v>
      </c>
      <c r="AD672" s="6">
        <f t="shared" si="31"/>
        <v>0</v>
      </c>
      <c r="AE672" s="6">
        <f ca="1">(L672-M672)*(Z672+AA672)+($Z$330+$AA$330-$Z$672-$AA$672)*(L672)</f>
        <v>458.03339425208782</v>
      </c>
      <c r="AF672" s="4" t="s">
        <v>934</v>
      </c>
    </row>
    <row r="673" spans="1:32" ht="11.25" customHeight="1" x14ac:dyDescent="0.25">
      <c r="A673" s="4" t="s">
        <v>21</v>
      </c>
      <c r="B673" s="4" t="s">
        <v>46</v>
      </c>
      <c r="C673" s="4" t="s">
        <v>23</v>
      </c>
      <c r="D673" s="4" t="s">
        <v>47</v>
      </c>
      <c r="E673" s="4" t="s">
        <v>55</v>
      </c>
      <c r="F673" s="4" t="s">
        <v>57</v>
      </c>
      <c r="G673" s="4" t="s">
        <v>25</v>
      </c>
      <c r="H673" s="4" t="s">
        <v>25</v>
      </c>
      <c r="I673" s="5">
        <v>44682</v>
      </c>
      <c r="J673" s="6">
        <v>0</v>
      </c>
      <c r="K673" s="6">
        <v>0</v>
      </c>
      <c r="L673" s="6">
        <v>2.7010000000000001</v>
      </c>
      <c r="M673" s="6">
        <v>0.89132999999999996</v>
      </c>
      <c r="N673" s="6">
        <v>2.7010000000000001</v>
      </c>
      <c r="O673" s="6">
        <v>0.89132999999999996</v>
      </c>
      <c r="P673" s="6">
        <v>0</v>
      </c>
      <c r="Q673" s="4" t="s">
        <v>26</v>
      </c>
      <c r="R673" s="4">
        <v>0</v>
      </c>
      <c r="S673" s="4">
        <v>0</v>
      </c>
      <c r="T673" s="4">
        <v>52</v>
      </c>
      <c r="U673" s="4">
        <v>96</v>
      </c>
      <c r="V673" s="6">
        <f>IF(ISERROR(VLOOKUP($S$673,'TAR FIN'!$A$1:$O$115,15,0)),0,VLOOKUP($S$673,'TAR FIN'!$A$1:$O$115,15,0))</f>
        <v>0</v>
      </c>
      <c r="W673" s="6">
        <f>IF(ISERROR(VLOOKUP($T$673,'TAR FIN'!$A$1:$O$115,15,0)),0,VLOOKUP($T$673,'TAR FIN'!$A$1:$O$115,15,0))</f>
        <v>407.97</v>
      </c>
      <c r="X673" s="6">
        <f>IF(ISERROR(VLOOKUP($U$673,'TAR FIN'!$A$1:$O$115,15,0)),0,VLOOKUP($U$673,'TAR FIN'!$A$1:$O$115,15,0))</f>
        <v>155.38999999999999</v>
      </c>
      <c r="Y673" s="6"/>
      <c r="Z673" s="6">
        <f ca="1">('TUSD BE'!$AM$50+'TUSD BF'!$AM$50+'TUSD CVA'!$AM$50)*(1-CUSTOS!$M$38)</f>
        <v>472.08658309095875</v>
      </c>
      <c r="AA673" s="6">
        <f>('TE BE'!$AB$33+'TE BF'!$AB$33+'TE CVA'!$AB$33)*(1-CUSTOS!$M$38)</f>
        <v>216.84105597414842</v>
      </c>
      <c r="AB673" s="6">
        <f t="shared" si="30"/>
        <v>0</v>
      </c>
      <c r="AC673" s="6">
        <f>(L673-M673)*(W673+X673)+($W$330+$X$330-$W$673-$X$673)*(L673)</f>
        <v>1226.9865112000002</v>
      </c>
      <c r="AD673" s="6">
        <f t="shared" si="31"/>
        <v>0</v>
      </c>
      <c r="AE673" s="6">
        <f ca="1">(L673-M673)*(Z673+AA673)+($Z$330+$AA$330-$Z$673-$AA$673)*(L673)</f>
        <v>1365.5057371687519</v>
      </c>
      <c r="AF673" s="4" t="s">
        <v>934</v>
      </c>
    </row>
    <row r="674" spans="1:32" ht="11.25" customHeight="1" x14ac:dyDescent="0.25">
      <c r="A674" s="4" t="s">
        <v>27</v>
      </c>
      <c r="B674" s="4" t="s">
        <v>46</v>
      </c>
      <c r="C674" s="4" t="s">
        <v>23</v>
      </c>
      <c r="D674" s="4" t="s">
        <v>47</v>
      </c>
      <c r="E674" s="4" t="s">
        <v>55</v>
      </c>
      <c r="F674" s="4" t="s">
        <v>57</v>
      </c>
      <c r="G674" s="4" t="s">
        <v>25</v>
      </c>
      <c r="H674" s="4" t="s">
        <v>25</v>
      </c>
      <c r="I674" s="5">
        <v>44682</v>
      </c>
      <c r="J674" s="6">
        <v>0</v>
      </c>
      <c r="K674" s="6">
        <v>0</v>
      </c>
      <c r="L674" s="6">
        <v>-0.23799999999999999</v>
      </c>
      <c r="M674" s="6">
        <v>-7.8539999999999999E-2</v>
      </c>
      <c r="N674" s="6">
        <v>-0.23799999999999999</v>
      </c>
      <c r="O674" s="6">
        <v>-7.8539999999999999E-2</v>
      </c>
      <c r="P674" s="6">
        <v>0</v>
      </c>
      <c r="Q674" s="4" t="s">
        <v>26</v>
      </c>
      <c r="R674" s="4">
        <v>0</v>
      </c>
      <c r="S674" s="4">
        <v>0</v>
      </c>
      <c r="T674" s="4">
        <v>52</v>
      </c>
      <c r="U674" s="4">
        <v>96</v>
      </c>
      <c r="V674" s="6">
        <f>IF(ISERROR(VLOOKUP($S$674,'TAR FIN'!$A$1:$O$115,15,0)),0,VLOOKUP($S$674,'TAR FIN'!$A$1:$O$115,15,0))</f>
        <v>0</v>
      </c>
      <c r="W674" s="6">
        <f>IF(ISERROR(VLOOKUP($T$674,'TAR FIN'!$A$1:$O$115,15,0)),0,VLOOKUP($T$674,'TAR FIN'!$A$1:$O$115,15,0))</f>
        <v>407.97</v>
      </c>
      <c r="X674" s="6">
        <f>IF(ISERROR(VLOOKUP($U$674,'TAR FIN'!$A$1:$O$115,15,0)),0,VLOOKUP($U$674,'TAR FIN'!$A$1:$O$115,15,0))</f>
        <v>155.38999999999999</v>
      </c>
      <c r="Y674" s="6"/>
      <c r="Z674" s="6">
        <f ca="1">('TUSD BE'!$AM$50+'TUSD BF'!$AM$50+'TUSD CVA'!$AM$50)*(1-CUSTOS!$M$38)</f>
        <v>472.08658309095875</v>
      </c>
      <c r="AA674" s="6">
        <f>('TE BE'!$AB$33+'TE BF'!$AB$33+'TE CVA'!$AB$33)*(1-CUSTOS!$M$38)</f>
        <v>216.84105597414842</v>
      </c>
      <c r="AB674" s="6">
        <f t="shared" si="30"/>
        <v>0</v>
      </c>
      <c r="AC674" s="6">
        <f>(L674-M674)*(W674+X674)+($W$330+$X$330-$W$674-$X$674)*(L674)</f>
        <v>-108.11654560000001</v>
      </c>
      <c r="AD674" s="6">
        <f t="shared" si="31"/>
        <v>0</v>
      </c>
      <c r="AE674" s="6">
        <f ca="1">(L674-M674)*(Z674+AA674)+($Z$330+$AA$330-$Z$674-$AA$674)*(L674)</f>
        <v>-120.32223822516212</v>
      </c>
      <c r="AF674" s="4" t="s">
        <v>934</v>
      </c>
    </row>
    <row r="675" spans="1:32" ht="11.25" customHeight="1" x14ac:dyDescent="0.25">
      <c r="A675" s="4" t="s">
        <v>28</v>
      </c>
      <c r="B675" s="4" t="s">
        <v>46</v>
      </c>
      <c r="C675" s="4" t="s">
        <v>23</v>
      </c>
      <c r="D675" s="4" t="s">
        <v>47</v>
      </c>
      <c r="E675" s="4" t="s">
        <v>55</v>
      </c>
      <c r="F675" s="4" t="s">
        <v>57</v>
      </c>
      <c r="G675" s="4" t="s">
        <v>25</v>
      </c>
      <c r="H675" s="4" t="s">
        <v>25</v>
      </c>
      <c r="I675" s="5">
        <v>44682</v>
      </c>
      <c r="J675" s="6">
        <v>0</v>
      </c>
      <c r="K675" s="6">
        <v>0</v>
      </c>
      <c r="L675" s="6">
        <v>0.95699999999999996</v>
      </c>
      <c r="M675" s="6">
        <v>0.31580999999999998</v>
      </c>
      <c r="N675" s="6">
        <v>0.95699999999999996</v>
      </c>
      <c r="O675" s="6">
        <v>0.31580999999999998</v>
      </c>
      <c r="P675" s="6">
        <v>0</v>
      </c>
      <c r="Q675" s="4" t="s">
        <v>26</v>
      </c>
      <c r="R675" s="4">
        <v>0</v>
      </c>
      <c r="S675" s="4">
        <v>0</v>
      </c>
      <c r="T675" s="4">
        <v>52</v>
      </c>
      <c r="U675" s="4">
        <v>96</v>
      </c>
      <c r="V675" s="6">
        <f>IF(ISERROR(VLOOKUP($S$675,'TAR FIN'!$A$1:$O$115,15,0)),0,VLOOKUP($S$675,'TAR FIN'!$A$1:$O$115,15,0))</f>
        <v>0</v>
      </c>
      <c r="W675" s="6">
        <f>IF(ISERROR(VLOOKUP($T$675,'TAR FIN'!$A$1:$O$115,15,0)),0,VLOOKUP($T$675,'TAR FIN'!$A$1:$O$115,15,0))</f>
        <v>407.97</v>
      </c>
      <c r="X675" s="6">
        <f>IF(ISERROR(VLOOKUP($U$675,'TAR FIN'!$A$1:$O$115,15,0)),0,VLOOKUP($U$675,'TAR FIN'!$A$1:$O$115,15,0))</f>
        <v>155.38999999999999</v>
      </c>
      <c r="Y675" s="6"/>
      <c r="Z675" s="6">
        <f ca="1">('TUSD BE'!$AM$50+'TUSD BF'!$AM$50+'TUSD CVA'!$AM$50)*(1-CUSTOS!$M$38)</f>
        <v>472.08658309095875</v>
      </c>
      <c r="AA675" s="6">
        <f>('TE BE'!$AB$33+'TE BF'!$AB$33+'TE CVA'!$AB$33)*(1-CUSTOS!$M$38)</f>
        <v>216.84105597414842</v>
      </c>
      <c r="AB675" s="6">
        <f t="shared" si="30"/>
        <v>0</v>
      </c>
      <c r="AC675" s="6">
        <f>(L675-M675)*(W675+X675)+($W$330+$X$330-$W$675-$X$675)*(L675)</f>
        <v>434.73753840000001</v>
      </c>
      <c r="AD675" s="6">
        <f t="shared" si="31"/>
        <v>0</v>
      </c>
      <c r="AE675" s="6">
        <f ca="1">(L675-M675)*(Z675+AA675)+($Z$330+$AA$330-$Z$675-$AA$675)*(L675)</f>
        <v>483.81673101462252</v>
      </c>
      <c r="AF675" s="4" t="s">
        <v>934</v>
      </c>
    </row>
    <row r="676" spans="1:32" ht="11.25" customHeight="1" x14ac:dyDescent="0.25">
      <c r="A676" s="4" t="s">
        <v>21</v>
      </c>
      <c r="B676" s="4" t="s">
        <v>46</v>
      </c>
      <c r="C676" s="4" t="s">
        <v>23</v>
      </c>
      <c r="D676" s="4" t="s">
        <v>47</v>
      </c>
      <c r="E676" s="4" t="s">
        <v>55</v>
      </c>
      <c r="F676" s="4" t="s">
        <v>57</v>
      </c>
      <c r="G676" s="4" t="s">
        <v>25</v>
      </c>
      <c r="H676" s="4" t="s">
        <v>25</v>
      </c>
      <c r="I676" s="5">
        <v>44713</v>
      </c>
      <c r="J676" s="6">
        <v>0</v>
      </c>
      <c r="K676" s="6">
        <v>0</v>
      </c>
      <c r="L676" s="6">
        <v>3.1280000000000001</v>
      </c>
      <c r="M676" s="6">
        <v>1.03224</v>
      </c>
      <c r="N676" s="6">
        <v>3.1280000000000001</v>
      </c>
      <c r="O676" s="6">
        <v>1.03224</v>
      </c>
      <c r="P676" s="6">
        <v>0</v>
      </c>
      <c r="Q676" s="4" t="s">
        <v>26</v>
      </c>
      <c r="R676" s="4">
        <v>0</v>
      </c>
      <c r="S676" s="4">
        <v>0</v>
      </c>
      <c r="T676" s="4">
        <v>52</v>
      </c>
      <c r="U676" s="4">
        <v>96</v>
      </c>
      <c r="V676" s="6">
        <f>IF(ISERROR(VLOOKUP($S$676,'TAR FIN'!$A$1:$O$115,15,0)),0,VLOOKUP($S$676,'TAR FIN'!$A$1:$O$115,15,0))</f>
        <v>0</v>
      </c>
      <c r="W676" s="6">
        <f>IF(ISERROR(VLOOKUP($T$676,'TAR FIN'!$A$1:$O$115,15,0)),0,VLOOKUP($T$676,'TAR FIN'!$A$1:$O$115,15,0))</f>
        <v>407.97</v>
      </c>
      <c r="X676" s="6">
        <f>IF(ISERROR(VLOOKUP($U$676,'TAR FIN'!$A$1:$O$115,15,0)),0,VLOOKUP($U$676,'TAR FIN'!$A$1:$O$115,15,0))</f>
        <v>155.38999999999999</v>
      </c>
      <c r="Y676" s="6"/>
      <c r="Z676" s="6">
        <f ca="1">('TUSD BE'!$AM$50+'TUSD BF'!$AM$50+'TUSD CVA'!$AM$50)*(1-CUSTOS!$M$38)</f>
        <v>472.08658309095875</v>
      </c>
      <c r="AA676" s="6">
        <f>('TE BE'!$AB$33+'TE BF'!$AB$33+'TE CVA'!$AB$33)*(1-CUSTOS!$M$38)</f>
        <v>216.84105597414842</v>
      </c>
      <c r="AB676" s="6">
        <f t="shared" si="30"/>
        <v>0</v>
      </c>
      <c r="AC676" s="6">
        <f>(L676-M676)*(W676+X676)+($W$330+$X$330-$W$676-$X$676)*(L676)</f>
        <v>1420.9603136000005</v>
      </c>
      <c r="AD676" s="6">
        <f t="shared" si="31"/>
        <v>0</v>
      </c>
      <c r="AE676" s="6">
        <f ca="1">(L676-M676)*(Z676+AA676)+($Z$330+$AA$330-$Z$676-$AA$676)*(L676)</f>
        <v>1581.3779881021312</v>
      </c>
      <c r="AF676" s="4" t="s">
        <v>934</v>
      </c>
    </row>
    <row r="677" spans="1:32" ht="11.25" customHeight="1" x14ac:dyDescent="0.25">
      <c r="A677" s="4" t="s">
        <v>28</v>
      </c>
      <c r="B677" s="4" t="s">
        <v>46</v>
      </c>
      <c r="C677" s="4" t="s">
        <v>23</v>
      </c>
      <c r="D677" s="4" t="s">
        <v>47</v>
      </c>
      <c r="E677" s="4" t="s">
        <v>55</v>
      </c>
      <c r="F677" s="4" t="s">
        <v>57</v>
      </c>
      <c r="G677" s="4" t="s">
        <v>25</v>
      </c>
      <c r="H677" s="4" t="s">
        <v>25</v>
      </c>
      <c r="I677" s="5">
        <v>44713</v>
      </c>
      <c r="J677" s="6">
        <v>0</v>
      </c>
      <c r="K677" s="6">
        <v>0</v>
      </c>
      <c r="L677" s="6">
        <v>1.5840000000000001</v>
      </c>
      <c r="M677" s="6">
        <v>0.52271999999999996</v>
      </c>
      <c r="N677" s="6">
        <v>1.5840000000000001</v>
      </c>
      <c r="O677" s="6">
        <v>0.52271999999999996</v>
      </c>
      <c r="P677" s="6">
        <v>0</v>
      </c>
      <c r="Q677" s="4" t="s">
        <v>26</v>
      </c>
      <c r="R677" s="4">
        <v>0</v>
      </c>
      <c r="S677" s="4">
        <v>0</v>
      </c>
      <c r="T677" s="4">
        <v>52</v>
      </c>
      <c r="U677" s="4">
        <v>96</v>
      </c>
      <c r="V677" s="6">
        <f>IF(ISERROR(VLOOKUP($S$677,'TAR FIN'!$A$1:$O$115,15,0)),0,VLOOKUP($S$677,'TAR FIN'!$A$1:$O$115,15,0))</f>
        <v>0</v>
      </c>
      <c r="W677" s="6">
        <f>IF(ISERROR(VLOOKUP($T$677,'TAR FIN'!$A$1:$O$115,15,0)),0,VLOOKUP($T$677,'TAR FIN'!$A$1:$O$115,15,0))</f>
        <v>407.97</v>
      </c>
      <c r="X677" s="6">
        <f>IF(ISERROR(VLOOKUP($U$677,'TAR FIN'!$A$1:$O$115,15,0)),0,VLOOKUP($U$677,'TAR FIN'!$A$1:$O$115,15,0))</f>
        <v>155.38999999999999</v>
      </c>
      <c r="Y677" s="6"/>
      <c r="Z677" s="6">
        <f ca="1">('TUSD BE'!$AM$50+'TUSD BF'!$AM$50+'TUSD CVA'!$AM$50)*(1-CUSTOS!$M$38)</f>
        <v>472.08658309095875</v>
      </c>
      <c r="AA677" s="6">
        <f>('TE BE'!$AB$33+'TE BF'!$AB$33+'TE CVA'!$AB$33)*(1-CUSTOS!$M$38)</f>
        <v>216.84105597414842</v>
      </c>
      <c r="AB677" s="6">
        <f t="shared" si="30"/>
        <v>0</v>
      </c>
      <c r="AC677" s="6">
        <f>(L677-M677)*(W677+X677)+($W$330+$X$330-$W$677-$X$677)*(L677)</f>
        <v>719.56558080000013</v>
      </c>
      <c r="AD677" s="6">
        <f t="shared" si="31"/>
        <v>0</v>
      </c>
      <c r="AE677" s="6">
        <f ca="1">(L677-M677)*(Z677+AA677)+($Z$330+$AA$330-$Z$677-$AA$677)*(L677)</f>
        <v>800.80010650696136</v>
      </c>
      <c r="AF677" s="4" t="s">
        <v>934</v>
      </c>
    </row>
    <row r="678" spans="1:32" ht="11.25" customHeight="1" x14ac:dyDescent="0.25">
      <c r="A678" s="4" t="s">
        <v>21</v>
      </c>
      <c r="B678" s="4" t="s">
        <v>46</v>
      </c>
      <c r="C678" s="4" t="s">
        <v>23</v>
      </c>
      <c r="D678" s="4" t="s">
        <v>47</v>
      </c>
      <c r="E678" s="4" t="s">
        <v>55</v>
      </c>
      <c r="F678" s="4" t="s">
        <v>57</v>
      </c>
      <c r="G678" s="4" t="s">
        <v>25</v>
      </c>
      <c r="H678" s="4" t="s">
        <v>25</v>
      </c>
      <c r="I678" s="5">
        <v>44743</v>
      </c>
      <c r="J678" s="6">
        <v>0</v>
      </c>
      <c r="K678" s="6">
        <v>0</v>
      </c>
      <c r="L678" s="6">
        <v>6.5789999999999997</v>
      </c>
      <c r="M678" s="6">
        <v>2.1710699999999998</v>
      </c>
      <c r="N678" s="6">
        <v>6.5789999999999997</v>
      </c>
      <c r="O678" s="6">
        <v>2.1710699999999998</v>
      </c>
      <c r="P678" s="6">
        <v>0</v>
      </c>
      <c r="Q678" s="4" t="s">
        <v>26</v>
      </c>
      <c r="R678" s="4">
        <v>0</v>
      </c>
      <c r="S678" s="4">
        <v>0</v>
      </c>
      <c r="T678" s="4">
        <v>52</v>
      </c>
      <c r="U678" s="4">
        <v>96</v>
      </c>
      <c r="V678" s="6">
        <f>IF(ISERROR(VLOOKUP($S$678,'TAR FIN'!$A$1:$O$115,15,0)),0,VLOOKUP($S$678,'TAR FIN'!$A$1:$O$115,15,0))</f>
        <v>0</v>
      </c>
      <c r="W678" s="6">
        <f>IF(ISERROR(VLOOKUP($T$678,'TAR FIN'!$A$1:$O$115,15,0)),0,VLOOKUP($T$678,'TAR FIN'!$A$1:$O$115,15,0))</f>
        <v>407.97</v>
      </c>
      <c r="X678" s="6">
        <f>IF(ISERROR(VLOOKUP($U$678,'TAR FIN'!$A$1:$O$115,15,0)),0,VLOOKUP($U$678,'TAR FIN'!$A$1:$O$115,15,0))</f>
        <v>155.38999999999999</v>
      </c>
      <c r="Y678" s="6"/>
      <c r="Z678" s="6">
        <f ca="1">('TUSD BE'!$AM$50+'TUSD BF'!$AM$50+'TUSD CVA'!$AM$50)*(1-CUSTOS!$M$38)</f>
        <v>472.08658309095875</v>
      </c>
      <c r="AA678" s="6">
        <f>('TE BE'!$AB$33+'TE BF'!$AB$33+'TE CVA'!$AB$33)*(1-CUSTOS!$M$38)</f>
        <v>216.84105597414842</v>
      </c>
      <c r="AB678" s="6">
        <f t="shared" si="30"/>
        <v>0</v>
      </c>
      <c r="AC678" s="6">
        <f>(L678-M678)*(W678+X678)+($W$330+$X$330-$W$678-$X$678)*(L678)</f>
        <v>2988.6502248000006</v>
      </c>
      <c r="AD678" s="6">
        <f t="shared" si="31"/>
        <v>0</v>
      </c>
      <c r="AE678" s="6">
        <f ca="1">(L678-M678)*(Z678+AA678)+($Z$330+$AA$330-$Z$678-$AA$678)*(L678)</f>
        <v>3326.0504423669818</v>
      </c>
      <c r="AF678" s="4" t="s">
        <v>934</v>
      </c>
    </row>
    <row r="679" spans="1:32" ht="11.25" customHeight="1" x14ac:dyDescent="0.25">
      <c r="A679" s="4" t="s">
        <v>28</v>
      </c>
      <c r="B679" s="4" t="s">
        <v>46</v>
      </c>
      <c r="C679" s="4" t="s">
        <v>23</v>
      </c>
      <c r="D679" s="4" t="s">
        <v>47</v>
      </c>
      <c r="E679" s="4" t="s">
        <v>55</v>
      </c>
      <c r="F679" s="4" t="s">
        <v>57</v>
      </c>
      <c r="G679" s="4" t="s">
        <v>25</v>
      </c>
      <c r="H679" s="4" t="s">
        <v>25</v>
      </c>
      <c r="I679" s="5">
        <v>44743</v>
      </c>
      <c r="J679" s="6">
        <v>0</v>
      </c>
      <c r="K679" s="6">
        <v>0</v>
      </c>
      <c r="L679" s="6">
        <v>1.6679999999999999</v>
      </c>
      <c r="M679" s="6">
        <v>0.55044000000000004</v>
      </c>
      <c r="N679" s="6">
        <v>1.6679999999999999</v>
      </c>
      <c r="O679" s="6">
        <v>0.55044000000000004</v>
      </c>
      <c r="P679" s="6">
        <v>0</v>
      </c>
      <c r="Q679" s="4" t="s">
        <v>26</v>
      </c>
      <c r="R679" s="4">
        <v>0</v>
      </c>
      <c r="S679" s="4">
        <v>0</v>
      </c>
      <c r="T679" s="4">
        <v>52</v>
      </c>
      <c r="U679" s="4">
        <v>96</v>
      </c>
      <c r="V679" s="6">
        <f>IF(ISERROR(VLOOKUP($S$679,'TAR FIN'!$A$1:$O$115,15,0)),0,VLOOKUP($S$679,'TAR FIN'!$A$1:$O$115,15,0))</f>
        <v>0</v>
      </c>
      <c r="W679" s="6">
        <f>IF(ISERROR(VLOOKUP($T$679,'TAR FIN'!$A$1:$O$115,15,0)),0,VLOOKUP($T$679,'TAR FIN'!$A$1:$O$115,15,0))</f>
        <v>407.97</v>
      </c>
      <c r="X679" s="6">
        <f>IF(ISERROR(VLOOKUP($U$679,'TAR FIN'!$A$1:$O$115,15,0)),0,VLOOKUP($U$679,'TAR FIN'!$A$1:$O$115,15,0))</f>
        <v>155.38999999999999</v>
      </c>
      <c r="Y679" s="6"/>
      <c r="Z679" s="6">
        <f ca="1">('TUSD BE'!$AM$50+'TUSD BF'!$AM$50+'TUSD CVA'!$AM$50)*(1-CUSTOS!$M$38)</f>
        <v>472.08658309095875</v>
      </c>
      <c r="AA679" s="6">
        <f>('TE BE'!$AB$33+'TE BF'!$AB$33+'TE CVA'!$AB$33)*(1-CUSTOS!$M$38)</f>
        <v>216.84105597414842</v>
      </c>
      <c r="AB679" s="6">
        <f t="shared" si="30"/>
        <v>0</v>
      </c>
      <c r="AC679" s="6">
        <f>(L679-M679)*(W679+X679)+($W$330+$X$330-$W$679-$X$679)*(L679)</f>
        <v>757.72436160000007</v>
      </c>
      <c r="AD679" s="6">
        <f t="shared" si="31"/>
        <v>0</v>
      </c>
      <c r="AE679" s="6">
        <f ca="1">(L679-M679)*(Z679+AA679)+($Z$330+$AA$330-$Z$679-$AA$679)*(L679)</f>
        <v>843.26677882172453</v>
      </c>
      <c r="AF679" s="4" t="s">
        <v>934</v>
      </c>
    </row>
    <row r="680" spans="1:32" ht="11.25" customHeight="1" x14ac:dyDescent="0.25">
      <c r="A680" s="4" t="s">
        <v>21</v>
      </c>
      <c r="B680" s="4" t="s">
        <v>46</v>
      </c>
      <c r="C680" s="4" t="s">
        <v>23</v>
      </c>
      <c r="D680" s="4" t="s">
        <v>47</v>
      </c>
      <c r="E680" s="4" t="s">
        <v>55</v>
      </c>
      <c r="F680" s="4" t="s">
        <v>57</v>
      </c>
      <c r="G680" s="4" t="s">
        <v>25</v>
      </c>
      <c r="H680" s="4" t="s">
        <v>25</v>
      </c>
      <c r="I680" s="5">
        <v>44774</v>
      </c>
      <c r="J680" s="6">
        <v>0</v>
      </c>
      <c r="K680" s="6">
        <v>0</v>
      </c>
      <c r="L680" s="6">
        <v>7.8360000000000003</v>
      </c>
      <c r="M680" s="6">
        <v>2.58588</v>
      </c>
      <c r="N680" s="6">
        <v>7.8360000000000003</v>
      </c>
      <c r="O680" s="6">
        <v>2.58588</v>
      </c>
      <c r="P680" s="6">
        <v>0</v>
      </c>
      <c r="Q680" s="4" t="s">
        <v>26</v>
      </c>
      <c r="R680" s="4">
        <v>0</v>
      </c>
      <c r="S680" s="4">
        <v>0</v>
      </c>
      <c r="T680" s="4">
        <v>52</v>
      </c>
      <c r="U680" s="4">
        <v>96</v>
      </c>
      <c r="V680" s="6">
        <f>IF(ISERROR(VLOOKUP($S$680,'TAR FIN'!$A$1:$O$115,15,0)),0,VLOOKUP($S$680,'TAR FIN'!$A$1:$O$115,15,0))</f>
        <v>0</v>
      </c>
      <c r="W680" s="6">
        <f>IF(ISERROR(VLOOKUP($T$680,'TAR FIN'!$A$1:$O$115,15,0)),0,VLOOKUP($T$680,'TAR FIN'!$A$1:$O$115,15,0))</f>
        <v>407.97</v>
      </c>
      <c r="X680" s="6">
        <f>IF(ISERROR(VLOOKUP($U$680,'TAR FIN'!$A$1:$O$115,15,0)),0,VLOOKUP($U$680,'TAR FIN'!$A$1:$O$115,15,0))</f>
        <v>155.38999999999999</v>
      </c>
      <c r="Y680" s="6"/>
      <c r="Z680" s="6">
        <f ca="1">('TUSD BE'!$AM$50+'TUSD BF'!$AM$50+'TUSD CVA'!$AM$50)*(1-CUSTOS!$M$38)</f>
        <v>472.08658309095875</v>
      </c>
      <c r="AA680" s="6">
        <f>('TE BE'!$AB$33+'TE BF'!$AB$33+'TE CVA'!$AB$33)*(1-CUSTOS!$M$38)</f>
        <v>216.84105597414842</v>
      </c>
      <c r="AB680" s="6">
        <f t="shared" si="30"/>
        <v>0</v>
      </c>
      <c r="AC680" s="6">
        <f>(L680-M680)*(W680+X680)+($W$330+$X$330-$W$680-$X$680)*(L680)</f>
        <v>3559.6691232000007</v>
      </c>
      <c r="AD680" s="6">
        <f t="shared" si="31"/>
        <v>0</v>
      </c>
      <c r="AE680" s="6">
        <f ca="1">(L680-M680)*(Z680+AA680)+($Z$330+$AA$330-$Z$680-$AA$680)*(L680)</f>
        <v>3961.5338602200445</v>
      </c>
      <c r="AF680" s="4" t="s">
        <v>934</v>
      </c>
    </row>
    <row r="681" spans="1:32" ht="11.25" customHeight="1" x14ac:dyDescent="0.25">
      <c r="A681" s="4" t="s">
        <v>28</v>
      </c>
      <c r="B681" s="4" t="s">
        <v>46</v>
      </c>
      <c r="C681" s="4" t="s">
        <v>23</v>
      </c>
      <c r="D681" s="4" t="s">
        <v>47</v>
      </c>
      <c r="E681" s="4" t="s">
        <v>55</v>
      </c>
      <c r="F681" s="4" t="s">
        <v>57</v>
      </c>
      <c r="G681" s="4" t="s">
        <v>25</v>
      </c>
      <c r="H681" s="4" t="s">
        <v>25</v>
      </c>
      <c r="I681" s="5">
        <v>44774</v>
      </c>
      <c r="J681" s="6">
        <v>0</v>
      </c>
      <c r="K681" s="6">
        <v>0</v>
      </c>
      <c r="L681" s="6">
        <v>3.8460000000000001</v>
      </c>
      <c r="M681" s="6">
        <v>1.26918</v>
      </c>
      <c r="N681" s="6">
        <v>3.8460000000000001</v>
      </c>
      <c r="O681" s="6">
        <v>1.26918</v>
      </c>
      <c r="P681" s="6">
        <v>0</v>
      </c>
      <c r="Q681" s="4" t="s">
        <v>26</v>
      </c>
      <c r="R681" s="4">
        <v>0</v>
      </c>
      <c r="S681" s="4">
        <v>0</v>
      </c>
      <c r="T681" s="4">
        <v>52</v>
      </c>
      <c r="U681" s="4">
        <v>96</v>
      </c>
      <c r="V681" s="6">
        <f>IF(ISERROR(VLOOKUP($S$681,'TAR FIN'!$A$1:$O$115,15,0)),0,VLOOKUP($S$681,'TAR FIN'!$A$1:$O$115,15,0))</f>
        <v>0</v>
      </c>
      <c r="W681" s="6">
        <f>IF(ISERROR(VLOOKUP($T$681,'TAR FIN'!$A$1:$O$115,15,0)),0,VLOOKUP($T$681,'TAR FIN'!$A$1:$O$115,15,0))</f>
        <v>407.97</v>
      </c>
      <c r="X681" s="6">
        <f>IF(ISERROR(VLOOKUP($U$681,'TAR FIN'!$A$1:$O$115,15,0)),0,VLOOKUP($U$681,'TAR FIN'!$A$1:$O$115,15,0))</f>
        <v>155.38999999999999</v>
      </c>
      <c r="Y681" s="6"/>
      <c r="Z681" s="6">
        <f ca="1">('TUSD BE'!$AM$50+'TUSD BF'!$AM$50+'TUSD CVA'!$AM$50)*(1-CUSTOS!$M$38)</f>
        <v>472.08658309095875</v>
      </c>
      <c r="AA681" s="6">
        <f>('TE BE'!$AB$33+'TE BF'!$AB$33+'TE CVA'!$AB$33)*(1-CUSTOS!$M$38)</f>
        <v>216.84105597414842</v>
      </c>
      <c r="AB681" s="6">
        <f t="shared" si="30"/>
        <v>0</v>
      </c>
      <c r="AC681" s="6">
        <f>(L681-M681)*(W681+X681)+($W$330+$X$330-$W$681-$X$681)*(L681)</f>
        <v>1747.1270352000001</v>
      </c>
      <c r="AD681" s="6">
        <f t="shared" si="31"/>
        <v>0</v>
      </c>
      <c r="AE681" s="6">
        <f ca="1">(L681-M681)*(Z681+AA681)+($Z$330+$AA$330-$Z$681-$AA$681)*(L681)</f>
        <v>1944.3669252687966</v>
      </c>
      <c r="AF681" s="4" t="s">
        <v>934</v>
      </c>
    </row>
    <row r="682" spans="1:32" ht="11.25" customHeight="1" x14ac:dyDescent="0.25">
      <c r="A682" s="4" t="s">
        <v>21</v>
      </c>
      <c r="B682" s="4" t="s">
        <v>46</v>
      </c>
      <c r="C682" s="4" t="s">
        <v>23</v>
      </c>
      <c r="D682" s="4" t="s">
        <v>47</v>
      </c>
      <c r="E682" s="4" t="s">
        <v>55</v>
      </c>
      <c r="F682" s="4" t="s">
        <v>57</v>
      </c>
      <c r="G682" s="4" t="s">
        <v>25</v>
      </c>
      <c r="H682" s="4" t="s">
        <v>25</v>
      </c>
      <c r="I682" s="5">
        <v>44805</v>
      </c>
      <c r="J682" s="6">
        <v>0</v>
      </c>
      <c r="K682" s="6">
        <v>0</v>
      </c>
      <c r="L682" s="6">
        <v>5.8609999999999998</v>
      </c>
      <c r="M682" s="6">
        <v>1.9341299999999999</v>
      </c>
      <c r="N682" s="6">
        <v>5.8609999999999998</v>
      </c>
      <c r="O682" s="6">
        <v>1.9341299999999999</v>
      </c>
      <c r="P682" s="6">
        <v>0</v>
      </c>
      <c r="Q682" s="4" t="s">
        <v>26</v>
      </c>
      <c r="R682" s="4">
        <v>0</v>
      </c>
      <c r="S682" s="4">
        <v>0</v>
      </c>
      <c r="T682" s="4">
        <v>52</v>
      </c>
      <c r="U682" s="4">
        <v>96</v>
      </c>
      <c r="V682" s="6">
        <f>IF(ISERROR(VLOOKUP($S$682,'TAR FIN'!$A$1:$O$115,15,0)),0,VLOOKUP($S$682,'TAR FIN'!$A$1:$O$115,15,0))</f>
        <v>0</v>
      </c>
      <c r="W682" s="6">
        <f>IF(ISERROR(VLOOKUP($T$682,'TAR FIN'!$A$1:$O$115,15,0)),0,VLOOKUP($T$682,'TAR FIN'!$A$1:$O$115,15,0))</f>
        <v>407.97</v>
      </c>
      <c r="X682" s="6">
        <f>IF(ISERROR(VLOOKUP($U$682,'TAR FIN'!$A$1:$O$115,15,0)),0,VLOOKUP($U$682,'TAR FIN'!$A$1:$O$115,15,0))</f>
        <v>155.38999999999999</v>
      </c>
      <c r="Y682" s="6"/>
      <c r="Z682" s="6">
        <f ca="1">('TUSD BE'!$AM$50+'TUSD BF'!$AM$50+'TUSD CVA'!$AM$50)*(1-CUSTOS!$M$38)</f>
        <v>472.08658309095875</v>
      </c>
      <c r="AA682" s="6">
        <f>('TE BE'!$AB$33+'TE BF'!$AB$33+'TE CVA'!$AB$33)*(1-CUSTOS!$M$38)</f>
        <v>216.84105597414842</v>
      </c>
      <c r="AB682" s="6">
        <f t="shared" si="30"/>
        <v>0</v>
      </c>
      <c r="AC682" s="6">
        <f>(L682-M682)*(W682+X682)+($W$330+$X$330-$W$682-$X$682)*(L682)</f>
        <v>2662.4835032000001</v>
      </c>
      <c r="AD682" s="6">
        <f t="shared" si="31"/>
        <v>0</v>
      </c>
      <c r="AE682" s="6">
        <f ca="1">(L682-M682)*(Z682+AA682)+($Z$330+$AA$330-$Z$682-$AA$682)*(L682)</f>
        <v>2963.0615052003163</v>
      </c>
      <c r="AF682" s="4" t="s">
        <v>934</v>
      </c>
    </row>
    <row r="683" spans="1:32" ht="11.25" customHeight="1" x14ac:dyDescent="0.25">
      <c r="A683" s="4" t="s">
        <v>28</v>
      </c>
      <c r="B683" s="4" t="s">
        <v>46</v>
      </c>
      <c r="C683" s="4" t="s">
        <v>23</v>
      </c>
      <c r="D683" s="4" t="s">
        <v>47</v>
      </c>
      <c r="E683" s="4" t="s">
        <v>55</v>
      </c>
      <c r="F683" s="4" t="s">
        <v>57</v>
      </c>
      <c r="G683" s="4" t="s">
        <v>25</v>
      </c>
      <c r="H683" s="4" t="s">
        <v>25</v>
      </c>
      <c r="I683" s="5">
        <v>44805</v>
      </c>
      <c r="J683" s="6">
        <v>0</v>
      </c>
      <c r="K683" s="6">
        <v>0</v>
      </c>
      <c r="L683" s="6">
        <v>2.2930000000000001</v>
      </c>
      <c r="M683" s="6">
        <v>0.75668999999999997</v>
      </c>
      <c r="N683" s="6">
        <v>2.2930000000000001</v>
      </c>
      <c r="O683" s="6">
        <v>0.75668999999999997</v>
      </c>
      <c r="P683" s="6">
        <v>0</v>
      </c>
      <c r="Q683" s="4" t="s">
        <v>26</v>
      </c>
      <c r="R683" s="4">
        <v>0</v>
      </c>
      <c r="S683" s="4">
        <v>0</v>
      </c>
      <c r="T683" s="4">
        <v>52</v>
      </c>
      <c r="U683" s="4">
        <v>96</v>
      </c>
      <c r="V683" s="6">
        <f>IF(ISERROR(VLOOKUP($S$683,'TAR FIN'!$A$1:$O$115,15,0)),0,VLOOKUP($S$683,'TAR FIN'!$A$1:$O$115,15,0))</f>
        <v>0</v>
      </c>
      <c r="W683" s="6">
        <f>IF(ISERROR(VLOOKUP($T$683,'TAR FIN'!$A$1:$O$115,15,0)),0,VLOOKUP($T$683,'TAR FIN'!$A$1:$O$115,15,0))</f>
        <v>407.97</v>
      </c>
      <c r="X683" s="6">
        <f>IF(ISERROR(VLOOKUP($U$683,'TAR FIN'!$A$1:$O$115,15,0)),0,VLOOKUP($U$683,'TAR FIN'!$A$1:$O$115,15,0))</f>
        <v>155.38999999999999</v>
      </c>
      <c r="Y683" s="6"/>
      <c r="Z683" s="6">
        <f ca="1">('TUSD BE'!$AM$50+'TUSD BF'!$AM$50+'TUSD CVA'!$AM$50)*(1-CUSTOS!$M$38)</f>
        <v>472.08658309095875</v>
      </c>
      <c r="AA683" s="6">
        <f>('TE BE'!$AB$33+'TE BF'!$AB$33+'TE CVA'!$AB$33)*(1-CUSTOS!$M$38)</f>
        <v>216.84105597414842</v>
      </c>
      <c r="AB683" s="6">
        <f t="shared" si="30"/>
        <v>0</v>
      </c>
      <c r="AC683" s="6">
        <f>(L683-M683)*(W683+X683)+($W$330+$X$330-$W$683-$X$683)*(L683)</f>
        <v>1041.6438616000003</v>
      </c>
      <c r="AD683" s="6">
        <f t="shared" si="31"/>
        <v>0</v>
      </c>
      <c r="AE683" s="6">
        <f ca="1">(L683-M683)*(Z683+AA683)+($Z$330+$AA$330-$Z$683-$AA$683)*(L683)</f>
        <v>1159.2390430684741</v>
      </c>
      <c r="AF683" s="4" t="s">
        <v>934</v>
      </c>
    </row>
    <row r="684" spans="1:32" ht="11.25" customHeight="1" x14ac:dyDescent="0.25">
      <c r="A684" s="4" t="s">
        <v>21</v>
      </c>
      <c r="B684" s="4" t="s">
        <v>46</v>
      </c>
      <c r="C684" s="4" t="s">
        <v>23</v>
      </c>
      <c r="D684" s="4" t="s">
        <v>47</v>
      </c>
      <c r="E684" s="4" t="s">
        <v>55</v>
      </c>
      <c r="F684" s="4" t="s">
        <v>57</v>
      </c>
      <c r="G684" s="4" t="s">
        <v>25</v>
      </c>
      <c r="H684" s="4" t="s">
        <v>25</v>
      </c>
      <c r="I684" s="5">
        <v>44835</v>
      </c>
      <c r="J684" s="6">
        <v>0</v>
      </c>
      <c r="K684" s="6">
        <v>0</v>
      </c>
      <c r="L684" s="6">
        <v>3.5070000000000001</v>
      </c>
      <c r="M684" s="6">
        <v>1.1573100000000001</v>
      </c>
      <c r="N684" s="6">
        <v>3.5070000000000001</v>
      </c>
      <c r="O684" s="6">
        <v>1.1573100000000001</v>
      </c>
      <c r="P684" s="6">
        <v>0</v>
      </c>
      <c r="Q684" s="4" t="s">
        <v>26</v>
      </c>
      <c r="R684" s="4">
        <v>0</v>
      </c>
      <c r="S684" s="4">
        <v>0</v>
      </c>
      <c r="T684" s="4">
        <v>52</v>
      </c>
      <c r="U684" s="4">
        <v>96</v>
      </c>
      <c r="V684" s="6">
        <f>IF(ISERROR(VLOOKUP($S$684,'TAR FIN'!$A$1:$O$115,15,0)),0,VLOOKUP($S$684,'TAR FIN'!$A$1:$O$115,15,0))</f>
        <v>0</v>
      </c>
      <c r="W684" s="6">
        <f>IF(ISERROR(VLOOKUP($T$684,'TAR FIN'!$A$1:$O$115,15,0)),0,VLOOKUP($T$684,'TAR FIN'!$A$1:$O$115,15,0))</f>
        <v>407.97</v>
      </c>
      <c r="X684" s="6">
        <f>IF(ISERROR(VLOOKUP($U$684,'TAR FIN'!$A$1:$O$115,15,0)),0,VLOOKUP($U$684,'TAR FIN'!$A$1:$O$115,15,0))</f>
        <v>155.38999999999999</v>
      </c>
      <c r="Y684" s="6"/>
      <c r="Z684" s="6">
        <f ca="1">('TUSD BE'!$AM$50+'TUSD BF'!$AM$50+'TUSD CVA'!$AM$50)*(1-CUSTOS!$M$38)</f>
        <v>472.08658309095875</v>
      </c>
      <c r="AA684" s="6">
        <f>('TE BE'!$AB$33+'TE BF'!$AB$33+'TE CVA'!$AB$33)*(1-CUSTOS!$M$38)</f>
        <v>216.84105597414842</v>
      </c>
      <c r="AB684" s="6">
        <f t="shared" si="30"/>
        <v>0</v>
      </c>
      <c r="AC684" s="6">
        <f>(L684-M684)*(W684+X684)+($W$330+$X$330-$W$684-$X$684)*(L684)</f>
        <v>1593.1290984</v>
      </c>
      <c r="AD684" s="6">
        <f t="shared" si="31"/>
        <v>0</v>
      </c>
      <c r="AE684" s="6">
        <f ca="1">(L684-M684)*(Z684+AA684)+($Z$330+$AA$330-$Z$684-$AA$684)*(L684)</f>
        <v>1772.9835691413596</v>
      </c>
      <c r="AF684" s="4" t="s">
        <v>934</v>
      </c>
    </row>
    <row r="685" spans="1:32" ht="11.25" customHeight="1" x14ac:dyDescent="0.25">
      <c r="A685" s="4" t="s">
        <v>28</v>
      </c>
      <c r="B685" s="4" t="s">
        <v>46</v>
      </c>
      <c r="C685" s="4" t="s">
        <v>23</v>
      </c>
      <c r="D685" s="4" t="s">
        <v>47</v>
      </c>
      <c r="E685" s="4" t="s">
        <v>55</v>
      </c>
      <c r="F685" s="4" t="s">
        <v>57</v>
      </c>
      <c r="G685" s="4" t="s">
        <v>25</v>
      </c>
      <c r="H685" s="4" t="s">
        <v>25</v>
      </c>
      <c r="I685" s="5">
        <v>44835</v>
      </c>
      <c r="J685" s="6">
        <v>0</v>
      </c>
      <c r="K685" s="6">
        <v>0</v>
      </c>
      <c r="L685" s="6">
        <v>2.9489999999999998</v>
      </c>
      <c r="M685" s="6">
        <v>0.97316999999999998</v>
      </c>
      <c r="N685" s="6">
        <v>2.9489999999999998</v>
      </c>
      <c r="O685" s="6">
        <v>0.97316999999999998</v>
      </c>
      <c r="P685" s="6">
        <v>0</v>
      </c>
      <c r="Q685" s="4" t="s">
        <v>26</v>
      </c>
      <c r="R685" s="4">
        <v>0</v>
      </c>
      <c r="S685" s="4">
        <v>0</v>
      </c>
      <c r="T685" s="4">
        <v>52</v>
      </c>
      <c r="U685" s="4">
        <v>96</v>
      </c>
      <c r="V685" s="6">
        <f>IF(ISERROR(VLOOKUP($S$685,'TAR FIN'!$A$1:$O$115,15,0)),0,VLOOKUP($S$685,'TAR FIN'!$A$1:$O$115,15,0))</f>
        <v>0</v>
      </c>
      <c r="W685" s="6">
        <f>IF(ISERROR(VLOOKUP($T$685,'TAR FIN'!$A$1:$O$115,15,0)),0,VLOOKUP($T$685,'TAR FIN'!$A$1:$O$115,15,0))</f>
        <v>407.97</v>
      </c>
      <c r="X685" s="6">
        <f>IF(ISERROR(VLOOKUP($U$685,'TAR FIN'!$A$1:$O$115,15,0)),0,VLOOKUP($U$685,'TAR FIN'!$A$1:$O$115,15,0))</f>
        <v>155.38999999999999</v>
      </c>
      <c r="Y685" s="6"/>
      <c r="Z685" s="6">
        <f ca="1">('TUSD BE'!$AM$50+'TUSD BF'!$AM$50+'TUSD CVA'!$AM$50)*(1-CUSTOS!$M$38)</f>
        <v>472.08658309095875</v>
      </c>
      <c r="AA685" s="6">
        <f>('TE BE'!$AB$33+'TE BF'!$AB$33+'TE CVA'!$AB$33)*(1-CUSTOS!$M$38)</f>
        <v>216.84105597414842</v>
      </c>
      <c r="AB685" s="6">
        <f t="shared" si="30"/>
        <v>0</v>
      </c>
      <c r="AC685" s="6">
        <f>(L685-M685)*(W685+X685)+($W$330+$X$330-$W$685-$X$685)*(L685)</f>
        <v>1339.6457688</v>
      </c>
      <c r="AD685" s="6">
        <f t="shared" si="31"/>
        <v>0</v>
      </c>
      <c r="AE685" s="6">
        <f ca="1">(L685-M685)*(Z685+AA685)+($Z$330+$AA$330-$Z$685-$AA$685)*(L685)</f>
        <v>1490.8835316218619</v>
      </c>
      <c r="AF685" s="4" t="s">
        <v>934</v>
      </c>
    </row>
    <row r="686" spans="1:32" ht="11.25" customHeight="1" x14ac:dyDescent="0.25">
      <c r="A686" s="4" t="s">
        <v>59</v>
      </c>
      <c r="B686" s="4" t="s">
        <v>46</v>
      </c>
      <c r="C686" s="4" t="s">
        <v>23</v>
      </c>
      <c r="D686" s="4" t="s">
        <v>47</v>
      </c>
      <c r="E686" s="4" t="s">
        <v>55</v>
      </c>
      <c r="F686" s="4" t="s">
        <v>57</v>
      </c>
      <c r="G686" s="4" t="s">
        <v>25</v>
      </c>
      <c r="H686" s="4" t="s">
        <v>25</v>
      </c>
      <c r="I686" s="5">
        <v>44866</v>
      </c>
      <c r="J686" s="6">
        <v>0</v>
      </c>
      <c r="K686" s="6">
        <v>0</v>
      </c>
      <c r="L686" s="6">
        <v>3.5070000000000001</v>
      </c>
      <c r="M686" s="6">
        <v>1.1573100000000001</v>
      </c>
      <c r="N686" s="6">
        <v>3.5070000000000001</v>
      </c>
      <c r="O686" s="6">
        <v>1.1573100000000001</v>
      </c>
      <c r="P686" s="6">
        <v>0</v>
      </c>
      <c r="Q686" s="4" t="s">
        <v>26</v>
      </c>
      <c r="R686" s="4">
        <v>0</v>
      </c>
      <c r="S686" s="4">
        <v>0</v>
      </c>
      <c r="T686" s="4">
        <v>52</v>
      </c>
      <c r="U686" s="4">
        <v>96</v>
      </c>
      <c r="V686" s="6">
        <f>IF(ISERROR(VLOOKUP($S$686,'TAR FIN'!$A$1:$O$115,15,0)),0,VLOOKUP($S$686,'TAR FIN'!$A$1:$O$115,15,0))</f>
        <v>0</v>
      </c>
      <c r="W686" s="6">
        <f>IF(ISERROR(VLOOKUP($T$686,'TAR FIN'!$A$1:$O$115,15,0)),0,VLOOKUP($T$686,'TAR FIN'!$A$1:$O$115,15,0))</f>
        <v>407.97</v>
      </c>
      <c r="X686" s="6">
        <f>IF(ISERROR(VLOOKUP($U$686,'TAR FIN'!$A$1:$O$115,15,0)),0,VLOOKUP($U$686,'TAR FIN'!$A$1:$O$115,15,0))</f>
        <v>155.38999999999999</v>
      </c>
      <c r="Y686" s="6"/>
      <c r="Z686" s="6">
        <f ca="1">('TUSD BE'!$AM$50+'TUSD BF'!$AM$50+'TUSD CVA'!$AM$50)*(1-CUSTOS!$M$38)</f>
        <v>472.08658309095875</v>
      </c>
      <c r="AA686" s="6">
        <f>('TE BE'!$AB$33+'TE BF'!$AB$33+'TE CVA'!$AB$33)*(1-CUSTOS!$M$38)</f>
        <v>216.84105597414842</v>
      </c>
      <c r="AB686" s="6">
        <f t="shared" si="30"/>
        <v>0</v>
      </c>
      <c r="AC686" s="6">
        <f>(L686-M686)*(W686+X686)+($W$330+$X$330-$W$686-$X$686)*(L686)</f>
        <v>1593.1290984</v>
      </c>
      <c r="AD686" s="6">
        <f t="shared" si="31"/>
        <v>0</v>
      </c>
      <c r="AE686" s="6">
        <f ca="1">(L686-M686)*(Z686+AA686)+($Z$330+$AA$330-$Z$686-$AA$686)*(L686)</f>
        <v>1772.9835691413596</v>
      </c>
      <c r="AF686" s="4" t="s">
        <v>934</v>
      </c>
    </row>
    <row r="687" spans="1:32" ht="11.25" customHeight="1" x14ac:dyDescent="0.25">
      <c r="A687" s="4" t="s">
        <v>59</v>
      </c>
      <c r="B687" s="4" t="s">
        <v>46</v>
      </c>
      <c r="C687" s="4" t="s">
        <v>23</v>
      </c>
      <c r="D687" s="4" t="s">
        <v>47</v>
      </c>
      <c r="E687" s="4" t="s">
        <v>55</v>
      </c>
      <c r="F687" s="4" t="s">
        <v>57</v>
      </c>
      <c r="G687" s="4" t="s">
        <v>25</v>
      </c>
      <c r="H687" s="4" t="s">
        <v>25</v>
      </c>
      <c r="I687" s="5">
        <v>44866</v>
      </c>
      <c r="J687" s="6">
        <v>0</v>
      </c>
      <c r="K687" s="6">
        <v>0</v>
      </c>
      <c r="L687" s="6">
        <v>2.9489999999999998</v>
      </c>
      <c r="M687" s="6">
        <v>0.97316999999999998</v>
      </c>
      <c r="N687" s="6">
        <v>2.9489999999999998</v>
      </c>
      <c r="O687" s="6">
        <v>0.97316999999999998</v>
      </c>
      <c r="P687" s="6">
        <v>0</v>
      </c>
      <c r="Q687" s="4" t="s">
        <v>26</v>
      </c>
      <c r="R687" s="4">
        <v>0</v>
      </c>
      <c r="S687" s="4">
        <v>0</v>
      </c>
      <c r="T687" s="4">
        <v>52</v>
      </c>
      <c r="U687" s="4">
        <v>96</v>
      </c>
      <c r="V687" s="6">
        <f>IF(ISERROR(VLOOKUP($S$687,'TAR FIN'!$A$1:$O$115,15,0)),0,VLOOKUP($S$687,'TAR FIN'!$A$1:$O$115,15,0))</f>
        <v>0</v>
      </c>
      <c r="W687" s="6">
        <f>IF(ISERROR(VLOOKUP($T$687,'TAR FIN'!$A$1:$O$115,15,0)),0,VLOOKUP($T$687,'TAR FIN'!$A$1:$O$115,15,0))</f>
        <v>407.97</v>
      </c>
      <c r="X687" s="6">
        <f>IF(ISERROR(VLOOKUP($U$687,'TAR FIN'!$A$1:$O$115,15,0)),0,VLOOKUP($U$687,'TAR FIN'!$A$1:$O$115,15,0))</f>
        <v>155.38999999999999</v>
      </c>
      <c r="Y687" s="6"/>
      <c r="Z687" s="6">
        <f ca="1">('TUSD BE'!$AM$50+'TUSD BF'!$AM$50+'TUSD CVA'!$AM$50)*(1-CUSTOS!$M$38)</f>
        <v>472.08658309095875</v>
      </c>
      <c r="AA687" s="6">
        <f>('TE BE'!$AB$33+'TE BF'!$AB$33+'TE CVA'!$AB$33)*(1-CUSTOS!$M$38)</f>
        <v>216.84105597414842</v>
      </c>
      <c r="AB687" s="6">
        <f t="shared" si="30"/>
        <v>0</v>
      </c>
      <c r="AC687" s="6">
        <f>(L687-M687)*(W687+X687)+($W$330+$X$330-$W$687-$X$687)*(L687)</f>
        <v>1339.6457688</v>
      </c>
      <c r="AD687" s="6">
        <f t="shared" si="31"/>
        <v>0</v>
      </c>
      <c r="AE687" s="6">
        <f ca="1">(L687-M687)*(Z687+AA687)+($Z$330+$AA$330-$Z$687-$AA$687)*(L687)</f>
        <v>1490.8835316218619</v>
      </c>
      <c r="AF687" s="4" t="s">
        <v>934</v>
      </c>
    </row>
    <row r="688" spans="1:32" ht="11.25" customHeight="1" x14ac:dyDescent="0.25">
      <c r="A688" s="4" t="s">
        <v>21</v>
      </c>
      <c r="B688" s="4" t="s">
        <v>46</v>
      </c>
      <c r="C688" s="4" t="s">
        <v>23</v>
      </c>
      <c r="D688" s="4" t="s">
        <v>47</v>
      </c>
      <c r="E688" s="4" t="s">
        <v>58</v>
      </c>
      <c r="F688" s="4" t="s">
        <v>56</v>
      </c>
      <c r="G688" s="4" t="s">
        <v>25</v>
      </c>
      <c r="H688" s="4" t="s">
        <v>25</v>
      </c>
      <c r="I688" s="5">
        <v>44682</v>
      </c>
      <c r="J688" s="6">
        <v>0</v>
      </c>
      <c r="K688" s="6">
        <v>0</v>
      </c>
      <c r="L688" s="6">
        <v>0.30099999999999999</v>
      </c>
      <c r="M688" s="6">
        <v>0.30099999999999999</v>
      </c>
      <c r="N688" s="6">
        <v>0.30099999999999999</v>
      </c>
      <c r="O688" s="6">
        <v>0.30099999999999999</v>
      </c>
      <c r="P688" s="6">
        <v>0</v>
      </c>
      <c r="Q688" s="4" t="s">
        <v>26</v>
      </c>
      <c r="R688" s="4">
        <v>0</v>
      </c>
      <c r="S688" s="4">
        <v>0</v>
      </c>
      <c r="T688" s="4">
        <v>52</v>
      </c>
      <c r="U688" s="4">
        <v>96</v>
      </c>
      <c r="V688" s="6">
        <f>IF(ISERROR(VLOOKUP($S$688,'TAR FIN'!$A$1:$O$115,15,0)),0,VLOOKUP($S$688,'TAR FIN'!$A$1:$O$115,15,0))</f>
        <v>0</v>
      </c>
      <c r="W688" s="6">
        <f>IF(ISERROR(VLOOKUP($T$688,'TAR FIN'!$A$1:$O$115,15,0)),0,VLOOKUP($T$688,'TAR FIN'!$A$1:$O$115,15,0))</f>
        <v>407.97</v>
      </c>
      <c r="X688" s="6">
        <f>IF(ISERROR(VLOOKUP($U$688,'TAR FIN'!$A$1:$O$115,15,0)),0,VLOOKUP($U$688,'TAR FIN'!$A$1:$O$115,15,0))</f>
        <v>155.38999999999999</v>
      </c>
      <c r="Y688" s="6"/>
      <c r="Z688" s="6">
        <f ca="1">('TUSD BE'!$AM$50+'TUSD BF'!$AM$50+'TUSD CVA'!$AM$50)*(1-CUSTOS!$M$38)</f>
        <v>472.08658309095875</v>
      </c>
      <c r="AA688" s="6">
        <f>('TE BE'!$AB$33+'TE BF'!$AB$33+'TE CVA'!$AB$33)*(1-CUSTOS!$M$38)</f>
        <v>216.84105597414842</v>
      </c>
      <c r="AB688" s="6">
        <f t="shared" si="30"/>
        <v>0</v>
      </c>
      <c r="AC688" s="6">
        <f>(L688-M688)*(W688+X688)+($W$330+$X$330-$W$688-$X$688)*(L688)</f>
        <v>23.122820000000015</v>
      </c>
      <c r="AD688" s="6">
        <f t="shared" si="31"/>
        <v>0</v>
      </c>
      <c r="AE688" s="6">
        <f ca="1">(L688-M688)*(Z688+AA688)+($Z$330+$AA$330-$Z$688-$AA$688)*(L688)</f>
        <v>13.236205490974299</v>
      </c>
      <c r="AF688" s="4" t="s">
        <v>933</v>
      </c>
    </row>
    <row r="689" spans="1:32" ht="11.25" customHeight="1" x14ac:dyDescent="0.25">
      <c r="A689" s="4" t="s">
        <v>21</v>
      </c>
      <c r="B689" s="4" t="s">
        <v>46</v>
      </c>
      <c r="C689" s="4" t="s">
        <v>23</v>
      </c>
      <c r="D689" s="4" t="s">
        <v>47</v>
      </c>
      <c r="E689" s="4" t="s">
        <v>58</v>
      </c>
      <c r="F689" s="4" t="s">
        <v>56</v>
      </c>
      <c r="G689" s="4" t="s">
        <v>25</v>
      </c>
      <c r="H689" s="4" t="s">
        <v>25</v>
      </c>
      <c r="I689" s="5">
        <v>44713</v>
      </c>
      <c r="J689" s="6">
        <v>0</v>
      </c>
      <c r="K689" s="6">
        <v>0</v>
      </c>
      <c r="L689" s="6">
        <v>0.25700000000000001</v>
      </c>
      <c r="M689" s="6">
        <v>0.25700000000000001</v>
      </c>
      <c r="N689" s="6">
        <v>0.25700000000000001</v>
      </c>
      <c r="O689" s="6">
        <v>0.25700000000000001</v>
      </c>
      <c r="P689" s="6">
        <v>0</v>
      </c>
      <c r="Q689" s="4" t="s">
        <v>26</v>
      </c>
      <c r="R689" s="4">
        <v>0</v>
      </c>
      <c r="S689" s="4">
        <v>0</v>
      </c>
      <c r="T689" s="4">
        <v>52</v>
      </c>
      <c r="U689" s="4">
        <v>96</v>
      </c>
      <c r="V689" s="6">
        <f>IF(ISERROR(VLOOKUP($S$689,'TAR FIN'!$A$1:$O$115,15,0)),0,VLOOKUP($S$689,'TAR FIN'!$A$1:$O$115,15,0))</f>
        <v>0</v>
      </c>
      <c r="W689" s="6">
        <f>IF(ISERROR(VLOOKUP($T$689,'TAR FIN'!$A$1:$O$115,15,0)),0,VLOOKUP($T$689,'TAR FIN'!$A$1:$O$115,15,0))</f>
        <v>407.97</v>
      </c>
      <c r="X689" s="6">
        <f>IF(ISERROR(VLOOKUP($U$689,'TAR FIN'!$A$1:$O$115,15,0)),0,VLOOKUP($U$689,'TAR FIN'!$A$1:$O$115,15,0))</f>
        <v>155.38999999999999</v>
      </c>
      <c r="Y689" s="6"/>
      <c r="Z689" s="6">
        <f ca="1">('TUSD BE'!$AM$50+'TUSD BF'!$AM$50+'TUSD CVA'!$AM$50)*(1-CUSTOS!$M$38)</f>
        <v>472.08658309095875</v>
      </c>
      <c r="AA689" s="6">
        <f>('TE BE'!$AB$33+'TE BF'!$AB$33+'TE CVA'!$AB$33)*(1-CUSTOS!$M$38)</f>
        <v>216.84105597414842</v>
      </c>
      <c r="AB689" s="6">
        <f t="shared" si="30"/>
        <v>0</v>
      </c>
      <c r="AC689" s="6">
        <f>(L689-M689)*(W689+X689)+($W$330+$X$330-$W$689-$X$689)*(L689)</f>
        <v>19.742740000000012</v>
      </c>
      <c r="AD689" s="6">
        <f t="shared" si="31"/>
        <v>0</v>
      </c>
      <c r="AE689" s="6">
        <f ca="1">(L689-M689)*(Z689+AA689)+($Z$330+$AA$330-$Z$689-$AA$689)*(L689)</f>
        <v>11.301344887642509</v>
      </c>
      <c r="AF689" s="4" t="s">
        <v>933</v>
      </c>
    </row>
    <row r="690" spans="1:32" ht="11.25" customHeight="1" x14ac:dyDescent="0.25">
      <c r="A690" s="4" t="s">
        <v>21</v>
      </c>
      <c r="B690" s="4" t="s">
        <v>46</v>
      </c>
      <c r="C690" s="4" t="s">
        <v>23</v>
      </c>
      <c r="D690" s="4" t="s">
        <v>47</v>
      </c>
      <c r="E690" s="4" t="s">
        <v>58</v>
      </c>
      <c r="F690" s="4" t="s">
        <v>56</v>
      </c>
      <c r="G690" s="4" t="s">
        <v>25</v>
      </c>
      <c r="H690" s="4" t="s">
        <v>25</v>
      </c>
      <c r="I690" s="5">
        <v>44743</v>
      </c>
      <c r="J690" s="6">
        <v>0</v>
      </c>
      <c r="K690" s="6">
        <v>0</v>
      </c>
      <c r="L690" s="6">
        <v>0.27400000000000002</v>
      </c>
      <c r="M690" s="6">
        <v>0.27400000000000002</v>
      </c>
      <c r="N690" s="6">
        <v>0.27400000000000002</v>
      </c>
      <c r="O690" s="6">
        <v>0.27400000000000002</v>
      </c>
      <c r="P690" s="6">
        <v>0</v>
      </c>
      <c r="Q690" s="4" t="s">
        <v>26</v>
      </c>
      <c r="R690" s="4">
        <v>0</v>
      </c>
      <c r="S690" s="4">
        <v>0</v>
      </c>
      <c r="T690" s="4">
        <v>52</v>
      </c>
      <c r="U690" s="4">
        <v>96</v>
      </c>
      <c r="V690" s="6">
        <f>IF(ISERROR(VLOOKUP($S$690,'TAR FIN'!$A$1:$O$115,15,0)),0,VLOOKUP($S$690,'TAR FIN'!$A$1:$O$115,15,0))</f>
        <v>0</v>
      </c>
      <c r="W690" s="6">
        <f>IF(ISERROR(VLOOKUP($T$690,'TAR FIN'!$A$1:$O$115,15,0)),0,VLOOKUP($T$690,'TAR FIN'!$A$1:$O$115,15,0))</f>
        <v>407.97</v>
      </c>
      <c r="X690" s="6">
        <f>IF(ISERROR(VLOOKUP($U$690,'TAR FIN'!$A$1:$O$115,15,0)),0,VLOOKUP($U$690,'TAR FIN'!$A$1:$O$115,15,0))</f>
        <v>155.38999999999999</v>
      </c>
      <c r="Y690" s="6"/>
      <c r="Z690" s="6">
        <f ca="1">('TUSD BE'!$AM$50+'TUSD BF'!$AM$50+'TUSD CVA'!$AM$50)*(1-CUSTOS!$M$38)</f>
        <v>472.08658309095875</v>
      </c>
      <c r="AA690" s="6">
        <f>('TE BE'!$AB$33+'TE BF'!$AB$33+'TE CVA'!$AB$33)*(1-CUSTOS!$M$38)</f>
        <v>216.84105597414842</v>
      </c>
      <c r="AB690" s="6">
        <f t="shared" si="30"/>
        <v>0</v>
      </c>
      <c r="AC690" s="6">
        <f>(L690-M690)*(W690+X690)+($W$330+$X$330-$W$690-$X$690)*(L690)</f>
        <v>21.048680000000015</v>
      </c>
      <c r="AD690" s="6">
        <f t="shared" si="31"/>
        <v>0</v>
      </c>
      <c r="AE690" s="6">
        <f ca="1">(L690-M690)*(Z690+AA690)+($Z$330+$AA$330-$Z$690-$AA$690)*(L690)</f>
        <v>12.048904666202519</v>
      </c>
      <c r="AF690" s="4" t="s">
        <v>933</v>
      </c>
    </row>
    <row r="691" spans="1:32" ht="11.25" customHeight="1" x14ac:dyDescent="0.25">
      <c r="A691" s="4" t="s">
        <v>21</v>
      </c>
      <c r="B691" s="4" t="s">
        <v>46</v>
      </c>
      <c r="C691" s="4" t="s">
        <v>23</v>
      </c>
      <c r="D691" s="4" t="s">
        <v>47</v>
      </c>
      <c r="E691" s="4" t="s">
        <v>58</v>
      </c>
      <c r="F691" s="4" t="s">
        <v>56</v>
      </c>
      <c r="G691" s="4" t="s">
        <v>25</v>
      </c>
      <c r="H691" s="4" t="s">
        <v>25</v>
      </c>
      <c r="I691" s="5">
        <v>44774</v>
      </c>
      <c r="J691" s="6">
        <v>0</v>
      </c>
      <c r="K691" s="6">
        <v>0</v>
      </c>
      <c r="L691" s="6">
        <v>0.23</v>
      </c>
      <c r="M691" s="6">
        <v>0.23</v>
      </c>
      <c r="N691" s="6">
        <v>0.23</v>
      </c>
      <c r="O691" s="6">
        <v>0.23</v>
      </c>
      <c r="P691" s="6">
        <v>0</v>
      </c>
      <c r="Q691" s="4" t="s">
        <v>26</v>
      </c>
      <c r="R691" s="4">
        <v>0</v>
      </c>
      <c r="S691" s="4">
        <v>0</v>
      </c>
      <c r="T691" s="4">
        <v>52</v>
      </c>
      <c r="U691" s="4">
        <v>96</v>
      </c>
      <c r="V691" s="6">
        <f>IF(ISERROR(VLOOKUP($S$691,'TAR FIN'!$A$1:$O$115,15,0)),0,VLOOKUP($S$691,'TAR FIN'!$A$1:$O$115,15,0))</f>
        <v>0</v>
      </c>
      <c r="W691" s="6">
        <f>IF(ISERROR(VLOOKUP($T$691,'TAR FIN'!$A$1:$O$115,15,0)),0,VLOOKUP($T$691,'TAR FIN'!$A$1:$O$115,15,0))</f>
        <v>407.97</v>
      </c>
      <c r="X691" s="6">
        <f>IF(ISERROR(VLOOKUP($U$691,'TAR FIN'!$A$1:$O$115,15,0)),0,VLOOKUP($U$691,'TAR FIN'!$A$1:$O$115,15,0))</f>
        <v>155.38999999999999</v>
      </c>
      <c r="Y691" s="6"/>
      <c r="Z691" s="6">
        <f ca="1">('TUSD BE'!$AM$50+'TUSD BF'!$AM$50+'TUSD CVA'!$AM$50)*(1-CUSTOS!$M$38)</f>
        <v>472.08658309095875</v>
      </c>
      <c r="AA691" s="6">
        <f>('TE BE'!$AB$33+'TE BF'!$AB$33+'TE CVA'!$AB$33)*(1-CUSTOS!$M$38)</f>
        <v>216.84105597414842</v>
      </c>
      <c r="AB691" s="6">
        <f t="shared" si="30"/>
        <v>0</v>
      </c>
      <c r="AC691" s="6">
        <f>(L691-M691)*(W691+X691)+($W$330+$X$330-$W$691-$X$691)*(L691)</f>
        <v>17.668600000000012</v>
      </c>
      <c r="AD691" s="6">
        <f t="shared" si="31"/>
        <v>0</v>
      </c>
      <c r="AE691" s="6">
        <f ca="1">(L691-M691)*(Z691+AA691)+($Z$330+$AA$330-$Z$691-$AA$691)*(L691)</f>
        <v>10.114044062870729</v>
      </c>
      <c r="AF691" s="4" t="s">
        <v>933</v>
      </c>
    </row>
    <row r="692" spans="1:32" ht="11.25" customHeight="1" x14ac:dyDescent="0.25">
      <c r="A692" s="4" t="s">
        <v>21</v>
      </c>
      <c r="B692" s="4" t="s">
        <v>46</v>
      </c>
      <c r="C692" s="4" t="s">
        <v>23</v>
      </c>
      <c r="D692" s="4" t="s">
        <v>47</v>
      </c>
      <c r="E692" s="4" t="s">
        <v>25</v>
      </c>
      <c r="F692" s="4" t="s">
        <v>25</v>
      </c>
      <c r="G692" s="4" t="s">
        <v>25</v>
      </c>
      <c r="H692" s="4" t="s">
        <v>25</v>
      </c>
      <c r="I692" s="5">
        <v>44531</v>
      </c>
      <c r="J692" s="6">
        <v>0</v>
      </c>
      <c r="K692" s="6">
        <v>0</v>
      </c>
      <c r="L692" s="6">
        <v>3806.0970000000002</v>
      </c>
      <c r="M692" s="6">
        <v>3806.0970000000002</v>
      </c>
      <c r="N692" s="6">
        <v>3806.0970000000002</v>
      </c>
      <c r="O692" s="6">
        <v>3806.0970000000002</v>
      </c>
      <c r="P692" s="6">
        <v>21162</v>
      </c>
      <c r="Q692" s="4" t="s">
        <v>26</v>
      </c>
      <c r="R692" s="4">
        <v>0</v>
      </c>
      <c r="S692" s="4">
        <v>0</v>
      </c>
      <c r="T692" s="4">
        <v>52</v>
      </c>
      <c r="U692" s="4">
        <v>96</v>
      </c>
      <c r="V692" s="6">
        <f>IF(ISERROR(VLOOKUP($S$692,'TAR FIN'!$A$1:$O$115,15,0)),0,VLOOKUP($S$692,'TAR FIN'!$A$1:$O$115,15,0))</f>
        <v>0</v>
      </c>
      <c r="W692" s="6">
        <f>IF(ISERROR(VLOOKUP($T$692,'TAR FIN'!$A$1:$O$115,15,0)),0,VLOOKUP($T$692,'TAR FIN'!$A$1:$O$115,15,0))</f>
        <v>407.97</v>
      </c>
      <c r="X692" s="6">
        <f>IF(ISERROR(VLOOKUP($U$692,'TAR FIN'!$A$1:$O$115,15,0)),0,VLOOKUP($U$692,'TAR FIN'!$A$1:$O$115,15,0))</f>
        <v>155.38999999999999</v>
      </c>
      <c r="Y692" s="6"/>
      <c r="Z692" s="6">
        <f ca="1">('TUSD BE'!$AM$50+'TUSD BF'!$AM$50+'TUSD CVA'!$AM$50)*(1-CUSTOS!$M$38)</f>
        <v>472.08658309095875</v>
      </c>
      <c r="AA692" s="6">
        <f>('TE BE'!$AB$33+'TE BF'!$AB$33+'TE CVA'!$AB$33)*(1-CUSTOS!$M$38)</f>
        <v>216.84105597414842</v>
      </c>
      <c r="AB692" s="6">
        <f t="shared" si="30"/>
        <v>0</v>
      </c>
      <c r="AC692" s="6">
        <f>(L692-M692)*(W692+X692)+($W$330+$X$330-$W$692-$X$692)*(L692)</f>
        <v>292384.3715400002</v>
      </c>
      <c r="AD692" s="6">
        <f t="shared" si="31"/>
        <v>0</v>
      </c>
      <c r="AE692" s="6">
        <f ca="1">(L692-M692)*(Z692+AA692)+($Z$330+$AA$330-$Z$692-$AA$692)*(L692)</f>
        <v>167369.70767634822</v>
      </c>
      <c r="AF692" s="4" t="s">
        <v>933</v>
      </c>
    </row>
    <row r="693" spans="1:32" ht="11.25" customHeight="1" x14ac:dyDescent="0.25">
      <c r="A693" s="4" t="s">
        <v>27</v>
      </c>
      <c r="B693" s="4" t="s">
        <v>46</v>
      </c>
      <c r="C693" s="4" t="s">
        <v>23</v>
      </c>
      <c r="D693" s="4" t="s">
        <v>47</v>
      </c>
      <c r="E693" s="4" t="s">
        <v>25</v>
      </c>
      <c r="F693" s="4" t="s">
        <v>25</v>
      </c>
      <c r="G693" s="4" t="s">
        <v>25</v>
      </c>
      <c r="H693" s="4" t="s">
        <v>25</v>
      </c>
      <c r="I693" s="5">
        <v>44531</v>
      </c>
      <c r="J693" s="6">
        <v>0</v>
      </c>
      <c r="K693" s="6">
        <v>0</v>
      </c>
      <c r="L693" s="6">
        <v>-53.863999999999997</v>
      </c>
      <c r="M693" s="6">
        <v>-53.863999999999997</v>
      </c>
      <c r="N693" s="6">
        <v>-53.863999999999997</v>
      </c>
      <c r="O693" s="6">
        <v>-53.863999999999997</v>
      </c>
      <c r="P693" s="6">
        <v>-17</v>
      </c>
      <c r="Q693" s="4" t="s">
        <v>26</v>
      </c>
      <c r="R693" s="4">
        <v>0</v>
      </c>
      <c r="S693" s="4">
        <v>0</v>
      </c>
      <c r="T693" s="4">
        <v>52</v>
      </c>
      <c r="U693" s="4">
        <v>96</v>
      </c>
      <c r="V693" s="6">
        <f>IF(ISERROR(VLOOKUP($S$693,'TAR FIN'!$A$1:$O$115,15,0)),0,VLOOKUP($S$693,'TAR FIN'!$A$1:$O$115,15,0))</f>
        <v>0</v>
      </c>
      <c r="W693" s="6">
        <f>IF(ISERROR(VLOOKUP($T$693,'TAR FIN'!$A$1:$O$115,15,0)),0,VLOOKUP($T$693,'TAR FIN'!$A$1:$O$115,15,0))</f>
        <v>407.97</v>
      </c>
      <c r="X693" s="6">
        <f>IF(ISERROR(VLOOKUP($U$693,'TAR FIN'!$A$1:$O$115,15,0)),0,VLOOKUP($U$693,'TAR FIN'!$A$1:$O$115,15,0))</f>
        <v>155.38999999999999</v>
      </c>
      <c r="Y693" s="6"/>
      <c r="Z693" s="6">
        <f ca="1">('TUSD BE'!$AM$50+'TUSD BF'!$AM$50+'TUSD CVA'!$AM$50)*(1-CUSTOS!$M$38)</f>
        <v>472.08658309095875</v>
      </c>
      <c r="AA693" s="6">
        <f>('TE BE'!$AB$33+'TE BF'!$AB$33+'TE CVA'!$AB$33)*(1-CUSTOS!$M$38)</f>
        <v>216.84105597414842</v>
      </c>
      <c r="AB693" s="6">
        <f t="shared" si="30"/>
        <v>0</v>
      </c>
      <c r="AC693" s="6">
        <f>(L693-M693)*(W693+X693)+($W$330+$X$330-$W$693-$X$693)*(L693)</f>
        <v>-4137.8324800000028</v>
      </c>
      <c r="AD693" s="6">
        <f t="shared" si="31"/>
        <v>0</v>
      </c>
      <c r="AE693" s="6">
        <f ca="1">(L693-M693)*(Z693+AA693)+($Z$330+$AA$330-$Z$693-$AA$693)*(L693)</f>
        <v>-2368.6211713150819</v>
      </c>
      <c r="AF693" s="4" t="s">
        <v>933</v>
      </c>
    </row>
    <row r="694" spans="1:32" ht="11.25" customHeight="1" x14ac:dyDescent="0.25">
      <c r="A694" s="4" t="s">
        <v>28</v>
      </c>
      <c r="B694" s="4" t="s">
        <v>46</v>
      </c>
      <c r="C694" s="4" t="s">
        <v>23</v>
      </c>
      <c r="D694" s="4" t="s">
        <v>47</v>
      </c>
      <c r="E694" s="4" t="s">
        <v>25</v>
      </c>
      <c r="F694" s="4" t="s">
        <v>25</v>
      </c>
      <c r="G694" s="4" t="s">
        <v>25</v>
      </c>
      <c r="H694" s="4" t="s">
        <v>25</v>
      </c>
      <c r="I694" s="5">
        <v>44531</v>
      </c>
      <c r="J694" s="6">
        <v>0</v>
      </c>
      <c r="K694" s="6">
        <v>0</v>
      </c>
      <c r="L694" s="6">
        <v>742.30700000000002</v>
      </c>
      <c r="M694" s="6">
        <v>742.30700000000002</v>
      </c>
      <c r="N694" s="6">
        <v>742.30700000000002</v>
      </c>
      <c r="O694" s="6">
        <v>742.30700000000002</v>
      </c>
      <c r="P694" s="6">
        <v>4882</v>
      </c>
      <c r="Q694" s="4" t="s">
        <v>26</v>
      </c>
      <c r="R694" s="4">
        <v>0</v>
      </c>
      <c r="S694" s="4">
        <v>0</v>
      </c>
      <c r="T694" s="4">
        <v>52</v>
      </c>
      <c r="U694" s="4">
        <v>96</v>
      </c>
      <c r="V694" s="6">
        <f>IF(ISERROR(VLOOKUP($S$694,'TAR FIN'!$A$1:$O$115,15,0)),0,VLOOKUP($S$694,'TAR FIN'!$A$1:$O$115,15,0))</f>
        <v>0</v>
      </c>
      <c r="W694" s="6">
        <f>IF(ISERROR(VLOOKUP($T$694,'TAR FIN'!$A$1:$O$115,15,0)),0,VLOOKUP($T$694,'TAR FIN'!$A$1:$O$115,15,0))</f>
        <v>407.97</v>
      </c>
      <c r="X694" s="6">
        <f>IF(ISERROR(VLOOKUP($U$694,'TAR FIN'!$A$1:$O$115,15,0)),0,VLOOKUP($U$694,'TAR FIN'!$A$1:$O$115,15,0))</f>
        <v>155.38999999999999</v>
      </c>
      <c r="Y694" s="6"/>
      <c r="Z694" s="6">
        <f ca="1">('TUSD BE'!$AM$50+'TUSD BF'!$AM$50+'TUSD CVA'!$AM$50)*(1-CUSTOS!$M$38)</f>
        <v>472.08658309095875</v>
      </c>
      <c r="AA694" s="6">
        <f>('TE BE'!$AB$33+'TE BF'!$AB$33+'TE CVA'!$AB$33)*(1-CUSTOS!$M$38)</f>
        <v>216.84105597414842</v>
      </c>
      <c r="AB694" s="6">
        <f t="shared" si="30"/>
        <v>0</v>
      </c>
      <c r="AC694" s="6">
        <f>(L694-M694)*(W694+X694)+($W$330+$X$330-$W$694-$X$694)*(L694)</f>
        <v>57024.023740000041</v>
      </c>
      <c r="AD694" s="6">
        <f t="shared" si="31"/>
        <v>0</v>
      </c>
      <c r="AE694" s="6">
        <f ca="1">(L694-M694)*(Z694+AA694)+($Z$330+$AA$330-$Z$694-$AA$694)*(L694)</f>
        <v>32642.285679032091</v>
      </c>
      <c r="AF694" s="4" t="s">
        <v>933</v>
      </c>
    </row>
    <row r="695" spans="1:32" ht="11.25" customHeight="1" x14ac:dyDescent="0.25">
      <c r="A695" s="4" t="s">
        <v>29</v>
      </c>
      <c r="B695" s="4" t="s">
        <v>46</v>
      </c>
      <c r="C695" s="4" t="s">
        <v>23</v>
      </c>
      <c r="D695" s="4" t="s">
        <v>47</v>
      </c>
      <c r="E695" s="4" t="s">
        <v>25</v>
      </c>
      <c r="F695" s="4" t="s">
        <v>25</v>
      </c>
      <c r="G695" s="4" t="s">
        <v>25</v>
      </c>
      <c r="H695" s="4" t="s">
        <v>25</v>
      </c>
      <c r="I695" s="5">
        <v>44531</v>
      </c>
      <c r="J695" s="6">
        <v>0</v>
      </c>
      <c r="K695" s="6">
        <v>0</v>
      </c>
      <c r="L695" s="6">
        <v>-0.57199999999999995</v>
      </c>
      <c r="M695" s="6">
        <v>-0.57199999999999995</v>
      </c>
      <c r="N695" s="6">
        <v>-0.57199999999999995</v>
      </c>
      <c r="O695" s="6">
        <v>-0.57199999999999995</v>
      </c>
      <c r="P695" s="6">
        <v>-6</v>
      </c>
      <c r="Q695" s="4" t="s">
        <v>26</v>
      </c>
      <c r="R695" s="4">
        <v>0</v>
      </c>
      <c r="S695" s="4">
        <v>0</v>
      </c>
      <c r="T695" s="4">
        <v>52</v>
      </c>
      <c r="U695" s="4">
        <v>96</v>
      </c>
      <c r="V695" s="6">
        <f>IF(ISERROR(VLOOKUP($S$695,'TAR FIN'!$A$1:$O$115,15,0)),0,VLOOKUP($S$695,'TAR FIN'!$A$1:$O$115,15,0))</f>
        <v>0</v>
      </c>
      <c r="W695" s="6">
        <f>IF(ISERROR(VLOOKUP($T$695,'TAR FIN'!$A$1:$O$115,15,0)),0,VLOOKUP($T$695,'TAR FIN'!$A$1:$O$115,15,0))</f>
        <v>407.97</v>
      </c>
      <c r="X695" s="6">
        <f>IF(ISERROR(VLOOKUP($U$695,'TAR FIN'!$A$1:$O$115,15,0)),0,VLOOKUP($U$695,'TAR FIN'!$A$1:$O$115,15,0))</f>
        <v>155.38999999999999</v>
      </c>
      <c r="Y695" s="6"/>
      <c r="Z695" s="6">
        <f ca="1">('TUSD BE'!$AM$50+'TUSD BF'!$AM$50+'TUSD CVA'!$AM$50)*(1-CUSTOS!$M$38)</f>
        <v>472.08658309095875</v>
      </c>
      <c r="AA695" s="6">
        <f>('TE BE'!$AB$33+'TE BF'!$AB$33+'TE CVA'!$AB$33)*(1-CUSTOS!$M$38)</f>
        <v>216.84105597414842</v>
      </c>
      <c r="AB695" s="6">
        <f t="shared" si="30"/>
        <v>0</v>
      </c>
      <c r="AC695" s="6">
        <f>(L695-M695)*(W695+X695)+($W$330+$X$330-$W$695-$X$695)*(L695)</f>
        <v>-43.941040000000022</v>
      </c>
      <c r="AD695" s="6">
        <f t="shared" si="31"/>
        <v>0</v>
      </c>
      <c r="AE695" s="6">
        <f ca="1">(L695-M695)*(Z695+AA695)+($Z$330+$AA$330-$Z$695-$AA$695)*(L695)</f>
        <v>-25.153187843313287</v>
      </c>
      <c r="AF695" s="4" t="s">
        <v>933</v>
      </c>
    </row>
    <row r="696" spans="1:32" ht="11.25" customHeight="1" x14ac:dyDescent="0.25">
      <c r="A696" s="4" t="s">
        <v>30</v>
      </c>
      <c r="B696" s="4" t="s">
        <v>46</v>
      </c>
      <c r="C696" s="4" t="s">
        <v>23</v>
      </c>
      <c r="D696" s="4" t="s">
        <v>47</v>
      </c>
      <c r="E696" s="4" t="s">
        <v>25</v>
      </c>
      <c r="F696" s="4" t="s">
        <v>25</v>
      </c>
      <c r="G696" s="4" t="s">
        <v>25</v>
      </c>
      <c r="H696" s="4" t="s">
        <v>25</v>
      </c>
      <c r="I696" s="5">
        <v>44531</v>
      </c>
      <c r="J696" s="6">
        <v>0</v>
      </c>
      <c r="K696" s="6">
        <v>0</v>
      </c>
      <c r="L696" s="6">
        <v>33.865000000000002</v>
      </c>
      <c r="M696" s="6">
        <v>33.865000000000002</v>
      </c>
      <c r="N696" s="6">
        <v>33.865000000000002</v>
      </c>
      <c r="O696" s="6">
        <v>33.865000000000002</v>
      </c>
      <c r="P696" s="6">
        <v>188</v>
      </c>
      <c r="Q696" s="4" t="s">
        <v>26</v>
      </c>
      <c r="R696" s="4">
        <v>0</v>
      </c>
      <c r="S696" s="4">
        <v>0</v>
      </c>
      <c r="T696" s="4">
        <v>52</v>
      </c>
      <c r="U696" s="4">
        <v>96</v>
      </c>
      <c r="V696" s="6">
        <f>IF(ISERROR(VLOOKUP($S$696,'TAR FIN'!$A$1:$O$115,15,0)),0,VLOOKUP($S$696,'TAR FIN'!$A$1:$O$115,15,0))</f>
        <v>0</v>
      </c>
      <c r="W696" s="6">
        <f>IF(ISERROR(VLOOKUP($T$696,'TAR FIN'!$A$1:$O$115,15,0)),0,VLOOKUP($T$696,'TAR FIN'!$A$1:$O$115,15,0))</f>
        <v>407.97</v>
      </c>
      <c r="X696" s="6">
        <f>IF(ISERROR(VLOOKUP($U$696,'TAR FIN'!$A$1:$O$115,15,0)),0,VLOOKUP($U$696,'TAR FIN'!$A$1:$O$115,15,0))</f>
        <v>155.38999999999999</v>
      </c>
      <c r="Y696" s="6"/>
      <c r="Z696" s="6">
        <f ca="1">('TUSD BE'!$AM$50+'TUSD BF'!$AM$50+'TUSD CVA'!$AM$50)*(1-CUSTOS!$M$38)</f>
        <v>472.08658309095875</v>
      </c>
      <c r="AA696" s="6">
        <f>('TE BE'!$AB$33+'TE BF'!$AB$33+'TE CVA'!$AB$33)*(1-CUSTOS!$M$38)</f>
        <v>216.84105597414842</v>
      </c>
      <c r="AB696" s="6">
        <f t="shared" si="30"/>
        <v>0</v>
      </c>
      <c r="AC696" s="6">
        <f>(L696-M696)*(W696+X696)+($W$330+$X$330-$W$696-$X$696)*(L696)</f>
        <v>2601.509300000002</v>
      </c>
      <c r="AD696" s="6">
        <f t="shared" si="31"/>
        <v>0</v>
      </c>
      <c r="AE696" s="6">
        <f ca="1">(L696-M696)*(Z696+AA696)+($Z$330+$AA$330-$Z$696-$AA$696)*(L696)</f>
        <v>1489.1830529961617</v>
      </c>
      <c r="AF696" s="4" t="s">
        <v>933</v>
      </c>
    </row>
    <row r="697" spans="1:32" ht="11.25" customHeight="1" x14ac:dyDescent="0.25">
      <c r="A697" s="4" t="s">
        <v>30</v>
      </c>
      <c r="B697" s="4" t="s">
        <v>46</v>
      </c>
      <c r="C697" s="4" t="s">
        <v>23</v>
      </c>
      <c r="D697" s="4" t="s">
        <v>47</v>
      </c>
      <c r="E697" s="4" t="s">
        <v>25</v>
      </c>
      <c r="F697" s="4" t="s">
        <v>25</v>
      </c>
      <c r="G697" s="4" t="s">
        <v>25</v>
      </c>
      <c r="H697" s="4" t="s">
        <v>25</v>
      </c>
      <c r="I697" s="5">
        <v>44531</v>
      </c>
      <c r="J697" s="6">
        <v>0</v>
      </c>
      <c r="K697" s="6">
        <v>0</v>
      </c>
      <c r="L697" s="6">
        <v>2.5419999999999998</v>
      </c>
      <c r="M697" s="6">
        <v>2.5419999999999998</v>
      </c>
      <c r="N697" s="6">
        <v>2.5419999999999998</v>
      </c>
      <c r="O697" s="6">
        <v>2.5419999999999998</v>
      </c>
      <c r="P697" s="6">
        <v>0</v>
      </c>
      <c r="Q697" s="4" t="s">
        <v>26</v>
      </c>
      <c r="R697" s="4">
        <v>0</v>
      </c>
      <c r="S697" s="4">
        <v>0</v>
      </c>
      <c r="T697" s="4">
        <v>52</v>
      </c>
      <c r="U697" s="4">
        <v>96</v>
      </c>
      <c r="V697" s="6">
        <f>IF(ISERROR(VLOOKUP($S$697,'TAR FIN'!$A$1:$O$115,15,0)),0,VLOOKUP($S$697,'TAR FIN'!$A$1:$O$115,15,0))</f>
        <v>0</v>
      </c>
      <c r="W697" s="6">
        <f>IF(ISERROR(VLOOKUP($T$697,'TAR FIN'!$A$1:$O$115,15,0)),0,VLOOKUP($T$697,'TAR FIN'!$A$1:$O$115,15,0))</f>
        <v>407.97</v>
      </c>
      <c r="X697" s="6">
        <f>IF(ISERROR(VLOOKUP($U$697,'TAR FIN'!$A$1:$O$115,15,0)),0,VLOOKUP($U$697,'TAR FIN'!$A$1:$O$115,15,0))</f>
        <v>155.38999999999999</v>
      </c>
      <c r="Y697" s="6"/>
      <c r="Z697" s="6">
        <f ca="1">('TUSD BE'!$AM$50+'TUSD BF'!$AM$50+'TUSD CVA'!$AM$50)*(1-CUSTOS!$M$38)</f>
        <v>472.08658309095875</v>
      </c>
      <c r="AA697" s="6">
        <f>('TE BE'!$AB$33+'TE BF'!$AB$33+'TE CVA'!$AB$33)*(1-CUSTOS!$M$38)</f>
        <v>216.84105597414842</v>
      </c>
      <c r="AB697" s="6">
        <f t="shared" si="30"/>
        <v>0</v>
      </c>
      <c r="AC697" s="6">
        <f>(L697-M697)*(W697+X697)+($W$330+$X$330-$W$697-$X$697)*(L697)</f>
        <v>195.27644000000012</v>
      </c>
      <c r="AD697" s="6">
        <f t="shared" si="31"/>
        <v>0</v>
      </c>
      <c r="AE697" s="6">
        <f ca="1">(L697-M697)*(Z697+AA697)+($Z$330+$AA$330-$Z$697-$AA$697)*(L697)</f>
        <v>111.78217394703212</v>
      </c>
      <c r="AF697" s="4" t="s">
        <v>933</v>
      </c>
    </row>
    <row r="698" spans="1:32" ht="11.25" customHeight="1" x14ac:dyDescent="0.25">
      <c r="A698" s="4" t="s">
        <v>21</v>
      </c>
      <c r="B698" s="4" t="s">
        <v>46</v>
      </c>
      <c r="C698" s="4" t="s">
        <v>23</v>
      </c>
      <c r="D698" s="4" t="s">
        <v>47</v>
      </c>
      <c r="E698" s="4" t="s">
        <v>25</v>
      </c>
      <c r="F698" s="4" t="s">
        <v>25</v>
      </c>
      <c r="G698" s="4" t="s">
        <v>25</v>
      </c>
      <c r="H698" s="4" t="s">
        <v>25</v>
      </c>
      <c r="I698" s="5">
        <v>44562</v>
      </c>
      <c r="J698" s="6">
        <v>0</v>
      </c>
      <c r="K698" s="6">
        <v>0</v>
      </c>
      <c r="L698" s="6">
        <v>3887.748</v>
      </c>
      <c r="M698" s="6">
        <v>3887.748</v>
      </c>
      <c r="N698" s="6">
        <v>3887.748</v>
      </c>
      <c r="O698" s="6">
        <v>3887.748</v>
      </c>
      <c r="P698" s="6">
        <v>21159</v>
      </c>
      <c r="Q698" s="4" t="s">
        <v>26</v>
      </c>
      <c r="R698" s="4">
        <v>0</v>
      </c>
      <c r="S698" s="4">
        <v>0</v>
      </c>
      <c r="T698" s="4">
        <v>52</v>
      </c>
      <c r="U698" s="4">
        <v>96</v>
      </c>
      <c r="V698" s="6">
        <f>IF(ISERROR(VLOOKUP($S$698,'TAR FIN'!$A$1:$O$115,15,0)),0,VLOOKUP($S$698,'TAR FIN'!$A$1:$O$115,15,0))</f>
        <v>0</v>
      </c>
      <c r="W698" s="6">
        <f>IF(ISERROR(VLOOKUP($T$698,'TAR FIN'!$A$1:$O$115,15,0)),0,VLOOKUP($T$698,'TAR FIN'!$A$1:$O$115,15,0))</f>
        <v>407.97</v>
      </c>
      <c r="X698" s="6">
        <f>IF(ISERROR(VLOOKUP($U$698,'TAR FIN'!$A$1:$O$115,15,0)),0,VLOOKUP($U$698,'TAR FIN'!$A$1:$O$115,15,0))</f>
        <v>155.38999999999999</v>
      </c>
      <c r="Y698" s="6"/>
      <c r="Z698" s="6">
        <f ca="1">('TUSD BE'!$AM$50+'TUSD BF'!$AM$50+'TUSD CVA'!$AM$50)*(1-CUSTOS!$M$38)</f>
        <v>472.08658309095875</v>
      </c>
      <c r="AA698" s="6">
        <f>('TE BE'!$AB$33+'TE BF'!$AB$33+'TE CVA'!$AB$33)*(1-CUSTOS!$M$38)</f>
        <v>216.84105597414842</v>
      </c>
      <c r="AB698" s="6">
        <f t="shared" si="30"/>
        <v>0</v>
      </c>
      <c r="AC698" s="6">
        <f>(L698-M698)*(W698+X698)+($W$330+$X$330-$W$698-$X$698)*(L698)</f>
        <v>298656.80136000022</v>
      </c>
      <c r="AD698" s="6">
        <f t="shared" si="31"/>
        <v>0</v>
      </c>
      <c r="AE698" s="6">
        <f ca="1">(L698-M698)*(Z698+AA698)+($Z$330+$AA$330-$Z$698-$AA$698)*(L698)</f>
        <v>170960.23729277193</v>
      </c>
      <c r="AF698" s="4" t="s">
        <v>933</v>
      </c>
    </row>
    <row r="699" spans="1:32" ht="11.25" customHeight="1" x14ac:dyDescent="0.25">
      <c r="A699" s="4" t="s">
        <v>27</v>
      </c>
      <c r="B699" s="4" t="s">
        <v>46</v>
      </c>
      <c r="C699" s="4" t="s">
        <v>23</v>
      </c>
      <c r="D699" s="4" t="s">
        <v>47</v>
      </c>
      <c r="E699" s="4" t="s">
        <v>25</v>
      </c>
      <c r="F699" s="4" t="s">
        <v>25</v>
      </c>
      <c r="G699" s="4" t="s">
        <v>25</v>
      </c>
      <c r="H699" s="4" t="s">
        <v>25</v>
      </c>
      <c r="I699" s="5">
        <v>44562</v>
      </c>
      <c r="J699" s="6">
        <v>0</v>
      </c>
      <c r="K699" s="6">
        <v>0</v>
      </c>
      <c r="L699" s="6">
        <v>-23.393999999999998</v>
      </c>
      <c r="M699" s="6">
        <v>-23.393999999999998</v>
      </c>
      <c r="N699" s="6">
        <v>-23.393999999999998</v>
      </c>
      <c r="O699" s="6">
        <v>-23.393999999999998</v>
      </c>
      <c r="P699" s="6">
        <v>-23</v>
      </c>
      <c r="Q699" s="4" t="s">
        <v>26</v>
      </c>
      <c r="R699" s="4">
        <v>0</v>
      </c>
      <c r="S699" s="4">
        <v>0</v>
      </c>
      <c r="T699" s="4">
        <v>52</v>
      </c>
      <c r="U699" s="4">
        <v>96</v>
      </c>
      <c r="V699" s="6">
        <f>IF(ISERROR(VLOOKUP($S$699,'TAR FIN'!$A$1:$O$115,15,0)),0,VLOOKUP($S$699,'TAR FIN'!$A$1:$O$115,15,0))</f>
        <v>0</v>
      </c>
      <c r="W699" s="6">
        <f>IF(ISERROR(VLOOKUP($T$699,'TAR FIN'!$A$1:$O$115,15,0)),0,VLOOKUP($T$699,'TAR FIN'!$A$1:$O$115,15,0))</f>
        <v>407.97</v>
      </c>
      <c r="X699" s="6">
        <f>IF(ISERROR(VLOOKUP($U$699,'TAR FIN'!$A$1:$O$115,15,0)),0,VLOOKUP($U$699,'TAR FIN'!$A$1:$O$115,15,0))</f>
        <v>155.38999999999999</v>
      </c>
      <c r="Y699" s="6"/>
      <c r="Z699" s="6">
        <f ca="1">('TUSD BE'!$AM$50+'TUSD BF'!$AM$50+'TUSD CVA'!$AM$50)*(1-CUSTOS!$M$38)</f>
        <v>472.08658309095875</v>
      </c>
      <c r="AA699" s="6">
        <f>('TE BE'!$AB$33+'TE BF'!$AB$33+'TE CVA'!$AB$33)*(1-CUSTOS!$M$38)</f>
        <v>216.84105597414842</v>
      </c>
      <c r="AB699" s="6">
        <f t="shared" si="30"/>
        <v>0</v>
      </c>
      <c r="AC699" s="6">
        <f>(L699-M699)*(W699+X699)+($W$330+$X$330-$W$699-$X$699)*(L699)</f>
        <v>-1797.1270800000011</v>
      </c>
      <c r="AD699" s="6">
        <f t="shared" si="31"/>
        <v>0</v>
      </c>
      <c r="AE699" s="6">
        <f ca="1">(L699-M699)*(Z699+AA699)+($Z$330+$AA$330-$Z$699-$AA$699)*(L699)</f>
        <v>-1028.7302035078164</v>
      </c>
      <c r="AF699" s="4" t="s">
        <v>933</v>
      </c>
    </row>
    <row r="700" spans="1:32" ht="11.25" customHeight="1" x14ac:dyDescent="0.25">
      <c r="A700" s="4" t="s">
        <v>28</v>
      </c>
      <c r="B700" s="4" t="s">
        <v>46</v>
      </c>
      <c r="C700" s="4" t="s">
        <v>23</v>
      </c>
      <c r="D700" s="4" t="s">
        <v>47</v>
      </c>
      <c r="E700" s="4" t="s">
        <v>25</v>
      </c>
      <c r="F700" s="4" t="s">
        <v>25</v>
      </c>
      <c r="G700" s="4" t="s">
        <v>25</v>
      </c>
      <c r="H700" s="4" t="s">
        <v>25</v>
      </c>
      <c r="I700" s="5">
        <v>44562</v>
      </c>
      <c r="J700" s="6">
        <v>0</v>
      </c>
      <c r="K700" s="6">
        <v>0</v>
      </c>
      <c r="L700" s="6">
        <v>748.86</v>
      </c>
      <c r="M700" s="6">
        <v>748.86</v>
      </c>
      <c r="N700" s="6">
        <v>748.86</v>
      </c>
      <c r="O700" s="6">
        <v>748.86</v>
      </c>
      <c r="P700" s="6">
        <v>4864</v>
      </c>
      <c r="Q700" s="4" t="s">
        <v>26</v>
      </c>
      <c r="R700" s="4">
        <v>0</v>
      </c>
      <c r="S700" s="4">
        <v>0</v>
      </c>
      <c r="T700" s="4">
        <v>52</v>
      </c>
      <c r="U700" s="4">
        <v>96</v>
      </c>
      <c r="V700" s="6">
        <f>IF(ISERROR(VLOOKUP($S$700,'TAR FIN'!$A$1:$O$115,15,0)),0,VLOOKUP($S$700,'TAR FIN'!$A$1:$O$115,15,0))</f>
        <v>0</v>
      </c>
      <c r="W700" s="6">
        <f>IF(ISERROR(VLOOKUP($T$700,'TAR FIN'!$A$1:$O$115,15,0)),0,VLOOKUP($T$700,'TAR FIN'!$A$1:$O$115,15,0))</f>
        <v>407.97</v>
      </c>
      <c r="X700" s="6">
        <f>IF(ISERROR(VLOOKUP($U$700,'TAR FIN'!$A$1:$O$115,15,0)),0,VLOOKUP($U$700,'TAR FIN'!$A$1:$O$115,15,0))</f>
        <v>155.38999999999999</v>
      </c>
      <c r="Y700" s="6"/>
      <c r="Z700" s="6">
        <f ca="1">('TUSD BE'!$AM$50+'TUSD BF'!$AM$50+'TUSD CVA'!$AM$50)*(1-CUSTOS!$M$38)</f>
        <v>472.08658309095875</v>
      </c>
      <c r="AA700" s="6">
        <f>('TE BE'!$AB$33+'TE BF'!$AB$33+'TE CVA'!$AB$33)*(1-CUSTOS!$M$38)</f>
        <v>216.84105597414842</v>
      </c>
      <c r="AB700" s="6">
        <f t="shared" si="30"/>
        <v>0</v>
      </c>
      <c r="AC700" s="6">
        <f>(L700-M700)*(W700+X700)+($W$330+$X$330-$W$700-$X$700)*(L700)</f>
        <v>57527.425200000042</v>
      </c>
      <c r="AD700" s="6">
        <f t="shared" si="31"/>
        <v>0</v>
      </c>
      <c r="AE700" s="6">
        <f ca="1">(L700-M700)*(Z700+AA700)+($Z$330+$AA$330-$Z$700-$AA$700)*(L700)</f>
        <v>32930.447986614665</v>
      </c>
      <c r="AF700" s="4" t="s">
        <v>933</v>
      </c>
    </row>
    <row r="701" spans="1:32" ht="11.25" customHeight="1" x14ac:dyDescent="0.25">
      <c r="A701" s="4" t="s">
        <v>29</v>
      </c>
      <c r="B701" s="4" t="s">
        <v>46</v>
      </c>
      <c r="C701" s="4" t="s">
        <v>23</v>
      </c>
      <c r="D701" s="4" t="s">
        <v>47</v>
      </c>
      <c r="E701" s="4" t="s">
        <v>25</v>
      </c>
      <c r="F701" s="4" t="s">
        <v>25</v>
      </c>
      <c r="G701" s="4" t="s">
        <v>25</v>
      </c>
      <c r="H701" s="4" t="s">
        <v>25</v>
      </c>
      <c r="I701" s="5">
        <v>44562</v>
      </c>
      <c r="J701" s="6">
        <v>0</v>
      </c>
      <c r="K701" s="6">
        <v>0</v>
      </c>
      <c r="L701" s="6">
        <v>-2.786</v>
      </c>
      <c r="M701" s="6">
        <v>-2.786</v>
      </c>
      <c r="N701" s="6">
        <v>-2.786</v>
      </c>
      <c r="O701" s="6">
        <v>-2.786</v>
      </c>
      <c r="P701" s="6">
        <v>-20</v>
      </c>
      <c r="Q701" s="4" t="s">
        <v>26</v>
      </c>
      <c r="R701" s="4">
        <v>0</v>
      </c>
      <c r="S701" s="4">
        <v>0</v>
      </c>
      <c r="T701" s="4">
        <v>52</v>
      </c>
      <c r="U701" s="4">
        <v>96</v>
      </c>
      <c r="V701" s="6">
        <f>IF(ISERROR(VLOOKUP($S$701,'TAR FIN'!$A$1:$O$115,15,0)),0,VLOOKUP($S$701,'TAR FIN'!$A$1:$O$115,15,0))</f>
        <v>0</v>
      </c>
      <c r="W701" s="6">
        <f>IF(ISERROR(VLOOKUP($T$701,'TAR FIN'!$A$1:$O$115,15,0)),0,VLOOKUP($T$701,'TAR FIN'!$A$1:$O$115,15,0))</f>
        <v>407.97</v>
      </c>
      <c r="X701" s="6">
        <f>IF(ISERROR(VLOOKUP($U$701,'TAR FIN'!$A$1:$O$115,15,0)),0,VLOOKUP($U$701,'TAR FIN'!$A$1:$O$115,15,0))</f>
        <v>155.38999999999999</v>
      </c>
      <c r="Y701" s="6"/>
      <c r="Z701" s="6">
        <f ca="1">('TUSD BE'!$AM$50+'TUSD BF'!$AM$50+'TUSD CVA'!$AM$50)*(1-CUSTOS!$M$38)</f>
        <v>472.08658309095875</v>
      </c>
      <c r="AA701" s="6">
        <f>('TE BE'!$AB$33+'TE BF'!$AB$33+'TE CVA'!$AB$33)*(1-CUSTOS!$M$38)</f>
        <v>216.84105597414842</v>
      </c>
      <c r="AB701" s="6">
        <f t="shared" si="30"/>
        <v>0</v>
      </c>
      <c r="AC701" s="6">
        <f>(L701-M701)*(W701+X701)+($W$330+$X$330-$W$701-$X$701)*(L701)</f>
        <v>-214.02052000000015</v>
      </c>
      <c r="AD701" s="6">
        <f t="shared" si="31"/>
        <v>0</v>
      </c>
      <c r="AE701" s="6">
        <f ca="1">(L701-M701)*(Z701+AA701)+($Z$330+$AA$330-$Z$701-$AA$701)*(L701)</f>
        <v>-122.51185547459934</v>
      </c>
      <c r="AF701" s="4" t="s">
        <v>933</v>
      </c>
    </row>
    <row r="702" spans="1:32" ht="11.25" customHeight="1" x14ac:dyDescent="0.25">
      <c r="A702" s="4" t="s">
        <v>30</v>
      </c>
      <c r="B702" s="4" t="s">
        <v>46</v>
      </c>
      <c r="C702" s="4" t="s">
        <v>23</v>
      </c>
      <c r="D702" s="4" t="s">
        <v>47</v>
      </c>
      <c r="E702" s="4" t="s">
        <v>25</v>
      </c>
      <c r="F702" s="4" t="s">
        <v>25</v>
      </c>
      <c r="G702" s="4" t="s">
        <v>25</v>
      </c>
      <c r="H702" s="4" t="s">
        <v>25</v>
      </c>
      <c r="I702" s="5">
        <v>44562</v>
      </c>
      <c r="J702" s="6">
        <v>0</v>
      </c>
      <c r="K702" s="6">
        <v>0</v>
      </c>
      <c r="L702" s="6">
        <v>39.856999999999999</v>
      </c>
      <c r="M702" s="6">
        <v>39.856999999999999</v>
      </c>
      <c r="N702" s="6">
        <v>39.856999999999999</v>
      </c>
      <c r="O702" s="6">
        <v>39.856999999999999</v>
      </c>
      <c r="P702" s="6">
        <v>203</v>
      </c>
      <c r="Q702" s="4" t="s">
        <v>26</v>
      </c>
      <c r="R702" s="4">
        <v>0</v>
      </c>
      <c r="S702" s="4">
        <v>0</v>
      </c>
      <c r="T702" s="4">
        <v>52</v>
      </c>
      <c r="U702" s="4">
        <v>96</v>
      </c>
      <c r="V702" s="6">
        <f>IF(ISERROR(VLOOKUP($S$702,'TAR FIN'!$A$1:$O$115,15,0)),0,VLOOKUP($S$702,'TAR FIN'!$A$1:$O$115,15,0))</f>
        <v>0</v>
      </c>
      <c r="W702" s="6">
        <f>IF(ISERROR(VLOOKUP($T$702,'TAR FIN'!$A$1:$O$115,15,0)),0,VLOOKUP($T$702,'TAR FIN'!$A$1:$O$115,15,0))</f>
        <v>407.97</v>
      </c>
      <c r="X702" s="6">
        <f>IF(ISERROR(VLOOKUP($U$702,'TAR FIN'!$A$1:$O$115,15,0)),0,VLOOKUP($U$702,'TAR FIN'!$A$1:$O$115,15,0))</f>
        <v>155.38999999999999</v>
      </c>
      <c r="Y702" s="6"/>
      <c r="Z702" s="6">
        <f ca="1">('TUSD BE'!$AM$50+'TUSD BF'!$AM$50+'TUSD CVA'!$AM$50)*(1-CUSTOS!$M$38)</f>
        <v>472.08658309095875</v>
      </c>
      <c r="AA702" s="6">
        <f>('TE BE'!$AB$33+'TE BF'!$AB$33+'TE CVA'!$AB$33)*(1-CUSTOS!$M$38)</f>
        <v>216.84105597414842</v>
      </c>
      <c r="AB702" s="6">
        <f t="shared" si="30"/>
        <v>0</v>
      </c>
      <c r="AC702" s="6">
        <f>(L702-M702)*(W702+X702)+($W$330+$X$330-$W$702-$X$702)*(L702)</f>
        <v>3061.8147400000021</v>
      </c>
      <c r="AD702" s="6">
        <f t="shared" si="31"/>
        <v>0</v>
      </c>
      <c r="AE702" s="6">
        <f ca="1">(L702-M702)*(Z702+AA702)+($Z$330+$AA$330-$Z$702-$AA$702)*(L702)</f>
        <v>1752.6758878862547</v>
      </c>
      <c r="AF702" s="4" t="s">
        <v>933</v>
      </c>
    </row>
    <row r="703" spans="1:32" ht="11.25" customHeight="1" x14ac:dyDescent="0.25">
      <c r="A703" s="4" t="s">
        <v>30</v>
      </c>
      <c r="B703" s="4" t="s">
        <v>46</v>
      </c>
      <c r="C703" s="4" t="s">
        <v>23</v>
      </c>
      <c r="D703" s="4" t="s">
        <v>47</v>
      </c>
      <c r="E703" s="4" t="s">
        <v>25</v>
      </c>
      <c r="F703" s="4" t="s">
        <v>25</v>
      </c>
      <c r="G703" s="4" t="s">
        <v>25</v>
      </c>
      <c r="H703" s="4" t="s">
        <v>25</v>
      </c>
      <c r="I703" s="5">
        <v>44562</v>
      </c>
      <c r="J703" s="6">
        <v>0</v>
      </c>
      <c r="K703" s="6">
        <v>0</v>
      </c>
      <c r="L703" s="6">
        <v>-1.012</v>
      </c>
      <c r="M703" s="6">
        <v>-1.012</v>
      </c>
      <c r="N703" s="6">
        <v>-1.012</v>
      </c>
      <c r="O703" s="6">
        <v>-1.012</v>
      </c>
      <c r="P703" s="6">
        <v>0</v>
      </c>
      <c r="Q703" s="4" t="s">
        <v>26</v>
      </c>
      <c r="R703" s="4">
        <v>0</v>
      </c>
      <c r="S703" s="4">
        <v>0</v>
      </c>
      <c r="T703" s="4">
        <v>52</v>
      </c>
      <c r="U703" s="4">
        <v>96</v>
      </c>
      <c r="V703" s="6">
        <f>IF(ISERROR(VLOOKUP($S$703,'TAR FIN'!$A$1:$O$115,15,0)),0,VLOOKUP($S$703,'TAR FIN'!$A$1:$O$115,15,0))</f>
        <v>0</v>
      </c>
      <c r="W703" s="6">
        <f>IF(ISERROR(VLOOKUP($T$703,'TAR FIN'!$A$1:$O$115,15,0)),0,VLOOKUP($T$703,'TAR FIN'!$A$1:$O$115,15,0))</f>
        <v>407.97</v>
      </c>
      <c r="X703" s="6">
        <f>IF(ISERROR(VLOOKUP($U$703,'TAR FIN'!$A$1:$O$115,15,0)),0,VLOOKUP($U$703,'TAR FIN'!$A$1:$O$115,15,0))</f>
        <v>155.38999999999999</v>
      </c>
      <c r="Y703" s="6"/>
      <c r="Z703" s="6">
        <f ca="1">('TUSD BE'!$AM$50+'TUSD BF'!$AM$50+'TUSD CVA'!$AM$50)*(1-CUSTOS!$M$38)</f>
        <v>472.08658309095875</v>
      </c>
      <c r="AA703" s="6">
        <f>('TE BE'!$AB$33+'TE BF'!$AB$33+'TE CVA'!$AB$33)*(1-CUSTOS!$M$38)</f>
        <v>216.84105597414842</v>
      </c>
      <c r="AB703" s="6">
        <f t="shared" si="30"/>
        <v>0</v>
      </c>
      <c r="AC703" s="6">
        <f>(L703-M703)*(W703+X703)+($W$330+$X$330-$W$703-$X$703)*(L703)</f>
        <v>-77.741840000000053</v>
      </c>
      <c r="AD703" s="6">
        <f t="shared" si="31"/>
        <v>0</v>
      </c>
      <c r="AE703" s="6">
        <f ca="1">(L703-M703)*(Z703+AA703)+($Z$330+$AA$330-$Z$703-$AA$703)*(L703)</f>
        <v>-44.501793876631204</v>
      </c>
      <c r="AF703" s="4" t="s">
        <v>933</v>
      </c>
    </row>
    <row r="704" spans="1:32" ht="11.25" customHeight="1" x14ac:dyDescent="0.25">
      <c r="A704" s="4" t="s">
        <v>21</v>
      </c>
      <c r="B704" s="4" t="s">
        <v>46</v>
      </c>
      <c r="C704" s="4" t="s">
        <v>23</v>
      </c>
      <c r="D704" s="4" t="s">
        <v>47</v>
      </c>
      <c r="E704" s="4" t="s">
        <v>25</v>
      </c>
      <c r="F704" s="4" t="s">
        <v>25</v>
      </c>
      <c r="G704" s="4" t="s">
        <v>25</v>
      </c>
      <c r="H704" s="4" t="s">
        <v>25</v>
      </c>
      <c r="I704" s="5">
        <v>44593</v>
      </c>
      <c r="J704" s="6">
        <v>0</v>
      </c>
      <c r="K704" s="6">
        <v>0</v>
      </c>
      <c r="L704" s="6">
        <v>3613.3420000000001</v>
      </c>
      <c r="M704" s="6">
        <v>3613.3420000000001</v>
      </c>
      <c r="N704" s="6">
        <v>3613.3420000000001</v>
      </c>
      <c r="O704" s="6">
        <v>3613.3420000000001</v>
      </c>
      <c r="P704" s="6">
        <v>21006</v>
      </c>
      <c r="Q704" s="4" t="s">
        <v>26</v>
      </c>
      <c r="R704" s="4">
        <v>0</v>
      </c>
      <c r="S704" s="4">
        <v>0</v>
      </c>
      <c r="T704" s="4">
        <v>52</v>
      </c>
      <c r="U704" s="4">
        <v>96</v>
      </c>
      <c r="V704" s="6">
        <f>IF(ISERROR(VLOOKUP($S$704,'TAR FIN'!$A$1:$O$115,15,0)),0,VLOOKUP($S$704,'TAR FIN'!$A$1:$O$115,15,0))</f>
        <v>0</v>
      </c>
      <c r="W704" s="6">
        <f>IF(ISERROR(VLOOKUP($T$704,'TAR FIN'!$A$1:$O$115,15,0)),0,VLOOKUP($T$704,'TAR FIN'!$A$1:$O$115,15,0))</f>
        <v>407.97</v>
      </c>
      <c r="X704" s="6">
        <f>IF(ISERROR(VLOOKUP($U$704,'TAR FIN'!$A$1:$O$115,15,0)),0,VLOOKUP($U$704,'TAR FIN'!$A$1:$O$115,15,0))</f>
        <v>155.38999999999999</v>
      </c>
      <c r="Y704" s="6"/>
      <c r="Z704" s="6">
        <f ca="1">('TUSD BE'!$AM$50+'TUSD BF'!$AM$50+'TUSD CVA'!$AM$50)*(1-CUSTOS!$M$38)</f>
        <v>472.08658309095875</v>
      </c>
      <c r="AA704" s="6">
        <f>('TE BE'!$AB$33+'TE BF'!$AB$33+'TE CVA'!$AB$33)*(1-CUSTOS!$M$38)</f>
        <v>216.84105597414842</v>
      </c>
      <c r="AB704" s="6">
        <f t="shared" si="30"/>
        <v>0</v>
      </c>
      <c r="AC704" s="6">
        <f>(L704-M704)*(W704+X704)+($W$330+$X$330-$W$704-$X$704)*(L704)</f>
        <v>277576.93244000018</v>
      </c>
      <c r="AD704" s="6">
        <f t="shared" si="31"/>
        <v>0</v>
      </c>
      <c r="AE704" s="6">
        <f ca="1">(L704-M704)*(Z704+AA704)+($Z$330+$AA$330-$Z$704-$AA$704)*(L704)</f>
        <v>158893.47914009323</v>
      </c>
      <c r="AF704" s="4" t="s">
        <v>933</v>
      </c>
    </row>
    <row r="705" spans="1:32" ht="11.25" customHeight="1" x14ac:dyDescent="0.25">
      <c r="A705" s="4" t="s">
        <v>27</v>
      </c>
      <c r="B705" s="4" t="s">
        <v>46</v>
      </c>
      <c r="C705" s="4" t="s">
        <v>23</v>
      </c>
      <c r="D705" s="4" t="s">
        <v>47</v>
      </c>
      <c r="E705" s="4" t="s">
        <v>25</v>
      </c>
      <c r="F705" s="4" t="s">
        <v>25</v>
      </c>
      <c r="G705" s="4" t="s">
        <v>25</v>
      </c>
      <c r="H705" s="4" t="s">
        <v>25</v>
      </c>
      <c r="I705" s="5">
        <v>44593</v>
      </c>
      <c r="J705" s="6">
        <v>0</v>
      </c>
      <c r="K705" s="6">
        <v>0</v>
      </c>
      <c r="L705" s="6">
        <v>-33.165999999999997</v>
      </c>
      <c r="M705" s="6">
        <v>-33.165999999999997</v>
      </c>
      <c r="N705" s="6">
        <v>-33.165999999999997</v>
      </c>
      <c r="O705" s="6">
        <v>-33.165999999999997</v>
      </c>
      <c r="P705" s="6">
        <v>-4</v>
      </c>
      <c r="Q705" s="4" t="s">
        <v>26</v>
      </c>
      <c r="R705" s="4">
        <v>0</v>
      </c>
      <c r="S705" s="4">
        <v>0</v>
      </c>
      <c r="T705" s="4">
        <v>52</v>
      </c>
      <c r="U705" s="4">
        <v>96</v>
      </c>
      <c r="V705" s="6">
        <f>IF(ISERROR(VLOOKUP($S$705,'TAR FIN'!$A$1:$O$115,15,0)),0,VLOOKUP($S$705,'TAR FIN'!$A$1:$O$115,15,0))</f>
        <v>0</v>
      </c>
      <c r="W705" s="6">
        <f>IF(ISERROR(VLOOKUP($T$705,'TAR FIN'!$A$1:$O$115,15,0)),0,VLOOKUP($T$705,'TAR FIN'!$A$1:$O$115,15,0))</f>
        <v>407.97</v>
      </c>
      <c r="X705" s="6">
        <f>IF(ISERROR(VLOOKUP($U$705,'TAR FIN'!$A$1:$O$115,15,0)),0,VLOOKUP($U$705,'TAR FIN'!$A$1:$O$115,15,0))</f>
        <v>155.38999999999999</v>
      </c>
      <c r="Y705" s="6"/>
      <c r="Z705" s="6">
        <f ca="1">('TUSD BE'!$AM$50+'TUSD BF'!$AM$50+'TUSD CVA'!$AM$50)*(1-CUSTOS!$M$38)</f>
        <v>472.08658309095875</v>
      </c>
      <c r="AA705" s="6">
        <f>('TE BE'!$AB$33+'TE BF'!$AB$33+'TE CVA'!$AB$33)*(1-CUSTOS!$M$38)</f>
        <v>216.84105597414842</v>
      </c>
      <c r="AB705" s="6">
        <f t="shared" si="30"/>
        <v>0</v>
      </c>
      <c r="AC705" s="6">
        <f>(L705-M705)*(W705+X705)+($W$330+$X$330-$W$705-$X$705)*(L705)</f>
        <v>-2547.8121200000014</v>
      </c>
      <c r="AD705" s="6">
        <f t="shared" si="31"/>
        <v>0</v>
      </c>
      <c r="AE705" s="6">
        <f ca="1">(L705-M705)*(Z705+AA705)+($Z$330+$AA$330-$Z$705-$AA$705)*(L705)</f>
        <v>-1458.4451538659587</v>
      </c>
      <c r="AF705" s="4" t="s">
        <v>933</v>
      </c>
    </row>
    <row r="706" spans="1:32" ht="11.25" customHeight="1" x14ac:dyDescent="0.25">
      <c r="A706" s="4" t="s">
        <v>28</v>
      </c>
      <c r="B706" s="4" t="s">
        <v>46</v>
      </c>
      <c r="C706" s="4" t="s">
        <v>23</v>
      </c>
      <c r="D706" s="4" t="s">
        <v>47</v>
      </c>
      <c r="E706" s="4" t="s">
        <v>25</v>
      </c>
      <c r="F706" s="4" t="s">
        <v>25</v>
      </c>
      <c r="G706" s="4" t="s">
        <v>25</v>
      </c>
      <c r="H706" s="4" t="s">
        <v>25</v>
      </c>
      <c r="I706" s="5">
        <v>44593</v>
      </c>
      <c r="J706" s="6">
        <v>0</v>
      </c>
      <c r="K706" s="6">
        <v>0</v>
      </c>
      <c r="L706" s="6">
        <v>702.58799999999997</v>
      </c>
      <c r="M706" s="6">
        <v>702.58799999999997</v>
      </c>
      <c r="N706" s="6">
        <v>702.58799999999997</v>
      </c>
      <c r="O706" s="6">
        <v>702.58799999999997</v>
      </c>
      <c r="P706" s="6">
        <v>4804</v>
      </c>
      <c r="Q706" s="4" t="s">
        <v>26</v>
      </c>
      <c r="R706" s="4">
        <v>0</v>
      </c>
      <c r="S706" s="4">
        <v>0</v>
      </c>
      <c r="T706" s="4">
        <v>52</v>
      </c>
      <c r="U706" s="4">
        <v>96</v>
      </c>
      <c r="V706" s="6">
        <f>IF(ISERROR(VLOOKUP($S$706,'TAR FIN'!$A$1:$O$115,15,0)),0,VLOOKUP($S$706,'TAR FIN'!$A$1:$O$115,15,0))</f>
        <v>0</v>
      </c>
      <c r="W706" s="6">
        <f>IF(ISERROR(VLOOKUP($T$706,'TAR FIN'!$A$1:$O$115,15,0)),0,VLOOKUP($T$706,'TAR FIN'!$A$1:$O$115,15,0))</f>
        <v>407.97</v>
      </c>
      <c r="X706" s="6">
        <f>IF(ISERROR(VLOOKUP($U$706,'TAR FIN'!$A$1:$O$115,15,0)),0,VLOOKUP($U$706,'TAR FIN'!$A$1:$O$115,15,0))</f>
        <v>155.38999999999999</v>
      </c>
      <c r="Y706" s="6"/>
      <c r="Z706" s="6">
        <f ca="1">('TUSD BE'!$AM$50+'TUSD BF'!$AM$50+'TUSD CVA'!$AM$50)*(1-CUSTOS!$M$38)</f>
        <v>472.08658309095875</v>
      </c>
      <c r="AA706" s="6">
        <f>('TE BE'!$AB$33+'TE BF'!$AB$33+'TE CVA'!$AB$33)*(1-CUSTOS!$M$38)</f>
        <v>216.84105597414842</v>
      </c>
      <c r="AB706" s="6">
        <f t="shared" ref="AB706:AB757" si="32">(J706-K706)*V706</f>
        <v>0</v>
      </c>
      <c r="AC706" s="6">
        <f>(L706-M706)*(W706+X706)+($W$330+$X$330-$W$706-$X$706)*(L706)</f>
        <v>53972.81016000003</v>
      </c>
      <c r="AD706" s="6">
        <f t="shared" ref="AD706:AD757" si="33">(J706-K706)*Y706</f>
        <v>0</v>
      </c>
      <c r="AE706" s="6">
        <f ca="1">(L706-M706)*(Z706+AA706)+($Z$330+$AA$330-$Z$706-$AA$706)*(L706)</f>
        <v>30895.678217583558</v>
      </c>
      <c r="AF706" s="4" t="s">
        <v>933</v>
      </c>
    </row>
    <row r="707" spans="1:32" ht="11.25" customHeight="1" x14ac:dyDescent="0.25">
      <c r="A707" s="4" t="s">
        <v>29</v>
      </c>
      <c r="B707" s="4" t="s">
        <v>46</v>
      </c>
      <c r="C707" s="4" t="s">
        <v>23</v>
      </c>
      <c r="D707" s="4" t="s">
        <v>47</v>
      </c>
      <c r="E707" s="4" t="s">
        <v>25</v>
      </c>
      <c r="F707" s="4" t="s">
        <v>25</v>
      </c>
      <c r="G707" s="4" t="s">
        <v>25</v>
      </c>
      <c r="H707" s="4" t="s">
        <v>25</v>
      </c>
      <c r="I707" s="5">
        <v>44593</v>
      </c>
      <c r="J707" s="6">
        <v>0</v>
      </c>
      <c r="K707" s="6">
        <v>0</v>
      </c>
      <c r="L707" s="6">
        <v>-5.923</v>
      </c>
      <c r="M707" s="6">
        <v>-5.923</v>
      </c>
      <c r="N707" s="6">
        <v>-5.923</v>
      </c>
      <c r="O707" s="6">
        <v>-5.923</v>
      </c>
      <c r="P707" s="6">
        <v>-3</v>
      </c>
      <c r="Q707" s="4" t="s">
        <v>26</v>
      </c>
      <c r="R707" s="4">
        <v>0</v>
      </c>
      <c r="S707" s="4">
        <v>0</v>
      </c>
      <c r="T707" s="4">
        <v>52</v>
      </c>
      <c r="U707" s="4">
        <v>96</v>
      </c>
      <c r="V707" s="6">
        <f>IF(ISERROR(VLOOKUP($S$707,'TAR FIN'!$A$1:$O$115,15,0)),0,VLOOKUP($S$707,'TAR FIN'!$A$1:$O$115,15,0))</f>
        <v>0</v>
      </c>
      <c r="W707" s="6">
        <f>IF(ISERROR(VLOOKUP($T$707,'TAR FIN'!$A$1:$O$115,15,0)),0,VLOOKUP($T$707,'TAR FIN'!$A$1:$O$115,15,0))</f>
        <v>407.97</v>
      </c>
      <c r="X707" s="6">
        <f>IF(ISERROR(VLOOKUP($U$707,'TAR FIN'!$A$1:$O$115,15,0)),0,VLOOKUP($U$707,'TAR FIN'!$A$1:$O$115,15,0))</f>
        <v>155.38999999999999</v>
      </c>
      <c r="Y707" s="6"/>
      <c r="Z707" s="6">
        <f ca="1">('TUSD BE'!$AM$50+'TUSD BF'!$AM$50+'TUSD CVA'!$AM$50)*(1-CUSTOS!$M$38)</f>
        <v>472.08658309095875</v>
      </c>
      <c r="AA707" s="6">
        <f>('TE BE'!$AB$33+'TE BF'!$AB$33+'TE CVA'!$AB$33)*(1-CUSTOS!$M$38)</f>
        <v>216.84105597414842</v>
      </c>
      <c r="AB707" s="6">
        <f t="shared" si="32"/>
        <v>0</v>
      </c>
      <c r="AC707" s="6">
        <f>(L707-M707)*(W707+X707)+($W$330+$X$330-$W$707-$X$707)*(L707)</f>
        <v>-455.00486000000029</v>
      </c>
      <c r="AD707" s="6">
        <f t="shared" si="33"/>
        <v>0</v>
      </c>
      <c r="AE707" s="6">
        <f ca="1">(L707-M707)*(Z707+AA707)+($Z$330+$AA$330-$Z$707-$AA$707)*(L707)</f>
        <v>-260.45862167123181</v>
      </c>
      <c r="AF707" s="4" t="s">
        <v>933</v>
      </c>
    </row>
    <row r="708" spans="1:32" ht="11.25" customHeight="1" x14ac:dyDescent="0.25">
      <c r="A708" s="4" t="s">
        <v>30</v>
      </c>
      <c r="B708" s="4" t="s">
        <v>46</v>
      </c>
      <c r="C708" s="4" t="s">
        <v>23</v>
      </c>
      <c r="D708" s="4" t="s">
        <v>47</v>
      </c>
      <c r="E708" s="4" t="s">
        <v>25</v>
      </c>
      <c r="F708" s="4" t="s">
        <v>25</v>
      </c>
      <c r="G708" s="4" t="s">
        <v>25</v>
      </c>
      <c r="H708" s="4" t="s">
        <v>25</v>
      </c>
      <c r="I708" s="5">
        <v>44593</v>
      </c>
      <c r="J708" s="6">
        <v>0</v>
      </c>
      <c r="K708" s="6">
        <v>0</v>
      </c>
      <c r="L708" s="6">
        <v>36.982999999999997</v>
      </c>
      <c r="M708" s="6">
        <v>36.982999999999997</v>
      </c>
      <c r="N708" s="6">
        <v>36.982999999999997</v>
      </c>
      <c r="O708" s="6">
        <v>36.982999999999997</v>
      </c>
      <c r="P708" s="6">
        <v>217</v>
      </c>
      <c r="Q708" s="4" t="s">
        <v>26</v>
      </c>
      <c r="R708" s="4">
        <v>0</v>
      </c>
      <c r="S708" s="4">
        <v>0</v>
      </c>
      <c r="T708" s="4">
        <v>52</v>
      </c>
      <c r="U708" s="4">
        <v>96</v>
      </c>
      <c r="V708" s="6">
        <f>IF(ISERROR(VLOOKUP($S$708,'TAR FIN'!$A$1:$O$115,15,0)),0,VLOOKUP($S$708,'TAR FIN'!$A$1:$O$115,15,0))</f>
        <v>0</v>
      </c>
      <c r="W708" s="6">
        <f>IF(ISERROR(VLOOKUP($T$708,'TAR FIN'!$A$1:$O$115,15,0)),0,VLOOKUP($T$708,'TAR FIN'!$A$1:$O$115,15,0))</f>
        <v>407.97</v>
      </c>
      <c r="X708" s="6">
        <f>IF(ISERROR(VLOOKUP($U$708,'TAR FIN'!$A$1:$O$115,15,0)),0,VLOOKUP($U$708,'TAR FIN'!$A$1:$O$115,15,0))</f>
        <v>155.38999999999999</v>
      </c>
      <c r="Y708" s="6"/>
      <c r="Z708" s="6">
        <f ca="1">('TUSD BE'!$AM$50+'TUSD BF'!$AM$50+'TUSD CVA'!$AM$50)*(1-CUSTOS!$M$38)</f>
        <v>472.08658309095875</v>
      </c>
      <c r="AA708" s="6">
        <f>('TE BE'!$AB$33+'TE BF'!$AB$33+'TE CVA'!$AB$33)*(1-CUSTOS!$M$38)</f>
        <v>216.84105597414842</v>
      </c>
      <c r="AB708" s="6">
        <f t="shared" si="32"/>
        <v>0</v>
      </c>
      <c r="AC708" s="6">
        <f>(L708-M708)*(W708+X708)+($W$330+$X$330-$W$708-$X$708)*(L708)</f>
        <v>2841.0340600000018</v>
      </c>
      <c r="AD708" s="6">
        <f t="shared" si="33"/>
        <v>0</v>
      </c>
      <c r="AE708" s="6">
        <f ca="1">(L708-M708)*(Z708+AA708)+($Z$330+$AA$330-$Z$708-$AA$708)*(L708)</f>
        <v>1626.2943112049918</v>
      </c>
      <c r="AF708" s="4" t="s">
        <v>933</v>
      </c>
    </row>
    <row r="709" spans="1:32" ht="11.25" customHeight="1" x14ac:dyDescent="0.25">
      <c r="A709" s="4" t="s">
        <v>30</v>
      </c>
      <c r="B709" s="4" t="s">
        <v>46</v>
      </c>
      <c r="C709" s="4" t="s">
        <v>23</v>
      </c>
      <c r="D709" s="4" t="s">
        <v>47</v>
      </c>
      <c r="E709" s="4" t="s">
        <v>25</v>
      </c>
      <c r="F709" s="4" t="s">
        <v>25</v>
      </c>
      <c r="G709" s="4" t="s">
        <v>25</v>
      </c>
      <c r="H709" s="4" t="s">
        <v>25</v>
      </c>
      <c r="I709" s="5">
        <v>44593</v>
      </c>
      <c r="J709" s="6">
        <v>0</v>
      </c>
      <c r="K709" s="6">
        <v>0</v>
      </c>
      <c r="L709" s="6">
        <v>-0.374</v>
      </c>
      <c r="M709" s="6">
        <v>-0.374</v>
      </c>
      <c r="N709" s="6">
        <v>-0.374</v>
      </c>
      <c r="O709" s="6">
        <v>-0.374</v>
      </c>
      <c r="P709" s="6">
        <v>0</v>
      </c>
      <c r="Q709" s="4" t="s">
        <v>26</v>
      </c>
      <c r="R709" s="4">
        <v>0</v>
      </c>
      <c r="S709" s="4">
        <v>0</v>
      </c>
      <c r="T709" s="4">
        <v>52</v>
      </c>
      <c r="U709" s="4">
        <v>96</v>
      </c>
      <c r="V709" s="6">
        <f>IF(ISERROR(VLOOKUP($S$709,'TAR FIN'!$A$1:$O$115,15,0)),0,VLOOKUP($S$709,'TAR FIN'!$A$1:$O$115,15,0))</f>
        <v>0</v>
      </c>
      <c r="W709" s="6">
        <f>IF(ISERROR(VLOOKUP($T$709,'TAR FIN'!$A$1:$O$115,15,0)),0,VLOOKUP($T$709,'TAR FIN'!$A$1:$O$115,15,0))</f>
        <v>407.97</v>
      </c>
      <c r="X709" s="6">
        <f>IF(ISERROR(VLOOKUP($U$709,'TAR FIN'!$A$1:$O$115,15,0)),0,VLOOKUP($U$709,'TAR FIN'!$A$1:$O$115,15,0))</f>
        <v>155.38999999999999</v>
      </c>
      <c r="Y709" s="6"/>
      <c r="Z709" s="6">
        <f ca="1">('TUSD BE'!$AM$50+'TUSD BF'!$AM$50+'TUSD CVA'!$AM$50)*(1-CUSTOS!$M$38)</f>
        <v>472.08658309095875</v>
      </c>
      <c r="AA709" s="6">
        <f>('TE BE'!$AB$33+'TE BF'!$AB$33+'TE CVA'!$AB$33)*(1-CUSTOS!$M$38)</f>
        <v>216.84105597414842</v>
      </c>
      <c r="AB709" s="6">
        <f t="shared" si="32"/>
        <v>0</v>
      </c>
      <c r="AC709" s="6">
        <f>(L709-M709)*(W709+X709)+($W$330+$X$330-$W$709-$X$709)*(L709)</f>
        <v>-28.730680000000017</v>
      </c>
      <c r="AD709" s="6">
        <f t="shared" si="33"/>
        <v>0</v>
      </c>
      <c r="AE709" s="6">
        <f ca="1">(L709-M709)*(Z709+AA709)+($Z$330+$AA$330-$Z$709-$AA$709)*(L709)</f>
        <v>-16.446315128320226</v>
      </c>
      <c r="AF709" s="4" t="s">
        <v>933</v>
      </c>
    </row>
    <row r="710" spans="1:32" ht="11.25" customHeight="1" x14ac:dyDescent="0.25">
      <c r="A710" s="4" t="s">
        <v>21</v>
      </c>
      <c r="B710" s="4" t="s">
        <v>46</v>
      </c>
      <c r="C710" s="4" t="s">
        <v>23</v>
      </c>
      <c r="D710" s="4" t="s">
        <v>47</v>
      </c>
      <c r="E710" s="4" t="s">
        <v>25</v>
      </c>
      <c r="F710" s="4" t="s">
        <v>25</v>
      </c>
      <c r="G710" s="4" t="s">
        <v>25</v>
      </c>
      <c r="H710" s="4" t="s">
        <v>25</v>
      </c>
      <c r="I710" s="5">
        <v>44621</v>
      </c>
      <c r="J710" s="6">
        <v>0</v>
      </c>
      <c r="K710" s="6">
        <v>0</v>
      </c>
      <c r="L710" s="6">
        <v>2898.288</v>
      </c>
      <c r="M710" s="6">
        <v>2898.288</v>
      </c>
      <c r="N710" s="6">
        <v>2898.288</v>
      </c>
      <c r="O710" s="6">
        <v>2898.288</v>
      </c>
      <c r="P710" s="6">
        <v>15380</v>
      </c>
      <c r="Q710" s="4" t="s">
        <v>26</v>
      </c>
      <c r="R710" s="4">
        <v>0</v>
      </c>
      <c r="S710" s="4">
        <v>0</v>
      </c>
      <c r="T710" s="4">
        <v>52</v>
      </c>
      <c r="U710" s="4">
        <v>96</v>
      </c>
      <c r="V710" s="6">
        <f>IF(ISERROR(VLOOKUP($S$710,'TAR FIN'!$A$1:$O$115,15,0)),0,VLOOKUP($S$710,'TAR FIN'!$A$1:$O$115,15,0))</f>
        <v>0</v>
      </c>
      <c r="W710" s="6">
        <f>IF(ISERROR(VLOOKUP($T$710,'TAR FIN'!$A$1:$O$115,15,0)),0,VLOOKUP($T$710,'TAR FIN'!$A$1:$O$115,15,0))</f>
        <v>407.97</v>
      </c>
      <c r="X710" s="6">
        <f>IF(ISERROR(VLOOKUP($U$710,'TAR FIN'!$A$1:$O$115,15,0)),0,VLOOKUP($U$710,'TAR FIN'!$A$1:$O$115,15,0))</f>
        <v>155.38999999999999</v>
      </c>
      <c r="Y710" s="6"/>
      <c r="Z710" s="6">
        <f ca="1">('TUSD BE'!$AM$50+'TUSD BF'!$AM$50+'TUSD CVA'!$AM$50)*(1-CUSTOS!$M$38)</f>
        <v>472.08658309095875</v>
      </c>
      <c r="AA710" s="6">
        <f>('TE BE'!$AB$33+'TE BF'!$AB$33+'TE CVA'!$AB$33)*(1-CUSTOS!$M$38)</f>
        <v>216.84105597414842</v>
      </c>
      <c r="AB710" s="6">
        <f t="shared" si="32"/>
        <v>0</v>
      </c>
      <c r="AC710" s="6">
        <f>(L710-M710)*(W710+X710)+($W$330+$X$330-$W$710-$X$710)*(L710)</f>
        <v>222646.48416000014</v>
      </c>
      <c r="AD710" s="6">
        <f t="shared" si="33"/>
        <v>0</v>
      </c>
      <c r="AE710" s="6">
        <f ca="1">(L710-M710)*(Z710+AA710)+($Z$330+$AA$330-$Z$710-$AA$710)*(L710)</f>
        <v>127449.61973430206</v>
      </c>
      <c r="AF710" s="4" t="s">
        <v>933</v>
      </c>
    </row>
    <row r="711" spans="1:32" ht="11.25" customHeight="1" x14ac:dyDescent="0.25">
      <c r="A711" s="4" t="s">
        <v>27</v>
      </c>
      <c r="B711" s="4" t="s">
        <v>46</v>
      </c>
      <c r="C711" s="4" t="s">
        <v>23</v>
      </c>
      <c r="D711" s="4" t="s">
        <v>47</v>
      </c>
      <c r="E711" s="4" t="s">
        <v>25</v>
      </c>
      <c r="F711" s="4" t="s">
        <v>25</v>
      </c>
      <c r="G711" s="4" t="s">
        <v>25</v>
      </c>
      <c r="H711" s="4" t="s">
        <v>25</v>
      </c>
      <c r="I711" s="5">
        <v>44621</v>
      </c>
      <c r="J711" s="6">
        <v>0</v>
      </c>
      <c r="K711" s="6">
        <v>0</v>
      </c>
      <c r="L711" s="6">
        <v>-52.097000000000001</v>
      </c>
      <c r="M711" s="6">
        <v>-52.097000000000001</v>
      </c>
      <c r="N711" s="6">
        <v>-52.097000000000001</v>
      </c>
      <c r="O711" s="6">
        <v>-52.097000000000001</v>
      </c>
      <c r="P711" s="6">
        <v>-33</v>
      </c>
      <c r="Q711" s="4" t="s">
        <v>26</v>
      </c>
      <c r="R711" s="4">
        <v>0</v>
      </c>
      <c r="S711" s="4">
        <v>0</v>
      </c>
      <c r="T711" s="4">
        <v>52</v>
      </c>
      <c r="U711" s="4">
        <v>96</v>
      </c>
      <c r="V711" s="6">
        <f>IF(ISERROR(VLOOKUP($S$711,'TAR FIN'!$A$1:$O$115,15,0)),0,VLOOKUP($S$711,'TAR FIN'!$A$1:$O$115,15,0))</f>
        <v>0</v>
      </c>
      <c r="W711" s="6">
        <f>IF(ISERROR(VLOOKUP($T$711,'TAR FIN'!$A$1:$O$115,15,0)),0,VLOOKUP($T$711,'TAR FIN'!$A$1:$O$115,15,0))</f>
        <v>407.97</v>
      </c>
      <c r="X711" s="6">
        <f>IF(ISERROR(VLOOKUP($U$711,'TAR FIN'!$A$1:$O$115,15,0)),0,VLOOKUP($U$711,'TAR FIN'!$A$1:$O$115,15,0))</f>
        <v>155.38999999999999</v>
      </c>
      <c r="Y711" s="6"/>
      <c r="Z711" s="6">
        <f ca="1">('TUSD BE'!$AM$50+'TUSD BF'!$AM$50+'TUSD CVA'!$AM$50)*(1-CUSTOS!$M$38)</f>
        <v>472.08658309095875</v>
      </c>
      <c r="AA711" s="6">
        <f>('TE BE'!$AB$33+'TE BF'!$AB$33+'TE CVA'!$AB$33)*(1-CUSTOS!$M$38)</f>
        <v>216.84105597414842</v>
      </c>
      <c r="AB711" s="6">
        <f t="shared" si="32"/>
        <v>0</v>
      </c>
      <c r="AC711" s="6">
        <f>(L711-M711)*(W711+X711)+($W$330+$X$330-$W$711-$X$711)*(L711)</f>
        <v>-4002.0915400000026</v>
      </c>
      <c r="AD711" s="6">
        <f t="shared" si="33"/>
        <v>0</v>
      </c>
      <c r="AE711" s="6">
        <f ca="1">(L711-M711)*(Z711+AA711)+($Z$330+$AA$330-$Z$711-$AA$711)*(L711)</f>
        <v>-2290.9189284494623</v>
      </c>
      <c r="AF711" s="4" t="s">
        <v>933</v>
      </c>
    </row>
    <row r="712" spans="1:32" ht="11.25" customHeight="1" x14ac:dyDescent="0.25">
      <c r="A712" s="4" t="s">
        <v>28</v>
      </c>
      <c r="B712" s="4" t="s">
        <v>46</v>
      </c>
      <c r="C712" s="4" t="s">
        <v>23</v>
      </c>
      <c r="D712" s="4" t="s">
        <v>47</v>
      </c>
      <c r="E712" s="4" t="s">
        <v>25</v>
      </c>
      <c r="F712" s="4" t="s">
        <v>25</v>
      </c>
      <c r="G712" s="4" t="s">
        <v>25</v>
      </c>
      <c r="H712" s="4" t="s">
        <v>25</v>
      </c>
      <c r="I712" s="5">
        <v>44621</v>
      </c>
      <c r="J712" s="6">
        <v>0</v>
      </c>
      <c r="K712" s="6">
        <v>0</v>
      </c>
      <c r="L712" s="6">
        <v>529.798</v>
      </c>
      <c r="M712" s="6">
        <v>529.798</v>
      </c>
      <c r="N712" s="6">
        <v>529.798</v>
      </c>
      <c r="O712" s="6">
        <v>529.798</v>
      </c>
      <c r="P712" s="6">
        <v>3489</v>
      </c>
      <c r="Q712" s="4" t="s">
        <v>26</v>
      </c>
      <c r="R712" s="4">
        <v>0</v>
      </c>
      <c r="S712" s="4">
        <v>0</v>
      </c>
      <c r="T712" s="4">
        <v>52</v>
      </c>
      <c r="U712" s="4">
        <v>96</v>
      </c>
      <c r="V712" s="6">
        <f>IF(ISERROR(VLOOKUP($S$712,'TAR FIN'!$A$1:$O$115,15,0)),0,VLOOKUP($S$712,'TAR FIN'!$A$1:$O$115,15,0))</f>
        <v>0</v>
      </c>
      <c r="W712" s="6">
        <f>IF(ISERROR(VLOOKUP($T$712,'TAR FIN'!$A$1:$O$115,15,0)),0,VLOOKUP($T$712,'TAR FIN'!$A$1:$O$115,15,0))</f>
        <v>407.97</v>
      </c>
      <c r="X712" s="6">
        <f>IF(ISERROR(VLOOKUP($U$712,'TAR FIN'!$A$1:$O$115,15,0)),0,VLOOKUP($U$712,'TAR FIN'!$A$1:$O$115,15,0))</f>
        <v>155.38999999999999</v>
      </c>
      <c r="Y712" s="6"/>
      <c r="Z712" s="6">
        <f ca="1">('TUSD BE'!$AM$50+'TUSD BF'!$AM$50+'TUSD CVA'!$AM$50)*(1-CUSTOS!$M$38)</f>
        <v>472.08658309095875</v>
      </c>
      <c r="AA712" s="6">
        <f>('TE BE'!$AB$33+'TE BF'!$AB$33+'TE CVA'!$AB$33)*(1-CUSTOS!$M$38)</f>
        <v>216.84105597414842</v>
      </c>
      <c r="AB712" s="6">
        <f t="shared" si="32"/>
        <v>0</v>
      </c>
      <c r="AC712" s="6">
        <f>(L712-M712)*(W712+X712)+($W$330+$X$330-$W$712-$X$712)*(L712)</f>
        <v>40699.082360000029</v>
      </c>
      <c r="AD712" s="6">
        <f t="shared" si="33"/>
        <v>0</v>
      </c>
      <c r="AE712" s="6">
        <f ca="1">(L712-M712)*(Z712+AA712)+($Z$330+$AA$330-$Z$712-$AA$712)*(L712)</f>
        <v>23297.392680090372</v>
      </c>
      <c r="AF712" s="4" t="s">
        <v>933</v>
      </c>
    </row>
    <row r="713" spans="1:32" ht="11.25" customHeight="1" x14ac:dyDescent="0.25">
      <c r="A713" s="4" t="s">
        <v>29</v>
      </c>
      <c r="B713" s="4" t="s">
        <v>46</v>
      </c>
      <c r="C713" s="4" t="s">
        <v>23</v>
      </c>
      <c r="D713" s="4" t="s">
        <v>47</v>
      </c>
      <c r="E713" s="4" t="s">
        <v>25</v>
      </c>
      <c r="F713" s="4" t="s">
        <v>25</v>
      </c>
      <c r="G713" s="4" t="s">
        <v>25</v>
      </c>
      <c r="H713" s="4" t="s">
        <v>25</v>
      </c>
      <c r="I713" s="5">
        <v>44621</v>
      </c>
      <c r="J713" s="6">
        <v>0</v>
      </c>
      <c r="K713" s="6">
        <v>0</v>
      </c>
      <c r="L713" s="6">
        <v>-3.395</v>
      </c>
      <c r="M713" s="6">
        <v>-3.395</v>
      </c>
      <c r="N713" s="6">
        <v>-3.395</v>
      </c>
      <c r="O713" s="6">
        <v>-3.395</v>
      </c>
      <c r="P713" s="6">
        <v>0</v>
      </c>
      <c r="Q713" s="4" t="s">
        <v>26</v>
      </c>
      <c r="R713" s="4">
        <v>0</v>
      </c>
      <c r="S713" s="4">
        <v>0</v>
      </c>
      <c r="T713" s="4">
        <v>52</v>
      </c>
      <c r="U713" s="4">
        <v>96</v>
      </c>
      <c r="V713" s="6">
        <f>IF(ISERROR(VLOOKUP($S$713,'TAR FIN'!$A$1:$O$115,15,0)),0,VLOOKUP($S$713,'TAR FIN'!$A$1:$O$115,15,0))</f>
        <v>0</v>
      </c>
      <c r="W713" s="6">
        <f>IF(ISERROR(VLOOKUP($T$713,'TAR FIN'!$A$1:$O$115,15,0)),0,VLOOKUP($T$713,'TAR FIN'!$A$1:$O$115,15,0))</f>
        <v>407.97</v>
      </c>
      <c r="X713" s="6">
        <f>IF(ISERROR(VLOOKUP($U$713,'TAR FIN'!$A$1:$O$115,15,0)),0,VLOOKUP($U$713,'TAR FIN'!$A$1:$O$115,15,0))</f>
        <v>155.38999999999999</v>
      </c>
      <c r="Y713" s="6"/>
      <c r="Z713" s="6">
        <f ca="1">('TUSD BE'!$AM$50+'TUSD BF'!$AM$50+'TUSD CVA'!$AM$50)*(1-CUSTOS!$M$38)</f>
        <v>472.08658309095875</v>
      </c>
      <c r="AA713" s="6">
        <f>('TE BE'!$AB$33+'TE BF'!$AB$33+'TE CVA'!$AB$33)*(1-CUSTOS!$M$38)</f>
        <v>216.84105597414842</v>
      </c>
      <c r="AB713" s="6">
        <f t="shared" si="32"/>
        <v>0</v>
      </c>
      <c r="AC713" s="6">
        <f>(L713-M713)*(W713+X713)+($W$330+$X$330-$W$713-$X$713)*(L713)</f>
        <v>-260.80390000000017</v>
      </c>
      <c r="AD713" s="6">
        <f t="shared" si="33"/>
        <v>0</v>
      </c>
      <c r="AE713" s="6">
        <f ca="1">(L713-M713)*(Z713+AA713)+($Z$330+$AA$330-$Z$713-$AA$713)*(L713)</f>
        <v>-149.29208518889618</v>
      </c>
      <c r="AF713" s="4" t="s">
        <v>933</v>
      </c>
    </row>
    <row r="714" spans="1:32" ht="11.25" customHeight="1" x14ac:dyDescent="0.25">
      <c r="A714" s="4" t="s">
        <v>30</v>
      </c>
      <c r="B714" s="4" t="s">
        <v>46</v>
      </c>
      <c r="C714" s="4" t="s">
        <v>23</v>
      </c>
      <c r="D714" s="4" t="s">
        <v>47</v>
      </c>
      <c r="E714" s="4" t="s">
        <v>25</v>
      </c>
      <c r="F714" s="4" t="s">
        <v>25</v>
      </c>
      <c r="G714" s="4" t="s">
        <v>25</v>
      </c>
      <c r="H714" s="4" t="s">
        <v>25</v>
      </c>
      <c r="I714" s="5">
        <v>44621</v>
      </c>
      <c r="J714" s="6">
        <v>0</v>
      </c>
      <c r="K714" s="6">
        <v>0</v>
      </c>
      <c r="L714" s="6">
        <v>41.938000000000002</v>
      </c>
      <c r="M714" s="6">
        <v>41.938000000000002</v>
      </c>
      <c r="N714" s="6">
        <v>41.938000000000002</v>
      </c>
      <c r="O714" s="6">
        <v>41.938000000000002</v>
      </c>
      <c r="P714" s="6">
        <v>218</v>
      </c>
      <c r="Q714" s="4" t="s">
        <v>26</v>
      </c>
      <c r="R714" s="4">
        <v>0</v>
      </c>
      <c r="S714" s="4">
        <v>0</v>
      </c>
      <c r="T714" s="4">
        <v>52</v>
      </c>
      <c r="U714" s="4">
        <v>96</v>
      </c>
      <c r="V714" s="6">
        <f>IF(ISERROR(VLOOKUP($S$714,'TAR FIN'!$A$1:$O$115,15,0)),0,VLOOKUP($S$714,'TAR FIN'!$A$1:$O$115,15,0))</f>
        <v>0</v>
      </c>
      <c r="W714" s="6">
        <f>IF(ISERROR(VLOOKUP($T$714,'TAR FIN'!$A$1:$O$115,15,0)),0,VLOOKUP($T$714,'TAR FIN'!$A$1:$O$115,15,0))</f>
        <v>407.97</v>
      </c>
      <c r="X714" s="6">
        <f>IF(ISERROR(VLOOKUP($U$714,'TAR FIN'!$A$1:$O$115,15,0)),0,VLOOKUP($U$714,'TAR FIN'!$A$1:$O$115,15,0))</f>
        <v>155.38999999999999</v>
      </c>
      <c r="Y714" s="6"/>
      <c r="Z714" s="6">
        <f ca="1">('TUSD BE'!$AM$50+'TUSD BF'!$AM$50+'TUSD CVA'!$AM$50)*(1-CUSTOS!$M$38)</f>
        <v>472.08658309095875</v>
      </c>
      <c r="AA714" s="6">
        <f>('TE BE'!$AB$33+'TE BF'!$AB$33+'TE CVA'!$AB$33)*(1-CUSTOS!$M$38)</f>
        <v>216.84105597414842</v>
      </c>
      <c r="AB714" s="6">
        <f t="shared" si="32"/>
        <v>0</v>
      </c>
      <c r="AC714" s="6">
        <f>(L714-M714)*(W714+X714)+($W$330+$X$330-$W$714-$X$714)*(L714)</f>
        <v>3221.6771600000025</v>
      </c>
      <c r="AD714" s="6">
        <f t="shared" si="33"/>
        <v>0</v>
      </c>
      <c r="AE714" s="6">
        <f ca="1">(L714-M714)*(Z714+AA714)+($Z$330+$AA$330-$Z$714-$AA$714)*(L714)</f>
        <v>1844.1859996029243</v>
      </c>
      <c r="AF714" s="4" t="s">
        <v>933</v>
      </c>
    </row>
    <row r="715" spans="1:32" ht="11.25" customHeight="1" x14ac:dyDescent="0.25">
      <c r="A715" s="4" t="s">
        <v>30</v>
      </c>
      <c r="B715" s="4" t="s">
        <v>46</v>
      </c>
      <c r="C715" s="4" t="s">
        <v>23</v>
      </c>
      <c r="D715" s="4" t="s">
        <v>47</v>
      </c>
      <c r="E715" s="4" t="s">
        <v>25</v>
      </c>
      <c r="F715" s="4" t="s">
        <v>25</v>
      </c>
      <c r="G715" s="4" t="s">
        <v>25</v>
      </c>
      <c r="H715" s="4" t="s">
        <v>25</v>
      </c>
      <c r="I715" s="5">
        <v>44621</v>
      </c>
      <c r="J715" s="6">
        <v>0</v>
      </c>
      <c r="K715" s="6">
        <v>0</v>
      </c>
      <c r="L715" s="6">
        <v>-9.4E-2</v>
      </c>
      <c r="M715" s="6">
        <v>-9.4E-2</v>
      </c>
      <c r="N715" s="6">
        <v>-9.4E-2</v>
      </c>
      <c r="O715" s="6">
        <v>-9.4E-2</v>
      </c>
      <c r="P715" s="6">
        <v>0</v>
      </c>
      <c r="Q715" s="4" t="s">
        <v>26</v>
      </c>
      <c r="R715" s="4">
        <v>0</v>
      </c>
      <c r="S715" s="4">
        <v>0</v>
      </c>
      <c r="T715" s="4">
        <v>52</v>
      </c>
      <c r="U715" s="4">
        <v>96</v>
      </c>
      <c r="V715" s="6">
        <f>IF(ISERROR(VLOOKUP($S$715,'TAR FIN'!$A$1:$O$115,15,0)),0,VLOOKUP($S$715,'TAR FIN'!$A$1:$O$115,15,0))</f>
        <v>0</v>
      </c>
      <c r="W715" s="6">
        <f>IF(ISERROR(VLOOKUP($T$715,'TAR FIN'!$A$1:$O$115,15,0)),0,VLOOKUP($T$715,'TAR FIN'!$A$1:$O$115,15,0))</f>
        <v>407.97</v>
      </c>
      <c r="X715" s="6">
        <f>IF(ISERROR(VLOOKUP($U$715,'TAR FIN'!$A$1:$O$115,15,0)),0,VLOOKUP($U$715,'TAR FIN'!$A$1:$O$115,15,0))</f>
        <v>155.38999999999999</v>
      </c>
      <c r="Y715" s="6"/>
      <c r="Z715" s="6">
        <f ca="1">('TUSD BE'!$AM$50+'TUSD BF'!$AM$50+'TUSD CVA'!$AM$50)*(1-CUSTOS!$M$38)</f>
        <v>472.08658309095875</v>
      </c>
      <c r="AA715" s="6">
        <f>('TE BE'!$AB$33+'TE BF'!$AB$33+'TE CVA'!$AB$33)*(1-CUSTOS!$M$38)</f>
        <v>216.84105597414842</v>
      </c>
      <c r="AB715" s="6">
        <f t="shared" si="32"/>
        <v>0</v>
      </c>
      <c r="AC715" s="6">
        <f>(L715-M715)*(W715+X715)+($W$330+$X$330-$W$715-$X$715)*(L715)</f>
        <v>-7.2210800000000051</v>
      </c>
      <c r="AD715" s="6">
        <f t="shared" si="33"/>
        <v>0</v>
      </c>
      <c r="AE715" s="6">
        <f ca="1">(L715-M715)*(Z715+AA715)+($Z$330+$AA$330-$Z$715-$AA$715)*(L715)</f>
        <v>-4.1335658343906454</v>
      </c>
      <c r="AF715" s="4" t="s">
        <v>933</v>
      </c>
    </row>
    <row r="716" spans="1:32" ht="11.25" customHeight="1" x14ac:dyDescent="0.25">
      <c r="A716" s="4" t="s">
        <v>21</v>
      </c>
      <c r="B716" s="4" t="s">
        <v>46</v>
      </c>
      <c r="C716" s="4" t="s">
        <v>23</v>
      </c>
      <c r="D716" s="4" t="s">
        <v>47</v>
      </c>
      <c r="E716" s="4" t="s">
        <v>25</v>
      </c>
      <c r="F716" s="4" t="s">
        <v>25</v>
      </c>
      <c r="G716" s="4" t="s">
        <v>25</v>
      </c>
      <c r="H716" s="4" t="s">
        <v>25</v>
      </c>
      <c r="I716" s="5">
        <v>44652</v>
      </c>
      <c r="J716" s="6">
        <v>0</v>
      </c>
      <c r="K716" s="6">
        <v>0</v>
      </c>
      <c r="L716" s="6">
        <v>2877.9259999999999</v>
      </c>
      <c r="M716" s="6">
        <v>2877.9259999999999</v>
      </c>
      <c r="N716" s="6">
        <v>2877.9259999999999</v>
      </c>
      <c r="O716" s="6">
        <v>2877.9259999999999</v>
      </c>
      <c r="P716" s="6">
        <v>15383</v>
      </c>
      <c r="Q716" s="4" t="s">
        <v>26</v>
      </c>
      <c r="R716" s="4">
        <v>0</v>
      </c>
      <c r="S716" s="4">
        <v>0</v>
      </c>
      <c r="T716" s="4">
        <v>52</v>
      </c>
      <c r="U716" s="4">
        <v>96</v>
      </c>
      <c r="V716" s="6">
        <f>IF(ISERROR(VLOOKUP($S$716,'TAR FIN'!$A$1:$O$115,15,0)),0,VLOOKUP($S$716,'TAR FIN'!$A$1:$O$115,15,0))</f>
        <v>0</v>
      </c>
      <c r="W716" s="6">
        <f>IF(ISERROR(VLOOKUP($T$716,'TAR FIN'!$A$1:$O$115,15,0)),0,VLOOKUP($T$716,'TAR FIN'!$A$1:$O$115,15,0))</f>
        <v>407.97</v>
      </c>
      <c r="X716" s="6">
        <f>IF(ISERROR(VLOOKUP($U$716,'TAR FIN'!$A$1:$O$115,15,0)),0,VLOOKUP($U$716,'TAR FIN'!$A$1:$O$115,15,0))</f>
        <v>155.38999999999999</v>
      </c>
      <c r="Y716" s="6"/>
      <c r="Z716" s="6">
        <f ca="1">('TUSD BE'!$AM$50+'TUSD BF'!$AM$50+'TUSD CVA'!$AM$50)*(1-CUSTOS!$M$38)</f>
        <v>472.08658309095875</v>
      </c>
      <c r="AA716" s="6">
        <f>('TE BE'!$AB$33+'TE BF'!$AB$33+'TE CVA'!$AB$33)*(1-CUSTOS!$M$38)</f>
        <v>216.84105597414842</v>
      </c>
      <c r="AB716" s="6">
        <f t="shared" si="32"/>
        <v>0</v>
      </c>
      <c r="AC716" s="6">
        <f>(L716-M716)*(W716+X716)+($W$330+$X$330-$W$716-$X$716)*(L716)</f>
        <v>221082.27532000013</v>
      </c>
      <c r="AD716" s="6">
        <f t="shared" si="33"/>
        <v>0</v>
      </c>
      <c r="AE716" s="6">
        <f ca="1">(L716-M716)*(Z716+AA716)+($Z$330+$AA$330-$Z$716-$AA$716)*(L716)</f>
        <v>126554.21901600565</v>
      </c>
      <c r="AF716" s="4" t="s">
        <v>933</v>
      </c>
    </row>
    <row r="717" spans="1:32" ht="11.25" customHeight="1" x14ac:dyDescent="0.25">
      <c r="A717" s="4" t="s">
        <v>27</v>
      </c>
      <c r="B717" s="4" t="s">
        <v>46</v>
      </c>
      <c r="C717" s="4" t="s">
        <v>23</v>
      </c>
      <c r="D717" s="4" t="s">
        <v>47</v>
      </c>
      <c r="E717" s="4" t="s">
        <v>25</v>
      </c>
      <c r="F717" s="4" t="s">
        <v>25</v>
      </c>
      <c r="G717" s="4" t="s">
        <v>25</v>
      </c>
      <c r="H717" s="4" t="s">
        <v>25</v>
      </c>
      <c r="I717" s="5">
        <v>44652</v>
      </c>
      <c r="J717" s="6">
        <v>0</v>
      </c>
      <c r="K717" s="6">
        <v>0</v>
      </c>
      <c r="L717" s="6">
        <v>-9.7509999999999994</v>
      </c>
      <c r="M717" s="6">
        <v>-9.7509999999999994</v>
      </c>
      <c r="N717" s="6">
        <v>-9.7509999999999994</v>
      </c>
      <c r="O717" s="6">
        <v>-9.7509999999999994</v>
      </c>
      <c r="P717" s="6">
        <v>-4</v>
      </c>
      <c r="Q717" s="4" t="s">
        <v>26</v>
      </c>
      <c r="R717" s="4">
        <v>0</v>
      </c>
      <c r="S717" s="4">
        <v>0</v>
      </c>
      <c r="T717" s="4">
        <v>52</v>
      </c>
      <c r="U717" s="4">
        <v>96</v>
      </c>
      <c r="V717" s="6">
        <f>IF(ISERROR(VLOOKUP($S$717,'TAR FIN'!$A$1:$O$115,15,0)),0,VLOOKUP($S$717,'TAR FIN'!$A$1:$O$115,15,0))</f>
        <v>0</v>
      </c>
      <c r="W717" s="6">
        <f>IF(ISERROR(VLOOKUP($T$717,'TAR FIN'!$A$1:$O$115,15,0)),0,VLOOKUP($T$717,'TAR FIN'!$A$1:$O$115,15,0))</f>
        <v>407.97</v>
      </c>
      <c r="X717" s="6">
        <f>IF(ISERROR(VLOOKUP($U$717,'TAR FIN'!$A$1:$O$115,15,0)),0,VLOOKUP($U$717,'TAR FIN'!$A$1:$O$115,15,0))</f>
        <v>155.38999999999999</v>
      </c>
      <c r="Y717" s="6"/>
      <c r="Z717" s="6">
        <f ca="1">('TUSD BE'!$AM$50+'TUSD BF'!$AM$50+'TUSD CVA'!$AM$50)*(1-CUSTOS!$M$38)</f>
        <v>472.08658309095875</v>
      </c>
      <c r="AA717" s="6">
        <f>('TE BE'!$AB$33+'TE BF'!$AB$33+'TE CVA'!$AB$33)*(1-CUSTOS!$M$38)</f>
        <v>216.84105597414842</v>
      </c>
      <c r="AB717" s="6">
        <f t="shared" si="32"/>
        <v>0</v>
      </c>
      <c r="AC717" s="6">
        <f>(L717-M717)*(W717+X717)+($W$330+$X$330-$W$717-$X$717)*(L717)</f>
        <v>-749.07182000000046</v>
      </c>
      <c r="AD717" s="6">
        <f t="shared" si="33"/>
        <v>0</v>
      </c>
      <c r="AE717" s="6">
        <f ca="1">(L717-M717)*(Z717+AA717)+($Z$330+$AA$330-$Z$717-$AA$717)*(L717)</f>
        <v>-428.79149416109766</v>
      </c>
      <c r="AF717" s="4" t="s">
        <v>933</v>
      </c>
    </row>
    <row r="718" spans="1:32" ht="11.25" customHeight="1" x14ac:dyDescent="0.25">
      <c r="A718" s="4" t="s">
        <v>28</v>
      </c>
      <c r="B718" s="4" t="s">
        <v>46</v>
      </c>
      <c r="C718" s="4" t="s">
        <v>23</v>
      </c>
      <c r="D718" s="4" t="s">
        <v>47</v>
      </c>
      <c r="E718" s="4" t="s">
        <v>25</v>
      </c>
      <c r="F718" s="4" t="s">
        <v>25</v>
      </c>
      <c r="G718" s="4" t="s">
        <v>25</v>
      </c>
      <c r="H718" s="4" t="s">
        <v>25</v>
      </c>
      <c r="I718" s="5">
        <v>44652</v>
      </c>
      <c r="J718" s="6">
        <v>0</v>
      </c>
      <c r="K718" s="6">
        <v>0</v>
      </c>
      <c r="L718" s="6">
        <v>526.774</v>
      </c>
      <c r="M718" s="6">
        <v>526.774</v>
      </c>
      <c r="N718" s="6">
        <v>526.774</v>
      </c>
      <c r="O718" s="6">
        <v>526.774</v>
      </c>
      <c r="P718" s="6">
        <v>3478</v>
      </c>
      <c r="Q718" s="4" t="s">
        <v>26</v>
      </c>
      <c r="R718" s="4">
        <v>0</v>
      </c>
      <c r="S718" s="4">
        <v>0</v>
      </c>
      <c r="T718" s="4">
        <v>52</v>
      </c>
      <c r="U718" s="4">
        <v>96</v>
      </c>
      <c r="V718" s="6">
        <f>IF(ISERROR(VLOOKUP($S$718,'TAR FIN'!$A$1:$O$115,15,0)),0,VLOOKUP($S$718,'TAR FIN'!$A$1:$O$115,15,0))</f>
        <v>0</v>
      </c>
      <c r="W718" s="6">
        <f>IF(ISERROR(VLOOKUP($T$718,'TAR FIN'!$A$1:$O$115,15,0)),0,VLOOKUP($T$718,'TAR FIN'!$A$1:$O$115,15,0))</f>
        <v>407.97</v>
      </c>
      <c r="X718" s="6">
        <f>IF(ISERROR(VLOOKUP($U$718,'TAR FIN'!$A$1:$O$115,15,0)),0,VLOOKUP($U$718,'TAR FIN'!$A$1:$O$115,15,0))</f>
        <v>155.38999999999999</v>
      </c>
      <c r="Y718" s="6"/>
      <c r="Z718" s="6">
        <f ca="1">('TUSD BE'!$AM$50+'TUSD BF'!$AM$50+'TUSD CVA'!$AM$50)*(1-CUSTOS!$M$38)</f>
        <v>472.08658309095875</v>
      </c>
      <c r="AA718" s="6">
        <f>('TE BE'!$AB$33+'TE BF'!$AB$33+'TE CVA'!$AB$33)*(1-CUSTOS!$M$38)</f>
        <v>216.84105597414842</v>
      </c>
      <c r="AB718" s="6">
        <f t="shared" si="32"/>
        <v>0</v>
      </c>
      <c r="AC718" s="6">
        <f>(L718-M718)*(W718+X718)+($W$330+$X$330-$W$718-$X$718)*(L718)</f>
        <v>40466.778680000025</v>
      </c>
      <c r="AD718" s="6">
        <f t="shared" si="33"/>
        <v>0</v>
      </c>
      <c r="AE718" s="6">
        <f ca="1">(L718-M718)*(Z718+AA718)+($Z$330+$AA$330-$Z$718-$AA$718)*(L718)</f>
        <v>23164.414987715933</v>
      </c>
      <c r="AF718" s="4" t="s">
        <v>933</v>
      </c>
    </row>
    <row r="719" spans="1:32" ht="11.25" customHeight="1" x14ac:dyDescent="0.25">
      <c r="A719" s="4" t="s">
        <v>30</v>
      </c>
      <c r="B719" s="4" t="s">
        <v>46</v>
      </c>
      <c r="C719" s="4" t="s">
        <v>23</v>
      </c>
      <c r="D719" s="4" t="s">
        <v>47</v>
      </c>
      <c r="E719" s="4" t="s">
        <v>25</v>
      </c>
      <c r="F719" s="4" t="s">
        <v>25</v>
      </c>
      <c r="G719" s="4" t="s">
        <v>25</v>
      </c>
      <c r="H719" s="4" t="s">
        <v>25</v>
      </c>
      <c r="I719" s="5">
        <v>44652</v>
      </c>
      <c r="J719" s="6">
        <v>0</v>
      </c>
      <c r="K719" s="6">
        <v>0</v>
      </c>
      <c r="L719" s="6">
        <v>48.956000000000003</v>
      </c>
      <c r="M719" s="6">
        <v>48.956000000000003</v>
      </c>
      <c r="N719" s="6">
        <v>48.956000000000003</v>
      </c>
      <c r="O719" s="6">
        <v>48.956000000000003</v>
      </c>
      <c r="P719" s="6">
        <v>231</v>
      </c>
      <c r="Q719" s="4" t="s">
        <v>26</v>
      </c>
      <c r="R719" s="4">
        <v>0</v>
      </c>
      <c r="S719" s="4">
        <v>0</v>
      </c>
      <c r="T719" s="4">
        <v>52</v>
      </c>
      <c r="U719" s="4">
        <v>96</v>
      </c>
      <c r="V719" s="6">
        <f>IF(ISERROR(VLOOKUP($S$719,'TAR FIN'!$A$1:$O$115,15,0)),0,VLOOKUP($S$719,'TAR FIN'!$A$1:$O$115,15,0))</f>
        <v>0</v>
      </c>
      <c r="W719" s="6">
        <f>IF(ISERROR(VLOOKUP($T$719,'TAR FIN'!$A$1:$O$115,15,0)),0,VLOOKUP($T$719,'TAR FIN'!$A$1:$O$115,15,0))</f>
        <v>407.97</v>
      </c>
      <c r="X719" s="6">
        <f>IF(ISERROR(VLOOKUP($U$719,'TAR FIN'!$A$1:$O$115,15,0)),0,VLOOKUP($U$719,'TAR FIN'!$A$1:$O$115,15,0))</f>
        <v>155.38999999999999</v>
      </c>
      <c r="Y719" s="6"/>
      <c r="Z719" s="6">
        <f ca="1">('TUSD BE'!$AM$50+'TUSD BF'!$AM$50+'TUSD CVA'!$AM$50)*(1-CUSTOS!$M$38)</f>
        <v>472.08658309095875</v>
      </c>
      <c r="AA719" s="6">
        <f>('TE BE'!$AB$33+'TE BF'!$AB$33+'TE CVA'!$AB$33)*(1-CUSTOS!$M$38)</f>
        <v>216.84105597414842</v>
      </c>
      <c r="AB719" s="6">
        <f t="shared" si="32"/>
        <v>0</v>
      </c>
      <c r="AC719" s="6">
        <f>(L719-M719)*(W719+X719)+($W$330+$X$330-$W$719-$X$719)*(L719)</f>
        <v>3760.7999200000027</v>
      </c>
      <c r="AD719" s="6">
        <f t="shared" si="33"/>
        <v>0</v>
      </c>
      <c r="AE719" s="6">
        <f ca="1">(L719-M719)*(Z719+AA719)+($Z$330+$AA$330-$Z$719-$AA$719)*(L719)</f>
        <v>2152.7962658343449</v>
      </c>
      <c r="AF719" s="4" t="s">
        <v>933</v>
      </c>
    </row>
    <row r="720" spans="1:32" ht="11.25" customHeight="1" x14ac:dyDescent="0.25">
      <c r="A720" s="4" t="s">
        <v>30</v>
      </c>
      <c r="B720" s="4" t="s">
        <v>46</v>
      </c>
      <c r="C720" s="4" t="s">
        <v>23</v>
      </c>
      <c r="D720" s="4" t="s">
        <v>47</v>
      </c>
      <c r="E720" s="4" t="s">
        <v>25</v>
      </c>
      <c r="F720" s="4" t="s">
        <v>25</v>
      </c>
      <c r="G720" s="4" t="s">
        <v>25</v>
      </c>
      <c r="H720" s="4" t="s">
        <v>25</v>
      </c>
      <c r="I720" s="5">
        <v>44652</v>
      </c>
      <c r="J720" s="6">
        <v>0</v>
      </c>
      <c r="K720" s="6">
        <v>0</v>
      </c>
      <c r="L720" s="6">
        <v>-0.71</v>
      </c>
      <c r="M720" s="6">
        <v>-0.71</v>
      </c>
      <c r="N720" s="6">
        <v>-0.71</v>
      </c>
      <c r="O720" s="6">
        <v>-0.71</v>
      </c>
      <c r="P720" s="6">
        <v>0</v>
      </c>
      <c r="Q720" s="4" t="s">
        <v>26</v>
      </c>
      <c r="R720" s="4">
        <v>0</v>
      </c>
      <c r="S720" s="4">
        <v>0</v>
      </c>
      <c r="T720" s="4">
        <v>52</v>
      </c>
      <c r="U720" s="4">
        <v>96</v>
      </c>
      <c r="V720" s="6">
        <f>IF(ISERROR(VLOOKUP($S$720,'TAR FIN'!$A$1:$O$115,15,0)),0,VLOOKUP($S$720,'TAR FIN'!$A$1:$O$115,15,0))</f>
        <v>0</v>
      </c>
      <c r="W720" s="6">
        <f>IF(ISERROR(VLOOKUP($T$720,'TAR FIN'!$A$1:$O$115,15,0)),0,VLOOKUP($T$720,'TAR FIN'!$A$1:$O$115,15,0))</f>
        <v>407.97</v>
      </c>
      <c r="X720" s="6">
        <f>IF(ISERROR(VLOOKUP($U$720,'TAR FIN'!$A$1:$O$115,15,0)),0,VLOOKUP($U$720,'TAR FIN'!$A$1:$O$115,15,0))</f>
        <v>155.38999999999999</v>
      </c>
      <c r="Y720" s="6"/>
      <c r="Z720" s="6">
        <f ca="1">('TUSD BE'!$AM$50+'TUSD BF'!$AM$50+'TUSD CVA'!$AM$50)*(1-CUSTOS!$M$38)</f>
        <v>472.08658309095875</v>
      </c>
      <c r="AA720" s="6">
        <f>('TE BE'!$AB$33+'TE BF'!$AB$33+'TE CVA'!$AB$33)*(1-CUSTOS!$M$38)</f>
        <v>216.84105597414842</v>
      </c>
      <c r="AB720" s="6">
        <f t="shared" si="32"/>
        <v>0</v>
      </c>
      <c r="AC720" s="6">
        <f>(L720-M720)*(W720+X720)+($W$330+$X$330-$W$720-$X$720)*(L720)</f>
        <v>-54.54220000000003</v>
      </c>
      <c r="AD720" s="6">
        <f t="shared" si="33"/>
        <v>0</v>
      </c>
      <c r="AE720" s="6">
        <f ca="1">(L720-M720)*(Z720+AA720)+($Z$330+$AA$330-$Z$720-$AA$720)*(L720)</f>
        <v>-31.221614281035723</v>
      </c>
      <c r="AF720" s="4" t="s">
        <v>933</v>
      </c>
    </row>
    <row r="721" spans="1:32" ht="11.25" customHeight="1" x14ac:dyDescent="0.25">
      <c r="A721" s="4" t="s">
        <v>21</v>
      </c>
      <c r="B721" s="4" t="s">
        <v>46</v>
      </c>
      <c r="C721" s="4" t="s">
        <v>23</v>
      </c>
      <c r="D721" s="4" t="s">
        <v>47</v>
      </c>
      <c r="E721" s="4" t="s">
        <v>25</v>
      </c>
      <c r="F721" s="4" t="s">
        <v>25</v>
      </c>
      <c r="G721" s="4" t="s">
        <v>25</v>
      </c>
      <c r="H721" s="4" t="s">
        <v>25</v>
      </c>
      <c r="I721" s="5">
        <v>44682</v>
      </c>
      <c r="J721" s="6">
        <v>0</v>
      </c>
      <c r="K721" s="6">
        <v>0</v>
      </c>
      <c r="L721" s="6">
        <v>3004.248</v>
      </c>
      <c r="M721" s="6">
        <v>3004.248</v>
      </c>
      <c r="N721" s="6">
        <v>3004.248</v>
      </c>
      <c r="O721" s="6">
        <v>3004.248</v>
      </c>
      <c r="P721" s="6">
        <v>15425</v>
      </c>
      <c r="Q721" s="4" t="s">
        <v>26</v>
      </c>
      <c r="R721" s="4">
        <v>0</v>
      </c>
      <c r="S721" s="4">
        <v>0</v>
      </c>
      <c r="T721" s="4">
        <v>52</v>
      </c>
      <c r="U721" s="4">
        <v>96</v>
      </c>
      <c r="V721" s="6">
        <f>IF(ISERROR(VLOOKUP($S$721,'TAR FIN'!$A$1:$O$115,15,0)),0,VLOOKUP($S$721,'TAR FIN'!$A$1:$O$115,15,0))</f>
        <v>0</v>
      </c>
      <c r="W721" s="6">
        <f>IF(ISERROR(VLOOKUP($T$721,'TAR FIN'!$A$1:$O$115,15,0)),0,VLOOKUP($T$721,'TAR FIN'!$A$1:$O$115,15,0))</f>
        <v>407.97</v>
      </c>
      <c r="X721" s="6">
        <f>IF(ISERROR(VLOOKUP($U$721,'TAR FIN'!$A$1:$O$115,15,0)),0,VLOOKUP($U$721,'TAR FIN'!$A$1:$O$115,15,0))</f>
        <v>155.38999999999999</v>
      </c>
      <c r="Y721" s="6"/>
      <c r="Z721" s="6">
        <f ca="1">('TUSD BE'!$AM$50+'TUSD BF'!$AM$50+'TUSD CVA'!$AM$50)*(1-CUSTOS!$M$38)</f>
        <v>472.08658309095875</v>
      </c>
      <c r="AA721" s="6">
        <f>('TE BE'!$AB$33+'TE BF'!$AB$33+'TE CVA'!$AB$33)*(1-CUSTOS!$M$38)</f>
        <v>216.84105597414842</v>
      </c>
      <c r="AB721" s="6">
        <f t="shared" si="32"/>
        <v>0</v>
      </c>
      <c r="AC721" s="6">
        <f>(L721-M721)*(W721+X721)+($W$330+$X$330-$W$721-$X$721)*(L721)</f>
        <v>230786.33136000016</v>
      </c>
      <c r="AD721" s="6">
        <f t="shared" si="33"/>
        <v>0</v>
      </c>
      <c r="AE721" s="6">
        <f ca="1">(L721-M721)*(Z721+AA721)+($Z$330+$AA$330-$Z$721-$AA$721)*(L721)</f>
        <v>132109.11585996198</v>
      </c>
      <c r="AF721" s="4" t="s">
        <v>933</v>
      </c>
    </row>
    <row r="722" spans="1:32" ht="11.25" customHeight="1" x14ac:dyDescent="0.25">
      <c r="A722" s="4" t="s">
        <v>27</v>
      </c>
      <c r="B722" s="4" t="s">
        <v>46</v>
      </c>
      <c r="C722" s="4" t="s">
        <v>23</v>
      </c>
      <c r="D722" s="4" t="s">
        <v>47</v>
      </c>
      <c r="E722" s="4" t="s">
        <v>25</v>
      </c>
      <c r="F722" s="4" t="s">
        <v>25</v>
      </c>
      <c r="G722" s="4" t="s">
        <v>25</v>
      </c>
      <c r="H722" s="4" t="s">
        <v>25</v>
      </c>
      <c r="I722" s="5">
        <v>44682</v>
      </c>
      <c r="J722" s="6">
        <v>0</v>
      </c>
      <c r="K722" s="6">
        <v>0</v>
      </c>
      <c r="L722" s="6">
        <v>-31.387</v>
      </c>
      <c r="M722" s="6">
        <v>-31.387</v>
      </c>
      <c r="N722" s="6">
        <v>-31.387</v>
      </c>
      <c r="O722" s="6">
        <v>-31.387</v>
      </c>
      <c r="P722" s="6">
        <v>-3</v>
      </c>
      <c r="Q722" s="4" t="s">
        <v>26</v>
      </c>
      <c r="R722" s="4">
        <v>0</v>
      </c>
      <c r="S722" s="4">
        <v>0</v>
      </c>
      <c r="T722" s="4">
        <v>52</v>
      </c>
      <c r="U722" s="4">
        <v>96</v>
      </c>
      <c r="V722" s="6">
        <f>IF(ISERROR(VLOOKUP($S$722,'TAR FIN'!$A$1:$O$115,15,0)),0,VLOOKUP($S$722,'TAR FIN'!$A$1:$O$115,15,0))</f>
        <v>0</v>
      </c>
      <c r="W722" s="6">
        <f>IF(ISERROR(VLOOKUP($T$722,'TAR FIN'!$A$1:$O$115,15,0)),0,VLOOKUP($T$722,'TAR FIN'!$A$1:$O$115,15,0))</f>
        <v>407.97</v>
      </c>
      <c r="X722" s="6">
        <f>IF(ISERROR(VLOOKUP($U$722,'TAR FIN'!$A$1:$O$115,15,0)),0,VLOOKUP($U$722,'TAR FIN'!$A$1:$O$115,15,0))</f>
        <v>155.38999999999999</v>
      </c>
      <c r="Y722" s="6"/>
      <c r="Z722" s="6">
        <f ca="1">('TUSD BE'!$AM$50+'TUSD BF'!$AM$50+'TUSD CVA'!$AM$50)*(1-CUSTOS!$M$38)</f>
        <v>472.08658309095875</v>
      </c>
      <c r="AA722" s="6">
        <f>('TE BE'!$AB$33+'TE BF'!$AB$33+'TE CVA'!$AB$33)*(1-CUSTOS!$M$38)</f>
        <v>216.84105597414842</v>
      </c>
      <c r="AB722" s="6">
        <f t="shared" si="32"/>
        <v>0</v>
      </c>
      <c r="AC722" s="6">
        <f>(L722-M722)*(W722+X722)+($W$330+$X$330-$W$722-$X$722)*(L722)</f>
        <v>-2411.1493400000018</v>
      </c>
      <c r="AD722" s="6">
        <f t="shared" si="33"/>
        <v>0</v>
      </c>
      <c r="AE722" s="6">
        <f ca="1">(L722-M722)*(Z722+AA722)+($Z$330+$AA$330-$Z$722-$AA$722)*(L722)</f>
        <v>-1380.215221744885</v>
      </c>
      <c r="AF722" s="4" t="s">
        <v>933</v>
      </c>
    </row>
    <row r="723" spans="1:32" ht="11.25" customHeight="1" x14ac:dyDescent="0.25">
      <c r="A723" s="4" t="s">
        <v>28</v>
      </c>
      <c r="B723" s="4" t="s">
        <v>46</v>
      </c>
      <c r="C723" s="4" t="s">
        <v>23</v>
      </c>
      <c r="D723" s="4" t="s">
        <v>47</v>
      </c>
      <c r="E723" s="4" t="s">
        <v>25</v>
      </c>
      <c r="F723" s="4" t="s">
        <v>25</v>
      </c>
      <c r="G723" s="4" t="s">
        <v>25</v>
      </c>
      <c r="H723" s="4" t="s">
        <v>25</v>
      </c>
      <c r="I723" s="5">
        <v>44682</v>
      </c>
      <c r="J723" s="6">
        <v>0</v>
      </c>
      <c r="K723" s="6">
        <v>0</v>
      </c>
      <c r="L723" s="6">
        <v>555.50800000000004</v>
      </c>
      <c r="M723" s="6">
        <v>555.50800000000004</v>
      </c>
      <c r="N723" s="6">
        <v>555.50800000000004</v>
      </c>
      <c r="O723" s="6">
        <v>555.50800000000004</v>
      </c>
      <c r="P723" s="6">
        <v>3483</v>
      </c>
      <c r="Q723" s="4" t="s">
        <v>26</v>
      </c>
      <c r="R723" s="4">
        <v>0</v>
      </c>
      <c r="S723" s="4">
        <v>0</v>
      </c>
      <c r="T723" s="4">
        <v>52</v>
      </c>
      <c r="U723" s="4">
        <v>96</v>
      </c>
      <c r="V723" s="6">
        <f>IF(ISERROR(VLOOKUP($S$723,'TAR FIN'!$A$1:$O$115,15,0)),0,VLOOKUP($S$723,'TAR FIN'!$A$1:$O$115,15,0))</f>
        <v>0</v>
      </c>
      <c r="W723" s="6">
        <f>IF(ISERROR(VLOOKUP($T$723,'TAR FIN'!$A$1:$O$115,15,0)),0,VLOOKUP($T$723,'TAR FIN'!$A$1:$O$115,15,0))</f>
        <v>407.97</v>
      </c>
      <c r="X723" s="6">
        <f>IF(ISERROR(VLOOKUP($U$723,'TAR FIN'!$A$1:$O$115,15,0)),0,VLOOKUP($U$723,'TAR FIN'!$A$1:$O$115,15,0))</f>
        <v>155.38999999999999</v>
      </c>
      <c r="Y723" s="6"/>
      <c r="Z723" s="6">
        <f ca="1">('TUSD BE'!$AM$50+'TUSD BF'!$AM$50+'TUSD CVA'!$AM$50)*(1-CUSTOS!$M$38)</f>
        <v>472.08658309095875</v>
      </c>
      <c r="AA723" s="6">
        <f>('TE BE'!$AB$33+'TE BF'!$AB$33+'TE CVA'!$AB$33)*(1-CUSTOS!$M$38)</f>
        <v>216.84105597414842</v>
      </c>
      <c r="AB723" s="6">
        <f t="shared" si="32"/>
        <v>0</v>
      </c>
      <c r="AC723" s="6">
        <f>(L723-M723)*(W723+X723)+($W$330+$X$330-$W$723-$X$723)*(L723)</f>
        <v>42674.124560000033</v>
      </c>
      <c r="AD723" s="6">
        <f t="shared" si="33"/>
        <v>0</v>
      </c>
      <c r="AE723" s="6">
        <f ca="1">(L723-M723)*(Z723+AA723)+($Z$330+$AA$330-$Z$723-$AA$723)*(L723)</f>
        <v>24427.966909900839</v>
      </c>
      <c r="AF723" s="4" t="s">
        <v>933</v>
      </c>
    </row>
    <row r="724" spans="1:32" ht="11.25" customHeight="1" x14ac:dyDescent="0.25">
      <c r="A724" s="4" t="s">
        <v>29</v>
      </c>
      <c r="B724" s="4" t="s">
        <v>46</v>
      </c>
      <c r="C724" s="4" t="s">
        <v>23</v>
      </c>
      <c r="D724" s="4" t="s">
        <v>47</v>
      </c>
      <c r="E724" s="4" t="s">
        <v>25</v>
      </c>
      <c r="F724" s="4" t="s">
        <v>25</v>
      </c>
      <c r="G724" s="4" t="s">
        <v>25</v>
      </c>
      <c r="H724" s="4" t="s">
        <v>25</v>
      </c>
      <c r="I724" s="5">
        <v>44682</v>
      </c>
      <c r="J724" s="6">
        <v>0</v>
      </c>
      <c r="K724" s="6">
        <v>0</v>
      </c>
      <c r="L724" s="6">
        <v>-0.11799999999999999</v>
      </c>
      <c r="M724" s="6">
        <v>-0.11799999999999999</v>
      </c>
      <c r="N724" s="6">
        <v>-0.11799999999999999</v>
      </c>
      <c r="O724" s="6">
        <v>-0.11799999999999999</v>
      </c>
      <c r="P724" s="6">
        <v>0</v>
      </c>
      <c r="Q724" s="4" t="s">
        <v>26</v>
      </c>
      <c r="R724" s="4">
        <v>0</v>
      </c>
      <c r="S724" s="4">
        <v>0</v>
      </c>
      <c r="T724" s="4">
        <v>52</v>
      </c>
      <c r="U724" s="4">
        <v>96</v>
      </c>
      <c r="V724" s="6">
        <f>IF(ISERROR(VLOOKUP($S$724,'TAR FIN'!$A$1:$O$115,15,0)),0,VLOOKUP($S$724,'TAR FIN'!$A$1:$O$115,15,0))</f>
        <v>0</v>
      </c>
      <c r="W724" s="6">
        <f>IF(ISERROR(VLOOKUP($T$724,'TAR FIN'!$A$1:$O$115,15,0)),0,VLOOKUP($T$724,'TAR FIN'!$A$1:$O$115,15,0))</f>
        <v>407.97</v>
      </c>
      <c r="X724" s="6">
        <f>IF(ISERROR(VLOOKUP($U$724,'TAR FIN'!$A$1:$O$115,15,0)),0,VLOOKUP($U$724,'TAR FIN'!$A$1:$O$115,15,0))</f>
        <v>155.38999999999999</v>
      </c>
      <c r="Y724" s="6"/>
      <c r="Z724" s="6">
        <f ca="1">('TUSD BE'!$AM$50+'TUSD BF'!$AM$50+'TUSD CVA'!$AM$50)*(1-CUSTOS!$M$38)</f>
        <v>472.08658309095875</v>
      </c>
      <c r="AA724" s="6">
        <f>('TE BE'!$AB$33+'TE BF'!$AB$33+'TE CVA'!$AB$33)*(1-CUSTOS!$M$38)</f>
        <v>216.84105597414842</v>
      </c>
      <c r="AB724" s="6">
        <f t="shared" si="32"/>
        <v>0</v>
      </c>
      <c r="AC724" s="6">
        <f>(L724-M724)*(W724+X724)+($W$330+$X$330-$W$724-$X$724)*(L724)</f>
        <v>-9.064760000000005</v>
      </c>
      <c r="AD724" s="6">
        <f t="shared" si="33"/>
        <v>0</v>
      </c>
      <c r="AE724" s="6">
        <f ca="1">(L724-M724)*(Z724+AA724)+($Z$330+$AA$330-$Z$724-$AA$724)*(L724)</f>
        <v>-5.1889443452988946</v>
      </c>
      <c r="AF724" s="4" t="s">
        <v>933</v>
      </c>
    </row>
    <row r="725" spans="1:32" ht="11.25" customHeight="1" x14ac:dyDescent="0.25">
      <c r="A725" s="4" t="s">
        <v>30</v>
      </c>
      <c r="B725" s="4" t="s">
        <v>46</v>
      </c>
      <c r="C725" s="4" t="s">
        <v>23</v>
      </c>
      <c r="D725" s="4" t="s">
        <v>47</v>
      </c>
      <c r="E725" s="4" t="s">
        <v>25</v>
      </c>
      <c r="F725" s="4" t="s">
        <v>25</v>
      </c>
      <c r="G725" s="4" t="s">
        <v>25</v>
      </c>
      <c r="H725" s="4" t="s">
        <v>25</v>
      </c>
      <c r="I725" s="5">
        <v>44682</v>
      </c>
      <c r="J725" s="6">
        <v>0</v>
      </c>
      <c r="K725" s="6">
        <v>0</v>
      </c>
      <c r="L725" s="6">
        <v>50.243000000000002</v>
      </c>
      <c r="M725" s="6">
        <v>50.243000000000002</v>
      </c>
      <c r="N725" s="6">
        <v>50.243000000000002</v>
      </c>
      <c r="O725" s="6">
        <v>50.243000000000002</v>
      </c>
      <c r="P725" s="6">
        <v>266</v>
      </c>
      <c r="Q725" s="4" t="s">
        <v>26</v>
      </c>
      <c r="R725" s="4">
        <v>0</v>
      </c>
      <c r="S725" s="4">
        <v>0</v>
      </c>
      <c r="T725" s="4">
        <v>52</v>
      </c>
      <c r="U725" s="4">
        <v>96</v>
      </c>
      <c r="V725" s="6">
        <f>IF(ISERROR(VLOOKUP($S$725,'TAR FIN'!$A$1:$O$115,15,0)),0,VLOOKUP($S$725,'TAR FIN'!$A$1:$O$115,15,0))</f>
        <v>0</v>
      </c>
      <c r="W725" s="6">
        <f>IF(ISERROR(VLOOKUP($T$725,'TAR FIN'!$A$1:$O$115,15,0)),0,VLOOKUP($T$725,'TAR FIN'!$A$1:$O$115,15,0))</f>
        <v>407.97</v>
      </c>
      <c r="X725" s="6">
        <f>IF(ISERROR(VLOOKUP($U$725,'TAR FIN'!$A$1:$O$115,15,0)),0,VLOOKUP($U$725,'TAR FIN'!$A$1:$O$115,15,0))</f>
        <v>155.38999999999999</v>
      </c>
      <c r="Y725" s="6"/>
      <c r="Z725" s="6">
        <f ca="1">('TUSD BE'!$AM$50+'TUSD BF'!$AM$50+'TUSD CVA'!$AM$50)*(1-CUSTOS!$M$38)</f>
        <v>472.08658309095875</v>
      </c>
      <c r="AA725" s="6">
        <f>('TE BE'!$AB$33+'TE BF'!$AB$33+'TE CVA'!$AB$33)*(1-CUSTOS!$M$38)</f>
        <v>216.84105597414842</v>
      </c>
      <c r="AB725" s="6">
        <f t="shared" si="32"/>
        <v>0</v>
      </c>
      <c r="AC725" s="6">
        <f>(L725-M725)*(W725+X725)+($W$330+$X$330-$W$725-$X$725)*(L725)</f>
        <v>3859.6672600000029</v>
      </c>
      <c r="AD725" s="6">
        <f t="shared" si="33"/>
        <v>0</v>
      </c>
      <c r="AE725" s="6">
        <f ca="1">(L725-M725)*(Z725+AA725)+($Z$330+$AA$330-$Z$725-$AA$725)*(L725)</f>
        <v>2209.3909384817998</v>
      </c>
      <c r="AF725" s="4" t="s">
        <v>933</v>
      </c>
    </row>
    <row r="726" spans="1:32" ht="11.25" customHeight="1" x14ac:dyDescent="0.25">
      <c r="A726" s="4" t="s">
        <v>30</v>
      </c>
      <c r="B726" s="4" t="s">
        <v>46</v>
      </c>
      <c r="C726" s="4" t="s">
        <v>23</v>
      </c>
      <c r="D726" s="4" t="s">
        <v>47</v>
      </c>
      <c r="E726" s="4" t="s">
        <v>25</v>
      </c>
      <c r="F726" s="4" t="s">
        <v>25</v>
      </c>
      <c r="G726" s="4" t="s">
        <v>25</v>
      </c>
      <c r="H726" s="4" t="s">
        <v>25</v>
      </c>
      <c r="I726" s="5">
        <v>44682</v>
      </c>
      <c r="J726" s="6">
        <v>0</v>
      </c>
      <c r="K726" s="6">
        <v>0</v>
      </c>
      <c r="L726" s="6">
        <v>-4.1109999999999998</v>
      </c>
      <c r="M726" s="6">
        <v>-4.1109999999999998</v>
      </c>
      <c r="N726" s="6">
        <v>-4.1109999999999998</v>
      </c>
      <c r="O726" s="6">
        <v>-4.1109999999999998</v>
      </c>
      <c r="P726" s="6">
        <v>0</v>
      </c>
      <c r="Q726" s="4" t="s">
        <v>26</v>
      </c>
      <c r="R726" s="4">
        <v>0</v>
      </c>
      <c r="S726" s="4">
        <v>0</v>
      </c>
      <c r="T726" s="4">
        <v>52</v>
      </c>
      <c r="U726" s="4">
        <v>96</v>
      </c>
      <c r="V726" s="6">
        <f>IF(ISERROR(VLOOKUP($S$726,'TAR FIN'!$A$1:$O$115,15,0)),0,VLOOKUP($S$726,'TAR FIN'!$A$1:$O$115,15,0))</f>
        <v>0</v>
      </c>
      <c r="W726" s="6">
        <f>IF(ISERROR(VLOOKUP($T$726,'TAR FIN'!$A$1:$O$115,15,0)),0,VLOOKUP($T$726,'TAR FIN'!$A$1:$O$115,15,0))</f>
        <v>407.97</v>
      </c>
      <c r="X726" s="6">
        <f>IF(ISERROR(VLOOKUP($U$726,'TAR FIN'!$A$1:$O$115,15,0)),0,VLOOKUP($U$726,'TAR FIN'!$A$1:$O$115,15,0))</f>
        <v>155.38999999999999</v>
      </c>
      <c r="Y726" s="6"/>
      <c r="Z726" s="6">
        <f ca="1">('TUSD BE'!$AM$50+'TUSD BF'!$AM$50+'TUSD CVA'!$AM$50)*(1-CUSTOS!$M$38)</f>
        <v>472.08658309095875</v>
      </c>
      <c r="AA726" s="6">
        <f>('TE BE'!$AB$33+'TE BF'!$AB$33+'TE CVA'!$AB$33)*(1-CUSTOS!$M$38)</f>
        <v>216.84105597414842</v>
      </c>
      <c r="AB726" s="6">
        <f t="shared" si="32"/>
        <v>0</v>
      </c>
      <c r="AC726" s="6">
        <f>(L726-M726)*(W726+X726)+($W$330+$X$330-$W$726-$X$726)*(L726)</f>
        <v>-315.80702000000019</v>
      </c>
      <c r="AD726" s="6">
        <f t="shared" si="33"/>
        <v>0</v>
      </c>
      <c r="AE726" s="6">
        <f ca="1">(L726-M726)*(Z726+AA726)+($Z$330+$AA$330-$Z$726-$AA$726)*(L726)</f>
        <v>-180.77754409765896</v>
      </c>
      <c r="AF726" s="4" t="s">
        <v>933</v>
      </c>
    </row>
    <row r="727" spans="1:32" ht="11.25" customHeight="1" x14ac:dyDescent="0.25">
      <c r="A727" s="4" t="s">
        <v>21</v>
      </c>
      <c r="B727" s="4" t="s">
        <v>46</v>
      </c>
      <c r="C727" s="4" t="s">
        <v>23</v>
      </c>
      <c r="D727" s="4" t="s">
        <v>47</v>
      </c>
      <c r="E727" s="4" t="s">
        <v>25</v>
      </c>
      <c r="F727" s="4" t="s">
        <v>25</v>
      </c>
      <c r="G727" s="4" t="s">
        <v>25</v>
      </c>
      <c r="H727" s="4" t="s">
        <v>25</v>
      </c>
      <c r="I727" s="5">
        <v>44713</v>
      </c>
      <c r="J727" s="6">
        <v>0</v>
      </c>
      <c r="K727" s="6">
        <v>0</v>
      </c>
      <c r="L727" s="6">
        <v>2815.1010000000001</v>
      </c>
      <c r="M727" s="6">
        <v>2815.1010000000001</v>
      </c>
      <c r="N727" s="6">
        <v>2815.1010000000001</v>
      </c>
      <c r="O727" s="6">
        <v>2815.1010000000001</v>
      </c>
      <c r="P727" s="6">
        <v>15374</v>
      </c>
      <c r="Q727" s="4" t="s">
        <v>26</v>
      </c>
      <c r="R727" s="4">
        <v>0</v>
      </c>
      <c r="S727" s="4">
        <v>0</v>
      </c>
      <c r="T727" s="4">
        <v>52</v>
      </c>
      <c r="U727" s="4">
        <v>96</v>
      </c>
      <c r="V727" s="6">
        <f>IF(ISERROR(VLOOKUP($S$727,'TAR FIN'!$A$1:$O$115,15,0)),0,VLOOKUP($S$727,'TAR FIN'!$A$1:$O$115,15,0))</f>
        <v>0</v>
      </c>
      <c r="W727" s="6">
        <f>IF(ISERROR(VLOOKUP($T$727,'TAR FIN'!$A$1:$O$115,15,0)),0,VLOOKUP($T$727,'TAR FIN'!$A$1:$O$115,15,0))</f>
        <v>407.97</v>
      </c>
      <c r="X727" s="6">
        <f>IF(ISERROR(VLOOKUP($U$727,'TAR FIN'!$A$1:$O$115,15,0)),0,VLOOKUP($U$727,'TAR FIN'!$A$1:$O$115,15,0))</f>
        <v>155.38999999999999</v>
      </c>
      <c r="Y727" s="6"/>
      <c r="Z727" s="6">
        <f ca="1">('TUSD BE'!$AM$50+'TUSD BF'!$AM$50+'TUSD CVA'!$AM$50)*(1-CUSTOS!$M$38)</f>
        <v>472.08658309095875</v>
      </c>
      <c r="AA727" s="6">
        <f>('TE BE'!$AB$33+'TE BF'!$AB$33+'TE CVA'!$AB$33)*(1-CUSTOS!$M$38)</f>
        <v>216.84105597414842</v>
      </c>
      <c r="AB727" s="6">
        <f t="shared" si="32"/>
        <v>0</v>
      </c>
      <c r="AC727" s="6">
        <f>(L727-M727)*(W727+X727)+($W$330+$X$330-$W$727-$X$727)*(L727)</f>
        <v>216256.05882000015</v>
      </c>
      <c r="AD727" s="6">
        <f t="shared" si="33"/>
        <v>0</v>
      </c>
      <c r="AE727" s="6">
        <f ca="1">(L727-M727)*(Z727+AA727)+($Z$330+$AA$330-$Z$727-$AA$727)*(L727)</f>
        <v>123791.54589318021</v>
      </c>
      <c r="AF727" s="4" t="s">
        <v>933</v>
      </c>
    </row>
    <row r="728" spans="1:32" ht="11.25" customHeight="1" x14ac:dyDescent="0.25">
      <c r="A728" s="4" t="s">
        <v>27</v>
      </c>
      <c r="B728" s="4" t="s">
        <v>46</v>
      </c>
      <c r="C728" s="4" t="s">
        <v>23</v>
      </c>
      <c r="D728" s="4" t="s">
        <v>47</v>
      </c>
      <c r="E728" s="4" t="s">
        <v>25</v>
      </c>
      <c r="F728" s="4" t="s">
        <v>25</v>
      </c>
      <c r="G728" s="4" t="s">
        <v>25</v>
      </c>
      <c r="H728" s="4" t="s">
        <v>25</v>
      </c>
      <c r="I728" s="5">
        <v>44713</v>
      </c>
      <c r="J728" s="6">
        <v>0</v>
      </c>
      <c r="K728" s="6">
        <v>0</v>
      </c>
      <c r="L728" s="6">
        <v>-58.545999999999999</v>
      </c>
      <c r="M728" s="6">
        <v>-58.545999999999999</v>
      </c>
      <c r="N728" s="6">
        <v>-58.545999999999999</v>
      </c>
      <c r="O728" s="6">
        <v>-58.545999999999999</v>
      </c>
      <c r="P728" s="6">
        <v>-9</v>
      </c>
      <c r="Q728" s="4" t="s">
        <v>26</v>
      </c>
      <c r="R728" s="4">
        <v>0</v>
      </c>
      <c r="S728" s="4">
        <v>0</v>
      </c>
      <c r="T728" s="4">
        <v>52</v>
      </c>
      <c r="U728" s="4">
        <v>96</v>
      </c>
      <c r="V728" s="6">
        <f>IF(ISERROR(VLOOKUP($S$728,'TAR FIN'!$A$1:$O$115,15,0)),0,VLOOKUP($S$728,'TAR FIN'!$A$1:$O$115,15,0))</f>
        <v>0</v>
      </c>
      <c r="W728" s="6">
        <f>IF(ISERROR(VLOOKUP($T$728,'TAR FIN'!$A$1:$O$115,15,0)),0,VLOOKUP($T$728,'TAR FIN'!$A$1:$O$115,15,0))</f>
        <v>407.97</v>
      </c>
      <c r="X728" s="6">
        <f>IF(ISERROR(VLOOKUP($U$728,'TAR FIN'!$A$1:$O$115,15,0)),0,VLOOKUP($U$728,'TAR FIN'!$A$1:$O$115,15,0))</f>
        <v>155.38999999999999</v>
      </c>
      <c r="Y728" s="6"/>
      <c r="Z728" s="6">
        <f ca="1">('TUSD BE'!$AM$50+'TUSD BF'!$AM$50+'TUSD CVA'!$AM$50)*(1-CUSTOS!$M$38)</f>
        <v>472.08658309095875</v>
      </c>
      <c r="AA728" s="6">
        <f>('TE BE'!$AB$33+'TE BF'!$AB$33+'TE CVA'!$AB$33)*(1-CUSTOS!$M$38)</f>
        <v>216.84105597414842</v>
      </c>
      <c r="AB728" s="6">
        <f t="shared" si="32"/>
        <v>0</v>
      </c>
      <c r="AC728" s="6">
        <f>(L728-M728)*(W728+X728)+($W$330+$X$330-$W$728-$X$728)*(L728)</f>
        <v>-4497.5037200000024</v>
      </c>
      <c r="AD728" s="6">
        <f t="shared" si="33"/>
        <v>0</v>
      </c>
      <c r="AE728" s="6">
        <f ca="1">(L728-M728)*(Z728+AA728)+($Z$330+$AA$330-$Z$728-$AA$728)*(L728)</f>
        <v>-2574.507929151433</v>
      </c>
      <c r="AF728" s="4" t="s">
        <v>933</v>
      </c>
    </row>
    <row r="729" spans="1:32" ht="11.25" customHeight="1" x14ac:dyDescent="0.25">
      <c r="A729" s="4" t="s">
        <v>28</v>
      </c>
      <c r="B729" s="4" t="s">
        <v>46</v>
      </c>
      <c r="C729" s="4" t="s">
        <v>23</v>
      </c>
      <c r="D729" s="4" t="s">
        <v>47</v>
      </c>
      <c r="E729" s="4" t="s">
        <v>25</v>
      </c>
      <c r="F729" s="4" t="s">
        <v>25</v>
      </c>
      <c r="G729" s="4" t="s">
        <v>25</v>
      </c>
      <c r="H729" s="4" t="s">
        <v>25</v>
      </c>
      <c r="I729" s="5">
        <v>44713</v>
      </c>
      <c r="J729" s="6">
        <v>0</v>
      </c>
      <c r="K729" s="6">
        <v>0</v>
      </c>
      <c r="L729" s="6">
        <v>540.92100000000005</v>
      </c>
      <c r="M729" s="6">
        <v>540.92100000000005</v>
      </c>
      <c r="N729" s="6">
        <v>540.92100000000005</v>
      </c>
      <c r="O729" s="6">
        <v>540.92100000000005</v>
      </c>
      <c r="P729" s="6">
        <v>3559</v>
      </c>
      <c r="Q729" s="4" t="s">
        <v>26</v>
      </c>
      <c r="R729" s="4">
        <v>0</v>
      </c>
      <c r="S729" s="4">
        <v>0</v>
      </c>
      <c r="T729" s="4">
        <v>52</v>
      </c>
      <c r="U729" s="4">
        <v>96</v>
      </c>
      <c r="V729" s="6">
        <f>IF(ISERROR(VLOOKUP($S$729,'TAR FIN'!$A$1:$O$115,15,0)),0,VLOOKUP($S$729,'TAR FIN'!$A$1:$O$115,15,0))</f>
        <v>0</v>
      </c>
      <c r="W729" s="6">
        <f>IF(ISERROR(VLOOKUP($T$729,'TAR FIN'!$A$1:$O$115,15,0)),0,VLOOKUP($T$729,'TAR FIN'!$A$1:$O$115,15,0))</f>
        <v>407.97</v>
      </c>
      <c r="X729" s="6">
        <f>IF(ISERROR(VLOOKUP($U$729,'TAR FIN'!$A$1:$O$115,15,0)),0,VLOOKUP($U$729,'TAR FIN'!$A$1:$O$115,15,0))</f>
        <v>155.38999999999999</v>
      </c>
      <c r="Y729" s="6"/>
      <c r="Z729" s="6">
        <f ca="1">('TUSD BE'!$AM$50+'TUSD BF'!$AM$50+'TUSD CVA'!$AM$50)*(1-CUSTOS!$M$38)</f>
        <v>472.08658309095875</v>
      </c>
      <c r="AA729" s="6">
        <f>('TE BE'!$AB$33+'TE BF'!$AB$33+'TE CVA'!$AB$33)*(1-CUSTOS!$M$38)</f>
        <v>216.84105597414842</v>
      </c>
      <c r="AB729" s="6">
        <f t="shared" si="32"/>
        <v>0</v>
      </c>
      <c r="AC729" s="6">
        <f>(L729-M729)*(W729+X729)+($W$330+$X$330-$W$729-$X$729)*(L729)</f>
        <v>41553.55122000003</v>
      </c>
      <c r="AD729" s="6">
        <f t="shared" si="33"/>
        <v>0</v>
      </c>
      <c r="AE729" s="6">
        <f ca="1">(L729-M729)*(Z729+AA729)+($Z$330+$AA$330-$Z$729-$AA$729)*(L729)</f>
        <v>23786.516645791729</v>
      </c>
      <c r="AF729" s="4" t="s">
        <v>933</v>
      </c>
    </row>
    <row r="730" spans="1:32" ht="11.25" customHeight="1" x14ac:dyDescent="0.25">
      <c r="A730" s="4" t="s">
        <v>29</v>
      </c>
      <c r="B730" s="4" t="s">
        <v>46</v>
      </c>
      <c r="C730" s="4" t="s">
        <v>23</v>
      </c>
      <c r="D730" s="4" t="s">
        <v>47</v>
      </c>
      <c r="E730" s="4" t="s">
        <v>25</v>
      </c>
      <c r="F730" s="4" t="s">
        <v>25</v>
      </c>
      <c r="G730" s="4" t="s">
        <v>25</v>
      </c>
      <c r="H730" s="4" t="s">
        <v>25</v>
      </c>
      <c r="I730" s="5">
        <v>44713</v>
      </c>
      <c r="J730" s="6">
        <v>0</v>
      </c>
      <c r="K730" s="6">
        <v>0</v>
      </c>
      <c r="L730" s="6">
        <v>-19.776</v>
      </c>
      <c r="M730" s="6">
        <v>-19.776</v>
      </c>
      <c r="N730" s="6">
        <v>-19.776</v>
      </c>
      <c r="O730" s="6">
        <v>-19.776</v>
      </c>
      <c r="P730" s="6">
        <v>-4</v>
      </c>
      <c r="Q730" s="4" t="s">
        <v>26</v>
      </c>
      <c r="R730" s="4">
        <v>0</v>
      </c>
      <c r="S730" s="4">
        <v>0</v>
      </c>
      <c r="T730" s="4">
        <v>52</v>
      </c>
      <c r="U730" s="4">
        <v>96</v>
      </c>
      <c r="V730" s="6">
        <f>IF(ISERROR(VLOOKUP($S$730,'TAR FIN'!$A$1:$O$115,15,0)),0,VLOOKUP($S$730,'TAR FIN'!$A$1:$O$115,15,0))</f>
        <v>0</v>
      </c>
      <c r="W730" s="6">
        <f>IF(ISERROR(VLOOKUP($T$730,'TAR FIN'!$A$1:$O$115,15,0)),0,VLOOKUP($T$730,'TAR FIN'!$A$1:$O$115,15,0))</f>
        <v>407.97</v>
      </c>
      <c r="X730" s="6">
        <f>IF(ISERROR(VLOOKUP($U$730,'TAR FIN'!$A$1:$O$115,15,0)),0,VLOOKUP($U$730,'TAR FIN'!$A$1:$O$115,15,0))</f>
        <v>155.38999999999999</v>
      </c>
      <c r="Y730" s="6"/>
      <c r="Z730" s="6">
        <f ca="1">('TUSD BE'!$AM$50+'TUSD BF'!$AM$50+'TUSD CVA'!$AM$50)*(1-CUSTOS!$M$38)</f>
        <v>472.08658309095875</v>
      </c>
      <c r="AA730" s="6">
        <f>('TE BE'!$AB$33+'TE BF'!$AB$33+'TE CVA'!$AB$33)*(1-CUSTOS!$M$38)</f>
        <v>216.84105597414842</v>
      </c>
      <c r="AB730" s="6">
        <f t="shared" si="32"/>
        <v>0</v>
      </c>
      <c r="AC730" s="6">
        <f>(L730-M730)*(W730+X730)+($W$330+$X$330-$W$730-$X$730)*(L730)</f>
        <v>-1519.192320000001</v>
      </c>
      <c r="AD730" s="6">
        <f t="shared" si="33"/>
        <v>0</v>
      </c>
      <c r="AE730" s="6">
        <f ca="1">(L730-M730)*(Z730+AA730)+($Z$330+$AA$330-$Z$730-$AA$730)*(L730)</f>
        <v>-869.63189298839791</v>
      </c>
      <c r="AF730" s="4" t="s">
        <v>933</v>
      </c>
    </row>
    <row r="731" spans="1:32" ht="11.25" customHeight="1" x14ac:dyDescent="0.25">
      <c r="A731" s="4" t="s">
        <v>30</v>
      </c>
      <c r="B731" s="4" t="s">
        <v>46</v>
      </c>
      <c r="C731" s="4" t="s">
        <v>23</v>
      </c>
      <c r="D731" s="4" t="s">
        <v>47</v>
      </c>
      <c r="E731" s="4" t="s">
        <v>25</v>
      </c>
      <c r="F731" s="4" t="s">
        <v>25</v>
      </c>
      <c r="G731" s="4" t="s">
        <v>25</v>
      </c>
      <c r="H731" s="4" t="s">
        <v>25</v>
      </c>
      <c r="I731" s="5">
        <v>44713</v>
      </c>
      <c r="J731" s="6">
        <v>0</v>
      </c>
      <c r="K731" s="6">
        <v>0</v>
      </c>
      <c r="L731" s="6">
        <v>46.615000000000002</v>
      </c>
      <c r="M731" s="6">
        <v>46.615000000000002</v>
      </c>
      <c r="N731" s="6">
        <v>46.615000000000002</v>
      </c>
      <c r="O731" s="6">
        <v>46.615000000000002</v>
      </c>
      <c r="P731" s="6">
        <v>288</v>
      </c>
      <c r="Q731" s="4" t="s">
        <v>26</v>
      </c>
      <c r="R731" s="4">
        <v>0</v>
      </c>
      <c r="S731" s="4">
        <v>0</v>
      </c>
      <c r="T731" s="4">
        <v>52</v>
      </c>
      <c r="U731" s="4">
        <v>96</v>
      </c>
      <c r="V731" s="6">
        <f>IF(ISERROR(VLOOKUP($S$731,'TAR FIN'!$A$1:$O$115,15,0)),0,VLOOKUP($S$731,'TAR FIN'!$A$1:$O$115,15,0))</f>
        <v>0</v>
      </c>
      <c r="W731" s="6">
        <f>IF(ISERROR(VLOOKUP($T$731,'TAR FIN'!$A$1:$O$115,15,0)),0,VLOOKUP($T$731,'TAR FIN'!$A$1:$O$115,15,0))</f>
        <v>407.97</v>
      </c>
      <c r="X731" s="6">
        <f>IF(ISERROR(VLOOKUP($U$731,'TAR FIN'!$A$1:$O$115,15,0)),0,VLOOKUP($U$731,'TAR FIN'!$A$1:$O$115,15,0))</f>
        <v>155.38999999999999</v>
      </c>
      <c r="Y731" s="6"/>
      <c r="Z731" s="6">
        <f ca="1">('TUSD BE'!$AM$50+'TUSD BF'!$AM$50+'TUSD CVA'!$AM$50)*(1-CUSTOS!$M$38)</f>
        <v>472.08658309095875</v>
      </c>
      <c r="AA731" s="6">
        <f>('TE BE'!$AB$33+'TE BF'!$AB$33+'TE CVA'!$AB$33)*(1-CUSTOS!$M$38)</f>
        <v>216.84105597414842</v>
      </c>
      <c r="AB731" s="6">
        <f t="shared" si="32"/>
        <v>0</v>
      </c>
      <c r="AC731" s="6">
        <f>(L731-M731)*(W731+X731)+($W$330+$X$330-$W$731-$X$731)*(L731)</f>
        <v>3580.9643000000024</v>
      </c>
      <c r="AD731" s="6">
        <f t="shared" si="33"/>
        <v>0</v>
      </c>
      <c r="AE731" s="6">
        <f ca="1">(L731-M731)*(Z731+AA731)+($Z$330+$AA$330-$Z$731-$AA$731)*(L731)</f>
        <v>2049.8528869161696</v>
      </c>
      <c r="AF731" s="4" t="s">
        <v>933</v>
      </c>
    </row>
    <row r="732" spans="1:32" ht="11.25" customHeight="1" x14ac:dyDescent="0.25">
      <c r="A732" s="4" t="s">
        <v>30</v>
      </c>
      <c r="B732" s="4" t="s">
        <v>46</v>
      </c>
      <c r="C732" s="4" t="s">
        <v>23</v>
      </c>
      <c r="D732" s="4" t="s">
        <v>47</v>
      </c>
      <c r="E732" s="4" t="s">
        <v>25</v>
      </c>
      <c r="F732" s="4" t="s">
        <v>25</v>
      </c>
      <c r="G732" s="4" t="s">
        <v>25</v>
      </c>
      <c r="H732" s="4" t="s">
        <v>25</v>
      </c>
      <c r="I732" s="5">
        <v>44713</v>
      </c>
      <c r="J732" s="6">
        <v>0</v>
      </c>
      <c r="K732" s="6">
        <v>0</v>
      </c>
      <c r="L732" s="6">
        <v>1.7000000000000001E-2</v>
      </c>
      <c r="M732" s="6">
        <v>1.7000000000000001E-2</v>
      </c>
      <c r="N732" s="6">
        <v>1.7000000000000001E-2</v>
      </c>
      <c r="O732" s="6">
        <v>1.7000000000000001E-2</v>
      </c>
      <c r="P732" s="6">
        <v>0</v>
      </c>
      <c r="Q732" s="4" t="s">
        <v>26</v>
      </c>
      <c r="R732" s="4">
        <v>0</v>
      </c>
      <c r="S732" s="4">
        <v>0</v>
      </c>
      <c r="T732" s="4">
        <v>52</v>
      </c>
      <c r="U732" s="4">
        <v>96</v>
      </c>
      <c r="V732" s="6">
        <f>IF(ISERROR(VLOOKUP($S$732,'TAR FIN'!$A$1:$O$115,15,0)),0,VLOOKUP($S$732,'TAR FIN'!$A$1:$O$115,15,0))</f>
        <v>0</v>
      </c>
      <c r="W732" s="6">
        <f>IF(ISERROR(VLOOKUP($T$732,'TAR FIN'!$A$1:$O$115,15,0)),0,VLOOKUP($T$732,'TAR FIN'!$A$1:$O$115,15,0))</f>
        <v>407.97</v>
      </c>
      <c r="X732" s="6">
        <f>IF(ISERROR(VLOOKUP($U$732,'TAR FIN'!$A$1:$O$115,15,0)),0,VLOOKUP($U$732,'TAR FIN'!$A$1:$O$115,15,0))</f>
        <v>155.38999999999999</v>
      </c>
      <c r="Y732" s="6"/>
      <c r="Z732" s="6">
        <f ca="1">('TUSD BE'!$AM$50+'TUSD BF'!$AM$50+'TUSD CVA'!$AM$50)*(1-CUSTOS!$M$38)</f>
        <v>472.08658309095875</v>
      </c>
      <c r="AA732" s="6">
        <f>('TE BE'!$AB$33+'TE BF'!$AB$33+'TE CVA'!$AB$33)*(1-CUSTOS!$M$38)</f>
        <v>216.84105597414842</v>
      </c>
      <c r="AB732" s="6">
        <f t="shared" si="32"/>
        <v>0</v>
      </c>
      <c r="AC732" s="6">
        <f>(L732-M732)*(W732+X732)+($W$330+$X$330-$W$732-$X$732)*(L732)</f>
        <v>1.305940000000001</v>
      </c>
      <c r="AD732" s="6">
        <f t="shared" si="33"/>
        <v>0</v>
      </c>
      <c r="AE732" s="6">
        <f ca="1">(L732-M732)*(Z732+AA732)+($Z$330+$AA$330-$Z$732-$AA$732)*(L732)</f>
        <v>0.74755977856001032</v>
      </c>
      <c r="AF732" s="4" t="s">
        <v>933</v>
      </c>
    </row>
    <row r="733" spans="1:32" ht="11.25" customHeight="1" x14ac:dyDescent="0.25">
      <c r="A733" s="4" t="s">
        <v>21</v>
      </c>
      <c r="B733" s="4" t="s">
        <v>46</v>
      </c>
      <c r="C733" s="4" t="s">
        <v>23</v>
      </c>
      <c r="D733" s="4" t="s">
        <v>47</v>
      </c>
      <c r="E733" s="4" t="s">
        <v>25</v>
      </c>
      <c r="F733" s="4" t="s">
        <v>25</v>
      </c>
      <c r="G733" s="4" t="s">
        <v>25</v>
      </c>
      <c r="H733" s="4" t="s">
        <v>25</v>
      </c>
      <c r="I733" s="5">
        <v>44743</v>
      </c>
      <c r="J733" s="6">
        <v>0</v>
      </c>
      <c r="K733" s="6">
        <v>0</v>
      </c>
      <c r="L733" s="6">
        <v>3019.623</v>
      </c>
      <c r="M733" s="6">
        <v>3019.623</v>
      </c>
      <c r="N733" s="6">
        <v>3019.623</v>
      </c>
      <c r="O733" s="6">
        <v>3019.623</v>
      </c>
      <c r="P733" s="6">
        <v>15356</v>
      </c>
      <c r="Q733" s="4" t="s">
        <v>26</v>
      </c>
      <c r="R733" s="4">
        <v>0</v>
      </c>
      <c r="S733" s="4">
        <v>0</v>
      </c>
      <c r="T733" s="4">
        <v>52</v>
      </c>
      <c r="U733" s="4">
        <v>96</v>
      </c>
      <c r="V733" s="6">
        <f>IF(ISERROR(VLOOKUP($S$733,'TAR FIN'!$A$1:$O$115,15,0)),0,VLOOKUP($S$733,'TAR FIN'!$A$1:$O$115,15,0))</f>
        <v>0</v>
      </c>
      <c r="W733" s="6">
        <f>IF(ISERROR(VLOOKUP($T$733,'TAR FIN'!$A$1:$O$115,15,0)),0,VLOOKUP($T$733,'TAR FIN'!$A$1:$O$115,15,0))</f>
        <v>407.97</v>
      </c>
      <c r="X733" s="6">
        <f>IF(ISERROR(VLOOKUP($U$733,'TAR FIN'!$A$1:$O$115,15,0)),0,VLOOKUP($U$733,'TAR FIN'!$A$1:$O$115,15,0))</f>
        <v>155.38999999999999</v>
      </c>
      <c r="Y733" s="6"/>
      <c r="Z733" s="6">
        <f ca="1">('TUSD BE'!$AM$50+'TUSD BF'!$AM$50+'TUSD CVA'!$AM$50)*(1-CUSTOS!$M$38)</f>
        <v>472.08658309095875</v>
      </c>
      <c r="AA733" s="6">
        <f>('TE BE'!$AB$33+'TE BF'!$AB$33+'TE CVA'!$AB$33)*(1-CUSTOS!$M$38)</f>
        <v>216.84105597414842</v>
      </c>
      <c r="AB733" s="6">
        <f t="shared" si="32"/>
        <v>0</v>
      </c>
      <c r="AC733" s="6">
        <f>(L733-M733)*(W733+X733)+($W$330+$X$330-$W$733-$X$733)*(L733)</f>
        <v>231967.43886000014</v>
      </c>
      <c r="AD733" s="6">
        <f t="shared" si="33"/>
        <v>0</v>
      </c>
      <c r="AE733" s="6">
        <f ca="1">(L733-M733)*(Z733+AA733)+($Z$330+$AA$330-$Z$733-$AA$733)*(L733)</f>
        <v>132785.21771851258</v>
      </c>
      <c r="AF733" s="4" t="s">
        <v>933</v>
      </c>
    </row>
    <row r="734" spans="1:32" ht="11.25" customHeight="1" x14ac:dyDescent="0.25">
      <c r="A734" s="4" t="s">
        <v>27</v>
      </c>
      <c r="B734" s="4" t="s">
        <v>46</v>
      </c>
      <c r="C734" s="4" t="s">
        <v>23</v>
      </c>
      <c r="D734" s="4" t="s">
        <v>47</v>
      </c>
      <c r="E734" s="4" t="s">
        <v>25</v>
      </c>
      <c r="F734" s="4" t="s">
        <v>25</v>
      </c>
      <c r="G734" s="4" t="s">
        <v>25</v>
      </c>
      <c r="H734" s="4" t="s">
        <v>25</v>
      </c>
      <c r="I734" s="5">
        <v>44743</v>
      </c>
      <c r="J734" s="6">
        <v>0</v>
      </c>
      <c r="K734" s="6">
        <v>0</v>
      </c>
      <c r="L734" s="6">
        <v>-23.911000000000001</v>
      </c>
      <c r="M734" s="6">
        <v>-23.911000000000001</v>
      </c>
      <c r="N734" s="6">
        <v>-23.911000000000001</v>
      </c>
      <c r="O734" s="6">
        <v>-23.911000000000001</v>
      </c>
      <c r="P734" s="6">
        <v>-26</v>
      </c>
      <c r="Q734" s="4" t="s">
        <v>26</v>
      </c>
      <c r="R734" s="4">
        <v>0</v>
      </c>
      <c r="S734" s="4">
        <v>0</v>
      </c>
      <c r="T734" s="4">
        <v>52</v>
      </c>
      <c r="U734" s="4">
        <v>96</v>
      </c>
      <c r="V734" s="6">
        <f>IF(ISERROR(VLOOKUP($S$734,'TAR FIN'!$A$1:$O$115,15,0)),0,VLOOKUP($S$734,'TAR FIN'!$A$1:$O$115,15,0))</f>
        <v>0</v>
      </c>
      <c r="W734" s="6">
        <f>IF(ISERROR(VLOOKUP($T$734,'TAR FIN'!$A$1:$O$115,15,0)),0,VLOOKUP($T$734,'TAR FIN'!$A$1:$O$115,15,0))</f>
        <v>407.97</v>
      </c>
      <c r="X734" s="6">
        <f>IF(ISERROR(VLOOKUP($U$734,'TAR FIN'!$A$1:$O$115,15,0)),0,VLOOKUP($U$734,'TAR FIN'!$A$1:$O$115,15,0))</f>
        <v>155.38999999999999</v>
      </c>
      <c r="Y734" s="6"/>
      <c r="Z734" s="6">
        <f ca="1">('TUSD BE'!$AM$50+'TUSD BF'!$AM$50+'TUSD CVA'!$AM$50)*(1-CUSTOS!$M$38)</f>
        <v>472.08658309095875</v>
      </c>
      <c r="AA734" s="6">
        <f>('TE BE'!$AB$33+'TE BF'!$AB$33+'TE CVA'!$AB$33)*(1-CUSTOS!$M$38)</f>
        <v>216.84105597414842</v>
      </c>
      <c r="AB734" s="6">
        <f t="shared" si="32"/>
        <v>0</v>
      </c>
      <c r="AC734" s="6">
        <f>(L734-M734)*(W734+X734)+($W$330+$X$330-$W$734-$X$734)*(L734)</f>
        <v>-1836.8430200000014</v>
      </c>
      <c r="AD734" s="6">
        <f t="shared" si="33"/>
        <v>0</v>
      </c>
      <c r="AE734" s="6">
        <f ca="1">(L734-M734)*(Z734+AA734)+($Z$330+$AA$330-$Z$734-$AA$734)*(L734)</f>
        <v>-1051.4648155969651</v>
      </c>
      <c r="AF734" s="4" t="s">
        <v>933</v>
      </c>
    </row>
    <row r="735" spans="1:32" ht="11.25" customHeight="1" x14ac:dyDescent="0.25">
      <c r="A735" s="4" t="s">
        <v>28</v>
      </c>
      <c r="B735" s="4" t="s">
        <v>46</v>
      </c>
      <c r="C735" s="4" t="s">
        <v>23</v>
      </c>
      <c r="D735" s="4" t="s">
        <v>47</v>
      </c>
      <c r="E735" s="4" t="s">
        <v>25</v>
      </c>
      <c r="F735" s="4" t="s">
        <v>25</v>
      </c>
      <c r="G735" s="4" t="s">
        <v>25</v>
      </c>
      <c r="H735" s="4" t="s">
        <v>25</v>
      </c>
      <c r="I735" s="5">
        <v>44743</v>
      </c>
      <c r="J735" s="6">
        <v>0</v>
      </c>
      <c r="K735" s="6">
        <v>0</v>
      </c>
      <c r="L735" s="6">
        <v>582.73400000000004</v>
      </c>
      <c r="M735" s="6">
        <v>582.73400000000004</v>
      </c>
      <c r="N735" s="6">
        <v>582.73400000000004</v>
      </c>
      <c r="O735" s="6">
        <v>582.73400000000004</v>
      </c>
      <c r="P735" s="6">
        <v>3633</v>
      </c>
      <c r="Q735" s="4" t="s">
        <v>26</v>
      </c>
      <c r="R735" s="4">
        <v>0</v>
      </c>
      <c r="S735" s="4">
        <v>0</v>
      </c>
      <c r="T735" s="4">
        <v>52</v>
      </c>
      <c r="U735" s="4">
        <v>96</v>
      </c>
      <c r="V735" s="6">
        <f>IF(ISERROR(VLOOKUP($S$735,'TAR FIN'!$A$1:$O$115,15,0)),0,VLOOKUP($S$735,'TAR FIN'!$A$1:$O$115,15,0))</f>
        <v>0</v>
      </c>
      <c r="W735" s="6">
        <f>IF(ISERROR(VLOOKUP($T$735,'TAR FIN'!$A$1:$O$115,15,0)),0,VLOOKUP($T$735,'TAR FIN'!$A$1:$O$115,15,0))</f>
        <v>407.97</v>
      </c>
      <c r="X735" s="6">
        <f>IF(ISERROR(VLOOKUP($U$735,'TAR FIN'!$A$1:$O$115,15,0)),0,VLOOKUP($U$735,'TAR FIN'!$A$1:$O$115,15,0))</f>
        <v>155.38999999999999</v>
      </c>
      <c r="Y735" s="6"/>
      <c r="Z735" s="6">
        <f ca="1">('TUSD BE'!$AM$50+'TUSD BF'!$AM$50+'TUSD CVA'!$AM$50)*(1-CUSTOS!$M$38)</f>
        <v>472.08658309095875</v>
      </c>
      <c r="AA735" s="6">
        <f>('TE BE'!$AB$33+'TE BF'!$AB$33+'TE CVA'!$AB$33)*(1-CUSTOS!$M$38)</f>
        <v>216.84105597414842</v>
      </c>
      <c r="AB735" s="6">
        <f t="shared" si="32"/>
        <v>0</v>
      </c>
      <c r="AC735" s="6">
        <f>(L735-M735)*(W735+X735)+($W$330+$X$330-$W$735-$X$735)*(L735)</f>
        <v>44765.625880000029</v>
      </c>
      <c r="AD735" s="6">
        <f t="shared" si="33"/>
        <v>0</v>
      </c>
      <c r="AE735" s="6">
        <f ca="1">(L735-M735)*(Z735+AA735)+($Z$330+$AA$330-$Z$735-$AA$735)*(L735)</f>
        <v>25625.205882317005</v>
      </c>
      <c r="AF735" s="4" t="s">
        <v>933</v>
      </c>
    </row>
    <row r="736" spans="1:32" ht="11.25" customHeight="1" x14ac:dyDescent="0.25">
      <c r="A736" s="4" t="s">
        <v>29</v>
      </c>
      <c r="B736" s="4" t="s">
        <v>46</v>
      </c>
      <c r="C736" s="4" t="s">
        <v>23</v>
      </c>
      <c r="D736" s="4" t="s">
        <v>47</v>
      </c>
      <c r="E736" s="4" t="s">
        <v>25</v>
      </c>
      <c r="F736" s="4" t="s">
        <v>25</v>
      </c>
      <c r="G736" s="4" t="s">
        <v>25</v>
      </c>
      <c r="H736" s="4" t="s">
        <v>25</v>
      </c>
      <c r="I736" s="5">
        <v>44743</v>
      </c>
      <c r="J736" s="6">
        <v>0</v>
      </c>
      <c r="K736" s="6">
        <v>0</v>
      </c>
      <c r="L736" s="6">
        <v>-0.622</v>
      </c>
      <c r="M736" s="6">
        <v>-0.622</v>
      </c>
      <c r="N736" s="6">
        <v>-0.622</v>
      </c>
      <c r="O736" s="6">
        <v>-0.622</v>
      </c>
      <c r="P736" s="6">
        <v>0</v>
      </c>
      <c r="Q736" s="4" t="s">
        <v>26</v>
      </c>
      <c r="R736" s="4">
        <v>0</v>
      </c>
      <c r="S736" s="4">
        <v>0</v>
      </c>
      <c r="T736" s="4">
        <v>52</v>
      </c>
      <c r="U736" s="4">
        <v>96</v>
      </c>
      <c r="V736" s="6">
        <f>IF(ISERROR(VLOOKUP($S$736,'TAR FIN'!$A$1:$O$115,15,0)),0,VLOOKUP($S$736,'TAR FIN'!$A$1:$O$115,15,0))</f>
        <v>0</v>
      </c>
      <c r="W736" s="6">
        <f>IF(ISERROR(VLOOKUP($T$736,'TAR FIN'!$A$1:$O$115,15,0)),0,VLOOKUP($T$736,'TAR FIN'!$A$1:$O$115,15,0))</f>
        <v>407.97</v>
      </c>
      <c r="X736" s="6">
        <f>IF(ISERROR(VLOOKUP($U$736,'TAR FIN'!$A$1:$O$115,15,0)),0,VLOOKUP($U$736,'TAR FIN'!$A$1:$O$115,15,0))</f>
        <v>155.38999999999999</v>
      </c>
      <c r="Y736" s="6"/>
      <c r="Z736" s="6">
        <f ca="1">('TUSD BE'!$AM$50+'TUSD BF'!$AM$50+'TUSD CVA'!$AM$50)*(1-CUSTOS!$M$38)</f>
        <v>472.08658309095875</v>
      </c>
      <c r="AA736" s="6">
        <f>('TE BE'!$AB$33+'TE BF'!$AB$33+'TE CVA'!$AB$33)*(1-CUSTOS!$M$38)</f>
        <v>216.84105597414842</v>
      </c>
      <c r="AB736" s="6">
        <f t="shared" si="32"/>
        <v>0</v>
      </c>
      <c r="AC736" s="6">
        <f>(L736-M736)*(W736+X736)+($W$330+$X$330-$W$736-$X$736)*(L736)</f>
        <v>-47.78204000000003</v>
      </c>
      <c r="AD736" s="6">
        <f t="shared" si="33"/>
        <v>0</v>
      </c>
      <c r="AE736" s="6">
        <f ca="1">(L736-M736)*(Z736+AA736)+($Z$330+$AA$330-$Z$736-$AA$736)*(L736)</f>
        <v>-27.351893074372143</v>
      </c>
      <c r="AF736" s="4" t="s">
        <v>933</v>
      </c>
    </row>
    <row r="737" spans="1:32" ht="11.25" customHeight="1" x14ac:dyDescent="0.25">
      <c r="A737" s="4" t="s">
        <v>30</v>
      </c>
      <c r="B737" s="4" t="s">
        <v>46</v>
      </c>
      <c r="C737" s="4" t="s">
        <v>23</v>
      </c>
      <c r="D737" s="4" t="s">
        <v>47</v>
      </c>
      <c r="E737" s="4" t="s">
        <v>25</v>
      </c>
      <c r="F737" s="4" t="s">
        <v>25</v>
      </c>
      <c r="G737" s="4" t="s">
        <v>25</v>
      </c>
      <c r="H737" s="4" t="s">
        <v>25</v>
      </c>
      <c r="I737" s="5">
        <v>44743</v>
      </c>
      <c r="J737" s="6">
        <v>0</v>
      </c>
      <c r="K737" s="6">
        <v>0</v>
      </c>
      <c r="L737" s="6">
        <v>46.082999999999998</v>
      </c>
      <c r="M737" s="6">
        <v>46.082999999999998</v>
      </c>
      <c r="N737" s="6">
        <v>46.082999999999998</v>
      </c>
      <c r="O737" s="6">
        <v>46.082999999999998</v>
      </c>
      <c r="P737" s="6">
        <v>297</v>
      </c>
      <c r="Q737" s="4" t="s">
        <v>26</v>
      </c>
      <c r="R737" s="4">
        <v>0</v>
      </c>
      <c r="S737" s="4">
        <v>0</v>
      </c>
      <c r="T737" s="4">
        <v>52</v>
      </c>
      <c r="U737" s="4">
        <v>96</v>
      </c>
      <c r="V737" s="6">
        <f>IF(ISERROR(VLOOKUP($S$737,'TAR FIN'!$A$1:$O$115,15,0)),0,VLOOKUP($S$737,'TAR FIN'!$A$1:$O$115,15,0))</f>
        <v>0</v>
      </c>
      <c r="W737" s="6">
        <f>IF(ISERROR(VLOOKUP($T$737,'TAR FIN'!$A$1:$O$115,15,0)),0,VLOOKUP($T$737,'TAR FIN'!$A$1:$O$115,15,0))</f>
        <v>407.97</v>
      </c>
      <c r="X737" s="6">
        <f>IF(ISERROR(VLOOKUP($U$737,'TAR FIN'!$A$1:$O$115,15,0)),0,VLOOKUP($U$737,'TAR FIN'!$A$1:$O$115,15,0))</f>
        <v>155.38999999999999</v>
      </c>
      <c r="Y737" s="6"/>
      <c r="Z737" s="6">
        <f ca="1">('TUSD BE'!$AM$50+'TUSD BF'!$AM$50+'TUSD CVA'!$AM$50)*(1-CUSTOS!$M$38)</f>
        <v>472.08658309095875</v>
      </c>
      <c r="AA737" s="6">
        <f>('TE BE'!$AB$33+'TE BF'!$AB$33+'TE CVA'!$AB$33)*(1-CUSTOS!$M$38)</f>
        <v>216.84105597414842</v>
      </c>
      <c r="AB737" s="6">
        <f t="shared" si="32"/>
        <v>0</v>
      </c>
      <c r="AC737" s="6">
        <f>(L737-M737)*(W737+X737)+($W$330+$X$330-$W$737-$X$737)*(L737)</f>
        <v>3540.0960600000021</v>
      </c>
      <c r="AD737" s="6">
        <f t="shared" si="33"/>
        <v>0</v>
      </c>
      <c r="AE737" s="6">
        <f ca="1">(L737-M737)*(Z737+AA737)+($Z$330+$AA$330-$Z$737-$AA$737)*(L737)</f>
        <v>2026.4586632577032</v>
      </c>
      <c r="AF737" s="4" t="s">
        <v>933</v>
      </c>
    </row>
    <row r="738" spans="1:32" ht="11.25" customHeight="1" x14ac:dyDescent="0.25">
      <c r="A738" s="4" t="s">
        <v>30</v>
      </c>
      <c r="B738" s="4" t="s">
        <v>46</v>
      </c>
      <c r="C738" s="4" t="s">
        <v>23</v>
      </c>
      <c r="D738" s="4" t="s">
        <v>47</v>
      </c>
      <c r="E738" s="4" t="s">
        <v>25</v>
      </c>
      <c r="F738" s="4" t="s">
        <v>25</v>
      </c>
      <c r="G738" s="4" t="s">
        <v>25</v>
      </c>
      <c r="H738" s="4" t="s">
        <v>25</v>
      </c>
      <c r="I738" s="5">
        <v>44743</v>
      </c>
      <c r="J738" s="6">
        <v>0</v>
      </c>
      <c r="K738" s="6">
        <v>0</v>
      </c>
      <c r="L738" s="6">
        <v>-1.7749999999999999</v>
      </c>
      <c r="M738" s="6">
        <v>-1.7749999999999999</v>
      </c>
      <c r="N738" s="6">
        <v>-1.7749999999999999</v>
      </c>
      <c r="O738" s="6">
        <v>-1.7749999999999999</v>
      </c>
      <c r="P738" s="6">
        <v>0</v>
      </c>
      <c r="Q738" s="4" t="s">
        <v>26</v>
      </c>
      <c r="R738" s="4">
        <v>0</v>
      </c>
      <c r="S738" s="4">
        <v>0</v>
      </c>
      <c r="T738" s="4">
        <v>52</v>
      </c>
      <c r="U738" s="4">
        <v>96</v>
      </c>
      <c r="V738" s="6">
        <f>IF(ISERROR(VLOOKUP($S$738,'TAR FIN'!$A$1:$O$115,15,0)),0,VLOOKUP($S$738,'TAR FIN'!$A$1:$O$115,15,0))</f>
        <v>0</v>
      </c>
      <c r="W738" s="6">
        <f>IF(ISERROR(VLOOKUP($T$738,'TAR FIN'!$A$1:$O$115,15,0)),0,VLOOKUP($T$738,'TAR FIN'!$A$1:$O$115,15,0))</f>
        <v>407.97</v>
      </c>
      <c r="X738" s="6">
        <f>IF(ISERROR(VLOOKUP($U$738,'TAR FIN'!$A$1:$O$115,15,0)),0,VLOOKUP($U$738,'TAR FIN'!$A$1:$O$115,15,0))</f>
        <v>155.38999999999999</v>
      </c>
      <c r="Y738" s="6"/>
      <c r="Z738" s="6">
        <f ca="1">('TUSD BE'!$AM$50+'TUSD BF'!$AM$50+'TUSD CVA'!$AM$50)*(1-CUSTOS!$M$38)</f>
        <v>472.08658309095875</v>
      </c>
      <c r="AA738" s="6">
        <f>('TE BE'!$AB$33+'TE BF'!$AB$33+'TE CVA'!$AB$33)*(1-CUSTOS!$M$38)</f>
        <v>216.84105597414842</v>
      </c>
      <c r="AB738" s="6">
        <f t="shared" si="32"/>
        <v>0</v>
      </c>
      <c r="AC738" s="6">
        <f>(L738-M738)*(W738+X738)+($W$330+$X$330-$W$738-$X$738)*(L738)</f>
        <v>-136.35550000000009</v>
      </c>
      <c r="AD738" s="6">
        <f t="shared" si="33"/>
        <v>0</v>
      </c>
      <c r="AE738" s="6">
        <f ca="1">(L738-M738)*(Z738+AA738)+($Z$330+$AA$330-$Z$738-$AA$738)*(L738)</f>
        <v>-78.054035702589303</v>
      </c>
      <c r="AF738" s="4" t="s">
        <v>933</v>
      </c>
    </row>
    <row r="739" spans="1:32" ht="11.25" customHeight="1" x14ac:dyDescent="0.25">
      <c r="A739" s="4" t="s">
        <v>21</v>
      </c>
      <c r="B739" s="4" t="s">
        <v>46</v>
      </c>
      <c r="C739" s="4" t="s">
        <v>23</v>
      </c>
      <c r="D739" s="4" t="s">
        <v>47</v>
      </c>
      <c r="E739" s="4" t="s">
        <v>25</v>
      </c>
      <c r="F739" s="4" t="s">
        <v>25</v>
      </c>
      <c r="G739" s="4" t="s">
        <v>25</v>
      </c>
      <c r="H739" s="4" t="s">
        <v>25</v>
      </c>
      <c r="I739" s="5">
        <v>44774</v>
      </c>
      <c r="J739" s="6">
        <v>0</v>
      </c>
      <c r="K739" s="6">
        <v>0</v>
      </c>
      <c r="L739" s="6">
        <v>3155.2730000000001</v>
      </c>
      <c r="M739" s="6">
        <v>3155.2730000000001</v>
      </c>
      <c r="N739" s="6">
        <v>3155.2730000000001</v>
      </c>
      <c r="O739" s="6">
        <v>3155.2730000000001</v>
      </c>
      <c r="P739" s="6">
        <v>15334</v>
      </c>
      <c r="Q739" s="4" t="s">
        <v>26</v>
      </c>
      <c r="R739" s="4">
        <v>0</v>
      </c>
      <c r="S739" s="4">
        <v>0</v>
      </c>
      <c r="T739" s="4">
        <v>52</v>
      </c>
      <c r="U739" s="4">
        <v>96</v>
      </c>
      <c r="V739" s="6">
        <f>IF(ISERROR(VLOOKUP($S$739,'TAR FIN'!$A$1:$O$115,15,0)),0,VLOOKUP($S$739,'TAR FIN'!$A$1:$O$115,15,0))</f>
        <v>0</v>
      </c>
      <c r="W739" s="6">
        <f>IF(ISERROR(VLOOKUP($T$739,'TAR FIN'!$A$1:$O$115,15,0)),0,VLOOKUP($T$739,'TAR FIN'!$A$1:$O$115,15,0))</f>
        <v>407.97</v>
      </c>
      <c r="X739" s="6">
        <f>IF(ISERROR(VLOOKUP($U$739,'TAR FIN'!$A$1:$O$115,15,0)),0,VLOOKUP($U$739,'TAR FIN'!$A$1:$O$115,15,0))</f>
        <v>155.38999999999999</v>
      </c>
      <c r="Y739" s="6"/>
      <c r="Z739" s="6">
        <f ca="1">('TUSD BE'!$AM$50+'TUSD BF'!$AM$50+'TUSD CVA'!$AM$50)*(1-CUSTOS!$M$38)</f>
        <v>472.08658309095875</v>
      </c>
      <c r="AA739" s="6">
        <f>('TE BE'!$AB$33+'TE BF'!$AB$33+'TE CVA'!$AB$33)*(1-CUSTOS!$M$38)</f>
        <v>216.84105597414842</v>
      </c>
      <c r="AB739" s="6">
        <f t="shared" si="32"/>
        <v>0</v>
      </c>
      <c r="AC739" s="6">
        <f>(L739-M739)*(W739+X739)+($W$330+$X$330-$W$739-$X$739)*(L739)</f>
        <v>242388.07186000017</v>
      </c>
      <c r="AD739" s="6">
        <f t="shared" si="33"/>
        <v>0</v>
      </c>
      <c r="AE739" s="6">
        <f ca="1">(L739-M739)*(Z739+AA739)+($Z$330+$AA$330-$Z$739-$AA$739)*(L739)</f>
        <v>138750.30501037528</v>
      </c>
      <c r="AF739" s="4" t="s">
        <v>933</v>
      </c>
    </row>
    <row r="740" spans="1:32" ht="11.25" customHeight="1" x14ac:dyDescent="0.25">
      <c r="A740" s="4" t="s">
        <v>27</v>
      </c>
      <c r="B740" s="4" t="s">
        <v>46</v>
      </c>
      <c r="C740" s="4" t="s">
        <v>23</v>
      </c>
      <c r="D740" s="4" t="s">
        <v>47</v>
      </c>
      <c r="E740" s="4" t="s">
        <v>25</v>
      </c>
      <c r="F740" s="4" t="s">
        <v>25</v>
      </c>
      <c r="G740" s="4" t="s">
        <v>25</v>
      </c>
      <c r="H740" s="4" t="s">
        <v>25</v>
      </c>
      <c r="I740" s="5">
        <v>44774</v>
      </c>
      <c r="J740" s="6">
        <v>0</v>
      </c>
      <c r="K740" s="6">
        <v>0</v>
      </c>
      <c r="L740" s="6">
        <v>-14.010999999999999</v>
      </c>
      <c r="M740" s="6">
        <v>-14.010999999999999</v>
      </c>
      <c r="N740" s="6">
        <v>-14.010999999999999</v>
      </c>
      <c r="O740" s="6">
        <v>-14.010999999999999</v>
      </c>
      <c r="P740" s="6">
        <v>-7</v>
      </c>
      <c r="Q740" s="4" t="s">
        <v>26</v>
      </c>
      <c r="R740" s="4">
        <v>0</v>
      </c>
      <c r="S740" s="4">
        <v>0</v>
      </c>
      <c r="T740" s="4">
        <v>52</v>
      </c>
      <c r="U740" s="4">
        <v>96</v>
      </c>
      <c r="V740" s="6">
        <f>IF(ISERROR(VLOOKUP($S$740,'TAR FIN'!$A$1:$O$115,15,0)),0,VLOOKUP($S$740,'TAR FIN'!$A$1:$O$115,15,0))</f>
        <v>0</v>
      </c>
      <c r="W740" s="6">
        <f>IF(ISERROR(VLOOKUP($T$740,'TAR FIN'!$A$1:$O$115,15,0)),0,VLOOKUP($T$740,'TAR FIN'!$A$1:$O$115,15,0))</f>
        <v>407.97</v>
      </c>
      <c r="X740" s="6">
        <f>IF(ISERROR(VLOOKUP($U$740,'TAR FIN'!$A$1:$O$115,15,0)),0,VLOOKUP($U$740,'TAR FIN'!$A$1:$O$115,15,0))</f>
        <v>155.38999999999999</v>
      </c>
      <c r="Y740" s="6"/>
      <c r="Z740" s="6">
        <f ca="1">('TUSD BE'!$AM$50+'TUSD BF'!$AM$50+'TUSD CVA'!$AM$50)*(1-CUSTOS!$M$38)</f>
        <v>472.08658309095875</v>
      </c>
      <c r="AA740" s="6">
        <f>('TE BE'!$AB$33+'TE BF'!$AB$33+'TE CVA'!$AB$33)*(1-CUSTOS!$M$38)</f>
        <v>216.84105597414842</v>
      </c>
      <c r="AB740" s="6">
        <f t="shared" si="32"/>
        <v>0</v>
      </c>
      <c r="AC740" s="6">
        <f>(L740-M740)*(W740+X740)+($W$330+$X$330-$W$740-$X$740)*(L740)</f>
        <v>-1076.3250200000007</v>
      </c>
      <c r="AD740" s="6">
        <f t="shared" si="33"/>
        <v>0</v>
      </c>
      <c r="AE740" s="6">
        <f ca="1">(L740-M740)*(Z740+AA740)+($Z$330+$AA$330-$Z$740-$AA$740)*(L740)</f>
        <v>-616.12117984731196</v>
      </c>
      <c r="AF740" s="4" t="s">
        <v>933</v>
      </c>
    </row>
    <row r="741" spans="1:32" ht="11.25" customHeight="1" x14ac:dyDescent="0.25">
      <c r="A741" s="4" t="s">
        <v>28</v>
      </c>
      <c r="B741" s="4" t="s">
        <v>46</v>
      </c>
      <c r="C741" s="4" t="s">
        <v>23</v>
      </c>
      <c r="D741" s="4" t="s">
        <v>47</v>
      </c>
      <c r="E741" s="4" t="s">
        <v>25</v>
      </c>
      <c r="F741" s="4" t="s">
        <v>25</v>
      </c>
      <c r="G741" s="4" t="s">
        <v>25</v>
      </c>
      <c r="H741" s="4" t="s">
        <v>25</v>
      </c>
      <c r="I741" s="5">
        <v>44774</v>
      </c>
      <c r="J741" s="6">
        <v>0</v>
      </c>
      <c r="K741" s="6">
        <v>0</v>
      </c>
      <c r="L741" s="6">
        <v>603.70399999999995</v>
      </c>
      <c r="M741" s="6">
        <v>603.70399999999995</v>
      </c>
      <c r="N741" s="6">
        <v>603.70399999999995</v>
      </c>
      <c r="O741" s="6">
        <v>603.70399999999995</v>
      </c>
      <c r="P741" s="6">
        <v>3643</v>
      </c>
      <c r="Q741" s="4" t="s">
        <v>26</v>
      </c>
      <c r="R741" s="4">
        <v>0</v>
      </c>
      <c r="S741" s="4">
        <v>0</v>
      </c>
      <c r="T741" s="4">
        <v>52</v>
      </c>
      <c r="U741" s="4">
        <v>96</v>
      </c>
      <c r="V741" s="6">
        <f>IF(ISERROR(VLOOKUP($S$741,'TAR FIN'!$A$1:$O$115,15,0)),0,VLOOKUP($S$741,'TAR FIN'!$A$1:$O$115,15,0))</f>
        <v>0</v>
      </c>
      <c r="W741" s="6">
        <f>IF(ISERROR(VLOOKUP($T$741,'TAR FIN'!$A$1:$O$115,15,0)),0,VLOOKUP($T$741,'TAR FIN'!$A$1:$O$115,15,0))</f>
        <v>407.97</v>
      </c>
      <c r="X741" s="6">
        <f>IF(ISERROR(VLOOKUP($U$741,'TAR FIN'!$A$1:$O$115,15,0)),0,VLOOKUP($U$741,'TAR FIN'!$A$1:$O$115,15,0))</f>
        <v>155.38999999999999</v>
      </c>
      <c r="Y741" s="6"/>
      <c r="Z741" s="6">
        <f ca="1">('TUSD BE'!$AM$50+'TUSD BF'!$AM$50+'TUSD CVA'!$AM$50)*(1-CUSTOS!$M$38)</f>
        <v>472.08658309095875</v>
      </c>
      <c r="AA741" s="6">
        <f>('TE BE'!$AB$33+'TE BF'!$AB$33+'TE CVA'!$AB$33)*(1-CUSTOS!$M$38)</f>
        <v>216.84105597414842</v>
      </c>
      <c r="AB741" s="6">
        <f t="shared" si="32"/>
        <v>0</v>
      </c>
      <c r="AC741" s="6">
        <f>(L741-M741)*(W741+X741)+($W$330+$X$330-$W$741-$X$741)*(L741)</f>
        <v>46376.541280000027</v>
      </c>
      <c r="AD741" s="6">
        <f t="shared" si="33"/>
        <v>0</v>
      </c>
      <c r="AE741" s="6">
        <f ca="1">(L741-M741)*(Z741+AA741)+($Z$330+$AA$330-$Z$741-$AA$741)*(L741)</f>
        <v>26547.342856223084</v>
      </c>
      <c r="AF741" s="4" t="s">
        <v>933</v>
      </c>
    </row>
    <row r="742" spans="1:32" ht="11.25" customHeight="1" x14ac:dyDescent="0.25">
      <c r="A742" s="4" t="s">
        <v>29</v>
      </c>
      <c r="B742" s="4" t="s">
        <v>46</v>
      </c>
      <c r="C742" s="4" t="s">
        <v>23</v>
      </c>
      <c r="D742" s="4" t="s">
        <v>47</v>
      </c>
      <c r="E742" s="4" t="s">
        <v>25</v>
      </c>
      <c r="F742" s="4" t="s">
        <v>25</v>
      </c>
      <c r="G742" s="4" t="s">
        <v>25</v>
      </c>
      <c r="H742" s="4" t="s">
        <v>25</v>
      </c>
      <c r="I742" s="5">
        <v>44774</v>
      </c>
      <c r="J742" s="6">
        <v>0</v>
      </c>
      <c r="K742" s="6">
        <v>0</v>
      </c>
      <c r="L742" s="6">
        <v>-10.214</v>
      </c>
      <c r="M742" s="6">
        <v>-10.214</v>
      </c>
      <c r="N742" s="6">
        <v>-10.214</v>
      </c>
      <c r="O742" s="6">
        <v>-10.214</v>
      </c>
      <c r="P742" s="6">
        <v>-1</v>
      </c>
      <c r="Q742" s="4" t="s">
        <v>26</v>
      </c>
      <c r="R742" s="4">
        <v>0</v>
      </c>
      <c r="S742" s="4">
        <v>0</v>
      </c>
      <c r="T742" s="4">
        <v>52</v>
      </c>
      <c r="U742" s="4">
        <v>96</v>
      </c>
      <c r="V742" s="6">
        <f>IF(ISERROR(VLOOKUP($S$742,'TAR FIN'!$A$1:$O$115,15,0)),0,VLOOKUP($S$742,'TAR FIN'!$A$1:$O$115,15,0))</f>
        <v>0</v>
      </c>
      <c r="W742" s="6">
        <f>IF(ISERROR(VLOOKUP($T$742,'TAR FIN'!$A$1:$O$115,15,0)),0,VLOOKUP($T$742,'TAR FIN'!$A$1:$O$115,15,0))</f>
        <v>407.97</v>
      </c>
      <c r="X742" s="6">
        <f>IF(ISERROR(VLOOKUP($U$742,'TAR FIN'!$A$1:$O$115,15,0)),0,VLOOKUP($U$742,'TAR FIN'!$A$1:$O$115,15,0))</f>
        <v>155.38999999999999</v>
      </c>
      <c r="Y742" s="6"/>
      <c r="Z742" s="6">
        <f ca="1">('TUSD BE'!$AM$50+'TUSD BF'!$AM$50+'TUSD CVA'!$AM$50)*(1-CUSTOS!$M$38)</f>
        <v>472.08658309095875</v>
      </c>
      <c r="AA742" s="6">
        <f>('TE BE'!$AB$33+'TE BF'!$AB$33+'TE CVA'!$AB$33)*(1-CUSTOS!$M$38)</f>
        <v>216.84105597414842</v>
      </c>
      <c r="AB742" s="6">
        <f t="shared" si="32"/>
        <v>0</v>
      </c>
      <c r="AC742" s="6">
        <f>(L742-M742)*(W742+X742)+($W$330+$X$330-$W$742-$X$742)*(L742)</f>
        <v>-784.6394800000005</v>
      </c>
      <c r="AD742" s="6">
        <f t="shared" si="33"/>
        <v>0</v>
      </c>
      <c r="AE742" s="6">
        <f ca="1">(L742-M742)*(Z742+AA742)+($Z$330+$AA$330-$Z$742-$AA$742)*(L742)</f>
        <v>-449.15150460070265</v>
      </c>
      <c r="AF742" s="4" t="s">
        <v>933</v>
      </c>
    </row>
    <row r="743" spans="1:32" ht="11.25" customHeight="1" x14ac:dyDescent="0.25">
      <c r="A743" s="4" t="s">
        <v>30</v>
      </c>
      <c r="B743" s="4" t="s">
        <v>46</v>
      </c>
      <c r="C743" s="4" t="s">
        <v>23</v>
      </c>
      <c r="D743" s="4" t="s">
        <v>47</v>
      </c>
      <c r="E743" s="4" t="s">
        <v>25</v>
      </c>
      <c r="F743" s="4" t="s">
        <v>25</v>
      </c>
      <c r="G743" s="4" t="s">
        <v>25</v>
      </c>
      <c r="H743" s="4" t="s">
        <v>25</v>
      </c>
      <c r="I743" s="5">
        <v>44774</v>
      </c>
      <c r="J743" s="6">
        <v>0</v>
      </c>
      <c r="K743" s="6">
        <v>0</v>
      </c>
      <c r="L743" s="6">
        <v>48.884999999999998</v>
      </c>
      <c r="M743" s="6">
        <v>48.884999999999998</v>
      </c>
      <c r="N743" s="6">
        <v>48.884999999999998</v>
      </c>
      <c r="O743" s="6">
        <v>48.884999999999998</v>
      </c>
      <c r="P743" s="6">
        <v>327</v>
      </c>
      <c r="Q743" s="4" t="s">
        <v>26</v>
      </c>
      <c r="R743" s="4">
        <v>0</v>
      </c>
      <c r="S743" s="4">
        <v>0</v>
      </c>
      <c r="T743" s="4">
        <v>52</v>
      </c>
      <c r="U743" s="4">
        <v>96</v>
      </c>
      <c r="V743" s="6">
        <f>IF(ISERROR(VLOOKUP($S$743,'TAR FIN'!$A$1:$O$115,15,0)),0,VLOOKUP($S$743,'TAR FIN'!$A$1:$O$115,15,0))</f>
        <v>0</v>
      </c>
      <c r="W743" s="6">
        <f>IF(ISERROR(VLOOKUP($T$743,'TAR FIN'!$A$1:$O$115,15,0)),0,VLOOKUP($T$743,'TAR FIN'!$A$1:$O$115,15,0))</f>
        <v>407.97</v>
      </c>
      <c r="X743" s="6">
        <f>IF(ISERROR(VLOOKUP($U$743,'TAR FIN'!$A$1:$O$115,15,0)),0,VLOOKUP($U$743,'TAR FIN'!$A$1:$O$115,15,0))</f>
        <v>155.38999999999999</v>
      </c>
      <c r="Y743" s="6"/>
      <c r="Z743" s="6">
        <f ca="1">('TUSD BE'!$AM$50+'TUSD BF'!$AM$50+'TUSD CVA'!$AM$50)*(1-CUSTOS!$M$38)</f>
        <v>472.08658309095875</v>
      </c>
      <c r="AA743" s="6">
        <f>('TE BE'!$AB$33+'TE BF'!$AB$33+'TE CVA'!$AB$33)*(1-CUSTOS!$M$38)</f>
        <v>216.84105597414842</v>
      </c>
      <c r="AB743" s="6">
        <f t="shared" si="32"/>
        <v>0</v>
      </c>
      <c r="AC743" s="6">
        <f>(L743-M743)*(W743+X743)+($W$330+$X$330-$W$743-$X$743)*(L743)</f>
        <v>3755.3457000000021</v>
      </c>
      <c r="AD743" s="6">
        <f t="shared" si="33"/>
        <v>0</v>
      </c>
      <c r="AE743" s="6">
        <f ca="1">(L743-M743)*(Z743+AA743)+($Z$330+$AA$330-$Z$743-$AA$743)*(L743)</f>
        <v>2149.6741044062414</v>
      </c>
      <c r="AF743" s="4" t="s">
        <v>933</v>
      </c>
    </row>
    <row r="744" spans="1:32" ht="11.25" customHeight="1" x14ac:dyDescent="0.25">
      <c r="A744" s="4" t="s">
        <v>21</v>
      </c>
      <c r="B744" s="4" t="s">
        <v>46</v>
      </c>
      <c r="C744" s="4" t="s">
        <v>23</v>
      </c>
      <c r="D744" s="4" t="s">
        <v>47</v>
      </c>
      <c r="E744" s="4" t="s">
        <v>25</v>
      </c>
      <c r="F744" s="4" t="s">
        <v>25</v>
      </c>
      <c r="G744" s="4" t="s">
        <v>25</v>
      </c>
      <c r="H744" s="4" t="s">
        <v>25</v>
      </c>
      <c r="I744" s="5">
        <v>44805</v>
      </c>
      <c r="J744" s="6">
        <v>0</v>
      </c>
      <c r="K744" s="6">
        <v>0</v>
      </c>
      <c r="L744" s="6">
        <v>3011.6759999999999</v>
      </c>
      <c r="M744" s="6">
        <v>3011.6759999999999</v>
      </c>
      <c r="N744" s="6">
        <v>3011.6759999999999</v>
      </c>
      <c r="O744" s="6">
        <v>3011.6759999999999</v>
      </c>
      <c r="P744" s="6">
        <v>15309</v>
      </c>
      <c r="Q744" s="4" t="s">
        <v>26</v>
      </c>
      <c r="R744" s="4">
        <v>0</v>
      </c>
      <c r="S744" s="4">
        <v>0</v>
      </c>
      <c r="T744" s="4">
        <v>52</v>
      </c>
      <c r="U744" s="4">
        <v>96</v>
      </c>
      <c r="V744" s="6">
        <f>IF(ISERROR(VLOOKUP($S$744,'TAR FIN'!$A$1:$O$115,15,0)),0,VLOOKUP($S$744,'TAR FIN'!$A$1:$O$115,15,0))</f>
        <v>0</v>
      </c>
      <c r="W744" s="6">
        <f>IF(ISERROR(VLOOKUP($T$744,'TAR FIN'!$A$1:$O$115,15,0)),0,VLOOKUP($T$744,'TAR FIN'!$A$1:$O$115,15,0))</f>
        <v>407.97</v>
      </c>
      <c r="X744" s="6">
        <f>IF(ISERROR(VLOOKUP($U$744,'TAR FIN'!$A$1:$O$115,15,0)),0,VLOOKUP($U$744,'TAR FIN'!$A$1:$O$115,15,0))</f>
        <v>155.38999999999999</v>
      </c>
      <c r="Y744" s="6"/>
      <c r="Z744" s="6">
        <f ca="1">('TUSD BE'!$AM$50+'TUSD BF'!$AM$50+'TUSD CVA'!$AM$50)*(1-CUSTOS!$M$38)</f>
        <v>472.08658309095875</v>
      </c>
      <c r="AA744" s="6">
        <f>('TE BE'!$AB$33+'TE BF'!$AB$33+'TE CVA'!$AB$33)*(1-CUSTOS!$M$38)</f>
        <v>216.84105597414842</v>
      </c>
      <c r="AB744" s="6">
        <f t="shared" si="32"/>
        <v>0</v>
      </c>
      <c r="AC744" s="6">
        <f>(L744-M744)*(W744+X744)+($W$330+$X$330-$W$744-$X$744)*(L744)</f>
        <v>231356.95032000015</v>
      </c>
      <c r="AD744" s="6">
        <f t="shared" si="33"/>
        <v>0</v>
      </c>
      <c r="AE744" s="6">
        <f ca="1">(L744-M744)*(Z744+AA744)+($Z$330+$AA$330-$Z$744-$AA$744)*(L744)</f>
        <v>132435.75550908808</v>
      </c>
      <c r="AF744" s="4" t="s">
        <v>933</v>
      </c>
    </row>
    <row r="745" spans="1:32" ht="11.25" customHeight="1" x14ac:dyDescent="0.25">
      <c r="A745" s="4" t="s">
        <v>27</v>
      </c>
      <c r="B745" s="4" t="s">
        <v>46</v>
      </c>
      <c r="C745" s="4" t="s">
        <v>23</v>
      </c>
      <c r="D745" s="4" t="s">
        <v>47</v>
      </c>
      <c r="E745" s="4" t="s">
        <v>25</v>
      </c>
      <c r="F745" s="4" t="s">
        <v>25</v>
      </c>
      <c r="G745" s="4" t="s">
        <v>25</v>
      </c>
      <c r="H745" s="4" t="s">
        <v>25</v>
      </c>
      <c r="I745" s="5">
        <v>44805</v>
      </c>
      <c r="J745" s="6">
        <v>0</v>
      </c>
      <c r="K745" s="6">
        <v>0</v>
      </c>
      <c r="L745" s="6">
        <v>-22.221</v>
      </c>
      <c r="M745" s="6">
        <v>-22.221</v>
      </c>
      <c r="N745" s="6">
        <v>-22.221</v>
      </c>
      <c r="O745" s="6">
        <v>-22.221</v>
      </c>
      <c r="P745" s="6">
        <v>-7</v>
      </c>
      <c r="Q745" s="4" t="s">
        <v>26</v>
      </c>
      <c r="R745" s="4">
        <v>0</v>
      </c>
      <c r="S745" s="4">
        <v>0</v>
      </c>
      <c r="T745" s="4">
        <v>52</v>
      </c>
      <c r="U745" s="4">
        <v>96</v>
      </c>
      <c r="V745" s="6">
        <f>IF(ISERROR(VLOOKUP($S$745,'TAR FIN'!$A$1:$O$115,15,0)),0,VLOOKUP($S$745,'TAR FIN'!$A$1:$O$115,15,0))</f>
        <v>0</v>
      </c>
      <c r="W745" s="6">
        <f>IF(ISERROR(VLOOKUP($T$745,'TAR FIN'!$A$1:$O$115,15,0)),0,VLOOKUP($T$745,'TAR FIN'!$A$1:$O$115,15,0))</f>
        <v>407.97</v>
      </c>
      <c r="X745" s="6">
        <f>IF(ISERROR(VLOOKUP($U$745,'TAR FIN'!$A$1:$O$115,15,0)),0,VLOOKUP($U$745,'TAR FIN'!$A$1:$O$115,15,0))</f>
        <v>155.38999999999999</v>
      </c>
      <c r="Y745" s="6"/>
      <c r="Z745" s="6">
        <f ca="1">('TUSD BE'!$AM$50+'TUSD BF'!$AM$50+'TUSD CVA'!$AM$50)*(1-CUSTOS!$M$38)</f>
        <v>472.08658309095875</v>
      </c>
      <c r="AA745" s="6">
        <f>('TE BE'!$AB$33+'TE BF'!$AB$33+'TE CVA'!$AB$33)*(1-CUSTOS!$M$38)</f>
        <v>216.84105597414842</v>
      </c>
      <c r="AB745" s="6">
        <f t="shared" si="32"/>
        <v>0</v>
      </c>
      <c r="AC745" s="6">
        <f>(L745-M745)*(W745+X745)+($W$330+$X$330-$W$745-$X$745)*(L745)</f>
        <v>-1707.0172200000011</v>
      </c>
      <c r="AD745" s="6">
        <f t="shared" si="33"/>
        <v>0</v>
      </c>
      <c r="AE745" s="6">
        <f ca="1">(L745-M745)*(Z745+AA745)+($Z$330+$AA$330-$Z$745-$AA$745)*(L745)</f>
        <v>-977.14857878717578</v>
      </c>
      <c r="AF745" s="4" t="s">
        <v>933</v>
      </c>
    </row>
    <row r="746" spans="1:32" ht="11.25" customHeight="1" x14ac:dyDescent="0.25">
      <c r="A746" s="4" t="s">
        <v>28</v>
      </c>
      <c r="B746" s="4" t="s">
        <v>46</v>
      </c>
      <c r="C746" s="4" t="s">
        <v>23</v>
      </c>
      <c r="D746" s="4" t="s">
        <v>47</v>
      </c>
      <c r="E746" s="4" t="s">
        <v>25</v>
      </c>
      <c r="F746" s="4" t="s">
        <v>25</v>
      </c>
      <c r="G746" s="4" t="s">
        <v>25</v>
      </c>
      <c r="H746" s="4" t="s">
        <v>25</v>
      </c>
      <c r="I746" s="5">
        <v>44805</v>
      </c>
      <c r="J746" s="6">
        <v>0</v>
      </c>
      <c r="K746" s="6">
        <v>0</v>
      </c>
      <c r="L746" s="6">
        <v>608.98199999999997</v>
      </c>
      <c r="M746" s="6">
        <v>608.98199999999997</v>
      </c>
      <c r="N746" s="6">
        <v>608.98199999999997</v>
      </c>
      <c r="O746" s="6">
        <v>608.98199999999997</v>
      </c>
      <c r="P746" s="6">
        <v>3679</v>
      </c>
      <c r="Q746" s="4" t="s">
        <v>26</v>
      </c>
      <c r="R746" s="4">
        <v>0</v>
      </c>
      <c r="S746" s="4">
        <v>0</v>
      </c>
      <c r="T746" s="4">
        <v>52</v>
      </c>
      <c r="U746" s="4">
        <v>96</v>
      </c>
      <c r="V746" s="6">
        <f>IF(ISERROR(VLOOKUP($S$746,'TAR FIN'!$A$1:$O$115,15,0)),0,VLOOKUP($S$746,'TAR FIN'!$A$1:$O$115,15,0))</f>
        <v>0</v>
      </c>
      <c r="W746" s="6">
        <f>IF(ISERROR(VLOOKUP($T$746,'TAR FIN'!$A$1:$O$115,15,0)),0,VLOOKUP($T$746,'TAR FIN'!$A$1:$O$115,15,0))</f>
        <v>407.97</v>
      </c>
      <c r="X746" s="6">
        <f>IF(ISERROR(VLOOKUP($U$746,'TAR FIN'!$A$1:$O$115,15,0)),0,VLOOKUP($U$746,'TAR FIN'!$A$1:$O$115,15,0))</f>
        <v>155.38999999999999</v>
      </c>
      <c r="Y746" s="6"/>
      <c r="Z746" s="6">
        <f ca="1">('TUSD BE'!$AM$50+'TUSD BF'!$AM$50+'TUSD CVA'!$AM$50)*(1-CUSTOS!$M$38)</f>
        <v>472.08658309095875</v>
      </c>
      <c r="AA746" s="6">
        <f>('TE BE'!$AB$33+'TE BF'!$AB$33+'TE CVA'!$AB$33)*(1-CUSTOS!$M$38)</f>
        <v>216.84105597414842</v>
      </c>
      <c r="AB746" s="6">
        <f t="shared" si="32"/>
        <v>0</v>
      </c>
      <c r="AC746" s="6">
        <f>(L746-M746)*(W746+X746)+($W$330+$X$330-$W$746-$X$746)*(L746)</f>
        <v>46781.997240000026</v>
      </c>
      <c r="AD746" s="6">
        <f t="shared" si="33"/>
        <v>0</v>
      </c>
      <c r="AE746" s="6">
        <f ca="1">(L746-M746)*(Z746+AA746)+($Z$330+$AA$330-$Z$746-$AA$746)*(L746)</f>
        <v>26779.438180413657</v>
      </c>
      <c r="AF746" s="4" t="s">
        <v>933</v>
      </c>
    </row>
    <row r="747" spans="1:32" ht="11.25" customHeight="1" x14ac:dyDescent="0.25">
      <c r="A747" s="4" t="s">
        <v>30</v>
      </c>
      <c r="B747" s="4" t="s">
        <v>46</v>
      </c>
      <c r="C747" s="4" t="s">
        <v>23</v>
      </c>
      <c r="D747" s="4" t="s">
        <v>47</v>
      </c>
      <c r="E747" s="4" t="s">
        <v>25</v>
      </c>
      <c r="F747" s="4" t="s">
        <v>25</v>
      </c>
      <c r="G747" s="4" t="s">
        <v>25</v>
      </c>
      <c r="H747" s="4" t="s">
        <v>25</v>
      </c>
      <c r="I747" s="5">
        <v>44805</v>
      </c>
      <c r="J747" s="6">
        <v>0</v>
      </c>
      <c r="K747" s="6">
        <v>0</v>
      </c>
      <c r="L747" s="6">
        <v>45.816000000000003</v>
      </c>
      <c r="M747" s="6">
        <v>45.816000000000003</v>
      </c>
      <c r="N747" s="6">
        <v>45.816000000000003</v>
      </c>
      <c r="O747" s="6">
        <v>45.816000000000003</v>
      </c>
      <c r="P747" s="6">
        <v>337</v>
      </c>
      <c r="Q747" s="4" t="s">
        <v>26</v>
      </c>
      <c r="R747" s="4">
        <v>0</v>
      </c>
      <c r="S747" s="4">
        <v>0</v>
      </c>
      <c r="T747" s="4">
        <v>52</v>
      </c>
      <c r="U747" s="4">
        <v>96</v>
      </c>
      <c r="V747" s="6">
        <f>IF(ISERROR(VLOOKUP($S$747,'TAR FIN'!$A$1:$O$115,15,0)),0,VLOOKUP($S$747,'TAR FIN'!$A$1:$O$115,15,0))</f>
        <v>0</v>
      </c>
      <c r="W747" s="6">
        <f>IF(ISERROR(VLOOKUP($T$747,'TAR FIN'!$A$1:$O$115,15,0)),0,VLOOKUP($T$747,'TAR FIN'!$A$1:$O$115,15,0))</f>
        <v>407.97</v>
      </c>
      <c r="X747" s="6">
        <f>IF(ISERROR(VLOOKUP($U$747,'TAR FIN'!$A$1:$O$115,15,0)),0,VLOOKUP($U$747,'TAR FIN'!$A$1:$O$115,15,0))</f>
        <v>155.38999999999999</v>
      </c>
      <c r="Y747" s="6"/>
      <c r="Z747" s="6">
        <f ca="1">('TUSD BE'!$AM$50+'TUSD BF'!$AM$50+'TUSD CVA'!$AM$50)*(1-CUSTOS!$M$38)</f>
        <v>472.08658309095875</v>
      </c>
      <c r="AA747" s="6">
        <f>('TE BE'!$AB$33+'TE BF'!$AB$33+'TE CVA'!$AB$33)*(1-CUSTOS!$M$38)</f>
        <v>216.84105597414842</v>
      </c>
      <c r="AB747" s="6">
        <f t="shared" si="32"/>
        <v>0</v>
      </c>
      <c r="AC747" s="6">
        <f>(L747-M747)*(W747+X747)+($W$330+$X$330-$W$747-$X$747)*(L747)</f>
        <v>3519.5851200000025</v>
      </c>
      <c r="AD747" s="6">
        <f t="shared" si="33"/>
        <v>0</v>
      </c>
      <c r="AE747" s="6">
        <f ca="1">(L747-M747)*(Z747+AA747)+($Z$330+$AA$330-$Z$747-$AA$747)*(L747)</f>
        <v>2014.7175773238491</v>
      </c>
      <c r="AF747" s="4" t="s">
        <v>933</v>
      </c>
    </row>
    <row r="748" spans="1:32" ht="11.25" customHeight="1" x14ac:dyDescent="0.25">
      <c r="A748" s="4" t="s">
        <v>21</v>
      </c>
      <c r="B748" s="4" t="s">
        <v>46</v>
      </c>
      <c r="C748" s="4" t="s">
        <v>23</v>
      </c>
      <c r="D748" s="4" t="s">
        <v>47</v>
      </c>
      <c r="E748" s="4" t="s">
        <v>25</v>
      </c>
      <c r="F748" s="4" t="s">
        <v>25</v>
      </c>
      <c r="G748" s="4" t="s">
        <v>25</v>
      </c>
      <c r="H748" s="4" t="s">
        <v>25</v>
      </c>
      <c r="I748" s="5">
        <v>44835</v>
      </c>
      <c r="J748" s="6">
        <v>0</v>
      </c>
      <c r="K748" s="6">
        <v>0</v>
      </c>
      <c r="L748" s="6">
        <v>3097.9110000000001</v>
      </c>
      <c r="M748" s="6">
        <v>3097.9110000000001</v>
      </c>
      <c r="N748" s="6">
        <v>3097.9110000000001</v>
      </c>
      <c r="O748" s="6">
        <v>3097.9110000000001</v>
      </c>
      <c r="P748" s="6">
        <v>15296</v>
      </c>
      <c r="Q748" s="4" t="s">
        <v>26</v>
      </c>
      <c r="R748" s="4">
        <v>0</v>
      </c>
      <c r="S748" s="4">
        <v>0</v>
      </c>
      <c r="T748" s="4">
        <v>52</v>
      </c>
      <c r="U748" s="4">
        <v>96</v>
      </c>
      <c r="V748" s="6">
        <f>IF(ISERROR(VLOOKUP($S$748,'TAR FIN'!$A$1:$O$115,15,0)),0,VLOOKUP($S$748,'TAR FIN'!$A$1:$O$115,15,0))</f>
        <v>0</v>
      </c>
      <c r="W748" s="6">
        <f>IF(ISERROR(VLOOKUP($T$748,'TAR FIN'!$A$1:$O$115,15,0)),0,VLOOKUP($T$748,'TAR FIN'!$A$1:$O$115,15,0))</f>
        <v>407.97</v>
      </c>
      <c r="X748" s="6">
        <f>IF(ISERROR(VLOOKUP($U$748,'TAR FIN'!$A$1:$O$115,15,0)),0,VLOOKUP($U$748,'TAR FIN'!$A$1:$O$115,15,0))</f>
        <v>155.38999999999999</v>
      </c>
      <c r="Y748" s="6"/>
      <c r="Z748" s="6">
        <f ca="1">('TUSD BE'!$AM$50+'TUSD BF'!$AM$50+'TUSD CVA'!$AM$50)*(1-CUSTOS!$M$38)</f>
        <v>472.08658309095875</v>
      </c>
      <c r="AA748" s="6">
        <f>('TE BE'!$AB$33+'TE BF'!$AB$33+'TE CVA'!$AB$33)*(1-CUSTOS!$M$38)</f>
        <v>216.84105597414842</v>
      </c>
      <c r="AB748" s="6">
        <f t="shared" si="32"/>
        <v>0</v>
      </c>
      <c r="AC748" s="6">
        <f>(L748-M748)*(W748+X748)+($W$330+$X$330-$W$748-$X$748)*(L748)</f>
        <v>237981.52302000017</v>
      </c>
      <c r="AD748" s="6">
        <f t="shared" si="33"/>
        <v>0</v>
      </c>
      <c r="AE748" s="6">
        <f ca="1">(L748-M748)*(Z748+AA748)+($Z$330+$AA$330-$Z$748-$AA$748)*(L748)</f>
        <v>136227.86242109531</v>
      </c>
      <c r="AF748" s="4" t="s">
        <v>933</v>
      </c>
    </row>
    <row r="749" spans="1:32" ht="11.25" customHeight="1" x14ac:dyDescent="0.25">
      <c r="A749" s="4" t="s">
        <v>27</v>
      </c>
      <c r="B749" s="4" t="s">
        <v>46</v>
      </c>
      <c r="C749" s="4" t="s">
        <v>23</v>
      </c>
      <c r="D749" s="4" t="s">
        <v>47</v>
      </c>
      <c r="E749" s="4" t="s">
        <v>25</v>
      </c>
      <c r="F749" s="4" t="s">
        <v>25</v>
      </c>
      <c r="G749" s="4" t="s">
        <v>25</v>
      </c>
      <c r="H749" s="4" t="s">
        <v>25</v>
      </c>
      <c r="I749" s="5">
        <v>44835</v>
      </c>
      <c r="J749" s="6">
        <v>0</v>
      </c>
      <c r="K749" s="6">
        <v>0</v>
      </c>
      <c r="L749" s="6">
        <v>-27.672999999999998</v>
      </c>
      <c r="M749" s="6">
        <v>-27.672999999999998</v>
      </c>
      <c r="N749" s="6">
        <v>-27.672999999999998</v>
      </c>
      <c r="O749" s="6">
        <v>-27.672999999999998</v>
      </c>
      <c r="P749" s="6">
        <v>-6</v>
      </c>
      <c r="Q749" s="4" t="s">
        <v>26</v>
      </c>
      <c r="R749" s="4">
        <v>0</v>
      </c>
      <c r="S749" s="4">
        <v>0</v>
      </c>
      <c r="T749" s="4">
        <v>52</v>
      </c>
      <c r="U749" s="4">
        <v>96</v>
      </c>
      <c r="V749" s="6">
        <f>IF(ISERROR(VLOOKUP($S$749,'TAR FIN'!$A$1:$O$115,15,0)),0,VLOOKUP($S$749,'TAR FIN'!$A$1:$O$115,15,0))</f>
        <v>0</v>
      </c>
      <c r="W749" s="6">
        <f>IF(ISERROR(VLOOKUP($T$749,'TAR FIN'!$A$1:$O$115,15,0)),0,VLOOKUP($T$749,'TAR FIN'!$A$1:$O$115,15,0))</f>
        <v>407.97</v>
      </c>
      <c r="X749" s="6">
        <f>IF(ISERROR(VLOOKUP($U$749,'TAR FIN'!$A$1:$O$115,15,0)),0,VLOOKUP($U$749,'TAR FIN'!$A$1:$O$115,15,0))</f>
        <v>155.38999999999999</v>
      </c>
      <c r="Y749" s="6"/>
      <c r="Z749" s="6">
        <f ca="1">('TUSD BE'!$AM$50+'TUSD BF'!$AM$50+'TUSD CVA'!$AM$50)*(1-CUSTOS!$M$38)</f>
        <v>472.08658309095875</v>
      </c>
      <c r="AA749" s="6">
        <f>('TE BE'!$AB$33+'TE BF'!$AB$33+'TE CVA'!$AB$33)*(1-CUSTOS!$M$38)</f>
        <v>216.84105597414842</v>
      </c>
      <c r="AB749" s="6">
        <f t="shared" si="32"/>
        <v>0</v>
      </c>
      <c r="AC749" s="6">
        <f>(L749-M749)*(W749+X749)+($W$330+$X$330-$W$749-$X$749)*(L749)</f>
        <v>-2125.8398600000014</v>
      </c>
      <c r="AD749" s="6">
        <f t="shared" si="33"/>
        <v>0</v>
      </c>
      <c r="AE749" s="6">
        <f ca="1">(L749-M749)*(Z749+AA749)+($Z$330+$AA$330-$Z$749-$AA$749)*(L749)</f>
        <v>-1216.8953971818332</v>
      </c>
      <c r="AF749" s="4" t="s">
        <v>933</v>
      </c>
    </row>
    <row r="750" spans="1:32" ht="11.25" customHeight="1" x14ac:dyDescent="0.25">
      <c r="A750" s="4" t="s">
        <v>28</v>
      </c>
      <c r="B750" s="4" t="s">
        <v>46</v>
      </c>
      <c r="C750" s="4" t="s">
        <v>23</v>
      </c>
      <c r="D750" s="4" t="s">
        <v>47</v>
      </c>
      <c r="E750" s="4" t="s">
        <v>25</v>
      </c>
      <c r="F750" s="4" t="s">
        <v>25</v>
      </c>
      <c r="G750" s="4" t="s">
        <v>25</v>
      </c>
      <c r="H750" s="4" t="s">
        <v>25</v>
      </c>
      <c r="I750" s="5">
        <v>44835</v>
      </c>
      <c r="J750" s="6">
        <v>0</v>
      </c>
      <c r="K750" s="6">
        <v>0</v>
      </c>
      <c r="L750" s="6">
        <v>586.95500000000004</v>
      </c>
      <c r="M750" s="6">
        <v>586.95500000000004</v>
      </c>
      <c r="N750" s="6">
        <v>586.95500000000004</v>
      </c>
      <c r="O750" s="6">
        <v>586.95500000000004</v>
      </c>
      <c r="P750" s="6">
        <v>3664</v>
      </c>
      <c r="Q750" s="4" t="s">
        <v>26</v>
      </c>
      <c r="R750" s="4">
        <v>0</v>
      </c>
      <c r="S750" s="4">
        <v>0</v>
      </c>
      <c r="T750" s="4">
        <v>52</v>
      </c>
      <c r="U750" s="4">
        <v>96</v>
      </c>
      <c r="V750" s="6">
        <f>IF(ISERROR(VLOOKUP($S$750,'TAR FIN'!$A$1:$O$115,15,0)),0,VLOOKUP($S$750,'TAR FIN'!$A$1:$O$115,15,0))</f>
        <v>0</v>
      </c>
      <c r="W750" s="6">
        <f>IF(ISERROR(VLOOKUP($T$750,'TAR FIN'!$A$1:$O$115,15,0)),0,VLOOKUP($T$750,'TAR FIN'!$A$1:$O$115,15,0))</f>
        <v>407.97</v>
      </c>
      <c r="X750" s="6">
        <f>IF(ISERROR(VLOOKUP($U$750,'TAR FIN'!$A$1:$O$115,15,0)),0,VLOOKUP($U$750,'TAR FIN'!$A$1:$O$115,15,0))</f>
        <v>155.38999999999999</v>
      </c>
      <c r="Y750" s="6"/>
      <c r="Z750" s="6">
        <f ca="1">('TUSD BE'!$AM$50+'TUSD BF'!$AM$50+'TUSD CVA'!$AM$50)*(1-CUSTOS!$M$38)</f>
        <v>472.08658309095875</v>
      </c>
      <c r="AA750" s="6">
        <f>('TE BE'!$AB$33+'TE BF'!$AB$33+'TE CVA'!$AB$33)*(1-CUSTOS!$M$38)</f>
        <v>216.84105597414842</v>
      </c>
      <c r="AB750" s="6">
        <f t="shared" si="32"/>
        <v>0</v>
      </c>
      <c r="AC750" s="6">
        <f>(L750-M750)*(W750+X750)+($W$330+$X$330-$W$750-$X$750)*(L750)</f>
        <v>45089.883100000035</v>
      </c>
      <c r="AD750" s="6">
        <f t="shared" si="33"/>
        <v>0</v>
      </c>
      <c r="AE750" s="6">
        <f ca="1">(L750-M750)*(Z750+AA750)+($Z$330+$AA$330-$Z$750-$AA$750)*(L750)</f>
        <v>25810.820577922994</v>
      </c>
      <c r="AF750" s="4" t="s">
        <v>933</v>
      </c>
    </row>
    <row r="751" spans="1:32" ht="11.25" customHeight="1" x14ac:dyDescent="0.25">
      <c r="A751" s="4" t="s">
        <v>29</v>
      </c>
      <c r="B751" s="4" t="s">
        <v>46</v>
      </c>
      <c r="C751" s="4" t="s">
        <v>23</v>
      </c>
      <c r="D751" s="4" t="s">
        <v>47</v>
      </c>
      <c r="E751" s="4" t="s">
        <v>25</v>
      </c>
      <c r="F751" s="4" t="s">
        <v>25</v>
      </c>
      <c r="G751" s="4" t="s">
        <v>25</v>
      </c>
      <c r="H751" s="4" t="s">
        <v>25</v>
      </c>
      <c r="I751" s="5">
        <v>44835</v>
      </c>
      <c r="J751" s="6">
        <v>0</v>
      </c>
      <c r="K751" s="6">
        <v>0</v>
      </c>
      <c r="L751" s="6">
        <v>-6.76</v>
      </c>
      <c r="M751" s="6">
        <v>-6.76</v>
      </c>
      <c r="N751" s="6">
        <v>-6.76</v>
      </c>
      <c r="O751" s="6">
        <v>-6.76</v>
      </c>
      <c r="P751" s="6">
        <v>0</v>
      </c>
      <c r="Q751" s="4" t="s">
        <v>26</v>
      </c>
      <c r="R751" s="4">
        <v>0</v>
      </c>
      <c r="S751" s="4">
        <v>0</v>
      </c>
      <c r="T751" s="4">
        <v>52</v>
      </c>
      <c r="U751" s="4">
        <v>96</v>
      </c>
      <c r="V751" s="6">
        <f>IF(ISERROR(VLOOKUP($S$751,'TAR FIN'!$A$1:$O$115,15,0)),0,VLOOKUP($S$751,'TAR FIN'!$A$1:$O$115,15,0))</f>
        <v>0</v>
      </c>
      <c r="W751" s="6">
        <f>IF(ISERROR(VLOOKUP($T$751,'TAR FIN'!$A$1:$O$115,15,0)),0,VLOOKUP($T$751,'TAR FIN'!$A$1:$O$115,15,0))</f>
        <v>407.97</v>
      </c>
      <c r="X751" s="6">
        <f>IF(ISERROR(VLOOKUP($U$751,'TAR FIN'!$A$1:$O$115,15,0)),0,VLOOKUP($U$751,'TAR FIN'!$A$1:$O$115,15,0))</f>
        <v>155.38999999999999</v>
      </c>
      <c r="Y751" s="6"/>
      <c r="Z751" s="6">
        <f ca="1">('TUSD BE'!$AM$50+'TUSD BF'!$AM$50+'TUSD CVA'!$AM$50)*(1-CUSTOS!$M$38)</f>
        <v>472.08658309095875</v>
      </c>
      <c r="AA751" s="6">
        <f>('TE BE'!$AB$33+'TE BF'!$AB$33+'TE CVA'!$AB$33)*(1-CUSTOS!$M$38)</f>
        <v>216.84105597414842</v>
      </c>
      <c r="AB751" s="6">
        <f t="shared" si="32"/>
        <v>0</v>
      </c>
      <c r="AC751" s="6">
        <f>(L751-M751)*(W751+X751)+($W$330+$X$330-$W$751-$X$751)*(L751)</f>
        <v>-519.30320000000029</v>
      </c>
      <c r="AD751" s="6">
        <f t="shared" si="33"/>
        <v>0</v>
      </c>
      <c r="AE751" s="6">
        <f ca="1">(L751-M751)*(Z751+AA751)+($Z$330+$AA$330-$Z$751-$AA$751)*(L751)</f>
        <v>-297.26494723915704</v>
      </c>
      <c r="AF751" s="4" t="s">
        <v>933</v>
      </c>
    </row>
    <row r="752" spans="1:32" ht="11.25" customHeight="1" x14ac:dyDescent="0.25">
      <c r="A752" s="4" t="s">
        <v>30</v>
      </c>
      <c r="B752" s="4" t="s">
        <v>46</v>
      </c>
      <c r="C752" s="4" t="s">
        <v>23</v>
      </c>
      <c r="D752" s="4" t="s">
        <v>47</v>
      </c>
      <c r="E752" s="4" t="s">
        <v>25</v>
      </c>
      <c r="F752" s="4" t="s">
        <v>25</v>
      </c>
      <c r="G752" s="4" t="s">
        <v>25</v>
      </c>
      <c r="H752" s="4" t="s">
        <v>25</v>
      </c>
      <c r="I752" s="5">
        <v>44835</v>
      </c>
      <c r="J752" s="6">
        <v>0</v>
      </c>
      <c r="K752" s="6">
        <v>0</v>
      </c>
      <c r="L752" s="6">
        <v>52.517000000000003</v>
      </c>
      <c r="M752" s="6">
        <v>52.517000000000003</v>
      </c>
      <c r="N752" s="6">
        <v>52.517000000000003</v>
      </c>
      <c r="O752" s="6">
        <v>52.517000000000003</v>
      </c>
      <c r="P752" s="6">
        <v>343</v>
      </c>
      <c r="Q752" s="4" t="s">
        <v>26</v>
      </c>
      <c r="R752" s="4">
        <v>0</v>
      </c>
      <c r="S752" s="4">
        <v>0</v>
      </c>
      <c r="T752" s="4">
        <v>52</v>
      </c>
      <c r="U752" s="4">
        <v>96</v>
      </c>
      <c r="V752" s="6">
        <f>IF(ISERROR(VLOOKUP($S$752,'TAR FIN'!$A$1:$O$115,15,0)),0,VLOOKUP($S$752,'TAR FIN'!$A$1:$O$115,15,0))</f>
        <v>0</v>
      </c>
      <c r="W752" s="6">
        <f>IF(ISERROR(VLOOKUP($T$752,'TAR FIN'!$A$1:$O$115,15,0)),0,VLOOKUP($T$752,'TAR FIN'!$A$1:$O$115,15,0))</f>
        <v>407.97</v>
      </c>
      <c r="X752" s="6">
        <f>IF(ISERROR(VLOOKUP($U$752,'TAR FIN'!$A$1:$O$115,15,0)),0,VLOOKUP($U$752,'TAR FIN'!$A$1:$O$115,15,0))</f>
        <v>155.38999999999999</v>
      </c>
      <c r="Y752" s="6"/>
      <c r="Z752" s="6">
        <f ca="1">('TUSD BE'!$AM$50+'TUSD BF'!$AM$50+'TUSD CVA'!$AM$50)*(1-CUSTOS!$M$38)</f>
        <v>472.08658309095875</v>
      </c>
      <c r="AA752" s="6">
        <f>('TE BE'!$AB$33+'TE BF'!$AB$33+'TE CVA'!$AB$33)*(1-CUSTOS!$M$38)</f>
        <v>216.84105597414842</v>
      </c>
      <c r="AB752" s="6">
        <f t="shared" si="32"/>
        <v>0</v>
      </c>
      <c r="AC752" s="6">
        <f>(L752-M752)*(W752+X752)+($W$330+$X$330-$W$752-$X$752)*(L752)</f>
        <v>4034.3559400000026</v>
      </c>
      <c r="AD752" s="6">
        <f t="shared" si="33"/>
        <v>0</v>
      </c>
      <c r="AE752" s="6">
        <f ca="1">(L752-M752)*(Z752+AA752)+($Z$330+$AA$330-$Z$752-$AA$752)*(L752)</f>
        <v>2309.3880523903567</v>
      </c>
      <c r="AF752" s="4" t="s">
        <v>933</v>
      </c>
    </row>
    <row r="753" spans="1:32" ht="11.25" customHeight="1" x14ac:dyDescent="0.25">
      <c r="A753" s="4" t="s">
        <v>59</v>
      </c>
      <c r="B753" s="4" t="s">
        <v>46</v>
      </c>
      <c r="C753" s="4" t="s">
        <v>23</v>
      </c>
      <c r="D753" s="4" t="s">
        <v>47</v>
      </c>
      <c r="E753" s="4" t="s">
        <v>25</v>
      </c>
      <c r="F753" s="4" t="s">
        <v>25</v>
      </c>
      <c r="G753" s="4" t="s">
        <v>25</v>
      </c>
      <c r="H753" s="4" t="s">
        <v>25</v>
      </c>
      <c r="I753" s="5">
        <v>44866</v>
      </c>
      <c r="J753" s="6">
        <v>0</v>
      </c>
      <c r="K753" s="6">
        <v>0</v>
      </c>
      <c r="L753" s="6">
        <v>3097.9110000000001</v>
      </c>
      <c r="M753" s="6">
        <v>3097.9110000000001</v>
      </c>
      <c r="N753" s="6">
        <v>3097.9110000000001</v>
      </c>
      <c r="O753" s="6">
        <v>3097.9110000000001</v>
      </c>
      <c r="P753" s="6">
        <v>15296</v>
      </c>
      <c r="Q753" s="4" t="s">
        <v>26</v>
      </c>
      <c r="R753" s="4">
        <v>0</v>
      </c>
      <c r="S753" s="4">
        <v>0</v>
      </c>
      <c r="T753" s="4">
        <v>52</v>
      </c>
      <c r="U753" s="4">
        <v>96</v>
      </c>
      <c r="V753" s="6">
        <f>IF(ISERROR(VLOOKUP($S$753,'TAR FIN'!$A$1:$O$115,15,0)),0,VLOOKUP($S$753,'TAR FIN'!$A$1:$O$115,15,0))</f>
        <v>0</v>
      </c>
      <c r="W753" s="6">
        <f>IF(ISERROR(VLOOKUP($T$753,'TAR FIN'!$A$1:$O$115,15,0)),0,VLOOKUP($T$753,'TAR FIN'!$A$1:$O$115,15,0))</f>
        <v>407.97</v>
      </c>
      <c r="X753" s="6">
        <f>IF(ISERROR(VLOOKUP($U$753,'TAR FIN'!$A$1:$O$115,15,0)),0,VLOOKUP($U$753,'TAR FIN'!$A$1:$O$115,15,0))</f>
        <v>155.38999999999999</v>
      </c>
      <c r="Y753" s="6"/>
      <c r="Z753" s="6">
        <f ca="1">('TUSD BE'!$AM$50+'TUSD BF'!$AM$50+'TUSD CVA'!$AM$50)*(1-CUSTOS!$M$38)</f>
        <v>472.08658309095875</v>
      </c>
      <c r="AA753" s="6">
        <f>('TE BE'!$AB$33+'TE BF'!$AB$33+'TE CVA'!$AB$33)*(1-CUSTOS!$M$38)</f>
        <v>216.84105597414842</v>
      </c>
      <c r="AB753" s="6">
        <f t="shared" si="32"/>
        <v>0</v>
      </c>
      <c r="AC753" s="6">
        <f>(L753-M753)*(W753+X753)+($W$330+$X$330-$W$753-$X$753)*(L753)</f>
        <v>237981.52302000017</v>
      </c>
      <c r="AD753" s="6">
        <f t="shared" si="33"/>
        <v>0</v>
      </c>
      <c r="AE753" s="6">
        <f ca="1">(L753-M753)*(Z753+AA753)+($Z$330+$AA$330-$Z$753-$AA$753)*(L753)</f>
        <v>136227.86242109531</v>
      </c>
      <c r="AF753" s="4" t="s">
        <v>933</v>
      </c>
    </row>
    <row r="754" spans="1:32" ht="11.25" customHeight="1" x14ac:dyDescent="0.25">
      <c r="A754" s="4" t="s">
        <v>59</v>
      </c>
      <c r="B754" s="4" t="s">
        <v>46</v>
      </c>
      <c r="C754" s="4" t="s">
        <v>23</v>
      </c>
      <c r="D754" s="4" t="s">
        <v>47</v>
      </c>
      <c r="E754" s="4" t="s">
        <v>25</v>
      </c>
      <c r="F754" s="4" t="s">
        <v>25</v>
      </c>
      <c r="G754" s="4" t="s">
        <v>25</v>
      </c>
      <c r="H754" s="4" t="s">
        <v>25</v>
      </c>
      <c r="I754" s="5">
        <v>44866</v>
      </c>
      <c r="J754" s="6">
        <v>0</v>
      </c>
      <c r="K754" s="6">
        <v>0</v>
      </c>
      <c r="L754" s="6">
        <v>-27.672999999999998</v>
      </c>
      <c r="M754" s="6">
        <v>-27.672999999999998</v>
      </c>
      <c r="N754" s="6">
        <v>-27.672999999999998</v>
      </c>
      <c r="O754" s="6">
        <v>-27.672999999999998</v>
      </c>
      <c r="P754" s="6">
        <v>-6</v>
      </c>
      <c r="Q754" s="4" t="s">
        <v>26</v>
      </c>
      <c r="R754" s="4">
        <v>0</v>
      </c>
      <c r="S754" s="4">
        <v>0</v>
      </c>
      <c r="T754" s="4">
        <v>52</v>
      </c>
      <c r="U754" s="4">
        <v>96</v>
      </c>
      <c r="V754" s="6">
        <f>IF(ISERROR(VLOOKUP($S$754,'TAR FIN'!$A$1:$O$115,15,0)),0,VLOOKUP($S$754,'TAR FIN'!$A$1:$O$115,15,0))</f>
        <v>0</v>
      </c>
      <c r="W754" s="6">
        <f>IF(ISERROR(VLOOKUP($T$754,'TAR FIN'!$A$1:$O$115,15,0)),0,VLOOKUP($T$754,'TAR FIN'!$A$1:$O$115,15,0))</f>
        <v>407.97</v>
      </c>
      <c r="X754" s="6">
        <f>IF(ISERROR(VLOOKUP($U$754,'TAR FIN'!$A$1:$O$115,15,0)),0,VLOOKUP($U$754,'TAR FIN'!$A$1:$O$115,15,0))</f>
        <v>155.38999999999999</v>
      </c>
      <c r="Y754" s="6"/>
      <c r="Z754" s="6">
        <f ca="1">('TUSD BE'!$AM$50+'TUSD BF'!$AM$50+'TUSD CVA'!$AM$50)*(1-CUSTOS!$M$38)</f>
        <v>472.08658309095875</v>
      </c>
      <c r="AA754" s="6">
        <f>('TE BE'!$AB$33+'TE BF'!$AB$33+'TE CVA'!$AB$33)*(1-CUSTOS!$M$38)</f>
        <v>216.84105597414842</v>
      </c>
      <c r="AB754" s="6">
        <f t="shared" si="32"/>
        <v>0</v>
      </c>
      <c r="AC754" s="6">
        <f>(L754-M754)*(W754+X754)+($W$330+$X$330-$W$754-$X$754)*(L754)</f>
        <v>-2125.8398600000014</v>
      </c>
      <c r="AD754" s="6">
        <f t="shared" si="33"/>
        <v>0</v>
      </c>
      <c r="AE754" s="6">
        <f ca="1">(L754-M754)*(Z754+AA754)+($Z$330+$AA$330-$Z$754-$AA$754)*(L754)</f>
        <v>-1216.8953971818332</v>
      </c>
      <c r="AF754" s="4" t="s">
        <v>933</v>
      </c>
    </row>
    <row r="755" spans="1:32" ht="11.25" customHeight="1" x14ac:dyDescent="0.25">
      <c r="A755" s="4" t="s">
        <v>59</v>
      </c>
      <c r="B755" s="4" t="s">
        <v>46</v>
      </c>
      <c r="C755" s="4" t="s">
        <v>23</v>
      </c>
      <c r="D755" s="4" t="s">
        <v>47</v>
      </c>
      <c r="E755" s="4" t="s">
        <v>25</v>
      </c>
      <c r="F755" s="4" t="s">
        <v>25</v>
      </c>
      <c r="G755" s="4" t="s">
        <v>25</v>
      </c>
      <c r="H755" s="4" t="s">
        <v>25</v>
      </c>
      <c r="I755" s="5">
        <v>44866</v>
      </c>
      <c r="J755" s="6">
        <v>0</v>
      </c>
      <c r="K755" s="6">
        <v>0</v>
      </c>
      <c r="L755" s="6">
        <v>586.95500000000004</v>
      </c>
      <c r="M755" s="6">
        <v>586.95500000000004</v>
      </c>
      <c r="N755" s="6">
        <v>586.95500000000004</v>
      </c>
      <c r="O755" s="6">
        <v>586.95500000000004</v>
      </c>
      <c r="P755" s="6">
        <v>3664</v>
      </c>
      <c r="Q755" s="4" t="s">
        <v>26</v>
      </c>
      <c r="R755" s="4">
        <v>0</v>
      </c>
      <c r="S755" s="4">
        <v>0</v>
      </c>
      <c r="T755" s="4">
        <v>52</v>
      </c>
      <c r="U755" s="4">
        <v>96</v>
      </c>
      <c r="V755" s="6">
        <f>IF(ISERROR(VLOOKUP($S$755,'TAR FIN'!$A$1:$O$115,15,0)),0,VLOOKUP($S$755,'TAR FIN'!$A$1:$O$115,15,0))</f>
        <v>0</v>
      </c>
      <c r="W755" s="6">
        <f>IF(ISERROR(VLOOKUP($T$755,'TAR FIN'!$A$1:$O$115,15,0)),0,VLOOKUP($T$755,'TAR FIN'!$A$1:$O$115,15,0))</f>
        <v>407.97</v>
      </c>
      <c r="X755" s="6">
        <f>IF(ISERROR(VLOOKUP($U$755,'TAR FIN'!$A$1:$O$115,15,0)),0,VLOOKUP($U$755,'TAR FIN'!$A$1:$O$115,15,0))</f>
        <v>155.38999999999999</v>
      </c>
      <c r="Y755" s="6"/>
      <c r="Z755" s="6">
        <f ca="1">('TUSD BE'!$AM$50+'TUSD BF'!$AM$50+'TUSD CVA'!$AM$50)*(1-CUSTOS!$M$38)</f>
        <v>472.08658309095875</v>
      </c>
      <c r="AA755" s="6">
        <f>('TE BE'!$AB$33+'TE BF'!$AB$33+'TE CVA'!$AB$33)*(1-CUSTOS!$M$38)</f>
        <v>216.84105597414842</v>
      </c>
      <c r="AB755" s="6">
        <f t="shared" si="32"/>
        <v>0</v>
      </c>
      <c r="AC755" s="6">
        <f>(L755-M755)*(W755+X755)+($W$330+$X$330-$W$755-$X$755)*(L755)</f>
        <v>45089.883100000035</v>
      </c>
      <c r="AD755" s="6">
        <f t="shared" si="33"/>
        <v>0</v>
      </c>
      <c r="AE755" s="6">
        <f ca="1">(L755-M755)*(Z755+AA755)+($Z$330+$AA$330-$Z$755-$AA$755)*(L755)</f>
        <v>25810.820577922994</v>
      </c>
      <c r="AF755" s="4" t="s">
        <v>933</v>
      </c>
    </row>
    <row r="756" spans="1:32" ht="11.25" customHeight="1" x14ac:dyDescent="0.25">
      <c r="A756" s="4" t="s">
        <v>59</v>
      </c>
      <c r="B756" s="4" t="s">
        <v>46</v>
      </c>
      <c r="C756" s="4" t="s">
        <v>23</v>
      </c>
      <c r="D756" s="4" t="s">
        <v>47</v>
      </c>
      <c r="E756" s="4" t="s">
        <v>25</v>
      </c>
      <c r="F756" s="4" t="s">
        <v>25</v>
      </c>
      <c r="G756" s="4" t="s">
        <v>25</v>
      </c>
      <c r="H756" s="4" t="s">
        <v>25</v>
      </c>
      <c r="I756" s="5">
        <v>44866</v>
      </c>
      <c r="J756" s="6">
        <v>0</v>
      </c>
      <c r="K756" s="6">
        <v>0</v>
      </c>
      <c r="L756" s="6">
        <v>-6.76</v>
      </c>
      <c r="M756" s="6">
        <v>-6.76</v>
      </c>
      <c r="N756" s="6">
        <v>-6.76</v>
      </c>
      <c r="O756" s="6">
        <v>-6.76</v>
      </c>
      <c r="P756" s="6">
        <v>0</v>
      </c>
      <c r="Q756" s="4" t="s">
        <v>26</v>
      </c>
      <c r="R756" s="4">
        <v>0</v>
      </c>
      <c r="S756" s="4">
        <v>0</v>
      </c>
      <c r="T756" s="4">
        <v>52</v>
      </c>
      <c r="U756" s="4">
        <v>96</v>
      </c>
      <c r="V756" s="6">
        <f>IF(ISERROR(VLOOKUP($S$756,'TAR FIN'!$A$1:$O$115,15,0)),0,VLOOKUP($S$756,'TAR FIN'!$A$1:$O$115,15,0))</f>
        <v>0</v>
      </c>
      <c r="W756" s="6">
        <f>IF(ISERROR(VLOOKUP($T$756,'TAR FIN'!$A$1:$O$115,15,0)),0,VLOOKUP($T$756,'TAR FIN'!$A$1:$O$115,15,0))</f>
        <v>407.97</v>
      </c>
      <c r="X756" s="6">
        <f>IF(ISERROR(VLOOKUP($U$756,'TAR FIN'!$A$1:$O$115,15,0)),0,VLOOKUP($U$756,'TAR FIN'!$A$1:$O$115,15,0))</f>
        <v>155.38999999999999</v>
      </c>
      <c r="Y756" s="6"/>
      <c r="Z756" s="6">
        <f ca="1">('TUSD BE'!$AM$50+'TUSD BF'!$AM$50+'TUSD CVA'!$AM$50)*(1-CUSTOS!$M$38)</f>
        <v>472.08658309095875</v>
      </c>
      <c r="AA756" s="6">
        <f>('TE BE'!$AB$33+'TE BF'!$AB$33+'TE CVA'!$AB$33)*(1-CUSTOS!$M$38)</f>
        <v>216.84105597414842</v>
      </c>
      <c r="AB756" s="6">
        <f t="shared" si="32"/>
        <v>0</v>
      </c>
      <c r="AC756" s="6">
        <f>(L756-M756)*(W756+X756)+($W$330+$X$330-$W$756-$X$756)*(L756)</f>
        <v>-519.30320000000029</v>
      </c>
      <c r="AD756" s="6">
        <f t="shared" si="33"/>
        <v>0</v>
      </c>
      <c r="AE756" s="6">
        <f ca="1">(L756-M756)*(Z756+AA756)+($Z$330+$AA$330-$Z$756-$AA$756)*(L756)</f>
        <v>-297.26494723915704</v>
      </c>
      <c r="AF756" s="4" t="s">
        <v>933</v>
      </c>
    </row>
    <row r="757" spans="1:32" ht="11.25" customHeight="1" x14ac:dyDescent="0.25">
      <c r="A757" s="4" t="s">
        <v>59</v>
      </c>
      <c r="B757" s="4" t="s">
        <v>46</v>
      </c>
      <c r="C757" s="4" t="s">
        <v>23</v>
      </c>
      <c r="D757" s="4" t="s">
        <v>47</v>
      </c>
      <c r="E757" s="4" t="s">
        <v>25</v>
      </c>
      <c r="F757" s="4" t="s">
        <v>25</v>
      </c>
      <c r="G757" s="4" t="s">
        <v>25</v>
      </c>
      <c r="H757" s="4" t="s">
        <v>25</v>
      </c>
      <c r="I757" s="5">
        <v>44866</v>
      </c>
      <c r="J757" s="6">
        <v>0</v>
      </c>
      <c r="K757" s="6">
        <v>0</v>
      </c>
      <c r="L757" s="6">
        <v>52.517000000000003</v>
      </c>
      <c r="M757" s="6">
        <v>52.517000000000003</v>
      </c>
      <c r="N757" s="6">
        <v>52.517000000000003</v>
      </c>
      <c r="O757" s="6">
        <v>52.517000000000003</v>
      </c>
      <c r="P757" s="6">
        <v>343</v>
      </c>
      <c r="Q757" s="4" t="s">
        <v>26</v>
      </c>
      <c r="R757" s="4">
        <v>0</v>
      </c>
      <c r="S757" s="4">
        <v>0</v>
      </c>
      <c r="T757" s="4">
        <v>52</v>
      </c>
      <c r="U757" s="4">
        <v>96</v>
      </c>
      <c r="V757" s="6">
        <f>IF(ISERROR(VLOOKUP($S$757,'TAR FIN'!$A$1:$O$115,15,0)),0,VLOOKUP($S$757,'TAR FIN'!$A$1:$O$115,15,0))</f>
        <v>0</v>
      </c>
      <c r="W757" s="6">
        <f>IF(ISERROR(VLOOKUP($T$757,'TAR FIN'!$A$1:$O$115,15,0)),0,VLOOKUP($T$757,'TAR FIN'!$A$1:$O$115,15,0))</f>
        <v>407.97</v>
      </c>
      <c r="X757" s="6">
        <f>IF(ISERROR(VLOOKUP($U$757,'TAR FIN'!$A$1:$O$115,15,0)),0,VLOOKUP($U$757,'TAR FIN'!$A$1:$O$115,15,0))</f>
        <v>155.38999999999999</v>
      </c>
      <c r="Y757" s="6"/>
      <c r="Z757" s="6">
        <f ca="1">('TUSD BE'!$AM$50+'TUSD BF'!$AM$50+'TUSD CVA'!$AM$50)*(1-CUSTOS!$M$38)</f>
        <v>472.08658309095875</v>
      </c>
      <c r="AA757" s="6">
        <f>('TE BE'!$AB$33+'TE BF'!$AB$33+'TE CVA'!$AB$33)*(1-CUSTOS!$M$38)</f>
        <v>216.84105597414842</v>
      </c>
      <c r="AB757" s="6">
        <f t="shared" si="32"/>
        <v>0</v>
      </c>
      <c r="AC757" s="6">
        <f>(L757-M757)*(W757+X757)+($W$330+$X$330-$W$757-$X$757)*(L757)</f>
        <v>4034.3559400000026</v>
      </c>
      <c r="AD757" s="6">
        <f t="shared" si="33"/>
        <v>0</v>
      </c>
      <c r="AE757" s="6">
        <f ca="1">(L757-M757)*(Z757+AA757)+($Z$330+$AA$330-$Z$757-$AA$757)*(L757)</f>
        <v>2309.3880523903567</v>
      </c>
      <c r="AF757" s="4" t="s">
        <v>933</v>
      </c>
    </row>
    <row r="758" spans="1:32" ht="11.25" customHeight="1" x14ac:dyDescent="0.25">
      <c r="A758" s="4" t="s">
        <v>21</v>
      </c>
      <c r="B758" s="4" t="s">
        <v>39</v>
      </c>
      <c r="C758" s="4" t="s">
        <v>23</v>
      </c>
      <c r="D758" s="4" t="s">
        <v>52</v>
      </c>
      <c r="E758" s="4" t="s">
        <v>53</v>
      </c>
      <c r="F758" s="4" t="s">
        <v>25</v>
      </c>
      <c r="G758" s="4" t="s">
        <v>25</v>
      </c>
      <c r="H758" s="4" t="s">
        <v>25</v>
      </c>
      <c r="I758" s="5">
        <v>44531</v>
      </c>
      <c r="J758" s="6">
        <v>0</v>
      </c>
      <c r="K758" s="42">
        <v>0</v>
      </c>
      <c r="L758" s="6">
        <v>207.70500000000001</v>
      </c>
      <c r="M758" s="42">
        <v>207.70500000000001</v>
      </c>
      <c r="N758" s="6">
        <v>207.70500000000001</v>
      </c>
      <c r="O758" s="42">
        <v>207.70500000000001</v>
      </c>
      <c r="P758" s="6">
        <v>85</v>
      </c>
      <c r="Q758" s="4" t="s">
        <v>26</v>
      </c>
      <c r="R758" s="4">
        <v>0</v>
      </c>
      <c r="S758" s="4">
        <v>0</v>
      </c>
      <c r="T758" s="4">
        <v>67</v>
      </c>
      <c r="U758" s="4">
        <v>111</v>
      </c>
      <c r="V758" s="42">
        <f>IF(ISERROR(VLOOKUP($S$758,'TAR FIN'!$A$1:$O$115,15,0)),0,VLOOKUP($S$758,'TAR FIN'!$A$1:$O$115,15,0))</f>
        <v>0</v>
      </c>
      <c r="W758" s="42">
        <f>IF(ISERROR(VLOOKUP($T$758,'TAR FIN'!$A$1:$O$115,15,0)),0,VLOOKUP($T$758,'TAR FIN'!$A$1:$O$115,15,0))*(1-0.06)</f>
        <v>435.78399999999999</v>
      </c>
      <c r="X758" s="42">
        <f>IF(ISERROR(VLOOKUP($U$758,'TAR FIN'!$A$1:$O$115,15,0)),0,VLOOKUP($U$758,'TAR FIN'!$A$1:$O$115,15,0))*(1-0.06)</f>
        <v>165.98519999999999</v>
      </c>
      <c r="Y758" s="42"/>
      <c r="Z758" s="42">
        <f ca="1">('TUSD BE'!$AM$65+'TUSD BF'!$AM$65+'TUSD CVA'!$AM$65)*1*(1-0.03)</f>
        <v>487.15317616832982</v>
      </c>
      <c r="AA758" s="42">
        <f>('TE BE'!$AB$48+'TE BF'!$AB$48+'TE CVA'!$AB$48)*1*(1-0.03)</f>
        <v>223.76151520736593</v>
      </c>
      <c r="AB758" s="42">
        <f>(SUBSIDIO!$J$758*SUBSIDIO!$V$758)*(0.06)/(1-0.06)</f>
        <v>0</v>
      </c>
      <c r="AC758" s="42">
        <f>((SUBSIDIO!$L$758*SUBSIDIO!$W$758)+(SUBSIDIO!$N$758*SUBSIDIO!$X$758))*(0.06)/(1-0.06)</f>
        <v>7978.1152140000004</v>
      </c>
      <c r="AD758" s="42">
        <f>(SUBSIDIO!$J$758*SUBSIDIO!$Y$758)*(0.03)/(1-0.03)</f>
        <v>0</v>
      </c>
      <c r="AE758" s="42">
        <f ca="1">((SUBSIDIO!$L$758*SUBSIDIO!$Z$758)+(SUBSIDIO!$N$758*SUBSIDIO!$AA$758))*(0.03)/(1-0.03)</f>
        <v>4566.8207001707906</v>
      </c>
      <c r="AF758" s="4" t="s">
        <v>935</v>
      </c>
    </row>
    <row r="759" spans="1:32" ht="11.25" customHeight="1" x14ac:dyDescent="0.25">
      <c r="A759" s="4" t="s">
        <v>28</v>
      </c>
      <c r="B759" s="4" t="s">
        <v>39</v>
      </c>
      <c r="C759" s="4" t="s">
        <v>23</v>
      </c>
      <c r="D759" s="4" t="s">
        <v>52</v>
      </c>
      <c r="E759" s="4" t="s">
        <v>53</v>
      </c>
      <c r="F759" s="4" t="s">
        <v>25</v>
      </c>
      <c r="G759" s="4" t="s">
        <v>25</v>
      </c>
      <c r="H759" s="4" t="s">
        <v>25</v>
      </c>
      <c r="I759" s="5">
        <v>44531</v>
      </c>
      <c r="J759" s="6">
        <v>0</v>
      </c>
      <c r="K759" s="42">
        <v>0</v>
      </c>
      <c r="L759" s="6">
        <v>578.97699999999998</v>
      </c>
      <c r="M759" s="42">
        <v>578.97699999999998</v>
      </c>
      <c r="N759" s="6">
        <v>578.97699999999998</v>
      </c>
      <c r="O759" s="42">
        <v>578.97699999999998</v>
      </c>
      <c r="P759" s="6">
        <v>111</v>
      </c>
      <c r="Q759" s="4" t="s">
        <v>26</v>
      </c>
      <c r="R759" s="4">
        <v>0</v>
      </c>
      <c r="S759" s="4">
        <v>0</v>
      </c>
      <c r="T759" s="4">
        <v>67</v>
      </c>
      <c r="U759" s="4">
        <v>111</v>
      </c>
      <c r="V759" s="42">
        <f>IF(ISERROR(VLOOKUP($S$759,'TAR FIN'!$A$1:$O$115,15,0)),0,VLOOKUP($S$759,'TAR FIN'!$A$1:$O$115,15,0))</f>
        <v>0</v>
      </c>
      <c r="W759" s="42">
        <f>IF(ISERROR(VLOOKUP($T$759,'TAR FIN'!$A$1:$O$115,15,0)),0,VLOOKUP($T$759,'TAR FIN'!$A$1:$O$115,15,0))*(1-0.06)</f>
        <v>435.78399999999999</v>
      </c>
      <c r="X759" s="42">
        <f>IF(ISERROR(VLOOKUP($U$759,'TAR FIN'!$A$1:$O$115,15,0)),0,VLOOKUP($U$759,'TAR FIN'!$A$1:$O$115,15,0))*(1-0.06)</f>
        <v>165.98519999999999</v>
      </c>
      <c r="Y759" s="42"/>
      <c r="Z759" s="42">
        <f ca="1">('TUSD BE'!$AM$65+'TUSD BF'!$AM$65+'TUSD CVA'!$AM$65)*1*(1-0.03)</f>
        <v>487.15317616832982</v>
      </c>
      <c r="AA759" s="42">
        <f>('TE BE'!$AB$48+'TE BF'!$AB$48+'TE CVA'!$AB$48)*1*(1-0.03)</f>
        <v>223.76151520736593</v>
      </c>
      <c r="AB759" s="42">
        <f>(SUBSIDIO!$J$759*SUBSIDIO!$V$759)*(0.06)/(1-0.06)</f>
        <v>0</v>
      </c>
      <c r="AC759" s="42">
        <f>((SUBSIDIO!$L$759*SUBSIDIO!$W$759)+(SUBSIDIO!$N$759*SUBSIDIO!$X$759))*(0.06)/(1-0.06)</f>
        <v>22238.969751599998</v>
      </c>
      <c r="AD759" s="42">
        <f>(SUBSIDIO!$J$759*SUBSIDIO!$Y$759)*(0.03)/(1-0.03)</f>
        <v>0</v>
      </c>
      <c r="AE759" s="42">
        <f ca="1">((SUBSIDIO!$L$759*SUBSIDIO!$Z$759)+(SUBSIDIO!$N$759*SUBSIDIO!$AA$759))*(0.03)/(1-0.03)</f>
        <v>12729.997585627614</v>
      </c>
      <c r="AF759" s="4" t="s">
        <v>935</v>
      </c>
    </row>
    <row r="760" spans="1:32" ht="11.25" customHeight="1" x14ac:dyDescent="0.25">
      <c r="A760" s="4" t="s">
        <v>21</v>
      </c>
      <c r="B760" s="4" t="s">
        <v>39</v>
      </c>
      <c r="C760" s="4" t="s">
        <v>23</v>
      </c>
      <c r="D760" s="4" t="s">
        <v>52</v>
      </c>
      <c r="E760" s="4" t="s">
        <v>53</v>
      </c>
      <c r="F760" s="4" t="s">
        <v>25</v>
      </c>
      <c r="G760" s="4" t="s">
        <v>25</v>
      </c>
      <c r="H760" s="4" t="s">
        <v>25</v>
      </c>
      <c r="I760" s="5">
        <v>44562</v>
      </c>
      <c r="J760" s="6">
        <v>0</v>
      </c>
      <c r="K760" s="42">
        <v>0</v>
      </c>
      <c r="L760" s="6">
        <v>227.67</v>
      </c>
      <c r="M760" s="42">
        <v>227.67</v>
      </c>
      <c r="N760" s="6">
        <v>227.67</v>
      </c>
      <c r="O760" s="42">
        <v>227.67</v>
      </c>
      <c r="P760" s="6">
        <v>83</v>
      </c>
      <c r="Q760" s="4" t="s">
        <v>26</v>
      </c>
      <c r="R760" s="4">
        <v>0</v>
      </c>
      <c r="S760" s="4">
        <v>0</v>
      </c>
      <c r="T760" s="4">
        <v>67</v>
      </c>
      <c r="U760" s="4">
        <v>111</v>
      </c>
      <c r="V760" s="42">
        <f>IF(ISERROR(VLOOKUP($S$760,'TAR FIN'!$A$1:$O$115,15,0)),0,VLOOKUP($S$760,'TAR FIN'!$A$1:$O$115,15,0))</f>
        <v>0</v>
      </c>
      <c r="W760" s="42">
        <f>IF(ISERROR(VLOOKUP($T$760,'TAR FIN'!$A$1:$O$115,15,0)),0,VLOOKUP($T$760,'TAR FIN'!$A$1:$O$115,15,0))*(1-0.06)</f>
        <v>435.78399999999999</v>
      </c>
      <c r="X760" s="42">
        <f>IF(ISERROR(VLOOKUP($U$760,'TAR FIN'!$A$1:$O$115,15,0)),0,VLOOKUP($U$760,'TAR FIN'!$A$1:$O$115,15,0))*(1-0.06)</f>
        <v>165.98519999999999</v>
      </c>
      <c r="Y760" s="42"/>
      <c r="Z760" s="42">
        <f ca="1">('TUSD BE'!$AM$65+'TUSD BF'!$AM$65+'TUSD CVA'!$AM$65)*1*(1-0.03)</f>
        <v>487.15317616832982</v>
      </c>
      <c r="AA760" s="42">
        <f>('TE BE'!$AB$48+'TE BF'!$AB$48+'TE CVA'!$AB$48)*1*(1-0.03)</f>
        <v>223.76151520736593</v>
      </c>
      <c r="AB760" s="42">
        <f>(SUBSIDIO!$J$760*SUBSIDIO!$V$760)*(0.06)/(1-0.06)</f>
        <v>0</v>
      </c>
      <c r="AC760" s="42">
        <f>((SUBSIDIO!$L$760*SUBSIDIO!$W$760)+(SUBSIDIO!$N$760*SUBSIDIO!$X$760))*(0.06)/(1-0.06)</f>
        <v>8744.986836</v>
      </c>
      <c r="AD760" s="42">
        <f>(SUBSIDIO!$J$760*SUBSIDIO!$Y$760)*(0.03)/(1-0.03)</f>
        <v>0</v>
      </c>
      <c r="AE760" s="42">
        <f ca="1">((SUBSIDIO!$L$760*SUBSIDIO!$Z$760)+(SUBSIDIO!$N$760*SUBSIDIO!$AA$760))*(0.03)/(1-0.03)</f>
        <v>5005.7921995516908</v>
      </c>
      <c r="AF760" s="4" t="s">
        <v>935</v>
      </c>
    </row>
    <row r="761" spans="1:32" ht="11.25" customHeight="1" x14ac:dyDescent="0.25">
      <c r="A761" s="4" t="s">
        <v>28</v>
      </c>
      <c r="B761" s="4" t="s">
        <v>39</v>
      </c>
      <c r="C761" s="4" t="s">
        <v>23</v>
      </c>
      <c r="D761" s="4" t="s">
        <v>52</v>
      </c>
      <c r="E761" s="4" t="s">
        <v>53</v>
      </c>
      <c r="F761" s="4" t="s">
        <v>25</v>
      </c>
      <c r="G761" s="4" t="s">
        <v>25</v>
      </c>
      <c r="H761" s="4" t="s">
        <v>25</v>
      </c>
      <c r="I761" s="5">
        <v>44562</v>
      </c>
      <c r="J761" s="6">
        <v>0</v>
      </c>
      <c r="K761" s="42">
        <v>0</v>
      </c>
      <c r="L761" s="6">
        <v>583.32899999999995</v>
      </c>
      <c r="M761" s="42">
        <v>583.32899999999995</v>
      </c>
      <c r="N761" s="6">
        <v>583.32899999999995</v>
      </c>
      <c r="O761" s="42">
        <v>583.32899999999995</v>
      </c>
      <c r="P761" s="6">
        <v>111</v>
      </c>
      <c r="Q761" s="4" t="s">
        <v>26</v>
      </c>
      <c r="R761" s="4">
        <v>0</v>
      </c>
      <c r="S761" s="4">
        <v>0</v>
      </c>
      <c r="T761" s="4">
        <v>67</v>
      </c>
      <c r="U761" s="4">
        <v>111</v>
      </c>
      <c r="V761" s="42">
        <f>IF(ISERROR(VLOOKUP($S$761,'TAR FIN'!$A$1:$O$115,15,0)),0,VLOOKUP($S$761,'TAR FIN'!$A$1:$O$115,15,0))</f>
        <v>0</v>
      </c>
      <c r="W761" s="42">
        <f>IF(ISERROR(VLOOKUP($T$761,'TAR FIN'!$A$1:$O$115,15,0)),0,VLOOKUP($T$761,'TAR FIN'!$A$1:$O$115,15,0))*(1-0.06)</f>
        <v>435.78399999999999</v>
      </c>
      <c r="X761" s="42">
        <f>IF(ISERROR(VLOOKUP($U$761,'TAR FIN'!$A$1:$O$115,15,0)),0,VLOOKUP($U$761,'TAR FIN'!$A$1:$O$115,15,0))*(1-0.06)</f>
        <v>165.98519999999999</v>
      </c>
      <c r="Y761" s="42"/>
      <c r="Z761" s="42">
        <f ca="1">('TUSD BE'!$AM$65+'TUSD BF'!$AM$65+'TUSD CVA'!$AM$65)*1*(1-0.03)</f>
        <v>487.15317616832982</v>
      </c>
      <c r="AA761" s="42">
        <f>('TE BE'!$AB$48+'TE BF'!$AB$48+'TE CVA'!$AB$48)*1*(1-0.03)</f>
        <v>223.76151520736593</v>
      </c>
      <c r="AB761" s="42">
        <f>(SUBSIDIO!$J$761*SUBSIDIO!$V$761)*(0.06)/(1-0.06)</f>
        <v>0</v>
      </c>
      <c r="AC761" s="42">
        <f>((SUBSIDIO!$L$761*SUBSIDIO!$W$761)+(SUBSIDIO!$N$761*SUBSIDIO!$X$761))*(0.06)/(1-0.06)</f>
        <v>22406.133553200001</v>
      </c>
      <c r="AD761" s="42">
        <f>(SUBSIDIO!$J$761*SUBSIDIO!$Y$761)*(0.03)/(1-0.03)</f>
        <v>0</v>
      </c>
      <c r="AE761" s="42">
        <f ca="1">((SUBSIDIO!$L$761*SUBSIDIO!$Z$761)+(SUBSIDIO!$N$761*SUBSIDIO!$AA$761))*(0.03)/(1-0.03)</f>
        <v>12825.685237283295</v>
      </c>
      <c r="AF761" s="4" t="s">
        <v>935</v>
      </c>
    </row>
    <row r="762" spans="1:32" ht="11.25" customHeight="1" x14ac:dyDescent="0.25">
      <c r="A762" s="4" t="s">
        <v>21</v>
      </c>
      <c r="B762" s="4" t="s">
        <v>39</v>
      </c>
      <c r="C762" s="4" t="s">
        <v>23</v>
      </c>
      <c r="D762" s="4" t="s">
        <v>52</v>
      </c>
      <c r="E762" s="4" t="s">
        <v>53</v>
      </c>
      <c r="F762" s="4" t="s">
        <v>25</v>
      </c>
      <c r="G762" s="4" t="s">
        <v>25</v>
      </c>
      <c r="H762" s="4" t="s">
        <v>25</v>
      </c>
      <c r="I762" s="5">
        <v>44593</v>
      </c>
      <c r="J762" s="6">
        <v>0</v>
      </c>
      <c r="K762" s="42">
        <v>0</v>
      </c>
      <c r="L762" s="6">
        <v>212.714</v>
      </c>
      <c r="M762" s="42">
        <v>212.714</v>
      </c>
      <c r="N762" s="6">
        <v>212.714</v>
      </c>
      <c r="O762" s="42">
        <v>212.714</v>
      </c>
      <c r="P762" s="6">
        <v>83</v>
      </c>
      <c r="Q762" s="4" t="s">
        <v>26</v>
      </c>
      <c r="R762" s="4">
        <v>0</v>
      </c>
      <c r="S762" s="4">
        <v>0</v>
      </c>
      <c r="T762" s="4">
        <v>67</v>
      </c>
      <c r="U762" s="4">
        <v>111</v>
      </c>
      <c r="V762" s="42">
        <f>IF(ISERROR(VLOOKUP($S$762,'TAR FIN'!$A$1:$O$115,15,0)),0,VLOOKUP($S$762,'TAR FIN'!$A$1:$O$115,15,0))</f>
        <v>0</v>
      </c>
      <c r="W762" s="42">
        <f>IF(ISERROR(VLOOKUP($T$762,'TAR FIN'!$A$1:$O$115,15,0)),0,VLOOKUP($T$762,'TAR FIN'!$A$1:$O$115,15,0))*(1-0.06)</f>
        <v>435.78399999999999</v>
      </c>
      <c r="X762" s="42">
        <f>IF(ISERROR(VLOOKUP($U$762,'TAR FIN'!$A$1:$O$115,15,0)),0,VLOOKUP($U$762,'TAR FIN'!$A$1:$O$115,15,0))*(1-0.06)</f>
        <v>165.98519999999999</v>
      </c>
      <c r="Y762" s="42"/>
      <c r="Z762" s="42">
        <f ca="1">('TUSD BE'!$AM$65+'TUSD BF'!$AM$65+'TUSD CVA'!$AM$65)*1*(1-0.03)</f>
        <v>487.15317616832982</v>
      </c>
      <c r="AA762" s="42">
        <f>('TE BE'!$AB$48+'TE BF'!$AB$48+'TE CVA'!$AB$48)*1*(1-0.03)</f>
        <v>223.76151520736593</v>
      </c>
      <c r="AB762" s="42">
        <f>(SUBSIDIO!$J$762*SUBSIDIO!$V$762)*(0.06)/(1-0.06)</f>
        <v>0</v>
      </c>
      <c r="AC762" s="42">
        <f>((SUBSIDIO!$L$762*SUBSIDIO!$W$762)+(SUBSIDIO!$N$762*SUBSIDIO!$X$762))*(0.06)/(1-0.06)</f>
        <v>8170.5149111999999</v>
      </c>
      <c r="AD762" s="42">
        <f>(SUBSIDIO!$J$762*SUBSIDIO!$Y$762)*(0.03)/(1-0.03)</f>
        <v>0</v>
      </c>
      <c r="AE762" s="42">
        <f ca="1">((SUBSIDIO!$L$762*SUBSIDIO!$Z$762)+(SUBSIDIO!$N$762*SUBSIDIO!$AA$762))*(0.03)/(1-0.03)</f>
        <v>4676.9538451945282</v>
      </c>
      <c r="AF762" s="4" t="s">
        <v>935</v>
      </c>
    </row>
    <row r="763" spans="1:32" ht="11.25" customHeight="1" x14ac:dyDescent="0.25">
      <c r="A763" s="4" t="s">
        <v>27</v>
      </c>
      <c r="B763" s="4" t="s">
        <v>39</v>
      </c>
      <c r="C763" s="4" t="s">
        <v>23</v>
      </c>
      <c r="D763" s="4" t="s">
        <v>52</v>
      </c>
      <c r="E763" s="4" t="s">
        <v>53</v>
      </c>
      <c r="F763" s="4" t="s">
        <v>25</v>
      </c>
      <c r="G763" s="4" t="s">
        <v>25</v>
      </c>
      <c r="H763" s="4" t="s">
        <v>25</v>
      </c>
      <c r="I763" s="5">
        <v>44593</v>
      </c>
      <c r="J763" s="6">
        <v>0</v>
      </c>
      <c r="K763" s="42">
        <v>0</v>
      </c>
      <c r="L763" s="6">
        <v>4.2999999999999997E-2</v>
      </c>
      <c r="M763" s="42">
        <v>4.2999999999999997E-2</v>
      </c>
      <c r="N763" s="6">
        <v>4.2999999999999997E-2</v>
      </c>
      <c r="O763" s="42">
        <v>4.2999999999999997E-2</v>
      </c>
      <c r="P763" s="6">
        <v>0</v>
      </c>
      <c r="Q763" s="4" t="s">
        <v>26</v>
      </c>
      <c r="R763" s="4">
        <v>0</v>
      </c>
      <c r="S763" s="4">
        <v>0</v>
      </c>
      <c r="T763" s="4">
        <v>67</v>
      </c>
      <c r="U763" s="4">
        <v>111</v>
      </c>
      <c r="V763" s="42">
        <f>IF(ISERROR(VLOOKUP($S$763,'TAR FIN'!$A$1:$O$115,15,0)),0,VLOOKUP($S$763,'TAR FIN'!$A$1:$O$115,15,0))</f>
        <v>0</v>
      </c>
      <c r="W763" s="42">
        <f>IF(ISERROR(VLOOKUP($T$763,'TAR FIN'!$A$1:$O$115,15,0)),0,VLOOKUP($T$763,'TAR FIN'!$A$1:$O$115,15,0))*(1-0.06)</f>
        <v>435.78399999999999</v>
      </c>
      <c r="X763" s="42">
        <f>IF(ISERROR(VLOOKUP($U$763,'TAR FIN'!$A$1:$O$115,15,0)),0,VLOOKUP($U$763,'TAR FIN'!$A$1:$O$115,15,0))*(1-0.06)</f>
        <v>165.98519999999999</v>
      </c>
      <c r="Y763" s="42"/>
      <c r="Z763" s="42">
        <f ca="1">('TUSD BE'!$AM$65+'TUSD BF'!$AM$65+'TUSD CVA'!$AM$65)*1*(1-0.03)</f>
        <v>487.15317616832982</v>
      </c>
      <c r="AA763" s="42">
        <f>('TE BE'!$AB$48+'TE BF'!$AB$48+'TE CVA'!$AB$48)*1*(1-0.03)</f>
        <v>223.76151520736593</v>
      </c>
      <c r="AB763" s="42">
        <f>(SUBSIDIO!$J$763*SUBSIDIO!$V$763)*(0.06)/(1-0.06)</f>
        <v>0</v>
      </c>
      <c r="AC763" s="42">
        <f>((SUBSIDIO!$L$763*SUBSIDIO!$W$763)+(SUBSIDIO!$N$763*SUBSIDIO!$X$763))*(0.06)/(1-0.06)</f>
        <v>1.6516644</v>
      </c>
      <c r="AD763" s="42">
        <f>(SUBSIDIO!$J$763*SUBSIDIO!$Y$763)*(0.03)/(1-0.03)</f>
        <v>0</v>
      </c>
      <c r="AE763" s="42">
        <f ca="1">((SUBSIDIO!$L$763*SUBSIDIO!$Z$763)+(SUBSIDIO!$N$763*SUBSIDIO!$AA$763))*(0.03)/(1-0.03)</f>
        <v>0.94544324935530666</v>
      </c>
      <c r="AF763" s="4" t="s">
        <v>935</v>
      </c>
    </row>
    <row r="764" spans="1:32" ht="11.25" customHeight="1" x14ac:dyDescent="0.25">
      <c r="A764" s="4" t="s">
        <v>28</v>
      </c>
      <c r="B764" s="4" t="s">
        <v>39</v>
      </c>
      <c r="C764" s="4" t="s">
        <v>23</v>
      </c>
      <c r="D764" s="4" t="s">
        <v>52</v>
      </c>
      <c r="E764" s="4" t="s">
        <v>53</v>
      </c>
      <c r="F764" s="4" t="s">
        <v>25</v>
      </c>
      <c r="G764" s="4" t="s">
        <v>25</v>
      </c>
      <c r="H764" s="4" t="s">
        <v>25</v>
      </c>
      <c r="I764" s="5">
        <v>44593</v>
      </c>
      <c r="J764" s="6">
        <v>0</v>
      </c>
      <c r="K764" s="42">
        <v>0</v>
      </c>
      <c r="L764" s="6">
        <v>576.90099999999995</v>
      </c>
      <c r="M764" s="42">
        <v>576.90099999999995</v>
      </c>
      <c r="N764" s="6">
        <v>576.90099999999995</v>
      </c>
      <c r="O764" s="42">
        <v>576.90099999999995</v>
      </c>
      <c r="P764" s="6">
        <v>111</v>
      </c>
      <c r="Q764" s="4" t="s">
        <v>26</v>
      </c>
      <c r="R764" s="4">
        <v>0</v>
      </c>
      <c r="S764" s="4">
        <v>0</v>
      </c>
      <c r="T764" s="4">
        <v>67</v>
      </c>
      <c r="U764" s="4">
        <v>111</v>
      </c>
      <c r="V764" s="42">
        <f>IF(ISERROR(VLOOKUP($S$764,'TAR FIN'!$A$1:$O$115,15,0)),0,VLOOKUP($S$764,'TAR FIN'!$A$1:$O$115,15,0))</f>
        <v>0</v>
      </c>
      <c r="W764" s="42">
        <f>IF(ISERROR(VLOOKUP($T$764,'TAR FIN'!$A$1:$O$115,15,0)),0,VLOOKUP($T$764,'TAR FIN'!$A$1:$O$115,15,0))*(1-0.06)</f>
        <v>435.78399999999999</v>
      </c>
      <c r="X764" s="42">
        <f>IF(ISERROR(VLOOKUP($U$764,'TAR FIN'!$A$1:$O$115,15,0)),0,VLOOKUP($U$764,'TAR FIN'!$A$1:$O$115,15,0))*(1-0.06)</f>
        <v>165.98519999999999</v>
      </c>
      <c r="Y764" s="42"/>
      <c r="Z764" s="42">
        <f ca="1">('TUSD BE'!$AM$65+'TUSD BF'!$AM$65+'TUSD CVA'!$AM$65)*1*(1-0.03)</f>
        <v>487.15317616832982</v>
      </c>
      <c r="AA764" s="42">
        <f>('TE BE'!$AB$48+'TE BF'!$AB$48+'TE CVA'!$AB$48)*1*(1-0.03)</f>
        <v>223.76151520736593</v>
      </c>
      <c r="AB764" s="42">
        <f>(SUBSIDIO!$J$764*SUBSIDIO!$V$764)*(0.06)/(1-0.06)</f>
        <v>0</v>
      </c>
      <c r="AC764" s="42">
        <f>((SUBSIDIO!$L$764*SUBSIDIO!$W$764)+(SUBSIDIO!$N$764*SUBSIDIO!$X$764))*(0.06)/(1-0.06)</f>
        <v>22159.228930799996</v>
      </c>
      <c r="AD764" s="42">
        <f>(SUBSIDIO!$J$764*SUBSIDIO!$Y$764)*(0.03)/(1-0.03)</f>
        <v>0</v>
      </c>
      <c r="AE764" s="42">
        <f ca="1">((SUBSIDIO!$L$764*SUBSIDIO!$Z$764)+(SUBSIDIO!$N$764*SUBSIDIO!$AA$764))*(0.03)/(1-0.03)</f>
        <v>12684.352465030832</v>
      </c>
      <c r="AF764" s="4" t="s">
        <v>935</v>
      </c>
    </row>
    <row r="765" spans="1:32" ht="11.25" customHeight="1" x14ac:dyDescent="0.25">
      <c r="A765" s="4" t="s">
        <v>21</v>
      </c>
      <c r="B765" s="4" t="s">
        <v>39</v>
      </c>
      <c r="C765" s="4" t="s">
        <v>23</v>
      </c>
      <c r="D765" s="4" t="s">
        <v>52</v>
      </c>
      <c r="E765" s="4" t="s">
        <v>53</v>
      </c>
      <c r="F765" s="4" t="s">
        <v>25</v>
      </c>
      <c r="G765" s="4" t="s">
        <v>25</v>
      </c>
      <c r="H765" s="4" t="s">
        <v>25</v>
      </c>
      <c r="I765" s="5">
        <v>44621</v>
      </c>
      <c r="J765" s="6">
        <v>0</v>
      </c>
      <c r="K765" s="42">
        <v>0</v>
      </c>
      <c r="L765" s="6">
        <v>199.59299999999999</v>
      </c>
      <c r="M765" s="42">
        <v>199.59299999999999</v>
      </c>
      <c r="N765" s="6">
        <v>199.59299999999999</v>
      </c>
      <c r="O765" s="42">
        <v>199.59299999999999</v>
      </c>
      <c r="P765" s="6">
        <v>81</v>
      </c>
      <c r="Q765" s="4" t="s">
        <v>26</v>
      </c>
      <c r="R765" s="4">
        <v>0</v>
      </c>
      <c r="S765" s="4">
        <v>0</v>
      </c>
      <c r="T765" s="4">
        <v>67</v>
      </c>
      <c r="U765" s="4">
        <v>111</v>
      </c>
      <c r="V765" s="42">
        <f>IF(ISERROR(VLOOKUP($S$765,'TAR FIN'!$A$1:$O$115,15,0)),0,VLOOKUP($S$765,'TAR FIN'!$A$1:$O$115,15,0))</f>
        <v>0</v>
      </c>
      <c r="W765" s="42">
        <f>IF(ISERROR(VLOOKUP($T$765,'TAR FIN'!$A$1:$O$115,15,0)),0,VLOOKUP($T$765,'TAR FIN'!$A$1:$O$115,15,0))*(1-0.06)</f>
        <v>435.78399999999999</v>
      </c>
      <c r="X765" s="42">
        <f>IF(ISERROR(VLOOKUP($U$765,'TAR FIN'!$A$1:$O$115,15,0)),0,VLOOKUP($U$765,'TAR FIN'!$A$1:$O$115,15,0))*(1-0.06)</f>
        <v>165.98519999999999</v>
      </c>
      <c r="Y765" s="42"/>
      <c r="Z765" s="42">
        <f ca="1">('TUSD BE'!$AM$65+'TUSD BF'!$AM$65+'TUSD CVA'!$AM$65)*1*(1-0.03)</f>
        <v>487.15317616832982</v>
      </c>
      <c r="AA765" s="42">
        <f>('TE BE'!$AB$48+'TE BF'!$AB$48+'TE CVA'!$AB$48)*1*(1-0.03)</f>
        <v>223.76151520736593</v>
      </c>
      <c r="AB765" s="42">
        <f>(SUBSIDIO!$J$765*SUBSIDIO!$V$765)*(0.06)/(1-0.06)</f>
        <v>0</v>
      </c>
      <c r="AC765" s="42">
        <f>((SUBSIDIO!$L$765*SUBSIDIO!$W$765)+(SUBSIDIO!$N$765*SUBSIDIO!$X$765))*(0.06)/(1-0.06)</f>
        <v>7666.5268043999995</v>
      </c>
      <c r="AD765" s="42">
        <f>(SUBSIDIO!$J$765*SUBSIDIO!$Y$765)*(0.03)/(1-0.03)</f>
        <v>0</v>
      </c>
      <c r="AE765" s="42">
        <f ca="1">((SUBSIDIO!$L$765*SUBSIDIO!$Z$765)+(SUBSIDIO!$N$765*SUBSIDIO!$AA$765))*(0.03)/(1-0.03)</f>
        <v>4388.4617318272958</v>
      </c>
      <c r="AF765" s="4" t="s">
        <v>935</v>
      </c>
    </row>
    <row r="766" spans="1:32" ht="11.25" customHeight="1" x14ac:dyDescent="0.25">
      <c r="A766" s="4" t="s">
        <v>28</v>
      </c>
      <c r="B766" s="4" t="s">
        <v>39</v>
      </c>
      <c r="C766" s="4" t="s">
        <v>23</v>
      </c>
      <c r="D766" s="4" t="s">
        <v>52</v>
      </c>
      <c r="E766" s="4" t="s">
        <v>53</v>
      </c>
      <c r="F766" s="4" t="s">
        <v>25</v>
      </c>
      <c r="G766" s="4" t="s">
        <v>25</v>
      </c>
      <c r="H766" s="4" t="s">
        <v>25</v>
      </c>
      <c r="I766" s="5">
        <v>44621</v>
      </c>
      <c r="J766" s="6">
        <v>0</v>
      </c>
      <c r="K766" s="42">
        <v>0</v>
      </c>
      <c r="L766" s="6">
        <v>556.97799999999995</v>
      </c>
      <c r="M766" s="42">
        <v>556.97799999999995</v>
      </c>
      <c r="N766" s="6">
        <v>556.97799999999995</v>
      </c>
      <c r="O766" s="42">
        <v>556.97799999999995</v>
      </c>
      <c r="P766" s="6">
        <v>110</v>
      </c>
      <c r="Q766" s="4" t="s">
        <v>26</v>
      </c>
      <c r="R766" s="4">
        <v>0</v>
      </c>
      <c r="S766" s="4">
        <v>0</v>
      </c>
      <c r="T766" s="4">
        <v>67</v>
      </c>
      <c r="U766" s="4">
        <v>111</v>
      </c>
      <c r="V766" s="42">
        <f>IF(ISERROR(VLOOKUP($S$766,'TAR FIN'!$A$1:$O$115,15,0)),0,VLOOKUP($S$766,'TAR FIN'!$A$1:$O$115,15,0))</f>
        <v>0</v>
      </c>
      <c r="W766" s="42">
        <f>IF(ISERROR(VLOOKUP($T$766,'TAR FIN'!$A$1:$O$115,15,0)),0,VLOOKUP($T$766,'TAR FIN'!$A$1:$O$115,15,0))*(1-0.06)</f>
        <v>435.78399999999999</v>
      </c>
      <c r="X766" s="42">
        <f>IF(ISERROR(VLOOKUP($U$766,'TAR FIN'!$A$1:$O$115,15,0)),0,VLOOKUP($U$766,'TAR FIN'!$A$1:$O$115,15,0))*(1-0.06)</f>
        <v>165.98519999999999</v>
      </c>
      <c r="Y766" s="42"/>
      <c r="Z766" s="42">
        <f ca="1">('TUSD BE'!$AM$65+'TUSD BF'!$AM$65+'TUSD CVA'!$AM$65)*1*(1-0.03)</f>
        <v>487.15317616832982</v>
      </c>
      <c r="AA766" s="42">
        <f>('TE BE'!$AB$48+'TE BF'!$AB$48+'TE CVA'!$AB$48)*1*(1-0.03)</f>
        <v>223.76151520736593</v>
      </c>
      <c r="AB766" s="42">
        <f>(SUBSIDIO!$J$766*SUBSIDIO!$V$766)*(0.06)/(1-0.06)</f>
        <v>0</v>
      </c>
      <c r="AC766" s="42">
        <f>((SUBSIDIO!$L$766*SUBSIDIO!$W$766)+(SUBSIDIO!$N$766*SUBSIDIO!$X$766))*(0.06)/(1-0.06)</f>
        <v>21393.970562399998</v>
      </c>
      <c r="AD766" s="42">
        <f>(SUBSIDIO!$J$766*SUBSIDIO!$Y$766)*(0.03)/(1-0.03)</f>
        <v>0</v>
      </c>
      <c r="AE766" s="42">
        <f ca="1">((SUBSIDIO!$L$766*SUBSIDIO!$Z$766)+(SUBSIDIO!$N$766*SUBSIDIO!$AA$766))*(0.03)/(1-0.03)</f>
        <v>12246.304421846979</v>
      </c>
      <c r="AF766" s="4" t="s">
        <v>935</v>
      </c>
    </row>
    <row r="767" spans="1:32" ht="11.25" customHeight="1" x14ac:dyDescent="0.25">
      <c r="A767" s="4" t="s">
        <v>21</v>
      </c>
      <c r="B767" s="4" t="s">
        <v>39</v>
      </c>
      <c r="C767" s="4" t="s">
        <v>23</v>
      </c>
      <c r="D767" s="4" t="s">
        <v>52</v>
      </c>
      <c r="E767" s="4" t="s">
        <v>53</v>
      </c>
      <c r="F767" s="4" t="s">
        <v>25</v>
      </c>
      <c r="G767" s="4" t="s">
        <v>25</v>
      </c>
      <c r="H767" s="4" t="s">
        <v>25</v>
      </c>
      <c r="I767" s="5">
        <v>44652</v>
      </c>
      <c r="J767" s="6">
        <v>0</v>
      </c>
      <c r="K767" s="42">
        <v>0</v>
      </c>
      <c r="L767" s="6">
        <v>228.82</v>
      </c>
      <c r="M767" s="42">
        <v>228.82</v>
      </c>
      <c r="N767" s="6">
        <v>228.82</v>
      </c>
      <c r="O767" s="42">
        <v>228.82</v>
      </c>
      <c r="P767" s="6">
        <v>64</v>
      </c>
      <c r="Q767" s="4" t="s">
        <v>26</v>
      </c>
      <c r="R767" s="4">
        <v>0</v>
      </c>
      <c r="S767" s="4">
        <v>0</v>
      </c>
      <c r="T767" s="4">
        <v>67</v>
      </c>
      <c r="U767" s="4">
        <v>111</v>
      </c>
      <c r="V767" s="42">
        <f>IF(ISERROR(VLOOKUP($S$767,'TAR FIN'!$A$1:$O$115,15,0)),0,VLOOKUP($S$767,'TAR FIN'!$A$1:$O$115,15,0))</f>
        <v>0</v>
      </c>
      <c r="W767" s="42">
        <f>IF(ISERROR(VLOOKUP($T$767,'TAR FIN'!$A$1:$O$115,15,0)),0,VLOOKUP($T$767,'TAR FIN'!$A$1:$O$115,15,0))*(1-0.06)</f>
        <v>435.78399999999999</v>
      </c>
      <c r="X767" s="42">
        <f>IF(ISERROR(VLOOKUP($U$767,'TAR FIN'!$A$1:$O$115,15,0)),0,VLOOKUP($U$767,'TAR FIN'!$A$1:$O$115,15,0))*(1-0.06)</f>
        <v>165.98519999999999</v>
      </c>
      <c r="Y767" s="42"/>
      <c r="Z767" s="42">
        <f ca="1">('TUSD BE'!$AM$65+'TUSD BF'!$AM$65+'TUSD CVA'!$AM$65)*1*(1-0.03)</f>
        <v>487.15317616832982</v>
      </c>
      <c r="AA767" s="42">
        <f>('TE BE'!$AB$48+'TE BF'!$AB$48+'TE CVA'!$AB$48)*1*(1-0.03)</f>
        <v>223.76151520736593</v>
      </c>
      <c r="AB767" s="42">
        <f>(SUBSIDIO!$J$767*SUBSIDIO!$V$767)*(0.06)/(1-0.06)</f>
        <v>0</v>
      </c>
      <c r="AC767" s="42">
        <f>((SUBSIDIO!$L$767*SUBSIDIO!$W$767)+(SUBSIDIO!$N$767*SUBSIDIO!$X$767))*(0.06)/(1-0.06)</f>
        <v>8789.159255999999</v>
      </c>
      <c r="AD767" s="42">
        <f>(SUBSIDIO!$J$767*SUBSIDIO!$Y$767)*(0.03)/(1-0.03)</f>
        <v>0</v>
      </c>
      <c r="AE767" s="42">
        <f ca="1">((SUBSIDIO!$L$767*SUBSIDIO!$Z$767)+(SUBSIDIO!$N$767*SUBSIDIO!$AA$767))*(0.03)/(1-0.03)</f>
        <v>5031.0773097088668</v>
      </c>
      <c r="AF767" s="4" t="s">
        <v>935</v>
      </c>
    </row>
    <row r="768" spans="1:32" ht="11.25" customHeight="1" x14ac:dyDescent="0.25">
      <c r="A768" s="4" t="s">
        <v>28</v>
      </c>
      <c r="B768" s="4" t="s">
        <v>39</v>
      </c>
      <c r="C768" s="4" t="s">
        <v>23</v>
      </c>
      <c r="D768" s="4" t="s">
        <v>52</v>
      </c>
      <c r="E768" s="4" t="s">
        <v>53</v>
      </c>
      <c r="F768" s="4" t="s">
        <v>25</v>
      </c>
      <c r="G768" s="4" t="s">
        <v>25</v>
      </c>
      <c r="H768" s="4" t="s">
        <v>25</v>
      </c>
      <c r="I768" s="5">
        <v>44652</v>
      </c>
      <c r="J768" s="6">
        <v>0</v>
      </c>
      <c r="K768" s="42">
        <v>0</v>
      </c>
      <c r="L768" s="6">
        <v>619.88599999999997</v>
      </c>
      <c r="M768" s="42">
        <v>619.88599999999997</v>
      </c>
      <c r="N768" s="6">
        <v>619.88599999999997</v>
      </c>
      <c r="O768" s="42">
        <v>619.88599999999997</v>
      </c>
      <c r="P768" s="6">
        <v>110</v>
      </c>
      <c r="Q768" s="4" t="s">
        <v>26</v>
      </c>
      <c r="R768" s="4">
        <v>0</v>
      </c>
      <c r="S768" s="4">
        <v>0</v>
      </c>
      <c r="T768" s="4">
        <v>67</v>
      </c>
      <c r="U768" s="4">
        <v>111</v>
      </c>
      <c r="V768" s="42">
        <f>IF(ISERROR(VLOOKUP($S$768,'TAR FIN'!$A$1:$O$115,15,0)),0,VLOOKUP($S$768,'TAR FIN'!$A$1:$O$115,15,0))</f>
        <v>0</v>
      </c>
      <c r="W768" s="42">
        <f>IF(ISERROR(VLOOKUP($T$768,'TAR FIN'!$A$1:$O$115,15,0)),0,VLOOKUP($T$768,'TAR FIN'!$A$1:$O$115,15,0))*(1-0.06)</f>
        <v>435.78399999999999</v>
      </c>
      <c r="X768" s="42">
        <f>IF(ISERROR(VLOOKUP($U$768,'TAR FIN'!$A$1:$O$115,15,0)),0,VLOOKUP($U$768,'TAR FIN'!$A$1:$O$115,15,0))*(1-0.06)</f>
        <v>165.98519999999999</v>
      </c>
      <c r="Y768" s="42"/>
      <c r="Z768" s="42">
        <f ca="1">('TUSD BE'!$AM$65+'TUSD BF'!$AM$65+'TUSD CVA'!$AM$65)*1*(1-0.03)</f>
        <v>487.15317616832982</v>
      </c>
      <c r="AA768" s="42">
        <f>('TE BE'!$AB$48+'TE BF'!$AB$48+'TE CVA'!$AB$48)*1*(1-0.03)</f>
        <v>223.76151520736593</v>
      </c>
      <c r="AB768" s="42">
        <f>(SUBSIDIO!$J$768*SUBSIDIO!$V$768)*(0.06)/(1-0.06)</f>
        <v>0</v>
      </c>
      <c r="AC768" s="42">
        <f>((SUBSIDIO!$L$768*SUBSIDIO!$W$768)+(SUBSIDIO!$N$768*SUBSIDIO!$X$768))*(0.06)/(1-0.06)</f>
        <v>23810.3171688</v>
      </c>
      <c r="AD768" s="42">
        <f>(SUBSIDIO!$J$768*SUBSIDIO!$Y$768)*(0.03)/(1-0.03)</f>
        <v>0</v>
      </c>
      <c r="AE768" s="42">
        <f ca="1">((SUBSIDIO!$L$768*SUBSIDIO!$Z$768)+(SUBSIDIO!$N$768*SUBSIDIO!$AA$768))*(0.03)/(1-0.03)</f>
        <v>13629.46590860148</v>
      </c>
      <c r="AF768" s="4" t="s">
        <v>935</v>
      </c>
    </row>
    <row r="769" spans="1:32" ht="11.25" customHeight="1" x14ac:dyDescent="0.25">
      <c r="A769" s="4" t="s">
        <v>21</v>
      </c>
      <c r="B769" s="4" t="s">
        <v>39</v>
      </c>
      <c r="C769" s="4" t="s">
        <v>23</v>
      </c>
      <c r="D769" s="4" t="s">
        <v>52</v>
      </c>
      <c r="E769" s="4" t="s">
        <v>53</v>
      </c>
      <c r="F769" s="4" t="s">
        <v>25</v>
      </c>
      <c r="G769" s="4" t="s">
        <v>25</v>
      </c>
      <c r="H769" s="4" t="s">
        <v>25</v>
      </c>
      <c r="I769" s="5">
        <v>44682</v>
      </c>
      <c r="J769" s="6">
        <v>0</v>
      </c>
      <c r="K769" s="42">
        <v>0</v>
      </c>
      <c r="L769" s="6">
        <v>192.78</v>
      </c>
      <c r="M769" s="42">
        <v>192.78</v>
      </c>
      <c r="N769" s="6">
        <v>192.78</v>
      </c>
      <c r="O769" s="42">
        <v>192.78</v>
      </c>
      <c r="P769" s="6">
        <v>44</v>
      </c>
      <c r="Q769" s="4" t="s">
        <v>26</v>
      </c>
      <c r="R769" s="4">
        <v>0</v>
      </c>
      <c r="S769" s="4">
        <v>0</v>
      </c>
      <c r="T769" s="4">
        <v>67</v>
      </c>
      <c r="U769" s="4">
        <v>111</v>
      </c>
      <c r="V769" s="42">
        <f>IF(ISERROR(VLOOKUP($S$769,'TAR FIN'!$A$1:$O$115,15,0)),0,VLOOKUP($S$769,'TAR FIN'!$A$1:$O$115,15,0))</f>
        <v>0</v>
      </c>
      <c r="W769" s="42">
        <f>IF(ISERROR(VLOOKUP($T$769,'TAR FIN'!$A$1:$O$115,15,0)),0,VLOOKUP($T$769,'TAR FIN'!$A$1:$O$115,15,0))*(1-0.06)</f>
        <v>435.78399999999999</v>
      </c>
      <c r="X769" s="42">
        <f>IF(ISERROR(VLOOKUP($U$769,'TAR FIN'!$A$1:$O$115,15,0)),0,VLOOKUP($U$769,'TAR FIN'!$A$1:$O$115,15,0))*(1-0.06)</f>
        <v>165.98519999999999</v>
      </c>
      <c r="Y769" s="42"/>
      <c r="Z769" s="42">
        <f ca="1">('TUSD BE'!$AM$65+'TUSD BF'!$AM$65+'TUSD CVA'!$AM$65)*1*(1-0.03)</f>
        <v>487.15317616832982</v>
      </c>
      <c r="AA769" s="42">
        <f>('TE BE'!$AB$48+'TE BF'!$AB$48+'TE CVA'!$AB$48)*1*(1-0.03)</f>
        <v>223.76151520736593</v>
      </c>
      <c r="AB769" s="42">
        <f>(SUBSIDIO!$J$769*SUBSIDIO!$V$769)*(0.06)/(1-0.06)</f>
        <v>0</v>
      </c>
      <c r="AC769" s="42">
        <f>((SUBSIDIO!$L$769*SUBSIDIO!$W$769)+(SUBSIDIO!$N$769*SUBSIDIO!$X$769))*(0.06)/(1-0.06)</f>
        <v>7404.8340239999998</v>
      </c>
      <c r="AD769" s="42">
        <f>(SUBSIDIO!$J$769*SUBSIDIO!$Y$769)*(0.03)/(1-0.03)</f>
        <v>0</v>
      </c>
      <c r="AE769" s="42">
        <f ca="1">((SUBSIDIO!$L$769*SUBSIDIO!$Z$769)+(SUBSIDIO!$N$769*SUBSIDIO!$AA$769))*(0.03)/(1-0.03)</f>
        <v>4238.6639444352568</v>
      </c>
      <c r="AF769" s="4" t="s">
        <v>935</v>
      </c>
    </row>
    <row r="770" spans="1:32" ht="11.25" customHeight="1" x14ac:dyDescent="0.25">
      <c r="A770" s="4" t="s">
        <v>27</v>
      </c>
      <c r="B770" s="4" t="s">
        <v>39</v>
      </c>
      <c r="C770" s="4" t="s">
        <v>23</v>
      </c>
      <c r="D770" s="4" t="s">
        <v>52</v>
      </c>
      <c r="E770" s="4" t="s">
        <v>53</v>
      </c>
      <c r="F770" s="4" t="s">
        <v>25</v>
      </c>
      <c r="G770" s="4" t="s">
        <v>25</v>
      </c>
      <c r="H770" s="4" t="s">
        <v>25</v>
      </c>
      <c r="I770" s="5">
        <v>44682</v>
      </c>
      <c r="J770" s="6">
        <v>0</v>
      </c>
      <c r="K770" s="42">
        <v>0</v>
      </c>
      <c r="L770" s="6">
        <v>-0.1</v>
      </c>
      <c r="M770" s="42">
        <v>-0.1</v>
      </c>
      <c r="N770" s="6">
        <v>-0.1</v>
      </c>
      <c r="O770" s="42">
        <v>-0.1</v>
      </c>
      <c r="P770" s="6">
        <v>-1</v>
      </c>
      <c r="Q770" s="4" t="s">
        <v>26</v>
      </c>
      <c r="R770" s="4">
        <v>0</v>
      </c>
      <c r="S770" s="4">
        <v>0</v>
      </c>
      <c r="T770" s="4">
        <v>67</v>
      </c>
      <c r="U770" s="4">
        <v>111</v>
      </c>
      <c r="V770" s="42">
        <f>IF(ISERROR(VLOOKUP($S$770,'TAR FIN'!$A$1:$O$115,15,0)),0,VLOOKUP($S$770,'TAR FIN'!$A$1:$O$115,15,0))</f>
        <v>0</v>
      </c>
      <c r="W770" s="42">
        <f>IF(ISERROR(VLOOKUP($T$770,'TAR FIN'!$A$1:$O$115,15,0)),0,VLOOKUP($T$770,'TAR FIN'!$A$1:$O$115,15,0))*(1-0.06)</f>
        <v>435.78399999999999</v>
      </c>
      <c r="X770" s="42">
        <f>IF(ISERROR(VLOOKUP($U$770,'TAR FIN'!$A$1:$O$115,15,0)),0,VLOOKUP($U$770,'TAR FIN'!$A$1:$O$115,15,0))*(1-0.06)</f>
        <v>165.98519999999999</v>
      </c>
      <c r="Y770" s="42"/>
      <c r="Z770" s="42">
        <f ca="1">('TUSD BE'!$AM$65+'TUSD BF'!$AM$65+'TUSD CVA'!$AM$65)*1*(1-0.03)</f>
        <v>487.15317616832982</v>
      </c>
      <c r="AA770" s="42">
        <f>('TE BE'!$AB$48+'TE BF'!$AB$48+'TE CVA'!$AB$48)*1*(1-0.03)</f>
        <v>223.76151520736593</v>
      </c>
      <c r="AB770" s="42">
        <f>(SUBSIDIO!$J$770*SUBSIDIO!$V$770)*(0.06)/(1-0.06)</f>
        <v>0</v>
      </c>
      <c r="AC770" s="42">
        <f>((SUBSIDIO!$L$770*SUBSIDIO!$W$770)+(SUBSIDIO!$N$770*SUBSIDIO!$X$770))*(0.06)/(1-0.06)</f>
        <v>-3.8410799999999998</v>
      </c>
      <c r="AD770" s="42">
        <f>(SUBSIDIO!$J$770*SUBSIDIO!$Y$770)*(0.03)/(1-0.03)</f>
        <v>0</v>
      </c>
      <c r="AE770" s="42">
        <f ca="1">((SUBSIDIO!$L$770*SUBSIDIO!$Z$770)+(SUBSIDIO!$N$770*SUBSIDIO!$AA$770))*(0.03)/(1-0.03)</f>
        <v>-2.1987052310588528</v>
      </c>
      <c r="AF770" s="4" t="s">
        <v>935</v>
      </c>
    </row>
    <row r="771" spans="1:32" ht="11.25" customHeight="1" x14ac:dyDescent="0.25">
      <c r="A771" s="4" t="s">
        <v>28</v>
      </c>
      <c r="B771" s="4" t="s">
        <v>39</v>
      </c>
      <c r="C771" s="4" t="s">
        <v>23</v>
      </c>
      <c r="D771" s="4" t="s">
        <v>52</v>
      </c>
      <c r="E771" s="4" t="s">
        <v>53</v>
      </c>
      <c r="F771" s="4" t="s">
        <v>25</v>
      </c>
      <c r="G771" s="4" t="s">
        <v>25</v>
      </c>
      <c r="H771" s="4" t="s">
        <v>25</v>
      </c>
      <c r="I771" s="5">
        <v>44682</v>
      </c>
      <c r="J771" s="6">
        <v>0</v>
      </c>
      <c r="K771" s="42">
        <v>0</v>
      </c>
      <c r="L771" s="6">
        <v>583.01499999999999</v>
      </c>
      <c r="M771" s="42">
        <v>583.01499999999999</v>
      </c>
      <c r="N771" s="6">
        <v>583.01499999999999</v>
      </c>
      <c r="O771" s="42">
        <v>583.01499999999999</v>
      </c>
      <c r="P771" s="6">
        <v>115</v>
      </c>
      <c r="Q771" s="4" t="s">
        <v>26</v>
      </c>
      <c r="R771" s="4">
        <v>0</v>
      </c>
      <c r="S771" s="4">
        <v>0</v>
      </c>
      <c r="T771" s="4">
        <v>67</v>
      </c>
      <c r="U771" s="4">
        <v>111</v>
      </c>
      <c r="V771" s="42">
        <f>IF(ISERROR(VLOOKUP($S$771,'TAR FIN'!$A$1:$O$115,15,0)),0,VLOOKUP($S$771,'TAR FIN'!$A$1:$O$115,15,0))</f>
        <v>0</v>
      </c>
      <c r="W771" s="42">
        <f>IF(ISERROR(VLOOKUP($T$771,'TAR FIN'!$A$1:$O$115,15,0)),0,VLOOKUP($T$771,'TAR FIN'!$A$1:$O$115,15,0))*(1-0.06)</f>
        <v>435.78399999999999</v>
      </c>
      <c r="X771" s="42">
        <f>IF(ISERROR(VLOOKUP($U$771,'TAR FIN'!$A$1:$O$115,15,0)),0,VLOOKUP($U$771,'TAR FIN'!$A$1:$O$115,15,0))*(1-0.06)</f>
        <v>165.98519999999999</v>
      </c>
      <c r="Y771" s="42"/>
      <c r="Z771" s="42">
        <f ca="1">('TUSD BE'!$AM$65+'TUSD BF'!$AM$65+'TUSD CVA'!$AM$65)*1*(1-0.03)</f>
        <v>487.15317616832982</v>
      </c>
      <c r="AA771" s="42">
        <f>('TE BE'!$AB$48+'TE BF'!$AB$48+'TE CVA'!$AB$48)*1*(1-0.03)</f>
        <v>223.76151520736593</v>
      </c>
      <c r="AB771" s="42">
        <f>(SUBSIDIO!$J$771*SUBSIDIO!$V$771)*(0.06)/(1-0.06)</f>
        <v>0</v>
      </c>
      <c r="AC771" s="42">
        <f>((SUBSIDIO!$L$771*SUBSIDIO!$W$771)+(SUBSIDIO!$N$771*SUBSIDIO!$X$771))*(0.06)/(1-0.06)</f>
        <v>22394.072561999998</v>
      </c>
      <c r="AD771" s="42">
        <f>(SUBSIDIO!$J$771*SUBSIDIO!$Y$771)*(0.03)/(1-0.03)</f>
        <v>0</v>
      </c>
      <c r="AE771" s="42">
        <f ca="1">((SUBSIDIO!$L$771*SUBSIDIO!$Z$771)+(SUBSIDIO!$N$771*SUBSIDIO!$AA$771))*(0.03)/(1-0.03)</f>
        <v>12818.781302857769</v>
      </c>
      <c r="AF771" s="4" t="s">
        <v>935</v>
      </c>
    </row>
    <row r="772" spans="1:32" ht="11.25" customHeight="1" x14ac:dyDescent="0.25">
      <c r="A772" s="4" t="s">
        <v>21</v>
      </c>
      <c r="B772" s="4" t="s">
        <v>39</v>
      </c>
      <c r="C772" s="4" t="s">
        <v>23</v>
      </c>
      <c r="D772" s="4" t="s">
        <v>52</v>
      </c>
      <c r="E772" s="4" t="s">
        <v>53</v>
      </c>
      <c r="F772" s="4" t="s">
        <v>25</v>
      </c>
      <c r="G772" s="4" t="s">
        <v>25</v>
      </c>
      <c r="H772" s="4" t="s">
        <v>25</v>
      </c>
      <c r="I772" s="5">
        <v>44713</v>
      </c>
      <c r="J772" s="6">
        <v>0</v>
      </c>
      <c r="K772" s="42">
        <v>0</v>
      </c>
      <c r="L772" s="6">
        <v>225.28800000000001</v>
      </c>
      <c r="M772" s="42">
        <v>225.28800000000001</v>
      </c>
      <c r="N772" s="6">
        <v>225.28800000000001</v>
      </c>
      <c r="O772" s="42">
        <v>225.28800000000001</v>
      </c>
      <c r="P772" s="6">
        <v>54</v>
      </c>
      <c r="Q772" s="4" t="s">
        <v>26</v>
      </c>
      <c r="R772" s="4">
        <v>0</v>
      </c>
      <c r="S772" s="4">
        <v>0</v>
      </c>
      <c r="T772" s="4">
        <v>67</v>
      </c>
      <c r="U772" s="4">
        <v>111</v>
      </c>
      <c r="V772" s="42">
        <f>IF(ISERROR(VLOOKUP($S$772,'TAR FIN'!$A$1:$O$115,15,0)),0,VLOOKUP($S$772,'TAR FIN'!$A$1:$O$115,15,0))</f>
        <v>0</v>
      </c>
      <c r="W772" s="42">
        <f>IF(ISERROR(VLOOKUP($T$772,'TAR FIN'!$A$1:$O$115,15,0)),0,VLOOKUP($T$772,'TAR FIN'!$A$1:$O$115,15,0))*(1-0.06)</f>
        <v>435.78399999999999</v>
      </c>
      <c r="X772" s="42">
        <f>IF(ISERROR(VLOOKUP($U$772,'TAR FIN'!$A$1:$O$115,15,0)),0,VLOOKUP($U$772,'TAR FIN'!$A$1:$O$115,15,0))*(1-0.06)</f>
        <v>165.98519999999999</v>
      </c>
      <c r="Y772" s="42"/>
      <c r="Z772" s="42">
        <f ca="1">('TUSD BE'!$AM$65+'TUSD BF'!$AM$65+'TUSD CVA'!$AM$65)*1*(1-0.03)</f>
        <v>487.15317616832982</v>
      </c>
      <c r="AA772" s="42">
        <f>('TE BE'!$AB$48+'TE BF'!$AB$48+'TE CVA'!$AB$48)*1*(1-0.03)</f>
        <v>223.76151520736593</v>
      </c>
      <c r="AB772" s="42">
        <f>(SUBSIDIO!$J$772*SUBSIDIO!$V$772)*(0.06)/(1-0.06)</f>
        <v>0</v>
      </c>
      <c r="AC772" s="42">
        <f>((SUBSIDIO!$L$772*SUBSIDIO!$W$772)+(SUBSIDIO!$N$772*SUBSIDIO!$X$772))*(0.06)/(1-0.06)</f>
        <v>8653.4923104000009</v>
      </c>
      <c r="AD772" s="42">
        <f>(SUBSIDIO!$J$772*SUBSIDIO!$Y$772)*(0.03)/(1-0.03)</f>
        <v>0</v>
      </c>
      <c r="AE772" s="42">
        <f ca="1">((SUBSIDIO!$L$772*SUBSIDIO!$Z$772)+(SUBSIDIO!$N$772*SUBSIDIO!$AA$772))*(0.03)/(1-0.03)</f>
        <v>4953.4190409478688</v>
      </c>
      <c r="AF772" s="4" t="s">
        <v>935</v>
      </c>
    </row>
    <row r="773" spans="1:32" ht="11.25" customHeight="1" x14ac:dyDescent="0.25">
      <c r="A773" s="4" t="s">
        <v>28</v>
      </c>
      <c r="B773" s="4" t="s">
        <v>39</v>
      </c>
      <c r="C773" s="4" t="s">
        <v>23</v>
      </c>
      <c r="D773" s="4" t="s">
        <v>52</v>
      </c>
      <c r="E773" s="4" t="s">
        <v>53</v>
      </c>
      <c r="F773" s="4" t="s">
        <v>25</v>
      </c>
      <c r="G773" s="4" t="s">
        <v>25</v>
      </c>
      <c r="H773" s="4" t="s">
        <v>25</v>
      </c>
      <c r="I773" s="5">
        <v>44713</v>
      </c>
      <c r="J773" s="6">
        <v>0</v>
      </c>
      <c r="K773" s="42">
        <v>0</v>
      </c>
      <c r="L773" s="6">
        <v>608.83100000000002</v>
      </c>
      <c r="M773" s="42">
        <v>608.83100000000002</v>
      </c>
      <c r="N773" s="6">
        <v>608.83100000000002</v>
      </c>
      <c r="O773" s="42">
        <v>608.83100000000002</v>
      </c>
      <c r="P773" s="6">
        <v>118</v>
      </c>
      <c r="Q773" s="4" t="s">
        <v>26</v>
      </c>
      <c r="R773" s="4">
        <v>0</v>
      </c>
      <c r="S773" s="4">
        <v>0</v>
      </c>
      <c r="T773" s="4">
        <v>67</v>
      </c>
      <c r="U773" s="4">
        <v>111</v>
      </c>
      <c r="V773" s="42">
        <f>IF(ISERROR(VLOOKUP($S$773,'TAR FIN'!$A$1:$O$115,15,0)),0,VLOOKUP($S$773,'TAR FIN'!$A$1:$O$115,15,0))</f>
        <v>0</v>
      </c>
      <c r="W773" s="42">
        <f>IF(ISERROR(VLOOKUP($T$773,'TAR FIN'!$A$1:$O$115,15,0)),0,VLOOKUP($T$773,'TAR FIN'!$A$1:$O$115,15,0))*(1-0.06)</f>
        <v>435.78399999999999</v>
      </c>
      <c r="X773" s="42">
        <f>IF(ISERROR(VLOOKUP($U$773,'TAR FIN'!$A$1:$O$115,15,0)),0,VLOOKUP($U$773,'TAR FIN'!$A$1:$O$115,15,0))*(1-0.06)</f>
        <v>165.98519999999999</v>
      </c>
      <c r="Y773" s="42"/>
      <c r="Z773" s="42">
        <f ca="1">('TUSD BE'!$AM$65+'TUSD BF'!$AM$65+'TUSD CVA'!$AM$65)*1*(1-0.03)</f>
        <v>487.15317616832982</v>
      </c>
      <c r="AA773" s="42">
        <f>('TE BE'!$AB$48+'TE BF'!$AB$48+'TE CVA'!$AB$48)*1*(1-0.03)</f>
        <v>223.76151520736593</v>
      </c>
      <c r="AB773" s="42">
        <f>(SUBSIDIO!$J$773*SUBSIDIO!$V$773)*(0.06)/(1-0.06)</f>
        <v>0</v>
      </c>
      <c r="AC773" s="42">
        <f>((SUBSIDIO!$L$773*SUBSIDIO!$W$773)+(SUBSIDIO!$N$773*SUBSIDIO!$X$773))*(0.06)/(1-0.06)</f>
        <v>23385.685774799997</v>
      </c>
      <c r="AD773" s="42">
        <f>(SUBSIDIO!$J$773*SUBSIDIO!$Y$773)*(0.03)/(1-0.03)</f>
        <v>0</v>
      </c>
      <c r="AE773" s="42">
        <f ca="1">((SUBSIDIO!$L$773*SUBSIDIO!$Z$773)+(SUBSIDIO!$N$773*SUBSIDIO!$AA$773))*(0.03)/(1-0.03)</f>
        <v>13386.399045307926</v>
      </c>
      <c r="AF773" s="4" t="s">
        <v>935</v>
      </c>
    </row>
    <row r="774" spans="1:32" ht="11.25" customHeight="1" x14ac:dyDescent="0.25">
      <c r="A774" s="4" t="s">
        <v>21</v>
      </c>
      <c r="B774" s="4" t="s">
        <v>39</v>
      </c>
      <c r="C774" s="4" t="s">
        <v>23</v>
      </c>
      <c r="D774" s="4" t="s">
        <v>52</v>
      </c>
      <c r="E774" s="4" t="s">
        <v>53</v>
      </c>
      <c r="F774" s="4" t="s">
        <v>25</v>
      </c>
      <c r="G774" s="4" t="s">
        <v>25</v>
      </c>
      <c r="H774" s="4" t="s">
        <v>25</v>
      </c>
      <c r="I774" s="5">
        <v>44743</v>
      </c>
      <c r="J774" s="6">
        <v>0</v>
      </c>
      <c r="K774" s="42">
        <v>0</v>
      </c>
      <c r="L774" s="6">
        <v>212.22800000000001</v>
      </c>
      <c r="M774" s="42">
        <v>212.22800000000001</v>
      </c>
      <c r="N774" s="6">
        <v>212.22800000000001</v>
      </c>
      <c r="O774" s="42">
        <v>212.22800000000001</v>
      </c>
      <c r="P774" s="6">
        <v>54</v>
      </c>
      <c r="Q774" s="4" t="s">
        <v>26</v>
      </c>
      <c r="R774" s="4">
        <v>0</v>
      </c>
      <c r="S774" s="4">
        <v>0</v>
      </c>
      <c r="T774" s="4">
        <v>67</v>
      </c>
      <c r="U774" s="4">
        <v>111</v>
      </c>
      <c r="V774" s="42">
        <f>IF(ISERROR(VLOOKUP($S$774,'TAR FIN'!$A$1:$O$115,15,0)),0,VLOOKUP($S$774,'TAR FIN'!$A$1:$O$115,15,0))</f>
        <v>0</v>
      </c>
      <c r="W774" s="42">
        <f>IF(ISERROR(VLOOKUP($T$774,'TAR FIN'!$A$1:$O$115,15,0)),0,VLOOKUP($T$774,'TAR FIN'!$A$1:$O$115,15,0))*(1-0.06)</f>
        <v>435.78399999999999</v>
      </c>
      <c r="X774" s="42">
        <f>IF(ISERROR(VLOOKUP($U$774,'TAR FIN'!$A$1:$O$115,15,0)),0,VLOOKUP($U$774,'TAR FIN'!$A$1:$O$115,15,0))*(1-0.06)</f>
        <v>165.98519999999999</v>
      </c>
      <c r="Y774" s="42"/>
      <c r="Z774" s="42">
        <f ca="1">('TUSD BE'!$AM$65+'TUSD BF'!$AM$65+'TUSD CVA'!$AM$65)*1*(1-0.03)</f>
        <v>487.15317616832982</v>
      </c>
      <c r="AA774" s="42">
        <f>('TE BE'!$AB$48+'TE BF'!$AB$48+'TE CVA'!$AB$48)*1*(1-0.03)</f>
        <v>223.76151520736593</v>
      </c>
      <c r="AB774" s="42">
        <f>(SUBSIDIO!$J$774*SUBSIDIO!$V$774)*(0.06)/(1-0.06)</f>
        <v>0</v>
      </c>
      <c r="AC774" s="42">
        <f>((SUBSIDIO!$L$774*SUBSIDIO!$W$774)+(SUBSIDIO!$N$774*SUBSIDIO!$X$774))*(0.06)/(1-0.06)</f>
        <v>8151.8472624000005</v>
      </c>
      <c r="AD774" s="42">
        <f>(SUBSIDIO!$J$774*SUBSIDIO!$Y$774)*(0.03)/(1-0.03)</f>
        <v>0</v>
      </c>
      <c r="AE774" s="42">
        <f ca="1">((SUBSIDIO!$L$774*SUBSIDIO!$Z$774)+(SUBSIDIO!$N$774*SUBSIDIO!$AA$774))*(0.03)/(1-0.03)</f>
        <v>4666.2681377715826</v>
      </c>
      <c r="AF774" s="4" t="s">
        <v>935</v>
      </c>
    </row>
    <row r="775" spans="1:32" ht="11.25" customHeight="1" x14ac:dyDescent="0.25">
      <c r="A775" s="4" t="s">
        <v>28</v>
      </c>
      <c r="B775" s="4" t="s">
        <v>39</v>
      </c>
      <c r="C775" s="4" t="s">
        <v>23</v>
      </c>
      <c r="D775" s="4" t="s">
        <v>52</v>
      </c>
      <c r="E775" s="4" t="s">
        <v>53</v>
      </c>
      <c r="F775" s="4" t="s">
        <v>25</v>
      </c>
      <c r="G775" s="4" t="s">
        <v>25</v>
      </c>
      <c r="H775" s="4" t="s">
        <v>25</v>
      </c>
      <c r="I775" s="5">
        <v>44743</v>
      </c>
      <c r="J775" s="6">
        <v>0</v>
      </c>
      <c r="K775" s="42">
        <v>0</v>
      </c>
      <c r="L775" s="6">
        <v>624.28899999999999</v>
      </c>
      <c r="M775" s="42">
        <v>624.28899999999999</v>
      </c>
      <c r="N775" s="6">
        <v>624.28899999999999</v>
      </c>
      <c r="O775" s="42">
        <v>624.28899999999999</v>
      </c>
      <c r="P775" s="6">
        <v>119</v>
      </c>
      <c r="Q775" s="4" t="s">
        <v>26</v>
      </c>
      <c r="R775" s="4">
        <v>0</v>
      </c>
      <c r="S775" s="4">
        <v>0</v>
      </c>
      <c r="T775" s="4">
        <v>67</v>
      </c>
      <c r="U775" s="4">
        <v>111</v>
      </c>
      <c r="V775" s="42">
        <f>IF(ISERROR(VLOOKUP($S$775,'TAR FIN'!$A$1:$O$115,15,0)),0,VLOOKUP($S$775,'TAR FIN'!$A$1:$O$115,15,0))</f>
        <v>0</v>
      </c>
      <c r="W775" s="42">
        <f>IF(ISERROR(VLOOKUP($T$775,'TAR FIN'!$A$1:$O$115,15,0)),0,VLOOKUP($T$775,'TAR FIN'!$A$1:$O$115,15,0))*(1-0.06)</f>
        <v>435.78399999999999</v>
      </c>
      <c r="X775" s="42">
        <f>IF(ISERROR(VLOOKUP($U$775,'TAR FIN'!$A$1:$O$115,15,0)),0,VLOOKUP($U$775,'TAR FIN'!$A$1:$O$115,15,0))*(1-0.06)</f>
        <v>165.98519999999999</v>
      </c>
      <c r="Y775" s="42"/>
      <c r="Z775" s="42">
        <f ca="1">('TUSD BE'!$AM$65+'TUSD BF'!$AM$65+'TUSD CVA'!$AM$65)*1*(1-0.03)</f>
        <v>487.15317616832982</v>
      </c>
      <c r="AA775" s="42">
        <f>('TE BE'!$AB$48+'TE BF'!$AB$48+'TE CVA'!$AB$48)*1*(1-0.03)</f>
        <v>223.76151520736593</v>
      </c>
      <c r="AB775" s="42">
        <f>(SUBSIDIO!$J$775*SUBSIDIO!$V$775)*(0.06)/(1-0.06)</f>
        <v>0</v>
      </c>
      <c r="AC775" s="42">
        <f>((SUBSIDIO!$L$775*SUBSIDIO!$W$775)+(SUBSIDIO!$N$775*SUBSIDIO!$X$775))*(0.06)/(1-0.06)</f>
        <v>23979.439921199995</v>
      </c>
      <c r="AD775" s="42">
        <f>(SUBSIDIO!$J$775*SUBSIDIO!$Y$775)*(0.03)/(1-0.03)</f>
        <v>0</v>
      </c>
      <c r="AE775" s="42">
        <f ca="1">((SUBSIDIO!$L$775*SUBSIDIO!$Z$775)+(SUBSIDIO!$N$775*SUBSIDIO!$AA$775))*(0.03)/(1-0.03)</f>
        <v>13726.274899925</v>
      </c>
      <c r="AF775" s="4" t="s">
        <v>935</v>
      </c>
    </row>
    <row r="776" spans="1:32" ht="11.25" customHeight="1" x14ac:dyDescent="0.25">
      <c r="A776" s="4" t="s">
        <v>29</v>
      </c>
      <c r="B776" s="4" t="s">
        <v>39</v>
      </c>
      <c r="C776" s="4" t="s">
        <v>23</v>
      </c>
      <c r="D776" s="4" t="s">
        <v>52</v>
      </c>
      <c r="E776" s="4" t="s">
        <v>53</v>
      </c>
      <c r="F776" s="4" t="s">
        <v>25</v>
      </c>
      <c r="G776" s="4" t="s">
        <v>25</v>
      </c>
      <c r="H776" s="4" t="s">
        <v>25</v>
      </c>
      <c r="I776" s="5">
        <v>44743</v>
      </c>
      <c r="J776" s="6">
        <v>0</v>
      </c>
      <c r="K776" s="42">
        <v>0</v>
      </c>
      <c r="L776" s="6">
        <v>-0.21299999999999999</v>
      </c>
      <c r="M776" s="42">
        <v>-0.21299999999999999</v>
      </c>
      <c r="N776" s="6">
        <v>-0.21299999999999999</v>
      </c>
      <c r="O776" s="42">
        <v>-0.21299999999999999</v>
      </c>
      <c r="P776" s="6">
        <v>0</v>
      </c>
      <c r="Q776" s="4" t="s">
        <v>26</v>
      </c>
      <c r="R776" s="4">
        <v>0</v>
      </c>
      <c r="S776" s="4">
        <v>0</v>
      </c>
      <c r="T776" s="4">
        <v>67</v>
      </c>
      <c r="U776" s="4">
        <v>111</v>
      </c>
      <c r="V776" s="42">
        <f>IF(ISERROR(VLOOKUP($S$776,'TAR FIN'!$A$1:$O$115,15,0)),0,VLOOKUP($S$776,'TAR FIN'!$A$1:$O$115,15,0))</f>
        <v>0</v>
      </c>
      <c r="W776" s="42">
        <f>IF(ISERROR(VLOOKUP($T$776,'TAR FIN'!$A$1:$O$115,15,0)),0,VLOOKUP($T$776,'TAR FIN'!$A$1:$O$115,15,0))*(1-0.06)</f>
        <v>435.78399999999999</v>
      </c>
      <c r="X776" s="42">
        <f>IF(ISERROR(VLOOKUP($U$776,'TAR FIN'!$A$1:$O$115,15,0)),0,VLOOKUP($U$776,'TAR FIN'!$A$1:$O$115,15,0))*(1-0.06)</f>
        <v>165.98519999999999</v>
      </c>
      <c r="Y776" s="42"/>
      <c r="Z776" s="42">
        <f ca="1">('TUSD BE'!$AM$65+'TUSD BF'!$AM$65+'TUSD CVA'!$AM$65)*1*(1-0.03)</f>
        <v>487.15317616832982</v>
      </c>
      <c r="AA776" s="42">
        <f>('TE BE'!$AB$48+'TE BF'!$AB$48+'TE CVA'!$AB$48)*1*(1-0.03)</f>
        <v>223.76151520736593</v>
      </c>
      <c r="AB776" s="42">
        <f>(SUBSIDIO!$J$776*SUBSIDIO!$V$776)*(0.06)/(1-0.06)</f>
        <v>0</v>
      </c>
      <c r="AC776" s="42">
        <f>((SUBSIDIO!$L$776*SUBSIDIO!$W$776)+(SUBSIDIO!$N$776*SUBSIDIO!$X$776))*(0.06)/(1-0.06)</f>
        <v>-8.1815003999999991</v>
      </c>
      <c r="AD776" s="42">
        <f>(SUBSIDIO!$J$776*SUBSIDIO!$Y$776)*(0.03)/(1-0.03)</f>
        <v>0</v>
      </c>
      <c r="AE776" s="42">
        <f ca="1">((SUBSIDIO!$L$776*SUBSIDIO!$Z$776)+(SUBSIDIO!$N$776*SUBSIDIO!$AA$776))*(0.03)/(1-0.03)</f>
        <v>-4.6832421421553558</v>
      </c>
      <c r="AF776" s="4" t="s">
        <v>935</v>
      </c>
    </row>
    <row r="777" spans="1:32" ht="11.25" customHeight="1" x14ac:dyDescent="0.25">
      <c r="A777" s="4" t="s">
        <v>21</v>
      </c>
      <c r="B777" s="4" t="s">
        <v>39</v>
      </c>
      <c r="C777" s="4" t="s">
        <v>23</v>
      </c>
      <c r="D777" s="4" t="s">
        <v>52</v>
      </c>
      <c r="E777" s="4" t="s">
        <v>53</v>
      </c>
      <c r="F777" s="4" t="s">
        <v>25</v>
      </c>
      <c r="G777" s="4" t="s">
        <v>25</v>
      </c>
      <c r="H777" s="4" t="s">
        <v>25</v>
      </c>
      <c r="I777" s="5">
        <v>44774</v>
      </c>
      <c r="J777" s="6">
        <v>0</v>
      </c>
      <c r="K777" s="42">
        <v>0</v>
      </c>
      <c r="L777" s="6">
        <v>595.33299999999997</v>
      </c>
      <c r="M777" s="42">
        <v>595.33299999999997</v>
      </c>
      <c r="N777" s="6">
        <v>595.33299999999997</v>
      </c>
      <c r="O777" s="42">
        <v>595.33299999999997</v>
      </c>
      <c r="P777" s="6">
        <v>57</v>
      </c>
      <c r="Q777" s="4" t="s">
        <v>26</v>
      </c>
      <c r="R777" s="4">
        <v>0</v>
      </c>
      <c r="S777" s="4">
        <v>0</v>
      </c>
      <c r="T777" s="4">
        <v>67</v>
      </c>
      <c r="U777" s="4">
        <v>111</v>
      </c>
      <c r="V777" s="42">
        <f>IF(ISERROR(VLOOKUP($S$777,'TAR FIN'!$A$1:$O$115,15,0)),0,VLOOKUP($S$777,'TAR FIN'!$A$1:$O$115,15,0))</f>
        <v>0</v>
      </c>
      <c r="W777" s="42">
        <f>IF(ISERROR(VLOOKUP($T$777,'TAR FIN'!$A$1:$O$115,15,0)),0,VLOOKUP($T$777,'TAR FIN'!$A$1:$O$115,15,0))*(1-0.06)</f>
        <v>435.78399999999999</v>
      </c>
      <c r="X777" s="42">
        <f>IF(ISERROR(VLOOKUP($U$777,'TAR FIN'!$A$1:$O$115,15,0)),0,VLOOKUP($U$777,'TAR FIN'!$A$1:$O$115,15,0))*(1-0.06)</f>
        <v>165.98519999999999</v>
      </c>
      <c r="Y777" s="42"/>
      <c r="Z777" s="42">
        <f ca="1">('TUSD BE'!$AM$65+'TUSD BF'!$AM$65+'TUSD CVA'!$AM$65)*1*(1-0.03)</f>
        <v>487.15317616832982</v>
      </c>
      <c r="AA777" s="42">
        <f>('TE BE'!$AB$48+'TE BF'!$AB$48+'TE CVA'!$AB$48)*1*(1-0.03)</f>
        <v>223.76151520736593</v>
      </c>
      <c r="AB777" s="42">
        <f>(SUBSIDIO!$J$777*SUBSIDIO!$V$777)*(0.06)/(1-0.06)</f>
        <v>0</v>
      </c>
      <c r="AC777" s="42">
        <f>((SUBSIDIO!$L$777*SUBSIDIO!$W$777)+(SUBSIDIO!$N$777*SUBSIDIO!$X$777))*(0.06)/(1-0.06)</f>
        <v>22867.2167964</v>
      </c>
      <c r="AD777" s="42">
        <f>(SUBSIDIO!$J$777*SUBSIDIO!$Y$777)*(0.03)/(1-0.03)</f>
        <v>0</v>
      </c>
      <c r="AE777" s="42">
        <f ca="1">((SUBSIDIO!$L$777*SUBSIDIO!$Z$777)+(SUBSIDIO!$N$777*SUBSIDIO!$AA$777))*(0.03)/(1-0.03)</f>
        <v>13089.6178132196</v>
      </c>
      <c r="AF777" s="4" t="s">
        <v>935</v>
      </c>
    </row>
    <row r="778" spans="1:32" ht="11.25" customHeight="1" x14ac:dyDescent="0.25">
      <c r="A778" s="4" t="s">
        <v>27</v>
      </c>
      <c r="B778" s="4" t="s">
        <v>39</v>
      </c>
      <c r="C778" s="4" t="s">
        <v>23</v>
      </c>
      <c r="D778" s="4" t="s">
        <v>52</v>
      </c>
      <c r="E778" s="4" t="s">
        <v>53</v>
      </c>
      <c r="F778" s="4" t="s">
        <v>25</v>
      </c>
      <c r="G778" s="4" t="s">
        <v>25</v>
      </c>
      <c r="H778" s="4" t="s">
        <v>25</v>
      </c>
      <c r="I778" s="5">
        <v>44774</v>
      </c>
      <c r="J778" s="6">
        <v>0</v>
      </c>
      <c r="K778" s="42">
        <v>0</v>
      </c>
      <c r="L778" s="6">
        <v>-487.476</v>
      </c>
      <c r="M778" s="42">
        <v>-487.476</v>
      </c>
      <c r="N778" s="6">
        <v>-487.476</v>
      </c>
      <c r="O778" s="42">
        <v>-487.476</v>
      </c>
      <c r="P778" s="6">
        <v>-1</v>
      </c>
      <c r="Q778" s="4" t="s">
        <v>26</v>
      </c>
      <c r="R778" s="4">
        <v>0</v>
      </c>
      <c r="S778" s="4">
        <v>0</v>
      </c>
      <c r="T778" s="4">
        <v>67</v>
      </c>
      <c r="U778" s="4">
        <v>111</v>
      </c>
      <c r="V778" s="42">
        <f>IF(ISERROR(VLOOKUP($S$778,'TAR FIN'!$A$1:$O$115,15,0)),0,VLOOKUP($S$778,'TAR FIN'!$A$1:$O$115,15,0))</f>
        <v>0</v>
      </c>
      <c r="W778" s="42">
        <f>IF(ISERROR(VLOOKUP($T$778,'TAR FIN'!$A$1:$O$115,15,0)),0,VLOOKUP($T$778,'TAR FIN'!$A$1:$O$115,15,0))*(1-0.06)</f>
        <v>435.78399999999999</v>
      </c>
      <c r="X778" s="42">
        <f>IF(ISERROR(VLOOKUP($U$778,'TAR FIN'!$A$1:$O$115,15,0)),0,VLOOKUP($U$778,'TAR FIN'!$A$1:$O$115,15,0))*(1-0.06)</f>
        <v>165.98519999999999</v>
      </c>
      <c r="Y778" s="42"/>
      <c r="Z778" s="42">
        <f ca="1">('TUSD BE'!$AM$65+'TUSD BF'!$AM$65+'TUSD CVA'!$AM$65)*1*(1-0.03)</f>
        <v>487.15317616832982</v>
      </c>
      <c r="AA778" s="42">
        <f>('TE BE'!$AB$48+'TE BF'!$AB$48+'TE CVA'!$AB$48)*1*(1-0.03)</f>
        <v>223.76151520736593</v>
      </c>
      <c r="AB778" s="42">
        <f>(SUBSIDIO!$J$778*SUBSIDIO!$V$778)*(0.06)/(1-0.06)</f>
        <v>0</v>
      </c>
      <c r="AC778" s="42">
        <f>((SUBSIDIO!$L$778*SUBSIDIO!$W$778)+(SUBSIDIO!$N$778*SUBSIDIO!$X$778))*(0.06)/(1-0.06)</f>
        <v>-18724.3431408</v>
      </c>
      <c r="AD778" s="42">
        <f>(SUBSIDIO!$J$778*SUBSIDIO!$Y$778)*(0.03)/(1-0.03)</f>
        <v>0</v>
      </c>
      <c r="AE778" s="42">
        <f ca="1">((SUBSIDIO!$L$778*SUBSIDIO!$Z$778)+(SUBSIDIO!$N$778*SUBSIDIO!$AA$778))*(0.03)/(1-0.03)</f>
        <v>-10718.160312156453</v>
      </c>
      <c r="AF778" s="4" t="s">
        <v>935</v>
      </c>
    </row>
    <row r="779" spans="1:32" ht="11.25" customHeight="1" x14ac:dyDescent="0.25">
      <c r="A779" s="4" t="s">
        <v>28</v>
      </c>
      <c r="B779" s="4" t="s">
        <v>39</v>
      </c>
      <c r="C779" s="4" t="s">
        <v>23</v>
      </c>
      <c r="D779" s="4" t="s">
        <v>52</v>
      </c>
      <c r="E779" s="4" t="s">
        <v>53</v>
      </c>
      <c r="F779" s="4" t="s">
        <v>25</v>
      </c>
      <c r="G779" s="4" t="s">
        <v>25</v>
      </c>
      <c r="H779" s="4" t="s">
        <v>25</v>
      </c>
      <c r="I779" s="5">
        <v>44774</v>
      </c>
      <c r="J779" s="6">
        <v>0</v>
      </c>
      <c r="K779" s="42">
        <v>0</v>
      </c>
      <c r="L779" s="6">
        <v>640.26900000000001</v>
      </c>
      <c r="M779" s="42">
        <v>640.26900000000001</v>
      </c>
      <c r="N779" s="6">
        <v>640.26900000000001</v>
      </c>
      <c r="O779" s="42">
        <v>640.26900000000001</v>
      </c>
      <c r="P779" s="6">
        <v>120</v>
      </c>
      <c r="Q779" s="4" t="s">
        <v>26</v>
      </c>
      <c r="R779" s="4">
        <v>0</v>
      </c>
      <c r="S779" s="4">
        <v>0</v>
      </c>
      <c r="T779" s="4">
        <v>67</v>
      </c>
      <c r="U779" s="4">
        <v>111</v>
      </c>
      <c r="V779" s="42">
        <f>IF(ISERROR(VLOOKUP($S$779,'TAR FIN'!$A$1:$O$115,15,0)),0,VLOOKUP($S$779,'TAR FIN'!$A$1:$O$115,15,0))</f>
        <v>0</v>
      </c>
      <c r="W779" s="42">
        <f>IF(ISERROR(VLOOKUP($T$779,'TAR FIN'!$A$1:$O$115,15,0)),0,VLOOKUP($T$779,'TAR FIN'!$A$1:$O$115,15,0))*(1-0.06)</f>
        <v>435.78399999999999</v>
      </c>
      <c r="X779" s="42">
        <f>IF(ISERROR(VLOOKUP($U$779,'TAR FIN'!$A$1:$O$115,15,0)),0,VLOOKUP($U$779,'TAR FIN'!$A$1:$O$115,15,0))*(1-0.06)</f>
        <v>165.98519999999999</v>
      </c>
      <c r="Y779" s="42"/>
      <c r="Z779" s="42">
        <f ca="1">('TUSD BE'!$AM$65+'TUSD BF'!$AM$65+'TUSD CVA'!$AM$65)*1*(1-0.03)</f>
        <v>487.15317616832982</v>
      </c>
      <c r="AA779" s="42">
        <f>('TE BE'!$AB$48+'TE BF'!$AB$48+'TE CVA'!$AB$48)*1*(1-0.03)</f>
        <v>223.76151520736593</v>
      </c>
      <c r="AB779" s="42">
        <f>(SUBSIDIO!$J$779*SUBSIDIO!$V$779)*(0.06)/(1-0.06)</f>
        <v>0</v>
      </c>
      <c r="AC779" s="42">
        <f>((SUBSIDIO!$L$779*SUBSIDIO!$W$779)+(SUBSIDIO!$N$779*SUBSIDIO!$X$779))*(0.06)/(1-0.06)</f>
        <v>24593.2445052</v>
      </c>
      <c r="AD779" s="42">
        <f>(SUBSIDIO!$J$779*SUBSIDIO!$Y$779)*(0.03)/(1-0.03)</f>
        <v>0</v>
      </c>
      <c r="AE779" s="42">
        <f ca="1">((SUBSIDIO!$L$779*SUBSIDIO!$Z$779)+(SUBSIDIO!$N$779*SUBSIDIO!$AA$779))*(0.03)/(1-0.03)</f>
        <v>14077.627995848206</v>
      </c>
      <c r="AF779" s="4" t="s">
        <v>935</v>
      </c>
    </row>
    <row r="780" spans="1:32" ht="11.25" customHeight="1" x14ac:dyDescent="0.25">
      <c r="A780" s="4" t="s">
        <v>29</v>
      </c>
      <c r="B780" s="4" t="s">
        <v>39</v>
      </c>
      <c r="C780" s="4" t="s">
        <v>23</v>
      </c>
      <c r="D780" s="4" t="s">
        <v>52</v>
      </c>
      <c r="E780" s="4" t="s">
        <v>53</v>
      </c>
      <c r="F780" s="4" t="s">
        <v>25</v>
      </c>
      <c r="G780" s="4" t="s">
        <v>25</v>
      </c>
      <c r="H780" s="4" t="s">
        <v>25</v>
      </c>
      <c r="I780" s="5">
        <v>44774</v>
      </c>
      <c r="J780" s="6">
        <v>0</v>
      </c>
      <c r="K780" s="42">
        <v>0</v>
      </c>
      <c r="L780" s="6">
        <v>-3.7069999999999999</v>
      </c>
      <c r="M780" s="42">
        <v>-3.7069999999999999</v>
      </c>
      <c r="N780" s="6">
        <v>-3.7069999999999999</v>
      </c>
      <c r="O780" s="42">
        <v>-3.7069999999999999</v>
      </c>
      <c r="P780" s="6">
        <v>-1</v>
      </c>
      <c r="Q780" s="4" t="s">
        <v>26</v>
      </c>
      <c r="R780" s="4">
        <v>0</v>
      </c>
      <c r="S780" s="4">
        <v>0</v>
      </c>
      <c r="T780" s="4">
        <v>67</v>
      </c>
      <c r="U780" s="4">
        <v>111</v>
      </c>
      <c r="V780" s="42">
        <f>IF(ISERROR(VLOOKUP($S$780,'TAR FIN'!$A$1:$O$115,15,0)),0,VLOOKUP($S$780,'TAR FIN'!$A$1:$O$115,15,0))</f>
        <v>0</v>
      </c>
      <c r="W780" s="42">
        <f>IF(ISERROR(VLOOKUP($T$780,'TAR FIN'!$A$1:$O$115,15,0)),0,VLOOKUP($T$780,'TAR FIN'!$A$1:$O$115,15,0))*(1-0.06)</f>
        <v>435.78399999999999</v>
      </c>
      <c r="X780" s="42">
        <f>IF(ISERROR(VLOOKUP($U$780,'TAR FIN'!$A$1:$O$115,15,0)),0,VLOOKUP($U$780,'TAR FIN'!$A$1:$O$115,15,0))*(1-0.06)</f>
        <v>165.98519999999999</v>
      </c>
      <c r="Y780" s="42"/>
      <c r="Z780" s="42">
        <f ca="1">('TUSD BE'!$AM$65+'TUSD BF'!$AM$65+'TUSD CVA'!$AM$65)*1*(1-0.03)</f>
        <v>487.15317616832982</v>
      </c>
      <c r="AA780" s="42">
        <f>('TE BE'!$AB$48+'TE BF'!$AB$48+'TE CVA'!$AB$48)*1*(1-0.03)</f>
        <v>223.76151520736593</v>
      </c>
      <c r="AB780" s="42">
        <f>(SUBSIDIO!$J$780*SUBSIDIO!$V$780)*(0.06)/(1-0.06)</f>
        <v>0</v>
      </c>
      <c r="AC780" s="42">
        <f>((SUBSIDIO!$L$780*SUBSIDIO!$W$780)+(SUBSIDIO!$N$780*SUBSIDIO!$X$780))*(0.06)/(1-0.06)</f>
        <v>-142.38883559999999</v>
      </c>
      <c r="AD780" s="42">
        <f>(SUBSIDIO!$J$780*SUBSIDIO!$Y$780)*(0.03)/(1-0.03)</f>
        <v>0</v>
      </c>
      <c r="AE780" s="42">
        <f ca="1">((SUBSIDIO!$L$780*SUBSIDIO!$Z$780)+(SUBSIDIO!$N$780*SUBSIDIO!$AA$780))*(0.03)/(1-0.03)</f>
        <v>-81.506002915351672</v>
      </c>
      <c r="AF780" s="4" t="s">
        <v>935</v>
      </c>
    </row>
    <row r="781" spans="1:32" ht="11.25" customHeight="1" x14ac:dyDescent="0.25">
      <c r="A781" s="4" t="s">
        <v>21</v>
      </c>
      <c r="B781" s="4" t="s">
        <v>39</v>
      </c>
      <c r="C781" s="4" t="s">
        <v>23</v>
      </c>
      <c r="D781" s="4" t="s">
        <v>52</v>
      </c>
      <c r="E781" s="4" t="s">
        <v>53</v>
      </c>
      <c r="F781" s="4" t="s">
        <v>25</v>
      </c>
      <c r="G781" s="4" t="s">
        <v>25</v>
      </c>
      <c r="H781" s="4" t="s">
        <v>25</v>
      </c>
      <c r="I781" s="5">
        <v>44805</v>
      </c>
      <c r="J781" s="6">
        <v>0</v>
      </c>
      <c r="K781" s="42">
        <v>0</v>
      </c>
      <c r="L781" s="6">
        <v>184.00700000000001</v>
      </c>
      <c r="M781" s="42">
        <v>184.00700000000001</v>
      </c>
      <c r="N781" s="6">
        <v>184.00700000000001</v>
      </c>
      <c r="O781" s="42">
        <v>184.00700000000001</v>
      </c>
      <c r="P781" s="6">
        <v>55</v>
      </c>
      <c r="Q781" s="4" t="s">
        <v>26</v>
      </c>
      <c r="R781" s="4">
        <v>0</v>
      </c>
      <c r="S781" s="4">
        <v>0</v>
      </c>
      <c r="T781" s="4">
        <v>67</v>
      </c>
      <c r="U781" s="4">
        <v>111</v>
      </c>
      <c r="V781" s="42">
        <f>IF(ISERROR(VLOOKUP($S$781,'TAR FIN'!$A$1:$O$115,15,0)),0,VLOOKUP($S$781,'TAR FIN'!$A$1:$O$115,15,0))</f>
        <v>0</v>
      </c>
      <c r="W781" s="42">
        <f>IF(ISERROR(VLOOKUP($T$781,'TAR FIN'!$A$1:$O$115,15,0)),0,VLOOKUP($T$781,'TAR FIN'!$A$1:$O$115,15,0))*(1-0.06)</f>
        <v>435.78399999999999</v>
      </c>
      <c r="X781" s="42">
        <f>IF(ISERROR(VLOOKUP($U$781,'TAR FIN'!$A$1:$O$115,15,0)),0,VLOOKUP($U$781,'TAR FIN'!$A$1:$O$115,15,0))*(1-0.06)</f>
        <v>165.98519999999999</v>
      </c>
      <c r="Y781" s="42"/>
      <c r="Z781" s="42">
        <f ca="1">('TUSD BE'!$AM$65+'TUSD BF'!$AM$65+'TUSD CVA'!$AM$65)*1*(1-0.03)</f>
        <v>487.15317616832982</v>
      </c>
      <c r="AA781" s="42">
        <f>('TE BE'!$AB$48+'TE BF'!$AB$48+'TE CVA'!$AB$48)*1*(1-0.03)</f>
        <v>223.76151520736593</v>
      </c>
      <c r="AB781" s="42">
        <f>(SUBSIDIO!$J$781*SUBSIDIO!$V$781)*(0.06)/(1-0.06)</f>
        <v>0</v>
      </c>
      <c r="AC781" s="42">
        <f>((SUBSIDIO!$L$781*SUBSIDIO!$W$781)+(SUBSIDIO!$N$781*SUBSIDIO!$X$781))*(0.06)/(1-0.06)</f>
        <v>7067.8560755999997</v>
      </c>
      <c r="AD781" s="42">
        <f>(SUBSIDIO!$J$781*SUBSIDIO!$Y$781)*(0.03)/(1-0.03)</f>
        <v>0</v>
      </c>
      <c r="AE781" s="42">
        <f ca="1">((SUBSIDIO!$L$781*SUBSIDIO!$Z$781)+(SUBSIDIO!$N$781*SUBSIDIO!$AA$781))*(0.03)/(1-0.03)</f>
        <v>4045.7715345144634</v>
      </c>
      <c r="AF781" s="4" t="s">
        <v>935</v>
      </c>
    </row>
    <row r="782" spans="1:32" ht="11.25" customHeight="1" x14ac:dyDescent="0.25">
      <c r="A782" s="4" t="s">
        <v>28</v>
      </c>
      <c r="B782" s="4" t="s">
        <v>39</v>
      </c>
      <c r="C782" s="4" t="s">
        <v>23</v>
      </c>
      <c r="D782" s="4" t="s">
        <v>52</v>
      </c>
      <c r="E782" s="4" t="s">
        <v>53</v>
      </c>
      <c r="F782" s="4" t="s">
        <v>25</v>
      </c>
      <c r="G782" s="4" t="s">
        <v>25</v>
      </c>
      <c r="H782" s="4" t="s">
        <v>25</v>
      </c>
      <c r="I782" s="5">
        <v>44805</v>
      </c>
      <c r="J782" s="6">
        <v>0</v>
      </c>
      <c r="K782" s="42">
        <v>0</v>
      </c>
      <c r="L782" s="6">
        <v>626.57399999999996</v>
      </c>
      <c r="M782" s="42">
        <v>626.57399999999996</v>
      </c>
      <c r="N782" s="6">
        <v>626.57399999999996</v>
      </c>
      <c r="O782" s="42">
        <v>626.57399999999996</v>
      </c>
      <c r="P782" s="6">
        <v>119</v>
      </c>
      <c r="Q782" s="4" t="s">
        <v>26</v>
      </c>
      <c r="R782" s="4">
        <v>0</v>
      </c>
      <c r="S782" s="4">
        <v>0</v>
      </c>
      <c r="T782" s="4">
        <v>67</v>
      </c>
      <c r="U782" s="4">
        <v>111</v>
      </c>
      <c r="V782" s="42">
        <f>IF(ISERROR(VLOOKUP($S$782,'TAR FIN'!$A$1:$O$115,15,0)),0,VLOOKUP($S$782,'TAR FIN'!$A$1:$O$115,15,0))</f>
        <v>0</v>
      </c>
      <c r="W782" s="42">
        <f>IF(ISERROR(VLOOKUP($T$782,'TAR FIN'!$A$1:$O$115,15,0)),0,VLOOKUP($T$782,'TAR FIN'!$A$1:$O$115,15,0))*(1-0.06)</f>
        <v>435.78399999999999</v>
      </c>
      <c r="X782" s="42">
        <f>IF(ISERROR(VLOOKUP($U$782,'TAR FIN'!$A$1:$O$115,15,0)),0,VLOOKUP($U$782,'TAR FIN'!$A$1:$O$115,15,0))*(1-0.06)</f>
        <v>165.98519999999999</v>
      </c>
      <c r="Y782" s="42"/>
      <c r="Z782" s="42">
        <f ca="1">('TUSD BE'!$AM$65+'TUSD BF'!$AM$65+'TUSD CVA'!$AM$65)*1*(1-0.03)</f>
        <v>487.15317616832982</v>
      </c>
      <c r="AA782" s="42">
        <f>('TE BE'!$AB$48+'TE BF'!$AB$48+'TE CVA'!$AB$48)*1*(1-0.03)</f>
        <v>223.76151520736593</v>
      </c>
      <c r="AB782" s="42">
        <f>(SUBSIDIO!$J$782*SUBSIDIO!$V$782)*(0.06)/(1-0.06)</f>
        <v>0</v>
      </c>
      <c r="AC782" s="42">
        <f>((SUBSIDIO!$L$782*SUBSIDIO!$W$782)+(SUBSIDIO!$N$782*SUBSIDIO!$X$782))*(0.06)/(1-0.06)</f>
        <v>24067.208599199999</v>
      </c>
      <c r="AD782" s="42">
        <f>(SUBSIDIO!$J$782*SUBSIDIO!$Y$782)*(0.03)/(1-0.03)</f>
        <v>0</v>
      </c>
      <c r="AE782" s="42">
        <f ca="1">((SUBSIDIO!$L$782*SUBSIDIO!$Z$782)+(SUBSIDIO!$N$782*SUBSIDIO!$AA$782))*(0.03)/(1-0.03)</f>
        <v>13776.515314454695</v>
      </c>
      <c r="AF782" s="4" t="s">
        <v>935</v>
      </c>
    </row>
    <row r="783" spans="1:32" ht="11.25" customHeight="1" x14ac:dyDescent="0.25">
      <c r="A783" s="4" t="s">
        <v>29</v>
      </c>
      <c r="B783" s="4" t="s">
        <v>39</v>
      </c>
      <c r="C783" s="4" t="s">
        <v>23</v>
      </c>
      <c r="D783" s="4" t="s">
        <v>52</v>
      </c>
      <c r="E783" s="4" t="s">
        <v>53</v>
      </c>
      <c r="F783" s="4" t="s">
        <v>25</v>
      </c>
      <c r="G783" s="4" t="s">
        <v>25</v>
      </c>
      <c r="H783" s="4" t="s">
        <v>25</v>
      </c>
      <c r="I783" s="5">
        <v>44805</v>
      </c>
      <c r="J783" s="6">
        <v>0</v>
      </c>
      <c r="K783" s="42">
        <v>0</v>
      </c>
      <c r="L783" s="6">
        <v>-0.17100000000000001</v>
      </c>
      <c r="M783" s="42">
        <v>-0.17100000000000001</v>
      </c>
      <c r="N783" s="6">
        <v>-0.17100000000000001</v>
      </c>
      <c r="O783" s="42">
        <v>-0.17100000000000001</v>
      </c>
      <c r="P783" s="6">
        <v>0</v>
      </c>
      <c r="Q783" s="4" t="s">
        <v>26</v>
      </c>
      <c r="R783" s="4">
        <v>0</v>
      </c>
      <c r="S783" s="4">
        <v>0</v>
      </c>
      <c r="T783" s="4">
        <v>67</v>
      </c>
      <c r="U783" s="4">
        <v>111</v>
      </c>
      <c r="V783" s="42">
        <f>IF(ISERROR(VLOOKUP($S$783,'TAR FIN'!$A$1:$O$115,15,0)),0,VLOOKUP($S$783,'TAR FIN'!$A$1:$O$115,15,0))</f>
        <v>0</v>
      </c>
      <c r="W783" s="42">
        <f>IF(ISERROR(VLOOKUP($T$783,'TAR FIN'!$A$1:$O$115,15,0)),0,VLOOKUP($T$783,'TAR FIN'!$A$1:$O$115,15,0))*(1-0.06)</f>
        <v>435.78399999999999</v>
      </c>
      <c r="X783" s="42">
        <f>IF(ISERROR(VLOOKUP($U$783,'TAR FIN'!$A$1:$O$115,15,0)),0,VLOOKUP($U$783,'TAR FIN'!$A$1:$O$115,15,0))*(1-0.06)</f>
        <v>165.98519999999999</v>
      </c>
      <c r="Y783" s="42"/>
      <c r="Z783" s="42">
        <f ca="1">('TUSD BE'!$AM$65+'TUSD BF'!$AM$65+'TUSD CVA'!$AM$65)*1*(1-0.03)</f>
        <v>487.15317616832982</v>
      </c>
      <c r="AA783" s="42">
        <f>('TE BE'!$AB$48+'TE BF'!$AB$48+'TE CVA'!$AB$48)*1*(1-0.03)</f>
        <v>223.76151520736593</v>
      </c>
      <c r="AB783" s="42">
        <f>(SUBSIDIO!$J$783*SUBSIDIO!$V$783)*(0.06)/(1-0.06)</f>
        <v>0</v>
      </c>
      <c r="AC783" s="42">
        <f>((SUBSIDIO!$L$783*SUBSIDIO!$W$783)+(SUBSIDIO!$N$783*SUBSIDIO!$X$783))*(0.06)/(1-0.06)</f>
        <v>-6.5682467999999998</v>
      </c>
      <c r="AD783" s="42">
        <f>(SUBSIDIO!$J$783*SUBSIDIO!$Y$783)*(0.03)/(1-0.03)</f>
        <v>0</v>
      </c>
      <c r="AE783" s="42">
        <f ca="1">((SUBSIDIO!$L$783*SUBSIDIO!$Z$783)+(SUBSIDIO!$N$783*SUBSIDIO!$AA$783))*(0.03)/(1-0.03)</f>
        <v>-3.7597859451106386</v>
      </c>
      <c r="AF783" s="4" t="s">
        <v>935</v>
      </c>
    </row>
    <row r="784" spans="1:32" ht="11.25" customHeight="1" x14ac:dyDescent="0.25">
      <c r="A784" s="4" t="s">
        <v>21</v>
      </c>
      <c r="B784" s="4" t="s">
        <v>39</v>
      </c>
      <c r="C784" s="4" t="s">
        <v>23</v>
      </c>
      <c r="D784" s="4" t="s">
        <v>52</v>
      </c>
      <c r="E784" s="4" t="s">
        <v>53</v>
      </c>
      <c r="F784" s="4" t="s">
        <v>25</v>
      </c>
      <c r="G784" s="4" t="s">
        <v>25</v>
      </c>
      <c r="H784" s="4" t="s">
        <v>25</v>
      </c>
      <c r="I784" s="5">
        <v>44835</v>
      </c>
      <c r="J784" s="6">
        <v>0</v>
      </c>
      <c r="K784" s="42">
        <v>0</v>
      </c>
      <c r="L784" s="6">
        <v>143.55099999999999</v>
      </c>
      <c r="M784" s="42">
        <v>143.55099999999999</v>
      </c>
      <c r="N784" s="6">
        <v>143.55099999999999</v>
      </c>
      <c r="O784" s="42">
        <v>143.55099999999999</v>
      </c>
      <c r="P784" s="6">
        <v>55</v>
      </c>
      <c r="Q784" s="4" t="s">
        <v>26</v>
      </c>
      <c r="R784" s="4">
        <v>0</v>
      </c>
      <c r="S784" s="4">
        <v>0</v>
      </c>
      <c r="T784" s="4">
        <v>67</v>
      </c>
      <c r="U784" s="4">
        <v>111</v>
      </c>
      <c r="V784" s="42">
        <f>IF(ISERROR(VLOOKUP($S$784,'TAR FIN'!$A$1:$O$115,15,0)),0,VLOOKUP($S$784,'TAR FIN'!$A$1:$O$115,15,0))</f>
        <v>0</v>
      </c>
      <c r="W784" s="42">
        <f>IF(ISERROR(VLOOKUP($T$784,'TAR FIN'!$A$1:$O$115,15,0)),0,VLOOKUP($T$784,'TAR FIN'!$A$1:$O$115,15,0))*(1-0.06)</f>
        <v>435.78399999999999</v>
      </c>
      <c r="X784" s="42">
        <f>IF(ISERROR(VLOOKUP($U$784,'TAR FIN'!$A$1:$O$115,15,0)),0,VLOOKUP($U$784,'TAR FIN'!$A$1:$O$115,15,0))*(1-0.06)</f>
        <v>165.98519999999999</v>
      </c>
      <c r="Y784" s="42"/>
      <c r="Z784" s="42">
        <f ca="1">('TUSD BE'!$AM$65+'TUSD BF'!$AM$65+'TUSD CVA'!$AM$65)*1*(1-0.03)</f>
        <v>487.15317616832982</v>
      </c>
      <c r="AA784" s="42">
        <f>('TE BE'!$AB$48+'TE BF'!$AB$48+'TE CVA'!$AB$48)*1*(1-0.03)</f>
        <v>223.76151520736593</v>
      </c>
      <c r="AB784" s="42">
        <f>(SUBSIDIO!$J$784*SUBSIDIO!$V$784)*(0.06)/(1-0.06)</f>
        <v>0</v>
      </c>
      <c r="AC784" s="42">
        <f>((SUBSIDIO!$L$784*SUBSIDIO!$W$784)+(SUBSIDIO!$N$784*SUBSIDIO!$X$784))*(0.06)/(1-0.06)</f>
        <v>5513.9087507999993</v>
      </c>
      <c r="AD784" s="42">
        <f>(SUBSIDIO!$J$784*SUBSIDIO!$Y$784)*(0.03)/(1-0.03)</f>
        <v>0</v>
      </c>
      <c r="AE784" s="42">
        <f ca="1">((SUBSIDIO!$L$784*SUBSIDIO!$Z$784)+(SUBSIDIO!$N$784*SUBSIDIO!$AA$784))*(0.03)/(1-0.03)</f>
        <v>3156.2633462372937</v>
      </c>
      <c r="AF784" s="4" t="s">
        <v>935</v>
      </c>
    </row>
    <row r="785" spans="1:32" ht="11.25" customHeight="1" x14ac:dyDescent="0.25">
      <c r="A785" s="4" t="s">
        <v>27</v>
      </c>
      <c r="B785" s="4" t="s">
        <v>39</v>
      </c>
      <c r="C785" s="4" t="s">
        <v>23</v>
      </c>
      <c r="D785" s="4" t="s">
        <v>52</v>
      </c>
      <c r="E785" s="4" t="s">
        <v>53</v>
      </c>
      <c r="F785" s="4" t="s">
        <v>25</v>
      </c>
      <c r="G785" s="4" t="s">
        <v>25</v>
      </c>
      <c r="H785" s="4" t="s">
        <v>25</v>
      </c>
      <c r="I785" s="5">
        <v>44835</v>
      </c>
      <c r="J785" s="6">
        <v>0</v>
      </c>
      <c r="K785" s="42">
        <v>0</v>
      </c>
      <c r="L785" s="6">
        <v>-0.1</v>
      </c>
      <c r="M785" s="42">
        <v>-0.1</v>
      </c>
      <c r="N785" s="6">
        <v>-0.1</v>
      </c>
      <c r="O785" s="42">
        <v>-0.1</v>
      </c>
      <c r="P785" s="6">
        <v>-1</v>
      </c>
      <c r="Q785" s="4" t="s">
        <v>26</v>
      </c>
      <c r="R785" s="4">
        <v>0</v>
      </c>
      <c r="S785" s="4">
        <v>0</v>
      </c>
      <c r="T785" s="4">
        <v>67</v>
      </c>
      <c r="U785" s="4">
        <v>111</v>
      </c>
      <c r="V785" s="42">
        <f>IF(ISERROR(VLOOKUP($S$785,'TAR FIN'!$A$1:$O$115,15,0)),0,VLOOKUP($S$785,'TAR FIN'!$A$1:$O$115,15,0))</f>
        <v>0</v>
      </c>
      <c r="W785" s="42">
        <f>IF(ISERROR(VLOOKUP($T$785,'TAR FIN'!$A$1:$O$115,15,0)),0,VLOOKUP($T$785,'TAR FIN'!$A$1:$O$115,15,0))*(1-0.06)</f>
        <v>435.78399999999999</v>
      </c>
      <c r="X785" s="42">
        <f>IF(ISERROR(VLOOKUP($U$785,'TAR FIN'!$A$1:$O$115,15,0)),0,VLOOKUP($U$785,'TAR FIN'!$A$1:$O$115,15,0))*(1-0.06)</f>
        <v>165.98519999999999</v>
      </c>
      <c r="Y785" s="42"/>
      <c r="Z785" s="42">
        <f ca="1">('TUSD BE'!$AM$65+'TUSD BF'!$AM$65+'TUSD CVA'!$AM$65)*1*(1-0.03)</f>
        <v>487.15317616832982</v>
      </c>
      <c r="AA785" s="42">
        <f>('TE BE'!$AB$48+'TE BF'!$AB$48+'TE CVA'!$AB$48)*1*(1-0.03)</f>
        <v>223.76151520736593</v>
      </c>
      <c r="AB785" s="42">
        <f>(SUBSIDIO!$J$785*SUBSIDIO!$V$785)*(0.06)/(1-0.06)</f>
        <v>0</v>
      </c>
      <c r="AC785" s="42">
        <f>((SUBSIDIO!$L$785*SUBSIDIO!$W$785)+(SUBSIDIO!$N$785*SUBSIDIO!$X$785))*(0.06)/(1-0.06)</f>
        <v>-3.8410799999999998</v>
      </c>
      <c r="AD785" s="42">
        <f>(SUBSIDIO!$J$785*SUBSIDIO!$Y$785)*(0.03)/(1-0.03)</f>
        <v>0</v>
      </c>
      <c r="AE785" s="42">
        <f ca="1">((SUBSIDIO!$L$785*SUBSIDIO!$Z$785)+(SUBSIDIO!$N$785*SUBSIDIO!$AA$785))*(0.03)/(1-0.03)</f>
        <v>-2.1987052310588528</v>
      </c>
      <c r="AF785" s="4" t="s">
        <v>935</v>
      </c>
    </row>
    <row r="786" spans="1:32" ht="11.25" customHeight="1" x14ac:dyDescent="0.25">
      <c r="A786" s="4" t="s">
        <v>28</v>
      </c>
      <c r="B786" s="4" t="s">
        <v>39</v>
      </c>
      <c r="C786" s="4" t="s">
        <v>23</v>
      </c>
      <c r="D786" s="4" t="s">
        <v>52</v>
      </c>
      <c r="E786" s="4" t="s">
        <v>53</v>
      </c>
      <c r="F786" s="4" t="s">
        <v>25</v>
      </c>
      <c r="G786" s="4" t="s">
        <v>25</v>
      </c>
      <c r="H786" s="4" t="s">
        <v>25</v>
      </c>
      <c r="I786" s="5">
        <v>44835</v>
      </c>
      <c r="J786" s="6">
        <v>0</v>
      </c>
      <c r="K786" s="42">
        <v>0</v>
      </c>
      <c r="L786" s="6">
        <v>529.55600000000004</v>
      </c>
      <c r="M786" s="42">
        <v>529.55600000000004</v>
      </c>
      <c r="N786" s="6">
        <v>529.55600000000004</v>
      </c>
      <c r="O786" s="42">
        <v>529.55600000000004</v>
      </c>
      <c r="P786" s="6">
        <v>120</v>
      </c>
      <c r="Q786" s="4" t="s">
        <v>26</v>
      </c>
      <c r="R786" s="4">
        <v>0</v>
      </c>
      <c r="S786" s="4">
        <v>0</v>
      </c>
      <c r="T786" s="4">
        <v>67</v>
      </c>
      <c r="U786" s="4">
        <v>111</v>
      </c>
      <c r="V786" s="42">
        <f>IF(ISERROR(VLOOKUP($S$786,'TAR FIN'!$A$1:$O$115,15,0)),0,VLOOKUP($S$786,'TAR FIN'!$A$1:$O$115,15,0))</f>
        <v>0</v>
      </c>
      <c r="W786" s="42">
        <f>IF(ISERROR(VLOOKUP($T$786,'TAR FIN'!$A$1:$O$115,15,0)),0,VLOOKUP($T$786,'TAR FIN'!$A$1:$O$115,15,0))*(1-0.06)</f>
        <v>435.78399999999999</v>
      </c>
      <c r="X786" s="42">
        <f>IF(ISERROR(VLOOKUP($U$786,'TAR FIN'!$A$1:$O$115,15,0)),0,VLOOKUP($U$786,'TAR FIN'!$A$1:$O$115,15,0))*(1-0.06)</f>
        <v>165.98519999999999</v>
      </c>
      <c r="Y786" s="42"/>
      <c r="Z786" s="42">
        <f ca="1">('TUSD BE'!$AM$65+'TUSD BF'!$AM$65+'TUSD CVA'!$AM$65)*1*(1-0.03)</f>
        <v>487.15317616832982</v>
      </c>
      <c r="AA786" s="42">
        <f>('TE BE'!$AB$48+'TE BF'!$AB$48+'TE CVA'!$AB$48)*1*(1-0.03)</f>
        <v>223.76151520736593</v>
      </c>
      <c r="AB786" s="42">
        <f>(SUBSIDIO!$J$786*SUBSIDIO!$V$786)*(0.06)/(1-0.06)</f>
        <v>0</v>
      </c>
      <c r="AC786" s="42">
        <f>((SUBSIDIO!$L$786*SUBSIDIO!$W$786)+(SUBSIDIO!$N$786*SUBSIDIO!$X$786))*(0.06)/(1-0.06)</f>
        <v>20340.669604800001</v>
      </c>
      <c r="AD786" s="42">
        <f>(SUBSIDIO!$J$786*SUBSIDIO!$Y$786)*(0.03)/(1-0.03)</f>
        <v>0</v>
      </c>
      <c r="AE786" s="42">
        <f ca="1">((SUBSIDIO!$L$786*SUBSIDIO!$Z$786)+(SUBSIDIO!$N$786*SUBSIDIO!$AA$786))*(0.03)/(1-0.03)</f>
        <v>11643.375473386019</v>
      </c>
      <c r="AF786" s="4" t="s">
        <v>935</v>
      </c>
    </row>
    <row r="787" spans="1:32" ht="11.25" customHeight="1" x14ac:dyDescent="0.25">
      <c r="A787" s="4" t="s">
        <v>29</v>
      </c>
      <c r="B787" s="4" t="s">
        <v>39</v>
      </c>
      <c r="C787" s="4" t="s">
        <v>23</v>
      </c>
      <c r="D787" s="4" t="s">
        <v>52</v>
      </c>
      <c r="E787" s="4" t="s">
        <v>53</v>
      </c>
      <c r="F787" s="4" t="s">
        <v>25</v>
      </c>
      <c r="G787" s="4" t="s">
        <v>25</v>
      </c>
      <c r="H787" s="4" t="s">
        <v>25</v>
      </c>
      <c r="I787" s="5">
        <v>44835</v>
      </c>
      <c r="J787" s="6">
        <v>0</v>
      </c>
      <c r="K787" s="42">
        <v>0</v>
      </c>
      <c r="L787" s="6">
        <v>-0.17499999999999999</v>
      </c>
      <c r="M787" s="42">
        <v>-0.17499999999999999</v>
      </c>
      <c r="N787" s="6">
        <v>-0.17499999999999999</v>
      </c>
      <c r="O787" s="42">
        <v>-0.17499999999999999</v>
      </c>
      <c r="P787" s="6">
        <v>0</v>
      </c>
      <c r="Q787" s="4" t="s">
        <v>26</v>
      </c>
      <c r="R787" s="4">
        <v>0</v>
      </c>
      <c r="S787" s="4">
        <v>0</v>
      </c>
      <c r="T787" s="4">
        <v>67</v>
      </c>
      <c r="U787" s="4">
        <v>111</v>
      </c>
      <c r="V787" s="42">
        <f>IF(ISERROR(VLOOKUP($S$787,'TAR FIN'!$A$1:$O$115,15,0)),0,VLOOKUP($S$787,'TAR FIN'!$A$1:$O$115,15,0))</f>
        <v>0</v>
      </c>
      <c r="W787" s="42">
        <f>IF(ISERROR(VLOOKUP($T$787,'TAR FIN'!$A$1:$O$115,15,0)),0,VLOOKUP($T$787,'TAR FIN'!$A$1:$O$115,15,0))*(1-0.06)</f>
        <v>435.78399999999999</v>
      </c>
      <c r="X787" s="42">
        <f>IF(ISERROR(VLOOKUP($U$787,'TAR FIN'!$A$1:$O$115,15,0)),0,VLOOKUP($U$787,'TAR FIN'!$A$1:$O$115,15,0))*(1-0.06)</f>
        <v>165.98519999999999</v>
      </c>
      <c r="Y787" s="42"/>
      <c r="Z787" s="42">
        <f ca="1">('TUSD BE'!$AM$65+'TUSD BF'!$AM$65+'TUSD CVA'!$AM$65)*1*(1-0.03)</f>
        <v>487.15317616832982</v>
      </c>
      <c r="AA787" s="42">
        <f>('TE BE'!$AB$48+'TE BF'!$AB$48+'TE CVA'!$AB$48)*1*(1-0.03)</f>
        <v>223.76151520736593</v>
      </c>
      <c r="AB787" s="42">
        <f>(SUBSIDIO!$J$787*SUBSIDIO!$V$787)*(0.06)/(1-0.06)</f>
        <v>0</v>
      </c>
      <c r="AC787" s="42">
        <f>((SUBSIDIO!$L$787*SUBSIDIO!$W$787)+(SUBSIDIO!$N$787*SUBSIDIO!$X$787))*(0.06)/(1-0.06)</f>
        <v>-6.7218899999999993</v>
      </c>
      <c r="AD787" s="42">
        <f>(SUBSIDIO!$J$787*SUBSIDIO!$Y$787)*(0.03)/(1-0.03)</f>
        <v>0</v>
      </c>
      <c r="AE787" s="42">
        <f ca="1">((SUBSIDIO!$L$787*SUBSIDIO!$Z$787)+(SUBSIDIO!$N$787*SUBSIDIO!$AA$787))*(0.03)/(1-0.03)</f>
        <v>-3.8477341543529922</v>
      </c>
      <c r="AF787" s="4" t="s">
        <v>935</v>
      </c>
    </row>
    <row r="788" spans="1:32" ht="11.25" customHeight="1" x14ac:dyDescent="0.25">
      <c r="A788" s="4" t="s">
        <v>59</v>
      </c>
      <c r="B788" s="4" t="s">
        <v>39</v>
      </c>
      <c r="C788" s="4" t="s">
        <v>23</v>
      </c>
      <c r="D788" s="4" t="s">
        <v>52</v>
      </c>
      <c r="E788" s="4" t="s">
        <v>53</v>
      </c>
      <c r="F788" s="4" t="s">
        <v>25</v>
      </c>
      <c r="G788" s="4" t="s">
        <v>25</v>
      </c>
      <c r="H788" s="4" t="s">
        <v>25</v>
      </c>
      <c r="I788" s="5">
        <v>44866</v>
      </c>
      <c r="J788" s="6">
        <v>0</v>
      </c>
      <c r="K788" s="42">
        <v>0</v>
      </c>
      <c r="L788" s="6">
        <v>143.55099999999999</v>
      </c>
      <c r="M788" s="42">
        <v>143.55099999999999</v>
      </c>
      <c r="N788" s="6">
        <v>143.55099999999999</v>
      </c>
      <c r="O788" s="42">
        <v>143.55099999999999</v>
      </c>
      <c r="P788" s="6">
        <v>55</v>
      </c>
      <c r="Q788" s="4" t="s">
        <v>26</v>
      </c>
      <c r="R788" s="4">
        <v>0</v>
      </c>
      <c r="S788" s="4">
        <v>0</v>
      </c>
      <c r="T788" s="4">
        <v>67</v>
      </c>
      <c r="U788" s="4">
        <v>111</v>
      </c>
      <c r="V788" s="42">
        <f>IF(ISERROR(VLOOKUP($S$788,'TAR FIN'!$A$1:$O$115,15,0)),0,VLOOKUP($S$788,'TAR FIN'!$A$1:$O$115,15,0))</f>
        <v>0</v>
      </c>
      <c r="W788" s="42">
        <f>IF(ISERROR(VLOOKUP($T$788,'TAR FIN'!$A$1:$O$115,15,0)),0,VLOOKUP($T$788,'TAR FIN'!$A$1:$O$115,15,0))*(1-0.06)</f>
        <v>435.78399999999999</v>
      </c>
      <c r="X788" s="42">
        <f>IF(ISERROR(VLOOKUP($U$788,'TAR FIN'!$A$1:$O$115,15,0)),0,VLOOKUP($U$788,'TAR FIN'!$A$1:$O$115,15,0))*(1-0.06)</f>
        <v>165.98519999999999</v>
      </c>
      <c r="Y788" s="42"/>
      <c r="Z788" s="42">
        <f ca="1">('TUSD BE'!$AM$65+'TUSD BF'!$AM$65+'TUSD CVA'!$AM$65)*1*(1-0.03)</f>
        <v>487.15317616832982</v>
      </c>
      <c r="AA788" s="42">
        <f>('TE BE'!$AB$48+'TE BF'!$AB$48+'TE CVA'!$AB$48)*1*(1-0.03)</f>
        <v>223.76151520736593</v>
      </c>
      <c r="AB788" s="42">
        <f>(SUBSIDIO!$J$788*SUBSIDIO!$V$788)*(0.06)/(1-0.06)</f>
        <v>0</v>
      </c>
      <c r="AC788" s="42">
        <f>((SUBSIDIO!$L$788*SUBSIDIO!$W$788)+(SUBSIDIO!$N$788*SUBSIDIO!$X$788))*(0.06)/(1-0.06)</f>
        <v>5513.9087507999993</v>
      </c>
      <c r="AD788" s="42">
        <f>(SUBSIDIO!$J$788*SUBSIDIO!$Y$788)*(0.03)/(1-0.03)</f>
        <v>0</v>
      </c>
      <c r="AE788" s="42">
        <f ca="1">((SUBSIDIO!$L$788*SUBSIDIO!$Z$788)+(SUBSIDIO!$N$788*SUBSIDIO!$AA$788))*(0.03)/(1-0.03)</f>
        <v>3156.2633462372937</v>
      </c>
      <c r="AF788" s="4" t="s">
        <v>935</v>
      </c>
    </row>
    <row r="789" spans="1:32" ht="11.25" customHeight="1" x14ac:dyDescent="0.25">
      <c r="A789" s="4" t="s">
        <v>59</v>
      </c>
      <c r="B789" s="4" t="s">
        <v>39</v>
      </c>
      <c r="C789" s="4" t="s">
        <v>23</v>
      </c>
      <c r="D789" s="4" t="s">
        <v>52</v>
      </c>
      <c r="E789" s="4" t="s">
        <v>53</v>
      </c>
      <c r="F789" s="4" t="s">
        <v>25</v>
      </c>
      <c r="G789" s="4" t="s">
        <v>25</v>
      </c>
      <c r="H789" s="4" t="s">
        <v>25</v>
      </c>
      <c r="I789" s="5">
        <v>44866</v>
      </c>
      <c r="J789" s="6">
        <v>0</v>
      </c>
      <c r="K789" s="42">
        <v>0</v>
      </c>
      <c r="L789" s="6">
        <v>-0.1</v>
      </c>
      <c r="M789" s="42">
        <v>-0.1</v>
      </c>
      <c r="N789" s="6">
        <v>-0.1</v>
      </c>
      <c r="O789" s="42">
        <v>-0.1</v>
      </c>
      <c r="P789" s="6">
        <v>-1</v>
      </c>
      <c r="Q789" s="4" t="s">
        <v>26</v>
      </c>
      <c r="R789" s="4">
        <v>0</v>
      </c>
      <c r="S789" s="4">
        <v>0</v>
      </c>
      <c r="T789" s="4">
        <v>67</v>
      </c>
      <c r="U789" s="4">
        <v>111</v>
      </c>
      <c r="V789" s="42">
        <f>IF(ISERROR(VLOOKUP($S$789,'TAR FIN'!$A$1:$O$115,15,0)),0,VLOOKUP($S$789,'TAR FIN'!$A$1:$O$115,15,0))</f>
        <v>0</v>
      </c>
      <c r="W789" s="42">
        <f>IF(ISERROR(VLOOKUP($T$789,'TAR FIN'!$A$1:$O$115,15,0)),0,VLOOKUP($T$789,'TAR FIN'!$A$1:$O$115,15,0))*(1-0.06)</f>
        <v>435.78399999999999</v>
      </c>
      <c r="X789" s="42">
        <f>IF(ISERROR(VLOOKUP($U$789,'TAR FIN'!$A$1:$O$115,15,0)),0,VLOOKUP($U$789,'TAR FIN'!$A$1:$O$115,15,0))*(1-0.06)</f>
        <v>165.98519999999999</v>
      </c>
      <c r="Y789" s="42"/>
      <c r="Z789" s="42">
        <f ca="1">('TUSD BE'!$AM$65+'TUSD BF'!$AM$65+'TUSD CVA'!$AM$65)*1*(1-0.03)</f>
        <v>487.15317616832982</v>
      </c>
      <c r="AA789" s="42">
        <f>('TE BE'!$AB$48+'TE BF'!$AB$48+'TE CVA'!$AB$48)*1*(1-0.03)</f>
        <v>223.76151520736593</v>
      </c>
      <c r="AB789" s="42">
        <f>(SUBSIDIO!$J$789*SUBSIDIO!$V$789)*(0.06)/(1-0.06)</f>
        <v>0</v>
      </c>
      <c r="AC789" s="42">
        <f>((SUBSIDIO!$L$789*SUBSIDIO!$W$789)+(SUBSIDIO!$N$789*SUBSIDIO!$X$789))*(0.06)/(1-0.06)</f>
        <v>-3.8410799999999998</v>
      </c>
      <c r="AD789" s="42">
        <f>(SUBSIDIO!$J$789*SUBSIDIO!$Y$789)*(0.03)/(1-0.03)</f>
        <v>0</v>
      </c>
      <c r="AE789" s="42">
        <f ca="1">((SUBSIDIO!$L$789*SUBSIDIO!$Z$789)+(SUBSIDIO!$N$789*SUBSIDIO!$AA$789))*(0.03)/(1-0.03)</f>
        <v>-2.1987052310588528</v>
      </c>
      <c r="AF789" s="4" t="s">
        <v>935</v>
      </c>
    </row>
    <row r="790" spans="1:32" ht="11.25" customHeight="1" x14ac:dyDescent="0.25">
      <c r="A790" s="4" t="s">
        <v>59</v>
      </c>
      <c r="B790" s="4" t="s">
        <v>39</v>
      </c>
      <c r="C790" s="4" t="s">
        <v>23</v>
      </c>
      <c r="D790" s="4" t="s">
        <v>52</v>
      </c>
      <c r="E790" s="4" t="s">
        <v>53</v>
      </c>
      <c r="F790" s="4" t="s">
        <v>25</v>
      </c>
      <c r="G790" s="4" t="s">
        <v>25</v>
      </c>
      <c r="H790" s="4" t="s">
        <v>25</v>
      </c>
      <c r="I790" s="5">
        <v>44866</v>
      </c>
      <c r="J790" s="6">
        <v>0</v>
      </c>
      <c r="K790" s="42">
        <v>0</v>
      </c>
      <c r="L790" s="6">
        <v>529.55600000000004</v>
      </c>
      <c r="M790" s="42">
        <v>529.55600000000004</v>
      </c>
      <c r="N790" s="6">
        <v>529.55600000000004</v>
      </c>
      <c r="O790" s="42">
        <v>529.55600000000004</v>
      </c>
      <c r="P790" s="6">
        <v>120</v>
      </c>
      <c r="Q790" s="4" t="s">
        <v>26</v>
      </c>
      <c r="R790" s="4">
        <v>0</v>
      </c>
      <c r="S790" s="4">
        <v>0</v>
      </c>
      <c r="T790" s="4">
        <v>67</v>
      </c>
      <c r="U790" s="4">
        <v>111</v>
      </c>
      <c r="V790" s="42">
        <f>IF(ISERROR(VLOOKUP($S$790,'TAR FIN'!$A$1:$O$115,15,0)),0,VLOOKUP($S$790,'TAR FIN'!$A$1:$O$115,15,0))</f>
        <v>0</v>
      </c>
      <c r="W790" s="42">
        <f>IF(ISERROR(VLOOKUP($T$790,'TAR FIN'!$A$1:$O$115,15,0)),0,VLOOKUP($T$790,'TAR FIN'!$A$1:$O$115,15,0))*(1-0.06)</f>
        <v>435.78399999999999</v>
      </c>
      <c r="X790" s="42">
        <f>IF(ISERROR(VLOOKUP($U$790,'TAR FIN'!$A$1:$O$115,15,0)),0,VLOOKUP($U$790,'TAR FIN'!$A$1:$O$115,15,0))*(1-0.06)</f>
        <v>165.98519999999999</v>
      </c>
      <c r="Y790" s="42"/>
      <c r="Z790" s="42">
        <f ca="1">('TUSD BE'!$AM$65+'TUSD BF'!$AM$65+'TUSD CVA'!$AM$65)*1*(1-0.03)</f>
        <v>487.15317616832982</v>
      </c>
      <c r="AA790" s="42">
        <f>('TE BE'!$AB$48+'TE BF'!$AB$48+'TE CVA'!$AB$48)*1*(1-0.03)</f>
        <v>223.76151520736593</v>
      </c>
      <c r="AB790" s="42">
        <f>(SUBSIDIO!$J$790*SUBSIDIO!$V$790)*(0.06)/(1-0.06)</f>
        <v>0</v>
      </c>
      <c r="AC790" s="42">
        <f>((SUBSIDIO!$L$790*SUBSIDIO!$W$790)+(SUBSIDIO!$N$790*SUBSIDIO!$X$790))*(0.06)/(1-0.06)</f>
        <v>20340.669604800001</v>
      </c>
      <c r="AD790" s="42">
        <f>(SUBSIDIO!$J$790*SUBSIDIO!$Y$790)*(0.03)/(1-0.03)</f>
        <v>0</v>
      </c>
      <c r="AE790" s="42">
        <f ca="1">((SUBSIDIO!$L$790*SUBSIDIO!$Z$790)+(SUBSIDIO!$N$790*SUBSIDIO!$AA$790))*(0.03)/(1-0.03)</f>
        <v>11643.375473386019</v>
      </c>
      <c r="AF790" s="4" t="s">
        <v>935</v>
      </c>
    </row>
    <row r="791" spans="1:32" ht="11.25" customHeight="1" x14ac:dyDescent="0.25">
      <c r="A791" s="4" t="s">
        <v>59</v>
      </c>
      <c r="B791" s="4" t="s">
        <v>39</v>
      </c>
      <c r="C791" s="4" t="s">
        <v>23</v>
      </c>
      <c r="D791" s="4" t="s">
        <v>52</v>
      </c>
      <c r="E791" s="4" t="s">
        <v>53</v>
      </c>
      <c r="F791" s="4" t="s">
        <v>25</v>
      </c>
      <c r="G791" s="4" t="s">
        <v>25</v>
      </c>
      <c r="H791" s="4" t="s">
        <v>25</v>
      </c>
      <c r="I791" s="5">
        <v>44866</v>
      </c>
      <c r="J791" s="6">
        <v>0</v>
      </c>
      <c r="K791" s="42">
        <v>0</v>
      </c>
      <c r="L791" s="6">
        <v>-0.17499999999999999</v>
      </c>
      <c r="M791" s="42">
        <v>-0.17499999999999999</v>
      </c>
      <c r="N791" s="6">
        <v>-0.17499999999999999</v>
      </c>
      <c r="O791" s="42">
        <v>-0.17499999999999999</v>
      </c>
      <c r="P791" s="6">
        <v>0</v>
      </c>
      <c r="Q791" s="4" t="s">
        <v>26</v>
      </c>
      <c r="R791" s="4">
        <v>0</v>
      </c>
      <c r="S791" s="4">
        <v>0</v>
      </c>
      <c r="T791" s="4">
        <v>67</v>
      </c>
      <c r="U791" s="4">
        <v>111</v>
      </c>
      <c r="V791" s="42">
        <f>IF(ISERROR(VLOOKUP($S$791,'TAR FIN'!$A$1:$O$115,15,0)),0,VLOOKUP($S$791,'TAR FIN'!$A$1:$O$115,15,0))</f>
        <v>0</v>
      </c>
      <c r="W791" s="42">
        <f>IF(ISERROR(VLOOKUP($T$791,'TAR FIN'!$A$1:$O$115,15,0)),0,VLOOKUP($T$791,'TAR FIN'!$A$1:$O$115,15,0))*(1-0.06)</f>
        <v>435.78399999999999</v>
      </c>
      <c r="X791" s="42">
        <f>IF(ISERROR(VLOOKUP($U$791,'TAR FIN'!$A$1:$O$115,15,0)),0,VLOOKUP($U$791,'TAR FIN'!$A$1:$O$115,15,0))*(1-0.06)</f>
        <v>165.98519999999999</v>
      </c>
      <c r="Y791" s="42"/>
      <c r="Z791" s="42">
        <f ca="1">('TUSD BE'!$AM$65+'TUSD BF'!$AM$65+'TUSD CVA'!$AM$65)*1*(1-0.03)</f>
        <v>487.15317616832982</v>
      </c>
      <c r="AA791" s="42">
        <f>('TE BE'!$AB$48+'TE BF'!$AB$48+'TE CVA'!$AB$48)*1*(1-0.03)</f>
        <v>223.76151520736593</v>
      </c>
      <c r="AB791" s="42">
        <f>(SUBSIDIO!$J$791*SUBSIDIO!$V$791)*(0.06)/(1-0.06)</f>
        <v>0</v>
      </c>
      <c r="AC791" s="42">
        <f>((SUBSIDIO!$L$791*SUBSIDIO!$W$791)+(SUBSIDIO!$N$791*SUBSIDIO!$X$791))*(0.06)/(1-0.06)</f>
        <v>-6.7218899999999993</v>
      </c>
      <c r="AD791" s="42">
        <f>(SUBSIDIO!$J$791*SUBSIDIO!$Y$791)*(0.03)/(1-0.03)</f>
        <v>0</v>
      </c>
      <c r="AE791" s="42">
        <f ca="1">((SUBSIDIO!$L$791*SUBSIDIO!$Z$791)+(SUBSIDIO!$N$791*SUBSIDIO!$AA$791))*(0.03)/(1-0.03)</f>
        <v>-3.8477341543529922</v>
      </c>
      <c r="AF791" s="4" t="s">
        <v>935</v>
      </c>
    </row>
    <row r="792" spans="1:32" ht="11.25" customHeight="1" x14ac:dyDescent="0.25">
      <c r="V792" s="6"/>
      <c r="W792" s="6"/>
      <c r="X792" s="6"/>
      <c r="Y792" s="6"/>
      <c r="Z792" s="6"/>
      <c r="AA792" s="6"/>
      <c r="AB792" s="6"/>
      <c r="AC792" s="6"/>
      <c r="AD792" s="6"/>
      <c r="AE792" s="6"/>
    </row>
    <row r="793" spans="1:32" ht="11.25" customHeight="1" x14ac:dyDescent="0.25">
      <c r="V793" s="6"/>
      <c r="W793" s="6"/>
      <c r="X793" s="6"/>
      <c r="Y793" s="6"/>
      <c r="Z793" s="6"/>
      <c r="AA793" s="6"/>
      <c r="AB793" s="6"/>
      <c r="AC793" s="6"/>
      <c r="AD793" s="6"/>
      <c r="AE793" s="6"/>
    </row>
    <row r="794" spans="1:32" ht="11.25" customHeight="1" x14ac:dyDescent="0.25">
      <c r="V794" s="6"/>
      <c r="W794" s="6"/>
      <c r="X794" s="6"/>
      <c r="Y794" s="6"/>
      <c r="Z794" s="6"/>
      <c r="AA794" s="6"/>
      <c r="AB794" s="6"/>
      <c r="AC794" s="6"/>
      <c r="AD794" s="6"/>
      <c r="AE794" s="6"/>
    </row>
    <row r="795" spans="1:32" ht="11.25" customHeight="1" x14ac:dyDescent="0.25">
      <c r="V795" s="6"/>
      <c r="W795" s="6"/>
      <c r="X795" s="6"/>
      <c r="Y795" s="6"/>
      <c r="Z795" s="6"/>
      <c r="AA795" s="6"/>
      <c r="AB795" s="6"/>
      <c r="AC795" s="6"/>
      <c r="AD795" s="6"/>
      <c r="AE795" s="6"/>
    </row>
    <row r="796" spans="1:32" ht="11.25" customHeight="1" x14ac:dyDescent="0.25">
      <c r="V796" s="6"/>
      <c r="W796" s="6"/>
      <c r="X796" s="6"/>
      <c r="Y796" s="6"/>
      <c r="Z796" s="6"/>
      <c r="AA796" s="6"/>
      <c r="AB796" s="6"/>
      <c r="AC796" s="6"/>
      <c r="AD796" s="6"/>
      <c r="AE796" s="6"/>
    </row>
    <row r="797" spans="1:32" ht="11.25" customHeight="1" x14ac:dyDescent="0.25">
      <c r="V797" s="6"/>
      <c r="W797" s="6"/>
      <c r="X797" s="6"/>
      <c r="Y797" s="6"/>
      <c r="Z797" s="6"/>
      <c r="AA797" s="6"/>
      <c r="AB797" s="6"/>
      <c r="AC797" s="6"/>
      <c r="AD797" s="6"/>
      <c r="AE797" s="6"/>
    </row>
    <row r="798" spans="1:32" ht="11.25" customHeight="1" x14ac:dyDescent="0.25">
      <c r="V798" s="6"/>
      <c r="W798" s="6"/>
      <c r="X798" s="6"/>
      <c r="Y798" s="6"/>
      <c r="Z798" s="6"/>
      <c r="AA798" s="6"/>
      <c r="AB798" s="6"/>
      <c r="AC798" s="6"/>
      <c r="AD798" s="6"/>
      <c r="AE798" s="6"/>
    </row>
    <row r="799" spans="1:32" ht="11.25" customHeight="1" x14ac:dyDescent="0.25">
      <c r="V799" s="6"/>
      <c r="W799" s="6"/>
      <c r="X799" s="6"/>
      <c r="Y799" s="6"/>
      <c r="Z799" s="6"/>
      <c r="AA799" s="6"/>
      <c r="AB799" s="6"/>
      <c r="AC799" s="6"/>
      <c r="AD799" s="6"/>
      <c r="AE799" s="6"/>
    </row>
    <row r="800" spans="1:32" ht="11.25" customHeight="1" x14ac:dyDescent="0.25">
      <c r="V800" s="6"/>
      <c r="W800" s="6"/>
      <c r="X800" s="6"/>
      <c r="Y800" s="6"/>
      <c r="Z800" s="6"/>
      <c r="AA800" s="6"/>
      <c r="AB800" s="6"/>
      <c r="AC800" s="6"/>
      <c r="AD800" s="6"/>
      <c r="AE800" s="6"/>
    </row>
    <row r="801" spans="22:31" ht="11.25" customHeight="1" x14ac:dyDescent="0.25">
      <c r="V801" s="6"/>
      <c r="W801" s="6"/>
      <c r="X801" s="6"/>
      <c r="Y801" s="6"/>
      <c r="Z801" s="6"/>
      <c r="AA801" s="6"/>
      <c r="AB801" s="6"/>
      <c r="AC801" s="6"/>
      <c r="AD801" s="6"/>
      <c r="AE801" s="6"/>
    </row>
    <row r="802" spans="22:31" ht="11.25" customHeight="1" x14ac:dyDescent="0.25">
      <c r="V802" s="6"/>
      <c r="W802" s="6"/>
      <c r="X802" s="6"/>
      <c r="Y802" s="6"/>
      <c r="Z802" s="6"/>
      <c r="AA802" s="6"/>
      <c r="AB802" s="6"/>
      <c r="AC802" s="6"/>
      <c r="AD802" s="6"/>
      <c r="AE802" s="6"/>
    </row>
    <row r="803" spans="22:31" ht="11.25" customHeight="1" x14ac:dyDescent="0.25">
      <c r="V803" s="6"/>
      <c r="W803" s="6"/>
      <c r="X803" s="6"/>
      <c r="Y803" s="6"/>
      <c r="Z803" s="6"/>
      <c r="AA803" s="6"/>
      <c r="AB803" s="6"/>
      <c r="AC803" s="6"/>
      <c r="AD803" s="6"/>
      <c r="AE803" s="6"/>
    </row>
    <row r="804" spans="22:31" ht="11.25" customHeight="1" x14ac:dyDescent="0.25">
      <c r="V804" s="6"/>
      <c r="W804" s="6"/>
      <c r="X804" s="6"/>
      <c r="Y804" s="6"/>
      <c r="Z804" s="6"/>
      <c r="AA804" s="6"/>
      <c r="AB804" s="6"/>
      <c r="AC804" s="6"/>
      <c r="AD804" s="6"/>
      <c r="AE804" s="6"/>
    </row>
    <row r="805" spans="22:31" ht="11.25" customHeight="1" x14ac:dyDescent="0.25">
      <c r="V805" s="6"/>
      <c r="W805" s="6"/>
      <c r="X805" s="6"/>
      <c r="Y805" s="6"/>
      <c r="Z805" s="6"/>
      <c r="AA805" s="6"/>
      <c r="AB805" s="6"/>
      <c r="AC805" s="6"/>
      <c r="AD805" s="6"/>
      <c r="AE805" s="6"/>
    </row>
    <row r="806" spans="22:31" ht="11.25" customHeight="1" x14ac:dyDescent="0.25">
      <c r="V806" s="6"/>
      <c r="W806" s="6"/>
      <c r="X806" s="6"/>
      <c r="Y806" s="6"/>
      <c r="Z806" s="6"/>
      <c r="AA806" s="6"/>
      <c r="AB806" s="6"/>
      <c r="AC806" s="6"/>
      <c r="AD806" s="6"/>
      <c r="AE806" s="6"/>
    </row>
    <row r="807" spans="22:31" ht="11.25" customHeight="1" x14ac:dyDescent="0.25">
      <c r="V807" s="6"/>
      <c r="W807" s="6"/>
      <c r="X807" s="6"/>
      <c r="Y807" s="6"/>
      <c r="Z807" s="6"/>
      <c r="AA807" s="6"/>
      <c r="AB807" s="6"/>
      <c r="AC807" s="6"/>
      <c r="AD807" s="6"/>
      <c r="AE807" s="6"/>
    </row>
    <row r="808" spans="22:31" ht="11.25" customHeight="1" x14ac:dyDescent="0.25">
      <c r="V808" s="6"/>
      <c r="W808" s="6"/>
      <c r="X808" s="6"/>
      <c r="Y808" s="6"/>
      <c r="Z808" s="6"/>
      <c r="AA808" s="6"/>
      <c r="AB808" s="6"/>
      <c r="AC808" s="6"/>
      <c r="AD808" s="6"/>
      <c r="AE808" s="6"/>
    </row>
    <row r="809" spans="22:31" ht="11.25" customHeight="1" x14ac:dyDescent="0.25">
      <c r="V809" s="6"/>
      <c r="W809" s="6"/>
      <c r="X809" s="6"/>
      <c r="Y809" s="6"/>
      <c r="Z809" s="6"/>
      <c r="AA809" s="6"/>
      <c r="AB809" s="6"/>
      <c r="AC809" s="6"/>
      <c r="AD809" s="6"/>
      <c r="AE809" s="6"/>
    </row>
    <row r="810" spans="22:31" ht="11.25" customHeight="1" x14ac:dyDescent="0.25">
      <c r="V810" s="6"/>
      <c r="W810" s="6"/>
      <c r="X810" s="6"/>
      <c r="Y810" s="6"/>
      <c r="Z810" s="6"/>
      <c r="AA810" s="6"/>
      <c r="AB810" s="6"/>
      <c r="AC810" s="6"/>
      <c r="AD810" s="6"/>
      <c r="AE810" s="6"/>
    </row>
    <row r="811" spans="22:31" ht="11.25" customHeight="1" x14ac:dyDescent="0.25">
      <c r="V811" s="6"/>
      <c r="W811" s="6"/>
      <c r="X811" s="6"/>
      <c r="Y811" s="6"/>
      <c r="Z811" s="6"/>
      <c r="AA811" s="6"/>
      <c r="AB811" s="6"/>
      <c r="AC811" s="6"/>
      <c r="AD811" s="6"/>
      <c r="AE811" s="6"/>
    </row>
    <row r="812" spans="22:31" ht="11.25" customHeight="1" x14ac:dyDescent="0.25">
      <c r="V812" s="6"/>
      <c r="W812" s="6"/>
      <c r="X812" s="6"/>
      <c r="Y812" s="6"/>
      <c r="Z812" s="6"/>
      <c r="AA812" s="6"/>
      <c r="AB812" s="6"/>
      <c r="AC812" s="6"/>
      <c r="AD812" s="6"/>
      <c r="AE812" s="6"/>
    </row>
    <row r="813" spans="22:31" ht="11.25" customHeight="1" x14ac:dyDescent="0.25">
      <c r="V813" s="6"/>
      <c r="W813" s="6"/>
      <c r="X813" s="6"/>
      <c r="Y813" s="6"/>
      <c r="Z813" s="6"/>
      <c r="AA813" s="6"/>
      <c r="AB813" s="6"/>
      <c r="AC813" s="6"/>
      <c r="AD813" s="6"/>
      <c r="AE813" s="6"/>
    </row>
    <row r="814" spans="22:31" ht="11.25" customHeight="1" x14ac:dyDescent="0.25">
      <c r="V814" s="6"/>
      <c r="W814" s="6"/>
      <c r="X814" s="6"/>
      <c r="Y814" s="6"/>
      <c r="Z814" s="6"/>
      <c r="AA814" s="6"/>
      <c r="AB814" s="6"/>
      <c r="AC814" s="6"/>
      <c r="AD814" s="6"/>
      <c r="AE814" s="6"/>
    </row>
    <row r="815" spans="22:31" ht="11.25" customHeight="1" x14ac:dyDescent="0.25">
      <c r="V815" s="6"/>
      <c r="W815" s="6"/>
      <c r="X815" s="6"/>
      <c r="Y815" s="6"/>
      <c r="Z815" s="6"/>
      <c r="AA815" s="6"/>
      <c r="AB815" s="6"/>
      <c r="AC815" s="6"/>
      <c r="AD815" s="6"/>
      <c r="AE815" s="6"/>
    </row>
    <row r="816" spans="22:31" ht="11.25" customHeight="1" x14ac:dyDescent="0.25">
      <c r="V816" s="6"/>
      <c r="W816" s="6"/>
      <c r="X816" s="6"/>
      <c r="Y816" s="6"/>
      <c r="Z816" s="6"/>
      <c r="AA816" s="6"/>
      <c r="AB816" s="6"/>
      <c r="AC816" s="6"/>
      <c r="AD816" s="6"/>
      <c r="AE816" s="6"/>
    </row>
    <row r="817" spans="22:31" ht="11.25" customHeight="1" x14ac:dyDescent="0.25">
      <c r="V817" s="6"/>
      <c r="W817" s="6"/>
      <c r="X817" s="6"/>
      <c r="Y817" s="6"/>
      <c r="Z817" s="6"/>
      <c r="AA817" s="6"/>
      <c r="AB817" s="6"/>
      <c r="AC817" s="6"/>
      <c r="AD817" s="6"/>
      <c r="AE817" s="6"/>
    </row>
    <row r="818" spans="22:31" ht="11.25" customHeight="1" x14ac:dyDescent="0.25">
      <c r="V818" s="6"/>
      <c r="W818" s="6"/>
      <c r="X818" s="6"/>
      <c r="Y818" s="6"/>
      <c r="Z818" s="6"/>
      <c r="AA818" s="6"/>
      <c r="AB818" s="6"/>
      <c r="AC818" s="6"/>
      <c r="AD818" s="6"/>
      <c r="AE818" s="6"/>
    </row>
    <row r="819" spans="22:31" ht="11.25" customHeight="1" x14ac:dyDescent="0.25">
      <c r="V819" s="6"/>
      <c r="W819" s="6"/>
      <c r="X819" s="6"/>
      <c r="Y819" s="6"/>
      <c r="Z819" s="6"/>
      <c r="AA819" s="6"/>
      <c r="AB819" s="6"/>
      <c r="AC819" s="6"/>
      <c r="AD819" s="6"/>
      <c r="AE819" s="6"/>
    </row>
    <row r="820" spans="22:31" ht="11.25" customHeight="1" x14ac:dyDescent="0.25">
      <c r="V820" s="6"/>
      <c r="W820" s="6"/>
      <c r="X820" s="6"/>
      <c r="Y820" s="6"/>
      <c r="Z820" s="6"/>
      <c r="AA820" s="6"/>
      <c r="AB820" s="6"/>
      <c r="AC820" s="6"/>
      <c r="AD820" s="6"/>
      <c r="AE820" s="6"/>
    </row>
    <row r="821" spans="22:31" ht="11.25" customHeight="1" x14ac:dyDescent="0.25">
      <c r="V821" s="6"/>
      <c r="W821" s="6"/>
      <c r="X821" s="6"/>
      <c r="Y821" s="6"/>
      <c r="Z821" s="6"/>
      <c r="AA821" s="6"/>
      <c r="AB821" s="6"/>
      <c r="AC821" s="6"/>
      <c r="AD821" s="6"/>
      <c r="AE821" s="6"/>
    </row>
    <row r="822" spans="22:31" ht="11.25" customHeight="1" x14ac:dyDescent="0.25">
      <c r="V822" s="6"/>
      <c r="W822" s="6"/>
      <c r="X822" s="6"/>
      <c r="Y822" s="6"/>
      <c r="Z822" s="6"/>
      <c r="AA822" s="6"/>
      <c r="AB822" s="6"/>
      <c r="AC822" s="6"/>
      <c r="AD822" s="6"/>
      <c r="AE822" s="6"/>
    </row>
    <row r="823" spans="22:31" ht="11.25" customHeight="1" x14ac:dyDescent="0.25">
      <c r="V823" s="6"/>
      <c r="W823" s="6"/>
      <c r="X823" s="6"/>
      <c r="Y823" s="6"/>
      <c r="Z823" s="6"/>
      <c r="AA823" s="6"/>
      <c r="AB823" s="6"/>
      <c r="AC823" s="6"/>
      <c r="AD823" s="6"/>
      <c r="AE823" s="6"/>
    </row>
    <row r="824" spans="22:31" ht="11.25" customHeight="1" x14ac:dyDescent="0.25">
      <c r="V824" s="6"/>
      <c r="W824" s="6"/>
      <c r="X824" s="6"/>
      <c r="Y824" s="6"/>
      <c r="Z824" s="6"/>
      <c r="AA824" s="6"/>
      <c r="AB824" s="6"/>
      <c r="AC824" s="6"/>
      <c r="AD824" s="6"/>
      <c r="AE824" s="6"/>
    </row>
    <row r="825" spans="22:31" ht="11.25" customHeight="1" x14ac:dyDescent="0.25">
      <c r="V825" s="6"/>
      <c r="W825" s="6"/>
      <c r="X825" s="6"/>
      <c r="Y825" s="6"/>
      <c r="Z825" s="6"/>
      <c r="AA825" s="6"/>
      <c r="AB825" s="6"/>
      <c r="AC825" s="6"/>
      <c r="AD825" s="6"/>
      <c r="AE825" s="6"/>
    </row>
    <row r="826" spans="22:31" ht="11.25" customHeight="1" x14ac:dyDescent="0.25">
      <c r="V826" s="6"/>
      <c r="W826" s="6"/>
      <c r="X826" s="6"/>
      <c r="Y826" s="6"/>
      <c r="Z826" s="6"/>
      <c r="AA826" s="6"/>
      <c r="AB826" s="6"/>
      <c r="AC826" s="6"/>
      <c r="AD826" s="6"/>
      <c r="AE826" s="6"/>
    </row>
    <row r="827" spans="22:31" ht="11.25" customHeight="1" x14ac:dyDescent="0.25">
      <c r="V827" s="6"/>
      <c r="W827" s="6"/>
      <c r="X827" s="6"/>
      <c r="Y827" s="6"/>
      <c r="Z827" s="6"/>
      <c r="AA827" s="6"/>
      <c r="AB827" s="6"/>
      <c r="AC827" s="6"/>
      <c r="AD827" s="6"/>
      <c r="AE827" s="6"/>
    </row>
    <row r="828" spans="22:31" ht="11.25" customHeight="1" x14ac:dyDescent="0.25">
      <c r="V828" s="6"/>
      <c r="W828" s="6"/>
      <c r="X828" s="6"/>
      <c r="Y828" s="6"/>
      <c r="Z828" s="6"/>
      <c r="AA828" s="6"/>
      <c r="AB828" s="6"/>
      <c r="AC828" s="6"/>
      <c r="AD828" s="6"/>
      <c r="AE828" s="6"/>
    </row>
    <row r="829" spans="22:31" ht="11.25" customHeight="1" x14ac:dyDescent="0.25">
      <c r="V829" s="6"/>
      <c r="W829" s="6"/>
      <c r="X829" s="6"/>
      <c r="Y829" s="6"/>
      <c r="Z829" s="6"/>
      <c r="AA829" s="6"/>
      <c r="AB829" s="6"/>
      <c r="AC829" s="6"/>
      <c r="AD829" s="6"/>
      <c r="AE829" s="6"/>
    </row>
    <row r="830" spans="22:31" ht="11.25" customHeight="1" x14ac:dyDescent="0.25">
      <c r="V830" s="6"/>
      <c r="W830" s="6"/>
      <c r="X830" s="6"/>
      <c r="Y830" s="6"/>
      <c r="Z830" s="6"/>
      <c r="AA830" s="6"/>
      <c r="AB830" s="6"/>
      <c r="AC830" s="6"/>
      <c r="AD830" s="6"/>
      <c r="AE830" s="6"/>
    </row>
    <row r="831" spans="22:31" ht="11.25" customHeight="1" x14ac:dyDescent="0.25">
      <c r="V831" s="6"/>
      <c r="W831" s="6"/>
      <c r="X831" s="6"/>
      <c r="Y831" s="6"/>
      <c r="Z831" s="6"/>
      <c r="AA831" s="6"/>
      <c r="AB831" s="6"/>
      <c r="AC831" s="6"/>
      <c r="AD831" s="6"/>
      <c r="AE831" s="6"/>
    </row>
    <row r="832" spans="22:31" ht="11.25" customHeight="1" x14ac:dyDescent="0.25">
      <c r="V832" s="6"/>
      <c r="W832" s="6"/>
      <c r="X832" s="6"/>
      <c r="Y832" s="6"/>
      <c r="Z832" s="6"/>
      <c r="AA832" s="6"/>
      <c r="AB832" s="6"/>
      <c r="AC832" s="6"/>
      <c r="AD832" s="6"/>
      <c r="AE832" s="6"/>
    </row>
    <row r="833" spans="22:31" ht="11.25" customHeight="1" x14ac:dyDescent="0.25">
      <c r="V833" s="6"/>
      <c r="W833" s="6"/>
      <c r="X833" s="6"/>
      <c r="Y833" s="6"/>
      <c r="Z833" s="6"/>
      <c r="AA833" s="6"/>
      <c r="AB833" s="6"/>
      <c r="AC833" s="6"/>
      <c r="AD833" s="6"/>
      <c r="AE833" s="6"/>
    </row>
    <row r="834" spans="22:31" ht="11.25" customHeight="1" x14ac:dyDescent="0.25">
      <c r="V834" s="6"/>
      <c r="W834" s="6"/>
      <c r="X834" s="6"/>
      <c r="Y834" s="6"/>
      <c r="Z834" s="6"/>
      <c r="AA834" s="6"/>
      <c r="AB834" s="6"/>
      <c r="AC834" s="6"/>
      <c r="AD834" s="6"/>
      <c r="AE834" s="6"/>
    </row>
    <row r="835" spans="22:31" ht="11.25" customHeight="1" x14ac:dyDescent="0.25">
      <c r="V835" s="6"/>
      <c r="W835" s="6"/>
      <c r="X835" s="6"/>
      <c r="Y835" s="6"/>
      <c r="Z835" s="6"/>
      <c r="AA835" s="6"/>
      <c r="AB835" s="6"/>
      <c r="AC835" s="6"/>
      <c r="AD835" s="6"/>
      <c r="AE835" s="6"/>
    </row>
    <row r="836" spans="22:31" ht="11.25" customHeight="1" x14ac:dyDescent="0.25">
      <c r="V836" s="6"/>
      <c r="W836" s="6"/>
      <c r="X836" s="6"/>
      <c r="Y836" s="6"/>
      <c r="Z836" s="6"/>
      <c r="AA836" s="6"/>
      <c r="AB836" s="6"/>
      <c r="AC836" s="6"/>
      <c r="AD836" s="6"/>
      <c r="AE836" s="6"/>
    </row>
    <row r="837" spans="22:31" ht="11.25" customHeight="1" x14ac:dyDescent="0.25">
      <c r="V837" s="6"/>
      <c r="W837" s="6"/>
      <c r="X837" s="6"/>
      <c r="Y837" s="6"/>
      <c r="Z837" s="6"/>
      <c r="AA837" s="6"/>
      <c r="AB837" s="6"/>
      <c r="AC837" s="6"/>
      <c r="AD837" s="6"/>
      <c r="AE837" s="6"/>
    </row>
    <row r="838" spans="22:31" ht="11.25" customHeight="1" x14ac:dyDescent="0.25">
      <c r="V838" s="6"/>
      <c r="W838" s="6"/>
      <c r="X838" s="6"/>
      <c r="Y838" s="6"/>
      <c r="Z838" s="6"/>
      <c r="AA838" s="6"/>
      <c r="AB838" s="6"/>
      <c r="AC838" s="6"/>
      <c r="AD838" s="6"/>
      <c r="AE838" s="6"/>
    </row>
    <row r="839" spans="22:31" ht="11.25" customHeight="1" x14ac:dyDescent="0.25">
      <c r="V839" s="6"/>
      <c r="W839" s="6"/>
      <c r="X839" s="6"/>
      <c r="Y839" s="6"/>
      <c r="Z839" s="6"/>
      <c r="AA839" s="6"/>
      <c r="AB839" s="6"/>
      <c r="AC839" s="6"/>
      <c r="AD839" s="6"/>
      <c r="AE839" s="6"/>
    </row>
    <row r="840" spans="22:31" ht="11.25" customHeight="1" x14ac:dyDescent="0.25">
      <c r="V840" s="6"/>
      <c r="W840" s="6"/>
      <c r="X840" s="6"/>
      <c r="Y840" s="6"/>
      <c r="Z840" s="6"/>
      <c r="AA840" s="6"/>
      <c r="AB840" s="6"/>
      <c r="AC840" s="6"/>
      <c r="AD840" s="6"/>
      <c r="AE840" s="6"/>
    </row>
    <row r="841" spans="22:31" ht="11.25" customHeight="1" x14ac:dyDescent="0.25">
      <c r="V841" s="6"/>
      <c r="W841" s="6"/>
      <c r="X841" s="6"/>
      <c r="Y841" s="6"/>
      <c r="Z841" s="6"/>
      <c r="AA841" s="6"/>
      <c r="AB841" s="6"/>
      <c r="AC841" s="6"/>
      <c r="AD841" s="6"/>
      <c r="AE841" s="6"/>
    </row>
    <row r="842" spans="22:31" ht="11.25" customHeight="1" x14ac:dyDescent="0.25">
      <c r="V842" s="6"/>
      <c r="W842" s="6"/>
      <c r="X842" s="6"/>
      <c r="Y842" s="6"/>
      <c r="Z842" s="6"/>
      <c r="AA842" s="6"/>
      <c r="AB842" s="6"/>
      <c r="AC842" s="6"/>
      <c r="AD842" s="6"/>
      <c r="AE842" s="6"/>
    </row>
    <row r="843" spans="22:31" ht="11.25" customHeight="1" x14ac:dyDescent="0.25">
      <c r="V843" s="6"/>
      <c r="W843" s="6"/>
      <c r="X843" s="6"/>
      <c r="Y843" s="6"/>
      <c r="Z843" s="6"/>
      <c r="AA843" s="6"/>
      <c r="AB843" s="6"/>
      <c r="AC843" s="6"/>
      <c r="AD843" s="6"/>
      <c r="AE843" s="6"/>
    </row>
    <row r="844" spans="22:31" ht="11.25" customHeight="1" x14ac:dyDescent="0.25">
      <c r="V844" s="6"/>
      <c r="W844" s="6"/>
      <c r="X844" s="6"/>
      <c r="Y844" s="6"/>
      <c r="Z844" s="6"/>
      <c r="AA844" s="6"/>
      <c r="AB844" s="6"/>
      <c r="AC844" s="6"/>
      <c r="AD844" s="6"/>
      <c r="AE844" s="6"/>
    </row>
    <row r="845" spans="22:31" ht="11.25" customHeight="1" x14ac:dyDescent="0.25">
      <c r="V845" s="6"/>
      <c r="W845" s="6"/>
      <c r="X845" s="6"/>
      <c r="Y845" s="6"/>
      <c r="Z845" s="6"/>
      <c r="AA845" s="6"/>
      <c r="AB845" s="6"/>
      <c r="AC845" s="6"/>
      <c r="AD845" s="6"/>
      <c r="AE845" s="6"/>
    </row>
    <row r="846" spans="22:31" ht="11.25" customHeight="1" x14ac:dyDescent="0.25">
      <c r="V846" s="6"/>
      <c r="W846" s="6"/>
      <c r="X846" s="6"/>
      <c r="Y846" s="6"/>
      <c r="Z846" s="6"/>
      <c r="AA846" s="6"/>
      <c r="AB846" s="6"/>
      <c r="AC846" s="6"/>
      <c r="AD846" s="6"/>
      <c r="AE846" s="6"/>
    </row>
    <row r="847" spans="22:31" ht="11.25" customHeight="1" x14ac:dyDescent="0.25">
      <c r="V847" s="6"/>
      <c r="W847" s="6"/>
      <c r="X847" s="6"/>
      <c r="Y847" s="6"/>
      <c r="Z847" s="6"/>
      <c r="AA847" s="6"/>
      <c r="AB847" s="6"/>
      <c r="AC847" s="6"/>
      <c r="AD847" s="6"/>
      <c r="AE847" s="6"/>
    </row>
    <row r="848" spans="22:31" ht="11.25" customHeight="1" x14ac:dyDescent="0.25">
      <c r="V848" s="6"/>
      <c r="W848" s="6"/>
      <c r="X848" s="6"/>
      <c r="Y848" s="6"/>
      <c r="Z848" s="6"/>
      <c r="AA848" s="6"/>
      <c r="AB848" s="6"/>
      <c r="AC848" s="6"/>
      <c r="AD848" s="6"/>
      <c r="AE848" s="6"/>
    </row>
    <row r="849" spans="22:31" ht="11.25" customHeight="1" x14ac:dyDescent="0.25">
      <c r="V849" s="6"/>
      <c r="W849" s="6"/>
      <c r="X849" s="6"/>
      <c r="Y849" s="6"/>
      <c r="Z849" s="6"/>
      <c r="AA849" s="6"/>
      <c r="AB849" s="6"/>
      <c r="AC849" s="6"/>
      <c r="AD849" s="6"/>
      <c r="AE849" s="6"/>
    </row>
    <row r="850" spans="22:31" ht="11.25" customHeight="1" x14ac:dyDescent="0.25">
      <c r="V850" s="6"/>
      <c r="W850" s="6"/>
      <c r="X850" s="6"/>
      <c r="Y850" s="6"/>
      <c r="Z850" s="6"/>
      <c r="AA850" s="6"/>
      <c r="AB850" s="6"/>
      <c r="AC850" s="6"/>
      <c r="AD850" s="6"/>
      <c r="AE850" s="6"/>
    </row>
    <row r="851" spans="22:31" ht="11.25" customHeight="1" x14ac:dyDescent="0.25">
      <c r="V851" s="6"/>
      <c r="W851" s="6"/>
      <c r="X851" s="6"/>
      <c r="Y851" s="6"/>
      <c r="Z851" s="6"/>
      <c r="AA851" s="6"/>
      <c r="AB851" s="6"/>
      <c r="AC851" s="6"/>
      <c r="AD851" s="6"/>
      <c r="AE851" s="6"/>
    </row>
    <row r="852" spans="22:31" ht="11.25" customHeight="1" x14ac:dyDescent="0.25">
      <c r="V852" s="6"/>
      <c r="W852" s="6"/>
      <c r="X852" s="6"/>
      <c r="Y852" s="6"/>
      <c r="Z852" s="6"/>
      <c r="AA852" s="6"/>
      <c r="AB852" s="6"/>
      <c r="AC852" s="6"/>
      <c r="AD852" s="6"/>
      <c r="AE852" s="6"/>
    </row>
    <row r="853" spans="22:31" ht="11.25" customHeight="1" x14ac:dyDescent="0.25">
      <c r="V853" s="6"/>
      <c r="W853" s="6"/>
      <c r="X853" s="6"/>
      <c r="Y853" s="6"/>
      <c r="Z853" s="6"/>
      <c r="AA853" s="6"/>
      <c r="AB853" s="6"/>
      <c r="AC853" s="6"/>
      <c r="AD853" s="6"/>
      <c r="AE853" s="6"/>
    </row>
    <row r="854" spans="22:31" ht="11.25" customHeight="1" x14ac:dyDescent="0.25">
      <c r="V854" s="6"/>
      <c r="W854" s="6"/>
      <c r="X854" s="6"/>
      <c r="Y854" s="6"/>
      <c r="Z854" s="6"/>
      <c r="AA854" s="6"/>
      <c r="AB854" s="6"/>
      <c r="AC854" s="6"/>
      <c r="AD854" s="6"/>
      <c r="AE854" s="6"/>
    </row>
    <row r="855" spans="22:31" ht="11.25" customHeight="1" x14ac:dyDescent="0.25">
      <c r="V855" s="6"/>
      <c r="W855" s="6"/>
      <c r="X855" s="6"/>
      <c r="Y855" s="6"/>
      <c r="Z855" s="6"/>
      <c r="AA855" s="6"/>
      <c r="AB855" s="6"/>
      <c r="AC855" s="6"/>
      <c r="AD855" s="6"/>
      <c r="AE855" s="6"/>
    </row>
    <row r="856" spans="22:31" ht="11.25" customHeight="1" x14ac:dyDescent="0.25">
      <c r="V856" s="6"/>
      <c r="W856" s="6"/>
      <c r="X856" s="6"/>
      <c r="Y856" s="6"/>
      <c r="Z856" s="6"/>
      <c r="AA856" s="6"/>
      <c r="AB856" s="6"/>
      <c r="AC856" s="6"/>
      <c r="AD856" s="6"/>
      <c r="AE856" s="6"/>
    </row>
    <row r="857" spans="22:31" ht="11.25" customHeight="1" x14ac:dyDescent="0.25">
      <c r="V857" s="6"/>
      <c r="W857" s="6"/>
      <c r="X857" s="6"/>
      <c r="Y857" s="6"/>
      <c r="Z857" s="6"/>
      <c r="AA857" s="6"/>
      <c r="AB857" s="6"/>
      <c r="AC857" s="6"/>
      <c r="AD857" s="6"/>
      <c r="AE857" s="6"/>
    </row>
    <row r="858" spans="22:31" ht="11.25" customHeight="1" x14ac:dyDescent="0.25">
      <c r="V858" s="6"/>
      <c r="W858" s="6"/>
      <c r="X858" s="6"/>
      <c r="Y858" s="6"/>
      <c r="Z858" s="6"/>
      <c r="AA858" s="6"/>
      <c r="AB858" s="6"/>
      <c r="AC858" s="6"/>
      <c r="AD858" s="6"/>
      <c r="AE858" s="6"/>
    </row>
    <row r="859" spans="22:31" ht="11.25" customHeight="1" x14ac:dyDescent="0.25">
      <c r="V859" s="6"/>
      <c r="W859" s="6"/>
      <c r="X859" s="6"/>
      <c r="Y859" s="6"/>
      <c r="Z859" s="6"/>
      <c r="AA859" s="6"/>
      <c r="AB859" s="6"/>
      <c r="AC859" s="6"/>
      <c r="AD859" s="6"/>
      <c r="AE859" s="6"/>
    </row>
    <row r="860" spans="22:31" ht="11.25" customHeight="1" x14ac:dyDescent="0.25">
      <c r="V860" s="6"/>
      <c r="W860" s="6"/>
      <c r="X860" s="6"/>
      <c r="Y860" s="6"/>
      <c r="Z860" s="6"/>
      <c r="AA860" s="6"/>
      <c r="AB860" s="6"/>
      <c r="AC860" s="6"/>
      <c r="AD860" s="6"/>
      <c r="AE860" s="6"/>
    </row>
    <row r="861" spans="22:31" ht="11.25" customHeight="1" x14ac:dyDescent="0.25">
      <c r="V861" s="6"/>
      <c r="W861" s="6"/>
      <c r="X861" s="6"/>
      <c r="Y861" s="6"/>
      <c r="Z861" s="6"/>
      <c r="AA861" s="6"/>
      <c r="AB861" s="6"/>
      <c r="AC861" s="6"/>
      <c r="AD861" s="6"/>
      <c r="AE861" s="6"/>
    </row>
    <row r="862" spans="22:31" ht="11.25" customHeight="1" x14ac:dyDescent="0.25">
      <c r="V862" s="6"/>
      <c r="W862" s="6"/>
      <c r="X862" s="6"/>
      <c r="Y862" s="6"/>
      <c r="Z862" s="6"/>
      <c r="AA862" s="6"/>
      <c r="AB862" s="6"/>
      <c r="AC862" s="6"/>
      <c r="AD862" s="6"/>
      <c r="AE862" s="6"/>
    </row>
    <row r="863" spans="22:31" ht="11.25" customHeight="1" x14ac:dyDescent="0.25">
      <c r="V863" s="6"/>
      <c r="W863" s="6"/>
      <c r="X863" s="6"/>
      <c r="Y863" s="6"/>
      <c r="Z863" s="6"/>
      <c r="AA863" s="6"/>
      <c r="AB863" s="6"/>
      <c r="AC863" s="6"/>
      <c r="AD863" s="6"/>
      <c r="AE863" s="6"/>
    </row>
    <row r="864" spans="22:31" ht="11.25" customHeight="1" x14ac:dyDescent="0.25">
      <c r="V864" s="6"/>
      <c r="W864" s="6"/>
      <c r="X864" s="6"/>
      <c r="Y864" s="6"/>
      <c r="Z864" s="6"/>
      <c r="AA864" s="6"/>
      <c r="AB864" s="6"/>
      <c r="AC864" s="6"/>
      <c r="AD864" s="6"/>
      <c r="AE864" s="6"/>
    </row>
    <row r="865" spans="22:31" ht="11.25" customHeight="1" x14ac:dyDescent="0.25">
      <c r="V865" s="6"/>
      <c r="W865" s="6"/>
      <c r="X865" s="6"/>
      <c r="Y865" s="6"/>
      <c r="Z865" s="6"/>
      <c r="AA865" s="6"/>
      <c r="AB865" s="6"/>
      <c r="AC865" s="6"/>
      <c r="AD865" s="6"/>
      <c r="AE865" s="6"/>
    </row>
    <row r="866" spans="22:31" ht="11.25" customHeight="1" x14ac:dyDescent="0.25">
      <c r="V866" s="6"/>
      <c r="W866" s="6"/>
      <c r="X866" s="6"/>
      <c r="Y866" s="6"/>
      <c r="Z866" s="6"/>
      <c r="AA866" s="6"/>
      <c r="AB866" s="6"/>
      <c r="AC866" s="6"/>
      <c r="AD866" s="6"/>
      <c r="AE866" s="6"/>
    </row>
    <row r="867" spans="22:31" ht="11.25" customHeight="1" x14ac:dyDescent="0.25">
      <c r="V867" s="6"/>
      <c r="W867" s="6"/>
      <c r="X867" s="6"/>
      <c r="Y867" s="6"/>
      <c r="Z867" s="6"/>
      <c r="AA867" s="6"/>
      <c r="AB867" s="6"/>
      <c r="AC867" s="6"/>
      <c r="AD867" s="6"/>
      <c r="AE867" s="6"/>
    </row>
    <row r="868" spans="22:31" ht="11.25" customHeight="1" x14ac:dyDescent="0.25">
      <c r="V868" s="6"/>
      <c r="W868" s="6"/>
      <c r="X868" s="6"/>
      <c r="Y868" s="6"/>
      <c r="Z868" s="6"/>
      <c r="AA868" s="6"/>
      <c r="AB868" s="6"/>
      <c r="AC868" s="6"/>
      <c r="AD868" s="6"/>
      <c r="AE868" s="6"/>
    </row>
    <row r="869" spans="22:31" ht="11.25" customHeight="1" x14ac:dyDescent="0.25">
      <c r="V869" s="6"/>
      <c r="W869" s="6"/>
      <c r="X869" s="6"/>
      <c r="Y869" s="6"/>
      <c r="Z869" s="6"/>
      <c r="AA869" s="6"/>
      <c r="AB869" s="6"/>
      <c r="AC869" s="6"/>
      <c r="AD869" s="6"/>
      <c r="AE869" s="6"/>
    </row>
    <row r="870" spans="22:31" ht="11.25" customHeight="1" x14ac:dyDescent="0.25">
      <c r="V870" s="6"/>
      <c r="W870" s="6"/>
      <c r="X870" s="6"/>
      <c r="Y870" s="6"/>
      <c r="Z870" s="6"/>
      <c r="AA870" s="6"/>
      <c r="AB870" s="6"/>
      <c r="AC870" s="6"/>
      <c r="AD870" s="6"/>
      <c r="AE870" s="6"/>
    </row>
    <row r="871" spans="22:31" ht="11.25" customHeight="1" x14ac:dyDescent="0.25">
      <c r="V871" s="6"/>
      <c r="W871" s="6"/>
      <c r="X871" s="6"/>
      <c r="Y871" s="6"/>
      <c r="Z871" s="6"/>
      <c r="AA871" s="6"/>
      <c r="AB871" s="6"/>
      <c r="AC871" s="6"/>
      <c r="AD871" s="6"/>
      <c r="AE871" s="6"/>
    </row>
    <row r="872" spans="22:31" ht="11.25" customHeight="1" x14ac:dyDescent="0.25">
      <c r="V872" s="6"/>
      <c r="W872" s="6"/>
      <c r="X872" s="6"/>
      <c r="Y872" s="6"/>
      <c r="Z872" s="6"/>
      <c r="AA872" s="6"/>
      <c r="AB872" s="6"/>
      <c r="AC872" s="6"/>
      <c r="AD872" s="6"/>
      <c r="AE872" s="6"/>
    </row>
    <row r="873" spans="22:31" ht="11.25" customHeight="1" x14ac:dyDescent="0.25">
      <c r="V873" s="6"/>
      <c r="W873" s="6"/>
      <c r="X873" s="6"/>
      <c r="Y873" s="6"/>
      <c r="Z873" s="6"/>
      <c r="AA873" s="6"/>
      <c r="AB873" s="6"/>
      <c r="AC873" s="6"/>
      <c r="AD873" s="6"/>
      <c r="AE873" s="6"/>
    </row>
    <row r="874" spans="22:31" ht="11.25" customHeight="1" x14ac:dyDescent="0.25">
      <c r="V874" s="6"/>
      <c r="W874" s="6"/>
      <c r="X874" s="6"/>
      <c r="Y874" s="6"/>
      <c r="Z874" s="6"/>
      <c r="AA874" s="6"/>
      <c r="AB874" s="6"/>
      <c r="AC874" s="6"/>
      <c r="AD874" s="6"/>
      <c r="AE874" s="6"/>
    </row>
    <row r="875" spans="22:31" ht="11.25" customHeight="1" x14ac:dyDescent="0.25">
      <c r="V875" s="6"/>
      <c r="W875" s="6"/>
      <c r="X875" s="6"/>
      <c r="Y875" s="6"/>
      <c r="Z875" s="6"/>
      <c r="AA875" s="6"/>
      <c r="AB875" s="6"/>
      <c r="AC875" s="6"/>
      <c r="AD875" s="6"/>
      <c r="AE875" s="6"/>
    </row>
    <row r="876" spans="22:31" ht="11.25" customHeight="1" x14ac:dyDescent="0.25">
      <c r="V876" s="6"/>
      <c r="W876" s="6"/>
      <c r="X876" s="6"/>
      <c r="Y876" s="6"/>
      <c r="Z876" s="6"/>
      <c r="AA876" s="6"/>
      <c r="AB876" s="6"/>
      <c r="AC876" s="6"/>
      <c r="AD876" s="6"/>
      <c r="AE876" s="6"/>
    </row>
    <row r="877" spans="22:31" ht="11.25" customHeight="1" x14ac:dyDescent="0.25">
      <c r="V877" s="6"/>
      <c r="W877" s="6"/>
      <c r="X877" s="6"/>
      <c r="Y877" s="6"/>
      <c r="Z877" s="6"/>
      <c r="AA877" s="6"/>
      <c r="AB877" s="6"/>
      <c r="AC877" s="6"/>
      <c r="AD877" s="6"/>
      <c r="AE877" s="6"/>
    </row>
    <row r="878" spans="22:31" ht="11.25" customHeight="1" x14ac:dyDescent="0.25">
      <c r="V878" s="6"/>
      <c r="W878" s="6"/>
      <c r="X878" s="6"/>
      <c r="Y878" s="6"/>
      <c r="Z878" s="6"/>
      <c r="AA878" s="6"/>
      <c r="AB878" s="6"/>
      <c r="AC878" s="6"/>
      <c r="AD878" s="6"/>
      <c r="AE878" s="6"/>
    </row>
    <row r="879" spans="22:31" ht="11.25" customHeight="1" x14ac:dyDescent="0.25">
      <c r="V879" s="6"/>
      <c r="W879" s="6"/>
      <c r="X879" s="6"/>
      <c r="Y879" s="6"/>
      <c r="Z879" s="6"/>
      <c r="AA879" s="6"/>
      <c r="AB879" s="6"/>
      <c r="AC879" s="6"/>
      <c r="AD879" s="6"/>
      <c r="AE879" s="6"/>
    </row>
    <row r="880" spans="22:31" ht="11.25" customHeight="1" x14ac:dyDescent="0.25">
      <c r="V880" s="6"/>
      <c r="W880" s="6"/>
      <c r="X880" s="6"/>
      <c r="Y880" s="6"/>
      <c r="Z880" s="6"/>
      <c r="AA880" s="6"/>
      <c r="AB880" s="6"/>
      <c r="AC880" s="6"/>
      <c r="AD880" s="6"/>
      <c r="AE880" s="6"/>
    </row>
    <row r="881" spans="22:31" ht="11.25" customHeight="1" x14ac:dyDescent="0.25">
      <c r="V881" s="6"/>
      <c r="W881" s="6"/>
      <c r="X881" s="6"/>
      <c r="Y881" s="6"/>
      <c r="Z881" s="6"/>
      <c r="AA881" s="6"/>
      <c r="AB881" s="6"/>
      <c r="AC881" s="6"/>
      <c r="AD881" s="6"/>
      <c r="AE881" s="6"/>
    </row>
    <row r="882" spans="22:31" ht="11.25" customHeight="1" x14ac:dyDescent="0.25">
      <c r="V882" s="6"/>
      <c r="W882" s="6"/>
      <c r="X882" s="6"/>
      <c r="Y882" s="6"/>
      <c r="Z882" s="6"/>
      <c r="AA882" s="6"/>
      <c r="AB882" s="6"/>
      <c r="AC882" s="6"/>
      <c r="AD882" s="6"/>
      <c r="AE882" s="6"/>
    </row>
    <row r="883" spans="22:31" ht="11.25" customHeight="1" x14ac:dyDescent="0.25">
      <c r="V883" s="6"/>
      <c r="W883" s="6"/>
      <c r="X883" s="6"/>
      <c r="Y883" s="6"/>
      <c r="Z883" s="6"/>
      <c r="AA883" s="6"/>
      <c r="AB883" s="6"/>
      <c r="AC883" s="6"/>
      <c r="AD883" s="6"/>
      <c r="AE883" s="6"/>
    </row>
    <row r="884" spans="22:31" ht="11.25" customHeight="1" x14ac:dyDescent="0.25">
      <c r="V884" s="6"/>
      <c r="W884" s="6"/>
      <c r="X884" s="6"/>
      <c r="Y884" s="6"/>
      <c r="Z884" s="6"/>
      <c r="AA884" s="6"/>
      <c r="AB884" s="6"/>
      <c r="AC884" s="6"/>
      <c r="AD884" s="6"/>
      <c r="AE884" s="6"/>
    </row>
    <row r="885" spans="22:31" ht="11.25" customHeight="1" x14ac:dyDescent="0.25">
      <c r="V885" s="6"/>
      <c r="W885" s="6"/>
      <c r="X885" s="6"/>
      <c r="Y885" s="6"/>
      <c r="Z885" s="6"/>
      <c r="AA885" s="6"/>
      <c r="AB885" s="6"/>
      <c r="AC885" s="6"/>
      <c r="AD885" s="6"/>
      <c r="AE885" s="6"/>
    </row>
    <row r="886" spans="22:31" ht="11.25" customHeight="1" x14ac:dyDescent="0.25">
      <c r="V886" s="6"/>
      <c r="W886" s="6"/>
      <c r="X886" s="6"/>
      <c r="Y886" s="6"/>
      <c r="Z886" s="6"/>
      <c r="AA886" s="6"/>
      <c r="AB886" s="6"/>
      <c r="AC886" s="6"/>
      <c r="AD886" s="6"/>
      <c r="AE886" s="6"/>
    </row>
    <row r="887" spans="22:31" ht="11.25" customHeight="1" x14ac:dyDescent="0.25">
      <c r="V887" s="6"/>
      <c r="W887" s="6"/>
      <c r="X887" s="6"/>
      <c r="Y887" s="6"/>
      <c r="Z887" s="6"/>
      <c r="AA887" s="6"/>
      <c r="AB887" s="6"/>
      <c r="AC887" s="6"/>
      <c r="AD887" s="6"/>
      <c r="AE887" s="6"/>
    </row>
    <row r="888" spans="22:31" ht="11.25" customHeight="1" x14ac:dyDescent="0.25">
      <c r="V888" s="6"/>
      <c r="W888" s="6"/>
      <c r="X888" s="6"/>
      <c r="Y888" s="6"/>
      <c r="Z888" s="6"/>
      <c r="AA888" s="6"/>
      <c r="AB888" s="6"/>
      <c r="AC888" s="6"/>
      <c r="AD888" s="6"/>
      <c r="AE888" s="6"/>
    </row>
    <row r="889" spans="22:31" ht="11.25" customHeight="1" x14ac:dyDescent="0.25">
      <c r="V889" s="6"/>
      <c r="W889" s="6"/>
      <c r="X889" s="6"/>
      <c r="Y889" s="6"/>
      <c r="Z889" s="6"/>
      <c r="AA889" s="6"/>
      <c r="AB889" s="6"/>
      <c r="AC889" s="6"/>
      <c r="AD889" s="6"/>
      <c r="AE889" s="6"/>
    </row>
    <row r="890" spans="22:31" ht="11.25" customHeight="1" x14ac:dyDescent="0.25">
      <c r="V890" s="6"/>
      <c r="W890" s="6"/>
      <c r="X890" s="6"/>
      <c r="Y890" s="6"/>
      <c r="Z890" s="6"/>
      <c r="AA890" s="6"/>
      <c r="AB890" s="6"/>
      <c r="AC890" s="6"/>
      <c r="AD890" s="6"/>
      <c r="AE890" s="6"/>
    </row>
    <row r="891" spans="22:31" ht="11.25" customHeight="1" x14ac:dyDescent="0.25">
      <c r="V891" s="6"/>
      <c r="W891" s="6"/>
      <c r="X891" s="6"/>
      <c r="Y891" s="6"/>
      <c r="Z891" s="6"/>
      <c r="AA891" s="6"/>
      <c r="AB891" s="6"/>
      <c r="AC891" s="6"/>
      <c r="AD891" s="6"/>
      <c r="AE891" s="6"/>
    </row>
    <row r="892" spans="22:31" ht="11.25" customHeight="1" x14ac:dyDescent="0.25">
      <c r="V892" s="6"/>
      <c r="W892" s="6"/>
      <c r="X892" s="6"/>
      <c r="Y892" s="6"/>
      <c r="Z892" s="6"/>
      <c r="AA892" s="6"/>
      <c r="AB892" s="6"/>
      <c r="AC892" s="6"/>
      <c r="AD892" s="6"/>
      <c r="AE892" s="6"/>
    </row>
    <row r="893" spans="22:31" ht="11.25" customHeight="1" x14ac:dyDescent="0.25">
      <c r="V893" s="6"/>
      <c r="W893" s="6"/>
      <c r="X893" s="6"/>
      <c r="Y893" s="6"/>
      <c r="Z893" s="6"/>
      <c r="AA893" s="6"/>
      <c r="AB893" s="6"/>
      <c r="AC893" s="6"/>
      <c r="AD893" s="6"/>
      <c r="AE893" s="6"/>
    </row>
    <row r="894" spans="22:31" ht="11.25" customHeight="1" x14ac:dyDescent="0.25">
      <c r="V894" s="6"/>
      <c r="W894" s="6"/>
      <c r="X894" s="6"/>
      <c r="Y894" s="6"/>
      <c r="Z894" s="6"/>
      <c r="AA894" s="6"/>
      <c r="AB894" s="6"/>
      <c r="AC894" s="6"/>
      <c r="AD894" s="6"/>
      <c r="AE894" s="6"/>
    </row>
    <row r="895" spans="22:31" ht="11.25" customHeight="1" x14ac:dyDescent="0.25">
      <c r="V895" s="6"/>
      <c r="W895" s="6"/>
      <c r="X895" s="6"/>
      <c r="Y895" s="6"/>
      <c r="Z895" s="6"/>
      <c r="AA895" s="6"/>
      <c r="AB895" s="6"/>
      <c r="AC895" s="6"/>
      <c r="AD895" s="6"/>
      <c r="AE895" s="6"/>
    </row>
    <row r="896" spans="22:31" ht="11.25" customHeight="1" x14ac:dyDescent="0.25">
      <c r="V896" s="6"/>
      <c r="W896" s="6"/>
      <c r="X896" s="6"/>
      <c r="Y896" s="6"/>
      <c r="Z896" s="6"/>
      <c r="AA896" s="6"/>
      <c r="AB896" s="6"/>
      <c r="AC896" s="6"/>
      <c r="AD896" s="6"/>
      <c r="AE896" s="6"/>
    </row>
    <row r="897" spans="22:31" ht="11.25" customHeight="1" x14ac:dyDescent="0.25">
      <c r="V897" s="6"/>
      <c r="W897" s="6"/>
      <c r="X897" s="6"/>
      <c r="Y897" s="6"/>
      <c r="Z897" s="6"/>
      <c r="AA897" s="6"/>
      <c r="AB897" s="6"/>
      <c r="AC897" s="6"/>
      <c r="AD897" s="6"/>
      <c r="AE897" s="6"/>
    </row>
    <row r="898" spans="22:31" ht="11.25" customHeight="1" x14ac:dyDescent="0.25">
      <c r="V898" s="6"/>
      <c r="W898" s="6"/>
      <c r="X898" s="6"/>
      <c r="Y898" s="6"/>
      <c r="Z898" s="6"/>
      <c r="AA898" s="6"/>
      <c r="AB898" s="6"/>
      <c r="AC898" s="6"/>
      <c r="AD898" s="6"/>
      <c r="AE898" s="6"/>
    </row>
    <row r="899" spans="22:31" ht="11.25" customHeight="1" x14ac:dyDescent="0.25">
      <c r="V899" s="6"/>
      <c r="W899" s="6"/>
      <c r="X899" s="6"/>
      <c r="Y899" s="6"/>
      <c r="Z899" s="6"/>
      <c r="AA899" s="6"/>
      <c r="AB899" s="6"/>
      <c r="AC899" s="6"/>
      <c r="AD899" s="6"/>
      <c r="AE899" s="6"/>
    </row>
    <row r="900" spans="22:31" ht="11.25" customHeight="1" x14ac:dyDescent="0.25">
      <c r="V900" s="6"/>
      <c r="W900" s="6"/>
      <c r="X900" s="6"/>
      <c r="Y900" s="6"/>
      <c r="Z900" s="6"/>
      <c r="AA900" s="6"/>
      <c r="AB900" s="6"/>
      <c r="AC900" s="6"/>
      <c r="AD900" s="6"/>
      <c r="AE900" s="6"/>
    </row>
    <row r="901" spans="22:31" ht="11.25" customHeight="1" x14ac:dyDescent="0.25">
      <c r="V901" s="6"/>
      <c r="W901" s="6"/>
      <c r="X901" s="6"/>
      <c r="Y901" s="6"/>
      <c r="Z901" s="6"/>
      <c r="AA901" s="6"/>
      <c r="AB901" s="6"/>
      <c r="AC901" s="6"/>
      <c r="AD901" s="6"/>
      <c r="AE901" s="6"/>
    </row>
    <row r="902" spans="22:31" ht="11.25" customHeight="1" x14ac:dyDescent="0.25">
      <c r="V902" s="6"/>
      <c r="W902" s="6"/>
      <c r="X902" s="6"/>
      <c r="Y902" s="6"/>
      <c r="Z902" s="6"/>
      <c r="AA902" s="6"/>
      <c r="AB902" s="6"/>
      <c r="AC902" s="6"/>
      <c r="AD902" s="6"/>
      <c r="AE902" s="6"/>
    </row>
    <row r="903" spans="22:31" ht="11.25" customHeight="1" x14ac:dyDescent="0.25">
      <c r="V903" s="6"/>
      <c r="W903" s="6"/>
      <c r="X903" s="6"/>
      <c r="Y903" s="6"/>
      <c r="Z903" s="6"/>
      <c r="AA903" s="6"/>
      <c r="AB903" s="6"/>
      <c r="AC903" s="6"/>
      <c r="AD903" s="6"/>
      <c r="AE903" s="6"/>
    </row>
    <row r="904" spans="22:31" ht="11.25" customHeight="1" x14ac:dyDescent="0.25">
      <c r="V904" s="6"/>
      <c r="W904" s="6"/>
      <c r="X904" s="6"/>
      <c r="Y904" s="6"/>
      <c r="Z904" s="6"/>
      <c r="AA904" s="6"/>
      <c r="AB904" s="6"/>
      <c r="AC904" s="6"/>
      <c r="AD904" s="6"/>
      <c r="AE904" s="6"/>
    </row>
    <row r="905" spans="22:31" ht="11.25" customHeight="1" x14ac:dyDescent="0.25">
      <c r="V905" s="6"/>
      <c r="W905" s="6"/>
      <c r="X905" s="6"/>
      <c r="Y905" s="6"/>
      <c r="Z905" s="6"/>
      <c r="AA905" s="6"/>
      <c r="AB905" s="6"/>
      <c r="AC905" s="6"/>
      <c r="AD905" s="6"/>
      <c r="AE905" s="6"/>
    </row>
    <row r="906" spans="22:31" ht="11.25" customHeight="1" x14ac:dyDescent="0.25">
      <c r="V906" s="6"/>
      <c r="W906" s="6"/>
      <c r="X906" s="6"/>
      <c r="Y906" s="6"/>
      <c r="Z906" s="6"/>
      <c r="AA906" s="6"/>
      <c r="AB906" s="6"/>
      <c r="AC906" s="6"/>
      <c r="AD906" s="6"/>
      <c r="AE906" s="6"/>
    </row>
    <row r="907" spans="22:31" ht="11.25" customHeight="1" x14ac:dyDescent="0.25">
      <c r="V907" s="6"/>
      <c r="W907" s="6"/>
      <c r="X907" s="6"/>
      <c r="Y907" s="6"/>
      <c r="Z907" s="6"/>
      <c r="AA907" s="6"/>
      <c r="AB907" s="6"/>
      <c r="AC907" s="6"/>
      <c r="AD907" s="6"/>
      <c r="AE907" s="6"/>
    </row>
    <row r="908" spans="22:31" ht="11.25" customHeight="1" x14ac:dyDescent="0.25">
      <c r="V908" s="6"/>
      <c r="W908" s="6"/>
      <c r="X908" s="6"/>
      <c r="Y908" s="6"/>
      <c r="Z908" s="6"/>
      <c r="AA908" s="6"/>
      <c r="AB908" s="6"/>
      <c r="AC908" s="6"/>
      <c r="AD908" s="6"/>
      <c r="AE908" s="6"/>
    </row>
    <row r="909" spans="22:31" ht="11.25" customHeight="1" x14ac:dyDescent="0.25">
      <c r="V909" s="6"/>
      <c r="W909" s="6"/>
      <c r="X909" s="6"/>
      <c r="Y909" s="6"/>
      <c r="Z909" s="6"/>
      <c r="AA909" s="6"/>
      <c r="AB909" s="6"/>
      <c r="AC909" s="6"/>
      <c r="AD909" s="6"/>
      <c r="AE909" s="6"/>
    </row>
    <row r="910" spans="22:31" ht="11.25" customHeight="1" x14ac:dyDescent="0.25">
      <c r="V910" s="6"/>
      <c r="W910" s="6"/>
      <c r="X910" s="6"/>
      <c r="Y910" s="6"/>
      <c r="Z910" s="6"/>
      <c r="AA910" s="6"/>
      <c r="AB910" s="6"/>
      <c r="AC910" s="6"/>
      <c r="AD910" s="6"/>
      <c r="AE910" s="6"/>
    </row>
    <row r="911" spans="22:31" ht="11.25" customHeight="1" x14ac:dyDescent="0.25">
      <c r="V911" s="6"/>
      <c r="W911" s="6"/>
      <c r="X911" s="6"/>
      <c r="Y911" s="6"/>
      <c r="Z911" s="6"/>
      <c r="AA911" s="6"/>
      <c r="AB911" s="6"/>
      <c r="AC911" s="6"/>
      <c r="AD911" s="6"/>
      <c r="AE911" s="6"/>
    </row>
    <row r="912" spans="22:31" ht="11.25" customHeight="1" x14ac:dyDescent="0.25">
      <c r="V912" s="6"/>
      <c r="W912" s="6"/>
      <c r="X912" s="6"/>
      <c r="Y912" s="6"/>
      <c r="Z912" s="6"/>
      <c r="AA912" s="6"/>
      <c r="AB912" s="6"/>
      <c r="AC912" s="6"/>
      <c r="AD912" s="6"/>
      <c r="AE912" s="6"/>
    </row>
    <row r="913" spans="22:31" ht="11.25" customHeight="1" x14ac:dyDescent="0.25">
      <c r="V913" s="6"/>
      <c r="W913" s="6"/>
      <c r="X913" s="6"/>
      <c r="Y913" s="6"/>
      <c r="Z913" s="6"/>
      <c r="AA913" s="6"/>
      <c r="AB913" s="6"/>
      <c r="AC913" s="6"/>
      <c r="AD913" s="6"/>
      <c r="AE913" s="6"/>
    </row>
    <row r="914" spans="22:31" ht="11.25" customHeight="1" x14ac:dyDescent="0.25">
      <c r="V914" s="6"/>
      <c r="W914" s="6"/>
      <c r="X914" s="6"/>
      <c r="Y914" s="6"/>
      <c r="Z914" s="6"/>
      <c r="AA914" s="6"/>
      <c r="AB914" s="6"/>
      <c r="AC914" s="6"/>
      <c r="AD914" s="6"/>
      <c r="AE914" s="6"/>
    </row>
    <row r="915" spans="22:31" ht="11.25" customHeight="1" x14ac:dyDescent="0.25">
      <c r="V915" s="6"/>
      <c r="W915" s="6"/>
      <c r="X915" s="6"/>
      <c r="Y915" s="6"/>
      <c r="Z915" s="6"/>
      <c r="AA915" s="6"/>
      <c r="AB915" s="6"/>
      <c r="AC915" s="6"/>
      <c r="AD915" s="6"/>
      <c r="AE915" s="6"/>
    </row>
    <row r="916" spans="22:31" ht="11.25" customHeight="1" x14ac:dyDescent="0.25">
      <c r="V916" s="6"/>
      <c r="W916" s="6"/>
      <c r="X916" s="6"/>
      <c r="Y916" s="6"/>
      <c r="Z916" s="6"/>
      <c r="AA916" s="6"/>
      <c r="AB916" s="6"/>
      <c r="AC916" s="6"/>
      <c r="AD916" s="6"/>
      <c r="AE916" s="6"/>
    </row>
    <row r="917" spans="22:31" ht="11.25" customHeight="1" x14ac:dyDescent="0.25">
      <c r="V917" s="6"/>
      <c r="W917" s="6"/>
      <c r="X917" s="6"/>
      <c r="Y917" s="6"/>
      <c r="Z917" s="6"/>
      <c r="AA917" s="6"/>
      <c r="AB917" s="6"/>
      <c r="AC917" s="6"/>
      <c r="AD917" s="6"/>
      <c r="AE917" s="6"/>
    </row>
    <row r="918" spans="22:31" ht="11.25" customHeight="1" x14ac:dyDescent="0.25">
      <c r="V918" s="6"/>
      <c r="W918" s="6"/>
      <c r="X918" s="6"/>
      <c r="Y918" s="6"/>
      <c r="Z918" s="6"/>
      <c r="AA918" s="6"/>
      <c r="AB918" s="6"/>
      <c r="AC918" s="6"/>
      <c r="AD918" s="6"/>
      <c r="AE918" s="6"/>
    </row>
    <row r="919" spans="22:31" ht="11.25" customHeight="1" x14ac:dyDescent="0.25">
      <c r="V919" s="6"/>
      <c r="W919" s="6"/>
      <c r="X919" s="6"/>
      <c r="Y919" s="6"/>
      <c r="Z919" s="6"/>
      <c r="AA919" s="6"/>
      <c r="AB919" s="6"/>
      <c r="AC919" s="6"/>
      <c r="AD919" s="6"/>
      <c r="AE919" s="6"/>
    </row>
    <row r="920" spans="22:31" ht="11.25" customHeight="1" x14ac:dyDescent="0.25">
      <c r="V920" s="6"/>
      <c r="W920" s="6"/>
      <c r="X920" s="6"/>
      <c r="Y920" s="6"/>
      <c r="Z920" s="6"/>
      <c r="AA920" s="6"/>
      <c r="AB920" s="6"/>
      <c r="AC920" s="6"/>
      <c r="AD920" s="6"/>
      <c r="AE920" s="6"/>
    </row>
    <row r="921" spans="22:31" ht="11.25" customHeight="1" x14ac:dyDescent="0.25">
      <c r="V921" s="6"/>
      <c r="W921" s="6"/>
      <c r="X921" s="6"/>
      <c r="Y921" s="6"/>
      <c r="Z921" s="6"/>
      <c r="AA921" s="6"/>
      <c r="AB921" s="6"/>
      <c r="AC921" s="6"/>
      <c r="AD921" s="6"/>
      <c r="AE921" s="6"/>
    </row>
    <row r="922" spans="22:31" ht="11.25" customHeight="1" x14ac:dyDescent="0.25">
      <c r="V922" s="6"/>
      <c r="W922" s="6"/>
      <c r="X922" s="6"/>
      <c r="Y922" s="6"/>
      <c r="Z922" s="6"/>
      <c r="AA922" s="6"/>
      <c r="AB922" s="6"/>
      <c r="AC922" s="6"/>
      <c r="AD922" s="6"/>
      <c r="AE922" s="6"/>
    </row>
    <row r="923" spans="22:31" ht="11.25" customHeight="1" x14ac:dyDescent="0.25">
      <c r="V923" s="6"/>
      <c r="W923" s="6"/>
      <c r="X923" s="6"/>
      <c r="Y923" s="6"/>
      <c r="Z923" s="6"/>
      <c r="AA923" s="6"/>
      <c r="AB923" s="6"/>
      <c r="AC923" s="6"/>
      <c r="AD923" s="6"/>
      <c r="AE923" s="6"/>
    </row>
    <row r="924" spans="22:31" ht="11.25" customHeight="1" x14ac:dyDescent="0.25">
      <c r="V924" s="6"/>
      <c r="W924" s="6"/>
      <c r="X924" s="6"/>
      <c r="Y924" s="6"/>
      <c r="Z924" s="6"/>
      <c r="AA924" s="6"/>
      <c r="AB924" s="6"/>
      <c r="AC924" s="6"/>
      <c r="AD924" s="6"/>
      <c r="AE924" s="6"/>
    </row>
    <row r="925" spans="22:31" ht="11.25" customHeight="1" x14ac:dyDescent="0.25">
      <c r="V925" s="6"/>
      <c r="W925" s="6"/>
      <c r="X925" s="6"/>
      <c r="Y925" s="6"/>
      <c r="Z925" s="6"/>
      <c r="AA925" s="6"/>
      <c r="AB925" s="6"/>
      <c r="AC925" s="6"/>
      <c r="AD925" s="6"/>
      <c r="AE925" s="6"/>
    </row>
    <row r="926" spans="22:31" ht="11.25" customHeight="1" x14ac:dyDescent="0.25">
      <c r="V926" s="6"/>
      <c r="W926" s="6"/>
      <c r="X926" s="6"/>
      <c r="Y926" s="6"/>
      <c r="Z926" s="6"/>
      <c r="AA926" s="6"/>
      <c r="AB926" s="6"/>
      <c r="AC926" s="6"/>
      <c r="AD926" s="6"/>
      <c r="AE926" s="6"/>
    </row>
    <row r="927" spans="22:31" ht="11.25" customHeight="1" x14ac:dyDescent="0.25">
      <c r="V927" s="6"/>
      <c r="W927" s="6"/>
      <c r="X927" s="6"/>
      <c r="Y927" s="6"/>
      <c r="Z927" s="6"/>
      <c r="AA927" s="6"/>
      <c r="AB927" s="6"/>
      <c r="AC927" s="6"/>
      <c r="AD927" s="6"/>
      <c r="AE927" s="6"/>
    </row>
    <row r="928" spans="22:31" ht="11.25" customHeight="1" x14ac:dyDescent="0.25">
      <c r="V928" s="6"/>
      <c r="W928" s="6"/>
      <c r="X928" s="6"/>
      <c r="Y928" s="6"/>
      <c r="Z928" s="6"/>
      <c r="AA928" s="6"/>
      <c r="AB928" s="6"/>
      <c r="AC928" s="6"/>
      <c r="AD928" s="6"/>
      <c r="AE928" s="6"/>
    </row>
    <row r="929" spans="22:31" ht="11.25" customHeight="1" x14ac:dyDescent="0.25">
      <c r="V929" s="6"/>
      <c r="W929" s="6"/>
      <c r="X929" s="6"/>
      <c r="Y929" s="6"/>
      <c r="Z929" s="6"/>
      <c r="AA929" s="6"/>
      <c r="AB929" s="6"/>
      <c r="AC929" s="6"/>
      <c r="AD929" s="6"/>
      <c r="AE929" s="6"/>
    </row>
    <row r="930" spans="22:31" ht="11.25" customHeight="1" x14ac:dyDescent="0.25">
      <c r="V930" s="6"/>
      <c r="W930" s="6"/>
      <c r="X930" s="6"/>
      <c r="Y930" s="6"/>
      <c r="Z930" s="6"/>
      <c r="AA930" s="6"/>
      <c r="AB930" s="6"/>
      <c r="AC930" s="6"/>
      <c r="AD930" s="6"/>
      <c r="AE930" s="6"/>
    </row>
    <row r="931" spans="22:31" ht="11.25" customHeight="1" x14ac:dyDescent="0.25">
      <c r="V931" s="6"/>
      <c r="W931" s="6"/>
      <c r="X931" s="6"/>
      <c r="Y931" s="6"/>
      <c r="Z931" s="6"/>
      <c r="AA931" s="6"/>
      <c r="AB931" s="6"/>
      <c r="AC931" s="6"/>
      <c r="AD931" s="6"/>
      <c r="AE931" s="6"/>
    </row>
    <row r="932" spans="22:31" ht="11.25" customHeight="1" x14ac:dyDescent="0.25">
      <c r="V932" s="6"/>
      <c r="W932" s="6"/>
      <c r="X932" s="6"/>
      <c r="Y932" s="6"/>
      <c r="Z932" s="6"/>
      <c r="AA932" s="6"/>
      <c r="AB932" s="6"/>
      <c r="AC932" s="6"/>
      <c r="AD932" s="6"/>
      <c r="AE932" s="6"/>
    </row>
    <row r="933" spans="22:31" ht="11.25" customHeight="1" x14ac:dyDescent="0.25">
      <c r="V933" s="6"/>
      <c r="W933" s="6"/>
      <c r="X933" s="6"/>
      <c r="Y933" s="6"/>
      <c r="Z933" s="6"/>
      <c r="AA933" s="6"/>
      <c r="AB933" s="6"/>
      <c r="AC933" s="6"/>
      <c r="AD933" s="6"/>
      <c r="AE933" s="6"/>
    </row>
    <row r="934" spans="22:31" ht="11.25" customHeight="1" x14ac:dyDescent="0.25">
      <c r="V934" s="6"/>
      <c r="W934" s="6"/>
      <c r="X934" s="6"/>
      <c r="Y934" s="6"/>
      <c r="Z934" s="6"/>
      <c r="AA934" s="6"/>
      <c r="AB934" s="6"/>
      <c r="AC934" s="6"/>
      <c r="AD934" s="6"/>
      <c r="AE934" s="6"/>
    </row>
    <row r="935" spans="22:31" ht="11.25" customHeight="1" x14ac:dyDescent="0.25">
      <c r="V935" s="6"/>
      <c r="W935" s="6"/>
      <c r="X935" s="6"/>
      <c r="Y935" s="6"/>
      <c r="Z935" s="6"/>
      <c r="AA935" s="6"/>
      <c r="AB935" s="6"/>
      <c r="AC935" s="6"/>
      <c r="AD935" s="6"/>
      <c r="AE935" s="6"/>
    </row>
    <row r="936" spans="22:31" ht="11.25" customHeight="1" x14ac:dyDescent="0.25">
      <c r="V936" s="6"/>
      <c r="W936" s="6"/>
      <c r="X936" s="6"/>
      <c r="Y936" s="6"/>
      <c r="Z936" s="6"/>
      <c r="AA936" s="6"/>
      <c r="AB936" s="6"/>
      <c r="AC936" s="6"/>
      <c r="AD936" s="6"/>
      <c r="AE936" s="6"/>
    </row>
    <row r="937" spans="22:31" ht="11.25" customHeight="1" x14ac:dyDescent="0.25">
      <c r="V937" s="6"/>
      <c r="W937" s="6"/>
      <c r="X937" s="6"/>
      <c r="Y937" s="6"/>
      <c r="Z937" s="6"/>
      <c r="AA937" s="6"/>
      <c r="AB937" s="6"/>
      <c r="AC937" s="6"/>
      <c r="AD937" s="6"/>
      <c r="AE937" s="6"/>
    </row>
    <row r="938" spans="22:31" ht="11.25" customHeight="1" x14ac:dyDescent="0.25">
      <c r="V938" s="6"/>
      <c r="W938" s="6"/>
      <c r="X938" s="6"/>
      <c r="Y938" s="6"/>
      <c r="Z938" s="6"/>
      <c r="AA938" s="6"/>
      <c r="AB938" s="6"/>
      <c r="AC938" s="6"/>
      <c r="AD938" s="6"/>
      <c r="AE938" s="6"/>
    </row>
    <row r="939" spans="22:31" ht="11.25" customHeight="1" x14ac:dyDescent="0.25">
      <c r="V939" s="6"/>
      <c r="W939" s="6"/>
      <c r="X939" s="6"/>
      <c r="Y939" s="6"/>
      <c r="Z939" s="6"/>
      <c r="AA939" s="6"/>
      <c r="AB939" s="6"/>
      <c r="AC939" s="6"/>
      <c r="AD939" s="6"/>
      <c r="AE939" s="6"/>
    </row>
    <row r="940" spans="22:31" ht="11.25" customHeight="1" x14ac:dyDescent="0.25">
      <c r="V940" s="6"/>
      <c r="W940" s="6"/>
      <c r="X940" s="6"/>
      <c r="Y940" s="6"/>
      <c r="Z940" s="6"/>
      <c r="AA940" s="6"/>
      <c r="AB940" s="6"/>
      <c r="AC940" s="6"/>
      <c r="AD940" s="6"/>
      <c r="AE940" s="6"/>
    </row>
    <row r="941" spans="22:31" ht="11.25" customHeight="1" x14ac:dyDescent="0.25">
      <c r="V941" s="6"/>
      <c r="W941" s="6"/>
      <c r="X941" s="6"/>
      <c r="Y941" s="6"/>
      <c r="Z941" s="6"/>
      <c r="AA941" s="6"/>
      <c r="AB941" s="6"/>
      <c r="AC941" s="6"/>
      <c r="AD941" s="6"/>
      <c r="AE941" s="6"/>
    </row>
    <row r="942" spans="22:31" ht="11.25" customHeight="1" x14ac:dyDescent="0.25">
      <c r="V942" s="6"/>
      <c r="W942" s="6"/>
      <c r="X942" s="6"/>
      <c r="Y942" s="6"/>
      <c r="Z942" s="6"/>
      <c r="AA942" s="6"/>
      <c r="AB942" s="6"/>
      <c r="AC942" s="6"/>
      <c r="AD942" s="6"/>
      <c r="AE942" s="6"/>
    </row>
    <row r="943" spans="22:31" ht="11.25" customHeight="1" x14ac:dyDescent="0.25">
      <c r="V943" s="6"/>
      <c r="W943" s="6"/>
      <c r="X943" s="6"/>
      <c r="Y943" s="6"/>
      <c r="Z943" s="6"/>
      <c r="AA943" s="6"/>
      <c r="AB943" s="6"/>
      <c r="AC943" s="6"/>
      <c r="AD943" s="6"/>
      <c r="AE943" s="6"/>
    </row>
    <row r="944" spans="22:31" ht="11.25" customHeight="1" x14ac:dyDescent="0.25">
      <c r="V944" s="6"/>
      <c r="W944" s="6"/>
      <c r="X944" s="6"/>
      <c r="Y944" s="6"/>
      <c r="Z944" s="6"/>
      <c r="AA944" s="6"/>
      <c r="AB944" s="6"/>
      <c r="AC944" s="6"/>
      <c r="AD944" s="6"/>
      <c r="AE944" s="6"/>
    </row>
    <row r="945" spans="22:31" ht="11.25" customHeight="1" x14ac:dyDescent="0.25">
      <c r="V945" s="6"/>
      <c r="W945" s="6"/>
      <c r="X945" s="6"/>
      <c r="Y945" s="6"/>
      <c r="Z945" s="6"/>
      <c r="AA945" s="6"/>
      <c r="AB945" s="6"/>
      <c r="AC945" s="6"/>
      <c r="AD945" s="6"/>
      <c r="AE945" s="6"/>
    </row>
    <row r="946" spans="22:31" ht="11.25" customHeight="1" x14ac:dyDescent="0.25">
      <c r="V946" s="6"/>
      <c r="W946" s="6"/>
      <c r="X946" s="6"/>
      <c r="Y946" s="6"/>
      <c r="Z946" s="6"/>
      <c r="AA946" s="6"/>
      <c r="AB946" s="6"/>
      <c r="AC946" s="6"/>
      <c r="AD946" s="6"/>
      <c r="AE946" s="6"/>
    </row>
    <row r="947" spans="22:31" ht="11.25" customHeight="1" x14ac:dyDescent="0.25">
      <c r="V947" s="6"/>
      <c r="W947" s="6"/>
      <c r="X947" s="6"/>
      <c r="Y947" s="6"/>
      <c r="Z947" s="6"/>
      <c r="AA947" s="6"/>
      <c r="AB947" s="6"/>
      <c r="AC947" s="6"/>
      <c r="AD947" s="6"/>
      <c r="AE947" s="6"/>
    </row>
    <row r="948" spans="22:31" ht="11.25" customHeight="1" x14ac:dyDescent="0.25">
      <c r="V948" s="6"/>
      <c r="W948" s="6"/>
      <c r="X948" s="6"/>
      <c r="Y948" s="6"/>
      <c r="Z948" s="6"/>
      <c r="AA948" s="6"/>
      <c r="AB948" s="6"/>
      <c r="AC948" s="6"/>
      <c r="AD948" s="6"/>
      <c r="AE948" s="6"/>
    </row>
    <row r="949" spans="22:31" ht="11.25" customHeight="1" x14ac:dyDescent="0.25">
      <c r="V949" s="6"/>
      <c r="W949" s="6"/>
      <c r="X949" s="6"/>
      <c r="Y949" s="6"/>
      <c r="Z949" s="6"/>
      <c r="AA949" s="6"/>
      <c r="AB949" s="6"/>
      <c r="AC949" s="6"/>
      <c r="AD949" s="6"/>
      <c r="AE949" s="6"/>
    </row>
    <row r="950" spans="22:31" ht="11.25" customHeight="1" x14ac:dyDescent="0.25">
      <c r="V950" s="6"/>
      <c r="W950" s="6"/>
      <c r="X950" s="6"/>
      <c r="Y950" s="6"/>
      <c r="Z950" s="6"/>
      <c r="AA950" s="6"/>
      <c r="AB950" s="6"/>
      <c r="AC950" s="6"/>
      <c r="AD950" s="6"/>
      <c r="AE950" s="6"/>
    </row>
    <row r="951" spans="22:31" ht="11.25" customHeight="1" x14ac:dyDescent="0.25">
      <c r="V951" s="6"/>
      <c r="W951" s="6"/>
      <c r="X951" s="6"/>
      <c r="Y951" s="6"/>
      <c r="Z951" s="6"/>
      <c r="AA951" s="6"/>
      <c r="AB951" s="6"/>
      <c r="AC951" s="6"/>
      <c r="AD951" s="6"/>
      <c r="AE951" s="6"/>
    </row>
    <row r="952" spans="22:31" ht="11.25" customHeight="1" x14ac:dyDescent="0.25">
      <c r="V952" s="6"/>
      <c r="W952" s="6"/>
      <c r="X952" s="6"/>
      <c r="Y952" s="6"/>
      <c r="Z952" s="6"/>
      <c r="AA952" s="6"/>
      <c r="AB952" s="6"/>
      <c r="AC952" s="6"/>
      <c r="AD952" s="6"/>
      <c r="AE952" s="6"/>
    </row>
    <row r="953" spans="22:31" ht="11.25" customHeight="1" x14ac:dyDescent="0.25">
      <c r="V953" s="6"/>
      <c r="W953" s="6"/>
      <c r="X953" s="6"/>
      <c r="Y953" s="6"/>
      <c r="Z953" s="6"/>
      <c r="AA953" s="6"/>
      <c r="AB953" s="6"/>
      <c r="AC953" s="6"/>
      <c r="AD953" s="6"/>
      <c r="AE953" s="6"/>
    </row>
    <row r="954" spans="22:31" ht="11.25" customHeight="1" x14ac:dyDescent="0.25">
      <c r="V954" s="6"/>
      <c r="W954" s="6"/>
      <c r="X954" s="6"/>
      <c r="Y954" s="6"/>
      <c r="Z954" s="6"/>
      <c r="AA954" s="6"/>
      <c r="AB954" s="6"/>
      <c r="AC954" s="6"/>
      <c r="AD954" s="6"/>
      <c r="AE954" s="6"/>
    </row>
    <row r="955" spans="22:31" ht="11.25" customHeight="1" x14ac:dyDescent="0.25">
      <c r="V955" s="6"/>
      <c r="W955" s="6"/>
      <c r="X955" s="6"/>
      <c r="Y955" s="6"/>
      <c r="Z955" s="6"/>
      <c r="AA955" s="6"/>
      <c r="AB955" s="6"/>
      <c r="AC955" s="6"/>
      <c r="AD955" s="6"/>
      <c r="AE955" s="6"/>
    </row>
    <row r="956" spans="22:31" ht="11.25" customHeight="1" x14ac:dyDescent="0.25">
      <c r="V956" s="6"/>
      <c r="W956" s="6"/>
      <c r="X956" s="6"/>
      <c r="Y956" s="6"/>
      <c r="Z956" s="6"/>
      <c r="AA956" s="6"/>
      <c r="AB956" s="6"/>
      <c r="AC956" s="6"/>
      <c r="AD956" s="6"/>
      <c r="AE956" s="6"/>
    </row>
    <row r="957" spans="22:31" ht="11.25" customHeight="1" x14ac:dyDescent="0.25">
      <c r="V957" s="6"/>
      <c r="W957" s="6"/>
      <c r="X957" s="6"/>
      <c r="Y957" s="6"/>
      <c r="Z957" s="6"/>
      <c r="AA957" s="6"/>
      <c r="AB957" s="6"/>
      <c r="AC957" s="6"/>
      <c r="AD957" s="6"/>
      <c r="AE957" s="6"/>
    </row>
    <row r="958" spans="22:31" ht="11.25" customHeight="1" x14ac:dyDescent="0.25">
      <c r="V958" s="6"/>
      <c r="W958" s="6"/>
      <c r="X958" s="6"/>
      <c r="Y958" s="6"/>
      <c r="Z958" s="6"/>
      <c r="AA958" s="6"/>
      <c r="AB958" s="6"/>
      <c r="AC958" s="6"/>
      <c r="AD958" s="6"/>
      <c r="AE958" s="6"/>
    </row>
    <row r="959" spans="22:31" ht="11.25" customHeight="1" x14ac:dyDescent="0.25">
      <c r="V959" s="6"/>
      <c r="W959" s="6"/>
      <c r="X959" s="6"/>
      <c r="Y959" s="6"/>
      <c r="Z959" s="6"/>
      <c r="AA959" s="6"/>
      <c r="AB959" s="6"/>
      <c r="AC959" s="6"/>
      <c r="AD959" s="6"/>
      <c r="AE959" s="6"/>
    </row>
    <row r="960" spans="22:31" ht="11.25" customHeight="1" x14ac:dyDescent="0.25">
      <c r="V960" s="6"/>
      <c r="W960" s="6"/>
      <c r="X960" s="6"/>
      <c r="Y960" s="6"/>
      <c r="Z960" s="6"/>
      <c r="AA960" s="6"/>
      <c r="AB960" s="6"/>
      <c r="AC960" s="6"/>
      <c r="AD960" s="6"/>
      <c r="AE960" s="6"/>
    </row>
    <row r="961" spans="22:31" ht="11.25" customHeight="1" x14ac:dyDescent="0.25">
      <c r="V961" s="6"/>
      <c r="W961" s="6"/>
      <c r="X961" s="6"/>
      <c r="Y961" s="6"/>
      <c r="Z961" s="6"/>
      <c r="AA961" s="6"/>
      <c r="AB961" s="6"/>
      <c r="AC961" s="6"/>
      <c r="AD961" s="6"/>
      <c r="AE961" s="6"/>
    </row>
    <row r="962" spans="22:31" ht="11.25" customHeight="1" x14ac:dyDescent="0.25">
      <c r="V962" s="6"/>
      <c r="W962" s="6"/>
      <c r="X962" s="6"/>
      <c r="Y962" s="6"/>
      <c r="Z962" s="6"/>
      <c r="AA962" s="6"/>
      <c r="AB962" s="6"/>
      <c r="AC962" s="6"/>
      <c r="AD962" s="6"/>
      <c r="AE962" s="6"/>
    </row>
    <row r="963" spans="22:31" ht="11.25" customHeight="1" x14ac:dyDescent="0.25">
      <c r="V963" s="6"/>
      <c r="W963" s="6"/>
      <c r="X963" s="6"/>
      <c r="Y963" s="6"/>
      <c r="Z963" s="6"/>
      <c r="AA963" s="6"/>
      <c r="AB963" s="6"/>
      <c r="AC963" s="6"/>
      <c r="AD963" s="6"/>
      <c r="AE963" s="6"/>
    </row>
    <row r="964" spans="22:31" ht="11.25" customHeight="1" x14ac:dyDescent="0.25">
      <c r="V964" s="6"/>
      <c r="W964" s="6"/>
      <c r="X964" s="6"/>
      <c r="Y964" s="6"/>
      <c r="Z964" s="6"/>
      <c r="AA964" s="6"/>
      <c r="AB964" s="6"/>
      <c r="AC964" s="6"/>
      <c r="AD964" s="6"/>
      <c r="AE964" s="6"/>
    </row>
    <row r="965" spans="22:31" ht="11.25" customHeight="1" x14ac:dyDescent="0.25">
      <c r="V965" s="6"/>
      <c r="W965" s="6"/>
      <c r="X965" s="6"/>
      <c r="Y965" s="6"/>
      <c r="Z965" s="6"/>
      <c r="AA965" s="6"/>
      <c r="AB965" s="6"/>
      <c r="AC965" s="6"/>
      <c r="AD965" s="6"/>
      <c r="AE965" s="6"/>
    </row>
    <row r="966" spans="22:31" ht="11.25" customHeight="1" x14ac:dyDescent="0.25">
      <c r="V966" s="6"/>
      <c r="W966" s="6"/>
      <c r="X966" s="6"/>
      <c r="Y966" s="6"/>
      <c r="Z966" s="6"/>
      <c r="AA966" s="6"/>
      <c r="AB966" s="6"/>
      <c r="AC966" s="6"/>
      <c r="AD966" s="6"/>
      <c r="AE966" s="6"/>
    </row>
    <row r="967" spans="22:31" ht="11.25" customHeight="1" x14ac:dyDescent="0.25">
      <c r="V967" s="6"/>
      <c r="W967" s="6"/>
      <c r="X967" s="6"/>
      <c r="Y967" s="6"/>
      <c r="Z967" s="6"/>
      <c r="AA967" s="6"/>
      <c r="AB967" s="6"/>
      <c r="AC967" s="6"/>
      <c r="AD967" s="6"/>
      <c r="AE967" s="6"/>
    </row>
    <row r="968" spans="22:31" ht="11.25" customHeight="1" x14ac:dyDescent="0.25">
      <c r="V968" s="6"/>
      <c r="W968" s="6"/>
      <c r="X968" s="6"/>
      <c r="Y968" s="6"/>
      <c r="Z968" s="6"/>
      <c r="AA968" s="6"/>
      <c r="AB968" s="6"/>
      <c r="AC968" s="6"/>
      <c r="AD968" s="6"/>
      <c r="AE968" s="6"/>
    </row>
    <row r="969" spans="22:31" ht="11.25" customHeight="1" x14ac:dyDescent="0.25">
      <c r="V969" s="6"/>
      <c r="W969" s="6"/>
      <c r="X969" s="6"/>
      <c r="Y969" s="6"/>
      <c r="Z969" s="6"/>
      <c r="AA969" s="6"/>
      <c r="AB969" s="6"/>
      <c r="AC969" s="6"/>
      <c r="AD969" s="6"/>
      <c r="AE969" s="6"/>
    </row>
    <row r="970" spans="22:31" ht="11.25" customHeight="1" x14ac:dyDescent="0.25">
      <c r="V970" s="6"/>
      <c r="W970" s="6"/>
      <c r="X970" s="6"/>
      <c r="Y970" s="6"/>
      <c r="Z970" s="6"/>
      <c r="AA970" s="6"/>
      <c r="AB970" s="6"/>
      <c r="AC970" s="6"/>
      <c r="AD970" s="6"/>
      <c r="AE970" s="6"/>
    </row>
    <row r="971" spans="22:31" ht="11.25" customHeight="1" x14ac:dyDescent="0.25">
      <c r="V971" s="6"/>
      <c r="W971" s="6"/>
      <c r="X971" s="6"/>
      <c r="Y971" s="6"/>
      <c r="Z971" s="6"/>
      <c r="AA971" s="6"/>
      <c r="AB971" s="6"/>
      <c r="AC971" s="6"/>
      <c r="AD971" s="6"/>
      <c r="AE971" s="6"/>
    </row>
    <row r="972" spans="22:31" ht="11.25" customHeight="1" x14ac:dyDescent="0.25">
      <c r="V972" s="6"/>
      <c r="W972" s="6"/>
      <c r="X972" s="6"/>
      <c r="Y972" s="6"/>
      <c r="Z972" s="6"/>
      <c r="AA972" s="6"/>
      <c r="AB972" s="6"/>
      <c r="AC972" s="6"/>
      <c r="AD972" s="6"/>
      <c r="AE972" s="6"/>
    </row>
    <row r="973" spans="22:31" ht="11.25" customHeight="1" x14ac:dyDescent="0.25">
      <c r="V973" s="6"/>
      <c r="W973" s="6"/>
      <c r="X973" s="6"/>
      <c r="Y973" s="6"/>
      <c r="Z973" s="6"/>
      <c r="AA973" s="6"/>
      <c r="AB973" s="6"/>
      <c r="AC973" s="6"/>
      <c r="AD973" s="6"/>
      <c r="AE973" s="6"/>
    </row>
    <row r="974" spans="22:31" ht="11.25" customHeight="1" x14ac:dyDescent="0.25">
      <c r="V974" s="6"/>
      <c r="W974" s="6"/>
      <c r="X974" s="6"/>
      <c r="Y974" s="6"/>
      <c r="Z974" s="6"/>
      <c r="AA974" s="6"/>
      <c r="AB974" s="6"/>
      <c r="AC974" s="6"/>
      <c r="AD974" s="6"/>
      <c r="AE974" s="6"/>
    </row>
    <row r="975" spans="22:31" ht="11.25" customHeight="1" x14ac:dyDescent="0.25">
      <c r="V975" s="6"/>
      <c r="W975" s="6"/>
      <c r="X975" s="6"/>
      <c r="Y975" s="6"/>
      <c r="Z975" s="6"/>
      <c r="AA975" s="6"/>
      <c r="AB975" s="6"/>
      <c r="AC975" s="6"/>
      <c r="AD975" s="6"/>
      <c r="AE975" s="6"/>
    </row>
    <row r="976" spans="22:31" ht="11.25" customHeight="1" x14ac:dyDescent="0.25">
      <c r="V976" s="6"/>
      <c r="W976" s="6"/>
      <c r="X976" s="6"/>
      <c r="Y976" s="6"/>
      <c r="Z976" s="6"/>
      <c r="AA976" s="6"/>
      <c r="AB976" s="6"/>
      <c r="AC976" s="6"/>
      <c r="AD976" s="6"/>
      <c r="AE976" s="6"/>
    </row>
    <row r="977" spans="22:31" ht="11.25" customHeight="1" x14ac:dyDescent="0.25">
      <c r="V977" s="6"/>
      <c r="W977" s="6"/>
      <c r="X977" s="6"/>
      <c r="Y977" s="6"/>
      <c r="Z977" s="6"/>
      <c r="AA977" s="6"/>
      <c r="AB977" s="6"/>
      <c r="AC977" s="6"/>
      <c r="AD977" s="6"/>
      <c r="AE977" s="6"/>
    </row>
    <row r="978" spans="22:31" ht="11.25" customHeight="1" x14ac:dyDescent="0.25">
      <c r="V978" s="6"/>
      <c r="W978" s="6"/>
      <c r="X978" s="6"/>
      <c r="Y978" s="6"/>
      <c r="Z978" s="6"/>
      <c r="AA978" s="6"/>
      <c r="AB978" s="6"/>
      <c r="AC978" s="6"/>
      <c r="AD978" s="6"/>
      <c r="AE978" s="6"/>
    </row>
    <row r="979" spans="22:31" ht="11.25" customHeight="1" x14ac:dyDescent="0.25">
      <c r="V979" s="6"/>
      <c r="W979" s="6"/>
      <c r="X979" s="6"/>
      <c r="Y979" s="6"/>
      <c r="Z979" s="6"/>
      <c r="AA979" s="6"/>
      <c r="AB979" s="6"/>
      <c r="AC979" s="6"/>
      <c r="AD979" s="6"/>
      <c r="AE979" s="6"/>
    </row>
    <row r="980" spans="22:31" ht="11.25" customHeight="1" x14ac:dyDescent="0.25">
      <c r="V980" s="6"/>
      <c r="W980" s="6"/>
      <c r="X980" s="6"/>
      <c r="Y980" s="6"/>
      <c r="Z980" s="6"/>
      <c r="AA980" s="6"/>
      <c r="AB980" s="6"/>
      <c r="AC980" s="6"/>
      <c r="AD980" s="6"/>
      <c r="AE980" s="6"/>
    </row>
    <row r="981" spans="22:31" ht="11.25" customHeight="1" x14ac:dyDescent="0.25">
      <c r="V981" s="6"/>
      <c r="W981" s="6"/>
      <c r="X981" s="6"/>
      <c r="Y981" s="6"/>
      <c r="Z981" s="6"/>
      <c r="AA981" s="6"/>
      <c r="AB981" s="6"/>
      <c r="AC981" s="6"/>
      <c r="AD981" s="6"/>
      <c r="AE981" s="6"/>
    </row>
    <row r="982" spans="22:31" ht="11.25" customHeight="1" x14ac:dyDescent="0.25">
      <c r="V982" s="6"/>
      <c r="W982" s="6"/>
      <c r="X982" s="6"/>
      <c r="Y982" s="6"/>
      <c r="Z982" s="6"/>
      <c r="AA982" s="6"/>
      <c r="AB982" s="6"/>
      <c r="AC982" s="6"/>
      <c r="AD982" s="6"/>
      <c r="AE982" s="6"/>
    </row>
    <row r="983" spans="22:31" ht="11.25" customHeight="1" x14ac:dyDescent="0.25">
      <c r="V983" s="6"/>
      <c r="W983" s="6"/>
      <c r="X983" s="6"/>
      <c r="Y983" s="6"/>
      <c r="Z983" s="6"/>
      <c r="AA983" s="6"/>
      <c r="AB983" s="6"/>
      <c r="AC983" s="6"/>
      <c r="AD983" s="6"/>
      <c r="AE983" s="6"/>
    </row>
    <row r="984" spans="22:31" ht="11.25" customHeight="1" x14ac:dyDescent="0.25">
      <c r="V984" s="6"/>
      <c r="W984" s="6"/>
      <c r="X984" s="6"/>
      <c r="Y984" s="6"/>
      <c r="Z984" s="6"/>
      <c r="AA984" s="6"/>
      <c r="AB984" s="6"/>
      <c r="AC984" s="6"/>
      <c r="AD984" s="6"/>
      <c r="AE984" s="6"/>
    </row>
    <row r="985" spans="22:31" ht="11.25" customHeight="1" x14ac:dyDescent="0.25">
      <c r="V985" s="6"/>
      <c r="W985" s="6"/>
      <c r="X985" s="6"/>
      <c r="Y985" s="6"/>
      <c r="Z985" s="6"/>
      <c r="AA985" s="6"/>
      <c r="AB985" s="6"/>
      <c r="AC985" s="6"/>
      <c r="AD985" s="6"/>
      <c r="AE985" s="6"/>
    </row>
    <row r="986" spans="22:31" ht="11.25" customHeight="1" x14ac:dyDescent="0.25">
      <c r="V986" s="6"/>
      <c r="W986" s="6"/>
      <c r="X986" s="6"/>
      <c r="Y986" s="6"/>
      <c r="Z986" s="6"/>
      <c r="AA986" s="6"/>
      <c r="AB986" s="6"/>
      <c r="AC986" s="6"/>
      <c r="AD986" s="6"/>
      <c r="AE986" s="6"/>
    </row>
    <row r="987" spans="22:31" ht="11.25" customHeight="1" x14ac:dyDescent="0.25">
      <c r="V987" s="6"/>
      <c r="W987" s="6"/>
      <c r="X987" s="6"/>
      <c r="Y987" s="6"/>
      <c r="Z987" s="6"/>
      <c r="AA987" s="6"/>
      <c r="AB987" s="6"/>
      <c r="AC987" s="6"/>
      <c r="AD987" s="6"/>
      <c r="AE987" s="6"/>
    </row>
    <row r="988" spans="22:31" ht="11.25" customHeight="1" x14ac:dyDescent="0.25">
      <c r="V988" s="6"/>
      <c r="W988" s="6"/>
      <c r="X988" s="6"/>
      <c r="Y988" s="6"/>
      <c r="Z988" s="6"/>
      <c r="AA988" s="6"/>
      <c r="AB988" s="6"/>
      <c r="AC988" s="6"/>
      <c r="AD988" s="6"/>
      <c r="AE988" s="6"/>
    </row>
    <row r="989" spans="22:31" ht="11.25" customHeight="1" x14ac:dyDescent="0.25">
      <c r="V989" s="6"/>
      <c r="W989" s="6"/>
      <c r="X989" s="6"/>
      <c r="Y989" s="6"/>
      <c r="Z989" s="6"/>
      <c r="AA989" s="6"/>
      <c r="AB989" s="6"/>
      <c r="AC989" s="6"/>
      <c r="AD989" s="6"/>
      <c r="AE989" s="6"/>
    </row>
    <row r="990" spans="22:31" ht="11.25" customHeight="1" x14ac:dyDescent="0.25">
      <c r="V990" s="6"/>
      <c r="W990" s="6"/>
      <c r="X990" s="6"/>
      <c r="Y990" s="6"/>
      <c r="Z990" s="6"/>
      <c r="AA990" s="6"/>
      <c r="AB990" s="6"/>
      <c r="AC990" s="6"/>
      <c r="AD990" s="6"/>
      <c r="AE990" s="6"/>
    </row>
    <row r="991" spans="22:31" ht="11.25" customHeight="1" x14ac:dyDescent="0.25">
      <c r="V991" s="6"/>
      <c r="W991" s="6"/>
      <c r="X991" s="6"/>
      <c r="Y991" s="6"/>
      <c r="Z991" s="6"/>
      <c r="AA991" s="6"/>
      <c r="AB991" s="6"/>
      <c r="AC991" s="6"/>
      <c r="AD991" s="6"/>
      <c r="AE991" s="6"/>
    </row>
    <row r="992" spans="22:31" ht="11.25" customHeight="1" x14ac:dyDescent="0.25">
      <c r="V992" s="6"/>
      <c r="W992" s="6"/>
      <c r="X992" s="6"/>
      <c r="Y992" s="6"/>
      <c r="Z992" s="6"/>
      <c r="AA992" s="6"/>
      <c r="AB992" s="6"/>
      <c r="AC992" s="6"/>
      <c r="AD992" s="6"/>
      <c r="AE992" s="6"/>
    </row>
    <row r="993" spans="22:31" ht="11.25" customHeight="1" x14ac:dyDescent="0.25">
      <c r="V993" s="6"/>
      <c r="W993" s="6"/>
      <c r="X993" s="6"/>
      <c r="Y993" s="6"/>
      <c r="Z993" s="6"/>
      <c r="AA993" s="6"/>
      <c r="AB993" s="6"/>
      <c r="AC993" s="6"/>
      <c r="AD993" s="6"/>
      <c r="AE993" s="6"/>
    </row>
    <row r="994" spans="22:31" ht="11.25" customHeight="1" x14ac:dyDescent="0.25">
      <c r="V994" s="6"/>
      <c r="W994" s="6"/>
      <c r="X994" s="6"/>
      <c r="Y994" s="6"/>
      <c r="Z994" s="6"/>
      <c r="AA994" s="6"/>
      <c r="AB994" s="6"/>
      <c r="AC994" s="6"/>
      <c r="AD994" s="6"/>
      <c r="AE994" s="6"/>
    </row>
    <row r="995" spans="22:31" ht="11.25" customHeight="1" x14ac:dyDescent="0.25">
      <c r="V995" s="6"/>
      <c r="W995" s="6"/>
      <c r="X995" s="6"/>
      <c r="Y995" s="6"/>
      <c r="Z995" s="6"/>
      <c r="AA995" s="6"/>
      <c r="AB995" s="6"/>
      <c r="AC995" s="6"/>
      <c r="AD995" s="6"/>
      <c r="AE995" s="6"/>
    </row>
    <row r="996" spans="22:31" ht="11.25" customHeight="1" x14ac:dyDescent="0.25">
      <c r="V996" s="6"/>
      <c r="W996" s="6"/>
      <c r="X996" s="6"/>
      <c r="Y996" s="6"/>
      <c r="Z996" s="6"/>
      <c r="AA996" s="6"/>
      <c r="AB996" s="6"/>
      <c r="AC996" s="6"/>
      <c r="AD996" s="6"/>
      <c r="AE996" s="6"/>
    </row>
    <row r="997" spans="22:31" ht="11.25" customHeight="1" x14ac:dyDescent="0.25">
      <c r="V997" s="6"/>
      <c r="W997" s="6"/>
      <c r="X997" s="6"/>
      <c r="Y997" s="6"/>
      <c r="Z997" s="6"/>
      <c r="AA997" s="6"/>
      <c r="AB997" s="6"/>
      <c r="AC997" s="6"/>
      <c r="AD997" s="6"/>
      <c r="AE997" s="6"/>
    </row>
    <row r="998" spans="22:31" ht="11.25" customHeight="1" x14ac:dyDescent="0.25">
      <c r="V998" s="6"/>
      <c r="W998" s="6"/>
      <c r="X998" s="6"/>
      <c r="Y998" s="6"/>
      <c r="Z998" s="6"/>
      <c r="AA998" s="6"/>
      <c r="AB998" s="6"/>
      <c r="AC998" s="6"/>
      <c r="AD998" s="6"/>
      <c r="AE998" s="6"/>
    </row>
    <row r="999" spans="22:31" ht="11.25" customHeight="1" x14ac:dyDescent="0.25">
      <c r="V999" s="6"/>
      <c r="W999" s="6"/>
      <c r="X999" s="6"/>
      <c r="Y999" s="6"/>
      <c r="Z999" s="6"/>
      <c r="AA999" s="6"/>
      <c r="AB999" s="6"/>
      <c r="AC999" s="6"/>
      <c r="AD999" s="6"/>
      <c r="AE999" s="6"/>
    </row>
    <row r="1000" spans="22:31" ht="11.25" customHeight="1" x14ac:dyDescent="0.25"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</row>
    <row r="1001" spans="22:31" ht="11.25" customHeight="1" x14ac:dyDescent="0.25"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</row>
    <row r="1002" spans="22:31" ht="11.25" customHeight="1" x14ac:dyDescent="0.25"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</row>
    <row r="1003" spans="22:31" ht="11.25" customHeight="1" x14ac:dyDescent="0.25"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</row>
    <row r="1004" spans="22:31" ht="11.25" customHeight="1" x14ac:dyDescent="0.25"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</row>
    <row r="1005" spans="22:31" ht="11.25" customHeight="1" x14ac:dyDescent="0.25"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</row>
    <row r="1006" spans="22:31" ht="11.25" customHeight="1" x14ac:dyDescent="0.25"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</row>
    <row r="1007" spans="22:31" ht="11.25" customHeight="1" x14ac:dyDescent="0.25"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</row>
    <row r="1008" spans="22:31" ht="11.25" customHeight="1" x14ac:dyDescent="0.25"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</row>
    <row r="1009" spans="22:31" ht="11.25" customHeight="1" x14ac:dyDescent="0.25"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</row>
    <row r="1010" spans="22:31" ht="11.25" customHeight="1" x14ac:dyDescent="0.25"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</row>
    <row r="1011" spans="22:31" ht="11.25" customHeight="1" x14ac:dyDescent="0.25"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</row>
    <row r="1012" spans="22:31" ht="11.25" customHeight="1" x14ac:dyDescent="0.25"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</row>
    <row r="1013" spans="22:31" ht="11.25" customHeight="1" x14ac:dyDescent="0.25"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</row>
    <row r="1014" spans="22:31" ht="11.25" customHeight="1" x14ac:dyDescent="0.25"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</row>
    <row r="1015" spans="22:31" ht="11.25" customHeight="1" x14ac:dyDescent="0.25"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</row>
    <row r="1016" spans="22:31" ht="11.25" customHeight="1" x14ac:dyDescent="0.25"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</row>
    <row r="1017" spans="22:31" ht="11.25" customHeight="1" x14ac:dyDescent="0.25"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</row>
    <row r="1018" spans="22:31" ht="11.25" customHeight="1" x14ac:dyDescent="0.25"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</row>
    <row r="1019" spans="22:31" ht="11.25" customHeight="1" x14ac:dyDescent="0.25"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</row>
    <row r="1020" spans="22:31" ht="11.25" customHeight="1" x14ac:dyDescent="0.25"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</row>
    <row r="1021" spans="22:31" ht="11.25" customHeight="1" x14ac:dyDescent="0.25"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</row>
    <row r="1022" spans="22:31" ht="11.25" customHeight="1" x14ac:dyDescent="0.25"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</row>
    <row r="1023" spans="22:31" ht="11.25" customHeight="1" x14ac:dyDescent="0.25"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</row>
    <row r="1024" spans="22:31" ht="11.25" customHeight="1" x14ac:dyDescent="0.25"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</row>
    <row r="1025" spans="22:31" ht="11.25" customHeight="1" x14ac:dyDescent="0.25"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</row>
    <row r="1026" spans="22:31" ht="11.25" customHeight="1" x14ac:dyDescent="0.25"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</row>
    <row r="1027" spans="22:31" ht="11.25" customHeight="1" x14ac:dyDescent="0.25"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</row>
    <row r="1028" spans="22:31" ht="11.25" customHeight="1" x14ac:dyDescent="0.25"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</row>
    <row r="1029" spans="22:31" ht="11.25" customHeight="1" x14ac:dyDescent="0.25"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</row>
    <row r="1030" spans="22:31" ht="11.25" customHeight="1" x14ac:dyDescent="0.25"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</row>
    <row r="1031" spans="22:31" ht="11.25" customHeight="1" x14ac:dyDescent="0.25"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</row>
    <row r="1032" spans="22:31" ht="11.25" customHeight="1" x14ac:dyDescent="0.25"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</row>
    <row r="1033" spans="22:31" ht="11.25" customHeight="1" x14ac:dyDescent="0.25"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</row>
    <row r="1034" spans="22:31" ht="11.25" customHeight="1" x14ac:dyDescent="0.25"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</row>
    <row r="1035" spans="22:31" ht="11.25" customHeight="1" x14ac:dyDescent="0.25"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</row>
    <row r="1036" spans="22:31" ht="11.25" customHeight="1" x14ac:dyDescent="0.25"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</row>
    <row r="1037" spans="22:31" ht="11.25" customHeight="1" x14ac:dyDescent="0.25"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</row>
    <row r="1038" spans="22:31" ht="11.25" customHeight="1" x14ac:dyDescent="0.25"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</row>
    <row r="1039" spans="22:31" ht="11.25" customHeight="1" x14ac:dyDescent="0.25"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</row>
    <row r="1040" spans="22:31" ht="11.25" customHeight="1" x14ac:dyDescent="0.25"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</row>
    <row r="1041" spans="22:31" ht="11.25" customHeight="1" x14ac:dyDescent="0.25"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</row>
    <row r="1042" spans="22:31" ht="11.25" customHeight="1" x14ac:dyDescent="0.25"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</row>
    <row r="1043" spans="22:31" ht="11.25" customHeight="1" x14ac:dyDescent="0.25"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</row>
    <row r="1044" spans="22:31" ht="11.25" customHeight="1" x14ac:dyDescent="0.25"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</row>
    <row r="1045" spans="22:31" ht="11.25" customHeight="1" x14ac:dyDescent="0.25"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</row>
    <row r="1046" spans="22:31" ht="11.25" customHeight="1" x14ac:dyDescent="0.25"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</row>
    <row r="1047" spans="22:31" ht="11.25" customHeight="1" x14ac:dyDescent="0.25"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</row>
    <row r="1048" spans="22:31" ht="11.25" customHeight="1" x14ac:dyDescent="0.25"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</row>
    <row r="1049" spans="22:31" ht="11.25" customHeight="1" x14ac:dyDescent="0.25"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</row>
    <row r="1050" spans="22:31" ht="11.25" customHeight="1" x14ac:dyDescent="0.25"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</row>
    <row r="1051" spans="22:31" ht="11.25" customHeight="1" x14ac:dyDescent="0.25"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</row>
    <row r="1052" spans="22:31" ht="11.25" customHeight="1" x14ac:dyDescent="0.25"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</row>
    <row r="1053" spans="22:31" ht="11.25" customHeight="1" x14ac:dyDescent="0.25"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</row>
    <row r="1054" spans="22:31" ht="11.25" customHeight="1" x14ac:dyDescent="0.25"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</row>
    <row r="1055" spans="22:31" ht="11.25" customHeight="1" x14ac:dyDescent="0.25"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</row>
    <row r="1056" spans="22:31" ht="11.25" customHeight="1" x14ac:dyDescent="0.25"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</row>
    <row r="1057" spans="22:31" ht="11.25" customHeight="1" x14ac:dyDescent="0.25"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</row>
    <row r="1058" spans="22:31" ht="11.25" customHeight="1" x14ac:dyDescent="0.25"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</row>
    <row r="1059" spans="22:31" ht="11.25" customHeight="1" x14ac:dyDescent="0.25"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</row>
    <row r="1060" spans="22:31" ht="11.25" customHeight="1" x14ac:dyDescent="0.25"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</row>
    <row r="1061" spans="22:31" ht="11.25" customHeight="1" x14ac:dyDescent="0.25"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</row>
    <row r="1062" spans="22:31" ht="11.25" customHeight="1" x14ac:dyDescent="0.25"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</row>
    <row r="1063" spans="22:31" ht="11.25" customHeight="1" x14ac:dyDescent="0.25"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</row>
    <row r="1064" spans="22:31" ht="11.25" customHeight="1" x14ac:dyDescent="0.25"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</row>
    <row r="1065" spans="22:31" ht="11.25" customHeight="1" x14ac:dyDescent="0.25"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</row>
    <row r="1066" spans="22:31" ht="11.25" customHeight="1" x14ac:dyDescent="0.25"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</row>
    <row r="1067" spans="22:31" ht="11.25" customHeight="1" x14ac:dyDescent="0.25"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</row>
    <row r="1068" spans="22:31" ht="11.25" customHeight="1" x14ac:dyDescent="0.25"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</row>
    <row r="1069" spans="22:31" ht="11.25" customHeight="1" x14ac:dyDescent="0.25"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</row>
    <row r="1070" spans="22:31" ht="11.25" customHeight="1" x14ac:dyDescent="0.25"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</row>
    <row r="1071" spans="22:31" ht="11.25" customHeight="1" x14ac:dyDescent="0.25"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</row>
    <row r="1072" spans="22:31" ht="11.25" customHeight="1" x14ac:dyDescent="0.25"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</row>
    <row r="1073" spans="22:31" ht="11.25" customHeight="1" x14ac:dyDescent="0.25"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</row>
    <row r="1074" spans="22:31" ht="11.25" customHeight="1" x14ac:dyDescent="0.25"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</row>
    <row r="1075" spans="22:31" ht="11.25" customHeight="1" x14ac:dyDescent="0.25"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</row>
    <row r="1076" spans="22:31" ht="11.25" customHeight="1" x14ac:dyDescent="0.25"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</row>
    <row r="1077" spans="22:31" ht="11.25" customHeight="1" x14ac:dyDescent="0.25"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</row>
    <row r="1078" spans="22:31" ht="11.25" customHeight="1" x14ac:dyDescent="0.25"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</row>
    <row r="1079" spans="22:31" ht="11.25" customHeight="1" x14ac:dyDescent="0.25"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</row>
    <row r="1080" spans="22:31" ht="11.25" customHeight="1" x14ac:dyDescent="0.25"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</row>
    <row r="1081" spans="22:31" ht="11.25" customHeight="1" x14ac:dyDescent="0.25"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</row>
    <row r="1082" spans="22:31" ht="11.25" customHeight="1" x14ac:dyDescent="0.25"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</row>
    <row r="1083" spans="22:31" ht="11.25" customHeight="1" x14ac:dyDescent="0.25"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</row>
    <row r="1084" spans="22:31" ht="11.25" customHeight="1" x14ac:dyDescent="0.25"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</row>
    <row r="1085" spans="22:31" ht="11.25" customHeight="1" x14ac:dyDescent="0.25"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</row>
    <row r="1086" spans="22:31" ht="11.25" customHeight="1" x14ac:dyDescent="0.25"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</row>
    <row r="1087" spans="22:31" ht="11.25" customHeight="1" x14ac:dyDescent="0.25"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</row>
    <row r="1088" spans="22:31" ht="11.25" customHeight="1" x14ac:dyDescent="0.25"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</row>
    <row r="1089" spans="22:31" ht="11.25" customHeight="1" x14ac:dyDescent="0.25"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</row>
    <row r="1090" spans="22:31" ht="11.25" customHeight="1" x14ac:dyDescent="0.25"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</row>
    <row r="1091" spans="22:31" ht="11.25" customHeight="1" x14ac:dyDescent="0.25"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</row>
    <row r="1092" spans="22:31" ht="11.25" customHeight="1" x14ac:dyDescent="0.25"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</row>
    <row r="1093" spans="22:31" ht="11.25" customHeight="1" x14ac:dyDescent="0.25"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</row>
    <row r="1094" spans="22:31" ht="11.25" customHeight="1" x14ac:dyDescent="0.25"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</row>
    <row r="1095" spans="22:31" ht="11.25" customHeight="1" x14ac:dyDescent="0.25"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</row>
    <row r="1096" spans="22:31" ht="11.25" customHeight="1" x14ac:dyDescent="0.25"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</row>
    <row r="1097" spans="22:31" ht="11.25" customHeight="1" x14ac:dyDescent="0.25"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</row>
    <row r="1098" spans="22:31" ht="11.25" customHeight="1" x14ac:dyDescent="0.25"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</row>
    <row r="1099" spans="22:31" ht="11.25" customHeight="1" x14ac:dyDescent="0.25"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</row>
    <row r="1100" spans="22:31" ht="11.25" customHeight="1" x14ac:dyDescent="0.25"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</row>
    <row r="1101" spans="22:31" ht="11.25" customHeight="1" x14ac:dyDescent="0.25"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</row>
    <row r="1102" spans="22:31" ht="11.25" customHeight="1" x14ac:dyDescent="0.25"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</row>
    <row r="1103" spans="22:31" ht="11.25" customHeight="1" x14ac:dyDescent="0.25"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</row>
    <row r="1104" spans="22:31" ht="11.25" customHeight="1" x14ac:dyDescent="0.25"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</row>
    <row r="1105" spans="22:31" ht="11.25" customHeight="1" x14ac:dyDescent="0.25"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</row>
    <row r="1106" spans="22:31" ht="11.25" customHeight="1" x14ac:dyDescent="0.25"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</row>
    <row r="1107" spans="22:31" ht="11.25" customHeight="1" x14ac:dyDescent="0.25"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</row>
    <row r="1108" spans="22:31" ht="11.25" customHeight="1" x14ac:dyDescent="0.25"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</row>
    <row r="1109" spans="22:31" ht="11.25" customHeight="1" x14ac:dyDescent="0.25"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</row>
    <row r="1110" spans="22:31" ht="11.25" customHeight="1" x14ac:dyDescent="0.25"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</row>
    <row r="1111" spans="22:31" ht="11.25" customHeight="1" x14ac:dyDescent="0.25"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</row>
    <row r="1112" spans="22:31" ht="11.25" customHeight="1" x14ac:dyDescent="0.25"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</row>
    <row r="1113" spans="22:31" ht="11.25" customHeight="1" x14ac:dyDescent="0.25"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</row>
    <row r="1114" spans="22:31" ht="11.25" customHeight="1" x14ac:dyDescent="0.25"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</row>
    <row r="1115" spans="22:31" ht="11.25" customHeight="1" x14ac:dyDescent="0.25"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</row>
    <row r="1116" spans="22:31" ht="11.25" customHeight="1" x14ac:dyDescent="0.25"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</row>
    <row r="1117" spans="22:31" ht="11.25" customHeight="1" x14ac:dyDescent="0.25"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</row>
    <row r="1118" spans="22:31" ht="11.25" customHeight="1" x14ac:dyDescent="0.25"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</row>
    <row r="1119" spans="22:31" ht="11.25" customHeight="1" x14ac:dyDescent="0.25"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</row>
    <row r="1120" spans="22:31" ht="11.25" customHeight="1" x14ac:dyDescent="0.25"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</row>
    <row r="1121" spans="22:31" ht="11.25" customHeight="1" x14ac:dyDescent="0.25"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</row>
    <row r="1122" spans="22:31" ht="11.25" customHeight="1" x14ac:dyDescent="0.25"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</row>
    <row r="1123" spans="22:31" ht="11.25" customHeight="1" x14ac:dyDescent="0.25"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</row>
    <row r="1124" spans="22:31" ht="11.25" customHeight="1" x14ac:dyDescent="0.25"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</row>
    <row r="1125" spans="22:31" ht="11.25" customHeight="1" x14ac:dyDescent="0.25"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</row>
    <row r="1126" spans="22:31" ht="11.25" customHeight="1" x14ac:dyDescent="0.25"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</row>
    <row r="1127" spans="22:31" ht="11.25" customHeight="1" x14ac:dyDescent="0.25"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</row>
    <row r="1128" spans="22:31" ht="11.25" customHeight="1" x14ac:dyDescent="0.25"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</row>
    <row r="1129" spans="22:31" ht="11.25" customHeight="1" x14ac:dyDescent="0.25"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</row>
    <row r="1130" spans="22:31" ht="11.25" customHeight="1" x14ac:dyDescent="0.25"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</row>
    <row r="1131" spans="22:31" ht="11.25" customHeight="1" x14ac:dyDescent="0.25"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</row>
    <row r="1132" spans="22:31" ht="11.25" customHeight="1" x14ac:dyDescent="0.25"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</row>
    <row r="1133" spans="22:31" ht="11.25" customHeight="1" x14ac:dyDescent="0.25"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</row>
    <row r="1134" spans="22:31" ht="11.25" customHeight="1" x14ac:dyDescent="0.25"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</row>
    <row r="1135" spans="22:31" ht="11.25" customHeight="1" x14ac:dyDescent="0.25"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</row>
    <row r="1136" spans="22:31" ht="11.25" customHeight="1" x14ac:dyDescent="0.25"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</row>
    <row r="1137" spans="22:31" ht="11.25" customHeight="1" x14ac:dyDescent="0.25"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</row>
    <row r="1138" spans="22:31" ht="11.25" customHeight="1" x14ac:dyDescent="0.25"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</row>
    <row r="1139" spans="22:31" ht="11.25" customHeight="1" x14ac:dyDescent="0.25"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</row>
    <row r="1140" spans="22:31" ht="11.25" customHeight="1" x14ac:dyDescent="0.25"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</row>
    <row r="1141" spans="22:31" ht="11.25" customHeight="1" x14ac:dyDescent="0.25"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</row>
    <row r="1142" spans="22:31" ht="11.25" customHeight="1" x14ac:dyDescent="0.25"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</row>
    <row r="1143" spans="22:31" ht="11.25" customHeight="1" x14ac:dyDescent="0.25"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</row>
    <row r="1144" spans="22:31" ht="11.25" customHeight="1" x14ac:dyDescent="0.25"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</row>
    <row r="1145" spans="22:31" ht="11.25" customHeight="1" x14ac:dyDescent="0.25"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</row>
    <row r="1146" spans="22:31" ht="11.25" customHeight="1" x14ac:dyDescent="0.25"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</row>
    <row r="1147" spans="22:31" ht="11.25" customHeight="1" x14ac:dyDescent="0.25"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</row>
    <row r="1148" spans="22:31" ht="11.25" customHeight="1" x14ac:dyDescent="0.25"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</row>
    <row r="1149" spans="22:31" ht="11.25" customHeight="1" x14ac:dyDescent="0.25"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</row>
    <row r="1150" spans="22:31" ht="11.25" customHeight="1" x14ac:dyDescent="0.25"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</row>
    <row r="1151" spans="22:31" ht="11.25" customHeight="1" x14ac:dyDescent="0.25"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</row>
    <row r="1152" spans="22:31" ht="11.25" customHeight="1" x14ac:dyDescent="0.25"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</row>
    <row r="1153" spans="22:31" ht="11.25" customHeight="1" x14ac:dyDescent="0.25"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</row>
    <row r="1154" spans="22:31" ht="11.25" customHeight="1" x14ac:dyDescent="0.25"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</row>
    <row r="1155" spans="22:31" ht="11.25" customHeight="1" x14ac:dyDescent="0.25"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</row>
    <row r="1156" spans="22:31" ht="11.25" customHeight="1" x14ac:dyDescent="0.25"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</row>
    <row r="1157" spans="22:31" ht="11.25" customHeight="1" x14ac:dyDescent="0.25"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</row>
    <row r="1158" spans="22:31" ht="11.25" customHeight="1" x14ac:dyDescent="0.25"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</row>
    <row r="1159" spans="22:31" ht="11.25" customHeight="1" x14ac:dyDescent="0.25"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</row>
    <row r="1160" spans="22:31" ht="11.25" customHeight="1" x14ac:dyDescent="0.25"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</row>
    <row r="1161" spans="22:31" ht="11.25" customHeight="1" x14ac:dyDescent="0.25"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</row>
    <row r="1162" spans="22:31" ht="11.25" customHeight="1" x14ac:dyDescent="0.25"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</row>
    <row r="1163" spans="22:31" ht="11.25" customHeight="1" x14ac:dyDescent="0.25"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</row>
    <row r="1164" spans="22:31" ht="11.25" customHeight="1" x14ac:dyDescent="0.25"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</row>
    <row r="1165" spans="22:31" ht="11.25" customHeight="1" x14ac:dyDescent="0.25"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</row>
    <row r="1166" spans="22:31" ht="11.25" customHeight="1" x14ac:dyDescent="0.25"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</row>
    <row r="1167" spans="22:31" ht="11.25" customHeight="1" x14ac:dyDescent="0.25"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</row>
    <row r="1168" spans="22:31" ht="11.25" customHeight="1" x14ac:dyDescent="0.25"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</row>
    <row r="1169" spans="22:31" ht="11.25" customHeight="1" x14ac:dyDescent="0.25"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</row>
    <row r="1170" spans="22:31" ht="11.25" customHeight="1" x14ac:dyDescent="0.25"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</row>
    <row r="1171" spans="22:31" ht="11.25" customHeight="1" x14ac:dyDescent="0.25"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</row>
    <row r="1172" spans="22:31" ht="11.25" customHeight="1" x14ac:dyDescent="0.25"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</row>
    <row r="1173" spans="22:31" ht="11.25" customHeight="1" x14ac:dyDescent="0.25"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</row>
    <row r="1174" spans="22:31" ht="11.25" customHeight="1" x14ac:dyDescent="0.25"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</row>
    <row r="1175" spans="22:31" ht="11.25" customHeight="1" x14ac:dyDescent="0.25"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</row>
    <row r="1176" spans="22:31" ht="11.25" customHeight="1" x14ac:dyDescent="0.25"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</row>
    <row r="1177" spans="22:31" ht="11.25" customHeight="1" x14ac:dyDescent="0.25"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</row>
    <row r="1178" spans="22:31" ht="11.25" customHeight="1" x14ac:dyDescent="0.25"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</row>
    <row r="1179" spans="22:31" ht="11.25" customHeight="1" x14ac:dyDescent="0.25"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</row>
    <row r="1180" spans="22:31" ht="11.25" customHeight="1" x14ac:dyDescent="0.25"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</row>
    <row r="1181" spans="22:31" ht="11.25" customHeight="1" x14ac:dyDescent="0.25"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</row>
    <row r="1182" spans="22:31" ht="11.25" customHeight="1" x14ac:dyDescent="0.25"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</row>
    <row r="1183" spans="22:31" ht="11.25" customHeight="1" x14ac:dyDescent="0.25"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</row>
    <row r="1184" spans="22:31" ht="11.25" customHeight="1" x14ac:dyDescent="0.25"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</row>
    <row r="1185" spans="22:31" ht="11.25" customHeight="1" x14ac:dyDescent="0.25"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</row>
    <row r="1186" spans="22:31" ht="11.25" customHeight="1" x14ac:dyDescent="0.25"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</row>
    <row r="1187" spans="22:31" ht="11.25" customHeight="1" x14ac:dyDescent="0.25"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</row>
    <row r="1188" spans="22:31" ht="11.25" customHeight="1" x14ac:dyDescent="0.25"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</row>
    <row r="1189" spans="22:31" ht="11.25" customHeight="1" x14ac:dyDescent="0.25"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</row>
    <row r="1190" spans="22:31" ht="11.25" customHeight="1" x14ac:dyDescent="0.25"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</row>
    <row r="1191" spans="22:31" ht="11.25" customHeight="1" x14ac:dyDescent="0.25"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</row>
    <row r="1192" spans="22:31" ht="11.25" customHeight="1" x14ac:dyDescent="0.25"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</row>
    <row r="1193" spans="22:31" ht="11.25" customHeight="1" x14ac:dyDescent="0.25"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</row>
    <row r="1194" spans="22:31" ht="11.25" customHeight="1" x14ac:dyDescent="0.25"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</row>
    <row r="1195" spans="22:31" ht="11.25" customHeight="1" x14ac:dyDescent="0.25"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</row>
    <row r="1196" spans="22:31" ht="11.25" customHeight="1" x14ac:dyDescent="0.25"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</row>
    <row r="1197" spans="22:31" ht="11.25" customHeight="1" x14ac:dyDescent="0.25"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</row>
    <row r="1198" spans="22:31" ht="11.25" customHeight="1" x14ac:dyDescent="0.25"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</row>
    <row r="1199" spans="22:31" ht="11.25" customHeight="1" x14ac:dyDescent="0.25"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</row>
    <row r="1200" spans="22:31" ht="11.25" customHeight="1" x14ac:dyDescent="0.25"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</row>
    <row r="1201" spans="22:31" ht="11.25" customHeight="1" x14ac:dyDescent="0.25"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</row>
    <row r="1202" spans="22:31" ht="11.25" customHeight="1" x14ac:dyDescent="0.25"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</row>
    <row r="1203" spans="22:31" ht="11.25" customHeight="1" x14ac:dyDescent="0.25"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</row>
    <row r="1204" spans="22:31" ht="11.25" customHeight="1" x14ac:dyDescent="0.25"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</row>
    <row r="1205" spans="22:31" ht="11.25" customHeight="1" x14ac:dyDescent="0.25"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</row>
    <row r="1206" spans="22:31" ht="11.25" customHeight="1" x14ac:dyDescent="0.25"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</row>
    <row r="1207" spans="22:31" ht="11.25" customHeight="1" x14ac:dyDescent="0.25"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</row>
    <row r="1208" spans="22:31" ht="11.25" customHeight="1" x14ac:dyDescent="0.25"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</row>
    <row r="1209" spans="22:31" ht="11.25" customHeight="1" x14ac:dyDescent="0.25"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</row>
    <row r="1210" spans="22:31" ht="11.25" customHeight="1" x14ac:dyDescent="0.25"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</row>
    <row r="1211" spans="22:31" ht="11.25" customHeight="1" x14ac:dyDescent="0.25"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</row>
    <row r="1212" spans="22:31" ht="11.25" customHeight="1" x14ac:dyDescent="0.25"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</row>
    <row r="1213" spans="22:31" ht="11.25" customHeight="1" x14ac:dyDescent="0.25"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</row>
    <row r="1214" spans="22:31" ht="11.25" customHeight="1" x14ac:dyDescent="0.25"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</row>
    <row r="1215" spans="22:31" ht="11.25" customHeight="1" x14ac:dyDescent="0.25"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</row>
    <row r="1216" spans="22:31" ht="11.25" customHeight="1" x14ac:dyDescent="0.25"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</row>
    <row r="1217" spans="22:31" ht="11.25" customHeight="1" x14ac:dyDescent="0.25"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</row>
    <row r="1218" spans="22:31" ht="11.25" customHeight="1" x14ac:dyDescent="0.25"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</row>
    <row r="1219" spans="22:31" ht="11.25" customHeight="1" x14ac:dyDescent="0.25"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</row>
    <row r="1220" spans="22:31" ht="11.25" customHeight="1" x14ac:dyDescent="0.25"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</row>
    <row r="1221" spans="22:31" ht="11.25" customHeight="1" x14ac:dyDescent="0.25"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</row>
    <row r="1222" spans="22:31" ht="11.25" customHeight="1" x14ac:dyDescent="0.25"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</row>
    <row r="1223" spans="22:31" ht="11.25" customHeight="1" x14ac:dyDescent="0.25"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</row>
    <row r="1224" spans="22:31" ht="11.25" customHeight="1" x14ac:dyDescent="0.25"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</row>
    <row r="1225" spans="22:31" ht="11.25" customHeight="1" x14ac:dyDescent="0.25"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</row>
    <row r="1226" spans="22:31" ht="11.25" customHeight="1" x14ac:dyDescent="0.25"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</row>
    <row r="1227" spans="22:31" ht="11.25" customHeight="1" x14ac:dyDescent="0.25"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</row>
    <row r="1228" spans="22:31" ht="11.25" customHeight="1" x14ac:dyDescent="0.25"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</row>
    <row r="1229" spans="22:31" ht="11.25" customHeight="1" x14ac:dyDescent="0.25"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</row>
    <row r="1230" spans="22:31" ht="11.25" customHeight="1" x14ac:dyDescent="0.25"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</row>
    <row r="1231" spans="22:31" ht="11.25" customHeight="1" x14ac:dyDescent="0.25"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</row>
    <row r="1232" spans="22:31" ht="11.25" customHeight="1" x14ac:dyDescent="0.25"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</row>
    <row r="1233" spans="22:31" ht="11.25" customHeight="1" x14ac:dyDescent="0.25"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</row>
    <row r="1234" spans="22:31" ht="11.25" customHeight="1" x14ac:dyDescent="0.25"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</row>
    <row r="1235" spans="22:31" ht="11.25" customHeight="1" x14ac:dyDescent="0.25"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</row>
    <row r="1236" spans="22:31" ht="11.25" customHeight="1" x14ac:dyDescent="0.25"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</row>
    <row r="1237" spans="22:31" ht="11.25" customHeight="1" x14ac:dyDescent="0.25"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</row>
    <row r="1238" spans="22:31" ht="11.25" customHeight="1" x14ac:dyDescent="0.25"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</row>
    <row r="1239" spans="22:31" ht="11.25" customHeight="1" x14ac:dyDescent="0.25"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</row>
    <row r="1240" spans="22:31" ht="11.25" customHeight="1" x14ac:dyDescent="0.25"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</row>
    <row r="1241" spans="22:31" ht="11.25" customHeight="1" x14ac:dyDescent="0.25"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</row>
    <row r="1242" spans="22:31" ht="11.25" customHeight="1" x14ac:dyDescent="0.25"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</row>
    <row r="1243" spans="22:31" ht="11.25" customHeight="1" x14ac:dyDescent="0.25"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</row>
    <row r="1244" spans="22:31" ht="11.25" customHeight="1" x14ac:dyDescent="0.25"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</row>
    <row r="1245" spans="22:31" ht="11.25" customHeight="1" x14ac:dyDescent="0.25"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</row>
    <row r="1246" spans="22:31" ht="11.25" customHeight="1" x14ac:dyDescent="0.25"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</row>
    <row r="1247" spans="22:31" ht="11.25" customHeight="1" x14ac:dyDescent="0.25"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</row>
    <row r="1248" spans="22:31" ht="11.25" customHeight="1" x14ac:dyDescent="0.25"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</row>
    <row r="1249" spans="22:31" ht="11.25" customHeight="1" x14ac:dyDescent="0.25"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</row>
    <row r="1250" spans="22:31" ht="11.25" customHeight="1" x14ac:dyDescent="0.25"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</row>
    <row r="1251" spans="22:31" ht="11.25" customHeight="1" x14ac:dyDescent="0.25"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</row>
    <row r="1252" spans="22:31" ht="11.25" customHeight="1" x14ac:dyDescent="0.25"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</row>
    <row r="1253" spans="22:31" ht="11.25" customHeight="1" x14ac:dyDescent="0.25"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</row>
    <row r="1254" spans="22:31" ht="11.25" customHeight="1" x14ac:dyDescent="0.25"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</row>
    <row r="1255" spans="22:31" ht="11.25" customHeight="1" x14ac:dyDescent="0.25"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</row>
    <row r="1256" spans="22:31" ht="11.25" customHeight="1" x14ac:dyDescent="0.25"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</row>
    <row r="1257" spans="22:31" ht="11.25" customHeight="1" x14ac:dyDescent="0.25"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</row>
    <row r="1258" spans="22:31" ht="11.25" customHeight="1" x14ac:dyDescent="0.25"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</row>
    <row r="1259" spans="22:31" ht="11.25" customHeight="1" x14ac:dyDescent="0.25"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</row>
    <row r="1260" spans="22:31" ht="11.25" customHeight="1" x14ac:dyDescent="0.25"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</row>
    <row r="1261" spans="22:31" ht="11.25" customHeight="1" x14ac:dyDescent="0.25"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</row>
    <row r="1262" spans="22:31" ht="11.25" customHeight="1" x14ac:dyDescent="0.25"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</row>
    <row r="1263" spans="22:31" ht="11.25" customHeight="1" x14ac:dyDescent="0.25"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</row>
    <row r="1264" spans="22:31" ht="11.25" customHeight="1" x14ac:dyDescent="0.25"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</row>
    <row r="1265" spans="22:31" ht="11.25" customHeight="1" x14ac:dyDescent="0.25"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</row>
    <row r="1266" spans="22:31" ht="11.25" customHeight="1" x14ac:dyDescent="0.25"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</row>
    <row r="1267" spans="22:31" ht="11.25" customHeight="1" x14ac:dyDescent="0.25"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</row>
    <row r="1268" spans="22:31" ht="11.25" customHeight="1" x14ac:dyDescent="0.25"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</row>
    <row r="1269" spans="22:31" ht="11.25" customHeight="1" x14ac:dyDescent="0.25"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</row>
    <row r="1270" spans="22:31" ht="11.25" customHeight="1" x14ac:dyDescent="0.25"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</row>
    <row r="1271" spans="22:31" ht="11.25" customHeight="1" x14ac:dyDescent="0.25"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</row>
    <row r="1272" spans="22:31" ht="11.25" customHeight="1" x14ac:dyDescent="0.25"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</row>
    <row r="1273" spans="22:31" ht="11.25" customHeight="1" x14ac:dyDescent="0.25"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</row>
    <row r="1274" spans="22:31" ht="11.25" customHeight="1" x14ac:dyDescent="0.25"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</row>
    <row r="1275" spans="22:31" ht="11.25" customHeight="1" x14ac:dyDescent="0.25"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</row>
    <row r="1276" spans="22:31" ht="11.25" customHeight="1" x14ac:dyDescent="0.25"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</row>
    <row r="1277" spans="22:31" ht="11.25" customHeight="1" x14ac:dyDescent="0.25"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</row>
    <row r="1278" spans="22:31" ht="11.25" customHeight="1" x14ac:dyDescent="0.25"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</row>
    <row r="1279" spans="22:31" ht="11.25" customHeight="1" x14ac:dyDescent="0.25"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</row>
    <row r="1280" spans="22:31" ht="11.25" customHeight="1" x14ac:dyDescent="0.25"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</row>
    <row r="1281" spans="22:31" ht="11.25" customHeight="1" x14ac:dyDescent="0.25"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</row>
    <row r="1282" spans="22:31" ht="11.25" customHeight="1" x14ac:dyDescent="0.25"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</row>
    <row r="1283" spans="22:31" ht="11.25" customHeight="1" x14ac:dyDescent="0.25"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</row>
    <row r="1284" spans="22:31" ht="11.25" customHeight="1" x14ac:dyDescent="0.25"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</row>
    <row r="1285" spans="22:31" ht="11.25" customHeight="1" x14ac:dyDescent="0.25"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</row>
    <row r="1286" spans="22:31" ht="11.25" customHeight="1" x14ac:dyDescent="0.25"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</row>
    <row r="1287" spans="22:31" ht="11.25" customHeight="1" x14ac:dyDescent="0.25"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</row>
    <row r="1288" spans="22:31" ht="11.25" customHeight="1" x14ac:dyDescent="0.25"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</row>
    <row r="1289" spans="22:31" ht="11.25" customHeight="1" x14ac:dyDescent="0.25"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</row>
    <row r="1290" spans="22:31" ht="11.25" customHeight="1" x14ac:dyDescent="0.25"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</row>
    <row r="1291" spans="22:31" ht="11.25" customHeight="1" x14ac:dyDescent="0.25"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</row>
    <row r="1292" spans="22:31" ht="11.25" customHeight="1" x14ac:dyDescent="0.25"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</row>
    <row r="1293" spans="22:31" ht="11.25" customHeight="1" x14ac:dyDescent="0.25"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</row>
    <row r="1294" spans="22:31" ht="11.25" customHeight="1" x14ac:dyDescent="0.25"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</row>
    <row r="1295" spans="22:31" ht="11.25" customHeight="1" x14ac:dyDescent="0.25"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</row>
    <row r="1296" spans="22:31" ht="11.25" customHeight="1" x14ac:dyDescent="0.25"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</row>
    <row r="1297" spans="22:31" ht="11.25" customHeight="1" x14ac:dyDescent="0.25"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</row>
    <row r="1298" spans="22:31" ht="11.25" customHeight="1" x14ac:dyDescent="0.25"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</row>
    <row r="1299" spans="22:31" ht="11.25" customHeight="1" x14ac:dyDescent="0.25"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</row>
    <row r="1300" spans="22:31" ht="11.25" customHeight="1" x14ac:dyDescent="0.25"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</row>
    <row r="1301" spans="22:31" ht="11.25" customHeight="1" x14ac:dyDescent="0.25"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</row>
    <row r="1302" spans="22:31" ht="11.25" customHeight="1" x14ac:dyDescent="0.25"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</row>
    <row r="1303" spans="22:31" ht="11.25" customHeight="1" x14ac:dyDescent="0.25"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</row>
    <row r="1304" spans="22:31" ht="11.25" customHeight="1" x14ac:dyDescent="0.25"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</row>
    <row r="1305" spans="22:31" ht="11.25" customHeight="1" x14ac:dyDescent="0.25"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</row>
    <row r="1306" spans="22:31" ht="11.25" customHeight="1" x14ac:dyDescent="0.25"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</row>
    <row r="1307" spans="22:31" ht="11.25" customHeight="1" x14ac:dyDescent="0.25"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</row>
    <row r="1308" spans="22:31" ht="11.25" customHeight="1" x14ac:dyDescent="0.25"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</row>
    <row r="1309" spans="22:31" ht="11.25" customHeight="1" x14ac:dyDescent="0.25"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</row>
    <row r="1310" spans="22:31" ht="11.25" customHeight="1" x14ac:dyDescent="0.25"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</row>
    <row r="1311" spans="22:31" ht="11.25" customHeight="1" x14ac:dyDescent="0.25"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</row>
    <row r="1312" spans="22:31" ht="11.25" customHeight="1" x14ac:dyDescent="0.25"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</row>
    <row r="1313" spans="22:31" ht="11.25" customHeight="1" x14ac:dyDescent="0.25"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</row>
    <row r="1314" spans="22:31" ht="11.25" customHeight="1" x14ac:dyDescent="0.25"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</row>
    <row r="1315" spans="22:31" ht="11.25" customHeight="1" x14ac:dyDescent="0.25"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</row>
    <row r="1316" spans="22:31" ht="11.25" customHeight="1" x14ac:dyDescent="0.25"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</row>
    <row r="1317" spans="22:31" ht="11.25" customHeight="1" x14ac:dyDescent="0.25"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</row>
    <row r="1318" spans="22:31" ht="11.25" customHeight="1" x14ac:dyDescent="0.25"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</row>
    <row r="1319" spans="22:31" ht="11.25" customHeight="1" x14ac:dyDescent="0.25"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</row>
    <row r="1320" spans="22:31" ht="11.25" customHeight="1" x14ac:dyDescent="0.25"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</row>
    <row r="1321" spans="22:31" ht="11.25" customHeight="1" x14ac:dyDescent="0.25"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</row>
    <row r="1322" spans="22:31" ht="11.25" customHeight="1" x14ac:dyDescent="0.25"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</row>
    <row r="1323" spans="22:31" ht="11.25" customHeight="1" x14ac:dyDescent="0.25"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</row>
    <row r="1324" spans="22:31" ht="11.25" customHeight="1" x14ac:dyDescent="0.25"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</row>
    <row r="1325" spans="22:31" ht="11.25" customHeight="1" x14ac:dyDescent="0.25"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</row>
    <row r="1326" spans="22:31" ht="11.25" customHeight="1" x14ac:dyDescent="0.25"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</row>
    <row r="1327" spans="22:31" ht="11.25" customHeight="1" x14ac:dyDescent="0.25"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</row>
    <row r="1328" spans="22:31" ht="11.25" customHeight="1" x14ac:dyDescent="0.25"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</row>
    <row r="1329" spans="22:31" ht="11.25" customHeight="1" x14ac:dyDescent="0.25"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</row>
    <row r="1330" spans="22:31" ht="11.25" customHeight="1" x14ac:dyDescent="0.25"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</row>
    <row r="1331" spans="22:31" ht="11.25" customHeight="1" x14ac:dyDescent="0.25"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</row>
    <row r="1332" spans="22:31" ht="11.25" customHeight="1" x14ac:dyDescent="0.25"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</row>
    <row r="1333" spans="22:31" ht="11.25" customHeight="1" x14ac:dyDescent="0.25"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</row>
    <row r="1334" spans="22:31" ht="11.25" customHeight="1" x14ac:dyDescent="0.25"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</row>
    <row r="1335" spans="22:31" ht="11.25" customHeight="1" x14ac:dyDescent="0.25"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</row>
    <row r="1336" spans="22:31" ht="11.25" customHeight="1" x14ac:dyDescent="0.25"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</row>
    <row r="1337" spans="22:31" ht="11.25" customHeight="1" x14ac:dyDescent="0.25"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</row>
    <row r="1338" spans="22:31" ht="11.25" customHeight="1" x14ac:dyDescent="0.25"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</row>
    <row r="1339" spans="22:31" ht="11.25" customHeight="1" x14ac:dyDescent="0.25"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</row>
    <row r="1340" spans="22:31" ht="11.25" customHeight="1" x14ac:dyDescent="0.25"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</row>
    <row r="1341" spans="22:31" ht="11.25" customHeight="1" x14ac:dyDescent="0.25"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</row>
    <row r="1342" spans="22:31" ht="11.25" customHeight="1" x14ac:dyDescent="0.25"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</row>
    <row r="1343" spans="22:31" ht="11.25" customHeight="1" x14ac:dyDescent="0.25"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</row>
    <row r="1344" spans="22:31" ht="11.25" customHeight="1" x14ac:dyDescent="0.25"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</row>
    <row r="1345" spans="22:31" ht="11.25" customHeight="1" x14ac:dyDescent="0.25"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</row>
    <row r="1346" spans="22:31" ht="11.25" customHeight="1" x14ac:dyDescent="0.25"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</row>
    <row r="1347" spans="22:31" ht="11.25" customHeight="1" x14ac:dyDescent="0.25"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</row>
    <row r="1348" spans="22:31" ht="11.25" customHeight="1" x14ac:dyDescent="0.25"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</row>
    <row r="1349" spans="22:31" ht="11.25" customHeight="1" x14ac:dyDescent="0.25"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</row>
    <row r="1350" spans="22:31" ht="11.25" customHeight="1" x14ac:dyDescent="0.25"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</row>
    <row r="1351" spans="22:31" ht="11.25" customHeight="1" x14ac:dyDescent="0.25"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</row>
    <row r="1352" spans="22:31" ht="11.25" customHeight="1" x14ac:dyDescent="0.25"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</row>
    <row r="1353" spans="22:31" ht="11.25" customHeight="1" x14ac:dyDescent="0.25"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</row>
    <row r="1354" spans="22:31" ht="11.25" customHeight="1" x14ac:dyDescent="0.25"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</row>
    <row r="1355" spans="22:31" ht="11.25" customHeight="1" x14ac:dyDescent="0.25"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</row>
    <row r="1356" spans="22:31" ht="11.25" customHeight="1" x14ac:dyDescent="0.25"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</row>
    <row r="1357" spans="22:31" ht="11.25" customHeight="1" x14ac:dyDescent="0.25"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</row>
    <row r="1358" spans="22:31" ht="11.25" customHeight="1" x14ac:dyDescent="0.25"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</row>
    <row r="1359" spans="22:31" ht="11.25" customHeight="1" x14ac:dyDescent="0.25"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</row>
    <row r="1360" spans="22:31" ht="11.25" customHeight="1" x14ac:dyDescent="0.25"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</row>
    <row r="1361" spans="22:31" ht="11.25" customHeight="1" x14ac:dyDescent="0.25"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</row>
    <row r="1362" spans="22:31" ht="11.25" customHeight="1" x14ac:dyDescent="0.25"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</row>
    <row r="1363" spans="22:31" ht="11.25" customHeight="1" x14ac:dyDescent="0.25"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</row>
    <row r="1364" spans="22:31" ht="11.25" customHeight="1" x14ac:dyDescent="0.25"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</row>
    <row r="1365" spans="22:31" ht="11.25" customHeight="1" x14ac:dyDescent="0.25"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</row>
    <row r="1366" spans="22:31" ht="11.25" customHeight="1" x14ac:dyDescent="0.25"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</row>
    <row r="1367" spans="22:31" ht="11.25" customHeight="1" x14ac:dyDescent="0.25"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</row>
    <row r="1368" spans="22:31" ht="11.25" customHeight="1" x14ac:dyDescent="0.25"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</row>
    <row r="1369" spans="22:31" ht="11.25" customHeight="1" x14ac:dyDescent="0.25"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</row>
    <row r="1370" spans="22:31" ht="11.25" customHeight="1" x14ac:dyDescent="0.25"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</row>
    <row r="1371" spans="22:31" ht="11.25" customHeight="1" x14ac:dyDescent="0.25"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</row>
    <row r="1372" spans="22:31" ht="11.25" customHeight="1" x14ac:dyDescent="0.25"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</row>
    <row r="1373" spans="22:31" ht="11.25" customHeight="1" x14ac:dyDescent="0.25"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</row>
    <row r="1374" spans="22:31" ht="11.25" customHeight="1" x14ac:dyDescent="0.25"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</row>
    <row r="1375" spans="22:31" ht="11.25" customHeight="1" x14ac:dyDescent="0.25"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</row>
    <row r="1376" spans="22:31" ht="11.25" customHeight="1" x14ac:dyDescent="0.25"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</row>
    <row r="1377" spans="22:31" ht="11.25" customHeight="1" x14ac:dyDescent="0.25"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</row>
    <row r="1378" spans="22:31" ht="11.25" customHeight="1" x14ac:dyDescent="0.25"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</row>
    <row r="1379" spans="22:31" ht="11.25" customHeight="1" x14ac:dyDescent="0.25"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</row>
    <row r="1380" spans="22:31" ht="11.25" customHeight="1" x14ac:dyDescent="0.25"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</row>
    <row r="1381" spans="22:31" ht="11.25" customHeight="1" x14ac:dyDescent="0.25"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</row>
    <row r="1382" spans="22:31" ht="11.25" customHeight="1" x14ac:dyDescent="0.25"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</row>
    <row r="1383" spans="22:31" ht="11.25" customHeight="1" x14ac:dyDescent="0.25"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</row>
    <row r="1384" spans="22:31" ht="11.25" customHeight="1" x14ac:dyDescent="0.25"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</row>
    <row r="1385" spans="22:31" ht="11.25" customHeight="1" x14ac:dyDescent="0.25"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</row>
    <row r="1386" spans="22:31" ht="11.25" customHeight="1" x14ac:dyDescent="0.25"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</row>
    <row r="1387" spans="22:31" ht="11.25" customHeight="1" x14ac:dyDescent="0.25"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</row>
    <row r="1388" spans="22:31" ht="11.25" customHeight="1" x14ac:dyDescent="0.25"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</row>
    <row r="1389" spans="22:31" ht="11.25" customHeight="1" x14ac:dyDescent="0.25"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</row>
    <row r="1390" spans="22:31" ht="11.25" customHeight="1" x14ac:dyDescent="0.25"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</row>
    <row r="1391" spans="22:31" ht="11.25" customHeight="1" x14ac:dyDescent="0.25"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</row>
    <row r="1392" spans="22:31" ht="11.25" customHeight="1" x14ac:dyDescent="0.25"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</row>
    <row r="1393" spans="22:31" ht="11.25" customHeight="1" x14ac:dyDescent="0.25"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</row>
    <row r="1394" spans="22:31" ht="11.25" customHeight="1" x14ac:dyDescent="0.25"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</row>
    <row r="1395" spans="22:31" ht="11.25" customHeight="1" x14ac:dyDescent="0.25"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</row>
    <row r="1396" spans="22:31" ht="11.25" customHeight="1" x14ac:dyDescent="0.25"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</row>
    <row r="1397" spans="22:31" ht="11.25" customHeight="1" x14ac:dyDescent="0.25"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</row>
    <row r="1398" spans="22:31" ht="11.25" customHeight="1" x14ac:dyDescent="0.25"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</row>
    <row r="1399" spans="22:31" ht="11.25" customHeight="1" x14ac:dyDescent="0.25"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</row>
    <row r="1400" spans="22:31" ht="11.25" customHeight="1" x14ac:dyDescent="0.25"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</row>
    <row r="1401" spans="22:31" ht="11.25" customHeight="1" x14ac:dyDescent="0.25"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</row>
    <row r="1402" spans="22:31" ht="11.25" customHeight="1" x14ac:dyDescent="0.25"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</row>
    <row r="1403" spans="22:31" ht="11.25" customHeight="1" x14ac:dyDescent="0.25"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</row>
    <row r="1404" spans="22:31" ht="11.25" customHeight="1" x14ac:dyDescent="0.25"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</row>
    <row r="1405" spans="22:31" ht="11.25" customHeight="1" x14ac:dyDescent="0.25"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</row>
    <row r="1406" spans="22:31" ht="11.25" customHeight="1" x14ac:dyDescent="0.25"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</row>
    <row r="1407" spans="22:31" ht="11.25" customHeight="1" x14ac:dyDescent="0.25"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</row>
    <row r="1408" spans="22:31" ht="11.25" customHeight="1" x14ac:dyDescent="0.25"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</row>
    <row r="1409" spans="22:31" ht="11.25" customHeight="1" x14ac:dyDescent="0.25"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</row>
    <row r="1410" spans="22:31" ht="11.25" customHeight="1" x14ac:dyDescent="0.25"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</row>
    <row r="1411" spans="22:31" ht="11.25" customHeight="1" x14ac:dyDescent="0.25"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</row>
    <row r="1412" spans="22:31" ht="11.25" customHeight="1" x14ac:dyDescent="0.25"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</row>
    <row r="1413" spans="22:31" ht="11.25" customHeight="1" x14ac:dyDescent="0.25"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</row>
    <row r="1414" spans="22:31" ht="11.25" customHeight="1" x14ac:dyDescent="0.25"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</row>
    <row r="1415" spans="22:31" ht="11.25" customHeight="1" x14ac:dyDescent="0.25"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</row>
    <row r="1416" spans="22:31" ht="11.25" customHeight="1" x14ac:dyDescent="0.25"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</row>
    <row r="1417" spans="22:31" ht="11.25" customHeight="1" x14ac:dyDescent="0.25"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</row>
    <row r="1418" spans="22:31" ht="11.25" customHeight="1" x14ac:dyDescent="0.25"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</row>
    <row r="1419" spans="22:31" ht="11.25" customHeight="1" x14ac:dyDescent="0.25"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</row>
    <row r="1420" spans="22:31" ht="11.25" customHeight="1" x14ac:dyDescent="0.25"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</row>
    <row r="1421" spans="22:31" ht="11.25" customHeight="1" x14ac:dyDescent="0.25"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</row>
    <row r="1422" spans="22:31" ht="11.25" customHeight="1" x14ac:dyDescent="0.25"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</row>
    <row r="1423" spans="22:31" ht="11.25" customHeight="1" x14ac:dyDescent="0.25"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</row>
    <row r="1424" spans="22:31" ht="11.25" customHeight="1" x14ac:dyDescent="0.25"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</row>
    <row r="1425" spans="22:31" ht="11.25" customHeight="1" x14ac:dyDescent="0.25"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</row>
    <row r="1426" spans="22:31" ht="11.25" customHeight="1" x14ac:dyDescent="0.25"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</row>
    <row r="1427" spans="22:31" ht="11.25" customHeight="1" x14ac:dyDescent="0.25"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</row>
    <row r="1428" spans="22:31" ht="11.25" customHeight="1" x14ac:dyDescent="0.25"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</row>
    <row r="1429" spans="22:31" ht="11.25" customHeight="1" x14ac:dyDescent="0.25"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</row>
    <row r="1430" spans="22:31" ht="11.25" customHeight="1" x14ac:dyDescent="0.25"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</row>
    <row r="1431" spans="22:31" ht="11.25" customHeight="1" x14ac:dyDescent="0.25"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</row>
    <row r="1432" spans="22:31" ht="11.25" customHeight="1" x14ac:dyDescent="0.25"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</row>
    <row r="1433" spans="22:31" ht="11.25" customHeight="1" x14ac:dyDescent="0.25"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</row>
    <row r="1434" spans="22:31" ht="11.25" customHeight="1" x14ac:dyDescent="0.25"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</row>
    <row r="1435" spans="22:31" ht="11.25" customHeight="1" x14ac:dyDescent="0.25"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</row>
    <row r="1436" spans="22:31" ht="11.25" customHeight="1" x14ac:dyDescent="0.25"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</row>
    <row r="1437" spans="22:31" ht="11.25" customHeight="1" x14ac:dyDescent="0.25"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</row>
    <row r="1438" spans="22:31" ht="11.25" customHeight="1" x14ac:dyDescent="0.25"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</row>
    <row r="1439" spans="22:31" ht="11.25" customHeight="1" x14ac:dyDescent="0.25"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</row>
    <row r="1440" spans="22:31" ht="11.25" customHeight="1" x14ac:dyDescent="0.25"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</row>
    <row r="1441" spans="22:31" ht="11.25" customHeight="1" x14ac:dyDescent="0.25"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</row>
    <row r="1442" spans="22:31" ht="11.25" customHeight="1" x14ac:dyDescent="0.25"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</row>
    <row r="1443" spans="22:31" ht="11.25" customHeight="1" x14ac:dyDescent="0.25"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</row>
    <row r="1444" spans="22:31" ht="11.25" customHeight="1" x14ac:dyDescent="0.25"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</row>
    <row r="1445" spans="22:31" ht="11.25" customHeight="1" x14ac:dyDescent="0.25"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</row>
    <row r="1446" spans="22:31" ht="11.25" customHeight="1" x14ac:dyDescent="0.25"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</row>
    <row r="1447" spans="22:31" ht="11.25" customHeight="1" x14ac:dyDescent="0.25"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</row>
    <row r="1448" spans="22:31" ht="11.25" customHeight="1" x14ac:dyDescent="0.25"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</row>
    <row r="1449" spans="22:31" ht="11.25" customHeight="1" x14ac:dyDescent="0.25"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</row>
    <row r="1450" spans="22:31" ht="11.25" customHeight="1" x14ac:dyDescent="0.25"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</row>
    <row r="1451" spans="22:31" ht="11.25" customHeight="1" x14ac:dyDescent="0.25"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</row>
    <row r="1452" spans="22:31" ht="11.25" customHeight="1" x14ac:dyDescent="0.25"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</row>
    <row r="1453" spans="22:31" ht="11.25" customHeight="1" x14ac:dyDescent="0.25"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</row>
    <row r="1454" spans="22:31" ht="11.25" customHeight="1" x14ac:dyDescent="0.25"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</row>
    <row r="1455" spans="22:31" ht="11.25" customHeight="1" x14ac:dyDescent="0.25"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</row>
    <row r="1456" spans="22:31" ht="11.25" customHeight="1" x14ac:dyDescent="0.25"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</row>
    <row r="1457" spans="22:31" ht="11.25" customHeight="1" x14ac:dyDescent="0.25"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</row>
    <row r="1458" spans="22:31" ht="11.25" customHeight="1" x14ac:dyDescent="0.25"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</row>
    <row r="1459" spans="22:31" ht="11.25" customHeight="1" x14ac:dyDescent="0.25"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</row>
    <row r="1460" spans="22:31" ht="11.25" customHeight="1" x14ac:dyDescent="0.25"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</row>
    <row r="1461" spans="22:31" ht="11.25" customHeight="1" x14ac:dyDescent="0.25"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</row>
    <row r="1462" spans="22:31" ht="11.25" customHeight="1" x14ac:dyDescent="0.25"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</row>
    <row r="1463" spans="22:31" ht="11.25" customHeight="1" x14ac:dyDescent="0.25"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</row>
    <row r="1464" spans="22:31" ht="11.25" customHeight="1" x14ac:dyDescent="0.25"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</row>
    <row r="1465" spans="22:31" ht="11.25" customHeight="1" x14ac:dyDescent="0.25"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</row>
    <row r="1466" spans="22:31" ht="11.25" customHeight="1" x14ac:dyDescent="0.25"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</row>
    <row r="1467" spans="22:31" ht="11.25" customHeight="1" x14ac:dyDescent="0.25"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</row>
    <row r="1468" spans="22:31" ht="11.25" customHeight="1" x14ac:dyDescent="0.25"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</row>
    <row r="1469" spans="22:31" ht="11.25" customHeight="1" x14ac:dyDescent="0.25"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</row>
    <row r="1470" spans="22:31" ht="11.25" customHeight="1" x14ac:dyDescent="0.25"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</row>
    <row r="1471" spans="22:31" ht="11.25" customHeight="1" x14ac:dyDescent="0.25"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</row>
    <row r="1472" spans="22:31" ht="11.25" customHeight="1" x14ac:dyDescent="0.25"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</row>
    <row r="1473" spans="22:31" ht="11.25" customHeight="1" x14ac:dyDescent="0.25"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</row>
    <row r="1474" spans="22:31" ht="11.25" customHeight="1" x14ac:dyDescent="0.25"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</row>
    <row r="1475" spans="22:31" ht="11.25" customHeight="1" x14ac:dyDescent="0.25"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</row>
    <row r="1476" spans="22:31" ht="11.25" customHeight="1" x14ac:dyDescent="0.25"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</row>
    <row r="1477" spans="22:31" ht="11.25" customHeight="1" x14ac:dyDescent="0.25"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</row>
    <row r="1478" spans="22:31" ht="11.25" customHeight="1" x14ac:dyDescent="0.25"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</row>
    <row r="1479" spans="22:31" ht="11.25" customHeight="1" x14ac:dyDescent="0.25"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</row>
    <row r="1480" spans="22:31" ht="11.25" customHeight="1" x14ac:dyDescent="0.25"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</row>
    <row r="1481" spans="22:31" ht="11.25" customHeight="1" x14ac:dyDescent="0.25"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</row>
    <row r="1482" spans="22:31" ht="11.25" customHeight="1" x14ac:dyDescent="0.25"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</row>
    <row r="1483" spans="22:31" ht="11.25" customHeight="1" x14ac:dyDescent="0.25"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</row>
    <row r="1484" spans="22:31" ht="11.25" customHeight="1" x14ac:dyDescent="0.25"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</row>
    <row r="1485" spans="22:31" ht="11.25" customHeight="1" x14ac:dyDescent="0.25"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</row>
    <row r="1486" spans="22:31" ht="11.25" customHeight="1" x14ac:dyDescent="0.25"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</row>
    <row r="1487" spans="22:31" ht="11.25" customHeight="1" x14ac:dyDescent="0.25"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</row>
    <row r="1488" spans="22:31" ht="11.25" customHeight="1" x14ac:dyDescent="0.25"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</row>
    <row r="1489" spans="22:31" ht="11.25" customHeight="1" x14ac:dyDescent="0.25"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</row>
    <row r="1490" spans="22:31" ht="11.25" customHeight="1" x14ac:dyDescent="0.25"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</row>
    <row r="1491" spans="22:31" ht="11.25" customHeight="1" x14ac:dyDescent="0.25"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</row>
    <row r="1492" spans="22:31" ht="11.25" customHeight="1" x14ac:dyDescent="0.25"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</row>
    <row r="1493" spans="22:31" ht="11.25" customHeight="1" x14ac:dyDescent="0.25"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</row>
    <row r="1494" spans="22:31" ht="11.25" customHeight="1" x14ac:dyDescent="0.25"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</row>
    <row r="1495" spans="22:31" ht="11.25" customHeight="1" x14ac:dyDescent="0.25"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</row>
    <row r="1496" spans="22:31" ht="11.25" customHeight="1" x14ac:dyDescent="0.25"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</row>
    <row r="1497" spans="22:31" ht="11.25" customHeight="1" x14ac:dyDescent="0.25"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</row>
    <row r="1498" spans="22:31" ht="11.25" customHeight="1" x14ac:dyDescent="0.25"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</row>
    <row r="1499" spans="22:31" ht="11.25" customHeight="1" x14ac:dyDescent="0.25"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</row>
    <row r="1500" spans="22:31" ht="11.25" customHeight="1" x14ac:dyDescent="0.25"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</row>
    <row r="1501" spans="22:31" ht="11.25" customHeight="1" x14ac:dyDescent="0.25"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</row>
    <row r="1502" spans="22:31" ht="11.25" customHeight="1" x14ac:dyDescent="0.25"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</row>
    <row r="1503" spans="22:31" ht="11.25" customHeight="1" x14ac:dyDescent="0.25"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</row>
    <row r="1504" spans="22:31" ht="11.25" customHeight="1" x14ac:dyDescent="0.25"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</row>
    <row r="1505" spans="22:31" ht="11.25" customHeight="1" x14ac:dyDescent="0.25"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</row>
    <row r="1506" spans="22:31" ht="11.25" customHeight="1" x14ac:dyDescent="0.25"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</row>
    <row r="1507" spans="22:31" ht="11.25" customHeight="1" x14ac:dyDescent="0.25"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</row>
    <row r="1508" spans="22:31" ht="11.25" customHeight="1" x14ac:dyDescent="0.25"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</row>
    <row r="1509" spans="22:31" ht="11.25" customHeight="1" x14ac:dyDescent="0.25"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</row>
    <row r="1510" spans="22:31" ht="11.25" customHeight="1" x14ac:dyDescent="0.25"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</row>
    <row r="1511" spans="22:31" ht="11.25" customHeight="1" x14ac:dyDescent="0.25"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</row>
    <row r="1512" spans="22:31" ht="11.25" customHeight="1" x14ac:dyDescent="0.25"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</row>
    <row r="1513" spans="22:31" ht="11.25" customHeight="1" x14ac:dyDescent="0.25"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</row>
    <row r="1514" spans="22:31" ht="11.25" customHeight="1" x14ac:dyDescent="0.25"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</row>
    <row r="1515" spans="22:31" ht="11.25" customHeight="1" x14ac:dyDescent="0.25"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</row>
    <row r="1516" spans="22:31" ht="11.25" customHeight="1" x14ac:dyDescent="0.25"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</row>
    <row r="1517" spans="22:31" ht="11.25" customHeight="1" x14ac:dyDescent="0.25"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</row>
    <row r="1518" spans="22:31" ht="11.25" customHeight="1" x14ac:dyDescent="0.25"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</row>
    <row r="1519" spans="22:31" ht="11.25" customHeight="1" x14ac:dyDescent="0.25"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</row>
    <row r="1520" spans="22:31" ht="11.25" customHeight="1" x14ac:dyDescent="0.25"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</row>
    <row r="1521" spans="22:31" ht="11.25" customHeight="1" x14ac:dyDescent="0.25"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</row>
    <row r="1522" spans="22:31" ht="11.25" customHeight="1" x14ac:dyDescent="0.25"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</row>
    <row r="1523" spans="22:31" ht="11.25" customHeight="1" x14ac:dyDescent="0.25"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</row>
    <row r="1524" spans="22:31" ht="11.25" customHeight="1" x14ac:dyDescent="0.25"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</row>
    <row r="1525" spans="22:31" ht="11.25" customHeight="1" x14ac:dyDescent="0.25"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</row>
    <row r="1526" spans="22:31" ht="11.25" customHeight="1" x14ac:dyDescent="0.25"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</row>
    <row r="1527" spans="22:31" ht="11.25" customHeight="1" x14ac:dyDescent="0.25"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</row>
    <row r="1528" spans="22:31" ht="11.25" customHeight="1" x14ac:dyDescent="0.25"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</row>
    <row r="1529" spans="22:31" ht="11.25" customHeight="1" x14ac:dyDescent="0.25"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</row>
    <row r="1530" spans="22:31" ht="11.25" customHeight="1" x14ac:dyDescent="0.25"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</row>
    <row r="1531" spans="22:31" ht="11.25" customHeight="1" x14ac:dyDescent="0.25"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</row>
    <row r="1532" spans="22:31" ht="11.25" customHeight="1" x14ac:dyDescent="0.25"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</row>
    <row r="1533" spans="22:31" ht="11.25" customHeight="1" x14ac:dyDescent="0.25"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</row>
    <row r="1534" spans="22:31" ht="11.25" customHeight="1" x14ac:dyDescent="0.25"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</row>
    <row r="1535" spans="22:31" ht="11.25" customHeight="1" x14ac:dyDescent="0.25"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</row>
    <row r="1536" spans="22:31" ht="11.25" customHeight="1" x14ac:dyDescent="0.25"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</row>
    <row r="1537" spans="22:31" ht="11.25" customHeight="1" x14ac:dyDescent="0.25"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</row>
    <row r="1538" spans="22:31" ht="11.25" customHeight="1" x14ac:dyDescent="0.25"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</row>
    <row r="1539" spans="22:31" ht="11.25" customHeight="1" x14ac:dyDescent="0.25"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</row>
    <row r="1540" spans="22:31" ht="11.25" customHeight="1" x14ac:dyDescent="0.25"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</row>
    <row r="1541" spans="22:31" ht="11.25" customHeight="1" x14ac:dyDescent="0.25"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</row>
    <row r="1542" spans="22:31" ht="11.25" customHeight="1" x14ac:dyDescent="0.25"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</row>
    <row r="1543" spans="22:31" ht="11.25" customHeight="1" x14ac:dyDescent="0.25"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</row>
    <row r="1544" spans="22:31" ht="11.25" customHeight="1" x14ac:dyDescent="0.25"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</row>
    <row r="1545" spans="22:31" ht="11.25" customHeight="1" x14ac:dyDescent="0.25"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</row>
    <row r="1546" spans="22:31" ht="11.25" customHeight="1" x14ac:dyDescent="0.25"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</row>
    <row r="1547" spans="22:31" ht="11.25" customHeight="1" x14ac:dyDescent="0.25"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</row>
    <row r="1548" spans="22:31" ht="11.25" customHeight="1" x14ac:dyDescent="0.25"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</row>
    <row r="1549" spans="22:31" ht="11.25" customHeight="1" x14ac:dyDescent="0.25"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</row>
    <row r="1550" spans="22:31" ht="11.25" customHeight="1" x14ac:dyDescent="0.25"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</row>
    <row r="1551" spans="22:31" ht="11.25" customHeight="1" x14ac:dyDescent="0.25"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</row>
    <row r="1552" spans="22:31" ht="11.25" customHeight="1" x14ac:dyDescent="0.25"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</row>
    <row r="1553" spans="22:31" ht="11.25" customHeight="1" x14ac:dyDescent="0.25"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</row>
    <row r="1554" spans="22:31" ht="11.25" customHeight="1" x14ac:dyDescent="0.25"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</row>
    <row r="1555" spans="22:31" ht="11.25" customHeight="1" x14ac:dyDescent="0.25"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</row>
    <row r="1556" spans="22:31" ht="11.25" customHeight="1" x14ac:dyDescent="0.25"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</row>
    <row r="1557" spans="22:31" ht="11.25" customHeight="1" x14ac:dyDescent="0.25"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</row>
    <row r="1558" spans="22:31" ht="11.25" customHeight="1" x14ac:dyDescent="0.25"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</row>
    <row r="1559" spans="22:31" ht="11.25" customHeight="1" x14ac:dyDescent="0.25"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</row>
    <row r="1560" spans="22:31" ht="11.25" customHeight="1" x14ac:dyDescent="0.25"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</row>
    <row r="1561" spans="22:31" ht="11.25" customHeight="1" x14ac:dyDescent="0.25"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</row>
    <row r="1562" spans="22:31" ht="11.25" customHeight="1" x14ac:dyDescent="0.25"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</row>
    <row r="1563" spans="22:31" ht="11.25" customHeight="1" x14ac:dyDescent="0.25"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</row>
    <row r="1564" spans="22:31" ht="11.25" customHeight="1" x14ac:dyDescent="0.25"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</row>
    <row r="1565" spans="22:31" ht="11.25" customHeight="1" x14ac:dyDescent="0.25"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</row>
    <row r="1566" spans="22:31" ht="11.25" customHeight="1" x14ac:dyDescent="0.25"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</row>
    <row r="1567" spans="22:31" ht="11.25" customHeight="1" x14ac:dyDescent="0.25"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</row>
    <row r="1568" spans="22:31" ht="11.25" customHeight="1" x14ac:dyDescent="0.25"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</row>
    <row r="1569" spans="22:31" ht="11.25" customHeight="1" x14ac:dyDescent="0.25"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</row>
    <row r="1570" spans="22:31" ht="11.25" customHeight="1" x14ac:dyDescent="0.25"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</row>
    <row r="1571" spans="22:31" ht="11.25" customHeight="1" x14ac:dyDescent="0.25"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</row>
    <row r="1572" spans="22:31" ht="11.25" customHeight="1" x14ac:dyDescent="0.25"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</row>
    <row r="1573" spans="22:31" ht="11.25" customHeight="1" x14ac:dyDescent="0.25"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</row>
    <row r="1574" spans="22:31" ht="11.25" customHeight="1" x14ac:dyDescent="0.25"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</row>
    <row r="1575" spans="22:31" ht="11.25" customHeight="1" x14ac:dyDescent="0.25"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</row>
    <row r="1576" spans="22:31" ht="11.25" customHeight="1" x14ac:dyDescent="0.25"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</row>
    <row r="1577" spans="22:31" ht="11.25" customHeight="1" x14ac:dyDescent="0.25"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</row>
    <row r="1578" spans="22:31" ht="11.25" customHeight="1" x14ac:dyDescent="0.25"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</row>
    <row r="1579" spans="22:31" ht="11.25" customHeight="1" x14ac:dyDescent="0.25"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</row>
    <row r="1580" spans="22:31" ht="11.25" customHeight="1" x14ac:dyDescent="0.25"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</row>
    <row r="1581" spans="22:31" ht="11.25" customHeight="1" x14ac:dyDescent="0.25"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</row>
    <row r="1582" spans="22:31" ht="11.25" customHeight="1" x14ac:dyDescent="0.25"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</row>
    <row r="1583" spans="22:31" ht="11.25" customHeight="1" x14ac:dyDescent="0.25"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</row>
    <row r="1584" spans="22:31" ht="11.25" customHeight="1" x14ac:dyDescent="0.25"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</row>
    <row r="1585" spans="22:31" ht="11.25" customHeight="1" x14ac:dyDescent="0.25"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</row>
    <row r="1586" spans="22:31" ht="11.25" customHeight="1" x14ac:dyDescent="0.25"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</row>
    <row r="1587" spans="22:31" ht="11.25" customHeight="1" x14ac:dyDescent="0.25"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</row>
    <row r="1588" spans="22:31" ht="11.25" customHeight="1" x14ac:dyDescent="0.25"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</row>
    <row r="1589" spans="22:31" ht="11.25" customHeight="1" x14ac:dyDescent="0.25"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</row>
    <row r="1590" spans="22:31" ht="11.25" customHeight="1" x14ac:dyDescent="0.25"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</row>
    <row r="1591" spans="22:31" ht="11.25" customHeight="1" x14ac:dyDescent="0.25"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</row>
    <row r="1592" spans="22:31" ht="11.25" customHeight="1" x14ac:dyDescent="0.25"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</row>
    <row r="1593" spans="22:31" ht="11.25" customHeight="1" x14ac:dyDescent="0.25"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</row>
    <row r="1594" spans="22:31" ht="11.25" customHeight="1" x14ac:dyDescent="0.25"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</row>
    <row r="1595" spans="22:31" ht="11.25" customHeight="1" x14ac:dyDescent="0.25"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</row>
    <row r="1596" spans="22:31" ht="11.25" customHeight="1" x14ac:dyDescent="0.25"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</row>
    <row r="1597" spans="22:31" ht="11.25" customHeight="1" x14ac:dyDescent="0.25"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</row>
    <row r="1598" spans="22:31" ht="11.25" customHeight="1" x14ac:dyDescent="0.25"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</row>
    <row r="1599" spans="22:31" ht="11.25" customHeight="1" x14ac:dyDescent="0.25"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</row>
    <row r="1600" spans="22:31" ht="11.25" customHeight="1" x14ac:dyDescent="0.25"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</row>
    <row r="1601" spans="22:31" ht="11.25" customHeight="1" x14ac:dyDescent="0.25"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</row>
    <row r="1602" spans="22:31" ht="11.25" customHeight="1" x14ac:dyDescent="0.25"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</row>
    <row r="1603" spans="22:31" ht="11.25" customHeight="1" x14ac:dyDescent="0.25"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</row>
    <row r="1604" spans="22:31" ht="11.25" customHeight="1" x14ac:dyDescent="0.25"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</row>
    <row r="1605" spans="22:31" ht="11.25" customHeight="1" x14ac:dyDescent="0.25"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</row>
    <row r="1606" spans="22:31" ht="11.25" customHeight="1" x14ac:dyDescent="0.25"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</row>
    <row r="1607" spans="22:31" ht="11.25" customHeight="1" x14ac:dyDescent="0.25"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</row>
    <row r="1608" spans="22:31" ht="11.25" customHeight="1" x14ac:dyDescent="0.25"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</row>
    <row r="1609" spans="22:31" ht="11.25" customHeight="1" x14ac:dyDescent="0.25"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</row>
    <row r="1610" spans="22:31" ht="11.25" customHeight="1" x14ac:dyDescent="0.25"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</row>
    <row r="1611" spans="22:31" ht="11.25" customHeight="1" x14ac:dyDescent="0.25"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</row>
    <row r="1612" spans="22:31" ht="11.25" customHeight="1" x14ac:dyDescent="0.25"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</row>
    <row r="1613" spans="22:31" ht="11.25" customHeight="1" x14ac:dyDescent="0.25"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</row>
    <row r="1614" spans="22:31" ht="11.25" customHeight="1" x14ac:dyDescent="0.25"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</row>
    <row r="1615" spans="22:31" ht="11.25" customHeight="1" x14ac:dyDescent="0.25"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</row>
    <row r="1616" spans="22:31" ht="11.25" customHeight="1" x14ac:dyDescent="0.25"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</row>
    <row r="1617" spans="22:31" ht="11.25" customHeight="1" x14ac:dyDescent="0.25"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</row>
    <row r="1618" spans="22:31" ht="11.25" customHeight="1" x14ac:dyDescent="0.25"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</row>
    <row r="1619" spans="22:31" ht="11.25" customHeight="1" x14ac:dyDescent="0.25"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</row>
    <row r="1620" spans="22:31" ht="11.25" customHeight="1" x14ac:dyDescent="0.25"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</row>
    <row r="1621" spans="22:31" ht="11.25" customHeight="1" x14ac:dyDescent="0.25"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</row>
    <row r="1622" spans="22:31" ht="11.25" customHeight="1" x14ac:dyDescent="0.25"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</row>
    <row r="1623" spans="22:31" ht="11.25" customHeight="1" x14ac:dyDescent="0.25"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</row>
    <row r="1624" spans="22:31" ht="11.25" customHeight="1" x14ac:dyDescent="0.25"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</row>
    <row r="1625" spans="22:31" ht="11.25" customHeight="1" x14ac:dyDescent="0.25"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</row>
    <row r="1626" spans="22:31" ht="11.25" customHeight="1" x14ac:dyDescent="0.25"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</row>
    <row r="1627" spans="22:31" ht="11.25" customHeight="1" x14ac:dyDescent="0.25"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</row>
    <row r="1628" spans="22:31" ht="11.25" customHeight="1" x14ac:dyDescent="0.25"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</row>
    <row r="1629" spans="22:31" ht="11.25" customHeight="1" x14ac:dyDescent="0.25"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</row>
    <row r="1630" spans="22:31" ht="11.25" customHeight="1" x14ac:dyDescent="0.25"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</row>
    <row r="1631" spans="22:31" ht="11.25" customHeight="1" x14ac:dyDescent="0.25"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</row>
    <row r="1632" spans="22:31" ht="11.25" customHeight="1" x14ac:dyDescent="0.25"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</row>
    <row r="1633" spans="22:31" ht="11.25" customHeight="1" x14ac:dyDescent="0.25"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</row>
    <row r="1634" spans="22:31" ht="11.25" customHeight="1" x14ac:dyDescent="0.25"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</row>
    <row r="1635" spans="22:31" ht="11.25" customHeight="1" x14ac:dyDescent="0.25"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</row>
    <row r="1636" spans="22:31" ht="11.25" customHeight="1" x14ac:dyDescent="0.25"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</row>
    <row r="1637" spans="22:31" ht="11.25" customHeight="1" x14ac:dyDescent="0.25"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</row>
    <row r="1638" spans="22:31" ht="11.25" customHeight="1" x14ac:dyDescent="0.25"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</row>
    <row r="1639" spans="22:31" ht="11.25" customHeight="1" x14ac:dyDescent="0.25"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</row>
    <row r="1640" spans="22:31" ht="11.25" customHeight="1" x14ac:dyDescent="0.25"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</row>
    <row r="1641" spans="22:31" ht="11.25" customHeight="1" x14ac:dyDescent="0.25"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</row>
    <row r="1642" spans="22:31" ht="11.25" customHeight="1" x14ac:dyDescent="0.25"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</row>
    <row r="1643" spans="22:31" ht="11.25" customHeight="1" x14ac:dyDescent="0.25"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</row>
    <row r="1644" spans="22:31" ht="11.25" customHeight="1" x14ac:dyDescent="0.25"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</row>
    <row r="1645" spans="22:31" ht="11.25" customHeight="1" x14ac:dyDescent="0.25"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</row>
    <row r="1646" spans="22:31" ht="11.25" customHeight="1" x14ac:dyDescent="0.25"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</row>
    <row r="1647" spans="22:31" ht="11.25" customHeight="1" x14ac:dyDescent="0.25"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</row>
    <row r="1648" spans="22:31" ht="11.25" customHeight="1" x14ac:dyDescent="0.25"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</row>
    <row r="1649" spans="22:31" ht="11.25" customHeight="1" x14ac:dyDescent="0.25"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</row>
    <row r="1650" spans="22:31" ht="11.25" customHeight="1" x14ac:dyDescent="0.25"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</row>
    <row r="1651" spans="22:31" ht="11.25" customHeight="1" x14ac:dyDescent="0.25"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</row>
    <row r="1652" spans="22:31" ht="11.25" customHeight="1" x14ac:dyDescent="0.25"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</row>
    <row r="1653" spans="22:31" ht="11.25" customHeight="1" x14ac:dyDescent="0.25"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</row>
    <row r="1654" spans="22:31" ht="11.25" customHeight="1" x14ac:dyDescent="0.25"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</row>
    <row r="1655" spans="22:31" ht="11.25" customHeight="1" x14ac:dyDescent="0.25"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</row>
    <row r="1656" spans="22:31" ht="11.25" customHeight="1" x14ac:dyDescent="0.25"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</row>
    <row r="1657" spans="22:31" ht="11.25" customHeight="1" x14ac:dyDescent="0.25"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</row>
    <row r="1658" spans="22:31" ht="11.25" customHeight="1" x14ac:dyDescent="0.25"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</row>
    <row r="1659" spans="22:31" ht="11.25" customHeight="1" x14ac:dyDescent="0.25"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</row>
    <row r="1660" spans="22:31" ht="11.25" customHeight="1" x14ac:dyDescent="0.25"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</row>
    <row r="1661" spans="22:31" ht="11.25" customHeight="1" x14ac:dyDescent="0.25"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</row>
    <row r="1662" spans="22:31" ht="11.25" customHeight="1" x14ac:dyDescent="0.25"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</row>
    <row r="1663" spans="22:31" ht="11.25" customHeight="1" x14ac:dyDescent="0.25"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</row>
    <row r="1664" spans="22:31" ht="11.25" customHeight="1" x14ac:dyDescent="0.25"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</row>
    <row r="1665" spans="22:31" ht="11.25" customHeight="1" x14ac:dyDescent="0.25"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</row>
    <row r="1666" spans="22:31" ht="11.25" customHeight="1" x14ac:dyDescent="0.25"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</row>
    <row r="1667" spans="22:31" ht="11.25" customHeight="1" x14ac:dyDescent="0.25"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</row>
    <row r="1668" spans="22:31" ht="11.25" customHeight="1" x14ac:dyDescent="0.25"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</row>
    <row r="1669" spans="22:31" ht="11.25" customHeight="1" x14ac:dyDescent="0.25"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</row>
    <row r="1670" spans="22:31" ht="11.25" customHeight="1" x14ac:dyDescent="0.25"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</row>
    <row r="1671" spans="22:31" ht="11.25" customHeight="1" x14ac:dyDescent="0.25"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</row>
    <row r="1672" spans="22:31" ht="11.25" customHeight="1" x14ac:dyDescent="0.25"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</row>
    <row r="1673" spans="22:31" ht="11.25" customHeight="1" x14ac:dyDescent="0.25"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</row>
    <row r="1674" spans="22:31" ht="11.25" customHeight="1" x14ac:dyDescent="0.25"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</row>
    <row r="1675" spans="22:31" ht="11.25" customHeight="1" x14ac:dyDescent="0.25"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</row>
    <row r="1676" spans="22:31" ht="11.25" customHeight="1" x14ac:dyDescent="0.25"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</row>
    <row r="1677" spans="22:31" ht="11.25" customHeight="1" x14ac:dyDescent="0.25"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</row>
    <row r="1678" spans="22:31" ht="11.25" customHeight="1" x14ac:dyDescent="0.25"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</row>
    <row r="1679" spans="22:31" ht="11.25" customHeight="1" x14ac:dyDescent="0.25"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</row>
    <row r="1680" spans="22:31" ht="11.25" customHeight="1" x14ac:dyDescent="0.25"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</row>
    <row r="1681" spans="22:31" ht="11.25" customHeight="1" x14ac:dyDescent="0.25"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</row>
    <row r="1682" spans="22:31" ht="11.25" customHeight="1" x14ac:dyDescent="0.25"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</row>
    <row r="1683" spans="22:31" ht="11.25" customHeight="1" x14ac:dyDescent="0.25"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</row>
    <row r="1684" spans="22:31" ht="11.25" customHeight="1" x14ac:dyDescent="0.25"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</row>
    <row r="1685" spans="22:31" ht="11.25" customHeight="1" x14ac:dyDescent="0.25"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</row>
    <row r="1686" spans="22:31" ht="11.25" customHeight="1" x14ac:dyDescent="0.25"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</row>
    <row r="1687" spans="22:31" ht="11.25" customHeight="1" x14ac:dyDescent="0.25"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</row>
    <row r="1688" spans="22:31" ht="11.25" customHeight="1" x14ac:dyDescent="0.25"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</row>
    <row r="1689" spans="22:31" ht="11.25" customHeight="1" x14ac:dyDescent="0.25"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</row>
    <row r="1690" spans="22:31" ht="11.25" customHeight="1" x14ac:dyDescent="0.25"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</row>
    <row r="1691" spans="22:31" ht="11.25" customHeight="1" x14ac:dyDescent="0.25"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</row>
    <row r="1692" spans="22:31" ht="11.25" customHeight="1" x14ac:dyDescent="0.25"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</row>
    <row r="1693" spans="22:31" ht="11.25" customHeight="1" x14ac:dyDescent="0.25"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</row>
    <row r="1694" spans="22:31" ht="11.25" customHeight="1" x14ac:dyDescent="0.25"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</row>
    <row r="1695" spans="22:31" ht="11.25" customHeight="1" x14ac:dyDescent="0.25"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</row>
    <row r="1696" spans="22:31" ht="11.25" customHeight="1" x14ac:dyDescent="0.25"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</row>
    <row r="1697" spans="22:31" ht="11.25" customHeight="1" x14ac:dyDescent="0.25"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</row>
    <row r="1698" spans="22:31" ht="11.25" customHeight="1" x14ac:dyDescent="0.25"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</row>
    <row r="1699" spans="22:31" ht="11.25" customHeight="1" x14ac:dyDescent="0.25"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</row>
    <row r="1700" spans="22:31" ht="11.25" customHeight="1" x14ac:dyDescent="0.25"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</row>
    <row r="1701" spans="22:31" ht="11.25" customHeight="1" x14ac:dyDescent="0.25"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</row>
    <row r="1702" spans="22:31" ht="11.25" customHeight="1" x14ac:dyDescent="0.25"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</row>
    <row r="1703" spans="22:31" ht="11.25" customHeight="1" x14ac:dyDescent="0.25"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</row>
    <row r="1704" spans="22:31" ht="11.25" customHeight="1" x14ac:dyDescent="0.25"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</row>
    <row r="1705" spans="22:31" ht="11.25" customHeight="1" x14ac:dyDescent="0.25"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</row>
    <row r="1706" spans="22:31" ht="11.25" customHeight="1" x14ac:dyDescent="0.25"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</row>
    <row r="1707" spans="22:31" ht="11.25" customHeight="1" x14ac:dyDescent="0.25"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</row>
    <row r="1708" spans="22:31" ht="11.25" customHeight="1" x14ac:dyDescent="0.25"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</row>
    <row r="1709" spans="22:31" ht="11.25" customHeight="1" x14ac:dyDescent="0.25"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</row>
    <row r="1710" spans="22:31" ht="11.25" customHeight="1" x14ac:dyDescent="0.25"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</row>
    <row r="1711" spans="22:31" ht="11.25" customHeight="1" x14ac:dyDescent="0.25"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</row>
    <row r="1712" spans="22:31" ht="11.25" customHeight="1" x14ac:dyDescent="0.25"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</row>
    <row r="1713" spans="22:31" ht="11.25" customHeight="1" x14ac:dyDescent="0.25"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</row>
    <row r="1714" spans="22:31" ht="11.25" customHeight="1" x14ac:dyDescent="0.25"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</row>
    <row r="1715" spans="22:31" ht="11.25" customHeight="1" x14ac:dyDescent="0.25"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</row>
    <row r="1716" spans="22:31" ht="11.25" customHeight="1" x14ac:dyDescent="0.25"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</row>
    <row r="1717" spans="22:31" ht="11.25" customHeight="1" x14ac:dyDescent="0.25"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</row>
    <row r="1718" spans="22:31" ht="11.25" customHeight="1" x14ac:dyDescent="0.25"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</row>
    <row r="1719" spans="22:31" ht="11.25" customHeight="1" x14ac:dyDescent="0.25"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</row>
    <row r="1720" spans="22:31" ht="11.25" customHeight="1" x14ac:dyDescent="0.25"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</row>
    <row r="1721" spans="22:31" ht="11.25" customHeight="1" x14ac:dyDescent="0.25"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</row>
    <row r="1722" spans="22:31" ht="11.25" customHeight="1" x14ac:dyDescent="0.25"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</row>
    <row r="1723" spans="22:31" ht="11.25" customHeight="1" x14ac:dyDescent="0.25"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</row>
    <row r="1724" spans="22:31" ht="11.25" customHeight="1" x14ac:dyDescent="0.25"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</row>
    <row r="1725" spans="22:31" ht="11.25" customHeight="1" x14ac:dyDescent="0.25"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</row>
    <row r="1726" spans="22:31" ht="11.25" customHeight="1" x14ac:dyDescent="0.25"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</row>
    <row r="1727" spans="22:31" ht="11.25" customHeight="1" x14ac:dyDescent="0.25"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</row>
    <row r="1728" spans="22:31" ht="11.25" customHeight="1" x14ac:dyDescent="0.25"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</row>
    <row r="1729" spans="22:31" ht="11.25" customHeight="1" x14ac:dyDescent="0.25"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</row>
    <row r="1730" spans="22:31" ht="11.25" customHeight="1" x14ac:dyDescent="0.25"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</row>
    <row r="1731" spans="22:31" ht="11.25" customHeight="1" x14ac:dyDescent="0.25"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</row>
    <row r="1732" spans="22:31" ht="11.25" customHeight="1" x14ac:dyDescent="0.25"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</row>
    <row r="1733" spans="22:31" ht="11.25" customHeight="1" x14ac:dyDescent="0.25"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</row>
    <row r="1734" spans="22:31" ht="11.25" customHeight="1" x14ac:dyDescent="0.25"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</row>
    <row r="1735" spans="22:31" ht="11.25" customHeight="1" x14ac:dyDescent="0.25"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</row>
    <row r="1736" spans="22:31" ht="11.25" customHeight="1" x14ac:dyDescent="0.25"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</row>
    <row r="1737" spans="22:31" ht="11.25" customHeight="1" x14ac:dyDescent="0.25"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</row>
    <row r="1738" spans="22:31" ht="11.25" customHeight="1" x14ac:dyDescent="0.25"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</row>
    <row r="1739" spans="22:31" ht="11.25" customHeight="1" x14ac:dyDescent="0.25"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</row>
    <row r="1740" spans="22:31" ht="11.25" customHeight="1" x14ac:dyDescent="0.25"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</row>
    <row r="1741" spans="22:31" ht="11.25" customHeight="1" x14ac:dyDescent="0.25"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</row>
    <row r="1742" spans="22:31" ht="11.25" customHeight="1" x14ac:dyDescent="0.25"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</row>
    <row r="1743" spans="22:31" ht="11.25" customHeight="1" x14ac:dyDescent="0.25"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</row>
    <row r="1744" spans="22:31" ht="11.25" customHeight="1" x14ac:dyDescent="0.25"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</row>
    <row r="1745" spans="22:31" ht="11.25" customHeight="1" x14ac:dyDescent="0.25"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</row>
    <row r="1746" spans="22:31" ht="11.25" customHeight="1" x14ac:dyDescent="0.25"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</row>
    <row r="1747" spans="22:31" ht="11.25" customHeight="1" x14ac:dyDescent="0.25"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</row>
    <row r="1748" spans="22:31" ht="11.25" customHeight="1" x14ac:dyDescent="0.25"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</row>
    <row r="1749" spans="22:31" ht="11.25" customHeight="1" x14ac:dyDescent="0.25"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</row>
    <row r="1750" spans="22:31" ht="11.25" customHeight="1" x14ac:dyDescent="0.25"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</row>
    <row r="1751" spans="22:31" ht="11.25" customHeight="1" x14ac:dyDescent="0.25"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</row>
    <row r="1752" spans="22:31" ht="11.25" customHeight="1" x14ac:dyDescent="0.25"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</row>
    <row r="1753" spans="22:31" ht="11.25" customHeight="1" x14ac:dyDescent="0.25"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</row>
    <row r="1754" spans="22:31" ht="11.25" customHeight="1" x14ac:dyDescent="0.25"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</row>
    <row r="1755" spans="22:31" ht="11.25" customHeight="1" x14ac:dyDescent="0.25"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</row>
    <row r="1756" spans="22:31" ht="11.25" customHeight="1" x14ac:dyDescent="0.25"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</row>
    <row r="1757" spans="22:31" ht="11.25" customHeight="1" x14ac:dyDescent="0.25"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</row>
    <row r="1758" spans="22:31" ht="11.25" customHeight="1" x14ac:dyDescent="0.25"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</row>
    <row r="1759" spans="22:31" ht="11.25" customHeight="1" x14ac:dyDescent="0.25"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</row>
    <row r="1760" spans="22:31" ht="11.25" customHeight="1" x14ac:dyDescent="0.25"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</row>
    <row r="1761" spans="22:31" ht="11.25" customHeight="1" x14ac:dyDescent="0.25"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</row>
    <row r="1762" spans="22:31" ht="11.25" customHeight="1" x14ac:dyDescent="0.25"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</row>
    <row r="1763" spans="22:31" ht="11.25" customHeight="1" x14ac:dyDescent="0.25"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</row>
    <row r="1764" spans="22:31" ht="11.25" customHeight="1" x14ac:dyDescent="0.25"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</row>
    <row r="1765" spans="22:31" ht="11.25" customHeight="1" x14ac:dyDescent="0.25"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</row>
    <row r="1766" spans="22:31" ht="11.25" customHeight="1" x14ac:dyDescent="0.25"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</row>
    <row r="1767" spans="22:31" ht="11.25" customHeight="1" x14ac:dyDescent="0.25"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</row>
    <row r="1768" spans="22:31" ht="11.25" customHeight="1" x14ac:dyDescent="0.25"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</row>
    <row r="1769" spans="22:31" ht="11.25" customHeight="1" x14ac:dyDescent="0.25"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</row>
    <row r="1770" spans="22:31" ht="11.25" customHeight="1" x14ac:dyDescent="0.25"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</row>
    <row r="1771" spans="22:31" ht="11.25" customHeight="1" x14ac:dyDescent="0.25"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</row>
    <row r="1772" spans="22:31" ht="11.25" customHeight="1" x14ac:dyDescent="0.25"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</row>
    <row r="1773" spans="22:31" ht="11.25" customHeight="1" x14ac:dyDescent="0.25"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</row>
    <row r="1774" spans="22:31" ht="11.25" customHeight="1" x14ac:dyDescent="0.25"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</row>
    <row r="1775" spans="22:31" ht="11.25" customHeight="1" x14ac:dyDescent="0.25"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</row>
    <row r="1776" spans="22:31" ht="11.25" customHeight="1" x14ac:dyDescent="0.25"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</row>
    <row r="1777" spans="22:31" ht="11.25" customHeight="1" x14ac:dyDescent="0.25"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</row>
    <row r="1778" spans="22:31" ht="11.25" customHeight="1" x14ac:dyDescent="0.25"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</row>
    <row r="1779" spans="22:31" ht="11.25" customHeight="1" x14ac:dyDescent="0.25"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</row>
    <row r="1780" spans="22:31" ht="11.25" customHeight="1" x14ac:dyDescent="0.25"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</row>
    <row r="1781" spans="22:31" ht="11.25" customHeight="1" x14ac:dyDescent="0.25"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</row>
    <row r="1782" spans="22:31" ht="11.25" customHeight="1" x14ac:dyDescent="0.25"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</row>
    <row r="1783" spans="22:31" ht="11.25" customHeight="1" x14ac:dyDescent="0.25"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</row>
    <row r="1784" spans="22:31" ht="11.25" customHeight="1" x14ac:dyDescent="0.25"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</row>
    <row r="1785" spans="22:31" ht="11.25" customHeight="1" x14ac:dyDescent="0.25"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</row>
    <row r="1786" spans="22:31" ht="11.25" customHeight="1" x14ac:dyDescent="0.25"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</row>
    <row r="1787" spans="22:31" ht="11.25" customHeight="1" x14ac:dyDescent="0.25"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</row>
    <row r="1788" spans="22:31" ht="11.25" customHeight="1" x14ac:dyDescent="0.25"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</row>
    <row r="1789" spans="22:31" ht="11.25" customHeight="1" x14ac:dyDescent="0.25"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</row>
    <row r="1790" spans="22:31" ht="11.25" customHeight="1" x14ac:dyDescent="0.25"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</row>
    <row r="1791" spans="22:31" ht="11.25" customHeight="1" x14ac:dyDescent="0.25"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</row>
    <row r="1792" spans="22:31" ht="11.25" customHeight="1" x14ac:dyDescent="0.25"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</row>
    <row r="1793" spans="22:31" ht="11.25" customHeight="1" x14ac:dyDescent="0.25"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</row>
    <row r="1794" spans="22:31" ht="11.25" customHeight="1" x14ac:dyDescent="0.25"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</row>
    <row r="1795" spans="22:31" ht="11.25" customHeight="1" x14ac:dyDescent="0.25"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</row>
    <row r="1796" spans="22:31" ht="11.25" customHeight="1" x14ac:dyDescent="0.25"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</row>
    <row r="1797" spans="22:31" ht="11.25" customHeight="1" x14ac:dyDescent="0.25"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</row>
    <row r="1798" spans="22:31" ht="11.25" customHeight="1" x14ac:dyDescent="0.25"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</row>
    <row r="1799" spans="22:31" ht="11.25" customHeight="1" x14ac:dyDescent="0.25"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</row>
    <row r="1800" spans="22:31" ht="11.25" customHeight="1" x14ac:dyDescent="0.25"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</row>
    <row r="1801" spans="22:31" ht="11.25" customHeight="1" x14ac:dyDescent="0.25"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</row>
    <row r="1802" spans="22:31" ht="11.25" customHeight="1" x14ac:dyDescent="0.25"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</row>
    <row r="1803" spans="22:31" ht="11.25" customHeight="1" x14ac:dyDescent="0.25"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</row>
    <row r="1804" spans="22:31" ht="11.25" customHeight="1" x14ac:dyDescent="0.25"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</row>
    <row r="1805" spans="22:31" ht="11.25" customHeight="1" x14ac:dyDescent="0.25"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</row>
    <row r="1806" spans="22:31" ht="11.25" customHeight="1" x14ac:dyDescent="0.25"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</row>
    <row r="1807" spans="22:31" ht="11.25" customHeight="1" x14ac:dyDescent="0.25"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</row>
    <row r="1808" spans="22:31" ht="11.25" customHeight="1" x14ac:dyDescent="0.25"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</row>
    <row r="1809" spans="22:31" ht="11.25" customHeight="1" x14ac:dyDescent="0.25"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</row>
    <row r="1810" spans="22:31" ht="11.25" customHeight="1" x14ac:dyDescent="0.25"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</row>
    <row r="1811" spans="22:31" ht="11.25" customHeight="1" x14ac:dyDescent="0.25"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</row>
    <row r="1812" spans="22:31" ht="11.25" customHeight="1" x14ac:dyDescent="0.25"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</row>
    <row r="1813" spans="22:31" ht="11.25" customHeight="1" x14ac:dyDescent="0.25"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</row>
    <row r="1814" spans="22:31" ht="11.25" customHeight="1" x14ac:dyDescent="0.25"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</row>
    <row r="1815" spans="22:31" ht="11.25" customHeight="1" x14ac:dyDescent="0.25"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</row>
    <row r="1816" spans="22:31" ht="11.25" customHeight="1" x14ac:dyDescent="0.25"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</row>
    <row r="1817" spans="22:31" ht="11.25" customHeight="1" x14ac:dyDescent="0.25"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</row>
    <row r="1818" spans="22:31" ht="11.25" customHeight="1" x14ac:dyDescent="0.25"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</row>
    <row r="1819" spans="22:31" ht="11.25" customHeight="1" x14ac:dyDescent="0.25"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</row>
    <row r="1820" spans="22:31" ht="11.25" customHeight="1" x14ac:dyDescent="0.25"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</row>
    <row r="1821" spans="22:31" ht="11.25" customHeight="1" x14ac:dyDescent="0.25"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</row>
    <row r="1822" spans="22:31" ht="11.25" customHeight="1" x14ac:dyDescent="0.25"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</row>
    <row r="1823" spans="22:31" ht="11.25" customHeight="1" x14ac:dyDescent="0.25"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</row>
    <row r="1824" spans="22:31" ht="11.25" customHeight="1" x14ac:dyDescent="0.25"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</row>
    <row r="1825" spans="22:31" ht="11.25" customHeight="1" x14ac:dyDescent="0.25"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</row>
    <row r="1826" spans="22:31" ht="11.25" customHeight="1" x14ac:dyDescent="0.25"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</row>
    <row r="1827" spans="22:31" ht="11.25" customHeight="1" x14ac:dyDescent="0.25"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</row>
    <row r="1828" spans="22:31" ht="11.25" customHeight="1" x14ac:dyDescent="0.25"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</row>
    <row r="1829" spans="22:31" ht="11.25" customHeight="1" x14ac:dyDescent="0.25"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</row>
    <row r="1830" spans="22:31" ht="11.25" customHeight="1" x14ac:dyDescent="0.25"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</row>
    <row r="1831" spans="22:31" ht="11.25" customHeight="1" x14ac:dyDescent="0.25"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</row>
    <row r="1832" spans="22:31" ht="11.25" customHeight="1" x14ac:dyDescent="0.25"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</row>
    <row r="1833" spans="22:31" ht="11.25" customHeight="1" x14ac:dyDescent="0.25"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</row>
    <row r="1834" spans="22:31" ht="11.25" customHeight="1" x14ac:dyDescent="0.25"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</row>
    <row r="1835" spans="22:31" ht="11.25" customHeight="1" x14ac:dyDescent="0.25"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</row>
    <row r="1836" spans="22:31" ht="11.25" customHeight="1" x14ac:dyDescent="0.25"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</row>
    <row r="1837" spans="22:31" ht="11.25" customHeight="1" x14ac:dyDescent="0.25"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</row>
    <row r="1838" spans="22:31" ht="11.25" customHeight="1" x14ac:dyDescent="0.25"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</row>
    <row r="1839" spans="22:31" ht="11.25" customHeight="1" x14ac:dyDescent="0.25"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</row>
    <row r="1840" spans="22:31" ht="11.25" customHeight="1" x14ac:dyDescent="0.25"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</row>
    <row r="1841" spans="22:31" ht="11.25" customHeight="1" x14ac:dyDescent="0.25"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</row>
    <row r="1842" spans="22:31" ht="11.25" customHeight="1" x14ac:dyDescent="0.25"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</row>
    <row r="1843" spans="22:31" ht="11.25" customHeight="1" x14ac:dyDescent="0.25"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</row>
    <row r="1844" spans="22:31" ht="11.25" customHeight="1" x14ac:dyDescent="0.25"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</row>
    <row r="1845" spans="22:31" ht="11.25" customHeight="1" x14ac:dyDescent="0.25"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</row>
    <row r="1846" spans="22:31" ht="11.25" customHeight="1" x14ac:dyDescent="0.25"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</row>
    <row r="1847" spans="22:31" ht="11.25" customHeight="1" x14ac:dyDescent="0.25"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</row>
    <row r="1848" spans="22:31" ht="11.25" customHeight="1" x14ac:dyDescent="0.25"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</row>
    <row r="1849" spans="22:31" ht="11.25" customHeight="1" x14ac:dyDescent="0.25"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</row>
    <row r="1850" spans="22:31" ht="11.25" customHeight="1" x14ac:dyDescent="0.25"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</row>
    <row r="1851" spans="22:31" ht="11.25" customHeight="1" x14ac:dyDescent="0.25"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</row>
    <row r="1852" spans="22:31" ht="11.25" customHeight="1" x14ac:dyDescent="0.25"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</row>
    <row r="1853" spans="22:31" ht="11.25" customHeight="1" x14ac:dyDescent="0.25"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</row>
    <row r="1854" spans="22:31" ht="11.25" customHeight="1" x14ac:dyDescent="0.25"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</row>
    <row r="1855" spans="22:31" ht="11.25" customHeight="1" x14ac:dyDescent="0.25"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</row>
    <row r="1856" spans="22:31" ht="11.25" customHeight="1" x14ac:dyDescent="0.25"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</row>
    <row r="1857" spans="22:31" ht="11.25" customHeight="1" x14ac:dyDescent="0.25"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</row>
    <row r="1858" spans="22:31" ht="11.25" customHeight="1" x14ac:dyDescent="0.25"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</row>
    <row r="1859" spans="22:31" ht="11.25" customHeight="1" x14ac:dyDescent="0.25"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</row>
    <row r="1860" spans="22:31" ht="11.25" customHeight="1" x14ac:dyDescent="0.25"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</row>
    <row r="1861" spans="22:31" ht="11.25" customHeight="1" x14ac:dyDescent="0.25"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</row>
    <row r="1862" spans="22:31" ht="11.25" customHeight="1" x14ac:dyDescent="0.25"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</row>
    <row r="1863" spans="22:31" ht="11.25" customHeight="1" x14ac:dyDescent="0.25"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</row>
    <row r="1864" spans="22:31" ht="11.25" customHeight="1" x14ac:dyDescent="0.25"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</row>
    <row r="1865" spans="22:31" ht="11.25" customHeight="1" x14ac:dyDescent="0.25"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</row>
    <row r="1866" spans="22:31" ht="11.25" customHeight="1" x14ac:dyDescent="0.25"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</row>
    <row r="1867" spans="22:31" ht="11.25" customHeight="1" x14ac:dyDescent="0.25"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</row>
    <row r="1868" spans="22:31" ht="11.25" customHeight="1" x14ac:dyDescent="0.25"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</row>
    <row r="1869" spans="22:31" ht="11.25" customHeight="1" x14ac:dyDescent="0.25"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</row>
    <row r="1870" spans="22:31" ht="11.25" customHeight="1" x14ac:dyDescent="0.25"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</row>
    <row r="1871" spans="22:31" ht="11.25" customHeight="1" x14ac:dyDescent="0.25"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</row>
    <row r="1872" spans="22:31" ht="11.25" customHeight="1" x14ac:dyDescent="0.25"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</row>
    <row r="1873" spans="22:31" ht="11.25" customHeight="1" x14ac:dyDescent="0.25"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</row>
    <row r="1874" spans="22:31" ht="11.25" customHeight="1" x14ac:dyDescent="0.25"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</row>
    <row r="1875" spans="22:31" ht="11.25" customHeight="1" x14ac:dyDescent="0.25"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</row>
    <row r="1876" spans="22:31" ht="11.25" customHeight="1" x14ac:dyDescent="0.25"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</row>
    <row r="1877" spans="22:31" ht="11.25" customHeight="1" x14ac:dyDescent="0.25"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</row>
    <row r="1878" spans="22:31" ht="11.25" customHeight="1" x14ac:dyDescent="0.25"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</row>
    <row r="1879" spans="22:31" ht="11.25" customHeight="1" x14ac:dyDescent="0.25"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</row>
    <row r="1880" spans="22:31" ht="11.25" customHeight="1" x14ac:dyDescent="0.25"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</row>
    <row r="1881" spans="22:31" ht="11.25" customHeight="1" x14ac:dyDescent="0.25"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</row>
    <row r="1882" spans="22:31" ht="11.25" customHeight="1" x14ac:dyDescent="0.25"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</row>
    <row r="1883" spans="22:31" ht="11.25" customHeight="1" x14ac:dyDescent="0.25"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</row>
    <row r="1884" spans="22:31" ht="11.25" customHeight="1" x14ac:dyDescent="0.25"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</row>
    <row r="1885" spans="22:31" ht="11.25" customHeight="1" x14ac:dyDescent="0.25"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</row>
    <row r="1886" spans="22:31" ht="11.25" customHeight="1" x14ac:dyDescent="0.25"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</row>
    <row r="1887" spans="22:31" ht="11.25" customHeight="1" x14ac:dyDescent="0.25"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</row>
    <row r="1888" spans="22:31" ht="11.25" customHeight="1" x14ac:dyDescent="0.25"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</row>
    <row r="1889" spans="22:31" ht="11.25" customHeight="1" x14ac:dyDescent="0.25"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</row>
    <row r="1890" spans="22:31" ht="11.25" customHeight="1" x14ac:dyDescent="0.25"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</row>
    <row r="1891" spans="22:31" ht="11.25" customHeight="1" x14ac:dyDescent="0.25"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</row>
    <row r="1892" spans="22:31" ht="11.25" customHeight="1" x14ac:dyDescent="0.25"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</row>
    <row r="1893" spans="22:31" ht="11.25" customHeight="1" x14ac:dyDescent="0.25"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</row>
    <row r="1894" spans="22:31" ht="11.25" customHeight="1" x14ac:dyDescent="0.25"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</row>
    <row r="1895" spans="22:31" ht="11.25" customHeight="1" x14ac:dyDescent="0.25"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</row>
    <row r="1896" spans="22:31" ht="11.25" customHeight="1" x14ac:dyDescent="0.25"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</row>
    <row r="1897" spans="22:31" ht="11.25" customHeight="1" x14ac:dyDescent="0.25"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</row>
    <row r="1898" spans="22:31" ht="11.25" customHeight="1" x14ac:dyDescent="0.25"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</row>
    <row r="1899" spans="22:31" ht="11.25" customHeight="1" x14ac:dyDescent="0.25"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</row>
    <row r="1900" spans="22:31" ht="11.25" customHeight="1" x14ac:dyDescent="0.25"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</row>
    <row r="1901" spans="22:31" ht="11.25" customHeight="1" x14ac:dyDescent="0.25"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</row>
    <row r="1902" spans="22:31" ht="11.25" customHeight="1" x14ac:dyDescent="0.25"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</row>
    <row r="1903" spans="22:31" ht="11.25" customHeight="1" x14ac:dyDescent="0.25"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</row>
    <row r="1904" spans="22:31" ht="11.25" customHeight="1" x14ac:dyDescent="0.25"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</row>
    <row r="1905" spans="22:31" ht="11.25" customHeight="1" x14ac:dyDescent="0.25"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</row>
    <row r="1906" spans="22:31" ht="11.25" customHeight="1" x14ac:dyDescent="0.25"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</row>
    <row r="1907" spans="22:31" ht="11.25" customHeight="1" x14ac:dyDescent="0.25"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</row>
    <row r="1908" spans="22:31" ht="11.25" customHeight="1" x14ac:dyDescent="0.25"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</row>
    <row r="1909" spans="22:31" ht="11.25" customHeight="1" x14ac:dyDescent="0.25"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</row>
    <row r="1910" spans="22:31" ht="11.25" customHeight="1" x14ac:dyDescent="0.25"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</row>
    <row r="1911" spans="22:31" ht="11.25" customHeight="1" x14ac:dyDescent="0.25"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</row>
    <row r="1912" spans="22:31" ht="11.25" customHeight="1" x14ac:dyDescent="0.25"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</row>
    <row r="1913" spans="22:31" ht="11.25" customHeight="1" x14ac:dyDescent="0.25"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</row>
    <row r="1914" spans="22:31" ht="11.25" customHeight="1" x14ac:dyDescent="0.25"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</row>
    <row r="1915" spans="22:31" ht="11.25" customHeight="1" x14ac:dyDescent="0.25"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</row>
    <row r="1916" spans="22:31" ht="11.25" customHeight="1" x14ac:dyDescent="0.25"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</row>
    <row r="1917" spans="22:31" ht="11.25" customHeight="1" x14ac:dyDescent="0.25"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</row>
    <row r="1918" spans="22:31" ht="11.25" customHeight="1" x14ac:dyDescent="0.25"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</row>
    <row r="1919" spans="22:31" ht="11.25" customHeight="1" x14ac:dyDescent="0.25"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</row>
    <row r="1920" spans="22:31" ht="11.25" customHeight="1" x14ac:dyDescent="0.25"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</row>
    <row r="1921" spans="22:31" ht="11.25" customHeight="1" x14ac:dyDescent="0.25"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</row>
    <row r="1922" spans="22:31" ht="11.25" customHeight="1" x14ac:dyDescent="0.25"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</row>
    <row r="1923" spans="22:31" ht="11.25" customHeight="1" x14ac:dyDescent="0.25"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</row>
    <row r="1924" spans="22:31" ht="11.25" customHeight="1" x14ac:dyDescent="0.25"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</row>
    <row r="1925" spans="22:31" ht="11.25" customHeight="1" x14ac:dyDescent="0.25"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</row>
    <row r="1926" spans="22:31" ht="11.25" customHeight="1" x14ac:dyDescent="0.25"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</row>
    <row r="1927" spans="22:31" ht="11.25" customHeight="1" x14ac:dyDescent="0.25"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</row>
    <row r="1928" spans="22:31" ht="11.25" customHeight="1" x14ac:dyDescent="0.25"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</row>
    <row r="1929" spans="22:31" ht="11.25" customHeight="1" x14ac:dyDescent="0.25"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</row>
    <row r="1930" spans="22:31" ht="11.25" customHeight="1" x14ac:dyDescent="0.25"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</row>
    <row r="1931" spans="22:31" ht="11.25" customHeight="1" x14ac:dyDescent="0.25"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</row>
    <row r="1932" spans="22:31" ht="11.25" customHeight="1" x14ac:dyDescent="0.25"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</row>
    <row r="1933" spans="22:31" ht="11.25" customHeight="1" x14ac:dyDescent="0.25"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</row>
    <row r="1934" spans="22:31" ht="11.25" customHeight="1" x14ac:dyDescent="0.25"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</row>
    <row r="1935" spans="22:31" ht="11.25" customHeight="1" x14ac:dyDescent="0.25"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</row>
    <row r="1936" spans="22:31" ht="11.25" customHeight="1" x14ac:dyDescent="0.25"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</row>
    <row r="1937" spans="22:31" ht="11.25" customHeight="1" x14ac:dyDescent="0.25"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</row>
    <row r="1938" spans="22:31" ht="11.25" customHeight="1" x14ac:dyDescent="0.25"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</row>
    <row r="1939" spans="22:31" ht="11.25" customHeight="1" x14ac:dyDescent="0.25"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</row>
    <row r="1940" spans="22:31" ht="11.25" customHeight="1" x14ac:dyDescent="0.25"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</row>
    <row r="1941" spans="22:31" ht="11.25" customHeight="1" x14ac:dyDescent="0.25"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</row>
    <row r="1942" spans="22:31" ht="11.25" customHeight="1" x14ac:dyDescent="0.25"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</row>
    <row r="1943" spans="22:31" ht="11.25" customHeight="1" x14ac:dyDescent="0.25"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</row>
    <row r="1944" spans="22:31" ht="11.25" customHeight="1" x14ac:dyDescent="0.25"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</row>
    <row r="1945" spans="22:31" ht="11.25" customHeight="1" x14ac:dyDescent="0.25"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</row>
    <row r="1946" spans="22:31" ht="11.25" customHeight="1" x14ac:dyDescent="0.25"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</row>
    <row r="1947" spans="22:31" ht="11.25" customHeight="1" x14ac:dyDescent="0.25"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</row>
    <row r="1948" spans="22:31" ht="11.25" customHeight="1" x14ac:dyDescent="0.25"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</row>
    <row r="1949" spans="22:31" ht="11.25" customHeight="1" x14ac:dyDescent="0.25"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</row>
    <row r="1950" spans="22:31" ht="11.25" customHeight="1" x14ac:dyDescent="0.25"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</row>
    <row r="1951" spans="22:31" ht="11.25" customHeight="1" x14ac:dyDescent="0.25"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</row>
    <row r="1952" spans="22:31" ht="11.25" customHeight="1" x14ac:dyDescent="0.25"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</row>
    <row r="1953" spans="22:31" ht="11.25" customHeight="1" x14ac:dyDescent="0.25"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</row>
    <row r="1954" spans="22:31" ht="11.25" customHeight="1" x14ac:dyDescent="0.25"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</row>
    <row r="1955" spans="22:31" ht="11.25" customHeight="1" x14ac:dyDescent="0.25"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</row>
    <row r="1956" spans="22:31" ht="11.25" customHeight="1" x14ac:dyDescent="0.25"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</row>
    <row r="1957" spans="22:31" ht="11.25" customHeight="1" x14ac:dyDescent="0.25"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</row>
    <row r="1958" spans="22:31" ht="11.25" customHeight="1" x14ac:dyDescent="0.25"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</row>
    <row r="1959" spans="22:31" ht="11.25" customHeight="1" x14ac:dyDescent="0.25"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</row>
    <row r="1960" spans="22:31" ht="11.25" customHeight="1" x14ac:dyDescent="0.25"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</row>
    <row r="1961" spans="22:31" ht="11.25" customHeight="1" x14ac:dyDescent="0.25"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</row>
    <row r="1962" spans="22:31" ht="11.25" customHeight="1" x14ac:dyDescent="0.25"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</row>
    <row r="1963" spans="22:31" ht="11.25" customHeight="1" x14ac:dyDescent="0.25"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</row>
    <row r="1964" spans="22:31" ht="11.25" customHeight="1" x14ac:dyDescent="0.25"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</row>
    <row r="1965" spans="22:31" ht="11.25" customHeight="1" x14ac:dyDescent="0.25"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</row>
    <row r="1966" spans="22:31" ht="11.25" customHeight="1" x14ac:dyDescent="0.25"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</row>
    <row r="1967" spans="22:31" ht="11.25" customHeight="1" x14ac:dyDescent="0.25"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</row>
    <row r="1968" spans="22:31" ht="11.25" customHeight="1" x14ac:dyDescent="0.25"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</row>
    <row r="1969" spans="22:31" ht="11.25" customHeight="1" x14ac:dyDescent="0.25"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</row>
    <row r="1970" spans="22:31" ht="11.25" customHeight="1" x14ac:dyDescent="0.25"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</row>
    <row r="1971" spans="22:31" ht="11.25" customHeight="1" x14ac:dyDescent="0.25"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</row>
    <row r="1972" spans="22:31" ht="11.25" customHeight="1" x14ac:dyDescent="0.25"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</row>
    <row r="1973" spans="22:31" ht="11.25" customHeight="1" x14ac:dyDescent="0.25"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</row>
    <row r="1974" spans="22:31" ht="11.25" customHeight="1" x14ac:dyDescent="0.25"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</row>
    <row r="1975" spans="22:31" ht="11.25" customHeight="1" x14ac:dyDescent="0.25"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</row>
    <row r="1976" spans="22:31" ht="11.25" customHeight="1" x14ac:dyDescent="0.25"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</row>
    <row r="1977" spans="22:31" ht="11.25" customHeight="1" x14ac:dyDescent="0.25"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</row>
    <row r="1978" spans="22:31" ht="11.25" customHeight="1" x14ac:dyDescent="0.25"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</row>
    <row r="1979" spans="22:31" ht="11.25" customHeight="1" x14ac:dyDescent="0.25"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</row>
    <row r="1980" spans="22:31" ht="11.25" customHeight="1" x14ac:dyDescent="0.25"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</row>
    <row r="1981" spans="22:31" ht="11.25" customHeight="1" x14ac:dyDescent="0.25"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</row>
    <row r="1982" spans="22:31" ht="11.25" customHeight="1" x14ac:dyDescent="0.25"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</row>
    <row r="1983" spans="22:31" ht="11.25" customHeight="1" x14ac:dyDescent="0.25"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</row>
    <row r="1984" spans="22:31" ht="11.25" customHeight="1" x14ac:dyDescent="0.25"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</row>
    <row r="1985" spans="22:31" ht="11.25" customHeight="1" x14ac:dyDescent="0.25"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</row>
    <row r="1986" spans="22:31" ht="11.25" customHeight="1" x14ac:dyDescent="0.25"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</row>
    <row r="1987" spans="22:31" ht="11.25" customHeight="1" x14ac:dyDescent="0.25"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</row>
    <row r="1988" spans="22:31" ht="11.25" customHeight="1" x14ac:dyDescent="0.25"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</row>
    <row r="1989" spans="22:31" ht="11.25" customHeight="1" x14ac:dyDescent="0.25"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</row>
    <row r="1990" spans="22:31" ht="11.25" customHeight="1" x14ac:dyDescent="0.25"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</row>
    <row r="1991" spans="22:31" ht="11.25" customHeight="1" x14ac:dyDescent="0.25"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</row>
    <row r="1992" spans="22:31" ht="11.25" customHeight="1" x14ac:dyDescent="0.25"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</row>
    <row r="1993" spans="22:31" ht="11.25" customHeight="1" x14ac:dyDescent="0.25"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</row>
    <row r="1994" spans="22:31" ht="11.25" customHeight="1" x14ac:dyDescent="0.25"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</row>
    <row r="1995" spans="22:31" ht="11.25" customHeight="1" x14ac:dyDescent="0.25"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</row>
    <row r="1996" spans="22:31" ht="11.25" customHeight="1" x14ac:dyDescent="0.25"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</row>
    <row r="1997" spans="22:31" ht="11.25" customHeight="1" x14ac:dyDescent="0.25"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</row>
    <row r="1998" spans="22:31" ht="11.25" customHeight="1" x14ac:dyDescent="0.25"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</row>
    <row r="1999" spans="22:31" ht="11.25" customHeight="1" x14ac:dyDescent="0.25"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</row>
    <row r="2000" spans="22:31" ht="11.25" customHeight="1" x14ac:dyDescent="0.25"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</row>
    <row r="2001" spans="22:31" ht="11.25" customHeight="1" x14ac:dyDescent="0.25"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</row>
    <row r="2002" spans="22:31" ht="11.25" customHeight="1" x14ac:dyDescent="0.25"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</row>
    <row r="2003" spans="22:31" ht="11.25" customHeight="1" x14ac:dyDescent="0.25"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</row>
    <row r="2004" spans="22:31" ht="11.25" customHeight="1" x14ac:dyDescent="0.25"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</row>
    <row r="2005" spans="22:31" ht="11.25" customHeight="1" x14ac:dyDescent="0.25"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</row>
    <row r="2006" spans="22:31" ht="11.25" customHeight="1" x14ac:dyDescent="0.25"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</row>
    <row r="2007" spans="22:31" ht="11.25" customHeight="1" x14ac:dyDescent="0.25"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</row>
    <row r="2008" spans="22:31" ht="11.25" customHeight="1" x14ac:dyDescent="0.25"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</row>
    <row r="2009" spans="22:31" ht="11.25" customHeight="1" x14ac:dyDescent="0.25"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</row>
    <row r="2010" spans="22:31" ht="11.25" customHeight="1" x14ac:dyDescent="0.25"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</row>
    <row r="2011" spans="22:31" ht="11.25" customHeight="1" x14ac:dyDescent="0.25"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</row>
    <row r="2012" spans="22:31" ht="11.25" customHeight="1" x14ac:dyDescent="0.25"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</row>
    <row r="2013" spans="22:31" ht="11.25" customHeight="1" x14ac:dyDescent="0.25"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</row>
    <row r="2014" spans="22:31" ht="11.25" customHeight="1" x14ac:dyDescent="0.25"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</row>
    <row r="2015" spans="22:31" ht="11.25" customHeight="1" x14ac:dyDescent="0.25"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</row>
    <row r="2016" spans="22:31" ht="11.25" customHeight="1" x14ac:dyDescent="0.25"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</row>
    <row r="2017" spans="22:31" ht="11.25" customHeight="1" x14ac:dyDescent="0.25"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</row>
    <row r="2018" spans="22:31" ht="11.25" customHeight="1" x14ac:dyDescent="0.25"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</row>
    <row r="2019" spans="22:31" ht="11.25" customHeight="1" x14ac:dyDescent="0.25"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</row>
    <row r="2020" spans="22:31" ht="11.25" customHeight="1" x14ac:dyDescent="0.25"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</row>
    <row r="2021" spans="22:31" ht="11.25" customHeight="1" x14ac:dyDescent="0.25"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</row>
    <row r="2022" spans="22:31" ht="11.25" customHeight="1" x14ac:dyDescent="0.25"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</row>
    <row r="2023" spans="22:31" ht="11.25" customHeight="1" x14ac:dyDescent="0.25"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</row>
    <row r="2024" spans="22:31" ht="11.25" customHeight="1" x14ac:dyDescent="0.25"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</row>
    <row r="2025" spans="22:31" ht="11.25" customHeight="1" x14ac:dyDescent="0.25"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</row>
    <row r="2026" spans="22:31" ht="11.25" customHeight="1" x14ac:dyDescent="0.25"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</row>
    <row r="2027" spans="22:31" ht="11.25" customHeight="1" x14ac:dyDescent="0.25"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</row>
    <row r="2028" spans="22:31" ht="11.25" customHeight="1" x14ac:dyDescent="0.25"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</row>
    <row r="2029" spans="22:31" ht="11.25" customHeight="1" x14ac:dyDescent="0.25"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</row>
    <row r="2030" spans="22:31" ht="11.25" customHeight="1" x14ac:dyDescent="0.25"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</row>
    <row r="2031" spans="22:31" ht="11.25" customHeight="1" x14ac:dyDescent="0.25"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</row>
    <row r="2032" spans="22:31" ht="11.25" customHeight="1" x14ac:dyDescent="0.25"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</row>
    <row r="2033" spans="22:31" ht="11.25" customHeight="1" x14ac:dyDescent="0.25"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</row>
    <row r="2034" spans="22:31" ht="11.25" customHeight="1" x14ac:dyDescent="0.25"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</row>
    <row r="2035" spans="22:31" ht="11.25" customHeight="1" x14ac:dyDescent="0.25"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</row>
    <row r="2036" spans="22:31" ht="11.25" customHeight="1" x14ac:dyDescent="0.25"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</row>
    <row r="2037" spans="22:31" ht="11.25" customHeight="1" x14ac:dyDescent="0.25"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</row>
    <row r="2038" spans="22:31" ht="11.25" customHeight="1" x14ac:dyDescent="0.25"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</row>
    <row r="2039" spans="22:31" ht="11.25" customHeight="1" x14ac:dyDescent="0.25"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</row>
    <row r="2040" spans="22:31" ht="11.25" customHeight="1" x14ac:dyDescent="0.25"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</row>
    <row r="2041" spans="22:31" ht="11.25" customHeight="1" x14ac:dyDescent="0.25"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</row>
    <row r="2042" spans="22:31" ht="11.25" customHeight="1" x14ac:dyDescent="0.25"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</row>
    <row r="2043" spans="22:31" ht="11.25" customHeight="1" x14ac:dyDescent="0.25"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</row>
    <row r="2044" spans="22:31" ht="11.25" customHeight="1" x14ac:dyDescent="0.25"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</row>
    <row r="2045" spans="22:31" ht="11.25" customHeight="1" x14ac:dyDescent="0.25"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</row>
    <row r="2046" spans="22:31" ht="11.25" customHeight="1" x14ac:dyDescent="0.25"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</row>
    <row r="2047" spans="22:31" ht="11.25" customHeight="1" x14ac:dyDescent="0.25"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</row>
    <row r="2048" spans="22:31" ht="11.25" customHeight="1" x14ac:dyDescent="0.25"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</row>
    <row r="2049" spans="22:31" ht="11.25" customHeight="1" x14ac:dyDescent="0.25"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</row>
    <row r="2050" spans="22:31" ht="11.25" customHeight="1" x14ac:dyDescent="0.25"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</row>
    <row r="2051" spans="22:31" ht="11.25" customHeight="1" x14ac:dyDescent="0.25"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</row>
    <row r="2052" spans="22:31" ht="11.25" customHeight="1" x14ac:dyDescent="0.25"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</row>
    <row r="2053" spans="22:31" ht="11.25" customHeight="1" x14ac:dyDescent="0.25"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</row>
    <row r="2054" spans="22:31" ht="11.25" customHeight="1" x14ac:dyDescent="0.25"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</row>
    <row r="2055" spans="22:31" ht="11.25" customHeight="1" x14ac:dyDescent="0.25"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</row>
    <row r="2056" spans="22:31" ht="11.25" customHeight="1" x14ac:dyDescent="0.25"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</row>
    <row r="2057" spans="22:31" ht="11.25" customHeight="1" x14ac:dyDescent="0.25"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</row>
    <row r="2058" spans="22:31" ht="11.25" customHeight="1" x14ac:dyDescent="0.25"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</row>
    <row r="2059" spans="22:31" ht="11.25" customHeight="1" x14ac:dyDescent="0.25"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</row>
    <row r="2060" spans="22:31" ht="11.25" customHeight="1" x14ac:dyDescent="0.25"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</row>
    <row r="2061" spans="22:31" ht="11.25" customHeight="1" x14ac:dyDescent="0.25"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</row>
    <row r="2062" spans="22:31" ht="11.25" customHeight="1" x14ac:dyDescent="0.25"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</row>
    <row r="2063" spans="22:31" ht="11.25" customHeight="1" x14ac:dyDescent="0.25"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</row>
    <row r="2064" spans="22:31" ht="11.25" customHeight="1" x14ac:dyDescent="0.25"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</row>
    <row r="2065" spans="22:31" ht="11.25" customHeight="1" x14ac:dyDescent="0.25"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</row>
    <row r="2066" spans="22:31" ht="11.25" customHeight="1" x14ac:dyDescent="0.25"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</row>
    <row r="2067" spans="22:31" ht="11.25" customHeight="1" x14ac:dyDescent="0.25"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</row>
    <row r="2068" spans="22:31" ht="11.25" customHeight="1" x14ac:dyDescent="0.25"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</row>
    <row r="2069" spans="22:31" ht="11.25" customHeight="1" x14ac:dyDescent="0.25"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</row>
    <row r="2070" spans="22:31" ht="11.25" customHeight="1" x14ac:dyDescent="0.25"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</row>
    <row r="2071" spans="22:31" ht="11.25" customHeight="1" x14ac:dyDescent="0.25"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</row>
    <row r="2072" spans="22:31" ht="11.25" customHeight="1" x14ac:dyDescent="0.25"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</row>
    <row r="2073" spans="22:31" ht="11.25" customHeight="1" x14ac:dyDescent="0.25"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</row>
    <row r="2074" spans="22:31" ht="11.25" customHeight="1" x14ac:dyDescent="0.25"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</row>
    <row r="2075" spans="22:31" ht="11.25" customHeight="1" x14ac:dyDescent="0.25"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</row>
    <row r="2076" spans="22:31" ht="11.25" customHeight="1" x14ac:dyDescent="0.25"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</row>
    <row r="2077" spans="22:31" ht="11.25" customHeight="1" x14ac:dyDescent="0.25"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</row>
    <row r="2078" spans="22:31" ht="11.25" customHeight="1" x14ac:dyDescent="0.25"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</row>
    <row r="2079" spans="22:31" ht="11.25" customHeight="1" x14ac:dyDescent="0.25"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</row>
    <row r="2080" spans="22:31" ht="11.25" customHeight="1" x14ac:dyDescent="0.25"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</row>
    <row r="2081" spans="22:31" ht="11.25" customHeight="1" x14ac:dyDescent="0.25"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</row>
    <row r="2082" spans="22:31" ht="11.25" customHeight="1" x14ac:dyDescent="0.25"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</row>
    <row r="2083" spans="22:31" ht="11.25" customHeight="1" x14ac:dyDescent="0.25"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</row>
    <row r="2084" spans="22:31" ht="11.25" customHeight="1" x14ac:dyDescent="0.25"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</row>
    <row r="2085" spans="22:31" ht="11.25" customHeight="1" x14ac:dyDescent="0.25"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</row>
    <row r="2086" spans="22:31" ht="11.25" customHeight="1" x14ac:dyDescent="0.25"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</row>
    <row r="2087" spans="22:31" ht="11.25" customHeight="1" x14ac:dyDescent="0.25"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</row>
    <row r="2088" spans="22:31" ht="11.25" customHeight="1" x14ac:dyDescent="0.25"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</row>
    <row r="2089" spans="22:31" ht="11.25" customHeight="1" x14ac:dyDescent="0.25"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</row>
    <row r="2090" spans="22:31" ht="11.25" customHeight="1" x14ac:dyDescent="0.25"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</row>
    <row r="2091" spans="22:31" ht="11.25" customHeight="1" x14ac:dyDescent="0.25"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</row>
    <row r="2092" spans="22:31" ht="11.25" customHeight="1" x14ac:dyDescent="0.25"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</row>
    <row r="2093" spans="22:31" ht="11.25" customHeight="1" x14ac:dyDescent="0.25"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</row>
    <row r="2094" spans="22:31" ht="11.25" customHeight="1" x14ac:dyDescent="0.25"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</row>
    <row r="2095" spans="22:31" ht="11.25" customHeight="1" x14ac:dyDescent="0.25"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</row>
    <row r="2096" spans="22:31" ht="11.25" customHeight="1" x14ac:dyDescent="0.25"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</row>
    <row r="2097" spans="22:31" ht="11.25" customHeight="1" x14ac:dyDescent="0.25"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</row>
    <row r="2098" spans="22:31" ht="11.25" customHeight="1" x14ac:dyDescent="0.25"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</row>
    <row r="2099" spans="22:31" ht="11.25" customHeight="1" x14ac:dyDescent="0.25"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</row>
    <row r="2100" spans="22:31" ht="11.25" customHeight="1" x14ac:dyDescent="0.25"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</row>
    <row r="2101" spans="22:31" ht="11.25" customHeight="1" x14ac:dyDescent="0.25"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</row>
    <row r="2102" spans="22:31" ht="11.25" customHeight="1" x14ac:dyDescent="0.25"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</row>
    <row r="2103" spans="22:31" ht="11.25" customHeight="1" x14ac:dyDescent="0.25"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73653-82F8-4E29-9C2E-9374AF3C9A87}">
  <sheetPr codeName="Planilha18"/>
  <dimension ref="A1:J1176"/>
  <sheetViews>
    <sheetView showGridLines="0" workbookViewId="0"/>
  </sheetViews>
  <sheetFormatPr defaultRowHeight="11.25" customHeight="1" x14ac:dyDescent="0.2"/>
  <cols>
    <col min="1" max="1" width="34.7109375" style="14" bestFit="1" customWidth="1"/>
    <col min="2" max="2" width="24.5703125" style="38" bestFit="1" customWidth="1"/>
    <col min="3" max="3" width="25.5703125" style="38" bestFit="1" customWidth="1"/>
    <col min="4" max="4" width="26" style="38" bestFit="1" customWidth="1"/>
    <col min="5" max="5" width="26.85546875" style="38" bestFit="1" customWidth="1"/>
    <col min="6" max="6" width="23.7109375" style="38" bestFit="1" customWidth="1"/>
    <col min="7" max="7" width="24.5703125" style="38" bestFit="1" customWidth="1"/>
    <col min="8" max="8" width="18.28515625" style="39" bestFit="1" customWidth="1"/>
    <col min="9" max="9" width="16" style="39" bestFit="1" customWidth="1"/>
    <col min="10" max="10" width="13.85546875" style="39" bestFit="1" customWidth="1"/>
    <col min="11" max="16384" width="9.140625" style="14"/>
  </cols>
  <sheetData>
    <row r="1" spans="1:10" ht="11.25" customHeight="1" x14ac:dyDescent="0.2">
      <c r="A1" s="57" t="s">
        <v>918</v>
      </c>
      <c r="B1" s="58" t="s">
        <v>919</v>
      </c>
      <c r="C1" s="58" t="s">
        <v>920</v>
      </c>
      <c r="D1" s="58" t="s">
        <v>921</v>
      </c>
      <c r="E1" s="58" t="s">
        <v>922</v>
      </c>
      <c r="F1" s="58" t="s">
        <v>923</v>
      </c>
      <c r="G1" s="58" t="s">
        <v>924</v>
      </c>
      <c r="H1" s="39" t="s">
        <v>925</v>
      </c>
      <c r="I1" s="39" t="s">
        <v>926</v>
      </c>
      <c r="J1" s="39" t="s">
        <v>927</v>
      </c>
    </row>
    <row r="2" spans="1:10" ht="11.25" customHeight="1" x14ac:dyDescent="0.2">
      <c r="A2" s="59" t="s">
        <v>26</v>
      </c>
      <c r="B2" s="58">
        <v>26199494.443200007</v>
      </c>
      <c r="C2" s="58">
        <v>27179611.610683657</v>
      </c>
      <c r="D2" s="58">
        <v>403325747.16984814</v>
      </c>
      <c r="E2" s="58">
        <v>440420108.17412823</v>
      </c>
      <c r="F2" s="58">
        <v>178962665.88720503</v>
      </c>
      <c r="G2" s="58">
        <v>234819697.11231932</v>
      </c>
      <c r="H2" s="39">
        <v>8.8643168044744369E-2</v>
      </c>
      <c r="I2" s="39">
        <v>0.312115551856605</v>
      </c>
      <c r="J2" s="39">
        <v>0.15436873640227611</v>
      </c>
    </row>
    <row r="3" spans="1:10" ht="11.25" customHeight="1" x14ac:dyDescent="0.2">
      <c r="A3" s="60" t="s">
        <v>43</v>
      </c>
      <c r="B3" s="58">
        <v>238105.87200000012</v>
      </c>
      <c r="C3" s="58">
        <v>248312.86389396904</v>
      </c>
      <c r="D3" s="58">
        <v>384042.66213080019</v>
      </c>
      <c r="E3" s="58">
        <v>440737.03260776895</v>
      </c>
      <c r="F3" s="58">
        <v>339438.88465680002</v>
      </c>
      <c r="G3" s="58">
        <v>443936.39167004358</v>
      </c>
      <c r="H3" s="39">
        <v>0.10753278148345302</v>
      </c>
      <c r="I3" s="39">
        <v>0.30785367185877632</v>
      </c>
      <c r="J3" s="39">
        <v>0.17824574868116172</v>
      </c>
    </row>
    <row r="4" spans="1:10" ht="11.25" customHeight="1" x14ac:dyDescent="0.2">
      <c r="A4" s="61" t="s">
        <v>42</v>
      </c>
      <c r="B4" s="58">
        <v>28925.999999999993</v>
      </c>
      <c r="C4" s="58">
        <v>29779.387916149135</v>
      </c>
      <c r="D4" s="58">
        <v>0</v>
      </c>
      <c r="E4" s="58">
        <v>0</v>
      </c>
      <c r="F4" s="58">
        <v>0</v>
      </c>
      <c r="G4" s="58">
        <v>0</v>
      </c>
      <c r="H4" s="39">
        <v>2.9502451640363025E-2</v>
      </c>
      <c r="I4" s="39">
        <v>0</v>
      </c>
      <c r="J4" s="39">
        <v>2.9502451640363025E-2</v>
      </c>
    </row>
    <row r="5" spans="1:10" ht="11.25" customHeight="1" x14ac:dyDescent="0.2">
      <c r="A5" s="62" t="s">
        <v>45</v>
      </c>
      <c r="B5" s="58">
        <v>28925.999999999993</v>
      </c>
      <c r="C5" s="58">
        <v>29779.387916149135</v>
      </c>
      <c r="D5" s="58">
        <v>0</v>
      </c>
      <c r="E5" s="58">
        <v>0</v>
      </c>
      <c r="F5" s="58">
        <v>0</v>
      </c>
      <c r="G5" s="58">
        <v>0</v>
      </c>
      <c r="H5" s="39">
        <v>2.9502451640363025E-2</v>
      </c>
      <c r="I5" s="39">
        <v>0</v>
      </c>
      <c r="J5" s="39">
        <v>2.9502451640363025E-2</v>
      </c>
    </row>
    <row r="6" spans="1:10" ht="11.25" customHeight="1" x14ac:dyDescent="0.2">
      <c r="A6" s="63" t="s">
        <v>25</v>
      </c>
      <c r="B6" s="58">
        <v>28925.999999999993</v>
      </c>
      <c r="C6" s="58">
        <v>29779.387916149135</v>
      </c>
      <c r="D6" s="58">
        <v>0</v>
      </c>
      <c r="E6" s="58">
        <v>0</v>
      </c>
      <c r="F6" s="58">
        <v>0</v>
      </c>
      <c r="G6" s="58">
        <v>0</v>
      </c>
      <c r="H6" s="39">
        <v>2.9502451640363025E-2</v>
      </c>
      <c r="I6" s="39">
        <v>0</v>
      </c>
      <c r="J6" s="39">
        <v>2.9502451640363025E-2</v>
      </c>
    </row>
    <row r="7" spans="1:10" ht="11.25" customHeight="1" x14ac:dyDescent="0.2">
      <c r="A7" s="64" t="s">
        <v>25</v>
      </c>
      <c r="B7" s="58">
        <v>28925.999999999993</v>
      </c>
      <c r="C7" s="58">
        <v>29779.387916149135</v>
      </c>
      <c r="D7" s="58">
        <v>0</v>
      </c>
      <c r="E7" s="58">
        <v>0</v>
      </c>
      <c r="F7" s="58">
        <v>0</v>
      </c>
      <c r="G7" s="58">
        <v>0</v>
      </c>
      <c r="H7" s="39">
        <v>2.9502451640363025E-2</v>
      </c>
      <c r="I7" s="39">
        <v>0</v>
      </c>
      <c r="J7" s="39">
        <v>2.9502451640363025E-2</v>
      </c>
    </row>
    <row r="8" spans="1:10" ht="11.25" customHeight="1" x14ac:dyDescent="0.2">
      <c r="A8" s="65" t="s">
        <v>25</v>
      </c>
      <c r="B8" s="58">
        <v>28925.999999999993</v>
      </c>
      <c r="C8" s="58">
        <v>29779.387916149135</v>
      </c>
      <c r="D8" s="58">
        <v>0</v>
      </c>
      <c r="E8" s="58">
        <v>0</v>
      </c>
      <c r="F8" s="58">
        <v>0</v>
      </c>
      <c r="G8" s="58">
        <v>0</v>
      </c>
      <c r="H8" s="39">
        <v>2.9502451640363025E-2</v>
      </c>
      <c r="I8" s="39">
        <v>0</v>
      </c>
      <c r="J8" s="39">
        <v>2.9502451640363025E-2</v>
      </c>
    </row>
    <row r="9" spans="1:10" ht="11.25" customHeight="1" x14ac:dyDescent="0.2">
      <c r="A9" s="66" t="s">
        <v>37</v>
      </c>
      <c r="B9" s="58">
        <v>20493</v>
      </c>
      <c r="C9" s="58">
        <v>21334.275401491777</v>
      </c>
      <c r="D9" s="58">
        <v>0</v>
      </c>
      <c r="E9" s="58">
        <v>0</v>
      </c>
      <c r="F9" s="58">
        <v>0</v>
      </c>
      <c r="G9" s="58">
        <v>0</v>
      </c>
      <c r="H9" s="39">
        <v>4.1051842165216179E-2</v>
      </c>
      <c r="I9" s="39">
        <v>0</v>
      </c>
      <c r="J9" s="39">
        <v>4.1051842165216179E-2</v>
      </c>
    </row>
    <row r="10" spans="1:10" ht="11.25" customHeight="1" x14ac:dyDescent="0.2">
      <c r="A10" s="67">
        <v>44531</v>
      </c>
      <c r="B10" s="58">
        <v>4098.6000000000004</v>
      </c>
      <c r="C10" s="58">
        <v>4266.8550802983555</v>
      </c>
      <c r="D10" s="58">
        <v>0</v>
      </c>
      <c r="E10" s="58">
        <v>0</v>
      </c>
      <c r="F10" s="58">
        <v>0</v>
      </c>
      <c r="G10" s="58">
        <v>0</v>
      </c>
      <c r="H10" s="39">
        <v>4.1051842165216179E-2</v>
      </c>
      <c r="I10" s="39">
        <v>0</v>
      </c>
      <c r="J10" s="39">
        <v>4.1051842165216179E-2</v>
      </c>
    </row>
    <row r="11" spans="1:10" ht="11.25" customHeight="1" x14ac:dyDescent="0.2">
      <c r="A11" s="67">
        <v>44562</v>
      </c>
      <c r="B11" s="58">
        <v>4098.6000000000004</v>
      </c>
      <c r="C11" s="58">
        <v>4266.8550802983555</v>
      </c>
      <c r="D11" s="58">
        <v>0</v>
      </c>
      <c r="E11" s="58">
        <v>0</v>
      </c>
      <c r="F11" s="58">
        <v>0</v>
      </c>
      <c r="G11" s="58">
        <v>0</v>
      </c>
      <c r="H11" s="39">
        <v>4.1051842165216179E-2</v>
      </c>
      <c r="I11" s="39">
        <v>0</v>
      </c>
      <c r="J11" s="39">
        <v>4.1051842165216179E-2</v>
      </c>
    </row>
    <row r="12" spans="1:10" ht="11.25" customHeight="1" x14ac:dyDescent="0.2">
      <c r="A12" s="67">
        <v>44593</v>
      </c>
      <c r="B12" s="58">
        <v>4098.6000000000004</v>
      </c>
      <c r="C12" s="58">
        <v>4266.8550802983555</v>
      </c>
      <c r="D12" s="58">
        <v>0</v>
      </c>
      <c r="E12" s="58">
        <v>0</v>
      </c>
      <c r="F12" s="58">
        <v>0</v>
      </c>
      <c r="G12" s="58">
        <v>0</v>
      </c>
      <c r="H12" s="39">
        <v>4.1051842165216179E-2</v>
      </c>
      <c r="I12" s="39">
        <v>0</v>
      </c>
      <c r="J12" s="39">
        <v>4.1051842165216179E-2</v>
      </c>
    </row>
    <row r="13" spans="1:10" ht="11.25" customHeight="1" x14ac:dyDescent="0.2">
      <c r="A13" s="67">
        <v>44621</v>
      </c>
      <c r="B13" s="58">
        <v>4098.6000000000004</v>
      </c>
      <c r="C13" s="58">
        <v>4266.8550802983555</v>
      </c>
      <c r="D13" s="58">
        <v>0</v>
      </c>
      <c r="E13" s="58">
        <v>0</v>
      </c>
      <c r="F13" s="58">
        <v>0</v>
      </c>
      <c r="G13" s="58">
        <v>0</v>
      </c>
      <c r="H13" s="39">
        <v>4.1051842165216179E-2</v>
      </c>
      <c r="I13" s="39">
        <v>0</v>
      </c>
      <c r="J13" s="39">
        <v>4.1051842165216179E-2</v>
      </c>
    </row>
    <row r="14" spans="1:10" ht="11.25" customHeight="1" x14ac:dyDescent="0.2">
      <c r="A14" s="67">
        <v>44652</v>
      </c>
      <c r="B14" s="58">
        <v>4098.6000000000004</v>
      </c>
      <c r="C14" s="58">
        <v>4266.8550802983555</v>
      </c>
      <c r="D14" s="58">
        <v>0</v>
      </c>
      <c r="E14" s="58">
        <v>0</v>
      </c>
      <c r="F14" s="58">
        <v>0</v>
      </c>
      <c r="G14" s="58">
        <v>0</v>
      </c>
      <c r="H14" s="39">
        <v>4.1051842165216179E-2</v>
      </c>
      <c r="I14" s="39">
        <v>0</v>
      </c>
      <c r="J14" s="39">
        <v>4.1051842165216179E-2</v>
      </c>
    </row>
    <row r="15" spans="1:10" ht="11.25" customHeight="1" x14ac:dyDescent="0.2">
      <c r="A15" s="66" t="s">
        <v>36</v>
      </c>
      <c r="B15" s="58">
        <v>8433</v>
      </c>
      <c r="C15" s="58">
        <v>8445.112514657365</v>
      </c>
      <c r="D15" s="58">
        <v>0</v>
      </c>
      <c r="E15" s="58">
        <v>0</v>
      </c>
      <c r="F15" s="58">
        <v>0</v>
      </c>
      <c r="G15" s="58">
        <v>0</v>
      </c>
      <c r="H15" s="39">
        <v>1.4363233318350765E-3</v>
      </c>
      <c r="I15" s="39">
        <v>0</v>
      </c>
      <c r="J15" s="39">
        <v>1.4363233318350765E-3</v>
      </c>
    </row>
    <row r="16" spans="1:10" ht="11.25" customHeight="1" x14ac:dyDescent="0.2">
      <c r="A16" s="67">
        <v>44531</v>
      </c>
      <c r="B16" s="58">
        <v>1686.6</v>
      </c>
      <c r="C16" s="58">
        <v>1689.0225029314731</v>
      </c>
      <c r="D16" s="58">
        <v>0</v>
      </c>
      <c r="E16" s="58">
        <v>0</v>
      </c>
      <c r="F16" s="58">
        <v>0</v>
      </c>
      <c r="G16" s="58">
        <v>0</v>
      </c>
      <c r="H16" s="39">
        <v>1.4363233318350765E-3</v>
      </c>
      <c r="I16" s="39">
        <v>0</v>
      </c>
      <c r="J16" s="39">
        <v>1.4363233318350765E-3</v>
      </c>
    </row>
    <row r="17" spans="1:10" ht="11.25" customHeight="1" x14ac:dyDescent="0.2">
      <c r="A17" s="67">
        <v>44562</v>
      </c>
      <c r="B17" s="58">
        <v>1686.6</v>
      </c>
      <c r="C17" s="58">
        <v>1689.0225029314731</v>
      </c>
      <c r="D17" s="58">
        <v>0</v>
      </c>
      <c r="E17" s="58">
        <v>0</v>
      </c>
      <c r="F17" s="58">
        <v>0</v>
      </c>
      <c r="G17" s="58">
        <v>0</v>
      </c>
      <c r="H17" s="39">
        <v>1.4363233318350765E-3</v>
      </c>
      <c r="I17" s="39">
        <v>0</v>
      </c>
      <c r="J17" s="39">
        <v>1.4363233318350765E-3</v>
      </c>
    </row>
    <row r="18" spans="1:10" ht="11.25" customHeight="1" x14ac:dyDescent="0.2">
      <c r="A18" s="67">
        <v>44593</v>
      </c>
      <c r="B18" s="58">
        <v>1686.6</v>
      </c>
      <c r="C18" s="58">
        <v>1689.0225029314731</v>
      </c>
      <c r="D18" s="58">
        <v>0</v>
      </c>
      <c r="E18" s="58">
        <v>0</v>
      </c>
      <c r="F18" s="58">
        <v>0</v>
      </c>
      <c r="G18" s="58">
        <v>0</v>
      </c>
      <c r="H18" s="39">
        <v>1.4363233318350765E-3</v>
      </c>
      <c r="I18" s="39">
        <v>0</v>
      </c>
      <c r="J18" s="39">
        <v>1.4363233318350765E-3</v>
      </c>
    </row>
    <row r="19" spans="1:10" ht="11.25" customHeight="1" x14ac:dyDescent="0.2">
      <c r="A19" s="67">
        <v>44621</v>
      </c>
      <c r="B19" s="58">
        <v>1686.6</v>
      </c>
      <c r="C19" s="58">
        <v>1689.0225029314731</v>
      </c>
      <c r="D19" s="58">
        <v>0</v>
      </c>
      <c r="E19" s="58">
        <v>0</v>
      </c>
      <c r="F19" s="58">
        <v>0</v>
      </c>
      <c r="G19" s="58">
        <v>0</v>
      </c>
      <c r="H19" s="39">
        <v>1.4363233318350765E-3</v>
      </c>
      <c r="I19" s="39">
        <v>0</v>
      </c>
      <c r="J19" s="39">
        <v>1.4363233318350765E-3</v>
      </c>
    </row>
    <row r="20" spans="1:10" ht="11.25" customHeight="1" x14ac:dyDescent="0.2">
      <c r="A20" s="67">
        <v>44652</v>
      </c>
      <c r="B20" s="58">
        <v>1686.6</v>
      </c>
      <c r="C20" s="58">
        <v>1689.0225029314731</v>
      </c>
      <c r="D20" s="58">
        <v>0</v>
      </c>
      <c r="E20" s="58">
        <v>0</v>
      </c>
      <c r="F20" s="58">
        <v>0</v>
      </c>
      <c r="G20" s="58">
        <v>0</v>
      </c>
      <c r="H20" s="39">
        <v>1.4363233318350765E-3</v>
      </c>
      <c r="I20" s="39">
        <v>0</v>
      </c>
      <c r="J20" s="39">
        <v>1.4363233318350765E-3</v>
      </c>
    </row>
    <row r="21" spans="1:10" ht="11.25" customHeight="1" x14ac:dyDescent="0.2">
      <c r="A21" s="61" t="s">
        <v>44</v>
      </c>
      <c r="B21" s="58">
        <v>209179.87200000012</v>
      </c>
      <c r="C21" s="58">
        <v>218533.47597781988</v>
      </c>
      <c r="D21" s="58">
        <v>384042.66213080019</v>
      </c>
      <c r="E21" s="58">
        <v>440737.03260776895</v>
      </c>
      <c r="F21" s="58">
        <v>339438.88465680002</v>
      </c>
      <c r="G21" s="58">
        <v>443936.39167004358</v>
      </c>
      <c r="H21" s="39">
        <v>0.11133760208816623</v>
      </c>
      <c r="I21" s="39">
        <v>0.30785367185877632</v>
      </c>
      <c r="J21" s="39">
        <v>0.18285894326982044</v>
      </c>
    </row>
    <row r="22" spans="1:10" ht="11.25" customHeight="1" x14ac:dyDescent="0.2">
      <c r="A22" s="62" t="s">
        <v>45</v>
      </c>
      <c r="B22" s="58">
        <v>66151.799999999988</v>
      </c>
      <c r="C22" s="58">
        <v>68867.453252544947</v>
      </c>
      <c r="D22" s="58">
        <v>48525.175069999998</v>
      </c>
      <c r="E22" s="58">
        <v>54695.100362756581</v>
      </c>
      <c r="F22" s="58">
        <v>37663.435560000005</v>
      </c>
      <c r="G22" s="58">
        <v>49265.477682584424</v>
      </c>
      <c r="H22" s="39">
        <v>7.7483544886649547E-2</v>
      </c>
      <c r="I22" s="39">
        <v>0.30804524202529815</v>
      </c>
      <c r="J22" s="39">
        <v>0.13448579128256188</v>
      </c>
    </row>
    <row r="23" spans="1:10" ht="11.25" customHeight="1" x14ac:dyDescent="0.2">
      <c r="A23" s="63" t="s">
        <v>25</v>
      </c>
      <c r="B23" s="58">
        <v>66151.799999999988</v>
      </c>
      <c r="C23" s="58">
        <v>68867.453252544947</v>
      </c>
      <c r="D23" s="58">
        <v>48525.175069999998</v>
      </c>
      <c r="E23" s="58">
        <v>54695.100362756581</v>
      </c>
      <c r="F23" s="58">
        <v>37663.435560000005</v>
      </c>
      <c r="G23" s="58">
        <v>49265.477682584424</v>
      </c>
      <c r="H23" s="39">
        <v>7.7483544886649547E-2</v>
      </c>
      <c r="I23" s="39">
        <v>0.30804524202529815</v>
      </c>
      <c r="J23" s="39">
        <v>0.13448579128256188</v>
      </c>
    </row>
    <row r="24" spans="1:10" ht="11.25" customHeight="1" x14ac:dyDescent="0.2">
      <c r="A24" s="64" t="s">
        <v>25</v>
      </c>
      <c r="B24" s="58">
        <v>66151.799999999988</v>
      </c>
      <c r="C24" s="58">
        <v>68867.453252544947</v>
      </c>
      <c r="D24" s="58">
        <v>48525.175069999998</v>
      </c>
      <c r="E24" s="58">
        <v>54695.100362756581</v>
      </c>
      <c r="F24" s="58">
        <v>37663.435560000005</v>
      </c>
      <c r="G24" s="58">
        <v>49265.477682584424</v>
      </c>
      <c r="H24" s="39">
        <v>7.7483544886649547E-2</v>
      </c>
      <c r="I24" s="39">
        <v>0.30804524202529815</v>
      </c>
      <c r="J24" s="39">
        <v>0.13448579128256188</v>
      </c>
    </row>
    <row r="25" spans="1:10" ht="11.25" customHeight="1" x14ac:dyDescent="0.2">
      <c r="A25" s="65" t="s">
        <v>25</v>
      </c>
      <c r="B25" s="58">
        <v>66151.799999999988</v>
      </c>
      <c r="C25" s="58">
        <v>68867.453252544947</v>
      </c>
      <c r="D25" s="58">
        <v>48525.175069999998</v>
      </c>
      <c r="E25" s="58">
        <v>54695.100362756581</v>
      </c>
      <c r="F25" s="58">
        <v>37663.435560000005</v>
      </c>
      <c r="G25" s="58">
        <v>49265.477682584424</v>
      </c>
      <c r="H25" s="39">
        <v>7.7483544886649547E-2</v>
      </c>
      <c r="I25" s="39">
        <v>0.30804524202529815</v>
      </c>
      <c r="J25" s="39">
        <v>0.13448579128256188</v>
      </c>
    </row>
    <row r="26" spans="1:10" ht="11.25" customHeight="1" x14ac:dyDescent="0.2">
      <c r="A26" s="66" t="s">
        <v>37</v>
      </c>
      <c r="B26" s="58">
        <v>0</v>
      </c>
      <c r="C26" s="58">
        <v>0</v>
      </c>
      <c r="D26" s="58">
        <v>15835.18851</v>
      </c>
      <c r="E26" s="58">
        <v>21306.042659413706</v>
      </c>
      <c r="F26" s="58">
        <v>31565.197260000001</v>
      </c>
      <c r="G26" s="58">
        <v>41082.516941992879</v>
      </c>
      <c r="H26" s="39">
        <v>0.34548715008721453</v>
      </c>
      <c r="I26" s="39">
        <v>0.30151307478294775</v>
      </c>
      <c r="J26" s="39">
        <v>0.31620362551759418</v>
      </c>
    </row>
    <row r="27" spans="1:10" ht="11.25" customHeight="1" x14ac:dyDescent="0.2">
      <c r="A27" s="67">
        <v>44531</v>
      </c>
      <c r="B27" s="58">
        <v>0</v>
      </c>
      <c r="C27" s="58">
        <v>0</v>
      </c>
      <c r="D27" s="58">
        <v>1235.8159800000001</v>
      </c>
      <c r="E27" s="58">
        <v>1662.7745209624381</v>
      </c>
      <c r="F27" s="58">
        <v>2463.4234799999999</v>
      </c>
      <c r="G27" s="58">
        <v>3206.1778679473091</v>
      </c>
      <c r="H27" s="39">
        <v>0.34548715008721453</v>
      </c>
      <c r="I27" s="39">
        <v>0.30151307478294775</v>
      </c>
      <c r="J27" s="39">
        <v>0.31620362551759418</v>
      </c>
    </row>
    <row r="28" spans="1:10" ht="11.25" customHeight="1" x14ac:dyDescent="0.2">
      <c r="A28" s="67">
        <v>44562</v>
      </c>
      <c r="B28" s="58">
        <v>0</v>
      </c>
      <c r="C28" s="58">
        <v>0</v>
      </c>
      <c r="D28" s="58">
        <v>916.0281500000001</v>
      </c>
      <c r="E28" s="58">
        <v>1232.5041049431636</v>
      </c>
      <c r="F28" s="58">
        <v>1825.9719</v>
      </c>
      <c r="G28" s="58">
        <v>2376.5263020362613</v>
      </c>
      <c r="H28" s="39">
        <v>0.34548715008721453</v>
      </c>
      <c r="I28" s="39">
        <v>0.30151307478294775</v>
      </c>
      <c r="J28" s="39">
        <v>0.31620362551759418</v>
      </c>
    </row>
    <row r="29" spans="1:10" ht="11.25" customHeight="1" x14ac:dyDescent="0.2">
      <c r="A29" s="67">
        <v>44593</v>
      </c>
      <c r="B29" s="58">
        <v>0</v>
      </c>
      <c r="C29" s="58">
        <v>0</v>
      </c>
      <c r="D29" s="58">
        <v>776.41079000000002</v>
      </c>
      <c r="E29" s="58">
        <v>1044.6507411340629</v>
      </c>
      <c r="F29" s="58">
        <v>1547.66454</v>
      </c>
      <c r="G29" s="58">
        <v>2014.3056341879362</v>
      </c>
      <c r="H29" s="39">
        <v>0.34548715008721453</v>
      </c>
      <c r="I29" s="39">
        <v>0.30151307478294753</v>
      </c>
      <c r="J29" s="39">
        <v>0.31620362551759418</v>
      </c>
    </row>
    <row r="30" spans="1:10" ht="11.25" customHeight="1" x14ac:dyDescent="0.2">
      <c r="A30" s="67">
        <v>44621</v>
      </c>
      <c r="B30" s="58">
        <v>0</v>
      </c>
      <c r="C30" s="58">
        <v>0</v>
      </c>
      <c r="D30" s="58">
        <v>617.65505999999993</v>
      </c>
      <c r="E30" s="58">
        <v>831.04694641634751</v>
      </c>
      <c r="F30" s="58">
        <v>1231.2075600000001</v>
      </c>
      <c r="G30" s="58">
        <v>1602.4327371116105</v>
      </c>
      <c r="H30" s="39">
        <v>0.34548715008721476</v>
      </c>
      <c r="I30" s="39">
        <v>0.30151307478294753</v>
      </c>
      <c r="J30" s="39">
        <v>0.31620362551759418</v>
      </c>
    </row>
    <row r="31" spans="1:10" ht="11.25" customHeight="1" x14ac:dyDescent="0.2">
      <c r="A31" s="67">
        <v>44652</v>
      </c>
      <c r="B31" s="58">
        <v>0</v>
      </c>
      <c r="C31" s="58">
        <v>0</v>
      </c>
      <c r="D31" s="58">
        <v>786.44367999999997</v>
      </c>
      <c r="E31" s="58">
        <v>1058.1498657073014</v>
      </c>
      <c r="F31" s="58">
        <v>1567.6636799999999</v>
      </c>
      <c r="G31" s="58">
        <v>2040.334776382351</v>
      </c>
      <c r="H31" s="39">
        <v>0.34548715008721476</v>
      </c>
      <c r="I31" s="39">
        <v>0.30151307478294775</v>
      </c>
      <c r="J31" s="39">
        <v>0.31620362551759418</v>
      </c>
    </row>
    <row r="32" spans="1:10" ht="11.25" customHeight="1" x14ac:dyDescent="0.2">
      <c r="A32" s="67">
        <v>44682</v>
      </c>
      <c r="B32" s="58">
        <v>0</v>
      </c>
      <c r="C32" s="58">
        <v>0</v>
      </c>
      <c r="D32" s="58">
        <v>931.96274000000005</v>
      </c>
      <c r="E32" s="58">
        <v>1253.9438910300717</v>
      </c>
      <c r="F32" s="58">
        <v>1857.73524</v>
      </c>
      <c r="G32" s="58">
        <v>2417.8667043450373</v>
      </c>
      <c r="H32" s="39">
        <v>0.34548715008721431</v>
      </c>
      <c r="I32" s="39">
        <v>0.30151307478294775</v>
      </c>
      <c r="J32" s="39">
        <v>0.3162036255175944</v>
      </c>
    </row>
    <row r="33" spans="1:10" ht="11.25" customHeight="1" x14ac:dyDescent="0.2">
      <c r="A33" s="67">
        <v>44713</v>
      </c>
      <c r="B33" s="58">
        <v>0</v>
      </c>
      <c r="C33" s="58">
        <v>0</v>
      </c>
      <c r="D33" s="58">
        <v>748.25125000000003</v>
      </c>
      <c r="E33" s="58">
        <v>1006.7624419116959</v>
      </c>
      <c r="F33" s="58">
        <v>1491.5325</v>
      </c>
      <c r="G33" s="58">
        <v>1941.249050213697</v>
      </c>
      <c r="H33" s="39">
        <v>0.34548715008721453</v>
      </c>
      <c r="I33" s="39">
        <v>0.30151307478294775</v>
      </c>
      <c r="J33" s="39">
        <v>0.31620362551759418</v>
      </c>
    </row>
    <row r="34" spans="1:10" ht="11.25" customHeight="1" x14ac:dyDescent="0.2">
      <c r="A34" s="67">
        <v>44743</v>
      </c>
      <c r="B34" s="58">
        <v>0</v>
      </c>
      <c r="C34" s="58">
        <v>0</v>
      </c>
      <c r="D34" s="58">
        <v>1429.8132899999998</v>
      </c>
      <c r="E34" s="58">
        <v>1923.7954087189237</v>
      </c>
      <c r="F34" s="58">
        <v>2850.1295399999999</v>
      </c>
      <c r="G34" s="58">
        <v>3709.4808611351082</v>
      </c>
      <c r="H34" s="39">
        <v>0.34548715008721453</v>
      </c>
      <c r="I34" s="39">
        <v>0.30151307478294775</v>
      </c>
      <c r="J34" s="39">
        <v>0.31620362551759418</v>
      </c>
    </row>
    <row r="35" spans="1:10" ht="11.25" customHeight="1" x14ac:dyDescent="0.2">
      <c r="A35" s="67">
        <v>44774</v>
      </c>
      <c r="B35" s="58">
        <v>0</v>
      </c>
      <c r="C35" s="58">
        <v>0</v>
      </c>
      <c r="D35" s="58">
        <v>2235.2267200000001</v>
      </c>
      <c r="E35" s="58">
        <v>3007.4688292915926</v>
      </c>
      <c r="F35" s="58">
        <v>4455.6067199999998</v>
      </c>
      <c r="G35" s="58">
        <v>5799.0304021707643</v>
      </c>
      <c r="H35" s="39">
        <v>0.34548715008721453</v>
      </c>
      <c r="I35" s="39">
        <v>0.30151307478294775</v>
      </c>
      <c r="J35" s="39">
        <v>0.31620362551759396</v>
      </c>
    </row>
    <row r="36" spans="1:10" ht="11.25" customHeight="1" x14ac:dyDescent="0.2">
      <c r="A36" s="67">
        <v>44805</v>
      </c>
      <c r="B36" s="58">
        <v>0</v>
      </c>
      <c r="C36" s="58">
        <v>0</v>
      </c>
      <c r="D36" s="58">
        <v>2028.4142900000002</v>
      </c>
      <c r="E36" s="58">
        <v>2729.2053622482808</v>
      </c>
      <c r="F36" s="58">
        <v>4043.35554</v>
      </c>
      <c r="G36" s="58">
        <v>5262.480101306066</v>
      </c>
      <c r="H36" s="39">
        <v>0.34548715008721453</v>
      </c>
      <c r="I36" s="39">
        <v>0.30151307478294775</v>
      </c>
      <c r="J36" s="39">
        <v>0.31620362551759418</v>
      </c>
    </row>
    <row r="37" spans="1:10" ht="11.25" customHeight="1" x14ac:dyDescent="0.2">
      <c r="A37" s="67">
        <v>44835</v>
      </c>
      <c r="B37" s="58">
        <v>0</v>
      </c>
      <c r="C37" s="58">
        <v>0</v>
      </c>
      <c r="D37" s="58">
        <v>2064.5832799999998</v>
      </c>
      <c r="E37" s="58">
        <v>2777.8702735249135</v>
      </c>
      <c r="F37" s="58">
        <v>4115.4532799999997</v>
      </c>
      <c r="G37" s="58">
        <v>5356.3162525783673</v>
      </c>
      <c r="H37" s="39">
        <v>0.34548715008721453</v>
      </c>
      <c r="I37" s="39">
        <v>0.30151307478294775</v>
      </c>
      <c r="J37" s="39">
        <v>0.31620362551759418</v>
      </c>
    </row>
    <row r="38" spans="1:10" ht="11.25" customHeight="1" x14ac:dyDescent="0.2">
      <c r="A38" s="67">
        <v>44866</v>
      </c>
      <c r="B38" s="58">
        <v>0</v>
      </c>
      <c r="C38" s="58">
        <v>0</v>
      </c>
      <c r="D38" s="58">
        <v>2064.5832799999998</v>
      </c>
      <c r="E38" s="58">
        <v>2777.8702735249135</v>
      </c>
      <c r="F38" s="58">
        <v>4115.4532799999997</v>
      </c>
      <c r="G38" s="58">
        <v>5356.3162525783673</v>
      </c>
      <c r="H38" s="39">
        <v>0.34548715008721453</v>
      </c>
      <c r="I38" s="39">
        <v>0.30151307478294775</v>
      </c>
      <c r="J38" s="39">
        <v>0.31620362551759418</v>
      </c>
    </row>
    <row r="39" spans="1:10" ht="11.25" customHeight="1" x14ac:dyDescent="0.2">
      <c r="A39" s="66" t="s">
        <v>25</v>
      </c>
      <c r="B39" s="58">
        <v>66151.799999999988</v>
      </c>
      <c r="C39" s="58">
        <v>68867.453252544947</v>
      </c>
      <c r="D39" s="58">
        <v>0</v>
      </c>
      <c r="E39" s="58">
        <v>0</v>
      </c>
      <c r="F39" s="58">
        <v>0</v>
      </c>
      <c r="G39" s="58">
        <v>0</v>
      </c>
      <c r="H39" s="39">
        <v>4.1051842165216401E-2</v>
      </c>
      <c r="I39" s="39">
        <v>0</v>
      </c>
      <c r="J39" s="39">
        <v>4.1051842165216401E-2</v>
      </c>
    </row>
    <row r="40" spans="1:10" ht="11.25" customHeight="1" x14ac:dyDescent="0.2">
      <c r="A40" s="67">
        <v>44531</v>
      </c>
      <c r="B40" s="58">
        <v>3564</v>
      </c>
      <c r="C40" s="58">
        <v>3710.308765476831</v>
      </c>
      <c r="D40" s="58">
        <v>0</v>
      </c>
      <c r="E40" s="58">
        <v>0</v>
      </c>
      <c r="F40" s="58">
        <v>0</v>
      </c>
      <c r="G40" s="58">
        <v>0</v>
      </c>
      <c r="H40" s="39">
        <v>4.1051842165216401E-2</v>
      </c>
      <c r="I40" s="39">
        <v>0</v>
      </c>
      <c r="J40" s="39">
        <v>4.1051842165216401E-2</v>
      </c>
    </row>
    <row r="41" spans="1:10" ht="11.25" customHeight="1" x14ac:dyDescent="0.2">
      <c r="A41" s="67">
        <v>44562</v>
      </c>
      <c r="B41" s="58">
        <v>3564</v>
      </c>
      <c r="C41" s="58">
        <v>3710.308765476831</v>
      </c>
      <c r="D41" s="58">
        <v>0</v>
      </c>
      <c r="E41" s="58">
        <v>0</v>
      </c>
      <c r="F41" s="58">
        <v>0</v>
      </c>
      <c r="G41" s="58">
        <v>0</v>
      </c>
      <c r="H41" s="39">
        <v>4.1051842165216401E-2</v>
      </c>
      <c r="I41" s="39">
        <v>0</v>
      </c>
      <c r="J41" s="39">
        <v>4.1051842165216401E-2</v>
      </c>
    </row>
    <row r="42" spans="1:10" ht="11.25" customHeight="1" x14ac:dyDescent="0.2">
      <c r="A42" s="67">
        <v>44593</v>
      </c>
      <c r="B42" s="58">
        <v>3762</v>
      </c>
      <c r="C42" s="58">
        <v>3916.4370302255438</v>
      </c>
      <c r="D42" s="58">
        <v>0</v>
      </c>
      <c r="E42" s="58">
        <v>0</v>
      </c>
      <c r="F42" s="58">
        <v>0</v>
      </c>
      <c r="G42" s="58">
        <v>0</v>
      </c>
      <c r="H42" s="39">
        <v>4.1051842165216401E-2</v>
      </c>
      <c r="I42" s="39">
        <v>0</v>
      </c>
      <c r="J42" s="39">
        <v>4.1051842165216401E-2</v>
      </c>
    </row>
    <row r="43" spans="1:10" ht="11.25" customHeight="1" x14ac:dyDescent="0.2">
      <c r="A43" s="67">
        <v>44621</v>
      </c>
      <c r="B43" s="58">
        <v>3762</v>
      </c>
      <c r="C43" s="58">
        <v>3916.4370302255438</v>
      </c>
      <c r="D43" s="58">
        <v>0</v>
      </c>
      <c r="E43" s="58">
        <v>0</v>
      </c>
      <c r="F43" s="58">
        <v>0</v>
      </c>
      <c r="G43" s="58">
        <v>0</v>
      </c>
      <c r="H43" s="39">
        <v>4.1051842165216401E-2</v>
      </c>
      <c r="I43" s="39">
        <v>0</v>
      </c>
      <c r="J43" s="39">
        <v>4.1051842165216401E-2</v>
      </c>
    </row>
    <row r="44" spans="1:10" ht="11.25" customHeight="1" x14ac:dyDescent="0.2">
      <c r="A44" s="67">
        <v>44652</v>
      </c>
      <c r="B44" s="58">
        <v>3960</v>
      </c>
      <c r="C44" s="58">
        <v>4122.5652949742571</v>
      </c>
      <c r="D44" s="58">
        <v>0</v>
      </c>
      <c r="E44" s="58">
        <v>0</v>
      </c>
      <c r="F44" s="58">
        <v>0</v>
      </c>
      <c r="G44" s="58">
        <v>0</v>
      </c>
      <c r="H44" s="39">
        <v>4.1051842165216401E-2</v>
      </c>
      <c r="I44" s="39">
        <v>0</v>
      </c>
      <c r="J44" s="39">
        <v>4.1051842165216401E-2</v>
      </c>
    </row>
    <row r="45" spans="1:10" ht="11.25" customHeight="1" x14ac:dyDescent="0.2">
      <c r="A45" s="67">
        <v>44682</v>
      </c>
      <c r="B45" s="58">
        <v>8256.6</v>
      </c>
      <c r="C45" s="58">
        <v>8595.5486400213249</v>
      </c>
      <c r="D45" s="58">
        <v>0</v>
      </c>
      <c r="E45" s="58">
        <v>0</v>
      </c>
      <c r="F45" s="58">
        <v>0</v>
      </c>
      <c r="G45" s="58">
        <v>0</v>
      </c>
      <c r="H45" s="39">
        <v>4.1051842165216179E-2</v>
      </c>
      <c r="I45" s="39">
        <v>0</v>
      </c>
      <c r="J45" s="39">
        <v>4.1051842165216179E-2</v>
      </c>
    </row>
    <row r="46" spans="1:10" ht="11.25" customHeight="1" x14ac:dyDescent="0.2">
      <c r="A46" s="67">
        <v>44713</v>
      </c>
      <c r="B46" s="58">
        <v>7068.6</v>
      </c>
      <c r="C46" s="58">
        <v>7358.779051529048</v>
      </c>
      <c r="D46" s="58">
        <v>0</v>
      </c>
      <c r="E46" s="58">
        <v>0</v>
      </c>
      <c r="F46" s="58">
        <v>0</v>
      </c>
      <c r="G46" s="58">
        <v>0</v>
      </c>
      <c r="H46" s="39">
        <v>4.1051842165216179E-2</v>
      </c>
      <c r="I46" s="39">
        <v>0</v>
      </c>
      <c r="J46" s="39">
        <v>4.1051842165216179E-2</v>
      </c>
    </row>
    <row r="47" spans="1:10" ht="11.25" customHeight="1" x14ac:dyDescent="0.2">
      <c r="A47" s="67">
        <v>44743</v>
      </c>
      <c r="B47" s="58">
        <v>7068.6</v>
      </c>
      <c r="C47" s="58">
        <v>7358.779051529048</v>
      </c>
      <c r="D47" s="58">
        <v>0</v>
      </c>
      <c r="E47" s="58">
        <v>0</v>
      </c>
      <c r="F47" s="58">
        <v>0</v>
      </c>
      <c r="G47" s="58">
        <v>0</v>
      </c>
      <c r="H47" s="39">
        <v>4.1051842165216179E-2</v>
      </c>
      <c r="I47" s="39">
        <v>0</v>
      </c>
      <c r="J47" s="39">
        <v>4.1051842165216179E-2</v>
      </c>
    </row>
    <row r="48" spans="1:10" ht="11.25" customHeight="1" x14ac:dyDescent="0.2">
      <c r="A48" s="67">
        <v>44774</v>
      </c>
      <c r="B48" s="58">
        <v>7068.6</v>
      </c>
      <c r="C48" s="58">
        <v>7358.779051529048</v>
      </c>
      <c r="D48" s="58">
        <v>0</v>
      </c>
      <c r="E48" s="58">
        <v>0</v>
      </c>
      <c r="F48" s="58">
        <v>0</v>
      </c>
      <c r="G48" s="58">
        <v>0</v>
      </c>
      <c r="H48" s="39">
        <v>4.1051842165216179E-2</v>
      </c>
      <c r="I48" s="39">
        <v>0</v>
      </c>
      <c r="J48" s="39">
        <v>4.1051842165216179E-2</v>
      </c>
    </row>
    <row r="49" spans="1:10" ht="11.25" customHeight="1" x14ac:dyDescent="0.2">
      <c r="A49" s="67">
        <v>44805</v>
      </c>
      <c r="B49" s="58">
        <v>7068.6</v>
      </c>
      <c r="C49" s="58">
        <v>7358.779051529048</v>
      </c>
      <c r="D49" s="58">
        <v>0</v>
      </c>
      <c r="E49" s="58">
        <v>0</v>
      </c>
      <c r="F49" s="58">
        <v>0</v>
      </c>
      <c r="G49" s="58">
        <v>0</v>
      </c>
      <c r="H49" s="39">
        <v>4.1051842165216179E-2</v>
      </c>
      <c r="I49" s="39">
        <v>0</v>
      </c>
      <c r="J49" s="39">
        <v>4.1051842165216179E-2</v>
      </c>
    </row>
    <row r="50" spans="1:10" ht="11.25" customHeight="1" x14ac:dyDescent="0.2">
      <c r="A50" s="67">
        <v>44835</v>
      </c>
      <c r="B50" s="58">
        <v>5504.4000000000005</v>
      </c>
      <c r="C50" s="58">
        <v>5730.3657600142169</v>
      </c>
      <c r="D50" s="58">
        <v>0</v>
      </c>
      <c r="E50" s="58">
        <v>0</v>
      </c>
      <c r="F50" s="58">
        <v>0</v>
      </c>
      <c r="G50" s="58">
        <v>0</v>
      </c>
      <c r="H50" s="39">
        <v>4.1051842165216179E-2</v>
      </c>
      <c r="I50" s="39">
        <v>0</v>
      </c>
      <c r="J50" s="39">
        <v>4.1051842165216179E-2</v>
      </c>
    </row>
    <row r="51" spans="1:10" ht="11.25" customHeight="1" x14ac:dyDescent="0.2">
      <c r="A51" s="67">
        <v>44866</v>
      </c>
      <c r="B51" s="58">
        <v>5504.4000000000005</v>
      </c>
      <c r="C51" s="58">
        <v>5730.3657600142169</v>
      </c>
      <c r="D51" s="58">
        <v>0</v>
      </c>
      <c r="E51" s="58">
        <v>0</v>
      </c>
      <c r="F51" s="58">
        <v>0</v>
      </c>
      <c r="G51" s="58">
        <v>0</v>
      </c>
      <c r="H51" s="39">
        <v>4.1051842165216179E-2</v>
      </c>
      <c r="I51" s="39">
        <v>0</v>
      </c>
      <c r="J51" s="39">
        <v>4.1051842165216179E-2</v>
      </c>
    </row>
    <row r="52" spans="1:10" ht="11.25" customHeight="1" x14ac:dyDescent="0.2">
      <c r="A52" s="66" t="s">
        <v>36</v>
      </c>
      <c r="B52" s="58">
        <v>0</v>
      </c>
      <c r="C52" s="58">
        <v>0</v>
      </c>
      <c r="D52" s="58">
        <v>32689.986559999998</v>
      </c>
      <c r="E52" s="58">
        <v>33389.057703342878</v>
      </c>
      <c r="F52" s="58">
        <v>6098.2383000000009</v>
      </c>
      <c r="G52" s="58">
        <v>8182.9607405915449</v>
      </c>
      <c r="H52" s="39">
        <v>2.1384870931647093E-2</v>
      </c>
      <c r="I52" s="39">
        <v>0.34185650642605148</v>
      </c>
      <c r="J52" s="39">
        <v>7.1769038000117025E-2</v>
      </c>
    </row>
    <row r="53" spans="1:10" ht="11.25" customHeight="1" x14ac:dyDescent="0.2">
      <c r="A53" s="67">
        <v>44531</v>
      </c>
      <c r="B53" s="58">
        <v>0</v>
      </c>
      <c r="C53" s="58">
        <v>0</v>
      </c>
      <c r="D53" s="58">
        <v>1782.2208000000001</v>
      </c>
      <c r="E53" s="58">
        <v>1820.3333617796966</v>
      </c>
      <c r="F53" s="58">
        <v>332.46899999999999</v>
      </c>
      <c r="G53" s="58">
        <v>446.12569083496305</v>
      </c>
      <c r="H53" s="39">
        <v>2.1384870931646871E-2</v>
      </c>
      <c r="I53" s="39">
        <v>0.34185650642605192</v>
      </c>
      <c r="J53" s="39">
        <v>7.1769038000116803E-2</v>
      </c>
    </row>
    <row r="54" spans="1:10" ht="11.25" customHeight="1" x14ac:dyDescent="0.2">
      <c r="A54" s="67">
        <v>44562</v>
      </c>
      <c r="B54" s="58">
        <v>0</v>
      </c>
      <c r="C54" s="58">
        <v>0</v>
      </c>
      <c r="D54" s="58">
        <v>1782.2208000000001</v>
      </c>
      <c r="E54" s="58">
        <v>1820.3333617796966</v>
      </c>
      <c r="F54" s="58">
        <v>332.46899999999999</v>
      </c>
      <c r="G54" s="58">
        <v>446.12569083496305</v>
      </c>
      <c r="H54" s="39">
        <v>2.1384870931646871E-2</v>
      </c>
      <c r="I54" s="39">
        <v>0.34185650642605192</v>
      </c>
      <c r="J54" s="39">
        <v>7.1769038000116803E-2</v>
      </c>
    </row>
    <row r="55" spans="1:10" ht="11.25" customHeight="1" x14ac:dyDescent="0.2">
      <c r="A55" s="67">
        <v>44593</v>
      </c>
      <c r="B55" s="58">
        <v>0</v>
      </c>
      <c r="C55" s="58">
        <v>0</v>
      </c>
      <c r="D55" s="58">
        <v>1138.88256</v>
      </c>
      <c r="E55" s="58">
        <v>1163.2374165519038</v>
      </c>
      <c r="F55" s="58">
        <v>212.45580000000001</v>
      </c>
      <c r="G55" s="58">
        <v>285.08519755795203</v>
      </c>
      <c r="H55" s="39">
        <v>2.1384870931647093E-2</v>
      </c>
      <c r="I55" s="39">
        <v>0.34185650642605192</v>
      </c>
      <c r="J55" s="39">
        <v>7.1769038000117025E-2</v>
      </c>
    </row>
    <row r="56" spans="1:10" ht="11.25" customHeight="1" x14ac:dyDescent="0.2">
      <c r="A56" s="67">
        <v>44621</v>
      </c>
      <c r="B56" s="58">
        <v>0</v>
      </c>
      <c r="C56" s="58">
        <v>0</v>
      </c>
      <c r="D56" s="58">
        <v>1069.33248</v>
      </c>
      <c r="E56" s="58">
        <v>1092.200017067818</v>
      </c>
      <c r="F56" s="58">
        <v>199.48140000000001</v>
      </c>
      <c r="G56" s="58">
        <v>267.67541450097781</v>
      </c>
      <c r="H56" s="39">
        <v>2.1384870931646871E-2</v>
      </c>
      <c r="I56" s="39">
        <v>0.3418565064260517</v>
      </c>
      <c r="J56" s="39">
        <v>7.1769038000116581E-2</v>
      </c>
    </row>
    <row r="57" spans="1:10" ht="11.25" customHeight="1" x14ac:dyDescent="0.2">
      <c r="A57" s="67">
        <v>44652</v>
      </c>
      <c r="B57" s="58">
        <v>0</v>
      </c>
      <c r="C57" s="58">
        <v>0</v>
      </c>
      <c r="D57" s="58">
        <v>1305.51296</v>
      </c>
      <c r="E57" s="58">
        <v>1333.4311861491924</v>
      </c>
      <c r="F57" s="58">
        <v>243.54030000000003</v>
      </c>
      <c r="G57" s="58">
        <v>326.79613613195261</v>
      </c>
      <c r="H57" s="39">
        <v>2.1384870931646871E-2</v>
      </c>
      <c r="I57" s="39">
        <v>0.3418565064260517</v>
      </c>
      <c r="J57" s="39">
        <v>7.1769038000116803E-2</v>
      </c>
    </row>
    <row r="58" spans="1:10" ht="11.25" customHeight="1" x14ac:dyDescent="0.2">
      <c r="A58" s="67">
        <v>44682</v>
      </c>
      <c r="B58" s="58">
        <v>0</v>
      </c>
      <c r="C58" s="58">
        <v>0</v>
      </c>
      <c r="D58" s="58">
        <v>1373.6140800000001</v>
      </c>
      <c r="E58" s="58">
        <v>1402.988639810693</v>
      </c>
      <c r="F58" s="58">
        <v>256.24439999999998</v>
      </c>
      <c r="G58" s="58">
        <v>343.84321537523982</v>
      </c>
      <c r="H58" s="39">
        <v>2.1384870931646871E-2</v>
      </c>
      <c r="I58" s="39">
        <v>0.34185650642605192</v>
      </c>
      <c r="J58" s="39">
        <v>7.1769038000117025E-2</v>
      </c>
    </row>
    <row r="59" spans="1:10" ht="11.25" customHeight="1" x14ac:dyDescent="0.2">
      <c r="A59" s="67">
        <v>44713</v>
      </c>
      <c r="B59" s="58">
        <v>0</v>
      </c>
      <c r="C59" s="58">
        <v>0</v>
      </c>
      <c r="D59" s="58">
        <v>1621.38624</v>
      </c>
      <c r="E59" s="58">
        <v>1656.0593754727483</v>
      </c>
      <c r="F59" s="58">
        <v>302.46570000000003</v>
      </c>
      <c r="G59" s="58">
        <v>405.86556751571027</v>
      </c>
      <c r="H59" s="39">
        <v>2.1384870931646871E-2</v>
      </c>
      <c r="I59" s="39">
        <v>0.3418565064260517</v>
      </c>
      <c r="J59" s="39">
        <v>7.1769038000116803E-2</v>
      </c>
    </row>
    <row r="60" spans="1:10" ht="11.25" customHeight="1" x14ac:dyDescent="0.2">
      <c r="A60" s="67">
        <v>44743</v>
      </c>
      <c r="B60" s="58">
        <v>0</v>
      </c>
      <c r="C60" s="58">
        <v>0</v>
      </c>
      <c r="D60" s="58">
        <v>2103.8899200000001</v>
      </c>
      <c r="E60" s="58">
        <v>2148.8813343935926</v>
      </c>
      <c r="F60" s="58">
        <v>392.47559999999999</v>
      </c>
      <c r="G60" s="58">
        <v>526.64593747346862</v>
      </c>
      <c r="H60" s="39">
        <v>2.1384870931646649E-2</v>
      </c>
      <c r="I60" s="39">
        <v>0.34185650642605214</v>
      </c>
      <c r="J60" s="39">
        <v>7.1769038000116581E-2</v>
      </c>
    </row>
    <row r="61" spans="1:10" ht="11.25" customHeight="1" x14ac:dyDescent="0.2">
      <c r="A61" s="67">
        <v>44774</v>
      </c>
      <c r="B61" s="58">
        <v>0</v>
      </c>
      <c r="C61" s="58">
        <v>0</v>
      </c>
      <c r="D61" s="58">
        <v>3713.6844800000003</v>
      </c>
      <c r="E61" s="58">
        <v>3793.1011432856608</v>
      </c>
      <c r="F61" s="58">
        <v>692.77890000000002</v>
      </c>
      <c r="G61" s="58">
        <v>929.6098744796833</v>
      </c>
      <c r="H61" s="39">
        <v>2.1384870931646871E-2</v>
      </c>
      <c r="I61" s="39">
        <v>0.34185650642605214</v>
      </c>
      <c r="J61" s="39">
        <v>7.1769038000117025E-2</v>
      </c>
    </row>
    <row r="62" spans="1:10" ht="11.25" customHeight="1" x14ac:dyDescent="0.2">
      <c r="A62" s="67">
        <v>44805</v>
      </c>
      <c r="B62" s="58">
        <v>0</v>
      </c>
      <c r="C62" s="58">
        <v>0</v>
      </c>
      <c r="D62" s="58">
        <v>5546.61888</v>
      </c>
      <c r="E62" s="58">
        <v>5665.2326088558366</v>
      </c>
      <c r="F62" s="58">
        <v>1034.7084</v>
      </c>
      <c r="G62" s="58">
        <v>1388.4301987936899</v>
      </c>
      <c r="H62" s="39">
        <v>2.1384870931647093E-2</v>
      </c>
      <c r="I62" s="39">
        <v>0.34185650642605192</v>
      </c>
      <c r="J62" s="39">
        <v>7.1769038000117025E-2</v>
      </c>
    </row>
    <row r="63" spans="1:10" ht="11.25" customHeight="1" x14ac:dyDescent="0.2">
      <c r="A63" s="67">
        <v>44835</v>
      </c>
      <c r="B63" s="58">
        <v>0</v>
      </c>
      <c r="C63" s="58">
        <v>0</v>
      </c>
      <c r="D63" s="58">
        <v>5626.3116799999998</v>
      </c>
      <c r="E63" s="58">
        <v>5746.6296290980181</v>
      </c>
      <c r="F63" s="58">
        <v>1049.5749000000001</v>
      </c>
      <c r="G63" s="58">
        <v>1408.3789085464728</v>
      </c>
      <c r="H63" s="39">
        <v>2.1384870931647093E-2</v>
      </c>
      <c r="I63" s="39">
        <v>0.3418565064260517</v>
      </c>
      <c r="J63" s="39">
        <v>7.1769038000117025E-2</v>
      </c>
    </row>
    <row r="64" spans="1:10" ht="11.25" customHeight="1" x14ac:dyDescent="0.2">
      <c r="A64" s="67">
        <v>44866</v>
      </c>
      <c r="B64" s="58">
        <v>0</v>
      </c>
      <c r="C64" s="58">
        <v>0</v>
      </c>
      <c r="D64" s="58">
        <v>5626.3116799999998</v>
      </c>
      <c r="E64" s="58">
        <v>5746.6296290980181</v>
      </c>
      <c r="F64" s="58">
        <v>1049.5749000000001</v>
      </c>
      <c r="G64" s="58">
        <v>1408.3789085464728</v>
      </c>
      <c r="H64" s="39">
        <v>2.1384870931647093E-2</v>
      </c>
      <c r="I64" s="39">
        <v>0.3418565064260517</v>
      </c>
      <c r="J64" s="39">
        <v>7.1769038000117025E-2</v>
      </c>
    </row>
    <row r="65" spans="1:10" ht="11.25" customHeight="1" x14ac:dyDescent="0.2">
      <c r="A65" s="62" t="s">
        <v>40</v>
      </c>
      <c r="B65" s="58">
        <v>111850.2</v>
      </c>
      <c r="C65" s="58">
        <v>116441.85675654789</v>
      </c>
      <c r="D65" s="58">
        <v>316293.9375</v>
      </c>
      <c r="E65" s="58">
        <v>364078.06338871649</v>
      </c>
      <c r="F65" s="58">
        <v>287684.01593999995</v>
      </c>
      <c r="G65" s="58">
        <v>375852.39744111121</v>
      </c>
      <c r="H65" s="39">
        <v>0.12233212616455447</v>
      </c>
      <c r="I65" s="39">
        <v>0.30647646937569095</v>
      </c>
      <c r="J65" s="39">
        <v>0.19633785493204403</v>
      </c>
    </row>
    <row r="66" spans="1:10" ht="11.25" customHeight="1" x14ac:dyDescent="0.2">
      <c r="A66" s="63" t="s">
        <v>25</v>
      </c>
      <c r="B66" s="58">
        <v>111850.2</v>
      </c>
      <c r="C66" s="58">
        <v>116441.85675654789</v>
      </c>
      <c r="D66" s="58">
        <v>316293.9375</v>
      </c>
      <c r="E66" s="58">
        <v>364078.06338871649</v>
      </c>
      <c r="F66" s="58">
        <v>287684.01593999995</v>
      </c>
      <c r="G66" s="58">
        <v>375852.39744111121</v>
      </c>
      <c r="H66" s="39">
        <v>0.12233212616455447</v>
      </c>
      <c r="I66" s="39">
        <v>0.30647646937569095</v>
      </c>
      <c r="J66" s="39">
        <v>0.19633785493204403</v>
      </c>
    </row>
    <row r="67" spans="1:10" ht="11.25" customHeight="1" x14ac:dyDescent="0.2">
      <c r="A67" s="64" t="s">
        <v>25</v>
      </c>
      <c r="B67" s="58">
        <v>111850.2</v>
      </c>
      <c r="C67" s="58">
        <v>116441.85675654789</v>
      </c>
      <c r="D67" s="58">
        <v>316293.9375</v>
      </c>
      <c r="E67" s="58">
        <v>364078.06338871649</v>
      </c>
      <c r="F67" s="58">
        <v>287684.01593999995</v>
      </c>
      <c r="G67" s="58">
        <v>375852.39744111121</v>
      </c>
      <c r="H67" s="39">
        <v>0.12233212616455447</v>
      </c>
      <c r="I67" s="39">
        <v>0.30647646937569095</v>
      </c>
      <c r="J67" s="39">
        <v>0.19633785493204403</v>
      </c>
    </row>
    <row r="68" spans="1:10" ht="11.25" customHeight="1" x14ac:dyDescent="0.2">
      <c r="A68" s="65" t="s">
        <v>25</v>
      </c>
      <c r="B68" s="58">
        <v>111850.2</v>
      </c>
      <c r="C68" s="58">
        <v>116441.85675654789</v>
      </c>
      <c r="D68" s="58">
        <v>316293.9375</v>
      </c>
      <c r="E68" s="58">
        <v>364078.06338871649</v>
      </c>
      <c r="F68" s="58">
        <v>287684.01593999995</v>
      </c>
      <c r="G68" s="58">
        <v>375852.39744111121</v>
      </c>
      <c r="H68" s="39">
        <v>0.12233212616455447</v>
      </c>
      <c r="I68" s="39">
        <v>0.30647646937569095</v>
      </c>
      <c r="J68" s="39">
        <v>0.19633785493204403</v>
      </c>
    </row>
    <row r="69" spans="1:10" ht="11.25" customHeight="1" x14ac:dyDescent="0.2">
      <c r="A69" s="66" t="s">
        <v>37</v>
      </c>
      <c r="B69" s="58">
        <v>0</v>
      </c>
      <c r="C69" s="58">
        <v>0</v>
      </c>
      <c r="D69" s="58">
        <v>126565.66614000002</v>
      </c>
      <c r="E69" s="58">
        <v>170292.47743359848</v>
      </c>
      <c r="F69" s="58">
        <v>252290.66363999998</v>
      </c>
      <c r="G69" s="58">
        <v>328359.59737312683</v>
      </c>
      <c r="H69" s="39">
        <v>0.34548715008721409</v>
      </c>
      <c r="I69" s="39">
        <v>0.30151307478294798</v>
      </c>
      <c r="J69" s="39">
        <v>0.3162036255175944</v>
      </c>
    </row>
    <row r="70" spans="1:10" ht="11.25" customHeight="1" x14ac:dyDescent="0.2">
      <c r="A70" s="67">
        <v>44531</v>
      </c>
      <c r="B70" s="58">
        <v>0</v>
      </c>
      <c r="C70" s="58">
        <v>0</v>
      </c>
      <c r="D70" s="58">
        <v>8163.5686800000012</v>
      </c>
      <c r="E70" s="58">
        <v>10983.976757794444</v>
      </c>
      <c r="F70" s="58">
        <v>16272.913680000001</v>
      </c>
      <c r="G70" s="58">
        <v>21179.409919334292</v>
      </c>
      <c r="H70" s="39">
        <v>0.34548715008721431</v>
      </c>
      <c r="I70" s="39">
        <v>0.30151307478294753</v>
      </c>
      <c r="J70" s="39">
        <v>0.31620362551759418</v>
      </c>
    </row>
    <row r="71" spans="1:10" ht="11.25" customHeight="1" x14ac:dyDescent="0.2">
      <c r="A71" s="67">
        <v>44562</v>
      </c>
      <c r="B71" s="58">
        <v>0</v>
      </c>
      <c r="C71" s="58">
        <v>0</v>
      </c>
      <c r="D71" s="58">
        <v>8191.8125300000002</v>
      </c>
      <c r="E71" s="58">
        <v>11021.978495038435</v>
      </c>
      <c r="F71" s="58">
        <v>16329.21378</v>
      </c>
      <c r="G71" s="58">
        <v>21252.68523559588</v>
      </c>
      <c r="H71" s="39">
        <v>0.34548715008721453</v>
      </c>
      <c r="I71" s="39">
        <v>0.30151307478294775</v>
      </c>
      <c r="J71" s="39">
        <v>0.31620362551759418</v>
      </c>
    </row>
    <row r="72" spans="1:10" ht="11.25" customHeight="1" x14ac:dyDescent="0.2">
      <c r="A72" s="67">
        <v>44593</v>
      </c>
      <c r="B72" s="58">
        <v>0</v>
      </c>
      <c r="C72" s="58">
        <v>0</v>
      </c>
      <c r="D72" s="58">
        <v>6856.8479899999993</v>
      </c>
      <c r="E72" s="58">
        <v>9225.8008606463445</v>
      </c>
      <c r="F72" s="58">
        <v>13668.151739999999</v>
      </c>
      <c r="G72" s="58">
        <v>17789.278197727297</v>
      </c>
      <c r="H72" s="39">
        <v>0.34548715008721453</v>
      </c>
      <c r="I72" s="39">
        <v>0.30151307478294775</v>
      </c>
      <c r="J72" s="39">
        <v>0.31620362551759418</v>
      </c>
    </row>
    <row r="73" spans="1:10" ht="11.25" customHeight="1" x14ac:dyDescent="0.2">
      <c r="A73" s="67">
        <v>44621</v>
      </c>
      <c r="B73" s="58">
        <v>0</v>
      </c>
      <c r="C73" s="58">
        <v>0</v>
      </c>
      <c r="D73" s="58">
        <v>8209.0960799999993</v>
      </c>
      <c r="E73" s="58">
        <v>11045.233289471324</v>
      </c>
      <c r="F73" s="58">
        <v>16363.666079999999</v>
      </c>
      <c r="G73" s="58">
        <v>21297.525354502224</v>
      </c>
      <c r="H73" s="39">
        <v>0.34548715008721453</v>
      </c>
      <c r="I73" s="39">
        <v>0.30151307478294775</v>
      </c>
      <c r="J73" s="39">
        <v>0.31620362551759418</v>
      </c>
    </row>
    <row r="74" spans="1:10" ht="11.25" customHeight="1" x14ac:dyDescent="0.2">
      <c r="A74" s="67">
        <v>44652</v>
      </c>
      <c r="B74" s="58">
        <v>0</v>
      </c>
      <c r="C74" s="58">
        <v>0</v>
      </c>
      <c r="D74" s="58">
        <v>14259.856159999999</v>
      </c>
      <c r="E74" s="58">
        <v>19186.45322537201</v>
      </c>
      <c r="F74" s="58">
        <v>28424.996159999999</v>
      </c>
      <c r="G74" s="58">
        <v>36995.504152895082</v>
      </c>
      <c r="H74" s="39">
        <v>0.34548715008721453</v>
      </c>
      <c r="I74" s="39">
        <v>0.30151307478294775</v>
      </c>
      <c r="J74" s="39">
        <v>0.31620362551759418</v>
      </c>
    </row>
    <row r="75" spans="1:10" ht="11.25" customHeight="1" x14ac:dyDescent="0.2">
      <c r="A75" s="67">
        <v>44682</v>
      </c>
      <c r="B75" s="58">
        <v>0</v>
      </c>
      <c r="C75" s="58">
        <v>0</v>
      </c>
      <c r="D75" s="58">
        <v>7641.2682299999997</v>
      </c>
      <c r="E75" s="58">
        <v>10281.228213834675</v>
      </c>
      <c r="F75" s="58">
        <v>15231.78198</v>
      </c>
      <c r="G75" s="58">
        <v>19824.363399213296</v>
      </c>
      <c r="H75" s="39">
        <v>0.34548715008721453</v>
      </c>
      <c r="I75" s="39">
        <v>0.30151307478294775</v>
      </c>
      <c r="J75" s="39">
        <v>0.31620362551759418</v>
      </c>
    </row>
    <row r="76" spans="1:10" ht="11.25" customHeight="1" x14ac:dyDescent="0.2">
      <c r="A76" s="67">
        <v>44713</v>
      </c>
      <c r="B76" s="58">
        <v>0</v>
      </c>
      <c r="C76" s="58">
        <v>0</v>
      </c>
      <c r="D76" s="58">
        <v>9381.8481800000009</v>
      </c>
      <c r="E76" s="58">
        <v>12623.156170259121</v>
      </c>
      <c r="F76" s="58">
        <v>18701.380680000002</v>
      </c>
      <c r="G76" s="58">
        <v>24340.091471513217</v>
      </c>
      <c r="H76" s="39">
        <v>0.34548715008721453</v>
      </c>
      <c r="I76" s="39">
        <v>0.30151307478294775</v>
      </c>
      <c r="J76" s="39">
        <v>0.31620362551759418</v>
      </c>
    </row>
    <row r="77" spans="1:10" ht="11.25" customHeight="1" x14ac:dyDescent="0.2">
      <c r="A77" s="67">
        <v>44743</v>
      </c>
      <c r="B77" s="58">
        <v>0</v>
      </c>
      <c r="C77" s="58">
        <v>0</v>
      </c>
      <c r="D77" s="58">
        <v>9216.1790300000011</v>
      </c>
      <c r="E77" s="58">
        <v>12400.250457768252</v>
      </c>
      <c r="F77" s="58">
        <v>18371.142780000002</v>
      </c>
      <c r="G77" s="58">
        <v>23910.282526874351</v>
      </c>
      <c r="H77" s="39">
        <v>0.34548715008721476</v>
      </c>
      <c r="I77" s="39">
        <v>0.30151307478294753</v>
      </c>
      <c r="J77" s="39">
        <v>0.31620362551759418</v>
      </c>
    </row>
    <row r="78" spans="1:10" ht="11.25" customHeight="1" x14ac:dyDescent="0.2">
      <c r="A78" s="67">
        <v>44774</v>
      </c>
      <c r="B78" s="58">
        <v>0</v>
      </c>
      <c r="C78" s="58">
        <v>0</v>
      </c>
      <c r="D78" s="58">
        <v>7138.1061499999996</v>
      </c>
      <c r="E78" s="58">
        <v>9604.2301007835194</v>
      </c>
      <c r="F78" s="58">
        <v>14228.799899999998</v>
      </c>
      <c r="G78" s="58">
        <v>18518.9691083203</v>
      </c>
      <c r="H78" s="39">
        <v>0.34548715008721476</v>
      </c>
      <c r="I78" s="39">
        <v>0.30151307478294798</v>
      </c>
      <c r="J78" s="39">
        <v>0.3162036255175944</v>
      </c>
    </row>
    <row r="79" spans="1:10" ht="11.25" customHeight="1" x14ac:dyDescent="0.2">
      <c r="A79" s="67">
        <v>44805</v>
      </c>
      <c r="B79" s="58">
        <v>0</v>
      </c>
      <c r="C79" s="58">
        <v>0</v>
      </c>
      <c r="D79" s="58">
        <v>23294.768689999997</v>
      </c>
      <c r="E79" s="58">
        <v>31342.811936648977</v>
      </c>
      <c r="F79" s="58">
        <v>46434.809939999992</v>
      </c>
      <c r="G79" s="58">
        <v>60435.512261971184</v>
      </c>
      <c r="H79" s="39">
        <v>0.34548715008721476</v>
      </c>
      <c r="I79" s="39">
        <v>0.30151307478294798</v>
      </c>
      <c r="J79" s="39">
        <v>0.3162036255175944</v>
      </c>
    </row>
    <row r="80" spans="1:10" ht="11.25" customHeight="1" x14ac:dyDescent="0.2">
      <c r="A80" s="67">
        <v>44835</v>
      </c>
      <c r="B80" s="58">
        <v>0</v>
      </c>
      <c r="C80" s="58">
        <v>0</v>
      </c>
      <c r="D80" s="58">
        <v>12106.157209999999</v>
      </c>
      <c r="E80" s="58">
        <v>16288.678962990685</v>
      </c>
      <c r="F80" s="58">
        <v>24131.903460000001</v>
      </c>
      <c r="G80" s="58">
        <v>31407.98787258986</v>
      </c>
      <c r="H80" s="39">
        <v>0.34548715008721476</v>
      </c>
      <c r="I80" s="39">
        <v>0.30151307478294775</v>
      </c>
      <c r="J80" s="39">
        <v>0.3162036255175944</v>
      </c>
    </row>
    <row r="81" spans="1:10" ht="11.25" customHeight="1" x14ac:dyDescent="0.2">
      <c r="A81" s="67">
        <v>44866</v>
      </c>
      <c r="B81" s="58">
        <v>0</v>
      </c>
      <c r="C81" s="58">
        <v>0</v>
      </c>
      <c r="D81" s="58">
        <v>12106.157209999999</v>
      </c>
      <c r="E81" s="58">
        <v>16288.678962990685</v>
      </c>
      <c r="F81" s="58">
        <v>24131.903460000001</v>
      </c>
      <c r="G81" s="58">
        <v>31407.98787258986</v>
      </c>
      <c r="H81" s="39">
        <v>0.34548715008721476</v>
      </c>
      <c r="I81" s="39">
        <v>0.30151307478294775</v>
      </c>
      <c r="J81" s="39">
        <v>0.3162036255175944</v>
      </c>
    </row>
    <row r="82" spans="1:10" ht="11.25" customHeight="1" x14ac:dyDescent="0.2">
      <c r="A82" s="66" t="s">
        <v>25</v>
      </c>
      <c r="B82" s="58">
        <v>111850.2</v>
      </c>
      <c r="C82" s="58">
        <v>116441.85675654789</v>
      </c>
      <c r="D82" s="58">
        <v>0</v>
      </c>
      <c r="E82" s="58">
        <v>0</v>
      </c>
      <c r="F82" s="58">
        <v>0</v>
      </c>
      <c r="G82" s="58">
        <v>0</v>
      </c>
      <c r="H82" s="39">
        <v>4.1051842165216401E-2</v>
      </c>
      <c r="I82" s="39">
        <v>0</v>
      </c>
      <c r="J82" s="39">
        <v>4.1051842165216401E-2</v>
      </c>
    </row>
    <row r="83" spans="1:10" ht="11.25" customHeight="1" x14ac:dyDescent="0.2">
      <c r="A83" s="67">
        <v>44531</v>
      </c>
      <c r="B83" s="58">
        <v>8157.6</v>
      </c>
      <c r="C83" s="58">
        <v>8492.4845076469683</v>
      </c>
      <c r="D83" s="58">
        <v>0</v>
      </c>
      <c r="E83" s="58">
        <v>0</v>
      </c>
      <c r="F83" s="58">
        <v>0</v>
      </c>
      <c r="G83" s="58">
        <v>0</v>
      </c>
      <c r="H83" s="39">
        <v>4.1051842165216179E-2</v>
      </c>
      <c r="I83" s="39">
        <v>0</v>
      </c>
      <c r="J83" s="39">
        <v>4.1051842165216179E-2</v>
      </c>
    </row>
    <row r="84" spans="1:10" ht="11.25" customHeight="1" x14ac:dyDescent="0.2">
      <c r="A84" s="67">
        <v>44562</v>
      </c>
      <c r="B84" s="58">
        <v>7939.8</v>
      </c>
      <c r="C84" s="58">
        <v>8265.7434164233855</v>
      </c>
      <c r="D84" s="58">
        <v>0</v>
      </c>
      <c r="E84" s="58">
        <v>0</v>
      </c>
      <c r="F84" s="58">
        <v>0</v>
      </c>
      <c r="G84" s="58">
        <v>0</v>
      </c>
      <c r="H84" s="39">
        <v>4.1051842165216401E-2</v>
      </c>
      <c r="I84" s="39">
        <v>0</v>
      </c>
      <c r="J84" s="39">
        <v>4.1051842165216401E-2</v>
      </c>
    </row>
    <row r="85" spans="1:10" ht="11.25" customHeight="1" x14ac:dyDescent="0.2">
      <c r="A85" s="67">
        <v>44593</v>
      </c>
      <c r="B85" s="58">
        <v>7880.4000000000005</v>
      </c>
      <c r="C85" s="58">
        <v>8203.9049369987715</v>
      </c>
      <c r="D85" s="58">
        <v>0</v>
      </c>
      <c r="E85" s="58">
        <v>0</v>
      </c>
      <c r="F85" s="58">
        <v>0</v>
      </c>
      <c r="G85" s="58">
        <v>0</v>
      </c>
      <c r="H85" s="39">
        <v>4.1051842165216401E-2</v>
      </c>
      <c r="I85" s="39">
        <v>0</v>
      </c>
      <c r="J85" s="39">
        <v>4.1051842165216401E-2</v>
      </c>
    </row>
    <row r="86" spans="1:10" ht="11.25" customHeight="1" x14ac:dyDescent="0.2">
      <c r="A86" s="67">
        <v>44621</v>
      </c>
      <c r="B86" s="58">
        <v>9226.8000000000011</v>
      </c>
      <c r="C86" s="58">
        <v>9605.5771372900181</v>
      </c>
      <c r="D86" s="58">
        <v>0</v>
      </c>
      <c r="E86" s="58">
        <v>0</v>
      </c>
      <c r="F86" s="58">
        <v>0</v>
      </c>
      <c r="G86" s="58">
        <v>0</v>
      </c>
      <c r="H86" s="39">
        <v>4.1051842165216179E-2</v>
      </c>
      <c r="I86" s="39">
        <v>0</v>
      </c>
      <c r="J86" s="39">
        <v>4.1051842165216179E-2</v>
      </c>
    </row>
    <row r="87" spans="1:10" ht="11.25" customHeight="1" x14ac:dyDescent="0.2">
      <c r="A87" s="67">
        <v>44652</v>
      </c>
      <c r="B87" s="58">
        <v>7999.2000000000007</v>
      </c>
      <c r="C87" s="58">
        <v>8327.5818958479995</v>
      </c>
      <c r="D87" s="58">
        <v>0</v>
      </c>
      <c r="E87" s="58">
        <v>0</v>
      </c>
      <c r="F87" s="58">
        <v>0</v>
      </c>
      <c r="G87" s="58">
        <v>0</v>
      </c>
      <c r="H87" s="39">
        <v>4.1051842165216401E-2</v>
      </c>
      <c r="I87" s="39">
        <v>0</v>
      </c>
      <c r="J87" s="39">
        <v>4.1051842165216401E-2</v>
      </c>
    </row>
    <row r="88" spans="1:10" ht="11.25" customHeight="1" x14ac:dyDescent="0.2">
      <c r="A88" s="67">
        <v>44682</v>
      </c>
      <c r="B88" s="58">
        <v>7880.4000000000005</v>
      </c>
      <c r="C88" s="58">
        <v>8203.9049369987715</v>
      </c>
      <c r="D88" s="58">
        <v>0</v>
      </c>
      <c r="E88" s="58">
        <v>0</v>
      </c>
      <c r="F88" s="58">
        <v>0</v>
      </c>
      <c r="G88" s="58">
        <v>0</v>
      </c>
      <c r="H88" s="39">
        <v>4.1051842165216401E-2</v>
      </c>
      <c r="I88" s="39">
        <v>0</v>
      </c>
      <c r="J88" s="39">
        <v>4.1051842165216401E-2</v>
      </c>
    </row>
    <row r="89" spans="1:10" ht="11.25" customHeight="1" x14ac:dyDescent="0.2">
      <c r="A89" s="67">
        <v>44713</v>
      </c>
      <c r="B89" s="58">
        <v>8949.6</v>
      </c>
      <c r="C89" s="58">
        <v>9316.9975666418195</v>
      </c>
      <c r="D89" s="58">
        <v>0</v>
      </c>
      <c r="E89" s="58">
        <v>0</v>
      </c>
      <c r="F89" s="58">
        <v>0</v>
      </c>
      <c r="G89" s="58">
        <v>0</v>
      </c>
      <c r="H89" s="39">
        <v>4.1051842165216179E-2</v>
      </c>
      <c r="I89" s="39">
        <v>0</v>
      </c>
      <c r="J89" s="39">
        <v>4.1051842165216179E-2</v>
      </c>
    </row>
    <row r="90" spans="1:10" ht="11.25" customHeight="1" x14ac:dyDescent="0.2">
      <c r="A90" s="67">
        <v>44743</v>
      </c>
      <c r="B90" s="58">
        <v>8969.4000000000015</v>
      </c>
      <c r="C90" s="58">
        <v>9337.6103931166908</v>
      </c>
      <c r="D90" s="58">
        <v>0</v>
      </c>
      <c r="E90" s="58">
        <v>0</v>
      </c>
      <c r="F90" s="58">
        <v>0</v>
      </c>
      <c r="G90" s="58">
        <v>0</v>
      </c>
      <c r="H90" s="39">
        <v>4.1051842165216179E-2</v>
      </c>
      <c r="I90" s="39">
        <v>0</v>
      </c>
      <c r="J90" s="39">
        <v>4.1051842165216179E-2</v>
      </c>
    </row>
    <row r="91" spans="1:10" ht="11.25" customHeight="1" x14ac:dyDescent="0.2">
      <c r="A91" s="67">
        <v>44774</v>
      </c>
      <c r="B91" s="58">
        <v>10652.400000000001</v>
      </c>
      <c r="C91" s="58">
        <v>11089.70064348075</v>
      </c>
      <c r="D91" s="58">
        <v>0</v>
      </c>
      <c r="E91" s="58">
        <v>0</v>
      </c>
      <c r="F91" s="58">
        <v>0</v>
      </c>
      <c r="G91" s="58">
        <v>0</v>
      </c>
      <c r="H91" s="39">
        <v>4.1051842165216179E-2</v>
      </c>
      <c r="I91" s="39">
        <v>0</v>
      </c>
      <c r="J91" s="39">
        <v>4.1051842165216179E-2</v>
      </c>
    </row>
    <row r="92" spans="1:10" ht="11.25" customHeight="1" x14ac:dyDescent="0.2">
      <c r="A92" s="67">
        <v>44805</v>
      </c>
      <c r="B92" s="58">
        <v>11464.2</v>
      </c>
      <c r="C92" s="58">
        <v>11934.826528950472</v>
      </c>
      <c r="D92" s="58">
        <v>0</v>
      </c>
      <c r="E92" s="58">
        <v>0</v>
      </c>
      <c r="F92" s="58">
        <v>0</v>
      </c>
      <c r="G92" s="58">
        <v>0</v>
      </c>
      <c r="H92" s="39">
        <v>4.1051842165216179E-2</v>
      </c>
      <c r="I92" s="39">
        <v>0</v>
      </c>
      <c r="J92" s="39">
        <v>4.1051842165216179E-2</v>
      </c>
    </row>
    <row r="93" spans="1:10" ht="11.25" customHeight="1" x14ac:dyDescent="0.2">
      <c r="A93" s="67">
        <v>44835</v>
      </c>
      <c r="B93" s="58">
        <v>11365.2</v>
      </c>
      <c r="C93" s="58">
        <v>11831.762396576116</v>
      </c>
      <c r="D93" s="58">
        <v>0</v>
      </c>
      <c r="E93" s="58">
        <v>0</v>
      </c>
      <c r="F93" s="58">
        <v>0</v>
      </c>
      <c r="G93" s="58">
        <v>0</v>
      </c>
      <c r="H93" s="39">
        <v>4.1051842165216179E-2</v>
      </c>
      <c r="I93" s="39">
        <v>0</v>
      </c>
      <c r="J93" s="39">
        <v>4.1051842165216179E-2</v>
      </c>
    </row>
    <row r="94" spans="1:10" ht="11.25" customHeight="1" x14ac:dyDescent="0.2">
      <c r="A94" s="67">
        <v>44866</v>
      </c>
      <c r="B94" s="58">
        <v>11365.2</v>
      </c>
      <c r="C94" s="58">
        <v>11831.762396576116</v>
      </c>
      <c r="D94" s="58">
        <v>0</v>
      </c>
      <c r="E94" s="58">
        <v>0</v>
      </c>
      <c r="F94" s="58">
        <v>0</v>
      </c>
      <c r="G94" s="58">
        <v>0</v>
      </c>
      <c r="H94" s="39">
        <v>4.1051842165216179E-2</v>
      </c>
      <c r="I94" s="39">
        <v>0</v>
      </c>
      <c r="J94" s="39">
        <v>4.1051842165216179E-2</v>
      </c>
    </row>
    <row r="95" spans="1:10" ht="11.25" customHeight="1" x14ac:dyDescent="0.2">
      <c r="A95" s="66" t="s">
        <v>36</v>
      </c>
      <c r="B95" s="58">
        <v>0</v>
      </c>
      <c r="C95" s="58">
        <v>0</v>
      </c>
      <c r="D95" s="58">
        <v>189728.27135999996</v>
      </c>
      <c r="E95" s="58">
        <v>193785.58595511812</v>
      </c>
      <c r="F95" s="58">
        <v>35393.352299999999</v>
      </c>
      <c r="G95" s="58">
        <v>47492.80006798447</v>
      </c>
      <c r="H95" s="39">
        <v>2.1384870931646871E-2</v>
      </c>
      <c r="I95" s="39">
        <v>0.34185650642605192</v>
      </c>
      <c r="J95" s="39">
        <v>7.1769038000116803E-2</v>
      </c>
    </row>
    <row r="96" spans="1:10" ht="11.25" customHeight="1" x14ac:dyDescent="0.2">
      <c r="A96" s="67">
        <v>44531</v>
      </c>
      <c r="B96" s="58">
        <v>0</v>
      </c>
      <c r="C96" s="58">
        <v>0</v>
      </c>
      <c r="D96" s="58">
        <v>15011.2256</v>
      </c>
      <c r="E96" s="58">
        <v>15332.238721981834</v>
      </c>
      <c r="F96" s="58">
        <v>2800.308</v>
      </c>
      <c r="G96" s="58">
        <v>3757.6115097969241</v>
      </c>
      <c r="H96" s="39">
        <v>2.1384870931646871E-2</v>
      </c>
      <c r="I96" s="39">
        <v>0.3418565064260517</v>
      </c>
      <c r="J96" s="39">
        <v>7.1769038000116803E-2</v>
      </c>
    </row>
    <row r="97" spans="1:10" ht="11.25" customHeight="1" x14ac:dyDescent="0.2">
      <c r="A97" s="67">
        <v>44562</v>
      </c>
      <c r="B97" s="58">
        <v>0</v>
      </c>
      <c r="C97" s="58">
        <v>0</v>
      </c>
      <c r="D97" s="58">
        <v>10428.16512</v>
      </c>
      <c r="E97" s="58">
        <v>10651.170085145102</v>
      </c>
      <c r="F97" s="58">
        <v>1945.3491000000001</v>
      </c>
      <c r="G97" s="58">
        <v>2610.3793471050644</v>
      </c>
      <c r="H97" s="39">
        <v>2.1384870931646871E-2</v>
      </c>
      <c r="I97" s="39">
        <v>0.34185650642605192</v>
      </c>
      <c r="J97" s="39">
        <v>7.1769038000117025E-2</v>
      </c>
    </row>
    <row r="98" spans="1:10" ht="11.25" customHeight="1" x14ac:dyDescent="0.2">
      <c r="A98" s="67">
        <v>44593</v>
      </c>
      <c r="B98" s="58">
        <v>0</v>
      </c>
      <c r="C98" s="58">
        <v>0</v>
      </c>
      <c r="D98" s="58">
        <v>12650.86976</v>
      </c>
      <c r="E98" s="58">
        <v>12921.406976990676</v>
      </c>
      <c r="F98" s="58">
        <v>2359.9893000000002</v>
      </c>
      <c r="G98" s="58">
        <v>3166.7669973008637</v>
      </c>
      <c r="H98" s="39">
        <v>2.1384870931647093E-2</v>
      </c>
      <c r="I98" s="39">
        <v>0.3418565064260517</v>
      </c>
      <c r="J98" s="39">
        <v>7.1769038000117025E-2</v>
      </c>
    </row>
    <row r="99" spans="1:10" ht="11.25" customHeight="1" x14ac:dyDescent="0.2">
      <c r="A99" s="67">
        <v>44621</v>
      </c>
      <c r="B99" s="58">
        <v>0</v>
      </c>
      <c r="C99" s="58">
        <v>0</v>
      </c>
      <c r="D99" s="58">
        <v>14870.67648</v>
      </c>
      <c r="E99" s="58">
        <v>15188.683977191078</v>
      </c>
      <c r="F99" s="58">
        <v>2774.0889000000002</v>
      </c>
      <c r="G99" s="58">
        <v>3722.4292398692892</v>
      </c>
      <c r="H99" s="39">
        <v>2.1384870931646871E-2</v>
      </c>
      <c r="I99" s="39">
        <v>0.3418565064260517</v>
      </c>
      <c r="J99" s="39">
        <v>7.1769038000116803E-2</v>
      </c>
    </row>
    <row r="100" spans="1:10" ht="11.25" customHeight="1" x14ac:dyDescent="0.2">
      <c r="A100" s="67">
        <v>44652</v>
      </c>
      <c r="B100" s="58">
        <v>0</v>
      </c>
      <c r="C100" s="58">
        <v>0</v>
      </c>
      <c r="D100" s="58">
        <v>28379.330559999999</v>
      </c>
      <c r="E100" s="58">
        <v>28986.218881152145</v>
      </c>
      <c r="F100" s="58">
        <v>5294.0958000000001</v>
      </c>
      <c r="G100" s="58">
        <v>7103.9168948728338</v>
      </c>
      <c r="H100" s="39">
        <v>2.1384870931647093E-2</v>
      </c>
      <c r="I100" s="39">
        <v>0.3418565064260517</v>
      </c>
      <c r="J100" s="39">
        <v>7.1769038000117025E-2</v>
      </c>
    </row>
    <row r="101" spans="1:10" ht="11.25" customHeight="1" x14ac:dyDescent="0.2">
      <c r="A101" s="67">
        <v>44682</v>
      </c>
      <c r="B101" s="58">
        <v>0</v>
      </c>
      <c r="C101" s="58">
        <v>0</v>
      </c>
      <c r="D101" s="58">
        <v>13311.595519999999</v>
      </c>
      <c r="E101" s="58">
        <v>13596.262272089489</v>
      </c>
      <c r="F101" s="58">
        <v>2483.2460999999998</v>
      </c>
      <c r="G101" s="58">
        <v>3332.1599363421183</v>
      </c>
      <c r="H101" s="39">
        <v>2.1384870931646871E-2</v>
      </c>
      <c r="I101" s="39">
        <v>0.34185650642605192</v>
      </c>
      <c r="J101" s="39">
        <v>7.1769038000116803E-2</v>
      </c>
    </row>
    <row r="102" spans="1:10" ht="11.25" customHeight="1" x14ac:dyDescent="0.2">
      <c r="A102" s="67">
        <v>44713</v>
      </c>
      <c r="B102" s="58">
        <v>0</v>
      </c>
      <c r="C102" s="58">
        <v>0</v>
      </c>
      <c r="D102" s="58">
        <v>14914.145280000001</v>
      </c>
      <c r="E102" s="58">
        <v>15233.082351868634</v>
      </c>
      <c r="F102" s="58">
        <v>2782.1979000000006</v>
      </c>
      <c r="G102" s="58">
        <v>3733.3103542798985</v>
      </c>
      <c r="H102" s="39">
        <v>2.1384870931647093E-2</v>
      </c>
      <c r="I102" s="39">
        <v>0.3418565064260517</v>
      </c>
      <c r="J102" s="39">
        <v>7.1769038000117247E-2</v>
      </c>
    </row>
    <row r="103" spans="1:10" ht="11.25" customHeight="1" x14ac:dyDescent="0.2">
      <c r="A103" s="67">
        <v>44743</v>
      </c>
      <c r="B103" s="58">
        <v>0</v>
      </c>
      <c r="C103" s="58">
        <v>0</v>
      </c>
      <c r="D103" s="58">
        <v>13750.630399999998</v>
      </c>
      <c r="E103" s="58">
        <v>14044.685856332781</v>
      </c>
      <c r="F103" s="58">
        <v>2565.1469999999999</v>
      </c>
      <c r="G103" s="58">
        <v>3442.0591918892678</v>
      </c>
      <c r="H103" s="39">
        <v>2.1384870931647093E-2</v>
      </c>
      <c r="I103" s="39">
        <v>0.34185650642605192</v>
      </c>
      <c r="J103" s="39">
        <v>7.1769038000117025E-2</v>
      </c>
    </row>
    <row r="104" spans="1:10" ht="11.25" customHeight="1" x14ac:dyDescent="0.2">
      <c r="A104" s="67">
        <v>44774</v>
      </c>
      <c r="B104" s="58">
        <v>0</v>
      </c>
      <c r="C104" s="58">
        <v>0</v>
      </c>
      <c r="D104" s="58">
        <v>8225.7459199999994</v>
      </c>
      <c r="E104" s="58">
        <v>8401.6524348157218</v>
      </c>
      <c r="F104" s="58">
        <v>1534.4931000000001</v>
      </c>
      <c r="G104" s="58">
        <v>2059.0695503008819</v>
      </c>
      <c r="H104" s="39">
        <v>2.1384870931647093E-2</v>
      </c>
      <c r="I104" s="39">
        <v>0.34185650642605148</v>
      </c>
      <c r="J104" s="39">
        <v>7.1769038000117025E-2</v>
      </c>
    </row>
    <row r="105" spans="1:10" ht="11.25" customHeight="1" x14ac:dyDescent="0.2">
      <c r="A105" s="67">
        <v>44805</v>
      </c>
      <c r="B105" s="58">
        <v>0</v>
      </c>
      <c r="C105" s="58">
        <v>0</v>
      </c>
      <c r="D105" s="58">
        <v>20634.639360000001</v>
      </c>
      <c r="E105" s="58">
        <v>21075.908459434686</v>
      </c>
      <c r="F105" s="58">
        <v>3849.3423000000003</v>
      </c>
      <c r="G105" s="58">
        <v>5165.2650107160243</v>
      </c>
      <c r="H105" s="39">
        <v>2.1384870931647093E-2</v>
      </c>
      <c r="I105" s="39">
        <v>0.34185650642605214</v>
      </c>
      <c r="J105" s="39">
        <v>7.1769038000117025E-2</v>
      </c>
    </row>
    <row r="106" spans="1:10" ht="11.25" customHeight="1" x14ac:dyDescent="0.2">
      <c r="A106" s="67">
        <v>44835</v>
      </c>
      <c r="B106" s="58">
        <v>0</v>
      </c>
      <c r="C106" s="58">
        <v>0</v>
      </c>
      <c r="D106" s="58">
        <v>18775.623680000001</v>
      </c>
      <c r="E106" s="58">
        <v>19177.137969057974</v>
      </c>
      <c r="F106" s="58">
        <v>3502.5474000000004</v>
      </c>
      <c r="G106" s="58">
        <v>4699.9160177556514</v>
      </c>
      <c r="H106" s="39">
        <v>2.1384870931646871E-2</v>
      </c>
      <c r="I106" s="39">
        <v>0.3418565064260517</v>
      </c>
      <c r="J106" s="39">
        <v>7.1769038000116803E-2</v>
      </c>
    </row>
    <row r="107" spans="1:10" ht="11.25" customHeight="1" x14ac:dyDescent="0.2">
      <c r="A107" s="67">
        <v>44866</v>
      </c>
      <c r="B107" s="58">
        <v>0</v>
      </c>
      <c r="C107" s="58">
        <v>0</v>
      </c>
      <c r="D107" s="58">
        <v>18775.623680000001</v>
      </c>
      <c r="E107" s="58">
        <v>19177.137969057974</v>
      </c>
      <c r="F107" s="58">
        <v>3502.5474000000004</v>
      </c>
      <c r="G107" s="58">
        <v>4699.9160177556514</v>
      </c>
      <c r="H107" s="39">
        <v>2.1384870931646871E-2</v>
      </c>
      <c r="I107" s="39">
        <v>0.3418565064260517</v>
      </c>
      <c r="J107" s="39">
        <v>7.1769038000116803E-2</v>
      </c>
    </row>
    <row r="108" spans="1:10" ht="11.25" customHeight="1" x14ac:dyDescent="0.2">
      <c r="A108" s="62" t="s">
        <v>47</v>
      </c>
      <c r="B108" s="58">
        <v>23360.831999999999</v>
      </c>
      <c r="C108" s="58">
        <v>24826.500462864467</v>
      </c>
      <c r="D108" s="58">
        <v>19223.549560799998</v>
      </c>
      <c r="E108" s="58">
        <v>21963.868856295921</v>
      </c>
      <c r="F108" s="58">
        <v>14091.4331568</v>
      </c>
      <c r="G108" s="58">
        <v>18818.516546347935</v>
      </c>
      <c r="H108" s="39">
        <v>9.8768318435135116E-2</v>
      </c>
      <c r="I108" s="39">
        <v>0.33545795782076437</v>
      </c>
      <c r="J108" s="39">
        <v>0.15761698693559767</v>
      </c>
    </row>
    <row r="109" spans="1:10" ht="11.25" customHeight="1" x14ac:dyDescent="0.2">
      <c r="A109" s="63" t="s">
        <v>55</v>
      </c>
      <c r="B109" s="58">
        <v>1653.6959999999999</v>
      </c>
      <c r="C109" s="58">
        <v>1757.4495852475261</v>
      </c>
      <c r="D109" s="58">
        <v>398.50543920000007</v>
      </c>
      <c r="E109" s="58">
        <v>519.44909615096628</v>
      </c>
      <c r="F109" s="58">
        <v>661.16031840000016</v>
      </c>
      <c r="G109" s="58">
        <v>872.22722981695642</v>
      </c>
      <c r="H109" s="39">
        <v>0.10949083160475959</v>
      </c>
      <c r="I109" s="39">
        <v>0.31923711321292791</v>
      </c>
      <c r="J109" s="39">
        <v>0.16059935701345163</v>
      </c>
    </row>
    <row r="110" spans="1:10" ht="11.25" customHeight="1" x14ac:dyDescent="0.2">
      <c r="A110" s="64" t="s">
        <v>57</v>
      </c>
      <c r="B110" s="58">
        <v>0</v>
      </c>
      <c r="C110" s="58">
        <v>0</v>
      </c>
      <c r="D110" s="58">
        <v>125.352108</v>
      </c>
      <c r="E110" s="58">
        <v>168.65965055034471</v>
      </c>
      <c r="F110" s="58">
        <v>249.87160799999998</v>
      </c>
      <c r="G110" s="58">
        <v>325.21116482903938</v>
      </c>
      <c r="H110" s="39">
        <v>0.34548715008721431</v>
      </c>
      <c r="I110" s="39">
        <v>0.30151307478294775</v>
      </c>
      <c r="J110" s="39">
        <v>0.3162036255175944</v>
      </c>
    </row>
    <row r="111" spans="1:10" ht="11.25" customHeight="1" x14ac:dyDescent="0.2">
      <c r="A111" s="65" t="s">
        <v>25</v>
      </c>
      <c r="B111" s="58">
        <v>0</v>
      </c>
      <c r="C111" s="58">
        <v>0</v>
      </c>
      <c r="D111" s="58">
        <v>125.352108</v>
      </c>
      <c r="E111" s="58">
        <v>168.65965055034471</v>
      </c>
      <c r="F111" s="58">
        <v>249.87160799999998</v>
      </c>
      <c r="G111" s="58">
        <v>325.21116482903938</v>
      </c>
      <c r="H111" s="39">
        <v>0.34548715008721431</v>
      </c>
      <c r="I111" s="39">
        <v>0.30151307478294775</v>
      </c>
      <c r="J111" s="39">
        <v>0.3162036255175944</v>
      </c>
    </row>
    <row r="112" spans="1:10" ht="11.25" customHeight="1" x14ac:dyDescent="0.2">
      <c r="A112" s="66" t="s">
        <v>37</v>
      </c>
      <c r="B112" s="58">
        <v>0</v>
      </c>
      <c r="C112" s="58">
        <v>0</v>
      </c>
      <c r="D112" s="58">
        <v>125.352108</v>
      </c>
      <c r="E112" s="58">
        <v>168.65965055034471</v>
      </c>
      <c r="F112" s="58">
        <v>249.87160799999998</v>
      </c>
      <c r="G112" s="58">
        <v>325.21116482903938</v>
      </c>
      <c r="H112" s="39">
        <v>0.34548715008721431</v>
      </c>
      <c r="I112" s="39">
        <v>0.30151307478294775</v>
      </c>
      <c r="J112" s="39">
        <v>0.3162036255175944</v>
      </c>
    </row>
    <row r="113" spans="1:10" ht="11.25" customHeight="1" x14ac:dyDescent="0.2">
      <c r="A113" s="67">
        <v>44713</v>
      </c>
      <c r="B113" s="58">
        <v>0</v>
      </c>
      <c r="C113" s="58">
        <v>0</v>
      </c>
      <c r="D113" s="58">
        <v>11.516745999999999</v>
      </c>
      <c r="E113" s="58">
        <v>15.495633753818328</v>
      </c>
      <c r="F113" s="58">
        <v>22.956996</v>
      </c>
      <c r="G113" s="58">
        <v>29.87883045173983</v>
      </c>
      <c r="H113" s="39">
        <v>0.34548715008721476</v>
      </c>
      <c r="I113" s="39">
        <v>0.30151307478294775</v>
      </c>
      <c r="J113" s="39">
        <v>0.31620362551759396</v>
      </c>
    </row>
    <row r="114" spans="1:10" ht="11.25" customHeight="1" x14ac:dyDescent="0.2">
      <c r="A114" s="67">
        <v>44743</v>
      </c>
      <c r="B114" s="58">
        <v>0</v>
      </c>
      <c r="C114" s="58">
        <v>0</v>
      </c>
      <c r="D114" s="58">
        <v>27.636817999999998</v>
      </c>
      <c r="E114" s="58">
        <v>37.184983488299032</v>
      </c>
      <c r="F114" s="58">
        <v>55.090067999999995</v>
      </c>
      <c r="G114" s="58">
        <v>71.700443792681668</v>
      </c>
      <c r="H114" s="39">
        <v>0.34548715008721453</v>
      </c>
      <c r="I114" s="39">
        <v>0.30151307478294775</v>
      </c>
      <c r="J114" s="39">
        <v>0.3162036255175944</v>
      </c>
    </row>
    <row r="115" spans="1:10" ht="11.25" customHeight="1" x14ac:dyDescent="0.2">
      <c r="A115" s="67">
        <v>44774</v>
      </c>
      <c r="B115" s="58">
        <v>0</v>
      </c>
      <c r="C115" s="58">
        <v>0</v>
      </c>
      <c r="D115" s="58">
        <v>30.975494000000001</v>
      </c>
      <c r="E115" s="58">
        <v>41.677129144603612</v>
      </c>
      <c r="F115" s="58">
        <v>61.745244</v>
      </c>
      <c r="G115" s="58">
        <v>80.362242371663356</v>
      </c>
      <c r="H115" s="39">
        <v>0.34548715008721453</v>
      </c>
      <c r="I115" s="39">
        <v>0.30151307478294775</v>
      </c>
      <c r="J115" s="39">
        <v>0.31620362551759418</v>
      </c>
    </row>
    <row r="116" spans="1:10" ht="11.25" customHeight="1" x14ac:dyDescent="0.2">
      <c r="A116" s="67">
        <v>44805</v>
      </c>
      <c r="B116" s="58">
        <v>0</v>
      </c>
      <c r="C116" s="58">
        <v>0</v>
      </c>
      <c r="D116" s="58">
        <v>16.743966</v>
      </c>
      <c r="E116" s="58">
        <v>22.528791094497219</v>
      </c>
      <c r="F116" s="58">
        <v>33.376716000000002</v>
      </c>
      <c r="G116" s="58">
        <v>43.440232267317207</v>
      </c>
      <c r="H116" s="39">
        <v>0.34548715008721453</v>
      </c>
      <c r="I116" s="39">
        <v>0.30151307478294753</v>
      </c>
      <c r="J116" s="39">
        <v>0.31620362551759418</v>
      </c>
    </row>
    <row r="117" spans="1:10" ht="11.25" customHeight="1" x14ac:dyDescent="0.2">
      <c r="A117" s="67">
        <v>44835</v>
      </c>
      <c r="B117" s="58">
        <v>0</v>
      </c>
      <c r="C117" s="58">
        <v>0</v>
      </c>
      <c r="D117" s="58">
        <v>19.239542</v>
      </c>
      <c r="E117" s="58">
        <v>25.886556534563265</v>
      </c>
      <c r="F117" s="58">
        <v>38.351292000000001</v>
      </c>
      <c r="G117" s="58">
        <v>49.914707972818661</v>
      </c>
      <c r="H117" s="39">
        <v>0.34548715008721431</v>
      </c>
      <c r="I117" s="39">
        <v>0.30151307478294753</v>
      </c>
      <c r="J117" s="39">
        <v>0.31620362551759418</v>
      </c>
    </row>
    <row r="118" spans="1:10" ht="11.25" customHeight="1" x14ac:dyDescent="0.2">
      <c r="A118" s="67">
        <v>44866</v>
      </c>
      <c r="B118" s="58">
        <v>0</v>
      </c>
      <c r="C118" s="58">
        <v>0</v>
      </c>
      <c r="D118" s="58">
        <v>19.239542</v>
      </c>
      <c r="E118" s="58">
        <v>25.886556534563265</v>
      </c>
      <c r="F118" s="58">
        <v>38.351292000000001</v>
      </c>
      <c r="G118" s="58">
        <v>49.914707972818661</v>
      </c>
      <c r="H118" s="39">
        <v>0.34548715008721431</v>
      </c>
      <c r="I118" s="39">
        <v>0.30151307478294753</v>
      </c>
      <c r="J118" s="39">
        <v>0.31620362551759418</v>
      </c>
    </row>
    <row r="119" spans="1:10" ht="11.25" customHeight="1" x14ac:dyDescent="0.2">
      <c r="A119" s="64" t="s">
        <v>25</v>
      </c>
      <c r="B119" s="58">
        <v>1653.6959999999999</v>
      </c>
      <c r="C119" s="58">
        <v>1757.4495852475261</v>
      </c>
      <c r="D119" s="58">
        <v>273.15333120000008</v>
      </c>
      <c r="E119" s="58">
        <v>350.78944560062166</v>
      </c>
      <c r="F119" s="58">
        <v>411.28871040000001</v>
      </c>
      <c r="G119" s="58">
        <v>547.01606498791693</v>
      </c>
      <c r="H119" s="39">
        <v>9.4137977843437248E-2</v>
      </c>
      <c r="I119" s="39">
        <v>0.33000505765381916</v>
      </c>
      <c r="J119" s="39">
        <v>0.1356280290530063</v>
      </c>
    </row>
    <row r="120" spans="1:10" ht="11.25" customHeight="1" x14ac:dyDescent="0.2">
      <c r="A120" s="65" t="s">
        <v>25</v>
      </c>
      <c r="B120" s="58">
        <v>1653.6959999999999</v>
      </c>
      <c r="C120" s="58">
        <v>1757.4495852475261</v>
      </c>
      <c r="D120" s="58">
        <v>273.15333120000008</v>
      </c>
      <c r="E120" s="58">
        <v>350.78944560062166</v>
      </c>
      <c r="F120" s="58">
        <v>411.28871040000001</v>
      </c>
      <c r="G120" s="58">
        <v>547.01606498791693</v>
      </c>
      <c r="H120" s="39">
        <v>9.4137977843437248E-2</v>
      </c>
      <c r="I120" s="39">
        <v>0.33000505765381916</v>
      </c>
      <c r="J120" s="39">
        <v>0.1356280290530063</v>
      </c>
    </row>
    <row r="121" spans="1:10" ht="11.25" customHeight="1" x14ac:dyDescent="0.2">
      <c r="A121" s="66" t="s">
        <v>37</v>
      </c>
      <c r="B121" s="58">
        <v>0</v>
      </c>
      <c r="C121" s="58">
        <v>0</v>
      </c>
      <c r="D121" s="58">
        <v>199.43024640000002</v>
      </c>
      <c r="E121" s="58">
        <v>273.92105957555049</v>
      </c>
      <c r="F121" s="58">
        <v>397.53584640000003</v>
      </c>
      <c r="G121" s="58">
        <v>528.17722890501614</v>
      </c>
      <c r="H121" s="39">
        <v>0.3735181323806982</v>
      </c>
      <c r="I121" s="39">
        <v>0.32862793050759231</v>
      </c>
      <c r="J121" s="39">
        <v>0.34362453438254414</v>
      </c>
    </row>
    <row r="122" spans="1:10" ht="11.25" customHeight="1" x14ac:dyDescent="0.2">
      <c r="A122" s="67">
        <v>44774</v>
      </c>
      <c r="B122" s="58">
        <v>0</v>
      </c>
      <c r="C122" s="58">
        <v>0</v>
      </c>
      <c r="D122" s="58">
        <v>59.489136000000002</v>
      </c>
      <c r="E122" s="58">
        <v>81.709406975661352</v>
      </c>
      <c r="F122" s="58">
        <v>118.58313600000001</v>
      </c>
      <c r="G122" s="58">
        <v>157.55286657678039</v>
      </c>
      <c r="H122" s="39">
        <v>0.37351813238069798</v>
      </c>
      <c r="I122" s="39">
        <v>0.32862793050759231</v>
      </c>
      <c r="J122" s="39">
        <v>0.34362453438254414</v>
      </c>
    </row>
    <row r="123" spans="1:10" ht="11.25" customHeight="1" x14ac:dyDescent="0.2">
      <c r="A123" s="67">
        <v>44805</v>
      </c>
      <c r="B123" s="58">
        <v>0</v>
      </c>
      <c r="C123" s="58">
        <v>0</v>
      </c>
      <c r="D123" s="58">
        <v>57.708508799999997</v>
      </c>
      <c r="E123" s="58">
        <v>79.263683229451075</v>
      </c>
      <c r="F123" s="58">
        <v>115.0337088</v>
      </c>
      <c r="G123" s="58">
        <v>152.83699846155702</v>
      </c>
      <c r="H123" s="39">
        <v>0.37351813238069798</v>
      </c>
      <c r="I123" s="39">
        <v>0.32862793050759231</v>
      </c>
      <c r="J123" s="39">
        <v>0.34362453438254392</v>
      </c>
    </row>
    <row r="124" spans="1:10" ht="11.25" customHeight="1" x14ac:dyDescent="0.2">
      <c r="A124" s="67">
        <v>44835</v>
      </c>
      <c r="B124" s="58">
        <v>0</v>
      </c>
      <c r="C124" s="58">
        <v>0</v>
      </c>
      <c r="D124" s="58">
        <v>41.116300800000005</v>
      </c>
      <c r="E124" s="58">
        <v>56.473984685219008</v>
      </c>
      <c r="F124" s="58">
        <v>81.959500800000001</v>
      </c>
      <c r="G124" s="58">
        <v>108.89368193333937</v>
      </c>
      <c r="H124" s="39">
        <v>0.37351813238069798</v>
      </c>
      <c r="I124" s="39">
        <v>0.32862793050759231</v>
      </c>
      <c r="J124" s="39">
        <v>0.34362453438254392</v>
      </c>
    </row>
    <row r="125" spans="1:10" ht="11.25" customHeight="1" x14ac:dyDescent="0.2">
      <c r="A125" s="67">
        <v>44866</v>
      </c>
      <c r="B125" s="58">
        <v>0</v>
      </c>
      <c r="C125" s="58">
        <v>0</v>
      </c>
      <c r="D125" s="58">
        <v>41.116300800000005</v>
      </c>
      <c r="E125" s="58">
        <v>56.473984685219008</v>
      </c>
      <c r="F125" s="58">
        <v>81.959500800000001</v>
      </c>
      <c r="G125" s="58">
        <v>108.89368193333937</v>
      </c>
      <c r="H125" s="39">
        <v>0.37351813238069798</v>
      </c>
      <c r="I125" s="39">
        <v>0.32862793050759231</v>
      </c>
      <c r="J125" s="39">
        <v>0.34362453438254392</v>
      </c>
    </row>
    <row r="126" spans="1:10" ht="11.25" customHeight="1" x14ac:dyDescent="0.2">
      <c r="A126" s="66" t="s">
        <v>25</v>
      </c>
      <c r="B126" s="58">
        <v>1653.6959999999999</v>
      </c>
      <c r="C126" s="58">
        <v>1757.4495852475261</v>
      </c>
      <c r="D126" s="58">
        <v>0</v>
      </c>
      <c r="E126" s="58">
        <v>0</v>
      </c>
      <c r="F126" s="58">
        <v>0</v>
      </c>
      <c r="G126" s="58">
        <v>0</v>
      </c>
      <c r="H126" s="39">
        <v>6.2740422210325386E-2</v>
      </c>
      <c r="I126" s="39">
        <v>0</v>
      </c>
      <c r="J126" s="39">
        <v>6.2740422210325386E-2</v>
      </c>
    </row>
    <row r="127" spans="1:10" ht="11.25" customHeight="1" x14ac:dyDescent="0.2">
      <c r="A127" s="67">
        <v>44713</v>
      </c>
      <c r="B127" s="58">
        <v>285.12</v>
      </c>
      <c r="C127" s="58">
        <v>303.00854918060787</v>
      </c>
      <c r="D127" s="58">
        <v>0</v>
      </c>
      <c r="E127" s="58">
        <v>0</v>
      </c>
      <c r="F127" s="58">
        <v>0</v>
      </c>
      <c r="G127" s="58">
        <v>0</v>
      </c>
      <c r="H127" s="39">
        <v>6.2740422210324942E-2</v>
      </c>
      <c r="I127" s="39">
        <v>0</v>
      </c>
      <c r="J127" s="39">
        <v>6.2740422210324942E-2</v>
      </c>
    </row>
    <row r="128" spans="1:10" ht="11.25" customHeight="1" x14ac:dyDescent="0.2">
      <c r="A128" s="67">
        <v>44743</v>
      </c>
      <c r="B128" s="58">
        <v>285.12</v>
      </c>
      <c r="C128" s="58">
        <v>303.00854918060787</v>
      </c>
      <c r="D128" s="58">
        <v>0</v>
      </c>
      <c r="E128" s="58">
        <v>0</v>
      </c>
      <c r="F128" s="58">
        <v>0</v>
      </c>
      <c r="G128" s="58">
        <v>0</v>
      </c>
      <c r="H128" s="39">
        <v>6.2740422210324942E-2</v>
      </c>
      <c r="I128" s="39">
        <v>0</v>
      </c>
      <c r="J128" s="39">
        <v>6.2740422210324942E-2</v>
      </c>
    </row>
    <row r="129" spans="1:10" ht="11.25" customHeight="1" x14ac:dyDescent="0.2">
      <c r="A129" s="67">
        <v>44774</v>
      </c>
      <c r="B129" s="58">
        <v>285.12</v>
      </c>
      <c r="C129" s="58">
        <v>303.00854918060787</v>
      </c>
      <c r="D129" s="58">
        <v>0</v>
      </c>
      <c r="E129" s="58">
        <v>0</v>
      </c>
      <c r="F129" s="58">
        <v>0</v>
      </c>
      <c r="G129" s="58">
        <v>0</v>
      </c>
      <c r="H129" s="39">
        <v>6.2740422210324942E-2</v>
      </c>
      <c r="I129" s="39">
        <v>0</v>
      </c>
      <c r="J129" s="39">
        <v>6.2740422210324942E-2</v>
      </c>
    </row>
    <row r="130" spans="1:10" ht="11.25" customHeight="1" x14ac:dyDescent="0.2">
      <c r="A130" s="67">
        <v>44805</v>
      </c>
      <c r="B130" s="58">
        <v>266.11199999999997</v>
      </c>
      <c r="C130" s="58">
        <v>282.80797923523403</v>
      </c>
      <c r="D130" s="58">
        <v>0</v>
      </c>
      <c r="E130" s="58">
        <v>0</v>
      </c>
      <c r="F130" s="58">
        <v>0</v>
      </c>
      <c r="G130" s="58">
        <v>0</v>
      </c>
      <c r="H130" s="39">
        <v>6.2740422210325164E-2</v>
      </c>
      <c r="I130" s="39">
        <v>0</v>
      </c>
      <c r="J130" s="39">
        <v>6.2740422210325164E-2</v>
      </c>
    </row>
    <row r="131" spans="1:10" ht="11.25" customHeight="1" x14ac:dyDescent="0.2">
      <c r="A131" s="67">
        <v>44835</v>
      </c>
      <c r="B131" s="58">
        <v>266.11199999999997</v>
      </c>
      <c r="C131" s="58">
        <v>282.80797923523403</v>
      </c>
      <c r="D131" s="58">
        <v>0</v>
      </c>
      <c r="E131" s="58">
        <v>0</v>
      </c>
      <c r="F131" s="58">
        <v>0</v>
      </c>
      <c r="G131" s="58">
        <v>0</v>
      </c>
      <c r="H131" s="39">
        <v>6.2740422210325164E-2</v>
      </c>
      <c r="I131" s="39">
        <v>0</v>
      </c>
      <c r="J131" s="39">
        <v>6.2740422210325164E-2</v>
      </c>
    </row>
    <row r="132" spans="1:10" ht="11.25" customHeight="1" x14ac:dyDescent="0.2">
      <c r="A132" s="67">
        <v>44866</v>
      </c>
      <c r="B132" s="58">
        <v>266.11199999999997</v>
      </c>
      <c r="C132" s="58">
        <v>282.80797923523403</v>
      </c>
      <c r="D132" s="58">
        <v>0</v>
      </c>
      <c r="E132" s="58">
        <v>0</v>
      </c>
      <c r="F132" s="58">
        <v>0</v>
      </c>
      <c r="G132" s="58">
        <v>0</v>
      </c>
      <c r="H132" s="39">
        <v>6.2740422210325164E-2</v>
      </c>
      <c r="I132" s="39">
        <v>0</v>
      </c>
      <c r="J132" s="39">
        <v>6.2740422210325164E-2</v>
      </c>
    </row>
    <row r="133" spans="1:10" ht="11.25" customHeight="1" x14ac:dyDescent="0.2">
      <c r="A133" s="66" t="s">
        <v>36</v>
      </c>
      <c r="B133" s="58">
        <v>0</v>
      </c>
      <c r="C133" s="58">
        <v>0</v>
      </c>
      <c r="D133" s="58">
        <v>73.723084800000009</v>
      </c>
      <c r="E133" s="58">
        <v>76.868386025071089</v>
      </c>
      <c r="F133" s="58">
        <v>13.752863999999999</v>
      </c>
      <c r="G133" s="58">
        <v>18.838836082900798</v>
      </c>
      <c r="H133" s="39">
        <v>4.2663722409389537E-2</v>
      </c>
      <c r="I133" s="39">
        <v>0.36981185030992814</v>
      </c>
      <c r="J133" s="39">
        <v>9.4097559625119231E-2</v>
      </c>
    </row>
    <row r="134" spans="1:10" ht="11.25" customHeight="1" x14ac:dyDescent="0.2">
      <c r="A134" s="67">
        <v>44713</v>
      </c>
      <c r="B134" s="58">
        <v>0</v>
      </c>
      <c r="C134" s="58">
        <v>0</v>
      </c>
      <c r="D134" s="58">
        <v>8.3460096000000004</v>
      </c>
      <c r="E134" s="58">
        <v>8.7020814368005013</v>
      </c>
      <c r="F134" s="58">
        <v>1.5569280000000001</v>
      </c>
      <c r="G134" s="58">
        <v>2.1326984244793357</v>
      </c>
      <c r="H134" s="39">
        <v>4.2663722409389537E-2</v>
      </c>
      <c r="I134" s="39">
        <v>0.36981185030992791</v>
      </c>
      <c r="J134" s="39">
        <v>9.4097559625119453E-2</v>
      </c>
    </row>
    <row r="135" spans="1:10" ht="11.25" customHeight="1" x14ac:dyDescent="0.2">
      <c r="A135" s="67">
        <v>44743</v>
      </c>
      <c r="B135" s="58">
        <v>0</v>
      </c>
      <c r="C135" s="58">
        <v>0</v>
      </c>
      <c r="D135" s="58">
        <v>9.7370112000000013</v>
      </c>
      <c r="E135" s="58">
        <v>10.152428342933918</v>
      </c>
      <c r="F135" s="58">
        <v>1.816416</v>
      </c>
      <c r="G135" s="58">
        <v>2.4881481618925583</v>
      </c>
      <c r="H135" s="39">
        <v>4.2663722409389537E-2</v>
      </c>
      <c r="I135" s="39">
        <v>0.36981185030992814</v>
      </c>
      <c r="J135" s="39">
        <v>9.4097559625119231E-2</v>
      </c>
    </row>
    <row r="136" spans="1:10" ht="11.25" customHeight="1" x14ac:dyDescent="0.2">
      <c r="A136" s="67">
        <v>44774</v>
      </c>
      <c r="B136" s="58">
        <v>0</v>
      </c>
      <c r="C136" s="58">
        <v>0</v>
      </c>
      <c r="D136" s="58">
        <v>16.692019200000001</v>
      </c>
      <c r="E136" s="58">
        <v>17.404162873601003</v>
      </c>
      <c r="F136" s="58">
        <v>3.1138560000000002</v>
      </c>
      <c r="G136" s="58">
        <v>4.2653968489586713</v>
      </c>
      <c r="H136" s="39">
        <v>4.2663722409389537E-2</v>
      </c>
      <c r="I136" s="39">
        <v>0.36981185030992791</v>
      </c>
      <c r="J136" s="39">
        <v>9.4097559625119453E-2</v>
      </c>
    </row>
    <row r="137" spans="1:10" ht="11.25" customHeight="1" x14ac:dyDescent="0.2">
      <c r="A137" s="67">
        <v>44805</v>
      </c>
      <c r="B137" s="58">
        <v>0</v>
      </c>
      <c r="C137" s="58">
        <v>0</v>
      </c>
      <c r="D137" s="58">
        <v>16.692019200000001</v>
      </c>
      <c r="E137" s="58">
        <v>17.404162873601003</v>
      </c>
      <c r="F137" s="58">
        <v>3.1138560000000002</v>
      </c>
      <c r="G137" s="58">
        <v>4.2653968489586713</v>
      </c>
      <c r="H137" s="39">
        <v>4.2663722409389537E-2</v>
      </c>
      <c r="I137" s="39">
        <v>0.36981185030992791</v>
      </c>
      <c r="J137" s="39">
        <v>9.4097559625119453E-2</v>
      </c>
    </row>
    <row r="138" spans="1:10" ht="11.25" customHeight="1" x14ac:dyDescent="0.2">
      <c r="A138" s="67">
        <v>44835</v>
      </c>
      <c r="B138" s="58">
        <v>0</v>
      </c>
      <c r="C138" s="58">
        <v>0</v>
      </c>
      <c r="D138" s="58">
        <v>11.1280128</v>
      </c>
      <c r="E138" s="58">
        <v>11.602775249067333</v>
      </c>
      <c r="F138" s="58">
        <v>2.075904</v>
      </c>
      <c r="G138" s="58">
        <v>2.8435978993057809</v>
      </c>
      <c r="H138" s="39">
        <v>4.2663722409389537E-2</v>
      </c>
      <c r="I138" s="39">
        <v>0.36981185030992814</v>
      </c>
      <c r="J138" s="39">
        <v>9.4097559625119231E-2</v>
      </c>
    </row>
    <row r="139" spans="1:10" ht="11.25" customHeight="1" x14ac:dyDescent="0.2">
      <c r="A139" s="67">
        <v>44866</v>
      </c>
      <c r="B139" s="58">
        <v>0</v>
      </c>
      <c r="C139" s="58">
        <v>0</v>
      </c>
      <c r="D139" s="58">
        <v>11.1280128</v>
      </c>
      <c r="E139" s="58">
        <v>11.602775249067333</v>
      </c>
      <c r="F139" s="58">
        <v>2.075904</v>
      </c>
      <c r="G139" s="58">
        <v>2.8435978993057809</v>
      </c>
      <c r="H139" s="39">
        <v>4.2663722409389537E-2</v>
      </c>
      <c r="I139" s="39">
        <v>0.36981185030992814</v>
      </c>
      <c r="J139" s="39">
        <v>9.4097559625119231E-2</v>
      </c>
    </row>
    <row r="140" spans="1:10" ht="11.25" customHeight="1" x14ac:dyDescent="0.2">
      <c r="A140" s="63" t="s">
        <v>25</v>
      </c>
      <c r="B140" s="58">
        <v>21707.135999999999</v>
      </c>
      <c r="C140" s="58">
        <v>23069.050877616944</v>
      </c>
      <c r="D140" s="58">
        <v>18825.0441216</v>
      </c>
      <c r="E140" s="58">
        <v>21444.419760144956</v>
      </c>
      <c r="F140" s="58">
        <v>13430.272838399998</v>
      </c>
      <c r="G140" s="58">
        <v>17946.28931653098</v>
      </c>
      <c r="H140" s="39">
        <v>9.8225422472161261E-2</v>
      </c>
      <c r="I140" s="39">
        <v>0.33625649549119596</v>
      </c>
      <c r="J140" s="39">
        <v>0.15746702620415642</v>
      </c>
    </row>
    <row r="141" spans="1:10" ht="11.25" customHeight="1" x14ac:dyDescent="0.2">
      <c r="A141" s="64" t="s">
        <v>25</v>
      </c>
      <c r="B141" s="58">
        <v>21707.135999999999</v>
      </c>
      <c r="C141" s="58">
        <v>23069.050877616944</v>
      </c>
      <c r="D141" s="58">
        <v>18825.0441216</v>
      </c>
      <c r="E141" s="58">
        <v>21444.419760144956</v>
      </c>
      <c r="F141" s="58">
        <v>13430.272838399998</v>
      </c>
      <c r="G141" s="58">
        <v>17946.28931653098</v>
      </c>
      <c r="H141" s="39">
        <v>9.8225422472161261E-2</v>
      </c>
      <c r="I141" s="39">
        <v>0.33625649549119596</v>
      </c>
      <c r="J141" s="39">
        <v>0.15746702620415642</v>
      </c>
    </row>
    <row r="142" spans="1:10" ht="11.25" customHeight="1" x14ac:dyDescent="0.2">
      <c r="A142" s="65" t="s">
        <v>25</v>
      </c>
      <c r="B142" s="58">
        <v>21707.135999999999</v>
      </c>
      <c r="C142" s="58">
        <v>23069.050877616944</v>
      </c>
      <c r="D142" s="58">
        <v>18825.0441216</v>
      </c>
      <c r="E142" s="58">
        <v>21444.419760144956</v>
      </c>
      <c r="F142" s="58">
        <v>13430.272838399998</v>
      </c>
      <c r="G142" s="58">
        <v>17946.28931653098</v>
      </c>
      <c r="H142" s="39">
        <v>9.8225422472161261E-2</v>
      </c>
      <c r="I142" s="39">
        <v>0.33625649549119596</v>
      </c>
      <c r="J142" s="39">
        <v>0.15746702620415642</v>
      </c>
    </row>
    <row r="143" spans="1:10" ht="11.25" customHeight="1" x14ac:dyDescent="0.2">
      <c r="A143" s="66" t="s">
        <v>37</v>
      </c>
      <c r="B143" s="58">
        <v>0</v>
      </c>
      <c r="C143" s="58">
        <v>0</v>
      </c>
      <c r="D143" s="58">
        <v>5489.5117823999999</v>
      </c>
      <c r="E143" s="58">
        <v>7539.9439710438855</v>
      </c>
      <c r="F143" s="58">
        <v>10942.561382400001</v>
      </c>
      <c r="G143" s="58">
        <v>14538.592683950412</v>
      </c>
      <c r="H143" s="39">
        <v>0.3735181323806982</v>
      </c>
      <c r="I143" s="39">
        <v>0.32862793050759231</v>
      </c>
      <c r="J143" s="39">
        <v>0.34362453438254414</v>
      </c>
    </row>
    <row r="144" spans="1:10" ht="11.25" customHeight="1" x14ac:dyDescent="0.2">
      <c r="A144" s="67">
        <v>44621</v>
      </c>
      <c r="B144" s="58">
        <v>0</v>
      </c>
      <c r="C144" s="58">
        <v>0</v>
      </c>
      <c r="D144" s="58">
        <v>595.86261120000006</v>
      </c>
      <c r="E144" s="58">
        <v>818.42810089091006</v>
      </c>
      <c r="F144" s="58">
        <v>1187.7674112</v>
      </c>
      <c r="G144" s="58">
        <v>1578.1009574670165</v>
      </c>
      <c r="H144" s="39">
        <v>0.37351813238069798</v>
      </c>
      <c r="I144" s="39">
        <v>0.32862793050759254</v>
      </c>
      <c r="J144" s="39">
        <v>0.34362453438254392</v>
      </c>
    </row>
    <row r="145" spans="1:10" ht="11.25" customHeight="1" x14ac:dyDescent="0.2">
      <c r="A145" s="67">
        <v>44652</v>
      </c>
      <c r="B145" s="58">
        <v>0</v>
      </c>
      <c r="C145" s="58">
        <v>0</v>
      </c>
      <c r="D145" s="58">
        <v>567.37257599999998</v>
      </c>
      <c r="E145" s="58">
        <v>779.29652095154574</v>
      </c>
      <c r="F145" s="58">
        <v>1130.976576</v>
      </c>
      <c r="G145" s="58">
        <v>1502.6470676234428</v>
      </c>
      <c r="H145" s="39">
        <v>0.3735181323806982</v>
      </c>
      <c r="I145" s="39">
        <v>0.32862793050759231</v>
      </c>
      <c r="J145" s="39">
        <v>0.34362453438254414</v>
      </c>
    </row>
    <row r="146" spans="1:10" ht="11.25" customHeight="1" x14ac:dyDescent="0.2">
      <c r="A146" s="67">
        <v>44682</v>
      </c>
      <c r="B146" s="58">
        <v>0</v>
      </c>
      <c r="C146" s="58">
        <v>0</v>
      </c>
      <c r="D146" s="58">
        <v>1365.417312</v>
      </c>
      <c r="E146" s="58">
        <v>1875.4254362985132</v>
      </c>
      <c r="F146" s="58">
        <v>2721.7653120000004</v>
      </c>
      <c r="G146" s="58">
        <v>3616.2134138099118</v>
      </c>
      <c r="H146" s="39">
        <v>0.3735181323806982</v>
      </c>
      <c r="I146" s="39">
        <v>0.32862793050759231</v>
      </c>
      <c r="J146" s="39">
        <v>0.34362453438254392</v>
      </c>
    </row>
    <row r="147" spans="1:10" ht="11.25" customHeight="1" x14ac:dyDescent="0.2">
      <c r="A147" s="67">
        <v>44713</v>
      </c>
      <c r="B147" s="58">
        <v>0</v>
      </c>
      <c r="C147" s="58">
        <v>0</v>
      </c>
      <c r="D147" s="58">
        <v>764.13188160000004</v>
      </c>
      <c r="E147" s="58">
        <v>1049.5489949077808</v>
      </c>
      <c r="F147" s="58">
        <v>1523.1882816000002</v>
      </c>
      <c r="G147" s="58">
        <v>2023.7504943556241</v>
      </c>
      <c r="H147" s="39">
        <v>0.37351813238069798</v>
      </c>
      <c r="I147" s="39">
        <v>0.32862793050759231</v>
      </c>
      <c r="J147" s="39">
        <v>0.34362453438254414</v>
      </c>
    </row>
    <row r="148" spans="1:10" ht="11.25" customHeight="1" x14ac:dyDescent="0.2">
      <c r="A148" s="67">
        <v>44743</v>
      </c>
      <c r="B148" s="58">
        <v>0</v>
      </c>
      <c r="C148" s="58">
        <v>0</v>
      </c>
      <c r="D148" s="58">
        <v>711.76525440000012</v>
      </c>
      <c r="E148" s="58">
        <v>977.62248291696051</v>
      </c>
      <c r="F148" s="58">
        <v>1418.8028544000001</v>
      </c>
      <c r="G148" s="58">
        <v>1885.061100239737</v>
      </c>
      <c r="H148" s="39">
        <v>0.37351813238069798</v>
      </c>
      <c r="I148" s="39">
        <v>0.32862793050759231</v>
      </c>
      <c r="J148" s="39">
        <v>0.34362453438254414</v>
      </c>
    </row>
    <row r="149" spans="1:10" ht="11.25" customHeight="1" x14ac:dyDescent="0.2">
      <c r="A149" s="67">
        <v>44774</v>
      </c>
      <c r="B149" s="58">
        <v>0</v>
      </c>
      <c r="C149" s="58">
        <v>0</v>
      </c>
      <c r="D149" s="58">
        <v>317.11351680000001</v>
      </c>
      <c r="E149" s="58">
        <v>435.56116534781114</v>
      </c>
      <c r="F149" s="58">
        <v>632.12071680000008</v>
      </c>
      <c r="G149" s="58">
        <v>839.85323979295993</v>
      </c>
      <c r="H149" s="39">
        <v>0.37351813238069798</v>
      </c>
      <c r="I149" s="39">
        <v>0.32862793050759231</v>
      </c>
      <c r="J149" s="39">
        <v>0.34362453438254392</v>
      </c>
    </row>
    <row r="150" spans="1:10" ht="11.25" customHeight="1" x14ac:dyDescent="0.2">
      <c r="A150" s="67">
        <v>44805</v>
      </c>
      <c r="B150" s="58">
        <v>0</v>
      </c>
      <c r="C150" s="58">
        <v>0</v>
      </c>
      <c r="D150" s="58">
        <v>519.86220479999997</v>
      </c>
      <c r="E150" s="58">
        <v>714.04016463220808</v>
      </c>
      <c r="F150" s="58">
        <v>1036.2714048</v>
      </c>
      <c r="G150" s="58">
        <v>1376.8191320036196</v>
      </c>
      <c r="H150" s="39">
        <v>0.37351813238069842</v>
      </c>
      <c r="I150" s="39">
        <v>0.32862793050759254</v>
      </c>
      <c r="J150" s="39">
        <v>0.34362453438254414</v>
      </c>
    </row>
    <row r="151" spans="1:10" ht="11.25" customHeight="1" x14ac:dyDescent="0.2">
      <c r="A151" s="67">
        <v>44835</v>
      </c>
      <c r="B151" s="58">
        <v>0</v>
      </c>
      <c r="C151" s="58">
        <v>0</v>
      </c>
      <c r="D151" s="58">
        <v>323.99321280000004</v>
      </c>
      <c r="E151" s="58">
        <v>445.01055254907811</v>
      </c>
      <c r="F151" s="58">
        <v>645.83441280000011</v>
      </c>
      <c r="G151" s="58">
        <v>858.07363932905014</v>
      </c>
      <c r="H151" s="39">
        <v>0.37351813238069798</v>
      </c>
      <c r="I151" s="39">
        <v>0.32862793050759209</v>
      </c>
      <c r="J151" s="39">
        <v>0.3436245343825437</v>
      </c>
    </row>
    <row r="152" spans="1:10" ht="11.25" customHeight="1" x14ac:dyDescent="0.2">
      <c r="A152" s="67">
        <v>44866</v>
      </c>
      <c r="B152" s="58">
        <v>0</v>
      </c>
      <c r="C152" s="58">
        <v>0</v>
      </c>
      <c r="D152" s="58">
        <v>323.99321280000004</v>
      </c>
      <c r="E152" s="58">
        <v>445.01055254907811</v>
      </c>
      <c r="F152" s="58">
        <v>645.83441280000011</v>
      </c>
      <c r="G152" s="58">
        <v>858.07363932905014</v>
      </c>
      <c r="H152" s="39">
        <v>0.37351813238069798</v>
      </c>
      <c r="I152" s="39">
        <v>0.32862793050759209</v>
      </c>
      <c r="J152" s="39">
        <v>0.3436245343825437</v>
      </c>
    </row>
    <row r="153" spans="1:10" ht="11.25" customHeight="1" x14ac:dyDescent="0.2">
      <c r="A153" s="66" t="s">
        <v>25</v>
      </c>
      <c r="B153" s="58">
        <v>21707.135999999999</v>
      </c>
      <c r="C153" s="58">
        <v>23069.050877616944</v>
      </c>
      <c r="D153" s="58">
        <v>0</v>
      </c>
      <c r="E153" s="58">
        <v>0</v>
      </c>
      <c r="F153" s="58">
        <v>0</v>
      </c>
      <c r="G153" s="58">
        <v>0</v>
      </c>
      <c r="H153" s="39">
        <v>6.2740422210324942E-2</v>
      </c>
      <c r="I153" s="39">
        <v>0</v>
      </c>
      <c r="J153" s="39">
        <v>6.2740422210324942E-2</v>
      </c>
    </row>
    <row r="154" spans="1:10" ht="11.25" customHeight="1" x14ac:dyDescent="0.2">
      <c r="A154" s="67">
        <v>44621</v>
      </c>
      <c r="B154" s="58">
        <v>2052.864</v>
      </c>
      <c r="C154" s="58">
        <v>2181.6615541003766</v>
      </c>
      <c r="D154" s="58">
        <v>0</v>
      </c>
      <c r="E154" s="58">
        <v>0</v>
      </c>
      <c r="F154" s="58">
        <v>0</v>
      </c>
      <c r="G154" s="58">
        <v>0</v>
      </c>
      <c r="H154" s="39">
        <v>6.2740422210324942E-2</v>
      </c>
      <c r="I154" s="39">
        <v>0</v>
      </c>
      <c r="J154" s="39">
        <v>6.2740422210324942E-2</v>
      </c>
    </row>
    <row r="155" spans="1:10" ht="11.25" customHeight="1" x14ac:dyDescent="0.2">
      <c r="A155" s="67">
        <v>44652</v>
      </c>
      <c r="B155" s="58">
        <v>3041.2799999999997</v>
      </c>
      <c r="C155" s="58">
        <v>3232.0911912598172</v>
      </c>
      <c r="D155" s="58">
        <v>0</v>
      </c>
      <c r="E155" s="58">
        <v>0</v>
      </c>
      <c r="F155" s="58">
        <v>0</v>
      </c>
      <c r="G155" s="58">
        <v>0</v>
      </c>
      <c r="H155" s="39">
        <v>6.2740422210325164E-2</v>
      </c>
      <c r="I155" s="39">
        <v>0</v>
      </c>
      <c r="J155" s="39">
        <v>6.2740422210325164E-2</v>
      </c>
    </row>
    <row r="156" spans="1:10" ht="11.25" customHeight="1" x14ac:dyDescent="0.2">
      <c r="A156" s="67">
        <v>44682</v>
      </c>
      <c r="B156" s="58">
        <v>3288.384</v>
      </c>
      <c r="C156" s="58">
        <v>3494.6986005496774</v>
      </c>
      <c r="D156" s="58">
        <v>0</v>
      </c>
      <c r="E156" s="58">
        <v>0</v>
      </c>
      <c r="F156" s="58">
        <v>0</v>
      </c>
      <c r="G156" s="58">
        <v>0</v>
      </c>
      <c r="H156" s="39">
        <v>6.2740422210324942E-2</v>
      </c>
      <c r="I156" s="39">
        <v>0</v>
      </c>
      <c r="J156" s="39">
        <v>6.2740422210324942E-2</v>
      </c>
    </row>
    <row r="157" spans="1:10" ht="11.25" customHeight="1" x14ac:dyDescent="0.2">
      <c r="A157" s="67">
        <v>44713</v>
      </c>
      <c r="B157" s="58">
        <v>3535.4879999999998</v>
      </c>
      <c r="C157" s="58">
        <v>3757.3060098395376</v>
      </c>
      <c r="D157" s="58">
        <v>0</v>
      </c>
      <c r="E157" s="58">
        <v>0</v>
      </c>
      <c r="F157" s="58">
        <v>0</v>
      </c>
      <c r="G157" s="58">
        <v>0</v>
      </c>
      <c r="H157" s="39">
        <v>6.2740422210325164E-2</v>
      </c>
      <c r="I157" s="39">
        <v>0</v>
      </c>
      <c r="J157" s="39">
        <v>6.2740422210325164E-2</v>
      </c>
    </row>
    <row r="158" spans="1:10" ht="11.25" customHeight="1" x14ac:dyDescent="0.2">
      <c r="A158" s="67">
        <v>44743</v>
      </c>
      <c r="B158" s="58">
        <v>2623.1039999999998</v>
      </c>
      <c r="C158" s="58">
        <v>2787.6786524615923</v>
      </c>
      <c r="D158" s="58">
        <v>0</v>
      </c>
      <c r="E158" s="58">
        <v>0</v>
      </c>
      <c r="F158" s="58">
        <v>0</v>
      </c>
      <c r="G158" s="58">
        <v>0</v>
      </c>
      <c r="H158" s="39">
        <v>6.2740422210324942E-2</v>
      </c>
      <c r="I158" s="39">
        <v>0</v>
      </c>
      <c r="J158" s="39">
        <v>6.2740422210324942E-2</v>
      </c>
    </row>
    <row r="159" spans="1:10" ht="11.25" customHeight="1" x14ac:dyDescent="0.2">
      <c r="A159" s="67">
        <v>44774</v>
      </c>
      <c r="B159" s="58">
        <v>703.29599999999994</v>
      </c>
      <c r="C159" s="58">
        <v>747.4210879788327</v>
      </c>
      <c r="D159" s="58">
        <v>0</v>
      </c>
      <c r="E159" s="58">
        <v>0</v>
      </c>
      <c r="F159" s="58">
        <v>0</v>
      </c>
      <c r="G159" s="58">
        <v>0</v>
      </c>
      <c r="H159" s="39">
        <v>6.2740422210325164E-2</v>
      </c>
      <c r="I159" s="39">
        <v>0</v>
      </c>
      <c r="J159" s="39">
        <v>6.2740422210325164E-2</v>
      </c>
    </row>
    <row r="160" spans="1:10" ht="11.25" customHeight="1" x14ac:dyDescent="0.2">
      <c r="A160" s="67">
        <v>44805</v>
      </c>
      <c r="B160" s="58">
        <v>3231.3599999999997</v>
      </c>
      <c r="C160" s="58">
        <v>3434.0968907135557</v>
      </c>
      <c r="D160" s="58">
        <v>0</v>
      </c>
      <c r="E160" s="58">
        <v>0</v>
      </c>
      <c r="F160" s="58">
        <v>0</v>
      </c>
      <c r="G160" s="58">
        <v>0</v>
      </c>
      <c r="H160" s="39">
        <v>6.2740422210325164E-2</v>
      </c>
      <c r="I160" s="39">
        <v>0</v>
      </c>
      <c r="J160" s="39">
        <v>6.2740422210325164E-2</v>
      </c>
    </row>
    <row r="161" spans="1:10" ht="11.25" customHeight="1" x14ac:dyDescent="0.2">
      <c r="A161" s="67">
        <v>44835</v>
      </c>
      <c r="B161" s="58">
        <v>1615.6799999999998</v>
      </c>
      <c r="C161" s="58">
        <v>1717.0484453567778</v>
      </c>
      <c r="D161" s="58">
        <v>0</v>
      </c>
      <c r="E161" s="58">
        <v>0</v>
      </c>
      <c r="F161" s="58">
        <v>0</v>
      </c>
      <c r="G161" s="58">
        <v>0</v>
      </c>
      <c r="H161" s="39">
        <v>6.2740422210325164E-2</v>
      </c>
      <c r="I161" s="39">
        <v>0</v>
      </c>
      <c r="J161" s="39">
        <v>6.2740422210325164E-2</v>
      </c>
    </row>
    <row r="162" spans="1:10" ht="11.25" customHeight="1" x14ac:dyDescent="0.2">
      <c r="A162" s="67">
        <v>44866</v>
      </c>
      <c r="B162" s="58">
        <v>1615.6799999999998</v>
      </c>
      <c r="C162" s="58">
        <v>1717.0484453567778</v>
      </c>
      <c r="D162" s="58">
        <v>0</v>
      </c>
      <c r="E162" s="58">
        <v>0</v>
      </c>
      <c r="F162" s="58">
        <v>0</v>
      </c>
      <c r="G162" s="58">
        <v>0</v>
      </c>
      <c r="H162" s="39">
        <v>6.2740422210325164E-2</v>
      </c>
      <c r="I162" s="39">
        <v>0</v>
      </c>
      <c r="J162" s="39">
        <v>6.2740422210325164E-2</v>
      </c>
    </row>
    <row r="163" spans="1:10" ht="11.25" customHeight="1" x14ac:dyDescent="0.2">
      <c r="A163" s="66" t="s">
        <v>36</v>
      </c>
      <c r="B163" s="58">
        <v>0</v>
      </c>
      <c r="C163" s="58">
        <v>0</v>
      </c>
      <c r="D163" s="58">
        <v>13335.532339200003</v>
      </c>
      <c r="E163" s="58">
        <v>13904.475789101065</v>
      </c>
      <c r="F163" s="58">
        <v>2487.7114560000005</v>
      </c>
      <c r="G163" s="58">
        <v>3407.6966325805652</v>
      </c>
      <c r="H163" s="39">
        <v>4.2663722409389315E-2</v>
      </c>
      <c r="I163" s="39">
        <v>0.36981185030992769</v>
      </c>
      <c r="J163" s="39">
        <v>9.4097559625119009E-2</v>
      </c>
    </row>
    <row r="164" spans="1:10" ht="11.25" customHeight="1" x14ac:dyDescent="0.2">
      <c r="A164" s="67">
        <v>44621</v>
      </c>
      <c r="B164" s="58">
        <v>0</v>
      </c>
      <c r="C164" s="58">
        <v>0</v>
      </c>
      <c r="D164" s="58">
        <v>1751.2710144</v>
      </c>
      <c r="E164" s="58">
        <v>1825.9867548219715</v>
      </c>
      <c r="F164" s="58">
        <v>326.69539199999997</v>
      </c>
      <c r="G164" s="58">
        <v>447.5112194032472</v>
      </c>
      <c r="H164" s="39">
        <v>4.2663722409389537E-2</v>
      </c>
      <c r="I164" s="39">
        <v>0.36981185030992791</v>
      </c>
      <c r="J164" s="39">
        <v>9.4097559625119453E-2</v>
      </c>
    </row>
    <row r="165" spans="1:10" ht="11.25" customHeight="1" x14ac:dyDescent="0.2">
      <c r="A165" s="67">
        <v>44652</v>
      </c>
      <c r="B165" s="58">
        <v>0</v>
      </c>
      <c r="C165" s="58">
        <v>0</v>
      </c>
      <c r="D165" s="58">
        <v>975.09212159999993</v>
      </c>
      <c r="E165" s="58">
        <v>1016.693181199525</v>
      </c>
      <c r="F165" s="58">
        <v>181.90108799999999</v>
      </c>
      <c r="G165" s="58">
        <v>249.170265926669</v>
      </c>
      <c r="H165" s="39">
        <v>4.2663722409389537E-2</v>
      </c>
      <c r="I165" s="39">
        <v>0.36981185030992791</v>
      </c>
      <c r="J165" s="39">
        <v>9.4097559625119009E-2</v>
      </c>
    </row>
    <row r="166" spans="1:10" ht="11.25" customHeight="1" x14ac:dyDescent="0.2">
      <c r="A166" s="67">
        <v>44682</v>
      </c>
      <c r="B166" s="58">
        <v>0</v>
      </c>
      <c r="C166" s="58">
        <v>0</v>
      </c>
      <c r="D166" s="58">
        <v>2936.4043776000003</v>
      </c>
      <c r="E166" s="58">
        <v>3061.6823188476428</v>
      </c>
      <c r="F166" s="58">
        <v>547.77916800000003</v>
      </c>
      <c r="G166" s="58">
        <v>750.35439567931292</v>
      </c>
      <c r="H166" s="39">
        <v>4.2663722409389537E-2</v>
      </c>
      <c r="I166" s="39">
        <v>0.36981185030992791</v>
      </c>
      <c r="J166" s="39">
        <v>9.4097559625119231E-2</v>
      </c>
    </row>
    <row r="167" spans="1:10" ht="11.25" customHeight="1" x14ac:dyDescent="0.2">
      <c r="A167" s="67">
        <v>44713</v>
      </c>
      <c r="B167" s="58">
        <v>0</v>
      </c>
      <c r="C167" s="58">
        <v>0</v>
      </c>
      <c r="D167" s="58">
        <v>1989.132288</v>
      </c>
      <c r="E167" s="58">
        <v>2073.9960757707859</v>
      </c>
      <c r="F167" s="58">
        <v>371.06783999999999</v>
      </c>
      <c r="G167" s="58">
        <v>508.29312450090828</v>
      </c>
      <c r="H167" s="39">
        <v>4.2663722409389537E-2</v>
      </c>
      <c r="I167" s="39">
        <v>0.36981185030992791</v>
      </c>
      <c r="J167" s="39">
        <v>9.4097559625119231E-2</v>
      </c>
    </row>
    <row r="168" spans="1:10" ht="11.25" customHeight="1" x14ac:dyDescent="0.2">
      <c r="A168" s="67">
        <v>44743</v>
      </c>
      <c r="B168" s="58">
        <v>0</v>
      </c>
      <c r="C168" s="58">
        <v>0</v>
      </c>
      <c r="D168" s="58">
        <v>1851.4231296</v>
      </c>
      <c r="E168" s="58">
        <v>1930.4117320635776</v>
      </c>
      <c r="F168" s="58">
        <v>345.37852800000002</v>
      </c>
      <c r="G168" s="58">
        <v>473.10360049699926</v>
      </c>
      <c r="H168" s="39">
        <v>4.2663722409389537E-2</v>
      </c>
      <c r="I168" s="39">
        <v>0.36981185030992791</v>
      </c>
      <c r="J168" s="39">
        <v>9.4097559625119453E-2</v>
      </c>
    </row>
    <row r="169" spans="1:10" ht="11.25" customHeight="1" x14ac:dyDescent="0.2">
      <c r="A169" s="67">
        <v>44774</v>
      </c>
      <c r="B169" s="58">
        <v>0</v>
      </c>
      <c r="C169" s="58">
        <v>0</v>
      </c>
      <c r="D169" s="58">
        <v>1018.2131712</v>
      </c>
      <c r="E169" s="58">
        <v>1061.6539352896609</v>
      </c>
      <c r="F169" s="58">
        <v>189.94521599999999</v>
      </c>
      <c r="G169" s="58">
        <v>260.1892077864789</v>
      </c>
      <c r="H169" s="39">
        <v>4.2663722409389315E-2</v>
      </c>
      <c r="I169" s="39">
        <v>0.36981185030992791</v>
      </c>
      <c r="J169" s="39">
        <v>9.4097559625119009E-2</v>
      </c>
    </row>
    <row r="170" spans="1:10" ht="11.25" customHeight="1" x14ac:dyDescent="0.2">
      <c r="A170" s="67">
        <v>44805</v>
      </c>
      <c r="B170" s="58">
        <v>0</v>
      </c>
      <c r="C170" s="58">
        <v>0</v>
      </c>
      <c r="D170" s="58">
        <v>1103.0642688</v>
      </c>
      <c r="E170" s="58">
        <v>1150.1250965637996</v>
      </c>
      <c r="F170" s="58">
        <v>205.77398400000001</v>
      </c>
      <c r="G170" s="58">
        <v>281.87164176868549</v>
      </c>
      <c r="H170" s="39">
        <v>4.2663722409389759E-2</v>
      </c>
      <c r="I170" s="39">
        <v>0.36981185030992769</v>
      </c>
      <c r="J170" s="39">
        <v>9.4097559625119453E-2</v>
      </c>
    </row>
    <row r="171" spans="1:10" ht="11.25" customHeight="1" x14ac:dyDescent="0.2">
      <c r="A171" s="67">
        <v>44835</v>
      </c>
      <c r="B171" s="58">
        <v>0</v>
      </c>
      <c r="C171" s="58">
        <v>0</v>
      </c>
      <c r="D171" s="58">
        <v>855.46598400000005</v>
      </c>
      <c r="E171" s="58">
        <v>891.96334727205124</v>
      </c>
      <c r="F171" s="58">
        <v>159.58511999999999</v>
      </c>
      <c r="G171" s="58">
        <v>218.60158850913189</v>
      </c>
      <c r="H171" s="39">
        <v>4.2663722409389537E-2</v>
      </c>
      <c r="I171" s="39">
        <v>0.36981185030992814</v>
      </c>
      <c r="J171" s="39">
        <v>9.4097559625119231E-2</v>
      </c>
    </row>
    <row r="172" spans="1:10" ht="11.25" customHeight="1" x14ac:dyDescent="0.2">
      <c r="A172" s="67">
        <v>44866</v>
      </c>
      <c r="B172" s="58">
        <v>0</v>
      </c>
      <c r="C172" s="58">
        <v>0</v>
      </c>
      <c r="D172" s="58">
        <v>855.46598400000005</v>
      </c>
      <c r="E172" s="58">
        <v>891.96334727205124</v>
      </c>
      <c r="F172" s="58">
        <v>159.58511999999999</v>
      </c>
      <c r="G172" s="58">
        <v>218.60158850913189</v>
      </c>
      <c r="H172" s="39">
        <v>4.2663722409389537E-2</v>
      </c>
      <c r="I172" s="39">
        <v>0.36981185030992814</v>
      </c>
      <c r="J172" s="39">
        <v>9.4097559625119231E-2</v>
      </c>
    </row>
    <row r="173" spans="1:10" ht="11.25" customHeight="1" x14ac:dyDescent="0.2">
      <c r="A173" s="62" t="s">
        <v>52</v>
      </c>
      <c r="B173" s="58">
        <v>7817.04</v>
      </c>
      <c r="C173" s="58">
        <v>8397.6655058625602</v>
      </c>
      <c r="D173" s="58">
        <v>0</v>
      </c>
      <c r="E173" s="58">
        <v>0</v>
      </c>
      <c r="F173" s="58">
        <v>0</v>
      </c>
      <c r="G173" s="58">
        <v>0</v>
      </c>
      <c r="H173" s="39">
        <v>7.4276900957723102E-2</v>
      </c>
      <c r="I173" s="39">
        <v>0</v>
      </c>
      <c r="J173" s="39">
        <v>7.4276900957723102E-2</v>
      </c>
    </row>
    <row r="174" spans="1:10" ht="11.25" customHeight="1" x14ac:dyDescent="0.2">
      <c r="A174" s="63" t="s">
        <v>53</v>
      </c>
      <c r="B174" s="58">
        <v>7817.04</v>
      </c>
      <c r="C174" s="58">
        <v>8397.6655058625602</v>
      </c>
      <c r="D174" s="58">
        <v>0</v>
      </c>
      <c r="E174" s="58">
        <v>0</v>
      </c>
      <c r="F174" s="58">
        <v>0</v>
      </c>
      <c r="G174" s="58">
        <v>0</v>
      </c>
      <c r="H174" s="39">
        <v>7.4276900957723102E-2</v>
      </c>
      <c r="I174" s="39">
        <v>0</v>
      </c>
      <c r="J174" s="39">
        <v>7.4276900957723102E-2</v>
      </c>
    </row>
    <row r="175" spans="1:10" ht="11.25" customHeight="1" x14ac:dyDescent="0.2">
      <c r="A175" s="64" t="s">
        <v>25</v>
      </c>
      <c r="B175" s="58">
        <v>7817.04</v>
      </c>
      <c r="C175" s="58">
        <v>8397.6655058625602</v>
      </c>
      <c r="D175" s="58">
        <v>0</v>
      </c>
      <c r="E175" s="58">
        <v>0</v>
      </c>
      <c r="F175" s="58">
        <v>0</v>
      </c>
      <c r="G175" s="58">
        <v>0</v>
      </c>
      <c r="H175" s="39">
        <v>7.4276900957723102E-2</v>
      </c>
      <c r="I175" s="39">
        <v>0</v>
      </c>
      <c r="J175" s="39">
        <v>7.4276900957723102E-2</v>
      </c>
    </row>
    <row r="176" spans="1:10" ht="11.25" customHeight="1" x14ac:dyDescent="0.2">
      <c r="A176" s="65" t="s">
        <v>25</v>
      </c>
      <c r="B176" s="58">
        <v>7817.04</v>
      </c>
      <c r="C176" s="58">
        <v>8397.6655058625602</v>
      </c>
      <c r="D176" s="58">
        <v>0</v>
      </c>
      <c r="E176" s="58">
        <v>0</v>
      </c>
      <c r="F176" s="58">
        <v>0</v>
      </c>
      <c r="G176" s="58">
        <v>0</v>
      </c>
      <c r="H176" s="39">
        <v>7.4276900957723102E-2</v>
      </c>
      <c r="I176" s="39">
        <v>0</v>
      </c>
      <c r="J176" s="39">
        <v>7.4276900957723102E-2</v>
      </c>
    </row>
    <row r="177" spans="1:10" ht="11.25" customHeight="1" x14ac:dyDescent="0.2">
      <c r="A177" s="66" t="s">
        <v>25</v>
      </c>
      <c r="B177" s="58">
        <v>7817.04</v>
      </c>
      <c r="C177" s="58">
        <v>8397.6655058625602</v>
      </c>
      <c r="D177" s="58">
        <v>0</v>
      </c>
      <c r="E177" s="58">
        <v>0</v>
      </c>
      <c r="F177" s="58">
        <v>0</v>
      </c>
      <c r="G177" s="58">
        <v>0</v>
      </c>
      <c r="H177" s="39">
        <v>7.4276900957723102E-2</v>
      </c>
      <c r="I177" s="39">
        <v>0</v>
      </c>
      <c r="J177" s="39">
        <v>7.4276900957723102E-2</v>
      </c>
    </row>
    <row r="178" spans="1:10" ht="11.25" customHeight="1" x14ac:dyDescent="0.2">
      <c r="A178" s="67">
        <v>44531</v>
      </c>
      <c r="B178" s="58">
        <v>651.41999999999996</v>
      </c>
      <c r="C178" s="58">
        <v>699.80545882188005</v>
      </c>
      <c r="D178" s="58">
        <v>0</v>
      </c>
      <c r="E178" s="58">
        <v>0</v>
      </c>
      <c r="F178" s="58">
        <v>0</v>
      </c>
      <c r="G178" s="58">
        <v>0</v>
      </c>
      <c r="H178" s="39">
        <v>7.4276900957723324E-2</v>
      </c>
      <c r="I178" s="39">
        <v>0</v>
      </c>
      <c r="J178" s="39">
        <v>7.4276900957723324E-2</v>
      </c>
    </row>
    <row r="179" spans="1:10" ht="11.25" customHeight="1" x14ac:dyDescent="0.2">
      <c r="A179" s="67">
        <v>44562</v>
      </c>
      <c r="B179" s="58">
        <v>651.41999999999996</v>
      </c>
      <c r="C179" s="58">
        <v>699.80545882188005</v>
      </c>
      <c r="D179" s="58">
        <v>0</v>
      </c>
      <c r="E179" s="58">
        <v>0</v>
      </c>
      <c r="F179" s="58">
        <v>0</v>
      </c>
      <c r="G179" s="58">
        <v>0</v>
      </c>
      <c r="H179" s="39">
        <v>7.4276900957723324E-2</v>
      </c>
      <c r="I179" s="39">
        <v>0</v>
      </c>
      <c r="J179" s="39">
        <v>7.4276900957723324E-2</v>
      </c>
    </row>
    <row r="180" spans="1:10" ht="11.25" customHeight="1" x14ac:dyDescent="0.2">
      <c r="A180" s="67">
        <v>44593</v>
      </c>
      <c r="B180" s="58">
        <v>651.41999999999996</v>
      </c>
      <c r="C180" s="58">
        <v>699.80545882188005</v>
      </c>
      <c r="D180" s="58">
        <v>0</v>
      </c>
      <c r="E180" s="58">
        <v>0</v>
      </c>
      <c r="F180" s="58">
        <v>0</v>
      </c>
      <c r="G180" s="58">
        <v>0</v>
      </c>
      <c r="H180" s="39">
        <v>7.4276900957723324E-2</v>
      </c>
      <c r="I180" s="39">
        <v>0</v>
      </c>
      <c r="J180" s="39">
        <v>7.4276900957723324E-2</v>
      </c>
    </row>
    <row r="181" spans="1:10" ht="11.25" customHeight="1" x14ac:dyDescent="0.2">
      <c r="A181" s="67">
        <v>44621</v>
      </c>
      <c r="B181" s="58">
        <v>651.41999999999996</v>
      </c>
      <c r="C181" s="58">
        <v>699.80545882188005</v>
      </c>
      <c r="D181" s="58">
        <v>0</v>
      </c>
      <c r="E181" s="58">
        <v>0</v>
      </c>
      <c r="F181" s="58">
        <v>0</v>
      </c>
      <c r="G181" s="58">
        <v>0</v>
      </c>
      <c r="H181" s="39">
        <v>7.4276900957723324E-2</v>
      </c>
      <c r="I181" s="39">
        <v>0</v>
      </c>
      <c r="J181" s="39">
        <v>7.4276900957723324E-2</v>
      </c>
    </row>
    <row r="182" spans="1:10" ht="11.25" customHeight="1" x14ac:dyDescent="0.2">
      <c r="A182" s="67">
        <v>44652</v>
      </c>
      <c r="B182" s="58">
        <v>651.41999999999996</v>
      </c>
      <c r="C182" s="58">
        <v>699.80545882188005</v>
      </c>
      <c r="D182" s="58">
        <v>0</v>
      </c>
      <c r="E182" s="58">
        <v>0</v>
      </c>
      <c r="F182" s="58">
        <v>0</v>
      </c>
      <c r="G182" s="58">
        <v>0</v>
      </c>
      <c r="H182" s="39">
        <v>7.4276900957723324E-2</v>
      </c>
      <c r="I182" s="39">
        <v>0</v>
      </c>
      <c r="J182" s="39">
        <v>7.4276900957723324E-2</v>
      </c>
    </row>
    <row r="183" spans="1:10" ht="11.25" customHeight="1" x14ac:dyDescent="0.2">
      <c r="A183" s="67">
        <v>44682</v>
      </c>
      <c r="B183" s="58">
        <v>651.41999999999996</v>
      </c>
      <c r="C183" s="58">
        <v>699.80545882188005</v>
      </c>
      <c r="D183" s="58">
        <v>0</v>
      </c>
      <c r="E183" s="58">
        <v>0</v>
      </c>
      <c r="F183" s="58">
        <v>0</v>
      </c>
      <c r="G183" s="58">
        <v>0</v>
      </c>
      <c r="H183" s="39">
        <v>7.4276900957723324E-2</v>
      </c>
      <c r="I183" s="39">
        <v>0</v>
      </c>
      <c r="J183" s="39">
        <v>7.4276900957723324E-2</v>
      </c>
    </row>
    <row r="184" spans="1:10" ht="11.25" customHeight="1" x14ac:dyDescent="0.2">
      <c r="A184" s="67">
        <v>44713</v>
      </c>
      <c r="B184" s="58">
        <v>651.41999999999996</v>
      </c>
      <c r="C184" s="58">
        <v>699.80545882188005</v>
      </c>
      <c r="D184" s="58">
        <v>0</v>
      </c>
      <c r="E184" s="58">
        <v>0</v>
      </c>
      <c r="F184" s="58">
        <v>0</v>
      </c>
      <c r="G184" s="58">
        <v>0</v>
      </c>
      <c r="H184" s="39">
        <v>7.4276900957723324E-2</v>
      </c>
      <c r="I184" s="39">
        <v>0</v>
      </c>
      <c r="J184" s="39">
        <v>7.4276900957723324E-2</v>
      </c>
    </row>
    <row r="185" spans="1:10" ht="11.25" customHeight="1" x14ac:dyDescent="0.2">
      <c r="A185" s="67">
        <v>44743</v>
      </c>
      <c r="B185" s="58">
        <v>651.41999999999996</v>
      </c>
      <c r="C185" s="58">
        <v>699.80545882188005</v>
      </c>
      <c r="D185" s="58">
        <v>0</v>
      </c>
      <c r="E185" s="58">
        <v>0</v>
      </c>
      <c r="F185" s="58">
        <v>0</v>
      </c>
      <c r="G185" s="58">
        <v>0</v>
      </c>
      <c r="H185" s="39">
        <v>7.4276900957723324E-2</v>
      </c>
      <c r="I185" s="39">
        <v>0</v>
      </c>
      <c r="J185" s="39">
        <v>7.4276900957723324E-2</v>
      </c>
    </row>
    <row r="186" spans="1:10" ht="11.25" customHeight="1" x14ac:dyDescent="0.2">
      <c r="A186" s="67">
        <v>44774</v>
      </c>
      <c r="B186" s="58">
        <v>651.41999999999996</v>
      </c>
      <c r="C186" s="58">
        <v>699.80545882188005</v>
      </c>
      <c r="D186" s="58">
        <v>0</v>
      </c>
      <c r="E186" s="58">
        <v>0</v>
      </c>
      <c r="F186" s="58">
        <v>0</v>
      </c>
      <c r="G186" s="58">
        <v>0</v>
      </c>
      <c r="H186" s="39">
        <v>7.4276900957723324E-2</v>
      </c>
      <c r="I186" s="39">
        <v>0</v>
      </c>
      <c r="J186" s="39">
        <v>7.4276900957723324E-2</v>
      </c>
    </row>
    <row r="187" spans="1:10" ht="11.25" customHeight="1" x14ac:dyDescent="0.2">
      <c r="A187" s="67">
        <v>44805</v>
      </c>
      <c r="B187" s="58">
        <v>651.41999999999996</v>
      </c>
      <c r="C187" s="58">
        <v>699.80545882188005</v>
      </c>
      <c r="D187" s="58">
        <v>0</v>
      </c>
      <c r="E187" s="58">
        <v>0</v>
      </c>
      <c r="F187" s="58">
        <v>0</v>
      </c>
      <c r="G187" s="58">
        <v>0</v>
      </c>
      <c r="H187" s="39">
        <v>7.4276900957723324E-2</v>
      </c>
      <c r="I187" s="39">
        <v>0</v>
      </c>
      <c r="J187" s="39">
        <v>7.4276900957723324E-2</v>
      </c>
    </row>
    <row r="188" spans="1:10" ht="11.25" customHeight="1" x14ac:dyDescent="0.2">
      <c r="A188" s="67">
        <v>44835</v>
      </c>
      <c r="B188" s="58">
        <v>651.41999999999996</v>
      </c>
      <c r="C188" s="58">
        <v>699.80545882188005</v>
      </c>
      <c r="D188" s="58">
        <v>0</v>
      </c>
      <c r="E188" s="58">
        <v>0</v>
      </c>
      <c r="F188" s="58">
        <v>0</v>
      </c>
      <c r="G188" s="58">
        <v>0</v>
      </c>
      <c r="H188" s="39">
        <v>7.4276900957723324E-2</v>
      </c>
      <c r="I188" s="39">
        <v>0</v>
      </c>
      <c r="J188" s="39">
        <v>7.4276900957723324E-2</v>
      </c>
    </row>
    <row r="189" spans="1:10" ht="11.25" customHeight="1" x14ac:dyDescent="0.2">
      <c r="A189" s="67">
        <v>44866</v>
      </c>
      <c r="B189" s="58">
        <v>651.41999999999996</v>
      </c>
      <c r="C189" s="58">
        <v>699.80545882188005</v>
      </c>
      <c r="D189" s="58">
        <v>0</v>
      </c>
      <c r="E189" s="58">
        <v>0</v>
      </c>
      <c r="F189" s="58">
        <v>0</v>
      </c>
      <c r="G189" s="58">
        <v>0</v>
      </c>
      <c r="H189" s="39">
        <v>7.4276900957723324E-2</v>
      </c>
      <c r="I189" s="39">
        <v>0</v>
      </c>
      <c r="J189" s="39">
        <v>7.4276900957723324E-2</v>
      </c>
    </row>
    <row r="190" spans="1:10" ht="11.25" customHeight="1" x14ac:dyDescent="0.2">
      <c r="A190" s="60" t="s">
        <v>41</v>
      </c>
      <c r="B190" s="58">
        <v>25961388.571200009</v>
      </c>
      <c r="C190" s="58">
        <v>26931298.746789694</v>
      </c>
      <c r="D190" s="58">
        <v>35160229.388332807</v>
      </c>
      <c r="E190" s="58">
        <v>41545146.846147463</v>
      </c>
      <c r="F190" s="58">
        <v>36596132.412374407</v>
      </c>
      <c r="G190" s="58">
        <v>48095443.964108892</v>
      </c>
      <c r="H190" s="39">
        <v>0.12033103636546105</v>
      </c>
      <c r="I190" s="39">
        <v>0.31422204461819492</v>
      </c>
      <c r="J190" s="39">
        <v>0.19294487555619355</v>
      </c>
    </row>
    <row r="191" spans="1:10" ht="11.25" customHeight="1" x14ac:dyDescent="0.2">
      <c r="A191" s="61" t="s">
        <v>42</v>
      </c>
      <c r="B191" s="58">
        <v>5823598.1951999981</v>
      </c>
      <c r="C191" s="58">
        <v>5911718.1303201653</v>
      </c>
      <c r="D191" s="58">
        <v>2464618.5095574004</v>
      </c>
      <c r="E191" s="58">
        <v>3324714.4523090464</v>
      </c>
      <c r="F191" s="58">
        <v>5179283.2940508006</v>
      </c>
      <c r="G191" s="58">
        <v>6786953.8360604569</v>
      </c>
      <c r="H191" s="39">
        <v>0.11440529508929753</v>
      </c>
      <c r="I191" s="39">
        <v>0.31040405607013288</v>
      </c>
      <c r="J191" s="39">
        <v>0.18978180212419882</v>
      </c>
    </row>
    <row r="192" spans="1:10" ht="11.25" customHeight="1" x14ac:dyDescent="0.2">
      <c r="A192" s="62" t="s">
        <v>45</v>
      </c>
      <c r="B192" s="58">
        <v>1994517.66</v>
      </c>
      <c r="C192" s="58">
        <v>2020888.1656578376</v>
      </c>
      <c r="D192" s="58">
        <v>664205.39322999993</v>
      </c>
      <c r="E192" s="58">
        <v>893679.82160959044</v>
      </c>
      <c r="F192" s="58">
        <v>1397039.0834999997</v>
      </c>
      <c r="G192" s="58">
        <v>1826055.0215954217</v>
      </c>
      <c r="H192" s="39">
        <v>9.6228501019167467E-2</v>
      </c>
      <c r="I192" s="39">
        <v>0.30708943161461755</v>
      </c>
      <c r="J192" s="39">
        <v>0.16886120266535753</v>
      </c>
    </row>
    <row r="193" spans="1:10" ht="11.25" customHeight="1" x14ac:dyDescent="0.2">
      <c r="A193" s="63" t="s">
        <v>25</v>
      </c>
      <c r="B193" s="58">
        <v>1994517.66</v>
      </c>
      <c r="C193" s="58">
        <v>2020888.1656578376</v>
      </c>
      <c r="D193" s="58">
        <v>664205.39322999993</v>
      </c>
      <c r="E193" s="58">
        <v>893679.82160959044</v>
      </c>
      <c r="F193" s="58">
        <v>1397039.0834999997</v>
      </c>
      <c r="G193" s="58">
        <v>1826055.0215954217</v>
      </c>
      <c r="H193" s="39">
        <v>9.6228501019167467E-2</v>
      </c>
      <c r="I193" s="39">
        <v>0.30708943161461755</v>
      </c>
      <c r="J193" s="39">
        <v>0.16886120266535753</v>
      </c>
    </row>
    <row r="194" spans="1:10" ht="11.25" customHeight="1" x14ac:dyDescent="0.2">
      <c r="A194" s="64" t="s">
        <v>25</v>
      </c>
      <c r="B194" s="58">
        <v>1994517.66</v>
      </c>
      <c r="C194" s="58">
        <v>2020888.1656578376</v>
      </c>
      <c r="D194" s="58">
        <v>664205.39322999993</v>
      </c>
      <c r="E194" s="58">
        <v>893679.82160959044</v>
      </c>
      <c r="F194" s="58">
        <v>1397039.0834999997</v>
      </c>
      <c r="G194" s="58">
        <v>1826055.0215954217</v>
      </c>
      <c r="H194" s="39">
        <v>9.6228501019167467E-2</v>
      </c>
      <c r="I194" s="39">
        <v>0.30708943161461755</v>
      </c>
      <c r="J194" s="39">
        <v>0.16886120266535753</v>
      </c>
    </row>
    <row r="195" spans="1:10" ht="11.25" customHeight="1" x14ac:dyDescent="0.2">
      <c r="A195" s="65" t="s">
        <v>25</v>
      </c>
      <c r="B195" s="58">
        <v>1994517.66</v>
      </c>
      <c r="C195" s="58">
        <v>2020888.1656578376</v>
      </c>
      <c r="D195" s="58">
        <v>664205.39322999993</v>
      </c>
      <c r="E195" s="58">
        <v>893679.82160959044</v>
      </c>
      <c r="F195" s="58">
        <v>1397039.0834999997</v>
      </c>
      <c r="G195" s="58">
        <v>1826055.0215954217</v>
      </c>
      <c r="H195" s="39">
        <v>9.6228501019167467E-2</v>
      </c>
      <c r="I195" s="39">
        <v>0.30708943161461755</v>
      </c>
      <c r="J195" s="39">
        <v>0.16886120266535753</v>
      </c>
    </row>
    <row r="196" spans="1:10" ht="11.25" customHeight="1" x14ac:dyDescent="0.2">
      <c r="A196" s="66" t="s">
        <v>37</v>
      </c>
      <c r="B196" s="58">
        <v>593346.6</v>
      </c>
      <c r="C196" s="58">
        <v>617704.57097246777</v>
      </c>
      <c r="D196" s="58">
        <v>603974.49785000004</v>
      </c>
      <c r="E196" s="58">
        <v>812639.92583755287</v>
      </c>
      <c r="F196" s="58">
        <v>1203937.3040999998</v>
      </c>
      <c r="G196" s="58">
        <v>1566940.1425050837</v>
      </c>
      <c r="H196" s="39">
        <v>0.19462064051026506</v>
      </c>
      <c r="I196" s="39">
        <v>0.30151307478294775</v>
      </c>
      <c r="J196" s="39">
        <v>0.24821411843102248</v>
      </c>
    </row>
    <row r="197" spans="1:10" ht="11.25" customHeight="1" x14ac:dyDescent="0.2">
      <c r="A197" s="67">
        <v>44531</v>
      </c>
      <c r="B197" s="58">
        <v>37679.4</v>
      </c>
      <c r="C197" s="58">
        <v>39226.208781680056</v>
      </c>
      <c r="D197" s="58">
        <v>41138.052780000005</v>
      </c>
      <c r="E197" s="58">
        <v>55350.721395099616</v>
      </c>
      <c r="F197" s="58">
        <v>82002.860279999994</v>
      </c>
      <c r="G197" s="58">
        <v>106727.79482401925</v>
      </c>
      <c r="H197" s="39">
        <v>0.1999490828607271</v>
      </c>
      <c r="I197" s="39">
        <v>0.30151307478294775</v>
      </c>
      <c r="J197" s="39">
        <v>0.25173693030739663</v>
      </c>
    </row>
    <row r="198" spans="1:10" ht="11.25" customHeight="1" x14ac:dyDescent="0.2">
      <c r="A198" s="67">
        <v>44562</v>
      </c>
      <c r="B198" s="58">
        <v>38431.800000000003</v>
      </c>
      <c r="C198" s="58">
        <v>40009.496187725163</v>
      </c>
      <c r="D198" s="58">
        <v>42047.336130000003</v>
      </c>
      <c r="E198" s="58">
        <v>56574.15045831287</v>
      </c>
      <c r="F198" s="58">
        <v>83815.387379999986</v>
      </c>
      <c r="G198" s="58">
        <v>109086.82254306767</v>
      </c>
      <c r="H198" s="39">
        <v>0.20010789492103909</v>
      </c>
      <c r="I198" s="39">
        <v>0.30151307478294798</v>
      </c>
      <c r="J198" s="39">
        <v>0.25184007838573708</v>
      </c>
    </row>
    <row r="199" spans="1:10" ht="11.25" customHeight="1" x14ac:dyDescent="0.2">
      <c r="A199" s="67">
        <v>44593</v>
      </c>
      <c r="B199" s="58">
        <v>51420.6</v>
      </c>
      <c r="C199" s="58">
        <v>53531.510355240724</v>
      </c>
      <c r="D199" s="58">
        <v>50271.945249999997</v>
      </c>
      <c r="E199" s="58">
        <v>67640.256343762987</v>
      </c>
      <c r="F199" s="58">
        <v>100209.9765</v>
      </c>
      <c r="G199" s="58">
        <v>130424.59463844194</v>
      </c>
      <c r="H199" s="39">
        <v>0.19155014166590267</v>
      </c>
      <c r="I199" s="39">
        <v>0.30151307478294775</v>
      </c>
      <c r="J199" s="39">
        <v>0.24612787971503192</v>
      </c>
    </row>
    <row r="200" spans="1:10" ht="11.25" customHeight="1" x14ac:dyDescent="0.2">
      <c r="A200" s="67">
        <v>44621</v>
      </c>
      <c r="B200" s="58">
        <v>51638.400000000001</v>
      </c>
      <c r="C200" s="58">
        <v>53758.25144646431</v>
      </c>
      <c r="D200" s="58">
        <v>51070.276640000004</v>
      </c>
      <c r="E200" s="58">
        <v>68714.400970519244</v>
      </c>
      <c r="F200" s="58">
        <v>101801.33663999998</v>
      </c>
      <c r="G200" s="58">
        <v>132495.77066734034</v>
      </c>
      <c r="H200" s="39">
        <v>0.19242751852657447</v>
      </c>
      <c r="I200" s="39">
        <v>0.30151307478294798</v>
      </c>
      <c r="J200" s="39">
        <v>0.2467283092649355</v>
      </c>
    </row>
    <row r="201" spans="1:10" ht="11.25" customHeight="1" x14ac:dyDescent="0.2">
      <c r="A201" s="67">
        <v>44652</v>
      </c>
      <c r="B201" s="58">
        <v>53143.200000000004</v>
      </c>
      <c r="C201" s="58">
        <v>55324.826258554531</v>
      </c>
      <c r="D201" s="58">
        <v>53818.52971000001</v>
      </c>
      <c r="E201" s="58">
        <v>72412.140161391988</v>
      </c>
      <c r="F201" s="58">
        <v>107279.58846000001</v>
      </c>
      <c r="G201" s="58">
        <v>139625.78703802385</v>
      </c>
      <c r="H201" s="39">
        <v>0.19423056046562981</v>
      </c>
      <c r="I201" s="39">
        <v>0.30151307478294775</v>
      </c>
      <c r="J201" s="39">
        <v>0.2479514023799021</v>
      </c>
    </row>
    <row r="202" spans="1:10" ht="11.25" customHeight="1" x14ac:dyDescent="0.2">
      <c r="A202" s="67">
        <v>44682</v>
      </c>
      <c r="B202" s="58">
        <v>53262</v>
      </c>
      <c r="C202" s="58">
        <v>55448.503217403755</v>
      </c>
      <c r="D202" s="58">
        <v>55230.637900000002</v>
      </c>
      <c r="E202" s="58">
        <v>74312.11358556991</v>
      </c>
      <c r="F202" s="58">
        <v>110094.42540000001</v>
      </c>
      <c r="G202" s="58">
        <v>143289.33411881587</v>
      </c>
      <c r="H202" s="39">
        <v>0.19603154015461244</v>
      </c>
      <c r="I202" s="39">
        <v>0.30151307478294775</v>
      </c>
      <c r="J202" s="39">
        <v>0.24915878734800456</v>
      </c>
    </row>
    <row r="203" spans="1:10" ht="11.25" customHeight="1" x14ac:dyDescent="0.2">
      <c r="A203" s="67">
        <v>44713</v>
      </c>
      <c r="B203" s="58">
        <v>52390.8</v>
      </c>
      <c r="C203" s="58">
        <v>54541.538852509417</v>
      </c>
      <c r="D203" s="58">
        <v>49402.540529999998</v>
      </c>
      <c r="E203" s="58">
        <v>66470.483464777804</v>
      </c>
      <c r="F203" s="58">
        <v>98476.941779999994</v>
      </c>
      <c r="G203" s="58">
        <v>128169.02729130912</v>
      </c>
      <c r="H203" s="39">
        <v>0.18880097349416669</v>
      </c>
      <c r="I203" s="39">
        <v>0.30151307478294775</v>
      </c>
      <c r="J203" s="39">
        <v>0.24422378964287361</v>
      </c>
    </row>
    <row r="204" spans="1:10" ht="11.25" customHeight="1" x14ac:dyDescent="0.2">
      <c r="A204" s="67">
        <v>44743</v>
      </c>
      <c r="B204" s="58">
        <v>52628.4</v>
      </c>
      <c r="C204" s="58">
        <v>54788.892770207873</v>
      </c>
      <c r="D204" s="58">
        <v>52812.458480000008</v>
      </c>
      <c r="E204" s="58">
        <v>71058.484249354558</v>
      </c>
      <c r="F204" s="58">
        <v>105274.12848</v>
      </c>
      <c r="G204" s="58">
        <v>137015.65465309992</v>
      </c>
      <c r="H204" s="39">
        <v>0.19353520858741047</v>
      </c>
      <c r="I204" s="39">
        <v>0.30151307478294798</v>
      </c>
      <c r="J204" s="39">
        <v>0.24748142248923943</v>
      </c>
    </row>
    <row r="205" spans="1:10" ht="11.25" customHeight="1" x14ac:dyDescent="0.2">
      <c r="A205" s="67">
        <v>44774</v>
      </c>
      <c r="B205" s="58">
        <v>53301.599999999999</v>
      </c>
      <c r="C205" s="58">
        <v>55489.728870353494</v>
      </c>
      <c r="D205" s="58">
        <v>53047.177520000005</v>
      </c>
      <c r="E205" s="58">
        <v>71374.295701555355</v>
      </c>
      <c r="F205" s="58">
        <v>105742.00752000001</v>
      </c>
      <c r="G205" s="58">
        <v>137624.60534107679</v>
      </c>
      <c r="H205" s="39">
        <v>0.19290533967868817</v>
      </c>
      <c r="I205" s="39">
        <v>0.30151307478294775</v>
      </c>
      <c r="J205" s="39">
        <v>0.24705384943105102</v>
      </c>
    </row>
    <row r="206" spans="1:10" ht="11.25" customHeight="1" x14ac:dyDescent="0.2">
      <c r="A206" s="67">
        <v>44805</v>
      </c>
      <c r="B206" s="58">
        <v>49777.200000000004</v>
      </c>
      <c r="C206" s="58">
        <v>51820.645757826409</v>
      </c>
      <c r="D206" s="58">
        <v>48917.420790000004</v>
      </c>
      <c r="E206" s="58">
        <v>65817.761088354164</v>
      </c>
      <c r="F206" s="58">
        <v>97509.924540000007</v>
      </c>
      <c r="G206" s="58">
        <v>126910.44170990863</v>
      </c>
      <c r="H206" s="39">
        <v>0.1919434504590547</v>
      </c>
      <c r="I206" s="39">
        <v>0.30151307478294775</v>
      </c>
      <c r="J206" s="39">
        <v>0.24639746823794528</v>
      </c>
    </row>
    <row r="207" spans="1:10" ht="11.25" customHeight="1" x14ac:dyDescent="0.2">
      <c r="A207" s="67">
        <v>44835</v>
      </c>
      <c r="B207" s="58">
        <v>49836.6</v>
      </c>
      <c r="C207" s="58">
        <v>51882.484237251025</v>
      </c>
      <c r="D207" s="58">
        <v>53109.06106</v>
      </c>
      <c r="E207" s="58">
        <v>71457.559209427258</v>
      </c>
      <c r="F207" s="58">
        <v>105865.36356</v>
      </c>
      <c r="G207" s="58">
        <v>137785.15483999022</v>
      </c>
      <c r="H207" s="39">
        <v>0.19810822696832076</v>
      </c>
      <c r="I207" s="39">
        <v>0.30151307478294775</v>
      </c>
      <c r="J207" s="39">
        <v>0.25053358059935427</v>
      </c>
    </row>
    <row r="208" spans="1:10" ht="11.25" customHeight="1" x14ac:dyDescent="0.2">
      <c r="A208" s="67">
        <v>44866</v>
      </c>
      <c r="B208" s="58">
        <v>49836.6</v>
      </c>
      <c r="C208" s="58">
        <v>51882.484237251025</v>
      </c>
      <c r="D208" s="58">
        <v>53109.06106</v>
      </c>
      <c r="E208" s="58">
        <v>71457.559209427258</v>
      </c>
      <c r="F208" s="58">
        <v>105865.36356</v>
      </c>
      <c r="G208" s="58">
        <v>137785.15483999022</v>
      </c>
      <c r="H208" s="39">
        <v>0.19810822696832076</v>
      </c>
      <c r="I208" s="39">
        <v>0.30151307478294775</v>
      </c>
      <c r="J208" s="39">
        <v>0.25053358059935427</v>
      </c>
    </row>
    <row r="209" spans="1:10" ht="11.25" customHeight="1" x14ac:dyDescent="0.2">
      <c r="A209" s="66" t="s">
        <v>36</v>
      </c>
      <c r="B209" s="58">
        <v>1401171.06</v>
      </c>
      <c r="C209" s="58">
        <v>1403183.5946853701</v>
      </c>
      <c r="D209" s="58">
        <v>60230.895380000002</v>
      </c>
      <c r="E209" s="58">
        <v>81039.895772037387</v>
      </c>
      <c r="F209" s="58">
        <v>193101.77940000003</v>
      </c>
      <c r="G209" s="58">
        <v>259114.87909033813</v>
      </c>
      <c r="H209" s="39">
        <v>1.5616193062690353E-2</v>
      </c>
      <c r="I209" s="39">
        <v>0.34185650642605148</v>
      </c>
      <c r="J209" s="39">
        <v>5.3692616644082314E-2</v>
      </c>
    </row>
    <row r="210" spans="1:10" ht="11.25" customHeight="1" x14ac:dyDescent="0.2">
      <c r="A210" s="67">
        <v>44531</v>
      </c>
      <c r="B210" s="58">
        <v>91020.180000000008</v>
      </c>
      <c r="C210" s="58">
        <v>91150.914408201832</v>
      </c>
      <c r="D210" s="58">
        <v>4278.1423299999997</v>
      </c>
      <c r="E210" s="58">
        <v>5756.1855312591761</v>
      </c>
      <c r="F210" s="58">
        <v>13715.832900000001</v>
      </c>
      <c r="G210" s="58">
        <v>18404.679617917503</v>
      </c>
      <c r="H210" s="39">
        <v>1.6881489307756237E-2</v>
      </c>
      <c r="I210" s="39">
        <v>0.3418565064260517</v>
      </c>
      <c r="J210" s="39">
        <v>5.7768867851075489E-2</v>
      </c>
    </row>
    <row r="211" spans="1:10" ht="11.25" customHeight="1" x14ac:dyDescent="0.2">
      <c r="A211" s="67">
        <v>44562</v>
      </c>
      <c r="B211" s="58">
        <v>92987.88</v>
      </c>
      <c r="C211" s="58">
        <v>93121.440661621877</v>
      </c>
      <c r="D211" s="58">
        <v>4228.23081</v>
      </c>
      <c r="E211" s="58">
        <v>5689.0302224578554</v>
      </c>
      <c r="F211" s="58">
        <v>13555.815300000002</v>
      </c>
      <c r="G211" s="58">
        <v>18189.958960214823</v>
      </c>
      <c r="H211" s="39">
        <v>1.6400163108723387E-2</v>
      </c>
      <c r="I211" s="39">
        <v>0.3418565064260517</v>
      </c>
      <c r="J211" s="39">
        <v>5.6228179404494982E-2</v>
      </c>
    </row>
    <row r="212" spans="1:10" ht="11.25" customHeight="1" x14ac:dyDescent="0.2">
      <c r="A212" s="67">
        <v>44593</v>
      </c>
      <c r="B212" s="58">
        <v>123627.78</v>
      </c>
      <c r="C212" s="58">
        <v>123805.34946487697</v>
      </c>
      <c r="D212" s="58">
        <v>4977.8310200000005</v>
      </c>
      <c r="E212" s="58">
        <v>6697.6076727155323</v>
      </c>
      <c r="F212" s="58">
        <v>15959.052600000001</v>
      </c>
      <c r="G212" s="58">
        <v>21414.758567705601</v>
      </c>
      <c r="H212" s="39">
        <v>1.475321412918329E-2</v>
      </c>
      <c r="I212" s="39">
        <v>0.34185650642605192</v>
      </c>
      <c r="J212" s="39">
        <v>5.0863412269447572E-2</v>
      </c>
    </row>
    <row r="213" spans="1:10" ht="11.25" customHeight="1" x14ac:dyDescent="0.2">
      <c r="A213" s="67">
        <v>44621</v>
      </c>
      <c r="B213" s="58">
        <v>123965.1</v>
      </c>
      <c r="C213" s="58">
        <v>124143.15396546327</v>
      </c>
      <c r="D213" s="58">
        <v>5153.7859899999994</v>
      </c>
      <c r="E213" s="58">
        <v>6934.3528238445133</v>
      </c>
      <c r="F213" s="58">
        <v>16523.168699999998</v>
      </c>
      <c r="G213" s="58">
        <v>22171.721426870288</v>
      </c>
      <c r="H213" s="39">
        <v>1.5169127152006689E-2</v>
      </c>
      <c r="I213" s="39">
        <v>0.34185650642605192</v>
      </c>
      <c r="J213" s="39">
        <v>5.2231984383700025E-2</v>
      </c>
    </row>
    <row r="214" spans="1:10" ht="11.25" customHeight="1" x14ac:dyDescent="0.2">
      <c r="A214" s="67">
        <v>44652</v>
      </c>
      <c r="B214" s="58">
        <v>124583.52</v>
      </c>
      <c r="C214" s="58">
        <v>124762.46221653814</v>
      </c>
      <c r="D214" s="58">
        <v>4771.0185899999997</v>
      </c>
      <c r="E214" s="58">
        <v>6419.3442056722206</v>
      </c>
      <c r="F214" s="58">
        <v>15296.006700000002</v>
      </c>
      <c r="G214" s="58">
        <v>20525.046112731481</v>
      </c>
      <c r="H214" s="39">
        <v>1.4126043447165282E-2</v>
      </c>
      <c r="I214" s="39">
        <v>0.3418565064260517</v>
      </c>
      <c r="J214" s="39">
        <v>4.8781753506667469E-2</v>
      </c>
    </row>
    <row r="215" spans="1:10" ht="11.25" customHeight="1" x14ac:dyDescent="0.2">
      <c r="A215" s="67">
        <v>44682</v>
      </c>
      <c r="B215" s="58">
        <v>125314.38</v>
      </c>
      <c r="C215" s="58">
        <v>125494.37196780845</v>
      </c>
      <c r="D215" s="58">
        <v>5287.7545799999998</v>
      </c>
      <c r="E215" s="58">
        <v>7114.6058402048156</v>
      </c>
      <c r="F215" s="58">
        <v>16952.6754</v>
      </c>
      <c r="G215" s="58">
        <v>22748.05778681887</v>
      </c>
      <c r="H215" s="39">
        <v>1.5366082908728984E-2</v>
      </c>
      <c r="I215" s="39">
        <v>0.3418565064260517</v>
      </c>
      <c r="J215" s="39">
        <v>5.2876796194510245E-2</v>
      </c>
    </row>
    <row r="216" spans="1:10" ht="11.25" customHeight="1" x14ac:dyDescent="0.2">
      <c r="A216" s="67">
        <v>44713</v>
      </c>
      <c r="B216" s="58">
        <v>124302.42</v>
      </c>
      <c r="C216" s="58">
        <v>124480.95846604956</v>
      </c>
      <c r="D216" s="58">
        <v>5141.5610399999996</v>
      </c>
      <c r="E216" s="58">
        <v>6917.9043107090547</v>
      </c>
      <c r="F216" s="58">
        <v>16483.975200000001</v>
      </c>
      <c r="G216" s="58">
        <v>22119.129373885677</v>
      </c>
      <c r="H216" s="39">
        <v>1.510214473513849E-2</v>
      </c>
      <c r="I216" s="39">
        <v>0.3418565064260517</v>
      </c>
      <c r="J216" s="39">
        <v>5.2012212780951916E-2</v>
      </c>
    </row>
    <row r="217" spans="1:10" ht="11.25" customHeight="1" x14ac:dyDescent="0.2">
      <c r="A217" s="67">
        <v>44743</v>
      </c>
      <c r="B217" s="58">
        <v>124414.86</v>
      </c>
      <c r="C217" s="58">
        <v>124593.559966245</v>
      </c>
      <c r="D217" s="58">
        <v>5353.0105200000007</v>
      </c>
      <c r="E217" s="58">
        <v>7202.4068689416781</v>
      </c>
      <c r="F217" s="58">
        <v>17161.887600000002</v>
      </c>
      <c r="G217" s="58">
        <v>23028.790538612582</v>
      </c>
      <c r="H217" s="39">
        <v>1.5628647577091037E-2</v>
      </c>
      <c r="I217" s="39">
        <v>0.34185650642605192</v>
      </c>
      <c r="J217" s="39">
        <v>5.373315354777386E-2</v>
      </c>
    </row>
    <row r="218" spans="1:10" ht="11.25" customHeight="1" x14ac:dyDescent="0.2">
      <c r="A218" s="67">
        <v>44774</v>
      </c>
      <c r="B218" s="58">
        <v>124752.18000000001</v>
      </c>
      <c r="C218" s="58">
        <v>124931.36446683129</v>
      </c>
      <c r="D218" s="58">
        <v>5697.41687</v>
      </c>
      <c r="E218" s="58">
        <v>7665.8011872751185</v>
      </c>
      <c r="F218" s="58">
        <v>18266.063100000003</v>
      </c>
      <c r="G218" s="58">
        <v>24510.435617523821</v>
      </c>
      <c r="H218" s="39">
        <v>1.646282422970291E-2</v>
      </c>
      <c r="I218" s="39">
        <v>0.3418565064260517</v>
      </c>
      <c r="J218" s="39">
        <v>5.6429439262301706E-2</v>
      </c>
    </row>
    <row r="219" spans="1:10" ht="11.25" customHeight="1" x14ac:dyDescent="0.2">
      <c r="A219" s="67">
        <v>44805</v>
      </c>
      <c r="B219" s="58">
        <v>114801.24</v>
      </c>
      <c r="C219" s="58">
        <v>114966.1316995356</v>
      </c>
      <c r="D219" s="58">
        <v>5070.8249500000002</v>
      </c>
      <c r="E219" s="58">
        <v>6822.7298105666423</v>
      </c>
      <c r="F219" s="58">
        <v>16257.193500000001</v>
      </c>
      <c r="G219" s="58">
        <v>21814.82087420232</v>
      </c>
      <c r="H219" s="39">
        <v>1.5990352388621565E-2</v>
      </c>
      <c r="I219" s="39">
        <v>0.34185650642605192</v>
      </c>
      <c r="J219" s="39">
        <v>5.4906814445403684E-2</v>
      </c>
    </row>
    <row r="220" spans="1:10" ht="11.25" customHeight="1" x14ac:dyDescent="0.2">
      <c r="A220" s="67">
        <v>44835</v>
      </c>
      <c r="B220" s="58">
        <v>115700.76</v>
      </c>
      <c r="C220" s="58">
        <v>115866.94370109905</v>
      </c>
      <c r="D220" s="58">
        <v>5135.6593400000002</v>
      </c>
      <c r="E220" s="58">
        <v>6909.9636491953843</v>
      </c>
      <c r="F220" s="58">
        <v>16465.054200000002</v>
      </c>
      <c r="G220" s="58">
        <v>22093.740106927595</v>
      </c>
      <c r="H220" s="39">
        <v>1.6058800988089983E-2</v>
      </c>
      <c r="I220" s="39">
        <v>0.34185650642605192</v>
      </c>
      <c r="J220" s="39">
        <v>5.5128133166152171E-2</v>
      </c>
    </row>
    <row r="221" spans="1:10" ht="11.25" customHeight="1" x14ac:dyDescent="0.2">
      <c r="A221" s="67">
        <v>44866</v>
      </c>
      <c r="B221" s="58">
        <v>115700.76</v>
      </c>
      <c r="C221" s="58">
        <v>115866.94370109905</v>
      </c>
      <c r="D221" s="58">
        <v>5135.6593400000002</v>
      </c>
      <c r="E221" s="58">
        <v>6909.9636491953843</v>
      </c>
      <c r="F221" s="58">
        <v>16465.054200000002</v>
      </c>
      <c r="G221" s="58">
        <v>22093.740106927595</v>
      </c>
      <c r="H221" s="39">
        <v>1.6058800988089983E-2</v>
      </c>
      <c r="I221" s="39">
        <v>0.34185650642605192</v>
      </c>
      <c r="J221" s="39">
        <v>5.5128133166152171E-2</v>
      </c>
    </row>
    <row r="222" spans="1:10" ht="11.25" customHeight="1" x14ac:dyDescent="0.2">
      <c r="A222" s="62" t="s">
        <v>40</v>
      </c>
      <c r="B222" s="58">
        <v>1214359.1399999999</v>
      </c>
      <c r="C222" s="58">
        <v>1228159.3847504966</v>
      </c>
      <c r="D222" s="58">
        <v>608602.1894400001</v>
      </c>
      <c r="E222" s="58">
        <v>818866.42540646461</v>
      </c>
      <c r="F222" s="58">
        <v>1283694.3604799996</v>
      </c>
      <c r="G222" s="58">
        <v>1678267.9198723002</v>
      </c>
      <c r="H222" s="39">
        <v>0.12291236083751245</v>
      </c>
      <c r="I222" s="39">
        <v>0.30737344615642082</v>
      </c>
      <c r="J222" s="39">
        <v>0.19913311993875693</v>
      </c>
    </row>
    <row r="223" spans="1:10" ht="11.25" customHeight="1" x14ac:dyDescent="0.2">
      <c r="A223" s="63" t="s">
        <v>25</v>
      </c>
      <c r="B223" s="58">
        <v>1214359.1399999999</v>
      </c>
      <c r="C223" s="58">
        <v>1228159.3847504966</v>
      </c>
      <c r="D223" s="58">
        <v>608602.1894400001</v>
      </c>
      <c r="E223" s="58">
        <v>818866.42540646461</v>
      </c>
      <c r="F223" s="58">
        <v>1283694.3604799996</v>
      </c>
      <c r="G223" s="58">
        <v>1678267.9198723002</v>
      </c>
      <c r="H223" s="39">
        <v>0.12291236083751245</v>
      </c>
      <c r="I223" s="39">
        <v>0.30737344615642082</v>
      </c>
      <c r="J223" s="39">
        <v>0.19913311993875693</v>
      </c>
    </row>
    <row r="224" spans="1:10" ht="11.25" customHeight="1" x14ac:dyDescent="0.2">
      <c r="A224" s="64" t="s">
        <v>25</v>
      </c>
      <c r="B224" s="58">
        <v>1214359.1399999999</v>
      </c>
      <c r="C224" s="58">
        <v>1228159.3847504966</v>
      </c>
      <c r="D224" s="58">
        <v>608602.1894400001</v>
      </c>
      <c r="E224" s="58">
        <v>818866.42540646461</v>
      </c>
      <c r="F224" s="58">
        <v>1283694.3604799996</v>
      </c>
      <c r="G224" s="58">
        <v>1678267.9198723002</v>
      </c>
      <c r="H224" s="39">
        <v>0.12291236083751245</v>
      </c>
      <c r="I224" s="39">
        <v>0.30737344615642082</v>
      </c>
      <c r="J224" s="39">
        <v>0.19913311993875693</v>
      </c>
    </row>
    <row r="225" spans="1:10" ht="11.25" customHeight="1" x14ac:dyDescent="0.2">
      <c r="A225" s="65" t="s">
        <v>25</v>
      </c>
      <c r="B225" s="58">
        <v>1214359.1399999999</v>
      </c>
      <c r="C225" s="58">
        <v>1228159.3847504966</v>
      </c>
      <c r="D225" s="58">
        <v>608602.1894400001</v>
      </c>
      <c r="E225" s="58">
        <v>818866.42540646461</v>
      </c>
      <c r="F225" s="58">
        <v>1283694.3604799996</v>
      </c>
      <c r="G225" s="58">
        <v>1678267.9198723002</v>
      </c>
      <c r="H225" s="39">
        <v>0.12291236083751245</v>
      </c>
      <c r="I225" s="39">
        <v>0.30737344615642082</v>
      </c>
      <c r="J225" s="39">
        <v>0.19913311993875693</v>
      </c>
    </row>
    <row r="226" spans="1:10" ht="11.25" customHeight="1" x14ac:dyDescent="0.2">
      <c r="A226" s="66" t="s">
        <v>37</v>
      </c>
      <c r="B226" s="58">
        <v>304326</v>
      </c>
      <c r="C226" s="58">
        <v>316819.1429187716</v>
      </c>
      <c r="D226" s="58">
        <v>550439.16543000005</v>
      </c>
      <c r="E226" s="58">
        <v>740608.82399079553</v>
      </c>
      <c r="F226" s="58">
        <v>1097222.22918</v>
      </c>
      <c r="G226" s="58">
        <v>1428049.077220262</v>
      </c>
      <c r="H226" s="39">
        <v>0.2370976376624041</v>
      </c>
      <c r="I226" s="39">
        <v>0.30151307478294798</v>
      </c>
      <c r="J226" s="39">
        <v>0.27330588865120142</v>
      </c>
    </row>
    <row r="227" spans="1:10" ht="11.25" customHeight="1" x14ac:dyDescent="0.2">
      <c r="A227" s="67">
        <v>44531</v>
      </c>
      <c r="B227" s="58">
        <v>24690.600000000002</v>
      </c>
      <c r="C227" s="58">
        <v>25704.194614164491</v>
      </c>
      <c r="D227" s="58">
        <v>42305.324730000008</v>
      </c>
      <c r="E227" s="58">
        <v>56921.270804481865</v>
      </c>
      <c r="F227" s="58">
        <v>84329.650980000006</v>
      </c>
      <c r="G227" s="58">
        <v>109756.14334235263</v>
      </c>
      <c r="H227" s="39">
        <v>0.23329091659880641</v>
      </c>
      <c r="I227" s="39">
        <v>0.30151307478294775</v>
      </c>
      <c r="J227" s="39">
        <v>0.27130928039341273</v>
      </c>
    </row>
    <row r="228" spans="1:10" ht="11.25" customHeight="1" x14ac:dyDescent="0.2">
      <c r="A228" s="67">
        <v>44562</v>
      </c>
      <c r="B228" s="58">
        <v>25126.2</v>
      </c>
      <c r="C228" s="58">
        <v>26157.67679661166</v>
      </c>
      <c r="D228" s="58">
        <v>43932.00187</v>
      </c>
      <c r="E228" s="58">
        <v>59109.943993692483</v>
      </c>
      <c r="F228" s="58">
        <v>87572.200620000003</v>
      </c>
      <c r="G228" s="58">
        <v>113976.36409444537</v>
      </c>
      <c r="H228" s="39">
        <v>0.23472112625836816</v>
      </c>
      <c r="I228" s="39">
        <v>0.30151307478294775</v>
      </c>
      <c r="J228" s="39">
        <v>0.27206456548223557</v>
      </c>
    </row>
    <row r="229" spans="1:10" ht="11.25" customHeight="1" x14ac:dyDescent="0.2">
      <c r="A229" s="67">
        <v>44593</v>
      </c>
      <c r="B229" s="58">
        <v>24373.8</v>
      </c>
      <c r="C229" s="58">
        <v>25374.38939056655</v>
      </c>
      <c r="D229" s="58">
        <v>39049.0196</v>
      </c>
      <c r="E229" s="58">
        <v>52539.954095303779</v>
      </c>
      <c r="F229" s="58">
        <v>77838.669599999994</v>
      </c>
      <c r="G229" s="58">
        <v>101308.04620810995</v>
      </c>
      <c r="H229" s="39">
        <v>0.22849069116237031</v>
      </c>
      <c r="I229" s="39">
        <v>0.30151307478294775</v>
      </c>
      <c r="J229" s="39">
        <v>0.26872787982742197</v>
      </c>
    </row>
    <row r="230" spans="1:10" ht="11.25" customHeight="1" x14ac:dyDescent="0.2">
      <c r="A230" s="67">
        <v>44621</v>
      </c>
      <c r="B230" s="58">
        <v>24948</v>
      </c>
      <c r="C230" s="58">
        <v>25972.161358337817</v>
      </c>
      <c r="D230" s="58">
        <v>44675.616070000004</v>
      </c>
      <c r="E230" s="58">
        <v>60110.467344414865</v>
      </c>
      <c r="F230" s="58">
        <v>89054.489820000003</v>
      </c>
      <c r="G230" s="58">
        <v>115905.58286885491</v>
      </c>
      <c r="H230" s="39">
        <v>0.2363998534090026</v>
      </c>
      <c r="I230" s="39">
        <v>0.30151307478294753</v>
      </c>
      <c r="J230" s="39">
        <v>0.27294317283842129</v>
      </c>
    </row>
    <row r="231" spans="1:10" ht="11.25" customHeight="1" x14ac:dyDescent="0.2">
      <c r="A231" s="67">
        <v>44652</v>
      </c>
      <c r="B231" s="58">
        <v>24136.2</v>
      </c>
      <c r="C231" s="58">
        <v>25127.035472868094</v>
      </c>
      <c r="D231" s="58">
        <v>39837.402410000002</v>
      </c>
      <c r="E231" s="58">
        <v>53600.713035508437</v>
      </c>
      <c r="F231" s="58">
        <v>79410.198660000009</v>
      </c>
      <c r="G231" s="58">
        <v>103353.41182710131</v>
      </c>
      <c r="H231" s="39">
        <v>0.23062865842412283</v>
      </c>
      <c r="I231" s="39">
        <v>0.30151307478294753</v>
      </c>
      <c r="J231" s="39">
        <v>0.26988654908503773</v>
      </c>
    </row>
    <row r="232" spans="1:10" ht="11.25" customHeight="1" x14ac:dyDescent="0.2">
      <c r="A232" s="67">
        <v>44682</v>
      </c>
      <c r="B232" s="58">
        <v>20552.400000000001</v>
      </c>
      <c r="C232" s="58">
        <v>21396.113880916389</v>
      </c>
      <c r="D232" s="58">
        <v>38160.223580000005</v>
      </c>
      <c r="E232" s="58">
        <v>51344.090471345124</v>
      </c>
      <c r="F232" s="58">
        <v>76066.981080000012</v>
      </c>
      <c r="G232" s="58">
        <v>99002.170434887114</v>
      </c>
      <c r="H232" s="39">
        <v>0.23891933143045385</v>
      </c>
      <c r="I232" s="39">
        <v>0.30151307478294753</v>
      </c>
      <c r="J232" s="39">
        <v>0.274246019792032</v>
      </c>
    </row>
    <row r="233" spans="1:10" ht="11.25" customHeight="1" x14ac:dyDescent="0.2">
      <c r="A233" s="67">
        <v>44713</v>
      </c>
      <c r="B233" s="58">
        <v>28353.600000000002</v>
      </c>
      <c r="C233" s="58">
        <v>29517.567512015677</v>
      </c>
      <c r="D233" s="58">
        <v>49431.458860000006</v>
      </c>
      <c r="E233" s="58">
        <v>66509.392706194791</v>
      </c>
      <c r="F233" s="58">
        <v>98534.586360000016</v>
      </c>
      <c r="G233" s="58">
        <v>128244.05246586951</v>
      </c>
      <c r="H233" s="39">
        <v>0.23451677771489265</v>
      </c>
      <c r="I233" s="39">
        <v>0.30151307478294753</v>
      </c>
      <c r="J233" s="39">
        <v>0.27195703237860669</v>
      </c>
    </row>
    <row r="234" spans="1:10" ht="11.25" customHeight="1" x14ac:dyDescent="0.2">
      <c r="A234" s="67">
        <v>44743</v>
      </c>
      <c r="B234" s="58">
        <v>25086.6</v>
      </c>
      <c r="C234" s="58">
        <v>26116.451143661918</v>
      </c>
      <c r="D234" s="58">
        <v>46271.098510000003</v>
      </c>
      <c r="E234" s="58">
        <v>62257.168465624658</v>
      </c>
      <c r="F234" s="58">
        <v>92234.857260000004</v>
      </c>
      <c r="G234" s="58">
        <v>120044.87267462889</v>
      </c>
      <c r="H234" s="39">
        <v>0.23845949988005821</v>
      </c>
      <c r="I234" s="39">
        <v>0.30151307478294775</v>
      </c>
      <c r="J234" s="39">
        <v>0.27400963511406751</v>
      </c>
    </row>
    <row r="235" spans="1:10" ht="11.25" customHeight="1" x14ac:dyDescent="0.2">
      <c r="A235" s="67">
        <v>44774</v>
      </c>
      <c r="B235" s="58">
        <v>25383.600000000002</v>
      </c>
      <c r="C235" s="58">
        <v>26425.643540784986</v>
      </c>
      <c r="D235" s="58">
        <v>49453.379460000004</v>
      </c>
      <c r="E235" s="58">
        <v>66538.886591817005</v>
      </c>
      <c r="F235" s="58">
        <v>98578.281960000008</v>
      </c>
      <c r="G235" s="58">
        <v>128300.92286058</v>
      </c>
      <c r="H235" s="39">
        <v>0.24222718238235519</v>
      </c>
      <c r="I235" s="39">
        <v>0.30151307478294775</v>
      </c>
      <c r="J235" s="39">
        <v>0.27592837666860293</v>
      </c>
    </row>
    <row r="236" spans="1:10" ht="11.25" customHeight="1" x14ac:dyDescent="0.2">
      <c r="A236" s="67">
        <v>44805</v>
      </c>
      <c r="B236" s="58">
        <v>27383.399999999998</v>
      </c>
      <c r="C236" s="58">
        <v>28507.539014746984</v>
      </c>
      <c r="D236" s="58">
        <v>52997.097379999999</v>
      </c>
      <c r="E236" s="58">
        <v>71306.913516710789</v>
      </c>
      <c r="F236" s="58">
        <v>105642.17988</v>
      </c>
      <c r="G236" s="58">
        <v>137494.67836239206</v>
      </c>
      <c r="H236" s="39">
        <v>0.24177450731093963</v>
      </c>
      <c r="I236" s="39">
        <v>0.30151307478294775</v>
      </c>
      <c r="J236" s="39">
        <v>0.27570000813485684</v>
      </c>
    </row>
    <row r="237" spans="1:10" ht="11.25" customHeight="1" x14ac:dyDescent="0.2">
      <c r="A237" s="67">
        <v>44835</v>
      </c>
      <c r="B237" s="58">
        <v>27145.800000000003</v>
      </c>
      <c r="C237" s="58">
        <v>28260.185097048528</v>
      </c>
      <c r="D237" s="58">
        <v>52163.271480000003</v>
      </c>
      <c r="E237" s="58">
        <v>70185.011482850881</v>
      </c>
      <c r="F237" s="58">
        <v>103980.06648000001</v>
      </c>
      <c r="G237" s="58">
        <v>135331.41604052013</v>
      </c>
      <c r="H237" s="39">
        <v>0.24128545124532308</v>
      </c>
      <c r="I237" s="39">
        <v>0.30151307478294775</v>
      </c>
      <c r="J237" s="39">
        <v>0.27545262759344524</v>
      </c>
    </row>
    <row r="238" spans="1:10" ht="11.25" customHeight="1" x14ac:dyDescent="0.2">
      <c r="A238" s="67">
        <v>44866</v>
      </c>
      <c r="B238" s="58">
        <v>27145.800000000003</v>
      </c>
      <c r="C238" s="58">
        <v>28260.185097048528</v>
      </c>
      <c r="D238" s="58">
        <v>52163.271480000003</v>
      </c>
      <c r="E238" s="58">
        <v>70185.011482850881</v>
      </c>
      <c r="F238" s="58">
        <v>103980.06648000001</v>
      </c>
      <c r="G238" s="58">
        <v>135331.41604052013</v>
      </c>
      <c r="H238" s="39">
        <v>0.24128545124532308</v>
      </c>
      <c r="I238" s="39">
        <v>0.30151307478294775</v>
      </c>
      <c r="J238" s="39">
        <v>0.27545262759344524</v>
      </c>
    </row>
    <row r="239" spans="1:10" ht="11.25" customHeight="1" x14ac:dyDescent="0.2">
      <c r="A239" s="66" t="s">
        <v>36</v>
      </c>
      <c r="B239" s="58">
        <v>910033.1399999999</v>
      </c>
      <c r="C239" s="58">
        <v>911340.24183172523</v>
      </c>
      <c r="D239" s="58">
        <v>58163.024010000001</v>
      </c>
      <c r="E239" s="58">
        <v>78257.601415669138</v>
      </c>
      <c r="F239" s="58">
        <v>186472.13130000001</v>
      </c>
      <c r="G239" s="58">
        <v>250218.84265203803</v>
      </c>
      <c r="H239" s="39">
        <v>2.2104693276985055E-2</v>
      </c>
      <c r="I239" s="39">
        <v>0.34185650642605192</v>
      </c>
      <c r="J239" s="39">
        <v>7.3742728483397357E-2</v>
      </c>
    </row>
    <row r="240" spans="1:10" ht="11.25" customHeight="1" x14ac:dyDescent="0.2">
      <c r="A240" s="67">
        <v>44531</v>
      </c>
      <c r="B240" s="58">
        <v>77414.94</v>
      </c>
      <c r="C240" s="58">
        <v>77526.132884554623</v>
      </c>
      <c r="D240" s="58">
        <v>4791.4216100000003</v>
      </c>
      <c r="E240" s="58">
        <v>6446.7962069051928</v>
      </c>
      <c r="F240" s="58">
        <v>15361.4193</v>
      </c>
      <c r="G240" s="58">
        <v>20612.820435643727</v>
      </c>
      <c r="H240" s="39">
        <v>2.1489425475861301E-2</v>
      </c>
      <c r="I240" s="39">
        <v>0.34185650642605192</v>
      </c>
      <c r="J240" s="39">
        <v>7.1929160955061189E-2</v>
      </c>
    </row>
    <row r="241" spans="1:10" ht="11.25" customHeight="1" x14ac:dyDescent="0.2">
      <c r="A241" s="67">
        <v>44562</v>
      </c>
      <c r="B241" s="58">
        <v>77414.94</v>
      </c>
      <c r="C241" s="58">
        <v>77526.132884554623</v>
      </c>
      <c r="D241" s="58">
        <v>4591.4382900000001</v>
      </c>
      <c r="E241" s="58">
        <v>6177.7212196134133</v>
      </c>
      <c r="F241" s="58">
        <v>14720.2677</v>
      </c>
      <c r="G241" s="58">
        <v>19752.486989578254</v>
      </c>
      <c r="H241" s="39">
        <v>2.0699314487041987E-2</v>
      </c>
      <c r="I241" s="39">
        <v>0.34185650642605192</v>
      </c>
      <c r="J241" s="39">
        <v>6.9574366348255756E-2</v>
      </c>
    </row>
    <row r="242" spans="1:10" ht="11.25" customHeight="1" x14ac:dyDescent="0.2">
      <c r="A242" s="67">
        <v>44593</v>
      </c>
      <c r="B242" s="58">
        <v>77414.94</v>
      </c>
      <c r="C242" s="58">
        <v>77526.132884554623</v>
      </c>
      <c r="D242" s="58">
        <v>4303.2667099999999</v>
      </c>
      <c r="E242" s="58">
        <v>5789.9900617030835</v>
      </c>
      <c r="F242" s="58">
        <v>13796.382299999999</v>
      </c>
      <c r="G242" s="58">
        <v>18512.765354396219</v>
      </c>
      <c r="H242" s="39">
        <v>1.9553980692801565E-2</v>
      </c>
      <c r="I242" s="39">
        <v>0.34185650642605192</v>
      </c>
      <c r="J242" s="39">
        <v>6.610821819055146E-2</v>
      </c>
    </row>
    <row r="243" spans="1:10" ht="11.25" customHeight="1" x14ac:dyDescent="0.2">
      <c r="A243" s="67">
        <v>44621</v>
      </c>
      <c r="B243" s="58">
        <v>77414.94</v>
      </c>
      <c r="C243" s="58">
        <v>77526.132884554623</v>
      </c>
      <c r="D243" s="58">
        <v>4769.50101</v>
      </c>
      <c r="E243" s="58">
        <v>6417.3023212829912</v>
      </c>
      <c r="F243" s="58">
        <v>15291.141299999999</v>
      </c>
      <c r="G243" s="58">
        <v>20518.517444085115</v>
      </c>
      <c r="H243" s="39">
        <v>2.140300736028089E-2</v>
      </c>
      <c r="I243" s="39">
        <v>0.3418565064260517</v>
      </c>
      <c r="J243" s="39">
        <v>7.1673030048736486E-2</v>
      </c>
    </row>
    <row r="244" spans="1:10" ht="11.25" customHeight="1" x14ac:dyDescent="0.2">
      <c r="A244" s="67">
        <v>44652</v>
      </c>
      <c r="B244" s="58">
        <v>78314.459999999992</v>
      </c>
      <c r="C244" s="58">
        <v>78426.944886118072</v>
      </c>
      <c r="D244" s="58">
        <v>4149.2323400000005</v>
      </c>
      <c r="E244" s="58">
        <v>5582.7387961963041</v>
      </c>
      <c r="F244" s="58">
        <v>13302.5442</v>
      </c>
      <c r="G244" s="58">
        <v>17850.10548679014</v>
      </c>
      <c r="H244" s="39">
        <v>1.8747539655879386E-2</v>
      </c>
      <c r="I244" s="39">
        <v>0.34185650642605192</v>
      </c>
      <c r="J244" s="39">
        <v>6.3629446548829849E-2</v>
      </c>
    </row>
    <row r="245" spans="1:10" ht="11.25" customHeight="1" x14ac:dyDescent="0.2">
      <c r="A245" s="67">
        <v>44682</v>
      </c>
      <c r="B245" s="58">
        <v>77808.479999999996</v>
      </c>
      <c r="C245" s="58">
        <v>77920.238135238629</v>
      </c>
      <c r="D245" s="58">
        <v>4075.96695</v>
      </c>
      <c r="E245" s="58">
        <v>5484.161155405176</v>
      </c>
      <c r="F245" s="58">
        <v>13067.6535</v>
      </c>
      <c r="G245" s="58">
        <v>17534.915872696172</v>
      </c>
      <c r="H245" s="39">
        <v>1.8562161646788811E-2</v>
      </c>
      <c r="I245" s="39">
        <v>0.34185650642605214</v>
      </c>
      <c r="J245" s="39">
        <v>6.3055105521259591E-2</v>
      </c>
    </row>
    <row r="246" spans="1:10" ht="11.25" customHeight="1" x14ac:dyDescent="0.2">
      <c r="A246" s="67">
        <v>44713</v>
      </c>
      <c r="B246" s="58">
        <v>47337.240000000005</v>
      </c>
      <c r="C246" s="58">
        <v>47405.231582276683</v>
      </c>
      <c r="D246" s="58">
        <v>5276.5413499999995</v>
      </c>
      <c r="E246" s="58">
        <v>7099.5185833288433</v>
      </c>
      <c r="F246" s="58">
        <v>16916.7255</v>
      </c>
      <c r="G246" s="58">
        <v>22699.818179598504</v>
      </c>
      <c r="H246" s="39">
        <v>3.5940560953532819E-2</v>
      </c>
      <c r="I246" s="39">
        <v>0.3418565064260517</v>
      </c>
      <c r="J246" s="39">
        <v>0.11036970450624617</v>
      </c>
    </row>
    <row r="247" spans="1:10" ht="11.25" customHeight="1" x14ac:dyDescent="0.2">
      <c r="A247" s="67">
        <v>44743</v>
      </c>
      <c r="B247" s="58">
        <v>78033.36</v>
      </c>
      <c r="C247" s="58">
        <v>78145.441135629488</v>
      </c>
      <c r="D247" s="58">
        <v>4903.72253</v>
      </c>
      <c r="E247" s="58">
        <v>6597.8956517081651</v>
      </c>
      <c r="F247" s="58">
        <v>15721.458900000001</v>
      </c>
      <c r="G247" s="58">
        <v>21095.941915474759</v>
      </c>
      <c r="H247" s="39">
        <v>2.1778608581804138E-2</v>
      </c>
      <c r="I247" s="39">
        <v>0.3418565064260517</v>
      </c>
      <c r="J247" s="39">
        <v>7.2783736397595833E-2</v>
      </c>
    </row>
    <row r="248" spans="1:10" ht="11.25" customHeight="1" x14ac:dyDescent="0.2">
      <c r="A248" s="67">
        <v>44774</v>
      </c>
      <c r="B248" s="58">
        <v>78651.78</v>
      </c>
      <c r="C248" s="58">
        <v>78764.749386704367</v>
      </c>
      <c r="D248" s="58">
        <v>5634.4373000000005</v>
      </c>
      <c r="E248" s="58">
        <v>7581.0629851220992</v>
      </c>
      <c r="F248" s="58">
        <v>18064.148999999998</v>
      </c>
      <c r="G248" s="58">
        <v>24239.495868699658</v>
      </c>
      <c r="H248" s="39">
        <v>2.4435727901938487E-2</v>
      </c>
      <c r="I248" s="39">
        <v>0.34185650642605192</v>
      </c>
      <c r="J248" s="39">
        <v>8.0458353381839709E-2</v>
      </c>
    </row>
    <row r="249" spans="1:10" ht="11.25" customHeight="1" x14ac:dyDescent="0.2">
      <c r="A249" s="67">
        <v>44805</v>
      </c>
      <c r="B249" s="58">
        <v>80788.14</v>
      </c>
      <c r="C249" s="58">
        <v>80904.177890417559</v>
      </c>
      <c r="D249" s="58">
        <v>5566.9893000000002</v>
      </c>
      <c r="E249" s="58">
        <v>7490.3125678230181</v>
      </c>
      <c r="F249" s="58">
        <v>17847.909</v>
      </c>
      <c r="G249" s="58">
        <v>23949.332817750092</v>
      </c>
      <c r="H249" s="39">
        <v>2.3615981757792115E-2</v>
      </c>
      <c r="I249" s="39">
        <v>0.34185650642605214</v>
      </c>
      <c r="J249" s="39">
        <v>7.8124257303835876E-2</v>
      </c>
    </row>
    <row r="250" spans="1:10" ht="11.25" customHeight="1" x14ac:dyDescent="0.2">
      <c r="A250" s="67">
        <v>44835</v>
      </c>
      <c r="B250" s="58">
        <v>79719.959999999992</v>
      </c>
      <c r="C250" s="58">
        <v>79834.463638560963</v>
      </c>
      <c r="D250" s="58">
        <v>5050.2533100000001</v>
      </c>
      <c r="E250" s="58">
        <v>6795.0509332904221</v>
      </c>
      <c r="F250" s="58">
        <v>16191.240300000001</v>
      </c>
      <c r="G250" s="58">
        <v>21726.321143662699</v>
      </c>
      <c r="H250" s="39">
        <v>2.1933426722096749E-2</v>
      </c>
      <c r="I250" s="39">
        <v>0.3418565064260517</v>
      </c>
      <c r="J250" s="39">
        <v>7.3239655741066834E-2</v>
      </c>
    </row>
    <row r="251" spans="1:10" ht="11.25" customHeight="1" x14ac:dyDescent="0.2">
      <c r="A251" s="67">
        <v>44866</v>
      </c>
      <c r="B251" s="58">
        <v>79719.959999999992</v>
      </c>
      <c r="C251" s="58">
        <v>79834.463638560963</v>
      </c>
      <c r="D251" s="58">
        <v>5050.2533100000001</v>
      </c>
      <c r="E251" s="58">
        <v>6795.0509332904221</v>
      </c>
      <c r="F251" s="58">
        <v>16191.240300000001</v>
      </c>
      <c r="G251" s="58">
        <v>21726.321143662699</v>
      </c>
      <c r="H251" s="39">
        <v>2.1933426722096749E-2</v>
      </c>
      <c r="I251" s="39">
        <v>0.3418565064260517</v>
      </c>
      <c r="J251" s="39">
        <v>7.3239655741066834E-2</v>
      </c>
    </row>
    <row r="252" spans="1:10" ht="11.25" customHeight="1" x14ac:dyDescent="0.2">
      <c r="A252" s="62" t="s">
        <v>48</v>
      </c>
      <c r="B252" s="58">
        <v>2238959.2199999997</v>
      </c>
      <c r="C252" s="58">
        <v>2270268.703932934</v>
      </c>
      <c r="D252" s="58">
        <v>989837.17087999976</v>
      </c>
      <c r="E252" s="58">
        <v>1331813.1940977229</v>
      </c>
      <c r="F252" s="58">
        <v>2072536.9857599996</v>
      </c>
      <c r="G252" s="58">
        <v>2708039.8804179225</v>
      </c>
      <c r="H252" s="39">
        <v>0.1156113492337365</v>
      </c>
      <c r="I252" s="39">
        <v>0.30663042398005014</v>
      </c>
      <c r="J252" s="39">
        <v>0.19028956116092299</v>
      </c>
    </row>
    <row r="253" spans="1:10" ht="11.25" customHeight="1" x14ac:dyDescent="0.2">
      <c r="A253" s="63" t="s">
        <v>25</v>
      </c>
      <c r="B253" s="58">
        <v>2238959.2199999997</v>
      </c>
      <c r="C253" s="58">
        <v>2270268.703932934</v>
      </c>
      <c r="D253" s="58">
        <v>989837.17087999976</v>
      </c>
      <c r="E253" s="58">
        <v>1331813.1940977229</v>
      </c>
      <c r="F253" s="58">
        <v>2072536.9857599996</v>
      </c>
      <c r="G253" s="58">
        <v>2708039.8804179225</v>
      </c>
      <c r="H253" s="39">
        <v>0.1156113492337365</v>
      </c>
      <c r="I253" s="39">
        <v>0.30663042398005014</v>
      </c>
      <c r="J253" s="39">
        <v>0.19028956116092299</v>
      </c>
    </row>
    <row r="254" spans="1:10" ht="11.25" customHeight="1" x14ac:dyDescent="0.2">
      <c r="A254" s="64" t="s">
        <v>25</v>
      </c>
      <c r="B254" s="58">
        <v>2238959.2199999997</v>
      </c>
      <c r="C254" s="58">
        <v>2270268.703932934</v>
      </c>
      <c r="D254" s="58">
        <v>989837.17087999976</v>
      </c>
      <c r="E254" s="58">
        <v>1331813.1940977229</v>
      </c>
      <c r="F254" s="58">
        <v>2072536.9857599996</v>
      </c>
      <c r="G254" s="58">
        <v>2708039.8804179225</v>
      </c>
      <c r="H254" s="39">
        <v>0.1156113492337365</v>
      </c>
      <c r="I254" s="39">
        <v>0.30663042398005014</v>
      </c>
      <c r="J254" s="39">
        <v>0.19028956116092299</v>
      </c>
    </row>
    <row r="255" spans="1:10" ht="11.25" customHeight="1" x14ac:dyDescent="0.2">
      <c r="A255" s="65" t="s">
        <v>25</v>
      </c>
      <c r="B255" s="58">
        <v>2238959.2199999997</v>
      </c>
      <c r="C255" s="58">
        <v>2270268.703932934</v>
      </c>
      <c r="D255" s="58">
        <v>989837.17087999976</v>
      </c>
      <c r="E255" s="58">
        <v>1331813.1940977229</v>
      </c>
      <c r="F255" s="58">
        <v>2072536.9857599996</v>
      </c>
      <c r="G255" s="58">
        <v>2708039.8804179225</v>
      </c>
      <c r="H255" s="39">
        <v>0.1156113492337365</v>
      </c>
      <c r="I255" s="39">
        <v>0.30663042398005014</v>
      </c>
      <c r="J255" s="39">
        <v>0.19028956116092299</v>
      </c>
    </row>
    <row r="256" spans="1:10" ht="11.25" customHeight="1" x14ac:dyDescent="0.2">
      <c r="A256" s="66" t="s">
        <v>37</v>
      </c>
      <c r="B256" s="58">
        <v>709156.8</v>
      </c>
      <c r="C256" s="58">
        <v>738268.99302398984</v>
      </c>
      <c r="D256" s="58">
        <v>907838.36090999993</v>
      </c>
      <c r="E256" s="58">
        <v>1221484.8489606441</v>
      </c>
      <c r="F256" s="58">
        <v>1809646.7196599999</v>
      </c>
      <c r="G256" s="58">
        <v>2355278.8663755618</v>
      </c>
      <c r="H256" s="39">
        <v>0.21197260781024152</v>
      </c>
      <c r="I256" s="39">
        <v>0.30151307478294753</v>
      </c>
      <c r="J256" s="39">
        <v>0.25925989897795132</v>
      </c>
    </row>
    <row r="257" spans="1:10" ht="11.25" customHeight="1" x14ac:dyDescent="0.2">
      <c r="A257" s="67">
        <v>44531</v>
      </c>
      <c r="B257" s="58">
        <v>69874.200000000012</v>
      </c>
      <c r="C257" s="58">
        <v>72742.664629820763</v>
      </c>
      <c r="D257" s="58">
        <v>87756.002630000003</v>
      </c>
      <c r="E257" s="58">
        <v>118074.5738816848</v>
      </c>
      <c r="F257" s="58">
        <v>174929.11638000002</v>
      </c>
      <c r="G257" s="58">
        <v>227672.53212879793</v>
      </c>
      <c r="H257" s="39">
        <v>0.21053729125378551</v>
      </c>
      <c r="I257" s="39">
        <v>0.30151307478294775</v>
      </c>
      <c r="J257" s="39">
        <v>0.25839135071033614</v>
      </c>
    </row>
    <row r="258" spans="1:10" ht="11.25" customHeight="1" x14ac:dyDescent="0.2">
      <c r="A258" s="67">
        <v>44562</v>
      </c>
      <c r="B258" s="58">
        <v>71339.399999999994</v>
      </c>
      <c r="C258" s="58">
        <v>74268.013788961238</v>
      </c>
      <c r="D258" s="58">
        <v>91499.366630000004</v>
      </c>
      <c r="E258" s="58">
        <v>123111.22204178388</v>
      </c>
      <c r="F258" s="58">
        <v>182390.98038000002</v>
      </c>
      <c r="G258" s="58">
        <v>237384.2456870501</v>
      </c>
      <c r="H258" s="39">
        <v>0.21211453461341612</v>
      </c>
      <c r="I258" s="39">
        <v>0.30151307478294753</v>
      </c>
      <c r="J258" s="39">
        <v>0.25934536430663302</v>
      </c>
    </row>
    <row r="259" spans="1:10" ht="11.25" customHeight="1" x14ac:dyDescent="0.2">
      <c r="A259" s="67">
        <v>44593</v>
      </c>
      <c r="B259" s="58">
        <v>55875.6</v>
      </c>
      <c r="C259" s="58">
        <v>58169.39631208677</v>
      </c>
      <c r="D259" s="58">
        <v>66688.113970000006</v>
      </c>
      <c r="E259" s="58">
        <v>89728.000410186665</v>
      </c>
      <c r="F259" s="58">
        <v>132933.27522000001</v>
      </c>
      <c r="G259" s="58">
        <v>173014.39577255002</v>
      </c>
      <c r="H259" s="39">
        <v>0.20669806692113113</v>
      </c>
      <c r="I259" s="39">
        <v>0.30151307478294753</v>
      </c>
      <c r="J259" s="39">
        <v>0.25602964446746501</v>
      </c>
    </row>
    <row r="260" spans="1:10" ht="11.25" customHeight="1" x14ac:dyDescent="0.2">
      <c r="A260" s="67">
        <v>44621</v>
      </c>
      <c r="B260" s="58">
        <v>56331</v>
      </c>
      <c r="C260" s="58">
        <v>58643.491321008798</v>
      </c>
      <c r="D260" s="58">
        <v>71790.639479999998</v>
      </c>
      <c r="E260" s="58">
        <v>96593.382916883871</v>
      </c>
      <c r="F260" s="58">
        <v>143104.43448</v>
      </c>
      <c r="G260" s="58">
        <v>186252.29253513968</v>
      </c>
      <c r="H260" s="39">
        <v>0.21163665145047905</v>
      </c>
      <c r="I260" s="39">
        <v>0.30151307478294775</v>
      </c>
      <c r="J260" s="39">
        <v>0.25905729411323009</v>
      </c>
    </row>
    <row r="261" spans="1:10" ht="11.25" customHeight="1" x14ac:dyDescent="0.2">
      <c r="A261" s="67">
        <v>44652</v>
      </c>
      <c r="B261" s="58">
        <v>56291.4</v>
      </c>
      <c r="C261" s="58">
        <v>58602.265668059059</v>
      </c>
      <c r="D261" s="58">
        <v>73960.441640000005</v>
      </c>
      <c r="E261" s="58">
        <v>99512.823841395351</v>
      </c>
      <c r="F261" s="58">
        <v>147429.62664</v>
      </c>
      <c r="G261" s="58">
        <v>191881.58668232837</v>
      </c>
      <c r="H261" s="39">
        <v>0.21391826417675519</v>
      </c>
      <c r="I261" s="39">
        <v>0.30151307478294753</v>
      </c>
      <c r="J261" s="39">
        <v>0.26042504154027224</v>
      </c>
    </row>
    <row r="262" spans="1:10" ht="11.25" customHeight="1" x14ac:dyDescent="0.2">
      <c r="A262" s="67">
        <v>44682</v>
      </c>
      <c r="B262" s="58">
        <v>56291.4</v>
      </c>
      <c r="C262" s="58">
        <v>58602.265668059059</v>
      </c>
      <c r="D262" s="58">
        <v>72188.751300000004</v>
      </c>
      <c r="E262" s="58">
        <v>97129.037254991708</v>
      </c>
      <c r="F262" s="58">
        <v>143898.01380000002</v>
      </c>
      <c r="G262" s="58">
        <v>187285.14639599706</v>
      </c>
      <c r="H262" s="39">
        <v>0.21210398141125775</v>
      </c>
      <c r="I262" s="39">
        <v>0.30151307478294775</v>
      </c>
      <c r="J262" s="39">
        <v>0.25933901196931108</v>
      </c>
    </row>
    <row r="263" spans="1:10" ht="11.25" customHeight="1" x14ac:dyDescent="0.2">
      <c r="A263" s="67">
        <v>44713</v>
      </c>
      <c r="B263" s="58">
        <v>55994.400000000001</v>
      </c>
      <c r="C263" s="58">
        <v>58293.073270935987</v>
      </c>
      <c r="D263" s="58">
        <v>63370.009610000001</v>
      </c>
      <c r="E263" s="58">
        <v>85263.533631158294</v>
      </c>
      <c r="F263" s="58">
        <v>126319.10586</v>
      </c>
      <c r="G263" s="58">
        <v>164405.96787168126</v>
      </c>
      <c r="H263" s="39">
        <v>0.20267513047764885</v>
      </c>
      <c r="I263" s="39">
        <v>0.30151307478294775</v>
      </c>
      <c r="J263" s="39">
        <v>0.25349303222332131</v>
      </c>
    </row>
    <row r="264" spans="1:10" ht="11.25" customHeight="1" x14ac:dyDescent="0.2">
      <c r="A264" s="67">
        <v>44743</v>
      </c>
      <c r="B264" s="58">
        <v>56628</v>
      </c>
      <c r="C264" s="58">
        <v>58952.68371813187</v>
      </c>
      <c r="D264" s="58">
        <v>77343.380390000006</v>
      </c>
      <c r="E264" s="58">
        <v>104064.52445905245</v>
      </c>
      <c r="F264" s="58">
        <v>154173.03414</v>
      </c>
      <c r="G264" s="58">
        <v>200658.21971216777</v>
      </c>
      <c r="H264" s="39">
        <v>0.21680621415282797</v>
      </c>
      <c r="I264" s="39">
        <v>0.30151307478294775</v>
      </c>
      <c r="J264" s="39">
        <v>0.26212902124982262</v>
      </c>
    </row>
    <row r="265" spans="1:10" ht="11.25" customHeight="1" x14ac:dyDescent="0.2">
      <c r="A265" s="67">
        <v>44774</v>
      </c>
      <c r="B265" s="58">
        <v>57103.200000000004</v>
      </c>
      <c r="C265" s="58">
        <v>59447.391553528782</v>
      </c>
      <c r="D265" s="58">
        <v>70876.71908000001</v>
      </c>
      <c r="E265" s="58">
        <v>95363.714762481308</v>
      </c>
      <c r="F265" s="58">
        <v>141282.66407999999</v>
      </c>
      <c r="G265" s="58">
        <v>183881.23454028711</v>
      </c>
      <c r="H265" s="39">
        <v>0.20965154087367366</v>
      </c>
      <c r="I265" s="39">
        <v>0.30151307478294775</v>
      </c>
      <c r="J265" s="39">
        <v>0.25785148787286527</v>
      </c>
    </row>
    <row r="266" spans="1:10" ht="11.25" customHeight="1" x14ac:dyDescent="0.2">
      <c r="A266" s="67">
        <v>44805</v>
      </c>
      <c r="B266" s="58">
        <v>58429.8</v>
      </c>
      <c r="C266" s="58">
        <v>60828.450927345155</v>
      </c>
      <c r="D266" s="58">
        <v>74042.559580000001</v>
      </c>
      <c r="E266" s="58">
        <v>99623.312474456994</v>
      </c>
      <c r="F266" s="58">
        <v>147593.31708000001</v>
      </c>
      <c r="G266" s="58">
        <v>192094.63193020533</v>
      </c>
      <c r="H266" s="39">
        <v>0.21120937160408482</v>
      </c>
      <c r="I266" s="39">
        <v>0.30151307478294753</v>
      </c>
      <c r="J266" s="39">
        <v>0.25879900577748827</v>
      </c>
    </row>
    <row r="267" spans="1:10" ht="11.25" customHeight="1" x14ac:dyDescent="0.2">
      <c r="A267" s="67">
        <v>44835</v>
      </c>
      <c r="B267" s="58">
        <v>57499.200000000004</v>
      </c>
      <c r="C267" s="58">
        <v>59859.648083026215</v>
      </c>
      <c r="D267" s="58">
        <v>79161.188299999994</v>
      </c>
      <c r="E267" s="58">
        <v>106510.36164328436</v>
      </c>
      <c r="F267" s="58">
        <v>157796.57579999999</v>
      </c>
      <c r="G267" s="58">
        <v>205374.30655967846</v>
      </c>
      <c r="H267" s="39">
        <v>0.21739746093133672</v>
      </c>
      <c r="I267" s="39">
        <v>0.30151307478294775</v>
      </c>
      <c r="J267" s="39">
        <v>0.26247418675328604</v>
      </c>
    </row>
    <row r="268" spans="1:10" ht="11.25" customHeight="1" x14ac:dyDescent="0.2">
      <c r="A268" s="67">
        <v>44866</v>
      </c>
      <c r="B268" s="58">
        <v>57499.200000000004</v>
      </c>
      <c r="C268" s="58">
        <v>59859.648083026215</v>
      </c>
      <c r="D268" s="58">
        <v>79161.188299999994</v>
      </c>
      <c r="E268" s="58">
        <v>106510.36164328436</v>
      </c>
      <c r="F268" s="58">
        <v>157796.57579999999</v>
      </c>
      <c r="G268" s="58">
        <v>205374.30655967846</v>
      </c>
      <c r="H268" s="39">
        <v>0.21739746093133672</v>
      </c>
      <c r="I268" s="39">
        <v>0.30151307478294775</v>
      </c>
      <c r="J268" s="39">
        <v>0.26247418675328604</v>
      </c>
    </row>
    <row r="269" spans="1:10" ht="11.25" customHeight="1" x14ac:dyDescent="0.2">
      <c r="A269" s="66" t="s">
        <v>36</v>
      </c>
      <c r="B269" s="58">
        <v>1529802.42</v>
      </c>
      <c r="C269" s="58">
        <v>1531999.7109089436</v>
      </c>
      <c r="D269" s="58">
        <v>81998.809970000017</v>
      </c>
      <c r="E269" s="58">
        <v>110328.34513707839</v>
      </c>
      <c r="F269" s="58">
        <v>262890.26610000001</v>
      </c>
      <c r="G269" s="58">
        <v>352761.01404236117</v>
      </c>
      <c r="H269" s="39">
        <v>1.8939572391683868E-2</v>
      </c>
      <c r="I269" s="39">
        <v>0.34185650642605148</v>
      </c>
      <c r="J269" s="39">
        <v>6.422260637058308E-2</v>
      </c>
    </row>
    <row r="270" spans="1:10" ht="11.25" customHeight="1" x14ac:dyDescent="0.2">
      <c r="A270" s="67">
        <v>44531</v>
      </c>
      <c r="B270" s="58">
        <v>156685.13999999998</v>
      </c>
      <c r="C270" s="58">
        <v>156910.19052233384</v>
      </c>
      <c r="D270" s="58">
        <v>7989.0469799999992</v>
      </c>
      <c r="E270" s="58">
        <v>10749.160053033069</v>
      </c>
      <c r="F270" s="58">
        <v>25613.087400000004</v>
      </c>
      <c r="G270" s="58">
        <v>34369.087977349132</v>
      </c>
      <c r="H270" s="39">
        <v>1.8127695968096491E-2</v>
      </c>
      <c r="I270" s="39">
        <v>0.34185650642605192</v>
      </c>
      <c r="J270" s="39">
        <v>6.1702308843150311E-2</v>
      </c>
    </row>
    <row r="271" spans="1:10" ht="11.25" customHeight="1" x14ac:dyDescent="0.2">
      <c r="A271" s="67">
        <v>44562</v>
      </c>
      <c r="B271" s="58">
        <v>154773.66</v>
      </c>
      <c r="C271" s="58">
        <v>154995.96501901152</v>
      </c>
      <c r="D271" s="58">
        <v>7709.13778</v>
      </c>
      <c r="E271" s="58">
        <v>10372.545821241876</v>
      </c>
      <c r="F271" s="58">
        <v>24715.691399999996</v>
      </c>
      <c r="G271" s="58">
        <v>33164.911315908415</v>
      </c>
      <c r="H271" s="39">
        <v>1.7760114299365082E-2</v>
      </c>
      <c r="I271" s="39">
        <v>0.34185650642605214</v>
      </c>
      <c r="J271" s="39">
        <v>6.0550344320689398E-2</v>
      </c>
    </row>
    <row r="272" spans="1:10" ht="11.25" customHeight="1" x14ac:dyDescent="0.2">
      <c r="A272" s="67">
        <v>44593</v>
      </c>
      <c r="B272" s="58">
        <v>121097.88</v>
      </c>
      <c r="C272" s="58">
        <v>121271.81571047977</v>
      </c>
      <c r="D272" s="58">
        <v>6342.2197500000002</v>
      </c>
      <c r="E272" s="58">
        <v>8533.3751766543464</v>
      </c>
      <c r="F272" s="58">
        <v>20333.317500000001</v>
      </c>
      <c r="G272" s="58">
        <v>27284.394384601703</v>
      </c>
      <c r="H272" s="39">
        <v>1.8558453279412968E-2</v>
      </c>
      <c r="I272" s="39">
        <v>0.3418565064260517</v>
      </c>
      <c r="J272" s="39">
        <v>6.3043598741273854E-2</v>
      </c>
    </row>
    <row r="273" spans="1:10" ht="11.25" customHeight="1" x14ac:dyDescent="0.2">
      <c r="A273" s="67">
        <v>44621</v>
      </c>
      <c r="B273" s="58">
        <v>120760.56</v>
      </c>
      <c r="C273" s="58">
        <v>120934.01120989348</v>
      </c>
      <c r="D273" s="58">
        <v>6724.5656000000008</v>
      </c>
      <c r="E273" s="58">
        <v>9047.8166047185205</v>
      </c>
      <c r="F273" s="58">
        <v>21559.128000000001</v>
      </c>
      <c r="G273" s="58">
        <v>28929.256179672077</v>
      </c>
      <c r="H273" s="39">
        <v>1.9584262892329063E-2</v>
      </c>
      <c r="I273" s="39">
        <v>0.34185650642605192</v>
      </c>
      <c r="J273" s="39">
        <v>6.6200676349216003E-2</v>
      </c>
    </row>
    <row r="274" spans="1:10" ht="11.25" customHeight="1" x14ac:dyDescent="0.2">
      <c r="A274" s="67">
        <v>44652</v>
      </c>
      <c r="B274" s="58">
        <v>119523.72</v>
      </c>
      <c r="C274" s="58">
        <v>119695.39470774372</v>
      </c>
      <c r="D274" s="58">
        <v>6184.3071200000004</v>
      </c>
      <c r="E274" s="58">
        <v>8320.90576215287</v>
      </c>
      <c r="F274" s="58">
        <v>19827.045600000001</v>
      </c>
      <c r="G274" s="58">
        <v>26605.050141566026</v>
      </c>
      <c r="H274" s="39">
        <v>1.8362179431016923E-2</v>
      </c>
      <c r="I274" s="39">
        <v>0.34185650642605192</v>
      </c>
      <c r="J274" s="39">
        <v>6.2433595707503509E-2</v>
      </c>
    </row>
    <row r="275" spans="1:10" ht="11.25" customHeight="1" x14ac:dyDescent="0.2">
      <c r="A275" s="67">
        <v>44682</v>
      </c>
      <c r="B275" s="58">
        <v>119579.94</v>
      </c>
      <c r="C275" s="58">
        <v>119751.69545784144</v>
      </c>
      <c r="D275" s="58">
        <v>6653.2393400000001</v>
      </c>
      <c r="E275" s="58">
        <v>8951.8480384247396</v>
      </c>
      <c r="F275" s="58">
        <v>21330.4542</v>
      </c>
      <c r="G275" s="58">
        <v>28622.408753292904</v>
      </c>
      <c r="H275" s="39">
        <v>1.9569848190327477E-2</v>
      </c>
      <c r="I275" s="39">
        <v>0.34185650642605192</v>
      </c>
      <c r="J275" s="39">
        <v>6.6156670687516073E-2</v>
      </c>
    </row>
    <row r="276" spans="1:10" ht="11.25" customHeight="1" x14ac:dyDescent="0.2">
      <c r="A276" s="67">
        <v>44713</v>
      </c>
      <c r="B276" s="58">
        <v>119467.5</v>
      </c>
      <c r="C276" s="58">
        <v>119639.09395764601</v>
      </c>
      <c r="D276" s="58">
        <v>6167.6137400000007</v>
      </c>
      <c r="E276" s="58">
        <v>8298.4450338713468</v>
      </c>
      <c r="F276" s="58">
        <v>19773.5262</v>
      </c>
      <c r="G276" s="58">
        <v>26533.234786456007</v>
      </c>
      <c r="H276" s="39">
        <v>1.8326287794686147E-2</v>
      </c>
      <c r="I276" s="39">
        <v>0.34185650642605192</v>
      </c>
      <c r="J276" s="39">
        <v>6.2321838934142448E-2</v>
      </c>
    </row>
    <row r="277" spans="1:10" ht="11.25" customHeight="1" x14ac:dyDescent="0.2">
      <c r="A277" s="67">
        <v>44743</v>
      </c>
      <c r="B277" s="58">
        <v>123627.78</v>
      </c>
      <c r="C277" s="58">
        <v>123805.34946487697</v>
      </c>
      <c r="D277" s="58">
        <v>7092.2415099999998</v>
      </c>
      <c r="E277" s="58">
        <v>9542.5198170201438</v>
      </c>
      <c r="F277" s="58">
        <v>22737.906300000002</v>
      </c>
      <c r="G277" s="58">
        <v>30511.007511160911</v>
      </c>
      <c r="H277" s="39">
        <v>2.0102871324084726E-2</v>
      </c>
      <c r="I277" s="39">
        <v>0.34185650642605148</v>
      </c>
      <c r="J277" s="39">
        <v>6.7777202074145837E-2</v>
      </c>
    </row>
    <row r="278" spans="1:10" ht="11.25" customHeight="1" x14ac:dyDescent="0.2">
      <c r="A278" s="67">
        <v>44774</v>
      </c>
      <c r="B278" s="58">
        <v>121884.95999999999</v>
      </c>
      <c r="C278" s="58">
        <v>122060.02621184778</v>
      </c>
      <c r="D278" s="58">
        <v>7014.0018300000002</v>
      </c>
      <c r="E278" s="58">
        <v>9437.2493329532081</v>
      </c>
      <c r="F278" s="58">
        <v>22487.067900000002</v>
      </c>
      <c r="G278" s="58">
        <v>30174.418372059416</v>
      </c>
      <c r="H278" s="39">
        <v>2.0157755174381009E-2</v>
      </c>
      <c r="I278" s="39">
        <v>0.3418565064260517</v>
      </c>
      <c r="J278" s="39">
        <v>6.7943285157851863E-2</v>
      </c>
    </row>
    <row r="279" spans="1:10" ht="11.25" customHeight="1" x14ac:dyDescent="0.2">
      <c r="A279" s="67">
        <v>44805</v>
      </c>
      <c r="B279" s="58">
        <v>124133.75999999998</v>
      </c>
      <c r="C279" s="58">
        <v>124312.05621575641</v>
      </c>
      <c r="D279" s="58">
        <v>6721.0245800000002</v>
      </c>
      <c r="E279" s="58">
        <v>9043.0522078103186</v>
      </c>
      <c r="F279" s="58">
        <v>21547.775400000002</v>
      </c>
      <c r="G279" s="58">
        <v>28914.02261949722</v>
      </c>
      <c r="H279" s="39">
        <v>1.9107622633684818E-2</v>
      </c>
      <c r="I279" s="39">
        <v>0.3418565064260517</v>
      </c>
      <c r="J279" s="39">
        <v>6.4740192450564837E-2</v>
      </c>
    </row>
    <row r="280" spans="1:10" ht="11.25" customHeight="1" x14ac:dyDescent="0.2">
      <c r="A280" s="67">
        <v>44835</v>
      </c>
      <c r="B280" s="58">
        <v>124133.75999999998</v>
      </c>
      <c r="C280" s="58">
        <v>124312.05621575641</v>
      </c>
      <c r="D280" s="58">
        <v>6700.7058700000007</v>
      </c>
      <c r="E280" s="58">
        <v>9015.713644598969</v>
      </c>
      <c r="F280" s="58">
        <v>21482.633100000003</v>
      </c>
      <c r="G280" s="58">
        <v>28826.611000398669</v>
      </c>
      <c r="H280" s="39">
        <v>1.9056935600079594E-2</v>
      </c>
      <c r="I280" s="39">
        <v>0.34185650642605192</v>
      </c>
      <c r="J280" s="39">
        <v>6.4584225653428362E-2</v>
      </c>
    </row>
    <row r="281" spans="1:10" ht="11.25" customHeight="1" x14ac:dyDescent="0.2">
      <c r="A281" s="67">
        <v>44866</v>
      </c>
      <c r="B281" s="58">
        <v>124133.75999999998</v>
      </c>
      <c r="C281" s="58">
        <v>124312.05621575641</v>
      </c>
      <c r="D281" s="58">
        <v>6700.7058700000007</v>
      </c>
      <c r="E281" s="58">
        <v>9015.713644598969</v>
      </c>
      <c r="F281" s="58">
        <v>21482.633100000003</v>
      </c>
      <c r="G281" s="58">
        <v>28826.611000398669</v>
      </c>
      <c r="H281" s="39">
        <v>1.9056935600079594E-2</v>
      </c>
      <c r="I281" s="39">
        <v>0.34185650642605192</v>
      </c>
      <c r="J281" s="39">
        <v>6.4584225653428362E-2</v>
      </c>
    </row>
    <row r="282" spans="1:10" ht="11.25" customHeight="1" x14ac:dyDescent="0.2">
      <c r="A282" s="62" t="s">
        <v>47</v>
      </c>
      <c r="B282" s="58">
        <v>15146.553599999996</v>
      </c>
      <c r="C282" s="58">
        <v>15850.216359818998</v>
      </c>
      <c r="D282" s="58">
        <v>4765.4440128000015</v>
      </c>
      <c r="E282" s="58">
        <v>6545.4237604258351</v>
      </c>
      <c r="F282" s="58">
        <v>9826.2723456000022</v>
      </c>
      <c r="G282" s="58">
        <v>13091.068085433431</v>
      </c>
      <c r="H282" s="39">
        <v>0.12473095646859056</v>
      </c>
      <c r="I282" s="39">
        <v>0.33225170491995737</v>
      </c>
      <c r="J282" s="39">
        <v>0.19330103113999542</v>
      </c>
    </row>
    <row r="283" spans="1:10" ht="11.25" customHeight="1" x14ac:dyDescent="0.2">
      <c r="A283" s="63" t="s">
        <v>25</v>
      </c>
      <c r="B283" s="58">
        <v>15146.553599999996</v>
      </c>
      <c r="C283" s="58">
        <v>15850.216359818998</v>
      </c>
      <c r="D283" s="58">
        <v>4765.4440128000015</v>
      </c>
      <c r="E283" s="58">
        <v>6545.4237604258351</v>
      </c>
      <c r="F283" s="58">
        <v>9826.2723456000022</v>
      </c>
      <c r="G283" s="58">
        <v>13091.068085433431</v>
      </c>
      <c r="H283" s="39">
        <v>0.12473095646859056</v>
      </c>
      <c r="I283" s="39">
        <v>0.33225170491995737</v>
      </c>
      <c r="J283" s="39">
        <v>0.19330103113999542</v>
      </c>
    </row>
    <row r="284" spans="1:10" ht="11.25" customHeight="1" x14ac:dyDescent="0.2">
      <c r="A284" s="64" t="s">
        <v>25</v>
      </c>
      <c r="B284" s="58">
        <v>15146.553599999996</v>
      </c>
      <c r="C284" s="58">
        <v>15850.216359818998</v>
      </c>
      <c r="D284" s="58">
        <v>4765.4440128000015</v>
      </c>
      <c r="E284" s="58">
        <v>6545.4237604258351</v>
      </c>
      <c r="F284" s="58">
        <v>9826.2723456000022</v>
      </c>
      <c r="G284" s="58">
        <v>13091.068085433431</v>
      </c>
      <c r="H284" s="39">
        <v>0.12473095646859056</v>
      </c>
      <c r="I284" s="39">
        <v>0.33225170491995737</v>
      </c>
      <c r="J284" s="39">
        <v>0.19330103113999542</v>
      </c>
    </row>
    <row r="285" spans="1:10" ht="11.25" customHeight="1" x14ac:dyDescent="0.2">
      <c r="A285" s="65" t="s">
        <v>25</v>
      </c>
      <c r="B285" s="58">
        <v>15146.553599999996</v>
      </c>
      <c r="C285" s="58">
        <v>15850.216359818998</v>
      </c>
      <c r="D285" s="58">
        <v>4765.4440128000015</v>
      </c>
      <c r="E285" s="58">
        <v>6545.4237604258351</v>
      </c>
      <c r="F285" s="58">
        <v>9826.2723456000022</v>
      </c>
      <c r="G285" s="58">
        <v>13091.068085433431</v>
      </c>
      <c r="H285" s="39">
        <v>0.12473095646859056</v>
      </c>
      <c r="I285" s="39">
        <v>0.33225170491995737</v>
      </c>
      <c r="J285" s="39">
        <v>0.19330103113999542</v>
      </c>
    </row>
    <row r="286" spans="1:10" ht="11.25" customHeight="1" x14ac:dyDescent="0.2">
      <c r="A286" s="66" t="s">
        <v>37</v>
      </c>
      <c r="B286" s="58">
        <v>9047.8079999999991</v>
      </c>
      <c r="C286" s="58">
        <v>9615.4712939979563</v>
      </c>
      <c r="D286" s="58">
        <v>4495.7599295999999</v>
      </c>
      <c r="E286" s="58">
        <v>6175.0077821361701</v>
      </c>
      <c r="F286" s="58">
        <v>8961.6583296000008</v>
      </c>
      <c r="G286" s="58">
        <v>11906.709560372574</v>
      </c>
      <c r="H286" s="39">
        <v>0.16590245334269826</v>
      </c>
      <c r="I286" s="39">
        <v>0.32862793050759209</v>
      </c>
      <c r="J286" s="39">
        <v>0.23070029678925175</v>
      </c>
    </row>
    <row r="287" spans="1:10" ht="11.25" customHeight="1" x14ac:dyDescent="0.2">
      <c r="A287" s="67">
        <v>44531</v>
      </c>
      <c r="B287" s="58">
        <v>703.29599999999994</v>
      </c>
      <c r="C287" s="58">
        <v>747.4210879788327</v>
      </c>
      <c r="D287" s="58">
        <v>222.33558719999999</v>
      </c>
      <c r="E287" s="58">
        <v>305.38196049270982</v>
      </c>
      <c r="F287" s="58">
        <v>443.19438719999999</v>
      </c>
      <c r="G287" s="58">
        <v>588.84044147811653</v>
      </c>
      <c r="H287" s="39">
        <v>0.13738885214173746</v>
      </c>
      <c r="I287" s="39">
        <v>0.32862793050759231</v>
      </c>
      <c r="J287" s="39">
        <v>0.19930766996823213</v>
      </c>
    </row>
    <row r="288" spans="1:10" ht="11.25" customHeight="1" x14ac:dyDescent="0.2">
      <c r="A288" s="67">
        <v>44562</v>
      </c>
      <c r="B288" s="58">
        <v>722.30399999999997</v>
      </c>
      <c r="C288" s="58">
        <v>767.6216579242066</v>
      </c>
      <c r="D288" s="58">
        <v>228.97247040000002</v>
      </c>
      <c r="E288" s="58">
        <v>314.49783991040272</v>
      </c>
      <c r="F288" s="58">
        <v>456.42407040000006</v>
      </c>
      <c r="G288" s="58">
        <v>606.41776808940369</v>
      </c>
      <c r="H288" s="39">
        <v>0.13754469021985938</v>
      </c>
      <c r="I288" s="39">
        <v>0.32862793050759231</v>
      </c>
      <c r="J288" s="39">
        <v>0.19950033191321537</v>
      </c>
    </row>
    <row r="289" spans="1:10" ht="11.25" customHeight="1" x14ac:dyDescent="0.2">
      <c r="A289" s="67">
        <v>44593</v>
      </c>
      <c r="B289" s="58">
        <v>817.34399999999994</v>
      </c>
      <c r="C289" s="58">
        <v>868.62450765107587</v>
      </c>
      <c r="D289" s="58">
        <v>201.12993599999999</v>
      </c>
      <c r="E289" s="58">
        <v>276.25561406056931</v>
      </c>
      <c r="F289" s="58">
        <v>400.92393600000003</v>
      </c>
      <c r="G289" s="58">
        <v>532.6787393786384</v>
      </c>
      <c r="H289" s="39">
        <v>0.12411332410537534</v>
      </c>
      <c r="I289" s="39">
        <v>0.32862793050759231</v>
      </c>
      <c r="J289" s="39">
        <v>0.18188063698202006</v>
      </c>
    </row>
    <row r="290" spans="1:10" ht="11.25" customHeight="1" x14ac:dyDescent="0.2">
      <c r="A290" s="67">
        <v>44621</v>
      </c>
      <c r="B290" s="58">
        <v>874.36799999999994</v>
      </c>
      <c r="C290" s="58">
        <v>929.22621748719746</v>
      </c>
      <c r="D290" s="58">
        <v>219.25995840000002</v>
      </c>
      <c r="E290" s="58">
        <v>301.15752856743757</v>
      </c>
      <c r="F290" s="58">
        <v>437.06355840000003</v>
      </c>
      <c r="G290" s="58">
        <v>580.69485109727623</v>
      </c>
      <c r="H290" s="39">
        <v>0.12504781594529812</v>
      </c>
      <c r="I290" s="39">
        <v>0.32862793050759231</v>
      </c>
      <c r="J290" s="39">
        <v>0.18317673892782582</v>
      </c>
    </row>
    <row r="291" spans="1:10" ht="11.25" customHeight="1" x14ac:dyDescent="0.2">
      <c r="A291" s="67">
        <v>44652</v>
      </c>
      <c r="B291" s="58">
        <v>741.31200000000001</v>
      </c>
      <c r="C291" s="58">
        <v>787.82222786958039</v>
      </c>
      <c r="D291" s="58">
        <v>274.62127679999998</v>
      </c>
      <c r="E291" s="58">
        <v>377.19730322233875</v>
      </c>
      <c r="F291" s="58">
        <v>547.41847680000001</v>
      </c>
      <c r="G291" s="58">
        <v>727.31547795240249</v>
      </c>
      <c r="H291" s="39">
        <v>0.14674807656809219</v>
      </c>
      <c r="I291" s="39">
        <v>0.32862793050759231</v>
      </c>
      <c r="J291" s="39">
        <v>0.2104345709062323</v>
      </c>
    </row>
    <row r="292" spans="1:10" ht="11.25" customHeight="1" x14ac:dyDescent="0.2">
      <c r="A292" s="67">
        <v>44682</v>
      </c>
      <c r="B292" s="58">
        <v>760.31999999999994</v>
      </c>
      <c r="C292" s="58">
        <v>808.02279781495429</v>
      </c>
      <c r="D292" s="58">
        <v>453.00774720000004</v>
      </c>
      <c r="E292" s="58">
        <v>622.21435488813154</v>
      </c>
      <c r="F292" s="58">
        <v>903.00654720000011</v>
      </c>
      <c r="G292" s="58">
        <v>1199.7597200411426</v>
      </c>
      <c r="H292" s="39">
        <v>0.17877231111185621</v>
      </c>
      <c r="I292" s="39">
        <v>0.32862793050759231</v>
      </c>
      <c r="J292" s="39">
        <v>0.24271334623429897</v>
      </c>
    </row>
    <row r="293" spans="1:10" ht="11.25" customHeight="1" x14ac:dyDescent="0.2">
      <c r="A293" s="67">
        <v>44713</v>
      </c>
      <c r="B293" s="58">
        <v>703.29599999999994</v>
      </c>
      <c r="C293" s="58">
        <v>747.4210879788327</v>
      </c>
      <c r="D293" s="58">
        <v>424.84146240000001</v>
      </c>
      <c r="E293" s="58">
        <v>583.52745199353251</v>
      </c>
      <c r="F293" s="58">
        <v>846.86106240000004</v>
      </c>
      <c r="G293" s="58">
        <v>1125.1632607639731</v>
      </c>
      <c r="H293" s="39">
        <v>0.17977514649757742</v>
      </c>
      <c r="I293" s="39">
        <v>0.32862793050759231</v>
      </c>
      <c r="J293" s="39">
        <v>0.24360184065710055</v>
      </c>
    </row>
    <row r="294" spans="1:10" ht="11.25" customHeight="1" x14ac:dyDescent="0.2">
      <c r="A294" s="67">
        <v>44743</v>
      </c>
      <c r="B294" s="58">
        <v>684.28800000000001</v>
      </c>
      <c r="C294" s="58">
        <v>727.2205180334588</v>
      </c>
      <c r="D294" s="58">
        <v>422.17052160000003</v>
      </c>
      <c r="E294" s="58">
        <v>579.8588663742172</v>
      </c>
      <c r="F294" s="58">
        <v>841.53692160000003</v>
      </c>
      <c r="G294" s="58">
        <v>1118.0894585911381</v>
      </c>
      <c r="H294" s="39">
        <v>0.1813180149921636</v>
      </c>
      <c r="I294" s="39">
        <v>0.32862793050759231</v>
      </c>
      <c r="J294" s="39">
        <v>0.24495611705074372</v>
      </c>
    </row>
    <row r="295" spans="1:10" ht="11.25" customHeight="1" x14ac:dyDescent="0.2">
      <c r="A295" s="67">
        <v>44774</v>
      </c>
      <c r="B295" s="58">
        <v>760.31999999999994</v>
      </c>
      <c r="C295" s="58">
        <v>808.02279781495429</v>
      </c>
      <c r="D295" s="58">
        <v>506.8312512</v>
      </c>
      <c r="E295" s="58">
        <v>696.14191358039648</v>
      </c>
      <c r="F295" s="58">
        <v>1010.2960512</v>
      </c>
      <c r="G295" s="58">
        <v>1342.3075517058485</v>
      </c>
      <c r="H295" s="39">
        <v>0.18704433268790743</v>
      </c>
      <c r="I295" s="39">
        <v>0.32862793050759231</v>
      </c>
      <c r="J295" s="39">
        <v>0.24985208663293945</v>
      </c>
    </row>
    <row r="296" spans="1:10" ht="11.25" customHeight="1" x14ac:dyDescent="0.2">
      <c r="A296" s="67">
        <v>44805</v>
      </c>
      <c r="B296" s="58">
        <v>722.30399999999997</v>
      </c>
      <c r="C296" s="58">
        <v>767.6216579242066</v>
      </c>
      <c r="D296" s="58">
        <v>552.72287040000003</v>
      </c>
      <c r="E296" s="58">
        <v>759.17488467590658</v>
      </c>
      <c r="F296" s="58">
        <v>1101.7744703999999</v>
      </c>
      <c r="G296" s="58">
        <v>1463.8483344936506</v>
      </c>
      <c r="H296" s="39">
        <v>0.19746224808668411</v>
      </c>
      <c r="I296" s="39">
        <v>0.32862793050759254</v>
      </c>
      <c r="J296" s="39">
        <v>0.25826455318607011</v>
      </c>
    </row>
    <row r="297" spans="1:10" ht="11.25" customHeight="1" x14ac:dyDescent="0.2">
      <c r="A297" s="67">
        <v>44835</v>
      </c>
      <c r="B297" s="58">
        <v>779.32799999999997</v>
      </c>
      <c r="C297" s="58">
        <v>828.22336776032819</v>
      </c>
      <c r="D297" s="58">
        <v>494.93342400000006</v>
      </c>
      <c r="E297" s="58">
        <v>679.80003218526429</v>
      </c>
      <c r="F297" s="58">
        <v>986.57942400000013</v>
      </c>
      <c r="G297" s="58">
        <v>1310.7969783904925</v>
      </c>
      <c r="H297" s="39">
        <v>0.18344899370161927</v>
      </c>
      <c r="I297" s="39">
        <v>0.32862793050759231</v>
      </c>
      <c r="J297" s="39">
        <v>0.24680177325603792</v>
      </c>
    </row>
    <row r="298" spans="1:10" ht="11.25" customHeight="1" x14ac:dyDescent="0.2">
      <c r="A298" s="67">
        <v>44866</v>
      </c>
      <c r="B298" s="58">
        <v>779.32799999999997</v>
      </c>
      <c r="C298" s="58">
        <v>828.22336776032819</v>
      </c>
      <c r="D298" s="58">
        <v>494.93342400000006</v>
      </c>
      <c r="E298" s="58">
        <v>679.80003218526429</v>
      </c>
      <c r="F298" s="58">
        <v>986.57942400000013</v>
      </c>
      <c r="G298" s="58">
        <v>1310.7969783904925</v>
      </c>
      <c r="H298" s="39">
        <v>0.18344899370161927</v>
      </c>
      <c r="I298" s="39">
        <v>0.32862793050759231</v>
      </c>
      <c r="J298" s="39">
        <v>0.24680177325603792</v>
      </c>
    </row>
    <row r="299" spans="1:10" ht="11.25" customHeight="1" x14ac:dyDescent="0.2">
      <c r="A299" s="66" t="s">
        <v>36</v>
      </c>
      <c r="B299" s="58">
        <v>6098.7455999999993</v>
      </c>
      <c r="C299" s="58">
        <v>6234.7450658210437</v>
      </c>
      <c r="D299" s="58">
        <v>269.68408320000003</v>
      </c>
      <c r="E299" s="58">
        <v>370.41597828966485</v>
      </c>
      <c r="F299" s="58">
        <v>864.61401599999999</v>
      </c>
      <c r="G299" s="58">
        <v>1184.3585250608576</v>
      </c>
      <c r="H299" s="39">
        <v>3.7172642658709121E-2</v>
      </c>
      <c r="I299" s="39">
        <v>0.36981185030992791</v>
      </c>
      <c r="J299" s="39">
        <v>7.6935228530848665E-2</v>
      </c>
    </row>
    <row r="300" spans="1:10" ht="11.25" customHeight="1" x14ac:dyDescent="0.2">
      <c r="A300" s="67">
        <v>44531</v>
      </c>
      <c r="B300" s="58">
        <v>377.79839999999996</v>
      </c>
      <c r="C300" s="58">
        <v>386.22314567033021</v>
      </c>
      <c r="D300" s="58">
        <v>19.910649599999999</v>
      </c>
      <c r="E300" s="58">
        <v>27.347638253078493</v>
      </c>
      <c r="F300" s="58">
        <v>63.834047999999996</v>
      </c>
      <c r="G300" s="58">
        <v>87.440635403652749</v>
      </c>
      <c r="H300" s="39">
        <v>3.9882759367336096E-2</v>
      </c>
      <c r="I300" s="39">
        <v>0.36981185030992791</v>
      </c>
      <c r="J300" s="39">
        <v>8.5513838105899076E-2</v>
      </c>
    </row>
    <row r="301" spans="1:10" ht="11.25" customHeight="1" x14ac:dyDescent="0.2">
      <c r="A301" s="67">
        <v>44562</v>
      </c>
      <c r="B301" s="58">
        <v>377.79839999999996</v>
      </c>
      <c r="C301" s="58">
        <v>386.22314567033021</v>
      </c>
      <c r="D301" s="58">
        <v>19.910649599999999</v>
      </c>
      <c r="E301" s="58">
        <v>27.347638253078493</v>
      </c>
      <c r="F301" s="58">
        <v>63.834047999999996</v>
      </c>
      <c r="G301" s="58">
        <v>87.440635403652749</v>
      </c>
      <c r="H301" s="39">
        <v>3.9882759367336096E-2</v>
      </c>
      <c r="I301" s="39">
        <v>0.36981185030992791</v>
      </c>
      <c r="J301" s="39">
        <v>8.5513838105899076E-2</v>
      </c>
    </row>
    <row r="302" spans="1:10" ht="11.25" customHeight="1" x14ac:dyDescent="0.2">
      <c r="A302" s="67">
        <v>44593</v>
      </c>
      <c r="B302" s="58">
        <v>377.79839999999996</v>
      </c>
      <c r="C302" s="58">
        <v>386.22314567033021</v>
      </c>
      <c r="D302" s="58">
        <v>18.939398400000002</v>
      </c>
      <c r="E302" s="58">
        <v>26.013607118781984</v>
      </c>
      <c r="F302" s="58">
        <v>60.720192000000004</v>
      </c>
      <c r="G302" s="58">
        <v>83.17523855469409</v>
      </c>
      <c r="H302" s="39">
        <v>3.9065988800708773E-2</v>
      </c>
      <c r="I302" s="39">
        <v>0.36981185030992791</v>
      </c>
      <c r="J302" s="39">
        <v>8.2967183304896386E-2</v>
      </c>
    </row>
    <row r="303" spans="1:10" ht="11.25" customHeight="1" x14ac:dyDescent="0.2">
      <c r="A303" s="67">
        <v>44621</v>
      </c>
      <c r="B303" s="58">
        <v>431.76959999999997</v>
      </c>
      <c r="C303" s="58">
        <v>441.39788076609165</v>
      </c>
      <c r="D303" s="58">
        <v>21.124713600000003</v>
      </c>
      <c r="E303" s="58">
        <v>29.015177170949137</v>
      </c>
      <c r="F303" s="58">
        <v>67.726368000000008</v>
      </c>
      <c r="G303" s="58">
        <v>92.772381464851094</v>
      </c>
      <c r="H303" s="39">
        <v>3.8681749386046516E-2</v>
      </c>
      <c r="I303" s="39">
        <v>0.36981185030992769</v>
      </c>
      <c r="J303" s="39">
        <v>8.1757715946050302E-2</v>
      </c>
    </row>
    <row r="304" spans="1:10" ht="11.25" customHeight="1" x14ac:dyDescent="0.2">
      <c r="A304" s="67">
        <v>44652</v>
      </c>
      <c r="B304" s="58">
        <v>431.76959999999997</v>
      </c>
      <c r="C304" s="58">
        <v>441.39788076609165</v>
      </c>
      <c r="D304" s="58">
        <v>23.148153600000001</v>
      </c>
      <c r="E304" s="58">
        <v>31.794408700733531</v>
      </c>
      <c r="F304" s="58">
        <v>74.213567999999995</v>
      </c>
      <c r="G304" s="58">
        <v>101.65862490018165</v>
      </c>
      <c r="H304" s="39">
        <v>4.0171076468678901E-2</v>
      </c>
      <c r="I304" s="39">
        <v>0.36981185030992791</v>
      </c>
      <c r="J304" s="39">
        <v>8.6405001746558519E-2</v>
      </c>
    </row>
    <row r="305" spans="1:10" ht="11.25" customHeight="1" x14ac:dyDescent="0.2">
      <c r="A305" s="67">
        <v>44682</v>
      </c>
      <c r="B305" s="58">
        <v>485.74079999999998</v>
      </c>
      <c r="C305" s="58">
        <v>496.57261586185308</v>
      </c>
      <c r="D305" s="58">
        <v>21.610339200000002</v>
      </c>
      <c r="E305" s="58">
        <v>29.682192738097392</v>
      </c>
      <c r="F305" s="58">
        <v>69.283296000000007</v>
      </c>
      <c r="G305" s="58">
        <v>94.905079889330437</v>
      </c>
      <c r="H305" s="39">
        <v>3.7259538689039085E-2</v>
      </c>
      <c r="I305" s="39">
        <v>0.36981185030992791</v>
      </c>
      <c r="J305" s="39">
        <v>7.7216084526477768E-2</v>
      </c>
    </row>
    <row r="306" spans="1:10" ht="11.25" customHeight="1" x14ac:dyDescent="0.2">
      <c r="A306" s="67">
        <v>44713</v>
      </c>
      <c r="B306" s="58">
        <v>431.76959999999997</v>
      </c>
      <c r="C306" s="58">
        <v>441.39788076609165</v>
      </c>
      <c r="D306" s="58">
        <v>18.696585600000002</v>
      </c>
      <c r="E306" s="58">
        <v>25.680099335207856</v>
      </c>
      <c r="F306" s="58">
        <v>59.941728000000005</v>
      </c>
      <c r="G306" s="58">
        <v>82.108889342454418</v>
      </c>
      <c r="H306" s="39">
        <v>3.6876895607987459E-2</v>
      </c>
      <c r="I306" s="39">
        <v>0.36981185030992791</v>
      </c>
      <c r="J306" s="39">
        <v>7.5976400072324424E-2</v>
      </c>
    </row>
    <row r="307" spans="1:10" ht="11.25" customHeight="1" x14ac:dyDescent="0.2">
      <c r="A307" s="67">
        <v>44743</v>
      </c>
      <c r="B307" s="58">
        <v>539.71199999999999</v>
      </c>
      <c r="C307" s="58">
        <v>551.74735095761457</v>
      </c>
      <c r="D307" s="58">
        <v>17.968147200000001</v>
      </c>
      <c r="E307" s="58">
        <v>24.679575984485471</v>
      </c>
      <c r="F307" s="58">
        <v>57.606335999999999</v>
      </c>
      <c r="G307" s="58">
        <v>78.909841705735417</v>
      </c>
      <c r="H307" s="39">
        <v>3.3615648389536457E-2</v>
      </c>
      <c r="I307" s="39">
        <v>0.36981185030992814</v>
      </c>
      <c r="J307" s="39">
        <v>6.5092093750444002E-2</v>
      </c>
    </row>
    <row r="308" spans="1:10" ht="11.25" customHeight="1" x14ac:dyDescent="0.2">
      <c r="A308" s="67">
        <v>44774</v>
      </c>
      <c r="B308" s="58">
        <v>539.71199999999999</v>
      </c>
      <c r="C308" s="58">
        <v>551.74735095761457</v>
      </c>
      <c r="D308" s="58">
        <v>27.761596800000003</v>
      </c>
      <c r="E308" s="58">
        <v>38.131056588641968</v>
      </c>
      <c r="F308" s="58">
        <v>89.004384000000002</v>
      </c>
      <c r="G308" s="58">
        <v>121.91925993273536</v>
      </c>
      <c r="H308" s="39">
        <v>3.9481679628088351E-2</v>
      </c>
      <c r="I308" s="39">
        <v>0.36981185030992814</v>
      </c>
      <c r="J308" s="39">
        <v>8.4267390981763057E-2</v>
      </c>
    </row>
    <row r="309" spans="1:10" ht="11.25" customHeight="1" x14ac:dyDescent="0.2">
      <c r="A309" s="67">
        <v>44805</v>
      </c>
      <c r="B309" s="58">
        <v>1133.3951999999999</v>
      </c>
      <c r="C309" s="58">
        <v>1158.6694370109906</v>
      </c>
      <c r="D309" s="58">
        <v>29.137536000000001</v>
      </c>
      <c r="E309" s="58">
        <v>40.020934028895354</v>
      </c>
      <c r="F309" s="58">
        <v>93.415679999999995</v>
      </c>
      <c r="G309" s="58">
        <v>127.96190546876012</v>
      </c>
      <c r="H309" s="39">
        <v>3.1102466124348416E-2</v>
      </c>
      <c r="I309" s="39">
        <v>0.36981185030992791</v>
      </c>
      <c r="J309" s="39">
        <v>5.6295194617806743E-2</v>
      </c>
    </row>
    <row r="310" spans="1:10" ht="11.25" customHeight="1" x14ac:dyDescent="0.2">
      <c r="A310" s="67">
        <v>44835</v>
      </c>
      <c r="B310" s="58">
        <v>485.74079999999998</v>
      </c>
      <c r="C310" s="58">
        <v>496.57261586185308</v>
      </c>
      <c r="D310" s="58">
        <v>25.738156800000002</v>
      </c>
      <c r="E310" s="58">
        <v>35.351825058857564</v>
      </c>
      <c r="F310" s="58">
        <v>82.517184</v>
      </c>
      <c r="G310" s="58">
        <v>113.03301649740479</v>
      </c>
      <c r="H310" s="39">
        <v>3.9973265466530794E-2</v>
      </c>
      <c r="I310" s="39">
        <v>0.36981185030992791</v>
      </c>
      <c r="J310" s="39">
        <v>8.5794019721205705E-2</v>
      </c>
    </row>
    <row r="311" spans="1:10" ht="11.25" customHeight="1" x14ac:dyDescent="0.2">
      <c r="A311" s="67">
        <v>44866</v>
      </c>
      <c r="B311" s="58">
        <v>485.74079999999998</v>
      </c>
      <c r="C311" s="58">
        <v>496.57261586185308</v>
      </c>
      <c r="D311" s="58">
        <v>25.738156800000002</v>
      </c>
      <c r="E311" s="58">
        <v>35.351825058857564</v>
      </c>
      <c r="F311" s="58">
        <v>82.517184</v>
      </c>
      <c r="G311" s="58">
        <v>113.03301649740479</v>
      </c>
      <c r="H311" s="39">
        <v>3.9973265466530794E-2</v>
      </c>
      <c r="I311" s="39">
        <v>0.36981185030992791</v>
      </c>
      <c r="J311" s="39">
        <v>8.5794019721205705E-2</v>
      </c>
    </row>
    <row r="312" spans="1:10" ht="11.25" customHeight="1" x14ac:dyDescent="0.2">
      <c r="A312" s="62" t="s">
        <v>52</v>
      </c>
      <c r="B312" s="58">
        <v>360615.62159999995</v>
      </c>
      <c r="C312" s="58">
        <v>376551.65961908497</v>
      </c>
      <c r="D312" s="58">
        <v>197208.31199460008</v>
      </c>
      <c r="E312" s="58">
        <v>273809.58743484138</v>
      </c>
      <c r="F312" s="58">
        <v>416186.59196519997</v>
      </c>
      <c r="G312" s="58">
        <v>561499.94608937588</v>
      </c>
      <c r="H312" s="39">
        <v>0.16588982273137476</v>
      </c>
      <c r="I312" s="39">
        <v>0.34915433829335596</v>
      </c>
      <c r="J312" s="39">
        <v>0.24419722512423703</v>
      </c>
    </row>
    <row r="313" spans="1:10" ht="11.25" customHeight="1" x14ac:dyDescent="0.2">
      <c r="A313" s="63" t="s">
        <v>53</v>
      </c>
      <c r="B313" s="58">
        <v>360615.62159999995</v>
      </c>
      <c r="C313" s="58">
        <v>376551.65961908497</v>
      </c>
      <c r="D313" s="58">
        <v>197208.31199460008</v>
      </c>
      <c r="E313" s="58">
        <v>273809.58743484138</v>
      </c>
      <c r="F313" s="58">
        <v>416186.59196519997</v>
      </c>
      <c r="G313" s="58">
        <v>561499.94608937588</v>
      </c>
      <c r="H313" s="39">
        <v>0.16588982273137476</v>
      </c>
      <c r="I313" s="39">
        <v>0.34915433829335596</v>
      </c>
      <c r="J313" s="39">
        <v>0.24419722512423703</v>
      </c>
    </row>
    <row r="314" spans="1:10" ht="11.25" customHeight="1" x14ac:dyDescent="0.2">
      <c r="A314" s="64" t="s">
        <v>25</v>
      </c>
      <c r="B314" s="58">
        <v>360615.62159999995</v>
      </c>
      <c r="C314" s="58">
        <v>376551.65961908497</v>
      </c>
      <c r="D314" s="58">
        <v>197208.31199460008</v>
      </c>
      <c r="E314" s="58">
        <v>273809.58743484138</v>
      </c>
      <c r="F314" s="58">
        <v>416186.59196519997</v>
      </c>
      <c r="G314" s="58">
        <v>561499.94608937588</v>
      </c>
      <c r="H314" s="39">
        <v>0.16588982273137476</v>
      </c>
      <c r="I314" s="39">
        <v>0.34915433829335596</v>
      </c>
      <c r="J314" s="39">
        <v>0.24419722512423703</v>
      </c>
    </row>
    <row r="315" spans="1:10" ht="11.25" customHeight="1" x14ac:dyDescent="0.2">
      <c r="A315" s="65" t="s">
        <v>25</v>
      </c>
      <c r="B315" s="58">
        <v>360615.62159999995</v>
      </c>
      <c r="C315" s="58">
        <v>376551.65961908497</v>
      </c>
      <c r="D315" s="58">
        <v>197208.31199460008</v>
      </c>
      <c r="E315" s="58">
        <v>273809.58743484138</v>
      </c>
      <c r="F315" s="58">
        <v>416186.59196519997</v>
      </c>
      <c r="G315" s="58">
        <v>561499.94608937588</v>
      </c>
      <c r="H315" s="39">
        <v>0.16588982273137476</v>
      </c>
      <c r="I315" s="39">
        <v>0.34915433829335596</v>
      </c>
      <c r="J315" s="39">
        <v>0.24419722512423703</v>
      </c>
    </row>
    <row r="316" spans="1:10" ht="11.25" customHeight="1" x14ac:dyDescent="0.2">
      <c r="A316" s="66" t="s">
        <v>37</v>
      </c>
      <c r="B316" s="58">
        <v>95218.991999999998</v>
      </c>
      <c r="C316" s="58">
        <v>102291.56363807822</v>
      </c>
      <c r="D316" s="58">
        <v>178176.00903320004</v>
      </c>
      <c r="E316" s="58">
        <v>247384.60073378112</v>
      </c>
      <c r="F316" s="58">
        <v>355168.54558319994</v>
      </c>
      <c r="G316" s="58">
        <v>477009.37303546036</v>
      </c>
      <c r="H316" s="39">
        <v>0.27901447740588359</v>
      </c>
      <c r="I316" s="39">
        <v>0.34305072610580845</v>
      </c>
      <c r="J316" s="39">
        <v>0.31519802867573876</v>
      </c>
    </row>
    <row r="317" spans="1:10" ht="11.25" customHeight="1" x14ac:dyDescent="0.2">
      <c r="A317" s="67">
        <v>44531</v>
      </c>
      <c r="B317" s="58">
        <v>38210.436000000002</v>
      </c>
      <c r="C317" s="58">
        <v>41048.588770323418</v>
      </c>
      <c r="D317" s="58">
        <v>45932.605663400012</v>
      </c>
      <c r="E317" s="58">
        <v>63774.126350451152</v>
      </c>
      <c r="F317" s="58">
        <v>91560.119888400004</v>
      </c>
      <c r="G317" s="58">
        <v>122969.88549845044</v>
      </c>
      <c r="H317" s="39">
        <v>0.24576807598779338</v>
      </c>
      <c r="I317" s="39">
        <v>0.34305072610580778</v>
      </c>
      <c r="J317" s="39">
        <v>0.29646273070657414</v>
      </c>
    </row>
    <row r="318" spans="1:10" ht="11.25" customHeight="1" x14ac:dyDescent="0.2">
      <c r="A318" s="67">
        <v>44562</v>
      </c>
      <c r="B318" s="58">
        <v>4634.3879999999999</v>
      </c>
      <c r="C318" s="58">
        <v>4978.615978475661</v>
      </c>
      <c r="D318" s="58">
        <v>10173.2644638</v>
      </c>
      <c r="E318" s="58">
        <v>14124.847566135471</v>
      </c>
      <c r="F318" s="58">
        <v>20278.956538799997</v>
      </c>
      <c r="G318" s="58">
        <v>27235.667304103456</v>
      </c>
      <c r="H318" s="39">
        <v>0.29010750294910159</v>
      </c>
      <c r="I318" s="39">
        <v>0.34305072610580778</v>
      </c>
      <c r="J318" s="39">
        <v>0.32070702088311664</v>
      </c>
    </row>
    <row r="319" spans="1:10" ht="11.25" customHeight="1" x14ac:dyDescent="0.2">
      <c r="A319" s="67">
        <v>44593</v>
      </c>
      <c r="B319" s="58">
        <v>4578.5519999999997</v>
      </c>
      <c r="C319" s="58">
        <v>4918.632653433785</v>
      </c>
      <c r="D319" s="58">
        <v>9975.2944666000003</v>
      </c>
      <c r="E319" s="58">
        <v>13849.980433459579</v>
      </c>
      <c r="F319" s="58">
        <v>19884.331491599998</v>
      </c>
      <c r="G319" s="58">
        <v>26705.665847921962</v>
      </c>
      <c r="H319" s="39">
        <v>0.28959812307804289</v>
      </c>
      <c r="I319" s="39">
        <v>0.343050726105808</v>
      </c>
      <c r="J319" s="39">
        <v>0.32046123317007669</v>
      </c>
    </row>
    <row r="320" spans="1:10" ht="11.25" customHeight="1" x14ac:dyDescent="0.2">
      <c r="A320" s="67">
        <v>44621</v>
      </c>
      <c r="B320" s="58">
        <v>4671.6119999999992</v>
      </c>
      <c r="C320" s="58">
        <v>5018.6048618369114</v>
      </c>
      <c r="D320" s="58">
        <v>10291.7453068</v>
      </c>
      <c r="E320" s="58">
        <v>14289.349713193302</v>
      </c>
      <c r="F320" s="58">
        <v>20515.131256799999</v>
      </c>
      <c r="G320" s="58">
        <v>27552.861930601197</v>
      </c>
      <c r="H320" s="39">
        <v>0.2903490960718984</v>
      </c>
      <c r="I320" s="39">
        <v>0.343050726105808</v>
      </c>
      <c r="J320" s="39">
        <v>0.32082336093960295</v>
      </c>
    </row>
    <row r="321" spans="1:10" ht="11.25" customHeight="1" x14ac:dyDescent="0.2">
      <c r="A321" s="67">
        <v>44652</v>
      </c>
      <c r="B321" s="58">
        <v>4708.8359999999993</v>
      </c>
      <c r="C321" s="58">
        <v>5058.5937451981617</v>
      </c>
      <c r="D321" s="58">
        <v>10133.242506800001</v>
      </c>
      <c r="E321" s="58">
        <v>14069.279951243027</v>
      </c>
      <c r="F321" s="58">
        <v>20199.178456799997</v>
      </c>
      <c r="G321" s="58">
        <v>27128.521293146026</v>
      </c>
      <c r="H321" s="39">
        <v>0.28875977092275984</v>
      </c>
      <c r="I321" s="39">
        <v>0.34305072610580778</v>
      </c>
      <c r="J321" s="39">
        <v>0.32005524338459734</v>
      </c>
    </row>
    <row r="322" spans="1:10" ht="11.25" customHeight="1" x14ac:dyDescent="0.2">
      <c r="A322" s="67">
        <v>44682</v>
      </c>
      <c r="B322" s="58">
        <v>4690.2240000000002</v>
      </c>
      <c r="C322" s="58">
        <v>5038.5993035175361</v>
      </c>
      <c r="D322" s="58">
        <v>10432.258039</v>
      </c>
      <c r="E322" s="58">
        <v>14484.441557162223</v>
      </c>
      <c r="F322" s="58">
        <v>20795.223414</v>
      </c>
      <c r="G322" s="58">
        <v>27929.039905705198</v>
      </c>
      <c r="H322" s="39">
        <v>0.29099448161558206</v>
      </c>
      <c r="I322" s="39">
        <v>0.343050726105808</v>
      </c>
      <c r="J322" s="39">
        <v>0.32113341227986347</v>
      </c>
    </row>
    <row r="323" spans="1:10" ht="11.25" customHeight="1" x14ac:dyDescent="0.2">
      <c r="A323" s="67">
        <v>44713</v>
      </c>
      <c r="B323" s="58">
        <v>4690.2239999999993</v>
      </c>
      <c r="C323" s="58">
        <v>5038.5993035175361</v>
      </c>
      <c r="D323" s="58">
        <v>10424.015893400001</v>
      </c>
      <c r="E323" s="58">
        <v>14472.997929540807</v>
      </c>
      <c r="F323" s="58">
        <v>20778.7938684</v>
      </c>
      <c r="G323" s="58">
        <v>27906.974192557529</v>
      </c>
      <c r="H323" s="39">
        <v>0.29094134873289623</v>
      </c>
      <c r="I323" s="39">
        <v>0.343050726105808</v>
      </c>
      <c r="J323" s="39">
        <v>0.32110792696721524</v>
      </c>
    </row>
    <row r="324" spans="1:10" ht="11.25" customHeight="1" x14ac:dyDescent="0.2">
      <c r="A324" s="67">
        <v>44743</v>
      </c>
      <c r="B324" s="58">
        <v>4634.387999999999</v>
      </c>
      <c r="C324" s="58">
        <v>4978.6159784756601</v>
      </c>
      <c r="D324" s="58">
        <v>11178.2514672</v>
      </c>
      <c r="E324" s="58">
        <v>15520.199891781189</v>
      </c>
      <c r="F324" s="58">
        <v>22282.255267199995</v>
      </c>
      <c r="G324" s="58">
        <v>29926.199115887917</v>
      </c>
      <c r="H324" s="39">
        <v>0.29635636813052857</v>
      </c>
      <c r="I324" s="39">
        <v>0.343050726105808</v>
      </c>
      <c r="J324" s="39">
        <v>0.32366857390501136</v>
      </c>
    </row>
    <row r="325" spans="1:10" ht="11.25" customHeight="1" x14ac:dyDescent="0.2">
      <c r="A325" s="67">
        <v>44774</v>
      </c>
      <c r="B325" s="58">
        <v>4932.1799999999994</v>
      </c>
      <c r="C325" s="58">
        <v>5298.5270453656631</v>
      </c>
      <c r="D325" s="58">
        <v>11450.480026200001</v>
      </c>
      <c r="E325" s="58">
        <v>15898.169707930787</v>
      </c>
      <c r="F325" s="58">
        <v>22824.904201199995</v>
      </c>
      <c r="G325" s="58">
        <v>30655.004160717159</v>
      </c>
      <c r="H325" s="39">
        <v>0.29384951646421231</v>
      </c>
      <c r="I325" s="39">
        <v>0.34305072610580778</v>
      </c>
      <c r="J325" s="39">
        <v>0.32249227759416188</v>
      </c>
    </row>
    <row r="326" spans="1:10" ht="11.25" customHeight="1" x14ac:dyDescent="0.2">
      <c r="A326" s="67">
        <v>44805</v>
      </c>
      <c r="B326" s="58">
        <v>5248.5839999999989</v>
      </c>
      <c r="C326" s="58">
        <v>5638.4325539362908</v>
      </c>
      <c r="D326" s="58">
        <v>11398.570359200001</v>
      </c>
      <c r="E326" s="58">
        <v>15826.096860892074</v>
      </c>
      <c r="F326" s="58">
        <v>22721.429659199999</v>
      </c>
      <c r="G326" s="58">
        <v>30516.032601950596</v>
      </c>
      <c r="H326" s="39">
        <v>0.28938129314371697</v>
      </c>
      <c r="I326" s="39">
        <v>0.34305072610580778</v>
      </c>
      <c r="J326" s="39">
        <v>0.32035640378847274</v>
      </c>
    </row>
    <row r="327" spans="1:10" ht="11.25" customHeight="1" x14ac:dyDescent="0.2">
      <c r="A327" s="67">
        <v>44835</v>
      </c>
      <c r="B327" s="58">
        <v>7109.7839999999997</v>
      </c>
      <c r="C327" s="58">
        <v>7637.8767219988058</v>
      </c>
      <c r="D327" s="58">
        <v>18393.140420399999</v>
      </c>
      <c r="E327" s="58">
        <v>25537.555385995754</v>
      </c>
      <c r="F327" s="58">
        <v>36664.110770399995</v>
      </c>
      <c r="G327" s="58">
        <v>49241.760592209488</v>
      </c>
      <c r="H327" s="39">
        <v>0.30084815220082195</v>
      </c>
      <c r="I327" s="39">
        <v>0.343050726105808</v>
      </c>
      <c r="J327" s="39">
        <v>0.32573786810410477</v>
      </c>
    </row>
    <row r="328" spans="1:10" ht="11.25" customHeight="1" x14ac:dyDescent="0.2">
      <c r="A328" s="67">
        <v>44866</v>
      </c>
      <c r="B328" s="58">
        <v>7109.7839999999997</v>
      </c>
      <c r="C328" s="58">
        <v>7637.8767219988058</v>
      </c>
      <c r="D328" s="58">
        <v>18393.140420399999</v>
      </c>
      <c r="E328" s="58">
        <v>25537.555385995754</v>
      </c>
      <c r="F328" s="58">
        <v>36664.110770399995</v>
      </c>
      <c r="G328" s="58">
        <v>49241.760592209488</v>
      </c>
      <c r="H328" s="39">
        <v>0.30084815220082195</v>
      </c>
      <c r="I328" s="39">
        <v>0.343050726105808</v>
      </c>
      <c r="J328" s="39">
        <v>0.32573786810410477</v>
      </c>
    </row>
    <row r="329" spans="1:10" ht="11.25" customHeight="1" x14ac:dyDescent="0.2">
      <c r="A329" s="66" t="s">
        <v>36</v>
      </c>
      <c r="B329" s="58">
        <v>265396.62959999999</v>
      </c>
      <c r="C329" s="58">
        <v>274260.09598100674</v>
      </c>
      <c r="D329" s="58">
        <v>19032.302961400004</v>
      </c>
      <c r="E329" s="58">
        <v>26424.986701060243</v>
      </c>
      <c r="F329" s="58">
        <v>61018.046382</v>
      </c>
      <c r="G329" s="58">
        <v>84490.573053915447</v>
      </c>
      <c r="H329" s="39">
        <v>5.7153644582756069E-2</v>
      </c>
      <c r="I329" s="39">
        <v>0.38468171407794771</v>
      </c>
      <c r="J329" s="39">
        <v>0.11500658339551384</v>
      </c>
    </row>
    <row r="330" spans="1:10" ht="11.25" customHeight="1" x14ac:dyDescent="0.2">
      <c r="A330" s="67">
        <v>44531</v>
      </c>
      <c r="B330" s="58">
        <v>108230.24639999999</v>
      </c>
      <c r="C330" s="58">
        <v>111844.81811411824</v>
      </c>
      <c r="D330" s="58">
        <v>5026.5992963999997</v>
      </c>
      <c r="E330" s="58">
        <v>6979.0723607290693</v>
      </c>
      <c r="F330" s="58">
        <v>16115.404931999999</v>
      </c>
      <c r="G330" s="58">
        <v>22314.706524301968</v>
      </c>
      <c r="H330" s="39">
        <v>4.9154157033213908E-2</v>
      </c>
      <c r="I330" s="39">
        <v>0.38468171407794749</v>
      </c>
      <c r="J330" s="39">
        <v>9.0949537583187912E-2</v>
      </c>
    </row>
    <row r="331" spans="1:10" ht="11.25" customHeight="1" x14ac:dyDescent="0.2">
      <c r="A331" s="67">
        <v>44562</v>
      </c>
      <c r="B331" s="58">
        <v>13000.3128</v>
      </c>
      <c r="C331" s="58">
        <v>13434.484988316937</v>
      </c>
      <c r="D331" s="58">
        <v>1296.5529040000001</v>
      </c>
      <c r="E331" s="58">
        <v>1800.1706527532488</v>
      </c>
      <c r="F331" s="58">
        <v>4156.7815200000005</v>
      </c>
      <c r="G331" s="58">
        <v>5755.8193601611347</v>
      </c>
      <c r="H331" s="39">
        <v>6.5594092893228373E-2</v>
      </c>
      <c r="I331" s="39">
        <v>0.38468171407794705</v>
      </c>
      <c r="J331" s="39">
        <v>0.13747026516969685</v>
      </c>
    </row>
    <row r="332" spans="1:10" ht="11.25" customHeight="1" x14ac:dyDescent="0.2">
      <c r="A332" s="67">
        <v>44593</v>
      </c>
      <c r="B332" s="58">
        <v>12788.925599999999</v>
      </c>
      <c r="C332" s="58">
        <v>13216.038077937801</v>
      </c>
      <c r="D332" s="58">
        <v>1210.9613919999999</v>
      </c>
      <c r="E332" s="58">
        <v>1681.3329813001005</v>
      </c>
      <c r="F332" s="58">
        <v>3882.3729599999997</v>
      </c>
      <c r="G332" s="58">
        <v>5375.8508449426736</v>
      </c>
      <c r="H332" s="39">
        <v>6.4106522270555244E-2</v>
      </c>
      <c r="I332" s="39">
        <v>0.38468171407794727</v>
      </c>
      <c r="J332" s="39">
        <v>0.13370580444521307</v>
      </c>
    </row>
    <row r="333" spans="1:10" ht="11.25" customHeight="1" x14ac:dyDescent="0.2">
      <c r="A333" s="67">
        <v>44621</v>
      </c>
      <c r="B333" s="58">
        <v>12736.078799999999</v>
      </c>
      <c r="C333" s="58">
        <v>13161.426350343016</v>
      </c>
      <c r="D333" s="58">
        <v>1266.2788692000001</v>
      </c>
      <c r="E333" s="58">
        <v>1758.1373282207464</v>
      </c>
      <c r="F333" s="58">
        <v>4059.7221959999997</v>
      </c>
      <c r="G333" s="58">
        <v>5621.4230890375675</v>
      </c>
      <c r="H333" s="39">
        <v>6.5503683810425484E-2</v>
      </c>
      <c r="I333" s="39">
        <v>0.38468171407794727</v>
      </c>
      <c r="J333" s="39">
        <v>0.13724371284490977</v>
      </c>
    </row>
    <row r="334" spans="1:10" ht="11.25" customHeight="1" x14ac:dyDescent="0.2">
      <c r="A334" s="67">
        <v>44652</v>
      </c>
      <c r="B334" s="58">
        <v>12788.925599999999</v>
      </c>
      <c r="C334" s="58">
        <v>13216.038077937799</v>
      </c>
      <c r="D334" s="58">
        <v>1227.3664318000001</v>
      </c>
      <c r="E334" s="58">
        <v>1704.1102016619539</v>
      </c>
      <c r="F334" s="58">
        <v>3934.9679340000002</v>
      </c>
      <c r="G334" s="58">
        <v>5448.6781436928786</v>
      </c>
      <c r="H334" s="39">
        <v>6.4486116995072118E-2</v>
      </c>
      <c r="I334" s="39">
        <v>0.38468171407794705</v>
      </c>
      <c r="J334" s="39">
        <v>0.13467391492844949</v>
      </c>
    </row>
    <row r="335" spans="1:10" ht="11.25" customHeight="1" x14ac:dyDescent="0.2">
      <c r="A335" s="67">
        <v>44682</v>
      </c>
      <c r="B335" s="58">
        <v>13053.159599999999</v>
      </c>
      <c r="C335" s="58">
        <v>13489.096715911723</v>
      </c>
      <c r="D335" s="58">
        <v>1140.823903</v>
      </c>
      <c r="E335" s="58">
        <v>1583.9521116371041</v>
      </c>
      <c r="F335" s="58">
        <v>3657.5103900000004</v>
      </c>
      <c r="G335" s="58">
        <v>5064.4877560831019</v>
      </c>
      <c r="H335" s="39">
        <v>6.1932249277521612E-2</v>
      </c>
      <c r="I335" s="39">
        <v>0.38468171407794727</v>
      </c>
      <c r="J335" s="39">
        <v>0.12805890108325002</v>
      </c>
    </row>
    <row r="336" spans="1:10" ht="11.25" customHeight="1" x14ac:dyDescent="0.2">
      <c r="A336" s="67">
        <v>44713</v>
      </c>
      <c r="B336" s="58">
        <v>13158.853199999998</v>
      </c>
      <c r="C336" s="58">
        <v>13598.320171101292</v>
      </c>
      <c r="D336" s="58">
        <v>987.71019820000004</v>
      </c>
      <c r="E336" s="58">
        <v>1371.3647215931383</v>
      </c>
      <c r="F336" s="58">
        <v>3166.6239659999997</v>
      </c>
      <c r="G336" s="58">
        <v>4384.7663010811875</v>
      </c>
      <c r="H336" s="39">
        <v>5.8185261771715124E-2</v>
      </c>
      <c r="I336" s="39">
        <v>0.38468171407794749</v>
      </c>
      <c r="J336" s="39">
        <v>0.11790225489019535</v>
      </c>
    </row>
    <row r="337" spans="1:10" ht="11.25" customHeight="1" x14ac:dyDescent="0.2">
      <c r="A337" s="67">
        <v>44743</v>
      </c>
      <c r="B337" s="58">
        <v>13053.159599999999</v>
      </c>
      <c r="C337" s="58">
        <v>13489.096715911723</v>
      </c>
      <c r="D337" s="58">
        <v>1122.7545838000001</v>
      </c>
      <c r="E337" s="58">
        <v>1558.8641587747725</v>
      </c>
      <c r="F337" s="58">
        <v>3599.579694</v>
      </c>
      <c r="G337" s="58">
        <v>4984.2721806480931</v>
      </c>
      <c r="H337" s="39">
        <v>6.1516081402570588E-2</v>
      </c>
      <c r="I337" s="39">
        <v>0.38468171407794727</v>
      </c>
      <c r="J337" s="39">
        <v>0.12695788893680504</v>
      </c>
    </row>
    <row r="338" spans="1:10" ht="11.25" customHeight="1" x14ac:dyDescent="0.2">
      <c r="A338" s="67">
        <v>44774</v>
      </c>
      <c r="B338" s="58">
        <v>13317.393599999999</v>
      </c>
      <c r="C338" s="58">
        <v>13762.155353885642</v>
      </c>
      <c r="D338" s="58">
        <v>1160.636753</v>
      </c>
      <c r="E338" s="58">
        <v>1611.4608318808882</v>
      </c>
      <c r="F338" s="58">
        <v>3721.03089</v>
      </c>
      <c r="G338" s="58">
        <v>5152.443430902189</v>
      </c>
      <c r="H338" s="39">
        <v>6.1858264620985315E-2</v>
      </c>
      <c r="I338" s="39">
        <v>0.38468171407794705</v>
      </c>
      <c r="J338" s="39">
        <v>0.12786364871230727</v>
      </c>
    </row>
    <row r="339" spans="1:10" ht="11.25" customHeight="1" x14ac:dyDescent="0.2">
      <c r="A339" s="67">
        <v>44805</v>
      </c>
      <c r="B339" s="58">
        <v>13951.555199999999</v>
      </c>
      <c r="C339" s="58">
        <v>14417.496085023053</v>
      </c>
      <c r="D339" s="58">
        <v>1038.985854</v>
      </c>
      <c r="E339" s="58">
        <v>1442.5572895840521</v>
      </c>
      <c r="F339" s="58">
        <v>3331.0150199999998</v>
      </c>
      <c r="G339" s="58">
        <v>4612.3955875129877</v>
      </c>
      <c r="H339" s="39">
        <v>5.8004065195171206E-2</v>
      </c>
      <c r="I339" s="39">
        <v>0.38468171407794727</v>
      </c>
      <c r="J339" s="39">
        <v>0.1173968455208021</v>
      </c>
    </row>
    <row r="340" spans="1:10" ht="11.25" customHeight="1" x14ac:dyDescent="0.2">
      <c r="A340" s="67">
        <v>44835</v>
      </c>
      <c r="B340" s="58">
        <v>19659.009599999998</v>
      </c>
      <c r="C340" s="58">
        <v>20315.56266525976</v>
      </c>
      <c r="D340" s="58">
        <v>1776.8163880000002</v>
      </c>
      <c r="E340" s="58">
        <v>2466.9820314625822</v>
      </c>
      <c r="F340" s="58">
        <v>5696.5184399999998</v>
      </c>
      <c r="G340" s="58">
        <v>7887.8649177758334</v>
      </c>
      <c r="H340" s="39">
        <v>6.2825603710174427E-2</v>
      </c>
      <c r="I340" s="39">
        <v>0.38468171407794727</v>
      </c>
      <c r="J340" s="39">
        <v>0.13040027543093458</v>
      </c>
    </row>
    <row r="341" spans="1:10" ht="11.25" customHeight="1" x14ac:dyDescent="0.2">
      <c r="A341" s="67">
        <v>44866</v>
      </c>
      <c r="B341" s="58">
        <v>19659.009599999998</v>
      </c>
      <c r="C341" s="58">
        <v>20315.56266525976</v>
      </c>
      <c r="D341" s="58">
        <v>1776.8163880000002</v>
      </c>
      <c r="E341" s="58">
        <v>2466.9820314625822</v>
      </c>
      <c r="F341" s="58">
        <v>5696.5184399999998</v>
      </c>
      <c r="G341" s="58">
        <v>7887.8649177758334</v>
      </c>
      <c r="H341" s="39">
        <v>6.2825603710174427E-2</v>
      </c>
      <c r="I341" s="39">
        <v>0.38468171407794727</v>
      </c>
      <c r="J341" s="39">
        <v>0.13040027543093458</v>
      </c>
    </row>
    <row r="342" spans="1:10" ht="11.25" customHeight="1" x14ac:dyDescent="0.2">
      <c r="A342" s="61" t="s">
        <v>44</v>
      </c>
      <c r="B342" s="58">
        <v>20137790.376000009</v>
      </c>
      <c r="C342" s="58">
        <v>21019580.616469514</v>
      </c>
      <c r="D342" s="58">
        <v>32695610.878775407</v>
      </c>
      <c r="E342" s="58">
        <v>38220432.393838413</v>
      </c>
      <c r="F342" s="58">
        <v>31416849.118323598</v>
      </c>
      <c r="G342" s="58">
        <v>41308490.128048435</v>
      </c>
      <c r="H342" s="39">
        <v>0.12126063443537016</v>
      </c>
      <c r="I342" s="39">
        <v>0.31485146624572224</v>
      </c>
      <c r="J342" s="39">
        <v>0.19345049650394119</v>
      </c>
    </row>
    <row r="343" spans="1:10" ht="11.25" customHeight="1" x14ac:dyDescent="0.2">
      <c r="A343" s="62" t="s">
        <v>45</v>
      </c>
      <c r="B343" s="58">
        <v>6548058.0000000009</v>
      </c>
      <c r="C343" s="58">
        <v>6816867.8435046813</v>
      </c>
      <c r="D343" s="58">
        <v>10761763.776559999</v>
      </c>
      <c r="E343" s="58">
        <v>12422888.063912515</v>
      </c>
      <c r="F343" s="58">
        <v>9985059.7909800019</v>
      </c>
      <c r="G343" s="58">
        <v>13043449.710984539</v>
      </c>
      <c r="H343" s="39">
        <v>0.11149358761570882</v>
      </c>
      <c r="I343" s="39">
        <v>0.30629660553132809</v>
      </c>
      <c r="J343" s="39">
        <v>0.18275675747184805</v>
      </c>
    </row>
    <row r="344" spans="1:10" ht="11.25" customHeight="1" x14ac:dyDescent="0.2">
      <c r="A344" s="63" t="s">
        <v>25</v>
      </c>
      <c r="B344" s="58">
        <v>6548058.0000000009</v>
      </c>
      <c r="C344" s="58">
        <v>6816867.8435046813</v>
      </c>
      <c r="D344" s="58">
        <v>10761763.776559999</v>
      </c>
      <c r="E344" s="58">
        <v>12422888.063912515</v>
      </c>
      <c r="F344" s="58">
        <v>9985059.7909800019</v>
      </c>
      <c r="G344" s="58">
        <v>13043449.710984539</v>
      </c>
      <c r="H344" s="39">
        <v>0.11149358761570882</v>
      </c>
      <c r="I344" s="39">
        <v>0.30629660553132809</v>
      </c>
      <c r="J344" s="39">
        <v>0.18275675747184805</v>
      </c>
    </row>
    <row r="345" spans="1:10" ht="11.25" customHeight="1" x14ac:dyDescent="0.2">
      <c r="A345" s="64" t="s">
        <v>25</v>
      </c>
      <c r="B345" s="58">
        <v>6548058.0000000009</v>
      </c>
      <c r="C345" s="58">
        <v>6816867.8435046813</v>
      </c>
      <c r="D345" s="58">
        <v>10761763.776559999</v>
      </c>
      <c r="E345" s="58">
        <v>12422888.063912515</v>
      </c>
      <c r="F345" s="58">
        <v>9985059.7909800019</v>
      </c>
      <c r="G345" s="58">
        <v>13043449.710984539</v>
      </c>
      <c r="H345" s="39">
        <v>0.11149358761570882</v>
      </c>
      <c r="I345" s="39">
        <v>0.30629660553132809</v>
      </c>
      <c r="J345" s="39">
        <v>0.18275675747184805</v>
      </c>
    </row>
    <row r="346" spans="1:10" ht="11.25" customHeight="1" x14ac:dyDescent="0.2">
      <c r="A346" s="65" t="s">
        <v>25</v>
      </c>
      <c r="B346" s="58">
        <v>6548058.0000000009</v>
      </c>
      <c r="C346" s="58">
        <v>6816867.8435046813</v>
      </c>
      <c r="D346" s="58">
        <v>10761763.776559999</v>
      </c>
      <c r="E346" s="58">
        <v>12422888.063912515</v>
      </c>
      <c r="F346" s="58">
        <v>9985059.7909800019</v>
      </c>
      <c r="G346" s="58">
        <v>13043449.710984539</v>
      </c>
      <c r="H346" s="39">
        <v>0.11149358761570882</v>
      </c>
      <c r="I346" s="39">
        <v>0.30629660553132809</v>
      </c>
      <c r="J346" s="39">
        <v>0.18275675747184805</v>
      </c>
    </row>
    <row r="347" spans="1:10" ht="11.25" customHeight="1" x14ac:dyDescent="0.2">
      <c r="A347" s="66" t="s">
        <v>37</v>
      </c>
      <c r="B347" s="58">
        <v>0</v>
      </c>
      <c r="C347" s="58">
        <v>0</v>
      </c>
      <c r="D347" s="58">
        <v>4415227.6920800004</v>
      </c>
      <c r="E347" s="58">
        <v>5940632.1244028676</v>
      </c>
      <c r="F347" s="58">
        <v>8801128.7620799989</v>
      </c>
      <c r="G347" s="58">
        <v>11454784.156695381</v>
      </c>
      <c r="H347" s="39">
        <v>0.34548715008721409</v>
      </c>
      <c r="I347" s="39">
        <v>0.30151307478294753</v>
      </c>
      <c r="J347" s="39">
        <v>0.31620362551759396</v>
      </c>
    </row>
    <row r="348" spans="1:10" ht="11.25" customHeight="1" x14ac:dyDescent="0.2">
      <c r="A348" s="67">
        <v>44531</v>
      </c>
      <c r="B348" s="58">
        <v>0</v>
      </c>
      <c r="C348" s="58">
        <v>0</v>
      </c>
      <c r="D348" s="58">
        <v>372674.81852000003</v>
      </c>
      <c r="E348" s="58">
        <v>501429.17947974469</v>
      </c>
      <c r="F348" s="58">
        <v>742874.27352000016</v>
      </c>
      <c r="G348" s="58">
        <v>966860.57990616374</v>
      </c>
      <c r="H348" s="39">
        <v>0.34548715008721453</v>
      </c>
      <c r="I348" s="39">
        <v>0.30151307478294753</v>
      </c>
      <c r="J348" s="39">
        <v>0.31620362551759396</v>
      </c>
    </row>
    <row r="349" spans="1:10" ht="11.25" customHeight="1" x14ac:dyDescent="0.2">
      <c r="A349" s="67">
        <v>44562</v>
      </c>
      <c r="B349" s="58">
        <v>0</v>
      </c>
      <c r="C349" s="58">
        <v>0</v>
      </c>
      <c r="D349" s="58">
        <v>361052.34777999995</v>
      </c>
      <c r="E349" s="58">
        <v>485791.29444681003</v>
      </c>
      <c r="F349" s="58">
        <v>719706.53028000018</v>
      </c>
      <c r="G349" s="58">
        <v>936707.45916608954</v>
      </c>
      <c r="H349" s="39">
        <v>0.34548715008721476</v>
      </c>
      <c r="I349" s="39">
        <v>0.30151307478294753</v>
      </c>
      <c r="J349" s="39">
        <v>0.3162036255175944</v>
      </c>
    </row>
    <row r="350" spans="1:10" ht="11.25" customHeight="1" x14ac:dyDescent="0.2">
      <c r="A350" s="67">
        <v>44593</v>
      </c>
      <c r="B350" s="58">
        <v>0</v>
      </c>
      <c r="C350" s="58">
        <v>0</v>
      </c>
      <c r="D350" s="58">
        <v>337284.34706</v>
      </c>
      <c r="E350" s="58">
        <v>453811.7548947864</v>
      </c>
      <c r="F350" s="58">
        <v>672328.39955999993</v>
      </c>
      <c r="G350" s="58">
        <v>875044.20257523388</v>
      </c>
      <c r="H350" s="39">
        <v>0.34548715008721453</v>
      </c>
      <c r="I350" s="39">
        <v>0.30151307478294798</v>
      </c>
      <c r="J350" s="39">
        <v>0.3162036255175944</v>
      </c>
    </row>
    <row r="351" spans="1:10" ht="11.25" customHeight="1" x14ac:dyDescent="0.2">
      <c r="A351" s="67">
        <v>44621</v>
      </c>
      <c r="B351" s="58">
        <v>0</v>
      </c>
      <c r="C351" s="58">
        <v>0</v>
      </c>
      <c r="D351" s="58">
        <v>361876.98389000003</v>
      </c>
      <c r="E351" s="58">
        <v>486900.83173631295</v>
      </c>
      <c r="F351" s="58">
        <v>721350.32513999997</v>
      </c>
      <c r="G351" s="58">
        <v>938846.87966864055</v>
      </c>
      <c r="H351" s="39">
        <v>0.34548715008721431</v>
      </c>
      <c r="I351" s="39">
        <v>0.30151307478294798</v>
      </c>
      <c r="J351" s="39">
        <v>0.31620362551759418</v>
      </c>
    </row>
    <row r="352" spans="1:10" ht="11.25" customHeight="1" x14ac:dyDescent="0.2">
      <c r="A352" s="67">
        <v>44652</v>
      </c>
      <c r="B352" s="58">
        <v>0</v>
      </c>
      <c r="C352" s="58">
        <v>0</v>
      </c>
      <c r="D352" s="58">
        <v>366483.42936000007</v>
      </c>
      <c r="E352" s="58">
        <v>493098.74492377538</v>
      </c>
      <c r="F352" s="58">
        <v>730532.61936000001</v>
      </c>
      <c r="G352" s="58">
        <v>950797.75565247436</v>
      </c>
      <c r="H352" s="39">
        <v>0.34548715008721431</v>
      </c>
      <c r="I352" s="39">
        <v>0.30151307478294775</v>
      </c>
      <c r="J352" s="39">
        <v>0.31620362551759418</v>
      </c>
    </row>
    <row r="353" spans="1:10" ht="11.25" customHeight="1" x14ac:dyDescent="0.2">
      <c r="A353" s="67">
        <v>44682</v>
      </c>
      <c r="B353" s="58">
        <v>0</v>
      </c>
      <c r="C353" s="58">
        <v>0</v>
      </c>
      <c r="D353" s="58">
        <v>375619.51389000006</v>
      </c>
      <c r="E353" s="58">
        <v>505391.22926100105</v>
      </c>
      <c r="F353" s="58">
        <v>748744.10514</v>
      </c>
      <c r="G353" s="58">
        <v>974500.2425063682</v>
      </c>
      <c r="H353" s="39">
        <v>0.34548715008721453</v>
      </c>
      <c r="I353" s="39">
        <v>0.30151307478294798</v>
      </c>
      <c r="J353" s="39">
        <v>0.31620362551759418</v>
      </c>
    </row>
    <row r="354" spans="1:10" ht="11.25" customHeight="1" x14ac:dyDescent="0.2">
      <c r="A354" s="67">
        <v>44713</v>
      </c>
      <c r="B354" s="58">
        <v>0</v>
      </c>
      <c r="C354" s="58">
        <v>0</v>
      </c>
      <c r="D354" s="58">
        <v>359651.53713000013</v>
      </c>
      <c r="E354" s="58">
        <v>483906.52171752969</v>
      </c>
      <c r="F354" s="58">
        <v>716914.21337999997</v>
      </c>
      <c r="G354" s="58">
        <v>933073.22221180226</v>
      </c>
      <c r="H354" s="39">
        <v>0.34548715008721387</v>
      </c>
      <c r="I354" s="39">
        <v>0.30151307478294798</v>
      </c>
      <c r="J354" s="39">
        <v>0.31620362551759418</v>
      </c>
    </row>
    <row r="355" spans="1:10" ht="11.25" customHeight="1" x14ac:dyDescent="0.2">
      <c r="A355" s="67">
        <v>44743</v>
      </c>
      <c r="B355" s="58">
        <v>0</v>
      </c>
      <c r="C355" s="58">
        <v>0</v>
      </c>
      <c r="D355" s="58">
        <v>367562.51305000001</v>
      </c>
      <c r="E355" s="58">
        <v>494550.63816253911</v>
      </c>
      <c r="F355" s="58">
        <v>732683.6192999999</v>
      </c>
      <c r="G355" s="58">
        <v>953597.31019824173</v>
      </c>
      <c r="H355" s="39">
        <v>0.34548715008721453</v>
      </c>
      <c r="I355" s="39">
        <v>0.30151307478294798</v>
      </c>
      <c r="J355" s="39">
        <v>0.3162036255175944</v>
      </c>
    </row>
    <row r="356" spans="1:10" ht="11.25" customHeight="1" x14ac:dyDescent="0.2">
      <c r="A356" s="67">
        <v>44774</v>
      </c>
      <c r="B356" s="58">
        <v>0</v>
      </c>
      <c r="C356" s="58">
        <v>0</v>
      </c>
      <c r="D356" s="58">
        <v>379285.64992999996</v>
      </c>
      <c r="E356" s="58">
        <v>510323.96819329262</v>
      </c>
      <c r="F356" s="58">
        <v>756052.02617999993</v>
      </c>
      <c r="G356" s="58">
        <v>984011.5972894096</v>
      </c>
      <c r="H356" s="39">
        <v>0.34548715008721476</v>
      </c>
      <c r="I356" s="39">
        <v>0.30151307478294798</v>
      </c>
      <c r="J356" s="39">
        <v>0.3162036255175944</v>
      </c>
    </row>
    <row r="357" spans="1:10" ht="11.25" customHeight="1" x14ac:dyDescent="0.2">
      <c r="A357" s="67">
        <v>44805</v>
      </c>
      <c r="B357" s="58">
        <v>0</v>
      </c>
      <c r="C357" s="58">
        <v>0</v>
      </c>
      <c r="D357" s="58">
        <v>375463.87763</v>
      </c>
      <c r="E357" s="58">
        <v>505181.8226730834</v>
      </c>
      <c r="F357" s="58">
        <v>748433.8663799999</v>
      </c>
      <c r="G357" s="58">
        <v>974096.46270392381</v>
      </c>
      <c r="H357" s="39">
        <v>0.34548715008721453</v>
      </c>
      <c r="I357" s="39">
        <v>0.3015130747829482</v>
      </c>
      <c r="J357" s="39">
        <v>0.3162036255175944</v>
      </c>
    </row>
    <row r="358" spans="1:10" ht="11.25" customHeight="1" x14ac:dyDescent="0.2">
      <c r="A358" s="67">
        <v>44835</v>
      </c>
      <c r="B358" s="58">
        <v>0</v>
      </c>
      <c r="C358" s="58">
        <v>0</v>
      </c>
      <c r="D358" s="58">
        <v>379136.33691999997</v>
      </c>
      <c r="E358" s="58">
        <v>510123.0694569968</v>
      </c>
      <c r="F358" s="58">
        <v>755754.39192000008</v>
      </c>
      <c r="G358" s="58">
        <v>983624.2224085161</v>
      </c>
      <c r="H358" s="39">
        <v>0.34548715008721476</v>
      </c>
      <c r="I358" s="39">
        <v>0.30151307478294753</v>
      </c>
      <c r="J358" s="39">
        <v>0.31620362551759418</v>
      </c>
    </row>
    <row r="359" spans="1:10" ht="11.25" customHeight="1" x14ac:dyDescent="0.2">
      <c r="A359" s="67">
        <v>44866</v>
      </c>
      <c r="B359" s="58">
        <v>0</v>
      </c>
      <c r="C359" s="58">
        <v>0</v>
      </c>
      <c r="D359" s="58">
        <v>379136.33691999997</v>
      </c>
      <c r="E359" s="58">
        <v>510123.0694569968</v>
      </c>
      <c r="F359" s="58">
        <v>755754.39192000008</v>
      </c>
      <c r="G359" s="58">
        <v>983624.2224085161</v>
      </c>
      <c r="H359" s="39">
        <v>0.34548715008721476</v>
      </c>
      <c r="I359" s="39">
        <v>0.30151307478294753</v>
      </c>
      <c r="J359" s="39">
        <v>0.31620362551759418</v>
      </c>
    </row>
    <row r="360" spans="1:10" ht="11.25" customHeight="1" x14ac:dyDescent="0.2">
      <c r="A360" s="66" t="s">
        <v>25</v>
      </c>
      <c r="B360" s="58">
        <v>6548058.0000000009</v>
      </c>
      <c r="C360" s="58">
        <v>6816867.8435046813</v>
      </c>
      <c r="D360" s="58">
        <v>0</v>
      </c>
      <c r="E360" s="58">
        <v>0</v>
      </c>
      <c r="F360" s="58">
        <v>0</v>
      </c>
      <c r="G360" s="58">
        <v>0</v>
      </c>
      <c r="H360" s="39">
        <v>4.1051842165216845E-2</v>
      </c>
      <c r="I360" s="39">
        <v>0</v>
      </c>
      <c r="J360" s="39">
        <v>4.1051842165216845E-2</v>
      </c>
    </row>
    <row r="361" spans="1:10" ht="11.25" customHeight="1" x14ac:dyDescent="0.2">
      <c r="A361" s="67">
        <v>44531</v>
      </c>
      <c r="B361" s="58">
        <v>532243.80000000005</v>
      </c>
      <c r="C361" s="58">
        <v>554093.38847101503</v>
      </c>
      <c r="D361" s="58">
        <v>0</v>
      </c>
      <c r="E361" s="58">
        <v>0</v>
      </c>
      <c r="F361" s="58">
        <v>0</v>
      </c>
      <c r="G361" s="58">
        <v>0</v>
      </c>
      <c r="H361" s="39">
        <v>4.1051842165216401E-2</v>
      </c>
      <c r="I361" s="39">
        <v>0</v>
      </c>
      <c r="J361" s="39">
        <v>4.1051842165216401E-2</v>
      </c>
    </row>
    <row r="362" spans="1:10" ht="11.25" customHeight="1" x14ac:dyDescent="0.2">
      <c r="A362" s="67">
        <v>44562</v>
      </c>
      <c r="B362" s="58">
        <v>531016.20000000007</v>
      </c>
      <c r="C362" s="58">
        <v>552815.39322957292</v>
      </c>
      <c r="D362" s="58">
        <v>0</v>
      </c>
      <c r="E362" s="58">
        <v>0</v>
      </c>
      <c r="F362" s="58">
        <v>0</v>
      </c>
      <c r="G362" s="58">
        <v>0</v>
      </c>
      <c r="H362" s="39">
        <v>4.1051842165216179E-2</v>
      </c>
      <c r="I362" s="39">
        <v>0</v>
      </c>
      <c r="J362" s="39">
        <v>4.1051842165216179E-2</v>
      </c>
    </row>
    <row r="363" spans="1:10" ht="11.25" customHeight="1" x14ac:dyDescent="0.2">
      <c r="A363" s="67">
        <v>44593</v>
      </c>
      <c r="B363" s="58">
        <v>546935.4</v>
      </c>
      <c r="C363" s="58">
        <v>569388.10571536946</v>
      </c>
      <c r="D363" s="58">
        <v>0</v>
      </c>
      <c r="E363" s="58">
        <v>0</v>
      </c>
      <c r="F363" s="58">
        <v>0</v>
      </c>
      <c r="G363" s="58">
        <v>0</v>
      </c>
      <c r="H363" s="39">
        <v>4.1051842165216179E-2</v>
      </c>
      <c r="I363" s="39">
        <v>0</v>
      </c>
      <c r="J363" s="39">
        <v>4.1051842165216179E-2</v>
      </c>
    </row>
    <row r="364" spans="1:10" ht="11.25" customHeight="1" x14ac:dyDescent="0.2">
      <c r="A364" s="67">
        <v>44621</v>
      </c>
      <c r="B364" s="58">
        <v>551113.19999999995</v>
      </c>
      <c r="C364" s="58">
        <v>573737.41210156737</v>
      </c>
      <c r="D364" s="58">
        <v>0</v>
      </c>
      <c r="E364" s="58">
        <v>0</v>
      </c>
      <c r="F364" s="58">
        <v>0</v>
      </c>
      <c r="G364" s="58">
        <v>0</v>
      </c>
      <c r="H364" s="39">
        <v>4.1051842165216623E-2</v>
      </c>
      <c r="I364" s="39">
        <v>0</v>
      </c>
      <c r="J364" s="39">
        <v>4.1051842165216623E-2</v>
      </c>
    </row>
    <row r="365" spans="1:10" ht="11.25" customHeight="1" x14ac:dyDescent="0.2">
      <c r="A365" s="67">
        <v>44652</v>
      </c>
      <c r="B365" s="58">
        <v>559627.20000000007</v>
      </c>
      <c r="C365" s="58">
        <v>582600.92748576193</v>
      </c>
      <c r="D365" s="58">
        <v>0</v>
      </c>
      <c r="E365" s="58">
        <v>0</v>
      </c>
      <c r="F365" s="58">
        <v>0</v>
      </c>
      <c r="G365" s="58">
        <v>0</v>
      </c>
      <c r="H365" s="39">
        <v>4.1051842165216179E-2</v>
      </c>
      <c r="I365" s="39">
        <v>0</v>
      </c>
      <c r="J365" s="39">
        <v>4.1051842165216179E-2</v>
      </c>
    </row>
    <row r="366" spans="1:10" ht="11.25" customHeight="1" x14ac:dyDescent="0.2">
      <c r="A366" s="67">
        <v>44682</v>
      </c>
      <c r="B366" s="58">
        <v>556043.4</v>
      </c>
      <c r="C366" s="58">
        <v>578870.00589381019</v>
      </c>
      <c r="D366" s="58">
        <v>0</v>
      </c>
      <c r="E366" s="58">
        <v>0</v>
      </c>
      <c r="F366" s="58">
        <v>0</v>
      </c>
      <c r="G366" s="58">
        <v>0</v>
      </c>
      <c r="H366" s="39">
        <v>4.1051842165216179E-2</v>
      </c>
      <c r="I366" s="39">
        <v>0</v>
      </c>
      <c r="J366" s="39">
        <v>4.1051842165216179E-2</v>
      </c>
    </row>
    <row r="367" spans="1:10" ht="11.25" customHeight="1" x14ac:dyDescent="0.2">
      <c r="A367" s="67">
        <v>44713</v>
      </c>
      <c r="B367" s="58">
        <v>548994.60000000009</v>
      </c>
      <c r="C367" s="58">
        <v>571531.839668756</v>
      </c>
      <c r="D367" s="58">
        <v>0</v>
      </c>
      <c r="E367" s="58">
        <v>0</v>
      </c>
      <c r="F367" s="58">
        <v>0</v>
      </c>
      <c r="G367" s="58">
        <v>0</v>
      </c>
      <c r="H367" s="39">
        <v>4.1051842165215957E-2</v>
      </c>
      <c r="I367" s="39">
        <v>0</v>
      </c>
      <c r="J367" s="39">
        <v>4.1051842165215957E-2</v>
      </c>
    </row>
    <row r="368" spans="1:10" ht="11.25" customHeight="1" x14ac:dyDescent="0.2">
      <c r="A368" s="67">
        <v>44743</v>
      </c>
      <c r="B368" s="58">
        <v>548440.19999999995</v>
      </c>
      <c r="C368" s="58">
        <v>570954.6805274596</v>
      </c>
      <c r="D368" s="58">
        <v>0</v>
      </c>
      <c r="E368" s="58">
        <v>0</v>
      </c>
      <c r="F368" s="58">
        <v>0</v>
      </c>
      <c r="G368" s="58">
        <v>0</v>
      </c>
      <c r="H368" s="39">
        <v>4.1051842165216179E-2</v>
      </c>
      <c r="I368" s="39">
        <v>0</v>
      </c>
      <c r="J368" s="39">
        <v>4.1051842165216179E-2</v>
      </c>
    </row>
    <row r="369" spans="1:10" ht="11.25" customHeight="1" x14ac:dyDescent="0.2">
      <c r="A369" s="67">
        <v>44774</v>
      </c>
      <c r="B369" s="58">
        <v>550222.19999999995</v>
      </c>
      <c r="C369" s="58">
        <v>572809.83491019811</v>
      </c>
      <c r="D369" s="58">
        <v>0</v>
      </c>
      <c r="E369" s="58">
        <v>0</v>
      </c>
      <c r="F369" s="58">
        <v>0</v>
      </c>
      <c r="G369" s="58">
        <v>0</v>
      </c>
      <c r="H369" s="39">
        <v>4.1051842165216401E-2</v>
      </c>
      <c r="I369" s="39">
        <v>0</v>
      </c>
      <c r="J369" s="39">
        <v>4.1051842165216401E-2</v>
      </c>
    </row>
    <row r="370" spans="1:10" ht="11.25" customHeight="1" x14ac:dyDescent="0.2">
      <c r="A370" s="67">
        <v>44805</v>
      </c>
      <c r="B370" s="58">
        <v>551727</v>
      </c>
      <c r="C370" s="58">
        <v>574376.40972228837</v>
      </c>
      <c r="D370" s="58">
        <v>0</v>
      </c>
      <c r="E370" s="58">
        <v>0</v>
      </c>
      <c r="F370" s="58">
        <v>0</v>
      </c>
      <c r="G370" s="58">
        <v>0</v>
      </c>
      <c r="H370" s="39">
        <v>4.1051842165216401E-2</v>
      </c>
      <c r="I370" s="39">
        <v>0</v>
      </c>
      <c r="J370" s="39">
        <v>4.1051842165216401E-2</v>
      </c>
    </row>
    <row r="371" spans="1:10" ht="11.25" customHeight="1" x14ac:dyDescent="0.2">
      <c r="A371" s="67">
        <v>44835</v>
      </c>
      <c r="B371" s="58">
        <v>535847.4</v>
      </c>
      <c r="C371" s="58">
        <v>557844.9228894416</v>
      </c>
      <c r="D371" s="58">
        <v>0</v>
      </c>
      <c r="E371" s="58">
        <v>0</v>
      </c>
      <c r="F371" s="58">
        <v>0</v>
      </c>
      <c r="G371" s="58">
        <v>0</v>
      </c>
      <c r="H371" s="39">
        <v>4.1051842165216401E-2</v>
      </c>
      <c r="I371" s="39">
        <v>0</v>
      </c>
      <c r="J371" s="39">
        <v>4.1051842165216401E-2</v>
      </c>
    </row>
    <row r="372" spans="1:10" ht="11.25" customHeight="1" x14ac:dyDescent="0.2">
      <c r="A372" s="67">
        <v>44866</v>
      </c>
      <c r="B372" s="58">
        <v>535847.4</v>
      </c>
      <c r="C372" s="58">
        <v>557844.9228894416</v>
      </c>
      <c r="D372" s="58">
        <v>0</v>
      </c>
      <c r="E372" s="58">
        <v>0</v>
      </c>
      <c r="F372" s="58">
        <v>0</v>
      </c>
      <c r="G372" s="58">
        <v>0</v>
      </c>
      <c r="H372" s="39">
        <v>4.1051842165216401E-2</v>
      </c>
      <c r="I372" s="39">
        <v>0</v>
      </c>
      <c r="J372" s="39">
        <v>4.1051842165216401E-2</v>
      </c>
    </row>
    <row r="373" spans="1:10" ht="11.25" customHeight="1" x14ac:dyDescent="0.2">
      <c r="A373" s="66" t="s">
        <v>36</v>
      </c>
      <c r="B373" s="58">
        <v>0</v>
      </c>
      <c r="C373" s="58">
        <v>0</v>
      </c>
      <c r="D373" s="58">
        <v>6346536.0844799997</v>
      </c>
      <c r="E373" s="58">
        <v>6482255.9395096451</v>
      </c>
      <c r="F373" s="58">
        <v>1183931.0289000003</v>
      </c>
      <c r="G373" s="58">
        <v>1588665.5542891549</v>
      </c>
      <c r="H373" s="39">
        <v>2.1384870931647315E-2</v>
      </c>
      <c r="I373" s="39">
        <v>0.34185650642605192</v>
      </c>
      <c r="J373" s="39">
        <v>7.1769038000117247E-2</v>
      </c>
    </row>
    <row r="374" spans="1:10" ht="11.25" customHeight="1" x14ac:dyDescent="0.2">
      <c r="A374" s="67">
        <v>44531</v>
      </c>
      <c r="B374" s="58">
        <v>0</v>
      </c>
      <c r="C374" s="58">
        <v>0</v>
      </c>
      <c r="D374" s="58">
        <v>506749.12767999998</v>
      </c>
      <c r="E374" s="58">
        <v>517585.89237016148</v>
      </c>
      <c r="F374" s="58">
        <v>94532.829900000012</v>
      </c>
      <c r="G374" s="58">
        <v>126849.49287218222</v>
      </c>
      <c r="H374" s="39">
        <v>2.1384870931647093E-2</v>
      </c>
      <c r="I374" s="39">
        <v>0.3418565064260517</v>
      </c>
      <c r="J374" s="39">
        <v>7.1769038000117025E-2</v>
      </c>
    </row>
    <row r="375" spans="1:10" ht="11.25" customHeight="1" x14ac:dyDescent="0.2">
      <c r="A375" s="67">
        <v>44562</v>
      </c>
      <c r="B375" s="58">
        <v>0</v>
      </c>
      <c r="C375" s="58">
        <v>0</v>
      </c>
      <c r="D375" s="58">
        <v>455936.99839999998</v>
      </c>
      <c r="E375" s="58">
        <v>465687.15226374648</v>
      </c>
      <c r="F375" s="58">
        <v>85053.949499999988</v>
      </c>
      <c r="G375" s="58">
        <v>114130.19553380784</v>
      </c>
      <c r="H375" s="39">
        <v>2.1384870931646871E-2</v>
      </c>
      <c r="I375" s="39">
        <v>0.34185650642605214</v>
      </c>
      <c r="J375" s="39">
        <v>7.1769038000116803E-2</v>
      </c>
    </row>
    <row r="376" spans="1:10" ht="11.25" customHeight="1" x14ac:dyDescent="0.2">
      <c r="A376" s="67">
        <v>44593</v>
      </c>
      <c r="B376" s="58">
        <v>0</v>
      </c>
      <c r="C376" s="58">
        <v>0</v>
      </c>
      <c r="D376" s="58">
        <v>430938.09152000002</v>
      </c>
      <c r="E376" s="58">
        <v>440153.64698668552</v>
      </c>
      <c r="F376" s="58">
        <v>80390.463600000003</v>
      </c>
      <c r="G376" s="58">
        <v>107872.4666362667</v>
      </c>
      <c r="H376" s="39">
        <v>2.1384870931647093E-2</v>
      </c>
      <c r="I376" s="39">
        <v>0.34185650642605192</v>
      </c>
      <c r="J376" s="39">
        <v>7.1769038000117025E-2</v>
      </c>
    </row>
    <row r="377" spans="1:10" ht="11.25" customHeight="1" x14ac:dyDescent="0.2">
      <c r="A377" s="67">
        <v>44621</v>
      </c>
      <c r="B377" s="58">
        <v>0</v>
      </c>
      <c r="C377" s="58">
        <v>0</v>
      </c>
      <c r="D377" s="58">
        <v>507169.32608000003</v>
      </c>
      <c r="E377" s="58">
        <v>518015.07665871119</v>
      </c>
      <c r="F377" s="58">
        <v>94611.216900000014</v>
      </c>
      <c r="G377" s="58">
        <v>126954.67697815144</v>
      </c>
      <c r="H377" s="39">
        <v>2.1384870931646871E-2</v>
      </c>
      <c r="I377" s="39">
        <v>0.3418565064260517</v>
      </c>
      <c r="J377" s="39">
        <v>7.1769038000116803E-2</v>
      </c>
    </row>
    <row r="378" spans="1:10" ht="11.25" customHeight="1" x14ac:dyDescent="0.2">
      <c r="A378" s="67">
        <v>44652</v>
      </c>
      <c r="B378" s="58">
        <v>0</v>
      </c>
      <c r="C378" s="58">
        <v>0</v>
      </c>
      <c r="D378" s="58">
        <v>504181.57056000008</v>
      </c>
      <c r="E378" s="58">
        <v>514963.42837254069</v>
      </c>
      <c r="F378" s="58">
        <v>94053.858300000022</v>
      </c>
      <c r="G378" s="58">
        <v>126206.78171432894</v>
      </c>
      <c r="H378" s="39">
        <v>2.1384870931646871E-2</v>
      </c>
      <c r="I378" s="39">
        <v>0.3418565064260517</v>
      </c>
      <c r="J378" s="39">
        <v>7.1769038000116803E-2</v>
      </c>
    </row>
    <row r="379" spans="1:10" ht="11.25" customHeight="1" x14ac:dyDescent="0.2">
      <c r="A379" s="67">
        <v>44682</v>
      </c>
      <c r="B379" s="58">
        <v>0</v>
      </c>
      <c r="C379" s="58">
        <v>0</v>
      </c>
      <c r="D379" s="58">
        <v>522426.87488000002</v>
      </c>
      <c r="E379" s="58">
        <v>533598.90617053257</v>
      </c>
      <c r="F379" s="58">
        <v>97457.475900000005</v>
      </c>
      <c r="G379" s="58">
        <v>130773.94813627514</v>
      </c>
      <c r="H379" s="39">
        <v>2.1384870931647093E-2</v>
      </c>
      <c r="I379" s="39">
        <v>0.3418565064260517</v>
      </c>
      <c r="J379" s="39">
        <v>7.1769038000117247E-2</v>
      </c>
    </row>
    <row r="380" spans="1:10" ht="11.25" customHeight="1" x14ac:dyDescent="0.2">
      <c r="A380" s="67">
        <v>44713</v>
      </c>
      <c r="B380" s="58">
        <v>0</v>
      </c>
      <c r="C380" s="58">
        <v>0</v>
      </c>
      <c r="D380" s="58">
        <v>508308.20864000003</v>
      </c>
      <c r="E380" s="58">
        <v>519178.3140752631</v>
      </c>
      <c r="F380" s="58">
        <v>94823.67270000001</v>
      </c>
      <c r="G380" s="58">
        <v>127239.76217570939</v>
      </c>
      <c r="H380" s="39">
        <v>2.1384870931646871E-2</v>
      </c>
      <c r="I380" s="39">
        <v>0.3418565064260517</v>
      </c>
      <c r="J380" s="39">
        <v>7.1769038000116803E-2</v>
      </c>
    </row>
    <row r="381" spans="1:10" ht="11.25" customHeight="1" x14ac:dyDescent="0.2">
      <c r="A381" s="67">
        <v>44743</v>
      </c>
      <c r="B381" s="58">
        <v>0</v>
      </c>
      <c r="C381" s="58">
        <v>0</v>
      </c>
      <c r="D381" s="58">
        <v>504025.08288</v>
      </c>
      <c r="E381" s="58">
        <v>514803.59422370151</v>
      </c>
      <c r="F381" s="58">
        <v>94024.665899999993</v>
      </c>
      <c r="G381" s="58">
        <v>126167.60970245073</v>
      </c>
      <c r="H381" s="39">
        <v>2.1384870931647093E-2</v>
      </c>
      <c r="I381" s="39">
        <v>0.34185650642605192</v>
      </c>
      <c r="J381" s="39">
        <v>7.1769038000116803E-2</v>
      </c>
    </row>
    <row r="382" spans="1:10" ht="11.25" customHeight="1" x14ac:dyDescent="0.2">
      <c r="A382" s="67">
        <v>44774</v>
      </c>
      <c r="B382" s="58">
        <v>0</v>
      </c>
      <c r="C382" s="58">
        <v>0</v>
      </c>
      <c r="D382" s="58">
        <v>598368.31744000001</v>
      </c>
      <c r="E382" s="58">
        <v>611164.34667804127</v>
      </c>
      <c r="F382" s="58">
        <v>111624.1692</v>
      </c>
      <c r="G382" s="58">
        <v>149783.61771542253</v>
      </c>
      <c r="H382" s="39">
        <v>2.1384870931647093E-2</v>
      </c>
      <c r="I382" s="39">
        <v>0.34185650642605214</v>
      </c>
      <c r="J382" s="39">
        <v>7.1769038000117025E-2</v>
      </c>
    </row>
    <row r="383" spans="1:10" ht="11.25" customHeight="1" x14ac:dyDescent="0.2">
      <c r="A383" s="67">
        <v>44805</v>
      </c>
      <c r="B383" s="58">
        <v>0</v>
      </c>
      <c r="C383" s="58">
        <v>0</v>
      </c>
      <c r="D383" s="58">
        <v>606496.98304000008</v>
      </c>
      <c r="E383" s="58">
        <v>619466.84274274379</v>
      </c>
      <c r="F383" s="58">
        <v>113140.55220000001</v>
      </c>
      <c r="G383" s="58">
        <v>151818.38611020637</v>
      </c>
      <c r="H383" s="39">
        <v>2.1384870931647093E-2</v>
      </c>
      <c r="I383" s="39">
        <v>0.34185650642605192</v>
      </c>
      <c r="J383" s="39">
        <v>7.1769038000116803E-2</v>
      </c>
    </row>
    <row r="384" spans="1:10" ht="11.25" customHeight="1" x14ac:dyDescent="0.2">
      <c r="A384" s="67">
        <v>44835</v>
      </c>
      <c r="B384" s="58">
        <v>0</v>
      </c>
      <c r="C384" s="58">
        <v>0</v>
      </c>
      <c r="D384" s="58">
        <v>600967.75167999999</v>
      </c>
      <c r="E384" s="58">
        <v>613819.36948375893</v>
      </c>
      <c r="F384" s="58">
        <v>112109.0874</v>
      </c>
      <c r="G384" s="58">
        <v>150434.30835717692</v>
      </c>
      <c r="H384" s="39">
        <v>2.1384870931647093E-2</v>
      </c>
      <c r="I384" s="39">
        <v>0.34185650642605192</v>
      </c>
      <c r="J384" s="39">
        <v>7.1769038000117247E-2</v>
      </c>
    </row>
    <row r="385" spans="1:10" ht="11.25" customHeight="1" x14ac:dyDescent="0.2">
      <c r="A385" s="67">
        <v>44866</v>
      </c>
      <c r="B385" s="58">
        <v>0</v>
      </c>
      <c r="C385" s="58">
        <v>0</v>
      </c>
      <c r="D385" s="58">
        <v>600967.75167999999</v>
      </c>
      <c r="E385" s="58">
        <v>613819.36948375893</v>
      </c>
      <c r="F385" s="58">
        <v>112109.0874</v>
      </c>
      <c r="G385" s="58">
        <v>150434.30835717692</v>
      </c>
      <c r="H385" s="39">
        <v>2.1384870931647093E-2</v>
      </c>
      <c r="I385" s="39">
        <v>0.34185650642605192</v>
      </c>
      <c r="J385" s="39">
        <v>7.1769038000117247E-2</v>
      </c>
    </row>
    <row r="386" spans="1:10" ht="11.25" customHeight="1" x14ac:dyDescent="0.2">
      <c r="A386" s="62" t="s">
        <v>54</v>
      </c>
      <c r="B386" s="58">
        <v>71280</v>
      </c>
      <c r="C386" s="58">
        <v>74206.175309536615</v>
      </c>
      <c r="D386" s="58">
        <v>127257.23244000001</v>
      </c>
      <c r="E386" s="58">
        <v>149259.72299470662</v>
      </c>
      <c r="F386" s="58">
        <v>131228.15790000002</v>
      </c>
      <c r="G386" s="58">
        <v>171305.17126083688</v>
      </c>
      <c r="H386" s="39">
        <v>0.12556166698745996</v>
      </c>
      <c r="I386" s="39">
        <v>0.30539949658804777</v>
      </c>
      <c r="J386" s="39">
        <v>0.19712705192639191</v>
      </c>
    </row>
    <row r="387" spans="1:10" ht="11.25" customHeight="1" x14ac:dyDescent="0.2">
      <c r="A387" s="63" t="s">
        <v>25</v>
      </c>
      <c r="B387" s="58">
        <v>71280</v>
      </c>
      <c r="C387" s="58">
        <v>74206.175309536615</v>
      </c>
      <c r="D387" s="58">
        <v>127257.23244000001</v>
      </c>
      <c r="E387" s="58">
        <v>149259.72299470662</v>
      </c>
      <c r="F387" s="58">
        <v>131228.15790000002</v>
      </c>
      <c r="G387" s="58">
        <v>171305.17126083688</v>
      </c>
      <c r="H387" s="39">
        <v>0.12556166698745996</v>
      </c>
      <c r="I387" s="39">
        <v>0.30539949658804777</v>
      </c>
      <c r="J387" s="39">
        <v>0.19712705192639191</v>
      </c>
    </row>
    <row r="388" spans="1:10" ht="11.25" customHeight="1" x14ac:dyDescent="0.2">
      <c r="A388" s="64" t="s">
        <v>25</v>
      </c>
      <c r="B388" s="58">
        <v>71280</v>
      </c>
      <c r="C388" s="58">
        <v>74206.175309536615</v>
      </c>
      <c r="D388" s="58">
        <v>127257.23244000001</v>
      </c>
      <c r="E388" s="58">
        <v>149259.72299470662</v>
      </c>
      <c r="F388" s="58">
        <v>131228.15790000002</v>
      </c>
      <c r="G388" s="58">
        <v>171305.17126083688</v>
      </c>
      <c r="H388" s="39">
        <v>0.12556166698745996</v>
      </c>
      <c r="I388" s="39">
        <v>0.30539949658804777</v>
      </c>
      <c r="J388" s="39">
        <v>0.19712705192639191</v>
      </c>
    </row>
    <row r="389" spans="1:10" ht="11.25" customHeight="1" x14ac:dyDescent="0.2">
      <c r="A389" s="65" t="s">
        <v>25</v>
      </c>
      <c r="B389" s="58">
        <v>71280</v>
      </c>
      <c r="C389" s="58">
        <v>74206.175309536615</v>
      </c>
      <c r="D389" s="58">
        <v>127257.23244000001</v>
      </c>
      <c r="E389" s="58">
        <v>149259.72299470662</v>
      </c>
      <c r="F389" s="58">
        <v>131228.15790000002</v>
      </c>
      <c r="G389" s="58">
        <v>171305.17126083688</v>
      </c>
      <c r="H389" s="39">
        <v>0.12556166698745996</v>
      </c>
      <c r="I389" s="39">
        <v>0.30539949658804777</v>
      </c>
      <c r="J389" s="39">
        <v>0.19712705192639191</v>
      </c>
    </row>
    <row r="390" spans="1:10" ht="11.25" customHeight="1" x14ac:dyDescent="0.2">
      <c r="A390" s="66" t="s">
        <v>37</v>
      </c>
      <c r="B390" s="58">
        <v>0</v>
      </c>
      <c r="C390" s="58">
        <v>0</v>
      </c>
      <c r="D390" s="58">
        <v>59490.822199999995</v>
      </c>
      <c r="E390" s="58">
        <v>80044.136818223196</v>
      </c>
      <c r="F390" s="58">
        <v>118586.49719999998</v>
      </c>
      <c r="G390" s="58">
        <v>154341.87659851142</v>
      </c>
      <c r="H390" s="39">
        <v>0.34548715008721476</v>
      </c>
      <c r="I390" s="39">
        <v>0.30151307478294775</v>
      </c>
      <c r="J390" s="39">
        <v>0.3162036255175944</v>
      </c>
    </row>
    <row r="391" spans="1:10" ht="11.25" customHeight="1" x14ac:dyDescent="0.2">
      <c r="A391" s="67">
        <v>44531</v>
      </c>
      <c r="B391" s="58">
        <v>0</v>
      </c>
      <c r="C391" s="58">
        <v>0</v>
      </c>
      <c r="D391" s="58">
        <v>3439.848</v>
      </c>
      <c r="E391" s="58">
        <v>4628.2712822532048</v>
      </c>
      <c r="F391" s="58">
        <v>6856.848</v>
      </c>
      <c r="G391" s="58">
        <v>8924.2773237993042</v>
      </c>
      <c r="H391" s="39">
        <v>0.34548715008721453</v>
      </c>
      <c r="I391" s="39">
        <v>0.30151307478294753</v>
      </c>
      <c r="J391" s="39">
        <v>0.31620362551759418</v>
      </c>
    </row>
    <row r="392" spans="1:10" ht="11.25" customHeight="1" x14ac:dyDescent="0.2">
      <c r="A392" s="67">
        <v>44562</v>
      </c>
      <c r="B392" s="58">
        <v>0</v>
      </c>
      <c r="C392" s="58">
        <v>0</v>
      </c>
      <c r="D392" s="58">
        <v>4465.6477699999996</v>
      </c>
      <c r="E392" s="58">
        <v>6008.4716913506245</v>
      </c>
      <c r="F392" s="58">
        <v>8901.6340199999995</v>
      </c>
      <c r="G392" s="58">
        <v>11585.593063962691</v>
      </c>
      <c r="H392" s="39">
        <v>0.34548715008721453</v>
      </c>
      <c r="I392" s="39">
        <v>0.30151307478294775</v>
      </c>
      <c r="J392" s="39">
        <v>0.3162036255175944</v>
      </c>
    </row>
    <row r="393" spans="1:10" ht="11.25" customHeight="1" x14ac:dyDescent="0.2">
      <c r="A393" s="67">
        <v>44593</v>
      </c>
      <c r="B393" s="58">
        <v>0</v>
      </c>
      <c r="C393" s="58">
        <v>0</v>
      </c>
      <c r="D393" s="58">
        <v>4885.0900200000005</v>
      </c>
      <c r="E393" s="58">
        <v>6572.8258489292939</v>
      </c>
      <c r="F393" s="58">
        <v>9737.7325199999996</v>
      </c>
      <c r="G393" s="58">
        <v>12673.786193519101</v>
      </c>
      <c r="H393" s="39">
        <v>0.34548715008721431</v>
      </c>
      <c r="I393" s="39">
        <v>0.30151307478294775</v>
      </c>
      <c r="J393" s="39">
        <v>0.31620362551759418</v>
      </c>
    </row>
    <row r="394" spans="1:10" ht="11.25" customHeight="1" x14ac:dyDescent="0.2">
      <c r="A394" s="67">
        <v>44621</v>
      </c>
      <c r="B394" s="58">
        <v>0</v>
      </c>
      <c r="C394" s="58">
        <v>0</v>
      </c>
      <c r="D394" s="58">
        <v>5255.2952299999997</v>
      </c>
      <c r="E394" s="58">
        <v>7070.9322018796329</v>
      </c>
      <c r="F394" s="58">
        <v>10475.68398</v>
      </c>
      <c r="G394" s="58">
        <v>13634.239667264268</v>
      </c>
      <c r="H394" s="39">
        <v>0.34548715008721476</v>
      </c>
      <c r="I394" s="39">
        <v>0.30151307478294775</v>
      </c>
      <c r="J394" s="39">
        <v>0.3162036255175944</v>
      </c>
    </row>
    <row r="395" spans="1:10" ht="11.25" customHeight="1" x14ac:dyDescent="0.2">
      <c r="A395" s="67">
        <v>44652</v>
      </c>
      <c r="B395" s="58">
        <v>0</v>
      </c>
      <c r="C395" s="58">
        <v>0</v>
      </c>
      <c r="D395" s="58">
        <v>5159.2661400000006</v>
      </c>
      <c r="E395" s="58">
        <v>6941.7262952500641</v>
      </c>
      <c r="F395" s="58">
        <v>10284.263640000001</v>
      </c>
      <c r="G395" s="58">
        <v>13385.10359197487</v>
      </c>
      <c r="H395" s="39">
        <v>0.34548715008721431</v>
      </c>
      <c r="I395" s="39">
        <v>0.30151307478294753</v>
      </c>
      <c r="J395" s="39">
        <v>0.31620362551759418</v>
      </c>
    </row>
    <row r="396" spans="1:10" ht="11.25" customHeight="1" x14ac:dyDescent="0.2">
      <c r="A396" s="67">
        <v>44682</v>
      </c>
      <c r="B396" s="58">
        <v>0</v>
      </c>
      <c r="C396" s="58">
        <v>0</v>
      </c>
      <c r="D396" s="58">
        <v>5498.4452700000002</v>
      </c>
      <c r="E396" s="58">
        <v>7398.0874562428253</v>
      </c>
      <c r="F396" s="58">
        <v>10960.36902</v>
      </c>
      <c r="G396" s="58">
        <v>14265.063583975963</v>
      </c>
      <c r="H396" s="39">
        <v>0.34548715008721453</v>
      </c>
      <c r="I396" s="39">
        <v>0.30151307478294775</v>
      </c>
      <c r="J396" s="39">
        <v>0.31620362551759418</v>
      </c>
    </row>
    <row r="397" spans="1:10" ht="11.25" customHeight="1" x14ac:dyDescent="0.2">
      <c r="A397" s="67">
        <v>44713</v>
      </c>
      <c r="B397" s="58">
        <v>0</v>
      </c>
      <c r="C397" s="58">
        <v>0</v>
      </c>
      <c r="D397" s="58">
        <v>4903.0480500000003</v>
      </c>
      <c r="E397" s="58">
        <v>6596.9881475351749</v>
      </c>
      <c r="F397" s="58">
        <v>9773.5293000000001</v>
      </c>
      <c r="G397" s="58">
        <v>12720.376170724232</v>
      </c>
      <c r="H397" s="39">
        <v>0.34548715008721453</v>
      </c>
      <c r="I397" s="39">
        <v>0.30151307478294775</v>
      </c>
      <c r="J397" s="39">
        <v>0.3162036255175944</v>
      </c>
    </row>
    <row r="398" spans="1:10" ht="11.25" customHeight="1" x14ac:dyDescent="0.2">
      <c r="A398" s="67">
        <v>44743</v>
      </c>
      <c r="B398" s="58">
        <v>0</v>
      </c>
      <c r="C398" s="58">
        <v>0</v>
      </c>
      <c r="D398" s="58">
        <v>6095.3600699999997</v>
      </c>
      <c r="E398" s="58">
        <v>8201.2286493397041</v>
      </c>
      <c r="F398" s="58">
        <v>12150.233819999999</v>
      </c>
      <c r="G398" s="58">
        <v>15813.68817839996</v>
      </c>
      <c r="H398" s="39">
        <v>0.34548715008721453</v>
      </c>
      <c r="I398" s="39">
        <v>0.30151307478294775</v>
      </c>
      <c r="J398" s="39">
        <v>0.31620362551759418</v>
      </c>
    </row>
    <row r="399" spans="1:10" ht="11.25" customHeight="1" x14ac:dyDescent="0.2">
      <c r="A399" s="67">
        <v>44774</v>
      </c>
      <c r="B399" s="58">
        <v>0</v>
      </c>
      <c r="C399" s="58">
        <v>0</v>
      </c>
      <c r="D399" s="58">
        <v>3280.5020999999997</v>
      </c>
      <c r="E399" s="58">
        <v>4413.8734213841226</v>
      </c>
      <c r="F399" s="58">
        <v>6539.2145999999993</v>
      </c>
      <c r="G399" s="58">
        <v>8510.8733007115425</v>
      </c>
      <c r="H399" s="39">
        <v>0.34548715008721476</v>
      </c>
      <c r="I399" s="39">
        <v>0.30151307478294775</v>
      </c>
      <c r="J399" s="39">
        <v>0.31620362551759418</v>
      </c>
    </row>
    <row r="400" spans="1:10" ht="11.25" customHeight="1" x14ac:dyDescent="0.2">
      <c r="A400" s="67">
        <v>44805</v>
      </c>
      <c r="B400" s="58">
        <v>0</v>
      </c>
      <c r="C400" s="58">
        <v>0</v>
      </c>
      <c r="D400" s="58">
        <v>3523.2305900000001</v>
      </c>
      <c r="E400" s="58">
        <v>4740.4614856391954</v>
      </c>
      <c r="F400" s="58">
        <v>7023.0593400000007</v>
      </c>
      <c r="G400" s="58">
        <v>9140.6035559864995</v>
      </c>
      <c r="H400" s="39">
        <v>0.34548715008721453</v>
      </c>
      <c r="I400" s="39">
        <v>0.30151307478294753</v>
      </c>
      <c r="J400" s="39">
        <v>0.31620362551759396</v>
      </c>
    </row>
    <row r="401" spans="1:10" ht="11.25" customHeight="1" x14ac:dyDescent="0.2">
      <c r="A401" s="67">
        <v>44835</v>
      </c>
      <c r="B401" s="58">
        <v>0</v>
      </c>
      <c r="C401" s="58">
        <v>0</v>
      </c>
      <c r="D401" s="58">
        <v>6492.5444799999996</v>
      </c>
      <c r="E401" s="58">
        <v>8735.635169209676</v>
      </c>
      <c r="F401" s="58">
        <v>12941.964479999999</v>
      </c>
      <c r="G401" s="58">
        <v>16844.135984096491</v>
      </c>
      <c r="H401" s="39">
        <v>0.34548715008721453</v>
      </c>
      <c r="I401" s="39">
        <v>0.30151307478294775</v>
      </c>
      <c r="J401" s="39">
        <v>0.31620362551759418</v>
      </c>
    </row>
    <row r="402" spans="1:10" ht="11.25" customHeight="1" x14ac:dyDescent="0.2">
      <c r="A402" s="67">
        <v>44866</v>
      </c>
      <c r="B402" s="58">
        <v>0</v>
      </c>
      <c r="C402" s="58">
        <v>0</v>
      </c>
      <c r="D402" s="58">
        <v>6492.5444799999996</v>
      </c>
      <c r="E402" s="58">
        <v>8735.635169209676</v>
      </c>
      <c r="F402" s="58">
        <v>12941.964479999999</v>
      </c>
      <c r="G402" s="58">
        <v>16844.135984096491</v>
      </c>
      <c r="H402" s="39">
        <v>0.34548715008721453</v>
      </c>
      <c r="I402" s="39">
        <v>0.30151307478294775</v>
      </c>
      <c r="J402" s="39">
        <v>0.31620362551759418</v>
      </c>
    </row>
    <row r="403" spans="1:10" ht="11.25" customHeight="1" x14ac:dyDescent="0.2">
      <c r="A403" s="66" t="s">
        <v>25</v>
      </c>
      <c r="B403" s="58">
        <v>71280</v>
      </c>
      <c r="C403" s="58">
        <v>74206.175309536615</v>
      </c>
      <c r="D403" s="58">
        <v>0</v>
      </c>
      <c r="E403" s="58">
        <v>0</v>
      </c>
      <c r="F403" s="58">
        <v>0</v>
      </c>
      <c r="G403" s="58">
        <v>0</v>
      </c>
      <c r="H403" s="39">
        <v>4.1051842165216179E-2</v>
      </c>
      <c r="I403" s="39">
        <v>0</v>
      </c>
      <c r="J403" s="39">
        <v>4.1051842165216179E-2</v>
      </c>
    </row>
    <row r="404" spans="1:10" ht="11.25" customHeight="1" x14ac:dyDescent="0.2">
      <c r="A404" s="67">
        <v>44531</v>
      </c>
      <c r="B404" s="58">
        <v>5940</v>
      </c>
      <c r="C404" s="58">
        <v>6183.8479424613852</v>
      </c>
      <c r="D404" s="58">
        <v>0</v>
      </c>
      <c r="E404" s="58">
        <v>0</v>
      </c>
      <c r="F404" s="58">
        <v>0</v>
      </c>
      <c r="G404" s="58">
        <v>0</v>
      </c>
      <c r="H404" s="39">
        <v>4.1051842165216401E-2</v>
      </c>
      <c r="I404" s="39">
        <v>0</v>
      </c>
      <c r="J404" s="39">
        <v>4.1051842165216401E-2</v>
      </c>
    </row>
    <row r="405" spans="1:10" ht="11.25" customHeight="1" x14ac:dyDescent="0.2">
      <c r="A405" s="67">
        <v>44562</v>
      </c>
      <c r="B405" s="58">
        <v>5940</v>
      </c>
      <c r="C405" s="58">
        <v>6183.8479424613852</v>
      </c>
      <c r="D405" s="58">
        <v>0</v>
      </c>
      <c r="E405" s="58">
        <v>0</v>
      </c>
      <c r="F405" s="58">
        <v>0</v>
      </c>
      <c r="G405" s="58">
        <v>0</v>
      </c>
      <c r="H405" s="39">
        <v>4.1051842165216401E-2</v>
      </c>
      <c r="I405" s="39">
        <v>0</v>
      </c>
      <c r="J405" s="39">
        <v>4.1051842165216401E-2</v>
      </c>
    </row>
    <row r="406" spans="1:10" ht="11.25" customHeight="1" x14ac:dyDescent="0.2">
      <c r="A406" s="67">
        <v>44593</v>
      </c>
      <c r="B406" s="58">
        <v>5940</v>
      </c>
      <c r="C406" s="58">
        <v>6183.8479424613852</v>
      </c>
      <c r="D406" s="58">
        <v>0</v>
      </c>
      <c r="E406" s="58">
        <v>0</v>
      </c>
      <c r="F406" s="58">
        <v>0</v>
      </c>
      <c r="G406" s="58">
        <v>0</v>
      </c>
      <c r="H406" s="39">
        <v>4.1051842165216401E-2</v>
      </c>
      <c r="I406" s="39">
        <v>0</v>
      </c>
      <c r="J406" s="39">
        <v>4.1051842165216401E-2</v>
      </c>
    </row>
    <row r="407" spans="1:10" ht="11.25" customHeight="1" x14ac:dyDescent="0.2">
      <c r="A407" s="67">
        <v>44621</v>
      </c>
      <c r="B407" s="58">
        <v>5940</v>
      </c>
      <c r="C407" s="58">
        <v>6183.8479424613852</v>
      </c>
      <c r="D407" s="58">
        <v>0</v>
      </c>
      <c r="E407" s="58">
        <v>0</v>
      </c>
      <c r="F407" s="58">
        <v>0</v>
      </c>
      <c r="G407" s="58">
        <v>0</v>
      </c>
      <c r="H407" s="39">
        <v>4.1051842165216401E-2</v>
      </c>
      <c r="I407" s="39">
        <v>0</v>
      </c>
      <c r="J407" s="39">
        <v>4.1051842165216401E-2</v>
      </c>
    </row>
    <row r="408" spans="1:10" ht="11.25" customHeight="1" x14ac:dyDescent="0.2">
      <c r="A408" s="67">
        <v>44652</v>
      </c>
      <c r="B408" s="58">
        <v>5940</v>
      </c>
      <c r="C408" s="58">
        <v>6183.8479424613852</v>
      </c>
      <c r="D408" s="58">
        <v>0</v>
      </c>
      <c r="E408" s="58">
        <v>0</v>
      </c>
      <c r="F408" s="58">
        <v>0</v>
      </c>
      <c r="G408" s="58">
        <v>0</v>
      </c>
      <c r="H408" s="39">
        <v>4.1051842165216401E-2</v>
      </c>
      <c r="I408" s="39">
        <v>0</v>
      </c>
      <c r="J408" s="39">
        <v>4.1051842165216401E-2</v>
      </c>
    </row>
    <row r="409" spans="1:10" ht="11.25" customHeight="1" x14ac:dyDescent="0.2">
      <c r="A409" s="67">
        <v>44682</v>
      </c>
      <c r="B409" s="58">
        <v>5940</v>
      </c>
      <c r="C409" s="58">
        <v>6183.8479424613852</v>
      </c>
      <c r="D409" s="58">
        <v>0</v>
      </c>
      <c r="E409" s="58">
        <v>0</v>
      </c>
      <c r="F409" s="58">
        <v>0</v>
      </c>
      <c r="G409" s="58">
        <v>0</v>
      </c>
      <c r="H409" s="39">
        <v>4.1051842165216401E-2</v>
      </c>
      <c r="I409" s="39">
        <v>0</v>
      </c>
      <c r="J409" s="39">
        <v>4.1051842165216401E-2</v>
      </c>
    </row>
    <row r="410" spans="1:10" ht="11.25" customHeight="1" x14ac:dyDescent="0.2">
      <c r="A410" s="67">
        <v>44713</v>
      </c>
      <c r="B410" s="58">
        <v>5940</v>
      </c>
      <c r="C410" s="58">
        <v>6183.8479424613852</v>
      </c>
      <c r="D410" s="58">
        <v>0</v>
      </c>
      <c r="E410" s="58">
        <v>0</v>
      </c>
      <c r="F410" s="58">
        <v>0</v>
      </c>
      <c r="G410" s="58">
        <v>0</v>
      </c>
      <c r="H410" s="39">
        <v>4.1051842165216401E-2</v>
      </c>
      <c r="I410" s="39">
        <v>0</v>
      </c>
      <c r="J410" s="39">
        <v>4.1051842165216401E-2</v>
      </c>
    </row>
    <row r="411" spans="1:10" ht="11.25" customHeight="1" x14ac:dyDescent="0.2">
      <c r="A411" s="67">
        <v>44743</v>
      </c>
      <c r="B411" s="58">
        <v>5940</v>
      </c>
      <c r="C411" s="58">
        <v>6183.8479424613852</v>
      </c>
      <c r="D411" s="58">
        <v>0</v>
      </c>
      <c r="E411" s="58">
        <v>0</v>
      </c>
      <c r="F411" s="58">
        <v>0</v>
      </c>
      <c r="G411" s="58">
        <v>0</v>
      </c>
      <c r="H411" s="39">
        <v>4.1051842165216401E-2</v>
      </c>
      <c r="I411" s="39">
        <v>0</v>
      </c>
      <c r="J411" s="39">
        <v>4.1051842165216401E-2</v>
      </c>
    </row>
    <row r="412" spans="1:10" ht="11.25" customHeight="1" x14ac:dyDescent="0.2">
      <c r="A412" s="67">
        <v>44774</v>
      </c>
      <c r="B412" s="58">
        <v>5940</v>
      </c>
      <c r="C412" s="58">
        <v>6183.8479424613852</v>
      </c>
      <c r="D412" s="58">
        <v>0</v>
      </c>
      <c r="E412" s="58">
        <v>0</v>
      </c>
      <c r="F412" s="58">
        <v>0</v>
      </c>
      <c r="G412" s="58">
        <v>0</v>
      </c>
      <c r="H412" s="39">
        <v>4.1051842165216401E-2</v>
      </c>
      <c r="I412" s="39">
        <v>0</v>
      </c>
      <c r="J412" s="39">
        <v>4.1051842165216401E-2</v>
      </c>
    </row>
    <row r="413" spans="1:10" ht="11.25" customHeight="1" x14ac:dyDescent="0.2">
      <c r="A413" s="67">
        <v>44805</v>
      </c>
      <c r="B413" s="58">
        <v>5940</v>
      </c>
      <c r="C413" s="58">
        <v>6183.8479424613852</v>
      </c>
      <c r="D413" s="58">
        <v>0</v>
      </c>
      <c r="E413" s="58">
        <v>0</v>
      </c>
      <c r="F413" s="58">
        <v>0</v>
      </c>
      <c r="G413" s="58">
        <v>0</v>
      </c>
      <c r="H413" s="39">
        <v>4.1051842165216401E-2</v>
      </c>
      <c r="I413" s="39">
        <v>0</v>
      </c>
      <c r="J413" s="39">
        <v>4.1051842165216401E-2</v>
      </c>
    </row>
    <row r="414" spans="1:10" ht="11.25" customHeight="1" x14ac:dyDescent="0.2">
      <c r="A414" s="67">
        <v>44835</v>
      </c>
      <c r="B414" s="58">
        <v>5940</v>
      </c>
      <c r="C414" s="58">
        <v>6183.8479424613852</v>
      </c>
      <c r="D414" s="58">
        <v>0</v>
      </c>
      <c r="E414" s="58">
        <v>0</v>
      </c>
      <c r="F414" s="58">
        <v>0</v>
      </c>
      <c r="G414" s="58">
        <v>0</v>
      </c>
      <c r="H414" s="39">
        <v>4.1051842165216401E-2</v>
      </c>
      <c r="I414" s="39">
        <v>0</v>
      </c>
      <c r="J414" s="39">
        <v>4.1051842165216401E-2</v>
      </c>
    </row>
    <row r="415" spans="1:10" ht="11.25" customHeight="1" x14ac:dyDescent="0.2">
      <c r="A415" s="67">
        <v>44866</v>
      </c>
      <c r="B415" s="58">
        <v>5940</v>
      </c>
      <c r="C415" s="58">
        <v>6183.8479424613852</v>
      </c>
      <c r="D415" s="58">
        <v>0</v>
      </c>
      <c r="E415" s="58">
        <v>0</v>
      </c>
      <c r="F415" s="58">
        <v>0</v>
      </c>
      <c r="G415" s="58">
        <v>0</v>
      </c>
      <c r="H415" s="39">
        <v>4.1051842165216401E-2</v>
      </c>
      <c r="I415" s="39">
        <v>0</v>
      </c>
      <c r="J415" s="39">
        <v>4.1051842165216401E-2</v>
      </c>
    </row>
    <row r="416" spans="1:10" ht="11.25" customHeight="1" x14ac:dyDescent="0.2">
      <c r="A416" s="66" t="s">
        <v>36</v>
      </c>
      <c r="B416" s="58">
        <v>0</v>
      </c>
      <c r="C416" s="58">
        <v>0</v>
      </c>
      <c r="D416" s="58">
        <v>67766.410240000012</v>
      </c>
      <c r="E416" s="58">
        <v>69215.586176483441</v>
      </c>
      <c r="F416" s="58">
        <v>12641.6607</v>
      </c>
      <c r="G416" s="58">
        <v>16963.294662325519</v>
      </c>
      <c r="H416" s="39">
        <v>2.1384870931646871E-2</v>
      </c>
      <c r="I416" s="39">
        <v>0.34185650642605192</v>
      </c>
      <c r="J416" s="39">
        <v>7.1769038000116803E-2</v>
      </c>
    </row>
    <row r="417" spans="1:10" ht="11.25" customHeight="1" x14ac:dyDescent="0.2">
      <c r="A417" s="67">
        <v>44531</v>
      </c>
      <c r="B417" s="58">
        <v>0</v>
      </c>
      <c r="C417" s="58">
        <v>0</v>
      </c>
      <c r="D417" s="58">
        <v>3477.5039999999999</v>
      </c>
      <c r="E417" s="58">
        <v>3551.8699742042859</v>
      </c>
      <c r="F417" s="58">
        <v>648.72</v>
      </c>
      <c r="G417" s="58">
        <v>870.48915284870839</v>
      </c>
      <c r="H417" s="39">
        <v>2.1384870931646871E-2</v>
      </c>
      <c r="I417" s="39">
        <v>0.34185650642605192</v>
      </c>
      <c r="J417" s="39">
        <v>7.1769038000116803E-2</v>
      </c>
    </row>
    <row r="418" spans="1:10" ht="11.25" customHeight="1" x14ac:dyDescent="0.2">
      <c r="A418" s="67">
        <v>44562</v>
      </c>
      <c r="B418" s="58">
        <v>0</v>
      </c>
      <c r="C418" s="58">
        <v>0</v>
      </c>
      <c r="D418" s="58">
        <v>4910.5254399999994</v>
      </c>
      <c r="E418" s="58">
        <v>5015.5363927409689</v>
      </c>
      <c r="F418" s="58">
        <v>916.04669999999999</v>
      </c>
      <c r="G418" s="58">
        <v>1229.2032245851135</v>
      </c>
      <c r="H418" s="39">
        <v>2.1384870931647093E-2</v>
      </c>
      <c r="I418" s="39">
        <v>0.3418565064260517</v>
      </c>
      <c r="J418" s="39">
        <v>7.1769038000117025E-2</v>
      </c>
    </row>
    <row r="419" spans="1:10" ht="11.25" customHeight="1" x14ac:dyDescent="0.2">
      <c r="A419" s="67">
        <v>44593</v>
      </c>
      <c r="B419" s="58">
        <v>0</v>
      </c>
      <c r="C419" s="58">
        <v>0</v>
      </c>
      <c r="D419" s="58">
        <v>6213.1404800000009</v>
      </c>
      <c r="E419" s="58">
        <v>6346.0076872449918</v>
      </c>
      <c r="F419" s="58">
        <v>1159.0464000000002</v>
      </c>
      <c r="G419" s="58">
        <v>1555.2739530896924</v>
      </c>
      <c r="H419" s="39">
        <v>2.1384870931646871E-2</v>
      </c>
      <c r="I419" s="39">
        <v>0.3418565064260517</v>
      </c>
      <c r="J419" s="39">
        <v>7.1769038000116803E-2</v>
      </c>
    </row>
    <row r="420" spans="1:10" ht="11.25" customHeight="1" x14ac:dyDescent="0.2">
      <c r="A420" s="67">
        <v>44621</v>
      </c>
      <c r="B420" s="58">
        <v>0</v>
      </c>
      <c r="C420" s="58">
        <v>0</v>
      </c>
      <c r="D420" s="58">
        <v>6201.5488000000005</v>
      </c>
      <c r="E420" s="58">
        <v>6334.1681206643107</v>
      </c>
      <c r="F420" s="58">
        <v>1156.884</v>
      </c>
      <c r="G420" s="58">
        <v>1552.3723225801969</v>
      </c>
      <c r="H420" s="39">
        <v>2.1384870931646871E-2</v>
      </c>
      <c r="I420" s="39">
        <v>0.34185650642605214</v>
      </c>
      <c r="J420" s="39">
        <v>7.1769038000117025E-2</v>
      </c>
    </row>
    <row r="421" spans="1:10" ht="11.25" customHeight="1" x14ac:dyDescent="0.2">
      <c r="A421" s="67">
        <v>44652</v>
      </c>
      <c r="B421" s="58">
        <v>0</v>
      </c>
      <c r="C421" s="58">
        <v>0</v>
      </c>
      <c r="D421" s="58">
        <v>5574.14912</v>
      </c>
      <c r="E421" s="58">
        <v>5693.3515794849536</v>
      </c>
      <c r="F421" s="58">
        <v>1039.8441</v>
      </c>
      <c r="G421" s="58">
        <v>1395.3215712537421</v>
      </c>
      <c r="H421" s="39">
        <v>2.1384870931646871E-2</v>
      </c>
      <c r="I421" s="39">
        <v>0.34185650642605192</v>
      </c>
      <c r="J421" s="39">
        <v>7.1769038000116803E-2</v>
      </c>
    </row>
    <row r="422" spans="1:10" ht="11.25" customHeight="1" x14ac:dyDescent="0.2">
      <c r="A422" s="67">
        <v>44682</v>
      </c>
      <c r="B422" s="58">
        <v>0</v>
      </c>
      <c r="C422" s="58">
        <v>0</v>
      </c>
      <c r="D422" s="58">
        <v>6529.0137600000007</v>
      </c>
      <c r="E422" s="58">
        <v>6668.6358765685472</v>
      </c>
      <c r="F422" s="58">
        <v>1217.9718</v>
      </c>
      <c r="G422" s="58">
        <v>1634.3433844734502</v>
      </c>
      <c r="H422" s="39">
        <v>2.1384870931646871E-2</v>
      </c>
      <c r="I422" s="39">
        <v>0.34185650642605214</v>
      </c>
      <c r="J422" s="39">
        <v>7.1769038000116803E-2</v>
      </c>
    </row>
    <row r="423" spans="1:10" ht="11.25" customHeight="1" x14ac:dyDescent="0.2">
      <c r="A423" s="67">
        <v>44713</v>
      </c>
      <c r="B423" s="58">
        <v>0</v>
      </c>
      <c r="C423" s="58">
        <v>0</v>
      </c>
      <c r="D423" s="58">
        <v>6246.4665599999998</v>
      </c>
      <c r="E423" s="58">
        <v>6380.0464411644489</v>
      </c>
      <c r="F423" s="58">
        <v>1165.2633000000001</v>
      </c>
      <c r="G423" s="58">
        <v>1563.6161408044925</v>
      </c>
      <c r="H423" s="39">
        <v>2.1384870931647093E-2</v>
      </c>
      <c r="I423" s="39">
        <v>0.34185650642605192</v>
      </c>
      <c r="J423" s="39">
        <v>7.1769038000117025E-2</v>
      </c>
    </row>
    <row r="424" spans="1:10" ht="11.25" customHeight="1" x14ac:dyDescent="0.2">
      <c r="A424" s="67">
        <v>44743</v>
      </c>
      <c r="B424" s="58">
        <v>0</v>
      </c>
      <c r="C424" s="58">
        <v>0</v>
      </c>
      <c r="D424" s="58">
        <v>6460.9126399999996</v>
      </c>
      <c r="E424" s="58">
        <v>6599.0784229070459</v>
      </c>
      <c r="F424" s="58">
        <v>1205.2676999999999</v>
      </c>
      <c r="G424" s="58">
        <v>1617.2963052301627</v>
      </c>
      <c r="H424" s="39">
        <v>2.1384870931646871E-2</v>
      </c>
      <c r="I424" s="39">
        <v>0.34185650642605192</v>
      </c>
      <c r="J424" s="39">
        <v>7.1769038000117025E-2</v>
      </c>
    </row>
    <row r="425" spans="1:10" ht="11.25" customHeight="1" x14ac:dyDescent="0.2">
      <c r="A425" s="67">
        <v>44774</v>
      </c>
      <c r="B425" s="58">
        <v>0</v>
      </c>
      <c r="C425" s="58">
        <v>0</v>
      </c>
      <c r="D425" s="58">
        <v>4167.2089599999999</v>
      </c>
      <c r="E425" s="58">
        <v>4256.3241857548028</v>
      </c>
      <c r="F425" s="58">
        <v>777.38279999999997</v>
      </c>
      <c r="G425" s="58">
        <v>1043.1361681637022</v>
      </c>
      <c r="H425" s="39">
        <v>2.1384870931647093E-2</v>
      </c>
      <c r="I425" s="39">
        <v>0.34185650642605192</v>
      </c>
      <c r="J425" s="39">
        <v>7.1769038000116803E-2</v>
      </c>
    </row>
    <row r="426" spans="1:10" ht="11.25" customHeight="1" x14ac:dyDescent="0.2">
      <c r="A426" s="67">
        <v>44805</v>
      </c>
      <c r="B426" s="58">
        <v>0</v>
      </c>
      <c r="C426" s="58">
        <v>0</v>
      </c>
      <c r="D426" s="58">
        <v>4371.5123199999998</v>
      </c>
      <c r="E426" s="58">
        <v>4464.9965467393049</v>
      </c>
      <c r="F426" s="58">
        <v>815.49509999999998</v>
      </c>
      <c r="G426" s="58">
        <v>1094.2774058935638</v>
      </c>
      <c r="H426" s="39">
        <v>2.1384870931647093E-2</v>
      </c>
      <c r="I426" s="39">
        <v>0.34185650642605192</v>
      </c>
      <c r="J426" s="39">
        <v>7.1769038000117025E-2</v>
      </c>
    </row>
    <row r="427" spans="1:10" ht="11.25" customHeight="1" x14ac:dyDescent="0.2">
      <c r="A427" s="67">
        <v>44835</v>
      </c>
      <c r="B427" s="58">
        <v>0</v>
      </c>
      <c r="C427" s="58">
        <v>0</v>
      </c>
      <c r="D427" s="58">
        <v>6807.2140800000006</v>
      </c>
      <c r="E427" s="58">
        <v>6952.7854745048908</v>
      </c>
      <c r="F427" s="58">
        <v>1269.8694000000003</v>
      </c>
      <c r="G427" s="58">
        <v>1703.9825167013469</v>
      </c>
      <c r="H427" s="39">
        <v>2.1384870931647093E-2</v>
      </c>
      <c r="I427" s="39">
        <v>0.3418565064260517</v>
      </c>
      <c r="J427" s="39">
        <v>7.1769038000116803E-2</v>
      </c>
    </row>
    <row r="428" spans="1:10" ht="11.25" customHeight="1" x14ac:dyDescent="0.2">
      <c r="A428" s="67">
        <v>44866</v>
      </c>
      <c r="B428" s="58">
        <v>0</v>
      </c>
      <c r="C428" s="58">
        <v>0</v>
      </c>
      <c r="D428" s="58">
        <v>6807.2140800000006</v>
      </c>
      <c r="E428" s="58">
        <v>6952.7854745048908</v>
      </c>
      <c r="F428" s="58">
        <v>1269.8694000000003</v>
      </c>
      <c r="G428" s="58">
        <v>1703.9825167013469</v>
      </c>
      <c r="H428" s="39">
        <v>2.1384870931647093E-2</v>
      </c>
      <c r="I428" s="39">
        <v>0.3418565064260517</v>
      </c>
      <c r="J428" s="39">
        <v>7.1769038000116803E-2</v>
      </c>
    </row>
    <row r="429" spans="1:10" ht="11.25" customHeight="1" x14ac:dyDescent="0.2">
      <c r="A429" s="62" t="s">
        <v>40</v>
      </c>
      <c r="B429" s="58">
        <v>3050744.4000000004</v>
      </c>
      <c r="C429" s="58">
        <v>3175983.0775952176</v>
      </c>
      <c r="D429" s="58">
        <v>3046304.7270799992</v>
      </c>
      <c r="E429" s="58">
        <v>3716803.2167229764</v>
      </c>
      <c r="F429" s="58">
        <v>3943015.4677799996</v>
      </c>
      <c r="G429" s="58">
        <v>5140755.6830445249</v>
      </c>
      <c r="H429" s="39">
        <v>0.13051185100410834</v>
      </c>
      <c r="I429" s="39">
        <v>0.30376249473322092</v>
      </c>
      <c r="J429" s="39">
        <v>0.19855224671794258</v>
      </c>
    </row>
    <row r="430" spans="1:10" ht="11.25" customHeight="1" x14ac:dyDescent="0.2">
      <c r="A430" s="63" t="s">
        <v>25</v>
      </c>
      <c r="B430" s="58">
        <v>3050744.4000000004</v>
      </c>
      <c r="C430" s="58">
        <v>3175983.0775952176</v>
      </c>
      <c r="D430" s="58">
        <v>3046304.7270799992</v>
      </c>
      <c r="E430" s="58">
        <v>3716803.2167229764</v>
      </c>
      <c r="F430" s="58">
        <v>3943015.4677799996</v>
      </c>
      <c r="G430" s="58">
        <v>5140755.6830445249</v>
      </c>
      <c r="H430" s="39">
        <v>0.13051185100410834</v>
      </c>
      <c r="I430" s="39">
        <v>0.30376249473322092</v>
      </c>
      <c r="J430" s="39">
        <v>0.19855224671794258</v>
      </c>
    </row>
    <row r="431" spans="1:10" ht="11.25" customHeight="1" x14ac:dyDescent="0.2">
      <c r="A431" s="64" t="s">
        <v>25</v>
      </c>
      <c r="B431" s="58">
        <v>3050744.4000000004</v>
      </c>
      <c r="C431" s="58">
        <v>3175983.0775952176</v>
      </c>
      <c r="D431" s="58">
        <v>3046304.7270799992</v>
      </c>
      <c r="E431" s="58">
        <v>3716803.2167229764</v>
      </c>
      <c r="F431" s="58">
        <v>3943015.4677799996</v>
      </c>
      <c r="G431" s="58">
        <v>5140755.6830445249</v>
      </c>
      <c r="H431" s="39">
        <v>0.13051185100410834</v>
      </c>
      <c r="I431" s="39">
        <v>0.30376249473322092</v>
      </c>
      <c r="J431" s="39">
        <v>0.19855224671794258</v>
      </c>
    </row>
    <row r="432" spans="1:10" ht="11.25" customHeight="1" x14ac:dyDescent="0.2">
      <c r="A432" s="65" t="s">
        <v>25</v>
      </c>
      <c r="B432" s="58">
        <v>3050744.4000000004</v>
      </c>
      <c r="C432" s="58">
        <v>3175983.0775952176</v>
      </c>
      <c r="D432" s="58">
        <v>3046304.7270799992</v>
      </c>
      <c r="E432" s="58">
        <v>3716803.2167229764</v>
      </c>
      <c r="F432" s="58">
        <v>3943015.4677799996</v>
      </c>
      <c r="G432" s="58">
        <v>5140755.6830445249</v>
      </c>
      <c r="H432" s="39">
        <v>0.13051185100410834</v>
      </c>
      <c r="I432" s="39">
        <v>0.30376249473322092</v>
      </c>
      <c r="J432" s="39">
        <v>0.19855224671794258</v>
      </c>
    </row>
    <row r="433" spans="1:10" ht="11.25" customHeight="1" x14ac:dyDescent="0.2">
      <c r="A433" s="66" t="s">
        <v>37</v>
      </c>
      <c r="B433" s="58">
        <v>0</v>
      </c>
      <c r="C433" s="58">
        <v>0</v>
      </c>
      <c r="D433" s="58">
        <v>1867785.8662800002</v>
      </c>
      <c r="E433" s="58">
        <v>2513081.8821942569</v>
      </c>
      <c r="F433" s="58">
        <v>3723165.6112800008</v>
      </c>
      <c r="G433" s="58">
        <v>4845748.722663166</v>
      </c>
      <c r="H433" s="39">
        <v>0.34548715008721409</v>
      </c>
      <c r="I433" s="39">
        <v>0.30151307478294798</v>
      </c>
      <c r="J433" s="39">
        <v>0.31620362551759418</v>
      </c>
    </row>
    <row r="434" spans="1:10" ht="11.25" customHeight="1" x14ac:dyDescent="0.2">
      <c r="A434" s="67">
        <v>44531</v>
      </c>
      <c r="B434" s="58">
        <v>0</v>
      </c>
      <c r="C434" s="58">
        <v>0</v>
      </c>
      <c r="D434" s="58">
        <v>158314.11421999999</v>
      </c>
      <c r="E434" s="58">
        <v>213009.60636044954</v>
      </c>
      <c r="F434" s="58">
        <v>315576.68171999999</v>
      </c>
      <c r="G434" s="58">
        <v>410727.17735519685</v>
      </c>
      <c r="H434" s="39">
        <v>0.34548715008721453</v>
      </c>
      <c r="I434" s="39">
        <v>0.30151307478294775</v>
      </c>
      <c r="J434" s="39">
        <v>0.31620362551759418</v>
      </c>
    </row>
    <row r="435" spans="1:10" ht="11.25" customHeight="1" x14ac:dyDescent="0.2">
      <c r="A435" s="67">
        <v>44562</v>
      </c>
      <c r="B435" s="58">
        <v>0</v>
      </c>
      <c r="C435" s="58">
        <v>0</v>
      </c>
      <c r="D435" s="58">
        <v>137390.90152000001</v>
      </c>
      <c r="E435" s="58">
        <v>184857.69253405798</v>
      </c>
      <c r="F435" s="58">
        <v>273869.23152000003</v>
      </c>
      <c r="G435" s="58">
        <v>356444.38560403819</v>
      </c>
      <c r="H435" s="39">
        <v>0.34548715008721453</v>
      </c>
      <c r="I435" s="39">
        <v>0.30151307478294753</v>
      </c>
      <c r="J435" s="39">
        <v>0.31620362551759418</v>
      </c>
    </row>
    <row r="436" spans="1:10" ht="11.25" customHeight="1" x14ac:dyDescent="0.2">
      <c r="A436" s="67">
        <v>44593</v>
      </c>
      <c r="B436" s="58">
        <v>0</v>
      </c>
      <c r="C436" s="58">
        <v>0</v>
      </c>
      <c r="D436" s="58">
        <v>142306.51176000002</v>
      </c>
      <c r="E436" s="58">
        <v>191471.58294681509</v>
      </c>
      <c r="F436" s="58">
        <v>283667.80176000006</v>
      </c>
      <c r="G436" s="58">
        <v>369197.35288557725</v>
      </c>
      <c r="H436" s="39">
        <v>0.34548715008721431</v>
      </c>
      <c r="I436" s="39">
        <v>0.30151307478294731</v>
      </c>
      <c r="J436" s="39">
        <v>0.31620362551759396</v>
      </c>
    </row>
    <row r="437" spans="1:10" ht="11.25" customHeight="1" x14ac:dyDescent="0.2">
      <c r="A437" s="67">
        <v>44621</v>
      </c>
      <c r="B437" s="58">
        <v>0</v>
      </c>
      <c r="C437" s="58">
        <v>0</v>
      </c>
      <c r="D437" s="58">
        <v>155337.63397999998</v>
      </c>
      <c r="E437" s="58">
        <v>209004.79044504106</v>
      </c>
      <c r="F437" s="58">
        <v>309643.49147999997</v>
      </c>
      <c r="G437" s="58">
        <v>403005.05268266227</v>
      </c>
      <c r="H437" s="39">
        <v>0.34548715008721476</v>
      </c>
      <c r="I437" s="39">
        <v>0.30151307478294775</v>
      </c>
      <c r="J437" s="39">
        <v>0.31620362551759418</v>
      </c>
    </row>
    <row r="438" spans="1:10" ht="11.25" customHeight="1" x14ac:dyDescent="0.2">
      <c r="A438" s="67">
        <v>44652</v>
      </c>
      <c r="B438" s="58">
        <v>0</v>
      </c>
      <c r="C438" s="58">
        <v>0</v>
      </c>
      <c r="D438" s="58">
        <v>148266.13273000001</v>
      </c>
      <c r="E438" s="58">
        <v>199490.1763813404</v>
      </c>
      <c r="F438" s="58">
        <v>295547.45898000005</v>
      </c>
      <c r="G438" s="58">
        <v>384658.88208134694</v>
      </c>
      <c r="H438" s="39">
        <v>0.34548715008721453</v>
      </c>
      <c r="I438" s="39">
        <v>0.30151307478294753</v>
      </c>
      <c r="J438" s="39">
        <v>0.31620362551759396</v>
      </c>
    </row>
    <row r="439" spans="1:10" ht="11.25" customHeight="1" x14ac:dyDescent="0.2">
      <c r="A439" s="67">
        <v>44682</v>
      </c>
      <c r="B439" s="58">
        <v>0</v>
      </c>
      <c r="C439" s="58">
        <v>0</v>
      </c>
      <c r="D439" s="58">
        <v>153168.00044</v>
      </c>
      <c r="E439" s="58">
        <v>206085.57639657284</v>
      </c>
      <c r="F439" s="58">
        <v>305318.63544000004</v>
      </c>
      <c r="G439" s="58">
        <v>397376.19600004825</v>
      </c>
      <c r="H439" s="39">
        <v>0.34548715008721453</v>
      </c>
      <c r="I439" s="39">
        <v>0.30151307478294753</v>
      </c>
      <c r="J439" s="39">
        <v>0.31620362551759396</v>
      </c>
    </row>
    <row r="440" spans="1:10" ht="11.25" customHeight="1" x14ac:dyDescent="0.2">
      <c r="A440" s="67">
        <v>44713</v>
      </c>
      <c r="B440" s="58">
        <v>0</v>
      </c>
      <c r="C440" s="58">
        <v>0</v>
      </c>
      <c r="D440" s="58">
        <v>157254.25321000002</v>
      </c>
      <c r="E440" s="58">
        <v>211583.5769906161</v>
      </c>
      <c r="F440" s="58">
        <v>313463.99946000002</v>
      </c>
      <c r="G440" s="58">
        <v>407977.49377094489</v>
      </c>
      <c r="H440" s="39">
        <v>0.34548715008721431</v>
      </c>
      <c r="I440" s="39">
        <v>0.30151307478294775</v>
      </c>
      <c r="J440" s="39">
        <v>0.31620362551759396</v>
      </c>
    </row>
    <row r="441" spans="1:10" ht="11.25" customHeight="1" x14ac:dyDescent="0.2">
      <c r="A441" s="67">
        <v>44743</v>
      </c>
      <c r="B441" s="58">
        <v>0</v>
      </c>
      <c r="C441" s="58">
        <v>0</v>
      </c>
      <c r="D441" s="58">
        <v>164861.71313000002</v>
      </c>
      <c r="E441" s="58">
        <v>221819.31655777962</v>
      </c>
      <c r="F441" s="58">
        <v>328628.38938000007</v>
      </c>
      <c r="G441" s="58">
        <v>427714.14552293159</v>
      </c>
      <c r="H441" s="39">
        <v>0.34548715008721431</v>
      </c>
      <c r="I441" s="39">
        <v>0.30151307478294753</v>
      </c>
      <c r="J441" s="39">
        <v>0.31620362551759396</v>
      </c>
    </row>
    <row r="442" spans="1:10" ht="11.25" customHeight="1" x14ac:dyDescent="0.2">
      <c r="A442" s="67">
        <v>44774</v>
      </c>
      <c r="B442" s="58">
        <v>0</v>
      </c>
      <c r="C442" s="58">
        <v>0</v>
      </c>
      <c r="D442" s="58">
        <v>166227.70375000002</v>
      </c>
      <c r="E442" s="58">
        <v>223657.23938412929</v>
      </c>
      <c r="F442" s="58">
        <v>331351.29750000004</v>
      </c>
      <c r="G442" s="58">
        <v>431258.0460425443</v>
      </c>
      <c r="H442" s="39">
        <v>0.34548715008721453</v>
      </c>
      <c r="I442" s="39">
        <v>0.30151307478294775</v>
      </c>
      <c r="J442" s="39">
        <v>0.31620362551759418</v>
      </c>
    </row>
    <row r="443" spans="1:10" ht="11.25" customHeight="1" x14ac:dyDescent="0.2">
      <c r="A443" s="67">
        <v>44805</v>
      </c>
      <c r="B443" s="58">
        <v>0</v>
      </c>
      <c r="C443" s="58">
        <v>0</v>
      </c>
      <c r="D443" s="58">
        <v>160434.84796000001</v>
      </c>
      <c r="E443" s="58">
        <v>215863.02635637598</v>
      </c>
      <c r="F443" s="58">
        <v>319804.06296000001</v>
      </c>
      <c r="G443" s="58">
        <v>416229.16931114905</v>
      </c>
      <c r="H443" s="39">
        <v>0.34548715008721453</v>
      </c>
      <c r="I443" s="39">
        <v>0.30151307478294775</v>
      </c>
      <c r="J443" s="39">
        <v>0.31620362551759418</v>
      </c>
    </row>
    <row r="444" spans="1:10" ht="11.25" customHeight="1" x14ac:dyDescent="0.2">
      <c r="A444" s="67">
        <v>44835</v>
      </c>
      <c r="B444" s="58">
        <v>0</v>
      </c>
      <c r="C444" s="58">
        <v>0</v>
      </c>
      <c r="D444" s="58">
        <v>162112.02679</v>
      </c>
      <c r="E444" s="58">
        <v>218119.6489205393</v>
      </c>
      <c r="F444" s="58">
        <v>323147.28054000001</v>
      </c>
      <c r="G444" s="58">
        <v>420580.41070336319</v>
      </c>
      <c r="H444" s="39">
        <v>0.34548715008721476</v>
      </c>
      <c r="I444" s="39">
        <v>0.30151307478294753</v>
      </c>
      <c r="J444" s="39">
        <v>0.31620362551759418</v>
      </c>
    </row>
    <row r="445" spans="1:10" ht="11.25" customHeight="1" x14ac:dyDescent="0.2">
      <c r="A445" s="67">
        <v>44866</v>
      </c>
      <c r="B445" s="58">
        <v>0</v>
      </c>
      <c r="C445" s="58">
        <v>0</v>
      </c>
      <c r="D445" s="58">
        <v>162112.02679</v>
      </c>
      <c r="E445" s="58">
        <v>218119.6489205393</v>
      </c>
      <c r="F445" s="58">
        <v>323147.28054000001</v>
      </c>
      <c r="G445" s="58">
        <v>420580.41070336319</v>
      </c>
      <c r="H445" s="39">
        <v>0.34548715008721476</v>
      </c>
      <c r="I445" s="39">
        <v>0.30151307478294753</v>
      </c>
      <c r="J445" s="39">
        <v>0.31620362551759418</v>
      </c>
    </row>
    <row r="446" spans="1:10" ht="11.25" customHeight="1" x14ac:dyDescent="0.2">
      <c r="A446" s="66" t="s">
        <v>25</v>
      </c>
      <c r="B446" s="58">
        <v>3050744.4000000004</v>
      </c>
      <c r="C446" s="58">
        <v>3175983.0775952176</v>
      </c>
      <c r="D446" s="58">
        <v>0</v>
      </c>
      <c r="E446" s="58">
        <v>0</v>
      </c>
      <c r="F446" s="58">
        <v>0</v>
      </c>
      <c r="G446" s="58">
        <v>0</v>
      </c>
      <c r="H446" s="39">
        <v>4.1051842165216623E-2</v>
      </c>
      <c r="I446" s="39">
        <v>0</v>
      </c>
      <c r="J446" s="39">
        <v>4.1051842165216623E-2</v>
      </c>
    </row>
    <row r="447" spans="1:10" ht="11.25" customHeight="1" x14ac:dyDescent="0.2">
      <c r="A447" s="67">
        <v>44531</v>
      </c>
      <c r="B447" s="58">
        <v>255400.2</v>
      </c>
      <c r="C447" s="58">
        <v>265884.84869936469</v>
      </c>
      <c r="D447" s="58">
        <v>0</v>
      </c>
      <c r="E447" s="58">
        <v>0</v>
      </c>
      <c r="F447" s="58">
        <v>0</v>
      </c>
      <c r="G447" s="58">
        <v>0</v>
      </c>
      <c r="H447" s="39">
        <v>4.1051842165216401E-2</v>
      </c>
      <c r="I447" s="39">
        <v>0</v>
      </c>
      <c r="J447" s="39">
        <v>4.1051842165216401E-2</v>
      </c>
    </row>
    <row r="448" spans="1:10" ht="11.25" customHeight="1" x14ac:dyDescent="0.2">
      <c r="A448" s="67">
        <v>44562</v>
      </c>
      <c r="B448" s="58">
        <v>246371.4</v>
      </c>
      <c r="C448" s="58">
        <v>256485.39982682338</v>
      </c>
      <c r="D448" s="58">
        <v>0</v>
      </c>
      <c r="E448" s="58">
        <v>0</v>
      </c>
      <c r="F448" s="58">
        <v>0</v>
      </c>
      <c r="G448" s="58">
        <v>0</v>
      </c>
      <c r="H448" s="39">
        <v>4.1051842165216401E-2</v>
      </c>
      <c r="I448" s="39">
        <v>0</v>
      </c>
      <c r="J448" s="39">
        <v>4.1051842165216401E-2</v>
      </c>
    </row>
    <row r="449" spans="1:10" ht="11.25" customHeight="1" x14ac:dyDescent="0.2">
      <c r="A449" s="67">
        <v>44593</v>
      </c>
      <c r="B449" s="58">
        <v>246688.19999999998</v>
      </c>
      <c r="C449" s="58">
        <v>256815.2050504213</v>
      </c>
      <c r="D449" s="58">
        <v>0</v>
      </c>
      <c r="E449" s="58">
        <v>0</v>
      </c>
      <c r="F449" s="58">
        <v>0</v>
      </c>
      <c r="G449" s="58">
        <v>0</v>
      </c>
      <c r="H449" s="39">
        <v>4.1051842165216401E-2</v>
      </c>
      <c r="I449" s="39">
        <v>0</v>
      </c>
      <c r="J449" s="39">
        <v>4.1051842165216401E-2</v>
      </c>
    </row>
    <row r="450" spans="1:10" ht="11.25" customHeight="1" x14ac:dyDescent="0.2">
      <c r="A450" s="67">
        <v>44621</v>
      </c>
      <c r="B450" s="58">
        <v>250549.2</v>
      </c>
      <c r="C450" s="58">
        <v>260834.70621302121</v>
      </c>
      <c r="D450" s="58">
        <v>0</v>
      </c>
      <c r="E450" s="58">
        <v>0</v>
      </c>
      <c r="F450" s="58">
        <v>0</v>
      </c>
      <c r="G450" s="58">
        <v>0</v>
      </c>
      <c r="H450" s="39">
        <v>4.1051842165216179E-2</v>
      </c>
      <c r="I450" s="39">
        <v>0</v>
      </c>
      <c r="J450" s="39">
        <v>4.1051842165216179E-2</v>
      </c>
    </row>
    <row r="451" spans="1:10" ht="11.25" customHeight="1" x14ac:dyDescent="0.2">
      <c r="A451" s="67">
        <v>44652</v>
      </c>
      <c r="B451" s="58">
        <v>248648.40000000002</v>
      </c>
      <c r="C451" s="58">
        <v>258855.8748714336</v>
      </c>
      <c r="D451" s="58">
        <v>0</v>
      </c>
      <c r="E451" s="58">
        <v>0</v>
      </c>
      <c r="F451" s="58">
        <v>0</v>
      </c>
      <c r="G451" s="58">
        <v>0</v>
      </c>
      <c r="H451" s="39">
        <v>4.1051842165216401E-2</v>
      </c>
      <c r="I451" s="39">
        <v>0</v>
      </c>
      <c r="J451" s="39">
        <v>4.1051842165216401E-2</v>
      </c>
    </row>
    <row r="452" spans="1:10" ht="11.25" customHeight="1" x14ac:dyDescent="0.2">
      <c r="A452" s="67">
        <v>44682</v>
      </c>
      <c r="B452" s="58">
        <v>247539.59999999998</v>
      </c>
      <c r="C452" s="58">
        <v>257701.55658884079</v>
      </c>
      <c r="D452" s="58">
        <v>0</v>
      </c>
      <c r="E452" s="58">
        <v>0</v>
      </c>
      <c r="F452" s="58">
        <v>0</v>
      </c>
      <c r="G452" s="58">
        <v>0</v>
      </c>
      <c r="H452" s="39">
        <v>4.1051842165216401E-2</v>
      </c>
      <c r="I452" s="39">
        <v>0</v>
      </c>
      <c r="J452" s="39">
        <v>4.1051842165216401E-2</v>
      </c>
    </row>
    <row r="453" spans="1:10" ht="11.25" customHeight="1" x14ac:dyDescent="0.2">
      <c r="A453" s="67">
        <v>44713</v>
      </c>
      <c r="B453" s="58">
        <v>244886.40000000002</v>
      </c>
      <c r="C453" s="58">
        <v>254939.43784120804</v>
      </c>
      <c r="D453" s="58">
        <v>0</v>
      </c>
      <c r="E453" s="58">
        <v>0</v>
      </c>
      <c r="F453" s="58">
        <v>0</v>
      </c>
      <c r="G453" s="58">
        <v>0</v>
      </c>
      <c r="H453" s="39">
        <v>4.1051842165216179E-2</v>
      </c>
      <c r="I453" s="39">
        <v>0</v>
      </c>
      <c r="J453" s="39">
        <v>4.1051842165216179E-2</v>
      </c>
    </row>
    <row r="454" spans="1:10" ht="11.25" customHeight="1" x14ac:dyDescent="0.2">
      <c r="A454" s="67">
        <v>44743</v>
      </c>
      <c r="B454" s="58">
        <v>252212.40000000002</v>
      </c>
      <c r="C454" s="58">
        <v>262566.1836369104</v>
      </c>
      <c r="D454" s="58">
        <v>0</v>
      </c>
      <c r="E454" s="58">
        <v>0</v>
      </c>
      <c r="F454" s="58">
        <v>0</v>
      </c>
      <c r="G454" s="58">
        <v>0</v>
      </c>
      <c r="H454" s="39">
        <v>4.1051842165216179E-2</v>
      </c>
      <c r="I454" s="39">
        <v>0</v>
      </c>
      <c r="J454" s="39">
        <v>4.1051842165216179E-2</v>
      </c>
    </row>
    <row r="455" spans="1:10" ht="11.25" customHeight="1" x14ac:dyDescent="0.2">
      <c r="A455" s="67">
        <v>44774</v>
      </c>
      <c r="B455" s="58">
        <v>258627.6</v>
      </c>
      <c r="C455" s="58">
        <v>269244.7394147687</v>
      </c>
      <c r="D455" s="58">
        <v>0</v>
      </c>
      <c r="E455" s="58">
        <v>0</v>
      </c>
      <c r="F455" s="58">
        <v>0</v>
      </c>
      <c r="G455" s="58">
        <v>0</v>
      </c>
      <c r="H455" s="39">
        <v>4.1051842165216401E-2</v>
      </c>
      <c r="I455" s="39">
        <v>0</v>
      </c>
      <c r="J455" s="39">
        <v>4.1051842165216401E-2</v>
      </c>
    </row>
    <row r="456" spans="1:10" ht="11.25" customHeight="1" x14ac:dyDescent="0.2">
      <c r="A456" s="67">
        <v>44805</v>
      </c>
      <c r="B456" s="58">
        <v>262092.6</v>
      </c>
      <c r="C456" s="58">
        <v>272851.9840478712</v>
      </c>
      <c r="D456" s="58">
        <v>0</v>
      </c>
      <c r="E456" s="58">
        <v>0</v>
      </c>
      <c r="F456" s="58">
        <v>0</v>
      </c>
      <c r="G456" s="58">
        <v>0</v>
      </c>
      <c r="H456" s="39">
        <v>4.1051842165216401E-2</v>
      </c>
      <c r="I456" s="39">
        <v>0</v>
      </c>
      <c r="J456" s="39">
        <v>4.1051842165216401E-2</v>
      </c>
    </row>
    <row r="457" spans="1:10" ht="11.25" customHeight="1" x14ac:dyDescent="0.2">
      <c r="A457" s="67">
        <v>44835</v>
      </c>
      <c r="B457" s="58">
        <v>268864.2</v>
      </c>
      <c r="C457" s="58">
        <v>279901.57070227712</v>
      </c>
      <c r="D457" s="58">
        <v>0</v>
      </c>
      <c r="E457" s="58">
        <v>0</v>
      </c>
      <c r="F457" s="58">
        <v>0</v>
      </c>
      <c r="G457" s="58">
        <v>0</v>
      </c>
      <c r="H457" s="39">
        <v>4.1051842165216179E-2</v>
      </c>
      <c r="I457" s="39">
        <v>0</v>
      </c>
      <c r="J457" s="39">
        <v>4.1051842165216179E-2</v>
      </c>
    </row>
    <row r="458" spans="1:10" ht="11.25" customHeight="1" x14ac:dyDescent="0.2">
      <c r="A458" s="67">
        <v>44866</v>
      </c>
      <c r="B458" s="58">
        <v>268864.2</v>
      </c>
      <c r="C458" s="58">
        <v>279901.57070227712</v>
      </c>
      <c r="D458" s="58">
        <v>0</v>
      </c>
      <c r="E458" s="58">
        <v>0</v>
      </c>
      <c r="F458" s="58">
        <v>0</v>
      </c>
      <c r="G458" s="58">
        <v>0</v>
      </c>
      <c r="H458" s="39">
        <v>4.1051842165216179E-2</v>
      </c>
      <c r="I458" s="39">
        <v>0</v>
      </c>
      <c r="J458" s="39">
        <v>4.1051842165216179E-2</v>
      </c>
    </row>
    <row r="459" spans="1:10" ht="11.25" customHeight="1" x14ac:dyDescent="0.2">
      <c r="A459" s="66" t="s">
        <v>36</v>
      </c>
      <c r="B459" s="58">
        <v>0</v>
      </c>
      <c r="C459" s="58">
        <v>0</v>
      </c>
      <c r="D459" s="58">
        <v>1178518.8607999999</v>
      </c>
      <c r="E459" s="58">
        <v>1203721.3345287198</v>
      </c>
      <c r="F459" s="58">
        <v>219849.85649999999</v>
      </c>
      <c r="G459" s="58">
        <v>295006.96038135886</v>
      </c>
      <c r="H459" s="39">
        <v>2.1384870931646871E-2</v>
      </c>
      <c r="I459" s="39">
        <v>0.34185650642605192</v>
      </c>
      <c r="J459" s="39">
        <v>7.1769038000117025E-2</v>
      </c>
    </row>
    <row r="460" spans="1:10" ht="11.25" customHeight="1" x14ac:dyDescent="0.2">
      <c r="A460" s="67">
        <v>44531</v>
      </c>
      <c r="B460" s="58">
        <v>0</v>
      </c>
      <c r="C460" s="58">
        <v>0</v>
      </c>
      <c r="D460" s="58">
        <v>114604.04224000001</v>
      </c>
      <c r="E460" s="58">
        <v>117054.83489154742</v>
      </c>
      <c r="F460" s="58">
        <v>21379.108199999999</v>
      </c>
      <c r="G460" s="58">
        <v>28687.695439756561</v>
      </c>
      <c r="H460" s="39">
        <v>2.1384870931646871E-2</v>
      </c>
      <c r="I460" s="39">
        <v>0.34185650642605214</v>
      </c>
      <c r="J460" s="39">
        <v>7.1769038000117025E-2</v>
      </c>
    </row>
    <row r="461" spans="1:10" ht="11.25" customHeight="1" x14ac:dyDescent="0.2">
      <c r="A461" s="67">
        <v>44562</v>
      </c>
      <c r="B461" s="58">
        <v>0</v>
      </c>
      <c r="C461" s="58">
        <v>0</v>
      </c>
      <c r="D461" s="58">
        <v>96745.610239999995</v>
      </c>
      <c r="E461" s="58">
        <v>98814.502628185815</v>
      </c>
      <c r="F461" s="58">
        <v>18047.660699999997</v>
      </c>
      <c r="G461" s="58">
        <v>24217.370936064752</v>
      </c>
      <c r="H461" s="39">
        <v>2.1384870931646871E-2</v>
      </c>
      <c r="I461" s="39">
        <v>0.34185650642605192</v>
      </c>
      <c r="J461" s="39">
        <v>7.1769038000117025E-2</v>
      </c>
    </row>
    <row r="462" spans="1:10" ht="11.25" customHeight="1" x14ac:dyDescent="0.2">
      <c r="A462" s="67">
        <v>44593</v>
      </c>
      <c r="B462" s="58">
        <v>0</v>
      </c>
      <c r="C462" s="58">
        <v>0</v>
      </c>
      <c r="D462" s="58">
        <v>78364.103679999986</v>
      </c>
      <c r="E462" s="58">
        <v>80039.909922871011</v>
      </c>
      <c r="F462" s="58">
        <v>14618.634899999997</v>
      </c>
      <c r="G462" s="58">
        <v>19616.110355631958</v>
      </c>
      <c r="H462" s="39">
        <v>2.1384870931647315E-2</v>
      </c>
      <c r="I462" s="39">
        <v>0.34185650642605214</v>
      </c>
      <c r="J462" s="39">
        <v>7.1769038000117247E-2</v>
      </c>
    </row>
    <row r="463" spans="1:10" ht="11.25" customHeight="1" x14ac:dyDescent="0.2">
      <c r="A463" s="67">
        <v>44621</v>
      </c>
      <c r="B463" s="58">
        <v>0</v>
      </c>
      <c r="C463" s="58">
        <v>0</v>
      </c>
      <c r="D463" s="58">
        <v>106788.35200000001</v>
      </c>
      <c r="E463" s="58">
        <v>109072.00712452328</v>
      </c>
      <c r="F463" s="58">
        <v>19921.11</v>
      </c>
      <c r="G463" s="58">
        <v>26731.271068729086</v>
      </c>
      <c r="H463" s="39">
        <v>2.1384870931646871E-2</v>
      </c>
      <c r="I463" s="39">
        <v>0.3418565064260517</v>
      </c>
      <c r="J463" s="39">
        <v>7.1769038000116803E-2</v>
      </c>
    </row>
    <row r="464" spans="1:10" ht="11.25" customHeight="1" x14ac:dyDescent="0.2">
      <c r="A464" s="67">
        <v>44652</v>
      </c>
      <c r="B464" s="58">
        <v>0</v>
      </c>
      <c r="C464" s="58">
        <v>0</v>
      </c>
      <c r="D464" s="58">
        <v>94014.320640000005</v>
      </c>
      <c r="E464" s="58">
        <v>96024.804752612879</v>
      </c>
      <c r="F464" s="58">
        <v>17538.145200000003</v>
      </c>
      <c r="G464" s="58">
        <v>23533.674247264833</v>
      </c>
      <c r="H464" s="39">
        <v>2.1384870931646871E-2</v>
      </c>
      <c r="I464" s="39">
        <v>0.3418565064260517</v>
      </c>
      <c r="J464" s="39">
        <v>7.1769038000117025E-2</v>
      </c>
    </row>
    <row r="465" spans="1:10" ht="11.25" customHeight="1" x14ac:dyDescent="0.2">
      <c r="A465" s="67">
        <v>44682</v>
      </c>
      <c r="B465" s="58">
        <v>0</v>
      </c>
      <c r="C465" s="58">
        <v>0</v>
      </c>
      <c r="D465" s="58">
        <v>90054.31296000001</v>
      </c>
      <c r="E465" s="58">
        <v>91980.112819487738</v>
      </c>
      <c r="F465" s="58">
        <v>16799.415300000001</v>
      </c>
      <c r="G465" s="58">
        <v>22542.404724458367</v>
      </c>
      <c r="H465" s="39">
        <v>2.1384870931646871E-2</v>
      </c>
      <c r="I465" s="39">
        <v>0.34185650642605192</v>
      </c>
      <c r="J465" s="39">
        <v>7.1769038000116803E-2</v>
      </c>
    </row>
    <row r="466" spans="1:10" ht="11.25" customHeight="1" x14ac:dyDescent="0.2">
      <c r="A466" s="67">
        <v>44713</v>
      </c>
      <c r="B466" s="58">
        <v>0</v>
      </c>
      <c r="C466" s="58">
        <v>0</v>
      </c>
      <c r="D466" s="58">
        <v>82981.939199999993</v>
      </c>
      <c r="E466" s="58">
        <v>84756.497259449781</v>
      </c>
      <c r="F466" s="58">
        <v>15480.080999999998</v>
      </c>
      <c r="G466" s="58">
        <v>20772.047409852305</v>
      </c>
      <c r="H466" s="39">
        <v>2.1384870931647093E-2</v>
      </c>
      <c r="I466" s="39">
        <v>0.34185650642605214</v>
      </c>
      <c r="J466" s="39">
        <v>7.1769038000117025E-2</v>
      </c>
    </row>
    <row r="467" spans="1:10" ht="11.25" customHeight="1" x14ac:dyDescent="0.2">
      <c r="A467" s="67">
        <v>44743</v>
      </c>
      <c r="B467" s="58">
        <v>0</v>
      </c>
      <c r="C467" s="58">
        <v>0</v>
      </c>
      <c r="D467" s="58">
        <v>93578.183680000002</v>
      </c>
      <c r="E467" s="58">
        <v>95579.341060014762</v>
      </c>
      <c r="F467" s="58">
        <v>17456.784899999999</v>
      </c>
      <c r="G467" s="58">
        <v>23424.500399345055</v>
      </c>
      <c r="H467" s="39">
        <v>2.1384870931647093E-2</v>
      </c>
      <c r="I467" s="39">
        <v>0.34185650642605192</v>
      </c>
      <c r="J467" s="39">
        <v>7.1769038000117025E-2</v>
      </c>
    </row>
    <row r="468" spans="1:10" ht="11.25" customHeight="1" x14ac:dyDescent="0.2">
      <c r="A468" s="67">
        <v>44774</v>
      </c>
      <c r="B468" s="58">
        <v>0</v>
      </c>
      <c r="C468" s="58">
        <v>0</v>
      </c>
      <c r="D468" s="58">
        <v>95605.278719999988</v>
      </c>
      <c r="E468" s="58">
        <v>97649.785265811326</v>
      </c>
      <c r="F468" s="58">
        <v>17834.934600000001</v>
      </c>
      <c r="G468" s="58">
        <v>23931.923034693118</v>
      </c>
      <c r="H468" s="39">
        <v>2.1384870931647093E-2</v>
      </c>
      <c r="I468" s="39">
        <v>0.34185650642605192</v>
      </c>
      <c r="J468" s="39">
        <v>7.1769038000117025E-2</v>
      </c>
    </row>
    <row r="469" spans="1:10" ht="11.25" customHeight="1" x14ac:dyDescent="0.2">
      <c r="A469" s="67">
        <v>44805</v>
      </c>
      <c r="B469" s="58">
        <v>0</v>
      </c>
      <c r="C469" s="58">
        <v>0</v>
      </c>
      <c r="D469" s="58">
        <v>98400.322559999986</v>
      </c>
      <c r="E469" s="58">
        <v>100504.60075757804</v>
      </c>
      <c r="F469" s="58">
        <v>18356.3433</v>
      </c>
      <c r="G469" s="58">
        <v>24631.578691295264</v>
      </c>
      <c r="H469" s="39">
        <v>2.1384870931647315E-2</v>
      </c>
      <c r="I469" s="39">
        <v>0.34185650642605192</v>
      </c>
      <c r="J469" s="39">
        <v>7.1769038000117247E-2</v>
      </c>
    </row>
    <row r="470" spans="1:10" ht="11.25" customHeight="1" x14ac:dyDescent="0.2">
      <c r="A470" s="67">
        <v>44835</v>
      </c>
      <c r="B470" s="58">
        <v>0</v>
      </c>
      <c r="C470" s="58">
        <v>0</v>
      </c>
      <c r="D470" s="58">
        <v>113691.19744</v>
      </c>
      <c r="E470" s="58">
        <v>116122.4690233188</v>
      </c>
      <c r="F470" s="58">
        <v>21208.819200000002</v>
      </c>
      <c r="G470" s="58">
        <v>28459.192037133773</v>
      </c>
      <c r="H470" s="39">
        <v>2.1384870931647093E-2</v>
      </c>
      <c r="I470" s="39">
        <v>0.3418565064260517</v>
      </c>
      <c r="J470" s="39">
        <v>7.1769038000116803E-2</v>
      </c>
    </row>
    <row r="471" spans="1:10" ht="11.25" customHeight="1" x14ac:dyDescent="0.2">
      <c r="A471" s="67">
        <v>44866</v>
      </c>
      <c r="B471" s="58">
        <v>0</v>
      </c>
      <c r="C471" s="58">
        <v>0</v>
      </c>
      <c r="D471" s="58">
        <v>113691.19744</v>
      </c>
      <c r="E471" s="58">
        <v>116122.4690233188</v>
      </c>
      <c r="F471" s="58">
        <v>21208.819200000002</v>
      </c>
      <c r="G471" s="58">
        <v>28459.192037133773</v>
      </c>
      <c r="H471" s="39">
        <v>2.1384870931647093E-2</v>
      </c>
      <c r="I471" s="39">
        <v>0.3418565064260517</v>
      </c>
      <c r="J471" s="39">
        <v>7.1769038000116803E-2</v>
      </c>
    </row>
    <row r="472" spans="1:10" ht="11.25" customHeight="1" x14ac:dyDescent="0.2">
      <c r="A472" s="62" t="s">
        <v>48</v>
      </c>
      <c r="B472" s="58">
        <v>8809297.1999999993</v>
      </c>
      <c r="C472" s="58">
        <v>9170935.0782408826</v>
      </c>
      <c r="D472" s="58">
        <v>10958221.300589999</v>
      </c>
      <c r="E472" s="58">
        <v>12742107.769188875</v>
      </c>
      <c r="F472" s="58">
        <v>10682663.903219998</v>
      </c>
      <c r="G472" s="58">
        <v>13950116.016701907</v>
      </c>
      <c r="H472" s="39">
        <v>0.10853786967624268</v>
      </c>
      <c r="I472" s="39">
        <v>0.30586491750405287</v>
      </c>
      <c r="J472" s="39">
        <v>0.17776499294941428</v>
      </c>
    </row>
    <row r="473" spans="1:10" ht="11.25" customHeight="1" x14ac:dyDescent="0.2">
      <c r="A473" s="63" t="s">
        <v>25</v>
      </c>
      <c r="B473" s="58">
        <v>8809297.1999999993</v>
      </c>
      <c r="C473" s="58">
        <v>9170935.0782408826</v>
      </c>
      <c r="D473" s="58">
        <v>10958221.300589999</v>
      </c>
      <c r="E473" s="58">
        <v>12742107.769188875</v>
      </c>
      <c r="F473" s="58">
        <v>10682663.903219998</v>
      </c>
      <c r="G473" s="58">
        <v>13950116.016701907</v>
      </c>
      <c r="H473" s="39">
        <v>0.10853786967624268</v>
      </c>
      <c r="I473" s="39">
        <v>0.30586491750405287</v>
      </c>
      <c r="J473" s="39">
        <v>0.17776499294941428</v>
      </c>
    </row>
    <row r="474" spans="1:10" ht="11.25" customHeight="1" x14ac:dyDescent="0.2">
      <c r="A474" s="64" t="s">
        <v>25</v>
      </c>
      <c r="B474" s="58">
        <v>8809297.1999999993</v>
      </c>
      <c r="C474" s="58">
        <v>9170935.0782408826</v>
      </c>
      <c r="D474" s="58">
        <v>10958221.300589999</v>
      </c>
      <c r="E474" s="58">
        <v>12742107.769188875</v>
      </c>
      <c r="F474" s="58">
        <v>10682663.903219998</v>
      </c>
      <c r="G474" s="58">
        <v>13950116.016701907</v>
      </c>
      <c r="H474" s="39">
        <v>0.10853786967624268</v>
      </c>
      <c r="I474" s="39">
        <v>0.30586491750405287</v>
      </c>
      <c r="J474" s="39">
        <v>0.17776499294941428</v>
      </c>
    </row>
    <row r="475" spans="1:10" ht="11.25" customHeight="1" x14ac:dyDescent="0.2">
      <c r="A475" s="65" t="s">
        <v>25</v>
      </c>
      <c r="B475" s="58">
        <v>8809297.1999999993</v>
      </c>
      <c r="C475" s="58">
        <v>9170935.0782408826</v>
      </c>
      <c r="D475" s="58">
        <v>10958221.300589999</v>
      </c>
      <c r="E475" s="58">
        <v>12742107.769188875</v>
      </c>
      <c r="F475" s="58">
        <v>10682663.903219998</v>
      </c>
      <c r="G475" s="58">
        <v>13950116.016701907</v>
      </c>
      <c r="H475" s="39">
        <v>0.10853786967624268</v>
      </c>
      <c r="I475" s="39">
        <v>0.30586491750405287</v>
      </c>
      <c r="J475" s="39">
        <v>0.17776499294941428</v>
      </c>
    </row>
    <row r="476" spans="1:10" ht="11.25" customHeight="1" x14ac:dyDescent="0.2">
      <c r="A476" s="66" t="s">
        <v>37</v>
      </c>
      <c r="B476" s="58">
        <v>0</v>
      </c>
      <c r="C476" s="58">
        <v>0</v>
      </c>
      <c r="D476" s="58">
        <v>4781041.1098699998</v>
      </c>
      <c r="E476" s="58">
        <v>6432829.3773688003</v>
      </c>
      <c r="F476" s="58">
        <v>9530325.8086199984</v>
      </c>
      <c r="G476" s="58">
        <v>12403843.646860298</v>
      </c>
      <c r="H476" s="39">
        <v>0.34548715008721476</v>
      </c>
      <c r="I476" s="39">
        <v>0.30151307478294753</v>
      </c>
      <c r="J476" s="39">
        <v>0.31620362551759418</v>
      </c>
    </row>
    <row r="477" spans="1:10" ht="11.25" customHeight="1" x14ac:dyDescent="0.2">
      <c r="A477" s="67">
        <v>44531</v>
      </c>
      <c r="B477" s="58">
        <v>0</v>
      </c>
      <c r="C477" s="58">
        <v>0</v>
      </c>
      <c r="D477" s="58">
        <v>375475.09086</v>
      </c>
      <c r="E477" s="58">
        <v>505196.90992995934</v>
      </c>
      <c r="F477" s="58">
        <v>748456.21835999994</v>
      </c>
      <c r="G477" s="58">
        <v>974125.55409814091</v>
      </c>
      <c r="H477" s="39">
        <v>0.34548715008721453</v>
      </c>
      <c r="I477" s="39">
        <v>0.30151307478294775</v>
      </c>
      <c r="J477" s="39">
        <v>0.31620362551759418</v>
      </c>
    </row>
    <row r="478" spans="1:10" ht="11.25" customHeight="1" x14ac:dyDescent="0.2">
      <c r="A478" s="67">
        <v>44562</v>
      </c>
      <c r="B478" s="58">
        <v>0</v>
      </c>
      <c r="C478" s="58">
        <v>0</v>
      </c>
      <c r="D478" s="58">
        <v>372220.21900000004</v>
      </c>
      <c r="E478" s="58">
        <v>500817.52166714886</v>
      </c>
      <c r="F478" s="58">
        <v>741968.09400000004</v>
      </c>
      <c r="G478" s="58">
        <v>965681.17541278317</v>
      </c>
      <c r="H478" s="39">
        <v>0.34548715008721431</v>
      </c>
      <c r="I478" s="39">
        <v>0.30151307478294753</v>
      </c>
      <c r="J478" s="39">
        <v>0.31620362551759418</v>
      </c>
    </row>
    <row r="479" spans="1:10" ht="11.25" customHeight="1" x14ac:dyDescent="0.2">
      <c r="A479" s="67">
        <v>44593</v>
      </c>
      <c r="B479" s="58">
        <v>0</v>
      </c>
      <c r="C479" s="58">
        <v>0</v>
      </c>
      <c r="D479" s="58">
        <v>330903.34471000003</v>
      </c>
      <c r="E479" s="58">
        <v>445226.19822818501</v>
      </c>
      <c r="F479" s="58">
        <v>659608.77846000006</v>
      </c>
      <c r="G479" s="58">
        <v>858489.44940729882</v>
      </c>
      <c r="H479" s="39">
        <v>0.34548715008721431</v>
      </c>
      <c r="I479" s="39">
        <v>0.30151307478294775</v>
      </c>
      <c r="J479" s="39">
        <v>0.31620362551759418</v>
      </c>
    </row>
    <row r="480" spans="1:10" ht="11.25" customHeight="1" x14ac:dyDescent="0.2">
      <c r="A480" s="67">
        <v>44621</v>
      </c>
      <c r="B480" s="58">
        <v>0</v>
      </c>
      <c r="C480" s="58">
        <v>0</v>
      </c>
      <c r="D480" s="58">
        <v>333872.99583999999</v>
      </c>
      <c r="E480" s="58">
        <v>449221.82566384209</v>
      </c>
      <c r="F480" s="58">
        <v>665528.35584000009</v>
      </c>
      <c r="G480" s="58">
        <v>866193.85676455812</v>
      </c>
      <c r="H480" s="39">
        <v>0.34548715008721476</v>
      </c>
      <c r="I480" s="39">
        <v>0.30151307478294753</v>
      </c>
      <c r="J480" s="39">
        <v>0.31620362551759418</v>
      </c>
    </row>
    <row r="481" spans="1:10" ht="11.25" customHeight="1" x14ac:dyDescent="0.2">
      <c r="A481" s="67">
        <v>44652</v>
      </c>
      <c r="B481" s="58">
        <v>0</v>
      </c>
      <c r="C481" s="58">
        <v>0</v>
      </c>
      <c r="D481" s="58">
        <v>349875.37108000001</v>
      </c>
      <c r="E481" s="58">
        <v>470752.81592013582</v>
      </c>
      <c r="F481" s="58">
        <v>697426.8160799999</v>
      </c>
      <c r="G481" s="58">
        <v>907710.11983236216</v>
      </c>
      <c r="H481" s="39">
        <v>0.34548715008721453</v>
      </c>
      <c r="I481" s="39">
        <v>0.30151307478294798</v>
      </c>
      <c r="J481" s="39">
        <v>0.31620362551759418</v>
      </c>
    </row>
    <row r="482" spans="1:10" ht="11.25" customHeight="1" x14ac:dyDescent="0.2">
      <c r="A482" s="67">
        <v>44682</v>
      </c>
      <c r="B482" s="58">
        <v>0</v>
      </c>
      <c r="C482" s="58">
        <v>0</v>
      </c>
      <c r="D482" s="58">
        <v>391835.95222000004</v>
      </c>
      <c r="E482" s="58">
        <v>527210.23865419778</v>
      </c>
      <c r="F482" s="58">
        <v>781069.2697200001</v>
      </c>
      <c r="G482" s="58">
        <v>1016571.8668517489</v>
      </c>
      <c r="H482" s="39">
        <v>0.34548715008721453</v>
      </c>
      <c r="I482" s="39">
        <v>0.30151307478294775</v>
      </c>
      <c r="J482" s="39">
        <v>0.31620362551759418</v>
      </c>
    </row>
    <row r="483" spans="1:10" ht="11.25" customHeight="1" x14ac:dyDescent="0.2">
      <c r="A483" s="67">
        <v>44713</v>
      </c>
      <c r="B483" s="58">
        <v>0</v>
      </c>
      <c r="C483" s="58">
        <v>0</v>
      </c>
      <c r="D483" s="58">
        <v>394834.85892000003</v>
      </c>
      <c r="E483" s="58">
        <v>531245.22908335819</v>
      </c>
      <c r="F483" s="58">
        <v>787047.16392000008</v>
      </c>
      <c r="G483" s="58">
        <v>1024352.1743127179</v>
      </c>
      <c r="H483" s="39">
        <v>0.34548715008721431</v>
      </c>
      <c r="I483" s="39">
        <v>0.30151307478294753</v>
      </c>
      <c r="J483" s="39">
        <v>0.31620362551759396</v>
      </c>
    </row>
    <row r="484" spans="1:10" ht="11.25" customHeight="1" x14ac:dyDescent="0.2">
      <c r="A484" s="67">
        <v>44743</v>
      </c>
      <c r="B484" s="58">
        <v>0</v>
      </c>
      <c r="C484" s="58">
        <v>0</v>
      </c>
      <c r="D484" s="58">
        <v>422466.4497</v>
      </c>
      <c r="E484" s="58">
        <v>568423.17941431666</v>
      </c>
      <c r="F484" s="58">
        <v>842126.81220000004</v>
      </c>
      <c r="G484" s="58">
        <v>1096039.056703584</v>
      </c>
      <c r="H484" s="39">
        <v>0.34548715008721476</v>
      </c>
      <c r="I484" s="39">
        <v>0.30151307478294775</v>
      </c>
      <c r="J484" s="39">
        <v>0.3162036255175944</v>
      </c>
    </row>
    <row r="485" spans="1:10" ht="11.25" customHeight="1" x14ac:dyDescent="0.2">
      <c r="A485" s="67">
        <v>44774</v>
      </c>
      <c r="B485" s="58">
        <v>0</v>
      </c>
      <c r="C485" s="58">
        <v>0</v>
      </c>
      <c r="D485" s="58">
        <v>450027.05145999999</v>
      </c>
      <c r="E485" s="58">
        <v>605505.61493106757</v>
      </c>
      <c r="F485" s="58">
        <v>897064.95396000007</v>
      </c>
      <c r="G485" s="58">
        <v>1167541.7665085031</v>
      </c>
      <c r="H485" s="39">
        <v>0.34548715008721431</v>
      </c>
      <c r="I485" s="39">
        <v>0.30151307478294775</v>
      </c>
      <c r="J485" s="39">
        <v>0.31620362551759418</v>
      </c>
    </row>
    <row r="486" spans="1:10" ht="11.25" customHeight="1" x14ac:dyDescent="0.2">
      <c r="A486" s="67">
        <v>44805</v>
      </c>
      <c r="B486" s="58">
        <v>0</v>
      </c>
      <c r="C486" s="58">
        <v>0</v>
      </c>
      <c r="D486" s="58">
        <v>447202.32922000007</v>
      </c>
      <c r="E486" s="58">
        <v>601704.98745458212</v>
      </c>
      <c r="F486" s="58">
        <v>891434.27172000008</v>
      </c>
      <c r="G486" s="58">
        <v>1160213.3599531951</v>
      </c>
      <c r="H486" s="39">
        <v>0.34548715008721453</v>
      </c>
      <c r="I486" s="39">
        <v>0.30151307478294775</v>
      </c>
      <c r="J486" s="39">
        <v>0.31620362551759418</v>
      </c>
    </row>
    <row r="487" spans="1:10" ht="11.25" customHeight="1" x14ac:dyDescent="0.2">
      <c r="A487" s="67">
        <v>44835</v>
      </c>
      <c r="B487" s="58">
        <v>0</v>
      </c>
      <c r="C487" s="58">
        <v>0</v>
      </c>
      <c r="D487" s="58">
        <v>456163.72343000007</v>
      </c>
      <c r="E487" s="58">
        <v>613762.42821100308</v>
      </c>
      <c r="F487" s="58">
        <v>909297.53717999998</v>
      </c>
      <c r="G487" s="58">
        <v>1183462.6335077034</v>
      </c>
      <c r="H487" s="39">
        <v>0.34548715008721453</v>
      </c>
      <c r="I487" s="39">
        <v>0.30151307478294753</v>
      </c>
      <c r="J487" s="39">
        <v>0.31620362551759418</v>
      </c>
    </row>
    <row r="488" spans="1:10" ht="11.25" customHeight="1" x14ac:dyDescent="0.2">
      <c r="A488" s="67">
        <v>44866</v>
      </c>
      <c r="B488" s="58">
        <v>0</v>
      </c>
      <c r="C488" s="58">
        <v>0</v>
      </c>
      <c r="D488" s="58">
        <v>456163.72343000007</v>
      </c>
      <c r="E488" s="58">
        <v>613762.42821100308</v>
      </c>
      <c r="F488" s="58">
        <v>909297.53717999998</v>
      </c>
      <c r="G488" s="58">
        <v>1183462.6335077034</v>
      </c>
      <c r="H488" s="39">
        <v>0.34548715008721453</v>
      </c>
      <c r="I488" s="39">
        <v>0.30151307478294753</v>
      </c>
      <c r="J488" s="39">
        <v>0.31620362551759418</v>
      </c>
    </row>
    <row r="489" spans="1:10" ht="11.25" customHeight="1" x14ac:dyDescent="0.2">
      <c r="A489" s="66" t="s">
        <v>25</v>
      </c>
      <c r="B489" s="58">
        <v>8809297.1999999993</v>
      </c>
      <c r="C489" s="58">
        <v>9170935.0782408826</v>
      </c>
      <c r="D489" s="58">
        <v>0</v>
      </c>
      <c r="E489" s="58">
        <v>0</v>
      </c>
      <c r="F489" s="58">
        <v>0</v>
      </c>
      <c r="G489" s="58">
        <v>0</v>
      </c>
      <c r="H489" s="39">
        <v>4.1051842165216623E-2</v>
      </c>
      <c r="I489" s="39">
        <v>0</v>
      </c>
      <c r="J489" s="39">
        <v>4.1051842165216623E-2</v>
      </c>
    </row>
    <row r="490" spans="1:10" ht="11.25" customHeight="1" x14ac:dyDescent="0.2">
      <c r="A490" s="67">
        <v>44531</v>
      </c>
      <c r="B490" s="58">
        <v>721531.8</v>
      </c>
      <c r="C490" s="58">
        <v>751152.0095707844</v>
      </c>
      <c r="D490" s="58">
        <v>0</v>
      </c>
      <c r="E490" s="58">
        <v>0</v>
      </c>
      <c r="F490" s="58">
        <v>0</v>
      </c>
      <c r="G490" s="58">
        <v>0</v>
      </c>
      <c r="H490" s="39">
        <v>4.1051842165216179E-2</v>
      </c>
      <c r="I490" s="39">
        <v>0</v>
      </c>
      <c r="J490" s="39">
        <v>4.1051842165216179E-2</v>
      </c>
    </row>
    <row r="491" spans="1:10" ht="11.25" customHeight="1" x14ac:dyDescent="0.2">
      <c r="A491" s="67">
        <v>44562</v>
      </c>
      <c r="B491" s="58">
        <v>724204.80000000016</v>
      </c>
      <c r="C491" s="58">
        <v>753934.74114489206</v>
      </c>
      <c r="D491" s="58">
        <v>0</v>
      </c>
      <c r="E491" s="58">
        <v>0</v>
      </c>
      <c r="F491" s="58">
        <v>0</v>
      </c>
      <c r="G491" s="58">
        <v>0</v>
      </c>
      <c r="H491" s="39">
        <v>4.1051842165216179E-2</v>
      </c>
      <c r="I491" s="39">
        <v>0</v>
      </c>
      <c r="J491" s="39">
        <v>4.1051842165216179E-2</v>
      </c>
    </row>
    <row r="492" spans="1:10" ht="11.25" customHeight="1" x14ac:dyDescent="0.2">
      <c r="A492" s="67">
        <v>44593</v>
      </c>
      <c r="B492" s="58">
        <v>717651.00000000012</v>
      </c>
      <c r="C492" s="58">
        <v>747111.89558170969</v>
      </c>
      <c r="D492" s="58">
        <v>0</v>
      </c>
      <c r="E492" s="58">
        <v>0</v>
      </c>
      <c r="F492" s="58">
        <v>0</v>
      </c>
      <c r="G492" s="58">
        <v>0</v>
      </c>
      <c r="H492" s="39">
        <v>4.1051842165216179E-2</v>
      </c>
      <c r="I492" s="39">
        <v>0</v>
      </c>
      <c r="J492" s="39">
        <v>4.1051842165216179E-2</v>
      </c>
    </row>
    <row r="493" spans="1:10" ht="11.25" customHeight="1" x14ac:dyDescent="0.2">
      <c r="A493" s="67">
        <v>44621</v>
      </c>
      <c r="B493" s="58">
        <v>721413.00000000012</v>
      </c>
      <c r="C493" s="58">
        <v>751028.33261193521</v>
      </c>
      <c r="D493" s="58">
        <v>0</v>
      </c>
      <c r="E493" s="58">
        <v>0</v>
      </c>
      <c r="F493" s="58">
        <v>0</v>
      </c>
      <c r="G493" s="58">
        <v>0</v>
      </c>
      <c r="H493" s="39">
        <v>4.1051842165216179E-2</v>
      </c>
      <c r="I493" s="39">
        <v>0</v>
      </c>
      <c r="J493" s="39">
        <v>4.1051842165216179E-2</v>
      </c>
    </row>
    <row r="494" spans="1:10" ht="11.25" customHeight="1" x14ac:dyDescent="0.2">
      <c r="A494" s="67">
        <v>44652</v>
      </c>
      <c r="B494" s="58">
        <v>723571.19999999995</v>
      </c>
      <c r="C494" s="58">
        <v>753275.13069769624</v>
      </c>
      <c r="D494" s="58">
        <v>0</v>
      </c>
      <c r="E494" s="58">
        <v>0</v>
      </c>
      <c r="F494" s="58">
        <v>0</v>
      </c>
      <c r="G494" s="58">
        <v>0</v>
      </c>
      <c r="H494" s="39">
        <v>4.1051842165216401E-2</v>
      </c>
      <c r="I494" s="39">
        <v>0</v>
      </c>
      <c r="J494" s="39">
        <v>4.1051842165216401E-2</v>
      </c>
    </row>
    <row r="495" spans="1:10" ht="11.25" customHeight="1" x14ac:dyDescent="0.2">
      <c r="A495" s="67">
        <v>44682</v>
      </c>
      <c r="B495" s="58">
        <v>731253.60000000009</v>
      </c>
      <c r="C495" s="58">
        <v>761272.90736994613</v>
      </c>
      <c r="D495" s="58">
        <v>0</v>
      </c>
      <c r="E495" s="58">
        <v>0</v>
      </c>
      <c r="F495" s="58">
        <v>0</v>
      </c>
      <c r="G495" s="58">
        <v>0</v>
      </c>
      <c r="H495" s="39">
        <v>4.1051842165215957E-2</v>
      </c>
      <c r="I495" s="39">
        <v>0</v>
      </c>
      <c r="J495" s="39">
        <v>4.1051842165215957E-2</v>
      </c>
    </row>
    <row r="496" spans="1:10" ht="11.25" customHeight="1" x14ac:dyDescent="0.2">
      <c r="A496" s="67">
        <v>44713</v>
      </c>
      <c r="B496" s="58">
        <v>727887.60000000009</v>
      </c>
      <c r="C496" s="58">
        <v>757768.72686921805</v>
      </c>
      <c r="D496" s="58">
        <v>0</v>
      </c>
      <c r="E496" s="58">
        <v>0</v>
      </c>
      <c r="F496" s="58">
        <v>0</v>
      </c>
      <c r="G496" s="58">
        <v>0</v>
      </c>
      <c r="H496" s="39">
        <v>4.1051842165216179E-2</v>
      </c>
      <c r="I496" s="39">
        <v>0</v>
      </c>
      <c r="J496" s="39">
        <v>4.1051842165216179E-2</v>
      </c>
    </row>
    <row r="497" spans="1:10" ht="11.25" customHeight="1" x14ac:dyDescent="0.2">
      <c r="A497" s="67">
        <v>44743</v>
      </c>
      <c r="B497" s="58">
        <v>741094.2</v>
      </c>
      <c r="C497" s="58">
        <v>771517.48212795716</v>
      </c>
      <c r="D497" s="58">
        <v>0</v>
      </c>
      <c r="E497" s="58">
        <v>0</v>
      </c>
      <c r="F497" s="58">
        <v>0</v>
      </c>
      <c r="G497" s="58">
        <v>0</v>
      </c>
      <c r="H497" s="39">
        <v>4.1051842165216179E-2</v>
      </c>
      <c r="I497" s="39">
        <v>0</v>
      </c>
      <c r="J497" s="39">
        <v>4.1051842165216179E-2</v>
      </c>
    </row>
    <row r="498" spans="1:10" ht="11.25" customHeight="1" x14ac:dyDescent="0.2">
      <c r="A498" s="67">
        <v>44774</v>
      </c>
      <c r="B498" s="58">
        <v>752400</v>
      </c>
      <c r="C498" s="58">
        <v>783287.4060451088</v>
      </c>
      <c r="D498" s="58">
        <v>0</v>
      </c>
      <c r="E498" s="58">
        <v>0</v>
      </c>
      <c r="F498" s="58">
        <v>0</v>
      </c>
      <c r="G498" s="58">
        <v>0</v>
      </c>
      <c r="H498" s="39">
        <v>4.1051842165216401E-2</v>
      </c>
      <c r="I498" s="39">
        <v>0</v>
      </c>
      <c r="J498" s="39">
        <v>4.1051842165216401E-2</v>
      </c>
    </row>
    <row r="499" spans="1:10" ht="11.25" customHeight="1" x14ac:dyDescent="0.2">
      <c r="A499" s="67">
        <v>44805</v>
      </c>
      <c r="B499" s="58">
        <v>746380.80000000005</v>
      </c>
      <c r="C499" s="58">
        <v>777021.10679674789</v>
      </c>
      <c r="D499" s="58">
        <v>0</v>
      </c>
      <c r="E499" s="58">
        <v>0</v>
      </c>
      <c r="F499" s="58">
        <v>0</v>
      </c>
      <c r="G499" s="58">
        <v>0</v>
      </c>
      <c r="H499" s="39">
        <v>4.1051842165216179E-2</v>
      </c>
      <c r="I499" s="39">
        <v>0</v>
      </c>
      <c r="J499" s="39">
        <v>4.1051842165216179E-2</v>
      </c>
    </row>
    <row r="500" spans="1:10" ht="11.25" customHeight="1" x14ac:dyDescent="0.2">
      <c r="A500" s="67">
        <v>44835</v>
      </c>
      <c r="B500" s="58">
        <v>750954.6</v>
      </c>
      <c r="C500" s="58">
        <v>781782.66971244325</v>
      </c>
      <c r="D500" s="58">
        <v>0</v>
      </c>
      <c r="E500" s="58">
        <v>0</v>
      </c>
      <c r="F500" s="58">
        <v>0</v>
      </c>
      <c r="G500" s="58">
        <v>0</v>
      </c>
      <c r="H500" s="39">
        <v>4.1051842165216401E-2</v>
      </c>
      <c r="I500" s="39">
        <v>0</v>
      </c>
      <c r="J500" s="39">
        <v>4.1051842165216401E-2</v>
      </c>
    </row>
    <row r="501" spans="1:10" ht="11.25" customHeight="1" x14ac:dyDescent="0.2">
      <c r="A501" s="67">
        <v>44866</v>
      </c>
      <c r="B501" s="58">
        <v>750954.6</v>
      </c>
      <c r="C501" s="58">
        <v>781782.66971244325</v>
      </c>
      <c r="D501" s="58">
        <v>0</v>
      </c>
      <c r="E501" s="58">
        <v>0</v>
      </c>
      <c r="F501" s="58">
        <v>0</v>
      </c>
      <c r="G501" s="58">
        <v>0</v>
      </c>
      <c r="H501" s="39">
        <v>4.1051842165216401E-2</v>
      </c>
      <c r="I501" s="39">
        <v>0</v>
      </c>
      <c r="J501" s="39">
        <v>4.1051842165216401E-2</v>
      </c>
    </row>
    <row r="502" spans="1:10" ht="11.25" customHeight="1" x14ac:dyDescent="0.2">
      <c r="A502" s="66" t="s">
        <v>36</v>
      </c>
      <c r="B502" s="58">
        <v>0</v>
      </c>
      <c r="C502" s="58">
        <v>0</v>
      </c>
      <c r="D502" s="58">
        <v>6177180.1907200003</v>
      </c>
      <c r="E502" s="58">
        <v>6309278.3918200741</v>
      </c>
      <c r="F502" s="58">
        <v>1152338.0946000002</v>
      </c>
      <c r="G502" s="58">
        <v>1546272.3698416094</v>
      </c>
      <c r="H502" s="39">
        <v>2.1384870931647093E-2</v>
      </c>
      <c r="I502" s="39">
        <v>0.34185650642605214</v>
      </c>
      <c r="J502" s="39">
        <v>7.1769038000117025E-2</v>
      </c>
    </row>
    <row r="503" spans="1:10" ht="11.25" customHeight="1" x14ac:dyDescent="0.2">
      <c r="A503" s="67">
        <v>44531</v>
      </c>
      <c r="B503" s="58">
        <v>0</v>
      </c>
      <c r="C503" s="58">
        <v>0</v>
      </c>
      <c r="D503" s="58">
        <v>478274.16576000006</v>
      </c>
      <c r="E503" s="58">
        <v>488501.9970647188</v>
      </c>
      <c r="F503" s="58">
        <v>89220.894300000014</v>
      </c>
      <c r="G503" s="58">
        <v>119721.63752560606</v>
      </c>
      <c r="H503" s="39">
        <v>2.1384870931647093E-2</v>
      </c>
      <c r="I503" s="39">
        <v>0.3418565064260517</v>
      </c>
      <c r="J503" s="39">
        <v>7.1769038000117025E-2</v>
      </c>
    </row>
    <row r="504" spans="1:10" ht="11.25" customHeight="1" x14ac:dyDescent="0.2">
      <c r="A504" s="67">
        <v>44562</v>
      </c>
      <c r="B504" s="58">
        <v>0</v>
      </c>
      <c r="C504" s="58">
        <v>0</v>
      </c>
      <c r="D504" s="58">
        <v>471545.19552000001</v>
      </c>
      <c r="E504" s="58">
        <v>481629.12866463343</v>
      </c>
      <c r="F504" s="58">
        <v>87965.621099999989</v>
      </c>
      <c r="G504" s="58">
        <v>118037.24101484379</v>
      </c>
      <c r="H504" s="39">
        <v>2.1384870931646871E-2</v>
      </c>
      <c r="I504" s="39">
        <v>0.34185650642605192</v>
      </c>
      <c r="J504" s="39">
        <v>7.1769038000117025E-2</v>
      </c>
    </row>
    <row r="505" spans="1:10" ht="11.25" customHeight="1" x14ac:dyDescent="0.2">
      <c r="A505" s="67">
        <v>44593</v>
      </c>
      <c r="B505" s="58">
        <v>0</v>
      </c>
      <c r="C505" s="58">
        <v>0</v>
      </c>
      <c r="D505" s="58">
        <v>424655.40096000006</v>
      </c>
      <c r="E505" s="58">
        <v>433736.60189995641</v>
      </c>
      <c r="F505" s="58">
        <v>79218.442800000004</v>
      </c>
      <c r="G505" s="58">
        <v>106299.78290012002</v>
      </c>
      <c r="H505" s="39">
        <v>2.1384870931646871E-2</v>
      </c>
      <c r="I505" s="39">
        <v>0.3418565064260517</v>
      </c>
      <c r="J505" s="39">
        <v>7.1769038000116803E-2</v>
      </c>
    </row>
    <row r="506" spans="1:10" ht="11.25" customHeight="1" x14ac:dyDescent="0.2">
      <c r="A506" s="67">
        <v>44621</v>
      </c>
      <c r="B506" s="58">
        <v>0</v>
      </c>
      <c r="C506" s="58">
        <v>0</v>
      </c>
      <c r="D506" s="58">
        <v>454795.21792000002</v>
      </c>
      <c r="E506" s="58">
        <v>464520.9549555495</v>
      </c>
      <c r="F506" s="58">
        <v>84840.953100000013</v>
      </c>
      <c r="G506" s="58">
        <v>113844.38492862252</v>
      </c>
      <c r="H506" s="39">
        <v>2.1384870931647093E-2</v>
      </c>
      <c r="I506" s="39">
        <v>0.3418565064260517</v>
      </c>
      <c r="J506" s="39">
        <v>7.1769038000116803E-2</v>
      </c>
    </row>
    <row r="507" spans="1:10" ht="11.25" customHeight="1" x14ac:dyDescent="0.2">
      <c r="A507" s="67">
        <v>44652</v>
      </c>
      <c r="B507" s="58">
        <v>0</v>
      </c>
      <c r="C507" s="58">
        <v>0</v>
      </c>
      <c r="D507" s="58">
        <v>453046.32319999998</v>
      </c>
      <c r="E507" s="58">
        <v>462734.66034768923</v>
      </c>
      <c r="F507" s="58">
        <v>84514.701000000001</v>
      </c>
      <c r="G507" s="58">
        <v>113406.60142550236</v>
      </c>
      <c r="H507" s="39">
        <v>2.1384870931647093E-2</v>
      </c>
      <c r="I507" s="39">
        <v>0.34185650642605192</v>
      </c>
      <c r="J507" s="39">
        <v>7.1769038000117025E-2</v>
      </c>
    </row>
    <row r="508" spans="1:10" ht="11.25" customHeight="1" x14ac:dyDescent="0.2">
      <c r="A508" s="67">
        <v>44682</v>
      </c>
      <c r="B508" s="58">
        <v>0</v>
      </c>
      <c r="C508" s="58">
        <v>0</v>
      </c>
      <c r="D508" s="58">
        <v>482664.51456000004</v>
      </c>
      <c r="E508" s="58">
        <v>492986.23290715163</v>
      </c>
      <c r="F508" s="58">
        <v>90039.903300000005</v>
      </c>
      <c r="G508" s="58">
        <v>120820.63008107754</v>
      </c>
      <c r="H508" s="39">
        <v>2.1384870931646871E-2</v>
      </c>
      <c r="I508" s="39">
        <v>0.34185650642605192</v>
      </c>
      <c r="J508" s="39">
        <v>7.1769038000116803E-2</v>
      </c>
    </row>
    <row r="509" spans="1:10" ht="11.25" customHeight="1" x14ac:dyDescent="0.2">
      <c r="A509" s="67">
        <v>44713</v>
      </c>
      <c r="B509" s="58">
        <v>0</v>
      </c>
      <c r="C509" s="58">
        <v>0</v>
      </c>
      <c r="D509" s="58">
        <v>490459.91936000006</v>
      </c>
      <c r="E509" s="58">
        <v>500948.3414326596</v>
      </c>
      <c r="F509" s="58">
        <v>91494.117299999998</v>
      </c>
      <c r="G509" s="58">
        <v>122771.9765987134</v>
      </c>
      <c r="H509" s="39">
        <v>2.1384870931646871E-2</v>
      </c>
      <c r="I509" s="39">
        <v>0.34185650642605192</v>
      </c>
      <c r="J509" s="39">
        <v>7.1769038000116803E-2</v>
      </c>
    </row>
    <row r="510" spans="1:10" ht="11.25" customHeight="1" x14ac:dyDescent="0.2">
      <c r="A510" s="67">
        <v>44743</v>
      </c>
      <c r="B510" s="58">
        <v>0</v>
      </c>
      <c r="C510" s="58">
        <v>0</v>
      </c>
      <c r="D510" s="58">
        <v>553904.08192000003</v>
      </c>
      <c r="E510" s="58">
        <v>565749.2492203716</v>
      </c>
      <c r="F510" s="58">
        <v>103329.4731</v>
      </c>
      <c r="G510" s="58">
        <v>138653.3257848107</v>
      </c>
      <c r="H510" s="39">
        <v>2.1384870931646871E-2</v>
      </c>
      <c r="I510" s="39">
        <v>0.34185650642605192</v>
      </c>
      <c r="J510" s="39">
        <v>7.1769038000116803E-2</v>
      </c>
    </row>
    <row r="511" spans="1:10" ht="11.25" customHeight="1" x14ac:dyDescent="0.2">
      <c r="A511" s="67">
        <v>44774</v>
      </c>
      <c r="B511" s="58">
        <v>0</v>
      </c>
      <c r="C511" s="58">
        <v>0</v>
      </c>
      <c r="D511" s="58">
        <v>617884.35968000011</v>
      </c>
      <c r="E511" s="58">
        <v>631097.73696244019</v>
      </c>
      <c r="F511" s="58">
        <v>115264.83990000002</v>
      </c>
      <c r="G511" s="58">
        <v>154668.87538197218</v>
      </c>
      <c r="H511" s="39">
        <v>2.1384870931646871E-2</v>
      </c>
      <c r="I511" s="39">
        <v>0.34185650642605148</v>
      </c>
      <c r="J511" s="39">
        <v>7.1769038000116803E-2</v>
      </c>
    </row>
    <row r="512" spans="1:10" ht="11.25" customHeight="1" x14ac:dyDescent="0.2">
      <c r="A512" s="67">
        <v>44805</v>
      </c>
      <c r="B512" s="58">
        <v>0</v>
      </c>
      <c r="C512" s="58">
        <v>0</v>
      </c>
      <c r="D512" s="58">
        <v>601137.28</v>
      </c>
      <c r="E512" s="58">
        <v>613992.52314500138</v>
      </c>
      <c r="F512" s="58">
        <v>112140.71250000001</v>
      </c>
      <c r="G512" s="58">
        <v>150476.7447033783</v>
      </c>
      <c r="H512" s="39">
        <v>2.1384870931647093E-2</v>
      </c>
      <c r="I512" s="39">
        <v>0.34185650642605192</v>
      </c>
      <c r="J512" s="39">
        <v>7.1769038000117025E-2</v>
      </c>
    </row>
    <row r="513" spans="1:10" ht="11.25" customHeight="1" x14ac:dyDescent="0.2">
      <c r="A513" s="67">
        <v>44835</v>
      </c>
      <c r="B513" s="58">
        <v>0</v>
      </c>
      <c r="C513" s="58">
        <v>0</v>
      </c>
      <c r="D513" s="58">
        <v>574406.86592000001</v>
      </c>
      <c r="E513" s="58">
        <v>586690.48260995117</v>
      </c>
      <c r="F513" s="58">
        <v>107154.2181</v>
      </c>
      <c r="G513" s="58">
        <v>143785.58474848123</v>
      </c>
      <c r="H513" s="39">
        <v>2.1384870931647093E-2</v>
      </c>
      <c r="I513" s="39">
        <v>0.34185650642605192</v>
      </c>
      <c r="J513" s="39">
        <v>7.1769038000117025E-2</v>
      </c>
    </row>
    <row r="514" spans="1:10" ht="11.25" customHeight="1" x14ac:dyDescent="0.2">
      <c r="A514" s="67">
        <v>44866</v>
      </c>
      <c r="B514" s="58">
        <v>0</v>
      </c>
      <c r="C514" s="58">
        <v>0</v>
      </c>
      <c r="D514" s="58">
        <v>574406.86592000001</v>
      </c>
      <c r="E514" s="58">
        <v>586690.48260995117</v>
      </c>
      <c r="F514" s="58">
        <v>107154.2181</v>
      </c>
      <c r="G514" s="58">
        <v>143785.58474848123</v>
      </c>
      <c r="H514" s="39">
        <v>2.1384870931647093E-2</v>
      </c>
      <c r="I514" s="39">
        <v>0.34185650642605192</v>
      </c>
      <c r="J514" s="39">
        <v>7.1769038000117025E-2</v>
      </c>
    </row>
    <row r="515" spans="1:10" ht="11.25" customHeight="1" x14ac:dyDescent="0.2">
      <c r="A515" s="62" t="s">
        <v>47</v>
      </c>
      <c r="B515" s="58">
        <v>342.14399999999995</v>
      </c>
      <c r="C515" s="58">
        <v>363.6102590167294</v>
      </c>
      <c r="D515" s="58">
        <v>-487.84631039999994</v>
      </c>
      <c r="E515" s="58">
        <v>-505.76756528096121</v>
      </c>
      <c r="F515" s="58">
        <v>-75.212755199999989</v>
      </c>
      <c r="G515" s="58">
        <v>-103.74493096360578</v>
      </c>
      <c r="H515" s="39">
        <v>-2.4330459318290809E-2</v>
      </c>
      <c r="I515" s="39">
        <v>0.37935288619244467</v>
      </c>
      <c r="J515" s="39">
        <v>0.11310759435972839</v>
      </c>
    </row>
    <row r="516" spans="1:10" ht="11.25" customHeight="1" x14ac:dyDescent="0.2">
      <c r="A516" s="63" t="s">
        <v>25</v>
      </c>
      <c r="B516" s="58">
        <v>342.14399999999995</v>
      </c>
      <c r="C516" s="58">
        <v>363.6102590167294</v>
      </c>
      <c r="D516" s="58">
        <v>-487.84631039999994</v>
      </c>
      <c r="E516" s="58">
        <v>-505.76756528096121</v>
      </c>
      <c r="F516" s="58">
        <v>-75.212755199999989</v>
      </c>
      <c r="G516" s="58">
        <v>-103.74493096360578</v>
      </c>
      <c r="H516" s="39">
        <v>-2.4330459318290809E-2</v>
      </c>
      <c r="I516" s="39">
        <v>0.37935288619244467</v>
      </c>
      <c r="J516" s="39">
        <v>0.11310759435972839</v>
      </c>
    </row>
    <row r="517" spans="1:10" ht="11.25" customHeight="1" x14ac:dyDescent="0.2">
      <c r="A517" s="64" t="s">
        <v>25</v>
      </c>
      <c r="B517" s="58">
        <v>342.14399999999995</v>
      </c>
      <c r="C517" s="58">
        <v>363.6102590167294</v>
      </c>
      <c r="D517" s="58">
        <v>-487.84631039999994</v>
      </c>
      <c r="E517" s="58">
        <v>-505.76756528096121</v>
      </c>
      <c r="F517" s="58">
        <v>-75.212755199999989</v>
      </c>
      <c r="G517" s="58">
        <v>-103.74493096360578</v>
      </c>
      <c r="H517" s="39">
        <v>-2.4330459318290809E-2</v>
      </c>
      <c r="I517" s="39">
        <v>0.37935288619244467</v>
      </c>
      <c r="J517" s="39">
        <v>0.11310759435972839</v>
      </c>
    </row>
    <row r="518" spans="1:10" ht="11.25" customHeight="1" x14ac:dyDescent="0.2">
      <c r="A518" s="65" t="s">
        <v>25</v>
      </c>
      <c r="B518" s="58">
        <v>342.14399999999995</v>
      </c>
      <c r="C518" s="58">
        <v>363.6102590167294</v>
      </c>
      <c r="D518" s="58">
        <v>-487.84631039999994</v>
      </c>
      <c r="E518" s="58">
        <v>-505.76756528096121</v>
      </c>
      <c r="F518" s="58">
        <v>-75.212755199999989</v>
      </c>
      <c r="G518" s="58">
        <v>-103.74493096360578</v>
      </c>
      <c r="H518" s="39">
        <v>-2.4330459318290809E-2</v>
      </c>
      <c r="I518" s="39">
        <v>0.37935288619244467</v>
      </c>
      <c r="J518" s="39">
        <v>0.11310759435972839</v>
      </c>
    </row>
    <row r="519" spans="1:10" ht="11.25" customHeight="1" x14ac:dyDescent="0.2">
      <c r="A519" s="66" t="s">
        <v>37</v>
      </c>
      <c r="B519" s="58">
        <v>0</v>
      </c>
      <c r="C519" s="58">
        <v>0</v>
      </c>
      <c r="D519" s="58">
        <v>8.7412608000000027</v>
      </c>
      <c r="E519" s="58">
        <v>12.00628020866861</v>
      </c>
      <c r="F519" s="58">
        <v>17.424460799999999</v>
      </c>
      <c r="G519" s="58">
        <v>23.150625292914668</v>
      </c>
      <c r="H519" s="39">
        <v>0.37351813238069798</v>
      </c>
      <c r="I519" s="39">
        <v>0.32862793050759254</v>
      </c>
      <c r="J519" s="39">
        <v>0.34362453438254414</v>
      </c>
    </row>
    <row r="520" spans="1:10" ht="11.25" customHeight="1" x14ac:dyDescent="0.2">
      <c r="A520" s="67">
        <v>44743</v>
      </c>
      <c r="B520" s="58">
        <v>0</v>
      </c>
      <c r="C520" s="58">
        <v>0</v>
      </c>
      <c r="D520" s="58">
        <v>1.7806272000000001</v>
      </c>
      <c r="E520" s="58">
        <v>2.4457237462102719</v>
      </c>
      <c r="F520" s="58">
        <v>3.5494271999999998</v>
      </c>
      <c r="G520" s="58">
        <v>4.7158681152233584</v>
      </c>
      <c r="H520" s="39">
        <v>0.3735181323806982</v>
      </c>
      <c r="I520" s="39">
        <v>0.32862793050759254</v>
      </c>
      <c r="J520" s="39">
        <v>0.34362453438254392</v>
      </c>
    </row>
    <row r="521" spans="1:10" ht="11.25" customHeight="1" x14ac:dyDescent="0.2">
      <c r="A521" s="67">
        <v>44774</v>
      </c>
      <c r="B521" s="58">
        <v>0</v>
      </c>
      <c r="C521" s="58">
        <v>0</v>
      </c>
      <c r="D521" s="58">
        <v>6.6368832000000006</v>
      </c>
      <c r="E521" s="58">
        <v>9.1158794176928328</v>
      </c>
      <c r="F521" s="58">
        <v>13.229683200000002</v>
      </c>
      <c r="G521" s="58">
        <v>17.577326611287063</v>
      </c>
      <c r="H521" s="39">
        <v>0.3735181323806982</v>
      </c>
      <c r="I521" s="39">
        <v>0.32862793050759231</v>
      </c>
      <c r="J521" s="39">
        <v>0.3436245343825437</v>
      </c>
    </row>
    <row r="522" spans="1:10" ht="11.25" customHeight="1" x14ac:dyDescent="0.2">
      <c r="A522" s="67">
        <v>44805</v>
      </c>
      <c r="B522" s="58">
        <v>0</v>
      </c>
      <c r="C522" s="58">
        <v>0</v>
      </c>
      <c r="D522" s="58">
        <v>0.1618752</v>
      </c>
      <c r="E522" s="58">
        <v>0.22233852238275201</v>
      </c>
      <c r="F522" s="58">
        <v>0.32267520000000005</v>
      </c>
      <c r="G522" s="58">
        <v>0.42871528320212349</v>
      </c>
      <c r="H522" s="39">
        <v>0.3735181323806982</v>
      </c>
      <c r="I522" s="39">
        <v>0.32862793050759231</v>
      </c>
      <c r="J522" s="39">
        <v>0.34362453438254392</v>
      </c>
    </row>
    <row r="523" spans="1:10" ht="11.25" customHeight="1" x14ac:dyDescent="0.2">
      <c r="A523" s="67">
        <v>44835</v>
      </c>
      <c r="B523" s="58">
        <v>0</v>
      </c>
      <c r="C523" s="58">
        <v>0</v>
      </c>
      <c r="D523" s="58">
        <v>8.0937599999999998E-2</v>
      </c>
      <c r="E523" s="58">
        <v>0.111169261191376</v>
      </c>
      <c r="F523" s="58">
        <v>0.16133760000000003</v>
      </c>
      <c r="G523" s="58">
        <v>0.21435764160106174</v>
      </c>
      <c r="H523" s="39">
        <v>0.3735181323806982</v>
      </c>
      <c r="I523" s="39">
        <v>0.32862793050759231</v>
      </c>
      <c r="J523" s="39">
        <v>0.34362453438254392</v>
      </c>
    </row>
    <row r="524" spans="1:10" ht="11.25" customHeight="1" x14ac:dyDescent="0.2">
      <c r="A524" s="67">
        <v>44866</v>
      </c>
      <c r="B524" s="58">
        <v>0</v>
      </c>
      <c r="C524" s="58">
        <v>0</v>
      </c>
      <c r="D524" s="58">
        <v>8.0937599999999998E-2</v>
      </c>
      <c r="E524" s="58">
        <v>0.111169261191376</v>
      </c>
      <c r="F524" s="58">
        <v>0.16133760000000003</v>
      </c>
      <c r="G524" s="58">
        <v>0.21435764160106174</v>
      </c>
      <c r="H524" s="39">
        <v>0.3735181323806982</v>
      </c>
      <c r="I524" s="39">
        <v>0.32862793050759231</v>
      </c>
      <c r="J524" s="39">
        <v>0.34362453438254392</v>
      </c>
    </row>
    <row r="525" spans="1:10" ht="11.25" customHeight="1" x14ac:dyDescent="0.2">
      <c r="A525" s="66" t="s">
        <v>25</v>
      </c>
      <c r="B525" s="58">
        <v>342.14399999999995</v>
      </c>
      <c r="C525" s="58">
        <v>363.6102590167294</v>
      </c>
      <c r="D525" s="58">
        <v>0</v>
      </c>
      <c r="E525" s="58">
        <v>0</v>
      </c>
      <c r="F525" s="58">
        <v>0</v>
      </c>
      <c r="G525" s="58">
        <v>0</v>
      </c>
      <c r="H525" s="39">
        <v>6.2740422210325164E-2</v>
      </c>
      <c r="I525" s="39">
        <v>0</v>
      </c>
      <c r="J525" s="39">
        <v>6.2740422210325164E-2</v>
      </c>
    </row>
    <row r="526" spans="1:10" ht="11.25" customHeight="1" x14ac:dyDescent="0.2">
      <c r="A526" s="67">
        <v>44774</v>
      </c>
      <c r="B526" s="58">
        <v>285.12</v>
      </c>
      <c r="C526" s="58">
        <v>303.00854918060787</v>
      </c>
      <c r="D526" s="58">
        <v>0</v>
      </c>
      <c r="E526" s="58">
        <v>0</v>
      </c>
      <c r="F526" s="58">
        <v>0</v>
      </c>
      <c r="G526" s="58">
        <v>0</v>
      </c>
      <c r="H526" s="39">
        <v>6.2740422210324942E-2</v>
      </c>
      <c r="I526" s="39">
        <v>0</v>
      </c>
      <c r="J526" s="39">
        <v>6.2740422210324942E-2</v>
      </c>
    </row>
    <row r="527" spans="1:10" ht="11.25" customHeight="1" x14ac:dyDescent="0.2">
      <c r="A527" s="67">
        <v>44805</v>
      </c>
      <c r="B527" s="58">
        <v>19.007999999999999</v>
      </c>
      <c r="C527" s="58">
        <v>20.200569945373857</v>
      </c>
      <c r="D527" s="58">
        <v>0</v>
      </c>
      <c r="E527" s="58">
        <v>0</v>
      </c>
      <c r="F527" s="58">
        <v>0</v>
      </c>
      <c r="G527" s="58">
        <v>0</v>
      </c>
      <c r="H527" s="39">
        <v>6.2740422210324942E-2</v>
      </c>
      <c r="I527" s="39">
        <v>0</v>
      </c>
      <c r="J527" s="39">
        <v>6.2740422210324942E-2</v>
      </c>
    </row>
    <row r="528" spans="1:10" ht="11.25" customHeight="1" x14ac:dyDescent="0.2">
      <c r="A528" s="67">
        <v>44835</v>
      </c>
      <c r="B528" s="58">
        <v>19.007999999999999</v>
      </c>
      <c r="C528" s="58">
        <v>20.200569945373857</v>
      </c>
      <c r="D528" s="58">
        <v>0</v>
      </c>
      <c r="E528" s="58">
        <v>0</v>
      </c>
      <c r="F528" s="58">
        <v>0</v>
      </c>
      <c r="G528" s="58">
        <v>0</v>
      </c>
      <c r="H528" s="39">
        <v>6.2740422210324942E-2</v>
      </c>
      <c r="I528" s="39">
        <v>0</v>
      </c>
      <c r="J528" s="39">
        <v>6.2740422210324942E-2</v>
      </c>
    </row>
    <row r="529" spans="1:10" ht="11.25" customHeight="1" x14ac:dyDescent="0.2">
      <c r="A529" s="67">
        <v>44866</v>
      </c>
      <c r="B529" s="58">
        <v>19.007999999999999</v>
      </c>
      <c r="C529" s="58">
        <v>20.200569945373857</v>
      </c>
      <c r="D529" s="58">
        <v>0</v>
      </c>
      <c r="E529" s="58">
        <v>0</v>
      </c>
      <c r="F529" s="58">
        <v>0</v>
      </c>
      <c r="G529" s="58">
        <v>0</v>
      </c>
      <c r="H529" s="39">
        <v>6.2740422210324942E-2</v>
      </c>
      <c r="I529" s="39">
        <v>0</v>
      </c>
      <c r="J529" s="39">
        <v>6.2740422210324942E-2</v>
      </c>
    </row>
    <row r="530" spans="1:10" ht="11.25" customHeight="1" x14ac:dyDescent="0.2">
      <c r="A530" s="66" t="s">
        <v>36</v>
      </c>
      <c r="B530" s="58">
        <v>0</v>
      </c>
      <c r="C530" s="58">
        <v>0</v>
      </c>
      <c r="D530" s="58">
        <v>-496.58757119999996</v>
      </c>
      <c r="E530" s="58">
        <v>-517.77384548962982</v>
      </c>
      <c r="F530" s="58">
        <v>-92.637215999999995</v>
      </c>
      <c r="G530" s="58">
        <v>-126.89555625652045</v>
      </c>
      <c r="H530" s="39">
        <v>4.2663722409389759E-2</v>
      </c>
      <c r="I530" s="39">
        <v>0.36981185030992791</v>
      </c>
      <c r="J530" s="39">
        <v>9.4097559625119453E-2</v>
      </c>
    </row>
    <row r="531" spans="1:10" ht="11.25" customHeight="1" x14ac:dyDescent="0.2">
      <c r="A531" s="67">
        <v>44531</v>
      </c>
      <c r="B531" s="58">
        <v>0</v>
      </c>
      <c r="C531" s="58">
        <v>0</v>
      </c>
      <c r="D531" s="58">
        <v>-499.36957439999998</v>
      </c>
      <c r="E531" s="58">
        <v>-520.67453930189663</v>
      </c>
      <c r="F531" s="58">
        <v>-93.15619199999999</v>
      </c>
      <c r="G531" s="58">
        <v>-127.6064557313469</v>
      </c>
      <c r="H531" s="39">
        <v>4.2663722409389759E-2</v>
      </c>
      <c r="I531" s="39">
        <v>0.36981185030992791</v>
      </c>
      <c r="J531" s="39">
        <v>9.4097559625119231E-2</v>
      </c>
    </row>
    <row r="532" spans="1:10" ht="11.25" customHeight="1" x14ac:dyDescent="0.2">
      <c r="A532" s="67">
        <v>44743</v>
      </c>
      <c r="B532" s="58">
        <v>0</v>
      </c>
      <c r="C532" s="58">
        <v>0</v>
      </c>
      <c r="D532" s="58">
        <v>2.7820032000000001</v>
      </c>
      <c r="E532" s="58">
        <v>2.9006938122668333</v>
      </c>
      <c r="F532" s="58">
        <v>0.51897599999999999</v>
      </c>
      <c r="G532" s="58">
        <v>0.71089947482644522</v>
      </c>
      <c r="H532" s="39">
        <v>4.2663722409389537E-2</v>
      </c>
      <c r="I532" s="39">
        <v>0.36981185030992814</v>
      </c>
      <c r="J532" s="39">
        <v>9.4097559625119231E-2</v>
      </c>
    </row>
    <row r="533" spans="1:10" ht="11.25" customHeight="1" x14ac:dyDescent="0.2">
      <c r="A533" s="62" t="s">
        <v>52</v>
      </c>
      <c r="B533" s="58">
        <v>1658068.632</v>
      </c>
      <c r="C533" s="58">
        <v>1781224.8315601717</v>
      </c>
      <c r="D533" s="58">
        <v>7802551.6884158002</v>
      </c>
      <c r="E533" s="58">
        <v>9189879.388584638</v>
      </c>
      <c r="F533" s="58">
        <v>6674957.0111988001</v>
      </c>
      <c r="G533" s="58">
        <v>9002967.2909875959</v>
      </c>
      <c r="H533" s="39">
        <v>0.15966013311721428</v>
      </c>
      <c r="I533" s="39">
        <v>0.34876783114603094</v>
      </c>
      <c r="J533" s="39">
        <v>0.23789010461974658</v>
      </c>
    </row>
    <row r="534" spans="1:10" ht="11.25" customHeight="1" x14ac:dyDescent="0.2">
      <c r="A534" s="63" t="s">
        <v>53</v>
      </c>
      <c r="B534" s="58">
        <v>1658068.632</v>
      </c>
      <c r="C534" s="58">
        <v>1781224.8315601717</v>
      </c>
      <c r="D534" s="58">
        <v>7802551.6884158002</v>
      </c>
      <c r="E534" s="58">
        <v>9189879.388584638</v>
      </c>
      <c r="F534" s="58">
        <v>6674957.0111988001</v>
      </c>
      <c r="G534" s="58">
        <v>9002967.2909875959</v>
      </c>
      <c r="H534" s="39">
        <v>0.15966013311721428</v>
      </c>
      <c r="I534" s="39">
        <v>0.34876783114603094</v>
      </c>
      <c r="J534" s="39">
        <v>0.23789010461974658</v>
      </c>
    </row>
    <row r="535" spans="1:10" ht="11.25" customHeight="1" x14ac:dyDescent="0.2">
      <c r="A535" s="64" t="s">
        <v>25</v>
      </c>
      <c r="B535" s="58">
        <v>1658068.632</v>
      </c>
      <c r="C535" s="58">
        <v>1781224.8315601717</v>
      </c>
      <c r="D535" s="58">
        <v>7802551.6884158002</v>
      </c>
      <c r="E535" s="58">
        <v>9189879.388584638</v>
      </c>
      <c r="F535" s="58">
        <v>6674957.0111988001</v>
      </c>
      <c r="G535" s="58">
        <v>9002967.2909875959</v>
      </c>
      <c r="H535" s="39">
        <v>0.15966013311721428</v>
      </c>
      <c r="I535" s="39">
        <v>0.34876783114603094</v>
      </c>
      <c r="J535" s="39">
        <v>0.23789010461974658</v>
      </c>
    </row>
    <row r="536" spans="1:10" ht="11.25" customHeight="1" x14ac:dyDescent="0.2">
      <c r="A536" s="65" t="s">
        <v>25</v>
      </c>
      <c r="B536" s="58">
        <v>1658068.632</v>
      </c>
      <c r="C536" s="58">
        <v>1781224.8315601717</v>
      </c>
      <c r="D536" s="58">
        <v>7802551.6884158002</v>
      </c>
      <c r="E536" s="58">
        <v>9189879.388584638</v>
      </c>
      <c r="F536" s="58">
        <v>6674957.0111988001</v>
      </c>
      <c r="G536" s="58">
        <v>9002967.2909875959</v>
      </c>
      <c r="H536" s="39">
        <v>0.15966013311721428</v>
      </c>
      <c r="I536" s="39">
        <v>0.34876783114603094</v>
      </c>
      <c r="J536" s="39">
        <v>0.23789010461974658</v>
      </c>
    </row>
    <row r="537" spans="1:10" ht="11.25" customHeight="1" x14ac:dyDescent="0.2">
      <c r="A537" s="66" t="s">
        <v>37</v>
      </c>
      <c r="B537" s="58">
        <v>0</v>
      </c>
      <c r="C537" s="58">
        <v>0</v>
      </c>
      <c r="D537" s="58">
        <v>2888742.6152638001</v>
      </c>
      <c r="E537" s="58">
        <v>4010811.7943450785</v>
      </c>
      <c r="F537" s="58">
        <v>5758297.7573387995</v>
      </c>
      <c r="G537" s="58">
        <v>7733685.9841273203</v>
      </c>
      <c r="H537" s="39">
        <v>0.3884282293453174</v>
      </c>
      <c r="I537" s="39">
        <v>0.34305072610580756</v>
      </c>
      <c r="J537" s="39">
        <v>0.35821012420432585</v>
      </c>
    </row>
    <row r="538" spans="1:10" ht="11.25" customHeight="1" x14ac:dyDescent="0.2">
      <c r="A538" s="67">
        <v>44531</v>
      </c>
      <c r="B538" s="58">
        <v>0</v>
      </c>
      <c r="C538" s="58">
        <v>0</v>
      </c>
      <c r="D538" s="58">
        <v>211042.27787580003</v>
      </c>
      <c r="E538" s="58">
        <v>293017.05618809944</v>
      </c>
      <c r="F538" s="58">
        <v>420682.78045079997</v>
      </c>
      <c r="G538" s="58">
        <v>564998.31374465709</v>
      </c>
      <c r="H538" s="39">
        <v>0.38842822934531718</v>
      </c>
      <c r="I538" s="39">
        <v>0.343050726105808</v>
      </c>
      <c r="J538" s="39">
        <v>0.35821012420432607</v>
      </c>
    </row>
    <row r="539" spans="1:10" ht="11.25" customHeight="1" x14ac:dyDescent="0.2">
      <c r="A539" s="67">
        <v>44562</v>
      </c>
      <c r="B539" s="58">
        <v>0</v>
      </c>
      <c r="C539" s="58">
        <v>0</v>
      </c>
      <c r="D539" s="58">
        <v>249557.03175060003</v>
      </c>
      <c r="E539" s="58">
        <v>346492.02771415864</v>
      </c>
      <c r="F539" s="58">
        <v>497456.46727559995</v>
      </c>
      <c r="G539" s="58">
        <v>668109.26958052453</v>
      </c>
      <c r="H539" s="39">
        <v>0.38842822934531696</v>
      </c>
      <c r="I539" s="39">
        <v>0.34305072610580778</v>
      </c>
      <c r="J539" s="39">
        <v>0.35821012420432585</v>
      </c>
    </row>
    <row r="540" spans="1:10" ht="11.25" customHeight="1" x14ac:dyDescent="0.2">
      <c r="A540" s="67">
        <v>44593</v>
      </c>
      <c r="B540" s="58">
        <v>0</v>
      </c>
      <c r="C540" s="58">
        <v>0</v>
      </c>
      <c r="D540" s="58">
        <v>228587.11131060001</v>
      </c>
      <c r="E540" s="58">
        <v>317376.79820813728</v>
      </c>
      <c r="F540" s="58">
        <v>455655.91183559992</v>
      </c>
      <c r="G540" s="58">
        <v>611969.00324520655</v>
      </c>
      <c r="H540" s="39">
        <v>0.38842822934531718</v>
      </c>
      <c r="I540" s="39">
        <v>0.343050726105808</v>
      </c>
      <c r="J540" s="39">
        <v>0.35821012420432607</v>
      </c>
    </row>
    <row r="541" spans="1:10" ht="11.25" customHeight="1" x14ac:dyDescent="0.2">
      <c r="A541" s="67">
        <v>44621</v>
      </c>
      <c r="B541" s="58">
        <v>0</v>
      </c>
      <c r="C541" s="58">
        <v>0</v>
      </c>
      <c r="D541" s="58">
        <v>234772.20757220002</v>
      </c>
      <c r="E541" s="58">
        <v>325964.36045896087</v>
      </c>
      <c r="F541" s="58">
        <v>467985.02199719992</v>
      </c>
      <c r="G541" s="58">
        <v>628527.62359998189</v>
      </c>
      <c r="H541" s="39">
        <v>0.38842822934531696</v>
      </c>
      <c r="I541" s="39">
        <v>0.343050726105808</v>
      </c>
      <c r="J541" s="39">
        <v>0.35821012420432607</v>
      </c>
    </row>
    <row r="542" spans="1:10" ht="11.25" customHeight="1" x14ac:dyDescent="0.2">
      <c r="A542" s="67">
        <v>44652</v>
      </c>
      <c r="B542" s="58">
        <v>0</v>
      </c>
      <c r="C542" s="58">
        <v>0</v>
      </c>
      <c r="D542" s="58">
        <v>241651.30834359999</v>
      </c>
      <c r="E542" s="58">
        <v>335515.4981624838</v>
      </c>
      <c r="F542" s="58">
        <v>481697.53149359993</v>
      </c>
      <c r="G542" s="58">
        <v>646944.2194358547</v>
      </c>
      <c r="H542" s="39">
        <v>0.38842822934531718</v>
      </c>
      <c r="I542" s="39">
        <v>0.343050726105808</v>
      </c>
      <c r="J542" s="39">
        <v>0.35821012420432607</v>
      </c>
    </row>
    <row r="543" spans="1:10" ht="11.25" customHeight="1" x14ac:dyDescent="0.2">
      <c r="A543" s="67">
        <v>44682</v>
      </c>
      <c r="B543" s="58">
        <v>0</v>
      </c>
      <c r="C543" s="58">
        <v>0</v>
      </c>
      <c r="D543" s="58">
        <v>252205.45503580003</v>
      </c>
      <c r="E543" s="58">
        <v>350169.1733665858</v>
      </c>
      <c r="F543" s="58">
        <v>502735.72261079994</v>
      </c>
      <c r="G543" s="58">
        <v>675199.57729176292</v>
      </c>
      <c r="H543" s="39">
        <v>0.38842822934531696</v>
      </c>
      <c r="I543" s="39">
        <v>0.343050726105808</v>
      </c>
      <c r="J543" s="39">
        <v>0.35821012420432607</v>
      </c>
    </row>
    <row r="544" spans="1:10" ht="11.25" customHeight="1" x14ac:dyDescent="0.2">
      <c r="A544" s="67">
        <v>44713</v>
      </c>
      <c r="B544" s="58">
        <v>0</v>
      </c>
      <c r="C544" s="58">
        <v>0</v>
      </c>
      <c r="D544" s="58">
        <v>234208.88862100002</v>
      </c>
      <c r="E544" s="58">
        <v>325182.23252498964</v>
      </c>
      <c r="F544" s="58">
        <v>466862.12574599998</v>
      </c>
      <c r="G544" s="58">
        <v>627019.51697446627</v>
      </c>
      <c r="H544" s="39">
        <v>0.38842822934531718</v>
      </c>
      <c r="I544" s="39">
        <v>0.343050726105808</v>
      </c>
      <c r="J544" s="39">
        <v>0.35821012420432607</v>
      </c>
    </row>
    <row r="545" spans="1:10" ht="11.25" customHeight="1" x14ac:dyDescent="0.2">
      <c r="A545" s="67">
        <v>44743</v>
      </c>
      <c r="B545" s="58">
        <v>0</v>
      </c>
      <c r="C545" s="58">
        <v>0</v>
      </c>
      <c r="D545" s="58">
        <v>226347.78375219999</v>
      </c>
      <c r="E545" s="58">
        <v>314267.65261130384</v>
      </c>
      <c r="F545" s="58">
        <v>451192.13067719992</v>
      </c>
      <c r="G545" s="58">
        <v>605973.91871923988</v>
      </c>
      <c r="H545" s="39">
        <v>0.3884282293453174</v>
      </c>
      <c r="I545" s="39">
        <v>0.34305072610580778</v>
      </c>
      <c r="J545" s="39">
        <v>0.35821012420432607</v>
      </c>
    </row>
    <row r="546" spans="1:10" ht="11.25" customHeight="1" x14ac:dyDescent="0.2">
      <c r="A546" s="67">
        <v>44774</v>
      </c>
      <c r="B546" s="58">
        <v>0</v>
      </c>
      <c r="C546" s="58">
        <v>0</v>
      </c>
      <c r="D546" s="58">
        <v>256164.14171720002</v>
      </c>
      <c r="E546" s="58">
        <v>355665.5257061749</v>
      </c>
      <c r="F546" s="58">
        <v>510626.8017672</v>
      </c>
      <c r="G546" s="58">
        <v>685797.69688252429</v>
      </c>
      <c r="H546" s="39">
        <v>0.38842822934531718</v>
      </c>
      <c r="I546" s="39">
        <v>0.34305072610580778</v>
      </c>
      <c r="J546" s="39">
        <v>0.35821012420432585</v>
      </c>
    </row>
    <row r="547" spans="1:10" ht="11.25" customHeight="1" x14ac:dyDescent="0.2">
      <c r="A547" s="67">
        <v>44805</v>
      </c>
      <c r="B547" s="58">
        <v>0</v>
      </c>
      <c r="C547" s="58">
        <v>0</v>
      </c>
      <c r="D547" s="58">
        <v>248422.54795960005</v>
      </c>
      <c r="E547" s="58">
        <v>344916.87839299953</v>
      </c>
      <c r="F547" s="58">
        <v>495195.03510959994</v>
      </c>
      <c r="G547" s="58">
        <v>665072.05146793928</v>
      </c>
      <c r="H547" s="39">
        <v>0.38842822934531673</v>
      </c>
      <c r="I547" s="39">
        <v>0.343050726105808</v>
      </c>
      <c r="J547" s="39">
        <v>0.35821012420432607</v>
      </c>
    </row>
    <row r="548" spans="1:10" ht="11.25" customHeight="1" x14ac:dyDescent="0.2">
      <c r="A548" s="67">
        <v>44835</v>
      </c>
      <c r="B548" s="58">
        <v>0</v>
      </c>
      <c r="C548" s="58">
        <v>0</v>
      </c>
      <c r="D548" s="58">
        <v>252891.93066260003</v>
      </c>
      <c r="E548" s="58">
        <v>351122.29550559248</v>
      </c>
      <c r="F548" s="58">
        <v>504104.11418759997</v>
      </c>
      <c r="G548" s="58">
        <v>677037.3965925813</v>
      </c>
      <c r="H548" s="39">
        <v>0.38842822934531718</v>
      </c>
      <c r="I548" s="39">
        <v>0.343050726105808</v>
      </c>
      <c r="J548" s="39">
        <v>0.3582101242043263</v>
      </c>
    </row>
    <row r="549" spans="1:10" ht="11.25" customHeight="1" x14ac:dyDescent="0.2">
      <c r="A549" s="67">
        <v>44866</v>
      </c>
      <c r="B549" s="58">
        <v>0</v>
      </c>
      <c r="C549" s="58">
        <v>0</v>
      </c>
      <c r="D549" s="58">
        <v>252891.93066260003</v>
      </c>
      <c r="E549" s="58">
        <v>351122.29550559248</v>
      </c>
      <c r="F549" s="58">
        <v>504104.11418759997</v>
      </c>
      <c r="G549" s="58">
        <v>677037.3965925813</v>
      </c>
      <c r="H549" s="39">
        <v>0.38842822934531718</v>
      </c>
      <c r="I549" s="39">
        <v>0.343050726105808</v>
      </c>
      <c r="J549" s="39">
        <v>0.3582101242043263</v>
      </c>
    </row>
    <row r="550" spans="1:10" ht="11.25" customHeight="1" x14ac:dyDescent="0.2">
      <c r="A550" s="66" t="s">
        <v>25</v>
      </c>
      <c r="B550" s="58">
        <v>1658068.632</v>
      </c>
      <c r="C550" s="58">
        <v>1781224.8315601717</v>
      </c>
      <c r="D550" s="58">
        <v>0</v>
      </c>
      <c r="E550" s="58">
        <v>0</v>
      </c>
      <c r="F550" s="58">
        <v>0</v>
      </c>
      <c r="G550" s="58">
        <v>0</v>
      </c>
      <c r="H550" s="39">
        <v>7.427690095772288E-2</v>
      </c>
      <c r="I550" s="39">
        <v>0</v>
      </c>
      <c r="J550" s="39">
        <v>7.427690095772288E-2</v>
      </c>
    </row>
    <row r="551" spans="1:10" ht="11.25" customHeight="1" x14ac:dyDescent="0.2">
      <c r="A551" s="67">
        <v>44531</v>
      </c>
      <c r="B551" s="58">
        <v>123955.92</v>
      </c>
      <c r="C551" s="58">
        <v>133162.98159296345</v>
      </c>
      <c r="D551" s="58">
        <v>0</v>
      </c>
      <c r="E551" s="58">
        <v>0</v>
      </c>
      <c r="F551" s="58">
        <v>0</v>
      </c>
      <c r="G551" s="58">
        <v>0</v>
      </c>
      <c r="H551" s="39">
        <v>7.4276900957723102E-2</v>
      </c>
      <c r="I551" s="39">
        <v>0</v>
      </c>
      <c r="J551" s="39">
        <v>7.4276900957723102E-2</v>
      </c>
    </row>
    <row r="552" spans="1:10" ht="11.25" customHeight="1" x14ac:dyDescent="0.2">
      <c r="A552" s="67">
        <v>44562</v>
      </c>
      <c r="B552" s="58">
        <v>141451.19999999998</v>
      </c>
      <c r="C552" s="58">
        <v>151957.75677275108</v>
      </c>
      <c r="D552" s="58">
        <v>0</v>
      </c>
      <c r="E552" s="58">
        <v>0</v>
      </c>
      <c r="F552" s="58">
        <v>0</v>
      </c>
      <c r="G552" s="58">
        <v>0</v>
      </c>
      <c r="H552" s="39">
        <v>7.4276900957723102E-2</v>
      </c>
      <c r="I552" s="39">
        <v>0</v>
      </c>
      <c r="J552" s="39">
        <v>7.4276900957723102E-2</v>
      </c>
    </row>
    <row r="553" spans="1:10" ht="11.25" customHeight="1" x14ac:dyDescent="0.2">
      <c r="A553" s="67">
        <v>44593</v>
      </c>
      <c r="B553" s="58">
        <v>137710.18799999999</v>
      </c>
      <c r="C553" s="58">
        <v>147938.87399494543</v>
      </c>
      <c r="D553" s="58">
        <v>0</v>
      </c>
      <c r="E553" s="58">
        <v>0</v>
      </c>
      <c r="F553" s="58">
        <v>0</v>
      </c>
      <c r="G553" s="58">
        <v>0</v>
      </c>
      <c r="H553" s="39">
        <v>7.4276900957723102E-2</v>
      </c>
      <c r="I553" s="39">
        <v>0</v>
      </c>
      <c r="J553" s="39">
        <v>7.4276900957723102E-2</v>
      </c>
    </row>
    <row r="554" spans="1:10" ht="11.25" customHeight="1" x14ac:dyDescent="0.2">
      <c r="A554" s="67">
        <v>44621</v>
      </c>
      <c r="B554" s="58">
        <v>137821.85999999999</v>
      </c>
      <c r="C554" s="58">
        <v>148058.84064502918</v>
      </c>
      <c r="D554" s="58">
        <v>0</v>
      </c>
      <c r="E554" s="58">
        <v>0</v>
      </c>
      <c r="F554" s="58">
        <v>0</v>
      </c>
      <c r="G554" s="58">
        <v>0</v>
      </c>
      <c r="H554" s="39">
        <v>7.4276900957723324E-2</v>
      </c>
      <c r="I554" s="39">
        <v>0</v>
      </c>
      <c r="J554" s="39">
        <v>7.4276900957723324E-2</v>
      </c>
    </row>
    <row r="555" spans="1:10" ht="11.25" customHeight="1" x14ac:dyDescent="0.2">
      <c r="A555" s="67">
        <v>44652</v>
      </c>
      <c r="B555" s="58">
        <v>137375.17199999999</v>
      </c>
      <c r="C555" s="58">
        <v>147578.97404469419</v>
      </c>
      <c r="D555" s="58">
        <v>0</v>
      </c>
      <c r="E555" s="58">
        <v>0</v>
      </c>
      <c r="F555" s="58">
        <v>0</v>
      </c>
      <c r="G555" s="58">
        <v>0</v>
      </c>
      <c r="H555" s="39">
        <v>7.4276900957723324E-2</v>
      </c>
      <c r="I555" s="39">
        <v>0</v>
      </c>
      <c r="J555" s="39">
        <v>7.4276900957723324E-2</v>
      </c>
    </row>
    <row r="556" spans="1:10" ht="11.25" customHeight="1" x14ac:dyDescent="0.2">
      <c r="A556" s="67">
        <v>44682</v>
      </c>
      <c r="B556" s="58">
        <v>137002.932</v>
      </c>
      <c r="C556" s="58">
        <v>147179.08521108169</v>
      </c>
      <c r="D556" s="58">
        <v>0</v>
      </c>
      <c r="E556" s="58">
        <v>0</v>
      </c>
      <c r="F556" s="58">
        <v>0</v>
      </c>
      <c r="G556" s="58">
        <v>0</v>
      </c>
      <c r="H556" s="39">
        <v>7.4276900957723324E-2</v>
      </c>
      <c r="I556" s="39">
        <v>0</v>
      </c>
      <c r="J556" s="39">
        <v>7.4276900957723324E-2</v>
      </c>
    </row>
    <row r="557" spans="1:10" ht="11.25" customHeight="1" x14ac:dyDescent="0.2">
      <c r="A557" s="67">
        <v>44713</v>
      </c>
      <c r="B557" s="58">
        <v>138436.05599999998</v>
      </c>
      <c r="C557" s="58">
        <v>148718.65722048981</v>
      </c>
      <c r="D557" s="58">
        <v>0</v>
      </c>
      <c r="E557" s="58">
        <v>0</v>
      </c>
      <c r="F557" s="58">
        <v>0</v>
      </c>
      <c r="G557" s="58">
        <v>0</v>
      </c>
      <c r="H557" s="39">
        <v>7.4276900957723324E-2</v>
      </c>
      <c r="I557" s="39">
        <v>0</v>
      </c>
      <c r="J557" s="39">
        <v>7.4276900957723324E-2</v>
      </c>
    </row>
    <row r="558" spans="1:10" ht="11.25" customHeight="1" x14ac:dyDescent="0.2">
      <c r="A558" s="67">
        <v>44743</v>
      </c>
      <c r="B558" s="58">
        <v>134955.61199999999</v>
      </c>
      <c r="C558" s="58">
        <v>144979.69662621291</v>
      </c>
      <c r="D558" s="58">
        <v>0</v>
      </c>
      <c r="E558" s="58">
        <v>0</v>
      </c>
      <c r="F558" s="58">
        <v>0</v>
      </c>
      <c r="G558" s="58">
        <v>0</v>
      </c>
      <c r="H558" s="39">
        <v>7.4276900957723102E-2</v>
      </c>
      <c r="I558" s="39">
        <v>0</v>
      </c>
      <c r="J558" s="39">
        <v>7.4276900957723102E-2</v>
      </c>
    </row>
    <row r="559" spans="1:10" ht="11.25" customHeight="1" x14ac:dyDescent="0.2">
      <c r="A559" s="67">
        <v>44774</v>
      </c>
      <c r="B559" s="58">
        <v>136184.00399999999</v>
      </c>
      <c r="C559" s="58">
        <v>146299.32977713417</v>
      </c>
      <c r="D559" s="58">
        <v>0</v>
      </c>
      <c r="E559" s="58">
        <v>0</v>
      </c>
      <c r="F559" s="58">
        <v>0</v>
      </c>
      <c r="G559" s="58">
        <v>0</v>
      </c>
      <c r="H559" s="39">
        <v>7.4276900957723324E-2</v>
      </c>
      <c r="I559" s="39">
        <v>0</v>
      </c>
      <c r="J559" s="39">
        <v>7.4276900957723324E-2</v>
      </c>
    </row>
    <row r="560" spans="1:10" ht="11.25" customHeight="1" x14ac:dyDescent="0.2">
      <c r="A560" s="67">
        <v>44805</v>
      </c>
      <c r="B560" s="58">
        <v>141562.87199999997</v>
      </c>
      <c r="C560" s="58">
        <v>152077.72342283482</v>
      </c>
      <c r="D560" s="58">
        <v>0</v>
      </c>
      <c r="E560" s="58">
        <v>0</v>
      </c>
      <c r="F560" s="58">
        <v>0</v>
      </c>
      <c r="G560" s="58">
        <v>0</v>
      </c>
      <c r="H560" s="39">
        <v>7.4276900957723324E-2</v>
      </c>
      <c r="I560" s="39">
        <v>0</v>
      </c>
      <c r="J560" s="39">
        <v>7.4276900957723324E-2</v>
      </c>
    </row>
    <row r="561" spans="1:10" ht="11.25" customHeight="1" x14ac:dyDescent="0.2">
      <c r="A561" s="67">
        <v>44835</v>
      </c>
      <c r="B561" s="58">
        <v>145806.408</v>
      </c>
      <c r="C561" s="58">
        <v>156636.45612601738</v>
      </c>
      <c r="D561" s="58">
        <v>0</v>
      </c>
      <c r="E561" s="58">
        <v>0</v>
      </c>
      <c r="F561" s="58">
        <v>0</v>
      </c>
      <c r="G561" s="58">
        <v>0</v>
      </c>
      <c r="H561" s="39">
        <v>7.4276900957723324E-2</v>
      </c>
      <c r="I561" s="39">
        <v>0</v>
      </c>
      <c r="J561" s="39">
        <v>7.4276900957723324E-2</v>
      </c>
    </row>
    <row r="562" spans="1:10" ht="11.25" customHeight="1" x14ac:dyDescent="0.2">
      <c r="A562" s="67">
        <v>44866</v>
      </c>
      <c r="B562" s="58">
        <v>145806.408</v>
      </c>
      <c r="C562" s="58">
        <v>156636.45612601738</v>
      </c>
      <c r="D562" s="58">
        <v>0</v>
      </c>
      <c r="E562" s="58">
        <v>0</v>
      </c>
      <c r="F562" s="58">
        <v>0</v>
      </c>
      <c r="G562" s="58">
        <v>0</v>
      </c>
      <c r="H562" s="39">
        <v>7.4276900957723324E-2</v>
      </c>
      <c r="I562" s="39">
        <v>0</v>
      </c>
      <c r="J562" s="39">
        <v>7.4276900957723324E-2</v>
      </c>
    </row>
    <row r="563" spans="1:10" ht="11.25" customHeight="1" x14ac:dyDescent="0.2">
      <c r="A563" s="66" t="s">
        <v>36</v>
      </c>
      <c r="B563" s="58">
        <v>0</v>
      </c>
      <c r="C563" s="58">
        <v>0</v>
      </c>
      <c r="D563" s="58">
        <v>4913809.0731520001</v>
      </c>
      <c r="E563" s="58">
        <v>5179067.5942395618</v>
      </c>
      <c r="F563" s="58">
        <v>916659.25386000006</v>
      </c>
      <c r="G563" s="58">
        <v>1269281.306860277</v>
      </c>
      <c r="H563" s="39">
        <v>5.3982260429465523E-2</v>
      </c>
      <c r="I563" s="39">
        <v>0.38468171407794749</v>
      </c>
      <c r="J563" s="39">
        <v>0.10597443282990815</v>
      </c>
    </row>
    <row r="564" spans="1:10" ht="11.25" customHeight="1" x14ac:dyDescent="0.2">
      <c r="A564" s="67">
        <v>44531</v>
      </c>
      <c r="B564" s="58">
        <v>0</v>
      </c>
      <c r="C564" s="58">
        <v>0</v>
      </c>
      <c r="D564" s="58">
        <v>371941.07699199999</v>
      </c>
      <c r="E564" s="58">
        <v>392019.29707459797</v>
      </c>
      <c r="F564" s="58">
        <v>69384.71256</v>
      </c>
      <c r="G564" s="58">
        <v>96075.742718386464</v>
      </c>
      <c r="H564" s="39">
        <v>5.3982260429465301E-2</v>
      </c>
      <c r="I564" s="39">
        <v>0.38468171407794705</v>
      </c>
      <c r="J564" s="39">
        <v>0.10597443282990771</v>
      </c>
    </row>
    <row r="565" spans="1:10" ht="11.25" customHeight="1" x14ac:dyDescent="0.2">
      <c r="A565" s="67">
        <v>44562</v>
      </c>
      <c r="B565" s="58">
        <v>0</v>
      </c>
      <c r="C565" s="58">
        <v>0</v>
      </c>
      <c r="D565" s="58">
        <v>426096.44963840005</v>
      </c>
      <c r="E565" s="58">
        <v>449098.09915085073</v>
      </c>
      <c r="F565" s="58">
        <v>79487.266962000009</v>
      </c>
      <c r="G565" s="58">
        <v>110064.56506431355</v>
      </c>
      <c r="H565" s="39">
        <v>5.3982260429465301E-2</v>
      </c>
      <c r="I565" s="39">
        <v>0.38468171407794705</v>
      </c>
      <c r="J565" s="39">
        <v>0.10597443282990771</v>
      </c>
    </row>
    <row r="566" spans="1:10" ht="11.25" customHeight="1" x14ac:dyDescent="0.2">
      <c r="A566" s="67">
        <v>44593</v>
      </c>
      <c r="B566" s="58">
        <v>0</v>
      </c>
      <c r="C566" s="58">
        <v>0</v>
      </c>
      <c r="D566" s="58">
        <v>386178.29713919997</v>
      </c>
      <c r="E566" s="58">
        <v>407025.07454757584</v>
      </c>
      <c r="F566" s="58">
        <v>72040.631706</v>
      </c>
      <c r="G566" s="58">
        <v>99753.345393922194</v>
      </c>
      <c r="H566" s="39">
        <v>5.3982260429465745E-2</v>
      </c>
      <c r="I566" s="39">
        <v>0.38468171407794727</v>
      </c>
      <c r="J566" s="39">
        <v>0.10597443282990793</v>
      </c>
    </row>
    <row r="567" spans="1:10" ht="11.25" customHeight="1" x14ac:dyDescent="0.2">
      <c r="A567" s="67">
        <v>44621</v>
      </c>
      <c r="B567" s="58">
        <v>0</v>
      </c>
      <c r="C567" s="58">
        <v>0</v>
      </c>
      <c r="D567" s="58">
        <v>406174.1479936</v>
      </c>
      <c r="E567" s="58">
        <v>428100.34663030674</v>
      </c>
      <c r="F567" s="58">
        <v>75770.80954799999</v>
      </c>
      <c r="G567" s="58">
        <v>104918.45444199833</v>
      </c>
      <c r="H567" s="39">
        <v>5.3982260429465523E-2</v>
      </c>
      <c r="I567" s="39">
        <v>0.38468171407794749</v>
      </c>
      <c r="J567" s="39">
        <v>0.10597443282990793</v>
      </c>
    </row>
    <row r="568" spans="1:10" ht="11.25" customHeight="1" x14ac:dyDescent="0.2">
      <c r="A568" s="67">
        <v>44652</v>
      </c>
      <c r="B568" s="58">
        <v>0</v>
      </c>
      <c r="C568" s="58">
        <v>0</v>
      </c>
      <c r="D568" s="58">
        <v>388406.56578560005</v>
      </c>
      <c r="E568" s="58">
        <v>409373.63017235254</v>
      </c>
      <c r="F568" s="58">
        <v>72456.309857999993</v>
      </c>
      <c r="G568" s="58">
        <v>100328.92732993831</v>
      </c>
      <c r="H568" s="39">
        <v>5.3982260429465301E-2</v>
      </c>
      <c r="I568" s="39">
        <v>0.38468171407794727</v>
      </c>
      <c r="J568" s="39">
        <v>0.10597443282990771</v>
      </c>
    </row>
    <row r="569" spans="1:10" ht="11.25" customHeight="1" x14ac:dyDescent="0.2">
      <c r="A569" s="67">
        <v>44682</v>
      </c>
      <c r="B569" s="58">
        <v>0</v>
      </c>
      <c r="C569" s="58">
        <v>0</v>
      </c>
      <c r="D569" s="58">
        <v>415768.2337792</v>
      </c>
      <c r="E569" s="58">
        <v>438212.34285336762</v>
      </c>
      <c r="F569" s="58">
        <v>77560.563155999989</v>
      </c>
      <c r="G569" s="58">
        <v>107396.69353570095</v>
      </c>
      <c r="H569" s="39">
        <v>5.3982260429465301E-2</v>
      </c>
      <c r="I569" s="39">
        <v>0.38468171407794727</v>
      </c>
      <c r="J569" s="39">
        <v>0.10597443282990793</v>
      </c>
    </row>
    <row r="570" spans="1:10" ht="11.25" customHeight="1" x14ac:dyDescent="0.2">
      <c r="A570" s="67">
        <v>44713</v>
      </c>
      <c r="B570" s="58">
        <v>0</v>
      </c>
      <c r="C570" s="58">
        <v>0</v>
      </c>
      <c r="D570" s="58">
        <v>400144.47482880001</v>
      </c>
      <c r="E570" s="58">
        <v>421745.17807841999</v>
      </c>
      <c r="F570" s="58">
        <v>74645.988534000004</v>
      </c>
      <c r="G570" s="58">
        <v>103360.93535230191</v>
      </c>
      <c r="H570" s="39">
        <v>5.3982260429465523E-2</v>
      </c>
      <c r="I570" s="39">
        <v>0.38468171407794705</v>
      </c>
      <c r="J570" s="39">
        <v>0.10597443282990793</v>
      </c>
    </row>
    <row r="571" spans="1:10" ht="11.25" customHeight="1" x14ac:dyDescent="0.2">
      <c r="A571" s="67">
        <v>44743</v>
      </c>
      <c r="B571" s="58">
        <v>0</v>
      </c>
      <c r="C571" s="58">
        <v>0</v>
      </c>
      <c r="D571" s="58">
        <v>424530.12387840002</v>
      </c>
      <c r="E571" s="58">
        <v>447447.219585757</v>
      </c>
      <c r="F571" s="58">
        <v>79195.072661999991</v>
      </c>
      <c r="G571" s="58">
        <v>109659.96896014574</v>
      </c>
      <c r="H571" s="39">
        <v>5.3982260429465301E-2</v>
      </c>
      <c r="I571" s="39">
        <v>0.38468171407794727</v>
      </c>
      <c r="J571" s="39">
        <v>0.10597443282990771</v>
      </c>
    </row>
    <row r="572" spans="1:10" ht="11.25" customHeight="1" x14ac:dyDescent="0.2">
      <c r="A572" s="67">
        <v>44774</v>
      </c>
      <c r="B572" s="58">
        <v>0</v>
      </c>
      <c r="C572" s="58">
        <v>0</v>
      </c>
      <c r="D572" s="58">
        <v>446285.7076736</v>
      </c>
      <c r="E572" s="58">
        <v>470377.21897118463</v>
      </c>
      <c r="F572" s="58">
        <v>83253.524447999996</v>
      </c>
      <c r="G572" s="58">
        <v>115279.63293568694</v>
      </c>
      <c r="H572" s="39">
        <v>5.3982260429465523E-2</v>
      </c>
      <c r="I572" s="39">
        <v>0.38468171407794749</v>
      </c>
      <c r="J572" s="39">
        <v>0.10597443282990815</v>
      </c>
    </row>
    <row r="573" spans="1:10" ht="11.25" customHeight="1" x14ac:dyDescent="0.2">
      <c r="A573" s="67">
        <v>44805</v>
      </c>
      <c r="B573" s="58">
        <v>0</v>
      </c>
      <c r="C573" s="58">
        <v>0</v>
      </c>
      <c r="D573" s="58">
        <v>434404.78627840005</v>
      </c>
      <c r="E573" s="58">
        <v>457854.93858308689</v>
      </c>
      <c r="F573" s="58">
        <v>81037.167161999998</v>
      </c>
      <c r="G573" s="58">
        <v>112210.6835298993</v>
      </c>
      <c r="H573" s="39">
        <v>5.3982260429465301E-2</v>
      </c>
      <c r="I573" s="39">
        <v>0.38468171407794727</v>
      </c>
      <c r="J573" s="39">
        <v>0.10597443282990771</v>
      </c>
    </row>
    <row r="574" spans="1:10" ht="11.25" customHeight="1" x14ac:dyDescent="0.2">
      <c r="A574" s="67">
        <v>44835</v>
      </c>
      <c r="B574" s="58">
        <v>0</v>
      </c>
      <c r="C574" s="58">
        <v>0</v>
      </c>
      <c r="D574" s="58">
        <v>406939.6045824</v>
      </c>
      <c r="E574" s="58">
        <v>428907.12429603079</v>
      </c>
      <c r="F574" s="58">
        <v>75913.603631999998</v>
      </c>
      <c r="G574" s="58">
        <v>105116.17879899163</v>
      </c>
      <c r="H574" s="39">
        <v>5.3982260429465301E-2</v>
      </c>
      <c r="I574" s="39">
        <v>0.38468171407794727</v>
      </c>
      <c r="J574" s="39">
        <v>0.10597443282990793</v>
      </c>
    </row>
    <row r="575" spans="1:10" ht="11.25" customHeight="1" x14ac:dyDescent="0.2">
      <c r="A575" s="67">
        <v>44866</v>
      </c>
      <c r="B575" s="58">
        <v>0</v>
      </c>
      <c r="C575" s="58">
        <v>0</v>
      </c>
      <c r="D575" s="58">
        <v>406939.6045824</v>
      </c>
      <c r="E575" s="58">
        <v>428907.12429603079</v>
      </c>
      <c r="F575" s="58">
        <v>75913.603631999998</v>
      </c>
      <c r="G575" s="58">
        <v>105116.17879899163</v>
      </c>
      <c r="H575" s="39">
        <v>5.3982260429465301E-2</v>
      </c>
      <c r="I575" s="39">
        <v>0.38468171407794727</v>
      </c>
      <c r="J575" s="39">
        <v>0.10597443282990793</v>
      </c>
    </row>
    <row r="576" spans="1:10" ht="11.25" customHeight="1" x14ac:dyDescent="0.2">
      <c r="A576" s="60" t="s">
        <v>22</v>
      </c>
      <c r="B576" s="58">
        <v>0</v>
      </c>
      <c r="C576" s="58">
        <v>0</v>
      </c>
      <c r="D576" s="58">
        <v>238935913.71076006</v>
      </c>
      <c r="E576" s="58">
        <v>257336542.14179263</v>
      </c>
      <c r="F576" s="58">
        <v>92927626.054800034</v>
      </c>
      <c r="G576" s="58">
        <v>121424874.68991348</v>
      </c>
      <c r="H576" s="39">
        <v>7.7010727040839333E-2</v>
      </c>
      <c r="I576" s="39">
        <v>0.3066606761084012</v>
      </c>
      <c r="J576" s="39">
        <v>0.1413167505513766</v>
      </c>
    </row>
    <row r="577" spans="1:10" ht="11.25" customHeight="1" x14ac:dyDescent="0.2">
      <c r="A577" s="61" t="s">
        <v>35</v>
      </c>
      <c r="B577" s="58">
        <v>0</v>
      </c>
      <c r="C577" s="58">
        <v>0</v>
      </c>
      <c r="D577" s="58">
        <v>239482.23242999997</v>
      </c>
      <c r="E577" s="58">
        <v>261179.67563256915</v>
      </c>
      <c r="F577" s="58">
        <v>99135.831600000034</v>
      </c>
      <c r="G577" s="58">
        <v>129587.55815461106</v>
      </c>
      <c r="H577" s="39">
        <v>9.0601473781196873E-2</v>
      </c>
      <c r="I577" s="39">
        <v>0.30717174671494929</v>
      </c>
      <c r="J577" s="39">
        <v>0.15400587061580984</v>
      </c>
    </row>
    <row r="578" spans="1:10" ht="11.25" customHeight="1" x14ac:dyDescent="0.2">
      <c r="A578" s="62" t="s">
        <v>24</v>
      </c>
      <c r="B578" s="58">
        <v>0</v>
      </c>
      <c r="C578" s="58">
        <v>0</v>
      </c>
      <c r="D578" s="58">
        <v>239482.23242999997</v>
      </c>
      <c r="E578" s="58">
        <v>261179.67563256915</v>
      </c>
      <c r="F578" s="58">
        <v>99135.831600000034</v>
      </c>
      <c r="G578" s="58">
        <v>129587.55815461106</v>
      </c>
      <c r="H578" s="39">
        <v>9.0601473781196873E-2</v>
      </c>
      <c r="I578" s="39">
        <v>0.30717174671494929</v>
      </c>
      <c r="J578" s="39">
        <v>0.15400587061580984</v>
      </c>
    </row>
    <row r="579" spans="1:10" ht="11.25" customHeight="1" x14ac:dyDescent="0.2">
      <c r="A579" s="63" t="s">
        <v>24</v>
      </c>
      <c r="B579" s="58">
        <v>0</v>
      </c>
      <c r="C579" s="58">
        <v>0</v>
      </c>
      <c r="D579" s="58">
        <v>239482.23242999997</v>
      </c>
      <c r="E579" s="58">
        <v>261179.67563256915</v>
      </c>
      <c r="F579" s="58">
        <v>99135.831600000034</v>
      </c>
      <c r="G579" s="58">
        <v>129587.55815461106</v>
      </c>
      <c r="H579" s="39">
        <v>9.0601473781196873E-2</v>
      </c>
      <c r="I579" s="39">
        <v>0.30717174671494929</v>
      </c>
      <c r="J579" s="39">
        <v>0.15400587061580984</v>
      </c>
    </row>
    <row r="580" spans="1:10" ht="11.25" customHeight="1" x14ac:dyDescent="0.2">
      <c r="A580" s="64" t="s">
        <v>25</v>
      </c>
      <c r="B580" s="58">
        <v>0</v>
      </c>
      <c r="C580" s="58">
        <v>0</v>
      </c>
      <c r="D580" s="58">
        <v>239482.23242999997</v>
      </c>
      <c r="E580" s="58">
        <v>261179.67563256915</v>
      </c>
      <c r="F580" s="58">
        <v>99135.831600000034</v>
      </c>
      <c r="G580" s="58">
        <v>129587.55815461106</v>
      </c>
      <c r="H580" s="39">
        <v>9.0601473781196873E-2</v>
      </c>
      <c r="I580" s="39">
        <v>0.30717174671494929</v>
      </c>
      <c r="J580" s="39">
        <v>0.15400587061580984</v>
      </c>
    </row>
    <row r="581" spans="1:10" ht="11.25" customHeight="1" x14ac:dyDescent="0.2">
      <c r="A581" s="65" t="s">
        <v>25</v>
      </c>
      <c r="B581" s="58">
        <v>0</v>
      </c>
      <c r="C581" s="58">
        <v>0</v>
      </c>
      <c r="D581" s="58">
        <v>239482.23242999997</v>
      </c>
      <c r="E581" s="58">
        <v>261179.67563256915</v>
      </c>
      <c r="F581" s="58">
        <v>99135.831600000034</v>
      </c>
      <c r="G581" s="58">
        <v>129587.55815461106</v>
      </c>
      <c r="H581" s="39">
        <v>9.0601473781196873E-2</v>
      </c>
      <c r="I581" s="39">
        <v>0.30717174671494929</v>
      </c>
      <c r="J581" s="39">
        <v>0.15400587061580984</v>
      </c>
    </row>
    <row r="582" spans="1:10" ht="11.25" customHeight="1" x14ac:dyDescent="0.2">
      <c r="A582" s="66" t="s">
        <v>37</v>
      </c>
      <c r="B582" s="58">
        <v>0</v>
      </c>
      <c r="C582" s="58">
        <v>0</v>
      </c>
      <c r="D582" s="58">
        <v>163803.89535999999</v>
      </c>
      <c r="E582" s="58">
        <v>183196.9317657793</v>
      </c>
      <c r="F582" s="58">
        <v>82382.339760000017</v>
      </c>
      <c r="G582" s="58">
        <v>107221.69232885107</v>
      </c>
      <c r="H582" s="39">
        <v>0.11839179015345325</v>
      </c>
      <c r="I582" s="39">
        <v>0.30151307478294798</v>
      </c>
      <c r="J582" s="39">
        <v>0.17967043914161174</v>
      </c>
    </row>
    <row r="583" spans="1:10" ht="11.25" customHeight="1" x14ac:dyDescent="0.2">
      <c r="A583" s="67">
        <v>44531</v>
      </c>
      <c r="B583" s="58">
        <v>0</v>
      </c>
      <c r="C583" s="58">
        <v>0</v>
      </c>
      <c r="D583" s="58">
        <v>12357.905120000001</v>
      </c>
      <c r="E583" s="58">
        <v>13820.979629703324</v>
      </c>
      <c r="F583" s="58">
        <v>6215.1949199999999</v>
      </c>
      <c r="G583" s="58">
        <v>8089.157450704557</v>
      </c>
      <c r="H583" s="39">
        <v>0.11839179015345302</v>
      </c>
      <c r="I583" s="39">
        <v>0.30151307478294775</v>
      </c>
      <c r="J583" s="39">
        <v>0.17967043914161152</v>
      </c>
    </row>
    <row r="584" spans="1:10" ht="11.25" customHeight="1" x14ac:dyDescent="0.2">
      <c r="A584" s="67">
        <v>44562</v>
      </c>
      <c r="B584" s="58">
        <v>0</v>
      </c>
      <c r="C584" s="58">
        <v>0</v>
      </c>
      <c r="D584" s="58">
        <v>12300.763760000002</v>
      </c>
      <c r="E584" s="58">
        <v>13757.07320180112</v>
      </c>
      <c r="F584" s="58">
        <v>6186.4566600000007</v>
      </c>
      <c r="G584" s="58">
        <v>8051.754229568045</v>
      </c>
      <c r="H584" s="39">
        <v>0.11839179015345302</v>
      </c>
      <c r="I584" s="39">
        <v>0.30151307478294753</v>
      </c>
      <c r="J584" s="39">
        <v>0.17967043914161129</v>
      </c>
    </row>
    <row r="585" spans="1:10" ht="11.25" customHeight="1" x14ac:dyDescent="0.2">
      <c r="A585" s="67">
        <v>44593</v>
      </c>
      <c r="B585" s="58">
        <v>0</v>
      </c>
      <c r="C585" s="58">
        <v>0</v>
      </c>
      <c r="D585" s="58">
        <v>11227.107680000001</v>
      </c>
      <c r="E585" s="58">
        <v>12556.305056480784</v>
      </c>
      <c r="F585" s="58">
        <v>5646.4798799999999</v>
      </c>
      <c r="G585" s="58">
        <v>7348.9673903188504</v>
      </c>
      <c r="H585" s="39">
        <v>0.11839179015345325</v>
      </c>
      <c r="I585" s="39">
        <v>0.30151307478294798</v>
      </c>
      <c r="J585" s="39">
        <v>0.17967043914161152</v>
      </c>
    </row>
    <row r="586" spans="1:10" ht="11.25" customHeight="1" x14ac:dyDescent="0.2">
      <c r="A586" s="67">
        <v>44621</v>
      </c>
      <c r="B586" s="58">
        <v>0</v>
      </c>
      <c r="C586" s="58">
        <v>0</v>
      </c>
      <c r="D586" s="58">
        <v>11616.069920000002</v>
      </c>
      <c r="E586" s="58">
        <v>12991.317232376479</v>
      </c>
      <c r="F586" s="58">
        <v>5842.1017199999997</v>
      </c>
      <c r="G586" s="58">
        <v>7603.5717727919482</v>
      </c>
      <c r="H586" s="39">
        <v>0.11839179015345302</v>
      </c>
      <c r="I586" s="39">
        <v>0.30151307478294798</v>
      </c>
      <c r="J586" s="39">
        <v>0.17967043914161152</v>
      </c>
    </row>
    <row r="587" spans="1:10" ht="11.25" customHeight="1" x14ac:dyDescent="0.2">
      <c r="A587" s="67">
        <v>44652</v>
      </c>
      <c r="B587" s="58">
        <v>0</v>
      </c>
      <c r="C587" s="58">
        <v>0</v>
      </c>
      <c r="D587" s="58">
        <v>11849.313600000001</v>
      </c>
      <c r="E587" s="58">
        <v>13252.175049193658</v>
      </c>
      <c r="F587" s="58">
        <v>5959.4076000000005</v>
      </c>
      <c r="G587" s="58">
        <v>7756.2469093608679</v>
      </c>
      <c r="H587" s="39">
        <v>0.11839179015345302</v>
      </c>
      <c r="I587" s="39">
        <v>0.30151307478294775</v>
      </c>
      <c r="J587" s="39">
        <v>0.17967043914161152</v>
      </c>
    </row>
    <row r="588" spans="1:10" ht="11.25" customHeight="1" x14ac:dyDescent="0.2">
      <c r="A588" s="67">
        <v>44682</v>
      </c>
      <c r="B588" s="58">
        <v>0</v>
      </c>
      <c r="C588" s="58">
        <v>0</v>
      </c>
      <c r="D588" s="58">
        <v>14323.768399999999</v>
      </c>
      <c r="E588" s="58">
        <v>16019.584982619461</v>
      </c>
      <c r="F588" s="58">
        <v>7203.8918999999996</v>
      </c>
      <c r="G588" s="58">
        <v>9375.9594971729712</v>
      </c>
      <c r="H588" s="39">
        <v>0.11839179015345302</v>
      </c>
      <c r="I588" s="39">
        <v>0.30151307478294775</v>
      </c>
      <c r="J588" s="39">
        <v>0.17967043914161129</v>
      </c>
    </row>
    <row r="589" spans="1:10" ht="11.25" customHeight="1" x14ac:dyDescent="0.2">
      <c r="A589" s="67">
        <v>44713</v>
      </c>
      <c r="B589" s="58">
        <v>0</v>
      </c>
      <c r="C589" s="58">
        <v>0</v>
      </c>
      <c r="D589" s="58">
        <v>12339.860479999999</v>
      </c>
      <c r="E589" s="58">
        <v>13800.798652471049</v>
      </c>
      <c r="F589" s="58">
        <v>6206.1196800000007</v>
      </c>
      <c r="G589" s="58">
        <v>8077.3459071877633</v>
      </c>
      <c r="H589" s="39">
        <v>0.11839179015345302</v>
      </c>
      <c r="I589" s="39">
        <v>0.30151307478294753</v>
      </c>
      <c r="J589" s="39">
        <v>0.17967043914161152</v>
      </c>
    </row>
    <row r="590" spans="1:10" ht="11.25" customHeight="1" x14ac:dyDescent="0.2">
      <c r="A590" s="67">
        <v>44743</v>
      </c>
      <c r="B590" s="58">
        <v>0</v>
      </c>
      <c r="C590" s="58">
        <v>0</v>
      </c>
      <c r="D590" s="58">
        <v>13752.688960000003</v>
      </c>
      <c r="E590" s="58">
        <v>15380.894425398032</v>
      </c>
      <c r="F590" s="58">
        <v>6916.6773600000006</v>
      </c>
      <c r="G590" s="58">
        <v>9002.1460180951999</v>
      </c>
      <c r="H590" s="39">
        <v>0.1183917901534528</v>
      </c>
      <c r="I590" s="39">
        <v>0.30151307478294731</v>
      </c>
      <c r="J590" s="39">
        <v>0.17967043914161107</v>
      </c>
    </row>
    <row r="591" spans="1:10" ht="11.25" customHeight="1" x14ac:dyDescent="0.2">
      <c r="A591" s="67">
        <v>44774</v>
      </c>
      <c r="B591" s="58">
        <v>0</v>
      </c>
      <c r="C591" s="58">
        <v>0</v>
      </c>
      <c r="D591" s="58">
        <v>15534.430080000002</v>
      </c>
      <c r="E591" s="58">
        <v>17373.579066184848</v>
      </c>
      <c r="F591" s="58">
        <v>7812.7732799999994</v>
      </c>
      <c r="G591" s="58">
        <v>10168.426574234856</v>
      </c>
      <c r="H591" s="39">
        <v>0.1183917901534528</v>
      </c>
      <c r="I591" s="39">
        <v>0.30151307478294798</v>
      </c>
      <c r="J591" s="39">
        <v>0.17967043914161129</v>
      </c>
    </row>
    <row r="592" spans="1:10" ht="11.25" customHeight="1" x14ac:dyDescent="0.2">
      <c r="A592" s="67">
        <v>44805</v>
      </c>
      <c r="B592" s="58">
        <v>0</v>
      </c>
      <c r="C592" s="58">
        <v>0</v>
      </c>
      <c r="D592" s="58">
        <v>15057.249600000001</v>
      </c>
      <c r="E592" s="58">
        <v>16839.904334931369</v>
      </c>
      <c r="F592" s="58">
        <v>7572.7836000000007</v>
      </c>
      <c r="G592" s="58">
        <v>9856.0768679018802</v>
      </c>
      <c r="H592" s="39">
        <v>0.11839179015345325</v>
      </c>
      <c r="I592" s="39">
        <v>0.30151307478294753</v>
      </c>
      <c r="J592" s="39">
        <v>0.17967043914161152</v>
      </c>
    </row>
    <row r="593" spans="1:10" ht="11.25" customHeight="1" x14ac:dyDescent="0.2">
      <c r="A593" s="67">
        <v>44835</v>
      </c>
      <c r="B593" s="58">
        <v>0</v>
      </c>
      <c r="C593" s="58">
        <v>0</v>
      </c>
      <c r="D593" s="58">
        <v>16722.368880000002</v>
      </c>
      <c r="E593" s="58">
        <v>18702.160067309589</v>
      </c>
      <c r="F593" s="58">
        <v>8410.2265800000005</v>
      </c>
      <c r="G593" s="58">
        <v>10946.019855757075</v>
      </c>
      <c r="H593" s="39">
        <v>0.11839179015345258</v>
      </c>
      <c r="I593" s="39">
        <v>0.30151307478294775</v>
      </c>
      <c r="J593" s="39">
        <v>0.17967043914161107</v>
      </c>
    </row>
    <row r="594" spans="1:10" ht="11.25" customHeight="1" x14ac:dyDescent="0.2">
      <c r="A594" s="67">
        <v>44866</v>
      </c>
      <c r="B594" s="58">
        <v>0</v>
      </c>
      <c r="C594" s="58">
        <v>0</v>
      </c>
      <c r="D594" s="58">
        <v>16722.368880000002</v>
      </c>
      <c r="E594" s="58">
        <v>18702.160067309589</v>
      </c>
      <c r="F594" s="58">
        <v>8410.2265800000005</v>
      </c>
      <c r="G594" s="58">
        <v>10946.019855757075</v>
      </c>
      <c r="H594" s="39">
        <v>0.11839179015345258</v>
      </c>
      <c r="I594" s="39">
        <v>0.30151307478294775</v>
      </c>
      <c r="J594" s="39">
        <v>0.17967043914161107</v>
      </c>
    </row>
    <row r="595" spans="1:10" ht="11.25" customHeight="1" x14ac:dyDescent="0.2">
      <c r="A595" s="66" t="s">
        <v>38</v>
      </c>
      <c r="B595" s="58">
        <v>0</v>
      </c>
      <c r="C595" s="58">
        <v>0</v>
      </c>
      <c r="D595" s="58">
        <v>13134.966530000002</v>
      </c>
      <c r="E595" s="58">
        <v>13748.741418637819</v>
      </c>
      <c r="F595" s="58">
        <v>2848.4489399999998</v>
      </c>
      <c r="G595" s="58">
        <v>3707.2935382616279</v>
      </c>
      <c r="H595" s="39">
        <v>4.6728317672981357E-2</v>
      </c>
      <c r="I595" s="39">
        <v>0.30151307478294753</v>
      </c>
      <c r="J595" s="39">
        <v>9.2134218100222043E-2</v>
      </c>
    </row>
    <row r="596" spans="1:10" ht="11.25" customHeight="1" x14ac:dyDescent="0.2">
      <c r="A596" s="67">
        <v>44531</v>
      </c>
      <c r="B596" s="58">
        <v>0</v>
      </c>
      <c r="C596" s="58">
        <v>0</v>
      </c>
      <c r="D596" s="58">
        <v>981.88698999999997</v>
      </c>
      <c r="E596" s="58">
        <v>1027.7689171876875</v>
      </c>
      <c r="F596" s="58">
        <v>212.93201999999997</v>
      </c>
      <c r="G596" s="58">
        <v>277.13380806994411</v>
      </c>
      <c r="H596" s="39">
        <v>4.6728317672981357E-2</v>
      </c>
      <c r="I596" s="39">
        <v>0.30151307478294798</v>
      </c>
      <c r="J596" s="39">
        <v>9.2134218100222265E-2</v>
      </c>
    </row>
    <row r="597" spans="1:10" ht="11.25" customHeight="1" x14ac:dyDescent="0.2">
      <c r="A597" s="67">
        <v>44562</v>
      </c>
      <c r="B597" s="58">
        <v>0</v>
      </c>
      <c r="C597" s="58">
        <v>0</v>
      </c>
      <c r="D597" s="58">
        <v>666.4742</v>
      </c>
      <c r="E597" s="58">
        <v>697.61741813844617</v>
      </c>
      <c r="F597" s="58">
        <v>144.5316</v>
      </c>
      <c r="G597" s="58">
        <v>188.10976711929908</v>
      </c>
      <c r="H597" s="39">
        <v>4.6728317672981357E-2</v>
      </c>
      <c r="I597" s="39">
        <v>0.30151307478294775</v>
      </c>
      <c r="J597" s="39">
        <v>9.2134218100222265E-2</v>
      </c>
    </row>
    <row r="598" spans="1:10" ht="11.25" customHeight="1" x14ac:dyDescent="0.2">
      <c r="A598" s="67">
        <v>44593</v>
      </c>
      <c r="B598" s="58">
        <v>0</v>
      </c>
      <c r="C598" s="58">
        <v>0</v>
      </c>
      <c r="D598" s="58">
        <v>584.32738000000006</v>
      </c>
      <c r="E598" s="58">
        <v>611.63201543766081</v>
      </c>
      <c r="F598" s="58">
        <v>126.71723999999999</v>
      </c>
      <c r="G598" s="58">
        <v>164.92414466040873</v>
      </c>
      <c r="H598" s="39">
        <v>4.6728317672981134E-2</v>
      </c>
      <c r="I598" s="39">
        <v>0.30151307478294775</v>
      </c>
      <c r="J598" s="39">
        <v>9.2134218100222043E-2</v>
      </c>
    </row>
    <row r="599" spans="1:10" ht="11.25" customHeight="1" x14ac:dyDescent="0.2">
      <c r="A599" s="67">
        <v>44621</v>
      </c>
      <c r="B599" s="58">
        <v>0</v>
      </c>
      <c r="C599" s="58">
        <v>0</v>
      </c>
      <c r="D599" s="58">
        <v>1611.16263</v>
      </c>
      <c r="E599" s="58">
        <v>1686.4495491974762</v>
      </c>
      <c r="F599" s="58">
        <v>349.39674000000002</v>
      </c>
      <c r="G599" s="58">
        <v>454.74442539653813</v>
      </c>
      <c r="H599" s="39">
        <v>4.6728317672981357E-2</v>
      </c>
      <c r="I599" s="39">
        <v>0.30151307478294753</v>
      </c>
      <c r="J599" s="39">
        <v>9.2134218100222265E-2</v>
      </c>
    </row>
    <row r="600" spans="1:10" ht="11.25" customHeight="1" x14ac:dyDescent="0.2">
      <c r="A600" s="67">
        <v>44652</v>
      </c>
      <c r="B600" s="58">
        <v>0</v>
      </c>
      <c r="C600" s="58">
        <v>0</v>
      </c>
      <c r="D600" s="58">
        <v>847.04221000000007</v>
      </c>
      <c r="E600" s="58">
        <v>886.62306747130424</v>
      </c>
      <c r="F600" s="58">
        <v>183.68957999999998</v>
      </c>
      <c r="G600" s="58">
        <v>239.07439007138822</v>
      </c>
      <c r="H600" s="39">
        <v>4.6728317672981357E-2</v>
      </c>
      <c r="I600" s="39">
        <v>0.30151307478294775</v>
      </c>
      <c r="J600" s="39">
        <v>9.2134218100222265E-2</v>
      </c>
    </row>
    <row r="601" spans="1:10" ht="11.25" customHeight="1" x14ac:dyDescent="0.2">
      <c r="A601" s="67">
        <v>44682</v>
      </c>
      <c r="B601" s="58">
        <v>0</v>
      </c>
      <c r="C601" s="58">
        <v>0</v>
      </c>
      <c r="D601" s="58">
        <v>1019.8605200000001</v>
      </c>
      <c r="E601" s="58">
        <v>1067.5168863606921</v>
      </c>
      <c r="F601" s="58">
        <v>221.16696000000002</v>
      </c>
      <c r="G601" s="58">
        <v>287.85169014999724</v>
      </c>
      <c r="H601" s="39">
        <v>4.6728317672981357E-2</v>
      </c>
      <c r="I601" s="39">
        <v>0.30151307478294775</v>
      </c>
      <c r="J601" s="39">
        <v>9.2134218100222265E-2</v>
      </c>
    </row>
    <row r="602" spans="1:10" ht="11.25" customHeight="1" x14ac:dyDescent="0.2">
      <c r="A602" s="67">
        <v>44713</v>
      </c>
      <c r="B602" s="58">
        <v>0</v>
      </c>
      <c r="C602" s="58">
        <v>0</v>
      </c>
      <c r="D602" s="58">
        <v>1091.1577600000001</v>
      </c>
      <c r="E602" s="58">
        <v>1142.1457264406188</v>
      </c>
      <c r="F602" s="58">
        <v>236.62847999999997</v>
      </c>
      <c r="G602" s="58">
        <v>307.97506058601527</v>
      </c>
      <c r="H602" s="39">
        <v>4.6728317672981357E-2</v>
      </c>
      <c r="I602" s="39">
        <v>0.30151307478294798</v>
      </c>
      <c r="J602" s="39">
        <v>9.2134218100222265E-2</v>
      </c>
    </row>
    <row r="603" spans="1:10" ht="11.25" customHeight="1" x14ac:dyDescent="0.2">
      <c r="A603" s="67">
        <v>44743</v>
      </c>
      <c r="B603" s="58">
        <v>0</v>
      </c>
      <c r="C603" s="58">
        <v>0</v>
      </c>
      <c r="D603" s="58">
        <v>1026.8352500000001</v>
      </c>
      <c r="E603" s="58">
        <v>1074.8175337598154</v>
      </c>
      <c r="F603" s="58">
        <v>222.67950000000002</v>
      </c>
      <c r="G603" s="58">
        <v>289.8202807361294</v>
      </c>
      <c r="H603" s="39">
        <v>4.6728317672981357E-2</v>
      </c>
      <c r="I603" s="39">
        <v>0.30151307478294753</v>
      </c>
      <c r="J603" s="39">
        <v>9.2134218100222487E-2</v>
      </c>
    </row>
    <row r="604" spans="1:10" ht="11.25" customHeight="1" x14ac:dyDescent="0.2">
      <c r="A604" s="67">
        <v>44774</v>
      </c>
      <c r="B604" s="58">
        <v>0</v>
      </c>
      <c r="C604" s="58">
        <v>0</v>
      </c>
      <c r="D604" s="58">
        <v>1322.8737899999999</v>
      </c>
      <c r="E604" s="58">
        <v>1384.689456700381</v>
      </c>
      <c r="F604" s="58">
        <v>286.87842000000001</v>
      </c>
      <c r="G604" s="58">
        <v>373.37601450307386</v>
      </c>
      <c r="H604" s="39">
        <v>4.6728317672981579E-2</v>
      </c>
      <c r="I604" s="39">
        <v>0.30151307478294753</v>
      </c>
      <c r="J604" s="39">
        <v>9.2134218100222265E-2</v>
      </c>
    </row>
    <row r="605" spans="1:10" ht="11.25" customHeight="1" x14ac:dyDescent="0.2">
      <c r="A605" s="67">
        <v>44805</v>
      </c>
      <c r="B605" s="58">
        <v>0</v>
      </c>
      <c r="C605" s="58">
        <v>0</v>
      </c>
      <c r="D605" s="58">
        <v>925.31417999999996</v>
      </c>
      <c r="E605" s="58">
        <v>968.55255495035431</v>
      </c>
      <c r="F605" s="58">
        <v>200.66364000000002</v>
      </c>
      <c r="G605" s="58">
        <v>261.16635109353854</v>
      </c>
      <c r="H605" s="39">
        <v>4.6728317672981357E-2</v>
      </c>
      <c r="I605" s="39">
        <v>0.30151307478294775</v>
      </c>
      <c r="J605" s="39">
        <v>9.2134218100222043E-2</v>
      </c>
    </row>
    <row r="606" spans="1:10" ht="11.25" customHeight="1" x14ac:dyDescent="0.2">
      <c r="A606" s="67">
        <v>44835</v>
      </c>
      <c r="B606" s="58">
        <v>0</v>
      </c>
      <c r="C606" s="58">
        <v>0</v>
      </c>
      <c r="D606" s="58">
        <v>1529.0158100000001</v>
      </c>
      <c r="E606" s="58">
        <v>1600.464146496691</v>
      </c>
      <c r="F606" s="58">
        <v>331.58238</v>
      </c>
      <c r="G606" s="58">
        <v>431.55880293764778</v>
      </c>
      <c r="H606" s="39">
        <v>4.6728317672981357E-2</v>
      </c>
      <c r="I606" s="39">
        <v>0.30151307478294775</v>
      </c>
      <c r="J606" s="39">
        <v>9.2134218100222265E-2</v>
      </c>
    </row>
    <row r="607" spans="1:10" ht="11.25" customHeight="1" x14ac:dyDescent="0.2">
      <c r="A607" s="67">
        <v>44866</v>
      </c>
      <c r="B607" s="58">
        <v>0</v>
      </c>
      <c r="C607" s="58">
        <v>0</v>
      </c>
      <c r="D607" s="58">
        <v>1529.0158100000001</v>
      </c>
      <c r="E607" s="58">
        <v>1600.464146496691</v>
      </c>
      <c r="F607" s="58">
        <v>331.58238</v>
      </c>
      <c r="G607" s="58">
        <v>431.55880293764778</v>
      </c>
      <c r="H607" s="39">
        <v>4.6728317672981357E-2</v>
      </c>
      <c r="I607" s="39">
        <v>0.30151307478294775</v>
      </c>
      <c r="J607" s="39">
        <v>9.2134218100222265E-2</v>
      </c>
    </row>
    <row r="608" spans="1:10" ht="11.25" customHeight="1" x14ac:dyDescent="0.2">
      <c r="A608" s="66" t="s">
        <v>36</v>
      </c>
      <c r="B608" s="58">
        <v>0</v>
      </c>
      <c r="C608" s="58">
        <v>0</v>
      </c>
      <c r="D608" s="58">
        <v>62543.370540000004</v>
      </c>
      <c r="E608" s="58">
        <v>64234.002448151994</v>
      </c>
      <c r="F608" s="58">
        <v>13905.042899999999</v>
      </c>
      <c r="G608" s="58">
        <v>18658.572287498377</v>
      </c>
      <c r="H608" s="39">
        <v>2.703135270061563E-2</v>
      </c>
      <c r="I608" s="39">
        <v>0.34185650642605259</v>
      </c>
      <c r="J608" s="39">
        <v>8.4294245042875415E-2</v>
      </c>
    </row>
    <row r="609" spans="1:10" ht="11.25" customHeight="1" x14ac:dyDescent="0.2">
      <c r="A609" s="67">
        <v>44531</v>
      </c>
      <c r="B609" s="58">
        <v>0</v>
      </c>
      <c r="C609" s="58">
        <v>0</v>
      </c>
      <c r="D609" s="58">
        <v>4661.3005199999989</v>
      </c>
      <c r="E609" s="58">
        <v>4787.3017783996802</v>
      </c>
      <c r="F609" s="58">
        <v>1036.3302000000001</v>
      </c>
      <c r="G609" s="58">
        <v>1390.6064216758118</v>
      </c>
      <c r="H609" s="39">
        <v>2.7031352700615185E-2</v>
      </c>
      <c r="I609" s="39">
        <v>0.34185650642605192</v>
      </c>
      <c r="J609" s="39">
        <v>8.4294245042874971E-2</v>
      </c>
    </row>
    <row r="610" spans="1:10" ht="11.25" customHeight="1" x14ac:dyDescent="0.2">
      <c r="A610" s="67">
        <v>44562</v>
      </c>
      <c r="B610" s="58">
        <v>0</v>
      </c>
      <c r="C610" s="58">
        <v>0</v>
      </c>
      <c r="D610" s="58">
        <v>4145.8098</v>
      </c>
      <c r="E610" s="58">
        <v>4257.876646933466</v>
      </c>
      <c r="F610" s="58">
        <v>921.72299999999996</v>
      </c>
      <c r="G610" s="58">
        <v>1236.8200046725401</v>
      </c>
      <c r="H610" s="39">
        <v>2.7031352700614963E-2</v>
      </c>
      <c r="I610" s="39">
        <v>0.34185650642605236</v>
      </c>
      <c r="J610" s="39">
        <v>8.4294245042874749E-2</v>
      </c>
    </row>
    <row r="611" spans="1:10" ht="11.25" customHeight="1" x14ac:dyDescent="0.2">
      <c r="A611" s="67">
        <v>44593</v>
      </c>
      <c r="B611" s="58">
        <v>0</v>
      </c>
      <c r="C611" s="58">
        <v>0</v>
      </c>
      <c r="D611" s="58">
        <v>4216.3250399999997</v>
      </c>
      <c r="E611" s="58">
        <v>4330.298009256675</v>
      </c>
      <c r="F611" s="58">
        <v>937.40039999999999</v>
      </c>
      <c r="G611" s="58">
        <v>1257.8568258663836</v>
      </c>
      <c r="H611" s="39">
        <v>2.7031352700615185E-2</v>
      </c>
      <c r="I611" s="39">
        <v>0.34185650642605192</v>
      </c>
      <c r="J611" s="39">
        <v>8.4294245042874971E-2</v>
      </c>
    </row>
    <row r="612" spans="1:10" ht="11.25" customHeight="1" x14ac:dyDescent="0.2">
      <c r="A612" s="67">
        <v>44621</v>
      </c>
      <c r="B612" s="58">
        <v>0</v>
      </c>
      <c r="C612" s="58">
        <v>0</v>
      </c>
      <c r="D612" s="58">
        <v>9733.5346799999988</v>
      </c>
      <c r="E612" s="58">
        <v>9996.645288958749</v>
      </c>
      <c r="F612" s="58">
        <v>2164.0218</v>
      </c>
      <c r="G612" s="58">
        <v>2903.8067323778168</v>
      </c>
      <c r="H612" s="39">
        <v>2.7031352700615185E-2</v>
      </c>
      <c r="I612" s="39">
        <v>0.34185650642605214</v>
      </c>
      <c r="J612" s="39">
        <v>8.4294245042874971E-2</v>
      </c>
    </row>
    <row r="613" spans="1:10" ht="11.25" customHeight="1" x14ac:dyDescent="0.2">
      <c r="A613" s="67">
        <v>44652</v>
      </c>
      <c r="B613" s="58">
        <v>0</v>
      </c>
      <c r="C613" s="58">
        <v>0</v>
      </c>
      <c r="D613" s="58">
        <v>1364.1051600000003</v>
      </c>
      <c r="E613" s="58">
        <v>1400.9787677006889</v>
      </c>
      <c r="F613" s="58">
        <v>303.27660000000014</v>
      </c>
      <c r="G613" s="58">
        <v>406.95367895677134</v>
      </c>
      <c r="H613" s="39">
        <v>2.7031352700614741E-2</v>
      </c>
      <c r="I613" s="39">
        <v>0.34185650642605192</v>
      </c>
      <c r="J613" s="39">
        <v>8.4294245042874749E-2</v>
      </c>
    </row>
    <row r="614" spans="1:10" ht="11.25" customHeight="1" x14ac:dyDescent="0.2">
      <c r="A614" s="67">
        <v>44682</v>
      </c>
      <c r="B614" s="58">
        <v>0</v>
      </c>
      <c r="C614" s="58">
        <v>0</v>
      </c>
      <c r="D614" s="58">
        <v>5015.0924999999997</v>
      </c>
      <c r="E614" s="58">
        <v>5150.657234193709</v>
      </c>
      <c r="F614" s="58">
        <v>1114.9875000000002</v>
      </c>
      <c r="G614" s="58">
        <v>1496.1532314587175</v>
      </c>
      <c r="H614" s="39">
        <v>2.7031352700614963E-2</v>
      </c>
      <c r="I614" s="39">
        <v>0.3418565064260517</v>
      </c>
      <c r="J614" s="39">
        <v>8.4294245042874971E-2</v>
      </c>
    </row>
    <row r="615" spans="1:10" ht="11.25" customHeight="1" x14ac:dyDescent="0.2">
      <c r="A615" s="67">
        <v>44713</v>
      </c>
      <c r="B615" s="58">
        <v>0</v>
      </c>
      <c r="C615" s="58">
        <v>0</v>
      </c>
      <c r="D615" s="58">
        <v>4553.0960999999998</v>
      </c>
      <c r="E615" s="58">
        <v>4676.172446558895</v>
      </c>
      <c r="F615" s="58">
        <v>1012.2735</v>
      </c>
      <c r="G615" s="58">
        <v>1358.325782257672</v>
      </c>
      <c r="H615" s="39">
        <v>2.7031352700615185E-2</v>
      </c>
      <c r="I615" s="39">
        <v>0.34185650642605192</v>
      </c>
      <c r="J615" s="39">
        <v>8.4294245042874971E-2</v>
      </c>
    </row>
    <row r="616" spans="1:10" ht="11.25" customHeight="1" x14ac:dyDescent="0.2">
      <c r="A616" s="67">
        <v>44743</v>
      </c>
      <c r="B616" s="58">
        <v>0</v>
      </c>
      <c r="C616" s="58">
        <v>0</v>
      </c>
      <c r="D616" s="58">
        <v>4955.5192799999995</v>
      </c>
      <c r="E616" s="58">
        <v>5089.473669472377</v>
      </c>
      <c r="F616" s="58">
        <v>1101.7428</v>
      </c>
      <c r="G616" s="58">
        <v>1478.3807445880564</v>
      </c>
      <c r="H616" s="39">
        <v>2.7031352700614963E-2</v>
      </c>
      <c r="I616" s="39">
        <v>0.34185650642605192</v>
      </c>
      <c r="J616" s="39">
        <v>8.4294245042874971E-2</v>
      </c>
    </row>
    <row r="617" spans="1:10" ht="11.25" customHeight="1" x14ac:dyDescent="0.2">
      <c r="A617" s="67">
        <v>44774</v>
      </c>
      <c r="B617" s="58">
        <v>0</v>
      </c>
      <c r="C617" s="58">
        <v>0</v>
      </c>
      <c r="D617" s="58">
        <v>5647.2980999999991</v>
      </c>
      <c r="E617" s="58">
        <v>5799.9522067466123</v>
      </c>
      <c r="F617" s="58">
        <v>1255.5434999999998</v>
      </c>
      <c r="G617" s="58">
        <v>1684.7592145759377</v>
      </c>
      <c r="H617" s="39">
        <v>2.7031352700614963E-2</v>
      </c>
      <c r="I617" s="39">
        <v>0.34185650642605214</v>
      </c>
      <c r="J617" s="39">
        <v>8.4294245042874971E-2</v>
      </c>
    </row>
    <row r="618" spans="1:10" ht="11.25" customHeight="1" x14ac:dyDescent="0.2">
      <c r="A618" s="67">
        <v>44805</v>
      </c>
      <c r="B618" s="58">
        <v>0</v>
      </c>
      <c r="C618" s="58">
        <v>0</v>
      </c>
      <c r="D618" s="58">
        <v>6754.8736799999997</v>
      </c>
      <c r="E618" s="58">
        <v>6937.4670528921815</v>
      </c>
      <c r="F618" s="58">
        <v>1501.7868000000003</v>
      </c>
      <c r="G618" s="58">
        <v>2015.1823888447602</v>
      </c>
      <c r="H618" s="39">
        <v>2.7031352700615185E-2</v>
      </c>
      <c r="I618" s="39">
        <v>0.34185650642605192</v>
      </c>
      <c r="J618" s="39">
        <v>8.4294245042874971E-2</v>
      </c>
    </row>
    <row r="619" spans="1:10" ht="11.25" customHeight="1" x14ac:dyDescent="0.2">
      <c r="A619" s="67">
        <v>44835</v>
      </c>
      <c r="B619" s="58">
        <v>0</v>
      </c>
      <c r="C619" s="58">
        <v>0</v>
      </c>
      <c r="D619" s="58">
        <v>5748.2078399999991</v>
      </c>
      <c r="E619" s="58">
        <v>5903.5896735194801</v>
      </c>
      <c r="F619" s="58">
        <v>1277.9784000000002</v>
      </c>
      <c r="G619" s="58">
        <v>1714.8636311119553</v>
      </c>
      <c r="H619" s="39">
        <v>2.7031352700615185E-2</v>
      </c>
      <c r="I619" s="39">
        <v>0.34185650642605148</v>
      </c>
      <c r="J619" s="39">
        <v>8.4294245042874971E-2</v>
      </c>
    </row>
    <row r="620" spans="1:10" ht="11.25" customHeight="1" x14ac:dyDescent="0.2">
      <c r="A620" s="67">
        <v>44866</v>
      </c>
      <c r="B620" s="58">
        <v>0</v>
      </c>
      <c r="C620" s="58">
        <v>0</v>
      </c>
      <c r="D620" s="58">
        <v>5748.2078399999991</v>
      </c>
      <c r="E620" s="58">
        <v>5903.5896735194801</v>
      </c>
      <c r="F620" s="58">
        <v>1277.9784000000002</v>
      </c>
      <c r="G620" s="58">
        <v>1714.8636311119553</v>
      </c>
      <c r="H620" s="39">
        <v>2.7031352700615185E-2</v>
      </c>
      <c r="I620" s="39">
        <v>0.34185650642605148</v>
      </c>
      <c r="J620" s="39">
        <v>8.4294245042874971E-2</v>
      </c>
    </row>
    <row r="621" spans="1:10" ht="11.25" customHeight="1" x14ac:dyDescent="0.2">
      <c r="A621" s="61" t="s">
        <v>23</v>
      </c>
      <c r="B621" s="58">
        <v>0</v>
      </c>
      <c r="C621" s="58">
        <v>0</v>
      </c>
      <c r="D621" s="58">
        <v>238696431.47833002</v>
      </c>
      <c r="E621" s="58">
        <v>257075362.46616006</v>
      </c>
      <c r="F621" s="58">
        <v>92828490.223200038</v>
      </c>
      <c r="G621" s="58">
        <v>121295287.13175888</v>
      </c>
      <c r="H621" s="39">
        <v>7.6997091552660102E-2</v>
      </c>
      <c r="I621" s="39">
        <v>0.30666013031249895</v>
      </c>
      <c r="J621" s="39">
        <v>0.14130378994121062</v>
      </c>
    </row>
    <row r="622" spans="1:10" ht="11.25" customHeight="1" x14ac:dyDescent="0.2">
      <c r="A622" s="62" t="s">
        <v>24</v>
      </c>
      <c r="B622" s="58">
        <v>0</v>
      </c>
      <c r="C622" s="58">
        <v>0</v>
      </c>
      <c r="D622" s="58">
        <v>238696431.47833002</v>
      </c>
      <c r="E622" s="58">
        <v>257075362.46616006</v>
      </c>
      <c r="F622" s="58">
        <v>92828490.223200038</v>
      </c>
      <c r="G622" s="58">
        <v>121295287.13175888</v>
      </c>
      <c r="H622" s="39">
        <v>7.6997091552660102E-2</v>
      </c>
      <c r="I622" s="39">
        <v>0.30666013031249895</v>
      </c>
      <c r="J622" s="39">
        <v>0.14130378994121062</v>
      </c>
    </row>
    <row r="623" spans="1:10" ht="11.25" customHeight="1" x14ac:dyDescent="0.2">
      <c r="A623" s="63" t="s">
        <v>24</v>
      </c>
      <c r="B623" s="58">
        <v>0</v>
      </c>
      <c r="C623" s="58">
        <v>0</v>
      </c>
      <c r="D623" s="58">
        <v>204595140.69999999</v>
      </c>
      <c r="E623" s="58">
        <v>221622419.21607438</v>
      </c>
      <c r="F623" s="58">
        <v>77927976.584999993</v>
      </c>
      <c r="G623" s="58">
        <v>101825322.10873713</v>
      </c>
      <c r="H623" s="39">
        <v>8.3224256733651636E-2</v>
      </c>
      <c r="I623" s="39">
        <v>0.30665938692339956</v>
      </c>
      <c r="J623" s="39">
        <v>0.14485407223695645</v>
      </c>
    </row>
    <row r="624" spans="1:10" ht="11.25" customHeight="1" x14ac:dyDescent="0.2">
      <c r="A624" s="64" t="s">
        <v>25</v>
      </c>
      <c r="B624" s="58">
        <v>0</v>
      </c>
      <c r="C624" s="58">
        <v>0</v>
      </c>
      <c r="D624" s="58">
        <v>204595140.69999999</v>
      </c>
      <c r="E624" s="58">
        <v>221622419.21607438</v>
      </c>
      <c r="F624" s="58">
        <v>77927976.584999993</v>
      </c>
      <c r="G624" s="58">
        <v>101825322.10873713</v>
      </c>
      <c r="H624" s="39">
        <v>8.3224256733651636E-2</v>
      </c>
      <c r="I624" s="39">
        <v>0.30665938692339956</v>
      </c>
      <c r="J624" s="39">
        <v>0.14485407223695645</v>
      </c>
    </row>
    <row r="625" spans="1:10" ht="11.25" customHeight="1" x14ac:dyDescent="0.2">
      <c r="A625" s="65" t="s">
        <v>25</v>
      </c>
      <c r="B625" s="58">
        <v>0</v>
      </c>
      <c r="C625" s="58">
        <v>0</v>
      </c>
      <c r="D625" s="58">
        <v>204595140.69999999</v>
      </c>
      <c r="E625" s="58">
        <v>221622419.21607438</v>
      </c>
      <c r="F625" s="58">
        <v>77927976.584999993</v>
      </c>
      <c r="G625" s="58">
        <v>101825322.10873713</v>
      </c>
      <c r="H625" s="39">
        <v>8.3224256733651636E-2</v>
      </c>
      <c r="I625" s="39">
        <v>0.30665938692339956</v>
      </c>
      <c r="J625" s="39">
        <v>0.14485407223695645</v>
      </c>
    </row>
    <row r="626" spans="1:10" ht="11.25" customHeight="1" x14ac:dyDescent="0.2">
      <c r="A626" s="66" t="s">
        <v>25</v>
      </c>
      <c r="B626" s="58">
        <v>0</v>
      </c>
      <c r="C626" s="58">
        <v>0</v>
      </c>
      <c r="D626" s="58">
        <v>204595140.69999999</v>
      </c>
      <c r="E626" s="58">
        <v>221622419.21607438</v>
      </c>
      <c r="F626" s="58">
        <v>77927976.584999993</v>
      </c>
      <c r="G626" s="58">
        <v>101825322.10873713</v>
      </c>
      <c r="H626" s="39">
        <v>8.3224256733651636E-2</v>
      </c>
      <c r="I626" s="39">
        <v>0.30665938692339956</v>
      </c>
      <c r="J626" s="39">
        <v>0.14485407223695645</v>
      </c>
    </row>
    <row r="627" spans="1:10" ht="11.25" customHeight="1" x14ac:dyDescent="0.2">
      <c r="A627" s="67">
        <v>44531</v>
      </c>
      <c r="B627" s="58">
        <v>0</v>
      </c>
      <c r="C627" s="58">
        <v>0</v>
      </c>
      <c r="D627" s="58">
        <v>17169912.316400003</v>
      </c>
      <c r="E627" s="58">
        <v>18598865.507114362</v>
      </c>
      <c r="F627" s="58">
        <v>6539825.5324200001</v>
      </c>
      <c r="G627" s="58">
        <v>8545324.4207779113</v>
      </c>
      <c r="H627" s="39">
        <v>8.3224256733651636E-2</v>
      </c>
      <c r="I627" s="39">
        <v>0.30665938692339934</v>
      </c>
      <c r="J627" s="39">
        <v>0.14485407223695645</v>
      </c>
    </row>
    <row r="628" spans="1:10" ht="11.25" customHeight="1" x14ac:dyDescent="0.2">
      <c r="A628" s="67">
        <v>44562</v>
      </c>
      <c r="B628" s="58">
        <v>0</v>
      </c>
      <c r="C628" s="58">
        <v>0</v>
      </c>
      <c r="D628" s="58">
        <v>17364578.883600004</v>
      </c>
      <c r="E628" s="58">
        <v>18809733.054680474</v>
      </c>
      <c r="F628" s="58">
        <v>6613971.8275800003</v>
      </c>
      <c r="G628" s="58">
        <v>8642208.3733543195</v>
      </c>
      <c r="H628" s="39">
        <v>8.3224256733651414E-2</v>
      </c>
      <c r="I628" s="39">
        <v>0.30665938692339956</v>
      </c>
      <c r="J628" s="39">
        <v>0.14485407223695623</v>
      </c>
    </row>
    <row r="629" spans="1:10" ht="11.25" customHeight="1" x14ac:dyDescent="0.2">
      <c r="A629" s="67">
        <v>44593</v>
      </c>
      <c r="B629" s="58">
        <v>0</v>
      </c>
      <c r="C629" s="58">
        <v>0</v>
      </c>
      <c r="D629" s="58">
        <v>15671326.243599998</v>
      </c>
      <c r="E629" s="58">
        <v>16975560.722254179</v>
      </c>
      <c r="F629" s="58">
        <v>5969031.0355800008</v>
      </c>
      <c r="G629" s="58">
        <v>7799490.4334777063</v>
      </c>
      <c r="H629" s="39">
        <v>8.3224256733651858E-2</v>
      </c>
      <c r="I629" s="39">
        <v>0.30665938692339911</v>
      </c>
      <c r="J629" s="39">
        <v>0.14485407223695668</v>
      </c>
    </row>
    <row r="630" spans="1:10" ht="11.25" customHeight="1" x14ac:dyDescent="0.2">
      <c r="A630" s="67">
        <v>44621</v>
      </c>
      <c r="B630" s="58">
        <v>0</v>
      </c>
      <c r="C630" s="58">
        <v>0</v>
      </c>
      <c r="D630" s="58">
        <v>16096269.4212</v>
      </c>
      <c r="E630" s="58">
        <v>17435869.479963973</v>
      </c>
      <c r="F630" s="58">
        <v>6130887.0888600014</v>
      </c>
      <c r="G630" s="58">
        <v>8010981.1648263922</v>
      </c>
      <c r="H630" s="39">
        <v>8.3224256733651636E-2</v>
      </c>
      <c r="I630" s="39">
        <v>0.30665938692339911</v>
      </c>
      <c r="J630" s="39">
        <v>0.14485407223695623</v>
      </c>
    </row>
    <row r="631" spans="1:10" ht="11.25" customHeight="1" x14ac:dyDescent="0.2">
      <c r="A631" s="67">
        <v>44652</v>
      </c>
      <c r="B631" s="58">
        <v>0</v>
      </c>
      <c r="C631" s="58">
        <v>0</v>
      </c>
      <c r="D631" s="58">
        <v>15924947.432000002</v>
      </c>
      <c r="E631" s="58">
        <v>17250289.345550675</v>
      </c>
      <c r="F631" s="58">
        <v>6065632.4796000011</v>
      </c>
      <c r="G631" s="58">
        <v>7925715.6170967948</v>
      </c>
      <c r="H631" s="39">
        <v>8.3224256733651636E-2</v>
      </c>
      <c r="I631" s="39">
        <v>0.30665938692339911</v>
      </c>
      <c r="J631" s="39">
        <v>0.14485407223695623</v>
      </c>
    </row>
    <row r="632" spans="1:10" ht="11.25" customHeight="1" x14ac:dyDescent="0.2">
      <c r="A632" s="67">
        <v>44682</v>
      </c>
      <c r="B632" s="58">
        <v>0</v>
      </c>
      <c r="C632" s="58">
        <v>0</v>
      </c>
      <c r="D632" s="58">
        <v>16886614.701199997</v>
      </c>
      <c r="E632" s="58">
        <v>18291990.658454925</v>
      </c>
      <c r="F632" s="58">
        <v>6431920.6728600003</v>
      </c>
      <c r="G632" s="58">
        <v>8404329.5231391862</v>
      </c>
      <c r="H632" s="39">
        <v>8.3224256733651858E-2</v>
      </c>
      <c r="I632" s="39">
        <v>0.30665938692339934</v>
      </c>
      <c r="J632" s="39">
        <v>0.14485407223695645</v>
      </c>
    </row>
    <row r="633" spans="1:10" ht="11.25" customHeight="1" x14ac:dyDescent="0.2">
      <c r="A633" s="67">
        <v>44713</v>
      </c>
      <c r="B633" s="58">
        <v>0</v>
      </c>
      <c r="C633" s="58">
        <v>0</v>
      </c>
      <c r="D633" s="58">
        <v>15148345.110399999</v>
      </c>
      <c r="E633" s="58">
        <v>16409054.872957885</v>
      </c>
      <c r="F633" s="58">
        <v>5769833.4331199992</v>
      </c>
      <c r="G633" s="58">
        <v>7539207.0163707118</v>
      </c>
      <c r="H633" s="39">
        <v>8.3224256733651636E-2</v>
      </c>
      <c r="I633" s="39">
        <v>0.30665938692339956</v>
      </c>
      <c r="J633" s="39">
        <v>0.14485407223695668</v>
      </c>
    </row>
    <row r="634" spans="1:10" ht="11.25" customHeight="1" x14ac:dyDescent="0.2">
      <c r="A634" s="67">
        <v>44743</v>
      </c>
      <c r="B634" s="58">
        <v>0</v>
      </c>
      <c r="C634" s="58">
        <v>0</v>
      </c>
      <c r="D634" s="58">
        <v>17051168.594000001</v>
      </c>
      <c r="E634" s="58">
        <v>18470239.426675837</v>
      </c>
      <c r="F634" s="58">
        <v>6494597.3907000013</v>
      </c>
      <c r="G634" s="58">
        <v>8486226.6448463723</v>
      </c>
      <c r="H634" s="39">
        <v>8.3224256733651858E-2</v>
      </c>
      <c r="I634" s="39">
        <v>0.30665938692339934</v>
      </c>
      <c r="J634" s="39">
        <v>0.14485407223695645</v>
      </c>
    </row>
    <row r="635" spans="1:10" ht="11.25" customHeight="1" x14ac:dyDescent="0.2">
      <c r="A635" s="67">
        <v>44774</v>
      </c>
      <c r="B635" s="58">
        <v>0</v>
      </c>
      <c r="C635" s="58">
        <v>0</v>
      </c>
      <c r="D635" s="58">
        <v>18113501.040000003</v>
      </c>
      <c r="E635" s="58">
        <v>19620983.70089823</v>
      </c>
      <c r="F635" s="58">
        <v>6899227.8120000008</v>
      </c>
      <c r="G635" s="58">
        <v>9014940.7830727883</v>
      </c>
      <c r="H635" s="39">
        <v>8.3224256733651636E-2</v>
      </c>
      <c r="I635" s="39">
        <v>0.30665938692339956</v>
      </c>
      <c r="J635" s="39">
        <v>0.14485407223695645</v>
      </c>
    </row>
    <row r="636" spans="1:10" ht="11.25" customHeight="1" x14ac:dyDescent="0.2">
      <c r="A636" s="67">
        <v>44805</v>
      </c>
      <c r="B636" s="58">
        <v>0</v>
      </c>
      <c r="C636" s="58">
        <v>0</v>
      </c>
      <c r="D636" s="58">
        <v>17467493.911200002</v>
      </c>
      <c r="E636" s="58">
        <v>18921213.108959209</v>
      </c>
      <c r="F636" s="58">
        <v>6653170.9983600006</v>
      </c>
      <c r="G636" s="58">
        <v>8693428.3378136177</v>
      </c>
      <c r="H636" s="39">
        <v>8.3224256733651636E-2</v>
      </c>
      <c r="I636" s="39">
        <v>0.30665938692339911</v>
      </c>
      <c r="J636" s="39">
        <v>0.14485407223695645</v>
      </c>
    </row>
    <row r="637" spans="1:10" ht="11.25" customHeight="1" x14ac:dyDescent="0.2">
      <c r="A637" s="67">
        <v>44835</v>
      </c>
      <c r="B637" s="58">
        <v>0</v>
      </c>
      <c r="C637" s="58">
        <v>0</v>
      </c>
      <c r="D637" s="58">
        <v>18850491.523200002</v>
      </c>
      <c r="E637" s="58">
        <v>20419309.669282321</v>
      </c>
      <c r="F637" s="58">
        <v>7179939.1569600012</v>
      </c>
      <c r="G637" s="58">
        <v>9381734.8969806619</v>
      </c>
      <c r="H637" s="39">
        <v>8.3224256733651636E-2</v>
      </c>
      <c r="I637" s="39">
        <v>0.30665938692339911</v>
      </c>
      <c r="J637" s="39">
        <v>0.14485407223695645</v>
      </c>
    </row>
    <row r="638" spans="1:10" ht="11.25" customHeight="1" x14ac:dyDescent="0.2">
      <c r="A638" s="67">
        <v>44866</v>
      </c>
      <c r="B638" s="58">
        <v>0</v>
      </c>
      <c r="C638" s="58">
        <v>0</v>
      </c>
      <c r="D638" s="58">
        <v>18850491.523200002</v>
      </c>
      <c r="E638" s="58">
        <v>20419309.669282321</v>
      </c>
      <c r="F638" s="58">
        <v>7179939.1569600012</v>
      </c>
      <c r="G638" s="58">
        <v>9381734.8969806619</v>
      </c>
      <c r="H638" s="39">
        <v>8.3224256733651636E-2</v>
      </c>
      <c r="I638" s="39">
        <v>0.30665938692339911</v>
      </c>
      <c r="J638" s="39">
        <v>0.14485407223695645</v>
      </c>
    </row>
    <row r="639" spans="1:10" ht="11.25" customHeight="1" x14ac:dyDescent="0.2">
      <c r="A639" s="63" t="s">
        <v>31</v>
      </c>
      <c r="B639" s="58">
        <v>0</v>
      </c>
      <c r="C639" s="58">
        <v>0</v>
      </c>
      <c r="D639" s="58">
        <v>3254278.9593599997</v>
      </c>
      <c r="E639" s="58">
        <v>3383308.5349677168</v>
      </c>
      <c r="F639" s="58">
        <v>1421906.3892000001</v>
      </c>
      <c r="G639" s="58">
        <v>1858037.5223925353</v>
      </c>
      <c r="H639" s="39">
        <v>3.9649205620986505E-2</v>
      </c>
      <c r="I639" s="39">
        <v>0.30672281699072523</v>
      </c>
      <c r="J639" s="39">
        <v>0.12085934724000746</v>
      </c>
    </row>
    <row r="640" spans="1:10" ht="11.25" customHeight="1" x14ac:dyDescent="0.2">
      <c r="A640" s="64" t="s">
        <v>25</v>
      </c>
      <c r="B640" s="58">
        <v>0</v>
      </c>
      <c r="C640" s="58">
        <v>0</v>
      </c>
      <c r="D640" s="58">
        <v>3254278.9593599997</v>
      </c>
      <c r="E640" s="58">
        <v>3383308.5349677168</v>
      </c>
      <c r="F640" s="58">
        <v>1421906.3892000001</v>
      </c>
      <c r="G640" s="58">
        <v>1858037.5223925353</v>
      </c>
      <c r="H640" s="39">
        <v>3.9649205620986505E-2</v>
      </c>
      <c r="I640" s="39">
        <v>0.30672281699072523</v>
      </c>
      <c r="J640" s="39">
        <v>0.12085934724000746</v>
      </c>
    </row>
    <row r="641" spans="1:10" ht="11.25" customHeight="1" x14ac:dyDescent="0.2">
      <c r="A641" s="65" t="s">
        <v>25</v>
      </c>
      <c r="B641" s="58">
        <v>0</v>
      </c>
      <c r="C641" s="58">
        <v>0</v>
      </c>
      <c r="D641" s="58">
        <v>3254278.9593599997</v>
      </c>
      <c r="E641" s="58">
        <v>3383308.5349677168</v>
      </c>
      <c r="F641" s="58">
        <v>1421906.3892000001</v>
      </c>
      <c r="G641" s="58">
        <v>1858037.5223925353</v>
      </c>
      <c r="H641" s="39">
        <v>3.9649205620986505E-2</v>
      </c>
      <c r="I641" s="39">
        <v>0.30672281699072523</v>
      </c>
      <c r="J641" s="39">
        <v>0.12085934724000746</v>
      </c>
    </row>
    <row r="642" spans="1:10" ht="11.25" customHeight="1" x14ac:dyDescent="0.2">
      <c r="A642" s="66" t="s">
        <v>25</v>
      </c>
      <c r="B642" s="58">
        <v>0</v>
      </c>
      <c r="C642" s="58">
        <v>0</v>
      </c>
      <c r="D642" s="58">
        <v>3254278.9593599997</v>
      </c>
      <c r="E642" s="58">
        <v>3383308.5349677168</v>
      </c>
      <c r="F642" s="58">
        <v>1421906.3892000001</v>
      </c>
      <c r="G642" s="58">
        <v>1858037.5223925353</v>
      </c>
      <c r="H642" s="39">
        <v>3.9649205620986505E-2</v>
      </c>
      <c r="I642" s="39">
        <v>0.30672281699072523</v>
      </c>
      <c r="J642" s="39">
        <v>0.12085934724000746</v>
      </c>
    </row>
    <row r="643" spans="1:10" ht="11.25" customHeight="1" x14ac:dyDescent="0.2">
      <c r="A643" s="67">
        <v>44531</v>
      </c>
      <c r="B643" s="58">
        <v>0</v>
      </c>
      <c r="C643" s="58">
        <v>0</v>
      </c>
      <c r="D643" s="58">
        <v>235328.01343999998</v>
      </c>
      <c r="E643" s="58">
        <v>244658.58223326094</v>
      </c>
      <c r="F643" s="58">
        <v>102822.90179999999</v>
      </c>
      <c r="G643" s="58">
        <v>134361.03189125677</v>
      </c>
      <c r="H643" s="39">
        <v>3.9649205620986949E-2</v>
      </c>
      <c r="I643" s="39">
        <v>0.3067228169907259</v>
      </c>
      <c r="J643" s="39">
        <v>0.12085934724000813</v>
      </c>
    </row>
    <row r="644" spans="1:10" ht="11.25" customHeight="1" x14ac:dyDescent="0.2">
      <c r="A644" s="67">
        <v>44562</v>
      </c>
      <c r="B644" s="58">
        <v>0</v>
      </c>
      <c r="C644" s="58">
        <v>0</v>
      </c>
      <c r="D644" s="58">
        <v>241929.584</v>
      </c>
      <c r="E644" s="58">
        <v>251521.89982181584</v>
      </c>
      <c r="F644" s="58">
        <v>105707.355</v>
      </c>
      <c r="G644" s="58">
        <v>138130.2127022387</v>
      </c>
      <c r="H644" s="39">
        <v>3.9649205620986949E-2</v>
      </c>
      <c r="I644" s="39">
        <v>0.3067228169907259</v>
      </c>
      <c r="J644" s="39">
        <v>0.12085934724000813</v>
      </c>
    </row>
    <row r="645" spans="1:10" ht="11.25" customHeight="1" x14ac:dyDescent="0.2">
      <c r="A645" s="67">
        <v>44593</v>
      </c>
      <c r="B645" s="58">
        <v>0</v>
      </c>
      <c r="C645" s="58">
        <v>0</v>
      </c>
      <c r="D645" s="58">
        <v>256184.61440000002</v>
      </c>
      <c r="E645" s="58">
        <v>266342.13085327891</v>
      </c>
      <c r="F645" s="58">
        <v>111935.868</v>
      </c>
      <c r="G645" s="58">
        <v>146269.15275526201</v>
      </c>
      <c r="H645" s="39">
        <v>3.9649205620987171E-2</v>
      </c>
      <c r="I645" s="39">
        <v>0.30672281699072546</v>
      </c>
      <c r="J645" s="39">
        <v>0.12085934724000791</v>
      </c>
    </row>
    <row r="646" spans="1:10" ht="11.25" customHeight="1" x14ac:dyDescent="0.2">
      <c r="A646" s="67">
        <v>44621</v>
      </c>
      <c r="B646" s="58">
        <v>0</v>
      </c>
      <c r="C646" s="58">
        <v>0</v>
      </c>
      <c r="D646" s="58">
        <v>263503.56864000001</v>
      </c>
      <c r="E646" s="58">
        <v>273951.27581487125</v>
      </c>
      <c r="F646" s="58">
        <v>115133.77079999998</v>
      </c>
      <c r="G646" s="58">
        <v>150447.92531054057</v>
      </c>
      <c r="H646" s="39">
        <v>3.9649205620986949E-2</v>
      </c>
      <c r="I646" s="39">
        <v>0.3067228169907259</v>
      </c>
      <c r="J646" s="39">
        <v>0.12085934724000813</v>
      </c>
    </row>
    <row r="647" spans="1:10" ht="11.25" customHeight="1" x14ac:dyDescent="0.2">
      <c r="A647" s="67">
        <v>44652</v>
      </c>
      <c r="B647" s="58">
        <v>0</v>
      </c>
      <c r="C647" s="58">
        <v>0</v>
      </c>
      <c r="D647" s="58">
        <v>272202.55296000006</v>
      </c>
      <c r="E647" s="58">
        <v>282995.16795286868</v>
      </c>
      <c r="F647" s="58">
        <v>118934.65620000001</v>
      </c>
      <c r="G647" s="58">
        <v>155414.62898748746</v>
      </c>
      <c r="H647" s="39">
        <v>3.9649205620986949E-2</v>
      </c>
      <c r="I647" s="39">
        <v>0.30672281699072546</v>
      </c>
      <c r="J647" s="39">
        <v>0.12085934724000791</v>
      </c>
    </row>
    <row r="648" spans="1:10" ht="11.25" customHeight="1" x14ac:dyDescent="0.2">
      <c r="A648" s="67">
        <v>44682</v>
      </c>
      <c r="B648" s="58">
        <v>0</v>
      </c>
      <c r="C648" s="58">
        <v>0</v>
      </c>
      <c r="D648" s="58">
        <v>267937.99552</v>
      </c>
      <c r="E648" s="58">
        <v>278561.52419804753</v>
      </c>
      <c r="F648" s="58">
        <v>117071.3244</v>
      </c>
      <c r="G648" s="58">
        <v>152979.77080880309</v>
      </c>
      <c r="H648" s="39">
        <v>3.9649205620986727E-2</v>
      </c>
      <c r="I648" s="39">
        <v>0.3067228169907259</v>
      </c>
      <c r="J648" s="39">
        <v>0.12085934724000813</v>
      </c>
    </row>
    <row r="649" spans="1:10" ht="11.25" customHeight="1" x14ac:dyDescent="0.2">
      <c r="A649" s="67">
        <v>44713</v>
      </c>
      <c r="B649" s="58">
        <v>0</v>
      </c>
      <c r="C649" s="58">
        <v>0</v>
      </c>
      <c r="D649" s="58">
        <v>273829.82016</v>
      </c>
      <c r="E649" s="58">
        <v>284686.95500468177</v>
      </c>
      <c r="F649" s="58">
        <v>119645.6652</v>
      </c>
      <c r="G649" s="58">
        <v>156343.72067087324</v>
      </c>
      <c r="H649" s="39">
        <v>3.9649205620987171E-2</v>
      </c>
      <c r="I649" s="39">
        <v>0.30672281699072568</v>
      </c>
      <c r="J649" s="39">
        <v>0.12085934724000835</v>
      </c>
    </row>
    <row r="650" spans="1:10" ht="11.25" customHeight="1" x14ac:dyDescent="0.2">
      <c r="A650" s="67">
        <v>44743</v>
      </c>
      <c r="B650" s="58">
        <v>0</v>
      </c>
      <c r="C650" s="58">
        <v>0</v>
      </c>
      <c r="D650" s="58">
        <v>282922.43200000009</v>
      </c>
      <c r="E650" s="58">
        <v>294140.08168115775</v>
      </c>
      <c r="F650" s="58">
        <v>123618.54</v>
      </c>
      <c r="G650" s="58">
        <v>161535.16682108073</v>
      </c>
      <c r="H650" s="39">
        <v>3.9649205620986727E-2</v>
      </c>
      <c r="I650" s="39">
        <v>0.3067228169907259</v>
      </c>
      <c r="J650" s="39">
        <v>0.12085934724000813</v>
      </c>
    </row>
    <row r="651" spans="1:10" ht="11.25" customHeight="1" x14ac:dyDescent="0.2">
      <c r="A651" s="67">
        <v>44774</v>
      </c>
      <c r="B651" s="58">
        <v>0</v>
      </c>
      <c r="C651" s="58">
        <v>0</v>
      </c>
      <c r="D651" s="58">
        <v>284348.57152</v>
      </c>
      <c r="E651" s="58">
        <v>295622.76650023035</v>
      </c>
      <c r="F651" s="58">
        <v>124241.6694</v>
      </c>
      <c r="G651" s="58">
        <v>162349.42422599846</v>
      </c>
      <c r="H651" s="39">
        <v>3.9649205620986727E-2</v>
      </c>
      <c r="I651" s="39">
        <v>0.3067228169907259</v>
      </c>
      <c r="J651" s="39">
        <v>0.12085934724000791</v>
      </c>
    </row>
    <row r="652" spans="1:10" ht="11.25" customHeight="1" x14ac:dyDescent="0.2">
      <c r="A652" s="67">
        <v>44805</v>
      </c>
      <c r="B652" s="58">
        <v>0</v>
      </c>
      <c r="C652" s="58">
        <v>0</v>
      </c>
      <c r="D652" s="58">
        <v>287979.47775999998</v>
      </c>
      <c r="E652" s="58">
        <v>299397.63528833073</v>
      </c>
      <c r="F652" s="58">
        <v>125828.1372</v>
      </c>
      <c r="G652" s="58">
        <v>164422.49789867952</v>
      </c>
      <c r="H652" s="39">
        <v>3.9649205620987171E-2</v>
      </c>
      <c r="I652" s="39">
        <v>0.30672281699072568</v>
      </c>
      <c r="J652" s="39">
        <v>0.12085934724000835</v>
      </c>
    </row>
    <row r="653" spans="1:10" ht="11.25" customHeight="1" x14ac:dyDescent="0.2">
      <c r="A653" s="67">
        <v>44835</v>
      </c>
      <c r="B653" s="58">
        <v>0</v>
      </c>
      <c r="C653" s="58">
        <v>0</v>
      </c>
      <c r="D653" s="58">
        <v>294056.16447999998</v>
      </c>
      <c r="E653" s="58">
        <v>305715.25780958636</v>
      </c>
      <c r="F653" s="58">
        <v>128483.2506</v>
      </c>
      <c r="G653" s="58">
        <v>167891.99516015733</v>
      </c>
      <c r="H653" s="39">
        <v>3.9649205620987393E-2</v>
      </c>
      <c r="I653" s="39">
        <v>0.30672281699072546</v>
      </c>
      <c r="J653" s="39">
        <v>0.12085934724000835</v>
      </c>
    </row>
    <row r="654" spans="1:10" ht="11.25" customHeight="1" x14ac:dyDescent="0.2">
      <c r="A654" s="67">
        <v>44866</v>
      </c>
      <c r="B654" s="58">
        <v>0</v>
      </c>
      <c r="C654" s="58">
        <v>0</v>
      </c>
      <c r="D654" s="58">
        <v>294056.16447999998</v>
      </c>
      <c r="E654" s="58">
        <v>305715.25780958636</v>
      </c>
      <c r="F654" s="58">
        <v>128483.2506</v>
      </c>
      <c r="G654" s="58">
        <v>167891.99516015733</v>
      </c>
      <c r="H654" s="39">
        <v>3.9649205620987393E-2</v>
      </c>
      <c r="I654" s="39">
        <v>0.30672281699072546</v>
      </c>
      <c r="J654" s="39">
        <v>0.12085934724000835</v>
      </c>
    </row>
    <row r="655" spans="1:10" ht="11.25" customHeight="1" x14ac:dyDescent="0.2">
      <c r="A655" s="63" t="s">
        <v>32</v>
      </c>
      <c r="B655" s="58">
        <v>0</v>
      </c>
      <c r="C655" s="58">
        <v>0</v>
      </c>
      <c r="D655" s="58">
        <v>10588565.002359997</v>
      </c>
      <c r="E655" s="58">
        <v>11008328.334723368</v>
      </c>
      <c r="F655" s="58">
        <v>4626792.8485999992</v>
      </c>
      <c r="G655" s="58">
        <v>6045528.1844190778</v>
      </c>
      <c r="H655" s="39">
        <v>3.9643080272899756E-2</v>
      </c>
      <c r="I655" s="39">
        <v>0.30663472133799252</v>
      </c>
      <c r="J655" s="39">
        <v>0.12083177314600269</v>
      </c>
    </row>
    <row r="656" spans="1:10" ht="11.25" customHeight="1" x14ac:dyDescent="0.2">
      <c r="A656" s="64" t="s">
        <v>25</v>
      </c>
      <c r="B656" s="58">
        <v>0</v>
      </c>
      <c r="C656" s="58">
        <v>0</v>
      </c>
      <c r="D656" s="58">
        <v>10588565.002359997</v>
      </c>
      <c r="E656" s="58">
        <v>11008328.334723368</v>
      </c>
      <c r="F656" s="58">
        <v>4626792.8485999992</v>
      </c>
      <c r="G656" s="58">
        <v>6045528.1844190778</v>
      </c>
      <c r="H656" s="39">
        <v>3.9643080272899756E-2</v>
      </c>
      <c r="I656" s="39">
        <v>0.30663472133799252</v>
      </c>
      <c r="J656" s="39">
        <v>0.12083177314600269</v>
      </c>
    </row>
    <row r="657" spans="1:10" ht="11.25" customHeight="1" x14ac:dyDescent="0.2">
      <c r="A657" s="65" t="s">
        <v>25</v>
      </c>
      <c r="B657" s="58">
        <v>0</v>
      </c>
      <c r="C657" s="58">
        <v>0</v>
      </c>
      <c r="D657" s="58">
        <v>10588565.002359997</v>
      </c>
      <c r="E657" s="58">
        <v>11008328.334723368</v>
      </c>
      <c r="F657" s="58">
        <v>4626792.8485999992</v>
      </c>
      <c r="G657" s="58">
        <v>6045528.1844190778</v>
      </c>
      <c r="H657" s="39">
        <v>3.9643080272899756E-2</v>
      </c>
      <c r="I657" s="39">
        <v>0.30663472133799252</v>
      </c>
      <c r="J657" s="39">
        <v>0.12083177314600269</v>
      </c>
    </row>
    <row r="658" spans="1:10" ht="11.25" customHeight="1" x14ac:dyDescent="0.2">
      <c r="A658" s="66" t="s">
        <v>25</v>
      </c>
      <c r="B658" s="58">
        <v>0</v>
      </c>
      <c r="C658" s="58">
        <v>0</v>
      </c>
      <c r="D658" s="58">
        <v>10588565.002359997</v>
      </c>
      <c r="E658" s="58">
        <v>11008328.334723368</v>
      </c>
      <c r="F658" s="58">
        <v>4626792.8485999992</v>
      </c>
      <c r="G658" s="58">
        <v>6045528.1844190778</v>
      </c>
      <c r="H658" s="39">
        <v>3.9643080272899756E-2</v>
      </c>
      <c r="I658" s="39">
        <v>0.30663472133799252</v>
      </c>
      <c r="J658" s="39">
        <v>0.12083177314600269</v>
      </c>
    </row>
    <row r="659" spans="1:10" ht="11.25" customHeight="1" x14ac:dyDescent="0.2">
      <c r="A659" s="67">
        <v>44531</v>
      </c>
      <c r="B659" s="58">
        <v>0</v>
      </c>
      <c r="C659" s="58">
        <v>0</v>
      </c>
      <c r="D659" s="58">
        <v>764483.42052999977</v>
      </c>
      <c r="E659" s="58">
        <v>794789.89813737141</v>
      </c>
      <c r="F659" s="58">
        <v>334049.64905000001</v>
      </c>
      <c r="G659" s="58">
        <v>436480.87009950087</v>
      </c>
      <c r="H659" s="39">
        <v>3.9643080272899534E-2</v>
      </c>
      <c r="I659" s="39">
        <v>0.3066347213379923</v>
      </c>
      <c r="J659" s="39">
        <v>0.12083177314600246</v>
      </c>
    </row>
    <row r="660" spans="1:10" ht="11.25" customHeight="1" x14ac:dyDescent="0.2">
      <c r="A660" s="67">
        <v>44562</v>
      </c>
      <c r="B660" s="58">
        <v>0</v>
      </c>
      <c r="C660" s="58">
        <v>0</v>
      </c>
      <c r="D660" s="58">
        <v>777840.85035999992</v>
      </c>
      <c r="E660" s="58">
        <v>808676.85763036169</v>
      </c>
      <c r="F660" s="58">
        <v>339886.32860000001</v>
      </c>
      <c r="G660" s="58">
        <v>444107.27825685445</v>
      </c>
      <c r="H660" s="39">
        <v>3.9643080272899311E-2</v>
      </c>
      <c r="I660" s="39">
        <v>0.30663472133799274</v>
      </c>
      <c r="J660" s="39">
        <v>0.12083177314600269</v>
      </c>
    </row>
    <row r="661" spans="1:10" ht="11.25" customHeight="1" x14ac:dyDescent="0.2">
      <c r="A661" s="67">
        <v>44593</v>
      </c>
      <c r="B661" s="58">
        <v>0</v>
      </c>
      <c r="C661" s="58">
        <v>0</v>
      </c>
      <c r="D661" s="58">
        <v>814827.22415999975</v>
      </c>
      <c r="E661" s="58">
        <v>847129.48521591863</v>
      </c>
      <c r="F661" s="58">
        <v>356047.94160000002</v>
      </c>
      <c r="G661" s="58">
        <v>465224.60295548179</v>
      </c>
      <c r="H661" s="39">
        <v>3.9643080272899756E-2</v>
      </c>
      <c r="I661" s="39">
        <v>0.3066347213379923</v>
      </c>
      <c r="J661" s="39">
        <v>0.12083177314600269</v>
      </c>
    </row>
    <row r="662" spans="1:10" ht="11.25" customHeight="1" x14ac:dyDescent="0.2">
      <c r="A662" s="67">
        <v>44621</v>
      </c>
      <c r="B662" s="58">
        <v>0</v>
      </c>
      <c r="C662" s="58">
        <v>0</v>
      </c>
      <c r="D662" s="58">
        <v>851791.77565999981</v>
      </c>
      <c r="E662" s="58">
        <v>885559.4253982848</v>
      </c>
      <c r="F662" s="58">
        <v>372200.01909999998</v>
      </c>
      <c r="G662" s="58">
        <v>486329.46823872399</v>
      </c>
      <c r="H662" s="39">
        <v>3.9643080272899534E-2</v>
      </c>
      <c r="I662" s="39">
        <v>0.30663472133799252</v>
      </c>
      <c r="J662" s="39">
        <v>0.12083177314600269</v>
      </c>
    </row>
    <row r="663" spans="1:10" ht="11.25" customHeight="1" x14ac:dyDescent="0.2">
      <c r="A663" s="67">
        <v>44652</v>
      </c>
      <c r="B663" s="58">
        <v>0</v>
      </c>
      <c r="C663" s="58">
        <v>0</v>
      </c>
      <c r="D663" s="58">
        <v>882427.37521999993</v>
      </c>
      <c r="E663" s="58">
        <v>917409.51449085027</v>
      </c>
      <c r="F663" s="58">
        <v>385586.58970000001</v>
      </c>
      <c r="G663" s="58">
        <v>503820.82618432638</v>
      </c>
      <c r="H663" s="39">
        <v>3.9643080272899311E-2</v>
      </c>
      <c r="I663" s="39">
        <v>0.30663472133799252</v>
      </c>
      <c r="J663" s="39">
        <v>0.12083177314600246</v>
      </c>
    </row>
    <row r="664" spans="1:10" ht="11.25" customHeight="1" x14ac:dyDescent="0.2">
      <c r="A664" s="67">
        <v>44682</v>
      </c>
      <c r="B664" s="58">
        <v>0</v>
      </c>
      <c r="C664" s="58">
        <v>0</v>
      </c>
      <c r="D664" s="58">
        <v>863523.44413999992</v>
      </c>
      <c r="E664" s="58">
        <v>897756.17335357238</v>
      </c>
      <c r="F664" s="58">
        <v>377326.3039</v>
      </c>
      <c r="G664" s="58">
        <v>493027.64994987118</v>
      </c>
      <c r="H664" s="39">
        <v>3.9643080272899311E-2</v>
      </c>
      <c r="I664" s="39">
        <v>0.30663472133799252</v>
      </c>
      <c r="J664" s="39">
        <v>0.12083177314600246</v>
      </c>
    </row>
    <row r="665" spans="1:10" ht="11.25" customHeight="1" x14ac:dyDescent="0.2">
      <c r="A665" s="67">
        <v>44713</v>
      </c>
      <c r="B665" s="58">
        <v>0</v>
      </c>
      <c r="C665" s="58">
        <v>0</v>
      </c>
      <c r="D665" s="58">
        <v>868713.75695999991</v>
      </c>
      <c r="E665" s="58">
        <v>903152.24616133713</v>
      </c>
      <c r="F665" s="58">
        <v>379594.26959999994</v>
      </c>
      <c r="G665" s="58">
        <v>495991.05268029479</v>
      </c>
      <c r="H665" s="39">
        <v>3.9643080272899311E-2</v>
      </c>
      <c r="I665" s="39">
        <v>0.30663472133799274</v>
      </c>
      <c r="J665" s="39">
        <v>0.12083177314600246</v>
      </c>
    </row>
    <row r="666" spans="1:10" ht="11.25" customHeight="1" x14ac:dyDescent="0.2">
      <c r="A666" s="67">
        <v>44743</v>
      </c>
      <c r="B666" s="58">
        <v>0</v>
      </c>
      <c r="C666" s="58">
        <v>0</v>
      </c>
      <c r="D666" s="58">
        <v>920991.01637000008</v>
      </c>
      <c r="E666" s="58">
        <v>957501.93716257508</v>
      </c>
      <c r="F666" s="58">
        <v>402437.40745</v>
      </c>
      <c r="G666" s="58">
        <v>525838.68973941484</v>
      </c>
      <c r="H666" s="39">
        <v>3.9643080272899311E-2</v>
      </c>
      <c r="I666" s="39">
        <v>0.3066347213379923</v>
      </c>
      <c r="J666" s="39">
        <v>0.12083177314600224</v>
      </c>
    </row>
    <row r="667" spans="1:10" ht="11.25" customHeight="1" x14ac:dyDescent="0.2">
      <c r="A667" s="67">
        <v>44774</v>
      </c>
      <c r="B667" s="58">
        <v>0</v>
      </c>
      <c r="C667" s="58">
        <v>0</v>
      </c>
      <c r="D667" s="58">
        <v>935339.6635599999</v>
      </c>
      <c r="E667" s="58">
        <v>972419.4089249355</v>
      </c>
      <c r="F667" s="58">
        <v>408707.21059999999</v>
      </c>
      <c r="G667" s="58">
        <v>534031.03223115928</v>
      </c>
      <c r="H667" s="39">
        <v>3.9643080272899089E-2</v>
      </c>
      <c r="I667" s="39">
        <v>0.30663472133799274</v>
      </c>
      <c r="J667" s="39">
        <v>0.12083177314600269</v>
      </c>
    </row>
    <row r="668" spans="1:10" ht="11.25" customHeight="1" x14ac:dyDescent="0.2">
      <c r="A668" s="67">
        <v>44805</v>
      </c>
      <c r="B668" s="58">
        <v>0</v>
      </c>
      <c r="C668" s="58">
        <v>0</v>
      </c>
      <c r="D668" s="58">
        <v>945681.97893999994</v>
      </c>
      <c r="E668" s="58">
        <v>983171.72554375255</v>
      </c>
      <c r="F668" s="58">
        <v>413226.4019</v>
      </c>
      <c r="G668" s="58">
        <v>539935.96449610777</v>
      </c>
      <c r="H668" s="39">
        <v>3.9643080272899311E-2</v>
      </c>
      <c r="I668" s="39">
        <v>0.30663472133799252</v>
      </c>
      <c r="J668" s="39">
        <v>0.12083177314600246</v>
      </c>
    </row>
    <row r="669" spans="1:10" ht="11.25" customHeight="1" x14ac:dyDescent="0.2">
      <c r="A669" s="67">
        <v>44835</v>
      </c>
      <c r="B669" s="58">
        <v>0</v>
      </c>
      <c r="C669" s="58">
        <v>0</v>
      </c>
      <c r="D669" s="58">
        <v>981472.24823000003</v>
      </c>
      <c r="E669" s="58">
        <v>1020380.8313522048</v>
      </c>
      <c r="F669" s="58">
        <v>428865.36355000007</v>
      </c>
      <c r="G669" s="58">
        <v>560370.37479367119</v>
      </c>
      <c r="H669" s="39">
        <v>3.9643080272899311E-2</v>
      </c>
      <c r="I669" s="39">
        <v>0.30663472133799252</v>
      </c>
      <c r="J669" s="39">
        <v>0.12083177314600246</v>
      </c>
    </row>
    <row r="670" spans="1:10" ht="11.25" customHeight="1" x14ac:dyDescent="0.2">
      <c r="A670" s="67">
        <v>44866</v>
      </c>
      <c r="B670" s="58">
        <v>0</v>
      </c>
      <c r="C670" s="58">
        <v>0</v>
      </c>
      <c r="D670" s="58">
        <v>981472.24823000003</v>
      </c>
      <c r="E670" s="58">
        <v>1020380.8313522048</v>
      </c>
      <c r="F670" s="58">
        <v>428865.36355000007</v>
      </c>
      <c r="G670" s="58">
        <v>560370.37479367119</v>
      </c>
      <c r="H670" s="39">
        <v>3.9643080272899311E-2</v>
      </c>
      <c r="I670" s="39">
        <v>0.30663472133799252</v>
      </c>
      <c r="J670" s="39">
        <v>0.12083177314600246</v>
      </c>
    </row>
    <row r="671" spans="1:10" ht="11.25" customHeight="1" x14ac:dyDescent="0.2">
      <c r="A671" s="63" t="s">
        <v>33</v>
      </c>
      <c r="B671" s="58">
        <v>0</v>
      </c>
      <c r="C671" s="58">
        <v>0</v>
      </c>
      <c r="D671" s="58">
        <v>12934781.308369998</v>
      </c>
      <c r="E671" s="58">
        <v>13447371.015632186</v>
      </c>
      <c r="F671" s="58">
        <v>5651742.9972399995</v>
      </c>
      <c r="G671" s="58">
        <v>7384995.9784459425</v>
      </c>
      <c r="H671" s="39">
        <v>3.962878807471526E-2</v>
      </c>
      <c r="I671" s="39">
        <v>0.30667583116436292</v>
      </c>
      <c r="J671" s="39">
        <v>0.12083177314600224</v>
      </c>
    </row>
    <row r="672" spans="1:10" ht="11.25" customHeight="1" x14ac:dyDescent="0.2">
      <c r="A672" s="64" t="s">
        <v>25</v>
      </c>
      <c r="B672" s="58">
        <v>0</v>
      </c>
      <c r="C672" s="58">
        <v>0</v>
      </c>
      <c r="D672" s="58">
        <v>12934781.308369998</v>
      </c>
      <c r="E672" s="58">
        <v>13447371.015632186</v>
      </c>
      <c r="F672" s="58">
        <v>5651742.9972399995</v>
      </c>
      <c r="G672" s="58">
        <v>7384995.9784459425</v>
      </c>
      <c r="H672" s="39">
        <v>3.962878807471526E-2</v>
      </c>
      <c r="I672" s="39">
        <v>0.30667583116436292</v>
      </c>
      <c r="J672" s="39">
        <v>0.12083177314600224</v>
      </c>
    </row>
    <row r="673" spans="1:10" ht="11.25" customHeight="1" x14ac:dyDescent="0.2">
      <c r="A673" s="65" t="s">
        <v>25</v>
      </c>
      <c r="B673" s="58">
        <v>0</v>
      </c>
      <c r="C673" s="58">
        <v>0</v>
      </c>
      <c r="D673" s="58">
        <v>12934781.308369998</v>
      </c>
      <c r="E673" s="58">
        <v>13447371.015632186</v>
      </c>
      <c r="F673" s="58">
        <v>5651742.9972399995</v>
      </c>
      <c r="G673" s="58">
        <v>7384995.9784459425</v>
      </c>
      <c r="H673" s="39">
        <v>3.962878807471526E-2</v>
      </c>
      <c r="I673" s="39">
        <v>0.30667583116436292</v>
      </c>
      <c r="J673" s="39">
        <v>0.12083177314600224</v>
      </c>
    </row>
    <row r="674" spans="1:10" ht="11.25" customHeight="1" x14ac:dyDescent="0.2">
      <c r="A674" s="66" t="s">
        <v>25</v>
      </c>
      <c r="B674" s="58">
        <v>0</v>
      </c>
      <c r="C674" s="58">
        <v>0</v>
      </c>
      <c r="D674" s="58">
        <v>12934781.308369998</v>
      </c>
      <c r="E674" s="58">
        <v>13447371.015632186</v>
      </c>
      <c r="F674" s="58">
        <v>5651742.9972399995</v>
      </c>
      <c r="G674" s="58">
        <v>7384995.9784459425</v>
      </c>
      <c r="H674" s="39">
        <v>3.962878807471526E-2</v>
      </c>
      <c r="I674" s="39">
        <v>0.30667583116436292</v>
      </c>
      <c r="J674" s="39">
        <v>0.12083177314600224</v>
      </c>
    </row>
    <row r="675" spans="1:10" ht="11.25" customHeight="1" x14ac:dyDescent="0.2">
      <c r="A675" s="67">
        <v>44531</v>
      </c>
      <c r="B675" s="58">
        <v>0</v>
      </c>
      <c r="C675" s="58">
        <v>0</v>
      </c>
      <c r="D675" s="58">
        <v>945066.60996999987</v>
      </c>
      <c r="E675" s="58">
        <v>982518.45437299111</v>
      </c>
      <c r="F675" s="58">
        <v>412938.84044</v>
      </c>
      <c r="G675" s="58">
        <v>539577.20255198504</v>
      </c>
      <c r="H675" s="39">
        <v>3.9628788074715926E-2</v>
      </c>
      <c r="I675" s="39">
        <v>0.30667583116436248</v>
      </c>
      <c r="J675" s="39">
        <v>0.12083177314600269</v>
      </c>
    </row>
    <row r="676" spans="1:10" ht="11.25" customHeight="1" x14ac:dyDescent="0.2">
      <c r="A676" s="67">
        <v>44562</v>
      </c>
      <c r="B676" s="58">
        <v>0</v>
      </c>
      <c r="C676" s="58">
        <v>0</v>
      </c>
      <c r="D676" s="58">
        <v>970425.19858999993</v>
      </c>
      <c r="E676" s="58">
        <v>1008881.9731272869</v>
      </c>
      <c r="F676" s="58">
        <v>424019.06067999988</v>
      </c>
      <c r="G676" s="58">
        <v>554055.45854357118</v>
      </c>
      <c r="H676" s="39">
        <v>3.9628788074715704E-2</v>
      </c>
      <c r="I676" s="39">
        <v>0.3066758311643627</v>
      </c>
      <c r="J676" s="39">
        <v>0.12083177314600269</v>
      </c>
    </row>
    <row r="677" spans="1:10" ht="11.25" customHeight="1" x14ac:dyDescent="0.2">
      <c r="A677" s="67">
        <v>44593</v>
      </c>
      <c r="B677" s="58">
        <v>0</v>
      </c>
      <c r="C677" s="58">
        <v>0</v>
      </c>
      <c r="D677" s="58">
        <v>921421.09544999991</v>
      </c>
      <c r="E677" s="58">
        <v>957935.89676916029</v>
      </c>
      <c r="F677" s="58">
        <v>402607.13340000005</v>
      </c>
      <c r="G677" s="58">
        <v>526077.01066814631</v>
      </c>
      <c r="H677" s="39">
        <v>3.9628788074715704E-2</v>
      </c>
      <c r="I677" s="39">
        <v>0.30667583116436226</v>
      </c>
      <c r="J677" s="39">
        <v>0.12083177314600246</v>
      </c>
    </row>
    <row r="678" spans="1:10" ht="11.25" customHeight="1" x14ac:dyDescent="0.2">
      <c r="A678" s="67">
        <v>44621</v>
      </c>
      <c r="B678" s="58">
        <v>0</v>
      </c>
      <c r="C678" s="58">
        <v>0</v>
      </c>
      <c r="D678" s="58">
        <v>1020133.08058</v>
      </c>
      <c r="E678" s="58">
        <v>1060559.7182383116</v>
      </c>
      <c r="F678" s="58">
        <v>445738.49816000002</v>
      </c>
      <c r="G678" s="58">
        <v>582435.72256517271</v>
      </c>
      <c r="H678" s="39">
        <v>3.9628788074715704E-2</v>
      </c>
      <c r="I678" s="39">
        <v>0.30667583116436248</v>
      </c>
      <c r="J678" s="39">
        <v>0.12083177314600246</v>
      </c>
    </row>
    <row r="679" spans="1:10" ht="11.25" customHeight="1" x14ac:dyDescent="0.2">
      <c r="A679" s="67">
        <v>44652</v>
      </c>
      <c r="B679" s="58">
        <v>0</v>
      </c>
      <c r="C679" s="58">
        <v>0</v>
      </c>
      <c r="D679" s="58">
        <v>1057482.4604800001</v>
      </c>
      <c r="E679" s="58">
        <v>1099389.2087990907</v>
      </c>
      <c r="F679" s="58">
        <v>462057.99295999995</v>
      </c>
      <c r="G679" s="58">
        <v>603760.01199714525</v>
      </c>
      <c r="H679" s="39">
        <v>3.9628788074715482E-2</v>
      </c>
      <c r="I679" s="39">
        <v>0.30667583116436292</v>
      </c>
      <c r="J679" s="39">
        <v>0.12083177314600246</v>
      </c>
    </row>
    <row r="680" spans="1:10" ht="11.25" customHeight="1" x14ac:dyDescent="0.2">
      <c r="A680" s="67">
        <v>44682</v>
      </c>
      <c r="B680" s="58">
        <v>0</v>
      </c>
      <c r="C680" s="58">
        <v>0</v>
      </c>
      <c r="D680" s="58">
        <v>1016322.4909099999</v>
      </c>
      <c r="E680" s="58">
        <v>1056598.1195178395</v>
      </c>
      <c r="F680" s="58">
        <v>444073.49332000001</v>
      </c>
      <c r="G680" s="58">
        <v>580260.100981973</v>
      </c>
      <c r="H680" s="39">
        <v>3.9628788074715704E-2</v>
      </c>
      <c r="I680" s="39">
        <v>0.30667583116436248</v>
      </c>
      <c r="J680" s="39">
        <v>0.12083177314600269</v>
      </c>
    </row>
    <row r="681" spans="1:10" ht="11.25" customHeight="1" x14ac:dyDescent="0.2">
      <c r="A681" s="67">
        <v>44713</v>
      </c>
      <c r="B681" s="58">
        <v>0</v>
      </c>
      <c r="C681" s="58">
        <v>0</v>
      </c>
      <c r="D681" s="58">
        <v>943530.29892999993</v>
      </c>
      <c r="E681" s="58">
        <v>980921.26118837006</v>
      </c>
      <c r="F681" s="58">
        <v>412267.56235999998</v>
      </c>
      <c r="G681" s="58">
        <v>538700.05970885861</v>
      </c>
      <c r="H681" s="39">
        <v>3.9628788074715704E-2</v>
      </c>
      <c r="I681" s="39">
        <v>0.30667583116436248</v>
      </c>
      <c r="J681" s="39">
        <v>0.12083177314600246</v>
      </c>
    </row>
    <row r="682" spans="1:10" ht="11.25" customHeight="1" x14ac:dyDescent="0.2">
      <c r="A682" s="67">
        <v>44743</v>
      </c>
      <c r="B682" s="58">
        <v>0</v>
      </c>
      <c r="C682" s="58">
        <v>0</v>
      </c>
      <c r="D682" s="58">
        <v>1119068.3836499997</v>
      </c>
      <c r="E682" s="58">
        <v>1163415.7074667802</v>
      </c>
      <c r="F682" s="58">
        <v>488967.43979999993</v>
      </c>
      <c r="G682" s="58">
        <v>638921.93581297528</v>
      </c>
      <c r="H682" s="39">
        <v>3.9628788074715704E-2</v>
      </c>
      <c r="I682" s="39">
        <v>0.30667583116436248</v>
      </c>
      <c r="J682" s="39">
        <v>0.12083177314600269</v>
      </c>
    </row>
    <row r="683" spans="1:10" ht="11.25" customHeight="1" x14ac:dyDescent="0.2">
      <c r="A683" s="67">
        <v>44774</v>
      </c>
      <c r="B683" s="58">
        <v>0</v>
      </c>
      <c r="C683" s="58">
        <v>0</v>
      </c>
      <c r="D683" s="58">
        <v>1189482.6396499998</v>
      </c>
      <c r="E683" s="58">
        <v>1236620.3950952431</v>
      </c>
      <c r="F683" s="58">
        <v>519734.3518</v>
      </c>
      <c r="G683" s="58">
        <v>679124.31612293632</v>
      </c>
      <c r="H683" s="39">
        <v>3.9628788074715704E-2</v>
      </c>
      <c r="I683" s="39">
        <v>0.3066758311643627</v>
      </c>
      <c r="J683" s="39">
        <v>0.12083177314600269</v>
      </c>
    </row>
    <row r="684" spans="1:10" ht="11.25" customHeight="1" x14ac:dyDescent="0.2">
      <c r="A684" s="67">
        <v>44805</v>
      </c>
      <c r="B684" s="58">
        <v>0</v>
      </c>
      <c r="C684" s="58">
        <v>0</v>
      </c>
      <c r="D684" s="58">
        <v>1164485.2150599998</v>
      </c>
      <c r="E684" s="58">
        <v>1210632.3528637523</v>
      </c>
      <c r="F684" s="58">
        <v>508811.93912</v>
      </c>
      <c r="G684" s="58">
        <v>664852.26345597696</v>
      </c>
      <c r="H684" s="39">
        <v>3.9628788074715704E-2</v>
      </c>
      <c r="I684" s="39">
        <v>0.30667583116436248</v>
      </c>
      <c r="J684" s="39">
        <v>0.12083177314600246</v>
      </c>
    </row>
    <row r="685" spans="1:10" ht="11.25" customHeight="1" x14ac:dyDescent="0.2">
      <c r="A685" s="67">
        <v>44835</v>
      </c>
      <c r="B685" s="58">
        <v>0</v>
      </c>
      <c r="C685" s="58">
        <v>0</v>
      </c>
      <c r="D685" s="58">
        <v>1293681.9175499997</v>
      </c>
      <c r="E685" s="58">
        <v>1344948.9640966807</v>
      </c>
      <c r="F685" s="58">
        <v>565263.34259999986</v>
      </c>
      <c r="G685" s="58">
        <v>738615.94801860081</v>
      </c>
      <c r="H685" s="39">
        <v>3.9628788074715926E-2</v>
      </c>
      <c r="I685" s="39">
        <v>0.30667583116436292</v>
      </c>
      <c r="J685" s="39">
        <v>0.12083177314600291</v>
      </c>
    </row>
    <row r="686" spans="1:10" ht="11.25" customHeight="1" x14ac:dyDescent="0.2">
      <c r="A686" s="67">
        <v>44866</v>
      </c>
      <c r="B686" s="58">
        <v>0</v>
      </c>
      <c r="C686" s="58">
        <v>0</v>
      </c>
      <c r="D686" s="58">
        <v>1293681.9175499997</v>
      </c>
      <c r="E686" s="58">
        <v>1344948.9640966807</v>
      </c>
      <c r="F686" s="58">
        <v>565263.34259999986</v>
      </c>
      <c r="G686" s="58">
        <v>738615.94801860081</v>
      </c>
      <c r="H686" s="39">
        <v>3.9628788074715926E-2</v>
      </c>
      <c r="I686" s="39">
        <v>0.30667583116436292</v>
      </c>
      <c r="J686" s="39">
        <v>0.12083177314600291</v>
      </c>
    </row>
    <row r="687" spans="1:10" ht="11.25" customHeight="1" x14ac:dyDescent="0.2">
      <c r="A687" s="63" t="s">
        <v>34</v>
      </c>
      <c r="B687" s="58">
        <v>0</v>
      </c>
      <c r="C687" s="58">
        <v>0</v>
      </c>
      <c r="D687" s="58">
        <v>7323665.5082400003</v>
      </c>
      <c r="E687" s="58">
        <v>7613935.3647623509</v>
      </c>
      <c r="F687" s="58">
        <v>3200071.4031600007</v>
      </c>
      <c r="G687" s="58">
        <v>4181403.3377641477</v>
      </c>
      <c r="H687" s="39">
        <v>3.9634504906834289E-2</v>
      </c>
      <c r="I687" s="39">
        <v>0.30665938692339867</v>
      </c>
      <c r="J687" s="39">
        <v>0.12083177314600246</v>
      </c>
    </row>
    <row r="688" spans="1:10" ht="11.25" customHeight="1" x14ac:dyDescent="0.2">
      <c r="A688" s="64" t="s">
        <v>25</v>
      </c>
      <c r="B688" s="58">
        <v>0</v>
      </c>
      <c r="C688" s="58">
        <v>0</v>
      </c>
      <c r="D688" s="58">
        <v>7323665.5082400003</v>
      </c>
      <c r="E688" s="58">
        <v>7613935.3647623509</v>
      </c>
      <c r="F688" s="58">
        <v>3200071.4031600007</v>
      </c>
      <c r="G688" s="58">
        <v>4181403.3377641477</v>
      </c>
      <c r="H688" s="39">
        <v>3.9634504906834289E-2</v>
      </c>
      <c r="I688" s="39">
        <v>0.30665938692339867</v>
      </c>
      <c r="J688" s="39">
        <v>0.12083177314600246</v>
      </c>
    </row>
    <row r="689" spans="1:10" ht="11.25" customHeight="1" x14ac:dyDescent="0.2">
      <c r="A689" s="65" t="s">
        <v>25</v>
      </c>
      <c r="B689" s="58">
        <v>0</v>
      </c>
      <c r="C689" s="58">
        <v>0</v>
      </c>
      <c r="D689" s="58">
        <v>7323665.5082400003</v>
      </c>
      <c r="E689" s="58">
        <v>7613935.3647623509</v>
      </c>
      <c r="F689" s="58">
        <v>3200071.4031600007</v>
      </c>
      <c r="G689" s="58">
        <v>4181403.3377641477</v>
      </c>
      <c r="H689" s="39">
        <v>3.9634504906834289E-2</v>
      </c>
      <c r="I689" s="39">
        <v>0.30665938692339867</v>
      </c>
      <c r="J689" s="39">
        <v>0.12083177314600246</v>
      </c>
    </row>
    <row r="690" spans="1:10" ht="11.25" customHeight="1" x14ac:dyDescent="0.2">
      <c r="A690" s="66" t="s">
        <v>25</v>
      </c>
      <c r="B690" s="58">
        <v>0</v>
      </c>
      <c r="C690" s="58">
        <v>0</v>
      </c>
      <c r="D690" s="58">
        <v>7323665.5082400003</v>
      </c>
      <c r="E690" s="58">
        <v>7613935.3647623509</v>
      </c>
      <c r="F690" s="58">
        <v>3200071.4031600007</v>
      </c>
      <c r="G690" s="58">
        <v>4181403.3377641477</v>
      </c>
      <c r="H690" s="39">
        <v>3.9634504906834289E-2</v>
      </c>
      <c r="I690" s="39">
        <v>0.30665938692339867</v>
      </c>
      <c r="J690" s="39">
        <v>0.12083177314600246</v>
      </c>
    </row>
    <row r="691" spans="1:10" ht="11.25" customHeight="1" x14ac:dyDescent="0.2">
      <c r="A691" s="67">
        <v>44531</v>
      </c>
      <c r="B691" s="58">
        <v>0</v>
      </c>
      <c r="C691" s="58">
        <v>0</v>
      </c>
      <c r="D691" s="58">
        <v>516515.06676000002</v>
      </c>
      <c r="E691" s="58">
        <v>536986.8857079529</v>
      </c>
      <c r="F691" s="58">
        <v>225690.95934000003</v>
      </c>
      <c r="G691" s="58">
        <v>294901.21056535828</v>
      </c>
      <c r="H691" s="39">
        <v>3.9634504906833845E-2</v>
      </c>
      <c r="I691" s="39">
        <v>0.30665938692339934</v>
      </c>
      <c r="J691" s="39">
        <v>0.12083177314600246</v>
      </c>
    </row>
    <row r="692" spans="1:10" ht="11.25" customHeight="1" x14ac:dyDescent="0.2">
      <c r="A692" s="67">
        <v>44562</v>
      </c>
      <c r="B692" s="58">
        <v>0</v>
      </c>
      <c r="C692" s="58">
        <v>0</v>
      </c>
      <c r="D692" s="58">
        <v>549679.9828</v>
      </c>
      <c r="E692" s="58">
        <v>571466.27677547501</v>
      </c>
      <c r="F692" s="58">
        <v>240182.35019999999</v>
      </c>
      <c r="G692" s="58">
        <v>313836.52246215323</v>
      </c>
      <c r="H692" s="39">
        <v>3.9634504906834067E-2</v>
      </c>
      <c r="I692" s="39">
        <v>0.30665938692339956</v>
      </c>
      <c r="J692" s="39">
        <v>0.12083177314600246</v>
      </c>
    </row>
    <row r="693" spans="1:10" ht="11.25" customHeight="1" x14ac:dyDescent="0.2">
      <c r="A693" s="67">
        <v>44593</v>
      </c>
      <c r="B693" s="58">
        <v>0</v>
      </c>
      <c r="C693" s="58">
        <v>0</v>
      </c>
      <c r="D693" s="58">
        <v>485928.84044</v>
      </c>
      <c r="E693" s="58">
        <v>505188.38945079141</v>
      </c>
      <c r="F693" s="58">
        <v>212326.32545999999</v>
      </c>
      <c r="G693" s="58">
        <v>277438.18625326181</v>
      </c>
      <c r="H693" s="39">
        <v>3.9634504906834067E-2</v>
      </c>
      <c r="I693" s="39">
        <v>0.30665938692339956</v>
      </c>
      <c r="J693" s="39">
        <v>0.12083177314600269</v>
      </c>
    </row>
    <row r="694" spans="1:10" ht="11.25" customHeight="1" x14ac:dyDescent="0.2">
      <c r="A694" s="67">
        <v>44621</v>
      </c>
      <c r="B694" s="58">
        <v>0</v>
      </c>
      <c r="C694" s="58">
        <v>0</v>
      </c>
      <c r="D694" s="58">
        <v>531983.56800000009</v>
      </c>
      <c r="E694" s="58">
        <v>553068.47333625122</v>
      </c>
      <c r="F694" s="58">
        <v>232449.91200000001</v>
      </c>
      <c r="G694" s="58">
        <v>303732.85950431821</v>
      </c>
      <c r="H694" s="39">
        <v>3.9634504906834067E-2</v>
      </c>
      <c r="I694" s="39">
        <v>0.30665938692339956</v>
      </c>
      <c r="J694" s="39">
        <v>0.12083177314600269</v>
      </c>
    </row>
    <row r="695" spans="1:10" ht="11.25" customHeight="1" x14ac:dyDescent="0.2">
      <c r="A695" s="67">
        <v>44652</v>
      </c>
      <c r="B695" s="58">
        <v>0</v>
      </c>
      <c r="C695" s="58">
        <v>0</v>
      </c>
      <c r="D695" s="58">
        <v>567782.13407999999</v>
      </c>
      <c r="E695" s="58">
        <v>590285.89785920642</v>
      </c>
      <c r="F695" s="58">
        <v>248092.07472000003</v>
      </c>
      <c r="G695" s="58">
        <v>324171.83825418935</v>
      </c>
      <c r="H695" s="39">
        <v>3.9634504906834067E-2</v>
      </c>
      <c r="I695" s="39">
        <v>0.30665938692339911</v>
      </c>
      <c r="J695" s="39">
        <v>0.12083177314600224</v>
      </c>
    </row>
    <row r="696" spans="1:10" ht="11.25" customHeight="1" x14ac:dyDescent="0.2">
      <c r="A696" s="67">
        <v>44682</v>
      </c>
      <c r="B696" s="58">
        <v>0</v>
      </c>
      <c r="C696" s="58">
        <v>0</v>
      </c>
      <c r="D696" s="58">
        <v>544215.87627999985</v>
      </c>
      <c r="E696" s="58">
        <v>565785.6030987968</v>
      </c>
      <c r="F696" s="58">
        <v>237794.81202000001</v>
      </c>
      <c r="G696" s="58">
        <v>310716.82328761817</v>
      </c>
      <c r="H696" s="39">
        <v>3.9634504906834511E-2</v>
      </c>
      <c r="I696" s="39">
        <v>0.30665938692339911</v>
      </c>
      <c r="J696" s="39">
        <v>0.12083177314600291</v>
      </c>
    </row>
    <row r="697" spans="1:10" ht="11.25" customHeight="1" x14ac:dyDescent="0.2">
      <c r="A697" s="67">
        <v>44713</v>
      </c>
      <c r="B697" s="58">
        <v>0</v>
      </c>
      <c r="C697" s="58">
        <v>0</v>
      </c>
      <c r="D697" s="58">
        <v>411371.93339999998</v>
      </c>
      <c r="E697" s="58">
        <v>427676.45631287608</v>
      </c>
      <c r="F697" s="58">
        <v>179748.72810000001</v>
      </c>
      <c r="G697" s="58">
        <v>234870.36285940683</v>
      </c>
      <c r="H697" s="39">
        <v>3.9634504906834067E-2</v>
      </c>
      <c r="I697" s="39">
        <v>0.30665938692339934</v>
      </c>
      <c r="J697" s="39">
        <v>0.12083177314600269</v>
      </c>
    </row>
    <row r="698" spans="1:10" ht="11.25" customHeight="1" x14ac:dyDescent="0.2">
      <c r="A698" s="67">
        <v>44743</v>
      </c>
      <c r="B698" s="58">
        <v>0</v>
      </c>
      <c r="C698" s="58">
        <v>0</v>
      </c>
      <c r="D698" s="58">
        <v>604869.43884000008</v>
      </c>
      <c r="E698" s="58">
        <v>628843.13958169799</v>
      </c>
      <c r="F698" s="58">
        <v>264297.35106000002</v>
      </c>
      <c r="G698" s="58">
        <v>345346.61470153811</v>
      </c>
      <c r="H698" s="39">
        <v>3.9634504906834067E-2</v>
      </c>
      <c r="I698" s="39">
        <v>0.30665938692339956</v>
      </c>
      <c r="J698" s="39">
        <v>0.12083177314600246</v>
      </c>
    </row>
    <row r="699" spans="1:10" ht="11.25" customHeight="1" x14ac:dyDescent="0.2">
      <c r="A699" s="67">
        <v>44774</v>
      </c>
      <c r="B699" s="58">
        <v>0</v>
      </c>
      <c r="C699" s="58">
        <v>0</v>
      </c>
      <c r="D699" s="58">
        <v>720076.37256000005</v>
      </c>
      <c r="E699" s="58">
        <v>748616.24308152462</v>
      </c>
      <c r="F699" s="58">
        <v>314636.95404000004</v>
      </c>
      <c r="G699" s="58">
        <v>411123.32946935215</v>
      </c>
      <c r="H699" s="39">
        <v>3.9634504906834067E-2</v>
      </c>
      <c r="I699" s="39">
        <v>0.30665938692339911</v>
      </c>
      <c r="J699" s="39">
        <v>0.12083177314600246</v>
      </c>
    </row>
    <row r="700" spans="1:10" ht="11.25" customHeight="1" x14ac:dyDescent="0.2">
      <c r="A700" s="67">
        <v>44805</v>
      </c>
      <c r="B700" s="58">
        <v>0</v>
      </c>
      <c r="C700" s="58">
        <v>0</v>
      </c>
      <c r="D700" s="58">
        <v>681999.78203999985</v>
      </c>
      <c r="E700" s="58">
        <v>709030.50574772432</v>
      </c>
      <c r="F700" s="58">
        <v>297999.40986000001</v>
      </c>
      <c r="G700" s="58">
        <v>389383.72619120241</v>
      </c>
      <c r="H700" s="39">
        <v>3.9634504906834511E-2</v>
      </c>
      <c r="I700" s="39">
        <v>0.30665938692339934</v>
      </c>
      <c r="J700" s="39">
        <v>0.12083177314600291</v>
      </c>
    </row>
    <row r="701" spans="1:10" ht="11.25" customHeight="1" x14ac:dyDescent="0.2">
      <c r="A701" s="67">
        <v>44835</v>
      </c>
      <c r="B701" s="58">
        <v>0</v>
      </c>
      <c r="C701" s="58">
        <v>0</v>
      </c>
      <c r="D701" s="58">
        <v>854621.25651999994</v>
      </c>
      <c r="E701" s="58">
        <v>888493.74690502672</v>
      </c>
      <c r="F701" s="58">
        <v>373426.26318000007</v>
      </c>
      <c r="G701" s="58">
        <v>487940.93210787483</v>
      </c>
      <c r="H701" s="39">
        <v>3.9634504906834289E-2</v>
      </c>
      <c r="I701" s="39">
        <v>0.30665938692339934</v>
      </c>
      <c r="J701" s="39">
        <v>0.12083177314600269</v>
      </c>
    </row>
    <row r="702" spans="1:10" ht="11.25" customHeight="1" x14ac:dyDescent="0.2">
      <c r="A702" s="67">
        <v>44866</v>
      </c>
      <c r="B702" s="58">
        <v>0</v>
      </c>
      <c r="C702" s="58">
        <v>0</v>
      </c>
      <c r="D702" s="58">
        <v>854621.25651999994</v>
      </c>
      <c r="E702" s="58">
        <v>888493.74690502672</v>
      </c>
      <c r="F702" s="58">
        <v>373426.26318000007</v>
      </c>
      <c r="G702" s="58">
        <v>487940.93210787483</v>
      </c>
      <c r="H702" s="39">
        <v>3.9634504906834289E-2</v>
      </c>
      <c r="I702" s="39">
        <v>0.30665938692339934</v>
      </c>
      <c r="J702" s="39">
        <v>0.12083177314600269</v>
      </c>
    </row>
    <row r="703" spans="1:10" ht="11.25" customHeight="1" x14ac:dyDescent="0.2">
      <c r="A703" s="60" t="s">
        <v>46</v>
      </c>
      <c r="B703" s="58">
        <v>0</v>
      </c>
      <c r="C703" s="58">
        <v>0</v>
      </c>
      <c r="D703" s="58">
        <v>18707879.3959959</v>
      </c>
      <c r="E703" s="58">
        <v>21647046.660497885</v>
      </c>
      <c r="F703" s="58">
        <v>7127772.8970532985</v>
      </c>
      <c r="G703" s="58">
        <v>9948584.0135797132</v>
      </c>
      <c r="H703" s="39">
        <v>0.15710852108288953</v>
      </c>
      <c r="I703" s="39">
        <v>0.39574929746885812</v>
      </c>
      <c r="J703" s="39">
        <v>0.22294689198066209</v>
      </c>
    </row>
    <row r="704" spans="1:10" ht="11.25" customHeight="1" x14ac:dyDescent="0.2">
      <c r="A704" s="61" t="s">
        <v>35</v>
      </c>
      <c r="B704" s="58">
        <v>0</v>
      </c>
      <c r="C704" s="58">
        <v>0</v>
      </c>
      <c r="D704" s="58">
        <v>25058.282100000004</v>
      </c>
      <c r="E704" s="58">
        <v>29625.461673888603</v>
      </c>
      <c r="F704" s="58">
        <v>11750.706969999994</v>
      </c>
      <c r="G704" s="58">
        <v>16371.900217665461</v>
      </c>
      <c r="H704" s="39">
        <v>0.18226227782345039</v>
      </c>
      <c r="I704" s="39">
        <v>0.39326938025631564</v>
      </c>
      <c r="J704" s="39">
        <v>0.24962306908457732</v>
      </c>
    </row>
    <row r="705" spans="1:10" ht="11.25" customHeight="1" x14ac:dyDescent="0.2">
      <c r="A705" s="62" t="s">
        <v>47</v>
      </c>
      <c r="B705" s="58">
        <v>0</v>
      </c>
      <c r="C705" s="58">
        <v>0</v>
      </c>
      <c r="D705" s="58">
        <v>25058.282100000004</v>
      </c>
      <c r="E705" s="58">
        <v>29625.461673888603</v>
      </c>
      <c r="F705" s="58">
        <v>11750.706969999994</v>
      </c>
      <c r="G705" s="58">
        <v>16371.900217665461</v>
      </c>
      <c r="H705" s="39">
        <v>0.18226227782345039</v>
      </c>
      <c r="I705" s="39">
        <v>0.39326938025631564</v>
      </c>
      <c r="J705" s="39">
        <v>0.24962306908457732</v>
      </c>
    </row>
    <row r="706" spans="1:10" ht="11.25" customHeight="1" x14ac:dyDescent="0.2">
      <c r="A706" s="63" t="s">
        <v>25</v>
      </c>
      <c r="B706" s="58">
        <v>0</v>
      </c>
      <c r="C706" s="58">
        <v>0</v>
      </c>
      <c r="D706" s="58">
        <v>25058.282100000004</v>
      </c>
      <c r="E706" s="58">
        <v>29625.461673888603</v>
      </c>
      <c r="F706" s="58">
        <v>11750.706969999994</v>
      </c>
      <c r="G706" s="58">
        <v>16371.900217665461</v>
      </c>
      <c r="H706" s="39">
        <v>0.18226227782345039</v>
      </c>
      <c r="I706" s="39">
        <v>0.39326938025631564</v>
      </c>
      <c r="J706" s="39">
        <v>0.24962306908457732</v>
      </c>
    </row>
    <row r="707" spans="1:10" ht="11.25" customHeight="1" x14ac:dyDescent="0.2">
      <c r="A707" s="64" t="s">
        <v>25</v>
      </c>
      <c r="B707" s="58">
        <v>0</v>
      </c>
      <c r="C707" s="58">
        <v>0</v>
      </c>
      <c r="D707" s="58">
        <v>25058.282100000004</v>
      </c>
      <c r="E707" s="58">
        <v>29625.461673888603</v>
      </c>
      <c r="F707" s="58">
        <v>11750.706969999994</v>
      </c>
      <c r="G707" s="58">
        <v>16371.900217665461</v>
      </c>
      <c r="H707" s="39">
        <v>0.18226227782345039</v>
      </c>
      <c r="I707" s="39">
        <v>0.39326938025631564</v>
      </c>
      <c r="J707" s="39">
        <v>0.24962306908457732</v>
      </c>
    </row>
    <row r="708" spans="1:10" ht="11.25" customHeight="1" x14ac:dyDescent="0.2">
      <c r="A708" s="65" t="s">
        <v>25</v>
      </c>
      <c r="B708" s="58">
        <v>0</v>
      </c>
      <c r="C708" s="58">
        <v>0</v>
      </c>
      <c r="D708" s="58">
        <v>25058.282100000004</v>
      </c>
      <c r="E708" s="58">
        <v>29625.461673888603</v>
      </c>
      <c r="F708" s="58">
        <v>11750.706969999994</v>
      </c>
      <c r="G708" s="58">
        <v>16371.900217665461</v>
      </c>
      <c r="H708" s="39">
        <v>0.18226227782345039</v>
      </c>
      <c r="I708" s="39">
        <v>0.39326938025631564</v>
      </c>
      <c r="J708" s="39">
        <v>0.24962306908457732</v>
      </c>
    </row>
    <row r="709" spans="1:10" ht="11.25" customHeight="1" x14ac:dyDescent="0.2">
      <c r="A709" s="66" t="s">
        <v>37</v>
      </c>
      <c r="B709" s="58">
        <v>0</v>
      </c>
      <c r="C709" s="58">
        <v>0</v>
      </c>
      <c r="D709" s="58">
        <v>21128.117299999998</v>
      </c>
      <c r="E709" s="58">
        <v>25301.718499010567</v>
      </c>
      <c r="F709" s="58">
        <v>10853.203429999998</v>
      </c>
      <c r="G709" s="58">
        <v>15088.979989312749</v>
      </c>
      <c r="H709" s="39">
        <v>0.19753777110138282</v>
      </c>
      <c r="I709" s="39">
        <v>0.39027892424870481</v>
      </c>
      <c r="J709" s="39">
        <v>0.26294654399419226</v>
      </c>
    </row>
    <row r="710" spans="1:10" ht="11.25" customHeight="1" x14ac:dyDescent="0.2">
      <c r="A710" s="67">
        <v>44531</v>
      </c>
      <c r="B710" s="58">
        <v>0</v>
      </c>
      <c r="C710" s="58">
        <v>0</v>
      </c>
      <c r="D710" s="58">
        <v>1698.8978999999999</v>
      </c>
      <c r="E710" s="58">
        <v>2034.4944044948197</v>
      </c>
      <c r="F710" s="58">
        <v>872.69888999999989</v>
      </c>
      <c r="G710" s="58">
        <v>1213.2948739822382</v>
      </c>
      <c r="H710" s="39">
        <v>0.19753777110138282</v>
      </c>
      <c r="I710" s="39">
        <v>0.39027892424870436</v>
      </c>
      <c r="J710" s="39">
        <v>0.26294654399419226</v>
      </c>
    </row>
    <row r="711" spans="1:10" ht="11.25" customHeight="1" x14ac:dyDescent="0.2">
      <c r="A711" s="67">
        <v>44562</v>
      </c>
      <c r="B711" s="58">
        <v>0</v>
      </c>
      <c r="C711" s="58">
        <v>0</v>
      </c>
      <c r="D711" s="58">
        <v>1910.2165</v>
      </c>
      <c r="E711" s="58">
        <v>2287.5564097310848</v>
      </c>
      <c r="F711" s="58">
        <v>981.25014999999985</v>
      </c>
      <c r="G711" s="58">
        <v>1364.2114029608797</v>
      </c>
      <c r="H711" s="39">
        <v>0.19753777110138282</v>
      </c>
      <c r="I711" s="39">
        <v>0.39027892424870458</v>
      </c>
      <c r="J711" s="39">
        <v>0.26294654399419226</v>
      </c>
    </row>
    <row r="712" spans="1:10" ht="11.25" customHeight="1" x14ac:dyDescent="0.2">
      <c r="A712" s="67">
        <v>44593</v>
      </c>
      <c r="B712" s="58">
        <v>0</v>
      </c>
      <c r="C712" s="58">
        <v>0</v>
      </c>
      <c r="D712" s="58">
        <v>1658.3039999999996</v>
      </c>
      <c r="E712" s="58">
        <v>1985.8816759685074</v>
      </c>
      <c r="F712" s="58">
        <v>851.8463999999999</v>
      </c>
      <c r="G712" s="58">
        <v>1184.3040966171313</v>
      </c>
      <c r="H712" s="39">
        <v>0.19753777110138304</v>
      </c>
      <c r="I712" s="39">
        <v>0.39027892424870436</v>
      </c>
      <c r="J712" s="39">
        <v>0.26294654399419226</v>
      </c>
    </row>
    <row r="713" spans="1:10" ht="11.25" customHeight="1" x14ac:dyDescent="0.2">
      <c r="A713" s="67">
        <v>44621</v>
      </c>
      <c r="B713" s="58">
        <v>0</v>
      </c>
      <c r="C713" s="58">
        <v>0</v>
      </c>
      <c r="D713" s="58">
        <v>1590.6475</v>
      </c>
      <c r="E713" s="58">
        <v>1904.860461757987</v>
      </c>
      <c r="F713" s="58">
        <v>817.09224999999992</v>
      </c>
      <c r="G713" s="58">
        <v>1135.9861343419534</v>
      </c>
      <c r="H713" s="39">
        <v>0.19753777110138282</v>
      </c>
      <c r="I713" s="39">
        <v>0.39027892424870458</v>
      </c>
      <c r="J713" s="39">
        <v>0.26294654399419226</v>
      </c>
    </row>
    <row r="714" spans="1:10" ht="11.25" customHeight="1" x14ac:dyDescent="0.2">
      <c r="A714" s="67">
        <v>44652</v>
      </c>
      <c r="B714" s="58">
        <v>0</v>
      </c>
      <c r="C714" s="58">
        <v>0</v>
      </c>
      <c r="D714" s="58">
        <v>1384.5110999999999</v>
      </c>
      <c r="E714" s="58">
        <v>1658.0043367591238</v>
      </c>
      <c r="F714" s="58">
        <v>711.20300999999995</v>
      </c>
      <c r="G714" s="58">
        <v>988.77055566524041</v>
      </c>
      <c r="H714" s="39">
        <v>0.19753777110138282</v>
      </c>
      <c r="I714" s="39">
        <v>0.39027892424870436</v>
      </c>
      <c r="J714" s="39">
        <v>0.26294654399419226</v>
      </c>
    </row>
    <row r="715" spans="1:10" ht="11.25" customHeight="1" x14ac:dyDescent="0.2">
      <c r="A715" s="67">
        <v>44682</v>
      </c>
      <c r="B715" s="58">
        <v>0</v>
      </c>
      <c r="C715" s="58">
        <v>0</v>
      </c>
      <c r="D715" s="58">
        <v>1836.5140999999996</v>
      </c>
      <c r="E715" s="58">
        <v>2199.2950019102618</v>
      </c>
      <c r="F715" s="58">
        <v>943.39030999999989</v>
      </c>
      <c r="G715" s="58">
        <v>1311.5756653334515</v>
      </c>
      <c r="H715" s="39">
        <v>0.19753777110138282</v>
      </c>
      <c r="I715" s="39">
        <v>0.39027892424870436</v>
      </c>
      <c r="J715" s="39">
        <v>0.26294654399419226</v>
      </c>
    </row>
    <row r="716" spans="1:10" ht="11.25" customHeight="1" x14ac:dyDescent="0.2">
      <c r="A716" s="67">
        <v>44713</v>
      </c>
      <c r="B716" s="58">
        <v>0</v>
      </c>
      <c r="C716" s="58">
        <v>0</v>
      </c>
      <c r="D716" s="58">
        <v>1631.8172</v>
      </c>
      <c r="E716" s="58">
        <v>1954.1627325328993</v>
      </c>
      <c r="F716" s="58">
        <v>838.24051999999995</v>
      </c>
      <c r="G716" s="58">
        <v>1165.3881284072745</v>
      </c>
      <c r="H716" s="39">
        <v>0.19753777110138282</v>
      </c>
      <c r="I716" s="39">
        <v>0.39027892424870436</v>
      </c>
      <c r="J716" s="39">
        <v>0.26294654399419226</v>
      </c>
    </row>
    <row r="717" spans="1:10" ht="11.25" customHeight="1" x14ac:dyDescent="0.2">
      <c r="A717" s="67">
        <v>44743</v>
      </c>
      <c r="B717" s="58">
        <v>0</v>
      </c>
      <c r="C717" s="58">
        <v>0</v>
      </c>
      <c r="D717" s="58">
        <v>1663.1983</v>
      </c>
      <c r="E717" s="58">
        <v>1991.7427850816091</v>
      </c>
      <c r="F717" s="58">
        <v>854.36052999999993</v>
      </c>
      <c r="G717" s="58">
        <v>1187.7994385689528</v>
      </c>
      <c r="H717" s="39">
        <v>0.19753777110138282</v>
      </c>
      <c r="I717" s="39">
        <v>0.39027892424870436</v>
      </c>
      <c r="J717" s="39">
        <v>0.26294654399419226</v>
      </c>
    </row>
    <row r="718" spans="1:10" ht="11.25" customHeight="1" x14ac:dyDescent="0.2">
      <c r="A718" s="67">
        <v>44774</v>
      </c>
      <c r="B718" s="58">
        <v>0</v>
      </c>
      <c r="C718" s="58">
        <v>0</v>
      </c>
      <c r="D718" s="58">
        <v>2231.2249999999999</v>
      </c>
      <c r="E718" s="58">
        <v>2671.9762133256827</v>
      </c>
      <c r="F718" s="58">
        <v>1146.1474999999998</v>
      </c>
      <c r="G718" s="58">
        <v>1593.4647133303417</v>
      </c>
      <c r="H718" s="39">
        <v>0.19753777110138282</v>
      </c>
      <c r="I718" s="39">
        <v>0.39027892424870436</v>
      </c>
      <c r="J718" s="39">
        <v>0.26294654399419226</v>
      </c>
    </row>
    <row r="719" spans="1:10" ht="11.25" customHeight="1" x14ac:dyDescent="0.2">
      <c r="A719" s="67">
        <v>44805</v>
      </c>
      <c r="B719" s="58">
        <v>0</v>
      </c>
      <c r="C719" s="58">
        <v>0</v>
      </c>
      <c r="D719" s="58">
        <v>1748.9924999999998</v>
      </c>
      <c r="E719" s="58">
        <v>2094.4845801230354</v>
      </c>
      <c r="F719" s="58">
        <v>898.43174999999997</v>
      </c>
      <c r="G719" s="58">
        <v>1249.0707269008808</v>
      </c>
      <c r="H719" s="39">
        <v>0.19753777110138304</v>
      </c>
      <c r="I719" s="39">
        <v>0.39027892424870436</v>
      </c>
      <c r="J719" s="39">
        <v>0.26294654399419204</v>
      </c>
    </row>
    <row r="720" spans="1:10" ht="11.25" customHeight="1" x14ac:dyDescent="0.2">
      <c r="A720" s="67">
        <v>44835</v>
      </c>
      <c r="B720" s="58">
        <v>0</v>
      </c>
      <c r="C720" s="58">
        <v>0</v>
      </c>
      <c r="D720" s="58">
        <v>1886.8966</v>
      </c>
      <c r="E720" s="58">
        <v>2259.6299486627777</v>
      </c>
      <c r="F720" s="58">
        <v>969.27105999999992</v>
      </c>
      <c r="G720" s="58">
        <v>1347.5571266022014</v>
      </c>
      <c r="H720" s="39">
        <v>0.19753777110138282</v>
      </c>
      <c r="I720" s="39">
        <v>0.39027892424870458</v>
      </c>
      <c r="J720" s="39">
        <v>0.26294654399419226</v>
      </c>
    </row>
    <row r="721" spans="1:10" ht="11.25" customHeight="1" x14ac:dyDescent="0.2">
      <c r="A721" s="67">
        <v>44866</v>
      </c>
      <c r="B721" s="58">
        <v>0</v>
      </c>
      <c r="C721" s="58">
        <v>0</v>
      </c>
      <c r="D721" s="58">
        <v>1886.8966</v>
      </c>
      <c r="E721" s="58">
        <v>2259.6299486627777</v>
      </c>
      <c r="F721" s="58">
        <v>969.27105999999992</v>
      </c>
      <c r="G721" s="58">
        <v>1347.5571266022014</v>
      </c>
      <c r="H721" s="39">
        <v>0.19753777110138282</v>
      </c>
      <c r="I721" s="39">
        <v>0.39027892424870458</v>
      </c>
      <c r="J721" s="39">
        <v>0.26294654399419226</v>
      </c>
    </row>
    <row r="722" spans="1:10" ht="11.25" customHeight="1" x14ac:dyDescent="0.2">
      <c r="A722" s="66" t="s">
        <v>38</v>
      </c>
      <c r="B722" s="58">
        <v>0</v>
      </c>
      <c r="C722" s="58">
        <v>0</v>
      </c>
      <c r="D722" s="58">
        <v>362.93450000000001</v>
      </c>
      <c r="E722" s="58">
        <v>406.38288859191556</v>
      </c>
      <c r="F722" s="58">
        <v>80.895830000000004</v>
      </c>
      <c r="G722" s="58">
        <v>112.46776750860607</v>
      </c>
      <c r="H722" s="39">
        <v>0.11971413186653646</v>
      </c>
      <c r="I722" s="39">
        <v>0.39027892424870436</v>
      </c>
      <c r="J722" s="39">
        <v>0.16902929121703236</v>
      </c>
    </row>
    <row r="723" spans="1:10" ht="11.25" customHeight="1" x14ac:dyDescent="0.2">
      <c r="A723" s="67">
        <v>44531</v>
      </c>
      <c r="B723" s="58">
        <v>0</v>
      </c>
      <c r="C723" s="58">
        <v>0</v>
      </c>
      <c r="D723" s="58">
        <v>25.212999999999997</v>
      </c>
      <c r="E723" s="58">
        <v>28.231352406750986</v>
      </c>
      <c r="F723" s="58">
        <v>5.6198199999999998</v>
      </c>
      <c r="G723" s="58">
        <v>7.8131173040713531</v>
      </c>
      <c r="H723" s="39">
        <v>0.11971413186653668</v>
      </c>
      <c r="I723" s="39">
        <v>0.39027892424870436</v>
      </c>
      <c r="J723" s="39">
        <v>0.16902929121703236</v>
      </c>
    </row>
    <row r="724" spans="1:10" ht="11.25" customHeight="1" x14ac:dyDescent="0.2">
      <c r="A724" s="67">
        <v>44562</v>
      </c>
      <c r="B724" s="58">
        <v>0</v>
      </c>
      <c r="C724" s="58">
        <v>0</v>
      </c>
      <c r="D724" s="58">
        <v>43.127499999999998</v>
      </c>
      <c r="E724" s="58">
        <v>48.290471222074061</v>
      </c>
      <c r="F724" s="58">
        <v>9.6128499999999981</v>
      </c>
      <c r="G724" s="58">
        <v>13.364542756964156</v>
      </c>
      <c r="H724" s="39">
        <v>0.11971413186653668</v>
      </c>
      <c r="I724" s="39">
        <v>0.39027892424870436</v>
      </c>
      <c r="J724" s="39">
        <v>0.16902929121703258</v>
      </c>
    </row>
    <row r="725" spans="1:10" ht="11.25" customHeight="1" x14ac:dyDescent="0.2">
      <c r="A725" s="67">
        <v>44593</v>
      </c>
      <c r="B725" s="58">
        <v>0</v>
      </c>
      <c r="C725" s="58">
        <v>0</v>
      </c>
      <c r="D725" s="58">
        <v>33.175000000000004</v>
      </c>
      <c r="E725" s="58">
        <v>37.146516324672355</v>
      </c>
      <c r="F725" s="58">
        <v>7.394499999999999</v>
      </c>
      <c r="G725" s="58">
        <v>10.280417505357043</v>
      </c>
      <c r="H725" s="39">
        <v>0.11971413186653646</v>
      </c>
      <c r="I725" s="39">
        <v>0.39027892424870436</v>
      </c>
      <c r="J725" s="39">
        <v>0.16902929121703236</v>
      </c>
    </row>
    <row r="726" spans="1:10" ht="11.25" customHeight="1" x14ac:dyDescent="0.2">
      <c r="A726" s="67">
        <v>44621</v>
      </c>
      <c r="B726" s="58">
        <v>0</v>
      </c>
      <c r="C726" s="58">
        <v>0</v>
      </c>
      <c r="D726" s="58">
        <v>24.549499999999998</v>
      </c>
      <c r="E726" s="58">
        <v>27.488422080257539</v>
      </c>
      <c r="F726" s="58">
        <v>5.4719299999999995</v>
      </c>
      <c r="G726" s="58">
        <v>7.6075089539642118</v>
      </c>
      <c r="H726" s="39">
        <v>0.11971413186653668</v>
      </c>
      <c r="I726" s="39">
        <v>0.39027892424870436</v>
      </c>
      <c r="J726" s="39">
        <v>0.16902929121703236</v>
      </c>
    </row>
    <row r="727" spans="1:10" ht="11.25" customHeight="1" x14ac:dyDescent="0.2">
      <c r="A727" s="67">
        <v>44652</v>
      </c>
      <c r="B727" s="58">
        <v>0</v>
      </c>
      <c r="C727" s="58">
        <v>0</v>
      </c>
      <c r="D727" s="58">
        <v>25.213000000000001</v>
      </c>
      <c r="E727" s="58">
        <v>28.23135240675099</v>
      </c>
      <c r="F727" s="58">
        <v>5.6198199999999989</v>
      </c>
      <c r="G727" s="58">
        <v>7.8131173040713531</v>
      </c>
      <c r="H727" s="39">
        <v>0.11971413186653668</v>
      </c>
      <c r="I727" s="39">
        <v>0.39027892424870458</v>
      </c>
      <c r="J727" s="39">
        <v>0.16902929121703236</v>
      </c>
    </row>
    <row r="728" spans="1:10" ht="11.25" customHeight="1" x14ac:dyDescent="0.2">
      <c r="A728" s="67">
        <v>44682</v>
      </c>
      <c r="B728" s="58">
        <v>0</v>
      </c>
      <c r="C728" s="58">
        <v>0</v>
      </c>
      <c r="D728" s="58">
        <v>20.5685</v>
      </c>
      <c r="E728" s="58">
        <v>23.030840121296858</v>
      </c>
      <c r="F728" s="58">
        <v>4.5845899999999995</v>
      </c>
      <c r="G728" s="58">
        <v>6.3738588533213667</v>
      </c>
      <c r="H728" s="39">
        <v>0.11971413186653668</v>
      </c>
      <c r="I728" s="39">
        <v>0.39027892424870436</v>
      </c>
      <c r="J728" s="39">
        <v>0.16902929121703236</v>
      </c>
    </row>
    <row r="729" spans="1:10" ht="11.25" customHeight="1" x14ac:dyDescent="0.2">
      <c r="A729" s="67">
        <v>44713</v>
      </c>
      <c r="B729" s="58">
        <v>0</v>
      </c>
      <c r="C729" s="58">
        <v>0</v>
      </c>
      <c r="D729" s="58">
        <v>24.549499999999998</v>
      </c>
      <c r="E729" s="58">
        <v>27.488422080257539</v>
      </c>
      <c r="F729" s="58">
        <v>5.4719299999999995</v>
      </c>
      <c r="G729" s="58">
        <v>7.6075089539642118</v>
      </c>
      <c r="H729" s="39">
        <v>0.11971413186653668</v>
      </c>
      <c r="I729" s="39">
        <v>0.39027892424870436</v>
      </c>
      <c r="J729" s="39">
        <v>0.16902929121703236</v>
      </c>
    </row>
    <row r="730" spans="1:10" ht="11.25" customHeight="1" x14ac:dyDescent="0.2">
      <c r="A730" s="67">
        <v>44743</v>
      </c>
      <c r="B730" s="58">
        <v>0</v>
      </c>
      <c r="C730" s="58">
        <v>0</v>
      </c>
      <c r="D730" s="58">
        <v>34.501999999999995</v>
      </c>
      <c r="E730" s="58">
        <v>38.632376977659248</v>
      </c>
      <c r="F730" s="58">
        <v>7.6902799999999987</v>
      </c>
      <c r="G730" s="58">
        <v>10.691634205571324</v>
      </c>
      <c r="H730" s="39">
        <v>0.1197141318665369</v>
      </c>
      <c r="I730" s="39">
        <v>0.39027892424870436</v>
      </c>
      <c r="J730" s="39">
        <v>0.16902929121703258</v>
      </c>
    </row>
    <row r="731" spans="1:10" ht="11.25" customHeight="1" x14ac:dyDescent="0.2">
      <c r="A731" s="67">
        <v>44774</v>
      </c>
      <c r="B731" s="58">
        <v>0</v>
      </c>
      <c r="C731" s="58">
        <v>0</v>
      </c>
      <c r="D731" s="58">
        <v>36.4925</v>
      </c>
      <c r="E731" s="58">
        <v>40.861167957139592</v>
      </c>
      <c r="F731" s="58">
        <v>8.1339499999999987</v>
      </c>
      <c r="G731" s="58">
        <v>11.308459255892748</v>
      </c>
      <c r="H731" s="39">
        <v>0.11971413186653668</v>
      </c>
      <c r="I731" s="39">
        <v>0.39027892424870458</v>
      </c>
      <c r="J731" s="39">
        <v>0.16902929121703258</v>
      </c>
    </row>
    <row r="732" spans="1:10" ht="11.25" customHeight="1" x14ac:dyDescent="0.2">
      <c r="A732" s="67">
        <v>44805</v>
      </c>
      <c r="B732" s="58">
        <v>0</v>
      </c>
      <c r="C732" s="58">
        <v>0</v>
      </c>
      <c r="D732" s="58">
        <v>30.521000000000001</v>
      </c>
      <c r="E732" s="58">
        <v>34.174795018698568</v>
      </c>
      <c r="F732" s="58">
        <v>6.8029399999999995</v>
      </c>
      <c r="G732" s="58">
        <v>9.4579841049284799</v>
      </c>
      <c r="H732" s="39">
        <v>0.11971413186653668</v>
      </c>
      <c r="I732" s="39">
        <v>0.39027892424870436</v>
      </c>
      <c r="J732" s="39">
        <v>0.16902929121703236</v>
      </c>
    </row>
    <row r="733" spans="1:10" ht="11.25" customHeight="1" x14ac:dyDescent="0.2">
      <c r="A733" s="67">
        <v>44835</v>
      </c>
      <c r="B733" s="58">
        <v>0</v>
      </c>
      <c r="C733" s="58">
        <v>0</v>
      </c>
      <c r="D733" s="58">
        <v>32.511499999999998</v>
      </c>
      <c r="E733" s="58">
        <v>36.403585998178905</v>
      </c>
      <c r="F733" s="58">
        <v>7.2466099999999996</v>
      </c>
      <c r="G733" s="58">
        <v>10.074809155249902</v>
      </c>
      <c r="H733" s="39">
        <v>0.11971413186653668</v>
      </c>
      <c r="I733" s="39">
        <v>0.39027892424870414</v>
      </c>
      <c r="J733" s="39">
        <v>0.16902929121703258</v>
      </c>
    </row>
    <row r="734" spans="1:10" ht="11.25" customHeight="1" x14ac:dyDescent="0.2">
      <c r="A734" s="67">
        <v>44866</v>
      </c>
      <c r="B734" s="58">
        <v>0</v>
      </c>
      <c r="C734" s="58">
        <v>0</v>
      </c>
      <c r="D734" s="58">
        <v>32.511499999999998</v>
      </c>
      <c r="E734" s="58">
        <v>36.403585998178905</v>
      </c>
      <c r="F734" s="58">
        <v>7.2466099999999996</v>
      </c>
      <c r="G734" s="58">
        <v>10.074809155249902</v>
      </c>
      <c r="H734" s="39">
        <v>0.11971413186653668</v>
      </c>
      <c r="I734" s="39">
        <v>0.39027892424870414</v>
      </c>
      <c r="J734" s="39">
        <v>0.16902929121703258</v>
      </c>
    </row>
    <row r="735" spans="1:10" ht="11.25" customHeight="1" x14ac:dyDescent="0.2">
      <c r="A735" s="66" t="s">
        <v>36</v>
      </c>
      <c r="B735" s="58">
        <v>0</v>
      </c>
      <c r="C735" s="58">
        <v>0</v>
      </c>
      <c r="D735" s="58">
        <v>3567.2303000000002</v>
      </c>
      <c r="E735" s="58">
        <v>3917.3602862861253</v>
      </c>
      <c r="F735" s="58">
        <v>816.60771000000022</v>
      </c>
      <c r="G735" s="58">
        <v>1170.4524608440997</v>
      </c>
      <c r="H735" s="39">
        <v>9.8151775142223174E-2</v>
      </c>
      <c r="I735" s="39">
        <v>0.4333105682336742</v>
      </c>
      <c r="J735" s="39">
        <v>0.16058411271684392</v>
      </c>
    </row>
    <row r="736" spans="1:10" ht="11.25" customHeight="1" x14ac:dyDescent="0.2">
      <c r="A736" s="67">
        <v>44531</v>
      </c>
      <c r="B736" s="58">
        <v>0</v>
      </c>
      <c r="C736" s="58">
        <v>0</v>
      </c>
      <c r="D736" s="58">
        <v>304.4563</v>
      </c>
      <c r="E736" s="58">
        <v>334.3392262982332</v>
      </c>
      <c r="F736" s="58">
        <v>69.695909999999998</v>
      </c>
      <c r="G736" s="58">
        <v>99.895884365663022</v>
      </c>
      <c r="H736" s="39">
        <v>9.8151775142222952E-2</v>
      </c>
      <c r="I736" s="39">
        <v>0.43331056823367442</v>
      </c>
      <c r="J736" s="39">
        <v>0.16058411271684392</v>
      </c>
    </row>
    <row r="737" spans="1:10" ht="11.25" customHeight="1" x14ac:dyDescent="0.2">
      <c r="A737" s="67">
        <v>44562</v>
      </c>
      <c r="B737" s="58">
        <v>0</v>
      </c>
      <c r="C737" s="58">
        <v>0</v>
      </c>
      <c r="D737" s="58">
        <v>321.08189999999996</v>
      </c>
      <c r="E737" s="58">
        <v>352.59665845103774</v>
      </c>
      <c r="F737" s="58">
        <v>73.501829999999998</v>
      </c>
      <c r="G737" s="58">
        <v>105.35094972351493</v>
      </c>
      <c r="H737" s="39">
        <v>9.8151775142223174E-2</v>
      </c>
      <c r="I737" s="39">
        <v>0.43331056823367442</v>
      </c>
      <c r="J737" s="39">
        <v>0.16058411271684392</v>
      </c>
    </row>
    <row r="738" spans="1:10" ht="11.25" customHeight="1" x14ac:dyDescent="0.2">
      <c r="A738" s="67">
        <v>44593</v>
      </c>
      <c r="B738" s="58">
        <v>0</v>
      </c>
      <c r="C738" s="58">
        <v>0</v>
      </c>
      <c r="D738" s="58">
        <v>346.02029999999996</v>
      </c>
      <c r="E738" s="58">
        <v>379.98280668024455</v>
      </c>
      <c r="F738" s="58">
        <v>79.210710000000006</v>
      </c>
      <c r="G738" s="58">
        <v>113.53354776029279</v>
      </c>
      <c r="H738" s="39">
        <v>9.8151775142223174E-2</v>
      </c>
      <c r="I738" s="39">
        <v>0.4333105682336742</v>
      </c>
      <c r="J738" s="39">
        <v>0.16058411271684392</v>
      </c>
    </row>
    <row r="739" spans="1:10" ht="11.25" customHeight="1" x14ac:dyDescent="0.2">
      <c r="A739" s="67">
        <v>44621</v>
      </c>
      <c r="B739" s="58">
        <v>0</v>
      </c>
      <c r="C739" s="58">
        <v>0</v>
      </c>
      <c r="D739" s="58">
        <v>243.14939999999999</v>
      </c>
      <c r="E739" s="58">
        <v>267.01494523476646</v>
      </c>
      <c r="F739" s="58">
        <v>55.661580000000008</v>
      </c>
      <c r="G739" s="58">
        <v>79.780330858584122</v>
      </c>
      <c r="H739" s="39">
        <v>9.8151775142223174E-2</v>
      </c>
      <c r="I739" s="39">
        <v>0.4333105682336742</v>
      </c>
      <c r="J739" s="39">
        <v>0.16058411271684392</v>
      </c>
    </row>
    <row r="740" spans="1:10" ht="11.25" customHeight="1" x14ac:dyDescent="0.2">
      <c r="A740" s="67">
        <v>44652</v>
      </c>
      <c r="B740" s="58">
        <v>0</v>
      </c>
      <c r="C740" s="58">
        <v>0</v>
      </c>
      <c r="D740" s="58">
        <v>277.43970000000002</v>
      </c>
      <c r="E740" s="58">
        <v>304.67089904992582</v>
      </c>
      <c r="F740" s="58">
        <v>63.511290000000002</v>
      </c>
      <c r="G740" s="58">
        <v>91.031403159153683</v>
      </c>
      <c r="H740" s="39">
        <v>9.8151775142222952E-2</v>
      </c>
      <c r="I740" s="39">
        <v>0.43331056823367442</v>
      </c>
      <c r="J740" s="39">
        <v>0.1605841127168437</v>
      </c>
    </row>
    <row r="741" spans="1:10" ht="11.25" customHeight="1" x14ac:dyDescent="0.2">
      <c r="A741" s="67">
        <v>44682</v>
      </c>
      <c r="B741" s="58">
        <v>0</v>
      </c>
      <c r="C741" s="58">
        <v>0</v>
      </c>
      <c r="D741" s="58">
        <v>355.37220000000002</v>
      </c>
      <c r="E741" s="58">
        <v>390.25261226619716</v>
      </c>
      <c r="F741" s="58">
        <v>81.351540000000014</v>
      </c>
      <c r="G741" s="58">
        <v>116.60202202408449</v>
      </c>
      <c r="H741" s="39">
        <v>9.8151775142223174E-2</v>
      </c>
      <c r="I741" s="39">
        <v>0.4333105682336742</v>
      </c>
      <c r="J741" s="39">
        <v>0.16058411271684392</v>
      </c>
    </row>
    <row r="742" spans="1:10" ht="11.25" customHeight="1" x14ac:dyDescent="0.2">
      <c r="A742" s="67">
        <v>44713</v>
      </c>
      <c r="B742" s="58">
        <v>0</v>
      </c>
      <c r="C742" s="58">
        <v>0</v>
      </c>
      <c r="D742" s="58">
        <v>272.24419999999998</v>
      </c>
      <c r="E742" s="58">
        <v>298.9654515021744</v>
      </c>
      <c r="F742" s="58">
        <v>62.321940000000005</v>
      </c>
      <c r="G742" s="58">
        <v>89.326695234824967</v>
      </c>
      <c r="H742" s="39">
        <v>9.8151775142223174E-2</v>
      </c>
      <c r="I742" s="39">
        <v>0.43331056823367442</v>
      </c>
      <c r="J742" s="39">
        <v>0.16058411271684392</v>
      </c>
    </row>
    <row r="743" spans="1:10" ht="11.25" customHeight="1" x14ac:dyDescent="0.2">
      <c r="A743" s="67">
        <v>44743</v>
      </c>
      <c r="B743" s="58">
        <v>0</v>
      </c>
      <c r="C743" s="58">
        <v>0</v>
      </c>
      <c r="D743" s="58">
        <v>249.38399999999996</v>
      </c>
      <c r="E743" s="58">
        <v>273.86148229206816</v>
      </c>
      <c r="F743" s="58">
        <v>57.088799999999999</v>
      </c>
      <c r="G743" s="58">
        <v>81.825980367778584</v>
      </c>
      <c r="H743" s="39">
        <v>9.8151775142223174E-2</v>
      </c>
      <c r="I743" s="39">
        <v>0.4333105682336742</v>
      </c>
      <c r="J743" s="39">
        <v>0.16058411271684414</v>
      </c>
    </row>
    <row r="744" spans="1:10" ht="11.25" customHeight="1" x14ac:dyDescent="0.2">
      <c r="A744" s="67">
        <v>44774</v>
      </c>
      <c r="B744" s="58">
        <v>0</v>
      </c>
      <c r="C744" s="58">
        <v>0</v>
      </c>
      <c r="D744" s="58">
        <v>310.69089999999994</v>
      </c>
      <c r="E744" s="58">
        <v>341.1857633555349</v>
      </c>
      <c r="F744" s="58">
        <v>71.123130000000003</v>
      </c>
      <c r="G744" s="58">
        <v>101.94153387485748</v>
      </c>
      <c r="H744" s="39">
        <v>9.8151775142223174E-2</v>
      </c>
      <c r="I744" s="39">
        <v>0.4333105682336742</v>
      </c>
      <c r="J744" s="39">
        <v>0.16058411271684392</v>
      </c>
    </row>
    <row r="745" spans="1:10" ht="11.25" customHeight="1" x14ac:dyDescent="0.2">
      <c r="A745" s="67">
        <v>44805</v>
      </c>
      <c r="B745" s="58">
        <v>0</v>
      </c>
      <c r="C745" s="58">
        <v>0</v>
      </c>
      <c r="D745" s="58">
        <v>245.22759999999997</v>
      </c>
      <c r="E745" s="58">
        <v>269.29712425386703</v>
      </c>
      <c r="F745" s="58">
        <v>56.137319999999995</v>
      </c>
      <c r="G745" s="58">
        <v>80.462214028315614</v>
      </c>
      <c r="H745" s="39">
        <v>9.8151775142223174E-2</v>
      </c>
      <c r="I745" s="39">
        <v>0.43331056823367442</v>
      </c>
      <c r="J745" s="39">
        <v>0.16058411271684392</v>
      </c>
    </row>
    <row r="746" spans="1:10" ht="11.25" customHeight="1" x14ac:dyDescent="0.2">
      <c r="A746" s="67">
        <v>44835</v>
      </c>
      <c r="B746" s="58">
        <v>0</v>
      </c>
      <c r="C746" s="58">
        <v>0</v>
      </c>
      <c r="D746" s="58">
        <v>321.08189999999996</v>
      </c>
      <c r="E746" s="58">
        <v>352.59665845103774</v>
      </c>
      <c r="F746" s="58">
        <v>73.501829999999998</v>
      </c>
      <c r="G746" s="58">
        <v>105.35094972351493</v>
      </c>
      <c r="H746" s="39">
        <v>9.8151775142223174E-2</v>
      </c>
      <c r="I746" s="39">
        <v>0.43331056823367442</v>
      </c>
      <c r="J746" s="39">
        <v>0.16058411271684392</v>
      </c>
    </row>
    <row r="747" spans="1:10" ht="11.25" customHeight="1" x14ac:dyDescent="0.2">
      <c r="A747" s="67">
        <v>44866</v>
      </c>
      <c r="B747" s="58">
        <v>0</v>
      </c>
      <c r="C747" s="58">
        <v>0</v>
      </c>
      <c r="D747" s="58">
        <v>321.08189999999996</v>
      </c>
      <c r="E747" s="58">
        <v>352.59665845103774</v>
      </c>
      <c r="F747" s="58">
        <v>73.501829999999998</v>
      </c>
      <c r="G747" s="58">
        <v>105.35094972351493</v>
      </c>
      <c r="H747" s="39">
        <v>9.8151775142223174E-2</v>
      </c>
      <c r="I747" s="39">
        <v>0.43331056823367442</v>
      </c>
      <c r="J747" s="39">
        <v>0.16058411271684392</v>
      </c>
    </row>
    <row r="748" spans="1:10" ht="11.25" customHeight="1" x14ac:dyDescent="0.2">
      <c r="A748" s="61" t="s">
        <v>23</v>
      </c>
      <c r="B748" s="58">
        <v>0</v>
      </c>
      <c r="C748" s="58">
        <v>0</v>
      </c>
      <c r="D748" s="58">
        <v>18682821.113895901</v>
      </c>
      <c r="E748" s="58">
        <v>21617421.198823996</v>
      </c>
      <c r="F748" s="58">
        <v>7116022.1900832988</v>
      </c>
      <c r="G748" s="58">
        <v>9932212.1133620478</v>
      </c>
      <c r="H748" s="39">
        <v>0.15707478367629357</v>
      </c>
      <c r="I748" s="39">
        <v>0.39575339256295661</v>
      </c>
      <c r="J748" s="39">
        <v>0.22290883123895067</v>
      </c>
    </row>
    <row r="749" spans="1:10" ht="11.25" customHeight="1" x14ac:dyDescent="0.2">
      <c r="A749" s="62" t="s">
        <v>47</v>
      </c>
      <c r="B749" s="58">
        <v>0</v>
      </c>
      <c r="C749" s="58">
        <v>0</v>
      </c>
      <c r="D749" s="58">
        <v>18682821.113895901</v>
      </c>
      <c r="E749" s="58">
        <v>21617421.198823996</v>
      </c>
      <c r="F749" s="58">
        <v>7116022.1900832988</v>
      </c>
      <c r="G749" s="58">
        <v>9932212.1133620478</v>
      </c>
      <c r="H749" s="39">
        <v>0.15707478367629357</v>
      </c>
      <c r="I749" s="39">
        <v>0.39575339256295661</v>
      </c>
      <c r="J749" s="39">
        <v>0.22290883123895067</v>
      </c>
    </row>
    <row r="750" spans="1:10" ht="11.25" customHeight="1" x14ac:dyDescent="0.2">
      <c r="A750" s="63" t="s">
        <v>55</v>
      </c>
      <c r="B750" s="58">
        <v>0</v>
      </c>
      <c r="C750" s="58">
        <v>0</v>
      </c>
      <c r="D750" s="58">
        <v>35968.866795900009</v>
      </c>
      <c r="E750" s="58">
        <v>41618.668766947449</v>
      </c>
      <c r="F750" s="58">
        <v>13700.032383299998</v>
      </c>
      <c r="G750" s="58">
        <v>19121.866677213347</v>
      </c>
      <c r="H750" s="39">
        <v>0.15707478367629335</v>
      </c>
      <c r="I750" s="39">
        <v>0.3957533925629575</v>
      </c>
      <c r="J750" s="39">
        <v>0.22290883123895089</v>
      </c>
    </row>
    <row r="751" spans="1:10" ht="11.25" customHeight="1" x14ac:dyDescent="0.2">
      <c r="A751" s="64" t="s">
        <v>56</v>
      </c>
      <c r="B751" s="58">
        <v>0</v>
      </c>
      <c r="C751" s="58">
        <v>0</v>
      </c>
      <c r="D751" s="58">
        <v>26563.742640000004</v>
      </c>
      <c r="E751" s="58">
        <v>30736.236768810748</v>
      </c>
      <c r="F751" s="58">
        <v>10117.753679999998</v>
      </c>
      <c r="G751" s="58">
        <v>14121.889023976339</v>
      </c>
      <c r="H751" s="39">
        <v>0.15707478367629379</v>
      </c>
      <c r="I751" s="39">
        <v>0.39575339256295683</v>
      </c>
      <c r="J751" s="39">
        <v>0.22290883123895089</v>
      </c>
    </row>
    <row r="752" spans="1:10" ht="11.25" customHeight="1" x14ac:dyDescent="0.2">
      <c r="A752" s="65" t="s">
        <v>25</v>
      </c>
      <c r="B752" s="58">
        <v>0</v>
      </c>
      <c r="C752" s="58">
        <v>0</v>
      </c>
      <c r="D752" s="58">
        <v>26563.742640000004</v>
      </c>
      <c r="E752" s="58">
        <v>30736.236768810748</v>
      </c>
      <c r="F752" s="58">
        <v>10117.753679999998</v>
      </c>
      <c r="G752" s="58">
        <v>14121.889023976339</v>
      </c>
      <c r="H752" s="39">
        <v>0.15707478367629379</v>
      </c>
      <c r="I752" s="39">
        <v>0.39575339256295683</v>
      </c>
      <c r="J752" s="39">
        <v>0.22290883123895089</v>
      </c>
    </row>
    <row r="753" spans="1:10" ht="11.25" customHeight="1" x14ac:dyDescent="0.2">
      <c r="A753" s="66" t="s">
        <v>25</v>
      </c>
      <c r="B753" s="58">
        <v>0</v>
      </c>
      <c r="C753" s="58">
        <v>0</v>
      </c>
      <c r="D753" s="58">
        <v>26563.742640000004</v>
      </c>
      <c r="E753" s="58">
        <v>30736.236768810748</v>
      </c>
      <c r="F753" s="58">
        <v>10117.753679999998</v>
      </c>
      <c r="G753" s="58">
        <v>14121.889023976339</v>
      </c>
      <c r="H753" s="39">
        <v>0.15707478367629379</v>
      </c>
      <c r="I753" s="39">
        <v>0.39575339256295683</v>
      </c>
      <c r="J753" s="39">
        <v>0.22290883123895089</v>
      </c>
    </row>
    <row r="754" spans="1:10" ht="11.25" customHeight="1" x14ac:dyDescent="0.2">
      <c r="A754" s="67">
        <v>44531</v>
      </c>
      <c r="B754" s="58">
        <v>0</v>
      </c>
      <c r="C754" s="58">
        <v>0</v>
      </c>
      <c r="D754" s="58">
        <v>4430.5542000000005</v>
      </c>
      <c r="E754" s="58">
        <v>5126.4825425310964</v>
      </c>
      <c r="F754" s="58">
        <v>1687.5354</v>
      </c>
      <c r="G754" s="58">
        <v>2355.3832596200864</v>
      </c>
      <c r="H754" s="39">
        <v>0.15707478367629402</v>
      </c>
      <c r="I754" s="39">
        <v>0.39575339256295683</v>
      </c>
      <c r="J754" s="39">
        <v>0.22290883123895111</v>
      </c>
    </row>
    <row r="755" spans="1:10" ht="11.25" customHeight="1" x14ac:dyDescent="0.2">
      <c r="A755" s="67">
        <v>44562</v>
      </c>
      <c r="B755" s="58">
        <v>0</v>
      </c>
      <c r="C755" s="58">
        <v>0</v>
      </c>
      <c r="D755" s="58">
        <v>-817.97984999999971</v>
      </c>
      <c r="E755" s="58">
        <v>-946.46385799031736</v>
      </c>
      <c r="F755" s="58">
        <v>-311.55695000000003</v>
      </c>
      <c r="G755" s="58">
        <v>-434.85666993906727</v>
      </c>
      <c r="H755" s="39">
        <v>0.15707478367629424</v>
      </c>
      <c r="I755" s="39">
        <v>0.39575339256295594</v>
      </c>
      <c r="J755" s="39">
        <v>0.22290883123895111</v>
      </c>
    </row>
    <row r="756" spans="1:10" ht="11.25" customHeight="1" x14ac:dyDescent="0.2">
      <c r="A756" s="67">
        <v>44593</v>
      </c>
      <c r="B756" s="58">
        <v>0</v>
      </c>
      <c r="C756" s="58">
        <v>0</v>
      </c>
      <c r="D756" s="58">
        <v>48.548429999999826</v>
      </c>
      <c r="E756" s="58">
        <v>56.174164140073572</v>
      </c>
      <c r="F756" s="58">
        <v>18.49140999999986</v>
      </c>
      <c r="G756" s="58">
        <v>25.809448240772667</v>
      </c>
      <c r="H756" s="39">
        <v>0.15707478367629557</v>
      </c>
      <c r="I756" s="39">
        <v>0.39575339256297193</v>
      </c>
      <c r="J756" s="39">
        <v>0.22290883123895622</v>
      </c>
    </row>
    <row r="757" spans="1:10" ht="11.25" customHeight="1" x14ac:dyDescent="0.2">
      <c r="A757" s="67">
        <v>44621</v>
      </c>
      <c r="B757" s="58">
        <v>0</v>
      </c>
      <c r="C757" s="58">
        <v>0</v>
      </c>
      <c r="D757" s="58">
        <v>2069.6318099999999</v>
      </c>
      <c r="E757" s="58">
        <v>2394.7187788453266</v>
      </c>
      <c r="F757" s="58">
        <v>788.29346999999984</v>
      </c>
      <c r="G757" s="58">
        <v>1100.2632850877253</v>
      </c>
      <c r="H757" s="39">
        <v>0.15707478367629402</v>
      </c>
      <c r="I757" s="39">
        <v>0.39575339256295705</v>
      </c>
      <c r="J757" s="39">
        <v>0.22290883123895133</v>
      </c>
    </row>
    <row r="758" spans="1:10" ht="11.25" customHeight="1" x14ac:dyDescent="0.2">
      <c r="A758" s="67">
        <v>44652</v>
      </c>
      <c r="B758" s="58">
        <v>0</v>
      </c>
      <c r="C758" s="58">
        <v>0</v>
      </c>
      <c r="D758" s="58">
        <v>-3307.004820000001</v>
      </c>
      <c r="E758" s="58">
        <v>-3826.4518867179627</v>
      </c>
      <c r="F758" s="58">
        <v>-1259.5913399999999</v>
      </c>
      <c r="G758" s="58">
        <v>-1758.0788860479208</v>
      </c>
      <c r="H758" s="39">
        <v>0.15707478367629402</v>
      </c>
      <c r="I758" s="39">
        <v>0.39575339256295683</v>
      </c>
      <c r="J758" s="39">
        <v>0.22290883123895111</v>
      </c>
    </row>
    <row r="759" spans="1:10" ht="11.25" customHeight="1" x14ac:dyDescent="0.2">
      <c r="A759" s="67">
        <v>44682</v>
      </c>
      <c r="B759" s="58">
        <v>0</v>
      </c>
      <c r="C759" s="58">
        <v>0</v>
      </c>
      <c r="D759" s="58">
        <v>7460.9553599999999</v>
      </c>
      <c r="E759" s="58">
        <v>8632.8833091904871</v>
      </c>
      <c r="F759" s="58">
        <v>2841.77232</v>
      </c>
      <c r="G759" s="58">
        <v>3966.4133565315033</v>
      </c>
      <c r="H759" s="39">
        <v>0.15707478367629424</v>
      </c>
      <c r="I759" s="39">
        <v>0.39575339256295639</v>
      </c>
      <c r="J759" s="39">
        <v>0.22290883123895111</v>
      </c>
    </row>
    <row r="760" spans="1:10" ht="11.25" customHeight="1" x14ac:dyDescent="0.2">
      <c r="A760" s="67">
        <v>44713</v>
      </c>
      <c r="B760" s="58">
        <v>0</v>
      </c>
      <c r="C760" s="58">
        <v>0</v>
      </c>
      <c r="D760" s="58">
        <v>1459.71666</v>
      </c>
      <c r="E760" s="58">
        <v>1689.0013385981824</v>
      </c>
      <c r="F760" s="58">
        <v>555.98541999999998</v>
      </c>
      <c r="G760" s="58">
        <v>776.0185361805402</v>
      </c>
      <c r="H760" s="39">
        <v>0.15707478367629402</v>
      </c>
      <c r="I760" s="39">
        <v>0.39575339256295639</v>
      </c>
      <c r="J760" s="39">
        <v>0.22290883123895111</v>
      </c>
    </row>
    <row r="761" spans="1:10" ht="11.25" customHeight="1" x14ac:dyDescent="0.2">
      <c r="A761" s="67">
        <v>44743</v>
      </c>
      <c r="B761" s="58">
        <v>0</v>
      </c>
      <c r="C761" s="58">
        <v>0</v>
      </c>
      <c r="D761" s="58">
        <v>1924.8024599999999</v>
      </c>
      <c r="E761" s="58">
        <v>2227.1403900240985</v>
      </c>
      <c r="F761" s="58">
        <v>733.13001999999983</v>
      </c>
      <c r="G761" s="58">
        <v>1023.2687126047482</v>
      </c>
      <c r="H761" s="39">
        <v>0.15707478367629402</v>
      </c>
      <c r="I761" s="39">
        <v>0.39575339256295683</v>
      </c>
      <c r="J761" s="39">
        <v>0.22290883123895133</v>
      </c>
    </row>
    <row r="762" spans="1:10" ht="11.25" customHeight="1" x14ac:dyDescent="0.2">
      <c r="A762" s="67">
        <v>44774</v>
      </c>
      <c r="B762" s="58">
        <v>0</v>
      </c>
      <c r="C762" s="58">
        <v>0</v>
      </c>
      <c r="D762" s="58">
        <v>1679.2045200000002</v>
      </c>
      <c r="E762" s="58">
        <v>1942.965206727255</v>
      </c>
      <c r="F762" s="58">
        <v>639.58523999999989</v>
      </c>
      <c r="G762" s="58">
        <v>892.70326856319275</v>
      </c>
      <c r="H762" s="39">
        <v>0.15707478367629379</v>
      </c>
      <c r="I762" s="39">
        <v>0.39575339256295683</v>
      </c>
      <c r="J762" s="39">
        <v>0.22290883123895089</v>
      </c>
    </row>
    <row r="763" spans="1:10" ht="11.25" customHeight="1" x14ac:dyDescent="0.2">
      <c r="A763" s="67">
        <v>44805</v>
      </c>
      <c r="B763" s="58">
        <v>0</v>
      </c>
      <c r="C763" s="58">
        <v>0</v>
      </c>
      <c r="D763" s="58">
        <v>2768.0764500000005</v>
      </c>
      <c r="E763" s="58">
        <v>3202.8714595831943</v>
      </c>
      <c r="F763" s="58">
        <v>1054.32115</v>
      </c>
      <c r="G763" s="58">
        <v>1471.572321963378</v>
      </c>
      <c r="H763" s="39">
        <v>0.15707478367629402</v>
      </c>
      <c r="I763" s="39">
        <v>0.39575339256295683</v>
      </c>
      <c r="J763" s="39">
        <v>0.22290883123895133</v>
      </c>
    </row>
    <row r="764" spans="1:10" ht="11.25" customHeight="1" x14ac:dyDescent="0.2">
      <c r="A764" s="67">
        <v>44835</v>
      </c>
      <c r="B764" s="58">
        <v>0</v>
      </c>
      <c r="C764" s="58">
        <v>0</v>
      </c>
      <c r="D764" s="58">
        <v>4423.6187100000006</v>
      </c>
      <c r="E764" s="58">
        <v>5118.4576619396566</v>
      </c>
      <c r="F764" s="58">
        <v>1684.8937699999997</v>
      </c>
      <c r="G764" s="58">
        <v>2351.69619558569</v>
      </c>
      <c r="H764" s="39">
        <v>0.15707478367629379</v>
      </c>
      <c r="I764" s="39">
        <v>0.39575339256295683</v>
      </c>
      <c r="J764" s="39">
        <v>0.22290883123895111</v>
      </c>
    </row>
    <row r="765" spans="1:10" ht="11.25" customHeight="1" x14ac:dyDescent="0.2">
      <c r="A765" s="67">
        <v>44866</v>
      </c>
      <c r="B765" s="58">
        <v>0</v>
      </c>
      <c r="C765" s="58">
        <v>0</v>
      </c>
      <c r="D765" s="58">
        <v>4423.6187100000006</v>
      </c>
      <c r="E765" s="58">
        <v>5118.4576619396566</v>
      </c>
      <c r="F765" s="58">
        <v>1684.8937699999997</v>
      </c>
      <c r="G765" s="58">
        <v>2351.69619558569</v>
      </c>
      <c r="H765" s="39">
        <v>0.15707478367629379</v>
      </c>
      <c r="I765" s="39">
        <v>0.39575339256295683</v>
      </c>
      <c r="J765" s="39">
        <v>0.22290883123895111</v>
      </c>
    </row>
    <row r="766" spans="1:10" ht="11.25" customHeight="1" x14ac:dyDescent="0.2">
      <c r="A766" s="64" t="s">
        <v>57</v>
      </c>
      <c r="B766" s="58">
        <v>0</v>
      </c>
      <c r="C766" s="58">
        <v>0</v>
      </c>
      <c r="D766" s="58">
        <v>9405.1241559000009</v>
      </c>
      <c r="E766" s="58">
        <v>10882.431998136683</v>
      </c>
      <c r="F766" s="58">
        <v>3582.2787032999995</v>
      </c>
      <c r="G766" s="58">
        <v>4999.9776532370033</v>
      </c>
      <c r="H766" s="39">
        <v>0.15707478367629402</v>
      </c>
      <c r="I766" s="39">
        <v>0.39575339256295616</v>
      </c>
      <c r="J766" s="39">
        <v>0.22290883123895089</v>
      </c>
    </row>
    <row r="767" spans="1:10" ht="11.25" customHeight="1" x14ac:dyDescent="0.2">
      <c r="A767" s="65" t="s">
        <v>25</v>
      </c>
      <c r="B767" s="58">
        <v>0</v>
      </c>
      <c r="C767" s="58">
        <v>0</v>
      </c>
      <c r="D767" s="58">
        <v>9405.1241559000009</v>
      </c>
      <c r="E767" s="58">
        <v>10882.431998136683</v>
      </c>
      <c r="F767" s="58">
        <v>3582.2787032999995</v>
      </c>
      <c r="G767" s="58">
        <v>4999.9776532370033</v>
      </c>
      <c r="H767" s="39">
        <v>0.15707478367629402</v>
      </c>
      <c r="I767" s="39">
        <v>0.39575339256295616</v>
      </c>
      <c r="J767" s="39">
        <v>0.22290883123895089</v>
      </c>
    </row>
    <row r="768" spans="1:10" ht="11.25" customHeight="1" x14ac:dyDescent="0.2">
      <c r="A768" s="66" t="s">
        <v>25</v>
      </c>
      <c r="B768" s="58">
        <v>0</v>
      </c>
      <c r="C768" s="58">
        <v>0</v>
      </c>
      <c r="D768" s="58">
        <v>9405.1241559000009</v>
      </c>
      <c r="E768" s="58">
        <v>10882.431998136683</v>
      </c>
      <c r="F768" s="58">
        <v>3582.2787032999995</v>
      </c>
      <c r="G768" s="58">
        <v>4999.9776532370033</v>
      </c>
      <c r="H768" s="39">
        <v>0.15707478367629402</v>
      </c>
      <c r="I768" s="39">
        <v>0.39575339256295616</v>
      </c>
      <c r="J768" s="39">
        <v>0.22290883123895089</v>
      </c>
    </row>
    <row r="769" spans="1:10" ht="11.25" customHeight="1" x14ac:dyDescent="0.2">
      <c r="A769" s="67">
        <v>44531</v>
      </c>
      <c r="B769" s="58">
        <v>0</v>
      </c>
      <c r="C769" s="58">
        <v>0</v>
      </c>
      <c r="D769" s="58">
        <v>418.16109060000002</v>
      </c>
      <c r="E769" s="58">
        <v>483.84365344783816</v>
      </c>
      <c r="F769" s="58">
        <v>159.27164219999997</v>
      </c>
      <c r="G769" s="58">
        <v>222.30393493972338</v>
      </c>
      <c r="H769" s="39">
        <v>0.15707478367629402</v>
      </c>
      <c r="I769" s="39">
        <v>0.39575339256295683</v>
      </c>
      <c r="J769" s="39">
        <v>0.22290883123895133</v>
      </c>
    </row>
    <row r="770" spans="1:10" ht="11.25" customHeight="1" x14ac:dyDescent="0.2">
      <c r="A770" s="67">
        <v>44562</v>
      </c>
      <c r="B770" s="58">
        <v>0</v>
      </c>
      <c r="C770" s="58">
        <v>0</v>
      </c>
      <c r="D770" s="58">
        <v>772.23825360000012</v>
      </c>
      <c r="E770" s="58">
        <v>893.53741023077907</v>
      </c>
      <c r="F770" s="58">
        <v>294.13462319999996</v>
      </c>
      <c r="G770" s="58">
        <v>410.53939820162691</v>
      </c>
      <c r="H770" s="39">
        <v>0.15707478367629379</v>
      </c>
      <c r="I770" s="39">
        <v>0.39575339256295683</v>
      </c>
      <c r="J770" s="39">
        <v>0.22290883123895089</v>
      </c>
    </row>
    <row r="771" spans="1:10" ht="11.25" customHeight="1" x14ac:dyDescent="0.2">
      <c r="A771" s="67">
        <v>44593</v>
      </c>
      <c r="B771" s="58">
        <v>0</v>
      </c>
      <c r="C771" s="58">
        <v>0</v>
      </c>
      <c r="D771" s="58">
        <v>1042.7101244999999</v>
      </c>
      <c r="E771" s="58">
        <v>1206.4935917429191</v>
      </c>
      <c r="F771" s="58">
        <v>397.15353149999999</v>
      </c>
      <c r="G771" s="58">
        <v>554.32838895948407</v>
      </c>
      <c r="H771" s="39">
        <v>0.15707478367629402</v>
      </c>
      <c r="I771" s="39">
        <v>0.39575339256295661</v>
      </c>
      <c r="J771" s="39">
        <v>0.22290883123895111</v>
      </c>
    </row>
    <row r="772" spans="1:10" ht="11.25" customHeight="1" x14ac:dyDescent="0.2">
      <c r="A772" s="67">
        <v>44621</v>
      </c>
      <c r="B772" s="58">
        <v>0</v>
      </c>
      <c r="C772" s="58">
        <v>0</v>
      </c>
      <c r="D772" s="58">
        <v>309.91849020000001</v>
      </c>
      <c r="E772" s="58">
        <v>358.59887000544865</v>
      </c>
      <c r="F772" s="58">
        <v>118.04356739999999</v>
      </c>
      <c r="G772" s="58">
        <v>164.75970966878404</v>
      </c>
      <c r="H772" s="39">
        <v>0.15707478367629402</v>
      </c>
      <c r="I772" s="39">
        <v>0.39575339256295683</v>
      </c>
      <c r="J772" s="39">
        <v>0.22290883123895133</v>
      </c>
    </row>
    <row r="773" spans="1:10" ht="11.25" customHeight="1" x14ac:dyDescent="0.2">
      <c r="A773" s="67">
        <v>44652</v>
      </c>
      <c r="B773" s="58">
        <v>0</v>
      </c>
      <c r="C773" s="58">
        <v>0</v>
      </c>
      <c r="D773" s="58">
        <v>248.12327430000002</v>
      </c>
      <c r="E773" s="58">
        <v>287.09718393572626</v>
      </c>
      <c r="F773" s="58">
        <v>94.506644099999988</v>
      </c>
      <c r="G773" s="58">
        <v>131.90796912231491</v>
      </c>
      <c r="H773" s="39">
        <v>0.15707478367629402</v>
      </c>
      <c r="I773" s="39">
        <v>0.39575339256295661</v>
      </c>
      <c r="J773" s="39">
        <v>0.22290883123895111</v>
      </c>
    </row>
    <row r="774" spans="1:10" ht="11.25" customHeight="1" x14ac:dyDescent="0.2">
      <c r="A774" s="67">
        <v>44682</v>
      </c>
      <c r="B774" s="58">
        <v>0</v>
      </c>
      <c r="C774" s="58">
        <v>0</v>
      </c>
      <c r="D774" s="58">
        <v>460.43494199999998</v>
      </c>
      <c r="E774" s="58">
        <v>532.75766091165701</v>
      </c>
      <c r="F774" s="58">
        <v>175.373154</v>
      </c>
      <c r="G774" s="58">
        <v>244.77767465996584</v>
      </c>
      <c r="H774" s="39">
        <v>0.15707478367629424</v>
      </c>
      <c r="I774" s="39">
        <v>0.39575339256295661</v>
      </c>
      <c r="J774" s="39">
        <v>0.22290883123895133</v>
      </c>
    </row>
    <row r="775" spans="1:10" ht="11.25" customHeight="1" x14ac:dyDescent="0.2">
      <c r="A775" s="67">
        <v>44713</v>
      </c>
      <c r="B775" s="58">
        <v>0</v>
      </c>
      <c r="C775" s="58">
        <v>0</v>
      </c>
      <c r="D775" s="58">
        <v>634.37703120000003</v>
      </c>
      <c r="E775" s="58">
        <v>734.02166614494968</v>
      </c>
      <c r="F775" s="58">
        <v>241.62523440000001</v>
      </c>
      <c r="G775" s="58">
        <v>337.24924064261961</v>
      </c>
      <c r="H775" s="39">
        <v>0.15707478367629402</v>
      </c>
      <c r="I775" s="39">
        <v>0.39575339256295661</v>
      </c>
      <c r="J775" s="39">
        <v>0.22290883123895111</v>
      </c>
    </row>
    <row r="776" spans="1:10" ht="11.25" customHeight="1" x14ac:dyDescent="0.2">
      <c r="A776" s="67">
        <v>44743</v>
      </c>
      <c r="B776" s="58">
        <v>0</v>
      </c>
      <c r="C776" s="58">
        <v>0</v>
      </c>
      <c r="D776" s="58">
        <v>1110.2944347</v>
      </c>
      <c r="E776" s="58">
        <v>1284.6936928474956</v>
      </c>
      <c r="F776" s="58">
        <v>422.89543889999993</v>
      </c>
      <c r="G776" s="58">
        <v>590.25774354407554</v>
      </c>
      <c r="H776" s="39">
        <v>0.15707478367629402</v>
      </c>
      <c r="I776" s="39">
        <v>0.39575339256295683</v>
      </c>
      <c r="J776" s="39">
        <v>0.22290883123895133</v>
      </c>
    </row>
    <row r="777" spans="1:10" ht="11.25" customHeight="1" x14ac:dyDescent="0.2">
      <c r="A777" s="67">
        <v>44774</v>
      </c>
      <c r="B777" s="58">
        <v>0</v>
      </c>
      <c r="C777" s="58">
        <v>0</v>
      </c>
      <c r="D777" s="58">
        <v>1572.7488282000002</v>
      </c>
      <c r="E777" s="58">
        <v>1819.7880101666601</v>
      </c>
      <c r="F777" s="58">
        <v>599.03777339999988</v>
      </c>
      <c r="G777" s="58">
        <v>836.10900449640963</v>
      </c>
      <c r="H777" s="39">
        <v>0.15707478367629402</v>
      </c>
      <c r="I777" s="39">
        <v>0.39575339256295683</v>
      </c>
      <c r="J777" s="39">
        <v>0.22290883123895133</v>
      </c>
    </row>
    <row r="778" spans="1:10" ht="11.25" customHeight="1" x14ac:dyDescent="0.2">
      <c r="A778" s="67">
        <v>44805</v>
      </c>
      <c r="B778" s="58">
        <v>0</v>
      </c>
      <c r="C778" s="58">
        <v>0</v>
      </c>
      <c r="D778" s="58">
        <v>1097.7738354000001</v>
      </c>
      <c r="E778" s="58">
        <v>1270.2064231209506</v>
      </c>
      <c r="F778" s="58">
        <v>418.12651979999993</v>
      </c>
      <c r="G778" s="58">
        <v>583.60150853139226</v>
      </c>
      <c r="H778" s="39">
        <v>0.15707478367629402</v>
      </c>
      <c r="I778" s="39">
        <v>0.39575339256295683</v>
      </c>
      <c r="J778" s="39">
        <v>0.22290883123895111</v>
      </c>
    </row>
    <row r="779" spans="1:10" ht="11.25" customHeight="1" x14ac:dyDescent="0.2">
      <c r="A779" s="67">
        <v>44835</v>
      </c>
      <c r="B779" s="58">
        <v>0</v>
      </c>
      <c r="C779" s="58">
        <v>0</v>
      </c>
      <c r="D779" s="58">
        <v>869.17192560000012</v>
      </c>
      <c r="E779" s="58">
        <v>1005.6969177911279</v>
      </c>
      <c r="F779" s="58">
        <v>331.05528719999995</v>
      </c>
      <c r="G779" s="58">
        <v>462.07154023530393</v>
      </c>
      <c r="H779" s="39">
        <v>0.15707478367629379</v>
      </c>
      <c r="I779" s="39">
        <v>0.39575339256295683</v>
      </c>
      <c r="J779" s="39">
        <v>0.22290883123895111</v>
      </c>
    </row>
    <row r="780" spans="1:10" ht="11.25" customHeight="1" x14ac:dyDescent="0.2">
      <c r="A780" s="67">
        <v>44866</v>
      </c>
      <c r="B780" s="58">
        <v>0</v>
      </c>
      <c r="C780" s="58">
        <v>0</v>
      </c>
      <c r="D780" s="58">
        <v>869.17192560000012</v>
      </c>
      <c r="E780" s="58">
        <v>1005.6969177911279</v>
      </c>
      <c r="F780" s="58">
        <v>331.05528719999995</v>
      </c>
      <c r="G780" s="58">
        <v>462.07154023530393</v>
      </c>
      <c r="H780" s="39">
        <v>0.15707478367629379</v>
      </c>
      <c r="I780" s="39">
        <v>0.39575339256295683</v>
      </c>
      <c r="J780" s="39">
        <v>0.22290883123895111</v>
      </c>
    </row>
    <row r="781" spans="1:10" ht="11.25" customHeight="1" x14ac:dyDescent="0.2">
      <c r="A781" s="63" t="s">
        <v>58</v>
      </c>
      <c r="B781" s="58">
        <v>0</v>
      </c>
      <c r="C781" s="58">
        <v>0</v>
      </c>
      <c r="D781" s="58">
        <v>433.26414000000005</v>
      </c>
      <c r="E781" s="58">
        <v>501.31901106519558</v>
      </c>
      <c r="F781" s="58">
        <v>165.02417999999997</v>
      </c>
      <c r="G781" s="58">
        <v>230.33305908992003</v>
      </c>
      <c r="H781" s="39">
        <v>0.15707478367629402</v>
      </c>
      <c r="I781" s="39">
        <v>0.39575339256295683</v>
      </c>
      <c r="J781" s="39">
        <v>0.22290883123895111</v>
      </c>
    </row>
    <row r="782" spans="1:10" ht="11.25" customHeight="1" x14ac:dyDescent="0.2">
      <c r="A782" s="64" t="s">
        <v>56</v>
      </c>
      <c r="B782" s="58">
        <v>0</v>
      </c>
      <c r="C782" s="58">
        <v>0</v>
      </c>
      <c r="D782" s="58">
        <v>433.26414000000005</v>
      </c>
      <c r="E782" s="58">
        <v>501.31901106519558</v>
      </c>
      <c r="F782" s="58">
        <v>165.02417999999997</v>
      </c>
      <c r="G782" s="58">
        <v>230.33305908992003</v>
      </c>
      <c r="H782" s="39">
        <v>0.15707478367629402</v>
      </c>
      <c r="I782" s="39">
        <v>0.39575339256295683</v>
      </c>
      <c r="J782" s="39">
        <v>0.22290883123895111</v>
      </c>
    </row>
    <row r="783" spans="1:10" ht="11.25" customHeight="1" x14ac:dyDescent="0.2">
      <c r="A783" s="65" t="s">
        <v>25</v>
      </c>
      <c r="B783" s="58">
        <v>0</v>
      </c>
      <c r="C783" s="58">
        <v>0</v>
      </c>
      <c r="D783" s="58">
        <v>433.26414000000005</v>
      </c>
      <c r="E783" s="58">
        <v>501.31901106519558</v>
      </c>
      <c r="F783" s="58">
        <v>165.02417999999997</v>
      </c>
      <c r="G783" s="58">
        <v>230.33305908992003</v>
      </c>
      <c r="H783" s="39">
        <v>0.15707478367629402</v>
      </c>
      <c r="I783" s="39">
        <v>0.39575339256295683</v>
      </c>
      <c r="J783" s="39">
        <v>0.22290883123895111</v>
      </c>
    </row>
    <row r="784" spans="1:10" ht="11.25" customHeight="1" x14ac:dyDescent="0.2">
      <c r="A784" s="66" t="s">
        <v>25</v>
      </c>
      <c r="B784" s="58">
        <v>0</v>
      </c>
      <c r="C784" s="58">
        <v>0</v>
      </c>
      <c r="D784" s="58">
        <v>433.26414000000005</v>
      </c>
      <c r="E784" s="58">
        <v>501.31901106519558</v>
      </c>
      <c r="F784" s="58">
        <v>165.02417999999997</v>
      </c>
      <c r="G784" s="58">
        <v>230.33305908992003</v>
      </c>
      <c r="H784" s="39">
        <v>0.15707478367629402</v>
      </c>
      <c r="I784" s="39">
        <v>0.39575339256295683</v>
      </c>
      <c r="J784" s="39">
        <v>0.22290883123895111</v>
      </c>
    </row>
    <row r="785" spans="1:10" ht="11.25" customHeight="1" x14ac:dyDescent="0.2">
      <c r="A785" s="67">
        <v>44682</v>
      </c>
      <c r="B785" s="58">
        <v>0</v>
      </c>
      <c r="C785" s="58">
        <v>0</v>
      </c>
      <c r="D785" s="58">
        <v>122.79897</v>
      </c>
      <c r="E785" s="58">
        <v>142.08759164842172</v>
      </c>
      <c r="F785" s="58">
        <v>46.772389999999994</v>
      </c>
      <c r="G785" s="58">
        <v>65.282722020777697</v>
      </c>
      <c r="H785" s="39">
        <v>0.15707478367629402</v>
      </c>
      <c r="I785" s="39">
        <v>0.39575339256295661</v>
      </c>
      <c r="J785" s="39">
        <v>0.22290883123895111</v>
      </c>
    </row>
    <row r="786" spans="1:10" ht="11.25" customHeight="1" x14ac:dyDescent="0.2">
      <c r="A786" s="67">
        <v>44713</v>
      </c>
      <c r="B786" s="58">
        <v>0</v>
      </c>
      <c r="C786" s="58">
        <v>0</v>
      </c>
      <c r="D786" s="58">
        <v>104.84829000000001</v>
      </c>
      <c r="E786" s="58">
        <v>121.31731247057935</v>
      </c>
      <c r="F786" s="58">
        <v>39.935229999999997</v>
      </c>
      <c r="G786" s="58">
        <v>55.739732755281963</v>
      </c>
      <c r="H786" s="39">
        <v>0.15707478367629402</v>
      </c>
      <c r="I786" s="39">
        <v>0.39575339256295683</v>
      </c>
      <c r="J786" s="39">
        <v>0.22290883123895111</v>
      </c>
    </row>
    <row r="787" spans="1:10" ht="11.25" customHeight="1" x14ac:dyDescent="0.2">
      <c r="A787" s="67">
        <v>44743</v>
      </c>
      <c r="B787" s="58">
        <v>0</v>
      </c>
      <c r="C787" s="58">
        <v>0</v>
      </c>
      <c r="D787" s="58">
        <v>111.78378000000002</v>
      </c>
      <c r="E787" s="58">
        <v>129.34219306201845</v>
      </c>
      <c r="F787" s="58">
        <v>42.576859999999996</v>
      </c>
      <c r="G787" s="58">
        <v>59.42679678967805</v>
      </c>
      <c r="H787" s="39">
        <v>0.15707478367629379</v>
      </c>
      <c r="I787" s="39">
        <v>0.39575339256295683</v>
      </c>
      <c r="J787" s="39">
        <v>0.22290883123895111</v>
      </c>
    </row>
    <row r="788" spans="1:10" ht="11.25" customHeight="1" x14ac:dyDescent="0.2">
      <c r="A788" s="67">
        <v>44774</v>
      </c>
      <c r="B788" s="58">
        <v>0</v>
      </c>
      <c r="C788" s="58">
        <v>0</v>
      </c>
      <c r="D788" s="58">
        <v>93.833100000000016</v>
      </c>
      <c r="E788" s="58">
        <v>108.57191388417607</v>
      </c>
      <c r="F788" s="58">
        <v>35.739699999999999</v>
      </c>
      <c r="G788" s="58">
        <v>49.883807524182302</v>
      </c>
      <c r="H788" s="39">
        <v>0.15707478367629379</v>
      </c>
      <c r="I788" s="39">
        <v>0.39575339256295661</v>
      </c>
      <c r="J788" s="39">
        <v>0.22290883123895089</v>
      </c>
    </row>
    <row r="789" spans="1:10" ht="11.25" customHeight="1" x14ac:dyDescent="0.2">
      <c r="A789" s="63" t="s">
        <v>25</v>
      </c>
      <c r="B789" s="58">
        <v>0</v>
      </c>
      <c r="C789" s="58">
        <v>0</v>
      </c>
      <c r="D789" s="58">
        <v>18646418.982960001</v>
      </c>
      <c r="E789" s="58">
        <v>21575301.211045984</v>
      </c>
      <c r="F789" s="58">
        <v>7102157.1335199988</v>
      </c>
      <c r="G789" s="58">
        <v>9912859.9136257432</v>
      </c>
      <c r="H789" s="39">
        <v>0.15707478367629357</v>
      </c>
      <c r="I789" s="39">
        <v>0.39575339256295683</v>
      </c>
      <c r="J789" s="39">
        <v>0.22290883123895067</v>
      </c>
    </row>
    <row r="790" spans="1:10" ht="11.25" customHeight="1" x14ac:dyDescent="0.2">
      <c r="A790" s="64" t="s">
        <v>25</v>
      </c>
      <c r="B790" s="58">
        <v>0</v>
      </c>
      <c r="C790" s="58">
        <v>0</v>
      </c>
      <c r="D790" s="58">
        <v>18646418.982960001</v>
      </c>
      <c r="E790" s="58">
        <v>21575301.211045984</v>
      </c>
      <c r="F790" s="58">
        <v>7102157.1335199988</v>
      </c>
      <c r="G790" s="58">
        <v>9912859.9136257432</v>
      </c>
      <c r="H790" s="39">
        <v>0.15707478367629357</v>
      </c>
      <c r="I790" s="39">
        <v>0.39575339256295683</v>
      </c>
      <c r="J790" s="39">
        <v>0.22290883123895067</v>
      </c>
    </row>
    <row r="791" spans="1:10" ht="11.25" customHeight="1" x14ac:dyDescent="0.2">
      <c r="A791" s="65" t="s">
        <v>25</v>
      </c>
      <c r="B791" s="58">
        <v>0</v>
      </c>
      <c r="C791" s="58">
        <v>0</v>
      </c>
      <c r="D791" s="58">
        <v>18646418.982960001</v>
      </c>
      <c r="E791" s="58">
        <v>21575301.211045984</v>
      </c>
      <c r="F791" s="58">
        <v>7102157.1335199988</v>
      </c>
      <c r="G791" s="58">
        <v>9912859.9136257432</v>
      </c>
      <c r="H791" s="39">
        <v>0.15707478367629357</v>
      </c>
      <c r="I791" s="39">
        <v>0.39575339256295683</v>
      </c>
      <c r="J791" s="39">
        <v>0.22290883123895067</v>
      </c>
    </row>
    <row r="792" spans="1:10" ht="11.25" customHeight="1" x14ac:dyDescent="0.2">
      <c r="A792" s="66" t="s">
        <v>25</v>
      </c>
      <c r="B792" s="58">
        <v>0</v>
      </c>
      <c r="C792" s="58">
        <v>0</v>
      </c>
      <c r="D792" s="58">
        <v>18646418.982960001</v>
      </c>
      <c r="E792" s="58">
        <v>21575301.211045984</v>
      </c>
      <c r="F792" s="58">
        <v>7102157.1335199988</v>
      </c>
      <c r="G792" s="58">
        <v>9912859.9136257432</v>
      </c>
      <c r="H792" s="39">
        <v>0.15707478367629357</v>
      </c>
      <c r="I792" s="39">
        <v>0.39575339256295683</v>
      </c>
      <c r="J792" s="39">
        <v>0.22290883123895067</v>
      </c>
    </row>
    <row r="793" spans="1:10" ht="11.25" customHeight="1" x14ac:dyDescent="0.2">
      <c r="A793" s="67">
        <v>44531</v>
      </c>
      <c r="B793" s="58">
        <v>0</v>
      </c>
      <c r="C793" s="58">
        <v>0</v>
      </c>
      <c r="D793" s="58">
        <v>1848257.0887500001</v>
      </c>
      <c r="E793" s="58">
        <v>2138571.671143583</v>
      </c>
      <c r="F793" s="58">
        <v>703974.97124999994</v>
      </c>
      <c r="G793" s="58">
        <v>982575.4544015975</v>
      </c>
      <c r="H793" s="39">
        <v>0.15707478367629379</v>
      </c>
      <c r="I793" s="39">
        <v>0.39575339256295683</v>
      </c>
      <c r="J793" s="39">
        <v>0.22290883123895111</v>
      </c>
    </row>
    <row r="794" spans="1:10" ht="11.25" customHeight="1" x14ac:dyDescent="0.2">
      <c r="A794" s="67">
        <v>44562</v>
      </c>
      <c r="B794" s="58">
        <v>0</v>
      </c>
      <c r="C794" s="58">
        <v>0</v>
      </c>
      <c r="D794" s="58">
        <v>1896763.9058100001</v>
      </c>
      <c r="E794" s="58">
        <v>2194697.6860001083</v>
      </c>
      <c r="F794" s="58">
        <v>722450.53146999993</v>
      </c>
      <c r="G794" s="58">
        <v>1008362.7802581636</v>
      </c>
      <c r="H794" s="39">
        <v>0.15707478367629402</v>
      </c>
      <c r="I794" s="39">
        <v>0.39575339256295683</v>
      </c>
      <c r="J794" s="39">
        <v>0.22290883123895089</v>
      </c>
    </row>
    <row r="795" spans="1:10" ht="11.25" customHeight="1" x14ac:dyDescent="0.2">
      <c r="A795" s="67">
        <v>44593</v>
      </c>
      <c r="B795" s="58">
        <v>0</v>
      </c>
      <c r="C795" s="58">
        <v>0</v>
      </c>
      <c r="D795" s="58">
        <v>1759758.1965000003</v>
      </c>
      <c r="E795" s="58">
        <v>2036171.8345378228</v>
      </c>
      <c r="F795" s="58">
        <v>670266.99549999984</v>
      </c>
      <c r="G795" s="58">
        <v>935527.43289210484</v>
      </c>
      <c r="H795" s="39">
        <v>0.15707478367629379</v>
      </c>
      <c r="I795" s="39">
        <v>0.39575339256295683</v>
      </c>
      <c r="J795" s="39">
        <v>0.22290883123895089</v>
      </c>
    </row>
    <row r="796" spans="1:10" ht="11.25" customHeight="1" x14ac:dyDescent="0.2">
      <c r="A796" s="67">
        <v>44621</v>
      </c>
      <c r="B796" s="58">
        <v>0</v>
      </c>
      <c r="C796" s="58">
        <v>0</v>
      </c>
      <c r="D796" s="58">
        <v>1392988.2708600003</v>
      </c>
      <c r="E796" s="58">
        <v>1611791.6021689498</v>
      </c>
      <c r="F796" s="58">
        <v>530569.52081999998</v>
      </c>
      <c r="G796" s="58">
        <v>740544.20867501735</v>
      </c>
      <c r="H796" s="39">
        <v>0.15707478367629402</v>
      </c>
      <c r="I796" s="39">
        <v>0.39575339256295683</v>
      </c>
      <c r="J796" s="39">
        <v>0.22290883123895111</v>
      </c>
    </row>
    <row r="797" spans="1:10" ht="11.25" customHeight="1" x14ac:dyDescent="0.2">
      <c r="A797" s="67">
        <v>44652</v>
      </c>
      <c r="B797" s="58">
        <v>0</v>
      </c>
      <c r="C797" s="58">
        <v>0</v>
      </c>
      <c r="D797" s="58">
        <v>1404720.2641499999</v>
      </c>
      <c r="E797" s="58">
        <v>1625366.3957670678</v>
      </c>
      <c r="F797" s="58">
        <v>535038.07104999991</v>
      </c>
      <c r="G797" s="58">
        <v>746781.20281837776</v>
      </c>
      <c r="H797" s="39">
        <v>0.15707478367629402</v>
      </c>
      <c r="I797" s="39">
        <v>0.39575339256295683</v>
      </c>
      <c r="J797" s="39">
        <v>0.22290883123895111</v>
      </c>
    </row>
    <row r="798" spans="1:10" ht="11.25" customHeight="1" x14ac:dyDescent="0.2">
      <c r="A798" s="67">
        <v>44682</v>
      </c>
      <c r="B798" s="58">
        <v>0</v>
      </c>
      <c r="C798" s="58">
        <v>0</v>
      </c>
      <c r="D798" s="58">
        <v>1458241.03251</v>
      </c>
      <c r="E798" s="58">
        <v>1687293.9272394038</v>
      </c>
      <c r="F798" s="58">
        <v>555423.37436999998</v>
      </c>
      <c r="G798" s="58">
        <v>775234.05908569263</v>
      </c>
      <c r="H798" s="39">
        <v>0.15707478367629402</v>
      </c>
      <c r="I798" s="39">
        <v>0.39575339256295661</v>
      </c>
      <c r="J798" s="39">
        <v>0.22290883123895089</v>
      </c>
    </row>
    <row r="799" spans="1:10" ht="11.25" customHeight="1" x14ac:dyDescent="0.2">
      <c r="A799" s="67">
        <v>44713</v>
      </c>
      <c r="B799" s="58">
        <v>0</v>
      </c>
      <c r="C799" s="58">
        <v>0</v>
      </c>
      <c r="D799" s="58">
        <v>1356227.7260400001</v>
      </c>
      <c r="E799" s="58">
        <v>1569256.9027235254</v>
      </c>
      <c r="F799" s="58">
        <v>516567.94948000007</v>
      </c>
      <c r="G799" s="58">
        <v>721001.46797600004</v>
      </c>
      <c r="H799" s="39">
        <v>0.15707478367629424</v>
      </c>
      <c r="I799" s="39">
        <v>0.39575339256295661</v>
      </c>
      <c r="J799" s="39">
        <v>0.22290883123895111</v>
      </c>
    </row>
    <row r="800" spans="1:10" ht="11.25" customHeight="1" x14ac:dyDescent="0.2">
      <c r="A800" s="67">
        <v>44743</v>
      </c>
      <c r="B800" s="58">
        <v>0</v>
      </c>
      <c r="C800" s="58">
        <v>0</v>
      </c>
      <c r="D800" s="58">
        <v>1477721.1920400001</v>
      </c>
      <c r="E800" s="58">
        <v>1709833.9286135584</v>
      </c>
      <c r="F800" s="58">
        <v>562843.09147999994</v>
      </c>
      <c r="G800" s="58">
        <v>785590.15441383258</v>
      </c>
      <c r="H800" s="39">
        <v>0.15707478367629402</v>
      </c>
      <c r="I800" s="39">
        <v>0.39575339256295683</v>
      </c>
      <c r="J800" s="39">
        <v>0.22290883123895111</v>
      </c>
    </row>
    <row r="801" spans="1:10" ht="11.25" customHeight="1" x14ac:dyDescent="0.2">
      <c r="A801" s="67">
        <v>44774</v>
      </c>
      <c r="B801" s="58">
        <v>0</v>
      </c>
      <c r="C801" s="58">
        <v>0</v>
      </c>
      <c r="D801" s="58">
        <v>1543610.3868900002</v>
      </c>
      <c r="E801" s="58">
        <v>1786072.6544912274</v>
      </c>
      <c r="F801" s="58">
        <v>587939.35343000002</v>
      </c>
      <c r="G801" s="58">
        <v>820618.34717119369</v>
      </c>
      <c r="H801" s="39">
        <v>0.15707478367629402</v>
      </c>
      <c r="I801" s="39">
        <v>0.39575339256295661</v>
      </c>
      <c r="J801" s="39">
        <v>0.22290883123895089</v>
      </c>
    </row>
    <row r="802" spans="1:10" ht="11.25" customHeight="1" x14ac:dyDescent="0.2">
      <c r="A802" s="67">
        <v>44805</v>
      </c>
      <c r="B802" s="58">
        <v>0</v>
      </c>
      <c r="C802" s="58">
        <v>0</v>
      </c>
      <c r="D802" s="58">
        <v>1486745.8964100003</v>
      </c>
      <c r="E802" s="58">
        <v>1720276.1864702187</v>
      </c>
      <c r="F802" s="58">
        <v>566280.47366999986</v>
      </c>
      <c r="G802" s="58">
        <v>790387.89226706058</v>
      </c>
      <c r="H802" s="39">
        <v>0.15707478367629379</v>
      </c>
      <c r="I802" s="39">
        <v>0.39575339256295705</v>
      </c>
      <c r="J802" s="39">
        <v>0.22290883123895111</v>
      </c>
    </row>
    <row r="803" spans="1:10" ht="11.25" customHeight="1" x14ac:dyDescent="0.2">
      <c r="A803" s="67">
        <v>44835</v>
      </c>
      <c r="B803" s="58">
        <v>0</v>
      </c>
      <c r="C803" s="58">
        <v>0</v>
      </c>
      <c r="D803" s="58">
        <v>1510692.5115000005</v>
      </c>
      <c r="E803" s="58">
        <v>1747984.21094526</v>
      </c>
      <c r="F803" s="58">
        <v>575401.40049999987</v>
      </c>
      <c r="G803" s="58">
        <v>803118.45683335152</v>
      </c>
      <c r="H803" s="39">
        <v>0.15707478367629379</v>
      </c>
      <c r="I803" s="39">
        <v>0.39575339256295683</v>
      </c>
      <c r="J803" s="39">
        <v>0.22290883123895089</v>
      </c>
    </row>
    <row r="804" spans="1:10" ht="11.25" customHeight="1" x14ac:dyDescent="0.2">
      <c r="A804" s="67">
        <v>44866</v>
      </c>
      <c r="B804" s="58">
        <v>0</v>
      </c>
      <c r="C804" s="58">
        <v>0</v>
      </c>
      <c r="D804" s="58">
        <v>1510692.5115000005</v>
      </c>
      <c r="E804" s="58">
        <v>1747984.21094526</v>
      </c>
      <c r="F804" s="58">
        <v>575401.40049999987</v>
      </c>
      <c r="G804" s="58">
        <v>803118.45683335152</v>
      </c>
      <c r="H804" s="39">
        <v>0.15707478367629379</v>
      </c>
      <c r="I804" s="39">
        <v>0.39575339256295683</v>
      </c>
      <c r="J804" s="39">
        <v>0.22290883123895089</v>
      </c>
    </row>
    <row r="805" spans="1:10" ht="11.25" customHeight="1" x14ac:dyDescent="0.2">
      <c r="A805" s="60" t="s">
        <v>39</v>
      </c>
      <c r="B805" s="58">
        <v>0</v>
      </c>
      <c r="C805" s="58">
        <v>0</v>
      </c>
      <c r="D805" s="58">
        <v>97550547.906268016</v>
      </c>
      <c r="E805" s="58">
        <v>105815946.50631364</v>
      </c>
      <c r="F805" s="58">
        <v>37177349.162480414</v>
      </c>
      <c r="G805" s="58">
        <v>48642344.729706317</v>
      </c>
      <c r="H805" s="39">
        <v>8.4729391863461734E-2</v>
      </c>
      <c r="I805" s="39">
        <v>0.30838658014908704</v>
      </c>
      <c r="J805" s="39">
        <v>0.14644624162138786</v>
      </c>
    </row>
    <row r="806" spans="1:10" ht="11.25" customHeight="1" x14ac:dyDescent="0.2">
      <c r="A806" s="61" t="s">
        <v>35</v>
      </c>
      <c r="B806" s="58">
        <v>0</v>
      </c>
      <c r="C806" s="58">
        <v>0</v>
      </c>
      <c r="D806" s="58">
        <v>609321.84170000034</v>
      </c>
      <c r="E806" s="58">
        <v>666158.99042023567</v>
      </c>
      <c r="F806" s="58">
        <v>253531.86635999996</v>
      </c>
      <c r="G806" s="58">
        <v>330847.08725779649</v>
      </c>
      <c r="H806" s="39">
        <v>9.3279355556433963E-2</v>
      </c>
      <c r="I806" s="39">
        <v>0.30495267521130476</v>
      </c>
      <c r="J806" s="39">
        <v>0.15547521945481835</v>
      </c>
    </row>
    <row r="807" spans="1:10" ht="11.25" customHeight="1" x14ac:dyDescent="0.2">
      <c r="A807" s="62" t="s">
        <v>45</v>
      </c>
      <c r="B807" s="58">
        <v>0</v>
      </c>
      <c r="C807" s="58">
        <v>0</v>
      </c>
      <c r="D807" s="58">
        <v>546141.3398999999</v>
      </c>
      <c r="E807" s="58">
        <v>597498.70391450787</v>
      </c>
      <c r="F807" s="58">
        <v>228600.25092000002</v>
      </c>
      <c r="G807" s="58">
        <v>298276.4895553331</v>
      </c>
      <c r="H807" s="39">
        <v>9.4036763494065312E-2</v>
      </c>
      <c r="I807" s="39">
        <v>0.30479511004437643</v>
      </c>
      <c r="J807" s="39">
        <v>0.15622448063197125</v>
      </c>
    </row>
    <row r="808" spans="1:10" ht="11.25" customHeight="1" x14ac:dyDescent="0.2">
      <c r="A808" s="63" t="s">
        <v>25</v>
      </c>
      <c r="B808" s="58">
        <v>0</v>
      </c>
      <c r="C808" s="58">
        <v>0</v>
      </c>
      <c r="D808" s="58">
        <v>546141.3398999999</v>
      </c>
      <c r="E808" s="58">
        <v>597498.70391450787</v>
      </c>
      <c r="F808" s="58">
        <v>228600.25092000002</v>
      </c>
      <c r="G808" s="58">
        <v>298276.4895553331</v>
      </c>
      <c r="H808" s="39">
        <v>9.4036763494065312E-2</v>
      </c>
      <c r="I808" s="39">
        <v>0.30479511004437643</v>
      </c>
      <c r="J808" s="39">
        <v>0.15622448063197125</v>
      </c>
    </row>
    <row r="809" spans="1:10" ht="11.25" customHeight="1" x14ac:dyDescent="0.2">
      <c r="A809" s="64" t="s">
        <v>25</v>
      </c>
      <c r="B809" s="58">
        <v>0</v>
      </c>
      <c r="C809" s="58">
        <v>0</v>
      </c>
      <c r="D809" s="58">
        <v>546141.3398999999</v>
      </c>
      <c r="E809" s="58">
        <v>597498.70391450787</v>
      </c>
      <c r="F809" s="58">
        <v>228600.25092000002</v>
      </c>
      <c r="G809" s="58">
        <v>298276.4895553331</v>
      </c>
      <c r="H809" s="39">
        <v>9.4036763494065312E-2</v>
      </c>
      <c r="I809" s="39">
        <v>0.30479511004437643</v>
      </c>
      <c r="J809" s="39">
        <v>0.15622448063197125</v>
      </c>
    </row>
    <row r="810" spans="1:10" ht="11.25" customHeight="1" x14ac:dyDescent="0.2">
      <c r="A810" s="65" t="s">
        <v>25</v>
      </c>
      <c r="B810" s="58">
        <v>0</v>
      </c>
      <c r="C810" s="58">
        <v>0</v>
      </c>
      <c r="D810" s="58">
        <v>546141.3398999999</v>
      </c>
      <c r="E810" s="58">
        <v>597498.70391450787</v>
      </c>
      <c r="F810" s="58">
        <v>228600.25092000002</v>
      </c>
      <c r="G810" s="58">
        <v>298276.4895553331</v>
      </c>
      <c r="H810" s="39">
        <v>9.4036763494065312E-2</v>
      </c>
      <c r="I810" s="39">
        <v>0.30479511004437643</v>
      </c>
      <c r="J810" s="39">
        <v>0.15622448063197125</v>
      </c>
    </row>
    <row r="811" spans="1:10" ht="11.25" customHeight="1" x14ac:dyDescent="0.2">
      <c r="A811" s="66" t="s">
        <v>37</v>
      </c>
      <c r="B811" s="58">
        <v>0</v>
      </c>
      <c r="C811" s="58">
        <v>0</v>
      </c>
      <c r="D811" s="58">
        <v>426801.12150000001</v>
      </c>
      <c r="E811" s="58">
        <v>474659.32037392247</v>
      </c>
      <c r="F811" s="58">
        <v>203976.10260000004</v>
      </c>
      <c r="G811" s="58">
        <v>265477.56447716802</v>
      </c>
      <c r="H811" s="39">
        <v>0.11213231751998176</v>
      </c>
      <c r="I811" s="39">
        <v>0.30151307478294731</v>
      </c>
      <c r="J811" s="39">
        <v>0.17337287488007513</v>
      </c>
    </row>
    <row r="812" spans="1:10" ht="11.25" customHeight="1" x14ac:dyDescent="0.2">
      <c r="A812" s="67">
        <v>44531</v>
      </c>
      <c r="B812" s="58">
        <v>0</v>
      </c>
      <c r="C812" s="58">
        <v>0</v>
      </c>
      <c r="D812" s="58">
        <v>38404.399799999999</v>
      </c>
      <c r="E812" s="58">
        <v>42710.774152537932</v>
      </c>
      <c r="F812" s="58">
        <v>18354.168720000001</v>
      </c>
      <c r="G812" s="58">
        <v>23888.190565852201</v>
      </c>
      <c r="H812" s="39">
        <v>0.11213231751998198</v>
      </c>
      <c r="I812" s="39">
        <v>0.30151307478294775</v>
      </c>
      <c r="J812" s="39">
        <v>0.17337287488007536</v>
      </c>
    </row>
    <row r="813" spans="1:10" ht="11.25" customHeight="1" x14ac:dyDescent="0.2">
      <c r="A813" s="67">
        <v>44562</v>
      </c>
      <c r="B813" s="58">
        <v>0</v>
      </c>
      <c r="C813" s="58">
        <v>0</v>
      </c>
      <c r="D813" s="58">
        <v>35930.893700000001</v>
      </c>
      <c r="E813" s="58">
        <v>39959.90808114512</v>
      </c>
      <c r="F813" s="58">
        <v>17172.034680000001</v>
      </c>
      <c r="G813" s="58">
        <v>22349.627656646207</v>
      </c>
      <c r="H813" s="39">
        <v>0.11213231751998198</v>
      </c>
      <c r="I813" s="39">
        <v>0.30151307478294753</v>
      </c>
      <c r="J813" s="39">
        <v>0.17337287488007513</v>
      </c>
    </row>
    <row r="814" spans="1:10" ht="11.25" customHeight="1" x14ac:dyDescent="0.2">
      <c r="A814" s="67">
        <v>44593</v>
      </c>
      <c r="B814" s="58">
        <v>0</v>
      </c>
      <c r="C814" s="58">
        <v>0</v>
      </c>
      <c r="D814" s="58">
        <v>30726.473699999999</v>
      </c>
      <c r="E814" s="58">
        <v>34171.904405197783</v>
      </c>
      <c r="F814" s="58">
        <v>14684.74668</v>
      </c>
      <c r="G814" s="58">
        <v>19112.389803895483</v>
      </c>
      <c r="H814" s="39">
        <v>0.11213231751998221</v>
      </c>
      <c r="I814" s="39">
        <v>0.30151307478294775</v>
      </c>
      <c r="J814" s="39">
        <v>0.17337287488007536</v>
      </c>
    </row>
    <row r="815" spans="1:10" ht="11.25" customHeight="1" x14ac:dyDescent="0.2">
      <c r="A815" s="67">
        <v>44621</v>
      </c>
      <c r="B815" s="58">
        <v>0</v>
      </c>
      <c r="C815" s="58">
        <v>0</v>
      </c>
      <c r="D815" s="58">
        <v>33761.213199999998</v>
      </c>
      <c r="E815" s="58">
        <v>37546.936278402201</v>
      </c>
      <c r="F815" s="58">
        <v>16135.104479999998</v>
      </c>
      <c r="G815" s="58">
        <v>21000.049443708915</v>
      </c>
      <c r="H815" s="39">
        <v>0.11213231751998198</v>
      </c>
      <c r="I815" s="39">
        <v>0.30151307478294775</v>
      </c>
      <c r="J815" s="39">
        <v>0.17337287488007513</v>
      </c>
    </row>
    <row r="816" spans="1:10" ht="11.25" customHeight="1" x14ac:dyDescent="0.2">
      <c r="A816" s="67">
        <v>44652</v>
      </c>
      <c r="B816" s="58">
        <v>0</v>
      </c>
      <c r="C816" s="58">
        <v>0</v>
      </c>
      <c r="D816" s="58">
        <v>35099.944749999995</v>
      </c>
      <c r="E816" s="58">
        <v>39035.782899640828</v>
      </c>
      <c r="F816" s="58">
        <v>16774.908900000002</v>
      </c>
      <c r="G816" s="58">
        <v>21832.763261642835</v>
      </c>
      <c r="H816" s="39">
        <v>0.11213231751998221</v>
      </c>
      <c r="I816" s="39">
        <v>0.30151307478294753</v>
      </c>
      <c r="J816" s="39">
        <v>0.17337287488007536</v>
      </c>
    </row>
    <row r="817" spans="1:10" ht="11.25" customHeight="1" x14ac:dyDescent="0.2">
      <c r="A817" s="67">
        <v>44682</v>
      </c>
      <c r="B817" s="58">
        <v>0</v>
      </c>
      <c r="C817" s="58">
        <v>0</v>
      </c>
      <c r="D817" s="58">
        <v>34605.876500000006</v>
      </c>
      <c r="E817" s="58">
        <v>38486.313631755285</v>
      </c>
      <c r="F817" s="58">
        <v>16538.784600000003</v>
      </c>
      <c r="G817" s="58">
        <v>21525.444397918865</v>
      </c>
      <c r="H817" s="39">
        <v>0.11213231751998176</v>
      </c>
      <c r="I817" s="39">
        <v>0.30151307478294753</v>
      </c>
      <c r="J817" s="39">
        <v>0.17337287488007491</v>
      </c>
    </row>
    <row r="818" spans="1:10" ht="11.25" customHeight="1" x14ac:dyDescent="0.2">
      <c r="A818" s="67">
        <v>44713</v>
      </c>
      <c r="B818" s="58">
        <v>0</v>
      </c>
      <c r="C818" s="58">
        <v>0</v>
      </c>
      <c r="D818" s="58">
        <v>32060.282149999995</v>
      </c>
      <c r="E818" s="58">
        <v>35655.275887824013</v>
      </c>
      <c r="F818" s="58">
        <v>15322.198259999999</v>
      </c>
      <c r="G818" s="58">
        <v>19942.041369806531</v>
      </c>
      <c r="H818" s="39">
        <v>0.11213231751998221</v>
      </c>
      <c r="I818" s="39">
        <v>0.30151307478294775</v>
      </c>
      <c r="J818" s="39">
        <v>0.17337287488007536</v>
      </c>
    </row>
    <row r="819" spans="1:10" ht="11.25" customHeight="1" x14ac:dyDescent="0.2">
      <c r="A819" s="67">
        <v>44743</v>
      </c>
      <c r="B819" s="58">
        <v>0</v>
      </c>
      <c r="C819" s="58">
        <v>0</v>
      </c>
      <c r="D819" s="58">
        <v>38882.995450000002</v>
      </c>
      <c r="E819" s="58">
        <v>43243.03584192742</v>
      </c>
      <c r="F819" s="58">
        <v>18582.898380000002</v>
      </c>
      <c r="G819" s="58">
        <v>24185.885208932861</v>
      </c>
      <c r="H819" s="39">
        <v>0.11213231751998198</v>
      </c>
      <c r="I819" s="39">
        <v>0.30151307478294775</v>
      </c>
      <c r="J819" s="39">
        <v>0.17337287488007536</v>
      </c>
    </row>
    <row r="820" spans="1:10" ht="11.25" customHeight="1" x14ac:dyDescent="0.2">
      <c r="A820" s="67">
        <v>44774</v>
      </c>
      <c r="B820" s="58">
        <v>0</v>
      </c>
      <c r="C820" s="58">
        <v>0</v>
      </c>
      <c r="D820" s="58">
        <v>37337.493700000006</v>
      </c>
      <c r="E820" s="58">
        <v>41524.233398968739</v>
      </c>
      <c r="F820" s="58">
        <v>17844.274680000002</v>
      </c>
      <c r="G820" s="58">
        <v>23224.556806038305</v>
      </c>
      <c r="H820" s="39">
        <v>0.11213231751998221</v>
      </c>
      <c r="I820" s="39">
        <v>0.30151307478294775</v>
      </c>
      <c r="J820" s="39">
        <v>0.17337287488007513</v>
      </c>
    </row>
    <row r="821" spans="1:10" ht="11.25" customHeight="1" x14ac:dyDescent="0.2">
      <c r="A821" s="67">
        <v>44805</v>
      </c>
      <c r="B821" s="58">
        <v>0</v>
      </c>
      <c r="C821" s="58">
        <v>0</v>
      </c>
      <c r="D821" s="58">
        <v>37833.671849999999</v>
      </c>
      <c r="E821" s="58">
        <v>42076.049154831009</v>
      </c>
      <c r="F821" s="58">
        <v>18081.407340000002</v>
      </c>
      <c r="G821" s="58">
        <v>23533.188063486363</v>
      </c>
      <c r="H821" s="39">
        <v>0.11213231751998221</v>
      </c>
      <c r="I821" s="39">
        <v>0.30151307478294775</v>
      </c>
      <c r="J821" s="39">
        <v>0.17337287488007513</v>
      </c>
    </row>
    <row r="822" spans="1:10" ht="11.25" customHeight="1" x14ac:dyDescent="0.2">
      <c r="A822" s="67">
        <v>44835</v>
      </c>
      <c r="B822" s="58">
        <v>0</v>
      </c>
      <c r="C822" s="58">
        <v>0</v>
      </c>
      <c r="D822" s="58">
        <v>36078.938349999997</v>
      </c>
      <c r="E822" s="58">
        <v>40124.553320846062</v>
      </c>
      <c r="F822" s="58">
        <v>17242.787939999998</v>
      </c>
      <c r="G822" s="58">
        <v>22441.713949619731</v>
      </c>
      <c r="H822" s="39">
        <v>0.11213231751998221</v>
      </c>
      <c r="I822" s="39">
        <v>0.30151307478294798</v>
      </c>
      <c r="J822" s="39">
        <v>0.17337287488007536</v>
      </c>
    </row>
    <row r="823" spans="1:10" ht="11.25" customHeight="1" x14ac:dyDescent="0.2">
      <c r="A823" s="67">
        <v>44866</v>
      </c>
      <c r="B823" s="58">
        <v>0</v>
      </c>
      <c r="C823" s="58">
        <v>0</v>
      </c>
      <c r="D823" s="58">
        <v>36078.938349999997</v>
      </c>
      <c r="E823" s="58">
        <v>40124.553320846062</v>
      </c>
      <c r="F823" s="58">
        <v>17242.787939999998</v>
      </c>
      <c r="G823" s="58">
        <v>22441.713949619731</v>
      </c>
      <c r="H823" s="39">
        <v>0.11213231751998221</v>
      </c>
      <c r="I823" s="39">
        <v>0.30151307478294798</v>
      </c>
      <c r="J823" s="39">
        <v>0.17337287488007536</v>
      </c>
    </row>
    <row r="824" spans="1:10" ht="11.25" customHeight="1" x14ac:dyDescent="0.2">
      <c r="A824" s="66" t="s">
        <v>38</v>
      </c>
      <c r="B824" s="58">
        <v>0</v>
      </c>
      <c r="C824" s="58">
        <v>0</v>
      </c>
      <c r="D824" s="58">
        <v>29674.011900000005</v>
      </c>
      <c r="E824" s="58">
        <v>30958.292556879951</v>
      </c>
      <c r="F824" s="58">
        <v>6026.9677200000006</v>
      </c>
      <c r="G824" s="58">
        <v>7844.1772888747728</v>
      </c>
      <c r="H824" s="39">
        <v>4.3279643521337841E-2</v>
      </c>
      <c r="I824" s="39">
        <v>0.30151307478294753</v>
      </c>
      <c r="J824" s="39">
        <v>8.6874093057581758E-2</v>
      </c>
    </row>
    <row r="825" spans="1:10" ht="11.25" customHeight="1" x14ac:dyDescent="0.2">
      <c r="A825" s="67">
        <v>44531</v>
      </c>
      <c r="B825" s="58">
        <v>0</v>
      </c>
      <c r="C825" s="58">
        <v>0</v>
      </c>
      <c r="D825" s="58">
        <v>2722.3105000000005</v>
      </c>
      <c r="E825" s="58">
        <v>2840.1311279943957</v>
      </c>
      <c r="F825" s="58">
        <v>552.91740000000004</v>
      </c>
      <c r="G825" s="58">
        <v>719.62922537499298</v>
      </c>
      <c r="H825" s="39">
        <v>4.3279643521337841E-2</v>
      </c>
      <c r="I825" s="39">
        <v>0.30151307478294753</v>
      </c>
      <c r="J825" s="39">
        <v>8.6874093057581758E-2</v>
      </c>
    </row>
    <row r="826" spans="1:10" ht="11.25" customHeight="1" x14ac:dyDescent="0.2">
      <c r="A826" s="67">
        <v>44562</v>
      </c>
      <c r="B826" s="58">
        <v>0</v>
      </c>
      <c r="C826" s="58">
        <v>0</v>
      </c>
      <c r="D826" s="58">
        <v>2292.0365000000002</v>
      </c>
      <c r="E826" s="58">
        <v>2391.2350226578956</v>
      </c>
      <c r="F826" s="58">
        <v>465.52620000000007</v>
      </c>
      <c r="G826" s="58">
        <v>605.88843595402147</v>
      </c>
      <c r="H826" s="39">
        <v>4.3279643521338063E-2</v>
      </c>
      <c r="I826" s="39">
        <v>0.30151307478294753</v>
      </c>
      <c r="J826" s="39">
        <v>8.687409305758198E-2</v>
      </c>
    </row>
    <row r="827" spans="1:10" ht="11.25" customHeight="1" x14ac:dyDescent="0.2">
      <c r="A827" s="67">
        <v>44593</v>
      </c>
      <c r="B827" s="58">
        <v>0</v>
      </c>
      <c r="C827" s="58">
        <v>0</v>
      </c>
      <c r="D827" s="58">
        <v>2335.0639000000001</v>
      </c>
      <c r="E827" s="58">
        <v>2436.1246331915454</v>
      </c>
      <c r="F827" s="58">
        <v>474.26532000000003</v>
      </c>
      <c r="G827" s="58">
        <v>617.26251489611866</v>
      </c>
      <c r="H827" s="39">
        <v>4.3279643521338063E-2</v>
      </c>
      <c r="I827" s="39">
        <v>0.30151307478294775</v>
      </c>
      <c r="J827" s="39">
        <v>8.687409305758198E-2</v>
      </c>
    </row>
    <row r="828" spans="1:10" ht="11.25" customHeight="1" x14ac:dyDescent="0.2">
      <c r="A828" s="67">
        <v>44621</v>
      </c>
      <c r="B828" s="58">
        <v>0</v>
      </c>
      <c r="C828" s="58">
        <v>0</v>
      </c>
      <c r="D828" s="58">
        <v>1784.8096500000001</v>
      </c>
      <c r="E828" s="58">
        <v>1862.0555754054444</v>
      </c>
      <c r="F828" s="58">
        <v>362.50542000000002</v>
      </c>
      <c r="G828" s="58">
        <v>471.80554380968391</v>
      </c>
      <c r="H828" s="39">
        <v>4.3279643521338063E-2</v>
      </c>
      <c r="I828" s="39">
        <v>0.30151307478294775</v>
      </c>
      <c r="J828" s="39">
        <v>8.687409305758198E-2</v>
      </c>
    </row>
    <row r="829" spans="1:10" ht="11.25" customHeight="1" x14ac:dyDescent="0.2">
      <c r="A829" s="67">
        <v>44652</v>
      </c>
      <c r="B829" s="58">
        <v>0</v>
      </c>
      <c r="C829" s="58">
        <v>0</v>
      </c>
      <c r="D829" s="58">
        <v>3491.8390000000009</v>
      </c>
      <c r="E829" s="58">
        <v>3642.9645471539056</v>
      </c>
      <c r="F829" s="58">
        <v>709.21320000000003</v>
      </c>
      <c r="G829" s="58">
        <v>923.05025260865375</v>
      </c>
      <c r="H829" s="39">
        <v>4.3279643521337841E-2</v>
      </c>
      <c r="I829" s="39">
        <v>0.30151307478294775</v>
      </c>
      <c r="J829" s="39">
        <v>8.6874093057581536E-2</v>
      </c>
    </row>
    <row r="830" spans="1:10" ht="11.25" customHeight="1" x14ac:dyDescent="0.2">
      <c r="A830" s="67">
        <v>44682</v>
      </c>
      <c r="B830" s="58">
        <v>0</v>
      </c>
      <c r="C830" s="58">
        <v>0</v>
      </c>
      <c r="D830" s="58">
        <v>1921.3389000000002</v>
      </c>
      <c r="E830" s="58">
        <v>2004.4937626756796</v>
      </c>
      <c r="F830" s="58">
        <v>390.23532000000006</v>
      </c>
      <c r="G830" s="58">
        <v>507.89637122210746</v>
      </c>
      <c r="H830" s="39">
        <v>4.3279643521337841E-2</v>
      </c>
      <c r="I830" s="39">
        <v>0.30151307478294731</v>
      </c>
      <c r="J830" s="39">
        <v>8.6874093057581536E-2</v>
      </c>
    </row>
    <row r="831" spans="1:10" ht="11.25" customHeight="1" x14ac:dyDescent="0.2">
      <c r="A831" s="67">
        <v>44713</v>
      </c>
      <c r="B831" s="58">
        <v>0</v>
      </c>
      <c r="C831" s="58">
        <v>0</v>
      </c>
      <c r="D831" s="58">
        <v>1991.6721500000001</v>
      </c>
      <c r="E831" s="58">
        <v>2077.8710106633771</v>
      </c>
      <c r="F831" s="58">
        <v>404.52042</v>
      </c>
      <c r="G831" s="58">
        <v>526.48861564668937</v>
      </c>
      <c r="H831" s="39">
        <v>4.3279643521338063E-2</v>
      </c>
      <c r="I831" s="39">
        <v>0.30151307478294753</v>
      </c>
      <c r="J831" s="39">
        <v>8.6874093057581758E-2</v>
      </c>
    </row>
    <row r="832" spans="1:10" ht="11.25" customHeight="1" x14ac:dyDescent="0.2">
      <c r="A832" s="67">
        <v>44743</v>
      </c>
      <c r="B832" s="58">
        <v>0</v>
      </c>
      <c r="C832" s="58">
        <v>0</v>
      </c>
      <c r="D832" s="58">
        <v>3432.2626000000005</v>
      </c>
      <c r="E832" s="58">
        <v>3580.8097017996211</v>
      </c>
      <c r="F832" s="58">
        <v>697.11288000000013</v>
      </c>
      <c r="G832" s="58">
        <v>907.3015279195962</v>
      </c>
      <c r="H832" s="39">
        <v>4.3279643521338063E-2</v>
      </c>
      <c r="I832" s="39">
        <v>0.30151307478294775</v>
      </c>
      <c r="J832" s="39">
        <v>8.687409305758198E-2</v>
      </c>
    </row>
    <row r="833" spans="1:10" ht="11.25" customHeight="1" x14ac:dyDescent="0.2">
      <c r="A833" s="67">
        <v>44774</v>
      </c>
      <c r="B833" s="58">
        <v>0</v>
      </c>
      <c r="C833" s="58">
        <v>0</v>
      </c>
      <c r="D833" s="58">
        <v>1684.6882000000001</v>
      </c>
      <c r="E833" s="58">
        <v>1757.6009047406044</v>
      </c>
      <c r="F833" s="58">
        <v>342.17015999999995</v>
      </c>
      <c r="G833" s="58">
        <v>445.33893704057317</v>
      </c>
      <c r="H833" s="39">
        <v>4.3279643521337841E-2</v>
      </c>
      <c r="I833" s="39">
        <v>0.30151307478294775</v>
      </c>
      <c r="J833" s="39">
        <v>8.6874093057581758E-2</v>
      </c>
    </row>
    <row r="834" spans="1:10" ht="11.25" customHeight="1" x14ac:dyDescent="0.2">
      <c r="A834" s="67">
        <v>44805</v>
      </c>
      <c r="B834" s="58">
        <v>0</v>
      </c>
      <c r="C834" s="58">
        <v>0</v>
      </c>
      <c r="D834" s="58">
        <v>2416.1540000000005</v>
      </c>
      <c r="E834" s="58">
        <v>2520.7242838126549</v>
      </c>
      <c r="F834" s="58">
        <v>490.73520000000002</v>
      </c>
      <c r="G834" s="58">
        <v>638.69827905622492</v>
      </c>
      <c r="H834" s="39">
        <v>4.3279643521337841E-2</v>
      </c>
      <c r="I834" s="39">
        <v>0.30151307478294798</v>
      </c>
      <c r="J834" s="39">
        <v>8.6874093057581758E-2</v>
      </c>
    </row>
    <row r="835" spans="1:10" ht="11.25" customHeight="1" x14ac:dyDescent="0.2">
      <c r="A835" s="67">
        <v>44835</v>
      </c>
      <c r="B835" s="58">
        <v>0</v>
      </c>
      <c r="C835" s="58">
        <v>0</v>
      </c>
      <c r="D835" s="58">
        <v>2800.9182500000002</v>
      </c>
      <c r="E835" s="58">
        <v>2922.1409933924101</v>
      </c>
      <c r="F835" s="58">
        <v>568.88310000000001</v>
      </c>
      <c r="G835" s="58">
        <v>740.40879267305502</v>
      </c>
      <c r="H835" s="39">
        <v>4.3279643521338063E-2</v>
      </c>
      <c r="I835" s="39">
        <v>0.30151307478294753</v>
      </c>
      <c r="J835" s="39">
        <v>8.6874093057581758E-2</v>
      </c>
    </row>
    <row r="836" spans="1:10" ht="11.25" customHeight="1" x14ac:dyDescent="0.2">
      <c r="A836" s="67">
        <v>44866</v>
      </c>
      <c r="B836" s="58">
        <v>0</v>
      </c>
      <c r="C836" s="58">
        <v>0</v>
      </c>
      <c r="D836" s="58">
        <v>2800.9182500000002</v>
      </c>
      <c r="E836" s="58">
        <v>2922.1409933924101</v>
      </c>
      <c r="F836" s="58">
        <v>568.88310000000001</v>
      </c>
      <c r="G836" s="58">
        <v>740.40879267305502</v>
      </c>
      <c r="H836" s="39">
        <v>4.3279643521338063E-2</v>
      </c>
      <c r="I836" s="39">
        <v>0.30151307478294753</v>
      </c>
      <c r="J836" s="39">
        <v>8.6874093057581758E-2</v>
      </c>
    </row>
    <row r="837" spans="1:10" ht="11.25" customHeight="1" x14ac:dyDescent="0.2">
      <c r="A837" s="66" t="s">
        <v>36</v>
      </c>
      <c r="B837" s="58">
        <v>0</v>
      </c>
      <c r="C837" s="58">
        <v>0</v>
      </c>
      <c r="D837" s="58">
        <v>89666.2065</v>
      </c>
      <c r="E837" s="58">
        <v>91881.090983705377</v>
      </c>
      <c r="F837" s="58">
        <v>18597.1806</v>
      </c>
      <c r="G837" s="58">
        <v>24954.747789290344</v>
      </c>
      <c r="H837" s="39">
        <v>2.4701440711728528E-2</v>
      </c>
      <c r="I837" s="39">
        <v>0.34185650642605125</v>
      </c>
      <c r="J837" s="39">
        <v>7.9181447233657609E-2</v>
      </c>
    </row>
    <row r="838" spans="1:10" ht="11.25" customHeight="1" x14ac:dyDescent="0.2">
      <c r="A838" s="67">
        <v>44531</v>
      </c>
      <c r="B838" s="58">
        <v>0</v>
      </c>
      <c r="C838" s="58">
        <v>0</v>
      </c>
      <c r="D838" s="58">
        <v>8073.63375</v>
      </c>
      <c r="E838" s="58">
        <v>8273.064135403838</v>
      </c>
      <c r="F838" s="58">
        <v>1674.5085000000001</v>
      </c>
      <c r="G838" s="58">
        <v>2246.9501257907286</v>
      </c>
      <c r="H838" s="39">
        <v>2.470144071172875E-2</v>
      </c>
      <c r="I838" s="39">
        <v>0.34185650642605192</v>
      </c>
      <c r="J838" s="39">
        <v>7.9181447233657831E-2</v>
      </c>
    </row>
    <row r="839" spans="1:10" ht="11.25" customHeight="1" x14ac:dyDescent="0.2">
      <c r="A839" s="67">
        <v>44562</v>
      </c>
      <c r="B839" s="58">
        <v>0</v>
      </c>
      <c r="C839" s="58">
        <v>0</v>
      </c>
      <c r="D839" s="58">
        <v>7710.027</v>
      </c>
      <c r="E839" s="58">
        <v>7900.4757748263291</v>
      </c>
      <c r="F839" s="58">
        <v>1599.0948000000003</v>
      </c>
      <c r="G839" s="58">
        <v>2145.7557617720663</v>
      </c>
      <c r="H839" s="39">
        <v>2.4701440711728972E-2</v>
      </c>
      <c r="I839" s="39">
        <v>0.3418565064260517</v>
      </c>
      <c r="J839" s="39">
        <v>7.9181447233658053E-2</v>
      </c>
    </row>
    <row r="840" spans="1:10" ht="11.25" customHeight="1" x14ac:dyDescent="0.2">
      <c r="A840" s="67">
        <v>44593</v>
      </c>
      <c r="B840" s="58">
        <v>0</v>
      </c>
      <c r="C840" s="58">
        <v>0</v>
      </c>
      <c r="D840" s="58">
        <v>7110.5320000000002</v>
      </c>
      <c r="E840" s="58">
        <v>7286.1723846268505</v>
      </c>
      <c r="F840" s="58">
        <v>1474.7568000000001</v>
      </c>
      <c r="G840" s="58">
        <v>1978.9120074760638</v>
      </c>
      <c r="H840" s="39">
        <v>2.470144071172875E-2</v>
      </c>
      <c r="I840" s="39">
        <v>0.34185650642605192</v>
      </c>
      <c r="J840" s="39">
        <v>7.9181447233657831E-2</v>
      </c>
    </row>
    <row r="841" spans="1:10" ht="11.25" customHeight="1" x14ac:dyDescent="0.2">
      <c r="A841" s="67">
        <v>44621</v>
      </c>
      <c r="B841" s="58">
        <v>0</v>
      </c>
      <c r="C841" s="58">
        <v>0</v>
      </c>
      <c r="D841" s="58">
        <v>6438.0549999999994</v>
      </c>
      <c r="E841" s="58">
        <v>6597.0842338813491</v>
      </c>
      <c r="F841" s="58">
        <v>1335.2820000000002</v>
      </c>
      <c r="G841" s="58">
        <v>1791.7568396135912</v>
      </c>
      <c r="H841" s="39">
        <v>2.4701440711728972E-2</v>
      </c>
      <c r="I841" s="39">
        <v>0.34185650642605148</v>
      </c>
      <c r="J841" s="39">
        <v>7.9181447233657831E-2</v>
      </c>
    </row>
    <row r="842" spans="1:10" ht="11.25" customHeight="1" x14ac:dyDescent="0.2">
      <c r="A842" s="67">
        <v>44652</v>
      </c>
      <c r="B842" s="58">
        <v>0</v>
      </c>
      <c r="C842" s="58">
        <v>0</v>
      </c>
      <c r="D842" s="58">
        <v>8418.9950000000008</v>
      </c>
      <c r="E842" s="58">
        <v>8626.9563058448421</v>
      </c>
      <c r="F842" s="58">
        <v>1746.1380000000001</v>
      </c>
      <c r="G842" s="58">
        <v>2343.0666364177737</v>
      </c>
      <c r="H842" s="39">
        <v>2.470144071172875E-2</v>
      </c>
      <c r="I842" s="39">
        <v>0.34185650642605192</v>
      </c>
      <c r="J842" s="39">
        <v>7.9181447233657831E-2</v>
      </c>
    </row>
    <row r="843" spans="1:10" ht="11.25" customHeight="1" x14ac:dyDescent="0.2">
      <c r="A843" s="67">
        <v>44682</v>
      </c>
      <c r="B843" s="58">
        <v>0</v>
      </c>
      <c r="C843" s="58">
        <v>0</v>
      </c>
      <c r="D843" s="58">
        <v>5415.0037500000008</v>
      </c>
      <c r="E843" s="58">
        <v>5548.762144084415</v>
      </c>
      <c r="F843" s="58">
        <v>1123.0965000000003</v>
      </c>
      <c r="G843" s="58">
        <v>1507.0343458693264</v>
      </c>
      <c r="H843" s="39">
        <v>2.470144071172875E-2</v>
      </c>
      <c r="I843" s="39">
        <v>0.34185650642605148</v>
      </c>
      <c r="J843" s="39">
        <v>7.9181447233657831E-2</v>
      </c>
    </row>
    <row r="844" spans="1:10" ht="11.25" customHeight="1" x14ac:dyDescent="0.2">
      <c r="A844" s="67">
        <v>44713</v>
      </c>
      <c r="B844" s="58">
        <v>0</v>
      </c>
      <c r="C844" s="58">
        <v>0</v>
      </c>
      <c r="D844" s="58">
        <v>7551.0304999999989</v>
      </c>
      <c r="E844" s="58">
        <v>7737.5518322082062</v>
      </c>
      <c r="F844" s="58">
        <v>1566.1181999999999</v>
      </c>
      <c r="G844" s="58">
        <v>2101.5058965022567</v>
      </c>
      <c r="H844" s="39">
        <v>2.4701440711728972E-2</v>
      </c>
      <c r="I844" s="39">
        <v>0.34185650642605192</v>
      </c>
      <c r="J844" s="39">
        <v>7.9181447233658053E-2</v>
      </c>
    </row>
    <row r="845" spans="1:10" ht="11.25" customHeight="1" x14ac:dyDescent="0.2">
      <c r="A845" s="67">
        <v>44743</v>
      </c>
      <c r="B845" s="58">
        <v>0</v>
      </c>
      <c r="C845" s="58">
        <v>0</v>
      </c>
      <c r="D845" s="58">
        <v>9337.786250000001</v>
      </c>
      <c r="E845" s="58">
        <v>9568.4430234331739</v>
      </c>
      <c r="F845" s="58">
        <v>1936.6994999999997</v>
      </c>
      <c r="G845" s="58">
        <v>2598.7728250670816</v>
      </c>
      <c r="H845" s="39">
        <v>2.4701440711728972E-2</v>
      </c>
      <c r="I845" s="39">
        <v>0.34185650642605214</v>
      </c>
      <c r="J845" s="39">
        <v>7.9181447233658053E-2</v>
      </c>
    </row>
    <row r="846" spans="1:10" ht="11.25" customHeight="1" x14ac:dyDescent="0.2">
      <c r="A846" s="67">
        <v>44774</v>
      </c>
      <c r="B846" s="58">
        <v>0</v>
      </c>
      <c r="C846" s="58">
        <v>0</v>
      </c>
      <c r="D846" s="58">
        <v>8051.4785000000002</v>
      </c>
      <c r="E846" s="58">
        <v>8250.3616188095093</v>
      </c>
      <c r="F846" s="58">
        <v>1669.9134000000001</v>
      </c>
      <c r="G846" s="58">
        <v>2240.7841609580501</v>
      </c>
      <c r="H846" s="39">
        <v>2.470144071172875E-2</v>
      </c>
      <c r="I846" s="39">
        <v>0.3418565064260517</v>
      </c>
      <c r="J846" s="39">
        <v>7.9181447233657831E-2</v>
      </c>
    </row>
    <row r="847" spans="1:10" ht="11.25" customHeight="1" x14ac:dyDescent="0.2">
      <c r="A847" s="67">
        <v>44805</v>
      </c>
      <c r="B847" s="58">
        <v>0</v>
      </c>
      <c r="C847" s="58">
        <v>0</v>
      </c>
      <c r="D847" s="58">
        <v>6663.5172499999999</v>
      </c>
      <c r="E847" s="58">
        <v>6828.1157262824581</v>
      </c>
      <c r="F847" s="58">
        <v>1382.0439000000001</v>
      </c>
      <c r="G847" s="58">
        <v>1854.504599381436</v>
      </c>
      <c r="H847" s="39">
        <v>2.4701440711728972E-2</v>
      </c>
      <c r="I847" s="39">
        <v>0.34185650642605192</v>
      </c>
      <c r="J847" s="39">
        <v>7.9181447233658275E-2</v>
      </c>
    </row>
    <row r="848" spans="1:10" ht="11.25" customHeight="1" x14ac:dyDescent="0.2">
      <c r="A848" s="67">
        <v>44835</v>
      </c>
      <c r="B848" s="58">
        <v>0</v>
      </c>
      <c r="C848" s="58">
        <v>0</v>
      </c>
      <c r="D848" s="58">
        <v>7448.0737499999996</v>
      </c>
      <c r="E848" s="58">
        <v>7632.0519021522086</v>
      </c>
      <c r="F848" s="58">
        <v>1544.7645000000002</v>
      </c>
      <c r="G848" s="58">
        <v>2072.8522952209869</v>
      </c>
      <c r="H848" s="39">
        <v>2.4701440711728972E-2</v>
      </c>
      <c r="I848" s="39">
        <v>0.3418565064260517</v>
      </c>
      <c r="J848" s="39">
        <v>7.9181447233657831E-2</v>
      </c>
    </row>
    <row r="849" spans="1:10" ht="11.25" customHeight="1" x14ac:dyDescent="0.2">
      <c r="A849" s="67">
        <v>44866</v>
      </c>
      <c r="B849" s="58">
        <v>0</v>
      </c>
      <c r="C849" s="58">
        <v>0</v>
      </c>
      <c r="D849" s="58">
        <v>7448.0737499999996</v>
      </c>
      <c r="E849" s="58">
        <v>7632.0519021522086</v>
      </c>
      <c r="F849" s="58">
        <v>1544.7645000000002</v>
      </c>
      <c r="G849" s="58">
        <v>2072.8522952209869</v>
      </c>
      <c r="H849" s="39">
        <v>2.4701440711728972E-2</v>
      </c>
      <c r="I849" s="39">
        <v>0.3418565064260517</v>
      </c>
      <c r="J849" s="39">
        <v>7.9181447233657831E-2</v>
      </c>
    </row>
    <row r="850" spans="1:10" ht="11.25" customHeight="1" x14ac:dyDescent="0.2">
      <c r="A850" s="62" t="s">
        <v>40</v>
      </c>
      <c r="B850" s="58">
        <v>0</v>
      </c>
      <c r="C850" s="58">
        <v>0</v>
      </c>
      <c r="D850" s="58">
        <v>1418.3169000000003</v>
      </c>
      <c r="E850" s="58">
        <v>1563.9106347311154</v>
      </c>
      <c r="F850" s="58">
        <v>629.28683999999953</v>
      </c>
      <c r="G850" s="58">
        <v>819.57029152750101</v>
      </c>
      <c r="H850" s="39">
        <v>0.10265247120098131</v>
      </c>
      <c r="I850" s="39">
        <v>0.30237951826149989</v>
      </c>
      <c r="J850" s="39">
        <v>0.16403427074157251</v>
      </c>
    </row>
    <row r="851" spans="1:10" ht="11.25" customHeight="1" x14ac:dyDescent="0.2">
      <c r="A851" s="63" t="s">
        <v>25</v>
      </c>
      <c r="B851" s="58">
        <v>0</v>
      </c>
      <c r="C851" s="58">
        <v>0</v>
      </c>
      <c r="D851" s="58">
        <v>1418.3169000000003</v>
      </c>
      <c r="E851" s="58">
        <v>1563.9106347311154</v>
      </c>
      <c r="F851" s="58">
        <v>629.28683999999953</v>
      </c>
      <c r="G851" s="58">
        <v>819.57029152750101</v>
      </c>
      <c r="H851" s="39">
        <v>0.10265247120098131</v>
      </c>
      <c r="I851" s="39">
        <v>0.30237951826149989</v>
      </c>
      <c r="J851" s="39">
        <v>0.16403427074157251</v>
      </c>
    </row>
    <row r="852" spans="1:10" ht="11.25" customHeight="1" x14ac:dyDescent="0.2">
      <c r="A852" s="64" t="s">
        <v>25</v>
      </c>
      <c r="B852" s="58">
        <v>0</v>
      </c>
      <c r="C852" s="58">
        <v>0</v>
      </c>
      <c r="D852" s="58">
        <v>1418.3169000000003</v>
      </c>
      <c r="E852" s="58">
        <v>1563.9106347311154</v>
      </c>
      <c r="F852" s="58">
        <v>629.28683999999953</v>
      </c>
      <c r="G852" s="58">
        <v>819.57029152750101</v>
      </c>
      <c r="H852" s="39">
        <v>0.10265247120098131</v>
      </c>
      <c r="I852" s="39">
        <v>0.30237951826149989</v>
      </c>
      <c r="J852" s="39">
        <v>0.16403427074157251</v>
      </c>
    </row>
    <row r="853" spans="1:10" ht="11.25" customHeight="1" x14ac:dyDescent="0.2">
      <c r="A853" s="65" t="s">
        <v>25</v>
      </c>
      <c r="B853" s="58">
        <v>0</v>
      </c>
      <c r="C853" s="58">
        <v>0</v>
      </c>
      <c r="D853" s="58">
        <v>1418.3169000000003</v>
      </c>
      <c r="E853" s="58">
        <v>1563.9106347311154</v>
      </c>
      <c r="F853" s="58">
        <v>629.28683999999953</v>
      </c>
      <c r="G853" s="58">
        <v>819.57029152750101</v>
      </c>
      <c r="H853" s="39">
        <v>0.10265247120098131</v>
      </c>
      <c r="I853" s="39">
        <v>0.30237951826149989</v>
      </c>
      <c r="J853" s="39">
        <v>0.16403427074157251</v>
      </c>
    </row>
    <row r="854" spans="1:10" ht="11.25" customHeight="1" x14ac:dyDescent="0.2">
      <c r="A854" s="66" t="s">
        <v>37</v>
      </c>
      <c r="B854" s="58">
        <v>0</v>
      </c>
      <c r="C854" s="58">
        <v>0</v>
      </c>
      <c r="D854" s="58">
        <v>1240.6212</v>
      </c>
      <c r="E854" s="58">
        <v>1379.7349303204212</v>
      </c>
      <c r="F854" s="58">
        <v>592.91567999999995</v>
      </c>
      <c r="G854" s="58">
        <v>771.68750976382216</v>
      </c>
      <c r="H854" s="39">
        <v>0.11213231751998198</v>
      </c>
      <c r="I854" s="39">
        <v>0.30151307478294753</v>
      </c>
      <c r="J854" s="39">
        <v>0.17337287488007491</v>
      </c>
    </row>
    <row r="855" spans="1:10" ht="11.25" customHeight="1" x14ac:dyDescent="0.2">
      <c r="A855" s="67">
        <v>44531</v>
      </c>
      <c r="B855" s="58">
        <v>0</v>
      </c>
      <c r="C855" s="58">
        <v>0</v>
      </c>
      <c r="D855" s="58">
        <v>99.51694999999998</v>
      </c>
      <c r="E855" s="58">
        <v>110.67601623602017</v>
      </c>
      <c r="F855" s="58">
        <v>47.560979999999994</v>
      </c>
      <c r="G855" s="58">
        <v>61.901237319490278</v>
      </c>
      <c r="H855" s="39">
        <v>0.11213231751998221</v>
      </c>
      <c r="I855" s="39">
        <v>0.30151307478294775</v>
      </c>
      <c r="J855" s="39">
        <v>0.17337287488007536</v>
      </c>
    </row>
    <row r="856" spans="1:10" ht="11.25" customHeight="1" x14ac:dyDescent="0.2">
      <c r="A856" s="67">
        <v>44562</v>
      </c>
      <c r="B856" s="58">
        <v>0</v>
      </c>
      <c r="C856" s="58">
        <v>0</v>
      </c>
      <c r="D856" s="58">
        <v>133.97864999999999</v>
      </c>
      <c r="E856" s="58">
        <v>149.00198652269856</v>
      </c>
      <c r="F856" s="58">
        <v>64.030860000000004</v>
      </c>
      <c r="G856" s="58">
        <v>83.337001479596452</v>
      </c>
      <c r="H856" s="39">
        <v>0.11213231751998221</v>
      </c>
      <c r="I856" s="39">
        <v>0.30151307478294753</v>
      </c>
      <c r="J856" s="39">
        <v>0.17337287488007536</v>
      </c>
    </row>
    <row r="857" spans="1:10" ht="11.25" customHeight="1" x14ac:dyDescent="0.2">
      <c r="A857" s="67">
        <v>44593</v>
      </c>
      <c r="B857" s="58">
        <v>0</v>
      </c>
      <c r="C857" s="58">
        <v>0</v>
      </c>
      <c r="D857" s="58">
        <v>107.25324999999999</v>
      </c>
      <c r="E857" s="58">
        <v>119.27980548405002</v>
      </c>
      <c r="F857" s="58">
        <v>51.258299999999998</v>
      </c>
      <c r="G857" s="58">
        <v>66.713347641146768</v>
      </c>
      <c r="H857" s="39">
        <v>0.11213231751998221</v>
      </c>
      <c r="I857" s="39">
        <v>0.30151307478294775</v>
      </c>
      <c r="J857" s="39">
        <v>0.17337287488007513</v>
      </c>
    </row>
    <row r="858" spans="1:10" ht="11.25" customHeight="1" x14ac:dyDescent="0.2">
      <c r="A858" s="67">
        <v>44621</v>
      </c>
      <c r="B858" s="58">
        <v>0</v>
      </c>
      <c r="C858" s="58">
        <v>0</v>
      </c>
      <c r="D858" s="58">
        <v>101.27519999999998</v>
      </c>
      <c r="E858" s="58">
        <v>112.63142288329968</v>
      </c>
      <c r="F858" s="58">
        <v>48.40128</v>
      </c>
      <c r="G858" s="58">
        <v>62.994898756230391</v>
      </c>
      <c r="H858" s="39">
        <v>0.11213231751998221</v>
      </c>
      <c r="I858" s="39">
        <v>0.30151307478294775</v>
      </c>
      <c r="J858" s="39">
        <v>0.17337287488007536</v>
      </c>
    </row>
    <row r="859" spans="1:10" ht="11.25" customHeight="1" x14ac:dyDescent="0.2">
      <c r="A859" s="67">
        <v>44652</v>
      </c>
      <c r="B859" s="58">
        <v>0</v>
      </c>
      <c r="C859" s="58">
        <v>0</v>
      </c>
      <c r="D859" s="58">
        <v>100.92354999999999</v>
      </c>
      <c r="E859" s="58">
        <v>112.24034155384378</v>
      </c>
      <c r="F859" s="58">
        <v>48.233219999999996</v>
      </c>
      <c r="G859" s="58">
        <v>62.776166468882366</v>
      </c>
      <c r="H859" s="39">
        <v>0.11213231751998198</v>
      </c>
      <c r="I859" s="39">
        <v>0.30151307478294775</v>
      </c>
      <c r="J859" s="39">
        <v>0.17337287488007536</v>
      </c>
    </row>
    <row r="860" spans="1:10" ht="11.25" customHeight="1" x14ac:dyDescent="0.2">
      <c r="A860" s="67">
        <v>44682</v>
      </c>
      <c r="B860" s="58">
        <v>0</v>
      </c>
      <c r="C860" s="58">
        <v>0</v>
      </c>
      <c r="D860" s="58">
        <v>108.65984999999999</v>
      </c>
      <c r="E860" s="58">
        <v>120.84413080187363</v>
      </c>
      <c r="F860" s="58">
        <v>51.930540000000001</v>
      </c>
      <c r="G860" s="58">
        <v>67.588276790538856</v>
      </c>
      <c r="H860" s="39">
        <v>0.11213231751998221</v>
      </c>
      <c r="I860" s="39">
        <v>0.30151307478294775</v>
      </c>
      <c r="J860" s="39">
        <v>0.17337287488007536</v>
      </c>
    </row>
    <row r="861" spans="1:10" ht="11.25" customHeight="1" x14ac:dyDescent="0.2">
      <c r="A861" s="67">
        <v>44713</v>
      </c>
      <c r="B861" s="58">
        <v>0</v>
      </c>
      <c r="C861" s="58">
        <v>0</v>
      </c>
      <c r="D861" s="58">
        <v>84.747649999999993</v>
      </c>
      <c r="E861" s="58">
        <v>94.250600398872308</v>
      </c>
      <c r="F861" s="58">
        <v>40.502459999999999</v>
      </c>
      <c r="G861" s="58">
        <v>52.714481250873348</v>
      </c>
      <c r="H861" s="39">
        <v>0.11213231751998221</v>
      </c>
      <c r="I861" s="39">
        <v>0.30151307478294775</v>
      </c>
      <c r="J861" s="39">
        <v>0.17337287488007536</v>
      </c>
    </row>
    <row r="862" spans="1:10" ht="11.25" customHeight="1" x14ac:dyDescent="0.2">
      <c r="A862" s="67">
        <v>44743</v>
      </c>
      <c r="B862" s="58">
        <v>0</v>
      </c>
      <c r="C862" s="58">
        <v>0</v>
      </c>
      <c r="D862" s="58">
        <v>101.97849999999998</v>
      </c>
      <c r="E862" s="58">
        <v>113.41358554221149</v>
      </c>
      <c r="F862" s="58">
        <v>48.737399999999994</v>
      </c>
      <c r="G862" s="58">
        <v>63.432363330926435</v>
      </c>
      <c r="H862" s="39">
        <v>0.11213231751998221</v>
      </c>
      <c r="I862" s="39">
        <v>0.30151307478294775</v>
      </c>
      <c r="J862" s="39">
        <v>0.17337287488007536</v>
      </c>
    </row>
    <row r="863" spans="1:10" ht="11.25" customHeight="1" x14ac:dyDescent="0.2">
      <c r="A863" s="67">
        <v>44774</v>
      </c>
      <c r="B863" s="58">
        <v>0</v>
      </c>
      <c r="C863" s="58">
        <v>0</v>
      </c>
      <c r="D863" s="58">
        <v>103.73674999999999</v>
      </c>
      <c r="E863" s="58">
        <v>115.368992189491</v>
      </c>
      <c r="F863" s="58">
        <v>49.5777</v>
      </c>
      <c r="G863" s="58">
        <v>64.526024767666541</v>
      </c>
      <c r="H863" s="39">
        <v>0.11213231751998221</v>
      </c>
      <c r="I863" s="39">
        <v>0.30151307478294753</v>
      </c>
      <c r="J863" s="39">
        <v>0.17337287488007513</v>
      </c>
    </row>
    <row r="864" spans="1:10" ht="11.25" customHeight="1" x14ac:dyDescent="0.2">
      <c r="A864" s="67">
        <v>44805</v>
      </c>
      <c r="B864" s="58">
        <v>0</v>
      </c>
      <c r="C864" s="58">
        <v>0</v>
      </c>
      <c r="D864" s="58">
        <v>101.62684999999999</v>
      </c>
      <c r="E864" s="58">
        <v>113.02250421275559</v>
      </c>
      <c r="F864" s="58">
        <v>48.569339999999997</v>
      </c>
      <c r="G864" s="58">
        <v>63.21363104357841</v>
      </c>
      <c r="H864" s="39">
        <v>0.11213231751998221</v>
      </c>
      <c r="I864" s="39">
        <v>0.30151307478294775</v>
      </c>
      <c r="J864" s="39">
        <v>0.17337287488007513</v>
      </c>
    </row>
    <row r="865" spans="1:10" ht="11.25" customHeight="1" x14ac:dyDescent="0.2">
      <c r="A865" s="67">
        <v>44835</v>
      </c>
      <c r="B865" s="58">
        <v>0</v>
      </c>
      <c r="C865" s="58">
        <v>0</v>
      </c>
      <c r="D865" s="58">
        <v>98.462000000000003</v>
      </c>
      <c r="E865" s="58">
        <v>109.50277224765249</v>
      </c>
      <c r="F865" s="58">
        <v>47.056800000000003</v>
      </c>
      <c r="G865" s="58">
        <v>61.245040457446223</v>
      </c>
      <c r="H865" s="39">
        <v>0.11213231751998221</v>
      </c>
      <c r="I865" s="39">
        <v>0.30151307478294775</v>
      </c>
      <c r="J865" s="39">
        <v>0.17337287488007536</v>
      </c>
    </row>
    <row r="866" spans="1:10" ht="11.25" customHeight="1" x14ac:dyDescent="0.2">
      <c r="A866" s="67">
        <v>44866</v>
      </c>
      <c r="B866" s="58">
        <v>0</v>
      </c>
      <c r="C866" s="58">
        <v>0</v>
      </c>
      <c r="D866" s="58">
        <v>98.462000000000003</v>
      </c>
      <c r="E866" s="58">
        <v>109.50277224765249</v>
      </c>
      <c r="F866" s="58">
        <v>47.056800000000003</v>
      </c>
      <c r="G866" s="58">
        <v>61.245040457446223</v>
      </c>
      <c r="H866" s="39">
        <v>0.11213231751998221</v>
      </c>
      <c r="I866" s="39">
        <v>0.30151307478294775</v>
      </c>
      <c r="J866" s="39">
        <v>0.17337287488007536</v>
      </c>
    </row>
    <row r="867" spans="1:10" ht="11.25" customHeight="1" x14ac:dyDescent="0.2">
      <c r="A867" s="66" t="s">
        <v>38</v>
      </c>
      <c r="B867" s="58">
        <v>0</v>
      </c>
      <c r="C867" s="58">
        <v>0</v>
      </c>
      <c r="D867" s="58">
        <v>112.53320000000001</v>
      </c>
      <c r="E867" s="58">
        <v>117.40359678031543</v>
      </c>
      <c r="F867" s="58">
        <v>22.856160000000003</v>
      </c>
      <c r="G867" s="58">
        <v>29.747591079331027</v>
      </c>
      <c r="H867" s="39">
        <v>4.3279643521337841E-2</v>
      </c>
      <c r="I867" s="39">
        <v>0.30151307478294798</v>
      </c>
      <c r="J867" s="39">
        <v>8.6874093057581758E-2</v>
      </c>
    </row>
    <row r="868" spans="1:10" ht="11.25" customHeight="1" x14ac:dyDescent="0.2">
      <c r="A868" s="67">
        <v>44531</v>
      </c>
      <c r="B868" s="58">
        <v>0</v>
      </c>
      <c r="C868" s="58">
        <v>0</v>
      </c>
      <c r="D868" s="58">
        <v>8.2744999999999997</v>
      </c>
      <c r="E868" s="58">
        <v>8.6326174103173123</v>
      </c>
      <c r="F868" s="58">
        <v>1.6806000000000001</v>
      </c>
      <c r="G868" s="58">
        <v>2.1873228734802219</v>
      </c>
      <c r="H868" s="39">
        <v>4.3279643521338063E-2</v>
      </c>
      <c r="I868" s="39">
        <v>0.30151307478294753</v>
      </c>
      <c r="J868" s="39">
        <v>8.687409305758198E-2</v>
      </c>
    </row>
    <row r="869" spans="1:10" ht="11.25" customHeight="1" x14ac:dyDescent="0.2">
      <c r="A869" s="67">
        <v>44562</v>
      </c>
      <c r="B869" s="58">
        <v>0</v>
      </c>
      <c r="C869" s="58">
        <v>0</v>
      </c>
      <c r="D869" s="58">
        <v>14.066650000000001</v>
      </c>
      <c r="E869" s="58">
        <v>14.675449597539432</v>
      </c>
      <c r="F869" s="58">
        <v>2.8570200000000003</v>
      </c>
      <c r="G869" s="58">
        <v>3.7184488849163775</v>
      </c>
      <c r="H869" s="39">
        <v>4.3279643521338063E-2</v>
      </c>
      <c r="I869" s="39">
        <v>0.30151307478294753</v>
      </c>
      <c r="J869" s="39">
        <v>8.687409305758198E-2</v>
      </c>
    </row>
    <row r="870" spans="1:10" ht="11.25" customHeight="1" x14ac:dyDescent="0.2">
      <c r="A870" s="67">
        <v>44593</v>
      </c>
      <c r="B870" s="58">
        <v>0</v>
      </c>
      <c r="C870" s="58">
        <v>0</v>
      </c>
      <c r="D870" s="58">
        <v>7.4470499999999999</v>
      </c>
      <c r="E870" s="58">
        <v>7.7693556692855799</v>
      </c>
      <c r="F870" s="58">
        <v>1.51254</v>
      </c>
      <c r="G870" s="58">
        <v>1.9685905861321997</v>
      </c>
      <c r="H870" s="39">
        <v>4.3279643521338063E-2</v>
      </c>
      <c r="I870" s="39">
        <v>0.30151307478294775</v>
      </c>
      <c r="J870" s="39">
        <v>8.6874093057581758E-2</v>
      </c>
    </row>
    <row r="871" spans="1:10" ht="11.25" customHeight="1" x14ac:dyDescent="0.2">
      <c r="A871" s="67">
        <v>44621</v>
      </c>
      <c r="B871" s="58">
        <v>0</v>
      </c>
      <c r="C871" s="58">
        <v>0</v>
      </c>
      <c r="D871" s="58">
        <v>7.4470499999999999</v>
      </c>
      <c r="E871" s="58">
        <v>7.7693556692855799</v>
      </c>
      <c r="F871" s="58">
        <v>1.51254</v>
      </c>
      <c r="G871" s="58">
        <v>1.9685905861321997</v>
      </c>
      <c r="H871" s="39">
        <v>4.3279643521338063E-2</v>
      </c>
      <c r="I871" s="39">
        <v>0.30151307478294775</v>
      </c>
      <c r="J871" s="39">
        <v>8.6874093057581758E-2</v>
      </c>
    </row>
    <row r="872" spans="1:10" ht="11.25" customHeight="1" x14ac:dyDescent="0.2">
      <c r="A872" s="67">
        <v>44652</v>
      </c>
      <c r="B872" s="58">
        <v>0</v>
      </c>
      <c r="C872" s="58">
        <v>0</v>
      </c>
      <c r="D872" s="58">
        <v>11.584300000000001</v>
      </c>
      <c r="E872" s="58">
        <v>12.085664374444237</v>
      </c>
      <c r="F872" s="58">
        <v>2.35284</v>
      </c>
      <c r="G872" s="58">
        <v>3.0622520228723107</v>
      </c>
      <c r="H872" s="39">
        <v>4.3279643521338063E-2</v>
      </c>
      <c r="I872" s="39">
        <v>0.30151307478294775</v>
      </c>
      <c r="J872" s="39">
        <v>8.687409305758198E-2</v>
      </c>
    </row>
    <row r="873" spans="1:10" ht="11.25" customHeight="1" x14ac:dyDescent="0.2">
      <c r="A873" s="67">
        <v>44682</v>
      </c>
      <c r="B873" s="58">
        <v>0</v>
      </c>
      <c r="C873" s="58">
        <v>0</v>
      </c>
      <c r="D873" s="58">
        <v>9.9294000000000011</v>
      </c>
      <c r="E873" s="58">
        <v>10.359140892380774</v>
      </c>
      <c r="F873" s="58">
        <v>2.0167200000000003</v>
      </c>
      <c r="G873" s="58">
        <v>2.6247874481762663</v>
      </c>
      <c r="H873" s="39">
        <v>4.3279643521337841E-2</v>
      </c>
      <c r="I873" s="39">
        <v>0.30151307478294753</v>
      </c>
      <c r="J873" s="39">
        <v>8.6874093057581758E-2</v>
      </c>
    </row>
    <row r="874" spans="1:10" ht="11.25" customHeight="1" x14ac:dyDescent="0.2">
      <c r="A874" s="67">
        <v>44713</v>
      </c>
      <c r="B874" s="58">
        <v>0</v>
      </c>
      <c r="C874" s="58">
        <v>0</v>
      </c>
      <c r="D874" s="58">
        <v>9.9294000000000011</v>
      </c>
      <c r="E874" s="58">
        <v>10.359140892380774</v>
      </c>
      <c r="F874" s="58">
        <v>2.0167200000000003</v>
      </c>
      <c r="G874" s="58">
        <v>2.6247874481762663</v>
      </c>
      <c r="H874" s="39">
        <v>4.3279643521337841E-2</v>
      </c>
      <c r="I874" s="39">
        <v>0.30151307478294753</v>
      </c>
      <c r="J874" s="39">
        <v>8.6874093057581758E-2</v>
      </c>
    </row>
    <row r="875" spans="1:10" ht="11.25" customHeight="1" x14ac:dyDescent="0.2">
      <c r="A875" s="67">
        <v>44743</v>
      </c>
      <c r="B875" s="58">
        <v>0</v>
      </c>
      <c r="C875" s="58">
        <v>0</v>
      </c>
      <c r="D875" s="58">
        <v>9.1019500000000004</v>
      </c>
      <c r="E875" s="58">
        <v>9.4958791513490421</v>
      </c>
      <c r="F875" s="58">
        <v>1.84866</v>
      </c>
      <c r="G875" s="58">
        <v>2.4060551608282439</v>
      </c>
      <c r="H875" s="39">
        <v>4.3279643521337841E-2</v>
      </c>
      <c r="I875" s="39">
        <v>0.30151307478294753</v>
      </c>
      <c r="J875" s="39">
        <v>8.6874093057581758E-2</v>
      </c>
    </row>
    <row r="876" spans="1:10" ht="11.25" customHeight="1" x14ac:dyDescent="0.2">
      <c r="A876" s="67">
        <v>44774</v>
      </c>
      <c r="B876" s="58">
        <v>0</v>
      </c>
      <c r="C876" s="58">
        <v>0</v>
      </c>
      <c r="D876" s="58">
        <v>9.1019500000000004</v>
      </c>
      <c r="E876" s="58">
        <v>9.4958791513490421</v>
      </c>
      <c r="F876" s="58">
        <v>1.84866</v>
      </c>
      <c r="G876" s="58">
        <v>2.4060551608282439</v>
      </c>
      <c r="H876" s="39">
        <v>4.3279643521337841E-2</v>
      </c>
      <c r="I876" s="39">
        <v>0.30151307478294753</v>
      </c>
      <c r="J876" s="39">
        <v>8.6874093057581758E-2</v>
      </c>
    </row>
    <row r="877" spans="1:10" ht="11.25" customHeight="1" x14ac:dyDescent="0.2">
      <c r="A877" s="67">
        <v>44805</v>
      </c>
      <c r="B877" s="58">
        <v>0</v>
      </c>
      <c r="C877" s="58">
        <v>0</v>
      </c>
      <c r="D877" s="58">
        <v>10.75685</v>
      </c>
      <c r="E877" s="58">
        <v>11.222402633412505</v>
      </c>
      <c r="F877" s="58">
        <v>2.1847799999999999</v>
      </c>
      <c r="G877" s="58">
        <v>2.8435197355242883</v>
      </c>
      <c r="H877" s="39">
        <v>4.3279643521338063E-2</v>
      </c>
      <c r="I877" s="39">
        <v>0.30151307478294753</v>
      </c>
      <c r="J877" s="39">
        <v>8.6874093057581758E-2</v>
      </c>
    </row>
    <row r="878" spans="1:10" ht="11.25" customHeight="1" x14ac:dyDescent="0.2">
      <c r="A878" s="67">
        <v>44835</v>
      </c>
      <c r="B878" s="58">
        <v>0</v>
      </c>
      <c r="C878" s="58">
        <v>0</v>
      </c>
      <c r="D878" s="58">
        <v>7.4470499999999999</v>
      </c>
      <c r="E878" s="58">
        <v>7.7693556692855799</v>
      </c>
      <c r="F878" s="58">
        <v>1.51254</v>
      </c>
      <c r="G878" s="58">
        <v>1.9685905861321997</v>
      </c>
      <c r="H878" s="39">
        <v>4.3279643521338063E-2</v>
      </c>
      <c r="I878" s="39">
        <v>0.30151307478294775</v>
      </c>
      <c r="J878" s="39">
        <v>8.6874093057581758E-2</v>
      </c>
    </row>
    <row r="879" spans="1:10" ht="11.25" customHeight="1" x14ac:dyDescent="0.2">
      <c r="A879" s="67">
        <v>44866</v>
      </c>
      <c r="B879" s="58">
        <v>0</v>
      </c>
      <c r="C879" s="58">
        <v>0</v>
      </c>
      <c r="D879" s="58">
        <v>7.4470499999999999</v>
      </c>
      <c r="E879" s="58">
        <v>7.7693556692855799</v>
      </c>
      <c r="F879" s="58">
        <v>1.51254</v>
      </c>
      <c r="G879" s="58">
        <v>1.9685905861321997</v>
      </c>
      <c r="H879" s="39">
        <v>4.3279643521338063E-2</v>
      </c>
      <c r="I879" s="39">
        <v>0.30151307478294775</v>
      </c>
      <c r="J879" s="39">
        <v>8.6874093057581758E-2</v>
      </c>
    </row>
    <row r="880" spans="1:10" ht="11.25" customHeight="1" x14ac:dyDescent="0.2">
      <c r="A880" s="66" t="s">
        <v>36</v>
      </c>
      <c r="B880" s="58">
        <v>0</v>
      </c>
      <c r="C880" s="58">
        <v>0</v>
      </c>
      <c r="D880" s="58">
        <v>65.162500000000009</v>
      </c>
      <c r="E880" s="58">
        <v>66.772107630378031</v>
      </c>
      <c r="F880" s="58">
        <v>13.515000000000002</v>
      </c>
      <c r="G880" s="58">
        <v>18.135190684348093</v>
      </c>
      <c r="H880" s="39">
        <v>2.470144071172875E-2</v>
      </c>
      <c r="I880" s="39">
        <v>0.3418565064260517</v>
      </c>
      <c r="J880" s="39">
        <v>7.9181447233657831E-2</v>
      </c>
    </row>
    <row r="881" spans="1:10" ht="11.25" customHeight="1" x14ac:dyDescent="0.2">
      <c r="A881" s="67">
        <v>44531</v>
      </c>
      <c r="B881" s="58">
        <v>0</v>
      </c>
      <c r="C881" s="58">
        <v>0</v>
      </c>
      <c r="D881" s="58">
        <v>3.9097500000000003</v>
      </c>
      <c r="E881" s="58">
        <v>4.0063264578226825</v>
      </c>
      <c r="F881" s="58">
        <v>0.81090000000000007</v>
      </c>
      <c r="G881" s="58">
        <v>1.0881114410608856</v>
      </c>
      <c r="H881" s="39">
        <v>2.4701440711728972E-2</v>
      </c>
      <c r="I881" s="39">
        <v>0.34185650642605192</v>
      </c>
      <c r="J881" s="39">
        <v>7.9181447233658053E-2</v>
      </c>
    </row>
    <row r="882" spans="1:10" ht="11.25" customHeight="1" x14ac:dyDescent="0.2">
      <c r="A882" s="67">
        <v>44562</v>
      </c>
      <c r="B882" s="58">
        <v>0</v>
      </c>
      <c r="C882" s="58">
        <v>0</v>
      </c>
      <c r="D882" s="58">
        <v>9.1227499999999999</v>
      </c>
      <c r="E882" s="58">
        <v>9.3480950682529258</v>
      </c>
      <c r="F882" s="58">
        <v>1.8921000000000001</v>
      </c>
      <c r="G882" s="58">
        <v>2.5389266958087329</v>
      </c>
      <c r="H882" s="39">
        <v>2.4701440711728972E-2</v>
      </c>
      <c r="I882" s="39">
        <v>0.34185650642605192</v>
      </c>
      <c r="J882" s="39">
        <v>7.9181447233658275E-2</v>
      </c>
    </row>
    <row r="883" spans="1:10" ht="11.25" customHeight="1" x14ac:dyDescent="0.2">
      <c r="A883" s="67">
        <v>44593</v>
      </c>
      <c r="B883" s="58">
        <v>0</v>
      </c>
      <c r="C883" s="58">
        <v>0</v>
      </c>
      <c r="D883" s="58">
        <v>3.9097500000000003</v>
      </c>
      <c r="E883" s="58">
        <v>4.0063264578226825</v>
      </c>
      <c r="F883" s="58">
        <v>0.81090000000000007</v>
      </c>
      <c r="G883" s="58">
        <v>1.0881114410608856</v>
      </c>
      <c r="H883" s="39">
        <v>2.4701440711728972E-2</v>
      </c>
      <c r="I883" s="39">
        <v>0.34185650642605192</v>
      </c>
      <c r="J883" s="39">
        <v>7.9181447233658053E-2</v>
      </c>
    </row>
    <row r="884" spans="1:10" ht="11.25" customHeight="1" x14ac:dyDescent="0.2">
      <c r="A884" s="67">
        <v>44621</v>
      </c>
      <c r="B884" s="58">
        <v>0</v>
      </c>
      <c r="C884" s="58">
        <v>0</v>
      </c>
      <c r="D884" s="58">
        <v>2.6065</v>
      </c>
      <c r="E884" s="58">
        <v>2.6708843052151217</v>
      </c>
      <c r="F884" s="58">
        <v>0.54060000000000008</v>
      </c>
      <c r="G884" s="58">
        <v>0.72540762737392372</v>
      </c>
      <c r="H884" s="39">
        <v>2.4701440711728972E-2</v>
      </c>
      <c r="I884" s="39">
        <v>0.34185650642605192</v>
      </c>
      <c r="J884" s="39">
        <v>7.9181447233658053E-2</v>
      </c>
    </row>
    <row r="885" spans="1:10" ht="11.25" customHeight="1" x14ac:dyDescent="0.2">
      <c r="A885" s="67">
        <v>44652</v>
      </c>
      <c r="B885" s="58">
        <v>0</v>
      </c>
      <c r="C885" s="58">
        <v>0</v>
      </c>
      <c r="D885" s="58">
        <v>7.8195000000000006</v>
      </c>
      <c r="E885" s="58">
        <v>8.012652915645365</v>
      </c>
      <c r="F885" s="58">
        <v>1.6218000000000001</v>
      </c>
      <c r="G885" s="58">
        <v>2.1762228821217713</v>
      </c>
      <c r="H885" s="39">
        <v>2.4701440711728972E-2</v>
      </c>
      <c r="I885" s="39">
        <v>0.34185650642605192</v>
      </c>
      <c r="J885" s="39">
        <v>7.9181447233658053E-2</v>
      </c>
    </row>
    <row r="886" spans="1:10" ht="11.25" customHeight="1" x14ac:dyDescent="0.2">
      <c r="A886" s="67">
        <v>44682</v>
      </c>
      <c r="B886" s="58">
        <v>0</v>
      </c>
      <c r="C886" s="58">
        <v>0</v>
      </c>
      <c r="D886" s="58">
        <v>5.2130000000000001</v>
      </c>
      <c r="E886" s="58">
        <v>5.3417686104302433</v>
      </c>
      <c r="F886" s="58">
        <v>1.0812000000000002</v>
      </c>
      <c r="G886" s="58">
        <v>1.4508152547478474</v>
      </c>
      <c r="H886" s="39">
        <v>2.4701440711728972E-2</v>
      </c>
      <c r="I886" s="39">
        <v>0.34185650642605192</v>
      </c>
      <c r="J886" s="39">
        <v>7.9181447233658053E-2</v>
      </c>
    </row>
    <row r="887" spans="1:10" ht="11.25" customHeight="1" x14ac:dyDescent="0.2">
      <c r="A887" s="67">
        <v>44713</v>
      </c>
      <c r="B887" s="58">
        <v>0</v>
      </c>
      <c r="C887" s="58">
        <v>0</v>
      </c>
      <c r="D887" s="58">
        <v>9.1227499999999999</v>
      </c>
      <c r="E887" s="58">
        <v>9.3480950682529258</v>
      </c>
      <c r="F887" s="58">
        <v>1.8921000000000001</v>
      </c>
      <c r="G887" s="58">
        <v>2.5389266958087329</v>
      </c>
      <c r="H887" s="39">
        <v>2.4701440711728972E-2</v>
      </c>
      <c r="I887" s="39">
        <v>0.34185650642605192</v>
      </c>
      <c r="J887" s="39">
        <v>7.9181447233658275E-2</v>
      </c>
    </row>
    <row r="888" spans="1:10" ht="11.25" customHeight="1" x14ac:dyDescent="0.2">
      <c r="A888" s="67">
        <v>44743</v>
      </c>
      <c r="B888" s="58">
        <v>0</v>
      </c>
      <c r="C888" s="58">
        <v>0</v>
      </c>
      <c r="D888" s="58">
        <v>3.9097500000000003</v>
      </c>
      <c r="E888" s="58">
        <v>4.0063264578226825</v>
      </c>
      <c r="F888" s="58">
        <v>0.81090000000000007</v>
      </c>
      <c r="G888" s="58">
        <v>1.0881114410608856</v>
      </c>
      <c r="H888" s="39">
        <v>2.4701440711728972E-2</v>
      </c>
      <c r="I888" s="39">
        <v>0.34185650642605192</v>
      </c>
      <c r="J888" s="39">
        <v>7.9181447233658053E-2</v>
      </c>
    </row>
    <row r="889" spans="1:10" ht="11.25" customHeight="1" x14ac:dyDescent="0.2">
      <c r="A889" s="67">
        <v>44774</v>
      </c>
      <c r="B889" s="58">
        <v>0</v>
      </c>
      <c r="C889" s="58">
        <v>0</v>
      </c>
      <c r="D889" s="58">
        <v>7.8195000000000006</v>
      </c>
      <c r="E889" s="58">
        <v>8.012652915645365</v>
      </c>
      <c r="F889" s="58">
        <v>1.6218000000000001</v>
      </c>
      <c r="G889" s="58">
        <v>2.1762228821217713</v>
      </c>
      <c r="H889" s="39">
        <v>2.4701440711728972E-2</v>
      </c>
      <c r="I889" s="39">
        <v>0.34185650642605192</v>
      </c>
      <c r="J889" s="39">
        <v>7.9181447233658053E-2</v>
      </c>
    </row>
    <row r="890" spans="1:10" ht="11.25" customHeight="1" x14ac:dyDescent="0.2">
      <c r="A890" s="67">
        <v>44805</v>
      </c>
      <c r="B890" s="58">
        <v>0</v>
      </c>
      <c r="C890" s="58">
        <v>0</v>
      </c>
      <c r="D890" s="58">
        <v>3.9097500000000003</v>
      </c>
      <c r="E890" s="58">
        <v>4.0063264578226825</v>
      </c>
      <c r="F890" s="58">
        <v>0.81090000000000007</v>
      </c>
      <c r="G890" s="58">
        <v>1.0881114410608856</v>
      </c>
      <c r="H890" s="39">
        <v>2.4701440711728972E-2</v>
      </c>
      <c r="I890" s="39">
        <v>0.34185650642605192</v>
      </c>
      <c r="J890" s="39">
        <v>7.9181447233658053E-2</v>
      </c>
    </row>
    <row r="891" spans="1:10" ht="11.25" customHeight="1" x14ac:dyDescent="0.2">
      <c r="A891" s="67">
        <v>44835</v>
      </c>
      <c r="B891" s="58">
        <v>0</v>
      </c>
      <c r="C891" s="58">
        <v>0</v>
      </c>
      <c r="D891" s="58">
        <v>3.9097500000000003</v>
      </c>
      <c r="E891" s="58">
        <v>4.0063264578226825</v>
      </c>
      <c r="F891" s="58">
        <v>0.81090000000000007</v>
      </c>
      <c r="G891" s="58">
        <v>1.0881114410608856</v>
      </c>
      <c r="H891" s="39">
        <v>2.4701440711728972E-2</v>
      </c>
      <c r="I891" s="39">
        <v>0.34185650642605192</v>
      </c>
      <c r="J891" s="39">
        <v>7.9181447233658053E-2</v>
      </c>
    </row>
    <row r="892" spans="1:10" ht="11.25" customHeight="1" x14ac:dyDescent="0.2">
      <c r="A892" s="67">
        <v>44866</v>
      </c>
      <c r="B892" s="58">
        <v>0</v>
      </c>
      <c r="C892" s="58">
        <v>0</v>
      </c>
      <c r="D892" s="58">
        <v>3.9097500000000003</v>
      </c>
      <c r="E892" s="58">
        <v>4.0063264578226825</v>
      </c>
      <c r="F892" s="58">
        <v>0.81090000000000007</v>
      </c>
      <c r="G892" s="58">
        <v>1.0881114410608856</v>
      </c>
      <c r="H892" s="39">
        <v>2.4701440711728972E-2</v>
      </c>
      <c r="I892" s="39">
        <v>0.34185650642605192</v>
      </c>
      <c r="J892" s="39">
        <v>7.9181447233658053E-2</v>
      </c>
    </row>
    <row r="893" spans="1:10" ht="11.25" customHeight="1" x14ac:dyDescent="0.2">
      <c r="A893" s="62" t="s">
        <v>48</v>
      </c>
      <c r="B893" s="58">
        <v>0</v>
      </c>
      <c r="C893" s="58">
        <v>0</v>
      </c>
      <c r="D893" s="58">
        <v>61762.184900000007</v>
      </c>
      <c r="E893" s="58">
        <v>67096.37587099649</v>
      </c>
      <c r="F893" s="58">
        <v>24302.328600000008</v>
      </c>
      <c r="G893" s="58">
        <v>31751.027410936076</v>
      </c>
      <c r="H893" s="39">
        <v>8.6366617042987537E-2</v>
      </c>
      <c r="I893" s="39">
        <v>0.30650144410178259</v>
      </c>
      <c r="J893" s="39">
        <v>0.14852683483689866</v>
      </c>
    </row>
    <row r="894" spans="1:10" ht="11.25" customHeight="1" x14ac:dyDescent="0.2">
      <c r="A894" s="63" t="s">
        <v>25</v>
      </c>
      <c r="B894" s="58">
        <v>0</v>
      </c>
      <c r="C894" s="58">
        <v>0</v>
      </c>
      <c r="D894" s="58">
        <v>61762.184900000007</v>
      </c>
      <c r="E894" s="58">
        <v>67096.37587099649</v>
      </c>
      <c r="F894" s="58">
        <v>24302.328600000008</v>
      </c>
      <c r="G894" s="58">
        <v>31751.027410936076</v>
      </c>
      <c r="H894" s="39">
        <v>8.6366617042987537E-2</v>
      </c>
      <c r="I894" s="39">
        <v>0.30650144410178259</v>
      </c>
      <c r="J894" s="39">
        <v>0.14852683483689866</v>
      </c>
    </row>
    <row r="895" spans="1:10" ht="11.25" customHeight="1" x14ac:dyDescent="0.2">
      <c r="A895" s="64" t="s">
        <v>25</v>
      </c>
      <c r="B895" s="58">
        <v>0</v>
      </c>
      <c r="C895" s="58">
        <v>0</v>
      </c>
      <c r="D895" s="58">
        <v>61762.184900000007</v>
      </c>
      <c r="E895" s="58">
        <v>67096.37587099649</v>
      </c>
      <c r="F895" s="58">
        <v>24302.328600000008</v>
      </c>
      <c r="G895" s="58">
        <v>31751.027410936076</v>
      </c>
      <c r="H895" s="39">
        <v>8.6366617042987537E-2</v>
      </c>
      <c r="I895" s="39">
        <v>0.30650144410178259</v>
      </c>
      <c r="J895" s="39">
        <v>0.14852683483689866</v>
      </c>
    </row>
    <row r="896" spans="1:10" ht="11.25" customHeight="1" x14ac:dyDescent="0.2">
      <c r="A896" s="65" t="s">
        <v>25</v>
      </c>
      <c r="B896" s="58">
        <v>0</v>
      </c>
      <c r="C896" s="58">
        <v>0</v>
      </c>
      <c r="D896" s="58">
        <v>61762.184900000007</v>
      </c>
      <c r="E896" s="58">
        <v>67096.37587099649</v>
      </c>
      <c r="F896" s="58">
        <v>24302.328600000008</v>
      </c>
      <c r="G896" s="58">
        <v>31751.027410936076</v>
      </c>
      <c r="H896" s="39">
        <v>8.6366617042987537E-2</v>
      </c>
      <c r="I896" s="39">
        <v>0.30650144410178259</v>
      </c>
      <c r="J896" s="39">
        <v>0.14852683483689866</v>
      </c>
    </row>
    <row r="897" spans="1:10" ht="11.25" customHeight="1" x14ac:dyDescent="0.2">
      <c r="A897" s="66" t="s">
        <v>37</v>
      </c>
      <c r="B897" s="58">
        <v>0</v>
      </c>
      <c r="C897" s="58">
        <v>0</v>
      </c>
      <c r="D897" s="58">
        <v>42559.144549999997</v>
      </c>
      <c r="E897" s="58">
        <v>47331.400060059415</v>
      </c>
      <c r="F897" s="58">
        <v>20339.797620000001</v>
      </c>
      <c r="G897" s="58">
        <v>26472.512540869087</v>
      </c>
      <c r="H897" s="39">
        <v>0.11213231751998243</v>
      </c>
      <c r="I897" s="39">
        <v>0.30151307478294731</v>
      </c>
      <c r="J897" s="39">
        <v>0.17337287488007536</v>
      </c>
    </row>
    <row r="898" spans="1:10" ht="11.25" customHeight="1" x14ac:dyDescent="0.2">
      <c r="A898" s="67">
        <v>44531</v>
      </c>
      <c r="B898" s="58">
        <v>0</v>
      </c>
      <c r="C898" s="58">
        <v>0</v>
      </c>
      <c r="D898" s="58">
        <v>3127.5750999999996</v>
      </c>
      <c r="E898" s="58">
        <v>3478.2773441807904</v>
      </c>
      <c r="F898" s="58">
        <v>1494.7256400000001</v>
      </c>
      <c r="G898" s="58">
        <v>1945.4049636733093</v>
      </c>
      <c r="H898" s="39">
        <v>0.11213231751998243</v>
      </c>
      <c r="I898" s="39">
        <v>0.30151307478294753</v>
      </c>
      <c r="J898" s="39">
        <v>0.17337287488007558</v>
      </c>
    </row>
    <row r="899" spans="1:10" ht="11.25" customHeight="1" x14ac:dyDescent="0.2">
      <c r="A899" s="67">
        <v>44562</v>
      </c>
      <c r="B899" s="58">
        <v>0</v>
      </c>
      <c r="C899" s="58">
        <v>0</v>
      </c>
      <c r="D899" s="58">
        <v>2290.2964499999998</v>
      </c>
      <c r="E899" s="58">
        <v>2547.1126987462876</v>
      </c>
      <c r="F899" s="58">
        <v>1094.5747799999999</v>
      </c>
      <c r="G899" s="58">
        <v>1424.6033874976686</v>
      </c>
      <c r="H899" s="39">
        <v>0.11213231751998221</v>
      </c>
      <c r="I899" s="39">
        <v>0.30151307478294775</v>
      </c>
      <c r="J899" s="39">
        <v>0.17337287488007513</v>
      </c>
    </row>
    <row r="900" spans="1:10" ht="11.25" customHeight="1" x14ac:dyDescent="0.2">
      <c r="A900" s="67">
        <v>44593</v>
      </c>
      <c r="B900" s="58">
        <v>0</v>
      </c>
      <c r="C900" s="58">
        <v>0</v>
      </c>
      <c r="D900" s="58">
        <v>1842.2943499999999</v>
      </c>
      <c r="E900" s="58">
        <v>2048.8750850194692</v>
      </c>
      <c r="F900" s="58">
        <v>880.46633999999995</v>
      </c>
      <c r="G900" s="58">
        <v>1145.9384534162882</v>
      </c>
      <c r="H900" s="39">
        <v>0.11213231751998221</v>
      </c>
      <c r="I900" s="39">
        <v>0.30151307478294775</v>
      </c>
      <c r="J900" s="39">
        <v>0.17337287488007536</v>
      </c>
    </row>
    <row r="901" spans="1:10" ht="11.25" customHeight="1" x14ac:dyDescent="0.2">
      <c r="A901" s="67">
        <v>44621</v>
      </c>
      <c r="B901" s="58">
        <v>0</v>
      </c>
      <c r="C901" s="58">
        <v>0</v>
      </c>
      <c r="D901" s="58">
        <v>2176.3618499999998</v>
      </c>
      <c r="E901" s="58">
        <v>2420.4023480025758</v>
      </c>
      <c r="F901" s="58">
        <v>1040.1233400000001</v>
      </c>
      <c r="G901" s="58">
        <v>1353.7341263969095</v>
      </c>
      <c r="H901" s="39">
        <v>0.11213231751998221</v>
      </c>
      <c r="I901" s="39">
        <v>0.30151307478294775</v>
      </c>
      <c r="J901" s="39">
        <v>0.17337287488007536</v>
      </c>
    </row>
    <row r="902" spans="1:10" ht="11.25" customHeight="1" x14ac:dyDescent="0.2">
      <c r="A902" s="67">
        <v>44652</v>
      </c>
      <c r="B902" s="58">
        <v>0</v>
      </c>
      <c r="C902" s="58">
        <v>0</v>
      </c>
      <c r="D902" s="58">
        <v>1953.4157499999999</v>
      </c>
      <c r="E902" s="58">
        <v>2172.4567851275337</v>
      </c>
      <c r="F902" s="58">
        <v>933.57330000000002</v>
      </c>
      <c r="G902" s="58">
        <v>1215.0578562182632</v>
      </c>
      <c r="H902" s="39">
        <v>0.11213231751998198</v>
      </c>
      <c r="I902" s="39">
        <v>0.30151307478294753</v>
      </c>
      <c r="J902" s="39">
        <v>0.17337287488007513</v>
      </c>
    </row>
    <row r="903" spans="1:10" ht="11.25" customHeight="1" x14ac:dyDescent="0.2">
      <c r="A903" s="67">
        <v>44682</v>
      </c>
      <c r="B903" s="58">
        <v>0</v>
      </c>
      <c r="C903" s="58">
        <v>0</v>
      </c>
      <c r="D903" s="58">
        <v>3060.7615999999998</v>
      </c>
      <c r="E903" s="58">
        <v>3403.9718915841686</v>
      </c>
      <c r="F903" s="58">
        <v>1462.7942400000002</v>
      </c>
      <c r="G903" s="58">
        <v>1903.8458290771853</v>
      </c>
      <c r="H903" s="39">
        <v>0.11213231751998221</v>
      </c>
      <c r="I903" s="39">
        <v>0.30151307478294753</v>
      </c>
      <c r="J903" s="39">
        <v>0.17337287488007513</v>
      </c>
    </row>
    <row r="904" spans="1:10" ht="11.25" customHeight="1" x14ac:dyDescent="0.2">
      <c r="A904" s="67">
        <v>44713</v>
      </c>
      <c r="B904" s="58">
        <v>0</v>
      </c>
      <c r="C904" s="58">
        <v>0</v>
      </c>
      <c r="D904" s="58">
        <v>2333.9010499999999</v>
      </c>
      <c r="E904" s="58">
        <v>2595.6067835988197</v>
      </c>
      <c r="F904" s="58">
        <v>1115.4142200000001</v>
      </c>
      <c r="G904" s="58">
        <v>1451.7261911288233</v>
      </c>
      <c r="H904" s="39">
        <v>0.11213231751998221</v>
      </c>
      <c r="I904" s="39">
        <v>0.30151307478294753</v>
      </c>
      <c r="J904" s="39">
        <v>0.17337287488007513</v>
      </c>
    </row>
    <row r="905" spans="1:10" ht="11.25" customHeight="1" x14ac:dyDescent="0.2">
      <c r="A905" s="67">
        <v>44743</v>
      </c>
      <c r="B905" s="58">
        <v>0</v>
      </c>
      <c r="C905" s="58">
        <v>0</v>
      </c>
      <c r="D905" s="58">
        <v>3056.8934499999996</v>
      </c>
      <c r="E905" s="58">
        <v>3399.6699969601536</v>
      </c>
      <c r="F905" s="58">
        <v>1460.9455799999998</v>
      </c>
      <c r="G905" s="58">
        <v>1901.4397739163569</v>
      </c>
      <c r="H905" s="39">
        <v>0.11213231751998221</v>
      </c>
      <c r="I905" s="39">
        <v>0.30151307478294775</v>
      </c>
      <c r="J905" s="39">
        <v>0.17337287488007536</v>
      </c>
    </row>
    <row r="906" spans="1:10" ht="11.25" customHeight="1" x14ac:dyDescent="0.2">
      <c r="A906" s="67">
        <v>44774</v>
      </c>
      <c r="B906" s="58">
        <v>0</v>
      </c>
      <c r="C906" s="58">
        <v>0</v>
      </c>
      <c r="D906" s="58">
        <v>3019.9701999999997</v>
      </c>
      <c r="E906" s="58">
        <v>3358.6064573672834</v>
      </c>
      <c r="F906" s="58">
        <v>1443.2992800000002</v>
      </c>
      <c r="G906" s="58">
        <v>1878.4728837448145</v>
      </c>
      <c r="H906" s="39">
        <v>0.11213231751998198</v>
      </c>
      <c r="I906" s="39">
        <v>0.30151307478294753</v>
      </c>
      <c r="J906" s="39">
        <v>0.17337287488007513</v>
      </c>
    </row>
    <row r="907" spans="1:10" ht="11.25" customHeight="1" x14ac:dyDescent="0.2">
      <c r="A907" s="67">
        <v>44805</v>
      </c>
      <c r="B907" s="58">
        <v>0</v>
      </c>
      <c r="C907" s="58">
        <v>0</v>
      </c>
      <c r="D907" s="58">
        <v>4986.7486499999995</v>
      </c>
      <c r="E907" s="58">
        <v>5545.9243330141426</v>
      </c>
      <c r="F907" s="58">
        <v>2383.2588599999999</v>
      </c>
      <c r="G907" s="58">
        <v>3101.8425668823024</v>
      </c>
      <c r="H907" s="39">
        <v>0.11213231751998221</v>
      </c>
      <c r="I907" s="39">
        <v>0.30151307478294775</v>
      </c>
      <c r="J907" s="39">
        <v>0.17337287488007536</v>
      </c>
    </row>
    <row r="908" spans="1:10" ht="11.25" customHeight="1" x14ac:dyDescent="0.2">
      <c r="A908" s="67">
        <v>44835</v>
      </c>
      <c r="B908" s="58">
        <v>0</v>
      </c>
      <c r="C908" s="58">
        <v>0</v>
      </c>
      <c r="D908" s="58">
        <v>7355.4630500000003</v>
      </c>
      <c r="E908" s="58">
        <v>8180.2481682290963</v>
      </c>
      <c r="F908" s="58">
        <v>3515.3110200000006</v>
      </c>
      <c r="G908" s="58">
        <v>4575.2232544585813</v>
      </c>
      <c r="H908" s="39">
        <v>0.11213231751998221</v>
      </c>
      <c r="I908" s="39">
        <v>0.30151307478294775</v>
      </c>
      <c r="J908" s="39">
        <v>0.17337287488007536</v>
      </c>
    </row>
    <row r="909" spans="1:10" ht="11.25" customHeight="1" x14ac:dyDescent="0.2">
      <c r="A909" s="67">
        <v>44866</v>
      </c>
      <c r="B909" s="58">
        <v>0</v>
      </c>
      <c r="C909" s="58">
        <v>0</v>
      </c>
      <c r="D909" s="58">
        <v>7355.4630500000003</v>
      </c>
      <c r="E909" s="58">
        <v>8180.2481682290963</v>
      </c>
      <c r="F909" s="58">
        <v>3515.3110200000006</v>
      </c>
      <c r="G909" s="58">
        <v>4575.2232544585813</v>
      </c>
      <c r="H909" s="39">
        <v>0.11213231751998221</v>
      </c>
      <c r="I909" s="39">
        <v>0.30151307478294775</v>
      </c>
      <c r="J909" s="39">
        <v>0.17337287488007536</v>
      </c>
    </row>
    <row r="910" spans="1:10" ht="11.25" customHeight="1" x14ac:dyDescent="0.2">
      <c r="A910" s="66" t="s">
        <v>38</v>
      </c>
      <c r="B910" s="58">
        <v>0</v>
      </c>
      <c r="C910" s="58">
        <v>0</v>
      </c>
      <c r="D910" s="58">
        <v>4714.8101000000006</v>
      </c>
      <c r="E910" s="58">
        <v>4918.865400398804</v>
      </c>
      <c r="F910" s="58">
        <v>957.60588000000018</v>
      </c>
      <c r="G910" s="58">
        <v>1246.3365733090307</v>
      </c>
      <c r="H910" s="39">
        <v>4.3279643521337841E-2</v>
      </c>
      <c r="I910" s="39">
        <v>0.30151307478294775</v>
      </c>
      <c r="J910" s="39">
        <v>8.6874093057581758E-2</v>
      </c>
    </row>
    <row r="911" spans="1:10" ht="11.25" customHeight="1" x14ac:dyDescent="0.2">
      <c r="A911" s="67">
        <v>44531</v>
      </c>
      <c r="B911" s="58">
        <v>0</v>
      </c>
      <c r="C911" s="58">
        <v>0</v>
      </c>
      <c r="D911" s="58">
        <v>137.35669999999999</v>
      </c>
      <c r="E911" s="58">
        <v>143.30144901126738</v>
      </c>
      <c r="F911" s="58">
        <v>27.897960000000001</v>
      </c>
      <c r="G911" s="58">
        <v>36.309559699771683</v>
      </c>
      <c r="H911" s="39">
        <v>4.3279643521338063E-2</v>
      </c>
      <c r="I911" s="39">
        <v>0.30151307478294753</v>
      </c>
      <c r="J911" s="39">
        <v>8.687409305758198E-2</v>
      </c>
    </row>
    <row r="912" spans="1:10" ht="11.25" customHeight="1" x14ac:dyDescent="0.2">
      <c r="A912" s="67">
        <v>44562</v>
      </c>
      <c r="B912" s="58">
        <v>0</v>
      </c>
      <c r="C912" s="58">
        <v>0</v>
      </c>
      <c r="D912" s="58">
        <v>74.470500000000001</v>
      </c>
      <c r="E912" s="58">
        <v>77.693556692855807</v>
      </c>
      <c r="F912" s="58">
        <v>15.125399999999999</v>
      </c>
      <c r="G912" s="58">
        <v>19.685905861321999</v>
      </c>
      <c r="H912" s="39">
        <v>4.3279643521338063E-2</v>
      </c>
      <c r="I912" s="39">
        <v>0.30151307478294798</v>
      </c>
      <c r="J912" s="39">
        <v>8.687409305758198E-2</v>
      </c>
    </row>
    <row r="913" spans="1:10" ht="11.25" customHeight="1" x14ac:dyDescent="0.2">
      <c r="A913" s="67">
        <v>44593</v>
      </c>
      <c r="B913" s="58">
        <v>0</v>
      </c>
      <c r="C913" s="58">
        <v>0</v>
      </c>
      <c r="D913" s="58">
        <v>104.2587</v>
      </c>
      <c r="E913" s="58">
        <v>108.77097936999813</v>
      </c>
      <c r="F913" s="58">
        <v>21.175560000000001</v>
      </c>
      <c r="G913" s="58">
        <v>27.560268205850797</v>
      </c>
      <c r="H913" s="39">
        <v>4.3279643521338063E-2</v>
      </c>
      <c r="I913" s="39">
        <v>0.30151307478294775</v>
      </c>
      <c r="J913" s="39">
        <v>8.6874093057581758E-2</v>
      </c>
    </row>
    <row r="914" spans="1:10" ht="11.25" customHeight="1" x14ac:dyDescent="0.2">
      <c r="A914" s="67">
        <v>44621</v>
      </c>
      <c r="B914" s="58">
        <v>0</v>
      </c>
      <c r="C914" s="58">
        <v>0</v>
      </c>
      <c r="D914" s="58">
        <v>201.07035000000002</v>
      </c>
      <c r="E914" s="58">
        <v>209.77260307071066</v>
      </c>
      <c r="F914" s="58">
        <v>40.83858</v>
      </c>
      <c r="G914" s="58">
        <v>53.151945825569392</v>
      </c>
      <c r="H914" s="39">
        <v>4.3279643521337841E-2</v>
      </c>
      <c r="I914" s="39">
        <v>0.30151307478294775</v>
      </c>
      <c r="J914" s="39">
        <v>8.6874093057581758E-2</v>
      </c>
    </row>
    <row r="915" spans="1:10" ht="11.25" customHeight="1" x14ac:dyDescent="0.2">
      <c r="A915" s="67">
        <v>44652</v>
      </c>
      <c r="B915" s="58">
        <v>0</v>
      </c>
      <c r="C915" s="58">
        <v>0</v>
      </c>
      <c r="D915" s="58">
        <v>97.639099999999985</v>
      </c>
      <c r="E915" s="58">
        <v>101.86488544174429</v>
      </c>
      <c r="F915" s="58">
        <v>19.83108</v>
      </c>
      <c r="G915" s="58">
        <v>25.810409907066614</v>
      </c>
      <c r="H915" s="39">
        <v>4.3279643521338285E-2</v>
      </c>
      <c r="I915" s="39">
        <v>0.30151307478294753</v>
      </c>
      <c r="J915" s="39">
        <v>8.6874093057582202E-2</v>
      </c>
    </row>
    <row r="916" spans="1:10" ht="11.25" customHeight="1" x14ac:dyDescent="0.2">
      <c r="A916" s="67">
        <v>44682</v>
      </c>
      <c r="B916" s="58">
        <v>0</v>
      </c>
      <c r="C916" s="58">
        <v>0</v>
      </c>
      <c r="D916" s="58">
        <v>178.72920000000002</v>
      </c>
      <c r="E916" s="58">
        <v>186.46453606285394</v>
      </c>
      <c r="F916" s="58">
        <v>36.300960000000003</v>
      </c>
      <c r="G916" s="58">
        <v>47.246174067172795</v>
      </c>
      <c r="H916" s="39">
        <v>4.3279643521338063E-2</v>
      </c>
      <c r="I916" s="39">
        <v>0.30151307478294753</v>
      </c>
      <c r="J916" s="39">
        <v>8.6874093057581758E-2</v>
      </c>
    </row>
    <row r="917" spans="1:10" ht="11.25" customHeight="1" x14ac:dyDescent="0.2">
      <c r="A917" s="67">
        <v>44713</v>
      </c>
      <c r="B917" s="58">
        <v>0</v>
      </c>
      <c r="C917" s="58">
        <v>0</v>
      </c>
      <c r="D917" s="58">
        <v>167.14490000000001</v>
      </c>
      <c r="E917" s="58">
        <v>174.3788716884097</v>
      </c>
      <c r="F917" s="58">
        <v>33.948120000000003</v>
      </c>
      <c r="G917" s="58">
        <v>44.183922044300488</v>
      </c>
      <c r="H917" s="39">
        <v>4.3279643521338063E-2</v>
      </c>
      <c r="I917" s="39">
        <v>0.30151307478294775</v>
      </c>
      <c r="J917" s="39">
        <v>8.6874093057581758E-2</v>
      </c>
    </row>
    <row r="918" spans="1:10" ht="11.25" customHeight="1" x14ac:dyDescent="0.2">
      <c r="A918" s="67">
        <v>44743</v>
      </c>
      <c r="B918" s="58">
        <v>0</v>
      </c>
      <c r="C918" s="58">
        <v>0</v>
      </c>
      <c r="D918" s="58">
        <v>273.88595000000004</v>
      </c>
      <c r="E918" s="58">
        <v>285.73963628150301</v>
      </c>
      <c r="F918" s="58">
        <v>55.627860000000005</v>
      </c>
      <c r="G918" s="58">
        <v>72.400387112195361</v>
      </c>
      <c r="H918" s="39">
        <v>4.3279643521337841E-2</v>
      </c>
      <c r="I918" s="39">
        <v>0.30151307478294775</v>
      </c>
      <c r="J918" s="39">
        <v>8.6874093057581758E-2</v>
      </c>
    </row>
    <row r="919" spans="1:10" ht="11.25" customHeight="1" x14ac:dyDescent="0.2">
      <c r="A919" s="67">
        <v>44774</v>
      </c>
      <c r="B919" s="58">
        <v>0</v>
      </c>
      <c r="C919" s="58">
        <v>0</v>
      </c>
      <c r="D919" s="58">
        <v>2168.7464500000006</v>
      </c>
      <c r="E919" s="58">
        <v>2262.6090232441675</v>
      </c>
      <c r="F919" s="58">
        <v>440.48526000000004</v>
      </c>
      <c r="G919" s="58">
        <v>573.29732513916633</v>
      </c>
      <c r="H919" s="39">
        <v>4.3279643521337841E-2</v>
      </c>
      <c r="I919" s="39">
        <v>0.30151307478294798</v>
      </c>
      <c r="J919" s="39">
        <v>8.6874093057581758E-2</v>
      </c>
    </row>
    <row r="920" spans="1:10" ht="11.25" customHeight="1" x14ac:dyDescent="0.2">
      <c r="A920" s="67">
        <v>44805</v>
      </c>
      <c r="B920" s="58">
        <v>0</v>
      </c>
      <c r="C920" s="58">
        <v>0</v>
      </c>
      <c r="D920" s="58">
        <v>368.21525000000003</v>
      </c>
      <c r="E920" s="58">
        <v>384.15147475912039</v>
      </c>
      <c r="F920" s="58">
        <v>74.786699999999996</v>
      </c>
      <c r="G920" s="58">
        <v>97.335867869869887</v>
      </c>
      <c r="H920" s="39">
        <v>4.3279643521338063E-2</v>
      </c>
      <c r="I920" s="39">
        <v>0.30151307478294798</v>
      </c>
      <c r="J920" s="39">
        <v>8.687409305758198E-2</v>
      </c>
    </row>
    <row r="921" spans="1:10" ht="11.25" customHeight="1" x14ac:dyDescent="0.2">
      <c r="A921" s="67">
        <v>44835</v>
      </c>
      <c r="B921" s="58">
        <v>0</v>
      </c>
      <c r="C921" s="58">
        <v>0</v>
      </c>
      <c r="D921" s="58">
        <v>471.64650000000006</v>
      </c>
      <c r="E921" s="58">
        <v>492.05919238808684</v>
      </c>
      <c r="F921" s="58">
        <v>95.794200000000018</v>
      </c>
      <c r="G921" s="58">
        <v>124.67740378837266</v>
      </c>
      <c r="H921" s="39">
        <v>4.3279643521338063E-2</v>
      </c>
      <c r="I921" s="39">
        <v>0.30151307478294753</v>
      </c>
      <c r="J921" s="39">
        <v>8.6874093057581758E-2</v>
      </c>
    </row>
    <row r="922" spans="1:10" ht="11.25" customHeight="1" x14ac:dyDescent="0.2">
      <c r="A922" s="67">
        <v>44866</v>
      </c>
      <c r="B922" s="58">
        <v>0</v>
      </c>
      <c r="C922" s="58">
        <v>0</v>
      </c>
      <c r="D922" s="58">
        <v>471.64650000000006</v>
      </c>
      <c r="E922" s="58">
        <v>492.05919238808684</v>
      </c>
      <c r="F922" s="58">
        <v>95.794200000000018</v>
      </c>
      <c r="G922" s="58">
        <v>124.67740378837266</v>
      </c>
      <c r="H922" s="39">
        <v>4.3279643521338063E-2</v>
      </c>
      <c r="I922" s="39">
        <v>0.30151307478294753</v>
      </c>
      <c r="J922" s="39">
        <v>8.6874093057581758E-2</v>
      </c>
    </row>
    <row r="923" spans="1:10" ht="11.25" customHeight="1" x14ac:dyDescent="0.2">
      <c r="A923" s="66" t="s">
        <v>36</v>
      </c>
      <c r="B923" s="58">
        <v>0</v>
      </c>
      <c r="C923" s="58">
        <v>0</v>
      </c>
      <c r="D923" s="58">
        <v>14488.230249999999</v>
      </c>
      <c r="E923" s="58">
        <v>14846.110410538255</v>
      </c>
      <c r="F923" s="58">
        <v>3004.9250999999999</v>
      </c>
      <c r="G923" s="58">
        <v>4032.1782967579547</v>
      </c>
      <c r="H923" s="39">
        <v>2.470144071172875E-2</v>
      </c>
      <c r="I923" s="39">
        <v>0.34185650642605148</v>
      </c>
      <c r="J923" s="39">
        <v>7.9181447233657831E-2</v>
      </c>
    </row>
    <row r="924" spans="1:10" ht="11.25" customHeight="1" x14ac:dyDescent="0.2">
      <c r="A924" s="67">
        <v>44531</v>
      </c>
      <c r="B924" s="58">
        <v>0</v>
      </c>
      <c r="C924" s="58">
        <v>0</v>
      </c>
      <c r="D924" s="58">
        <v>735.03300000000002</v>
      </c>
      <c r="E924" s="58">
        <v>753.18937407066426</v>
      </c>
      <c r="F924" s="58">
        <v>152.44920000000002</v>
      </c>
      <c r="G924" s="58">
        <v>204.56495091944649</v>
      </c>
      <c r="H924" s="39">
        <v>2.4701440711728972E-2</v>
      </c>
      <c r="I924" s="39">
        <v>0.34185650642605192</v>
      </c>
      <c r="J924" s="39">
        <v>7.9181447233658053E-2</v>
      </c>
    </row>
    <row r="925" spans="1:10" ht="11.25" customHeight="1" x14ac:dyDescent="0.2">
      <c r="A925" s="67">
        <v>44562</v>
      </c>
      <c r="B925" s="58">
        <v>0</v>
      </c>
      <c r="C925" s="58">
        <v>0</v>
      </c>
      <c r="D925" s="58">
        <v>264.55975000000001</v>
      </c>
      <c r="E925" s="58">
        <v>271.09475697933482</v>
      </c>
      <c r="F925" s="58">
        <v>54.870900000000006</v>
      </c>
      <c r="G925" s="58">
        <v>73.628874178453259</v>
      </c>
      <c r="H925" s="39">
        <v>2.470144071172875E-2</v>
      </c>
      <c r="I925" s="39">
        <v>0.34185650642605192</v>
      </c>
      <c r="J925" s="39">
        <v>7.9181447233658053E-2</v>
      </c>
    </row>
    <row r="926" spans="1:10" ht="11.25" customHeight="1" x14ac:dyDescent="0.2">
      <c r="A926" s="67">
        <v>44593</v>
      </c>
      <c r="B926" s="58">
        <v>0</v>
      </c>
      <c r="C926" s="58">
        <v>0</v>
      </c>
      <c r="D926" s="58">
        <v>469.16999999999996</v>
      </c>
      <c r="E926" s="58">
        <v>480.75917493872186</v>
      </c>
      <c r="F926" s="58">
        <v>97.308000000000007</v>
      </c>
      <c r="G926" s="58">
        <v>130.57337292730625</v>
      </c>
      <c r="H926" s="39">
        <v>2.4701440711728972E-2</v>
      </c>
      <c r="I926" s="39">
        <v>0.3418565064260517</v>
      </c>
      <c r="J926" s="39">
        <v>7.9181447233658053E-2</v>
      </c>
    </row>
    <row r="927" spans="1:10" ht="11.25" customHeight="1" x14ac:dyDescent="0.2">
      <c r="A927" s="67">
        <v>44621</v>
      </c>
      <c r="B927" s="58">
        <v>0</v>
      </c>
      <c r="C927" s="58">
        <v>0</v>
      </c>
      <c r="D927" s="58">
        <v>324.50925000000001</v>
      </c>
      <c r="E927" s="58">
        <v>332.5250959992826</v>
      </c>
      <c r="F927" s="58">
        <v>67.304699999999997</v>
      </c>
      <c r="G927" s="58">
        <v>90.313249608053496</v>
      </c>
      <c r="H927" s="39">
        <v>2.470144071172875E-2</v>
      </c>
      <c r="I927" s="39">
        <v>0.34185650642605192</v>
      </c>
      <c r="J927" s="39">
        <v>7.9181447233658053E-2</v>
      </c>
    </row>
    <row r="928" spans="1:10" ht="11.25" customHeight="1" x14ac:dyDescent="0.2">
      <c r="A928" s="67">
        <v>44652</v>
      </c>
      <c r="B928" s="58">
        <v>0</v>
      </c>
      <c r="C928" s="58">
        <v>0</v>
      </c>
      <c r="D928" s="58">
        <v>299.74750000000006</v>
      </c>
      <c r="E928" s="58">
        <v>307.15169509973902</v>
      </c>
      <c r="F928" s="58">
        <v>62.169000000000011</v>
      </c>
      <c r="G928" s="58">
        <v>83.421877148001229</v>
      </c>
      <c r="H928" s="39">
        <v>2.4701440711728972E-2</v>
      </c>
      <c r="I928" s="39">
        <v>0.3418565064260517</v>
      </c>
      <c r="J928" s="39">
        <v>7.9181447233658053E-2</v>
      </c>
    </row>
    <row r="929" spans="1:10" ht="11.25" customHeight="1" x14ac:dyDescent="0.2">
      <c r="A929" s="67">
        <v>44682</v>
      </c>
      <c r="B929" s="58">
        <v>0</v>
      </c>
      <c r="C929" s="58">
        <v>0</v>
      </c>
      <c r="D929" s="58">
        <v>565.6105</v>
      </c>
      <c r="E929" s="58">
        <v>579.5818942316813</v>
      </c>
      <c r="F929" s="58">
        <v>117.31020000000001</v>
      </c>
      <c r="G929" s="58">
        <v>157.41345514014142</v>
      </c>
      <c r="H929" s="39">
        <v>2.470144071172875E-2</v>
      </c>
      <c r="I929" s="39">
        <v>0.3418565064260517</v>
      </c>
      <c r="J929" s="39">
        <v>7.9181447233657831E-2</v>
      </c>
    </row>
    <row r="930" spans="1:10" ht="11.25" customHeight="1" x14ac:dyDescent="0.2">
      <c r="A930" s="67">
        <v>44713</v>
      </c>
      <c r="B930" s="58">
        <v>0</v>
      </c>
      <c r="C930" s="58">
        <v>0</v>
      </c>
      <c r="D930" s="58">
        <v>533.02925000000005</v>
      </c>
      <c r="E930" s="58">
        <v>546.19584041649239</v>
      </c>
      <c r="F930" s="58">
        <v>110.5527</v>
      </c>
      <c r="G930" s="58">
        <v>148.34585979796739</v>
      </c>
      <c r="H930" s="39">
        <v>2.4701440711728972E-2</v>
      </c>
      <c r="I930" s="39">
        <v>0.34185650642605192</v>
      </c>
      <c r="J930" s="39">
        <v>7.9181447233658053E-2</v>
      </c>
    </row>
    <row r="931" spans="1:10" ht="11.25" customHeight="1" x14ac:dyDescent="0.2">
      <c r="A931" s="67">
        <v>44743</v>
      </c>
      <c r="B931" s="58">
        <v>0</v>
      </c>
      <c r="C931" s="58">
        <v>0</v>
      </c>
      <c r="D931" s="58">
        <v>701.14850000000001</v>
      </c>
      <c r="E931" s="58">
        <v>718.46787810286764</v>
      </c>
      <c r="F931" s="58">
        <v>145.42140000000003</v>
      </c>
      <c r="G931" s="58">
        <v>195.13465176358548</v>
      </c>
      <c r="H931" s="39">
        <v>2.4701440711728972E-2</v>
      </c>
      <c r="I931" s="39">
        <v>0.3418565064260517</v>
      </c>
      <c r="J931" s="39">
        <v>7.9181447233657831E-2</v>
      </c>
    </row>
    <row r="932" spans="1:10" ht="11.25" customHeight="1" x14ac:dyDescent="0.2">
      <c r="A932" s="67">
        <v>44774</v>
      </c>
      <c r="B932" s="58">
        <v>0</v>
      </c>
      <c r="C932" s="58">
        <v>0</v>
      </c>
      <c r="D932" s="58">
        <v>788.46625000000006</v>
      </c>
      <c r="E932" s="58">
        <v>807.94250232757418</v>
      </c>
      <c r="F932" s="58">
        <v>163.53149999999997</v>
      </c>
      <c r="G932" s="58">
        <v>219.43580728061193</v>
      </c>
      <c r="H932" s="39">
        <v>2.470144071172875E-2</v>
      </c>
      <c r="I932" s="39">
        <v>0.34185650642605236</v>
      </c>
      <c r="J932" s="39">
        <v>7.9181447233658053E-2</v>
      </c>
    </row>
    <row r="933" spans="1:10" ht="11.25" customHeight="1" x14ac:dyDescent="0.2">
      <c r="A933" s="67">
        <v>44805</v>
      </c>
      <c r="B933" s="58">
        <v>0</v>
      </c>
      <c r="C933" s="58">
        <v>0</v>
      </c>
      <c r="D933" s="58">
        <v>3017.0237500000003</v>
      </c>
      <c r="E933" s="58">
        <v>3091.5485832865033</v>
      </c>
      <c r="F933" s="58">
        <v>625.74450000000002</v>
      </c>
      <c r="G933" s="58">
        <v>839.65932868531661</v>
      </c>
      <c r="H933" s="39">
        <v>2.4701440711728972E-2</v>
      </c>
      <c r="I933" s="39">
        <v>0.34185650642605192</v>
      </c>
      <c r="J933" s="39">
        <v>7.9181447233658053E-2</v>
      </c>
    </row>
    <row r="934" spans="1:10" ht="11.25" customHeight="1" x14ac:dyDescent="0.2">
      <c r="A934" s="67">
        <v>44835</v>
      </c>
      <c r="B934" s="58">
        <v>0</v>
      </c>
      <c r="C934" s="58">
        <v>0</v>
      </c>
      <c r="D934" s="58">
        <v>3394.9662499999995</v>
      </c>
      <c r="E934" s="58">
        <v>3478.8268075426959</v>
      </c>
      <c r="F934" s="58">
        <v>704.13149999999996</v>
      </c>
      <c r="G934" s="58">
        <v>944.84343465453549</v>
      </c>
      <c r="H934" s="39">
        <v>2.4701440711729195E-2</v>
      </c>
      <c r="I934" s="39">
        <v>0.34185650642605192</v>
      </c>
      <c r="J934" s="39">
        <v>7.9181447233658275E-2</v>
      </c>
    </row>
    <row r="935" spans="1:10" ht="11.25" customHeight="1" x14ac:dyDescent="0.2">
      <c r="A935" s="67">
        <v>44866</v>
      </c>
      <c r="B935" s="58">
        <v>0</v>
      </c>
      <c r="C935" s="58">
        <v>0</v>
      </c>
      <c r="D935" s="58">
        <v>3394.9662499999995</v>
      </c>
      <c r="E935" s="58">
        <v>3478.8268075426959</v>
      </c>
      <c r="F935" s="58">
        <v>704.13149999999996</v>
      </c>
      <c r="G935" s="58">
        <v>944.84343465453549</v>
      </c>
      <c r="H935" s="39">
        <v>2.4701440711729195E-2</v>
      </c>
      <c r="I935" s="39">
        <v>0.34185650642605192</v>
      </c>
      <c r="J935" s="39">
        <v>7.9181447233658275E-2</v>
      </c>
    </row>
    <row r="936" spans="1:10" ht="11.25" customHeight="1" x14ac:dyDescent="0.2">
      <c r="A936" s="61" t="s">
        <v>23</v>
      </c>
      <c r="B936" s="58">
        <v>0</v>
      </c>
      <c r="C936" s="58">
        <v>0</v>
      </c>
      <c r="D936" s="58">
        <v>96941226.064568013</v>
      </c>
      <c r="E936" s="58">
        <v>105149787.5158934</v>
      </c>
      <c r="F936" s="58">
        <v>36923817.296120413</v>
      </c>
      <c r="G936" s="58">
        <v>48311497.642448522</v>
      </c>
      <c r="H936" s="39">
        <v>8.4675651263766749E-2</v>
      </c>
      <c r="I936" s="39">
        <v>0.30841015854350906</v>
      </c>
      <c r="J936" s="39">
        <v>0.14638804355258683</v>
      </c>
    </row>
    <row r="937" spans="1:10" ht="11.25" customHeight="1" x14ac:dyDescent="0.2">
      <c r="A937" s="62" t="s">
        <v>45</v>
      </c>
      <c r="B937" s="58">
        <v>0</v>
      </c>
      <c r="C937" s="58">
        <v>0</v>
      </c>
      <c r="D937" s="58">
        <v>71153154.613600016</v>
      </c>
      <c r="E937" s="58">
        <v>77074823.02057147</v>
      </c>
      <c r="F937" s="58">
        <v>27101432.359080002</v>
      </c>
      <c r="G937" s="58">
        <v>35412340.991061449</v>
      </c>
      <c r="H937" s="39">
        <v>8.3224256733651636E-2</v>
      </c>
      <c r="I937" s="39">
        <v>0.30665938692339911</v>
      </c>
      <c r="J937" s="39">
        <v>0.14485407223695645</v>
      </c>
    </row>
    <row r="938" spans="1:10" ht="11.25" customHeight="1" x14ac:dyDescent="0.2">
      <c r="A938" s="63" t="s">
        <v>25</v>
      </c>
      <c r="B938" s="58">
        <v>0</v>
      </c>
      <c r="C938" s="58">
        <v>0</v>
      </c>
      <c r="D938" s="58">
        <v>71153154.613600016</v>
      </c>
      <c r="E938" s="58">
        <v>77074823.02057147</v>
      </c>
      <c r="F938" s="58">
        <v>27101432.359080002</v>
      </c>
      <c r="G938" s="58">
        <v>35412340.991061449</v>
      </c>
      <c r="H938" s="39">
        <v>8.3224256733651636E-2</v>
      </c>
      <c r="I938" s="39">
        <v>0.30665938692339911</v>
      </c>
      <c r="J938" s="39">
        <v>0.14485407223695645</v>
      </c>
    </row>
    <row r="939" spans="1:10" ht="11.25" customHeight="1" x14ac:dyDescent="0.2">
      <c r="A939" s="64" t="s">
        <v>25</v>
      </c>
      <c r="B939" s="58">
        <v>0</v>
      </c>
      <c r="C939" s="58">
        <v>0</v>
      </c>
      <c r="D939" s="58">
        <v>71153154.613600016</v>
      </c>
      <c r="E939" s="58">
        <v>77074823.02057147</v>
      </c>
      <c r="F939" s="58">
        <v>27101432.359080002</v>
      </c>
      <c r="G939" s="58">
        <v>35412340.991061449</v>
      </c>
      <c r="H939" s="39">
        <v>8.3224256733651636E-2</v>
      </c>
      <c r="I939" s="39">
        <v>0.30665938692339911</v>
      </c>
      <c r="J939" s="39">
        <v>0.14485407223695645</v>
      </c>
    </row>
    <row r="940" spans="1:10" ht="11.25" customHeight="1" x14ac:dyDescent="0.2">
      <c r="A940" s="65" t="s">
        <v>25</v>
      </c>
      <c r="B940" s="58">
        <v>0</v>
      </c>
      <c r="C940" s="58">
        <v>0</v>
      </c>
      <c r="D940" s="58">
        <v>71153154.613600016</v>
      </c>
      <c r="E940" s="58">
        <v>77074823.02057147</v>
      </c>
      <c r="F940" s="58">
        <v>27101432.359080002</v>
      </c>
      <c r="G940" s="58">
        <v>35412340.991061449</v>
      </c>
      <c r="H940" s="39">
        <v>8.3224256733651636E-2</v>
      </c>
      <c r="I940" s="39">
        <v>0.30665938692339911</v>
      </c>
      <c r="J940" s="39">
        <v>0.14485407223695645</v>
      </c>
    </row>
    <row r="941" spans="1:10" ht="11.25" customHeight="1" x14ac:dyDescent="0.2">
      <c r="A941" s="66" t="s">
        <v>25</v>
      </c>
      <c r="B941" s="58">
        <v>0</v>
      </c>
      <c r="C941" s="58">
        <v>0</v>
      </c>
      <c r="D941" s="58">
        <v>71153154.613600016</v>
      </c>
      <c r="E941" s="58">
        <v>77074823.02057147</v>
      </c>
      <c r="F941" s="58">
        <v>27101432.359080002</v>
      </c>
      <c r="G941" s="58">
        <v>35412340.991061449</v>
      </c>
      <c r="H941" s="39">
        <v>8.3224256733651636E-2</v>
      </c>
      <c r="I941" s="39">
        <v>0.30665938692339911</v>
      </c>
      <c r="J941" s="39">
        <v>0.14485407223695645</v>
      </c>
    </row>
    <row r="942" spans="1:10" ht="11.25" customHeight="1" x14ac:dyDescent="0.2">
      <c r="A942" s="67">
        <v>44531</v>
      </c>
      <c r="B942" s="58">
        <v>0</v>
      </c>
      <c r="C942" s="58">
        <v>0</v>
      </c>
      <c r="D942" s="58">
        <v>5992170.0072000017</v>
      </c>
      <c r="E942" s="58">
        <v>6490863.902270901</v>
      </c>
      <c r="F942" s="58">
        <v>2282349.8271600003</v>
      </c>
      <c r="G942" s="58">
        <v>2982253.8259016117</v>
      </c>
      <c r="H942" s="39">
        <v>8.3224256733651414E-2</v>
      </c>
      <c r="I942" s="39">
        <v>0.30665938692339889</v>
      </c>
      <c r="J942" s="39">
        <v>0.14485407223695623</v>
      </c>
    </row>
    <row r="943" spans="1:10" ht="11.25" customHeight="1" x14ac:dyDescent="0.2">
      <c r="A943" s="67">
        <v>44562</v>
      </c>
      <c r="B943" s="58">
        <v>0</v>
      </c>
      <c r="C943" s="58">
        <v>0</v>
      </c>
      <c r="D943" s="58">
        <v>5687939.9248000002</v>
      </c>
      <c r="E943" s="58">
        <v>6161314.4973871429</v>
      </c>
      <c r="F943" s="58">
        <v>2166472.0274399999</v>
      </c>
      <c r="G943" s="58">
        <v>2830841.0111614447</v>
      </c>
      <c r="H943" s="39">
        <v>8.3224256733651636E-2</v>
      </c>
      <c r="I943" s="39">
        <v>0.30665938692339956</v>
      </c>
      <c r="J943" s="39">
        <v>0.14485407223695668</v>
      </c>
    </row>
    <row r="944" spans="1:10" ht="11.25" customHeight="1" x14ac:dyDescent="0.2">
      <c r="A944" s="67">
        <v>44593</v>
      </c>
      <c r="B944" s="58">
        <v>0</v>
      </c>
      <c r="C944" s="58">
        <v>0</v>
      </c>
      <c r="D944" s="58">
        <v>5430420.324000001</v>
      </c>
      <c r="E944" s="58">
        <v>5882363.0192162162</v>
      </c>
      <c r="F944" s="58">
        <v>2068385.7222000007</v>
      </c>
      <c r="G944" s="58">
        <v>2702675.6196909645</v>
      </c>
      <c r="H944" s="39">
        <v>8.3224256733651636E-2</v>
      </c>
      <c r="I944" s="39">
        <v>0.30665938692339889</v>
      </c>
      <c r="J944" s="39">
        <v>0.14485407223695623</v>
      </c>
    </row>
    <row r="945" spans="1:10" ht="11.25" customHeight="1" x14ac:dyDescent="0.2">
      <c r="A945" s="67">
        <v>44621</v>
      </c>
      <c r="B945" s="58">
        <v>0</v>
      </c>
      <c r="C945" s="58">
        <v>0</v>
      </c>
      <c r="D945" s="58">
        <v>5600549.9340000004</v>
      </c>
      <c r="E945" s="58">
        <v>6066651.5395568516</v>
      </c>
      <c r="F945" s="58">
        <v>2133186.1676999996</v>
      </c>
      <c r="G945" s="58">
        <v>2787347.7300803578</v>
      </c>
      <c r="H945" s="39">
        <v>8.3224256733651636E-2</v>
      </c>
      <c r="I945" s="39">
        <v>0.30665938692339956</v>
      </c>
      <c r="J945" s="39">
        <v>0.14485407223695623</v>
      </c>
    </row>
    <row r="946" spans="1:10" ht="11.25" customHeight="1" x14ac:dyDescent="0.2">
      <c r="A946" s="67">
        <v>44652</v>
      </c>
      <c r="B946" s="58">
        <v>0</v>
      </c>
      <c r="C946" s="58">
        <v>0</v>
      </c>
      <c r="D946" s="58">
        <v>5798164.0700000003</v>
      </c>
      <c r="E946" s="58">
        <v>6280711.9651455153</v>
      </c>
      <c r="F946" s="58">
        <v>2208455.1585000004</v>
      </c>
      <c r="G946" s="58">
        <v>2885698.663453429</v>
      </c>
      <c r="H946" s="39">
        <v>8.3224256733651636E-2</v>
      </c>
      <c r="I946" s="39">
        <v>0.30665938692339934</v>
      </c>
      <c r="J946" s="39">
        <v>0.14485407223695623</v>
      </c>
    </row>
    <row r="947" spans="1:10" ht="11.25" customHeight="1" x14ac:dyDescent="0.2">
      <c r="A947" s="67">
        <v>44682</v>
      </c>
      <c r="B947" s="58">
        <v>0</v>
      </c>
      <c r="C947" s="58">
        <v>0</v>
      </c>
      <c r="D947" s="58">
        <v>5791763.1447999999</v>
      </c>
      <c r="E947" s="58">
        <v>6273778.3277033381</v>
      </c>
      <c r="F947" s="58">
        <v>2206017.1184399999</v>
      </c>
      <c r="G947" s="58">
        <v>2882512.9755233349</v>
      </c>
      <c r="H947" s="39">
        <v>8.3224256733651858E-2</v>
      </c>
      <c r="I947" s="39">
        <v>0.30665938692339956</v>
      </c>
      <c r="J947" s="39">
        <v>0.14485407223695645</v>
      </c>
    </row>
    <row r="948" spans="1:10" ht="11.25" customHeight="1" x14ac:dyDescent="0.2">
      <c r="A948" s="67">
        <v>44713</v>
      </c>
      <c r="B948" s="58">
        <v>0</v>
      </c>
      <c r="C948" s="58">
        <v>0</v>
      </c>
      <c r="D948" s="58">
        <v>5453360.6428000005</v>
      </c>
      <c r="E948" s="58">
        <v>5907212.5289975805</v>
      </c>
      <c r="F948" s="58">
        <v>2077123.43034</v>
      </c>
      <c r="G948" s="58">
        <v>2714092.828052293</v>
      </c>
      <c r="H948" s="39">
        <v>8.3224256733651858E-2</v>
      </c>
      <c r="I948" s="39">
        <v>0.30665938692339956</v>
      </c>
      <c r="J948" s="39">
        <v>0.14485407223695645</v>
      </c>
    </row>
    <row r="949" spans="1:10" ht="11.25" customHeight="1" x14ac:dyDescent="0.2">
      <c r="A949" s="67">
        <v>44743</v>
      </c>
      <c r="B949" s="58">
        <v>0</v>
      </c>
      <c r="C949" s="58">
        <v>0</v>
      </c>
      <c r="D949" s="58">
        <v>6117430.0911999997</v>
      </c>
      <c r="E949" s="58">
        <v>6626548.6636601957</v>
      </c>
      <c r="F949" s="58">
        <v>2330059.9773600004</v>
      </c>
      <c r="G949" s="58">
        <v>3044594.7415119675</v>
      </c>
      <c r="H949" s="39">
        <v>8.3224256733651858E-2</v>
      </c>
      <c r="I949" s="39">
        <v>0.30665938692339911</v>
      </c>
      <c r="J949" s="39">
        <v>0.14485407223695645</v>
      </c>
    </row>
    <row r="950" spans="1:10" ht="11.25" customHeight="1" x14ac:dyDescent="0.2">
      <c r="A950" s="67">
        <v>44774</v>
      </c>
      <c r="B950" s="58">
        <v>0</v>
      </c>
      <c r="C950" s="58">
        <v>0</v>
      </c>
      <c r="D950" s="58">
        <v>6189579.6956000002</v>
      </c>
      <c r="E950" s="58">
        <v>6704702.8652600115</v>
      </c>
      <c r="F950" s="58">
        <v>2357540.94618</v>
      </c>
      <c r="G950" s="58">
        <v>3080503.0073823696</v>
      </c>
      <c r="H950" s="39">
        <v>8.3224256733651636E-2</v>
      </c>
      <c r="I950" s="39">
        <v>0.30665938692339934</v>
      </c>
      <c r="J950" s="39">
        <v>0.14485407223695645</v>
      </c>
    </row>
    <row r="951" spans="1:10" ht="11.25" customHeight="1" x14ac:dyDescent="0.2">
      <c r="A951" s="67">
        <v>44805</v>
      </c>
      <c r="B951" s="58">
        <v>0</v>
      </c>
      <c r="C951" s="58">
        <v>0</v>
      </c>
      <c r="D951" s="58">
        <v>6173409.7912000017</v>
      </c>
      <c r="E951" s="58">
        <v>6687187.2325848676</v>
      </c>
      <c r="F951" s="58">
        <v>2351382.0123600005</v>
      </c>
      <c r="G951" s="58">
        <v>3072455.378693027</v>
      </c>
      <c r="H951" s="39">
        <v>8.3224256733651414E-2</v>
      </c>
      <c r="I951" s="39">
        <v>0.30665938692339911</v>
      </c>
      <c r="J951" s="39">
        <v>0.14485407223695623</v>
      </c>
    </row>
    <row r="952" spans="1:10" ht="11.25" customHeight="1" x14ac:dyDescent="0.2">
      <c r="A952" s="67">
        <v>44835</v>
      </c>
      <c r="B952" s="58">
        <v>0</v>
      </c>
      <c r="C952" s="58">
        <v>0</v>
      </c>
      <c r="D952" s="58">
        <v>6459183.4939999999</v>
      </c>
      <c r="E952" s="58">
        <v>6996744.2393944217</v>
      </c>
      <c r="F952" s="58">
        <v>2460229.9857000001</v>
      </c>
      <c r="G952" s="58">
        <v>3214682.6048053256</v>
      </c>
      <c r="H952" s="39">
        <v>8.3224256733651858E-2</v>
      </c>
      <c r="I952" s="39">
        <v>0.30665938692339934</v>
      </c>
      <c r="J952" s="39">
        <v>0.14485407223695645</v>
      </c>
    </row>
    <row r="953" spans="1:10" ht="11.25" customHeight="1" x14ac:dyDescent="0.2">
      <c r="A953" s="67">
        <v>44866</v>
      </c>
      <c r="B953" s="58">
        <v>0</v>
      </c>
      <c r="C953" s="58">
        <v>0</v>
      </c>
      <c r="D953" s="58">
        <v>6459183.4939999999</v>
      </c>
      <c r="E953" s="58">
        <v>6996744.2393944217</v>
      </c>
      <c r="F953" s="58">
        <v>2460229.9857000001</v>
      </c>
      <c r="G953" s="58">
        <v>3214682.6048053256</v>
      </c>
      <c r="H953" s="39">
        <v>8.3224256733651858E-2</v>
      </c>
      <c r="I953" s="39">
        <v>0.30665938692339934</v>
      </c>
      <c r="J953" s="39">
        <v>0.14485407223695645</v>
      </c>
    </row>
    <row r="954" spans="1:10" ht="11.25" customHeight="1" x14ac:dyDescent="0.2">
      <c r="A954" s="62" t="s">
        <v>54</v>
      </c>
      <c r="B954" s="58">
        <v>0</v>
      </c>
      <c r="C954" s="58">
        <v>0</v>
      </c>
      <c r="D954" s="58">
        <v>477579.39439999999</v>
      </c>
      <c r="E954" s="58">
        <v>517325.58453024749</v>
      </c>
      <c r="F954" s="58">
        <v>181904.59332000001</v>
      </c>
      <c r="G954" s="58">
        <v>237687.34438606151</v>
      </c>
      <c r="H954" s="39">
        <v>8.3224256733651414E-2</v>
      </c>
      <c r="I954" s="39">
        <v>0.30665938692339978</v>
      </c>
      <c r="J954" s="39">
        <v>0.14485407223695645</v>
      </c>
    </row>
    <row r="955" spans="1:10" ht="11.25" customHeight="1" x14ac:dyDescent="0.2">
      <c r="A955" s="63" t="s">
        <v>25</v>
      </c>
      <c r="B955" s="58">
        <v>0</v>
      </c>
      <c r="C955" s="58">
        <v>0</v>
      </c>
      <c r="D955" s="58">
        <v>477579.39439999999</v>
      </c>
      <c r="E955" s="58">
        <v>517325.58453024749</v>
      </c>
      <c r="F955" s="58">
        <v>181904.59332000001</v>
      </c>
      <c r="G955" s="58">
        <v>237687.34438606151</v>
      </c>
      <c r="H955" s="39">
        <v>8.3224256733651414E-2</v>
      </c>
      <c r="I955" s="39">
        <v>0.30665938692339978</v>
      </c>
      <c r="J955" s="39">
        <v>0.14485407223695645</v>
      </c>
    </row>
    <row r="956" spans="1:10" ht="11.25" customHeight="1" x14ac:dyDescent="0.2">
      <c r="A956" s="64" t="s">
        <v>25</v>
      </c>
      <c r="B956" s="58">
        <v>0</v>
      </c>
      <c r="C956" s="58">
        <v>0</v>
      </c>
      <c r="D956" s="58">
        <v>477579.39439999999</v>
      </c>
      <c r="E956" s="58">
        <v>517325.58453024749</v>
      </c>
      <c r="F956" s="58">
        <v>181904.59332000001</v>
      </c>
      <c r="G956" s="58">
        <v>237687.34438606151</v>
      </c>
      <c r="H956" s="39">
        <v>8.3224256733651414E-2</v>
      </c>
      <c r="I956" s="39">
        <v>0.30665938692339978</v>
      </c>
      <c r="J956" s="39">
        <v>0.14485407223695645</v>
      </c>
    </row>
    <row r="957" spans="1:10" ht="11.25" customHeight="1" x14ac:dyDescent="0.2">
      <c r="A957" s="65" t="s">
        <v>25</v>
      </c>
      <c r="B957" s="58">
        <v>0</v>
      </c>
      <c r="C957" s="58">
        <v>0</v>
      </c>
      <c r="D957" s="58">
        <v>477579.39439999999</v>
      </c>
      <c r="E957" s="58">
        <v>517325.58453024749</v>
      </c>
      <c r="F957" s="58">
        <v>181904.59332000001</v>
      </c>
      <c r="G957" s="58">
        <v>237687.34438606151</v>
      </c>
      <c r="H957" s="39">
        <v>8.3224256733651414E-2</v>
      </c>
      <c r="I957" s="39">
        <v>0.30665938692339978</v>
      </c>
      <c r="J957" s="39">
        <v>0.14485407223695645</v>
      </c>
    </row>
    <row r="958" spans="1:10" ht="11.25" customHeight="1" x14ac:dyDescent="0.2">
      <c r="A958" s="66" t="s">
        <v>25</v>
      </c>
      <c r="B958" s="58">
        <v>0</v>
      </c>
      <c r="C958" s="58">
        <v>0</v>
      </c>
      <c r="D958" s="58">
        <v>477579.39439999999</v>
      </c>
      <c r="E958" s="58">
        <v>517325.58453024749</v>
      </c>
      <c r="F958" s="58">
        <v>181904.59332000001</v>
      </c>
      <c r="G958" s="58">
        <v>237687.34438606151</v>
      </c>
      <c r="H958" s="39">
        <v>8.3224256733651414E-2</v>
      </c>
      <c r="I958" s="39">
        <v>0.30665938692339978</v>
      </c>
      <c r="J958" s="39">
        <v>0.14485407223695645</v>
      </c>
    </row>
    <row r="959" spans="1:10" ht="11.25" customHeight="1" x14ac:dyDescent="0.2">
      <c r="A959" s="67">
        <v>44531</v>
      </c>
      <c r="B959" s="58">
        <v>0</v>
      </c>
      <c r="C959" s="58">
        <v>0</v>
      </c>
      <c r="D959" s="58">
        <v>38106.9928</v>
      </c>
      <c r="E959" s="58">
        <v>41278.418952134612</v>
      </c>
      <c r="F959" s="58">
        <v>14514.522840000001</v>
      </c>
      <c r="G959" s="58">
        <v>18965.537515600077</v>
      </c>
      <c r="H959" s="39">
        <v>8.3224256733651636E-2</v>
      </c>
      <c r="I959" s="39">
        <v>0.30665938692339934</v>
      </c>
      <c r="J959" s="39">
        <v>0.14485407223695645</v>
      </c>
    </row>
    <row r="960" spans="1:10" ht="11.25" customHeight="1" x14ac:dyDescent="0.2">
      <c r="A960" s="67">
        <v>44562</v>
      </c>
      <c r="B960" s="58">
        <v>0</v>
      </c>
      <c r="C960" s="58">
        <v>0</v>
      </c>
      <c r="D960" s="58">
        <v>40149.614400000006</v>
      </c>
      <c r="E960" s="58">
        <v>43491.036216582725</v>
      </c>
      <c r="F960" s="58">
        <v>15292.534320000002</v>
      </c>
      <c r="G960" s="58">
        <v>19982.133519076244</v>
      </c>
      <c r="H960" s="39">
        <v>8.3224256733651636E-2</v>
      </c>
      <c r="I960" s="39">
        <v>0.30665938692339911</v>
      </c>
      <c r="J960" s="39">
        <v>0.14485407223695645</v>
      </c>
    </row>
    <row r="961" spans="1:10" ht="11.25" customHeight="1" x14ac:dyDescent="0.2">
      <c r="A961" s="67">
        <v>44593</v>
      </c>
      <c r="B961" s="58">
        <v>0</v>
      </c>
      <c r="C961" s="58">
        <v>0</v>
      </c>
      <c r="D961" s="58">
        <v>41406.897600000004</v>
      </c>
      <c r="E961" s="58">
        <v>44852.955876406428</v>
      </c>
      <c r="F961" s="58">
        <v>15771.41928</v>
      </c>
      <c r="G961" s="58">
        <v>20607.873047316683</v>
      </c>
      <c r="H961" s="39">
        <v>8.3224256733651636E-2</v>
      </c>
      <c r="I961" s="39">
        <v>0.30665938692339956</v>
      </c>
      <c r="J961" s="39">
        <v>0.14485407223695645</v>
      </c>
    </row>
    <row r="962" spans="1:10" ht="11.25" customHeight="1" x14ac:dyDescent="0.2">
      <c r="A962" s="67">
        <v>44621</v>
      </c>
      <c r="B962" s="58">
        <v>0</v>
      </c>
      <c r="C962" s="58">
        <v>0</v>
      </c>
      <c r="D962" s="58">
        <v>34604.4948</v>
      </c>
      <c r="E962" s="58">
        <v>37484.428159373521</v>
      </c>
      <c r="F962" s="58">
        <v>13180.460940000001</v>
      </c>
      <c r="G962" s="58">
        <v>17222.373011228214</v>
      </c>
      <c r="H962" s="39">
        <v>8.3224256733651858E-2</v>
      </c>
      <c r="I962" s="39">
        <v>0.30665938692339934</v>
      </c>
      <c r="J962" s="39">
        <v>0.14485407223695645</v>
      </c>
    </row>
    <row r="963" spans="1:10" ht="11.25" customHeight="1" x14ac:dyDescent="0.2">
      <c r="A963" s="67">
        <v>44652</v>
      </c>
      <c r="B963" s="58">
        <v>0</v>
      </c>
      <c r="C963" s="58">
        <v>0</v>
      </c>
      <c r="D963" s="58">
        <v>39227.514000000003</v>
      </c>
      <c r="E963" s="58">
        <v>42492.19469615892</v>
      </c>
      <c r="F963" s="58">
        <v>14941.316699999999</v>
      </c>
      <c r="G963" s="58">
        <v>19523.211719050345</v>
      </c>
      <c r="H963" s="39">
        <v>8.3224256733651636E-2</v>
      </c>
      <c r="I963" s="39">
        <v>0.30665938692339911</v>
      </c>
      <c r="J963" s="39">
        <v>0.14485407223695623</v>
      </c>
    </row>
    <row r="964" spans="1:10" ht="11.25" customHeight="1" x14ac:dyDescent="0.2">
      <c r="A964" s="67">
        <v>44682</v>
      </c>
      <c r="B964" s="58">
        <v>0</v>
      </c>
      <c r="C964" s="58">
        <v>0</v>
      </c>
      <c r="D964" s="58">
        <v>34718.076799999995</v>
      </c>
      <c r="E964" s="58">
        <v>37607.462936901844</v>
      </c>
      <c r="F964" s="58">
        <v>13223.723039999999</v>
      </c>
      <c r="G964" s="58">
        <v>17278.90184029123</v>
      </c>
      <c r="H964" s="39">
        <v>8.322425673365208E-2</v>
      </c>
      <c r="I964" s="39">
        <v>0.30665938692339934</v>
      </c>
      <c r="J964" s="39">
        <v>0.14485407223695668</v>
      </c>
    </row>
    <row r="965" spans="1:10" ht="11.25" customHeight="1" x14ac:dyDescent="0.2">
      <c r="A965" s="67">
        <v>44713</v>
      </c>
      <c r="B965" s="58">
        <v>0</v>
      </c>
      <c r="C965" s="58">
        <v>0</v>
      </c>
      <c r="D965" s="58">
        <v>30780.258400000002</v>
      </c>
      <c r="E965" s="58">
        <v>33341.922527409741</v>
      </c>
      <c r="F965" s="58">
        <v>11723.85252</v>
      </c>
      <c r="G965" s="58">
        <v>15319.081946163551</v>
      </c>
      <c r="H965" s="39">
        <v>8.3224256733651636E-2</v>
      </c>
      <c r="I965" s="39">
        <v>0.30665938692339934</v>
      </c>
      <c r="J965" s="39">
        <v>0.14485407223695645</v>
      </c>
    </row>
    <row r="966" spans="1:10" ht="11.25" customHeight="1" x14ac:dyDescent="0.2">
      <c r="A966" s="67">
        <v>44743</v>
      </c>
      <c r="B966" s="58">
        <v>0</v>
      </c>
      <c r="C966" s="58">
        <v>0</v>
      </c>
      <c r="D966" s="58">
        <v>36757.453200000004</v>
      </c>
      <c r="E966" s="58">
        <v>39816.564921991987</v>
      </c>
      <c r="F966" s="58">
        <v>14000.498460000001</v>
      </c>
      <c r="G966" s="58">
        <v>18293.882734365601</v>
      </c>
      <c r="H966" s="39">
        <v>8.3224256733651636E-2</v>
      </c>
      <c r="I966" s="39">
        <v>0.30665938692339956</v>
      </c>
      <c r="J966" s="39">
        <v>0.14485407223695645</v>
      </c>
    </row>
    <row r="967" spans="1:10" ht="11.25" customHeight="1" x14ac:dyDescent="0.2">
      <c r="A967" s="67">
        <v>44774</v>
      </c>
      <c r="B967" s="58">
        <v>0</v>
      </c>
      <c r="C967" s="58">
        <v>0</v>
      </c>
      <c r="D967" s="58">
        <v>42889.0268</v>
      </c>
      <c r="E967" s="58">
        <v>46458.434177459669</v>
      </c>
      <c r="F967" s="58">
        <v>16335.945539999999</v>
      </c>
      <c r="G967" s="58">
        <v>21345.516584110439</v>
      </c>
      <c r="H967" s="39">
        <v>8.3224256733651636E-2</v>
      </c>
      <c r="I967" s="39">
        <v>0.30665938692339934</v>
      </c>
      <c r="J967" s="39">
        <v>0.14485407223695623</v>
      </c>
    </row>
    <row r="968" spans="1:10" ht="11.25" customHeight="1" x14ac:dyDescent="0.2">
      <c r="A968" s="67">
        <v>44805</v>
      </c>
      <c r="B968" s="58">
        <v>0</v>
      </c>
      <c r="C968" s="58">
        <v>0</v>
      </c>
      <c r="D968" s="58">
        <v>45327.099200000004</v>
      </c>
      <c r="E968" s="58">
        <v>49099.413340812498</v>
      </c>
      <c r="F968" s="58">
        <v>17264.579760000001</v>
      </c>
      <c r="G968" s="58">
        <v>22558.925204691728</v>
      </c>
      <c r="H968" s="39">
        <v>8.3224256733651636E-2</v>
      </c>
      <c r="I968" s="39">
        <v>0.30665938692339934</v>
      </c>
      <c r="J968" s="39">
        <v>0.14485407223695645</v>
      </c>
    </row>
    <row r="969" spans="1:10" ht="11.25" customHeight="1" x14ac:dyDescent="0.2">
      <c r="A969" s="67">
        <v>44835</v>
      </c>
      <c r="B969" s="58">
        <v>0</v>
      </c>
      <c r="C969" s="58">
        <v>0</v>
      </c>
      <c r="D969" s="58">
        <v>46805.983200000002</v>
      </c>
      <c r="E969" s="58">
        <v>50701.376362507785</v>
      </c>
      <c r="F969" s="58">
        <v>17827.86996</v>
      </c>
      <c r="G969" s="58">
        <v>23294.953632083689</v>
      </c>
      <c r="H969" s="39">
        <v>8.3224256733651636E-2</v>
      </c>
      <c r="I969" s="39">
        <v>0.30665938692339934</v>
      </c>
      <c r="J969" s="39">
        <v>0.14485407223695645</v>
      </c>
    </row>
    <row r="970" spans="1:10" ht="11.25" customHeight="1" x14ac:dyDescent="0.2">
      <c r="A970" s="67">
        <v>44866</v>
      </c>
      <c r="B970" s="58">
        <v>0</v>
      </c>
      <c r="C970" s="58">
        <v>0</v>
      </c>
      <c r="D970" s="58">
        <v>46805.983200000002</v>
      </c>
      <c r="E970" s="58">
        <v>50701.376362507785</v>
      </c>
      <c r="F970" s="58">
        <v>17827.86996</v>
      </c>
      <c r="G970" s="58">
        <v>23294.953632083689</v>
      </c>
      <c r="H970" s="39">
        <v>8.3224256733651636E-2</v>
      </c>
      <c r="I970" s="39">
        <v>0.30665938692339934</v>
      </c>
      <c r="J970" s="39">
        <v>0.14485407223695645</v>
      </c>
    </row>
    <row r="971" spans="1:10" ht="11.25" customHeight="1" x14ac:dyDescent="0.2">
      <c r="A971" s="62" t="s">
        <v>40</v>
      </c>
      <c r="B971" s="58">
        <v>0</v>
      </c>
      <c r="C971" s="58">
        <v>0</v>
      </c>
      <c r="D971" s="58">
        <v>1820572.4988000006</v>
      </c>
      <c r="E971" s="58">
        <v>1972088.2918423568</v>
      </c>
      <c r="F971" s="58">
        <v>693435.4871400001</v>
      </c>
      <c r="G971" s="58">
        <v>906083.98849728121</v>
      </c>
      <c r="H971" s="39">
        <v>8.3224256733651858E-2</v>
      </c>
      <c r="I971" s="39">
        <v>0.30665938692339956</v>
      </c>
      <c r="J971" s="39">
        <v>0.14485407223695645</v>
      </c>
    </row>
    <row r="972" spans="1:10" ht="11.25" customHeight="1" x14ac:dyDescent="0.2">
      <c r="A972" s="63" t="s">
        <v>25</v>
      </c>
      <c r="B972" s="58">
        <v>0</v>
      </c>
      <c r="C972" s="58">
        <v>0</v>
      </c>
      <c r="D972" s="58">
        <v>1820572.4988000006</v>
      </c>
      <c r="E972" s="58">
        <v>1972088.2918423568</v>
      </c>
      <c r="F972" s="58">
        <v>693435.4871400001</v>
      </c>
      <c r="G972" s="58">
        <v>906083.98849728121</v>
      </c>
      <c r="H972" s="39">
        <v>8.3224256733651858E-2</v>
      </c>
      <c r="I972" s="39">
        <v>0.30665938692339956</v>
      </c>
      <c r="J972" s="39">
        <v>0.14485407223695645</v>
      </c>
    </row>
    <row r="973" spans="1:10" ht="11.25" customHeight="1" x14ac:dyDescent="0.2">
      <c r="A973" s="64" t="s">
        <v>25</v>
      </c>
      <c r="B973" s="58">
        <v>0</v>
      </c>
      <c r="C973" s="58">
        <v>0</v>
      </c>
      <c r="D973" s="58">
        <v>1820572.4988000006</v>
      </c>
      <c r="E973" s="58">
        <v>1972088.2918423568</v>
      </c>
      <c r="F973" s="58">
        <v>693435.4871400001</v>
      </c>
      <c r="G973" s="58">
        <v>906083.98849728121</v>
      </c>
      <c r="H973" s="39">
        <v>8.3224256733651858E-2</v>
      </c>
      <c r="I973" s="39">
        <v>0.30665938692339956</v>
      </c>
      <c r="J973" s="39">
        <v>0.14485407223695645</v>
      </c>
    </row>
    <row r="974" spans="1:10" ht="11.25" customHeight="1" x14ac:dyDescent="0.2">
      <c r="A974" s="65" t="s">
        <v>25</v>
      </c>
      <c r="B974" s="58">
        <v>0</v>
      </c>
      <c r="C974" s="58">
        <v>0</v>
      </c>
      <c r="D974" s="58">
        <v>1820572.4988000006</v>
      </c>
      <c r="E974" s="58">
        <v>1972088.2918423568</v>
      </c>
      <c r="F974" s="58">
        <v>693435.4871400001</v>
      </c>
      <c r="G974" s="58">
        <v>906083.98849728121</v>
      </c>
      <c r="H974" s="39">
        <v>8.3224256733651858E-2</v>
      </c>
      <c r="I974" s="39">
        <v>0.30665938692339956</v>
      </c>
      <c r="J974" s="39">
        <v>0.14485407223695645</v>
      </c>
    </row>
    <row r="975" spans="1:10" ht="11.25" customHeight="1" x14ac:dyDescent="0.2">
      <c r="A975" s="66" t="s">
        <v>25</v>
      </c>
      <c r="B975" s="58">
        <v>0</v>
      </c>
      <c r="C975" s="58">
        <v>0</v>
      </c>
      <c r="D975" s="58">
        <v>1820572.4988000006</v>
      </c>
      <c r="E975" s="58">
        <v>1972088.2918423568</v>
      </c>
      <c r="F975" s="58">
        <v>693435.4871400001</v>
      </c>
      <c r="G975" s="58">
        <v>906083.98849728121</v>
      </c>
      <c r="H975" s="39">
        <v>8.3224256733651858E-2</v>
      </c>
      <c r="I975" s="39">
        <v>0.30665938692339956</v>
      </c>
      <c r="J975" s="39">
        <v>0.14485407223695645</v>
      </c>
    </row>
    <row r="976" spans="1:10" ht="11.25" customHeight="1" x14ac:dyDescent="0.2">
      <c r="A976" s="67">
        <v>44531</v>
      </c>
      <c r="B976" s="58">
        <v>0</v>
      </c>
      <c r="C976" s="58">
        <v>0</v>
      </c>
      <c r="D976" s="58">
        <v>138210.75</v>
      </c>
      <c r="E976" s="58">
        <v>149713.23694135057</v>
      </c>
      <c r="F976" s="58">
        <v>52642.912500000006</v>
      </c>
      <c r="G976" s="58">
        <v>68786.355773112155</v>
      </c>
      <c r="H976" s="39">
        <v>8.3224256733651858E-2</v>
      </c>
      <c r="I976" s="39">
        <v>0.30665938692339911</v>
      </c>
      <c r="J976" s="39">
        <v>0.14485407223695645</v>
      </c>
    </row>
    <row r="977" spans="1:10" ht="11.25" customHeight="1" x14ac:dyDescent="0.2">
      <c r="A977" s="67">
        <v>44562</v>
      </c>
      <c r="B977" s="58">
        <v>0</v>
      </c>
      <c r="C977" s="58">
        <v>0</v>
      </c>
      <c r="D977" s="58">
        <v>135945.13680000004</v>
      </c>
      <c r="E977" s="58">
        <v>147259.06976673461</v>
      </c>
      <c r="F977" s="58">
        <v>51779.966040000007</v>
      </c>
      <c r="G977" s="58">
        <v>67658.778680740841</v>
      </c>
      <c r="H977" s="39">
        <v>8.3224256733651414E-2</v>
      </c>
      <c r="I977" s="39">
        <v>0.30665938692339934</v>
      </c>
      <c r="J977" s="39">
        <v>0.14485407223695645</v>
      </c>
    </row>
    <row r="978" spans="1:10" ht="11.25" customHeight="1" x14ac:dyDescent="0.2">
      <c r="A978" s="67">
        <v>44593</v>
      </c>
      <c r="B978" s="58">
        <v>0</v>
      </c>
      <c r="C978" s="58">
        <v>0</v>
      </c>
      <c r="D978" s="58">
        <v>148332.06520000001</v>
      </c>
      <c r="E978" s="58">
        <v>160676.89107603757</v>
      </c>
      <c r="F978" s="58">
        <v>56498.007060000011</v>
      </c>
      <c r="G978" s="58">
        <v>73823.651267413501</v>
      </c>
      <c r="H978" s="39">
        <v>8.3224256733651636E-2</v>
      </c>
      <c r="I978" s="39">
        <v>0.30665938692339934</v>
      </c>
      <c r="J978" s="39">
        <v>0.14485407223695645</v>
      </c>
    </row>
    <row r="979" spans="1:10" ht="11.25" customHeight="1" x14ac:dyDescent="0.2">
      <c r="A979" s="67">
        <v>44621</v>
      </c>
      <c r="B979" s="58">
        <v>0</v>
      </c>
      <c r="C979" s="58">
        <v>0</v>
      </c>
      <c r="D979" s="58">
        <v>135482.46400000001</v>
      </c>
      <c r="E979" s="58">
        <v>146757.89136684372</v>
      </c>
      <c r="F979" s="58">
        <v>51603.739200000004</v>
      </c>
      <c r="G979" s="58">
        <v>67428.510226026992</v>
      </c>
      <c r="H979" s="39">
        <v>8.3224256733651636E-2</v>
      </c>
      <c r="I979" s="39">
        <v>0.30665938692339934</v>
      </c>
      <c r="J979" s="39">
        <v>0.14485407223695623</v>
      </c>
    </row>
    <row r="980" spans="1:10" ht="11.25" customHeight="1" x14ac:dyDescent="0.2">
      <c r="A980" s="67">
        <v>44652</v>
      </c>
      <c r="B980" s="58">
        <v>0</v>
      </c>
      <c r="C980" s="58">
        <v>0</v>
      </c>
      <c r="D980" s="58">
        <v>146915.76720000003</v>
      </c>
      <c r="E980" s="58">
        <v>159142.72272767423</v>
      </c>
      <c r="F980" s="58">
        <v>55958.555160000011</v>
      </c>
      <c r="G980" s="58">
        <v>73118.771378484831</v>
      </c>
      <c r="H980" s="39">
        <v>8.3224256733651636E-2</v>
      </c>
      <c r="I980" s="39">
        <v>0.30665938692339911</v>
      </c>
      <c r="J980" s="39">
        <v>0.14485407223695645</v>
      </c>
    </row>
    <row r="981" spans="1:10" ht="11.25" customHeight="1" x14ac:dyDescent="0.2">
      <c r="A981" s="67">
        <v>44682</v>
      </c>
      <c r="B981" s="58">
        <v>0</v>
      </c>
      <c r="C981" s="58">
        <v>0</v>
      </c>
      <c r="D981" s="58">
        <v>142094.79080000002</v>
      </c>
      <c r="E981" s="58">
        <v>153920.52415005374</v>
      </c>
      <c r="F981" s="58">
        <v>54122.299740000009</v>
      </c>
      <c r="G981" s="58">
        <v>70719.410997152852</v>
      </c>
      <c r="H981" s="39">
        <v>8.3224256733651636E-2</v>
      </c>
      <c r="I981" s="39">
        <v>0.30665938692339911</v>
      </c>
      <c r="J981" s="39">
        <v>0.14485407223695623</v>
      </c>
    </row>
    <row r="982" spans="1:10" ht="11.25" customHeight="1" x14ac:dyDescent="0.2">
      <c r="A982" s="67">
        <v>44713</v>
      </c>
      <c r="B982" s="58">
        <v>0</v>
      </c>
      <c r="C982" s="58">
        <v>0</v>
      </c>
      <c r="D982" s="58">
        <v>142504.1496</v>
      </c>
      <c r="E982" s="58">
        <v>154363.95153192114</v>
      </c>
      <c r="F982" s="58">
        <v>54278.219880000004</v>
      </c>
      <c r="G982" s="58">
        <v>70923.145511694267</v>
      </c>
      <c r="H982" s="39">
        <v>8.3224256733651858E-2</v>
      </c>
      <c r="I982" s="39">
        <v>0.30665938692339934</v>
      </c>
      <c r="J982" s="39">
        <v>0.14485407223695668</v>
      </c>
    </row>
    <row r="983" spans="1:10" ht="11.25" customHeight="1" x14ac:dyDescent="0.2">
      <c r="A983" s="67">
        <v>44743</v>
      </c>
      <c r="B983" s="58">
        <v>0</v>
      </c>
      <c r="C983" s="58">
        <v>0</v>
      </c>
      <c r="D983" s="58">
        <v>153619.88680000001</v>
      </c>
      <c r="E983" s="58">
        <v>166404.78769843772</v>
      </c>
      <c r="F983" s="58">
        <v>58512.078539999995</v>
      </c>
      <c r="G983" s="58">
        <v>76455.356672690192</v>
      </c>
      <c r="H983" s="39">
        <v>8.3224256733651636E-2</v>
      </c>
      <c r="I983" s="39">
        <v>0.30665938692339956</v>
      </c>
      <c r="J983" s="39">
        <v>0.14485407223695645</v>
      </c>
    </row>
    <row r="984" spans="1:10" ht="11.25" customHeight="1" x14ac:dyDescent="0.2">
      <c r="A984" s="67">
        <v>44774</v>
      </c>
      <c r="B984" s="58">
        <v>0</v>
      </c>
      <c r="C984" s="58">
        <v>0</v>
      </c>
      <c r="D984" s="58">
        <v>161826.0704</v>
      </c>
      <c r="E984" s="58">
        <v>175293.9248291676</v>
      </c>
      <c r="F984" s="58">
        <v>61637.721120000002</v>
      </c>
      <c r="G984" s="58">
        <v>80539.506890014673</v>
      </c>
      <c r="H984" s="39">
        <v>8.3224256733651858E-2</v>
      </c>
      <c r="I984" s="39">
        <v>0.30665938692339956</v>
      </c>
      <c r="J984" s="39">
        <v>0.14485407223695668</v>
      </c>
    </row>
    <row r="985" spans="1:10" ht="11.25" customHeight="1" x14ac:dyDescent="0.2">
      <c r="A985" s="67">
        <v>44805</v>
      </c>
      <c r="B985" s="58">
        <v>0</v>
      </c>
      <c r="C985" s="58">
        <v>0</v>
      </c>
      <c r="D985" s="58">
        <v>175512.9332</v>
      </c>
      <c r="E985" s="58">
        <v>190119.86661271303</v>
      </c>
      <c r="F985" s="58">
        <v>66850.892459999988</v>
      </c>
      <c r="G985" s="58">
        <v>87351.346157065695</v>
      </c>
      <c r="H985" s="39">
        <v>8.3224256733651414E-2</v>
      </c>
      <c r="I985" s="39">
        <v>0.30665938692339956</v>
      </c>
      <c r="J985" s="39">
        <v>0.14485407223695645</v>
      </c>
    </row>
    <row r="986" spans="1:10" ht="11.25" customHeight="1" x14ac:dyDescent="0.2">
      <c r="A986" s="67">
        <v>44835</v>
      </c>
      <c r="B986" s="58">
        <v>0</v>
      </c>
      <c r="C986" s="58">
        <v>0</v>
      </c>
      <c r="D986" s="58">
        <v>170064.24240000002</v>
      </c>
      <c r="E986" s="58">
        <v>184217.71257071153</v>
      </c>
      <c r="F986" s="58">
        <v>64775.547720000002</v>
      </c>
      <c r="G986" s="58">
        <v>84639.577471442593</v>
      </c>
      <c r="H986" s="39">
        <v>8.3224256733651414E-2</v>
      </c>
      <c r="I986" s="39">
        <v>0.30665938692339911</v>
      </c>
      <c r="J986" s="39">
        <v>0.14485407223695623</v>
      </c>
    </row>
    <row r="987" spans="1:10" ht="11.25" customHeight="1" x14ac:dyDescent="0.2">
      <c r="A987" s="67">
        <v>44866</v>
      </c>
      <c r="B987" s="58">
        <v>0</v>
      </c>
      <c r="C987" s="58">
        <v>0</v>
      </c>
      <c r="D987" s="58">
        <v>170064.24240000002</v>
      </c>
      <c r="E987" s="58">
        <v>184217.71257071153</v>
      </c>
      <c r="F987" s="58">
        <v>64775.547720000002</v>
      </c>
      <c r="G987" s="58">
        <v>84639.577471442593</v>
      </c>
      <c r="H987" s="39">
        <v>8.3224256733651414E-2</v>
      </c>
      <c r="I987" s="39">
        <v>0.30665938692339911</v>
      </c>
      <c r="J987" s="39">
        <v>0.14485407223695623</v>
      </c>
    </row>
    <row r="988" spans="1:10" ht="11.25" customHeight="1" x14ac:dyDescent="0.2">
      <c r="A988" s="62" t="s">
        <v>48</v>
      </c>
      <c r="B988" s="58">
        <v>0</v>
      </c>
      <c r="C988" s="58">
        <v>0</v>
      </c>
      <c r="D988" s="58">
        <v>19420033.858800001</v>
      </c>
      <c r="E988" s="58">
        <v>21036251.74244098</v>
      </c>
      <c r="F988" s="58">
        <v>7396871.3951400016</v>
      </c>
      <c r="G988" s="58">
        <v>9665191.4423248619</v>
      </c>
      <c r="H988" s="39">
        <v>8.3224256733652302E-2</v>
      </c>
      <c r="I988" s="39">
        <v>0.3066593869234</v>
      </c>
      <c r="J988" s="39">
        <v>0.1448540722369569</v>
      </c>
    </row>
    <row r="989" spans="1:10" ht="11.25" customHeight="1" x14ac:dyDescent="0.2">
      <c r="A989" s="63" t="s">
        <v>25</v>
      </c>
      <c r="B989" s="58">
        <v>0</v>
      </c>
      <c r="C989" s="58">
        <v>0</v>
      </c>
      <c r="D989" s="58">
        <v>19420033.858800001</v>
      </c>
      <c r="E989" s="58">
        <v>21036251.74244098</v>
      </c>
      <c r="F989" s="58">
        <v>7396871.3951400016</v>
      </c>
      <c r="G989" s="58">
        <v>9665191.4423248619</v>
      </c>
      <c r="H989" s="39">
        <v>8.3224256733652302E-2</v>
      </c>
      <c r="I989" s="39">
        <v>0.3066593869234</v>
      </c>
      <c r="J989" s="39">
        <v>0.1448540722369569</v>
      </c>
    </row>
    <row r="990" spans="1:10" ht="11.25" customHeight="1" x14ac:dyDescent="0.2">
      <c r="A990" s="64" t="s">
        <v>25</v>
      </c>
      <c r="B990" s="58">
        <v>0</v>
      </c>
      <c r="C990" s="58">
        <v>0</v>
      </c>
      <c r="D990" s="58">
        <v>19420033.858800001</v>
      </c>
      <c r="E990" s="58">
        <v>21036251.74244098</v>
      </c>
      <c r="F990" s="58">
        <v>7396871.3951400016</v>
      </c>
      <c r="G990" s="58">
        <v>9665191.4423248619</v>
      </c>
      <c r="H990" s="39">
        <v>8.3224256733652302E-2</v>
      </c>
      <c r="I990" s="39">
        <v>0.3066593869234</v>
      </c>
      <c r="J990" s="39">
        <v>0.1448540722369569</v>
      </c>
    </row>
    <row r="991" spans="1:10" ht="11.25" customHeight="1" x14ac:dyDescent="0.2">
      <c r="A991" s="65" t="s">
        <v>25</v>
      </c>
      <c r="B991" s="58">
        <v>0</v>
      </c>
      <c r="C991" s="58">
        <v>0</v>
      </c>
      <c r="D991" s="58">
        <v>19420033.858800001</v>
      </c>
      <c r="E991" s="58">
        <v>21036251.74244098</v>
      </c>
      <c r="F991" s="58">
        <v>7396871.3951400016</v>
      </c>
      <c r="G991" s="58">
        <v>9665191.4423248619</v>
      </c>
      <c r="H991" s="39">
        <v>8.3224256733652302E-2</v>
      </c>
      <c r="I991" s="39">
        <v>0.3066593869234</v>
      </c>
      <c r="J991" s="39">
        <v>0.1448540722369569</v>
      </c>
    </row>
    <row r="992" spans="1:10" ht="11.25" customHeight="1" x14ac:dyDescent="0.2">
      <c r="A992" s="66" t="s">
        <v>25</v>
      </c>
      <c r="B992" s="58">
        <v>0</v>
      </c>
      <c r="C992" s="58">
        <v>0</v>
      </c>
      <c r="D992" s="58">
        <v>19420033.858800001</v>
      </c>
      <c r="E992" s="58">
        <v>21036251.74244098</v>
      </c>
      <c r="F992" s="58">
        <v>7396871.3951400016</v>
      </c>
      <c r="G992" s="58">
        <v>9665191.4423248619</v>
      </c>
      <c r="H992" s="39">
        <v>8.3224256733652302E-2</v>
      </c>
      <c r="I992" s="39">
        <v>0.3066593869234</v>
      </c>
      <c r="J992" s="39">
        <v>0.1448540722369569</v>
      </c>
    </row>
    <row r="993" spans="1:10" ht="11.25" customHeight="1" x14ac:dyDescent="0.2">
      <c r="A993" s="67">
        <v>44531</v>
      </c>
      <c r="B993" s="58">
        <v>0</v>
      </c>
      <c r="C993" s="58">
        <v>0</v>
      </c>
      <c r="D993" s="58">
        <v>1546650.2664000001</v>
      </c>
      <c r="E993" s="58">
        <v>1675369.0852480445</v>
      </c>
      <c r="F993" s="58">
        <v>589101.60491999995</v>
      </c>
      <c r="G993" s="58">
        <v>769755.14192035783</v>
      </c>
      <c r="H993" s="39">
        <v>8.3224256733651636E-2</v>
      </c>
      <c r="I993" s="39">
        <v>0.30665938692339956</v>
      </c>
      <c r="J993" s="39">
        <v>0.14485407223695645</v>
      </c>
    </row>
    <row r="994" spans="1:10" ht="11.25" customHeight="1" x14ac:dyDescent="0.2">
      <c r="A994" s="67">
        <v>44562</v>
      </c>
      <c r="B994" s="58">
        <v>0</v>
      </c>
      <c r="C994" s="58">
        <v>0</v>
      </c>
      <c r="D994" s="58">
        <v>1386864.4996000002</v>
      </c>
      <c r="E994" s="58">
        <v>1502285.2667694977</v>
      </c>
      <c r="F994" s="58">
        <v>528241.01237999997</v>
      </c>
      <c r="G994" s="58">
        <v>690231.07738424663</v>
      </c>
      <c r="H994" s="39">
        <v>8.3224256733651414E-2</v>
      </c>
      <c r="I994" s="39">
        <v>0.30665938692339956</v>
      </c>
      <c r="J994" s="39">
        <v>0.14485407223695623</v>
      </c>
    </row>
    <row r="995" spans="1:10" ht="11.25" customHeight="1" x14ac:dyDescent="0.2">
      <c r="A995" s="67">
        <v>44593</v>
      </c>
      <c r="B995" s="58">
        <v>0</v>
      </c>
      <c r="C995" s="58">
        <v>0</v>
      </c>
      <c r="D995" s="58">
        <v>1256602.6352000001</v>
      </c>
      <c r="E995" s="58">
        <v>1361182.4555240681</v>
      </c>
      <c r="F995" s="58">
        <v>478625.74056000006</v>
      </c>
      <c r="G995" s="58">
        <v>625400.81672588759</v>
      </c>
      <c r="H995" s="39">
        <v>8.3224256733651636E-2</v>
      </c>
      <c r="I995" s="39">
        <v>0.30665938692339911</v>
      </c>
      <c r="J995" s="39">
        <v>0.14485407223695623</v>
      </c>
    </row>
    <row r="996" spans="1:10" ht="11.25" customHeight="1" x14ac:dyDescent="0.2">
      <c r="A996" s="67">
        <v>44621</v>
      </c>
      <c r="B996" s="58">
        <v>0</v>
      </c>
      <c r="C996" s="58">
        <v>0</v>
      </c>
      <c r="D996" s="58">
        <v>1251102.9484000001</v>
      </c>
      <c r="E996" s="58">
        <v>1355225.0613778702</v>
      </c>
      <c r="F996" s="58">
        <v>476530.97201999999</v>
      </c>
      <c r="G996" s="58">
        <v>622663.66774966475</v>
      </c>
      <c r="H996" s="39">
        <v>8.3224256733651636E-2</v>
      </c>
      <c r="I996" s="39">
        <v>0.30665938692339934</v>
      </c>
      <c r="J996" s="39">
        <v>0.14485407223695645</v>
      </c>
    </row>
    <row r="997" spans="1:10" ht="11.25" customHeight="1" x14ac:dyDescent="0.2">
      <c r="A997" s="67">
        <v>44652</v>
      </c>
      <c r="B997" s="58">
        <v>0</v>
      </c>
      <c r="C997" s="58">
        <v>0</v>
      </c>
      <c r="D997" s="58">
        <v>1463748.8508000004</v>
      </c>
      <c r="E997" s="58">
        <v>1585568.260952567</v>
      </c>
      <c r="F997" s="58">
        <v>557525.39274000004</v>
      </c>
      <c r="G997" s="58">
        <v>728495.78787187592</v>
      </c>
      <c r="H997" s="39">
        <v>8.3224256733651636E-2</v>
      </c>
      <c r="I997" s="39">
        <v>0.30665938692339934</v>
      </c>
      <c r="J997" s="39">
        <v>0.14485407223695645</v>
      </c>
    </row>
    <row r="998" spans="1:10" ht="11.25" customHeight="1" x14ac:dyDescent="0.2">
      <c r="A998" s="67">
        <v>44682</v>
      </c>
      <c r="B998" s="58">
        <v>0</v>
      </c>
      <c r="C998" s="58">
        <v>0</v>
      </c>
      <c r="D998" s="58">
        <v>1640570.9904000002</v>
      </c>
      <c r="E998" s="58">
        <v>1777106.2916948309</v>
      </c>
      <c r="F998" s="58">
        <v>624874.94712000014</v>
      </c>
      <c r="G998" s="58">
        <v>816498.71530761081</v>
      </c>
      <c r="H998" s="39">
        <v>8.3224256733651636E-2</v>
      </c>
      <c r="I998" s="39">
        <v>0.30665938692339911</v>
      </c>
      <c r="J998" s="39">
        <v>0.14485407223695645</v>
      </c>
    </row>
    <row r="999" spans="1:10" ht="11.25" customHeight="1" x14ac:dyDescent="0.2">
      <c r="A999" s="67">
        <v>44713</v>
      </c>
      <c r="B999" s="58">
        <v>0</v>
      </c>
      <c r="C999" s="58">
        <v>0</v>
      </c>
      <c r="D999" s="58">
        <v>1554103.1000000003</v>
      </c>
      <c r="E999" s="58">
        <v>1683442.1753849639</v>
      </c>
      <c r="F999" s="58">
        <v>591940.30499999993</v>
      </c>
      <c r="G999" s="58">
        <v>773464.35602655006</v>
      </c>
      <c r="H999" s="39">
        <v>8.3224256733651414E-2</v>
      </c>
      <c r="I999" s="39">
        <v>0.30665938692339956</v>
      </c>
      <c r="J999" s="39">
        <v>0.14485407223695623</v>
      </c>
    </row>
    <row r="1000" spans="1:10" ht="11.25" customHeight="1" x14ac:dyDescent="0.2">
      <c r="A1000" s="67">
        <v>44743</v>
      </c>
      <c r="B1000" s="58">
        <v>0</v>
      </c>
      <c r="C1000" s="58">
        <v>0</v>
      </c>
      <c r="D1000" s="58">
        <v>1769559.3456000001</v>
      </c>
      <c r="E1000" s="58">
        <v>1916829.6068836469</v>
      </c>
      <c r="F1000" s="58">
        <v>674005.15367999999</v>
      </c>
      <c r="G1000" s="58">
        <v>880695.16089072032</v>
      </c>
      <c r="H1000" s="39">
        <v>8.3224256733651636E-2</v>
      </c>
      <c r="I1000" s="39">
        <v>0.30665938692339934</v>
      </c>
      <c r="J1000" s="39">
        <v>0.14485407223695623</v>
      </c>
    </row>
    <row r="1001" spans="1:10" ht="11.25" customHeight="1" x14ac:dyDescent="0.2">
      <c r="A1001" s="67">
        <v>44774</v>
      </c>
      <c r="B1001" s="58">
        <v>0</v>
      </c>
      <c r="C1001" s="58">
        <v>0</v>
      </c>
      <c r="D1001" s="58">
        <v>1847378.3144000003</v>
      </c>
      <c r="E1001" s="58">
        <v>2001125.0015218062</v>
      </c>
      <c r="F1001" s="58">
        <v>703645.51932000008</v>
      </c>
      <c r="G1001" s="58">
        <v>919425.02288606833</v>
      </c>
      <c r="H1001" s="39">
        <v>8.3224256733651414E-2</v>
      </c>
      <c r="I1001" s="39">
        <v>0.30665938692339956</v>
      </c>
      <c r="J1001" s="39">
        <v>0.14485407223695645</v>
      </c>
    </row>
    <row r="1002" spans="1:10" ht="11.25" customHeight="1" x14ac:dyDescent="0.2">
      <c r="A1002" s="67">
        <v>44805</v>
      </c>
      <c r="B1002" s="58">
        <v>0</v>
      </c>
      <c r="C1002" s="58">
        <v>0</v>
      </c>
      <c r="D1002" s="58">
        <v>1731182.5375999999</v>
      </c>
      <c r="E1002" s="58">
        <v>1875258.9175620372</v>
      </c>
      <c r="F1002" s="58">
        <v>659387.86128000007</v>
      </c>
      <c r="G1002" s="58">
        <v>861595.33856485633</v>
      </c>
      <c r="H1002" s="39">
        <v>8.3224256733651858E-2</v>
      </c>
      <c r="I1002" s="39">
        <v>0.30665938692339934</v>
      </c>
      <c r="J1002" s="39">
        <v>0.14485407223695645</v>
      </c>
    </row>
    <row r="1003" spans="1:10" ht="11.25" customHeight="1" x14ac:dyDescent="0.2">
      <c r="A1003" s="67">
        <v>44835</v>
      </c>
      <c r="B1003" s="58">
        <v>0</v>
      </c>
      <c r="C1003" s="58">
        <v>0</v>
      </c>
      <c r="D1003" s="58">
        <v>1986135.1852000002</v>
      </c>
      <c r="E1003" s="58">
        <v>2151429.8097608238</v>
      </c>
      <c r="F1003" s="58">
        <v>756496.44306000019</v>
      </c>
      <c r="G1003" s="58">
        <v>988483.1784985119</v>
      </c>
      <c r="H1003" s="39">
        <v>8.3224256733651636E-2</v>
      </c>
      <c r="I1003" s="39">
        <v>0.30665938692339911</v>
      </c>
      <c r="J1003" s="39">
        <v>0.14485407223695645</v>
      </c>
    </row>
    <row r="1004" spans="1:10" ht="11.25" customHeight="1" x14ac:dyDescent="0.2">
      <c r="A1004" s="67">
        <v>44866</v>
      </c>
      <c r="B1004" s="58">
        <v>0</v>
      </c>
      <c r="C1004" s="58">
        <v>0</v>
      </c>
      <c r="D1004" s="58">
        <v>1986135.1852000002</v>
      </c>
      <c r="E1004" s="58">
        <v>2151429.8097608238</v>
      </c>
      <c r="F1004" s="58">
        <v>756496.44306000019</v>
      </c>
      <c r="G1004" s="58">
        <v>988483.1784985119</v>
      </c>
      <c r="H1004" s="39">
        <v>8.3224256733651636E-2</v>
      </c>
      <c r="I1004" s="39">
        <v>0.30665938692339911</v>
      </c>
      <c r="J1004" s="39">
        <v>0.14485407223695645</v>
      </c>
    </row>
    <row r="1005" spans="1:10" ht="11.25" customHeight="1" x14ac:dyDescent="0.2">
      <c r="A1005" s="62" t="s">
        <v>52</v>
      </c>
      <c r="B1005" s="58">
        <v>0</v>
      </c>
      <c r="C1005" s="58">
        <v>0</v>
      </c>
      <c r="D1005" s="58">
        <v>4069885.6989680007</v>
      </c>
      <c r="E1005" s="58">
        <v>4549298.8765083663</v>
      </c>
      <c r="F1005" s="58">
        <v>1550173.4614404</v>
      </c>
      <c r="G1005" s="58">
        <v>2090193.8761788488</v>
      </c>
      <c r="H1005" s="39">
        <v>0.11779524365068372</v>
      </c>
      <c r="I1005" s="39">
        <v>0.34836128225074159</v>
      </c>
      <c r="J1005" s="39">
        <v>0.18139196815941294</v>
      </c>
    </row>
    <row r="1006" spans="1:10" ht="11.25" customHeight="1" x14ac:dyDescent="0.2">
      <c r="A1006" s="63" t="s">
        <v>53</v>
      </c>
      <c r="B1006" s="58">
        <v>0</v>
      </c>
      <c r="C1006" s="58">
        <v>0</v>
      </c>
      <c r="D1006" s="58">
        <v>4069885.6989680007</v>
      </c>
      <c r="E1006" s="58">
        <v>4549298.8765083663</v>
      </c>
      <c r="F1006" s="58">
        <v>1550173.4614404</v>
      </c>
      <c r="G1006" s="58">
        <v>2090193.8761788488</v>
      </c>
      <c r="H1006" s="39">
        <v>0.11779524365068372</v>
      </c>
      <c r="I1006" s="39">
        <v>0.34836128225074159</v>
      </c>
      <c r="J1006" s="39">
        <v>0.18139196815941294</v>
      </c>
    </row>
    <row r="1007" spans="1:10" ht="11.25" customHeight="1" x14ac:dyDescent="0.2">
      <c r="A1007" s="64" t="s">
        <v>25</v>
      </c>
      <c r="B1007" s="58">
        <v>0</v>
      </c>
      <c r="C1007" s="58">
        <v>0</v>
      </c>
      <c r="D1007" s="58">
        <v>4069885.6989680007</v>
      </c>
      <c r="E1007" s="58">
        <v>4549298.8765083663</v>
      </c>
      <c r="F1007" s="58">
        <v>1550173.4614404</v>
      </c>
      <c r="G1007" s="58">
        <v>2090193.8761788488</v>
      </c>
      <c r="H1007" s="39">
        <v>0.11779524365068372</v>
      </c>
      <c r="I1007" s="39">
        <v>0.34836128225074159</v>
      </c>
      <c r="J1007" s="39">
        <v>0.18139196815941294</v>
      </c>
    </row>
    <row r="1008" spans="1:10" ht="11.25" customHeight="1" x14ac:dyDescent="0.2">
      <c r="A1008" s="65" t="s">
        <v>25</v>
      </c>
      <c r="B1008" s="58">
        <v>0</v>
      </c>
      <c r="C1008" s="58">
        <v>0</v>
      </c>
      <c r="D1008" s="58">
        <v>4069885.6989680007</v>
      </c>
      <c r="E1008" s="58">
        <v>4549298.8765083663</v>
      </c>
      <c r="F1008" s="58">
        <v>1550173.4614404</v>
      </c>
      <c r="G1008" s="58">
        <v>2090193.8761788488</v>
      </c>
      <c r="H1008" s="39">
        <v>0.11779524365068372</v>
      </c>
      <c r="I1008" s="39">
        <v>0.34836128225074159</v>
      </c>
      <c r="J1008" s="39">
        <v>0.18139196815941294</v>
      </c>
    </row>
    <row r="1009" spans="1:10" ht="11.25" customHeight="1" x14ac:dyDescent="0.2">
      <c r="A1009" s="66" t="s">
        <v>25</v>
      </c>
      <c r="B1009" s="58">
        <v>0</v>
      </c>
      <c r="C1009" s="58">
        <v>0</v>
      </c>
      <c r="D1009" s="58">
        <v>4069885.6989680007</v>
      </c>
      <c r="E1009" s="58">
        <v>4549298.8765083663</v>
      </c>
      <c r="F1009" s="58">
        <v>1550173.4614404</v>
      </c>
      <c r="G1009" s="58">
        <v>2090193.8761788488</v>
      </c>
      <c r="H1009" s="39">
        <v>0.11779524365068372</v>
      </c>
      <c r="I1009" s="39">
        <v>0.34836128225074159</v>
      </c>
      <c r="J1009" s="39">
        <v>0.18139196815941294</v>
      </c>
    </row>
    <row r="1010" spans="1:10" ht="11.25" customHeight="1" x14ac:dyDescent="0.2">
      <c r="A1010" s="67">
        <v>44531</v>
      </c>
      <c r="B1010" s="58">
        <v>0</v>
      </c>
      <c r="C1010" s="58">
        <v>0</v>
      </c>
      <c r="D1010" s="58">
        <v>342823.42868800001</v>
      </c>
      <c r="E1010" s="58">
        <v>383206.39799946558</v>
      </c>
      <c r="F1010" s="58">
        <v>130577.56910639998</v>
      </c>
      <c r="G1010" s="58">
        <v>176065.73851349036</v>
      </c>
      <c r="H1010" s="39">
        <v>0.11779524365068306</v>
      </c>
      <c r="I1010" s="39">
        <v>0.34836128225074203</v>
      </c>
      <c r="J1010" s="39">
        <v>0.1813919681594125</v>
      </c>
    </row>
    <row r="1011" spans="1:10" ht="11.25" customHeight="1" x14ac:dyDescent="0.2">
      <c r="A1011" s="67">
        <v>44562</v>
      </c>
      <c r="B1011" s="58">
        <v>0</v>
      </c>
      <c r="C1011" s="58">
        <v>0</v>
      </c>
      <c r="D1011" s="58">
        <v>353420.38821599999</v>
      </c>
      <c r="E1011" s="58">
        <v>395051.62895702268</v>
      </c>
      <c r="F1011" s="58">
        <v>134613.83121479998</v>
      </c>
      <c r="G1011" s="58">
        <v>181508.07806547265</v>
      </c>
      <c r="H1011" s="39">
        <v>0.11779524365068306</v>
      </c>
      <c r="I1011" s="39">
        <v>0.34836128225074203</v>
      </c>
      <c r="J1011" s="39">
        <v>0.1813919681594125</v>
      </c>
    </row>
    <row r="1012" spans="1:10" ht="11.25" customHeight="1" x14ac:dyDescent="0.2">
      <c r="A1012" s="67">
        <v>44593</v>
      </c>
      <c r="B1012" s="58">
        <v>0</v>
      </c>
      <c r="C1012" s="58">
        <v>0</v>
      </c>
      <c r="D1012" s="58">
        <v>344120.321872</v>
      </c>
      <c r="E1012" s="58">
        <v>384656.05903206376</v>
      </c>
      <c r="F1012" s="58">
        <v>131071.54106159997</v>
      </c>
      <c r="G1012" s="58">
        <v>176731.79117239974</v>
      </c>
      <c r="H1012" s="39">
        <v>0.11779524365068328</v>
      </c>
      <c r="I1012" s="39">
        <v>0.34836128225074225</v>
      </c>
      <c r="J1012" s="39">
        <v>0.1813919681594125</v>
      </c>
    </row>
    <row r="1013" spans="1:10" ht="11.25" customHeight="1" x14ac:dyDescent="0.2">
      <c r="A1013" s="67">
        <v>44621</v>
      </c>
      <c r="B1013" s="58">
        <v>0</v>
      </c>
      <c r="C1013" s="58">
        <v>0</v>
      </c>
      <c r="D1013" s="58">
        <v>329701.53666399996</v>
      </c>
      <c r="E1013" s="58">
        <v>368538.80950734048</v>
      </c>
      <c r="F1013" s="58">
        <v>125579.58874919999</v>
      </c>
      <c r="G1013" s="58">
        <v>169326.65531039215</v>
      </c>
      <c r="H1013" s="39">
        <v>0.11779524365068328</v>
      </c>
      <c r="I1013" s="39">
        <v>0.34836128225074203</v>
      </c>
      <c r="J1013" s="39">
        <v>0.1813919681594125</v>
      </c>
    </row>
    <row r="1014" spans="1:10" ht="11.25" customHeight="1" x14ac:dyDescent="0.2">
      <c r="A1014" s="67">
        <v>44652</v>
      </c>
      <c r="B1014" s="58">
        <v>0</v>
      </c>
      <c r="C1014" s="58">
        <v>0</v>
      </c>
      <c r="D1014" s="58">
        <v>369852.49550399999</v>
      </c>
      <c r="E1014" s="58">
        <v>413419.3603267069</v>
      </c>
      <c r="F1014" s="58">
        <v>140872.6351512</v>
      </c>
      <c r="G1014" s="58">
        <v>189947.20696651295</v>
      </c>
      <c r="H1014" s="39">
        <v>0.11779524365068328</v>
      </c>
      <c r="I1014" s="39">
        <v>0.34836128225074181</v>
      </c>
      <c r="J1014" s="39">
        <v>0.1813919681594125</v>
      </c>
    </row>
    <row r="1015" spans="1:10" ht="11.25" customHeight="1" x14ac:dyDescent="0.2">
      <c r="A1015" s="67">
        <v>44682</v>
      </c>
      <c r="B1015" s="58">
        <v>0</v>
      </c>
      <c r="C1015" s="58">
        <v>0</v>
      </c>
      <c r="D1015" s="58">
        <v>338035.46987999999</v>
      </c>
      <c r="E1015" s="58">
        <v>377854.44041708775</v>
      </c>
      <c r="F1015" s="58">
        <v>128753.88971399999</v>
      </c>
      <c r="G1015" s="58">
        <v>173606.75982953963</v>
      </c>
      <c r="H1015" s="39">
        <v>0.11779524365068306</v>
      </c>
      <c r="I1015" s="39">
        <v>0.34836128225074181</v>
      </c>
      <c r="J1015" s="39">
        <v>0.18139196815941272</v>
      </c>
    </row>
    <row r="1016" spans="1:10" ht="11.25" customHeight="1" x14ac:dyDescent="0.2">
      <c r="A1016" s="67">
        <v>44713</v>
      </c>
      <c r="B1016" s="58">
        <v>0</v>
      </c>
      <c r="C1016" s="58">
        <v>0</v>
      </c>
      <c r="D1016" s="58">
        <v>363495.71429600002</v>
      </c>
      <c r="E1016" s="58">
        <v>406313.78052747645</v>
      </c>
      <c r="F1016" s="58">
        <v>138451.40903879999</v>
      </c>
      <c r="G1016" s="58">
        <v>186682.51942097835</v>
      </c>
      <c r="H1016" s="39">
        <v>0.11779524365068306</v>
      </c>
      <c r="I1016" s="39">
        <v>0.34836128225074225</v>
      </c>
      <c r="J1016" s="39">
        <v>0.18139196815941272</v>
      </c>
    </row>
    <row r="1017" spans="1:10" ht="11.25" customHeight="1" x14ac:dyDescent="0.2">
      <c r="A1017" s="67">
        <v>44743</v>
      </c>
      <c r="B1017" s="58">
        <v>0</v>
      </c>
      <c r="C1017" s="58">
        <v>0</v>
      </c>
      <c r="D1017" s="58">
        <v>364447.902336</v>
      </c>
      <c r="E1017" s="58">
        <v>407378.13178964955</v>
      </c>
      <c r="F1017" s="58">
        <v>138814.08670079996</v>
      </c>
      <c r="G1017" s="58">
        <v>187171.53993835635</v>
      </c>
      <c r="H1017" s="39">
        <v>0.11779524365068328</v>
      </c>
      <c r="I1017" s="39">
        <v>0.34836128225074225</v>
      </c>
      <c r="J1017" s="39">
        <v>0.1813919681594125</v>
      </c>
    </row>
    <row r="1018" spans="1:10" ht="11.25" customHeight="1" x14ac:dyDescent="0.2">
      <c r="A1018" s="67">
        <v>44774</v>
      </c>
      <c r="B1018" s="58">
        <v>0</v>
      </c>
      <c r="C1018" s="58">
        <v>0</v>
      </c>
      <c r="D1018" s="58">
        <v>324405.88949600002</v>
      </c>
      <c r="E1018" s="58">
        <v>362619.36029089795</v>
      </c>
      <c r="F1018" s="58">
        <v>123562.5365988</v>
      </c>
      <c r="G1018" s="58">
        <v>166606.9402865122</v>
      </c>
      <c r="H1018" s="39">
        <v>0.11779524365068328</v>
      </c>
      <c r="I1018" s="39">
        <v>0.34836128225074203</v>
      </c>
      <c r="J1018" s="39">
        <v>0.18139196815941272</v>
      </c>
    </row>
    <row r="1019" spans="1:10" ht="11.25" customHeight="1" x14ac:dyDescent="0.2">
      <c r="A1019" s="67">
        <v>44805</v>
      </c>
      <c r="B1019" s="58">
        <v>0</v>
      </c>
      <c r="C1019" s="58">
        <v>0</v>
      </c>
      <c r="D1019" s="58">
        <v>353163.71143999998</v>
      </c>
      <c r="E1019" s="58">
        <v>394764.71687765437</v>
      </c>
      <c r="F1019" s="58">
        <v>134516.065932</v>
      </c>
      <c r="G1019" s="58">
        <v>181376.25514339685</v>
      </c>
      <c r="H1019" s="39">
        <v>0.11779524365068328</v>
      </c>
      <c r="I1019" s="39">
        <v>0.34836128225074181</v>
      </c>
      <c r="J1019" s="39">
        <v>0.1813919681594125</v>
      </c>
    </row>
    <row r="1020" spans="1:10" ht="11.25" customHeight="1" x14ac:dyDescent="0.2">
      <c r="A1020" s="67">
        <v>44835</v>
      </c>
      <c r="B1020" s="58">
        <v>0</v>
      </c>
      <c r="C1020" s="58">
        <v>0</v>
      </c>
      <c r="D1020" s="58">
        <v>293209.42028800002</v>
      </c>
      <c r="E1020" s="58">
        <v>327748.09539150051</v>
      </c>
      <c r="F1020" s="58">
        <v>111680.1540864</v>
      </c>
      <c r="G1020" s="58">
        <v>150585.19576589874</v>
      </c>
      <c r="H1020" s="39">
        <v>0.11779524365068306</v>
      </c>
      <c r="I1020" s="39">
        <v>0.34836128225074203</v>
      </c>
      <c r="J1020" s="39">
        <v>0.1813919681594125</v>
      </c>
    </row>
    <row r="1021" spans="1:10" ht="11.25" customHeight="1" x14ac:dyDescent="0.2">
      <c r="A1021" s="67">
        <v>44866</v>
      </c>
      <c r="B1021" s="58">
        <v>0</v>
      </c>
      <c r="C1021" s="58">
        <v>0</v>
      </c>
      <c r="D1021" s="58">
        <v>293209.42028800002</v>
      </c>
      <c r="E1021" s="58">
        <v>327748.09539150051</v>
      </c>
      <c r="F1021" s="58">
        <v>111680.1540864</v>
      </c>
      <c r="G1021" s="58">
        <v>150585.19576589874</v>
      </c>
      <c r="H1021" s="39">
        <v>0.11779524365068306</v>
      </c>
      <c r="I1021" s="39">
        <v>0.34836128225074203</v>
      </c>
      <c r="J1021" s="39">
        <v>0.1813919681594125</v>
      </c>
    </row>
    <row r="1022" spans="1:10" ht="11.25" customHeight="1" x14ac:dyDescent="0.2">
      <c r="A1022" s="60" t="s">
        <v>49</v>
      </c>
      <c r="B1022" s="58">
        <v>0</v>
      </c>
      <c r="C1022" s="58">
        <v>0</v>
      </c>
      <c r="D1022" s="58">
        <v>12587134.10636</v>
      </c>
      <c r="E1022" s="58">
        <v>13634688.986768609</v>
      </c>
      <c r="F1022" s="58">
        <v>4794346.4758400004</v>
      </c>
      <c r="G1022" s="58">
        <v>6264513.3233410073</v>
      </c>
      <c r="H1022" s="39">
        <v>8.3224256733651636E-2</v>
      </c>
      <c r="I1022" s="39">
        <v>0.3066459328522817</v>
      </c>
      <c r="J1022" s="39">
        <v>0.14485082073433708</v>
      </c>
    </row>
    <row r="1023" spans="1:10" ht="11.25" customHeight="1" x14ac:dyDescent="0.2">
      <c r="A1023" s="61" t="s">
        <v>23</v>
      </c>
      <c r="B1023" s="58">
        <v>0</v>
      </c>
      <c r="C1023" s="58">
        <v>0</v>
      </c>
      <c r="D1023" s="58">
        <v>12587134.10636</v>
      </c>
      <c r="E1023" s="58">
        <v>13634688.986768609</v>
      </c>
      <c r="F1023" s="58">
        <v>4794346.4758400004</v>
      </c>
      <c r="G1023" s="58">
        <v>6264513.3233410073</v>
      </c>
      <c r="H1023" s="39">
        <v>8.3224256733651636E-2</v>
      </c>
      <c r="I1023" s="39">
        <v>0.3066459328522817</v>
      </c>
      <c r="J1023" s="39">
        <v>0.14485082073433708</v>
      </c>
    </row>
    <row r="1024" spans="1:10" ht="11.25" customHeight="1" x14ac:dyDescent="0.2">
      <c r="A1024" s="62" t="s">
        <v>50</v>
      </c>
      <c r="B1024" s="58">
        <v>0</v>
      </c>
      <c r="C1024" s="58">
        <v>0</v>
      </c>
      <c r="D1024" s="58">
        <v>12587134.10636</v>
      </c>
      <c r="E1024" s="58">
        <v>13634688.986768609</v>
      </c>
      <c r="F1024" s="58">
        <v>4794346.4758400004</v>
      </c>
      <c r="G1024" s="58">
        <v>6264513.3233410073</v>
      </c>
      <c r="H1024" s="39">
        <v>8.3224256733651636E-2</v>
      </c>
      <c r="I1024" s="39">
        <v>0.3066459328522817</v>
      </c>
      <c r="J1024" s="39">
        <v>0.14485082073433708</v>
      </c>
    </row>
    <row r="1025" spans="1:10" ht="11.25" customHeight="1" x14ac:dyDescent="0.2">
      <c r="A1025" s="63" t="s">
        <v>51</v>
      </c>
      <c r="B1025" s="58">
        <v>0</v>
      </c>
      <c r="C1025" s="58">
        <v>0</v>
      </c>
      <c r="D1025" s="58">
        <v>12587134.10636</v>
      </c>
      <c r="E1025" s="58">
        <v>13634688.986768609</v>
      </c>
      <c r="F1025" s="58">
        <v>4794346.4758400004</v>
      </c>
      <c r="G1025" s="58">
        <v>6264513.3233410073</v>
      </c>
      <c r="H1025" s="39">
        <v>8.3224256733651636E-2</v>
      </c>
      <c r="I1025" s="39">
        <v>0.3066459328522817</v>
      </c>
      <c r="J1025" s="39">
        <v>0.14485082073433708</v>
      </c>
    </row>
    <row r="1026" spans="1:10" ht="11.25" customHeight="1" x14ac:dyDescent="0.2">
      <c r="A1026" s="64" t="s">
        <v>25</v>
      </c>
      <c r="B1026" s="58">
        <v>0</v>
      </c>
      <c r="C1026" s="58">
        <v>0</v>
      </c>
      <c r="D1026" s="58">
        <v>12587134.10636</v>
      </c>
      <c r="E1026" s="58">
        <v>13634688.986768609</v>
      </c>
      <c r="F1026" s="58">
        <v>4794346.4758400004</v>
      </c>
      <c r="G1026" s="58">
        <v>6264513.3233410073</v>
      </c>
      <c r="H1026" s="39">
        <v>8.3224256733651636E-2</v>
      </c>
      <c r="I1026" s="39">
        <v>0.3066459328522817</v>
      </c>
      <c r="J1026" s="39">
        <v>0.14485082073433708</v>
      </c>
    </row>
    <row r="1027" spans="1:10" ht="11.25" customHeight="1" x14ac:dyDescent="0.2">
      <c r="A1027" s="65" t="s">
        <v>25</v>
      </c>
      <c r="B1027" s="58">
        <v>0</v>
      </c>
      <c r="C1027" s="58">
        <v>0</v>
      </c>
      <c r="D1027" s="58">
        <v>12587134.10636</v>
      </c>
      <c r="E1027" s="58">
        <v>13634688.986768609</v>
      </c>
      <c r="F1027" s="58">
        <v>4794346.4758400004</v>
      </c>
      <c r="G1027" s="58">
        <v>6264513.3233410073</v>
      </c>
      <c r="H1027" s="39">
        <v>8.3224256733651636E-2</v>
      </c>
      <c r="I1027" s="39">
        <v>0.3066459328522817</v>
      </c>
      <c r="J1027" s="39">
        <v>0.14485082073433708</v>
      </c>
    </row>
    <row r="1028" spans="1:10" ht="11.25" customHeight="1" x14ac:dyDescent="0.2">
      <c r="A1028" s="66" t="s">
        <v>25</v>
      </c>
      <c r="B1028" s="58">
        <v>0</v>
      </c>
      <c r="C1028" s="58">
        <v>0</v>
      </c>
      <c r="D1028" s="58">
        <v>12587134.10636</v>
      </c>
      <c r="E1028" s="58">
        <v>13634688.986768609</v>
      </c>
      <c r="F1028" s="58">
        <v>4794346.4758400004</v>
      </c>
      <c r="G1028" s="58">
        <v>6264513.3233410073</v>
      </c>
      <c r="H1028" s="39">
        <v>8.3224256733651636E-2</v>
      </c>
      <c r="I1028" s="39">
        <v>0.3066459328522817</v>
      </c>
      <c r="J1028" s="39">
        <v>0.14485082073433708</v>
      </c>
    </row>
    <row r="1029" spans="1:10" ht="11.25" customHeight="1" x14ac:dyDescent="0.2">
      <c r="A1029" s="67">
        <v>44531</v>
      </c>
      <c r="B1029" s="58">
        <v>0</v>
      </c>
      <c r="C1029" s="58">
        <v>0</v>
      </c>
      <c r="D1029" s="58">
        <v>967959.66564000002</v>
      </c>
      <c r="E1029" s="58">
        <v>1048517.389361043</v>
      </c>
      <c r="F1029" s="58">
        <v>368688.69216000004</v>
      </c>
      <c r="G1029" s="58">
        <v>481745.58009949105</v>
      </c>
      <c r="H1029" s="39">
        <v>8.3224256733651636E-2</v>
      </c>
      <c r="I1029" s="39">
        <v>0.30664593285228192</v>
      </c>
      <c r="J1029" s="39">
        <v>0.14485082073433708</v>
      </c>
    </row>
    <row r="1030" spans="1:10" ht="11.25" customHeight="1" x14ac:dyDescent="0.2">
      <c r="A1030" s="67">
        <v>44562</v>
      </c>
      <c r="B1030" s="58">
        <v>0</v>
      </c>
      <c r="C1030" s="58">
        <v>0</v>
      </c>
      <c r="D1030" s="58">
        <v>1063140.8948599999</v>
      </c>
      <c r="E1030" s="58">
        <v>1151620.005637873</v>
      </c>
      <c r="F1030" s="58">
        <v>404942.51984000002</v>
      </c>
      <c r="G1030" s="58">
        <v>529116.49658789055</v>
      </c>
      <c r="H1030" s="39">
        <v>8.3224256733651858E-2</v>
      </c>
      <c r="I1030" s="39">
        <v>0.30664593285228192</v>
      </c>
      <c r="J1030" s="39">
        <v>0.14485082073433753</v>
      </c>
    </row>
    <row r="1031" spans="1:10" ht="11.25" customHeight="1" x14ac:dyDescent="0.2">
      <c r="A1031" s="67">
        <v>44593</v>
      </c>
      <c r="B1031" s="58">
        <v>0</v>
      </c>
      <c r="C1031" s="58">
        <v>0</v>
      </c>
      <c r="D1031" s="58">
        <v>1090114.7190999999</v>
      </c>
      <c r="E1031" s="58">
        <v>1180838.7063515112</v>
      </c>
      <c r="F1031" s="58">
        <v>415216.65040000004</v>
      </c>
      <c r="G1031" s="58">
        <v>542541.14749770786</v>
      </c>
      <c r="H1031" s="39">
        <v>8.322425673365208E-2</v>
      </c>
      <c r="I1031" s="39">
        <v>0.30664593285228192</v>
      </c>
      <c r="J1031" s="39">
        <v>0.1448508207343373</v>
      </c>
    </row>
    <row r="1032" spans="1:10" ht="11.25" customHeight="1" x14ac:dyDescent="0.2">
      <c r="A1032" s="67">
        <v>44621</v>
      </c>
      <c r="B1032" s="58">
        <v>0</v>
      </c>
      <c r="C1032" s="58">
        <v>0</v>
      </c>
      <c r="D1032" s="58">
        <v>1141362.1293800001</v>
      </c>
      <c r="E1032" s="58">
        <v>1236351.1442615886</v>
      </c>
      <c r="F1032" s="58">
        <v>434736.41072000004</v>
      </c>
      <c r="G1032" s="58">
        <v>568046.56293008721</v>
      </c>
      <c r="H1032" s="39">
        <v>8.3224256733651636E-2</v>
      </c>
      <c r="I1032" s="39">
        <v>0.30664593285228192</v>
      </c>
      <c r="J1032" s="39">
        <v>0.1448508207343373</v>
      </c>
    </row>
    <row r="1033" spans="1:10" ht="11.25" customHeight="1" x14ac:dyDescent="0.2">
      <c r="A1033" s="67">
        <v>44652</v>
      </c>
      <c r="B1033" s="58">
        <v>0</v>
      </c>
      <c r="C1033" s="58">
        <v>0</v>
      </c>
      <c r="D1033" s="58">
        <v>1156155.55902</v>
      </c>
      <c r="E1033" s="58">
        <v>1252375.7460879192</v>
      </c>
      <c r="F1033" s="58">
        <v>440371.11888000002</v>
      </c>
      <c r="G1033" s="58">
        <v>575409.13143016084</v>
      </c>
      <c r="H1033" s="39">
        <v>8.3224256733651858E-2</v>
      </c>
      <c r="I1033" s="39">
        <v>0.30664593285228214</v>
      </c>
      <c r="J1033" s="39">
        <v>0.14485082073433753</v>
      </c>
    </row>
    <row r="1034" spans="1:10" ht="11.25" customHeight="1" x14ac:dyDescent="0.2">
      <c r="A1034" s="67">
        <v>44682</v>
      </c>
      <c r="B1034" s="58">
        <v>0</v>
      </c>
      <c r="C1034" s="58">
        <v>0</v>
      </c>
      <c r="D1034" s="58">
        <v>990622.54301999987</v>
      </c>
      <c r="E1034" s="58">
        <v>1073066.3678664393</v>
      </c>
      <c r="F1034" s="58">
        <v>377320.81487999996</v>
      </c>
      <c r="G1034" s="58">
        <v>493024.7081434608</v>
      </c>
      <c r="H1034" s="39">
        <v>8.3224256733651636E-2</v>
      </c>
      <c r="I1034" s="39">
        <v>0.30664593285228214</v>
      </c>
      <c r="J1034" s="39">
        <v>0.1448508207343373</v>
      </c>
    </row>
    <row r="1035" spans="1:10" ht="11.25" customHeight="1" x14ac:dyDescent="0.2">
      <c r="A1035" s="67">
        <v>44713</v>
      </c>
      <c r="B1035" s="58">
        <v>0</v>
      </c>
      <c r="C1035" s="58">
        <v>0</v>
      </c>
      <c r="D1035" s="58">
        <v>953729.74179999996</v>
      </c>
      <c r="E1035" s="58">
        <v>1033103.1906860825</v>
      </c>
      <c r="F1035" s="58">
        <v>363268.61920000007</v>
      </c>
      <c r="G1035" s="58">
        <v>474663.46381054446</v>
      </c>
      <c r="H1035" s="39">
        <v>8.3224256733651636E-2</v>
      </c>
      <c r="I1035" s="39">
        <v>0.30664593285228192</v>
      </c>
      <c r="J1035" s="39">
        <v>0.14485082073433708</v>
      </c>
    </row>
    <row r="1036" spans="1:10" ht="11.25" customHeight="1" x14ac:dyDescent="0.2">
      <c r="A1036" s="67">
        <v>44743</v>
      </c>
      <c r="B1036" s="58">
        <v>0</v>
      </c>
      <c r="C1036" s="58">
        <v>0</v>
      </c>
      <c r="D1036" s="58">
        <v>999205.42479999992</v>
      </c>
      <c r="E1036" s="58">
        <v>1082363.5536032128</v>
      </c>
      <c r="F1036" s="58">
        <v>380589.97120000003</v>
      </c>
      <c r="G1036" s="58">
        <v>497296.33795284719</v>
      </c>
      <c r="H1036" s="39">
        <v>8.3224256733651858E-2</v>
      </c>
      <c r="I1036" s="39">
        <v>0.30664593285228192</v>
      </c>
      <c r="J1036" s="39">
        <v>0.1448508207343373</v>
      </c>
    </row>
    <row r="1037" spans="1:10" ht="11.25" customHeight="1" x14ac:dyDescent="0.2">
      <c r="A1037" s="67">
        <v>44774</v>
      </c>
      <c r="B1037" s="58">
        <v>0</v>
      </c>
      <c r="C1037" s="58">
        <v>0</v>
      </c>
      <c r="D1037" s="58">
        <v>1037846.62388</v>
      </c>
      <c r="E1037" s="58">
        <v>1124220.6377559428</v>
      </c>
      <c r="F1037" s="58">
        <v>395308.11872000003</v>
      </c>
      <c r="G1037" s="58">
        <v>516527.74554897507</v>
      </c>
      <c r="H1037" s="39">
        <v>8.3224256733651636E-2</v>
      </c>
      <c r="I1037" s="39">
        <v>0.30664593285228192</v>
      </c>
      <c r="J1037" s="39">
        <v>0.14485082073433708</v>
      </c>
    </row>
    <row r="1038" spans="1:10" ht="11.25" customHeight="1" x14ac:dyDescent="0.2">
      <c r="A1038" s="67">
        <v>44805</v>
      </c>
      <c r="B1038" s="58">
        <v>0</v>
      </c>
      <c r="C1038" s="58">
        <v>0</v>
      </c>
      <c r="D1038" s="58">
        <v>1059278.9677799998</v>
      </c>
      <c r="E1038" s="58">
        <v>1147436.6725470803</v>
      </c>
      <c r="F1038" s="58">
        <v>403471.54031999997</v>
      </c>
      <c r="G1038" s="58">
        <v>527194.44718077348</v>
      </c>
      <c r="H1038" s="39">
        <v>8.3224256733651858E-2</v>
      </c>
      <c r="I1038" s="39">
        <v>0.30664593285228192</v>
      </c>
      <c r="J1038" s="39">
        <v>0.1448508207343373</v>
      </c>
    </row>
    <row r="1039" spans="1:10" ht="11.25" customHeight="1" x14ac:dyDescent="0.2">
      <c r="A1039" s="67">
        <v>44835</v>
      </c>
      <c r="B1039" s="58">
        <v>0</v>
      </c>
      <c r="C1039" s="58">
        <v>0</v>
      </c>
      <c r="D1039" s="58">
        <v>1063858.91854</v>
      </c>
      <c r="E1039" s="58">
        <v>1152397.7863049579</v>
      </c>
      <c r="F1039" s="58">
        <v>405216.00976000004</v>
      </c>
      <c r="G1039" s="58">
        <v>529473.85107953462</v>
      </c>
      <c r="H1039" s="39">
        <v>8.3224256733651636E-2</v>
      </c>
      <c r="I1039" s="39">
        <v>0.30664593285228192</v>
      </c>
      <c r="J1039" s="39">
        <v>0.14485082073433708</v>
      </c>
    </row>
    <row r="1040" spans="1:10" ht="11.25" customHeight="1" x14ac:dyDescent="0.2">
      <c r="A1040" s="67">
        <v>44866</v>
      </c>
      <c r="B1040" s="58">
        <v>0</v>
      </c>
      <c r="C1040" s="58">
        <v>0</v>
      </c>
      <c r="D1040" s="58">
        <v>1063858.91854</v>
      </c>
      <c r="E1040" s="58">
        <v>1152397.7863049579</v>
      </c>
      <c r="F1040" s="58">
        <v>405216.00976000004</v>
      </c>
      <c r="G1040" s="58">
        <v>529473.85107953462</v>
      </c>
      <c r="H1040" s="39">
        <v>8.3224256733651636E-2</v>
      </c>
      <c r="I1040" s="39">
        <v>0.30664593285228192</v>
      </c>
      <c r="J1040" s="39">
        <v>0.14485082073433708</v>
      </c>
    </row>
    <row r="1041" spans="1:10" ht="11.25" customHeight="1" x14ac:dyDescent="0.2">
      <c r="A1041" s="59" t="s">
        <v>61</v>
      </c>
      <c r="B1041" s="58">
        <v>3185093.3079000008</v>
      </c>
      <c r="C1041" s="58">
        <v>3256708.040260897</v>
      </c>
      <c r="D1041" s="58">
        <v>6973371.0923471665</v>
      </c>
      <c r="E1041" s="58">
        <v>8618467.6876609828</v>
      </c>
      <c r="F1041" s="58">
        <v>0</v>
      </c>
      <c r="G1041" s="58">
        <v>0</v>
      </c>
      <c r="H1041" s="39">
        <v>0.16899319228139875</v>
      </c>
      <c r="I1041" s="39">
        <v>0</v>
      </c>
      <c r="J1041" s="39">
        <v>0.16899319228139875</v>
      </c>
    </row>
    <row r="1042" spans="1:10" ht="11.25" customHeight="1" x14ac:dyDescent="0.2">
      <c r="A1042" s="60" t="s">
        <v>41</v>
      </c>
      <c r="B1042" s="58">
        <v>3185093.3079000008</v>
      </c>
      <c r="C1042" s="58">
        <v>3256708.040260897</v>
      </c>
      <c r="D1042" s="58">
        <v>6973371.0923471665</v>
      </c>
      <c r="E1042" s="58">
        <v>8618467.6876609828</v>
      </c>
      <c r="F1042" s="58">
        <v>0</v>
      </c>
      <c r="G1042" s="58">
        <v>0</v>
      </c>
      <c r="H1042" s="39">
        <v>0.16899319228139875</v>
      </c>
      <c r="I1042" s="39">
        <v>0</v>
      </c>
      <c r="J1042" s="39">
        <v>0.16899319228139875</v>
      </c>
    </row>
    <row r="1043" spans="1:10" ht="11.25" customHeight="1" x14ac:dyDescent="0.2">
      <c r="A1043" s="61" t="s">
        <v>42</v>
      </c>
      <c r="B1043" s="58">
        <v>2067111.2420400002</v>
      </c>
      <c r="C1043" s="58">
        <v>2092830.7510896695</v>
      </c>
      <c r="D1043" s="58">
        <v>1877586.6508500001</v>
      </c>
      <c r="E1043" s="58">
        <v>2526268.7118939646</v>
      </c>
      <c r="F1043" s="58">
        <v>0</v>
      </c>
      <c r="G1043" s="58">
        <v>0</v>
      </c>
      <c r="H1043" s="39">
        <v>0.17096406072292347</v>
      </c>
      <c r="I1043" s="39">
        <v>0</v>
      </c>
      <c r="J1043" s="39">
        <v>0.17096406072292347</v>
      </c>
    </row>
    <row r="1044" spans="1:10" ht="11.25" customHeight="1" x14ac:dyDescent="0.2">
      <c r="A1044" s="62" t="s">
        <v>40</v>
      </c>
      <c r="B1044" s="58">
        <v>2067111.2420400002</v>
      </c>
      <c r="C1044" s="58">
        <v>2092830.7510896695</v>
      </c>
      <c r="D1044" s="58">
        <v>1877586.6508500001</v>
      </c>
      <c r="E1044" s="58">
        <v>2526268.7118939646</v>
      </c>
      <c r="F1044" s="58">
        <v>0</v>
      </c>
      <c r="G1044" s="58">
        <v>0</v>
      </c>
      <c r="H1044" s="39">
        <v>0.17096406072292347</v>
      </c>
      <c r="I1044" s="39">
        <v>0</v>
      </c>
      <c r="J1044" s="39">
        <v>0.17096406072292347</v>
      </c>
    </row>
    <row r="1045" spans="1:10" ht="11.25" customHeight="1" x14ac:dyDescent="0.2">
      <c r="A1045" s="63" t="s">
        <v>25</v>
      </c>
      <c r="B1045" s="58">
        <v>2067111.2420400002</v>
      </c>
      <c r="C1045" s="58">
        <v>2092830.7510896695</v>
      </c>
      <c r="D1045" s="58">
        <v>1877586.6508500001</v>
      </c>
      <c r="E1045" s="58">
        <v>2526268.7118939646</v>
      </c>
      <c r="F1045" s="58">
        <v>0</v>
      </c>
      <c r="G1045" s="58">
        <v>0</v>
      </c>
      <c r="H1045" s="39">
        <v>0.17096406072292347</v>
      </c>
      <c r="I1045" s="39">
        <v>0</v>
      </c>
      <c r="J1045" s="39">
        <v>0.17096406072292347</v>
      </c>
    </row>
    <row r="1046" spans="1:10" ht="11.25" customHeight="1" x14ac:dyDescent="0.2">
      <c r="A1046" s="64" t="s">
        <v>60</v>
      </c>
      <c r="B1046" s="58">
        <v>2067111.2420400002</v>
      </c>
      <c r="C1046" s="58">
        <v>2092830.7510896695</v>
      </c>
      <c r="D1046" s="58">
        <v>1877586.6508500001</v>
      </c>
      <c r="E1046" s="58">
        <v>2526268.7118939646</v>
      </c>
      <c r="F1046" s="58">
        <v>0</v>
      </c>
      <c r="G1046" s="58">
        <v>0</v>
      </c>
      <c r="H1046" s="39">
        <v>0.17096406072292347</v>
      </c>
      <c r="I1046" s="39">
        <v>0</v>
      </c>
      <c r="J1046" s="39">
        <v>0.17096406072292347</v>
      </c>
    </row>
    <row r="1047" spans="1:10" ht="11.25" customHeight="1" x14ac:dyDescent="0.2">
      <c r="A1047" s="65" t="s">
        <v>25</v>
      </c>
      <c r="B1047" s="58">
        <v>2067111.2420400002</v>
      </c>
      <c r="C1047" s="58">
        <v>2092830.7510896695</v>
      </c>
      <c r="D1047" s="58">
        <v>1877586.6508500001</v>
      </c>
      <c r="E1047" s="58">
        <v>2526268.7118939646</v>
      </c>
      <c r="F1047" s="58">
        <v>0</v>
      </c>
      <c r="G1047" s="58">
        <v>0</v>
      </c>
      <c r="H1047" s="39">
        <v>0.17096406072292347</v>
      </c>
      <c r="I1047" s="39">
        <v>0</v>
      </c>
      <c r="J1047" s="39">
        <v>0.17096406072292347</v>
      </c>
    </row>
    <row r="1048" spans="1:10" ht="11.25" customHeight="1" x14ac:dyDescent="0.2">
      <c r="A1048" s="66" t="s">
        <v>37</v>
      </c>
      <c r="B1048" s="58">
        <v>574281.73638000002</v>
      </c>
      <c r="C1048" s="58">
        <v>597857.05958023819</v>
      </c>
      <c r="D1048" s="58">
        <v>0</v>
      </c>
      <c r="E1048" s="58">
        <v>0</v>
      </c>
      <c r="F1048" s="58">
        <v>0</v>
      </c>
      <c r="G1048" s="58">
        <v>0</v>
      </c>
      <c r="H1048" s="39">
        <v>4.1051842165216401E-2</v>
      </c>
      <c r="I1048" s="39">
        <v>0</v>
      </c>
      <c r="J1048" s="39">
        <v>4.1051842165216401E-2</v>
      </c>
    </row>
    <row r="1049" spans="1:10" ht="11.25" customHeight="1" x14ac:dyDescent="0.2">
      <c r="A1049" s="67">
        <v>44531</v>
      </c>
      <c r="B1049" s="58">
        <v>42861.551039999998</v>
      </c>
      <c r="C1049" s="58">
        <v>44621.096668250444</v>
      </c>
      <c r="D1049" s="58">
        <v>0</v>
      </c>
      <c r="E1049" s="58">
        <v>0</v>
      </c>
      <c r="F1049" s="58">
        <v>0</v>
      </c>
      <c r="G1049" s="58">
        <v>0</v>
      </c>
      <c r="H1049" s="39">
        <v>4.1051842165216401E-2</v>
      </c>
      <c r="I1049" s="39">
        <v>0</v>
      </c>
      <c r="J1049" s="39">
        <v>4.1051842165216401E-2</v>
      </c>
    </row>
    <row r="1050" spans="1:10" ht="11.25" customHeight="1" x14ac:dyDescent="0.2">
      <c r="A1050" s="67">
        <v>44562</v>
      </c>
      <c r="B1050" s="58">
        <v>45177.707520000004</v>
      </c>
      <c r="C1050" s="58">
        <v>47032.335638497352</v>
      </c>
      <c r="D1050" s="58">
        <v>0</v>
      </c>
      <c r="E1050" s="58">
        <v>0</v>
      </c>
      <c r="F1050" s="58">
        <v>0</v>
      </c>
      <c r="G1050" s="58">
        <v>0</v>
      </c>
      <c r="H1050" s="39">
        <v>4.1051842165216401E-2</v>
      </c>
      <c r="I1050" s="39">
        <v>0</v>
      </c>
      <c r="J1050" s="39">
        <v>4.1051842165216401E-2</v>
      </c>
    </row>
    <row r="1051" spans="1:10" ht="11.25" customHeight="1" x14ac:dyDescent="0.2">
      <c r="A1051" s="67">
        <v>44593</v>
      </c>
      <c r="B1051" s="58">
        <v>48439.765440000003</v>
      </c>
      <c r="C1051" s="58">
        <v>50428.307045362984</v>
      </c>
      <c r="D1051" s="58">
        <v>0</v>
      </c>
      <c r="E1051" s="58">
        <v>0</v>
      </c>
      <c r="F1051" s="58">
        <v>0</v>
      </c>
      <c r="G1051" s="58">
        <v>0</v>
      </c>
      <c r="H1051" s="39">
        <v>4.1051842165216401E-2</v>
      </c>
      <c r="I1051" s="39">
        <v>0</v>
      </c>
      <c r="J1051" s="39">
        <v>4.1051842165216401E-2</v>
      </c>
    </row>
    <row r="1052" spans="1:10" ht="11.25" customHeight="1" x14ac:dyDescent="0.2">
      <c r="A1052" s="67">
        <v>44621</v>
      </c>
      <c r="B1052" s="58">
        <v>48080.945879999999</v>
      </c>
      <c r="C1052" s="58">
        <v>50054.757281420061</v>
      </c>
      <c r="D1052" s="58">
        <v>0</v>
      </c>
      <c r="E1052" s="58">
        <v>0</v>
      </c>
      <c r="F1052" s="58">
        <v>0</v>
      </c>
      <c r="G1052" s="58">
        <v>0</v>
      </c>
      <c r="H1052" s="39">
        <v>4.1051842165216179E-2</v>
      </c>
      <c r="I1052" s="39">
        <v>0</v>
      </c>
      <c r="J1052" s="39">
        <v>4.1051842165216179E-2</v>
      </c>
    </row>
    <row r="1053" spans="1:10" ht="11.25" customHeight="1" x14ac:dyDescent="0.2">
      <c r="A1053" s="67">
        <v>44652</v>
      </c>
      <c r="B1053" s="58">
        <v>48109.731120000004</v>
      </c>
      <c r="C1053" s="58">
        <v>50084.72420854924</v>
      </c>
      <c r="D1053" s="58">
        <v>0</v>
      </c>
      <c r="E1053" s="58">
        <v>0</v>
      </c>
      <c r="F1053" s="58">
        <v>0</v>
      </c>
      <c r="G1053" s="58">
        <v>0</v>
      </c>
      <c r="H1053" s="39">
        <v>4.1051842165216401E-2</v>
      </c>
      <c r="I1053" s="39">
        <v>0</v>
      </c>
      <c r="J1053" s="39">
        <v>4.1051842165216401E-2</v>
      </c>
    </row>
    <row r="1054" spans="1:10" ht="11.25" customHeight="1" x14ac:dyDescent="0.2">
      <c r="A1054" s="67">
        <v>44682</v>
      </c>
      <c r="B1054" s="58">
        <v>48160.933919999996</v>
      </c>
      <c r="C1054" s="58">
        <v>50138.02897781325</v>
      </c>
      <c r="D1054" s="58">
        <v>0</v>
      </c>
      <c r="E1054" s="58">
        <v>0</v>
      </c>
      <c r="F1054" s="58">
        <v>0</v>
      </c>
      <c r="G1054" s="58">
        <v>0</v>
      </c>
      <c r="H1054" s="39">
        <v>4.1051842165216401E-2</v>
      </c>
      <c r="I1054" s="39">
        <v>0</v>
      </c>
      <c r="J1054" s="39">
        <v>4.1051842165216401E-2</v>
      </c>
    </row>
    <row r="1055" spans="1:10" ht="11.25" customHeight="1" x14ac:dyDescent="0.2">
      <c r="A1055" s="67">
        <v>44713</v>
      </c>
      <c r="B1055" s="58">
        <v>48102.353640000001</v>
      </c>
      <c r="C1055" s="58">
        <v>50077.043869404697</v>
      </c>
      <c r="D1055" s="58">
        <v>0</v>
      </c>
      <c r="E1055" s="58">
        <v>0</v>
      </c>
      <c r="F1055" s="58">
        <v>0</v>
      </c>
      <c r="G1055" s="58">
        <v>0</v>
      </c>
      <c r="H1055" s="39">
        <v>4.1051842165216179E-2</v>
      </c>
      <c r="I1055" s="39">
        <v>0</v>
      </c>
      <c r="J1055" s="39">
        <v>4.1051842165216179E-2</v>
      </c>
    </row>
    <row r="1056" spans="1:10" ht="11.25" customHeight="1" x14ac:dyDescent="0.2">
      <c r="A1056" s="67">
        <v>44743</v>
      </c>
      <c r="B1056" s="58">
        <v>48326.952960000002</v>
      </c>
      <c r="C1056" s="58">
        <v>50310.863405239754</v>
      </c>
      <c r="D1056" s="58">
        <v>0</v>
      </c>
      <c r="E1056" s="58">
        <v>0</v>
      </c>
      <c r="F1056" s="58">
        <v>0</v>
      </c>
      <c r="G1056" s="58">
        <v>0</v>
      </c>
      <c r="H1056" s="39">
        <v>4.1051842165216179E-2</v>
      </c>
      <c r="I1056" s="39">
        <v>0</v>
      </c>
      <c r="J1056" s="39">
        <v>4.1051842165216179E-2</v>
      </c>
    </row>
    <row r="1057" spans="1:10" ht="11.25" customHeight="1" x14ac:dyDescent="0.2">
      <c r="A1057" s="67">
        <v>44774</v>
      </c>
      <c r="B1057" s="58">
        <v>48241.393200000006</v>
      </c>
      <c r="C1057" s="58">
        <v>50221.791259476544</v>
      </c>
      <c r="D1057" s="58">
        <v>0</v>
      </c>
      <c r="E1057" s="58">
        <v>0</v>
      </c>
      <c r="F1057" s="58">
        <v>0</v>
      </c>
      <c r="G1057" s="58">
        <v>0</v>
      </c>
      <c r="H1057" s="39">
        <v>4.1051842165216179E-2</v>
      </c>
      <c r="I1057" s="39">
        <v>0</v>
      </c>
      <c r="J1057" s="39">
        <v>4.1051842165216179E-2</v>
      </c>
    </row>
    <row r="1058" spans="1:10" ht="11.25" customHeight="1" x14ac:dyDescent="0.2">
      <c r="A1058" s="67">
        <v>44805</v>
      </c>
      <c r="B1058" s="58">
        <v>48549.011940000004</v>
      </c>
      <c r="C1058" s="58">
        <v>50542.038315438083</v>
      </c>
      <c r="D1058" s="58">
        <v>0</v>
      </c>
      <c r="E1058" s="58">
        <v>0</v>
      </c>
      <c r="F1058" s="58">
        <v>0</v>
      </c>
      <c r="G1058" s="58">
        <v>0</v>
      </c>
      <c r="H1058" s="39">
        <v>4.1051842165216179E-2</v>
      </c>
      <c r="I1058" s="39">
        <v>0</v>
      </c>
      <c r="J1058" s="39">
        <v>4.1051842165216179E-2</v>
      </c>
    </row>
    <row r="1059" spans="1:10" ht="11.25" customHeight="1" x14ac:dyDescent="0.2">
      <c r="A1059" s="67">
        <v>44835</v>
      </c>
      <c r="B1059" s="58">
        <v>50115.694859999996</v>
      </c>
      <c r="C1059" s="58">
        <v>52173.036455392859</v>
      </c>
      <c r="D1059" s="58">
        <v>0</v>
      </c>
      <c r="E1059" s="58">
        <v>0</v>
      </c>
      <c r="F1059" s="58">
        <v>0</v>
      </c>
      <c r="G1059" s="58">
        <v>0</v>
      </c>
      <c r="H1059" s="39">
        <v>4.1051842165216401E-2</v>
      </c>
      <c r="I1059" s="39">
        <v>0</v>
      </c>
      <c r="J1059" s="39">
        <v>4.1051842165216401E-2</v>
      </c>
    </row>
    <row r="1060" spans="1:10" ht="11.25" customHeight="1" x14ac:dyDescent="0.2">
      <c r="A1060" s="67">
        <v>44866</v>
      </c>
      <c r="B1060" s="58">
        <v>50115.694859999996</v>
      </c>
      <c r="C1060" s="58">
        <v>52173.036455392859</v>
      </c>
      <c r="D1060" s="58">
        <v>0</v>
      </c>
      <c r="E1060" s="58">
        <v>0</v>
      </c>
      <c r="F1060" s="58">
        <v>0</v>
      </c>
      <c r="G1060" s="58">
        <v>0</v>
      </c>
      <c r="H1060" s="39">
        <v>4.1051842165216401E-2</v>
      </c>
      <c r="I1060" s="39">
        <v>0</v>
      </c>
      <c r="J1060" s="39">
        <v>4.1051842165216401E-2</v>
      </c>
    </row>
    <row r="1061" spans="1:10" ht="11.25" customHeight="1" x14ac:dyDescent="0.2">
      <c r="A1061" s="66" t="s">
        <v>25</v>
      </c>
      <c r="B1061" s="58">
        <v>0</v>
      </c>
      <c r="C1061" s="58">
        <v>0</v>
      </c>
      <c r="D1061" s="58">
        <v>1877586.6508500001</v>
      </c>
      <c r="E1061" s="58">
        <v>2526268.7118939646</v>
      </c>
      <c r="F1061" s="58">
        <v>0</v>
      </c>
      <c r="G1061" s="58">
        <v>0</v>
      </c>
      <c r="H1061" s="39">
        <v>0.34548715008721453</v>
      </c>
      <c r="I1061" s="39">
        <v>0</v>
      </c>
      <c r="J1061" s="39">
        <v>0.34548715008721453</v>
      </c>
    </row>
    <row r="1062" spans="1:10" ht="11.25" customHeight="1" x14ac:dyDescent="0.2">
      <c r="A1062" s="67">
        <v>44531</v>
      </c>
      <c r="B1062" s="58">
        <v>0</v>
      </c>
      <c r="C1062" s="58">
        <v>0</v>
      </c>
      <c r="D1062" s="58">
        <v>170248.61627</v>
      </c>
      <c r="E1062" s="58">
        <v>229067.32551141409</v>
      </c>
      <c r="F1062" s="58">
        <v>0</v>
      </c>
      <c r="G1062" s="58">
        <v>0</v>
      </c>
      <c r="H1062" s="39">
        <v>0.34548715008721453</v>
      </c>
      <c r="I1062" s="39">
        <v>0</v>
      </c>
      <c r="J1062" s="39">
        <v>0.34548715008721453</v>
      </c>
    </row>
    <row r="1063" spans="1:10" ht="11.25" customHeight="1" x14ac:dyDescent="0.2">
      <c r="A1063" s="67">
        <v>44562</v>
      </c>
      <c r="B1063" s="58">
        <v>0</v>
      </c>
      <c r="C1063" s="58">
        <v>0</v>
      </c>
      <c r="D1063" s="58">
        <v>174021.23583999998</v>
      </c>
      <c r="E1063" s="58">
        <v>234143.33666501663</v>
      </c>
      <c r="F1063" s="58">
        <v>0</v>
      </c>
      <c r="G1063" s="58">
        <v>0</v>
      </c>
      <c r="H1063" s="39">
        <v>0.34548715008721453</v>
      </c>
      <c r="I1063" s="39">
        <v>0</v>
      </c>
      <c r="J1063" s="39">
        <v>0.34548715008721453</v>
      </c>
    </row>
    <row r="1064" spans="1:10" ht="11.25" customHeight="1" x14ac:dyDescent="0.2">
      <c r="A1064" s="67">
        <v>44593</v>
      </c>
      <c r="B1064" s="58">
        <v>0</v>
      </c>
      <c r="C1064" s="58">
        <v>0</v>
      </c>
      <c r="D1064" s="58">
        <v>170013.55999000001</v>
      </c>
      <c r="E1064" s="58">
        <v>228751.06030712678</v>
      </c>
      <c r="F1064" s="58">
        <v>0</v>
      </c>
      <c r="G1064" s="58">
        <v>0</v>
      </c>
      <c r="H1064" s="39">
        <v>0.34548715008721453</v>
      </c>
      <c r="I1064" s="39">
        <v>0</v>
      </c>
      <c r="J1064" s="39">
        <v>0.34548715008721453</v>
      </c>
    </row>
    <row r="1065" spans="1:10" ht="11.25" customHeight="1" x14ac:dyDescent="0.2">
      <c r="A1065" s="67">
        <v>44621</v>
      </c>
      <c r="B1065" s="58">
        <v>0</v>
      </c>
      <c r="C1065" s="58">
        <v>0</v>
      </c>
      <c r="D1065" s="58">
        <v>148000.72485</v>
      </c>
      <c r="E1065" s="58">
        <v>199133.07348926848</v>
      </c>
      <c r="F1065" s="58">
        <v>0</v>
      </c>
      <c r="G1065" s="58">
        <v>0</v>
      </c>
      <c r="H1065" s="39">
        <v>0.34548715008721453</v>
      </c>
      <c r="I1065" s="39">
        <v>0</v>
      </c>
      <c r="J1065" s="39">
        <v>0.34548715008721453</v>
      </c>
    </row>
    <row r="1066" spans="1:10" ht="11.25" customHeight="1" x14ac:dyDescent="0.2">
      <c r="A1066" s="67">
        <v>44652</v>
      </c>
      <c r="B1066" s="58">
        <v>0</v>
      </c>
      <c r="C1066" s="58">
        <v>0</v>
      </c>
      <c r="D1066" s="58">
        <v>162694.44027000002</v>
      </c>
      <c r="E1066" s="58">
        <v>218903.27877391686</v>
      </c>
      <c r="F1066" s="58">
        <v>0</v>
      </c>
      <c r="G1066" s="58">
        <v>0</v>
      </c>
      <c r="H1066" s="39">
        <v>0.34548715008721431</v>
      </c>
      <c r="I1066" s="39">
        <v>0</v>
      </c>
      <c r="J1066" s="39">
        <v>0.34548715008721431</v>
      </c>
    </row>
    <row r="1067" spans="1:10" ht="11.25" customHeight="1" x14ac:dyDescent="0.2">
      <c r="A1067" s="67">
        <v>44682</v>
      </c>
      <c r="B1067" s="58">
        <v>0</v>
      </c>
      <c r="C1067" s="58">
        <v>0</v>
      </c>
      <c r="D1067" s="58">
        <v>157411.65998</v>
      </c>
      <c r="E1067" s="58">
        <v>211795.36577698783</v>
      </c>
      <c r="F1067" s="58">
        <v>0</v>
      </c>
      <c r="G1067" s="58">
        <v>0</v>
      </c>
      <c r="H1067" s="39">
        <v>0.34548715008721453</v>
      </c>
      <c r="I1067" s="39">
        <v>0</v>
      </c>
      <c r="J1067" s="39">
        <v>0.34548715008721453</v>
      </c>
    </row>
    <row r="1068" spans="1:10" ht="11.25" customHeight="1" x14ac:dyDescent="0.2">
      <c r="A1068" s="67">
        <v>44713</v>
      </c>
      <c r="B1068" s="58">
        <v>0</v>
      </c>
      <c r="C1068" s="58">
        <v>0</v>
      </c>
      <c r="D1068" s="58">
        <v>158090.27116999999</v>
      </c>
      <c r="E1068" s="58">
        <v>212708.42841303823</v>
      </c>
      <c r="F1068" s="58">
        <v>0</v>
      </c>
      <c r="G1068" s="58">
        <v>0</v>
      </c>
      <c r="H1068" s="39">
        <v>0.34548715008721453</v>
      </c>
      <c r="I1068" s="39">
        <v>0</v>
      </c>
      <c r="J1068" s="39">
        <v>0.34548715008721453</v>
      </c>
    </row>
    <row r="1069" spans="1:10" ht="11.25" customHeight="1" x14ac:dyDescent="0.2">
      <c r="A1069" s="67">
        <v>44743</v>
      </c>
      <c r="B1069" s="58">
        <v>0</v>
      </c>
      <c r="C1069" s="58">
        <v>0</v>
      </c>
      <c r="D1069" s="58">
        <v>147352.29663999999</v>
      </c>
      <c r="E1069" s="58">
        <v>198260.62166495944</v>
      </c>
      <c r="F1069" s="58">
        <v>0</v>
      </c>
      <c r="G1069" s="58">
        <v>0</v>
      </c>
      <c r="H1069" s="39">
        <v>0.34548715008721476</v>
      </c>
      <c r="I1069" s="39">
        <v>0</v>
      </c>
      <c r="J1069" s="39">
        <v>0.34548715008721476</v>
      </c>
    </row>
    <row r="1070" spans="1:10" ht="11.25" customHeight="1" x14ac:dyDescent="0.2">
      <c r="A1070" s="67">
        <v>44774</v>
      </c>
      <c r="B1070" s="58">
        <v>0</v>
      </c>
      <c r="C1070" s="58">
        <v>0</v>
      </c>
      <c r="D1070" s="58">
        <v>164749.41221000001</v>
      </c>
      <c r="E1070" s="58">
        <v>221668.21711297665</v>
      </c>
      <c r="F1070" s="58">
        <v>0</v>
      </c>
      <c r="G1070" s="58">
        <v>0</v>
      </c>
      <c r="H1070" s="39">
        <v>0.34548715008721453</v>
      </c>
      <c r="I1070" s="39">
        <v>0</v>
      </c>
      <c r="J1070" s="39">
        <v>0.34548715008721453</v>
      </c>
    </row>
    <row r="1071" spans="1:10" ht="11.25" customHeight="1" x14ac:dyDescent="0.2">
      <c r="A1071" s="67">
        <v>44805</v>
      </c>
      <c r="B1071" s="58">
        <v>0</v>
      </c>
      <c r="C1071" s="58">
        <v>0</v>
      </c>
      <c r="D1071" s="58">
        <v>140287.03432999999</v>
      </c>
      <c r="E1071" s="58">
        <v>188754.40201485893</v>
      </c>
      <c r="F1071" s="58">
        <v>0</v>
      </c>
      <c r="G1071" s="58">
        <v>0</v>
      </c>
      <c r="H1071" s="39">
        <v>0.34548715008721453</v>
      </c>
      <c r="I1071" s="39">
        <v>0</v>
      </c>
      <c r="J1071" s="39">
        <v>0.34548715008721453</v>
      </c>
    </row>
    <row r="1072" spans="1:10" ht="11.25" customHeight="1" x14ac:dyDescent="0.2">
      <c r="A1072" s="67">
        <v>44835</v>
      </c>
      <c r="B1072" s="58">
        <v>0</v>
      </c>
      <c r="C1072" s="58">
        <v>0</v>
      </c>
      <c r="D1072" s="58">
        <v>142358.69965000002</v>
      </c>
      <c r="E1072" s="58">
        <v>191541.80108220025</v>
      </c>
      <c r="F1072" s="58">
        <v>0</v>
      </c>
      <c r="G1072" s="58">
        <v>0</v>
      </c>
      <c r="H1072" s="39">
        <v>0.34548715008721431</v>
      </c>
      <c r="I1072" s="39">
        <v>0</v>
      </c>
      <c r="J1072" s="39">
        <v>0.34548715008721431</v>
      </c>
    </row>
    <row r="1073" spans="1:10" ht="11.25" customHeight="1" x14ac:dyDescent="0.2">
      <c r="A1073" s="67">
        <v>44866</v>
      </c>
      <c r="B1073" s="58">
        <v>0</v>
      </c>
      <c r="C1073" s="58">
        <v>0</v>
      </c>
      <c r="D1073" s="58">
        <v>142358.69965000002</v>
      </c>
      <c r="E1073" s="58">
        <v>191541.80108220025</v>
      </c>
      <c r="F1073" s="58">
        <v>0</v>
      </c>
      <c r="G1073" s="58">
        <v>0</v>
      </c>
      <c r="H1073" s="39">
        <v>0.34548715008721431</v>
      </c>
      <c r="I1073" s="39">
        <v>0</v>
      </c>
      <c r="J1073" s="39">
        <v>0.34548715008721431</v>
      </c>
    </row>
    <row r="1074" spans="1:10" ht="11.25" customHeight="1" x14ac:dyDescent="0.2">
      <c r="A1074" s="66" t="s">
        <v>36</v>
      </c>
      <c r="B1074" s="58">
        <v>1492829.5056599998</v>
      </c>
      <c r="C1074" s="58">
        <v>1494973.6915094315</v>
      </c>
      <c r="D1074" s="58">
        <v>0</v>
      </c>
      <c r="E1074" s="58">
        <v>0</v>
      </c>
      <c r="F1074" s="58">
        <v>0</v>
      </c>
      <c r="G1074" s="58">
        <v>0</v>
      </c>
      <c r="H1074" s="39">
        <v>1.4363233318352986E-3</v>
      </c>
      <c r="I1074" s="39">
        <v>0</v>
      </c>
      <c r="J1074" s="39">
        <v>1.4363233318352986E-3</v>
      </c>
    </row>
    <row r="1075" spans="1:10" ht="11.25" customHeight="1" x14ac:dyDescent="0.2">
      <c r="A1075" s="67">
        <v>44531</v>
      </c>
      <c r="B1075" s="58">
        <v>109650.543504</v>
      </c>
      <c r="C1075" s="58">
        <v>109808.03713798319</v>
      </c>
      <c r="D1075" s="58">
        <v>0</v>
      </c>
      <c r="E1075" s="58">
        <v>0</v>
      </c>
      <c r="F1075" s="58">
        <v>0</v>
      </c>
      <c r="G1075" s="58">
        <v>0</v>
      </c>
      <c r="H1075" s="39">
        <v>1.4363233318350765E-3</v>
      </c>
      <c r="I1075" s="39">
        <v>0</v>
      </c>
      <c r="J1075" s="39">
        <v>1.4363233318350765E-3</v>
      </c>
    </row>
    <row r="1076" spans="1:10" ht="11.25" customHeight="1" x14ac:dyDescent="0.2">
      <c r="A1076" s="67">
        <v>44562</v>
      </c>
      <c r="B1076" s="58">
        <v>116780.68997999998</v>
      </c>
      <c r="C1076" s="58">
        <v>116948.42480972607</v>
      </c>
      <c r="D1076" s="58">
        <v>0</v>
      </c>
      <c r="E1076" s="58">
        <v>0</v>
      </c>
      <c r="F1076" s="58">
        <v>0</v>
      </c>
      <c r="G1076" s="58">
        <v>0</v>
      </c>
      <c r="H1076" s="39">
        <v>1.4363233318352986E-3</v>
      </c>
      <c r="I1076" s="39">
        <v>0</v>
      </c>
      <c r="J1076" s="39">
        <v>1.4363233318352986E-3</v>
      </c>
    </row>
    <row r="1077" spans="1:10" ht="11.25" customHeight="1" x14ac:dyDescent="0.2">
      <c r="A1077" s="67">
        <v>44593</v>
      </c>
      <c r="B1077" s="58">
        <v>127122.64008000001</v>
      </c>
      <c r="C1077" s="58">
        <v>127305.2292939514</v>
      </c>
      <c r="D1077" s="58">
        <v>0</v>
      </c>
      <c r="E1077" s="58">
        <v>0</v>
      </c>
      <c r="F1077" s="58">
        <v>0</v>
      </c>
      <c r="G1077" s="58">
        <v>0</v>
      </c>
      <c r="H1077" s="39">
        <v>1.4363233318350765E-3</v>
      </c>
      <c r="I1077" s="39">
        <v>0</v>
      </c>
      <c r="J1077" s="39">
        <v>1.4363233318350765E-3</v>
      </c>
    </row>
    <row r="1078" spans="1:10" ht="11.25" customHeight="1" x14ac:dyDescent="0.2">
      <c r="A1078" s="67">
        <v>44621</v>
      </c>
      <c r="B1078" s="58">
        <v>125649.50741999998</v>
      </c>
      <c r="C1078" s="58">
        <v>125829.98073914093</v>
      </c>
      <c r="D1078" s="58">
        <v>0</v>
      </c>
      <c r="E1078" s="58">
        <v>0</v>
      </c>
      <c r="F1078" s="58">
        <v>0</v>
      </c>
      <c r="G1078" s="58">
        <v>0</v>
      </c>
      <c r="H1078" s="39">
        <v>1.4363233318352986E-3</v>
      </c>
      <c r="I1078" s="39">
        <v>0</v>
      </c>
      <c r="J1078" s="39">
        <v>1.4363233318352986E-3</v>
      </c>
    </row>
    <row r="1079" spans="1:10" ht="11.25" customHeight="1" x14ac:dyDescent="0.2">
      <c r="A1079" s="67">
        <v>44652</v>
      </c>
      <c r="B1079" s="58">
        <v>125242.429644</v>
      </c>
      <c r="C1079" s="58">
        <v>125422.31826783341</v>
      </c>
      <c r="D1079" s="58">
        <v>0</v>
      </c>
      <c r="E1079" s="58">
        <v>0</v>
      </c>
      <c r="F1079" s="58">
        <v>0</v>
      </c>
      <c r="G1079" s="58">
        <v>0</v>
      </c>
      <c r="H1079" s="39">
        <v>1.4363233318352986E-3</v>
      </c>
      <c r="I1079" s="39">
        <v>0</v>
      </c>
      <c r="J1079" s="39">
        <v>1.4363233318352986E-3</v>
      </c>
    </row>
    <row r="1080" spans="1:10" ht="11.25" customHeight="1" x14ac:dyDescent="0.2">
      <c r="A1080" s="67">
        <v>44682</v>
      </c>
      <c r="B1080" s="58">
        <v>125145.697512</v>
      </c>
      <c r="C1080" s="58">
        <v>125325.44719721527</v>
      </c>
      <c r="D1080" s="58">
        <v>0</v>
      </c>
      <c r="E1080" s="58">
        <v>0</v>
      </c>
      <c r="F1080" s="58">
        <v>0</v>
      </c>
      <c r="G1080" s="58">
        <v>0</v>
      </c>
      <c r="H1080" s="39">
        <v>1.4363233318350765E-3</v>
      </c>
      <c r="I1080" s="39">
        <v>0</v>
      </c>
      <c r="J1080" s="39">
        <v>1.4363233318350765E-3</v>
      </c>
    </row>
    <row r="1081" spans="1:10" ht="11.25" customHeight="1" x14ac:dyDescent="0.2">
      <c r="A1081" s="67">
        <v>44713</v>
      </c>
      <c r="B1081" s="58">
        <v>125042.60127600002</v>
      </c>
      <c r="C1081" s="58">
        <v>125222.20288168608</v>
      </c>
      <c r="D1081" s="58">
        <v>0</v>
      </c>
      <c r="E1081" s="58">
        <v>0</v>
      </c>
      <c r="F1081" s="58">
        <v>0</v>
      </c>
      <c r="G1081" s="58">
        <v>0</v>
      </c>
      <c r="H1081" s="39">
        <v>1.4363233318350765E-3</v>
      </c>
      <c r="I1081" s="39">
        <v>0</v>
      </c>
      <c r="J1081" s="39">
        <v>1.4363233318350765E-3</v>
      </c>
    </row>
    <row r="1082" spans="1:10" ht="11.25" customHeight="1" x14ac:dyDescent="0.2">
      <c r="A1082" s="67">
        <v>44743</v>
      </c>
      <c r="B1082" s="58">
        <v>125342.34382800001</v>
      </c>
      <c r="C1082" s="58">
        <v>125522.37596090707</v>
      </c>
      <c r="D1082" s="58">
        <v>0</v>
      </c>
      <c r="E1082" s="58">
        <v>0</v>
      </c>
      <c r="F1082" s="58">
        <v>0</v>
      </c>
      <c r="G1082" s="58">
        <v>0</v>
      </c>
      <c r="H1082" s="39">
        <v>1.4363233318350765E-3</v>
      </c>
      <c r="I1082" s="39">
        <v>0</v>
      </c>
      <c r="J1082" s="39">
        <v>1.4363233318350765E-3</v>
      </c>
    </row>
    <row r="1083" spans="1:10" ht="11.25" customHeight="1" x14ac:dyDescent="0.2">
      <c r="A1083" s="67">
        <v>44774</v>
      </c>
      <c r="B1083" s="58">
        <v>125664.79926000001</v>
      </c>
      <c r="C1083" s="58">
        <v>125845.29454316752</v>
      </c>
      <c r="D1083" s="58">
        <v>0</v>
      </c>
      <c r="E1083" s="58">
        <v>0</v>
      </c>
      <c r="F1083" s="58">
        <v>0</v>
      </c>
      <c r="G1083" s="58">
        <v>0</v>
      </c>
      <c r="H1083" s="39">
        <v>1.4363233318350765E-3</v>
      </c>
      <c r="I1083" s="39">
        <v>0</v>
      </c>
      <c r="J1083" s="39">
        <v>1.4363233318350765E-3</v>
      </c>
    </row>
    <row r="1084" spans="1:10" ht="11.25" customHeight="1" x14ac:dyDescent="0.2">
      <c r="A1084" s="67">
        <v>44805</v>
      </c>
      <c r="B1084" s="58">
        <v>127245.941784</v>
      </c>
      <c r="C1084" s="58">
        <v>127428.70809906568</v>
      </c>
      <c r="D1084" s="58">
        <v>0</v>
      </c>
      <c r="E1084" s="58">
        <v>0</v>
      </c>
      <c r="F1084" s="58">
        <v>0</v>
      </c>
      <c r="G1084" s="58">
        <v>0</v>
      </c>
      <c r="H1084" s="39">
        <v>1.4363233318350765E-3</v>
      </c>
      <c r="I1084" s="39">
        <v>0</v>
      </c>
      <c r="J1084" s="39">
        <v>1.4363233318350765E-3</v>
      </c>
    </row>
    <row r="1085" spans="1:10" ht="11.25" customHeight="1" x14ac:dyDescent="0.2">
      <c r="A1085" s="67">
        <v>44835</v>
      </c>
      <c r="B1085" s="58">
        <v>129971.15568599998</v>
      </c>
      <c r="C1085" s="58">
        <v>130157.83628937737</v>
      </c>
      <c r="D1085" s="58">
        <v>0</v>
      </c>
      <c r="E1085" s="58">
        <v>0</v>
      </c>
      <c r="F1085" s="58">
        <v>0</v>
      </c>
      <c r="G1085" s="58">
        <v>0</v>
      </c>
      <c r="H1085" s="39">
        <v>1.4363233318352986E-3</v>
      </c>
      <c r="I1085" s="39">
        <v>0</v>
      </c>
      <c r="J1085" s="39">
        <v>1.4363233318352986E-3</v>
      </c>
    </row>
    <row r="1086" spans="1:10" ht="11.25" customHeight="1" x14ac:dyDescent="0.2">
      <c r="A1086" s="67">
        <v>44866</v>
      </c>
      <c r="B1086" s="58">
        <v>129971.15568599998</v>
      </c>
      <c r="C1086" s="58">
        <v>130157.83628937737</v>
      </c>
      <c r="D1086" s="58">
        <v>0</v>
      </c>
      <c r="E1086" s="58">
        <v>0</v>
      </c>
      <c r="F1086" s="58">
        <v>0</v>
      </c>
      <c r="G1086" s="58">
        <v>0</v>
      </c>
      <c r="H1086" s="39">
        <v>1.4363233318352986E-3</v>
      </c>
      <c r="I1086" s="39">
        <v>0</v>
      </c>
      <c r="J1086" s="39">
        <v>1.4363233318352986E-3</v>
      </c>
    </row>
    <row r="1087" spans="1:10" ht="11.25" customHeight="1" x14ac:dyDescent="0.2">
      <c r="A1087" s="61" t="s">
        <v>44</v>
      </c>
      <c r="B1087" s="58">
        <v>1117982.06586</v>
      </c>
      <c r="C1087" s="58">
        <v>1163877.289171227</v>
      </c>
      <c r="D1087" s="58">
        <v>5095784.4414971666</v>
      </c>
      <c r="E1087" s="58">
        <v>6092198.9757670173</v>
      </c>
      <c r="F1087" s="58">
        <v>0</v>
      </c>
      <c r="G1087" s="58">
        <v>0</v>
      </c>
      <c r="H1087" s="39">
        <v>0.16774202190361853</v>
      </c>
      <c r="I1087" s="39">
        <v>0</v>
      </c>
      <c r="J1087" s="39">
        <v>0.16774202190361853</v>
      </c>
    </row>
    <row r="1088" spans="1:10" ht="11.25" customHeight="1" x14ac:dyDescent="0.2">
      <c r="A1088" s="62" t="s">
        <v>40</v>
      </c>
      <c r="B1088" s="58">
        <v>1117982.06586</v>
      </c>
      <c r="C1088" s="58">
        <v>1163877.289171227</v>
      </c>
      <c r="D1088" s="58">
        <v>5095784.4414971666</v>
      </c>
      <c r="E1088" s="58">
        <v>6092198.9757670173</v>
      </c>
      <c r="F1088" s="58">
        <v>0</v>
      </c>
      <c r="G1088" s="58">
        <v>0</v>
      </c>
      <c r="H1088" s="39">
        <v>0.16774202190361853</v>
      </c>
      <c r="I1088" s="39">
        <v>0</v>
      </c>
      <c r="J1088" s="39">
        <v>0.16774202190361853</v>
      </c>
    </row>
    <row r="1089" spans="1:10" ht="11.25" customHeight="1" x14ac:dyDescent="0.2">
      <c r="A1089" s="63" t="s">
        <v>25</v>
      </c>
      <c r="B1089" s="58">
        <v>1117982.06586</v>
      </c>
      <c r="C1089" s="58">
        <v>1163877.289171227</v>
      </c>
      <c r="D1089" s="58">
        <v>5095784.4414971666</v>
      </c>
      <c r="E1089" s="58">
        <v>6092198.9757670173</v>
      </c>
      <c r="F1089" s="58">
        <v>0</v>
      </c>
      <c r="G1089" s="58">
        <v>0</v>
      </c>
      <c r="H1089" s="39">
        <v>0.16774202190361853</v>
      </c>
      <c r="I1089" s="39">
        <v>0</v>
      </c>
      <c r="J1089" s="39">
        <v>0.16774202190361853</v>
      </c>
    </row>
    <row r="1090" spans="1:10" ht="11.25" customHeight="1" x14ac:dyDescent="0.2">
      <c r="A1090" s="64" t="s">
        <v>60</v>
      </c>
      <c r="B1090" s="58">
        <v>1117982.06586</v>
      </c>
      <c r="C1090" s="58">
        <v>1163877.289171227</v>
      </c>
      <c r="D1090" s="58">
        <v>5095784.4414971666</v>
      </c>
      <c r="E1090" s="58">
        <v>6092198.9757670173</v>
      </c>
      <c r="F1090" s="58">
        <v>0</v>
      </c>
      <c r="G1090" s="58">
        <v>0</v>
      </c>
      <c r="H1090" s="39">
        <v>0.16774202190361853</v>
      </c>
      <c r="I1090" s="39">
        <v>0</v>
      </c>
      <c r="J1090" s="39">
        <v>0.16774202190361853</v>
      </c>
    </row>
    <row r="1091" spans="1:10" ht="11.25" customHeight="1" x14ac:dyDescent="0.2">
      <c r="A1091" s="65" t="s">
        <v>25</v>
      </c>
      <c r="B1091" s="58">
        <v>1117982.06586</v>
      </c>
      <c r="C1091" s="58">
        <v>1163877.289171227</v>
      </c>
      <c r="D1091" s="58">
        <v>5095784.4414971666</v>
      </c>
      <c r="E1091" s="58">
        <v>6092198.9757670173</v>
      </c>
      <c r="F1091" s="58">
        <v>0</v>
      </c>
      <c r="G1091" s="58">
        <v>0</v>
      </c>
      <c r="H1091" s="39">
        <v>0.16774202190361853</v>
      </c>
      <c r="I1091" s="39">
        <v>0</v>
      </c>
      <c r="J1091" s="39">
        <v>0.16774202190361853</v>
      </c>
    </row>
    <row r="1092" spans="1:10" ht="11.25" customHeight="1" x14ac:dyDescent="0.2">
      <c r="A1092" s="66" t="s">
        <v>37</v>
      </c>
      <c r="B1092" s="58">
        <v>0</v>
      </c>
      <c r="C1092" s="58">
        <v>0</v>
      </c>
      <c r="D1092" s="58">
        <v>2738153.6594099998</v>
      </c>
      <c r="E1092" s="58">
        <v>3684150.5637004385</v>
      </c>
      <c r="F1092" s="58">
        <v>0</v>
      </c>
      <c r="G1092" s="58">
        <v>0</v>
      </c>
      <c r="H1092" s="39">
        <v>0.34548715008721476</v>
      </c>
      <c r="I1092" s="39">
        <v>0</v>
      </c>
      <c r="J1092" s="39">
        <v>0.34548715008721476</v>
      </c>
    </row>
    <row r="1093" spans="1:10" ht="11.25" customHeight="1" x14ac:dyDescent="0.2">
      <c r="A1093" s="67">
        <v>44531</v>
      </c>
      <c r="B1093" s="58">
        <v>0</v>
      </c>
      <c r="C1093" s="58">
        <v>0</v>
      </c>
      <c r="D1093" s="58">
        <v>206590.44177000003</v>
      </c>
      <c r="E1093" s="58">
        <v>277964.78473237599</v>
      </c>
      <c r="F1093" s="58">
        <v>0</v>
      </c>
      <c r="G1093" s="58">
        <v>0</v>
      </c>
      <c r="H1093" s="39">
        <v>0.34548715008721453</v>
      </c>
      <c r="I1093" s="39">
        <v>0</v>
      </c>
      <c r="J1093" s="39">
        <v>0.34548715008721453</v>
      </c>
    </row>
    <row r="1094" spans="1:10" ht="11.25" customHeight="1" x14ac:dyDescent="0.2">
      <c r="A1094" s="67">
        <v>44562</v>
      </c>
      <c r="B1094" s="58">
        <v>0</v>
      </c>
      <c r="C1094" s="58">
        <v>0</v>
      </c>
      <c r="D1094" s="58">
        <v>231424.37382000001</v>
      </c>
      <c r="E1094" s="58">
        <v>311378.52119179</v>
      </c>
      <c r="F1094" s="58">
        <v>0</v>
      </c>
      <c r="G1094" s="58">
        <v>0</v>
      </c>
      <c r="H1094" s="39">
        <v>0.34548715008721453</v>
      </c>
      <c r="I1094" s="39">
        <v>0</v>
      </c>
      <c r="J1094" s="39">
        <v>0.34548715008721453</v>
      </c>
    </row>
    <row r="1095" spans="1:10" ht="11.25" customHeight="1" x14ac:dyDescent="0.2">
      <c r="A1095" s="67">
        <v>44593</v>
      </c>
      <c r="B1095" s="58">
        <v>0</v>
      </c>
      <c r="C1095" s="58">
        <v>0</v>
      </c>
      <c r="D1095" s="58">
        <v>228997.93201999998</v>
      </c>
      <c r="E1095" s="58">
        <v>308113.77492945548</v>
      </c>
      <c r="F1095" s="58">
        <v>0</v>
      </c>
      <c r="G1095" s="58">
        <v>0</v>
      </c>
      <c r="H1095" s="39">
        <v>0.34548715008721453</v>
      </c>
      <c r="I1095" s="39">
        <v>0</v>
      </c>
      <c r="J1095" s="39">
        <v>0.34548715008721453</v>
      </c>
    </row>
    <row r="1096" spans="1:10" ht="11.25" customHeight="1" x14ac:dyDescent="0.2">
      <c r="A1096" s="67">
        <v>44621</v>
      </c>
      <c r="B1096" s="58">
        <v>0</v>
      </c>
      <c r="C1096" s="58">
        <v>0</v>
      </c>
      <c r="D1096" s="58">
        <v>184633.8414</v>
      </c>
      <c r="E1096" s="58">
        <v>248422.46107494077</v>
      </c>
      <c r="F1096" s="58">
        <v>0</v>
      </c>
      <c r="G1096" s="58">
        <v>0</v>
      </c>
      <c r="H1096" s="39">
        <v>0.34548715008721453</v>
      </c>
      <c r="I1096" s="39">
        <v>0</v>
      </c>
      <c r="J1096" s="39">
        <v>0.34548715008721453</v>
      </c>
    </row>
    <row r="1097" spans="1:10" ht="11.25" customHeight="1" x14ac:dyDescent="0.2">
      <c r="A1097" s="67">
        <v>44652</v>
      </c>
      <c r="B1097" s="58">
        <v>0</v>
      </c>
      <c r="C1097" s="58">
        <v>0</v>
      </c>
      <c r="D1097" s="58">
        <v>232513.32178000003</v>
      </c>
      <c r="E1097" s="58">
        <v>312843.68667908368</v>
      </c>
      <c r="F1097" s="58">
        <v>0</v>
      </c>
      <c r="G1097" s="58">
        <v>0</v>
      </c>
      <c r="H1097" s="39">
        <v>0.34548715008721453</v>
      </c>
      <c r="I1097" s="39">
        <v>0</v>
      </c>
      <c r="J1097" s="39">
        <v>0.34548715008721453</v>
      </c>
    </row>
    <row r="1098" spans="1:10" ht="11.25" customHeight="1" x14ac:dyDescent="0.2">
      <c r="A1098" s="67">
        <v>44682</v>
      </c>
      <c r="B1098" s="58">
        <v>0</v>
      </c>
      <c r="C1098" s="58">
        <v>0</v>
      </c>
      <c r="D1098" s="58">
        <v>231271.68841</v>
      </c>
      <c r="E1098" s="58">
        <v>311173.08493462915</v>
      </c>
      <c r="F1098" s="58">
        <v>0</v>
      </c>
      <c r="G1098" s="58">
        <v>0</v>
      </c>
      <c r="H1098" s="39">
        <v>0.34548715008721431</v>
      </c>
      <c r="I1098" s="39">
        <v>0</v>
      </c>
      <c r="J1098" s="39">
        <v>0.34548715008721431</v>
      </c>
    </row>
    <row r="1099" spans="1:10" ht="11.25" customHeight="1" x14ac:dyDescent="0.2">
      <c r="A1099" s="67">
        <v>44713</v>
      </c>
      <c r="B1099" s="58">
        <v>0</v>
      </c>
      <c r="C1099" s="58">
        <v>0</v>
      </c>
      <c r="D1099" s="58">
        <v>241347.07064999998</v>
      </c>
      <c r="E1099" s="58">
        <v>324729.38227076613</v>
      </c>
      <c r="F1099" s="58">
        <v>0</v>
      </c>
      <c r="G1099" s="58">
        <v>0</v>
      </c>
      <c r="H1099" s="39">
        <v>0.34548715008721476</v>
      </c>
      <c r="I1099" s="39">
        <v>0</v>
      </c>
      <c r="J1099" s="39">
        <v>0.34548715008721476</v>
      </c>
    </row>
    <row r="1100" spans="1:10" ht="11.25" customHeight="1" x14ac:dyDescent="0.2">
      <c r="A1100" s="67">
        <v>44743</v>
      </c>
      <c r="B1100" s="58">
        <v>0</v>
      </c>
      <c r="C1100" s="58">
        <v>0</v>
      </c>
      <c r="D1100" s="58">
        <v>223468.46067</v>
      </c>
      <c r="E1100" s="58">
        <v>300673.94228125509</v>
      </c>
      <c r="F1100" s="58">
        <v>0</v>
      </c>
      <c r="G1100" s="58">
        <v>0</v>
      </c>
      <c r="H1100" s="39">
        <v>0.34548715008721453</v>
      </c>
      <c r="I1100" s="39">
        <v>0</v>
      </c>
      <c r="J1100" s="39">
        <v>0.34548715008721453</v>
      </c>
    </row>
    <row r="1101" spans="1:10" ht="11.25" customHeight="1" x14ac:dyDescent="0.2">
      <c r="A1101" s="67">
        <v>44774</v>
      </c>
      <c r="B1101" s="58">
        <v>0</v>
      </c>
      <c r="C1101" s="58">
        <v>0</v>
      </c>
      <c r="D1101" s="58">
        <v>244135.37096999999</v>
      </c>
      <c r="E1101" s="58">
        <v>328481.00452191016</v>
      </c>
      <c r="F1101" s="58">
        <v>0</v>
      </c>
      <c r="G1101" s="58">
        <v>0</v>
      </c>
      <c r="H1101" s="39">
        <v>0.34548715008721453</v>
      </c>
      <c r="I1101" s="39">
        <v>0</v>
      </c>
      <c r="J1101" s="39">
        <v>0.34548715008721453</v>
      </c>
    </row>
    <row r="1102" spans="1:10" ht="11.25" customHeight="1" x14ac:dyDescent="0.2">
      <c r="A1102" s="67">
        <v>44805</v>
      </c>
      <c r="B1102" s="58">
        <v>0</v>
      </c>
      <c r="C1102" s="58">
        <v>0</v>
      </c>
      <c r="D1102" s="58">
        <v>243403.30723999999</v>
      </c>
      <c r="E1102" s="58">
        <v>327496.02218015026</v>
      </c>
      <c r="F1102" s="58">
        <v>0</v>
      </c>
      <c r="G1102" s="58">
        <v>0</v>
      </c>
      <c r="H1102" s="39">
        <v>0.34548715008721453</v>
      </c>
      <c r="I1102" s="39">
        <v>0</v>
      </c>
      <c r="J1102" s="39">
        <v>0.34548715008721453</v>
      </c>
    </row>
    <row r="1103" spans="1:10" ht="11.25" customHeight="1" x14ac:dyDescent="0.2">
      <c r="A1103" s="67">
        <v>44835</v>
      </c>
      <c r="B1103" s="58">
        <v>0</v>
      </c>
      <c r="C1103" s="58">
        <v>0</v>
      </c>
      <c r="D1103" s="58">
        <v>235183.92534000002</v>
      </c>
      <c r="E1103" s="58">
        <v>316436.94945204083</v>
      </c>
      <c r="F1103" s="58">
        <v>0</v>
      </c>
      <c r="G1103" s="58">
        <v>0</v>
      </c>
      <c r="H1103" s="39">
        <v>0.34548715008721453</v>
      </c>
      <c r="I1103" s="39">
        <v>0</v>
      </c>
      <c r="J1103" s="39">
        <v>0.34548715008721453</v>
      </c>
    </row>
    <row r="1104" spans="1:10" ht="11.25" customHeight="1" x14ac:dyDescent="0.2">
      <c r="A1104" s="67">
        <v>44866</v>
      </c>
      <c r="B1104" s="58">
        <v>0</v>
      </c>
      <c r="C1104" s="58">
        <v>0</v>
      </c>
      <c r="D1104" s="58">
        <v>235183.92534000002</v>
      </c>
      <c r="E1104" s="58">
        <v>316436.94945204083</v>
      </c>
      <c r="F1104" s="58">
        <v>0</v>
      </c>
      <c r="G1104" s="58">
        <v>0</v>
      </c>
      <c r="H1104" s="39">
        <v>0.34548715008721453</v>
      </c>
      <c r="I1104" s="39">
        <v>0</v>
      </c>
      <c r="J1104" s="39">
        <v>0.34548715008721453</v>
      </c>
    </row>
    <row r="1105" spans="1:10" ht="11.25" customHeight="1" x14ac:dyDescent="0.2">
      <c r="A1105" s="66" t="s">
        <v>25</v>
      </c>
      <c r="B1105" s="58">
        <v>1117982.06586</v>
      </c>
      <c r="C1105" s="58">
        <v>1163877.289171227</v>
      </c>
      <c r="D1105" s="58">
        <v>0</v>
      </c>
      <c r="E1105" s="58">
        <v>0</v>
      </c>
      <c r="F1105" s="58">
        <v>0</v>
      </c>
      <c r="G1105" s="58">
        <v>0</v>
      </c>
      <c r="H1105" s="39">
        <v>4.1051842165216179E-2</v>
      </c>
      <c r="I1105" s="39">
        <v>0</v>
      </c>
      <c r="J1105" s="39">
        <v>4.1051842165216179E-2</v>
      </c>
    </row>
    <row r="1106" spans="1:10" ht="11.25" customHeight="1" x14ac:dyDescent="0.2">
      <c r="A1106" s="67">
        <v>44531</v>
      </c>
      <c r="B1106" s="58">
        <v>80146.376640000002</v>
      </c>
      <c r="C1106" s="58">
        <v>83436.533043939271</v>
      </c>
      <c r="D1106" s="58">
        <v>0</v>
      </c>
      <c r="E1106" s="58">
        <v>0</v>
      </c>
      <c r="F1106" s="58">
        <v>0</v>
      </c>
      <c r="G1106" s="58">
        <v>0</v>
      </c>
      <c r="H1106" s="39">
        <v>4.1051842165216401E-2</v>
      </c>
      <c r="I1106" s="39">
        <v>0</v>
      </c>
      <c r="J1106" s="39">
        <v>4.1051842165216401E-2</v>
      </c>
    </row>
    <row r="1107" spans="1:10" ht="11.25" customHeight="1" x14ac:dyDescent="0.2">
      <c r="A1107" s="67">
        <v>44562</v>
      </c>
      <c r="B1107" s="58">
        <v>82815.242400000003</v>
      </c>
      <c r="C1107" s="58">
        <v>86214.960659878925</v>
      </c>
      <c r="D1107" s="58">
        <v>0</v>
      </c>
      <c r="E1107" s="58">
        <v>0</v>
      </c>
      <c r="F1107" s="58">
        <v>0</v>
      </c>
      <c r="G1107" s="58">
        <v>0</v>
      </c>
      <c r="H1107" s="39">
        <v>4.1051842165216179E-2</v>
      </c>
      <c r="I1107" s="39">
        <v>0</v>
      </c>
      <c r="J1107" s="39">
        <v>4.1051842165216179E-2</v>
      </c>
    </row>
    <row r="1108" spans="1:10" ht="11.25" customHeight="1" x14ac:dyDescent="0.2">
      <c r="A1108" s="67">
        <v>44593</v>
      </c>
      <c r="B1108" s="58">
        <v>88256.06856</v>
      </c>
      <c r="C1108" s="58">
        <v>91879.142756647634</v>
      </c>
      <c r="D1108" s="58">
        <v>0</v>
      </c>
      <c r="E1108" s="58">
        <v>0</v>
      </c>
      <c r="F1108" s="58">
        <v>0</v>
      </c>
      <c r="G1108" s="58">
        <v>0</v>
      </c>
      <c r="H1108" s="39">
        <v>4.1051842165216401E-2</v>
      </c>
      <c r="I1108" s="39">
        <v>0</v>
      </c>
      <c r="J1108" s="39">
        <v>4.1051842165216401E-2</v>
      </c>
    </row>
    <row r="1109" spans="1:10" ht="11.25" customHeight="1" x14ac:dyDescent="0.2">
      <c r="A1109" s="67">
        <v>44621</v>
      </c>
      <c r="B1109" s="58">
        <v>87563.710080000004</v>
      </c>
      <c r="C1109" s="58">
        <v>91158.361685604919</v>
      </c>
      <c r="D1109" s="58">
        <v>0</v>
      </c>
      <c r="E1109" s="58">
        <v>0</v>
      </c>
      <c r="F1109" s="58">
        <v>0</v>
      </c>
      <c r="G1109" s="58">
        <v>0</v>
      </c>
      <c r="H1109" s="39">
        <v>4.1051842165216179E-2</v>
      </c>
      <c r="I1109" s="39">
        <v>0</v>
      </c>
      <c r="J1109" s="39">
        <v>4.1051842165216179E-2</v>
      </c>
    </row>
    <row r="1110" spans="1:10" ht="11.25" customHeight="1" x14ac:dyDescent="0.2">
      <c r="A1110" s="67">
        <v>44652</v>
      </c>
      <c r="B1110" s="58">
        <v>100430.33616000001</v>
      </c>
      <c r="C1110" s="58">
        <v>104553.18646863993</v>
      </c>
      <c r="D1110" s="58">
        <v>0</v>
      </c>
      <c r="E1110" s="58">
        <v>0</v>
      </c>
      <c r="F1110" s="58">
        <v>0</v>
      </c>
      <c r="G1110" s="58">
        <v>0</v>
      </c>
      <c r="H1110" s="39">
        <v>4.1051842165216179E-2</v>
      </c>
      <c r="I1110" s="39">
        <v>0</v>
      </c>
      <c r="J1110" s="39">
        <v>4.1051842165216179E-2</v>
      </c>
    </row>
    <row r="1111" spans="1:10" ht="11.25" customHeight="1" x14ac:dyDescent="0.2">
      <c r="A1111" s="67">
        <v>44682</v>
      </c>
      <c r="B1111" s="58">
        <v>99204.654780000012</v>
      </c>
      <c r="C1111" s="58">
        <v>103277.18861008335</v>
      </c>
      <c r="D1111" s="58">
        <v>0</v>
      </c>
      <c r="E1111" s="58">
        <v>0</v>
      </c>
      <c r="F1111" s="58">
        <v>0</v>
      </c>
      <c r="G1111" s="58">
        <v>0</v>
      </c>
      <c r="H1111" s="39">
        <v>4.1051842165216401E-2</v>
      </c>
      <c r="I1111" s="39">
        <v>0</v>
      </c>
      <c r="J1111" s="39">
        <v>4.1051842165216401E-2</v>
      </c>
    </row>
    <row r="1112" spans="1:10" ht="11.25" customHeight="1" x14ac:dyDescent="0.2">
      <c r="A1112" s="67">
        <v>44713</v>
      </c>
      <c r="B1112" s="58">
        <v>95053.242240000007</v>
      </c>
      <c r="C1112" s="58">
        <v>98955.352937728559</v>
      </c>
      <c r="D1112" s="58">
        <v>0</v>
      </c>
      <c r="E1112" s="58">
        <v>0</v>
      </c>
      <c r="F1112" s="58">
        <v>0</v>
      </c>
      <c r="G1112" s="58">
        <v>0</v>
      </c>
      <c r="H1112" s="39">
        <v>4.1051842165216401E-2</v>
      </c>
      <c r="I1112" s="39">
        <v>0</v>
      </c>
      <c r="J1112" s="39">
        <v>4.1051842165216401E-2</v>
      </c>
    </row>
    <row r="1113" spans="1:10" ht="11.25" customHeight="1" x14ac:dyDescent="0.2">
      <c r="A1113" s="67">
        <v>44743</v>
      </c>
      <c r="B1113" s="58">
        <v>96142.04819999999</v>
      </c>
      <c r="C1113" s="58">
        <v>100088.85638814702</v>
      </c>
      <c r="D1113" s="58">
        <v>0</v>
      </c>
      <c r="E1113" s="58">
        <v>0</v>
      </c>
      <c r="F1113" s="58">
        <v>0</v>
      </c>
      <c r="G1113" s="58">
        <v>0</v>
      </c>
      <c r="H1113" s="39">
        <v>4.1051842165216401E-2</v>
      </c>
      <c r="I1113" s="39">
        <v>0</v>
      </c>
      <c r="J1113" s="39">
        <v>4.1051842165216401E-2</v>
      </c>
    </row>
    <row r="1114" spans="1:10" ht="11.25" customHeight="1" x14ac:dyDescent="0.2">
      <c r="A1114" s="67">
        <v>44774</v>
      </c>
      <c r="B1114" s="58">
        <v>95047.088400000008</v>
      </c>
      <c r="C1114" s="58">
        <v>98948.946471260177</v>
      </c>
      <c r="D1114" s="58">
        <v>0</v>
      </c>
      <c r="E1114" s="58">
        <v>0</v>
      </c>
      <c r="F1114" s="58">
        <v>0</v>
      </c>
      <c r="G1114" s="58">
        <v>0</v>
      </c>
      <c r="H1114" s="39">
        <v>4.1051842165216401E-2</v>
      </c>
      <c r="I1114" s="39">
        <v>0</v>
      </c>
      <c r="J1114" s="39">
        <v>4.1051842165216401E-2</v>
      </c>
    </row>
    <row r="1115" spans="1:10" ht="11.25" customHeight="1" x14ac:dyDescent="0.2">
      <c r="A1115" s="67">
        <v>44805</v>
      </c>
      <c r="B1115" s="58">
        <v>95774.500799999994</v>
      </c>
      <c r="C1115" s="58">
        <v>99706.220490293985</v>
      </c>
      <c r="D1115" s="58">
        <v>0</v>
      </c>
      <c r="E1115" s="58">
        <v>0</v>
      </c>
      <c r="F1115" s="58">
        <v>0</v>
      </c>
      <c r="G1115" s="58">
        <v>0</v>
      </c>
      <c r="H1115" s="39">
        <v>4.1051842165216401E-2</v>
      </c>
      <c r="I1115" s="39">
        <v>0</v>
      </c>
      <c r="J1115" s="39">
        <v>4.1051842165216401E-2</v>
      </c>
    </row>
    <row r="1116" spans="1:10" ht="11.25" customHeight="1" x14ac:dyDescent="0.2">
      <c r="A1116" s="67">
        <v>44835</v>
      </c>
      <c r="B1116" s="58">
        <v>98774.398799999995</v>
      </c>
      <c r="C1116" s="58">
        <v>102829.26982950173</v>
      </c>
      <c r="D1116" s="58">
        <v>0</v>
      </c>
      <c r="E1116" s="58">
        <v>0</v>
      </c>
      <c r="F1116" s="58">
        <v>0</v>
      </c>
      <c r="G1116" s="58">
        <v>0</v>
      </c>
      <c r="H1116" s="39">
        <v>4.1051842165216401E-2</v>
      </c>
      <c r="I1116" s="39">
        <v>0</v>
      </c>
      <c r="J1116" s="39">
        <v>4.1051842165216401E-2</v>
      </c>
    </row>
    <row r="1117" spans="1:10" ht="11.25" customHeight="1" x14ac:dyDescent="0.2">
      <c r="A1117" s="67">
        <v>44866</v>
      </c>
      <c r="B1117" s="58">
        <v>98774.398799999995</v>
      </c>
      <c r="C1117" s="58">
        <v>102829.26982950173</v>
      </c>
      <c r="D1117" s="58">
        <v>0</v>
      </c>
      <c r="E1117" s="58">
        <v>0</v>
      </c>
      <c r="F1117" s="58">
        <v>0</v>
      </c>
      <c r="G1117" s="58">
        <v>0</v>
      </c>
      <c r="H1117" s="39">
        <v>4.1051842165216401E-2</v>
      </c>
      <c r="I1117" s="39">
        <v>0</v>
      </c>
      <c r="J1117" s="39">
        <v>4.1051842165216401E-2</v>
      </c>
    </row>
    <row r="1118" spans="1:10" ht="11.25" customHeight="1" x14ac:dyDescent="0.2">
      <c r="A1118" s="66" t="s">
        <v>36</v>
      </c>
      <c r="B1118" s="58">
        <v>0</v>
      </c>
      <c r="C1118" s="58">
        <v>0</v>
      </c>
      <c r="D1118" s="58">
        <v>2357630.7820871677</v>
      </c>
      <c r="E1118" s="58">
        <v>2408048.4120665803</v>
      </c>
      <c r="F1118" s="58">
        <v>0</v>
      </c>
      <c r="G1118" s="58">
        <v>0</v>
      </c>
      <c r="H1118" s="39">
        <v>2.1384870931647315E-2</v>
      </c>
      <c r="I1118" s="39">
        <v>0</v>
      </c>
      <c r="J1118" s="39">
        <v>2.1384870931647315E-2</v>
      </c>
    </row>
    <row r="1119" spans="1:10" ht="11.25" customHeight="1" x14ac:dyDescent="0.2">
      <c r="A1119" s="67">
        <v>44531</v>
      </c>
      <c r="B1119" s="58">
        <v>0</v>
      </c>
      <c r="C1119" s="58">
        <v>0</v>
      </c>
      <c r="D1119" s="58">
        <v>141634.26034380801</v>
      </c>
      <c r="E1119" s="58">
        <v>144663.09072075965</v>
      </c>
      <c r="F1119" s="58">
        <v>0</v>
      </c>
      <c r="G1119" s="58">
        <v>0</v>
      </c>
      <c r="H1119" s="39">
        <v>2.1384870931647093E-2</v>
      </c>
      <c r="I1119" s="39">
        <v>0</v>
      </c>
      <c r="J1119" s="39">
        <v>2.1384870931647093E-2</v>
      </c>
    </row>
    <row r="1120" spans="1:10" ht="11.25" customHeight="1" x14ac:dyDescent="0.2">
      <c r="A1120" s="67">
        <v>44562</v>
      </c>
      <c r="B1120" s="58">
        <v>0</v>
      </c>
      <c r="C1120" s="58">
        <v>0</v>
      </c>
      <c r="D1120" s="58">
        <v>191344.393383424</v>
      </c>
      <c r="E1120" s="58">
        <v>195436.2685394228</v>
      </c>
      <c r="F1120" s="58">
        <v>0</v>
      </c>
      <c r="G1120" s="58">
        <v>0</v>
      </c>
      <c r="H1120" s="39">
        <v>2.1384870931646871E-2</v>
      </c>
      <c r="I1120" s="39">
        <v>0</v>
      </c>
      <c r="J1120" s="39">
        <v>2.1384870931646871E-2</v>
      </c>
    </row>
    <row r="1121" spans="1:10" ht="11.25" customHeight="1" x14ac:dyDescent="0.2">
      <c r="A1121" s="67">
        <v>44593</v>
      </c>
      <c r="B1121" s="58">
        <v>0</v>
      </c>
      <c r="C1121" s="58">
        <v>0</v>
      </c>
      <c r="D1121" s="58">
        <v>187509.60989798399</v>
      </c>
      <c r="E1121" s="58">
        <v>191519.47870409585</v>
      </c>
      <c r="F1121" s="58">
        <v>0</v>
      </c>
      <c r="G1121" s="58">
        <v>0</v>
      </c>
      <c r="H1121" s="39">
        <v>2.1384870931646871E-2</v>
      </c>
      <c r="I1121" s="39">
        <v>0</v>
      </c>
      <c r="J1121" s="39">
        <v>2.1384870931646871E-2</v>
      </c>
    </row>
    <row r="1122" spans="1:10" ht="11.25" customHeight="1" x14ac:dyDescent="0.2">
      <c r="A1122" s="67">
        <v>44621</v>
      </c>
      <c r="B1122" s="58">
        <v>0</v>
      </c>
      <c r="C1122" s="58">
        <v>0</v>
      </c>
      <c r="D1122" s="58">
        <v>156938.905849856</v>
      </c>
      <c r="E1122" s="58">
        <v>160295.02409560906</v>
      </c>
      <c r="F1122" s="58">
        <v>0</v>
      </c>
      <c r="G1122" s="58">
        <v>0</v>
      </c>
      <c r="H1122" s="39">
        <v>2.1384870931646871E-2</v>
      </c>
      <c r="I1122" s="39">
        <v>0</v>
      </c>
      <c r="J1122" s="39">
        <v>2.1384870931646871E-2</v>
      </c>
    </row>
    <row r="1123" spans="1:10" ht="11.25" customHeight="1" x14ac:dyDescent="0.2">
      <c r="A1123" s="67">
        <v>44652</v>
      </c>
      <c r="B1123" s="58">
        <v>0</v>
      </c>
      <c r="C1123" s="58">
        <v>0</v>
      </c>
      <c r="D1123" s="58">
        <v>198304.286552064</v>
      </c>
      <c r="E1123" s="58">
        <v>202544.99812517222</v>
      </c>
      <c r="F1123" s="58">
        <v>0</v>
      </c>
      <c r="G1123" s="58">
        <v>0</v>
      </c>
      <c r="H1123" s="39">
        <v>2.1384870931646871E-2</v>
      </c>
      <c r="I1123" s="39">
        <v>0</v>
      </c>
      <c r="J1123" s="39">
        <v>2.1384870931646871E-2</v>
      </c>
    </row>
    <row r="1124" spans="1:10" ht="11.25" customHeight="1" x14ac:dyDescent="0.2">
      <c r="A1124" s="67">
        <v>44682</v>
      </c>
      <c r="B1124" s="58">
        <v>0</v>
      </c>
      <c r="C1124" s="58">
        <v>0</v>
      </c>
      <c r="D1124" s="58">
        <v>187296.710148096</v>
      </c>
      <c r="E1124" s="58">
        <v>191302.02612053513</v>
      </c>
      <c r="F1124" s="58">
        <v>0</v>
      </c>
      <c r="G1124" s="58">
        <v>0</v>
      </c>
      <c r="H1124" s="39">
        <v>2.1384870931647093E-2</v>
      </c>
      <c r="I1124" s="39">
        <v>0</v>
      </c>
      <c r="J1124" s="39">
        <v>2.1384870931647093E-2</v>
      </c>
    </row>
    <row r="1125" spans="1:10" ht="11.25" customHeight="1" x14ac:dyDescent="0.2">
      <c r="A1125" s="67">
        <v>44713</v>
      </c>
      <c r="B1125" s="58">
        <v>0</v>
      </c>
      <c r="C1125" s="58">
        <v>0</v>
      </c>
      <c r="D1125" s="58">
        <v>221861.293344768</v>
      </c>
      <c r="E1125" s="58">
        <v>226605.76846767412</v>
      </c>
      <c r="F1125" s="58">
        <v>0</v>
      </c>
      <c r="G1125" s="58">
        <v>0</v>
      </c>
      <c r="H1125" s="39">
        <v>2.1384870931646871E-2</v>
      </c>
      <c r="I1125" s="39">
        <v>0</v>
      </c>
      <c r="J1125" s="39">
        <v>2.1384870931646871E-2</v>
      </c>
    </row>
    <row r="1126" spans="1:10" ht="11.25" customHeight="1" x14ac:dyDescent="0.2">
      <c r="A1126" s="67">
        <v>44743</v>
      </c>
      <c r="B1126" s="58">
        <v>0</v>
      </c>
      <c r="C1126" s="58">
        <v>0</v>
      </c>
      <c r="D1126" s="58">
        <v>204787.71255296</v>
      </c>
      <c r="E1126" s="58">
        <v>209167.07135429225</v>
      </c>
      <c r="F1126" s="58">
        <v>0</v>
      </c>
      <c r="G1126" s="58">
        <v>0</v>
      </c>
      <c r="H1126" s="39">
        <v>2.1384870931646871E-2</v>
      </c>
      <c r="I1126" s="39">
        <v>0</v>
      </c>
      <c r="J1126" s="39">
        <v>2.1384870931646871E-2</v>
      </c>
    </row>
    <row r="1127" spans="1:10" ht="11.25" customHeight="1" x14ac:dyDescent="0.2">
      <c r="A1127" s="67">
        <v>44774</v>
      </c>
      <c r="B1127" s="58">
        <v>0</v>
      </c>
      <c r="C1127" s="58">
        <v>0</v>
      </c>
      <c r="D1127" s="58">
        <v>216671.578669568</v>
      </c>
      <c r="E1127" s="58">
        <v>221305.0724139729</v>
      </c>
      <c r="F1127" s="58">
        <v>0</v>
      </c>
      <c r="G1127" s="58">
        <v>0</v>
      </c>
      <c r="H1127" s="39">
        <v>2.1384870931646871E-2</v>
      </c>
      <c r="I1127" s="39">
        <v>0</v>
      </c>
      <c r="J1127" s="39">
        <v>2.1384870931646871E-2</v>
      </c>
    </row>
    <row r="1128" spans="1:10" ht="11.25" customHeight="1" x14ac:dyDescent="0.2">
      <c r="A1128" s="67">
        <v>44805</v>
      </c>
      <c r="B1128" s="58">
        <v>0</v>
      </c>
      <c r="C1128" s="58">
        <v>0</v>
      </c>
      <c r="D1128" s="58">
        <v>233404.20685721599</v>
      </c>
      <c r="E1128" s="58">
        <v>238395.525695761</v>
      </c>
      <c r="F1128" s="58">
        <v>0</v>
      </c>
      <c r="G1128" s="58">
        <v>0</v>
      </c>
      <c r="H1128" s="39">
        <v>2.1384870931647093E-2</v>
      </c>
      <c r="I1128" s="39">
        <v>0</v>
      </c>
      <c r="J1128" s="39">
        <v>2.1384870931647093E-2</v>
      </c>
    </row>
    <row r="1129" spans="1:10" ht="11.25" customHeight="1" x14ac:dyDescent="0.2">
      <c r="A1129" s="67">
        <v>44835</v>
      </c>
      <c r="B1129" s="58">
        <v>0</v>
      </c>
      <c r="C1129" s="58">
        <v>0</v>
      </c>
      <c r="D1129" s="58">
        <v>208938.91224371199</v>
      </c>
      <c r="E1129" s="58">
        <v>213407.04391464251</v>
      </c>
      <c r="F1129" s="58">
        <v>0</v>
      </c>
      <c r="G1129" s="58">
        <v>0</v>
      </c>
      <c r="H1129" s="39">
        <v>2.1384870931647093E-2</v>
      </c>
      <c r="I1129" s="39">
        <v>0</v>
      </c>
      <c r="J1129" s="39">
        <v>2.1384870931647093E-2</v>
      </c>
    </row>
    <row r="1130" spans="1:10" ht="11.25" customHeight="1" x14ac:dyDescent="0.2">
      <c r="A1130" s="67">
        <v>44866</v>
      </c>
      <c r="B1130" s="58">
        <v>0</v>
      </c>
      <c r="C1130" s="58">
        <v>0</v>
      </c>
      <c r="D1130" s="58">
        <v>208938.91224371199</v>
      </c>
      <c r="E1130" s="58">
        <v>213407.04391464251</v>
      </c>
      <c r="F1130" s="58">
        <v>0</v>
      </c>
      <c r="G1130" s="58">
        <v>0</v>
      </c>
      <c r="H1130" s="39">
        <v>2.1384870931647093E-2</v>
      </c>
      <c r="I1130" s="39">
        <v>0</v>
      </c>
      <c r="J1130" s="39">
        <v>2.1384870931647093E-2</v>
      </c>
    </row>
    <row r="1131" spans="1:10" ht="11.25" customHeight="1" x14ac:dyDescent="0.2">
      <c r="A1131" s="59" t="s">
        <v>64</v>
      </c>
      <c r="B1131" s="58">
        <v>445794.61999999994</v>
      </c>
      <c r="C1131" s="58">
        <v>538632.10699801787</v>
      </c>
      <c r="D1131" s="58">
        <v>103310.2478</v>
      </c>
      <c r="E1131" s="58">
        <v>160029.59085576705</v>
      </c>
      <c r="F1131" s="58">
        <v>1579803.4079999998</v>
      </c>
      <c r="G1131" s="58">
        <v>2215076.7849903032</v>
      </c>
      <c r="H1131" s="39">
        <v>0.27236478644414053</v>
      </c>
      <c r="I1131" s="39">
        <v>0.40212179171998819</v>
      </c>
      <c r="J1131" s="39">
        <v>0.36865383819749842</v>
      </c>
    </row>
    <row r="1132" spans="1:10" ht="11.25" customHeight="1" x14ac:dyDescent="0.2">
      <c r="A1132" s="60" t="s">
        <v>41</v>
      </c>
      <c r="B1132" s="58">
        <v>445794.61999999994</v>
      </c>
      <c r="C1132" s="58">
        <v>538632.10699801787</v>
      </c>
      <c r="D1132" s="58">
        <v>103310.2478</v>
      </c>
      <c r="E1132" s="58">
        <v>160029.59085576705</v>
      </c>
      <c r="F1132" s="58">
        <v>1579803.4079999998</v>
      </c>
      <c r="G1132" s="58">
        <v>2215076.7849903032</v>
      </c>
      <c r="H1132" s="39">
        <v>0.27236478644414053</v>
      </c>
      <c r="I1132" s="39">
        <v>0.40212179171998819</v>
      </c>
      <c r="J1132" s="39">
        <v>0.36865383819749842</v>
      </c>
    </row>
    <row r="1133" spans="1:10" ht="11.25" customHeight="1" x14ac:dyDescent="0.2">
      <c r="A1133" s="61" t="s">
        <v>62</v>
      </c>
      <c r="B1133" s="58">
        <v>445794.61999999994</v>
      </c>
      <c r="C1133" s="58">
        <v>538632.10699801787</v>
      </c>
      <c r="D1133" s="58">
        <v>103310.2478</v>
      </c>
      <c r="E1133" s="58">
        <v>160029.59085576705</v>
      </c>
      <c r="F1133" s="58">
        <v>1579803.4079999998</v>
      </c>
      <c r="G1133" s="58">
        <v>2215076.7849903032</v>
      </c>
      <c r="H1133" s="39">
        <v>0.27236478644414053</v>
      </c>
      <c r="I1133" s="39">
        <v>0.40212179171998819</v>
      </c>
      <c r="J1133" s="39">
        <v>0.36865383819749842</v>
      </c>
    </row>
    <row r="1134" spans="1:10" ht="11.25" customHeight="1" x14ac:dyDescent="0.2">
      <c r="A1134" s="62" t="s">
        <v>25</v>
      </c>
      <c r="B1134" s="58">
        <v>445794.61999999994</v>
      </c>
      <c r="C1134" s="58">
        <v>538632.10699801787</v>
      </c>
      <c r="D1134" s="58">
        <v>103310.2478</v>
      </c>
      <c r="E1134" s="58">
        <v>160029.59085576705</v>
      </c>
      <c r="F1134" s="58">
        <v>1579803.4079999998</v>
      </c>
      <c r="G1134" s="58">
        <v>2215076.7849903032</v>
      </c>
      <c r="H1134" s="39">
        <v>0.27236478644414053</v>
      </c>
      <c r="I1134" s="39">
        <v>0.40212179171998819</v>
      </c>
      <c r="J1134" s="39">
        <v>0.36865383819749842</v>
      </c>
    </row>
    <row r="1135" spans="1:10" ht="11.25" customHeight="1" x14ac:dyDescent="0.2">
      <c r="A1135" s="63" t="s">
        <v>25</v>
      </c>
      <c r="B1135" s="58">
        <v>445794.61999999994</v>
      </c>
      <c r="C1135" s="58">
        <v>538632.10699801787</v>
      </c>
      <c r="D1135" s="58">
        <v>103310.2478</v>
      </c>
      <c r="E1135" s="58">
        <v>160029.59085576705</v>
      </c>
      <c r="F1135" s="58">
        <v>1579803.4079999998</v>
      </c>
      <c r="G1135" s="58">
        <v>2215076.7849903032</v>
      </c>
      <c r="H1135" s="39">
        <v>0.27236478644414053</v>
      </c>
      <c r="I1135" s="39">
        <v>0.40212179171998819</v>
      </c>
      <c r="J1135" s="39">
        <v>0.36865383819749842</v>
      </c>
    </row>
    <row r="1136" spans="1:10" ht="11.25" customHeight="1" x14ac:dyDescent="0.2">
      <c r="A1136" s="64" t="s">
        <v>25</v>
      </c>
      <c r="B1136" s="58">
        <v>445794.61999999994</v>
      </c>
      <c r="C1136" s="58">
        <v>538632.10699801787</v>
      </c>
      <c r="D1136" s="58">
        <v>103310.2478</v>
      </c>
      <c r="E1136" s="58">
        <v>160029.59085576705</v>
      </c>
      <c r="F1136" s="58">
        <v>1579803.4079999998</v>
      </c>
      <c r="G1136" s="58">
        <v>2215076.7849903032</v>
      </c>
      <c r="H1136" s="39">
        <v>0.27236478644414053</v>
      </c>
      <c r="I1136" s="39">
        <v>0.40212179171998819</v>
      </c>
      <c r="J1136" s="39">
        <v>0.36865383819749842</v>
      </c>
    </row>
    <row r="1137" spans="1:10" ht="11.25" customHeight="1" x14ac:dyDescent="0.2">
      <c r="A1137" s="65" t="s">
        <v>63</v>
      </c>
      <c r="B1137" s="58">
        <v>445794.61999999994</v>
      </c>
      <c r="C1137" s="58">
        <v>538632.10699801787</v>
      </c>
      <c r="D1137" s="58">
        <v>103310.2478</v>
      </c>
      <c r="E1137" s="58">
        <v>160029.59085576705</v>
      </c>
      <c r="F1137" s="58">
        <v>1579803.4079999998</v>
      </c>
      <c r="G1137" s="58">
        <v>2215076.7849903032</v>
      </c>
      <c r="H1137" s="39">
        <v>0.27236478644414053</v>
      </c>
      <c r="I1137" s="39">
        <v>0.40212179171998819</v>
      </c>
      <c r="J1137" s="39">
        <v>0.36865383819749842</v>
      </c>
    </row>
    <row r="1138" spans="1:10" ht="11.25" customHeight="1" x14ac:dyDescent="0.2">
      <c r="A1138" s="66" t="s">
        <v>37</v>
      </c>
      <c r="B1138" s="58">
        <v>146306</v>
      </c>
      <c r="C1138" s="58">
        <v>183985.24382790824</v>
      </c>
      <c r="D1138" s="58">
        <v>92852.064559999999</v>
      </c>
      <c r="E1138" s="58">
        <v>143829.66083302794</v>
      </c>
      <c r="F1138" s="58">
        <v>0</v>
      </c>
      <c r="G1138" s="58">
        <v>0</v>
      </c>
      <c r="H1138" s="39">
        <v>0.37070395373890475</v>
      </c>
      <c r="I1138" s="39">
        <v>0</v>
      </c>
      <c r="J1138" s="39">
        <v>0.37070395373890475</v>
      </c>
    </row>
    <row r="1139" spans="1:10" ht="11.25" customHeight="1" x14ac:dyDescent="0.2">
      <c r="A1139" s="67">
        <v>44531</v>
      </c>
      <c r="B1139" s="58">
        <v>11979.519999999999</v>
      </c>
      <c r="C1139" s="58">
        <v>15064.69254946006</v>
      </c>
      <c r="D1139" s="58">
        <v>7089.9001199999993</v>
      </c>
      <c r="E1139" s="58">
        <v>10982.393708011741</v>
      </c>
      <c r="F1139" s="58">
        <v>0</v>
      </c>
      <c r="G1139" s="58">
        <v>0</v>
      </c>
      <c r="H1139" s="39">
        <v>0.36590866914477527</v>
      </c>
      <c r="I1139" s="39">
        <v>0</v>
      </c>
      <c r="J1139" s="39">
        <v>0.36590866914477527</v>
      </c>
    </row>
    <row r="1140" spans="1:10" ht="11.25" customHeight="1" x14ac:dyDescent="0.2">
      <c r="A1140" s="67">
        <v>44562</v>
      </c>
      <c r="B1140" s="58">
        <v>11291.92</v>
      </c>
      <c r="C1140" s="58">
        <v>14200.009941391563</v>
      </c>
      <c r="D1140" s="58">
        <v>7824.0051999999996</v>
      </c>
      <c r="E1140" s="58">
        <v>12119.536809487685</v>
      </c>
      <c r="F1140" s="58">
        <v>0</v>
      </c>
      <c r="G1140" s="58">
        <v>0</v>
      </c>
      <c r="H1140" s="39">
        <v>0.37683876011814754</v>
      </c>
      <c r="I1140" s="39">
        <v>0</v>
      </c>
      <c r="J1140" s="39">
        <v>0.37683876011814754</v>
      </c>
    </row>
    <row r="1141" spans="1:10" ht="11.25" customHeight="1" x14ac:dyDescent="0.2">
      <c r="A1141" s="67">
        <v>44593</v>
      </c>
      <c r="B1141" s="58">
        <v>11979.519999999999</v>
      </c>
      <c r="C1141" s="58">
        <v>15064.69254946006</v>
      </c>
      <c r="D1141" s="58">
        <v>7682.4495999999999</v>
      </c>
      <c r="E1141" s="58">
        <v>11900.264421377678</v>
      </c>
      <c r="F1141" s="58">
        <v>0</v>
      </c>
      <c r="G1141" s="58">
        <v>0</v>
      </c>
      <c r="H1141" s="39">
        <v>0.37142705026040446</v>
      </c>
      <c r="I1141" s="39">
        <v>0</v>
      </c>
      <c r="J1141" s="39">
        <v>0.37142705026040446</v>
      </c>
    </row>
    <row r="1142" spans="1:10" ht="11.25" customHeight="1" x14ac:dyDescent="0.2">
      <c r="A1142" s="67">
        <v>44621</v>
      </c>
      <c r="B1142" s="58">
        <v>11460</v>
      </c>
      <c r="C1142" s="58">
        <v>14411.37680114164</v>
      </c>
      <c r="D1142" s="58">
        <v>6868.0885599999992</v>
      </c>
      <c r="E1142" s="58">
        <v>10638.803270956576</v>
      </c>
      <c r="F1142" s="58">
        <v>0</v>
      </c>
      <c r="G1142" s="58">
        <v>0</v>
      </c>
      <c r="H1142" s="39">
        <v>0.3667644604669138</v>
      </c>
      <c r="I1142" s="39">
        <v>0</v>
      </c>
      <c r="J1142" s="39">
        <v>0.3667644604669138</v>
      </c>
    </row>
    <row r="1143" spans="1:10" ht="11.25" customHeight="1" x14ac:dyDescent="0.2">
      <c r="A1143" s="67">
        <v>44652</v>
      </c>
      <c r="B1143" s="58">
        <v>11460</v>
      </c>
      <c r="C1143" s="58">
        <v>14411.37680114164</v>
      </c>
      <c r="D1143" s="58">
        <v>7727.9797199999994</v>
      </c>
      <c r="E1143" s="58">
        <v>11970.791466180817</v>
      </c>
      <c r="F1143" s="58">
        <v>0</v>
      </c>
      <c r="G1143" s="58">
        <v>0</v>
      </c>
      <c r="H1143" s="39">
        <v>0.37493204872547459</v>
      </c>
      <c r="I1143" s="39">
        <v>0</v>
      </c>
      <c r="J1143" s="39">
        <v>0.37493204872547459</v>
      </c>
    </row>
    <row r="1144" spans="1:10" ht="11.25" customHeight="1" x14ac:dyDescent="0.2">
      <c r="A1144" s="67">
        <v>44682</v>
      </c>
      <c r="B1144" s="58">
        <v>12659.48</v>
      </c>
      <c r="C1144" s="58">
        <v>15919.767572994464</v>
      </c>
      <c r="D1144" s="58">
        <v>7681.1748799999996</v>
      </c>
      <c r="E1144" s="58">
        <v>11898.289855210238</v>
      </c>
      <c r="F1144" s="58">
        <v>0</v>
      </c>
      <c r="G1144" s="58">
        <v>0</v>
      </c>
      <c r="H1144" s="39">
        <v>0.36760874181867553</v>
      </c>
      <c r="I1144" s="39">
        <v>0</v>
      </c>
      <c r="J1144" s="39">
        <v>0.36760874181867553</v>
      </c>
    </row>
    <row r="1145" spans="1:10" ht="11.25" customHeight="1" x14ac:dyDescent="0.2">
      <c r="A1145" s="67">
        <v>44713</v>
      </c>
      <c r="B1145" s="58">
        <v>11635.72</v>
      </c>
      <c r="C1145" s="58">
        <v>14632.351245425813</v>
      </c>
      <c r="D1145" s="58">
        <v>7782.9057599999996</v>
      </c>
      <c r="E1145" s="58">
        <v>12055.872974508467</v>
      </c>
      <c r="F1145" s="58">
        <v>0</v>
      </c>
      <c r="G1145" s="58">
        <v>0</v>
      </c>
      <c r="H1145" s="39">
        <v>0.37436214847441818</v>
      </c>
      <c r="I1145" s="39">
        <v>0</v>
      </c>
      <c r="J1145" s="39">
        <v>0.37436214847441818</v>
      </c>
    </row>
    <row r="1146" spans="1:10" ht="11.25" customHeight="1" x14ac:dyDescent="0.2">
      <c r="A1146" s="67">
        <v>44743</v>
      </c>
      <c r="B1146" s="58">
        <v>11123.84</v>
      </c>
      <c r="C1146" s="58">
        <v>13988.643081641485</v>
      </c>
      <c r="D1146" s="58">
        <v>7318.2086399999998</v>
      </c>
      <c r="E1146" s="58">
        <v>11336.048062952566</v>
      </c>
      <c r="F1146" s="58">
        <v>0</v>
      </c>
      <c r="G1146" s="58">
        <v>0</v>
      </c>
      <c r="H1146" s="39">
        <v>0.37320379307892604</v>
      </c>
      <c r="I1146" s="39">
        <v>0</v>
      </c>
      <c r="J1146" s="39">
        <v>0.37320379307892604</v>
      </c>
    </row>
    <row r="1147" spans="1:10" ht="11.25" customHeight="1" x14ac:dyDescent="0.2">
      <c r="A1147" s="67">
        <v>44774</v>
      </c>
      <c r="B1147" s="58">
        <v>11979.519999999999</v>
      </c>
      <c r="C1147" s="58">
        <v>15064.69254946006</v>
      </c>
      <c r="D1147" s="58">
        <v>7878.8695600000001</v>
      </c>
      <c r="E1147" s="58">
        <v>12204.522774291107</v>
      </c>
      <c r="F1147" s="58">
        <v>0</v>
      </c>
      <c r="G1147" s="58">
        <v>0</v>
      </c>
      <c r="H1147" s="39">
        <v>0.37318362304053654</v>
      </c>
      <c r="I1147" s="39">
        <v>0</v>
      </c>
      <c r="J1147" s="39">
        <v>0.37318362304053654</v>
      </c>
    </row>
    <row r="1148" spans="1:10" ht="11.25" customHeight="1" x14ac:dyDescent="0.2">
      <c r="A1148" s="67">
        <v>44805</v>
      </c>
      <c r="B1148" s="58">
        <v>12835.199999999999</v>
      </c>
      <c r="C1148" s="58">
        <v>16140.742017278637</v>
      </c>
      <c r="D1148" s="58">
        <v>7974.4941200000003</v>
      </c>
      <c r="E1148" s="58">
        <v>12352.647084690474</v>
      </c>
      <c r="F1148" s="58">
        <v>0</v>
      </c>
      <c r="G1148" s="58">
        <v>0</v>
      </c>
      <c r="H1148" s="39">
        <v>0.36923632503489734</v>
      </c>
      <c r="I1148" s="39">
        <v>0</v>
      </c>
      <c r="J1148" s="39">
        <v>0.36923632503489734</v>
      </c>
    </row>
    <row r="1149" spans="1:10" ht="11.25" customHeight="1" x14ac:dyDescent="0.2">
      <c r="A1149" s="67">
        <v>44835</v>
      </c>
      <c r="B1149" s="58">
        <v>13950.64</v>
      </c>
      <c r="C1149" s="58">
        <v>17543.449359256421</v>
      </c>
      <c r="D1149" s="58">
        <v>8511.9941999999992</v>
      </c>
      <c r="E1149" s="58">
        <v>13185.245202680293</v>
      </c>
      <c r="F1149" s="58">
        <v>0</v>
      </c>
      <c r="G1149" s="58">
        <v>0</v>
      </c>
      <c r="H1149" s="39">
        <v>0.3679915849734452</v>
      </c>
      <c r="I1149" s="39">
        <v>0</v>
      </c>
      <c r="J1149" s="39">
        <v>0.3679915849734452</v>
      </c>
    </row>
    <row r="1150" spans="1:10" ht="11.25" customHeight="1" x14ac:dyDescent="0.2">
      <c r="A1150" s="67">
        <v>44866</v>
      </c>
      <c r="B1150" s="58">
        <v>13950.64</v>
      </c>
      <c r="C1150" s="58">
        <v>17543.449359256421</v>
      </c>
      <c r="D1150" s="58">
        <v>8511.9941999999992</v>
      </c>
      <c r="E1150" s="58">
        <v>13185.245202680293</v>
      </c>
      <c r="F1150" s="58">
        <v>0</v>
      </c>
      <c r="G1150" s="58">
        <v>0</v>
      </c>
      <c r="H1150" s="39">
        <v>0.3679915849734452</v>
      </c>
      <c r="I1150" s="39">
        <v>0</v>
      </c>
      <c r="J1150" s="39">
        <v>0.3679915849734452</v>
      </c>
    </row>
    <row r="1151" spans="1:10" ht="11.25" customHeight="1" x14ac:dyDescent="0.2">
      <c r="A1151" s="66" t="s">
        <v>25</v>
      </c>
      <c r="B1151" s="58">
        <v>0</v>
      </c>
      <c r="C1151" s="58">
        <v>0</v>
      </c>
      <c r="D1151" s="58">
        <v>0</v>
      </c>
      <c r="E1151" s="58">
        <v>0</v>
      </c>
      <c r="F1151" s="58">
        <v>1579803.4079999998</v>
      </c>
      <c r="G1151" s="58">
        <v>2215076.7849903032</v>
      </c>
      <c r="H1151" s="39">
        <v>0</v>
      </c>
      <c r="I1151" s="39">
        <v>0.40212179171998819</v>
      </c>
      <c r="J1151" s="39">
        <v>0.40212179171998819</v>
      </c>
    </row>
    <row r="1152" spans="1:10" ht="11.25" customHeight="1" x14ac:dyDescent="0.2">
      <c r="A1152" s="67">
        <v>44531</v>
      </c>
      <c r="B1152" s="58">
        <v>0</v>
      </c>
      <c r="C1152" s="58">
        <v>0</v>
      </c>
      <c r="D1152" s="58">
        <v>0</v>
      </c>
      <c r="E1152" s="58">
        <v>0</v>
      </c>
      <c r="F1152" s="58">
        <v>119998.14839999999</v>
      </c>
      <c r="G1152" s="58">
        <v>168252.01883768901</v>
      </c>
      <c r="H1152" s="39">
        <v>0</v>
      </c>
      <c r="I1152" s="39">
        <v>0.40212179171998819</v>
      </c>
      <c r="J1152" s="39">
        <v>0.40212179171998819</v>
      </c>
    </row>
    <row r="1153" spans="1:10" ht="11.25" customHeight="1" x14ac:dyDescent="0.2">
      <c r="A1153" s="67">
        <v>44562</v>
      </c>
      <c r="B1153" s="58">
        <v>0</v>
      </c>
      <c r="C1153" s="58">
        <v>0</v>
      </c>
      <c r="D1153" s="58">
        <v>0</v>
      </c>
      <c r="E1153" s="58">
        <v>0</v>
      </c>
      <c r="F1153" s="58">
        <v>133703.78759999998</v>
      </c>
      <c r="G1153" s="58">
        <v>187468.99422946075</v>
      </c>
      <c r="H1153" s="39">
        <v>0</v>
      </c>
      <c r="I1153" s="39">
        <v>0.40212179171998841</v>
      </c>
      <c r="J1153" s="39">
        <v>0.40212179171998841</v>
      </c>
    </row>
    <row r="1154" spans="1:10" ht="11.25" customHeight="1" x14ac:dyDescent="0.2">
      <c r="A1154" s="67">
        <v>44593</v>
      </c>
      <c r="B1154" s="58">
        <v>0</v>
      </c>
      <c r="C1154" s="58">
        <v>0</v>
      </c>
      <c r="D1154" s="58">
        <v>0</v>
      </c>
      <c r="E1154" s="58">
        <v>0</v>
      </c>
      <c r="F1154" s="58">
        <v>130504.76759999999</v>
      </c>
      <c r="G1154" s="58">
        <v>182983.57857531265</v>
      </c>
      <c r="H1154" s="39">
        <v>0</v>
      </c>
      <c r="I1154" s="39">
        <v>0.40212179171998819</v>
      </c>
      <c r="J1154" s="39">
        <v>0.40212179171998819</v>
      </c>
    </row>
    <row r="1155" spans="1:10" ht="11.25" customHeight="1" x14ac:dyDescent="0.2">
      <c r="A1155" s="67">
        <v>44621</v>
      </c>
      <c r="B1155" s="58">
        <v>0</v>
      </c>
      <c r="C1155" s="58">
        <v>0</v>
      </c>
      <c r="D1155" s="58">
        <v>0</v>
      </c>
      <c r="E1155" s="58">
        <v>0</v>
      </c>
      <c r="F1155" s="58">
        <v>117191.6568</v>
      </c>
      <c r="G1155" s="58">
        <v>164316.97580704992</v>
      </c>
      <c r="H1155" s="39">
        <v>0</v>
      </c>
      <c r="I1155" s="39">
        <v>0.40212179171998819</v>
      </c>
      <c r="J1155" s="39">
        <v>0.40212179171998819</v>
      </c>
    </row>
    <row r="1156" spans="1:10" ht="11.25" customHeight="1" x14ac:dyDescent="0.2">
      <c r="A1156" s="67">
        <v>44652</v>
      </c>
      <c r="B1156" s="58">
        <v>0</v>
      </c>
      <c r="C1156" s="58">
        <v>0</v>
      </c>
      <c r="D1156" s="58">
        <v>0</v>
      </c>
      <c r="E1156" s="58">
        <v>0</v>
      </c>
      <c r="F1156" s="58">
        <v>131466.98879999999</v>
      </c>
      <c r="G1156" s="58">
        <v>184332.72988828761</v>
      </c>
      <c r="H1156" s="39">
        <v>0</v>
      </c>
      <c r="I1156" s="39">
        <v>0.40212179171998819</v>
      </c>
      <c r="J1156" s="39">
        <v>0.40212179171998819</v>
      </c>
    </row>
    <row r="1157" spans="1:10" ht="11.25" customHeight="1" x14ac:dyDescent="0.2">
      <c r="A1157" s="67">
        <v>44682</v>
      </c>
      <c r="B1157" s="58">
        <v>0</v>
      </c>
      <c r="C1157" s="58">
        <v>0</v>
      </c>
      <c r="D1157" s="58">
        <v>0</v>
      </c>
      <c r="E1157" s="58">
        <v>0</v>
      </c>
      <c r="F1157" s="58">
        <v>129478.25159999999</v>
      </c>
      <c r="G1157" s="58">
        <v>181544.27812216344</v>
      </c>
      <c r="H1157" s="39">
        <v>0</v>
      </c>
      <c r="I1157" s="39">
        <v>0.40212179171998841</v>
      </c>
      <c r="J1157" s="39">
        <v>0.40212179171998841</v>
      </c>
    </row>
    <row r="1158" spans="1:10" ht="11.25" customHeight="1" x14ac:dyDescent="0.2">
      <c r="A1158" s="67">
        <v>44713</v>
      </c>
      <c r="B1158" s="58">
        <v>0</v>
      </c>
      <c r="C1158" s="58">
        <v>0</v>
      </c>
      <c r="D1158" s="58">
        <v>0</v>
      </c>
      <c r="E1158" s="58">
        <v>0</v>
      </c>
      <c r="F1158" s="58">
        <v>131939.68919999999</v>
      </c>
      <c r="G1158" s="58">
        <v>184995.51342008237</v>
      </c>
      <c r="H1158" s="39">
        <v>0</v>
      </c>
      <c r="I1158" s="39">
        <v>0.40212179171998819</v>
      </c>
      <c r="J1158" s="39">
        <v>0.40212179171998819</v>
      </c>
    </row>
    <row r="1159" spans="1:10" ht="11.25" customHeight="1" x14ac:dyDescent="0.2">
      <c r="A1159" s="67">
        <v>44743</v>
      </c>
      <c r="B1159" s="58">
        <v>0</v>
      </c>
      <c r="C1159" s="58">
        <v>0</v>
      </c>
      <c r="D1159" s="58">
        <v>0</v>
      </c>
      <c r="E1159" s="58">
        <v>0</v>
      </c>
      <c r="F1159" s="58">
        <v>124491.23879999999</v>
      </c>
      <c r="G1159" s="58">
        <v>174551.87879969689</v>
      </c>
      <c r="H1159" s="39">
        <v>0</v>
      </c>
      <c r="I1159" s="39">
        <v>0.40212179171998819</v>
      </c>
      <c r="J1159" s="39">
        <v>0.40212179171998819</v>
      </c>
    </row>
    <row r="1160" spans="1:10" ht="11.25" customHeight="1" x14ac:dyDescent="0.2">
      <c r="A1160" s="67">
        <v>44774</v>
      </c>
      <c r="B1160" s="58">
        <v>0</v>
      </c>
      <c r="C1160" s="58">
        <v>0</v>
      </c>
      <c r="D1160" s="58">
        <v>0</v>
      </c>
      <c r="E1160" s="58">
        <v>0</v>
      </c>
      <c r="F1160" s="58">
        <v>134335.88879999999</v>
      </c>
      <c r="G1160" s="58">
        <v>188355.27709655309</v>
      </c>
      <c r="H1160" s="39">
        <v>0</v>
      </c>
      <c r="I1160" s="39">
        <v>0.40212179171998841</v>
      </c>
      <c r="J1160" s="39">
        <v>0.40212179171998841</v>
      </c>
    </row>
    <row r="1161" spans="1:10" ht="11.25" customHeight="1" x14ac:dyDescent="0.2">
      <c r="A1161" s="67">
        <v>44805</v>
      </c>
      <c r="B1161" s="58">
        <v>0</v>
      </c>
      <c r="C1161" s="58">
        <v>0</v>
      </c>
      <c r="D1161" s="58">
        <v>0</v>
      </c>
      <c r="E1161" s="58">
        <v>0</v>
      </c>
      <c r="F1161" s="58">
        <v>136976.84880000001</v>
      </c>
      <c r="G1161" s="58">
        <v>192058.22466361392</v>
      </c>
      <c r="H1161" s="39">
        <v>0</v>
      </c>
      <c r="I1161" s="39">
        <v>0.40212179171998819</v>
      </c>
      <c r="J1161" s="39">
        <v>0.40212179171998819</v>
      </c>
    </row>
    <row r="1162" spans="1:10" ht="11.25" customHeight="1" x14ac:dyDescent="0.2">
      <c r="A1162" s="67">
        <v>44835</v>
      </c>
      <c r="B1162" s="58">
        <v>0</v>
      </c>
      <c r="C1162" s="58">
        <v>0</v>
      </c>
      <c r="D1162" s="58">
        <v>0</v>
      </c>
      <c r="E1162" s="58">
        <v>0</v>
      </c>
      <c r="F1162" s="58">
        <v>144858.07079999999</v>
      </c>
      <c r="G1162" s="58">
        <v>203108.65777519689</v>
      </c>
      <c r="H1162" s="39">
        <v>0</v>
      </c>
      <c r="I1162" s="39">
        <v>0.40212179171998819</v>
      </c>
      <c r="J1162" s="39">
        <v>0.40212179171998819</v>
      </c>
    </row>
    <row r="1163" spans="1:10" ht="11.25" customHeight="1" x14ac:dyDescent="0.2">
      <c r="A1163" s="67">
        <v>44866</v>
      </c>
      <c r="B1163" s="58">
        <v>0</v>
      </c>
      <c r="C1163" s="58">
        <v>0</v>
      </c>
      <c r="D1163" s="58">
        <v>0</v>
      </c>
      <c r="E1163" s="58">
        <v>0</v>
      </c>
      <c r="F1163" s="58">
        <v>144858.07079999999</v>
      </c>
      <c r="G1163" s="58">
        <v>203108.65777519689</v>
      </c>
      <c r="H1163" s="39">
        <v>0</v>
      </c>
      <c r="I1163" s="39">
        <v>0.40212179171998819</v>
      </c>
      <c r="J1163" s="39">
        <v>0.40212179171998819</v>
      </c>
    </row>
    <row r="1164" spans="1:10" ht="11.25" customHeight="1" x14ac:dyDescent="0.2">
      <c r="A1164" s="66" t="s">
        <v>36</v>
      </c>
      <c r="B1164" s="58">
        <v>299488.62</v>
      </c>
      <c r="C1164" s="58">
        <v>354646.86317010957</v>
      </c>
      <c r="D1164" s="58">
        <v>10458.183239999998</v>
      </c>
      <c r="E1164" s="58">
        <v>16199.930022739143</v>
      </c>
      <c r="F1164" s="58">
        <v>0</v>
      </c>
      <c r="G1164" s="58">
        <v>0</v>
      </c>
      <c r="H1164" s="39">
        <v>0.19648529785187785</v>
      </c>
      <c r="I1164" s="39">
        <v>0</v>
      </c>
      <c r="J1164" s="39">
        <v>0.19648529785187785</v>
      </c>
    </row>
    <row r="1165" spans="1:10" ht="11.25" customHeight="1" x14ac:dyDescent="0.2">
      <c r="A1165" s="67">
        <v>44531</v>
      </c>
      <c r="B1165" s="58">
        <v>24032.94</v>
      </c>
      <c r="C1165" s="58">
        <v>28459.200832924646</v>
      </c>
      <c r="D1165" s="58">
        <v>757.30704000000003</v>
      </c>
      <c r="E1165" s="58">
        <v>1173.0833905074812</v>
      </c>
      <c r="F1165" s="58">
        <v>0</v>
      </c>
      <c r="G1165" s="58">
        <v>0</v>
      </c>
      <c r="H1165" s="39">
        <v>0.19532024733837128</v>
      </c>
      <c r="I1165" s="39">
        <v>0</v>
      </c>
      <c r="J1165" s="39">
        <v>0.19532024733837128</v>
      </c>
    </row>
    <row r="1166" spans="1:10" ht="11.25" customHeight="1" x14ac:dyDescent="0.2">
      <c r="A1166" s="67">
        <v>44562</v>
      </c>
      <c r="B1166" s="58">
        <v>22975.68</v>
      </c>
      <c r="C1166" s="58">
        <v>27207.220231607542</v>
      </c>
      <c r="D1166" s="58">
        <v>919.47403999999995</v>
      </c>
      <c r="E1166" s="58">
        <v>1424.2832396313274</v>
      </c>
      <c r="F1166" s="58">
        <v>0</v>
      </c>
      <c r="G1166" s="58">
        <v>0</v>
      </c>
      <c r="H1166" s="39">
        <v>0.19821380616799189</v>
      </c>
      <c r="I1166" s="39">
        <v>0</v>
      </c>
      <c r="J1166" s="39">
        <v>0.19821380616799189</v>
      </c>
    </row>
    <row r="1167" spans="1:10" ht="11.25" customHeight="1" x14ac:dyDescent="0.2">
      <c r="A1167" s="67">
        <v>44593</v>
      </c>
      <c r="B1167" s="58">
        <v>24743.039999999997</v>
      </c>
      <c r="C1167" s="58">
        <v>29300.083326346583</v>
      </c>
      <c r="D1167" s="58">
        <v>851.83163999999999</v>
      </c>
      <c r="E1167" s="58">
        <v>1319.5038413913965</v>
      </c>
      <c r="F1167" s="58">
        <v>0</v>
      </c>
      <c r="G1167" s="58">
        <v>0</v>
      </c>
      <c r="H1167" s="39">
        <v>0.19631727786769959</v>
      </c>
      <c r="I1167" s="39">
        <v>0</v>
      </c>
      <c r="J1167" s="39">
        <v>0.19631727786769959</v>
      </c>
    </row>
    <row r="1168" spans="1:10" ht="11.25" customHeight="1" x14ac:dyDescent="0.2">
      <c r="A1168" s="67">
        <v>44621</v>
      </c>
      <c r="B1168" s="58">
        <v>23670</v>
      </c>
      <c r="C1168" s="58">
        <v>28029.416447397878</v>
      </c>
      <c r="D1168" s="58">
        <v>795.58975999999996</v>
      </c>
      <c r="E1168" s="58">
        <v>1232.3840712134843</v>
      </c>
      <c r="F1168" s="58">
        <v>0</v>
      </c>
      <c r="G1168" s="58">
        <v>0</v>
      </c>
      <c r="H1168" s="39">
        <v>0.19603904118644722</v>
      </c>
      <c r="I1168" s="39">
        <v>0</v>
      </c>
      <c r="J1168" s="39">
        <v>0.19603904118644722</v>
      </c>
    </row>
    <row r="1169" spans="1:10" ht="11.25" customHeight="1" x14ac:dyDescent="0.2">
      <c r="A1169" s="67">
        <v>44652</v>
      </c>
      <c r="B1169" s="58">
        <v>23322.84</v>
      </c>
      <c r="C1169" s="58">
        <v>27618.318339502708</v>
      </c>
      <c r="D1169" s="58">
        <v>869.21511999999996</v>
      </c>
      <c r="E1169" s="58">
        <v>1346.4311913038164</v>
      </c>
      <c r="F1169" s="58">
        <v>0</v>
      </c>
      <c r="G1169" s="58">
        <v>0</v>
      </c>
      <c r="H1169" s="39">
        <v>0.19728354565713824</v>
      </c>
      <c r="I1169" s="39">
        <v>0</v>
      </c>
      <c r="J1169" s="39">
        <v>0.19728354565713824</v>
      </c>
    </row>
    <row r="1170" spans="1:10" ht="11.25" customHeight="1" x14ac:dyDescent="0.2">
      <c r="A1170" s="67">
        <v>44682</v>
      </c>
      <c r="B1170" s="58">
        <v>25437.360000000001</v>
      </c>
      <c r="C1170" s="58">
        <v>30122.279542136919</v>
      </c>
      <c r="D1170" s="58">
        <v>785.96767999999997</v>
      </c>
      <c r="E1170" s="58">
        <v>1217.4792814334578</v>
      </c>
      <c r="F1170" s="58">
        <v>0</v>
      </c>
      <c r="G1170" s="58">
        <v>0</v>
      </c>
      <c r="H1170" s="39">
        <v>0.19510991152631529</v>
      </c>
      <c r="I1170" s="39">
        <v>0</v>
      </c>
      <c r="J1170" s="39">
        <v>0.19510991152631529</v>
      </c>
    </row>
    <row r="1171" spans="1:10" ht="11.25" customHeight="1" x14ac:dyDescent="0.2">
      <c r="A1171" s="67">
        <v>44713</v>
      </c>
      <c r="B1171" s="58">
        <v>24380.1</v>
      </c>
      <c r="C1171" s="58">
        <v>28870.298940819815</v>
      </c>
      <c r="D1171" s="58">
        <v>845.21131999999989</v>
      </c>
      <c r="E1171" s="58">
        <v>1309.2488364572755</v>
      </c>
      <c r="F1171" s="58">
        <v>0</v>
      </c>
      <c r="G1171" s="58">
        <v>0</v>
      </c>
      <c r="H1171" s="39">
        <v>0.1963994178081403</v>
      </c>
      <c r="I1171" s="39">
        <v>0</v>
      </c>
      <c r="J1171" s="39">
        <v>0.1963994178081403</v>
      </c>
    </row>
    <row r="1172" spans="1:10" ht="11.25" customHeight="1" x14ac:dyDescent="0.2">
      <c r="A1172" s="67">
        <v>44743</v>
      </c>
      <c r="B1172" s="58">
        <v>22975.68</v>
      </c>
      <c r="C1172" s="58">
        <v>27207.220231607542</v>
      </c>
      <c r="D1172" s="58">
        <v>822.81119999999999</v>
      </c>
      <c r="E1172" s="58">
        <v>1274.5506132407395</v>
      </c>
      <c r="F1172" s="58">
        <v>0</v>
      </c>
      <c r="G1172" s="58">
        <v>0</v>
      </c>
      <c r="H1172" s="39">
        <v>0.1967889310919122</v>
      </c>
      <c r="I1172" s="39">
        <v>0</v>
      </c>
      <c r="J1172" s="39">
        <v>0.1967889310919122</v>
      </c>
    </row>
    <row r="1173" spans="1:10" ht="11.25" customHeight="1" x14ac:dyDescent="0.2">
      <c r="A1173" s="67">
        <v>44774</v>
      </c>
      <c r="B1173" s="58">
        <v>24380.1</v>
      </c>
      <c r="C1173" s="58">
        <v>28870.298940819815</v>
      </c>
      <c r="D1173" s="58">
        <v>905.94555999999989</v>
      </c>
      <c r="E1173" s="58">
        <v>1403.3273599833412</v>
      </c>
      <c r="F1173" s="58">
        <v>0</v>
      </c>
      <c r="G1173" s="58">
        <v>0</v>
      </c>
      <c r="H1173" s="39">
        <v>0.19724637167833836</v>
      </c>
      <c r="I1173" s="39">
        <v>0</v>
      </c>
      <c r="J1173" s="39">
        <v>0.19724637167833836</v>
      </c>
    </row>
    <row r="1174" spans="1:10" ht="11.25" customHeight="1" x14ac:dyDescent="0.2">
      <c r="A1174" s="67">
        <v>44805</v>
      </c>
      <c r="B1174" s="58">
        <v>25973.879999999997</v>
      </c>
      <c r="C1174" s="58">
        <v>30757.612981611273</v>
      </c>
      <c r="D1174" s="58">
        <v>983.02499999999998</v>
      </c>
      <c r="E1174" s="58">
        <v>1522.724917430606</v>
      </c>
      <c r="F1174" s="58">
        <v>0</v>
      </c>
      <c r="G1174" s="58">
        <v>0</v>
      </c>
      <c r="H1174" s="39">
        <v>0.19747938047939395</v>
      </c>
      <c r="I1174" s="39">
        <v>0</v>
      </c>
      <c r="J1174" s="39">
        <v>0.19747938047939395</v>
      </c>
    </row>
    <row r="1175" spans="1:10" ht="11.25" customHeight="1" x14ac:dyDescent="0.2">
      <c r="A1175" s="67">
        <v>44835</v>
      </c>
      <c r="B1175" s="58">
        <v>28798.5</v>
      </c>
      <c r="C1175" s="58">
        <v>34102.456677667418</v>
      </c>
      <c r="D1175" s="58">
        <v>960.90243999999996</v>
      </c>
      <c r="E1175" s="58">
        <v>1488.4566400731087</v>
      </c>
      <c r="F1175" s="58">
        <v>0</v>
      </c>
      <c r="G1175" s="58">
        <v>0</v>
      </c>
      <c r="H1175" s="39">
        <v>0.19595524101997119</v>
      </c>
      <c r="I1175" s="39">
        <v>0</v>
      </c>
      <c r="J1175" s="39">
        <v>0.19595524101997119</v>
      </c>
    </row>
    <row r="1176" spans="1:10" ht="11.25" customHeight="1" x14ac:dyDescent="0.2">
      <c r="A1176" s="67">
        <v>44866</v>
      </c>
      <c r="B1176" s="58">
        <v>28798.5</v>
      </c>
      <c r="C1176" s="58">
        <v>34102.456677667418</v>
      </c>
      <c r="D1176" s="58">
        <v>960.90243999999996</v>
      </c>
      <c r="E1176" s="58">
        <v>1488.4566400731087</v>
      </c>
      <c r="F1176" s="58">
        <v>0</v>
      </c>
      <c r="G1176" s="58">
        <v>0</v>
      </c>
      <c r="H1176" s="39">
        <v>0.19595524101997119</v>
      </c>
      <c r="I1176" s="39">
        <v>0</v>
      </c>
      <c r="J1176" s="39">
        <v>0.19595524101997119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CB6A6-6036-47B3-A5D7-E5BF0B5D2060}">
  <sheetPr codeName="Planilha19"/>
  <dimension ref="A1:G559"/>
  <sheetViews>
    <sheetView showGridLines="0" workbookViewId="0"/>
  </sheetViews>
  <sheetFormatPr defaultRowHeight="11.25" customHeight="1" x14ac:dyDescent="0.2"/>
  <cols>
    <col min="1" max="1" width="34.7109375" style="14" bestFit="1" customWidth="1"/>
    <col min="2" max="2" width="20.42578125" style="38" bestFit="1" customWidth="1"/>
    <col min="3" max="3" width="21.85546875" style="38" bestFit="1" customWidth="1"/>
    <col min="4" max="4" width="20.28515625" style="38" bestFit="1" customWidth="1"/>
    <col min="5" max="5" width="21.7109375" style="38" bestFit="1" customWidth="1"/>
    <col min="6" max="6" width="14.85546875" style="38" bestFit="1" customWidth="1"/>
    <col min="7" max="7" width="14.7109375" style="38" bestFit="1" customWidth="1"/>
    <col min="8" max="16384" width="9.140625" style="14"/>
  </cols>
  <sheetData>
    <row r="1" spans="1:7" ht="11.25" customHeight="1" x14ac:dyDescent="0.2">
      <c r="A1" s="57" t="s">
        <v>918</v>
      </c>
      <c r="B1" s="58" t="s">
        <v>944</v>
      </c>
      <c r="C1" s="58" t="s">
        <v>945</v>
      </c>
      <c r="D1" s="58" t="s">
        <v>946</v>
      </c>
      <c r="E1" s="58" t="s">
        <v>947</v>
      </c>
      <c r="F1" s="58" t="s">
        <v>948</v>
      </c>
      <c r="G1" s="58" t="s">
        <v>949</v>
      </c>
    </row>
    <row r="2" spans="1:7" ht="11.25" customHeight="1" x14ac:dyDescent="0.2">
      <c r="A2" s="59" t="s">
        <v>935</v>
      </c>
      <c r="B2" s="58">
        <v>129351.14639999998</v>
      </c>
      <c r="C2" s="58">
        <v>1321976.3466372001</v>
      </c>
      <c r="D2" s="58">
        <v>66995.077010879962</v>
      </c>
      <c r="E2" s="58">
        <v>793844.81337475311</v>
      </c>
      <c r="F2" s="58">
        <v>1451327.4930372003</v>
      </c>
      <c r="G2" s="58">
        <v>860839.89038563252</v>
      </c>
    </row>
    <row r="3" spans="1:7" ht="11.25" customHeight="1" x14ac:dyDescent="0.2">
      <c r="A3" s="60" t="s">
        <v>43</v>
      </c>
      <c r="B3" s="58">
        <v>498.95999999999987</v>
      </c>
      <c r="C3" s="58">
        <v>0</v>
      </c>
      <c r="D3" s="58">
        <v>259.72161358337814</v>
      </c>
      <c r="E3" s="58">
        <v>0</v>
      </c>
      <c r="F3" s="58">
        <v>498.95999999999987</v>
      </c>
      <c r="G3" s="58">
        <v>259.72161358337814</v>
      </c>
    </row>
    <row r="4" spans="1:7" ht="11.25" customHeight="1" x14ac:dyDescent="0.2">
      <c r="A4" s="61" t="s">
        <v>44</v>
      </c>
      <c r="B4" s="58">
        <v>498.95999999999987</v>
      </c>
      <c r="C4" s="58">
        <v>0</v>
      </c>
      <c r="D4" s="58">
        <v>259.72161358337814</v>
      </c>
      <c r="E4" s="58">
        <v>0</v>
      </c>
      <c r="F4" s="58">
        <v>498.95999999999987</v>
      </c>
      <c r="G4" s="58">
        <v>259.72161358337814</v>
      </c>
    </row>
    <row r="5" spans="1:7" ht="11.25" customHeight="1" x14ac:dyDescent="0.2">
      <c r="A5" s="62" t="s">
        <v>52</v>
      </c>
      <c r="B5" s="58">
        <v>498.95999999999987</v>
      </c>
      <c r="C5" s="58">
        <v>0</v>
      </c>
      <c r="D5" s="58">
        <v>259.72161358337814</v>
      </c>
      <c r="E5" s="58">
        <v>0</v>
      </c>
      <c r="F5" s="58">
        <v>498.95999999999987</v>
      </c>
      <c r="G5" s="58">
        <v>259.72161358337814</v>
      </c>
    </row>
    <row r="6" spans="1:7" ht="11.25" customHeight="1" x14ac:dyDescent="0.2">
      <c r="A6" s="63" t="s">
        <v>53</v>
      </c>
      <c r="B6" s="58">
        <v>498.95999999999987</v>
      </c>
      <c r="C6" s="58">
        <v>0</v>
      </c>
      <c r="D6" s="58">
        <v>259.72161358337814</v>
      </c>
      <c r="E6" s="58">
        <v>0</v>
      </c>
      <c r="F6" s="58">
        <v>498.95999999999987</v>
      </c>
      <c r="G6" s="58">
        <v>259.72161358337814</v>
      </c>
    </row>
    <row r="7" spans="1:7" ht="11.25" customHeight="1" x14ac:dyDescent="0.2">
      <c r="A7" s="64" t="s">
        <v>25</v>
      </c>
      <c r="B7" s="58">
        <v>498.95999999999987</v>
      </c>
      <c r="C7" s="58">
        <v>0</v>
      </c>
      <c r="D7" s="58">
        <v>259.72161358337814</v>
      </c>
      <c r="E7" s="58">
        <v>0</v>
      </c>
      <c r="F7" s="58">
        <v>498.95999999999987</v>
      </c>
      <c r="G7" s="58">
        <v>259.72161358337814</v>
      </c>
    </row>
    <row r="8" spans="1:7" ht="11.25" customHeight="1" x14ac:dyDescent="0.2">
      <c r="A8" s="65" t="s">
        <v>25</v>
      </c>
      <c r="B8" s="58">
        <v>498.95999999999987</v>
      </c>
      <c r="C8" s="58">
        <v>0</v>
      </c>
      <c r="D8" s="58">
        <v>259.72161358337814</v>
      </c>
      <c r="E8" s="58">
        <v>0</v>
      </c>
      <c r="F8" s="58">
        <v>498.95999999999987</v>
      </c>
      <c r="G8" s="58">
        <v>259.72161358337814</v>
      </c>
    </row>
    <row r="9" spans="1:7" ht="11.25" customHeight="1" x14ac:dyDescent="0.2">
      <c r="A9" s="66" t="s">
        <v>25</v>
      </c>
      <c r="B9" s="58">
        <v>498.95999999999987</v>
      </c>
      <c r="C9" s="58">
        <v>0</v>
      </c>
      <c r="D9" s="58">
        <v>259.72161358337814</v>
      </c>
      <c r="E9" s="58">
        <v>0</v>
      </c>
      <c r="F9" s="58">
        <v>498.95999999999987</v>
      </c>
      <c r="G9" s="58">
        <v>259.72161358337814</v>
      </c>
    </row>
    <row r="10" spans="1:7" ht="11.25" customHeight="1" x14ac:dyDescent="0.2">
      <c r="A10" s="67">
        <v>44531</v>
      </c>
      <c r="B10" s="58">
        <v>41.58</v>
      </c>
      <c r="C10" s="58">
        <v>0</v>
      </c>
      <c r="D10" s="58">
        <v>21.64346779861485</v>
      </c>
      <c r="E10" s="58">
        <v>0</v>
      </c>
      <c r="F10" s="58">
        <v>41.58</v>
      </c>
      <c r="G10" s="58">
        <v>21.64346779861485</v>
      </c>
    </row>
    <row r="11" spans="1:7" ht="11.25" customHeight="1" x14ac:dyDescent="0.2">
      <c r="A11" s="67">
        <v>44562</v>
      </c>
      <c r="B11" s="58">
        <v>41.58</v>
      </c>
      <c r="C11" s="58">
        <v>0</v>
      </c>
      <c r="D11" s="58">
        <v>21.64346779861485</v>
      </c>
      <c r="E11" s="58">
        <v>0</v>
      </c>
      <c r="F11" s="58">
        <v>41.58</v>
      </c>
      <c r="G11" s="58">
        <v>21.64346779861485</v>
      </c>
    </row>
    <row r="12" spans="1:7" ht="11.25" customHeight="1" x14ac:dyDescent="0.2">
      <c r="A12" s="67">
        <v>44593</v>
      </c>
      <c r="B12" s="58">
        <v>41.58</v>
      </c>
      <c r="C12" s="58">
        <v>0</v>
      </c>
      <c r="D12" s="58">
        <v>21.64346779861485</v>
      </c>
      <c r="E12" s="58">
        <v>0</v>
      </c>
      <c r="F12" s="58">
        <v>41.58</v>
      </c>
      <c r="G12" s="58">
        <v>21.64346779861485</v>
      </c>
    </row>
    <row r="13" spans="1:7" ht="11.25" customHeight="1" x14ac:dyDescent="0.2">
      <c r="A13" s="67">
        <v>44621</v>
      </c>
      <c r="B13" s="58">
        <v>41.58</v>
      </c>
      <c r="C13" s="58">
        <v>0</v>
      </c>
      <c r="D13" s="58">
        <v>21.64346779861485</v>
      </c>
      <c r="E13" s="58">
        <v>0</v>
      </c>
      <c r="F13" s="58">
        <v>41.58</v>
      </c>
      <c r="G13" s="58">
        <v>21.64346779861485</v>
      </c>
    </row>
    <row r="14" spans="1:7" ht="11.25" customHeight="1" x14ac:dyDescent="0.2">
      <c r="A14" s="67">
        <v>44652</v>
      </c>
      <c r="B14" s="58">
        <v>41.58</v>
      </c>
      <c r="C14" s="58">
        <v>0</v>
      </c>
      <c r="D14" s="58">
        <v>21.64346779861485</v>
      </c>
      <c r="E14" s="58">
        <v>0</v>
      </c>
      <c r="F14" s="58">
        <v>41.58</v>
      </c>
      <c r="G14" s="58">
        <v>21.64346779861485</v>
      </c>
    </row>
    <row r="15" spans="1:7" ht="11.25" customHeight="1" x14ac:dyDescent="0.2">
      <c r="A15" s="67">
        <v>44682</v>
      </c>
      <c r="B15" s="58">
        <v>41.58</v>
      </c>
      <c r="C15" s="58">
        <v>0</v>
      </c>
      <c r="D15" s="58">
        <v>21.64346779861485</v>
      </c>
      <c r="E15" s="58">
        <v>0</v>
      </c>
      <c r="F15" s="58">
        <v>41.58</v>
      </c>
      <c r="G15" s="58">
        <v>21.64346779861485</v>
      </c>
    </row>
    <row r="16" spans="1:7" ht="11.25" customHeight="1" x14ac:dyDescent="0.2">
      <c r="A16" s="67">
        <v>44713</v>
      </c>
      <c r="B16" s="58">
        <v>41.58</v>
      </c>
      <c r="C16" s="58">
        <v>0</v>
      </c>
      <c r="D16" s="58">
        <v>21.64346779861485</v>
      </c>
      <c r="E16" s="58">
        <v>0</v>
      </c>
      <c r="F16" s="58">
        <v>41.58</v>
      </c>
      <c r="G16" s="58">
        <v>21.64346779861485</v>
      </c>
    </row>
    <row r="17" spans="1:7" ht="11.25" customHeight="1" x14ac:dyDescent="0.2">
      <c r="A17" s="67">
        <v>44743</v>
      </c>
      <c r="B17" s="58">
        <v>41.58</v>
      </c>
      <c r="C17" s="58">
        <v>0</v>
      </c>
      <c r="D17" s="58">
        <v>21.64346779861485</v>
      </c>
      <c r="E17" s="58">
        <v>0</v>
      </c>
      <c r="F17" s="58">
        <v>41.58</v>
      </c>
      <c r="G17" s="58">
        <v>21.64346779861485</v>
      </c>
    </row>
    <row r="18" spans="1:7" ht="11.25" customHeight="1" x14ac:dyDescent="0.2">
      <c r="A18" s="67">
        <v>44774</v>
      </c>
      <c r="B18" s="58">
        <v>41.58</v>
      </c>
      <c r="C18" s="58">
        <v>0</v>
      </c>
      <c r="D18" s="58">
        <v>21.64346779861485</v>
      </c>
      <c r="E18" s="58">
        <v>0</v>
      </c>
      <c r="F18" s="58">
        <v>41.58</v>
      </c>
      <c r="G18" s="58">
        <v>21.64346779861485</v>
      </c>
    </row>
    <row r="19" spans="1:7" ht="11.25" customHeight="1" x14ac:dyDescent="0.2">
      <c r="A19" s="67">
        <v>44805</v>
      </c>
      <c r="B19" s="58">
        <v>41.58</v>
      </c>
      <c r="C19" s="58">
        <v>0</v>
      </c>
      <c r="D19" s="58">
        <v>21.64346779861485</v>
      </c>
      <c r="E19" s="58">
        <v>0</v>
      </c>
      <c r="F19" s="58">
        <v>41.58</v>
      </c>
      <c r="G19" s="58">
        <v>21.64346779861485</v>
      </c>
    </row>
    <row r="20" spans="1:7" ht="11.25" customHeight="1" x14ac:dyDescent="0.2">
      <c r="A20" s="67">
        <v>44835</v>
      </c>
      <c r="B20" s="58">
        <v>41.58</v>
      </c>
      <c r="C20" s="58">
        <v>0</v>
      </c>
      <c r="D20" s="58">
        <v>21.64346779861485</v>
      </c>
      <c r="E20" s="58">
        <v>0</v>
      </c>
      <c r="F20" s="58">
        <v>41.58</v>
      </c>
      <c r="G20" s="58">
        <v>21.64346779861485</v>
      </c>
    </row>
    <row r="21" spans="1:7" ht="11.25" customHeight="1" x14ac:dyDescent="0.2">
      <c r="A21" s="67">
        <v>44866</v>
      </c>
      <c r="B21" s="58">
        <v>41.58</v>
      </c>
      <c r="C21" s="58">
        <v>0</v>
      </c>
      <c r="D21" s="58">
        <v>21.64346779861485</v>
      </c>
      <c r="E21" s="58">
        <v>0</v>
      </c>
      <c r="F21" s="58">
        <v>41.58</v>
      </c>
      <c r="G21" s="58">
        <v>21.64346779861485</v>
      </c>
    </row>
    <row r="22" spans="1:7" ht="11.25" customHeight="1" x14ac:dyDescent="0.2">
      <c r="A22" s="60" t="s">
        <v>41</v>
      </c>
      <c r="B22" s="58">
        <v>128852.18639999999</v>
      </c>
      <c r="C22" s="58">
        <v>963249.16618559987</v>
      </c>
      <c r="D22" s="58">
        <v>66735.355397296589</v>
      </c>
      <c r="E22" s="58">
        <v>588499.67669370491</v>
      </c>
      <c r="F22" s="58">
        <v>1092101.3525856002</v>
      </c>
      <c r="G22" s="58">
        <v>655235.03209100151</v>
      </c>
    </row>
    <row r="23" spans="1:7" ht="11.25" customHeight="1" x14ac:dyDescent="0.2">
      <c r="A23" s="61" t="s">
        <v>42</v>
      </c>
      <c r="B23" s="58">
        <v>23018.018399999994</v>
      </c>
      <c r="C23" s="58">
        <v>39152.866210200009</v>
      </c>
      <c r="D23" s="58">
        <v>11645.927617085101</v>
      </c>
      <c r="E23" s="58">
        <v>25834.315469821147</v>
      </c>
      <c r="F23" s="58">
        <v>62170.88461020001</v>
      </c>
      <c r="G23" s="58">
        <v>37480.243086906259</v>
      </c>
    </row>
    <row r="24" spans="1:7" ht="11.25" customHeight="1" x14ac:dyDescent="0.2">
      <c r="A24" s="62" t="s">
        <v>52</v>
      </c>
      <c r="B24" s="58">
        <v>23018.018399999994</v>
      </c>
      <c r="C24" s="58">
        <v>39152.866210200009</v>
      </c>
      <c r="D24" s="58">
        <v>11645.927617085101</v>
      </c>
      <c r="E24" s="58">
        <v>25834.315469821147</v>
      </c>
      <c r="F24" s="58">
        <v>62170.88461020001</v>
      </c>
      <c r="G24" s="58">
        <v>37480.243086906259</v>
      </c>
    </row>
    <row r="25" spans="1:7" ht="11.25" customHeight="1" x14ac:dyDescent="0.2">
      <c r="A25" s="63" t="s">
        <v>53</v>
      </c>
      <c r="B25" s="58">
        <v>23018.018399999994</v>
      </c>
      <c r="C25" s="58">
        <v>39152.866210200009</v>
      </c>
      <c r="D25" s="58">
        <v>11645.927617085101</v>
      </c>
      <c r="E25" s="58">
        <v>25834.315469821147</v>
      </c>
      <c r="F25" s="58">
        <v>62170.88461020001</v>
      </c>
      <c r="G25" s="58">
        <v>37480.243086906259</v>
      </c>
    </row>
    <row r="26" spans="1:7" ht="11.25" customHeight="1" x14ac:dyDescent="0.2">
      <c r="A26" s="64" t="s">
        <v>25</v>
      </c>
      <c r="B26" s="58">
        <v>23018.018399999994</v>
      </c>
      <c r="C26" s="58">
        <v>39152.866210200009</v>
      </c>
      <c r="D26" s="58">
        <v>11645.927617085101</v>
      </c>
      <c r="E26" s="58">
        <v>25834.315469821147</v>
      </c>
      <c r="F26" s="58">
        <v>62170.88461020001</v>
      </c>
      <c r="G26" s="58">
        <v>37480.243086906259</v>
      </c>
    </row>
    <row r="27" spans="1:7" ht="11.25" customHeight="1" x14ac:dyDescent="0.2">
      <c r="A27" s="65" t="s">
        <v>25</v>
      </c>
      <c r="B27" s="58">
        <v>23018.018399999994</v>
      </c>
      <c r="C27" s="58">
        <v>39152.866210200009</v>
      </c>
      <c r="D27" s="58">
        <v>11645.927617085101</v>
      </c>
      <c r="E27" s="58">
        <v>25834.315469821147</v>
      </c>
      <c r="F27" s="58">
        <v>62170.88461020001</v>
      </c>
      <c r="G27" s="58">
        <v>37480.243086906259</v>
      </c>
    </row>
    <row r="28" spans="1:7" ht="11.25" customHeight="1" x14ac:dyDescent="0.2">
      <c r="A28" s="66" t="s">
        <v>37</v>
      </c>
      <c r="B28" s="58">
        <v>6077.8079999999991</v>
      </c>
      <c r="C28" s="58">
        <v>34043.269443600002</v>
      </c>
      <c r="D28" s="58">
        <v>3163.6566073632434</v>
      </c>
      <c r="E28" s="58">
        <v>22403.937333069331</v>
      </c>
      <c r="F28" s="58">
        <v>40121.077443600007</v>
      </c>
      <c r="G28" s="58">
        <v>25567.593940432576</v>
      </c>
    </row>
    <row r="29" spans="1:7" ht="11.25" customHeight="1" x14ac:dyDescent="0.2">
      <c r="A29" s="67">
        <v>44531</v>
      </c>
      <c r="B29" s="58">
        <v>2438.9639999999999</v>
      </c>
      <c r="C29" s="58">
        <v>8776.1314182000024</v>
      </c>
      <c r="D29" s="58">
        <v>1269.5439825873223</v>
      </c>
      <c r="E29" s="58">
        <v>5775.5879953268541</v>
      </c>
      <c r="F29" s="58">
        <v>11215.095418200002</v>
      </c>
      <c r="G29" s="58">
        <v>7045.1319779141759</v>
      </c>
    </row>
    <row r="30" spans="1:7" ht="11.25" customHeight="1" x14ac:dyDescent="0.2">
      <c r="A30" s="67">
        <v>44562</v>
      </c>
      <c r="B30" s="58">
        <v>295.81200000000001</v>
      </c>
      <c r="C30" s="58">
        <v>1943.7587873999996</v>
      </c>
      <c r="D30" s="58">
        <v>153.97781376728847</v>
      </c>
      <c r="E30" s="58">
        <v>1279.1911815537812</v>
      </c>
      <c r="F30" s="58">
        <v>2239.5707873999995</v>
      </c>
      <c r="G30" s="58">
        <v>1433.1689953210698</v>
      </c>
    </row>
    <row r="31" spans="1:7" ht="11.25" customHeight="1" x14ac:dyDescent="0.2">
      <c r="A31" s="67">
        <v>44593</v>
      </c>
      <c r="B31" s="58">
        <v>292.24799999999999</v>
      </c>
      <c r="C31" s="58">
        <v>1905.9335717999998</v>
      </c>
      <c r="D31" s="58">
        <v>152.12265938455005</v>
      </c>
      <c r="E31" s="58">
        <v>1254.2983385994291</v>
      </c>
      <c r="F31" s="58">
        <v>2198.1815717999998</v>
      </c>
      <c r="G31" s="58">
        <v>1406.4209979839793</v>
      </c>
    </row>
    <row r="32" spans="1:7" ht="11.25" customHeight="1" x14ac:dyDescent="0.2">
      <c r="A32" s="67">
        <v>44621</v>
      </c>
      <c r="B32" s="58">
        <v>298.18799999999993</v>
      </c>
      <c r="C32" s="58">
        <v>1966.3963764</v>
      </c>
      <c r="D32" s="58">
        <v>155.21458335578075</v>
      </c>
      <c r="E32" s="58">
        <v>1294.08901991117</v>
      </c>
      <c r="F32" s="58">
        <v>2264.5843764000001</v>
      </c>
      <c r="G32" s="58">
        <v>1449.3036032669506</v>
      </c>
    </row>
    <row r="33" spans="1:7" ht="11.25" customHeight="1" x14ac:dyDescent="0.2">
      <c r="A33" s="67">
        <v>44652</v>
      </c>
      <c r="B33" s="58">
        <v>300.56399999999996</v>
      </c>
      <c r="C33" s="58">
        <v>1936.1119764</v>
      </c>
      <c r="D33" s="58">
        <v>156.45135294427303</v>
      </c>
      <c r="E33" s="58">
        <v>1274.1588013728574</v>
      </c>
      <c r="F33" s="58">
        <v>2236.6759763999999</v>
      </c>
      <c r="G33" s="58">
        <v>1430.6101543171303</v>
      </c>
    </row>
    <row r="34" spans="1:7" ht="11.25" customHeight="1" x14ac:dyDescent="0.2">
      <c r="A34" s="67">
        <v>44682</v>
      </c>
      <c r="B34" s="58">
        <v>299.37599999999998</v>
      </c>
      <c r="C34" s="58">
        <v>1993.2434969999999</v>
      </c>
      <c r="D34" s="58">
        <v>155.83296815002689</v>
      </c>
      <c r="E34" s="58">
        <v>1311.7571586453839</v>
      </c>
      <c r="F34" s="58">
        <v>2292.6194969999997</v>
      </c>
      <c r="G34" s="58">
        <v>1467.5901267954109</v>
      </c>
    </row>
    <row r="35" spans="1:7" ht="11.25" customHeight="1" x14ac:dyDescent="0.2">
      <c r="A35" s="67">
        <v>44713</v>
      </c>
      <c r="B35" s="58">
        <v>299.37599999999998</v>
      </c>
      <c r="C35" s="58">
        <v>1991.6687081999999</v>
      </c>
      <c r="D35" s="58">
        <v>155.83296815002689</v>
      </c>
      <c r="E35" s="58">
        <v>1310.7207872813917</v>
      </c>
      <c r="F35" s="58">
        <v>2291.0447082000001</v>
      </c>
      <c r="G35" s="58">
        <v>1466.5537554314187</v>
      </c>
    </row>
    <row r="36" spans="1:7" ht="11.25" customHeight="1" x14ac:dyDescent="0.2">
      <c r="A36" s="67">
        <v>44743</v>
      </c>
      <c r="B36" s="58">
        <v>295.81199999999995</v>
      </c>
      <c r="C36" s="58">
        <v>2135.7770256000003</v>
      </c>
      <c r="D36" s="58">
        <v>153.97781376728847</v>
      </c>
      <c r="E36" s="58">
        <v>1405.5587321959517</v>
      </c>
      <c r="F36" s="58">
        <v>2431.5890256000002</v>
      </c>
      <c r="G36" s="58">
        <v>1559.5365459632403</v>
      </c>
    </row>
    <row r="37" spans="1:7" ht="11.25" customHeight="1" x14ac:dyDescent="0.2">
      <c r="A37" s="67">
        <v>44774</v>
      </c>
      <c r="B37" s="58">
        <v>314.81999999999994</v>
      </c>
      <c r="C37" s="58">
        <v>2187.7904825999999</v>
      </c>
      <c r="D37" s="58">
        <v>163.8719704752267</v>
      </c>
      <c r="E37" s="58">
        <v>1439.7888825355035</v>
      </c>
      <c r="F37" s="58">
        <v>2502.6104826000001</v>
      </c>
      <c r="G37" s="58">
        <v>1603.6608530107301</v>
      </c>
    </row>
    <row r="38" spans="1:7" ht="11.25" customHeight="1" x14ac:dyDescent="0.2">
      <c r="A38" s="67">
        <v>44805</v>
      </c>
      <c r="B38" s="58">
        <v>335.01599999999996</v>
      </c>
      <c r="C38" s="58">
        <v>2177.8723416000003</v>
      </c>
      <c r="D38" s="58">
        <v>174.38451197741105</v>
      </c>
      <c r="E38" s="58">
        <v>1433.2617359642063</v>
      </c>
      <c r="F38" s="58">
        <v>2512.8883416000003</v>
      </c>
      <c r="G38" s="58">
        <v>1607.6462479416173</v>
      </c>
    </row>
    <row r="39" spans="1:7" ht="11.25" customHeight="1" x14ac:dyDescent="0.2">
      <c r="A39" s="67">
        <v>44835</v>
      </c>
      <c r="B39" s="58">
        <v>453.81599999999992</v>
      </c>
      <c r="C39" s="58">
        <v>3514.2926291999997</v>
      </c>
      <c r="D39" s="58">
        <v>236.22299140202489</v>
      </c>
      <c r="E39" s="58">
        <v>2312.7623498413996</v>
      </c>
      <c r="F39" s="58">
        <v>3968.1086291999995</v>
      </c>
      <c r="G39" s="58">
        <v>2548.9853412434245</v>
      </c>
    </row>
    <row r="40" spans="1:7" ht="11.25" customHeight="1" x14ac:dyDescent="0.2">
      <c r="A40" s="67">
        <v>44866</v>
      </c>
      <c r="B40" s="58">
        <v>453.81599999999992</v>
      </c>
      <c r="C40" s="58">
        <v>3514.2926291999997</v>
      </c>
      <c r="D40" s="58">
        <v>236.22299140202489</v>
      </c>
      <c r="E40" s="58">
        <v>2312.7623498413996</v>
      </c>
      <c r="F40" s="58">
        <v>3968.1086291999995</v>
      </c>
      <c r="G40" s="58">
        <v>2548.9853412434245</v>
      </c>
    </row>
    <row r="41" spans="1:7" ht="11.25" customHeight="1" x14ac:dyDescent="0.2">
      <c r="A41" s="66" t="s">
        <v>36</v>
      </c>
      <c r="B41" s="58">
        <v>16940.210399999993</v>
      </c>
      <c r="C41" s="58">
        <v>5109.5967666000006</v>
      </c>
      <c r="D41" s="58">
        <v>8482.2710097218587</v>
      </c>
      <c r="E41" s="58">
        <v>3430.378136751825</v>
      </c>
      <c r="F41" s="58">
        <v>22049.807166599992</v>
      </c>
      <c r="G41" s="58">
        <v>11912.649146473683</v>
      </c>
    </row>
    <row r="42" spans="1:7" ht="11.25" customHeight="1" x14ac:dyDescent="0.2">
      <c r="A42" s="67">
        <v>44531</v>
      </c>
      <c r="B42" s="58">
        <v>6908.3135999999995</v>
      </c>
      <c r="C42" s="58">
        <v>1349.4896315999999</v>
      </c>
      <c r="D42" s="58">
        <v>3459.118086003657</v>
      </c>
      <c r="E42" s="58">
        <v>905.99316139271241</v>
      </c>
      <c r="F42" s="58">
        <v>8257.803231599999</v>
      </c>
      <c r="G42" s="58">
        <v>4365.1112473963694</v>
      </c>
    </row>
    <row r="43" spans="1:7" ht="11.25" customHeight="1" x14ac:dyDescent="0.2">
      <c r="A43" s="67">
        <v>44562</v>
      </c>
      <c r="B43" s="58">
        <v>829.80719999999997</v>
      </c>
      <c r="C43" s="58">
        <v>348.08517600000005</v>
      </c>
      <c r="D43" s="58">
        <v>415.49953572114237</v>
      </c>
      <c r="E43" s="58">
        <v>233.69041277054791</v>
      </c>
      <c r="F43" s="58">
        <v>1177.892376</v>
      </c>
      <c r="G43" s="58">
        <v>649.1899484916903</v>
      </c>
    </row>
    <row r="44" spans="1:7" ht="11.25" customHeight="1" x14ac:dyDescent="0.2">
      <c r="A44" s="67">
        <v>44593</v>
      </c>
      <c r="B44" s="58">
        <v>816.31439999999998</v>
      </c>
      <c r="C44" s="58">
        <v>325.106448</v>
      </c>
      <c r="D44" s="58">
        <v>408.74344570941651</v>
      </c>
      <c r="E44" s="58">
        <v>218.26341730647755</v>
      </c>
      <c r="F44" s="58">
        <v>1141.420848</v>
      </c>
      <c r="G44" s="58">
        <v>627.00686301589406</v>
      </c>
    </row>
    <row r="45" spans="1:7" ht="11.25" customHeight="1" x14ac:dyDescent="0.2">
      <c r="A45" s="67">
        <v>44621</v>
      </c>
      <c r="B45" s="58">
        <v>812.94119999999987</v>
      </c>
      <c r="C45" s="58">
        <v>339.95751480000001</v>
      </c>
      <c r="D45" s="58">
        <v>407.05442320648501</v>
      </c>
      <c r="E45" s="58">
        <v>228.233827337886</v>
      </c>
      <c r="F45" s="58">
        <v>1152.8987147999999</v>
      </c>
      <c r="G45" s="58">
        <v>635.28825054437107</v>
      </c>
    </row>
    <row r="46" spans="1:7" ht="11.25" customHeight="1" x14ac:dyDescent="0.2">
      <c r="A46" s="67">
        <v>44652</v>
      </c>
      <c r="B46" s="58">
        <v>816.31439999999986</v>
      </c>
      <c r="C46" s="58">
        <v>329.51070419999996</v>
      </c>
      <c r="D46" s="58">
        <v>408.74344570941651</v>
      </c>
      <c r="E46" s="58">
        <v>221.22025810375771</v>
      </c>
      <c r="F46" s="58">
        <v>1145.8251041999997</v>
      </c>
      <c r="G46" s="58">
        <v>629.96370381317422</v>
      </c>
    </row>
    <row r="47" spans="1:7" ht="11.25" customHeight="1" x14ac:dyDescent="0.2">
      <c r="A47" s="67">
        <v>44682</v>
      </c>
      <c r="B47" s="58">
        <v>833.18039999999996</v>
      </c>
      <c r="C47" s="58">
        <v>306.27665700000006</v>
      </c>
      <c r="D47" s="58">
        <v>417.18855822407386</v>
      </c>
      <c r="E47" s="58">
        <v>205.62185157897542</v>
      </c>
      <c r="F47" s="58">
        <v>1139.4570570000001</v>
      </c>
      <c r="G47" s="58">
        <v>622.81040980304931</v>
      </c>
    </row>
    <row r="48" spans="1:7" ht="11.25" customHeight="1" x14ac:dyDescent="0.2">
      <c r="A48" s="67">
        <v>44713</v>
      </c>
      <c r="B48" s="58">
        <v>839.92679999999996</v>
      </c>
      <c r="C48" s="58">
        <v>265.17026579999998</v>
      </c>
      <c r="D48" s="58">
        <v>420.56660322993685</v>
      </c>
      <c r="E48" s="58">
        <v>178.02467080436057</v>
      </c>
      <c r="F48" s="58">
        <v>1105.0970657999999</v>
      </c>
      <c r="G48" s="58">
        <v>598.59127403429738</v>
      </c>
    </row>
    <row r="49" spans="1:7" ht="11.25" customHeight="1" x14ac:dyDescent="0.2">
      <c r="A49" s="67">
        <v>44743</v>
      </c>
      <c r="B49" s="58">
        <v>833.18039999999996</v>
      </c>
      <c r="C49" s="58">
        <v>301.42559220000004</v>
      </c>
      <c r="D49" s="58">
        <v>417.18855822407386</v>
      </c>
      <c r="E49" s="58">
        <v>202.36504142544942</v>
      </c>
      <c r="F49" s="58">
        <v>1134.6059921999999</v>
      </c>
      <c r="G49" s="58">
        <v>619.55359964952322</v>
      </c>
    </row>
    <row r="50" spans="1:7" ht="11.25" customHeight="1" x14ac:dyDescent="0.2">
      <c r="A50" s="67">
        <v>44774</v>
      </c>
      <c r="B50" s="58">
        <v>850.04639999999995</v>
      </c>
      <c r="C50" s="58">
        <v>311.59580699999998</v>
      </c>
      <c r="D50" s="58">
        <v>425.63367073873121</v>
      </c>
      <c r="E50" s="58">
        <v>209.1929153438065</v>
      </c>
      <c r="F50" s="58">
        <v>1161.6422069999999</v>
      </c>
      <c r="G50" s="58">
        <v>634.82658608253769</v>
      </c>
    </row>
    <row r="51" spans="1:7" ht="11.25" customHeight="1" x14ac:dyDescent="0.2">
      <c r="A51" s="67">
        <v>44805</v>
      </c>
      <c r="B51" s="58">
        <v>890.52479999999991</v>
      </c>
      <c r="C51" s="58">
        <v>278.93622599999998</v>
      </c>
      <c r="D51" s="58">
        <v>445.90194077390885</v>
      </c>
      <c r="E51" s="58">
        <v>187.26658382774349</v>
      </c>
      <c r="F51" s="58">
        <v>1169.4610259999999</v>
      </c>
      <c r="G51" s="58">
        <v>633.16852460165228</v>
      </c>
    </row>
    <row r="52" spans="1:7" ht="11.25" customHeight="1" x14ac:dyDescent="0.2">
      <c r="A52" s="67">
        <v>44835</v>
      </c>
      <c r="B52" s="58">
        <v>1254.8303999999998</v>
      </c>
      <c r="C52" s="58">
        <v>477.02137199999993</v>
      </c>
      <c r="D52" s="58">
        <v>628.31637109050803</v>
      </c>
      <c r="E52" s="58">
        <v>320.25299843005405</v>
      </c>
      <c r="F52" s="58">
        <v>1731.8517719999998</v>
      </c>
      <c r="G52" s="58">
        <v>948.56936952056208</v>
      </c>
    </row>
    <row r="53" spans="1:7" ht="11.25" customHeight="1" x14ac:dyDescent="0.2">
      <c r="A53" s="67">
        <v>44866</v>
      </c>
      <c r="B53" s="58">
        <v>1254.8303999999998</v>
      </c>
      <c r="C53" s="58">
        <v>477.02137199999993</v>
      </c>
      <c r="D53" s="58">
        <v>628.31637109050803</v>
      </c>
      <c r="E53" s="58">
        <v>320.25299843005405</v>
      </c>
      <c r="F53" s="58">
        <v>1731.8517719999998</v>
      </c>
      <c r="G53" s="58">
        <v>948.56936952056208</v>
      </c>
    </row>
    <row r="54" spans="1:7" ht="11.25" customHeight="1" x14ac:dyDescent="0.2">
      <c r="A54" s="61" t="s">
        <v>44</v>
      </c>
      <c r="B54" s="58">
        <v>105834.16799999999</v>
      </c>
      <c r="C54" s="58">
        <v>924096.29997539986</v>
      </c>
      <c r="D54" s="58">
        <v>55089.427780211488</v>
      </c>
      <c r="E54" s="58">
        <v>562665.36122388381</v>
      </c>
      <c r="F54" s="58">
        <v>1029930.4679754002</v>
      </c>
      <c r="G54" s="58">
        <v>617754.78900409502</v>
      </c>
    </row>
    <row r="55" spans="1:7" ht="11.25" customHeight="1" x14ac:dyDescent="0.2">
      <c r="A55" s="62" t="s">
        <v>52</v>
      </c>
      <c r="B55" s="58">
        <v>105834.16799999999</v>
      </c>
      <c r="C55" s="58">
        <v>924096.29997539986</v>
      </c>
      <c r="D55" s="58">
        <v>55089.427780211488</v>
      </c>
      <c r="E55" s="58">
        <v>562665.36122388381</v>
      </c>
      <c r="F55" s="58">
        <v>1029930.4679754002</v>
      </c>
      <c r="G55" s="58">
        <v>617754.78900409502</v>
      </c>
    </row>
    <row r="56" spans="1:7" ht="11.25" customHeight="1" x14ac:dyDescent="0.2">
      <c r="A56" s="63" t="s">
        <v>53</v>
      </c>
      <c r="B56" s="58">
        <v>105834.16799999999</v>
      </c>
      <c r="C56" s="58">
        <v>924096.29997539986</v>
      </c>
      <c r="D56" s="58">
        <v>55089.427780211488</v>
      </c>
      <c r="E56" s="58">
        <v>562665.36122388381</v>
      </c>
      <c r="F56" s="58">
        <v>1029930.4679754002</v>
      </c>
      <c r="G56" s="58">
        <v>617754.78900409502</v>
      </c>
    </row>
    <row r="57" spans="1:7" ht="11.25" customHeight="1" x14ac:dyDescent="0.2">
      <c r="A57" s="64" t="s">
        <v>25</v>
      </c>
      <c r="B57" s="58">
        <v>105834.16799999999</v>
      </c>
      <c r="C57" s="58">
        <v>924096.29997539986</v>
      </c>
      <c r="D57" s="58">
        <v>55089.427780211488</v>
      </c>
      <c r="E57" s="58">
        <v>562665.36122388381</v>
      </c>
      <c r="F57" s="58">
        <v>1029930.4679754002</v>
      </c>
      <c r="G57" s="58">
        <v>617754.78900409502</v>
      </c>
    </row>
    <row r="58" spans="1:7" ht="11.25" customHeight="1" x14ac:dyDescent="0.2">
      <c r="A58" s="65" t="s">
        <v>25</v>
      </c>
      <c r="B58" s="58">
        <v>105834.16799999999</v>
      </c>
      <c r="C58" s="58">
        <v>924096.29997539986</v>
      </c>
      <c r="D58" s="58">
        <v>55089.427780211488</v>
      </c>
      <c r="E58" s="58">
        <v>562665.36122388381</v>
      </c>
      <c r="F58" s="58">
        <v>1029930.4679754002</v>
      </c>
      <c r="G58" s="58">
        <v>617754.78900409502</v>
      </c>
    </row>
    <row r="59" spans="1:7" ht="11.25" customHeight="1" x14ac:dyDescent="0.2">
      <c r="A59" s="66" t="s">
        <v>37</v>
      </c>
      <c r="B59" s="58">
        <v>0</v>
      </c>
      <c r="C59" s="58">
        <v>551938.7471874</v>
      </c>
      <c r="D59" s="58">
        <v>0</v>
      </c>
      <c r="E59" s="58">
        <v>363231.89005584741</v>
      </c>
      <c r="F59" s="58">
        <v>551938.74718739989</v>
      </c>
      <c r="G59" s="58">
        <v>363231.89005584735</v>
      </c>
    </row>
    <row r="60" spans="1:7" ht="11.25" customHeight="1" x14ac:dyDescent="0.2">
      <c r="A60" s="67">
        <v>44531</v>
      </c>
      <c r="B60" s="58">
        <v>0</v>
      </c>
      <c r="C60" s="58">
        <v>40322.876063400006</v>
      </c>
      <c r="D60" s="58">
        <v>0</v>
      </c>
      <c r="E60" s="58">
        <v>26536.557832971852</v>
      </c>
      <c r="F60" s="58">
        <v>40322.876063400006</v>
      </c>
      <c r="G60" s="58">
        <v>26536.557832971852</v>
      </c>
    </row>
    <row r="61" spans="1:7" ht="11.25" customHeight="1" x14ac:dyDescent="0.2">
      <c r="A61" s="67">
        <v>44562</v>
      </c>
      <c r="B61" s="58">
        <v>0</v>
      </c>
      <c r="C61" s="58">
        <v>47681.712703799996</v>
      </c>
      <c r="D61" s="58">
        <v>0</v>
      </c>
      <c r="E61" s="58">
        <v>31379.421565814948</v>
      </c>
      <c r="F61" s="58">
        <v>47681.712703799996</v>
      </c>
      <c r="G61" s="58">
        <v>31379.421565814948</v>
      </c>
    </row>
    <row r="62" spans="1:7" ht="11.25" customHeight="1" x14ac:dyDescent="0.2">
      <c r="A62" s="67">
        <v>44593</v>
      </c>
      <c r="B62" s="58">
        <v>0</v>
      </c>
      <c r="C62" s="58">
        <v>43675.086583799995</v>
      </c>
      <c r="D62" s="58">
        <v>0</v>
      </c>
      <c r="E62" s="58">
        <v>28742.653653196201</v>
      </c>
      <c r="F62" s="58">
        <v>43675.086583799995</v>
      </c>
      <c r="G62" s="58">
        <v>28742.653653196201</v>
      </c>
    </row>
    <row r="63" spans="1:7" ht="11.25" customHeight="1" x14ac:dyDescent="0.2">
      <c r="A63" s="67">
        <v>44621</v>
      </c>
      <c r="B63" s="58">
        <v>0</v>
      </c>
      <c r="C63" s="58">
        <v>44856.844440599998</v>
      </c>
      <c r="D63" s="58">
        <v>0</v>
      </c>
      <c r="E63" s="58">
        <v>29520.37064099823</v>
      </c>
      <c r="F63" s="58">
        <v>44856.844440599998</v>
      </c>
      <c r="G63" s="58">
        <v>29520.37064099823</v>
      </c>
    </row>
    <row r="64" spans="1:7" ht="11.25" customHeight="1" x14ac:dyDescent="0.2">
      <c r="A64" s="67">
        <v>44652</v>
      </c>
      <c r="B64" s="58">
        <v>0</v>
      </c>
      <c r="C64" s="58">
        <v>46171.202542799998</v>
      </c>
      <c r="D64" s="58">
        <v>0</v>
      </c>
      <c r="E64" s="58">
        <v>30385.352090670265</v>
      </c>
      <c r="F64" s="58">
        <v>46171.202542799998</v>
      </c>
      <c r="G64" s="58">
        <v>30385.352090670265</v>
      </c>
    </row>
    <row r="65" spans="1:7" ht="11.25" customHeight="1" x14ac:dyDescent="0.2">
      <c r="A65" s="67">
        <v>44682</v>
      </c>
      <c r="B65" s="58">
        <v>0</v>
      </c>
      <c r="C65" s="58">
        <v>48187.734743400004</v>
      </c>
      <c r="D65" s="58">
        <v>0</v>
      </c>
      <c r="E65" s="58">
        <v>31712.435587371605</v>
      </c>
      <c r="F65" s="58">
        <v>48187.734743400004</v>
      </c>
      <c r="G65" s="58">
        <v>31712.435587371605</v>
      </c>
    </row>
    <row r="66" spans="1:7" ht="11.25" customHeight="1" x14ac:dyDescent="0.2">
      <c r="A66" s="67">
        <v>44713</v>
      </c>
      <c r="B66" s="58">
        <v>0</v>
      </c>
      <c r="C66" s="58">
        <v>44749.213683000002</v>
      </c>
      <c r="D66" s="58">
        <v>0</v>
      </c>
      <c r="E66" s="58">
        <v>29449.538644313066</v>
      </c>
      <c r="F66" s="58">
        <v>44749.213683000002</v>
      </c>
      <c r="G66" s="58">
        <v>29449.538644313066</v>
      </c>
    </row>
    <row r="67" spans="1:7" ht="11.25" customHeight="1" x14ac:dyDescent="0.2">
      <c r="A67" s="67">
        <v>44743</v>
      </c>
      <c r="B67" s="58">
        <v>0</v>
      </c>
      <c r="C67" s="58">
        <v>43247.228580599993</v>
      </c>
      <c r="D67" s="58">
        <v>0</v>
      </c>
      <c r="E67" s="58">
        <v>28461.079525686917</v>
      </c>
      <c r="F67" s="58">
        <v>43247.228580599993</v>
      </c>
      <c r="G67" s="58">
        <v>28461.079525686917</v>
      </c>
    </row>
    <row r="68" spans="1:7" ht="11.25" customHeight="1" x14ac:dyDescent="0.2">
      <c r="A68" s="67">
        <v>44774</v>
      </c>
      <c r="B68" s="58">
        <v>0</v>
      </c>
      <c r="C68" s="58">
        <v>48944.102775599997</v>
      </c>
      <c r="D68" s="58">
        <v>0</v>
      </c>
      <c r="E68" s="58">
        <v>32210.202760475237</v>
      </c>
      <c r="F68" s="58">
        <v>48944.102775599997</v>
      </c>
      <c r="G68" s="58">
        <v>32210.202760475237</v>
      </c>
    </row>
    <row r="69" spans="1:7" ht="11.25" customHeight="1" x14ac:dyDescent="0.2">
      <c r="A69" s="67">
        <v>44805</v>
      </c>
      <c r="B69" s="58">
        <v>0</v>
      </c>
      <c r="C69" s="58">
        <v>47464.952110799997</v>
      </c>
      <c r="D69" s="58">
        <v>0</v>
      </c>
      <c r="E69" s="58">
        <v>31236.771026626975</v>
      </c>
      <c r="F69" s="58">
        <v>47464.952110799997</v>
      </c>
      <c r="G69" s="58">
        <v>31236.771026626975</v>
      </c>
    </row>
    <row r="70" spans="1:7" ht="11.25" customHeight="1" x14ac:dyDescent="0.2">
      <c r="A70" s="67">
        <v>44835</v>
      </c>
      <c r="B70" s="58">
        <v>0</v>
      </c>
      <c r="C70" s="58">
        <v>48318.896479800009</v>
      </c>
      <c r="D70" s="58">
        <v>0</v>
      </c>
      <c r="E70" s="58">
        <v>31798.753363861048</v>
      </c>
      <c r="F70" s="58">
        <v>48318.896479800009</v>
      </c>
      <c r="G70" s="58">
        <v>31798.753363861048</v>
      </c>
    </row>
    <row r="71" spans="1:7" ht="11.25" customHeight="1" x14ac:dyDescent="0.2">
      <c r="A71" s="67">
        <v>44866</v>
      </c>
      <c r="B71" s="58">
        <v>0</v>
      </c>
      <c r="C71" s="58">
        <v>48318.896479800009</v>
      </c>
      <c r="D71" s="58">
        <v>0</v>
      </c>
      <c r="E71" s="58">
        <v>31798.753363861048</v>
      </c>
      <c r="F71" s="58">
        <v>48318.896479800009</v>
      </c>
      <c r="G71" s="58">
        <v>31798.753363861048</v>
      </c>
    </row>
    <row r="72" spans="1:7" ht="11.25" customHeight="1" x14ac:dyDescent="0.2">
      <c r="A72" s="66" t="s">
        <v>25</v>
      </c>
      <c r="B72" s="58">
        <v>105834.16799999999</v>
      </c>
      <c r="C72" s="58">
        <v>0</v>
      </c>
      <c r="D72" s="58">
        <v>55089.427780211488</v>
      </c>
      <c r="E72" s="58">
        <v>0</v>
      </c>
      <c r="F72" s="58">
        <v>105834.16800000001</v>
      </c>
      <c r="G72" s="58">
        <v>55089.427780211481</v>
      </c>
    </row>
    <row r="73" spans="1:7" ht="11.25" customHeight="1" x14ac:dyDescent="0.2">
      <c r="A73" s="67">
        <v>44531</v>
      </c>
      <c r="B73" s="58">
        <v>7912.079999999999</v>
      </c>
      <c r="C73" s="58">
        <v>0</v>
      </c>
      <c r="D73" s="58">
        <v>4118.4427296792819</v>
      </c>
      <c r="E73" s="58">
        <v>0</v>
      </c>
      <c r="F73" s="58">
        <v>7912.079999999999</v>
      </c>
      <c r="G73" s="58">
        <v>4118.4427296792819</v>
      </c>
    </row>
    <row r="74" spans="1:7" ht="11.25" customHeight="1" x14ac:dyDescent="0.2">
      <c r="A74" s="67">
        <v>44562</v>
      </c>
      <c r="B74" s="58">
        <v>9028.7999999999993</v>
      </c>
      <c r="C74" s="58">
        <v>0</v>
      </c>
      <c r="D74" s="58">
        <v>4699.7244362706515</v>
      </c>
      <c r="E74" s="58">
        <v>0</v>
      </c>
      <c r="F74" s="58">
        <v>9028.7999999999993</v>
      </c>
      <c r="G74" s="58">
        <v>4699.7244362706515</v>
      </c>
    </row>
    <row r="75" spans="1:7" ht="11.25" customHeight="1" x14ac:dyDescent="0.2">
      <c r="A75" s="67">
        <v>44593</v>
      </c>
      <c r="B75" s="58">
        <v>8790.0120000000006</v>
      </c>
      <c r="C75" s="58">
        <v>0</v>
      </c>
      <c r="D75" s="58">
        <v>4575.4290926271788</v>
      </c>
      <c r="E75" s="58">
        <v>0</v>
      </c>
      <c r="F75" s="58">
        <v>8790.0120000000006</v>
      </c>
      <c r="G75" s="58">
        <v>4575.4290926271788</v>
      </c>
    </row>
    <row r="76" spans="1:7" ht="11.25" customHeight="1" x14ac:dyDescent="0.2">
      <c r="A76" s="67">
        <v>44621</v>
      </c>
      <c r="B76" s="58">
        <v>8797.14</v>
      </c>
      <c r="C76" s="58">
        <v>0</v>
      </c>
      <c r="D76" s="58">
        <v>4579.1394013926556</v>
      </c>
      <c r="E76" s="58">
        <v>0</v>
      </c>
      <c r="F76" s="58">
        <v>8797.14</v>
      </c>
      <c r="G76" s="58">
        <v>4579.1394013926556</v>
      </c>
    </row>
    <row r="77" spans="1:7" ht="11.25" customHeight="1" x14ac:dyDescent="0.2">
      <c r="A77" s="67">
        <v>44652</v>
      </c>
      <c r="B77" s="58">
        <v>8768.6279999999988</v>
      </c>
      <c r="C77" s="58">
        <v>0</v>
      </c>
      <c r="D77" s="58">
        <v>4564.2981663307473</v>
      </c>
      <c r="E77" s="58">
        <v>0</v>
      </c>
      <c r="F77" s="58">
        <v>8768.6279999999988</v>
      </c>
      <c r="G77" s="58">
        <v>4564.2981663307473</v>
      </c>
    </row>
    <row r="78" spans="1:7" ht="11.25" customHeight="1" x14ac:dyDescent="0.2">
      <c r="A78" s="67">
        <v>44682</v>
      </c>
      <c r="B78" s="58">
        <v>8744.8679999999986</v>
      </c>
      <c r="C78" s="58">
        <v>0</v>
      </c>
      <c r="D78" s="58">
        <v>4551.9304704458254</v>
      </c>
      <c r="E78" s="58">
        <v>0</v>
      </c>
      <c r="F78" s="58">
        <v>8744.8679999999986</v>
      </c>
      <c r="G78" s="58">
        <v>4551.9304704458254</v>
      </c>
    </row>
    <row r="79" spans="1:7" ht="11.25" customHeight="1" x14ac:dyDescent="0.2">
      <c r="A79" s="67">
        <v>44713</v>
      </c>
      <c r="B79" s="58">
        <v>8836.344000000001</v>
      </c>
      <c r="C79" s="58">
        <v>0</v>
      </c>
      <c r="D79" s="58">
        <v>4599.5460996027778</v>
      </c>
      <c r="E79" s="58">
        <v>0</v>
      </c>
      <c r="F79" s="58">
        <v>8836.344000000001</v>
      </c>
      <c r="G79" s="58">
        <v>4599.5460996027778</v>
      </c>
    </row>
    <row r="80" spans="1:7" ht="11.25" customHeight="1" x14ac:dyDescent="0.2">
      <c r="A80" s="67">
        <v>44743</v>
      </c>
      <c r="B80" s="58">
        <v>8614.1880000000001</v>
      </c>
      <c r="C80" s="58">
        <v>0</v>
      </c>
      <c r="D80" s="58">
        <v>4483.9081430787501</v>
      </c>
      <c r="E80" s="58">
        <v>0</v>
      </c>
      <c r="F80" s="58">
        <v>8614.1880000000001</v>
      </c>
      <c r="G80" s="58">
        <v>4483.9081430787501</v>
      </c>
    </row>
    <row r="81" spans="1:7" ht="11.25" customHeight="1" x14ac:dyDescent="0.2">
      <c r="A81" s="67">
        <v>44774</v>
      </c>
      <c r="B81" s="58">
        <v>8692.5959999999977</v>
      </c>
      <c r="C81" s="58">
        <v>0</v>
      </c>
      <c r="D81" s="58">
        <v>4524.7215394989953</v>
      </c>
      <c r="E81" s="58">
        <v>0</v>
      </c>
      <c r="F81" s="58">
        <v>8692.5959999999977</v>
      </c>
      <c r="G81" s="58">
        <v>4524.7215394989953</v>
      </c>
    </row>
    <row r="82" spans="1:7" ht="11.25" customHeight="1" x14ac:dyDescent="0.2">
      <c r="A82" s="67">
        <v>44805</v>
      </c>
      <c r="B82" s="58">
        <v>9035.9279999999999</v>
      </c>
      <c r="C82" s="58">
        <v>0</v>
      </c>
      <c r="D82" s="58">
        <v>4703.4347450361283</v>
      </c>
      <c r="E82" s="58">
        <v>0</v>
      </c>
      <c r="F82" s="58">
        <v>9035.9279999999999</v>
      </c>
      <c r="G82" s="58">
        <v>4703.4347450361283</v>
      </c>
    </row>
    <row r="83" spans="1:7" ht="11.25" customHeight="1" x14ac:dyDescent="0.2">
      <c r="A83" s="67">
        <v>44835</v>
      </c>
      <c r="B83" s="58">
        <v>9306.7919999999995</v>
      </c>
      <c r="C83" s="58">
        <v>0</v>
      </c>
      <c r="D83" s="58">
        <v>4844.4264781242482</v>
      </c>
      <c r="E83" s="58">
        <v>0</v>
      </c>
      <c r="F83" s="58">
        <v>9306.7919999999995</v>
      </c>
      <c r="G83" s="58">
        <v>4844.4264781242482</v>
      </c>
    </row>
    <row r="84" spans="1:7" ht="11.25" customHeight="1" x14ac:dyDescent="0.2">
      <c r="A84" s="67">
        <v>44866</v>
      </c>
      <c r="B84" s="58">
        <v>9306.7919999999995</v>
      </c>
      <c r="C84" s="58">
        <v>0</v>
      </c>
      <c r="D84" s="58">
        <v>4844.4264781242482</v>
      </c>
      <c r="E84" s="58">
        <v>0</v>
      </c>
      <c r="F84" s="58">
        <v>9306.7919999999995</v>
      </c>
      <c r="G84" s="58">
        <v>4844.4264781242482</v>
      </c>
    </row>
    <row r="85" spans="1:7" ht="11.25" customHeight="1" x14ac:dyDescent="0.2">
      <c r="A85" s="66" t="s">
        <v>36</v>
      </c>
      <c r="B85" s="58">
        <v>0</v>
      </c>
      <c r="C85" s="58">
        <v>372157.55278799997</v>
      </c>
      <c r="D85" s="58">
        <v>0</v>
      </c>
      <c r="E85" s="58">
        <v>199433.47116803622</v>
      </c>
      <c r="F85" s="58">
        <v>372157.55278800009</v>
      </c>
      <c r="G85" s="58">
        <v>199433.47116803622</v>
      </c>
    </row>
    <row r="86" spans="1:7" ht="11.25" customHeight="1" x14ac:dyDescent="0.2">
      <c r="A86" s="67">
        <v>44531</v>
      </c>
      <c r="B86" s="58">
        <v>0</v>
      </c>
      <c r="C86" s="58">
        <v>28169.731248000004</v>
      </c>
      <c r="D86" s="58">
        <v>0</v>
      </c>
      <c r="E86" s="58">
        <v>15095.722880195393</v>
      </c>
      <c r="F86" s="58">
        <v>28169.731248000004</v>
      </c>
      <c r="G86" s="58">
        <v>15095.722880195393</v>
      </c>
    </row>
    <row r="87" spans="1:7" ht="11.25" customHeight="1" x14ac:dyDescent="0.2">
      <c r="A87" s="67">
        <v>44562</v>
      </c>
      <c r="B87" s="58">
        <v>0</v>
      </c>
      <c r="C87" s="58">
        <v>32271.301059600006</v>
      </c>
      <c r="D87" s="58">
        <v>0</v>
      </c>
      <c r="E87" s="58">
        <v>17293.690645829825</v>
      </c>
      <c r="F87" s="58">
        <v>32271.301059600006</v>
      </c>
      <c r="G87" s="58">
        <v>17293.690645829825</v>
      </c>
    </row>
    <row r="88" spans="1:7" ht="11.25" customHeight="1" x14ac:dyDescent="0.2">
      <c r="A88" s="67">
        <v>44593</v>
      </c>
      <c r="B88" s="58">
        <v>0</v>
      </c>
      <c r="C88" s="58">
        <v>29248.0167348</v>
      </c>
      <c r="D88" s="58">
        <v>0</v>
      </c>
      <c r="E88" s="58">
        <v>15673.55937963396</v>
      </c>
      <c r="F88" s="58">
        <v>29248.0167348</v>
      </c>
      <c r="G88" s="58">
        <v>15673.55937963396</v>
      </c>
    </row>
    <row r="89" spans="1:7" ht="11.25" customHeight="1" x14ac:dyDescent="0.2">
      <c r="A89" s="67">
        <v>44621</v>
      </c>
      <c r="B89" s="58">
        <v>0</v>
      </c>
      <c r="C89" s="58">
        <v>30762.444098399996</v>
      </c>
      <c r="D89" s="58">
        <v>0</v>
      </c>
      <c r="E89" s="58">
        <v>16485.117558937272</v>
      </c>
      <c r="F89" s="58">
        <v>30762.444098399996</v>
      </c>
      <c r="G89" s="58">
        <v>16485.117558937272</v>
      </c>
    </row>
    <row r="90" spans="1:7" ht="11.25" customHeight="1" x14ac:dyDescent="0.2">
      <c r="A90" s="67">
        <v>44652</v>
      </c>
      <c r="B90" s="58">
        <v>0</v>
      </c>
      <c r="C90" s="58">
        <v>29416.779296400004</v>
      </c>
      <c r="D90" s="58">
        <v>0</v>
      </c>
      <c r="E90" s="58">
        <v>15763.996623782192</v>
      </c>
      <c r="F90" s="58">
        <v>29416.779296400004</v>
      </c>
      <c r="G90" s="58">
        <v>15763.996623782192</v>
      </c>
    </row>
    <row r="91" spans="1:7" ht="11.25" customHeight="1" x14ac:dyDescent="0.2">
      <c r="A91" s="67">
        <v>44682</v>
      </c>
      <c r="B91" s="58">
        <v>0</v>
      </c>
      <c r="C91" s="58">
        <v>31489.0721448</v>
      </c>
      <c r="D91" s="58">
        <v>0</v>
      </c>
      <c r="E91" s="58">
        <v>16874.506280074285</v>
      </c>
      <c r="F91" s="58">
        <v>31489.0721448</v>
      </c>
      <c r="G91" s="58">
        <v>16874.506280074285</v>
      </c>
    </row>
    <row r="92" spans="1:7" ht="11.25" customHeight="1" x14ac:dyDescent="0.2">
      <c r="A92" s="67">
        <v>44713</v>
      </c>
      <c r="B92" s="58">
        <v>0</v>
      </c>
      <c r="C92" s="58">
        <v>30305.774257200002</v>
      </c>
      <c r="D92" s="58">
        <v>0</v>
      </c>
      <c r="E92" s="58">
        <v>16240.395260743975</v>
      </c>
      <c r="F92" s="58">
        <v>30305.774257200002</v>
      </c>
      <c r="G92" s="58">
        <v>16240.395260743975</v>
      </c>
    </row>
    <row r="93" spans="1:7" ht="11.25" customHeight="1" x14ac:dyDescent="0.2">
      <c r="A93" s="67">
        <v>44743</v>
      </c>
      <c r="B93" s="58">
        <v>0</v>
      </c>
      <c r="C93" s="58">
        <v>32152.6721196</v>
      </c>
      <c r="D93" s="58">
        <v>0</v>
      </c>
      <c r="E93" s="58">
        <v>17230.119233378435</v>
      </c>
      <c r="F93" s="58">
        <v>32152.6721196</v>
      </c>
      <c r="G93" s="58">
        <v>17230.119233378435</v>
      </c>
    </row>
    <row r="94" spans="1:7" ht="11.25" customHeight="1" x14ac:dyDescent="0.2">
      <c r="A94" s="67">
        <v>44774</v>
      </c>
      <c r="B94" s="58">
        <v>0</v>
      </c>
      <c r="C94" s="58">
        <v>33800.3765184</v>
      </c>
      <c r="D94" s="58">
        <v>0</v>
      </c>
      <c r="E94" s="58">
        <v>18113.098512583652</v>
      </c>
      <c r="F94" s="58">
        <v>33800.3765184</v>
      </c>
      <c r="G94" s="58">
        <v>18113.098512583652</v>
      </c>
    </row>
    <row r="95" spans="1:7" ht="11.25" customHeight="1" x14ac:dyDescent="0.2">
      <c r="A95" s="67">
        <v>44805</v>
      </c>
      <c r="B95" s="58">
        <v>0</v>
      </c>
      <c r="C95" s="58">
        <v>32900.550219600002</v>
      </c>
      <c r="D95" s="58">
        <v>0</v>
      </c>
      <c r="E95" s="58">
        <v>17630.895529267615</v>
      </c>
      <c r="F95" s="58">
        <v>32900.550219600002</v>
      </c>
      <c r="G95" s="58">
        <v>17630.895529267615</v>
      </c>
    </row>
    <row r="96" spans="1:7" ht="11.25" customHeight="1" x14ac:dyDescent="0.2">
      <c r="A96" s="67">
        <v>44835</v>
      </c>
      <c r="B96" s="58">
        <v>0</v>
      </c>
      <c r="C96" s="58">
        <v>30820.417545600001</v>
      </c>
      <c r="D96" s="58">
        <v>0</v>
      </c>
      <c r="E96" s="58">
        <v>16516.184631804819</v>
      </c>
      <c r="F96" s="58">
        <v>30820.417545600001</v>
      </c>
      <c r="G96" s="58">
        <v>16516.184631804819</v>
      </c>
    </row>
    <row r="97" spans="1:7" ht="11.25" customHeight="1" x14ac:dyDescent="0.2">
      <c r="A97" s="67">
        <v>44866</v>
      </c>
      <c r="B97" s="58">
        <v>0</v>
      </c>
      <c r="C97" s="58">
        <v>30820.417545600001</v>
      </c>
      <c r="D97" s="58">
        <v>0</v>
      </c>
      <c r="E97" s="58">
        <v>16516.184631804819</v>
      </c>
      <c r="F97" s="58">
        <v>30820.417545600001</v>
      </c>
      <c r="G97" s="58">
        <v>16516.184631804819</v>
      </c>
    </row>
    <row r="98" spans="1:7" ht="11.25" customHeight="1" x14ac:dyDescent="0.2">
      <c r="A98" s="60" t="s">
        <v>39</v>
      </c>
      <c r="B98" s="58">
        <v>0</v>
      </c>
      <c r="C98" s="58">
        <v>358727.18045159994</v>
      </c>
      <c r="D98" s="58">
        <v>0</v>
      </c>
      <c r="E98" s="58">
        <v>205345.13668104788</v>
      </c>
      <c r="F98" s="58">
        <v>358727.18045160006</v>
      </c>
      <c r="G98" s="58">
        <v>205345.13668104794</v>
      </c>
    </row>
    <row r="99" spans="1:7" ht="11.25" customHeight="1" x14ac:dyDescent="0.2">
      <c r="A99" s="61" t="s">
        <v>23</v>
      </c>
      <c r="B99" s="58">
        <v>0</v>
      </c>
      <c r="C99" s="58">
        <v>358727.18045159994</v>
      </c>
      <c r="D99" s="58">
        <v>0</v>
      </c>
      <c r="E99" s="58">
        <v>205345.13668104788</v>
      </c>
      <c r="F99" s="58">
        <v>358727.18045160006</v>
      </c>
      <c r="G99" s="58">
        <v>205345.13668104794</v>
      </c>
    </row>
    <row r="100" spans="1:7" ht="11.25" customHeight="1" x14ac:dyDescent="0.2">
      <c r="A100" s="62" t="s">
        <v>52</v>
      </c>
      <c r="B100" s="58">
        <v>0</v>
      </c>
      <c r="C100" s="58">
        <v>358727.18045159994</v>
      </c>
      <c r="D100" s="58">
        <v>0</v>
      </c>
      <c r="E100" s="58">
        <v>205345.13668104788</v>
      </c>
      <c r="F100" s="58">
        <v>358727.18045160006</v>
      </c>
      <c r="G100" s="58">
        <v>205345.13668104794</v>
      </c>
    </row>
    <row r="101" spans="1:7" ht="11.25" customHeight="1" x14ac:dyDescent="0.2">
      <c r="A101" s="63" t="s">
        <v>53</v>
      </c>
      <c r="B101" s="58">
        <v>0</v>
      </c>
      <c r="C101" s="58">
        <v>358727.18045159994</v>
      </c>
      <c r="D101" s="58">
        <v>0</v>
      </c>
      <c r="E101" s="58">
        <v>205345.13668104788</v>
      </c>
      <c r="F101" s="58">
        <v>358727.18045160006</v>
      </c>
      <c r="G101" s="58">
        <v>205345.13668104794</v>
      </c>
    </row>
    <row r="102" spans="1:7" ht="11.25" customHeight="1" x14ac:dyDescent="0.2">
      <c r="A102" s="64" t="s">
        <v>25</v>
      </c>
      <c r="B102" s="58">
        <v>0</v>
      </c>
      <c r="C102" s="58">
        <v>358727.18045159994</v>
      </c>
      <c r="D102" s="58">
        <v>0</v>
      </c>
      <c r="E102" s="58">
        <v>205345.13668104788</v>
      </c>
      <c r="F102" s="58">
        <v>358727.18045160006</v>
      </c>
      <c r="G102" s="58">
        <v>205345.13668104794</v>
      </c>
    </row>
    <row r="103" spans="1:7" ht="11.25" customHeight="1" x14ac:dyDescent="0.2">
      <c r="A103" s="65" t="s">
        <v>25</v>
      </c>
      <c r="B103" s="58">
        <v>0</v>
      </c>
      <c r="C103" s="58">
        <v>358727.18045159994</v>
      </c>
      <c r="D103" s="58">
        <v>0</v>
      </c>
      <c r="E103" s="58">
        <v>205345.13668104788</v>
      </c>
      <c r="F103" s="58">
        <v>358727.18045160006</v>
      </c>
      <c r="G103" s="58">
        <v>205345.13668104794</v>
      </c>
    </row>
    <row r="104" spans="1:7" ht="11.25" customHeight="1" x14ac:dyDescent="0.2">
      <c r="A104" s="66" t="s">
        <v>25</v>
      </c>
      <c r="B104" s="58">
        <v>0</v>
      </c>
      <c r="C104" s="58">
        <v>358727.18045159994</v>
      </c>
      <c r="D104" s="58">
        <v>0</v>
      </c>
      <c r="E104" s="58">
        <v>205345.13668104788</v>
      </c>
      <c r="F104" s="58">
        <v>358727.18045160006</v>
      </c>
      <c r="G104" s="58">
        <v>205345.13668104794</v>
      </c>
    </row>
    <row r="105" spans="1:7" ht="11.25" customHeight="1" x14ac:dyDescent="0.2">
      <c r="A105" s="67">
        <v>44531</v>
      </c>
      <c r="B105" s="58">
        <v>0</v>
      </c>
      <c r="C105" s="58">
        <v>30217.084965599999</v>
      </c>
      <c r="D105" s="58">
        <v>0</v>
      </c>
      <c r="E105" s="58">
        <v>17297.076386998637</v>
      </c>
      <c r="F105" s="58">
        <v>30217.084965599999</v>
      </c>
      <c r="G105" s="58">
        <v>17297.076386998637</v>
      </c>
    </row>
    <row r="106" spans="1:7" ht="11.25" customHeight="1" x14ac:dyDescent="0.2">
      <c r="A106" s="67">
        <v>44562</v>
      </c>
      <c r="B106" s="58">
        <v>0</v>
      </c>
      <c r="C106" s="58">
        <v>31151.120389200001</v>
      </c>
      <c r="D106" s="58">
        <v>0</v>
      </c>
      <c r="E106" s="58">
        <v>17831.743516159651</v>
      </c>
      <c r="F106" s="58">
        <v>31151.120389200001</v>
      </c>
      <c r="G106" s="58">
        <v>17831.743516159651</v>
      </c>
    </row>
    <row r="107" spans="1:7" ht="11.25" customHeight="1" x14ac:dyDescent="0.2">
      <c r="A107" s="67">
        <v>44593</v>
      </c>
      <c r="B107" s="58">
        <v>0</v>
      </c>
      <c r="C107" s="58">
        <v>30331.395506399997</v>
      </c>
      <c r="D107" s="58">
        <v>0</v>
      </c>
      <c r="E107" s="58">
        <v>17362.510831065883</v>
      </c>
      <c r="F107" s="58">
        <v>30331.395506399997</v>
      </c>
      <c r="G107" s="58">
        <v>17362.510831065883</v>
      </c>
    </row>
    <row r="108" spans="1:7" ht="11.25" customHeight="1" x14ac:dyDescent="0.2">
      <c r="A108" s="67">
        <v>44621</v>
      </c>
      <c r="B108" s="58">
        <v>0</v>
      </c>
      <c r="C108" s="58">
        <v>29060.497366799998</v>
      </c>
      <c r="D108" s="58">
        <v>0</v>
      </c>
      <c r="E108" s="58">
        <v>16635.014375806164</v>
      </c>
      <c r="F108" s="58">
        <v>29060.497366799998</v>
      </c>
      <c r="G108" s="58">
        <v>16635.014375806164</v>
      </c>
    </row>
    <row r="109" spans="1:7" ht="11.25" customHeight="1" x14ac:dyDescent="0.2">
      <c r="A109" s="67">
        <v>44652</v>
      </c>
      <c r="B109" s="58">
        <v>0</v>
      </c>
      <c r="C109" s="58">
        <v>32599.476424799999</v>
      </c>
      <c r="D109" s="58">
        <v>0</v>
      </c>
      <c r="E109" s="58">
        <v>18660.821668862471</v>
      </c>
      <c r="F109" s="58">
        <v>32599.476424799999</v>
      </c>
      <c r="G109" s="58">
        <v>18660.821668862471</v>
      </c>
    </row>
    <row r="110" spans="1:7" ht="11.25" customHeight="1" x14ac:dyDescent="0.2">
      <c r="A110" s="67">
        <v>44682</v>
      </c>
      <c r="B110" s="58">
        <v>0</v>
      </c>
      <c r="C110" s="58">
        <v>29795.065505999999</v>
      </c>
      <c r="D110" s="58">
        <v>0</v>
      </c>
      <c r="E110" s="58">
        <v>17055.501038555485</v>
      </c>
      <c r="F110" s="58">
        <v>29795.065505999999</v>
      </c>
      <c r="G110" s="58">
        <v>17055.501038555485</v>
      </c>
    </row>
    <row r="111" spans="1:7" ht="11.25" customHeight="1" x14ac:dyDescent="0.2">
      <c r="A111" s="67">
        <v>44713</v>
      </c>
      <c r="B111" s="58">
        <v>0</v>
      </c>
      <c r="C111" s="58">
        <v>32039.178085199997</v>
      </c>
      <c r="D111" s="58">
        <v>0</v>
      </c>
      <c r="E111" s="58">
        <v>18340.091750983138</v>
      </c>
      <c r="F111" s="58">
        <v>32039.178085199997</v>
      </c>
      <c r="G111" s="58">
        <v>18340.091750983138</v>
      </c>
    </row>
    <row r="112" spans="1:7" ht="11.25" customHeight="1" x14ac:dyDescent="0.2">
      <c r="A112" s="67">
        <v>44743</v>
      </c>
      <c r="B112" s="58">
        <v>0</v>
      </c>
      <c r="C112" s="58">
        <v>32123.105683199999</v>
      </c>
      <c r="D112" s="58">
        <v>0</v>
      </c>
      <c r="E112" s="58">
        <v>18388.134177154818</v>
      </c>
      <c r="F112" s="58">
        <v>32123.105683199999</v>
      </c>
      <c r="G112" s="58">
        <v>18388.134177154818</v>
      </c>
    </row>
    <row r="113" spans="1:7" ht="11.25" customHeight="1" x14ac:dyDescent="0.2">
      <c r="A113" s="67">
        <v>44774</v>
      </c>
      <c r="B113" s="58">
        <v>0</v>
      </c>
      <c r="C113" s="58">
        <v>28593.729325200002</v>
      </c>
      <c r="D113" s="58">
        <v>0</v>
      </c>
      <c r="E113" s="58">
        <v>16367.82372919825</v>
      </c>
      <c r="F113" s="58">
        <v>28593.729325200002</v>
      </c>
      <c r="G113" s="58">
        <v>16367.82372919825</v>
      </c>
    </row>
    <row r="114" spans="1:7" ht="11.25" customHeight="1" x14ac:dyDescent="0.2">
      <c r="A114" s="67">
        <v>44805</v>
      </c>
      <c r="B114" s="58">
        <v>0</v>
      </c>
      <c r="C114" s="58">
        <v>31128.496427999999</v>
      </c>
      <c r="D114" s="58">
        <v>0</v>
      </c>
      <c r="E114" s="58">
        <v>17818.792949104678</v>
      </c>
      <c r="F114" s="58">
        <v>31128.496427999999</v>
      </c>
      <c r="G114" s="58">
        <v>17818.792949104678</v>
      </c>
    </row>
    <row r="115" spans="1:7" ht="11.25" customHeight="1" x14ac:dyDescent="0.2">
      <c r="A115" s="67">
        <v>44835</v>
      </c>
      <c r="B115" s="58">
        <v>0</v>
      </c>
      <c r="C115" s="58">
        <v>25844.0153856</v>
      </c>
      <c r="D115" s="58">
        <v>0</v>
      </c>
      <c r="E115" s="58">
        <v>14793.813128579359</v>
      </c>
      <c r="F115" s="58">
        <v>25844.0153856</v>
      </c>
      <c r="G115" s="58">
        <v>14793.813128579359</v>
      </c>
    </row>
    <row r="116" spans="1:7" ht="11.25" customHeight="1" x14ac:dyDescent="0.2">
      <c r="A116" s="67">
        <v>44866</v>
      </c>
      <c r="B116" s="58">
        <v>0</v>
      </c>
      <c r="C116" s="58">
        <v>25844.0153856</v>
      </c>
      <c r="D116" s="58">
        <v>0</v>
      </c>
      <c r="E116" s="58">
        <v>14793.813128579359</v>
      </c>
      <c r="F116" s="58">
        <v>25844.0153856</v>
      </c>
      <c r="G116" s="58">
        <v>14793.813128579359</v>
      </c>
    </row>
    <row r="117" spans="1:7" ht="11.25" customHeight="1" x14ac:dyDescent="0.2">
      <c r="A117" s="59" t="s">
        <v>938</v>
      </c>
      <c r="B117" s="58">
        <v>0</v>
      </c>
      <c r="C117" s="58">
        <v>20893414.175170004</v>
      </c>
      <c r="D117" s="58">
        <v>0</v>
      </c>
      <c r="E117" s="58">
        <v>23417873.515455231</v>
      </c>
      <c r="F117" s="58">
        <v>20893414.175170004</v>
      </c>
      <c r="G117" s="58">
        <v>23417873.515455231</v>
      </c>
    </row>
    <row r="118" spans="1:7" ht="11.25" customHeight="1" x14ac:dyDescent="0.2">
      <c r="A118" s="60" t="s">
        <v>22</v>
      </c>
      <c r="B118" s="58">
        <v>0</v>
      </c>
      <c r="C118" s="58">
        <v>20893414.175170004</v>
      </c>
      <c r="D118" s="58">
        <v>0</v>
      </c>
      <c r="E118" s="58">
        <v>23417873.515455231</v>
      </c>
      <c r="F118" s="58">
        <v>20893414.175170004</v>
      </c>
      <c r="G118" s="58">
        <v>23417873.515455231</v>
      </c>
    </row>
    <row r="119" spans="1:7" ht="11.25" customHeight="1" x14ac:dyDescent="0.2">
      <c r="A119" s="61" t="s">
        <v>23</v>
      </c>
      <c r="B119" s="58">
        <v>0</v>
      </c>
      <c r="C119" s="58">
        <v>20893414.175170004</v>
      </c>
      <c r="D119" s="58">
        <v>0</v>
      </c>
      <c r="E119" s="58">
        <v>23417873.515455231</v>
      </c>
      <c r="F119" s="58">
        <v>20893414.175170004</v>
      </c>
      <c r="G119" s="58">
        <v>23417873.515455231</v>
      </c>
    </row>
    <row r="120" spans="1:7" ht="11.25" customHeight="1" x14ac:dyDescent="0.2">
      <c r="A120" s="62" t="s">
        <v>24</v>
      </c>
      <c r="B120" s="58">
        <v>0</v>
      </c>
      <c r="C120" s="58">
        <v>20893414.175170004</v>
      </c>
      <c r="D120" s="58">
        <v>0</v>
      </c>
      <c r="E120" s="58">
        <v>23417873.515455231</v>
      </c>
      <c r="F120" s="58">
        <v>20893414.175170004</v>
      </c>
      <c r="G120" s="58">
        <v>23417873.515455231</v>
      </c>
    </row>
    <row r="121" spans="1:7" ht="11.25" customHeight="1" x14ac:dyDescent="0.2">
      <c r="A121" s="63" t="s">
        <v>31</v>
      </c>
      <c r="B121" s="58">
        <v>0</v>
      </c>
      <c r="C121" s="58">
        <v>8684672.9072399996</v>
      </c>
      <c r="D121" s="58">
        <v>0</v>
      </c>
      <c r="E121" s="58">
        <v>9733928.3922404684</v>
      </c>
      <c r="F121" s="58">
        <v>8684672.9072400015</v>
      </c>
      <c r="G121" s="58">
        <v>9733928.3922404703</v>
      </c>
    </row>
    <row r="122" spans="1:7" ht="11.25" customHeight="1" x14ac:dyDescent="0.2">
      <c r="A122" s="64" t="s">
        <v>25</v>
      </c>
      <c r="B122" s="58">
        <v>0</v>
      </c>
      <c r="C122" s="58">
        <v>8684672.9072399996</v>
      </c>
      <c r="D122" s="58">
        <v>0</v>
      </c>
      <c r="E122" s="58">
        <v>9733928.3922404684</v>
      </c>
      <c r="F122" s="58">
        <v>8684672.9072400015</v>
      </c>
      <c r="G122" s="58">
        <v>9733928.3922404703</v>
      </c>
    </row>
    <row r="123" spans="1:7" ht="11.25" customHeight="1" x14ac:dyDescent="0.2">
      <c r="A123" s="65" t="s">
        <v>25</v>
      </c>
      <c r="B123" s="58">
        <v>0</v>
      </c>
      <c r="C123" s="58">
        <v>8684672.9072399996</v>
      </c>
      <c r="D123" s="58">
        <v>0</v>
      </c>
      <c r="E123" s="58">
        <v>9733928.3922404684</v>
      </c>
      <c r="F123" s="58">
        <v>8684672.9072400015</v>
      </c>
      <c r="G123" s="58">
        <v>9733928.3922404703</v>
      </c>
    </row>
    <row r="124" spans="1:7" ht="11.25" customHeight="1" x14ac:dyDescent="0.2">
      <c r="A124" s="66" t="s">
        <v>25</v>
      </c>
      <c r="B124" s="58">
        <v>0</v>
      </c>
      <c r="C124" s="58">
        <v>8684672.9072399996</v>
      </c>
      <c r="D124" s="58">
        <v>0</v>
      </c>
      <c r="E124" s="58">
        <v>9733928.3922404684</v>
      </c>
      <c r="F124" s="58">
        <v>8684672.9072400015</v>
      </c>
      <c r="G124" s="58">
        <v>9733928.3922404703</v>
      </c>
    </row>
    <row r="125" spans="1:7" ht="11.25" customHeight="1" x14ac:dyDescent="0.2">
      <c r="A125" s="67">
        <v>44531</v>
      </c>
      <c r="B125" s="58">
        <v>0</v>
      </c>
      <c r="C125" s="58">
        <v>628018.32546000008</v>
      </c>
      <c r="D125" s="58">
        <v>0</v>
      </c>
      <c r="E125" s="58">
        <v>703893.56908839021</v>
      </c>
      <c r="F125" s="58">
        <v>628018.32546000008</v>
      </c>
      <c r="G125" s="58">
        <v>703893.56908839021</v>
      </c>
    </row>
    <row r="126" spans="1:7" ht="11.25" customHeight="1" x14ac:dyDescent="0.2">
      <c r="A126" s="67">
        <v>44562</v>
      </c>
      <c r="B126" s="58">
        <v>0</v>
      </c>
      <c r="C126" s="58">
        <v>645635.89350000001</v>
      </c>
      <c r="D126" s="58">
        <v>0</v>
      </c>
      <c r="E126" s="58">
        <v>723639.63754467282</v>
      </c>
      <c r="F126" s="58">
        <v>645635.89350000001</v>
      </c>
      <c r="G126" s="58">
        <v>723639.63754467282</v>
      </c>
    </row>
    <row r="127" spans="1:7" ht="11.25" customHeight="1" x14ac:dyDescent="0.2">
      <c r="A127" s="67">
        <v>44593</v>
      </c>
      <c r="B127" s="58">
        <v>0</v>
      </c>
      <c r="C127" s="58">
        <v>683678.19960000005</v>
      </c>
      <c r="D127" s="58">
        <v>0</v>
      </c>
      <c r="E127" s="58">
        <v>766278.09813014755</v>
      </c>
      <c r="F127" s="58">
        <v>683678.19960000005</v>
      </c>
      <c r="G127" s="58">
        <v>766278.09813014755</v>
      </c>
    </row>
    <row r="128" spans="1:7" ht="11.25" customHeight="1" x14ac:dyDescent="0.2">
      <c r="A128" s="67">
        <v>44621</v>
      </c>
      <c r="B128" s="58">
        <v>0</v>
      </c>
      <c r="C128" s="58">
        <v>703210.24476000003</v>
      </c>
      <c r="D128" s="58">
        <v>0</v>
      </c>
      <c r="E128" s="58">
        <v>788169.94494719338</v>
      </c>
      <c r="F128" s="58">
        <v>703210.24476000003</v>
      </c>
      <c r="G128" s="58">
        <v>788169.94494719338</v>
      </c>
    </row>
    <row r="129" spans="1:7" ht="11.25" customHeight="1" x14ac:dyDescent="0.2">
      <c r="A129" s="67">
        <v>44652</v>
      </c>
      <c r="B129" s="58">
        <v>0</v>
      </c>
      <c r="C129" s="58">
        <v>726425.16714000015</v>
      </c>
      <c r="D129" s="58">
        <v>0</v>
      </c>
      <c r="E129" s="58">
        <v>814189.62288923294</v>
      </c>
      <c r="F129" s="58">
        <v>726425.16714000015</v>
      </c>
      <c r="G129" s="58">
        <v>814189.62288923294</v>
      </c>
    </row>
    <row r="130" spans="1:7" ht="11.25" customHeight="1" x14ac:dyDescent="0.2">
      <c r="A130" s="67">
        <v>44682</v>
      </c>
      <c r="B130" s="58">
        <v>0</v>
      </c>
      <c r="C130" s="58">
        <v>715044.37068000017</v>
      </c>
      <c r="D130" s="58">
        <v>0</v>
      </c>
      <c r="E130" s="58">
        <v>801433.83358415135</v>
      </c>
      <c r="F130" s="58">
        <v>715044.37068000017</v>
      </c>
      <c r="G130" s="58">
        <v>801433.83358415135</v>
      </c>
    </row>
    <row r="131" spans="1:7" ht="11.25" customHeight="1" x14ac:dyDescent="0.2">
      <c r="A131" s="67">
        <v>44713</v>
      </c>
      <c r="B131" s="58">
        <v>0</v>
      </c>
      <c r="C131" s="58">
        <v>730767.84444000013</v>
      </c>
      <c r="D131" s="58">
        <v>0</v>
      </c>
      <c r="E131" s="58">
        <v>819056.96911174501</v>
      </c>
      <c r="F131" s="58">
        <v>730767.84444000013</v>
      </c>
      <c r="G131" s="58">
        <v>819056.96911174501</v>
      </c>
    </row>
    <row r="132" spans="1:7" ht="11.25" customHeight="1" x14ac:dyDescent="0.2">
      <c r="A132" s="67">
        <v>44743</v>
      </c>
      <c r="B132" s="58">
        <v>0</v>
      </c>
      <c r="C132" s="58">
        <v>755033.23800000001</v>
      </c>
      <c r="D132" s="58">
        <v>0</v>
      </c>
      <c r="E132" s="58">
        <v>846254.03293272865</v>
      </c>
      <c r="F132" s="58">
        <v>755033.23800000001</v>
      </c>
      <c r="G132" s="58">
        <v>846254.03293272865</v>
      </c>
    </row>
    <row r="133" spans="1:7" ht="11.25" customHeight="1" x14ac:dyDescent="0.2">
      <c r="A133" s="67">
        <v>44774</v>
      </c>
      <c r="B133" s="58">
        <v>0</v>
      </c>
      <c r="C133" s="58">
        <v>758839.16717999999</v>
      </c>
      <c r="D133" s="58">
        <v>0</v>
      </c>
      <c r="E133" s="58">
        <v>850519.78277728229</v>
      </c>
      <c r="F133" s="58">
        <v>758839.16717999999</v>
      </c>
      <c r="G133" s="58">
        <v>850519.78277728229</v>
      </c>
    </row>
    <row r="134" spans="1:7" ht="11.25" customHeight="1" x14ac:dyDescent="0.2">
      <c r="A134" s="67">
        <v>44805</v>
      </c>
      <c r="B134" s="58">
        <v>0</v>
      </c>
      <c r="C134" s="58">
        <v>768528.94284000015</v>
      </c>
      <c r="D134" s="58">
        <v>0</v>
      </c>
      <c r="E134" s="58">
        <v>861380.24734730495</v>
      </c>
      <c r="F134" s="58">
        <v>768528.94284000015</v>
      </c>
      <c r="G134" s="58">
        <v>861380.24734730495</v>
      </c>
    </row>
    <row r="135" spans="1:7" ht="11.25" customHeight="1" x14ac:dyDescent="0.2">
      <c r="A135" s="67">
        <v>44835</v>
      </c>
      <c r="B135" s="58">
        <v>0</v>
      </c>
      <c r="C135" s="58">
        <v>784745.75682000001</v>
      </c>
      <c r="D135" s="58">
        <v>0</v>
      </c>
      <c r="E135" s="58">
        <v>879556.32694380975</v>
      </c>
      <c r="F135" s="58">
        <v>784745.75682000001</v>
      </c>
      <c r="G135" s="58">
        <v>879556.32694380975</v>
      </c>
    </row>
    <row r="136" spans="1:7" ht="11.25" customHeight="1" x14ac:dyDescent="0.2">
      <c r="A136" s="67">
        <v>44866</v>
      </c>
      <c r="B136" s="58">
        <v>0</v>
      </c>
      <c r="C136" s="58">
        <v>784745.75682000001</v>
      </c>
      <c r="D136" s="58">
        <v>0</v>
      </c>
      <c r="E136" s="58">
        <v>879556.32694380975</v>
      </c>
      <c r="F136" s="58">
        <v>784745.75682000001</v>
      </c>
      <c r="G136" s="58">
        <v>879556.32694380975</v>
      </c>
    </row>
    <row r="137" spans="1:7" ht="11.25" customHeight="1" x14ac:dyDescent="0.2">
      <c r="A137" s="63" t="s">
        <v>32</v>
      </c>
      <c r="B137" s="58">
        <v>0</v>
      </c>
      <c r="C137" s="58">
        <v>10143571.90064</v>
      </c>
      <c r="D137" s="58">
        <v>0</v>
      </c>
      <c r="E137" s="58">
        <v>11369237.679428302</v>
      </c>
      <c r="F137" s="58">
        <v>10143571.900640003</v>
      </c>
      <c r="G137" s="58">
        <v>11369237.679428304</v>
      </c>
    </row>
    <row r="138" spans="1:7" ht="11.25" customHeight="1" x14ac:dyDescent="0.2">
      <c r="A138" s="64" t="s">
        <v>25</v>
      </c>
      <c r="B138" s="58">
        <v>0</v>
      </c>
      <c r="C138" s="58">
        <v>10143571.90064</v>
      </c>
      <c r="D138" s="58">
        <v>0</v>
      </c>
      <c r="E138" s="58">
        <v>11369237.679428302</v>
      </c>
      <c r="F138" s="58">
        <v>10143571.900640003</v>
      </c>
      <c r="G138" s="58">
        <v>11369237.679428304</v>
      </c>
    </row>
    <row r="139" spans="1:7" ht="11.25" customHeight="1" x14ac:dyDescent="0.2">
      <c r="A139" s="65" t="s">
        <v>25</v>
      </c>
      <c r="B139" s="58">
        <v>0</v>
      </c>
      <c r="C139" s="58">
        <v>10143571.90064</v>
      </c>
      <c r="D139" s="58">
        <v>0</v>
      </c>
      <c r="E139" s="58">
        <v>11369237.679428302</v>
      </c>
      <c r="F139" s="58">
        <v>10143571.900640003</v>
      </c>
      <c r="G139" s="58">
        <v>11369237.679428304</v>
      </c>
    </row>
    <row r="140" spans="1:7" ht="11.25" customHeight="1" x14ac:dyDescent="0.2">
      <c r="A140" s="66" t="s">
        <v>25</v>
      </c>
      <c r="B140" s="58">
        <v>0</v>
      </c>
      <c r="C140" s="58">
        <v>10143571.90064</v>
      </c>
      <c r="D140" s="58">
        <v>0</v>
      </c>
      <c r="E140" s="58">
        <v>11369237.679428302</v>
      </c>
      <c r="F140" s="58">
        <v>10143571.900640003</v>
      </c>
      <c r="G140" s="58">
        <v>11369237.679428304</v>
      </c>
    </row>
    <row r="141" spans="1:7" ht="11.25" customHeight="1" x14ac:dyDescent="0.2">
      <c r="A141" s="67">
        <v>44531</v>
      </c>
      <c r="B141" s="58">
        <v>0</v>
      </c>
      <c r="C141" s="58">
        <v>732355.37972000008</v>
      </c>
      <c r="D141" s="58">
        <v>0</v>
      </c>
      <c r="E141" s="58">
        <v>820847.17882458167</v>
      </c>
      <c r="F141" s="58">
        <v>732355.37972000008</v>
      </c>
      <c r="G141" s="58">
        <v>820847.17882458167</v>
      </c>
    </row>
    <row r="142" spans="1:7" ht="11.25" customHeight="1" x14ac:dyDescent="0.2">
      <c r="A142" s="67">
        <v>44562</v>
      </c>
      <c r="B142" s="58">
        <v>0</v>
      </c>
      <c r="C142" s="58">
        <v>745151.45264000003</v>
      </c>
      <c r="D142" s="58">
        <v>0</v>
      </c>
      <c r="E142" s="58">
        <v>835189.42392481095</v>
      </c>
      <c r="F142" s="58">
        <v>745151.45264000003</v>
      </c>
      <c r="G142" s="58">
        <v>835189.42392481095</v>
      </c>
    </row>
    <row r="143" spans="1:7" ht="11.25" customHeight="1" x14ac:dyDescent="0.2">
      <c r="A143" s="67">
        <v>44593</v>
      </c>
      <c r="B143" s="58">
        <v>0</v>
      </c>
      <c r="C143" s="58">
        <v>780583.44384000008</v>
      </c>
      <c r="D143" s="58">
        <v>0</v>
      </c>
      <c r="E143" s="58">
        <v>874902.72544760036</v>
      </c>
      <c r="F143" s="58">
        <v>780583.44384000008</v>
      </c>
      <c r="G143" s="58">
        <v>874902.72544760036</v>
      </c>
    </row>
    <row r="144" spans="1:7" ht="11.25" customHeight="1" x14ac:dyDescent="0.2">
      <c r="A144" s="67">
        <v>44621</v>
      </c>
      <c r="B144" s="58">
        <v>0</v>
      </c>
      <c r="C144" s="58">
        <v>815994.52984000009</v>
      </c>
      <c r="D144" s="58">
        <v>0</v>
      </c>
      <c r="E144" s="58">
        <v>914592.59575800598</v>
      </c>
      <c r="F144" s="58">
        <v>815994.52984000009</v>
      </c>
      <c r="G144" s="58">
        <v>914592.59575800598</v>
      </c>
    </row>
    <row r="145" spans="1:7" ht="11.25" customHeight="1" x14ac:dyDescent="0.2">
      <c r="A145" s="67">
        <v>44652</v>
      </c>
      <c r="B145" s="58">
        <v>0</v>
      </c>
      <c r="C145" s="58">
        <v>845342.64327999996</v>
      </c>
      <c r="D145" s="58">
        <v>0</v>
      </c>
      <c r="E145" s="58">
        <v>947486.89378345141</v>
      </c>
      <c r="F145" s="58">
        <v>845342.64327999996</v>
      </c>
      <c r="G145" s="58">
        <v>947486.89378345141</v>
      </c>
    </row>
    <row r="146" spans="1:7" ht="11.25" customHeight="1" x14ac:dyDescent="0.2">
      <c r="A146" s="67">
        <v>44682</v>
      </c>
      <c r="B146" s="58">
        <v>0</v>
      </c>
      <c r="C146" s="58">
        <v>827233.1653600001</v>
      </c>
      <c r="D146" s="58">
        <v>0</v>
      </c>
      <c r="E146" s="58">
        <v>927189.21553562931</v>
      </c>
      <c r="F146" s="58">
        <v>827233.1653600001</v>
      </c>
      <c r="G146" s="58">
        <v>927189.21553562931</v>
      </c>
    </row>
    <row r="147" spans="1:7" ht="11.25" customHeight="1" x14ac:dyDescent="0.2">
      <c r="A147" s="67">
        <v>44713</v>
      </c>
      <c r="B147" s="58">
        <v>0</v>
      </c>
      <c r="C147" s="58">
        <v>832205.3510400001</v>
      </c>
      <c r="D147" s="58">
        <v>0</v>
      </c>
      <c r="E147" s="58">
        <v>932762.19922775473</v>
      </c>
      <c r="F147" s="58">
        <v>832205.3510400001</v>
      </c>
      <c r="G147" s="58">
        <v>932762.19922775473</v>
      </c>
    </row>
    <row r="148" spans="1:7" ht="11.25" customHeight="1" x14ac:dyDescent="0.2">
      <c r="A148" s="67">
        <v>44743</v>
      </c>
      <c r="B148" s="58">
        <v>0</v>
      </c>
      <c r="C148" s="58">
        <v>882285.61588000017</v>
      </c>
      <c r="D148" s="58">
        <v>0</v>
      </c>
      <c r="E148" s="58">
        <v>988893.75126799359</v>
      </c>
      <c r="F148" s="58">
        <v>882285.61588000017</v>
      </c>
      <c r="G148" s="58">
        <v>988893.75126799359</v>
      </c>
    </row>
    <row r="149" spans="1:7" ht="11.25" customHeight="1" x14ac:dyDescent="0.2">
      <c r="A149" s="67">
        <v>44774</v>
      </c>
      <c r="B149" s="58">
        <v>0</v>
      </c>
      <c r="C149" s="58">
        <v>896031.24943999993</v>
      </c>
      <c r="D149" s="58">
        <v>0</v>
      </c>
      <c r="E149" s="58">
        <v>1004300.2941040634</v>
      </c>
      <c r="F149" s="58">
        <v>896031.24943999993</v>
      </c>
      <c r="G149" s="58">
        <v>1004300.2941040634</v>
      </c>
    </row>
    <row r="150" spans="1:7" ht="11.25" customHeight="1" x14ac:dyDescent="0.2">
      <c r="A150" s="67">
        <v>44805</v>
      </c>
      <c r="B150" s="58">
        <v>0</v>
      </c>
      <c r="C150" s="58">
        <v>905938.92056</v>
      </c>
      <c r="D150" s="58">
        <v>0</v>
      </c>
      <c r="E150" s="58">
        <v>1015405.1266932406</v>
      </c>
      <c r="F150" s="58">
        <v>905938.92056</v>
      </c>
      <c r="G150" s="58">
        <v>1015405.1266932406</v>
      </c>
    </row>
    <row r="151" spans="1:7" ht="11.25" customHeight="1" x14ac:dyDescent="0.2">
      <c r="A151" s="67">
        <v>44835</v>
      </c>
      <c r="B151" s="58">
        <v>0</v>
      </c>
      <c r="C151" s="58">
        <v>940225.07452000014</v>
      </c>
      <c r="D151" s="58">
        <v>0</v>
      </c>
      <c r="E151" s="58">
        <v>1053834.1374305843</v>
      </c>
      <c r="F151" s="58">
        <v>940225.07452000014</v>
      </c>
      <c r="G151" s="58">
        <v>1053834.1374305843</v>
      </c>
    </row>
    <row r="152" spans="1:7" ht="11.25" customHeight="1" x14ac:dyDescent="0.2">
      <c r="A152" s="67">
        <v>44866</v>
      </c>
      <c r="B152" s="58">
        <v>0</v>
      </c>
      <c r="C152" s="58">
        <v>940225.07452000014</v>
      </c>
      <c r="D152" s="58">
        <v>0</v>
      </c>
      <c r="E152" s="58">
        <v>1053834.1374305843</v>
      </c>
      <c r="F152" s="58">
        <v>940225.07452000014</v>
      </c>
      <c r="G152" s="58">
        <v>1053834.1374305843</v>
      </c>
    </row>
    <row r="153" spans="1:7" ht="11.25" customHeight="1" x14ac:dyDescent="0.2">
      <c r="A153" s="63" t="s">
        <v>33</v>
      </c>
      <c r="B153" s="58">
        <v>0</v>
      </c>
      <c r="C153" s="58">
        <v>2065169.3672900028</v>
      </c>
      <c r="D153" s="58">
        <v>0</v>
      </c>
      <c r="E153" s="58">
        <v>2314707.4437864572</v>
      </c>
      <c r="F153" s="58">
        <v>2065169.3672900035</v>
      </c>
      <c r="G153" s="58">
        <v>2314707.4437864572</v>
      </c>
    </row>
    <row r="154" spans="1:7" ht="11.25" customHeight="1" x14ac:dyDescent="0.2">
      <c r="A154" s="64" t="s">
        <v>25</v>
      </c>
      <c r="B154" s="58">
        <v>0</v>
      </c>
      <c r="C154" s="58">
        <v>2065169.3672900028</v>
      </c>
      <c r="D154" s="58">
        <v>0</v>
      </c>
      <c r="E154" s="58">
        <v>2314707.4437864572</v>
      </c>
      <c r="F154" s="58">
        <v>2065169.3672900035</v>
      </c>
      <c r="G154" s="58">
        <v>2314707.4437864572</v>
      </c>
    </row>
    <row r="155" spans="1:7" ht="11.25" customHeight="1" x14ac:dyDescent="0.2">
      <c r="A155" s="65" t="s">
        <v>25</v>
      </c>
      <c r="B155" s="58">
        <v>0</v>
      </c>
      <c r="C155" s="58">
        <v>2065169.3672900028</v>
      </c>
      <c r="D155" s="58">
        <v>0</v>
      </c>
      <c r="E155" s="58">
        <v>2314707.4437864572</v>
      </c>
      <c r="F155" s="58">
        <v>2065169.3672900035</v>
      </c>
      <c r="G155" s="58">
        <v>2314707.4437864572</v>
      </c>
    </row>
    <row r="156" spans="1:7" ht="11.25" customHeight="1" x14ac:dyDescent="0.2">
      <c r="A156" s="66" t="s">
        <v>25</v>
      </c>
      <c r="B156" s="58">
        <v>0</v>
      </c>
      <c r="C156" s="58">
        <v>2065169.3672900028</v>
      </c>
      <c r="D156" s="58">
        <v>0</v>
      </c>
      <c r="E156" s="58">
        <v>2314707.4437864572</v>
      </c>
      <c r="F156" s="58">
        <v>2065169.3672900035</v>
      </c>
      <c r="G156" s="58">
        <v>2314707.4437864572</v>
      </c>
    </row>
    <row r="157" spans="1:7" ht="11.25" customHeight="1" x14ac:dyDescent="0.2">
      <c r="A157" s="67">
        <v>44531</v>
      </c>
      <c r="B157" s="58">
        <v>0</v>
      </c>
      <c r="C157" s="58">
        <v>150889.49449000016</v>
      </c>
      <c r="D157" s="58">
        <v>0</v>
      </c>
      <c r="E157" s="58">
        <v>169121.73965833054</v>
      </c>
      <c r="F157" s="58">
        <v>150889.49449000016</v>
      </c>
      <c r="G157" s="58">
        <v>169121.73965833054</v>
      </c>
    </row>
    <row r="158" spans="1:7" ht="11.25" customHeight="1" x14ac:dyDescent="0.2">
      <c r="A158" s="67">
        <v>44562</v>
      </c>
      <c r="B158" s="58">
        <v>0</v>
      </c>
      <c r="C158" s="58">
        <v>154938.25103000019</v>
      </c>
      <c r="D158" s="58">
        <v>0</v>
      </c>
      <c r="E158" s="58">
        <v>173659.71463009523</v>
      </c>
      <c r="F158" s="58">
        <v>154938.25103000019</v>
      </c>
      <c r="G158" s="58">
        <v>173659.71463009523</v>
      </c>
    </row>
    <row r="159" spans="1:7" ht="11.25" customHeight="1" x14ac:dyDescent="0.2">
      <c r="A159" s="67">
        <v>44593</v>
      </c>
      <c r="B159" s="58">
        <v>0</v>
      </c>
      <c r="C159" s="58">
        <v>147114.24765000018</v>
      </c>
      <c r="D159" s="58">
        <v>0</v>
      </c>
      <c r="E159" s="58">
        <v>164890.32304858952</v>
      </c>
      <c r="F159" s="58">
        <v>147114.24765000018</v>
      </c>
      <c r="G159" s="58">
        <v>164890.32304858952</v>
      </c>
    </row>
    <row r="160" spans="1:7" ht="11.25" customHeight="1" x14ac:dyDescent="0.2">
      <c r="A160" s="67">
        <v>44621</v>
      </c>
      <c r="B160" s="58">
        <v>0</v>
      </c>
      <c r="C160" s="58">
        <v>162874.61986000021</v>
      </c>
      <c r="D160" s="58">
        <v>0</v>
      </c>
      <c r="E160" s="58">
        <v>182555.04897816479</v>
      </c>
      <c r="F160" s="58">
        <v>162874.61986000021</v>
      </c>
      <c r="G160" s="58">
        <v>182555.04897816479</v>
      </c>
    </row>
    <row r="161" spans="1:7" ht="11.25" customHeight="1" x14ac:dyDescent="0.2">
      <c r="A161" s="67">
        <v>44652</v>
      </c>
      <c r="B161" s="58">
        <v>0</v>
      </c>
      <c r="C161" s="58">
        <v>168837.82816000024</v>
      </c>
      <c r="D161" s="58">
        <v>0</v>
      </c>
      <c r="E161" s="58">
        <v>189238.80231069276</v>
      </c>
      <c r="F161" s="58">
        <v>168837.82816000024</v>
      </c>
      <c r="G161" s="58">
        <v>189238.80231069276</v>
      </c>
    </row>
    <row r="162" spans="1:7" ht="11.25" customHeight="1" x14ac:dyDescent="0.2">
      <c r="A162" s="67">
        <v>44682</v>
      </c>
      <c r="B162" s="58">
        <v>0</v>
      </c>
      <c r="C162" s="58">
        <v>162266.22047000023</v>
      </c>
      <c r="D162" s="58">
        <v>0</v>
      </c>
      <c r="E162" s="58">
        <v>181873.13561109011</v>
      </c>
      <c r="F162" s="58">
        <v>162266.22047000023</v>
      </c>
      <c r="G162" s="58">
        <v>181873.13561109011</v>
      </c>
    </row>
    <row r="163" spans="1:7" ht="11.25" customHeight="1" x14ac:dyDescent="0.2">
      <c r="A163" s="67">
        <v>44713</v>
      </c>
      <c r="B163" s="58">
        <v>0</v>
      </c>
      <c r="C163" s="58">
        <v>150644.20681000021</v>
      </c>
      <c r="D163" s="58">
        <v>0</v>
      </c>
      <c r="E163" s="58">
        <v>168846.81343302532</v>
      </c>
      <c r="F163" s="58">
        <v>150644.20681000021</v>
      </c>
      <c r="G163" s="58">
        <v>168846.81343302532</v>
      </c>
    </row>
    <row r="164" spans="1:7" ht="11.25" customHeight="1" x14ac:dyDescent="0.2">
      <c r="A164" s="67">
        <v>44743</v>
      </c>
      <c r="B164" s="58">
        <v>0</v>
      </c>
      <c r="C164" s="58">
        <v>178670.64705000026</v>
      </c>
      <c r="D164" s="58">
        <v>0</v>
      </c>
      <c r="E164" s="58">
        <v>200259.7381421949</v>
      </c>
      <c r="F164" s="58">
        <v>178670.64705000026</v>
      </c>
      <c r="G164" s="58">
        <v>200259.7381421949</v>
      </c>
    </row>
    <row r="165" spans="1:7" ht="11.25" customHeight="1" x14ac:dyDescent="0.2">
      <c r="A165" s="67">
        <v>44774</v>
      </c>
      <c r="B165" s="58">
        <v>0</v>
      </c>
      <c r="C165" s="58">
        <v>189912.99905000025</v>
      </c>
      <c r="D165" s="58">
        <v>0</v>
      </c>
      <c r="E165" s="58">
        <v>212860.52346868644</v>
      </c>
      <c r="F165" s="58">
        <v>189912.99905000025</v>
      </c>
      <c r="G165" s="58">
        <v>212860.52346868644</v>
      </c>
    </row>
    <row r="166" spans="1:7" ht="11.25" customHeight="1" x14ac:dyDescent="0.2">
      <c r="A166" s="67">
        <v>44805</v>
      </c>
      <c r="B166" s="58">
        <v>0</v>
      </c>
      <c r="C166" s="58">
        <v>185921.90602000029</v>
      </c>
      <c r="D166" s="58">
        <v>0</v>
      </c>
      <c r="E166" s="58">
        <v>208387.1795910809</v>
      </c>
      <c r="F166" s="58">
        <v>185921.90602000029</v>
      </c>
      <c r="G166" s="58">
        <v>208387.1795910809</v>
      </c>
    </row>
    <row r="167" spans="1:7" ht="11.25" customHeight="1" x14ac:dyDescent="0.2">
      <c r="A167" s="67">
        <v>44835</v>
      </c>
      <c r="B167" s="58">
        <v>0</v>
      </c>
      <c r="C167" s="58">
        <v>206549.47335000025</v>
      </c>
      <c r="D167" s="58">
        <v>0</v>
      </c>
      <c r="E167" s="58">
        <v>231507.21245725331</v>
      </c>
      <c r="F167" s="58">
        <v>206549.47335000025</v>
      </c>
      <c r="G167" s="58">
        <v>231507.21245725331</v>
      </c>
    </row>
    <row r="168" spans="1:7" ht="11.25" customHeight="1" x14ac:dyDescent="0.2">
      <c r="A168" s="67">
        <v>44866</v>
      </c>
      <c r="B168" s="58">
        <v>0</v>
      </c>
      <c r="C168" s="58">
        <v>206549.47335000025</v>
      </c>
      <c r="D168" s="58">
        <v>0</v>
      </c>
      <c r="E168" s="58">
        <v>231507.21245725331</v>
      </c>
      <c r="F168" s="58">
        <v>206549.47335000025</v>
      </c>
      <c r="G168" s="58">
        <v>231507.21245725331</v>
      </c>
    </row>
    <row r="169" spans="1:7" ht="11.25" customHeight="1" x14ac:dyDescent="0.2">
      <c r="A169" s="63" t="s">
        <v>34</v>
      </c>
      <c r="B169" s="58">
        <v>0</v>
      </c>
      <c r="C169" s="58">
        <v>5.150724859959155E-10</v>
      </c>
      <c r="D169" s="58">
        <v>0</v>
      </c>
      <c r="E169" s="58">
        <v>-5.150724859959155E-10</v>
      </c>
      <c r="F169" s="58">
        <v>5.150724859959155E-10</v>
      </c>
      <c r="G169" s="58">
        <v>-5.150724859959155E-10</v>
      </c>
    </row>
    <row r="170" spans="1:7" ht="11.25" customHeight="1" x14ac:dyDescent="0.2">
      <c r="A170" s="64" t="s">
        <v>25</v>
      </c>
      <c r="B170" s="58">
        <v>0</v>
      </c>
      <c r="C170" s="58">
        <v>5.150724859959155E-10</v>
      </c>
      <c r="D170" s="58">
        <v>0</v>
      </c>
      <c r="E170" s="58">
        <v>-5.150724859959155E-10</v>
      </c>
      <c r="F170" s="58">
        <v>5.150724859959155E-10</v>
      </c>
      <c r="G170" s="58">
        <v>-5.150724859959155E-10</v>
      </c>
    </row>
    <row r="171" spans="1:7" ht="11.25" customHeight="1" x14ac:dyDescent="0.2">
      <c r="A171" s="65" t="s">
        <v>25</v>
      </c>
      <c r="B171" s="58">
        <v>0</v>
      </c>
      <c r="C171" s="58">
        <v>5.150724859959155E-10</v>
      </c>
      <c r="D171" s="58">
        <v>0</v>
      </c>
      <c r="E171" s="58">
        <v>-5.150724859959155E-10</v>
      </c>
      <c r="F171" s="58">
        <v>5.150724859959155E-10</v>
      </c>
      <c r="G171" s="58">
        <v>-5.150724859959155E-10</v>
      </c>
    </row>
    <row r="172" spans="1:7" ht="11.25" customHeight="1" x14ac:dyDescent="0.2">
      <c r="A172" s="66" t="s">
        <v>25</v>
      </c>
      <c r="B172" s="58">
        <v>0</v>
      </c>
      <c r="C172" s="58">
        <v>5.150724859959155E-10</v>
      </c>
      <c r="D172" s="58">
        <v>0</v>
      </c>
      <c r="E172" s="58">
        <v>-5.150724859959155E-10</v>
      </c>
      <c r="F172" s="58">
        <v>5.150724859959155E-10</v>
      </c>
      <c r="G172" s="58">
        <v>-5.150724859959155E-10</v>
      </c>
    </row>
    <row r="173" spans="1:7" ht="11.25" customHeight="1" x14ac:dyDescent="0.2">
      <c r="A173" s="67">
        <v>44531</v>
      </c>
      <c r="B173" s="58">
        <v>0</v>
      </c>
      <c r="C173" s="58">
        <v>3.6326440522316269E-11</v>
      </c>
      <c r="D173" s="58">
        <v>0</v>
      </c>
      <c r="E173" s="58">
        <v>-3.6326440522316269E-11</v>
      </c>
      <c r="F173" s="58">
        <v>3.6326440522316269E-11</v>
      </c>
      <c r="G173" s="58">
        <v>-3.6326440522316269E-11</v>
      </c>
    </row>
    <row r="174" spans="1:7" ht="11.25" customHeight="1" x14ac:dyDescent="0.2">
      <c r="A174" s="67">
        <v>44562</v>
      </c>
      <c r="B174" s="58">
        <v>0</v>
      </c>
      <c r="C174" s="58">
        <v>3.8658924950141228E-11</v>
      </c>
      <c r="D174" s="58">
        <v>0</v>
      </c>
      <c r="E174" s="58">
        <v>-3.8658924950141228E-11</v>
      </c>
      <c r="F174" s="58">
        <v>3.8658924950141228E-11</v>
      </c>
      <c r="G174" s="58">
        <v>-3.8658924950141228E-11</v>
      </c>
    </row>
    <row r="175" spans="1:7" ht="11.25" customHeight="1" x14ac:dyDescent="0.2">
      <c r="A175" s="67">
        <v>44593</v>
      </c>
      <c r="B175" s="58">
        <v>0</v>
      </c>
      <c r="C175" s="58">
        <v>3.4175315022366701E-11</v>
      </c>
      <c r="D175" s="58">
        <v>0</v>
      </c>
      <c r="E175" s="58">
        <v>-3.4175315022366701E-11</v>
      </c>
      <c r="F175" s="58">
        <v>3.4175315022366701E-11</v>
      </c>
      <c r="G175" s="58">
        <v>-3.4175315022366701E-11</v>
      </c>
    </row>
    <row r="176" spans="1:7" ht="11.25" customHeight="1" x14ac:dyDescent="0.2">
      <c r="A176" s="67">
        <v>44621</v>
      </c>
      <c r="B176" s="58">
        <v>0</v>
      </c>
      <c r="C176" s="58">
        <v>3.7414338294183838E-11</v>
      </c>
      <c r="D176" s="58">
        <v>0</v>
      </c>
      <c r="E176" s="58">
        <v>-3.7414338294183838E-11</v>
      </c>
      <c r="F176" s="58">
        <v>3.7414338294183838E-11</v>
      </c>
      <c r="G176" s="58">
        <v>-3.7414338294183838E-11</v>
      </c>
    </row>
    <row r="177" spans="1:7" ht="11.25" customHeight="1" x14ac:dyDescent="0.2">
      <c r="A177" s="67">
        <v>44652</v>
      </c>
      <c r="B177" s="58">
        <v>0</v>
      </c>
      <c r="C177" s="58">
        <v>3.9932047002366735E-11</v>
      </c>
      <c r="D177" s="58">
        <v>0</v>
      </c>
      <c r="E177" s="58">
        <v>-3.9932047002366735E-11</v>
      </c>
      <c r="F177" s="58">
        <v>3.9932047002366735E-11</v>
      </c>
      <c r="G177" s="58">
        <v>-3.9932047002366735E-11</v>
      </c>
    </row>
    <row r="178" spans="1:7" ht="11.25" customHeight="1" x14ac:dyDescent="0.2">
      <c r="A178" s="67">
        <v>44682</v>
      </c>
      <c r="B178" s="58">
        <v>0</v>
      </c>
      <c r="C178" s="58">
        <v>3.8274635016932731E-11</v>
      </c>
      <c r="D178" s="58">
        <v>0</v>
      </c>
      <c r="E178" s="58">
        <v>-3.8274635016932731E-11</v>
      </c>
      <c r="F178" s="58">
        <v>3.8274635016932731E-11</v>
      </c>
      <c r="G178" s="58">
        <v>-3.8274635016932731E-11</v>
      </c>
    </row>
    <row r="179" spans="1:7" ht="11.25" customHeight="1" x14ac:dyDescent="0.2">
      <c r="A179" s="67">
        <v>44713</v>
      </c>
      <c r="B179" s="58">
        <v>0</v>
      </c>
      <c r="C179" s="58">
        <v>2.8931737006132606E-11</v>
      </c>
      <c r="D179" s="58">
        <v>0</v>
      </c>
      <c r="E179" s="58">
        <v>-2.8931737006132606E-11</v>
      </c>
      <c r="F179" s="58">
        <v>2.8931737006132606E-11</v>
      </c>
      <c r="G179" s="58">
        <v>-2.8931737006132606E-11</v>
      </c>
    </row>
    <row r="180" spans="1:7" ht="11.25" customHeight="1" x14ac:dyDescent="0.2">
      <c r="A180" s="67">
        <v>44743</v>
      </c>
      <c r="B180" s="58">
        <v>0</v>
      </c>
      <c r="C180" s="58">
        <v>4.2540392541923206E-11</v>
      </c>
      <c r="D180" s="58">
        <v>0</v>
      </c>
      <c r="E180" s="58">
        <v>-4.2540392541923206E-11</v>
      </c>
      <c r="F180" s="58">
        <v>4.2540392541923206E-11</v>
      </c>
      <c r="G180" s="58">
        <v>-4.2540392541923206E-11</v>
      </c>
    </row>
    <row r="181" spans="1:7" ht="11.25" customHeight="1" x14ac:dyDescent="0.2">
      <c r="A181" s="67">
        <v>44774</v>
      </c>
      <c r="B181" s="58">
        <v>0</v>
      </c>
      <c r="C181" s="58">
        <v>5.0642881888052215E-11</v>
      </c>
      <c r="D181" s="58">
        <v>0</v>
      </c>
      <c r="E181" s="58">
        <v>-5.0642881888052215E-11</v>
      </c>
      <c r="F181" s="58">
        <v>5.0642881888052215E-11</v>
      </c>
      <c r="G181" s="58">
        <v>-5.0642881888052215E-11</v>
      </c>
    </row>
    <row r="182" spans="1:7" ht="11.25" customHeight="1" x14ac:dyDescent="0.2">
      <c r="A182" s="67">
        <v>44805</v>
      </c>
      <c r="B182" s="58">
        <v>0</v>
      </c>
      <c r="C182" s="58">
        <v>4.7964960003810125E-11</v>
      </c>
      <c r="D182" s="58">
        <v>0</v>
      </c>
      <c r="E182" s="58">
        <v>-4.7964960003810125E-11</v>
      </c>
      <c r="F182" s="58">
        <v>4.7964960003810125E-11</v>
      </c>
      <c r="G182" s="58">
        <v>-4.7964960003810125E-11</v>
      </c>
    </row>
    <row r="183" spans="1:7" ht="11.25" customHeight="1" x14ac:dyDescent="0.2">
      <c r="A183" s="67">
        <v>44835</v>
      </c>
      <c r="B183" s="58">
        <v>0</v>
      </c>
      <c r="C183" s="58">
        <v>6.0105406873844918E-11</v>
      </c>
      <c r="D183" s="58">
        <v>0</v>
      </c>
      <c r="E183" s="58">
        <v>-6.0105406873844918E-11</v>
      </c>
      <c r="F183" s="58">
        <v>6.0105406873844918E-11</v>
      </c>
      <c r="G183" s="58">
        <v>-6.0105406873844918E-11</v>
      </c>
    </row>
    <row r="184" spans="1:7" ht="11.25" customHeight="1" x14ac:dyDescent="0.2">
      <c r="A184" s="67">
        <v>44866</v>
      </c>
      <c r="B184" s="58">
        <v>0</v>
      </c>
      <c r="C184" s="58">
        <v>6.0105406873844918E-11</v>
      </c>
      <c r="D184" s="58">
        <v>0</v>
      </c>
      <c r="E184" s="58">
        <v>-6.0105406873844918E-11</v>
      </c>
      <c r="F184" s="58">
        <v>6.0105406873844918E-11</v>
      </c>
      <c r="G184" s="58">
        <v>-6.0105406873844918E-11</v>
      </c>
    </row>
    <row r="185" spans="1:7" ht="11.25" customHeight="1" x14ac:dyDescent="0.2">
      <c r="A185" s="59" t="s">
        <v>936</v>
      </c>
      <c r="B185" s="58">
        <v>3437744.7921000002</v>
      </c>
      <c r="C185" s="58">
        <v>2512591.8355128323</v>
      </c>
      <c r="D185" s="58">
        <v>3518109.2882275535</v>
      </c>
      <c r="E185" s="58">
        <v>2566323.2876191833</v>
      </c>
      <c r="F185" s="58">
        <v>5950336.6276128329</v>
      </c>
      <c r="G185" s="58">
        <v>6084432.5758467373</v>
      </c>
    </row>
    <row r="186" spans="1:7" ht="11.25" customHeight="1" x14ac:dyDescent="0.2">
      <c r="A186" s="60" t="s">
        <v>41</v>
      </c>
      <c r="B186" s="58">
        <v>3437744.7921000002</v>
      </c>
      <c r="C186" s="58">
        <v>2512591.8355128323</v>
      </c>
      <c r="D186" s="58">
        <v>3518109.2882275535</v>
      </c>
      <c r="E186" s="58">
        <v>2566323.2876191833</v>
      </c>
      <c r="F186" s="58">
        <v>5950336.6276128329</v>
      </c>
      <c r="G186" s="58">
        <v>6084432.5758467373</v>
      </c>
    </row>
    <row r="187" spans="1:7" ht="11.25" customHeight="1" x14ac:dyDescent="0.2">
      <c r="A187" s="61" t="s">
        <v>42</v>
      </c>
      <c r="B187" s="58">
        <v>2121316.8579600002</v>
      </c>
      <c r="C187" s="58">
        <v>0</v>
      </c>
      <c r="D187" s="58">
        <v>2147639.5623133564</v>
      </c>
      <c r="E187" s="58">
        <v>0</v>
      </c>
      <c r="F187" s="58">
        <v>2121316.8579600002</v>
      </c>
      <c r="G187" s="58">
        <v>2147639.5623133564</v>
      </c>
    </row>
    <row r="188" spans="1:7" ht="11.25" customHeight="1" x14ac:dyDescent="0.2">
      <c r="A188" s="62" t="s">
        <v>40</v>
      </c>
      <c r="B188" s="58">
        <v>2121316.8579600002</v>
      </c>
      <c r="C188" s="58">
        <v>0</v>
      </c>
      <c r="D188" s="58">
        <v>2147639.5623133564</v>
      </c>
      <c r="E188" s="58">
        <v>0</v>
      </c>
      <c r="F188" s="58">
        <v>2121316.8579600002</v>
      </c>
      <c r="G188" s="58">
        <v>2147639.5623133564</v>
      </c>
    </row>
    <row r="189" spans="1:7" ht="11.25" customHeight="1" x14ac:dyDescent="0.2">
      <c r="A189" s="63" t="s">
        <v>25</v>
      </c>
      <c r="B189" s="58">
        <v>2121316.8579600002</v>
      </c>
      <c r="C189" s="58">
        <v>0</v>
      </c>
      <c r="D189" s="58">
        <v>2147639.5623133564</v>
      </c>
      <c r="E189" s="58">
        <v>0</v>
      </c>
      <c r="F189" s="58">
        <v>2121316.8579600002</v>
      </c>
      <c r="G189" s="58">
        <v>2147639.5623133564</v>
      </c>
    </row>
    <row r="190" spans="1:7" ht="11.25" customHeight="1" x14ac:dyDescent="0.2">
      <c r="A190" s="64" t="s">
        <v>60</v>
      </c>
      <c r="B190" s="58">
        <v>2121316.8579600002</v>
      </c>
      <c r="C190" s="58">
        <v>0</v>
      </c>
      <c r="D190" s="58">
        <v>2147639.5623133564</v>
      </c>
      <c r="E190" s="58">
        <v>0</v>
      </c>
      <c r="F190" s="58">
        <v>2121316.8579600002</v>
      </c>
      <c r="G190" s="58">
        <v>2147639.5623133564</v>
      </c>
    </row>
    <row r="191" spans="1:7" ht="11.25" customHeight="1" x14ac:dyDescent="0.2">
      <c r="A191" s="65" t="s">
        <v>25</v>
      </c>
      <c r="B191" s="58">
        <v>2121316.8579600002</v>
      </c>
      <c r="C191" s="58">
        <v>0</v>
      </c>
      <c r="D191" s="58">
        <v>2147639.5623133564</v>
      </c>
      <c r="E191" s="58">
        <v>0</v>
      </c>
      <c r="F191" s="58">
        <v>2121316.8579600002</v>
      </c>
      <c r="G191" s="58">
        <v>2147639.5623133564</v>
      </c>
    </row>
    <row r="192" spans="1:7" ht="11.25" customHeight="1" x14ac:dyDescent="0.2">
      <c r="A192" s="66" t="s">
        <v>37</v>
      </c>
      <c r="B192" s="58">
        <v>587542.66361999989</v>
      </c>
      <c r="C192" s="58">
        <v>0</v>
      </c>
      <c r="D192" s="58">
        <v>611662.37231225905</v>
      </c>
      <c r="E192" s="58">
        <v>0</v>
      </c>
      <c r="F192" s="58">
        <v>587542.66361999989</v>
      </c>
      <c r="G192" s="58">
        <v>611662.37231225905</v>
      </c>
    </row>
    <row r="193" spans="1:7" ht="11.25" customHeight="1" x14ac:dyDescent="0.2">
      <c r="A193" s="67">
        <v>44531</v>
      </c>
      <c r="B193" s="58">
        <v>53326.848960000003</v>
      </c>
      <c r="C193" s="58">
        <v>0</v>
      </c>
      <c r="D193" s="58">
        <v>55516.014346674252</v>
      </c>
      <c r="E193" s="58">
        <v>0</v>
      </c>
      <c r="F193" s="58">
        <v>53326.848960000003</v>
      </c>
      <c r="G193" s="58">
        <v>55516.014346674252</v>
      </c>
    </row>
    <row r="194" spans="1:7" ht="11.25" customHeight="1" x14ac:dyDescent="0.2">
      <c r="A194" s="67">
        <v>44562</v>
      </c>
      <c r="B194" s="58">
        <v>51129.492480000001</v>
      </c>
      <c r="C194" s="58">
        <v>0</v>
      </c>
      <c r="D194" s="58">
        <v>53228.452335276575</v>
      </c>
      <c r="E194" s="58">
        <v>0</v>
      </c>
      <c r="F194" s="58">
        <v>51129.492480000001</v>
      </c>
      <c r="G194" s="58">
        <v>53228.452335276575</v>
      </c>
    </row>
    <row r="195" spans="1:7" ht="11.25" customHeight="1" x14ac:dyDescent="0.2">
      <c r="A195" s="67">
        <v>44593</v>
      </c>
      <c r="B195" s="58">
        <v>47709.03456</v>
      </c>
      <c r="C195" s="58">
        <v>0</v>
      </c>
      <c r="D195" s="58">
        <v>49667.578316611973</v>
      </c>
      <c r="E195" s="58">
        <v>0</v>
      </c>
      <c r="F195" s="58">
        <v>47709.03456</v>
      </c>
      <c r="G195" s="58">
        <v>49667.578316611973</v>
      </c>
    </row>
    <row r="196" spans="1:7" ht="11.25" customHeight="1" x14ac:dyDescent="0.2">
      <c r="A196" s="67">
        <v>44621</v>
      </c>
      <c r="B196" s="58">
        <v>47869.854120000004</v>
      </c>
      <c r="C196" s="58">
        <v>0</v>
      </c>
      <c r="D196" s="58">
        <v>49834.999815806179</v>
      </c>
      <c r="E196" s="58">
        <v>0</v>
      </c>
      <c r="F196" s="58">
        <v>47869.854120000004</v>
      </c>
      <c r="G196" s="58">
        <v>49834.999815806179</v>
      </c>
    </row>
    <row r="197" spans="1:7" ht="11.25" customHeight="1" x14ac:dyDescent="0.2">
      <c r="A197" s="67">
        <v>44652</v>
      </c>
      <c r="B197" s="58">
        <v>47841.068879999999</v>
      </c>
      <c r="C197" s="58">
        <v>0</v>
      </c>
      <c r="D197" s="58">
        <v>49805.032888677</v>
      </c>
      <c r="E197" s="58">
        <v>0</v>
      </c>
      <c r="F197" s="58">
        <v>47841.068879999999</v>
      </c>
      <c r="G197" s="58">
        <v>49805.032888677</v>
      </c>
    </row>
    <row r="198" spans="1:7" ht="11.25" customHeight="1" x14ac:dyDescent="0.2">
      <c r="A198" s="67">
        <v>44682</v>
      </c>
      <c r="B198" s="58">
        <v>47987.866080000007</v>
      </c>
      <c r="C198" s="58">
        <v>0</v>
      </c>
      <c r="D198" s="58">
        <v>49957.856384161707</v>
      </c>
      <c r="E198" s="58">
        <v>0</v>
      </c>
      <c r="F198" s="58">
        <v>47987.866080000007</v>
      </c>
      <c r="G198" s="58">
        <v>49957.856384161707</v>
      </c>
    </row>
    <row r="199" spans="1:7" ht="11.25" customHeight="1" x14ac:dyDescent="0.2">
      <c r="A199" s="67">
        <v>44713</v>
      </c>
      <c r="B199" s="58">
        <v>47987.046360000008</v>
      </c>
      <c r="C199" s="58">
        <v>0</v>
      </c>
      <c r="D199" s="58">
        <v>49957.003013145644</v>
      </c>
      <c r="E199" s="58">
        <v>0</v>
      </c>
      <c r="F199" s="58">
        <v>47987.046360000008</v>
      </c>
      <c r="G199" s="58">
        <v>49957.003013145644</v>
      </c>
    </row>
    <row r="200" spans="1:7" ht="11.25" customHeight="1" x14ac:dyDescent="0.2">
      <c r="A200" s="67">
        <v>44743</v>
      </c>
      <c r="B200" s="58">
        <v>47980.247040000002</v>
      </c>
      <c r="C200" s="58">
        <v>0</v>
      </c>
      <c r="D200" s="58">
        <v>49949.924568534167</v>
      </c>
      <c r="E200" s="58">
        <v>0</v>
      </c>
      <c r="F200" s="58">
        <v>47980.247040000002</v>
      </c>
      <c r="G200" s="58">
        <v>49949.924568534167</v>
      </c>
    </row>
    <row r="201" spans="1:7" ht="11.25" customHeight="1" x14ac:dyDescent="0.2">
      <c r="A201" s="67">
        <v>44774</v>
      </c>
      <c r="B201" s="58">
        <v>48145.006799999996</v>
      </c>
      <c r="C201" s="58">
        <v>0</v>
      </c>
      <c r="D201" s="58">
        <v>50121.448020196862</v>
      </c>
      <c r="E201" s="58">
        <v>0</v>
      </c>
      <c r="F201" s="58">
        <v>48145.006799999996</v>
      </c>
      <c r="G201" s="58">
        <v>50121.448020196862</v>
      </c>
    </row>
    <row r="202" spans="1:7" ht="11.25" customHeight="1" x14ac:dyDescent="0.2">
      <c r="A202" s="67">
        <v>44805</v>
      </c>
      <c r="B202" s="58">
        <v>48490.788060000006</v>
      </c>
      <c r="C202" s="58">
        <v>0</v>
      </c>
      <c r="D202" s="58">
        <v>50481.424237906082</v>
      </c>
      <c r="E202" s="58">
        <v>0</v>
      </c>
      <c r="F202" s="58">
        <v>48490.788060000006</v>
      </c>
      <c r="G202" s="58">
        <v>50481.424237906082</v>
      </c>
    </row>
    <row r="203" spans="1:7" ht="11.25" customHeight="1" x14ac:dyDescent="0.2">
      <c r="A203" s="67">
        <v>44835</v>
      </c>
      <c r="B203" s="58">
        <v>49537.705140000005</v>
      </c>
      <c r="C203" s="58">
        <v>0</v>
      </c>
      <c r="D203" s="58">
        <v>51571.319192634313</v>
      </c>
      <c r="E203" s="58">
        <v>0</v>
      </c>
      <c r="F203" s="58">
        <v>49537.705140000005</v>
      </c>
      <c r="G203" s="58">
        <v>51571.319192634313</v>
      </c>
    </row>
    <row r="204" spans="1:7" ht="11.25" customHeight="1" x14ac:dyDescent="0.2">
      <c r="A204" s="67">
        <v>44866</v>
      </c>
      <c r="B204" s="58">
        <v>49537.705140000005</v>
      </c>
      <c r="C204" s="58">
        <v>0</v>
      </c>
      <c r="D204" s="58">
        <v>51571.319192634313</v>
      </c>
      <c r="E204" s="58">
        <v>0</v>
      </c>
      <c r="F204" s="58">
        <v>49537.705140000005</v>
      </c>
      <c r="G204" s="58">
        <v>51571.319192634313</v>
      </c>
    </row>
    <row r="205" spans="1:7" ht="11.25" customHeight="1" x14ac:dyDescent="0.2">
      <c r="A205" s="66" t="s">
        <v>25</v>
      </c>
      <c r="B205" s="58">
        <v>0</v>
      </c>
      <c r="C205" s="58">
        <v>0</v>
      </c>
      <c r="D205" s="58">
        <v>0</v>
      </c>
      <c r="E205" s="58">
        <v>0</v>
      </c>
      <c r="F205" s="58">
        <v>0</v>
      </c>
      <c r="G205" s="58">
        <v>0</v>
      </c>
    </row>
    <row r="206" spans="1:7" ht="11.25" customHeight="1" x14ac:dyDescent="0.2">
      <c r="A206" s="67">
        <v>44531</v>
      </c>
      <c r="B206" s="58">
        <v>0</v>
      </c>
      <c r="C206" s="58">
        <v>0</v>
      </c>
      <c r="D206" s="58">
        <v>0</v>
      </c>
      <c r="E206" s="58">
        <v>0</v>
      </c>
      <c r="F206" s="58">
        <v>0</v>
      </c>
      <c r="G206" s="58">
        <v>0</v>
      </c>
    </row>
    <row r="207" spans="1:7" ht="11.25" customHeight="1" x14ac:dyDescent="0.2">
      <c r="A207" s="67">
        <v>44562</v>
      </c>
      <c r="B207" s="58">
        <v>0</v>
      </c>
      <c r="C207" s="58">
        <v>0</v>
      </c>
      <c r="D207" s="58">
        <v>0</v>
      </c>
      <c r="E207" s="58">
        <v>0</v>
      </c>
      <c r="F207" s="58">
        <v>0</v>
      </c>
      <c r="G207" s="58">
        <v>0</v>
      </c>
    </row>
    <row r="208" spans="1:7" ht="11.25" customHeight="1" x14ac:dyDescent="0.2">
      <c r="A208" s="67">
        <v>44593</v>
      </c>
      <c r="B208" s="58">
        <v>0</v>
      </c>
      <c r="C208" s="58">
        <v>0</v>
      </c>
      <c r="D208" s="58">
        <v>0</v>
      </c>
      <c r="E208" s="58">
        <v>0</v>
      </c>
      <c r="F208" s="58">
        <v>0</v>
      </c>
      <c r="G208" s="58">
        <v>0</v>
      </c>
    </row>
    <row r="209" spans="1:7" ht="11.25" customHeight="1" x14ac:dyDescent="0.2">
      <c r="A209" s="67">
        <v>44621</v>
      </c>
      <c r="B209" s="58">
        <v>0</v>
      </c>
      <c r="C209" s="58">
        <v>0</v>
      </c>
      <c r="D209" s="58">
        <v>0</v>
      </c>
      <c r="E209" s="58">
        <v>0</v>
      </c>
      <c r="F209" s="58">
        <v>0</v>
      </c>
      <c r="G209" s="58">
        <v>0</v>
      </c>
    </row>
    <row r="210" spans="1:7" ht="11.25" customHeight="1" x14ac:dyDescent="0.2">
      <c r="A210" s="67">
        <v>44652</v>
      </c>
      <c r="B210" s="58">
        <v>0</v>
      </c>
      <c r="C210" s="58">
        <v>0</v>
      </c>
      <c r="D210" s="58">
        <v>0</v>
      </c>
      <c r="E210" s="58">
        <v>0</v>
      </c>
      <c r="F210" s="58">
        <v>0</v>
      </c>
      <c r="G210" s="58">
        <v>0</v>
      </c>
    </row>
    <row r="211" spans="1:7" ht="11.25" customHeight="1" x14ac:dyDescent="0.2">
      <c r="A211" s="67">
        <v>44682</v>
      </c>
      <c r="B211" s="58">
        <v>0</v>
      </c>
      <c r="C211" s="58">
        <v>0</v>
      </c>
      <c r="D211" s="58">
        <v>0</v>
      </c>
      <c r="E211" s="58">
        <v>0</v>
      </c>
      <c r="F211" s="58">
        <v>0</v>
      </c>
      <c r="G211" s="58">
        <v>0</v>
      </c>
    </row>
    <row r="212" spans="1:7" ht="11.25" customHeight="1" x14ac:dyDescent="0.2">
      <c r="A212" s="67">
        <v>44713</v>
      </c>
      <c r="B212" s="58">
        <v>0</v>
      </c>
      <c r="C212" s="58">
        <v>0</v>
      </c>
      <c r="D212" s="58">
        <v>0</v>
      </c>
      <c r="E212" s="58">
        <v>0</v>
      </c>
      <c r="F212" s="58">
        <v>0</v>
      </c>
      <c r="G212" s="58">
        <v>0</v>
      </c>
    </row>
    <row r="213" spans="1:7" ht="11.25" customHeight="1" x14ac:dyDescent="0.2">
      <c r="A213" s="67">
        <v>44743</v>
      </c>
      <c r="B213" s="58">
        <v>0</v>
      </c>
      <c r="C213" s="58">
        <v>0</v>
      </c>
      <c r="D213" s="58">
        <v>0</v>
      </c>
      <c r="E213" s="58">
        <v>0</v>
      </c>
      <c r="F213" s="58">
        <v>0</v>
      </c>
      <c r="G213" s="58">
        <v>0</v>
      </c>
    </row>
    <row r="214" spans="1:7" ht="11.25" customHeight="1" x14ac:dyDescent="0.2">
      <c r="A214" s="67">
        <v>44774</v>
      </c>
      <c r="B214" s="58">
        <v>0</v>
      </c>
      <c r="C214" s="58">
        <v>0</v>
      </c>
      <c r="D214" s="58">
        <v>0</v>
      </c>
      <c r="E214" s="58">
        <v>0</v>
      </c>
      <c r="F214" s="58">
        <v>0</v>
      </c>
      <c r="G214" s="58">
        <v>0</v>
      </c>
    </row>
    <row r="215" spans="1:7" ht="11.25" customHeight="1" x14ac:dyDescent="0.2">
      <c r="A215" s="67">
        <v>44805</v>
      </c>
      <c r="B215" s="58">
        <v>0</v>
      </c>
      <c r="C215" s="58">
        <v>0</v>
      </c>
      <c r="D215" s="58">
        <v>0</v>
      </c>
      <c r="E215" s="58">
        <v>0</v>
      </c>
      <c r="F215" s="58">
        <v>0</v>
      </c>
      <c r="G215" s="58">
        <v>0</v>
      </c>
    </row>
    <row r="216" spans="1:7" ht="11.25" customHeight="1" x14ac:dyDescent="0.2">
      <c r="A216" s="67">
        <v>44835</v>
      </c>
      <c r="B216" s="58">
        <v>0</v>
      </c>
      <c r="C216" s="58">
        <v>0</v>
      </c>
      <c r="D216" s="58">
        <v>0</v>
      </c>
      <c r="E216" s="58">
        <v>0</v>
      </c>
      <c r="F216" s="58">
        <v>0</v>
      </c>
      <c r="G216" s="58">
        <v>0</v>
      </c>
    </row>
    <row r="217" spans="1:7" ht="11.25" customHeight="1" x14ac:dyDescent="0.2">
      <c r="A217" s="67">
        <v>44866</v>
      </c>
      <c r="B217" s="58">
        <v>0</v>
      </c>
      <c r="C217" s="58">
        <v>0</v>
      </c>
      <c r="D217" s="58">
        <v>0</v>
      </c>
      <c r="E217" s="58">
        <v>0</v>
      </c>
      <c r="F217" s="58">
        <v>0</v>
      </c>
      <c r="G217" s="58">
        <v>0</v>
      </c>
    </row>
    <row r="218" spans="1:7" ht="11.25" customHeight="1" x14ac:dyDescent="0.2">
      <c r="A218" s="66" t="s">
        <v>36</v>
      </c>
      <c r="B218" s="58">
        <v>1533774.1943399997</v>
      </c>
      <c r="C218" s="58">
        <v>0</v>
      </c>
      <c r="D218" s="58">
        <v>1535977.190001097</v>
      </c>
      <c r="E218" s="58">
        <v>0</v>
      </c>
      <c r="F218" s="58">
        <v>1533774.1943399997</v>
      </c>
      <c r="G218" s="58">
        <v>1535977.190001097</v>
      </c>
    </row>
    <row r="219" spans="1:7" ht="11.25" customHeight="1" x14ac:dyDescent="0.2">
      <c r="A219" s="67">
        <v>44531</v>
      </c>
      <c r="B219" s="58">
        <v>140921.99649599998</v>
      </c>
      <c r="C219" s="58">
        <v>0</v>
      </c>
      <c r="D219" s="58">
        <v>141124.40604753597</v>
      </c>
      <c r="E219" s="58">
        <v>0</v>
      </c>
      <c r="F219" s="58">
        <v>140921.99649599998</v>
      </c>
      <c r="G219" s="58">
        <v>141124.40604753597</v>
      </c>
    </row>
    <row r="220" spans="1:7" ht="11.25" customHeight="1" x14ac:dyDescent="0.2">
      <c r="A220" s="67">
        <v>44562</v>
      </c>
      <c r="B220" s="58">
        <v>134522.71002</v>
      </c>
      <c r="C220" s="58">
        <v>0</v>
      </c>
      <c r="D220" s="58">
        <v>134715.92812706344</v>
      </c>
      <c r="E220" s="58">
        <v>0</v>
      </c>
      <c r="F220" s="58">
        <v>134522.71002</v>
      </c>
      <c r="G220" s="58">
        <v>134715.92812706344</v>
      </c>
    </row>
    <row r="221" spans="1:7" ht="11.25" customHeight="1" x14ac:dyDescent="0.2">
      <c r="A221" s="67">
        <v>44593</v>
      </c>
      <c r="B221" s="58">
        <v>125305.15991999999</v>
      </c>
      <c r="C221" s="58">
        <v>0</v>
      </c>
      <c r="D221" s="58">
        <v>125485.13864479242</v>
      </c>
      <c r="E221" s="58">
        <v>0</v>
      </c>
      <c r="F221" s="58">
        <v>125305.15991999999</v>
      </c>
      <c r="G221" s="58">
        <v>125485.13864479242</v>
      </c>
    </row>
    <row r="222" spans="1:7" ht="11.25" customHeight="1" x14ac:dyDescent="0.2">
      <c r="A222" s="67">
        <v>44621</v>
      </c>
      <c r="B222" s="58">
        <v>125147.91258</v>
      </c>
      <c r="C222" s="58">
        <v>0</v>
      </c>
      <c r="D222" s="58">
        <v>125327.66544676913</v>
      </c>
      <c r="E222" s="58">
        <v>0</v>
      </c>
      <c r="F222" s="58">
        <v>125147.91258</v>
      </c>
      <c r="G222" s="58">
        <v>125327.66544676913</v>
      </c>
    </row>
    <row r="223" spans="1:7" ht="11.25" customHeight="1" x14ac:dyDescent="0.2">
      <c r="A223" s="67">
        <v>44652</v>
      </c>
      <c r="B223" s="58">
        <v>124543.03035599999</v>
      </c>
      <c r="C223" s="58">
        <v>0</v>
      </c>
      <c r="D223" s="58">
        <v>124721.91441631776</v>
      </c>
      <c r="E223" s="58">
        <v>0</v>
      </c>
      <c r="F223" s="58">
        <v>124543.03035599999</v>
      </c>
      <c r="G223" s="58">
        <v>124721.91441631776</v>
      </c>
    </row>
    <row r="224" spans="1:7" ht="11.25" customHeight="1" x14ac:dyDescent="0.2">
      <c r="A224" s="67">
        <v>44682</v>
      </c>
      <c r="B224" s="58">
        <v>124695.98248799999</v>
      </c>
      <c r="C224" s="58">
        <v>0</v>
      </c>
      <c r="D224" s="58">
        <v>124875.08623703361</v>
      </c>
      <c r="E224" s="58">
        <v>0</v>
      </c>
      <c r="F224" s="58">
        <v>124695.98248799999</v>
      </c>
      <c r="G224" s="58">
        <v>124875.08623703361</v>
      </c>
    </row>
    <row r="225" spans="1:7" ht="11.25" customHeight="1" x14ac:dyDescent="0.2">
      <c r="A225" s="67">
        <v>44713</v>
      </c>
      <c r="B225" s="58">
        <v>124742.85872399999</v>
      </c>
      <c r="C225" s="58">
        <v>0</v>
      </c>
      <c r="D225" s="58">
        <v>124922.02980246508</v>
      </c>
      <c r="E225" s="58">
        <v>0</v>
      </c>
      <c r="F225" s="58">
        <v>124742.85872399999</v>
      </c>
      <c r="G225" s="58">
        <v>124922.02980246508</v>
      </c>
    </row>
    <row r="226" spans="1:7" ht="11.25" customHeight="1" x14ac:dyDescent="0.2">
      <c r="A226" s="67">
        <v>44743</v>
      </c>
      <c r="B226" s="58">
        <v>124443.11617199998</v>
      </c>
      <c r="C226" s="58">
        <v>0</v>
      </c>
      <c r="D226" s="58">
        <v>124621.8567232441</v>
      </c>
      <c r="E226" s="58">
        <v>0</v>
      </c>
      <c r="F226" s="58">
        <v>124443.11617199998</v>
      </c>
      <c r="G226" s="58">
        <v>124621.8567232441</v>
      </c>
    </row>
    <row r="227" spans="1:7" ht="11.25" customHeight="1" x14ac:dyDescent="0.2">
      <c r="A227" s="67">
        <v>44774</v>
      </c>
      <c r="B227" s="58">
        <v>125413.72073999999</v>
      </c>
      <c r="C227" s="58">
        <v>0</v>
      </c>
      <c r="D227" s="58">
        <v>125593.8553932311</v>
      </c>
      <c r="E227" s="58">
        <v>0</v>
      </c>
      <c r="F227" s="58">
        <v>125413.72073999999</v>
      </c>
      <c r="G227" s="58">
        <v>125593.8553932311</v>
      </c>
    </row>
    <row r="228" spans="1:7" ht="11.25" customHeight="1" x14ac:dyDescent="0.2">
      <c r="A228" s="67">
        <v>44805</v>
      </c>
      <c r="B228" s="58">
        <v>127093.338216</v>
      </c>
      <c r="C228" s="58">
        <v>0</v>
      </c>
      <c r="D228" s="58">
        <v>127275.88534300045</v>
      </c>
      <c r="E228" s="58">
        <v>0</v>
      </c>
      <c r="F228" s="58">
        <v>127093.338216</v>
      </c>
      <c r="G228" s="58">
        <v>127275.88534300045</v>
      </c>
    </row>
    <row r="229" spans="1:7" ht="11.25" customHeight="1" x14ac:dyDescent="0.2">
      <c r="A229" s="67">
        <v>44835</v>
      </c>
      <c r="B229" s="58">
        <v>128472.18431400001</v>
      </c>
      <c r="C229" s="58">
        <v>0</v>
      </c>
      <c r="D229" s="58">
        <v>128656.71190982203</v>
      </c>
      <c r="E229" s="58">
        <v>0</v>
      </c>
      <c r="F229" s="58">
        <v>128472.18431400001</v>
      </c>
      <c r="G229" s="58">
        <v>128656.71190982203</v>
      </c>
    </row>
    <row r="230" spans="1:7" ht="11.25" customHeight="1" x14ac:dyDescent="0.2">
      <c r="A230" s="67">
        <v>44866</v>
      </c>
      <c r="B230" s="58">
        <v>128472.18431400001</v>
      </c>
      <c r="C230" s="58">
        <v>0</v>
      </c>
      <c r="D230" s="58">
        <v>128656.71190982203</v>
      </c>
      <c r="E230" s="58">
        <v>0</v>
      </c>
      <c r="F230" s="58">
        <v>128472.18431400001</v>
      </c>
      <c r="G230" s="58">
        <v>128656.71190982203</v>
      </c>
    </row>
    <row r="231" spans="1:7" ht="11.25" customHeight="1" x14ac:dyDescent="0.2">
      <c r="A231" s="61" t="s">
        <v>44</v>
      </c>
      <c r="B231" s="58">
        <v>1316427.9341399998</v>
      </c>
      <c r="C231" s="58">
        <v>2512591.8355128323</v>
      </c>
      <c r="D231" s="58">
        <v>1370469.725914197</v>
      </c>
      <c r="E231" s="58">
        <v>2566323.2876191833</v>
      </c>
      <c r="F231" s="58">
        <v>3829019.7696528323</v>
      </c>
      <c r="G231" s="58">
        <v>3936793.0135333803</v>
      </c>
    </row>
    <row r="232" spans="1:7" ht="11.25" customHeight="1" x14ac:dyDescent="0.2">
      <c r="A232" s="62" t="s">
        <v>40</v>
      </c>
      <c r="B232" s="58">
        <v>1316427.9341399998</v>
      </c>
      <c r="C232" s="58">
        <v>2512591.8355128323</v>
      </c>
      <c r="D232" s="58">
        <v>1370469.725914197</v>
      </c>
      <c r="E232" s="58">
        <v>2566323.2876191833</v>
      </c>
      <c r="F232" s="58">
        <v>3829019.7696528323</v>
      </c>
      <c r="G232" s="58">
        <v>3936793.0135333803</v>
      </c>
    </row>
    <row r="233" spans="1:7" ht="11.25" customHeight="1" x14ac:dyDescent="0.2">
      <c r="A233" s="63" t="s">
        <v>25</v>
      </c>
      <c r="B233" s="58">
        <v>1316427.9341399998</v>
      </c>
      <c r="C233" s="58">
        <v>2512591.8355128323</v>
      </c>
      <c r="D233" s="58">
        <v>1370469.725914197</v>
      </c>
      <c r="E233" s="58">
        <v>2566323.2876191833</v>
      </c>
      <c r="F233" s="58">
        <v>3829019.7696528323</v>
      </c>
      <c r="G233" s="58">
        <v>3936793.0135333803</v>
      </c>
    </row>
    <row r="234" spans="1:7" ht="11.25" customHeight="1" x14ac:dyDescent="0.2">
      <c r="A234" s="64" t="s">
        <v>60</v>
      </c>
      <c r="B234" s="58">
        <v>1316427.9341399998</v>
      </c>
      <c r="C234" s="58">
        <v>2512591.8355128323</v>
      </c>
      <c r="D234" s="58">
        <v>1370469.725914197</v>
      </c>
      <c r="E234" s="58">
        <v>2566323.2876191833</v>
      </c>
      <c r="F234" s="58">
        <v>3829019.7696528323</v>
      </c>
      <c r="G234" s="58">
        <v>3936793.0135333803</v>
      </c>
    </row>
    <row r="235" spans="1:7" ht="11.25" customHeight="1" x14ac:dyDescent="0.2">
      <c r="A235" s="65" t="s">
        <v>25</v>
      </c>
      <c r="B235" s="58">
        <v>1316427.9341399998</v>
      </c>
      <c r="C235" s="58">
        <v>2512591.8355128323</v>
      </c>
      <c r="D235" s="58">
        <v>1370469.725914197</v>
      </c>
      <c r="E235" s="58">
        <v>2566323.2876191833</v>
      </c>
      <c r="F235" s="58">
        <v>3829019.7696528323</v>
      </c>
      <c r="G235" s="58">
        <v>3936793.0135333803</v>
      </c>
    </row>
    <row r="236" spans="1:7" ht="11.25" customHeight="1" x14ac:dyDescent="0.2">
      <c r="A236" s="66" t="s">
        <v>37</v>
      </c>
      <c r="B236" s="58">
        <v>0</v>
      </c>
      <c r="C236" s="58">
        <v>0</v>
      </c>
      <c r="D236" s="58">
        <v>0</v>
      </c>
      <c r="E236" s="58">
        <v>0</v>
      </c>
      <c r="F236" s="58">
        <v>0</v>
      </c>
      <c r="G236" s="58">
        <v>0</v>
      </c>
    </row>
    <row r="237" spans="1:7" ht="11.25" customHeight="1" x14ac:dyDescent="0.2">
      <c r="A237" s="67">
        <v>44531</v>
      </c>
      <c r="B237" s="58">
        <v>0</v>
      </c>
      <c r="C237" s="58">
        <v>0</v>
      </c>
      <c r="D237" s="58">
        <v>0</v>
      </c>
      <c r="E237" s="58">
        <v>0</v>
      </c>
      <c r="F237" s="58">
        <v>0</v>
      </c>
      <c r="G237" s="58">
        <v>0</v>
      </c>
    </row>
    <row r="238" spans="1:7" ht="11.25" customHeight="1" x14ac:dyDescent="0.2">
      <c r="A238" s="67">
        <v>44562</v>
      </c>
      <c r="B238" s="58">
        <v>0</v>
      </c>
      <c r="C238" s="58">
        <v>0</v>
      </c>
      <c r="D238" s="58">
        <v>0</v>
      </c>
      <c r="E238" s="58">
        <v>0</v>
      </c>
      <c r="F238" s="58">
        <v>0</v>
      </c>
      <c r="G238" s="58">
        <v>0</v>
      </c>
    </row>
    <row r="239" spans="1:7" ht="11.25" customHeight="1" x14ac:dyDescent="0.2">
      <c r="A239" s="67">
        <v>44593</v>
      </c>
      <c r="B239" s="58">
        <v>0</v>
      </c>
      <c r="C239" s="58">
        <v>0</v>
      </c>
      <c r="D239" s="58">
        <v>0</v>
      </c>
      <c r="E239" s="58">
        <v>0</v>
      </c>
      <c r="F239" s="58">
        <v>0</v>
      </c>
      <c r="G239" s="58">
        <v>0</v>
      </c>
    </row>
    <row r="240" spans="1:7" ht="11.25" customHeight="1" x14ac:dyDescent="0.2">
      <c r="A240" s="67">
        <v>44621</v>
      </c>
      <c r="B240" s="58">
        <v>0</v>
      </c>
      <c r="C240" s="58">
        <v>0</v>
      </c>
      <c r="D240" s="58">
        <v>0</v>
      </c>
      <c r="E240" s="58">
        <v>0</v>
      </c>
      <c r="F240" s="58">
        <v>0</v>
      </c>
      <c r="G240" s="58">
        <v>0</v>
      </c>
    </row>
    <row r="241" spans="1:7" ht="11.25" customHeight="1" x14ac:dyDescent="0.2">
      <c r="A241" s="67">
        <v>44652</v>
      </c>
      <c r="B241" s="58">
        <v>0</v>
      </c>
      <c r="C241" s="58">
        <v>0</v>
      </c>
      <c r="D241" s="58">
        <v>0</v>
      </c>
      <c r="E241" s="58">
        <v>0</v>
      </c>
      <c r="F241" s="58">
        <v>0</v>
      </c>
      <c r="G241" s="58">
        <v>0</v>
      </c>
    </row>
    <row r="242" spans="1:7" ht="11.25" customHeight="1" x14ac:dyDescent="0.2">
      <c r="A242" s="67">
        <v>44682</v>
      </c>
      <c r="B242" s="58">
        <v>0</v>
      </c>
      <c r="C242" s="58">
        <v>0</v>
      </c>
      <c r="D242" s="58">
        <v>0</v>
      </c>
      <c r="E242" s="58">
        <v>0</v>
      </c>
      <c r="F242" s="58">
        <v>0</v>
      </c>
      <c r="G242" s="58">
        <v>0</v>
      </c>
    </row>
    <row r="243" spans="1:7" ht="11.25" customHeight="1" x14ac:dyDescent="0.2">
      <c r="A243" s="67">
        <v>44713</v>
      </c>
      <c r="B243" s="58">
        <v>0</v>
      </c>
      <c r="C243" s="58">
        <v>0</v>
      </c>
      <c r="D243" s="58">
        <v>0</v>
      </c>
      <c r="E243" s="58">
        <v>0</v>
      </c>
      <c r="F243" s="58">
        <v>0</v>
      </c>
      <c r="G243" s="58">
        <v>0</v>
      </c>
    </row>
    <row r="244" spans="1:7" ht="11.25" customHeight="1" x14ac:dyDescent="0.2">
      <c r="A244" s="67">
        <v>44743</v>
      </c>
      <c r="B244" s="58">
        <v>0</v>
      </c>
      <c r="C244" s="58">
        <v>0</v>
      </c>
      <c r="D244" s="58">
        <v>0</v>
      </c>
      <c r="E244" s="58">
        <v>0</v>
      </c>
      <c r="F244" s="58">
        <v>0</v>
      </c>
      <c r="G244" s="58">
        <v>0</v>
      </c>
    </row>
    <row r="245" spans="1:7" ht="11.25" customHeight="1" x14ac:dyDescent="0.2">
      <c r="A245" s="67">
        <v>44774</v>
      </c>
      <c r="B245" s="58">
        <v>0</v>
      </c>
      <c r="C245" s="58">
        <v>0</v>
      </c>
      <c r="D245" s="58">
        <v>0</v>
      </c>
      <c r="E245" s="58">
        <v>0</v>
      </c>
      <c r="F245" s="58">
        <v>0</v>
      </c>
      <c r="G245" s="58">
        <v>0</v>
      </c>
    </row>
    <row r="246" spans="1:7" ht="11.25" customHeight="1" x14ac:dyDescent="0.2">
      <c r="A246" s="67">
        <v>44805</v>
      </c>
      <c r="B246" s="58">
        <v>0</v>
      </c>
      <c r="C246" s="58">
        <v>0</v>
      </c>
      <c r="D246" s="58">
        <v>0</v>
      </c>
      <c r="E246" s="58">
        <v>0</v>
      </c>
      <c r="F246" s="58">
        <v>0</v>
      </c>
      <c r="G246" s="58">
        <v>0</v>
      </c>
    </row>
    <row r="247" spans="1:7" ht="11.25" customHeight="1" x14ac:dyDescent="0.2">
      <c r="A247" s="67">
        <v>44835</v>
      </c>
      <c r="B247" s="58">
        <v>0</v>
      </c>
      <c r="C247" s="58">
        <v>0</v>
      </c>
      <c r="D247" s="58">
        <v>0</v>
      </c>
      <c r="E247" s="58">
        <v>0</v>
      </c>
      <c r="F247" s="58">
        <v>0</v>
      </c>
      <c r="G247" s="58">
        <v>0</v>
      </c>
    </row>
    <row r="248" spans="1:7" ht="11.25" customHeight="1" x14ac:dyDescent="0.2">
      <c r="A248" s="67">
        <v>44866</v>
      </c>
      <c r="B248" s="58">
        <v>0</v>
      </c>
      <c r="C248" s="58">
        <v>0</v>
      </c>
      <c r="D248" s="58">
        <v>0</v>
      </c>
      <c r="E248" s="58">
        <v>0</v>
      </c>
      <c r="F248" s="58">
        <v>0</v>
      </c>
      <c r="G248" s="58">
        <v>0</v>
      </c>
    </row>
    <row r="249" spans="1:7" ht="11.25" customHeight="1" x14ac:dyDescent="0.2">
      <c r="A249" s="66" t="s">
        <v>25</v>
      </c>
      <c r="B249" s="58">
        <v>1316427.9341399998</v>
      </c>
      <c r="C249" s="58">
        <v>0</v>
      </c>
      <c r="D249" s="58">
        <v>1370469.725914197</v>
      </c>
      <c r="E249" s="58">
        <v>0</v>
      </c>
      <c r="F249" s="58">
        <v>1316427.9341399998</v>
      </c>
      <c r="G249" s="58">
        <v>1370469.725914197</v>
      </c>
    </row>
    <row r="250" spans="1:7" ht="11.25" customHeight="1" x14ac:dyDescent="0.2">
      <c r="A250" s="67">
        <v>44531</v>
      </c>
      <c r="B250" s="58">
        <v>125991.42336</v>
      </c>
      <c r="C250" s="58">
        <v>0</v>
      </c>
      <c r="D250" s="58">
        <v>131163.60338594567</v>
      </c>
      <c r="E250" s="58">
        <v>0</v>
      </c>
      <c r="F250" s="58">
        <v>125991.42336</v>
      </c>
      <c r="G250" s="58">
        <v>131163.60338594567</v>
      </c>
    </row>
    <row r="251" spans="1:7" ht="11.25" customHeight="1" x14ac:dyDescent="0.2">
      <c r="A251" s="67">
        <v>44562</v>
      </c>
      <c r="B251" s="58">
        <v>123500.75760000001</v>
      </c>
      <c r="C251" s="58">
        <v>0</v>
      </c>
      <c r="D251" s="58">
        <v>128570.69120827985</v>
      </c>
      <c r="E251" s="58">
        <v>0</v>
      </c>
      <c r="F251" s="58">
        <v>123500.75760000001</v>
      </c>
      <c r="G251" s="58">
        <v>128570.69120827985</v>
      </c>
    </row>
    <row r="252" spans="1:7" ht="11.25" customHeight="1" x14ac:dyDescent="0.2">
      <c r="A252" s="67">
        <v>44593</v>
      </c>
      <c r="B252" s="58">
        <v>117901.53144000001</v>
      </c>
      <c r="C252" s="58">
        <v>0</v>
      </c>
      <c r="D252" s="58">
        <v>122741.60649971217</v>
      </c>
      <c r="E252" s="58">
        <v>0</v>
      </c>
      <c r="F252" s="58">
        <v>117901.53144000001</v>
      </c>
      <c r="G252" s="58">
        <v>122741.60649971217</v>
      </c>
    </row>
    <row r="253" spans="1:7" ht="11.25" customHeight="1" x14ac:dyDescent="0.2">
      <c r="A253" s="67">
        <v>44621</v>
      </c>
      <c r="B253" s="58">
        <v>118178.08992</v>
      </c>
      <c r="C253" s="58">
        <v>0</v>
      </c>
      <c r="D253" s="58">
        <v>123029.51821478258</v>
      </c>
      <c r="E253" s="58">
        <v>0</v>
      </c>
      <c r="F253" s="58">
        <v>118178.08992</v>
      </c>
      <c r="G253" s="58">
        <v>123029.51821478258</v>
      </c>
    </row>
    <row r="254" spans="1:7" ht="11.25" customHeight="1" x14ac:dyDescent="0.2">
      <c r="A254" s="67">
        <v>44652</v>
      </c>
      <c r="B254" s="58">
        <v>105707.46384000001</v>
      </c>
      <c r="C254" s="58">
        <v>0</v>
      </c>
      <c r="D254" s="58">
        <v>110046.949961245</v>
      </c>
      <c r="E254" s="58">
        <v>0</v>
      </c>
      <c r="F254" s="58">
        <v>105707.46384000001</v>
      </c>
      <c r="G254" s="58">
        <v>110046.949961245</v>
      </c>
    </row>
    <row r="255" spans="1:7" ht="11.25" customHeight="1" x14ac:dyDescent="0.2">
      <c r="A255" s="67">
        <v>44682</v>
      </c>
      <c r="B255" s="58">
        <v>107170.74522</v>
      </c>
      <c r="C255" s="58">
        <v>0</v>
      </c>
      <c r="D255" s="58">
        <v>111570.30173750005</v>
      </c>
      <c r="E255" s="58">
        <v>0</v>
      </c>
      <c r="F255" s="58">
        <v>107170.74522</v>
      </c>
      <c r="G255" s="58">
        <v>111570.30173750005</v>
      </c>
    </row>
    <row r="256" spans="1:7" ht="11.25" customHeight="1" x14ac:dyDescent="0.2">
      <c r="A256" s="67">
        <v>44713</v>
      </c>
      <c r="B256" s="58">
        <v>103263.55776</v>
      </c>
      <c r="C256" s="58">
        <v>0</v>
      </c>
      <c r="D256" s="58">
        <v>107502.71703458221</v>
      </c>
      <c r="E256" s="58">
        <v>0</v>
      </c>
      <c r="F256" s="58">
        <v>103263.55776</v>
      </c>
      <c r="G256" s="58">
        <v>107502.71703458221</v>
      </c>
    </row>
    <row r="257" spans="1:7" ht="11.25" customHeight="1" x14ac:dyDescent="0.2">
      <c r="A257" s="67">
        <v>44743</v>
      </c>
      <c r="B257" s="58">
        <v>102293.55180000002</v>
      </c>
      <c r="C257" s="58">
        <v>0</v>
      </c>
      <c r="D257" s="58">
        <v>106492.890543013</v>
      </c>
      <c r="E257" s="58">
        <v>0</v>
      </c>
      <c r="F257" s="58">
        <v>102293.55180000002</v>
      </c>
      <c r="G257" s="58">
        <v>106492.890543013</v>
      </c>
    </row>
    <row r="258" spans="1:7" ht="11.25" customHeight="1" x14ac:dyDescent="0.2">
      <c r="A258" s="67">
        <v>44774</v>
      </c>
      <c r="B258" s="58">
        <v>103546.91160000001</v>
      </c>
      <c r="C258" s="58">
        <v>0</v>
      </c>
      <c r="D258" s="58">
        <v>107797.70307169881</v>
      </c>
      <c r="E258" s="58">
        <v>0</v>
      </c>
      <c r="F258" s="58">
        <v>103546.91160000001</v>
      </c>
      <c r="G258" s="58">
        <v>107797.70307169881</v>
      </c>
    </row>
    <row r="259" spans="1:7" ht="11.25" customHeight="1" x14ac:dyDescent="0.2">
      <c r="A259" s="67">
        <v>44805</v>
      </c>
      <c r="B259" s="58">
        <v>102106.69920000002</v>
      </c>
      <c r="C259" s="58">
        <v>0</v>
      </c>
      <c r="D259" s="58">
        <v>106298.36729956963</v>
      </c>
      <c r="E259" s="58">
        <v>0</v>
      </c>
      <c r="F259" s="58">
        <v>102106.69920000002</v>
      </c>
      <c r="G259" s="58">
        <v>106298.36729956963</v>
      </c>
    </row>
    <row r="260" spans="1:7" ht="11.25" customHeight="1" x14ac:dyDescent="0.2">
      <c r="A260" s="67">
        <v>44835</v>
      </c>
      <c r="B260" s="58">
        <v>103383.6012</v>
      </c>
      <c r="C260" s="58">
        <v>0</v>
      </c>
      <c r="D260" s="58">
        <v>107627.68847893407</v>
      </c>
      <c r="E260" s="58">
        <v>0</v>
      </c>
      <c r="F260" s="58">
        <v>103383.6012</v>
      </c>
      <c r="G260" s="58">
        <v>107627.68847893407</v>
      </c>
    </row>
    <row r="261" spans="1:7" ht="11.25" customHeight="1" x14ac:dyDescent="0.2">
      <c r="A261" s="67">
        <v>44866</v>
      </c>
      <c r="B261" s="58">
        <v>103383.6012</v>
      </c>
      <c r="C261" s="58">
        <v>0</v>
      </c>
      <c r="D261" s="58">
        <v>107627.68847893407</v>
      </c>
      <c r="E261" s="58">
        <v>0</v>
      </c>
      <c r="F261" s="58">
        <v>103383.6012</v>
      </c>
      <c r="G261" s="58">
        <v>107627.68847893407</v>
      </c>
    </row>
    <row r="262" spans="1:7" ht="11.25" customHeight="1" x14ac:dyDescent="0.2">
      <c r="A262" s="66" t="s">
        <v>36</v>
      </c>
      <c r="B262" s="58">
        <v>0</v>
      </c>
      <c r="C262" s="58">
        <v>2512591.8355128323</v>
      </c>
      <c r="D262" s="58">
        <v>0</v>
      </c>
      <c r="E262" s="58">
        <v>2566323.2876191833</v>
      </c>
      <c r="F262" s="58">
        <v>2512591.8355128323</v>
      </c>
      <c r="G262" s="58">
        <v>2566323.2876191833</v>
      </c>
    </row>
    <row r="263" spans="1:7" ht="11.25" customHeight="1" x14ac:dyDescent="0.2">
      <c r="A263" s="67">
        <v>44531</v>
      </c>
      <c r="B263" s="58">
        <v>0</v>
      </c>
      <c r="C263" s="58">
        <v>214320.15117619201</v>
      </c>
      <c r="D263" s="58">
        <v>0</v>
      </c>
      <c r="E263" s="58">
        <v>218903.35994714595</v>
      </c>
      <c r="F263" s="58">
        <v>214320.15117619201</v>
      </c>
      <c r="G263" s="58">
        <v>218903.35994714595</v>
      </c>
    </row>
    <row r="264" spans="1:7" ht="11.25" customHeight="1" x14ac:dyDescent="0.2">
      <c r="A264" s="67">
        <v>44562</v>
      </c>
      <c r="B264" s="58">
        <v>0</v>
      </c>
      <c r="C264" s="58">
        <v>230026.21525657605</v>
      </c>
      <c r="D264" s="58">
        <v>0</v>
      </c>
      <c r="E264" s="58">
        <v>234945.29618073316</v>
      </c>
      <c r="F264" s="58">
        <v>230026.21525657605</v>
      </c>
      <c r="G264" s="58">
        <v>234945.29618073316</v>
      </c>
    </row>
    <row r="265" spans="1:7" ht="11.25" customHeight="1" x14ac:dyDescent="0.2">
      <c r="A265" s="67">
        <v>44593</v>
      </c>
      <c r="B265" s="58">
        <v>0</v>
      </c>
      <c r="C265" s="58">
        <v>186313.37634201607</v>
      </c>
      <c r="D265" s="58">
        <v>0</v>
      </c>
      <c r="E265" s="58">
        <v>190297.66384792945</v>
      </c>
      <c r="F265" s="58">
        <v>186313.37634201607</v>
      </c>
      <c r="G265" s="58">
        <v>190297.66384792945</v>
      </c>
    </row>
    <row r="266" spans="1:7" ht="11.25" customHeight="1" x14ac:dyDescent="0.2">
      <c r="A266" s="67">
        <v>44621</v>
      </c>
      <c r="B266" s="58">
        <v>0</v>
      </c>
      <c r="C266" s="58">
        <v>185050.429190144</v>
      </c>
      <c r="D266" s="58">
        <v>0</v>
      </c>
      <c r="E266" s="58">
        <v>189007.70873422112</v>
      </c>
      <c r="F266" s="58">
        <v>185050.429190144</v>
      </c>
      <c r="G266" s="58">
        <v>189007.70873422112</v>
      </c>
    </row>
    <row r="267" spans="1:7" ht="11.25" customHeight="1" x14ac:dyDescent="0.2">
      <c r="A267" s="67">
        <v>44652</v>
      </c>
      <c r="B267" s="58">
        <v>0</v>
      </c>
      <c r="C267" s="58">
        <v>225151.375527936</v>
      </c>
      <c r="D267" s="58">
        <v>0</v>
      </c>
      <c r="E267" s="58">
        <v>229966.20863368368</v>
      </c>
      <c r="F267" s="58">
        <v>225151.375527936</v>
      </c>
      <c r="G267" s="58">
        <v>229966.20863368368</v>
      </c>
    </row>
    <row r="268" spans="1:7" ht="11.25" customHeight="1" x14ac:dyDescent="0.2">
      <c r="A268" s="67">
        <v>44682</v>
      </c>
      <c r="B268" s="58">
        <v>0</v>
      </c>
      <c r="C268" s="58">
        <v>191539.67769190404</v>
      </c>
      <c r="D268" s="58">
        <v>0</v>
      </c>
      <c r="E268" s="58">
        <v>195635.72897763466</v>
      </c>
      <c r="F268" s="58">
        <v>191539.67769190404</v>
      </c>
      <c r="G268" s="58">
        <v>195635.72897763466</v>
      </c>
    </row>
    <row r="269" spans="1:7" ht="11.25" customHeight="1" x14ac:dyDescent="0.2">
      <c r="A269" s="67">
        <v>44713</v>
      </c>
      <c r="B269" s="58">
        <v>0</v>
      </c>
      <c r="C269" s="58">
        <v>214701.66089523199</v>
      </c>
      <c r="D269" s="58">
        <v>0</v>
      </c>
      <c r="E269" s="58">
        <v>219293.02820228675</v>
      </c>
      <c r="F269" s="58">
        <v>214701.66089523199</v>
      </c>
      <c r="G269" s="58">
        <v>219293.02820228675</v>
      </c>
    </row>
    <row r="270" spans="1:7" ht="11.25" customHeight="1" x14ac:dyDescent="0.2">
      <c r="A270" s="67">
        <v>44743</v>
      </c>
      <c r="B270" s="58">
        <v>0</v>
      </c>
      <c r="C270" s="58">
        <v>184912.97736704003</v>
      </c>
      <c r="D270" s="58">
        <v>0</v>
      </c>
      <c r="E270" s="58">
        <v>188867.31752162072</v>
      </c>
      <c r="F270" s="58">
        <v>184912.97736704003</v>
      </c>
      <c r="G270" s="58">
        <v>188867.31752162072</v>
      </c>
    </row>
    <row r="271" spans="1:7" ht="11.25" customHeight="1" x14ac:dyDescent="0.2">
      <c r="A271" s="67">
        <v>44774</v>
      </c>
      <c r="B271" s="58">
        <v>0</v>
      </c>
      <c r="C271" s="58">
        <v>187641.87285043197</v>
      </c>
      <c r="D271" s="58">
        <v>0</v>
      </c>
      <c r="E271" s="58">
        <v>191654.57008271097</v>
      </c>
      <c r="F271" s="58">
        <v>187641.87285043197</v>
      </c>
      <c r="G271" s="58">
        <v>191654.57008271097</v>
      </c>
    </row>
    <row r="272" spans="1:7" ht="11.25" customHeight="1" x14ac:dyDescent="0.2">
      <c r="A272" s="67">
        <v>44805</v>
      </c>
      <c r="B272" s="58">
        <v>0</v>
      </c>
      <c r="C272" s="58">
        <v>243125.41106278403</v>
      </c>
      <c r="D272" s="58">
        <v>0</v>
      </c>
      <c r="E272" s="58">
        <v>248324.61659856528</v>
      </c>
      <c r="F272" s="58">
        <v>243125.41106278403</v>
      </c>
      <c r="G272" s="58">
        <v>248324.61659856528</v>
      </c>
    </row>
    <row r="273" spans="1:7" ht="11.25" customHeight="1" x14ac:dyDescent="0.2">
      <c r="A273" s="67">
        <v>44835</v>
      </c>
      <c r="B273" s="58">
        <v>0</v>
      </c>
      <c r="C273" s="58">
        <v>224904.34407628796</v>
      </c>
      <c r="D273" s="58">
        <v>0</v>
      </c>
      <c r="E273" s="58">
        <v>229713.8944463261</v>
      </c>
      <c r="F273" s="58">
        <v>224904.34407628796</v>
      </c>
      <c r="G273" s="58">
        <v>229713.8944463261</v>
      </c>
    </row>
    <row r="274" spans="1:7" ht="11.25" customHeight="1" x14ac:dyDescent="0.2">
      <c r="A274" s="67">
        <v>44866</v>
      </c>
      <c r="B274" s="58">
        <v>0</v>
      </c>
      <c r="C274" s="58">
        <v>224904.34407628796</v>
      </c>
      <c r="D274" s="58">
        <v>0</v>
      </c>
      <c r="E274" s="58">
        <v>229713.8944463261</v>
      </c>
      <c r="F274" s="58">
        <v>224904.34407628796</v>
      </c>
      <c r="G274" s="58">
        <v>229713.8944463261</v>
      </c>
    </row>
    <row r="275" spans="1:7" ht="11.25" customHeight="1" x14ac:dyDescent="0.2">
      <c r="A275" s="59" t="s">
        <v>937</v>
      </c>
      <c r="B275" s="58">
        <v>0</v>
      </c>
      <c r="C275" s="58">
        <v>0</v>
      </c>
      <c r="D275" s="58">
        <v>0</v>
      </c>
      <c r="E275" s="58">
        <v>0</v>
      </c>
      <c r="F275" s="58">
        <v>0</v>
      </c>
      <c r="G275" s="58">
        <v>0</v>
      </c>
    </row>
    <row r="276" spans="1:7" ht="11.25" customHeight="1" x14ac:dyDescent="0.2">
      <c r="A276" s="60" t="s">
        <v>41</v>
      </c>
      <c r="B276" s="58">
        <v>0</v>
      </c>
      <c r="C276" s="58">
        <v>0</v>
      </c>
      <c r="D276" s="58">
        <v>0</v>
      </c>
      <c r="E276" s="58">
        <v>0</v>
      </c>
      <c r="F276" s="58">
        <v>0</v>
      </c>
      <c r="G276" s="58">
        <v>0</v>
      </c>
    </row>
    <row r="277" spans="1:7" ht="11.25" customHeight="1" x14ac:dyDescent="0.2">
      <c r="A277" s="61" t="s">
        <v>62</v>
      </c>
      <c r="B277" s="58">
        <v>0</v>
      </c>
      <c r="C277" s="58">
        <v>0</v>
      </c>
      <c r="D277" s="58">
        <v>0</v>
      </c>
      <c r="E277" s="58">
        <v>0</v>
      </c>
      <c r="F277" s="58">
        <v>0</v>
      </c>
      <c r="G277" s="58">
        <v>0</v>
      </c>
    </row>
    <row r="278" spans="1:7" ht="11.25" customHeight="1" x14ac:dyDescent="0.2">
      <c r="A278" s="62" t="s">
        <v>25</v>
      </c>
      <c r="B278" s="58">
        <v>0</v>
      </c>
      <c r="C278" s="58">
        <v>0</v>
      </c>
      <c r="D278" s="58">
        <v>0</v>
      </c>
      <c r="E278" s="58">
        <v>0</v>
      </c>
      <c r="F278" s="58">
        <v>0</v>
      </c>
      <c r="G278" s="58">
        <v>0</v>
      </c>
    </row>
    <row r="279" spans="1:7" ht="11.25" customHeight="1" x14ac:dyDescent="0.2">
      <c r="A279" s="63" t="s">
        <v>25</v>
      </c>
      <c r="B279" s="58">
        <v>0</v>
      </c>
      <c r="C279" s="58">
        <v>0</v>
      </c>
      <c r="D279" s="58">
        <v>0</v>
      </c>
      <c r="E279" s="58">
        <v>0</v>
      </c>
      <c r="F279" s="58">
        <v>0</v>
      </c>
      <c r="G279" s="58">
        <v>0</v>
      </c>
    </row>
    <row r="280" spans="1:7" ht="11.25" customHeight="1" x14ac:dyDescent="0.2">
      <c r="A280" s="64" t="s">
        <v>25</v>
      </c>
      <c r="B280" s="58">
        <v>0</v>
      </c>
      <c r="C280" s="58">
        <v>0</v>
      </c>
      <c r="D280" s="58">
        <v>0</v>
      </c>
      <c r="E280" s="58">
        <v>0</v>
      </c>
      <c r="F280" s="58">
        <v>0</v>
      </c>
      <c r="G280" s="58">
        <v>0</v>
      </c>
    </row>
    <row r="281" spans="1:7" ht="11.25" customHeight="1" x14ac:dyDescent="0.2">
      <c r="A281" s="65" t="s">
        <v>63</v>
      </c>
      <c r="B281" s="58">
        <v>0</v>
      </c>
      <c r="C281" s="58">
        <v>0</v>
      </c>
      <c r="D281" s="58">
        <v>0</v>
      </c>
      <c r="E281" s="58">
        <v>0</v>
      </c>
      <c r="F281" s="58">
        <v>0</v>
      </c>
      <c r="G281" s="58">
        <v>0</v>
      </c>
    </row>
    <row r="282" spans="1:7" ht="11.25" customHeight="1" x14ac:dyDescent="0.2">
      <c r="A282" s="66" t="s">
        <v>37</v>
      </c>
      <c r="B282" s="58">
        <v>0</v>
      </c>
      <c r="C282" s="58">
        <v>0</v>
      </c>
      <c r="D282" s="58">
        <v>0</v>
      </c>
      <c r="E282" s="58">
        <v>0</v>
      </c>
      <c r="F282" s="58">
        <v>0</v>
      </c>
      <c r="G282" s="58">
        <v>0</v>
      </c>
    </row>
    <row r="283" spans="1:7" ht="11.25" customHeight="1" x14ac:dyDescent="0.2">
      <c r="A283" s="67">
        <v>44531</v>
      </c>
      <c r="B283" s="58">
        <v>0</v>
      </c>
      <c r="C283" s="58">
        <v>0</v>
      </c>
      <c r="D283" s="58">
        <v>0</v>
      </c>
      <c r="E283" s="58">
        <v>0</v>
      </c>
      <c r="F283" s="58">
        <v>0</v>
      </c>
      <c r="G283" s="58">
        <v>0</v>
      </c>
    </row>
    <row r="284" spans="1:7" ht="11.25" customHeight="1" x14ac:dyDescent="0.2">
      <c r="A284" s="67">
        <v>44562</v>
      </c>
      <c r="B284" s="58">
        <v>0</v>
      </c>
      <c r="C284" s="58">
        <v>0</v>
      </c>
      <c r="D284" s="58">
        <v>0</v>
      </c>
      <c r="E284" s="58">
        <v>0</v>
      </c>
      <c r="F284" s="58">
        <v>0</v>
      </c>
      <c r="G284" s="58">
        <v>0</v>
      </c>
    </row>
    <row r="285" spans="1:7" ht="11.25" customHeight="1" x14ac:dyDescent="0.2">
      <c r="A285" s="67">
        <v>44593</v>
      </c>
      <c r="B285" s="58">
        <v>0</v>
      </c>
      <c r="C285" s="58">
        <v>0</v>
      </c>
      <c r="D285" s="58">
        <v>0</v>
      </c>
      <c r="E285" s="58">
        <v>0</v>
      </c>
      <c r="F285" s="58">
        <v>0</v>
      </c>
      <c r="G285" s="58">
        <v>0</v>
      </c>
    </row>
    <row r="286" spans="1:7" ht="11.25" customHeight="1" x14ac:dyDescent="0.2">
      <c r="A286" s="67">
        <v>44621</v>
      </c>
      <c r="B286" s="58">
        <v>0</v>
      </c>
      <c r="C286" s="58">
        <v>0</v>
      </c>
      <c r="D286" s="58">
        <v>0</v>
      </c>
      <c r="E286" s="58">
        <v>0</v>
      </c>
      <c r="F286" s="58">
        <v>0</v>
      </c>
      <c r="G286" s="58">
        <v>0</v>
      </c>
    </row>
    <row r="287" spans="1:7" ht="11.25" customHeight="1" x14ac:dyDescent="0.2">
      <c r="A287" s="67">
        <v>44652</v>
      </c>
      <c r="B287" s="58">
        <v>0</v>
      </c>
      <c r="C287" s="58">
        <v>0</v>
      </c>
      <c r="D287" s="58">
        <v>0</v>
      </c>
      <c r="E287" s="58">
        <v>0</v>
      </c>
      <c r="F287" s="58">
        <v>0</v>
      </c>
      <c r="G287" s="58">
        <v>0</v>
      </c>
    </row>
    <row r="288" spans="1:7" ht="11.25" customHeight="1" x14ac:dyDescent="0.2">
      <c r="A288" s="67">
        <v>44682</v>
      </c>
      <c r="B288" s="58">
        <v>0</v>
      </c>
      <c r="C288" s="58">
        <v>0</v>
      </c>
      <c r="D288" s="58">
        <v>0</v>
      </c>
      <c r="E288" s="58">
        <v>0</v>
      </c>
      <c r="F288" s="58">
        <v>0</v>
      </c>
      <c r="G288" s="58">
        <v>0</v>
      </c>
    </row>
    <row r="289" spans="1:7" ht="11.25" customHeight="1" x14ac:dyDescent="0.2">
      <c r="A289" s="67">
        <v>44713</v>
      </c>
      <c r="B289" s="58">
        <v>0</v>
      </c>
      <c r="C289" s="58">
        <v>0</v>
      </c>
      <c r="D289" s="58">
        <v>0</v>
      </c>
      <c r="E289" s="58">
        <v>0</v>
      </c>
      <c r="F289" s="58">
        <v>0</v>
      </c>
      <c r="G289" s="58">
        <v>0</v>
      </c>
    </row>
    <row r="290" spans="1:7" ht="11.25" customHeight="1" x14ac:dyDescent="0.2">
      <c r="A290" s="67">
        <v>44743</v>
      </c>
      <c r="B290" s="58">
        <v>0</v>
      </c>
      <c r="C290" s="58">
        <v>0</v>
      </c>
      <c r="D290" s="58">
        <v>0</v>
      </c>
      <c r="E290" s="58">
        <v>0</v>
      </c>
      <c r="F290" s="58">
        <v>0</v>
      </c>
      <c r="G290" s="58">
        <v>0</v>
      </c>
    </row>
    <row r="291" spans="1:7" ht="11.25" customHeight="1" x14ac:dyDescent="0.2">
      <c r="A291" s="67">
        <v>44774</v>
      </c>
      <c r="B291" s="58">
        <v>0</v>
      </c>
      <c r="C291" s="58">
        <v>0</v>
      </c>
      <c r="D291" s="58">
        <v>0</v>
      </c>
      <c r="E291" s="58">
        <v>0</v>
      </c>
      <c r="F291" s="58">
        <v>0</v>
      </c>
      <c r="G291" s="58">
        <v>0</v>
      </c>
    </row>
    <row r="292" spans="1:7" ht="11.25" customHeight="1" x14ac:dyDescent="0.2">
      <c r="A292" s="67">
        <v>44805</v>
      </c>
      <c r="B292" s="58">
        <v>0</v>
      </c>
      <c r="C292" s="58">
        <v>0</v>
      </c>
      <c r="D292" s="58">
        <v>0</v>
      </c>
      <c r="E292" s="58">
        <v>0</v>
      </c>
      <c r="F292" s="58">
        <v>0</v>
      </c>
      <c r="G292" s="58">
        <v>0</v>
      </c>
    </row>
    <row r="293" spans="1:7" ht="11.25" customHeight="1" x14ac:dyDescent="0.2">
      <c r="A293" s="67">
        <v>44835</v>
      </c>
      <c r="B293" s="58">
        <v>0</v>
      </c>
      <c r="C293" s="58">
        <v>0</v>
      </c>
      <c r="D293" s="58">
        <v>0</v>
      </c>
      <c r="E293" s="58">
        <v>0</v>
      </c>
      <c r="F293" s="58">
        <v>0</v>
      </c>
      <c r="G293" s="58">
        <v>0</v>
      </c>
    </row>
    <row r="294" spans="1:7" ht="11.25" customHeight="1" x14ac:dyDescent="0.2">
      <c r="A294" s="67">
        <v>44866</v>
      </c>
      <c r="B294" s="58">
        <v>0</v>
      </c>
      <c r="C294" s="58">
        <v>0</v>
      </c>
      <c r="D294" s="58">
        <v>0</v>
      </c>
      <c r="E294" s="58">
        <v>0</v>
      </c>
      <c r="F294" s="58">
        <v>0</v>
      </c>
      <c r="G294" s="58">
        <v>0</v>
      </c>
    </row>
    <row r="295" spans="1:7" ht="11.25" customHeight="1" x14ac:dyDescent="0.2">
      <c r="A295" s="66" t="s">
        <v>25</v>
      </c>
      <c r="B295" s="58">
        <v>0</v>
      </c>
      <c r="C295" s="58">
        <v>0</v>
      </c>
      <c r="D295" s="58">
        <v>0</v>
      </c>
      <c r="E295" s="58">
        <v>0</v>
      </c>
      <c r="F295" s="58">
        <v>0</v>
      </c>
      <c r="G295" s="58">
        <v>0</v>
      </c>
    </row>
    <row r="296" spans="1:7" ht="11.25" customHeight="1" x14ac:dyDescent="0.2">
      <c r="A296" s="67">
        <v>44531</v>
      </c>
      <c r="B296" s="58">
        <v>0</v>
      </c>
      <c r="C296" s="58">
        <v>0</v>
      </c>
      <c r="D296" s="58">
        <v>0</v>
      </c>
      <c r="E296" s="58">
        <v>0</v>
      </c>
      <c r="F296" s="58">
        <v>0</v>
      </c>
      <c r="G296" s="58">
        <v>0</v>
      </c>
    </row>
    <row r="297" spans="1:7" ht="11.25" customHeight="1" x14ac:dyDescent="0.2">
      <c r="A297" s="67">
        <v>44562</v>
      </c>
      <c r="B297" s="58">
        <v>0</v>
      </c>
      <c r="C297" s="58">
        <v>0</v>
      </c>
      <c r="D297" s="58">
        <v>0</v>
      </c>
      <c r="E297" s="58">
        <v>0</v>
      </c>
      <c r="F297" s="58">
        <v>0</v>
      </c>
      <c r="G297" s="58">
        <v>0</v>
      </c>
    </row>
    <row r="298" spans="1:7" ht="11.25" customHeight="1" x14ac:dyDescent="0.2">
      <c r="A298" s="67">
        <v>44593</v>
      </c>
      <c r="B298" s="58">
        <v>0</v>
      </c>
      <c r="C298" s="58">
        <v>0</v>
      </c>
      <c r="D298" s="58">
        <v>0</v>
      </c>
      <c r="E298" s="58">
        <v>0</v>
      </c>
      <c r="F298" s="58">
        <v>0</v>
      </c>
      <c r="G298" s="58">
        <v>0</v>
      </c>
    </row>
    <row r="299" spans="1:7" ht="11.25" customHeight="1" x14ac:dyDescent="0.2">
      <c r="A299" s="67">
        <v>44621</v>
      </c>
      <c r="B299" s="58">
        <v>0</v>
      </c>
      <c r="C299" s="58">
        <v>0</v>
      </c>
      <c r="D299" s="58">
        <v>0</v>
      </c>
      <c r="E299" s="58">
        <v>0</v>
      </c>
      <c r="F299" s="58">
        <v>0</v>
      </c>
      <c r="G299" s="58">
        <v>0</v>
      </c>
    </row>
    <row r="300" spans="1:7" ht="11.25" customHeight="1" x14ac:dyDescent="0.2">
      <c r="A300" s="67">
        <v>44652</v>
      </c>
      <c r="B300" s="58">
        <v>0</v>
      </c>
      <c r="C300" s="58">
        <v>0</v>
      </c>
      <c r="D300" s="58">
        <v>0</v>
      </c>
      <c r="E300" s="58">
        <v>0</v>
      </c>
      <c r="F300" s="58">
        <v>0</v>
      </c>
      <c r="G300" s="58">
        <v>0</v>
      </c>
    </row>
    <row r="301" spans="1:7" ht="11.25" customHeight="1" x14ac:dyDescent="0.2">
      <c r="A301" s="67">
        <v>44682</v>
      </c>
      <c r="B301" s="58">
        <v>0</v>
      </c>
      <c r="C301" s="58">
        <v>0</v>
      </c>
      <c r="D301" s="58">
        <v>0</v>
      </c>
      <c r="E301" s="58">
        <v>0</v>
      </c>
      <c r="F301" s="58">
        <v>0</v>
      </c>
      <c r="G301" s="58">
        <v>0</v>
      </c>
    </row>
    <row r="302" spans="1:7" ht="11.25" customHeight="1" x14ac:dyDescent="0.2">
      <c r="A302" s="67">
        <v>44713</v>
      </c>
      <c r="B302" s="58">
        <v>0</v>
      </c>
      <c r="C302" s="58">
        <v>0</v>
      </c>
      <c r="D302" s="58">
        <v>0</v>
      </c>
      <c r="E302" s="58">
        <v>0</v>
      </c>
      <c r="F302" s="58">
        <v>0</v>
      </c>
      <c r="G302" s="58">
        <v>0</v>
      </c>
    </row>
    <row r="303" spans="1:7" ht="11.25" customHeight="1" x14ac:dyDescent="0.2">
      <c r="A303" s="67">
        <v>44743</v>
      </c>
      <c r="B303" s="58">
        <v>0</v>
      </c>
      <c r="C303" s="58">
        <v>0</v>
      </c>
      <c r="D303" s="58">
        <v>0</v>
      </c>
      <c r="E303" s="58">
        <v>0</v>
      </c>
      <c r="F303" s="58">
        <v>0</v>
      </c>
      <c r="G303" s="58">
        <v>0</v>
      </c>
    </row>
    <row r="304" spans="1:7" ht="11.25" customHeight="1" x14ac:dyDescent="0.2">
      <c r="A304" s="67">
        <v>44774</v>
      </c>
      <c r="B304" s="58">
        <v>0</v>
      </c>
      <c r="C304" s="58">
        <v>0</v>
      </c>
      <c r="D304" s="58">
        <v>0</v>
      </c>
      <c r="E304" s="58">
        <v>0</v>
      </c>
      <c r="F304" s="58">
        <v>0</v>
      </c>
      <c r="G304" s="58">
        <v>0</v>
      </c>
    </row>
    <row r="305" spans="1:7" ht="11.25" customHeight="1" x14ac:dyDescent="0.2">
      <c r="A305" s="67">
        <v>44805</v>
      </c>
      <c r="B305" s="58">
        <v>0</v>
      </c>
      <c r="C305" s="58">
        <v>0</v>
      </c>
      <c r="D305" s="58">
        <v>0</v>
      </c>
      <c r="E305" s="58">
        <v>0</v>
      </c>
      <c r="F305" s="58">
        <v>0</v>
      </c>
      <c r="G305" s="58">
        <v>0</v>
      </c>
    </row>
    <row r="306" spans="1:7" ht="11.25" customHeight="1" x14ac:dyDescent="0.2">
      <c r="A306" s="67">
        <v>44835</v>
      </c>
      <c r="B306" s="58">
        <v>0</v>
      </c>
      <c r="C306" s="58">
        <v>0</v>
      </c>
      <c r="D306" s="58">
        <v>0</v>
      </c>
      <c r="E306" s="58">
        <v>0</v>
      </c>
      <c r="F306" s="58">
        <v>0</v>
      </c>
      <c r="G306" s="58">
        <v>0</v>
      </c>
    </row>
    <row r="307" spans="1:7" ht="11.25" customHeight="1" x14ac:dyDescent="0.2">
      <c r="A307" s="67">
        <v>44866</v>
      </c>
      <c r="B307" s="58">
        <v>0</v>
      </c>
      <c r="C307" s="58">
        <v>0</v>
      </c>
      <c r="D307" s="58">
        <v>0</v>
      </c>
      <c r="E307" s="58">
        <v>0</v>
      </c>
      <c r="F307" s="58">
        <v>0</v>
      </c>
      <c r="G307" s="58">
        <v>0</v>
      </c>
    </row>
    <row r="308" spans="1:7" ht="11.25" customHeight="1" x14ac:dyDescent="0.2">
      <c r="A308" s="66" t="s">
        <v>36</v>
      </c>
      <c r="B308" s="58">
        <v>0</v>
      </c>
      <c r="C308" s="58">
        <v>0</v>
      </c>
      <c r="D308" s="58">
        <v>0</v>
      </c>
      <c r="E308" s="58">
        <v>0</v>
      </c>
      <c r="F308" s="58">
        <v>0</v>
      </c>
      <c r="G308" s="58">
        <v>0</v>
      </c>
    </row>
    <row r="309" spans="1:7" ht="11.25" customHeight="1" x14ac:dyDescent="0.2">
      <c r="A309" s="67">
        <v>44531</v>
      </c>
      <c r="B309" s="58">
        <v>0</v>
      </c>
      <c r="C309" s="58">
        <v>0</v>
      </c>
      <c r="D309" s="58">
        <v>0</v>
      </c>
      <c r="E309" s="58">
        <v>0</v>
      </c>
      <c r="F309" s="58">
        <v>0</v>
      </c>
      <c r="G309" s="58">
        <v>0</v>
      </c>
    </row>
    <row r="310" spans="1:7" ht="11.25" customHeight="1" x14ac:dyDescent="0.2">
      <c r="A310" s="67">
        <v>44562</v>
      </c>
      <c r="B310" s="58">
        <v>0</v>
      </c>
      <c r="C310" s="58">
        <v>0</v>
      </c>
      <c r="D310" s="58">
        <v>0</v>
      </c>
      <c r="E310" s="58">
        <v>0</v>
      </c>
      <c r="F310" s="58">
        <v>0</v>
      </c>
      <c r="G310" s="58">
        <v>0</v>
      </c>
    </row>
    <row r="311" spans="1:7" ht="11.25" customHeight="1" x14ac:dyDescent="0.2">
      <c r="A311" s="67">
        <v>44593</v>
      </c>
      <c r="B311" s="58">
        <v>0</v>
      </c>
      <c r="C311" s="58">
        <v>0</v>
      </c>
      <c r="D311" s="58">
        <v>0</v>
      </c>
      <c r="E311" s="58">
        <v>0</v>
      </c>
      <c r="F311" s="58">
        <v>0</v>
      </c>
      <c r="G311" s="58">
        <v>0</v>
      </c>
    </row>
    <row r="312" spans="1:7" ht="11.25" customHeight="1" x14ac:dyDescent="0.2">
      <c r="A312" s="67">
        <v>44621</v>
      </c>
      <c r="B312" s="58">
        <v>0</v>
      </c>
      <c r="C312" s="58">
        <v>0</v>
      </c>
      <c r="D312" s="58">
        <v>0</v>
      </c>
      <c r="E312" s="58">
        <v>0</v>
      </c>
      <c r="F312" s="58">
        <v>0</v>
      </c>
      <c r="G312" s="58">
        <v>0</v>
      </c>
    </row>
    <row r="313" spans="1:7" ht="11.25" customHeight="1" x14ac:dyDescent="0.2">
      <c r="A313" s="67">
        <v>44652</v>
      </c>
      <c r="B313" s="58">
        <v>0</v>
      </c>
      <c r="C313" s="58">
        <v>0</v>
      </c>
      <c r="D313" s="58">
        <v>0</v>
      </c>
      <c r="E313" s="58">
        <v>0</v>
      </c>
      <c r="F313" s="58">
        <v>0</v>
      </c>
      <c r="G313" s="58">
        <v>0</v>
      </c>
    </row>
    <row r="314" spans="1:7" ht="11.25" customHeight="1" x14ac:dyDescent="0.2">
      <c r="A314" s="67">
        <v>44682</v>
      </c>
      <c r="B314" s="58">
        <v>0</v>
      </c>
      <c r="C314" s="58">
        <v>0</v>
      </c>
      <c r="D314" s="58">
        <v>0</v>
      </c>
      <c r="E314" s="58">
        <v>0</v>
      </c>
      <c r="F314" s="58">
        <v>0</v>
      </c>
      <c r="G314" s="58">
        <v>0</v>
      </c>
    </row>
    <row r="315" spans="1:7" ht="11.25" customHeight="1" x14ac:dyDescent="0.2">
      <c r="A315" s="67">
        <v>44713</v>
      </c>
      <c r="B315" s="58">
        <v>0</v>
      </c>
      <c r="C315" s="58">
        <v>0</v>
      </c>
      <c r="D315" s="58">
        <v>0</v>
      </c>
      <c r="E315" s="58">
        <v>0</v>
      </c>
      <c r="F315" s="58">
        <v>0</v>
      </c>
      <c r="G315" s="58">
        <v>0</v>
      </c>
    </row>
    <row r="316" spans="1:7" ht="11.25" customHeight="1" x14ac:dyDescent="0.2">
      <c r="A316" s="67">
        <v>44743</v>
      </c>
      <c r="B316" s="58">
        <v>0</v>
      </c>
      <c r="C316" s="58">
        <v>0</v>
      </c>
      <c r="D316" s="58">
        <v>0</v>
      </c>
      <c r="E316" s="58">
        <v>0</v>
      </c>
      <c r="F316" s="58">
        <v>0</v>
      </c>
      <c r="G316" s="58">
        <v>0</v>
      </c>
    </row>
    <row r="317" spans="1:7" ht="11.25" customHeight="1" x14ac:dyDescent="0.2">
      <c r="A317" s="67">
        <v>44774</v>
      </c>
      <c r="B317" s="58">
        <v>0</v>
      </c>
      <c r="C317" s="58">
        <v>0</v>
      </c>
      <c r="D317" s="58">
        <v>0</v>
      </c>
      <c r="E317" s="58">
        <v>0</v>
      </c>
      <c r="F317" s="58">
        <v>0</v>
      </c>
      <c r="G317" s="58">
        <v>0</v>
      </c>
    </row>
    <row r="318" spans="1:7" ht="11.25" customHeight="1" x14ac:dyDescent="0.2">
      <c r="A318" s="67">
        <v>44805</v>
      </c>
      <c r="B318" s="58">
        <v>0</v>
      </c>
      <c r="C318" s="58">
        <v>0</v>
      </c>
      <c r="D318" s="58">
        <v>0</v>
      </c>
      <c r="E318" s="58">
        <v>0</v>
      </c>
      <c r="F318" s="58">
        <v>0</v>
      </c>
      <c r="G318" s="58">
        <v>0</v>
      </c>
    </row>
    <row r="319" spans="1:7" ht="11.25" customHeight="1" x14ac:dyDescent="0.2">
      <c r="A319" s="67">
        <v>44835</v>
      </c>
      <c r="B319" s="58">
        <v>0</v>
      </c>
      <c r="C319" s="58">
        <v>0</v>
      </c>
      <c r="D319" s="58">
        <v>0</v>
      </c>
      <c r="E319" s="58">
        <v>0</v>
      </c>
      <c r="F319" s="58">
        <v>0</v>
      </c>
      <c r="G319" s="58">
        <v>0</v>
      </c>
    </row>
    <row r="320" spans="1:7" ht="11.25" customHeight="1" x14ac:dyDescent="0.2">
      <c r="A320" s="67">
        <v>44866</v>
      </c>
      <c r="B320" s="58">
        <v>0</v>
      </c>
      <c r="C320" s="58">
        <v>0</v>
      </c>
      <c r="D320" s="58">
        <v>0</v>
      </c>
      <c r="E320" s="58">
        <v>0</v>
      </c>
      <c r="F320" s="58">
        <v>0</v>
      </c>
      <c r="G320" s="58">
        <v>0</v>
      </c>
    </row>
    <row r="321" spans="1:7" ht="11.25" customHeight="1" x14ac:dyDescent="0.2">
      <c r="A321" s="59" t="s">
        <v>934</v>
      </c>
      <c r="B321" s="58">
        <v>0</v>
      </c>
      <c r="C321" s="58">
        <v>33235.826624800007</v>
      </c>
      <c r="D321" s="58">
        <v>0</v>
      </c>
      <c r="E321" s="58">
        <v>37293.620519794677</v>
      </c>
      <c r="F321" s="58">
        <v>33235.826624800007</v>
      </c>
      <c r="G321" s="58">
        <v>37293.620519794669</v>
      </c>
    </row>
    <row r="322" spans="1:7" ht="11.25" customHeight="1" x14ac:dyDescent="0.2">
      <c r="A322" s="60" t="s">
        <v>43</v>
      </c>
      <c r="B322" s="58">
        <v>0</v>
      </c>
      <c r="C322" s="58">
        <v>1500.8948639999999</v>
      </c>
      <c r="D322" s="58">
        <v>0</v>
      </c>
      <c r="E322" s="58">
        <v>1975.4832615175364</v>
      </c>
      <c r="F322" s="58">
        <v>1500.8948639999999</v>
      </c>
      <c r="G322" s="58">
        <v>1975.4832615175364</v>
      </c>
    </row>
    <row r="323" spans="1:7" ht="11.25" customHeight="1" x14ac:dyDescent="0.2">
      <c r="A323" s="61" t="s">
        <v>44</v>
      </c>
      <c r="B323" s="58">
        <v>0</v>
      </c>
      <c r="C323" s="58">
        <v>1500.8948639999999</v>
      </c>
      <c r="D323" s="58">
        <v>0</v>
      </c>
      <c r="E323" s="58">
        <v>1975.4832615175364</v>
      </c>
      <c r="F323" s="58">
        <v>1500.8948639999999</v>
      </c>
      <c r="G323" s="58">
        <v>1975.4832615175364</v>
      </c>
    </row>
    <row r="324" spans="1:7" ht="11.25" customHeight="1" x14ac:dyDescent="0.2">
      <c r="A324" s="62" t="s">
        <v>47</v>
      </c>
      <c r="B324" s="58">
        <v>0</v>
      </c>
      <c r="C324" s="58">
        <v>1500.8948639999999</v>
      </c>
      <c r="D324" s="58">
        <v>0</v>
      </c>
      <c r="E324" s="58">
        <v>1975.4832615175364</v>
      </c>
      <c r="F324" s="58">
        <v>1500.8948639999999</v>
      </c>
      <c r="G324" s="58">
        <v>1975.4832615175364</v>
      </c>
    </row>
    <row r="325" spans="1:7" ht="11.25" customHeight="1" x14ac:dyDescent="0.2">
      <c r="A325" s="63" t="s">
        <v>55</v>
      </c>
      <c r="B325" s="58">
        <v>0</v>
      </c>
      <c r="C325" s="58">
        <v>1500.8948639999999</v>
      </c>
      <c r="D325" s="58">
        <v>0</v>
      </c>
      <c r="E325" s="58">
        <v>1975.4832615175364</v>
      </c>
      <c r="F325" s="58">
        <v>1500.8948639999999</v>
      </c>
      <c r="G325" s="58">
        <v>1975.4832615175364</v>
      </c>
    </row>
    <row r="326" spans="1:7" ht="11.25" customHeight="1" x14ac:dyDescent="0.2">
      <c r="A326" s="64" t="s">
        <v>57</v>
      </c>
      <c r="B326" s="58">
        <v>0</v>
      </c>
      <c r="C326" s="58">
        <v>1500.8948639999999</v>
      </c>
      <c r="D326" s="58">
        <v>0</v>
      </c>
      <c r="E326" s="58">
        <v>1975.4832615175364</v>
      </c>
      <c r="F326" s="58">
        <v>1500.8948639999999</v>
      </c>
      <c r="G326" s="58">
        <v>1975.4832615175364</v>
      </c>
    </row>
    <row r="327" spans="1:7" ht="11.25" customHeight="1" x14ac:dyDescent="0.2">
      <c r="A327" s="65" t="s">
        <v>25</v>
      </c>
      <c r="B327" s="58">
        <v>0</v>
      </c>
      <c r="C327" s="58">
        <v>1500.8948639999999</v>
      </c>
      <c r="D327" s="58">
        <v>0</v>
      </c>
      <c r="E327" s="58">
        <v>1975.4832615175364</v>
      </c>
      <c r="F327" s="58">
        <v>1500.8948639999999</v>
      </c>
      <c r="G327" s="58">
        <v>1975.4832615175364</v>
      </c>
    </row>
    <row r="328" spans="1:7" ht="11.25" customHeight="1" x14ac:dyDescent="0.2">
      <c r="A328" s="66" t="s">
        <v>37</v>
      </c>
      <c r="B328" s="58">
        <v>0</v>
      </c>
      <c r="C328" s="58">
        <v>1500.8948639999999</v>
      </c>
      <c r="D328" s="58">
        <v>0</v>
      </c>
      <c r="E328" s="58">
        <v>1975.4832615175364</v>
      </c>
      <c r="F328" s="58">
        <v>1500.8948639999999</v>
      </c>
      <c r="G328" s="58">
        <v>1975.4832615175364</v>
      </c>
    </row>
    <row r="329" spans="1:7" ht="11.25" customHeight="1" x14ac:dyDescent="0.2">
      <c r="A329" s="67">
        <v>44713</v>
      </c>
      <c r="B329" s="58">
        <v>0</v>
      </c>
      <c r="C329" s="58">
        <v>137.89496800000001</v>
      </c>
      <c r="D329" s="58">
        <v>0</v>
      </c>
      <c r="E329" s="58">
        <v>181.49785682223262</v>
      </c>
      <c r="F329" s="58">
        <v>137.89496800000001</v>
      </c>
      <c r="G329" s="58">
        <v>181.49785682223262</v>
      </c>
    </row>
    <row r="330" spans="1:7" ht="11.25" customHeight="1" x14ac:dyDescent="0.2">
      <c r="A330" s="67">
        <v>44743</v>
      </c>
      <c r="B330" s="58">
        <v>0</v>
      </c>
      <c r="C330" s="58">
        <v>330.90754399999997</v>
      </c>
      <c r="D330" s="58">
        <v>0</v>
      </c>
      <c r="E330" s="58">
        <v>435.54170912392283</v>
      </c>
      <c r="F330" s="58">
        <v>330.90754399999997</v>
      </c>
      <c r="G330" s="58">
        <v>435.54170912392283</v>
      </c>
    </row>
    <row r="331" spans="1:7" ht="11.25" customHeight="1" x14ac:dyDescent="0.2">
      <c r="A331" s="67">
        <v>44774</v>
      </c>
      <c r="B331" s="58">
        <v>0</v>
      </c>
      <c r="C331" s="58">
        <v>370.88295199999999</v>
      </c>
      <c r="D331" s="58">
        <v>0</v>
      </c>
      <c r="E331" s="58">
        <v>488.15748606506787</v>
      </c>
      <c r="F331" s="58">
        <v>370.88295199999999</v>
      </c>
      <c r="G331" s="58">
        <v>488.15748606506787</v>
      </c>
    </row>
    <row r="332" spans="1:7" ht="11.25" customHeight="1" x14ac:dyDescent="0.2">
      <c r="A332" s="67">
        <v>44805</v>
      </c>
      <c r="B332" s="58">
        <v>0</v>
      </c>
      <c r="C332" s="58">
        <v>200.48272800000001</v>
      </c>
      <c r="D332" s="58">
        <v>0</v>
      </c>
      <c r="E332" s="58">
        <v>263.87609344725769</v>
      </c>
      <c r="F332" s="58">
        <v>200.48272800000001</v>
      </c>
      <c r="G332" s="58">
        <v>263.87609344725769</v>
      </c>
    </row>
    <row r="333" spans="1:7" ht="11.25" customHeight="1" x14ac:dyDescent="0.2">
      <c r="A333" s="67">
        <v>44835</v>
      </c>
      <c r="B333" s="58">
        <v>0</v>
      </c>
      <c r="C333" s="58">
        <v>230.363336</v>
      </c>
      <c r="D333" s="58">
        <v>0</v>
      </c>
      <c r="E333" s="58">
        <v>303.20505802952778</v>
      </c>
      <c r="F333" s="58">
        <v>230.363336</v>
      </c>
      <c r="G333" s="58">
        <v>303.20505802952778</v>
      </c>
    </row>
    <row r="334" spans="1:7" ht="11.25" customHeight="1" x14ac:dyDescent="0.2">
      <c r="A334" s="67">
        <v>44866</v>
      </c>
      <c r="B334" s="58">
        <v>0</v>
      </c>
      <c r="C334" s="58">
        <v>230.363336</v>
      </c>
      <c r="D334" s="58">
        <v>0</v>
      </c>
      <c r="E334" s="58">
        <v>303.20505802952778</v>
      </c>
      <c r="F334" s="58">
        <v>230.363336</v>
      </c>
      <c r="G334" s="58">
        <v>303.20505802952778</v>
      </c>
    </row>
    <row r="335" spans="1:7" ht="11.25" customHeight="1" x14ac:dyDescent="0.2">
      <c r="A335" s="60" t="s">
        <v>46</v>
      </c>
      <c r="B335" s="58">
        <v>0</v>
      </c>
      <c r="C335" s="58">
        <v>31734.931760800006</v>
      </c>
      <c r="D335" s="58">
        <v>0</v>
      </c>
      <c r="E335" s="58">
        <v>35318.137258277136</v>
      </c>
      <c r="F335" s="58">
        <v>31734.931760800013</v>
      </c>
      <c r="G335" s="58">
        <v>35318.137258277136</v>
      </c>
    </row>
    <row r="336" spans="1:7" ht="11.25" customHeight="1" x14ac:dyDescent="0.2">
      <c r="A336" s="61" t="s">
        <v>23</v>
      </c>
      <c r="B336" s="58">
        <v>0</v>
      </c>
      <c r="C336" s="58">
        <v>31734.931760800006</v>
      </c>
      <c r="D336" s="58">
        <v>0</v>
      </c>
      <c r="E336" s="58">
        <v>35318.137258277136</v>
      </c>
      <c r="F336" s="58">
        <v>31734.931760800013</v>
      </c>
      <c r="G336" s="58">
        <v>35318.137258277136</v>
      </c>
    </row>
    <row r="337" spans="1:7" ht="11.25" customHeight="1" x14ac:dyDescent="0.2">
      <c r="A337" s="62" t="s">
        <v>47</v>
      </c>
      <c r="B337" s="58">
        <v>0</v>
      </c>
      <c r="C337" s="58">
        <v>31734.931760800006</v>
      </c>
      <c r="D337" s="58">
        <v>0</v>
      </c>
      <c r="E337" s="58">
        <v>35318.137258277136</v>
      </c>
      <c r="F337" s="58">
        <v>31734.931760800013</v>
      </c>
      <c r="G337" s="58">
        <v>35318.137258277136</v>
      </c>
    </row>
    <row r="338" spans="1:7" ht="11.25" customHeight="1" x14ac:dyDescent="0.2">
      <c r="A338" s="63" t="s">
        <v>55</v>
      </c>
      <c r="B338" s="58">
        <v>0</v>
      </c>
      <c r="C338" s="58">
        <v>31734.931760800006</v>
      </c>
      <c r="D338" s="58">
        <v>0</v>
      </c>
      <c r="E338" s="58">
        <v>35318.137258277136</v>
      </c>
      <c r="F338" s="58">
        <v>31734.931760800013</v>
      </c>
      <c r="G338" s="58">
        <v>35318.137258277136</v>
      </c>
    </row>
    <row r="339" spans="1:7" ht="11.25" customHeight="1" x14ac:dyDescent="0.2">
      <c r="A339" s="64" t="s">
        <v>57</v>
      </c>
      <c r="B339" s="58">
        <v>0</v>
      </c>
      <c r="C339" s="58">
        <v>31734.931760800006</v>
      </c>
      <c r="D339" s="58">
        <v>0</v>
      </c>
      <c r="E339" s="58">
        <v>35318.137258277136</v>
      </c>
      <c r="F339" s="58">
        <v>31734.931760800013</v>
      </c>
      <c r="G339" s="58">
        <v>35318.137258277136</v>
      </c>
    </row>
    <row r="340" spans="1:7" ht="11.25" customHeight="1" x14ac:dyDescent="0.2">
      <c r="A340" s="65" t="s">
        <v>25</v>
      </c>
      <c r="B340" s="58">
        <v>0</v>
      </c>
      <c r="C340" s="58">
        <v>31734.931760800006</v>
      </c>
      <c r="D340" s="58">
        <v>0</v>
      </c>
      <c r="E340" s="58">
        <v>35318.137258277136</v>
      </c>
      <c r="F340" s="58">
        <v>31734.931760800013</v>
      </c>
      <c r="G340" s="58">
        <v>35318.137258277136</v>
      </c>
    </row>
    <row r="341" spans="1:7" ht="11.25" customHeight="1" x14ac:dyDescent="0.2">
      <c r="A341" s="66" t="s">
        <v>25</v>
      </c>
      <c r="B341" s="58">
        <v>0</v>
      </c>
      <c r="C341" s="58">
        <v>31734.931760800006</v>
      </c>
      <c r="D341" s="58">
        <v>0</v>
      </c>
      <c r="E341" s="58">
        <v>35318.137258277136</v>
      </c>
      <c r="F341" s="58">
        <v>31734.931760800013</v>
      </c>
      <c r="G341" s="58">
        <v>35318.137258277136</v>
      </c>
    </row>
    <row r="342" spans="1:7" ht="11.25" customHeight="1" x14ac:dyDescent="0.2">
      <c r="A342" s="67">
        <v>44531</v>
      </c>
      <c r="B342" s="58">
        <v>0</v>
      </c>
      <c r="C342" s="58">
        <v>1410.9663472000002</v>
      </c>
      <c r="D342" s="58">
        <v>0</v>
      </c>
      <c r="E342" s="58">
        <v>1570.279195582656</v>
      </c>
      <c r="F342" s="58">
        <v>1410.9663472000002</v>
      </c>
      <c r="G342" s="58">
        <v>1570.279195582656</v>
      </c>
    </row>
    <row r="343" spans="1:7" ht="11.25" customHeight="1" x14ac:dyDescent="0.2">
      <c r="A343" s="67">
        <v>44562</v>
      </c>
      <c r="B343" s="58">
        <v>0</v>
      </c>
      <c r="C343" s="58">
        <v>2605.6996032000002</v>
      </c>
      <c r="D343" s="58">
        <v>0</v>
      </c>
      <c r="E343" s="58">
        <v>2899.9103238448533</v>
      </c>
      <c r="F343" s="58">
        <v>2605.6996032000002</v>
      </c>
      <c r="G343" s="58">
        <v>2899.9103238448533</v>
      </c>
    </row>
    <row r="344" spans="1:7" ht="11.25" customHeight="1" x14ac:dyDescent="0.2">
      <c r="A344" s="67">
        <v>44593</v>
      </c>
      <c r="B344" s="58">
        <v>0</v>
      </c>
      <c r="C344" s="58">
        <v>3518.3304440000006</v>
      </c>
      <c r="D344" s="58">
        <v>0</v>
      </c>
      <c r="E344" s="58">
        <v>3915.586725623848</v>
      </c>
      <c r="F344" s="58">
        <v>3518.3304440000006</v>
      </c>
      <c r="G344" s="58">
        <v>3915.586725623848</v>
      </c>
    </row>
    <row r="345" spans="1:7" ht="11.25" customHeight="1" x14ac:dyDescent="0.2">
      <c r="A345" s="67">
        <v>44621</v>
      </c>
      <c r="B345" s="58">
        <v>0</v>
      </c>
      <c r="C345" s="58">
        <v>1045.7323024000002</v>
      </c>
      <c r="D345" s="58">
        <v>0</v>
      </c>
      <c r="E345" s="58">
        <v>1163.8064096044027</v>
      </c>
      <c r="F345" s="58">
        <v>1045.7323024000002</v>
      </c>
      <c r="G345" s="58">
        <v>1163.8064096044027</v>
      </c>
    </row>
    <row r="346" spans="1:7" ht="11.25" customHeight="1" x14ac:dyDescent="0.2">
      <c r="A346" s="67">
        <v>44652</v>
      </c>
      <c r="B346" s="58">
        <v>0</v>
      </c>
      <c r="C346" s="58">
        <v>837.22182160000011</v>
      </c>
      <c r="D346" s="58">
        <v>0</v>
      </c>
      <c r="E346" s="58">
        <v>931.75291611681757</v>
      </c>
      <c r="F346" s="58">
        <v>837.22182160000011</v>
      </c>
      <c r="G346" s="58">
        <v>931.75291611681757</v>
      </c>
    </row>
    <row r="347" spans="1:7" ht="11.25" customHeight="1" x14ac:dyDescent="0.2">
      <c r="A347" s="67">
        <v>44682</v>
      </c>
      <c r="B347" s="58">
        <v>0</v>
      </c>
      <c r="C347" s="58">
        <v>1553.6075040000001</v>
      </c>
      <c r="D347" s="58">
        <v>0</v>
      </c>
      <c r="E347" s="58">
        <v>1729.0260299074966</v>
      </c>
      <c r="F347" s="58">
        <v>1553.6075040000001</v>
      </c>
      <c r="G347" s="58">
        <v>1729.0260299074966</v>
      </c>
    </row>
    <row r="348" spans="1:7" ht="11.25" customHeight="1" x14ac:dyDescent="0.2">
      <c r="A348" s="67">
        <v>44713</v>
      </c>
      <c r="B348" s="58">
        <v>0</v>
      </c>
      <c r="C348" s="58">
        <v>2140.5258944000007</v>
      </c>
      <c r="D348" s="58">
        <v>0</v>
      </c>
      <c r="E348" s="58">
        <v>2382.2136412058844</v>
      </c>
      <c r="F348" s="58">
        <v>2140.5258944000007</v>
      </c>
      <c r="G348" s="58">
        <v>2382.2136412058844</v>
      </c>
    </row>
    <row r="349" spans="1:7" ht="11.25" customHeight="1" x14ac:dyDescent="0.2">
      <c r="A349" s="67">
        <v>44743</v>
      </c>
      <c r="B349" s="58">
        <v>0</v>
      </c>
      <c r="C349" s="58">
        <v>3746.3745864000007</v>
      </c>
      <c r="D349" s="58">
        <v>0</v>
      </c>
      <c r="E349" s="58">
        <v>4169.3794352769364</v>
      </c>
      <c r="F349" s="58">
        <v>3746.3745864000007</v>
      </c>
      <c r="G349" s="58">
        <v>4169.3794352769364</v>
      </c>
    </row>
    <row r="350" spans="1:7" ht="11.25" customHeight="1" x14ac:dyDescent="0.2">
      <c r="A350" s="67">
        <v>44774</v>
      </c>
      <c r="B350" s="58">
        <v>0</v>
      </c>
      <c r="C350" s="58">
        <v>5306.7961584000004</v>
      </c>
      <c r="D350" s="58">
        <v>0</v>
      </c>
      <c r="E350" s="58">
        <v>5905.988912684028</v>
      </c>
      <c r="F350" s="58">
        <v>5306.7961584000004</v>
      </c>
      <c r="G350" s="58">
        <v>5905.988912684028</v>
      </c>
    </row>
    <row r="351" spans="1:7" ht="11.25" customHeight="1" x14ac:dyDescent="0.2">
      <c r="A351" s="67">
        <v>44805</v>
      </c>
      <c r="B351" s="58">
        <v>0</v>
      </c>
      <c r="C351" s="58">
        <v>3704.1273648000006</v>
      </c>
      <c r="D351" s="58">
        <v>0</v>
      </c>
      <c r="E351" s="58">
        <v>4122.3620607794528</v>
      </c>
      <c r="F351" s="58">
        <v>3704.1273648000006</v>
      </c>
      <c r="G351" s="58">
        <v>4122.3620607794528</v>
      </c>
    </row>
    <row r="352" spans="1:7" ht="11.25" customHeight="1" x14ac:dyDescent="0.2">
      <c r="A352" s="67">
        <v>44835</v>
      </c>
      <c r="B352" s="58">
        <v>0</v>
      </c>
      <c r="C352" s="58">
        <v>2932.7748671999998</v>
      </c>
      <c r="D352" s="58">
        <v>0</v>
      </c>
      <c r="E352" s="58">
        <v>3263.915803825379</v>
      </c>
      <c r="F352" s="58">
        <v>2932.7748671999998</v>
      </c>
      <c r="G352" s="58">
        <v>3263.915803825379</v>
      </c>
    </row>
    <row r="353" spans="1:7" ht="11.25" customHeight="1" x14ac:dyDescent="0.2">
      <c r="A353" s="67">
        <v>44866</v>
      </c>
      <c r="B353" s="58">
        <v>0</v>
      </c>
      <c r="C353" s="58">
        <v>2932.7748671999998</v>
      </c>
      <c r="D353" s="58">
        <v>0</v>
      </c>
      <c r="E353" s="58">
        <v>3263.915803825379</v>
      </c>
      <c r="F353" s="58">
        <v>2932.7748671999998</v>
      </c>
      <c r="G353" s="58">
        <v>3263.915803825379</v>
      </c>
    </row>
    <row r="354" spans="1:7" ht="11.25" customHeight="1" x14ac:dyDescent="0.2">
      <c r="A354" s="59" t="s">
        <v>933</v>
      </c>
      <c r="B354" s="58">
        <v>1618.7303999999997</v>
      </c>
      <c r="C354" s="58">
        <v>3520476.3837262401</v>
      </c>
      <c r="D354" s="58">
        <v>837.55769554490257</v>
      </c>
      <c r="E354" s="58">
        <v>2016939.1329073759</v>
      </c>
      <c r="F354" s="58">
        <v>3522095.1141262413</v>
      </c>
      <c r="G354" s="58">
        <v>2017776.6906029207</v>
      </c>
    </row>
    <row r="355" spans="1:7" ht="11.25" customHeight="1" x14ac:dyDescent="0.2">
      <c r="A355" s="60" t="s">
        <v>43</v>
      </c>
      <c r="B355" s="58">
        <v>973.36799999999994</v>
      </c>
      <c r="C355" s="58">
        <v>1372.4899583999998</v>
      </c>
      <c r="D355" s="58">
        <v>506.66327475233618</v>
      </c>
      <c r="E355" s="58">
        <v>822.2145834135606</v>
      </c>
      <c r="F355" s="58">
        <v>2345.8579583999999</v>
      </c>
      <c r="G355" s="58">
        <v>1328.8778581658967</v>
      </c>
    </row>
    <row r="356" spans="1:7" ht="11.25" customHeight="1" x14ac:dyDescent="0.2">
      <c r="A356" s="61" t="s">
        <v>44</v>
      </c>
      <c r="B356" s="58">
        <v>973.36799999999994</v>
      </c>
      <c r="C356" s="58">
        <v>1372.4899583999998</v>
      </c>
      <c r="D356" s="58">
        <v>506.66327475233618</v>
      </c>
      <c r="E356" s="58">
        <v>822.2145834135606</v>
      </c>
      <c r="F356" s="58">
        <v>2345.8579583999999</v>
      </c>
      <c r="G356" s="58">
        <v>1328.8778581658967</v>
      </c>
    </row>
    <row r="357" spans="1:7" ht="11.25" customHeight="1" x14ac:dyDescent="0.2">
      <c r="A357" s="62" t="s">
        <v>47</v>
      </c>
      <c r="B357" s="58">
        <v>973.36799999999994</v>
      </c>
      <c r="C357" s="58">
        <v>1372.4899583999998</v>
      </c>
      <c r="D357" s="58">
        <v>506.66327475233618</v>
      </c>
      <c r="E357" s="58">
        <v>822.2145834135606</v>
      </c>
      <c r="F357" s="58">
        <v>2345.8579583999999</v>
      </c>
      <c r="G357" s="58">
        <v>1328.8778581658967</v>
      </c>
    </row>
    <row r="358" spans="1:7" ht="11.25" customHeight="1" x14ac:dyDescent="0.2">
      <c r="A358" s="63" t="s">
        <v>55</v>
      </c>
      <c r="B358" s="58">
        <v>68.903999999999996</v>
      </c>
      <c r="C358" s="58">
        <v>28.518418400000002</v>
      </c>
      <c r="D358" s="58">
        <v>35.866318066276037</v>
      </c>
      <c r="E358" s="58">
        <v>18.322561440582422</v>
      </c>
      <c r="F358" s="58">
        <v>97.422418399999998</v>
      </c>
      <c r="G358" s="58">
        <v>54.188879506858456</v>
      </c>
    </row>
    <row r="359" spans="1:7" ht="11.25" customHeight="1" x14ac:dyDescent="0.2">
      <c r="A359" s="64" t="s">
        <v>25</v>
      </c>
      <c r="B359" s="58">
        <v>68.903999999999996</v>
      </c>
      <c r="C359" s="58">
        <v>28.518418400000002</v>
      </c>
      <c r="D359" s="58">
        <v>35.866318066276037</v>
      </c>
      <c r="E359" s="58">
        <v>18.322561440582422</v>
      </c>
      <c r="F359" s="58">
        <v>97.422418399999998</v>
      </c>
      <c r="G359" s="58">
        <v>54.188879506858456</v>
      </c>
    </row>
    <row r="360" spans="1:7" ht="11.25" customHeight="1" x14ac:dyDescent="0.2">
      <c r="A360" s="65" t="s">
        <v>25</v>
      </c>
      <c r="B360" s="58">
        <v>68.903999999999996</v>
      </c>
      <c r="C360" s="58">
        <v>28.518418400000002</v>
      </c>
      <c r="D360" s="58">
        <v>35.866318066276037</v>
      </c>
      <c r="E360" s="58">
        <v>18.322561440582422</v>
      </c>
      <c r="F360" s="58">
        <v>97.422418399999998</v>
      </c>
      <c r="G360" s="58">
        <v>54.188879506858456</v>
      </c>
    </row>
    <row r="361" spans="1:7" ht="11.25" customHeight="1" x14ac:dyDescent="0.2">
      <c r="A361" s="66" t="s">
        <v>37</v>
      </c>
      <c r="B361" s="58">
        <v>0</v>
      </c>
      <c r="C361" s="58">
        <v>24.873587199999999</v>
      </c>
      <c r="D361" s="58">
        <v>0</v>
      </c>
      <c r="E361" s="58">
        <v>16.369352826134016</v>
      </c>
      <c r="F361" s="58">
        <v>24.873587199999999</v>
      </c>
      <c r="G361" s="58">
        <v>16.369352826134016</v>
      </c>
    </row>
    <row r="362" spans="1:7" ht="11.25" customHeight="1" x14ac:dyDescent="0.2">
      <c r="A362" s="67">
        <v>44774</v>
      </c>
      <c r="B362" s="58">
        <v>0</v>
      </c>
      <c r="C362" s="58">
        <v>7.4196780000000002</v>
      </c>
      <c r="D362" s="58">
        <v>0</v>
      </c>
      <c r="E362" s="58">
        <v>4.8829035418865665</v>
      </c>
      <c r="F362" s="58">
        <v>7.4196780000000002</v>
      </c>
      <c r="G362" s="58">
        <v>4.8829035418865665</v>
      </c>
    </row>
    <row r="363" spans="1:7" ht="11.25" customHeight="1" x14ac:dyDescent="0.2">
      <c r="A363" s="67">
        <v>44805</v>
      </c>
      <c r="B363" s="58">
        <v>0</v>
      </c>
      <c r="C363" s="58">
        <v>7.1975924000000004</v>
      </c>
      <c r="D363" s="58">
        <v>0</v>
      </c>
      <c r="E363" s="58">
        <v>4.7367486059389412</v>
      </c>
      <c r="F363" s="58">
        <v>7.1975924000000004</v>
      </c>
      <c r="G363" s="58">
        <v>4.7367486059389412</v>
      </c>
    </row>
    <row r="364" spans="1:7" ht="11.25" customHeight="1" x14ac:dyDescent="0.2">
      <c r="A364" s="67">
        <v>44835</v>
      </c>
      <c r="B364" s="58">
        <v>0</v>
      </c>
      <c r="C364" s="58">
        <v>5.1281584000000002</v>
      </c>
      <c r="D364" s="58">
        <v>0</v>
      </c>
      <c r="E364" s="58">
        <v>3.3748503391542526</v>
      </c>
      <c r="F364" s="58">
        <v>5.1281584000000002</v>
      </c>
      <c r="G364" s="58">
        <v>3.3748503391542526</v>
      </c>
    </row>
    <row r="365" spans="1:7" ht="11.25" customHeight="1" x14ac:dyDescent="0.2">
      <c r="A365" s="67">
        <v>44866</v>
      </c>
      <c r="B365" s="58">
        <v>0</v>
      </c>
      <c r="C365" s="58">
        <v>5.1281584000000002</v>
      </c>
      <c r="D365" s="58">
        <v>0</v>
      </c>
      <c r="E365" s="58">
        <v>3.3748503391542526</v>
      </c>
      <c r="F365" s="58">
        <v>5.1281584000000002</v>
      </c>
      <c r="G365" s="58">
        <v>3.3748503391542526</v>
      </c>
    </row>
    <row r="366" spans="1:7" ht="11.25" customHeight="1" x14ac:dyDescent="0.2">
      <c r="A366" s="66" t="s">
        <v>25</v>
      </c>
      <c r="B366" s="58">
        <v>68.903999999999996</v>
      </c>
      <c r="C366" s="58">
        <v>0</v>
      </c>
      <c r="D366" s="58">
        <v>35.866318066276037</v>
      </c>
      <c r="E366" s="58">
        <v>0</v>
      </c>
      <c r="F366" s="58">
        <v>68.903999999999996</v>
      </c>
      <c r="G366" s="58">
        <v>35.866318066276037</v>
      </c>
    </row>
    <row r="367" spans="1:7" ht="11.25" customHeight="1" x14ac:dyDescent="0.2">
      <c r="A367" s="67">
        <v>44713</v>
      </c>
      <c r="B367" s="58">
        <v>11.88</v>
      </c>
      <c r="C367" s="58">
        <v>0</v>
      </c>
      <c r="D367" s="58">
        <v>6.1838479424613855</v>
      </c>
      <c r="E367" s="58">
        <v>0</v>
      </c>
      <c r="F367" s="58">
        <v>11.88</v>
      </c>
      <c r="G367" s="58">
        <v>6.1838479424613855</v>
      </c>
    </row>
    <row r="368" spans="1:7" ht="11.25" customHeight="1" x14ac:dyDescent="0.2">
      <c r="A368" s="67">
        <v>44743</v>
      </c>
      <c r="B368" s="58">
        <v>11.88</v>
      </c>
      <c r="C368" s="58">
        <v>0</v>
      </c>
      <c r="D368" s="58">
        <v>6.1838479424613855</v>
      </c>
      <c r="E368" s="58">
        <v>0</v>
      </c>
      <c r="F368" s="58">
        <v>11.88</v>
      </c>
      <c r="G368" s="58">
        <v>6.1838479424613855</v>
      </c>
    </row>
    <row r="369" spans="1:7" ht="11.25" customHeight="1" x14ac:dyDescent="0.2">
      <c r="A369" s="67">
        <v>44774</v>
      </c>
      <c r="B369" s="58">
        <v>11.88</v>
      </c>
      <c r="C369" s="58">
        <v>0</v>
      </c>
      <c r="D369" s="58">
        <v>6.1838479424613855</v>
      </c>
      <c r="E369" s="58">
        <v>0</v>
      </c>
      <c r="F369" s="58">
        <v>11.88</v>
      </c>
      <c r="G369" s="58">
        <v>6.1838479424613855</v>
      </c>
    </row>
    <row r="370" spans="1:7" ht="11.25" customHeight="1" x14ac:dyDescent="0.2">
      <c r="A370" s="67">
        <v>44805</v>
      </c>
      <c r="B370" s="58">
        <v>11.088000000000001</v>
      </c>
      <c r="C370" s="58">
        <v>0</v>
      </c>
      <c r="D370" s="58">
        <v>5.7715914129639598</v>
      </c>
      <c r="E370" s="58">
        <v>0</v>
      </c>
      <c r="F370" s="58">
        <v>11.088000000000001</v>
      </c>
      <c r="G370" s="58">
        <v>5.7715914129639598</v>
      </c>
    </row>
    <row r="371" spans="1:7" ht="11.25" customHeight="1" x14ac:dyDescent="0.2">
      <c r="A371" s="67">
        <v>44835</v>
      </c>
      <c r="B371" s="58">
        <v>11.088000000000001</v>
      </c>
      <c r="C371" s="58">
        <v>0</v>
      </c>
      <c r="D371" s="58">
        <v>5.7715914129639598</v>
      </c>
      <c r="E371" s="58">
        <v>0</v>
      </c>
      <c r="F371" s="58">
        <v>11.088000000000001</v>
      </c>
      <c r="G371" s="58">
        <v>5.7715914129639598</v>
      </c>
    </row>
    <row r="372" spans="1:7" ht="11.25" customHeight="1" x14ac:dyDescent="0.2">
      <c r="A372" s="67">
        <v>44866</v>
      </c>
      <c r="B372" s="58">
        <v>11.088000000000001</v>
      </c>
      <c r="C372" s="58">
        <v>0</v>
      </c>
      <c r="D372" s="58">
        <v>5.7715914129639598</v>
      </c>
      <c r="E372" s="58">
        <v>0</v>
      </c>
      <c r="F372" s="58">
        <v>11.088000000000001</v>
      </c>
      <c r="G372" s="58">
        <v>5.7715914129639598</v>
      </c>
    </row>
    <row r="373" spans="1:7" ht="11.25" customHeight="1" x14ac:dyDescent="0.2">
      <c r="A373" s="66" t="s">
        <v>36</v>
      </c>
      <c r="B373" s="58">
        <v>0</v>
      </c>
      <c r="C373" s="58">
        <v>3.6448312000000005</v>
      </c>
      <c r="D373" s="58">
        <v>0</v>
      </c>
      <c r="E373" s="58">
        <v>1.9532086144484062</v>
      </c>
      <c r="F373" s="58">
        <v>3.6448312000000005</v>
      </c>
      <c r="G373" s="58">
        <v>1.9532086144484062</v>
      </c>
    </row>
    <row r="374" spans="1:7" ht="11.25" customHeight="1" x14ac:dyDescent="0.2">
      <c r="A374" s="67">
        <v>44713</v>
      </c>
      <c r="B374" s="58">
        <v>0</v>
      </c>
      <c r="C374" s="58">
        <v>0.41262240000000006</v>
      </c>
      <c r="D374" s="58">
        <v>0</v>
      </c>
      <c r="E374" s="58">
        <v>0.22111795635264975</v>
      </c>
      <c r="F374" s="58">
        <v>0.41262240000000006</v>
      </c>
      <c r="G374" s="58">
        <v>0.22111795635264975</v>
      </c>
    </row>
    <row r="375" spans="1:7" ht="11.25" customHeight="1" x14ac:dyDescent="0.2">
      <c r="A375" s="67">
        <v>44743</v>
      </c>
      <c r="B375" s="58">
        <v>0</v>
      </c>
      <c r="C375" s="58">
        <v>0.48139280000000012</v>
      </c>
      <c r="D375" s="58">
        <v>0</v>
      </c>
      <c r="E375" s="58">
        <v>0.25797094907809143</v>
      </c>
      <c r="F375" s="58">
        <v>0.48139280000000012</v>
      </c>
      <c r="G375" s="58">
        <v>0.25797094907809143</v>
      </c>
    </row>
    <row r="376" spans="1:7" ht="11.25" customHeight="1" x14ac:dyDescent="0.2">
      <c r="A376" s="67">
        <v>44774</v>
      </c>
      <c r="B376" s="58">
        <v>0</v>
      </c>
      <c r="C376" s="58">
        <v>0.82524480000000011</v>
      </c>
      <c r="D376" s="58">
        <v>0</v>
      </c>
      <c r="E376" s="58">
        <v>0.44223591270529949</v>
      </c>
      <c r="F376" s="58">
        <v>0.82524480000000011</v>
      </c>
      <c r="G376" s="58">
        <v>0.44223591270529949</v>
      </c>
    </row>
    <row r="377" spans="1:7" ht="11.25" customHeight="1" x14ac:dyDescent="0.2">
      <c r="A377" s="67">
        <v>44805</v>
      </c>
      <c r="B377" s="58">
        <v>0</v>
      </c>
      <c r="C377" s="58">
        <v>0.82524480000000011</v>
      </c>
      <c r="D377" s="58">
        <v>0</v>
      </c>
      <c r="E377" s="58">
        <v>0.44223591270529949</v>
      </c>
      <c r="F377" s="58">
        <v>0.82524480000000011</v>
      </c>
      <c r="G377" s="58">
        <v>0.44223591270529949</v>
      </c>
    </row>
    <row r="378" spans="1:7" ht="11.25" customHeight="1" x14ac:dyDescent="0.2">
      <c r="A378" s="67">
        <v>44835</v>
      </c>
      <c r="B378" s="58">
        <v>0</v>
      </c>
      <c r="C378" s="58">
        <v>0.55016320000000007</v>
      </c>
      <c r="D378" s="58">
        <v>0</v>
      </c>
      <c r="E378" s="58">
        <v>0.29482394180353294</v>
      </c>
      <c r="F378" s="58">
        <v>0.55016320000000007</v>
      </c>
      <c r="G378" s="58">
        <v>0.29482394180353294</v>
      </c>
    </row>
    <row r="379" spans="1:7" ht="11.25" customHeight="1" x14ac:dyDescent="0.2">
      <c r="A379" s="67">
        <v>44866</v>
      </c>
      <c r="B379" s="58">
        <v>0</v>
      </c>
      <c r="C379" s="58">
        <v>0.55016320000000007</v>
      </c>
      <c r="D379" s="58">
        <v>0</v>
      </c>
      <c r="E379" s="58">
        <v>0.29482394180353294</v>
      </c>
      <c r="F379" s="58">
        <v>0.55016320000000007</v>
      </c>
      <c r="G379" s="58">
        <v>0.29482394180353294</v>
      </c>
    </row>
    <row r="380" spans="1:7" ht="11.25" customHeight="1" x14ac:dyDescent="0.2">
      <c r="A380" s="63" t="s">
        <v>25</v>
      </c>
      <c r="B380" s="58">
        <v>904.46399999999994</v>
      </c>
      <c r="C380" s="58">
        <v>1343.9715400000002</v>
      </c>
      <c r="D380" s="58">
        <v>470.79695668606013</v>
      </c>
      <c r="E380" s="58">
        <v>803.89202197297823</v>
      </c>
      <c r="F380" s="58">
        <v>2248.4355400000004</v>
      </c>
      <c r="G380" s="58">
        <v>1274.6889786590384</v>
      </c>
    </row>
    <row r="381" spans="1:7" ht="11.25" customHeight="1" x14ac:dyDescent="0.2">
      <c r="A381" s="64" t="s">
        <v>25</v>
      </c>
      <c r="B381" s="58">
        <v>904.46399999999994</v>
      </c>
      <c r="C381" s="58">
        <v>1343.9715400000002</v>
      </c>
      <c r="D381" s="58">
        <v>470.79695668606013</v>
      </c>
      <c r="E381" s="58">
        <v>803.89202197297823</v>
      </c>
      <c r="F381" s="58">
        <v>2248.4355400000004</v>
      </c>
      <c r="G381" s="58">
        <v>1274.6889786590384</v>
      </c>
    </row>
    <row r="382" spans="1:7" ht="11.25" customHeight="1" x14ac:dyDescent="0.2">
      <c r="A382" s="65" t="s">
        <v>25</v>
      </c>
      <c r="B382" s="58">
        <v>904.46399999999994</v>
      </c>
      <c r="C382" s="58">
        <v>1343.9715400000002</v>
      </c>
      <c r="D382" s="58">
        <v>470.79695668606013</v>
      </c>
      <c r="E382" s="58">
        <v>803.89202197297823</v>
      </c>
      <c r="F382" s="58">
        <v>2248.4355400000004</v>
      </c>
      <c r="G382" s="58">
        <v>1274.6889786590384</v>
      </c>
    </row>
    <row r="383" spans="1:7" ht="11.25" customHeight="1" x14ac:dyDescent="0.2">
      <c r="A383" s="66" t="s">
        <v>37</v>
      </c>
      <c r="B383" s="58">
        <v>0</v>
      </c>
      <c r="C383" s="58">
        <v>684.66971520000016</v>
      </c>
      <c r="D383" s="58">
        <v>0</v>
      </c>
      <c r="E383" s="58">
        <v>450.5823807141694</v>
      </c>
      <c r="F383" s="58">
        <v>684.66971520000016</v>
      </c>
      <c r="G383" s="58">
        <v>450.5823807141694</v>
      </c>
    </row>
    <row r="384" spans="1:7" ht="11.25" customHeight="1" x14ac:dyDescent="0.2">
      <c r="A384" s="67">
        <v>44621</v>
      </c>
      <c r="B384" s="58">
        <v>0</v>
      </c>
      <c r="C384" s="58">
        <v>74.317917600000015</v>
      </c>
      <c r="D384" s="58">
        <v>0</v>
      </c>
      <c r="E384" s="58">
        <v>48.908756293018918</v>
      </c>
      <c r="F384" s="58">
        <v>74.317917600000015</v>
      </c>
      <c r="G384" s="58">
        <v>48.908756293018918</v>
      </c>
    </row>
    <row r="385" spans="1:7" ht="11.25" customHeight="1" x14ac:dyDescent="0.2">
      <c r="A385" s="67">
        <v>44652</v>
      </c>
      <c r="B385" s="58">
        <v>0</v>
      </c>
      <c r="C385" s="58">
        <v>70.764548000000005</v>
      </c>
      <c r="D385" s="58">
        <v>0</v>
      </c>
      <c r="E385" s="58">
        <v>46.570277317856913</v>
      </c>
      <c r="F385" s="58">
        <v>70.764548000000005</v>
      </c>
      <c r="G385" s="58">
        <v>46.570277317856913</v>
      </c>
    </row>
    <row r="386" spans="1:7" ht="11.25" customHeight="1" x14ac:dyDescent="0.2">
      <c r="A386" s="67">
        <v>44682</v>
      </c>
      <c r="B386" s="58">
        <v>0</v>
      </c>
      <c r="C386" s="58">
        <v>170.29927600000002</v>
      </c>
      <c r="D386" s="58">
        <v>0</v>
      </c>
      <c r="E386" s="58">
        <v>112.07426224711071</v>
      </c>
      <c r="F386" s="58">
        <v>170.29927600000002</v>
      </c>
      <c r="G386" s="58">
        <v>112.07426224711071</v>
      </c>
    </row>
    <row r="387" spans="1:7" ht="11.25" customHeight="1" x14ac:dyDescent="0.2">
      <c r="A387" s="67">
        <v>44713</v>
      </c>
      <c r="B387" s="58">
        <v>0</v>
      </c>
      <c r="C387" s="58">
        <v>95.305006800000001</v>
      </c>
      <c r="D387" s="58">
        <v>0</v>
      </c>
      <c r="E387" s="58">
        <v>62.720397740069501</v>
      </c>
      <c r="F387" s="58">
        <v>95.305006800000001</v>
      </c>
      <c r="G387" s="58">
        <v>62.720397740069501</v>
      </c>
    </row>
    <row r="388" spans="1:7" ht="11.25" customHeight="1" x14ac:dyDescent="0.2">
      <c r="A388" s="67">
        <v>44743</v>
      </c>
      <c r="B388" s="58">
        <v>0</v>
      </c>
      <c r="C388" s="58">
        <v>88.77367120000001</v>
      </c>
      <c r="D388" s="58">
        <v>0</v>
      </c>
      <c r="E388" s="58">
        <v>58.422113941973429</v>
      </c>
      <c r="F388" s="58">
        <v>88.77367120000001</v>
      </c>
      <c r="G388" s="58">
        <v>58.422113941973429</v>
      </c>
    </row>
    <row r="389" spans="1:7" ht="11.25" customHeight="1" x14ac:dyDescent="0.2">
      <c r="A389" s="67">
        <v>44774</v>
      </c>
      <c r="B389" s="58">
        <v>0</v>
      </c>
      <c r="C389" s="58">
        <v>39.551426400000011</v>
      </c>
      <c r="D389" s="58">
        <v>0</v>
      </c>
      <c r="E389" s="58">
        <v>26.028865411036147</v>
      </c>
      <c r="F389" s="58">
        <v>39.551426400000011</v>
      </c>
      <c r="G389" s="58">
        <v>26.028865411036147</v>
      </c>
    </row>
    <row r="390" spans="1:7" ht="11.25" customHeight="1" x14ac:dyDescent="0.2">
      <c r="A390" s="67">
        <v>44805</v>
      </c>
      <c r="B390" s="58">
        <v>0</v>
      </c>
      <c r="C390" s="58">
        <v>64.8389004</v>
      </c>
      <c r="D390" s="58">
        <v>0</v>
      </c>
      <c r="E390" s="58">
        <v>42.670597890527098</v>
      </c>
      <c r="F390" s="58">
        <v>64.8389004</v>
      </c>
      <c r="G390" s="58">
        <v>42.670597890527098</v>
      </c>
    </row>
    <row r="391" spans="1:7" ht="11.25" customHeight="1" x14ac:dyDescent="0.2">
      <c r="A391" s="67">
        <v>44835</v>
      </c>
      <c r="B391" s="58">
        <v>0</v>
      </c>
      <c r="C391" s="58">
        <v>40.409484400000011</v>
      </c>
      <c r="D391" s="58">
        <v>0</v>
      </c>
      <c r="E391" s="58">
        <v>26.593554936288331</v>
      </c>
      <c r="F391" s="58">
        <v>40.409484400000011</v>
      </c>
      <c r="G391" s="58">
        <v>26.593554936288331</v>
      </c>
    </row>
    <row r="392" spans="1:7" ht="11.25" customHeight="1" x14ac:dyDescent="0.2">
      <c r="A392" s="67">
        <v>44866</v>
      </c>
      <c r="B392" s="58">
        <v>0</v>
      </c>
      <c r="C392" s="58">
        <v>40.409484400000011</v>
      </c>
      <c r="D392" s="58">
        <v>0</v>
      </c>
      <c r="E392" s="58">
        <v>26.593554936288331</v>
      </c>
      <c r="F392" s="58">
        <v>40.409484400000011</v>
      </c>
      <c r="G392" s="58">
        <v>26.593554936288331</v>
      </c>
    </row>
    <row r="393" spans="1:7" ht="11.25" customHeight="1" x14ac:dyDescent="0.2">
      <c r="A393" s="66" t="s">
        <v>25</v>
      </c>
      <c r="B393" s="58">
        <v>904.46399999999994</v>
      </c>
      <c r="C393" s="58">
        <v>0</v>
      </c>
      <c r="D393" s="58">
        <v>470.79695668606013</v>
      </c>
      <c r="E393" s="58">
        <v>0</v>
      </c>
      <c r="F393" s="58">
        <v>904.46399999999994</v>
      </c>
      <c r="G393" s="58">
        <v>470.79695668606013</v>
      </c>
    </row>
    <row r="394" spans="1:7" ht="11.25" customHeight="1" x14ac:dyDescent="0.2">
      <c r="A394" s="67">
        <v>44621</v>
      </c>
      <c r="B394" s="58">
        <v>85.536000000000001</v>
      </c>
      <c r="C394" s="58">
        <v>0</v>
      </c>
      <c r="D394" s="58">
        <v>44.523705185721973</v>
      </c>
      <c r="E394" s="58">
        <v>0</v>
      </c>
      <c r="F394" s="58">
        <v>85.536000000000001</v>
      </c>
      <c r="G394" s="58">
        <v>44.523705185721973</v>
      </c>
    </row>
    <row r="395" spans="1:7" ht="11.25" customHeight="1" x14ac:dyDescent="0.2">
      <c r="A395" s="67">
        <v>44652</v>
      </c>
      <c r="B395" s="58">
        <v>126.72</v>
      </c>
      <c r="C395" s="58">
        <v>0</v>
      </c>
      <c r="D395" s="58">
        <v>65.961044719588102</v>
      </c>
      <c r="E395" s="58">
        <v>0</v>
      </c>
      <c r="F395" s="58">
        <v>126.72</v>
      </c>
      <c r="G395" s="58">
        <v>65.961044719588102</v>
      </c>
    </row>
    <row r="396" spans="1:7" ht="11.25" customHeight="1" x14ac:dyDescent="0.2">
      <c r="A396" s="67">
        <v>44682</v>
      </c>
      <c r="B396" s="58">
        <v>137.01599999999999</v>
      </c>
      <c r="C396" s="58">
        <v>0</v>
      </c>
      <c r="D396" s="58">
        <v>71.320379603054647</v>
      </c>
      <c r="E396" s="58">
        <v>0</v>
      </c>
      <c r="F396" s="58">
        <v>137.01599999999999</v>
      </c>
      <c r="G396" s="58">
        <v>71.320379603054647</v>
      </c>
    </row>
    <row r="397" spans="1:7" ht="11.25" customHeight="1" x14ac:dyDescent="0.2">
      <c r="A397" s="67">
        <v>44713</v>
      </c>
      <c r="B397" s="58">
        <v>147.31200000000001</v>
      </c>
      <c r="C397" s="58">
        <v>0</v>
      </c>
      <c r="D397" s="58">
        <v>76.679714486521192</v>
      </c>
      <c r="E397" s="58">
        <v>0</v>
      </c>
      <c r="F397" s="58">
        <v>147.31200000000001</v>
      </c>
      <c r="G397" s="58">
        <v>76.679714486521192</v>
      </c>
    </row>
    <row r="398" spans="1:7" ht="11.25" customHeight="1" x14ac:dyDescent="0.2">
      <c r="A398" s="67">
        <v>44743</v>
      </c>
      <c r="B398" s="58">
        <v>109.29600000000001</v>
      </c>
      <c r="C398" s="58">
        <v>0</v>
      </c>
      <c r="D398" s="58">
        <v>56.89140107064474</v>
      </c>
      <c r="E398" s="58">
        <v>0</v>
      </c>
      <c r="F398" s="58">
        <v>109.29600000000001</v>
      </c>
      <c r="G398" s="58">
        <v>56.89140107064474</v>
      </c>
    </row>
    <row r="399" spans="1:7" ht="11.25" customHeight="1" x14ac:dyDescent="0.2">
      <c r="A399" s="67">
        <v>44774</v>
      </c>
      <c r="B399" s="58">
        <v>29.303999999999998</v>
      </c>
      <c r="C399" s="58">
        <v>0</v>
      </c>
      <c r="D399" s="58">
        <v>15.25349159140475</v>
      </c>
      <c r="E399" s="58">
        <v>0</v>
      </c>
      <c r="F399" s="58">
        <v>29.303999999999998</v>
      </c>
      <c r="G399" s="58">
        <v>15.25349159140475</v>
      </c>
    </row>
    <row r="400" spans="1:7" ht="11.25" customHeight="1" x14ac:dyDescent="0.2">
      <c r="A400" s="67">
        <v>44805</v>
      </c>
      <c r="B400" s="58">
        <v>134.63999999999999</v>
      </c>
      <c r="C400" s="58">
        <v>0</v>
      </c>
      <c r="D400" s="58">
        <v>70.083610014562353</v>
      </c>
      <c r="E400" s="58">
        <v>0</v>
      </c>
      <c r="F400" s="58">
        <v>134.63999999999999</v>
      </c>
      <c r="G400" s="58">
        <v>70.083610014562353</v>
      </c>
    </row>
    <row r="401" spans="1:7" ht="11.25" customHeight="1" x14ac:dyDescent="0.2">
      <c r="A401" s="67">
        <v>44835</v>
      </c>
      <c r="B401" s="58">
        <v>67.319999999999993</v>
      </c>
      <c r="C401" s="58">
        <v>0</v>
      </c>
      <c r="D401" s="58">
        <v>35.041805007281177</v>
      </c>
      <c r="E401" s="58">
        <v>0</v>
      </c>
      <c r="F401" s="58">
        <v>67.319999999999993</v>
      </c>
      <c r="G401" s="58">
        <v>35.041805007281177</v>
      </c>
    </row>
    <row r="402" spans="1:7" ht="11.25" customHeight="1" x14ac:dyDescent="0.2">
      <c r="A402" s="67">
        <v>44866</v>
      </c>
      <c r="B402" s="58">
        <v>67.319999999999993</v>
      </c>
      <c r="C402" s="58">
        <v>0</v>
      </c>
      <c r="D402" s="58">
        <v>35.041805007281177</v>
      </c>
      <c r="E402" s="58">
        <v>0</v>
      </c>
      <c r="F402" s="58">
        <v>67.319999999999993</v>
      </c>
      <c r="G402" s="58">
        <v>35.041805007281177</v>
      </c>
    </row>
    <row r="403" spans="1:7" ht="11.25" customHeight="1" x14ac:dyDescent="0.2">
      <c r="A403" s="66" t="s">
        <v>36</v>
      </c>
      <c r="B403" s="58">
        <v>0</v>
      </c>
      <c r="C403" s="58">
        <v>659.30182480000008</v>
      </c>
      <c r="D403" s="58">
        <v>0</v>
      </c>
      <c r="E403" s="58">
        <v>353.30964125880871</v>
      </c>
      <c r="F403" s="58">
        <v>659.30182480000008</v>
      </c>
      <c r="G403" s="58">
        <v>353.30964125880871</v>
      </c>
    </row>
    <row r="404" spans="1:7" ht="11.25" customHeight="1" x14ac:dyDescent="0.2">
      <c r="A404" s="67">
        <v>44621</v>
      </c>
      <c r="B404" s="58">
        <v>0</v>
      </c>
      <c r="C404" s="58">
        <v>86.581933599999999</v>
      </c>
      <c r="D404" s="58">
        <v>0</v>
      </c>
      <c r="E404" s="58">
        <v>46.397917841331001</v>
      </c>
      <c r="F404" s="58">
        <v>86.581933599999999</v>
      </c>
      <c r="G404" s="58">
        <v>46.397917841331001</v>
      </c>
    </row>
    <row r="405" spans="1:7" ht="11.25" customHeight="1" x14ac:dyDescent="0.2">
      <c r="A405" s="67">
        <v>44652</v>
      </c>
      <c r="B405" s="58">
        <v>0</v>
      </c>
      <c r="C405" s="58">
        <v>48.208050400000005</v>
      </c>
      <c r="D405" s="58">
        <v>0</v>
      </c>
      <c r="E405" s="58">
        <v>25.833947900534568</v>
      </c>
      <c r="F405" s="58">
        <v>48.208050400000005</v>
      </c>
      <c r="G405" s="58">
        <v>25.833947900534568</v>
      </c>
    </row>
    <row r="406" spans="1:7" ht="11.25" customHeight="1" x14ac:dyDescent="0.2">
      <c r="A406" s="67">
        <v>44682</v>
      </c>
      <c r="B406" s="58">
        <v>0</v>
      </c>
      <c r="C406" s="58">
        <v>145.17431440000001</v>
      </c>
      <c r="D406" s="58">
        <v>0</v>
      </c>
      <c r="E406" s="58">
        <v>77.796667643407261</v>
      </c>
      <c r="F406" s="58">
        <v>145.17431440000001</v>
      </c>
      <c r="G406" s="58">
        <v>77.796667643407261</v>
      </c>
    </row>
    <row r="407" spans="1:7" ht="11.25" customHeight="1" x14ac:dyDescent="0.2">
      <c r="A407" s="67">
        <v>44713</v>
      </c>
      <c r="B407" s="58">
        <v>0</v>
      </c>
      <c r="C407" s="58">
        <v>98.341672000000003</v>
      </c>
      <c r="D407" s="58">
        <v>0</v>
      </c>
      <c r="E407" s="58">
        <v>52.699779597381514</v>
      </c>
      <c r="F407" s="58">
        <v>98.341672000000003</v>
      </c>
      <c r="G407" s="58">
        <v>52.699779597381514</v>
      </c>
    </row>
    <row r="408" spans="1:7" ht="11.25" customHeight="1" x14ac:dyDescent="0.2">
      <c r="A408" s="67">
        <v>44743</v>
      </c>
      <c r="B408" s="58">
        <v>0</v>
      </c>
      <c r="C408" s="58">
        <v>91.5334024</v>
      </c>
      <c r="D408" s="58">
        <v>0</v>
      </c>
      <c r="E408" s="58">
        <v>49.051333317562793</v>
      </c>
      <c r="F408" s="58">
        <v>91.5334024</v>
      </c>
      <c r="G408" s="58">
        <v>49.051333317562793</v>
      </c>
    </row>
    <row r="409" spans="1:7" ht="11.25" customHeight="1" x14ac:dyDescent="0.2">
      <c r="A409" s="67">
        <v>44774</v>
      </c>
      <c r="B409" s="58">
        <v>0</v>
      </c>
      <c r="C409" s="58">
        <v>50.339932800000007</v>
      </c>
      <c r="D409" s="58">
        <v>0</v>
      </c>
      <c r="E409" s="58">
        <v>26.976390675023264</v>
      </c>
      <c r="F409" s="58">
        <v>50.339932800000007</v>
      </c>
      <c r="G409" s="58">
        <v>26.976390675023264</v>
      </c>
    </row>
    <row r="410" spans="1:7" ht="11.25" customHeight="1" x14ac:dyDescent="0.2">
      <c r="A410" s="67">
        <v>44805</v>
      </c>
      <c r="B410" s="58">
        <v>0</v>
      </c>
      <c r="C410" s="58">
        <v>54.534927200000006</v>
      </c>
      <c r="D410" s="58">
        <v>0</v>
      </c>
      <c r="E410" s="58">
        <v>29.224423231275207</v>
      </c>
      <c r="F410" s="58">
        <v>54.534927200000006</v>
      </c>
      <c r="G410" s="58">
        <v>29.224423231275207</v>
      </c>
    </row>
    <row r="411" spans="1:7" ht="11.25" customHeight="1" x14ac:dyDescent="0.2">
      <c r="A411" s="67">
        <v>44835</v>
      </c>
      <c r="B411" s="58">
        <v>0</v>
      </c>
      <c r="C411" s="58">
        <v>42.293796</v>
      </c>
      <c r="D411" s="58">
        <v>0</v>
      </c>
      <c r="E411" s="58">
        <v>22.664590526146593</v>
      </c>
      <c r="F411" s="58">
        <v>42.293796</v>
      </c>
      <c r="G411" s="58">
        <v>22.664590526146593</v>
      </c>
    </row>
    <row r="412" spans="1:7" ht="11.25" customHeight="1" x14ac:dyDescent="0.2">
      <c r="A412" s="67">
        <v>44866</v>
      </c>
      <c r="B412" s="58">
        <v>0</v>
      </c>
      <c r="C412" s="58">
        <v>42.293796</v>
      </c>
      <c r="D412" s="58">
        <v>0</v>
      </c>
      <c r="E412" s="58">
        <v>22.664590526146593</v>
      </c>
      <c r="F412" s="58">
        <v>42.293796</v>
      </c>
      <c r="G412" s="58">
        <v>22.664590526146593</v>
      </c>
    </row>
    <row r="413" spans="1:7" ht="11.25" customHeight="1" x14ac:dyDescent="0.2">
      <c r="A413" s="60" t="s">
        <v>41</v>
      </c>
      <c r="B413" s="58">
        <v>645.36240000000009</v>
      </c>
      <c r="C413" s="58">
        <v>584.52738720000013</v>
      </c>
      <c r="D413" s="58">
        <v>330.89442079256605</v>
      </c>
      <c r="E413" s="58">
        <v>388.30570101254494</v>
      </c>
      <c r="F413" s="58">
        <v>1229.8897872000002</v>
      </c>
      <c r="G413" s="58">
        <v>719.20012180511094</v>
      </c>
    </row>
    <row r="414" spans="1:7" ht="11.25" customHeight="1" x14ac:dyDescent="0.2">
      <c r="A414" s="61" t="s">
        <v>42</v>
      </c>
      <c r="B414" s="58">
        <v>631.10640000000001</v>
      </c>
      <c r="C414" s="58">
        <v>607.98818160000008</v>
      </c>
      <c r="D414" s="58">
        <v>323.47380326161237</v>
      </c>
      <c r="E414" s="58">
        <v>400.74473154814837</v>
      </c>
      <c r="F414" s="58">
        <v>1239.0945816000001</v>
      </c>
      <c r="G414" s="58">
        <v>724.21853480976074</v>
      </c>
    </row>
    <row r="415" spans="1:7" ht="11.25" customHeight="1" x14ac:dyDescent="0.2">
      <c r="A415" s="62" t="s">
        <v>47</v>
      </c>
      <c r="B415" s="58">
        <v>631.10640000000001</v>
      </c>
      <c r="C415" s="58">
        <v>607.98818160000008</v>
      </c>
      <c r="D415" s="58">
        <v>323.47380326161237</v>
      </c>
      <c r="E415" s="58">
        <v>400.74473154814837</v>
      </c>
      <c r="F415" s="58">
        <v>1239.0945816000001</v>
      </c>
      <c r="G415" s="58">
        <v>724.21853480976074</v>
      </c>
    </row>
    <row r="416" spans="1:7" ht="11.25" customHeight="1" x14ac:dyDescent="0.2">
      <c r="A416" s="63" t="s">
        <v>25</v>
      </c>
      <c r="B416" s="58">
        <v>631.10640000000001</v>
      </c>
      <c r="C416" s="58">
        <v>607.98818160000008</v>
      </c>
      <c r="D416" s="58">
        <v>323.47380326161237</v>
      </c>
      <c r="E416" s="58">
        <v>400.74473154814837</v>
      </c>
      <c r="F416" s="58">
        <v>1239.0945816000001</v>
      </c>
      <c r="G416" s="58">
        <v>724.21853480976074</v>
      </c>
    </row>
    <row r="417" spans="1:7" ht="11.25" customHeight="1" x14ac:dyDescent="0.2">
      <c r="A417" s="64" t="s">
        <v>25</v>
      </c>
      <c r="B417" s="58">
        <v>631.10640000000001</v>
      </c>
      <c r="C417" s="58">
        <v>607.98818160000008</v>
      </c>
      <c r="D417" s="58">
        <v>323.47380326161237</v>
      </c>
      <c r="E417" s="58">
        <v>400.74473154814837</v>
      </c>
      <c r="F417" s="58">
        <v>1239.0945816000001</v>
      </c>
      <c r="G417" s="58">
        <v>724.21853480976074</v>
      </c>
    </row>
    <row r="418" spans="1:7" ht="11.25" customHeight="1" x14ac:dyDescent="0.2">
      <c r="A418" s="65" t="s">
        <v>25</v>
      </c>
      <c r="B418" s="58">
        <v>631.10640000000001</v>
      </c>
      <c r="C418" s="58">
        <v>607.98818160000008</v>
      </c>
      <c r="D418" s="58">
        <v>323.47380326161237</v>
      </c>
      <c r="E418" s="58">
        <v>400.74473154814837</v>
      </c>
      <c r="F418" s="58">
        <v>1239.0945816000001</v>
      </c>
      <c r="G418" s="58">
        <v>724.21853480976074</v>
      </c>
    </row>
    <row r="419" spans="1:7" ht="11.25" customHeight="1" x14ac:dyDescent="0.2">
      <c r="A419" s="66" t="s">
        <v>37</v>
      </c>
      <c r="B419" s="58">
        <v>376.99199999999996</v>
      </c>
      <c r="C419" s="58">
        <v>560.7257608000001</v>
      </c>
      <c r="D419" s="58">
        <v>196.23410804077466</v>
      </c>
      <c r="E419" s="58">
        <v>369.01463964303565</v>
      </c>
      <c r="F419" s="58">
        <v>937.71776080000006</v>
      </c>
      <c r="G419" s="58">
        <v>565.24874768381028</v>
      </c>
    </row>
    <row r="420" spans="1:7" ht="11.25" customHeight="1" x14ac:dyDescent="0.2">
      <c r="A420" s="67">
        <v>44531</v>
      </c>
      <c r="B420" s="58">
        <v>29.303999999999998</v>
      </c>
      <c r="C420" s="58">
        <v>27.730415600000004</v>
      </c>
      <c r="D420" s="58">
        <v>15.25349159140475</v>
      </c>
      <c r="E420" s="58">
        <v>18.249436774914823</v>
      </c>
      <c r="F420" s="58">
        <v>57.034415600000003</v>
      </c>
      <c r="G420" s="58">
        <v>33.502928366319573</v>
      </c>
    </row>
    <row r="421" spans="1:7" ht="11.25" customHeight="1" x14ac:dyDescent="0.2">
      <c r="A421" s="67">
        <v>44562</v>
      </c>
      <c r="B421" s="58">
        <v>30.096</v>
      </c>
      <c r="C421" s="58">
        <v>28.558189200000008</v>
      </c>
      <c r="D421" s="58">
        <v>15.665748120902176</v>
      </c>
      <c r="E421" s="58">
        <v>18.794196081628705</v>
      </c>
      <c r="F421" s="58">
        <v>58.654189200000005</v>
      </c>
      <c r="G421" s="58">
        <v>34.459944202530878</v>
      </c>
    </row>
    <row r="422" spans="1:7" ht="11.25" customHeight="1" x14ac:dyDescent="0.2">
      <c r="A422" s="67">
        <v>44593</v>
      </c>
      <c r="B422" s="58">
        <v>34.055999999999997</v>
      </c>
      <c r="C422" s="58">
        <v>25.085577999999998</v>
      </c>
      <c r="D422" s="58">
        <v>17.727030768389302</v>
      </c>
      <c r="E422" s="58">
        <v>16.508864355902197</v>
      </c>
      <c r="F422" s="58">
        <v>59.141577999999996</v>
      </c>
      <c r="G422" s="58">
        <v>34.235895124291503</v>
      </c>
    </row>
    <row r="423" spans="1:7" ht="11.25" customHeight="1" x14ac:dyDescent="0.2">
      <c r="A423" s="67">
        <v>44621</v>
      </c>
      <c r="B423" s="58">
        <v>36.432000000000002</v>
      </c>
      <c r="C423" s="58">
        <v>27.346813200000007</v>
      </c>
      <c r="D423" s="58">
        <v>18.963800356881585</v>
      </c>
      <c r="E423" s="58">
        <v>17.996987340096201</v>
      </c>
      <c r="F423" s="58">
        <v>63.778813200000009</v>
      </c>
      <c r="G423" s="58">
        <v>36.960787696977789</v>
      </c>
    </row>
    <row r="424" spans="1:7" ht="11.25" customHeight="1" x14ac:dyDescent="0.2">
      <c r="A424" s="67">
        <v>44652</v>
      </c>
      <c r="B424" s="58">
        <v>30.888000000000002</v>
      </c>
      <c r="C424" s="58">
        <v>34.251656400000002</v>
      </c>
      <c r="D424" s="58">
        <v>16.078004650399603</v>
      </c>
      <c r="E424" s="58">
        <v>22.541077166831453</v>
      </c>
      <c r="F424" s="58">
        <v>65.139656400000007</v>
      </c>
      <c r="G424" s="58">
        <v>38.619081817231056</v>
      </c>
    </row>
    <row r="425" spans="1:7" ht="11.25" customHeight="1" x14ac:dyDescent="0.2">
      <c r="A425" s="67">
        <v>44682</v>
      </c>
      <c r="B425" s="58">
        <v>31.68</v>
      </c>
      <c r="C425" s="58">
        <v>56.500595600000011</v>
      </c>
      <c r="D425" s="58">
        <v>16.490261179897026</v>
      </c>
      <c r="E425" s="58">
        <v>37.183144386311724</v>
      </c>
      <c r="F425" s="58">
        <v>88.180595600000004</v>
      </c>
      <c r="G425" s="58">
        <v>53.67340556620875</v>
      </c>
    </row>
    <row r="426" spans="1:7" ht="11.25" customHeight="1" x14ac:dyDescent="0.2">
      <c r="A426" s="67">
        <v>44713</v>
      </c>
      <c r="B426" s="58">
        <v>29.303999999999998</v>
      </c>
      <c r="C426" s="58">
        <v>52.987605200000004</v>
      </c>
      <c r="D426" s="58">
        <v>15.25349159140475</v>
      </c>
      <c r="E426" s="58">
        <v>34.871239035867461</v>
      </c>
      <c r="F426" s="58">
        <v>82.291605200000006</v>
      </c>
      <c r="G426" s="58">
        <v>50.124730627272214</v>
      </c>
    </row>
    <row r="427" spans="1:7" ht="11.25" customHeight="1" x14ac:dyDescent="0.2">
      <c r="A427" s="67">
        <v>44743</v>
      </c>
      <c r="B427" s="58">
        <v>28.512</v>
      </c>
      <c r="C427" s="58">
        <v>52.654476800000005</v>
      </c>
      <c r="D427" s="58">
        <v>14.841235061907323</v>
      </c>
      <c r="E427" s="58">
        <v>34.65200663194603</v>
      </c>
      <c r="F427" s="58">
        <v>81.166476799999998</v>
      </c>
      <c r="G427" s="58">
        <v>49.493241693853349</v>
      </c>
    </row>
    <row r="428" spans="1:7" ht="11.25" customHeight="1" x14ac:dyDescent="0.2">
      <c r="A428" s="67">
        <v>44774</v>
      </c>
      <c r="B428" s="58">
        <v>31.68</v>
      </c>
      <c r="C428" s="58">
        <v>63.213637599999998</v>
      </c>
      <c r="D428" s="58">
        <v>16.490261179897026</v>
      </c>
      <c r="E428" s="58">
        <v>41.601009495637655</v>
      </c>
      <c r="F428" s="58">
        <v>94.893637600000005</v>
      </c>
      <c r="G428" s="58">
        <v>58.09127067553468</v>
      </c>
    </row>
    <row r="429" spans="1:7" ht="11.25" customHeight="1" x14ac:dyDescent="0.2">
      <c r="A429" s="67">
        <v>44805</v>
      </c>
      <c r="B429" s="58">
        <v>30.096</v>
      </c>
      <c r="C429" s="58">
        <v>68.937389199999998</v>
      </c>
      <c r="D429" s="58">
        <v>15.665748120902176</v>
      </c>
      <c r="E429" s="58">
        <v>45.367820799378727</v>
      </c>
      <c r="F429" s="58">
        <v>99.033389200000002</v>
      </c>
      <c r="G429" s="58">
        <v>61.033568920280899</v>
      </c>
    </row>
    <row r="430" spans="1:7" ht="11.25" customHeight="1" x14ac:dyDescent="0.2">
      <c r="A430" s="67">
        <v>44835</v>
      </c>
      <c r="B430" s="58">
        <v>32.472000000000001</v>
      </c>
      <c r="C430" s="58">
        <v>61.729702000000017</v>
      </c>
      <c r="D430" s="58">
        <v>16.902517709394452</v>
      </c>
      <c r="E430" s="58">
        <v>40.624428787260349</v>
      </c>
      <c r="F430" s="58">
        <v>94.201702000000012</v>
      </c>
      <c r="G430" s="58">
        <v>57.526946496654801</v>
      </c>
    </row>
    <row r="431" spans="1:7" ht="11.25" customHeight="1" x14ac:dyDescent="0.2">
      <c r="A431" s="67">
        <v>44866</v>
      </c>
      <c r="B431" s="58">
        <v>32.472000000000001</v>
      </c>
      <c r="C431" s="58">
        <v>61.729702000000017</v>
      </c>
      <c r="D431" s="58">
        <v>16.902517709394452</v>
      </c>
      <c r="E431" s="58">
        <v>40.624428787260349</v>
      </c>
      <c r="F431" s="58">
        <v>94.201702000000012</v>
      </c>
      <c r="G431" s="58">
        <v>57.526946496654801</v>
      </c>
    </row>
    <row r="432" spans="1:7" ht="11.25" customHeight="1" x14ac:dyDescent="0.2">
      <c r="A432" s="66" t="s">
        <v>36</v>
      </c>
      <c r="B432" s="58">
        <v>254.11440000000005</v>
      </c>
      <c r="C432" s="58">
        <v>47.262420800000001</v>
      </c>
      <c r="D432" s="58">
        <v>127.23969522083766</v>
      </c>
      <c r="E432" s="58">
        <v>31.730091905112701</v>
      </c>
      <c r="F432" s="58">
        <v>301.37682080000002</v>
      </c>
      <c r="G432" s="58">
        <v>158.96978712595035</v>
      </c>
    </row>
    <row r="433" spans="1:7" ht="11.25" customHeight="1" x14ac:dyDescent="0.2">
      <c r="A433" s="67">
        <v>44531</v>
      </c>
      <c r="B433" s="58">
        <v>15.741599999999998</v>
      </c>
      <c r="C433" s="58">
        <v>3.4893624000000001</v>
      </c>
      <c r="D433" s="58">
        <v>7.8821050136802091</v>
      </c>
      <c r="E433" s="58">
        <v>2.3426178297292091</v>
      </c>
      <c r="F433" s="58">
        <v>19.230962399999999</v>
      </c>
      <c r="G433" s="58">
        <v>10.224722843409419</v>
      </c>
    </row>
    <row r="434" spans="1:7" ht="11.25" customHeight="1" x14ac:dyDescent="0.2">
      <c r="A434" s="67">
        <v>44562</v>
      </c>
      <c r="B434" s="58">
        <v>15.741599999999998</v>
      </c>
      <c r="C434" s="58">
        <v>3.4893624000000001</v>
      </c>
      <c r="D434" s="58">
        <v>7.8821050136802091</v>
      </c>
      <c r="E434" s="58">
        <v>2.3426178297292091</v>
      </c>
      <c r="F434" s="58">
        <v>19.230962399999999</v>
      </c>
      <c r="G434" s="58">
        <v>10.224722843409419</v>
      </c>
    </row>
    <row r="435" spans="1:7" ht="11.25" customHeight="1" x14ac:dyDescent="0.2">
      <c r="A435" s="67">
        <v>44593</v>
      </c>
      <c r="B435" s="58">
        <v>15.741599999999998</v>
      </c>
      <c r="C435" s="58">
        <v>3.3191496000000007</v>
      </c>
      <c r="D435" s="58">
        <v>7.8821050136802091</v>
      </c>
      <c r="E435" s="58">
        <v>2.2283437892546134</v>
      </c>
      <c r="F435" s="58">
        <v>19.060749599999998</v>
      </c>
      <c r="G435" s="58">
        <v>10.110448802934823</v>
      </c>
    </row>
    <row r="436" spans="1:7" ht="11.25" customHeight="1" x14ac:dyDescent="0.2">
      <c r="A436" s="67">
        <v>44621</v>
      </c>
      <c r="B436" s="58">
        <v>17.990400000000001</v>
      </c>
      <c r="C436" s="58">
        <v>3.7021284000000008</v>
      </c>
      <c r="D436" s="58">
        <v>9.0081200156345247</v>
      </c>
      <c r="E436" s="58">
        <v>2.4854603803224533</v>
      </c>
      <c r="F436" s="58">
        <v>21.6925284</v>
      </c>
      <c r="G436" s="58">
        <v>11.493580395956979</v>
      </c>
    </row>
    <row r="437" spans="1:7" ht="11.25" customHeight="1" x14ac:dyDescent="0.2">
      <c r="A437" s="67">
        <v>44652</v>
      </c>
      <c r="B437" s="58">
        <v>17.990400000000001</v>
      </c>
      <c r="C437" s="58">
        <v>4.0567383999999995</v>
      </c>
      <c r="D437" s="58">
        <v>9.0081200156345247</v>
      </c>
      <c r="E437" s="58">
        <v>2.723531297977861</v>
      </c>
      <c r="F437" s="58">
        <v>22.047138400000001</v>
      </c>
      <c r="G437" s="58">
        <v>11.731651313612385</v>
      </c>
    </row>
    <row r="438" spans="1:7" ht="11.25" customHeight="1" x14ac:dyDescent="0.2">
      <c r="A438" s="67">
        <v>44682</v>
      </c>
      <c r="B438" s="58">
        <v>20.2392</v>
      </c>
      <c r="C438" s="58">
        <v>3.7872348000000007</v>
      </c>
      <c r="D438" s="58">
        <v>10.134135017588839</v>
      </c>
      <c r="E438" s="58">
        <v>2.5425974005597518</v>
      </c>
      <c r="F438" s="58">
        <v>24.026434800000001</v>
      </c>
      <c r="G438" s="58">
        <v>12.676732418148591</v>
      </c>
    </row>
    <row r="439" spans="1:7" ht="11.25" customHeight="1" x14ac:dyDescent="0.2">
      <c r="A439" s="67">
        <v>44713</v>
      </c>
      <c r="B439" s="58">
        <v>17.990400000000001</v>
      </c>
      <c r="C439" s="58">
        <v>3.2765964000000003</v>
      </c>
      <c r="D439" s="58">
        <v>9.0081200156345247</v>
      </c>
      <c r="E439" s="58">
        <v>2.1997752791359648</v>
      </c>
      <c r="F439" s="58">
        <v>21.2669964</v>
      </c>
      <c r="G439" s="58">
        <v>11.20789529477049</v>
      </c>
    </row>
    <row r="440" spans="1:7" ht="11.25" customHeight="1" x14ac:dyDescent="0.2">
      <c r="A440" s="67">
        <v>44743</v>
      </c>
      <c r="B440" s="58">
        <v>22.488000000000003</v>
      </c>
      <c r="C440" s="58">
        <v>3.1489368000000004</v>
      </c>
      <c r="D440" s="58">
        <v>11.260150019543154</v>
      </c>
      <c r="E440" s="58">
        <v>2.1140697487800177</v>
      </c>
      <c r="F440" s="58">
        <v>25.636936800000004</v>
      </c>
      <c r="G440" s="58">
        <v>13.374219768323172</v>
      </c>
    </row>
    <row r="441" spans="1:7" ht="11.25" customHeight="1" x14ac:dyDescent="0.2">
      <c r="A441" s="67">
        <v>44774</v>
      </c>
      <c r="B441" s="58">
        <v>22.488000000000003</v>
      </c>
      <c r="C441" s="58">
        <v>4.8652492000000001</v>
      </c>
      <c r="D441" s="58">
        <v>11.260150019543154</v>
      </c>
      <c r="E441" s="58">
        <v>3.2663329902321907</v>
      </c>
      <c r="F441" s="58">
        <v>27.353249200000004</v>
      </c>
      <c r="G441" s="58">
        <v>14.526483009775344</v>
      </c>
    </row>
    <row r="442" spans="1:7" ht="11.25" customHeight="1" x14ac:dyDescent="0.2">
      <c r="A442" s="67">
        <v>44805</v>
      </c>
      <c r="B442" s="58">
        <v>47.224800000000002</v>
      </c>
      <c r="C442" s="58">
        <v>5.1063840000000003</v>
      </c>
      <c r="D442" s="58">
        <v>23.646315041040626</v>
      </c>
      <c r="E442" s="58">
        <v>3.4282212142378672</v>
      </c>
      <c r="F442" s="58">
        <v>52.331184</v>
      </c>
      <c r="G442" s="58">
        <v>27.074536255278495</v>
      </c>
    </row>
    <row r="443" spans="1:7" ht="11.25" customHeight="1" x14ac:dyDescent="0.2">
      <c r="A443" s="67">
        <v>44835</v>
      </c>
      <c r="B443" s="58">
        <v>20.2392</v>
      </c>
      <c r="C443" s="58">
        <v>4.5106392000000008</v>
      </c>
      <c r="D443" s="58">
        <v>10.134135017588839</v>
      </c>
      <c r="E443" s="58">
        <v>3.028262072576783</v>
      </c>
      <c r="F443" s="58">
        <v>24.7498392</v>
      </c>
      <c r="G443" s="58">
        <v>13.162397090165623</v>
      </c>
    </row>
    <row r="444" spans="1:7" ht="11.25" customHeight="1" x14ac:dyDescent="0.2">
      <c r="A444" s="67">
        <v>44866</v>
      </c>
      <c r="B444" s="58">
        <v>20.2392</v>
      </c>
      <c r="C444" s="58">
        <v>4.5106392000000008</v>
      </c>
      <c r="D444" s="58">
        <v>10.134135017588839</v>
      </c>
      <c r="E444" s="58">
        <v>3.028262072576783</v>
      </c>
      <c r="F444" s="58">
        <v>24.7498392</v>
      </c>
      <c r="G444" s="58">
        <v>13.162397090165623</v>
      </c>
    </row>
    <row r="445" spans="1:7" ht="11.25" customHeight="1" x14ac:dyDescent="0.2">
      <c r="A445" s="61" t="s">
        <v>44</v>
      </c>
      <c r="B445" s="58">
        <v>14.256</v>
      </c>
      <c r="C445" s="58">
        <v>-23.460794399999997</v>
      </c>
      <c r="D445" s="58">
        <v>7.4206175309536624</v>
      </c>
      <c r="E445" s="58">
        <v>-12.439030535603406</v>
      </c>
      <c r="F445" s="58">
        <v>-9.2047943999999973</v>
      </c>
      <c r="G445" s="58">
        <v>-5.0184130046497435</v>
      </c>
    </row>
    <row r="446" spans="1:7" ht="11.25" customHeight="1" x14ac:dyDescent="0.2">
      <c r="A446" s="62" t="s">
        <v>47</v>
      </c>
      <c r="B446" s="58">
        <v>14.256</v>
      </c>
      <c r="C446" s="58">
        <v>-23.460794399999997</v>
      </c>
      <c r="D446" s="58">
        <v>7.4206175309536624</v>
      </c>
      <c r="E446" s="58">
        <v>-12.439030535603406</v>
      </c>
      <c r="F446" s="58">
        <v>-9.2047943999999973</v>
      </c>
      <c r="G446" s="58">
        <v>-5.0184130046497435</v>
      </c>
    </row>
    <row r="447" spans="1:7" ht="11.25" customHeight="1" x14ac:dyDescent="0.2">
      <c r="A447" s="63" t="s">
        <v>25</v>
      </c>
      <c r="B447" s="58">
        <v>14.256</v>
      </c>
      <c r="C447" s="58">
        <v>-23.460794399999997</v>
      </c>
      <c r="D447" s="58">
        <v>7.4206175309536624</v>
      </c>
      <c r="E447" s="58">
        <v>-12.439030535603406</v>
      </c>
      <c r="F447" s="58">
        <v>-9.2047943999999973</v>
      </c>
      <c r="G447" s="58">
        <v>-5.0184130046497435</v>
      </c>
    </row>
    <row r="448" spans="1:7" ht="11.25" customHeight="1" x14ac:dyDescent="0.2">
      <c r="A448" s="64" t="s">
        <v>25</v>
      </c>
      <c r="B448" s="58">
        <v>14.256</v>
      </c>
      <c r="C448" s="58">
        <v>-23.460794399999997</v>
      </c>
      <c r="D448" s="58">
        <v>7.4206175309536624</v>
      </c>
      <c r="E448" s="58">
        <v>-12.439030535603406</v>
      </c>
      <c r="F448" s="58">
        <v>-9.2047943999999973</v>
      </c>
      <c r="G448" s="58">
        <v>-5.0184130046497435</v>
      </c>
    </row>
    <row r="449" spans="1:7" ht="11.25" customHeight="1" x14ac:dyDescent="0.2">
      <c r="A449" s="65" t="s">
        <v>25</v>
      </c>
      <c r="B449" s="58">
        <v>14.256</v>
      </c>
      <c r="C449" s="58">
        <v>-23.460794399999997</v>
      </c>
      <c r="D449" s="58">
        <v>7.4206175309536624</v>
      </c>
      <c r="E449" s="58">
        <v>-12.439030535603406</v>
      </c>
      <c r="F449" s="58">
        <v>-9.2047943999999973</v>
      </c>
      <c r="G449" s="58">
        <v>-5.0184130046497435</v>
      </c>
    </row>
    <row r="450" spans="1:7" ht="11.25" customHeight="1" x14ac:dyDescent="0.2">
      <c r="A450" s="66" t="s">
        <v>37</v>
      </c>
      <c r="B450" s="58">
        <v>0</v>
      </c>
      <c r="C450" s="58">
        <v>1.0902384000000003</v>
      </c>
      <c r="D450" s="58">
        <v>0</v>
      </c>
      <c r="E450" s="58">
        <v>0.71748786737925041</v>
      </c>
      <c r="F450" s="58">
        <v>1.0902384000000003</v>
      </c>
      <c r="G450" s="58">
        <v>0.71748786737925041</v>
      </c>
    </row>
    <row r="451" spans="1:7" ht="11.25" customHeight="1" x14ac:dyDescent="0.2">
      <c r="A451" s="67">
        <v>44743</v>
      </c>
      <c r="B451" s="58">
        <v>0</v>
      </c>
      <c r="C451" s="58">
        <v>0.22208559999999999</v>
      </c>
      <c r="D451" s="58">
        <v>0</v>
      </c>
      <c r="E451" s="58">
        <v>0.1461549359476251</v>
      </c>
      <c r="F451" s="58">
        <v>0.22208559999999999</v>
      </c>
      <c r="G451" s="58">
        <v>0.1461549359476251</v>
      </c>
    </row>
    <row r="452" spans="1:7" ht="11.25" customHeight="1" x14ac:dyDescent="0.2">
      <c r="A452" s="67">
        <v>44774</v>
      </c>
      <c r="B452" s="58">
        <v>0</v>
      </c>
      <c r="C452" s="58">
        <v>0.82777360000000022</v>
      </c>
      <c r="D452" s="58">
        <v>0</v>
      </c>
      <c r="E452" s="58">
        <v>0.5447593067138754</v>
      </c>
      <c r="F452" s="58">
        <v>0.82777360000000022</v>
      </c>
      <c r="G452" s="58">
        <v>0.5447593067138754</v>
      </c>
    </row>
    <row r="453" spans="1:7" ht="11.25" customHeight="1" x14ac:dyDescent="0.2">
      <c r="A453" s="67">
        <v>44805</v>
      </c>
      <c r="B453" s="58">
        <v>0</v>
      </c>
      <c r="C453" s="58">
        <v>2.0189600000000002E-2</v>
      </c>
      <c r="D453" s="58">
        <v>0</v>
      </c>
      <c r="E453" s="58">
        <v>1.328681235887501E-2</v>
      </c>
      <c r="F453" s="58">
        <v>2.0189600000000002E-2</v>
      </c>
      <c r="G453" s="58">
        <v>1.328681235887501E-2</v>
      </c>
    </row>
    <row r="454" spans="1:7" ht="11.25" customHeight="1" x14ac:dyDescent="0.2">
      <c r="A454" s="67">
        <v>44835</v>
      </c>
      <c r="B454" s="58">
        <v>0</v>
      </c>
      <c r="C454" s="58">
        <v>1.0094800000000001E-2</v>
      </c>
      <c r="D454" s="58">
        <v>0</v>
      </c>
      <c r="E454" s="58">
        <v>6.6434061794375049E-3</v>
      </c>
      <c r="F454" s="58">
        <v>1.0094800000000001E-2</v>
      </c>
      <c r="G454" s="58">
        <v>6.6434061794375049E-3</v>
      </c>
    </row>
    <row r="455" spans="1:7" ht="11.25" customHeight="1" x14ac:dyDescent="0.2">
      <c r="A455" s="67">
        <v>44866</v>
      </c>
      <c r="B455" s="58">
        <v>0</v>
      </c>
      <c r="C455" s="58">
        <v>1.0094800000000001E-2</v>
      </c>
      <c r="D455" s="58">
        <v>0</v>
      </c>
      <c r="E455" s="58">
        <v>6.6434061794375049E-3</v>
      </c>
      <c r="F455" s="58">
        <v>1.0094800000000001E-2</v>
      </c>
      <c r="G455" s="58">
        <v>6.6434061794375049E-3</v>
      </c>
    </row>
    <row r="456" spans="1:7" ht="11.25" customHeight="1" x14ac:dyDescent="0.2">
      <c r="A456" s="66" t="s">
        <v>25</v>
      </c>
      <c r="B456" s="58">
        <v>14.256</v>
      </c>
      <c r="C456" s="58">
        <v>0</v>
      </c>
      <c r="D456" s="58">
        <v>7.4206175309536624</v>
      </c>
      <c r="E456" s="58">
        <v>0</v>
      </c>
      <c r="F456" s="58">
        <v>14.256</v>
      </c>
      <c r="G456" s="58">
        <v>7.4206175309536624</v>
      </c>
    </row>
    <row r="457" spans="1:7" ht="11.25" customHeight="1" x14ac:dyDescent="0.2">
      <c r="A457" s="67">
        <v>44774</v>
      </c>
      <c r="B457" s="58">
        <v>11.88</v>
      </c>
      <c r="C457" s="58">
        <v>0</v>
      </c>
      <c r="D457" s="58">
        <v>6.1838479424613855</v>
      </c>
      <c r="E457" s="58">
        <v>0</v>
      </c>
      <c r="F457" s="58">
        <v>11.88</v>
      </c>
      <c r="G457" s="58">
        <v>6.1838479424613855</v>
      </c>
    </row>
    <row r="458" spans="1:7" ht="11.25" customHeight="1" x14ac:dyDescent="0.2">
      <c r="A458" s="67">
        <v>44805</v>
      </c>
      <c r="B458" s="58">
        <v>0.79200000000000004</v>
      </c>
      <c r="C458" s="58">
        <v>0</v>
      </c>
      <c r="D458" s="58">
        <v>0.41225652949742569</v>
      </c>
      <c r="E458" s="58">
        <v>0</v>
      </c>
      <c r="F458" s="58">
        <v>0.79200000000000004</v>
      </c>
      <c r="G458" s="58">
        <v>0.41225652949742569</v>
      </c>
    </row>
    <row r="459" spans="1:7" ht="11.25" customHeight="1" x14ac:dyDescent="0.2">
      <c r="A459" s="67">
        <v>44835</v>
      </c>
      <c r="B459" s="58">
        <v>0.79200000000000004</v>
      </c>
      <c r="C459" s="58">
        <v>0</v>
      </c>
      <c r="D459" s="58">
        <v>0.41225652949742569</v>
      </c>
      <c r="E459" s="58">
        <v>0</v>
      </c>
      <c r="F459" s="58">
        <v>0.79200000000000004</v>
      </c>
      <c r="G459" s="58">
        <v>0.41225652949742569</v>
      </c>
    </row>
    <row r="460" spans="1:7" ht="11.25" customHeight="1" x14ac:dyDescent="0.2">
      <c r="A460" s="67">
        <v>44866</v>
      </c>
      <c r="B460" s="58">
        <v>0.79200000000000004</v>
      </c>
      <c r="C460" s="58">
        <v>0</v>
      </c>
      <c r="D460" s="58">
        <v>0.41225652949742569</v>
      </c>
      <c r="E460" s="58">
        <v>0</v>
      </c>
      <c r="F460" s="58">
        <v>0.79200000000000004</v>
      </c>
      <c r="G460" s="58">
        <v>0.41225652949742569</v>
      </c>
    </row>
    <row r="461" spans="1:7" ht="11.25" customHeight="1" x14ac:dyDescent="0.2">
      <c r="A461" s="66" t="s">
        <v>36</v>
      </c>
      <c r="B461" s="58">
        <v>0</v>
      </c>
      <c r="C461" s="58">
        <v>-24.551032799999998</v>
      </c>
      <c r="D461" s="58">
        <v>0</v>
      </c>
      <c r="E461" s="58">
        <v>-13.156518402982655</v>
      </c>
      <c r="F461" s="58">
        <v>-24.551032799999998</v>
      </c>
      <c r="G461" s="58">
        <v>-13.156518402982655</v>
      </c>
    </row>
    <row r="462" spans="1:7" ht="11.25" customHeight="1" x14ac:dyDescent="0.2">
      <c r="A462" s="67">
        <v>44531</v>
      </c>
      <c r="B462" s="58">
        <v>0</v>
      </c>
      <c r="C462" s="58">
        <v>-24.688573599999998</v>
      </c>
      <c r="D462" s="58">
        <v>0</v>
      </c>
      <c r="E462" s="58">
        <v>-13.230224388433539</v>
      </c>
      <c r="F462" s="58">
        <v>-24.688573599999998</v>
      </c>
      <c r="G462" s="58">
        <v>-13.230224388433539</v>
      </c>
    </row>
    <row r="463" spans="1:7" ht="11.25" customHeight="1" x14ac:dyDescent="0.2">
      <c r="A463" s="67">
        <v>44743</v>
      </c>
      <c r="B463" s="58">
        <v>0</v>
      </c>
      <c r="C463" s="58">
        <v>0.13754080000000002</v>
      </c>
      <c r="D463" s="58">
        <v>0</v>
      </c>
      <c r="E463" s="58">
        <v>7.3705985450883235E-2</v>
      </c>
      <c r="F463" s="58">
        <v>0.13754080000000002</v>
      </c>
      <c r="G463" s="58">
        <v>7.3705985450883235E-2</v>
      </c>
    </row>
    <row r="464" spans="1:7" ht="11.25" customHeight="1" x14ac:dyDescent="0.2">
      <c r="A464" s="60" t="s">
        <v>46</v>
      </c>
      <c r="B464" s="58">
        <v>0</v>
      </c>
      <c r="C464" s="58">
        <v>3518519.3663806403</v>
      </c>
      <c r="D464" s="58">
        <v>0</v>
      </c>
      <c r="E464" s="58">
        <v>2015728.61262295</v>
      </c>
      <c r="F464" s="58">
        <v>3518519.3663806417</v>
      </c>
      <c r="G464" s="58">
        <v>2015728.61262295</v>
      </c>
    </row>
    <row r="465" spans="1:7" ht="11.25" customHeight="1" x14ac:dyDescent="0.2">
      <c r="A465" s="61" t="s">
        <v>35</v>
      </c>
      <c r="B465" s="58">
        <v>0</v>
      </c>
      <c r="C465" s="58">
        <v>2349.5099406382983</v>
      </c>
      <c r="D465" s="58">
        <v>0</v>
      </c>
      <c r="E465" s="58">
        <v>2936.0018228651529</v>
      </c>
      <c r="F465" s="58">
        <v>2349.5099406382978</v>
      </c>
      <c r="G465" s="58">
        <v>2936.0018228651529</v>
      </c>
    </row>
    <row r="466" spans="1:7" ht="11.25" customHeight="1" x14ac:dyDescent="0.2">
      <c r="A466" s="62" t="s">
        <v>47</v>
      </c>
      <c r="B466" s="58">
        <v>0</v>
      </c>
      <c r="C466" s="58">
        <v>2349.5099406382983</v>
      </c>
      <c r="D466" s="58">
        <v>0</v>
      </c>
      <c r="E466" s="58">
        <v>2936.0018228651529</v>
      </c>
      <c r="F466" s="58">
        <v>2349.5099406382978</v>
      </c>
      <c r="G466" s="58">
        <v>2936.0018228651529</v>
      </c>
    </row>
    <row r="467" spans="1:7" ht="11.25" customHeight="1" x14ac:dyDescent="0.2">
      <c r="A467" s="63" t="s">
        <v>25</v>
      </c>
      <c r="B467" s="58">
        <v>0</v>
      </c>
      <c r="C467" s="58">
        <v>2349.5099406382983</v>
      </c>
      <c r="D467" s="58">
        <v>0</v>
      </c>
      <c r="E467" s="58">
        <v>2936.0018228651529</v>
      </c>
      <c r="F467" s="58">
        <v>2349.5099406382978</v>
      </c>
      <c r="G467" s="58">
        <v>2936.0018228651529</v>
      </c>
    </row>
    <row r="468" spans="1:7" ht="11.25" customHeight="1" x14ac:dyDescent="0.2">
      <c r="A468" s="64" t="s">
        <v>25</v>
      </c>
      <c r="B468" s="58">
        <v>0</v>
      </c>
      <c r="C468" s="58">
        <v>2349.5099406382983</v>
      </c>
      <c r="D468" s="58">
        <v>0</v>
      </c>
      <c r="E468" s="58">
        <v>2936.0018228651529</v>
      </c>
      <c r="F468" s="58">
        <v>2349.5099406382978</v>
      </c>
      <c r="G468" s="58">
        <v>2936.0018228651529</v>
      </c>
    </row>
    <row r="469" spans="1:7" ht="11.25" customHeight="1" x14ac:dyDescent="0.2">
      <c r="A469" s="65" t="s">
        <v>25</v>
      </c>
      <c r="B469" s="58">
        <v>0</v>
      </c>
      <c r="C469" s="58">
        <v>2349.5099406382983</v>
      </c>
      <c r="D469" s="58">
        <v>0</v>
      </c>
      <c r="E469" s="58">
        <v>2936.0018228651529</v>
      </c>
      <c r="F469" s="58">
        <v>2349.5099406382978</v>
      </c>
      <c r="G469" s="58">
        <v>2936.0018228651529</v>
      </c>
    </row>
    <row r="470" spans="1:7" ht="11.25" customHeight="1" x14ac:dyDescent="0.2">
      <c r="A470" s="66" t="s">
        <v>37</v>
      </c>
      <c r="B470" s="58">
        <v>0</v>
      </c>
      <c r="C470" s="58">
        <v>2041.3608976595742</v>
      </c>
      <c r="D470" s="58">
        <v>0</v>
      </c>
      <c r="E470" s="58">
        <v>2578.1296907440415</v>
      </c>
      <c r="F470" s="58">
        <v>2041.3608976595742</v>
      </c>
      <c r="G470" s="58">
        <v>2578.1296907440415</v>
      </c>
    </row>
    <row r="471" spans="1:7" ht="11.25" customHeight="1" x14ac:dyDescent="0.2">
      <c r="A471" s="67">
        <v>44531</v>
      </c>
      <c r="B471" s="58">
        <v>0</v>
      </c>
      <c r="C471" s="58">
        <v>164.14447595744682</v>
      </c>
      <c r="D471" s="58">
        <v>0</v>
      </c>
      <c r="E471" s="58">
        <v>207.30569862619521</v>
      </c>
      <c r="F471" s="58">
        <v>164.14447595744682</v>
      </c>
      <c r="G471" s="58">
        <v>207.30569862619521</v>
      </c>
    </row>
    <row r="472" spans="1:7" ht="11.25" customHeight="1" x14ac:dyDescent="0.2">
      <c r="A472" s="67">
        <v>44562</v>
      </c>
      <c r="B472" s="58">
        <v>0</v>
      </c>
      <c r="C472" s="58">
        <v>184.56170106382976</v>
      </c>
      <c r="D472" s="58">
        <v>0</v>
      </c>
      <c r="E472" s="58">
        <v>233.09156251225306</v>
      </c>
      <c r="F472" s="58">
        <v>184.56170106382976</v>
      </c>
      <c r="G472" s="58">
        <v>233.09156251225306</v>
      </c>
    </row>
    <row r="473" spans="1:7" ht="11.25" customHeight="1" x14ac:dyDescent="0.2">
      <c r="A473" s="67">
        <v>44593</v>
      </c>
      <c r="B473" s="58">
        <v>0</v>
      </c>
      <c r="C473" s="58">
        <v>160.22236595744681</v>
      </c>
      <c r="D473" s="58">
        <v>0</v>
      </c>
      <c r="E473" s="58">
        <v>202.35228335653011</v>
      </c>
      <c r="F473" s="58">
        <v>160.22236595744681</v>
      </c>
      <c r="G473" s="58">
        <v>202.35228335653011</v>
      </c>
    </row>
    <row r="474" spans="1:7" ht="11.25" customHeight="1" x14ac:dyDescent="0.2">
      <c r="A474" s="67">
        <v>44621</v>
      </c>
      <c r="B474" s="58">
        <v>0</v>
      </c>
      <c r="C474" s="58">
        <v>153.6855159574468</v>
      </c>
      <c r="D474" s="58">
        <v>0</v>
      </c>
      <c r="E474" s="58">
        <v>194.0965912404217</v>
      </c>
      <c r="F474" s="58">
        <v>153.6855159574468</v>
      </c>
      <c r="G474" s="58">
        <v>194.0965912404217</v>
      </c>
    </row>
    <row r="475" spans="1:7" ht="11.25" customHeight="1" x14ac:dyDescent="0.2">
      <c r="A475" s="67">
        <v>44652</v>
      </c>
      <c r="B475" s="58">
        <v>0</v>
      </c>
      <c r="C475" s="58">
        <v>133.76898574468083</v>
      </c>
      <c r="D475" s="58">
        <v>0</v>
      </c>
      <c r="E475" s="58">
        <v>168.94307823985304</v>
      </c>
      <c r="F475" s="58">
        <v>133.76898574468083</v>
      </c>
      <c r="G475" s="58">
        <v>168.94307823985304</v>
      </c>
    </row>
    <row r="476" spans="1:7" ht="11.25" customHeight="1" x14ac:dyDescent="0.2">
      <c r="A476" s="67">
        <v>44682</v>
      </c>
      <c r="B476" s="58">
        <v>0</v>
      </c>
      <c r="C476" s="58">
        <v>177.44070702127658</v>
      </c>
      <c r="D476" s="58">
        <v>0</v>
      </c>
      <c r="E476" s="58">
        <v>224.09812769640726</v>
      </c>
      <c r="F476" s="58">
        <v>177.44070702127658</v>
      </c>
      <c r="G476" s="58">
        <v>224.09812769640726</v>
      </c>
    </row>
    <row r="477" spans="1:7" ht="11.25" customHeight="1" x14ac:dyDescent="0.2">
      <c r="A477" s="67">
        <v>44713</v>
      </c>
      <c r="B477" s="58">
        <v>0</v>
      </c>
      <c r="C477" s="58">
        <v>157.66325872340425</v>
      </c>
      <c r="D477" s="58">
        <v>0</v>
      </c>
      <c r="E477" s="58">
        <v>199.12026771958557</v>
      </c>
      <c r="F477" s="58">
        <v>157.66325872340425</v>
      </c>
      <c r="G477" s="58">
        <v>199.12026771958557</v>
      </c>
    </row>
    <row r="478" spans="1:7" ht="11.25" customHeight="1" x14ac:dyDescent="0.2">
      <c r="A478" s="67">
        <v>44743</v>
      </c>
      <c r="B478" s="58">
        <v>0</v>
      </c>
      <c r="C478" s="58">
        <v>160.69524446808509</v>
      </c>
      <c r="D478" s="58">
        <v>0</v>
      </c>
      <c r="E478" s="58">
        <v>202.94950363726991</v>
      </c>
      <c r="F478" s="58">
        <v>160.69524446808509</v>
      </c>
      <c r="G478" s="58">
        <v>202.94950363726991</v>
      </c>
    </row>
    <row r="479" spans="1:7" ht="11.25" customHeight="1" x14ac:dyDescent="0.2">
      <c r="A479" s="67">
        <v>44774</v>
      </c>
      <c r="B479" s="58">
        <v>0</v>
      </c>
      <c r="C479" s="58">
        <v>215.57696808510636</v>
      </c>
      <c r="D479" s="58">
        <v>0</v>
      </c>
      <c r="E479" s="58">
        <v>272.26218680783131</v>
      </c>
      <c r="F479" s="58">
        <v>215.57696808510636</v>
      </c>
      <c r="G479" s="58">
        <v>272.26218680783131</v>
      </c>
    </row>
    <row r="480" spans="1:7" ht="11.25" customHeight="1" x14ac:dyDescent="0.2">
      <c r="A480" s="67">
        <v>44805</v>
      </c>
      <c r="B480" s="58">
        <v>0</v>
      </c>
      <c r="C480" s="58">
        <v>168.98452659574468</v>
      </c>
      <c r="D480" s="58">
        <v>0</v>
      </c>
      <c r="E480" s="58">
        <v>213.41842385259039</v>
      </c>
      <c r="F480" s="58">
        <v>168.98452659574468</v>
      </c>
      <c r="G480" s="58">
        <v>213.41842385259039</v>
      </c>
    </row>
    <row r="481" spans="1:7" ht="11.25" customHeight="1" x14ac:dyDescent="0.2">
      <c r="A481" s="67">
        <v>44835</v>
      </c>
      <c r="B481" s="58">
        <v>0</v>
      </c>
      <c r="C481" s="58">
        <v>182.3085740425532</v>
      </c>
      <c r="D481" s="58">
        <v>0</v>
      </c>
      <c r="E481" s="58">
        <v>230.24598352755189</v>
      </c>
      <c r="F481" s="58">
        <v>182.3085740425532</v>
      </c>
      <c r="G481" s="58">
        <v>230.24598352755189</v>
      </c>
    </row>
    <row r="482" spans="1:7" ht="11.25" customHeight="1" x14ac:dyDescent="0.2">
      <c r="A482" s="67">
        <v>44866</v>
      </c>
      <c r="B482" s="58">
        <v>0</v>
      </c>
      <c r="C482" s="58">
        <v>182.3085740425532</v>
      </c>
      <c r="D482" s="58">
        <v>0</v>
      </c>
      <c r="E482" s="58">
        <v>230.24598352755189</v>
      </c>
      <c r="F482" s="58">
        <v>182.3085740425532</v>
      </c>
      <c r="G482" s="58">
        <v>230.24598352755189</v>
      </c>
    </row>
    <row r="483" spans="1:7" ht="11.25" customHeight="1" x14ac:dyDescent="0.2">
      <c r="A483" s="66" t="s">
        <v>38</v>
      </c>
      <c r="B483" s="58">
        <v>0</v>
      </c>
      <c r="C483" s="58">
        <v>28.329595531914897</v>
      </c>
      <c r="D483" s="58">
        <v>0</v>
      </c>
      <c r="E483" s="58">
        <v>33.118126985139675</v>
      </c>
      <c r="F483" s="58">
        <v>28.329595531914897</v>
      </c>
      <c r="G483" s="58">
        <v>33.118126985139675</v>
      </c>
    </row>
    <row r="484" spans="1:7" ht="11.25" customHeight="1" x14ac:dyDescent="0.2">
      <c r="A484" s="67">
        <v>44531</v>
      </c>
      <c r="B484" s="58">
        <v>0</v>
      </c>
      <c r="C484" s="58">
        <v>1.9680523404255321</v>
      </c>
      <c r="D484" s="58">
        <v>0</v>
      </c>
      <c r="E484" s="58">
        <v>2.3007108326056813</v>
      </c>
      <c r="F484" s="58">
        <v>1.9680523404255321</v>
      </c>
      <c r="G484" s="58">
        <v>2.3007108326056813</v>
      </c>
    </row>
    <row r="485" spans="1:7" ht="11.25" customHeight="1" x14ac:dyDescent="0.2">
      <c r="A485" s="67">
        <v>44562</v>
      </c>
      <c r="B485" s="58">
        <v>0</v>
      </c>
      <c r="C485" s="58">
        <v>3.3664053191489356</v>
      </c>
      <c r="D485" s="58">
        <v>0</v>
      </c>
      <c r="E485" s="58">
        <v>3.935426424193929</v>
      </c>
      <c r="F485" s="58">
        <v>3.3664053191489356</v>
      </c>
      <c r="G485" s="58">
        <v>3.935426424193929</v>
      </c>
    </row>
    <row r="486" spans="1:7" ht="11.25" customHeight="1" x14ac:dyDescent="0.2">
      <c r="A486" s="67">
        <v>44593</v>
      </c>
      <c r="B486" s="58">
        <v>0</v>
      </c>
      <c r="C486" s="58">
        <v>2.5895425531914897</v>
      </c>
      <c r="D486" s="58">
        <v>0</v>
      </c>
      <c r="E486" s="58">
        <v>3.0272510955337912</v>
      </c>
      <c r="F486" s="58">
        <v>2.5895425531914897</v>
      </c>
      <c r="G486" s="58">
        <v>3.0272510955337912</v>
      </c>
    </row>
    <row r="487" spans="1:7" ht="11.25" customHeight="1" x14ac:dyDescent="0.2">
      <c r="A487" s="67">
        <v>44621</v>
      </c>
      <c r="B487" s="58">
        <v>0</v>
      </c>
      <c r="C487" s="58">
        <v>1.9162614893617023</v>
      </c>
      <c r="D487" s="58">
        <v>0</v>
      </c>
      <c r="E487" s="58">
        <v>2.2401658106950055</v>
      </c>
      <c r="F487" s="58">
        <v>1.9162614893617023</v>
      </c>
      <c r="G487" s="58">
        <v>2.2401658106950055</v>
      </c>
    </row>
    <row r="488" spans="1:7" ht="11.25" customHeight="1" x14ac:dyDescent="0.2">
      <c r="A488" s="67">
        <v>44652</v>
      </c>
      <c r="B488" s="58">
        <v>0</v>
      </c>
      <c r="C488" s="58">
        <v>1.9680523404255321</v>
      </c>
      <c r="D488" s="58">
        <v>0</v>
      </c>
      <c r="E488" s="58">
        <v>2.3007108326056813</v>
      </c>
      <c r="F488" s="58">
        <v>1.9680523404255321</v>
      </c>
      <c r="G488" s="58">
        <v>2.3007108326056813</v>
      </c>
    </row>
    <row r="489" spans="1:7" ht="11.25" customHeight="1" x14ac:dyDescent="0.2">
      <c r="A489" s="67">
        <v>44682</v>
      </c>
      <c r="B489" s="58">
        <v>0</v>
      </c>
      <c r="C489" s="58">
        <v>1.6055163829787233</v>
      </c>
      <c r="D489" s="58">
        <v>0</v>
      </c>
      <c r="E489" s="58">
        <v>1.8768956792309506</v>
      </c>
      <c r="F489" s="58">
        <v>1.6055163829787233</v>
      </c>
      <c r="G489" s="58">
        <v>1.8768956792309506</v>
      </c>
    </row>
    <row r="490" spans="1:7" ht="11.25" customHeight="1" x14ac:dyDescent="0.2">
      <c r="A490" s="67">
        <v>44713</v>
      </c>
      <c r="B490" s="58">
        <v>0</v>
      </c>
      <c r="C490" s="58">
        <v>1.9162614893617023</v>
      </c>
      <c r="D490" s="58">
        <v>0</v>
      </c>
      <c r="E490" s="58">
        <v>2.2401658106950055</v>
      </c>
      <c r="F490" s="58">
        <v>1.9162614893617023</v>
      </c>
      <c r="G490" s="58">
        <v>2.2401658106950055</v>
      </c>
    </row>
    <row r="491" spans="1:7" ht="11.25" customHeight="1" x14ac:dyDescent="0.2">
      <c r="A491" s="67">
        <v>44743</v>
      </c>
      <c r="B491" s="58">
        <v>0</v>
      </c>
      <c r="C491" s="58">
        <v>2.6931242553191486</v>
      </c>
      <c r="D491" s="58">
        <v>0</v>
      </c>
      <c r="E491" s="58">
        <v>3.1483411393551433</v>
      </c>
      <c r="F491" s="58">
        <v>2.6931242553191486</v>
      </c>
      <c r="G491" s="58">
        <v>3.1483411393551433</v>
      </c>
    </row>
    <row r="492" spans="1:7" ht="11.25" customHeight="1" x14ac:dyDescent="0.2">
      <c r="A492" s="67">
        <v>44774</v>
      </c>
      <c r="B492" s="58">
        <v>0</v>
      </c>
      <c r="C492" s="58">
        <v>2.8484968085106379</v>
      </c>
      <c r="D492" s="58">
        <v>0</v>
      </c>
      <c r="E492" s="58">
        <v>3.3299762050871706</v>
      </c>
      <c r="F492" s="58">
        <v>2.8484968085106379</v>
      </c>
      <c r="G492" s="58">
        <v>3.3299762050871706</v>
      </c>
    </row>
    <row r="493" spans="1:7" ht="11.25" customHeight="1" x14ac:dyDescent="0.2">
      <c r="A493" s="67">
        <v>44805</v>
      </c>
      <c r="B493" s="58">
        <v>0</v>
      </c>
      <c r="C493" s="58">
        <v>2.3823791489361703</v>
      </c>
      <c r="D493" s="58">
        <v>0</v>
      </c>
      <c r="E493" s="58">
        <v>2.7850710078910881</v>
      </c>
      <c r="F493" s="58">
        <v>2.3823791489361703</v>
      </c>
      <c r="G493" s="58">
        <v>2.7850710078910881</v>
      </c>
    </row>
    <row r="494" spans="1:7" ht="11.25" customHeight="1" x14ac:dyDescent="0.2">
      <c r="A494" s="67">
        <v>44835</v>
      </c>
      <c r="B494" s="58">
        <v>0</v>
      </c>
      <c r="C494" s="58">
        <v>2.5377517021276597</v>
      </c>
      <c r="D494" s="58">
        <v>0</v>
      </c>
      <c r="E494" s="58">
        <v>2.966706073623115</v>
      </c>
      <c r="F494" s="58">
        <v>2.5377517021276597</v>
      </c>
      <c r="G494" s="58">
        <v>2.966706073623115</v>
      </c>
    </row>
    <row r="495" spans="1:7" ht="11.25" customHeight="1" x14ac:dyDescent="0.2">
      <c r="A495" s="67">
        <v>44866</v>
      </c>
      <c r="B495" s="58">
        <v>0</v>
      </c>
      <c r="C495" s="58">
        <v>2.5377517021276597</v>
      </c>
      <c r="D495" s="58">
        <v>0</v>
      </c>
      <c r="E495" s="58">
        <v>2.966706073623115</v>
      </c>
      <c r="F495" s="58">
        <v>2.5377517021276597</v>
      </c>
      <c r="G495" s="58">
        <v>2.966706073623115</v>
      </c>
    </row>
    <row r="496" spans="1:7" ht="11.25" customHeight="1" x14ac:dyDescent="0.2">
      <c r="A496" s="66" t="s">
        <v>36</v>
      </c>
      <c r="B496" s="58">
        <v>0</v>
      </c>
      <c r="C496" s="58">
        <v>279.81944744680851</v>
      </c>
      <c r="D496" s="58">
        <v>0</v>
      </c>
      <c r="E496" s="58">
        <v>324.75400513597179</v>
      </c>
      <c r="F496" s="58">
        <v>279.81944744680851</v>
      </c>
      <c r="G496" s="58">
        <v>324.75400513597179</v>
      </c>
    </row>
    <row r="497" spans="1:7" ht="11.25" customHeight="1" x14ac:dyDescent="0.2">
      <c r="A497" s="67">
        <v>44531</v>
      </c>
      <c r="B497" s="58">
        <v>0</v>
      </c>
      <c r="C497" s="58">
        <v>23.882055957446809</v>
      </c>
      <c r="D497" s="58">
        <v>0</v>
      </c>
      <c r="E497" s="58">
        <v>27.717134723227417</v>
      </c>
      <c r="F497" s="58">
        <v>23.882055957446809</v>
      </c>
      <c r="G497" s="58">
        <v>27.717134723227417</v>
      </c>
    </row>
    <row r="498" spans="1:7" ht="11.25" customHeight="1" x14ac:dyDescent="0.2">
      <c r="A498" s="67">
        <v>44562</v>
      </c>
      <c r="B498" s="58">
        <v>0</v>
      </c>
      <c r="C498" s="58">
        <v>25.18619553191489</v>
      </c>
      <c r="D498" s="58">
        <v>0</v>
      </c>
      <c r="E498" s="58">
        <v>29.230698394120381</v>
      </c>
      <c r="F498" s="58">
        <v>25.18619553191489</v>
      </c>
      <c r="G498" s="58">
        <v>29.230698394120381</v>
      </c>
    </row>
    <row r="499" spans="1:7" ht="11.25" customHeight="1" x14ac:dyDescent="0.2">
      <c r="A499" s="67">
        <v>44593</v>
      </c>
      <c r="B499" s="58">
        <v>0</v>
      </c>
      <c r="C499" s="58">
        <v>27.142404893617019</v>
      </c>
      <c r="D499" s="58">
        <v>0</v>
      </c>
      <c r="E499" s="58">
        <v>31.50104390045983</v>
      </c>
      <c r="F499" s="58">
        <v>27.142404893617019</v>
      </c>
      <c r="G499" s="58">
        <v>31.50104390045983</v>
      </c>
    </row>
    <row r="500" spans="1:7" ht="11.25" customHeight="1" x14ac:dyDescent="0.2">
      <c r="A500" s="67">
        <v>44621</v>
      </c>
      <c r="B500" s="58">
        <v>0</v>
      </c>
      <c r="C500" s="58">
        <v>19.073041276595742</v>
      </c>
      <c r="D500" s="58">
        <v>0</v>
      </c>
      <c r="E500" s="58">
        <v>22.135868686809616</v>
      </c>
      <c r="F500" s="58">
        <v>19.073041276595742</v>
      </c>
      <c r="G500" s="58">
        <v>22.135868686809616</v>
      </c>
    </row>
    <row r="501" spans="1:7" ht="11.25" customHeight="1" x14ac:dyDescent="0.2">
      <c r="A501" s="67">
        <v>44652</v>
      </c>
      <c r="B501" s="58">
        <v>0</v>
      </c>
      <c r="C501" s="58">
        <v>21.762829148936174</v>
      </c>
      <c r="D501" s="58">
        <v>0</v>
      </c>
      <c r="E501" s="58">
        <v>25.257593758026349</v>
      </c>
      <c r="F501" s="58">
        <v>21.762829148936174</v>
      </c>
      <c r="G501" s="58">
        <v>25.257593758026349</v>
      </c>
    </row>
    <row r="502" spans="1:7" ht="11.25" customHeight="1" x14ac:dyDescent="0.2">
      <c r="A502" s="67">
        <v>44682</v>
      </c>
      <c r="B502" s="58">
        <v>0</v>
      </c>
      <c r="C502" s="58">
        <v>27.875983404255322</v>
      </c>
      <c r="D502" s="58">
        <v>0</v>
      </c>
      <c r="E502" s="58">
        <v>32.352423465337132</v>
      </c>
      <c r="F502" s="58">
        <v>27.875983404255322</v>
      </c>
      <c r="G502" s="58">
        <v>32.352423465337132</v>
      </c>
    </row>
    <row r="503" spans="1:7" ht="11.25" customHeight="1" x14ac:dyDescent="0.2">
      <c r="A503" s="67">
        <v>44713</v>
      </c>
      <c r="B503" s="58">
        <v>0</v>
      </c>
      <c r="C503" s="58">
        <v>21.355285531914891</v>
      </c>
      <c r="D503" s="58">
        <v>0</v>
      </c>
      <c r="E503" s="58">
        <v>24.784605110872302</v>
      </c>
      <c r="F503" s="58">
        <v>21.355285531914891</v>
      </c>
      <c r="G503" s="58">
        <v>24.784605110872302</v>
      </c>
    </row>
    <row r="504" spans="1:7" ht="11.25" customHeight="1" x14ac:dyDescent="0.2">
      <c r="A504" s="67">
        <v>44743</v>
      </c>
      <c r="B504" s="58">
        <v>0</v>
      </c>
      <c r="C504" s="58">
        <v>19.562093617021272</v>
      </c>
      <c r="D504" s="58">
        <v>0</v>
      </c>
      <c r="E504" s="58">
        <v>22.703455063394472</v>
      </c>
      <c r="F504" s="58">
        <v>19.562093617021272</v>
      </c>
      <c r="G504" s="58">
        <v>22.703455063394472</v>
      </c>
    </row>
    <row r="505" spans="1:7" ht="11.25" customHeight="1" x14ac:dyDescent="0.2">
      <c r="A505" s="67">
        <v>44774</v>
      </c>
      <c r="B505" s="58">
        <v>0</v>
      </c>
      <c r="C505" s="58">
        <v>24.371108297872336</v>
      </c>
      <c r="D505" s="58">
        <v>0</v>
      </c>
      <c r="E505" s="58">
        <v>28.28472109981228</v>
      </c>
      <c r="F505" s="58">
        <v>24.371108297872336</v>
      </c>
      <c r="G505" s="58">
        <v>28.28472109981228</v>
      </c>
    </row>
    <row r="506" spans="1:7" ht="11.25" customHeight="1" x14ac:dyDescent="0.2">
      <c r="A506" s="67">
        <v>44805</v>
      </c>
      <c r="B506" s="58">
        <v>0</v>
      </c>
      <c r="C506" s="58">
        <v>19.236058723404252</v>
      </c>
      <c r="D506" s="58">
        <v>0</v>
      </c>
      <c r="E506" s="58">
        <v>22.325064145671231</v>
      </c>
      <c r="F506" s="58">
        <v>19.236058723404252</v>
      </c>
      <c r="G506" s="58">
        <v>22.325064145671231</v>
      </c>
    </row>
    <row r="507" spans="1:7" ht="11.25" customHeight="1" x14ac:dyDescent="0.2">
      <c r="A507" s="67">
        <v>44835</v>
      </c>
      <c r="B507" s="58">
        <v>0</v>
      </c>
      <c r="C507" s="58">
        <v>25.18619553191489</v>
      </c>
      <c r="D507" s="58">
        <v>0</v>
      </c>
      <c r="E507" s="58">
        <v>29.230698394120381</v>
      </c>
      <c r="F507" s="58">
        <v>25.18619553191489</v>
      </c>
      <c r="G507" s="58">
        <v>29.230698394120381</v>
      </c>
    </row>
    <row r="508" spans="1:7" ht="11.25" customHeight="1" x14ac:dyDescent="0.2">
      <c r="A508" s="67">
        <v>44866</v>
      </c>
      <c r="B508" s="58">
        <v>0</v>
      </c>
      <c r="C508" s="58">
        <v>25.18619553191489</v>
      </c>
      <c r="D508" s="58">
        <v>0</v>
      </c>
      <c r="E508" s="58">
        <v>29.230698394120381</v>
      </c>
      <c r="F508" s="58">
        <v>25.18619553191489</v>
      </c>
      <c r="G508" s="58">
        <v>29.230698394120381</v>
      </c>
    </row>
    <row r="509" spans="1:7" ht="11.25" customHeight="1" x14ac:dyDescent="0.2">
      <c r="A509" s="61" t="s">
        <v>23</v>
      </c>
      <c r="B509" s="58">
        <v>0</v>
      </c>
      <c r="C509" s="58">
        <v>3516169.8564400021</v>
      </c>
      <c r="D509" s="58">
        <v>0</v>
      </c>
      <c r="E509" s="58">
        <v>2012792.6108000844</v>
      </c>
      <c r="F509" s="58">
        <v>3516169.8564400035</v>
      </c>
      <c r="G509" s="58">
        <v>2012792.6108000847</v>
      </c>
    </row>
    <row r="510" spans="1:7" ht="11.25" customHeight="1" x14ac:dyDescent="0.2">
      <c r="A510" s="62" t="s">
        <v>47</v>
      </c>
      <c r="B510" s="58">
        <v>0</v>
      </c>
      <c r="C510" s="58">
        <v>3516169.8564400021</v>
      </c>
      <c r="D510" s="58">
        <v>0</v>
      </c>
      <c r="E510" s="58">
        <v>2012792.6108000844</v>
      </c>
      <c r="F510" s="58">
        <v>3516169.8564400035</v>
      </c>
      <c r="G510" s="58">
        <v>2012792.6108000847</v>
      </c>
    </row>
    <row r="511" spans="1:7" ht="11.25" customHeight="1" x14ac:dyDescent="0.2">
      <c r="A511" s="63" t="s">
        <v>55</v>
      </c>
      <c r="B511" s="58">
        <v>0</v>
      </c>
      <c r="C511" s="58">
        <v>5001.9038400000036</v>
      </c>
      <c r="D511" s="58">
        <v>0</v>
      </c>
      <c r="E511" s="58">
        <v>2863.2846250715147</v>
      </c>
      <c r="F511" s="58">
        <v>5001.9038400000036</v>
      </c>
      <c r="G511" s="58">
        <v>2863.2846250715156</v>
      </c>
    </row>
    <row r="512" spans="1:7" ht="11.25" customHeight="1" x14ac:dyDescent="0.2">
      <c r="A512" s="64" t="s">
        <v>56</v>
      </c>
      <c r="B512" s="58">
        <v>0</v>
      </c>
      <c r="C512" s="58">
        <v>5001.9038400000036</v>
      </c>
      <c r="D512" s="58">
        <v>0</v>
      </c>
      <c r="E512" s="58">
        <v>2863.2846250715147</v>
      </c>
      <c r="F512" s="58">
        <v>5001.9038400000036</v>
      </c>
      <c r="G512" s="58">
        <v>2863.2846250715156</v>
      </c>
    </row>
    <row r="513" spans="1:7" ht="11.25" customHeight="1" x14ac:dyDescent="0.2">
      <c r="A513" s="65" t="s">
        <v>25</v>
      </c>
      <c r="B513" s="58">
        <v>0</v>
      </c>
      <c r="C513" s="58">
        <v>5001.9038400000036</v>
      </c>
      <c r="D513" s="58">
        <v>0</v>
      </c>
      <c r="E513" s="58">
        <v>2863.2846250715147</v>
      </c>
      <c r="F513" s="58">
        <v>5001.9038400000036</v>
      </c>
      <c r="G513" s="58">
        <v>2863.2846250715156</v>
      </c>
    </row>
    <row r="514" spans="1:7" ht="11.25" customHeight="1" x14ac:dyDescent="0.2">
      <c r="A514" s="66" t="s">
        <v>25</v>
      </c>
      <c r="B514" s="58">
        <v>0</v>
      </c>
      <c r="C514" s="58">
        <v>5001.9038400000036</v>
      </c>
      <c r="D514" s="58">
        <v>0</v>
      </c>
      <c r="E514" s="58">
        <v>2863.2846250715147</v>
      </c>
      <c r="F514" s="58">
        <v>5001.9038400000036</v>
      </c>
      <c r="G514" s="58">
        <v>2863.2846250715156</v>
      </c>
    </row>
    <row r="515" spans="1:7" ht="11.25" customHeight="1" x14ac:dyDescent="0.2">
      <c r="A515" s="67">
        <v>44531</v>
      </c>
      <c r="B515" s="58">
        <v>0</v>
      </c>
      <c r="C515" s="58">
        <v>834.26520000000062</v>
      </c>
      <c r="D515" s="58">
        <v>0</v>
      </c>
      <c r="E515" s="58">
        <v>477.56590226496888</v>
      </c>
      <c r="F515" s="58">
        <v>834.26520000000062</v>
      </c>
      <c r="G515" s="58">
        <v>477.56590226496888</v>
      </c>
    </row>
    <row r="516" spans="1:7" ht="11.25" customHeight="1" x14ac:dyDescent="0.2">
      <c r="A516" s="67">
        <v>44562</v>
      </c>
      <c r="B516" s="58">
        <v>0</v>
      </c>
      <c r="C516" s="58">
        <v>-154.02410000000009</v>
      </c>
      <c r="D516" s="58">
        <v>0</v>
      </c>
      <c r="E516" s="58">
        <v>-88.169395399747941</v>
      </c>
      <c r="F516" s="58">
        <v>-154.02410000000009</v>
      </c>
      <c r="G516" s="58">
        <v>-88.169395399747941</v>
      </c>
    </row>
    <row r="517" spans="1:7" ht="11.25" customHeight="1" x14ac:dyDescent="0.2">
      <c r="A517" s="67">
        <v>44593</v>
      </c>
      <c r="B517" s="58">
        <v>0</v>
      </c>
      <c r="C517" s="58">
        <v>9.1415799999999763</v>
      </c>
      <c r="D517" s="58">
        <v>0</v>
      </c>
      <c r="E517" s="58">
        <v>5.2329965349476026</v>
      </c>
      <c r="F517" s="58">
        <v>9.1415799999999763</v>
      </c>
      <c r="G517" s="58">
        <v>5.2329965349476026</v>
      </c>
    </row>
    <row r="518" spans="1:7" ht="11.25" customHeight="1" x14ac:dyDescent="0.2">
      <c r="A518" s="67">
        <v>44621</v>
      </c>
      <c r="B518" s="58">
        <v>0</v>
      </c>
      <c r="C518" s="58">
        <v>389.70786000000027</v>
      </c>
      <c r="D518" s="58">
        <v>0</v>
      </c>
      <c r="E518" s="58">
        <v>223.08396152764152</v>
      </c>
      <c r="F518" s="58">
        <v>389.70786000000027</v>
      </c>
      <c r="G518" s="58">
        <v>223.08396152764152</v>
      </c>
    </row>
    <row r="519" spans="1:7" ht="11.25" customHeight="1" x14ac:dyDescent="0.2">
      <c r="A519" s="67">
        <v>44652</v>
      </c>
      <c r="B519" s="58">
        <v>0</v>
      </c>
      <c r="C519" s="58">
        <v>-622.70292000000052</v>
      </c>
      <c r="D519" s="58">
        <v>0</v>
      </c>
      <c r="E519" s="58">
        <v>-356.45941102760946</v>
      </c>
      <c r="F519" s="58">
        <v>-622.70292000000052</v>
      </c>
      <c r="G519" s="58">
        <v>-356.45941102760946</v>
      </c>
    </row>
    <row r="520" spans="1:7" ht="11.25" customHeight="1" x14ac:dyDescent="0.2">
      <c r="A520" s="67">
        <v>44682</v>
      </c>
      <c r="B520" s="58">
        <v>0</v>
      </c>
      <c r="C520" s="58">
        <v>1404.884160000001</v>
      </c>
      <c r="D520" s="58">
        <v>0</v>
      </c>
      <c r="E520" s="58">
        <v>804.21042547161608</v>
      </c>
      <c r="F520" s="58">
        <v>1404.884160000001</v>
      </c>
      <c r="G520" s="58">
        <v>804.21042547161608</v>
      </c>
    </row>
    <row r="521" spans="1:7" ht="11.25" customHeight="1" x14ac:dyDescent="0.2">
      <c r="A521" s="67">
        <v>44713</v>
      </c>
      <c r="B521" s="58">
        <v>0</v>
      </c>
      <c r="C521" s="58">
        <v>274.86196000000018</v>
      </c>
      <c r="D521" s="58">
        <v>0</v>
      </c>
      <c r="E521" s="58">
        <v>157.34169413481206</v>
      </c>
      <c r="F521" s="58">
        <v>274.86196000000018</v>
      </c>
      <c r="G521" s="58">
        <v>157.34169413481206</v>
      </c>
    </row>
    <row r="522" spans="1:7" ht="11.25" customHeight="1" x14ac:dyDescent="0.2">
      <c r="A522" s="67">
        <v>44743</v>
      </c>
      <c r="B522" s="58">
        <v>0</v>
      </c>
      <c r="C522" s="58">
        <v>362.43676000000022</v>
      </c>
      <c r="D522" s="58">
        <v>0</v>
      </c>
      <c r="E522" s="58">
        <v>207.47292144439439</v>
      </c>
      <c r="F522" s="58">
        <v>362.43676000000022</v>
      </c>
      <c r="G522" s="58">
        <v>207.47292144439439</v>
      </c>
    </row>
    <row r="523" spans="1:7" ht="11.25" customHeight="1" x14ac:dyDescent="0.2">
      <c r="A523" s="67">
        <v>44774</v>
      </c>
      <c r="B523" s="58">
        <v>0</v>
      </c>
      <c r="C523" s="58">
        <v>316.19112000000018</v>
      </c>
      <c r="D523" s="58">
        <v>0</v>
      </c>
      <c r="E523" s="58">
        <v>181.00011544407107</v>
      </c>
      <c r="F523" s="58">
        <v>316.19112000000018</v>
      </c>
      <c r="G523" s="58">
        <v>181.00011544407107</v>
      </c>
    </row>
    <row r="524" spans="1:7" ht="11.25" customHeight="1" x14ac:dyDescent="0.2">
      <c r="A524" s="67">
        <v>44805</v>
      </c>
      <c r="B524" s="58">
        <v>0</v>
      </c>
      <c r="C524" s="58">
        <v>521.22370000000046</v>
      </c>
      <c r="D524" s="58">
        <v>0</v>
      </c>
      <c r="E524" s="58">
        <v>298.3687520136109</v>
      </c>
      <c r="F524" s="58">
        <v>521.22370000000046</v>
      </c>
      <c r="G524" s="58">
        <v>298.3687520136109</v>
      </c>
    </row>
    <row r="525" spans="1:7" ht="11.25" customHeight="1" x14ac:dyDescent="0.2">
      <c r="A525" s="67">
        <v>44835</v>
      </c>
      <c r="B525" s="58">
        <v>0</v>
      </c>
      <c r="C525" s="58">
        <v>832.95926000000054</v>
      </c>
      <c r="D525" s="58">
        <v>0</v>
      </c>
      <c r="E525" s="58">
        <v>476.81833133140492</v>
      </c>
      <c r="F525" s="58">
        <v>832.95926000000054</v>
      </c>
      <c r="G525" s="58">
        <v>476.81833133140492</v>
      </c>
    </row>
    <row r="526" spans="1:7" ht="11.25" customHeight="1" x14ac:dyDescent="0.2">
      <c r="A526" s="67">
        <v>44866</v>
      </c>
      <c r="B526" s="58">
        <v>0</v>
      </c>
      <c r="C526" s="58">
        <v>832.95926000000054</v>
      </c>
      <c r="D526" s="58">
        <v>0</v>
      </c>
      <c r="E526" s="58">
        <v>476.81833133140492</v>
      </c>
      <c r="F526" s="58">
        <v>832.95926000000054</v>
      </c>
      <c r="G526" s="58">
        <v>476.81833133140492</v>
      </c>
    </row>
    <row r="527" spans="1:7" ht="11.25" customHeight="1" x14ac:dyDescent="0.2">
      <c r="A527" s="63" t="s">
        <v>58</v>
      </c>
      <c r="B527" s="58">
        <v>0</v>
      </c>
      <c r="C527" s="58">
        <v>81.582840000000061</v>
      </c>
      <c r="D527" s="58">
        <v>0</v>
      </c>
      <c r="E527" s="58">
        <v>46.701195967347786</v>
      </c>
      <c r="F527" s="58">
        <v>81.582840000000061</v>
      </c>
      <c r="G527" s="58">
        <v>46.701195967347786</v>
      </c>
    </row>
    <row r="528" spans="1:7" ht="11.25" customHeight="1" x14ac:dyDescent="0.2">
      <c r="A528" s="64" t="s">
        <v>56</v>
      </c>
      <c r="B528" s="58">
        <v>0</v>
      </c>
      <c r="C528" s="58">
        <v>81.582840000000061</v>
      </c>
      <c r="D528" s="58">
        <v>0</v>
      </c>
      <c r="E528" s="58">
        <v>46.701195967347786</v>
      </c>
      <c r="F528" s="58">
        <v>81.582840000000061</v>
      </c>
      <c r="G528" s="58">
        <v>46.701195967347786</v>
      </c>
    </row>
    <row r="529" spans="1:7" ht="11.25" customHeight="1" x14ac:dyDescent="0.2">
      <c r="A529" s="65" t="s">
        <v>25</v>
      </c>
      <c r="B529" s="58">
        <v>0</v>
      </c>
      <c r="C529" s="58">
        <v>81.582840000000061</v>
      </c>
      <c r="D529" s="58">
        <v>0</v>
      </c>
      <c r="E529" s="58">
        <v>46.701195967347786</v>
      </c>
      <c r="F529" s="58">
        <v>81.582840000000061</v>
      </c>
      <c r="G529" s="58">
        <v>46.701195967347786</v>
      </c>
    </row>
    <row r="530" spans="1:7" ht="11.25" customHeight="1" x14ac:dyDescent="0.2">
      <c r="A530" s="66" t="s">
        <v>25</v>
      </c>
      <c r="B530" s="58">
        <v>0</v>
      </c>
      <c r="C530" s="58">
        <v>81.582840000000061</v>
      </c>
      <c r="D530" s="58">
        <v>0</v>
      </c>
      <c r="E530" s="58">
        <v>46.701195967347786</v>
      </c>
      <c r="F530" s="58">
        <v>81.582840000000061</v>
      </c>
      <c r="G530" s="58">
        <v>46.701195967347786</v>
      </c>
    </row>
    <row r="531" spans="1:7" ht="11.25" customHeight="1" x14ac:dyDescent="0.2">
      <c r="A531" s="67">
        <v>44682</v>
      </c>
      <c r="B531" s="58">
        <v>0</v>
      </c>
      <c r="C531" s="58">
        <v>23.122820000000015</v>
      </c>
      <c r="D531" s="58">
        <v>0</v>
      </c>
      <c r="E531" s="58">
        <v>13.23640300016166</v>
      </c>
      <c r="F531" s="58">
        <v>23.122820000000015</v>
      </c>
      <c r="G531" s="58">
        <v>13.23640300016166</v>
      </c>
    </row>
    <row r="532" spans="1:7" ht="11.25" customHeight="1" x14ac:dyDescent="0.2">
      <c r="A532" s="67">
        <v>44713</v>
      </c>
      <c r="B532" s="58">
        <v>0</v>
      </c>
      <c r="C532" s="58">
        <v>19.742740000000012</v>
      </c>
      <c r="D532" s="58">
        <v>0</v>
      </c>
      <c r="E532" s="58">
        <v>11.301513525054972</v>
      </c>
      <c r="F532" s="58">
        <v>19.742740000000012</v>
      </c>
      <c r="G532" s="58">
        <v>11.301513525054972</v>
      </c>
    </row>
    <row r="533" spans="1:7" ht="11.25" customHeight="1" x14ac:dyDescent="0.2">
      <c r="A533" s="67">
        <v>44743</v>
      </c>
      <c r="B533" s="58">
        <v>0</v>
      </c>
      <c r="C533" s="58">
        <v>21.048680000000015</v>
      </c>
      <c r="D533" s="58">
        <v>0</v>
      </c>
      <c r="E533" s="58">
        <v>12.049084458618921</v>
      </c>
      <c r="F533" s="58">
        <v>21.048680000000015</v>
      </c>
      <c r="G533" s="58">
        <v>12.049084458618921</v>
      </c>
    </row>
    <row r="534" spans="1:7" ht="11.25" customHeight="1" x14ac:dyDescent="0.2">
      <c r="A534" s="67">
        <v>44774</v>
      </c>
      <c r="B534" s="58">
        <v>0</v>
      </c>
      <c r="C534" s="58">
        <v>17.668600000000012</v>
      </c>
      <c r="D534" s="58">
        <v>0</v>
      </c>
      <c r="E534" s="58">
        <v>10.114194983512233</v>
      </c>
      <c r="F534" s="58">
        <v>17.668600000000012</v>
      </c>
      <c r="G534" s="58">
        <v>10.114194983512233</v>
      </c>
    </row>
    <row r="535" spans="1:7" ht="11.25" customHeight="1" x14ac:dyDescent="0.2">
      <c r="A535" s="63" t="s">
        <v>25</v>
      </c>
      <c r="B535" s="58">
        <v>0</v>
      </c>
      <c r="C535" s="58">
        <v>3511086.369760002</v>
      </c>
      <c r="D535" s="58">
        <v>0</v>
      </c>
      <c r="E535" s="58">
        <v>2009882.6249790459</v>
      </c>
      <c r="F535" s="58">
        <v>3511086.3697600039</v>
      </c>
      <c r="G535" s="58">
        <v>2009882.6249790459</v>
      </c>
    </row>
    <row r="536" spans="1:7" ht="11.25" customHeight="1" x14ac:dyDescent="0.2">
      <c r="A536" s="64" t="s">
        <v>25</v>
      </c>
      <c r="B536" s="58">
        <v>0</v>
      </c>
      <c r="C536" s="58">
        <v>3511086.369760002</v>
      </c>
      <c r="D536" s="58">
        <v>0</v>
      </c>
      <c r="E536" s="58">
        <v>2009882.6249790459</v>
      </c>
      <c r="F536" s="58">
        <v>3511086.3697600039</v>
      </c>
      <c r="G536" s="58">
        <v>2009882.6249790459</v>
      </c>
    </row>
    <row r="537" spans="1:7" ht="11.25" customHeight="1" x14ac:dyDescent="0.2">
      <c r="A537" s="65" t="s">
        <v>25</v>
      </c>
      <c r="B537" s="58">
        <v>0</v>
      </c>
      <c r="C537" s="58">
        <v>3511086.369760002</v>
      </c>
      <c r="D537" s="58">
        <v>0</v>
      </c>
      <c r="E537" s="58">
        <v>2009882.6249790459</v>
      </c>
      <c r="F537" s="58">
        <v>3511086.3697600039</v>
      </c>
      <c r="G537" s="58">
        <v>2009882.6249790459</v>
      </c>
    </row>
    <row r="538" spans="1:7" ht="11.25" customHeight="1" x14ac:dyDescent="0.2">
      <c r="A538" s="66" t="s">
        <v>25</v>
      </c>
      <c r="B538" s="58">
        <v>0</v>
      </c>
      <c r="C538" s="58">
        <v>3511086.369760002</v>
      </c>
      <c r="D538" s="58">
        <v>0</v>
      </c>
      <c r="E538" s="58">
        <v>2009882.6249790459</v>
      </c>
      <c r="F538" s="58">
        <v>3511086.3697600039</v>
      </c>
      <c r="G538" s="58">
        <v>2009882.6249790459</v>
      </c>
    </row>
    <row r="539" spans="1:7" ht="11.25" customHeight="1" x14ac:dyDescent="0.2">
      <c r="A539" s="67">
        <v>44531</v>
      </c>
      <c r="B539" s="58">
        <v>0</v>
      </c>
      <c r="C539" s="58">
        <v>348023.4075000002</v>
      </c>
      <c r="D539" s="58">
        <v>0</v>
      </c>
      <c r="E539" s="58">
        <v>199222.15694969229</v>
      </c>
      <c r="F539" s="58">
        <v>348023.4075000002</v>
      </c>
      <c r="G539" s="58">
        <v>199222.15694969229</v>
      </c>
    </row>
    <row r="540" spans="1:7" ht="11.25" customHeight="1" x14ac:dyDescent="0.2">
      <c r="A540" s="67">
        <v>44562</v>
      </c>
      <c r="B540" s="58">
        <v>0</v>
      </c>
      <c r="C540" s="58">
        <v>357157.15186000027</v>
      </c>
      <c r="D540" s="58">
        <v>0</v>
      </c>
      <c r="E540" s="58">
        <v>204450.66805903858</v>
      </c>
      <c r="F540" s="58">
        <v>357157.15186000027</v>
      </c>
      <c r="G540" s="58">
        <v>204450.66805903858</v>
      </c>
    </row>
    <row r="541" spans="1:7" ht="11.25" customHeight="1" x14ac:dyDescent="0.2">
      <c r="A541" s="67">
        <v>44593</v>
      </c>
      <c r="B541" s="58">
        <v>0</v>
      </c>
      <c r="C541" s="58">
        <v>331359.22900000022</v>
      </c>
      <c r="D541" s="58">
        <v>0</v>
      </c>
      <c r="E541" s="58">
        <v>189682.93196361233</v>
      </c>
      <c r="F541" s="58">
        <v>331359.22900000022</v>
      </c>
      <c r="G541" s="58">
        <v>189682.93196361233</v>
      </c>
    </row>
    <row r="542" spans="1:7" ht="11.25" customHeight="1" x14ac:dyDescent="0.2">
      <c r="A542" s="67">
        <v>44621</v>
      </c>
      <c r="B542" s="58">
        <v>0</v>
      </c>
      <c r="C542" s="58">
        <v>262297.12716000021</v>
      </c>
      <c r="D542" s="58">
        <v>0</v>
      </c>
      <c r="E542" s="58">
        <v>150149.0943091893</v>
      </c>
      <c r="F542" s="58">
        <v>262297.12716000021</v>
      </c>
      <c r="G542" s="58">
        <v>150149.0943091893</v>
      </c>
    </row>
    <row r="543" spans="1:7" ht="11.25" customHeight="1" x14ac:dyDescent="0.2">
      <c r="A543" s="67">
        <v>44652</v>
      </c>
      <c r="B543" s="58">
        <v>0</v>
      </c>
      <c r="C543" s="58">
        <v>264506.2399000001</v>
      </c>
      <c r="D543" s="58">
        <v>0</v>
      </c>
      <c r="E543" s="58">
        <v>151413.67650545391</v>
      </c>
      <c r="F543" s="58">
        <v>264506.2399000001</v>
      </c>
      <c r="G543" s="58">
        <v>151413.67650545391</v>
      </c>
    </row>
    <row r="544" spans="1:7" ht="11.25" customHeight="1" x14ac:dyDescent="0.2">
      <c r="A544" s="67">
        <v>44682</v>
      </c>
      <c r="B544" s="58">
        <v>0</v>
      </c>
      <c r="C544" s="58">
        <v>274584.10206000024</v>
      </c>
      <c r="D544" s="58">
        <v>0</v>
      </c>
      <c r="E544" s="58">
        <v>157182.63742500611</v>
      </c>
      <c r="F544" s="58">
        <v>274584.10206000024</v>
      </c>
      <c r="G544" s="58">
        <v>157182.63742500611</v>
      </c>
    </row>
    <row r="545" spans="1:7" ht="11.25" customHeight="1" x14ac:dyDescent="0.2">
      <c r="A545" s="67">
        <v>44713</v>
      </c>
      <c r="B545" s="58">
        <v>0</v>
      </c>
      <c r="C545" s="58">
        <v>255375.18424000015</v>
      </c>
      <c r="D545" s="58">
        <v>0</v>
      </c>
      <c r="E545" s="58">
        <v>146186.7045127356</v>
      </c>
      <c r="F545" s="58">
        <v>255375.18424000015</v>
      </c>
      <c r="G545" s="58">
        <v>146186.7045127356</v>
      </c>
    </row>
    <row r="546" spans="1:7" ht="11.25" customHeight="1" x14ac:dyDescent="0.2">
      <c r="A546" s="67">
        <v>44743</v>
      </c>
      <c r="B546" s="58">
        <v>0</v>
      </c>
      <c r="C546" s="58">
        <v>278252.18024000013</v>
      </c>
      <c r="D546" s="58">
        <v>0</v>
      </c>
      <c r="E546" s="58">
        <v>159282.38827834406</v>
      </c>
      <c r="F546" s="58">
        <v>278252.18024000013</v>
      </c>
      <c r="G546" s="58">
        <v>159282.38827834406</v>
      </c>
    </row>
    <row r="547" spans="1:7" ht="11.25" customHeight="1" x14ac:dyDescent="0.2">
      <c r="A547" s="67">
        <v>44774</v>
      </c>
      <c r="B547" s="58">
        <v>0</v>
      </c>
      <c r="C547" s="58">
        <v>290658.99434000021</v>
      </c>
      <c r="D547" s="58">
        <v>0</v>
      </c>
      <c r="E547" s="58">
        <v>166384.53202100552</v>
      </c>
      <c r="F547" s="58">
        <v>290658.99434000021</v>
      </c>
      <c r="G547" s="58">
        <v>166384.53202100552</v>
      </c>
    </row>
    <row r="548" spans="1:7" ht="11.25" customHeight="1" x14ac:dyDescent="0.2">
      <c r="A548" s="67">
        <v>44805</v>
      </c>
      <c r="B548" s="58">
        <v>0</v>
      </c>
      <c r="C548" s="58">
        <v>279951.5154600002</v>
      </c>
      <c r="D548" s="58">
        <v>0</v>
      </c>
      <c r="E548" s="58">
        <v>160255.15396195394</v>
      </c>
      <c r="F548" s="58">
        <v>279951.5154600002</v>
      </c>
      <c r="G548" s="58">
        <v>160255.15396195394</v>
      </c>
    </row>
    <row r="549" spans="1:7" ht="11.25" customHeight="1" x14ac:dyDescent="0.2">
      <c r="A549" s="67">
        <v>44835</v>
      </c>
      <c r="B549" s="58">
        <v>0</v>
      </c>
      <c r="C549" s="58">
        <v>284460.61900000018</v>
      </c>
      <c r="D549" s="58">
        <v>0</v>
      </c>
      <c r="E549" s="58">
        <v>162836.34049650707</v>
      </c>
      <c r="F549" s="58">
        <v>284460.61900000018</v>
      </c>
      <c r="G549" s="58">
        <v>162836.34049650707</v>
      </c>
    </row>
    <row r="550" spans="1:7" ht="11.25" customHeight="1" x14ac:dyDescent="0.2">
      <c r="A550" s="67">
        <v>44866</v>
      </c>
      <c r="B550" s="58">
        <v>0</v>
      </c>
      <c r="C550" s="58">
        <v>284460.61900000018</v>
      </c>
      <c r="D550" s="58">
        <v>0</v>
      </c>
      <c r="E550" s="58">
        <v>162836.34049650707</v>
      </c>
      <c r="F550" s="58">
        <v>284460.61900000018</v>
      </c>
      <c r="G550" s="58">
        <v>162836.34049650707</v>
      </c>
    </row>
    <row r="551" spans="1:7" ht="11.25" customHeight="1" x14ac:dyDescent="0.2">
      <c r="A551" s="59" t="s">
        <v>943</v>
      </c>
      <c r="B551" s="58">
        <v>0</v>
      </c>
      <c r="C551" s="58">
        <v>0</v>
      </c>
      <c r="D551" s="58">
        <v>0</v>
      </c>
      <c r="E551" s="58">
        <v>0</v>
      </c>
      <c r="F551" s="58">
        <v>0</v>
      </c>
      <c r="G551" s="58">
        <v>0</v>
      </c>
    </row>
    <row r="552" spans="1:7" ht="11.25" customHeight="1" x14ac:dyDescent="0.2">
      <c r="A552" s="60" t="s">
        <v>22</v>
      </c>
      <c r="B552" s="58">
        <v>0</v>
      </c>
      <c r="C552" s="58">
        <v>0</v>
      </c>
      <c r="D552" s="58">
        <v>0</v>
      </c>
      <c r="E552" s="58">
        <v>0</v>
      </c>
      <c r="F552" s="58">
        <v>0</v>
      </c>
      <c r="G552" s="58">
        <v>0</v>
      </c>
    </row>
    <row r="553" spans="1:7" ht="11.25" customHeight="1" x14ac:dyDescent="0.2">
      <c r="A553" s="61" t="s">
        <v>23</v>
      </c>
      <c r="B553" s="58">
        <v>0</v>
      </c>
      <c r="C553" s="58">
        <v>0</v>
      </c>
      <c r="D553" s="58">
        <v>0</v>
      </c>
      <c r="E553" s="58">
        <v>0</v>
      </c>
      <c r="F553" s="58">
        <v>0</v>
      </c>
      <c r="G553" s="58">
        <v>0</v>
      </c>
    </row>
    <row r="554" spans="1:7" ht="11.25" customHeight="1" x14ac:dyDescent="0.2">
      <c r="A554" s="62" t="s">
        <v>24</v>
      </c>
      <c r="B554" s="58">
        <v>0</v>
      </c>
      <c r="C554" s="58">
        <v>0</v>
      </c>
      <c r="D554" s="58">
        <v>0</v>
      </c>
      <c r="E554" s="58">
        <v>0</v>
      </c>
      <c r="F554" s="58">
        <v>0</v>
      </c>
      <c r="G554" s="58">
        <v>0</v>
      </c>
    </row>
    <row r="555" spans="1:7" ht="11.25" customHeight="1" x14ac:dyDescent="0.2">
      <c r="A555" s="63" t="s">
        <v>24</v>
      </c>
      <c r="B555" s="58">
        <v>0</v>
      </c>
      <c r="C555" s="58">
        <v>0</v>
      </c>
      <c r="D555" s="58">
        <v>0</v>
      </c>
      <c r="E555" s="58">
        <v>0</v>
      </c>
      <c r="F555" s="58">
        <v>0</v>
      </c>
      <c r="G555" s="58">
        <v>0</v>
      </c>
    </row>
    <row r="556" spans="1:7" ht="11.25" customHeight="1" x14ac:dyDescent="0.2">
      <c r="A556" s="64" t="s">
        <v>25</v>
      </c>
      <c r="B556" s="58">
        <v>0</v>
      </c>
      <c r="C556" s="58">
        <v>0</v>
      </c>
      <c r="D556" s="58">
        <v>0</v>
      </c>
      <c r="E556" s="58">
        <v>0</v>
      </c>
      <c r="F556" s="58">
        <v>0</v>
      </c>
      <c r="G556" s="58">
        <v>0</v>
      </c>
    </row>
    <row r="557" spans="1:7" ht="11.25" customHeight="1" x14ac:dyDescent="0.2">
      <c r="A557" s="65" t="s">
        <v>25</v>
      </c>
      <c r="B557" s="58">
        <v>0</v>
      </c>
      <c r="C557" s="58">
        <v>0</v>
      </c>
      <c r="D557" s="58">
        <v>0</v>
      </c>
      <c r="E557" s="58">
        <v>0</v>
      </c>
      <c r="F557" s="58">
        <v>0</v>
      </c>
      <c r="G557" s="58">
        <v>0</v>
      </c>
    </row>
    <row r="558" spans="1:7" ht="11.25" customHeight="1" x14ac:dyDescent="0.2">
      <c r="A558" s="66" t="s">
        <v>25</v>
      </c>
      <c r="B558" s="58">
        <v>0</v>
      </c>
      <c r="C558" s="58">
        <v>0</v>
      </c>
      <c r="D558" s="58">
        <v>0</v>
      </c>
      <c r="E558" s="58">
        <v>0</v>
      </c>
      <c r="F558" s="58">
        <v>0</v>
      </c>
      <c r="G558" s="58">
        <v>0</v>
      </c>
    </row>
    <row r="559" spans="1:7" ht="11.25" customHeight="1" x14ac:dyDescent="0.2">
      <c r="A559" s="67">
        <v>44531</v>
      </c>
      <c r="B559" s="58">
        <v>0</v>
      </c>
      <c r="C559" s="58">
        <v>0</v>
      </c>
      <c r="D559" s="58">
        <v>0</v>
      </c>
      <c r="E559" s="58">
        <v>0</v>
      </c>
      <c r="F559" s="58">
        <v>0</v>
      </c>
      <c r="G559" s="58">
        <v>0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53992-4E66-4C34-80CF-38C45C6C46BB}">
  <sheetPr codeName="Planilha20"/>
  <dimension ref="A1:V35"/>
  <sheetViews>
    <sheetView showGridLines="0" tabSelected="1" workbookViewId="0">
      <selection activeCell="J33" sqref="J33"/>
    </sheetView>
  </sheetViews>
  <sheetFormatPr defaultRowHeight="11.25" customHeight="1" x14ac:dyDescent="0.25"/>
  <cols>
    <col min="1" max="1" width="9.28515625" style="8" bestFit="1" customWidth="1"/>
    <col min="2" max="2" width="11.140625" style="8" bestFit="1" customWidth="1"/>
    <col min="3" max="3" width="14.140625" style="8" bestFit="1" customWidth="1"/>
    <col min="4" max="4" width="6.28515625" style="8" bestFit="1" customWidth="1"/>
    <col min="5" max="10" width="7.7109375" style="8" customWidth="1"/>
    <col min="11" max="12" width="9.140625" style="8"/>
    <col min="13" max="13" width="14.28515625" style="8" customWidth="1"/>
    <col min="14" max="14" width="16.7109375" style="8" customWidth="1"/>
    <col min="15" max="15" width="31.7109375" style="8" customWidth="1"/>
    <col min="16" max="22" width="7.7109375" style="8" customWidth="1"/>
    <col min="23" max="16384" width="9.140625" style="8"/>
  </cols>
  <sheetData>
    <row r="1" spans="1:22" ht="11.25" customHeight="1" x14ac:dyDescent="0.25">
      <c r="A1" s="105" t="s">
        <v>1018</v>
      </c>
      <c r="B1" s="125"/>
      <c r="C1" s="125"/>
      <c r="D1" s="125"/>
      <c r="E1" s="125"/>
      <c r="F1" s="125"/>
      <c r="G1" s="125"/>
      <c r="H1" s="125"/>
      <c r="I1" s="125"/>
      <c r="J1" s="125"/>
      <c r="L1" s="105" t="s">
        <v>1028</v>
      </c>
      <c r="M1" s="106"/>
      <c r="N1" s="106"/>
      <c r="O1" s="106"/>
      <c r="P1" s="106"/>
      <c r="Q1" s="106"/>
      <c r="R1" s="106"/>
      <c r="S1" s="106"/>
      <c r="T1" s="106"/>
      <c r="U1" s="106"/>
      <c r="V1" s="106"/>
    </row>
    <row r="2" spans="1:22" ht="11.25" customHeight="1" x14ac:dyDescent="0.25">
      <c r="A2" s="117" t="s">
        <v>71</v>
      </c>
      <c r="B2" s="117" t="s">
        <v>72</v>
      </c>
      <c r="C2" s="117" t="s">
        <v>1019</v>
      </c>
      <c r="D2" s="117" t="s">
        <v>77</v>
      </c>
      <c r="E2" s="117" t="s">
        <v>1020</v>
      </c>
      <c r="F2" s="124"/>
      <c r="G2" s="124"/>
      <c r="H2" s="117" t="s">
        <v>776</v>
      </c>
      <c r="I2" s="124"/>
      <c r="J2" s="124"/>
      <c r="L2" s="117" t="s">
        <v>71</v>
      </c>
      <c r="M2" s="117" t="s">
        <v>72</v>
      </c>
      <c r="N2" s="117" t="s">
        <v>73</v>
      </c>
      <c r="O2" s="117" t="s">
        <v>74</v>
      </c>
      <c r="P2" s="117" t="s">
        <v>77</v>
      </c>
      <c r="Q2" s="117" t="s">
        <v>1020</v>
      </c>
      <c r="R2" s="122"/>
      <c r="S2" s="122"/>
      <c r="T2" s="117" t="s">
        <v>776</v>
      </c>
      <c r="U2" s="122"/>
      <c r="V2" s="122"/>
    </row>
    <row r="3" spans="1:22" ht="11.25" customHeight="1" x14ac:dyDescent="0.25">
      <c r="A3" s="124"/>
      <c r="B3" s="124"/>
      <c r="C3" s="124"/>
      <c r="D3" s="124"/>
      <c r="E3" s="117" t="s">
        <v>734</v>
      </c>
      <c r="F3" s="124"/>
      <c r="G3" s="30" t="s">
        <v>762</v>
      </c>
      <c r="H3" s="117" t="s">
        <v>734</v>
      </c>
      <c r="I3" s="124"/>
      <c r="J3" s="30" t="s">
        <v>762</v>
      </c>
      <c r="L3" s="122"/>
      <c r="M3" s="122"/>
      <c r="N3" s="122"/>
      <c r="O3" s="122"/>
      <c r="P3" s="122"/>
      <c r="Q3" s="117" t="s">
        <v>734</v>
      </c>
      <c r="R3" s="122"/>
      <c r="S3" s="30" t="s">
        <v>762</v>
      </c>
      <c r="T3" s="117" t="s">
        <v>734</v>
      </c>
      <c r="U3" s="122"/>
      <c r="V3" s="30" t="s">
        <v>762</v>
      </c>
    </row>
    <row r="4" spans="1:22" ht="11.25" customHeight="1" x14ac:dyDescent="0.25">
      <c r="A4" s="124"/>
      <c r="B4" s="124"/>
      <c r="C4" s="124"/>
      <c r="D4" s="124"/>
      <c r="E4" s="30" t="s">
        <v>1021</v>
      </c>
      <c r="F4" s="30" t="s">
        <v>1022</v>
      </c>
      <c r="G4" s="30" t="s">
        <v>1022</v>
      </c>
      <c r="H4" s="30" t="s">
        <v>1021</v>
      </c>
      <c r="I4" s="30" t="s">
        <v>1022</v>
      </c>
      <c r="J4" s="30" t="s">
        <v>1022</v>
      </c>
      <c r="L4" s="122"/>
      <c r="M4" s="122"/>
      <c r="N4" s="122"/>
      <c r="O4" s="122"/>
      <c r="P4" s="122"/>
      <c r="Q4" s="30" t="s">
        <v>1021</v>
      </c>
      <c r="R4" s="30" t="s">
        <v>1022</v>
      </c>
      <c r="S4" s="30" t="s">
        <v>1022</v>
      </c>
      <c r="T4" s="30" t="s">
        <v>1021</v>
      </c>
      <c r="U4" s="30" t="s">
        <v>1022</v>
      </c>
      <c r="V4" s="30" t="s">
        <v>1022</v>
      </c>
    </row>
    <row r="5" spans="1:22" ht="11.25" customHeight="1" x14ac:dyDescent="0.25">
      <c r="A5" s="123" t="s">
        <v>80</v>
      </c>
      <c r="B5" s="123" t="s">
        <v>42</v>
      </c>
      <c r="C5" s="123" t="s">
        <v>25</v>
      </c>
      <c r="D5" s="31" t="s">
        <v>1023</v>
      </c>
      <c r="E5" s="29">
        <f ca="1">ROUND('TUSD BE'!$AM$5+'TUSD BF'!$AM$5+'TUSD CVA'!$AM$5,2)</f>
        <v>52.79</v>
      </c>
      <c r="F5" s="29">
        <f ca="1">ROUND('TUSD BE'!$AM$7+'TUSD BF'!$AM$7+'TUSD CVA'!$AM$7,2)</f>
        <v>75.209999999999994</v>
      </c>
      <c r="G5" s="29">
        <f>ROUND('TE BE'!$AB$5+'TE BF'!$AB$5+'TE CVA'!$AB$5,2)</f>
        <v>362.64</v>
      </c>
      <c r="H5" s="29">
        <f ca="1">ROUND('TUSD BE'!$AM$5,2)</f>
        <v>56.86</v>
      </c>
      <c r="I5" s="29">
        <f ca="1">ROUND('TUSD BE'!$AM$7,2)</f>
        <v>68.03</v>
      </c>
      <c r="J5" s="29">
        <f>ROUND('TE BE'!$AB$5,2)</f>
        <v>347.07</v>
      </c>
      <c r="L5" s="119" t="s">
        <v>22</v>
      </c>
      <c r="M5" s="119" t="s">
        <v>1029</v>
      </c>
      <c r="N5" s="119" t="s">
        <v>1030</v>
      </c>
      <c r="O5" s="119" t="s">
        <v>1030</v>
      </c>
      <c r="P5" s="31" t="s">
        <v>1023</v>
      </c>
      <c r="Q5" s="29">
        <v>0</v>
      </c>
      <c r="R5" s="29">
        <f ca="1">ROUND('TUSD BE'!$AM$34+'TUSD BF'!$AM$34+'TUSD CVA'!$AM$34,2)</f>
        <v>1248.79</v>
      </c>
      <c r="S5" s="29">
        <f>ROUND('TE BE'!$AB$17+'TE BF'!$AB$17+'TE CVA'!$AB$17,2)</f>
        <v>362.64</v>
      </c>
      <c r="T5" s="29">
        <v>0</v>
      </c>
      <c r="U5" s="29">
        <f ca="1">ROUND('TUSD BE'!$AM$34,2)</f>
        <v>1331.06</v>
      </c>
      <c r="V5" s="29">
        <f>ROUND('TE BE'!$AB$17,2)</f>
        <v>347.07</v>
      </c>
    </row>
    <row r="6" spans="1:22" ht="11.25" customHeight="1" x14ac:dyDescent="0.25">
      <c r="A6" s="124"/>
      <c r="B6" s="124"/>
      <c r="C6" s="124"/>
      <c r="D6" s="31" t="s">
        <v>1024</v>
      </c>
      <c r="E6" s="29">
        <f ca="1">ROUND('TUSD BE'!$AM$6+'TUSD BF'!$AM$6+'TUSD CVA'!$AM$6,2)</f>
        <v>19.329999999999998</v>
      </c>
      <c r="F6" s="29">
        <f ca="1">ROUND('TUSD BE'!$AM$7+'TUSD BF'!$AM$7+'TUSD CVA'!$AM$7,2)</f>
        <v>75.209999999999994</v>
      </c>
      <c r="G6" s="29">
        <f>ROUND('TE BE'!$AB$6+'TE BF'!$AB$6+'TE CVA'!$AB$6,2)</f>
        <v>218.69</v>
      </c>
      <c r="H6" s="29">
        <f ca="1">ROUND('TUSD BE'!$AM$6,2)</f>
        <v>20.3</v>
      </c>
      <c r="I6" s="29">
        <f ca="1">ROUND('TUSD BE'!$AM$7,2)</f>
        <v>68.03</v>
      </c>
      <c r="J6" s="29">
        <f>ROUND('TE BE'!$AB$6,2)</f>
        <v>207.59</v>
      </c>
      <c r="L6" s="121"/>
      <c r="M6" s="121"/>
      <c r="N6" s="121"/>
      <c r="O6" s="121"/>
      <c r="P6" s="31" t="s">
        <v>1031</v>
      </c>
      <c r="Q6" s="29">
        <v>0</v>
      </c>
      <c r="R6" s="29">
        <f ca="1">ROUND('TUSD BE'!$AM$35+'TUSD BF'!$AM$35+'TUSD CVA'!$AM$35,2)</f>
        <v>811.26</v>
      </c>
      <c r="S6" s="29">
        <f>ROUND('TE BE'!$AB$18+'TE BF'!$AB$18+'TE CVA'!$AB$18,2)</f>
        <v>218.69</v>
      </c>
      <c r="T6" s="29">
        <v>0</v>
      </c>
      <c r="U6" s="29">
        <f ca="1">ROUND('TUSD BE'!$AM$35,2)</f>
        <v>857.02</v>
      </c>
      <c r="V6" s="29">
        <f>ROUND('TE BE'!$AB$18,2)</f>
        <v>207.59</v>
      </c>
    </row>
    <row r="7" spans="1:22" ht="11.25" customHeight="1" x14ac:dyDescent="0.25">
      <c r="A7" s="124"/>
      <c r="B7" s="123" t="s">
        <v>1025</v>
      </c>
      <c r="C7" s="123" t="s">
        <v>25</v>
      </c>
      <c r="D7" s="31" t="s">
        <v>1023</v>
      </c>
      <c r="E7" s="29">
        <f ca="1">ROUND('TUSD BE'!$AM$5+'TUSD BF'!$AM$5+'TUSD CVA'!$AM$5,2)</f>
        <v>52.79</v>
      </c>
      <c r="F7" s="29">
        <f ca="1">ROUND('TUSD BE'!$AM$8+'TUSD BF'!$AM$8+'TUSD CVA'!$AM$8,2)</f>
        <v>17.78</v>
      </c>
      <c r="G7" s="29">
        <v>0</v>
      </c>
      <c r="H7" s="29">
        <f ca="1">ROUND('TUSD BE'!$AM$5,2)</f>
        <v>56.86</v>
      </c>
      <c r="I7" s="29">
        <f ca="1">ROUND('TUSD BE'!$AM$8,2)</f>
        <v>17.63</v>
      </c>
      <c r="J7" s="29">
        <v>0</v>
      </c>
      <c r="L7" s="121"/>
      <c r="M7" s="120"/>
      <c r="N7" s="120"/>
      <c r="O7" s="120"/>
      <c r="P7" s="31" t="s">
        <v>1024</v>
      </c>
      <c r="Q7" s="29">
        <v>0</v>
      </c>
      <c r="R7" s="29">
        <f ca="1">ROUND('TUSD BE'!$AM$36+'TUSD BF'!$AM$36+'TUSD CVA'!$AM$36,2)</f>
        <v>373.74</v>
      </c>
      <c r="S7" s="29">
        <f>ROUND('TE BE'!$AB$19+'TE BF'!$AB$19+'TE CVA'!$AB$19,2)</f>
        <v>218.69</v>
      </c>
      <c r="T7" s="29">
        <v>0</v>
      </c>
      <c r="U7" s="29">
        <f ca="1">ROUND('TUSD BE'!$AM$36,2)</f>
        <v>382.97</v>
      </c>
      <c r="V7" s="29">
        <f>ROUND('TE BE'!$AB$19,2)</f>
        <v>207.59</v>
      </c>
    </row>
    <row r="8" spans="1:22" ht="11.25" customHeight="1" x14ac:dyDescent="0.25">
      <c r="A8" s="124"/>
      <c r="B8" s="124"/>
      <c r="C8" s="124"/>
      <c r="D8" s="31" t="s">
        <v>1024</v>
      </c>
      <c r="E8" s="29">
        <f ca="1">ROUND('TUSD BE'!$AM$6+'TUSD BF'!$AM$6+'TUSD CVA'!$AM$6,2)</f>
        <v>19.329999999999998</v>
      </c>
      <c r="F8" s="29">
        <f ca="1">ROUND('TUSD BE'!$AM$8+'TUSD BF'!$AM$8+'TUSD CVA'!$AM$8,2)</f>
        <v>17.78</v>
      </c>
      <c r="G8" s="29">
        <v>0</v>
      </c>
      <c r="H8" s="29">
        <f ca="1">ROUND('TUSD BE'!$AM$6,2)</f>
        <v>20.3</v>
      </c>
      <c r="I8" s="29">
        <f ca="1">ROUND('TUSD BE'!$AM$8,2)</f>
        <v>17.63</v>
      </c>
      <c r="J8" s="29">
        <v>0</v>
      </c>
      <c r="L8" s="121"/>
      <c r="M8" s="31" t="s">
        <v>1032</v>
      </c>
      <c r="N8" s="31" t="s">
        <v>1030</v>
      </c>
      <c r="O8" s="31" t="s">
        <v>1030</v>
      </c>
      <c r="P8" s="31" t="s">
        <v>1026</v>
      </c>
      <c r="Q8" s="29">
        <v>0</v>
      </c>
      <c r="R8" s="29">
        <f ca="1">ROUND('TUSD BE'!$AM$42+'TUSD BF'!$AM$42+'TUSD CVA'!$AM$42,2)</f>
        <v>502.22</v>
      </c>
      <c r="S8" s="29">
        <f>ROUND('TE BE'!$AB$25+'TE BF'!$AB$25+'TE CVA'!$AB$25,2)</f>
        <v>230.68</v>
      </c>
      <c r="T8" s="29">
        <v>0</v>
      </c>
      <c r="U8" s="29">
        <f ca="1">ROUND('TUSD BE'!$AM$42,2)</f>
        <v>522.17999999999995</v>
      </c>
      <c r="V8" s="29">
        <f>ROUND('TE BE'!$AB$25,2)</f>
        <v>219.21</v>
      </c>
    </row>
    <row r="9" spans="1:22" ht="11.25" customHeight="1" x14ac:dyDescent="0.25">
      <c r="A9" s="123" t="s">
        <v>43</v>
      </c>
      <c r="B9" s="123" t="s">
        <v>42</v>
      </c>
      <c r="C9" s="123" t="s">
        <v>25</v>
      </c>
      <c r="D9" s="31" t="s">
        <v>1023</v>
      </c>
      <c r="E9" s="29">
        <f ca="1">ROUND('TUSD BE'!$AM$9+'TUSD BF'!$AM$9+'TUSD CVA'!$AM$9,2)</f>
        <v>56.31</v>
      </c>
      <c r="F9" s="29">
        <f ca="1">ROUND('TUSD BE'!$AM$11+'TUSD BF'!$AM$11+'TUSD CVA'!$AM$11,2)</f>
        <v>113.43</v>
      </c>
      <c r="G9" s="29">
        <f>ROUND('TE BE'!$AB$8+'TE BF'!$AB$8+'TE CVA'!$AB$8,2)</f>
        <v>362.64</v>
      </c>
      <c r="H9" s="29">
        <f ca="1">ROUND('TUSD BE'!$AM$9,2)</f>
        <v>60.65</v>
      </c>
      <c r="I9" s="29">
        <f ca="1">ROUND('TUSD BE'!$AM$11,2)</f>
        <v>105.42</v>
      </c>
      <c r="J9" s="29">
        <f>ROUND('TE BE'!$AB$8,2)</f>
        <v>347.07</v>
      </c>
      <c r="L9" s="121"/>
      <c r="M9" s="31" t="s">
        <v>1034</v>
      </c>
      <c r="N9" s="31" t="s">
        <v>1030</v>
      </c>
      <c r="O9" s="31" t="s">
        <v>1030</v>
      </c>
      <c r="P9" s="31" t="s">
        <v>1026</v>
      </c>
      <c r="Q9" s="29">
        <v>0</v>
      </c>
      <c r="R9" s="29">
        <f ca="1">ROUND('TUSD BE'!$AM$37+'TUSD BF'!$AM$37+'TUSD CVA'!$AM$37,2)</f>
        <v>502.22</v>
      </c>
      <c r="S9" s="29">
        <f>ROUND('TE BE'!$AB$20+'TE BF'!$AB$20+'TE CVA'!$AB$20,2)</f>
        <v>230.68</v>
      </c>
      <c r="T9" s="29">
        <v>0</v>
      </c>
      <c r="U9" s="29">
        <f ca="1">ROUND('TUSD BE'!$AM$37,2)</f>
        <v>522.17999999999995</v>
      </c>
      <c r="V9" s="29">
        <f>ROUND('TE BE'!$AB$20,2)</f>
        <v>219.21</v>
      </c>
    </row>
    <row r="10" spans="1:22" ht="11.25" customHeight="1" x14ac:dyDescent="0.25">
      <c r="A10" s="124"/>
      <c r="B10" s="124"/>
      <c r="C10" s="124"/>
      <c r="D10" s="31" t="s">
        <v>1024</v>
      </c>
      <c r="E10" s="29">
        <f ca="1">ROUND('TUSD BE'!$AM$10+'TUSD BF'!$AM$10+'TUSD CVA'!$AM$10,2)</f>
        <v>20.62</v>
      </c>
      <c r="F10" s="29">
        <f ca="1">ROUND('TUSD BE'!$AM$11+'TUSD BF'!$AM$11+'TUSD CVA'!$AM$11,2)</f>
        <v>113.43</v>
      </c>
      <c r="G10" s="29">
        <f>ROUND('TE BE'!$AB$9+'TE BF'!$AB$9+'TE CVA'!$AB$9,2)</f>
        <v>218.69</v>
      </c>
      <c r="H10" s="29">
        <f ca="1">ROUND('TUSD BE'!$AM$10,2)</f>
        <v>21.65</v>
      </c>
      <c r="I10" s="29">
        <f ca="1">ROUND('TUSD BE'!$AM$11,2)</f>
        <v>105.42</v>
      </c>
      <c r="J10" s="29">
        <f>ROUND('TE BE'!$AB$9,2)</f>
        <v>207.59</v>
      </c>
      <c r="L10" s="121"/>
      <c r="M10" s="31" t="s">
        <v>1032</v>
      </c>
      <c r="N10" s="31" t="s">
        <v>1030</v>
      </c>
      <c r="O10" s="31" t="s">
        <v>1033</v>
      </c>
      <c r="P10" s="31" t="s">
        <v>1026</v>
      </c>
      <c r="Q10" s="29">
        <v>0</v>
      </c>
      <c r="R10" s="29">
        <f ca="1">ROUND('TUSD BE'!$AM$43+'TUSD BF'!$AM$43+'TUSD CVA'!$AM$43,2)</f>
        <v>420.17</v>
      </c>
      <c r="S10" s="29">
        <f>ROUND('TE BE'!$AB$26+'TE BF'!$AB$26+'TE CVA'!$AB$26,2)</f>
        <v>230.68</v>
      </c>
      <c r="T10" s="29">
        <v>0</v>
      </c>
      <c r="U10" s="29">
        <f ca="1">ROUND('TUSD BE'!$AM$43,2)</f>
        <v>449.35</v>
      </c>
      <c r="V10" s="29">
        <f>ROUND('TE BE'!$AB$26,2)</f>
        <v>219.21</v>
      </c>
    </row>
    <row r="11" spans="1:22" ht="11.25" customHeight="1" x14ac:dyDescent="0.25">
      <c r="A11" s="124"/>
      <c r="B11" s="123" t="s">
        <v>1025</v>
      </c>
      <c r="C11" s="123" t="s">
        <v>25</v>
      </c>
      <c r="D11" s="31" t="s">
        <v>1023</v>
      </c>
      <c r="E11" s="29">
        <f ca="1">ROUND('TUSD BE'!$AM$9+'TUSD BF'!$AM$9+'TUSD CVA'!$AM$9,2)</f>
        <v>56.31</v>
      </c>
      <c r="F11" s="29">
        <f ca="1">ROUND('TUSD BE'!$AM$12+'TUSD BF'!$AM$12+'TUSD CVA'!$AM$12,2)</f>
        <v>41.75</v>
      </c>
      <c r="G11" s="29">
        <v>0</v>
      </c>
      <c r="H11" s="29">
        <f ca="1">ROUND('TUSD BE'!$AM$9,2)</f>
        <v>60.65</v>
      </c>
      <c r="I11" s="29">
        <f ca="1">ROUND('TUSD BE'!$AM$12,2)</f>
        <v>42.04</v>
      </c>
      <c r="J11" s="29">
        <v>0</v>
      </c>
      <c r="L11" s="120"/>
      <c r="M11" s="31" t="s">
        <v>1034</v>
      </c>
      <c r="N11" s="31" t="s">
        <v>1030</v>
      </c>
      <c r="O11" s="31" t="s">
        <v>1033</v>
      </c>
      <c r="P11" s="31" t="s">
        <v>1026</v>
      </c>
      <c r="Q11" s="29">
        <v>0</v>
      </c>
      <c r="R11" s="29">
        <f ca="1">ROUND('TUSD BE'!$AM$38+'TUSD BF'!$AM$38+'TUSD CVA'!$AM$38,2)</f>
        <v>420.17</v>
      </c>
      <c r="S11" s="29">
        <f>ROUND('TE BE'!$AB$21+'TE BF'!$AB$21+'TE CVA'!$AB$21,2)</f>
        <v>230.68</v>
      </c>
      <c r="T11" s="29">
        <v>0</v>
      </c>
      <c r="U11" s="29">
        <f ca="1">ROUND('TUSD BE'!$AM$38,2)</f>
        <v>449.35</v>
      </c>
      <c r="V11" s="29">
        <f>ROUND('TE BE'!$AB$21,2)</f>
        <v>219.21</v>
      </c>
    </row>
    <row r="12" spans="1:22" ht="11.25" customHeight="1" x14ac:dyDescent="0.25">
      <c r="A12" s="124"/>
      <c r="B12" s="124"/>
      <c r="C12" s="124"/>
      <c r="D12" s="31" t="s">
        <v>1024</v>
      </c>
      <c r="E12" s="29">
        <f ca="1">ROUND('TUSD BE'!$AM$10+'TUSD BF'!$AM$10+'TUSD CVA'!$AM$10,2)</f>
        <v>20.62</v>
      </c>
      <c r="F12" s="29">
        <f ca="1">ROUND('TUSD BE'!$AM$12+'TUSD BF'!$AM$12+'TUSD CVA'!$AM$12,2)</f>
        <v>41.75</v>
      </c>
      <c r="G12" s="29">
        <v>0</v>
      </c>
      <c r="H12" s="29">
        <f ca="1">ROUND('TUSD BE'!$AM$10,2)</f>
        <v>21.65</v>
      </c>
      <c r="I12" s="29">
        <f ca="1">ROUND('TUSD BE'!$AM$12,2)</f>
        <v>42.04</v>
      </c>
      <c r="J12" s="29">
        <v>0</v>
      </c>
      <c r="L12" s="119" t="s">
        <v>46</v>
      </c>
      <c r="M12" s="119" t="s">
        <v>1029</v>
      </c>
      <c r="N12" s="119" t="s">
        <v>1035</v>
      </c>
      <c r="O12" s="119" t="s">
        <v>1036</v>
      </c>
      <c r="P12" s="31" t="s">
        <v>1023</v>
      </c>
      <c r="Q12" s="29">
        <v>0</v>
      </c>
      <c r="R12" s="29">
        <f ca="1">ROUND(('TUSD BE'!$AM$47+'TUSD BF'!$AM$47+'TUSD CVA'!$AM$47)*(1-CUSTOS!$M$38),2)</f>
        <v>1141.22</v>
      </c>
      <c r="S12" s="29">
        <f>ROUND(('TE BE'!$AB$30+'TE BF'!$AB$30+'TE CVA'!$AB$30)*(1-CUSTOS!$M$38),2)</f>
        <v>340.89</v>
      </c>
      <c r="T12" s="29">
        <v>0</v>
      </c>
      <c r="U12" s="29">
        <f ca="1">ROUND('TUSD BE'!$AM$47*(1-CUSTOS!$M$38),2)</f>
        <v>1215.83</v>
      </c>
      <c r="V12" s="29">
        <f>ROUND('TE BE'!$AB$30*(1-CUSTOS!$M$38),2)</f>
        <v>326.24</v>
      </c>
    </row>
    <row r="13" spans="1:22" ht="11.25" customHeight="1" x14ac:dyDescent="0.25">
      <c r="A13" s="124"/>
      <c r="B13" s="123" t="s">
        <v>44</v>
      </c>
      <c r="C13" s="123" t="s">
        <v>25</v>
      </c>
      <c r="D13" s="31" t="s">
        <v>1026</v>
      </c>
      <c r="E13" s="29">
        <f ca="1">ROUND('TUSD BE'!$AM$14+'TUSD BF'!$AM$14+'TUSD CVA'!$AM$14,2)</f>
        <v>20.62</v>
      </c>
      <c r="F13" s="29">
        <v>0</v>
      </c>
      <c r="G13" s="29">
        <v>0</v>
      </c>
      <c r="H13" s="29">
        <f ca="1">ROUND('TUSD BE'!$AM$14,2)</f>
        <v>21.65</v>
      </c>
      <c r="I13" s="29">
        <v>0</v>
      </c>
      <c r="J13" s="29">
        <v>0</v>
      </c>
      <c r="L13" s="121"/>
      <c r="M13" s="121"/>
      <c r="N13" s="121"/>
      <c r="O13" s="121"/>
      <c r="P13" s="31" t="s">
        <v>1031</v>
      </c>
      <c r="Q13" s="29">
        <v>0</v>
      </c>
      <c r="R13" s="29">
        <f ca="1">ROUND(('TUSD BE'!$AM$48+'TUSD BF'!$AM$48+'TUSD CVA'!$AM$48)*(1-CUSTOS!$M$38),2)</f>
        <v>743</v>
      </c>
      <c r="S13" s="29">
        <f>ROUND(('TE BE'!$AB$31+'TE BF'!$AB$31+'TE CVA'!$AB$31)*(1-CUSTOS!$M$38),2)</f>
        <v>205.56</v>
      </c>
      <c r="T13" s="29">
        <v>0</v>
      </c>
      <c r="U13" s="29">
        <f ca="1">ROUND('TUSD BE'!$AM$48*(1-CUSTOS!$M$38),2)</f>
        <v>784.38</v>
      </c>
      <c r="V13" s="29">
        <f>ROUND('TE BE'!$AB$31*(1-CUSTOS!$M$38),2)</f>
        <v>195.13</v>
      </c>
    </row>
    <row r="14" spans="1:22" ht="11.25" customHeight="1" x14ac:dyDescent="0.25">
      <c r="A14" s="124"/>
      <c r="B14" s="124"/>
      <c r="C14" s="124"/>
      <c r="D14" s="31" t="s">
        <v>1023</v>
      </c>
      <c r="E14" s="29">
        <v>0</v>
      </c>
      <c r="F14" s="29">
        <f ca="1">ROUND('TUSD BE'!$AM$15+'TUSD BF'!$AM$15+'TUSD CVA'!$AM$15,2)</f>
        <v>1480.13</v>
      </c>
      <c r="G14" s="29">
        <f>ROUND('TE BE'!$AB$8+'TE BF'!$AB$8+'TE CVA'!$AB$8,2)</f>
        <v>362.64</v>
      </c>
      <c r="H14" s="29">
        <v>0</v>
      </c>
      <c r="I14" s="29">
        <f ca="1">ROUND('TUSD BE'!$AM$15,2)</f>
        <v>1577.77</v>
      </c>
      <c r="J14" s="29">
        <f>ROUND('TE BE'!$AB$8,2)</f>
        <v>347.07</v>
      </c>
      <c r="L14" s="121"/>
      <c r="M14" s="120"/>
      <c r="N14" s="120"/>
      <c r="O14" s="120"/>
      <c r="P14" s="31" t="s">
        <v>1024</v>
      </c>
      <c r="Q14" s="29">
        <v>0</v>
      </c>
      <c r="R14" s="29">
        <f ca="1">ROUND(('TUSD BE'!$AM$49+'TUSD BF'!$AM$49+'TUSD CVA'!$AM$49)*(1-CUSTOS!$M$38),2)</f>
        <v>344.79</v>
      </c>
      <c r="S14" s="29">
        <f>ROUND(('TE BE'!$AB$32+'TE BF'!$AB$32+'TE CVA'!$AB$32)*(1-CUSTOS!$M$38),2)</f>
        <v>205.56</v>
      </c>
      <c r="T14" s="29">
        <v>0</v>
      </c>
      <c r="U14" s="29">
        <f ca="1">ROUND('TUSD BE'!$AM$49*(1-CUSTOS!$M$38),2)</f>
        <v>352.92</v>
      </c>
      <c r="V14" s="29">
        <f>ROUND('TE BE'!$AB$32*(1-CUSTOS!$M$38),2)</f>
        <v>195.13</v>
      </c>
    </row>
    <row r="15" spans="1:22" ht="11.25" customHeight="1" x14ac:dyDescent="0.25">
      <c r="A15" s="124"/>
      <c r="B15" s="124"/>
      <c r="C15" s="124"/>
      <c r="D15" s="31" t="s">
        <v>1024</v>
      </c>
      <c r="E15" s="29">
        <v>0</v>
      </c>
      <c r="F15" s="29">
        <f ca="1">ROUND('TUSD BE'!$AM$16+'TUSD BF'!$AM$16+'TUSD CVA'!$AM$16,2)</f>
        <v>113.43</v>
      </c>
      <c r="G15" s="29">
        <f>ROUND('TE BE'!$AB$9+'TE BF'!$AB$9+'TE CVA'!$AB$9,2)</f>
        <v>218.69</v>
      </c>
      <c r="H15" s="29">
        <v>0</v>
      </c>
      <c r="I15" s="29">
        <f ca="1">ROUND('TUSD BE'!$AM$16,2)</f>
        <v>105.42</v>
      </c>
      <c r="J15" s="29">
        <f>ROUND('TE BE'!$AB$9,2)</f>
        <v>207.59</v>
      </c>
      <c r="L15" s="121"/>
      <c r="M15" s="31" t="s">
        <v>1032</v>
      </c>
      <c r="N15" s="31" t="s">
        <v>1035</v>
      </c>
      <c r="O15" s="31" t="s">
        <v>1036</v>
      </c>
      <c r="P15" s="31" t="s">
        <v>1026</v>
      </c>
      <c r="Q15" s="29">
        <v>0</v>
      </c>
      <c r="R15" s="29">
        <f ca="1">ROUND(('TUSD BE'!$AM$59+'TUSD BF'!$AM$59+'TUSD CVA'!$AM$59)*(1-CUSTOS!$M$38),2)</f>
        <v>472.09</v>
      </c>
      <c r="S15" s="29">
        <f>ROUND(('TE BE'!$AB$42+'TE BF'!$AB$42+'TE CVA'!$AB$42)*(1-CUSTOS!$M$38),2)</f>
        <v>216.84</v>
      </c>
      <c r="T15" s="29">
        <v>0</v>
      </c>
      <c r="U15" s="29">
        <f ca="1">ROUND(('TUSD BE'!$AM$59)*(1-CUSTOS!$M$38),2)</f>
        <v>490.85</v>
      </c>
      <c r="V15" s="29">
        <f>ROUND(('TE BE'!$AB$42)*(1-CUSTOS!$M$38),2)</f>
        <v>206.06</v>
      </c>
    </row>
    <row r="16" spans="1:22" ht="11.25" customHeight="1" x14ac:dyDescent="0.25">
      <c r="A16" s="124"/>
      <c r="B16" s="123" t="s">
        <v>1027</v>
      </c>
      <c r="C16" s="123" t="s">
        <v>25</v>
      </c>
      <c r="D16" s="31" t="s">
        <v>1026</v>
      </c>
      <c r="E16" s="29">
        <f ca="1">ROUND('TUSD BE'!$AM$14+'TUSD BF'!$AM$14+'TUSD CVA'!$AM$14,2)</f>
        <v>20.62</v>
      </c>
      <c r="F16" s="29">
        <v>0</v>
      </c>
      <c r="G16" s="29">
        <v>0</v>
      </c>
      <c r="H16" s="29">
        <f ca="1">ROUND('TUSD BE'!$AM$14,2)</f>
        <v>21.65</v>
      </c>
      <c r="I16" s="29">
        <v>0</v>
      </c>
      <c r="J16" s="29">
        <v>0</v>
      </c>
      <c r="L16" s="121"/>
      <c r="M16" s="31" t="s">
        <v>1034</v>
      </c>
      <c r="N16" s="31" t="s">
        <v>1035</v>
      </c>
      <c r="O16" s="31" t="s">
        <v>1036</v>
      </c>
      <c r="P16" s="31" t="s">
        <v>1026</v>
      </c>
      <c r="Q16" s="29">
        <v>0</v>
      </c>
      <c r="R16" s="29">
        <f ca="1">ROUND(('TUSD BE'!$AM$50+'TUSD BF'!$AM$50+'TUSD CVA'!$AM$50)*(1-CUSTOS!$M$38),2)</f>
        <v>472.09</v>
      </c>
      <c r="S16" s="29">
        <f>ROUND(('TE BE'!$AB$33+'TE BF'!$AB$33+'TE CVA'!$AB$33)*(1-CUSTOS!$M$38),2)</f>
        <v>216.84</v>
      </c>
      <c r="T16" s="29">
        <v>0</v>
      </c>
      <c r="U16" s="29">
        <f ca="1">ROUND(('TUSD BE'!$AM$50)*(1-CUSTOS!$M$38),2)</f>
        <v>490.85</v>
      </c>
      <c r="V16" s="29">
        <f>ROUND(('TE BE'!$AB$33)*(1-CUSTOS!$M$38),2)</f>
        <v>206.06</v>
      </c>
    </row>
    <row r="17" spans="1:22" ht="11.25" customHeight="1" x14ac:dyDescent="0.25">
      <c r="A17" s="124"/>
      <c r="B17" s="124"/>
      <c r="C17" s="124"/>
      <c r="D17" s="31" t="s">
        <v>1023</v>
      </c>
      <c r="E17" s="29">
        <v>0</v>
      </c>
      <c r="F17" s="29">
        <f ca="1">ROUND('TUSD BE'!$AM$17+'TUSD BF'!$AM$17+'TUSD CVA'!$AM$17,2)</f>
        <v>1408.45</v>
      </c>
      <c r="G17" s="29">
        <v>0</v>
      </c>
      <c r="H17" s="29">
        <v>0</v>
      </c>
      <c r="I17" s="29">
        <f ca="1">ROUND('TUSD BE'!$AM$17,2)</f>
        <v>1514.38</v>
      </c>
      <c r="J17" s="29">
        <v>0</v>
      </c>
      <c r="L17" s="121"/>
      <c r="M17" s="119" t="s">
        <v>1029</v>
      </c>
      <c r="N17" s="119" t="s">
        <v>1035</v>
      </c>
      <c r="O17" s="119" t="s">
        <v>1037</v>
      </c>
      <c r="P17" s="31" t="s">
        <v>1023</v>
      </c>
      <c r="Q17" s="29">
        <v>0</v>
      </c>
      <c r="R17" s="29">
        <f ca="1">ROUND(('TUSD BE'!$AM$51+'TUSD BF'!$AM$51+'TUSD CVA'!$AM$51)*(1-CUSTOS!$M$39),2)</f>
        <v>1141.22</v>
      </c>
      <c r="S17" s="29">
        <f>ROUND(('TE BE'!$AB$34+'TE BF'!$AB$34+'TE CVA'!$AB$34)*(1-CUSTOS!$M$39),2)</f>
        <v>340.89</v>
      </c>
      <c r="T17" s="29">
        <v>0</v>
      </c>
      <c r="U17" s="29">
        <f ca="1">ROUND('TUSD BE'!$AM$51*(1-CUSTOS!$M$39),2)</f>
        <v>1215.83</v>
      </c>
      <c r="V17" s="29">
        <f>ROUND('TE BE'!$AB$34*(1-CUSTOS!$M$39),2)</f>
        <v>326.24</v>
      </c>
    </row>
    <row r="18" spans="1:22" ht="11.25" customHeight="1" x14ac:dyDescent="0.25">
      <c r="A18" s="124"/>
      <c r="B18" s="124"/>
      <c r="C18" s="124"/>
      <c r="D18" s="31" t="s">
        <v>1024</v>
      </c>
      <c r="E18" s="29">
        <v>0</v>
      </c>
      <c r="F18" s="29">
        <f ca="1">ROUND('TUSD BE'!$AM$18+'TUSD BF'!$AM$18+'TUSD CVA'!$AM$18,2)</f>
        <v>41.75</v>
      </c>
      <c r="G18" s="29">
        <v>0</v>
      </c>
      <c r="H18" s="29">
        <v>0</v>
      </c>
      <c r="I18" s="29">
        <f ca="1">ROUND('TUSD BE'!$AM$18,2)</f>
        <v>42.04</v>
      </c>
      <c r="J18" s="29">
        <v>0</v>
      </c>
      <c r="L18" s="121"/>
      <c r="M18" s="121"/>
      <c r="N18" s="121"/>
      <c r="O18" s="121"/>
      <c r="P18" s="31" t="s">
        <v>1031</v>
      </c>
      <c r="Q18" s="29">
        <v>0</v>
      </c>
      <c r="R18" s="29">
        <f ca="1">ROUND(('TUSD BE'!$AM$52+'TUSD BF'!$AM$52+'TUSD CVA'!$AM$52)*(1-CUSTOS!$M$39),2)</f>
        <v>743</v>
      </c>
      <c r="S18" s="29">
        <f>ROUND(('TE BE'!$AB$35+'TE BF'!$AB$35+'TE CVA'!$AB$35)*(1-CUSTOS!$M$39),2)</f>
        <v>205.56</v>
      </c>
      <c r="T18" s="29">
        <v>0</v>
      </c>
      <c r="U18" s="29">
        <f ca="1">ROUND('TUSD BE'!$AM$52*(1-CUSTOS!$M$39),2)</f>
        <v>784.38</v>
      </c>
      <c r="V18" s="29">
        <f>ROUND('TE BE'!$AB$35*(1-CUSTOS!$M$39),2)</f>
        <v>195.13</v>
      </c>
    </row>
    <row r="19" spans="1:22" ht="11.25" customHeight="1" x14ac:dyDescent="0.25">
      <c r="A19" s="124"/>
      <c r="B19" s="31" t="s">
        <v>91</v>
      </c>
      <c r="C19" s="31" t="s">
        <v>25</v>
      </c>
      <c r="D19" s="31" t="s">
        <v>1026</v>
      </c>
      <c r="E19" s="29">
        <f ca="1">ROUND('TUSD BE'!$AM$13+'TUSD BF'!$AM$13+'TUSD CVA'!$AM$13,2)</f>
        <v>18.39</v>
      </c>
      <c r="F19" s="29">
        <v>0</v>
      </c>
      <c r="G19" s="29">
        <v>0</v>
      </c>
      <c r="H19" s="29">
        <f ca="1">ROUND('TUSD BE'!$AM$13,2)</f>
        <v>20.239999999999998</v>
      </c>
      <c r="I19" s="29">
        <v>0</v>
      </c>
      <c r="J19" s="29">
        <v>0</v>
      </c>
      <c r="L19" s="121"/>
      <c r="M19" s="120"/>
      <c r="N19" s="120"/>
      <c r="O19" s="120"/>
      <c r="P19" s="31" t="s">
        <v>1024</v>
      </c>
      <c r="Q19" s="29">
        <v>0</v>
      </c>
      <c r="R19" s="29">
        <f ca="1">ROUND(('TUSD BE'!$AM$53+'TUSD BF'!$AM$53+'TUSD CVA'!$AM$53)*(1-CUSTOS!$M$39),2)</f>
        <v>344.79</v>
      </c>
      <c r="S19" s="29">
        <f>ROUND(('TE BE'!$AB$36+'TE BF'!$AB$36+'TE CVA'!$AB$36)*(1-CUSTOS!$M$39),2)</f>
        <v>205.56</v>
      </c>
      <c r="T19" s="29">
        <v>0</v>
      </c>
      <c r="U19" s="29">
        <f ca="1">ROUND('TUSD BE'!$AM$53*(1-CUSTOS!$M$39),2)</f>
        <v>352.92</v>
      </c>
      <c r="V19" s="29">
        <f>ROUND('TE BE'!$AB$36*(1-CUSTOS!$M$39),2)</f>
        <v>195.13</v>
      </c>
    </row>
    <row r="20" spans="1:22" ht="11.25" customHeight="1" x14ac:dyDescent="0.25">
      <c r="A20" s="123" t="s">
        <v>41</v>
      </c>
      <c r="B20" s="123" t="s">
        <v>42</v>
      </c>
      <c r="C20" s="123" t="s">
        <v>25</v>
      </c>
      <c r="D20" s="31" t="s">
        <v>1023</v>
      </c>
      <c r="E20" s="29">
        <f ca="1">ROUND('TUSD BE'!$AM$19+'TUSD BF'!$AM$19+'TUSD CVA'!$AM$19,2)</f>
        <v>56.31</v>
      </c>
      <c r="F20" s="29">
        <f ca="1">ROUND('TUSD BE'!$AM$21+'TUSD BF'!$AM$21+'TUSD CVA'!$AM$21,2)</f>
        <v>113.43</v>
      </c>
      <c r="G20" s="29">
        <f>ROUND('TE BE'!$AB$11+'TE BF'!$AB$11+'TE CVA'!$AB$11,2)</f>
        <v>362.64</v>
      </c>
      <c r="H20" s="29">
        <f ca="1">ROUND('TUSD BE'!$AM$19,2)</f>
        <v>60.65</v>
      </c>
      <c r="I20" s="29">
        <f ca="1">ROUND('TUSD BE'!$AM$21,2)</f>
        <v>105.42</v>
      </c>
      <c r="J20" s="29">
        <f>ROUND('TE BE'!$AB$11,2)</f>
        <v>347.07</v>
      </c>
      <c r="L20" s="121"/>
      <c r="M20" s="31" t="s">
        <v>1032</v>
      </c>
      <c r="N20" s="31" t="s">
        <v>1035</v>
      </c>
      <c r="O20" s="31" t="s">
        <v>1037</v>
      </c>
      <c r="P20" s="31" t="s">
        <v>1026</v>
      </c>
      <c r="Q20" s="29">
        <v>0</v>
      </c>
      <c r="R20" s="29">
        <f ca="1">ROUND(('TUSD BE'!$AM$59+'TUSD BF'!$AM$59+'TUSD CVA'!$AM$59)*(1-CUSTOS!$M$39),2)</f>
        <v>472.09</v>
      </c>
      <c r="S20" s="29">
        <f>ROUND(('TE BE'!$AB$42+'TE BF'!$AB$42+'TE CVA'!$AB$42)*(1-CUSTOS!$M$39),2)</f>
        <v>216.84</v>
      </c>
      <c r="T20" s="29">
        <v>0</v>
      </c>
      <c r="U20" s="29">
        <f ca="1">ROUND(('TUSD BE'!$AM$59)*(1-CUSTOS!$M$39),2)</f>
        <v>490.85</v>
      </c>
      <c r="V20" s="29">
        <f>ROUND(('TE BE'!$AB$42)*(1-CUSTOS!$M$39),2)</f>
        <v>206.06</v>
      </c>
    </row>
    <row r="21" spans="1:22" ht="11.25" customHeight="1" x14ac:dyDescent="0.25">
      <c r="A21" s="124"/>
      <c r="B21" s="124"/>
      <c r="C21" s="124"/>
      <c r="D21" s="31" t="s">
        <v>1024</v>
      </c>
      <c r="E21" s="29">
        <f ca="1">ROUND('TUSD BE'!$AM$20+'TUSD BF'!$AM$20+'TUSD CVA'!$AM$20,2)</f>
        <v>20.62</v>
      </c>
      <c r="F21" s="29">
        <f ca="1">ROUND('TUSD BE'!$AM$21+'TUSD BF'!$AM$21+'TUSD CVA'!$AM$21,2)</f>
        <v>113.43</v>
      </c>
      <c r="G21" s="29">
        <f>ROUND('TE BE'!$AB$12+'TE BF'!$AB$12+'TE CVA'!$AB$12,2)</f>
        <v>218.69</v>
      </c>
      <c r="H21" s="29">
        <f ca="1">ROUND('TUSD BE'!$AM$20,2)</f>
        <v>21.65</v>
      </c>
      <c r="I21" s="29">
        <f ca="1">ROUND('TUSD BE'!$AM$21,2)</f>
        <v>105.42</v>
      </c>
      <c r="J21" s="29">
        <f>ROUND('TE BE'!$AB$12,2)</f>
        <v>207.59</v>
      </c>
      <c r="L21" s="121"/>
      <c r="M21" s="31" t="s">
        <v>1034</v>
      </c>
      <c r="N21" s="31" t="s">
        <v>1035</v>
      </c>
      <c r="O21" s="31" t="s">
        <v>1037</v>
      </c>
      <c r="P21" s="31" t="s">
        <v>1026</v>
      </c>
      <c r="Q21" s="29">
        <v>0</v>
      </c>
      <c r="R21" s="29">
        <f ca="1">ROUND(('TUSD BE'!$AM$50+'TUSD BF'!$AM$50+'TUSD CVA'!$AM$50)*(1-CUSTOS!$M$39),2)</f>
        <v>472.09</v>
      </c>
      <c r="S21" s="29">
        <f>ROUND(('TE BE'!$AB$33+'TE BF'!$AB$33+'TE CVA'!$AB$33)*(1-CUSTOS!$M$39),2)</f>
        <v>216.84</v>
      </c>
      <c r="T21" s="29">
        <v>0</v>
      </c>
      <c r="U21" s="29">
        <f ca="1">ROUND(('TUSD BE'!$AM$50)*(1-CUSTOS!$M$39),2)</f>
        <v>490.85</v>
      </c>
      <c r="V21" s="29">
        <f>ROUND(('TE BE'!$AB$33)*(1-CUSTOS!$M$39),2)</f>
        <v>206.06</v>
      </c>
    </row>
    <row r="22" spans="1:22" ht="11.25" customHeight="1" x14ac:dyDescent="0.25">
      <c r="A22" s="124"/>
      <c r="B22" s="123" t="s">
        <v>1025</v>
      </c>
      <c r="C22" s="123" t="s">
        <v>25</v>
      </c>
      <c r="D22" s="31" t="s">
        <v>1023</v>
      </c>
      <c r="E22" s="29">
        <f ca="1">ROUND('TUSD BE'!$AM$19+'TUSD BF'!$AM$19+'TUSD CVA'!$AM$19,2)</f>
        <v>56.31</v>
      </c>
      <c r="F22" s="29">
        <f ca="1">ROUND('TUSD BE'!$AM$22+'TUSD BF'!$AM$22+'TUSD CVA'!$AM$22,2)</f>
        <v>41.75</v>
      </c>
      <c r="G22" s="29">
        <v>0</v>
      </c>
      <c r="H22" s="29">
        <f ca="1">ROUND('TUSD BE'!$AM$19,2)</f>
        <v>60.65</v>
      </c>
      <c r="I22" s="29">
        <f ca="1">ROUND('TUSD BE'!$AM$22,2)</f>
        <v>42.04</v>
      </c>
      <c r="J22" s="29">
        <v>0</v>
      </c>
      <c r="L22" s="121"/>
      <c r="M22" s="119" t="s">
        <v>1029</v>
      </c>
      <c r="N22" s="119" t="s">
        <v>1035</v>
      </c>
      <c r="O22" s="119" t="s">
        <v>1038</v>
      </c>
      <c r="P22" s="31" t="s">
        <v>1023</v>
      </c>
      <c r="Q22" s="29">
        <v>0</v>
      </c>
      <c r="R22" s="29">
        <f ca="1">ROUND(('TUSD BE'!$AM$55+'TUSD BF'!$AM$55+'TUSD CVA'!$AM$55)*(1-CUSTOS!$M$40),2)</f>
        <v>1116.94</v>
      </c>
      <c r="S22" s="29">
        <f>ROUND(('TE BE'!$AB$38+'TE BF'!$AB$38+'TE CVA'!$AB$38)*(1-CUSTOS!$M$40),2)</f>
        <v>333.63</v>
      </c>
      <c r="T22" s="29">
        <v>0</v>
      </c>
      <c r="U22" s="29">
        <f ca="1">ROUND('TUSD BE'!$AM$55*(1-CUSTOS!$M$40),2)</f>
        <v>1189.96</v>
      </c>
      <c r="V22" s="29">
        <f>ROUND('TE BE'!$AB$38*(1-CUSTOS!$M$40),2)</f>
        <v>319.3</v>
      </c>
    </row>
    <row r="23" spans="1:22" ht="11.25" customHeight="1" x14ac:dyDescent="0.25">
      <c r="A23" s="124"/>
      <c r="B23" s="124"/>
      <c r="C23" s="124"/>
      <c r="D23" s="31" t="s">
        <v>1024</v>
      </c>
      <c r="E23" s="29">
        <f ca="1">ROUND('TUSD BE'!$AM$20+'TUSD BF'!$AM$20+'TUSD CVA'!$AM$20,2)</f>
        <v>20.62</v>
      </c>
      <c r="F23" s="29">
        <f ca="1">ROUND('TUSD BE'!$AM$22+'TUSD BF'!$AM$22+'TUSD CVA'!$AM$22,2)</f>
        <v>41.75</v>
      </c>
      <c r="G23" s="29">
        <v>0</v>
      </c>
      <c r="H23" s="29">
        <f ca="1">ROUND('TUSD BE'!$AM$20,2)</f>
        <v>21.65</v>
      </c>
      <c r="I23" s="29">
        <f ca="1">ROUND('TUSD BE'!$AM$22,2)</f>
        <v>42.04</v>
      </c>
      <c r="J23" s="29">
        <v>0</v>
      </c>
      <c r="L23" s="121"/>
      <c r="M23" s="121"/>
      <c r="N23" s="121"/>
      <c r="O23" s="121"/>
      <c r="P23" s="31" t="s">
        <v>1031</v>
      </c>
      <c r="Q23" s="29">
        <v>0</v>
      </c>
      <c r="R23" s="29">
        <f ca="1">ROUND(('TUSD BE'!$AM$56+'TUSD BF'!$AM$56+'TUSD CVA'!$AM$56)*(1-CUSTOS!$M$40),2)</f>
        <v>727.2</v>
      </c>
      <c r="S23" s="29">
        <f>ROUND(('TE BE'!$AB$39+'TE BF'!$AB$39+'TE CVA'!$AB$39)*(1-CUSTOS!$M$40),2)</f>
        <v>201.19</v>
      </c>
      <c r="T23" s="29">
        <v>0</v>
      </c>
      <c r="U23" s="29">
        <f ca="1">ROUND('TUSD BE'!$AM$56*(1-CUSTOS!$M$40),2)</f>
        <v>767.69</v>
      </c>
      <c r="V23" s="29">
        <f>ROUND('TE BE'!$AB$39*(1-CUSTOS!$M$40),2)</f>
        <v>190.98</v>
      </c>
    </row>
    <row r="24" spans="1:22" ht="11.25" customHeight="1" x14ac:dyDescent="0.25">
      <c r="A24" s="124"/>
      <c r="B24" s="123" t="s">
        <v>44</v>
      </c>
      <c r="C24" s="123" t="s">
        <v>25</v>
      </c>
      <c r="D24" s="31" t="s">
        <v>1026</v>
      </c>
      <c r="E24" s="29">
        <f ca="1">ROUND('TUSD BE'!$AM$27+'TUSD BF'!$AM$27+'TUSD CVA'!$AM$27,2)</f>
        <v>20.62</v>
      </c>
      <c r="F24" s="29">
        <v>0</v>
      </c>
      <c r="G24" s="29">
        <v>0</v>
      </c>
      <c r="H24" s="29">
        <f ca="1">ROUND('TUSD BE'!$AM$27,2)</f>
        <v>21.65</v>
      </c>
      <c r="I24" s="29">
        <v>0</v>
      </c>
      <c r="J24" s="29">
        <v>0</v>
      </c>
      <c r="L24" s="121"/>
      <c r="M24" s="120"/>
      <c r="N24" s="120"/>
      <c r="O24" s="120"/>
      <c r="P24" s="31" t="s">
        <v>1024</v>
      </c>
      <c r="Q24" s="29">
        <v>0</v>
      </c>
      <c r="R24" s="29">
        <f ca="1">ROUND(('TUSD BE'!$AM$57+'TUSD BF'!$AM$57+'TUSD CVA'!$AM$57)*(1-CUSTOS!$M$40),2)</f>
        <v>337.45</v>
      </c>
      <c r="S24" s="29">
        <f>ROUND(('TE BE'!$AB$40+'TE BF'!$AB$40+'TE CVA'!$AB$40)*(1-CUSTOS!$M$40),2)</f>
        <v>201.19</v>
      </c>
      <c r="T24" s="29">
        <v>0</v>
      </c>
      <c r="U24" s="29">
        <f ca="1">ROUND('TUSD BE'!$AM$57*(1-CUSTOS!$M$40),2)</f>
        <v>345.41</v>
      </c>
      <c r="V24" s="29">
        <f>ROUND('TE BE'!$AB$40*(1-CUSTOS!$M$40),2)</f>
        <v>190.98</v>
      </c>
    </row>
    <row r="25" spans="1:22" ht="11.25" customHeight="1" x14ac:dyDescent="0.25">
      <c r="A25" s="124"/>
      <c r="B25" s="124"/>
      <c r="C25" s="124"/>
      <c r="D25" s="31" t="s">
        <v>1023</v>
      </c>
      <c r="E25" s="29">
        <v>0</v>
      </c>
      <c r="F25" s="29">
        <f ca="1">ROUND('TUSD BE'!$AM$28+'TUSD BF'!$AM$28+'TUSD CVA'!$AM$28,2)</f>
        <v>1480.13</v>
      </c>
      <c r="G25" s="29">
        <f>ROUND('TE BE'!$AB$11+'TE BF'!$AB$11+'TE CVA'!$AB$11,2)</f>
        <v>362.64</v>
      </c>
      <c r="H25" s="29">
        <v>0</v>
      </c>
      <c r="I25" s="29">
        <f ca="1">ROUND('TUSD BE'!$AM$28,2)</f>
        <v>1577.77</v>
      </c>
      <c r="J25" s="29">
        <f>ROUND('TE BE'!$AB$11,2)</f>
        <v>347.07</v>
      </c>
      <c r="L25" s="121"/>
      <c r="M25" s="31" t="s">
        <v>1032</v>
      </c>
      <c r="N25" s="31" t="s">
        <v>1035</v>
      </c>
      <c r="O25" s="31" t="s">
        <v>1038</v>
      </c>
      <c r="P25" s="31" t="s">
        <v>1026</v>
      </c>
      <c r="Q25" s="29">
        <v>0</v>
      </c>
      <c r="R25" s="29">
        <f ca="1">ROUND(('TUSD BE'!$AM$59+'TUSD BF'!$AM$59+'TUSD CVA'!$AM$59)*(1-CUSTOS!$M$40),2)</f>
        <v>462.04</v>
      </c>
      <c r="S25" s="29">
        <f>ROUND(('TE BE'!$AB$42+'TE BF'!$AB$42+'TE CVA'!$AB$42)*(1-CUSTOS!$M$40),2)</f>
        <v>212.23</v>
      </c>
      <c r="T25" s="29">
        <v>0</v>
      </c>
      <c r="U25" s="29">
        <f ca="1">ROUND(('TUSD BE'!$AM$59)*(1-CUSTOS!$M$40),2)</f>
        <v>480.4</v>
      </c>
      <c r="V25" s="29">
        <f>ROUND(('TE BE'!$AB$42)*(1-CUSTOS!$M$40),2)</f>
        <v>201.67</v>
      </c>
    </row>
    <row r="26" spans="1:22" ht="11.25" customHeight="1" x14ac:dyDescent="0.25">
      <c r="A26" s="124"/>
      <c r="B26" s="124"/>
      <c r="C26" s="124"/>
      <c r="D26" s="31" t="s">
        <v>1024</v>
      </c>
      <c r="E26" s="29">
        <v>0</v>
      </c>
      <c r="F26" s="29">
        <f ca="1">ROUND('TUSD BE'!$AM$29+'TUSD BF'!$AM$29+'TUSD CVA'!$AM$29,2)</f>
        <v>113.43</v>
      </c>
      <c r="G26" s="29">
        <f>ROUND('TE BE'!$AB$12+'TE BF'!$AB$12+'TE CVA'!$AB$12,2)</f>
        <v>218.69</v>
      </c>
      <c r="H26" s="29">
        <v>0</v>
      </c>
      <c r="I26" s="29">
        <f ca="1">ROUND('TUSD BE'!$AM$29,2)</f>
        <v>105.42</v>
      </c>
      <c r="J26" s="29">
        <f>ROUND('TE BE'!$AB$12,2)</f>
        <v>207.59</v>
      </c>
      <c r="L26" s="120"/>
      <c r="M26" s="31" t="s">
        <v>1034</v>
      </c>
      <c r="N26" s="31" t="s">
        <v>1035</v>
      </c>
      <c r="O26" s="31" t="s">
        <v>1038</v>
      </c>
      <c r="P26" s="31" t="s">
        <v>1026</v>
      </c>
      <c r="Q26" s="29">
        <v>0</v>
      </c>
      <c r="R26" s="29">
        <f ca="1">ROUND(('TUSD BE'!$AM$50+'TUSD BF'!$AM$50+'TUSD CVA'!$AM$50)*(1-CUSTOS!$M$40),2)</f>
        <v>462.04</v>
      </c>
      <c r="S26" s="29">
        <f>ROUND(('TE BE'!$AB$33+'TE BF'!$AB$33+'TE CVA'!$AB$33)*(1-CUSTOS!$M$40),2)</f>
        <v>212.23</v>
      </c>
      <c r="T26" s="29">
        <v>0</v>
      </c>
      <c r="U26" s="29">
        <f ca="1">ROUND(('TUSD BE'!$AM$50)*(1-CUSTOS!$M$40),2)</f>
        <v>480.4</v>
      </c>
      <c r="V26" s="29">
        <f>ROUND(('TE BE'!$AB$33)*(1-CUSTOS!$M$40),2)</f>
        <v>201.67</v>
      </c>
    </row>
    <row r="27" spans="1:22" ht="11.25" customHeight="1" x14ac:dyDescent="0.25">
      <c r="A27" s="124"/>
      <c r="B27" s="123" t="s">
        <v>1027</v>
      </c>
      <c r="C27" s="123" t="s">
        <v>25</v>
      </c>
      <c r="D27" s="31" t="s">
        <v>1026</v>
      </c>
      <c r="E27" s="29">
        <f ca="1">ROUND('TUSD BE'!$AM$27+'TUSD BF'!$AM$27+'TUSD CVA'!$AM$27,2)</f>
        <v>20.62</v>
      </c>
      <c r="F27" s="29">
        <v>0</v>
      </c>
      <c r="G27" s="29">
        <v>0</v>
      </c>
      <c r="H27" s="29">
        <f ca="1">ROUND('TUSD BE'!$AM$27,2)</f>
        <v>21.65</v>
      </c>
      <c r="I27" s="29">
        <v>0</v>
      </c>
      <c r="J27" s="29">
        <v>0</v>
      </c>
      <c r="L27" s="119" t="s">
        <v>39</v>
      </c>
      <c r="M27" s="119" t="s">
        <v>1029</v>
      </c>
      <c r="N27" s="119" t="s">
        <v>1026</v>
      </c>
      <c r="O27" s="119" t="s">
        <v>1026</v>
      </c>
      <c r="P27" s="31" t="s">
        <v>1023</v>
      </c>
      <c r="Q27" s="29">
        <v>0</v>
      </c>
      <c r="R27" s="29">
        <f ca="1">ROUND(('TUSD BE'!$AM$62+'TUSD BF'!$AM$62+'TUSD CVA'!$AM$62)*(1-CUSTOS!$M$31),2)</f>
        <v>1335.6</v>
      </c>
      <c r="S27" s="29">
        <f>ROUND(('TE BE'!$AB$45+'TE BF'!$AB$45+'TE CVA'!$AB$45)*(1-CUSTOS!$M$31),2)</f>
        <v>362.64</v>
      </c>
      <c r="T27" s="29">
        <v>0</v>
      </c>
      <c r="U27" s="29">
        <f ca="1">ROUND('TUSD BE'!$AM$62*(1-CUSTOS!$M$31),2)</f>
        <v>1425.11</v>
      </c>
      <c r="V27" s="29">
        <f>ROUND('TE BE'!$AB$45*(1-CUSTOS!$M$31),2)</f>
        <v>347.07</v>
      </c>
    </row>
    <row r="28" spans="1:22" ht="11.25" customHeight="1" x14ac:dyDescent="0.25">
      <c r="A28" s="124"/>
      <c r="B28" s="124"/>
      <c r="C28" s="124"/>
      <c r="D28" s="31" t="s">
        <v>1023</v>
      </c>
      <c r="E28" s="29">
        <v>0</v>
      </c>
      <c r="F28" s="29">
        <f ca="1">ROUND('TUSD BE'!$AM$30+'TUSD BF'!$AM$30+'TUSD CVA'!$AM$30,2)</f>
        <v>1408.45</v>
      </c>
      <c r="G28" s="29">
        <v>0</v>
      </c>
      <c r="H28" s="29">
        <v>0</v>
      </c>
      <c r="I28" s="29">
        <f ca="1">ROUND('TUSD BE'!$AM$30,2)</f>
        <v>1514.38</v>
      </c>
      <c r="J28" s="29">
        <v>0</v>
      </c>
      <c r="L28" s="121"/>
      <c r="M28" s="121"/>
      <c r="N28" s="121"/>
      <c r="O28" s="121"/>
      <c r="P28" s="31" t="s">
        <v>1031</v>
      </c>
      <c r="Q28" s="29">
        <v>0</v>
      </c>
      <c r="R28" s="29">
        <f ca="1">ROUND(('TUSD BE'!$AM$63+'TUSD BF'!$AM$63+'TUSD CVA'!$AM$63)*(1-CUSTOS!$M$31),2)</f>
        <v>863.35</v>
      </c>
      <c r="S28" s="29">
        <f>ROUND(('TE BE'!$AB$46+'TE BF'!$AB$46+'TE CVA'!$AB$46)*(1-CUSTOS!$M$31),2)</f>
        <v>218.69</v>
      </c>
      <c r="T28" s="29">
        <v>0</v>
      </c>
      <c r="U28" s="29">
        <f ca="1">ROUND('TUSD BE'!$AM$63*(1-CUSTOS!$M$31),2)</f>
        <v>913.45</v>
      </c>
      <c r="V28" s="29">
        <f>ROUND('TE BE'!$AB$46*(1-CUSTOS!$M$31),2)</f>
        <v>207.59</v>
      </c>
    </row>
    <row r="29" spans="1:22" ht="11.25" customHeight="1" x14ac:dyDescent="0.25">
      <c r="A29" s="124"/>
      <c r="B29" s="124"/>
      <c r="C29" s="124"/>
      <c r="D29" s="31" t="s">
        <v>1024</v>
      </c>
      <c r="E29" s="29">
        <v>0</v>
      </c>
      <c r="F29" s="29">
        <f ca="1">ROUND('TUSD BE'!$AM$31+'TUSD BF'!$AM$31+'TUSD CVA'!$AM$31,2)</f>
        <v>41.75</v>
      </c>
      <c r="G29" s="29">
        <v>0</v>
      </c>
      <c r="H29" s="29">
        <v>0</v>
      </c>
      <c r="I29" s="29">
        <f ca="1">ROUND('TUSD BE'!$AM$31,2)</f>
        <v>42.04</v>
      </c>
      <c r="J29" s="29">
        <v>0</v>
      </c>
      <c r="L29" s="121"/>
      <c r="M29" s="120"/>
      <c r="N29" s="120"/>
      <c r="O29" s="120"/>
      <c r="P29" s="31" t="s">
        <v>1024</v>
      </c>
      <c r="Q29" s="29">
        <v>0</v>
      </c>
      <c r="R29" s="29">
        <f ca="1">ROUND(('TUSD BE'!$AM$64+'TUSD BF'!$AM$64+'TUSD CVA'!$AM$64)*(1-CUSTOS!$M$31),2)</f>
        <v>391.1</v>
      </c>
      <c r="S29" s="29">
        <f>ROUND(('TE BE'!$AB$47+'TE BF'!$AB$47+'TE CVA'!$AB$47)*(1-CUSTOS!$M$31),2)</f>
        <v>218.69</v>
      </c>
      <c r="T29" s="29">
        <v>0</v>
      </c>
      <c r="U29" s="29">
        <f ca="1">ROUND('TUSD BE'!$AM$64*(1-CUSTOS!$M$31),2)</f>
        <v>401.79</v>
      </c>
      <c r="V29" s="29">
        <f>ROUND('TE BE'!$AB$47*(1-CUSTOS!$M$31),2)</f>
        <v>207.59</v>
      </c>
    </row>
    <row r="30" spans="1:22" ht="11.25" customHeight="1" x14ac:dyDescent="0.25">
      <c r="A30" s="124"/>
      <c r="B30" s="123" t="s">
        <v>62</v>
      </c>
      <c r="C30" s="123" t="s">
        <v>63</v>
      </c>
      <c r="D30" s="31" t="s">
        <v>1023</v>
      </c>
      <c r="E30" s="29">
        <f ca="1">ROUND('TUSD BE'!$AM$23+'TUSD BF'!$AM$23+'TUSD CVA'!$AM$23-0*('TUSD BE'!$AC$23+'TUSD BF'!$AC$23+'TUSD CVA'!$AC$23),2)</f>
        <v>18.690000000000001</v>
      </c>
      <c r="F30" s="29">
        <f ca="1">ROUND('TUSD BE'!$AM$25+'TUSD BF'!$AM$25+'TUSD CVA'!$AM$25,2)</f>
        <v>15.92</v>
      </c>
      <c r="G30" s="29">
        <v>0</v>
      </c>
      <c r="H30" s="29">
        <f ca="1">ROUND('TUSD BE'!$AM$23-0*('TUSD BE'!$AC$23),2)</f>
        <v>17.53</v>
      </c>
      <c r="I30" s="29">
        <f ca="1">ROUND('TUSD BE'!$AM$25,2)</f>
        <v>14.18</v>
      </c>
      <c r="J30" s="29">
        <v>0</v>
      </c>
      <c r="L30" s="121"/>
      <c r="M30" s="31" t="s">
        <v>1032</v>
      </c>
      <c r="N30" s="31" t="s">
        <v>1026</v>
      </c>
      <c r="O30" s="31" t="s">
        <v>1026</v>
      </c>
      <c r="P30" s="31" t="s">
        <v>1026</v>
      </c>
      <c r="Q30" s="29">
        <v>0</v>
      </c>
      <c r="R30" s="29">
        <f ca="1">ROUND(('TUSD BE'!$AM$66+'TUSD BF'!$AM$66+'TUSD CVA'!$AM$66)*(1-CUSTOS!$M$31),2)</f>
        <v>502.22</v>
      </c>
      <c r="S30" s="29">
        <f>ROUND(('TE BE'!$AB$49+'TE BF'!$AB$49+'TE CVA'!$AB$49)*(1-CUSTOS!$M$31),2)</f>
        <v>230.68</v>
      </c>
      <c r="T30" s="29">
        <v>0</v>
      </c>
      <c r="U30" s="29">
        <f ca="1">ROUND(('TUSD BE'!$AM$66)*(1-CUSTOS!$M$31),2)</f>
        <v>522.17999999999995</v>
      </c>
      <c r="V30" s="29">
        <f>ROUND(('TE BE'!$AB$49)*(1-CUSTOS!$M$31),2)</f>
        <v>219.21</v>
      </c>
    </row>
    <row r="31" spans="1:22" ht="11.25" customHeight="1" x14ac:dyDescent="0.25">
      <c r="A31" s="124"/>
      <c r="B31" s="124"/>
      <c r="C31" s="124"/>
      <c r="D31" s="31" t="s">
        <v>1024</v>
      </c>
      <c r="E31" s="29">
        <f ca="1">ROUND('TUSD BE'!$AM$24+'TUSD BF'!$AM$24+'TUSD CVA'!$AM$24-0*('TUSD BE'!$AC$24+'TUSD BF'!$AC$24+'TUSD CVA'!$AC$24),2)</f>
        <v>9.61</v>
      </c>
      <c r="F31" s="29">
        <f ca="1">ROUND('TUSD BE'!$AM$25+'TUSD BF'!$AM$25+'TUSD CVA'!$AM$25,2)</f>
        <v>15.92</v>
      </c>
      <c r="G31" s="29">
        <v>0</v>
      </c>
      <c r="H31" s="29">
        <f ca="1">ROUND('TUSD BE'!$AM$24-0*('TUSD BE'!$AC$24),2)</f>
        <v>8.69</v>
      </c>
      <c r="I31" s="29">
        <f ca="1">ROUND('TUSD BE'!$AM$25,2)</f>
        <v>14.18</v>
      </c>
      <c r="J31" s="29">
        <v>0</v>
      </c>
      <c r="L31" s="120"/>
      <c r="M31" s="31" t="s">
        <v>1034</v>
      </c>
      <c r="N31" s="31" t="s">
        <v>1026</v>
      </c>
      <c r="O31" s="31" t="s">
        <v>1026</v>
      </c>
      <c r="P31" s="31" t="s">
        <v>1026</v>
      </c>
      <c r="Q31" s="29">
        <v>0</v>
      </c>
      <c r="R31" s="29">
        <f ca="1">ROUND(('TUSD BE'!$AM$65+'TUSD BF'!$AM$65+'TUSD CVA'!$AM$65)*(1-CUSTOS!$M$31),2)</f>
        <v>502.22</v>
      </c>
      <c r="S31" s="29">
        <f>ROUND(('TE BE'!$AB$48+'TE BF'!$AB$48+'TE CVA'!$AB$48)*(1-CUSTOS!$M$31),2)</f>
        <v>230.68</v>
      </c>
      <c r="T31" s="29">
        <v>0</v>
      </c>
      <c r="U31" s="29">
        <f ca="1">ROUND(('TUSD BE'!$AM$65)*(1-CUSTOS!$M$31),2)</f>
        <v>522.17999999999995</v>
      </c>
      <c r="V31" s="29">
        <f>ROUND(('TE BE'!$AB$48)*(1-CUSTOS!$M$31),2)</f>
        <v>219.21</v>
      </c>
    </row>
    <row r="32" spans="1:22" ht="11.25" customHeight="1" x14ac:dyDescent="0.25">
      <c r="A32" s="124"/>
      <c r="B32" s="124"/>
      <c r="C32" s="124"/>
      <c r="D32" s="31" t="s">
        <v>1026</v>
      </c>
      <c r="E32" s="29">
        <v>0</v>
      </c>
      <c r="F32" s="29">
        <v>0</v>
      </c>
      <c r="G32" s="29">
        <f>ROUND('TE BE'!$AB$16+'TE BF'!$AB$16+'TE CVA'!$AB$16,2)</f>
        <v>220.39</v>
      </c>
      <c r="H32" s="29">
        <v>0</v>
      </c>
      <c r="I32" s="29">
        <v>0</v>
      </c>
      <c r="J32" s="29">
        <f>ROUND('TE BE'!$AB$16,2)</f>
        <v>195.83</v>
      </c>
      <c r="L32" s="119" t="s">
        <v>49</v>
      </c>
      <c r="M32" s="119" t="s">
        <v>1034</v>
      </c>
      <c r="N32" s="119" t="s">
        <v>1039</v>
      </c>
      <c r="O32" s="31" t="s">
        <v>1040</v>
      </c>
      <c r="P32" s="31" t="s">
        <v>1026</v>
      </c>
      <c r="Q32" s="29">
        <v>0</v>
      </c>
      <c r="R32" s="29">
        <f ca="1">ROUND(('TUSD BE'!$AM$67+'TUSD BF'!$AM$67+'TUSD CVA'!$AM$67),2)</f>
        <v>276.22000000000003</v>
      </c>
      <c r="S32" s="29">
        <f>ROUND(('TE BE'!$AB$50+'TE BF'!$AB$50+'TE CVA'!$AB$50),2)</f>
        <v>126.88</v>
      </c>
      <c r="T32" s="29">
        <v>0</v>
      </c>
      <c r="U32" s="29">
        <f ca="1">ROUND(('TUSD BE'!$AM$67),2)</f>
        <v>287.2</v>
      </c>
      <c r="V32" s="29">
        <f>ROUND(('TE BE'!$AB$50),2)</f>
        <v>120.57</v>
      </c>
    </row>
    <row r="33" spans="1:22" ht="11.25" customHeight="1" x14ac:dyDescent="0.25">
      <c r="A33" s="124"/>
      <c r="B33" s="31" t="s">
        <v>91</v>
      </c>
      <c r="C33" s="31" t="s">
        <v>25</v>
      </c>
      <c r="D33" s="31" t="s">
        <v>1026</v>
      </c>
      <c r="E33" s="29">
        <f ca="1">ROUND('TUSD BE'!$AM$26+'TUSD BF'!$AM$26+'TUSD CVA'!$AM$26,2)</f>
        <v>18.39</v>
      </c>
      <c r="F33" s="29">
        <v>0</v>
      </c>
      <c r="G33" s="29">
        <v>0</v>
      </c>
      <c r="H33" s="29">
        <f ca="1">ROUND('TUSD BE'!$AM$26,2)</f>
        <v>20.239999999999998</v>
      </c>
      <c r="I33" s="29">
        <v>0</v>
      </c>
      <c r="J33" s="29">
        <v>0</v>
      </c>
      <c r="L33" s="120"/>
      <c r="M33" s="120"/>
      <c r="N33" s="120"/>
      <c r="O33" s="31" t="s">
        <v>1041</v>
      </c>
      <c r="P33" s="31" t="s">
        <v>1026</v>
      </c>
      <c r="Q33" s="29">
        <v>0</v>
      </c>
      <c r="R33" s="29">
        <f ca="1">ROUND(('TUSD BE'!$AM$68+'TUSD BF'!$AM$68+'TUSD CVA'!$AM$68),2)</f>
        <v>301.33</v>
      </c>
      <c r="S33" s="29">
        <f>ROUND(('TE BE'!$AB$51+'TE BF'!$AB$51+'TE CVA'!$AB$51),2)</f>
        <v>138.41</v>
      </c>
      <c r="T33" s="29">
        <v>0</v>
      </c>
      <c r="U33" s="29">
        <f ca="1">ROUND(('TUSD BE'!$AM$68),2)</f>
        <v>313.31</v>
      </c>
      <c r="V33" s="29">
        <f>ROUND(('TE BE'!$AB$51),2)</f>
        <v>131.53</v>
      </c>
    </row>
    <row r="34" spans="1:22" ht="11.25" customHeight="1" x14ac:dyDescent="0.25">
      <c r="L34" s="119" t="s">
        <v>95</v>
      </c>
      <c r="M34" s="119" t="s">
        <v>1042</v>
      </c>
      <c r="N34" s="31" t="s">
        <v>96</v>
      </c>
      <c r="O34" s="31" t="s">
        <v>1026</v>
      </c>
      <c r="P34" s="31" t="s">
        <v>1026</v>
      </c>
      <c r="Q34" s="29">
        <f ca="1">ROUND(('TUSD BE'!$AM$32+'TUSD BF'!$AM$32+'TUSD CVA'!$AM$32),2)</f>
        <v>14.07</v>
      </c>
      <c r="R34" s="29">
        <v>0</v>
      </c>
      <c r="S34" s="29">
        <v>0</v>
      </c>
      <c r="T34" s="29">
        <f ca="1">ROUND(('TUSD BE'!$AM$32),2)</f>
        <v>15.48</v>
      </c>
      <c r="U34" s="29">
        <v>0</v>
      </c>
      <c r="V34" s="29">
        <v>0</v>
      </c>
    </row>
    <row r="35" spans="1:22" ht="11.25" customHeight="1" x14ac:dyDescent="0.25">
      <c r="L35" s="120"/>
      <c r="M35" s="120"/>
      <c r="N35" s="31" t="s">
        <v>97</v>
      </c>
      <c r="O35" s="31" t="s">
        <v>1026</v>
      </c>
      <c r="P35" s="31" t="s">
        <v>1026</v>
      </c>
      <c r="Q35" s="29">
        <f ca="1">ROUND(('TUSD BE'!$AM$33+'TUSD BF'!$AM$33+'TUSD CVA'!$AM$33),2)</f>
        <v>31.29</v>
      </c>
      <c r="R35" s="29">
        <v>0</v>
      </c>
      <c r="S35" s="29">
        <v>0</v>
      </c>
      <c r="T35" s="29">
        <f ca="1">ROUND(('TUSD BE'!$AM$33),2)</f>
        <v>34.42</v>
      </c>
      <c r="U35" s="29">
        <v>0</v>
      </c>
      <c r="V35" s="29">
        <v>0</v>
      </c>
    </row>
  </sheetData>
  <mergeCells count="67">
    <mergeCell ref="A5:A8"/>
    <mergeCell ref="A9:A19"/>
    <mergeCell ref="A20:A33"/>
    <mergeCell ref="B5:B6"/>
    <mergeCell ref="B7:B8"/>
    <mergeCell ref="B9:B10"/>
    <mergeCell ref="B11:B12"/>
    <mergeCell ref="B13:B15"/>
    <mergeCell ref="B16:B18"/>
    <mergeCell ref="B20:B21"/>
    <mergeCell ref="B22:B23"/>
    <mergeCell ref="B24:B26"/>
    <mergeCell ref="B27:B29"/>
    <mergeCell ref="B30:B32"/>
    <mergeCell ref="C5:C6"/>
    <mergeCell ref="C7:C8"/>
    <mergeCell ref="C9:C10"/>
    <mergeCell ref="C11:C12"/>
    <mergeCell ref="C13:C15"/>
    <mergeCell ref="C16:C18"/>
    <mergeCell ref="C30:C32"/>
    <mergeCell ref="L1:V1"/>
    <mergeCell ref="L2:L4"/>
    <mergeCell ref="M2:M4"/>
    <mergeCell ref="N2:N4"/>
    <mergeCell ref="O2:O4"/>
    <mergeCell ref="A1:J1"/>
    <mergeCell ref="A2:A4"/>
    <mergeCell ref="B2:B4"/>
    <mergeCell ref="C2:C4"/>
    <mergeCell ref="D2:D4"/>
    <mergeCell ref="E2:G2"/>
    <mergeCell ref="E3:F3"/>
    <mergeCell ref="H2:J2"/>
    <mergeCell ref="H3:I3"/>
    <mergeCell ref="O5:O7"/>
    <mergeCell ref="C20:C21"/>
    <mergeCell ref="C22:C23"/>
    <mergeCell ref="C24:C26"/>
    <mergeCell ref="C27:C29"/>
    <mergeCell ref="L12:L26"/>
    <mergeCell ref="L27:L31"/>
    <mergeCell ref="N5:N7"/>
    <mergeCell ref="N12:N14"/>
    <mergeCell ref="N17:N19"/>
    <mergeCell ref="N22:N24"/>
    <mergeCell ref="N27:N29"/>
    <mergeCell ref="O12:O14"/>
    <mergeCell ref="O17:O19"/>
    <mergeCell ref="O22:O24"/>
    <mergeCell ref="O27:O29"/>
    <mergeCell ref="P2:P4"/>
    <mergeCell ref="Q2:S2"/>
    <mergeCell ref="Q3:R3"/>
    <mergeCell ref="T2:V2"/>
    <mergeCell ref="T3:U3"/>
    <mergeCell ref="N32:N33"/>
    <mergeCell ref="L32:L33"/>
    <mergeCell ref="L34:L35"/>
    <mergeCell ref="M5:M7"/>
    <mergeCell ref="M12:M14"/>
    <mergeCell ref="M17:M19"/>
    <mergeCell ref="M22:M24"/>
    <mergeCell ref="M27:M29"/>
    <mergeCell ref="M32:M33"/>
    <mergeCell ref="L5:L11"/>
    <mergeCell ref="M34:M35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2CAAD-D24D-46A4-96EF-7C3EFDE4C987}">
  <sheetPr codeName="Planilha21"/>
  <dimension ref="A1:AN2102"/>
  <sheetViews>
    <sheetView showGridLines="0" topLeftCell="Z1" workbookViewId="0">
      <selection activeCell="AK27" sqref="AK27"/>
    </sheetView>
  </sheetViews>
  <sheetFormatPr defaultRowHeight="11.25" customHeight="1" x14ac:dyDescent="0.25"/>
  <cols>
    <col min="1" max="1" width="23.710937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14.140625" style="4" bestFit="1" customWidth="1"/>
    <col min="8" max="8" width="10.28515625" style="4" bestFit="1" customWidth="1"/>
    <col min="9" max="9" width="8.7109375" style="5" bestFit="1" customWidth="1"/>
    <col min="10" max="10" width="10.140625" style="6" bestFit="1" customWidth="1"/>
    <col min="11" max="11" width="10.85546875" style="6" bestFit="1" customWidth="1"/>
    <col min="12" max="12" width="10" style="6" bestFit="1" customWidth="1"/>
    <col min="13" max="13" width="13.7109375" style="6" bestFit="1" customWidth="1"/>
    <col min="14" max="14" width="14.140625" style="6" bestFit="1" customWidth="1"/>
    <col min="15" max="15" width="12.85546875" style="6" bestFit="1" customWidth="1"/>
    <col min="16" max="16" width="8.7109375" style="6" bestFit="1" customWidth="1"/>
    <col min="17" max="17" width="9.28515625" style="4" bestFit="1" customWidth="1"/>
    <col min="18" max="18" width="18.85546875" style="4" bestFit="1" customWidth="1"/>
    <col min="19" max="19" width="20.28515625" style="4" bestFit="1" customWidth="1"/>
    <col min="20" max="20" width="18.140625" style="4" bestFit="1" customWidth="1"/>
    <col min="21" max="21" width="17" style="4" bestFit="1" customWidth="1"/>
    <col min="22" max="22" width="18.5703125" style="4" bestFit="1" customWidth="1"/>
    <col min="23" max="23" width="16.28515625" style="4" bestFit="1" customWidth="1"/>
    <col min="24" max="24" width="16.7109375" style="4" bestFit="1" customWidth="1"/>
    <col min="25" max="25" width="18.28515625" style="4" bestFit="1" customWidth="1"/>
    <col min="26" max="26" width="16" style="4" bestFit="1" customWidth="1"/>
    <col min="27" max="27" width="16.85546875" style="4" bestFit="1" customWidth="1"/>
    <col min="28" max="28" width="18.42578125" style="4" bestFit="1" customWidth="1"/>
    <col min="29" max="29" width="16.140625" style="4" bestFit="1" customWidth="1"/>
    <col min="30" max="30" width="17.28515625" style="4" bestFit="1" customWidth="1"/>
    <col min="31" max="31" width="21.5703125" style="4" bestFit="1" customWidth="1"/>
    <col min="32" max="32" width="11.42578125" style="4" bestFit="1" customWidth="1"/>
    <col min="33" max="33" width="12.85546875" style="4" bestFit="1" customWidth="1"/>
    <col min="34" max="34" width="10.7109375" style="4" bestFit="1" customWidth="1"/>
    <col min="35" max="35" width="11.7109375" style="4" bestFit="1" customWidth="1"/>
    <col min="36" max="36" width="16" style="4" bestFit="1" customWidth="1"/>
    <col min="37" max="37" width="9.140625" style="4"/>
    <col min="38" max="38" width="8.7109375" style="4" bestFit="1" customWidth="1"/>
    <col min="39" max="39" width="5.5703125" style="4" bestFit="1" customWidth="1"/>
    <col min="40" max="40" width="14.7109375" style="4" bestFit="1" customWidth="1"/>
    <col min="41" max="16384" width="9.140625" style="4"/>
  </cols>
  <sheetData>
    <row r="1" spans="1:40" s="1" customFormat="1" ht="11.25" customHeight="1" x14ac:dyDescent="0.25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4" t="s">
        <v>7</v>
      </c>
      <c r="I1" s="44" t="s">
        <v>8</v>
      </c>
      <c r="J1" s="30" t="s">
        <v>989</v>
      </c>
      <c r="K1" s="30" t="s">
        <v>990</v>
      </c>
      <c r="L1" s="30" t="s">
        <v>991</v>
      </c>
      <c r="M1" s="30" t="s">
        <v>992</v>
      </c>
      <c r="N1" s="30" t="s">
        <v>993</v>
      </c>
      <c r="O1" s="30" t="s">
        <v>994</v>
      </c>
      <c r="P1" s="7"/>
      <c r="Q1" s="117" t="s">
        <v>995</v>
      </c>
      <c r="R1" s="122"/>
      <c r="S1" s="122"/>
      <c r="T1" s="122"/>
      <c r="U1" s="122"/>
      <c r="V1" s="122"/>
      <c r="W1" s="122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2"/>
      <c r="AI1" s="122"/>
      <c r="AJ1" s="122"/>
      <c r="AL1" s="34" t="s">
        <v>1016</v>
      </c>
      <c r="AM1" s="34" t="s">
        <v>68</v>
      </c>
      <c r="AN1" s="34" t="s">
        <v>1017</v>
      </c>
    </row>
    <row r="2" spans="1:40" ht="11.25" customHeight="1" x14ac:dyDescent="0.2">
      <c r="A2" s="35" t="s">
        <v>21</v>
      </c>
      <c r="B2" s="35" t="s">
        <v>43</v>
      </c>
      <c r="C2" s="35" t="s">
        <v>42</v>
      </c>
      <c r="D2" s="35" t="s">
        <v>45</v>
      </c>
      <c r="E2" s="35" t="s">
        <v>25</v>
      </c>
      <c r="F2" s="35" t="s">
        <v>25</v>
      </c>
      <c r="G2" s="35" t="s">
        <v>25</v>
      </c>
      <c r="H2" s="35" t="s">
        <v>37</v>
      </c>
      <c r="I2" s="45">
        <v>44531</v>
      </c>
      <c r="J2" s="46">
        <f ca="1">EFEITO!$J$2*EFEITO!$Y$2</f>
        <v>4267.3493663567351</v>
      </c>
      <c r="K2" s="46">
        <f ca="1">EFEITO!$L$2*EFEITO!$Z$2</f>
        <v>0</v>
      </c>
      <c r="L2" s="46">
        <f>EFEITO!$N$2*EFEITO!$AA$2</f>
        <v>0</v>
      </c>
      <c r="M2" s="46">
        <f ca="1">$J$2-EFEITO!$K$2*EFEITO!$Y$2</f>
        <v>0</v>
      </c>
      <c r="N2" s="46">
        <f ca="1">$K$2-EFEITO!$M$2*EFEITO!$Z$2</f>
        <v>0</v>
      </c>
      <c r="O2" s="46">
        <f>$L$2-EFEITO!$O$2*EFEITO!$AA$2</f>
        <v>0</v>
      </c>
      <c r="P2" s="38"/>
      <c r="Q2" s="28" t="s">
        <v>71</v>
      </c>
      <c r="R2" s="28" t="s">
        <v>997</v>
      </c>
      <c r="S2" s="28" t="s">
        <v>998</v>
      </c>
      <c r="T2" s="28" t="s">
        <v>999</v>
      </c>
      <c r="U2" s="28" t="s">
        <v>1000</v>
      </c>
      <c r="V2" s="28" t="s">
        <v>1001</v>
      </c>
      <c r="W2" s="28" t="s">
        <v>1002</v>
      </c>
      <c r="X2" s="47" t="s">
        <v>1003</v>
      </c>
      <c r="Y2" s="47" t="s">
        <v>1004</v>
      </c>
      <c r="Z2" s="47" t="s">
        <v>1005</v>
      </c>
      <c r="AA2" s="47" t="s">
        <v>1006</v>
      </c>
      <c r="AB2" s="47" t="s">
        <v>1007</v>
      </c>
      <c r="AC2" s="47" t="s">
        <v>1008</v>
      </c>
      <c r="AD2" s="47" t="s">
        <v>1009</v>
      </c>
      <c r="AE2" s="47" t="s">
        <v>1010</v>
      </c>
      <c r="AF2" s="47" t="s">
        <v>1011</v>
      </c>
      <c r="AG2" s="47" t="s">
        <v>1012</v>
      </c>
      <c r="AH2" s="47" t="s">
        <v>1013</v>
      </c>
      <c r="AI2" s="47" t="s">
        <v>1014</v>
      </c>
      <c r="AJ2" s="47" t="s">
        <v>1015</v>
      </c>
      <c r="AL2" s="35"/>
      <c r="AM2" s="35"/>
      <c r="AN2" s="35"/>
    </row>
    <row r="3" spans="1:40" ht="11.25" customHeight="1" x14ac:dyDescent="0.2">
      <c r="A3" s="35" t="s">
        <v>21</v>
      </c>
      <c r="B3" s="35" t="s">
        <v>43</v>
      </c>
      <c r="C3" s="35" t="s">
        <v>42</v>
      </c>
      <c r="D3" s="35" t="s">
        <v>45</v>
      </c>
      <c r="E3" s="35" t="s">
        <v>25</v>
      </c>
      <c r="F3" s="35" t="s">
        <v>25</v>
      </c>
      <c r="G3" s="35" t="s">
        <v>25</v>
      </c>
      <c r="H3" s="35" t="s">
        <v>37</v>
      </c>
      <c r="I3" s="45">
        <v>44562</v>
      </c>
      <c r="J3" s="46">
        <f ca="1">EFEITO!$J$3*EFEITO!$Y$3</f>
        <v>4267.3493663567351</v>
      </c>
      <c r="K3" s="46">
        <f ca="1">EFEITO!$L$3*EFEITO!$Z$3</f>
        <v>0</v>
      </c>
      <c r="L3" s="46">
        <f>EFEITO!$N$3*EFEITO!$AA$3</f>
        <v>0</v>
      </c>
      <c r="M3" s="46">
        <f ca="1">$J$3-EFEITO!$K$3*EFEITO!$Y$3</f>
        <v>0</v>
      </c>
      <c r="N3" s="46">
        <f ca="1">$K$3-EFEITO!$M$3*EFEITO!$Z$3</f>
        <v>0</v>
      </c>
      <c r="O3" s="46">
        <f>$L$3-EFEITO!$O$3*EFEITO!$AA$3</f>
        <v>0</v>
      </c>
      <c r="P3" s="38"/>
      <c r="Q3" s="46" t="s">
        <v>996</v>
      </c>
      <c r="R3" s="46">
        <f>SUMIF($B$2:$B$2102,$Q$3,$J$2:$J$2102)</f>
        <v>0</v>
      </c>
      <c r="S3" s="46">
        <f>SUMIF($B$2:$B$2102,$Q$3,$K$2:$K$2102)</f>
        <v>0</v>
      </c>
      <c r="T3" s="46">
        <f>SUMIF($B$2:$B$2102,$Q$3,$L$2:$L$2102)</f>
        <v>0</v>
      </c>
      <c r="U3" s="46">
        <f>SUMIF($B$2:$B$2102,$Q$3,$M$2:$M$2102)</f>
        <v>0</v>
      </c>
      <c r="V3" s="46">
        <f>SUMIF($B$2:$B$2102,$Q$3,$N$2:$N$2102)</f>
        <v>0</v>
      </c>
      <c r="W3" s="46">
        <f>SUMIF($B$2:$B$2102,$Q$3,$O$2:$O$2102)</f>
        <v>0</v>
      </c>
      <c r="X3" s="36">
        <f>$R$3-$U$3</f>
        <v>0</v>
      </c>
      <c r="Y3" s="36">
        <f>$S$3-$V$3</f>
        <v>0</v>
      </c>
      <c r="Z3" s="36">
        <f>$T$3-$W$3</f>
        <v>0</v>
      </c>
      <c r="AA3" s="36">
        <f>SUMIF(EFEITO!$B$2:$B$2102,$Q$3,EFEITO!$AE$2:$AE$2102)</f>
        <v>0</v>
      </c>
      <c r="AB3" s="36">
        <f>SUMIF(EFEITO!$B$2:$B$2102,$Q$3,EFEITO!$AF$2:$AF$2102)</f>
        <v>0</v>
      </c>
      <c r="AC3" s="36">
        <f>SUMIF(EFEITO!$B$2:$B$2102,$Q$3,EFEITO!$AG$2:$AH$2102)</f>
        <v>0</v>
      </c>
      <c r="AD3" s="36">
        <f>SUMIF(SUBSIDIO!$B$2:$B$2102,$Q$3,SUBSIDIO!$AD$2:$AD$2102)</f>
        <v>0</v>
      </c>
      <c r="AE3" s="36">
        <f>SUMIF(SUBSIDIO!$B$2:$B$2102,$Q$3,SUBSIDIO!$AE$2:$AE$2102)</f>
        <v>0</v>
      </c>
      <c r="AF3" s="36" t="str">
        <f>IF(ABS($X$3-$AA$3)&lt;0.01,"OK","ERRO")</f>
        <v>OK</v>
      </c>
      <c r="AG3" s="36" t="str">
        <f>IF(ABS($Y$3-$AB$3)&lt;0.01,"OK","ERRO")</f>
        <v>OK</v>
      </c>
      <c r="AH3" s="36" t="str">
        <f>IF(ABS($Z$3-$AC$3)&lt;0.01,"OK","ERRO")</f>
        <v>OK</v>
      </c>
      <c r="AI3" s="36" t="str">
        <f>IF(ABS($U$3-$AD$3)&lt;0.01,"OK","ERRO")</f>
        <v>OK</v>
      </c>
      <c r="AJ3" s="36" t="str">
        <f>IF(ABS(($V$3+$W$3)-$AE$3)&lt;0.01,"OK","ERRO")</f>
        <v>OK</v>
      </c>
    </row>
    <row r="4" spans="1:40" ht="11.25" customHeight="1" x14ac:dyDescent="0.2">
      <c r="A4" s="35" t="s">
        <v>21</v>
      </c>
      <c r="B4" s="35" t="s">
        <v>43</v>
      </c>
      <c r="C4" s="35" t="s">
        <v>42</v>
      </c>
      <c r="D4" s="35" t="s">
        <v>45</v>
      </c>
      <c r="E4" s="35" t="s">
        <v>25</v>
      </c>
      <c r="F4" s="35" t="s">
        <v>25</v>
      </c>
      <c r="G4" s="35" t="s">
        <v>25</v>
      </c>
      <c r="H4" s="35" t="s">
        <v>37</v>
      </c>
      <c r="I4" s="45">
        <v>44593</v>
      </c>
      <c r="J4" s="46">
        <f ca="1">EFEITO!$J$4*EFEITO!$Y$4</f>
        <v>4267.3493663567351</v>
      </c>
      <c r="K4" s="46">
        <f ca="1">EFEITO!$L$4*EFEITO!$Z$4</f>
        <v>0</v>
      </c>
      <c r="L4" s="46">
        <f>EFEITO!$N$4*EFEITO!$AA$4</f>
        <v>0</v>
      </c>
      <c r="M4" s="46">
        <f ca="1">$J$4-EFEITO!$K$4*EFEITO!$Y$4</f>
        <v>0</v>
      </c>
      <c r="N4" s="46">
        <f ca="1">$K$4-EFEITO!$M$4*EFEITO!$Z$4</f>
        <v>0</v>
      </c>
      <c r="O4" s="46">
        <f>$L$4-EFEITO!$O$4*EFEITO!$AA$4</f>
        <v>0</v>
      </c>
      <c r="P4" s="38"/>
      <c r="Q4" s="46" t="s">
        <v>867</v>
      </c>
      <c r="R4" s="46">
        <f>SUMIF($B$2:$B$2102,$Q$4,$J$2:$J$2102)</f>
        <v>0</v>
      </c>
      <c r="S4" s="46">
        <f>SUMIF($B$2:$B$2102,$Q$4,$K$2:$K$2102)</f>
        <v>0</v>
      </c>
      <c r="T4" s="46">
        <f>SUMIF($B$2:$B$2102,$Q$4,$L$2:$L$2102)</f>
        <v>0</v>
      </c>
      <c r="U4" s="46">
        <f>SUMIF($B$2:$B$2102,$Q$4,$M$2:$M$2102)</f>
        <v>0</v>
      </c>
      <c r="V4" s="46">
        <f>SUMIF($B$2:$B$2102,$Q$4,$N$2:$N$2102)</f>
        <v>0</v>
      </c>
      <c r="W4" s="46">
        <f>SUMIF($B$2:$B$2102,$Q$4,$O$2:$O$2102)</f>
        <v>0</v>
      </c>
      <c r="X4" s="36">
        <f>$R$4-$U$4</f>
        <v>0</v>
      </c>
      <c r="Y4" s="36">
        <f>$S$4-$V$4</f>
        <v>0</v>
      </c>
      <c r="Z4" s="36">
        <f>$T$4-$W$4</f>
        <v>0</v>
      </c>
      <c r="AA4" s="36">
        <f>SUMIF(EFEITO!$B$2:$B$2102,$Q$4,EFEITO!$AE$2:$AE$2102)</f>
        <v>0</v>
      </c>
      <c r="AB4" s="36">
        <f>SUMIF(EFEITO!$B$2:$B$2102,$Q$4,EFEITO!$AF$2:$AF$2102)</f>
        <v>0</v>
      </c>
      <c r="AC4" s="36">
        <f>SUMIF(EFEITO!$B$2:$B$2102,$Q$4,EFEITO!$AG$2:$AH$2102)</f>
        <v>0</v>
      </c>
      <c r="AD4" s="36">
        <f>SUMIF(SUBSIDIO!$B$2:$B$2102,$Q$4,SUBSIDIO!$AD$2:$AD$2102)</f>
        <v>0</v>
      </c>
      <c r="AE4" s="36">
        <f>SUMIF(SUBSIDIO!$B$2:$B$2102,$Q$4,SUBSIDIO!$AE$2:$AE$2102)</f>
        <v>0</v>
      </c>
      <c r="AF4" s="36" t="str">
        <f>IF(ABS($X$4-$AA$4)&lt;0.01,"OK","ERRO")</f>
        <v>OK</v>
      </c>
      <c r="AG4" s="36" t="str">
        <f>IF(ABS($Y$4-$AB$4)&lt;0.01,"OK","ERRO")</f>
        <v>OK</v>
      </c>
      <c r="AH4" s="36" t="str">
        <f>IF(ABS($Z$4-$AC$4)&lt;0.01,"OK","ERRO")</f>
        <v>OK</v>
      </c>
      <c r="AI4" s="36" t="str">
        <f>IF(ABS($U$4-$AD$4)&lt;0.01,"OK","ERRO")</f>
        <v>OK</v>
      </c>
      <c r="AJ4" s="36" t="str">
        <f>IF(ABS(($V$4+$W$4)-$AE$4)&lt;0.01,"OK","ERRO")</f>
        <v>OK</v>
      </c>
    </row>
    <row r="5" spans="1:40" ht="11.25" customHeight="1" x14ac:dyDescent="0.2">
      <c r="A5" s="35" t="s">
        <v>21</v>
      </c>
      <c r="B5" s="35" t="s">
        <v>43</v>
      </c>
      <c r="C5" s="35" t="s">
        <v>42</v>
      </c>
      <c r="D5" s="35" t="s">
        <v>45</v>
      </c>
      <c r="E5" s="35" t="s">
        <v>25</v>
      </c>
      <c r="F5" s="35" t="s">
        <v>25</v>
      </c>
      <c r="G5" s="35" t="s">
        <v>25</v>
      </c>
      <c r="H5" s="35" t="s">
        <v>37</v>
      </c>
      <c r="I5" s="45">
        <v>44621</v>
      </c>
      <c r="J5" s="46">
        <f ca="1">EFEITO!$J$5*EFEITO!$Y$5</f>
        <v>4267.3493663567351</v>
      </c>
      <c r="K5" s="46">
        <f ca="1">EFEITO!$L$5*EFEITO!$Z$5</f>
        <v>0</v>
      </c>
      <c r="L5" s="46">
        <f>EFEITO!$N$5*EFEITO!$AA$5</f>
        <v>0</v>
      </c>
      <c r="M5" s="46">
        <f ca="1">$J$5-EFEITO!$K$5*EFEITO!$Y$5</f>
        <v>0</v>
      </c>
      <c r="N5" s="46">
        <f ca="1">$K$5-EFEITO!$M$5*EFEITO!$Z$5</f>
        <v>0</v>
      </c>
      <c r="O5" s="46">
        <f>$L$5-EFEITO!$O$5*EFEITO!$AA$5</f>
        <v>0</v>
      </c>
      <c r="P5" s="38"/>
      <c r="Q5" s="46" t="s">
        <v>80</v>
      </c>
      <c r="R5" s="46">
        <f>SUMIF($B$2:$B$2102,$Q$5,$J$2:$J$2102)</f>
        <v>0</v>
      </c>
      <c r="S5" s="46">
        <f>SUMIF($B$2:$B$2102,$Q$5,$K$2:$K$2102)</f>
        <v>0</v>
      </c>
      <c r="T5" s="46">
        <f>SUMIF($B$2:$B$2102,$Q$5,$L$2:$L$2102)</f>
        <v>0</v>
      </c>
      <c r="U5" s="46">
        <f>SUMIF($B$2:$B$2102,$Q$5,$M$2:$M$2102)</f>
        <v>0</v>
      </c>
      <c r="V5" s="46">
        <f>SUMIF($B$2:$B$2102,$Q$5,$N$2:$N$2102)</f>
        <v>0</v>
      </c>
      <c r="W5" s="46">
        <f>SUMIF($B$2:$B$2102,$Q$5,$O$2:$O$2102)</f>
        <v>0</v>
      </c>
      <c r="X5" s="36">
        <f>$R$5-$U$5</f>
        <v>0</v>
      </c>
      <c r="Y5" s="36">
        <f>$S$5-$V$5</f>
        <v>0</v>
      </c>
      <c r="Z5" s="36">
        <f>$T$5-$W$5</f>
        <v>0</v>
      </c>
      <c r="AA5" s="36">
        <f>SUMIF(EFEITO!$B$2:$B$2102,$Q$5,EFEITO!$AE$2:$AE$2102)</f>
        <v>0</v>
      </c>
      <c r="AB5" s="36">
        <f>SUMIF(EFEITO!$B$2:$B$2102,$Q$5,EFEITO!$AF$2:$AF$2102)</f>
        <v>0</v>
      </c>
      <c r="AC5" s="36">
        <f>SUMIF(EFEITO!$B$2:$B$2102,$Q$5,EFEITO!$AG$2:$AH$2102)</f>
        <v>0</v>
      </c>
      <c r="AD5" s="36">
        <f>SUMIF(SUBSIDIO!$B$2:$B$2102,$Q$5,SUBSIDIO!$AD$2:$AD$2102)</f>
        <v>0</v>
      </c>
      <c r="AE5" s="36">
        <f>SUMIF(SUBSIDIO!$B$2:$B$2102,$Q$5,SUBSIDIO!$AE$2:$AE$2102)</f>
        <v>0</v>
      </c>
      <c r="AF5" s="36" t="str">
        <f>IF(ABS($X$5-$AA$5)&lt;0.01,"OK","ERRO")</f>
        <v>OK</v>
      </c>
      <c r="AG5" s="36" t="str">
        <f>IF(ABS($Y$5-$AB$5)&lt;0.01,"OK","ERRO")</f>
        <v>OK</v>
      </c>
      <c r="AH5" s="36" t="str">
        <f>IF(ABS($Z$5-$AC$5)&lt;0.01,"OK","ERRO")</f>
        <v>OK</v>
      </c>
      <c r="AI5" s="36" t="str">
        <f>IF(ABS($U$5-$AD$5)&lt;0.01,"OK","ERRO")</f>
        <v>OK</v>
      </c>
      <c r="AJ5" s="36" t="str">
        <f>IF(ABS(($V$5+$W$5)-$AE$5)&lt;0.01,"OK","ERRO")</f>
        <v>OK</v>
      </c>
    </row>
    <row r="6" spans="1:40" ht="11.25" customHeight="1" x14ac:dyDescent="0.2">
      <c r="A6" s="35" t="s">
        <v>21</v>
      </c>
      <c r="B6" s="35" t="s">
        <v>43</v>
      </c>
      <c r="C6" s="35" t="s">
        <v>42</v>
      </c>
      <c r="D6" s="35" t="s">
        <v>45</v>
      </c>
      <c r="E6" s="35" t="s">
        <v>25</v>
      </c>
      <c r="F6" s="35" t="s">
        <v>25</v>
      </c>
      <c r="G6" s="35" t="s">
        <v>25</v>
      </c>
      <c r="H6" s="35" t="s">
        <v>37</v>
      </c>
      <c r="I6" s="45">
        <v>44652</v>
      </c>
      <c r="J6" s="46">
        <f ca="1">EFEITO!$J$6*EFEITO!$Y$6</f>
        <v>4267.3493663567351</v>
      </c>
      <c r="K6" s="46">
        <f ca="1">EFEITO!$L$6*EFEITO!$Z$6</f>
        <v>0</v>
      </c>
      <c r="L6" s="46">
        <f>EFEITO!$N$6*EFEITO!$AA$6</f>
        <v>0</v>
      </c>
      <c r="M6" s="46">
        <f ca="1">$J$6-EFEITO!$K$6*EFEITO!$Y$6</f>
        <v>0</v>
      </c>
      <c r="N6" s="46">
        <f ca="1">$K$6-EFEITO!$M$6*EFEITO!$Z$6</f>
        <v>0</v>
      </c>
      <c r="O6" s="46">
        <f>$L$6-EFEITO!$O$6*EFEITO!$AA$6</f>
        <v>0</v>
      </c>
      <c r="P6" s="38"/>
      <c r="Q6" s="46" t="s">
        <v>43</v>
      </c>
      <c r="R6" s="46">
        <f ca="1">SUMIF($B$2:$B$2102,$Q$6,$J$2:$J$2102)</f>
        <v>249108.29873827734</v>
      </c>
      <c r="S6" s="46">
        <f ca="1">SUMIF($B$2:$B$2102,$Q$6,$K$2:$K$2102)</f>
        <v>441874.1663764944</v>
      </c>
      <c r="T6" s="46">
        <f>SUMIF($B$2:$B$2102,$Q$6,$L$2:$L$2102)</f>
        <v>445522.10206003755</v>
      </c>
      <c r="U6" s="46">
        <f ca="1">SUMIF($B$2:$B$2102,$Q$6,$M$2:$M$2102)</f>
        <v>766.47366879779622</v>
      </c>
      <c r="V6" s="46">
        <f ca="1">SUMIF($B$2:$B$2102,$Q$6,$N$2:$N$2102)</f>
        <v>1119.4238537796123</v>
      </c>
      <c r="W6" s="46">
        <f>SUMIF($B$2:$B$2102,$Q$6,$O$2:$O$2102)</f>
        <v>1677.9029642950777</v>
      </c>
      <c r="X6" s="36">
        <f ca="1">$R$6-$U$6</f>
        <v>248341.82506947956</v>
      </c>
      <c r="Y6" s="36">
        <f ca="1">$S$6-$V$6</f>
        <v>440754.74252271478</v>
      </c>
      <c r="Z6" s="36">
        <f>$T$6-$W$6</f>
        <v>443844.19909574249</v>
      </c>
      <c r="AA6" s="36">
        <f ca="1">SUMIF(EFEITO!$B$2:$B$2102,$Q$6,EFEITO!$AE$2:$AE$2102)</f>
        <v>248341.82506947962</v>
      </c>
      <c r="AB6" s="36">
        <f ca="1">SUMIF(EFEITO!$B$2:$B$2102,$Q$6,EFEITO!$AF$2:$AF$2102)</f>
        <v>440754.74252271483</v>
      </c>
      <c r="AC6" s="36">
        <f>SUMIF(EFEITO!$B$2:$B$2102,$Q$6,EFEITO!$AG$2:$AH$2102)</f>
        <v>443844.19909574249</v>
      </c>
      <c r="AD6" s="36">
        <f ca="1">SUMIF(SUBSIDIO!$B$2:$B$2102,$Q$6,SUBSIDIO!$AD$2:$AD$2102)</f>
        <v>766.47366879779361</v>
      </c>
      <c r="AE6" s="36">
        <f ca="1">SUMIF(SUBSIDIO!$B$2:$B$2102,$Q$6,SUBSIDIO!$AE$2:$AE$2102)</f>
        <v>2797.3268180746895</v>
      </c>
      <c r="AF6" s="36" t="str">
        <f ca="1">IF(ABS($X$6-$AA$6)&lt;0.01,"OK","ERRO")</f>
        <v>OK</v>
      </c>
      <c r="AG6" s="36" t="str">
        <f ca="1">IF(ABS($Y$6-$AB$6)&lt;0.01,"OK","ERRO")</f>
        <v>OK</v>
      </c>
      <c r="AH6" s="36" t="str">
        <f>IF(ABS($Z$6-$AC$6)&lt;0.01,"OK","ERRO")</f>
        <v>OK</v>
      </c>
      <c r="AI6" s="36" t="str">
        <f ca="1">IF(ABS($U$6-$AD$6)&lt;0.01,"OK","ERRO")</f>
        <v>OK</v>
      </c>
      <c r="AJ6" s="36" t="str">
        <f ca="1">IF(ABS(($V$6+$W$6)-$AE$6)&lt;0.01,"OK","ERRO")</f>
        <v>OK</v>
      </c>
    </row>
    <row r="7" spans="1:40" ht="11.25" customHeight="1" x14ac:dyDescent="0.2">
      <c r="A7" s="35" t="s">
        <v>21</v>
      </c>
      <c r="B7" s="35" t="s">
        <v>43</v>
      </c>
      <c r="C7" s="35" t="s">
        <v>42</v>
      </c>
      <c r="D7" s="35" t="s">
        <v>45</v>
      </c>
      <c r="E7" s="35" t="s">
        <v>25</v>
      </c>
      <c r="F7" s="35" t="s">
        <v>25</v>
      </c>
      <c r="G7" s="35" t="s">
        <v>25</v>
      </c>
      <c r="H7" s="35" t="s">
        <v>36</v>
      </c>
      <c r="I7" s="45">
        <v>44531</v>
      </c>
      <c r="J7" s="46">
        <f ca="1">EFEITO!$J$7*EFEITO!$Y$7</f>
        <v>1689.2573294443403</v>
      </c>
      <c r="K7" s="46">
        <f ca="1">EFEITO!$L$7*EFEITO!$Z$7</f>
        <v>0</v>
      </c>
      <c r="L7" s="46">
        <f>EFEITO!$N$7*EFEITO!$AA$7</f>
        <v>0</v>
      </c>
      <c r="M7" s="46">
        <f ca="1">$J$7-EFEITO!$K$7*EFEITO!$Y$7</f>
        <v>0</v>
      </c>
      <c r="N7" s="46">
        <f ca="1">$K$7-EFEITO!$M$7*EFEITO!$Z$7</f>
        <v>0</v>
      </c>
      <c r="O7" s="46">
        <f>$L$7-EFEITO!$O$7*EFEITO!$AA$7</f>
        <v>0</v>
      </c>
      <c r="P7" s="38"/>
      <c r="Q7" s="46" t="s">
        <v>41</v>
      </c>
      <c r="R7" s="46">
        <f ca="1">SUMIF($B$2:$B$2102,$Q$7,$J$2:$J$2102)</f>
        <v>34315935.859841026</v>
      </c>
      <c r="S7" s="46">
        <f ca="1">SUMIF($B$2:$B$2102,$Q$7,$K$2:$K$2102)</f>
        <v>53184009.988399625</v>
      </c>
      <c r="T7" s="46">
        <f>SUMIF($B$2:$B$2102,$Q$7,$L$2:$L$2102)</f>
        <v>50596315.272704802</v>
      </c>
      <c r="U7" s="46">
        <f ca="1">SUMIF($B$2:$B$2102,$Q$7,$M$2:$M$2102)</f>
        <v>3585626.6718010171</v>
      </c>
      <c r="V7" s="46">
        <f ca="1">SUMIF($B$2:$B$2102,$Q$7,$N$2:$N$2102)</f>
        <v>2859465.6575947176</v>
      </c>
      <c r="W7" s="46">
        <f>SUMIF($B$2:$B$2102,$Q$7,$O$2:$O$2102)</f>
        <v>296011.94865389372</v>
      </c>
      <c r="X7" s="36">
        <f ca="1">$R$7-$U$7</f>
        <v>30730309.188040011</v>
      </c>
      <c r="Y7" s="36">
        <f ca="1">$S$7-$V$7</f>
        <v>50324544.330804907</v>
      </c>
      <c r="Z7" s="36">
        <f>$T$7-$W$7</f>
        <v>50300303.324050911</v>
      </c>
      <c r="AA7" s="36">
        <f ca="1">SUMIF(EFEITO!$B$2:$B$2102,$Q$7,EFEITO!$AE$2:$AE$2102)</f>
        <v>30730309.188039977</v>
      </c>
      <c r="AB7" s="36">
        <f ca="1">SUMIF(EFEITO!$B$2:$B$2102,$Q$7,EFEITO!$AF$2:$AF$2102)</f>
        <v>50324544.330804899</v>
      </c>
      <c r="AC7" s="36">
        <f>SUMIF(EFEITO!$B$2:$B$2102,$Q$7,EFEITO!$AG$2:$AH$2102)</f>
        <v>50300303.324050866</v>
      </c>
      <c r="AD7" s="36">
        <f ca="1">SUMIF(SUBSIDIO!$B$2:$B$2102,$Q$7,SUBSIDIO!$AD$2:$AD$2102)</f>
        <v>3585626.6718010157</v>
      </c>
      <c r="AE7" s="36">
        <f ca="1">SUMIF(SUBSIDIO!$B$2:$B$2102,$Q$7,SUBSIDIO!$AE$2:$AE$2102)</f>
        <v>3155477.6062486116</v>
      </c>
      <c r="AF7" s="36" t="str">
        <f ca="1">IF(ABS($X$7-$AA$7)&lt;0.01,"OK","ERRO")</f>
        <v>OK</v>
      </c>
      <c r="AG7" s="36" t="str">
        <f ca="1">IF(ABS($Y$7-$AB$7)&lt;0.01,"OK","ERRO")</f>
        <v>OK</v>
      </c>
      <c r="AH7" s="36" t="str">
        <f>IF(ABS($Z$7-$AC$7)&lt;0.01,"OK","ERRO")</f>
        <v>OK</v>
      </c>
      <c r="AI7" s="36" t="str">
        <f ca="1">IF(ABS($U$7-$AD$7)&lt;0.01,"OK","ERRO")</f>
        <v>OK</v>
      </c>
      <c r="AJ7" s="36" t="str">
        <f ca="1">IF(ABS(($V$7+$W$7)-$AE$7)&lt;0.01,"OK","ERRO")</f>
        <v>OK</v>
      </c>
    </row>
    <row r="8" spans="1:40" ht="11.25" customHeight="1" x14ac:dyDescent="0.2">
      <c r="A8" s="35" t="s">
        <v>21</v>
      </c>
      <c r="B8" s="35" t="s">
        <v>43</v>
      </c>
      <c r="C8" s="35" t="s">
        <v>42</v>
      </c>
      <c r="D8" s="35" t="s">
        <v>45</v>
      </c>
      <c r="E8" s="35" t="s">
        <v>25</v>
      </c>
      <c r="F8" s="35" t="s">
        <v>25</v>
      </c>
      <c r="G8" s="35" t="s">
        <v>25</v>
      </c>
      <c r="H8" s="35" t="s">
        <v>36</v>
      </c>
      <c r="I8" s="45">
        <v>44562</v>
      </c>
      <c r="J8" s="46">
        <f ca="1">EFEITO!$J$8*EFEITO!$Y$8</f>
        <v>1689.2573294443403</v>
      </c>
      <c r="K8" s="46">
        <f ca="1">EFEITO!$L$8*EFEITO!$Z$8</f>
        <v>0</v>
      </c>
      <c r="L8" s="46">
        <f>EFEITO!$N$8*EFEITO!$AA$8</f>
        <v>0</v>
      </c>
      <c r="M8" s="46">
        <f ca="1">$J$8-EFEITO!$K$8*EFEITO!$Y$8</f>
        <v>0</v>
      </c>
      <c r="N8" s="46">
        <f ca="1">$K$8-EFEITO!$M$8*EFEITO!$Z$8</f>
        <v>0</v>
      </c>
      <c r="O8" s="46">
        <f>$L$8-EFEITO!$O$8*EFEITO!$AA$8</f>
        <v>0</v>
      </c>
      <c r="P8" s="38"/>
      <c r="Q8" s="46" t="s">
        <v>868</v>
      </c>
      <c r="R8" s="46">
        <f>SUMIF($B$2:$B$2102,$Q$8,$J$2:$J$2102)</f>
        <v>0</v>
      </c>
      <c r="S8" s="46">
        <f>SUMIF($B$2:$B$2102,$Q$8,$K$2:$K$2102)</f>
        <v>0</v>
      </c>
      <c r="T8" s="46">
        <f>SUMIF($B$2:$B$2102,$Q$8,$L$2:$L$2102)</f>
        <v>0</v>
      </c>
      <c r="U8" s="46">
        <f>SUMIF($B$2:$B$2102,$Q$8,$M$2:$M$2102)</f>
        <v>0</v>
      </c>
      <c r="V8" s="46">
        <f>SUMIF($B$2:$B$2102,$Q$8,$N$2:$N$2102)</f>
        <v>0</v>
      </c>
      <c r="W8" s="46">
        <f>SUMIF($B$2:$B$2102,$Q$8,$O$2:$O$2102)</f>
        <v>0</v>
      </c>
      <c r="X8" s="36">
        <f>$R$8-$U$8</f>
        <v>0</v>
      </c>
      <c r="Y8" s="36">
        <f>$S$8-$V$8</f>
        <v>0</v>
      </c>
      <c r="Z8" s="36">
        <f>$T$8-$W$8</f>
        <v>0</v>
      </c>
      <c r="AA8" s="36">
        <f>SUMIF(EFEITO!$B$2:$B$2102,$Q$8,EFEITO!$AE$2:$AE$2102)</f>
        <v>0</v>
      </c>
      <c r="AB8" s="36">
        <f>SUMIF(EFEITO!$B$2:$B$2102,$Q$8,EFEITO!$AF$2:$AF$2102)</f>
        <v>0</v>
      </c>
      <c r="AC8" s="36">
        <f>SUMIF(EFEITO!$B$2:$B$2102,$Q$8,EFEITO!$AG$2:$AH$2102)</f>
        <v>0</v>
      </c>
      <c r="AD8" s="36">
        <f>SUMIF(SUBSIDIO!$B$2:$B$2102,$Q$8,SUBSIDIO!$AD$2:$AD$2102)</f>
        <v>0</v>
      </c>
      <c r="AE8" s="36">
        <f>SUMIF(SUBSIDIO!$B$2:$B$2102,$Q$8,SUBSIDIO!$AE$2:$AE$2102)</f>
        <v>0</v>
      </c>
      <c r="AF8" s="36" t="str">
        <f>IF(ABS($X$8-$AA$8)&lt;0.01,"OK","ERRO")</f>
        <v>OK</v>
      </c>
      <c r="AG8" s="36" t="str">
        <f>IF(ABS($Y$8-$AB$8)&lt;0.01,"OK","ERRO")</f>
        <v>OK</v>
      </c>
      <c r="AH8" s="36" t="str">
        <f>IF(ABS($Z$8-$AC$8)&lt;0.01,"OK","ERRO")</f>
        <v>OK</v>
      </c>
      <c r="AI8" s="36" t="str">
        <f>IF(ABS($U$8-$AD$8)&lt;0.01,"OK","ERRO")</f>
        <v>OK</v>
      </c>
      <c r="AJ8" s="36" t="str">
        <f>IF(ABS(($V$8+$W$8)-$AE$8)&lt;0.01,"OK","ERRO")</f>
        <v>OK</v>
      </c>
    </row>
    <row r="9" spans="1:40" ht="11.25" customHeight="1" x14ac:dyDescent="0.2">
      <c r="A9" s="35" t="s">
        <v>21</v>
      </c>
      <c r="B9" s="35" t="s">
        <v>43</v>
      </c>
      <c r="C9" s="35" t="s">
        <v>42</v>
      </c>
      <c r="D9" s="35" t="s">
        <v>45</v>
      </c>
      <c r="E9" s="35" t="s">
        <v>25</v>
      </c>
      <c r="F9" s="35" t="s">
        <v>25</v>
      </c>
      <c r="G9" s="35" t="s">
        <v>25</v>
      </c>
      <c r="H9" s="35" t="s">
        <v>36</v>
      </c>
      <c r="I9" s="45">
        <v>44593</v>
      </c>
      <c r="J9" s="46">
        <f ca="1">EFEITO!$J$9*EFEITO!$Y$9</f>
        <v>1689.2573294443403</v>
      </c>
      <c r="K9" s="46">
        <f ca="1">EFEITO!$L$9*EFEITO!$Z$9</f>
        <v>0</v>
      </c>
      <c r="L9" s="46">
        <f>EFEITO!$N$9*EFEITO!$AA$9</f>
        <v>0</v>
      </c>
      <c r="M9" s="46">
        <f ca="1">$J$9-EFEITO!$K$9*EFEITO!$Y$9</f>
        <v>0</v>
      </c>
      <c r="N9" s="46">
        <f ca="1">$K$9-EFEITO!$M$9*EFEITO!$Z$9</f>
        <v>0</v>
      </c>
      <c r="O9" s="46">
        <f>$L$9-EFEITO!$O$9*EFEITO!$AA$9</f>
        <v>0</v>
      </c>
      <c r="P9" s="38"/>
      <c r="Q9" s="46" t="s">
        <v>22</v>
      </c>
      <c r="R9" s="46">
        <f>SUMIF($B$2:$B$2102,$Q$9,$J$2:$J$2102)</f>
        <v>0</v>
      </c>
      <c r="S9" s="46">
        <f ca="1">SUMIF($B$2:$B$2102,$Q$9,$K$2:$K$2102)</f>
        <v>272473650.57858771</v>
      </c>
      <c r="T9" s="46">
        <f>SUMIF($B$2:$B$2102,$Q$9,$L$2:$L$2102)</f>
        <v>129699469.10070464</v>
      </c>
      <c r="U9" s="46">
        <f>SUMIF($B$2:$B$2102,$Q$9,$M$2:$M$2102)</f>
        <v>0</v>
      </c>
      <c r="V9" s="46">
        <f ca="1">SUMIF($B$2:$B$2102,$Q$9,$N$2:$N$2102)</f>
        <v>15117650.868265692</v>
      </c>
      <c r="W9" s="46">
        <f>SUMIF($B$2:$B$2102,$Q$9,$O$2:$O$2102)</f>
        <v>8299823.4834768157</v>
      </c>
      <c r="X9" s="36">
        <f>$R$9-$U$9</f>
        <v>0</v>
      </c>
      <c r="Y9" s="36">
        <f ca="1">$S$9-$V$9</f>
        <v>257355999.71032202</v>
      </c>
      <c r="Z9" s="36">
        <f>$T$9-$W$9</f>
        <v>121399645.61722782</v>
      </c>
      <c r="AA9" s="36">
        <f>SUMIF(EFEITO!$B$2:$B$2102,$Q$9,EFEITO!$AE$2:$AE$2102)</f>
        <v>0</v>
      </c>
      <c r="AB9" s="36">
        <f ca="1">SUMIF(EFEITO!$B$2:$B$2102,$Q$9,EFEITO!$AF$2:$AF$2102)</f>
        <v>257355999.71032256</v>
      </c>
      <c r="AC9" s="36">
        <f>SUMIF(EFEITO!$B$2:$B$2102,$Q$9,EFEITO!$AG$2:$AH$2102)</f>
        <v>121399645.61722808</v>
      </c>
      <c r="AD9" s="36">
        <f>SUMIF(SUBSIDIO!$B$2:$B$2102,$Q$9,SUBSIDIO!$AD$2:$AD$2102)</f>
        <v>0</v>
      </c>
      <c r="AE9" s="36">
        <f ca="1">SUMIF(SUBSIDIO!$B$2:$B$2102,$Q$9,SUBSIDIO!$AE$2:$AE$2102)</f>
        <v>23417474.351742506</v>
      </c>
      <c r="AF9" s="36" t="str">
        <f>IF(ABS($X$9-$AA$9)&lt;0.01,"OK","ERRO")</f>
        <v>OK</v>
      </c>
      <c r="AG9" s="36" t="str">
        <f ca="1">IF(ABS($Y$9-$AB$9)&lt;0.01,"OK","ERRO")</f>
        <v>OK</v>
      </c>
      <c r="AH9" s="36" t="str">
        <f>IF(ABS($Z$9-$AC$9)&lt;0.01,"OK","ERRO")</f>
        <v>OK</v>
      </c>
      <c r="AI9" s="36" t="str">
        <f>IF(ABS($U$9-$AD$9)&lt;0.01,"OK","ERRO")</f>
        <v>OK</v>
      </c>
      <c r="AJ9" s="36" t="str">
        <f ca="1">IF(ABS(($V$9+$W$9)-$AE$9)&lt;0.01,"OK","ERRO")</f>
        <v>OK</v>
      </c>
    </row>
    <row r="10" spans="1:40" ht="11.25" customHeight="1" x14ac:dyDescent="0.2">
      <c r="A10" s="35" t="s">
        <v>21</v>
      </c>
      <c r="B10" s="35" t="s">
        <v>43</v>
      </c>
      <c r="C10" s="35" t="s">
        <v>42</v>
      </c>
      <c r="D10" s="35" t="s">
        <v>45</v>
      </c>
      <c r="E10" s="35" t="s">
        <v>25</v>
      </c>
      <c r="F10" s="35" t="s">
        <v>25</v>
      </c>
      <c r="G10" s="35" t="s">
        <v>25</v>
      </c>
      <c r="H10" s="35" t="s">
        <v>36</v>
      </c>
      <c r="I10" s="45">
        <v>44621</v>
      </c>
      <c r="J10" s="46">
        <f ca="1">EFEITO!$J$10*EFEITO!$Y$10</f>
        <v>1689.2573294443403</v>
      </c>
      <c r="K10" s="46">
        <f ca="1">EFEITO!$L$10*EFEITO!$Z$10</f>
        <v>0</v>
      </c>
      <c r="L10" s="46">
        <f>EFEITO!$N$10*EFEITO!$AA$10</f>
        <v>0</v>
      </c>
      <c r="M10" s="46">
        <f ca="1">$J$10-EFEITO!$K$10*EFEITO!$Y$10</f>
        <v>0</v>
      </c>
      <c r="N10" s="46">
        <f ca="1">$K$10-EFEITO!$M$10*EFEITO!$Z$10</f>
        <v>0</v>
      </c>
      <c r="O10" s="46">
        <f>$L$10-EFEITO!$O$10*EFEITO!$AA$10</f>
        <v>0</v>
      </c>
      <c r="P10" s="38"/>
      <c r="Q10" s="46" t="s">
        <v>46</v>
      </c>
      <c r="R10" s="46">
        <f>SUMIF($B$2:$B$2102,$Q$10,$J$2:$J$2102)</f>
        <v>0</v>
      </c>
      <c r="S10" s="46">
        <f ca="1">SUMIF($B$2:$B$2102,$Q$10,$K$2:$K$2102)</f>
        <v>23053976.089727759</v>
      </c>
      <c r="T10" s="46">
        <f>SUMIF($B$2:$B$2102,$Q$10,$L$2:$L$2102)</f>
        <v>10592198.139032697</v>
      </c>
      <c r="U10" s="46">
        <f>SUMIF($B$2:$B$2102,$Q$10,$M$2:$M$2102)</f>
        <v>0</v>
      </c>
      <c r="V10" s="46">
        <f ca="1">SUMIF($B$2:$B$2102,$Q$10,$N$2:$N$2102)</f>
        <v>1405334.828111127</v>
      </c>
      <c r="W10" s="46">
        <f>SUMIF($B$2:$B$2102,$Q$10,$O$2:$O$2102)</f>
        <v>645681.2488925925</v>
      </c>
      <c r="X10" s="36">
        <f>$R$10-$U$10</f>
        <v>0</v>
      </c>
      <c r="Y10" s="36">
        <f ca="1">$S$10-$V$10</f>
        <v>21648641.261616632</v>
      </c>
      <c r="Z10" s="36">
        <f>$T$10-$W$10</f>
        <v>9946516.890140105</v>
      </c>
      <c r="AA10" s="36">
        <f>SUMIF(EFEITO!$B$2:$B$2102,$Q$10,EFEITO!$AE$2:$AE$2102)</f>
        <v>0</v>
      </c>
      <c r="AB10" s="36">
        <f ca="1">SUMIF(EFEITO!$B$2:$B$2102,$Q$10,EFEITO!$AF$2:$AF$2102)</f>
        <v>21648641.261616606</v>
      </c>
      <c r="AC10" s="36">
        <f>SUMIF(EFEITO!$B$2:$B$2102,$Q$10,EFEITO!$AG$2:$AH$2102)</f>
        <v>9946516.890140105</v>
      </c>
      <c r="AD10" s="36">
        <f>SUMIF(SUBSIDIO!$B$2:$B$2102,$Q$10,SUBSIDIO!$AD$2:$AD$2102)</f>
        <v>0</v>
      </c>
      <c r="AE10" s="36">
        <f ca="1">SUMIF(SUBSIDIO!$B$2:$B$2102,$Q$10,SUBSIDIO!$AE$2:$AE$2102)</f>
        <v>2051016.0770037184</v>
      </c>
      <c r="AF10" s="36" t="str">
        <f>IF(ABS($X$10-$AA$10)&lt;0.01,"OK","ERRO")</f>
        <v>OK</v>
      </c>
      <c r="AG10" s="36" t="str">
        <f ca="1">IF(ABS($Y$10-$AB$10)&lt;0.01,"OK","ERRO")</f>
        <v>OK</v>
      </c>
      <c r="AH10" s="36" t="str">
        <f>IF(ABS($Z$10-$AC$10)&lt;0.01,"OK","ERRO")</f>
        <v>OK</v>
      </c>
      <c r="AI10" s="36" t="str">
        <f>IF(ABS($U$10-$AD$10)&lt;0.01,"OK","ERRO")</f>
        <v>OK</v>
      </c>
      <c r="AJ10" s="36" t="str">
        <f ca="1">IF(ABS(($V$10+$W$10)-$AE$10)&lt;0.01,"OK","ERRO")</f>
        <v>OK</v>
      </c>
    </row>
    <row r="11" spans="1:40" ht="11.25" customHeight="1" x14ac:dyDescent="0.2">
      <c r="A11" s="35" t="s">
        <v>21</v>
      </c>
      <c r="B11" s="35" t="s">
        <v>43</v>
      </c>
      <c r="C11" s="35" t="s">
        <v>42</v>
      </c>
      <c r="D11" s="35" t="s">
        <v>45</v>
      </c>
      <c r="E11" s="35" t="s">
        <v>25</v>
      </c>
      <c r="F11" s="35" t="s">
        <v>25</v>
      </c>
      <c r="G11" s="35" t="s">
        <v>25</v>
      </c>
      <c r="H11" s="35" t="s">
        <v>36</v>
      </c>
      <c r="I11" s="45">
        <v>44652</v>
      </c>
      <c r="J11" s="46">
        <f ca="1">EFEITO!$J$11*EFEITO!$Y$11</f>
        <v>1689.2573294443403</v>
      </c>
      <c r="K11" s="46">
        <f ca="1">EFEITO!$L$11*EFEITO!$Z$11</f>
        <v>0</v>
      </c>
      <c r="L11" s="46">
        <f>EFEITO!$N$11*EFEITO!$AA$11</f>
        <v>0</v>
      </c>
      <c r="M11" s="46">
        <f ca="1">$J$11-EFEITO!$K$11*EFEITO!$Y$11</f>
        <v>0</v>
      </c>
      <c r="N11" s="46">
        <f ca="1">$K$11-EFEITO!$M$11*EFEITO!$Z$11</f>
        <v>0</v>
      </c>
      <c r="O11" s="46">
        <f>$L$11-EFEITO!$O$11*EFEITO!$AA$11</f>
        <v>0</v>
      </c>
      <c r="P11" s="38"/>
      <c r="Q11" s="46" t="s">
        <v>39</v>
      </c>
      <c r="R11" s="46">
        <f>SUMIF($B$2:$B$2102,$Q$11,$J$2:$J$2102)</f>
        <v>0</v>
      </c>
      <c r="S11" s="46">
        <f ca="1">SUMIF($B$2:$B$2102,$Q$11,$K$2:$K$2102)</f>
        <v>105964449.30224074</v>
      </c>
      <c r="T11" s="46">
        <f>SUMIF($B$2:$B$2102,$Q$11,$L$2:$L$2102)</f>
        <v>48696869.058751136</v>
      </c>
      <c r="U11" s="46">
        <f>SUMIF($B$2:$B$2102,$Q$11,$M$2:$M$2102)</f>
        <v>0</v>
      </c>
      <c r="V11" s="46">
        <f ca="1">SUMIF($B$2:$B$2102,$Q$11,$N$2:$N$2102)</f>
        <v>140710.33286619638</v>
      </c>
      <c r="W11" s="46">
        <f>SUMIF($B$2:$B$2102,$Q$11,$O$2:$O$2102)</f>
        <v>64631.739723264283</v>
      </c>
      <c r="X11" s="36">
        <f>$R$11-$U$11</f>
        <v>0</v>
      </c>
      <c r="Y11" s="36">
        <f ca="1">$S$11-$V$11</f>
        <v>105823738.96937455</v>
      </c>
      <c r="Z11" s="36">
        <f>$T$11-$W$11</f>
        <v>48632237.319027871</v>
      </c>
      <c r="AA11" s="36">
        <f>SUMIF(EFEITO!$B$2:$B$2102,$Q$11,EFEITO!$AE$2:$AE$2102)</f>
        <v>0</v>
      </c>
      <c r="AB11" s="36">
        <f ca="1">SUMIF(EFEITO!$B$2:$B$2102,$Q$11,EFEITO!$AF$2:$AF$2102)</f>
        <v>105823738.96937457</v>
      </c>
      <c r="AC11" s="36">
        <f>SUMIF(EFEITO!$B$2:$B$2102,$Q$11,EFEITO!$AG$2:$AH$2102)</f>
        <v>48632237.319027871</v>
      </c>
      <c r="AD11" s="36">
        <f>SUMIF(SUBSIDIO!$B$2:$B$2102,$Q$11,SUBSIDIO!$AD$2:$AD$2102)</f>
        <v>0</v>
      </c>
      <c r="AE11" s="36">
        <f ca="1">SUMIF(SUBSIDIO!$B$2:$B$2102,$Q$11,SUBSIDIO!$AE$2:$AE$2102)</f>
        <v>205342.07258946082</v>
      </c>
      <c r="AF11" s="36" t="str">
        <f>IF(ABS($X$11-$AA$11)&lt;0.01,"OK","ERRO")</f>
        <v>OK</v>
      </c>
      <c r="AG11" s="36" t="str">
        <f ca="1">IF(ABS($Y$11-$AB$11)&lt;0.01,"OK","ERRO")</f>
        <v>OK</v>
      </c>
      <c r="AH11" s="36" t="str">
        <f>IF(ABS($Z$11-$AC$11)&lt;0.01,"OK","ERRO")</f>
        <v>OK</v>
      </c>
      <c r="AI11" s="36" t="str">
        <f>IF(ABS($U$11-$AD$11)&lt;0.01,"OK","ERRO")</f>
        <v>OK</v>
      </c>
      <c r="AJ11" s="36" t="str">
        <f ca="1">IF(ABS(($V$11+$W$11)-$AE$11)&lt;0.01,"OK","ERRO")</f>
        <v>OK</v>
      </c>
    </row>
    <row r="12" spans="1:40" ht="11.25" customHeight="1" x14ac:dyDescent="0.2">
      <c r="A12" s="35" t="s">
        <v>21</v>
      </c>
      <c r="B12" s="35" t="s">
        <v>43</v>
      </c>
      <c r="C12" s="35" t="s">
        <v>44</v>
      </c>
      <c r="D12" s="35" t="s">
        <v>45</v>
      </c>
      <c r="E12" s="35" t="s">
        <v>25</v>
      </c>
      <c r="F12" s="35" t="s">
        <v>25</v>
      </c>
      <c r="G12" s="35" t="s">
        <v>25</v>
      </c>
      <c r="H12" s="35" t="s">
        <v>37</v>
      </c>
      <c r="I12" s="45">
        <v>44531</v>
      </c>
      <c r="J12" s="46">
        <f>EFEITO!$J$12*EFEITO!$Y$12</f>
        <v>0</v>
      </c>
      <c r="K12" s="46">
        <f ca="1">EFEITO!$L$12*EFEITO!$Z$12</f>
        <v>1662.6747190734695</v>
      </c>
      <c r="L12" s="46">
        <f>EFEITO!$N$12*EFEITO!$AA$12</f>
        <v>3205.4910015644982</v>
      </c>
      <c r="M12" s="46">
        <f>$J$12-EFEITO!$K$12*EFEITO!$Y$12</f>
        <v>0</v>
      </c>
      <c r="N12" s="46">
        <f ca="1">$K$12-EFEITO!$M$12*EFEITO!$Z$12</f>
        <v>0</v>
      </c>
      <c r="O12" s="46">
        <f>$L$12-EFEITO!$O$12*EFEITO!$AA$12</f>
        <v>0</v>
      </c>
      <c r="P12" s="38"/>
      <c r="Q12" s="46" t="s">
        <v>49</v>
      </c>
      <c r="R12" s="46">
        <f>SUMIF($B$2:$B$2102,$Q$12,$J$2:$J$2102)</f>
        <v>0</v>
      </c>
      <c r="S12" s="46">
        <f ca="1">SUMIF($B$2:$B$2102,$Q$12,$K$2:$K$2102)</f>
        <v>13635693.672046615</v>
      </c>
      <c r="T12" s="46">
        <f>SUMIF($B$2:$B$2102,$Q$12,$L$2:$L$2102)</f>
        <v>6263211.7088083103</v>
      </c>
      <c r="U12" s="46">
        <f>SUMIF($B$2:$B$2102,$Q$12,$M$2:$M$2102)</f>
        <v>0</v>
      </c>
      <c r="V12" s="46">
        <f ca="1">SUMIF($B$2:$B$2102,$Q$12,$N$2:$N$2102)</f>
        <v>0</v>
      </c>
      <c r="W12" s="46">
        <f>SUMIF($B$2:$B$2102,$Q$12,$O$2:$O$2102)</f>
        <v>0</v>
      </c>
      <c r="X12" s="36">
        <f>$R$12-$U$12</f>
        <v>0</v>
      </c>
      <c r="Y12" s="36">
        <f ca="1">$S$12-$V$12</f>
        <v>13635693.672046615</v>
      </c>
      <c r="Z12" s="36">
        <f>$T$12-$W$12</f>
        <v>6263211.7088083103</v>
      </c>
      <c r="AA12" s="36">
        <f>SUMIF(EFEITO!$B$2:$B$2102,$Q$12,EFEITO!$AE$2:$AE$2102)</f>
        <v>0</v>
      </c>
      <c r="AB12" s="36">
        <f ca="1">SUMIF(EFEITO!$B$2:$B$2102,$Q$12,EFEITO!$AF$2:$AF$2102)</f>
        <v>13635693.672046615</v>
      </c>
      <c r="AC12" s="36">
        <f>SUMIF(EFEITO!$B$2:$B$2102,$Q$12,EFEITO!$AG$2:$AH$2102)</f>
        <v>6263211.7088083103</v>
      </c>
      <c r="AD12" s="36">
        <f>SUMIF(SUBSIDIO!$B$2:$B$2102,$Q$12,SUBSIDIO!$AD$2:$AD$2102)</f>
        <v>0</v>
      </c>
      <c r="AE12" s="36">
        <f>SUMIF(SUBSIDIO!$B$2:$B$2102,$Q$12,SUBSIDIO!$AE$2:$AE$2102)</f>
        <v>0</v>
      </c>
      <c r="AF12" s="36" t="str">
        <f>IF(ABS($X$12-$AA$12)&lt;0.01,"OK","ERRO")</f>
        <v>OK</v>
      </c>
      <c r="AG12" s="36" t="str">
        <f ca="1">IF(ABS($Y$12-$AB$12)&lt;0.01,"OK","ERRO")</f>
        <v>OK</v>
      </c>
      <c r="AH12" s="36" t="str">
        <f>IF(ABS($Z$12-$AC$12)&lt;0.01,"OK","ERRO")</f>
        <v>OK</v>
      </c>
      <c r="AI12" s="36" t="str">
        <f>IF(ABS($U$12-$AD$12)&lt;0.01,"OK","ERRO")</f>
        <v>OK</v>
      </c>
      <c r="AJ12" s="36" t="str">
        <f ca="1">IF(ABS(($V$12+$W$12)-$AE$12)&lt;0.01,"OK","ERRO")</f>
        <v>OK</v>
      </c>
    </row>
    <row r="13" spans="1:40" ht="11.25" customHeight="1" x14ac:dyDescent="0.2">
      <c r="A13" s="35" t="s">
        <v>21</v>
      </c>
      <c r="B13" s="35" t="s">
        <v>43</v>
      </c>
      <c r="C13" s="35" t="s">
        <v>44</v>
      </c>
      <c r="D13" s="35" t="s">
        <v>45</v>
      </c>
      <c r="E13" s="35" t="s">
        <v>25</v>
      </c>
      <c r="F13" s="35" t="s">
        <v>25</v>
      </c>
      <c r="G13" s="35" t="s">
        <v>25</v>
      </c>
      <c r="H13" s="35" t="s">
        <v>37</v>
      </c>
      <c r="I13" s="45">
        <v>44562</v>
      </c>
      <c r="J13" s="46">
        <f>EFEITO!$J$13*EFEITO!$Y$13</f>
        <v>0</v>
      </c>
      <c r="K13" s="46">
        <f ca="1">EFEITO!$L$13*EFEITO!$Z$13</f>
        <v>1232.4301284440746</v>
      </c>
      <c r="L13" s="46">
        <f>EFEITO!$N$13*EFEITO!$AA$13</f>
        <v>2376.0171736934285</v>
      </c>
      <c r="M13" s="46">
        <f>$J$13-EFEITO!$K$13*EFEITO!$Y$13</f>
        <v>0</v>
      </c>
      <c r="N13" s="46">
        <f ca="1">$K$13-EFEITO!$M$13*EFEITO!$Z$13</f>
        <v>0</v>
      </c>
      <c r="O13" s="46">
        <f>$L$13-EFEITO!$O$13*EFEITO!$AA$13</f>
        <v>0</v>
      </c>
      <c r="P13" s="38"/>
      <c r="Q13" s="46" t="s">
        <v>95</v>
      </c>
      <c r="R13" s="46">
        <f>SUMIF($B$2:$B$2102,$Q$13,$J$2:$J$2102)</f>
        <v>0</v>
      </c>
      <c r="S13" s="46">
        <f>SUMIF($B$2:$B$2102,$Q$13,$K$2:$K$2102)</f>
        <v>0</v>
      </c>
      <c r="T13" s="46">
        <f>SUMIF($B$2:$B$2102,$Q$13,$L$2:$L$2102)</f>
        <v>0</v>
      </c>
      <c r="U13" s="46">
        <f>SUMIF($B$2:$B$2102,$Q$13,$M$2:$M$2102)</f>
        <v>0</v>
      </c>
      <c r="V13" s="46">
        <f>SUMIF($B$2:$B$2102,$Q$13,$N$2:$N$2102)</f>
        <v>0</v>
      </c>
      <c r="W13" s="46">
        <f>SUMIF($B$2:$B$2102,$Q$13,$O$2:$O$2102)</f>
        <v>0</v>
      </c>
      <c r="X13" s="36">
        <f>$R$13-$U$13</f>
        <v>0</v>
      </c>
      <c r="Y13" s="36">
        <f>$S$13-$V$13</f>
        <v>0</v>
      </c>
      <c r="Z13" s="36">
        <f>$T$13-$W$13</f>
        <v>0</v>
      </c>
      <c r="AA13" s="36">
        <f>SUMIF(EFEITO!$B$2:$B$2102,$Q$13,EFEITO!$AE$2:$AE$2102)</f>
        <v>0</v>
      </c>
      <c r="AB13" s="36">
        <f>SUMIF(EFEITO!$B$2:$B$2102,$Q$13,EFEITO!$AF$2:$AF$2102)</f>
        <v>0</v>
      </c>
      <c r="AC13" s="36">
        <f>SUMIF(EFEITO!$B$2:$B$2102,$Q$13,EFEITO!$AG$2:$AH$2102)</f>
        <v>0</v>
      </c>
      <c r="AD13" s="36">
        <f>SUMIF(SUBSIDIO!$B$2:$B$2102,$Q$13,SUBSIDIO!$AD$2:$AD$2102)</f>
        <v>0</v>
      </c>
      <c r="AE13" s="36">
        <f>SUMIF(SUBSIDIO!$B$2:$B$2102,$Q$13,SUBSIDIO!$AE$2:$AE$2102)</f>
        <v>0</v>
      </c>
      <c r="AF13" s="36" t="str">
        <f>IF(ABS($X$13-$AA$13)&lt;0.01,"OK","ERRO")</f>
        <v>OK</v>
      </c>
      <c r="AG13" s="36" t="str">
        <f>IF(ABS($Y$13-$AB$13)&lt;0.01,"OK","ERRO")</f>
        <v>OK</v>
      </c>
      <c r="AH13" s="36" t="str">
        <f>IF(ABS($Z$13-$AC$13)&lt;0.01,"OK","ERRO")</f>
        <v>OK</v>
      </c>
      <c r="AI13" s="36" t="str">
        <f>IF(ABS($U$13-$AD$13)&lt;0.01,"OK","ERRO")</f>
        <v>OK</v>
      </c>
      <c r="AJ13" s="36" t="str">
        <f>IF(ABS(($V$13+$W$13)-$AE$13)&lt;0.01,"OK","ERRO")</f>
        <v>OK</v>
      </c>
    </row>
    <row r="14" spans="1:40" ht="11.25" customHeight="1" x14ac:dyDescent="0.2">
      <c r="A14" s="35" t="s">
        <v>21</v>
      </c>
      <c r="B14" s="35" t="s">
        <v>43</v>
      </c>
      <c r="C14" s="35" t="s">
        <v>44</v>
      </c>
      <c r="D14" s="35" t="s">
        <v>45</v>
      </c>
      <c r="E14" s="35" t="s">
        <v>25</v>
      </c>
      <c r="F14" s="35" t="s">
        <v>25</v>
      </c>
      <c r="G14" s="35" t="s">
        <v>25</v>
      </c>
      <c r="H14" s="35" t="s">
        <v>37</v>
      </c>
      <c r="I14" s="45">
        <v>44593</v>
      </c>
      <c r="J14" s="46">
        <f>EFEITO!$J$14*EFEITO!$Y$14</f>
        <v>0</v>
      </c>
      <c r="K14" s="46">
        <f ca="1">EFEITO!$L$14*EFEITO!$Z$14</f>
        <v>1044.5880398381485</v>
      </c>
      <c r="L14" s="46">
        <f>EFEITO!$N$14*EFEITO!$AA$14</f>
        <v>2013.8741051581023</v>
      </c>
      <c r="M14" s="46">
        <f>$J$14-EFEITO!$K$14*EFEITO!$Y$14</f>
        <v>0</v>
      </c>
      <c r="N14" s="46">
        <f ca="1">$K$14-EFEITO!$M$14*EFEITO!$Z$14</f>
        <v>0</v>
      </c>
      <c r="O14" s="46">
        <f>$L$14-EFEITO!$O$14*EFEITO!$AA$14</f>
        <v>0</v>
      </c>
      <c r="P14" s="38"/>
      <c r="Q14" s="38"/>
      <c r="R14" s="38"/>
      <c r="S14" s="38"/>
      <c r="T14" s="38"/>
      <c r="U14" s="38"/>
      <c r="V14" s="38"/>
      <c r="W14" s="38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</row>
    <row r="15" spans="1:40" ht="11.25" customHeight="1" x14ac:dyDescent="0.2">
      <c r="A15" s="35" t="s">
        <v>21</v>
      </c>
      <c r="B15" s="35" t="s">
        <v>43</v>
      </c>
      <c r="C15" s="35" t="s">
        <v>44</v>
      </c>
      <c r="D15" s="35" t="s">
        <v>45</v>
      </c>
      <c r="E15" s="35" t="s">
        <v>25</v>
      </c>
      <c r="F15" s="35" t="s">
        <v>25</v>
      </c>
      <c r="G15" s="35" t="s">
        <v>25</v>
      </c>
      <c r="H15" s="35" t="s">
        <v>37</v>
      </c>
      <c r="I15" s="45">
        <v>44621</v>
      </c>
      <c r="J15" s="46">
        <f>EFEITO!$J$15*EFEITO!$Y$15</f>
        <v>0</v>
      </c>
      <c r="K15" s="46">
        <f ca="1">EFEITO!$L$15*EFEITO!$Z$15</f>
        <v>830.99706589795585</v>
      </c>
      <c r="L15" s="46">
        <f>EFEITO!$N$15*EFEITO!$AA$15</f>
        <v>1602.0894444986704</v>
      </c>
      <c r="M15" s="46">
        <f>$J$15-EFEITO!$K$15*EFEITO!$Y$15</f>
        <v>0</v>
      </c>
      <c r="N15" s="46">
        <f ca="1">$K$15-EFEITO!$M$15*EFEITO!$Z$15</f>
        <v>0</v>
      </c>
      <c r="O15" s="46">
        <f>$L$15-EFEITO!$O$15*EFEITO!$AA$15</f>
        <v>0</v>
      </c>
      <c r="P15" s="38"/>
      <c r="Q15" s="38"/>
      <c r="R15" s="38"/>
      <c r="S15" s="38"/>
      <c r="T15" s="38"/>
      <c r="U15" s="38"/>
      <c r="V15" s="38"/>
      <c r="W15" s="38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</row>
    <row r="16" spans="1:40" ht="11.25" customHeight="1" x14ac:dyDescent="0.2">
      <c r="A16" s="35" t="s">
        <v>21</v>
      </c>
      <c r="B16" s="35" t="s">
        <v>43</v>
      </c>
      <c r="C16" s="35" t="s">
        <v>44</v>
      </c>
      <c r="D16" s="35" t="s">
        <v>45</v>
      </c>
      <c r="E16" s="35" t="s">
        <v>25</v>
      </c>
      <c r="F16" s="35" t="s">
        <v>25</v>
      </c>
      <c r="G16" s="35" t="s">
        <v>25</v>
      </c>
      <c r="H16" s="35" t="s">
        <v>37</v>
      </c>
      <c r="I16" s="45">
        <v>44652</v>
      </c>
      <c r="J16" s="46">
        <f>EFEITO!$J$16*EFEITO!$Y$16</f>
        <v>0</v>
      </c>
      <c r="K16" s="46">
        <f ca="1">EFEITO!$L$16*EFEITO!$Z$16</f>
        <v>1058.0863541763763</v>
      </c>
      <c r="L16" s="46">
        <f>EFEITO!$N$16*EFEITO!$AA$16</f>
        <v>2039.8976710733823</v>
      </c>
      <c r="M16" s="46">
        <f>$J$16-EFEITO!$K$16*EFEITO!$Y$16</f>
        <v>0</v>
      </c>
      <c r="N16" s="46">
        <f ca="1">$K$16-EFEITO!$M$16*EFEITO!$Z$16</f>
        <v>0</v>
      </c>
      <c r="O16" s="46">
        <f>$L$16-EFEITO!$O$16*EFEITO!$AA$16</f>
        <v>0</v>
      </c>
      <c r="P16" s="38"/>
      <c r="Q16" s="38"/>
      <c r="R16" s="38"/>
      <c r="S16" s="38"/>
      <c r="T16" s="38"/>
      <c r="U16" s="38"/>
      <c r="V16" s="38"/>
      <c r="W16" s="38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</row>
    <row r="17" spans="1:36" ht="11.25" customHeight="1" x14ac:dyDescent="0.2">
      <c r="A17" s="35" t="s">
        <v>21</v>
      </c>
      <c r="B17" s="35" t="s">
        <v>43</v>
      </c>
      <c r="C17" s="35" t="s">
        <v>44</v>
      </c>
      <c r="D17" s="35" t="s">
        <v>45</v>
      </c>
      <c r="E17" s="35" t="s">
        <v>25</v>
      </c>
      <c r="F17" s="35" t="s">
        <v>25</v>
      </c>
      <c r="G17" s="35" t="s">
        <v>25</v>
      </c>
      <c r="H17" s="35" t="s">
        <v>37</v>
      </c>
      <c r="I17" s="45">
        <v>44682</v>
      </c>
      <c r="J17" s="46">
        <f>EFEITO!$J$17*EFEITO!$Y$17</f>
        <v>0</v>
      </c>
      <c r="K17" s="46">
        <f ca="1">EFEITO!$L$17*EFEITO!$Z$17</f>
        <v>1253.8686276871424</v>
      </c>
      <c r="L17" s="46">
        <f>EFEITO!$N$17*EFEITO!$AA$17</f>
        <v>2417.3487195588732</v>
      </c>
      <c r="M17" s="46">
        <f>$J$17-EFEITO!$K$17*EFEITO!$Y$17</f>
        <v>0</v>
      </c>
      <c r="N17" s="46">
        <f ca="1">$K$17-EFEITO!$M$17*EFEITO!$Z$17</f>
        <v>0</v>
      </c>
      <c r="O17" s="46">
        <f>$L$17-EFEITO!$O$17*EFEITO!$AA$17</f>
        <v>0</v>
      </c>
      <c r="P17" s="38"/>
      <c r="Q17" s="38"/>
      <c r="R17" s="38"/>
      <c r="S17" s="38"/>
      <c r="T17" s="38"/>
      <c r="U17" s="38"/>
      <c r="V17" s="38"/>
      <c r="W17" s="38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</row>
    <row r="18" spans="1:36" ht="11.25" customHeight="1" x14ac:dyDescent="0.2">
      <c r="A18" s="35" t="s">
        <v>21</v>
      </c>
      <c r="B18" s="35" t="s">
        <v>43</v>
      </c>
      <c r="C18" s="35" t="s">
        <v>44</v>
      </c>
      <c r="D18" s="35" t="s">
        <v>45</v>
      </c>
      <c r="E18" s="35" t="s">
        <v>25</v>
      </c>
      <c r="F18" s="35" t="s">
        <v>25</v>
      </c>
      <c r="G18" s="35" t="s">
        <v>25</v>
      </c>
      <c r="H18" s="35" t="s">
        <v>37</v>
      </c>
      <c r="I18" s="45">
        <v>44713</v>
      </c>
      <c r="J18" s="46">
        <f>EFEITO!$J$18*EFEITO!$Y$18</f>
        <v>0</v>
      </c>
      <c r="K18" s="46">
        <f ca="1">EFEITO!$L$18*EFEITO!$Z$18</f>
        <v>1006.7020147207696</v>
      </c>
      <c r="L18" s="46">
        <f>EFEITO!$N$18*EFEITO!$AA$18</f>
        <v>1940.8331722530306</v>
      </c>
      <c r="M18" s="46">
        <f>$J$18-EFEITO!$K$18*EFEITO!$Y$18</f>
        <v>0</v>
      </c>
      <c r="N18" s="46">
        <f ca="1">$K$18-EFEITO!$M$18*EFEITO!$Z$18</f>
        <v>0</v>
      </c>
      <c r="O18" s="46">
        <f>$L$18-EFEITO!$O$18*EFEITO!$AA$18</f>
        <v>0</v>
      </c>
      <c r="P18" s="38"/>
      <c r="Q18" s="38"/>
      <c r="R18" s="38"/>
      <c r="S18" s="38"/>
      <c r="T18" s="38"/>
      <c r="U18" s="38"/>
      <c r="V18" s="38"/>
      <c r="W18" s="38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</row>
    <row r="19" spans="1:36" ht="11.25" customHeight="1" x14ac:dyDescent="0.2">
      <c r="A19" s="35" t="s">
        <v>21</v>
      </c>
      <c r="B19" s="35" t="s">
        <v>43</v>
      </c>
      <c r="C19" s="35" t="s">
        <v>44</v>
      </c>
      <c r="D19" s="35" t="s">
        <v>45</v>
      </c>
      <c r="E19" s="35" t="s">
        <v>25</v>
      </c>
      <c r="F19" s="35" t="s">
        <v>25</v>
      </c>
      <c r="G19" s="35" t="s">
        <v>25</v>
      </c>
      <c r="H19" s="35" t="s">
        <v>37</v>
      </c>
      <c r="I19" s="45">
        <v>44743</v>
      </c>
      <c r="J19" s="46">
        <f>EFEITO!$J$19*EFEITO!$Y$19</f>
        <v>0</v>
      </c>
      <c r="K19" s="46">
        <f ca="1">EFEITO!$L$19*EFEITO!$Z$19</f>
        <v>1998.0908156964908</v>
      </c>
      <c r="L19" s="46">
        <f>EFEITO!$N$19*EFEITO!$AA$19</f>
        <v>3852.1438117450289</v>
      </c>
      <c r="M19" s="46">
        <f>$J$19-EFEITO!$K$19*EFEITO!$Y$19</f>
        <v>0</v>
      </c>
      <c r="N19" s="46">
        <f ca="1">$K$19-EFEITO!$M$19*EFEITO!$Z$19</f>
        <v>0</v>
      </c>
      <c r="O19" s="46">
        <f>$L$19-EFEITO!$O$19*EFEITO!$AA$19</f>
        <v>0</v>
      </c>
      <c r="P19" s="38"/>
      <c r="Q19" s="38"/>
      <c r="R19" s="38"/>
      <c r="S19" s="38"/>
      <c r="T19" s="38"/>
      <c r="U19" s="38"/>
      <c r="V19" s="38"/>
      <c r="W19" s="38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</row>
    <row r="20" spans="1:36" ht="11.25" customHeight="1" x14ac:dyDescent="0.2">
      <c r="A20" s="35" t="s">
        <v>27</v>
      </c>
      <c r="B20" s="35" t="s">
        <v>43</v>
      </c>
      <c r="C20" s="35" t="s">
        <v>44</v>
      </c>
      <c r="D20" s="35" t="s">
        <v>45</v>
      </c>
      <c r="E20" s="35" t="s">
        <v>25</v>
      </c>
      <c r="F20" s="35" t="s">
        <v>25</v>
      </c>
      <c r="G20" s="35" t="s">
        <v>25</v>
      </c>
      <c r="H20" s="35" t="s">
        <v>37</v>
      </c>
      <c r="I20" s="45">
        <v>44743</v>
      </c>
      <c r="J20" s="46">
        <f>EFEITO!$J$20*EFEITO!$Y$20</f>
        <v>0</v>
      </c>
      <c r="K20" s="46">
        <f ca="1">EFEITO!$L$20*EFEITO!$Z$20</f>
        <v>-74.410875679642245</v>
      </c>
      <c r="L20" s="46">
        <f>EFEITO!$N$20*EFEITO!$AA$20</f>
        <v>-143.45764067582965</v>
      </c>
      <c r="M20" s="46">
        <f>$J$20-EFEITO!$K$20*EFEITO!$Y$20</f>
        <v>0</v>
      </c>
      <c r="N20" s="46">
        <f ca="1">$K$20-EFEITO!$M$20*EFEITO!$Z$20</f>
        <v>0</v>
      </c>
      <c r="O20" s="46">
        <f>$L$20-EFEITO!$O$20*EFEITO!$AA$20</f>
        <v>0</v>
      </c>
      <c r="P20" s="38"/>
      <c r="Q20" s="38"/>
      <c r="R20" s="38"/>
      <c r="S20" s="38"/>
      <c r="T20" s="38"/>
      <c r="U20" s="38"/>
      <c r="V20" s="38"/>
      <c r="W20" s="38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</row>
    <row r="21" spans="1:36" ht="11.25" customHeight="1" x14ac:dyDescent="0.2">
      <c r="A21" s="35" t="s">
        <v>21</v>
      </c>
      <c r="B21" s="35" t="s">
        <v>43</v>
      </c>
      <c r="C21" s="35" t="s">
        <v>44</v>
      </c>
      <c r="D21" s="35" t="s">
        <v>45</v>
      </c>
      <c r="E21" s="35" t="s">
        <v>25</v>
      </c>
      <c r="F21" s="35" t="s">
        <v>25</v>
      </c>
      <c r="G21" s="35" t="s">
        <v>25</v>
      </c>
      <c r="H21" s="35" t="s">
        <v>37</v>
      </c>
      <c r="I21" s="45">
        <v>44774</v>
      </c>
      <c r="J21" s="46">
        <f>EFEITO!$J$21*EFEITO!$Y$21</f>
        <v>0</v>
      </c>
      <c r="K21" s="46">
        <f ca="1">EFEITO!$L$21*EFEITO!$Z$21</f>
        <v>3007.2883171016388</v>
      </c>
      <c r="L21" s="46">
        <f>EFEITO!$N$21*EFEITO!$AA$21</f>
        <v>5797.7880634109688</v>
      </c>
      <c r="M21" s="46">
        <f>$J$21-EFEITO!$K$21*EFEITO!$Y$21</f>
        <v>0</v>
      </c>
      <c r="N21" s="46">
        <f ca="1">$K$21-EFEITO!$M$21*EFEITO!$Z$21</f>
        <v>0</v>
      </c>
      <c r="O21" s="46">
        <f>$L$21-EFEITO!$O$21*EFEITO!$AA$21</f>
        <v>0</v>
      </c>
      <c r="P21" s="38"/>
      <c r="Q21" s="38"/>
      <c r="R21" s="38"/>
      <c r="S21" s="38"/>
      <c r="T21" s="38"/>
      <c r="U21" s="38"/>
      <c r="V21" s="38"/>
      <c r="W21" s="38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</row>
    <row r="22" spans="1:36" ht="11.25" customHeight="1" x14ac:dyDescent="0.2">
      <c r="A22" s="35" t="s">
        <v>21</v>
      </c>
      <c r="B22" s="35" t="s">
        <v>43</v>
      </c>
      <c r="C22" s="35" t="s">
        <v>44</v>
      </c>
      <c r="D22" s="35" t="s">
        <v>45</v>
      </c>
      <c r="E22" s="35" t="s">
        <v>25</v>
      </c>
      <c r="F22" s="35" t="s">
        <v>25</v>
      </c>
      <c r="G22" s="35" t="s">
        <v>25</v>
      </c>
      <c r="H22" s="35" t="s">
        <v>37</v>
      </c>
      <c r="I22" s="45">
        <v>44805</v>
      </c>
      <c r="J22" s="46">
        <f>EFEITO!$J$22*EFEITO!$Y$22</f>
        <v>0</v>
      </c>
      <c r="K22" s="46">
        <f ca="1">EFEITO!$L$22*EFEITO!$Z$22</f>
        <v>2729.0415517934648</v>
      </c>
      <c r="L22" s="46">
        <f>EFEITO!$N$22*EFEITO!$AA$22</f>
        <v>5261.3527088716237</v>
      </c>
      <c r="M22" s="46">
        <f>$J$22-EFEITO!$K$22*EFEITO!$Y$22</f>
        <v>0</v>
      </c>
      <c r="N22" s="46">
        <f ca="1">$K$22-EFEITO!$M$22*EFEITO!$Z$22</f>
        <v>0</v>
      </c>
      <c r="O22" s="46">
        <f>$L$22-EFEITO!$O$22*EFEITO!$AA$22</f>
        <v>0</v>
      </c>
      <c r="P22" s="38"/>
      <c r="Q22" s="38"/>
      <c r="R22" s="38"/>
      <c r="S22" s="38"/>
      <c r="T22" s="38"/>
      <c r="U22" s="38"/>
      <c r="V22" s="38"/>
      <c r="W22" s="38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</row>
    <row r="23" spans="1:36" ht="11.25" customHeight="1" x14ac:dyDescent="0.2">
      <c r="A23" s="35" t="s">
        <v>21</v>
      </c>
      <c r="B23" s="35" t="s">
        <v>43</v>
      </c>
      <c r="C23" s="35" t="s">
        <v>44</v>
      </c>
      <c r="D23" s="35" t="s">
        <v>45</v>
      </c>
      <c r="E23" s="35" t="s">
        <v>25</v>
      </c>
      <c r="F23" s="35" t="s">
        <v>25</v>
      </c>
      <c r="G23" s="35" t="s">
        <v>25</v>
      </c>
      <c r="H23" s="35" t="s">
        <v>37</v>
      </c>
      <c r="I23" s="45">
        <v>44835</v>
      </c>
      <c r="J23" s="46">
        <f>EFEITO!$J$23*EFEITO!$Y$23</f>
        <v>0</v>
      </c>
      <c r="K23" s="46">
        <f ca="1">EFEITO!$L$23*EFEITO!$Z$23</f>
        <v>2777.70354213884</v>
      </c>
      <c r="L23" s="46">
        <f>EFEITO!$N$23*EFEITO!$AA$23</f>
        <v>5355.1687574233474</v>
      </c>
      <c r="M23" s="46">
        <f>$J$23-EFEITO!$K$23*EFEITO!$Y$23</f>
        <v>0</v>
      </c>
      <c r="N23" s="46">
        <f ca="1">$K$23-EFEITO!$M$23*EFEITO!$Z$23</f>
        <v>0</v>
      </c>
      <c r="O23" s="46">
        <f>$L$23-EFEITO!$O$23*EFEITO!$AA$23</f>
        <v>0</v>
      </c>
      <c r="P23" s="38"/>
      <c r="Q23" s="38"/>
      <c r="R23" s="38"/>
      <c r="S23" s="38"/>
      <c r="T23" s="38"/>
      <c r="U23" s="38"/>
      <c r="V23" s="38"/>
      <c r="W23" s="38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</row>
    <row r="24" spans="1:36" ht="11.25" customHeight="1" x14ac:dyDescent="0.2">
      <c r="A24" s="35" t="s">
        <v>59</v>
      </c>
      <c r="B24" s="35" t="s">
        <v>43</v>
      </c>
      <c r="C24" s="35" t="s">
        <v>44</v>
      </c>
      <c r="D24" s="35" t="s">
        <v>45</v>
      </c>
      <c r="E24" s="35" t="s">
        <v>25</v>
      </c>
      <c r="F24" s="35" t="s">
        <v>25</v>
      </c>
      <c r="G24" s="35" t="s">
        <v>25</v>
      </c>
      <c r="H24" s="35" t="s">
        <v>37</v>
      </c>
      <c r="I24" s="45">
        <v>44866</v>
      </c>
      <c r="J24" s="46">
        <f>EFEITO!$J$24*EFEITO!$Y$24</f>
        <v>0</v>
      </c>
      <c r="K24" s="46">
        <f ca="1">EFEITO!$L$24*EFEITO!$Z$24</f>
        <v>2777.70354213884</v>
      </c>
      <c r="L24" s="46">
        <f>EFEITO!$N$24*EFEITO!$AA$24</f>
        <v>5355.1687574233474</v>
      </c>
      <c r="M24" s="46">
        <f>$J$24-EFEITO!$K$24*EFEITO!$Y$24</f>
        <v>0</v>
      </c>
      <c r="N24" s="46">
        <f ca="1">$K$24-EFEITO!$M$24*EFEITO!$Z$24</f>
        <v>0</v>
      </c>
      <c r="O24" s="46">
        <f>$L$24-EFEITO!$O$24*EFEITO!$AA$24</f>
        <v>0</v>
      </c>
      <c r="P24" s="38"/>
      <c r="Q24" s="38"/>
      <c r="R24" s="38"/>
      <c r="S24" s="38"/>
      <c r="T24" s="38"/>
      <c r="U24" s="38"/>
      <c r="V24" s="38"/>
      <c r="W24" s="38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</row>
    <row r="25" spans="1:36" ht="11.25" customHeight="1" x14ac:dyDescent="0.2">
      <c r="A25" s="35" t="s">
        <v>21</v>
      </c>
      <c r="B25" s="35" t="s">
        <v>43</v>
      </c>
      <c r="C25" s="35" t="s">
        <v>44</v>
      </c>
      <c r="D25" s="35" t="s">
        <v>45</v>
      </c>
      <c r="E25" s="35" t="s">
        <v>25</v>
      </c>
      <c r="F25" s="35" t="s">
        <v>25</v>
      </c>
      <c r="G25" s="35" t="s">
        <v>25</v>
      </c>
      <c r="H25" s="35" t="s">
        <v>25</v>
      </c>
      <c r="I25" s="45">
        <v>44531</v>
      </c>
      <c r="J25" s="46">
        <f ca="1">EFEITO!$J$25*EFEITO!$Y$25</f>
        <v>3710.7385794406391</v>
      </c>
      <c r="K25" s="46">
        <f>EFEITO!$L$25*EFEITO!$Z$25</f>
        <v>0</v>
      </c>
      <c r="L25" s="46">
        <f>EFEITO!$N$25*EFEITO!$AA$25</f>
        <v>0</v>
      </c>
      <c r="M25" s="46">
        <f ca="1">$J$25-EFEITO!$K$25*EFEITO!$Y$25</f>
        <v>0</v>
      </c>
      <c r="N25" s="46">
        <f>$K$25-EFEITO!$M$25*EFEITO!$Z$25</f>
        <v>0</v>
      </c>
      <c r="O25" s="46">
        <f>$L$25-EFEITO!$O$25*EFEITO!$AA$25</f>
        <v>0</v>
      </c>
      <c r="P25" s="38"/>
      <c r="Q25" s="38"/>
      <c r="R25" s="38"/>
      <c r="S25" s="38"/>
      <c r="T25" s="38"/>
      <c r="U25" s="38"/>
      <c r="V25" s="38"/>
      <c r="W25" s="38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</row>
    <row r="26" spans="1:36" ht="11.25" customHeight="1" x14ac:dyDescent="0.2">
      <c r="A26" s="35" t="s">
        <v>21</v>
      </c>
      <c r="B26" s="35" t="s">
        <v>43</v>
      </c>
      <c r="C26" s="35" t="s">
        <v>44</v>
      </c>
      <c r="D26" s="35" t="s">
        <v>45</v>
      </c>
      <c r="E26" s="35" t="s">
        <v>25</v>
      </c>
      <c r="F26" s="35" t="s">
        <v>25</v>
      </c>
      <c r="G26" s="35" t="s">
        <v>25</v>
      </c>
      <c r="H26" s="35" t="s">
        <v>25</v>
      </c>
      <c r="I26" s="45">
        <v>44562</v>
      </c>
      <c r="J26" s="46">
        <f ca="1">EFEITO!$J$26*EFEITO!$Y$26</f>
        <v>3710.7385794406391</v>
      </c>
      <c r="K26" s="46">
        <f>EFEITO!$L$26*EFEITO!$Z$26</f>
        <v>0</v>
      </c>
      <c r="L26" s="46">
        <f>EFEITO!$N$26*EFEITO!$AA$26</f>
        <v>0</v>
      </c>
      <c r="M26" s="46">
        <f ca="1">$J$26-EFEITO!$K$26*EFEITO!$Y$26</f>
        <v>0</v>
      </c>
      <c r="N26" s="46">
        <f>$K$26-EFEITO!$M$26*EFEITO!$Z$26</f>
        <v>0</v>
      </c>
      <c r="O26" s="46">
        <f>$L$26-EFEITO!$O$26*EFEITO!$AA$26</f>
        <v>0</v>
      </c>
      <c r="P26" s="38"/>
      <c r="Q26" s="38"/>
      <c r="R26" s="38"/>
      <c r="S26" s="38"/>
      <c r="T26" s="38"/>
      <c r="U26" s="38"/>
      <c r="V26" s="38"/>
      <c r="W26" s="38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</row>
    <row r="27" spans="1:36" ht="11.25" customHeight="1" x14ac:dyDescent="0.2">
      <c r="A27" s="35" t="s">
        <v>21</v>
      </c>
      <c r="B27" s="35" t="s">
        <v>43</v>
      </c>
      <c r="C27" s="35" t="s">
        <v>44</v>
      </c>
      <c r="D27" s="35" t="s">
        <v>45</v>
      </c>
      <c r="E27" s="35" t="s">
        <v>25</v>
      </c>
      <c r="F27" s="35" t="s">
        <v>25</v>
      </c>
      <c r="G27" s="35" t="s">
        <v>25</v>
      </c>
      <c r="H27" s="35" t="s">
        <v>25</v>
      </c>
      <c r="I27" s="45">
        <v>44593</v>
      </c>
      <c r="J27" s="46">
        <f ca="1">EFEITO!$J$27*EFEITO!$Y$27</f>
        <v>3916.8907227428967</v>
      </c>
      <c r="K27" s="46">
        <f>EFEITO!$L$27*EFEITO!$Z$27</f>
        <v>0</v>
      </c>
      <c r="L27" s="46">
        <f>EFEITO!$N$27*EFEITO!$AA$27</f>
        <v>0</v>
      </c>
      <c r="M27" s="46">
        <f ca="1">$J$27-EFEITO!$K$27*EFEITO!$Y$27</f>
        <v>0</v>
      </c>
      <c r="N27" s="46">
        <f>$K$27-EFEITO!$M$27*EFEITO!$Z$27</f>
        <v>0</v>
      </c>
      <c r="O27" s="46">
        <f>$L$27-EFEITO!$O$27*EFEITO!$AA$27</f>
        <v>0</v>
      </c>
      <c r="P27" s="38"/>
      <c r="Q27" s="38"/>
      <c r="R27" s="38"/>
      <c r="S27" s="38"/>
      <c r="T27" s="38"/>
      <c r="U27" s="38"/>
      <c r="V27" s="38"/>
      <c r="W27" s="38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</row>
    <row r="28" spans="1:36" ht="11.25" customHeight="1" x14ac:dyDescent="0.2">
      <c r="A28" s="35" t="s">
        <v>21</v>
      </c>
      <c r="B28" s="35" t="s">
        <v>43</v>
      </c>
      <c r="C28" s="35" t="s">
        <v>44</v>
      </c>
      <c r="D28" s="35" t="s">
        <v>45</v>
      </c>
      <c r="E28" s="35" t="s">
        <v>25</v>
      </c>
      <c r="F28" s="35" t="s">
        <v>25</v>
      </c>
      <c r="G28" s="35" t="s">
        <v>25</v>
      </c>
      <c r="H28" s="35" t="s">
        <v>25</v>
      </c>
      <c r="I28" s="45">
        <v>44621</v>
      </c>
      <c r="J28" s="46">
        <f ca="1">EFEITO!$J$28*EFEITO!$Y$28</f>
        <v>3916.8907227428967</v>
      </c>
      <c r="K28" s="46">
        <f>EFEITO!$L$28*EFEITO!$Z$28</f>
        <v>0</v>
      </c>
      <c r="L28" s="46">
        <f>EFEITO!$N$28*EFEITO!$AA$28</f>
        <v>0</v>
      </c>
      <c r="M28" s="46">
        <f ca="1">$J$28-EFEITO!$K$28*EFEITO!$Y$28</f>
        <v>0</v>
      </c>
      <c r="N28" s="46">
        <f>$K$28-EFEITO!$M$28*EFEITO!$Z$28</f>
        <v>0</v>
      </c>
      <c r="O28" s="46">
        <f>$L$28-EFEITO!$O$28*EFEITO!$AA$28</f>
        <v>0</v>
      </c>
      <c r="P28" s="38"/>
      <c r="Q28" s="38"/>
      <c r="R28" s="38"/>
      <c r="S28" s="38"/>
      <c r="T28" s="38"/>
      <c r="U28" s="38"/>
      <c r="V28" s="38"/>
      <c r="W28" s="38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</row>
    <row r="29" spans="1:36" ht="11.25" customHeight="1" x14ac:dyDescent="0.2">
      <c r="A29" s="35" t="s">
        <v>21</v>
      </c>
      <c r="B29" s="35" t="s">
        <v>43</v>
      </c>
      <c r="C29" s="35" t="s">
        <v>44</v>
      </c>
      <c r="D29" s="35" t="s">
        <v>45</v>
      </c>
      <c r="E29" s="35" t="s">
        <v>25</v>
      </c>
      <c r="F29" s="35" t="s">
        <v>25</v>
      </c>
      <c r="G29" s="35" t="s">
        <v>25</v>
      </c>
      <c r="H29" s="35" t="s">
        <v>25</v>
      </c>
      <c r="I29" s="45">
        <v>44652</v>
      </c>
      <c r="J29" s="46">
        <f ca="1">EFEITO!$J$29*EFEITO!$Y$29</f>
        <v>4123.0428660451544</v>
      </c>
      <c r="K29" s="46">
        <f>EFEITO!$L$29*EFEITO!$Z$29</f>
        <v>0</v>
      </c>
      <c r="L29" s="46">
        <f>EFEITO!$N$29*EFEITO!$AA$29</f>
        <v>0</v>
      </c>
      <c r="M29" s="46">
        <f ca="1">$J$29-EFEITO!$K$29*EFEITO!$Y$29</f>
        <v>0</v>
      </c>
      <c r="N29" s="46">
        <f>$K$29-EFEITO!$M$29*EFEITO!$Z$29</f>
        <v>0</v>
      </c>
      <c r="O29" s="46">
        <f>$L$29-EFEITO!$O$29*EFEITO!$AA$29</f>
        <v>0</v>
      </c>
      <c r="P29" s="38"/>
      <c r="Q29" s="38"/>
      <c r="R29" s="38"/>
      <c r="S29" s="38"/>
      <c r="T29" s="38"/>
      <c r="U29" s="38"/>
      <c r="V29" s="38"/>
      <c r="W29" s="38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</row>
    <row r="30" spans="1:36" ht="11.25" customHeight="1" x14ac:dyDescent="0.2">
      <c r="A30" s="35" t="s">
        <v>21</v>
      </c>
      <c r="B30" s="35" t="s">
        <v>43</v>
      </c>
      <c r="C30" s="35" t="s">
        <v>44</v>
      </c>
      <c r="D30" s="35" t="s">
        <v>45</v>
      </c>
      <c r="E30" s="35" t="s">
        <v>25</v>
      </c>
      <c r="F30" s="35" t="s">
        <v>25</v>
      </c>
      <c r="G30" s="35" t="s">
        <v>25</v>
      </c>
      <c r="H30" s="35" t="s">
        <v>25</v>
      </c>
      <c r="I30" s="45">
        <v>44682</v>
      </c>
      <c r="J30" s="46">
        <f ca="1">EFEITO!$J$30*EFEITO!$Y$30</f>
        <v>8596.5443757041467</v>
      </c>
      <c r="K30" s="46">
        <f>EFEITO!$L$30*EFEITO!$Z$30</f>
        <v>0</v>
      </c>
      <c r="L30" s="46">
        <f>EFEITO!$N$30*EFEITO!$AA$30</f>
        <v>0</v>
      </c>
      <c r="M30" s="46">
        <f ca="1">$J$30-EFEITO!$K$30*EFEITO!$Y$30</f>
        <v>0</v>
      </c>
      <c r="N30" s="46">
        <f>$K$30-EFEITO!$M$30*EFEITO!$Z$30</f>
        <v>0</v>
      </c>
      <c r="O30" s="46">
        <f>$L$30-EFEITO!$O$30*EFEITO!$AA$30</f>
        <v>0</v>
      </c>
      <c r="P30" s="38"/>
      <c r="Q30" s="38"/>
      <c r="R30" s="38"/>
      <c r="S30" s="38"/>
      <c r="T30" s="38"/>
      <c r="U30" s="38"/>
      <c r="V30" s="38"/>
      <c r="W30" s="38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</row>
    <row r="31" spans="1:36" ht="11.25" customHeight="1" x14ac:dyDescent="0.2">
      <c r="A31" s="35" t="s">
        <v>21</v>
      </c>
      <c r="B31" s="35" t="s">
        <v>43</v>
      </c>
      <c r="C31" s="35" t="s">
        <v>44</v>
      </c>
      <c r="D31" s="35" t="s">
        <v>45</v>
      </c>
      <c r="E31" s="35" t="s">
        <v>25</v>
      </c>
      <c r="F31" s="35" t="s">
        <v>25</v>
      </c>
      <c r="G31" s="35" t="s">
        <v>25</v>
      </c>
      <c r="H31" s="35" t="s">
        <v>25</v>
      </c>
      <c r="I31" s="45">
        <v>44713</v>
      </c>
      <c r="J31" s="46">
        <f ca="1">EFEITO!$J$31*EFEITO!$Y$31</f>
        <v>7359.6315158906009</v>
      </c>
      <c r="K31" s="46">
        <f>EFEITO!$L$31*EFEITO!$Z$31</f>
        <v>0</v>
      </c>
      <c r="L31" s="46">
        <f>EFEITO!$N$31*EFEITO!$AA$31</f>
        <v>0</v>
      </c>
      <c r="M31" s="46">
        <f ca="1">$J$31-EFEITO!$K$31*EFEITO!$Y$31</f>
        <v>0</v>
      </c>
      <c r="N31" s="46">
        <f>$K$31-EFEITO!$M$31*EFEITO!$Z$31</f>
        <v>0</v>
      </c>
      <c r="O31" s="46">
        <f>$L$31-EFEITO!$O$31*EFEITO!$AA$31</f>
        <v>0</v>
      </c>
      <c r="P31" s="38"/>
      <c r="Q31" s="38"/>
      <c r="R31" s="38"/>
      <c r="S31" s="38"/>
      <c r="T31" s="38"/>
      <c r="U31" s="38"/>
      <c r="V31" s="38"/>
      <c r="W31" s="38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</row>
    <row r="32" spans="1:36" ht="11.25" customHeight="1" x14ac:dyDescent="0.2">
      <c r="A32" s="35" t="s">
        <v>21</v>
      </c>
      <c r="B32" s="35" t="s">
        <v>43</v>
      </c>
      <c r="C32" s="35" t="s">
        <v>44</v>
      </c>
      <c r="D32" s="35" t="s">
        <v>45</v>
      </c>
      <c r="E32" s="35" t="s">
        <v>25</v>
      </c>
      <c r="F32" s="35" t="s">
        <v>25</v>
      </c>
      <c r="G32" s="35" t="s">
        <v>25</v>
      </c>
      <c r="H32" s="35" t="s">
        <v>25</v>
      </c>
      <c r="I32" s="45">
        <v>44743</v>
      </c>
      <c r="J32" s="46">
        <f ca="1">EFEITO!$J$32*EFEITO!$Y$32</f>
        <v>7359.6315158906009</v>
      </c>
      <c r="K32" s="46">
        <f>EFEITO!$L$32*EFEITO!$Z$32</f>
        <v>0</v>
      </c>
      <c r="L32" s="46">
        <f>EFEITO!$N$32*EFEITO!$AA$32</f>
        <v>0</v>
      </c>
      <c r="M32" s="46">
        <f ca="1">$J$32-EFEITO!$K$32*EFEITO!$Y$32</f>
        <v>0</v>
      </c>
      <c r="N32" s="46">
        <f>$K$32-EFEITO!$M$32*EFEITO!$Z$32</f>
        <v>0</v>
      </c>
      <c r="O32" s="46">
        <f>$L$32-EFEITO!$O$32*EFEITO!$AA$32</f>
        <v>0</v>
      </c>
      <c r="P32" s="38"/>
      <c r="Q32" s="38"/>
      <c r="R32" s="38"/>
      <c r="S32" s="38"/>
      <c r="T32" s="38"/>
      <c r="U32" s="38"/>
      <c r="V32" s="38"/>
      <c r="W32" s="38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</row>
    <row r="33" spans="1:36" ht="11.25" customHeight="1" x14ac:dyDescent="0.2">
      <c r="A33" s="35" t="s">
        <v>21</v>
      </c>
      <c r="B33" s="35" t="s">
        <v>43</v>
      </c>
      <c r="C33" s="35" t="s">
        <v>44</v>
      </c>
      <c r="D33" s="35" t="s">
        <v>45</v>
      </c>
      <c r="E33" s="35" t="s">
        <v>25</v>
      </c>
      <c r="F33" s="35" t="s">
        <v>25</v>
      </c>
      <c r="G33" s="35" t="s">
        <v>25</v>
      </c>
      <c r="H33" s="35" t="s">
        <v>25</v>
      </c>
      <c r="I33" s="45">
        <v>44774</v>
      </c>
      <c r="J33" s="46">
        <f ca="1">EFEITO!$J$33*EFEITO!$Y$33</f>
        <v>7359.6315158906009</v>
      </c>
      <c r="K33" s="46">
        <f>EFEITO!$L$33*EFEITO!$Z$33</f>
        <v>0</v>
      </c>
      <c r="L33" s="46">
        <f>EFEITO!$N$33*EFEITO!$AA$33</f>
        <v>0</v>
      </c>
      <c r="M33" s="46">
        <f ca="1">$J$33-EFEITO!$K$33*EFEITO!$Y$33</f>
        <v>0</v>
      </c>
      <c r="N33" s="46">
        <f>$K$33-EFEITO!$M$33*EFEITO!$Z$33</f>
        <v>0</v>
      </c>
      <c r="O33" s="46">
        <f>$L$33-EFEITO!$O$33*EFEITO!$AA$33</f>
        <v>0</v>
      </c>
      <c r="P33" s="38"/>
      <c r="Q33" s="38"/>
      <c r="R33" s="38"/>
      <c r="S33" s="38"/>
      <c r="T33" s="38"/>
      <c r="U33" s="38"/>
      <c r="V33" s="38"/>
      <c r="W33" s="38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</row>
    <row r="34" spans="1:36" ht="11.25" customHeight="1" x14ac:dyDescent="0.2">
      <c r="A34" s="35" t="s">
        <v>21</v>
      </c>
      <c r="B34" s="35" t="s">
        <v>43</v>
      </c>
      <c r="C34" s="35" t="s">
        <v>44</v>
      </c>
      <c r="D34" s="35" t="s">
        <v>45</v>
      </c>
      <c r="E34" s="35" t="s">
        <v>25</v>
      </c>
      <c r="F34" s="35" t="s">
        <v>25</v>
      </c>
      <c r="G34" s="35" t="s">
        <v>25</v>
      </c>
      <c r="H34" s="35" t="s">
        <v>25</v>
      </c>
      <c r="I34" s="45">
        <v>44805</v>
      </c>
      <c r="J34" s="46">
        <f ca="1">EFEITO!$J$34*EFEITO!$Y$34</f>
        <v>7359.6315158906009</v>
      </c>
      <c r="K34" s="46">
        <f>EFEITO!$L$34*EFEITO!$Z$34</f>
        <v>0</v>
      </c>
      <c r="L34" s="46">
        <f>EFEITO!$N$34*EFEITO!$AA$34</f>
        <v>0</v>
      </c>
      <c r="M34" s="46">
        <f ca="1">$J$34-EFEITO!$K$34*EFEITO!$Y$34</f>
        <v>0</v>
      </c>
      <c r="N34" s="46">
        <f>$K$34-EFEITO!$M$34*EFEITO!$Z$34</f>
        <v>0</v>
      </c>
      <c r="O34" s="46">
        <f>$L$34-EFEITO!$O$34*EFEITO!$AA$34</f>
        <v>0</v>
      </c>
      <c r="P34" s="38"/>
      <c r="Q34" s="38"/>
      <c r="R34" s="38"/>
      <c r="S34" s="38"/>
      <c r="T34" s="38"/>
      <c r="U34" s="38"/>
      <c r="V34" s="38"/>
      <c r="W34" s="38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</row>
    <row r="35" spans="1:36" ht="11.25" customHeight="1" x14ac:dyDescent="0.2">
      <c r="A35" s="35" t="s">
        <v>21</v>
      </c>
      <c r="B35" s="35" t="s">
        <v>43</v>
      </c>
      <c r="C35" s="35" t="s">
        <v>44</v>
      </c>
      <c r="D35" s="35" t="s">
        <v>45</v>
      </c>
      <c r="E35" s="35" t="s">
        <v>25</v>
      </c>
      <c r="F35" s="35" t="s">
        <v>25</v>
      </c>
      <c r="G35" s="35" t="s">
        <v>25</v>
      </c>
      <c r="H35" s="35" t="s">
        <v>25</v>
      </c>
      <c r="I35" s="45">
        <v>44835</v>
      </c>
      <c r="J35" s="46">
        <f ca="1">EFEITO!$J$35*EFEITO!$Y$35</f>
        <v>5731.029583802765</v>
      </c>
      <c r="K35" s="46">
        <f>EFEITO!$L$35*EFEITO!$Z$35</f>
        <v>0</v>
      </c>
      <c r="L35" s="46">
        <f>EFEITO!$N$35*EFEITO!$AA$35</f>
        <v>0</v>
      </c>
      <c r="M35" s="46">
        <f ca="1">$J$35-EFEITO!$K$35*EFEITO!$Y$35</f>
        <v>0</v>
      </c>
      <c r="N35" s="46">
        <f>$K$35-EFEITO!$M$35*EFEITO!$Z$35</f>
        <v>0</v>
      </c>
      <c r="O35" s="46">
        <f>$L$35-EFEITO!$O$35*EFEITO!$AA$35</f>
        <v>0</v>
      </c>
      <c r="P35" s="38"/>
      <c r="Q35" s="38"/>
      <c r="R35" s="38"/>
      <c r="S35" s="38"/>
      <c r="T35" s="38"/>
      <c r="U35" s="38"/>
      <c r="V35" s="38"/>
      <c r="W35" s="38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</row>
    <row r="36" spans="1:36" ht="11.25" customHeight="1" x14ac:dyDescent="0.2">
      <c r="A36" s="35" t="s">
        <v>59</v>
      </c>
      <c r="B36" s="35" t="s">
        <v>43</v>
      </c>
      <c r="C36" s="35" t="s">
        <v>44</v>
      </c>
      <c r="D36" s="35" t="s">
        <v>45</v>
      </c>
      <c r="E36" s="35" t="s">
        <v>25</v>
      </c>
      <c r="F36" s="35" t="s">
        <v>25</v>
      </c>
      <c r="G36" s="35" t="s">
        <v>25</v>
      </c>
      <c r="H36" s="35" t="s">
        <v>25</v>
      </c>
      <c r="I36" s="45">
        <v>44866</v>
      </c>
      <c r="J36" s="46">
        <f ca="1">EFEITO!$J$36*EFEITO!$Y$36</f>
        <v>5731.029583802765</v>
      </c>
      <c r="K36" s="46">
        <f>EFEITO!$L$36*EFEITO!$Z$36</f>
        <v>0</v>
      </c>
      <c r="L36" s="46">
        <f>EFEITO!$N$36*EFEITO!$AA$36</f>
        <v>0</v>
      </c>
      <c r="M36" s="46">
        <f ca="1">$J$36-EFEITO!$K$36*EFEITO!$Y$36</f>
        <v>0</v>
      </c>
      <c r="N36" s="46">
        <f>$K$36-EFEITO!$M$36*EFEITO!$Z$36</f>
        <v>0</v>
      </c>
      <c r="O36" s="46">
        <f>$L$36-EFEITO!$O$36*EFEITO!$AA$36</f>
        <v>0</v>
      </c>
      <c r="P36" s="38"/>
      <c r="Q36" s="38"/>
      <c r="R36" s="38"/>
      <c r="S36" s="38"/>
      <c r="T36" s="38"/>
      <c r="U36" s="38"/>
      <c r="V36" s="38"/>
      <c r="W36" s="38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</row>
    <row r="37" spans="1:36" ht="11.25" customHeight="1" x14ac:dyDescent="0.2">
      <c r="A37" s="35" t="s">
        <v>21</v>
      </c>
      <c r="B37" s="35" t="s">
        <v>43</v>
      </c>
      <c r="C37" s="35" t="s">
        <v>44</v>
      </c>
      <c r="D37" s="35" t="s">
        <v>45</v>
      </c>
      <c r="E37" s="35" t="s">
        <v>25</v>
      </c>
      <c r="F37" s="35" t="s">
        <v>25</v>
      </c>
      <c r="G37" s="35" t="s">
        <v>25</v>
      </c>
      <c r="H37" s="35" t="s">
        <v>36</v>
      </c>
      <c r="I37" s="45">
        <v>44531</v>
      </c>
      <c r="J37" s="46">
        <f>EFEITO!$J$37*EFEITO!$Y$37</f>
        <v>0</v>
      </c>
      <c r="K37" s="46">
        <f ca="1">EFEITO!$L$37*EFEITO!$Z$37</f>
        <v>1820.5574653985063</v>
      </c>
      <c r="L37" s="46">
        <f>EFEITO!$N$37*EFEITO!$AA$37</f>
        <v>446.05210380402514</v>
      </c>
      <c r="M37" s="46">
        <f>$J$37-EFEITO!$K$37*EFEITO!$Y$37</f>
        <v>0</v>
      </c>
      <c r="N37" s="46">
        <f ca="1">$K$37-EFEITO!$M$37*EFEITO!$Z$37</f>
        <v>0</v>
      </c>
      <c r="O37" s="46">
        <f>$L$37-EFEITO!$O$37*EFEITO!$AA$37</f>
        <v>0</v>
      </c>
      <c r="P37" s="38"/>
      <c r="Q37" s="38"/>
      <c r="R37" s="38"/>
      <c r="S37" s="38"/>
      <c r="T37" s="38"/>
      <c r="U37" s="38"/>
      <c r="V37" s="38"/>
      <c r="W37" s="38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</row>
    <row r="38" spans="1:36" ht="11.25" customHeight="1" x14ac:dyDescent="0.2">
      <c r="A38" s="35" t="s">
        <v>21</v>
      </c>
      <c r="B38" s="35" t="s">
        <v>43</v>
      </c>
      <c r="C38" s="35" t="s">
        <v>44</v>
      </c>
      <c r="D38" s="35" t="s">
        <v>45</v>
      </c>
      <c r="E38" s="35" t="s">
        <v>25</v>
      </c>
      <c r="F38" s="35" t="s">
        <v>25</v>
      </c>
      <c r="G38" s="35" t="s">
        <v>25</v>
      </c>
      <c r="H38" s="35" t="s">
        <v>36</v>
      </c>
      <c r="I38" s="45">
        <v>44562</v>
      </c>
      <c r="J38" s="46">
        <f>EFEITO!$J$38*EFEITO!$Y$38</f>
        <v>0</v>
      </c>
      <c r="K38" s="46">
        <f ca="1">EFEITO!$L$38*EFEITO!$Z$38</f>
        <v>1820.5574653985063</v>
      </c>
      <c r="L38" s="46">
        <f>EFEITO!$N$38*EFEITO!$AA$38</f>
        <v>446.05210380402514</v>
      </c>
      <c r="M38" s="46">
        <f>$J$38-EFEITO!$K$38*EFEITO!$Y$38</f>
        <v>0</v>
      </c>
      <c r="N38" s="46">
        <f ca="1">$K$38-EFEITO!$M$38*EFEITO!$Z$38</f>
        <v>0</v>
      </c>
      <c r="O38" s="46">
        <f>$L$38-EFEITO!$O$38*EFEITO!$AA$38</f>
        <v>0</v>
      </c>
      <c r="P38" s="38"/>
      <c r="Q38" s="38"/>
      <c r="R38" s="38"/>
      <c r="S38" s="38"/>
      <c r="T38" s="38"/>
      <c r="U38" s="38"/>
      <c r="V38" s="38"/>
      <c r="W38" s="38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</row>
    <row r="39" spans="1:36" ht="11.25" customHeight="1" x14ac:dyDescent="0.2">
      <c r="A39" s="35" t="s">
        <v>21</v>
      </c>
      <c r="B39" s="35" t="s">
        <v>43</v>
      </c>
      <c r="C39" s="35" t="s">
        <v>44</v>
      </c>
      <c r="D39" s="35" t="s">
        <v>45</v>
      </c>
      <c r="E39" s="35" t="s">
        <v>25</v>
      </c>
      <c r="F39" s="35" t="s">
        <v>25</v>
      </c>
      <c r="G39" s="35" t="s">
        <v>25</v>
      </c>
      <c r="H39" s="35" t="s">
        <v>36</v>
      </c>
      <c r="I39" s="45">
        <v>44593</v>
      </c>
      <c r="J39" s="46">
        <f>EFEITO!$J$39*EFEITO!$Y$39</f>
        <v>0</v>
      </c>
      <c r="K39" s="46">
        <f ca="1">EFEITO!$L$39*EFEITO!$Z$39</f>
        <v>1163.3806242302651</v>
      </c>
      <c r="L39" s="46">
        <f>EFEITO!$N$39*EFEITO!$AA$39</f>
        <v>285.03817365037702</v>
      </c>
      <c r="M39" s="46">
        <f>$J$39-EFEITO!$K$39*EFEITO!$Y$39</f>
        <v>0</v>
      </c>
      <c r="N39" s="46">
        <f ca="1">$K$39-EFEITO!$M$39*EFEITO!$Z$39</f>
        <v>0</v>
      </c>
      <c r="O39" s="46">
        <f>$L$39-EFEITO!$O$39*EFEITO!$AA$39</f>
        <v>0</v>
      </c>
      <c r="P39" s="38"/>
      <c r="Q39" s="38"/>
      <c r="R39" s="38"/>
      <c r="S39" s="38"/>
      <c r="T39" s="38"/>
      <c r="U39" s="38"/>
      <c r="V39" s="38"/>
      <c r="W39" s="38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</row>
    <row r="40" spans="1:36" ht="11.25" customHeight="1" x14ac:dyDescent="0.2">
      <c r="A40" s="35" t="s">
        <v>21</v>
      </c>
      <c r="B40" s="35" t="s">
        <v>43</v>
      </c>
      <c r="C40" s="35" t="s">
        <v>44</v>
      </c>
      <c r="D40" s="35" t="s">
        <v>45</v>
      </c>
      <c r="E40" s="35" t="s">
        <v>25</v>
      </c>
      <c r="F40" s="35" t="s">
        <v>25</v>
      </c>
      <c r="G40" s="35" t="s">
        <v>25</v>
      </c>
      <c r="H40" s="35" t="s">
        <v>36</v>
      </c>
      <c r="I40" s="45">
        <v>44621</v>
      </c>
      <c r="J40" s="46">
        <f>EFEITO!$J$40*EFEITO!$Y$40</f>
        <v>0</v>
      </c>
      <c r="K40" s="46">
        <f ca="1">EFEITO!$L$40*EFEITO!$Z$40</f>
        <v>1092.3344792391038</v>
      </c>
      <c r="L40" s="46">
        <f>EFEITO!$N$40*EFEITO!$AA$40</f>
        <v>267.63126228241509</v>
      </c>
      <c r="M40" s="46">
        <f>$J$40-EFEITO!$K$40*EFEITO!$Y$40</f>
        <v>0</v>
      </c>
      <c r="N40" s="46">
        <f ca="1">$K$40-EFEITO!$M$40*EFEITO!$Z$40</f>
        <v>0</v>
      </c>
      <c r="O40" s="46">
        <f>$L$40-EFEITO!$O$40*EFEITO!$AA$40</f>
        <v>0</v>
      </c>
      <c r="P40" s="38"/>
      <c r="Q40" s="38"/>
      <c r="R40" s="38"/>
      <c r="S40" s="38"/>
      <c r="T40" s="38"/>
      <c r="U40" s="38"/>
      <c r="V40" s="38"/>
      <c r="W40" s="38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</row>
    <row r="41" spans="1:36" ht="11.25" customHeight="1" x14ac:dyDescent="0.2">
      <c r="A41" s="35" t="s">
        <v>21</v>
      </c>
      <c r="B41" s="35" t="s">
        <v>43</v>
      </c>
      <c r="C41" s="35" t="s">
        <v>44</v>
      </c>
      <c r="D41" s="35" t="s">
        <v>45</v>
      </c>
      <c r="E41" s="35" t="s">
        <v>25</v>
      </c>
      <c r="F41" s="35" t="s">
        <v>25</v>
      </c>
      <c r="G41" s="35" t="s">
        <v>25</v>
      </c>
      <c r="H41" s="35" t="s">
        <v>36</v>
      </c>
      <c r="I41" s="45">
        <v>44652</v>
      </c>
      <c r="J41" s="46">
        <f>EFEITO!$J$41*EFEITO!$Y$41</f>
        <v>0</v>
      </c>
      <c r="K41" s="46">
        <f ca="1">EFEITO!$L$41*EFEITO!$Z$41</f>
        <v>1333.5953466049223</v>
      </c>
      <c r="L41" s="46">
        <f>EFEITO!$N$41*EFEITO!$AA$41</f>
        <v>326.74223213611924</v>
      </c>
      <c r="M41" s="46">
        <f>$J$41-EFEITO!$K$41*EFEITO!$Y$41</f>
        <v>0</v>
      </c>
      <c r="N41" s="46">
        <f ca="1">$K$41-EFEITO!$M$41*EFEITO!$Z$41</f>
        <v>0</v>
      </c>
      <c r="O41" s="46">
        <f>$L$41-EFEITO!$O$41*EFEITO!$AA$41</f>
        <v>0</v>
      </c>
      <c r="P41" s="38"/>
      <c r="Q41" s="38"/>
      <c r="R41" s="38"/>
      <c r="S41" s="38"/>
      <c r="T41" s="38"/>
      <c r="U41" s="38"/>
      <c r="V41" s="38"/>
      <c r="W41" s="38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</row>
    <row r="42" spans="1:36" ht="11.25" customHeight="1" x14ac:dyDescent="0.2">
      <c r="A42" s="35" t="s">
        <v>21</v>
      </c>
      <c r="B42" s="35" t="s">
        <v>43</v>
      </c>
      <c r="C42" s="35" t="s">
        <v>44</v>
      </c>
      <c r="D42" s="35" t="s">
        <v>45</v>
      </c>
      <c r="E42" s="35" t="s">
        <v>25</v>
      </c>
      <c r="F42" s="35" t="s">
        <v>25</v>
      </c>
      <c r="G42" s="35" t="s">
        <v>25</v>
      </c>
      <c r="H42" s="35" t="s">
        <v>36</v>
      </c>
      <c r="I42" s="45">
        <v>44682</v>
      </c>
      <c r="J42" s="46">
        <f>EFEITO!$J$42*EFEITO!$Y$42</f>
        <v>0</v>
      </c>
      <c r="K42" s="46">
        <f ca="1">EFEITO!$L$42*EFEITO!$Z$42</f>
        <v>1403.1613635754341</v>
      </c>
      <c r="L42" s="46">
        <f>EFEITO!$N$42*EFEITO!$AA$42</f>
        <v>343.78649951724861</v>
      </c>
      <c r="M42" s="46">
        <f>$J$42-EFEITO!$K$42*EFEITO!$Y$42</f>
        <v>0</v>
      </c>
      <c r="N42" s="46">
        <f ca="1">$K$42-EFEITO!$M$42*EFEITO!$Z$42</f>
        <v>0</v>
      </c>
      <c r="O42" s="46">
        <f>$L$42-EFEITO!$O$42*EFEITO!$AA$42</f>
        <v>0</v>
      </c>
      <c r="P42" s="38"/>
      <c r="Q42" s="38"/>
      <c r="R42" s="38"/>
      <c r="S42" s="38"/>
      <c r="T42" s="38"/>
      <c r="U42" s="38"/>
      <c r="V42" s="38"/>
      <c r="W42" s="38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</row>
    <row r="43" spans="1:36" ht="11.25" customHeight="1" x14ac:dyDescent="0.2">
      <c r="A43" s="35" t="s">
        <v>21</v>
      </c>
      <c r="B43" s="35" t="s">
        <v>43</v>
      </c>
      <c r="C43" s="35" t="s">
        <v>44</v>
      </c>
      <c r="D43" s="35" t="s">
        <v>45</v>
      </c>
      <c r="E43" s="35" t="s">
        <v>25</v>
      </c>
      <c r="F43" s="35" t="s">
        <v>25</v>
      </c>
      <c r="G43" s="35" t="s">
        <v>25</v>
      </c>
      <c r="H43" s="35" t="s">
        <v>36</v>
      </c>
      <c r="I43" s="45">
        <v>44713</v>
      </c>
      <c r="J43" s="46">
        <f>EFEITO!$J$43*EFEITO!$Y$43</f>
        <v>0</v>
      </c>
      <c r="K43" s="46">
        <f ca="1">EFEITO!$L$43*EFEITO!$Z$43</f>
        <v>1656.263255106446</v>
      </c>
      <c r="L43" s="46">
        <f>EFEITO!$N$43*EFEITO!$AA$43</f>
        <v>405.79862126561312</v>
      </c>
      <c r="M43" s="46">
        <f>$J$43-EFEITO!$K$43*EFEITO!$Y$43</f>
        <v>0</v>
      </c>
      <c r="N43" s="46">
        <f ca="1">$K$43-EFEITO!$M$43*EFEITO!$Z$43</f>
        <v>0</v>
      </c>
      <c r="O43" s="46">
        <f>$L$43-EFEITO!$O$43*EFEITO!$AA$43</f>
        <v>0</v>
      </c>
      <c r="P43" s="38"/>
      <c r="Q43" s="38"/>
      <c r="R43" s="38"/>
      <c r="S43" s="38"/>
      <c r="T43" s="38"/>
      <c r="U43" s="38"/>
      <c r="V43" s="38"/>
      <c r="W43" s="38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</row>
    <row r="44" spans="1:36" ht="11.25" customHeight="1" x14ac:dyDescent="0.2">
      <c r="A44" s="35" t="s">
        <v>21</v>
      </c>
      <c r="B44" s="35" t="s">
        <v>43</v>
      </c>
      <c r="C44" s="35" t="s">
        <v>44</v>
      </c>
      <c r="D44" s="35" t="s">
        <v>45</v>
      </c>
      <c r="E44" s="35" t="s">
        <v>25</v>
      </c>
      <c r="F44" s="35" t="s">
        <v>25</v>
      </c>
      <c r="G44" s="35" t="s">
        <v>25</v>
      </c>
      <c r="H44" s="35" t="s">
        <v>36</v>
      </c>
      <c r="I44" s="45">
        <v>44743</v>
      </c>
      <c r="J44" s="46">
        <f>EFEITO!$J$44*EFEITO!$Y$44</f>
        <v>0</v>
      </c>
      <c r="K44" s="46">
        <f ca="1">EFEITO!$L$44*EFEITO!$Z$44</f>
        <v>2695.3131256021788</v>
      </c>
      <c r="L44" s="46">
        <f>EFEITO!$N$44*EFEITO!$AA$44</f>
        <v>660.37470002205669</v>
      </c>
      <c r="M44" s="46">
        <f>$J$44-EFEITO!$K$44*EFEITO!$Y$44</f>
        <v>0</v>
      </c>
      <c r="N44" s="46">
        <f ca="1">$K$44-EFEITO!$M$44*EFEITO!$Z$44</f>
        <v>0</v>
      </c>
      <c r="O44" s="46">
        <f>$L$44-EFEITO!$O$44*EFEITO!$AA$44</f>
        <v>0</v>
      </c>
      <c r="P44" s="38"/>
      <c r="Q44" s="38"/>
      <c r="R44" s="38"/>
      <c r="S44" s="38"/>
      <c r="T44" s="38"/>
      <c r="U44" s="38"/>
      <c r="V44" s="38"/>
      <c r="W44" s="38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</row>
    <row r="45" spans="1:36" ht="11.25" customHeight="1" x14ac:dyDescent="0.2">
      <c r="A45" s="35" t="s">
        <v>27</v>
      </c>
      <c r="B45" s="35" t="s">
        <v>43</v>
      </c>
      <c r="C45" s="35" t="s">
        <v>44</v>
      </c>
      <c r="D45" s="35" t="s">
        <v>45</v>
      </c>
      <c r="E45" s="35" t="s">
        <v>25</v>
      </c>
      <c r="F45" s="35" t="s">
        <v>25</v>
      </c>
      <c r="G45" s="35" t="s">
        <v>25</v>
      </c>
      <c r="H45" s="35" t="s">
        <v>36</v>
      </c>
      <c r="I45" s="45">
        <v>44743</v>
      </c>
      <c r="J45" s="46">
        <f>EFEITO!$J$45*EFEITO!$Y$45</f>
        <v>0</v>
      </c>
      <c r="K45" s="46">
        <f ca="1">EFEITO!$L$45*EFEITO!$Z$45</f>
        <v>-546.16723961955188</v>
      </c>
      <c r="L45" s="46">
        <f>EFEITO!$N$45*EFEITO!$AA$45</f>
        <v>-133.81563114120755</v>
      </c>
      <c r="M45" s="46">
        <f>$J$45-EFEITO!$K$45*EFEITO!$Y$45</f>
        <v>0</v>
      </c>
      <c r="N45" s="46">
        <f ca="1">$K$45-EFEITO!$M$45*EFEITO!$Z$45</f>
        <v>0</v>
      </c>
      <c r="O45" s="46">
        <f>$L$45-EFEITO!$O$45*EFEITO!$AA$45</f>
        <v>0</v>
      </c>
      <c r="P45" s="38"/>
      <c r="Q45" s="38"/>
      <c r="R45" s="38"/>
      <c r="S45" s="38"/>
      <c r="T45" s="38"/>
      <c r="U45" s="38"/>
      <c r="V45" s="38"/>
      <c r="W45" s="38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</row>
    <row r="46" spans="1:36" ht="11.25" customHeight="1" x14ac:dyDescent="0.2">
      <c r="A46" s="35" t="s">
        <v>21</v>
      </c>
      <c r="B46" s="35" t="s">
        <v>43</v>
      </c>
      <c r="C46" s="35" t="s">
        <v>44</v>
      </c>
      <c r="D46" s="35" t="s">
        <v>45</v>
      </c>
      <c r="E46" s="35" t="s">
        <v>25</v>
      </c>
      <c r="F46" s="35" t="s">
        <v>25</v>
      </c>
      <c r="G46" s="35" t="s">
        <v>25</v>
      </c>
      <c r="H46" s="35" t="s">
        <v>36</v>
      </c>
      <c r="I46" s="45">
        <v>44774</v>
      </c>
      <c r="J46" s="46">
        <f>EFEITO!$J$46*EFEITO!$Y$46</f>
        <v>0</v>
      </c>
      <c r="K46" s="46">
        <f ca="1">EFEITO!$L$46*EFEITO!$Z$46</f>
        <v>3793.5681169238796</v>
      </c>
      <c r="L46" s="46">
        <f>EFEITO!$N$46*EFEITO!$AA$46</f>
        <v>929.45653825180204</v>
      </c>
      <c r="M46" s="46">
        <f>$J$46-EFEITO!$K$46*EFEITO!$Y$46</f>
        <v>0</v>
      </c>
      <c r="N46" s="46">
        <f ca="1">$K$46-EFEITO!$M$46*EFEITO!$Z$46</f>
        <v>0</v>
      </c>
      <c r="O46" s="46">
        <f>$L$46-EFEITO!$O$46*EFEITO!$AA$46</f>
        <v>0</v>
      </c>
      <c r="P46" s="38"/>
      <c r="Q46" s="38"/>
      <c r="R46" s="38"/>
      <c r="S46" s="38"/>
      <c r="T46" s="38"/>
      <c r="U46" s="38"/>
      <c r="V46" s="38"/>
      <c r="W46" s="38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</row>
    <row r="47" spans="1:36" ht="11.25" customHeight="1" x14ac:dyDescent="0.2">
      <c r="A47" s="35" t="s">
        <v>21</v>
      </c>
      <c r="B47" s="35" t="s">
        <v>43</v>
      </c>
      <c r="C47" s="35" t="s">
        <v>44</v>
      </c>
      <c r="D47" s="35" t="s">
        <v>45</v>
      </c>
      <c r="E47" s="35" t="s">
        <v>25</v>
      </c>
      <c r="F47" s="35" t="s">
        <v>25</v>
      </c>
      <c r="G47" s="35" t="s">
        <v>25</v>
      </c>
      <c r="H47" s="35" t="s">
        <v>36</v>
      </c>
      <c r="I47" s="45">
        <v>44805</v>
      </c>
      <c r="J47" s="46">
        <f>EFEITO!$J$47*EFEITO!$Y$47</f>
        <v>0</v>
      </c>
      <c r="K47" s="46">
        <f ca="1">EFEITO!$L$47*EFEITO!$Z$47</f>
        <v>5665.9300630451071</v>
      </c>
      <c r="L47" s="46">
        <f>EFEITO!$N$47*EFEITO!$AA$47</f>
        <v>1388.2011815949659</v>
      </c>
      <c r="M47" s="46">
        <f>$J$47-EFEITO!$K$47*EFEITO!$Y$47</f>
        <v>0</v>
      </c>
      <c r="N47" s="46">
        <f ca="1">$K$47-EFEITO!$M$47*EFEITO!$Z$47</f>
        <v>0</v>
      </c>
      <c r="O47" s="46">
        <f>$L$47-EFEITO!$O$47*EFEITO!$AA$47</f>
        <v>0</v>
      </c>
      <c r="P47" s="38"/>
      <c r="Q47" s="38"/>
      <c r="R47" s="38"/>
      <c r="S47" s="38"/>
      <c r="T47" s="38"/>
      <c r="U47" s="38"/>
      <c r="V47" s="38"/>
      <c r="W47" s="38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</row>
    <row r="48" spans="1:36" ht="11.25" customHeight="1" x14ac:dyDescent="0.2">
      <c r="A48" s="35" t="s">
        <v>21</v>
      </c>
      <c r="B48" s="35" t="s">
        <v>43</v>
      </c>
      <c r="C48" s="35" t="s">
        <v>44</v>
      </c>
      <c r="D48" s="35" t="s">
        <v>45</v>
      </c>
      <c r="E48" s="35" t="s">
        <v>25</v>
      </c>
      <c r="F48" s="35" t="s">
        <v>25</v>
      </c>
      <c r="G48" s="35" t="s">
        <v>25</v>
      </c>
      <c r="H48" s="35" t="s">
        <v>36</v>
      </c>
      <c r="I48" s="45">
        <v>44835</v>
      </c>
      <c r="J48" s="46">
        <f>EFEITO!$J$48*EFEITO!$Y$48</f>
        <v>0</v>
      </c>
      <c r="K48" s="46">
        <f ca="1">EFEITO!$L$48*EFEITO!$Z$48</f>
        <v>5747.3371041808132</v>
      </c>
      <c r="L48" s="46">
        <f>EFEITO!$N$48*EFEITO!$AA$48</f>
        <v>1408.1466008707557</v>
      </c>
      <c r="M48" s="46">
        <f>$J$48-EFEITO!$K$48*EFEITO!$Y$48</f>
        <v>0</v>
      </c>
      <c r="N48" s="46">
        <f ca="1">$K$48-EFEITO!$M$48*EFEITO!$Z$48</f>
        <v>0</v>
      </c>
      <c r="O48" s="46">
        <f>$L$48-EFEITO!$O$48*EFEITO!$AA$48</f>
        <v>0</v>
      </c>
      <c r="P48" s="38"/>
      <c r="Q48" s="38"/>
      <c r="R48" s="38"/>
      <c r="S48" s="38"/>
      <c r="T48" s="38"/>
      <c r="U48" s="38"/>
      <c r="V48" s="38"/>
      <c r="W48" s="38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</row>
    <row r="49" spans="1:36" ht="11.25" customHeight="1" x14ac:dyDescent="0.2">
      <c r="A49" s="35" t="s">
        <v>59</v>
      </c>
      <c r="B49" s="35" t="s">
        <v>43</v>
      </c>
      <c r="C49" s="35" t="s">
        <v>44</v>
      </c>
      <c r="D49" s="35" t="s">
        <v>45</v>
      </c>
      <c r="E49" s="35" t="s">
        <v>25</v>
      </c>
      <c r="F49" s="35" t="s">
        <v>25</v>
      </c>
      <c r="G49" s="35" t="s">
        <v>25</v>
      </c>
      <c r="H49" s="35" t="s">
        <v>36</v>
      </c>
      <c r="I49" s="45">
        <v>44866</v>
      </c>
      <c r="J49" s="46">
        <f>EFEITO!$J$49*EFEITO!$Y$49</f>
        <v>0</v>
      </c>
      <c r="K49" s="46">
        <f ca="1">EFEITO!$L$49*EFEITO!$Z$49</f>
        <v>5747.3371041808132</v>
      </c>
      <c r="L49" s="46">
        <f>EFEITO!$N$49*EFEITO!$AA$49</f>
        <v>1408.1466008707557</v>
      </c>
      <c r="M49" s="46">
        <f>$J$49-EFEITO!$K$49*EFEITO!$Y$49</f>
        <v>0</v>
      </c>
      <c r="N49" s="46">
        <f ca="1">$K$49-EFEITO!$M$49*EFEITO!$Z$49</f>
        <v>0</v>
      </c>
      <c r="O49" s="46">
        <f>$L$49-EFEITO!$O$49*EFEITO!$AA$49</f>
        <v>0</v>
      </c>
      <c r="P49" s="38"/>
      <c r="Q49" s="38"/>
      <c r="R49" s="38"/>
      <c r="S49" s="38"/>
      <c r="T49" s="38"/>
      <c r="U49" s="38"/>
      <c r="V49" s="38"/>
      <c r="W49" s="38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</row>
    <row r="50" spans="1:36" ht="11.25" customHeight="1" x14ac:dyDescent="0.2">
      <c r="A50" s="35" t="s">
        <v>21</v>
      </c>
      <c r="B50" s="35" t="s">
        <v>43</v>
      </c>
      <c r="C50" s="35" t="s">
        <v>44</v>
      </c>
      <c r="D50" s="35" t="s">
        <v>40</v>
      </c>
      <c r="E50" s="35" t="s">
        <v>25</v>
      </c>
      <c r="F50" s="35" t="s">
        <v>25</v>
      </c>
      <c r="G50" s="35" t="s">
        <v>25</v>
      </c>
      <c r="H50" s="35" t="s">
        <v>37</v>
      </c>
      <c r="I50" s="45">
        <v>44531</v>
      </c>
      <c r="J50" s="46">
        <f>EFEITO!$J$50*EFEITO!$Y$50</f>
        <v>0</v>
      </c>
      <c r="K50" s="46">
        <f ca="1">EFEITO!$L$50*EFEITO!$Z$50</f>
        <v>11380.326730468212</v>
      </c>
      <c r="L50" s="46">
        <f>EFEITO!$N$50*EFEITO!$AA$50</f>
        <v>21940.271606287555</v>
      </c>
      <c r="M50" s="46">
        <f>$J$50-EFEITO!$K$50*EFEITO!$Y$50</f>
        <v>0</v>
      </c>
      <c r="N50" s="46">
        <f ca="1">$K$50-EFEITO!$M$50*EFEITO!$Z$50</f>
        <v>0</v>
      </c>
      <c r="O50" s="46">
        <f>$L$50-EFEITO!$O$50*EFEITO!$AA$50</f>
        <v>0</v>
      </c>
      <c r="P50" s="38"/>
      <c r="Q50" s="38"/>
      <c r="R50" s="38"/>
      <c r="S50" s="38"/>
      <c r="T50" s="38"/>
      <c r="U50" s="38"/>
      <c r="V50" s="38"/>
      <c r="W50" s="38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</row>
    <row r="51" spans="1:36" ht="11.25" customHeight="1" x14ac:dyDescent="0.2">
      <c r="A51" s="35" t="s">
        <v>27</v>
      </c>
      <c r="B51" s="35" t="s">
        <v>43</v>
      </c>
      <c r="C51" s="35" t="s">
        <v>44</v>
      </c>
      <c r="D51" s="35" t="s">
        <v>40</v>
      </c>
      <c r="E51" s="35" t="s">
        <v>25</v>
      </c>
      <c r="F51" s="35" t="s">
        <v>25</v>
      </c>
      <c r="G51" s="35" t="s">
        <v>25</v>
      </c>
      <c r="H51" s="35" t="s">
        <v>37</v>
      </c>
      <c r="I51" s="45">
        <v>44531</v>
      </c>
      <c r="J51" s="46">
        <f>EFEITO!$J$51*EFEITO!$Y$51</f>
        <v>0</v>
      </c>
      <c r="K51" s="46">
        <f ca="1">EFEITO!$L$51*EFEITO!$Z$51</f>
        <v>-397.00924524199365</v>
      </c>
      <c r="L51" s="46">
        <f>EFEITO!$N$51*EFEITO!$AA$51</f>
        <v>-765.39899750823736</v>
      </c>
      <c r="M51" s="46">
        <f>$J$51-EFEITO!$K$51*EFEITO!$Y$51</f>
        <v>0</v>
      </c>
      <c r="N51" s="46">
        <f ca="1">$K$51-EFEITO!$M$51*EFEITO!$Z$51</f>
        <v>0</v>
      </c>
      <c r="O51" s="46">
        <f>$L$51-EFEITO!$O$51*EFEITO!$AA$51</f>
        <v>0</v>
      </c>
      <c r="P51" s="38"/>
      <c r="Q51" s="38"/>
      <c r="R51" s="38"/>
      <c r="S51" s="38"/>
      <c r="T51" s="38"/>
      <c r="U51" s="38"/>
      <c r="V51" s="38"/>
      <c r="W51" s="38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</row>
    <row r="52" spans="1:36" ht="11.25" customHeight="1" x14ac:dyDescent="0.2">
      <c r="A52" s="35" t="s">
        <v>21</v>
      </c>
      <c r="B52" s="35" t="s">
        <v>43</v>
      </c>
      <c r="C52" s="35" t="s">
        <v>44</v>
      </c>
      <c r="D52" s="35" t="s">
        <v>40</v>
      </c>
      <c r="E52" s="35" t="s">
        <v>25</v>
      </c>
      <c r="F52" s="35" t="s">
        <v>25</v>
      </c>
      <c r="G52" s="35" t="s">
        <v>25</v>
      </c>
      <c r="H52" s="35" t="s">
        <v>37</v>
      </c>
      <c r="I52" s="45">
        <v>44562</v>
      </c>
      <c r="J52" s="46">
        <f>EFEITO!$J$52*EFEITO!$Y$52</f>
        <v>0</v>
      </c>
      <c r="K52" s="46">
        <f ca="1">EFEITO!$L$52*EFEITO!$Z$52</f>
        <v>11021.316941556523</v>
      </c>
      <c r="L52" s="46">
        <f>EFEITO!$N$52*EFEITO!$AA$52</f>
        <v>21248.132227112248</v>
      </c>
      <c r="M52" s="46">
        <f>$J$52-EFEITO!$K$52*EFEITO!$Y$52</f>
        <v>0</v>
      </c>
      <c r="N52" s="46">
        <f ca="1">$K$52-EFEITO!$M$52*EFEITO!$Z$52</f>
        <v>0</v>
      </c>
      <c r="O52" s="46">
        <f>$L$52-EFEITO!$O$52*EFEITO!$AA$52</f>
        <v>0</v>
      </c>
      <c r="P52" s="38"/>
      <c r="Q52" s="38"/>
      <c r="R52" s="38"/>
      <c r="S52" s="38"/>
      <c r="T52" s="38"/>
      <c r="U52" s="38"/>
      <c r="V52" s="38"/>
      <c r="W52" s="38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</row>
    <row r="53" spans="1:36" ht="11.25" customHeight="1" x14ac:dyDescent="0.2">
      <c r="A53" s="35" t="s">
        <v>21</v>
      </c>
      <c r="B53" s="35" t="s">
        <v>43</v>
      </c>
      <c r="C53" s="35" t="s">
        <v>44</v>
      </c>
      <c r="D53" s="35" t="s">
        <v>40</v>
      </c>
      <c r="E53" s="35" t="s">
        <v>25</v>
      </c>
      <c r="F53" s="35" t="s">
        <v>25</v>
      </c>
      <c r="G53" s="35" t="s">
        <v>25</v>
      </c>
      <c r="H53" s="35" t="s">
        <v>37</v>
      </c>
      <c r="I53" s="45">
        <v>44593</v>
      </c>
      <c r="J53" s="46">
        <f>EFEITO!$J$53*EFEITO!$Y$53</f>
        <v>0</v>
      </c>
      <c r="K53" s="46">
        <f ca="1">EFEITO!$L$53*EFEITO!$Z$53</f>
        <v>9225.2471160817422</v>
      </c>
      <c r="L53" s="46">
        <f>EFEITO!$N$53*EFEITO!$AA$53</f>
        <v>17785.467162384983</v>
      </c>
      <c r="M53" s="46">
        <f>$J$53-EFEITO!$K$53*EFEITO!$Y$53</f>
        <v>0</v>
      </c>
      <c r="N53" s="46">
        <f ca="1">$K$53-EFEITO!$M$53*EFEITO!$Z$53</f>
        <v>0</v>
      </c>
      <c r="O53" s="46">
        <f>$L$53-EFEITO!$O$53*EFEITO!$AA$53</f>
        <v>0</v>
      </c>
      <c r="P53" s="38"/>
      <c r="Q53" s="38"/>
      <c r="R53" s="38"/>
      <c r="S53" s="38"/>
      <c r="T53" s="38"/>
      <c r="U53" s="38"/>
      <c r="V53" s="38"/>
      <c r="W53" s="38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</row>
    <row r="54" spans="1:36" ht="11.25" customHeight="1" x14ac:dyDescent="0.2">
      <c r="A54" s="35" t="s">
        <v>21</v>
      </c>
      <c r="B54" s="35" t="s">
        <v>43</v>
      </c>
      <c r="C54" s="35" t="s">
        <v>44</v>
      </c>
      <c r="D54" s="35" t="s">
        <v>40</v>
      </c>
      <c r="E54" s="35" t="s">
        <v>25</v>
      </c>
      <c r="F54" s="35" t="s">
        <v>25</v>
      </c>
      <c r="G54" s="35" t="s">
        <v>25</v>
      </c>
      <c r="H54" s="35" t="s">
        <v>37</v>
      </c>
      <c r="I54" s="45">
        <v>44621</v>
      </c>
      <c r="J54" s="46">
        <f>EFEITO!$J$54*EFEITO!$Y$54</f>
        <v>0</v>
      </c>
      <c r="K54" s="46">
        <f ca="1">EFEITO!$L$54*EFEITO!$Z$54</f>
        <v>11044.57034020641</v>
      </c>
      <c r="L54" s="46">
        <f>EFEITO!$N$54*EFEITO!$AA$54</f>
        <v>21292.962739823444</v>
      </c>
      <c r="M54" s="46">
        <f>$J$54-EFEITO!$K$54*EFEITO!$Y$54</f>
        <v>0</v>
      </c>
      <c r="N54" s="46">
        <f ca="1">$K$54-EFEITO!$M$54*EFEITO!$Z$54</f>
        <v>0</v>
      </c>
      <c r="O54" s="46">
        <f>$L$54-EFEITO!$O$54*EFEITO!$AA$54</f>
        <v>0</v>
      </c>
      <c r="P54" s="38"/>
      <c r="Q54" s="38"/>
      <c r="R54" s="38"/>
      <c r="S54" s="38"/>
      <c r="T54" s="38"/>
      <c r="U54" s="38"/>
      <c r="V54" s="38"/>
      <c r="W54" s="38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</row>
    <row r="55" spans="1:36" ht="11.25" customHeight="1" x14ac:dyDescent="0.2">
      <c r="A55" s="35" t="s">
        <v>21</v>
      </c>
      <c r="B55" s="35" t="s">
        <v>43</v>
      </c>
      <c r="C55" s="35" t="s">
        <v>44</v>
      </c>
      <c r="D55" s="35" t="s">
        <v>40</v>
      </c>
      <c r="E55" s="35" t="s">
        <v>25</v>
      </c>
      <c r="F55" s="35" t="s">
        <v>25</v>
      </c>
      <c r="G55" s="35" t="s">
        <v>25</v>
      </c>
      <c r="H55" s="35" t="s">
        <v>37</v>
      </c>
      <c r="I55" s="45">
        <v>44652</v>
      </c>
      <c r="J55" s="46">
        <f>EFEITO!$J$55*EFEITO!$Y$55</f>
        <v>0</v>
      </c>
      <c r="K55" s="46">
        <f ca="1">EFEITO!$L$55*EFEITO!$Z$55</f>
        <v>19185.301629499954</v>
      </c>
      <c r="L55" s="46">
        <f>EFEITO!$N$55*EFEITO!$AA$55</f>
        <v>36987.57852644378</v>
      </c>
      <c r="M55" s="46">
        <f>$J$55-EFEITO!$K$55*EFEITO!$Y$55</f>
        <v>0</v>
      </c>
      <c r="N55" s="46">
        <f ca="1">$K$55-EFEITO!$M$55*EFEITO!$Z$55</f>
        <v>0</v>
      </c>
      <c r="O55" s="46">
        <f>$L$55-EFEITO!$O$55*EFEITO!$AA$55</f>
        <v>0</v>
      </c>
      <c r="P55" s="38"/>
      <c r="Q55" s="38"/>
      <c r="R55" s="38"/>
      <c r="S55" s="38"/>
      <c r="T55" s="38"/>
      <c r="U55" s="38"/>
      <c r="V55" s="38"/>
      <c r="W55" s="38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</row>
    <row r="56" spans="1:36" ht="11.25" customHeight="1" x14ac:dyDescent="0.2">
      <c r="A56" s="35" t="s">
        <v>21</v>
      </c>
      <c r="B56" s="35" t="s">
        <v>43</v>
      </c>
      <c r="C56" s="35" t="s">
        <v>44</v>
      </c>
      <c r="D56" s="35" t="s">
        <v>40</v>
      </c>
      <c r="E56" s="35" t="s">
        <v>25</v>
      </c>
      <c r="F56" s="35" t="s">
        <v>25</v>
      </c>
      <c r="G56" s="35" t="s">
        <v>25</v>
      </c>
      <c r="H56" s="35" t="s">
        <v>37</v>
      </c>
      <c r="I56" s="45">
        <v>44682</v>
      </c>
      <c r="J56" s="46">
        <f>EFEITO!$J$56*EFEITO!$Y$56</f>
        <v>0</v>
      </c>
      <c r="K56" s="46">
        <f ca="1">EFEITO!$L$56*EFEITO!$Z$56</f>
        <v>10280.611121147889</v>
      </c>
      <c r="L56" s="46">
        <f>EFEITO!$N$56*EFEITO!$AA$56</f>
        <v>19820.116383189736</v>
      </c>
      <c r="M56" s="46">
        <f>$J$56-EFEITO!$K$56*EFEITO!$Y$56</f>
        <v>0</v>
      </c>
      <c r="N56" s="46">
        <f ca="1">$K$56-EFEITO!$M$56*EFEITO!$Z$56</f>
        <v>0</v>
      </c>
      <c r="O56" s="46">
        <f>$L$56-EFEITO!$O$56*EFEITO!$AA$56</f>
        <v>0</v>
      </c>
      <c r="P56" s="38"/>
      <c r="Q56" s="38"/>
      <c r="R56" s="38"/>
      <c r="S56" s="38"/>
      <c r="T56" s="38"/>
      <c r="U56" s="38"/>
      <c r="V56" s="38"/>
      <c r="W56" s="38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</row>
    <row r="57" spans="1:36" ht="11.25" customHeight="1" x14ac:dyDescent="0.2">
      <c r="A57" s="35" t="s">
        <v>21</v>
      </c>
      <c r="B57" s="35" t="s">
        <v>43</v>
      </c>
      <c r="C57" s="35" t="s">
        <v>44</v>
      </c>
      <c r="D57" s="35" t="s">
        <v>40</v>
      </c>
      <c r="E57" s="35" t="s">
        <v>25</v>
      </c>
      <c r="F57" s="35" t="s">
        <v>25</v>
      </c>
      <c r="G57" s="35" t="s">
        <v>25</v>
      </c>
      <c r="H57" s="35" t="s">
        <v>37</v>
      </c>
      <c r="I57" s="45">
        <v>44713</v>
      </c>
      <c r="J57" s="46">
        <f>EFEITO!$J$57*EFEITO!$Y$57</f>
        <v>0</v>
      </c>
      <c r="K57" s="46">
        <f ca="1">EFEITO!$L$57*EFEITO!$Z$57</f>
        <v>10490.458865061515</v>
      </c>
      <c r="L57" s="46">
        <f>EFEITO!$N$57*EFEITO!$AA$57</f>
        <v>20224.684424729807</v>
      </c>
      <c r="M57" s="46">
        <f>$J$57-EFEITO!$K$57*EFEITO!$Y$57</f>
        <v>0</v>
      </c>
      <c r="N57" s="46">
        <f ca="1">$K$57-EFEITO!$M$57*EFEITO!$Z$57</f>
        <v>0</v>
      </c>
      <c r="O57" s="46">
        <f>$L$57-EFEITO!$O$57*EFEITO!$AA$57</f>
        <v>0</v>
      </c>
      <c r="P57" s="38"/>
      <c r="Q57" s="38"/>
      <c r="R57" s="38"/>
      <c r="S57" s="38"/>
      <c r="T57" s="38"/>
      <c r="U57" s="38"/>
      <c r="V57" s="38"/>
      <c r="W57" s="38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</row>
    <row r="58" spans="1:36" ht="11.25" customHeight="1" x14ac:dyDescent="0.2">
      <c r="A58" s="35" t="s">
        <v>27</v>
      </c>
      <c r="B58" s="35" t="s">
        <v>43</v>
      </c>
      <c r="C58" s="35" t="s">
        <v>44</v>
      </c>
      <c r="D58" s="35" t="s">
        <v>40</v>
      </c>
      <c r="E58" s="35" t="s">
        <v>25</v>
      </c>
      <c r="F58" s="35" t="s">
        <v>25</v>
      </c>
      <c r="G58" s="35" t="s">
        <v>25</v>
      </c>
      <c r="H58" s="35" t="s">
        <v>37</v>
      </c>
      <c r="I58" s="45">
        <v>44713</v>
      </c>
      <c r="J58" s="46">
        <f>EFEITO!$J$58*EFEITO!$Y$58</f>
        <v>0</v>
      </c>
      <c r="K58" s="46">
        <f ca="1">EFEITO!$L$58*EFEITO!$Z$58</f>
        <v>2131.9396469495064</v>
      </c>
      <c r="L58" s="46">
        <f>EFEITO!$N$58*EFEITO!$AA$58</f>
        <v>4110.1926166192352</v>
      </c>
      <c r="M58" s="46">
        <f>$J$58-EFEITO!$K$58*EFEITO!$Y$58</f>
        <v>0</v>
      </c>
      <c r="N58" s="46">
        <f ca="1">$K$58-EFEITO!$M$58*EFEITO!$Z$58</f>
        <v>0</v>
      </c>
      <c r="O58" s="46">
        <f>$L$58-EFEITO!$O$58*EFEITO!$AA$58</f>
        <v>0</v>
      </c>
      <c r="P58" s="38"/>
      <c r="Q58" s="38"/>
      <c r="R58" s="38"/>
      <c r="S58" s="38"/>
      <c r="T58" s="38"/>
      <c r="U58" s="38"/>
      <c r="V58" s="38"/>
      <c r="W58" s="38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</row>
    <row r="59" spans="1:36" ht="11.25" customHeight="1" x14ac:dyDescent="0.2">
      <c r="A59" s="35" t="s">
        <v>21</v>
      </c>
      <c r="B59" s="35" t="s">
        <v>43</v>
      </c>
      <c r="C59" s="35" t="s">
        <v>44</v>
      </c>
      <c r="D59" s="35" t="s">
        <v>40</v>
      </c>
      <c r="E59" s="35" t="s">
        <v>25</v>
      </c>
      <c r="F59" s="35" t="s">
        <v>25</v>
      </c>
      <c r="G59" s="35" t="s">
        <v>25</v>
      </c>
      <c r="H59" s="35" t="s">
        <v>37</v>
      </c>
      <c r="I59" s="45">
        <v>44743</v>
      </c>
      <c r="J59" s="46">
        <f>EFEITO!$J$59*EFEITO!$Y$59</f>
        <v>0</v>
      </c>
      <c r="K59" s="46">
        <f ca="1">EFEITO!$L$59*EFEITO!$Z$59</f>
        <v>11123.178170764328</v>
      </c>
      <c r="L59" s="46">
        <f>EFEITO!$N$59*EFEITO!$AA$59</f>
        <v>21444.51174133008</v>
      </c>
      <c r="M59" s="46">
        <f>$J$59-EFEITO!$K$59*EFEITO!$Y$59</f>
        <v>0</v>
      </c>
      <c r="N59" s="46">
        <f ca="1">$K$59-EFEITO!$M$59*EFEITO!$Z$59</f>
        <v>0</v>
      </c>
      <c r="O59" s="46">
        <f>$L$59-EFEITO!$O$59*EFEITO!$AA$59</f>
        <v>0</v>
      </c>
      <c r="P59" s="38"/>
      <c r="Q59" s="38"/>
      <c r="R59" s="38"/>
      <c r="S59" s="38"/>
      <c r="T59" s="38"/>
      <c r="U59" s="38"/>
      <c r="V59" s="38"/>
      <c r="W59" s="38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</row>
    <row r="60" spans="1:36" ht="11.25" customHeight="1" x14ac:dyDescent="0.2">
      <c r="A60" s="35" t="s">
        <v>27</v>
      </c>
      <c r="B60" s="35" t="s">
        <v>43</v>
      </c>
      <c r="C60" s="35" t="s">
        <v>44</v>
      </c>
      <c r="D60" s="35" t="s">
        <v>40</v>
      </c>
      <c r="E60" s="35" t="s">
        <v>25</v>
      </c>
      <c r="F60" s="35" t="s">
        <v>25</v>
      </c>
      <c r="G60" s="35" t="s">
        <v>25</v>
      </c>
      <c r="H60" s="35" t="s">
        <v>37</v>
      </c>
      <c r="I60" s="45">
        <v>44743</v>
      </c>
      <c r="J60" s="46">
        <f>EFEITO!$J$60*EFEITO!$Y$60</f>
        <v>0</v>
      </c>
      <c r="K60" s="46">
        <f ca="1">EFEITO!$L$60*EFEITO!$Z$60</f>
        <v>1276.3280078465466</v>
      </c>
      <c r="L60" s="46">
        <f>EFEITO!$N$60*EFEITO!$AA$60</f>
        <v>2460.6484342750537</v>
      </c>
      <c r="M60" s="46">
        <f>$J$60-EFEITO!$K$60*EFEITO!$Y$60</f>
        <v>0</v>
      </c>
      <c r="N60" s="46">
        <f ca="1">$K$60-EFEITO!$M$60*EFEITO!$Z$60</f>
        <v>0</v>
      </c>
      <c r="O60" s="46">
        <f>$L$60-EFEITO!$O$60*EFEITO!$AA$60</f>
        <v>0</v>
      </c>
      <c r="P60" s="38"/>
      <c r="Q60" s="38"/>
      <c r="R60" s="38"/>
      <c r="S60" s="38"/>
      <c r="T60" s="38"/>
      <c r="U60" s="38"/>
      <c r="V60" s="38"/>
      <c r="W60" s="38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</row>
    <row r="61" spans="1:36" ht="11.25" customHeight="1" x14ac:dyDescent="0.2">
      <c r="A61" s="35" t="s">
        <v>21</v>
      </c>
      <c r="B61" s="35" t="s">
        <v>43</v>
      </c>
      <c r="C61" s="35" t="s">
        <v>44</v>
      </c>
      <c r="D61" s="35" t="s">
        <v>40</v>
      </c>
      <c r="E61" s="35" t="s">
        <v>25</v>
      </c>
      <c r="F61" s="35" t="s">
        <v>25</v>
      </c>
      <c r="G61" s="35" t="s">
        <v>25</v>
      </c>
      <c r="H61" s="35" t="s">
        <v>37</v>
      </c>
      <c r="I61" s="45">
        <v>44774</v>
      </c>
      <c r="J61" s="46">
        <f>EFEITO!$J$61*EFEITO!$Y$61</f>
        <v>0</v>
      </c>
      <c r="K61" s="46">
        <f ca="1">EFEITO!$L$61*EFEITO!$Z$61</f>
        <v>13628.646801880084</v>
      </c>
      <c r="L61" s="46">
        <f>EFEITO!$N$61*EFEITO!$AA$61</f>
        <v>26274.835471890634</v>
      </c>
      <c r="M61" s="46">
        <f>$J$61-EFEITO!$K$61*EFEITO!$Y$61</f>
        <v>0</v>
      </c>
      <c r="N61" s="46">
        <f ca="1">$K$61-EFEITO!$M$61*EFEITO!$Z$61</f>
        <v>0</v>
      </c>
      <c r="O61" s="46">
        <f>$L$61-EFEITO!$O$61*EFEITO!$AA$61</f>
        <v>0</v>
      </c>
      <c r="P61" s="38"/>
      <c r="Q61" s="38"/>
      <c r="R61" s="38"/>
      <c r="S61" s="38"/>
      <c r="T61" s="38"/>
      <c r="U61" s="38"/>
      <c r="V61" s="38"/>
      <c r="W61" s="38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</row>
    <row r="62" spans="1:36" ht="11.25" customHeight="1" x14ac:dyDescent="0.2">
      <c r="A62" s="35" t="s">
        <v>27</v>
      </c>
      <c r="B62" s="35" t="s">
        <v>43</v>
      </c>
      <c r="C62" s="35" t="s">
        <v>44</v>
      </c>
      <c r="D62" s="35" t="s">
        <v>40</v>
      </c>
      <c r="E62" s="35" t="s">
        <v>25</v>
      </c>
      <c r="F62" s="35" t="s">
        <v>25</v>
      </c>
      <c r="G62" s="35" t="s">
        <v>25</v>
      </c>
      <c r="H62" s="35" t="s">
        <v>37</v>
      </c>
      <c r="I62" s="45">
        <v>44774</v>
      </c>
      <c r="J62" s="46">
        <f>EFEITO!$J$62*EFEITO!$Y$62</f>
        <v>0</v>
      </c>
      <c r="K62" s="46">
        <f ca="1">EFEITO!$L$62*EFEITO!$Z$62</f>
        <v>-4024.9931594762584</v>
      </c>
      <c r="L62" s="46">
        <f>EFEITO!$N$62*EFEITO!$AA$62</f>
        <v>-7759.8337221663705</v>
      </c>
      <c r="M62" s="46">
        <f>$J$62-EFEITO!$K$62*EFEITO!$Y$62</f>
        <v>0</v>
      </c>
      <c r="N62" s="46">
        <f ca="1">$K$62-EFEITO!$M$62*EFEITO!$Z$62</f>
        <v>0</v>
      </c>
      <c r="O62" s="46">
        <f>$L$62-EFEITO!$O$62*EFEITO!$AA$62</f>
        <v>0</v>
      </c>
      <c r="P62" s="38"/>
      <c r="Q62" s="38"/>
      <c r="R62" s="38"/>
      <c r="S62" s="38"/>
      <c r="T62" s="38"/>
      <c r="U62" s="38"/>
      <c r="V62" s="38"/>
      <c r="W62" s="38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</row>
    <row r="63" spans="1:36" ht="11.25" customHeight="1" x14ac:dyDescent="0.2">
      <c r="A63" s="35" t="s">
        <v>21</v>
      </c>
      <c r="B63" s="35" t="s">
        <v>43</v>
      </c>
      <c r="C63" s="35" t="s">
        <v>44</v>
      </c>
      <c r="D63" s="35" t="s">
        <v>40</v>
      </c>
      <c r="E63" s="35" t="s">
        <v>25</v>
      </c>
      <c r="F63" s="35" t="s">
        <v>25</v>
      </c>
      <c r="G63" s="35" t="s">
        <v>25</v>
      </c>
      <c r="H63" s="35" t="s">
        <v>37</v>
      </c>
      <c r="I63" s="45">
        <v>44805</v>
      </c>
      <c r="J63" s="46">
        <f>EFEITO!$J$63*EFEITO!$Y$63</f>
        <v>0</v>
      </c>
      <c r="K63" s="46">
        <f ca="1">EFEITO!$L$63*EFEITO!$Z$63</f>
        <v>30176.899593269787</v>
      </c>
      <c r="L63" s="46">
        <f>EFEITO!$N$63*EFEITO!$AA$63</f>
        <v>58178.415171456836</v>
      </c>
      <c r="M63" s="46">
        <f>$J$63-EFEITO!$K$63*EFEITO!$Y$63</f>
        <v>0</v>
      </c>
      <c r="N63" s="46">
        <f ca="1">$K$63-EFEITO!$M$63*EFEITO!$Z$63</f>
        <v>0</v>
      </c>
      <c r="O63" s="46">
        <f>$L$63-EFEITO!$O$63*EFEITO!$AA$63</f>
        <v>0</v>
      </c>
      <c r="P63" s="38"/>
      <c r="Q63" s="38"/>
      <c r="R63" s="38"/>
      <c r="S63" s="38"/>
      <c r="T63" s="38"/>
      <c r="U63" s="38"/>
      <c r="V63" s="38"/>
      <c r="W63" s="38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</row>
    <row r="64" spans="1:36" ht="11.25" customHeight="1" x14ac:dyDescent="0.2">
      <c r="A64" s="35" t="s">
        <v>27</v>
      </c>
      <c r="B64" s="35" t="s">
        <v>43</v>
      </c>
      <c r="C64" s="35" t="s">
        <v>44</v>
      </c>
      <c r="D64" s="35" t="s">
        <v>40</v>
      </c>
      <c r="E64" s="35" t="s">
        <v>25</v>
      </c>
      <c r="F64" s="35" t="s">
        <v>25</v>
      </c>
      <c r="G64" s="35" t="s">
        <v>25</v>
      </c>
      <c r="H64" s="35" t="s">
        <v>37</v>
      </c>
      <c r="I64" s="45">
        <v>44805</v>
      </c>
      <c r="J64" s="46">
        <f>EFEITO!$J$64*EFEITO!$Y$64</f>
        <v>0</v>
      </c>
      <c r="K64" s="46">
        <f ca="1">EFEITO!$L$64*EFEITO!$Z$64</f>
        <v>1164.0311070495254</v>
      </c>
      <c r="L64" s="46">
        <f>EFEITO!$N$64*EFEITO!$AA$64</f>
        <v>2244.1498606941523</v>
      </c>
      <c r="M64" s="46">
        <f>$J$64-EFEITO!$K$64*EFEITO!$Y$64</f>
        <v>0</v>
      </c>
      <c r="N64" s="46">
        <f ca="1">$K$64-EFEITO!$M$64*EFEITO!$Z$64</f>
        <v>0</v>
      </c>
      <c r="O64" s="46">
        <f>$L$64-EFEITO!$O$64*EFEITO!$AA$64</f>
        <v>0</v>
      </c>
      <c r="P64" s="38"/>
      <c r="Q64" s="38"/>
      <c r="R64" s="38"/>
      <c r="S64" s="38"/>
      <c r="T64" s="38"/>
      <c r="U64" s="38"/>
      <c r="V64" s="38"/>
      <c r="W64" s="38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</row>
    <row r="65" spans="1:36" ht="11.25" customHeight="1" x14ac:dyDescent="0.2">
      <c r="A65" s="35" t="s">
        <v>21</v>
      </c>
      <c r="B65" s="35" t="s">
        <v>43</v>
      </c>
      <c r="C65" s="35" t="s">
        <v>44</v>
      </c>
      <c r="D65" s="35" t="s">
        <v>40</v>
      </c>
      <c r="E65" s="35" t="s">
        <v>25</v>
      </c>
      <c r="F65" s="35" t="s">
        <v>25</v>
      </c>
      <c r="G65" s="35" t="s">
        <v>25</v>
      </c>
      <c r="H65" s="35" t="s">
        <v>37</v>
      </c>
      <c r="I65" s="45">
        <v>44835</v>
      </c>
      <c r="J65" s="46">
        <f>EFEITO!$J$65*EFEITO!$Y$65</f>
        <v>0</v>
      </c>
      <c r="K65" s="46">
        <f ca="1">EFEITO!$L$65*EFEITO!$Z$65</f>
        <v>16278.286504625152</v>
      </c>
      <c r="L65" s="46">
        <f>EFEITO!$N$65*EFEITO!$AA$65</f>
        <v>31383.108381260612</v>
      </c>
      <c r="M65" s="46">
        <f>$J$65-EFEITO!$K$65*EFEITO!$Y$65</f>
        <v>0</v>
      </c>
      <c r="N65" s="46">
        <f ca="1">$K$65-EFEITO!$M$65*EFEITO!$Z$65</f>
        <v>0</v>
      </c>
      <c r="O65" s="46">
        <f>$L$65-EFEITO!$O$65*EFEITO!$AA$65</f>
        <v>0</v>
      </c>
      <c r="P65" s="38"/>
      <c r="Q65" s="38"/>
      <c r="R65" s="38"/>
      <c r="S65" s="38"/>
      <c r="T65" s="38"/>
      <c r="U65" s="38"/>
      <c r="V65" s="38"/>
      <c r="W65" s="38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</row>
    <row r="66" spans="1:36" ht="11.25" customHeight="1" x14ac:dyDescent="0.2">
      <c r="A66" s="35" t="s">
        <v>30</v>
      </c>
      <c r="B66" s="35" t="s">
        <v>43</v>
      </c>
      <c r="C66" s="35" t="s">
        <v>44</v>
      </c>
      <c r="D66" s="35" t="s">
        <v>40</v>
      </c>
      <c r="E66" s="35" t="s">
        <v>25</v>
      </c>
      <c r="F66" s="35" t="s">
        <v>25</v>
      </c>
      <c r="G66" s="35" t="s">
        <v>25</v>
      </c>
      <c r="H66" s="35" t="s">
        <v>37</v>
      </c>
      <c r="I66" s="45">
        <v>44835</v>
      </c>
      <c r="J66" s="46">
        <f>EFEITO!$J$66*EFEITO!$Y$66</f>
        <v>0</v>
      </c>
      <c r="K66" s="46">
        <f ca="1">EFEITO!$L$66*EFEITO!$Z$66</f>
        <v>9.4147906728815638</v>
      </c>
      <c r="L66" s="46">
        <f>EFEITO!$N$66*EFEITO!$AA$66</f>
        <v>18.150890512338201</v>
      </c>
      <c r="M66" s="46">
        <f>$J$66-EFEITO!$K$66*EFEITO!$Y$66</f>
        <v>0</v>
      </c>
      <c r="N66" s="46">
        <f ca="1">$K$66-EFEITO!$M$66*EFEITO!$Z$66</f>
        <v>0</v>
      </c>
      <c r="O66" s="46">
        <f>$L$66-EFEITO!$O$66*EFEITO!$AA$66</f>
        <v>0</v>
      </c>
      <c r="P66" s="38"/>
      <c r="Q66" s="38"/>
      <c r="R66" s="38"/>
      <c r="S66" s="38"/>
      <c r="T66" s="38"/>
      <c r="U66" s="38"/>
      <c r="V66" s="38"/>
      <c r="W66" s="38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</row>
    <row r="67" spans="1:36" ht="11.25" customHeight="1" x14ac:dyDescent="0.2">
      <c r="A67" s="35" t="s">
        <v>59</v>
      </c>
      <c r="B67" s="35" t="s">
        <v>43</v>
      </c>
      <c r="C67" s="35" t="s">
        <v>44</v>
      </c>
      <c r="D67" s="35" t="s">
        <v>40</v>
      </c>
      <c r="E67" s="35" t="s">
        <v>25</v>
      </c>
      <c r="F67" s="35" t="s">
        <v>25</v>
      </c>
      <c r="G67" s="35" t="s">
        <v>25</v>
      </c>
      <c r="H67" s="35" t="s">
        <v>37</v>
      </c>
      <c r="I67" s="45">
        <v>44866</v>
      </c>
      <c r="J67" s="46">
        <f>EFEITO!$J$67*EFEITO!$Y$67</f>
        <v>0</v>
      </c>
      <c r="K67" s="46">
        <f ca="1">EFEITO!$L$67*EFEITO!$Z$67</f>
        <v>16278.286504625152</v>
      </c>
      <c r="L67" s="46">
        <f>EFEITO!$N$67*EFEITO!$AA$67</f>
        <v>31383.108381260612</v>
      </c>
      <c r="M67" s="46">
        <f>$J$67-EFEITO!$K$67*EFEITO!$Y$67</f>
        <v>0</v>
      </c>
      <c r="N67" s="46">
        <f ca="1">$K$67-EFEITO!$M$67*EFEITO!$Z$67</f>
        <v>0</v>
      </c>
      <c r="O67" s="46">
        <f>$L$67-EFEITO!$O$67*EFEITO!$AA$67</f>
        <v>0</v>
      </c>
      <c r="P67" s="38"/>
      <c r="Q67" s="38"/>
      <c r="R67" s="38"/>
      <c r="S67" s="38"/>
      <c r="T67" s="38"/>
      <c r="U67" s="38"/>
      <c r="V67" s="38"/>
      <c r="W67" s="38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</row>
    <row r="68" spans="1:36" ht="11.25" customHeight="1" x14ac:dyDescent="0.2">
      <c r="A68" s="35" t="s">
        <v>59</v>
      </c>
      <c r="B68" s="35" t="s">
        <v>43</v>
      </c>
      <c r="C68" s="35" t="s">
        <v>44</v>
      </c>
      <c r="D68" s="35" t="s">
        <v>40</v>
      </c>
      <c r="E68" s="35" t="s">
        <v>25</v>
      </c>
      <c r="F68" s="35" t="s">
        <v>25</v>
      </c>
      <c r="G68" s="35" t="s">
        <v>25</v>
      </c>
      <c r="H68" s="35" t="s">
        <v>37</v>
      </c>
      <c r="I68" s="45">
        <v>44866</v>
      </c>
      <c r="J68" s="46">
        <f>EFEITO!$J$68*EFEITO!$Y$68</f>
        <v>0</v>
      </c>
      <c r="K68" s="46">
        <f ca="1">EFEITO!$L$68*EFEITO!$Z$68</f>
        <v>9.4147906728815638</v>
      </c>
      <c r="L68" s="46">
        <f>EFEITO!$N$68*EFEITO!$AA$68</f>
        <v>18.150890512338201</v>
      </c>
      <c r="M68" s="46">
        <f>$J$68-EFEITO!$K$68*EFEITO!$Y$68</f>
        <v>0</v>
      </c>
      <c r="N68" s="46">
        <f ca="1">$K$68-EFEITO!$M$68*EFEITO!$Z$68</f>
        <v>0</v>
      </c>
      <c r="O68" s="46">
        <f>$L$68-EFEITO!$O$68*EFEITO!$AA$68</f>
        <v>0</v>
      </c>
      <c r="P68" s="38"/>
      <c r="Q68" s="38"/>
      <c r="R68" s="38"/>
      <c r="S68" s="38"/>
      <c r="T68" s="38"/>
      <c r="U68" s="38"/>
      <c r="V68" s="38"/>
      <c r="W68" s="38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</row>
    <row r="69" spans="1:36" ht="11.25" customHeight="1" x14ac:dyDescent="0.2">
      <c r="A69" s="35" t="s">
        <v>21</v>
      </c>
      <c r="B69" s="35" t="s">
        <v>43</v>
      </c>
      <c r="C69" s="35" t="s">
        <v>44</v>
      </c>
      <c r="D69" s="35" t="s">
        <v>40</v>
      </c>
      <c r="E69" s="35" t="s">
        <v>25</v>
      </c>
      <c r="F69" s="35" t="s">
        <v>25</v>
      </c>
      <c r="G69" s="35" t="s">
        <v>25</v>
      </c>
      <c r="H69" s="35" t="s">
        <v>25</v>
      </c>
      <c r="I69" s="45">
        <v>44531</v>
      </c>
      <c r="J69" s="46">
        <f ca="1">EFEITO!$J$69*EFEITO!$Y$69</f>
        <v>8493.4683040530181</v>
      </c>
      <c r="K69" s="46">
        <f>EFEITO!$L$69*EFEITO!$Z$69</f>
        <v>0</v>
      </c>
      <c r="L69" s="46">
        <f>EFEITO!$N$69*EFEITO!$AA$69</f>
        <v>0</v>
      </c>
      <c r="M69" s="46">
        <f ca="1">$J$69-EFEITO!$K$69*EFEITO!$Y$69</f>
        <v>0</v>
      </c>
      <c r="N69" s="46">
        <f>$K$69-EFEITO!$M$69*EFEITO!$Z$69</f>
        <v>0</v>
      </c>
      <c r="O69" s="46">
        <f>$L$69-EFEITO!$O$69*EFEITO!$AA$69</f>
        <v>0</v>
      </c>
      <c r="P69" s="38"/>
      <c r="Q69" s="38"/>
      <c r="R69" s="38"/>
      <c r="S69" s="38"/>
      <c r="T69" s="38"/>
      <c r="U69" s="38"/>
      <c r="V69" s="38"/>
      <c r="W69" s="38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</row>
    <row r="70" spans="1:36" ht="11.25" customHeight="1" x14ac:dyDescent="0.2">
      <c r="A70" s="35" t="s">
        <v>21</v>
      </c>
      <c r="B70" s="35" t="s">
        <v>43</v>
      </c>
      <c r="C70" s="35" t="s">
        <v>44</v>
      </c>
      <c r="D70" s="35" t="s">
        <v>40</v>
      </c>
      <c r="E70" s="35" t="s">
        <v>25</v>
      </c>
      <c r="F70" s="35" t="s">
        <v>25</v>
      </c>
      <c r="G70" s="35" t="s">
        <v>25</v>
      </c>
      <c r="H70" s="35" t="s">
        <v>25</v>
      </c>
      <c r="I70" s="45">
        <v>44562</v>
      </c>
      <c r="J70" s="46">
        <f ca="1">EFEITO!$J$70*EFEITO!$Y$70</f>
        <v>8266.7009464205348</v>
      </c>
      <c r="K70" s="46">
        <f>EFEITO!$L$70*EFEITO!$Z$70</f>
        <v>0</v>
      </c>
      <c r="L70" s="46">
        <f>EFEITO!$N$70*EFEITO!$AA$70</f>
        <v>0</v>
      </c>
      <c r="M70" s="46">
        <f ca="1">$J$70-EFEITO!$K$70*EFEITO!$Y$70</f>
        <v>0</v>
      </c>
      <c r="N70" s="46">
        <f>$K$70-EFEITO!$M$70*EFEITO!$Z$70</f>
        <v>0</v>
      </c>
      <c r="O70" s="46">
        <f>$L$70-EFEITO!$O$70*EFEITO!$AA$70</f>
        <v>0</v>
      </c>
      <c r="P70" s="38"/>
      <c r="Q70" s="38"/>
      <c r="R70" s="38"/>
      <c r="S70" s="38"/>
      <c r="T70" s="38"/>
      <c r="U70" s="38"/>
      <c r="V70" s="38"/>
      <c r="W70" s="38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</row>
    <row r="71" spans="1:36" ht="11.25" customHeight="1" x14ac:dyDescent="0.2">
      <c r="A71" s="35" t="s">
        <v>21</v>
      </c>
      <c r="B71" s="35" t="s">
        <v>43</v>
      </c>
      <c r="C71" s="35" t="s">
        <v>44</v>
      </c>
      <c r="D71" s="35" t="s">
        <v>40</v>
      </c>
      <c r="E71" s="35" t="s">
        <v>25</v>
      </c>
      <c r="F71" s="35" t="s">
        <v>25</v>
      </c>
      <c r="G71" s="35" t="s">
        <v>25</v>
      </c>
      <c r="H71" s="35" t="s">
        <v>25</v>
      </c>
      <c r="I71" s="45">
        <v>44593</v>
      </c>
      <c r="J71" s="46">
        <f ca="1">EFEITO!$J$71*EFEITO!$Y$71</f>
        <v>8204.8553034298566</v>
      </c>
      <c r="K71" s="46">
        <f>EFEITO!$L$71*EFEITO!$Z$71</f>
        <v>0</v>
      </c>
      <c r="L71" s="46">
        <f>EFEITO!$N$71*EFEITO!$AA$71</f>
        <v>0</v>
      </c>
      <c r="M71" s="46">
        <f ca="1">$J$71-EFEITO!$K$71*EFEITO!$Y$71</f>
        <v>0</v>
      </c>
      <c r="N71" s="46">
        <f>$K$71-EFEITO!$M$71*EFEITO!$Z$71</f>
        <v>0</v>
      </c>
      <c r="O71" s="46">
        <f>$L$71-EFEITO!$O$71*EFEITO!$AA$71</f>
        <v>0</v>
      </c>
      <c r="P71" s="38"/>
      <c r="Q71" s="38"/>
      <c r="R71" s="38"/>
      <c r="S71" s="38"/>
      <c r="T71" s="38"/>
      <c r="U71" s="38"/>
      <c r="V71" s="38"/>
      <c r="W71" s="38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</row>
    <row r="72" spans="1:36" ht="11.25" customHeight="1" x14ac:dyDescent="0.2">
      <c r="A72" s="35" t="s">
        <v>21</v>
      </c>
      <c r="B72" s="35" t="s">
        <v>43</v>
      </c>
      <c r="C72" s="35" t="s">
        <v>44</v>
      </c>
      <c r="D72" s="35" t="s">
        <v>40</v>
      </c>
      <c r="E72" s="35" t="s">
        <v>25</v>
      </c>
      <c r="F72" s="35" t="s">
        <v>25</v>
      </c>
      <c r="G72" s="35" t="s">
        <v>25</v>
      </c>
      <c r="H72" s="35" t="s">
        <v>25</v>
      </c>
      <c r="I72" s="45">
        <v>44621</v>
      </c>
      <c r="J72" s="46">
        <f ca="1">EFEITO!$J$72*EFEITO!$Y$72</f>
        <v>9606.6898778852101</v>
      </c>
      <c r="K72" s="46">
        <f>EFEITO!$L$72*EFEITO!$Z$72</f>
        <v>0</v>
      </c>
      <c r="L72" s="46">
        <f>EFEITO!$N$72*EFEITO!$AA$72</f>
        <v>0</v>
      </c>
      <c r="M72" s="46">
        <f ca="1">$J$72-EFEITO!$K$72*EFEITO!$Y$72</f>
        <v>0</v>
      </c>
      <c r="N72" s="46">
        <f>$K$72-EFEITO!$M$72*EFEITO!$Z$72</f>
        <v>0</v>
      </c>
      <c r="O72" s="46">
        <f>$L$72-EFEITO!$O$72*EFEITO!$AA$72</f>
        <v>0</v>
      </c>
      <c r="P72" s="38"/>
      <c r="Q72" s="38"/>
      <c r="R72" s="38"/>
      <c r="S72" s="38"/>
      <c r="T72" s="38"/>
      <c r="U72" s="38"/>
      <c r="V72" s="38"/>
      <c r="W72" s="38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</row>
    <row r="73" spans="1:36" ht="11.25" customHeight="1" x14ac:dyDescent="0.2">
      <c r="A73" s="35" t="s">
        <v>21</v>
      </c>
      <c r="B73" s="35" t="s">
        <v>43</v>
      </c>
      <c r="C73" s="35" t="s">
        <v>44</v>
      </c>
      <c r="D73" s="35" t="s">
        <v>40</v>
      </c>
      <c r="E73" s="35" t="s">
        <v>25</v>
      </c>
      <c r="F73" s="35" t="s">
        <v>25</v>
      </c>
      <c r="G73" s="35" t="s">
        <v>25</v>
      </c>
      <c r="H73" s="35" t="s">
        <v>25</v>
      </c>
      <c r="I73" s="45">
        <v>44652</v>
      </c>
      <c r="J73" s="46">
        <f ca="1">EFEITO!$J$73*EFEITO!$Y$73</f>
        <v>8328.5465894112112</v>
      </c>
      <c r="K73" s="46">
        <f>EFEITO!$L$73*EFEITO!$Z$73</f>
        <v>0</v>
      </c>
      <c r="L73" s="46">
        <f>EFEITO!$N$73*EFEITO!$AA$73</f>
        <v>0</v>
      </c>
      <c r="M73" s="46">
        <f ca="1">$J$73-EFEITO!$K$73*EFEITO!$Y$73</f>
        <v>0</v>
      </c>
      <c r="N73" s="46">
        <f>$K$73-EFEITO!$M$73*EFEITO!$Z$73</f>
        <v>0</v>
      </c>
      <c r="O73" s="46">
        <f>$L$73-EFEITO!$O$73*EFEITO!$AA$73</f>
        <v>0</v>
      </c>
      <c r="P73" s="38"/>
      <c r="Q73" s="38"/>
      <c r="R73" s="38"/>
      <c r="S73" s="38"/>
      <c r="T73" s="38"/>
      <c r="U73" s="38"/>
      <c r="V73" s="38"/>
      <c r="W73" s="38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</row>
    <row r="74" spans="1:36" ht="11.25" customHeight="1" x14ac:dyDescent="0.2">
      <c r="A74" s="35" t="s">
        <v>21</v>
      </c>
      <c r="B74" s="35" t="s">
        <v>43</v>
      </c>
      <c r="C74" s="35" t="s">
        <v>44</v>
      </c>
      <c r="D74" s="35" t="s">
        <v>40</v>
      </c>
      <c r="E74" s="35" t="s">
        <v>25</v>
      </c>
      <c r="F74" s="35" t="s">
        <v>25</v>
      </c>
      <c r="G74" s="35" t="s">
        <v>25</v>
      </c>
      <c r="H74" s="35" t="s">
        <v>25</v>
      </c>
      <c r="I74" s="45">
        <v>44682</v>
      </c>
      <c r="J74" s="46">
        <f ca="1">EFEITO!$J$74*EFEITO!$Y$74</f>
        <v>8204.8553034298566</v>
      </c>
      <c r="K74" s="46">
        <f>EFEITO!$L$74*EFEITO!$Z$74</f>
        <v>0</v>
      </c>
      <c r="L74" s="46">
        <f>EFEITO!$N$74*EFEITO!$AA$74</f>
        <v>0</v>
      </c>
      <c r="M74" s="46">
        <f ca="1">$J$74-EFEITO!$K$74*EFEITO!$Y$74</f>
        <v>0</v>
      </c>
      <c r="N74" s="46">
        <f>$K$74-EFEITO!$M$74*EFEITO!$Z$74</f>
        <v>0</v>
      </c>
      <c r="O74" s="46">
        <f>$L$74-EFEITO!$O$74*EFEITO!$AA$74</f>
        <v>0</v>
      </c>
      <c r="P74" s="38"/>
      <c r="Q74" s="38"/>
      <c r="R74" s="38"/>
      <c r="S74" s="38"/>
      <c r="T74" s="38"/>
      <c r="U74" s="38"/>
      <c r="V74" s="38"/>
      <c r="W74" s="38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</row>
    <row r="75" spans="1:36" ht="11.25" customHeight="1" x14ac:dyDescent="0.2">
      <c r="A75" s="35" t="s">
        <v>21</v>
      </c>
      <c r="B75" s="35" t="s">
        <v>43</v>
      </c>
      <c r="C75" s="35" t="s">
        <v>44</v>
      </c>
      <c r="D75" s="35" t="s">
        <v>40</v>
      </c>
      <c r="E75" s="35" t="s">
        <v>25</v>
      </c>
      <c r="F75" s="35" t="s">
        <v>25</v>
      </c>
      <c r="G75" s="35" t="s">
        <v>25</v>
      </c>
      <c r="H75" s="35" t="s">
        <v>25</v>
      </c>
      <c r="I75" s="45">
        <v>44713</v>
      </c>
      <c r="J75" s="46">
        <f ca="1">EFEITO!$J$75*EFEITO!$Y$75</f>
        <v>8369.7770180716634</v>
      </c>
      <c r="K75" s="46">
        <f>EFEITO!$L$75*EFEITO!$Z$75</f>
        <v>0</v>
      </c>
      <c r="L75" s="46">
        <f>EFEITO!$N$75*EFEITO!$AA$75</f>
        <v>0</v>
      </c>
      <c r="M75" s="46">
        <f ca="1">$J$75-EFEITO!$K$75*EFEITO!$Y$75</f>
        <v>0</v>
      </c>
      <c r="N75" s="46">
        <f>$K$75-EFEITO!$M$75*EFEITO!$Z$75</f>
        <v>0</v>
      </c>
      <c r="O75" s="46">
        <f>$L$75-EFEITO!$O$75*EFEITO!$AA$75</f>
        <v>0</v>
      </c>
      <c r="P75" s="38"/>
      <c r="Q75" s="38"/>
      <c r="R75" s="38"/>
      <c r="S75" s="38"/>
      <c r="T75" s="38"/>
      <c r="U75" s="38"/>
      <c r="V75" s="38"/>
      <c r="W75" s="38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</row>
    <row r="76" spans="1:36" ht="11.25" customHeight="1" x14ac:dyDescent="0.2">
      <c r="A76" s="35" t="s">
        <v>27</v>
      </c>
      <c r="B76" s="35" t="s">
        <v>43</v>
      </c>
      <c r="C76" s="35" t="s">
        <v>44</v>
      </c>
      <c r="D76" s="35" t="s">
        <v>40</v>
      </c>
      <c r="E76" s="35" t="s">
        <v>25</v>
      </c>
      <c r="F76" s="35" t="s">
        <v>25</v>
      </c>
      <c r="G76" s="35" t="s">
        <v>25</v>
      </c>
      <c r="H76" s="35" t="s">
        <v>25</v>
      </c>
      <c r="I76" s="45">
        <v>44713</v>
      </c>
      <c r="J76" s="46">
        <f ca="1">EFEITO!$J$76*EFEITO!$Y$76</f>
        <v>948.29985919038552</v>
      </c>
      <c r="K76" s="46">
        <f>EFEITO!$L$76*EFEITO!$Z$76</f>
        <v>0</v>
      </c>
      <c r="L76" s="46">
        <f>EFEITO!$N$76*EFEITO!$AA$76</f>
        <v>0</v>
      </c>
      <c r="M76" s="46">
        <f ca="1">$J$76-EFEITO!$K$76*EFEITO!$Y$76</f>
        <v>0</v>
      </c>
      <c r="N76" s="46">
        <f>$K$76-EFEITO!$M$76*EFEITO!$Z$76</f>
        <v>0</v>
      </c>
      <c r="O76" s="46">
        <f>$L$76-EFEITO!$O$76*EFEITO!$AA$76</f>
        <v>0</v>
      </c>
      <c r="P76" s="38"/>
      <c r="Q76" s="38"/>
      <c r="R76" s="38"/>
      <c r="S76" s="38"/>
      <c r="T76" s="38"/>
      <c r="U76" s="38"/>
      <c r="V76" s="38"/>
      <c r="W76" s="38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</row>
    <row r="77" spans="1:36" ht="11.25" customHeight="1" x14ac:dyDescent="0.2">
      <c r="A77" s="35" t="s">
        <v>21</v>
      </c>
      <c r="B77" s="35" t="s">
        <v>43</v>
      </c>
      <c r="C77" s="35" t="s">
        <v>44</v>
      </c>
      <c r="D77" s="35" t="s">
        <v>40</v>
      </c>
      <c r="E77" s="35" t="s">
        <v>25</v>
      </c>
      <c r="F77" s="35" t="s">
        <v>25</v>
      </c>
      <c r="G77" s="35" t="s">
        <v>25</v>
      </c>
      <c r="H77" s="35" t="s">
        <v>25</v>
      </c>
      <c r="I77" s="45">
        <v>44743</v>
      </c>
      <c r="J77" s="46">
        <f ca="1">EFEITO!$J$77*EFEITO!$Y$77</f>
        <v>8514.0835183832442</v>
      </c>
      <c r="K77" s="46">
        <f>EFEITO!$L$77*EFEITO!$Z$77</f>
        <v>0</v>
      </c>
      <c r="L77" s="46">
        <f>EFEITO!$N$77*EFEITO!$AA$77</f>
        <v>0</v>
      </c>
      <c r="M77" s="46">
        <f ca="1">$J$77-EFEITO!$K$77*EFEITO!$Y$77</f>
        <v>0</v>
      </c>
      <c r="N77" s="46">
        <f>$K$77-EFEITO!$M$77*EFEITO!$Z$77</f>
        <v>0</v>
      </c>
      <c r="O77" s="46">
        <f>$L$77-EFEITO!$O$77*EFEITO!$AA$77</f>
        <v>0</v>
      </c>
      <c r="P77" s="38"/>
      <c r="Q77" s="38"/>
      <c r="R77" s="38"/>
      <c r="S77" s="38"/>
      <c r="T77" s="38"/>
      <c r="U77" s="38"/>
      <c r="V77" s="38"/>
      <c r="W77" s="38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</row>
    <row r="78" spans="1:36" ht="11.25" customHeight="1" x14ac:dyDescent="0.2">
      <c r="A78" s="35" t="s">
        <v>27</v>
      </c>
      <c r="B78" s="35" t="s">
        <v>43</v>
      </c>
      <c r="C78" s="35" t="s">
        <v>44</v>
      </c>
      <c r="D78" s="35" t="s">
        <v>40</v>
      </c>
      <c r="E78" s="35" t="s">
        <v>25</v>
      </c>
      <c r="F78" s="35" t="s">
        <v>25</v>
      </c>
      <c r="G78" s="35" t="s">
        <v>25</v>
      </c>
      <c r="H78" s="35" t="s">
        <v>25</v>
      </c>
      <c r="I78" s="45">
        <v>44743</v>
      </c>
      <c r="J78" s="46">
        <f ca="1">EFEITO!$J$78*EFEITO!$Y$78</f>
        <v>824.60857320903085</v>
      </c>
      <c r="K78" s="46">
        <f>EFEITO!$L$78*EFEITO!$Z$78</f>
        <v>0</v>
      </c>
      <c r="L78" s="46">
        <f>EFEITO!$N$78*EFEITO!$AA$78</f>
        <v>0</v>
      </c>
      <c r="M78" s="46">
        <f ca="1">$J$78-EFEITO!$K$78*EFEITO!$Y$78</f>
        <v>0</v>
      </c>
      <c r="N78" s="46">
        <f>$K$78-EFEITO!$M$78*EFEITO!$Z$78</f>
        <v>0</v>
      </c>
      <c r="O78" s="46">
        <f>$L$78-EFEITO!$O$78*EFEITO!$AA$78</f>
        <v>0</v>
      </c>
      <c r="P78" s="38"/>
      <c r="Q78" s="38"/>
      <c r="R78" s="38"/>
      <c r="S78" s="38"/>
      <c r="T78" s="38"/>
      <c r="U78" s="38"/>
      <c r="V78" s="38"/>
      <c r="W78" s="38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</row>
    <row r="79" spans="1:36" ht="11.25" customHeight="1" x14ac:dyDescent="0.2">
      <c r="A79" s="35" t="s">
        <v>21</v>
      </c>
      <c r="B79" s="35" t="s">
        <v>43</v>
      </c>
      <c r="C79" s="35" t="s">
        <v>44</v>
      </c>
      <c r="D79" s="35" t="s">
        <v>40</v>
      </c>
      <c r="E79" s="35" t="s">
        <v>25</v>
      </c>
      <c r="F79" s="35" t="s">
        <v>25</v>
      </c>
      <c r="G79" s="35" t="s">
        <v>25</v>
      </c>
      <c r="H79" s="35" t="s">
        <v>25</v>
      </c>
      <c r="I79" s="45">
        <v>44774</v>
      </c>
      <c r="J79" s="46">
        <f ca="1">EFEITO!$J$79*EFEITO!$Y$79</f>
        <v>10328.222379443112</v>
      </c>
      <c r="K79" s="46">
        <f>EFEITO!$L$79*EFEITO!$Z$79</f>
        <v>0</v>
      </c>
      <c r="L79" s="46">
        <f>EFEITO!$N$79*EFEITO!$AA$79</f>
        <v>0</v>
      </c>
      <c r="M79" s="46">
        <f ca="1">$J$79-EFEITO!$K$79*EFEITO!$Y$79</f>
        <v>0</v>
      </c>
      <c r="N79" s="46">
        <f>$K$79-EFEITO!$M$79*EFEITO!$Z$79</f>
        <v>0</v>
      </c>
      <c r="O79" s="46">
        <f>$L$79-EFEITO!$O$79*EFEITO!$AA$79</f>
        <v>0</v>
      </c>
      <c r="P79" s="38"/>
      <c r="Q79" s="38"/>
      <c r="R79" s="38"/>
      <c r="S79" s="38"/>
      <c r="T79" s="38"/>
      <c r="U79" s="38"/>
      <c r="V79" s="38"/>
      <c r="W79" s="38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</row>
    <row r="80" spans="1:36" ht="11.25" customHeight="1" x14ac:dyDescent="0.2">
      <c r="A80" s="35" t="s">
        <v>27</v>
      </c>
      <c r="B80" s="35" t="s">
        <v>43</v>
      </c>
      <c r="C80" s="35" t="s">
        <v>44</v>
      </c>
      <c r="D80" s="35" t="s">
        <v>40</v>
      </c>
      <c r="E80" s="35" t="s">
        <v>25</v>
      </c>
      <c r="F80" s="35" t="s">
        <v>25</v>
      </c>
      <c r="G80" s="35" t="s">
        <v>25</v>
      </c>
      <c r="H80" s="35" t="s">
        <v>25</v>
      </c>
      <c r="I80" s="45">
        <v>44774</v>
      </c>
      <c r="J80" s="46">
        <f ca="1">EFEITO!$J$80*EFEITO!$Y$80</f>
        <v>762.76293021835352</v>
      </c>
      <c r="K80" s="46">
        <f>EFEITO!$L$80*EFEITO!$Z$80</f>
        <v>0</v>
      </c>
      <c r="L80" s="46">
        <f>EFEITO!$N$80*EFEITO!$AA$80</f>
        <v>0</v>
      </c>
      <c r="M80" s="46">
        <f ca="1">$J$80-EFEITO!$K$80*EFEITO!$Y$80</f>
        <v>0</v>
      </c>
      <c r="N80" s="46">
        <f>$K$80-EFEITO!$M$80*EFEITO!$Z$80</f>
        <v>0</v>
      </c>
      <c r="O80" s="46">
        <f>$L$80-EFEITO!$O$80*EFEITO!$AA$80</f>
        <v>0</v>
      </c>
      <c r="P80" s="38"/>
      <c r="Q80" s="38"/>
      <c r="R80" s="38"/>
      <c r="S80" s="38"/>
      <c r="T80" s="38"/>
      <c r="U80" s="38"/>
      <c r="V80" s="38"/>
      <c r="W80" s="38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</row>
    <row r="81" spans="1:36" ht="11.25" customHeight="1" x14ac:dyDescent="0.2">
      <c r="A81" s="35" t="s">
        <v>21</v>
      </c>
      <c r="B81" s="35" t="s">
        <v>43</v>
      </c>
      <c r="C81" s="35" t="s">
        <v>44</v>
      </c>
      <c r="D81" s="35" t="s">
        <v>40</v>
      </c>
      <c r="E81" s="35" t="s">
        <v>25</v>
      </c>
      <c r="F81" s="35" t="s">
        <v>25</v>
      </c>
      <c r="G81" s="35" t="s">
        <v>25</v>
      </c>
      <c r="H81" s="35" t="s">
        <v>25</v>
      </c>
      <c r="I81" s="45">
        <v>44805</v>
      </c>
      <c r="J81" s="46">
        <f ca="1">EFEITO!$J$81*EFEITO!$Y$81</f>
        <v>11338.367881624175</v>
      </c>
      <c r="K81" s="46">
        <f>EFEITO!$L$81*EFEITO!$Z$81</f>
        <v>0</v>
      </c>
      <c r="L81" s="46">
        <f>EFEITO!$N$81*EFEITO!$AA$81</f>
        <v>0</v>
      </c>
      <c r="M81" s="46">
        <f ca="1">$J$81-EFEITO!$K$81*EFEITO!$Y$81</f>
        <v>0</v>
      </c>
      <c r="N81" s="46">
        <f>$K$81-EFEITO!$M$81*EFEITO!$Z$81</f>
        <v>0</v>
      </c>
      <c r="O81" s="46">
        <f>$L$81-EFEITO!$O$81*EFEITO!$AA$81</f>
        <v>0</v>
      </c>
      <c r="P81" s="38"/>
      <c r="Q81" s="38"/>
      <c r="R81" s="38"/>
      <c r="S81" s="38"/>
      <c r="T81" s="38"/>
      <c r="U81" s="38"/>
      <c r="V81" s="38"/>
      <c r="W81" s="38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</row>
    <row r="82" spans="1:36" ht="11.25" customHeight="1" x14ac:dyDescent="0.2">
      <c r="A82" s="35" t="s">
        <v>27</v>
      </c>
      <c r="B82" s="35" t="s">
        <v>43</v>
      </c>
      <c r="C82" s="35" t="s">
        <v>44</v>
      </c>
      <c r="D82" s="35" t="s">
        <v>40</v>
      </c>
      <c r="E82" s="35" t="s">
        <v>25</v>
      </c>
      <c r="F82" s="35" t="s">
        <v>25</v>
      </c>
      <c r="G82" s="35" t="s">
        <v>25</v>
      </c>
      <c r="H82" s="35" t="s">
        <v>25</v>
      </c>
      <c r="I82" s="45">
        <v>44805</v>
      </c>
      <c r="J82" s="46">
        <f ca="1">EFEITO!$J$82*EFEITO!$Y$82</f>
        <v>597.84121557654737</v>
      </c>
      <c r="K82" s="46">
        <f>EFEITO!$L$82*EFEITO!$Z$82</f>
        <v>0</v>
      </c>
      <c r="L82" s="46">
        <f>EFEITO!$N$82*EFEITO!$AA$82</f>
        <v>0</v>
      </c>
      <c r="M82" s="46">
        <f ca="1">$J$82-EFEITO!$K$82*EFEITO!$Y$82</f>
        <v>0</v>
      </c>
      <c r="N82" s="46">
        <f>$K$82-EFEITO!$M$82*EFEITO!$Z$82</f>
        <v>0</v>
      </c>
      <c r="O82" s="46">
        <f>$L$82-EFEITO!$O$82*EFEITO!$AA$82</f>
        <v>0</v>
      </c>
      <c r="P82" s="38"/>
      <c r="Q82" s="38"/>
      <c r="R82" s="38"/>
      <c r="S82" s="38"/>
      <c r="T82" s="38"/>
      <c r="U82" s="38"/>
      <c r="V82" s="38"/>
      <c r="W82" s="38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</row>
    <row r="83" spans="1:36" ht="11.25" customHeight="1" x14ac:dyDescent="0.2">
      <c r="A83" s="35" t="s">
        <v>21</v>
      </c>
      <c r="B83" s="35" t="s">
        <v>43</v>
      </c>
      <c r="C83" s="35" t="s">
        <v>44</v>
      </c>
      <c r="D83" s="35" t="s">
        <v>40</v>
      </c>
      <c r="E83" s="35" t="s">
        <v>25</v>
      </c>
      <c r="F83" s="35" t="s">
        <v>25</v>
      </c>
      <c r="G83" s="35" t="s">
        <v>25</v>
      </c>
      <c r="H83" s="35" t="s">
        <v>25</v>
      </c>
      <c r="I83" s="45">
        <v>44835</v>
      </c>
      <c r="J83" s="46">
        <f ca="1">EFEITO!$J$83*EFEITO!$Y$83</f>
        <v>11214.676595642821</v>
      </c>
      <c r="K83" s="46">
        <f>EFEITO!$L$83*EFEITO!$Z$83</f>
        <v>0</v>
      </c>
      <c r="L83" s="46">
        <f>EFEITO!$N$83*EFEITO!$AA$83</f>
        <v>0</v>
      </c>
      <c r="M83" s="46">
        <f ca="1">$J$83-EFEITO!$K$83*EFEITO!$Y$83</f>
        <v>0</v>
      </c>
      <c r="N83" s="46">
        <f>$K$83-EFEITO!$M$83*EFEITO!$Z$83</f>
        <v>0</v>
      </c>
      <c r="O83" s="46">
        <f>$L$83-EFEITO!$O$83*EFEITO!$AA$83</f>
        <v>0</v>
      </c>
      <c r="P83" s="38"/>
      <c r="Q83" s="38"/>
      <c r="R83" s="38"/>
      <c r="S83" s="38"/>
      <c r="T83" s="38"/>
      <c r="U83" s="38"/>
      <c r="V83" s="38"/>
      <c r="W83" s="38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</row>
    <row r="84" spans="1:36" ht="11.25" customHeight="1" x14ac:dyDescent="0.2">
      <c r="A84" s="35" t="s">
        <v>30</v>
      </c>
      <c r="B84" s="35" t="s">
        <v>43</v>
      </c>
      <c r="C84" s="35" t="s">
        <v>44</v>
      </c>
      <c r="D84" s="35" t="s">
        <v>40</v>
      </c>
      <c r="E84" s="35" t="s">
        <v>25</v>
      </c>
      <c r="F84" s="35" t="s">
        <v>25</v>
      </c>
      <c r="G84" s="35" t="s">
        <v>25</v>
      </c>
      <c r="H84" s="35" t="s">
        <v>25</v>
      </c>
      <c r="I84" s="45">
        <v>44835</v>
      </c>
      <c r="J84" s="46">
        <f ca="1">EFEITO!$J$84*EFEITO!$Y$84</f>
        <v>618.45642990677311</v>
      </c>
      <c r="K84" s="46">
        <f>EFEITO!$L$84*EFEITO!$Z$84</f>
        <v>0</v>
      </c>
      <c r="L84" s="46">
        <f>EFEITO!$N$84*EFEITO!$AA$84</f>
        <v>0</v>
      </c>
      <c r="M84" s="46">
        <f ca="1">$J$84-EFEITO!$K$84*EFEITO!$Y$84</f>
        <v>0</v>
      </c>
      <c r="N84" s="46">
        <f>$K$84-EFEITO!$M$84*EFEITO!$Z$84</f>
        <v>0</v>
      </c>
      <c r="O84" s="46">
        <f>$L$84-EFEITO!$O$84*EFEITO!$AA$84</f>
        <v>0</v>
      </c>
      <c r="P84" s="38"/>
      <c r="Q84" s="38"/>
      <c r="R84" s="38"/>
      <c r="S84" s="38"/>
      <c r="T84" s="38"/>
      <c r="U84" s="38"/>
      <c r="V84" s="38"/>
      <c r="W84" s="38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</row>
    <row r="85" spans="1:36" ht="11.25" customHeight="1" x14ac:dyDescent="0.2">
      <c r="A85" s="35" t="s">
        <v>59</v>
      </c>
      <c r="B85" s="35" t="s">
        <v>43</v>
      </c>
      <c r="C85" s="35" t="s">
        <v>44</v>
      </c>
      <c r="D85" s="35" t="s">
        <v>40</v>
      </c>
      <c r="E85" s="35" t="s">
        <v>25</v>
      </c>
      <c r="F85" s="35" t="s">
        <v>25</v>
      </c>
      <c r="G85" s="35" t="s">
        <v>25</v>
      </c>
      <c r="H85" s="35" t="s">
        <v>25</v>
      </c>
      <c r="I85" s="45">
        <v>44866</v>
      </c>
      <c r="J85" s="46">
        <f ca="1">EFEITO!$J$85*EFEITO!$Y$85</f>
        <v>11214.676595642821</v>
      </c>
      <c r="K85" s="46">
        <f>EFEITO!$L$85*EFEITO!$Z$85</f>
        <v>0</v>
      </c>
      <c r="L85" s="46">
        <f>EFEITO!$N$85*EFEITO!$AA$85</f>
        <v>0</v>
      </c>
      <c r="M85" s="46">
        <f ca="1">$J$85-EFEITO!$K$85*EFEITO!$Y$85</f>
        <v>0</v>
      </c>
      <c r="N85" s="46">
        <f>$K$85-EFEITO!$M$85*EFEITO!$Z$85</f>
        <v>0</v>
      </c>
      <c r="O85" s="46">
        <f>$L$85-EFEITO!$O$85*EFEITO!$AA$85</f>
        <v>0</v>
      </c>
      <c r="P85" s="38"/>
      <c r="Q85" s="38"/>
      <c r="R85" s="38"/>
      <c r="S85" s="38"/>
      <c r="T85" s="38"/>
      <c r="U85" s="38"/>
      <c r="V85" s="38"/>
      <c r="W85" s="38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</row>
    <row r="86" spans="1:36" ht="11.25" customHeight="1" x14ac:dyDescent="0.2">
      <c r="A86" s="35" t="s">
        <v>59</v>
      </c>
      <c r="B86" s="35" t="s">
        <v>43</v>
      </c>
      <c r="C86" s="35" t="s">
        <v>44</v>
      </c>
      <c r="D86" s="35" t="s">
        <v>40</v>
      </c>
      <c r="E86" s="35" t="s">
        <v>25</v>
      </c>
      <c r="F86" s="35" t="s">
        <v>25</v>
      </c>
      <c r="G86" s="35" t="s">
        <v>25</v>
      </c>
      <c r="H86" s="35" t="s">
        <v>25</v>
      </c>
      <c r="I86" s="45">
        <v>44866</v>
      </c>
      <c r="J86" s="46">
        <f ca="1">EFEITO!$J$86*EFEITO!$Y$86</f>
        <v>618.45642990677311</v>
      </c>
      <c r="K86" s="46">
        <f>EFEITO!$L$86*EFEITO!$Z$86</f>
        <v>0</v>
      </c>
      <c r="L86" s="46">
        <f>EFEITO!$N$86*EFEITO!$AA$86</f>
        <v>0</v>
      </c>
      <c r="M86" s="46">
        <f ca="1">$J$86-EFEITO!$K$86*EFEITO!$Y$86</f>
        <v>0</v>
      </c>
      <c r="N86" s="46">
        <f>$K$86-EFEITO!$M$86*EFEITO!$Z$86</f>
        <v>0</v>
      </c>
      <c r="O86" s="46">
        <f>$L$86-EFEITO!$O$86*EFEITO!$AA$86</f>
        <v>0</v>
      </c>
      <c r="P86" s="38"/>
      <c r="Q86" s="38"/>
      <c r="R86" s="38"/>
      <c r="S86" s="38"/>
      <c r="T86" s="38"/>
      <c r="U86" s="38"/>
      <c r="V86" s="38"/>
      <c r="W86" s="38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</row>
    <row r="87" spans="1:36" ht="11.25" customHeight="1" x14ac:dyDescent="0.2">
      <c r="A87" s="35" t="s">
        <v>21</v>
      </c>
      <c r="B87" s="35" t="s">
        <v>43</v>
      </c>
      <c r="C87" s="35" t="s">
        <v>44</v>
      </c>
      <c r="D87" s="35" t="s">
        <v>40</v>
      </c>
      <c r="E87" s="35" t="s">
        <v>25</v>
      </c>
      <c r="F87" s="35" t="s">
        <v>25</v>
      </c>
      <c r="G87" s="35" t="s">
        <v>25</v>
      </c>
      <c r="H87" s="35" t="s">
        <v>36</v>
      </c>
      <c r="I87" s="45">
        <v>44531</v>
      </c>
      <c r="J87" s="46">
        <f>EFEITO!$J$87*EFEITO!$Y$87</f>
        <v>0</v>
      </c>
      <c r="K87" s="46">
        <f ca="1">EFEITO!$L$87*EFEITO!$Z$87</f>
        <v>14039.014275857588</v>
      </c>
      <c r="L87" s="46">
        <f>EFEITO!$N$87*EFEITO!$AA$87</f>
        <v>3439.6782151066486</v>
      </c>
      <c r="M87" s="46">
        <f>$J$87-EFEITO!$K$87*EFEITO!$Y$87</f>
        <v>0</v>
      </c>
      <c r="N87" s="46">
        <f ca="1">$K$87-EFEITO!$M$87*EFEITO!$Z$87</f>
        <v>0</v>
      </c>
      <c r="O87" s="46">
        <f>$L$87-EFEITO!$O$87*EFEITO!$AA$87</f>
        <v>0</v>
      </c>
      <c r="P87" s="38"/>
      <c r="Q87" s="38"/>
      <c r="R87" s="38"/>
      <c r="S87" s="38"/>
      <c r="T87" s="38"/>
      <c r="U87" s="38"/>
      <c r="V87" s="38"/>
      <c r="W87" s="38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</row>
    <row r="88" spans="1:36" ht="11.25" customHeight="1" x14ac:dyDescent="0.2">
      <c r="A88" s="35" t="s">
        <v>27</v>
      </c>
      <c r="B88" s="35" t="s">
        <v>43</v>
      </c>
      <c r="C88" s="35" t="s">
        <v>44</v>
      </c>
      <c r="D88" s="35" t="s">
        <v>40</v>
      </c>
      <c r="E88" s="35" t="s">
        <v>25</v>
      </c>
      <c r="F88" s="35" t="s">
        <v>25</v>
      </c>
      <c r="G88" s="35" t="s">
        <v>25</v>
      </c>
      <c r="H88" s="35" t="s">
        <v>36</v>
      </c>
      <c r="I88" s="45">
        <v>44531</v>
      </c>
      <c r="J88" s="46">
        <f>EFEITO!$J$88*EFEITO!$Y$88</f>
        <v>0</v>
      </c>
      <c r="K88" s="46">
        <f ca="1">EFEITO!$L$88*EFEITO!$Z$88</f>
        <v>1295.1120180680432</v>
      </c>
      <c r="L88" s="46">
        <f>EFEITO!$N$88*EFEITO!$AA$88</f>
        <v>317.31348847847318</v>
      </c>
      <c r="M88" s="46">
        <f>$J$88-EFEITO!$K$88*EFEITO!$Y$88</f>
        <v>0</v>
      </c>
      <c r="N88" s="46">
        <f ca="1">$K$88-EFEITO!$M$88*EFEITO!$Z$88</f>
        <v>0</v>
      </c>
      <c r="O88" s="46">
        <f>$L$88-EFEITO!$O$88*EFEITO!$AA$88</f>
        <v>0</v>
      </c>
      <c r="P88" s="38"/>
      <c r="Q88" s="38"/>
      <c r="R88" s="38"/>
      <c r="S88" s="38"/>
      <c r="T88" s="38"/>
      <c r="U88" s="38"/>
      <c r="V88" s="38"/>
      <c r="W88" s="38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</row>
    <row r="89" spans="1:36" ht="11.25" customHeight="1" x14ac:dyDescent="0.2">
      <c r="A89" s="35" t="s">
        <v>21</v>
      </c>
      <c r="B89" s="35" t="s">
        <v>43</v>
      </c>
      <c r="C89" s="35" t="s">
        <v>44</v>
      </c>
      <c r="D89" s="35" t="s">
        <v>40</v>
      </c>
      <c r="E89" s="35" t="s">
        <v>25</v>
      </c>
      <c r="F89" s="35" t="s">
        <v>25</v>
      </c>
      <c r="G89" s="35" t="s">
        <v>25</v>
      </c>
      <c r="H89" s="35" t="s">
        <v>36</v>
      </c>
      <c r="I89" s="45">
        <v>44562</v>
      </c>
      <c r="J89" s="46">
        <f>EFEITO!$J$89*EFEITO!$Y$89</f>
        <v>0</v>
      </c>
      <c r="K89" s="46">
        <f ca="1">EFEITO!$L$89*EFEITO!$Z$89</f>
        <v>10652.481364612237</v>
      </c>
      <c r="L89" s="46">
        <f>EFEITO!$N$89*EFEITO!$AA$89</f>
        <v>2609.9487732337957</v>
      </c>
      <c r="M89" s="46">
        <f>$J$89-EFEITO!$K$89*EFEITO!$Y$89</f>
        <v>0</v>
      </c>
      <c r="N89" s="46">
        <f ca="1">$K$89-EFEITO!$M$89*EFEITO!$Z$89</f>
        <v>0</v>
      </c>
      <c r="O89" s="46">
        <f>$L$89-EFEITO!$O$89*EFEITO!$AA$89</f>
        <v>0</v>
      </c>
      <c r="P89" s="38"/>
      <c r="Q89" s="38"/>
      <c r="R89" s="38"/>
      <c r="S89" s="38"/>
      <c r="T89" s="38"/>
      <c r="U89" s="38"/>
      <c r="V89" s="38"/>
      <c r="W89" s="38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</row>
    <row r="90" spans="1:36" ht="11.25" customHeight="1" x14ac:dyDescent="0.2">
      <c r="A90" s="35" t="s">
        <v>21</v>
      </c>
      <c r="B90" s="35" t="s">
        <v>43</v>
      </c>
      <c r="C90" s="35" t="s">
        <v>44</v>
      </c>
      <c r="D90" s="35" t="s">
        <v>40</v>
      </c>
      <c r="E90" s="35" t="s">
        <v>25</v>
      </c>
      <c r="F90" s="35" t="s">
        <v>25</v>
      </c>
      <c r="G90" s="35" t="s">
        <v>25</v>
      </c>
      <c r="H90" s="35" t="s">
        <v>36</v>
      </c>
      <c r="I90" s="45">
        <v>44593</v>
      </c>
      <c r="J90" s="46">
        <f>EFEITO!$J$90*EFEITO!$Y$90</f>
        <v>0</v>
      </c>
      <c r="K90" s="46">
        <f ca="1">EFEITO!$L$90*EFEITO!$Z$90</f>
        <v>12922.997748288097</v>
      </c>
      <c r="L90" s="46">
        <f>EFEITO!$N$90*EFEITO!$AA$90</f>
        <v>3166.2446490349134</v>
      </c>
      <c r="M90" s="46">
        <f>$J$90-EFEITO!$K$90*EFEITO!$Y$90</f>
        <v>0</v>
      </c>
      <c r="N90" s="46">
        <f ca="1">$K$90-EFEITO!$M$90*EFEITO!$Z$90</f>
        <v>0</v>
      </c>
      <c r="O90" s="46">
        <f>$L$90-EFEITO!$O$90*EFEITO!$AA$90</f>
        <v>0</v>
      </c>
      <c r="P90" s="38"/>
      <c r="Q90" s="38"/>
      <c r="R90" s="38"/>
      <c r="S90" s="38"/>
      <c r="T90" s="38"/>
      <c r="U90" s="38"/>
      <c r="V90" s="38"/>
      <c r="W90" s="38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</row>
    <row r="91" spans="1:36" ht="11.25" customHeight="1" x14ac:dyDescent="0.2">
      <c r="A91" s="35" t="s">
        <v>21</v>
      </c>
      <c r="B91" s="35" t="s">
        <v>43</v>
      </c>
      <c r="C91" s="35" t="s">
        <v>44</v>
      </c>
      <c r="D91" s="35" t="s">
        <v>40</v>
      </c>
      <c r="E91" s="35" t="s">
        <v>25</v>
      </c>
      <c r="F91" s="35" t="s">
        <v>25</v>
      </c>
      <c r="G91" s="35" t="s">
        <v>25</v>
      </c>
      <c r="H91" s="35" t="s">
        <v>36</v>
      </c>
      <c r="I91" s="45">
        <v>44621</v>
      </c>
      <c r="J91" s="46">
        <f>EFEITO!$J$91*EFEITO!$Y$91</f>
        <v>0</v>
      </c>
      <c r="K91" s="46">
        <f ca="1">EFEITO!$L$91*EFEITO!$Z$91</f>
        <v>15190.55387592266</v>
      </c>
      <c r="L91" s="46">
        <f>EFEITO!$N$91*EFEITO!$AA$91</f>
        <v>3721.8152368623655</v>
      </c>
      <c r="M91" s="46">
        <f>$J$91-EFEITO!$K$91*EFEITO!$Y$91</f>
        <v>0</v>
      </c>
      <c r="N91" s="46">
        <f ca="1">$K$91-EFEITO!$M$91*EFEITO!$Z$91</f>
        <v>0</v>
      </c>
      <c r="O91" s="46">
        <f>$L$91-EFEITO!$O$91*EFEITO!$AA$91</f>
        <v>0</v>
      </c>
      <c r="P91" s="38"/>
      <c r="Q91" s="38"/>
      <c r="R91" s="38"/>
      <c r="S91" s="38"/>
      <c r="T91" s="38"/>
      <c r="U91" s="38"/>
      <c r="V91" s="38"/>
      <c r="W91" s="38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</row>
    <row r="92" spans="1:36" ht="11.25" customHeight="1" x14ac:dyDescent="0.2">
      <c r="A92" s="35" t="s">
        <v>21</v>
      </c>
      <c r="B92" s="35" t="s">
        <v>43</v>
      </c>
      <c r="C92" s="35" t="s">
        <v>44</v>
      </c>
      <c r="D92" s="35" t="s">
        <v>40</v>
      </c>
      <c r="E92" s="35" t="s">
        <v>25</v>
      </c>
      <c r="F92" s="35" t="s">
        <v>25</v>
      </c>
      <c r="G92" s="35" t="s">
        <v>25</v>
      </c>
      <c r="H92" s="35" t="s">
        <v>36</v>
      </c>
      <c r="I92" s="45">
        <v>44652</v>
      </c>
      <c r="J92" s="46">
        <f>EFEITO!$J$92*EFEITO!$Y$92</f>
        <v>0</v>
      </c>
      <c r="K92" s="46">
        <f ca="1">EFEITO!$L$92*EFEITO!$Z$92</f>
        <v>28989.787412435075</v>
      </c>
      <c r="L92" s="46">
        <f>EFEITO!$N$92*EFEITO!$AA$92</f>
        <v>7102.7451261021424</v>
      </c>
      <c r="M92" s="46">
        <f>$J$92-EFEITO!$K$92*EFEITO!$Y$92</f>
        <v>0</v>
      </c>
      <c r="N92" s="46">
        <f ca="1">$K$92-EFEITO!$M$92*EFEITO!$Z$92</f>
        <v>0</v>
      </c>
      <c r="O92" s="46">
        <f>$L$92-EFEITO!$O$92*EFEITO!$AA$92</f>
        <v>0</v>
      </c>
      <c r="P92" s="38"/>
      <c r="Q92" s="38"/>
      <c r="R92" s="38"/>
      <c r="S92" s="38"/>
      <c r="T92" s="38"/>
      <c r="U92" s="38"/>
      <c r="V92" s="38"/>
      <c r="W92" s="38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</row>
    <row r="93" spans="1:36" ht="11.25" customHeight="1" x14ac:dyDescent="0.2">
      <c r="A93" s="35" t="s">
        <v>21</v>
      </c>
      <c r="B93" s="35" t="s">
        <v>43</v>
      </c>
      <c r="C93" s="35" t="s">
        <v>44</v>
      </c>
      <c r="D93" s="35" t="s">
        <v>40</v>
      </c>
      <c r="E93" s="35" t="s">
        <v>25</v>
      </c>
      <c r="F93" s="35" t="s">
        <v>25</v>
      </c>
      <c r="G93" s="35" t="s">
        <v>25</v>
      </c>
      <c r="H93" s="35" t="s">
        <v>36</v>
      </c>
      <c r="I93" s="45">
        <v>44682</v>
      </c>
      <c r="J93" s="46">
        <f>EFEITO!$J$93*EFEITO!$Y$93</f>
        <v>0</v>
      </c>
      <c r="K93" s="46">
        <f ca="1">EFEITO!$L$93*EFEITO!$Z$93</f>
        <v>13597.936125704127</v>
      </c>
      <c r="L93" s="46">
        <f>EFEITO!$N$93*EFEITO!$AA$93</f>
        <v>3331.6103070305517</v>
      </c>
      <c r="M93" s="46">
        <f>$J$93-EFEITO!$K$93*EFEITO!$Y$93</f>
        <v>0</v>
      </c>
      <c r="N93" s="46">
        <f ca="1">$K$93-EFEITO!$M$93*EFEITO!$Z$93</f>
        <v>0</v>
      </c>
      <c r="O93" s="46">
        <f>$L$93-EFEITO!$O$93*EFEITO!$AA$93</f>
        <v>0</v>
      </c>
      <c r="P93" s="38"/>
      <c r="Q93" s="38"/>
      <c r="R93" s="38"/>
      <c r="S93" s="38"/>
      <c r="T93" s="38"/>
      <c r="U93" s="38"/>
      <c r="V93" s="38"/>
      <c r="W93" s="38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</row>
    <row r="94" spans="1:36" ht="11.25" customHeight="1" x14ac:dyDescent="0.2">
      <c r="A94" s="35" t="s">
        <v>21</v>
      </c>
      <c r="B94" s="35" t="s">
        <v>43</v>
      </c>
      <c r="C94" s="35" t="s">
        <v>44</v>
      </c>
      <c r="D94" s="35" t="s">
        <v>40</v>
      </c>
      <c r="E94" s="35" t="s">
        <v>25</v>
      </c>
      <c r="F94" s="35" t="s">
        <v>25</v>
      </c>
      <c r="G94" s="35" t="s">
        <v>25</v>
      </c>
      <c r="H94" s="35" t="s">
        <v>36</v>
      </c>
      <c r="I94" s="45">
        <v>44713</v>
      </c>
      <c r="J94" s="46">
        <f>EFEITO!$J$94*EFEITO!$Y$94</f>
        <v>0</v>
      </c>
      <c r="K94" s="46">
        <f ca="1">EFEITO!$L$94*EFEITO!$Z$94</f>
        <v>13399.598970937139</v>
      </c>
      <c r="L94" s="46">
        <f>EFEITO!$N$94*EFEITO!$AA$94</f>
        <v>3283.0160127949916</v>
      </c>
      <c r="M94" s="46">
        <f>$J$94-EFEITO!$K$94*EFEITO!$Y$94</f>
        <v>0</v>
      </c>
      <c r="N94" s="46">
        <f ca="1">$K$94-EFEITO!$M$94*EFEITO!$Z$94</f>
        <v>0</v>
      </c>
      <c r="O94" s="46">
        <f>$L$94-EFEITO!$O$94*EFEITO!$AA$94</f>
        <v>0</v>
      </c>
      <c r="P94" s="38"/>
      <c r="Q94" s="38"/>
      <c r="R94" s="38"/>
      <c r="S94" s="38"/>
      <c r="T94" s="38"/>
      <c r="U94" s="38"/>
      <c r="V94" s="38"/>
      <c r="W94" s="38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</row>
    <row r="95" spans="1:36" ht="11.25" customHeight="1" x14ac:dyDescent="0.2">
      <c r="A95" s="35" t="s">
        <v>27</v>
      </c>
      <c r="B95" s="35" t="s">
        <v>43</v>
      </c>
      <c r="C95" s="35" t="s">
        <v>44</v>
      </c>
      <c r="D95" s="35" t="s">
        <v>40</v>
      </c>
      <c r="E95" s="35" t="s">
        <v>25</v>
      </c>
      <c r="F95" s="35" t="s">
        <v>25</v>
      </c>
      <c r="G95" s="35" t="s">
        <v>25</v>
      </c>
      <c r="H95" s="35" t="s">
        <v>36</v>
      </c>
      <c r="I95" s="45">
        <v>44713</v>
      </c>
      <c r="J95" s="46">
        <f>EFEITO!$J$95*EFEITO!$Y$95</f>
        <v>0</v>
      </c>
      <c r="K95" s="46">
        <f ca="1">EFEITO!$L$95*EFEITO!$Z$95</f>
        <v>1835.3587456049984</v>
      </c>
      <c r="L95" s="46">
        <f>EFEITO!$N$95*EFEITO!$AA$95</f>
        <v>449.67854367235054</v>
      </c>
      <c r="M95" s="46">
        <f>$J$95-EFEITO!$K$95*EFEITO!$Y$95</f>
        <v>0</v>
      </c>
      <c r="N95" s="46">
        <f ca="1">$K$95-EFEITO!$M$95*EFEITO!$Z$95</f>
        <v>0</v>
      </c>
      <c r="O95" s="46">
        <f>$L$95-EFEITO!$O$95*EFEITO!$AA$95</f>
        <v>0</v>
      </c>
      <c r="P95" s="38"/>
      <c r="Q95" s="38"/>
      <c r="R95" s="38"/>
      <c r="S95" s="38"/>
      <c r="T95" s="38"/>
      <c r="U95" s="38"/>
      <c r="V95" s="38"/>
      <c r="W95" s="38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</row>
    <row r="96" spans="1:36" ht="11.25" customHeight="1" x14ac:dyDescent="0.2">
      <c r="A96" s="35" t="s">
        <v>21</v>
      </c>
      <c r="B96" s="35" t="s">
        <v>43</v>
      </c>
      <c r="C96" s="35" t="s">
        <v>44</v>
      </c>
      <c r="D96" s="35" t="s">
        <v>40</v>
      </c>
      <c r="E96" s="35" t="s">
        <v>25</v>
      </c>
      <c r="F96" s="35" t="s">
        <v>25</v>
      </c>
      <c r="G96" s="35" t="s">
        <v>25</v>
      </c>
      <c r="H96" s="35" t="s">
        <v>36</v>
      </c>
      <c r="I96" s="45">
        <v>44743</v>
      </c>
      <c r="J96" s="46">
        <f>EFEITO!$J$96*EFEITO!$Y$96</f>
        <v>0</v>
      </c>
      <c r="K96" s="46">
        <f ca="1">EFEITO!$L$96*EFEITO!$Z$96</f>
        <v>13759.270079954889</v>
      </c>
      <c r="L96" s="46">
        <f>EFEITO!$N$96*EFEITO!$AA$96</f>
        <v>3371.1385015952987</v>
      </c>
      <c r="M96" s="46">
        <f>$J$96-EFEITO!$K$96*EFEITO!$Y$96</f>
        <v>0</v>
      </c>
      <c r="N96" s="46">
        <f ca="1">$K$96-EFEITO!$M$96*EFEITO!$Z$96</f>
        <v>0</v>
      </c>
      <c r="O96" s="46">
        <f>$L$96-EFEITO!$O$96*EFEITO!$AA$96</f>
        <v>0</v>
      </c>
      <c r="P96" s="38"/>
      <c r="Q96" s="38"/>
      <c r="R96" s="38"/>
      <c r="S96" s="38"/>
      <c r="T96" s="38"/>
      <c r="U96" s="38"/>
      <c r="V96" s="38"/>
      <c r="W96" s="38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</row>
    <row r="97" spans="1:36" ht="11.25" customHeight="1" x14ac:dyDescent="0.2">
      <c r="A97" s="35" t="s">
        <v>27</v>
      </c>
      <c r="B97" s="35" t="s">
        <v>43</v>
      </c>
      <c r="C97" s="35" t="s">
        <v>44</v>
      </c>
      <c r="D97" s="35" t="s">
        <v>40</v>
      </c>
      <c r="E97" s="35" t="s">
        <v>25</v>
      </c>
      <c r="F97" s="35" t="s">
        <v>25</v>
      </c>
      <c r="G97" s="35" t="s">
        <v>25</v>
      </c>
      <c r="H97" s="35" t="s">
        <v>36</v>
      </c>
      <c r="I97" s="45">
        <v>44743</v>
      </c>
      <c r="J97" s="46">
        <f>EFEITO!$J$97*EFEITO!$Y$97</f>
        <v>0</v>
      </c>
      <c r="K97" s="46">
        <f ca="1">EFEITO!$L$97*EFEITO!$Z$97</f>
        <v>287.14483600594332</v>
      </c>
      <c r="L97" s="46">
        <f>EFEITO!$N$97*EFEITO!$AA$97</f>
        <v>70.352933445512903</v>
      </c>
      <c r="M97" s="46">
        <f>$J$97-EFEITO!$K$97*EFEITO!$Y$97</f>
        <v>0</v>
      </c>
      <c r="N97" s="46">
        <f ca="1">$K$97-EFEITO!$M$97*EFEITO!$Z$97</f>
        <v>0</v>
      </c>
      <c r="O97" s="46">
        <f>$L$97-EFEITO!$O$97*EFEITO!$AA$97</f>
        <v>0</v>
      </c>
      <c r="P97" s="38"/>
      <c r="Q97" s="38"/>
      <c r="R97" s="38"/>
      <c r="S97" s="38"/>
      <c r="T97" s="38"/>
      <c r="U97" s="38"/>
      <c r="V97" s="38"/>
      <c r="W97" s="38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</row>
    <row r="98" spans="1:36" ht="11.25" customHeight="1" x14ac:dyDescent="0.2">
      <c r="A98" s="35" t="s">
        <v>21</v>
      </c>
      <c r="B98" s="35" t="s">
        <v>43</v>
      </c>
      <c r="C98" s="35" t="s">
        <v>44</v>
      </c>
      <c r="D98" s="35" t="s">
        <v>40</v>
      </c>
      <c r="E98" s="35" t="s">
        <v>25</v>
      </c>
      <c r="F98" s="35" t="s">
        <v>25</v>
      </c>
      <c r="G98" s="35" t="s">
        <v>25</v>
      </c>
      <c r="H98" s="35" t="s">
        <v>36</v>
      </c>
      <c r="I98" s="45">
        <v>44774</v>
      </c>
      <c r="J98" s="46">
        <f>EFEITO!$J$98*EFEITO!$Y$98</f>
        <v>0</v>
      </c>
      <c r="K98" s="46">
        <f ca="1">EFEITO!$L$98*EFEITO!$Z$98</f>
        <v>17638.685622076424</v>
      </c>
      <c r="L98" s="46">
        <f>EFEITO!$N$98*EFEITO!$AA$98</f>
        <v>4321.6283910833881</v>
      </c>
      <c r="M98" s="46">
        <f>$J$98-EFEITO!$K$98*EFEITO!$Y$98</f>
        <v>0</v>
      </c>
      <c r="N98" s="46">
        <f ca="1">$K$98-EFEITO!$M$98*EFEITO!$Z$98</f>
        <v>0</v>
      </c>
      <c r="O98" s="46">
        <f>$L$98-EFEITO!$O$98*EFEITO!$AA$98</f>
        <v>0</v>
      </c>
      <c r="P98" s="38"/>
      <c r="Q98" s="38"/>
      <c r="R98" s="38"/>
      <c r="S98" s="38"/>
      <c r="T98" s="38"/>
      <c r="U98" s="38"/>
      <c r="V98" s="38"/>
      <c r="W98" s="38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</row>
    <row r="99" spans="1:36" ht="11.25" customHeight="1" x14ac:dyDescent="0.2">
      <c r="A99" s="35" t="s">
        <v>27</v>
      </c>
      <c r="B99" s="35" t="s">
        <v>43</v>
      </c>
      <c r="C99" s="35" t="s">
        <v>44</v>
      </c>
      <c r="D99" s="35" t="s">
        <v>40</v>
      </c>
      <c r="E99" s="35" t="s">
        <v>25</v>
      </c>
      <c r="F99" s="35" t="s">
        <v>25</v>
      </c>
      <c r="G99" s="35" t="s">
        <v>25</v>
      </c>
      <c r="H99" s="35" t="s">
        <v>36</v>
      </c>
      <c r="I99" s="45">
        <v>44774</v>
      </c>
      <c r="J99" s="46">
        <f>EFEITO!$J$99*EFEITO!$Y$99</f>
        <v>0</v>
      </c>
      <c r="K99" s="46">
        <f ca="1">EFEITO!$L$99*EFEITO!$Z$99</f>
        <v>-9235.9988488509589</v>
      </c>
      <c r="L99" s="46">
        <f>EFEITO!$N$99*EFEITO!$AA$99</f>
        <v>-2262.8984778350546</v>
      </c>
      <c r="M99" s="46">
        <f>$J$99-EFEITO!$K$99*EFEITO!$Y$99</f>
        <v>0</v>
      </c>
      <c r="N99" s="46">
        <f ca="1">$K$99-EFEITO!$M$99*EFEITO!$Z$99</f>
        <v>0</v>
      </c>
      <c r="O99" s="46">
        <f>$L$99-EFEITO!$O$99*EFEITO!$AA$99</f>
        <v>0</v>
      </c>
      <c r="P99" s="38"/>
      <c r="Q99" s="38"/>
      <c r="R99" s="38"/>
      <c r="S99" s="38"/>
      <c r="T99" s="38"/>
      <c r="U99" s="38"/>
      <c r="V99" s="38"/>
      <c r="W99" s="38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</row>
    <row r="100" spans="1:36" ht="11.25" customHeight="1" x14ac:dyDescent="0.2">
      <c r="A100" s="35" t="s">
        <v>21</v>
      </c>
      <c r="B100" s="35" t="s">
        <v>43</v>
      </c>
      <c r="C100" s="35" t="s">
        <v>44</v>
      </c>
      <c r="D100" s="35" t="s">
        <v>40</v>
      </c>
      <c r="E100" s="35" t="s">
        <v>25</v>
      </c>
      <c r="F100" s="35" t="s">
        <v>25</v>
      </c>
      <c r="G100" s="35" t="s">
        <v>25</v>
      </c>
      <c r="H100" s="35" t="s">
        <v>36</v>
      </c>
      <c r="I100" s="45">
        <v>44805</v>
      </c>
      <c r="J100" s="46">
        <f>EFEITO!$J$100*EFEITO!$Y$100</f>
        <v>0</v>
      </c>
      <c r="K100" s="46">
        <f ca="1">EFEITO!$L$100*EFEITO!$Z$100</f>
        <v>19534.729616528039</v>
      </c>
      <c r="L100" s="46">
        <f>EFEITO!$N$100*EFEITO!$AA$100</f>
        <v>4786.1753382158731</v>
      </c>
      <c r="M100" s="46">
        <f>$J$100-EFEITO!$K$100*EFEITO!$Y$100</f>
        <v>0</v>
      </c>
      <c r="N100" s="46">
        <f ca="1">$K$100-EFEITO!$M$100*EFEITO!$Z$100</f>
        <v>0</v>
      </c>
      <c r="O100" s="46">
        <f>$L$100-EFEITO!$O$100*EFEITO!$AA$100</f>
        <v>0</v>
      </c>
      <c r="P100" s="38"/>
      <c r="Q100" s="38"/>
      <c r="R100" s="38"/>
      <c r="S100" s="38"/>
      <c r="T100" s="38"/>
      <c r="U100" s="38"/>
      <c r="V100" s="38"/>
      <c r="W100" s="38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</row>
    <row r="101" spans="1:36" ht="11.25" customHeight="1" x14ac:dyDescent="0.2">
      <c r="A101" s="35" t="s">
        <v>27</v>
      </c>
      <c r="B101" s="35" t="s">
        <v>43</v>
      </c>
      <c r="C101" s="35" t="s">
        <v>44</v>
      </c>
      <c r="D101" s="35" t="s">
        <v>40</v>
      </c>
      <c r="E101" s="35" t="s">
        <v>25</v>
      </c>
      <c r="F101" s="35" t="s">
        <v>25</v>
      </c>
      <c r="G101" s="35" t="s">
        <v>25</v>
      </c>
      <c r="H101" s="35" t="s">
        <v>36</v>
      </c>
      <c r="I101" s="45">
        <v>44805</v>
      </c>
      <c r="J101" s="46">
        <f>EFEITO!$J$101*EFEITO!$Y$101</f>
        <v>0</v>
      </c>
      <c r="K101" s="46">
        <f ca="1">EFEITO!$L$101*EFEITO!$Z$101</f>
        <v>1543.7735255371074</v>
      </c>
      <c r="L101" s="46">
        <f>EFEITO!$N$101*EFEITO!$AA$101</f>
        <v>378.23767826633997</v>
      </c>
      <c r="M101" s="46">
        <f>$J$101-EFEITO!$K$101*EFEITO!$Y$101</f>
        <v>0</v>
      </c>
      <c r="N101" s="46">
        <f ca="1">$K$101-EFEITO!$M$101*EFEITO!$Z$101</f>
        <v>0</v>
      </c>
      <c r="O101" s="46">
        <f>$L$101-EFEITO!$O$101*EFEITO!$AA$101</f>
        <v>0</v>
      </c>
      <c r="P101" s="38"/>
      <c r="Q101" s="38"/>
      <c r="R101" s="38"/>
      <c r="S101" s="38"/>
      <c r="T101" s="38"/>
      <c r="U101" s="38"/>
      <c r="V101" s="38"/>
      <c r="W101" s="38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</row>
    <row r="102" spans="1:36" ht="11.25" customHeight="1" x14ac:dyDescent="0.2">
      <c r="A102" s="35" t="s">
        <v>21</v>
      </c>
      <c r="B102" s="35" t="s">
        <v>43</v>
      </c>
      <c r="C102" s="35" t="s">
        <v>44</v>
      </c>
      <c r="D102" s="35" t="s">
        <v>40</v>
      </c>
      <c r="E102" s="35" t="s">
        <v>25</v>
      </c>
      <c r="F102" s="35" t="s">
        <v>25</v>
      </c>
      <c r="G102" s="35" t="s">
        <v>25</v>
      </c>
      <c r="H102" s="35" t="s">
        <v>36</v>
      </c>
      <c r="I102" s="45">
        <v>44835</v>
      </c>
      <c r="J102" s="46">
        <f>EFEITO!$J$102*EFEITO!$Y$102</f>
        <v>0</v>
      </c>
      <c r="K102" s="46">
        <f ca="1">EFEITO!$L$102*EFEITO!$Z$102</f>
        <v>19157.296971262494</v>
      </c>
      <c r="L102" s="46">
        <f>EFEITO!$N$102*EFEITO!$AA$102</f>
        <v>4693.7011215735747</v>
      </c>
      <c r="M102" s="46">
        <f>$J$102-EFEITO!$K$102*EFEITO!$Y$102</f>
        <v>0</v>
      </c>
      <c r="N102" s="46">
        <f ca="1">$K$102-EFEITO!$M$102*EFEITO!$Z$102</f>
        <v>0</v>
      </c>
      <c r="O102" s="46">
        <f>$L$102-EFEITO!$O$102*EFEITO!$AA$102</f>
        <v>0</v>
      </c>
      <c r="P102" s="38"/>
      <c r="Q102" s="38"/>
      <c r="R102" s="38"/>
      <c r="S102" s="38"/>
      <c r="T102" s="38"/>
      <c r="U102" s="38"/>
      <c r="V102" s="38"/>
      <c r="W102" s="38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</row>
    <row r="103" spans="1:36" ht="11.25" customHeight="1" x14ac:dyDescent="0.2">
      <c r="A103" s="35" t="s">
        <v>30</v>
      </c>
      <c r="B103" s="35" t="s">
        <v>43</v>
      </c>
      <c r="C103" s="35" t="s">
        <v>44</v>
      </c>
      <c r="D103" s="35" t="s">
        <v>40</v>
      </c>
      <c r="E103" s="35" t="s">
        <v>25</v>
      </c>
      <c r="F103" s="35" t="s">
        <v>25</v>
      </c>
      <c r="G103" s="35" t="s">
        <v>25</v>
      </c>
      <c r="H103" s="35" t="s">
        <v>36</v>
      </c>
      <c r="I103" s="45">
        <v>44835</v>
      </c>
      <c r="J103" s="46">
        <f>EFEITO!$J$103*EFEITO!$Y$103</f>
        <v>0</v>
      </c>
      <c r="K103" s="46">
        <f ca="1">EFEITO!$L$103*EFEITO!$Z$103</f>
        <v>22.201920309737883</v>
      </c>
      <c r="L103" s="46">
        <f>EFEITO!$N$103*EFEITO!$AA$103</f>
        <v>5.4396598024881113</v>
      </c>
      <c r="M103" s="46">
        <f>$J$103-EFEITO!$K$103*EFEITO!$Y$103</f>
        <v>0</v>
      </c>
      <c r="N103" s="46">
        <f ca="1">$K$103-EFEITO!$M$103*EFEITO!$Z$103</f>
        <v>0</v>
      </c>
      <c r="O103" s="46">
        <f>$L$103-EFEITO!$O$103*EFEITO!$AA$103</f>
        <v>0</v>
      </c>
      <c r="P103" s="38"/>
      <c r="Q103" s="38"/>
      <c r="R103" s="38"/>
      <c r="S103" s="38"/>
      <c r="T103" s="38"/>
      <c r="U103" s="38"/>
      <c r="V103" s="38"/>
      <c r="W103" s="38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</row>
    <row r="104" spans="1:36" ht="11.25" customHeight="1" x14ac:dyDescent="0.2">
      <c r="A104" s="35" t="s">
        <v>59</v>
      </c>
      <c r="B104" s="35" t="s">
        <v>43</v>
      </c>
      <c r="C104" s="35" t="s">
        <v>44</v>
      </c>
      <c r="D104" s="35" t="s">
        <v>40</v>
      </c>
      <c r="E104" s="35" t="s">
        <v>25</v>
      </c>
      <c r="F104" s="35" t="s">
        <v>25</v>
      </c>
      <c r="G104" s="35" t="s">
        <v>25</v>
      </c>
      <c r="H104" s="35" t="s">
        <v>36</v>
      </c>
      <c r="I104" s="45">
        <v>44866</v>
      </c>
      <c r="J104" s="46">
        <f>EFEITO!$J$104*EFEITO!$Y$104</f>
        <v>0</v>
      </c>
      <c r="K104" s="46">
        <f ca="1">EFEITO!$L$104*EFEITO!$Z$104</f>
        <v>19157.296971262494</v>
      </c>
      <c r="L104" s="46">
        <f>EFEITO!$N$104*EFEITO!$AA$104</f>
        <v>4693.7011215735747</v>
      </c>
      <c r="M104" s="46">
        <f>$J$104-EFEITO!$K$104*EFEITO!$Y$104</f>
        <v>0</v>
      </c>
      <c r="N104" s="46">
        <f ca="1">$K$104-EFEITO!$M$104*EFEITO!$Z$104</f>
        <v>0</v>
      </c>
      <c r="O104" s="46">
        <f>$L$104-EFEITO!$O$104*EFEITO!$AA$104</f>
        <v>0</v>
      </c>
      <c r="P104" s="38"/>
      <c r="Q104" s="38"/>
      <c r="R104" s="38"/>
      <c r="S104" s="38"/>
      <c r="T104" s="38"/>
      <c r="U104" s="38"/>
      <c r="V104" s="38"/>
      <c r="W104" s="38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</row>
    <row r="105" spans="1:36" ht="11.25" customHeight="1" x14ac:dyDescent="0.2">
      <c r="A105" s="35" t="s">
        <v>59</v>
      </c>
      <c r="B105" s="35" t="s">
        <v>43</v>
      </c>
      <c r="C105" s="35" t="s">
        <v>44</v>
      </c>
      <c r="D105" s="35" t="s">
        <v>40</v>
      </c>
      <c r="E105" s="35" t="s">
        <v>25</v>
      </c>
      <c r="F105" s="35" t="s">
        <v>25</v>
      </c>
      <c r="G105" s="35" t="s">
        <v>25</v>
      </c>
      <c r="H105" s="35" t="s">
        <v>36</v>
      </c>
      <c r="I105" s="45">
        <v>44866</v>
      </c>
      <c r="J105" s="46">
        <f>EFEITO!$J$105*EFEITO!$Y$105</f>
        <v>0</v>
      </c>
      <c r="K105" s="46">
        <f ca="1">EFEITO!$L$105*EFEITO!$Z$105</f>
        <v>22.201920309737883</v>
      </c>
      <c r="L105" s="46">
        <f>EFEITO!$N$105*EFEITO!$AA$105</f>
        <v>5.4396598024881113</v>
      </c>
      <c r="M105" s="46">
        <f>$J$105-EFEITO!$K$105*EFEITO!$Y$105</f>
        <v>0</v>
      </c>
      <c r="N105" s="46">
        <f ca="1">$K$105-EFEITO!$M$105*EFEITO!$Z$105</f>
        <v>0</v>
      </c>
      <c r="O105" s="46">
        <f>$L$105-EFEITO!$O$105*EFEITO!$AA$105</f>
        <v>0</v>
      </c>
      <c r="P105" s="38"/>
      <c r="Q105" s="38"/>
      <c r="R105" s="38"/>
      <c r="S105" s="38"/>
      <c r="T105" s="38"/>
      <c r="U105" s="38"/>
      <c r="V105" s="38"/>
      <c r="W105" s="38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</row>
    <row r="106" spans="1:36" ht="11.25" customHeight="1" x14ac:dyDescent="0.2">
      <c r="A106" s="35" t="s">
        <v>21</v>
      </c>
      <c r="B106" s="35" t="s">
        <v>43</v>
      </c>
      <c r="C106" s="35" t="s">
        <v>44</v>
      </c>
      <c r="D106" s="35" t="s">
        <v>47</v>
      </c>
      <c r="E106" s="35" t="s">
        <v>55</v>
      </c>
      <c r="F106" s="35" t="s">
        <v>57</v>
      </c>
      <c r="G106" s="35" t="s">
        <v>25</v>
      </c>
      <c r="H106" s="35" t="s">
        <v>37</v>
      </c>
      <c r="I106" s="45">
        <v>44713</v>
      </c>
      <c r="J106" s="46">
        <f>EFEITO!$J$106*EFEITO!$Y$68</f>
        <v>0</v>
      </c>
      <c r="K106" s="46">
        <f ca="1">EFEITO!$L$106*EFEITO!$Z$68</f>
        <v>77.473518428651914</v>
      </c>
      <c r="L106" s="46">
        <f>EFEITO!$N$106*EFEITO!$AA$68</f>
        <v>149.36214722803606</v>
      </c>
      <c r="M106" s="46">
        <f>$J$106-EFEITO!$K$106*EFEITO!$Y$106</f>
        <v>0</v>
      </c>
      <c r="N106" s="46">
        <f ca="1">$K$106-EFEITO!$M$106*EFEITO!$Z$106</f>
        <v>61.978814742921529</v>
      </c>
      <c r="O106" s="46">
        <f>$L$106-EFEITO!$O$106*EFEITO!$AA$106</f>
        <v>119.48971778242885</v>
      </c>
      <c r="P106" s="38"/>
      <c r="Q106" s="38"/>
      <c r="R106" s="38"/>
      <c r="S106" s="38"/>
      <c r="T106" s="38"/>
      <c r="U106" s="38"/>
      <c r="V106" s="38"/>
      <c r="W106" s="38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</row>
    <row r="107" spans="1:36" ht="11.25" customHeight="1" x14ac:dyDescent="0.2">
      <c r="A107" s="35" t="s">
        <v>21</v>
      </c>
      <c r="B107" s="35" t="s">
        <v>43</v>
      </c>
      <c r="C107" s="35" t="s">
        <v>44</v>
      </c>
      <c r="D107" s="35" t="s">
        <v>47</v>
      </c>
      <c r="E107" s="35" t="s">
        <v>55</v>
      </c>
      <c r="F107" s="35" t="s">
        <v>57</v>
      </c>
      <c r="G107" s="35" t="s">
        <v>25</v>
      </c>
      <c r="H107" s="35" t="s">
        <v>37</v>
      </c>
      <c r="I107" s="45">
        <v>44743</v>
      </c>
      <c r="J107" s="46">
        <f>EFEITO!$J$107*EFEITO!$Y$68</f>
        <v>0</v>
      </c>
      <c r="K107" s="46">
        <f ca="1">EFEITO!$L$107*EFEITO!$Z$68</f>
        <v>185.91375798617932</v>
      </c>
      <c r="L107" s="46">
        <f>EFEITO!$N$107*EFEITO!$AA$68</f>
        <v>358.42541626171459</v>
      </c>
      <c r="M107" s="46">
        <f>$J$107-EFEITO!$K$107*EFEITO!$Y$107</f>
        <v>0</v>
      </c>
      <c r="N107" s="46">
        <f ca="1">$K$107-EFEITO!$M$107*EFEITO!$Z$107</f>
        <v>148.73100638894346</v>
      </c>
      <c r="O107" s="46">
        <f>$L$107-EFEITO!$O$107*EFEITO!$AA$107</f>
        <v>286.74033300937168</v>
      </c>
      <c r="P107" s="38"/>
      <c r="Q107" s="38"/>
      <c r="R107" s="38"/>
      <c r="S107" s="38"/>
      <c r="T107" s="38"/>
      <c r="U107" s="38"/>
      <c r="V107" s="38"/>
      <c r="W107" s="38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</row>
    <row r="108" spans="1:36" ht="11.25" customHeight="1" x14ac:dyDescent="0.2">
      <c r="A108" s="35" t="s">
        <v>21</v>
      </c>
      <c r="B108" s="35" t="s">
        <v>43</v>
      </c>
      <c r="C108" s="35" t="s">
        <v>44</v>
      </c>
      <c r="D108" s="35" t="s">
        <v>47</v>
      </c>
      <c r="E108" s="35" t="s">
        <v>55</v>
      </c>
      <c r="F108" s="35" t="s">
        <v>57</v>
      </c>
      <c r="G108" s="35" t="s">
        <v>25</v>
      </c>
      <c r="H108" s="35" t="s">
        <v>37</v>
      </c>
      <c r="I108" s="45">
        <v>44774</v>
      </c>
      <c r="J108" s="46">
        <f>EFEITO!$J$108*EFEITO!$Y$68</f>
        <v>0</v>
      </c>
      <c r="K108" s="46">
        <f ca="1">EFEITO!$L$108*EFEITO!$Z$68</f>
        <v>208.37313814558354</v>
      </c>
      <c r="L108" s="46">
        <f>EFEITO!$N$108*EFEITO!$AA$68</f>
        <v>401.72513097789488</v>
      </c>
      <c r="M108" s="46">
        <f>$J$108-EFEITO!$K$108*EFEITO!$Y$108</f>
        <v>0</v>
      </c>
      <c r="N108" s="46">
        <f ca="1">$K$108-EFEITO!$M$108*EFEITO!$Z$108</f>
        <v>166.69851051646683</v>
      </c>
      <c r="O108" s="46">
        <f>$L$108-EFEITO!$O$108*EFEITO!$AA$108</f>
        <v>321.38010478231593</v>
      </c>
      <c r="P108" s="38"/>
      <c r="Q108" s="38"/>
      <c r="R108" s="38"/>
      <c r="S108" s="38"/>
      <c r="T108" s="38"/>
      <c r="U108" s="38"/>
      <c r="V108" s="38"/>
      <c r="W108" s="38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</row>
    <row r="109" spans="1:36" ht="11.25" customHeight="1" x14ac:dyDescent="0.2">
      <c r="A109" s="35" t="s">
        <v>21</v>
      </c>
      <c r="B109" s="35" t="s">
        <v>43</v>
      </c>
      <c r="C109" s="35" t="s">
        <v>44</v>
      </c>
      <c r="D109" s="35" t="s">
        <v>47</v>
      </c>
      <c r="E109" s="35" t="s">
        <v>55</v>
      </c>
      <c r="F109" s="35" t="s">
        <v>57</v>
      </c>
      <c r="G109" s="35" t="s">
        <v>25</v>
      </c>
      <c r="H109" s="35" t="s">
        <v>37</v>
      </c>
      <c r="I109" s="45">
        <v>44805</v>
      </c>
      <c r="J109" s="46">
        <f>EFEITO!$J$109*EFEITO!$Y$68</f>
        <v>0</v>
      </c>
      <c r="K109" s="46">
        <f ca="1">EFEITO!$L$109*EFEITO!$Z$68</f>
        <v>112.63719443579991</v>
      </c>
      <c r="L109" s="46">
        <f>EFEITO!$N$109*EFEITO!$AA$68</f>
        <v>217.15462986447992</v>
      </c>
      <c r="M109" s="46">
        <f>$J$109-EFEITO!$K$109*EFEITO!$Y$109</f>
        <v>0</v>
      </c>
      <c r="N109" s="46">
        <f ca="1">$K$109-EFEITO!$M$109*EFEITO!$Z$109</f>
        <v>90.109755548639924</v>
      </c>
      <c r="O109" s="46">
        <f>$L$109-EFEITO!$O$109*EFEITO!$AA$109</f>
        <v>173.72370389158394</v>
      </c>
      <c r="P109" s="38"/>
      <c r="Q109" s="38"/>
      <c r="R109" s="38"/>
      <c r="S109" s="38"/>
      <c r="T109" s="38"/>
      <c r="U109" s="38"/>
      <c r="V109" s="38"/>
      <c r="W109" s="38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</row>
    <row r="110" spans="1:36" ht="11.25" customHeight="1" x14ac:dyDescent="0.2">
      <c r="A110" s="35" t="s">
        <v>21</v>
      </c>
      <c r="B110" s="35" t="s">
        <v>43</v>
      </c>
      <c r="C110" s="35" t="s">
        <v>44</v>
      </c>
      <c r="D110" s="35" t="s">
        <v>47</v>
      </c>
      <c r="E110" s="35" t="s">
        <v>55</v>
      </c>
      <c r="F110" s="35" t="s">
        <v>57</v>
      </c>
      <c r="G110" s="35" t="s">
        <v>25</v>
      </c>
      <c r="H110" s="35" t="s">
        <v>37</v>
      </c>
      <c r="I110" s="45">
        <v>44835</v>
      </c>
      <c r="J110" s="46">
        <f>EFEITO!$J$110*EFEITO!$Y$68</f>
        <v>0</v>
      </c>
      <c r="K110" s="46">
        <f ca="1">EFEITO!$L$110*EFEITO!$Z$68</f>
        <v>129.42501394888993</v>
      </c>
      <c r="L110" s="46">
        <f>EFEITO!$N$110*EFEITO!$AA$68</f>
        <v>249.5200731876854</v>
      </c>
      <c r="M110" s="46">
        <f>$J$110-EFEITO!$K$110*EFEITO!$Y$110</f>
        <v>0</v>
      </c>
      <c r="N110" s="46">
        <f ca="1">$K$110-EFEITO!$M$110*EFEITO!$Z$110</f>
        <v>103.54001115911194</v>
      </c>
      <c r="O110" s="46">
        <f>$L$110-EFEITO!$O$110*EFEITO!$AA$110</f>
        <v>199.61605855014832</v>
      </c>
      <c r="P110" s="38"/>
      <c r="Q110" s="38"/>
      <c r="R110" s="38"/>
      <c r="S110" s="38"/>
      <c r="T110" s="38"/>
      <c r="U110" s="38"/>
      <c r="V110" s="38"/>
      <c r="W110" s="38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</row>
    <row r="111" spans="1:36" ht="11.25" customHeight="1" x14ac:dyDescent="0.2">
      <c r="A111" s="35" t="s">
        <v>59</v>
      </c>
      <c r="B111" s="35" t="s">
        <v>43</v>
      </c>
      <c r="C111" s="35" t="s">
        <v>44</v>
      </c>
      <c r="D111" s="35" t="s">
        <v>47</v>
      </c>
      <c r="E111" s="35" t="s">
        <v>55</v>
      </c>
      <c r="F111" s="35" t="s">
        <v>57</v>
      </c>
      <c r="G111" s="35" t="s">
        <v>25</v>
      </c>
      <c r="H111" s="35" t="s">
        <v>37</v>
      </c>
      <c r="I111" s="45">
        <v>44866</v>
      </c>
      <c r="J111" s="46">
        <f>EFEITO!$J$111*EFEITO!$Y$68</f>
        <v>0</v>
      </c>
      <c r="K111" s="46">
        <f ca="1">EFEITO!$L$111*EFEITO!$Z$68</f>
        <v>129.42501394888993</v>
      </c>
      <c r="L111" s="46">
        <f>EFEITO!$N$111*EFEITO!$AA$68</f>
        <v>249.5200731876854</v>
      </c>
      <c r="M111" s="46">
        <f>$J$111-EFEITO!$K$111*EFEITO!$Y$111</f>
        <v>0</v>
      </c>
      <c r="N111" s="46">
        <f ca="1">$K$111-EFEITO!$M$111*EFEITO!$Z$111</f>
        <v>103.54001115911194</v>
      </c>
      <c r="O111" s="46">
        <f>$L$111-EFEITO!$O$111*EFEITO!$AA$111</f>
        <v>199.61605855014832</v>
      </c>
      <c r="P111" s="38"/>
      <c r="Q111" s="38"/>
      <c r="R111" s="38"/>
      <c r="S111" s="38"/>
      <c r="T111" s="38"/>
      <c r="U111" s="38"/>
      <c r="V111" s="38"/>
      <c r="W111" s="38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</row>
    <row r="112" spans="1:36" ht="11.25" customHeight="1" x14ac:dyDescent="0.2">
      <c r="A112" s="35" t="s">
        <v>21</v>
      </c>
      <c r="B112" s="35" t="s">
        <v>43</v>
      </c>
      <c r="C112" s="35" t="s">
        <v>44</v>
      </c>
      <c r="D112" s="35" t="s">
        <v>47</v>
      </c>
      <c r="E112" s="35" t="s">
        <v>55</v>
      </c>
      <c r="F112" s="35" t="s">
        <v>25</v>
      </c>
      <c r="G112" s="35" t="s">
        <v>25</v>
      </c>
      <c r="H112" s="35" t="s">
        <v>37</v>
      </c>
      <c r="I112" s="45">
        <v>44774</v>
      </c>
      <c r="J112" s="46">
        <f>EFEITO!$J$112*EFEITO!$Y$68</f>
        <v>0</v>
      </c>
      <c r="K112" s="46">
        <f ca="1">EFEITO!$L$112*EFEITO!$Z$68</f>
        <v>83.371941500818664</v>
      </c>
      <c r="L112" s="46">
        <f>EFEITO!$N$112*EFEITO!$AA$68</f>
        <v>160.73378947672984</v>
      </c>
      <c r="M112" s="46">
        <f>$J$112-EFEITO!$K$112*EFEITO!$Y$112</f>
        <v>0</v>
      </c>
      <c r="N112" s="46">
        <f ca="1">$K$112-EFEITO!$M$112*EFEITO!$Z$112</f>
        <v>1.6674388300163656</v>
      </c>
      <c r="O112" s="46">
        <f>$L$112-EFEITO!$O$112*EFEITO!$AA$112</f>
        <v>3.2146757895345957</v>
      </c>
      <c r="P112" s="38"/>
      <c r="Q112" s="38"/>
      <c r="R112" s="38"/>
      <c r="S112" s="38"/>
      <c r="T112" s="38"/>
      <c r="U112" s="38"/>
      <c r="V112" s="38"/>
      <c r="W112" s="38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</row>
    <row r="113" spans="1:36" ht="11.25" customHeight="1" x14ac:dyDescent="0.2">
      <c r="A113" s="35" t="s">
        <v>21</v>
      </c>
      <c r="B113" s="35" t="s">
        <v>43</v>
      </c>
      <c r="C113" s="35" t="s">
        <v>44</v>
      </c>
      <c r="D113" s="35" t="s">
        <v>47</v>
      </c>
      <c r="E113" s="35" t="s">
        <v>55</v>
      </c>
      <c r="F113" s="35" t="s">
        <v>25</v>
      </c>
      <c r="G113" s="35" t="s">
        <v>25</v>
      </c>
      <c r="H113" s="35" t="s">
        <v>37</v>
      </c>
      <c r="I113" s="45">
        <v>44805</v>
      </c>
      <c r="J113" s="46">
        <f>EFEITO!$J$113*EFEITO!$Y$68</f>
        <v>0</v>
      </c>
      <c r="K113" s="46">
        <f ca="1">EFEITO!$L$113*EFEITO!$Z$68</f>
        <v>80.876454816440415</v>
      </c>
      <c r="L113" s="46">
        <f>EFEITO!$N$113*EFEITO!$AA$68</f>
        <v>155.92271006382092</v>
      </c>
      <c r="M113" s="46">
        <f>$J$113-EFEITO!$K$113*EFEITO!$Y$113</f>
        <v>0</v>
      </c>
      <c r="N113" s="46">
        <f ca="1">$K$113-EFEITO!$M$113*EFEITO!$Z$113</f>
        <v>1.6175290963287949</v>
      </c>
      <c r="O113" s="46">
        <f>$L$113-EFEITO!$O$113*EFEITO!$AA$113</f>
        <v>3.1184542012764211</v>
      </c>
      <c r="P113" s="38"/>
      <c r="Q113" s="38"/>
      <c r="R113" s="38"/>
      <c r="S113" s="38"/>
      <c r="T113" s="38"/>
      <c r="U113" s="38"/>
      <c r="V113" s="38"/>
      <c r="W113" s="38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</row>
    <row r="114" spans="1:36" ht="11.25" customHeight="1" x14ac:dyDescent="0.2">
      <c r="A114" s="35" t="s">
        <v>21</v>
      </c>
      <c r="B114" s="35" t="s">
        <v>43</v>
      </c>
      <c r="C114" s="35" t="s">
        <v>44</v>
      </c>
      <c r="D114" s="35" t="s">
        <v>47</v>
      </c>
      <c r="E114" s="35" t="s">
        <v>55</v>
      </c>
      <c r="F114" s="35" t="s">
        <v>25</v>
      </c>
      <c r="G114" s="35" t="s">
        <v>25</v>
      </c>
      <c r="H114" s="35" t="s">
        <v>37</v>
      </c>
      <c r="I114" s="45">
        <v>44835</v>
      </c>
      <c r="J114" s="46">
        <f>EFEITO!$J$114*EFEITO!$Y$68</f>
        <v>0</v>
      </c>
      <c r="K114" s="46">
        <f ca="1">EFEITO!$L$114*EFEITO!$Z$68</f>
        <v>57.623056166552225</v>
      </c>
      <c r="L114" s="46">
        <f>EFEITO!$N$114*EFEITO!$AA$68</f>
        <v>111.09219735262417</v>
      </c>
      <c r="M114" s="46">
        <f>$J$114-EFEITO!$K$114*EFEITO!$Y$114</f>
        <v>0</v>
      </c>
      <c r="N114" s="46">
        <f ca="1">$K$114-EFEITO!$M$114*EFEITO!$Z$114</f>
        <v>1.1524611233310438</v>
      </c>
      <c r="O114" s="46">
        <f>$L$114-EFEITO!$O$114*EFEITO!$AA$114</f>
        <v>2.2218439470524771</v>
      </c>
      <c r="P114" s="38"/>
      <c r="Q114" s="38"/>
      <c r="R114" s="38"/>
      <c r="S114" s="38"/>
      <c r="T114" s="38"/>
      <c r="U114" s="38"/>
      <c r="V114" s="38"/>
      <c r="W114" s="38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</row>
    <row r="115" spans="1:36" ht="11.25" customHeight="1" x14ac:dyDescent="0.2">
      <c r="A115" s="35" t="s">
        <v>59</v>
      </c>
      <c r="B115" s="35" t="s">
        <v>43</v>
      </c>
      <c r="C115" s="35" t="s">
        <v>44</v>
      </c>
      <c r="D115" s="35" t="s">
        <v>47</v>
      </c>
      <c r="E115" s="35" t="s">
        <v>55</v>
      </c>
      <c r="F115" s="35" t="s">
        <v>25</v>
      </c>
      <c r="G115" s="35" t="s">
        <v>25</v>
      </c>
      <c r="H115" s="35" t="s">
        <v>37</v>
      </c>
      <c r="I115" s="45">
        <v>44866</v>
      </c>
      <c r="J115" s="46">
        <f>EFEITO!$J$115*EFEITO!$Y$68</f>
        <v>0</v>
      </c>
      <c r="K115" s="46">
        <f ca="1">EFEITO!$L$115*EFEITO!$Z$68</f>
        <v>57.623056166552225</v>
      </c>
      <c r="L115" s="46">
        <f>EFEITO!$N$115*EFEITO!$AA$68</f>
        <v>111.09219735262417</v>
      </c>
      <c r="M115" s="46">
        <f>$J$115-EFEITO!$K$115*EFEITO!$Y$115</f>
        <v>0</v>
      </c>
      <c r="N115" s="46">
        <f ca="1">$K$115-EFEITO!$M$115*EFEITO!$Z$115</f>
        <v>1.1524611233310438</v>
      </c>
      <c r="O115" s="46">
        <f>$L$115-EFEITO!$O$115*EFEITO!$AA$115</f>
        <v>2.2218439470524771</v>
      </c>
      <c r="P115" s="38"/>
      <c r="Q115" s="38"/>
      <c r="R115" s="38"/>
      <c r="S115" s="38"/>
      <c r="T115" s="38"/>
      <c r="U115" s="38"/>
      <c r="V115" s="38"/>
      <c r="W115" s="38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</row>
    <row r="116" spans="1:36" ht="11.25" customHeight="1" x14ac:dyDescent="0.2">
      <c r="A116" s="35" t="s">
        <v>21</v>
      </c>
      <c r="B116" s="35" t="s">
        <v>43</v>
      </c>
      <c r="C116" s="35" t="s">
        <v>44</v>
      </c>
      <c r="D116" s="35" t="s">
        <v>47</v>
      </c>
      <c r="E116" s="35" t="s">
        <v>55</v>
      </c>
      <c r="F116" s="35" t="s">
        <v>25</v>
      </c>
      <c r="G116" s="35" t="s">
        <v>25</v>
      </c>
      <c r="H116" s="35" t="s">
        <v>25</v>
      </c>
      <c r="I116" s="45">
        <v>44713</v>
      </c>
      <c r="J116" s="46">
        <f ca="1">EFEITO!$J$116*EFEITO!$Y$86</f>
        <v>309.22821495338655</v>
      </c>
      <c r="K116" s="46">
        <f>EFEITO!$L$116*EFEITO!$Z$86</f>
        <v>0</v>
      </c>
      <c r="L116" s="46">
        <f>EFEITO!$N$116*EFEITO!$AA$86</f>
        <v>0</v>
      </c>
      <c r="M116" s="46">
        <f ca="1">$J$116-EFEITO!$K$116*EFEITO!$Y$116</f>
        <v>6.1845642990677447</v>
      </c>
      <c r="N116" s="46">
        <f>$K$116-EFEITO!$M$116*EFEITO!$Z$116</f>
        <v>0</v>
      </c>
      <c r="O116" s="46">
        <f>$L$116-EFEITO!$O$116*EFEITO!$AA$116</f>
        <v>0</v>
      </c>
      <c r="P116" s="38"/>
      <c r="Q116" s="38"/>
      <c r="R116" s="38"/>
      <c r="S116" s="38"/>
      <c r="T116" s="38"/>
      <c r="U116" s="38"/>
      <c r="V116" s="38"/>
      <c r="W116" s="38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</row>
    <row r="117" spans="1:36" ht="11.25" customHeight="1" x14ac:dyDescent="0.2">
      <c r="A117" s="35" t="s">
        <v>21</v>
      </c>
      <c r="B117" s="35" t="s">
        <v>43</v>
      </c>
      <c r="C117" s="35" t="s">
        <v>44</v>
      </c>
      <c r="D117" s="35" t="s">
        <v>47</v>
      </c>
      <c r="E117" s="35" t="s">
        <v>55</v>
      </c>
      <c r="F117" s="35" t="s">
        <v>25</v>
      </c>
      <c r="G117" s="35" t="s">
        <v>25</v>
      </c>
      <c r="H117" s="35" t="s">
        <v>25</v>
      </c>
      <c r="I117" s="45">
        <v>44743</v>
      </c>
      <c r="J117" s="46">
        <f ca="1">EFEITO!$J$117*EFEITO!$Y$86</f>
        <v>309.22821495338655</v>
      </c>
      <c r="K117" s="46">
        <f>EFEITO!$L$117*EFEITO!$Z$86</f>
        <v>0</v>
      </c>
      <c r="L117" s="46">
        <f>EFEITO!$N$117*EFEITO!$AA$86</f>
        <v>0</v>
      </c>
      <c r="M117" s="46">
        <f ca="1">$J$117-EFEITO!$K$117*EFEITO!$Y$117</f>
        <v>6.1845642990677447</v>
      </c>
      <c r="N117" s="46">
        <f>$K$117-EFEITO!$M$117*EFEITO!$Z$117</f>
        <v>0</v>
      </c>
      <c r="O117" s="46">
        <f>$L$117-EFEITO!$O$117*EFEITO!$AA$117</f>
        <v>0</v>
      </c>
      <c r="P117" s="38"/>
      <c r="Q117" s="38"/>
      <c r="R117" s="38"/>
      <c r="S117" s="38"/>
      <c r="T117" s="38"/>
      <c r="U117" s="38"/>
      <c r="V117" s="38"/>
      <c r="W117" s="38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</row>
    <row r="118" spans="1:36" ht="11.25" customHeight="1" x14ac:dyDescent="0.2">
      <c r="A118" s="35" t="s">
        <v>21</v>
      </c>
      <c r="B118" s="35" t="s">
        <v>43</v>
      </c>
      <c r="C118" s="35" t="s">
        <v>44</v>
      </c>
      <c r="D118" s="35" t="s">
        <v>47</v>
      </c>
      <c r="E118" s="35" t="s">
        <v>55</v>
      </c>
      <c r="F118" s="35" t="s">
        <v>25</v>
      </c>
      <c r="G118" s="35" t="s">
        <v>25</v>
      </c>
      <c r="H118" s="35" t="s">
        <v>25</v>
      </c>
      <c r="I118" s="45">
        <v>44774</v>
      </c>
      <c r="J118" s="46">
        <f ca="1">EFEITO!$J$118*EFEITO!$Y$86</f>
        <v>309.22821495338655</v>
      </c>
      <c r="K118" s="46">
        <f>EFEITO!$L$118*EFEITO!$Z$86</f>
        <v>0</v>
      </c>
      <c r="L118" s="46">
        <f>EFEITO!$N$118*EFEITO!$AA$86</f>
        <v>0</v>
      </c>
      <c r="M118" s="46">
        <f ca="1">$J$118-EFEITO!$K$118*EFEITO!$Y$118</f>
        <v>6.1845642990677447</v>
      </c>
      <c r="N118" s="46">
        <f>$K$118-EFEITO!$M$118*EFEITO!$Z$118</f>
        <v>0</v>
      </c>
      <c r="O118" s="46">
        <f>$L$118-EFEITO!$O$118*EFEITO!$AA$118</f>
        <v>0</v>
      </c>
      <c r="P118" s="38"/>
      <c r="Q118" s="38"/>
      <c r="R118" s="38"/>
      <c r="S118" s="38"/>
      <c r="T118" s="38"/>
      <c r="U118" s="38"/>
      <c r="V118" s="38"/>
      <c r="W118" s="38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</row>
    <row r="119" spans="1:36" ht="11.25" customHeight="1" x14ac:dyDescent="0.2">
      <c r="A119" s="35" t="s">
        <v>21</v>
      </c>
      <c r="B119" s="35" t="s">
        <v>43</v>
      </c>
      <c r="C119" s="35" t="s">
        <v>44</v>
      </c>
      <c r="D119" s="35" t="s">
        <v>47</v>
      </c>
      <c r="E119" s="35" t="s">
        <v>55</v>
      </c>
      <c r="F119" s="35" t="s">
        <v>25</v>
      </c>
      <c r="G119" s="35" t="s">
        <v>25</v>
      </c>
      <c r="H119" s="35" t="s">
        <v>25</v>
      </c>
      <c r="I119" s="45">
        <v>44805</v>
      </c>
      <c r="J119" s="46">
        <f ca="1">EFEITO!$J$119*EFEITO!$Y$86</f>
        <v>288.61300062316081</v>
      </c>
      <c r="K119" s="46">
        <f>EFEITO!$L$119*EFEITO!$Z$86</f>
        <v>0</v>
      </c>
      <c r="L119" s="46">
        <f>EFEITO!$N$119*EFEITO!$AA$86</f>
        <v>0</v>
      </c>
      <c r="M119" s="46">
        <f ca="1">$J$119-EFEITO!$K$119*EFEITO!$Y$119</f>
        <v>5.7722600124632208</v>
      </c>
      <c r="N119" s="46">
        <f>$K$119-EFEITO!$M$119*EFEITO!$Z$119</f>
        <v>0</v>
      </c>
      <c r="O119" s="46">
        <f>$L$119-EFEITO!$O$119*EFEITO!$AA$119</f>
        <v>0</v>
      </c>
      <c r="P119" s="38"/>
      <c r="Q119" s="38"/>
      <c r="R119" s="38"/>
      <c r="S119" s="38"/>
      <c r="T119" s="38"/>
      <c r="U119" s="38"/>
      <c r="V119" s="38"/>
      <c r="W119" s="38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</row>
    <row r="120" spans="1:36" ht="11.25" customHeight="1" x14ac:dyDescent="0.2">
      <c r="A120" s="35" t="s">
        <v>21</v>
      </c>
      <c r="B120" s="35" t="s">
        <v>43</v>
      </c>
      <c r="C120" s="35" t="s">
        <v>44</v>
      </c>
      <c r="D120" s="35" t="s">
        <v>47</v>
      </c>
      <c r="E120" s="35" t="s">
        <v>55</v>
      </c>
      <c r="F120" s="35" t="s">
        <v>25</v>
      </c>
      <c r="G120" s="35" t="s">
        <v>25</v>
      </c>
      <c r="H120" s="35" t="s">
        <v>25</v>
      </c>
      <c r="I120" s="45">
        <v>44835</v>
      </c>
      <c r="J120" s="46">
        <f ca="1">EFEITO!$J$120*EFEITO!$Y$86</f>
        <v>288.61300062316081</v>
      </c>
      <c r="K120" s="46">
        <f>EFEITO!$L$120*EFEITO!$Z$86</f>
        <v>0</v>
      </c>
      <c r="L120" s="46">
        <f>EFEITO!$N$120*EFEITO!$AA$86</f>
        <v>0</v>
      </c>
      <c r="M120" s="46">
        <f ca="1">$J$120-EFEITO!$K$120*EFEITO!$Y$120</f>
        <v>5.7722600124632208</v>
      </c>
      <c r="N120" s="46">
        <f>$K$120-EFEITO!$M$120*EFEITO!$Z$120</f>
        <v>0</v>
      </c>
      <c r="O120" s="46">
        <f>$L$120-EFEITO!$O$120*EFEITO!$AA$120</f>
        <v>0</v>
      </c>
      <c r="P120" s="38"/>
      <c r="Q120" s="38"/>
      <c r="R120" s="38"/>
      <c r="S120" s="38"/>
      <c r="T120" s="38"/>
      <c r="U120" s="38"/>
      <c r="V120" s="38"/>
      <c r="W120" s="38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</row>
    <row r="121" spans="1:36" ht="11.25" customHeight="1" x14ac:dyDescent="0.2">
      <c r="A121" s="35" t="s">
        <v>59</v>
      </c>
      <c r="B121" s="35" t="s">
        <v>43</v>
      </c>
      <c r="C121" s="35" t="s">
        <v>44</v>
      </c>
      <c r="D121" s="35" t="s">
        <v>47</v>
      </c>
      <c r="E121" s="35" t="s">
        <v>55</v>
      </c>
      <c r="F121" s="35" t="s">
        <v>25</v>
      </c>
      <c r="G121" s="35" t="s">
        <v>25</v>
      </c>
      <c r="H121" s="35" t="s">
        <v>25</v>
      </c>
      <c r="I121" s="45">
        <v>44866</v>
      </c>
      <c r="J121" s="46">
        <f ca="1">EFEITO!$J$121*EFEITO!$Y$86</f>
        <v>288.61300062316081</v>
      </c>
      <c r="K121" s="46">
        <f>EFEITO!$L$121*EFEITO!$Z$86</f>
        <v>0</v>
      </c>
      <c r="L121" s="46">
        <f>EFEITO!$N$121*EFEITO!$AA$86</f>
        <v>0</v>
      </c>
      <c r="M121" s="46">
        <f ca="1">$J$121-EFEITO!$K$121*EFEITO!$Y$121</f>
        <v>5.7722600124632208</v>
      </c>
      <c r="N121" s="46">
        <f>$K$121-EFEITO!$M$121*EFEITO!$Z$121</f>
        <v>0</v>
      </c>
      <c r="O121" s="46">
        <f>$L$121-EFEITO!$O$121*EFEITO!$AA$121</f>
        <v>0</v>
      </c>
      <c r="P121" s="38"/>
      <c r="Q121" s="38"/>
      <c r="R121" s="38"/>
      <c r="S121" s="38"/>
      <c r="T121" s="38"/>
      <c r="U121" s="38"/>
      <c r="V121" s="38"/>
      <c r="W121" s="38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</row>
    <row r="122" spans="1:36" ht="11.25" customHeight="1" x14ac:dyDescent="0.2">
      <c r="A122" s="35" t="s">
        <v>21</v>
      </c>
      <c r="B122" s="35" t="s">
        <v>43</v>
      </c>
      <c r="C122" s="35" t="s">
        <v>44</v>
      </c>
      <c r="D122" s="35" t="s">
        <v>47</v>
      </c>
      <c r="E122" s="35" t="s">
        <v>55</v>
      </c>
      <c r="F122" s="35" t="s">
        <v>25</v>
      </c>
      <c r="G122" s="35" t="s">
        <v>25</v>
      </c>
      <c r="H122" s="35" t="s">
        <v>36</v>
      </c>
      <c r="I122" s="45">
        <v>44713</v>
      </c>
      <c r="J122" s="46">
        <f>EFEITO!$J$122*EFEITO!$Y$105</f>
        <v>0</v>
      </c>
      <c r="K122" s="46">
        <f ca="1">EFEITO!$L$122*EFEITO!$Z$105</f>
        <v>8.8807681238951535</v>
      </c>
      <c r="L122" s="46">
        <f>EFEITO!$N$122*EFEITO!$AA$105</f>
        <v>2.1758639209952446</v>
      </c>
      <c r="M122" s="46">
        <f>$J$122-EFEITO!$K$122*EFEITO!$Y$122</f>
        <v>0</v>
      </c>
      <c r="N122" s="46">
        <f ca="1">$K$122-EFEITO!$M$122*EFEITO!$Z$122</f>
        <v>0.1776153624779031</v>
      </c>
      <c r="O122" s="46">
        <f>$L$122-EFEITO!$O$122*EFEITO!$AA$122</f>
        <v>4.3517278419904937E-2</v>
      </c>
      <c r="P122" s="38"/>
      <c r="Q122" s="38"/>
      <c r="R122" s="38"/>
      <c r="S122" s="38"/>
      <c r="T122" s="38"/>
      <c r="U122" s="38"/>
      <c r="V122" s="38"/>
      <c r="W122" s="38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</row>
    <row r="123" spans="1:36" ht="11.25" customHeight="1" x14ac:dyDescent="0.2">
      <c r="A123" s="35" t="s">
        <v>21</v>
      </c>
      <c r="B123" s="35" t="s">
        <v>43</v>
      </c>
      <c r="C123" s="35" t="s">
        <v>44</v>
      </c>
      <c r="D123" s="35" t="s">
        <v>47</v>
      </c>
      <c r="E123" s="35" t="s">
        <v>55</v>
      </c>
      <c r="F123" s="35" t="s">
        <v>25</v>
      </c>
      <c r="G123" s="35" t="s">
        <v>25</v>
      </c>
      <c r="H123" s="35" t="s">
        <v>36</v>
      </c>
      <c r="I123" s="45">
        <v>44743</v>
      </c>
      <c r="J123" s="46">
        <f>EFEITO!$J$123*EFEITO!$Y$105</f>
        <v>0</v>
      </c>
      <c r="K123" s="46">
        <f ca="1">EFEITO!$L$123*EFEITO!$Z$105</f>
        <v>10.360896144544345</v>
      </c>
      <c r="L123" s="46">
        <f>EFEITO!$N$123*EFEITO!$AA$105</f>
        <v>2.5385079078277855</v>
      </c>
      <c r="M123" s="46">
        <f>$J$123-EFEITO!$K$123*EFEITO!$Y$123</f>
        <v>0</v>
      </c>
      <c r="N123" s="46">
        <f ca="1">$K$123-EFEITO!$M$123*EFEITO!$Z$123</f>
        <v>0.20721792289088548</v>
      </c>
      <c r="O123" s="46">
        <f>$L$123-EFEITO!$O$123*EFEITO!$AA$123</f>
        <v>5.0770158156555834E-2</v>
      </c>
      <c r="P123" s="38"/>
      <c r="Q123" s="38"/>
      <c r="R123" s="38"/>
      <c r="S123" s="38"/>
      <c r="T123" s="38"/>
      <c r="U123" s="38"/>
      <c r="V123" s="38"/>
      <c r="W123" s="38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</row>
    <row r="124" spans="1:36" ht="11.25" customHeight="1" x14ac:dyDescent="0.2">
      <c r="A124" s="35" t="s">
        <v>21</v>
      </c>
      <c r="B124" s="35" t="s">
        <v>43</v>
      </c>
      <c r="C124" s="35" t="s">
        <v>44</v>
      </c>
      <c r="D124" s="35" t="s">
        <v>47</v>
      </c>
      <c r="E124" s="35" t="s">
        <v>55</v>
      </c>
      <c r="F124" s="35" t="s">
        <v>25</v>
      </c>
      <c r="G124" s="35" t="s">
        <v>25</v>
      </c>
      <c r="H124" s="35" t="s">
        <v>36</v>
      </c>
      <c r="I124" s="45">
        <v>44774</v>
      </c>
      <c r="J124" s="46">
        <f>EFEITO!$J$124*EFEITO!$Y$105</f>
        <v>0</v>
      </c>
      <c r="K124" s="46">
        <f ca="1">EFEITO!$L$124*EFEITO!$Z$105</f>
        <v>17.761536247790307</v>
      </c>
      <c r="L124" s="46">
        <f>EFEITO!$N$124*EFEITO!$AA$105</f>
        <v>4.3517278419904892</v>
      </c>
      <c r="M124" s="46">
        <f>$J$124-EFEITO!$K$124*EFEITO!$Y$124</f>
        <v>0</v>
      </c>
      <c r="N124" s="46">
        <f ca="1">$K$124-EFEITO!$M$124*EFEITO!$Z$124</f>
        <v>0.35523072495580621</v>
      </c>
      <c r="O124" s="46">
        <f>$L$124-EFEITO!$O$124*EFEITO!$AA$124</f>
        <v>8.7034556839809873E-2</v>
      </c>
      <c r="P124" s="38"/>
      <c r="Q124" s="38"/>
      <c r="R124" s="38"/>
      <c r="S124" s="38"/>
      <c r="T124" s="38"/>
      <c r="U124" s="38"/>
      <c r="V124" s="38"/>
      <c r="W124" s="38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</row>
    <row r="125" spans="1:36" ht="11.25" customHeight="1" x14ac:dyDescent="0.2">
      <c r="A125" s="35" t="s">
        <v>21</v>
      </c>
      <c r="B125" s="35" t="s">
        <v>43</v>
      </c>
      <c r="C125" s="35" t="s">
        <v>44</v>
      </c>
      <c r="D125" s="35" t="s">
        <v>47</v>
      </c>
      <c r="E125" s="35" t="s">
        <v>55</v>
      </c>
      <c r="F125" s="35" t="s">
        <v>25</v>
      </c>
      <c r="G125" s="35" t="s">
        <v>25</v>
      </c>
      <c r="H125" s="35" t="s">
        <v>36</v>
      </c>
      <c r="I125" s="45">
        <v>44805</v>
      </c>
      <c r="J125" s="46">
        <f>EFEITO!$J$125*EFEITO!$Y$105</f>
        <v>0</v>
      </c>
      <c r="K125" s="46">
        <f ca="1">EFEITO!$L$125*EFEITO!$Z$105</f>
        <v>17.761536247790307</v>
      </c>
      <c r="L125" s="46">
        <f>EFEITO!$N$125*EFEITO!$AA$105</f>
        <v>4.3517278419904892</v>
      </c>
      <c r="M125" s="46">
        <f>$J$125-EFEITO!$K$125*EFEITO!$Y$125</f>
        <v>0</v>
      </c>
      <c r="N125" s="46">
        <f ca="1">$K$125-EFEITO!$M$125*EFEITO!$Z$125</f>
        <v>0.35523072495580621</v>
      </c>
      <c r="O125" s="46">
        <f>$L$125-EFEITO!$O$125*EFEITO!$AA$125</f>
        <v>8.7034556839809873E-2</v>
      </c>
      <c r="P125" s="38"/>
      <c r="Q125" s="38"/>
      <c r="R125" s="38"/>
      <c r="S125" s="38"/>
      <c r="T125" s="38"/>
      <c r="U125" s="38"/>
      <c r="V125" s="38"/>
      <c r="W125" s="38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</row>
    <row r="126" spans="1:36" ht="11.25" customHeight="1" x14ac:dyDescent="0.2">
      <c r="A126" s="35" t="s">
        <v>21</v>
      </c>
      <c r="B126" s="35" t="s">
        <v>43</v>
      </c>
      <c r="C126" s="35" t="s">
        <v>44</v>
      </c>
      <c r="D126" s="35" t="s">
        <v>47</v>
      </c>
      <c r="E126" s="35" t="s">
        <v>55</v>
      </c>
      <c r="F126" s="35" t="s">
        <v>25</v>
      </c>
      <c r="G126" s="35" t="s">
        <v>25</v>
      </c>
      <c r="H126" s="35" t="s">
        <v>36</v>
      </c>
      <c r="I126" s="45">
        <v>44835</v>
      </c>
      <c r="J126" s="46">
        <f>EFEITO!$J$126*EFEITO!$Y$105</f>
        <v>0</v>
      </c>
      <c r="K126" s="46">
        <f ca="1">EFEITO!$L$126*EFEITO!$Z$105</f>
        <v>11.841024165193538</v>
      </c>
      <c r="L126" s="46">
        <f>EFEITO!$N$126*EFEITO!$AA$105</f>
        <v>2.9011518946603259</v>
      </c>
      <c r="M126" s="46">
        <f>$J$126-EFEITO!$K$126*EFEITO!$Y$126</f>
        <v>0</v>
      </c>
      <c r="N126" s="46">
        <f ca="1">$K$126-EFEITO!$M$126*EFEITO!$Z$126</f>
        <v>0.2368204833038714</v>
      </c>
      <c r="O126" s="46">
        <f>$L$126-EFEITO!$O$126*EFEITO!$AA$126</f>
        <v>5.8023037893206286E-2</v>
      </c>
      <c r="P126" s="38"/>
      <c r="Q126" s="38"/>
      <c r="R126" s="38"/>
      <c r="S126" s="38"/>
      <c r="T126" s="38"/>
      <c r="U126" s="38"/>
      <c r="V126" s="38"/>
      <c r="W126" s="38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</row>
    <row r="127" spans="1:36" ht="11.25" customHeight="1" x14ac:dyDescent="0.2">
      <c r="A127" s="35" t="s">
        <v>59</v>
      </c>
      <c r="B127" s="35" t="s">
        <v>43</v>
      </c>
      <c r="C127" s="35" t="s">
        <v>44</v>
      </c>
      <c r="D127" s="35" t="s">
        <v>47</v>
      </c>
      <c r="E127" s="35" t="s">
        <v>55</v>
      </c>
      <c r="F127" s="35" t="s">
        <v>25</v>
      </c>
      <c r="G127" s="35" t="s">
        <v>25</v>
      </c>
      <c r="H127" s="35" t="s">
        <v>36</v>
      </c>
      <c r="I127" s="45">
        <v>44866</v>
      </c>
      <c r="J127" s="46">
        <f>EFEITO!$J$127*EFEITO!$Y$105</f>
        <v>0</v>
      </c>
      <c r="K127" s="46">
        <f ca="1">EFEITO!$L$127*EFEITO!$Z$105</f>
        <v>11.841024165193538</v>
      </c>
      <c r="L127" s="46">
        <f>EFEITO!$N$127*EFEITO!$AA$105</f>
        <v>2.9011518946603259</v>
      </c>
      <c r="M127" s="46">
        <f>$J$127-EFEITO!$K$127*EFEITO!$Y$127</f>
        <v>0</v>
      </c>
      <c r="N127" s="46">
        <f ca="1">$K$127-EFEITO!$M$127*EFEITO!$Z$127</f>
        <v>0.2368204833038714</v>
      </c>
      <c r="O127" s="46">
        <f>$L$127-EFEITO!$O$127*EFEITO!$AA$127</f>
        <v>5.8023037893206286E-2</v>
      </c>
      <c r="P127" s="38"/>
      <c r="Q127" s="38"/>
      <c r="R127" s="38"/>
      <c r="S127" s="38"/>
      <c r="T127" s="38"/>
      <c r="U127" s="38"/>
      <c r="V127" s="38"/>
      <c r="W127" s="38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</row>
    <row r="128" spans="1:36" ht="11.25" customHeight="1" x14ac:dyDescent="0.2">
      <c r="A128" s="35" t="s">
        <v>21</v>
      </c>
      <c r="B128" s="35" t="s">
        <v>43</v>
      </c>
      <c r="C128" s="35" t="s">
        <v>44</v>
      </c>
      <c r="D128" s="35" t="s">
        <v>47</v>
      </c>
      <c r="E128" s="35" t="s">
        <v>25</v>
      </c>
      <c r="F128" s="35" t="s">
        <v>25</v>
      </c>
      <c r="G128" s="35" t="s">
        <v>25</v>
      </c>
      <c r="H128" s="35" t="s">
        <v>37</v>
      </c>
      <c r="I128" s="45">
        <v>44621</v>
      </c>
      <c r="J128" s="46">
        <f>EFEITO!$J$128*EFEITO!$Y$68</f>
        <v>0</v>
      </c>
      <c r="K128" s="46">
        <f ca="1">EFEITO!$L$128*EFEITO!$Z$68</f>
        <v>835.08058956330217</v>
      </c>
      <c r="L128" s="46">
        <f>EFEITO!$N$128*EFEITO!$AA$68</f>
        <v>1609.9621199016126</v>
      </c>
      <c r="M128" s="46">
        <f>$J$128-EFEITO!$K$128*EFEITO!$Y$128</f>
        <v>0</v>
      </c>
      <c r="N128" s="46">
        <f ca="1">$K$128-EFEITO!$M$128*EFEITO!$Z$128</f>
        <v>16.701611791266032</v>
      </c>
      <c r="O128" s="46">
        <f>$L$128-EFEITO!$O$128*EFEITO!$AA$128</f>
        <v>32.199242398032311</v>
      </c>
      <c r="P128" s="38"/>
      <c r="Q128" s="38"/>
      <c r="R128" s="38"/>
      <c r="S128" s="38"/>
      <c r="T128" s="38"/>
      <c r="U128" s="38"/>
      <c r="V128" s="38"/>
      <c r="W128" s="38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</row>
    <row r="129" spans="1:36" ht="11.25" customHeight="1" x14ac:dyDescent="0.2">
      <c r="A129" s="35" t="s">
        <v>21</v>
      </c>
      <c r="B129" s="35" t="s">
        <v>43</v>
      </c>
      <c r="C129" s="35" t="s">
        <v>44</v>
      </c>
      <c r="D129" s="35" t="s">
        <v>47</v>
      </c>
      <c r="E129" s="35" t="s">
        <v>25</v>
      </c>
      <c r="F129" s="35" t="s">
        <v>25</v>
      </c>
      <c r="G129" s="35" t="s">
        <v>25</v>
      </c>
      <c r="H129" s="35" t="s">
        <v>37</v>
      </c>
      <c r="I129" s="45">
        <v>44652</v>
      </c>
      <c r="J129" s="46">
        <f>EFEITO!$J$129*EFEITO!$Y$68</f>
        <v>0</v>
      </c>
      <c r="K129" s="46">
        <f ca="1">EFEITO!$L$129*EFEITO!$Z$68</f>
        <v>795.15280261325017</v>
      </c>
      <c r="L129" s="46">
        <f>EFEITO!$N$129*EFEITO!$AA$68</f>
        <v>1532.9848492950698</v>
      </c>
      <c r="M129" s="46">
        <f>$J$129-EFEITO!$K$129*EFEITO!$Y$129</f>
        <v>0</v>
      </c>
      <c r="N129" s="46">
        <f ca="1">$K$129-EFEITO!$M$129*EFEITO!$Z$129</f>
        <v>15.903056052265015</v>
      </c>
      <c r="O129" s="46">
        <f>$L$129-EFEITO!$O$129*EFEITO!$AA$129</f>
        <v>30.659696985901519</v>
      </c>
      <c r="P129" s="38"/>
      <c r="Q129" s="38"/>
      <c r="R129" s="38"/>
      <c r="S129" s="38"/>
      <c r="T129" s="38"/>
      <c r="U129" s="38"/>
      <c r="V129" s="38"/>
      <c r="W129" s="38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</row>
    <row r="130" spans="1:36" ht="11.25" customHeight="1" x14ac:dyDescent="0.2">
      <c r="A130" s="35" t="s">
        <v>21</v>
      </c>
      <c r="B130" s="35" t="s">
        <v>43</v>
      </c>
      <c r="C130" s="35" t="s">
        <v>44</v>
      </c>
      <c r="D130" s="35" t="s">
        <v>47</v>
      </c>
      <c r="E130" s="35" t="s">
        <v>25</v>
      </c>
      <c r="F130" s="35" t="s">
        <v>25</v>
      </c>
      <c r="G130" s="35" t="s">
        <v>25</v>
      </c>
      <c r="H130" s="35" t="s">
        <v>37</v>
      </c>
      <c r="I130" s="45">
        <v>44682</v>
      </c>
      <c r="J130" s="46">
        <f>EFEITO!$J$130*EFEITO!$Y$68</f>
        <v>0</v>
      </c>
      <c r="K130" s="46">
        <f ca="1">EFEITO!$L$130*EFEITO!$Z$68</f>
        <v>1913.5845620664095</v>
      </c>
      <c r="L130" s="46">
        <f>EFEITO!$N$130*EFEITO!$AA$68</f>
        <v>3689.2231679897045</v>
      </c>
      <c r="M130" s="46">
        <f>$J$130-EFEITO!$K$130*EFEITO!$Y$130</f>
        <v>0</v>
      </c>
      <c r="N130" s="46">
        <f ca="1">$K$130-EFEITO!$M$130*EFEITO!$Z$130</f>
        <v>38.271691241327972</v>
      </c>
      <c r="O130" s="46">
        <f>$L$130-EFEITO!$O$130*EFEITO!$AA$130</f>
        <v>73.784463359794245</v>
      </c>
      <c r="P130" s="38"/>
      <c r="Q130" s="38"/>
      <c r="R130" s="38"/>
      <c r="S130" s="38"/>
      <c r="T130" s="38"/>
      <c r="U130" s="38"/>
      <c r="V130" s="38"/>
      <c r="W130" s="38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</row>
    <row r="131" spans="1:36" ht="11.25" customHeight="1" x14ac:dyDescent="0.2">
      <c r="A131" s="35" t="s">
        <v>21</v>
      </c>
      <c r="B131" s="35" t="s">
        <v>43</v>
      </c>
      <c r="C131" s="35" t="s">
        <v>44</v>
      </c>
      <c r="D131" s="35" t="s">
        <v>47</v>
      </c>
      <c r="E131" s="35" t="s">
        <v>25</v>
      </c>
      <c r="F131" s="35" t="s">
        <v>25</v>
      </c>
      <c r="G131" s="35" t="s">
        <v>25</v>
      </c>
      <c r="H131" s="35" t="s">
        <v>37</v>
      </c>
      <c r="I131" s="45">
        <v>44713</v>
      </c>
      <c r="J131" s="46">
        <f>EFEITO!$J$131*EFEITO!$Y$68</f>
        <v>0</v>
      </c>
      <c r="K131" s="46">
        <f ca="1">EFEITO!$L$131*EFEITO!$Z$68</f>
        <v>1070.9040812370465</v>
      </c>
      <c r="L131" s="46">
        <f>EFEITO!$N$131*EFEITO!$AA$68</f>
        <v>2064.6091244215058</v>
      </c>
      <c r="M131" s="46">
        <f>$J$131-EFEITO!$K$131*EFEITO!$Y$131</f>
        <v>0</v>
      </c>
      <c r="N131" s="46">
        <f ca="1">$K$131-EFEITO!$M$131*EFEITO!$Z$131</f>
        <v>21.418081624741035</v>
      </c>
      <c r="O131" s="46">
        <f>$L$131-EFEITO!$O$131*EFEITO!$AA$131</f>
        <v>41.292182488430399</v>
      </c>
      <c r="P131" s="38"/>
      <c r="Q131" s="38"/>
      <c r="R131" s="38"/>
      <c r="S131" s="38"/>
      <c r="T131" s="38"/>
      <c r="U131" s="38"/>
      <c r="V131" s="38"/>
      <c r="W131" s="38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</row>
    <row r="132" spans="1:36" ht="11.25" customHeight="1" x14ac:dyDescent="0.2">
      <c r="A132" s="35" t="s">
        <v>21</v>
      </c>
      <c r="B132" s="35" t="s">
        <v>43</v>
      </c>
      <c r="C132" s="35" t="s">
        <v>44</v>
      </c>
      <c r="D132" s="35" t="s">
        <v>47</v>
      </c>
      <c r="E132" s="35" t="s">
        <v>25</v>
      </c>
      <c r="F132" s="35" t="s">
        <v>25</v>
      </c>
      <c r="G132" s="35" t="s">
        <v>25</v>
      </c>
      <c r="H132" s="35" t="s">
        <v>37</v>
      </c>
      <c r="I132" s="45">
        <v>44743</v>
      </c>
      <c r="J132" s="46">
        <f>EFEITO!$J$132*EFEITO!$Y$68</f>
        <v>0</v>
      </c>
      <c r="K132" s="46">
        <f ca="1">EFEITO!$L$132*EFEITO!$Z$68</f>
        <v>997.51408647374069</v>
      </c>
      <c r="L132" s="46">
        <f>EFEITO!$N$132*EFEITO!$AA$68</f>
        <v>1923.1196525964115</v>
      </c>
      <c r="M132" s="46">
        <f>$J$132-EFEITO!$K$132*EFEITO!$Y$132</f>
        <v>0</v>
      </c>
      <c r="N132" s="46">
        <f ca="1">$K$132-EFEITO!$M$132*EFEITO!$Z$132</f>
        <v>19.950281729474796</v>
      </c>
      <c r="O132" s="46">
        <f>$L$132-EFEITO!$O$132*EFEITO!$AA$132</f>
        <v>38.462393051928302</v>
      </c>
      <c r="P132" s="38"/>
      <c r="Q132" s="38"/>
      <c r="R132" s="38"/>
      <c r="S132" s="38"/>
      <c r="T132" s="38"/>
      <c r="U132" s="38"/>
      <c r="V132" s="38"/>
      <c r="W132" s="38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</row>
    <row r="133" spans="1:36" ht="11.25" customHeight="1" x14ac:dyDescent="0.2">
      <c r="A133" s="35" t="s">
        <v>21</v>
      </c>
      <c r="B133" s="35" t="s">
        <v>43</v>
      </c>
      <c r="C133" s="35" t="s">
        <v>44</v>
      </c>
      <c r="D133" s="35" t="s">
        <v>47</v>
      </c>
      <c r="E133" s="35" t="s">
        <v>25</v>
      </c>
      <c r="F133" s="35" t="s">
        <v>25</v>
      </c>
      <c r="G133" s="35" t="s">
        <v>25</v>
      </c>
      <c r="H133" s="35" t="s">
        <v>37</v>
      </c>
      <c r="I133" s="45">
        <v>44774</v>
      </c>
      <c r="J133" s="46">
        <f>EFEITO!$J$133*EFEITO!$Y$68</f>
        <v>0</v>
      </c>
      <c r="K133" s="46">
        <f ca="1">EFEITO!$L$133*EFEITO!$Z$68</f>
        <v>444.42349224518034</v>
      </c>
      <c r="L133" s="46">
        <f>EFEITO!$N$133*EFEITO!$AA$68</f>
        <v>856.80950635350689</v>
      </c>
      <c r="M133" s="46">
        <f>$J$133-EFEITO!$K$133*EFEITO!$Y$133</f>
        <v>0</v>
      </c>
      <c r="N133" s="46">
        <f ca="1">$K$133-EFEITO!$M$133*EFEITO!$Z$133</f>
        <v>8.8884698449035682</v>
      </c>
      <c r="O133" s="46">
        <f>$L$133-EFEITO!$O$133*EFEITO!$AA$133</f>
        <v>17.136190127070108</v>
      </c>
      <c r="P133" s="38"/>
      <c r="Q133" s="38"/>
      <c r="R133" s="38"/>
      <c r="S133" s="38"/>
      <c r="T133" s="38"/>
      <c r="U133" s="38"/>
      <c r="V133" s="38"/>
      <c r="W133" s="38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</row>
    <row r="134" spans="1:36" ht="11.25" customHeight="1" x14ac:dyDescent="0.2">
      <c r="A134" s="35" t="s">
        <v>21</v>
      </c>
      <c r="B134" s="35" t="s">
        <v>43</v>
      </c>
      <c r="C134" s="35" t="s">
        <v>44</v>
      </c>
      <c r="D134" s="35" t="s">
        <v>47</v>
      </c>
      <c r="E134" s="35" t="s">
        <v>25</v>
      </c>
      <c r="F134" s="35" t="s">
        <v>25</v>
      </c>
      <c r="G134" s="35" t="s">
        <v>25</v>
      </c>
      <c r="H134" s="35" t="s">
        <v>37</v>
      </c>
      <c r="I134" s="45">
        <v>44805</v>
      </c>
      <c r="J134" s="46">
        <f>EFEITO!$J$134*EFEITO!$Y$68</f>
        <v>0</v>
      </c>
      <c r="K134" s="46">
        <f ca="1">EFEITO!$L$134*EFEITO!$Z$68</f>
        <v>728.56868062552155</v>
      </c>
      <c r="L134" s="46">
        <f>EFEITO!$N$134*EFEITO!$AA$68</f>
        <v>1404.6165031415453</v>
      </c>
      <c r="M134" s="46">
        <f>$J$134-EFEITO!$K$134*EFEITO!$Y$134</f>
        <v>0</v>
      </c>
      <c r="N134" s="46">
        <f ca="1">$K$134-EFEITO!$M$134*EFEITO!$Z$134</f>
        <v>14.571373612510456</v>
      </c>
      <c r="O134" s="46">
        <f>$L$134-EFEITO!$O$134*EFEITO!$AA$134</f>
        <v>28.092330062830797</v>
      </c>
      <c r="P134" s="38"/>
      <c r="Q134" s="38"/>
      <c r="R134" s="38"/>
      <c r="S134" s="38"/>
      <c r="T134" s="38"/>
      <c r="U134" s="38"/>
      <c r="V134" s="38"/>
      <c r="W134" s="38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</row>
    <row r="135" spans="1:36" ht="11.25" customHeight="1" x14ac:dyDescent="0.2">
      <c r="A135" s="35" t="s">
        <v>21</v>
      </c>
      <c r="B135" s="35" t="s">
        <v>43</v>
      </c>
      <c r="C135" s="35" t="s">
        <v>44</v>
      </c>
      <c r="D135" s="35" t="s">
        <v>47</v>
      </c>
      <c r="E135" s="35" t="s">
        <v>25</v>
      </c>
      <c r="F135" s="35" t="s">
        <v>25</v>
      </c>
      <c r="G135" s="35" t="s">
        <v>25</v>
      </c>
      <c r="H135" s="35" t="s">
        <v>37</v>
      </c>
      <c r="I135" s="45">
        <v>44835</v>
      </c>
      <c r="J135" s="46">
        <f>EFEITO!$J$135*EFEITO!$Y$68</f>
        <v>0</v>
      </c>
      <c r="K135" s="46">
        <f ca="1">EFEITO!$L$135*EFEITO!$Z$68</f>
        <v>454.06514534391448</v>
      </c>
      <c r="L135" s="46">
        <f>EFEITO!$N$135*EFEITO!$AA$68</f>
        <v>875.39776772156415</v>
      </c>
      <c r="M135" s="46">
        <f>$J$135-EFEITO!$K$135*EFEITO!$Y$135</f>
        <v>0</v>
      </c>
      <c r="N135" s="46">
        <f ca="1">$K$135-EFEITO!$M$135*EFEITO!$Z$135</f>
        <v>9.0813029068783067</v>
      </c>
      <c r="O135" s="46">
        <f>$L$135-EFEITO!$O$135*EFEITO!$AA$135</f>
        <v>17.507955354431374</v>
      </c>
      <c r="P135" s="38"/>
      <c r="Q135" s="38"/>
      <c r="R135" s="38"/>
      <c r="S135" s="38"/>
      <c r="T135" s="38"/>
      <c r="U135" s="38"/>
      <c r="V135" s="38"/>
      <c r="W135" s="38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</row>
    <row r="136" spans="1:36" ht="11.25" customHeight="1" x14ac:dyDescent="0.2">
      <c r="A136" s="35" t="s">
        <v>59</v>
      </c>
      <c r="B136" s="35" t="s">
        <v>43</v>
      </c>
      <c r="C136" s="35" t="s">
        <v>44</v>
      </c>
      <c r="D136" s="35" t="s">
        <v>47</v>
      </c>
      <c r="E136" s="35" t="s">
        <v>25</v>
      </c>
      <c r="F136" s="35" t="s">
        <v>25</v>
      </c>
      <c r="G136" s="35" t="s">
        <v>25</v>
      </c>
      <c r="H136" s="35" t="s">
        <v>37</v>
      </c>
      <c r="I136" s="45">
        <v>44866</v>
      </c>
      <c r="J136" s="46">
        <f>EFEITO!$J$136*EFEITO!$Y$68</f>
        <v>0</v>
      </c>
      <c r="K136" s="46">
        <f ca="1">EFEITO!$L$136*EFEITO!$Z$68</f>
        <v>454.06514534391448</v>
      </c>
      <c r="L136" s="46">
        <f>EFEITO!$N$136*EFEITO!$AA$68</f>
        <v>875.39776772156415</v>
      </c>
      <c r="M136" s="46">
        <f>$J$136-EFEITO!$K$136*EFEITO!$Y$136</f>
        <v>0</v>
      </c>
      <c r="N136" s="46">
        <f ca="1">$K$136-EFEITO!$M$136*EFEITO!$Z$136</f>
        <v>9.0813029068783067</v>
      </c>
      <c r="O136" s="46">
        <f>$L$136-EFEITO!$O$136*EFEITO!$AA$136</f>
        <v>17.507955354431374</v>
      </c>
      <c r="P136" s="38"/>
      <c r="Q136" s="38"/>
      <c r="R136" s="38"/>
      <c r="S136" s="38"/>
      <c r="T136" s="38"/>
      <c r="U136" s="38"/>
      <c r="V136" s="38"/>
      <c r="W136" s="38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</row>
    <row r="137" spans="1:36" ht="11.25" customHeight="1" x14ac:dyDescent="0.2">
      <c r="A137" s="35" t="s">
        <v>21</v>
      </c>
      <c r="B137" s="35" t="s">
        <v>43</v>
      </c>
      <c r="C137" s="35" t="s">
        <v>44</v>
      </c>
      <c r="D137" s="35" t="s">
        <v>47</v>
      </c>
      <c r="E137" s="35" t="s">
        <v>25</v>
      </c>
      <c r="F137" s="35" t="s">
        <v>25</v>
      </c>
      <c r="G137" s="35" t="s">
        <v>25</v>
      </c>
      <c r="H137" s="35" t="s">
        <v>25</v>
      </c>
      <c r="I137" s="45">
        <v>44621</v>
      </c>
      <c r="J137" s="46">
        <f ca="1">EFEITO!$J$137*EFEITO!$Y$86</f>
        <v>2226.4431476643836</v>
      </c>
      <c r="K137" s="46">
        <f>EFEITO!$L$137*EFEITO!$Z$86</f>
        <v>0</v>
      </c>
      <c r="L137" s="46">
        <f>EFEITO!$N$137*EFEITO!$AA$86</f>
        <v>0</v>
      </c>
      <c r="M137" s="46">
        <f ca="1">$J$137-EFEITO!$K$137*EFEITO!$Y$137</f>
        <v>44.528862953287899</v>
      </c>
      <c r="N137" s="46">
        <f>$K$137-EFEITO!$M$137*EFEITO!$Z$137</f>
        <v>0</v>
      </c>
      <c r="O137" s="46">
        <f>$L$137-EFEITO!$O$137*EFEITO!$AA$137</f>
        <v>0</v>
      </c>
      <c r="P137" s="38"/>
      <c r="Q137" s="38"/>
      <c r="R137" s="38"/>
      <c r="S137" s="38"/>
      <c r="T137" s="38"/>
      <c r="U137" s="38"/>
      <c r="V137" s="38"/>
      <c r="W137" s="38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</row>
    <row r="138" spans="1:36" ht="11.25" customHeight="1" x14ac:dyDescent="0.2">
      <c r="A138" s="35" t="s">
        <v>21</v>
      </c>
      <c r="B138" s="35" t="s">
        <v>43</v>
      </c>
      <c r="C138" s="35" t="s">
        <v>44</v>
      </c>
      <c r="D138" s="35" t="s">
        <v>47</v>
      </c>
      <c r="E138" s="35" t="s">
        <v>25</v>
      </c>
      <c r="F138" s="35" t="s">
        <v>25</v>
      </c>
      <c r="G138" s="35" t="s">
        <v>25</v>
      </c>
      <c r="H138" s="35" t="s">
        <v>25</v>
      </c>
      <c r="I138" s="45">
        <v>44652</v>
      </c>
      <c r="J138" s="46">
        <f ca="1">EFEITO!$J$138*EFEITO!$Y$86</f>
        <v>3298.4342928361234</v>
      </c>
      <c r="K138" s="46">
        <f>EFEITO!$L$138*EFEITO!$Z$86</f>
        <v>0</v>
      </c>
      <c r="L138" s="46">
        <f>EFEITO!$N$138*EFEITO!$AA$86</f>
        <v>0</v>
      </c>
      <c r="M138" s="46">
        <f ca="1">$J$138-EFEITO!$K$138*EFEITO!$Y$138</f>
        <v>65.968685856722459</v>
      </c>
      <c r="N138" s="46">
        <f>$K$138-EFEITO!$M$138*EFEITO!$Z$138</f>
        <v>0</v>
      </c>
      <c r="O138" s="46">
        <f>$L$138-EFEITO!$O$138*EFEITO!$AA$138</f>
        <v>0</v>
      </c>
      <c r="P138" s="38"/>
      <c r="Q138" s="38"/>
      <c r="R138" s="38"/>
      <c r="S138" s="38"/>
      <c r="T138" s="38"/>
      <c r="U138" s="38"/>
      <c r="V138" s="38"/>
      <c r="W138" s="38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</row>
    <row r="139" spans="1:36" ht="11.25" customHeight="1" x14ac:dyDescent="0.2">
      <c r="A139" s="35" t="s">
        <v>21</v>
      </c>
      <c r="B139" s="35" t="s">
        <v>43</v>
      </c>
      <c r="C139" s="35" t="s">
        <v>44</v>
      </c>
      <c r="D139" s="35" t="s">
        <v>47</v>
      </c>
      <c r="E139" s="35" t="s">
        <v>25</v>
      </c>
      <c r="F139" s="35" t="s">
        <v>25</v>
      </c>
      <c r="G139" s="35" t="s">
        <v>25</v>
      </c>
      <c r="H139" s="35" t="s">
        <v>25</v>
      </c>
      <c r="I139" s="45">
        <v>44682</v>
      </c>
      <c r="J139" s="46">
        <f ca="1">EFEITO!$J$139*EFEITO!$Y$86</f>
        <v>3566.4320791290584</v>
      </c>
      <c r="K139" s="46">
        <f>EFEITO!$L$139*EFEITO!$Z$86</f>
        <v>0</v>
      </c>
      <c r="L139" s="46">
        <f>EFEITO!$N$139*EFEITO!$AA$86</f>
        <v>0</v>
      </c>
      <c r="M139" s="46">
        <f ca="1">$J$139-EFEITO!$K$139*EFEITO!$Y$139</f>
        <v>71.32864158258144</v>
      </c>
      <c r="N139" s="46">
        <f>$K$139-EFEITO!$M$139*EFEITO!$Z$139</f>
        <v>0</v>
      </c>
      <c r="O139" s="46">
        <f>$L$139-EFEITO!$O$139*EFEITO!$AA$139</f>
        <v>0</v>
      </c>
      <c r="P139" s="38"/>
      <c r="Q139" s="38"/>
      <c r="R139" s="38"/>
      <c r="S139" s="38"/>
      <c r="T139" s="38"/>
      <c r="U139" s="38"/>
      <c r="V139" s="38"/>
      <c r="W139" s="38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</row>
    <row r="140" spans="1:36" ht="11.25" customHeight="1" x14ac:dyDescent="0.2">
      <c r="A140" s="35" t="s">
        <v>21</v>
      </c>
      <c r="B140" s="35" t="s">
        <v>43</v>
      </c>
      <c r="C140" s="35" t="s">
        <v>44</v>
      </c>
      <c r="D140" s="35" t="s">
        <v>47</v>
      </c>
      <c r="E140" s="35" t="s">
        <v>25</v>
      </c>
      <c r="F140" s="35" t="s">
        <v>25</v>
      </c>
      <c r="G140" s="35" t="s">
        <v>25</v>
      </c>
      <c r="H140" s="35" t="s">
        <v>25</v>
      </c>
      <c r="I140" s="45">
        <v>44713</v>
      </c>
      <c r="J140" s="46">
        <f ca="1">EFEITO!$J$140*EFEITO!$Y$86</f>
        <v>3834.4298654219938</v>
      </c>
      <c r="K140" s="46">
        <f>EFEITO!$L$140*EFEITO!$Z$86</f>
        <v>0</v>
      </c>
      <c r="L140" s="46">
        <f>EFEITO!$N$140*EFEITO!$AA$86</f>
        <v>0</v>
      </c>
      <c r="M140" s="46">
        <f ca="1">$J$140-EFEITO!$K$140*EFEITO!$Y$140</f>
        <v>76.688597308440421</v>
      </c>
      <c r="N140" s="46">
        <f>$K$140-EFEITO!$M$140*EFEITO!$Z$140</f>
        <v>0</v>
      </c>
      <c r="O140" s="46">
        <f>$L$140-EFEITO!$O$140*EFEITO!$AA$140</f>
        <v>0</v>
      </c>
      <c r="P140" s="38"/>
      <c r="Q140" s="38"/>
      <c r="R140" s="38"/>
      <c r="S140" s="38"/>
      <c r="T140" s="38"/>
      <c r="U140" s="38"/>
      <c r="V140" s="38"/>
      <c r="W140" s="38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</row>
    <row r="141" spans="1:36" ht="11.25" customHeight="1" x14ac:dyDescent="0.2">
      <c r="A141" s="35" t="s">
        <v>21</v>
      </c>
      <c r="B141" s="35" t="s">
        <v>43</v>
      </c>
      <c r="C141" s="35" t="s">
        <v>44</v>
      </c>
      <c r="D141" s="35" t="s">
        <v>47</v>
      </c>
      <c r="E141" s="35" t="s">
        <v>25</v>
      </c>
      <c r="F141" s="35" t="s">
        <v>25</v>
      </c>
      <c r="G141" s="35" t="s">
        <v>25</v>
      </c>
      <c r="H141" s="35" t="s">
        <v>25</v>
      </c>
      <c r="I141" s="45">
        <v>44743</v>
      </c>
      <c r="J141" s="46">
        <f ca="1">EFEITO!$J$141*EFEITO!$Y$86</f>
        <v>2844.8995775711564</v>
      </c>
      <c r="K141" s="46">
        <f>EFEITO!$L$141*EFEITO!$Z$86</f>
        <v>0</v>
      </c>
      <c r="L141" s="46">
        <f>EFEITO!$N$141*EFEITO!$AA$86</f>
        <v>0</v>
      </c>
      <c r="M141" s="46">
        <f ca="1">$J$141-EFEITO!$K$141*EFEITO!$Y$141</f>
        <v>56.897991551423274</v>
      </c>
      <c r="N141" s="46">
        <f>$K$141-EFEITO!$M$141*EFEITO!$Z$141</f>
        <v>0</v>
      </c>
      <c r="O141" s="46">
        <f>$L$141-EFEITO!$O$141*EFEITO!$AA$141</f>
        <v>0</v>
      </c>
      <c r="P141" s="38"/>
      <c r="Q141" s="38"/>
      <c r="R141" s="38"/>
      <c r="S141" s="38"/>
      <c r="T141" s="38"/>
      <c r="U141" s="38"/>
      <c r="V141" s="38"/>
      <c r="W141" s="38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</row>
    <row r="142" spans="1:36" ht="11.25" customHeight="1" x14ac:dyDescent="0.2">
      <c r="A142" s="35" t="s">
        <v>21</v>
      </c>
      <c r="B142" s="35" t="s">
        <v>43</v>
      </c>
      <c r="C142" s="35" t="s">
        <v>44</v>
      </c>
      <c r="D142" s="35" t="s">
        <v>47</v>
      </c>
      <c r="E142" s="35" t="s">
        <v>25</v>
      </c>
      <c r="F142" s="35" t="s">
        <v>25</v>
      </c>
      <c r="G142" s="35" t="s">
        <v>25</v>
      </c>
      <c r="H142" s="35" t="s">
        <v>25</v>
      </c>
      <c r="I142" s="45">
        <v>44774</v>
      </c>
      <c r="J142" s="46">
        <f ca="1">EFEITO!$J$142*EFEITO!$Y$86</f>
        <v>762.76293021835352</v>
      </c>
      <c r="K142" s="46">
        <f>EFEITO!$L$142*EFEITO!$Z$86</f>
        <v>0</v>
      </c>
      <c r="L142" s="46">
        <f>EFEITO!$N$142*EFEITO!$AA$86</f>
        <v>0</v>
      </c>
      <c r="M142" s="46">
        <f ca="1">$J$142-EFEITO!$K$142*EFEITO!$Y$142</f>
        <v>15.2552586043671</v>
      </c>
      <c r="N142" s="46">
        <f>$K$142-EFEITO!$M$142*EFEITO!$Z$142</f>
        <v>0</v>
      </c>
      <c r="O142" s="46">
        <f>$L$142-EFEITO!$O$142*EFEITO!$AA$142</f>
        <v>0</v>
      </c>
      <c r="P142" s="38"/>
      <c r="Q142" s="38"/>
      <c r="R142" s="38"/>
      <c r="S142" s="38"/>
      <c r="T142" s="38"/>
      <c r="U142" s="38"/>
      <c r="V142" s="38"/>
      <c r="W142" s="38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</row>
    <row r="143" spans="1:36" ht="11.25" customHeight="1" x14ac:dyDescent="0.2">
      <c r="A143" s="35" t="s">
        <v>21</v>
      </c>
      <c r="B143" s="35" t="s">
        <v>43</v>
      </c>
      <c r="C143" s="35" t="s">
        <v>44</v>
      </c>
      <c r="D143" s="35" t="s">
        <v>47</v>
      </c>
      <c r="E143" s="35" t="s">
        <v>25</v>
      </c>
      <c r="F143" s="35" t="s">
        <v>25</v>
      </c>
      <c r="G143" s="35" t="s">
        <v>25</v>
      </c>
      <c r="H143" s="35" t="s">
        <v>25</v>
      </c>
      <c r="I143" s="45">
        <v>44805</v>
      </c>
      <c r="J143" s="46">
        <f ca="1">EFEITO!$J$143*EFEITO!$Y$86</f>
        <v>3504.586436138381</v>
      </c>
      <c r="K143" s="46">
        <f>EFEITO!$L$143*EFEITO!$Z$86</f>
        <v>0</v>
      </c>
      <c r="L143" s="46">
        <f>EFEITO!$N$143*EFEITO!$AA$86</f>
        <v>0</v>
      </c>
      <c r="M143" s="46">
        <f ca="1">$J$143-EFEITO!$K$143*EFEITO!$Y$143</f>
        <v>70.091728722767584</v>
      </c>
      <c r="N143" s="46">
        <f>$K$143-EFEITO!$M$143*EFEITO!$Z$143</f>
        <v>0</v>
      </c>
      <c r="O143" s="46">
        <f>$L$143-EFEITO!$O$143*EFEITO!$AA$143</f>
        <v>0</v>
      </c>
      <c r="P143" s="38"/>
      <c r="Q143" s="38"/>
      <c r="R143" s="38"/>
      <c r="S143" s="38"/>
      <c r="T143" s="38"/>
      <c r="U143" s="38"/>
      <c r="V143" s="38"/>
      <c r="W143" s="38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</row>
    <row r="144" spans="1:36" ht="11.25" customHeight="1" x14ac:dyDescent="0.2">
      <c r="A144" s="35" t="s">
        <v>21</v>
      </c>
      <c r="B144" s="35" t="s">
        <v>43</v>
      </c>
      <c r="C144" s="35" t="s">
        <v>44</v>
      </c>
      <c r="D144" s="35" t="s">
        <v>47</v>
      </c>
      <c r="E144" s="35" t="s">
        <v>25</v>
      </c>
      <c r="F144" s="35" t="s">
        <v>25</v>
      </c>
      <c r="G144" s="35" t="s">
        <v>25</v>
      </c>
      <c r="H144" s="35" t="s">
        <v>25</v>
      </c>
      <c r="I144" s="45">
        <v>44835</v>
      </c>
      <c r="J144" s="46">
        <f ca="1">EFEITO!$J$144*EFEITO!$Y$86</f>
        <v>1752.2932180691905</v>
      </c>
      <c r="K144" s="46">
        <f>EFEITO!$L$144*EFEITO!$Z$86</f>
        <v>0</v>
      </c>
      <c r="L144" s="46">
        <f>EFEITO!$N$144*EFEITO!$AA$86</f>
        <v>0</v>
      </c>
      <c r="M144" s="46">
        <f ca="1">$J$144-EFEITO!$K$144*EFEITO!$Y$144</f>
        <v>35.045864361383792</v>
      </c>
      <c r="N144" s="46">
        <f>$K$144-EFEITO!$M$144*EFEITO!$Z$144</f>
        <v>0</v>
      </c>
      <c r="O144" s="46">
        <f>$L$144-EFEITO!$O$144*EFEITO!$AA$144</f>
        <v>0</v>
      </c>
      <c r="P144" s="38"/>
      <c r="Q144" s="38"/>
      <c r="R144" s="38"/>
      <c r="S144" s="38"/>
      <c r="T144" s="38"/>
      <c r="U144" s="38"/>
      <c r="V144" s="38"/>
      <c r="W144" s="38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</row>
    <row r="145" spans="1:36" ht="11.25" customHeight="1" x14ac:dyDescent="0.2">
      <c r="A145" s="35" t="s">
        <v>59</v>
      </c>
      <c r="B145" s="35" t="s">
        <v>43</v>
      </c>
      <c r="C145" s="35" t="s">
        <v>44</v>
      </c>
      <c r="D145" s="35" t="s">
        <v>47</v>
      </c>
      <c r="E145" s="35" t="s">
        <v>25</v>
      </c>
      <c r="F145" s="35" t="s">
        <v>25</v>
      </c>
      <c r="G145" s="35" t="s">
        <v>25</v>
      </c>
      <c r="H145" s="35" t="s">
        <v>25</v>
      </c>
      <c r="I145" s="45">
        <v>44866</v>
      </c>
      <c r="J145" s="46">
        <f ca="1">EFEITO!$J$145*EFEITO!$Y$86</f>
        <v>1752.2932180691905</v>
      </c>
      <c r="K145" s="46">
        <f>EFEITO!$L$145*EFEITO!$Z$86</f>
        <v>0</v>
      </c>
      <c r="L145" s="46">
        <f>EFEITO!$N$145*EFEITO!$AA$86</f>
        <v>0</v>
      </c>
      <c r="M145" s="46">
        <f ca="1">$J$145-EFEITO!$K$145*EFEITO!$Y$145</f>
        <v>35.045864361383792</v>
      </c>
      <c r="N145" s="46">
        <f>$K$145-EFEITO!$M$145*EFEITO!$Z$145</f>
        <v>0</v>
      </c>
      <c r="O145" s="46">
        <f>$L$145-EFEITO!$O$145*EFEITO!$AA$145</f>
        <v>0</v>
      </c>
      <c r="P145" s="38"/>
      <c r="Q145" s="38"/>
      <c r="R145" s="38"/>
      <c r="S145" s="38"/>
      <c r="T145" s="38"/>
      <c r="U145" s="38"/>
      <c r="V145" s="38"/>
      <c r="W145" s="38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</row>
    <row r="146" spans="1:36" ht="11.25" customHeight="1" x14ac:dyDescent="0.2">
      <c r="A146" s="35" t="s">
        <v>21</v>
      </c>
      <c r="B146" s="35" t="s">
        <v>43</v>
      </c>
      <c r="C146" s="35" t="s">
        <v>44</v>
      </c>
      <c r="D146" s="35" t="s">
        <v>47</v>
      </c>
      <c r="E146" s="35" t="s">
        <v>25</v>
      </c>
      <c r="F146" s="35" t="s">
        <v>25</v>
      </c>
      <c r="G146" s="35" t="s">
        <v>25</v>
      </c>
      <c r="H146" s="35" t="s">
        <v>36</v>
      </c>
      <c r="I146" s="45">
        <v>44621</v>
      </c>
      <c r="J146" s="46">
        <f>EFEITO!$J$146*EFEITO!$Y$105</f>
        <v>0</v>
      </c>
      <c r="K146" s="46">
        <f ca="1">EFEITO!$L$146*EFEITO!$Z$105</f>
        <v>1863.4811779973329</v>
      </c>
      <c r="L146" s="46">
        <f>EFEITO!$N$146*EFEITO!$AA$105</f>
        <v>456.56877942216875</v>
      </c>
      <c r="M146" s="46">
        <f>$J$146-EFEITO!$K$146*EFEITO!$Y$146</f>
        <v>0</v>
      </c>
      <c r="N146" s="46">
        <f ca="1">$K$146-EFEITO!$M$146*EFEITO!$Z$146</f>
        <v>37.269623559946695</v>
      </c>
      <c r="O146" s="46">
        <f>$L$146-EFEITO!$O$146*EFEITO!$AA$146</f>
        <v>9.1313755884433476</v>
      </c>
      <c r="P146" s="38"/>
      <c r="Q146" s="38"/>
      <c r="R146" s="38"/>
      <c r="S146" s="38"/>
      <c r="T146" s="38"/>
      <c r="U146" s="38"/>
      <c r="V146" s="38"/>
      <c r="W146" s="38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</row>
    <row r="147" spans="1:36" ht="11.25" customHeight="1" x14ac:dyDescent="0.2">
      <c r="A147" s="35" t="s">
        <v>21</v>
      </c>
      <c r="B147" s="35" t="s">
        <v>43</v>
      </c>
      <c r="C147" s="35" t="s">
        <v>44</v>
      </c>
      <c r="D147" s="35" t="s">
        <v>47</v>
      </c>
      <c r="E147" s="35" t="s">
        <v>25</v>
      </c>
      <c r="F147" s="35" t="s">
        <v>25</v>
      </c>
      <c r="G147" s="35" t="s">
        <v>25</v>
      </c>
      <c r="H147" s="35" t="s">
        <v>36</v>
      </c>
      <c r="I147" s="45">
        <v>44652</v>
      </c>
      <c r="J147" s="46">
        <f>EFEITO!$J$147*EFEITO!$Y$105</f>
        <v>0</v>
      </c>
      <c r="K147" s="46">
        <f ca="1">EFEITO!$L$147*EFEITO!$Z$105</f>
        <v>1037.5697424750836</v>
      </c>
      <c r="L147" s="46">
        <f>EFEITO!$N$147*EFEITO!$AA$105</f>
        <v>254.21343476961104</v>
      </c>
      <c r="M147" s="46">
        <f>$J$147-EFEITO!$K$147*EFEITO!$Y$147</f>
        <v>0</v>
      </c>
      <c r="N147" s="46">
        <f ca="1">$K$147-EFEITO!$M$147*EFEITO!$Z$147</f>
        <v>20.751394849501594</v>
      </c>
      <c r="O147" s="46">
        <f>$L$147-EFEITO!$O$147*EFEITO!$AA$147</f>
        <v>5.0842686953922112</v>
      </c>
      <c r="P147" s="38"/>
      <c r="Q147" s="38"/>
      <c r="R147" s="38"/>
      <c r="S147" s="38"/>
      <c r="T147" s="38"/>
      <c r="U147" s="38"/>
      <c r="V147" s="38"/>
      <c r="W147" s="38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</row>
    <row r="148" spans="1:36" ht="11.25" customHeight="1" x14ac:dyDescent="0.2">
      <c r="A148" s="35" t="s">
        <v>21</v>
      </c>
      <c r="B148" s="35" t="s">
        <v>43</v>
      </c>
      <c r="C148" s="35" t="s">
        <v>44</v>
      </c>
      <c r="D148" s="35" t="s">
        <v>47</v>
      </c>
      <c r="E148" s="35" t="s">
        <v>25</v>
      </c>
      <c r="F148" s="35" t="s">
        <v>25</v>
      </c>
      <c r="G148" s="35" t="s">
        <v>25</v>
      </c>
      <c r="H148" s="35" t="s">
        <v>36</v>
      </c>
      <c r="I148" s="45">
        <v>44682</v>
      </c>
      <c r="J148" s="46">
        <f>EFEITO!$J$148*EFEITO!$Y$105</f>
        <v>0</v>
      </c>
      <c r="K148" s="46">
        <f ca="1">EFEITO!$L$148*EFEITO!$Z$105</f>
        <v>3124.550251590445</v>
      </c>
      <c r="L148" s="46">
        <f>EFEITO!$N$148*EFEITO!$AA$105</f>
        <v>765.54145620349357</v>
      </c>
      <c r="M148" s="46">
        <f>$J$148-EFEITO!$K$148*EFEITO!$Y$148</f>
        <v>0</v>
      </c>
      <c r="N148" s="46">
        <f ca="1">$K$148-EFEITO!$M$148*EFEITO!$Z$148</f>
        <v>62.491005031808982</v>
      </c>
      <c r="O148" s="46">
        <f>$L$148-EFEITO!$O$148*EFEITO!$AA$148</f>
        <v>15.310829124069869</v>
      </c>
      <c r="P148" s="38"/>
      <c r="Q148" s="38"/>
      <c r="R148" s="38"/>
      <c r="S148" s="38"/>
      <c r="T148" s="38"/>
      <c r="U148" s="38"/>
      <c r="V148" s="38"/>
      <c r="W148" s="38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</row>
    <row r="149" spans="1:36" ht="11.25" customHeight="1" x14ac:dyDescent="0.2">
      <c r="A149" s="35" t="s">
        <v>21</v>
      </c>
      <c r="B149" s="35" t="s">
        <v>43</v>
      </c>
      <c r="C149" s="35" t="s">
        <v>44</v>
      </c>
      <c r="D149" s="35" t="s">
        <v>47</v>
      </c>
      <c r="E149" s="35" t="s">
        <v>25</v>
      </c>
      <c r="F149" s="35" t="s">
        <v>25</v>
      </c>
      <c r="G149" s="35" t="s">
        <v>25</v>
      </c>
      <c r="H149" s="35" t="s">
        <v>36</v>
      </c>
      <c r="I149" s="45">
        <v>44713</v>
      </c>
      <c r="J149" s="46">
        <f>EFEITO!$J$149*EFEITO!$Y$105</f>
        <v>0</v>
      </c>
      <c r="K149" s="46">
        <f ca="1">EFEITO!$L$149*EFEITO!$Z$105</f>
        <v>2116.5830695283448</v>
      </c>
      <c r="L149" s="46">
        <f>EFEITO!$N$149*EFEITO!$AA$105</f>
        <v>518.58090117053325</v>
      </c>
      <c r="M149" s="46">
        <f>$J$149-EFEITO!$K$149*EFEITO!$Y$149</f>
        <v>0</v>
      </c>
      <c r="N149" s="46">
        <f ca="1">$K$149-EFEITO!$M$149*EFEITO!$Z$149</f>
        <v>42.331661390566751</v>
      </c>
      <c r="O149" s="46">
        <f>$L$149-EFEITO!$O$149*EFEITO!$AA$149</f>
        <v>10.37161802341069</v>
      </c>
      <c r="P149" s="38"/>
      <c r="Q149" s="38"/>
      <c r="R149" s="38"/>
      <c r="S149" s="38"/>
      <c r="T149" s="38"/>
      <c r="U149" s="38"/>
      <c r="V149" s="38"/>
      <c r="W149" s="38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</row>
    <row r="150" spans="1:36" ht="11.25" customHeight="1" x14ac:dyDescent="0.2">
      <c r="A150" s="35" t="s">
        <v>21</v>
      </c>
      <c r="B150" s="35" t="s">
        <v>43</v>
      </c>
      <c r="C150" s="35" t="s">
        <v>44</v>
      </c>
      <c r="D150" s="35" t="s">
        <v>47</v>
      </c>
      <c r="E150" s="35" t="s">
        <v>25</v>
      </c>
      <c r="F150" s="35" t="s">
        <v>25</v>
      </c>
      <c r="G150" s="35" t="s">
        <v>25</v>
      </c>
      <c r="H150" s="35" t="s">
        <v>36</v>
      </c>
      <c r="I150" s="45">
        <v>44743</v>
      </c>
      <c r="J150" s="46">
        <f>EFEITO!$J$150*EFEITO!$Y$105</f>
        <v>0</v>
      </c>
      <c r="K150" s="46">
        <f ca="1">EFEITO!$L$150*EFEITO!$Z$105</f>
        <v>1970.0503954840747</v>
      </c>
      <c r="L150" s="46">
        <f>EFEITO!$N$150*EFEITO!$AA$105</f>
        <v>482.67914647411175</v>
      </c>
      <c r="M150" s="46">
        <f>$J$150-EFEITO!$K$150*EFEITO!$Y$150</f>
        <v>0</v>
      </c>
      <c r="N150" s="46">
        <f ca="1">$K$150-EFEITO!$M$150*EFEITO!$Z$150</f>
        <v>39.401007909681312</v>
      </c>
      <c r="O150" s="46">
        <f>$L$150-EFEITO!$O$150*EFEITO!$AA$150</f>
        <v>9.6535829294822406</v>
      </c>
      <c r="P150" s="38"/>
      <c r="Q150" s="38"/>
      <c r="R150" s="38"/>
      <c r="S150" s="38"/>
      <c r="T150" s="38"/>
      <c r="U150" s="38"/>
      <c r="V150" s="38"/>
      <c r="W150" s="38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</row>
    <row r="151" spans="1:36" ht="11.25" customHeight="1" x14ac:dyDescent="0.2">
      <c r="A151" s="35" t="s">
        <v>21</v>
      </c>
      <c r="B151" s="35" t="s">
        <v>43</v>
      </c>
      <c r="C151" s="35" t="s">
        <v>44</v>
      </c>
      <c r="D151" s="35" t="s">
        <v>47</v>
      </c>
      <c r="E151" s="35" t="s">
        <v>25</v>
      </c>
      <c r="F151" s="35" t="s">
        <v>25</v>
      </c>
      <c r="G151" s="35" t="s">
        <v>25</v>
      </c>
      <c r="H151" s="35" t="s">
        <v>36</v>
      </c>
      <c r="I151" s="45">
        <v>44774</v>
      </c>
      <c r="J151" s="46">
        <f>EFEITO!$J$151*EFEITO!$Y$105</f>
        <v>0</v>
      </c>
      <c r="K151" s="46">
        <f ca="1">EFEITO!$L$151*EFEITO!$Z$105</f>
        <v>1083.4537111152088</v>
      </c>
      <c r="L151" s="46">
        <f>EFEITO!$N$151*EFEITO!$AA$105</f>
        <v>265.45539836141984</v>
      </c>
      <c r="M151" s="46">
        <f>$J$151-EFEITO!$K$151*EFEITO!$Y$151</f>
        <v>0</v>
      </c>
      <c r="N151" s="46">
        <f ca="1">$K$151-EFEITO!$M$151*EFEITO!$Z$151</f>
        <v>21.669074222304289</v>
      </c>
      <c r="O151" s="46">
        <f>$L$151-EFEITO!$O$151*EFEITO!$AA$151</f>
        <v>5.3091079672283854</v>
      </c>
      <c r="P151" s="38"/>
      <c r="Q151" s="38"/>
      <c r="R151" s="38"/>
      <c r="S151" s="38"/>
      <c r="T151" s="38"/>
      <c r="U151" s="38"/>
      <c r="V151" s="38"/>
      <c r="W151" s="38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</row>
    <row r="152" spans="1:36" ht="11.25" customHeight="1" x14ac:dyDescent="0.2">
      <c r="A152" s="35" t="s">
        <v>21</v>
      </c>
      <c r="B152" s="35" t="s">
        <v>43</v>
      </c>
      <c r="C152" s="35" t="s">
        <v>44</v>
      </c>
      <c r="D152" s="35" t="s">
        <v>47</v>
      </c>
      <c r="E152" s="35" t="s">
        <v>25</v>
      </c>
      <c r="F152" s="35" t="s">
        <v>25</v>
      </c>
      <c r="G152" s="35" t="s">
        <v>25</v>
      </c>
      <c r="H152" s="35" t="s">
        <v>36</v>
      </c>
      <c r="I152" s="45">
        <v>44805</v>
      </c>
      <c r="J152" s="46">
        <f>EFEITO!$J$152*EFEITO!$Y$105</f>
        <v>0</v>
      </c>
      <c r="K152" s="46">
        <f ca="1">EFEITO!$L$152*EFEITO!$Z$105</f>
        <v>1173.7415203748094</v>
      </c>
      <c r="L152" s="46">
        <f>EFEITO!$N$152*EFEITO!$AA$105</f>
        <v>287.57668155820483</v>
      </c>
      <c r="M152" s="46">
        <f>$J$152-EFEITO!$K$152*EFEITO!$Y$152</f>
        <v>0</v>
      </c>
      <c r="N152" s="46">
        <f ca="1">$K$152-EFEITO!$M$152*EFEITO!$Z$152</f>
        <v>23.474830407496029</v>
      </c>
      <c r="O152" s="46">
        <f>$L$152-EFEITO!$O$152*EFEITO!$AA$152</f>
        <v>5.7515336311640795</v>
      </c>
      <c r="P152" s="38"/>
      <c r="Q152" s="38"/>
      <c r="R152" s="38"/>
      <c r="S152" s="38"/>
      <c r="T152" s="38"/>
      <c r="U152" s="38"/>
      <c r="V152" s="38"/>
      <c r="W152" s="38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</row>
    <row r="153" spans="1:36" ht="11.25" customHeight="1" x14ac:dyDescent="0.2">
      <c r="A153" s="35" t="s">
        <v>21</v>
      </c>
      <c r="B153" s="35" t="s">
        <v>43</v>
      </c>
      <c r="C153" s="35" t="s">
        <v>44</v>
      </c>
      <c r="D153" s="35" t="s">
        <v>47</v>
      </c>
      <c r="E153" s="35" t="s">
        <v>25</v>
      </c>
      <c r="F153" s="35" t="s">
        <v>25</v>
      </c>
      <c r="G153" s="35" t="s">
        <v>25</v>
      </c>
      <c r="H153" s="35" t="s">
        <v>36</v>
      </c>
      <c r="I153" s="45">
        <v>44835</v>
      </c>
      <c r="J153" s="46">
        <f>EFEITO!$J$153*EFEITO!$Y$105</f>
        <v>0</v>
      </c>
      <c r="K153" s="46">
        <f ca="1">EFEITO!$L$153*EFEITO!$Z$105</f>
        <v>910.27873269925317</v>
      </c>
      <c r="L153" s="46">
        <f>EFEITO!$N$153*EFEITO!$AA$105</f>
        <v>223.02605190201257</v>
      </c>
      <c r="M153" s="46">
        <f>$J$153-EFEITO!$K$153*EFEITO!$Y$153</f>
        <v>0</v>
      </c>
      <c r="N153" s="46">
        <f ca="1">$K$153-EFEITO!$M$153*EFEITO!$Z$153</f>
        <v>18.205574653985082</v>
      </c>
      <c r="O153" s="46">
        <f>$L$153-EFEITO!$O$153*EFEITO!$AA$153</f>
        <v>4.4605210380402696</v>
      </c>
      <c r="P153" s="38"/>
      <c r="Q153" s="38"/>
      <c r="R153" s="38"/>
      <c r="S153" s="38"/>
      <c r="T153" s="38"/>
      <c r="U153" s="38"/>
      <c r="V153" s="38"/>
      <c r="W153" s="38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</row>
    <row r="154" spans="1:36" ht="11.25" customHeight="1" x14ac:dyDescent="0.2">
      <c r="A154" s="35" t="s">
        <v>59</v>
      </c>
      <c r="B154" s="35" t="s">
        <v>43</v>
      </c>
      <c r="C154" s="35" t="s">
        <v>44</v>
      </c>
      <c r="D154" s="35" t="s">
        <v>47</v>
      </c>
      <c r="E154" s="35" t="s">
        <v>25</v>
      </c>
      <c r="F154" s="35" t="s">
        <v>25</v>
      </c>
      <c r="G154" s="35" t="s">
        <v>25</v>
      </c>
      <c r="H154" s="35" t="s">
        <v>36</v>
      </c>
      <c r="I154" s="45">
        <v>44866</v>
      </c>
      <c r="J154" s="46">
        <f>EFEITO!$J$154*EFEITO!$Y$105</f>
        <v>0</v>
      </c>
      <c r="K154" s="46">
        <f ca="1">EFEITO!$L$154*EFEITO!$Z$105</f>
        <v>910.27873269925317</v>
      </c>
      <c r="L154" s="46">
        <f>EFEITO!$N$154*EFEITO!$AA$105</f>
        <v>223.02605190201257</v>
      </c>
      <c r="M154" s="46">
        <f>$J$154-EFEITO!$K$154*EFEITO!$Y$154</f>
        <v>0</v>
      </c>
      <c r="N154" s="46">
        <f ca="1">$K$154-EFEITO!$M$154*EFEITO!$Z$154</f>
        <v>18.205574653985082</v>
      </c>
      <c r="O154" s="46">
        <f>$L$154-EFEITO!$O$154*EFEITO!$AA$154</f>
        <v>4.4605210380402696</v>
      </c>
      <c r="P154" s="38"/>
      <c r="Q154" s="38"/>
      <c r="R154" s="38"/>
      <c r="S154" s="38"/>
      <c r="T154" s="38"/>
      <c r="U154" s="38"/>
      <c r="V154" s="38"/>
      <c r="W154" s="38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</row>
    <row r="155" spans="1:36" ht="11.25" customHeight="1" x14ac:dyDescent="0.2">
      <c r="A155" s="35" t="s">
        <v>21</v>
      </c>
      <c r="B155" s="35" t="s">
        <v>43</v>
      </c>
      <c r="C155" s="35" t="s">
        <v>44</v>
      </c>
      <c r="D155" s="35" t="s">
        <v>52</v>
      </c>
      <c r="E155" s="35" t="s">
        <v>53</v>
      </c>
      <c r="F155" s="35" t="s">
        <v>25</v>
      </c>
      <c r="G155" s="35" t="s">
        <v>25</v>
      </c>
      <c r="H155" s="35" t="s">
        <v>25</v>
      </c>
      <c r="I155" s="45">
        <v>44531</v>
      </c>
      <c r="J155" s="46">
        <f ca="1">EFEITO!$J$155*EFEITO!$Y$86</f>
        <v>721.53250155790204</v>
      </c>
      <c r="K155" s="46">
        <f>EFEITO!$L$155*EFEITO!$Z$86</f>
        <v>0</v>
      </c>
      <c r="L155" s="46">
        <f>EFEITO!$N$155*EFEITO!$AA$86</f>
        <v>0</v>
      </c>
      <c r="M155" s="46">
        <f ca="1">$J$155-EFEITO!$K$155*EFEITO!$Y$155</f>
        <v>21.645975046737135</v>
      </c>
      <c r="N155" s="46">
        <f>$K$155-EFEITO!$M$155*EFEITO!$Z$155</f>
        <v>0</v>
      </c>
      <c r="O155" s="46">
        <f>$L$155-EFEITO!$O$155*EFEITO!$AA$155</f>
        <v>0</v>
      </c>
      <c r="P155" s="38"/>
      <c r="Q155" s="38"/>
      <c r="R155" s="38"/>
      <c r="S155" s="38"/>
      <c r="T155" s="38"/>
      <c r="U155" s="38"/>
      <c r="V155" s="38"/>
      <c r="W155" s="38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</row>
    <row r="156" spans="1:36" ht="11.25" customHeight="1" x14ac:dyDescent="0.2">
      <c r="A156" s="35" t="s">
        <v>21</v>
      </c>
      <c r="B156" s="35" t="s">
        <v>43</v>
      </c>
      <c r="C156" s="35" t="s">
        <v>44</v>
      </c>
      <c r="D156" s="35" t="s">
        <v>52</v>
      </c>
      <c r="E156" s="35" t="s">
        <v>53</v>
      </c>
      <c r="F156" s="35" t="s">
        <v>25</v>
      </c>
      <c r="G156" s="35" t="s">
        <v>25</v>
      </c>
      <c r="H156" s="35" t="s">
        <v>25</v>
      </c>
      <c r="I156" s="45">
        <v>44562</v>
      </c>
      <c r="J156" s="46">
        <f ca="1">EFEITO!$J$156*EFEITO!$Y$86</f>
        <v>721.53250155790204</v>
      </c>
      <c r="K156" s="46">
        <f>EFEITO!$L$156*EFEITO!$Z$86</f>
        <v>0</v>
      </c>
      <c r="L156" s="46">
        <f>EFEITO!$N$156*EFEITO!$AA$86</f>
        <v>0</v>
      </c>
      <c r="M156" s="46">
        <f ca="1">$J$156-EFEITO!$K$156*EFEITO!$Y$156</f>
        <v>21.645975046737135</v>
      </c>
      <c r="N156" s="46">
        <f>$K$156-EFEITO!$M$156*EFEITO!$Z$156</f>
        <v>0</v>
      </c>
      <c r="O156" s="46">
        <f>$L$156-EFEITO!$O$156*EFEITO!$AA$156</f>
        <v>0</v>
      </c>
      <c r="P156" s="38"/>
      <c r="Q156" s="38"/>
      <c r="R156" s="38"/>
      <c r="S156" s="38"/>
      <c r="T156" s="38"/>
      <c r="U156" s="38"/>
      <c r="V156" s="38"/>
      <c r="W156" s="38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</row>
    <row r="157" spans="1:36" ht="11.25" customHeight="1" x14ac:dyDescent="0.2">
      <c r="A157" s="35" t="s">
        <v>21</v>
      </c>
      <c r="B157" s="35" t="s">
        <v>43</v>
      </c>
      <c r="C157" s="35" t="s">
        <v>44</v>
      </c>
      <c r="D157" s="35" t="s">
        <v>52</v>
      </c>
      <c r="E157" s="35" t="s">
        <v>53</v>
      </c>
      <c r="F157" s="35" t="s">
        <v>25</v>
      </c>
      <c r="G157" s="35" t="s">
        <v>25</v>
      </c>
      <c r="H157" s="35" t="s">
        <v>25</v>
      </c>
      <c r="I157" s="45">
        <v>44593</v>
      </c>
      <c r="J157" s="46">
        <f ca="1">EFEITO!$J$157*EFEITO!$Y$86</f>
        <v>721.53250155790204</v>
      </c>
      <c r="K157" s="46">
        <f>EFEITO!$L$157*EFEITO!$Z$86</f>
        <v>0</v>
      </c>
      <c r="L157" s="46">
        <f>EFEITO!$N$157*EFEITO!$AA$86</f>
        <v>0</v>
      </c>
      <c r="M157" s="46">
        <f ca="1">$J$157-EFEITO!$K$157*EFEITO!$Y$157</f>
        <v>21.645975046737135</v>
      </c>
      <c r="N157" s="46">
        <f>$K$157-EFEITO!$M$157*EFEITO!$Z$157</f>
        <v>0</v>
      </c>
      <c r="O157" s="46">
        <f>$L$157-EFEITO!$O$157*EFEITO!$AA$157</f>
        <v>0</v>
      </c>
      <c r="P157" s="38"/>
      <c r="Q157" s="38"/>
      <c r="R157" s="38"/>
      <c r="S157" s="38"/>
      <c r="T157" s="38"/>
      <c r="U157" s="38"/>
      <c r="V157" s="38"/>
      <c r="W157" s="38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</row>
    <row r="158" spans="1:36" ht="11.25" customHeight="1" x14ac:dyDescent="0.2">
      <c r="A158" s="35" t="s">
        <v>21</v>
      </c>
      <c r="B158" s="35" t="s">
        <v>43</v>
      </c>
      <c r="C158" s="35" t="s">
        <v>44</v>
      </c>
      <c r="D158" s="35" t="s">
        <v>52</v>
      </c>
      <c r="E158" s="35" t="s">
        <v>53</v>
      </c>
      <c r="F158" s="35" t="s">
        <v>25</v>
      </c>
      <c r="G158" s="35" t="s">
        <v>25</v>
      </c>
      <c r="H158" s="35" t="s">
        <v>25</v>
      </c>
      <c r="I158" s="45">
        <v>44621</v>
      </c>
      <c r="J158" s="46">
        <f ca="1">EFEITO!$J$158*EFEITO!$Y$86</f>
        <v>721.53250155790204</v>
      </c>
      <c r="K158" s="46">
        <f>EFEITO!$L$158*EFEITO!$Z$86</f>
        <v>0</v>
      </c>
      <c r="L158" s="46">
        <f>EFEITO!$N$158*EFEITO!$AA$86</f>
        <v>0</v>
      </c>
      <c r="M158" s="46">
        <f ca="1">$J$158-EFEITO!$K$158*EFEITO!$Y$158</f>
        <v>21.645975046737135</v>
      </c>
      <c r="N158" s="46">
        <f>$K$158-EFEITO!$M$158*EFEITO!$Z$158</f>
        <v>0</v>
      </c>
      <c r="O158" s="46">
        <f>$L$158-EFEITO!$O$158*EFEITO!$AA$158</f>
        <v>0</v>
      </c>
      <c r="P158" s="38"/>
      <c r="Q158" s="38"/>
      <c r="R158" s="38"/>
      <c r="S158" s="38"/>
      <c r="T158" s="38"/>
      <c r="U158" s="38"/>
      <c r="V158" s="38"/>
      <c r="W158" s="38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</row>
    <row r="159" spans="1:36" ht="11.25" customHeight="1" x14ac:dyDescent="0.2">
      <c r="A159" s="35" t="s">
        <v>21</v>
      </c>
      <c r="B159" s="35" t="s">
        <v>43</v>
      </c>
      <c r="C159" s="35" t="s">
        <v>44</v>
      </c>
      <c r="D159" s="35" t="s">
        <v>52</v>
      </c>
      <c r="E159" s="35" t="s">
        <v>53</v>
      </c>
      <c r="F159" s="35" t="s">
        <v>25</v>
      </c>
      <c r="G159" s="35" t="s">
        <v>25</v>
      </c>
      <c r="H159" s="35" t="s">
        <v>25</v>
      </c>
      <c r="I159" s="45">
        <v>44652</v>
      </c>
      <c r="J159" s="46">
        <f ca="1">EFEITO!$J$159*EFEITO!$Y$86</f>
        <v>721.53250155790204</v>
      </c>
      <c r="K159" s="46">
        <f>EFEITO!$L$159*EFEITO!$Z$86</f>
        <v>0</v>
      </c>
      <c r="L159" s="46">
        <f>EFEITO!$N$159*EFEITO!$AA$86</f>
        <v>0</v>
      </c>
      <c r="M159" s="46">
        <f ca="1">$J$159-EFEITO!$K$159*EFEITO!$Y$159</f>
        <v>21.645975046737135</v>
      </c>
      <c r="N159" s="46">
        <f>$K$159-EFEITO!$M$159*EFEITO!$Z$159</f>
        <v>0</v>
      </c>
      <c r="O159" s="46">
        <f>$L$159-EFEITO!$O$159*EFEITO!$AA$159</f>
        <v>0</v>
      </c>
      <c r="P159" s="38"/>
      <c r="Q159" s="38"/>
      <c r="R159" s="38"/>
      <c r="S159" s="38"/>
      <c r="T159" s="38"/>
      <c r="U159" s="38"/>
      <c r="V159" s="38"/>
      <c r="W159" s="38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</row>
    <row r="160" spans="1:36" ht="11.25" customHeight="1" x14ac:dyDescent="0.2">
      <c r="A160" s="35" t="s">
        <v>21</v>
      </c>
      <c r="B160" s="35" t="s">
        <v>43</v>
      </c>
      <c r="C160" s="35" t="s">
        <v>44</v>
      </c>
      <c r="D160" s="35" t="s">
        <v>52</v>
      </c>
      <c r="E160" s="35" t="s">
        <v>53</v>
      </c>
      <c r="F160" s="35" t="s">
        <v>25</v>
      </c>
      <c r="G160" s="35" t="s">
        <v>25</v>
      </c>
      <c r="H160" s="35" t="s">
        <v>25</v>
      </c>
      <c r="I160" s="45">
        <v>44682</v>
      </c>
      <c r="J160" s="46">
        <f ca="1">EFEITO!$J$160*EFEITO!$Y$86</f>
        <v>721.53250155790204</v>
      </c>
      <c r="K160" s="46">
        <f>EFEITO!$L$160*EFEITO!$Z$86</f>
        <v>0</v>
      </c>
      <c r="L160" s="46">
        <f>EFEITO!$N$160*EFEITO!$AA$86</f>
        <v>0</v>
      </c>
      <c r="M160" s="46">
        <f ca="1">$J$160-EFEITO!$K$160*EFEITO!$Y$160</f>
        <v>21.645975046737135</v>
      </c>
      <c r="N160" s="46">
        <f>$K$160-EFEITO!$M$160*EFEITO!$Z$160</f>
        <v>0</v>
      </c>
      <c r="O160" s="46">
        <f>$L$160-EFEITO!$O$160*EFEITO!$AA$160</f>
        <v>0</v>
      </c>
      <c r="P160" s="38"/>
      <c r="Q160" s="38"/>
      <c r="R160" s="38"/>
      <c r="S160" s="38"/>
      <c r="T160" s="38"/>
      <c r="U160" s="38"/>
      <c r="V160" s="38"/>
      <c r="W160" s="38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</row>
    <row r="161" spans="1:36" ht="11.25" customHeight="1" x14ac:dyDescent="0.2">
      <c r="A161" s="35" t="s">
        <v>21</v>
      </c>
      <c r="B161" s="35" t="s">
        <v>43</v>
      </c>
      <c r="C161" s="35" t="s">
        <v>44</v>
      </c>
      <c r="D161" s="35" t="s">
        <v>52</v>
      </c>
      <c r="E161" s="35" t="s">
        <v>53</v>
      </c>
      <c r="F161" s="35" t="s">
        <v>25</v>
      </c>
      <c r="G161" s="35" t="s">
        <v>25</v>
      </c>
      <c r="H161" s="35" t="s">
        <v>25</v>
      </c>
      <c r="I161" s="45">
        <v>44713</v>
      </c>
      <c r="J161" s="46">
        <f ca="1">EFEITO!$J$161*EFEITO!$Y$86</f>
        <v>721.53250155790204</v>
      </c>
      <c r="K161" s="46">
        <f>EFEITO!$L$161*EFEITO!$Z$86</f>
        <v>0</v>
      </c>
      <c r="L161" s="46">
        <f>EFEITO!$N$161*EFEITO!$AA$86</f>
        <v>0</v>
      </c>
      <c r="M161" s="46">
        <f ca="1">$J$161-EFEITO!$K$161*EFEITO!$Y$161</f>
        <v>21.645975046737135</v>
      </c>
      <c r="N161" s="46">
        <f>$K$161-EFEITO!$M$161*EFEITO!$Z$161</f>
        <v>0</v>
      </c>
      <c r="O161" s="46">
        <f>$L$161-EFEITO!$O$161*EFEITO!$AA$161</f>
        <v>0</v>
      </c>
      <c r="P161" s="38"/>
      <c r="Q161" s="38"/>
      <c r="R161" s="38"/>
      <c r="S161" s="38"/>
      <c r="T161" s="38"/>
      <c r="U161" s="38"/>
      <c r="V161" s="38"/>
      <c r="W161" s="38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</row>
    <row r="162" spans="1:36" ht="11.25" customHeight="1" x14ac:dyDescent="0.2">
      <c r="A162" s="35" t="s">
        <v>21</v>
      </c>
      <c r="B162" s="35" t="s">
        <v>43</v>
      </c>
      <c r="C162" s="35" t="s">
        <v>44</v>
      </c>
      <c r="D162" s="35" t="s">
        <v>52</v>
      </c>
      <c r="E162" s="35" t="s">
        <v>53</v>
      </c>
      <c r="F162" s="35" t="s">
        <v>25</v>
      </c>
      <c r="G162" s="35" t="s">
        <v>25</v>
      </c>
      <c r="H162" s="35" t="s">
        <v>25</v>
      </c>
      <c r="I162" s="45">
        <v>44743</v>
      </c>
      <c r="J162" s="46">
        <f ca="1">EFEITO!$J$162*EFEITO!$Y$86</f>
        <v>721.53250155790204</v>
      </c>
      <c r="K162" s="46">
        <f>EFEITO!$L$162*EFEITO!$Z$86</f>
        <v>0</v>
      </c>
      <c r="L162" s="46">
        <f>EFEITO!$N$162*EFEITO!$AA$86</f>
        <v>0</v>
      </c>
      <c r="M162" s="46">
        <f ca="1">$J$162-EFEITO!$K$162*EFEITO!$Y$162</f>
        <v>21.645975046737135</v>
      </c>
      <c r="N162" s="46">
        <f>$K$162-EFEITO!$M$162*EFEITO!$Z$162</f>
        <v>0</v>
      </c>
      <c r="O162" s="46">
        <f>$L$162-EFEITO!$O$162*EFEITO!$AA$162</f>
        <v>0</v>
      </c>
      <c r="P162" s="38"/>
      <c r="Q162" s="38"/>
      <c r="R162" s="38"/>
      <c r="S162" s="38"/>
      <c r="T162" s="38"/>
      <c r="U162" s="38"/>
      <c r="V162" s="38"/>
      <c r="W162" s="38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</row>
    <row r="163" spans="1:36" ht="11.25" customHeight="1" x14ac:dyDescent="0.2">
      <c r="A163" s="35" t="s">
        <v>21</v>
      </c>
      <c r="B163" s="35" t="s">
        <v>43</v>
      </c>
      <c r="C163" s="35" t="s">
        <v>44</v>
      </c>
      <c r="D163" s="35" t="s">
        <v>52</v>
      </c>
      <c r="E163" s="35" t="s">
        <v>53</v>
      </c>
      <c r="F163" s="35" t="s">
        <v>25</v>
      </c>
      <c r="G163" s="35" t="s">
        <v>25</v>
      </c>
      <c r="H163" s="35" t="s">
        <v>25</v>
      </c>
      <c r="I163" s="45">
        <v>44774</v>
      </c>
      <c r="J163" s="46">
        <f ca="1">EFEITO!$J$163*EFEITO!$Y$86</f>
        <v>721.53250155790204</v>
      </c>
      <c r="K163" s="46">
        <f>EFEITO!$L$163*EFEITO!$Z$86</f>
        <v>0</v>
      </c>
      <c r="L163" s="46">
        <f>EFEITO!$N$163*EFEITO!$AA$86</f>
        <v>0</v>
      </c>
      <c r="M163" s="46">
        <f ca="1">$J$163-EFEITO!$K$163*EFEITO!$Y$163</f>
        <v>21.645975046737135</v>
      </c>
      <c r="N163" s="46">
        <f>$K$163-EFEITO!$M$163*EFEITO!$Z$163</f>
        <v>0</v>
      </c>
      <c r="O163" s="46">
        <f>$L$163-EFEITO!$O$163*EFEITO!$AA$163</f>
        <v>0</v>
      </c>
      <c r="P163" s="38"/>
      <c r="Q163" s="38"/>
      <c r="R163" s="38"/>
      <c r="S163" s="38"/>
      <c r="T163" s="38"/>
      <c r="U163" s="38"/>
      <c r="V163" s="38"/>
      <c r="W163" s="38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</row>
    <row r="164" spans="1:36" ht="11.25" customHeight="1" x14ac:dyDescent="0.2">
      <c r="A164" s="35" t="s">
        <v>21</v>
      </c>
      <c r="B164" s="35" t="s">
        <v>43</v>
      </c>
      <c r="C164" s="35" t="s">
        <v>44</v>
      </c>
      <c r="D164" s="35" t="s">
        <v>52</v>
      </c>
      <c r="E164" s="35" t="s">
        <v>53</v>
      </c>
      <c r="F164" s="35" t="s">
        <v>25</v>
      </c>
      <c r="G164" s="35" t="s">
        <v>25</v>
      </c>
      <c r="H164" s="35" t="s">
        <v>25</v>
      </c>
      <c r="I164" s="45">
        <v>44805</v>
      </c>
      <c r="J164" s="46">
        <f ca="1">EFEITO!$J$164*EFEITO!$Y$86</f>
        <v>721.53250155790204</v>
      </c>
      <c r="K164" s="46">
        <f>EFEITO!$L$164*EFEITO!$Z$86</f>
        <v>0</v>
      </c>
      <c r="L164" s="46">
        <f>EFEITO!$N$164*EFEITO!$AA$86</f>
        <v>0</v>
      </c>
      <c r="M164" s="46">
        <f ca="1">$J$164-EFEITO!$K$164*EFEITO!$Y$164</f>
        <v>21.645975046737135</v>
      </c>
      <c r="N164" s="46">
        <f>$K$164-EFEITO!$M$164*EFEITO!$Z$164</f>
        <v>0</v>
      </c>
      <c r="O164" s="46">
        <f>$L$164-EFEITO!$O$164*EFEITO!$AA$164</f>
        <v>0</v>
      </c>
      <c r="P164" s="38"/>
      <c r="Q164" s="38"/>
      <c r="R164" s="38"/>
      <c r="S164" s="38"/>
      <c r="T164" s="38"/>
      <c r="U164" s="38"/>
      <c r="V164" s="38"/>
      <c r="W164" s="38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</row>
    <row r="165" spans="1:36" ht="11.25" customHeight="1" x14ac:dyDescent="0.2">
      <c r="A165" s="35" t="s">
        <v>21</v>
      </c>
      <c r="B165" s="35" t="s">
        <v>43</v>
      </c>
      <c r="C165" s="35" t="s">
        <v>44</v>
      </c>
      <c r="D165" s="35" t="s">
        <v>52</v>
      </c>
      <c r="E165" s="35" t="s">
        <v>53</v>
      </c>
      <c r="F165" s="35" t="s">
        <v>25</v>
      </c>
      <c r="G165" s="35" t="s">
        <v>25</v>
      </c>
      <c r="H165" s="35" t="s">
        <v>25</v>
      </c>
      <c r="I165" s="45">
        <v>44835</v>
      </c>
      <c r="J165" s="46">
        <f ca="1">EFEITO!$J$165*EFEITO!$Y$86</f>
        <v>721.53250155790204</v>
      </c>
      <c r="K165" s="46">
        <f>EFEITO!$L$165*EFEITO!$Z$86</f>
        <v>0</v>
      </c>
      <c r="L165" s="46">
        <f>EFEITO!$N$165*EFEITO!$AA$86</f>
        <v>0</v>
      </c>
      <c r="M165" s="46">
        <f ca="1">$J$165-EFEITO!$K$165*EFEITO!$Y$165</f>
        <v>21.645975046737135</v>
      </c>
      <c r="N165" s="46">
        <f>$K$165-EFEITO!$M$165*EFEITO!$Z$165</f>
        <v>0</v>
      </c>
      <c r="O165" s="46">
        <f>$L$165-EFEITO!$O$165*EFEITO!$AA$165</f>
        <v>0</v>
      </c>
      <c r="P165" s="38"/>
      <c r="Q165" s="38"/>
      <c r="R165" s="38"/>
      <c r="S165" s="38"/>
      <c r="T165" s="38"/>
      <c r="U165" s="38"/>
      <c r="V165" s="38"/>
      <c r="W165" s="38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</row>
    <row r="166" spans="1:36" ht="11.25" customHeight="1" x14ac:dyDescent="0.2">
      <c r="A166" s="35" t="s">
        <v>59</v>
      </c>
      <c r="B166" s="35" t="s">
        <v>43</v>
      </c>
      <c r="C166" s="35" t="s">
        <v>44</v>
      </c>
      <c r="D166" s="35" t="s">
        <v>52</v>
      </c>
      <c r="E166" s="35" t="s">
        <v>53</v>
      </c>
      <c r="F166" s="35" t="s">
        <v>25</v>
      </c>
      <c r="G166" s="35" t="s">
        <v>25</v>
      </c>
      <c r="H166" s="35" t="s">
        <v>25</v>
      </c>
      <c r="I166" s="45">
        <v>44866</v>
      </c>
      <c r="J166" s="46">
        <f ca="1">EFEITO!$J$166*EFEITO!$Y$86</f>
        <v>721.53250155790204</v>
      </c>
      <c r="K166" s="46">
        <f>EFEITO!$L$166*EFEITO!$Z$86</f>
        <v>0</v>
      </c>
      <c r="L166" s="46">
        <f>EFEITO!$N$166*EFEITO!$AA$86</f>
        <v>0</v>
      </c>
      <c r="M166" s="46">
        <f ca="1">$J$166-EFEITO!$K$166*EFEITO!$Y$166</f>
        <v>21.645975046737135</v>
      </c>
      <c r="N166" s="46">
        <f>$K$166-EFEITO!$M$166*EFEITO!$Z$166</f>
        <v>0</v>
      </c>
      <c r="O166" s="46">
        <f>$L$166-EFEITO!$O$166*EFEITO!$AA$166</f>
        <v>0</v>
      </c>
      <c r="P166" s="38"/>
      <c r="Q166" s="38"/>
      <c r="R166" s="38"/>
      <c r="S166" s="38"/>
      <c r="T166" s="38"/>
      <c r="U166" s="38"/>
      <c r="V166" s="38"/>
      <c r="W166" s="38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</row>
    <row r="167" spans="1:36" ht="11.25" customHeight="1" x14ac:dyDescent="0.2">
      <c r="A167" s="35" t="s">
        <v>21</v>
      </c>
      <c r="B167" s="35" t="s">
        <v>41</v>
      </c>
      <c r="C167" s="35" t="s">
        <v>42</v>
      </c>
      <c r="D167" s="35" t="s">
        <v>45</v>
      </c>
      <c r="E167" s="35" t="s">
        <v>25</v>
      </c>
      <c r="F167" s="35" t="s">
        <v>25</v>
      </c>
      <c r="G167" s="35" t="s">
        <v>25</v>
      </c>
      <c r="H167" s="35" t="s">
        <v>37</v>
      </c>
      <c r="I167" s="45">
        <v>44531</v>
      </c>
      <c r="J167" s="46">
        <f ca="1">EFEITO!$J$167*EFEITO!$Y$167</f>
        <v>36550.775007490294</v>
      </c>
      <c r="K167" s="46">
        <f ca="1">EFEITO!$L$167*EFEITO!$Z$167</f>
        <v>54331.055505005614</v>
      </c>
      <c r="L167" s="46">
        <f>EFEITO!$N$167*EFEITO!$AA$167</f>
        <v>104745.50886528587</v>
      </c>
      <c r="M167" s="46">
        <f ca="1">$J$167-EFEITO!$K$167*EFEITO!$Y$167</f>
        <v>0</v>
      </c>
      <c r="N167" s="46">
        <f ca="1">$K$167-EFEITO!$M$167*EFEITO!$Z$167</f>
        <v>0</v>
      </c>
      <c r="O167" s="46">
        <f>$L$167-EFEITO!$O$167*EFEITO!$AA$167</f>
        <v>0</v>
      </c>
      <c r="P167" s="38"/>
      <c r="Q167" s="38"/>
      <c r="R167" s="38"/>
      <c r="S167" s="38"/>
      <c r="T167" s="38"/>
      <c r="U167" s="38"/>
      <c r="V167" s="38"/>
      <c r="W167" s="38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</row>
    <row r="168" spans="1:36" ht="11.25" customHeight="1" x14ac:dyDescent="0.2">
      <c r="A168" s="35" t="s">
        <v>28</v>
      </c>
      <c r="B168" s="35" t="s">
        <v>41</v>
      </c>
      <c r="C168" s="35" t="s">
        <v>42</v>
      </c>
      <c r="D168" s="35" t="s">
        <v>45</v>
      </c>
      <c r="E168" s="35" t="s">
        <v>25</v>
      </c>
      <c r="F168" s="35" t="s">
        <v>25</v>
      </c>
      <c r="G168" s="35" t="s">
        <v>25</v>
      </c>
      <c r="H168" s="35" t="s">
        <v>37</v>
      </c>
      <c r="I168" s="45">
        <v>44531</v>
      </c>
      <c r="J168" s="46">
        <f ca="1">EFEITO!$J$168*EFEITO!$Y$168</f>
        <v>2679.9778629293505</v>
      </c>
      <c r="K168" s="46">
        <f ca="1">EFEITO!$L$168*EFEITO!$Z$168</f>
        <v>1016.3436678195039</v>
      </c>
      <c r="L168" s="46">
        <f>EFEITO!$N$168*EFEITO!$AA$168</f>
        <v>1959.421433621088</v>
      </c>
      <c r="M168" s="46">
        <f ca="1">$J$168-EFEITO!$K$168*EFEITO!$Y$168</f>
        <v>0</v>
      </c>
      <c r="N168" s="46">
        <f ca="1">$K$168-EFEITO!$M$168*EFEITO!$Z$168</f>
        <v>0</v>
      </c>
      <c r="O168" s="46">
        <f>$L$168-EFEITO!$O$168*EFEITO!$AA$168</f>
        <v>0</v>
      </c>
      <c r="P168" s="38"/>
      <c r="Q168" s="38"/>
      <c r="R168" s="38"/>
      <c r="S168" s="38"/>
      <c r="T168" s="38"/>
      <c r="U168" s="38"/>
      <c r="V168" s="38"/>
      <c r="W168" s="38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</row>
    <row r="169" spans="1:36" ht="11.25" customHeight="1" x14ac:dyDescent="0.2">
      <c r="A169" s="35" t="s">
        <v>21</v>
      </c>
      <c r="B169" s="35" t="s">
        <v>41</v>
      </c>
      <c r="C169" s="35" t="s">
        <v>42</v>
      </c>
      <c r="D169" s="35" t="s">
        <v>45</v>
      </c>
      <c r="E169" s="35" t="s">
        <v>25</v>
      </c>
      <c r="F169" s="35" t="s">
        <v>25</v>
      </c>
      <c r="G169" s="35" t="s">
        <v>25</v>
      </c>
      <c r="H169" s="35" t="s">
        <v>37</v>
      </c>
      <c r="I169" s="45">
        <v>44562</v>
      </c>
      <c r="J169" s="46">
        <f ca="1">EFEITO!$J$169*EFEITO!$Y$169</f>
        <v>37334.153152038874</v>
      </c>
      <c r="K169" s="46">
        <f ca="1">EFEITO!$L$169*EFEITO!$Z$169</f>
        <v>55554.411136415583</v>
      </c>
      <c r="L169" s="46">
        <f>EFEITO!$N$169*EFEITO!$AA$169</f>
        <v>107104.03120475053</v>
      </c>
      <c r="M169" s="46">
        <f ca="1">$J$169-EFEITO!$K$169*EFEITO!$Y$169</f>
        <v>0</v>
      </c>
      <c r="N169" s="46">
        <f ca="1">$K$169-EFEITO!$M$169*EFEITO!$Z$169</f>
        <v>0</v>
      </c>
      <c r="O169" s="46">
        <f>$L$169-EFEITO!$O$169*EFEITO!$AA$169</f>
        <v>0</v>
      </c>
      <c r="P169" s="38"/>
      <c r="Q169" s="38"/>
      <c r="R169" s="38"/>
      <c r="S169" s="38"/>
      <c r="T169" s="38"/>
      <c r="U169" s="38"/>
      <c r="V169" s="38"/>
      <c r="W169" s="38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</row>
    <row r="170" spans="1:36" ht="11.25" customHeight="1" x14ac:dyDescent="0.2">
      <c r="A170" s="35" t="s">
        <v>28</v>
      </c>
      <c r="B170" s="35" t="s">
        <v>41</v>
      </c>
      <c r="C170" s="35" t="s">
        <v>42</v>
      </c>
      <c r="D170" s="35" t="s">
        <v>45</v>
      </c>
      <c r="E170" s="35" t="s">
        <v>25</v>
      </c>
      <c r="F170" s="35" t="s">
        <v>25</v>
      </c>
      <c r="G170" s="35" t="s">
        <v>25</v>
      </c>
      <c r="H170" s="35" t="s">
        <v>37</v>
      </c>
      <c r="I170" s="45">
        <v>44562</v>
      </c>
      <c r="J170" s="46">
        <f ca="1">EFEITO!$J$170*EFEITO!$Y$170</f>
        <v>2679.9778629293505</v>
      </c>
      <c r="K170" s="46">
        <f ca="1">EFEITO!$L$170*EFEITO!$Z$170</f>
        <v>1016.3436678195039</v>
      </c>
      <c r="L170" s="46">
        <f>EFEITO!$N$170*EFEITO!$AA$170</f>
        <v>1959.421433621088</v>
      </c>
      <c r="M170" s="46">
        <f ca="1">$J$170-EFEITO!$K$170*EFEITO!$Y$170</f>
        <v>0</v>
      </c>
      <c r="N170" s="46">
        <f ca="1">$K$170-EFEITO!$M$170*EFEITO!$Z$170</f>
        <v>0</v>
      </c>
      <c r="O170" s="46">
        <f>$L$170-EFEITO!$O$170*EFEITO!$AA$170</f>
        <v>0</v>
      </c>
      <c r="P170" s="38"/>
      <c r="Q170" s="38"/>
      <c r="R170" s="38"/>
      <c r="S170" s="38"/>
      <c r="T170" s="38"/>
      <c r="U170" s="38"/>
      <c r="V170" s="38"/>
      <c r="W170" s="38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</row>
    <row r="171" spans="1:36" ht="11.25" customHeight="1" x14ac:dyDescent="0.2">
      <c r="A171" s="35" t="s">
        <v>21</v>
      </c>
      <c r="B171" s="35" t="s">
        <v>41</v>
      </c>
      <c r="C171" s="35" t="s">
        <v>42</v>
      </c>
      <c r="D171" s="35" t="s">
        <v>45</v>
      </c>
      <c r="E171" s="35" t="s">
        <v>25</v>
      </c>
      <c r="F171" s="35" t="s">
        <v>25</v>
      </c>
      <c r="G171" s="35" t="s">
        <v>25</v>
      </c>
      <c r="H171" s="35" t="s">
        <v>37</v>
      </c>
      <c r="I171" s="45">
        <v>44593</v>
      </c>
      <c r="J171" s="46">
        <f ca="1">EFEITO!$J$171*EFEITO!$Y$171</f>
        <v>50857.73375266698</v>
      </c>
      <c r="K171" s="46">
        <f ca="1">EFEITO!$L$171*EFEITO!$Z$171</f>
        <v>66570.510242177494</v>
      </c>
      <c r="L171" s="46">
        <f>EFEITO!$N$171*EFEITO!$AA$171</f>
        <v>128342.10390218125</v>
      </c>
      <c r="M171" s="46">
        <f ca="1">$J$171-EFEITO!$K$171*EFEITO!$Y$171</f>
        <v>0</v>
      </c>
      <c r="N171" s="46">
        <f ca="1">$K$171-EFEITO!$M$171*EFEITO!$Z$171</f>
        <v>0</v>
      </c>
      <c r="O171" s="46">
        <f>$L$171-EFEITO!$O$171*EFEITO!$AA$171</f>
        <v>0</v>
      </c>
      <c r="P171" s="38"/>
      <c r="Q171" s="38"/>
      <c r="R171" s="38"/>
      <c r="S171" s="38"/>
      <c r="T171" s="38"/>
      <c r="U171" s="38"/>
      <c r="V171" s="38"/>
      <c r="W171" s="38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</row>
    <row r="172" spans="1:36" ht="11.25" customHeight="1" x14ac:dyDescent="0.2">
      <c r="A172" s="35" t="s">
        <v>28</v>
      </c>
      <c r="B172" s="35" t="s">
        <v>41</v>
      </c>
      <c r="C172" s="35" t="s">
        <v>42</v>
      </c>
      <c r="D172" s="35" t="s">
        <v>45</v>
      </c>
      <c r="E172" s="35" t="s">
        <v>25</v>
      </c>
      <c r="F172" s="35" t="s">
        <v>25</v>
      </c>
      <c r="G172" s="35" t="s">
        <v>25</v>
      </c>
      <c r="H172" s="35" t="s">
        <v>37</v>
      </c>
      <c r="I172" s="45">
        <v>44593</v>
      </c>
      <c r="J172" s="46">
        <f ca="1">EFEITO!$J$172*EFEITO!$Y$172</f>
        <v>2679.9778629293505</v>
      </c>
      <c r="K172" s="46">
        <f ca="1">EFEITO!$L$172*EFEITO!$Z$172</f>
        <v>1065.6862454424372</v>
      </c>
      <c r="L172" s="46">
        <f>EFEITO!$N$172*EFEITO!$AA$172</f>
        <v>2054.5495947399686</v>
      </c>
      <c r="M172" s="46">
        <f ca="1">$J$172-EFEITO!$K$172*EFEITO!$Y$172</f>
        <v>0</v>
      </c>
      <c r="N172" s="46">
        <f ca="1">$K$172-EFEITO!$M$172*EFEITO!$Z$172</f>
        <v>0</v>
      </c>
      <c r="O172" s="46">
        <f>$L$172-EFEITO!$O$172*EFEITO!$AA$172</f>
        <v>0</v>
      </c>
      <c r="P172" s="38"/>
      <c r="Q172" s="38"/>
      <c r="R172" s="38"/>
      <c r="S172" s="38"/>
      <c r="T172" s="38"/>
      <c r="U172" s="38"/>
      <c r="V172" s="38"/>
      <c r="W172" s="38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</row>
    <row r="173" spans="1:36" ht="11.25" customHeight="1" x14ac:dyDescent="0.2">
      <c r="A173" s="35" t="s">
        <v>21</v>
      </c>
      <c r="B173" s="35" t="s">
        <v>41</v>
      </c>
      <c r="C173" s="35" t="s">
        <v>42</v>
      </c>
      <c r="D173" s="35" t="s">
        <v>45</v>
      </c>
      <c r="E173" s="35" t="s">
        <v>25</v>
      </c>
      <c r="F173" s="35" t="s">
        <v>25</v>
      </c>
      <c r="G173" s="35" t="s">
        <v>25</v>
      </c>
      <c r="H173" s="35" t="s">
        <v>37</v>
      </c>
      <c r="I173" s="45">
        <v>44621</v>
      </c>
      <c r="J173" s="46">
        <f ca="1">EFEITO!$J$173*EFEITO!$Y$173</f>
        <v>51084.501110299461</v>
      </c>
      <c r="K173" s="46">
        <f ca="1">EFEITO!$L$173*EFEITO!$Z$173</f>
        <v>68904.697741774566</v>
      </c>
      <c r="L173" s="46">
        <f>EFEITO!$N$173*EFEITO!$AA$173</f>
        <v>132842.21263667397</v>
      </c>
      <c r="M173" s="46">
        <f ca="1">$J$173-EFEITO!$K$173*EFEITO!$Y$173</f>
        <v>0</v>
      </c>
      <c r="N173" s="46">
        <f ca="1">$K$173-EFEITO!$M$173*EFEITO!$Z$173</f>
        <v>0</v>
      </c>
      <c r="O173" s="46">
        <f>$L$173-EFEITO!$O$173*EFEITO!$AA$173</f>
        <v>0</v>
      </c>
      <c r="P173" s="38"/>
      <c r="Q173" s="38"/>
      <c r="R173" s="38"/>
      <c r="S173" s="38"/>
      <c r="T173" s="38"/>
      <c r="U173" s="38"/>
      <c r="V173" s="38"/>
      <c r="W173" s="38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</row>
    <row r="174" spans="1:36" ht="11.25" customHeight="1" x14ac:dyDescent="0.2">
      <c r="A174" s="35" t="s">
        <v>27</v>
      </c>
      <c r="B174" s="35" t="s">
        <v>41</v>
      </c>
      <c r="C174" s="35" t="s">
        <v>42</v>
      </c>
      <c r="D174" s="35" t="s">
        <v>45</v>
      </c>
      <c r="E174" s="35" t="s">
        <v>25</v>
      </c>
      <c r="F174" s="35" t="s">
        <v>25</v>
      </c>
      <c r="G174" s="35" t="s">
        <v>25</v>
      </c>
      <c r="H174" s="35" t="s">
        <v>37</v>
      </c>
      <c r="I174" s="45">
        <v>44621</v>
      </c>
      <c r="J174" s="46">
        <f ca="1">EFEITO!$J$174*EFEITO!$Y$174</f>
        <v>0</v>
      </c>
      <c r="K174" s="46">
        <f ca="1">EFEITO!$L$174*EFEITO!$Z$174</f>
        <v>-1129.7748807457879</v>
      </c>
      <c r="L174" s="46">
        <f>EFEITO!$N$174*EFEITO!$AA$174</f>
        <v>-2178.1068614805845</v>
      </c>
      <c r="M174" s="46">
        <f ca="1">$J$174-EFEITO!$K$174*EFEITO!$Y$174</f>
        <v>0</v>
      </c>
      <c r="N174" s="46">
        <f ca="1">$K$174-EFEITO!$M$174*EFEITO!$Z$174</f>
        <v>0</v>
      </c>
      <c r="O174" s="46">
        <f>$L$174-EFEITO!$O$174*EFEITO!$AA$174</f>
        <v>0</v>
      </c>
      <c r="P174" s="38"/>
      <c r="Q174" s="38"/>
      <c r="R174" s="38"/>
      <c r="S174" s="38"/>
      <c r="T174" s="38"/>
      <c r="U174" s="38"/>
      <c r="V174" s="38"/>
      <c r="W174" s="38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</row>
    <row r="175" spans="1:36" ht="11.25" customHeight="1" x14ac:dyDescent="0.2">
      <c r="A175" s="35" t="s">
        <v>28</v>
      </c>
      <c r="B175" s="35" t="s">
        <v>41</v>
      </c>
      <c r="C175" s="35" t="s">
        <v>42</v>
      </c>
      <c r="D175" s="35" t="s">
        <v>45</v>
      </c>
      <c r="E175" s="35" t="s">
        <v>25</v>
      </c>
      <c r="F175" s="35" t="s">
        <v>25</v>
      </c>
      <c r="G175" s="35" t="s">
        <v>25</v>
      </c>
      <c r="H175" s="35" t="s">
        <v>37</v>
      </c>
      <c r="I175" s="45">
        <v>44621</v>
      </c>
      <c r="J175" s="46">
        <f ca="1">EFEITO!$J$175*EFEITO!$Y$175</f>
        <v>2679.9778629293505</v>
      </c>
      <c r="K175" s="46">
        <f ca="1">EFEITO!$L$175*EFEITO!$Z$175</f>
        <v>935.35378179013708</v>
      </c>
      <c r="L175" s="46">
        <f>EFEITO!$N$175*EFEITO!$AA$175</f>
        <v>1803.2800381294073</v>
      </c>
      <c r="M175" s="46">
        <f ca="1">$J$175-EFEITO!$K$175*EFEITO!$Y$175</f>
        <v>0</v>
      </c>
      <c r="N175" s="46">
        <f ca="1">$K$175-EFEITO!$M$175*EFEITO!$Z$175</f>
        <v>0</v>
      </c>
      <c r="O175" s="46">
        <f>$L$175-EFEITO!$O$175*EFEITO!$AA$175</f>
        <v>0</v>
      </c>
      <c r="P175" s="38"/>
      <c r="Q175" s="38"/>
      <c r="R175" s="38"/>
      <c r="S175" s="38"/>
      <c r="T175" s="38"/>
      <c r="U175" s="38"/>
      <c r="V175" s="38"/>
      <c r="W175" s="38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</row>
    <row r="176" spans="1:36" ht="11.25" customHeight="1" x14ac:dyDescent="0.2">
      <c r="A176" s="35" t="s">
        <v>21</v>
      </c>
      <c r="B176" s="35" t="s">
        <v>41</v>
      </c>
      <c r="C176" s="35" t="s">
        <v>42</v>
      </c>
      <c r="D176" s="35" t="s">
        <v>45</v>
      </c>
      <c r="E176" s="35" t="s">
        <v>25</v>
      </c>
      <c r="F176" s="35" t="s">
        <v>25</v>
      </c>
      <c r="G176" s="35" t="s">
        <v>25</v>
      </c>
      <c r="H176" s="35" t="s">
        <v>37</v>
      </c>
      <c r="I176" s="45">
        <v>44652</v>
      </c>
      <c r="J176" s="46">
        <f ca="1">EFEITO!$J$176*EFEITO!$Y$176</f>
        <v>52651.257399396622</v>
      </c>
      <c r="K176" s="46">
        <f ca="1">EFEITO!$L$176*EFEITO!$Z$176</f>
        <v>71384.530918769</v>
      </c>
      <c r="L176" s="46">
        <f>EFEITO!$N$176*EFEITO!$AA$176</f>
        <v>137623.1134605383</v>
      </c>
      <c r="M176" s="46">
        <f ca="1">$J$176-EFEITO!$K$176*EFEITO!$Y$176</f>
        <v>0</v>
      </c>
      <c r="N176" s="46">
        <f ca="1">$K$176-EFEITO!$M$176*EFEITO!$Z$176</f>
        <v>0</v>
      </c>
      <c r="O176" s="46">
        <f>$L$176-EFEITO!$O$176*EFEITO!$AA$176</f>
        <v>0</v>
      </c>
      <c r="P176" s="38"/>
      <c r="Q176" s="38"/>
      <c r="R176" s="38"/>
      <c r="S176" s="38"/>
      <c r="T176" s="38"/>
      <c r="U176" s="38"/>
      <c r="V176" s="38"/>
      <c r="W176" s="38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</row>
    <row r="177" spans="1:36" ht="11.25" customHeight="1" x14ac:dyDescent="0.2">
      <c r="A177" s="35" t="s">
        <v>28</v>
      </c>
      <c r="B177" s="35" t="s">
        <v>41</v>
      </c>
      <c r="C177" s="35" t="s">
        <v>42</v>
      </c>
      <c r="D177" s="35" t="s">
        <v>45</v>
      </c>
      <c r="E177" s="35" t="s">
        <v>25</v>
      </c>
      <c r="F177" s="35" t="s">
        <v>25</v>
      </c>
      <c r="G177" s="35" t="s">
        <v>25</v>
      </c>
      <c r="H177" s="35" t="s">
        <v>37</v>
      </c>
      <c r="I177" s="45">
        <v>44652</v>
      </c>
      <c r="J177" s="46">
        <f ca="1">EFEITO!$J$177*EFEITO!$Y$177</f>
        <v>2679.9778629293505</v>
      </c>
      <c r="K177" s="46">
        <f ca="1">EFEITO!$L$177*EFEITO!$Z$177</f>
        <v>1023.2629718080073</v>
      </c>
      <c r="L177" s="46">
        <f>EFEITO!$N$177*EFEITO!$AA$177</f>
        <v>1972.7612447205172</v>
      </c>
      <c r="M177" s="46">
        <f ca="1">$J$177-EFEITO!$K$177*EFEITO!$Y$177</f>
        <v>0</v>
      </c>
      <c r="N177" s="46">
        <f ca="1">$K$177-EFEITO!$M$177*EFEITO!$Z$177</f>
        <v>0</v>
      </c>
      <c r="O177" s="46">
        <f>$L$177-EFEITO!$O$177*EFEITO!$AA$177</f>
        <v>0</v>
      </c>
      <c r="P177" s="38"/>
      <c r="Q177" s="38"/>
      <c r="R177" s="38"/>
      <c r="S177" s="38"/>
      <c r="T177" s="38"/>
      <c r="U177" s="38"/>
      <c r="V177" s="38"/>
      <c r="W177" s="38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</row>
    <row r="178" spans="1:36" ht="11.25" customHeight="1" x14ac:dyDescent="0.2">
      <c r="A178" s="35" t="s">
        <v>21</v>
      </c>
      <c r="B178" s="35" t="s">
        <v>41</v>
      </c>
      <c r="C178" s="35" t="s">
        <v>42</v>
      </c>
      <c r="D178" s="35" t="s">
        <v>45</v>
      </c>
      <c r="E178" s="35" t="s">
        <v>25</v>
      </c>
      <c r="F178" s="35" t="s">
        <v>25</v>
      </c>
      <c r="G178" s="35" t="s">
        <v>25</v>
      </c>
      <c r="H178" s="35" t="s">
        <v>37</v>
      </c>
      <c r="I178" s="45">
        <v>44682</v>
      </c>
      <c r="J178" s="46">
        <f ca="1">EFEITO!$J$178*EFEITO!$Y$178</f>
        <v>52774.948685377974</v>
      </c>
      <c r="K178" s="46">
        <f ca="1">EFEITO!$L$178*EFEITO!$Z$178</f>
        <v>73321.142017059436</v>
      </c>
      <c r="L178" s="46">
        <f>EFEITO!$N$178*EFEITO!$AA$178</f>
        <v>141356.72977038345</v>
      </c>
      <c r="M178" s="46">
        <f ca="1">$J$178-EFEITO!$K$178*EFEITO!$Y$178</f>
        <v>0</v>
      </c>
      <c r="N178" s="46">
        <f ca="1">$K$178-EFEITO!$M$178*EFEITO!$Z$178</f>
        <v>0</v>
      </c>
      <c r="O178" s="46">
        <f>$L$178-EFEITO!$O$178*EFEITO!$AA$178</f>
        <v>0</v>
      </c>
      <c r="P178" s="38"/>
      <c r="Q178" s="38"/>
      <c r="R178" s="38"/>
      <c r="S178" s="38"/>
      <c r="T178" s="38"/>
      <c r="U178" s="38"/>
      <c r="V178" s="38"/>
      <c r="W178" s="38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</row>
    <row r="179" spans="1:36" ht="11.25" customHeight="1" x14ac:dyDescent="0.2">
      <c r="A179" s="35" t="s">
        <v>28</v>
      </c>
      <c r="B179" s="35" t="s">
        <v>41</v>
      </c>
      <c r="C179" s="35" t="s">
        <v>42</v>
      </c>
      <c r="D179" s="35" t="s">
        <v>45</v>
      </c>
      <c r="E179" s="35" t="s">
        <v>25</v>
      </c>
      <c r="F179" s="35" t="s">
        <v>25</v>
      </c>
      <c r="G179" s="35" t="s">
        <v>25</v>
      </c>
      <c r="H179" s="35" t="s">
        <v>37</v>
      </c>
      <c r="I179" s="45">
        <v>44682</v>
      </c>
      <c r="J179" s="46">
        <f ca="1">EFEITO!$J$179*EFEITO!$Y$179</f>
        <v>2679.9778629293505</v>
      </c>
      <c r="K179" s="46">
        <f ca="1">EFEITO!$L$179*EFEITO!$Z$179</f>
        <v>986.51125881989105</v>
      </c>
      <c r="L179" s="46">
        <f>EFEITO!$N$179*EFEITO!$AA$179</f>
        <v>1901.9071660940401</v>
      </c>
      <c r="M179" s="46">
        <f ca="1">$J$179-EFEITO!$K$179*EFEITO!$Y$179</f>
        <v>0</v>
      </c>
      <c r="N179" s="46">
        <f ca="1">$K$179-EFEITO!$M$179*EFEITO!$Z$179</f>
        <v>0</v>
      </c>
      <c r="O179" s="46">
        <f>$L$179-EFEITO!$O$179*EFEITO!$AA$179</f>
        <v>0</v>
      </c>
      <c r="P179" s="38"/>
      <c r="Q179" s="38"/>
      <c r="R179" s="38"/>
      <c r="S179" s="38"/>
      <c r="T179" s="38"/>
      <c r="U179" s="38"/>
      <c r="V179" s="38"/>
      <c r="W179" s="38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</row>
    <row r="180" spans="1:36" ht="11.25" customHeight="1" x14ac:dyDescent="0.2">
      <c r="A180" s="35" t="s">
        <v>21</v>
      </c>
      <c r="B180" s="35" t="s">
        <v>41</v>
      </c>
      <c r="C180" s="35" t="s">
        <v>42</v>
      </c>
      <c r="D180" s="35" t="s">
        <v>45</v>
      </c>
      <c r="E180" s="35" t="s">
        <v>25</v>
      </c>
      <c r="F180" s="35" t="s">
        <v>25</v>
      </c>
      <c r="G180" s="35" t="s">
        <v>25</v>
      </c>
      <c r="H180" s="35" t="s">
        <v>37</v>
      </c>
      <c r="I180" s="45">
        <v>44713</v>
      </c>
      <c r="J180" s="46">
        <f ca="1">EFEITO!$J$180*EFEITO!$Y$180</f>
        <v>51867.879254848041</v>
      </c>
      <c r="K180" s="46">
        <f ca="1">EFEITO!$L$180*EFEITO!$Z$180</f>
        <v>65459.79180520332</v>
      </c>
      <c r="L180" s="46">
        <f>EFEITO!$N$180*EFEITO!$AA$180</f>
        <v>126200.73619258105</v>
      </c>
      <c r="M180" s="46">
        <f ca="1">$J$180-EFEITO!$K$180*EFEITO!$Y$180</f>
        <v>0</v>
      </c>
      <c r="N180" s="46">
        <f ca="1">$K$180-EFEITO!$M$180*EFEITO!$Z$180</f>
        <v>0</v>
      </c>
      <c r="O180" s="46">
        <f>$L$180-EFEITO!$O$180*EFEITO!$AA$180</f>
        <v>0</v>
      </c>
      <c r="P180" s="38"/>
      <c r="Q180" s="38"/>
      <c r="R180" s="38"/>
      <c r="S180" s="38"/>
      <c r="T180" s="38"/>
      <c r="U180" s="38"/>
      <c r="V180" s="38"/>
      <c r="W180" s="38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</row>
    <row r="181" spans="1:36" ht="11.25" customHeight="1" x14ac:dyDescent="0.2">
      <c r="A181" s="35" t="s">
        <v>28</v>
      </c>
      <c r="B181" s="35" t="s">
        <v>41</v>
      </c>
      <c r="C181" s="35" t="s">
        <v>42</v>
      </c>
      <c r="D181" s="35" t="s">
        <v>45</v>
      </c>
      <c r="E181" s="35" t="s">
        <v>25</v>
      </c>
      <c r="F181" s="35" t="s">
        <v>25</v>
      </c>
      <c r="G181" s="35" t="s">
        <v>25</v>
      </c>
      <c r="H181" s="35" t="s">
        <v>37</v>
      </c>
      <c r="I181" s="45">
        <v>44713</v>
      </c>
      <c r="J181" s="46">
        <f ca="1">EFEITO!$J$181*EFEITO!$Y$181</f>
        <v>2679.9778629293505</v>
      </c>
      <c r="K181" s="46">
        <f ca="1">EFEITO!$L$181*EFEITO!$Z$181</f>
        <v>1006.7020147207696</v>
      </c>
      <c r="L181" s="46">
        <f>EFEITO!$N$181*EFEITO!$AA$181</f>
        <v>1940.8331722530306</v>
      </c>
      <c r="M181" s="46">
        <f ca="1">$J$181-EFEITO!$K$181*EFEITO!$Y$181</f>
        <v>0</v>
      </c>
      <c r="N181" s="46">
        <f ca="1">$K$181-EFEITO!$M$181*EFEITO!$Z$181</f>
        <v>0</v>
      </c>
      <c r="O181" s="46">
        <f>$L$181-EFEITO!$O$181*EFEITO!$AA$181</f>
        <v>0</v>
      </c>
      <c r="P181" s="38"/>
      <c r="Q181" s="38"/>
      <c r="R181" s="38"/>
      <c r="S181" s="38"/>
      <c r="T181" s="38"/>
      <c r="U181" s="38"/>
      <c r="V181" s="38"/>
      <c r="W181" s="38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</row>
    <row r="182" spans="1:36" ht="11.25" customHeight="1" x14ac:dyDescent="0.2">
      <c r="A182" s="35" t="s">
        <v>21</v>
      </c>
      <c r="B182" s="35" t="s">
        <v>41</v>
      </c>
      <c r="C182" s="35" t="s">
        <v>42</v>
      </c>
      <c r="D182" s="35" t="s">
        <v>45</v>
      </c>
      <c r="E182" s="35" t="s">
        <v>25</v>
      </c>
      <c r="F182" s="35" t="s">
        <v>25</v>
      </c>
      <c r="G182" s="35" t="s">
        <v>25</v>
      </c>
      <c r="H182" s="35" t="s">
        <v>37</v>
      </c>
      <c r="I182" s="45">
        <v>44743</v>
      </c>
      <c r="J182" s="46">
        <f ca="1">EFEITO!$J$182*EFEITO!$Y$182</f>
        <v>52115.261826810754</v>
      </c>
      <c r="K182" s="46">
        <f ca="1">EFEITO!$L$182*EFEITO!$Z$182</f>
        <v>70064.872187584609</v>
      </c>
      <c r="L182" s="46">
        <f>EFEITO!$N$182*EFEITO!$AA$182</f>
        <v>135078.92719282091</v>
      </c>
      <c r="M182" s="46">
        <f ca="1">$J$182-EFEITO!$K$182*EFEITO!$Y$182</f>
        <v>0</v>
      </c>
      <c r="N182" s="46">
        <f ca="1">$K$182-EFEITO!$M$182*EFEITO!$Z$182</f>
        <v>0</v>
      </c>
      <c r="O182" s="46">
        <f>$L$182-EFEITO!$O$182*EFEITO!$AA$182</f>
        <v>0</v>
      </c>
      <c r="P182" s="38"/>
      <c r="Q182" s="38"/>
      <c r="R182" s="38"/>
      <c r="S182" s="38"/>
      <c r="T182" s="38"/>
      <c r="U182" s="38"/>
      <c r="V182" s="38"/>
      <c r="W182" s="38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</row>
    <row r="183" spans="1:36" ht="11.25" customHeight="1" x14ac:dyDescent="0.2">
      <c r="A183" s="35" t="s">
        <v>28</v>
      </c>
      <c r="B183" s="35" t="s">
        <v>41</v>
      </c>
      <c r="C183" s="35" t="s">
        <v>42</v>
      </c>
      <c r="D183" s="35" t="s">
        <v>45</v>
      </c>
      <c r="E183" s="35" t="s">
        <v>25</v>
      </c>
      <c r="F183" s="35" t="s">
        <v>25</v>
      </c>
      <c r="G183" s="35" t="s">
        <v>25</v>
      </c>
      <c r="H183" s="35" t="s">
        <v>37</v>
      </c>
      <c r="I183" s="45">
        <v>44743</v>
      </c>
      <c r="J183" s="46">
        <f ca="1">EFEITO!$J$183*EFEITO!$Y$183</f>
        <v>2679.9778629293505</v>
      </c>
      <c r="K183" s="46">
        <f ca="1">EFEITO!$L$183*EFEITO!$Z$183</f>
        <v>989.34703914304816</v>
      </c>
      <c r="L183" s="46">
        <f>EFEITO!$N$183*EFEITO!$AA$183</f>
        <v>1907.3743017905274</v>
      </c>
      <c r="M183" s="46">
        <f ca="1">$J$183-EFEITO!$K$183*EFEITO!$Y$183</f>
        <v>0</v>
      </c>
      <c r="N183" s="46">
        <f ca="1">$K$183-EFEITO!$M$183*EFEITO!$Z$183</f>
        <v>0</v>
      </c>
      <c r="O183" s="46">
        <f>$L$183-EFEITO!$O$183*EFEITO!$AA$183</f>
        <v>0</v>
      </c>
      <c r="P183" s="38"/>
      <c r="Q183" s="38"/>
      <c r="R183" s="38"/>
      <c r="S183" s="38"/>
      <c r="T183" s="38"/>
      <c r="U183" s="38"/>
      <c r="V183" s="38"/>
      <c r="W183" s="38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</row>
    <row r="184" spans="1:36" ht="11.25" customHeight="1" x14ac:dyDescent="0.2">
      <c r="A184" s="35" t="s">
        <v>21</v>
      </c>
      <c r="B184" s="35" t="s">
        <v>41</v>
      </c>
      <c r="C184" s="35" t="s">
        <v>42</v>
      </c>
      <c r="D184" s="35" t="s">
        <v>45</v>
      </c>
      <c r="E184" s="35" t="s">
        <v>25</v>
      </c>
      <c r="F184" s="35" t="s">
        <v>25</v>
      </c>
      <c r="G184" s="35" t="s">
        <v>25</v>
      </c>
      <c r="H184" s="35" t="s">
        <v>37</v>
      </c>
      <c r="I184" s="45">
        <v>44774</v>
      </c>
      <c r="J184" s="46">
        <f ca="1">EFEITO!$J$184*EFEITO!$Y$184</f>
        <v>52816.17911403843</v>
      </c>
      <c r="K184" s="46">
        <f ca="1">EFEITO!$L$184*EFEITO!$Z$184</f>
        <v>70297.633036509345</v>
      </c>
      <c r="L184" s="46">
        <f>EFEITO!$N$184*EFEITO!$AA$184</f>
        <v>135527.66969078858</v>
      </c>
      <c r="M184" s="46">
        <f ca="1">$J$184-EFEITO!$K$184*EFEITO!$Y$184</f>
        <v>0</v>
      </c>
      <c r="N184" s="46">
        <f ca="1">$K$184-EFEITO!$M$184*EFEITO!$Z$184</f>
        <v>0</v>
      </c>
      <c r="O184" s="46">
        <f>$L$184-EFEITO!$O$184*EFEITO!$AA$184</f>
        <v>0</v>
      </c>
      <c r="P184" s="38"/>
      <c r="Q184" s="38"/>
      <c r="R184" s="38"/>
      <c r="S184" s="38"/>
      <c r="T184" s="38"/>
      <c r="U184" s="38"/>
      <c r="V184" s="38"/>
      <c r="W184" s="38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</row>
    <row r="185" spans="1:36" ht="11.25" customHeight="1" x14ac:dyDescent="0.2">
      <c r="A185" s="35" t="s">
        <v>28</v>
      </c>
      <c r="B185" s="35" t="s">
        <v>41</v>
      </c>
      <c r="C185" s="35" t="s">
        <v>42</v>
      </c>
      <c r="D185" s="35" t="s">
        <v>45</v>
      </c>
      <c r="E185" s="35" t="s">
        <v>25</v>
      </c>
      <c r="F185" s="35" t="s">
        <v>25</v>
      </c>
      <c r="G185" s="35" t="s">
        <v>25</v>
      </c>
      <c r="H185" s="35" t="s">
        <v>37</v>
      </c>
      <c r="I185" s="45">
        <v>44774</v>
      </c>
      <c r="J185" s="46">
        <f ca="1">EFEITO!$J$185*EFEITO!$Y$185</f>
        <v>2679.9778629293505</v>
      </c>
      <c r="K185" s="46">
        <f ca="1">EFEITO!$L$185*EFEITO!$Z$185</f>
        <v>1072.3786870050881</v>
      </c>
      <c r="L185" s="46">
        <f>EFEITO!$N$185*EFEITO!$AA$185</f>
        <v>2067.4520349836789</v>
      </c>
      <c r="M185" s="46">
        <f ca="1">$J$185-EFEITO!$K$185*EFEITO!$Y$185</f>
        <v>0</v>
      </c>
      <c r="N185" s="46">
        <f ca="1">$K$185-EFEITO!$M$185*EFEITO!$Z$185</f>
        <v>0</v>
      </c>
      <c r="O185" s="46">
        <f>$L$185-EFEITO!$O$185*EFEITO!$AA$185</f>
        <v>0</v>
      </c>
      <c r="P185" s="38"/>
      <c r="Q185" s="38"/>
      <c r="R185" s="38"/>
      <c r="S185" s="38"/>
      <c r="T185" s="38"/>
      <c r="U185" s="38"/>
      <c r="V185" s="38"/>
      <c r="W185" s="38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</row>
    <row r="186" spans="1:36" ht="11.25" customHeight="1" x14ac:dyDescent="0.2">
      <c r="A186" s="35" t="s">
        <v>21</v>
      </c>
      <c r="B186" s="35" t="s">
        <v>41</v>
      </c>
      <c r="C186" s="35" t="s">
        <v>42</v>
      </c>
      <c r="D186" s="35" t="s">
        <v>45</v>
      </c>
      <c r="E186" s="35" t="s">
        <v>25</v>
      </c>
      <c r="F186" s="35" t="s">
        <v>25</v>
      </c>
      <c r="G186" s="35" t="s">
        <v>25</v>
      </c>
      <c r="H186" s="35" t="s">
        <v>37</v>
      </c>
      <c r="I186" s="45">
        <v>44805</v>
      </c>
      <c r="J186" s="46">
        <f ca="1">EFEITO!$J$186*EFEITO!$Y$186</f>
        <v>49146.670963258242</v>
      </c>
      <c r="K186" s="46">
        <f ca="1">EFEITO!$L$186*EFEITO!$Z$186</f>
        <v>64790.774511364107</v>
      </c>
      <c r="L186" s="46">
        <f>EFEITO!$N$186*EFEITO!$AA$186</f>
        <v>124910.92953906576</v>
      </c>
      <c r="M186" s="46">
        <f ca="1">$J$186-EFEITO!$K$186*EFEITO!$Y$186</f>
        <v>0</v>
      </c>
      <c r="N186" s="46">
        <f ca="1">$K$186-EFEITO!$M$186*EFEITO!$Z$186</f>
        <v>0</v>
      </c>
      <c r="O186" s="46">
        <f>$L$186-EFEITO!$O$186*EFEITO!$AA$186</f>
        <v>0</v>
      </c>
      <c r="P186" s="38"/>
      <c r="Q186" s="38"/>
      <c r="R186" s="38"/>
      <c r="S186" s="38"/>
      <c r="T186" s="38"/>
      <c r="U186" s="38"/>
      <c r="V186" s="38"/>
      <c r="W186" s="38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</row>
    <row r="187" spans="1:36" ht="11.25" customHeight="1" x14ac:dyDescent="0.2">
      <c r="A187" s="35" t="s">
        <v>28</v>
      </c>
      <c r="B187" s="35" t="s">
        <v>41</v>
      </c>
      <c r="C187" s="35" t="s">
        <v>42</v>
      </c>
      <c r="D187" s="35" t="s">
        <v>45</v>
      </c>
      <c r="E187" s="35" t="s">
        <v>25</v>
      </c>
      <c r="F187" s="35" t="s">
        <v>25</v>
      </c>
      <c r="G187" s="35" t="s">
        <v>25</v>
      </c>
      <c r="H187" s="35" t="s">
        <v>37</v>
      </c>
      <c r="I187" s="45">
        <v>44805</v>
      </c>
      <c r="J187" s="46">
        <f ca="1">EFEITO!$J$187*EFEITO!$Y$187</f>
        <v>2679.9778629293505</v>
      </c>
      <c r="K187" s="46">
        <f ca="1">EFEITO!$L$187*EFEITO!$Z$187</f>
        <v>1023.0361093821546</v>
      </c>
      <c r="L187" s="46">
        <f>EFEITO!$N$187*EFEITO!$AA$187</f>
        <v>1972.3238738647981</v>
      </c>
      <c r="M187" s="46">
        <f ca="1">$J$187-EFEITO!$K$187*EFEITO!$Y$187</f>
        <v>0</v>
      </c>
      <c r="N187" s="46">
        <f ca="1">$K$187-EFEITO!$M$187*EFEITO!$Z$187</f>
        <v>0</v>
      </c>
      <c r="O187" s="46">
        <f>$L$187-EFEITO!$O$187*EFEITO!$AA$187</f>
        <v>0</v>
      </c>
      <c r="P187" s="38"/>
      <c r="Q187" s="38"/>
      <c r="R187" s="38"/>
      <c r="S187" s="38"/>
      <c r="T187" s="38"/>
      <c r="U187" s="38"/>
      <c r="V187" s="38"/>
      <c r="W187" s="38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</row>
    <row r="188" spans="1:36" ht="11.25" customHeight="1" x14ac:dyDescent="0.2">
      <c r="A188" s="35" t="s">
        <v>21</v>
      </c>
      <c r="B188" s="35" t="s">
        <v>41</v>
      </c>
      <c r="C188" s="35" t="s">
        <v>42</v>
      </c>
      <c r="D188" s="35" t="s">
        <v>45</v>
      </c>
      <c r="E188" s="35" t="s">
        <v>25</v>
      </c>
      <c r="F188" s="35" t="s">
        <v>25</v>
      </c>
      <c r="G188" s="35" t="s">
        <v>25</v>
      </c>
      <c r="H188" s="35" t="s">
        <v>37</v>
      </c>
      <c r="I188" s="45">
        <v>44835</v>
      </c>
      <c r="J188" s="46">
        <f ca="1">EFEITO!$J$188*EFEITO!$Y$188</f>
        <v>49208.516606248915</v>
      </c>
      <c r="K188" s="46">
        <f ca="1">EFEITO!$L$188*EFEITO!$Z$188</f>
        <v>70687.836408975752</v>
      </c>
      <c r="L188" s="46">
        <f>EFEITO!$N$188*EFEITO!$AA$188</f>
        <v>136279.94756262525</v>
      </c>
      <c r="M188" s="46">
        <f ca="1">$J$188-EFEITO!$K$188*EFEITO!$Y$188</f>
        <v>0</v>
      </c>
      <c r="N188" s="46">
        <f ca="1">$K$188-EFEITO!$M$188*EFEITO!$Z$188</f>
        <v>0</v>
      </c>
      <c r="O188" s="46">
        <f>$L$188-EFEITO!$O$188*EFEITO!$AA$188</f>
        <v>0</v>
      </c>
      <c r="P188" s="38"/>
      <c r="Q188" s="38"/>
      <c r="R188" s="38"/>
      <c r="S188" s="38"/>
      <c r="T188" s="38"/>
      <c r="U188" s="38"/>
      <c r="V188" s="38"/>
      <c r="W188" s="38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</row>
    <row r="189" spans="1:36" ht="11.25" customHeight="1" x14ac:dyDescent="0.2">
      <c r="A189" s="35" t="s">
        <v>27</v>
      </c>
      <c r="B189" s="35" t="s">
        <v>41</v>
      </c>
      <c r="C189" s="35" t="s">
        <v>42</v>
      </c>
      <c r="D189" s="35" t="s">
        <v>45</v>
      </c>
      <c r="E189" s="35" t="s">
        <v>25</v>
      </c>
      <c r="F189" s="35" t="s">
        <v>25</v>
      </c>
      <c r="G189" s="35" t="s">
        <v>25</v>
      </c>
      <c r="H189" s="35" t="s">
        <v>37</v>
      </c>
      <c r="I189" s="45">
        <v>44835</v>
      </c>
      <c r="J189" s="46">
        <f ca="1">EFEITO!$J$189*EFEITO!$Y$189</f>
        <v>0</v>
      </c>
      <c r="K189" s="46">
        <f ca="1">EFEITO!$L$189*EFEITO!$Z$189</f>
        <v>-299.91212697709466</v>
      </c>
      <c r="L189" s="46">
        <f>EFEITO!$N$189*EFEITO!$AA$189</f>
        <v>-578.20427126050856</v>
      </c>
      <c r="M189" s="46">
        <f ca="1">$J$189-EFEITO!$K$189*EFEITO!$Y$189</f>
        <v>0</v>
      </c>
      <c r="N189" s="46">
        <f ca="1">$K$189-EFEITO!$M$189*EFEITO!$Z$189</f>
        <v>0</v>
      </c>
      <c r="O189" s="46">
        <f>$L$189-EFEITO!$O$189*EFEITO!$AA$189</f>
        <v>0</v>
      </c>
      <c r="P189" s="38"/>
      <c r="Q189" s="38"/>
      <c r="R189" s="38"/>
      <c r="S189" s="38"/>
      <c r="T189" s="38"/>
      <c r="U189" s="38"/>
      <c r="V189" s="38"/>
      <c r="W189" s="38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</row>
    <row r="190" spans="1:36" ht="11.25" customHeight="1" x14ac:dyDescent="0.2">
      <c r="A190" s="35" t="s">
        <v>28</v>
      </c>
      <c r="B190" s="35" t="s">
        <v>41</v>
      </c>
      <c r="C190" s="35" t="s">
        <v>42</v>
      </c>
      <c r="D190" s="35" t="s">
        <v>45</v>
      </c>
      <c r="E190" s="35" t="s">
        <v>25</v>
      </c>
      <c r="F190" s="35" t="s">
        <v>25</v>
      </c>
      <c r="G190" s="35" t="s">
        <v>25</v>
      </c>
      <c r="H190" s="35" t="s">
        <v>37</v>
      </c>
      <c r="I190" s="45">
        <v>44835</v>
      </c>
      <c r="J190" s="46">
        <f ca="1">EFEITO!$J$190*EFEITO!$Y$190</f>
        <v>2679.9778629293505</v>
      </c>
      <c r="K190" s="46">
        <f ca="1">EFEITO!$L$190*EFEITO!$Z$190</f>
        <v>1065.3459518036584</v>
      </c>
      <c r="L190" s="46">
        <f>EFEITO!$N$190*EFEITO!$AA$190</f>
        <v>2053.8935384563902</v>
      </c>
      <c r="M190" s="46">
        <f ca="1">$J$190-EFEITO!$K$190*EFEITO!$Y$190</f>
        <v>0</v>
      </c>
      <c r="N190" s="46">
        <f ca="1">$K$190-EFEITO!$M$190*EFEITO!$Z$190</f>
        <v>0</v>
      </c>
      <c r="O190" s="46">
        <f>$L$190-EFEITO!$O$190*EFEITO!$AA$190</f>
        <v>0</v>
      </c>
      <c r="P190" s="38"/>
      <c r="Q190" s="38"/>
      <c r="R190" s="38"/>
      <c r="S190" s="38"/>
      <c r="T190" s="38"/>
      <c r="U190" s="38"/>
      <c r="V190" s="38"/>
      <c r="W190" s="38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</row>
    <row r="191" spans="1:36" ht="11.25" customHeight="1" x14ac:dyDescent="0.2">
      <c r="A191" s="35" t="s">
        <v>59</v>
      </c>
      <c r="B191" s="35" t="s">
        <v>41</v>
      </c>
      <c r="C191" s="35" t="s">
        <v>42</v>
      </c>
      <c r="D191" s="35" t="s">
        <v>45</v>
      </c>
      <c r="E191" s="35" t="s">
        <v>25</v>
      </c>
      <c r="F191" s="35" t="s">
        <v>25</v>
      </c>
      <c r="G191" s="35" t="s">
        <v>25</v>
      </c>
      <c r="H191" s="35" t="s">
        <v>37</v>
      </c>
      <c r="I191" s="45">
        <v>44866</v>
      </c>
      <c r="J191" s="46">
        <f ca="1">EFEITO!$J$191*EFEITO!$Y$191</f>
        <v>49208.516606248915</v>
      </c>
      <c r="K191" s="46">
        <f ca="1">EFEITO!$L$191*EFEITO!$Z$191</f>
        <v>70687.836408975752</v>
      </c>
      <c r="L191" s="46">
        <f>EFEITO!$N$191*EFEITO!$AA$191</f>
        <v>136279.94756262525</v>
      </c>
      <c r="M191" s="46">
        <f ca="1">$J$191-EFEITO!$K$191*EFEITO!$Y$191</f>
        <v>0</v>
      </c>
      <c r="N191" s="46">
        <f ca="1">$K$191-EFEITO!$M$191*EFEITO!$Z$191</f>
        <v>0</v>
      </c>
      <c r="O191" s="46">
        <f>$L$191-EFEITO!$O$191*EFEITO!$AA$191</f>
        <v>0</v>
      </c>
      <c r="P191" s="38"/>
      <c r="Q191" s="38"/>
      <c r="R191" s="38"/>
      <c r="S191" s="38"/>
      <c r="T191" s="38"/>
      <c r="U191" s="38"/>
      <c r="V191" s="38"/>
      <c r="W191" s="38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</row>
    <row r="192" spans="1:36" ht="11.25" customHeight="1" x14ac:dyDescent="0.2">
      <c r="A192" s="35" t="s">
        <v>59</v>
      </c>
      <c r="B192" s="35" t="s">
        <v>41</v>
      </c>
      <c r="C192" s="35" t="s">
        <v>42</v>
      </c>
      <c r="D192" s="35" t="s">
        <v>45</v>
      </c>
      <c r="E192" s="35" t="s">
        <v>25</v>
      </c>
      <c r="F192" s="35" t="s">
        <v>25</v>
      </c>
      <c r="G192" s="35" t="s">
        <v>25</v>
      </c>
      <c r="H192" s="35" t="s">
        <v>37</v>
      </c>
      <c r="I192" s="45">
        <v>44866</v>
      </c>
      <c r="J192" s="46">
        <f ca="1">EFEITO!$J$192*EFEITO!$Y$192</f>
        <v>0</v>
      </c>
      <c r="K192" s="46">
        <f ca="1">EFEITO!$L$192*EFEITO!$Z$192</f>
        <v>-299.91212697709466</v>
      </c>
      <c r="L192" s="46">
        <f>EFEITO!$N$192*EFEITO!$AA$192</f>
        <v>-578.20427126050856</v>
      </c>
      <c r="M192" s="46">
        <f ca="1">$J$192-EFEITO!$K$192*EFEITO!$Y$192</f>
        <v>0</v>
      </c>
      <c r="N192" s="46">
        <f ca="1">$K$192-EFEITO!$M$192*EFEITO!$Z$192</f>
        <v>0</v>
      </c>
      <c r="O192" s="46">
        <f>$L$192-EFEITO!$O$192*EFEITO!$AA$192</f>
        <v>0</v>
      </c>
      <c r="P192" s="38"/>
      <c r="Q192" s="38"/>
      <c r="R192" s="38"/>
      <c r="S192" s="38"/>
      <c r="T192" s="38"/>
      <c r="U192" s="38"/>
      <c r="V192" s="38"/>
      <c r="W192" s="38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</row>
    <row r="193" spans="1:36" ht="11.25" customHeight="1" x14ac:dyDescent="0.2">
      <c r="A193" s="35" t="s">
        <v>59</v>
      </c>
      <c r="B193" s="35" t="s">
        <v>41</v>
      </c>
      <c r="C193" s="35" t="s">
        <v>42</v>
      </c>
      <c r="D193" s="35" t="s">
        <v>45</v>
      </c>
      <c r="E193" s="35" t="s">
        <v>25</v>
      </c>
      <c r="F193" s="35" t="s">
        <v>25</v>
      </c>
      <c r="G193" s="35" t="s">
        <v>25</v>
      </c>
      <c r="H193" s="35" t="s">
        <v>37</v>
      </c>
      <c r="I193" s="45">
        <v>44866</v>
      </c>
      <c r="J193" s="46">
        <f ca="1">EFEITO!$J$193*EFEITO!$Y$193</f>
        <v>2679.9778629293505</v>
      </c>
      <c r="K193" s="46">
        <f ca="1">EFEITO!$L$193*EFEITO!$Z$193</f>
        <v>1065.3459518036584</v>
      </c>
      <c r="L193" s="46">
        <f>EFEITO!$N$193*EFEITO!$AA$193</f>
        <v>2053.8935384563902</v>
      </c>
      <c r="M193" s="46">
        <f ca="1">$J$193-EFEITO!$K$193*EFEITO!$Y$193</f>
        <v>0</v>
      </c>
      <c r="N193" s="46">
        <f ca="1">$K$193-EFEITO!$M$193*EFEITO!$Z$193</f>
        <v>0</v>
      </c>
      <c r="O193" s="46">
        <f>$L$193-EFEITO!$O$193*EFEITO!$AA$193</f>
        <v>0</v>
      </c>
      <c r="P193" s="38"/>
      <c r="Q193" s="38"/>
      <c r="R193" s="38"/>
      <c r="S193" s="38"/>
      <c r="T193" s="38"/>
      <c r="U193" s="38"/>
      <c r="V193" s="38"/>
      <c r="W193" s="38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</row>
    <row r="194" spans="1:36" ht="11.25" customHeight="1" x14ac:dyDescent="0.2">
      <c r="A194" s="35" t="s">
        <v>21</v>
      </c>
      <c r="B194" s="35" t="s">
        <v>41</v>
      </c>
      <c r="C194" s="35" t="s">
        <v>42</v>
      </c>
      <c r="D194" s="35" t="s">
        <v>45</v>
      </c>
      <c r="E194" s="35" t="s">
        <v>25</v>
      </c>
      <c r="F194" s="35" t="s">
        <v>25</v>
      </c>
      <c r="G194" s="35" t="s">
        <v>25</v>
      </c>
      <c r="H194" s="35" t="s">
        <v>36</v>
      </c>
      <c r="I194" s="45">
        <v>44531</v>
      </c>
      <c r="J194" s="46">
        <f ca="1">EFEITO!$J$194*EFEITO!$Y$194</f>
        <v>88911.244106420447</v>
      </c>
      <c r="K194" s="46">
        <f ca="1">EFEITO!$L$194*EFEITO!$Z$194</f>
        <v>5628.7970790409863</v>
      </c>
      <c r="L194" s="46">
        <f>EFEITO!$N$194*EFEITO!$AA$194</f>
        <v>17995.482558591168</v>
      </c>
      <c r="M194" s="46">
        <f ca="1">$J$194-EFEITO!$K$194*EFEITO!$Y$194</f>
        <v>0</v>
      </c>
      <c r="N194" s="46">
        <f ca="1">$K$194-EFEITO!$M$194*EFEITO!$Z$194</f>
        <v>0</v>
      </c>
      <c r="O194" s="46">
        <f>$L$194-EFEITO!$O$194*EFEITO!$AA$194</f>
        <v>0</v>
      </c>
      <c r="P194" s="38"/>
      <c r="Q194" s="38"/>
      <c r="R194" s="38"/>
      <c r="S194" s="38"/>
      <c r="T194" s="38"/>
      <c r="U194" s="38"/>
      <c r="V194" s="38"/>
      <c r="W194" s="38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</row>
    <row r="195" spans="1:36" ht="11.25" customHeight="1" x14ac:dyDescent="0.2">
      <c r="A195" s="35" t="s">
        <v>28</v>
      </c>
      <c r="B195" s="35" t="s">
        <v>41</v>
      </c>
      <c r="C195" s="35" t="s">
        <v>42</v>
      </c>
      <c r="D195" s="35" t="s">
        <v>45</v>
      </c>
      <c r="E195" s="35" t="s">
        <v>25</v>
      </c>
      <c r="F195" s="35" t="s">
        <v>25</v>
      </c>
      <c r="G195" s="35" t="s">
        <v>25</v>
      </c>
      <c r="H195" s="35" t="s">
        <v>36</v>
      </c>
      <c r="I195" s="45">
        <v>44531</v>
      </c>
      <c r="J195" s="46">
        <f ca="1">EFEITO!$J$195*EFEITO!$Y$195</f>
        <v>2252.3431059257873</v>
      </c>
      <c r="K195" s="46">
        <f ca="1">EFEITO!$L$195*EFEITO!$Z$195</f>
        <v>127.04295847743799</v>
      </c>
      <c r="L195" s="46">
        <f>EFEITO!$N$195*EFEITO!$AA$195</f>
        <v>406.16126525244567</v>
      </c>
      <c r="M195" s="46">
        <f ca="1">$J$195-EFEITO!$K$195*EFEITO!$Y$195</f>
        <v>0</v>
      </c>
      <c r="N195" s="46">
        <f ca="1">$K$195-EFEITO!$M$195*EFEITO!$Z$195</f>
        <v>0</v>
      </c>
      <c r="O195" s="46">
        <f>$L$195-EFEITO!$O$195*EFEITO!$AA$195</f>
        <v>0</v>
      </c>
      <c r="P195" s="38"/>
      <c r="Q195" s="38"/>
      <c r="R195" s="38"/>
      <c r="S195" s="38"/>
      <c r="T195" s="38"/>
      <c r="U195" s="38"/>
      <c r="V195" s="38"/>
      <c r="W195" s="38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</row>
    <row r="196" spans="1:36" ht="11.25" customHeight="1" x14ac:dyDescent="0.2">
      <c r="A196" s="35" t="s">
        <v>21</v>
      </c>
      <c r="B196" s="35" t="s">
        <v>41</v>
      </c>
      <c r="C196" s="35" t="s">
        <v>42</v>
      </c>
      <c r="D196" s="35" t="s">
        <v>45</v>
      </c>
      <c r="E196" s="35" t="s">
        <v>25</v>
      </c>
      <c r="F196" s="35" t="s">
        <v>25</v>
      </c>
      <c r="G196" s="35" t="s">
        <v>25</v>
      </c>
      <c r="H196" s="35" t="s">
        <v>36</v>
      </c>
      <c r="I196" s="45">
        <v>44562</v>
      </c>
      <c r="J196" s="46">
        <f ca="1">EFEITO!$J$196*EFEITO!$Y$196</f>
        <v>90882.044324105504</v>
      </c>
      <c r="K196" s="46">
        <f ca="1">EFEITO!$L$196*EFEITO!$Z$196</f>
        <v>5625.1672802273451</v>
      </c>
      <c r="L196" s="46">
        <f>EFEITO!$N$196*EFEITO!$AA$196</f>
        <v>17983.877951012528</v>
      </c>
      <c r="M196" s="46">
        <f ca="1">$J$196-EFEITO!$K$196*EFEITO!$Y$196</f>
        <v>0</v>
      </c>
      <c r="N196" s="46">
        <f ca="1">$K$196-EFEITO!$M$196*EFEITO!$Z$196</f>
        <v>0</v>
      </c>
      <c r="O196" s="46">
        <f>$L$196-EFEITO!$O$196*EFEITO!$AA$196</f>
        <v>0</v>
      </c>
      <c r="P196" s="38"/>
      <c r="Q196" s="38"/>
      <c r="R196" s="38"/>
      <c r="S196" s="38"/>
      <c r="T196" s="38"/>
      <c r="U196" s="38"/>
      <c r="V196" s="38"/>
      <c r="W196" s="38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</row>
    <row r="197" spans="1:36" ht="11.25" customHeight="1" x14ac:dyDescent="0.2">
      <c r="A197" s="35" t="s">
        <v>28</v>
      </c>
      <c r="B197" s="35" t="s">
        <v>41</v>
      </c>
      <c r="C197" s="35" t="s">
        <v>42</v>
      </c>
      <c r="D197" s="35" t="s">
        <v>45</v>
      </c>
      <c r="E197" s="35" t="s">
        <v>25</v>
      </c>
      <c r="F197" s="35" t="s">
        <v>25</v>
      </c>
      <c r="G197" s="35" t="s">
        <v>25</v>
      </c>
      <c r="H197" s="35" t="s">
        <v>36</v>
      </c>
      <c r="I197" s="45">
        <v>44562</v>
      </c>
      <c r="J197" s="46">
        <f ca="1">EFEITO!$J$197*EFEITO!$Y$197</f>
        <v>2252.3431059257873</v>
      </c>
      <c r="K197" s="46">
        <f ca="1">EFEITO!$L$197*EFEITO!$Z$197</f>
        <v>63.521479238718996</v>
      </c>
      <c r="L197" s="46">
        <f>EFEITO!$N$197*EFEITO!$AA$197</f>
        <v>203.08063262622284</v>
      </c>
      <c r="M197" s="46">
        <f ca="1">$J$197-EFEITO!$K$197*EFEITO!$Y$197</f>
        <v>0</v>
      </c>
      <c r="N197" s="46">
        <f ca="1">$K$197-EFEITO!$M$197*EFEITO!$Z$197</f>
        <v>0</v>
      </c>
      <c r="O197" s="46">
        <f>$L$197-EFEITO!$O$197*EFEITO!$AA$197</f>
        <v>0</v>
      </c>
      <c r="P197" s="38"/>
      <c r="Q197" s="38"/>
      <c r="R197" s="38"/>
      <c r="S197" s="38"/>
      <c r="T197" s="38"/>
      <c r="U197" s="38"/>
      <c r="V197" s="38"/>
      <c r="W197" s="38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</row>
    <row r="198" spans="1:36" ht="11.25" customHeight="1" x14ac:dyDescent="0.2">
      <c r="A198" s="35" t="s">
        <v>21</v>
      </c>
      <c r="B198" s="35" t="s">
        <v>41</v>
      </c>
      <c r="C198" s="35" t="s">
        <v>42</v>
      </c>
      <c r="D198" s="35" t="s">
        <v>45</v>
      </c>
      <c r="E198" s="35" t="s">
        <v>25</v>
      </c>
      <c r="F198" s="35" t="s">
        <v>25</v>
      </c>
      <c r="G198" s="35" t="s">
        <v>25</v>
      </c>
      <c r="H198" s="35" t="s">
        <v>36</v>
      </c>
      <c r="I198" s="45">
        <v>44593</v>
      </c>
      <c r="J198" s="46">
        <f ca="1">EFEITO!$J$198*EFEITO!$Y$198</f>
        <v>121570.21914234436</v>
      </c>
      <c r="K198" s="46">
        <f ca="1">EFEITO!$L$198*EFEITO!$Z$198</f>
        <v>6581.6192676217715</v>
      </c>
      <c r="L198" s="46">
        <f>EFEITO!$N$198*EFEITO!$AA$198</f>
        <v>21041.692047984514</v>
      </c>
      <c r="M198" s="46">
        <f ca="1">$J$198-EFEITO!$K$198*EFEITO!$Y$198</f>
        <v>0</v>
      </c>
      <c r="N198" s="46">
        <f ca="1">$K$198-EFEITO!$M$198*EFEITO!$Z$198</f>
        <v>0</v>
      </c>
      <c r="O198" s="46">
        <f>$L$198-EFEITO!$O$198*EFEITO!$AA$198</f>
        <v>0</v>
      </c>
      <c r="P198" s="38"/>
      <c r="Q198" s="38"/>
      <c r="R198" s="38"/>
      <c r="S198" s="38"/>
      <c r="T198" s="38"/>
      <c r="U198" s="38"/>
      <c r="V198" s="38"/>
      <c r="W198" s="38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</row>
    <row r="199" spans="1:36" ht="11.25" customHeight="1" x14ac:dyDescent="0.2">
      <c r="A199" s="35" t="s">
        <v>28</v>
      </c>
      <c r="B199" s="35" t="s">
        <v>41</v>
      </c>
      <c r="C199" s="35" t="s">
        <v>42</v>
      </c>
      <c r="D199" s="35" t="s">
        <v>45</v>
      </c>
      <c r="E199" s="35" t="s">
        <v>25</v>
      </c>
      <c r="F199" s="35" t="s">
        <v>25</v>
      </c>
      <c r="G199" s="35" t="s">
        <v>25</v>
      </c>
      <c r="H199" s="35" t="s">
        <v>36</v>
      </c>
      <c r="I199" s="45">
        <v>44593</v>
      </c>
      <c r="J199" s="46">
        <f ca="1">EFEITO!$J$199*EFEITO!$Y$199</f>
        <v>2252.3431059257873</v>
      </c>
      <c r="K199" s="46">
        <f ca="1">EFEITO!$L$199*EFEITO!$Z$199</f>
        <v>115.58640597188329</v>
      </c>
      <c r="L199" s="46">
        <f>EFEITO!$N$199*EFEITO!$AA$199</f>
        <v>369.53422258235901</v>
      </c>
      <c r="M199" s="46">
        <f ca="1">$J$199-EFEITO!$K$199*EFEITO!$Y$199</f>
        <v>0</v>
      </c>
      <c r="N199" s="46">
        <f ca="1">$K$199-EFEITO!$M$199*EFEITO!$Z$199</f>
        <v>0</v>
      </c>
      <c r="O199" s="46">
        <f>$L$199-EFEITO!$O$199*EFEITO!$AA$199</f>
        <v>0</v>
      </c>
      <c r="P199" s="38"/>
      <c r="Q199" s="38"/>
      <c r="R199" s="38"/>
      <c r="S199" s="38"/>
      <c r="T199" s="38"/>
      <c r="U199" s="38"/>
      <c r="V199" s="38"/>
      <c r="W199" s="38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</row>
    <row r="200" spans="1:36" ht="11.25" customHeight="1" x14ac:dyDescent="0.2">
      <c r="A200" s="35" t="s">
        <v>21</v>
      </c>
      <c r="B200" s="35" t="s">
        <v>41</v>
      </c>
      <c r="C200" s="35" t="s">
        <v>42</v>
      </c>
      <c r="D200" s="35" t="s">
        <v>45</v>
      </c>
      <c r="E200" s="35" t="s">
        <v>25</v>
      </c>
      <c r="F200" s="35" t="s">
        <v>25</v>
      </c>
      <c r="G200" s="35" t="s">
        <v>25</v>
      </c>
      <c r="H200" s="35" t="s">
        <v>36</v>
      </c>
      <c r="I200" s="45">
        <v>44621</v>
      </c>
      <c r="J200" s="46">
        <f ca="1">EFEITO!$J$200*EFEITO!$Y$200</f>
        <v>121908.07060823323</v>
      </c>
      <c r="K200" s="46">
        <f ca="1">EFEITO!$L$200*EFEITO!$Z$200</f>
        <v>6847.5020307209797</v>
      </c>
      <c r="L200" s="46">
        <f>EFEITO!$N$200*EFEITO!$AA$200</f>
        <v>21891.729553119985</v>
      </c>
      <c r="M200" s="46">
        <f ca="1">$J$200-EFEITO!$K$200*EFEITO!$Y$200</f>
        <v>0</v>
      </c>
      <c r="N200" s="46">
        <f ca="1">$K$200-EFEITO!$M$200*EFEITO!$Z$200</f>
        <v>0</v>
      </c>
      <c r="O200" s="46">
        <f>$L$200-EFEITO!$O$200*EFEITO!$AA$200</f>
        <v>0</v>
      </c>
      <c r="P200" s="38"/>
      <c r="Q200" s="38"/>
      <c r="R200" s="38"/>
      <c r="S200" s="38"/>
      <c r="T200" s="38"/>
      <c r="U200" s="38"/>
      <c r="V200" s="38"/>
      <c r="W200" s="38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</row>
    <row r="201" spans="1:36" ht="11.25" customHeight="1" x14ac:dyDescent="0.2">
      <c r="A201" s="35" t="s">
        <v>28</v>
      </c>
      <c r="B201" s="35" t="s">
        <v>41</v>
      </c>
      <c r="C201" s="35" t="s">
        <v>42</v>
      </c>
      <c r="D201" s="35" t="s">
        <v>45</v>
      </c>
      <c r="E201" s="35" t="s">
        <v>25</v>
      </c>
      <c r="F201" s="35" t="s">
        <v>25</v>
      </c>
      <c r="G201" s="35" t="s">
        <v>25</v>
      </c>
      <c r="H201" s="35" t="s">
        <v>36</v>
      </c>
      <c r="I201" s="45">
        <v>44621</v>
      </c>
      <c r="J201" s="46">
        <f ca="1">EFEITO!$J$201*EFEITO!$Y$201</f>
        <v>2252.3431059257873</v>
      </c>
      <c r="K201" s="46">
        <f ca="1">EFEITO!$L$201*EFEITO!$Z$201</f>
        <v>86.434584249828333</v>
      </c>
      <c r="L201" s="46">
        <f>EFEITO!$N$201*EFEITO!$AA$201</f>
        <v>276.33471796639606</v>
      </c>
      <c r="M201" s="46">
        <f ca="1">$J$201-EFEITO!$K$201*EFEITO!$Y$201</f>
        <v>0</v>
      </c>
      <c r="N201" s="46">
        <f ca="1">$K$201-EFEITO!$M$201*EFEITO!$Z$201</f>
        <v>0</v>
      </c>
      <c r="O201" s="46">
        <f>$L$201-EFEITO!$O$201*EFEITO!$AA$201</f>
        <v>0</v>
      </c>
      <c r="P201" s="38"/>
      <c r="Q201" s="38"/>
      <c r="R201" s="38"/>
      <c r="S201" s="38"/>
      <c r="T201" s="38"/>
      <c r="U201" s="38"/>
      <c r="V201" s="38"/>
      <c r="W201" s="38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</row>
    <row r="202" spans="1:36" ht="11.25" customHeight="1" x14ac:dyDescent="0.2">
      <c r="A202" s="35" t="s">
        <v>21</v>
      </c>
      <c r="B202" s="35" t="s">
        <v>41</v>
      </c>
      <c r="C202" s="35" t="s">
        <v>42</v>
      </c>
      <c r="D202" s="35" t="s">
        <v>45</v>
      </c>
      <c r="E202" s="35" t="s">
        <v>25</v>
      </c>
      <c r="F202" s="35" t="s">
        <v>25</v>
      </c>
      <c r="G202" s="35" t="s">
        <v>25</v>
      </c>
      <c r="H202" s="35" t="s">
        <v>36</v>
      </c>
      <c r="I202" s="45">
        <v>44652</v>
      </c>
      <c r="J202" s="46">
        <f ca="1">EFEITO!$J$202*EFEITO!$Y$202</f>
        <v>122527.46496236282</v>
      </c>
      <c r="K202" s="46">
        <f ca="1">EFEITO!$L$202*EFEITO!$Z$202</f>
        <v>6323.10953336277</v>
      </c>
      <c r="L202" s="46">
        <f>EFEITO!$N$202*EFEITO!$AA$202</f>
        <v>20215.22640199315</v>
      </c>
      <c r="M202" s="46">
        <f ca="1">$J$202-EFEITO!$K$202*EFEITO!$Y$202</f>
        <v>0</v>
      </c>
      <c r="N202" s="46">
        <f ca="1">$K$202-EFEITO!$M$202*EFEITO!$Z$202</f>
        <v>0</v>
      </c>
      <c r="O202" s="46">
        <f>$L$202-EFEITO!$O$202*EFEITO!$AA$202</f>
        <v>0</v>
      </c>
      <c r="P202" s="38"/>
      <c r="Q202" s="38"/>
      <c r="R202" s="38"/>
      <c r="S202" s="38"/>
      <c r="T202" s="38"/>
      <c r="U202" s="38"/>
      <c r="V202" s="38"/>
      <c r="W202" s="38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</row>
    <row r="203" spans="1:36" ht="11.25" customHeight="1" x14ac:dyDescent="0.2">
      <c r="A203" s="35" t="s">
        <v>28</v>
      </c>
      <c r="B203" s="35" t="s">
        <v>41</v>
      </c>
      <c r="C203" s="35" t="s">
        <v>42</v>
      </c>
      <c r="D203" s="35" t="s">
        <v>45</v>
      </c>
      <c r="E203" s="35" t="s">
        <v>25</v>
      </c>
      <c r="F203" s="35" t="s">
        <v>25</v>
      </c>
      <c r="G203" s="35" t="s">
        <v>25</v>
      </c>
      <c r="H203" s="35" t="s">
        <v>36</v>
      </c>
      <c r="I203" s="45">
        <v>44652</v>
      </c>
      <c r="J203" s="46">
        <f ca="1">EFEITO!$J$203*EFEITO!$Y$203</f>
        <v>2252.3431059257873</v>
      </c>
      <c r="K203" s="46">
        <f ca="1">EFEITO!$L$203*EFEITO!$Z$203</f>
        <v>95.849374922709899</v>
      </c>
      <c r="L203" s="46">
        <f>EFEITO!$N$203*EFEITO!$AA$203</f>
        <v>306.4341688734969</v>
      </c>
      <c r="M203" s="46">
        <f ca="1">$J$203-EFEITO!$K$203*EFEITO!$Y$203</f>
        <v>0</v>
      </c>
      <c r="N203" s="46">
        <f ca="1">$K$203-EFEITO!$M$203*EFEITO!$Z$203</f>
        <v>0</v>
      </c>
      <c r="O203" s="46">
        <f>$L$203-EFEITO!$O$203*EFEITO!$AA$203</f>
        <v>0</v>
      </c>
      <c r="P203" s="38"/>
      <c r="Q203" s="38"/>
      <c r="R203" s="38"/>
      <c r="S203" s="38"/>
      <c r="T203" s="38"/>
      <c r="U203" s="38"/>
      <c r="V203" s="38"/>
      <c r="W203" s="38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</row>
    <row r="204" spans="1:36" ht="11.25" customHeight="1" x14ac:dyDescent="0.2">
      <c r="A204" s="35" t="s">
        <v>21</v>
      </c>
      <c r="B204" s="35" t="s">
        <v>41</v>
      </c>
      <c r="C204" s="35" t="s">
        <v>42</v>
      </c>
      <c r="D204" s="35" t="s">
        <v>45</v>
      </c>
      <c r="E204" s="35" t="s">
        <v>25</v>
      </c>
      <c r="F204" s="35" t="s">
        <v>25</v>
      </c>
      <c r="G204" s="35" t="s">
        <v>25</v>
      </c>
      <c r="H204" s="35" t="s">
        <v>36</v>
      </c>
      <c r="I204" s="45">
        <v>44682</v>
      </c>
      <c r="J204" s="46">
        <f ca="1">EFEITO!$J$204*EFEITO!$Y$204</f>
        <v>123259.4764717887</v>
      </c>
      <c r="K204" s="46">
        <f ca="1">EFEITO!$L$204*EFEITO!$Z$204</f>
        <v>7032.1680453649706</v>
      </c>
      <c r="L204" s="46">
        <f>EFEITO!$N$204*EFEITO!$AA$204</f>
        <v>22482.113963683361</v>
      </c>
      <c r="M204" s="46">
        <f ca="1">$J$204-EFEITO!$K$204*EFEITO!$Y$204</f>
        <v>0</v>
      </c>
      <c r="N204" s="46">
        <f ca="1">$K$204-EFEITO!$M$204*EFEITO!$Z$204</f>
        <v>0</v>
      </c>
      <c r="O204" s="46">
        <f>$L$204-EFEITO!$O$204*EFEITO!$AA$204</f>
        <v>0</v>
      </c>
      <c r="P204" s="38"/>
      <c r="Q204" s="38"/>
      <c r="R204" s="38"/>
      <c r="S204" s="38"/>
      <c r="T204" s="38"/>
      <c r="U204" s="38"/>
      <c r="V204" s="38"/>
      <c r="W204" s="38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</row>
    <row r="205" spans="1:36" ht="11.25" customHeight="1" x14ac:dyDescent="0.2">
      <c r="A205" s="35" t="s">
        <v>28</v>
      </c>
      <c r="B205" s="35" t="s">
        <v>41</v>
      </c>
      <c r="C205" s="35" t="s">
        <v>42</v>
      </c>
      <c r="D205" s="35" t="s">
        <v>45</v>
      </c>
      <c r="E205" s="35" t="s">
        <v>25</v>
      </c>
      <c r="F205" s="35" t="s">
        <v>25</v>
      </c>
      <c r="G205" s="35" t="s">
        <v>25</v>
      </c>
      <c r="H205" s="35" t="s">
        <v>36</v>
      </c>
      <c r="I205" s="45">
        <v>44682</v>
      </c>
      <c r="J205" s="46">
        <f ca="1">EFEITO!$J$205*EFEITO!$Y$205</f>
        <v>2252.3431059257873</v>
      </c>
      <c r="K205" s="46">
        <f ca="1">EFEITO!$L$205*EFEITO!$Z$205</f>
        <v>82.010766945703267</v>
      </c>
      <c r="L205" s="46">
        <f>EFEITO!$N$205*EFEITO!$AA$205</f>
        <v>262.19160247992693</v>
      </c>
      <c r="M205" s="46">
        <f ca="1">$J$205-EFEITO!$K$205*EFEITO!$Y$205</f>
        <v>0</v>
      </c>
      <c r="N205" s="46">
        <f ca="1">$K$205-EFEITO!$M$205*EFEITO!$Z$205</f>
        <v>0</v>
      </c>
      <c r="O205" s="46">
        <f>$L$205-EFEITO!$O$205*EFEITO!$AA$205</f>
        <v>0</v>
      </c>
      <c r="P205" s="38"/>
      <c r="Q205" s="38"/>
      <c r="R205" s="38"/>
      <c r="S205" s="38"/>
      <c r="T205" s="38"/>
      <c r="U205" s="38"/>
      <c r="V205" s="38"/>
      <c r="W205" s="38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</row>
    <row r="206" spans="1:36" ht="11.25" customHeight="1" x14ac:dyDescent="0.2">
      <c r="A206" s="35" t="s">
        <v>21</v>
      </c>
      <c r="B206" s="35" t="s">
        <v>41</v>
      </c>
      <c r="C206" s="35" t="s">
        <v>42</v>
      </c>
      <c r="D206" s="35" t="s">
        <v>45</v>
      </c>
      <c r="E206" s="35" t="s">
        <v>25</v>
      </c>
      <c r="F206" s="35" t="s">
        <v>25</v>
      </c>
      <c r="G206" s="35" t="s">
        <v>25</v>
      </c>
      <c r="H206" s="35" t="s">
        <v>36</v>
      </c>
      <c r="I206" s="45">
        <v>44713</v>
      </c>
      <c r="J206" s="46">
        <f ca="1">EFEITO!$J$206*EFEITO!$Y$206</f>
        <v>122245.92207412209</v>
      </c>
      <c r="K206" s="46">
        <f ca="1">EFEITO!$L$206*EFEITO!$Z$206</f>
        <v>6825.3829442003544</v>
      </c>
      <c r="L206" s="46">
        <f>EFEITO!$N$206*EFEITO!$AA$206</f>
        <v>21821.013975687642</v>
      </c>
      <c r="M206" s="46">
        <f ca="1">$J$206-EFEITO!$K$206*EFEITO!$Y$206</f>
        <v>0</v>
      </c>
      <c r="N206" s="46">
        <f ca="1">$K$206-EFEITO!$M$206*EFEITO!$Z$206</f>
        <v>0</v>
      </c>
      <c r="O206" s="46">
        <f>$L$206-EFEITO!$O$206*EFEITO!$AA$206</f>
        <v>0</v>
      </c>
      <c r="P206" s="38"/>
      <c r="Q206" s="38"/>
      <c r="R206" s="38"/>
      <c r="S206" s="38"/>
      <c r="T206" s="38"/>
      <c r="U206" s="38"/>
      <c r="V206" s="38"/>
      <c r="W206" s="38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</row>
    <row r="207" spans="1:36" ht="11.25" customHeight="1" x14ac:dyDescent="0.2">
      <c r="A207" s="35" t="s">
        <v>28</v>
      </c>
      <c r="B207" s="35" t="s">
        <v>41</v>
      </c>
      <c r="C207" s="35" t="s">
        <v>42</v>
      </c>
      <c r="D207" s="35" t="s">
        <v>45</v>
      </c>
      <c r="E207" s="35" t="s">
        <v>25</v>
      </c>
      <c r="F207" s="35" t="s">
        <v>25</v>
      </c>
      <c r="G207" s="35" t="s">
        <v>25</v>
      </c>
      <c r="H207" s="35" t="s">
        <v>36</v>
      </c>
      <c r="I207" s="45">
        <v>44713</v>
      </c>
      <c r="J207" s="46">
        <f ca="1">EFEITO!$J$207*EFEITO!$Y$207</f>
        <v>2252.3431059257873</v>
      </c>
      <c r="K207" s="46">
        <f ca="1">EFEITO!$L$207*EFEITO!$Z$207</f>
        <v>92.106144896142538</v>
      </c>
      <c r="L207" s="46">
        <f>EFEITO!$N$207*EFEITO!$AA$207</f>
        <v>294.46691730802308</v>
      </c>
      <c r="M207" s="46">
        <f ca="1">$J$207-EFEITO!$K$207*EFEITO!$Y$207</f>
        <v>0</v>
      </c>
      <c r="N207" s="46">
        <f ca="1">$K$207-EFEITO!$M$207*EFEITO!$Z$207</f>
        <v>0</v>
      </c>
      <c r="O207" s="46">
        <f>$L$207-EFEITO!$O$207*EFEITO!$AA$207</f>
        <v>0</v>
      </c>
      <c r="P207" s="38"/>
      <c r="Q207" s="38"/>
      <c r="R207" s="38"/>
      <c r="S207" s="38"/>
      <c r="T207" s="38"/>
      <c r="U207" s="38"/>
      <c r="V207" s="38"/>
      <c r="W207" s="38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</row>
    <row r="208" spans="1:36" ht="11.25" customHeight="1" x14ac:dyDescent="0.2">
      <c r="A208" s="35" t="s">
        <v>21</v>
      </c>
      <c r="B208" s="35" t="s">
        <v>41</v>
      </c>
      <c r="C208" s="35" t="s">
        <v>42</v>
      </c>
      <c r="D208" s="35" t="s">
        <v>45</v>
      </c>
      <c r="E208" s="35" t="s">
        <v>25</v>
      </c>
      <c r="F208" s="35" t="s">
        <v>25</v>
      </c>
      <c r="G208" s="35" t="s">
        <v>25</v>
      </c>
      <c r="H208" s="35" t="s">
        <v>36</v>
      </c>
      <c r="I208" s="45">
        <v>44743</v>
      </c>
      <c r="J208" s="46">
        <f ca="1">EFEITO!$J$208*EFEITO!$Y$208</f>
        <v>122358.53922941838</v>
      </c>
      <c r="K208" s="46">
        <f ca="1">EFEITO!$L$208*EFEITO!$Z$208</f>
        <v>7108.5072516643595</v>
      </c>
      <c r="L208" s="46">
        <f>EFEITO!$N$208*EFEITO!$AA$208</f>
        <v>22726.173366821662</v>
      </c>
      <c r="M208" s="46">
        <f ca="1">$J$208-EFEITO!$K$208*EFEITO!$Y$208</f>
        <v>0</v>
      </c>
      <c r="N208" s="46">
        <f ca="1">$K$208-EFEITO!$M$208*EFEITO!$Z$208</f>
        <v>0</v>
      </c>
      <c r="O208" s="46">
        <f>$L$208-EFEITO!$O$208*EFEITO!$AA$208</f>
        <v>0</v>
      </c>
      <c r="P208" s="38"/>
      <c r="Q208" s="38"/>
      <c r="R208" s="38"/>
      <c r="S208" s="38"/>
      <c r="T208" s="38"/>
      <c r="U208" s="38"/>
      <c r="V208" s="38"/>
      <c r="W208" s="38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</row>
    <row r="209" spans="1:36" ht="11.25" customHeight="1" x14ac:dyDescent="0.2">
      <c r="A209" s="35" t="s">
        <v>28</v>
      </c>
      <c r="B209" s="35" t="s">
        <v>41</v>
      </c>
      <c r="C209" s="35" t="s">
        <v>42</v>
      </c>
      <c r="D209" s="35" t="s">
        <v>45</v>
      </c>
      <c r="E209" s="35" t="s">
        <v>25</v>
      </c>
      <c r="F209" s="35" t="s">
        <v>25</v>
      </c>
      <c r="G209" s="35" t="s">
        <v>25</v>
      </c>
      <c r="H209" s="35" t="s">
        <v>36</v>
      </c>
      <c r="I209" s="45">
        <v>44743</v>
      </c>
      <c r="J209" s="46">
        <f ca="1">EFEITO!$J$209*EFEITO!$Y$209</f>
        <v>2252.3431059257873</v>
      </c>
      <c r="K209" s="46">
        <f ca="1">EFEITO!$L$209*EFEITO!$Z$209</f>
        <v>93.467319451257936</v>
      </c>
      <c r="L209" s="46">
        <f>EFEITO!$N$209*EFEITO!$AA$209</f>
        <v>298.81864515001354</v>
      </c>
      <c r="M209" s="46">
        <f ca="1">$J$209-EFEITO!$K$209*EFEITO!$Y$209</f>
        <v>0</v>
      </c>
      <c r="N209" s="46">
        <f ca="1">$K$209-EFEITO!$M$209*EFEITO!$Z$209</f>
        <v>0</v>
      </c>
      <c r="O209" s="46">
        <f>$L$209-EFEITO!$O$209*EFEITO!$AA$209</f>
        <v>0</v>
      </c>
      <c r="P209" s="38"/>
      <c r="Q209" s="38"/>
      <c r="R209" s="38"/>
      <c r="S209" s="38"/>
      <c r="T209" s="38"/>
      <c r="U209" s="38"/>
      <c r="V209" s="38"/>
      <c r="W209" s="38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</row>
    <row r="210" spans="1:36" ht="11.25" customHeight="1" x14ac:dyDescent="0.2">
      <c r="A210" s="35" t="s">
        <v>21</v>
      </c>
      <c r="B210" s="35" t="s">
        <v>41</v>
      </c>
      <c r="C210" s="35" t="s">
        <v>42</v>
      </c>
      <c r="D210" s="35" t="s">
        <v>45</v>
      </c>
      <c r="E210" s="35" t="s">
        <v>25</v>
      </c>
      <c r="F210" s="35" t="s">
        <v>25</v>
      </c>
      <c r="G210" s="35" t="s">
        <v>25</v>
      </c>
      <c r="H210" s="35" t="s">
        <v>36</v>
      </c>
      <c r="I210" s="45">
        <v>44774</v>
      </c>
      <c r="J210" s="46">
        <f ca="1">EFEITO!$J$210*EFEITO!$Y$210</f>
        <v>122696.39069530726</v>
      </c>
      <c r="K210" s="46">
        <f ca="1">EFEITO!$L$210*EFEITO!$Z$210</f>
        <v>7569.945425848483</v>
      </c>
      <c r="L210" s="46">
        <f>EFEITO!$N$210*EFEITO!$AA$210</f>
        <v>24201.40910525644</v>
      </c>
      <c r="M210" s="46">
        <f ca="1">$J$210-EFEITO!$K$210*EFEITO!$Y$210</f>
        <v>0</v>
      </c>
      <c r="N210" s="46">
        <f ca="1">$K$210-EFEITO!$M$210*EFEITO!$Z$210</f>
        <v>0</v>
      </c>
      <c r="O210" s="46">
        <f>$L$210-EFEITO!$O$210*EFEITO!$AA$210</f>
        <v>0</v>
      </c>
      <c r="P210" s="38"/>
      <c r="Q210" s="38"/>
      <c r="R210" s="38"/>
      <c r="S210" s="38"/>
      <c r="T210" s="38"/>
      <c r="U210" s="38"/>
      <c r="V210" s="38"/>
      <c r="W210" s="38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</row>
    <row r="211" spans="1:36" ht="11.25" customHeight="1" x14ac:dyDescent="0.2">
      <c r="A211" s="35" t="s">
        <v>28</v>
      </c>
      <c r="B211" s="35" t="s">
        <v>41</v>
      </c>
      <c r="C211" s="35" t="s">
        <v>42</v>
      </c>
      <c r="D211" s="35" t="s">
        <v>45</v>
      </c>
      <c r="E211" s="35" t="s">
        <v>25</v>
      </c>
      <c r="F211" s="35" t="s">
        <v>25</v>
      </c>
      <c r="G211" s="35" t="s">
        <v>25</v>
      </c>
      <c r="H211" s="35" t="s">
        <v>36</v>
      </c>
      <c r="I211" s="45">
        <v>44774</v>
      </c>
      <c r="J211" s="46">
        <f ca="1">EFEITO!$J$211*EFEITO!$Y$211</f>
        <v>2252.3431059257873</v>
      </c>
      <c r="K211" s="46">
        <f ca="1">EFEITO!$L$211*EFEITO!$Z$211</f>
        <v>95.395650071004766</v>
      </c>
      <c r="L211" s="46">
        <f>EFEITO!$N$211*EFEITO!$AA$211</f>
        <v>304.98359292616675</v>
      </c>
      <c r="M211" s="46">
        <f ca="1">$J$211-EFEITO!$K$211*EFEITO!$Y$211</f>
        <v>0</v>
      </c>
      <c r="N211" s="46">
        <f ca="1">$K$211-EFEITO!$M$211*EFEITO!$Z$211</f>
        <v>0</v>
      </c>
      <c r="O211" s="46">
        <f>$L$211-EFEITO!$O$211*EFEITO!$AA$211</f>
        <v>0</v>
      </c>
      <c r="P211" s="38"/>
      <c r="Q211" s="38"/>
      <c r="R211" s="38"/>
      <c r="S211" s="38"/>
      <c r="T211" s="38"/>
      <c r="U211" s="38"/>
      <c r="V211" s="38"/>
      <c r="W211" s="38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</row>
    <row r="212" spans="1:36" ht="11.25" customHeight="1" x14ac:dyDescent="0.2">
      <c r="A212" s="35" t="s">
        <v>21</v>
      </c>
      <c r="B212" s="35" t="s">
        <v>41</v>
      </c>
      <c r="C212" s="35" t="s">
        <v>42</v>
      </c>
      <c r="D212" s="35" t="s">
        <v>45</v>
      </c>
      <c r="E212" s="35" t="s">
        <v>25</v>
      </c>
      <c r="F212" s="35" t="s">
        <v>25</v>
      </c>
      <c r="G212" s="35" t="s">
        <v>25</v>
      </c>
      <c r="H212" s="35" t="s">
        <v>36</v>
      </c>
      <c r="I212" s="45">
        <v>44805</v>
      </c>
      <c r="J212" s="46">
        <f ca="1">EFEITO!$J$212*EFEITO!$Y$212</f>
        <v>112729.77245158564</v>
      </c>
      <c r="K212" s="46">
        <f ca="1">EFEITO!$L$212*EFEITO!$Z$212</f>
        <v>6722.9545589279205</v>
      </c>
      <c r="L212" s="46">
        <f>EFEITO!$N$212*EFEITO!$AA$212</f>
        <v>21493.546455577856</v>
      </c>
      <c r="M212" s="46">
        <f ca="1">$J$212-EFEITO!$K$212*EFEITO!$Y$212</f>
        <v>0</v>
      </c>
      <c r="N212" s="46">
        <f ca="1">$K$212-EFEITO!$M$212*EFEITO!$Z$212</f>
        <v>0</v>
      </c>
      <c r="O212" s="46">
        <f>$L$212-EFEITO!$O$212*EFEITO!$AA$212</f>
        <v>0</v>
      </c>
      <c r="P212" s="38"/>
      <c r="Q212" s="38"/>
      <c r="R212" s="38"/>
      <c r="S212" s="38"/>
      <c r="T212" s="38"/>
      <c r="U212" s="38"/>
      <c r="V212" s="38"/>
      <c r="W212" s="38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</row>
    <row r="213" spans="1:36" ht="11.25" customHeight="1" x14ac:dyDescent="0.2">
      <c r="A213" s="35" t="s">
        <v>28</v>
      </c>
      <c r="B213" s="35" t="s">
        <v>41</v>
      </c>
      <c r="C213" s="35" t="s">
        <v>42</v>
      </c>
      <c r="D213" s="35" t="s">
        <v>45</v>
      </c>
      <c r="E213" s="35" t="s">
        <v>25</v>
      </c>
      <c r="F213" s="35" t="s">
        <v>25</v>
      </c>
      <c r="G213" s="35" t="s">
        <v>25</v>
      </c>
      <c r="H213" s="35" t="s">
        <v>36</v>
      </c>
      <c r="I213" s="45">
        <v>44805</v>
      </c>
      <c r="J213" s="46">
        <f ca="1">EFEITO!$J$213*EFEITO!$Y$213</f>
        <v>2252.3431059257873</v>
      </c>
      <c r="K213" s="46">
        <f ca="1">EFEITO!$L$213*EFEITO!$Z$213</f>
        <v>99.3657425234247</v>
      </c>
      <c r="L213" s="46">
        <f>EFEITO!$N$213*EFEITO!$AA$213</f>
        <v>317.67613246530567</v>
      </c>
      <c r="M213" s="46">
        <f ca="1">$J$213-EFEITO!$K$213*EFEITO!$Y$213</f>
        <v>0</v>
      </c>
      <c r="N213" s="46">
        <f ca="1">$K$213-EFEITO!$M$213*EFEITO!$Z$213</f>
        <v>0</v>
      </c>
      <c r="O213" s="46">
        <f>$L$213-EFEITO!$O$213*EFEITO!$AA$213</f>
        <v>0</v>
      </c>
      <c r="P213" s="38"/>
      <c r="Q213" s="38"/>
      <c r="R213" s="38"/>
      <c r="S213" s="38"/>
      <c r="T213" s="38"/>
      <c r="U213" s="38"/>
      <c r="V213" s="38"/>
      <c r="W213" s="38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</row>
    <row r="214" spans="1:36" ht="11.25" customHeight="1" x14ac:dyDescent="0.2">
      <c r="A214" s="35" t="s">
        <v>21</v>
      </c>
      <c r="B214" s="35" t="s">
        <v>41</v>
      </c>
      <c r="C214" s="35" t="s">
        <v>42</v>
      </c>
      <c r="D214" s="35" t="s">
        <v>45</v>
      </c>
      <c r="E214" s="35" t="s">
        <v>25</v>
      </c>
      <c r="F214" s="35" t="s">
        <v>25</v>
      </c>
      <c r="G214" s="35" t="s">
        <v>25</v>
      </c>
      <c r="H214" s="35" t="s">
        <v>36</v>
      </c>
      <c r="I214" s="45">
        <v>44835</v>
      </c>
      <c r="J214" s="46">
        <f ca="1">EFEITO!$J$214*EFEITO!$Y$214</f>
        <v>113630.70969395596</v>
      </c>
      <c r="K214" s="46">
        <f ca="1">EFEITO!$L$214*EFEITO!$Z$214</f>
        <v>6839.9021394549191</v>
      </c>
      <c r="L214" s="46">
        <f>EFEITO!$N$214*EFEITO!$AA$214</f>
        <v>21867.432406002205</v>
      </c>
      <c r="M214" s="46">
        <f ca="1">$J$214-EFEITO!$K$214*EFEITO!$Y$214</f>
        <v>0</v>
      </c>
      <c r="N214" s="46">
        <f ca="1">$K$214-EFEITO!$M$214*EFEITO!$Z$214</f>
        <v>0</v>
      </c>
      <c r="O214" s="46">
        <f>$L$214-EFEITO!$O$214*EFEITO!$AA$214</f>
        <v>0</v>
      </c>
      <c r="P214" s="38"/>
      <c r="Q214" s="38"/>
      <c r="R214" s="38"/>
      <c r="S214" s="38"/>
      <c r="T214" s="38"/>
      <c r="U214" s="38"/>
      <c r="V214" s="38"/>
      <c r="W214" s="38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</row>
    <row r="215" spans="1:36" ht="11.25" customHeight="1" x14ac:dyDescent="0.2">
      <c r="A215" s="35" t="s">
        <v>27</v>
      </c>
      <c r="B215" s="35" t="s">
        <v>41</v>
      </c>
      <c r="C215" s="35" t="s">
        <v>42</v>
      </c>
      <c r="D215" s="35" t="s">
        <v>45</v>
      </c>
      <c r="E215" s="35" t="s">
        <v>25</v>
      </c>
      <c r="F215" s="35" t="s">
        <v>25</v>
      </c>
      <c r="G215" s="35" t="s">
        <v>25</v>
      </c>
      <c r="H215" s="35" t="s">
        <v>36</v>
      </c>
      <c r="I215" s="45">
        <v>44835</v>
      </c>
      <c r="J215" s="46">
        <f ca="1">EFEITO!$J$215*EFEITO!$Y$215</f>
        <v>0</v>
      </c>
      <c r="K215" s="46">
        <f ca="1">EFEITO!$L$215*EFEITO!$Z$215</f>
        <v>-28.584665657423546</v>
      </c>
      <c r="L215" s="46">
        <f>EFEITO!$N$215*EFEITO!$AA$215</f>
        <v>-91.386284681800262</v>
      </c>
      <c r="M215" s="46">
        <f ca="1">$J$215-EFEITO!$K$215*EFEITO!$Y$215</f>
        <v>0</v>
      </c>
      <c r="N215" s="46">
        <f ca="1">$K$215-EFEITO!$M$215*EFEITO!$Z$215</f>
        <v>0</v>
      </c>
      <c r="O215" s="46">
        <f>$L$215-EFEITO!$O$215*EFEITO!$AA$215</f>
        <v>0</v>
      </c>
      <c r="P215" s="38"/>
      <c r="Q215" s="38"/>
      <c r="R215" s="38"/>
      <c r="S215" s="38"/>
      <c r="T215" s="38"/>
      <c r="U215" s="38"/>
      <c r="V215" s="38"/>
      <c r="W215" s="38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</row>
    <row r="216" spans="1:36" ht="11.25" customHeight="1" x14ac:dyDescent="0.2">
      <c r="A216" s="35" t="s">
        <v>28</v>
      </c>
      <c r="B216" s="35" t="s">
        <v>41</v>
      </c>
      <c r="C216" s="35" t="s">
        <v>42</v>
      </c>
      <c r="D216" s="35" t="s">
        <v>45</v>
      </c>
      <c r="E216" s="35" t="s">
        <v>25</v>
      </c>
      <c r="F216" s="35" t="s">
        <v>25</v>
      </c>
      <c r="G216" s="35" t="s">
        <v>25</v>
      </c>
      <c r="H216" s="35" t="s">
        <v>36</v>
      </c>
      <c r="I216" s="45">
        <v>44835</v>
      </c>
      <c r="J216" s="46">
        <f ca="1">EFEITO!$J$216*EFEITO!$Y$216</f>
        <v>2252.3431059257873</v>
      </c>
      <c r="K216" s="46">
        <f ca="1">EFEITO!$L$216*EFEITO!$Z$216</f>
        <v>98.231430394161862</v>
      </c>
      <c r="L216" s="46">
        <f>EFEITO!$N$216*EFEITO!$AA$216</f>
        <v>314.04969259698026</v>
      </c>
      <c r="M216" s="46">
        <f ca="1">$J$216-EFEITO!$K$216*EFEITO!$Y$216</f>
        <v>0</v>
      </c>
      <c r="N216" s="46">
        <f ca="1">$K$216-EFEITO!$M$216*EFEITO!$Z$216</f>
        <v>0</v>
      </c>
      <c r="O216" s="46">
        <f>$L$216-EFEITO!$O$216*EFEITO!$AA$216</f>
        <v>0</v>
      </c>
      <c r="P216" s="38"/>
      <c r="Q216" s="38"/>
      <c r="R216" s="38"/>
      <c r="S216" s="38"/>
      <c r="T216" s="38"/>
      <c r="U216" s="38"/>
      <c r="V216" s="38"/>
      <c r="W216" s="38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</row>
    <row r="217" spans="1:36" ht="11.25" customHeight="1" x14ac:dyDescent="0.2">
      <c r="A217" s="35" t="s">
        <v>59</v>
      </c>
      <c r="B217" s="35" t="s">
        <v>41</v>
      </c>
      <c r="C217" s="35" t="s">
        <v>42</v>
      </c>
      <c r="D217" s="35" t="s">
        <v>45</v>
      </c>
      <c r="E217" s="35" t="s">
        <v>25</v>
      </c>
      <c r="F217" s="35" t="s">
        <v>25</v>
      </c>
      <c r="G217" s="35" t="s">
        <v>25</v>
      </c>
      <c r="H217" s="35" t="s">
        <v>36</v>
      </c>
      <c r="I217" s="45">
        <v>44866</v>
      </c>
      <c r="J217" s="46">
        <f ca="1">EFEITO!$J$217*EFEITO!$Y$217</f>
        <v>113630.70969395596</v>
      </c>
      <c r="K217" s="46">
        <f ca="1">EFEITO!$L$217*EFEITO!$Z$217</f>
        <v>6839.9021394549191</v>
      </c>
      <c r="L217" s="46">
        <f>EFEITO!$N$217*EFEITO!$AA$217</f>
        <v>21867.432406002205</v>
      </c>
      <c r="M217" s="46">
        <f ca="1">$J$217-EFEITO!$K$217*EFEITO!$Y$217</f>
        <v>0</v>
      </c>
      <c r="N217" s="46">
        <f ca="1">$K$217-EFEITO!$M$217*EFEITO!$Z$217</f>
        <v>0</v>
      </c>
      <c r="O217" s="46">
        <f>$L$217-EFEITO!$O$217*EFEITO!$AA$217</f>
        <v>0</v>
      </c>
      <c r="P217" s="38"/>
      <c r="Q217" s="38"/>
      <c r="R217" s="38"/>
      <c r="S217" s="38"/>
      <c r="T217" s="38"/>
      <c r="U217" s="38"/>
      <c r="V217" s="38"/>
      <c r="W217" s="38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</row>
    <row r="218" spans="1:36" ht="11.25" customHeight="1" x14ac:dyDescent="0.2">
      <c r="A218" s="35" t="s">
        <v>59</v>
      </c>
      <c r="B218" s="35" t="s">
        <v>41</v>
      </c>
      <c r="C218" s="35" t="s">
        <v>42</v>
      </c>
      <c r="D218" s="35" t="s">
        <v>45</v>
      </c>
      <c r="E218" s="35" t="s">
        <v>25</v>
      </c>
      <c r="F218" s="35" t="s">
        <v>25</v>
      </c>
      <c r="G218" s="35" t="s">
        <v>25</v>
      </c>
      <c r="H218" s="35" t="s">
        <v>36</v>
      </c>
      <c r="I218" s="45">
        <v>44866</v>
      </c>
      <c r="J218" s="46">
        <f ca="1">EFEITO!$J$218*EFEITO!$Y$218</f>
        <v>0</v>
      </c>
      <c r="K218" s="46">
        <f ca="1">EFEITO!$L$218*EFEITO!$Z$218</f>
        <v>-28.584665657423546</v>
      </c>
      <c r="L218" s="46">
        <f>EFEITO!$N$218*EFEITO!$AA$218</f>
        <v>-91.386284681800262</v>
      </c>
      <c r="M218" s="46">
        <f ca="1">$J$218-EFEITO!$K$218*EFEITO!$Y$218</f>
        <v>0</v>
      </c>
      <c r="N218" s="46">
        <f ca="1">$K$218-EFEITO!$M$218*EFEITO!$Z$218</f>
        <v>0</v>
      </c>
      <c r="O218" s="46">
        <f>$L$218-EFEITO!$O$218*EFEITO!$AA$218</f>
        <v>0</v>
      </c>
      <c r="P218" s="38"/>
      <c r="Q218" s="38"/>
      <c r="R218" s="38"/>
      <c r="S218" s="38"/>
      <c r="T218" s="38"/>
      <c r="U218" s="38"/>
      <c r="V218" s="38"/>
      <c r="W218" s="38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</row>
    <row r="219" spans="1:36" ht="11.25" customHeight="1" x14ac:dyDescent="0.2">
      <c r="A219" s="35" t="s">
        <v>59</v>
      </c>
      <c r="B219" s="35" t="s">
        <v>41</v>
      </c>
      <c r="C219" s="35" t="s">
        <v>42</v>
      </c>
      <c r="D219" s="35" t="s">
        <v>45</v>
      </c>
      <c r="E219" s="35" t="s">
        <v>25</v>
      </c>
      <c r="F219" s="35" t="s">
        <v>25</v>
      </c>
      <c r="G219" s="35" t="s">
        <v>25</v>
      </c>
      <c r="H219" s="35" t="s">
        <v>36</v>
      </c>
      <c r="I219" s="45">
        <v>44866</v>
      </c>
      <c r="J219" s="46">
        <f ca="1">EFEITO!$J$219*EFEITO!$Y$219</f>
        <v>2252.3431059257873</v>
      </c>
      <c r="K219" s="46">
        <f ca="1">EFEITO!$L$219*EFEITO!$Z$219</f>
        <v>98.231430394161862</v>
      </c>
      <c r="L219" s="46">
        <f>EFEITO!$N$219*EFEITO!$AA$219</f>
        <v>314.04969259698026</v>
      </c>
      <c r="M219" s="46">
        <f ca="1">$J$219-EFEITO!$K$219*EFEITO!$Y$219</f>
        <v>0</v>
      </c>
      <c r="N219" s="46">
        <f ca="1">$K$219-EFEITO!$M$219*EFEITO!$Z$219</f>
        <v>0</v>
      </c>
      <c r="O219" s="46">
        <f>$L$219-EFEITO!$O$219*EFEITO!$AA$219</f>
        <v>0</v>
      </c>
      <c r="P219" s="38"/>
      <c r="Q219" s="38"/>
      <c r="R219" s="38"/>
      <c r="S219" s="38"/>
      <c r="T219" s="38"/>
      <c r="U219" s="38"/>
      <c r="V219" s="38"/>
      <c r="W219" s="38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</row>
    <row r="220" spans="1:36" ht="11.25" customHeight="1" x14ac:dyDescent="0.2">
      <c r="A220" s="35" t="s">
        <v>21</v>
      </c>
      <c r="B220" s="35" t="s">
        <v>41</v>
      </c>
      <c r="C220" s="35" t="s">
        <v>42</v>
      </c>
      <c r="D220" s="35" t="s">
        <v>40</v>
      </c>
      <c r="E220" s="35" t="s">
        <v>25</v>
      </c>
      <c r="F220" s="35" t="s">
        <v>60</v>
      </c>
      <c r="G220" s="35" t="s">
        <v>25</v>
      </c>
      <c r="H220" s="35" t="s">
        <v>37</v>
      </c>
      <c r="I220" s="45">
        <v>44531</v>
      </c>
      <c r="J220" s="46">
        <f ca="1">EFEITO!$J$220*EFEITO!$Y$220</f>
        <v>100148.7112162368</v>
      </c>
      <c r="K220" s="46">
        <f ca="1">EFEITO!$L$220*EFEITO!$Z$220</f>
        <v>0</v>
      </c>
      <c r="L220" s="46">
        <f>EFEITO!$N$220*EFEITO!$AA$220</f>
        <v>0</v>
      </c>
      <c r="M220" s="46">
        <f ca="1">$J$220-EFEITO!$K$220*EFEITO!$Y$220</f>
        <v>55522.445498281682</v>
      </c>
      <c r="N220" s="46">
        <f ca="1">$K$220-EFEITO!$M$220*EFEITO!$Z$220</f>
        <v>0</v>
      </c>
      <c r="O220" s="46">
        <f>$L$220-EFEITO!$O$220*EFEITO!$AA$220</f>
        <v>0</v>
      </c>
      <c r="P220" s="38"/>
      <c r="Q220" s="38"/>
      <c r="R220" s="38"/>
      <c r="S220" s="38"/>
      <c r="T220" s="38"/>
      <c r="U220" s="38"/>
      <c r="V220" s="38"/>
      <c r="W220" s="38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</row>
    <row r="221" spans="1:36" ht="11.25" customHeight="1" x14ac:dyDescent="0.2">
      <c r="A221" s="35" t="s">
        <v>21</v>
      </c>
      <c r="B221" s="35" t="s">
        <v>41</v>
      </c>
      <c r="C221" s="35" t="s">
        <v>42</v>
      </c>
      <c r="D221" s="35" t="s">
        <v>40</v>
      </c>
      <c r="E221" s="35" t="s">
        <v>25</v>
      </c>
      <c r="F221" s="35" t="s">
        <v>60</v>
      </c>
      <c r="G221" s="35" t="s">
        <v>25</v>
      </c>
      <c r="H221" s="35" t="s">
        <v>37</v>
      </c>
      <c r="I221" s="45">
        <v>44562</v>
      </c>
      <c r="J221" s="46">
        <f ca="1">EFEITO!$J$221*EFEITO!$Y$221</f>
        <v>100272.40250221816</v>
      </c>
      <c r="K221" s="46">
        <f ca="1">EFEITO!$L$221*EFEITO!$Z$221</f>
        <v>0</v>
      </c>
      <c r="L221" s="46">
        <f>EFEITO!$N$221*EFEITO!$AA$221</f>
        <v>0</v>
      </c>
      <c r="M221" s="46">
        <f ca="1">$J$221-EFEITO!$K$221*EFEITO!$Y$221</f>
        <v>53234.618488427623</v>
      </c>
      <c r="N221" s="46">
        <f ca="1">$K$221-EFEITO!$M$221*EFEITO!$Z$221</f>
        <v>0</v>
      </c>
      <c r="O221" s="46">
        <f>$L$221-EFEITO!$O$221*EFEITO!$AA$221</f>
        <v>0</v>
      </c>
      <c r="P221" s="38"/>
      <c r="Q221" s="38"/>
      <c r="R221" s="38"/>
      <c r="S221" s="38"/>
      <c r="T221" s="38"/>
      <c r="U221" s="38"/>
      <c r="V221" s="38"/>
      <c r="W221" s="38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</row>
    <row r="222" spans="1:36" ht="11.25" customHeight="1" x14ac:dyDescent="0.2">
      <c r="A222" s="35" t="s">
        <v>21</v>
      </c>
      <c r="B222" s="35" t="s">
        <v>41</v>
      </c>
      <c r="C222" s="35" t="s">
        <v>42</v>
      </c>
      <c r="D222" s="35" t="s">
        <v>40</v>
      </c>
      <c r="E222" s="35" t="s">
        <v>25</v>
      </c>
      <c r="F222" s="35" t="s">
        <v>60</v>
      </c>
      <c r="G222" s="35" t="s">
        <v>25</v>
      </c>
      <c r="H222" s="35" t="s">
        <v>37</v>
      </c>
      <c r="I222" s="45">
        <v>44593</v>
      </c>
      <c r="J222" s="46">
        <f ca="1">EFEITO!$J$222*EFEITO!$Y$222</f>
        <v>100107.48078757635</v>
      </c>
      <c r="K222" s="46">
        <f ca="1">EFEITO!$L$222*EFEITO!$Z$222</f>
        <v>0</v>
      </c>
      <c r="L222" s="46">
        <f>EFEITO!$N$222*EFEITO!$AA$222</f>
        <v>0</v>
      </c>
      <c r="M222" s="46">
        <f ca="1">$J$222-EFEITO!$K$222*EFEITO!$Y$222</f>
        <v>49673.331966795384</v>
      </c>
      <c r="N222" s="46">
        <f ca="1">$K$222-EFEITO!$M$222*EFEITO!$Z$222</f>
        <v>0</v>
      </c>
      <c r="O222" s="46">
        <f>$L$222-EFEITO!$O$222*EFEITO!$AA$222</f>
        <v>0</v>
      </c>
      <c r="P222" s="38"/>
      <c r="Q222" s="38"/>
      <c r="R222" s="38"/>
      <c r="S222" s="38"/>
      <c r="T222" s="38"/>
      <c r="U222" s="38"/>
      <c r="V222" s="38"/>
      <c r="W222" s="38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</row>
    <row r="223" spans="1:36" ht="11.25" customHeight="1" x14ac:dyDescent="0.2">
      <c r="A223" s="35" t="s">
        <v>21</v>
      </c>
      <c r="B223" s="35" t="s">
        <v>41</v>
      </c>
      <c r="C223" s="35" t="s">
        <v>42</v>
      </c>
      <c r="D223" s="35" t="s">
        <v>40</v>
      </c>
      <c r="E223" s="35" t="s">
        <v>25</v>
      </c>
      <c r="F223" s="35" t="s">
        <v>60</v>
      </c>
      <c r="G223" s="35" t="s">
        <v>25</v>
      </c>
      <c r="H223" s="35" t="s">
        <v>37</v>
      </c>
      <c r="I223" s="45">
        <v>44621</v>
      </c>
      <c r="J223" s="46">
        <f ca="1">EFEITO!$J$223*EFEITO!$Y$223</f>
        <v>99901.328644274094</v>
      </c>
      <c r="K223" s="46">
        <f ca="1">EFEITO!$L$223*EFEITO!$Z$223</f>
        <v>0</v>
      </c>
      <c r="L223" s="46">
        <f>EFEITO!$N$223*EFEITO!$AA$223</f>
        <v>0</v>
      </c>
      <c r="M223" s="46">
        <f ca="1">$J$223-EFEITO!$K$223*EFEITO!$Y$223</f>
        <v>49840.772860628349</v>
      </c>
      <c r="N223" s="46">
        <f ca="1">$K$223-EFEITO!$M$223*EFEITO!$Z$223</f>
        <v>0</v>
      </c>
      <c r="O223" s="46">
        <f>$L$223-EFEITO!$O$223*EFEITO!$AA$223</f>
        <v>0</v>
      </c>
      <c r="P223" s="38"/>
      <c r="Q223" s="38"/>
      <c r="R223" s="38"/>
      <c r="S223" s="38"/>
      <c r="T223" s="38"/>
      <c r="U223" s="38"/>
      <c r="V223" s="38"/>
      <c r="W223" s="38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</row>
    <row r="224" spans="1:36" ht="11.25" customHeight="1" x14ac:dyDescent="0.2">
      <c r="A224" s="35" t="s">
        <v>21</v>
      </c>
      <c r="B224" s="35" t="s">
        <v>41</v>
      </c>
      <c r="C224" s="35" t="s">
        <v>42</v>
      </c>
      <c r="D224" s="35" t="s">
        <v>40</v>
      </c>
      <c r="E224" s="35" t="s">
        <v>25</v>
      </c>
      <c r="F224" s="35" t="s">
        <v>60</v>
      </c>
      <c r="G224" s="35" t="s">
        <v>25</v>
      </c>
      <c r="H224" s="35" t="s">
        <v>37</v>
      </c>
      <c r="I224" s="45">
        <v>44652</v>
      </c>
      <c r="J224" s="46">
        <f ca="1">EFEITO!$J$224*EFEITO!$Y$224</f>
        <v>99901.328644274094</v>
      </c>
      <c r="K224" s="46">
        <f ca="1">EFEITO!$L$224*EFEITO!$Z$224</f>
        <v>0</v>
      </c>
      <c r="L224" s="46">
        <f>EFEITO!$N$224*EFEITO!$AA$224</f>
        <v>0</v>
      </c>
      <c r="M224" s="46">
        <f ca="1">$J$224-EFEITO!$K$224*EFEITO!$Y$224</f>
        <v>49810.802462035062</v>
      </c>
      <c r="N224" s="46">
        <f ca="1">$K$224-EFEITO!$M$224*EFEITO!$Z$224</f>
        <v>0</v>
      </c>
      <c r="O224" s="46">
        <f>$L$224-EFEITO!$O$224*EFEITO!$AA$224</f>
        <v>0</v>
      </c>
      <c r="P224" s="38"/>
      <c r="Q224" s="38"/>
      <c r="R224" s="38"/>
      <c r="S224" s="38"/>
      <c r="T224" s="38"/>
      <c r="U224" s="38"/>
      <c r="V224" s="38"/>
      <c r="W224" s="38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</row>
    <row r="225" spans="1:36" ht="11.25" customHeight="1" x14ac:dyDescent="0.2">
      <c r="A225" s="35" t="s">
        <v>21</v>
      </c>
      <c r="B225" s="35" t="s">
        <v>41</v>
      </c>
      <c r="C225" s="35" t="s">
        <v>42</v>
      </c>
      <c r="D225" s="35" t="s">
        <v>40</v>
      </c>
      <c r="E225" s="35" t="s">
        <v>25</v>
      </c>
      <c r="F225" s="35" t="s">
        <v>60</v>
      </c>
      <c r="G225" s="35" t="s">
        <v>25</v>
      </c>
      <c r="H225" s="35" t="s">
        <v>37</v>
      </c>
      <c r="I225" s="45">
        <v>44682</v>
      </c>
      <c r="J225" s="46">
        <f ca="1">EFEITO!$J$225*EFEITO!$Y$225</f>
        <v>100107.48078757635</v>
      </c>
      <c r="K225" s="46">
        <f ca="1">EFEITO!$L$225*EFEITO!$Z$225</f>
        <v>0</v>
      </c>
      <c r="L225" s="46">
        <f>EFEITO!$N$225*EFEITO!$AA$225</f>
        <v>0</v>
      </c>
      <c r="M225" s="46">
        <f ca="1">$J$225-EFEITO!$K$225*EFEITO!$Y$225</f>
        <v>49963.643661079361</v>
      </c>
      <c r="N225" s="46">
        <f ca="1">$K$225-EFEITO!$M$225*EFEITO!$Z$225</f>
        <v>0</v>
      </c>
      <c r="O225" s="46">
        <f>$L$225-EFEITO!$O$225*EFEITO!$AA$225</f>
        <v>0</v>
      </c>
      <c r="P225" s="38"/>
      <c r="Q225" s="38"/>
      <c r="R225" s="38"/>
      <c r="S225" s="38"/>
      <c r="T225" s="38"/>
      <c r="U225" s="38"/>
      <c r="V225" s="38"/>
      <c r="W225" s="38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</row>
    <row r="226" spans="1:36" ht="11.25" customHeight="1" x14ac:dyDescent="0.2">
      <c r="A226" s="35" t="s">
        <v>21</v>
      </c>
      <c r="B226" s="35" t="s">
        <v>41</v>
      </c>
      <c r="C226" s="35" t="s">
        <v>42</v>
      </c>
      <c r="D226" s="35" t="s">
        <v>40</v>
      </c>
      <c r="E226" s="35" t="s">
        <v>25</v>
      </c>
      <c r="F226" s="35" t="s">
        <v>60</v>
      </c>
      <c r="G226" s="35" t="s">
        <v>25</v>
      </c>
      <c r="H226" s="35" t="s">
        <v>37</v>
      </c>
      <c r="I226" s="45">
        <v>44713</v>
      </c>
      <c r="J226" s="46">
        <f ca="1">EFEITO!$J$226*EFEITO!$Y$226</f>
        <v>100045.63514458567</v>
      </c>
      <c r="K226" s="46">
        <f ca="1">EFEITO!$L$226*EFEITO!$Z$226</f>
        <v>0</v>
      </c>
      <c r="L226" s="46">
        <f>EFEITO!$N$226*EFEITO!$AA$226</f>
        <v>0</v>
      </c>
      <c r="M226" s="46">
        <f ca="1">$J$226-EFEITO!$K$226*EFEITO!$Y$226</f>
        <v>49962.790191206084</v>
      </c>
      <c r="N226" s="46">
        <f ca="1">$K$226-EFEITO!$M$226*EFEITO!$Z$226</f>
        <v>0</v>
      </c>
      <c r="O226" s="46">
        <f>$L$226-EFEITO!$O$226*EFEITO!$AA$226</f>
        <v>0</v>
      </c>
      <c r="P226" s="38"/>
      <c r="Q226" s="38"/>
      <c r="R226" s="38"/>
      <c r="S226" s="38"/>
      <c r="T226" s="38"/>
      <c r="U226" s="38"/>
      <c r="V226" s="38"/>
      <c r="W226" s="38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</row>
    <row r="227" spans="1:36" ht="11.25" customHeight="1" x14ac:dyDescent="0.2">
      <c r="A227" s="35" t="s">
        <v>21</v>
      </c>
      <c r="B227" s="35" t="s">
        <v>41</v>
      </c>
      <c r="C227" s="35" t="s">
        <v>42</v>
      </c>
      <c r="D227" s="35" t="s">
        <v>40</v>
      </c>
      <c r="E227" s="35" t="s">
        <v>25</v>
      </c>
      <c r="F227" s="35" t="s">
        <v>60</v>
      </c>
      <c r="G227" s="35" t="s">
        <v>25</v>
      </c>
      <c r="H227" s="35" t="s">
        <v>37</v>
      </c>
      <c r="I227" s="45">
        <v>44743</v>
      </c>
      <c r="J227" s="46">
        <f ca="1">EFEITO!$J$227*EFEITO!$Y$227</f>
        <v>100272.40250221816</v>
      </c>
      <c r="K227" s="46">
        <f ca="1">EFEITO!$L$227*EFEITO!$Z$227</f>
        <v>0</v>
      </c>
      <c r="L227" s="46">
        <f>EFEITO!$N$227*EFEITO!$AA$227</f>
        <v>0</v>
      </c>
      <c r="M227" s="46">
        <f ca="1">$J$227-EFEITO!$K$227*EFEITO!$Y$227</f>
        <v>49955.71092660509</v>
      </c>
      <c r="N227" s="46">
        <f ca="1">$K$227-EFEITO!$M$227*EFEITO!$Z$227</f>
        <v>0</v>
      </c>
      <c r="O227" s="46">
        <f>$L$227-EFEITO!$O$227*EFEITO!$AA$227</f>
        <v>0</v>
      </c>
      <c r="P227" s="38"/>
      <c r="Q227" s="38"/>
      <c r="R227" s="38"/>
      <c r="S227" s="38"/>
      <c r="T227" s="38"/>
      <c r="U227" s="38"/>
      <c r="V227" s="38"/>
      <c r="W227" s="38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</row>
    <row r="228" spans="1:36" ht="11.25" customHeight="1" x14ac:dyDescent="0.2">
      <c r="A228" s="35" t="s">
        <v>21</v>
      </c>
      <c r="B228" s="35" t="s">
        <v>41</v>
      </c>
      <c r="C228" s="35" t="s">
        <v>42</v>
      </c>
      <c r="D228" s="35" t="s">
        <v>40</v>
      </c>
      <c r="E228" s="35" t="s">
        <v>25</v>
      </c>
      <c r="F228" s="35" t="s">
        <v>60</v>
      </c>
      <c r="G228" s="35" t="s">
        <v>25</v>
      </c>
      <c r="H228" s="35" t="s">
        <v>37</v>
      </c>
      <c r="I228" s="45">
        <v>44774</v>
      </c>
      <c r="J228" s="46">
        <f ca="1">EFEITO!$J$228*EFEITO!$Y$228</f>
        <v>100354.86335953906</v>
      </c>
      <c r="K228" s="46">
        <f ca="1">EFEITO!$L$228*EFEITO!$Z$228</f>
        <v>0</v>
      </c>
      <c r="L228" s="46">
        <f>EFEITO!$N$228*EFEITO!$AA$228</f>
        <v>0</v>
      </c>
      <c r="M228" s="46">
        <f ca="1">$J$228-EFEITO!$K$228*EFEITO!$Y$228</f>
        <v>50127.254248089754</v>
      </c>
      <c r="N228" s="46">
        <f ca="1">$K$228-EFEITO!$M$228*EFEITO!$Z$228</f>
        <v>0</v>
      </c>
      <c r="O228" s="46">
        <f>$L$228-EFEITO!$O$228*EFEITO!$AA$228</f>
        <v>0</v>
      </c>
      <c r="P228" s="38"/>
      <c r="Q228" s="38"/>
      <c r="R228" s="38"/>
      <c r="S228" s="38"/>
      <c r="T228" s="38"/>
      <c r="U228" s="38"/>
      <c r="V228" s="38"/>
      <c r="W228" s="38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</row>
    <row r="229" spans="1:36" ht="11.25" customHeight="1" x14ac:dyDescent="0.2">
      <c r="A229" s="35" t="s">
        <v>21</v>
      </c>
      <c r="B229" s="35" t="s">
        <v>41</v>
      </c>
      <c r="C229" s="35" t="s">
        <v>42</v>
      </c>
      <c r="D229" s="35" t="s">
        <v>40</v>
      </c>
      <c r="E229" s="35" t="s">
        <v>25</v>
      </c>
      <c r="F229" s="35" t="s">
        <v>60</v>
      </c>
      <c r="G229" s="35" t="s">
        <v>25</v>
      </c>
      <c r="H229" s="35" t="s">
        <v>37</v>
      </c>
      <c r="I229" s="45">
        <v>44805</v>
      </c>
      <c r="J229" s="46">
        <f ca="1">EFEITO!$J$229*EFEITO!$Y$229</f>
        <v>101035.16543243651</v>
      </c>
      <c r="K229" s="46">
        <f ca="1">EFEITO!$L$229*EFEITO!$Z$229</f>
        <v>0</v>
      </c>
      <c r="L229" s="46">
        <f>EFEITO!$N$229*EFEITO!$AA$229</f>
        <v>0</v>
      </c>
      <c r="M229" s="46">
        <f ca="1">$J$229-EFEITO!$K$229*EFEITO!$Y$229</f>
        <v>50487.272166588526</v>
      </c>
      <c r="N229" s="46">
        <f ca="1">$K$229-EFEITO!$M$229*EFEITO!$Z$229</f>
        <v>0</v>
      </c>
      <c r="O229" s="46">
        <f>$L$229-EFEITO!$O$229*EFEITO!$AA$229</f>
        <v>0</v>
      </c>
      <c r="P229" s="38"/>
      <c r="Q229" s="38"/>
      <c r="R229" s="38"/>
      <c r="S229" s="38"/>
      <c r="T229" s="38"/>
      <c r="U229" s="38"/>
      <c r="V229" s="38"/>
      <c r="W229" s="38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</row>
    <row r="230" spans="1:36" ht="11.25" customHeight="1" x14ac:dyDescent="0.2">
      <c r="A230" s="35" t="s">
        <v>21</v>
      </c>
      <c r="B230" s="35" t="s">
        <v>41</v>
      </c>
      <c r="C230" s="35" t="s">
        <v>42</v>
      </c>
      <c r="D230" s="35" t="s">
        <v>40</v>
      </c>
      <c r="E230" s="35" t="s">
        <v>25</v>
      </c>
      <c r="F230" s="35" t="s">
        <v>60</v>
      </c>
      <c r="G230" s="35" t="s">
        <v>25</v>
      </c>
      <c r="H230" s="35" t="s">
        <v>37</v>
      </c>
      <c r="I230" s="45">
        <v>44835</v>
      </c>
      <c r="J230" s="46">
        <f ca="1">EFEITO!$J$230*EFEITO!$Y$230</f>
        <v>103756.37372402631</v>
      </c>
      <c r="K230" s="46">
        <f ca="1">EFEITO!$L$230*EFEITO!$Z$230</f>
        <v>0</v>
      </c>
      <c r="L230" s="46">
        <f>EFEITO!$N$230*EFEITO!$AA$230</f>
        <v>0</v>
      </c>
      <c r="M230" s="46">
        <f ca="1">$J$230-EFEITO!$K$230*EFEITO!$Y$230</f>
        <v>51577.293378213486</v>
      </c>
      <c r="N230" s="46">
        <f ca="1">$K$230-EFEITO!$M$230*EFEITO!$Z$230</f>
        <v>0</v>
      </c>
      <c r="O230" s="46">
        <f>$L$230-EFEITO!$O$230*EFEITO!$AA$230</f>
        <v>0</v>
      </c>
      <c r="P230" s="38"/>
      <c r="Q230" s="38"/>
      <c r="R230" s="38"/>
      <c r="S230" s="38"/>
      <c r="T230" s="38"/>
      <c r="U230" s="38"/>
      <c r="V230" s="38"/>
      <c r="W230" s="38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</row>
    <row r="231" spans="1:36" ht="11.25" customHeight="1" x14ac:dyDescent="0.2">
      <c r="A231" s="35" t="s">
        <v>59</v>
      </c>
      <c r="B231" s="35" t="s">
        <v>41</v>
      </c>
      <c r="C231" s="35" t="s">
        <v>42</v>
      </c>
      <c r="D231" s="35" t="s">
        <v>40</v>
      </c>
      <c r="E231" s="35" t="s">
        <v>25</v>
      </c>
      <c r="F231" s="35" t="s">
        <v>60</v>
      </c>
      <c r="G231" s="35" t="s">
        <v>25</v>
      </c>
      <c r="H231" s="35" t="s">
        <v>37</v>
      </c>
      <c r="I231" s="45">
        <v>44866</v>
      </c>
      <c r="J231" s="46">
        <f ca="1">EFEITO!$J$231*EFEITO!$Y$231</f>
        <v>103756.37372402631</v>
      </c>
      <c r="K231" s="46">
        <f ca="1">EFEITO!$L$231*EFEITO!$Z$231</f>
        <v>0</v>
      </c>
      <c r="L231" s="46">
        <f>EFEITO!$N$231*EFEITO!$AA$231</f>
        <v>0</v>
      </c>
      <c r="M231" s="46">
        <f ca="1">$J$231-EFEITO!$K$231*EFEITO!$Y$231</f>
        <v>51577.293378213486</v>
      </c>
      <c r="N231" s="46">
        <f ca="1">$K$231-EFEITO!$M$231*EFEITO!$Z$231</f>
        <v>0</v>
      </c>
      <c r="O231" s="46">
        <f>$L$231-EFEITO!$O$231*EFEITO!$AA$231</f>
        <v>0</v>
      </c>
      <c r="P231" s="38"/>
      <c r="Q231" s="38"/>
      <c r="R231" s="38"/>
      <c r="S231" s="38"/>
      <c r="T231" s="38"/>
      <c r="U231" s="38"/>
      <c r="V231" s="38"/>
      <c r="W231" s="38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</row>
    <row r="232" spans="1:36" ht="11.25" customHeight="1" x14ac:dyDescent="0.2">
      <c r="A232" s="35" t="s">
        <v>21</v>
      </c>
      <c r="B232" s="35" t="s">
        <v>41</v>
      </c>
      <c r="C232" s="35" t="s">
        <v>42</v>
      </c>
      <c r="D232" s="35" t="s">
        <v>40</v>
      </c>
      <c r="E232" s="35" t="s">
        <v>25</v>
      </c>
      <c r="F232" s="35" t="s">
        <v>60</v>
      </c>
      <c r="G232" s="35" t="s">
        <v>25</v>
      </c>
      <c r="H232" s="35" t="s">
        <v>25</v>
      </c>
      <c r="I232" s="45">
        <v>44531</v>
      </c>
      <c r="J232" s="46">
        <f>EFEITO!$J$232*EFEITO!$Y$232</f>
        <v>0</v>
      </c>
      <c r="K232" s="46">
        <f ca="1">EFEITO!$L$232*EFEITO!$Z$232</f>
        <v>229053.57659266485</v>
      </c>
      <c r="L232" s="46">
        <f>EFEITO!$N$232*EFEITO!$AA$232</f>
        <v>0</v>
      </c>
      <c r="M232" s="46">
        <f>$J$232-EFEITO!$K$232*EFEITO!$Y$232</f>
        <v>0</v>
      </c>
      <c r="N232" s="46">
        <f ca="1">$K$232-EFEITO!$M$232*EFEITO!$Z$232</f>
        <v>0</v>
      </c>
      <c r="O232" s="46">
        <f>$L$232-EFEITO!$O$232*EFEITO!$AA$232</f>
        <v>0</v>
      </c>
      <c r="P232" s="38"/>
      <c r="Q232" s="38"/>
      <c r="R232" s="38"/>
      <c r="S232" s="38"/>
      <c r="T232" s="38"/>
      <c r="U232" s="38"/>
      <c r="V232" s="38"/>
      <c r="W232" s="38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</row>
    <row r="233" spans="1:36" ht="11.25" customHeight="1" x14ac:dyDescent="0.2">
      <c r="A233" s="35" t="s">
        <v>21</v>
      </c>
      <c r="B233" s="35" t="s">
        <v>41</v>
      </c>
      <c r="C233" s="35" t="s">
        <v>42</v>
      </c>
      <c r="D233" s="35" t="s">
        <v>40</v>
      </c>
      <c r="E233" s="35" t="s">
        <v>25</v>
      </c>
      <c r="F233" s="35" t="s">
        <v>60</v>
      </c>
      <c r="G233" s="35" t="s">
        <v>25</v>
      </c>
      <c r="H233" s="35" t="s">
        <v>25</v>
      </c>
      <c r="I233" s="45">
        <v>44562</v>
      </c>
      <c r="J233" s="46">
        <f>EFEITO!$J$233*EFEITO!$Y$233</f>
        <v>0</v>
      </c>
      <c r="K233" s="46">
        <f ca="1">EFEITO!$L$233*EFEITO!$Z$233</f>
        <v>234129.28307747724</v>
      </c>
      <c r="L233" s="46">
        <f>EFEITO!$N$233*EFEITO!$AA$233</f>
        <v>0</v>
      </c>
      <c r="M233" s="46">
        <f>$J$233-EFEITO!$K$233*EFEITO!$Y$233</f>
        <v>0</v>
      </c>
      <c r="N233" s="46">
        <f ca="1">$K$233-EFEITO!$M$233*EFEITO!$Z$233</f>
        <v>0</v>
      </c>
      <c r="O233" s="46">
        <f>$L$233-EFEITO!$O$233*EFEITO!$AA$233</f>
        <v>0</v>
      </c>
      <c r="P233" s="38"/>
      <c r="Q233" s="38"/>
      <c r="R233" s="38"/>
      <c r="S233" s="38"/>
      <c r="T233" s="38"/>
      <c r="U233" s="38"/>
      <c r="V233" s="38"/>
      <c r="W233" s="38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</row>
    <row r="234" spans="1:36" ht="11.25" customHeight="1" x14ac:dyDescent="0.2">
      <c r="A234" s="35" t="s">
        <v>21</v>
      </c>
      <c r="B234" s="35" t="s">
        <v>41</v>
      </c>
      <c r="C234" s="35" t="s">
        <v>42</v>
      </c>
      <c r="D234" s="35" t="s">
        <v>40</v>
      </c>
      <c r="E234" s="35" t="s">
        <v>25</v>
      </c>
      <c r="F234" s="35" t="s">
        <v>60</v>
      </c>
      <c r="G234" s="35" t="s">
        <v>25</v>
      </c>
      <c r="H234" s="35" t="s">
        <v>25</v>
      </c>
      <c r="I234" s="45">
        <v>44593</v>
      </c>
      <c r="J234" s="46">
        <f>EFEITO!$J$234*EFEITO!$Y$234</f>
        <v>0</v>
      </c>
      <c r="K234" s="46">
        <f ca="1">EFEITO!$L$234*EFEITO!$Z$234</f>
        <v>228737.33037102636</v>
      </c>
      <c r="L234" s="46">
        <f>EFEITO!$N$234*EFEITO!$AA$234</f>
        <v>0</v>
      </c>
      <c r="M234" s="46">
        <f>$J$234-EFEITO!$K$234*EFEITO!$Y$234</f>
        <v>0</v>
      </c>
      <c r="N234" s="46">
        <f ca="1">$K$234-EFEITO!$M$234*EFEITO!$Z$234</f>
        <v>0</v>
      </c>
      <c r="O234" s="46">
        <f>$L$234-EFEITO!$O$234*EFEITO!$AA$234</f>
        <v>0</v>
      </c>
      <c r="P234" s="38"/>
      <c r="Q234" s="38"/>
      <c r="R234" s="38"/>
      <c r="S234" s="38"/>
      <c r="T234" s="38"/>
      <c r="U234" s="38"/>
      <c r="V234" s="38"/>
      <c r="W234" s="38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</row>
    <row r="235" spans="1:36" ht="11.25" customHeight="1" x14ac:dyDescent="0.2">
      <c r="A235" s="35" t="s">
        <v>21</v>
      </c>
      <c r="B235" s="35" t="s">
        <v>41</v>
      </c>
      <c r="C235" s="35" t="s">
        <v>42</v>
      </c>
      <c r="D235" s="35" t="s">
        <v>40</v>
      </c>
      <c r="E235" s="35" t="s">
        <v>25</v>
      </c>
      <c r="F235" s="35" t="s">
        <v>60</v>
      </c>
      <c r="G235" s="35" t="s">
        <v>25</v>
      </c>
      <c r="H235" s="35" t="s">
        <v>25</v>
      </c>
      <c r="I235" s="45">
        <v>44621</v>
      </c>
      <c r="J235" s="46">
        <f>EFEITO!$J$235*EFEITO!$Y$235</f>
        <v>0</v>
      </c>
      <c r="K235" s="46">
        <f ca="1">EFEITO!$L$235*EFEITO!$Z$235</f>
        <v>199121.12126325117</v>
      </c>
      <c r="L235" s="46">
        <f>EFEITO!$N$235*EFEITO!$AA$235</f>
        <v>0</v>
      </c>
      <c r="M235" s="46">
        <f>$J$235-EFEITO!$K$235*EFEITO!$Y$235</f>
        <v>0</v>
      </c>
      <c r="N235" s="46">
        <f ca="1">$K$235-EFEITO!$M$235*EFEITO!$Z$235</f>
        <v>0</v>
      </c>
      <c r="O235" s="46">
        <f>$L$235-EFEITO!$O$235*EFEITO!$AA$235</f>
        <v>0</v>
      </c>
      <c r="P235" s="38"/>
      <c r="Q235" s="38"/>
      <c r="R235" s="38"/>
      <c r="S235" s="38"/>
      <c r="T235" s="38"/>
      <c r="U235" s="38"/>
      <c r="V235" s="38"/>
      <c r="W235" s="38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</row>
    <row r="236" spans="1:36" ht="11.25" customHeight="1" x14ac:dyDescent="0.2">
      <c r="A236" s="35" t="s">
        <v>21</v>
      </c>
      <c r="B236" s="35" t="s">
        <v>41</v>
      </c>
      <c r="C236" s="35" t="s">
        <v>42</v>
      </c>
      <c r="D236" s="35" t="s">
        <v>40</v>
      </c>
      <c r="E236" s="35" t="s">
        <v>25</v>
      </c>
      <c r="F236" s="35" t="s">
        <v>60</v>
      </c>
      <c r="G236" s="35" t="s">
        <v>25</v>
      </c>
      <c r="H236" s="35" t="s">
        <v>25</v>
      </c>
      <c r="I236" s="45">
        <v>44652</v>
      </c>
      <c r="J236" s="46">
        <f>EFEITO!$J$236*EFEITO!$Y$236</f>
        <v>0</v>
      </c>
      <c r="K236" s="46">
        <f ca="1">EFEITO!$L$236*EFEITO!$Z$236</f>
        <v>218890.13991446982</v>
      </c>
      <c r="L236" s="46">
        <f>EFEITO!$N$236*EFEITO!$AA$236</f>
        <v>0</v>
      </c>
      <c r="M236" s="46">
        <f>$J$236-EFEITO!$K$236*EFEITO!$Y$236</f>
        <v>0</v>
      </c>
      <c r="N236" s="46">
        <f ca="1">$K$236-EFEITO!$M$236*EFEITO!$Z$236</f>
        <v>0</v>
      </c>
      <c r="O236" s="46">
        <f>$L$236-EFEITO!$O$236*EFEITO!$AA$236</f>
        <v>0</v>
      </c>
      <c r="P236" s="38"/>
      <c r="Q236" s="38"/>
      <c r="R236" s="38"/>
      <c r="S236" s="38"/>
      <c r="T236" s="38"/>
      <c r="U236" s="38"/>
      <c r="V236" s="38"/>
      <c r="W236" s="38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</row>
    <row r="237" spans="1:36" ht="11.25" customHeight="1" x14ac:dyDescent="0.2">
      <c r="A237" s="35" t="s">
        <v>21</v>
      </c>
      <c r="B237" s="35" t="s">
        <v>41</v>
      </c>
      <c r="C237" s="35" t="s">
        <v>42</v>
      </c>
      <c r="D237" s="35" t="s">
        <v>40</v>
      </c>
      <c r="E237" s="35" t="s">
        <v>25</v>
      </c>
      <c r="F237" s="35" t="s">
        <v>60</v>
      </c>
      <c r="G237" s="35" t="s">
        <v>25</v>
      </c>
      <c r="H237" s="35" t="s">
        <v>25</v>
      </c>
      <c r="I237" s="45">
        <v>44682</v>
      </c>
      <c r="J237" s="46">
        <f>EFEITO!$J$237*EFEITO!$Y$237</f>
        <v>0</v>
      </c>
      <c r="K237" s="46">
        <f ca="1">EFEITO!$L$237*EFEITO!$Z$237</f>
        <v>211782.65354372177</v>
      </c>
      <c r="L237" s="46">
        <f>EFEITO!$N$237*EFEITO!$AA$237</f>
        <v>0</v>
      </c>
      <c r="M237" s="46">
        <f>$J$237-EFEITO!$K$237*EFEITO!$Y$237</f>
        <v>0</v>
      </c>
      <c r="N237" s="46">
        <f ca="1">$K$237-EFEITO!$M$237*EFEITO!$Z$237</f>
        <v>0</v>
      </c>
      <c r="O237" s="46">
        <f>$L$237-EFEITO!$O$237*EFEITO!$AA$237</f>
        <v>0</v>
      </c>
      <c r="P237" s="38"/>
      <c r="Q237" s="38"/>
      <c r="R237" s="38"/>
      <c r="S237" s="38"/>
      <c r="T237" s="38"/>
      <c r="U237" s="38"/>
      <c r="V237" s="38"/>
      <c r="W237" s="38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</row>
    <row r="238" spans="1:36" ht="11.25" customHeight="1" x14ac:dyDescent="0.2">
      <c r="A238" s="35" t="s">
        <v>21</v>
      </c>
      <c r="B238" s="35" t="s">
        <v>41</v>
      </c>
      <c r="C238" s="35" t="s">
        <v>42</v>
      </c>
      <c r="D238" s="35" t="s">
        <v>40</v>
      </c>
      <c r="E238" s="35" t="s">
        <v>25</v>
      </c>
      <c r="F238" s="35" t="s">
        <v>60</v>
      </c>
      <c r="G238" s="35" t="s">
        <v>25</v>
      </c>
      <c r="H238" s="35" t="s">
        <v>25</v>
      </c>
      <c r="I238" s="45">
        <v>44713</v>
      </c>
      <c r="J238" s="46">
        <f>EFEITO!$J$238*EFEITO!$Y$238</f>
        <v>0</v>
      </c>
      <c r="K238" s="46">
        <f ca="1">EFEITO!$L$238*EFEITO!$Z$238</f>
        <v>212695.66137656543</v>
      </c>
      <c r="L238" s="46">
        <f>EFEITO!$N$238*EFEITO!$AA$238</f>
        <v>0</v>
      </c>
      <c r="M238" s="46">
        <f>$J$238-EFEITO!$K$238*EFEITO!$Y$238</f>
        <v>0</v>
      </c>
      <c r="N238" s="46">
        <f ca="1">$K$238-EFEITO!$M$238*EFEITO!$Z$238</f>
        <v>0</v>
      </c>
      <c r="O238" s="46">
        <f>$L$238-EFEITO!$O$238*EFEITO!$AA$238</f>
        <v>0</v>
      </c>
      <c r="P238" s="38"/>
      <c r="Q238" s="38"/>
      <c r="R238" s="38"/>
      <c r="S238" s="38"/>
      <c r="T238" s="38"/>
      <c r="U238" s="38"/>
      <c r="V238" s="38"/>
      <c r="W238" s="38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</row>
    <row r="239" spans="1:36" ht="11.25" customHeight="1" x14ac:dyDescent="0.2">
      <c r="A239" s="35" t="s">
        <v>21</v>
      </c>
      <c r="B239" s="35" t="s">
        <v>41</v>
      </c>
      <c r="C239" s="35" t="s">
        <v>42</v>
      </c>
      <c r="D239" s="35" t="s">
        <v>40</v>
      </c>
      <c r="E239" s="35" t="s">
        <v>25</v>
      </c>
      <c r="F239" s="35" t="s">
        <v>60</v>
      </c>
      <c r="G239" s="35" t="s">
        <v>25</v>
      </c>
      <c r="H239" s="35" t="s">
        <v>25</v>
      </c>
      <c r="I239" s="45">
        <v>44743</v>
      </c>
      <c r="J239" s="46">
        <f>EFEITO!$J$239*EFEITO!$Y$239</f>
        <v>0</v>
      </c>
      <c r="K239" s="46">
        <f ca="1">EFEITO!$L$239*EFEITO!$Z$239</f>
        <v>198248.72180463513</v>
      </c>
      <c r="L239" s="46">
        <f>EFEITO!$N$239*EFEITO!$AA$239</f>
        <v>0</v>
      </c>
      <c r="M239" s="46">
        <f>$J$239-EFEITO!$K$239*EFEITO!$Y$239</f>
        <v>0</v>
      </c>
      <c r="N239" s="46">
        <f ca="1">$K$239-EFEITO!$M$239*EFEITO!$Z$239</f>
        <v>0</v>
      </c>
      <c r="O239" s="46">
        <f>$L$239-EFEITO!$O$239*EFEITO!$AA$239</f>
        <v>0</v>
      </c>
      <c r="P239" s="38"/>
      <c r="Q239" s="38"/>
      <c r="R239" s="38"/>
      <c r="S239" s="38"/>
      <c r="T239" s="38"/>
      <c r="U239" s="38"/>
      <c r="V239" s="38"/>
      <c r="W239" s="38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</row>
    <row r="240" spans="1:36" ht="11.25" customHeight="1" x14ac:dyDescent="0.2">
      <c r="A240" s="35" t="s">
        <v>21</v>
      </c>
      <c r="B240" s="35" t="s">
        <v>41</v>
      </c>
      <c r="C240" s="35" t="s">
        <v>42</v>
      </c>
      <c r="D240" s="35" t="s">
        <v>40</v>
      </c>
      <c r="E240" s="35" t="s">
        <v>25</v>
      </c>
      <c r="F240" s="35" t="s">
        <v>60</v>
      </c>
      <c r="G240" s="35" t="s">
        <v>25</v>
      </c>
      <c r="H240" s="35" t="s">
        <v>25</v>
      </c>
      <c r="I240" s="45">
        <v>44774</v>
      </c>
      <c r="J240" s="46">
        <f>EFEITO!$J$240*EFEITO!$Y$240</f>
        <v>0</v>
      </c>
      <c r="K240" s="46">
        <f ca="1">EFEITO!$L$240*EFEITO!$Z$240</f>
        <v>221654.91229833502</v>
      </c>
      <c r="L240" s="46">
        <f>EFEITO!$N$240*EFEITO!$AA$240</f>
        <v>0</v>
      </c>
      <c r="M240" s="46">
        <f>$J$240-EFEITO!$K$240*EFEITO!$Y$240</f>
        <v>0</v>
      </c>
      <c r="N240" s="46">
        <f ca="1">$K$240-EFEITO!$M$240*EFEITO!$Z$240</f>
        <v>0</v>
      </c>
      <c r="O240" s="46">
        <f>$L$240-EFEITO!$O$240*EFEITO!$AA$240</f>
        <v>0</v>
      </c>
      <c r="P240" s="38"/>
      <c r="Q240" s="38"/>
      <c r="R240" s="38"/>
      <c r="S240" s="38"/>
      <c r="T240" s="38"/>
      <c r="U240" s="38"/>
      <c r="V240" s="38"/>
      <c r="W240" s="38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</row>
    <row r="241" spans="1:36" ht="11.25" customHeight="1" x14ac:dyDescent="0.2">
      <c r="A241" s="35" t="s">
        <v>21</v>
      </c>
      <c r="B241" s="35" t="s">
        <v>41</v>
      </c>
      <c r="C241" s="35" t="s">
        <v>42</v>
      </c>
      <c r="D241" s="35" t="s">
        <v>40</v>
      </c>
      <c r="E241" s="35" t="s">
        <v>25</v>
      </c>
      <c r="F241" s="35" t="s">
        <v>60</v>
      </c>
      <c r="G241" s="35" t="s">
        <v>25</v>
      </c>
      <c r="H241" s="35" t="s">
        <v>25</v>
      </c>
      <c r="I241" s="45">
        <v>44805</v>
      </c>
      <c r="J241" s="46">
        <f>EFEITO!$J$241*EFEITO!$Y$241</f>
        <v>0</v>
      </c>
      <c r="K241" s="46">
        <f ca="1">EFEITO!$L$241*EFEITO!$Z$241</f>
        <v>188743.07273019961</v>
      </c>
      <c r="L241" s="46">
        <f>EFEITO!$N$241*EFEITO!$AA$241</f>
        <v>0</v>
      </c>
      <c r="M241" s="46">
        <f>$J$241-EFEITO!$K$241*EFEITO!$Y$241</f>
        <v>0</v>
      </c>
      <c r="N241" s="46">
        <f ca="1">$K$241-EFEITO!$M$241*EFEITO!$Z$241</f>
        <v>0</v>
      </c>
      <c r="O241" s="46">
        <f>$L$241-EFEITO!$O$241*EFEITO!$AA$241</f>
        <v>0</v>
      </c>
      <c r="P241" s="38"/>
      <c r="Q241" s="38"/>
      <c r="R241" s="38"/>
      <c r="S241" s="38"/>
      <c r="T241" s="38"/>
      <c r="U241" s="38"/>
      <c r="V241" s="38"/>
      <c r="W241" s="38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</row>
    <row r="242" spans="1:36" ht="11.25" customHeight="1" x14ac:dyDescent="0.2">
      <c r="A242" s="35" t="s">
        <v>21</v>
      </c>
      <c r="B242" s="35" t="s">
        <v>41</v>
      </c>
      <c r="C242" s="35" t="s">
        <v>42</v>
      </c>
      <c r="D242" s="35" t="s">
        <v>40</v>
      </c>
      <c r="E242" s="35" t="s">
        <v>25</v>
      </c>
      <c r="F242" s="35" t="s">
        <v>60</v>
      </c>
      <c r="G242" s="35" t="s">
        <v>25</v>
      </c>
      <c r="H242" s="35" t="s">
        <v>25</v>
      </c>
      <c r="I242" s="45">
        <v>44835</v>
      </c>
      <c r="J242" s="46">
        <f>EFEITO!$J$242*EFEITO!$Y$242</f>
        <v>0</v>
      </c>
      <c r="K242" s="46">
        <f ca="1">EFEITO!$L$242*EFEITO!$Z$242</f>
        <v>191530.30449422429</v>
      </c>
      <c r="L242" s="46">
        <f>EFEITO!$N$242*EFEITO!$AA$242</f>
        <v>0</v>
      </c>
      <c r="M242" s="46">
        <f>$J$242-EFEITO!$K$242*EFEITO!$Y$242</f>
        <v>0</v>
      </c>
      <c r="N242" s="46">
        <f ca="1">$K$242-EFEITO!$M$242*EFEITO!$Z$242</f>
        <v>0</v>
      </c>
      <c r="O242" s="46">
        <f>$L$242-EFEITO!$O$242*EFEITO!$AA$242</f>
        <v>0</v>
      </c>
      <c r="P242" s="38"/>
      <c r="Q242" s="38"/>
      <c r="R242" s="38"/>
      <c r="S242" s="38"/>
      <c r="T242" s="38"/>
      <c r="U242" s="38"/>
      <c r="V242" s="38"/>
      <c r="W242" s="38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</row>
    <row r="243" spans="1:36" ht="11.25" customHeight="1" x14ac:dyDescent="0.2">
      <c r="A243" s="35" t="s">
        <v>59</v>
      </c>
      <c r="B243" s="35" t="s">
        <v>41</v>
      </c>
      <c r="C243" s="35" t="s">
        <v>42</v>
      </c>
      <c r="D243" s="35" t="s">
        <v>40</v>
      </c>
      <c r="E243" s="35" t="s">
        <v>25</v>
      </c>
      <c r="F243" s="35" t="s">
        <v>60</v>
      </c>
      <c r="G243" s="35" t="s">
        <v>25</v>
      </c>
      <c r="H243" s="35" t="s">
        <v>25</v>
      </c>
      <c r="I243" s="45">
        <v>44866</v>
      </c>
      <c r="J243" s="46">
        <f>EFEITO!$J$243*EFEITO!$Y$243</f>
        <v>0</v>
      </c>
      <c r="K243" s="46">
        <f ca="1">EFEITO!$L$243*EFEITO!$Z$243</f>
        <v>191530.30449422429</v>
      </c>
      <c r="L243" s="46">
        <f>EFEITO!$N$243*EFEITO!$AA$243</f>
        <v>0</v>
      </c>
      <c r="M243" s="46">
        <f>$J$243-EFEITO!$K$243*EFEITO!$Y$243</f>
        <v>0</v>
      </c>
      <c r="N243" s="46">
        <f ca="1">$K$243-EFEITO!$M$243*EFEITO!$Z$243</f>
        <v>0</v>
      </c>
      <c r="O243" s="46">
        <f>$L$243-EFEITO!$O$243*EFEITO!$AA$243</f>
        <v>0</v>
      </c>
      <c r="P243" s="38"/>
      <c r="Q243" s="38"/>
      <c r="R243" s="38"/>
      <c r="S243" s="38"/>
      <c r="T243" s="38"/>
      <c r="U243" s="38"/>
      <c r="V243" s="38"/>
      <c r="W243" s="38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</row>
    <row r="244" spans="1:36" ht="11.25" customHeight="1" x14ac:dyDescent="0.2">
      <c r="A244" s="35" t="s">
        <v>21</v>
      </c>
      <c r="B244" s="35" t="s">
        <v>41</v>
      </c>
      <c r="C244" s="35" t="s">
        <v>42</v>
      </c>
      <c r="D244" s="35" t="s">
        <v>40</v>
      </c>
      <c r="E244" s="35" t="s">
        <v>25</v>
      </c>
      <c r="F244" s="35" t="s">
        <v>60</v>
      </c>
      <c r="G244" s="35" t="s">
        <v>25</v>
      </c>
      <c r="H244" s="35" t="s">
        <v>36</v>
      </c>
      <c r="I244" s="45">
        <v>44531</v>
      </c>
      <c r="J244" s="46">
        <f ca="1">EFEITO!$J$244*EFEITO!$Y$244</f>
        <v>250967.33057778081</v>
      </c>
      <c r="K244" s="46">
        <f ca="1">EFEITO!$L$244*EFEITO!$Z$244</f>
        <v>0</v>
      </c>
      <c r="L244" s="46">
        <f>EFEITO!$N$244*EFEITO!$AA$244</f>
        <v>0</v>
      </c>
      <c r="M244" s="46">
        <f ca="1">$J$244-EFEITO!$K$244*EFEITO!$Y$244</f>
        <v>141144.02671694392</v>
      </c>
      <c r="N244" s="46">
        <f ca="1">$K$244-EFEITO!$M$244*EFEITO!$Z$244</f>
        <v>0</v>
      </c>
      <c r="O244" s="46">
        <f>$L$244-EFEITO!$O$244*EFEITO!$AA$244</f>
        <v>0</v>
      </c>
      <c r="P244" s="38"/>
      <c r="Q244" s="38"/>
      <c r="R244" s="38"/>
      <c r="S244" s="38"/>
      <c r="T244" s="38"/>
      <c r="U244" s="38"/>
      <c r="V244" s="38"/>
      <c r="W244" s="38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</row>
    <row r="245" spans="1:36" ht="11.25" customHeight="1" x14ac:dyDescent="0.2">
      <c r="A245" s="35" t="s">
        <v>21</v>
      </c>
      <c r="B245" s="35" t="s">
        <v>41</v>
      </c>
      <c r="C245" s="35" t="s">
        <v>42</v>
      </c>
      <c r="D245" s="35" t="s">
        <v>40</v>
      </c>
      <c r="E245" s="35" t="s">
        <v>25</v>
      </c>
      <c r="F245" s="35" t="s">
        <v>60</v>
      </c>
      <c r="G245" s="35" t="s">
        <v>25</v>
      </c>
      <c r="H245" s="35" t="s">
        <v>36</v>
      </c>
      <c r="I245" s="45">
        <v>44562</v>
      </c>
      <c r="J245" s="46">
        <f ca="1">EFEITO!$J$245*EFEITO!$Y$245</f>
        <v>251699.34208720669</v>
      </c>
      <c r="K245" s="46">
        <f ca="1">EFEITO!$L$245*EFEITO!$Z$245</f>
        <v>0</v>
      </c>
      <c r="L245" s="46">
        <f>EFEITO!$N$245*EFEITO!$AA$245</f>
        <v>0</v>
      </c>
      <c r="M245" s="46">
        <f ca="1">$J$245-EFEITO!$K$245*EFEITO!$Y$245</f>
        <v>134734.65781928174</v>
      </c>
      <c r="N245" s="46">
        <f ca="1">$K$245-EFEITO!$M$245*EFEITO!$Z$245</f>
        <v>0</v>
      </c>
      <c r="O245" s="46">
        <f>$L$245-EFEITO!$O$245*EFEITO!$AA$245</f>
        <v>0</v>
      </c>
      <c r="P245" s="38"/>
      <c r="Q245" s="38"/>
      <c r="R245" s="38"/>
      <c r="S245" s="38"/>
      <c r="T245" s="38"/>
      <c r="U245" s="38"/>
      <c r="V245" s="38"/>
      <c r="W245" s="38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</row>
    <row r="246" spans="1:36" ht="11.25" customHeight="1" x14ac:dyDescent="0.2">
      <c r="A246" s="35" t="s">
        <v>21</v>
      </c>
      <c r="B246" s="35" t="s">
        <v>41</v>
      </c>
      <c r="C246" s="35" t="s">
        <v>42</v>
      </c>
      <c r="D246" s="35" t="s">
        <v>40</v>
      </c>
      <c r="E246" s="35" t="s">
        <v>25</v>
      </c>
      <c r="F246" s="35" t="s">
        <v>60</v>
      </c>
      <c r="G246" s="35" t="s">
        <v>25</v>
      </c>
      <c r="H246" s="35" t="s">
        <v>36</v>
      </c>
      <c r="I246" s="45">
        <v>44593</v>
      </c>
      <c r="J246" s="46">
        <f ca="1">EFEITO!$J$246*EFEITO!$Y$246</f>
        <v>252825.51364016961</v>
      </c>
      <c r="K246" s="46">
        <f ca="1">EFEITO!$L$246*EFEITO!$Z$246</f>
        <v>0</v>
      </c>
      <c r="L246" s="46">
        <f>EFEITO!$N$246*EFEITO!$AA$246</f>
        <v>0</v>
      </c>
      <c r="M246" s="46">
        <f ca="1">$J$246-EFEITO!$K$246*EFEITO!$Y$246</f>
        <v>125502.58497098018</v>
      </c>
      <c r="N246" s="46">
        <f ca="1">$K$246-EFEITO!$M$246*EFEITO!$Z$246</f>
        <v>0</v>
      </c>
      <c r="O246" s="46">
        <f>$L$246-EFEITO!$O$246*EFEITO!$AA$246</f>
        <v>0</v>
      </c>
      <c r="P246" s="38"/>
      <c r="Q246" s="38"/>
      <c r="R246" s="38"/>
      <c r="S246" s="38"/>
      <c r="T246" s="38"/>
      <c r="U246" s="38"/>
      <c r="V246" s="38"/>
      <c r="W246" s="38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</row>
    <row r="247" spans="1:36" ht="11.25" customHeight="1" x14ac:dyDescent="0.2">
      <c r="A247" s="35" t="s">
        <v>21</v>
      </c>
      <c r="B247" s="35" t="s">
        <v>41</v>
      </c>
      <c r="C247" s="35" t="s">
        <v>42</v>
      </c>
      <c r="D247" s="35" t="s">
        <v>40</v>
      </c>
      <c r="E247" s="35" t="s">
        <v>25</v>
      </c>
      <c r="F247" s="35" t="s">
        <v>60</v>
      </c>
      <c r="G247" s="35" t="s">
        <v>25</v>
      </c>
      <c r="H247" s="35" t="s">
        <v>36</v>
      </c>
      <c r="I247" s="45">
        <v>44621</v>
      </c>
      <c r="J247" s="46">
        <f ca="1">EFEITO!$J$247*EFEITO!$Y$247</f>
        <v>251192.5648883734</v>
      </c>
      <c r="K247" s="46">
        <f ca="1">EFEITO!$L$247*EFEITO!$Z$247</f>
        <v>0</v>
      </c>
      <c r="L247" s="46">
        <f>EFEITO!$N$247*EFEITO!$AA$247</f>
        <v>0</v>
      </c>
      <c r="M247" s="46">
        <f ca="1">$J$247-EFEITO!$K$247*EFEITO!$Y$247</f>
        <v>125345.08987929834</v>
      </c>
      <c r="N247" s="46">
        <f ca="1">$K$247-EFEITO!$M$247*EFEITO!$Z$247</f>
        <v>0</v>
      </c>
      <c r="O247" s="46">
        <f>$L$247-EFEITO!$O$247*EFEITO!$AA$247</f>
        <v>0</v>
      </c>
      <c r="P247" s="38"/>
      <c r="Q247" s="38"/>
      <c r="R247" s="38"/>
      <c r="S247" s="38"/>
      <c r="T247" s="38"/>
      <c r="U247" s="38"/>
      <c r="V247" s="38"/>
      <c r="W247" s="38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</row>
    <row r="248" spans="1:36" ht="11.25" customHeight="1" x14ac:dyDescent="0.2">
      <c r="A248" s="35" t="s">
        <v>21</v>
      </c>
      <c r="B248" s="35" t="s">
        <v>41</v>
      </c>
      <c r="C248" s="35" t="s">
        <v>42</v>
      </c>
      <c r="D248" s="35" t="s">
        <v>40</v>
      </c>
      <c r="E248" s="35" t="s">
        <v>25</v>
      </c>
      <c r="F248" s="35" t="s">
        <v>60</v>
      </c>
      <c r="G248" s="35" t="s">
        <v>25</v>
      </c>
      <c r="H248" s="35" t="s">
        <v>36</v>
      </c>
      <c r="I248" s="45">
        <v>44652</v>
      </c>
      <c r="J248" s="46">
        <f ca="1">EFEITO!$J$248*EFEITO!$Y$248</f>
        <v>250179.0104907068</v>
      </c>
      <c r="K248" s="46">
        <f ca="1">EFEITO!$L$248*EFEITO!$Z$248</f>
        <v>0</v>
      </c>
      <c r="L248" s="46">
        <f>EFEITO!$N$248*EFEITO!$AA$248</f>
        <v>0</v>
      </c>
      <c r="M248" s="46">
        <f ca="1">$J$248-EFEITO!$K$248*EFEITO!$Y$248</f>
        <v>124739.2546306664</v>
      </c>
      <c r="N248" s="46">
        <f ca="1">$K$248-EFEITO!$M$248*EFEITO!$Z$248</f>
        <v>0</v>
      </c>
      <c r="O248" s="46">
        <f>$L$248-EFEITO!$O$248*EFEITO!$AA$248</f>
        <v>0</v>
      </c>
      <c r="P248" s="38"/>
      <c r="Q248" s="38"/>
      <c r="R248" s="38"/>
      <c r="S248" s="38"/>
      <c r="T248" s="38"/>
      <c r="U248" s="38"/>
      <c r="V248" s="38"/>
      <c r="W248" s="38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</row>
    <row r="249" spans="1:36" ht="11.25" customHeight="1" x14ac:dyDescent="0.2">
      <c r="A249" s="35" t="s">
        <v>21</v>
      </c>
      <c r="B249" s="35" t="s">
        <v>41</v>
      </c>
      <c r="C249" s="35" t="s">
        <v>42</v>
      </c>
      <c r="D249" s="35" t="s">
        <v>40</v>
      </c>
      <c r="E249" s="35" t="s">
        <v>25</v>
      </c>
      <c r="F249" s="35" t="s">
        <v>60</v>
      </c>
      <c r="G249" s="35" t="s">
        <v>25</v>
      </c>
      <c r="H249" s="35" t="s">
        <v>36</v>
      </c>
      <c r="I249" s="45">
        <v>44682</v>
      </c>
      <c r="J249" s="46">
        <f ca="1">EFEITO!$J$249*EFEITO!$Y$249</f>
        <v>250235.31906835493</v>
      </c>
      <c r="K249" s="46">
        <f ca="1">EFEITO!$L$249*EFEITO!$Z$249</f>
        <v>0</v>
      </c>
      <c r="L249" s="46">
        <f>EFEITO!$N$249*EFEITO!$AA$249</f>
        <v>0</v>
      </c>
      <c r="M249" s="46">
        <f ca="1">$J$249-EFEITO!$K$249*EFEITO!$Y$249</f>
        <v>124892.44774701593</v>
      </c>
      <c r="N249" s="46">
        <f ca="1">$K$249-EFEITO!$M$249*EFEITO!$Z$249</f>
        <v>0</v>
      </c>
      <c r="O249" s="46">
        <f>$L$249-EFEITO!$O$249*EFEITO!$AA$249</f>
        <v>0</v>
      </c>
      <c r="P249" s="38"/>
      <c r="Q249" s="38"/>
      <c r="R249" s="38"/>
      <c r="S249" s="38"/>
      <c r="T249" s="38"/>
      <c r="U249" s="38"/>
      <c r="V249" s="38"/>
      <c r="W249" s="38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</row>
    <row r="250" spans="1:36" ht="11.25" customHeight="1" x14ac:dyDescent="0.2">
      <c r="A250" s="35" t="s">
        <v>21</v>
      </c>
      <c r="B250" s="35" t="s">
        <v>41</v>
      </c>
      <c r="C250" s="35" t="s">
        <v>42</v>
      </c>
      <c r="D250" s="35" t="s">
        <v>40</v>
      </c>
      <c r="E250" s="35" t="s">
        <v>25</v>
      </c>
      <c r="F250" s="35" t="s">
        <v>60</v>
      </c>
      <c r="G250" s="35" t="s">
        <v>25</v>
      </c>
      <c r="H250" s="35" t="s">
        <v>36</v>
      </c>
      <c r="I250" s="45">
        <v>44713</v>
      </c>
      <c r="J250" s="46">
        <f ca="1">EFEITO!$J$250*EFEITO!$Y$250</f>
        <v>250179.0104907068</v>
      </c>
      <c r="K250" s="46">
        <f ca="1">EFEITO!$L$250*EFEITO!$Z$250</f>
        <v>0</v>
      </c>
      <c r="L250" s="46">
        <f>EFEITO!$N$250*EFEITO!$AA$250</f>
        <v>0</v>
      </c>
      <c r="M250" s="46">
        <f ca="1">$J$250-EFEITO!$K$250*EFEITO!$Y$250</f>
        <v>124939.39783905896</v>
      </c>
      <c r="N250" s="46">
        <f ca="1">$K$250-EFEITO!$M$250*EFEITO!$Z$250</f>
        <v>0</v>
      </c>
      <c r="O250" s="46">
        <f>$L$250-EFEITO!$O$250*EFEITO!$AA$250</f>
        <v>0</v>
      </c>
      <c r="P250" s="38"/>
      <c r="Q250" s="38"/>
      <c r="R250" s="38"/>
      <c r="S250" s="38"/>
      <c r="T250" s="38"/>
      <c r="U250" s="38"/>
      <c r="V250" s="38"/>
      <c r="W250" s="38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</row>
    <row r="251" spans="1:36" ht="11.25" customHeight="1" x14ac:dyDescent="0.2">
      <c r="A251" s="35" t="s">
        <v>21</v>
      </c>
      <c r="B251" s="35" t="s">
        <v>41</v>
      </c>
      <c r="C251" s="35" t="s">
        <v>42</v>
      </c>
      <c r="D251" s="35" t="s">
        <v>40</v>
      </c>
      <c r="E251" s="35" t="s">
        <v>25</v>
      </c>
      <c r="F251" s="35" t="s">
        <v>60</v>
      </c>
      <c r="G251" s="35" t="s">
        <v>25</v>
      </c>
      <c r="H251" s="35" t="s">
        <v>36</v>
      </c>
      <c r="I251" s="45">
        <v>44743</v>
      </c>
      <c r="J251" s="46">
        <f ca="1">EFEITO!$J$251*EFEITO!$Y$251</f>
        <v>250179.0104907068</v>
      </c>
      <c r="K251" s="46">
        <f ca="1">EFEITO!$L$251*EFEITO!$Z$251</f>
        <v>0</v>
      </c>
      <c r="L251" s="46">
        <f>EFEITO!$N$251*EFEITO!$AA$251</f>
        <v>0</v>
      </c>
      <c r="M251" s="46">
        <f ca="1">$J$251-EFEITO!$K$251*EFEITO!$Y$251</f>
        <v>124639.18302647011</v>
      </c>
      <c r="N251" s="46">
        <f ca="1">$K$251-EFEITO!$M$251*EFEITO!$Z$251</f>
        <v>0</v>
      </c>
      <c r="O251" s="46">
        <f>$L$251-EFEITO!$O$251*EFEITO!$AA$251</f>
        <v>0</v>
      </c>
      <c r="P251" s="38"/>
      <c r="Q251" s="38"/>
      <c r="R251" s="38"/>
      <c r="S251" s="38"/>
      <c r="T251" s="38"/>
      <c r="U251" s="38"/>
      <c r="V251" s="38"/>
      <c r="W251" s="38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</row>
    <row r="252" spans="1:36" ht="11.25" customHeight="1" x14ac:dyDescent="0.2">
      <c r="A252" s="35" t="s">
        <v>21</v>
      </c>
      <c r="B252" s="35" t="s">
        <v>41</v>
      </c>
      <c r="C252" s="35" t="s">
        <v>42</v>
      </c>
      <c r="D252" s="35" t="s">
        <v>40</v>
      </c>
      <c r="E252" s="35" t="s">
        <v>25</v>
      </c>
      <c r="F252" s="35" t="s">
        <v>60</v>
      </c>
      <c r="G252" s="35" t="s">
        <v>25</v>
      </c>
      <c r="H252" s="35" t="s">
        <v>36</v>
      </c>
      <c r="I252" s="45">
        <v>44774</v>
      </c>
      <c r="J252" s="46">
        <f ca="1">EFEITO!$J$252*EFEITO!$Y$252</f>
        <v>251474.10777661414</v>
      </c>
      <c r="K252" s="46">
        <f ca="1">EFEITO!$L$252*EFEITO!$Z$252</f>
        <v>0</v>
      </c>
      <c r="L252" s="46">
        <f>EFEITO!$N$252*EFEITO!$AA$252</f>
        <v>0</v>
      </c>
      <c r="M252" s="46">
        <f ca="1">$J$252-EFEITO!$K$252*EFEITO!$Y$252</f>
        <v>125611.31683441876</v>
      </c>
      <c r="N252" s="46">
        <f ca="1">$K$252-EFEITO!$M$252*EFEITO!$Z$252</f>
        <v>0</v>
      </c>
      <c r="O252" s="46">
        <f>$L$252-EFEITO!$O$252*EFEITO!$AA$252</f>
        <v>0</v>
      </c>
      <c r="P252" s="38"/>
      <c r="Q252" s="38"/>
      <c r="R252" s="38"/>
      <c r="S252" s="38"/>
      <c r="T252" s="38"/>
      <c r="U252" s="38"/>
      <c r="V252" s="38"/>
      <c r="W252" s="38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</row>
    <row r="253" spans="1:36" ht="11.25" customHeight="1" x14ac:dyDescent="0.2">
      <c r="A253" s="35" t="s">
        <v>21</v>
      </c>
      <c r="B253" s="35" t="s">
        <v>41</v>
      </c>
      <c r="C253" s="35" t="s">
        <v>42</v>
      </c>
      <c r="D253" s="35" t="s">
        <v>40</v>
      </c>
      <c r="E253" s="35" t="s">
        <v>25</v>
      </c>
      <c r="F253" s="35" t="s">
        <v>60</v>
      </c>
      <c r="G253" s="35" t="s">
        <v>25</v>
      </c>
      <c r="H253" s="35" t="s">
        <v>36</v>
      </c>
      <c r="I253" s="45">
        <v>44805</v>
      </c>
      <c r="J253" s="46">
        <f ca="1">EFEITO!$J$253*EFEITO!$Y$253</f>
        <v>254740.00528020653</v>
      </c>
      <c r="K253" s="46">
        <f ca="1">EFEITO!$L$253*EFEITO!$Z$253</f>
        <v>0</v>
      </c>
      <c r="L253" s="46">
        <f>EFEITO!$N$253*EFEITO!$AA$253</f>
        <v>0</v>
      </c>
      <c r="M253" s="46">
        <f ca="1">$J$253-EFEITO!$K$253*EFEITO!$Y$253</f>
        <v>127293.58063851921</v>
      </c>
      <c r="N253" s="46">
        <f ca="1">$K$253-EFEITO!$M$253*EFEITO!$Z$253</f>
        <v>0</v>
      </c>
      <c r="O253" s="46">
        <f>$L$253-EFEITO!$O$253*EFEITO!$AA$253</f>
        <v>0</v>
      </c>
      <c r="P253" s="38"/>
      <c r="Q253" s="38"/>
      <c r="R253" s="38"/>
      <c r="S253" s="38"/>
      <c r="T253" s="38"/>
      <c r="U253" s="38"/>
      <c r="V253" s="38"/>
      <c r="W253" s="38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</row>
    <row r="254" spans="1:36" ht="11.25" customHeight="1" x14ac:dyDescent="0.2">
      <c r="A254" s="35" t="s">
        <v>21</v>
      </c>
      <c r="B254" s="35" t="s">
        <v>41</v>
      </c>
      <c r="C254" s="35" t="s">
        <v>42</v>
      </c>
      <c r="D254" s="35" t="s">
        <v>40</v>
      </c>
      <c r="E254" s="35" t="s">
        <v>25</v>
      </c>
      <c r="F254" s="35" t="s">
        <v>60</v>
      </c>
      <c r="G254" s="35" t="s">
        <v>25</v>
      </c>
      <c r="H254" s="35" t="s">
        <v>36</v>
      </c>
      <c r="I254" s="45">
        <v>44835</v>
      </c>
      <c r="J254" s="46">
        <f ca="1">EFEITO!$J$254*EFEITO!$Y$254</f>
        <v>258850.53144852107</v>
      </c>
      <c r="K254" s="46">
        <f ca="1">EFEITO!$L$254*EFEITO!$Z$254</f>
        <v>0</v>
      </c>
      <c r="L254" s="46">
        <f>EFEITO!$N$254*EFEITO!$AA$254</f>
        <v>0</v>
      </c>
      <c r="M254" s="46">
        <f ca="1">$J$254-EFEITO!$K$254*EFEITO!$Y$254</f>
        <v>128674.59918305982</v>
      </c>
      <c r="N254" s="46">
        <f ca="1">$K$254-EFEITO!$M$254*EFEITO!$Z$254</f>
        <v>0</v>
      </c>
      <c r="O254" s="46">
        <f>$L$254-EFEITO!$O$254*EFEITO!$AA$254</f>
        <v>0</v>
      </c>
      <c r="P254" s="38"/>
      <c r="Q254" s="38"/>
      <c r="R254" s="38"/>
      <c r="S254" s="38"/>
      <c r="T254" s="38"/>
      <c r="U254" s="38"/>
      <c r="V254" s="38"/>
      <c r="W254" s="38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</row>
    <row r="255" spans="1:36" ht="11.25" customHeight="1" x14ac:dyDescent="0.2">
      <c r="A255" s="35" t="s">
        <v>59</v>
      </c>
      <c r="B255" s="35" t="s">
        <v>41</v>
      </c>
      <c r="C255" s="35" t="s">
        <v>42</v>
      </c>
      <c r="D255" s="35" t="s">
        <v>40</v>
      </c>
      <c r="E255" s="35" t="s">
        <v>25</v>
      </c>
      <c r="F255" s="35" t="s">
        <v>60</v>
      </c>
      <c r="G255" s="35" t="s">
        <v>25</v>
      </c>
      <c r="H255" s="35" t="s">
        <v>36</v>
      </c>
      <c r="I255" s="45">
        <v>44866</v>
      </c>
      <c r="J255" s="46">
        <f ca="1">EFEITO!$J$255*EFEITO!$Y$255</f>
        <v>258850.53144852107</v>
      </c>
      <c r="K255" s="46">
        <f ca="1">EFEITO!$L$255*EFEITO!$Z$255</f>
        <v>0</v>
      </c>
      <c r="L255" s="46">
        <f>EFEITO!$N$255*EFEITO!$AA$255</f>
        <v>0</v>
      </c>
      <c r="M255" s="46">
        <f ca="1">$J$255-EFEITO!$K$255*EFEITO!$Y$255</f>
        <v>128674.59918305982</v>
      </c>
      <c r="N255" s="46">
        <f ca="1">$K$255-EFEITO!$M$255*EFEITO!$Z$255</f>
        <v>0</v>
      </c>
      <c r="O255" s="46">
        <f>$L$255-EFEITO!$O$255*EFEITO!$AA$255</f>
        <v>0</v>
      </c>
      <c r="P255" s="38"/>
      <c r="Q255" s="38"/>
      <c r="R255" s="38"/>
      <c r="S255" s="38"/>
      <c r="T255" s="38"/>
      <c r="U255" s="38"/>
      <c r="V255" s="38"/>
      <c r="W255" s="38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</row>
    <row r="256" spans="1:36" ht="11.25" customHeight="1" x14ac:dyDescent="0.2">
      <c r="A256" s="35" t="s">
        <v>21</v>
      </c>
      <c r="B256" s="35" t="s">
        <v>41</v>
      </c>
      <c r="C256" s="35" t="s">
        <v>42</v>
      </c>
      <c r="D256" s="35" t="s">
        <v>40</v>
      </c>
      <c r="E256" s="35" t="s">
        <v>25</v>
      </c>
      <c r="F256" s="35" t="s">
        <v>25</v>
      </c>
      <c r="G256" s="35" t="s">
        <v>25</v>
      </c>
      <c r="H256" s="35" t="s">
        <v>37</v>
      </c>
      <c r="I256" s="45">
        <v>44531</v>
      </c>
      <c r="J256" s="46">
        <f ca="1">EFEITO!$J$256*EFEITO!$Y$256</f>
        <v>2783.0539345804791</v>
      </c>
      <c r="K256" s="46">
        <f ca="1">EFEITO!$L$256*EFEITO!$Z$256</f>
        <v>3782.1369326010845</v>
      </c>
      <c r="L256" s="46">
        <f>EFEITO!$N$256*EFEITO!$AA$256</f>
        <v>7291.6282211191892</v>
      </c>
      <c r="M256" s="46">
        <f ca="1">$J$256-EFEITO!$K$256*EFEITO!$Y$256</f>
        <v>0</v>
      </c>
      <c r="N256" s="46">
        <f ca="1">$K$256-EFEITO!$M$256*EFEITO!$Z$256</f>
        <v>0</v>
      </c>
      <c r="O256" s="46">
        <f>$L$256-EFEITO!$O$256*EFEITO!$AA$256</f>
        <v>0</v>
      </c>
      <c r="P256" s="38"/>
      <c r="Q256" s="38"/>
      <c r="R256" s="38"/>
      <c r="S256" s="38"/>
      <c r="T256" s="38"/>
      <c r="U256" s="38"/>
      <c r="V256" s="38"/>
      <c r="W256" s="38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</row>
    <row r="257" spans="1:36" ht="11.25" customHeight="1" x14ac:dyDescent="0.2">
      <c r="A257" s="35" t="s">
        <v>28</v>
      </c>
      <c r="B257" s="35" t="s">
        <v>41</v>
      </c>
      <c r="C257" s="35" t="s">
        <v>42</v>
      </c>
      <c r="D257" s="35" t="s">
        <v>40</v>
      </c>
      <c r="E257" s="35" t="s">
        <v>25</v>
      </c>
      <c r="F257" s="35" t="s">
        <v>25</v>
      </c>
      <c r="G257" s="35" t="s">
        <v>25</v>
      </c>
      <c r="H257" s="35" t="s">
        <v>37</v>
      </c>
      <c r="I257" s="45">
        <v>44531</v>
      </c>
      <c r="J257" s="46">
        <f ca="1">EFEITO!$J$257*EFEITO!$Y$257</f>
        <v>22924.11833521106</v>
      </c>
      <c r="K257" s="46">
        <f ca="1">EFEITO!$L$257*EFEITO!$Z$257</f>
        <v>53135.717383188436</v>
      </c>
      <c r="L257" s="46">
        <f>EFEITO!$N$257*EFEITO!$AA$257</f>
        <v>102441.0018265025</v>
      </c>
      <c r="M257" s="46">
        <f ca="1">$J$257-EFEITO!$K$257*EFEITO!$Y$257</f>
        <v>0</v>
      </c>
      <c r="N257" s="46">
        <f ca="1">$K$257-EFEITO!$M$257*EFEITO!$Z$257</f>
        <v>0</v>
      </c>
      <c r="O257" s="46">
        <f>$L$257-EFEITO!$O$257*EFEITO!$AA$257</f>
        <v>0</v>
      </c>
      <c r="P257" s="38"/>
      <c r="Q257" s="38"/>
      <c r="R257" s="38"/>
      <c r="S257" s="38"/>
      <c r="T257" s="38"/>
      <c r="U257" s="38"/>
      <c r="V257" s="38"/>
      <c r="W257" s="38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</row>
    <row r="258" spans="1:36" ht="11.25" customHeight="1" x14ac:dyDescent="0.2">
      <c r="A258" s="35" t="s">
        <v>21</v>
      </c>
      <c r="B258" s="35" t="s">
        <v>41</v>
      </c>
      <c r="C258" s="35" t="s">
        <v>42</v>
      </c>
      <c r="D258" s="35" t="s">
        <v>40</v>
      </c>
      <c r="E258" s="35" t="s">
        <v>25</v>
      </c>
      <c r="F258" s="35" t="s">
        <v>25</v>
      </c>
      <c r="G258" s="35" t="s">
        <v>25</v>
      </c>
      <c r="H258" s="35" t="s">
        <v>37</v>
      </c>
      <c r="I258" s="45">
        <v>44562</v>
      </c>
      <c r="J258" s="46">
        <f ca="1">EFEITO!$J$258*EFEITO!$Y$258</f>
        <v>2783.0539345804791</v>
      </c>
      <c r="K258" s="46">
        <f ca="1">EFEITO!$L$258*EFEITO!$Z$258</f>
        <v>3866.6431862311661</v>
      </c>
      <c r="L258" s="46">
        <f>EFEITO!$N$258*EFEITO!$AA$258</f>
        <v>7454.5488648745131</v>
      </c>
      <c r="M258" s="46">
        <f ca="1">$J$258-EFEITO!$K$258*EFEITO!$Y$258</f>
        <v>0</v>
      </c>
      <c r="N258" s="46">
        <f ca="1">$K$258-EFEITO!$M$258*EFEITO!$Z$258</f>
        <v>0</v>
      </c>
      <c r="O258" s="46">
        <f>$L$258-EFEITO!$O$258*EFEITO!$AA$258</f>
        <v>0</v>
      </c>
      <c r="P258" s="38"/>
      <c r="Q258" s="38"/>
      <c r="R258" s="38"/>
      <c r="S258" s="38"/>
      <c r="T258" s="38"/>
      <c r="U258" s="38"/>
      <c r="V258" s="38"/>
      <c r="W258" s="38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</row>
    <row r="259" spans="1:36" ht="11.25" customHeight="1" x14ac:dyDescent="0.2">
      <c r="A259" s="35" t="s">
        <v>28</v>
      </c>
      <c r="B259" s="35" t="s">
        <v>41</v>
      </c>
      <c r="C259" s="35" t="s">
        <v>42</v>
      </c>
      <c r="D259" s="35" t="s">
        <v>40</v>
      </c>
      <c r="E259" s="35" t="s">
        <v>25</v>
      </c>
      <c r="F259" s="35" t="s">
        <v>25</v>
      </c>
      <c r="G259" s="35" t="s">
        <v>25</v>
      </c>
      <c r="H259" s="35" t="s">
        <v>37</v>
      </c>
      <c r="I259" s="45">
        <v>44562</v>
      </c>
      <c r="J259" s="46">
        <f ca="1">EFEITO!$J$259*EFEITO!$Y$259</f>
        <v>23377.653050476027</v>
      </c>
      <c r="K259" s="46">
        <f ca="1">EFEITO!$L$259*EFEITO!$Z$259</f>
        <v>55239.75295175807</v>
      </c>
      <c r="L259" s="46">
        <f>EFEITO!$N$259*EFEITO!$AA$259</f>
        <v>106497.39782786829</v>
      </c>
      <c r="M259" s="46">
        <f ca="1">$J$259-EFEITO!$K$259*EFEITO!$Y$259</f>
        <v>0</v>
      </c>
      <c r="N259" s="46">
        <f ca="1">$K$259-EFEITO!$M$259*EFEITO!$Z$259</f>
        <v>0</v>
      </c>
      <c r="O259" s="46">
        <f>$L$259-EFEITO!$O$259*EFEITO!$AA$259</f>
        <v>0</v>
      </c>
      <c r="P259" s="38"/>
      <c r="Q259" s="38"/>
      <c r="R259" s="38"/>
      <c r="S259" s="38"/>
      <c r="T259" s="38"/>
      <c r="U259" s="38"/>
      <c r="V259" s="38"/>
      <c r="W259" s="38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</row>
    <row r="260" spans="1:36" ht="11.25" customHeight="1" x14ac:dyDescent="0.2">
      <c r="A260" s="35" t="s">
        <v>21</v>
      </c>
      <c r="B260" s="35" t="s">
        <v>41</v>
      </c>
      <c r="C260" s="35" t="s">
        <v>42</v>
      </c>
      <c r="D260" s="35" t="s">
        <v>40</v>
      </c>
      <c r="E260" s="35" t="s">
        <v>25</v>
      </c>
      <c r="F260" s="35" t="s">
        <v>25</v>
      </c>
      <c r="G260" s="35" t="s">
        <v>25</v>
      </c>
      <c r="H260" s="35" t="s">
        <v>37</v>
      </c>
      <c r="I260" s="45">
        <v>44593</v>
      </c>
      <c r="J260" s="46">
        <f ca="1">EFEITO!$J$260*EFEITO!$Y$260</f>
        <v>2886.1300062316081</v>
      </c>
      <c r="K260" s="46">
        <f ca="1">EFEITO!$L$260*EFEITO!$Z$260</f>
        <v>3527.7107220074295</v>
      </c>
      <c r="L260" s="46">
        <f>EFEITO!$N$260*EFEITO!$AA$260</f>
        <v>6801.1168064303383</v>
      </c>
      <c r="M260" s="46">
        <f ca="1">$J$260-EFEITO!$K$260*EFEITO!$Y$260</f>
        <v>0</v>
      </c>
      <c r="N260" s="46">
        <f ca="1">$K$260-EFEITO!$M$260*EFEITO!$Z$260</f>
        <v>0</v>
      </c>
      <c r="O260" s="46">
        <f>$L$260-EFEITO!$O$260*EFEITO!$AA$260</f>
        <v>0</v>
      </c>
      <c r="P260" s="38"/>
      <c r="Q260" s="38"/>
      <c r="R260" s="38"/>
      <c r="S260" s="38"/>
      <c r="T260" s="38"/>
      <c r="U260" s="38"/>
      <c r="V260" s="38"/>
      <c r="W260" s="38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</row>
    <row r="261" spans="1:36" ht="11.25" customHeight="1" x14ac:dyDescent="0.2">
      <c r="A261" s="35" t="s">
        <v>28</v>
      </c>
      <c r="B261" s="35" t="s">
        <v>41</v>
      </c>
      <c r="C261" s="35" t="s">
        <v>42</v>
      </c>
      <c r="D261" s="35" t="s">
        <v>40</v>
      </c>
      <c r="E261" s="35" t="s">
        <v>25</v>
      </c>
      <c r="F261" s="35" t="s">
        <v>25</v>
      </c>
      <c r="G261" s="35" t="s">
        <v>25</v>
      </c>
      <c r="H261" s="35" t="s">
        <v>37</v>
      </c>
      <c r="I261" s="45">
        <v>44593</v>
      </c>
      <c r="J261" s="46">
        <f ca="1">EFEITO!$J$261*EFEITO!$Y$261</f>
        <v>22491.198834276318</v>
      </c>
      <c r="K261" s="46">
        <f ca="1">EFEITO!$L$261*EFEITO!$Z$261</f>
        <v>49009.089856930223</v>
      </c>
      <c r="L261" s="46">
        <f>EFEITO!$N$261*EFEITO!$AA$261</f>
        <v>94485.225960974014</v>
      </c>
      <c r="M261" s="46">
        <f ca="1">$J$261-EFEITO!$K$261*EFEITO!$Y$261</f>
        <v>0</v>
      </c>
      <c r="N261" s="46">
        <f ca="1">$K$261-EFEITO!$M$261*EFEITO!$Z$261</f>
        <v>0</v>
      </c>
      <c r="O261" s="46">
        <f>$L$261-EFEITO!$O$261*EFEITO!$AA$261</f>
        <v>0</v>
      </c>
      <c r="P261" s="38"/>
      <c r="Q261" s="38"/>
      <c r="R261" s="38"/>
      <c r="S261" s="38"/>
      <c r="T261" s="38"/>
      <c r="U261" s="38"/>
      <c r="V261" s="38"/>
      <c r="W261" s="38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</row>
    <row r="262" spans="1:36" ht="11.25" customHeight="1" x14ac:dyDescent="0.2">
      <c r="A262" s="35" t="s">
        <v>21</v>
      </c>
      <c r="B262" s="35" t="s">
        <v>41</v>
      </c>
      <c r="C262" s="35" t="s">
        <v>42</v>
      </c>
      <c r="D262" s="35" t="s">
        <v>40</v>
      </c>
      <c r="E262" s="35" t="s">
        <v>25</v>
      </c>
      <c r="F262" s="35" t="s">
        <v>25</v>
      </c>
      <c r="G262" s="35" t="s">
        <v>25</v>
      </c>
      <c r="H262" s="35" t="s">
        <v>37</v>
      </c>
      <c r="I262" s="45">
        <v>44621</v>
      </c>
      <c r="J262" s="46">
        <f ca="1">EFEITO!$J$262*EFEITO!$Y$262</f>
        <v>2783.0539345804791</v>
      </c>
      <c r="K262" s="46">
        <f ca="1">EFEITO!$L$262*EFEITO!$Z$262</f>
        <v>4230.1902236599053</v>
      </c>
      <c r="L262" s="46">
        <f>EFEITO!$N$262*EFEITO!$AA$262</f>
        <v>8155.4356611641988</v>
      </c>
      <c r="M262" s="46">
        <f ca="1">$J$262-EFEITO!$K$262*EFEITO!$Y$262</f>
        <v>0</v>
      </c>
      <c r="N262" s="46">
        <f ca="1">$K$262-EFEITO!$M$262*EFEITO!$Z$262</f>
        <v>0</v>
      </c>
      <c r="O262" s="46">
        <f>$L$262-EFEITO!$O$262*EFEITO!$AA$262</f>
        <v>0</v>
      </c>
      <c r="P262" s="38"/>
      <c r="Q262" s="38"/>
      <c r="R262" s="38"/>
      <c r="S262" s="38"/>
      <c r="T262" s="38"/>
      <c r="U262" s="38"/>
      <c r="V262" s="38"/>
      <c r="W262" s="38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</row>
    <row r="263" spans="1:36" ht="11.25" customHeight="1" x14ac:dyDescent="0.2">
      <c r="A263" s="35" t="s">
        <v>28</v>
      </c>
      <c r="B263" s="35" t="s">
        <v>41</v>
      </c>
      <c r="C263" s="35" t="s">
        <v>42</v>
      </c>
      <c r="D263" s="35" t="s">
        <v>40</v>
      </c>
      <c r="E263" s="35" t="s">
        <v>25</v>
      </c>
      <c r="F263" s="35" t="s">
        <v>25</v>
      </c>
      <c r="G263" s="35" t="s">
        <v>25</v>
      </c>
      <c r="H263" s="35" t="s">
        <v>37</v>
      </c>
      <c r="I263" s="45">
        <v>44621</v>
      </c>
      <c r="J263" s="46">
        <f ca="1">EFEITO!$J$263*EFEITO!$Y$263</f>
        <v>23192.116121503994</v>
      </c>
      <c r="K263" s="46">
        <f ca="1">EFEITO!$L$263*EFEITO!$Z$263</f>
        <v>55876.669212339155</v>
      </c>
      <c r="L263" s="46">
        <f>EFEITO!$N$263*EFEITO!$AA$263</f>
        <v>107725.31650529936</v>
      </c>
      <c r="M263" s="46">
        <f ca="1">$J$263-EFEITO!$K$263*EFEITO!$Y$263</f>
        <v>0</v>
      </c>
      <c r="N263" s="46">
        <f ca="1">$K$263-EFEITO!$M$263*EFEITO!$Z$263</f>
        <v>0</v>
      </c>
      <c r="O263" s="46">
        <f>$L$263-EFEITO!$O$263*EFEITO!$AA$263</f>
        <v>0</v>
      </c>
      <c r="P263" s="38"/>
      <c r="Q263" s="38"/>
      <c r="R263" s="38"/>
      <c r="S263" s="38"/>
      <c r="T263" s="38"/>
      <c r="U263" s="38"/>
      <c r="V263" s="38"/>
      <c r="W263" s="38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</row>
    <row r="264" spans="1:36" ht="11.25" customHeight="1" x14ac:dyDescent="0.2">
      <c r="A264" s="35" t="s">
        <v>21</v>
      </c>
      <c r="B264" s="35" t="s">
        <v>41</v>
      </c>
      <c r="C264" s="35" t="s">
        <v>42</v>
      </c>
      <c r="D264" s="35" t="s">
        <v>40</v>
      </c>
      <c r="E264" s="35" t="s">
        <v>25</v>
      </c>
      <c r="F264" s="35" t="s">
        <v>25</v>
      </c>
      <c r="G264" s="35" t="s">
        <v>25</v>
      </c>
      <c r="H264" s="35" t="s">
        <v>37</v>
      </c>
      <c r="I264" s="45">
        <v>44652</v>
      </c>
      <c r="J264" s="46">
        <f ca="1">EFEITO!$J$264*EFEITO!$Y$264</f>
        <v>2968.5908635525111</v>
      </c>
      <c r="K264" s="46">
        <f ca="1">EFEITO!$L$264*EFEITO!$Z$264</f>
        <v>4415.5368255814537</v>
      </c>
      <c r="L264" s="46">
        <f>EFEITO!$N$264*EFEITO!$AA$264</f>
        <v>8512.7676502866161</v>
      </c>
      <c r="M264" s="46">
        <f ca="1">$J$264-EFEITO!$K$264*EFEITO!$Y$264</f>
        <v>0</v>
      </c>
      <c r="N264" s="46">
        <f ca="1">$K$264-EFEITO!$M$264*EFEITO!$Z$264</f>
        <v>0</v>
      </c>
      <c r="O264" s="46">
        <f>$L$264-EFEITO!$O$264*EFEITO!$AA$264</f>
        <v>0</v>
      </c>
      <c r="P264" s="38"/>
      <c r="Q264" s="38"/>
      <c r="R264" s="38"/>
      <c r="S264" s="38"/>
      <c r="T264" s="38"/>
      <c r="U264" s="38"/>
      <c r="V264" s="38"/>
      <c r="W264" s="38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</row>
    <row r="265" spans="1:36" ht="11.25" customHeight="1" x14ac:dyDescent="0.2">
      <c r="A265" s="35" t="s">
        <v>28</v>
      </c>
      <c r="B265" s="35" t="s">
        <v>41</v>
      </c>
      <c r="C265" s="35" t="s">
        <v>42</v>
      </c>
      <c r="D265" s="35" t="s">
        <v>40</v>
      </c>
      <c r="E265" s="35" t="s">
        <v>25</v>
      </c>
      <c r="F265" s="35" t="s">
        <v>25</v>
      </c>
      <c r="G265" s="35" t="s">
        <v>25</v>
      </c>
      <c r="H265" s="35" t="s">
        <v>37</v>
      </c>
      <c r="I265" s="45">
        <v>44652</v>
      </c>
      <c r="J265" s="46">
        <f ca="1">EFEITO!$J$265*EFEITO!$Y$265</f>
        <v>22161.355404992704</v>
      </c>
      <c r="K265" s="46">
        <f ca="1">EFEITO!$L$265*EFEITO!$Z$265</f>
        <v>49181.959025429882</v>
      </c>
      <c r="L265" s="46">
        <f>EFEITO!$N$265*EFEITO!$AA$265</f>
        <v>94818.502553031882</v>
      </c>
      <c r="M265" s="46">
        <f ca="1">$J$265-EFEITO!$K$265*EFEITO!$Y$265</f>
        <v>0</v>
      </c>
      <c r="N265" s="46">
        <f ca="1">$K$265-EFEITO!$M$265*EFEITO!$Z$265</f>
        <v>0</v>
      </c>
      <c r="O265" s="46">
        <f>$L$265-EFEITO!$O$265*EFEITO!$AA$265</f>
        <v>0</v>
      </c>
      <c r="P265" s="38"/>
      <c r="Q265" s="38"/>
      <c r="R265" s="38"/>
      <c r="S265" s="38"/>
      <c r="T265" s="38"/>
      <c r="U265" s="38"/>
      <c r="V265" s="38"/>
      <c r="W265" s="38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</row>
    <row r="266" spans="1:36" ht="11.25" customHeight="1" x14ac:dyDescent="0.2">
      <c r="A266" s="35" t="s">
        <v>21</v>
      </c>
      <c r="B266" s="35" t="s">
        <v>41</v>
      </c>
      <c r="C266" s="35" t="s">
        <v>42</v>
      </c>
      <c r="D266" s="35" t="s">
        <v>40</v>
      </c>
      <c r="E266" s="35" t="s">
        <v>25</v>
      </c>
      <c r="F266" s="35" t="s">
        <v>25</v>
      </c>
      <c r="G266" s="35" t="s">
        <v>25</v>
      </c>
      <c r="H266" s="35" t="s">
        <v>37</v>
      </c>
      <c r="I266" s="45">
        <v>44682</v>
      </c>
      <c r="J266" s="46">
        <f ca="1">EFEITO!$J$266*EFEITO!$Y$266</f>
        <v>2844.8995775711564</v>
      </c>
      <c r="K266" s="46">
        <f ca="1">EFEITO!$L$266*EFEITO!$Z$266</f>
        <v>5112.6850602263949</v>
      </c>
      <c r="L266" s="46">
        <f>EFEITO!$N$266*EFEITO!$AA$266</f>
        <v>9856.8082899110814</v>
      </c>
      <c r="M266" s="46">
        <f ca="1">$J$266-EFEITO!$K$266*EFEITO!$Y$266</f>
        <v>0</v>
      </c>
      <c r="N266" s="46">
        <f ca="1">$K$266-EFEITO!$M$266*EFEITO!$Z$266</f>
        <v>0</v>
      </c>
      <c r="O266" s="46">
        <f>$L$266-EFEITO!$O$266*EFEITO!$AA$266</f>
        <v>0</v>
      </c>
      <c r="P266" s="38"/>
      <c r="Q266" s="38"/>
      <c r="R266" s="38"/>
      <c r="S266" s="38"/>
      <c r="T266" s="38"/>
      <c r="U266" s="38"/>
      <c r="V266" s="38"/>
      <c r="W266" s="38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</row>
    <row r="267" spans="1:36" ht="11.25" customHeight="1" x14ac:dyDescent="0.2">
      <c r="A267" s="35" t="s">
        <v>28</v>
      </c>
      <c r="B267" s="35" t="s">
        <v>41</v>
      </c>
      <c r="C267" s="35" t="s">
        <v>42</v>
      </c>
      <c r="D267" s="35" t="s">
        <v>40</v>
      </c>
      <c r="E267" s="35" t="s">
        <v>25</v>
      </c>
      <c r="F267" s="35" t="s">
        <v>25</v>
      </c>
      <c r="G267" s="35" t="s">
        <v>25</v>
      </c>
      <c r="H267" s="35" t="s">
        <v>37</v>
      </c>
      <c r="I267" s="45">
        <v>44682</v>
      </c>
      <c r="J267" s="46">
        <f ca="1">EFEITO!$J$267*EFEITO!$Y$267</f>
        <v>18553.692897203196</v>
      </c>
      <c r="K267" s="46">
        <f ca="1">EFEITO!$L$267*EFEITO!$Z$267</f>
        <v>46228.323672042374</v>
      </c>
      <c r="L267" s="46">
        <f>EFEITO!$N$267*EFEITO!$AA$267</f>
        <v>89124.15269699847</v>
      </c>
      <c r="M267" s="46">
        <f ca="1">$J$267-EFEITO!$K$267*EFEITO!$Y$267</f>
        <v>0</v>
      </c>
      <c r="N267" s="46">
        <f ca="1">$K$267-EFEITO!$M$267*EFEITO!$Z$267</f>
        <v>0</v>
      </c>
      <c r="O267" s="46">
        <f>$L$267-EFEITO!$O$267*EFEITO!$AA$267</f>
        <v>0</v>
      </c>
      <c r="P267" s="38"/>
      <c r="Q267" s="38"/>
      <c r="R267" s="38"/>
      <c r="S267" s="38"/>
      <c r="T267" s="38"/>
      <c r="U267" s="38"/>
      <c r="V267" s="38"/>
      <c r="W267" s="38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</row>
    <row r="268" spans="1:36" ht="11.25" customHeight="1" x14ac:dyDescent="0.2">
      <c r="A268" s="35" t="s">
        <v>21</v>
      </c>
      <c r="B268" s="35" t="s">
        <v>41</v>
      </c>
      <c r="C268" s="35" t="s">
        <v>42</v>
      </c>
      <c r="D268" s="35" t="s">
        <v>40</v>
      </c>
      <c r="E268" s="35" t="s">
        <v>25</v>
      </c>
      <c r="F268" s="35" t="s">
        <v>25</v>
      </c>
      <c r="G268" s="35" t="s">
        <v>25</v>
      </c>
      <c r="H268" s="35" t="s">
        <v>37</v>
      </c>
      <c r="I268" s="45">
        <v>44713</v>
      </c>
      <c r="J268" s="46">
        <f ca="1">EFEITO!$J$268*EFEITO!$Y$268</f>
        <v>2783.0539345804791</v>
      </c>
      <c r="K268" s="46">
        <f ca="1">EFEITO!$L$268*EFEITO!$Z$268</f>
        <v>4443.3274727483931</v>
      </c>
      <c r="L268" s="46">
        <f>EFEITO!$N$268*EFEITO!$AA$268</f>
        <v>8566.3455801121927</v>
      </c>
      <c r="M268" s="46">
        <f ca="1">$J$268-EFEITO!$K$268*EFEITO!$Y$268</f>
        <v>0</v>
      </c>
      <c r="N268" s="46">
        <f ca="1">$K$268-EFEITO!$M$268*EFEITO!$Z$268</f>
        <v>0</v>
      </c>
      <c r="O268" s="46">
        <f>$L$268-EFEITO!$O$268*EFEITO!$AA$268</f>
        <v>0</v>
      </c>
      <c r="P268" s="38"/>
      <c r="Q268" s="38"/>
      <c r="R268" s="38"/>
      <c r="S268" s="38"/>
      <c r="T268" s="38"/>
      <c r="U268" s="38"/>
      <c r="V268" s="38"/>
      <c r="W268" s="38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</row>
    <row r="269" spans="1:36" ht="11.25" customHeight="1" x14ac:dyDescent="0.2">
      <c r="A269" s="35" t="s">
        <v>27</v>
      </c>
      <c r="B269" s="35" t="s">
        <v>41</v>
      </c>
      <c r="C269" s="35" t="s">
        <v>42</v>
      </c>
      <c r="D269" s="35" t="s">
        <v>40</v>
      </c>
      <c r="E269" s="35" t="s">
        <v>25</v>
      </c>
      <c r="F269" s="35" t="s">
        <v>25</v>
      </c>
      <c r="G269" s="35" t="s">
        <v>25</v>
      </c>
      <c r="H269" s="35" t="s">
        <v>37</v>
      </c>
      <c r="I269" s="45">
        <v>44713</v>
      </c>
      <c r="J269" s="46">
        <f ca="1">EFEITO!$J$269*EFEITO!$Y$269</f>
        <v>3710.7385794406391</v>
      </c>
      <c r="K269" s="46">
        <f ca="1">EFEITO!$L$269*EFEITO!$Z$269</f>
        <v>2413.8162110713215</v>
      </c>
      <c r="L269" s="46">
        <f>EFEITO!$N$269*EFEITO!$AA$269</f>
        <v>4653.6259048500833</v>
      </c>
      <c r="M269" s="46">
        <f ca="1">$J$269-EFEITO!$K$269*EFEITO!$Y$269</f>
        <v>0</v>
      </c>
      <c r="N269" s="46">
        <f ca="1">$K$269-EFEITO!$M$269*EFEITO!$Z$269</f>
        <v>0</v>
      </c>
      <c r="O269" s="46">
        <f>$L$269-EFEITO!$O$269*EFEITO!$AA$269</f>
        <v>0</v>
      </c>
      <c r="P269" s="38"/>
      <c r="Q269" s="38"/>
      <c r="R269" s="38"/>
      <c r="S269" s="38"/>
      <c r="T269" s="38"/>
      <c r="U269" s="38"/>
      <c r="V269" s="38"/>
      <c r="W269" s="38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</row>
    <row r="270" spans="1:36" ht="11.25" customHeight="1" x14ac:dyDescent="0.2">
      <c r="A270" s="35" t="s">
        <v>28</v>
      </c>
      <c r="B270" s="35" t="s">
        <v>41</v>
      </c>
      <c r="C270" s="35" t="s">
        <v>42</v>
      </c>
      <c r="D270" s="35" t="s">
        <v>40</v>
      </c>
      <c r="E270" s="35" t="s">
        <v>25</v>
      </c>
      <c r="F270" s="35" t="s">
        <v>25</v>
      </c>
      <c r="G270" s="35" t="s">
        <v>25</v>
      </c>
      <c r="H270" s="35" t="s">
        <v>37</v>
      </c>
      <c r="I270" s="45">
        <v>44713</v>
      </c>
      <c r="J270" s="46">
        <f ca="1">EFEITO!$J$270*EFEITO!$Y$270</f>
        <v>23027.194406862189</v>
      </c>
      <c r="K270" s="46">
        <f ca="1">EFEITO!$L$270*EFEITO!$Z$270</f>
        <v>59648.257042138102</v>
      </c>
      <c r="L270" s="46">
        <f>EFEITO!$N$270*EFEITO!$AA$270</f>
        <v>114996.60698162763</v>
      </c>
      <c r="M270" s="46">
        <f ca="1">$J$270-EFEITO!$K$270*EFEITO!$Y$270</f>
        <v>0</v>
      </c>
      <c r="N270" s="46">
        <f ca="1">$K$270-EFEITO!$M$270*EFEITO!$Z$270</f>
        <v>0</v>
      </c>
      <c r="O270" s="46">
        <f>$L$270-EFEITO!$O$270*EFEITO!$AA$270</f>
        <v>0</v>
      </c>
      <c r="P270" s="38"/>
      <c r="Q270" s="38"/>
      <c r="R270" s="38"/>
      <c r="S270" s="38"/>
      <c r="T270" s="38"/>
      <c r="U270" s="38"/>
      <c r="V270" s="38"/>
      <c r="W270" s="38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</row>
    <row r="271" spans="1:36" ht="11.25" customHeight="1" x14ac:dyDescent="0.2">
      <c r="A271" s="35" t="s">
        <v>21</v>
      </c>
      <c r="B271" s="35" t="s">
        <v>41</v>
      </c>
      <c r="C271" s="35" t="s">
        <v>42</v>
      </c>
      <c r="D271" s="35" t="s">
        <v>40</v>
      </c>
      <c r="E271" s="35" t="s">
        <v>25</v>
      </c>
      <c r="F271" s="35" t="s">
        <v>25</v>
      </c>
      <c r="G271" s="35" t="s">
        <v>25</v>
      </c>
      <c r="H271" s="35" t="s">
        <v>37</v>
      </c>
      <c r="I271" s="45">
        <v>44743</v>
      </c>
      <c r="J271" s="46">
        <f ca="1">EFEITO!$J$271*EFEITO!$Y$271</f>
        <v>3030.4365065431884</v>
      </c>
      <c r="K271" s="46">
        <f ca="1">EFEITO!$L$271*EFEITO!$Z$271</f>
        <v>4949.9112696771772</v>
      </c>
      <c r="L271" s="46">
        <f>EFEITO!$N$271*EFEITO!$AA$271</f>
        <v>9542.9947009327043</v>
      </c>
      <c r="M271" s="46">
        <f ca="1">$J$271-EFEITO!$K$271*EFEITO!$Y$271</f>
        <v>0</v>
      </c>
      <c r="N271" s="46">
        <f ca="1">$K$271-EFEITO!$M$271*EFEITO!$Z$271</f>
        <v>0</v>
      </c>
      <c r="O271" s="46">
        <f>$L$271-EFEITO!$O$271*EFEITO!$AA$271</f>
        <v>0</v>
      </c>
      <c r="P271" s="38"/>
      <c r="Q271" s="38"/>
      <c r="R271" s="38"/>
      <c r="S271" s="38"/>
      <c r="T271" s="38"/>
      <c r="U271" s="38"/>
      <c r="V271" s="38"/>
      <c r="W271" s="38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</row>
    <row r="272" spans="1:36" ht="11.25" customHeight="1" x14ac:dyDescent="0.2">
      <c r="A272" s="35" t="s">
        <v>28</v>
      </c>
      <c r="B272" s="35" t="s">
        <v>41</v>
      </c>
      <c r="C272" s="35" t="s">
        <v>42</v>
      </c>
      <c r="D272" s="35" t="s">
        <v>40</v>
      </c>
      <c r="E272" s="35" t="s">
        <v>25</v>
      </c>
      <c r="F272" s="35" t="s">
        <v>25</v>
      </c>
      <c r="G272" s="35" t="s">
        <v>25</v>
      </c>
      <c r="H272" s="35" t="s">
        <v>37</v>
      </c>
      <c r="I272" s="45">
        <v>44743</v>
      </c>
      <c r="J272" s="46">
        <f ca="1">EFEITO!$J$272*EFEITO!$Y$272</f>
        <v>23089.040049852865</v>
      </c>
      <c r="K272" s="46">
        <f ca="1">EFEITO!$L$272*EFEITO!$Z$272</f>
        <v>57303.520439738881</v>
      </c>
      <c r="L272" s="46">
        <f>EFEITO!$N$272*EFEITO!$AA$272</f>
        <v>110476.16050234396</v>
      </c>
      <c r="M272" s="46">
        <f ca="1">$J$272-EFEITO!$K$272*EFEITO!$Y$272</f>
        <v>0</v>
      </c>
      <c r="N272" s="46">
        <f ca="1">$K$272-EFEITO!$M$272*EFEITO!$Z$272</f>
        <v>0</v>
      </c>
      <c r="O272" s="46">
        <f>$L$272-EFEITO!$O$272*EFEITO!$AA$272</f>
        <v>0</v>
      </c>
      <c r="P272" s="38"/>
      <c r="Q272" s="38"/>
      <c r="R272" s="38"/>
      <c r="S272" s="38"/>
      <c r="T272" s="38"/>
      <c r="U272" s="38"/>
      <c r="V272" s="38"/>
      <c r="W272" s="38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</row>
    <row r="273" spans="1:36" ht="11.25" customHeight="1" x14ac:dyDescent="0.2">
      <c r="A273" s="35" t="s">
        <v>21</v>
      </c>
      <c r="B273" s="35" t="s">
        <v>41</v>
      </c>
      <c r="C273" s="35" t="s">
        <v>42</v>
      </c>
      <c r="D273" s="35" t="s">
        <v>40</v>
      </c>
      <c r="E273" s="35" t="s">
        <v>25</v>
      </c>
      <c r="F273" s="35" t="s">
        <v>25</v>
      </c>
      <c r="G273" s="35" t="s">
        <v>25</v>
      </c>
      <c r="H273" s="35" t="s">
        <v>37</v>
      </c>
      <c r="I273" s="45">
        <v>44774</v>
      </c>
      <c r="J273" s="46">
        <f ca="1">EFEITO!$J$273*EFEITO!$Y$273</f>
        <v>2989.2060778827367</v>
      </c>
      <c r="K273" s="46">
        <f ca="1">EFEITO!$L$273*EFEITO!$Z$273</f>
        <v>4926.5444398143627</v>
      </c>
      <c r="L273" s="46">
        <f>EFEITO!$N$273*EFEITO!$AA$273</f>
        <v>9497.9455027936474</v>
      </c>
      <c r="M273" s="46">
        <f ca="1">$J$273-EFEITO!$K$273*EFEITO!$Y$273</f>
        <v>0</v>
      </c>
      <c r="N273" s="46">
        <f ca="1">$K$273-EFEITO!$M$273*EFEITO!$Z$273</f>
        <v>0</v>
      </c>
      <c r="O273" s="46">
        <f>$L$273-EFEITO!$O$273*EFEITO!$AA$273</f>
        <v>0</v>
      </c>
      <c r="P273" s="38"/>
      <c r="Q273" s="38"/>
      <c r="R273" s="38"/>
      <c r="S273" s="38"/>
      <c r="T273" s="38"/>
      <c r="U273" s="38"/>
      <c r="V273" s="38"/>
      <c r="W273" s="38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</row>
    <row r="274" spans="1:36" ht="11.25" customHeight="1" x14ac:dyDescent="0.2">
      <c r="A274" s="35" t="s">
        <v>28</v>
      </c>
      <c r="B274" s="35" t="s">
        <v>41</v>
      </c>
      <c r="C274" s="35" t="s">
        <v>42</v>
      </c>
      <c r="D274" s="35" t="s">
        <v>40</v>
      </c>
      <c r="E274" s="35" t="s">
        <v>25</v>
      </c>
      <c r="F274" s="35" t="s">
        <v>25</v>
      </c>
      <c r="G274" s="35" t="s">
        <v>25</v>
      </c>
      <c r="H274" s="35" t="s">
        <v>37</v>
      </c>
      <c r="I274" s="45">
        <v>44774</v>
      </c>
      <c r="J274" s="46">
        <f ca="1">EFEITO!$J$274*EFEITO!$Y$274</f>
        <v>23439.498693466703</v>
      </c>
      <c r="K274" s="46">
        <f ca="1">EFEITO!$L$274*EFEITO!$Z$274</f>
        <v>61608.348401504285</v>
      </c>
      <c r="L274" s="46">
        <f>EFEITO!$N$274*EFEITO!$AA$274</f>
        <v>118775.49117503972</v>
      </c>
      <c r="M274" s="46">
        <f ca="1">$J$274-EFEITO!$K$274*EFEITO!$Y$274</f>
        <v>0</v>
      </c>
      <c r="N274" s="46">
        <f ca="1">$K$274-EFEITO!$M$274*EFEITO!$Z$274</f>
        <v>0</v>
      </c>
      <c r="O274" s="46">
        <f>$L$274-EFEITO!$O$274*EFEITO!$AA$274</f>
        <v>0</v>
      </c>
      <c r="P274" s="38"/>
      <c r="Q274" s="38"/>
      <c r="R274" s="38"/>
      <c r="S274" s="38"/>
      <c r="T274" s="38"/>
      <c r="U274" s="38"/>
      <c r="V274" s="38"/>
      <c r="W274" s="38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</row>
    <row r="275" spans="1:36" ht="11.25" customHeight="1" x14ac:dyDescent="0.2">
      <c r="A275" s="35" t="s">
        <v>21</v>
      </c>
      <c r="B275" s="35" t="s">
        <v>41</v>
      </c>
      <c r="C275" s="35" t="s">
        <v>42</v>
      </c>
      <c r="D275" s="35" t="s">
        <v>40</v>
      </c>
      <c r="E275" s="35" t="s">
        <v>25</v>
      </c>
      <c r="F275" s="35" t="s">
        <v>25</v>
      </c>
      <c r="G275" s="35" t="s">
        <v>25</v>
      </c>
      <c r="H275" s="35" t="s">
        <v>37</v>
      </c>
      <c r="I275" s="45">
        <v>44805</v>
      </c>
      <c r="J275" s="46">
        <f ca="1">EFEITO!$J$275*EFEITO!$Y$275</f>
        <v>2927.3604348920594</v>
      </c>
      <c r="K275" s="46">
        <f ca="1">EFEITO!$L$275*EFEITO!$Z$275</f>
        <v>5011.3909870832231</v>
      </c>
      <c r="L275" s="46">
        <f>EFEITO!$N$275*EFEITO!$AA$275</f>
        <v>9661.5222028325516</v>
      </c>
      <c r="M275" s="46">
        <f ca="1">$J$275-EFEITO!$K$275*EFEITO!$Y$275</f>
        <v>0</v>
      </c>
      <c r="N275" s="46">
        <f ca="1">$K$275-EFEITO!$M$275*EFEITO!$Z$275</f>
        <v>0</v>
      </c>
      <c r="O275" s="46">
        <f>$L$275-EFEITO!$O$275*EFEITO!$AA$275</f>
        <v>0</v>
      </c>
      <c r="P275" s="38"/>
      <c r="Q275" s="38"/>
      <c r="R275" s="38"/>
      <c r="S275" s="38"/>
      <c r="T275" s="38"/>
      <c r="U275" s="38"/>
      <c r="V275" s="38"/>
      <c r="W275" s="38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</row>
    <row r="276" spans="1:36" ht="11.25" customHeight="1" x14ac:dyDescent="0.2">
      <c r="A276" s="35" t="s">
        <v>28</v>
      </c>
      <c r="B276" s="35" t="s">
        <v>41</v>
      </c>
      <c r="C276" s="35" t="s">
        <v>42</v>
      </c>
      <c r="D276" s="35" t="s">
        <v>40</v>
      </c>
      <c r="E276" s="35" t="s">
        <v>25</v>
      </c>
      <c r="F276" s="35" t="s">
        <v>25</v>
      </c>
      <c r="G276" s="35" t="s">
        <v>25</v>
      </c>
      <c r="H276" s="35" t="s">
        <v>37</v>
      </c>
      <c r="I276" s="45">
        <v>44805</v>
      </c>
      <c r="J276" s="46">
        <f ca="1">EFEITO!$J$276*EFEITO!$Y$276</f>
        <v>25583.480983810183</v>
      </c>
      <c r="K276" s="46">
        <f ca="1">EFEITO!$L$276*EFEITO!$Z$276</f>
        <v>66291.242595952994</v>
      </c>
      <c r="L276" s="46">
        <f>EFEITO!$N$276*EFEITO!$AA$276</f>
        <v>127803.70037879117</v>
      </c>
      <c r="M276" s="46">
        <f ca="1">$J$276-EFEITO!$K$276*EFEITO!$Y$276</f>
        <v>0</v>
      </c>
      <c r="N276" s="46">
        <f ca="1">$K$276-EFEITO!$M$276*EFEITO!$Z$276</f>
        <v>0</v>
      </c>
      <c r="O276" s="46">
        <f>$L$276-EFEITO!$O$276*EFEITO!$AA$276</f>
        <v>0</v>
      </c>
      <c r="P276" s="38"/>
      <c r="Q276" s="38"/>
      <c r="R276" s="38"/>
      <c r="S276" s="38"/>
      <c r="T276" s="38"/>
      <c r="U276" s="38"/>
      <c r="V276" s="38"/>
      <c r="W276" s="38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</row>
    <row r="277" spans="1:36" ht="11.25" customHeight="1" x14ac:dyDescent="0.2">
      <c r="A277" s="35" t="s">
        <v>21</v>
      </c>
      <c r="B277" s="35" t="s">
        <v>41</v>
      </c>
      <c r="C277" s="35" t="s">
        <v>42</v>
      </c>
      <c r="D277" s="35" t="s">
        <v>40</v>
      </c>
      <c r="E277" s="35" t="s">
        <v>25</v>
      </c>
      <c r="F277" s="35" t="s">
        <v>25</v>
      </c>
      <c r="G277" s="35" t="s">
        <v>25</v>
      </c>
      <c r="H277" s="35" t="s">
        <v>37</v>
      </c>
      <c r="I277" s="45">
        <v>44835</v>
      </c>
      <c r="J277" s="46">
        <f ca="1">EFEITO!$J$277*EFEITO!$Y$277</f>
        <v>4184.8885090358317</v>
      </c>
      <c r="K277" s="46">
        <f ca="1">EFEITO!$L$277*EFEITO!$Z$277</f>
        <v>6212.0603759079386</v>
      </c>
      <c r="L277" s="46">
        <f>EFEITO!$N$277*EFEITO!$AA$277</f>
        <v>11976.307456725321</v>
      </c>
      <c r="M277" s="46">
        <f ca="1">$J$277-EFEITO!$K$277*EFEITO!$Y$277</f>
        <v>0</v>
      </c>
      <c r="N277" s="46">
        <f ca="1">$K$277-EFEITO!$M$277*EFEITO!$Z$277</f>
        <v>0</v>
      </c>
      <c r="O277" s="46">
        <f>$L$277-EFEITO!$O$277*EFEITO!$AA$277</f>
        <v>0</v>
      </c>
      <c r="P277" s="38"/>
      <c r="Q277" s="38"/>
      <c r="R277" s="38"/>
      <c r="S277" s="38"/>
      <c r="T277" s="38"/>
      <c r="U277" s="38"/>
      <c r="V277" s="38"/>
      <c r="W277" s="38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</row>
    <row r="278" spans="1:36" ht="11.25" customHeight="1" x14ac:dyDescent="0.2">
      <c r="A278" s="35" t="s">
        <v>28</v>
      </c>
      <c r="B278" s="35" t="s">
        <v>41</v>
      </c>
      <c r="C278" s="35" t="s">
        <v>42</v>
      </c>
      <c r="D278" s="35" t="s">
        <v>40</v>
      </c>
      <c r="E278" s="35" t="s">
        <v>25</v>
      </c>
      <c r="F278" s="35" t="s">
        <v>25</v>
      </c>
      <c r="G278" s="35" t="s">
        <v>25</v>
      </c>
      <c r="H278" s="35" t="s">
        <v>37</v>
      </c>
      <c r="I278" s="45">
        <v>44835</v>
      </c>
      <c r="J278" s="46">
        <f ca="1">EFEITO!$J$278*EFEITO!$Y$278</f>
        <v>24078.570337703703</v>
      </c>
      <c r="K278" s="46">
        <f ca="1">EFEITO!$L$278*EFEITO!$Z$278</f>
        <v>63968.738511287323</v>
      </c>
      <c r="L278" s="46">
        <f>EFEITO!$N$278*EFEITO!$AA$278</f>
        <v>123326.11624336797</v>
      </c>
      <c r="M278" s="46">
        <f ca="1">$J$278-EFEITO!$K$278*EFEITO!$Y$278</f>
        <v>0</v>
      </c>
      <c r="N278" s="46">
        <f ca="1">$K$278-EFEITO!$M$278*EFEITO!$Z$278</f>
        <v>0</v>
      </c>
      <c r="O278" s="46">
        <f>$L$278-EFEITO!$O$278*EFEITO!$AA$278</f>
        <v>0</v>
      </c>
      <c r="P278" s="38"/>
      <c r="Q278" s="38"/>
      <c r="R278" s="38"/>
      <c r="S278" s="38"/>
      <c r="T278" s="38"/>
      <c r="U278" s="38"/>
      <c r="V278" s="38"/>
      <c r="W278" s="38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</row>
    <row r="279" spans="1:36" ht="11.25" customHeight="1" x14ac:dyDescent="0.2">
      <c r="A279" s="35" t="s">
        <v>59</v>
      </c>
      <c r="B279" s="35" t="s">
        <v>41</v>
      </c>
      <c r="C279" s="35" t="s">
        <v>42</v>
      </c>
      <c r="D279" s="35" t="s">
        <v>40</v>
      </c>
      <c r="E279" s="35" t="s">
        <v>25</v>
      </c>
      <c r="F279" s="35" t="s">
        <v>25</v>
      </c>
      <c r="G279" s="35" t="s">
        <v>25</v>
      </c>
      <c r="H279" s="35" t="s">
        <v>37</v>
      </c>
      <c r="I279" s="45">
        <v>44866</v>
      </c>
      <c r="J279" s="46">
        <f ca="1">EFEITO!$J$279*EFEITO!$Y$279</f>
        <v>4184.8885090358317</v>
      </c>
      <c r="K279" s="46">
        <f ca="1">EFEITO!$L$279*EFEITO!$Z$279</f>
        <v>6212.0603759079386</v>
      </c>
      <c r="L279" s="46">
        <f>EFEITO!$N$279*EFEITO!$AA$279</f>
        <v>11976.307456725321</v>
      </c>
      <c r="M279" s="46">
        <f ca="1">$J$279-EFEITO!$K$279*EFEITO!$Y$279</f>
        <v>0</v>
      </c>
      <c r="N279" s="46">
        <f ca="1">$K$279-EFEITO!$M$279*EFEITO!$Z$279</f>
        <v>0</v>
      </c>
      <c r="O279" s="46">
        <f>$L$279-EFEITO!$O$279*EFEITO!$AA$279</f>
        <v>0</v>
      </c>
      <c r="P279" s="38"/>
      <c r="Q279" s="38"/>
      <c r="R279" s="38"/>
      <c r="S279" s="38"/>
      <c r="T279" s="38"/>
      <c r="U279" s="38"/>
      <c r="V279" s="38"/>
      <c r="W279" s="38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</row>
    <row r="280" spans="1:36" ht="11.25" customHeight="1" x14ac:dyDescent="0.2">
      <c r="A280" s="35" t="s">
        <v>59</v>
      </c>
      <c r="B280" s="35" t="s">
        <v>41</v>
      </c>
      <c r="C280" s="35" t="s">
        <v>42</v>
      </c>
      <c r="D280" s="35" t="s">
        <v>40</v>
      </c>
      <c r="E280" s="35" t="s">
        <v>25</v>
      </c>
      <c r="F280" s="35" t="s">
        <v>25</v>
      </c>
      <c r="G280" s="35" t="s">
        <v>25</v>
      </c>
      <c r="H280" s="35" t="s">
        <v>37</v>
      </c>
      <c r="I280" s="45">
        <v>44866</v>
      </c>
      <c r="J280" s="46">
        <f ca="1">EFEITO!$J$280*EFEITO!$Y$280</f>
        <v>24078.570337703703</v>
      </c>
      <c r="K280" s="46">
        <f ca="1">EFEITO!$L$280*EFEITO!$Z$280</f>
        <v>63968.738511287323</v>
      </c>
      <c r="L280" s="46">
        <f>EFEITO!$N$280*EFEITO!$AA$280</f>
        <v>123326.11624336797</v>
      </c>
      <c r="M280" s="46">
        <f ca="1">$J$280-EFEITO!$K$280*EFEITO!$Y$280</f>
        <v>0</v>
      </c>
      <c r="N280" s="46">
        <f ca="1">$K$280-EFEITO!$M$280*EFEITO!$Z$280</f>
        <v>0</v>
      </c>
      <c r="O280" s="46">
        <f>$L$280-EFEITO!$O$280*EFEITO!$AA$280</f>
        <v>0</v>
      </c>
      <c r="P280" s="38"/>
      <c r="Q280" s="38"/>
      <c r="R280" s="38"/>
      <c r="S280" s="38"/>
      <c r="T280" s="38"/>
      <c r="U280" s="38"/>
      <c r="V280" s="38"/>
      <c r="W280" s="38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</row>
    <row r="281" spans="1:36" ht="11.25" customHeight="1" x14ac:dyDescent="0.2">
      <c r="A281" s="35" t="s">
        <v>21</v>
      </c>
      <c r="B281" s="35" t="s">
        <v>41</v>
      </c>
      <c r="C281" s="35" t="s">
        <v>42</v>
      </c>
      <c r="D281" s="35" t="s">
        <v>40</v>
      </c>
      <c r="E281" s="35" t="s">
        <v>25</v>
      </c>
      <c r="F281" s="35" t="s">
        <v>25</v>
      </c>
      <c r="G281" s="35" t="s">
        <v>25</v>
      </c>
      <c r="H281" s="35" t="s">
        <v>36</v>
      </c>
      <c r="I281" s="45">
        <v>44531</v>
      </c>
      <c r="J281" s="46">
        <f ca="1">EFEITO!$J$281*EFEITO!$Y$281</f>
        <v>6475.4864295366378</v>
      </c>
      <c r="K281" s="46">
        <f ca="1">EFEITO!$L$281*EFEITO!$Z$281</f>
        <v>380.10799451597734</v>
      </c>
      <c r="L281" s="46">
        <f>EFEITO!$N$281*EFEITO!$AA$281</f>
        <v>1215.219999875844</v>
      </c>
      <c r="M281" s="46">
        <f ca="1">$J$281-EFEITO!$K$281*EFEITO!$Y$281</f>
        <v>0</v>
      </c>
      <c r="N281" s="46">
        <f ca="1">$K$281-EFEITO!$M$281*EFEITO!$Z$281</f>
        <v>0</v>
      </c>
      <c r="O281" s="46">
        <f>$L$281-EFEITO!$O$281*EFEITO!$AA$281</f>
        <v>0</v>
      </c>
      <c r="P281" s="38"/>
      <c r="Q281" s="38"/>
      <c r="R281" s="38"/>
      <c r="S281" s="38"/>
      <c r="T281" s="38"/>
      <c r="U281" s="38"/>
      <c r="V281" s="38"/>
      <c r="W281" s="38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</row>
    <row r="282" spans="1:36" ht="11.25" customHeight="1" x14ac:dyDescent="0.2">
      <c r="A282" s="35" t="s">
        <v>28</v>
      </c>
      <c r="B282" s="35" t="s">
        <v>41</v>
      </c>
      <c r="C282" s="35" t="s">
        <v>42</v>
      </c>
      <c r="D282" s="35" t="s">
        <v>40</v>
      </c>
      <c r="E282" s="35" t="s">
        <v>25</v>
      </c>
      <c r="F282" s="35" t="s">
        <v>25</v>
      </c>
      <c r="G282" s="35" t="s">
        <v>25</v>
      </c>
      <c r="H282" s="35" t="s">
        <v>36</v>
      </c>
      <c r="I282" s="45">
        <v>44531</v>
      </c>
      <c r="J282" s="46">
        <f ca="1">EFEITO!$J$282*EFEITO!$Y$282</f>
        <v>71061.424991958585</v>
      </c>
      <c r="K282" s="46">
        <f ca="1">EFEITO!$L$282*EFEITO!$Z$282</f>
        <v>6066.3012672976629</v>
      </c>
      <c r="L282" s="46">
        <f>EFEITO!$N$282*EFEITO!$AA$282</f>
        <v>19394.200415804276</v>
      </c>
      <c r="M282" s="46">
        <f ca="1">$J$282-EFEITO!$K$282*EFEITO!$Y$282</f>
        <v>0</v>
      </c>
      <c r="N282" s="46">
        <f ca="1">$K$282-EFEITO!$M$282*EFEITO!$Z$282</f>
        <v>0</v>
      </c>
      <c r="O282" s="46">
        <f>$L$282-EFEITO!$O$282*EFEITO!$AA$282</f>
        <v>0</v>
      </c>
      <c r="P282" s="38"/>
      <c r="Q282" s="38"/>
      <c r="R282" s="38"/>
      <c r="S282" s="38"/>
      <c r="T282" s="38"/>
      <c r="U282" s="38"/>
      <c r="V282" s="38"/>
      <c r="W282" s="38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</row>
    <row r="283" spans="1:36" ht="11.25" customHeight="1" x14ac:dyDescent="0.2">
      <c r="A283" s="35" t="s">
        <v>21</v>
      </c>
      <c r="B283" s="35" t="s">
        <v>41</v>
      </c>
      <c r="C283" s="35" t="s">
        <v>42</v>
      </c>
      <c r="D283" s="35" t="s">
        <v>40</v>
      </c>
      <c r="E283" s="35" t="s">
        <v>25</v>
      </c>
      <c r="F283" s="35" t="s">
        <v>25</v>
      </c>
      <c r="G283" s="35" t="s">
        <v>25</v>
      </c>
      <c r="H283" s="35" t="s">
        <v>36</v>
      </c>
      <c r="I283" s="45">
        <v>44562</v>
      </c>
      <c r="J283" s="46">
        <f ca="1">EFEITO!$J$283*EFEITO!$Y$283</f>
        <v>6475.4864295366378</v>
      </c>
      <c r="K283" s="46">
        <f ca="1">EFEITO!$L$283*EFEITO!$Z$283</f>
        <v>389.1824915500801</v>
      </c>
      <c r="L283" s="46">
        <f>EFEITO!$N$283*EFEITO!$AA$283</f>
        <v>1244.2315188224472</v>
      </c>
      <c r="M283" s="46">
        <f ca="1">$J$283-EFEITO!$K$283*EFEITO!$Y$283</f>
        <v>0</v>
      </c>
      <c r="N283" s="46">
        <f ca="1">$K$283-EFEITO!$M$283*EFEITO!$Z$283</f>
        <v>0</v>
      </c>
      <c r="O283" s="46">
        <f>$L$283-EFEITO!$O$283*EFEITO!$AA$283</f>
        <v>0</v>
      </c>
      <c r="P283" s="38"/>
      <c r="Q283" s="38"/>
      <c r="R283" s="38"/>
      <c r="S283" s="38"/>
      <c r="T283" s="38"/>
      <c r="U283" s="38"/>
      <c r="V283" s="38"/>
      <c r="W283" s="38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</row>
    <row r="284" spans="1:36" ht="11.25" customHeight="1" x14ac:dyDescent="0.2">
      <c r="A284" s="35" t="s">
        <v>28</v>
      </c>
      <c r="B284" s="35" t="s">
        <v>41</v>
      </c>
      <c r="C284" s="35" t="s">
        <v>42</v>
      </c>
      <c r="D284" s="35" t="s">
        <v>40</v>
      </c>
      <c r="E284" s="35" t="s">
        <v>25</v>
      </c>
      <c r="F284" s="35" t="s">
        <v>25</v>
      </c>
      <c r="G284" s="35" t="s">
        <v>25</v>
      </c>
      <c r="H284" s="35" t="s">
        <v>36</v>
      </c>
      <c r="I284" s="45">
        <v>44562</v>
      </c>
      <c r="J284" s="46">
        <f ca="1">EFEITO!$J$284*EFEITO!$Y$284</f>
        <v>71061.424991958585</v>
      </c>
      <c r="K284" s="46">
        <f ca="1">EFEITO!$L$284*EFEITO!$Z$284</f>
        <v>5788.167933202415</v>
      </c>
      <c r="L284" s="46">
        <f>EFEITO!$N$284*EFEITO!$AA$284</f>
        <v>18504.997360090889</v>
      </c>
      <c r="M284" s="46">
        <f ca="1">$J$284-EFEITO!$K$284*EFEITO!$Y$284</f>
        <v>0</v>
      </c>
      <c r="N284" s="46">
        <f ca="1">$K$284-EFEITO!$M$284*EFEITO!$Z$284</f>
        <v>0</v>
      </c>
      <c r="O284" s="46">
        <f>$L$284-EFEITO!$O$284*EFEITO!$AA$284</f>
        <v>0</v>
      </c>
      <c r="P284" s="38"/>
      <c r="Q284" s="38"/>
      <c r="R284" s="38"/>
      <c r="S284" s="38"/>
      <c r="T284" s="38"/>
      <c r="U284" s="38"/>
      <c r="V284" s="38"/>
      <c r="W284" s="38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</row>
    <row r="285" spans="1:36" ht="11.25" customHeight="1" x14ac:dyDescent="0.2">
      <c r="A285" s="35" t="s">
        <v>21</v>
      </c>
      <c r="B285" s="35" t="s">
        <v>41</v>
      </c>
      <c r="C285" s="35" t="s">
        <v>42</v>
      </c>
      <c r="D285" s="35" t="s">
        <v>40</v>
      </c>
      <c r="E285" s="35" t="s">
        <v>25</v>
      </c>
      <c r="F285" s="35" t="s">
        <v>25</v>
      </c>
      <c r="G285" s="35" t="s">
        <v>25</v>
      </c>
      <c r="H285" s="35" t="s">
        <v>36</v>
      </c>
      <c r="I285" s="45">
        <v>44593</v>
      </c>
      <c r="J285" s="46">
        <f ca="1">EFEITO!$J$285*EFEITO!$Y$285</f>
        <v>6475.4864295366378</v>
      </c>
      <c r="K285" s="46">
        <f ca="1">EFEITO!$L$285*EFEITO!$Z$285</f>
        <v>375.91103963770485</v>
      </c>
      <c r="L285" s="46">
        <f>EFEITO!$N$285*EFEITO!$AA$285</f>
        <v>1201.80217236304</v>
      </c>
      <c r="M285" s="46">
        <f ca="1">$J$285-EFEITO!$K$285*EFEITO!$Y$285</f>
        <v>0</v>
      </c>
      <c r="N285" s="46">
        <f ca="1">$K$285-EFEITO!$M$285*EFEITO!$Z$285</f>
        <v>0</v>
      </c>
      <c r="O285" s="46">
        <f>$L$285-EFEITO!$O$285*EFEITO!$AA$285</f>
        <v>0</v>
      </c>
      <c r="P285" s="38"/>
      <c r="Q285" s="38"/>
      <c r="R285" s="38"/>
      <c r="S285" s="38"/>
      <c r="T285" s="38"/>
      <c r="U285" s="38"/>
      <c r="V285" s="38"/>
      <c r="W285" s="38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</row>
    <row r="286" spans="1:36" ht="11.25" customHeight="1" x14ac:dyDescent="0.2">
      <c r="A286" s="35" t="s">
        <v>28</v>
      </c>
      <c r="B286" s="35" t="s">
        <v>41</v>
      </c>
      <c r="C286" s="35" t="s">
        <v>42</v>
      </c>
      <c r="D286" s="35" t="s">
        <v>40</v>
      </c>
      <c r="E286" s="35" t="s">
        <v>25</v>
      </c>
      <c r="F286" s="35" t="s">
        <v>25</v>
      </c>
      <c r="G286" s="35" t="s">
        <v>25</v>
      </c>
      <c r="H286" s="35" t="s">
        <v>36</v>
      </c>
      <c r="I286" s="45">
        <v>44593</v>
      </c>
      <c r="J286" s="46">
        <f ca="1">EFEITO!$J$286*EFEITO!$Y$286</f>
        <v>71061.424991958585</v>
      </c>
      <c r="K286" s="46">
        <f ca="1">EFEITO!$L$286*EFEITO!$Z$286</f>
        <v>5413.7314993327518</v>
      </c>
      <c r="L286" s="46">
        <f>EFEITO!$N$286*EFEITO!$AA$286</f>
        <v>17307.909559556672</v>
      </c>
      <c r="M286" s="46">
        <f ca="1">$J$286-EFEITO!$K$286*EFEITO!$Y$286</f>
        <v>0</v>
      </c>
      <c r="N286" s="46">
        <f ca="1">$K$286-EFEITO!$M$286*EFEITO!$Z$286</f>
        <v>0</v>
      </c>
      <c r="O286" s="46">
        <f>$L$286-EFEITO!$O$286*EFEITO!$AA$286</f>
        <v>0</v>
      </c>
      <c r="P286" s="38"/>
      <c r="Q286" s="38"/>
      <c r="R286" s="38"/>
      <c r="S286" s="38"/>
      <c r="T286" s="38"/>
      <c r="U286" s="38"/>
      <c r="V286" s="38"/>
      <c r="W286" s="38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</row>
    <row r="287" spans="1:36" ht="11.25" customHeight="1" x14ac:dyDescent="0.2">
      <c r="A287" s="35" t="s">
        <v>21</v>
      </c>
      <c r="B287" s="35" t="s">
        <v>41</v>
      </c>
      <c r="C287" s="35" t="s">
        <v>42</v>
      </c>
      <c r="D287" s="35" t="s">
        <v>40</v>
      </c>
      <c r="E287" s="35" t="s">
        <v>25</v>
      </c>
      <c r="F287" s="35" t="s">
        <v>25</v>
      </c>
      <c r="G287" s="35" t="s">
        <v>25</v>
      </c>
      <c r="H287" s="35" t="s">
        <v>36</v>
      </c>
      <c r="I287" s="45">
        <v>44621</v>
      </c>
      <c r="J287" s="46">
        <f ca="1">EFEITO!$J$287*EFEITO!$Y$287</f>
        <v>6475.4864295366378</v>
      </c>
      <c r="K287" s="46">
        <f ca="1">EFEITO!$L$287*EFEITO!$Z$287</f>
        <v>418.44774448506132</v>
      </c>
      <c r="L287" s="46">
        <f>EFEITO!$N$287*EFEITO!$AA$287</f>
        <v>1337.7936674252428</v>
      </c>
      <c r="M287" s="46">
        <f ca="1">$J$287-EFEITO!$K$287*EFEITO!$Y$287</f>
        <v>0</v>
      </c>
      <c r="N287" s="46">
        <f ca="1">$K$287-EFEITO!$M$287*EFEITO!$Z$287</f>
        <v>0</v>
      </c>
      <c r="O287" s="46">
        <f>$L$287-EFEITO!$O$287*EFEITO!$AA$287</f>
        <v>0</v>
      </c>
      <c r="P287" s="38"/>
      <c r="Q287" s="38"/>
      <c r="R287" s="38"/>
      <c r="S287" s="38"/>
      <c r="T287" s="38"/>
      <c r="U287" s="38"/>
      <c r="V287" s="38"/>
      <c r="W287" s="38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</row>
    <row r="288" spans="1:36" ht="11.25" customHeight="1" x14ac:dyDescent="0.2">
      <c r="A288" s="35" t="s">
        <v>28</v>
      </c>
      <c r="B288" s="35" t="s">
        <v>41</v>
      </c>
      <c r="C288" s="35" t="s">
        <v>42</v>
      </c>
      <c r="D288" s="35" t="s">
        <v>40</v>
      </c>
      <c r="E288" s="35" t="s">
        <v>25</v>
      </c>
      <c r="F288" s="35" t="s">
        <v>25</v>
      </c>
      <c r="G288" s="35" t="s">
        <v>25</v>
      </c>
      <c r="H288" s="35" t="s">
        <v>36</v>
      </c>
      <c r="I288" s="45">
        <v>44621</v>
      </c>
      <c r="J288" s="46">
        <f ca="1">EFEITO!$J$288*EFEITO!$Y$288</f>
        <v>71061.424991958585</v>
      </c>
      <c r="K288" s="46">
        <f ca="1">EFEITO!$L$288*EFEITO!$Z$288</f>
        <v>5998.4694019677454</v>
      </c>
      <c r="L288" s="46">
        <f>EFEITO!$N$288*EFEITO!$AA$288</f>
        <v>19177.339311678417</v>
      </c>
      <c r="M288" s="46">
        <f ca="1">$J$288-EFEITO!$K$288*EFEITO!$Y$288</f>
        <v>0</v>
      </c>
      <c r="N288" s="46">
        <f ca="1">$K$288-EFEITO!$M$288*EFEITO!$Z$288</f>
        <v>0</v>
      </c>
      <c r="O288" s="46">
        <f>$L$288-EFEITO!$O$288*EFEITO!$AA$288</f>
        <v>0</v>
      </c>
      <c r="P288" s="38"/>
      <c r="Q288" s="38"/>
      <c r="R288" s="38"/>
      <c r="S288" s="38"/>
      <c r="T288" s="38"/>
      <c r="U288" s="38"/>
      <c r="V288" s="38"/>
      <c r="W288" s="38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</row>
    <row r="289" spans="1:36" ht="11.25" customHeight="1" x14ac:dyDescent="0.2">
      <c r="A289" s="35" t="s">
        <v>21</v>
      </c>
      <c r="B289" s="35" t="s">
        <v>41</v>
      </c>
      <c r="C289" s="35" t="s">
        <v>42</v>
      </c>
      <c r="D289" s="35" t="s">
        <v>40</v>
      </c>
      <c r="E289" s="35" t="s">
        <v>25</v>
      </c>
      <c r="F289" s="35" t="s">
        <v>25</v>
      </c>
      <c r="G289" s="35" t="s">
        <v>25</v>
      </c>
      <c r="H289" s="35" t="s">
        <v>36</v>
      </c>
      <c r="I289" s="45">
        <v>44652</v>
      </c>
      <c r="J289" s="46">
        <f ca="1">EFEITO!$J$289*EFEITO!$Y$289</f>
        <v>7376.4236719069531</v>
      </c>
      <c r="K289" s="46">
        <f ca="1">EFEITO!$L$289*EFEITO!$Z$289</f>
        <v>418.44774448506132</v>
      </c>
      <c r="L289" s="46">
        <f>EFEITO!$N$289*EFEITO!$AA$289</f>
        <v>1337.7936674252428</v>
      </c>
      <c r="M289" s="46">
        <f ca="1">$J$289-EFEITO!$K$289*EFEITO!$Y$289</f>
        <v>0</v>
      </c>
      <c r="N289" s="46">
        <f ca="1">$K$289-EFEITO!$M$289*EFEITO!$Z$289</f>
        <v>0</v>
      </c>
      <c r="O289" s="46">
        <f>$L$289-EFEITO!$O$289*EFEITO!$AA$289</f>
        <v>0</v>
      </c>
      <c r="P289" s="38"/>
      <c r="Q289" s="38"/>
      <c r="R289" s="38"/>
      <c r="S289" s="38"/>
      <c r="T289" s="38"/>
      <c r="U289" s="38"/>
      <c r="V289" s="38"/>
      <c r="W289" s="38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</row>
    <row r="290" spans="1:36" ht="11.25" customHeight="1" x14ac:dyDescent="0.2">
      <c r="A290" s="35" t="s">
        <v>28</v>
      </c>
      <c r="B290" s="35" t="s">
        <v>41</v>
      </c>
      <c r="C290" s="35" t="s">
        <v>42</v>
      </c>
      <c r="D290" s="35" t="s">
        <v>40</v>
      </c>
      <c r="E290" s="35" t="s">
        <v>25</v>
      </c>
      <c r="F290" s="35" t="s">
        <v>25</v>
      </c>
      <c r="G290" s="35" t="s">
        <v>25</v>
      </c>
      <c r="H290" s="35" t="s">
        <v>36</v>
      </c>
      <c r="I290" s="45">
        <v>44652</v>
      </c>
      <c r="J290" s="46">
        <f ca="1">EFEITO!$J$290*EFEITO!$Y$290</f>
        <v>71061.424991958585</v>
      </c>
      <c r="K290" s="46">
        <f ca="1">EFEITO!$L$290*EFEITO!$Z$290</f>
        <v>5163.9559684690748</v>
      </c>
      <c r="L290" s="46">
        <f>EFEITO!$N$290*EFEITO!$AA$290</f>
        <v>16509.367500551416</v>
      </c>
      <c r="M290" s="46">
        <f ca="1">$J$290-EFEITO!$K$290*EFEITO!$Y$290</f>
        <v>0</v>
      </c>
      <c r="N290" s="46">
        <f ca="1">$K$290-EFEITO!$M$290*EFEITO!$Z$290</f>
        <v>0</v>
      </c>
      <c r="O290" s="46">
        <f>$L$290-EFEITO!$O$290*EFEITO!$AA$290</f>
        <v>0</v>
      </c>
      <c r="P290" s="38"/>
      <c r="Q290" s="38"/>
      <c r="R290" s="38"/>
      <c r="S290" s="38"/>
      <c r="T290" s="38"/>
      <c r="U290" s="38"/>
      <c r="V290" s="38"/>
      <c r="W290" s="38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</row>
    <row r="291" spans="1:36" ht="11.25" customHeight="1" x14ac:dyDescent="0.2">
      <c r="A291" s="35" t="s">
        <v>21</v>
      </c>
      <c r="B291" s="35" t="s">
        <v>41</v>
      </c>
      <c r="C291" s="35" t="s">
        <v>42</v>
      </c>
      <c r="D291" s="35" t="s">
        <v>40</v>
      </c>
      <c r="E291" s="35" t="s">
        <v>25</v>
      </c>
      <c r="F291" s="35" t="s">
        <v>25</v>
      </c>
      <c r="G291" s="35" t="s">
        <v>25</v>
      </c>
      <c r="H291" s="35" t="s">
        <v>36</v>
      </c>
      <c r="I291" s="45">
        <v>44682</v>
      </c>
      <c r="J291" s="46">
        <f ca="1">EFEITO!$J$291*EFEITO!$Y$291</f>
        <v>6869.6464730736507</v>
      </c>
      <c r="K291" s="46">
        <f ca="1">EFEITO!$L$291*EFEITO!$Z$291</f>
        <v>512.93594485265589</v>
      </c>
      <c r="L291" s="46">
        <f>EFEITO!$N$291*EFEITO!$AA$291</f>
        <v>1639.8761084567493</v>
      </c>
      <c r="M291" s="46">
        <f ca="1">$J$291-EFEITO!$K$291*EFEITO!$Y$291</f>
        <v>0</v>
      </c>
      <c r="N291" s="46">
        <f ca="1">$K$291-EFEITO!$M$291*EFEITO!$Z$291</f>
        <v>0</v>
      </c>
      <c r="O291" s="46">
        <f>$L$291-EFEITO!$O$291*EFEITO!$AA$291</f>
        <v>0</v>
      </c>
      <c r="P291" s="38"/>
      <c r="Q291" s="38"/>
      <c r="R291" s="38"/>
      <c r="S291" s="38"/>
      <c r="T291" s="38"/>
      <c r="U291" s="38"/>
      <c r="V291" s="38"/>
      <c r="W291" s="38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</row>
    <row r="292" spans="1:36" ht="11.25" customHeight="1" x14ac:dyDescent="0.2">
      <c r="A292" s="35" t="s">
        <v>28</v>
      </c>
      <c r="B292" s="35" t="s">
        <v>41</v>
      </c>
      <c r="C292" s="35" t="s">
        <v>42</v>
      </c>
      <c r="D292" s="35" t="s">
        <v>40</v>
      </c>
      <c r="E292" s="35" t="s">
        <v>25</v>
      </c>
      <c r="F292" s="35" t="s">
        <v>25</v>
      </c>
      <c r="G292" s="35" t="s">
        <v>25</v>
      </c>
      <c r="H292" s="35" t="s">
        <v>36</v>
      </c>
      <c r="I292" s="45">
        <v>44682</v>
      </c>
      <c r="J292" s="46">
        <f ca="1">EFEITO!$J$292*EFEITO!$Y$292</f>
        <v>71061.424991958585</v>
      </c>
      <c r="K292" s="46">
        <f ca="1">EFEITO!$L$292*EFEITO!$Z$292</f>
        <v>4970.8960440685396</v>
      </c>
      <c r="L292" s="46">
        <f>EFEITO!$N$292*EFEITO!$AA$292</f>
        <v>15892.147434962433</v>
      </c>
      <c r="M292" s="46">
        <f ca="1">$J$292-EFEITO!$K$292*EFEITO!$Y$292</f>
        <v>0</v>
      </c>
      <c r="N292" s="46">
        <f ca="1">$K$292-EFEITO!$M$292*EFEITO!$Z$292</f>
        <v>0</v>
      </c>
      <c r="O292" s="46">
        <f>$L$292-EFEITO!$O$292*EFEITO!$AA$292</f>
        <v>0</v>
      </c>
      <c r="P292" s="38"/>
      <c r="Q292" s="38"/>
      <c r="R292" s="38"/>
      <c r="S292" s="38"/>
      <c r="T292" s="38"/>
      <c r="U292" s="38"/>
      <c r="V292" s="38"/>
      <c r="W292" s="38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</row>
    <row r="293" spans="1:36" ht="11.25" customHeight="1" x14ac:dyDescent="0.2">
      <c r="A293" s="35" t="s">
        <v>21</v>
      </c>
      <c r="B293" s="35" t="s">
        <v>41</v>
      </c>
      <c r="C293" s="35" t="s">
        <v>42</v>
      </c>
      <c r="D293" s="35" t="s">
        <v>40</v>
      </c>
      <c r="E293" s="35" t="s">
        <v>25</v>
      </c>
      <c r="F293" s="35" t="s">
        <v>25</v>
      </c>
      <c r="G293" s="35" t="s">
        <v>25</v>
      </c>
      <c r="H293" s="35" t="s">
        <v>36</v>
      </c>
      <c r="I293" s="45">
        <v>44713</v>
      </c>
      <c r="J293" s="46">
        <f ca="1">EFEITO!$J$293*EFEITO!$Y$293</f>
        <v>6700.7207401292162</v>
      </c>
      <c r="K293" s="46">
        <f ca="1">EFEITO!$L$293*EFEITO!$Z$293</f>
        <v>456.90092566707153</v>
      </c>
      <c r="L293" s="46">
        <f>EFEITO!$N$293*EFEITO!$AA$293</f>
        <v>1460.729978961474</v>
      </c>
      <c r="M293" s="46">
        <f ca="1">$J$293-EFEITO!$K$293*EFEITO!$Y$293</f>
        <v>0</v>
      </c>
      <c r="N293" s="46">
        <f ca="1">$K$293-EFEITO!$M$293*EFEITO!$Z$293</f>
        <v>0</v>
      </c>
      <c r="O293" s="46">
        <f>$L$293-EFEITO!$O$293*EFEITO!$AA$293</f>
        <v>0</v>
      </c>
      <c r="P293" s="38"/>
      <c r="Q293" s="38"/>
      <c r="R293" s="38"/>
      <c r="S293" s="38"/>
      <c r="T293" s="38"/>
      <c r="U293" s="38"/>
      <c r="V293" s="38"/>
      <c r="W293" s="38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</row>
    <row r="294" spans="1:36" ht="11.25" customHeight="1" x14ac:dyDescent="0.2">
      <c r="A294" s="35" t="s">
        <v>27</v>
      </c>
      <c r="B294" s="35" t="s">
        <v>41</v>
      </c>
      <c r="C294" s="35" t="s">
        <v>42</v>
      </c>
      <c r="D294" s="35" t="s">
        <v>40</v>
      </c>
      <c r="E294" s="35" t="s">
        <v>25</v>
      </c>
      <c r="F294" s="35" t="s">
        <v>25</v>
      </c>
      <c r="G294" s="35" t="s">
        <v>25</v>
      </c>
      <c r="H294" s="35" t="s">
        <v>36</v>
      </c>
      <c r="I294" s="45">
        <v>44713</v>
      </c>
      <c r="J294" s="46">
        <f ca="1">EFEITO!$J$294*EFEITO!$Y$294</f>
        <v>-30350.32335234998</v>
      </c>
      <c r="K294" s="46">
        <f ca="1">EFEITO!$L$294*EFEITO!$Z$294</f>
        <v>127.04295847743799</v>
      </c>
      <c r="L294" s="46">
        <f>EFEITO!$N$294*EFEITO!$AA$294</f>
        <v>406.16126525244567</v>
      </c>
      <c r="M294" s="46">
        <f ca="1">$J$294-EFEITO!$K$294*EFEITO!$Y$294</f>
        <v>0</v>
      </c>
      <c r="N294" s="46">
        <f ca="1">$K$294-EFEITO!$M$294*EFEITO!$Z$294</f>
        <v>0</v>
      </c>
      <c r="O294" s="46">
        <f>$L$294-EFEITO!$O$294*EFEITO!$AA$294</f>
        <v>0</v>
      </c>
      <c r="P294" s="38"/>
      <c r="Q294" s="38"/>
      <c r="R294" s="38"/>
      <c r="S294" s="38"/>
      <c r="T294" s="38"/>
      <c r="U294" s="38"/>
      <c r="V294" s="38"/>
      <c r="W294" s="38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</row>
    <row r="295" spans="1:36" ht="11.25" customHeight="1" x14ac:dyDescent="0.2">
      <c r="A295" s="35" t="s">
        <v>28</v>
      </c>
      <c r="B295" s="35" t="s">
        <v>41</v>
      </c>
      <c r="C295" s="35" t="s">
        <v>42</v>
      </c>
      <c r="D295" s="35" t="s">
        <v>40</v>
      </c>
      <c r="E295" s="35" t="s">
        <v>25</v>
      </c>
      <c r="F295" s="35" t="s">
        <v>25</v>
      </c>
      <c r="G295" s="35" t="s">
        <v>25</v>
      </c>
      <c r="H295" s="35" t="s">
        <v>36</v>
      </c>
      <c r="I295" s="45">
        <v>44713</v>
      </c>
      <c r="J295" s="46">
        <f ca="1">EFEITO!$J$295*EFEITO!$Y$295</f>
        <v>71061.424991958585</v>
      </c>
      <c r="K295" s="46">
        <f ca="1">EFEITO!$L$295*EFEITO!$Z$295</f>
        <v>6515.1485768469684</v>
      </c>
      <c r="L295" s="46">
        <f>EFEITO!$N$295*EFEITO!$AA$295</f>
        <v>20829.182671700641</v>
      </c>
      <c r="M295" s="46">
        <f ca="1">$J$295-EFEITO!$K$295*EFEITO!$Y$295</f>
        <v>0</v>
      </c>
      <c r="N295" s="46">
        <f ca="1">$K$295-EFEITO!$M$295*EFEITO!$Z$295</f>
        <v>0</v>
      </c>
      <c r="O295" s="46">
        <f>$L$295-EFEITO!$O$295*EFEITO!$AA$295</f>
        <v>0</v>
      </c>
      <c r="P295" s="38"/>
      <c r="Q295" s="38"/>
      <c r="R295" s="38"/>
      <c r="S295" s="38"/>
      <c r="T295" s="38"/>
      <c r="U295" s="38"/>
      <c r="V295" s="38"/>
      <c r="W295" s="38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</row>
    <row r="296" spans="1:36" ht="11.25" customHeight="1" x14ac:dyDescent="0.2">
      <c r="A296" s="35" t="s">
        <v>21</v>
      </c>
      <c r="B296" s="35" t="s">
        <v>41</v>
      </c>
      <c r="C296" s="35" t="s">
        <v>42</v>
      </c>
      <c r="D296" s="35" t="s">
        <v>40</v>
      </c>
      <c r="E296" s="35" t="s">
        <v>25</v>
      </c>
      <c r="F296" s="35" t="s">
        <v>25</v>
      </c>
      <c r="G296" s="35" t="s">
        <v>25</v>
      </c>
      <c r="H296" s="35" t="s">
        <v>36</v>
      </c>
      <c r="I296" s="45">
        <v>44743</v>
      </c>
      <c r="J296" s="46">
        <f ca="1">EFEITO!$J$296*EFEITO!$Y$296</f>
        <v>7094.880783666229</v>
      </c>
      <c r="K296" s="46">
        <f ca="1">EFEITO!$L$296*EFEITO!$Z$296</f>
        <v>497.84959353346011</v>
      </c>
      <c r="L296" s="46">
        <f>EFEITO!$N$296*EFEITO!$AA$296</f>
        <v>1591.6444582080214</v>
      </c>
      <c r="M296" s="46">
        <f ca="1">$J$296-EFEITO!$K$296*EFEITO!$Y$296</f>
        <v>0</v>
      </c>
      <c r="N296" s="46">
        <f ca="1">$K$296-EFEITO!$M$296*EFEITO!$Z$296</f>
        <v>0</v>
      </c>
      <c r="O296" s="46">
        <f>$L$296-EFEITO!$O$296*EFEITO!$AA$296</f>
        <v>0</v>
      </c>
      <c r="P296" s="38"/>
      <c r="Q296" s="38"/>
      <c r="R296" s="38"/>
      <c r="S296" s="38"/>
      <c r="T296" s="38"/>
      <c r="U296" s="38"/>
      <c r="V296" s="38"/>
      <c r="W296" s="38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</row>
    <row r="297" spans="1:36" ht="11.25" customHeight="1" x14ac:dyDescent="0.2">
      <c r="A297" s="35" t="s">
        <v>28</v>
      </c>
      <c r="B297" s="35" t="s">
        <v>41</v>
      </c>
      <c r="C297" s="35" t="s">
        <v>42</v>
      </c>
      <c r="D297" s="35" t="s">
        <v>40</v>
      </c>
      <c r="E297" s="35" t="s">
        <v>25</v>
      </c>
      <c r="F297" s="35" t="s">
        <v>25</v>
      </c>
      <c r="G297" s="35" t="s">
        <v>25</v>
      </c>
      <c r="H297" s="35" t="s">
        <v>36</v>
      </c>
      <c r="I297" s="45">
        <v>44743</v>
      </c>
      <c r="J297" s="46">
        <f ca="1">EFEITO!$J$297*EFEITO!$Y$297</f>
        <v>71061.424991958585</v>
      </c>
      <c r="K297" s="46">
        <f ca="1">EFEITO!$L$297*EFEITO!$Z$297</f>
        <v>6099.6500438979911</v>
      </c>
      <c r="L297" s="46">
        <f>EFEITO!$N$297*EFEITO!$AA$297</f>
        <v>19500.817747933048</v>
      </c>
      <c r="M297" s="46">
        <f ca="1">$J$297-EFEITO!$K$297*EFEITO!$Y$297</f>
        <v>0</v>
      </c>
      <c r="N297" s="46">
        <f ca="1">$K$297-EFEITO!$M$297*EFEITO!$Z$297</f>
        <v>0</v>
      </c>
      <c r="O297" s="46">
        <f>$L$297-EFEITO!$O$297*EFEITO!$AA$297</f>
        <v>0</v>
      </c>
      <c r="P297" s="38"/>
      <c r="Q297" s="38"/>
      <c r="R297" s="38"/>
      <c r="S297" s="38"/>
      <c r="T297" s="38"/>
      <c r="U297" s="38"/>
      <c r="V297" s="38"/>
      <c r="W297" s="38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</row>
    <row r="298" spans="1:36" ht="11.25" customHeight="1" x14ac:dyDescent="0.2">
      <c r="A298" s="35" t="s">
        <v>21</v>
      </c>
      <c r="B298" s="35" t="s">
        <v>41</v>
      </c>
      <c r="C298" s="35" t="s">
        <v>42</v>
      </c>
      <c r="D298" s="35" t="s">
        <v>40</v>
      </c>
      <c r="E298" s="35" t="s">
        <v>25</v>
      </c>
      <c r="F298" s="35" t="s">
        <v>25</v>
      </c>
      <c r="G298" s="35" t="s">
        <v>25</v>
      </c>
      <c r="H298" s="35" t="s">
        <v>36</v>
      </c>
      <c r="I298" s="45">
        <v>44774</v>
      </c>
      <c r="J298" s="46">
        <f ca="1">EFEITO!$J$298*EFEITO!$Y$298</f>
        <v>6813.3378954255058</v>
      </c>
      <c r="K298" s="46">
        <f ca="1">EFEITO!$L$298*EFEITO!$Z$298</f>
        <v>526.32082797795726</v>
      </c>
      <c r="L298" s="46">
        <f>EFEITO!$N$298*EFEITO!$AA$298</f>
        <v>1682.668098902989</v>
      </c>
      <c r="M298" s="46">
        <f ca="1">$J$298-EFEITO!$K$298*EFEITO!$Y$298</f>
        <v>0</v>
      </c>
      <c r="N298" s="46">
        <f ca="1">$K$298-EFEITO!$M$298*EFEITO!$Z$298</f>
        <v>0</v>
      </c>
      <c r="O298" s="46">
        <f>$L$298-EFEITO!$O$298*EFEITO!$AA$298</f>
        <v>0</v>
      </c>
      <c r="P298" s="38"/>
      <c r="Q298" s="38"/>
      <c r="R298" s="38"/>
      <c r="S298" s="38"/>
      <c r="T298" s="38"/>
      <c r="U298" s="38"/>
      <c r="V298" s="38"/>
      <c r="W298" s="38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</row>
    <row r="299" spans="1:36" ht="11.25" customHeight="1" x14ac:dyDescent="0.2">
      <c r="A299" s="35" t="s">
        <v>28</v>
      </c>
      <c r="B299" s="35" t="s">
        <v>41</v>
      </c>
      <c r="C299" s="35" t="s">
        <v>42</v>
      </c>
      <c r="D299" s="35" t="s">
        <v>40</v>
      </c>
      <c r="E299" s="35" t="s">
        <v>25</v>
      </c>
      <c r="F299" s="35" t="s">
        <v>25</v>
      </c>
      <c r="G299" s="35" t="s">
        <v>25</v>
      </c>
      <c r="H299" s="35" t="s">
        <v>36</v>
      </c>
      <c r="I299" s="45">
        <v>44774</v>
      </c>
      <c r="J299" s="46">
        <f ca="1">EFEITO!$J$299*EFEITO!$Y$299</f>
        <v>71962.362234328903</v>
      </c>
      <c r="K299" s="46">
        <f ca="1">EFEITO!$L$299*EFEITO!$Z$299</f>
        <v>7054.287131885596</v>
      </c>
      <c r="L299" s="46">
        <f>EFEITO!$N$299*EFEITO!$AA$299</f>
        <v>22552.829541115709</v>
      </c>
      <c r="M299" s="46">
        <f ca="1">$J$299-EFEITO!$K$299*EFEITO!$Y$299</f>
        <v>0</v>
      </c>
      <c r="N299" s="46">
        <f ca="1">$K$299-EFEITO!$M$299*EFEITO!$Z$299</f>
        <v>0</v>
      </c>
      <c r="O299" s="46">
        <f>$L$299-EFEITO!$O$299*EFEITO!$AA$299</f>
        <v>0</v>
      </c>
      <c r="P299" s="38"/>
      <c r="Q299" s="38"/>
      <c r="R299" s="38"/>
      <c r="S299" s="38"/>
      <c r="T299" s="38"/>
      <c r="U299" s="38"/>
      <c r="V299" s="38"/>
      <c r="W299" s="38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</row>
    <row r="300" spans="1:36" ht="11.25" customHeight="1" x14ac:dyDescent="0.2">
      <c r="A300" s="35" t="s">
        <v>21</v>
      </c>
      <c r="B300" s="35" t="s">
        <v>41</v>
      </c>
      <c r="C300" s="35" t="s">
        <v>42</v>
      </c>
      <c r="D300" s="35" t="s">
        <v>40</v>
      </c>
      <c r="E300" s="35" t="s">
        <v>25</v>
      </c>
      <c r="F300" s="35" t="s">
        <v>25</v>
      </c>
      <c r="G300" s="35" t="s">
        <v>25</v>
      </c>
      <c r="H300" s="35" t="s">
        <v>36</v>
      </c>
      <c r="I300" s="45">
        <v>44805</v>
      </c>
      <c r="J300" s="46">
        <f ca="1">EFEITO!$J$300*EFEITO!$Y$300</f>
        <v>7038.5722060180842</v>
      </c>
      <c r="K300" s="46">
        <f ca="1">EFEITO!$L$300*EFEITO!$Z$300</f>
        <v>498.07645595931263</v>
      </c>
      <c r="L300" s="46">
        <f>EFEITO!$N$300*EFEITO!$AA$300</f>
        <v>1592.3697461816864</v>
      </c>
      <c r="M300" s="46">
        <f ca="1">$J$300-EFEITO!$K$300*EFEITO!$Y$300</f>
        <v>0</v>
      </c>
      <c r="N300" s="46">
        <f ca="1">$K$300-EFEITO!$M$300*EFEITO!$Z$300</f>
        <v>0</v>
      </c>
      <c r="O300" s="46">
        <f>$L$300-EFEITO!$O$300*EFEITO!$AA$300</f>
        <v>0</v>
      </c>
      <c r="P300" s="38"/>
      <c r="Q300" s="38"/>
      <c r="R300" s="38"/>
      <c r="S300" s="38"/>
      <c r="T300" s="38"/>
      <c r="U300" s="38"/>
      <c r="V300" s="38"/>
      <c r="W300" s="38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</row>
    <row r="301" spans="1:36" ht="11.25" customHeight="1" x14ac:dyDescent="0.2">
      <c r="A301" s="35" t="s">
        <v>28</v>
      </c>
      <c r="B301" s="35" t="s">
        <v>41</v>
      </c>
      <c r="C301" s="35" t="s">
        <v>42</v>
      </c>
      <c r="D301" s="35" t="s">
        <v>40</v>
      </c>
      <c r="E301" s="35" t="s">
        <v>25</v>
      </c>
      <c r="F301" s="35" t="s">
        <v>25</v>
      </c>
      <c r="G301" s="35" t="s">
        <v>25</v>
      </c>
      <c r="H301" s="35" t="s">
        <v>36</v>
      </c>
      <c r="I301" s="45">
        <v>44805</v>
      </c>
      <c r="J301" s="46">
        <f ca="1">EFEITO!$J$301*EFEITO!$Y$301</f>
        <v>73876.853874365814</v>
      </c>
      <c r="K301" s="46">
        <f ca="1">EFEITO!$L$301*EFEITO!$Z$301</f>
        <v>6991.7865335632141</v>
      </c>
      <c r="L301" s="46">
        <f>EFEITO!$N$301*EFEITO!$AA$301</f>
        <v>22353.01270437098</v>
      </c>
      <c r="M301" s="46">
        <f ca="1">$J$301-EFEITO!$K$301*EFEITO!$Y$301</f>
        <v>0</v>
      </c>
      <c r="N301" s="46">
        <f ca="1">$K$301-EFEITO!$M$301*EFEITO!$Z$301</f>
        <v>0</v>
      </c>
      <c r="O301" s="46">
        <f>$L$301-EFEITO!$O$301*EFEITO!$AA$301</f>
        <v>0</v>
      </c>
      <c r="P301" s="38"/>
      <c r="Q301" s="38"/>
      <c r="R301" s="38"/>
      <c r="S301" s="38"/>
      <c r="T301" s="38"/>
      <c r="U301" s="38"/>
      <c r="V301" s="38"/>
      <c r="W301" s="38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</row>
    <row r="302" spans="1:36" ht="11.25" customHeight="1" x14ac:dyDescent="0.2">
      <c r="A302" s="35" t="s">
        <v>21</v>
      </c>
      <c r="B302" s="35" t="s">
        <v>41</v>
      </c>
      <c r="C302" s="35" t="s">
        <v>42</v>
      </c>
      <c r="D302" s="35" t="s">
        <v>40</v>
      </c>
      <c r="E302" s="35" t="s">
        <v>25</v>
      </c>
      <c r="F302" s="35" t="s">
        <v>25</v>
      </c>
      <c r="G302" s="35" t="s">
        <v>25</v>
      </c>
      <c r="H302" s="35" t="s">
        <v>36</v>
      </c>
      <c r="I302" s="45">
        <v>44835</v>
      </c>
      <c r="J302" s="46">
        <f ca="1">EFEITO!$J$302*EFEITO!$Y$302</f>
        <v>8784.13811311057</v>
      </c>
      <c r="K302" s="46">
        <f ca="1">EFEITO!$L$302*EFEITO!$Z$302</f>
        <v>564.20685309533621</v>
      </c>
      <c r="L302" s="46">
        <f>EFEITO!$N$302*EFEITO!$AA$302</f>
        <v>1803.7911905050578</v>
      </c>
      <c r="M302" s="46">
        <f ca="1">$J$302-EFEITO!$K$302*EFEITO!$Y$302</f>
        <v>0</v>
      </c>
      <c r="N302" s="46">
        <f ca="1">$K$302-EFEITO!$M$302*EFEITO!$Z$302</f>
        <v>0</v>
      </c>
      <c r="O302" s="46">
        <f>$L$302-EFEITO!$O$302*EFEITO!$AA$302</f>
        <v>0</v>
      </c>
      <c r="P302" s="38"/>
      <c r="Q302" s="38"/>
      <c r="R302" s="38"/>
      <c r="S302" s="38"/>
      <c r="T302" s="38"/>
      <c r="U302" s="38"/>
      <c r="V302" s="38"/>
      <c r="W302" s="38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</row>
    <row r="303" spans="1:36" ht="11.25" customHeight="1" x14ac:dyDescent="0.2">
      <c r="A303" s="35" t="s">
        <v>28</v>
      </c>
      <c r="B303" s="35" t="s">
        <v>41</v>
      </c>
      <c r="C303" s="35" t="s">
        <v>42</v>
      </c>
      <c r="D303" s="35" t="s">
        <v>40</v>
      </c>
      <c r="E303" s="35" t="s">
        <v>25</v>
      </c>
      <c r="F303" s="35" t="s">
        <v>25</v>
      </c>
      <c r="G303" s="35" t="s">
        <v>25</v>
      </c>
      <c r="H303" s="35" t="s">
        <v>36</v>
      </c>
      <c r="I303" s="45">
        <v>44835</v>
      </c>
      <c r="J303" s="46">
        <f ca="1">EFEITO!$J$303*EFEITO!$Y$303</f>
        <v>71061.424991958585</v>
      </c>
      <c r="K303" s="46">
        <f ca="1">EFEITO!$L$303*EFEITO!$Z$303</f>
        <v>6230.4362324019958</v>
      </c>
      <c r="L303" s="46">
        <f>EFEITO!$N$303*EFEITO!$AA$303</f>
        <v>19918.946264750964</v>
      </c>
      <c r="M303" s="46">
        <f ca="1">$J$303-EFEITO!$K$303*EFEITO!$Y$303</f>
        <v>0</v>
      </c>
      <c r="N303" s="46">
        <f ca="1">$K$303-EFEITO!$M$303*EFEITO!$Z$303</f>
        <v>0</v>
      </c>
      <c r="O303" s="46">
        <f>$L$303-EFEITO!$O$303*EFEITO!$AA$303</f>
        <v>0</v>
      </c>
      <c r="P303" s="38"/>
      <c r="Q303" s="38"/>
      <c r="R303" s="38"/>
      <c r="S303" s="38"/>
      <c r="T303" s="38"/>
      <c r="U303" s="38"/>
      <c r="V303" s="38"/>
      <c r="W303" s="38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</row>
    <row r="304" spans="1:36" ht="11.25" customHeight="1" x14ac:dyDescent="0.2">
      <c r="A304" s="35" t="s">
        <v>59</v>
      </c>
      <c r="B304" s="35" t="s">
        <v>41</v>
      </c>
      <c r="C304" s="35" t="s">
        <v>42</v>
      </c>
      <c r="D304" s="35" t="s">
        <v>40</v>
      </c>
      <c r="E304" s="35" t="s">
        <v>25</v>
      </c>
      <c r="F304" s="35" t="s">
        <v>25</v>
      </c>
      <c r="G304" s="35" t="s">
        <v>25</v>
      </c>
      <c r="H304" s="35" t="s">
        <v>36</v>
      </c>
      <c r="I304" s="45">
        <v>44866</v>
      </c>
      <c r="J304" s="46">
        <f ca="1">EFEITO!$J$304*EFEITO!$Y$304</f>
        <v>8784.13811311057</v>
      </c>
      <c r="K304" s="46">
        <f ca="1">EFEITO!$L$304*EFEITO!$Z$304</f>
        <v>564.20685309533621</v>
      </c>
      <c r="L304" s="46">
        <f>EFEITO!$N$304*EFEITO!$AA$304</f>
        <v>1803.7911905050578</v>
      </c>
      <c r="M304" s="46">
        <f ca="1">$J$304-EFEITO!$K$304*EFEITO!$Y$304</f>
        <v>0</v>
      </c>
      <c r="N304" s="46">
        <f ca="1">$K$304-EFEITO!$M$304*EFEITO!$Z$304</f>
        <v>0</v>
      </c>
      <c r="O304" s="46">
        <f>$L$304-EFEITO!$O$304*EFEITO!$AA$304</f>
        <v>0</v>
      </c>
      <c r="P304" s="38"/>
      <c r="Q304" s="38"/>
      <c r="R304" s="38"/>
      <c r="S304" s="38"/>
      <c r="T304" s="38"/>
      <c r="U304" s="38"/>
      <c r="V304" s="38"/>
      <c r="W304" s="38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</row>
    <row r="305" spans="1:36" ht="11.25" customHeight="1" x14ac:dyDescent="0.2">
      <c r="A305" s="35" t="s">
        <v>59</v>
      </c>
      <c r="B305" s="35" t="s">
        <v>41</v>
      </c>
      <c r="C305" s="35" t="s">
        <v>42</v>
      </c>
      <c r="D305" s="35" t="s">
        <v>40</v>
      </c>
      <c r="E305" s="35" t="s">
        <v>25</v>
      </c>
      <c r="F305" s="35" t="s">
        <v>25</v>
      </c>
      <c r="G305" s="35" t="s">
        <v>25</v>
      </c>
      <c r="H305" s="35" t="s">
        <v>36</v>
      </c>
      <c r="I305" s="45">
        <v>44866</v>
      </c>
      <c r="J305" s="46">
        <f ca="1">EFEITO!$J$305*EFEITO!$Y$305</f>
        <v>71061.424991958585</v>
      </c>
      <c r="K305" s="46">
        <f ca="1">EFEITO!$L$305*EFEITO!$Z$305</f>
        <v>6230.4362324019958</v>
      </c>
      <c r="L305" s="46">
        <f>EFEITO!$N$305*EFEITO!$AA$305</f>
        <v>19918.946264750964</v>
      </c>
      <c r="M305" s="46">
        <f ca="1">$J$305-EFEITO!$K$305*EFEITO!$Y$305</f>
        <v>0</v>
      </c>
      <c r="N305" s="46">
        <f ca="1">$K$305-EFEITO!$M$305*EFEITO!$Z$305</f>
        <v>0</v>
      </c>
      <c r="O305" s="46">
        <f>$L$305-EFEITO!$O$305*EFEITO!$AA$305</f>
        <v>0</v>
      </c>
      <c r="P305" s="38"/>
      <c r="Q305" s="38"/>
      <c r="R305" s="38"/>
      <c r="S305" s="38"/>
      <c r="T305" s="38"/>
      <c r="U305" s="38"/>
      <c r="V305" s="38"/>
      <c r="W305" s="38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</row>
    <row r="306" spans="1:36" ht="11.25" customHeight="1" x14ac:dyDescent="0.2">
      <c r="A306" s="35" t="s">
        <v>21</v>
      </c>
      <c r="B306" s="35" t="s">
        <v>41</v>
      </c>
      <c r="C306" s="35" t="s">
        <v>42</v>
      </c>
      <c r="D306" s="35" t="s">
        <v>48</v>
      </c>
      <c r="E306" s="35" t="s">
        <v>25</v>
      </c>
      <c r="F306" s="35" t="s">
        <v>25</v>
      </c>
      <c r="G306" s="35" t="s">
        <v>25</v>
      </c>
      <c r="H306" s="35" t="s">
        <v>37</v>
      </c>
      <c r="I306" s="45">
        <v>44531</v>
      </c>
      <c r="J306" s="46">
        <f ca="1">EFEITO!$J$306*EFEITO!$Y$306</f>
        <v>49249.747034909371</v>
      </c>
      <c r="K306" s="46">
        <f ca="1">EFEITO!$L$306*EFEITO!$Z$306</f>
        <v>83686.486254263262</v>
      </c>
      <c r="L306" s="46">
        <f>EFEITO!$N$306*EFEITO!$AA$306</f>
        <v>161340.20416818425</v>
      </c>
      <c r="M306" s="46">
        <f ca="1">$J$306-EFEITO!$K$306*EFEITO!$Y$306</f>
        <v>0</v>
      </c>
      <c r="N306" s="46">
        <f ca="1">$K$306-EFEITO!$M$306*EFEITO!$Z$306</f>
        <v>0</v>
      </c>
      <c r="O306" s="46">
        <f>$L$306-EFEITO!$O$306*EFEITO!$AA$306</f>
        <v>0</v>
      </c>
      <c r="P306" s="38"/>
      <c r="Q306" s="38"/>
      <c r="R306" s="38"/>
      <c r="S306" s="38"/>
      <c r="T306" s="38"/>
      <c r="U306" s="38"/>
      <c r="V306" s="38"/>
      <c r="W306" s="38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</row>
    <row r="307" spans="1:36" ht="11.25" customHeight="1" x14ac:dyDescent="0.2">
      <c r="A307" s="35" t="s">
        <v>30</v>
      </c>
      <c r="B307" s="35" t="s">
        <v>41</v>
      </c>
      <c r="C307" s="35" t="s">
        <v>42</v>
      </c>
      <c r="D307" s="35" t="s">
        <v>48</v>
      </c>
      <c r="E307" s="35" t="s">
        <v>25</v>
      </c>
      <c r="F307" s="35" t="s">
        <v>25</v>
      </c>
      <c r="G307" s="35" t="s">
        <v>25</v>
      </c>
      <c r="H307" s="35" t="s">
        <v>37</v>
      </c>
      <c r="I307" s="45">
        <v>44531</v>
      </c>
      <c r="J307" s="46">
        <f ca="1">EFEITO!$J$307*EFEITO!$Y$307</f>
        <v>23501.34433645738</v>
      </c>
      <c r="K307" s="46">
        <f ca="1">EFEITO!$L$307*EFEITO!$Z$307</f>
        <v>34381.000637956655</v>
      </c>
      <c r="L307" s="46">
        <f>EFEITO!$N$307*EFEITO!$AA$307</f>
        <v>66283.553184213364</v>
      </c>
      <c r="M307" s="46">
        <f ca="1">$J$307-EFEITO!$K$307*EFEITO!$Y$307</f>
        <v>0</v>
      </c>
      <c r="N307" s="46">
        <f ca="1">$K$307-EFEITO!$M$307*EFEITO!$Z$307</f>
        <v>0</v>
      </c>
      <c r="O307" s="46">
        <f>$L$307-EFEITO!$O$307*EFEITO!$AA$307</f>
        <v>0</v>
      </c>
      <c r="P307" s="38"/>
      <c r="Q307" s="38"/>
      <c r="R307" s="38"/>
      <c r="S307" s="38"/>
      <c r="T307" s="38"/>
      <c r="U307" s="38"/>
      <c r="V307" s="38"/>
      <c r="W307" s="38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</row>
    <row r="308" spans="1:36" ht="11.25" customHeight="1" x14ac:dyDescent="0.2">
      <c r="A308" s="35" t="s">
        <v>21</v>
      </c>
      <c r="B308" s="35" t="s">
        <v>41</v>
      </c>
      <c r="C308" s="35" t="s">
        <v>42</v>
      </c>
      <c r="D308" s="35" t="s">
        <v>48</v>
      </c>
      <c r="E308" s="35" t="s">
        <v>25</v>
      </c>
      <c r="F308" s="35" t="s">
        <v>25</v>
      </c>
      <c r="G308" s="35" t="s">
        <v>25</v>
      </c>
      <c r="H308" s="35" t="s">
        <v>37</v>
      </c>
      <c r="I308" s="45">
        <v>44562</v>
      </c>
      <c r="J308" s="46">
        <f ca="1">EFEITO!$J$308*EFEITO!$Y$308</f>
        <v>50775.272895346076</v>
      </c>
      <c r="K308" s="46">
        <f ca="1">EFEITO!$L$308*EFEITO!$Z$308</f>
        <v>87042.008395048586</v>
      </c>
      <c r="L308" s="46">
        <f>EFEITO!$N$308*EFEITO!$AA$308</f>
        <v>167809.35649512385</v>
      </c>
      <c r="M308" s="46">
        <f ca="1">$J$308-EFEITO!$K$308*EFEITO!$Y$308</f>
        <v>0</v>
      </c>
      <c r="N308" s="46">
        <f ca="1">$K$308-EFEITO!$M$308*EFEITO!$Z$308</f>
        <v>0</v>
      </c>
      <c r="O308" s="46">
        <f>$L$308-EFEITO!$O$308*EFEITO!$AA$308</f>
        <v>0</v>
      </c>
      <c r="P308" s="38"/>
      <c r="Q308" s="38"/>
      <c r="R308" s="38"/>
      <c r="S308" s="38"/>
      <c r="T308" s="38"/>
      <c r="U308" s="38"/>
      <c r="V308" s="38"/>
      <c r="W308" s="38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</row>
    <row r="309" spans="1:36" ht="11.25" customHeight="1" x14ac:dyDescent="0.2">
      <c r="A309" s="35" t="s">
        <v>30</v>
      </c>
      <c r="B309" s="35" t="s">
        <v>41</v>
      </c>
      <c r="C309" s="35" t="s">
        <v>42</v>
      </c>
      <c r="D309" s="35" t="s">
        <v>48</v>
      </c>
      <c r="E309" s="35" t="s">
        <v>25</v>
      </c>
      <c r="F309" s="35" t="s">
        <v>25</v>
      </c>
      <c r="G309" s="35" t="s">
        <v>25</v>
      </c>
      <c r="H309" s="35" t="s">
        <v>37</v>
      </c>
      <c r="I309" s="45">
        <v>44562</v>
      </c>
      <c r="J309" s="46">
        <f ca="1">EFEITO!$J$309*EFEITO!$Y$309</f>
        <v>23501.34433645738</v>
      </c>
      <c r="K309" s="46">
        <f ca="1">EFEITO!$L$309*EFEITO!$Z$309</f>
        <v>36061.82435109833</v>
      </c>
      <c r="L309" s="46">
        <f>EFEITO!$N$309*EFEITO!$AA$309</f>
        <v>69524.033854235371</v>
      </c>
      <c r="M309" s="46">
        <f ca="1">$J$309-EFEITO!$K$309*EFEITO!$Y$309</f>
        <v>0</v>
      </c>
      <c r="N309" s="46">
        <f ca="1">$K$309-EFEITO!$M$309*EFEITO!$Z$309</f>
        <v>0</v>
      </c>
      <c r="O309" s="46">
        <f>$L$309-EFEITO!$O$309*EFEITO!$AA$309</f>
        <v>0</v>
      </c>
      <c r="P309" s="38"/>
      <c r="Q309" s="38"/>
      <c r="R309" s="38"/>
      <c r="S309" s="38"/>
      <c r="T309" s="38"/>
      <c r="U309" s="38"/>
      <c r="V309" s="38"/>
      <c r="W309" s="38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</row>
    <row r="310" spans="1:36" ht="11.25" customHeight="1" x14ac:dyDescent="0.2">
      <c r="A310" s="35" t="s">
        <v>21</v>
      </c>
      <c r="B310" s="35" t="s">
        <v>41</v>
      </c>
      <c r="C310" s="35" t="s">
        <v>42</v>
      </c>
      <c r="D310" s="35" t="s">
        <v>48</v>
      </c>
      <c r="E310" s="35" t="s">
        <v>25</v>
      </c>
      <c r="F310" s="35" t="s">
        <v>25</v>
      </c>
      <c r="G310" s="35" t="s">
        <v>25</v>
      </c>
      <c r="H310" s="35" t="s">
        <v>37</v>
      </c>
      <c r="I310" s="45">
        <v>44593</v>
      </c>
      <c r="J310" s="46">
        <f ca="1">EFEITO!$J$310*EFEITO!$Y$310</f>
        <v>34674.790503439748</v>
      </c>
      <c r="K310" s="46">
        <f ca="1">EFEITO!$L$310*EFEITO!$Z$310</f>
        <v>57905.159593099896</v>
      </c>
      <c r="L310" s="46">
        <f>EFEITO!$N$310*EFEITO!$AA$310</f>
        <v>111636.06801171074</v>
      </c>
      <c r="M310" s="46">
        <f ca="1">$J$310-EFEITO!$K$310*EFEITO!$Y$310</f>
        <v>0</v>
      </c>
      <c r="N310" s="46">
        <f ca="1">$K$310-EFEITO!$M$310*EFEITO!$Z$310</f>
        <v>0</v>
      </c>
      <c r="O310" s="46">
        <f>$L$310-EFEITO!$O$310*EFEITO!$AA$310</f>
        <v>0</v>
      </c>
      <c r="P310" s="38"/>
      <c r="Q310" s="38"/>
      <c r="R310" s="38"/>
      <c r="S310" s="38"/>
      <c r="T310" s="38"/>
      <c r="U310" s="38"/>
      <c r="V310" s="38"/>
      <c r="W310" s="38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</row>
    <row r="311" spans="1:36" ht="11.25" customHeight="1" x14ac:dyDescent="0.2">
      <c r="A311" s="35" t="s">
        <v>30</v>
      </c>
      <c r="B311" s="35" t="s">
        <v>41</v>
      </c>
      <c r="C311" s="35" t="s">
        <v>42</v>
      </c>
      <c r="D311" s="35" t="s">
        <v>48</v>
      </c>
      <c r="E311" s="35" t="s">
        <v>25</v>
      </c>
      <c r="F311" s="35" t="s">
        <v>25</v>
      </c>
      <c r="G311" s="35" t="s">
        <v>25</v>
      </c>
      <c r="H311" s="35" t="s">
        <v>37</v>
      </c>
      <c r="I311" s="45">
        <v>44593</v>
      </c>
      <c r="J311" s="46">
        <f ca="1">EFEITO!$J$311*EFEITO!$Y$311</f>
        <v>23501.34433645738</v>
      </c>
      <c r="K311" s="46">
        <f ca="1">EFEITO!$L$311*EFEITO!$Z$311</f>
        <v>31817.455225822636</v>
      </c>
      <c r="L311" s="46">
        <f>EFEITO!$N$311*EFEITO!$AA$311</f>
        <v>61341.262514588743</v>
      </c>
      <c r="M311" s="46">
        <f ca="1">$J$311-EFEITO!$K$311*EFEITO!$Y$311</f>
        <v>0</v>
      </c>
      <c r="N311" s="46">
        <f ca="1">$K$311-EFEITO!$M$311*EFEITO!$Z$311</f>
        <v>0</v>
      </c>
      <c r="O311" s="46">
        <f>$L$311-EFEITO!$O$311*EFEITO!$AA$311</f>
        <v>0</v>
      </c>
      <c r="P311" s="38"/>
      <c r="Q311" s="38"/>
      <c r="R311" s="38"/>
      <c r="S311" s="38"/>
      <c r="T311" s="38"/>
      <c r="U311" s="38"/>
      <c r="V311" s="38"/>
      <c r="W311" s="38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</row>
    <row r="312" spans="1:36" ht="11.25" customHeight="1" x14ac:dyDescent="0.2">
      <c r="A312" s="35" t="s">
        <v>21</v>
      </c>
      <c r="B312" s="35" t="s">
        <v>41</v>
      </c>
      <c r="C312" s="35" t="s">
        <v>42</v>
      </c>
      <c r="D312" s="35" t="s">
        <v>48</v>
      </c>
      <c r="E312" s="35" t="s">
        <v>25</v>
      </c>
      <c r="F312" s="35" t="s">
        <v>25</v>
      </c>
      <c r="G312" s="35" t="s">
        <v>25</v>
      </c>
      <c r="H312" s="35" t="s">
        <v>37</v>
      </c>
      <c r="I312" s="45">
        <v>44621</v>
      </c>
      <c r="J312" s="46">
        <f ca="1">EFEITO!$J$312*EFEITO!$Y$312</f>
        <v>35148.940433034943</v>
      </c>
      <c r="K312" s="46">
        <f ca="1">EFEITO!$L$312*EFEITO!$Z$312</f>
        <v>62260.237582191636</v>
      </c>
      <c r="L312" s="46">
        <f>EFEITO!$N$312*EFEITO!$AA$312</f>
        <v>120032.27632894824</v>
      </c>
      <c r="M312" s="46">
        <f ca="1">$J$312-EFEITO!$K$312*EFEITO!$Y$312</f>
        <v>0</v>
      </c>
      <c r="N312" s="46">
        <f ca="1">$K$312-EFEITO!$M$312*EFEITO!$Z$312</f>
        <v>0</v>
      </c>
      <c r="O312" s="46">
        <f>$L$312-EFEITO!$O$312*EFEITO!$AA$312</f>
        <v>0</v>
      </c>
      <c r="P312" s="38"/>
      <c r="Q312" s="38"/>
      <c r="R312" s="38"/>
      <c r="S312" s="38"/>
      <c r="T312" s="38"/>
      <c r="U312" s="38"/>
      <c r="V312" s="38"/>
      <c r="W312" s="38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</row>
    <row r="313" spans="1:36" ht="11.25" customHeight="1" x14ac:dyDescent="0.2">
      <c r="A313" s="35" t="s">
        <v>30</v>
      </c>
      <c r="B313" s="35" t="s">
        <v>41</v>
      </c>
      <c r="C313" s="35" t="s">
        <v>42</v>
      </c>
      <c r="D313" s="35" t="s">
        <v>48</v>
      </c>
      <c r="E313" s="35" t="s">
        <v>25</v>
      </c>
      <c r="F313" s="35" t="s">
        <v>25</v>
      </c>
      <c r="G313" s="35" t="s">
        <v>25</v>
      </c>
      <c r="H313" s="35" t="s">
        <v>37</v>
      </c>
      <c r="I313" s="45">
        <v>44621</v>
      </c>
      <c r="J313" s="46">
        <f ca="1">EFEITO!$J$313*EFEITO!$Y$313</f>
        <v>23501.34433645738</v>
      </c>
      <c r="K313" s="46">
        <f ca="1">EFEITO!$L$313*EFEITO!$Z$313</f>
        <v>34327.347674242519</v>
      </c>
      <c r="L313" s="46">
        <f>EFEITO!$N$313*EFEITO!$AA$313</f>
        <v>66180.114976835815</v>
      </c>
      <c r="M313" s="46">
        <f ca="1">$J$313-EFEITO!$K$313*EFEITO!$Y$313</f>
        <v>0</v>
      </c>
      <c r="N313" s="46">
        <f ca="1">$K$313-EFEITO!$M$313*EFEITO!$Z$313</f>
        <v>0</v>
      </c>
      <c r="O313" s="46">
        <f>$L$313-EFEITO!$O$313*EFEITO!$AA$313</f>
        <v>0</v>
      </c>
      <c r="P313" s="38"/>
      <c r="Q313" s="38"/>
      <c r="R313" s="38"/>
      <c r="S313" s="38"/>
      <c r="T313" s="38"/>
      <c r="U313" s="38"/>
      <c r="V313" s="38"/>
      <c r="W313" s="38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</row>
    <row r="314" spans="1:36" ht="11.25" customHeight="1" x14ac:dyDescent="0.2">
      <c r="A314" s="35" t="s">
        <v>21</v>
      </c>
      <c r="B314" s="35" t="s">
        <v>41</v>
      </c>
      <c r="C314" s="35" t="s">
        <v>42</v>
      </c>
      <c r="D314" s="35" t="s">
        <v>48</v>
      </c>
      <c r="E314" s="35" t="s">
        <v>25</v>
      </c>
      <c r="F314" s="35" t="s">
        <v>25</v>
      </c>
      <c r="G314" s="35" t="s">
        <v>25</v>
      </c>
      <c r="H314" s="35" t="s">
        <v>37</v>
      </c>
      <c r="I314" s="45">
        <v>44652</v>
      </c>
      <c r="J314" s="46">
        <f ca="1">EFEITO!$J$314*EFEITO!$Y$314</f>
        <v>35107.710004374487</v>
      </c>
      <c r="K314" s="46">
        <f ca="1">EFEITO!$L$314*EFEITO!$Z$314</f>
        <v>64045.758304864263</v>
      </c>
      <c r="L314" s="46">
        <f>EFEITO!$N$314*EFEITO!$AA$314</f>
        <v>123474.60364888457</v>
      </c>
      <c r="M314" s="46">
        <f ca="1">$J$314-EFEITO!$K$314*EFEITO!$Y$314</f>
        <v>0</v>
      </c>
      <c r="N314" s="46">
        <f ca="1">$K$314-EFEITO!$M$314*EFEITO!$Z$314</f>
        <v>0</v>
      </c>
      <c r="O314" s="46">
        <f>$L$314-EFEITO!$O$314*EFEITO!$AA$314</f>
        <v>0</v>
      </c>
      <c r="P314" s="38"/>
      <c r="Q314" s="38"/>
      <c r="R314" s="38"/>
      <c r="S314" s="38"/>
      <c r="T314" s="38"/>
      <c r="U314" s="38"/>
      <c r="V314" s="38"/>
      <c r="W314" s="38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</row>
    <row r="315" spans="1:36" ht="11.25" customHeight="1" x14ac:dyDescent="0.2">
      <c r="A315" s="35" t="s">
        <v>30</v>
      </c>
      <c r="B315" s="35" t="s">
        <v>41</v>
      </c>
      <c r="C315" s="35" t="s">
        <v>42</v>
      </c>
      <c r="D315" s="35" t="s">
        <v>48</v>
      </c>
      <c r="E315" s="35" t="s">
        <v>25</v>
      </c>
      <c r="F315" s="35" t="s">
        <v>25</v>
      </c>
      <c r="G315" s="35" t="s">
        <v>25</v>
      </c>
      <c r="H315" s="35" t="s">
        <v>37</v>
      </c>
      <c r="I315" s="45">
        <v>44652</v>
      </c>
      <c r="J315" s="46">
        <f ca="1">EFEITO!$J$315*EFEITO!$Y$315</f>
        <v>23501.34433645738</v>
      </c>
      <c r="K315" s="46">
        <f ca="1">EFEITO!$L$315*EFEITO!$Z$315</f>
        <v>35461.092647440732</v>
      </c>
      <c r="L315" s="46">
        <f>EFEITO!$N$315*EFEITO!$AA$315</f>
        <v>68365.875828291493</v>
      </c>
      <c r="M315" s="46">
        <f ca="1">$J$315-EFEITO!$K$315*EFEITO!$Y$315</f>
        <v>0</v>
      </c>
      <c r="N315" s="46">
        <f ca="1">$K$315-EFEITO!$M$315*EFEITO!$Z$315</f>
        <v>0</v>
      </c>
      <c r="O315" s="46">
        <f>$L$315-EFEITO!$O$315*EFEITO!$AA$315</f>
        <v>0</v>
      </c>
      <c r="P315" s="38"/>
      <c r="Q315" s="38"/>
      <c r="R315" s="38"/>
      <c r="S315" s="38"/>
      <c r="T315" s="38"/>
      <c r="U315" s="38"/>
      <c r="V315" s="38"/>
      <c r="W315" s="38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</row>
    <row r="316" spans="1:36" ht="11.25" customHeight="1" x14ac:dyDescent="0.2">
      <c r="A316" s="35" t="s">
        <v>21</v>
      </c>
      <c r="B316" s="35" t="s">
        <v>41</v>
      </c>
      <c r="C316" s="35" t="s">
        <v>42</v>
      </c>
      <c r="D316" s="35" t="s">
        <v>48</v>
      </c>
      <c r="E316" s="35" t="s">
        <v>25</v>
      </c>
      <c r="F316" s="35" t="s">
        <v>25</v>
      </c>
      <c r="G316" s="35" t="s">
        <v>25</v>
      </c>
      <c r="H316" s="35" t="s">
        <v>37</v>
      </c>
      <c r="I316" s="45">
        <v>44682</v>
      </c>
      <c r="J316" s="46">
        <f ca="1">EFEITO!$J$316*EFEITO!$Y$316</f>
        <v>35107.710004374487</v>
      </c>
      <c r="K316" s="46">
        <f ca="1">EFEITO!$L$316*EFEITO!$Z$316</f>
        <v>62227.342530443013</v>
      </c>
      <c r="L316" s="46">
        <f>EFEITO!$N$316*EFEITO!$AA$316</f>
        <v>119968.85755486898</v>
      </c>
      <c r="M316" s="46">
        <f ca="1">$J$316-EFEITO!$K$316*EFEITO!$Y$316</f>
        <v>0</v>
      </c>
      <c r="N316" s="46">
        <f ca="1">$K$316-EFEITO!$M$316*EFEITO!$Z$316</f>
        <v>0</v>
      </c>
      <c r="O316" s="46">
        <f>$L$316-EFEITO!$O$316*EFEITO!$AA$316</f>
        <v>0</v>
      </c>
      <c r="P316" s="38"/>
      <c r="Q316" s="38"/>
      <c r="R316" s="38"/>
      <c r="S316" s="38"/>
      <c r="T316" s="38"/>
      <c r="U316" s="38"/>
      <c r="V316" s="38"/>
      <c r="W316" s="38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</row>
    <row r="317" spans="1:36" ht="11.25" customHeight="1" x14ac:dyDescent="0.2">
      <c r="A317" s="35" t="s">
        <v>30</v>
      </c>
      <c r="B317" s="35" t="s">
        <v>41</v>
      </c>
      <c r="C317" s="35" t="s">
        <v>42</v>
      </c>
      <c r="D317" s="35" t="s">
        <v>48</v>
      </c>
      <c r="E317" s="35" t="s">
        <v>25</v>
      </c>
      <c r="F317" s="35" t="s">
        <v>25</v>
      </c>
      <c r="G317" s="35" t="s">
        <v>25</v>
      </c>
      <c r="H317" s="35" t="s">
        <v>37</v>
      </c>
      <c r="I317" s="45">
        <v>44682</v>
      </c>
      <c r="J317" s="46">
        <f ca="1">EFEITO!$J$317*EFEITO!$Y$317</f>
        <v>23501.34433645738</v>
      </c>
      <c r="K317" s="46">
        <f ca="1">EFEITO!$L$317*EFEITO!$Z$317</f>
        <v>34895.864913429054</v>
      </c>
      <c r="L317" s="46">
        <f>EFEITO!$N$317*EFEITO!$AA$317</f>
        <v>67276.166341267613</v>
      </c>
      <c r="M317" s="46">
        <f ca="1">$J$317-EFEITO!$K$317*EFEITO!$Y$317</f>
        <v>0</v>
      </c>
      <c r="N317" s="46">
        <f ca="1">$K$317-EFEITO!$M$317*EFEITO!$Z$317</f>
        <v>0</v>
      </c>
      <c r="O317" s="46">
        <f>$L$317-EFEITO!$O$317*EFEITO!$AA$317</f>
        <v>0</v>
      </c>
      <c r="P317" s="38"/>
      <c r="Q317" s="38"/>
      <c r="R317" s="38"/>
      <c r="S317" s="38"/>
      <c r="T317" s="38"/>
      <c r="U317" s="38"/>
      <c r="V317" s="38"/>
      <c r="W317" s="38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</row>
    <row r="318" spans="1:36" ht="11.25" customHeight="1" x14ac:dyDescent="0.2">
      <c r="A318" s="35" t="s">
        <v>21</v>
      </c>
      <c r="B318" s="35" t="s">
        <v>41</v>
      </c>
      <c r="C318" s="35" t="s">
        <v>42</v>
      </c>
      <c r="D318" s="35" t="s">
        <v>48</v>
      </c>
      <c r="E318" s="35" t="s">
        <v>25</v>
      </c>
      <c r="F318" s="35" t="s">
        <v>25</v>
      </c>
      <c r="G318" s="35" t="s">
        <v>25</v>
      </c>
      <c r="H318" s="35" t="s">
        <v>37</v>
      </c>
      <c r="I318" s="45">
        <v>44713</v>
      </c>
      <c r="J318" s="46">
        <f ca="1">EFEITO!$J$318*EFEITO!$Y$318</f>
        <v>34798.481789421101</v>
      </c>
      <c r="K318" s="46">
        <f ca="1">EFEITO!$L$318*EFEITO!$Z$318</f>
        <v>54525.022879109558</v>
      </c>
      <c r="L318" s="46">
        <f>EFEITO!$N$318*EFEITO!$AA$318</f>
        <v>105119.46094692561</v>
      </c>
      <c r="M318" s="46">
        <f ca="1">$J$318-EFEITO!$K$318*EFEITO!$Y$318</f>
        <v>0</v>
      </c>
      <c r="N318" s="46">
        <f ca="1">$K$318-EFEITO!$M$318*EFEITO!$Z$318</f>
        <v>0</v>
      </c>
      <c r="O318" s="46">
        <f>$L$318-EFEITO!$O$318*EFEITO!$AA$318</f>
        <v>0</v>
      </c>
      <c r="P318" s="38"/>
      <c r="Q318" s="38"/>
      <c r="R318" s="38"/>
      <c r="S318" s="38"/>
      <c r="T318" s="38"/>
      <c r="U318" s="38"/>
      <c r="V318" s="38"/>
      <c r="W318" s="38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</row>
    <row r="319" spans="1:36" ht="11.25" customHeight="1" x14ac:dyDescent="0.2">
      <c r="A319" s="35" t="s">
        <v>30</v>
      </c>
      <c r="B319" s="35" t="s">
        <v>41</v>
      </c>
      <c r="C319" s="35" t="s">
        <v>42</v>
      </c>
      <c r="D319" s="35" t="s">
        <v>48</v>
      </c>
      <c r="E319" s="35" t="s">
        <v>25</v>
      </c>
      <c r="F319" s="35" t="s">
        <v>25</v>
      </c>
      <c r="G319" s="35" t="s">
        <v>25</v>
      </c>
      <c r="H319" s="35" t="s">
        <v>37</v>
      </c>
      <c r="I319" s="45">
        <v>44713</v>
      </c>
      <c r="J319" s="46">
        <f ca="1">EFEITO!$J$319*EFEITO!$Y$319</f>
        <v>23501.34433645738</v>
      </c>
      <c r="K319" s="46">
        <f ca="1">EFEITO!$L$319*EFEITO!$Z$319</f>
        <v>30733.393123886137</v>
      </c>
      <c r="L319" s="46">
        <f>EFEITO!$N$319*EFEITO!$AA$319</f>
        <v>59251.285880535528</v>
      </c>
      <c r="M319" s="46">
        <f ca="1">$J$319-EFEITO!$K$319*EFEITO!$Y$319</f>
        <v>0</v>
      </c>
      <c r="N319" s="46">
        <f ca="1">$K$319-EFEITO!$M$319*EFEITO!$Z$319</f>
        <v>0</v>
      </c>
      <c r="O319" s="46">
        <f>$L$319-EFEITO!$O$319*EFEITO!$AA$319</f>
        <v>0</v>
      </c>
      <c r="P319" s="38"/>
      <c r="Q319" s="38"/>
      <c r="R319" s="38"/>
      <c r="S319" s="38"/>
      <c r="T319" s="38"/>
      <c r="U319" s="38"/>
      <c r="V319" s="38"/>
      <c r="W319" s="38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</row>
    <row r="320" spans="1:36" ht="11.25" customHeight="1" x14ac:dyDescent="0.2">
      <c r="A320" s="35" t="s">
        <v>21</v>
      </c>
      <c r="B320" s="35" t="s">
        <v>41</v>
      </c>
      <c r="C320" s="35" t="s">
        <v>42</v>
      </c>
      <c r="D320" s="35" t="s">
        <v>48</v>
      </c>
      <c r="E320" s="35" t="s">
        <v>25</v>
      </c>
      <c r="F320" s="35" t="s">
        <v>25</v>
      </c>
      <c r="G320" s="35" t="s">
        <v>25</v>
      </c>
      <c r="H320" s="35" t="s">
        <v>37</v>
      </c>
      <c r="I320" s="45">
        <v>44743</v>
      </c>
      <c r="J320" s="46">
        <f ca="1">EFEITO!$J$320*EFEITO!$Y$320</f>
        <v>35458.168647988328</v>
      </c>
      <c r="K320" s="46">
        <f ca="1">EFEITO!$L$320*EFEITO!$Z$320</f>
        <v>65767.757548298192</v>
      </c>
      <c r="L320" s="46">
        <f>EFEITO!$N$320*EFEITO!$AA$320</f>
        <v>126794.46712921959</v>
      </c>
      <c r="M320" s="46">
        <f ca="1">$J$320-EFEITO!$K$320*EFEITO!$Y$320</f>
        <v>0</v>
      </c>
      <c r="N320" s="46">
        <f ca="1">$K$320-EFEITO!$M$320*EFEITO!$Z$320</f>
        <v>0</v>
      </c>
      <c r="O320" s="46">
        <f>$L$320-EFEITO!$O$320*EFEITO!$AA$320</f>
        <v>0</v>
      </c>
      <c r="P320" s="38"/>
      <c r="Q320" s="38"/>
      <c r="R320" s="38"/>
      <c r="S320" s="38"/>
      <c r="T320" s="38"/>
      <c r="U320" s="38"/>
      <c r="V320" s="38"/>
      <c r="W320" s="38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</row>
    <row r="321" spans="1:36" ht="11.25" customHeight="1" x14ac:dyDescent="0.2">
      <c r="A321" s="35" t="s">
        <v>30</v>
      </c>
      <c r="B321" s="35" t="s">
        <v>41</v>
      </c>
      <c r="C321" s="35" t="s">
        <v>42</v>
      </c>
      <c r="D321" s="35" t="s">
        <v>48</v>
      </c>
      <c r="E321" s="35" t="s">
        <v>25</v>
      </c>
      <c r="F321" s="35" t="s">
        <v>25</v>
      </c>
      <c r="G321" s="35" t="s">
        <v>25</v>
      </c>
      <c r="H321" s="35" t="s">
        <v>37</v>
      </c>
      <c r="I321" s="45">
        <v>44743</v>
      </c>
      <c r="J321" s="46">
        <f ca="1">EFEITO!$J$321*EFEITO!$Y$321</f>
        <v>23501.34433645738</v>
      </c>
      <c r="K321" s="46">
        <f ca="1">EFEITO!$L$321*EFEITO!$Z$321</f>
        <v>38290.520822673949</v>
      </c>
      <c r="L321" s="46">
        <f>EFEITO!$N$321*EFEITO!$AA$321</f>
        <v>73820.765140818752</v>
      </c>
      <c r="M321" s="46">
        <f ca="1">$J$321-EFEITO!$K$321*EFEITO!$Y$321</f>
        <v>0</v>
      </c>
      <c r="N321" s="46">
        <f ca="1">$K$321-EFEITO!$M$321*EFEITO!$Z$321</f>
        <v>0</v>
      </c>
      <c r="O321" s="46">
        <f>$L$321-EFEITO!$O$321*EFEITO!$AA$321</f>
        <v>0</v>
      </c>
      <c r="P321" s="38"/>
      <c r="Q321" s="38"/>
      <c r="R321" s="38"/>
      <c r="S321" s="38"/>
      <c r="T321" s="38"/>
      <c r="U321" s="38"/>
      <c r="V321" s="38"/>
      <c r="W321" s="38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</row>
    <row r="322" spans="1:36" ht="11.25" customHeight="1" x14ac:dyDescent="0.2">
      <c r="A322" s="35" t="s">
        <v>21</v>
      </c>
      <c r="B322" s="35" t="s">
        <v>41</v>
      </c>
      <c r="C322" s="35" t="s">
        <v>42</v>
      </c>
      <c r="D322" s="35" t="s">
        <v>48</v>
      </c>
      <c r="E322" s="35" t="s">
        <v>25</v>
      </c>
      <c r="F322" s="35" t="s">
        <v>25</v>
      </c>
      <c r="G322" s="35" t="s">
        <v>25</v>
      </c>
      <c r="H322" s="35" t="s">
        <v>37</v>
      </c>
      <c r="I322" s="45">
        <v>44774</v>
      </c>
      <c r="J322" s="46">
        <f ca="1">EFEITO!$J$322*EFEITO!$Y$322</f>
        <v>35952.933791913747</v>
      </c>
      <c r="K322" s="46">
        <f ca="1">EFEITO!$L$322*EFEITO!$Z$322</f>
        <v>60856.86661586765</v>
      </c>
      <c r="L322" s="46">
        <f>EFEITO!$N$322*EFEITO!$AA$322</f>
        <v>117326.70021547056</v>
      </c>
      <c r="M322" s="46">
        <f ca="1">$J$322-EFEITO!$K$322*EFEITO!$Y$322</f>
        <v>0</v>
      </c>
      <c r="N322" s="46">
        <f ca="1">$K$322-EFEITO!$M$322*EFEITO!$Z$322</f>
        <v>0</v>
      </c>
      <c r="O322" s="46">
        <f>$L$322-EFEITO!$O$322*EFEITO!$AA$322</f>
        <v>0</v>
      </c>
      <c r="P322" s="38"/>
      <c r="Q322" s="38"/>
      <c r="R322" s="38"/>
      <c r="S322" s="38"/>
      <c r="T322" s="38"/>
      <c r="U322" s="38"/>
      <c r="V322" s="38"/>
      <c r="W322" s="38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</row>
    <row r="323" spans="1:36" ht="11.25" customHeight="1" x14ac:dyDescent="0.2">
      <c r="A323" s="35" t="s">
        <v>30</v>
      </c>
      <c r="B323" s="35" t="s">
        <v>41</v>
      </c>
      <c r="C323" s="35" t="s">
        <v>42</v>
      </c>
      <c r="D323" s="35" t="s">
        <v>48</v>
      </c>
      <c r="E323" s="35" t="s">
        <v>25</v>
      </c>
      <c r="F323" s="35" t="s">
        <v>25</v>
      </c>
      <c r="G323" s="35" t="s">
        <v>25</v>
      </c>
      <c r="H323" s="35" t="s">
        <v>37</v>
      </c>
      <c r="I323" s="45">
        <v>44774</v>
      </c>
      <c r="J323" s="46">
        <f ca="1">EFEITO!$J$323*EFEITO!$Y$323</f>
        <v>23501.34433645738</v>
      </c>
      <c r="K323" s="46">
        <f ca="1">EFEITO!$L$323*EFEITO!$Z$323</f>
        <v>34501.124292445587</v>
      </c>
      <c r="L323" s="46">
        <f>EFEITO!$N$323*EFEITO!$AA$323</f>
        <v>66515.141052316569</v>
      </c>
      <c r="M323" s="46">
        <f ca="1">$J$323-EFEITO!$K$323*EFEITO!$Y$323</f>
        <v>0</v>
      </c>
      <c r="N323" s="46">
        <f ca="1">$K$323-EFEITO!$M$323*EFEITO!$Z$323</f>
        <v>0</v>
      </c>
      <c r="O323" s="46">
        <f>$L$323-EFEITO!$O$323*EFEITO!$AA$323</f>
        <v>0</v>
      </c>
      <c r="P323" s="38"/>
      <c r="Q323" s="38"/>
      <c r="R323" s="38"/>
      <c r="S323" s="38"/>
      <c r="T323" s="38"/>
      <c r="U323" s="38"/>
      <c r="V323" s="38"/>
      <c r="W323" s="38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</row>
    <row r="324" spans="1:36" ht="11.25" customHeight="1" x14ac:dyDescent="0.2">
      <c r="A324" s="35" t="s">
        <v>21</v>
      </c>
      <c r="B324" s="35" t="s">
        <v>41</v>
      </c>
      <c r="C324" s="35" t="s">
        <v>42</v>
      </c>
      <c r="D324" s="35" t="s">
        <v>48</v>
      </c>
      <c r="E324" s="35" t="s">
        <v>25</v>
      </c>
      <c r="F324" s="35" t="s">
        <v>25</v>
      </c>
      <c r="G324" s="35" t="s">
        <v>25</v>
      </c>
      <c r="H324" s="35" t="s">
        <v>37</v>
      </c>
      <c r="I324" s="45">
        <v>44805</v>
      </c>
      <c r="J324" s="46">
        <f ca="1">EFEITO!$J$324*EFEITO!$Y$324</f>
        <v>37334.153152038874</v>
      </c>
      <c r="K324" s="46">
        <f ca="1">EFEITO!$L$324*EFEITO!$Z$324</f>
        <v>63341.577335017901</v>
      </c>
      <c r="L324" s="46">
        <f>EFEITO!$N$324*EFEITO!$AA$324</f>
        <v>122117.00451273282</v>
      </c>
      <c r="M324" s="46">
        <f ca="1">$J$324-EFEITO!$K$324*EFEITO!$Y$324</f>
        <v>0</v>
      </c>
      <c r="N324" s="46">
        <f ca="1">$K$324-EFEITO!$M$324*EFEITO!$Z$324</f>
        <v>0</v>
      </c>
      <c r="O324" s="46">
        <f>$L$324-EFEITO!$O$324*EFEITO!$AA$324</f>
        <v>0</v>
      </c>
      <c r="P324" s="38"/>
      <c r="Q324" s="38"/>
      <c r="R324" s="38"/>
      <c r="S324" s="38"/>
      <c r="T324" s="38"/>
      <c r="U324" s="38"/>
      <c r="V324" s="38"/>
      <c r="W324" s="38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</row>
    <row r="325" spans="1:36" ht="11.25" customHeight="1" x14ac:dyDescent="0.2">
      <c r="A325" s="35" t="s">
        <v>30</v>
      </c>
      <c r="B325" s="35" t="s">
        <v>41</v>
      </c>
      <c r="C325" s="35" t="s">
        <v>42</v>
      </c>
      <c r="D325" s="35" t="s">
        <v>48</v>
      </c>
      <c r="E325" s="35" t="s">
        <v>25</v>
      </c>
      <c r="F325" s="35" t="s">
        <v>25</v>
      </c>
      <c r="G325" s="35" t="s">
        <v>25</v>
      </c>
      <c r="H325" s="35" t="s">
        <v>37</v>
      </c>
      <c r="I325" s="45">
        <v>44805</v>
      </c>
      <c r="J325" s="46">
        <f ca="1">EFEITO!$J$325*EFEITO!$Y$325</f>
        <v>23501.34433645738</v>
      </c>
      <c r="K325" s="46">
        <f ca="1">EFEITO!$L$325*EFEITO!$Z$325</f>
        <v>36275.755618677293</v>
      </c>
      <c r="L325" s="46">
        <f>EFEITO!$N$325*EFEITO!$AA$325</f>
        <v>69936.474571178376</v>
      </c>
      <c r="M325" s="46">
        <f ca="1">$J$325-EFEITO!$K$325*EFEITO!$Y$325</f>
        <v>0</v>
      </c>
      <c r="N325" s="46">
        <f ca="1">$K$325-EFEITO!$M$325*EFEITO!$Z$325</f>
        <v>0</v>
      </c>
      <c r="O325" s="46">
        <f>$L$325-EFEITO!$O$325*EFEITO!$AA$325</f>
        <v>0</v>
      </c>
      <c r="P325" s="38"/>
      <c r="Q325" s="38"/>
      <c r="R325" s="38"/>
      <c r="S325" s="38"/>
      <c r="T325" s="38"/>
      <c r="U325" s="38"/>
      <c r="V325" s="38"/>
      <c r="W325" s="38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</row>
    <row r="326" spans="1:36" ht="11.25" customHeight="1" x14ac:dyDescent="0.2">
      <c r="A326" s="35" t="s">
        <v>21</v>
      </c>
      <c r="B326" s="35" t="s">
        <v>41</v>
      </c>
      <c r="C326" s="35" t="s">
        <v>42</v>
      </c>
      <c r="D326" s="35" t="s">
        <v>48</v>
      </c>
      <c r="E326" s="35" t="s">
        <v>25</v>
      </c>
      <c r="F326" s="35" t="s">
        <v>25</v>
      </c>
      <c r="G326" s="35" t="s">
        <v>25</v>
      </c>
      <c r="H326" s="35" t="s">
        <v>37</v>
      </c>
      <c r="I326" s="45">
        <v>44835</v>
      </c>
      <c r="J326" s="46">
        <f ca="1">EFEITO!$J$326*EFEITO!$Y$326</f>
        <v>36365.238078518261</v>
      </c>
      <c r="K326" s="46">
        <f ca="1">EFEITO!$L$326*EFEITO!$Z$326</f>
        <v>68150.607038240632</v>
      </c>
      <c r="L326" s="46">
        <f>EFEITO!$N$326*EFEITO!$AA$326</f>
        <v>131388.39191226402</v>
      </c>
      <c r="M326" s="46">
        <f ca="1">$J$326-EFEITO!$K$326*EFEITO!$Y$326</f>
        <v>0</v>
      </c>
      <c r="N326" s="46">
        <f ca="1">$K$326-EFEITO!$M$326*EFEITO!$Z$326</f>
        <v>0</v>
      </c>
      <c r="O326" s="46">
        <f>$L$326-EFEITO!$O$326*EFEITO!$AA$326</f>
        <v>0</v>
      </c>
      <c r="P326" s="38"/>
      <c r="Q326" s="38"/>
      <c r="R326" s="38"/>
      <c r="S326" s="38"/>
      <c r="T326" s="38"/>
      <c r="U326" s="38"/>
      <c r="V326" s="38"/>
      <c r="W326" s="38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</row>
    <row r="327" spans="1:36" ht="11.25" customHeight="1" x14ac:dyDescent="0.2">
      <c r="A327" s="35" t="s">
        <v>30</v>
      </c>
      <c r="B327" s="35" t="s">
        <v>41</v>
      </c>
      <c r="C327" s="35" t="s">
        <v>42</v>
      </c>
      <c r="D327" s="35" t="s">
        <v>48</v>
      </c>
      <c r="E327" s="35" t="s">
        <v>25</v>
      </c>
      <c r="F327" s="35" t="s">
        <v>25</v>
      </c>
      <c r="G327" s="35" t="s">
        <v>25</v>
      </c>
      <c r="H327" s="35" t="s">
        <v>37</v>
      </c>
      <c r="I327" s="45">
        <v>44835</v>
      </c>
      <c r="J327" s="46">
        <f ca="1">EFEITO!$J$327*EFEITO!$Y$327</f>
        <v>23501.34433645738</v>
      </c>
      <c r="K327" s="46">
        <f ca="1">EFEITO!$L$327*EFEITO!$Z$327</f>
        <v>38353.361714635117</v>
      </c>
      <c r="L327" s="46">
        <f>EFEITO!$N$327*EFEITO!$AA$327</f>
        <v>73941.916867852924</v>
      </c>
      <c r="M327" s="46">
        <f ca="1">$J$327-EFEITO!$K$327*EFEITO!$Y$327</f>
        <v>0</v>
      </c>
      <c r="N327" s="46">
        <f ca="1">$K$327-EFEITO!$M$327*EFEITO!$Z$327</f>
        <v>0</v>
      </c>
      <c r="O327" s="46">
        <f>$L$327-EFEITO!$O$327*EFEITO!$AA$327</f>
        <v>0</v>
      </c>
      <c r="P327" s="38"/>
      <c r="Q327" s="38"/>
      <c r="R327" s="38"/>
      <c r="S327" s="38"/>
      <c r="T327" s="38"/>
      <c r="U327" s="38"/>
      <c r="V327" s="38"/>
      <c r="W327" s="38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</row>
    <row r="328" spans="1:36" ht="11.25" customHeight="1" x14ac:dyDescent="0.2">
      <c r="A328" s="35" t="s">
        <v>59</v>
      </c>
      <c r="B328" s="35" t="s">
        <v>41</v>
      </c>
      <c r="C328" s="35" t="s">
        <v>42</v>
      </c>
      <c r="D328" s="35" t="s">
        <v>48</v>
      </c>
      <c r="E328" s="35" t="s">
        <v>25</v>
      </c>
      <c r="F328" s="35" t="s">
        <v>25</v>
      </c>
      <c r="G328" s="35" t="s">
        <v>25</v>
      </c>
      <c r="H328" s="35" t="s">
        <v>37</v>
      </c>
      <c r="I328" s="45">
        <v>44866</v>
      </c>
      <c r="J328" s="46">
        <f ca="1">EFEITO!$J$328*EFEITO!$Y$328</f>
        <v>36365.238078518261</v>
      </c>
      <c r="K328" s="46">
        <f ca="1">EFEITO!$L$328*EFEITO!$Z$328</f>
        <v>68150.607038240632</v>
      </c>
      <c r="L328" s="46">
        <f>EFEITO!$N$328*EFEITO!$AA$328</f>
        <v>131388.39191226402</v>
      </c>
      <c r="M328" s="46">
        <f ca="1">$J$328-EFEITO!$K$328*EFEITO!$Y$328</f>
        <v>0</v>
      </c>
      <c r="N328" s="46">
        <f ca="1">$K$328-EFEITO!$M$328*EFEITO!$Z$328</f>
        <v>0</v>
      </c>
      <c r="O328" s="46">
        <f>$L$328-EFEITO!$O$328*EFEITO!$AA$328</f>
        <v>0</v>
      </c>
      <c r="P328" s="38"/>
      <c r="Q328" s="38"/>
      <c r="R328" s="38"/>
      <c r="S328" s="38"/>
      <c r="T328" s="38"/>
      <c r="U328" s="38"/>
      <c r="V328" s="38"/>
      <c r="W328" s="38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</row>
    <row r="329" spans="1:36" ht="11.25" customHeight="1" x14ac:dyDescent="0.2">
      <c r="A329" s="35" t="s">
        <v>59</v>
      </c>
      <c r="B329" s="35" t="s">
        <v>41</v>
      </c>
      <c r="C329" s="35" t="s">
        <v>42</v>
      </c>
      <c r="D329" s="35" t="s">
        <v>48</v>
      </c>
      <c r="E329" s="35" t="s">
        <v>25</v>
      </c>
      <c r="F329" s="35" t="s">
        <v>25</v>
      </c>
      <c r="G329" s="35" t="s">
        <v>25</v>
      </c>
      <c r="H329" s="35" t="s">
        <v>37</v>
      </c>
      <c r="I329" s="45">
        <v>44866</v>
      </c>
      <c r="J329" s="46">
        <f ca="1">EFEITO!$J$329*EFEITO!$Y$329</f>
        <v>23501.34433645738</v>
      </c>
      <c r="K329" s="46">
        <f ca="1">EFEITO!$L$329*EFEITO!$Z$329</f>
        <v>38353.361714635117</v>
      </c>
      <c r="L329" s="46">
        <f>EFEITO!$N$329*EFEITO!$AA$329</f>
        <v>73941.916867852924</v>
      </c>
      <c r="M329" s="46">
        <f ca="1">$J$329-EFEITO!$K$329*EFEITO!$Y$329</f>
        <v>0</v>
      </c>
      <c r="N329" s="46">
        <f ca="1">$K$329-EFEITO!$M$329*EFEITO!$Z$329</f>
        <v>0</v>
      </c>
      <c r="O329" s="46">
        <f>$L$329-EFEITO!$O$329*EFEITO!$AA$329</f>
        <v>0</v>
      </c>
      <c r="P329" s="38"/>
      <c r="Q329" s="38"/>
      <c r="R329" s="38"/>
      <c r="S329" s="38"/>
      <c r="T329" s="38"/>
      <c r="U329" s="38"/>
      <c r="V329" s="38"/>
      <c r="W329" s="38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</row>
    <row r="330" spans="1:36" ht="11.25" customHeight="1" x14ac:dyDescent="0.2">
      <c r="A330" s="35" t="s">
        <v>21</v>
      </c>
      <c r="B330" s="35" t="s">
        <v>41</v>
      </c>
      <c r="C330" s="35" t="s">
        <v>42</v>
      </c>
      <c r="D330" s="35" t="s">
        <v>48</v>
      </c>
      <c r="E330" s="35" t="s">
        <v>25</v>
      </c>
      <c r="F330" s="35" t="s">
        <v>25</v>
      </c>
      <c r="G330" s="35" t="s">
        <v>25</v>
      </c>
      <c r="H330" s="35" t="s">
        <v>36</v>
      </c>
      <c r="I330" s="45">
        <v>44531</v>
      </c>
      <c r="J330" s="46">
        <f ca="1">EFEITO!$J$330*EFEITO!$Y$330</f>
        <v>115263.65844575215</v>
      </c>
      <c r="K330" s="46">
        <f ca="1">EFEITO!$L$330*EFEITO!$Z$330</f>
        <v>7651.8427615812598</v>
      </c>
      <c r="L330" s="46">
        <f>EFEITO!$N$330*EFEITO!$AA$330</f>
        <v>24463.238063749533</v>
      </c>
      <c r="M330" s="46">
        <f ca="1">$J$330-EFEITO!$K$330*EFEITO!$Y$330</f>
        <v>0</v>
      </c>
      <c r="N330" s="46">
        <f ca="1">$K$330-EFEITO!$M$330*EFEITO!$Z$330</f>
        <v>0</v>
      </c>
      <c r="O330" s="46">
        <f>$L$330-EFEITO!$O$330*EFEITO!$AA$330</f>
        <v>0</v>
      </c>
      <c r="P330" s="38"/>
      <c r="Q330" s="38"/>
      <c r="R330" s="38"/>
      <c r="S330" s="38"/>
      <c r="T330" s="38"/>
      <c r="U330" s="38"/>
      <c r="V330" s="38"/>
      <c r="W330" s="38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</row>
    <row r="331" spans="1:36" ht="11.25" customHeight="1" x14ac:dyDescent="0.2">
      <c r="A331" s="35" t="s">
        <v>30</v>
      </c>
      <c r="B331" s="35" t="s">
        <v>41</v>
      </c>
      <c r="C331" s="35" t="s">
        <v>42</v>
      </c>
      <c r="D331" s="35" t="s">
        <v>48</v>
      </c>
      <c r="E331" s="35" t="s">
        <v>25</v>
      </c>
      <c r="F331" s="35" t="s">
        <v>25</v>
      </c>
      <c r="G331" s="35" t="s">
        <v>25</v>
      </c>
      <c r="H331" s="35" t="s">
        <v>36</v>
      </c>
      <c r="I331" s="45">
        <v>44531</v>
      </c>
      <c r="J331" s="46">
        <f ca="1">EFEITO!$J$331*EFEITO!$Y$331</f>
        <v>41668.347459627061</v>
      </c>
      <c r="K331" s="46">
        <f ca="1">EFEITO!$L$331*EFEITO!$Z$331</f>
        <v>3096.6721128875506</v>
      </c>
      <c r="L331" s="46">
        <f>EFEITO!$N$331*EFEITO!$AA$331</f>
        <v>9900.1808405283628</v>
      </c>
      <c r="M331" s="46">
        <f ca="1">$J$331-EFEITO!$K$331*EFEITO!$Y$331</f>
        <v>0</v>
      </c>
      <c r="N331" s="46">
        <f ca="1">$K$331-EFEITO!$M$331*EFEITO!$Z$331</f>
        <v>0</v>
      </c>
      <c r="O331" s="46">
        <f>$L$331-EFEITO!$O$331*EFEITO!$AA$331</f>
        <v>0</v>
      </c>
      <c r="P331" s="38"/>
      <c r="Q331" s="38"/>
      <c r="R331" s="38"/>
      <c r="S331" s="38"/>
      <c r="T331" s="38"/>
      <c r="U331" s="38"/>
      <c r="V331" s="38"/>
      <c r="W331" s="38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</row>
    <row r="332" spans="1:36" ht="11.25" customHeight="1" x14ac:dyDescent="0.2">
      <c r="A332" s="35" t="s">
        <v>21</v>
      </c>
      <c r="B332" s="35" t="s">
        <v>41</v>
      </c>
      <c r="C332" s="35" t="s">
        <v>42</v>
      </c>
      <c r="D332" s="35" t="s">
        <v>48</v>
      </c>
      <c r="E332" s="35" t="s">
        <v>25</v>
      </c>
      <c r="F332" s="35" t="s">
        <v>25</v>
      </c>
      <c r="G332" s="35" t="s">
        <v>25</v>
      </c>
      <c r="H332" s="35" t="s">
        <v>36</v>
      </c>
      <c r="I332" s="45">
        <v>44562</v>
      </c>
      <c r="J332" s="46">
        <f ca="1">EFEITO!$J$332*EFEITO!$Y$332</f>
        <v>113349.16680571524</v>
      </c>
      <c r="K332" s="46">
        <f ca="1">EFEITO!$L$332*EFEITO!$Z$332</f>
        <v>7377.6795199384314</v>
      </c>
      <c r="L332" s="46">
        <f>EFEITO!$N$332*EFEITO!$AA$332</f>
        <v>23586.727547575283</v>
      </c>
      <c r="M332" s="46">
        <f ca="1">$J$332-EFEITO!$K$332*EFEITO!$Y$332</f>
        <v>0</v>
      </c>
      <c r="N332" s="46">
        <f ca="1">$K$332-EFEITO!$M$332*EFEITO!$Z$332</f>
        <v>0</v>
      </c>
      <c r="O332" s="46">
        <f>$L$332-EFEITO!$O$332*EFEITO!$AA$332</f>
        <v>0</v>
      </c>
      <c r="P332" s="38"/>
      <c r="Q332" s="38"/>
      <c r="R332" s="38"/>
      <c r="S332" s="38"/>
      <c r="T332" s="38"/>
      <c r="U332" s="38"/>
      <c r="V332" s="38"/>
      <c r="W332" s="38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</row>
    <row r="333" spans="1:36" ht="11.25" customHeight="1" x14ac:dyDescent="0.2">
      <c r="A333" s="35" t="s">
        <v>30</v>
      </c>
      <c r="B333" s="35" t="s">
        <v>41</v>
      </c>
      <c r="C333" s="35" t="s">
        <v>42</v>
      </c>
      <c r="D333" s="35" t="s">
        <v>48</v>
      </c>
      <c r="E333" s="35" t="s">
        <v>25</v>
      </c>
      <c r="F333" s="35" t="s">
        <v>25</v>
      </c>
      <c r="G333" s="35" t="s">
        <v>25</v>
      </c>
      <c r="H333" s="35" t="s">
        <v>36</v>
      </c>
      <c r="I333" s="45">
        <v>44562</v>
      </c>
      <c r="J333" s="46">
        <f ca="1">EFEITO!$J$333*EFEITO!$Y$333</f>
        <v>41668.347459627061</v>
      </c>
      <c r="K333" s="46">
        <f ca="1">EFEITO!$L$333*EFEITO!$Z$333</f>
        <v>2994.2437276151159</v>
      </c>
      <c r="L333" s="46">
        <f>EFEITO!$N$333*EFEITO!$AA$333</f>
        <v>9572.7133204185775</v>
      </c>
      <c r="M333" s="46">
        <f ca="1">$J$333-EFEITO!$K$333*EFEITO!$Y$333</f>
        <v>0</v>
      </c>
      <c r="N333" s="46">
        <f ca="1">$K$333-EFEITO!$M$333*EFEITO!$Z$333</f>
        <v>0</v>
      </c>
      <c r="O333" s="46">
        <f>$L$333-EFEITO!$O$333*EFEITO!$AA$333</f>
        <v>0</v>
      </c>
      <c r="P333" s="38"/>
      <c r="Q333" s="38"/>
      <c r="R333" s="38"/>
      <c r="S333" s="38"/>
      <c r="T333" s="38"/>
      <c r="U333" s="38"/>
      <c r="V333" s="38"/>
      <c r="W333" s="38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</row>
    <row r="334" spans="1:36" ht="11.25" customHeight="1" x14ac:dyDescent="0.2">
      <c r="A334" s="35" t="s">
        <v>21</v>
      </c>
      <c r="B334" s="35" t="s">
        <v>41</v>
      </c>
      <c r="C334" s="35" t="s">
        <v>42</v>
      </c>
      <c r="D334" s="35" t="s">
        <v>48</v>
      </c>
      <c r="E334" s="35" t="s">
        <v>25</v>
      </c>
      <c r="F334" s="35" t="s">
        <v>25</v>
      </c>
      <c r="G334" s="35" t="s">
        <v>25</v>
      </c>
      <c r="H334" s="35" t="s">
        <v>36</v>
      </c>
      <c r="I334" s="45">
        <v>44593</v>
      </c>
      <c r="J334" s="46">
        <f ca="1">EFEITO!$J$334*EFEITO!$Y$334</f>
        <v>79620.328794476576</v>
      </c>
      <c r="K334" s="46">
        <f ca="1">EFEITO!$L$334*EFEITO!$Z$334</f>
        <v>5820.4958288864063</v>
      </c>
      <c r="L334" s="46">
        <f>EFEITO!$N$334*EFEITO!$AA$334</f>
        <v>18608.350896338165</v>
      </c>
      <c r="M334" s="46">
        <f ca="1">$J$334-EFEITO!$K$334*EFEITO!$Y$334</f>
        <v>0</v>
      </c>
      <c r="N334" s="46">
        <f ca="1">$K$334-EFEITO!$M$334*EFEITO!$Z$334</f>
        <v>0</v>
      </c>
      <c r="O334" s="46">
        <f>$L$334-EFEITO!$O$334*EFEITO!$AA$334</f>
        <v>0</v>
      </c>
      <c r="P334" s="38"/>
      <c r="Q334" s="38"/>
      <c r="R334" s="38"/>
      <c r="S334" s="38"/>
      <c r="T334" s="38"/>
      <c r="U334" s="38"/>
      <c r="V334" s="38"/>
      <c r="W334" s="38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</row>
    <row r="335" spans="1:36" ht="11.25" customHeight="1" x14ac:dyDescent="0.2">
      <c r="A335" s="35" t="s">
        <v>30</v>
      </c>
      <c r="B335" s="35" t="s">
        <v>41</v>
      </c>
      <c r="C335" s="35" t="s">
        <v>42</v>
      </c>
      <c r="D335" s="35" t="s">
        <v>48</v>
      </c>
      <c r="E335" s="35" t="s">
        <v>25</v>
      </c>
      <c r="F335" s="35" t="s">
        <v>25</v>
      </c>
      <c r="G335" s="35" t="s">
        <v>25</v>
      </c>
      <c r="H335" s="35" t="s">
        <v>36</v>
      </c>
      <c r="I335" s="45">
        <v>44593</v>
      </c>
      <c r="J335" s="46">
        <f ca="1">EFEITO!$J$335*EFEITO!$Y$335</f>
        <v>41668.347459627061</v>
      </c>
      <c r="K335" s="46">
        <f ca="1">EFEITO!$L$335*EFEITO!$Z$335</f>
        <v>2712.3671634933007</v>
      </c>
      <c r="L335" s="46">
        <f>EFEITO!$N$335*EFEITO!$AA$335</f>
        <v>8671.5430131397134</v>
      </c>
      <c r="M335" s="46">
        <f ca="1">$J$335-EFEITO!$K$335*EFEITO!$Y$335</f>
        <v>0</v>
      </c>
      <c r="N335" s="46">
        <f ca="1">$K$335-EFEITO!$M$335*EFEITO!$Z$335</f>
        <v>0</v>
      </c>
      <c r="O335" s="46">
        <f>$L$335-EFEITO!$O$335*EFEITO!$AA$335</f>
        <v>0</v>
      </c>
      <c r="P335" s="38"/>
      <c r="Q335" s="38"/>
      <c r="R335" s="38"/>
      <c r="S335" s="38"/>
      <c r="T335" s="38"/>
      <c r="U335" s="38"/>
      <c r="V335" s="38"/>
      <c r="W335" s="38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</row>
    <row r="336" spans="1:36" ht="11.25" customHeight="1" x14ac:dyDescent="0.2">
      <c r="A336" s="35" t="s">
        <v>21</v>
      </c>
      <c r="B336" s="35" t="s">
        <v>41</v>
      </c>
      <c r="C336" s="35" t="s">
        <v>42</v>
      </c>
      <c r="D336" s="35" t="s">
        <v>48</v>
      </c>
      <c r="E336" s="35" t="s">
        <v>25</v>
      </c>
      <c r="F336" s="35" t="s">
        <v>25</v>
      </c>
      <c r="G336" s="35" t="s">
        <v>25</v>
      </c>
      <c r="H336" s="35" t="s">
        <v>36</v>
      </c>
      <c r="I336" s="45">
        <v>44621</v>
      </c>
      <c r="J336" s="46">
        <f ca="1">EFEITO!$J$336*EFEITO!$Y$336</f>
        <v>79282.477328587702</v>
      </c>
      <c r="K336" s="46">
        <f ca="1">EFEITO!$L$336*EFEITO!$Z$336</f>
        <v>6059.4953945220868</v>
      </c>
      <c r="L336" s="46">
        <f>EFEITO!$N$336*EFEITO!$AA$336</f>
        <v>19372.441776594329</v>
      </c>
      <c r="M336" s="46">
        <f ca="1">$J$336-EFEITO!$K$336*EFEITO!$Y$336</f>
        <v>0</v>
      </c>
      <c r="N336" s="46">
        <f ca="1">$K$336-EFEITO!$M$336*EFEITO!$Z$336</f>
        <v>0</v>
      </c>
      <c r="O336" s="46">
        <f>$L$336-EFEITO!$O$336*EFEITO!$AA$336</f>
        <v>0</v>
      </c>
      <c r="P336" s="38"/>
      <c r="Q336" s="38"/>
      <c r="R336" s="38"/>
      <c r="S336" s="38"/>
      <c r="T336" s="38"/>
      <c r="U336" s="38"/>
      <c r="V336" s="38"/>
      <c r="W336" s="38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</row>
    <row r="337" spans="1:36" ht="11.25" customHeight="1" x14ac:dyDescent="0.2">
      <c r="A337" s="35" t="s">
        <v>30</v>
      </c>
      <c r="B337" s="35" t="s">
        <v>41</v>
      </c>
      <c r="C337" s="35" t="s">
        <v>42</v>
      </c>
      <c r="D337" s="35" t="s">
        <v>48</v>
      </c>
      <c r="E337" s="35" t="s">
        <v>25</v>
      </c>
      <c r="F337" s="35" t="s">
        <v>25</v>
      </c>
      <c r="G337" s="35" t="s">
        <v>25</v>
      </c>
      <c r="H337" s="35" t="s">
        <v>36</v>
      </c>
      <c r="I337" s="45">
        <v>44621</v>
      </c>
      <c r="J337" s="46">
        <f ca="1">EFEITO!$J$337*EFEITO!$Y$337</f>
        <v>41668.347459627061</v>
      </c>
      <c r="K337" s="46">
        <f ca="1">EFEITO!$L$337*EFEITO!$Z$337</f>
        <v>2987.7781484783181</v>
      </c>
      <c r="L337" s="46">
        <f>EFEITO!$N$337*EFEITO!$AA$337</f>
        <v>9552.0426131691238</v>
      </c>
      <c r="M337" s="46">
        <f ca="1">$J$337-EFEITO!$K$337*EFEITO!$Y$337</f>
        <v>0</v>
      </c>
      <c r="N337" s="46">
        <f ca="1">$K$337-EFEITO!$M$337*EFEITO!$Z$337</f>
        <v>0</v>
      </c>
      <c r="O337" s="46">
        <f>$L$337-EFEITO!$O$337*EFEITO!$AA$337</f>
        <v>0</v>
      </c>
      <c r="P337" s="38"/>
      <c r="Q337" s="38"/>
      <c r="R337" s="38"/>
      <c r="S337" s="38"/>
      <c r="T337" s="38"/>
      <c r="U337" s="38"/>
      <c r="V337" s="38"/>
      <c r="W337" s="38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</row>
    <row r="338" spans="1:36" ht="11.25" customHeight="1" x14ac:dyDescent="0.2">
      <c r="A338" s="35" t="s">
        <v>21</v>
      </c>
      <c r="B338" s="35" t="s">
        <v>41</v>
      </c>
      <c r="C338" s="35" t="s">
        <v>42</v>
      </c>
      <c r="D338" s="35" t="s">
        <v>48</v>
      </c>
      <c r="E338" s="35" t="s">
        <v>25</v>
      </c>
      <c r="F338" s="35" t="s">
        <v>25</v>
      </c>
      <c r="G338" s="35" t="s">
        <v>25</v>
      </c>
      <c r="H338" s="35" t="s">
        <v>36</v>
      </c>
      <c r="I338" s="45">
        <v>44652</v>
      </c>
      <c r="J338" s="46">
        <f ca="1">EFEITO!$J$338*EFEITO!$Y$338</f>
        <v>78043.688620328525</v>
      </c>
      <c r="K338" s="46">
        <f ca="1">EFEITO!$L$338*EFEITO!$Z$338</f>
        <v>5581.609694463652</v>
      </c>
      <c r="L338" s="46">
        <f>EFEITO!$N$338*EFEITO!$AA$338</f>
        <v>17844.622660068831</v>
      </c>
      <c r="M338" s="46">
        <f ca="1">$J$338-EFEITO!$K$338*EFEITO!$Y$338</f>
        <v>0</v>
      </c>
      <c r="N338" s="46">
        <f ca="1">$K$338-EFEITO!$M$338*EFEITO!$Z$338</f>
        <v>0</v>
      </c>
      <c r="O338" s="46">
        <f>$L$338-EFEITO!$O$338*EFEITO!$AA$338</f>
        <v>0</v>
      </c>
      <c r="P338" s="38"/>
      <c r="Q338" s="38"/>
      <c r="R338" s="38"/>
      <c r="S338" s="38"/>
      <c r="T338" s="38"/>
      <c r="U338" s="38"/>
      <c r="V338" s="38"/>
      <c r="W338" s="38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</row>
    <row r="339" spans="1:36" ht="11.25" customHeight="1" x14ac:dyDescent="0.2">
      <c r="A339" s="35" t="s">
        <v>30</v>
      </c>
      <c r="B339" s="35" t="s">
        <v>41</v>
      </c>
      <c r="C339" s="35" t="s">
        <v>42</v>
      </c>
      <c r="D339" s="35" t="s">
        <v>48</v>
      </c>
      <c r="E339" s="35" t="s">
        <v>25</v>
      </c>
      <c r="F339" s="35" t="s">
        <v>25</v>
      </c>
      <c r="G339" s="35" t="s">
        <v>25</v>
      </c>
      <c r="H339" s="35" t="s">
        <v>36</v>
      </c>
      <c r="I339" s="45">
        <v>44652</v>
      </c>
      <c r="J339" s="46">
        <f ca="1">EFEITO!$J$339*EFEITO!$Y$339</f>
        <v>41668.347459627061</v>
      </c>
      <c r="K339" s="46">
        <f ca="1">EFEITO!$L$339*EFEITO!$Z$339</f>
        <v>2738.7966361051249</v>
      </c>
      <c r="L339" s="46">
        <f>EFEITO!$N$339*EFEITO!$AA$339</f>
        <v>8756.0390620716953</v>
      </c>
      <c r="M339" s="46">
        <f ca="1">$J$339-EFEITO!$K$339*EFEITO!$Y$339</f>
        <v>0</v>
      </c>
      <c r="N339" s="46">
        <f ca="1">$K$339-EFEITO!$M$339*EFEITO!$Z$339</f>
        <v>0</v>
      </c>
      <c r="O339" s="46">
        <f>$L$339-EFEITO!$O$339*EFEITO!$AA$339</f>
        <v>0</v>
      </c>
      <c r="P339" s="38"/>
      <c r="Q339" s="38"/>
      <c r="R339" s="38"/>
      <c r="S339" s="38"/>
      <c r="T339" s="38"/>
      <c r="U339" s="38"/>
      <c r="V339" s="38"/>
      <c r="W339" s="38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</row>
    <row r="340" spans="1:36" ht="11.25" customHeight="1" x14ac:dyDescent="0.2">
      <c r="A340" s="35" t="s">
        <v>21</v>
      </c>
      <c r="B340" s="35" t="s">
        <v>41</v>
      </c>
      <c r="C340" s="35" t="s">
        <v>42</v>
      </c>
      <c r="D340" s="35" t="s">
        <v>48</v>
      </c>
      <c r="E340" s="35" t="s">
        <v>25</v>
      </c>
      <c r="F340" s="35" t="s">
        <v>25</v>
      </c>
      <c r="G340" s="35" t="s">
        <v>25</v>
      </c>
      <c r="H340" s="35" t="s">
        <v>36</v>
      </c>
      <c r="I340" s="45">
        <v>44682</v>
      </c>
      <c r="J340" s="46">
        <f ca="1">EFEITO!$J$340*EFEITO!$Y$340</f>
        <v>78099.997197976671</v>
      </c>
      <c r="K340" s="46">
        <f ca="1">EFEITO!$L$340*EFEITO!$Z$340</f>
        <v>5973.8548287627418</v>
      </c>
      <c r="L340" s="46">
        <f>EFEITO!$N$340*EFEITO!$AA$340</f>
        <v>19098.645566535757</v>
      </c>
      <c r="M340" s="46">
        <f ca="1">$J$340-EFEITO!$K$340*EFEITO!$Y$340</f>
        <v>0</v>
      </c>
      <c r="N340" s="46">
        <f ca="1">$K$340-EFEITO!$M$340*EFEITO!$Z$340</f>
        <v>0</v>
      </c>
      <c r="O340" s="46">
        <f>$L$340-EFEITO!$O$340*EFEITO!$AA$340</f>
        <v>0</v>
      </c>
      <c r="P340" s="38"/>
      <c r="Q340" s="38"/>
      <c r="R340" s="38"/>
      <c r="S340" s="38"/>
      <c r="T340" s="38"/>
      <c r="U340" s="38"/>
      <c r="V340" s="38"/>
      <c r="W340" s="38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</row>
    <row r="341" spans="1:36" ht="11.25" customHeight="1" x14ac:dyDescent="0.2">
      <c r="A341" s="35" t="s">
        <v>30</v>
      </c>
      <c r="B341" s="35" t="s">
        <v>41</v>
      </c>
      <c r="C341" s="35" t="s">
        <v>42</v>
      </c>
      <c r="D341" s="35" t="s">
        <v>48</v>
      </c>
      <c r="E341" s="35" t="s">
        <v>25</v>
      </c>
      <c r="F341" s="35" t="s">
        <v>25</v>
      </c>
      <c r="G341" s="35" t="s">
        <v>25</v>
      </c>
      <c r="H341" s="35" t="s">
        <v>36</v>
      </c>
      <c r="I341" s="45">
        <v>44682</v>
      </c>
      <c r="J341" s="46">
        <f ca="1">EFEITO!$J$341*EFEITO!$Y$341</f>
        <v>41668.347459627061</v>
      </c>
      <c r="K341" s="46">
        <f ca="1">EFEITO!$L$341*EFEITO!$Z$341</f>
        <v>2977.4559081020261</v>
      </c>
      <c r="L341" s="46">
        <f>EFEITO!$N$341*EFEITO!$AA$341</f>
        <v>9519.0420103673623</v>
      </c>
      <c r="M341" s="46">
        <f ca="1">$J$341-EFEITO!$K$341*EFEITO!$Y$341</f>
        <v>0</v>
      </c>
      <c r="N341" s="46">
        <f ca="1">$K$341-EFEITO!$M$341*EFEITO!$Z$341</f>
        <v>0</v>
      </c>
      <c r="O341" s="46">
        <f>$L$341-EFEITO!$O$341*EFEITO!$AA$341</f>
        <v>0</v>
      </c>
      <c r="P341" s="38"/>
      <c r="Q341" s="38"/>
      <c r="R341" s="38"/>
      <c r="S341" s="38"/>
      <c r="T341" s="38"/>
      <c r="U341" s="38"/>
      <c r="V341" s="38"/>
      <c r="W341" s="38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</row>
    <row r="342" spans="1:36" ht="11.25" customHeight="1" x14ac:dyDescent="0.2">
      <c r="A342" s="35" t="s">
        <v>21</v>
      </c>
      <c r="B342" s="35" t="s">
        <v>41</v>
      </c>
      <c r="C342" s="35" t="s">
        <v>42</v>
      </c>
      <c r="D342" s="35" t="s">
        <v>48</v>
      </c>
      <c r="E342" s="35" t="s">
        <v>25</v>
      </c>
      <c r="F342" s="35" t="s">
        <v>25</v>
      </c>
      <c r="G342" s="35" t="s">
        <v>25</v>
      </c>
      <c r="H342" s="35" t="s">
        <v>36</v>
      </c>
      <c r="I342" s="45">
        <v>44713</v>
      </c>
      <c r="J342" s="46">
        <f ca="1">EFEITO!$J$342*EFEITO!$Y$342</f>
        <v>77987.380042680379</v>
      </c>
      <c r="K342" s="46">
        <f ca="1">EFEITO!$L$342*EFEITO!$Z$342</f>
        <v>5564.2547188859307</v>
      </c>
      <c r="L342" s="46">
        <f>EFEITO!$N$342*EFEITO!$AA$342</f>
        <v>17789.138130083455</v>
      </c>
      <c r="M342" s="46">
        <f ca="1">$J$342-EFEITO!$K$342*EFEITO!$Y$342</f>
        <v>0</v>
      </c>
      <c r="N342" s="46">
        <f ca="1">$K$342-EFEITO!$M$342*EFEITO!$Z$342</f>
        <v>0</v>
      </c>
      <c r="O342" s="46">
        <f>$L$342-EFEITO!$O$342*EFEITO!$AA$342</f>
        <v>0</v>
      </c>
      <c r="P342" s="38"/>
      <c r="Q342" s="38"/>
      <c r="R342" s="38"/>
      <c r="S342" s="38"/>
      <c r="T342" s="38"/>
      <c r="U342" s="38"/>
      <c r="V342" s="38"/>
      <c r="W342" s="38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</row>
    <row r="343" spans="1:36" ht="11.25" customHeight="1" x14ac:dyDescent="0.2">
      <c r="A343" s="35" t="s">
        <v>30</v>
      </c>
      <c r="B343" s="35" t="s">
        <v>41</v>
      </c>
      <c r="C343" s="35" t="s">
        <v>42</v>
      </c>
      <c r="D343" s="35" t="s">
        <v>48</v>
      </c>
      <c r="E343" s="35" t="s">
        <v>25</v>
      </c>
      <c r="F343" s="35" t="s">
        <v>25</v>
      </c>
      <c r="G343" s="35" t="s">
        <v>25</v>
      </c>
      <c r="H343" s="35" t="s">
        <v>36</v>
      </c>
      <c r="I343" s="45">
        <v>44713</v>
      </c>
      <c r="J343" s="46">
        <f ca="1">EFEITO!$J$343*EFEITO!$Y$343</f>
        <v>41668.347459627061</v>
      </c>
      <c r="K343" s="46">
        <f ca="1">EFEITO!$L$343*EFEITO!$Z$343</f>
        <v>2733.6922315234424</v>
      </c>
      <c r="L343" s="46">
        <f>EFEITO!$N$343*EFEITO!$AA$343</f>
        <v>8739.7200826642329</v>
      </c>
      <c r="M343" s="46">
        <f ca="1">$J$343-EFEITO!$K$343*EFEITO!$Y$343</f>
        <v>0</v>
      </c>
      <c r="N343" s="46">
        <f ca="1">$K$343-EFEITO!$M$343*EFEITO!$Z$343</f>
        <v>0</v>
      </c>
      <c r="O343" s="46">
        <f>$L$343-EFEITO!$O$343*EFEITO!$AA$343</f>
        <v>0</v>
      </c>
      <c r="P343" s="38"/>
      <c r="Q343" s="38"/>
      <c r="R343" s="38"/>
      <c r="S343" s="38"/>
      <c r="T343" s="38"/>
      <c r="U343" s="38"/>
      <c r="V343" s="38"/>
      <c r="W343" s="38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</row>
    <row r="344" spans="1:36" ht="11.25" customHeight="1" x14ac:dyDescent="0.2">
      <c r="A344" s="35" t="s">
        <v>21</v>
      </c>
      <c r="B344" s="35" t="s">
        <v>41</v>
      </c>
      <c r="C344" s="35" t="s">
        <v>42</v>
      </c>
      <c r="D344" s="35" t="s">
        <v>48</v>
      </c>
      <c r="E344" s="35" t="s">
        <v>25</v>
      </c>
      <c r="F344" s="35" t="s">
        <v>25</v>
      </c>
      <c r="G344" s="35" t="s">
        <v>25</v>
      </c>
      <c r="H344" s="35" t="s">
        <v>36</v>
      </c>
      <c r="I344" s="45">
        <v>44743</v>
      </c>
      <c r="J344" s="46">
        <f ca="1">EFEITO!$J$344*EFEITO!$Y$344</f>
        <v>82154.21478864309</v>
      </c>
      <c r="K344" s="46">
        <f ca="1">EFEITO!$L$344*EFEITO!$Z$344</f>
        <v>6342.2794083473118</v>
      </c>
      <c r="L344" s="46">
        <f>EFEITO!$N$344*EFEITO!$AA$344</f>
        <v>20276.513235767849</v>
      </c>
      <c r="M344" s="46">
        <f ca="1">$J$344-EFEITO!$K$344*EFEITO!$Y$344</f>
        <v>0</v>
      </c>
      <c r="N344" s="46">
        <f ca="1">$K$344-EFEITO!$M$344*EFEITO!$Z$344</f>
        <v>0</v>
      </c>
      <c r="O344" s="46">
        <f>$L$344-EFEITO!$O$344*EFEITO!$AA$344</f>
        <v>0</v>
      </c>
      <c r="P344" s="38"/>
      <c r="Q344" s="38"/>
      <c r="R344" s="38"/>
      <c r="S344" s="38"/>
      <c r="T344" s="38"/>
      <c r="U344" s="38"/>
      <c r="V344" s="38"/>
      <c r="W344" s="38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</row>
    <row r="345" spans="1:36" ht="11.25" customHeight="1" x14ac:dyDescent="0.2">
      <c r="A345" s="35" t="s">
        <v>30</v>
      </c>
      <c r="B345" s="35" t="s">
        <v>41</v>
      </c>
      <c r="C345" s="35" t="s">
        <v>42</v>
      </c>
      <c r="D345" s="35" t="s">
        <v>48</v>
      </c>
      <c r="E345" s="35" t="s">
        <v>25</v>
      </c>
      <c r="F345" s="35" t="s">
        <v>25</v>
      </c>
      <c r="G345" s="35" t="s">
        <v>25</v>
      </c>
      <c r="H345" s="35" t="s">
        <v>36</v>
      </c>
      <c r="I345" s="45">
        <v>44743</v>
      </c>
      <c r="J345" s="46">
        <f ca="1">EFEITO!$J$345*EFEITO!$Y$345</f>
        <v>41668.347459627061</v>
      </c>
      <c r="K345" s="46">
        <f ca="1">EFEITO!$L$345*EFEITO!$Z$345</f>
        <v>3199.6676542246164</v>
      </c>
      <c r="L345" s="46">
        <f>EFEITO!$N$345*EFEITO!$AA$345</f>
        <v>10229.46158057231</v>
      </c>
      <c r="M345" s="46">
        <f ca="1">$J$345-EFEITO!$K$345*EFEITO!$Y$345</f>
        <v>0</v>
      </c>
      <c r="N345" s="46">
        <f ca="1">$K$345-EFEITO!$M$345*EFEITO!$Z$345</f>
        <v>0</v>
      </c>
      <c r="O345" s="46">
        <f>$L$345-EFEITO!$O$345*EFEITO!$AA$345</f>
        <v>0</v>
      </c>
      <c r="P345" s="38"/>
      <c r="Q345" s="38"/>
      <c r="R345" s="38"/>
      <c r="S345" s="38"/>
      <c r="T345" s="38"/>
      <c r="U345" s="38"/>
      <c r="V345" s="38"/>
      <c r="W345" s="38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</row>
    <row r="346" spans="1:36" ht="11.25" customHeight="1" x14ac:dyDescent="0.2">
      <c r="A346" s="35" t="s">
        <v>21</v>
      </c>
      <c r="B346" s="35" t="s">
        <v>41</v>
      </c>
      <c r="C346" s="35" t="s">
        <v>42</v>
      </c>
      <c r="D346" s="35" t="s">
        <v>48</v>
      </c>
      <c r="E346" s="35" t="s">
        <v>25</v>
      </c>
      <c r="F346" s="35" t="s">
        <v>25</v>
      </c>
      <c r="G346" s="35" t="s">
        <v>25</v>
      </c>
      <c r="H346" s="35" t="s">
        <v>36</v>
      </c>
      <c r="I346" s="45">
        <v>44774</v>
      </c>
      <c r="J346" s="46">
        <f ca="1">EFEITO!$J$346*EFEITO!$Y$346</f>
        <v>80408.648881550602</v>
      </c>
      <c r="K346" s="46">
        <f ca="1">EFEITO!$L$346*EFEITO!$Z$346</f>
        <v>6393.0965917382864</v>
      </c>
      <c r="L346" s="46">
        <f>EFEITO!$N$346*EFEITO!$AA$346</f>
        <v>20438.977741868828</v>
      </c>
      <c r="M346" s="46">
        <f ca="1">$J$346-EFEITO!$K$346*EFEITO!$Y$346</f>
        <v>0</v>
      </c>
      <c r="N346" s="46">
        <f ca="1">$K$346-EFEITO!$M$346*EFEITO!$Z$346</f>
        <v>0</v>
      </c>
      <c r="O346" s="46">
        <f>$L$346-EFEITO!$O$346*EFEITO!$AA$346</f>
        <v>0</v>
      </c>
      <c r="P346" s="38"/>
      <c r="Q346" s="38"/>
      <c r="R346" s="38"/>
      <c r="S346" s="38"/>
      <c r="T346" s="38"/>
      <c r="U346" s="38"/>
      <c r="V346" s="38"/>
      <c r="W346" s="38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</row>
    <row r="347" spans="1:36" ht="11.25" customHeight="1" x14ac:dyDescent="0.2">
      <c r="A347" s="35" t="s">
        <v>30</v>
      </c>
      <c r="B347" s="35" t="s">
        <v>41</v>
      </c>
      <c r="C347" s="35" t="s">
        <v>42</v>
      </c>
      <c r="D347" s="35" t="s">
        <v>48</v>
      </c>
      <c r="E347" s="35" t="s">
        <v>25</v>
      </c>
      <c r="F347" s="35" t="s">
        <v>25</v>
      </c>
      <c r="G347" s="35" t="s">
        <v>25</v>
      </c>
      <c r="H347" s="35" t="s">
        <v>36</v>
      </c>
      <c r="I347" s="45">
        <v>44774</v>
      </c>
      <c r="J347" s="46">
        <f ca="1">EFEITO!$J$347*EFEITO!$Y$347</f>
        <v>41668.347459627061</v>
      </c>
      <c r="K347" s="46">
        <f ca="1">EFEITO!$L$347*EFEITO!$Z$347</f>
        <v>3043.58630523805</v>
      </c>
      <c r="L347" s="46">
        <f>EFEITO!$N$347*EFEITO!$AA$347</f>
        <v>9730.4634546907328</v>
      </c>
      <c r="M347" s="46">
        <f ca="1">$J$347-EFEITO!$K$347*EFEITO!$Y$347</f>
        <v>0</v>
      </c>
      <c r="N347" s="46">
        <f ca="1">$K$347-EFEITO!$M$347*EFEITO!$Z$347</f>
        <v>0</v>
      </c>
      <c r="O347" s="46">
        <f>$L$347-EFEITO!$O$347*EFEITO!$AA$347</f>
        <v>0</v>
      </c>
      <c r="P347" s="38"/>
      <c r="Q347" s="38"/>
      <c r="R347" s="38"/>
      <c r="S347" s="38"/>
      <c r="T347" s="38"/>
      <c r="U347" s="38"/>
      <c r="V347" s="38"/>
      <c r="W347" s="38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</row>
    <row r="348" spans="1:36" ht="11.25" customHeight="1" x14ac:dyDescent="0.2">
      <c r="A348" s="35" t="s">
        <v>21</v>
      </c>
      <c r="B348" s="35" t="s">
        <v>41</v>
      </c>
      <c r="C348" s="35" t="s">
        <v>42</v>
      </c>
      <c r="D348" s="35" t="s">
        <v>48</v>
      </c>
      <c r="E348" s="35" t="s">
        <v>25</v>
      </c>
      <c r="F348" s="35" t="s">
        <v>25</v>
      </c>
      <c r="G348" s="35" t="s">
        <v>25</v>
      </c>
      <c r="H348" s="35" t="s">
        <v>36</v>
      </c>
      <c r="I348" s="45">
        <v>44805</v>
      </c>
      <c r="J348" s="46">
        <f ca="1">EFEITO!$J$348*EFEITO!$Y$348</f>
        <v>82660.991987476387</v>
      </c>
      <c r="K348" s="46">
        <f ca="1">EFEITO!$L$348*EFEITO!$Z$348</f>
        <v>6011.8542850930471</v>
      </c>
      <c r="L348" s="46">
        <f>EFEITO!$N$348*EFEITO!$AA$348</f>
        <v>19220.131302124661</v>
      </c>
      <c r="M348" s="46">
        <f ca="1">$J$348-EFEITO!$K$348*EFEITO!$Y$348</f>
        <v>0</v>
      </c>
      <c r="N348" s="46">
        <f ca="1">$K$348-EFEITO!$M$348*EFEITO!$Z$348</f>
        <v>0</v>
      </c>
      <c r="O348" s="46">
        <f>$L$348-EFEITO!$O$348*EFEITO!$AA$348</f>
        <v>0</v>
      </c>
      <c r="P348" s="38"/>
      <c r="Q348" s="38"/>
      <c r="R348" s="38"/>
      <c r="S348" s="38"/>
      <c r="T348" s="38"/>
      <c r="U348" s="38"/>
      <c r="V348" s="38"/>
      <c r="W348" s="38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</row>
    <row r="349" spans="1:36" ht="11.25" customHeight="1" x14ac:dyDescent="0.2">
      <c r="A349" s="35" t="s">
        <v>30</v>
      </c>
      <c r="B349" s="35" t="s">
        <v>41</v>
      </c>
      <c r="C349" s="35" t="s">
        <v>42</v>
      </c>
      <c r="D349" s="35" t="s">
        <v>48</v>
      </c>
      <c r="E349" s="35" t="s">
        <v>25</v>
      </c>
      <c r="F349" s="35" t="s">
        <v>25</v>
      </c>
      <c r="G349" s="35" t="s">
        <v>25</v>
      </c>
      <c r="H349" s="35" t="s">
        <v>36</v>
      </c>
      <c r="I349" s="45">
        <v>44805</v>
      </c>
      <c r="J349" s="46">
        <f ca="1">EFEITO!$J$349*EFEITO!$Y$349</f>
        <v>41668.347459627061</v>
      </c>
      <c r="K349" s="46">
        <f ca="1">EFEITO!$L$349*EFEITO!$Z$349</f>
        <v>3030.6551469644533</v>
      </c>
      <c r="L349" s="46">
        <f>EFEITO!$N$349*EFEITO!$AA$349</f>
        <v>9689.1220401918235</v>
      </c>
      <c r="M349" s="46">
        <f ca="1">$J$349-EFEITO!$K$349*EFEITO!$Y$349</f>
        <v>0</v>
      </c>
      <c r="N349" s="46">
        <f ca="1">$K$349-EFEITO!$M$349*EFEITO!$Z$349</f>
        <v>0</v>
      </c>
      <c r="O349" s="46">
        <f>$L$349-EFEITO!$O$349*EFEITO!$AA$349</f>
        <v>0</v>
      </c>
      <c r="P349" s="38"/>
      <c r="Q349" s="38"/>
      <c r="R349" s="38"/>
      <c r="S349" s="38"/>
      <c r="T349" s="38"/>
      <c r="U349" s="38"/>
      <c r="V349" s="38"/>
      <c r="W349" s="38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</row>
    <row r="350" spans="1:36" ht="11.25" customHeight="1" x14ac:dyDescent="0.2">
      <c r="A350" s="35" t="s">
        <v>21</v>
      </c>
      <c r="B350" s="35" t="s">
        <v>41</v>
      </c>
      <c r="C350" s="35" t="s">
        <v>42</v>
      </c>
      <c r="D350" s="35" t="s">
        <v>48</v>
      </c>
      <c r="E350" s="35" t="s">
        <v>25</v>
      </c>
      <c r="F350" s="35" t="s">
        <v>25</v>
      </c>
      <c r="G350" s="35" t="s">
        <v>25</v>
      </c>
      <c r="H350" s="35" t="s">
        <v>36</v>
      </c>
      <c r="I350" s="45">
        <v>44835</v>
      </c>
      <c r="J350" s="46">
        <f ca="1">EFEITO!$J$350*EFEITO!$Y$350</f>
        <v>82660.991987476387</v>
      </c>
      <c r="K350" s="46">
        <f ca="1">EFEITO!$L$350*EFEITO!$Z$350</f>
        <v>6071.1788094534941</v>
      </c>
      <c r="L350" s="46">
        <f>EFEITO!$N$350*EFEITO!$AA$350</f>
        <v>19409.794107238078</v>
      </c>
      <c r="M350" s="46">
        <f ca="1">$J$350-EFEITO!$K$350*EFEITO!$Y$350</f>
        <v>0</v>
      </c>
      <c r="N350" s="46">
        <f ca="1">$K$350-EFEITO!$M$350*EFEITO!$Z$350</f>
        <v>0</v>
      </c>
      <c r="O350" s="46">
        <f>$L$350-EFEITO!$O$350*EFEITO!$AA$350</f>
        <v>0</v>
      </c>
      <c r="P350" s="38"/>
      <c r="Q350" s="38"/>
      <c r="R350" s="38"/>
      <c r="S350" s="38"/>
      <c r="T350" s="38"/>
      <c r="U350" s="38"/>
      <c r="V350" s="38"/>
      <c r="W350" s="38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</row>
    <row r="351" spans="1:36" ht="11.25" customHeight="1" x14ac:dyDescent="0.2">
      <c r="A351" s="35" t="s">
        <v>30</v>
      </c>
      <c r="B351" s="35" t="s">
        <v>41</v>
      </c>
      <c r="C351" s="35" t="s">
        <v>42</v>
      </c>
      <c r="D351" s="35" t="s">
        <v>48</v>
      </c>
      <c r="E351" s="35" t="s">
        <v>25</v>
      </c>
      <c r="F351" s="35" t="s">
        <v>25</v>
      </c>
      <c r="G351" s="35" t="s">
        <v>25</v>
      </c>
      <c r="H351" s="35" t="s">
        <v>36</v>
      </c>
      <c r="I351" s="45">
        <v>44835</v>
      </c>
      <c r="J351" s="46">
        <f ca="1">EFEITO!$J$351*EFEITO!$Y$351</f>
        <v>41668.347459627061</v>
      </c>
      <c r="K351" s="46">
        <f ca="1">EFEITO!$L$351*EFEITO!$Z$351</f>
        <v>2943.9937002887727</v>
      </c>
      <c r="L351" s="46">
        <f>EFEITO!$N$351*EFEITO!$AA$351</f>
        <v>9412.0620342517632</v>
      </c>
      <c r="M351" s="46">
        <f ca="1">$J$351-EFEITO!$K$351*EFEITO!$Y$351</f>
        <v>0</v>
      </c>
      <c r="N351" s="46">
        <f ca="1">$K$351-EFEITO!$M$351*EFEITO!$Z$351</f>
        <v>0</v>
      </c>
      <c r="O351" s="46">
        <f>$L$351-EFEITO!$O$351*EFEITO!$AA$351</f>
        <v>0</v>
      </c>
      <c r="P351" s="38"/>
      <c r="Q351" s="38"/>
      <c r="R351" s="38"/>
      <c r="S351" s="38"/>
      <c r="T351" s="38"/>
      <c r="U351" s="38"/>
      <c r="V351" s="38"/>
      <c r="W351" s="38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</row>
    <row r="352" spans="1:36" ht="11.25" customHeight="1" x14ac:dyDescent="0.2">
      <c r="A352" s="35" t="s">
        <v>59</v>
      </c>
      <c r="B352" s="35" t="s">
        <v>41</v>
      </c>
      <c r="C352" s="35" t="s">
        <v>42</v>
      </c>
      <c r="D352" s="35" t="s">
        <v>48</v>
      </c>
      <c r="E352" s="35" t="s">
        <v>25</v>
      </c>
      <c r="F352" s="35" t="s">
        <v>25</v>
      </c>
      <c r="G352" s="35" t="s">
        <v>25</v>
      </c>
      <c r="H352" s="35" t="s">
        <v>36</v>
      </c>
      <c r="I352" s="45">
        <v>44866</v>
      </c>
      <c r="J352" s="46">
        <f ca="1">EFEITO!$J$352*EFEITO!$Y$352</f>
        <v>82660.991987476387</v>
      </c>
      <c r="K352" s="46">
        <f ca="1">EFEITO!$L$352*EFEITO!$Z$352</f>
        <v>6071.1788094534941</v>
      </c>
      <c r="L352" s="46">
        <f>EFEITO!$N$352*EFEITO!$AA$352</f>
        <v>19409.794107238078</v>
      </c>
      <c r="M352" s="46">
        <f ca="1">$J$352-EFEITO!$K$352*EFEITO!$Y$352</f>
        <v>0</v>
      </c>
      <c r="N352" s="46">
        <f ca="1">$K$352-EFEITO!$M$352*EFEITO!$Z$352</f>
        <v>0</v>
      </c>
      <c r="O352" s="46">
        <f>$L$352-EFEITO!$O$352*EFEITO!$AA$352</f>
        <v>0</v>
      </c>
      <c r="P352" s="38"/>
      <c r="Q352" s="38"/>
      <c r="R352" s="38"/>
      <c r="S352" s="38"/>
      <c r="T352" s="38"/>
      <c r="U352" s="38"/>
      <c r="V352" s="38"/>
      <c r="W352" s="38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</row>
    <row r="353" spans="1:36" ht="11.25" customHeight="1" x14ac:dyDescent="0.2">
      <c r="A353" s="35" t="s">
        <v>59</v>
      </c>
      <c r="B353" s="35" t="s">
        <v>41</v>
      </c>
      <c r="C353" s="35" t="s">
        <v>42</v>
      </c>
      <c r="D353" s="35" t="s">
        <v>48</v>
      </c>
      <c r="E353" s="35" t="s">
        <v>25</v>
      </c>
      <c r="F353" s="35" t="s">
        <v>25</v>
      </c>
      <c r="G353" s="35" t="s">
        <v>25</v>
      </c>
      <c r="H353" s="35" t="s">
        <v>36</v>
      </c>
      <c r="I353" s="45">
        <v>44866</v>
      </c>
      <c r="J353" s="46">
        <f ca="1">EFEITO!$J$353*EFEITO!$Y$353</f>
        <v>41668.347459627061</v>
      </c>
      <c r="K353" s="46">
        <f ca="1">EFEITO!$L$353*EFEITO!$Z$353</f>
        <v>2943.9937002887727</v>
      </c>
      <c r="L353" s="46">
        <f>EFEITO!$N$353*EFEITO!$AA$353</f>
        <v>9412.0620342517632</v>
      </c>
      <c r="M353" s="46">
        <f ca="1">$J$353-EFEITO!$K$353*EFEITO!$Y$353</f>
        <v>0</v>
      </c>
      <c r="N353" s="46">
        <f ca="1">$K$353-EFEITO!$M$353*EFEITO!$Z$353</f>
        <v>0</v>
      </c>
      <c r="O353" s="46">
        <f>$L$353-EFEITO!$O$353*EFEITO!$AA$353</f>
        <v>0</v>
      </c>
      <c r="P353" s="38"/>
      <c r="Q353" s="38"/>
      <c r="R353" s="38"/>
      <c r="S353" s="38"/>
      <c r="T353" s="38"/>
      <c r="U353" s="38"/>
      <c r="V353" s="38"/>
      <c r="W353" s="38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</row>
    <row r="354" spans="1:36" ht="11.25" customHeight="1" x14ac:dyDescent="0.2">
      <c r="A354" s="35" t="s">
        <v>21</v>
      </c>
      <c r="B354" s="35" t="s">
        <v>41</v>
      </c>
      <c r="C354" s="35" t="s">
        <v>42</v>
      </c>
      <c r="D354" s="35" t="s">
        <v>47</v>
      </c>
      <c r="E354" s="35" t="s">
        <v>25</v>
      </c>
      <c r="F354" s="35" t="s">
        <v>25</v>
      </c>
      <c r="G354" s="35" t="s">
        <v>25</v>
      </c>
      <c r="H354" s="35" t="s">
        <v>37</v>
      </c>
      <c r="I354" s="45">
        <v>44531</v>
      </c>
      <c r="J354" s="46">
        <f ca="1">EFEITO!$J$354*EFEITO!$Y$329</f>
        <v>762.76293021835352</v>
      </c>
      <c r="K354" s="46">
        <f ca="1">EFEITO!$L$354*EFEITO!$Z$329</f>
        <v>311.5955419085019</v>
      </c>
      <c r="L354" s="46">
        <f>EFEITO!$N$354*EFEITO!$AA$329</f>
        <v>600.72887033003656</v>
      </c>
      <c r="M354" s="46">
        <f ca="1">$J$354-EFEITO!$K$354*EFEITO!$Y$354</f>
        <v>15.2552586043671</v>
      </c>
      <c r="N354" s="46">
        <f ca="1">$K$354-EFEITO!$M$354*EFEITO!$Z$354</f>
        <v>6.2319108381700516</v>
      </c>
      <c r="O354" s="46">
        <f>$L$354-EFEITO!$O$354*EFEITO!$AA$354</f>
        <v>12.014577406600665</v>
      </c>
      <c r="P354" s="38"/>
      <c r="Q354" s="38"/>
      <c r="R354" s="38"/>
      <c r="S354" s="38"/>
      <c r="T354" s="38"/>
      <c r="U354" s="38"/>
      <c r="V354" s="38"/>
      <c r="W354" s="38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</row>
    <row r="355" spans="1:36" ht="11.25" customHeight="1" x14ac:dyDescent="0.2">
      <c r="A355" s="35" t="s">
        <v>21</v>
      </c>
      <c r="B355" s="35" t="s">
        <v>41</v>
      </c>
      <c r="C355" s="35" t="s">
        <v>42</v>
      </c>
      <c r="D355" s="35" t="s">
        <v>47</v>
      </c>
      <c r="E355" s="35" t="s">
        <v>25</v>
      </c>
      <c r="F355" s="35" t="s">
        <v>25</v>
      </c>
      <c r="G355" s="35" t="s">
        <v>25</v>
      </c>
      <c r="H355" s="35" t="s">
        <v>37</v>
      </c>
      <c r="I355" s="45">
        <v>44562</v>
      </c>
      <c r="J355" s="46">
        <f ca="1">EFEITO!$J$355*EFEITO!$Y$329</f>
        <v>783.37814454857937</v>
      </c>
      <c r="K355" s="46">
        <f ca="1">EFEITO!$L$355*EFEITO!$Z$329</f>
        <v>320.89690136845718</v>
      </c>
      <c r="L355" s="46">
        <f>EFEITO!$N$355*EFEITO!$AA$329</f>
        <v>618.66107541451538</v>
      </c>
      <c r="M355" s="46">
        <f ca="1">$J$355-EFEITO!$K$355*EFEITO!$Y$355</f>
        <v>15.667562890971681</v>
      </c>
      <c r="N355" s="46">
        <f ca="1">$K$355-EFEITO!$M$355*EFEITO!$Z$355</f>
        <v>6.4179380273691322</v>
      </c>
      <c r="O355" s="46">
        <f>$L$355-EFEITO!$O$355*EFEITO!$AA$355</f>
        <v>12.373221508290385</v>
      </c>
      <c r="P355" s="38"/>
      <c r="Q355" s="38"/>
      <c r="R355" s="38"/>
      <c r="S355" s="38"/>
      <c r="T355" s="38"/>
      <c r="U355" s="38"/>
      <c r="V355" s="38"/>
      <c r="W355" s="38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</row>
    <row r="356" spans="1:36" ht="11.25" customHeight="1" x14ac:dyDescent="0.2">
      <c r="A356" s="35" t="s">
        <v>21</v>
      </c>
      <c r="B356" s="35" t="s">
        <v>41</v>
      </c>
      <c r="C356" s="35" t="s">
        <v>42</v>
      </c>
      <c r="D356" s="35" t="s">
        <v>47</v>
      </c>
      <c r="E356" s="35" t="s">
        <v>25</v>
      </c>
      <c r="F356" s="35" t="s">
        <v>25</v>
      </c>
      <c r="G356" s="35" t="s">
        <v>25</v>
      </c>
      <c r="H356" s="35" t="s">
        <v>37</v>
      </c>
      <c r="I356" s="45">
        <v>44593</v>
      </c>
      <c r="J356" s="46">
        <f ca="1">EFEITO!$J$356*EFEITO!$Y$329</f>
        <v>886.45421619970818</v>
      </c>
      <c r="K356" s="46">
        <f ca="1">EFEITO!$L$356*EFEITO!$Z$329</f>
        <v>281.87656412181548</v>
      </c>
      <c r="L356" s="46">
        <f>EFEITO!$N$356*EFEITO!$AA$329</f>
        <v>543.43328823084858</v>
      </c>
      <c r="M356" s="46">
        <f ca="1">$J$356-EFEITO!$K$356*EFEITO!$Y$356</f>
        <v>17.729084323994243</v>
      </c>
      <c r="N356" s="46">
        <f ca="1">$K$356-EFEITO!$M$356*EFEITO!$Z$356</f>
        <v>5.6375312824362709</v>
      </c>
      <c r="O356" s="46">
        <f>$L$356-EFEITO!$O$356*EFEITO!$AA$356</f>
        <v>10.868665764617049</v>
      </c>
      <c r="P356" s="38"/>
      <c r="Q356" s="38"/>
      <c r="R356" s="38"/>
      <c r="S356" s="38"/>
      <c r="T356" s="38"/>
      <c r="U356" s="38"/>
      <c r="V356" s="38"/>
      <c r="W356" s="38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</row>
    <row r="357" spans="1:36" ht="11.25" customHeight="1" x14ac:dyDescent="0.2">
      <c r="A357" s="35" t="s">
        <v>21</v>
      </c>
      <c r="B357" s="35" t="s">
        <v>41</v>
      </c>
      <c r="C357" s="35" t="s">
        <v>42</v>
      </c>
      <c r="D357" s="35" t="s">
        <v>47</v>
      </c>
      <c r="E357" s="35" t="s">
        <v>25</v>
      </c>
      <c r="F357" s="35" t="s">
        <v>25</v>
      </c>
      <c r="G357" s="35" t="s">
        <v>25</v>
      </c>
      <c r="H357" s="35" t="s">
        <v>37</v>
      </c>
      <c r="I357" s="45">
        <v>44621</v>
      </c>
      <c r="J357" s="46">
        <f ca="1">EFEITO!$J$357*EFEITO!$Y$329</f>
        <v>948.29985919038552</v>
      </c>
      <c r="K357" s="46">
        <f ca="1">EFEITO!$L$357*EFEITO!$Z$329</f>
        <v>307.28515581730312</v>
      </c>
      <c r="L357" s="46">
        <f>EFEITO!$N$357*EFEITO!$AA$329</f>
        <v>592.41882407137575</v>
      </c>
      <c r="M357" s="46">
        <f ca="1">$J$357-EFEITO!$K$357*EFEITO!$Y$357</f>
        <v>18.965997183807758</v>
      </c>
      <c r="N357" s="46">
        <f ca="1">$K$357-EFEITO!$M$357*EFEITO!$Z$357</f>
        <v>6.1457031163460556</v>
      </c>
      <c r="O357" s="46">
        <f>$L$357-EFEITO!$O$357*EFEITO!$AA$357</f>
        <v>11.848376481427522</v>
      </c>
      <c r="P357" s="38"/>
      <c r="Q357" s="38"/>
      <c r="R357" s="38"/>
      <c r="S357" s="38"/>
      <c r="T357" s="38"/>
      <c r="U357" s="38"/>
      <c r="V357" s="38"/>
      <c r="W357" s="38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</row>
    <row r="358" spans="1:36" ht="11.25" customHeight="1" x14ac:dyDescent="0.2">
      <c r="A358" s="35" t="s">
        <v>21</v>
      </c>
      <c r="B358" s="35" t="s">
        <v>41</v>
      </c>
      <c r="C358" s="35" t="s">
        <v>42</v>
      </c>
      <c r="D358" s="35" t="s">
        <v>47</v>
      </c>
      <c r="E358" s="35" t="s">
        <v>25</v>
      </c>
      <c r="F358" s="35" t="s">
        <v>25</v>
      </c>
      <c r="G358" s="35" t="s">
        <v>25</v>
      </c>
      <c r="H358" s="35" t="s">
        <v>37</v>
      </c>
      <c r="I358" s="45">
        <v>44652</v>
      </c>
      <c r="J358" s="46">
        <f ca="1">EFEITO!$J$358*EFEITO!$Y$329</f>
        <v>803.99335887880511</v>
      </c>
      <c r="K358" s="46">
        <f ca="1">EFEITO!$L$358*EFEITO!$Z$329</f>
        <v>384.87210545888126</v>
      </c>
      <c r="L358" s="46">
        <f>EFEITO!$N$358*EFEITO!$AA$329</f>
        <v>741.99965672727126</v>
      </c>
      <c r="M358" s="46">
        <f ca="1">$J$358-EFEITO!$K$358*EFEITO!$Y$358</f>
        <v>16.079867177576148</v>
      </c>
      <c r="N358" s="46">
        <f ca="1">$K$358-EFEITO!$M$358*EFEITO!$Z$358</f>
        <v>7.6974421091776435</v>
      </c>
      <c r="O358" s="46">
        <f>$L$358-EFEITO!$O$358*EFEITO!$AA$358</f>
        <v>14.839993134545466</v>
      </c>
      <c r="P358" s="38"/>
      <c r="Q358" s="38"/>
      <c r="R358" s="38"/>
      <c r="S358" s="38"/>
      <c r="T358" s="38"/>
      <c r="U358" s="38"/>
      <c r="V358" s="38"/>
      <c r="W358" s="38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</row>
    <row r="359" spans="1:36" ht="11.25" customHeight="1" x14ac:dyDescent="0.2">
      <c r="A359" s="35" t="s">
        <v>21</v>
      </c>
      <c r="B359" s="35" t="s">
        <v>41</v>
      </c>
      <c r="C359" s="35" t="s">
        <v>42</v>
      </c>
      <c r="D359" s="35" t="s">
        <v>47</v>
      </c>
      <c r="E359" s="35" t="s">
        <v>25</v>
      </c>
      <c r="F359" s="35" t="s">
        <v>25</v>
      </c>
      <c r="G359" s="35" t="s">
        <v>25</v>
      </c>
      <c r="H359" s="35" t="s">
        <v>37</v>
      </c>
      <c r="I359" s="45">
        <v>44682</v>
      </c>
      <c r="J359" s="46">
        <f ca="1">EFEITO!$J$359*EFEITO!$Y$329</f>
        <v>824.60857320903085</v>
      </c>
      <c r="K359" s="46">
        <f ca="1">EFEITO!$L$359*EFEITO!$Z$329</f>
        <v>634.87449874841104</v>
      </c>
      <c r="L359" s="46">
        <f>EFEITO!$N$359*EFEITO!$AA$329</f>
        <v>1223.9823397296013</v>
      </c>
      <c r="M359" s="46">
        <f ca="1">$J$359-EFEITO!$K$359*EFEITO!$Y$359</f>
        <v>16.492171464180615</v>
      </c>
      <c r="N359" s="46">
        <f ca="1">$K$359-EFEITO!$M$359*EFEITO!$Z$359</f>
        <v>12.697489974968221</v>
      </c>
      <c r="O359" s="46">
        <f>$L$359-EFEITO!$O$359*EFEITO!$AA$359</f>
        <v>24.479646794591872</v>
      </c>
      <c r="P359" s="38"/>
      <c r="Q359" s="38"/>
      <c r="R359" s="38"/>
      <c r="S359" s="38"/>
      <c r="T359" s="38"/>
      <c r="U359" s="38"/>
      <c r="V359" s="38"/>
      <c r="W359" s="38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</row>
    <row r="360" spans="1:36" ht="11.25" customHeight="1" x14ac:dyDescent="0.2">
      <c r="A360" s="35" t="s">
        <v>21</v>
      </c>
      <c r="B360" s="35" t="s">
        <v>41</v>
      </c>
      <c r="C360" s="35" t="s">
        <v>42</v>
      </c>
      <c r="D360" s="35" t="s">
        <v>47</v>
      </c>
      <c r="E360" s="35" t="s">
        <v>25</v>
      </c>
      <c r="F360" s="35" t="s">
        <v>25</v>
      </c>
      <c r="G360" s="35" t="s">
        <v>25</v>
      </c>
      <c r="H360" s="35" t="s">
        <v>37</v>
      </c>
      <c r="I360" s="45">
        <v>44713</v>
      </c>
      <c r="J360" s="46">
        <f ca="1">EFEITO!$J$360*EFEITO!$Y$329</f>
        <v>762.76293021835352</v>
      </c>
      <c r="K360" s="46">
        <f ca="1">EFEITO!$L$360*EFEITO!$Z$329</f>
        <v>595.40043665006419</v>
      </c>
      <c r="L360" s="46">
        <f>EFEITO!$N$360*EFEITO!$AA$329</f>
        <v>1147.8798108344965</v>
      </c>
      <c r="M360" s="46">
        <f ca="1">$J$360-EFEITO!$K$360*EFEITO!$Y$360</f>
        <v>15.2552586043671</v>
      </c>
      <c r="N360" s="46">
        <f ca="1">$K$360-EFEITO!$M$360*EFEITO!$Z$360</f>
        <v>11.908008733001338</v>
      </c>
      <c r="O360" s="46">
        <f>$L$360-EFEITO!$O$360*EFEITO!$AA$360</f>
        <v>22.957596216690035</v>
      </c>
      <c r="P360" s="38"/>
      <c r="Q360" s="38"/>
      <c r="R360" s="38"/>
      <c r="S360" s="38"/>
      <c r="T360" s="38"/>
      <c r="U360" s="38"/>
      <c r="V360" s="38"/>
      <c r="W360" s="38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</row>
    <row r="361" spans="1:36" ht="11.25" customHeight="1" x14ac:dyDescent="0.2">
      <c r="A361" s="35" t="s">
        <v>21</v>
      </c>
      <c r="B361" s="35" t="s">
        <v>41</v>
      </c>
      <c r="C361" s="35" t="s">
        <v>42</v>
      </c>
      <c r="D361" s="35" t="s">
        <v>47</v>
      </c>
      <c r="E361" s="35" t="s">
        <v>25</v>
      </c>
      <c r="F361" s="35" t="s">
        <v>25</v>
      </c>
      <c r="G361" s="35" t="s">
        <v>25</v>
      </c>
      <c r="H361" s="35" t="s">
        <v>37</v>
      </c>
      <c r="I361" s="45">
        <v>44743</v>
      </c>
      <c r="J361" s="46">
        <f ca="1">EFEITO!$J$361*EFEITO!$Y$329</f>
        <v>742.14771588812778</v>
      </c>
      <c r="K361" s="46">
        <f ca="1">EFEITO!$L$361*EFEITO!$Z$329</f>
        <v>591.6572066234969</v>
      </c>
      <c r="L361" s="46">
        <f>EFEITO!$N$361*EFEITO!$AA$329</f>
        <v>1140.6631917151333</v>
      </c>
      <c r="M361" s="46">
        <f ca="1">$J$361-EFEITO!$K$361*EFEITO!$Y$361</f>
        <v>14.842954317762633</v>
      </c>
      <c r="N361" s="46">
        <f ca="1">$K$361-EFEITO!$M$361*EFEITO!$Z$361</f>
        <v>11.833144132470011</v>
      </c>
      <c r="O361" s="46">
        <f>$L$361-EFEITO!$O$361*EFEITO!$AA$361</f>
        <v>22.813263834302688</v>
      </c>
      <c r="P361" s="38"/>
      <c r="Q361" s="38"/>
      <c r="R361" s="38"/>
      <c r="S361" s="38"/>
      <c r="T361" s="38"/>
      <c r="U361" s="38"/>
      <c r="V361" s="38"/>
      <c r="W361" s="38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</row>
    <row r="362" spans="1:36" ht="11.25" customHeight="1" x14ac:dyDescent="0.2">
      <c r="A362" s="35" t="s">
        <v>21</v>
      </c>
      <c r="B362" s="35" t="s">
        <v>41</v>
      </c>
      <c r="C362" s="35" t="s">
        <v>42</v>
      </c>
      <c r="D362" s="35" t="s">
        <v>47</v>
      </c>
      <c r="E362" s="35" t="s">
        <v>25</v>
      </c>
      <c r="F362" s="35" t="s">
        <v>25</v>
      </c>
      <c r="G362" s="35" t="s">
        <v>25</v>
      </c>
      <c r="H362" s="35" t="s">
        <v>37</v>
      </c>
      <c r="I362" s="45">
        <v>44774</v>
      </c>
      <c r="J362" s="46">
        <f ca="1">EFEITO!$J$362*EFEITO!$Y$329</f>
        <v>824.60857320903085</v>
      </c>
      <c r="K362" s="46">
        <f ca="1">EFEITO!$L$362*EFEITO!$Z$329</f>
        <v>710.3062553443898</v>
      </c>
      <c r="L362" s="46">
        <f>EFEITO!$N$362*EFEITO!$AA$329</f>
        <v>1369.4081492561663</v>
      </c>
      <c r="M362" s="46">
        <f ca="1">$J$362-EFEITO!$K$362*EFEITO!$Y$362</f>
        <v>16.492171464180615</v>
      </c>
      <c r="N362" s="46">
        <f ca="1">$K$362-EFEITO!$M$362*EFEITO!$Z$362</f>
        <v>14.206125106887839</v>
      </c>
      <c r="O362" s="46">
        <f>$L$362-EFEITO!$O$362*EFEITO!$AA$362</f>
        <v>27.388162985123245</v>
      </c>
      <c r="P362" s="38"/>
      <c r="Q362" s="38"/>
      <c r="R362" s="38"/>
      <c r="S362" s="38"/>
      <c r="T362" s="38"/>
      <c r="U362" s="38"/>
      <c r="V362" s="38"/>
      <c r="W362" s="38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</row>
    <row r="363" spans="1:36" ht="11.25" customHeight="1" x14ac:dyDescent="0.2">
      <c r="A363" s="35" t="s">
        <v>21</v>
      </c>
      <c r="B363" s="35" t="s">
        <v>41</v>
      </c>
      <c r="C363" s="35" t="s">
        <v>42</v>
      </c>
      <c r="D363" s="35" t="s">
        <v>47</v>
      </c>
      <c r="E363" s="35" t="s">
        <v>25</v>
      </c>
      <c r="F363" s="35" t="s">
        <v>25</v>
      </c>
      <c r="G363" s="35" t="s">
        <v>25</v>
      </c>
      <c r="H363" s="35" t="s">
        <v>37</v>
      </c>
      <c r="I363" s="45">
        <v>44805</v>
      </c>
      <c r="J363" s="46">
        <f ca="1">EFEITO!$J$363*EFEITO!$Y$329</f>
        <v>783.37814454857937</v>
      </c>
      <c r="K363" s="46">
        <f ca="1">EFEITO!$L$363*EFEITO!$Z$329</f>
        <v>774.6217530735928</v>
      </c>
      <c r="L363" s="46">
        <f>EFEITO!$N$363*EFEITO!$AA$329</f>
        <v>1493.4027868525009</v>
      </c>
      <c r="M363" s="46">
        <f ca="1">$J$363-EFEITO!$K$363*EFEITO!$Y$363</f>
        <v>15.667562890971681</v>
      </c>
      <c r="N363" s="46">
        <f ca="1">$K$363-EFEITO!$M$363*EFEITO!$Z$363</f>
        <v>15.492435061471838</v>
      </c>
      <c r="O363" s="46">
        <f>$L$363-EFEITO!$O$363*EFEITO!$AA$363</f>
        <v>29.868055737050099</v>
      </c>
      <c r="P363" s="38"/>
      <c r="Q363" s="38"/>
      <c r="R363" s="38"/>
      <c r="S363" s="38"/>
      <c r="T363" s="38"/>
      <c r="U363" s="38"/>
      <c r="V363" s="38"/>
      <c r="W363" s="38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</row>
    <row r="364" spans="1:36" ht="11.25" customHeight="1" x14ac:dyDescent="0.2">
      <c r="A364" s="35" t="s">
        <v>21</v>
      </c>
      <c r="B364" s="35" t="s">
        <v>41</v>
      </c>
      <c r="C364" s="35" t="s">
        <v>42</v>
      </c>
      <c r="D364" s="35" t="s">
        <v>47</v>
      </c>
      <c r="E364" s="35" t="s">
        <v>25</v>
      </c>
      <c r="F364" s="35" t="s">
        <v>25</v>
      </c>
      <c r="G364" s="35" t="s">
        <v>25</v>
      </c>
      <c r="H364" s="35" t="s">
        <v>37</v>
      </c>
      <c r="I364" s="45">
        <v>44835</v>
      </c>
      <c r="J364" s="46">
        <f ca="1">EFEITO!$J$364*EFEITO!$Y$329</f>
        <v>845.2237875392567</v>
      </c>
      <c r="K364" s="46">
        <f ca="1">EFEITO!$L$364*EFEITO!$Z$329</f>
        <v>693.63186704422606</v>
      </c>
      <c r="L364" s="46">
        <f>EFEITO!$N$364*EFEITO!$AA$329</f>
        <v>1337.2613913608204</v>
      </c>
      <c r="M364" s="46">
        <f ca="1">$J$364-EFEITO!$K$364*EFEITO!$Y$364</f>
        <v>16.904475750785195</v>
      </c>
      <c r="N364" s="46">
        <f ca="1">$K$364-EFEITO!$M$364*EFEITO!$Z$364</f>
        <v>13.872637340884467</v>
      </c>
      <c r="O364" s="46">
        <f>$L$364-EFEITO!$O$364*EFEITO!$AA$364</f>
        <v>26.74522782721624</v>
      </c>
      <c r="P364" s="38"/>
      <c r="Q364" s="38"/>
      <c r="R364" s="38"/>
      <c r="S364" s="38"/>
      <c r="T364" s="38"/>
      <c r="U364" s="38"/>
      <c r="V364" s="38"/>
      <c r="W364" s="38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</row>
    <row r="365" spans="1:36" ht="11.25" customHeight="1" x14ac:dyDescent="0.2">
      <c r="A365" s="35" t="s">
        <v>59</v>
      </c>
      <c r="B365" s="35" t="s">
        <v>41</v>
      </c>
      <c r="C365" s="35" t="s">
        <v>42</v>
      </c>
      <c r="D365" s="35" t="s">
        <v>47</v>
      </c>
      <c r="E365" s="35" t="s">
        <v>25</v>
      </c>
      <c r="F365" s="35" t="s">
        <v>25</v>
      </c>
      <c r="G365" s="35" t="s">
        <v>25</v>
      </c>
      <c r="H365" s="35" t="s">
        <v>37</v>
      </c>
      <c r="I365" s="45">
        <v>44866</v>
      </c>
      <c r="J365" s="46">
        <f ca="1">EFEITO!$J$365*EFEITO!$Y$329</f>
        <v>845.2237875392567</v>
      </c>
      <c r="K365" s="46">
        <f ca="1">EFEITO!$L$365*EFEITO!$Z$329</f>
        <v>693.63186704422606</v>
      </c>
      <c r="L365" s="46">
        <f>EFEITO!$N$365*EFEITO!$AA$329</f>
        <v>1337.2613913608204</v>
      </c>
      <c r="M365" s="46">
        <f ca="1">$J$365-EFEITO!$K$365*EFEITO!$Y$365</f>
        <v>16.904475750785195</v>
      </c>
      <c r="N365" s="46">
        <f ca="1">$K$365-EFEITO!$M$365*EFEITO!$Z$365</f>
        <v>13.872637340884467</v>
      </c>
      <c r="O365" s="46">
        <f>$L$365-EFEITO!$O$365*EFEITO!$AA$365</f>
        <v>26.74522782721624</v>
      </c>
      <c r="P365" s="38"/>
      <c r="Q365" s="38"/>
      <c r="R365" s="38"/>
      <c r="S365" s="38"/>
      <c r="T365" s="38"/>
      <c r="U365" s="38"/>
      <c r="V365" s="38"/>
      <c r="W365" s="38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</row>
    <row r="366" spans="1:36" ht="11.25" customHeight="1" x14ac:dyDescent="0.2">
      <c r="A366" s="35" t="s">
        <v>21</v>
      </c>
      <c r="B366" s="35" t="s">
        <v>41</v>
      </c>
      <c r="C366" s="35" t="s">
        <v>42</v>
      </c>
      <c r="D366" s="35" t="s">
        <v>47</v>
      </c>
      <c r="E366" s="35" t="s">
        <v>25</v>
      </c>
      <c r="F366" s="35" t="s">
        <v>25</v>
      </c>
      <c r="G366" s="35" t="s">
        <v>25</v>
      </c>
      <c r="H366" s="35" t="s">
        <v>36</v>
      </c>
      <c r="I366" s="45">
        <v>44531</v>
      </c>
      <c r="J366" s="46">
        <f ca="1">EFEITO!$J$366*EFEITO!$Y$353</f>
        <v>394.16004353701271</v>
      </c>
      <c r="K366" s="46">
        <f ca="1">EFEITO!$L$366*EFEITO!$Z$353</f>
        <v>27.90407837986584</v>
      </c>
      <c r="L366" s="46">
        <f>EFEITO!$N$366*EFEITO!$AA$353</f>
        <v>89.210420760805022</v>
      </c>
      <c r="M366" s="46">
        <f ca="1">$J$366-EFEITO!$K$366*EFEITO!$Y$366</f>
        <v>7.883200870740211</v>
      </c>
      <c r="N366" s="46">
        <f ca="1">$K$366-EFEITO!$M$366*EFEITO!$Z$366</f>
        <v>0.55808156759731631</v>
      </c>
      <c r="O366" s="46">
        <f>$L$366-EFEITO!$O$366*EFEITO!$AA$366</f>
        <v>1.7842084152160993</v>
      </c>
      <c r="P366" s="38"/>
      <c r="Q366" s="38"/>
      <c r="R366" s="38"/>
      <c r="S366" s="38"/>
      <c r="T366" s="38"/>
      <c r="U366" s="38"/>
      <c r="V366" s="38"/>
      <c r="W366" s="38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</row>
    <row r="367" spans="1:36" ht="11.25" customHeight="1" x14ac:dyDescent="0.2">
      <c r="A367" s="35" t="s">
        <v>21</v>
      </c>
      <c r="B367" s="35" t="s">
        <v>41</v>
      </c>
      <c r="C367" s="35" t="s">
        <v>42</v>
      </c>
      <c r="D367" s="35" t="s">
        <v>47</v>
      </c>
      <c r="E367" s="35" t="s">
        <v>25</v>
      </c>
      <c r="F367" s="35" t="s">
        <v>25</v>
      </c>
      <c r="G367" s="35" t="s">
        <v>25</v>
      </c>
      <c r="H367" s="35" t="s">
        <v>36</v>
      </c>
      <c r="I367" s="45">
        <v>44562</v>
      </c>
      <c r="J367" s="46">
        <f ca="1">EFEITO!$J$367*EFEITO!$Y$353</f>
        <v>394.16004353701271</v>
      </c>
      <c r="K367" s="46">
        <f ca="1">EFEITO!$L$367*EFEITO!$Z$353</f>
        <v>27.90407837986584</v>
      </c>
      <c r="L367" s="46">
        <f>EFEITO!$N$367*EFEITO!$AA$353</f>
        <v>89.210420760805022</v>
      </c>
      <c r="M367" s="46">
        <f ca="1">$J$367-EFEITO!$K$367*EFEITO!$Y$367</f>
        <v>7.883200870740211</v>
      </c>
      <c r="N367" s="46">
        <f ca="1">$K$367-EFEITO!$M$367*EFEITO!$Z$367</f>
        <v>0.55808156759731631</v>
      </c>
      <c r="O367" s="46">
        <f>$L$367-EFEITO!$O$367*EFEITO!$AA$367</f>
        <v>1.7842084152160993</v>
      </c>
      <c r="P367" s="38"/>
      <c r="Q367" s="38"/>
      <c r="R367" s="38"/>
      <c r="S367" s="38"/>
      <c r="T367" s="38"/>
      <c r="U367" s="38"/>
      <c r="V367" s="38"/>
      <c r="W367" s="38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</row>
    <row r="368" spans="1:36" ht="11.25" customHeight="1" x14ac:dyDescent="0.2">
      <c r="A368" s="35" t="s">
        <v>21</v>
      </c>
      <c r="B368" s="35" t="s">
        <v>41</v>
      </c>
      <c r="C368" s="35" t="s">
        <v>42</v>
      </c>
      <c r="D368" s="35" t="s">
        <v>47</v>
      </c>
      <c r="E368" s="35" t="s">
        <v>25</v>
      </c>
      <c r="F368" s="35" t="s">
        <v>25</v>
      </c>
      <c r="G368" s="35" t="s">
        <v>25</v>
      </c>
      <c r="H368" s="35" t="s">
        <v>36</v>
      </c>
      <c r="I368" s="45">
        <v>44593</v>
      </c>
      <c r="J368" s="46">
        <f ca="1">EFEITO!$J$368*EFEITO!$Y$353</f>
        <v>394.16004353701271</v>
      </c>
      <c r="K368" s="46">
        <f ca="1">EFEITO!$L$368*EFEITO!$Z$353</f>
        <v>26.542903824750436</v>
      </c>
      <c r="L368" s="46">
        <f>EFEITO!$N$368*EFEITO!$AA$353</f>
        <v>84.85869291881454</v>
      </c>
      <c r="M368" s="46">
        <f ca="1">$J$368-EFEITO!$K$368*EFEITO!$Y$368</f>
        <v>7.883200870740211</v>
      </c>
      <c r="N368" s="46">
        <f ca="1">$K$368-EFEITO!$M$368*EFEITO!$Z$368</f>
        <v>0.53085807649500794</v>
      </c>
      <c r="O368" s="46">
        <f>$L$368-EFEITO!$O$368*EFEITO!$AA$368</f>
        <v>1.6971738583762885</v>
      </c>
      <c r="P368" s="38"/>
      <c r="Q368" s="38"/>
      <c r="R368" s="38"/>
      <c r="S368" s="38"/>
      <c r="T368" s="38"/>
      <c r="U368" s="38"/>
      <c r="V368" s="38"/>
      <c r="W368" s="38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</row>
    <row r="369" spans="1:36" ht="11.25" customHeight="1" x14ac:dyDescent="0.2">
      <c r="A369" s="35" t="s">
        <v>21</v>
      </c>
      <c r="B369" s="35" t="s">
        <v>41</v>
      </c>
      <c r="C369" s="35" t="s">
        <v>42</v>
      </c>
      <c r="D369" s="35" t="s">
        <v>47</v>
      </c>
      <c r="E369" s="35" t="s">
        <v>25</v>
      </c>
      <c r="F369" s="35" t="s">
        <v>25</v>
      </c>
      <c r="G369" s="35" t="s">
        <v>25</v>
      </c>
      <c r="H369" s="35" t="s">
        <v>36</v>
      </c>
      <c r="I369" s="45">
        <v>44621</v>
      </c>
      <c r="J369" s="46">
        <f ca="1">EFEITO!$J$369*EFEITO!$Y$353</f>
        <v>450.46862118515742</v>
      </c>
      <c r="K369" s="46">
        <f ca="1">EFEITO!$L$369*EFEITO!$Z$353</f>
        <v>29.605546573760101</v>
      </c>
      <c r="L369" s="46">
        <f>EFEITO!$N$369*EFEITO!$AA$353</f>
        <v>94.650080563293145</v>
      </c>
      <c r="M369" s="46">
        <f ca="1">$J$369-EFEITO!$K$369*EFEITO!$Y$369</f>
        <v>9.0093724237031552</v>
      </c>
      <c r="N369" s="46">
        <f ca="1">$K$369-EFEITO!$M$369*EFEITO!$Z$369</f>
        <v>0.59211093147520089</v>
      </c>
      <c r="O369" s="46">
        <f>$L$369-EFEITO!$O$369*EFEITO!$AA$369</f>
        <v>1.8930016112658734</v>
      </c>
      <c r="P369" s="38"/>
      <c r="Q369" s="38"/>
      <c r="R369" s="38"/>
      <c r="S369" s="38"/>
      <c r="T369" s="38"/>
      <c r="U369" s="38"/>
      <c r="V369" s="38"/>
      <c r="W369" s="38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</row>
    <row r="370" spans="1:36" ht="11.25" customHeight="1" x14ac:dyDescent="0.2">
      <c r="A370" s="35" t="s">
        <v>21</v>
      </c>
      <c r="B370" s="35" t="s">
        <v>41</v>
      </c>
      <c r="C370" s="35" t="s">
        <v>42</v>
      </c>
      <c r="D370" s="35" t="s">
        <v>47</v>
      </c>
      <c r="E370" s="35" t="s">
        <v>25</v>
      </c>
      <c r="F370" s="35" t="s">
        <v>25</v>
      </c>
      <c r="G370" s="35" t="s">
        <v>25</v>
      </c>
      <c r="H370" s="35" t="s">
        <v>36</v>
      </c>
      <c r="I370" s="45">
        <v>44652</v>
      </c>
      <c r="J370" s="46">
        <f ca="1">EFEITO!$J$370*EFEITO!$Y$353</f>
        <v>450.46862118515742</v>
      </c>
      <c r="K370" s="46">
        <f ca="1">EFEITO!$L$370*EFEITO!$Z$353</f>
        <v>32.441326896917197</v>
      </c>
      <c r="L370" s="46">
        <f>EFEITO!$N$370*EFEITO!$AA$353</f>
        <v>103.71618023410664</v>
      </c>
      <c r="M370" s="46">
        <f ca="1">$J$370-EFEITO!$K$370*EFEITO!$Y$370</f>
        <v>9.0093724237031552</v>
      </c>
      <c r="N370" s="46">
        <f ca="1">$K$370-EFEITO!$M$370*EFEITO!$Z$370</f>
        <v>0.64882653793834422</v>
      </c>
      <c r="O370" s="46">
        <f>$L$370-EFEITO!$O$370*EFEITO!$AA$370</f>
        <v>2.0743236046821352</v>
      </c>
      <c r="P370" s="38"/>
      <c r="Q370" s="38"/>
      <c r="R370" s="38"/>
      <c r="S370" s="38"/>
      <c r="T370" s="38"/>
      <c r="U370" s="38"/>
      <c r="V370" s="38"/>
      <c r="W370" s="38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</row>
    <row r="371" spans="1:36" ht="11.25" customHeight="1" x14ac:dyDescent="0.2">
      <c r="A371" s="35" t="s">
        <v>21</v>
      </c>
      <c r="B371" s="35" t="s">
        <v>41</v>
      </c>
      <c r="C371" s="35" t="s">
        <v>42</v>
      </c>
      <c r="D371" s="35" t="s">
        <v>47</v>
      </c>
      <c r="E371" s="35" t="s">
        <v>25</v>
      </c>
      <c r="F371" s="35" t="s">
        <v>25</v>
      </c>
      <c r="G371" s="35" t="s">
        <v>25</v>
      </c>
      <c r="H371" s="35" t="s">
        <v>36</v>
      </c>
      <c r="I371" s="45">
        <v>44682</v>
      </c>
      <c r="J371" s="46">
        <f ca="1">EFEITO!$J$371*EFEITO!$Y$353</f>
        <v>506.77719883330212</v>
      </c>
      <c r="K371" s="46">
        <f ca="1">EFEITO!$L$371*EFEITO!$Z$353</f>
        <v>30.286133851317803</v>
      </c>
      <c r="L371" s="46">
        <f>EFEITO!$N$371*EFEITO!$AA$353</f>
        <v>96.825944484288385</v>
      </c>
      <c r="M371" s="46">
        <f ca="1">$J$371-EFEITO!$K$371*EFEITO!$Y$371</f>
        <v>10.135543976666099</v>
      </c>
      <c r="N371" s="46">
        <f ca="1">$K$371-EFEITO!$M$371*EFEITO!$Z$371</f>
        <v>0.6057226770263533</v>
      </c>
      <c r="O371" s="46">
        <f>$L$371-EFEITO!$O$371*EFEITO!$AA$371</f>
        <v>1.9365188896857717</v>
      </c>
      <c r="P371" s="38"/>
      <c r="Q371" s="38"/>
      <c r="R371" s="38"/>
      <c r="S371" s="38"/>
      <c r="T371" s="38"/>
      <c r="U371" s="38"/>
      <c r="V371" s="38"/>
      <c r="W371" s="38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</row>
    <row r="372" spans="1:36" ht="11.25" customHeight="1" x14ac:dyDescent="0.2">
      <c r="A372" s="35" t="s">
        <v>21</v>
      </c>
      <c r="B372" s="35" t="s">
        <v>41</v>
      </c>
      <c r="C372" s="35" t="s">
        <v>42</v>
      </c>
      <c r="D372" s="35" t="s">
        <v>47</v>
      </c>
      <c r="E372" s="35" t="s">
        <v>25</v>
      </c>
      <c r="F372" s="35" t="s">
        <v>25</v>
      </c>
      <c r="G372" s="35" t="s">
        <v>25</v>
      </c>
      <c r="H372" s="35" t="s">
        <v>36</v>
      </c>
      <c r="I372" s="45">
        <v>44713</v>
      </c>
      <c r="J372" s="46">
        <f ca="1">EFEITO!$J$372*EFEITO!$Y$353</f>
        <v>450.46862118515742</v>
      </c>
      <c r="K372" s="46">
        <f ca="1">EFEITO!$L$372*EFEITO!$Z$353</f>
        <v>26.202610185971583</v>
      </c>
      <c r="L372" s="46">
        <f>EFEITO!$N$372*EFEITO!$AA$353</f>
        <v>83.770760958316913</v>
      </c>
      <c r="M372" s="46">
        <f ca="1">$J$372-EFEITO!$K$372*EFEITO!$Y$372</f>
        <v>9.0093724237031552</v>
      </c>
      <c r="N372" s="46">
        <f ca="1">$K$372-EFEITO!$M$372*EFEITO!$Z$372</f>
        <v>0.52405220371943173</v>
      </c>
      <c r="O372" s="46">
        <f>$L$372-EFEITO!$O$372*EFEITO!$AA$372</f>
        <v>1.6754152191663394</v>
      </c>
      <c r="P372" s="38"/>
      <c r="Q372" s="38"/>
      <c r="R372" s="38"/>
      <c r="S372" s="38"/>
      <c r="T372" s="38"/>
      <c r="U372" s="38"/>
      <c r="V372" s="38"/>
      <c r="W372" s="38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</row>
    <row r="373" spans="1:36" ht="11.25" customHeight="1" x14ac:dyDescent="0.2">
      <c r="A373" s="35" t="s">
        <v>21</v>
      </c>
      <c r="B373" s="35" t="s">
        <v>41</v>
      </c>
      <c r="C373" s="35" t="s">
        <v>42</v>
      </c>
      <c r="D373" s="35" t="s">
        <v>47</v>
      </c>
      <c r="E373" s="35" t="s">
        <v>25</v>
      </c>
      <c r="F373" s="35" t="s">
        <v>25</v>
      </c>
      <c r="G373" s="35" t="s">
        <v>25</v>
      </c>
      <c r="H373" s="35" t="s">
        <v>36</v>
      </c>
      <c r="I373" s="45">
        <v>44743</v>
      </c>
      <c r="J373" s="46">
        <f ca="1">EFEITO!$J$373*EFEITO!$Y$353</f>
        <v>563.08577648144683</v>
      </c>
      <c r="K373" s="46">
        <f ca="1">EFEITO!$L$373*EFEITO!$Z$353</f>
        <v>25.181729269635028</v>
      </c>
      <c r="L373" s="46">
        <f>EFEITO!$N$373*EFEITO!$AA$353</f>
        <v>80.506965076824045</v>
      </c>
      <c r="M373" s="46">
        <f ca="1">$J$373-EFEITO!$K$373*EFEITO!$Y$373</f>
        <v>11.261715529628987</v>
      </c>
      <c r="N373" s="46">
        <f ca="1">$K$373-EFEITO!$M$373*EFEITO!$Z$373</f>
        <v>0.50363458539269956</v>
      </c>
      <c r="O373" s="46">
        <f>$L$373-EFEITO!$O$373*EFEITO!$AA$373</f>
        <v>1.6101393015364778</v>
      </c>
      <c r="P373" s="38"/>
      <c r="Q373" s="38"/>
      <c r="R373" s="38"/>
      <c r="S373" s="38"/>
      <c r="T373" s="38"/>
      <c r="U373" s="38"/>
      <c r="V373" s="38"/>
      <c r="W373" s="38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</row>
    <row r="374" spans="1:36" ht="11.25" customHeight="1" x14ac:dyDescent="0.2">
      <c r="A374" s="35" t="s">
        <v>21</v>
      </c>
      <c r="B374" s="35" t="s">
        <v>41</v>
      </c>
      <c r="C374" s="35" t="s">
        <v>42</v>
      </c>
      <c r="D374" s="35" t="s">
        <v>47</v>
      </c>
      <c r="E374" s="35" t="s">
        <v>25</v>
      </c>
      <c r="F374" s="35" t="s">
        <v>25</v>
      </c>
      <c r="G374" s="35" t="s">
        <v>25</v>
      </c>
      <c r="H374" s="35" t="s">
        <v>36</v>
      </c>
      <c r="I374" s="45">
        <v>44774</v>
      </c>
      <c r="J374" s="46">
        <f ca="1">EFEITO!$J$374*EFEITO!$Y$353</f>
        <v>563.08577648144683</v>
      </c>
      <c r="K374" s="46">
        <f ca="1">EFEITO!$L$374*EFEITO!$Z$353</f>
        <v>38.90690603371538</v>
      </c>
      <c r="L374" s="46">
        <f>EFEITO!$N$374*EFEITO!$AA$353</f>
        <v>124.38688748356148</v>
      </c>
      <c r="M374" s="46">
        <f ca="1">$J$374-EFEITO!$K$374*EFEITO!$Y$374</f>
        <v>11.261715529628987</v>
      </c>
      <c r="N374" s="46">
        <f ca="1">$K$374-EFEITO!$M$374*EFEITO!$Z$374</f>
        <v>0.77813812067430632</v>
      </c>
      <c r="O374" s="46">
        <f>$L$374-EFEITO!$O$374*EFEITO!$AA$374</f>
        <v>2.4877377496712256</v>
      </c>
      <c r="P374" s="38"/>
      <c r="Q374" s="38"/>
      <c r="R374" s="38"/>
      <c r="S374" s="38"/>
      <c r="T374" s="38"/>
      <c r="U374" s="38"/>
      <c r="V374" s="38"/>
      <c r="W374" s="38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</row>
    <row r="375" spans="1:36" ht="11.25" customHeight="1" x14ac:dyDescent="0.2">
      <c r="A375" s="35" t="s">
        <v>21</v>
      </c>
      <c r="B375" s="35" t="s">
        <v>41</v>
      </c>
      <c r="C375" s="35" t="s">
        <v>42</v>
      </c>
      <c r="D375" s="35" t="s">
        <v>47</v>
      </c>
      <c r="E375" s="35" t="s">
        <v>25</v>
      </c>
      <c r="F375" s="35" t="s">
        <v>25</v>
      </c>
      <c r="G375" s="35" t="s">
        <v>25</v>
      </c>
      <c r="H375" s="35" t="s">
        <v>36</v>
      </c>
      <c r="I375" s="45">
        <v>44805</v>
      </c>
      <c r="J375" s="46">
        <f ca="1">EFEITO!$J$375*EFEITO!$Y$353</f>
        <v>1182.4801306110382</v>
      </c>
      <c r="K375" s="46">
        <f ca="1">EFEITO!$L$375*EFEITO!$Z$353</f>
        <v>40.835236653462204</v>
      </c>
      <c r="L375" s="46">
        <f>EFEITO!$N$375*EFEITO!$AA$353</f>
        <v>130.55183525971466</v>
      </c>
      <c r="M375" s="46">
        <f ca="1">$J$375-EFEITO!$K$375*EFEITO!$Y$375</f>
        <v>23.64960261222086</v>
      </c>
      <c r="N375" s="46">
        <f ca="1">$K$375-EFEITO!$M$375*EFEITO!$Z$375</f>
        <v>0.81670473306924407</v>
      </c>
      <c r="O375" s="46">
        <f>$L$375-EFEITO!$O$375*EFEITO!$AA$375</f>
        <v>2.6110367051942944</v>
      </c>
      <c r="P375" s="38"/>
      <c r="Q375" s="38"/>
      <c r="R375" s="38"/>
      <c r="S375" s="38"/>
      <c r="T375" s="38"/>
      <c r="U375" s="38"/>
      <c r="V375" s="38"/>
      <c r="W375" s="38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</row>
    <row r="376" spans="1:36" ht="11.25" customHeight="1" x14ac:dyDescent="0.2">
      <c r="A376" s="35" t="s">
        <v>21</v>
      </c>
      <c r="B376" s="35" t="s">
        <v>41</v>
      </c>
      <c r="C376" s="35" t="s">
        <v>42</v>
      </c>
      <c r="D376" s="35" t="s">
        <v>47</v>
      </c>
      <c r="E376" s="35" t="s">
        <v>25</v>
      </c>
      <c r="F376" s="35" t="s">
        <v>25</v>
      </c>
      <c r="G376" s="35" t="s">
        <v>25</v>
      </c>
      <c r="H376" s="35" t="s">
        <v>36</v>
      </c>
      <c r="I376" s="45">
        <v>44835</v>
      </c>
      <c r="J376" s="46">
        <f ca="1">EFEITO!$J$376*EFEITO!$Y$353</f>
        <v>506.77719883330212</v>
      </c>
      <c r="K376" s="46">
        <f ca="1">EFEITO!$L$376*EFEITO!$Z$353</f>
        <v>36.071125710558285</v>
      </c>
      <c r="L376" s="46">
        <f>EFEITO!$N$376*EFEITO!$AA$353</f>
        <v>115.32078781274797</v>
      </c>
      <c r="M376" s="46">
        <f ca="1">$J$376-EFEITO!$K$376*EFEITO!$Y$376</f>
        <v>10.135543976666099</v>
      </c>
      <c r="N376" s="46">
        <f ca="1">$K$376-EFEITO!$M$376*EFEITO!$Z$376</f>
        <v>0.7214225142111701</v>
      </c>
      <c r="O376" s="46">
        <f>$L$376-EFEITO!$O$376*EFEITO!$AA$376</f>
        <v>2.3064157562549639</v>
      </c>
      <c r="P376" s="38"/>
      <c r="Q376" s="38"/>
      <c r="R376" s="38"/>
      <c r="S376" s="38"/>
      <c r="T376" s="38"/>
      <c r="U376" s="38"/>
      <c r="V376" s="38"/>
      <c r="W376" s="38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</row>
    <row r="377" spans="1:36" ht="11.25" customHeight="1" x14ac:dyDescent="0.2">
      <c r="A377" s="35" t="s">
        <v>59</v>
      </c>
      <c r="B377" s="35" t="s">
        <v>41</v>
      </c>
      <c r="C377" s="35" t="s">
        <v>42</v>
      </c>
      <c r="D377" s="35" t="s">
        <v>47</v>
      </c>
      <c r="E377" s="35" t="s">
        <v>25</v>
      </c>
      <c r="F377" s="35" t="s">
        <v>25</v>
      </c>
      <c r="G377" s="35" t="s">
        <v>25</v>
      </c>
      <c r="H377" s="35" t="s">
        <v>36</v>
      </c>
      <c r="I377" s="45">
        <v>44866</v>
      </c>
      <c r="J377" s="46">
        <f ca="1">EFEITO!$J$377*EFEITO!$Y$353</f>
        <v>506.77719883330212</v>
      </c>
      <c r="K377" s="46">
        <f ca="1">EFEITO!$L$377*EFEITO!$Z$353</f>
        <v>36.071125710558285</v>
      </c>
      <c r="L377" s="46">
        <f>EFEITO!$N$377*EFEITO!$AA$353</f>
        <v>115.32078781274797</v>
      </c>
      <c r="M377" s="46">
        <f ca="1">$J$377-EFEITO!$K$377*EFEITO!$Y$377</f>
        <v>10.135543976666099</v>
      </c>
      <c r="N377" s="46">
        <f ca="1">$K$377-EFEITO!$M$377*EFEITO!$Z$377</f>
        <v>0.7214225142111701</v>
      </c>
      <c r="O377" s="46">
        <f>$L$377-EFEITO!$O$377*EFEITO!$AA$377</f>
        <v>2.3064157562549639</v>
      </c>
      <c r="P377" s="38"/>
      <c r="Q377" s="38"/>
      <c r="R377" s="38"/>
      <c r="S377" s="38"/>
      <c r="T377" s="38"/>
      <c r="U377" s="38"/>
      <c r="V377" s="38"/>
      <c r="W377" s="38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</row>
    <row r="378" spans="1:36" ht="11.25" customHeight="1" x14ac:dyDescent="0.2">
      <c r="A378" s="35" t="s">
        <v>21</v>
      </c>
      <c r="B378" s="35" t="s">
        <v>41</v>
      </c>
      <c r="C378" s="35" t="s">
        <v>42</v>
      </c>
      <c r="D378" s="35" t="s">
        <v>52</v>
      </c>
      <c r="E378" s="35" t="s">
        <v>53</v>
      </c>
      <c r="F378" s="35" t="s">
        <v>25</v>
      </c>
      <c r="G378" s="35" t="s">
        <v>25</v>
      </c>
      <c r="H378" s="35" t="s">
        <v>37</v>
      </c>
      <c r="I378" s="45">
        <v>44531</v>
      </c>
      <c r="J378" s="46">
        <f ca="1">EFEITO!$J$378*EFEITO!$Y$329</f>
        <v>40323.359229921611</v>
      </c>
      <c r="K378" s="46">
        <f ca="1">EFEITO!$L$378*EFEITO!$Z$329</f>
        <v>61468.601147179106</v>
      </c>
      <c r="L378" s="46">
        <f>EFEITO!$N$378*EFEITO!$AA$329</f>
        <v>118506.07072791683</v>
      </c>
      <c r="M378" s="46">
        <f ca="1">$J$378-EFEITO!$K$378*EFEITO!$Y$378</f>
        <v>1209.7007768976546</v>
      </c>
      <c r="N378" s="46">
        <f ca="1">$K$378-EFEITO!$M$378*EFEITO!$Z$378</f>
        <v>1844.0580344153714</v>
      </c>
      <c r="O378" s="46">
        <f>$L$378-EFEITO!$O$378*EFEITO!$AA$378</f>
        <v>3555.1821218375117</v>
      </c>
      <c r="P378" s="38"/>
      <c r="Q378" s="38"/>
      <c r="R378" s="38"/>
      <c r="S378" s="38"/>
      <c r="T378" s="38"/>
      <c r="U378" s="38"/>
      <c r="V378" s="38"/>
      <c r="W378" s="38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</row>
    <row r="379" spans="1:36" ht="11.25" customHeight="1" x14ac:dyDescent="0.2">
      <c r="A379" s="35" t="s">
        <v>28</v>
      </c>
      <c r="B379" s="35" t="s">
        <v>41</v>
      </c>
      <c r="C379" s="35" t="s">
        <v>42</v>
      </c>
      <c r="D379" s="35" t="s">
        <v>52</v>
      </c>
      <c r="E379" s="35" t="s">
        <v>53</v>
      </c>
      <c r="F379" s="35" t="s">
        <v>25</v>
      </c>
      <c r="G379" s="35" t="s">
        <v>25</v>
      </c>
      <c r="H379" s="35" t="s">
        <v>37</v>
      </c>
      <c r="I379" s="45">
        <v>44531</v>
      </c>
      <c r="J379" s="46">
        <f ca="1">EFEITO!$J$379*EFEITO!$Y$329</f>
        <v>1999.6757900318999</v>
      </c>
      <c r="K379" s="46">
        <f ca="1">EFEITO!$L$379*EFEITO!$Z$329</f>
        <v>4273.9746718494516</v>
      </c>
      <c r="L379" s="46">
        <f>EFEITO!$N$379*EFEITO!$AA$329</f>
        <v>8239.8482363179646</v>
      </c>
      <c r="M379" s="46">
        <f ca="1">$J$379-EFEITO!$K$379*EFEITO!$Y$379</f>
        <v>59.990273700957232</v>
      </c>
      <c r="N379" s="46">
        <f ca="1">$K$379-EFEITO!$M$379*EFEITO!$Z$379</f>
        <v>128.21924015548393</v>
      </c>
      <c r="O379" s="46">
        <f>$L$379-EFEITO!$O$379*EFEITO!$AA$379</f>
        <v>247.1954470895389</v>
      </c>
      <c r="P379" s="38"/>
      <c r="Q379" s="38"/>
      <c r="R379" s="38"/>
      <c r="S379" s="38"/>
      <c r="T379" s="38"/>
      <c r="U379" s="38"/>
      <c r="V379" s="38"/>
      <c r="W379" s="38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</row>
    <row r="380" spans="1:36" ht="11.25" customHeight="1" x14ac:dyDescent="0.2">
      <c r="A380" s="35" t="s">
        <v>21</v>
      </c>
      <c r="B380" s="35" t="s">
        <v>41</v>
      </c>
      <c r="C380" s="35" t="s">
        <v>42</v>
      </c>
      <c r="D380" s="35" t="s">
        <v>52</v>
      </c>
      <c r="E380" s="35" t="s">
        <v>53</v>
      </c>
      <c r="F380" s="35" t="s">
        <v>25</v>
      </c>
      <c r="G380" s="35" t="s">
        <v>25</v>
      </c>
      <c r="H380" s="35" t="s">
        <v>37</v>
      </c>
      <c r="I380" s="45">
        <v>44562</v>
      </c>
      <c r="J380" s="46">
        <f ca="1">EFEITO!$J$380*EFEITO!$Y$329</f>
        <v>3257.2038641756722</v>
      </c>
      <c r="K380" s="46">
        <f ca="1">EFEITO!$L$380*EFEITO!$Z$329</f>
        <v>10440.322268948097</v>
      </c>
      <c r="L380" s="46">
        <f>EFEITO!$N$380*EFEITO!$AA$329</f>
        <v>20128.025465615909</v>
      </c>
      <c r="M380" s="46">
        <f ca="1">$J$380-EFEITO!$K$380*EFEITO!$Y$380</f>
        <v>97.716115925270515</v>
      </c>
      <c r="N380" s="46">
        <f ca="1">$K$380-EFEITO!$M$380*EFEITO!$Z$380</f>
        <v>313.20966806844262</v>
      </c>
      <c r="O380" s="46">
        <f>$L$380-EFEITO!$O$380*EFEITO!$AA$380</f>
        <v>603.84076396848104</v>
      </c>
      <c r="P380" s="38"/>
      <c r="Q380" s="38"/>
      <c r="R380" s="38"/>
      <c r="S380" s="38"/>
      <c r="T380" s="38"/>
      <c r="U380" s="38"/>
      <c r="V380" s="38"/>
      <c r="W380" s="38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</row>
    <row r="381" spans="1:36" ht="11.25" customHeight="1" x14ac:dyDescent="0.2">
      <c r="A381" s="35" t="s">
        <v>28</v>
      </c>
      <c r="B381" s="35" t="s">
        <v>41</v>
      </c>
      <c r="C381" s="35" t="s">
        <v>42</v>
      </c>
      <c r="D381" s="35" t="s">
        <v>52</v>
      </c>
      <c r="E381" s="35" t="s">
        <v>53</v>
      </c>
      <c r="F381" s="35" t="s">
        <v>25</v>
      </c>
      <c r="G381" s="35" t="s">
        <v>25</v>
      </c>
      <c r="H381" s="35" t="s">
        <v>37</v>
      </c>
      <c r="I381" s="45">
        <v>44562</v>
      </c>
      <c r="J381" s="46">
        <f ca="1">EFEITO!$J$381*EFEITO!$Y$329</f>
        <v>1875.9845040505452</v>
      </c>
      <c r="K381" s="46">
        <f ca="1">EFEITO!$L$381*EFEITO!$Z$329</f>
        <v>4120.5022407601891</v>
      </c>
      <c r="L381" s="46">
        <f>EFEITO!$N$381*EFEITO!$AA$329</f>
        <v>7943.966852424066</v>
      </c>
      <c r="M381" s="46">
        <f ca="1">$J$381-EFEITO!$K$381*EFEITO!$Y$381</f>
        <v>56.279535121516574</v>
      </c>
      <c r="N381" s="46">
        <f ca="1">$K$381-EFEITO!$M$381*EFEITO!$Z$381</f>
        <v>123.61506722280546</v>
      </c>
      <c r="O381" s="46">
        <f>$L$381-EFEITO!$O$381*EFEITO!$AA$381</f>
        <v>238.31900557272184</v>
      </c>
      <c r="P381" s="38"/>
      <c r="Q381" s="38"/>
      <c r="R381" s="38"/>
      <c r="S381" s="38"/>
      <c r="T381" s="38"/>
      <c r="U381" s="38"/>
      <c r="V381" s="38"/>
      <c r="W381" s="38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</row>
    <row r="382" spans="1:36" ht="11.25" customHeight="1" x14ac:dyDescent="0.2">
      <c r="A382" s="35" t="s">
        <v>21</v>
      </c>
      <c r="B382" s="35" t="s">
        <v>41</v>
      </c>
      <c r="C382" s="35" t="s">
        <v>42</v>
      </c>
      <c r="D382" s="35" t="s">
        <v>52</v>
      </c>
      <c r="E382" s="35" t="s">
        <v>53</v>
      </c>
      <c r="F382" s="35" t="s">
        <v>25</v>
      </c>
      <c r="G382" s="35" t="s">
        <v>25</v>
      </c>
      <c r="H382" s="35" t="s">
        <v>37</v>
      </c>
      <c r="I382" s="45">
        <v>44593</v>
      </c>
      <c r="J382" s="46">
        <f ca="1">EFEITO!$J$382*EFEITO!$Y$329</f>
        <v>3215.9734355152204</v>
      </c>
      <c r="K382" s="46">
        <f ca="1">EFEITO!$L$382*EFEITO!$Z$329</f>
        <v>9697.6881179197153</v>
      </c>
      <c r="L382" s="46">
        <f>EFEITO!$N$382*EFEITO!$AA$329</f>
        <v>18696.291969419784</v>
      </c>
      <c r="M382" s="46">
        <f ca="1">$J$382-EFEITO!$K$382*EFEITO!$Y$382</f>
        <v>96.479203065457114</v>
      </c>
      <c r="N382" s="46">
        <f ca="1">$K$382-EFEITO!$M$382*EFEITO!$Z$382</f>
        <v>290.9306435375911</v>
      </c>
      <c r="O382" s="46">
        <f>$L$382-EFEITO!$O$382*EFEITO!$AA$382</f>
        <v>560.88875908259433</v>
      </c>
      <c r="P382" s="38"/>
      <c r="Q382" s="38"/>
      <c r="R382" s="38"/>
      <c r="S382" s="38"/>
      <c r="T382" s="38"/>
      <c r="U382" s="38"/>
      <c r="V382" s="38"/>
      <c r="W382" s="38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</row>
    <row r="383" spans="1:36" ht="11.25" customHeight="1" x14ac:dyDescent="0.2">
      <c r="A383" s="35" t="s">
        <v>28</v>
      </c>
      <c r="B383" s="35" t="s">
        <v>41</v>
      </c>
      <c r="C383" s="35" t="s">
        <v>42</v>
      </c>
      <c r="D383" s="35" t="s">
        <v>52</v>
      </c>
      <c r="E383" s="35" t="s">
        <v>53</v>
      </c>
      <c r="F383" s="35" t="s">
        <v>25</v>
      </c>
      <c r="G383" s="35" t="s">
        <v>25</v>
      </c>
      <c r="H383" s="35" t="s">
        <v>37</v>
      </c>
      <c r="I383" s="45">
        <v>44593</v>
      </c>
      <c r="J383" s="46">
        <f ca="1">EFEITO!$J$383*EFEITO!$Y$329</f>
        <v>1855.3692897203196</v>
      </c>
      <c r="K383" s="46">
        <f ca="1">EFEITO!$L$383*EFEITO!$Z$329</f>
        <v>4579.7852218987127</v>
      </c>
      <c r="L383" s="46">
        <f>EFEITO!$N$383*EFEITO!$AA$329</f>
        <v>8829.4241498271676</v>
      </c>
      <c r="M383" s="46">
        <f ca="1">$J$383-EFEITO!$K$383*EFEITO!$Y$383</f>
        <v>55.661078691609873</v>
      </c>
      <c r="N383" s="46">
        <f ca="1">$K$383-EFEITO!$M$383*EFEITO!$Z$383</f>
        <v>137.39355665696166</v>
      </c>
      <c r="O383" s="46">
        <f>$L$383-EFEITO!$O$383*EFEITO!$AA$383</f>
        <v>264.88272449481701</v>
      </c>
      <c r="P383" s="38"/>
      <c r="Q383" s="38"/>
      <c r="R383" s="38"/>
      <c r="S383" s="38"/>
      <c r="T383" s="38"/>
      <c r="U383" s="38"/>
      <c r="V383" s="38"/>
      <c r="W383" s="38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</row>
    <row r="384" spans="1:36" ht="11.25" customHeight="1" x14ac:dyDescent="0.2">
      <c r="A384" s="35" t="s">
        <v>21</v>
      </c>
      <c r="B384" s="35" t="s">
        <v>41</v>
      </c>
      <c r="C384" s="35" t="s">
        <v>42</v>
      </c>
      <c r="D384" s="35" t="s">
        <v>52</v>
      </c>
      <c r="E384" s="35" t="s">
        <v>53</v>
      </c>
      <c r="F384" s="35" t="s">
        <v>25</v>
      </c>
      <c r="G384" s="35" t="s">
        <v>25</v>
      </c>
      <c r="H384" s="35" t="s">
        <v>37</v>
      </c>
      <c r="I384" s="45">
        <v>44621</v>
      </c>
      <c r="J384" s="46">
        <f ca="1">EFEITO!$J$384*EFEITO!$Y$329</f>
        <v>3298.4342928361234</v>
      </c>
      <c r="K384" s="46">
        <f ca="1">EFEITO!$L$384*EFEITO!$Z$329</f>
        <v>10559.651904946548</v>
      </c>
      <c r="L384" s="46">
        <f>EFEITO!$N$384*EFEITO!$AA$329</f>
        <v>20358.082535724097</v>
      </c>
      <c r="M384" s="46">
        <f ca="1">$J$384-EFEITO!$K$384*EFEITO!$Y$384</f>
        <v>98.953028785083916</v>
      </c>
      <c r="N384" s="46">
        <f ca="1">$K$384-EFEITO!$M$384*EFEITO!$Z$384</f>
        <v>316.78955714839685</v>
      </c>
      <c r="O384" s="46">
        <f>$L$384-EFEITO!$O$384*EFEITO!$AA$384</f>
        <v>610.74247607172219</v>
      </c>
      <c r="P384" s="38"/>
      <c r="Q384" s="38"/>
      <c r="R384" s="38"/>
      <c r="S384" s="38"/>
      <c r="T384" s="38"/>
      <c r="U384" s="38"/>
      <c r="V384" s="38"/>
      <c r="W384" s="38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</row>
    <row r="385" spans="1:36" ht="11.25" customHeight="1" x14ac:dyDescent="0.2">
      <c r="A385" s="35" t="s">
        <v>28</v>
      </c>
      <c r="B385" s="35" t="s">
        <v>41</v>
      </c>
      <c r="C385" s="35" t="s">
        <v>42</v>
      </c>
      <c r="D385" s="35" t="s">
        <v>52</v>
      </c>
      <c r="E385" s="35" t="s">
        <v>53</v>
      </c>
      <c r="F385" s="35" t="s">
        <v>25</v>
      </c>
      <c r="G385" s="35" t="s">
        <v>25</v>
      </c>
      <c r="H385" s="35" t="s">
        <v>37</v>
      </c>
      <c r="I385" s="45">
        <v>44621</v>
      </c>
      <c r="J385" s="46">
        <f ca="1">EFEITO!$J$385*EFEITO!$Y$329</f>
        <v>1875.9845040505452</v>
      </c>
      <c r="K385" s="46">
        <f ca="1">EFEITO!$L$385*EFEITO!$Z$329</f>
        <v>4170.7522680865331</v>
      </c>
      <c r="L385" s="46">
        <f>EFEITO!$N$385*EFEITO!$AA$329</f>
        <v>8040.8444969658231</v>
      </c>
      <c r="M385" s="46">
        <f ca="1">$J$385-EFEITO!$K$385*EFEITO!$Y$385</f>
        <v>56.279535121516574</v>
      </c>
      <c r="N385" s="46">
        <f ca="1">$K$385-EFEITO!$M$385*EFEITO!$Z$385</f>
        <v>125.12256804259641</v>
      </c>
      <c r="O385" s="46">
        <f>$L$385-EFEITO!$O$385*EFEITO!$AA$385</f>
        <v>241.22533490897513</v>
      </c>
      <c r="P385" s="38"/>
      <c r="Q385" s="38"/>
      <c r="R385" s="38"/>
      <c r="S385" s="38"/>
      <c r="T385" s="38"/>
      <c r="U385" s="38"/>
      <c r="V385" s="38"/>
      <c r="W385" s="38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</row>
    <row r="386" spans="1:36" ht="11.25" customHeight="1" x14ac:dyDescent="0.2">
      <c r="A386" s="35" t="s">
        <v>21</v>
      </c>
      <c r="B386" s="35" t="s">
        <v>41</v>
      </c>
      <c r="C386" s="35" t="s">
        <v>42</v>
      </c>
      <c r="D386" s="35" t="s">
        <v>52</v>
      </c>
      <c r="E386" s="35" t="s">
        <v>53</v>
      </c>
      <c r="F386" s="35" t="s">
        <v>25</v>
      </c>
      <c r="G386" s="35" t="s">
        <v>25</v>
      </c>
      <c r="H386" s="35" t="s">
        <v>37</v>
      </c>
      <c r="I386" s="45">
        <v>44652</v>
      </c>
      <c r="J386" s="46">
        <f ca="1">EFEITO!$J$386*EFEITO!$Y$329</f>
        <v>3298.4342928361234</v>
      </c>
      <c r="K386" s="46">
        <f ca="1">EFEITO!$L$386*EFEITO!$Z$329</f>
        <v>10048.530859500712</v>
      </c>
      <c r="L386" s="46">
        <f>EFEITO!$N$386*EFEITO!$AA$329</f>
        <v>19372.685997789209</v>
      </c>
      <c r="M386" s="46">
        <f ca="1">$J$386-EFEITO!$K$386*EFEITO!$Y$386</f>
        <v>98.953028785083916</v>
      </c>
      <c r="N386" s="46">
        <f ca="1">$K$386-EFEITO!$M$386*EFEITO!$Z$386</f>
        <v>301.45592578501964</v>
      </c>
      <c r="O386" s="46">
        <f>$L$386-EFEITO!$O$386*EFEITO!$AA$386</f>
        <v>581.18057993367984</v>
      </c>
      <c r="P386" s="38"/>
      <c r="Q386" s="38"/>
      <c r="R386" s="38"/>
      <c r="S386" s="38"/>
      <c r="T386" s="38"/>
      <c r="U386" s="38"/>
      <c r="V386" s="38"/>
      <c r="W386" s="38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</row>
    <row r="387" spans="1:36" ht="11.25" customHeight="1" x14ac:dyDescent="0.2">
      <c r="A387" s="35" t="s">
        <v>28</v>
      </c>
      <c r="B387" s="35" t="s">
        <v>41</v>
      </c>
      <c r="C387" s="35" t="s">
        <v>42</v>
      </c>
      <c r="D387" s="35" t="s">
        <v>52</v>
      </c>
      <c r="E387" s="35" t="s">
        <v>53</v>
      </c>
      <c r="F387" s="35" t="s">
        <v>25</v>
      </c>
      <c r="G387" s="35" t="s">
        <v>25</v>
      </c>
      <c r="H387" s="35" t="s">
        <v>37</v>
      </c>
      <c r="I387" s="45">
        <v>44652</v>
      </c>
      <c r="J387" s="46">
        <f ca="1">EFEITO!$J$387*EFEITO!$Y$329</f>
        <v>1917.2149327109969</v>
      </c>
      <c r="K387" s="46">
        <f ca="1">EFEITO!$L$387*EFEITO!$Z$329</f>
        <v>4455.0108876798004</v>
      </c>
      <c r="L387" s="46">
        <f>EFEITO!$N$387*EFEITO!$AA$329</f>
        <v>8588.8701791817202</v>
      </c>
      <c r="M387" s="46">
        <f ca="1">$J$387-EFEITO!$K$387*EFEITO!$Y$387</f>
        <v>57.516447981330202</v>
      </c>
      <c r="N387" s="46">
        <f ca="1">$K$387-EFEITO!$M$387*EFEITO!$Z$387</f>
        <v>133.65032663039437</v>
      </c>
      <c r="O387" s="46">
        <f>$L$387-EFEITO!$O$387*EFEITO!$AA$387</f>
        <v>257.66610537545239</v>
      </c>
      <c r="P387" s="38"/>
      <c r="Q387" s="38"/>
      <c r="R387" s="38"/>
      <c r="S387" s="38"/>
      <c r="T387" s="38"/>
      <c r="U387" s="38"/>
      <c r="V387" s="38"/>
      <c r="W387" s="38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</row>
    <row r="388" spans="1:36" ht="11.25" customHeight="1" x14ac:dyDescent="0.2">
      <c r="A388" s="35" t="s">
        <v>21</v>
      </c>
      <c r="B388" s="35" t="s">
        <v>41</v>
      </c>
      <c r="C388" s="35" t="s">
        <v>42</v>
      </c>
      <c r="D388" s="35" t="s">
        <v>52</v>
      </c>
      <c r="E388" s="35" t="s">
        <v>53</v>
      </c>
      <c r="F388" s="35" t="s">
        <v>25</v>
      </c>
      <c r="G388" s="35" t="s">
        <v>25</v>
      </c>
      <c r="H388" s="35" t="s">
        <v>37</v>
      </c>
      <c r="I388" s="45">
        <v>44682</v>
      </c>
      <c r="J388" s="46">
        <f ca="1">EFEITO!$J$388*EFEITO!$Y$329</f>
        <v>3257.2038641756722</v>
      </c>
      <c r="K388" s="46">
        <f ca="1">EFEITO!$L$388*EFEITO!$Z$329</f>
        <v>10509.742171258984</v>
      </c>
      <c r="L388" s="46">
        <f>EFEITO!$N$388*EFEITO!$AA$329</f>
        <v>20261.860947465921</v>
      </c>
      <c r="M388" s="46">
        <f ca="1">$J$388-EFEITO!$K$388*EFEITO!$Y$388</f>
        <v>97.716115925270515</v>
      </c>
      <c r="N388" s="46">
        <f ca="1">$K$388-EFEITO!$M$388*EFEITO!$Z$388</f>
        <v>315.2922651377703</v>
      </c>
      <c r="O388" s="46">
        <f>$L$388-EFEITO!$O$388*EFEITO!$AA$388</f>
        <v>607.85582842397707</v>
      </c>
      <c r="P388" s="38"/>
      <c r="Q388" s="38"/>
      <c r="R388" s="38"/>
      <c r="S388" s="38"/>
      <c r="T388" s="38"/>
      <c r="U388" s="38"/>
      <c r="V388" s="38"/>
      <c r="W388" s="38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</row>
    <row r="389" spans="1:36" ht="11.25" customHeight="1" x14ac:dyDescent="0.2">
      <c r="A389" s="35" t="s">
        <v>28</v>
      </c>
      <c r="B389" s="35" t="s">
        <v>41</v>
      </c>
      <c r="C389" s="35" t="s">
        <v>42</v>
      </c>
      <c r="D389" s="35" t="s">
        <v>52</v>
      </c>
      <c r="E389" s="35" t="s">
        <v>53</v>
      </c>
      <c r="F389" s="35" t="s">
        <v>25</v>
      </c>
      <c r="G389" s="35" t="s">
        <v>25</v>
      </c>
      <c r="H389" s="35" t="s">
        <v>37</v>
      </c>
      <c r="I389" s="45">
        <v>44682</v>
      </c>
      <c r="J389" s="46">
        <f ca="1">EFEITO!$J$389*EFEITO!$Y$329</f>
        <v>1937.8301470412225</v>
      </c>
      <c r="K389" s="46">
        <f ca="1">EFEITO!$L$389*EFEITO!$Z$329</f>
        <v>4421.7755422923992</v>
      </c>
      <c r="L389" s="46">
        <f>EFEITO!$N$389*EFEITO!$AA$329</f>
        <v>8524.7953488188887</v>
      </c>
      <c r="M389" s="46">
        <f ca="1">$J$389-EFEITO!$K$389*EFEITO!$Y$389</f>
        <v>58.134904411236903</v>
      </c>
      <c r="N389" s="46">
        <f ca="1">$K$389-EFEITO!$M$389*EFEITO!$Z$389</f>
        <v>132.65326626877231</v>
      </c>
      <c r="O389" s="46">
        <f>$L$389-EFEITO!$O$389*EFEITO!$AA$389</f>
        <v>255.74386046456675</v>
      </c>
      <c r="P389" s="38"/>
      <c r="Q389" s="38"/>
      <c r="R389" s="38"/>
      <c r="S389" s="38"/>
      <c r="T389" s="38"/>
      <c r="U389" s="38"/>
      <c r="V389" s="38"/>
      <c r="W389" s="38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</row>
    <row r="390" spans="1:36" ht="11.25" customHeight="1" x14ac:dyDescent="0.2">
      <c r="A390" s="35" t="s">
        <v>21</v>
      </c>
      <c r="B390" s="35" t="s">
        <v>41</v>
      </c>
      <c r="C390" s="35" t="s">
        <v>42</v>
      </c>
      <c r="D390" s="35" t="s">
        <v>52</v>
      </c>
      <c r="E390" s="35" t="s">
        <v>53</v>
      </c>
      <c r="F390" s="35" t="s">
        <v>25</v>
      </c>
      <c r="G390" s="35" t="s">
        <v>25</v>
      </c>
      <c r="H390" s="35" t="s">
        <v>37</v>
      </c>
      <c r="I390" s="45">
        <v>44713</v>
      </c>
      <c r="J390" s="46">
        <f ca="1">EFEITO!$J$390*EFEITO!$Y$329</f>
        <v>3277.8190785058978</v>
      </c>
      <c r="K390" s="46">
        <f ca="1">EFEITO!$L$390*EFEITO!$Z$329</f>
        <v>9716.0639744137752</v>
      </c>
      <c r="L390" s="46">
        <f>EFEITO!$N$390*EFEITO!$AA$329</f>
        <v>18731.719008733024</v>
      </c>
      <c r="M390" s="46">
        <f ca="1">$J$390-EFEITO!$K$390*EFEITO!$Y$390</f>
        <v>98.334572355177443</v>
      </c>
      <c r="N390" s="46">
        <f ca="1">$K$390-EFEITO!$M$390*EFEITO!$Z$390</f>
        <v>291.48191923241393</v>
      </c>
      <c r="O390" s="46">
        <f>$L$390-EFEITO!$O$390*EFEITO!$AA$390</f>
        <v>561.95157026199013</v>
      </c>
      <c r="P390" s="38"/>
      <c r="Q390" s="38"/>
      <c r="R390" s="38"/>
      <c r="S390" s="38"/>
      <c r="T390" s="38"/>
      <c r="U390" s="38"/>
      <c r="V390" s="38"/>
      <c r="W390" s="38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</row>
    <row r="391" spans="1:36" ht="11.25" customHeight="1" x14ac:dyDescent="0.2">
      <c r="A391" s="35" t="s">
        <v>28</v>
      </c>
      <c r="B391" s="35" t="s">
        <v>41</v>
      </c>
      <c r="C391" s="35" t="s">
        <v>42</v>
      </c>
      <c r="D391" s="35" t="s">
        <v>52</v>
      </c>
      <c r="E391" s="35" t="s">
        <v>53</v>
      </c>
      <c r="F391" s="35" t="s">
        <v>25</v>
      </c>
      <c r="G391" s="35" t="s">
        <v>25</v>
      </c>
      <c r="H391" s="35" t="s">
        <v>37</v>
      </c>
      <c r="I391" s="45">
        <v>44713</v>
      </c>
      <c r="J391" s="46">
        <f ca="1">EFEITO!$J$391*EFEITO!$Y$329</f>
        <v>1917.2149327109969</v>
      </c>
      <c r="K391" s="46">
        <f ca="1">EFEITO!$L$391*EFEITO!$Z$329</f>
        <v>5203.6568929932746</v>
      </c>
      <c r="L391" s="46">
        <f>EFEITO!$N$391*EFEITO!$AA$329</f>
        <v>10032.194003054397</v>
      </c>
      <c r="M391" s="46">
        <f ca="1">$J$391-EFEITO!$K$391*EFEITO!$Y$391</f>
        <v>57.516447981330202</v>
      </c>
      <c r="N391" s="46">
        <f ca="1">$K$391-EFEITO!$M$391*EFEITO!$Z$391</f>
        <v>156.10970678979811</v>
      </c>
      <c r="O391" s="46">
        <f>$L$391-EFEITO!$O$391*EFEITO!$AA$391</f>
        <v>300.96582009163285</v>
      </c>
      <c r="P391" s="38"/>
      <c r="Q391" s="38"/>
      <c r="R391" s="38"/>
      <c r="S391" s="38"/>
      <c r="T391" s="38"/>
      <c r="U391" s="38"/>
      <c r="V391" s="38"/>
      <c r="W391" s="38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</row>
    <row r="392" spans="1:36" ht="11.25" customHeight="1" x14ac:dyDescent="0.2">
      <c r="A392" s="35" t="s">
        <v>21</v>
      </c>
      <c r="B392" s="35" t="s">
        <v>41</v>
      </c>
      <c r="C392" s="35" t="s">
        <v>42</v>
      </c>
      <c r="D392" s="35" t="s">
        <v>52</v>
      </c>
      <c r="E392" s="35" t="s">
        <v>53</v>
      </c>
      <c r="F392" s="35" t="s">
        <v>25</v>
      </c>
      <c r="G392" s="35" t="s">
        <v>25</v>
      </c>
      <c r="H392" s="35" t="s">
        <v>37</v>
      </c>
      <c r="I392" s="45">
        <v>44743</v>
      </c>
      <c r="J392" s="46">
        <f ca="1">EFEITO!$J$392*EFEITO!$Y$329</f>
        <v>3195.3582211849948</v>
      </c>
      <c r="K392" s="46">
        <f ca="1">EFEITO!$L$392*EFEITO!$Z$329</f>
        <v>10598.89910461904</v>
      </c>
      <c r="L392" s="46">
        <f>EFEITO!$N$392*EFEITO!$AA$329</f>
        <v>20433.747693763482</v>
      </c>
      <c r="M392" s="46">
        <f ca="1">$J$392-EFEITO!$K$392*EFEITO!$Y$392</f>
        <v>95.860746635550186</v>
      </c>
      <c r="N392" s="46">
        <f ca="1">$K$392-EFEITO!$M$392*EFEITO!$Z$392</f>
        <v>317.96697313857112</v>
      </c>
      <c r="O392" s="46">
        <f>$L$392-EFEITO!$O$392*EFEITO!$AA$392</f>
        <v>613.01243081290522</v>
      </c>
      <c r="P392" s="38"/>
      <c r="Q392" s="38"/>
      <c r="R392" s="38"/>
      <c r="S392" s="38"/>
      <c r="T392" s="38"/>
      <c r="U392" s="38"/>
      <c r="V392" s="38"/>
      <c r="W392" s="38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</row>
    <row r="393" spans="1:36" ht="11.25" customHeight="1" x14ac:dyDescent="0.2">
      <c r="A393" s="35" t="s">
        <v>28</v>
      </c>
      <c r="B393" s="35" t="s">
        <v>41</v>
      </c>
      <c r="C393" s="35" t="s">
        <v>42</v>
      </c>
      <c r="D393" s="35" t="s">
        <v>52</v>
      </c>
      <c r="E393" s="35" t="s">
        <v>53</v>
      </c>
      <c r="F393" s="35" t="s">
        <v>25</v>
      </c>
      <c r="G393" s="35" t="s">
        <v>25</v>
      </c>
      <c r="H393" s="35" t="s">
        <v>37</v>
      </c>
      <c r="I393" s="45">
        <v>44743</v>
      </c>
      <c r="J393" s="46">
        <f ca="1">EFEITO!$J$393*EFEITO!$Y$329</f>
        <v>1937.8301470412225</v>
      </c>
      <c r="K393" s="46">
        <f ca="1">EFEITO!$L$393*EFEITO!$Z$329</f>
        <v>5400.346616207451</v>
      </c>
      <c r="L393" s="46">
        <f>EFEITO!$N$393*EFEITO!$AA$329</f>
        <v>10411.394534962765</v>
      </c>
      <c r="M393" s="46">
        <f ca="1">$J$393-EFEITO!$K$393*EFEITO!$Y$393</f>
        <v>58.134904411236903</v>
      </c>
      <c r="N393" s="46">
        <f ca="1">$K$393-EFEITO!$M$393*EFEITO!$Z$393</f>
        <v>162.01039848622349</v>
      </c>
      <c r="O393" s="46">
        <f>$L$393-EFEITO!$O$393*EFEITO!$AA$393</f>
        <v>312.34183604888312</v>
      </c>
      <c r="P393" s="38"/>
      <c r="Q393" s="38"/>
      <c r="R393" s="38"/>
      <c r="S393" s="38"/>
      <c r="T393" s="38"/>
      <c r="U393" s="38"/>
      <c r="V393" s="38"/>
      <c r="W393" s="38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</row>
    <row r="394" spans="1:36" ht="11.25" customHeight="1" x14ac:dyDescent="0.2">
      <c r="A394" s="35" t="s">
        <v>21</v>
      </c>
      <c r="B394" s="35" t="s">
        <v>41</v>
      </c>
      <c r="C394" s="35" t="s">
        <v>42</v>
      </c>
      <c r="D394" s="35" t="s">
        <v>52</v>
      </c>
      <c r="E394" s="35" t="s">
        <v>53</v>
      </c>
      <c r="F394" s="35" t="s">
        <v>25</v>
      </c>
      <c r="G394" s="35" t="s">
        <v>25</v>
      </c>
      <c r="H394" s="35" t="s">
        <v>37</v>
      </c>
      <c r="I394" s="45">
        <v>44774</v>
      </c>
      <c r="J394" s="46">
        <f ca="1">EFEITO!$J$394*EFEITO!$Y$329</f>
        <v>3319.0495071663495</v>
      </c>
      <c r="K394" s="46">
        <f ca="1">EFEITO!$L$394*EFEITO!$Z$329</f>
        <v>10835.289752357417</v>
      </c>
      <c r="L394" s="46">
        <f>EFEITO!$N$394*EFEITO!$AA$329</f>
        <v>20889.488125422675</v>
      </c>
      <c r="M394" s="46">
        <f ca="1">$J$394-EFEITO!$K$394*EFEITO!$Y$394</f>
        <v>99.571485214990844</v>
      </c>
      <c r="N394" s="46">
        <f ca="1">$K$394-EFEITO!$M$394*EFEITO!$Z$394</f>
        <v>325.058692570723</v>
      </c>
      <c r="O394" s="46">
        <f>$L$394-EFEITO!$O$394*EFEITO!$AA$394</f>
        <v>626.68464376268093</v>
      </c>
      <c r="P394" s="38"/>
      <c r="Q394" s="38"/>
      <c r="R394" s="38"/>
      <c r="S394" s="38"/>
      <c r="T394" s="38"/>
      <c r="U394" s="38"/>
      <c r="V394" s="38"/>
      <c r="W394" s="38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</row>
    <row r="395" spans="1:36" ht="11.25" customHeight="1" x14ac:dyDescent="0.2">
      <c r="A395" s="35" t="s">
        <v>28</v>
      </c>
      <c r="B395" s="35" t="s">
        <v>41</v>
      </c>
      <c r="C395" s="35" t="s">
        <v>42</v>
      </c>
      <c r="D395" s="35" t="s">
        <v>52</v>
      </c>
      <c r="E395" s="35" t="s">
        <v>53</v>
      </c>
      <c r="F395" s="35" t="s">
        <v>25</v>
      </c>
      <c r="G395" s="35" t="s">
        <v>25</v>
      </c>
      <c r="H395" s="35" t="s">
        <v>37</v>
      </c>
      <c r="I395" s="45">
        <v>44774</v>
      </c>
      <c r="J395" s="46">
        <f ca="1">EFEITO!$J$395*EFEITO!$Y$329</f>
        <v>2143.9822903434801</v>
      </c>
      <c r="K395" s="46">
        <f ca="1">EFEITO!$L$395*EFEITO!$Z$329</f>
        <v>5553.5921848708604</v>
      </c>
      <c r="L395" s="46">
        <f>EFEITO!$N$395*EFEITO!$AA$329</f>
        <v>10706.838548000944</v>
      </c>
      <c r="M395" s="46">
        <f ca="1">$J$395-EFEITO!$K$395*EFEITO!$Y$395</f>
        <v>64.319468710304591</v>
      </c>
      <c r="N395" s="46">
        <f ca="1">$K$395-EFEITO!$M$395*EFEITO!$Z$395</f>
        <v>166.60776554612585</v>
      </c>
      <c r="O395" s="46">
        <f>$L$395-EFEITO!$O$395*EFEITO!$AA$395</f>
        <v>321.20515644002808</v>
      </c>
      <c r="P395" s="38"/>
      <c r="Q395" s="38"/>
      <c r="R395" s="38"/>
      <c r="S395" s="38"/>
      <c r="T395" s="38"/>
      <c r="U395" s="38"/>
      <c r="V395" s="38"/>
      <c r="W395" s="38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</row>
    <row r="396" spans="1:36" ht="11.25" customHeight="1" x14ac:dyDescent="0.2">
      <c r="A396" s="35" t="s">
        <v>21</v>
      </c>
      <c r="B396" s="35" t="s">
        <v>41</v>
      </c>
      <c r="C396" s="35" t="s">
        <v>42</v>
      </c>
      <c r="D396" s="35" t="s">
        <v>52</v>
      </c>
      <c r="E396" s="35" t="s">
        <v>53</v>
      </c>
      <c r="F396" s="35" t="s">
        <v>25</v>
      </c>
      <c r="G396" s="35" t="s">
        <v>25</v>
      </c>
      <c r="H396" s="35" t="s">
        <v>37</v>
      </c>
      <c r="I396" s="45">
        <v>44805</v>
      </c>
      <c r="J396" s="46">
        <f ca="1">EFEITO!$J$396*EFEITO!$Y$329</f>
        <v>3339.6647214965751</v>
      </c>
      <c r="K396" s="46">
        <f ca="1">EFEITO!$L$396*EFEITO!$Z$329</f>
        <v>10454.047445712178</v>
      </c>
      <c r="L396" s="46">
        <f>EFEITO!$N$396*EFEITO!$AA$329</f>
        <v>20154.486402386909</v>
      </c>
      <c r="M396" s="46">
        <f ca="1">$J$396-EFEITO!$K$396*EFEITO!$Y$396</f>
        <v>100.18994164489777</v>
      </c>
      <c r="N396" s="46">
        <f ca="1">$K$396-EFEITO!$M$396*EFEITO!$Z$396</f>
        <v>313.62142337136538</v>
      </c>
      <c r="O396" s="46">
        <f>$L$396-EFEITO!$O$396*EFEITO!$AA$396</f>
        <v>604.63459207160849</v>
      </c>
      <c r="P396" s="38"/>
      <c r="Q396" s="38"/>
      <c r="R396" s="38"/>
      <c r="S396" s="38"/>
      <c r="T396" s="38"/>
      <c r="U396" s="38"/>
      <c r="V396" s="38"/>
      <c r="W396" s="38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</row>
    <row r="397" spans="1:36" ht="11.25" customHeight="1" x14ac:dyDescent="0.2">
      <c r="A397" s="35" t="s">
        <v>28</v>
      </c>
      <c r="B397" s="35" t="s">
        <v>41</v>
      </c>
      <c r="C397" s="35" t="s">
        <v>42</v>
      </c>
      <c r="D397" s="35" t="s">
        <v>52</v>
      </c>
      <c r="E397" s="35" t="s">
        <v>53</v>
      </c>
      <c r="F397" s="35" t="s">
        <v>25</v>
      </c>
      <c r="G397" s="35" t="s">
        <v>25</v>
      </c>
      <c r="H397" s="35" t="s">
        <v>37</v>
      </c>
      <c r="I397" s="45">
        <v>44805</v>
      </c>
      <c r="J397" s="46">
        <f ca="1">EFEITO!$J$397*EFEITO!$Y$329</f>
        <v>2473.8257196270924</v>
      </c>
      <c r="K397" s="46">
        <f ca="1">EFEITO!$L$397*EFEITO!$Z$329</f>
        <v>5860.5370470493835</v>
      </c>
      <c r="L397" s="46">
        <f>EFEITO!$N$397*EFEITO!$AA$329</f>
        <v>11298.601315788741</v>
      </c>
      <c r="M397" s="46">
        <f ca="1">$J$397-EFEITO!$K$397*EFEITO!$Y$397</f>
        <v>74.21477158881271</v>
      </c>
      <c r="N397" s="46">
        <f ca="1">$K$397-EFEITO!$M$397*EFEITO!$Z$397</f>
        <v>175.81611141148096</v>
      </c>
      <c r="O397" s="46">
        <f>$L$397-EFEITO!$O$397*EFEITO!$AA$397</f>
        <v>338.95803947366403</v>
      </c>
      <c r="P397" s="38"/>
      <c r="Q397" s="38"/>
      <c r="R397" s="38"/>
      <c r="S397" s="38"/>
      <c r="T397" s="38"/>
      <c r="U397" s="38"/>
      <c r="V397" s="38"/>
      <c r="W397" s="38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</row>
    <row r="398" spans="1:36" ht="11.25" customHeight="1" x14ac:dyDescent="0.2">
      <c r="A398" s="35" t="s">
        <v>21</v>
      </c>
      <c r="B398" s="35" t="s">
        <v>41</v>
      </c>
      <c r="C398" s="35" t="s">
        <v>42</v>
      </c>
      <c r="D398" s="35" t="s">
        <v>52</v>
      </c>
      <c r="E398" s="35" t="s">
        <v>53</v>
      </c>
      <c r="F398" s="35" t="s">
        <v>25</v>
      </c>
      <c r="G398" s="35" t="s">
        <v>25</v>
      </c>
      <c r="H398" s="35" t="s">
        <v>37</v>
      </c>
      <c r="I398" s="45">
        <v>44835</v>
      </c>
      <c r="J398" s="46">
        <f ca="1">EFEITO!$J$398*EFEITO!$Y$329</f>
        <v>4349.8102236776376</v>
      </c>
      <c r="K398" s="46">
        <f ca="1">EFEITO!$L$398*EFEITO!$Z$329</f>
        <v>15167.341205225126</v>
      </c>
      <c r="L398" s="46">
        <f>EFEITO!$N$398*EFEITO!$AA$329</f>
        <v>29241.303300804702</v>
      </c>
      <c r="M398" s="46">
        <f ca="1">$J$398-EFEITO!$K$398*EFEITO!$Y$398</f>
        <v>130.49430671032951</v>
      </c>
      <c r="N398" s="46">
        <f ca="1">$K$398-EFEITO!$M$398*EFEITO!$Z$398</f>
        <v>455.02023615675353</v>
      </c>
      <c r="O398" s="46">
        <f>$L$398-EFEITO!$O$398*EFEITO!$AA$398</f>
        <v>877.2390990241438</v>
      </c>
      <c r="P398" s="38"/>
      <c r="Q398" s="38"/>
      <c r="R398" s="38"/>
      <c r="S398" s="38"/>
      <c r="T398" s="38"/>
      <c r="U398" s="38"/>
      <c r="V398" s="38"/>
      <c r="W398" s="38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</row>
    <row r="399" spans="1:36" ht="11.25" customHeight="1" x14ac:dyDescent="0.2">
      <c r="A399" s="35" t="s">
        <v>28</v>
      </c>
      <c r="B399" s="35" t="s">
        <v>41</v>
      </c>
      <c r="C399" s="35" t="s">
        <v>42</v>
      </c>
      <c r="D399" s="35" t="s">
        <v>52</v>
      </c>
      <c r="E399" s="35" t="s">
        <v>53</v>
      </c>
      <c r="F399" s="35" t="s">
        <v>25</v>
      </c>
      <c r="G399" s="35" t="s">
        <v>25</v>
      </c>
      <c r="H399" s="35" t="s">
        <v>37</v>
      </c>
      <c r="I399" s="45">
        <v>44835</v>
      </c>
      <c r="J399" s="46">
        <f ca="1">EFEITO!$J$399*EFEITO!$Y$329</f>
        <v>3525.2016504686071</v>
      </c>
      <c r="K399" s="46">
        <f ca="1">EFEITO!$L$399*EFEITO!$Z$329</f>
        <v>11158.4552779844</v>
      </c>
      <c r="L399" s="46">
        <f>EFEITO!$N$399*EFEITO!$AA$329</f>
        <v>21512.522909394378</v>
      </c>
      <c r="M399" s="46">
        <f ca="1">$J$399-EFEITO!$K$399*EFEITO!$Y$399</f>
        <v>105.75604951405876</v>
      </c>
      <c r="N399" s="46">
        <f ca="1">$K$399-EFEITO!$M$399*EFEITO!$Z$399</f>
        <v>334.75365833953038</v>
      </c>
      <c r="O399" s="46">
        <f>$L$399-EFEITO!$O$399*EFEITO!$AA$399</f>
        <v>645.37568728183032</v>
      </c>
      <c r="P399" s="38"/>
      <c r="Q399" s="38"/>
      <c r="R399" s="38"/>
      <c r="S399" s="38"/>
      <c r="T399" s="38"/>
      <c r="U399" s="38"/>
      <c r="V399" s="38"/>
      <c r="W399" s="38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</row>
    <row r="400" spans="1:36" ht="11.25" customHeight="1" x14ac:dyDescent="0.2">
      <c r="A400" s="35" t="s">
        <v>59</v>
      </c>
      <c r="B400" s="35" t="s">
        <v>41</v>
      </c>
      <c r="C400" s="35" t="s">
        <v>42</v>
      </c>
      <c r="D400" s="35" t="s">
        <v>52</v>
      </c>
      <c r="E400" s="35" t="s">
        <v>53</v>
      </c>
      <c r="F400" s="35" t="s">
        <v>25</v>
      </c>
      <c r="G400" s="35" t="s">
        <v>25</v>
      </c>
      <c r="H400" s="35" t="s">
        <v>37</v>
      </c>
      <c r="I400" s="45">
        <v>44866</v>
      </c>
      <c r="J400" s="46">
        <f ca="1">EFEITO!$J$400*EFEITO!$Y$329</f>
        <v>4349.8102236776376</v>
      </c>
      <c r="K400" s="46">
        <f ca="1">EFEITO!$L$400*EFEITO!$Z$329</f>
        <v>15167.341205225126</v>
      </c>
      <c r="L400" s="46">
        <f>EFEITO!$N$400*EFEITO!$AA$329</f>
        <v>29241.303300804702</v>
      </c>
      <c r="M400" s="46">
        <f ca="1">$J$400-EFEITO!$K$400*EFEITO!$Y$400</f>
        <v>130.49430671032951</v>
      </c>
      <c r="N400" s="46">
        <f ca="1">$K$400-EFEITO!$M$400*EFEITO!$Z$400</f>
        <v>455.02023615675353</v>
      </c>
      <c r="O400" s="46">
        <f>$L$400-EFEITO!$O$400*EFEITO!$AA$400</f>
        <v>877.2390990241438</v>
      </c>
      <c r="P400" s="38"/>
      <c r="Q400" s="38"/>
      <c r="R400" s="38"/>
      <c r="S400" s="38"/>
      <c r="T400" s="38"/>
      <c r="U400" s="38"/>
      <c r="V400" s="38"/>
      <c r="W400" s="38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</row>
    <row r="401" spans="1:36" ht="11.25" customHeight="1" x14ac:dyDescent="0.2">
      <c r="A401" s="35" t="s">
        <v>59</v>
      </c>
      <c r="B401" s="35" t="s">
        <v>41</v>
      </c>
      <c r="C401" s="35" t="s">
        <v>42</v>
      </c>
      <c r="D401" s="35" t="s">
        <v>52</v>
      </c>
      <c r="E401" s="35" t="s">
        <v>53</v>
      </c>
      <c r="F401" s="35" t="s">
        <v>25</v>
      </c>
      <c r="G401" s="35" t="s">
        <v>25</v>
      </c>
      <c r="H401" s="35" t="s">
        <v>37</v>
      </c>
      <c r="I401" s="45">
        <v>44866</v>
      </c>
      <c r="J401" s="46">
        <f ca="1">EFEITO!$J$401*EFEITO!$Y$329</f>
        <v>3525.2016504686071</v>
      </c>
      <c r="K401" s="46">
        <f ca="1">EFEITO!$L$401*EFEITO!$Z$329</f>
        <v>11158.4552779844</v>
      </c>
      <c r="L401" s="46">
        <f>EFEITO!$N$401*EFEITO!$AA$329</f>
        <v>21512.522909394378</v>
      </c>
      <c r="M401" s="46">
        <f ca="1">$J$401-EFEITO!$K$401*EFEITO!$Y$401</f>
        <v>105.75604951405876</v>
      </c>
      <c r="N401" s="46">
        <f ca="1">$K$401-EFEITO!$M$401*EFEITO!$Z$401</f>
        <v>334.75365833953038</v>
      </c>
      <c r="O401" s="46">
        <f>$L$401-EFEITO!$O$401*EFEITO!$AA$401</f>
        <v>645.37568728183032</v>
      </c>
      <c r="P401" s="38"/>
      <c r="Q401" s="38"/>
      <c r="R401" s="38"/>
      <c r="S401" s="38"/>
      <c r="T401" s="38"/>
      <c r="U401" s="38"/>
      <c r="V401" s="38"/>
      <c r="W401" s="38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</row>
    <row r="402" spans="1:36" ht="11.25" customHeight="1" x14ac:dyDescent="0.2">
      <c r="A402" s="35" t="s">
        <v>21</v>
      </c>
      <c r="B402" s="35" t="s">
        <v>41</v>
      </c>
      <c r="C402" s="35" t="s">
        <v>42</v>
      </c>
      <c r="D402" s="35" t="s">
        <v>52</v>
      </c>
      <c r="E402" s="35" t="s">
        <v>53</v>
      </c>
      <c r="F402" s="35" t="s">
        <v>25</v>
      </c>
      <c r="G402" s="35" t="s">
        <v>25</v>
      </c>
      <c r="H402" s="35" t="s">
        <v>36</v>
      </c>
      <c r="I402" s="45">
        <v>44531</v>
      </c>
      <c r="J402" s="46">
        <f ca="1">EFEITO!$J$402*EFEITO!$Y$353</f>
        <v>109970.65214682656</v>
      </c>
      <c r="K402" s="46">
        <f ca="1">EFEITO!$L$402*EFEITO!$Z$353</f>
        <v>6673.6119813049872</v>
      </c>
      <c r="L402" s="46">
        <f>EFEITO!$N$402*EFEITO!$AA$353</f>
        <v>21335.796321305705</v>
      </c>
      <c r="M402" s="46">
        <f ca="1">$J$402-EFEITO!$K$402*EFEITO!$Y$402</f>
        <v>3299.119564404813</v>
      </c>
      <c r="N402" s="46">
        <f ca="1">$K$402-EFEITO!$M$402*EFEITO!$Z$402</f>
        <v>200.20835943914881</v>
      </c>
      <c r="O402" s="46">
        <f>$L$402-EFEITO!$O$402*EFEITO!$AA$402</f>
        <v>640.07388963917037</v>
      </c>
      <c r="P402" s="38"/>
      <c r="Q402" s="38"/>
      <c r="R402" s="38"/>
      <c r="S402" s="38"/>
      <c r="T402" s="38"/>
      <c r="U402" s="38"/>
      <c r="V402" s="38"/>
      <c r="W402" s="38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</row>
    <row r="403" spans="1:36" ht="11.25" customHeight="1" x14ac:dyDescent="0.2">
      <c r="A403" s="35" t="s">
        <v>28</v>
      </c>
      <c r="B403" s="35" t="s">
        <v>41</v>
      </c>
      <c r="C403" s="35" t="s">
        <v>42</v>
      </c>
      <c r="D403" s="35" t="s">
        <v>52</v>
      </c>
      <c r="E403" s="35" t="s">
        <v>53</v>
      </c>
      <c r="F403" s="35" t="s">
        <v>25</v>
      </c>
      <c r="G403" s="35" t="s">
        <v>25</v>
      </c>
      <c r="H403" s="35" t="s">
        <v>36</v>
      </c>
      <c r="I403" s="45">
        <v>44531</v>
      </c>
      <c r="J403" s="46">
        <f ca="1">EFEITO!$J$403*EFEITO!$Y$353</f>
        <v>5349.3148765737442</v>
      </c>
      <c r="K403" s="46">
        <f ca="1">EFEITO!$L$403*EFEITO!$Z$353</f>
        <v>520.87612975749562</v>
      </c>
      <c r="L403" s="46">
        <f>EFEITO!$N$403*EFEITO!$AA$353</f>
        <v>1665.2611875350269</v>
      </c>
      <c r="M403" s="46">
        <f ca="1">$J$403-EFEITO!$K$403*EFEITO!$Y$403</f>
        <v>160.47944629721223</v>
      </c>
      <c r="N403" s="46">
        <f ca="1">$K$403-EFEITO!$M$403*EFEITO!$Z$403</f>
        <v>15.626283892724814</v>
      </c>
      <c r="O403" s="46">
        <f>$L$403-EFEITO!$O$403*EFEITO!$AA$403</f>
        <v>49.957835626050837</v>
      </c>
      <c r="P403" s="38"/>
      <c r="Q403" s="38"/>
      <c r="R403" s="38"/>
      <c r="S403" s="38"/>
      <c r="T403" s="38"/>
      <c r="U403" s="38"/>
      <c r="V403" s="38"/>
      <c r="W403" s="38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</row>
    <row r="404" spans="1:36" ht="11.25" customHeight="1" x14ac:dyDescent="0.2">
      <c r="A404" s="35" t="s">
        <v>21</v>
      </c>
      <c r="B404" s="35" t="s">
        <v>41</v>
      </c>
      <c r="C404" s="35" t="s">
        <v>42</v>
      </c>
      <c r="D404" s="35" t="s">
        <v>52</v>
      </c>
      <c r="E404" s="35" t="s">
        <v>53</v>
      </c>
      <c r="F404" s="35" t="s">
        <v>25</v>
      </c>
      <c r="G404" s="35" t="s">
        <v>25</v>
      </c>
      <c r="H404" s="35" t="s">
        <v>36</v>
      </c>
      <c r="I404" s="45">
        <v>44562</v>
      </c>
      <c r="J404" s="46">
        <f ca="1">EFEITO!$J$404*EFEITO!$Y$353</f>
        <v>8840.4466907587139</v>
      </c>
      <c r="K404" s="46">
        <f ca="1">EFEITO!$L$404*EFEITO!$Z$353</f>
        <v>1213.9408407370904</v>
      </c>
      <c r="L404" s="46">
        <f>EFEITO!$N$404*EFEITO!$AA$353</f>
        <v>3881.0159470818512</v>
      </c>
      <c r="M404" s="46">
        <f ca="1">$J$404-EFEITO!$K$404*EFEITO!$Y$404</f>
        <v>265.21340072276143</v>
      </c>
      <c r="N404" s="46">
        <f ca="1">$K$404-EFEITO!$M$404*EFEITO!$Z$404</f>
        <v>36.418225222112824</v>
      </c>
      <c r="O404" s="46">
        <f>$L$404-EFEITO!$O$404*EFEITO!$AA$404</f>
        <v>116.43047841245561</v>
      </c>
      <c r="P404" s="38"/>
      <c r="Q404" s="38"/>
      <c r="R404" s="38"/>
      <c r="S404" s="38"/>
      <c r="T404" s="38"/>
      <c r="U404" s="38"/>
      <c r="V404" s="38"/>
      <c r="W404" s="38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</row>
    <row r="405" spans="1:36" ht="11.25" customHeight="1" x14ac:dyDescent="0.2">
      <c r="A405" s="35" t="s">
        <v>28</v>
      </c>
      <c r="B405" s="35" t="s">
        <v>41</v>
      </c>
      <c r="C405" s="35" t="s">
        <v>42</v>
      </c>
      <c r="D405" s="35" t="s">
        <v>52</v>
      </c>
      <c r="E405" s="35" t="s">
        <v>53</v>
      </c>
      <c r="F405" s="35" t="s">
        <v>25</v>
      </c>
      <c r="G405" s="35" t="s">
        <v>25</v>
      </c>
      <c r="H405" s="35" t="s">
        <v>36</v>
      </c>
      <c r="I405" s="45">
        <v>44562</v>
      </c>
      <c r="J405" s="46">
        <f ca="1">EFEITO!$J$405*EFEITO!$Y$353</f>
        <v>5011.4634106848762</v>
      </c>
      <c r="K405" s="46">
        <f ca="1">EFEITO!$L$405*EFEITO!$Z$353</f>
        <v>641.79380273691436</v>
      </c>
      <c r="L405" s="46">
        <f>EFEITO!$N$405*EFEITO!$AA$353</f>
        <v>2051.8396774985158</v>
      </c>
      <c r="M405" s="46">
        <f ca="1">$J$405-EFEITO!$K$405*EFEITO!$Y$405</f>
        <v>150.34390232054648</v>
      </c>
      <c r="N405" s="46">
        <f ca="1">$K$405-EFEITO!$M$405*EFEITO!$Z$405</f>
        <v>19.253814082107397</v>
      </c>
      <c r="O405" s="46">
        <f>$L$405-EFEITO!$O$405*EFEITO!$AA$405</f>
        <v>61.555190324955674</v>
      </c>
      <c r="P405" s="38"/>
      <c r="Q405" s="38"/>
      <c r="R405" s="38"/>
      <c r="S405" s="38"/>
      <c r="T405" s="38"/>
      <c r="U405" s="38"/>
      <c r="V405" s="38"/>
      <c r="W405" s="38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</row>
    <row r="406" spans="1:36" ht="11.25" customHeight="1" x14ac:dyDescent="0.2">
      <c r="A406" s="35" t="s">
        <v>21</v>
      </c>
      <c r="B406" s="35" t="s">
        <v>41</v>
      </c>
      <c r="C406" s="35" t="s">
        <v>42</v>
      </c>
      <c r="D406" s="35" t="s">
        <v>52</v>
      </c>
      <c r="E406" s="35" t="s">
        <v>53</v>
      </c>
      <c r="F406" s="35" t="s">
        <v>25</v>
      </c>
      <c r="G406" s="35" t="s">
        <v>25</v>
      </c>
      <c r="H406" s="35" t="s">
        <v>36</v>
      </c>
      <c r="I406" s="45">
        <v>44593</v>
      </c>
      <c r="J406" s="46">
        <f ca="1">EFEITO!$J$406*EFEITO!$Y$353</f>
        <v>8727.8295354624242</v>
      </c>
      <c r="K406" s="46">
        <f ca="1">EFEITO!$L$406*EFEITO!$Z$353</f>
        <v>1166.7534561597563</v>
      </c>
      <c r="L406" s="46">
        <f>EFEITO!$N$406*EFEITO!$AA$353</f>
        <v>3730.1560485595141</v>
      </c>
      <c r="M406" s="46">
        <f ca="1">$J$406-EFEITO!$K$406*EFEITO!$Y$406</f>
        <v>261.83488606387255</v>
      </c>
      <c r="N406" s="46">
        <f ca="1">$K$406-EFEITO!$M$406*EFEITO!$Z$406</f>
        <v>35.002603684792803</v>
      </c>
      <c r="O406" s="46">
        <f>$L$406-EFEITO!$O$406*EFEITO!$AA$406</f>
        <v>111.90468145678551</v>
      </c>
      <c r="P406" s="38"/>
      <c r="Q406" s="38"/>
      <c r="R406" s="38"/>
      <c r="S406" s="38"/>
      <c r="T406" s="38"/>
      <c r="U406" s="38"/>
      <c r="V406" s="38"/>
      <c r="W406" s="38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</row>
    <row r="407" spans="1:36" ht="11.25" customHeight="1" x14ac:dyDescent="0.2">
      <c r="A407" s="35" t="s">
        <v>28</v>
      </c>
      <c r="B407" s="35" t="s">
        <v>41</v>
      </c>
      <c r="C407" s="35" t="s">
        <v>42</v>
      </c>
      <c r="D407" s="35" t="s">
        <v>52</v>
      </c>
      <c r="E407" s="35" t="s">
        <v>53</v>
      </c>
      <c r="F407" s="35" t="s">
        <v>25</v>
      </c>
      <c r="G407" s="35" t="s">
        <v>25</v>
      </c>
      <c r="H407" s="35" t="s">
        <v>36</v>
      </c>
      <c r="I407" s="45">
        <v>44593</v>
      </c>
      <c r="J407" s="46">
        <f ca="1">EFEITO!$J$407*EFEITO!$Y$353</f>
        <v>4898.8462553885865</v>
      </c>
      <c r="K407" s="46">
        <f ca="1">EFEITO!$L$407*EFEITO!$Z$353</f>
        <v>566.47547735386183</v>
      </c>
      <c r="L407" s="46">
        <f>EFEITO!$N$407*EFEITO!$AA$353</f>
        <v>1811.0440702417084</v>
      </c>
      <c r="M407" s="46">
        <f ca="1">$J$407-EFEITO!$K$407*EFEITO!$Y$407</f>
        <v>146.96538766165759</v>
      </c>
      <c r="N407" s="46">
        <f ca="1">$K$407-EFEITO!$M$407*EFEITO!$Z$407</f>
        <v>16.994264320615912</v>
      </c>
      <c r="O407" s="46">
        <f>$L$407-EFEITO!$O$407*EFEITO!$AA$407</f>
        <v>54.331322107251253</v>
      </c>
      <c r="P407" s="38"/>
      <c r="Q407" s="38"/>
      <c r="R407" s="38"/>
      <c r="S407" s="38"/>
      <c r="T407" s="38"/>
      <c r="U407" s="38"/>
      <c r="V407" s="38"/>
      <c r="W407" s="38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</row>
    <row r="408" spans="1:36" ht="11.25" customHeight="1" x14ac:dyDescent="0.2">
      <c r="A408" s="35" t="s">
        <v>21</v>
      </c>
      <c r="B408" s="35" t="s">
        <v>41</v>
      </c>
      <c r="C408" s="35" t="s">
        <v>42</v>
      </c>
      <c r="D408" s="35" t="s">
        <v>52</v>
      </c>
      <c r="E408" s="35" t="s">
        <v>53</v>
      </c>
      <c r="F408" s="35" t="s">
        <v>25</v>
      </c>
      <c r="G408" s="35" t="s">
        <v>25</v>
      </c>
      <c r="H408" s="35" t="s">
        <v>36</v>
      </c>
      <c r="I408" s="45">
        <v>44621</v>
      </c>
      <c r="J408" s="46">
        <f ca="1">EFEITO!$J$408*EFEITO!$Y$353</f>
        <v>8558.9038025179907</v>
      </c>
      <c r="K408" s="46">
        <f ca="1">EFEITO!$L$408*EFEITO!$Z$353</f>
        <v>1281.2055500023766</v>
      </c>
      <c r="L408" s="46">
        <f>EFEITO!$N$408*EFEITO!$AA$353</f>
        <v>4096.0638312735473</v>
      </c>
      <c r="M408" s="46">
        <f ca="1">$J$408-EFEITO!$K$408*EFEITO!$Y$408</f>
        <v>256.76711407554103</v>
      </c>
      <c r="N408" s="46">
        <f ca="1">$K$408-EFEITO!$M$408*EFEITO!$Z$408</f>
        <v>38.436166500071295</v>
      </c>
      <c r="O408" s="46">
        <f>$L$408-EFEITO!$O$408*EFEITO!$AA$408</f>
        <v>122.88191493820614</v>
      </c>
      <c r="P408" s="38"/>
      <c r="Q408" s="38"/>
      <c r="R408" s="38"/>
      <c r="S408" s="38"/>
      <c r="T408" s="38"/>
      <c r="U408" s="38"/>
      <c r="V408" s="38"/>
      <c r="W408" s="38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</row>
    <row r="409" spans="1:36" ht="11.25" customHeight="1" x14ac:dyDescent="0.2">
      <c r="A409" s="35" t="s">
        <v>28</v>
      </c>
      <c r="B409" s="35" t="s">
        <v>41</v>
      </c>
      <c r="C409" s="35" t="s">
        <v>42</v>
      </c>
      <c r="D409" s="35" t="s">
        <v>52</v>
      </c>
      <c r="E409" s="35" t="s">
        <v>53</v>
      </c>
      <c r="F409" s="35" t="s">
        <v>25</v>
      </c>
      <c r="G409" s="35" t="s">
        <v>25</v>
      </c>
      <c r="H409" s="35" t="s">
        <v>36</v>
      </c>
      <c r="I409" s="45">
        <v>44621</v>
      </c>
      <c r="J409" s="46">
        <f ca="1">EFEITO!$J$409*EFEITO!$Y$353</f>
        <v>5011.4634106848762</v>
      </c>
      <c r="K409" s="46">
        <f ca="1">EFEITO!$L$409*EFEITO!$Z$353</f>
        <v>531.19837013378753</v>
      </c>
      <c r="L409" s="46">
        <f>EFEITO!$N$409*EFEITO!$AA$353</f>
        <v>1698.2617903367882</v>
      </c>
      <c r="M409" s="46">
        <f ca="1">$J$409-EFEITO!$K$409*EFEITO!$Y$409</f>
        <v>150.34390232054648</v>
      </c>
      <c r="N409" s="46">
        <f ca="1">$K$409-EFEITO!$M$409*EFEITO!$Z$409</f>
        <v>15.935951104013611</v>
      </c>
      <c r="O409" s="46">
        <f>$L$409-EFEITO!$O$409*EFEITO!$AA$409</f>
        <v>50.947853710103573</v>
      </c>
      <c r="P409" s="38"/>
      <c r="Q409" s="38"/>
      <c r="R409" s="38"/>
      <c r="S409" s="38"/>
      <c r="T409" s="38"/>
      <c r="U409" s="38"/>
      <c r="V409" s="38"/>
      <c r="W409" s="38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</row>
    <row r="410" spans="1:36" ht="11.25" customHeight="1" x14ac:dyDescent="0.2">
      <c r="A410" s="35" t="s">
        <v>21</v>
      </c>
      <c r="B410" s="35" t="s">
        <v>41</v>
      </c>
      <c r="C410" s="35" t="s">
        <v>42</v>
      </c>
      <c r="D410" s="35" t="s">
        <v>52</v>
      </c>
      <c r="E410" s="35" t="s">
        <v>53</v>
      </c>
      <c r="F410" s="35" t="s">
        <v>25</v>
      </c>
      <c r="G410" s="35" t="s">
        <v>25</v>
      </c>
      <c r="H410" s="35" t="s">
        <v>36</v>
      </c>
      <c r="I410" s="45">
        <v>44652</v>
      </c>
      <c r="J410" s="46">
        <f ca="1">EFEITO!$J$410*EFEITO!$Y$353</f>
        <v>8558.9038025179907</v>
      </c>
      <c r="K410" s="46">
        <f ca="1">EFEITO!$L$410*EFEITO!$Z$353</f>
        <v>1153.2551418215285</v>
      </c>
      <c r="L410" s="46">
        <f>EFEITO!$N$410*EFEITO!$AA$353</f>
        <v>3687.0014141264419</v>
      </c>
      <c r="M410" s="46">
        <f ca="1">$J$410-EFEITO!$K$410*EFEITO!$Y$410</f>
        <v>256.76711407554103</v>
      </c>
      <c r="N410" s="46">
        <f ca="1">$K$410-EFEITO!$M$410*EFEITO!$Z$410</f>
        <v>34.597654254645931</v>
      </c>
      <c r="O410" s="46">
        <f>$L$410-EFEITO!$O$410*EFEITO!$AA$410</f>
        <v>110.6100424237934</v>
      </c>
      <c r="P410" s="38"/>
      <c r="Q410" s="38"/>
      <c r="R410" s="38"/>
      <c r="S410" s="38"/>
      <c r="T410" s="38"/>
      <c r="U410" s="38"/>
      <c r="V410" s="38"/>
      <c r="W410" s="38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</row>
    <row r="411" spans="1:36" ht="11.25" customHeight="1" x14ac:dyDescent="0.2">
      <c r="A411" s="35" t="s">
        <v>28</v>
      </c>
      <c r="B411" s="35" t="s">
        <v>41</v>
      </c>
      <c r="C411" s="35" t="s">
        <v>42</v>
      </c>
      <c r="D411" s="35" t="s">
        <v>52</v>
      </c>
      <c r="E411" s="35" t="s">
        <v>53</v>
      </c>
      <c r="F411" s="35" t="s">
        <v>25</v>
      </c>
      <c r="G411" s="35" t="s">
        <v>25</v>
      </c>
      <c r="H411" s="35" t="s">
        <v>36</v>
      </c>
      <c r="I411" s="45">
        <v>44652</v>
      </c>
      <c r="J411" s="46">
        <f ca="1">EFEITO!$J$411*EFEITO!$Y$353</f>
        <v>5067.771988333021</v>
      </c>
      <c r="K411" s="46">
        <f ca="1">EFEITO!$L$411*EFEITO!$Z$353</f>
        <v>603.45405276783038</v>
      </c>
      <c r="L411" s="46">
        <f>EFEITO!$N$411*EFEITO!$AA$353</f>
        <v>1929.2660099491168</v>
      </c>
      <c r="M411" s="46">
        <f ca="1">$J$411-EFEITO!$K$411*EFEITO!$Y$411</f>
        <v>152.03315964999092</v>
      </c>
      <c r="N411" s="46">
        <f ca="1">$K$411-EFEITO!$M$411*EFEITO!$Z$411</f>
        <v>18.103621583034851</v>
      </c>
      <c r="O411" s="46">
        <f>$L$411-EFEITO!$O$411*EFEITO!$AA$411</f>
        <v>57.877980298473403</v>
      </c>
      <c r="P411" s="38"/>
      <c r="Q411" s="38"/>
      <c r="R411" s="38"/>
      <c r="S411" s="38"/>
      <c r="T411" s="38"/>
      <c r="U411" s="38"/>
      <c r="V411" s="38"/>
      <c r="W411" s="38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</row>
    <row r="412" spans="1:36" ht="11.25" customHeight="1" x14ac:dyDescent="0.2">
      <c r="A412" s="35" t="s">
        <v>21</v>
      </c>
      <c r="B412" s="35" t="s">
        <v>41</v>
      </c>
      <c r="C412" s="35" t="s">
        <v>42</v>
      </c>
      <c r="D412" s="35" t="s">
        <v>52</v>
      </c>
      <c r="E412" s="35" t="s">
        <v>53</v>
      </c>
      <c r="F412" s="35" t="s">
        <v>25</v>
      </c>
      <c r="G412" s="35" t="s">
        <v>25</v>
      </c>
      <c r="H412" s="35" t="s">
        <v>36</v>
      </c>
      <c r="I412" s="45">
        <v>44682</v>
      </c>
      <c r="J412" s="46">
        <f ca="1">EFEITO!$J$412*EFEITO!$Y$353</f>
        <v>8896.7552684068596</v>
      </c>
      <c r="K412" s="46">
        <f ca="1">EFEITO!$L$412*EFEITO!$Z$353</f>
        <v>1241.0509006264722</v>
      </c>
      <c r="L412" s="46">
        <f>EFEITO!$N$412*EFEITO!$AA$353</f>
        <v>3967.6878599348288</v>
      </c>
      <c r="M412" s="46">
        <f ca="1">$J$412-EFEITO!$K$412*EFEITO!$Y$412</f>
        <v>266.9026580522077</v>
      </c>
      <c r="N412" s="46">
        <f ca="1">$K$412-EFEITO!$M$412*EFEITO!$Z$412</f>
        <v>37.23152701879394</v>
      </c>
      <c r="O412" s="46">
        <f>$L$412-EFEITO!$O$412*EFEITO!$AA$412</f>
        <v>119.03063579804484</v>
      </c>
      <c r="P412" s="38"/>
      <c r="Q412" s="38"/>
      <c r="R412" s="38"/>
      <c r="S412" s="38"/>
      <c r="T412" s="38"/>
      <c r="U412" s="38"/>
      <c r="V412" s="38"/>
      <c r="W412" s="38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</row>
    <row r="413" spans="1:36" ht="11.25" customHeight="1" x14ac:dyDescent="0.2">
      <c r="A413" s="35" t="s">
        <v>28</v>
      </c>
      <c r="B413" s="35" t="s">
        <v>41</v>
      </c>
      <c r="C413" s="35" t="s">
        <v>42</v>
      </c>
      <c r="D413" s="35" t="s">
        <v>52</v>
      </c>
      <c r="E413" s="35" t="s">
        <v>53</v>
      </c>
      <c r="F413" s="35" t="s">
        <v>25</v>
      </c>
      <c r="G413" s="35" t="s">
        <v>25</v>
      </c>
      <c r="H413" s="35" t="s">
        <v>36</v>
      </c>
      <c r="I413" s="45">
        <v>44682</v>
      </c>
      <c r="J413" s="46">
        <f ca="1">EFEITO!$J$413*EFEITO!$Y$353</f>
        <v>5011.4634106848762</v>
      </c>
      <c r="K413" s="46">
        <f ca="1">EFEITO!$L$413*EFEITO!$Z$353</f>
        <v>391.79140944738464</v>
      </c>
      <c r="L413" s="46">
        <f>EFEITO!$N$413*EFEITO!$AA$353</f>
        <v>1252.5723305195959</v>
      </c>
      <c r="M413" s="46">
        <f ca="1">$J$413-EFEITO!$K$413*EFEITO!$Y$413</f>
        <v>150.34390232054648</v>
      </c>
      <c r="N413" s="46">
        <f ca="1">$K$413-EFEITO!$M$413*EFEITO!$Z$413</f>
        <v>11.753742283421559</v>
      </c>
      <c r="O413" s="46">
        <f>$L$413-EFEITO!$O$413*EFEITO!$AA$413</f>
        <v>37.577169915588001</v>
      </c>
      <c r="P413" s="38"/>
      <c r="Q413" s="38"/>
      <c r="R413" s="38"/>
      <c r="S413" s="38"/>
      <c r="T413" s="38"/>
      <c r="U413" s="38"/>
      <c r="V413" s="38"/>
      <c r="W413" s="38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</row>
    <row r="414" spans="1:36" ht="11.25" customHeight="1" x14ac:dyDescent="0.2">
      <c r="A414" s="35" t="s">
        <v>21</v>
      </c>
      <c r="B414" s="35" t="s">
        <v>41</v>
      </c>
      <c r="C414" s="35" t="s">
        <v>42</v>
      </c>
      <c r="D414" s="35" t="s">
        <v>52</v>
      </c>
      <c r="E414" s="35" t="s">
        <v>53</v>
      </c>
      <c r="F414" s="35" t="s">
        <v>25</v>
      </c>
      <c r="G414" s="35" t="s">
        <v>25</v>
      </c>
      <c r="H414" s="35" t="s">
        <v>36</v>
      </c>
      <c r="I414" s="45">
        <v>44713</v>
      </c>
      <c r="J414" s="46">
        <f ca="1">EFEITO!$J$414*EFEITO!$Y$353</f>
        <v>8896.7552684068596</v>
      </c>
      <c r="K414" s="46">
        <f ca="1">EFEITO!$L$414*EFEITO!$Z$353</f>
        <v>1205.3200685546926</v>
      </c>
      <c r="L414" s="46">
        <f>EFEITO!$N$414*EFEITO!$AA$353</f>
        <v>3853.4550040825779</v>
      </c>
      <c r="M414" s="46">
        <f ca="1">$J$414-EFEITO!$K$414*EFEITO!$Y$414</f>
        <v>266.9026580522077</v>
      </c>
      <c r="N414" s="46">
        <f ca="1">$K$414-EFEITO!$M$414*EFEITO!$Z$414</f>
        <v>36.159602056640779</v>
      </c>
      <c r="O414" s="46">
        <f>$L$414-EFEITO!$O$414*EFEITO!$AA$414</f>
        <v>115.60365012247757</v>
      </c>
      <c r="P414" s="38"/>
      <c r="Q414" s="38"/>
      <c r="R414" s="38"/>
      <c r="S414" s="38"/>
      <c r="T414" s="38"/>
      <c r="U414" s="38"/>
      <c r="V414" s="38"/>
      <c r="W414" s="38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</row>
    <row r="415" spans="1:36" ht="11.25" customHeight="1" x14ac:dyDescent="0.2">
      <c r="A415" s="35" t="s">
        <v>28</v>
      </c>
      <c r="B415" s="35" t="s">
        <v>41</v>
      </c>
      <c r="C415" s="35" t="s">
        <v>42</v>
      </c>
      <c r="D415" s="35" t="s">
        <v>52</v>
      </c>
      <c r="E415" s="35" t="s">
        <v>53</v>
      </c>
      <c r="F415" s="35" t="s">
        <v>25</v>
      </c>
      <c r="G415" s="35" t="s">
        <v>25</v>
      </c>
      <c r="H415" s="35" t="s">
        <v>36</v>
      </c>
      <c r="I415" s="45">
        <v>44713</v>
      </c>
      <c r="J415" s="46">
        <f ca="1">EFEITO!$J$415*EFEITO!$Y$353</f>
        <v>5124.0805659811658</v>
      </c>
      <c r="K415" s="46">
        <f ca="1">EFEITO!$L$415*EFEITO!$Z$353</f>
        <v>208.37313814558354</v>
      </c>
      <c r="L415" s="46">
        <f>EFEITO!$N$415*EFEITO!$AA$353</f>
        <v>666.17700381137729</v>
      </c>
      <c r="M415" s="46">
        <f ca="1">$J$415-EFEITO!$K$415*EFEITO!$Y$415</f>
        <v>153.72241697943537</v>
      </c>
      <c r="N415" s="46">
        <f ca="1">$K$415-EFEITO!$M$415*EFEITO!$Z$415</f>
        <v>6.2511941443675028</v>
      </c>
      <c r="O415" s="46">
        <f>$L$415-EFEITO!$O$415*EFEITO!$AA$415</f>
        <v>19.985310114341246</v>
      </c>
      <c r="P415" s="38"/>
      <c r="Q415" s="38"/>
      <c r="R415" s="38"/>
      <c r="S415" s="38"/>
      <c r="T415" s="38"/>
      <c r="U415" s="38"/>
      <c r="V415" s="38"/>
      <c r="W415" s="38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</row>
    <row r="416" spans="1:36" ht="11.25" customHeight="1" x14ac:dyDescent="0.2">
      <c r="A416" s="35" t="s">
        <v>21</v>
      </c>
      <c r="B416" s="35" t="s">
        <v>41</v>
      </c>
      <c r="C416" s="35" t="s">
        <v>42</v>
      </c>
      <c r="D416" s="35" t="s">
        <v>52</v>
      </c>
      <c r="E416" s="35" t="s">
        <v>53</v>
      </c>
      <c r="F416" s="35" t="s">
        <v>25</v>
      </c>
      <c r="G416" s="35" t="s">
        <v>25</v>
      </c>
      <c r="H416" s="35" t="s">
        <v>36</v>
      </c>
      <c r="I416" s="45">
        <v>44743</v>
      </c>
      <c r="J416" s="46">
        <f ca="1">EFEITO!$J$416*EFEITO!$Y$353</f>
        <v>8727.8295354624242</v>
      </c>
      <c r="K416" s="46">
        <f ca="1">EFEITO!$L$416*EFEITO!$Z$353</f>
        <v>1250.57912251228</v>
      </c>
      <c r="L416" s="46">
        <f>EFEITO!$N$416*EFEITO!$AA$353</f>
        <v>3998.149954828762</v>
      </c>
      <c r="M416" s="46">
        <f ca="1">$J$416-EFEITO!$K$416*EFEITO!$Y$416</f>
        <v>261.83488606387255</v>
      </c>
      <c r="N416" s="46">
        <f ca="1">$K$416-EFEITO!$M$416*EFEITO!$Z$416</f>
        <v>37.51737367536839</v>
      </c>
      <c r="O416" s="46">
        <f>$L$416-EFEITO!$O$416*EFEITO!$AA$416</f>
        <v>119.94449864486296</v>
      </c>
      <c r="P416" s="38"/>
      <c r="Q416" s="38"/>
      <c r="R416" s="38"/>
      <c r="S416" s="38"/>
      <c r="T416" s="38"/>
      <c r="U416" s="38"/>
      <c r="V416" s="38"/>
      <c r="W416" s="38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</row>
    <row r="417" spans="1:36" ht="11.25" customHeight="1" x14ac:dyDescent="0.2">
      <c r="A417" s="35" t="s">
        <v>28</v>
      </c>
      <c r="B417" s="35" t="s">
        <v>41</v>
      </c>
      <c r="C417" s="35" t="s">
        <v>42</v>
      </c>
      <c r="D417" s="35" t="s">
        <v>52</v>
      </c>
      <c r="E417" s="35" t="s">
        <v>53</v>
      </c>
      <c r="F417" s="35" t="s">
        <v>25</v>
      </c>
      <c r="G417" s="35" t="s">
        <v>25</v>
      </c>
      <c r="H417" s="35" t="s">
        <v>36</v>
      </c>
      <c r="I417" s="45">
        <v>44743</v>
      </c>
      <c r="J417" s="46">
        <f ca="1">EFEITO!$J$417*EFEITO!$Y$353</f>
        <v>5180.3891436293106</v>
      </c>
      <c r="K417" s="46">
        <f ca="1">EFEITO!$L$417*EFEITO!$Z$353</f>
        <v>356.40087101438399</v>
      </c>
      <c r="L417" s="46">
        <f>EFEITO!$N$417*EFEITO!$AA$353</f>
        <v>1139.4274066278431</v>
      </c>
      <c r="M417" s="46">
        <f ca="1">$J$417-EFEITO!$K$417*EFEITO!$Y$417</f>
        <v>155.41167430887981</v>
      </c>
      <c r="N417" s="46">
        <f ca="1">$K$417-EFEITO!$M$417*EFEITO!$Z$417</f>
        <v>10.692026130431486</v>
      </c>
      <c r="O417" s="46">
        <f>$L$417-EFEITO!$O$417*EFEITO!$AA$417</f>
        <v>34.182822198835311</v>
      </c>
      <c r="P417" s="38"/>
      <c r="Q417" s="38"/>
      <c r="R417" s="38"/>
      <c r="S417" s="38"/>
      <c r="T417" s="38"/>
      <c r="U417" s="38"/>
      <c r="V417" s="38"/>
      <c r="W417" s="38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</row>
    <row r="418" spans="1:36" ht="11.25" customHeight="1" x14ac:dyDescent="0.2">
      <c r="A418" s="35" t="s">
        <v>21</v>
      </c>
      <c r="B418" s="35" t="s">
        <v>41</v>
      </c>
      <c r="C418" s="35" t="s">
        <v>42</v>
      </c>
      <c r="D418" s="35" t="s">
        <v>52</v>
      </c>
      <c r="E418" s="35" t="s">
        <v>53</v>
      </c>
      <c r="F418" s="35" t="s">
        <v>25</v>
      </c>
      <c r="G418" s="35" t="s">
        <v>25</v>
      </c>
      <c r="H418" s="35" t="s">
        <v>36</v>
      </c>
      <c r="I418" s="45">
        <v>44774</v>
      </c>
      <c r="J418" s="46">
        <f ca="1">EFEITO!$J$418*EFEITO!$Y$353</f>
        <v>9009.3724237031493</v>
      </c>
      <c r="K418" s="46">
        <f ca="1">EFEITO!$L$418*EFEITO!$Z$353</f>
        <v>1357.8850499405446</v>
      </c>
      <c r="L418" s="46">
        <f>EFEITO!$N$418*EFEITO!$AA$353</f>
        <v>4341.2111663723454</v>
      </c>
      <c r="M418" s="46">
        <f ca="1">$J$418-EFEITO!$K$418*EFEITO!$Y$418</f>
        <v>270.28117271109659</v>
      </c>
      <c r="N418" s="46">
        <f ca="1">$K$418-EFEITO!$M$418*EFEITO!$Z$418</f>
        <v>40.736551498216386</v>
      </c>
      <c r="O418" s="46">
        <f>$L$418-EFEITO!$O$418*EFEITO!$AA$418</f>
        <v>130.23633499117022</v>
      </c>
      <c r="P418" s="38"/>
      <c r="Q418" s="38"/>
      <c r="R418" s="38"/>
      <c r="S418" s="38"/>
      <c r="T418" s="38"/>
      <c r="U418" s="38"/>
      <c r="V418" s="38"/>
      <c r="W418" s="38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</row>
    <row r="419" spans="1:36" ht="11.25" customHeight="1" x14ac:dyDescent="0.2">
      <c r="A419" s="35" t="s">
        <v>28</v>
      </c>
      <c r="B419" s="35" t="s">
        <v>41</v>
      </c>
      <c r="C419" s="35" t="s">
        <v>42</v>
      </c>
      <c r="D419" s="35" t="s">
        <v>52</v>
      </c>
      <c r="E419" s="35" t="s">
        <v>53</v>
      </c>
      <c r="F419" s="35" t="s">
        <v>25</v>
      </c>
      <c r="G419" s="35" t="s">
        <v>25</v>
      </c>
      <c r="H419" s="35" t="s">
        <v>36</v>
      </c>
      <c r="I419" s="45">
        <v>44774</v>
      </c>
      <c r="J419" s="46">
        <f ca="1">EFEITO!$J$419*EFEITO!$Y$353</f>
        <v>5180.3891436293106</v>
      </c>
      <c r="K419" s="46">
        <f ca="1">EFEITO!$L$419*EFEITO!$Z$353</f>
        <v>303.31506336488314</v>
      </c>
      <c r="L419" s="46">
        <f>EFEITO!$N$419*EFEITO!$AA$353</f>
        <v>969.71002079021389</v>
      </c>
      <c r="M419" s="46">
        <f ca="1">$J$419-EFEITO!$K$419*EFEITO!$Y$419</f>
        <v>155.41167430887981</v>
      </c>
      <c r="N419" s="46">
        <f ca="1">$K$419-EFEITO!$M$419*EFEITO!$Z$419</f>
        <v>9.0994519009464625</v>
      </c>
      <c r="O419" s="46">
        <f>$L$419-EFEITO!$O$419*EFEITO!$AA$419</f>
        <v>29.091300623706388</v>
      </c>
      <c r="P419" s="38"/>
      <c r="Q419" s="38"/>
      <c r="R419" s="38"/>
      <c r="S419" s="38"/>
      <c r="T419" s="38"/>
      <c r="U419" s="38"/>
      <c r="V419" s="38"/>
      <c r="W419" s="38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</row>
    <row r="420" spans="1:36" ht="11.25" customHeight="1" x14ac:dyDescent="0.2">
      <c r="A420" s="35" t="s">
        <v>21</v>
      </c>
      <c r="B420" s="35" t="s">
        <v>41</v>
      </c>
      <c r="C420" s="35" t="s">
        <v>42</v>
      </c>
      <c r="D420" s="35" t="s">
        <v>52</v>
      </c>
      <c r="E420" s="35" t="s">
        <v>53</v>
      </c>
      <c r="F420" s="35" t="s">
        <v>25</v>
      </c>
      <c r="G420" s="35" t="s">
        <v>25</v>
      </c>
      <c r="H420" s="35" t="s">
        <v>36</v>
      </c>
      <c r="I420" s="45">
        <v>44805</v>
      </c>
      <c r="J420" s="46">
        <f ca="1">EFEITO!$J$420*EFEITO!$Y$353</f>
        <v>9009.3724237031493</v>
      </c>
      <c r="K420" s="46">
        <f ca="1">EFEITO!$L$420*EFEITO!$Z$353</f>
        <v>1292.2083776562263</v>
      </c>
      <c r="L420" s="46">
        <f>EFEITO!$N$420*EFEITO!$AA$353</f>
        <v>4131.2402979963044</v>
      </c>
      <c r="M420" s="46">
        <f ca="1">$J$420-EFEITO!$K$420*EFEITO!$Y$420</f>
        <v>270.28117271109659</v>
      </c>
      <c r="N420" s="46">
        <f ca="1">$K$420-EFEITO!$M$420*EFEITO!$Z$420</f>
        <v>38.766251329686838</v>
      </c>
      <c r="O420" s="46">
        <f>$L$420-EFEITO!$O$420*EFEITO!$AA$420</f>
        <v>123.93720893988939</v>
      </c>
      <c r="P420" s="38"/>
      <c r="Q420" s="38"/>
      <c r="R420" s="38"/>
      <c r="S420" s="38"/>
      <c r="T420" s="38"/>
      <c r="U420" s="38"/>
      <c r="V420" s="38"/>
      <c r="W420" s="38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</row>
    <row r="421" spans="1:36" ht="11.25" customHeight="1" x14ac:dyDescent="0.2">
      <c r="A421" s="35" t="s">
        <v>28</v>
      </c>
      <c r="B421" s="35" t="s">
        <v>41</v>
      </c>
      <c r="C421" s="35" t="s">
        <v>42</v>
      </c>
      <c r="D421" s="35" t="s">
        <v>52</v>
      </c>
      <c r="E421" s="35" t="s">
        <v>53</v>
      </c>
      <c r="F421" s="35" t="s">
        <v>25</v>
      </c>
      <c r="G421" s="35" t="s">
        <v>25</v>
      </c>
      <c r="H421" s="35" t="s">
        <v>36</v>
      </c>
      <c r="I421" s="45">
        <v>44805</v>
      </c>
      <c r="J421" s="46">
        <f ca="1">EFEITO!$J$421*EFEITO!$Y$353</f>
        <v>5856.0920754070467</v>
      </c>
      <c r="K421" s="46">
        <f ca="1">EFEITO!$L$421*EFEITO!$Z$353</f>
        <v>194.87482380735574</v>
      </c>
      <c r="L421" s="46">
        <f>EFEITO!$N$421*EFEITO!$AA$353</f>
        <v>623.02236937830503</v>
      </c>
      <c r="M421" s="46">
        <f ca="1">$J$421-EFEITO!$K$421*EFEITO!$Y$421</f>
        <v>175.68276226221224</v>
      </c>
      <c r="N421" s="46">
        <f ca="1">$K$421-EFEITO!$M$421*EFEITO!$Z$421</f>
        <v>5.8462447142206599</v>
      </c>
      <c r="O421" s="46">
        <f>$L$421-EFEITO!$O$421*EFEITO!$AA$421</f>
        <v>18.690671081349137</v>
      </c>
      <c r="P421" s="38"/>
      <c r="Q421" s="38"/>
      <c r="R421" s="38"/>
      <c r="S421" s="38"/>
      <c r="T421" s="38"/>
      <c r="U421" s="38"/>
      <c r="V421" s="38"/>
      <c r="W421" s="38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</row>
    <row r="422" spans="1:36" ht="11.25" customHeight="1" x14ac:dyDescent="0.2">
      <c r="A422" s="35" t="s">
        <v>21</v>
      </c>
      <c r="B422" s="35" t="s">
        <v>41</v>
      </c>
      <c r="C422" s="35" t="s">
        <v>42</v>
      </c>
      <c r="D422" s="35" t="s">
        <v>52</v>
      </c>
      <c r="E422" s="35" t="s">
        <v>53</v>
      </c>
      <c r="F422" s="35" t="s">
        <v>25</v>
      </c>
      <c r="G422" s="35" t="s">
        <v>25</v>
      </c>
      <c r="H422" s="35" t="s">
        <v>36</v>
      </c>
      <c r="I422" s="45">
        <v>44835</v>
      </c>
      <c r="J422" s="46">
        <f ca="1">EFEITO!$J$422*EFEITO!$Y$353</f>
        <v>11768.492728462237</v>
      </c>
      <c r="K422" s="46">
        <f ca="1">EFEITO!$L$422*EFEITO!$Z$353</f>
        <v>1677.7610703926653</v>
      </c>
      <c r="L422" s="46">
        <f>EFEITO!$N$422*EFEITO!$AA$353</f>
        <v>5363.8672092401102</v>
      </c>
      <c r="M422" s="46">
        <f ca="1">$J$422-EFEITO!$K$422*EFEITO!$Y$422</f>
        <v>353.0547818538671</v>
      </c>
      <c r="N422" s="46">
        <f ca="1">$K$422-EFEITO!$M$422*EFEITO!$Z$422</f>
        <v>50.332832111779908</v>
      </c>
      <c r="O422" s="46">
        <f>$L$422-EFEITO!$O$422*EFEITO!$AA$422</f>
        <v>160.9160162772032</v>
      </c>
      <c r="P422" s="38"/>
      <c r="Q422" s="38"/>
      <c r="R422" s="38"/>
      <c r="S422" s="38"/>
      <c r="T422" s="38"/>
      <c r="U422" s="38"/>
      <c r="V422" s="38"/>
      <c r="W422" s="38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</row>
    <row r="423" spans="1:36" ht="11.25" customHeight="1" x14ac:dyDescent="0.2">
      <c r="A423" s="35" t="s">
        <v>28</v>
      </c>
      <c r="B423" s="35" t="s">
        <v>41</v>
      </c>
      <c r="C423" s="35" t="s">
        <v>42</v>
      </c>
      <c r="D423" s="35" t="s">
        <v>52</v>
      </c>
      <c r="E423" s="35" t="s">
        <v>53</v>
      </c>
      <c r="F423" s="35" t="s">
        <v>25</v>
      </c>
      <c r="G423" s="35" t="s">
        <v>25</v>
      </c>
      <c r="H423" s="35" t="s">
        <v>36</v>
      </c>
      <c r="I423" s="45">
        <v>44835</v>
      </c>
      <c r="J423" s="46">
        <f ca="1">EFEITO!$J$423*EFEITO!$Y$353</f>
        <v>9178.2981566475828</v>
      </c>
      <c r="K423" s="46">
        <f ca="1">EFEITO!$L$423*EFEITO!$Z$353</f>
        <v>865.36672341461986</v>
      </c>
      <c r="L423" s="46">
        <f>EFEITO!$N$423*EFEITO!$AA$353</f>
        <v>2766.6109755454531</v>
      </c>
      <c r="M423" s="46">
        <f ca="1">$J$423-EFEITO!$K$423*EFEITO!$Y$423</f>
        <v>275.3489446994281</v>
      </c>
      <c r="N423" s="46">
        <f ca="1">$K$423-EFEITO!$M$423*EFEITO!$Z$423</f>
        <v>25.96100170243858</v>
      </c>
      <c r="O423" s="46">
        <f>$L$423-EFEITO!$O$423*EFEITO!$AA$423</f>
        <v>82.998329266363271</v>
      </c>
      <c r="P423" s="38"/>
      <c r="Q423" s="38"/>
      <c r="R423" s="38"/>
      <c r="S423" s="38"/>
      <c r="T423" s="38"/>
      <c r="U423" s="38"/>
      <c r="V423" s="38"/>
      <c r="W423" s="38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</row>
    <row r="424" spans="1:36" ht="11.25" customHeight="1" x14ac:dyDescent="0.2">
      <c r="A424" s="35" t="s">
        <v>59</v>
      </c>
      <c r="B424" s="35" t="s">
        <v>41</v>
      </c>
      <c r="C424" s="35" t="s">
        <v>42</v>
      </c>
      <c r="D424" s="35" t="s">
        <v>52</v>
      </c>
      <c r="E424" s="35" t="s">
        <v>53</v>
      </c>
      <c r="F424" s="35" t="s">
        <v>25</v>
      </c>
      <c r="G424" s="35" t="s">
        <v>25</v>
      </c>
      <c r="H424" s="35" t="s">
        <v>36</v>
      </c>
      <c r="I424" s="45">
        <v>44866</v>
      </c>
      <c r="J424" s="46">
        <f ca="1">EFEITO!$J$424*EFEITO!$Y$353</f>
        <v>11768.492728462237</v>
      </c>
      <c r="K424" s="46">
        <f ca="1">EFEITO!$L$424*EFEITO!$Z$353</f>
        <v>1677.7610703926653</v>
      </c>
      <c r="L424" s="46">
        <f>EFEITO!$N$424*EFEITO!$AA$353</f>
        <v>5363.8672092401102</v>
      </c>
      <c r="M424" s="46">
        <f ca="1">$J$424-EFEITO!$K$424*EFEITO!$Y$424</f>
        <v>353.0547818538671</v>
      </c>
      <c r="N424" s="46">
        <f ca="1">$K$424-EFEITO!$M$424*EFEITO!$Z$424</f>
        <v>50.332832111779908</v>
      </c>
      <c r="O424" s="46">
        <f>$L$424-EFEITO!$O$424*EFEITO!$AA$424</f>
        <v>160.9160162772032</v>
      </c>
      <c r="P424" s="38"/>
      <c r="Q424" s="38"/>
      <c r="R424" s="38"/>
      <c r="S424" s="38"/>
      <c r="T424" s="38"/>
      <c r="U424" s="38"/>
      <c r="V424" s="38"/>
      <c r="W424" s="38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</row>
    <row r="425" spans="1:36" ht="11.25" customHeight="1" x14ac:dyDescent="0.2">
      <c r="A425" s="35" t="s">
        <v>59</v>
      </c>
      <c r="B425" s="35" t="s">
        <v>41</v>
      </c>
      <c r="C425" s="35" t="s">
        <v>42</v>
      </c>
      <c r="D425" s="35" t="s">
        <v>52</v>
      </c>
      <c r="E425" s="35" t="s">
        <v>53</v>
      </c>
      <c r="F425" s="35" t="s">
        <v>25</v>
      </c>
      <c r="G425" s="35" t="s">
        <v>25</v>
      </c>
      <c r="H425" s="35" t="s">
        <v>36</v>
      </c>
      <c r="I425" s="45">
        <v>44866</v>
      </c>
      <c r="J425" s="46">
        <f ca="1">EFEITO!$J$425*EFEITO!$Y$353</f>
        <v>9178.2981566475828</v>
      </c>
      <c r="K425" s="46">
        <f ca="1">EFEITO!$L$425*EFEITO!$Z$353</f>
        <v>865.36672341461986</v>
      </c>
      <c r="L425" s="46">
        <f>EFEITO!$N$425*EFEITO!$AA$353</f>
        <v>2766.6109755454531</v>
      </c>
      <c r="M425" s="46">
        <f ca="1">$J$425-EFEITO!$K$425*EFEITO!$Y$425</f>
        <v>275.3489446994281</v>
      </c>
      <c r="N425" s="46">
        <f ca="1">$K$425-EFEITO!$M$425*EFEITO!$Z$425</f>
        <v>25.96100170243858</v>
      </c>
      <c r="O425" s="46">
        <f>$L$425-EFEITO!$O$425*EFEITO!$AA$425</f>
        <v>82.998329266363271</v>
      </c>
      <c r="P425" s="38"/>
      <c r="Q425" s="38"/>
      <c r="R425" s="38"/>
      <c r="S425" s="38"/>
      <c r="T425" s="38"/>
      <c r="U425" s="38"/>
      <c r="V425" s="38"/>
      <c r="W425" s="38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</row>
    <row r="426" spans="1:36" ht="11.25" customHeight="1" x14ac:dyDescent="0.2">
      <c r="A426" s="35" t="s">
        <v>21</v>
      </c>
      <c r="B426" s="35" t="s">
        <v>41</v>
      </c>
      <c r="C426" s="35" t="s">
        <v>62</v>
      </c>
      <c r="D426" s="35" t="s">
        <v>25</v>
      </c>
      <c r="E426" s="35" t="s">
        <v>25</v>
      </c>
      <c r="F426" s="35" t="s">
        <v>25</v>
      </c>
      <c r="G426" s="35" t="s">
        <v>63</v>
      </c>
      <c r="H426" s="35" t="s">
        <v>37</v>
      </c>
      <c r="I426" s="45">
        <v>44531</v>
      </c>
      <c r="J426" s="46">
        <f ca="1">EFEITO!$J$426*EFEITO!$Y$426</f>
        <v>15065.544593822769</v>
      </c>
      <c r="K426" s="46">
        <f ca="1">EFEITO!$L$426*EFEITO!$Z$426</f>
        <v>10978.692963032439</v>
      </c>
      <c r="L426" s="46">
        <f>EFEITO!$N$426*EFEITO!$AA$426</f>
        <v>0</v>
      </c>
      <c r="M426" s="46">
        <f ca="1">$J$426-EFEITO!$K$426*EFEITO!$Y$426</f>
        <v>0</v>
      </c>
      <c r="N426" s="46">
        <f ca="1">$K$426-EFEITO!$M$426*EFEITO!$Z$426</f>
        <v>0</v>
      </c>
      <c r="O426" s="46">
        <f>$L$426-EFEITO!$O$426*EFEITO!$AA$426</f>
        <v>0</v>
      </c>
      <c r="P426" s="38"/>
      <c r="Q426" s="38"/>
      <c r="R426" s="38"/>
      <c r="S426" s="38"/>
      <c r="T426" s="38"/>
      <c r="U426" s="38"/>
      <c r="V426" s="38"/>
      <c r="W426" s="38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</row>
    <row r="427" spans="1:36" ht="11.25" customHeight="1" x14ac:dyDescent="0.2">
      <c r="A427" s="35" t="s">
        <v>21</v>
      </c>
      <c r="B427" s="35" t="s">
        <v>41</v>
      </c>
      <c r="C427" s="35" t="s">
        <v>62</v>
      </c>
      <c r="D427" s="35" t="s">
        <v>25</v>
      </c>
      <c r="E427" s="35" t="s">
        <v>25</v>
      </c>
      <c r="F427" s="35" t="s">
        <v>25</v>
      </c>
      <c r="G427" s="35" t="s">
        <v>63</v>
      </c>
      <c r="H427" s="35" t="s">
        <v>37</v>
      </c>
      <c r="I427" s="45">
        <v>44562</v>
      </c>
      <c r="J427" s="46">
        <f ca="1">EFEITO!$J$427*EFEITO!$Y$427</f>
        <v>14200.813080146718</v>
      </c>
      <c r="K427" s="46">
        <f ca="1">EFEITO!$L$427*EFEITO!$Z$427</f>
        <v>12115.452880592797</v>
      </c>
      <c r="L427" s="46">
        <f>EFEITO!$N$427*EFEITO!$AA$427</f>
        <v>0</v>
      </c>
      <c r="M427" s="46">
        <f ca="1">$J$427-EFEITO!$K$427*EFEITO!$Y$427</f>
        <v>0</v>
      </c>
      <c r="N427" s="46">
        <f ca="1">$K$427-EFEITO!$M$427*EFEITO!$Z$427</f>
        <v>0</v>
      </c>
      <c r="O427" s="46">
        <f>$L$427-EFEITO!$O$427*EFEITO!$AA$427</f>
        <v>0</v>
      </c>
      <c r="P427" s="38"/>
      <c r="Q427" s="38"/>
      <c r="R427" s="38"/>
      <c r="S427" s="38"/>
      <c r="T427" s="38"/>
      <c r="U427" s="38"/>
      <c r="V427" s="38"/>
      <c r="W427" s="38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</row>
    <row r="428" spans="1:36" ht="11.25" customHeight="1" x14ac:dyDescent="0.2">
      <c r="A428" s="35" t="s">
        <v>21</v>
      </c>
      <c r="B428" s="35" t="s">
        <v>41</v>
      </c>
      <c r="C428" s="35" t="s">
        <v>62</v>
      </c>
      <c r="D428" s="35" t="s">
        <v>25</v>
      </c>
      <c r="E428" s="35" t="s">
        <v>25</v>
      </c>
      <c r="F428" s="35" t="s">
        <v>25</v>
      </c>
      <c r="G428" s="35" t="s">
        <v>63</v>
      </c>
      <c r="H428" s="35" t="s">
        <v>37</v>
      </c>
      <c r="I428" s="45">
        <v>44593</v>
      </c>
      <c r="J428" s="46">
        <f ca="1">EFEITO!$J$428*EFEITO!$Y$428</f>
        <v>15065.544593822769</v>
      </c>
      <c r="K428" s="46">
        <f ca="1">EFEITO!$L$428*EFEITO!$Z$428</f>
        <v>11896.254380854576</v>
      </c>
      <c r="L428" s="46">
        <f>EFEITO!$N$428*EFEITO!$AA$428</f>
        <v>0</v>
      </c>
      <c r="M428" s="46">
        <f ca="1">$J$428-EFEITO!$K$428*EFEITO!$Y$428</f>
        <v>0</v>
      </c>
      <c r="N428" s="46">
        <f ca="1">$K$428-EFEITO!$M$428*EFEITO!$Z$428</f>
        <v>0</v>
      </c>
      <c r="O428" s="46">
        <f>$L$428-EFEITO!$O$428*EFEITO!$AA$428</f>
        <v>0</v>
      </c>
      <c r="P428" s="38"/>
      <c r="Q428" s="38"/>
      <c r="R428" s="38"/>
      <c r="S428" s="38"/>
      <c r="T428" s="38"/>
      <c r="U428" s="38"/>
      <c r="V428" s="38"/>
      <c r="W428" s="38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</row>
    <row r="429" spans="1:36" ht="11.25" customHeight="1" x14ac:dyDescent="0.2">
      <c r="A429" s="35" t="s">
        <v>21</v>
      </c>
      <c r="B429" s="35" t="s">
        <v>41</v>
      </c>
      <c r="C429" s="35" t="s">
        <v>62</v>
      </c>
      <c r="D429" s="35" t="s">
        <v>25</v>
      </c>
      <c r="E429" s="35" t="s">
        <v>25</v>
      </c>
      <c r="F429" s="35" t="s">
        <v>25</v>
      </c>
      <c r="G429" s="35" t="s">
        <v>63</v>
      </c>
      <c r="H429" s="35" t="s">
        <v>37</v>
      </c>
      <c r="I429" s="45">
        <v>44621</v>
      </c>
      <c r="J429" s="46">
        <f ca="1">EFEITO!$J$429*EFEITO!$Y$429</f>
        <v>14412.191894600863</v>
      </c>
      <c r="K429" s="46">
        <f ca="1">EFEITO!$L$429*EFEITO!$Z$429</f>
        <v>10635.218305889985</v>
      </c>
      <c r="L429" s="46">
        <f>EFEITO!$N$429*EFEITO!$AA$429</f>
        <v>0</v>
      </c>
      <c r="M429" s="46">
        <f ca="1">$J$429-EFEITO!$K$429*EFEITO!$Y$429</f>
        <v>0</v>
      </c>
      <c r="N429" s="46">
        <f ca="1">$K$429-EFEITO!$M$429*EFEITO!$Z$429</f>
        <v>0</v>
      </c>
      <c r="O429" s="46">
        <f>$L$429-EFEITO!$O$429*EFEITO!$AA$429</f>
        <v>0</v>
      </c>
      <c r="P429" s="38"/>
      <c r="Q429" s="38"/>
      <c r="R429" s="38"/>
      <c r="S429" s="38"/>
      <c r="T429" s="38"/>
      <c r="U429" s="38"/>
      <c r="V429" s="38"/>
      <c r="W429" s="38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</row>
    <row r="430" spans="1:36" ht="11.25" customHeight="1" x14ac:dyDescent="0.2">
      <c r="A430" s="35" t="s">
        <v>21</v>
      </c>
      <c r="B430" s="35" t="s">
        <v>41</v>
      </c>
      <c r="C430" s="35" t="s">
        <v>62</v>
      </c>
      <c r="D430" s="35" t="s">
        <v>25</v>
      </c>
      <c r="E430" s="35" t="s">
        <v>25</v>
      </c>
      <c r="F430" s="35" t="s">
        <v>25</v>
      </c>
      <c r="G430" s="35" t="s">
        <v>63</v>
      </c>
      <c r="H430" s="35" t="s">
        <v>37</v>
      </c>
      <c r="I430" s="45">
        <v>44652</v>
      </c>
      <c r="J430" s="46">
        <f ca="1">EFEITO!$J$430*EFEITO!$Y$430</f>
        <v>14412.191894600863</v>
      </c>
      <c r="K430" s="46">
        <f ca="1">EFEITO!$L$430*EFEITO!$Z$430</f>
        <v>11966.757660109519</v>
      </c>
      <c r="L430" s="46">
        <f>EFEITO!$N$430*EFEITO!$AA$430</f>
        <v>0</v>
      </c>
      <c r="M430" s="46">
        <f ca="1">$J$430-EFEITO!$K$430*EFEITO!$Y$430</f>
        <v>0</v>
      </c>
      <c r="N430" s="46">
        <f ca="1">$K$430-EFEITO!$M$430*EFEITO!$Z$430</f>
        <v>0</v>
      </c>
      <c r="O430" s="46">
        <f>$L$430-EFEITO!$O$430*EFEITO!$AA$430</f>
        <v>0</v>
      </c>
      <c r="P430" s="38"/>
      <c r="Q430" s="38"/>
      <c r="R430" s="38"/>
      <c r="S430" s="38"/>
      <c r="T430" s="38"/>
      <c r="U430" s="38"/>
      <c r="V430" s="38"/>
      <c r="W430" s="38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</row>
    <row r="431" spans="1:36" ht="11.25" customHeight="1" x14ac:dyDescent="0.2">
      <c r="A431" s="35" t="s">
        <v>21</v>
      </c>
      <c r="B431" s="35" t="s">
        <v>41</v>
      </c>
      <c r="C431" s="35" t="s">
        <v>62</v>
      </c>
      <c r="D431" s="35" t="s">
        <v>25</v>
      </c>
      <c r="E431" s="35" t="s">
        <v>25</v>
      </c>
      <c r="F431" s="35" t="s">
        <v>25</v>
      </c>
      <c r="G431" s="35" t="s">
        <v>63</v>
      </c>
      <c r="H431" s="35" t="s">
        <v>37</v>
      </c>
      <c r="I431" s="45">
        <v>44682</v>
      </c>
      <c r="J431" s="46">
        <f ca="1">EFEITO!$J$431*EFEITO!$Y$431</f>
        <v>15920.667979569087</v>
      </c>
      <c r="K431" s="46">
        <f ca="1">EFEITO!$L$431*EFEITO!$Z$431</f>
        <v>11894.280480058094</v>
      </c>
      <c r="L431" s="46">
        <f>EFEITO!$N$431*EFEITO!$AA$431</f>
        <v>0</v>
      </c>
      <c r="M431" s="46">
        <f ca="1">$J$431-EFEITO!$K$431*EFEITO!$Y$431</f>
        <v>0</v>
      </c>
      <c r="N431" s="46">
        <f ca="1">$K$431-EFEITO!$M$431*EFEITO!$Z$431</f>
        <v>0</v>
      </c>
      <c r="O431" s="46">
        <f>$L$431-EFEITO!$O$431*EFEITO!$AA$431</f>
        <v>0</v>
      </c>
      <c r="P431" s="38"/>
      <c r="Q431" s="38"/>
      <c r="R431" s="38"/>
      <c r="S431" s="38"/>
      <c r="T431" s="38"/>
      <c r="U431" s="38"/>
      <c r="V431" s="38"/>
      <c r="W431" s="38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</row>
    <row r="432" spans="1:36" ht="11.25" customHeight="1" x14ac:dyDescent="0.2">
      <c r="A432" s="35" t="s">
        <v>21</v>
      </c>
      <c r="B432" s="35" t="s">
        <v>41</v>
      </c>
      <c r="C432" s="35" t="s">
        <v>62</v>
      </c>
      <c r="D432" s="35" t="s">
        <v>25</v>
      </c>
      <c r="E432" s="35" t="s">
        <v>25</v>
      </c>
      <c r="F432" s="35" t="s">
        <v>25</v>
      </c>
      <c r="G432" s="35" t="s">
        <v>63</v>
      </c>
      <c r="H432" s="35" t="s">
        <v>37</v>
      </c>
      <c r="I432" s="45">
        <v>44713</v>
      </c>
      <c r="J432" s="46">
        <f ca="1">EFEITO!$J$432*EFEITO!$Y$432</f>
        <v>14633.178836984744</v>
      </c>
      <c r="K432" s="46">
        <f ca="1">EFEITO!$L$432*EFEITO!$Z$432</f>
        <v>12051.810498461104</v>
      </c>
      <c r="L432" s="46">
        <f>EFEITO!$N$432*EFEITO!$AA$432</f>
        <v>0</v>
      </c>
      <c r="M432" s="46">
        <f ca="1">$J$432-EFEITO!$K$432*EFEITO!$Y$432</f>
        <v>0</v>
      </c>
      <c r="N432" s="46">
        <f ca="1">$K$432-EFEITO!$M$432*EFEITO!$Z$432</f>
        <v>0</v>
      </c>
      <c r="O432" s="46">
        <f>$L$432-EFEITO!$O$432*EFEITO!$AA$432</f>
        <v>0</v>
      </c>
      <c r="P432" s="38"/>
      <c r="Q432" s="38"/>
      <c r="R432" s="38"/>
      <c r="S432" s="38"/>
      <c r="T432" s="38"/>
      <c r="U432" s="38"/>
      <c r="V432" s="38"/>
      <c r="W432" s="38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</row>
    <row r="433" spans="1:36" ht="11.25" customHeight="1" x14ac:dyDescent="0.2">
      <c r="A433" s="35" t="s">
        <v>21</v>
      </c>
      <c r="B433" s="35" t="s">
        <v>41</v>
      </c>
      <c r="C433" s="35" t="s">
        <v>62</v>
      </c>
      <c r="D433" s="35" t="s">
        <v>25</v>
      </c>
      <c r="E433" s="35" t="s">
        <v>25</v>
      </c>
      <c r="F433" s="35" t="s">
        <v>25</v>
      </c>
      <c r="G433" s="35" t="s">
        <v>63</v>
      </c>
      <c r="H433" s="35" t="s">
        <v>37</v>
      </c>
      <c r="I433" s="45">
        <v>44743</v>
      </c>
      <c r="J433" s="46">
        <f ca="1">EFEITO!$J$433*EFEITO!$Y$433</f>
        <v>13989.434265692571</v>
      </c>
      <c r="K433" s="46">
        <f ca="1">EFEITO!$L$433*EFEITO!$Z$433</f>
        <v>11332.228146815021</v>
      </c>
      <c r="L433" s="46">
        <f>EFEITO!$N$433*EFEITO!$AA$433</f>
        <v>0</v>
      </c>
      <c r="M433" s="46">
        <f ca="1">$J$433-EFEITO!$K$433*EFEITO!$Y$433</f>
        <v>0</v>
      </c>
      <c r="N433" s="46">
        <f ca="1">$K$433-EFEITO!$M$433*EFEITO!$Z$433</f>
        <v>0</v>
      </c>
      <c r="O433" s="46">
        <f>$L$433-EFEITO!$O$433*EFEITO!$AA$433</f>
        <v>0</v>
      </c>
      <c r="P433" s="38"/>
      <c r="Q433" s="38"/>
      <c r="R433" s="38"/>
      <c r="S433" s="38"/>
      <c r="T433" s="38"/>
      <c r="U433" s="38"/>
      <c r="V433" s="38"/>
      <c r="W433" s="38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</row>
    <row r="434" spans="1:36" ht="11.25" customHeight="1" x14ac:dyDescent="0.2">
      <c r="A434" s="35" t="s">
        <v>21</v>
      </c>
      <c r="B434" s="35" t="s">
        <v>41</v>
      </c>
      <c r="C434" s="35" t="s">
        <v>62</v>
      </c>
      <c r="D434" s="35" t="s">
        <v>25</v>
      </c>
      <c r="E434" s="35" t="s">
        <v>25</v>
      </c>
      <c r="F434" s="35" t="s">
        <v>25</v>
      </c>
      <c r="G434" s="35" t="s">
        <v>63</v>
      </c>
      <c r="H434" s="35" t="s">
        <v>37</v>
      </c>
      <c r="I434" s="45">
        <v>44774</v>
      </c>
      <c r="J434" s="46">
        <f ca="1">EFEITO!$J$434*EFEITO!$Y$434</f>
        <v>15065.544593822769</v>
      </c>
      <c r="K434" s="46">
        <f ca="1">EFEITO!$L$434*EFEITO!$Z$434</f>
        <v>12200.41020761552</v>
      </c>
      <c r="L434" s="46">
        <f>EFEITO!$N$434*EFEITO!$AA$434</f>
        <v>0</v>
      </c>
      <c r="M434" s="46">
        <f ca="1">$J$434-EFEITO!$K$434*EFEITO!$Y$434</f>
        <v>0</v>
      </c>
      <c r="N434" s="46">
        <f ca="1">$K$434-EFEITO!$M$434*EFEITO!$Z$434</f>
        <v>0</v>
      </c>
      <c r="O434" s="46">
        <f>$L$434-EFEITO!$O$434*EFEITO!$AA$434</f>
        <v>0</v>
      </c>
      <c r="P434" s="38"/>
      <c r="Q434" s="38"/>
      <c r="R434" s="38"/>
      <c r="S434" s="38"/>
      <c r="T434" s="38"/>
      <c r="U434" s="38"/>
      <c r="V434" s="38"/>
      <c r="W434" s="38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</row>
    <row r="435" spans="1:36" ht="11.25" customHeight="1" x14ac:dyDescent="0.2">
      <c r="A435" s="35" t="s">
        <v>21</v>
      </c>
      <c r="B435" s="35" t="s">
        <v>41</v>
      </c>
      <c r="C435" s="35" t="s">
        <v>62</v>
      </c>
      <c r="D435" s="35" t="s">
        <v>25</v>
      </c>
      <c r="E435" s="35" t="s">
        <v>25</v>
      </c>
      <c r="F435" s="35" t="s">
        <v>25</v>
      </c>
      <c r="G435" s="35" t="s">
        <v>63</v>
      </c>
      <c r="H435" s="35" t="s">
        <v>37</v>
      </c>
      <c r="I435" s="45">
        <v>44805</v>
      </c>
      <c r="J435" s="46">
        <f ca="1">EFEITO!$J$435*EFEITO!$Y$435</f>
        <v>16141.654921952968</v>
      </c>
      <c r="K435" s="46">
        <f ca="1">EFEITO!$L$435*EFEITO!$Z$435</f>
        <v>12348.484604461193</v>
      </c>
      <c r="L435" s="46">
        <f>EFEITO!$N$435*EFEITO!$AA$435</f>
        <v>0</v>
      </c>
      <c r="M435" s="46">
        <f ca="1">$J$435-EFEITO!$K$435*EFEITO!$Y$435</f>
        <v>0</v>
      </c>
      <c r="N435" s="46">
        <f ca="1">$K$435-EFEITO!$M$435*EFEITO!$Z$435</f>
        <v>0</v>
      </c>
      <c r="O435" s="46">
        <f>$L$435-EFEITO!$O$435*EFEITO!$AA$435</f>
        <v>0</v>
      </c>
      <c r="P435" s="38"/>
      <c r="Q435" s="38"/>
      <c r="R435" s="38"/>
      <c r="S435" s="38"/>
      <c r="T435" s="38"/>
      <c r="U435" s="38"/>
      <c r="V435" s="38"/>
      <c r="W435" s="38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</row>
    <row r="436" spans="1:36" ht="11.25" customHeight="1" x14ac:dyDescent="0.2">
      <c r="A436" s="35" t="s">
        <v>21</v>
      </c>
      <c r="B436" s="35" t="s">
        <v>41</v>
      </c>
      <c r="C436" s="35" t="s">
        <v>62</v>
      </c>
      <c r="D436" s="35" t="s">
        <v>25</v>
      </c>
      <c r="E436" s="35" t="s">
        <v>25</v>
      </c>
      <c r="F436" s="35" t="s">
        <v>25</v>
      </c>
      <c r="G436" s="35" t="s">
        <v>63</v>
      </c>
      <c r="H436" s="35" t="s">
        <v>37</v>
      </c>
      <c r="I436" s="45">
        <v>44835</v>
      </c>
      <c r="J436" s="46">
        <f ca="1">EFEITO!$J$436*EFEITO!$Y$436</f>
        <v>17544.441599694117</v>
      </c>
      <c r="K436" s="46">
        <f ca="1">EFEITO!$L$436*EFEITO!$Z$436</f>
        <v>13180.802161274019</v>
      </c>
      <c r="L436" s="46">
        <f>EFEITO!$N$436*EFEITO!$AA$436</f>
        <v>0</v>
      </c>
      <c r="M436" s="46">
        <f ca="1">$J$436-EFEITO!$K$436*EFEITO!$Y$436</f>
        <v>0</v>
      </c>
      <c r="N436" s="46">
        <f ca="1">$K$436-EFEITO!$M$436*EFEITO!$Z$436</f>
        <v>0</v>
      </c>
      <c r="O436" s="46">
        <f>$L$436-EFEITO!$O$436*EFEITO!$AA$436</f>
        <v>0</v>
      </c>
      <c r="P436" s="38"/>
      <c r="Q436" s="38"/>
      <c r="R436" s="38"/>
      <c r="S436" s="38"/>
      <c r="T436" s="38"/>
      <c r="U436" s="38"/>
      <c r="V436" s="38"/>
      <c r="W436" s="38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</row>
    <row r="437" spans="1:36" ht="11.25" customHeight="1" x14ac:dyDescent="0.2">
      <c r="A437" s="35" t="s">
        <v>59</v>
      </c>
      <c r="B437" s="35" t="s">
        <v>41</v>
      </c>
      <c r="C437" s="35" t="s">
        <v>62</v>
      </c>
      <c r="D437" s="35" t="s">
        <v>25</v>
      </c>
      <c r="E437" s="35" t="s">
        <v>25</v>
      </c>
      <c r="F437" s="35" t="s">
        <v>25</v>
      </c>
      <c r="G437" s="35" t="s">
        <v>63</v>
      </c>
      <c r="H437" s="35" t="s">
        <v>37</v>
      </c>
      <c r="I437" s="45">
        <v>44866</v>
      </c>
      <c r="J437" s="46">
        <f ca="1">EFEITO!$J$437*EFEITO!$Y$437</f>
        <v>17544.441599694117</v>
      </c>
      <c r="K437" s="46">
        <f ca="1">EFEITO!$L$437*EFEITO!$Z$437</f>
        <v>13180.802161274019</v>
      </c>
      <c r="L437" s="46">
        <f>EFEITO!$N$437*EFEITO!$AA$437</f>
        <v>0</v>
      </c>
      <c r="M437" s="46">
        <f ca="1">$J$437-EFEITO!$K$437*EFEITO!$Y$437</f>
        <v>0</v>
      </c>
      <c r="N437" s="46">
        <f ca="1">$K$437-EFEITO!$M$437*EFEITO!$Z$437</f>
        <v>0</v>
      </c>
      <c r="O437" s="46">
        <f>$L$437-EFEITO!$O$437*EFEITO!$AA$437</f>
        <v>0</v>
      </c>
      <c r="P437" s="38"/>
      <c r="Q437" s="38"/>
      <c r="R437" s="38"/>
      <c r="S437" s="38"/>
      <c r="T437" s="38"/>
      <c r="U437" s="38"/>
      <c r="V437" s="38"/>
      <c r="W437" s="38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</row>
    <row r="438" spans="1:36" ht="11.25" customHeight="1" x14ac:dyDescent="0.2">
      <c r="A438" s="35" t="s">
        <v>21</v>
      </c>
      <c r="B438" s="35" t="s">
        <v>41</v>
      </c>
      <c r="C438" s="35" t="s">
        <v>62</v>
      </c>
      <c r="D438" s="35" t="s">
        <v>25</v>
      </c>
      <c r="E438" s="35" t="s">
        <v>25</v>
      </c>
      <c r="F438" s="35" t="s">
        <v>25</v>
      </c>
      <c r="G438" s="35" t="s">
        <v>63</v>
      </c>
      <c r="H438" s="35" t="s">
        <v>25</v>
      </c>
      <c r="I438" s="45">
        <v>44531</v>
      </c>
      <c r="J438" s="46">
        <f ca="1">EFEITO!$J$438*EFEITO!$Y$438</f>
        <v>0</v>
      </c>
      <c r="K438" s="46">
        <f ca="1">EFEITO!$L$438*EFEITO!$Z$438</f>
        <v>0</v>
      </c>
      <c r="L438" s="46">
        <f>EFEITO!$N$438*EFEITO!$AA$438</f>
        <v>168237.36066440123</v>
      </c>
      <c r="M438" s="46">
        <f ca="1">$J$438-EFEITO!$K$438*EFEITO!$Y$438</f>
        <v>0</v>
      </c>
      <c r="N438" s="46">
        <f ca="1">$K$438-EFEITO!$M$438*EFEITO!$Z$438</f>
        <v>0</v>
      </c>
      <c r="O438" s="46">
        <f>$L$438-EFEITO!$O$438*EFEITO!$AA$438</f>
        <v>0</v>
      </c>
      <c r="P438" s="38"/>
      <c r="Q438" s="38"/>
      <c r="R438" s="38"/>
      <c r="S438" s="38"/>
      <c r="T438" s="38"/>
      <c r="U438" s="38"/>
      <c r="V438" s="38"/>
      <c r="W438" s="38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</row>
    <row r="439" spans="1:36" ht="11.25" customHeight="1" x14ac:dyDescent="0.2">
      <c r="A439" s="35" t="s">
        <v>21</v>
      </c>
      <c r="B439" s="35" t="s">
        <v>41</v>
      </c>
      <c r="C439" s="35" t="s">
        <v>62</v>
      </c>
      <c r="D439" s="35" t="s">
        <v>25</v>
      </c>
      <c r="E439" s="35" t="s">
        <v>25</v>
      </c>
      <c r="F439" s="35" t="s">
        <v>25</v>
      </c>
      <c r="G439" s="35" t="s">
        <v>63</v>
      </c>
      <c r="H439" s="35" t="s">
        <v>25</v>
      </c>
      <c r="I439" s="45">
        <v>44562</v>
      </c>
      <c r="J439" s="46">
        <f ca="1">EFEITO!$J$439*EFEITO!$Y$439</f>
        <v>0</v>
      </c>
      <c r="K439" s="46">
        <f ca="1">EFEITO!$L$439*EFEITO!$Z$439</f>
        <v>0</v>
      </c>
      <c r="L439" s="46">
        <f>EFEITO!$N$439*EFEITO!$AA$439</f>
        <v>187452.6618667201</v>
      </c>
      <c r="M439" s="46">
        <f ca="1">$J$439-EFEITO!$K$439*EFEITO!$Y$439</f>
        <v>0</v>
      </c>
      <c r="N439" s="46">
        <f ca="1">$K$439-EFEITO!$M$439*EFEITO!$Z$439</f>
        <v>0</v>
      </c>
      <c r="O439" s="46">
        <f>$L$439-EFEITO!$O$439*EFEITO!$AA$439</f>
        <v>0</v>
      </c>
      <c r="P439" s="38"/>
      <c r="Q439" s="38"/>
      <c r="R439" s="38"/>
      <c r="S439" s="38"/>
      <c r="T439" s="38"/>
      <c r="U439" s="38"/>
      <c r="V439" s="38"/>
      <c r="W439" s="38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</row>
    <row r="440" spans="1:36" ht="11.25" customHeight="1" x14ac:dyDescent="0.2">
      <c r="A440" s="35" t="s">
        <v>21</v>
      </c>
      <c r="B440" s="35" t="s">
        <v>41</v>
      </c>
      <c r="C440" s="35" t="s">
        <v>62</v>
      </c>
      <c r="D440" s="35" t="s">
        <v>25</v>
      </c>
      <c r="E440" s="35" t="s">
        <v>25</v>
      </c>
      <c r="F440" s="35" t="s">
        <v>25</v>
      </c>
      <c r="G440" s="35" t="s">
        <v>63</v>
      </c>
      <c r="H440" s="35" t="s">
        <v>25</v>
      </c>
      <c r="I440" s="45">
        <v>44593</v>
      </c>
      <c r="J440" s="46">
        <f ca="1">EFEITO!$J$440*EFEITO!$Y$440</f>
        <v>0</v>
      </c>
      <c r="K440" s="46">
        <f ca="1">EFEITO!$L$440*EFEITO!$Z$440</f>
        <v>0</v>
      </c>
      <c r="L440" s="46">
        <f>EFEITO!$N$440*EFEITO!$AA$440</f>
        <v>182967.63698351421</v>
      </c>
      <c r="M440" s="46">
        <f ca="1">$J$440-EFEITO!$K$440*EFEITO!$Y$440</f>
        <v>0</v>
      </c>
      <c r="N440" s="46">
        <f ca="1">$K$440-EFEITO!$M$440*EFEITO!$Z$440</f>
        <v>0</v>
      </c>
      <c r="O440" s="46">
        <f>$L$440-EFEITO!$O$440*EFEITO!$AA$440</f>
        <v>0</v>
      </c>
      <c r="P440" s="38"/>
      <c r="Q440" s="38"/>
      <c r="R440" s="38"/>
      <c r="S440" s="38"/>
      <c r="T440" s="38"/>
      <c r="U440" s="38"/>
      <c r="V440" s="38"/>
      <c r="W440" s="38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</row>
    <row r="441" spans="1:36" ht="11.25" customHeight="1" x14ac:dyDescent="0.2">
      <c r="A441" s="35" t="s">
        <v>21</v>
      </c>
      <c r="B441" s="35" t="s">
        <v>41</v>
      </c>
      <c r="C441" s="35" t="s">
        <v>62</v>
      </c>
      <c r="D441" s="35" t="s">
        <v>25</v>
      </c>
      <c r="E441" s="35" t="s">
        <v>25</v>
      </c>
      <c r="F441" s="35" t="s">
        <v>25</v>
      </c>
      <c r="G441" s="35" t="s">
        <v>63</v>
      </c>
      <c r="H441" s="35" t="s">
        <v>25</v>
      </c>
      <c r="I441" s="45">
        <v>44621</v>
      </c>
      <c r="J441" s="46">
        <f ca="1">EFEITO!$J$441*EFEITO!$Y$441</f>
        <v>0</v>
      </c>
      <c r="K441" s="46">
        <f ca="1">EFEITO!$L$441*EFEITO!$Z$441</f>
        <v>0</v>
      </c>
      <c r="L441" s="46">
        <f>EFEITO!$N$441*EFEITO!$AA$441</f>
        <v>164302.66045605359</v>
      </c>
      <c r="M441" s="46">
        <f ca="1">$J$441-EFEITO!$K$441*EFEITO!$Y$441</f>
        <v>0</v>
      </c>
      <c r="N441" s="46">
        <f ca="1">$K$441-EFEITO!$M$441*EFEITO!$Z$441</f>
        <v>0</v>
      </c>
      <c r="O441" s="46">
        <f>$L$441-EFEITO!$O$441*EFEITO!$AA$441</f>
        <v>0</v>
      </c>
      <c r="P441" s="38"/>
      <c r="Q441" s="38"/>
      <c r="R441" s="38"/>
      <c r="S441" s="38"/>
      <c r="T441" s="38"/>
      <c r="U441" s="38"/>
      <c r="V441" s="38"/>
      <c r="W441" s="38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</row>
    <row r="442" spans="1:36" ht="11.25" customHeight="1" x14ac:dyDescent="0.2">
      <c r="A442" s="35" t="s">
        <v>21</v>
      </c>
      <c r="B442" s="35" t="s">
        <v>41</v>
      </c>
      <c r="C442" s="35" t="s">
        <v>62</v>
      </c>
      <c r="D442" s="35" t="s">
        <v>25</v>
      </c>
      <c r="E442" s="35" t="s">
        <v>25</v>
      </c>
      <c r="F442" s="35" t="s">
        <v>25</v>
      </c>
      <c r="G442" s="35" t="s">
        <v>63</v>
      </c>
      <c r="H442" s="35" t="s">
        <v>25</v>
      </c>
      <c r="I442" s="45">
        <v>44652</v>
      </c>
      <c r="J442" s="46">
        <f ca="1">EFEITO!$J$442*EFEITO!$Y$442</f>
        <v>0</v>
      </c>
      <c r="K442" s="46">
        <f ca="1">EFEITO!$L$442*EFEITO!$Z$442</f>
        <v>0</v>
      </c>
      <c r="L442" s="46">
        <f>EFEITO!$N$442*EFEITO!$AA$442</f>
        <v>184316.67075796647</v>
      </c>
      <c r="M442" s="46">
        <f ca="1">$J$442-EFEITO!$K$442*EFEITO!$Y$442</f>
        <v>0</v>
      </c>
      <c r="N442" s="46">
        <f ca="1">$K$442-EFEITO!$M$442*EFEITO!$Z$442</f>
        <v>0</v>
      </c>
      <c r="O442" s="46">
        <f>$L$442-EFEITO!$O$442*EFEITO!$AA$442</f>
        <v>0</v>
      </c>
      <c r="P442" s="38"/>
      <c r="Q442" s="38"/>
      <c r="R442" s="38"/>
      <c r="S442" s="38"/>
      <c r="T442" s="38"/>
      <c r="U442" s="38"/>
      <c r="V442" s="38"/>
      <c r="W442" s="38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</row>
    <row r="443" spans="1:36" ht="11.25" customHeight="1" x14ac:dyDescent="0.2">
      <c r="A443" s="35" t="s">
        <v>21</v>
      </c>
      <c r="B443" s="35" t="s">
        <v>41</v>
      </c>
      <c r="C443" s="35" t="s">
        <v>62</v>
      </c>
      <c r="D443" s="35" t="s">
        <v>25</v>
      </c>
      <c r="E443" s="35" t="s">
        <v>25</v>
      </c>
      <c r="F443" s="35" t="s">
        <v>25</v>
      </c>
      <c r="G443" s="35" t="s">
        <v>63</v>
      </c>
      <c r="H443" s="35" t="s">
        <v>25</v>
      </c>
      <c r="I443" s="45">
        <v>44682</v>
      </c>
      <c r="J443" s="46">
        <f ca="1">EFEITO!$J$443*EFEITO!$Y$443</f>
        <v>0</v>
      </c>
      <c r="K443" s="46">
        <f ca="1">EFEITO!$L$443*EFEITO!$Z$443</f>
        <v>0</v>
      </c>
      <c r="L443" s="46">
        <f>EFEITO!$N$443*EFEITO!$AA$443</f>
        <v>181528.46192271155</v>
      </c>
      <c r="M443" s="46">
        <f ca="1">$J$443-EFEITO!$K$443*EFEITO!$Y$443</f>
        <v>0</v>
      </c>
      <c r="N443" s="46">
        <f ca="1">$K$443-EFEITO!$M$443*EFEITO!$Z$443</f>
        <v>0</v>
      </c>
      <c r="O443" s="46">
        <f>$L$443-EFEITO!$O$443*EFEITO!$AA$443</f>
        <v>0</v>
      </c>
      <c r="P443" s="38"/>
      <c r="Q443" s="38"/>
      <c r="R443" s="38"/>
      <c r="S443" s="38"/>
      <c r="T443" s="38"/>
      <c r="U443" s="38"/>
      <c r="V443" s="38"/>
      <c r="W443" s="38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</row>
    <row r="444" spans="1:36" ht="11.25" customHeight="1" x14ac:dyDescent="0.2">
      <c r="A444" s="35" t="s">
        <v>21</v>
      </c>
      <c r="B444" s="35" t="s">
        <v>41</v>
      </c>
      <c r="C444" s="35" t="s">
        <v>62</v>
      </c>
      <c r="D444" s="35" t="s">
        <v>25</v>
      </c>
      <c r="E444" s="35" t="s">
        <v>25</v>
      </c>
      <c r="F444" s="35" t="s">
        <v>25</v>
      </c>
      <c r="G444" s="35" t="s">
        <v>63</v>
      </c>
      <c r="H444" s="35" t="s">
        <v>25</v>
      </c>
      <c r="I444" s="45">
        <v>44713</v>
      </c>
      <c r="J444" s="46">
        <f ca="1">EFEITO!$J$444*EFEITO!$Y$444</f>
        <v>0</v>
      </c>
      <c r="K444" s="46">
        <f ca="1">EFEITO!$L$444*EFEITO!$Z$444</f>
        <v>0</v>
      </c>
      <c r="L444" s="46">
        <f>EFEITO!$N$444*EFEITO!$AA$444</f>
        <v>184979.39654783381</v>
      </c>
      <c r="M444" s="46">
        <f ca="1">$J$444-EFEITO!$K$444*EFEITO!$Y$444</f>
        <v>0</v>
      </c>
      <c r="N444" s="46">
        <f ca="1">$K$444-EFEITO!$M$444*EFEITO!$Z$444</f>
        <v>0</v>
      </c>
      <c r="O444" s="46">
        <f>$L$444-EFEITO!$O$444*EFEITO!$AA$444</f>
        <v>0</v>
      </c>
      <c r="P444" s="38"/>
      <c r="Q444" s="38"/>
      <c r="R444" s="38"/>
      <c r="S444" s="38"/>
      <c r="T444" s="38"/>
      <c r="U444" s="38"/>
      <c r="V444" s="38"/>
      <c r="W444" s="38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</row>
    <row r="445" spans="1:36" ht="11.25" customHeight="1" x14ac:dyDescent="0.2">
      <c r="A445" s="35" t="s">
        <v>21</v>
      </c>
      <c r="B445" s="35" t="s">
        <v>41</v>
      </c>
      <c r="C445" s="35" t="s">
        <v>62</v>
      </c>
      <c r="D445" s="35" t="s">
        <v>25</v>
      </c>
      <c r="E445" s="35" t="s">
        <v>25</v>
      </c>
      <c r="F445" s="35" t="s">
        <v>25</v>
      </c>
      <c r="G445" s="35" t="s">
        <v>63</v>
      </c>
      <c r="H445" s="35" t="s">
        <v>25</v>
      </c>
      <c r="I445" s="45">
        <v>44743</v>
      </c>
      <c r="J445" s="46">
        <f ca="1">EFEITO!$J$445*EFEITO!$Y$445</f>
        <v>0</v>
      </c>
      <c r="K445" s="46">
        <f ca="1">EFEITO!$L$445*EFEITO!$Z$445</f>
        <v>0</v>
      </c>
      <c r="L445" s="46">
        <f>EFEITO!$N$445*EFEITO!$AA$445</f>
        <v>174536.67178045976</v>
      </c>
      <c r="M445" s="46">
        <f ca="1">$J$445-EFEITO!$K$445*EFEITO!$Y$445</f>
        <v>0</v>
      </c>
      <c r="N445" s="46">
        <f ca="1">$K$445-EFEITO!$M$445*EFEITO!$Z$445</f>
        <v>0</v>
      </c>
      <c r="O445" s="46">
        <f>$L$445-EFEITO!$O$445*EFEITO!$AA$445</f>
        <v>0</v>
      </c>
      <c r="P445" s="38"/>
      <c r="Q445" s="38"/>
      <c r="R445" s="38"/>
      <c r="S445" s="38"/>
      <c r="T445" s="38"/>
      <c r="U445" s="38"/>
      <c r="V445" s="38"/>
      <c r="W445" s="38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</row>
    <row r="446" spans="1:36" ht="11.25" customHeight="1" x14ac:dyDescent="0.2">
      <c r="A446" s="35" t="s">
        <v>21</v>
      </c>
      <c r="B446" s="35" t="s">
        <v>41</v>
      </c>
      <c r="C446" s="35" t="s">
        <v>62</v>
      </c>
      <c r="D446" s="35" t="s">
        <v>25</v>
      </c>
      <c r="E446" s="35" t="s">
        <v>25</v>
      </c>
      <c r="F446" s="35" t="s">
        <v>25</v>
      </c>
      <c r="G446" s="35" t="s">
        <v>63</v>
      </c>
      <c r="H446" s="35" t="s">
        <v>25</v>
      </c>
      <c r="I446" s="45">
        <v>44774</v>
      </c>
      <c r="J446" s="46">
        <f ca="1">EFEITO!$J$446*EFEITO!$Y$446</f>
        <v>0</v>
      </c>
      <c r="K446" s="46">
        <f ca="1">EFEITO!$L$446*EFEITO!$Z$446</f>
        <v>0</v>
      </c>
      <c r="L446" s="46">
        <f>EFEITO!$N$446*EFEITO!$AA$446</f>
        <v>188338.86752054669</v>
      </c>
      <c r="M446" s="46">
        <f ca="1">$J$446-EFEITO!$K$446*EFEITO!$Y$446</f>
        <v>0</v>
      </c>
      <c r="N446" s="46">
        <f ca="1">$K$446-EFEITO!$M$446*EFEITO!$Z$446</f>
        <v>0</v>
      </c>
      <c r="O446" s="46">
        <f>$L$446-EFEITO!$O$446*EFEITO!$AA$446</f>
        <v>0</v>
      </c>
      <c r="P446" s="38"/>
      <c r="Q446" s="38"/>
      <c r="R446" s="38"/>
      <c r="S446" s="38"/>
      <c r="T446" s="38"/>
      <c r="U446" s="38"/>
      <c r="V446" s="38"/>
      <c r="W446" s="38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</row>
    <row r="447" spans="1:36" ht="11.25" customHeight="1" x14ac:dyDescent="0.2">
      <c r="A447" s="35" t="s">
        <v>21</v>
      </c>
      <c r="B447" s="35" t="s">
        <v>41</v>
      </c>
      <c r="C447" s="35" t="s">
        <v>62</v>
      </c>
      <c r="D447" s="35" t="s">
        <v>25</v>
      </c>
      <c r="E447" s="35" t="s">
        <v>25</v>
      </c>
      <c r="F447" s="35" t="s">
        <v>25</v>
      </c>
      <c r="G447" s="35" t="s">
        <v>63</v>
      </c>
      <c r="H447" s="35" t="s">
        <v>25</v>
      </c>
      <c r="I447" s="45">
        <v>44805</v>
      </c>
      <c r="J447" s="46">
        <f ca="1">EFEITO!$J$447*EFEITO!$Y$447</f>
        <v>0</v>
      </c>
      <c r="K447" s="46">
        <f ca="1">EFEITO!$L$447*EFEITO!$Z$447</f>
        <v>0</v>
      </c>
      <c r="L447" s="46">
        <f>EFEITO!$N$447*EFEITO!$AA$447</f>
        <v>192041.49248555204</v>
      </c>
      <c r="M447" s="46">
        <f ca="1">$J$447-EFEITO!$K$447*EFEITO!$Y$447</f>
        <v>0</v>
      </c>
      <c r="N447" s="46">
        <f ca="1">$K$447-EFEITO!$M$447*EFEITO!$Z$447</f>
        <v>0</v>
      </c>
      <c r="O447" s="46">
        <f>$L$447-EFEITO!$O$447*EFEITO!$AA$447</f>
        <v>0</v>
      </c>
      <c r="P447" s="38"/>
      <c r="Q447" s="38"/>
      <c r="R447" s="38"/>
      <c r="S447" s="38"/>
      <c r="T447" s="38"/>
      <c r="U447" s="38"/>
      <c r="V447" s="38"/>
      <c r="W447" s="38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</row>
    <row r="448" spans="1:36" ht="11.25" customHeight="1" x14ac:dyDescent="0.2">
      <c r="A448" s="35" t="s">
        <v>21</v>
      </c>
      <c r="B448" s="35" t="s">
        <v>41</v>
      </c>
      <c r="C448" s="35" t="s">
        <v>62</v>
      </c>
      <c r="D448" s="35" t="s">
        <v>25</v>
      </c>
      <c r="E448" s="35" t="s">
        <v>25</v>
      </c>
      <c r="F448" s="35" t="s">
        <v>25</v>
      </c>
      <c r="G448" s="35" t="s">
        <v>63</v>
      </c>
      <c r="H448" s="35" t="s">
        <v>25</v>
      </c>
      <c r="I448" s="45">
        <v>44835</v>
      </c>
      <c r="J448" s="46">
        <f ca="1">EFEITO!$J$448*EFEITO!$Y$448</f>
        <v>0</v>
      </c>
      <c r="K448" s="46">
        <f ca="1">EFEITO!$L$448*EFEITO!$Z$448</f>
        <v>0</v>
      </c>
      <c r="L448" s="46">
        <f>EFEITO!$N$448*EFEITO!$AA$448</f>
        <v>203090.96287963199</v>
      </c>
      <c r="M448" s="46">
        <f ca="1">$J$448-EFEITO!$K$448*EFEITO!$Y$448</f>
        <v>0</v>
      </c>
      <c r="N448" s="46">
        <f ca="1">$K$448-EFEITO!$M$448*EFEITO!$Z$448</f>
        <v>0</v>
      </c>
      <c r="O448" s="46">
        <f>$L$448-EFEITO!$O$448*EFEITO!$AA$448</f>
        <v>0</v>
      </c>
      <c r="P448" s="38"/>
      <c r="Q448" s="38"/>
      <c r="R448" s="38"/>
      <c r="S448" s="38"/>
      <c r="T448" s="38"/>
      <c r="U448" s="38"/>
      <c r="V448" s="38"/>
      <c r="W448" s="38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</row>
    <row r="449" spans="1:36" ht="11.25" customHeight="1" x14ac:dyDescent="0.2">
      <c r="A449" s="35" t="s">
        <v>59</v>
      </c>
      <c r="B449" s="35" t="s">
        <v>41</v>
      </c>
      <c r="C449" s="35" t="s">
        <v>62</v>
      </c>
      <c r="D449" s="35" t="s">
        <v>25</v>
      </c>
      <c r="E449" s="35" t="s">
        <v>25</v>
      </c>
      <c r="F449" s="35" t="s">
        <v>25</v>
      </c>
      <c r="G449" s="35" t="s">
        <v>63</v>
      </c>
      <c r="H449" s="35" t="s">
        <v>25</v>
      </c>
      <c r="I449" s="45">
        <v>44866</v>
      </c>
      <c r="J449" s="46">
        <f ca="1">EFEITO!$J$449*EFEITO!$Y$449</f>
        <v>0</v>
      </c>
      <c r="K449" s="46">
        <f ca="1">EFEITO!$L$449*EFEITO!$Z$449</f>
        <v>0</v>
      </c>
      <c r="L449" s="46">
        <f>EFEITO!$N$449*EFEITO!$AA$449</f>
        <v>203090.96287963199</v>
      </c>
      <c r="M449" s="46">
        <f ca="1">$J$449-EFEITO!$K$449*EFEITO!$Y$449</f>
        <v>0</v>
      </c>
      <c r="N449" s="46">
        <f ca="1">$K$449-EFEITO!$M$449*EFEITO!$Z$449</f>
        <v>0</v>
      </c>
      <c r="O449" s="46">
        <f>$L$449-EFEITO!$O$449*EFEITO!$AA$449</f>
        <v>0</v>
      </c>
      <c r="P449" s="38"/>
      <c r="Q449" s="38"/>
      <c r="R449" s="38"/>
      <c r="S449" s="38"/>
      <c r="T449" s="38"/>
      <c r="U449" s="38"/>
      <c r="V449" s="38"/>
      <c r="W449" s="38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</row>
    <row r="450" spans="1:36" ht="11.25" customHeight="1" x14ac:dyDescent="0.2">
      <c r="A450" s="35" t="s">
        <v>21</v>
      </c>
      <c r="B450" s="35" t="s">
        <v>41</v>
      </c>
      <c r="C450" s="35" t="s">
        <v>62</v>
      </c>
      <c r="D450" s="35" t="s">
        <v>25</v>
      </c>
      <c r="E450" s="35" t="s">
        <v>25</v>
      </c>
      <c r="F450" s="35" t="s">
        <v>25</v>
      </c>
      <c r="G450" s="35" t="s">
        <v>63</v>
      </c>
      <c r="H450" s="35" t="s">
        <v>36</v>
      </c>
      <c r="I450" s="45">
        <v>44531</v>
      </c>
      <c r="J450" s="46">
        <f ca="1">EFEITO!$J$450*EFEITO!$Y$450</f>
        <v>28461.804951233124</v>
      </c>
      <c r="K450" s="46">
        <f ca="1">EFEITO!$L$450*EFEITO!$Z$450</f>
        <v>1172.6880957672684</v>
      </c>
      <c r="L450" s="46">
        <f>EFEITO!$N$450*EFEITO!$AA$450</f>
        <v>0</v>
      </c>
      <c r="M450" s="46">
        <f ca="1">$J$450-EFEITO!$K$450*EFEITO!$Y$450</f>
        <v>0</v>
      </c>
      <c r="N450" s="46">
        <f ca="1">$K$450-EFEITO!$M$450*EFEITO!$Z$450</f>
        <v>0</v>
      </c>
      <c r="O450" s="46">
        <f>$L$450-EFEITO!$O$450*EFEITO!$AA$450</f>
        <v>0</v>
      </c>
      <c r="P450" s="38"/>
      <c r="Q450" s="38"/>
      <c r="R450" s="38"/>
      <c r="S450" s="38"/>
      <c r="T450" s="38"/>
      <c r="U450" s="38"/>
      <c r="V450" s="38"/>
      <c r="W450" s="38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</row>
    <row r="451" spans="1:36" ht="11.25" customHeight="1" x14ac:dyDescent="0.2">
      <c r="A451" s="35" t="s">
        <v>21</v>
      </c>
      <c r="B451" s="35" t="s">
        <v>41</v>
      </c>
      <c r="C451" s="35" t="s">
        <v>62</v>
      </c>
      <c r="D451" s="35" t="s">
        <v>25</v>
      </c>
      <c r="E451" s="35" t="s">
        <v>25</v>
      </c>
      <c r="F451" s="35" t="s">
        <v>25</v>
      </c>
      <c r="G451" s="35" t="s">
        <v>63</v>
      </c>
      <c r="H451" s="35" t="s">
        <v>36</v>
      </c>
      <c r="I451" s="45">
        <v>44562</v>
      </c>
      <c r="J451" s="46">
        <f ca="1">EFEITO!$J$451*EFEITO!$Y$451</f>
        <v>27209.709789228778</v>
      </c>
      <c r="K451" s="46">
        <f ca="1">EFEITO!$L$451*EFEITO!$Z$451</f>
        <v>1423.8032979001978</v>
      </c>
      <c r="L451" s="46">
        <f>EFEITO!$N$451*EFEITO!$AA$451</f>
        <v>0</v>
      </c>
      <c r="M451" s="46">
        <f ca="1">$J$451-EFEITO!$K$451*EFEITO!$Y$451</f>
        <v>0</v>
      </c>
      <c r="N451" s="46">
        <f ca="1">$K$451-EFEITO!$M$451*EFEITO!$Z$451</f>
        <v>0</v>
      </c>
      <c r="O451" s="46">
        <f>$L$451-EFEITO!$O$451*EFEITO!$AA$451</f>
        <v>0</v>
      </c>
      <c r="P451" s="38"/>
      <c r="Q451" s="38"/>
      <c r="R451" s="38"/>
      <c r="S451" s="38"/>
      <c r="T451" s="38"/>
      <c r="U451" s="38"/>
      <c r="V451" s="38"/>
      <c r="W451" s="38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</row>
    <row r="452" spans="1:36" ht="11.25" customHeight="1" x14ac:dyDescent="0.2">
      <c r="A452" s="35" t="s">
        <v>21</v>
      </c>
      <c r="B452" s="35" t="s">
        <v>41</v>
      </c>
      <c r="C452" s="35" t="s">
        <v>62</v>
      </c>
      <c r="D452" s="35" t="s">
        <v>25</v>
      </c>
      <c r="E452" s="35" t="s">
        <v>25</v>
      </c>
      <c r="F452" s="35" t="s">
        <v>25</v>
      </c>
      <c r="G452" s="35" t="s">
        <v>63</v>
      </c>
      <c r="H452" s="35" t="s">
        <v>36</v>
      </c>
      <c r="I452" s="45">
        <v>44593</v>
      </c>
      <c r="J452" s="46">
        <f ca="1">EFEITO!$J$452*EFEITO!$Y$452</f>
        <v>29302.764388400221</v>
      </c>
      <c r="K452" s="46">
        <f ca="1">EFEITO!$L$452*EFEITO!$Z$452</f>
        <v>1319.0592072482373</v>
      </c>
      <c r="L452" s="46">
        <f>EFEITO!$N$452*EFEITO!$AA$452</f>
        <v>0</v>
      </c>
      <c r="M452" s="46">
        <f ca="1">$J$452-EFEITO!$K$452*EFEITO!$Y$452</f>
        <v>0</v>
      </c>
      <c r="N452" s="46">
        <f ca="1">$K$452-EFEITO!$M$452*EFEITO!$Z$452</f>
        <v>0</v>
      </c>
      <c r="O452" s="46">
        <f>$L$452-EFEITO!$O$452*EFEITO!$AA$452</f>
        <v>0</v>
      </c>
      <c r="P452" s="38"/>
      <c r="Q452" s="38"/>
      <c r="R452" s="38"/>
      <c r="S452" s="38"/>
      <c r="T452" s="38"/>
      <c r="U452" s="38"/>
      <c r="V452" s="38"/>
      <c r="W452" s="38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</row>
    <row r="453" spans="1:36" ht="11.25" customHeight="1" x14ac:dyDescent="0.2">
      <c r="A453" s="35" t="s">
        <v>21</v>
      </c>
      <c r="B453" s="35" t="s">
        <v>41</v>
      </c>
      <c r="C453" s="35" t="s">
        <v>62</v>
      </c>
      <c r="D453" s="35" t="s">
        <v>25</v>
      </c>
      <c r="E453" s="35" t="s">
        <v>25</v>
      </c>
      <c r="F453" s="35" t="s">
        <v>25</v>
      </c>
      <c r="G453" s="35" t="s">
        <v>63</v>
      </c>
      <c r="H453" s="35" t="s">
        <v>36</v>
      </c>
      <c r="I453" s="45">
        <v>44621</v>
      </c>
      <c r="J453" s="46">
        <f ca="1">EFEITO!$J$453*EFEITO!$Y$453</f>
        <v>28031.981238903274</v>
      </c>
      <c r="K453" s="46">
        <f ca="1">EFEITO!$L$453*EFEITO!$Z$453</f>
        <v>1231.9687938809309</v>
      </c>
      <c r="L453" s="46">
        <f>EFEITO!$N$453*EFEITO!$AA$453</f>
        <v>0</v>
      </c>
      <c r="M453" s="46">
        <f ca="1">$J$453-EFEITO!$K$453*EFEITO!$Y$453</f>
        <v>0</v>
      </c>
      <c r="N453" s="46">
        <f ca="1">$K$453-EFEITO!$M$453*EFEITO!$Z$453</f>
        <v>0</v>
      </c>
      <c r="O453" s="46">
        <f>$L$453-EFEITO!$O$453*EFEITO!$AA$453</f>
        <v>0</v>
      </c>
      <c r="P453" s="38"/>
      <c r="Q453" s="38"/>
      <c r="R453" s="38"/>
      <c r="S453" s="38"/>
      <c r="T453" s="38"/>
      <c r="U453" s="38"/>
      <c r="V453" s="38"/>
      <c r="W453" s="38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</row>
    <row r="454" spans="1:36" ht="11.25" customHeight="1" x14ac:dyDescent="0.2">
      <c r="A454" s="35" t="s">
        <v>21</v>
      </c>
      <c r="B454" s="35" t="s">
        <v>41</v>
      </c>
      <c r="C454" s="35" t="s">
        <v>62</v>
      </c>
      <c r="D454" s="35" t="s">
        <v>25</v>
      </c>
      <c r="E454" s="35" t="s">
        <v>25</v>
      </c>
      <c r="F454" s="35" t="s">
        <v>25</v>
      </c>
      <c r="G454" s="35" t="s">
        <v>63</v>
      </c>
      <c r="H454" s="35" t="s">
        <v>36</v>
      </c>
      <c r="I454" s="45">
        <v>44652</v>
      </c>
      <c r="J454" s="46">
        <f ca="1">EFEITO!$J$454*EFEITO!$Y$454</f>
        <v>27620.845514066026</v>
      </c>
      <c r="K454" s="46">
        <f ca="1">EFEITO!$L$454*EFEITO!$Z$454</f>
        <v>1345.9774834325024</v>
      </c>
      <c r="L454" s="46">
        <f>EFEITO!$N$454*EFEITO!$AA$454</f>
        <v>0</v>
      </c>
      <c r="M454" s="46">
        <f ca="1">$J$454-EFEITO!$K$454*EFEITO!$Y$454</f>
        <v>0</v>
      </c>
      <c r="N454" s="46">
        <f ca="1">$K$454-EFEITO!$M$454*EFEITO!$Z$454</f>
        <v>0</v>
      </c>
      <c r="O454" s="46">
        <f>$L$454-EFEITO!$O$454*EFEITO!$AA$454</f>
        <v>0</v>
      </c>
      <c r="P454" s="38"/>
      <c r="Q454" s="38"/>
      <c r="R454" s="38"/>
      <c r="S454" s="38"/>
      <c r="T454" s="38"/>
      <c r="U454" s="38"/>
      <c r="V454" s="38"/>
      <c r="W454" s="38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</row>
    <row r="455" spans="1:36" ht="11.25" customHeight="1" x14ac:dyDescent="0.2">
      <c r="A455" s="35" t="s">
        <v>21</v>
      </c>
      <c r="B455" s="35" t="s">
        <v>41</v>
      </c>
      <c r="C455" s="35" t="s">
        <v>62</v>
      </c>
      <c r="D455" s="35" t="s">
        <v>25</v>
      </c>
      <c r="E455" s="35" t="s">
        <v>25</v>
      </c>
      <c r="F455" s="35" t="s">
        <v>25</v>
      </c>
      <c r="G455" s="35" t="s">
        <v>63</v>
      </c>
      <c r="H455" s="35" t="s">
        <v>36</v>
      </c>
      <c r="I455" s="45">
        <v>44682</v>
      </c>
      <c r="J455" s="46">
        <f ca="1">EFEITO!$J$455*EFEITO!$Y$455</f>
        <v>30125.03583807472</v>
      </c>
      <c r="K455" s="46">
        <f ca="1">EFEITO!$L$455*EFEITO!$Z$455</f>
        <v>1217.0690265784635</v>
      </c>
      <c r="L455" s="46">
        <f>EFEITO!$N$455*EFEITO!$AA$455</f>
        <v>0</v>
      </c>
      <c r="M455" s="46">
        <f ca="1">$J$455-EFEITO!$K$455*EFEITO!$Y$455</f>
        <v>0</v>
      </c>
      <c r="N455" s="46">
        <f ca="1">$K$455-EFEITO!$M$455*EFEITO!$Z$455</f>
        <v>0</v>
      </c>
      <c r="O455" s="46">
        <f>$L$455-EFEITO!$O$455*EFEITO!$AA$455</f>
        <v>0</v>
      </c>
      <c r="P455" s="38"/>
      <c r="Q455" s="38"/>
      <c r="R455" s="38"/>
      <c r="S455" s="38"/>
      <c r="T455" s="38"/>
      <c r="U455" s="38"/>
      <c r="V455" s="38"/>
      <c r="W455" s="38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</row>
    <row r="456" spans="1:36" ht="11.25" customHeight="1" x14ac:dyDescent="0.2">
      <c r="A456" s="35" t="s">
        <v>21</v>
      </c>
      <c r="B456" s="35" t="s">
        <v>41</v>
      </c>
      <c r="C456" s="35" t="s">
        <v>62</v>
      </c>
      <c r="D456" s="35" t="s">
        <v>25</v>
      </c>
      <c r="E456" s="35" t="s">
        <v>25</v>
      </c>
      <c r="F456" s="35" t="s">
        <v>25</v>
      </c>
      <c r="G456" s="35" t="s">
        <v>63</v>
      </c>
      <c r="H456" s="35" t="s">
        <v>36</v>
      </c>
      <c r="I456" s="45">
        <v>44713</v>
      </c>
      <c r="J456" s="46">
        <f ca="1">EFEITO!$J$456*EFEITO!$Y$456</f>
        <v>28872.940676070371</v>
      </c>
      <c r="K456" s="46">
        <f ca="1">EFEITO!$L$456*EFEITO!$Z$456</f>
        <v>1308.8076579503856</v>
      </c>
      <c r="L456" s="46">
        <f>EFEITO!$N$456*EFEITO!$AA$456</f>
        <v>0</v>
      </c>
      <c r="M456" s="46">
        <f ca="1">$J$456-EFEITO!$K$456*EFEITO!$Y$456</f>
        <v>0</v>
      </c>
      <c r="N456" s="46">
        <f ca="1">$K$456-EFEITO!$M$456*EFEITO!$Z$456</f>
        <v>0</v>
      </c>
      <c r="O456" s="46">
        <f>$L$456-EFEITO!$O$456*EFEITO!$AA$456</f>
        <v>0</v>
      </c>
      <c r="P456" s="38"/>
      <c r="Q456" s="38"/>
      <c r="R456" s="38"/>
      <c r="S456" s="38"/>
      <c r="T456" s="38"/>
      <c r="U456" s="38"/>
      <c r="V456" s="38"/>
      <c r="W456" s="38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</row>
    <row r="457" spans="1:36" ht="11.25" customHeight="1" x14ac:dyDescent="0.2">
      <c r="A457" s="35" t="s">
        <v>21</v>
      </c>
      <c r="B457" s="35" t="s">
        <v>41</v>
      </c>
      <c r="C457" s="35" t="s">
        <v>62</v>
      </c>
      <c r="D457" s="35" t="s">
        <v>25</v>
      </c>
      <c r="E457" s="35" t="s">
        <v>25</v>
      </c>
      <c r="F457" s="35" t="s">
        <v>25</v>
      </c>
      <c r="G457" s="35" t="s">
        <v>63</v>
      </c>
      <c r="H457" s="35" t="s">
        <v>36</v>
      </c>
      <c r="I457" s="45">
        <v>44743</v>
      </c>
      <c r="J457" s="46">
        <f ca="1">EFEITO!$J$457*EFEITO!$Y$457</f>
        <v>27209.709789228778</v>
      </c>
      <c r="K457" s="46">
        <f ca="1">EFEITO!$L$457*EFEITO!$Z$457</f>
        <v>1274.1211270186805</v>
      </c>
      <c r="L457" s="46">
        <f>EFEITO!$N$457*EFEITO!$AA$457</f>
        <v>0</v>
      </c>
      <c r="M457" s="46">
        <f ca="1">$J$457-EFEITO!$K$457*EFEITO!$Y$457</f>
        <v>0</v>
      </c>
      <c r="N457" s="46">
        <f ca="1">$K$457-EFEITO!$M$457*EFEITO!$Z$457</f>
        <v>0</v>
      </c>
      <c r="O457" s="46">
        <f>$L$457-EFEITO!$O$457*EFEITO!$AA$457</f>
        <v>0</v>
      </c>
      <c r="P457" s="38"/>
      <c r="Q457" s="38"/>
      <c r="R457" s="38"/>
      <c r="S457" s="38"/>
      <c r="T457" s="38"/>
      <c r="U457" s="38"/>
      <c r="V457" s="38"/>
      <c r="W457" s="38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</row>
    <row r="458" spans="1:36" ht="11.25" customHeight="1" x14ac:dyDescent="0.2">
      <c r="A458" s="35" t="s">
        <v>21</v>
      </c>
      <c r="B458" s="35" t="s">
        <v>41</v>
      </c>
      <c r="C458" s="35" t="s">
        <v>62</v>
      </c>
      <c r="D458" s="35" t="s">
        <v>25</v>
      </c>
      <c r="E458" s="35" t="s">
        <v>25</v>
      </c>
      <c r="F458" s="35" t="s">
        <v>25</v>
      </c>
      <c r="G458" s="35" t="s">
        <v>63</v>
      </c>
      <c r="H458" s="35" t="s">
        <v>36</v>
      </c>
      <c r="I458" s="45">
        <v>44774</v>
      </c>
      <c r="J458" s="46">
        <f ca="1">EFEITO!$J$458*EFEITO!$Y$458</f>
        <v>28872.940676070371</v>
      </c>
      <c r="K458" s="46">
        <f ca="1">EFEITO!$L$458*EFEITO!$Z$458</f>
        <v>1402.8544797698055</v>
      </c>
      <c r="L458" s="46">
        <f>EFEITO!$N$458*EFEITO!$AA$458</f>
        <v>0</v>
      </c>
      <c r="M458" s="46">
        <f ca="1">$J$458-EFEITO!$K$458*EFEITO!$Y$458</f>
        <v>0</v>
      </c>
      <c r="N458" s="46">
        <f ca="1">$K$458-EFEITO!$M$458*EFEITO!$Z$458</f>
        <v>0</v>
      </c>
      <c r="O458" s="46">
        <f>$L$458-EFEITO!$O$458*EFEITO!$AA$458</f>
        <v>0</v>
      </c>
      <c r="P458" s="38"/>
      <c r="Q458" s="38"/>
      <c r="R458" s="38"/>
      <c r="S458" s="38"/>
      <c r="T458" s="38"/>
      <c r="U458" s="38"/>
      <c r="V458" s="38"/>
      <c r="W458" s="38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</row>
    <row r="459" spans="1:36" ht="11.25" customHeight="1" x14ac:dyDescent="0.2">
      <c r="A459" s="35" t="s">
        <v>21</v>
      </c>
      <c r="B459" s="35" t="s">
        <v>41</v>
      </c>
      <c r="C459" s="35" t="s">
        <v>62</v>
      </c>
      <c r="D459" s="35" t="s">
        <v>25</v>
      </c>
      <c r="E459" s="35" t="s">
        <v>25</v>
      </c>
      <c r="F459" s="35" t="s">
        <v>25</v>
      </c>
      <c r="G459" s="35" t="s">
        <v>63</v>
      </c>
      <c r="H459" s="35" t="s">
        <v>36</v>
      </c>
      <c r="I459" s="45">
        <v>44805</v>
      </c>
      <c r="J459" s="46">
        <f ca="1">EFEITO!$J$459*EFEITO!$Y$459</f>
        <v>30760.427412823192</v>
      </c>
      <c r="K459" s="46">
        <f ca="1">EFEITO!$L$459*EFEITO!$Z$459</f>
        <v>1522.2118037376474</v>
      </c>
      <c r="L459" s="46">
        <f>EFEITO!$N$459*EFEITO!$AA$459</f>
        <v>0</v>
      </c>
      <c r="M459" s="46">
        <f ca="1">$J$459-EFEITO!$K$459*EFEITO!$Y$459</f>
        <v>0</v>
      </c>
      <c r="N459" s="46">
        <f ca="1">$K$459-EFEITO!$M$459*EFEITO!$Z$459</f>
        <v>0</v>
      </c>
      <c r="O459" s="46">
        <f>$L$459-EFEITO!$O$459*EFEITO!$AA$459</f>
        <v>0</v>
      </c>
      <c r="P459" s="38"/>
      <c r="Q459" s="38"/>
      <c r="R459" s="38"/>
      <c r="S459" s="38"/>
      <c r="T459" s="38"/>
      <c r="U459" s="38"/>
      <c r="V459" s="38"/>
      <c r="W459" s="38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</row>
    <row r="460" spans="1:36" ht="11.25" customHeight="1" x14ac:dyDescent="0.2">
      <c r="A460" s="35" t="s">
        <v>21</v>
      </c>
      <c r="B460" s="35" t="s">
        <v>41</v>
      </c>
      <c r="C460" s="35" t="s">
        <v>62</v>
      </c>
      <c r="D460" s="35" t="s">
        <v>25</v>
      </c>
      <c r="E460" s="35" t="s">
        <v>25</v>
      </c>
      <c r="F460" s="35" t="s">
        <v>25</v>
      </c>
      <c r="G460" s="35" t="s">
        <v>63</v>
      </c>
      <c r="H460" s="35" t="s">
        <v>36</v>
      </c>
      <c r="I460" s="45">
        <v>44835</v>
      </c>
      <c r="J460" s="46">
        <f ca="1">EFEITO!$J$460*EFEITO!$Y$460</f>
        <v>34105.577173998987</v>
      </c>
      <c r="K460" s="46">
        <f ca="1">EFEITO!$L$460*EFEITO!$Z$460</f>
        <v>1487.9550737858208</v>
      </c>
      <c r="L460" s="46">
        <f>EFEITO!$N$460*EFEITO!$AA$460</f>
        <v>0</v>
      </c>
      <c r="M460" s="46">
        <f ca="1">$J$460-EFEITO!$K$460*EFEITO!$Y$460</f>
        <v>0</v>
      </c>
      <c r="N460" s="46">
        <f ca="1">$K$460-EFEITO!$M$460*EFEITO!$Z$460</f>
        <v>0</v>
      </c>
      <c r="O460" s="46">
        <f>$L$460-EFEITO!$O$460*EFEITO!$AA$460</f>
        <v>0</v>
      </c>
      <c r="P460" s="38"/>
      <c r="Q460" s="38"/>
      <c r="R460" s="38"/>
      <c r="S460" s="38"/>
      <c r="T460" s="38"/>
      <c r="U460" s="38"/>
      <c r="V460" s="38"/>
      <c r="W460" s="38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</row>
    <row r="461" spans="1:36" ht="11.25" customHeight="1" x14ac:dyDescent="0.2">
      <c r="A461" s="35" t="s">
        <v>59</v>
      </c>
      <c r="B461" s="35" t="s">
        <v>41</v>
      </c>
      <c r="C461" s="35" t="s">
        <v>62</v>
      </c>
      <c r="D461" s="35" t="s">
        <v>25</v>
      </c>
      <c r="E461" s="35" t="s">
        <v>25</v>
      </c>
      <c r="F461" s="35" t="s">
        <v>25</v>
      </c>
      <c r="G461" s="35" t="s">
        <v>63</v>
      </c>
      <c r="H461" s="35" t="s">
        <v>36</v>
      </c>
      <c r="I461" s="45">
        <v>44866</v>
      </c>
      <c r="J461" s="46">
        <f ca="1">EFEITO!$J$461*EFEITO!$Y$461</f>
        <v>34105.577173998987</v>
      </c>
      <c r="K461" s="46">
        <f ca="1">EFEITO!$L$461*EFEITO!$Z$461</f>
        <v>1487.9550737858208</v>
      </c>
      <c r="L461" s="46">
        <f>EFEITO!$N$461*EFEITO!$AA$461</f>
        <v>0</v>
      </c>
      <c r="M461" s="46">
        <f ca="1">$J$461-EFEITO!$K$461*EFEITO!$Y$461</f>
        <v>0</v>
      </c>
      <c r="N461" s="46">
        <f ca="1">$K$461-EFEITO!$M$461*EFEITO!$Z$461</f>
        <v>0</v>
      </c>
      <c r="O461" s="46">
        <f>$L$461-EFEITO!$O$461*EFEITO!$AA$461</f>
        <v>0</v>
      </c>
      <c r="P461" s="38"/>
      <c r="Q461" s="38"/>
      <c r="R461" s="38"/>
      <c r="S461" s="38"/>
      <c r="T461" s="38"/>
      <c r="U461" s="38"/>
      <c r="V461" s="38"/>
      <c r="W461" s="38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</row>
    <row r="462" spans="1:36" ht="11.25" customHeight="1" x14ac:dyDescent="0.2">
      <c r="A462" s="35" t="s">
        <v>21</v>
      </c>
      <c r="B462" s="35" t="s">
        <v>41</v>
      </c>
      <c r="C462" s="35" t="s">
        <v>44</v>
      </c>
      <c r="D462" s="35" t="s">
        <v>45</v>
      </c>
      <c r="E462" s="35" t="s">
        <v>25</v>
      </c>
      <c r="F462" s="35" t="s">
        <v>25</v>
      </c>
      <c r="G462" s="35" t="s">
        <v>25</v>
      </c>
      <c r="H462" s="35" t="s">
        <v>37</v>
      </c>
      <c r="I462" s="45">
        <v>44531</v>
      </c>
      <c r="J462" s="46">
        <f>EFEITO!$J$462*EFEITO!$Y$462</f>
        <v>0</v>
      </c>
      <c r="K462" s="46">
        <f ca="1">EFEITO!$L$462*EFEITO!$Z$462</f>
        <v>392934.4557800428</v>
      </c>
      <c r="L462" s="46">
        <f>EFEITO!$N$462*EFEITO!$AA$462</f>
        <v>757543.16088324075</v>
      </c>
      <c r="M462" s="46">
        <f>$J$462-EFEITO!$K$462*EFEITO!$Y$462</f>
        <v>0</v>
      </c>
      <c r="N462" s="46">
        <f ca="1">$K$462-EFEITO!$M$462*EFEITO!$Z$462</f>
        <v>0</v>
      </c>
      <c r="O462" s="46">
        <f>$L$462-EFEITO!$O$462*EFEITO!$AA$462</f>
        <v>0</v>
      </c>
      <c r="P462" s="38"/>
      <c r="Q462" s="38"/>
      <c r="R462" s="38"/>
      <c r="S462" s="38"/>
      <c r="T462" s="38"/>
      <c r="U462" s="38"/>
      <c r="V462" s="38"/>
      <c r="W462" s="38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</row>
    <row r="463" spans="1:36" ht="11.25" customHeight="1" x14ac:dyDescent="0.2">
      <c r="A463" s="35" t="s">
        <v>27</v>
      </c>
      <c r="B463" s="35" t="s">
        <v>41</v>
      </c>
      <c r="C463" s="35" t="s">
        <v>44</v>
      </c>
      <c r="D463" s="35" t="s">
        <v>45</v>
      </c>
      <c r="E463" s="35" t="s">
        <v>25</v>
      </c>
      <c r="F463" s="35" t="s">
        <v>25</v>
      </c>
      <c r="G463" s="35" t="s">
        <v>25</v>
      </c>
      <c r="H463" s="35" t="s">
        <v>37</v>
      </c>
      <c r="I463" s="45">
        <v>44531</v>
      </c>
      <c r="J463" s="46">
        <f>EFEITO!$J$463*EFEITO!$Y$463</f>
        <v>0</v>
      </c>
      <c r="K463" s="46">
        <f ca="1">EFEITO!$L$463*EFEITO!$Z$463</f>
        <v>-14575.910861027482</v>
      </c>
      <c r="L463" s="46">
        <f>EFEITO!$N$463*EFEITO!$AA$463</f>
        <v>-28101.077479945288</v>
      </c>
      <c r="M463" s="46">
        <f>$J$463-EFEITO!$K$463*EFEITO!$Y$463</f>
        <v>0</v>
      </c>
      <c r="N463" s="46">
        <f ca="1">$K$463-EFEITO!$M$463*EFEITO!$Z$463</f>
        <v>0</v>
      </c>
      <c r="O463" s="46">
        <f>$L$463-EFEITO!$O$463*EFEITO!$AA$463</f>
        <v>0</v>
      </c>
      <c r="P463" s="38"/>
      <c r="Q463" s="38"/>
      <c r="R463" s="38"/>
      <c r="S463" s="38"/>
      <c r="T463" s="38"/>
      <c r="U463" s="38"/>
      <c r="V463" s="38"/>
      <c r="W463" s="38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</row>
    <row r="464" spans="1:36" ht="11.25" customHeight="1" x14ac:dyDescent="0.2">
      <c r="A464" s="35" t="s">
        <v>28</v>
      </c>
      <c r="B464" s="35" t="s">
        <v>41</v>
      </c>
      <c r="C464" s="35" t="s">
        <v>44</v>
      </c>
      <c r="D464" s="35" t="s">
        <v>45</v>
      </c>
      <c r="E464" s="35" t="s">
        <v>25</v>
      </c>
      <c r="F464" s="35" t="s">
        <v>25</v>
      </c>
      <c r="G464" s="35" t="s">
        <v>25</v>
      </c>
      <c r="H464" s="35" t="s">
        <v>37</v>
      </c>
      <c r="I464" s="45">
        <v>44531</v>
      </c>
      <c r="J464" s="46">
        <f>EFEITO!$J$464*EFEITO!$Y$464</f>
        <v>0</v>
      </c>
      <c r="K464" s="46">
        <f ca="1">EFEITO!$L$464*EFEITO!$Z$464</f>
        <v>78827.093092501251</v>
      </c>
      <c r="L464" s="46">
        <f>EFEITO!$N$464*EFEITO!$AA$464</f>
        <v>151971.72043868341</v>
      </c>
      <c r="M464" s="46">
        <f>$J$464-EFEITO!$K$464*EFEITO!$Y$464</f>
        <v>0</v>
      </c>
      <c r="N464" s="46">
        <f ca="1">$K$464-EFEITO!$M$464*EFEITO!$Z$464</f>
        <v>0</v>
      </c>
      <c r="O464" s="46">
        <f>$L$464-EFEITO!$O$464*EFEITO!$AA$464</f>
        <v>0</v>
      </c>
      <c r="P464" s="38"/>
      <c r="Q464" s="38"/>
      <c r="R464" s="38"/>
      <c r="S464" s="38"/>
      <c r="T464" s="38"/>
      <c r="U464" s="38"/>
      <c r="V464" s="38"/>
      <c r="W464" s="38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</row>
    <row r="465" spans="1:36" ht="11.25" customHeight="1" x14ac:dyDescent="0.2">
      <c r="A465" s="35" t="s">
        <v>29</v>
      </c>
      <c r="B465" s="35" t="s">
        <v>41</v>
      </c>
      <c r="C465" s="35" t="s">
        <v>44</v>
      </c>
      <c r="D465" s="35" t="s">
        <v>45</v>
      </c>
      <c r="E465" s="35" t="s">
        <v>25</v>
      </c>
      <c r="F465" s="35" t="s">
        <v>25</v>
      </c>
      <c r="G465" s="35" t="s">
        <v>25</v>
      </c>
      <c r="H465" s="35" t="s">
        <v>37</v>
      </c>
      <c r="I465" s="45">
        <v>44531</v>
      </c>
      <c r="J465" s="46">
        <f>EFEITO!$J$465*EFEITO!$Y$465</f>
        <v>0</v>
      </c>
      <c r="K465" s="46">
        <f ca="1">EFEITO!$L$465*EFEITO!$Z$465</f>
        <v>-835.30745198915463</v>
      </c>
      <c r="L465" s="46">
        <f>EFEITO!$N$465*EFEITO!$AA$465</f>
        <v>-1610.3994907573315</v>
      </c>
      <c r="M465" s="46">
        <f>$J$465-EFEITO!$K$465*EFEITO!$Y$465</f>
        <v>0</v>
      </c>
      <c r="N465" s="46">
        <f ca="1">$K$465-EFEITO!$M$465*EFEITO!$Z$465</f>
        <v>0</v>
      </c>
      <c r="O465" s="46">
        <f>$L$465-EFEITO!$O$465*EFEITO!$AA$465</f>
        <v>0</v>
      </c>
      <c r="P465" s="38"/>
      <c r="Q465" s="38"/>
      <c r="R465" s="38"/>
      <c r="S465" s="38"/>
      <c r="T465" s="38"/>
      <c r="U465" s="38"/>
      <c r="V465" s="38"/>
      <c r="W465" s="38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</row>
    <row r="466" spans="1:36" ht="11.25" customHeight="1" x14ac:dyDescent="0.2">
      <c r="A466" s="35" t="s">
        <v>30</v>
      </c>
      <c r="B466" s="35" t="s">
        <v>41</v>
      </c>
      <c r="C466" s="35" t="s">
        <v>44</v>
      </c>
      <c r="D466" s="35" t="s">
        <v>45</v>
      </c>
      <c r="E466" s="35" t="s">
        <v>25</v>
      </c>
      <c r="F466" s="35" t="s">
        <v>25</v>
      </c>
      <c r="G466" s="35" t="s">
        <v>25</v>
      </c>
      <c r="H466" s="35" t="s">
        <v>37</v>
      </c>
      <c r="I466" s="45">
        <v>44531</v>
      </c>
      <c r="J466" s="46">
        <f>EFEITO!$J$466*EFEITO!$Y$466</f>
        <v>0</v>
      </c>
      <c r="K466" s="46">
        <f ca="1">EFEITO!$L$466*EFEITO!$Z$466</f>
        <v>45048.752488821949</v>
      </c>
      <c r="L466" s="46">
        <f>EFEITO!$N$466*EFEITO!$AA$466</f>
        <v>86850.04293268756</v>
      </c>
      <c r="M466" s="46">
        <f>$J$466-EFEITO!$K$466*EFEITO!$Y$466</f>
        <v>0</v>
      </c>
      <c r="N466" s="46">
        <f ca="1">$K$466-EFEITO!$M$466*EFEITO!$Z$466</f>
        <v>0</v>
      </c>
      <c r="O466" s="46">
        <f>$L$466-EFEITO!$O$466*EFEITO!$AA$466</f>
        <v>0</v>
      </c>
      <c r="P466" s="38"/>
      <c r="Q466" s="38"/>
      <c r="R466" s="38"/>
      <c r="S466" s="38"/>
      <c r="T466" s="38"/>
      <c r="U466" s="38"/>
      <c r="V466" s="38"/>
      <c r="W466" s="38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</row>
    <row r="467" spans="1:36" ht="11.25" customHeight="1" x14ac:dyDescent="0.2">
      <c r="A467" s="35" t="s">
        <v>21</v>
      </c>
      <c r="B467" s="35" t="s">
        <v>41</v>
      </c>
      <c r="C467" s="35" t="s">
        <v>44</v>
      </c>
      <c r="D467" s="35" t="s">
        <v>45</v>
      </c>
      <c r="E467" s="35" t="s">
        <v>25</v>
      </c>
      <c r="F467" s="35" t="s">
        <v>25</v>
      </c>
      <c r="G467" s="35" t="s">
        <v>25</v>
      </c>
      <c r="H467" s="35" t="s">
        <v>37</v>
      </c>
      <c r="I467" s="45">
        <v>44562</v>
      </c>
      <c r="J467" s="46">
        <f>EFEITO!$J$467*EFEITO!$Y$467</f>
        <v>0</v>
      </c>
      <c r="K467" s="46">
        <f ca="1">EFEITO!$L$467*EFEITO!$Z$467</f>
        <v>374082.6419165461</v>
      </c>
      <c r="L467" s="46">
        <f>EFEITO!$N$467*EFEITO!$AA$467</f>
        <v>721198.5175147038</v>
      </c>
      <c r="M467" s="46">
        <f>$J$467-EFEITO!$K$467*EFEITO!$Y$467</f>
        <v>0</v>
      </c>
      <c r="N467" s="46">
        <f ca="1">$K$467-EFEITO!$M$467*EFEITO!$Z$467</f>
        <v>0</v>
      </c>
      <c r="O467" s="46">
        <f>$L$467-EFEITO!$O$467*EFEITO!$AA$467</f>
        <v>0</v>
      </c>
      <c r="P467" s="38"/>
      <c r="Q467" s="38"/>
      <c r="R467" s="38"/>
      <c r="S467" s="38"/>
      <c r="T467" s="38"/>
      <c r="U467" s="38"/>
      <c r="V467" s="38"/>
      <c r="W467" s="38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</row>
    <row r="468" spans="1:36" ht="11.25" customHeight="1" x14ac:dyDescent="0.2">
      <c r="A468" s="35" t="s">
        <v>27</v>
      </c>
      <c r="B468" s="35" t="s">
        <v>41</v>
      </c>
      <c r="C468" s="35" t="s">
        <v>44</v>
      </c>
      <c r="D468" s="35" t="s">
        <v>45</v>
      </c>
      <c r="E468" s="35" t="s">
        <v>25</v>
      </c>
      <c r="F468" s="35" t="s">
        <v>25</v>
      </c>
      <c r="G468" s="35" t="s">
        <v>25</v>
      </c>
      <c r="H468" s="35" t="s">
        <v>37</v>
      </c>
      <c r="I468" s="45">
        <v>44562</v>
      </c>
      <c r="J468" s="46">
        <f>EFEITO!$J$468*EFEITO!$Y$468</f>
        <v>0</v>
      </c>
      <c r="K468" s="46">
        <f ca="1">EFEITO!$L$468*EFEITO!$Z$468</f>
        <v>-3798.6978896883215</v>
      </c>
      <c r="L468" s="46">
        <f>EFEITO!$N$468*EFEITO!$AA$468</f>
        <v>-7323.5562935866747</v>
      </c>
      <c r="M468" s="46">
        <f>$J$468-EFEITO!$K$468*EFEITO!$Y$468</f>
        <v>0</v>
      </c>
      <c r="N468" s="46">
        <f ca="1">$K$468-EFEITO!$M$468*EFEITO!$Z$468</f>
        <v>0</v>
      </c>
      <c r="O468" s="46">
        <f>$L$468-EFEITO!$O$468*EFEITO!$AA$468</f>
        <v>0</v>
      </c>
      <c r="P468" s="38"/>
      <c r="Q468" s="38"/>
      <c r="R468" s="38"/>
      <c r="S468" s="38"/>
      <c r="T468" s="38"/>
      <c r="U468" s="38"/>
      <c r="V468" s="38"/>
      <c r="W468" s="38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</row>
    <row r="469" spans="1:36" ht="11.25" customHeight="1" x14ac:dyDescent="0.2">
      <c r="A469" s="35" t="s">
        <v>28</v>
      </c>
      <c r="B469" s="35" t="s">
        <v>41</v>
      </c>
      <c r="C469" s="35" t="s">
        <v>44</v>
      </c>
      <c r="D469" s="35" t="s">
        <v>45</v>
      </c>
      <c r="E469" s="35" t="s">
        <v>25</v>
      </c>
      <c r="F469" s="35" t="s">
        <v>25</v>
      </c>
      <c r="G469" s="35" t="s">
        <v>25</v>
      </c>
      <c r="H469" s="35" t="s">
        <v>37</v>
      </c>
      <c r="I469" s="45">
        <v>44562</v>
      </c>
      <c r="J469" s="46">
        <f>EFEITO!$J$469*EFEITO!$Y$469</f>
        <v>0</v>
      </c>
      <c r="K469" s="46">
        <f ca="1">EFEITO!$L$469*EFEITO!$Z$469</f>
        <v>78934.399019929522</v>
      </c>
      <c r="L469" s="46">
        <f>EFEITO!$N$469*EFEITO!$AA$469</f>
        <v>152178.5968534385</v>
      </c>
      <c r="M469" s="46">
        <f>$J$469-EFEITO!$K$469*EFEITO!$Y$469</f>
        <v>0</v>
      </c>
      <c r="N469" s="46">
        <f ca="1">$K$469-EFEITO!$M$469*EFEITO!$Z$469</f>
        <v>0</v>
      </c>
      <c r="O469" s="46">
        <f>$L$469-EFEITO!$O$469*EFEITO!$AA$469</f>
        <v>0</v>
      </c>
      <c r="P469" s="38"/>
      <c r="Q469" s="38"/>
      <c r="R469" s="38"/>
      <c r="S469" s="38"/>
      <c r="T469" s="38"/>
      <c r="U469" s="38"/>
      <c r="V469" s="38"/>
      <c r="W469" s="38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</row>
    <row r="470" spans="1:36" ht="11.25" customHeight="1" x14ac:dyDescent="0.2">
      <c r="A470" s="35" t="s">
        <v>30</v>
      </c>
      <c r="B470" s="35" t="s">
        <v>41</v>
      </c>
      <c r="C470" s="35" t="s">
        <v>44</v>
      </c>
      <c r="D470" s="35" t="s">
        <v>45</v>
      </c>
      <c r="E470" s="35" t="s">
        <v>25</v>
      </c>
      <c r="F470" s="35" t="s">
        <v>25</v>
      </c>
      <c r="G470" s="35" t="s">
        <v>25</v>
      </c>
      <c r="H470" s="35" t="s">
        <v>37</v>
      </c>
      <c r="I470" s="45">
        <v>44562</v>
      </c>
      <c r="J470" s="46">
        <f>EFEITO!$J$470*EFEITO!$Y$470</f>
        <v>0</v>
      </c>
      <c r="K470" s="46">
        <f ca="1">EFEITO!$L$470*EFEITO!$Z$470</f>
        <v>40899.779013617263</v>
      </c>
      <c r="L470" s="46">
        <f>EFEITO!$N$470*EFEITO!$AA$470</f>
        <v>78851.186037870764</v>
      </c>
      <c r="M470" s="46">
        <f>$J$470-EFEITO!$K$470*EFEITO!$Y$470</f>
        <v>0</v>
      </c>
      <c r="N470" s="46">
        <f ca="1">$K$470-EFEITO!$M$470*EFEITO!$Z$470</f>
        <v>0</v>
      </c>
      <c r="O470" s="46">
        <f>$L$470-EFEITO!$O$470*EFEITO!$AA$470</f>
        <v>0</v>
      </c>
      <c r="P470" s="38"/>
      <c r="Q470" s="38"/>
      <c r="R470" s="38"/>
      <c r="S470" s="38"/>
      <c r="T470" s="38"/>
      <c r="U470" s="38"/>
      <c r="V470" s="38"/>
      <c r="W470" s="38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</row>
    <row r="471" spans="1:36" ht="11.25" customHeight="1" x14ac:dyDescent="0.2">
      <c r="A471" s="35" t="s">
        <v>30</v>
      </c>
      <c r="B471" s="35" t="s">
        <v>41</v>
      </c>
      <c r="C471" s="35" t="s">
        <v>44</v>
      </c>
      <c r="D471" s="35" t="s">
        <v>45</v>
      </c>
      <c r="E471" s="35" t="s">
        <v>25</v>
      </c>
      <c r="F471" s="35" t="s">
        <v>25</v>
      </c>
      <c r="G471" s="35" t="s">
        <v>25</v>
      </c>
      <c r="H471" s="35" t="s">
        <v>37</v>
      </c>
      <c r="I471" s="45">
        <v>44562</v>
      </c>
      <c r="J471" s="46">
        <f>EFEITO!$J$471*EFEITO!$Y$471</f>
        <v>0</v>
      </c>
      <c r="K471" s="46">
        <f ca="1">EFEITO!$L$471*EFEITO!$Z$471</f>
        <v>-4355.9854387951546</v>
      </c>
      <c r="L471" s="46">
        <f>EFEITO!$N$471*EFEITO!$AA$471</f>
        <v>-8397.9578006603806</v>
      </c>
      <c r="M471" s="46">
        <f>$J$471-EFEITO!$K$471*EFEITO!$Y$471</f>
        <v>0</v>
      </c>
      <c r="N471" s="46">
        <f ca="1">$K$471-EFEITO!$M$471*EFEITO!$Z$471</f>
        <v>0</v>
      </c>
      <c r="O471" s="46">
        <f>$L$471-EFEITO!$O$471*EFEITO!$AA$471</f>
        <v>0</v>
      </c>
      <c r="P471" s="38"/>
      <c r="Q471" s="38"/>
      <c r="R471" s="38"/>
      <c r="S471" s="38"/>
      <c r="T471" s="38"/>
      <c r="U471" s="38"/>
      <c r="V471" s="38"/>
      <c r="W471" s="38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</row>
    <row r="472" spans="1:36" ht="11.25" customHeight="1" x14ac:dyDescent="0.2">
      <c r="A472" s="35" t="s">
        <v>21</v>
      </c>
      <c r="B472" s="35" t="s">
        <v>41</v>
      </c>
      <c r="C472" s="35" t="s">
        <v>44</v>
      </c>
      <c r="D472" s="35" t="s">
        <v>45</v>
      </c>
      <c r="E472" s="35" t="s">
        <v>25</v>
      </c>
      <c r="F472" s="35" t="s">
        <v>25</v>
      </c>
      <c r="G472" s="35" t="s">
        <v>25</v>
      </c>
      <c r="H472" s="35" t="s">
        <v>37</v>
      </c>
      <c r="I472" s="45">
        <v>44593</v>
      </c>
      <c r="J472" s="46">
        <f>EFEITO!$J$472*EFEITO!$Y$472</f>
        <v>0</v>
      </c>
      <c r="K472" s="46">
        <f ca="1">EFEITO!$L$472*EFEITO!$Z$472</f>
        <v>353552.613257805</v>
      </c>
      <c r="L472" s="46">
        <f>EFEITO!$N$472*EFEITO!$AA$472</f>
        <v>681618.42324098572</v>
      </c>
      <c r="M472" s="46">
        <f>$J$472-EFEITO!$K$472*EFEITO!$Y$472</f>
        <v>0</v>
      </c>
      <c r="N472" s="46">
        <f ca="1">$K$472-EFEITO!$M$472*EFEITO!$Z$472</f>
        <v>0</v>
      </c>
      <c r="O472" s="46">
        <f>$L$472-EFEITO!$O$472*EFEITO!$AA$472</f>
        <v>0</v>
      </c>
      <c r="P472" s="38"/>
      <c r="Q472" s="38"/>
      <c r="R472" s="38"/>
      <c r="S472" s="38"/>
      <c r="T472" s="38"/>
      <c r="U472" s="38"/>
      <c r="V472" s="38"/>
      <c r="W472" s="38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</row>
    <row r="473" spans="1:36" ht="11.25" customHeight="1" x14ac:dyDescent="0.2">
      <c r="A473" s="35" t="s">
        <v>27</v>
      </c>
      <c r="B473" s="35" t="s">
        <v>41</v>
      </c>
      <c r="C473" s="35" t="s">
        <v>44</v>
      </c>
      <c r="D473" s="35" t="s">
        <v>45</v>
      </c>
      <c r="E473" s="35" t="s">
        <v>25</v>
      </c>
      <c r="F473" s="35" t="s">
        <v>25</v>
      </c>
      <c r="G473" s="35" t="s">
        <v>25</v>
      </c>
      <c r="H473" s="35" t="s">
        <v>37</v>
      </c>
      <c r="I473" s="45">
        <v>44593</v>
      </c>
      <c r="J473" s="46">
        <f>EFEITO!$J$473*EFEITO!$Y$473</f>
        <v>0</v>
      </c>
      <c r="K473" s="46">
        <f ca="1">EFEITO!$L$473*EFEITO!$Z$473</f>
        <v>-12447.147288039912</v>
      </c>
      <c r="L473" s="46">
        <f>EFEITO!$N$473*EFEITO!$AA$473</f>
        <v>-23997.00805530612</v>
      </c>
      <c r="M473" s="46">
        <f>$J$473-EFEITO!$K$473*EFEITO!$Y$473</f>
        <v>0</v>
      </c>
      <c r="N473" s="46">
        <f ca="1">$K$473-EFEITO!$M$473*EFEITO!$Z$473</f>
        <v>0</v>
      </c>
      <c r="O473" s="46">
        <f>$L$473-EFEITO!$O$473*EFEITO!$AA$473</f>
        <v>0</v>
      </c>
      <c r="P473" s="38"/>
      <c r="Q473" s="38"/>
      <c r="R473" s="38"/>
      <c r="S473" s="38"/>
      <c r="T473" s="38"/>
      <c r="U473" s="38"/>
      <c r="V473" s="38"/>
      <c r="W473" s="38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</row>
    <row r="474" spans="1:36" ht="11.25" customHeight="1" x14ac:dyDescent="0.2">
      <c r="A474" s="35" t="s">
        <v>28</v>
      </c>
      <c r="B474" s="35" t="s">
        <v>41</v>
      </c>
      <c r="C474" s="35" t="s">
        <v>44</v>
      </c>
      <c r="D474" s="35" t="s">
        <v>45</v>
      </c>
      <c r="E474" s="35" t="s">
        <v>25</v>
      </c>
      <c r="F474" s="35" t="s">
        <v>25</v>
      </c>
      <c r="G474" s="35" t="s">
        <v>25</v>
      </c>
      <c r="H474" s="35" t="s">
        <v>37</v>
      </c>
      <c r="I474" s="45">
        <v>44593</v>
      </c>
      <c r="J474" s="46">
        <f>EFEITO!$J$474*EFEITO!$Y$474</f>
        <v>0</v>
      </c>
      <c r="K474" s="46">
        <f ca="1">EFEITO!$L$474*EFEITO!$Z$474</f>
        <v>77804.51070797081</v>
      </c>
      <c r="L474" s="46">
        <f>EFEITO!$N$474*EFEITO!$AA$474</f>
        <v>150000.27130653005</v>
      </c>
      <c r="M474" s="46">
        <f>$J$474-EFEITO!$K$474*EFEITO!$Y$474</f>
        <v>0</v>
      </c>
      <c r="N474" s="46">
        <f ca="1">$K$474-EFEITO!$M$474*EFEITO!$Z$474</f>
        <v>0</v>
      </c>
      <c r="O474" s="46">
        <f>$L$474-EFEITO!$O$474*EFEITO!$AA$474</f>
        <v>0</v>
      </c>
      <c r="P474" s="38"/>
      <c r="Q474" s="38"/>
      <c r="R474" s="38"/>
      <c r="S474" s="38"/>
      <c r="T474" s="38"/>
      <c r="U474" s="38"/>
      <c r="V474" s="38"/>
      <c r="W474" s="38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</row>
    <row r="475" spans="1:36" ht="11.25" customHeight="1" x14ac:dyDescent="0.2">
      <c r="A475" s="35" t="s">
        <v>30</v>
      </c>
      <c r="B475" s="35" t="s">
        <v>41</v>
      </c>
      <c r="C475" s="35" t="s">
        <v>44</v>
      </c>
      <c r="D475" s="35" t="s">
        <v>45</v>
      </c>
      <c r="E475" s="35" t="s">
        <v>25</v>
      </c>
      <c r="F475" s="35" t="s">
        <v>25</v>
      </c>
      <c r="G475" s="35" t="s">
        <v>25</v>
      </c>
      <c r="H475" s="35" t="s">
        <v>37</v>
      </c>
      <c r="I475" s="45">
        <v>44593</v>
      </c>
      <c r="J475" s="46">
        <f>EFEITO!$J$475*EFEITO!$Y$475</f>
        <v>0</v>
      </c>
      <c r="K475" s="46">
        <f ca="1">EFEITO!$L$475*EFEITO!$Z$475</f>
        <v>34874.539845398918</v>
      </c>
      <c r="L475" s="46">
        <f>EFEITO!$N$475*EFEITO!$AA$475</f>
        <v>67235.053480830029</v>
      </c>
      <c r="M475" s="46">
        <f>$J$475-EFEITO!$K$475*EFEITO!$Y$475</f>
        <v>0</v>
      </c>
      <c r="N475" s="46">
        <f ca="1">$K$475-EFEITO!$M$475*EFEITO!$Z$475</f>
        <v>0</v>
      </c>
      <c r="O475" s="46">
        <f>$L$475-EFEITO!$O$475*EFEITO!$AA$475</f>
        <v>0</v>
      </c>
      <c r="P475" s="38"/>
      <c r="Q475" s="38"/>
      <c r="R475" s="38"/>
      <c r="S475" s="38"/>
      <c r="T475" s="38"/>
      <c r="U475" s="38"/>
      <c r="V475" s="38"/>
      <c r="W475" s="38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</row>
    <row r="476" spans="1:36" ht="11.25" customHeight="1" x14ac:dyDescent="0.2">
      <c r="A476" s="35" t="s">
        <v>21</v>
      </c>
      <c r="B476" s="35" t="s">
        <v>41</v>
      </c>
      <c r="C476" s="35" t="s">
        <v>44</v>
      </c>
      <c r="D476" s="35" t="s">
        <v>45</v>
      </c>
      <c r="E476" s="35" t="s">
        <v>25</v>
      </c>
      <c r="F476" s="35" t="s">
        <v>25</v>
      </c>
      <c r="G476" s="35" t="s">
        <v>25</v>
      </c>
      <c r="H476" s="35" t="s">
        <v>37</v>
      </c>
      <c r="I476" s="45">
        <v>44621</v>
      </c>
      <c r="J476" s="46">
        <f>EFEITO!$J$476*EFEITO!$Y$476</f>
        <v>0</v>
      </c>
      <c r="K476" s="46">
        <f ca="1">EFEITO!$L$476*EFEITO!$Z$476</f>
        <v>370301.52586486132</v>
      </c>
      <c r="L476" s="46">
        <f>EFEITO!$N$476*EFEITO!$AA$476</f>
        <v>713908.85746243538</v>
      </c>
      <c r="M476" s="46">
        <f>$J$476-EFEITO!$K$476*EFEITO!$Y$476</f>
        <v>0</v>
      </c>
      <c r="N476" s="46">
        <f ca="1">$K$476-EFEITO!$M$476*EFEITO!$Z$476</f>
        <v>0</v>
      </c>
      <c r="O476" s="46">
        <f>$L$476-EFEITO!$O$476*EFEITO!$AA$476</f>
        <v>0</v>
      </c>
      <c r="P476" s="38"/>
      <c r="Q476" s="38"/>
      <c r="R476" s="38"/>
      <c r="S476" s="38"/>
      <c r="T476" s="38"/>
      <c r="U476" s="38"/>
      <c r="V476" s="38"/>
      <c r="W476" s="38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</row>
    <row r="477" spans="1:36" ht="11.25" customHeight="1" x14ac:dyDescent="0.2">
      <c r="A477" s="35" t="s">
        <v>28</v>
      </c>
      <c r="B477" s="35" t="s">
        <v>41</v>
      </c>
      <c r="C477" s="35" t="s">
        <v>44</v>
      </c>
      <c r="D477" s="35" t="s">
        <v>45</v>
      </c>
      <c r="E477" s="35" t="s">
        <v>25</v>
      </c>
      <c r="F477" s="35" t="s">
        <v>25</v>
      </c>
      <c r="G477" s="35" t="s">
        <v>25</v>
      </c>
      <c r="H477" s="35" t="s">
        <v>37</v>
      </c>
      <c r="I477" s="45">
        <v>44621</v>
      </c>
      <c r="J477" s="46">
        <f>EFEITO!$J$477*EFEITO!$Y$477</f>
        <v>0</v>
      </c>
      <c r="K477" s="46">
        <f ca="1">EFEITO!$L$477*EFEITO!$Z$477</f>
        <v>77307.455132927818</v>
      </c>
      <c r="L477" s="46">
        <f>EFEITO!$N$477*EFEITO!$AA$477</f>
        <v>149041.99176164973</v>
      </c>
      <c r="M477" s="46">
        <f>$J$477-EFEITO!$K$477*EFEITO!$Y$477</f>
        <v>0</v>
      </c>
      <c r="N477" s="46">
        <f ca="1">$K$477-EFEITO!$M$477*EFEITO!$Z$477</f>
        <v>0</v>
      </c>
      <c r="O477" s="46">
        <f>$L$477-EFEITO!$O$477*EFEITO!$AA$477</f>
        <v>0</v>
      </c>
      <c r="P477" s="38"/>
      <c r="Q477" s="38"/>
      <c r="R477" s="38"/>
      <c r="S477" s="38"/>
      <c r="T477" s="38"/>
      <c r="U477" s="38"/>
      <c r="V477" s="38"/>
      <c r="W477" s="38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</row>
    <row r="478" spans="1:36" ht="11.25" customHeight="1" x14ac:dyDescent="0.2">
      <c r="A478" s="35" t="s">
        <v>30</v>
      </c>
      <c r="B478" s="35" t="s">
        <v>41</v>
      </c>
      <c r="C478" s="35" t="s">
        <v>44</v>
      </c>
      <c r="D478" s="35" t="s">
        <v>45</v>
      </c>
      <c r="E478" s="35" t="s">
        <v>25</v>
      </c>
      <c r="F478" s="35" t="s">
        <v>25</v>
      </c>
      <c r="G478" s="35" t="s">
        <v>25</v>
      </c>
      <c r="H478" s="35" t="s">
        <v>37</v>
      </c>
      <c r="I478" s="45">
        <v>44621</v>
      </c>
      <c r="J478" s="46">
        <f>EFEITO!$J$478*EFEITO!$Y$478</f>
        <v>0</v>
      </c>
      <c r="K478" s="46">
        <f ca="1">EFEITO!$L$478*EFEITO!$Z$478</f>
        <v>39262.62631745221</v>
      </c>
      <c r="L478" s="46">
        <f>EFEITO!$N$478*EFEITO!$AA$478</f>
        <v>75694.899257574652</v>
      </c>
      <c r="M478" s="46">
        <f>$J$478-EFEITO!$K$478*EFEITO!$Y$478</f>
        <v>0</v>
      </c>
      <c r="N478" s="46">
        <f ca="1">$K$478-EFEITO!$M$478*EFEITO!$Z$478</f>
        <v>0</v>
      </c>
      <c r="O478" s="46">
        <f>$L$478-EFEITO!$O$478*EFEITO!$AA$478</f>
        <v>0</v>
      </c>
      <c r="P478" s="38"/>
      <c r="Q478" s="38"/>
      <c r="R478" s="38"/>
      <c r="S478" s="38"/>
      <c r="T478" s="38"/>
      <c r="U478" s="38"/>
      <c r="V478" s="38"/>
      <c r="W478" s="38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</row>
    <row r="479" spans="1:36" ht="11.25" customHeight="1" x14ac:dyDescent="0.2">
      <c r="A479" s="35" t="s">
        <v>21</v>
      </c>
      <c r="B479" s="35" t="s">
        <v>41</v>
      </c>
      <c r="C479" s="35" t="s">
        <v>44</v>
      </c>
      <c r="D479" s="35" t="s">
        <v>45</v>
      </c>
      <c r="E479" s="35" t="s">
        <v>25</v>
      </c>
      <c r="F479" s="35" t="s">
        <v>25</v>
      </c>
      <c r="G479" s="35" t="s">
        <v>25</v>
      </c>
      <c r="H479" s="35" t="s">
        <v>37</v>
      </c>
      <c r="I479" s="45">
        <v>44652</v>
      </c>
      <c r="J479" s="46">
        <f>EFEITO!$J$479*EFEITO!$Y$479</f>
        <v>0</v>
      </c>
      <c r="K479" s="46">
        <f ca="1">EFEITO!$L$479*EFEITO!$Z$479</f>
        <v>372770.92337026657</v>
      </c>
      <c r="L479" s="46">
        <f>EFEITO!$N$479*EFEITO!$AA$479</f>
        <v>718669.63922693662</v>
      </c>
      <c r="M479" s="46">
        <f>$J$479-EFEITO!$K$479*EFEITO!$Y$479</f>
        <v>0</v>
      </c>
      <c r="N479" s="46">
        <f ca="1">$K$479-EFEITO!$M$479*EFEITO!$Z$479</f>
        <v>0</v>
      </c>
      <c r="O479" s="46">
        <f>$L$479-EFEITO!$O$479*EFEITO!$AA$479</f>
        <v>0</v>
      </c>
      <c r="P479" s="38"/>
      <c r="Q479" s="38"/>
      <c r="R479" s="38"/>
      <c r="S479" s="38"/>
      <c r="T479" s="38"/>
      <c r="U479" s="38"/>
      <c r="V479" s="38"/>
      <c r="W479" s="38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</row>
    <row r="480" spans="1:36" ht="11.25" customHeight="1" x14ac:dyDescent="0.2">
      <c r="A480" s="35" t="s">
        <v>28</v>
      </c>
      <c r="B480" s="35" t="s">
        <v>41</v>
      </c>
      <c r="C480" s="35" t="s">
        <v>44</v>
      </c>
      <c r="D480" s="35" t="s">
        <v>45</v>
      </c>
      <c r="E480" s="35" t="s">
        <v>25</v>
      </c>
      <c r="F480" s="35" t="s">
        <v>25</v>
      </c>
      <c r="G480" s="35" t="s">
        <v>25</v>
      </c>
      <c r="H480" s="35" t="s">
        <v>37</v>
      </c>
      <c r="I480" s="45">
        <v>44652</v>
      </c>
      <c r="J480" s="46">
        <f>EFEITO!$J$480*EFEITO!$Y$480</f>
        <v>0</v>
      </c>
      <c r="K480" s="46">
        <f ca="1">EFEITO!$L$480*EFEITO!$Z$480</f>
        <v>78399.797713407941</v>
      </c>
      <c r="L480" s="46">
        <f>EFEITO!$N$480*EFEITO!$AA$480</f>
        <v>151147.9324319367</v>
      </c>
      <c r="M480" s="46">
        <f>$J$480-EFEITO!$K$480*EFEITO!$Y$480</f>
        <v>0</v>
      </c>
      <c r="N480" s="46">
        <f ca="1">$K$480-EFEITO!$M$480*EFEITO!$Z$480</f>
        <v>0</v>
      </c>
      <c r="O480" s="46">
        <f>$L$480-EFEITO!$O$480*EFEITO!$AA$480</f>
        <v>0</v>
      </c>
      <c r="P480" s="38"/>
      <c r="Q480" s="38"/>
      <c r="R480" s="38"/>
      <c r="S480" s="38"/>
      <c r="T480" s="38"/>
      <c r="U480" s="38"/>
      <c r="V480" s="38"/>
      <c r="W480" s="38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</row>
    <row r="481" spans="1:36" ht="11.25" customHeight="1" x14ac:dyDescent="0.2">
      <c r="A481" s="35" t="s">
        <v>30</v>
      </c>
      <c r="B481" s="35" t="s">
        <v>41</v>
      </c>
      <c r="C481" s="35" t="s">
        <v>44</v>
      </c>
      <c r="D481" s="35" t="s">
        <v>45</v>
      </c>
      <c r="E481" s="35" t="s">
        <v>25</v>
      </c>
      <c r="F481" s="35" t="s">
        <v>25</v>
      </c>
      <c r="G481" s="35" t="s">
        <v>25</v>
      </c>
      <c r="H481" s="35" t="s">
        <v>37</v>
      </c>
      <c r="I481" s="45">
        <v>44652</v>
      </c>
      <c r="J481" s="46">
        <f>EFEITO!$J$481*EFEITO!$Y$481</f>
        <v>0</v>
      </c>
      <c r="K481" s="46">
        <f ca="1">EFEITO!$L$481*EFEITO!$Z$481</f>
        <v>41898.427412220262</v>
      </c>
      <c r="L481" s="46">
        <f>EFEITO!$N$481*EFEITO!$AA$481</f>
        <v>80776.492544745764</v>
      </c>
      <c r="M481" s="46">
        <f>$J$481-EFEITO!$K$481*EFEITO!$Y$481</f>
        <v>0</v>
      </c>
      <c r="N481" s="46">
        <f ca="1">$K$481-EFEITO!$M$481*EFEITO!$Z$481</f>
        <v>0</v>
      </c>
      <c r="O481" s="46">
        <f>$L$481-EFEITO!$O$481*EFEITO!$AA$481</f>
        <v>0</v>
      </c>
      <c r="P481" s="38"/>
      <c r="Q481" s="38"/>
      <c r="R481" s="38"/>
      <c r="S481" s="38"/>
      <c r="T481" s="38"/>
      <c r="U481" s="38"/>
      <c r="V481" s="38"/>
      <c r="W481" s="38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</row>
    <row r="482" spans="1:36" ht="11.25" customHeight="1" x14ac:dyDescent="0.2">
      <c r="A482" s="35" t="s">
        <v>21</v>
      </c>
      <c r="B482" s="35" t="s">
        <v>41</v>
      </c>
      <c r="C482" s="35" t="s">
        <v>44</v>
      </c>
      <c r="D482" s="35" t="s">
        <v>45</v>
      </c>
      <c r="E482" s="35" t="s">
        <v>25</v>
      </c>
      <c r="F482" s="35" t="s">
        <v>25</v>
      </c>
      <c r="G482" s="35" t="s">
        <v>25</v>
      </c>
      <c r="H482" s="35" t="s">
        <v>37</v>
      </c>
      <c r="I482" s="45">
        <v>44682</v>
      </c>
      <c r="J482" s="46">
        <f>EFEITO!$J$482*EFEITO!$Y$482</f>
        <v>0</v>
      </c>
      <c r="K482" s="46">
        <f ca="1">EFEITO!$L$482*EFEITO!$Z$482</f>
        <v>386641.17865567963</v>
      </c>
      <c r="L482" s="46">
        <f>EFEITO!$N$482*EFEITO!$AA$482</f>
        <v>745410.27466016798</v>
      </c>
      <c r="M482" s="46">
        <f>$J$482-EFEITO!$K$482*EFEITO!$Y$482</f>
        <v>0</v>
      </c>
      <c r="N482" s="46">
        <f ca="1">$K$482-EFEITO!$M$482*EFEITO!$Z$482</f>
        <v>0</v>
      </c>
      <c r="O482" s="46">
        <f>$L$482-EFEITO!$O$482*EFEITO!$AA$482</f>
        <v>0</v>
      </c>
      <c r="P482" s="38"/>
      <c r="Q482" s="38"/>
      <c r="R482" s="38"/>
      <c r="S482" s="38"/>
      <c r="T482" s="38"/>
      <c r="U482" s="38"/>
      <c r="V482" s="38"/>
      <c r="W482" s="38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</row>
    <row r="483" spans="1:36" ht="11.25" customHeight="1" x14ac:dyDescent="0.2">
      <c r="A483" s="35" t="s">
        <v>28</v>
      </c>
      <c r="B483" s="35" t="s">
        <v>41</v>
      </c>
      <c r="C483" s="35" t="s">
        <v>44</v>
      </c>
      <c r="D483" s="35" t="s">
        <v>45</v>
      </c>
      <c r="E483" s="35" t="s">
        <v>25</v>
      </c>
      <c r="F483" s="35" t="s">
        <v>25</v>
      </c>
      <c r="G483" s="35" t="s">
        <v>25</v>
      </c>
      <c r="H483" s="35" t="s">
        <v>37</v>
      </c>
      <c r="I483" s="45">
        <v>44682</v>
      </c>
      <c r="J483" s="46">
        <f>EFEITO!$J$483*EFEITO!$Y$483</f>
        <v>0</v>
      </c>
      <c r="K483" s="46">
        <f ca="1">EFEITO!$L$483*EFEITO!$Z$483</f>
        <v>77401.376177230792</v>
      </c>
      <c r="L483" s="46">
        <f>EFEITO!$N$483*EFEITO!$AA$483</f>
        <v>149223.06329591741</v>
      </c>
      <c r="M483" s="46">
        <f>$J$483-EFEITO!$K$483*EFEITO!$Y$483</f>
        <v>0</v>
      </c>
      <c r="N483" s="46">
        <f ca="1">$K$483-EFEITO!$M$483*EFEITO!$Z$483</f>
        <v>0</v>
      </c>
      <c r="O483" s="46">
        <f>$L$483-EFEITO!$O$483*EFEITO!$AA$483</f>
        <v>0</v>
      </c>
      <c r="P483" s="38"/>
      <c r="Q483" s="38"/>
      <c r="R483" s="38"/>
      <c r="S483" s="38"/>
      <c r="T483" s="38"/>
      <c r="U483" s="38"/>
      <c r="V483" s="38"/>
      <c r="W483" s="38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</row>
    <row r="484" spans="1:36" ht="11.25" customHeight="1" x14ac:dyDescent="0.2">
      <c r="A484" s="35" t="s">
        <v>30</v>
      </c>
      <c r="B484" s="35" t="s">
        <v>41</v>
      </c>
      <c r="C484" s="35" t="s">
        <v>44</v>
      </c>
      <c r="D484" s="35" t="s">
        <v>45</v>
      </c>
      <c r="E484" s="35" t="s">
        <v>25</v>
      </c>
      <c r="F484" s="35" t="s">
        <v>25</v>
      </c>
      <c r="G484" s="35" t="s">
        <v>25</v>
      </c>
      <c r="H484" s="35" t="s">
        <v>37</v>
      </c>
      <c r="I484" s="45">
        <v>44682</v>
      </c>
      <c r="J484" s="46">
        <f>EFEITO!$J$484*EFEITO!$Y$484</f>
        <v>0</v>
      </c>
      <c r="K484" s="46">
        <f ca="1">EFEITO!$L$484*EFEITO!$Z$484</f>
        <v>41318.340189315248</v>
      </c>
      <c r="L484" s="46">
        <f>EFEITO!$N$484*EFEITO!$AA$484</f>
        <v>79658.135266672296</v>
      </c>
      <c r="M484" s="46">
        <f>$J$484-EFEITO!$K$484*EFEITO!$Y$484</f>
        <v>0</v>
      </c>
      <c r="N484" s="46">
        <f ca="1">$K$484-EFEITO!$M$484*EFEITO!$Z$484</f>
        <v>0</v>
      </c>
      <c r="O484" s="46">
        <f>$L$484-EFEITO!$O$484*EFEITO!$AA$484</f>
        <v>0</v>
      </c>
      <c r="P484" s="38"/>
      <c r="Q484" s="38"/>
      <c r="R484" s="38"/>
      <c r="S484" s="38"/>
      <c r="T484" s="38"/>
      <c r="U484" s="38"/>
      <c r="V484" s="38"/>
      <c r="W484" s="38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</row>
    <row r="485" spans="1:36" ht="11.25" customHeight="1" x14ac:dyDescent="0.2">
      <c r="A485" s="35" t="s">
        <v>21</v>
      </c>
      <c r="B485" s="35" t="s">
        <v>41</v>
      </c>
      <c r="C485" s="35" t="s">
        <v>44</v>
      </c>
      <c r="D485" s="35" t="s">
        <v>45</v>
      </c>
      <c r="E485" s="35" t="s">
        <v>25</v>
      </c>
      <c r="F485" s="35" t="s">
        <v>25</v>
      </c>
      <c r="G485" s="35" t="s">
        <v>25</v>
      </c>
      <c r="H485" s="35" t="s">
        <v>37</v>
      </c>
      <c r="I485" s="45">
        <v>44713</v>
      </c>
      <c r="J485" s="46">
        <f>EFEITO!$J$485*EFEITO!$Y$485</f>
        <v>0</v>
      </c>
      <c r="K485" s="46">
        <f ca="1">EFEITO!$L$485*EFEITO!$Z$485</f>
        <v>363807.92921847041</v>
      </c>
      <c r="L485" s="46">
        <f>EFEITO!$N$485*EFEITO!$AA$485</f>
        <v>701389.77277376282</v>
      </c>
      <c r="M485" s="46">
        <f>$J$485-EFEITO!$K$485*EFEITO!$Y$485</f>
        <v>0</v>
      </c>
      <c r="N485" s="46">
        <f ca="1">$K$485-EFEITO!$M$485*EFEITO!$Z$485</f>
        <v>0</v>
      </c>
      <c r="O485" s="46">
        <f>$L$485-EFEITO!$O$485*EFEITO!$AA$485</f>
        <v>0</v>
      </c>
      <c r="P485" s="38"/>
      <c r="Q485" s="38"/>
      <c r="R485" s="38"/>
      <c r="S485" s="38"/>
      <c r="T485" s="38"/>
      <c r="U485" s="38"/>
      <c r="V485" s="38"/>
      <c r="W485" s="38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</row>
    <row r="486" spans="1:36" ht="11.25" customHeight="1" x14ac:dyDescent="0.2">
      <c r="A486" s="35" t="s">
        <v>27</v>
      </c>
      <c r="B486" s="35" t="s">
        <v>41</v>
      </c>
      <c r="C486" s="35" t="s">
        <v>44</v>
      </c>
      <c r="D486" s="35" t="s">
        <v>45</v>
      </c>
      <c r="E486" s="35" t="s">
        <v>25</v>
      </c>
      <c r="F486" s="35" t="s">
        <v>25</v>
      </c>
      <c r="G486" s="35" t="s">
        <v>25</v>
      </c>
      <c r="H486" s="35" t="s">
        <v>37</v>
      </c>
      <c r="I486" s="45">
        <v>44713</v>
      </c>
      <c r="J486" s="46">
        <f>EFEITO!$J$486*EFEITO!$Y$486</f>
        <v>0</v>
      </c>
      <c r="K486" s="46">
        <f ca="1">EFEITO!$L$486*EFEITO!$Z$486</f>
        <v>237.97868471934362</v>
      </c>
      <c r="L486" s="46">
        <f>EFEITO!$N$486*EFEITO!$AA$486</f>
        <v>458.80202764922342</v>
      </c>
      <c r="M486" s="46">
        <f>$J$486-EFEITO!$K$486*EFEITO!$Y$486</f>
        <v>0</v>
      </c>
      <c r="N486" s="46">
        <f ca="1">$K$486-EFEITO!$M$486*EFEITO!$Z$486</f>
        <v>0</v>
      </c>
      <c r="O486" s="46">
        <f>$L$486-EFEITO!$O$486*EFEITO!$AA$486</f>
        <v>0</v>
      </c>
      <c r="P486" s="38"/>
      <c r="Q486" s="38"/>
      <c r="R486" s="38"/>
      <c r="S486" s="38"/>
      <c r="T486" s="38"/>
      <c r="U486" s="38"/>
      <c r="V486" s="38"/>
      <c r="W486" s="38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</row>
    <row r="487" spans="1:36" ht="11.25" customHeight="1" x14ac:dyDescent="0.2">
      <c r="A487" s="35" t="s">
        <v>28</v>
      </c>
      <c r="B487" s="35" t="s">
        <v>41</v>
      </c>
      <c r="C487" s="35" t="s">
        <v>44</v>
      </c>
      <c r="D487" s="35" t="s">
        <v>45</v>
      </c>
      <c r="E487" s="35" t="s">
        <v>25</v>
      </c>
      <c r="F487" s="35" t="s">
        <v>25</v>
      </c>
      <c r="G487" s="35" t="s">
        <v>25</v>
      </c>
      <c r="H487" s="35" t="s">
        <v>37</v>
      </c>
      <c r="I487" s="45">
        <v>44713</v>
      </c>
      <c r="J487" s="46">
        <f>EFEITO!$J$487*EFEITO!$Y$487</f>
        <v>0</v>
      </c>
      <c r="K487" s="46">
        <f ca="1">EFEITO!$L$487*EFEITO!$Z$487</f>
        <v>75600.201947174326</v>
      </c>
      <c r="L487" s="46">
        <f>EFEITO!$N$487*EFEITO!$AA$487</f>
        <v>145750.55738693647</v>
      </c>
      <c r="M487" s="46">
        <f>$J$487-EFEITO!$K$487*EFEITO!$Y$487</f>
        <v>0</v>
      </c>
      <c r="N487" s="46">
        <f ca="1">$K$487-EFEITO!$M$487*EFEITO!$Z$487</f>
        <v>0</v>
      </c>
      <c r="O487" s="46">
        <f>$L$487-EFEITO!$O$487*EFEITO!$AA$487</f>
        <v>0</v>
      </c>
      <c r="P487" s="38"/>
      <c r="Q487" s="38"/>
      <c r="R487" s="38"/>
      <c r="S487" s="38"/>
      <c r="T487" s="38"/>
      <c r="U487" s="38"/>
      <c r="V487" s="38"/>
      <c r="W487" s="38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</row>
    <row r="488" spans="1:36" ht="11.25" customHeight="1" x14ac:dyDescent="0.2">
      <c r="A488" s="35" t="s">
        <v>30</v>
      </c>
      <c r="B488" s="35" t="s">
        <v>41</v>
      </c>
      <c r="C488" s="35" t="s">
        <v>44</v>
      </c>
      <c r="D488" s="35" t="s">
        <v>45</v>
      </c>
      <c r="E488" s="35" t="s">
        <v>25</v>
      </c>
      <c r="F488" s="35" t="s">
        <v>25</v>
      </c>
      <c r="G488" s="35" t="s">
        <v>25</v>
      </c>
      <c r="H488" s="35" t="s">
        <v>37</v>
      </c>
      <c r="I488" s="45">
        <v>44713</v>
      </c>
      <c r="J488" s="46">
        <f>EFEITO!$J$488*EFEITO!$Y$488</f>
        <v>0</v>
      </c>
      <c r="K488" s="46">
        <f ca="1">EFEITO!$L$488*EFEITO!$Z$488</f>
        <v>44909.685821774328</v>
      </c>
      <c r="L488" s="46">
        <f>EFEITO!$N$488*EFEITO!$AA$488</f>
        <v>86581.934598131818</v>
      </c>
      <c r="M488" s="46">
        <f>$J$488-EFEITO!$K$488*EFEITO!$Y$488</f>
        <v>0</v>
      </c>
      <c r="N488" s="46">
        <f ca="1">$K$488-EFEITO!$M$488*EFEITO!$Z$488</f>
        <v>0</v>
      </c>
      <c r="O488" s="46">
        <f>$L$488-EFEITO!$O$488*EFEITO!$AA$488</f>
        <v>0</v>
      </c>
      <c r="P488" s="38"/>
      <c r="Q488" s="38"/>
      <c r="R488" s="38"/>
      <c r="S488" s="38"/>
      <c r="T488" s="38"/>
      <c r="U488" s="38"/>
      <c r="V488" s="38"/>
      <c r="W488" s="38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</row>
    <row r="489" spans="1:36" ht="11.25" customHeight="1" x14ac:dyDescent="0.2">
      <c r="A489" s="35" t="s">
        <v>30</v>
      </c>
      <c r="B489" s="35" t="s">
        <v>41</v>
      </c>
      <c r="C489" s="35" t="s">
        <v>44</v>
      </c>
      <c r="D489" s="35" t="s">
        <v>45</v>
      </c>
      <c r="E489" s="35" t="s">
        <v>25</v>
      </c>
      <c r="F489" s="35" t="s">
        <v>25</v>
      </c>
      <c r="G489" s="35" t="s">
        <v>25</v>
      </c>
      <c r="H489" s="35" t="s">
        <v>37</v>
      </c>
      <c r="I489" s="45">
        <v>44713</v>
      </c>
      <c r="J489" s="46">
        <f>EFEITO!$J$489*EFEITO!$Y$489</f>
        <v>0</v>
      </c>
      <c r="K489" s="46">
        <f ca="1">EFEITO!$L$489*EFEITO!$Z$489</f>
        <v>-678.31865329917775</v>
      </c>
      <c r="L489" s="46">
        <f>EFEITO!$N$489*EFEITO!$AA$489</f>
        <v>-1307.7388585997885</v>
      </c>
      <c r="M489" s="46">
        <f>$J$489-EFEITO!$K$489*EFEITO!$Y$489</f>
        <v>0</v>
      </c>
      <c r="N489" s="46">
        <f ca="1">$K$489-EFEITO!$M$489*EFEITO!$Z$489</f>
        <v>0</v>
      </c>
      <c r="O489" s="46">
        <f>$L$489-EFEITO!$O$489*EFEITO!$AA$489</f>
        <v>0</v>
      </c>
      <c r="P489" s="38"/>
      <c r="Q489" s="38"/>
      <c r="R489" s="38"/>
      <c r="S489" s="38"/>
      <c r="T489" s="38"/>
      <c r="U489" s="38"/>
      <c r="V489" s="38"/>
      <c r="W489" s="38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</row>
    <row r="490" spans="1:36" ht="11.25" customHeight="1" x14ac:dyDescent="0.2">
      <c r="A490" s="35" t="s">
        <v>21</v>
      </c>
      <c r="B490" s="35" t="s">
        <v>41</v>
      </c>
      <c r="C490" s="35" t="s">
        <v>44</v>
      </c>
      <c r="D490" s="35" t="s">
        <v>45</v>
      </c>
      <c r="E490" s="35" t="s">
        <v>25</v>
      </c>
      <c r="F490" s="35" t="s">
        <v>25</v>
      </c>
      <c r="G490" s="35" t="s">
        <v>25</v>
      </c>
      <c r="H490" s="35" t="s">
        <v>37</v>
      </c>
      <c r="I490" s="45">
        <v>44743</v>
      </c>
      <c r="J490" s="46">
        <f>EFEITO!$J$490*EFEITO!$Y$490</f>
        <v>0</v>
      </c>
      <c r="K490" s="46">
        <f ca="1">EFEITO!$L$490*EFEITO!$Z$490</f>
        <v>371790.42396573169</v>
      </c>
      <c r="L490" s="46">
        <f>EFEITO!$N$490*EFEITO!$AA$490</f>
        <v>716779.32238851907</v>
      </c>
      <c r="M490" s="46">
        <f>$J$490-EFEITO!$K$490*EFEITO!$Y$490</f>
        <v>0</v>
      </c>
      <c r="N490" s="46">
        <f ca="1">$K$490-EFEITO!$M$490*EFEITO!$Z$490</f>
        <v>0</v>
      </c>
      <c r="O490" s="46">
        <f>$L$490-EFEITO!$O$490*EFEITO!$AA$490</f>
        <v>0</v>
      </c>
      <c r="P490" s="38"/>
      <c r="Q490" s="38"/>
      <c r="R490" s="38"/>
      <c r="S490" s="38"/>
      <c r="T490" s="38"/>
      <c r="U490" s="38"/>
      <c r="V490" s="38"/>
      <c r="W490" s="38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</row>
    <row r="491" spans="1:36" ht="11.25" customHeight="1" x14ac:dyDescent="0.2">
      <c r="A491" s="35" t="s">
        <v>28</v>
      </c>
      <c r="B491" s="35" t="s">
        <v>41</v>
      </c>
      <c r="C491" s="35" t="s">
        <v>44</v>
      </c>
      <c r="D491" s="35" t="s">
        <v>45</v>
      </c>
      <c r="E491" s="35" t="s">
        <v>25</v>
      </c>
      <c r="F491" s="35" t="s">
        <v>25</v>
      </c>
      <c r="G491" s="35" t="s">
        <v>25</v>
      </c>
      <c r="H491" s="35" t="s">
        <v>37</v>
      </c>
      <c r="I491" s="45">
        <v>44743</v>
      </c>
      <c r="J491" s="46">
        <f>EFEITO!$J$491*EFEITO!$Y$491</f>
        <v>0</v>
      </c>
      <c r="K491" s="46">
        <f ca="1">EFEITO!$L$491*EFEITO!$Z$491</f>
        <v>77744.165302694018</v>
      </c>
      <c r="L491" s="46">
        <f>EFEITO!$N$491*EFEITO!$AA$491</f>
        <v>149883.93065890879</v>
      </c>
      <c r="M491" s="46">
        <f>$J$491-EFEITO!$K$491*EFEITO!$Y$491</f>
        <v>0</v>
      </c>
      <c r="N491" s="46">
        <f ca="1">$K$491-EFEITO!$M$491*EFEITO!$Z$491</f>
        <v>0</v>
      </c>
      <c r="O491" s="46">
        <f>$L$491-EFEITO!$O$491*EFEITO!$AA$491</f>
        <v>0</v>
      </c>
      <c r="P491" s="38"/>
      <c r="Q491" s="38"/>
      <c r="R491" s="38"/>
      <c r="S491" s="38"/>
      <c r="T491" s="38"/>
      <c r="U491" s="38"/>
      <c r="V491" s="38"/>
      <c r="W491" s="38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</row>
    <row r="492" spans="1:36" ht="11.25" customHeight="1" x14ac:dyDescent="0.2">
      <c r="A492" s="35" t="s">
        <v>30</v>
      </c>
      <c r="B492" s="35" t="s">
        <v>41</v>
      </c>
      <c r="C492" s="35" t="s">
        <v>44</v>
      </c>
      <c r="D492" s="35" t="s">
        <v>45</v>
      </c>
      <c r="E492" s="35" t="s">
        <v>25</v>
      </c>
      <c r="F492" s="35" t="s">
        <v>25</v>
      </c>
      <c r="G492" s="35" t="s">
        <v>25</v>
      </c>
      <c r="H492" s="35" t="s">
        <v>37</v>
      </c>
      <c r="I492" s="45">
        <v>44743</v>
      </c>
      <c r="J492" s="46">
        <f>EFEITO!$J$492*EFEITO!$Y$492</f>
        <v>0</v>
      </c>
      <c r="K492" s="46">
        <f ca="1">EFEITO!$L$492*EFEITO!$Z$492</f>
        <v>44986.365321712496</v>
      </c>
      <c r="L492" s="46">
        <f>EFEITO!$N$492*EFEITO!$AA$492</f>
        <v>86729.765947364838</v>
      </c>
      <c r="M492" s="46">
        <f>$J$492-EFEITO!$K$492*EFEITO!$Y$492</f>
        <v>0</v>
      </c>
      <c r="N492" s="46">
        <f ca="1">$K$492-EFEITO!$M$492*EFEITO!$Z$492</f>
        <v>0</v>
      </c>
      <c r="O492" s="46">
        <f>$L$492-EFEITO!$O$492*EFEITO!$AA$492</f>
        <v>0</v>
      </c>
      <c r="P492" s="38"/>
      <c r="Q492" s="38"/>
      <c r="R492" s="38"/>
      <c r="S492" s="38"/>
      <c r="T492" s="38"/>
      <c r="U492" s="38"/>
      <c r="V492" s="38"/>
      <c r="W492" s="38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</row>
    <row r="493" spans="1:36" ht="11.25" customHeight="1" x14ac:dyDescent="0.2">
      <c r="A493" s="35" t="s">
        <v>21</v>
      </c>
      <c r="B493" s="35" t="s">
        <v>41</v>
      </c>
      <c r="C493" s="35" t="s">
        <v>44</v>
      </c>
      <c r="D493" s="35" t="s">
        <v>45</v>
      </c>
      <c r="E493" s="35" t="s">
        <v>25</v>
      </c>
      <c r="F493" s="35" t="s">
        <v>25</v>
      </c>
      <c r="G493" s="35" t="s">
        <v>25</v>
      </c>
      <c r="H493" s="35" t="s">
        <v>37</v>
      </c>
      <c r="I493" s="45">
        <v>44774</v>
      </c>
      <c r="J493" s="46">
        <f>EFEITO!$J$493*EFEITO!$Y$493</f>
        <v>0</v>
      </c>
      <c r="K493" s="46">
        <f ca="1">EFEITO!$L$493*EFEITO!$Z$493</f>
        <v>386733.73852542741</v>
      </c>
      <c r="L493" s="46">
        <f>EFEITO!$N$493*EFEITO!$AA$493</f>
        <v>745588.72196930135</v>
      </c>
      <c r="M493" s="46">
        <f>$J$493-EFEITO!$K$493*EFEITO!$Y$493</f>
        <v>0</v>
      </c>
      <c r="N493" s="46">
        <f ca="1">$K$493-EFEITO!$M$493*EFEITO!$Z$493</f>
        <v>0</v>
      </c>
      <c r="O493" s="46">
        <f>$L$493-EFEITO!$O$493*EFEITO!$AA$493</f>
        <v>0</v>
      </c>
      <c r="P493" s="38"/>
      <c r="Q493" s="38"/>
      <c r="R493" s="38"/>
      <c r="S493" s="38"/>
      <c r="T493" s="38"/>
      <c r="U493" s="38"/>
      <c r="V493" s="38"/>
      <c r="W493" s="38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</row>
    <row r="494" spans="1:36" ht="11.25" customHeight="1" x14ac:dyDescent="0.2">
      <c r="A494" s="35" t="s">
        <v>28</v>
      </c>
      <c r="B494" s="35" t="s">
        <v>41</v>
      </c>
      <c r="C494" s="35" t="s">
        <v>44</v>
      </c>
      <c r="D494" s="35" t="s">
        <v>45</v>
      </c>
      <c r="E494" s="35" t="s">
        <v>25</v>
      </c>
      <c r="F494" s="35" t="s">
        <v>25</v>
      </c>
      <c r="G494" s="35" t="s">
        <v>25</v>
      </c>
      <c r="H494" s="35" t="s">
        <v>37</v>
      </c>
      <c r="I494" s="45">
        <v>44774</v>
      </c>
      <c r="J494" s="46">
        <f>EFEITO!$J$494*EFEITO!$Y$494</f>
        <v>0</v>
      </c>
      <c r="K494" s="46">
        <f ca="1">EFEITO!$L$494*EFEITO!$Z$494</f>
        <v>80108.185211290707</v>
      </c>
      <c r="L494" s="46">
        <f>EFEITO!$N$494*EFEITO!$AA$494</f>
        <v>154441.55366092856</v>
      </c>
      <c r="M494" s="46">
        <f>$J$494-EFEITO!$K$494*EFEITO!$Y$494</f>
        <v>0</v>
      </c>
      <c r="N494" s="46">
        <f ca="1">$K$494-EFEITO!$M$494*EFEITO!$Z$494</f>
        <v>0</v>
      </c>
      <c r="O494" s="46">
        <f>$L$494-EFEITO!$O$494*EFEITO!$AA$494</f>
        <v>0</v>
      </c>
      <c r="P494" s="38"/>
      <c r="Q494" s="38"/>
      <c r="R494" s="38"/>
      <c r="S494" s="38"/>
      <c r="T494" s="38"/>
      <c r="U494" s="38"/>
      <c r="V494" s="38"/>
      <c r="W494" s="38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</row>
    <row r="495" spans="1:36" ht="11.25" customHeight="1" x14ac:dyDescent="0.2">
      <c r="A495" s="35" t="s">
        <v>30</v>
      </c>
      <c r="B495" s="35" t="s">
        <v>41</v>
      </c>
      <c r="C495" s="35" t="s">
        <v>44</v>
      </c>
      <c r="D495" s="35" t="s">
        <v>45</v>
      </c>
      <c r="E495" s="35" t="s">
        <v>25</v>
      </c>
      <c r="F495" s="35" t="s">
        <v>25</v>
      </c>
      <c r="G495" s="35" t="s">
        <v>25</v>
      </c>
      <c r="H495" s="35" t="s">
        <v>37</v>
      </c>
      <c r="I495" s="45">
        <v>44774</v>
      </c>
      <c r="J495" s="46">
        <f>EFEITO!$J$495*EFEITO!$Y$495</f>
        <v>0</v>
      </c>
      <c r="K495" s="46">
        <f ca="1">EFEITO!$L$495*EFEITO!$Z$495</f>
        <v>48139.29931621148</v>
      </c>
      <c r="L495" s="46">
        <f>EFEITO!$N$495*EFEITO!$AA$495</f>
        <v>92808.346100147392</v>
      </c>
      <c r="M495" s="46">
        <f>$J$495-EFEITO!$K$495*EFEITO!$Y$495</f>
        <v>0</v>
      </c>
      <c r="N495" s="46">
        <f ca="1">$K$495-EFEITO!$M$495*EFEITO!$Z$495</f>
        <v>0</v>
      </c>
      <c r="O495" s="46">
        <f>$L$495-EFEITO!$O$495*EFEITO!$AA$495</f>
        <v>0</v>
      </c>
      <c r="P495" s="38"/>
      <c r="Q495" s="38"/>
      <c r="R495" s="38"/>
      <c r="S495" s="38"/>
      <c r="T495" s="38"/>
      <c r="U495" s="38"/>
      <c r="V495" s="38"/>
      <c r="W495" s="38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</row>
    <row r="496" spans="1:36" ht="11.25" customHeight="1" x14ac:dyDescent="0.2">
      <c r="A496" s="35" t="s">
        <v>30</v>
      </c>
      <c r="B496" s="35" t="s">
        <v>41</v>
      </c>
      <c r="C496" s="35" t="s">
        <v>44</v>
      </c>
      <c r="D496" s="35" t="s">
        <v>45</v>
      </c>
      <c r="E496" s="35" t="s">
        <v>25</v>
      </c>
      <c r="F496" s="35" t="s">
        <v>25</v>
      </c>
      <c r="G496" s="35" t="s">
        <v>25</v>
      </c>
      <c r="H496" s="35" t="s">
        <v>37</v>
      </c>
      <c r="I496" s="45">
        <v>44774</v>
      </c>
      <c r="J496" s="46">
        <f>EFEITO!$J$496*EFEITO!$Y$496</f>
        <v>0</v>
      </c>
      <c r="K496" s="46">
        <f ca="1">EFEITO!$L$496*EFEITO!$Z$496</f>
        <v>-4687.8851678174615</v>
      </c>
      <c r="L496" s="46">
        <f>EFEITO!$N$496*EFEITO!$AA$496</f>
        <v>-9037.831362577268</v>
      </c>
      <c r="M496" s="46">
        <f>$J$496-EFEITO!$K$496*EFEITO!$Y$496</f>
        <v>0</v>
      </c>
      <c r="N496" s="46">
        <f ca="1">$K$496-EFEITO!$M$496*EFEITO!$Z$496</f>
        <v>0</v>
      </c>
      <c r="O496" s="46">
        <f>$L$496-EFEITO!$O$496*EFEITO!$AA$496</f>
        <v>0</v>
      </c>
      <c r="P496" s="38"/>
      <c r="Q496" s="38"/>
      <c r="R496" s="38"/>
      <c r="S496" s="38"/>
      <c r="T496" s="38"/>
      <c r="U496" s="38"/>
      <c r="V496" s="38"/>
      <c r="W496" s="38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</row>
    <row r="497" spans="1:36" ht="11.25" customHeight="1" x14ac:dyDescent="0.2">
      <c r="A497" s="35" t="s">
        <v>21</v>
      </c>
      <c r="B497" s="35" t="s">
        <v>41</v>
      </c>
      <c r="C497" s="35" t="s">
        <v>44</v>
      </c>
      <c r="D497" s="35" t="s">
        <v>45</v>
      </c>
      <c r="E497" s="35" t="s">
        <v>25</v>
      </c>
      <c r="F497" s="35" t="s">
        <v>25</v>
      </c>
      <c r="G497" s="35" t="s">
        <v>25</v>
      </c>
      <c r="H497" s="35" t="s">
        <v>37</v>
      </c>
      <c r="I497" s="45">
        <v>44805</v>
      </c>
      <c r="J497" s="46">
        <f>EFEITO!$J$497*EFEITO!$Y$497</f>
        <v>0</v>
      </c>
      <c r="K497" s="46">
        <f ca="1">EFEITO!$L$497*EFEITO!$Z$497</f>
        <v>376896.75687803427</v>
      </c>
      <c r="L497" s="46">
        <f>EFEITO!$N$497*EFEITO!$AA$497</f>
        <v>726623.88429447007</v>
      </c>
      <c r="M497" s="46">
        <f>$J$497-EFEITO!$K$497*EFEITO!$Y$497</f>
        <v>0</v>
      </c>
      <c r="N497" s="46">
        <f ca="1">$K$497-EFEITO!$M$497*EFEITO!$Z$497</f>
        <v>0</v>
      </c>
      <c r="O497" s="46">
        <f>$L$497-EFEITO!$O$497*EFEITO!$AA$497</f>
        <v>0</v>
      </c>
      <c r="P497" s="38"/>
      <c r="Q497" s="38"/>
      <c r="R497" s="38"/>
      <c r="S497" s="38"/>
      <c r="T497" s="38"/>
      <c r="U497" s="38"/>
      <c r="V497" s="38"/>
      <c r="W497" s="38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</row>
    <row r="498" spans="1:36" ht="11.25" customHeight="1" x14ac:dyDescent="0.2">
      <c r="A498" s="35" t="s">
        <v>28</v>
      </c>
      <c r="B498" s="35" t="s">
        <v>41</v>
      </c>
      <c r="C498" s="35" t="s">
        <v>44</v>
      </c>
      <c r="D498" s="35" t="s">
        <v>45</v>
      </c>
      <c r="E498" s="35" t="s">
        <v>25</v>
      </c>
      <c r="F498" s="35" t="s">
        <v>25</v>
      </c>
      <c r="G498" s="35" t="s">
        <v>25</v>
      </c>
      <c r="H498" s="35" t="s">
        <v>37</v>
      </c>
      <c r="I498" s="45">
        <v>44805</v>
      </c>
      <c r="J498" s="46">
        <f>EFEITO!$J$498*EFEITO!$Y$498</f>
        <v>0</v>
      </c>
      <c r="K498" s="46">
        <f ca="1">EFEITO!$L$498*EFEITO!$Z$498</f>
        <v>77625.289391547267</v>
      </c>
      <c r="L498" s="46">
        <f>EFEITO!$N$498*EFEITO!$AA$498</f>
        <v>149654.74833051203</v>
      </c>
      <c r="M498" s="46">
        <f>$J$498-EFEITO!$K$498*EFEITO!$Y$498</f>
        <v>0</v>
      </c>
      <c r="N498" s="46">
        <f ca="1">$K$498-EFEITO!$M$498*EFEITO!$Z$498</f>
        <v>0</v>
      </c>
      <c r="O498" s="46">
        <f>$L$498-EFEITO!$O$498*EFEITO!$AA$498</f>
        <v>0</v>
      </c>
      <c r="P498" s="38"/>
      <c r="Q498" s="38"/>
      <c r="R498" s="38"/>
      <c r="S498" s="38"/>
      <c r="T498" s="38"/>
      <c r="U498" s="38"/>
      <c r="V498" s="38"/>
      <c r="W498" s="38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</row>
    <row r="499" spans="1:36" ht="11.25" customHeight="1" x14ac:dyDescent="0.2">
      <c r="A499" s="35" t="s">
        <v>30</v>
      </c>
      <c r="B499" s="35" t="s">
        <v>41</v>
      </c>
      <c r="C499" s="35" t="s">
        <v>44</v>
      </c>
      <c r="D499" s="35" t="s">
        <v>45</v>
      </c>
      <c r="E499" s="35" t="s">
        <v>25</v>
      </c>
      <c r="F499" s="35" t="s">
        <v>25</v>
      </c>
      <c r="G499" s="35" t="s">
        <v>25</v>
      </c>
      <c r="H499" s="35" t="s">
        <v>37</v>
      </c>
      <c r="I499" s="45">
        <v>44805</v>
      </c>
      <c r="J499" s="46">
        <f>EFEITO!$J$499*EFEITO!$Y$499</f>
        <v>0</v>
      </c>
      <c r="K499" s="46">
        <f ca="1">EFEITO!$L$499*EFEITO!$Z$499</f>
        <v>50629.454733582192</v>
      </c>
      <c r="L499" s="46">
        <f>EFEITO!$N$499*EFEITO!$AA$499</f>
        <v>97609.147297946925</v>
      </c>
      <c r="M499" s="46">
        <f>$J$499-EFEITO!$K$499*EFEITO!$Y$499</f>
        <v>0</v>
      </c>
      <c r="N499" s="46">
        <f ca="1">$K$499-EFEITO!$M$499*EFEITO!$Z$499</f>
        <v>0</v>
      </c>
      <c r="O499" s="46">
        <f>$L$499-EFEITO!$O$499*EFEITO!$AA$499</f>
        <v>0</v>
      </c>
      <c r="P499" s="38"/>
      <c r="Q499" s="38"/>
      <c r="R499" s="38"/>
      <c r="S499" s="38"/>
      <c r="T499" s="38"/>
      <c r="U499" s="38"/>
      <c r="V499" s="38"/>
      <c r="W499" s="38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</row>
    <row r="500" spans="1:36" ht="11.25" customHeight="1" x14ac:dyDescent="0.2">
      <c r="A500" s="35" t="s">
        <v>21</v>
      </c>
      <c r="B500" s="35" t="s">
        <v>41</v>
      </c>
      <c r="C500" s="35" t="s">
        <v>44</v>
      </c>
      <c r="D500" s="35" t="s">
        <v>45</v>
      </c>
      <c r="E500" s="35" t="s">
        <v>25</v>
      </c>
      <c r="F500" s="35" t="s">
        <v>25</v>
      </c>
      <c r="G500" s="35" t="s">
        <v>25</v>
      </c>
      <c r="H500" s="35" t="s">
        <v>37</v>
      </c>
      <c r="I500" s="45">
        <v>44835</v>
      </c>
      <c r="J500" s="46">
        <f>EFEITO!$J$500*EFEITO!$Y$500</f>
        <v>0</v>
      </c>
      <c r="K500" s="46">
        <f ca="1">EFEITO!$L$500*EFEITO!$Z$500</f>
        <v>378677.17319612519</v>
      </c>
      <c r="L500" s="46">
        <f>EFEITO!$N$500*EFEITO!$AA$500</f>
        <v>730056.37077015277</v>
      </c>
      <c r="M500" s="46">
        <f>$J$500-EFEITO!$K$500*EFEITO!$Y$500</f>
        <v>0</v>
      </c>
      <c r="N500" s="46">
        <f ca="1">$K$500-EFEITO!$M$500*EFEITO!$Z$500</f>
        <v>0</v>
      </c>
      <c r="O500" s="46">
        <f>$L$500-EFEITO!$O$500*EFEITO!$AA$500</f>
        <v>0</v>
      </c>
      <c r="P500" s="38"/>
      <c r="Q500" s="38"/>
      <c r="R500" s="38"/>
      <c r="S500" s="38"/>
      <c r="T500" s="38"/>
      <c r="U500" s="38"/>
      <c r="V500" s="38"/>
      <c r="W500" s="38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</row>
    <row r="501" spans="1:36" ht="11.25" customHeight="1" x14ac:dyDescent="0.2">
      <c r="A501" s="35" t="s">
        <v>28</v>
      </c>
      <c r="B501" s="35" t="s">
        <v>41</v>
      </c>
      <c r="C501" s="35" t="s">
        <v>44</v>
      </c>
      <c r="D501" s="35" t="s">
        <v>45</v>
      </c>
      <c r="E501" s="35" t="s">
        <v>25</v>
      </c>
      <c r="F501" s="35" t="s">
        <v>25</v>
      </c>
      <c r="G501" s="35" t="s">
        <v>25</v>
      </c>
      <c r="H501" s="35" t="s">
        <v>37</v>
      </c>
      <c r="I501" s="45">
        <v>44835</v>
      </c>
      <c r="J501" s="46">
        <f>EFEITO!$J$501*EFEITO!$Y$501</f>
        <v>0</v>
      </c>
      <c r="K501" s="46">
        <f ca="1">EFEITO!$L$501*EFEITO!$Z$501</f>
        <v>80841.631434072056</v>
      </c>
      <c r="L501" s="46">
        <f>EFEITO!$N$501*EFEITO!$AA$501</f>
        <v>155855.57363746807</v>
      </c>
      <c r="M501" s="46">
        <f>$J$501-EFEITO!$K$501*EFEITO!$Y$501</f>
        <v>0</v>
      </c>
      <c r="N501" s="46">
        <f ca="1">$K$501-EFEITO!$M$501*EFEITO!$Z$501</f>
        <v>0</v>
      </c>
      <c r="O501" s="46">
        <f>$L$501-EFEITO!$O$501*EFEITO!$AA$501</f>
        <v>0</v>
      </c>
      <c r="P501" s="38"/>
      <c r="Q501" s="38"/>
      <c r="R501" s="38"/>
      <c r="S501" s="38"/>
      <c r="T501" s="38"/>
      <c r="U501" s="38"/>
      <c r="V501" s="38"/>
      <c r="W501" s="38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</row>
    <row r="502" spans="1:36" ht="11.25" customHeight="1" x14ac:dyDescent="0.2">
      <c r="A502" s="35" t="s">
        <v>30</v>
      </c>
      <c r="B502" s="35" t="s">
        <v>41</v>
      </c>
      <c r="C502" s="35" t="s">
        <v>44</v>
      </c>
      <c r="D502" s="35" t="s">
        <v>45</v>
      </c>
      <c r="E502" s="35" t="s">
        <v>25</v>
      </c>
      <c r="F502" s="35" t="s">
        <v>25</v>
      </c>
      <c r="G502" s="35" t="s">
        <v>25</v>
      </c>
      <c r="H502" s="35" t="s">
        <v>37</v>
      </c>
      <c r="I502" s="45">
        <v>44835</v>
      </c>
      <c r="J502" s="46">
        <f>EFEITO!$J$502*EFEITO!$Y$502</f>
        <v>0</v>
      </c>
      <c r="K502" s="46">
        <f ca="1">EFEITO!$L$502*EFEITO!$Z$502</f>
        <v>50573.646576822459</v>
      </c>
      <c r="L502" s="46">
        <f>EFEITO!$N$502*EFEITO!$AA$502</f>
        <v>97501.554067440054</v>
      </c>
      <c r="M502" s="46">
        <f>$J$502-EFEITO!$K$502*EFEITO!$Y$502</f>
        <v>0</v>
      </c>
      <c r="N502" s="46">
        <f ca="1">$K$502-EFEITO!$M$502*EFEITO!$Z$502</f>
        <v>0</v>
      </c>
      <c r="O502" s="46">
        <f>$L$502-EFEITO!$O$502*EFEITO!$AA$502</f>
        <v>0</v>
      </c>
      <c r="P502" s="38"/>
      <c r="Q502" s="38"/>
      <c r="R502" s="38"/>
      <c r="S502" s="38"/>
      <c r="T502" s="38"/>
      <c r="U502" s="38"/>
      <c r="V502" s="38"/>
      <c r="W502" s="38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</row>
    <row r="503" spans="1:36" ht="11.25" customHeight="1" x14ac:dyDescent="0.2">
      <c r="A503" s="35" t="s">
        <v>59</v>
      </c>
      <c r="B503" s="35" t="s">
        <v>41</v>
      </c>
      <c r="C503" s="35" t="s">
        <v>44</v>
      </c>
      <c r="D503" s="35" t="s">
        <v>45</v>
      </c>
      <c r="E503" s="35" t="s">
        <v>25</v>
      </c>
      <c r="F503" s="35" t="s">
        <v>25</v>
      </c>
      <c r="G503" s="35" t="s">
        <v>25</v>
      </c>
      <c r="H503" s="35" t="s">
        <v>37</v>
      </c>
      <c r="I503" s="45">
        <v>44866</v>
      </c>
      <c r="J503" s="46">
        <f>EFEITO!$J$503*EFEITO!$Y$503</f>
        <v>0</v>
      </c>
      <c r="K503" s="46">
        <f ca="1">EFEITO!$L$503*EFEITO!$Z$503</f>
        <v>378677.17319612519</v>
      </c>
      <c r="L503" s="46">
        <f>EFEITO!$N$503*EFEITO!$AA$503</f>
        <v>730056.37077015277</v>
      </c>
      <c r="M503" s="46">
        <f>$J$503-EFEITO!$K$503*EFEITO!$Y$503</f>
        <v>0</v>
      </c>
      <c r="N503" s="46">
        <f ca="1">$K$503-EFEITO!$M$503*EFEITO!$Z$503</f>
        <v>0</v>
      </c>
      <c r="O503" s="46">
        <f>$L$503-EFEITO!$O$503*EFEITO!$AA$503</f>
        <v>0</v>
      </c>
      <c r="P503" s="38"/>
      <c r="Q503" s="38"/>
      <c r="R503" s="38"/>
      <c r="S503" s="38"/>
      <c r="T503" s="38"/>
      <c r="U503" s="38"/>
      <c r="V503" s="38"/>
      <c r="W503" s="38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</row>
    <row r="504" spans="1:36" ht="11.25" customHeight="1" x14ac:dyDescent="0.2">
      <c r="A504" s="35" t="s">
        <v>59</v>
      </c>
      <c r="B504" s="35" t="s">
        <v>41</v>
      </c>
      <c r="C504" s="35" t="s">
        <v>44</v>
      </c>
      <c r="D504" s="35" t="s">
        <v>45</v>
      </c>
      <c r="E504" s="35" t="s">
        <v>25</v>
      </c>
      <c r="F504" s="35" t="s">
        <v>25</v>
      </c>
      <c r="G504" s="35" t="s">
        <v>25</v>
      </c>
      <c r="H504" s="35" t="s">
        <v>37</v>
      </c>
      <c r="I504" s="45">
        <v>44866</v>
      </c>
      <c r="J504" s="46">
        <f>EFEITO!$J$504*EFEITO!$Y$504</f>
        <v>0</v>
      </c>
      <c r="K504" s="46">
        <f ca="1">EFEITO!$L$504*EFEITO!$Z$504</f>
        <v>80841.631434072056</v>
      </c>
      <c r="L504" s="46">
        <f>EFEITO!$N$504*EFEITO!$AA$504</f>
        <v>155855.57363746807</v>
      </c>
      <c r="M504" s="46">
        <f>$J$504-EFEITO!$K$504*EFEITO!$Y$504</f>
        <v>0</v>
      </c>
      <c r="N504" s="46">
        <f ca="1">$K$504-EFEITO!$M$504*EFEITO!$Z$504</f>
        <v>0</v>
      </c>
      <c r="O504" s="46">
        <f>$L$504-EFEITO!$O$504*EFEITO!$AA$504</f>
        <v>0</v>
      </c>
      <c r="P504" s="38"/>
      <c r="Q504" s="38"/>
      <c r="R504" s="38"/>
      <c r="S504" s="38"/>
      <c r="T504" s="38"/>
      <c r="U504" s="38"/>
      <c r="V504" s="38"/>
      <c r="W504" s="38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</row>
    <row r="505" spans="1:36" ht="11.25" customHeight="1" x14ac:dyDescent="0.2">
      <c r="A505" s="35" t="s">
        <v>59</v>
      </c>
      <c r="B505" s="35" t="s">
        <v>41</v>
      </c>
      <c r="C505" s="35" t="s">
        <v>44</v>
      </c>
      <c r="D505" s="35" t="s">
        <v>45</v>
      </c>
      <c r="E505" s="35" t="s">
        <v>25</v>
      </c>
      <c r="F505" s="35" t="s">
        <v>25</v>
      </c>
      <c r="G505" s="35" t="s">
        <v>25</v>
      </c>
      <c r="H505" s="35" t="s">
        <v>37</v>
      </c>
      <c r="I505" s="45">
        <v>44866</v>
      </c>
      <c r="J505" s="46">
        <f>EFEITO!$J$505*EFEITO!$Y$505</f>
        <v>0</v>
      </c>
      <c r="K505" s="46">
        <f ca="1">EFEITO!$L$505*EFEITO!$Z$505</f>
        <v>50573.646576822459</v>
      </c>
      <c r="L505" s="46">
        <f>EFEITO!$N$505*EFEITO!$AA$505</f>
        <v>97501.554067440054</v>
      </c>
      <c r="M505" s="46">
        <f>$J$505-EFEITO!$K$505*EFEITO!$Y$505</f>
        <v>0</v>
      </c>
      <c r="N505" s="46">
        <f ca="1">$K$505-EFEITO!$M$505*EFEITO!$Z$505</f>
        <v>0</v>
      </c>
      <c r="O505" s="46">
        <f>$L$505-EFEITO!$O$505*EFEITO!$AA$505</f>
        <v>0</v>
      </c>
      <c r="P505" s="38"/>
      <c r="Q505" s="38"/>
      <c r="R505" s="38"/>
      <c r="S505" s="38"/>
      <c r="T505" s="38"/>
      <c r="U505" s="38"/>
      <c r="V505" s="38"/>
      <c r="W505" s="38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</row>
    <row r="506" spans="1:36" ht="11.25" customHeight="1" x14ac:dyDescent="0.2">
      <c r="A506" s="35" t="s">
        <v>21</v>
      </c>
      <c r="B506" s="35" t="s">
        <v>41</v>
      </c>
      <c r="C506" s="35" t="s">
        <v>44</v>
      </c>
      <c r="D506" s="35" t="s">
        <v>45</v>
      </c>
      <c r="E506" s="35" t="s">
        <v>25</v>
      </c>
      <c r="F506" s="35" t="s">
        <v>25</v>
      </c>
      <c r="G506" s="35" t="s">
        <v>25</v>
      </c>
      <c r="H506" s="35" t="s">
        <v>25</v>
      </c>
      <c r="I506" s="45">
        <v>44531</v>
      </c>
      <c r="J506" s="46">
        <f ca="1">EFEITO!$J$506*EFEITO!$Y$506</f>
        <v>427600.77563754295</v>
      </c>
      <c r="K506" s="46">
        <f>EFEITO!$L$506*EFEITO!$Z$506</f>
        <v>0</v>
      </c>
      <c r="L506" s="46">
        <f>EFEITO!$N$506*EFEITO!$AA$506</f>
        <v>0</v>
      </c>
      <c r="M506" s="46">
        <f ca="1">$J$506-EFEITO!$K$506*EFEITO!$Y$506</f>
        <v>0</v>
      </c>
      <c r="N506" s="46">
        <f>$K$506-EFEITO!$M$506*EFEITO!$Z$506</f>
        <v>0</v>
      </c>
      <c r="O506" s="46">
        <f>$L$506-EFEITO!$O$506*EFEITO!$AA$506</f>
        <v>0</v>
      </c>
      <c r="P506" s="38"/>
      <c r="Q506" s="38"/>
      <c r="R506" s="38"/>
      <c r="S506" s="38"/>
      <c r="T506" s="38"/>
      <c r="U506" s="38"/>
      <c r="V506" s="38"/>
      <c r="W506" s="38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</row>
    <row r="507" spans="1:36" ht="11.25" customHeight="1" x14ac:dyDescent="0.2">
      <c r="A507" s="35" t="s">
        <v>28</v>
      </c>
      <c r="B507" s="35" t="s">
        <v>41</v>
      </c>
      <c r="C507" s="35" t="s">
        <v>44</v>
      </c>
      <c r="D507" s="35" t="s">
        <v>45</v>
      </c>
      <c r="E507" s="35" t="s">
        <v>25</v>
      </c>
      <c r="F507" s="35" t="s">
        <v>25</v>
      </c>
      <c r="G507" s="35" t="s">
        <v>25</v>
      </c>
      <c r="H507" s="35" t="s">
        <v>25</v>
      </c>
      <c r="I507" s="45">
        <v>44531</v>
      </c>
      <c r="J507" s="46">
        <f ca="1">EFEITO!$J$507*EFEITO!$Y$507</f>
        <v>75925.834378221523</v>
      </c>
      <c r="K507" s="46">
        <f>EFEITO!$L$507*EFEITO!$Z$507</f>
        <v>0</v>
      </c>
      <c r="L507" s="46">
        <f>EFEITO!$N$507*EFEITO!$AA$507</f>
        <v>0</v>
      </c>
      <c r="M507" s="46">
        <f ca="1">$J$507-EFEITO!$K$507*EFEITO!$Y$507</f>
        <v>0</v>
      </c>
      <c r="N507" s="46">
        <f>$K$507-EFEITO!$M$507*EFEITO!$Z$507</f>
        <v>0</v>
      </c>
      <c r="O507" s="46">
        <f>$L$507-EFEITO!$O$507*EFEITO!$AA$507</f>
        <v>0</v>
      </c>
      <c r="P507" s="38"/>
      <c r="Q507" s="38"/>
      <c r="R507" s="38"/>
      <c r="S507" s="38"/>
      <c r="T507" s="38"/>
      <c r="U507" s="38"/>
      <c r="V507" s="38"/>
      <c r="W507" s="38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</row>
    <row r="508" spans="1:36" ht="11.25" customHeight="1" x14ac:dyDescent="0.2">
      <c r="A508" s="35" t="s">
        <v>30</v>
      </c>
      <c r="B508" s="35" t="s">
        <v>41</v>
      </c>
      <c r="C508" s="35" t="s">
        <v>44</v>
      </c>
      <c r="D508" s="35" t="s">
        <v>45</v>
      </c>
      <c r="E508" s="35" t="s">
        <v>25</v>
      </c>
      <c r="F508" s="35" t="s">
        <v>25</v>
      </c>
      <c r="G508" s="35" t="s">
        <v>25</v>
      </c>
      <c r="H508" s="35" t="s">
        <v>25</v>
      </c>
      <c r="I508" s="45">
        <v>44531</v>
      </c>
      <c r="J508" s="46">
        <f ca="1">EFEITO!$J$508*EFEITO!$Y$508</f>
        <v>50630.966395034498</v>
      </c>
      <c r="K508" s="46">
        <f>EFEITO!$L$508*EFEITO!$Z$508</f>
        <v>0</v>
      </c>
      <c r="L508" s="46">
        <f>EFEITO!$N$508*EFEITO!$AA$508</f>
        <v>0</v>
      </c>
      <c r="M508" s="46">
        <f ca="1">$J$508-EFEITO!$K$508*EFEITO!$Y$508</f>
        <v>0</v>
      </c>
      <c r="N508" s="46">
        <f>$K$508-EFEITO!$M$508*EFEITO!$Z$508</f>
        <v>0</v>
      </c>
      <c r="O508" s="46">
        <f>$L$508-EFEITO!$O$508*EFEITO!$AA$508</f>
        <v>0</v>
      </c>
      <c r="P508" s="38"/>
      <c r="Q508" s="38"/>
      <c r="R508" s="38"/>
      <c r="S508" s="38"/>
      <c r="T508" s="38"/>
      <c r="U508" s="38"/>
      <c r="V508" s="38"/>
      <c r="W508" s="38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</row>
    <row r="509" spans="1:36" ht="11.25" customHeight="1" x14ac:dyDescent="0.2">
      <c r="A509" s="35" t="s">
        <v>21</v>
      </c>
      <c r="B509" s="35" t="s">
        <v>41</v>
      </c>
      <c r="C509" s="35" t="s">
        <v>44</v>
      </c>
      <c r="D509" s="35" t="s">
        <v>45</v>
      </c>
      <c r="E509" s="35" t="s">
        <v>25</v>
      </c>
      <c r="F509" s="35" t="s">
        <v>25</v>
      </c>
      <c r="G509" s="35" t="s">
        <v>25</v>
      </c>
      <c r="H509" s="35" t="s">
        <v>25</v>
      </c>
      <c r="I509" s="45">
        <v>44562</v>
      </c>
      <c r="J509" s="46">
        <f ca="1">EFEITO!$J$509*EFEITO!$Y$509</f>
        <v>422508.81769797718</v>
      </c>
      <c r="K509" s="46">
        <f>EFEITO!$L$509*EFEITO!$Z$509</f>
        <v>0</v>
      </c>
      <c r="L509" s="46">
        <f>EFEITO!$N$509*EFEITO!$AA$509</f>
        <v>0</v>
      </c>
      <c r="M509" s="46">
        <f ca="1">$J$509-EFEITO!$K$509*EFEITO!$Y$509</f>
        <v>0</v>
      </c>
      <c r="N509" s="46">
        <f>$K$509-EFEITO!$M$509*EFEITO!$Z$509</f>
        <v>0</v>
      </c>
      <c r="O509" s="46">
        <f>$L$509-EFEITO!$O$509*EFEITO!$AA$509</f>
        <v>0</v>
      </c>
      <c r="P509" s="38"/>
      <c r="Q509" s="38"/>
      <c r="R509" s="38"/>
      <c r="S509" s="38"/>
      <c r="T509" s="38"/>
      <c r="U509" s="38"/>
      <c r="V509" s="38"/>
      <c r="W509" s="38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</row>
    <row r="510" spans="1:36" ht="11.25" customHeight="1" x14ac:dyDescent="0.2">
      <c r="A510" s="35" t="s">
        <v>28</v>
      </c>
      <c r="B510" s="35" t="s">
        <v>41</v>
      </c>
      <c r="C510" s="35" t="s">
        <v>44</v>
      </c>
      <c r="D510" s="35" t="s">
        <v>45</v>
      </c>
      <c r="E510" s="35" t="s">
        <v>25</v>
      </c>
      <c r="F510" s="35" t="s">
        <v>25</v>
      </c>
      <c r="G510" s="35" t="s">
        <v>25</v>
      </c>
      <c r="H510" s="35" t="s">
        <v>25</v>
      </c>
      <c r="I510" s="45">
        <v>44562</v>
      </c>
      <c r="J510" s="46">
        <f ca="1">EFEITO!$J$510*EFEITO!$Y$510</f>
        <v>75204.301876663623</v>
      </c>
      <c r="K510" s="46">
        <f>EFEITO!$L$510*EFEITO!$Z$510</f>
        <v>0</v>
      </c>
      <c r="L510" s="46">
        <f>EFEITO!$N$510*EFEITO!$AA$510</f>
        <v>0</v>
      </c>
      <c r="M510" s="46">
        <f ca="1">$J$510-EFEITO!$K$510*EFEITO!$Y$510</f>
        <v>0</v>
      </c>
      <c r="N510" s="46">
        <f>$K$510-EFEITO!$M$510*EFEITO!$Z$510</f>
        <v>0</v>
      </c>
      <c r="O510" s="46">
        <f>$L$510-EFEITO!$O$510*EFEITO!$AA$510</f>
        <v>0</v>
      </c>
      <c r="P510" s="38"/>
      <c r="Q510" s="38"/>
      <c r="R510" s="38"/>
      <c r="S510" s="38"/>
      <c r="T510" s="38"/>
      <c r="U510" s="38"/>
      <c r="V510" s="38"/>
      <c r="W510" s="38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</row>
    <row r="511" spans="1:36" ht="11.25" customHeight="1" x14ac:dyDescent="0.2">
      <c r="A511" s="35" t="s">
        <v>30</v>
      </c>
      <c r="B511" s="35" t="s">
        <v>41</v>
      </c>
      <c r="C511" s="35" t="s">
        <v>44</v>
      </c>
      <c r="D511" s="35" t="s">
        <v>45</v>
      </c>
      <c r="E511" s="35" t="s">
        <v>25</v>
      </c>
      <c r="F511" s="35" t="s">
        <v>25</v>
      </c>
      <c r="G511" s="35" t="s">
        <v>25</v>
      </c>
      <c r="H511" s="35" t="s">
        <v>25</v>
      </c>
      <c r="I511" s="45">
        <v>44562</v>
      </c>
      <c r="J511" s="46">
        <f ca="1">EFEITO!$J$511*EFEITO!$Y$511</f>
        <v>55166.313547684163</v>
      </c>
      <c r="K511" s="46">
        <f>EFEITO!$L$511*EFEITO!$Z$511</f>
        <v>0</v>
      </c>
      <c r="L511" s="46">
        <f>EFEITO!$N$511*EFEITO!$AA$511</f>
        <v>0</v>
      </c>
      <c r="M511" s="46">
        <f ca="1">$J$511-EFEITO!$K$511*EFEITO!$Y$511</f>
        <v>0</v>
      </c>
      <c r="N511" s="46">
        <f>$K$511-EFEITO!$M$511*EFEITO!$Z$511</f>
        <v>0</v>
      </c>
      <c r="O511" s="46">
        <f>$L$511-EFEITO!$O$511*EFEITO!$AA$511</f>
        <v>0</v>
      </c>
      <c r="P511" s="38"/>
      <c r="Q511" s="38"/>
      <c r="R511" s="38"/>
      <c r="S511" s="38"/>
      <c r="T511" s="38"/>
      <c r="U511" s="38"/>
      <c r="V511" s="38"/>
      <c r="W511" s="38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</row>
    <row r="512" spans="1:36" ht="11.25" customHeight="1" x14ac:dyDescent="0.2">
      <c r="A512" s="35" t="s">
        <v>21</v>
      </c>
      <c r="B512" s="35" t="s">
        <v>41</v>
      </c>
      <c r="C512" s="35" t="s">
        <v>44</v>
      </c>
      <c r="D512" s="35" t="s">
        <v>45</v>
      </c>
      <c r="E512" s="35" t="s">
        <v>25</v>
      </c>
      <c r="F512" s="35" t="s">
        <v>25</v>
      </c>
      <c r="G512" s="35" t="s">
        <v>25</v>
      </c>
      <c r="H512" s="35" t="s">
        <v>25</v>
      </c>
      <c r="I512" s="45">
        <v>44593</v>
      </c>
      <c r="J512" s="46">
        <f ca="1">EFEITO!$J$512*EFEITO!$Y$512</f>
        <v>422694.35462694924</v>
      </c>
      <c r="K512" s="46">
        <f>EFEITO!$L$512*EFEITO!$Z$512</f>
        <v>0</v>
      </c>
      <c r="L512" s="46">
        <f>EFEITO!$N$512*EFEITO!$AA$512</f>
        <v>0</v>
      </c>
      <c r="M512" s="46">
        <f ca="1">$J$512-EFEITO!$K$512*EFEITO!$Y$512</f>
        <v>0</v>
      </c>
      <c r="N512" s="46">
        <f>$K$512-EFEITO!$M$512*EFEITO!$Z$512</f>
        <v>0</v>
      </c>
      <c r="O512" s="46">
        <f>$L$512-EFEITO!$O$512*EFEITO!$AA$512</f>
        <v>0</v>
      </c>
      <c r="P512" s="38"/>
      <c r="Q512" s="38"/>
      <c r="R512" s="38"/>
      <c r="S512" s="38"/>
      <c r="T512" s="38"/>
      <c r="U512" s="38"/>
      <c r="V512" s="38"/>
      <c r="W512" s="38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</row>
    <row r="513" spans="1:36" ht="11.25" customHeight="1" x14ac:dyDescent="0.2">
      <c r="A513" s="35" t="s">
        <v>28</v>
      </c>
      <c r="B513" s="35" t="s">
        <v>41</v>
      </c>
      <c r="C513" s="35" t="s">
        <v>44</v>
      </c>
      <c r="D513" s="35" t="s">
        <v>45</v>
      </c>
      <c r="E513" s="35" t="s">
        <v>25</v>
      </c>
      <c r="F513" s="35" t="s">
        <v>25</v>
      </c>
      <c r="G513" s="35" t="s">
        <v>25</v>
      </c>
      <c r="H513" s="35" t="s">
        <v>25</v>
      </c>
      <c r="I513" s="45">
        <v>44593</v>
      </c>
      <c r="J513" s="46">
        <f ca="1">EFEITO!$J$513*EFEITO!$Y$513</f>
        <v>79615.957743331935</v>
      </c>
      <c r="K513" s="46">
        <f>EFEITO!$L$513*EFEITO!$Z$513</f>
        <v>0</v>
      </c>
      <c r="L513" s="46">
        <f>EFEITO!$N$513*EFEITO!$AA$513</f>
        <v>0</v>
      </c>
      <c r="M513" s="46">
        <f ca="1">$J$513-EFEITO!$K$513*EFEITO!$Y$513</f>
        <v>0</v>
      </c>
      <c r="N513" s="46">
        <f>$K$513-EFEITO!$M$513*EFEITO!$Z$513</f>
        <v>0</v>
      </c>
      <c r="O513" s="46">
        <f>$L$513-EFEITO!$O$513*EFEITO!$AA$513</f>
        <v>0</v>
      </c>
      <c r="P513" s="38"/>
      <c r="Q513" s="38"/>
      <c r="R513" s="38"/>
      <c r="S513" s="38"/>
      <c r="T513" s="38"/>
      <c r="U513" s="38"/>
      <c r="V513" s="38"/>
      <c r="W513" s="38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</row>
    <row r="514" spans="1:36" ht="11.25" customHeight="1" x14ac:dyDescent="0.2">
      <c r="A514" s="35" t="s">
        <v>30</v>
      </c>
      <c r="B514" s="35" t="s">
        <v>41</v>
      </c>
      <c r="C514" s="35" t="s">
        <v>44</v>
      </c>
      <c r="D514" s="35" t="s">
        <v>45</v>
      </c>
      <c r="E514" s="35" t="s">
        <v>25</v>
      </c>
      <c r="F514" s="35" t="s">
        <v>25</v>
      </c>
      <c r="G514" s="35" t="s">
        <v>25</v>
      </c>
      <c r="H514" s="35" t="s">
        <v>25</v>
      </c>
      <c r="I514" s="45">
        <v>44593</v>
      </c>
      <c r="J514" s="46">
        <f ca="1">EFEITO!$J$514*EFEITO!$Y$514</f>
        <v>67143.753073545333</v>
      </c>
      <c r="K514" s="46">
        <f>EFEITO!$L$514*EFEITO!$Z$514</f>
        <v>0</v>
      </c>
      <c r="L514" s="46">
        <f>EFEITO!$N$514*EFEITO!$AA$514</f>
        <v>0</v>
      </c>
      <c r="M514" s="46">
        <f ca="1">$J$514-EFEITO!$K$514*EFEITO!$Y$514</f>
        <v>0</v>
      </c>
      <c r="N514" s="46">
        <f>$K$514-EFEITO!$M$514*EFEITO!$Z$514</f>
        <v>0</v>
      </c>
      <c r="O514" s="46">
        <f>$L$514-EFEITO!$O$514*EFEITO!$AA$514</f>
        <v>0</v>
      </c>
      <c r="P514" s="38"/>
      <c r="Q514" s="38"/>
      <c r="R514" s="38"/>
      <c r="S514" s="38"/>
      <c r="T514" s="38"/>
      <c r="U514" s="38"/>
      <c r="V514" s="38"/>
      <c r="W514" s="38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</row>
    <row r="515" spans="1:36" ht="11.25" customHeight="1" x14ac:dyDescent="0.2">
      <c r="A515" s="35" t="s">
        <v>21</v>
      </c>
      <c r="B515" s="35" t="s">
        <v>41</v>
      </c>
      <c r="C515" s="35" t="s">
        <v>44</v>
      </c>
      <c r="D515" s="35" t="s">
        <v>45</v>
      </c>
      <c r="E515" s="35" t="s">
        <v>25</v>
      </c>
      <c r="F515" s="35" t="s">
        <v>25</v>
      </c>
      <c r="G515" s="35" t="s">
        <v>25</v>
      </c>
      <c r="H515" s="35" t="s">
        <v>25</v>
      </c>
      <c r="I515" s="45">
        <v>44621</v>
      </c>
      <c r="J515" s="46">
        <f ca="1">EFEITO!$J$515*EFEITO!$Y$515</f>
        <v>424446.64784501842</v>
      </c>
      <c r="K515" s="46">
        <f>EFEITO!$L$515*EFEITO!$Z$515</f>
        <v>0</v>
      </c>
      <c r="L515" s="46">
        <f>EFEITO!$N$515*EFEITO!$AA$515</f>
        <v>0</v>
      </c>
      <c r="M515" s="46">
        <f ca="1">$J$515-EFEITO!$K$515*EFEITO!$Y$515</f>
        <v>0</v>
      </c>
      <c r="N515" s="46">
        <f>$K$515-EFEITO!$M$515*EFEITO!$Z$515</f>
        <v>0</v>
      </c>
      <c r="O515" s="46">
        <f>$L$515-EFEITO!$O$515*EFEITO!$AA$515</f>
        <v>0</v>
      </c>
      <c r="P515" s="38"/>
      <c r="Q515" s="38"/>
      <c r="R515" s="38"/>
      <c r="S515" s="38"/>
      <c r="T515" s="38"/>
      <c r="U515" s="38"/>
      <c r="V515" s="38"/>
      <c r="W515" s="38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</row>
    <row r="516" spans="1:36" ht="11.25" customHeight="1" x14ac:dyDescent="0.2">
      <c r="A516" s="35" t="s">
        <v>28</v>
      </c>
      <c r="B516" s="35" t="s">
        <v>41</v>
      </c>
      <c r="C516" s="35" t="s">
        <v>44</v>
      </c>
      <c r="D516" s="35" t="s">
        <v>45</v>
      </c>
      <c r="E516" s="35" t="s">
        <v>25</v>
      </c>
      <c r="F516" s="35" t="s">
        <v>25</v>
      </c>
      <c r="G516" s="35" t="s">
        <v>25</v>
      </c>
      <c r="H516" s="35" t="s">
        <v>25</v>
      </c>
      <c r="I516" s="45">
        <v>44621</v>
      </c>
      <c r="J516" s="46">
        <f ca="1">EFEITO!$J$516*EFEITO!$Y$516</f>
        <v>79698.418600652833</v>
      </c>
      <c r="K516" s="46">
        <f>EFEITO!$L$516*EFEITO!$Z$516</f>
        <v>0</v>
      </c>
      <c r="L516" s="46">
        <f>EFEITO!$N$516*EFEITO!$AA$516</f>
        <v>0</v>
      </c>
      <c r="M516" s="46">
        <f ca="1">$J$516-EFEITO!$K$516*EFEITO!$Y$516</f>
        <v>0</v>
      </c>
      <c r="N516" s="46">
        <f>$K$516-EFEITO!$M$516*EFEITO!$Z$516</f>
        <v>0</v>
      </c>
      <c r="O516" s="46">
        <f>$L$516-EFEITO!$O$516*EFEITO!$AA$516</f>
        <v>0</v>
      </c>
      <c r="P516" s="38"/>
      <c r="Q516" s="38"/>
      <c r="R516" s="38"/>
      <c r="S516" s="38"/>
      <c r="T516" s="38"/>
      <c r="U516" s="38"/>
      <c r="V516" s="38"/>
      <c r="W516" s="38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</row>
    <row r="517" spans="1:36" ht="11.25" customHeight="1" x14ac:dyDescent="0.2">
      <c r="A517" s="35" t="s">
        <v>30</v>
      </c>
      <c r="B517" s="35" t="s">
        <v>41</v>
      </c>
      <c r="C517" s="35" t="s">
        <v>44</v>
      </c>
      <c r="D517" s="35" t="s">
        <v>45</v>
      </c>
      <c r="E517" s="35" t="s">
        <v>25</v>
      </c>
      <c r="F517" s="35" t="s">
        <v>25</v>
      </c>
      <c r="G517" s="35" t="s">
        <v>25</v>
      </c>
      <c r="H517" s="35" t="s">
        <v>25</v>
      </c>
      <c r="I517" s="45">
        <v>44621</v>
      </c>
      <c r="J517" s="46">
        <f ca="1">EFEITO!$J$517*EFEITO!$Y$517</f>
        <v>69658.809221832882</v>
      </c>
      <c r="K517" s="46">
        <f>EFEITO!$L$517*EFEITO!$Z$517</f>
        <v>0</v>
      </c>
      <c r="L517" s="46">
        <f>EFEITO!$N$517*EFEITO!$AA$517</f>
        <v>0</v>
      </c>
      <c r="M517" s="46">
        <f ca="1">$J$517-EFEITO!$K$517*EFEITO!$Y$517</f>
        <v>0</v>
      </c>
      <c r="N517" s="46">
        <f>$K$517-EFEITO!$M$517*EFEITO!$Z$517</f>
        <v>0</v>
      </c>
      <c r="O517" s="46">
        <f>$L$517-EFEITO!$O$517*EFEITO!$AA$517</f>
        <v>0</v>
      </c>
      <c r="P517" s="38"/>
      <c r="Q517" s="38"/>
      <c r="R517" s="38"/>
      <c r="S517" s="38"/>
      <c r="T517" s="38"/>
      <c r="U517" s="38"/>
      <c r="V517" s="38"/>
      <c r="W517" s="38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</row>
    <row r="518" spans="1:36" ht="11.25" customHeight="1" x14ac:dyDescent="0.2">
      <c r="A518" s="35" t="s">
        <v>21</v>
      </c>
      <c r="B518" s="35" t="s">
        <v>41</v>
      </c>
      <c r="C518" s="35" t="s">
        <v>44</v>
      </c>
      <c r="D518" s="35" t="s">
        <v>45</v>
      </c>
      <c r="E518" s="35" t="s">
        <v>25</v>
      </c>
      <c r="F518" s="35" t="s">
        <v>25</v>
      </c>
      <c r="G518" s="35" t="s">
        <v>25</v>
      </c>
      <c r="H518" s="35" t="s">
        <v>25</v>
      </c>
      <c r="I518" s="45">
        <v>44652</v>
      </c>
      <c r="J518" s="46">
        <f ca="1">EFEITO!$J$518*EFEITO!$Y$518</f>
        <v>429909.67964252824</v>
      </c>
      <c r="K518" s="46">
        <f>EFEITO!$L$518*EFEITO!$Z$518</f>
        <v>0</v>
      </c>
      <c r="L518" s="46">
        <f>EFEITO!$N$518*EFEITO!$AA$518</f>
        <v>0</v>
      </c>
      <c r="M518" s="46">
        <f ca="1">$J$518-EFEITO!$K$518*EFEITO!$Y$518</f>
        <v>0</v>
      </c>
      <c r="N518" s="46">
        <f>$K$518-EFEITO!$M$518*EFEITO!$Z$518</f>
        <v>0</v>
      </c>
      <c r="O518" s="46">
        <f>$L$518-EFEITO!$O$518*EFEITO!$AA$518</f>
        <v>0</v>
      </c>
      <c r="P518" s="38"/>
      <c r="Q518" s="38"/>
      <c r="R518" s="38"/>
      <c r="S518" s="38"/>
      <c r="T518" s="38"/>
      <c r="U518" s="38"/>
      <c r="V518" s="38"/>
      <c r="W518" s="38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</row>
    <row r="519" spans="1:36" ht="11.25" customHeight="1" x14ac:dyDescent="0.2">
      <c r="A519" s="35" t="s">
        <v>28</v>
      </c>
      <c r="B519" s="35" t="s">
        <v>41</v>
      </c>
      <c r="C519" s="35" t="s">
        <v>44</v>
      </c>
      <c r="D519" s="35" t="s">
        <v>45</v>
      </c>
      <c r="E519" s="35" t="s">
        <v>25</v>
      </c>
      <c r="F519" s="35" t="s">
        <v>25</v>
      </c>
      <c r="G519" s="35" t="s">
        <v>25</v>
      </c>
      <c r="H519" s="35" t="s">
        <v>25</v>
      </c>
      <c r="I519" s="45">
        <v>44652</v>
      </c>
      <c r="J519" s="46">
        <f ca="1">EFEITO!$J$519*EFEITO!$Y$519</f>
        <v>80852.870603145479</v>
      </c>
      <c r="K519" s="46">
        <f>EFEITO!$L$519*EFEITO!$Z$519</f>
        <v>0</v>
      </c>
      <c r="L519" s="46">
        <f>EFEITO!$N$519*EFEITO!$AA$519</f>
        <v>0</v>
      </c>
      <c r="M519" s="46">
        <f ca="1">$J$519-EFEITO!$K$519*EFEITO!$Y$519</f>
        <v>0</v>
      </c>
      <c r="N519" s="46">
        <f>$K$519-EFEITO!$M$519*EFEITO!$Z$519</f>
        <v>0</v>
      </c>
      <c r="O519" s="46">
        <f>$L$519-EFEITO!$O$519*EFEITO!$AA$519</f>
        <v>0</v>
      </c>
      <c r="P519" s="38"/>
      <c r="Q519" s="38"/>
      <c r="R519" s="38"/>
      <c r="S519" s="38"/>
      <c r="T519" s="38"/>
      <c r="U519" s="38"/>
      <c r="V519" s="38"/>
      <c r="W519" s="38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</row>
    <row r="520" spans="1:36" ht="11.25" customHeight="1" x14ac:dyDescent="0.2">
      <c r="A520" s="35" t="s">
        <v>30</v>
      </c>
      <c r="B520" s="35" t="s">
        <v>41</v>
      </c>
      <c r="C520" s="35" t="s">
        <v>44</v>
      </c>
      <c r="D520" s="35" t="s">
        <v>45</v>
      </c>
      <c r="E520" s="35" t="s">
        <v>25</v>
      </c>
      <c r="F520" s="35" t="s">
        <v>25</v>
      </c>
      <c r="G520" s="35" t="s">
        <v>25</v>
      </c>
      <c r="H520" s="35" t="s">
        <v>25</v>
      </c>
      <c r="I520" s="45">
        <v>44652</v>
      </c>
      <c r="J520" s="46">
        <f ca="1">EFEITO!$J$520*EFEITO!$Y$520</f>
        <v>71905.867583827494</v>
      </c>
      <c r="K520" s="46">
        <f>EFEITO!$L$520*EFEITO!$Z$520</f>
        <v>0</v>
      </c>
      <c r="L520" s="46">
        <f>EFEITO!$N$520*EFEITO!$AA$520</f>
        <v>0</v>
      </c>
      <c r="M520" s="46">
        <f ca="1">$J$520-EFEITO!$K$520*EFEITO!$Y$520</f>
        <v>0</v>
      </c>
      <c r="N520" s="46">
        <f>$K$520-EFEITO!$M$520*EFEITO!$Z$520</f>
        <v>0</v>
      </c>
      <c r="O520" s="46">
        <f>$L$520-EFEITO!$O$520*EFEITO!$AA$520</f>
        <v>0</v>
      </c>
      <c r="P520" s="38"/>
      <c r="Q520" s="38"/>
      <c r="R520" s="38"/>
      <c r="S520" s="38"/>
      <c r="T520" s="38"/>
      <c r="U520" s="38"/>
      <c r="V520" s="38"/>
      <c r="W520" s="38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</row>
    <row r="521" spans="1:36" ht="11.25" customHeight="1" x14ac:dyDescent="0.2">
      <c r="A521" s="35" t="s">
        <v>21</v>
      </c>
      <c r="B521" s="35" t="s">
        <v>41</v>
      </c>
      <c r="C521" s="35" t="s">
        <v>44</v>
      </c>
      <c r="D521" s="35" t="s">
        <v>45</v>
      </c>
      <c r="E521" s="35" t="s">
        <v>25</v>
      </c>
      <c r="F521" s="35" t="s">
        <v>25</v>
      </c>
      <c r="G521" s="35" t="s">
        <v>25</v>
      </c>
      <c r="H521" s="35" t="s">
        <v>25</v>
      </c>
      <c r="I521" s="45">
        <v>44682</v>
      </c>
      <c r="J521" s="46">
        <f ca="1">EFEITO!$J$521*EFEITO!$Y$521</f>
        <v>426384.47799205966</v>
      </c>
      <c r="K521" s="46">
        <f>EFEITO!$L$521*EFEITO!$Z$521</f>
        <v>0</v>
      </c>
      <c r="L521" s="46">
        <f>EFEITO!$N$521*EFEITO!$AA$521</f>
        <v>0</v>
      </c>
      <c r="M521" s="46">
        <f ca="1">$J$521-EFEITO!$K$521*EFEITO!$Y$521</f>
        <v>0</v>
      </c>
      <c r="N521" s="46">
        <f>$K$521-EFEITO!$M$521*EFEITO!$Z$521</f>
        <v>0</v>
      </c>
      <c r="O521" s="46">
        <f>$L$521-EFEITO!$O$521*EFEITO!$AA$521</f>
        <v>0</v>
      </c>
      <c r="P521" s="38"/>
      <c r="Q521" s="38"/>
      <c r="R521" s="38"/>
      <c r="S521" s="38"/>
      <c r="T521" s="38"/>
      <c r="U521" s="38"/>
      <c r="V521" s="38"/>
      <c r="W521" s="38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</row>
    <row r="522" spans="1:36" ht="11.25" customHeight="1" x14ac:dyDescent="0.2">
      <c r="A522" s="35" t="s">
        <v>28</v>
      </c>
      <c r="B522" s="35" t="s">
        <v>41</v>
      </c>
      <c r="C522" s="35" t="s">
        <v>44</v>
      </c>
      <c r="D522" s="35" t="s">
        <v>45</v>
      </c>
      <c r="E522" s="35" t="s">
        <v>25</v>
      </c>
      <c r="F522" s="35" t="s">
        <v>25</v>
      </c>
      <c r="G522" s="35" t="s">
        <v>25</v>
      </c>
      <c r="H522" s="35" t="s">
        <v>25</v>
      </c>
      <c r="I522" s="45">
        <v>44682</v>
      </c>
      <c r="J522" s="46">
        <f ca="1">EFEITO!$J$522*EFEITO!$Y$522</f>
        <v>80646.718459843221</v>
      </c>
      <c r="K522" s="46">
        <f>EFEITO!$L$522*EFEITO!$Z$522</f>
        <v>0</v>
      </c>
      <c r="L522" s="46">
        <f>EFEITO!$N$522*EFEITO!$AA$522</f>
        <v>0</v>
      </c>
      <c r="M522" s="46">
        <f ca="1">$J$522-EFEITO!$K$522*EFEITO!$Y$522</f>
        <v>0</v>
      </c>
      <c r="N522" s="46">
        <f>$K$522-EFEITO!$M$522*EFEITO!$Z$522</f>
        <v>0</v>
      </c>
      <c r="O522" s="46">
        <f>$L$522-EFEITO!$O$522*EFEITO!$AA$522</f>
        <v>0</v>
      </c>
      <c r="P522" s="38"/>
      <c r="Q522" s="38"/>
      <c r="R522" s="38"/>
      <c r="S522" s="38"/>
      <c r="T522" s="38"/>
      <c r="U522" s="38"/>
      <c r="V522" s="38"/>
      <c r="W522" s="38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</row>
    <row r="523" spans="1:36" ht="11.25" customHeight="1" x14ac:dyDescent="0.2">
      <c r="A523" s="35" t="s">
        <v>30</v>
      </c>
      <c r="B523" s="35" t="s">
        <v>41</v>
      </c>
      <c r="C523" s="35" t="s">
        <v>44</v>
      </c>
      <c r="D523" s="35" t="s">
        <v>45</v>
      </c>
      <c r="E523" s="35" t="s">
        <v>25</v>
      </c>
      <c r="F523" s="35" t="s">
        <v>25</v>
      </c>
      <c r="G523" s="35" t="s">
        <v>25</v>
      </c>
      <c r="H523" s="35" t="s">
        <v>25</v>
      </c>
      <c r="I523" s="45">
        <v>44682</v>
      </c>
      <c r="J523" s="46">
        <f ca="1">EFEITO!$J$523*EFEITO!$Y$523</f>
        <v>71905.867583827494</v>
      </c>
      <c r="K523" s="46">
        <f>EFEITO!$L$523*EFEITO!$Z$523</f>
        <v>0</v>
      </c>
      <c r="L523" s="46">
        <f>EFEITO!$N$523*EFEITO!$AA$523</f>
        <v>0</v>
      </c>
      <c r="M523" s="46">
        <f ca="1">$J$523-EFEITO!$K$523*EFEITO!$Y$523</f>
        <v>0</v>
      </c>
      <c r="N523" s="46">
        <f>$K$523-EFEITO!$M$523*EFEITO!$Z$523</f>
        <v>0</v>
      </c>
      <c r="O523" s="46">
        <f>$L$523-EFEITO!$O$523*EFEITO!$AA$523</f>
        <v>0</v>
      </c>
      <c r="P523" s="38"/>
      <c r="Q523" s="38"/>
      <c r="R523" s="38"/>
      <c r="S523" s="38"/>
      <c r="T523" s="38"/>
      <c r="U523" s="38"/>
      <c r="V523" s="38"/>
      <c r="W523" s="38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</row>
    <row r="524" spans="1:36" ht="11.25" customHeight="1" x14ac:dyDescent="0.2">
      <c r="A524" s="35" t="s">
        <v>21</v>
      </c>
      <c r="B524" s="35" t="s">
        <v>41</v>
      </c>
      <c r="C524" s="35" t="s">
        <v>44</v>
      </c>
      <c r="D524" s="35" t="s">
        <v>45</v>
      </c>
      <c r="E524" s="35" t="s">
        <v>25</v>
      </c>
      <c r="F524" s="35" t="s">
        <v>25</v>
      </c>
      <c r="G524" s="35" t="s">
        <v>25</v>
      </c>
      <c r="H524" s="35" t="s">
        <v>25</v>
      </c>
      <c r="I524" s="45">
        <v>44713</v>
      </c>
      <c r="J524" s="46">
        <f ca="1">EFEITO!$J$524*EFEITO!$Y$524</f>
        <v>413417.50817834761</v>
      </c>
      <c r="K524" s="46">
        <f>EFEITO!$L$524*EFEITO!$Z$524</f>
        <v>0</v>
      </c>
      <c r="L524" s="46">
        <f>EFEITO!$N$524*EFEITO!$AA$524</f>
        <v>0</v>
      </c>
      <c r="M524" s="46">
        <f ca="1">$J$524-EFEITO!$K$524*EFEITO!$Y$524</f>
        <v>0</v>
      </c>
      <c r="N524" s="46">
        <f>$K$524-EFEITO!$M$524*EFEITO!$Z$524</f>
        <v>0</v>
      </c>
      <c r="O524" s="46">
        <f>$L$524-EFEITO!$O$524*EFEITO!$AA$524</f>
        <v>0</v>
      </c>
      <c r="P524" s="38"/>
      <c r="Q524" s="38"/>
      <c r="R524" s="38"/>
      <c r="S524" s="38"/>
      <c r="T524" s="38"/>
      <c r="U524" s="38"/>
      <c r="V524" s="38"/>
      <c r="W524" s="38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</row>
    <row r="525" spans="1:36" ht="11.25" customHeight="1" x14ac:dyDescent="0.2">
      <c r="A525" s="35" t="s">
        <v>28</v>
      </c>
      <c r="B525" s="35" t="s">
        <v>41</v>
      </c>
      <c r="C525" s="35" t="s">
        <v>44</v>
      </c>
      <c r="D525" s="35" t="s">
        <v>45</v>
      </c>
      <c r="E525" s="35" t="s">
        <v>25</v>
      </c>
      <c r="F525" s="35" t="s">
        <v>25</v>
      </c>
      <c r="G525" s="35" t="s">
        <v>25</v>
      </c>
      <c r="H525" s="35" t="s">
        <v>25</v>
      </c>
      <c r="I525" s="45">
        <v>44713</v>
      </c>
      <c r="J525" s="46">
        <f ca="1">EFEITO!$J$525*EFEITO!$Y$525</f>
        <v>80337.490244889836</v>
      </c>
      <c r="K525" s="46">
        <f>EFEITO!$L$525*EFEITO!$Z$525</f>
        <v>0</v>
      </c>
      <c r="L525" s="46">
        <f>EFEITO!$N$525*EFEITO!$AA$525</f>
        <v>0</v>
      </c>
      <c r="M525" s="46">
        <f ca="1">$J$525-EFEITO!$K$525*EFEITO!$Y$525</f>
        <v>0</v>
      </c>
      <c r="N525" s="46">
        <f>$K$525-EFEITO!$M$525*EFEITO!$Z$525</f>
        <v>0</v>
      </c>
      <c r="O525" s="46">
        <f>$L$525-EFEITO!$O$525*EFEITO!$AA$525</f>
        <v>0</v>
      </c>
      <c r="P525" s="38"/>
      <c r="Q525" s="38"/>
      <c r="R525" s="38"/>
      <c r="S525" s="38"/>
      <c r="T525" s="38"/>
      <c r="U525" s="38"/>
      <c r="V525" s="38"/>
      <c r="W525" s="38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</row>
    <row r="526" spans="1:36" ht="11.25" customHeight="1" x14ac:dyDescent="0.2">
      <c r="A526" s="35" t="s">
        <v>30</v>
      </c>
      <c r="B526" s="35" t="s">
        <v>41</v>
      </c>
      <c r="C526" s="35" t="s">
        <v>44</v>
      </c>
      <c r="D526" s="35" t="s">
        <v>45</v>
      </c>
      <c r="E526" s="35" t="s">
        <v>25</v>
      </c>
      <c r="F526" s="35" t="s">
        <v>25</v>
      </c>
      <c r="G526" s="35" t="s">
        <v>25</v>
      </c>
      <c r="H526" s="35" t="s">
        <v>25</v>
      </c>
      <c r="I526" s="45">
        <v>44713</v>
      </c>
      <c r="J526" s="46">
        <f ca="1">EFEITO!$J$526*EFEITO!$Y$526</f>
        <v>77822.434096602286</v>
      </c>
      <c r="K526" s="46">
        <f>EFEITO!$L$526*EFEITO!$Z$526</f>
        <v>0</v>
      </c>
      <c r="L526" s="46">
        <f>EFEITO!$N$526*EFEITO!$AA$526</f>
        <v>0</v>
      </c>
      <c r="M526" s="46">
        <f ca="1">$J$526-EFEITO!$K$526*EFEITO!$Y$526</f>
        <v>0</v>
      </c>
      <c r="N526" s="46">
        <f>$K$526-EFEITO!$M$526*EFEITO!$Z$526</f>
        <v>0</v>
      </c>
      <c r="O526" s="46">
        <f>$L$526-EFEITO!$O$526*EFEITO!$AA$526</f>
        <v>0</v>
      </c>
      <c r="P526" s="38"/>
      <c r="Q526" s="38"/>
      <c r="R526" s="38"/>
      <c r="S526" s="38"/>
      <c r="T526" s="38"/>
      <c r="U526" s="38"/>
      <c r="V526" s="38"/>
      <c r="W526" s="38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</row>
    <row r="527" spans="1:36" ht="11.25" customHeight="1" x14ac:dyDescent="0.2">
      <c r="A527" s="35" t="s">
        <v>30</v>
      </c>
      <c r="B527" s="35" t="s">
        <v>41</v>
      </c>
      <c r="C527" s="35" t="s">
        <v>44</v>
      </c>
      <c r="D527" s="35" t="s">
        <v>45</v>
      </c>
      <c r="E527" s="35" t="s">
        <v>25</v>
      </c>
      <c r="F527" s="35" t="s">
        <v>25</v>
      </c>
      <c r="G527" s="35" t="s">
        <v>25</v>
      </c>
      <c r="H527" s="35" t="s">
        <v>25</v>
      </c>
      <c r="I527" s="45">
        <v>44713</v>
      </c>
      <c r="J527" s="46">
        <f ca="1">EFEITO!$J$527*EFEITO!$Y$527</f>
        <v>20.615214330225772</v>
      </c>
      <c r="K527" s="46">
        <f>EFEITO!$L$527*EFEITO!$Z$527</f>
        <v>0</v>
      </c>
      <c r="L527" s="46">
        <f>EFEITO!$N$527*EFEITO!$AA$527</f>
        <v>0</v>
      </c>
      <c r="M527" s="46">
        <f ca="1">$J$527-EFEITO!$K$527*EFEITO!$Y$527</f>
        <v>0</v>
      </c>
      <c r="N527" s="46">
        <f>$K$527-EFEITO!$M$527*EFEITO!$Z$527</f>
        <v>0</v>
      </c>
      <c r="O527" s="46">
        <f>$L$527-EFEITO!$O$527*EFEITO!$AA$527</f>
        <v>0</v>
      </c>
      <c r="P527" s="38"/>
      <c r="Q527" s="38"/>
      <c r="R527" s="38"/>
      <c r="S527" s="38"/>
      <c r="T527" s="38"/>
      <c r="U527" s="38"/>
      <c r="V527" s="38"/>
      <c r="W527" s="38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</row>
    <row r="528" spans="1:36" ht="11.25" customHeight="1" x14ac:dyDescent="0.2">
      <c r="A528" s="35" t="s">
        <v>21</v>
      </c>
      <c r="B528" s="35" t="s">
        <v>41</v>
      </c>
      <c r="C528" s="35" t="s">
        <v>44</v>
      </c>
      <c r="D528" s="35" t="s">
        <v>45</v>
      </c>
      <c r="E528" s="35" t="s">
        <v>25</v>
      </c>
      <c r="F528" s="35" t="s">
        <v>25</v>
      </c>
      <c r="G528" s="35" t="s">
        <v>25</v>
      </c>
      <c r="H528" s="35" t="s">
        <v>25</v>
      </c>
      <c r="I528" s="45">
        <v>44743</v>
      </c>
      <c r="J528" s="46">
        <f ca="1">EFEITO!$J$528*EFEITO!$Y$528</f>
        <v>413809.19725062192</v>
      </c>
      <c r="K528" s="46">
        <f>EFEITO!$L$528*EFEITO!$Z$528</f>
        <v>0</v>
      </c>
      <c r="L528" s="46">
        <f>EFEITO!$N$528*EFEITO!$AA$528</f>
        <v>0</v>
      </c>
      <c r="M528" s="46">
        <f ca="1">$J$528-EFEITO!$K$528*EFEITO!$Y$528</f>
        <v>0</v>
      </c>
      <c r="N528" s="46">
        <f>$K$528-EFEITO!$M$528*EFEITO!$Z$528</f>
        <v>0</v>
      </c>
      <c r="O528" s="46">
        <f>$L$528-EFEITO!$O$528*EFEITO!$AA$528</f>
        <v>0</v>
      </c>
      <c r="P528" s="38"/>
      <c r="Q528" s="38"/>
      <c r="R528" s="38"/>
      <c r="S528" s="38"/>
      <c r="T528" s="38"/>
      <c r="U528" s="38"/>
      <c r="V528" s="38"/>
      <c r="W528" s="38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</row>
    <row r="529" spans="1:36" ht="11.25" customHeight="1" x14ac:dyDescent="0.2">
      <c r="A529" s="35" t="s">
        <v>28</v>
      </c>
      <c r="B529" s="35" t="s">
        <v>41</v>
      </c>
      <c r="C529" s="35" t="s">
        <v>44</v>
      </c>
      <c r="D529" s="35" t="s">
        <v>45</v>
      </c>
      <c r="E529" s="35" t="s">
        <v>25</v>
      </c>
      <c r="F529" s="35" t="s">
        <v>25</v>
      </c>
      <c r="G529" s="35" t="s">
        <v>25</v>
      </c>
      <c r="H529" s="35" t="s">
        <v>25</v>
      </c>
      <c r="I529" s="45">
        <v>44743</v>
      </c>
      <c r="J529" s="46">
        <f ca="1">EFEITO!$J$529*EFEITO!$Y$529</f>
        <v>78585.19702682065</v>
      </c>
      <c r="K529" s="46">
        <f>EFEITO!$L$529*EFEITO!$Z$529</f>
        <v>0</v>
      </c>
      <c r="L529" s="46">
        <f>EFEITO!$N$529*EFEITO!$AA$529</f>
        <v>0</v>
      </c>
      <c r="M529" s="46">
        <f ca="1">$J$529-EFEITO!$K$529*EFEITO!$Y$529</f>
        <v>0</v>
      </c>
      <c r="N529" s="46">
        <f>$K$529-EFEITO!$M$529*EFEITO!$Z$529</f>
        <v>0</v>
      </c>
      <c r="O529" s="46">
        <f>$L$529-EFEITO!$O$529*EFEITO!$AA$529</f>
        <v>0</v>
      </c>
      <c r="P529" s="38"/>
      <c r="Q529" s="38"/>
      <c r="R529" s="38"/>
      <c r="S529" s="38"/>
      <c r="T529" s="38"/>
      <c r="U529" s="38"/>
      <c r="V529" s="38"/>
      <c r="W529" s="38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</row>
    <row r="530" spans="1:36" ht="11.25" customHeight="1" x14ac:dyDescent="0.2">
      <c r="A530" s="35" t="s">
        <v>30</v>
      </c>
      <c r="B530" s="35" t="s">
        <v>41</v>
      </c>
      <c r="C530" s="35" t="s">
        <v>44</v>
      </c>
      <c r="D530" s="35" t="s">
        <v>45</v>
      </c>
      <c r="E530" s="35" t="s">
        <v>25</v>
      </c>
      <c r="F530" s="35" t="s">
        <v>25</v>
      </c>
      <c r="G530" s="35" t="s">
        <v>25</v>
      </c>
      <c r="H530" s="35" t="s">
        <v>25</v>
      </c>
      <c r="I530" s="45">
        <v>44743</v>
      </c>
      <c r="J530" s="46">
        <f ca="1">EFEITO!$J$530*EFEITO!$Y$530</f>
        <v>78626.427455481098</v>
      </c>
      <c r="K530" s="46">
        <f>EFEITO!$L$530*EFEITO!$Z$530</f>
        <v>0</v>
      </c>
      <c r="L530" s="46">
        <f>EFEITO!$N$530*EFEITO!$AA$530</f>
        <v>0</v>
      </c>
      <c r="M530" s="46">
        <f ca="1">$J$530-EFEITO!$K$530*EFEITO!$Y$530</f>
        <v>0</v>
      </c>
      <c r="N530" s="46">
        <f>$K$530-EFEITO!$M$530*EFEITO!$Z$530</f>
        <v>0</v>
      </c>
      <c r="O530" s="46">
        <f>$L$530-EFEITO!$O$530*EFEITO!$AA$530</f>
        <v>0</v>
      </c>
      <c r="P530" s="38"/>
      <c r="Q530" s="38"/>
      <c r="R530" s="38"/>
      <c r="S530" s="38"/>
      <c r="T530" s="38"/>
      <c r="U530" s="38"/>
      <c r="V530" s="38"/>
      <c r="W530" s="38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</row>
    <row r="531" spans="1:36" ht="11.25" customHeight="1" x14ac:dyDescent="0.2">
      <c r="A531" s="35" t="s">
        <v>21</v>
      </c>
      <c r="B531" s="35" t="s">
        <v>41</v>
      </c>
      <c r="C531" s="35" t="s">
        <v>44</v>
      </c>
      <c r="D531" s="35" t="s">
        <v>45</v>
      </c>
      <c r="E531" s="35" t="s">
        <v>25</v>
      </c>
      <c r="F531" s="35" t="s">
        <v>25</v>
      </c>
      <c r="G531" s="35" t="s">
        <v>25</v>
      </c>
      <c r="H531" s="35" t="s">
        <v>25</v>
      </c>
      <c r="I531" s="45">
        <v>44774</v>
      </c>
      <c r="J531" s="46">
        <f ca="1">EFEITO!$J$531*EFEITO!$Y$531</f>
        <v>406119.72230544774</v>
      </c>
      <c r="K531" s="46">
        <f>EFEITO!$L$531*EFEITO!$Z$531</f>
        <v>0</v>
      </c>
      <c r="L531" s="46">
        <f>EFEITO!$N$531*EFEITO!$AA$531</f>
        <v>0</v>
      </c>
      <c r="M531" s="46">
        <f ca="1">$J$531-EFEITO!$K$531*EFEITO!$Y$531</f>
        <v>0</v>
      </c>
      <c r="N531" s="46">
        <f>$K$531-EFEITO!$M$531*EFEITO!$Z$531</f>
        <v>0</v>
      </c>
      <c r="O531" s="46">
        <f>$L$531-EFEITO!$O$531*EFEITO!$AA$531</f>
        <v>0</v>
      </c>
      <c r="P531" s="38"/>
      <c r="Q531" s="38"/>
      <c r="R531" s="38"/>
      <c r="S531" s="38"/>
      <c r="T531" s="38"/>
      <c r="U531" s="38"/>
      <c r="V531" s="38"/>
      <c r="W531" s="38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</row>
    <row r="532" spans="1:36" ht="11.25" customHeight="1" x14ac:dyDescent="0.2">
      <c r="A532" s="35" t="s">
        <v>28</v>
      </c>
      <c r="B532" s="35" t="s">
        <v>41</v>
      </c>
      <c r="C532" s="35" t="s">
        <v>44</v>
      </c>
      <c r="D532" s="35" t="s">
        <v>45</v>
      </c>
      <c r="E532" s="35" t="s">
        <v>25</v>
      </c>
      <c r="F532" s="35" t="s">
        <v>25</v>
      </c>
      <c r="G532" s="35" t="s">
        <v>25</v>
      </c>
      <c r="H532" s="35" t="s">
        <v>25</v>
      </c>
      <c r="I532" s="45">
        <v>44774</v>
      </c>
      <c r="J532" s="46">
        <f ca="1">EFEITO!$J$532*EFEITO!$Y$532</f>
        <v>78976.886099094932</v>
      </c>
      <c r="K532" s="46">
        <f>EFEITO!$L$532*EFEITO!$Z$532</f>
        <v>0</v>
      </c>
      <c r="L532" s="46">
        <f>EFEITO!$N$532*EFEITO!$AA$532</f>
        <v>0</v>
      </c>
      <c r="M532" s="46">
        <f ca="1">$J$532-EFEITO!$K$532*EFEITO!$Y$532</f>
        <v>0</v>
      </c>
      <c r="N532" s="46">
        <f>$K$532-EFEITO!$M$532*EFEITO!$Z$532</f>
        <v>0</v>
      </c>
      <c r="O532" s="46">
        <f>$L$532-EFEITO!$O$532*EFEITO!$AA$532</f>
        <v>0</v>
      </c>
      <c r="P532" s="38"/>
      <c r="Q532" s="38"/>
      <c r="R532" s="38"/>
      <c r="S532" s="38"/>
      <c r="T532" s="38"/>
      <c r="U532" s="38"/>
      <c r="V532" s="38"/>
      <c r="W532" s="38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</row>
    <row r="533" spans="1:36" ht="11.25" customHeight="1" x14ac:dyDescent="0.2">
      <c r="A533" s="35" t="s">
        <v>30</v>
      </c>
      <c r="B533" s="35" t="s">
        <v>41</v>
      </c>
      <c r="C533" s="35" t="s">
        <v>44</v>
      </c>
      <c r="D533" s="35" t="s">
        <v>45</v>
      </c>
      <c r="E533" s="35" t="s">
        <v>25</v>
      </c>
      <c r="F533" s="35" t="s">
        <v>25</v>
      </c>
      <c r="G533" s="35" t="s">
        <v>25</v>
      </c>
      <c r="H533" s="35" t="s">
        <v>25</v>
      </c>
      <c r="I533" s="45">
        <v>44774</v>
      </c>
      <c r="J533" s="46">
        <f ca="1">EFEITO!$J$533*EFEITO!$Y$533</f>
        <v>89634.951907821654</v>
      </c>
      <c r="K533" s="46">
        <f>EFEITO!$L$533*EFEITO!$Z$533</f>
        <v>0</v>
      </c>
      <c r="L533" s="46">
        <f>EFEITO!$N$533*EFEITO!$AA$533</f>
        <v>0</v>
      </c>
      <c r="M533" s="46">
        <f ca="1">$J$533-EFEITO!$K$533*EFEITO!$Y$533</f>
        <v>0</v>
      </c>
      <c r="N533" s="46">
        <f>$K$533-EFEITO!$M$533*EFEITO!$Z$533</f>
        <v>0</v>
      </c>
      <c r="O533" s="46">
        <f>$L$533-EFEITO!$O$533*EFEITO!$AA$533</f>
        <v>0</v>
      </c>
      <c r="P533" s="38"/>
      <c r="Q533" s="38"/>
      <c r="R533" s="38"/>
      <c r="S533" s="38"/>
      <c r="T533" s="38"/>
      <c r="U533" s="38"/>
      <c r="V533" s="38"/>
      <c r="W533" s="38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</row>
    <row r="534" spans="1:36" ht="11.25" customHeight="1" x14ac:dyDescent="0.2">
      <c r="A534" s="35" t="s">
        <v>30</v>
      </c>
      <c r="B534" s="35" t="s">
        <v>41</v>
      </c>
      <c r="C534" s="35" t="s">
        <v>44</v>
      </c>
      <c r="D534" s="35" t="s">
        <v>45</v>
      </c>
      <c r="E534" s="35" t="s">
        <v>25</v>
      </c>
      <c r="F534" s="35" t="s">
        <v>25</v>
      </c>
      <c r="G534" s="35" t="s">
        <v>25</v>
      </c>
      <c r="H534" s="35" t="s">
        <v>25</v>
      </c>
      <c r="I534" s="45">
        <v>44774</v>
      </c>
      <c r="J534" s="46">
        <f ca="1">EFEITO!$J$534*EFEITO!$Y$534</f>
        <v>-1855.3692897203196</v>
      </c>
      <c r="K534" s="46">
        <f>EFEITO!$L$534*EFEITO!$Z$534</f>
        <v>0</v>
      </c>
      <c r="L534" s="46">
        <f>EFEITO!$N$534*EFEITO!$AA$534</f>
        <v>0</v>
      </c>
      <c r="M534" s="46">
        <f ca="1">$J$534-EFEITO!$K$534*EFEITO!$Y$534</f>
        <v>0</v>
      </c>
      <c r="N534" s="46">
        <f>$K$534-EFEITO!$M$534*EFEITO!$Z$534</f>
        <v>0</v>
      </c>
      <c r="O534" s="46">
        <f>$L$534-EFEITO!$O$534*EFEITO!$AA$534</f>
        <v>0</v>
      </c>
      <c r="P534" s="38"/>
      <c r="Q534" s="38"/>
      <c r="R534" s="38"/>
      <c r="S534" s="38"/>
      <c r="T534" s="38"/>
      <c r="U534" s="38"/>
      <c r="V534" s="38"/>
      <c r="W534" s="38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</row>
    <row r="535" spans="1:36" ht="11.25" customHeight="1" x14ac:dyDescent="0.2">
      <c r="A535" s="35" t="s">
        <v>21</v>
      </c>
      <c r="B535" s="35" t="s">
        <v>41</v>
      </c>
      <c r="C535" s="35" t="s">
        <v>44</v>
      </c>
      <c r="D535" s="35" t="s">
        <v>45</v>
      </c>
      <c r="E535" s="35" t="s">
        <v>25</v>
      </c>
      <c r="F535" s="35" t="s">
        <v>25</v>
      </c>
      <c r="G535" s="35" t="s">
        <v>25</v>
      </c>
      <c r="H535" s="35" t="s">
        <v>25</v>
      </c>
      <c r="I535" s="45">
        <v>44805</v>
      </c>
      <c r="J535" s="46">
        <f ca="1">EFEITO!$J$535*EFEITO!$Y$535</f>
        <v>398079.78871665965</v>
      </c>
      <c r="K535" s="46">
        <f>EFEITO!$L$535*EFEITO!$Z$535</f>
        <v>0</v>
      </c>
      <c r="L535" s="46">
        <f>EFEITO!$N$535*EFEITO!$AA$535</f>
        <v>0</v>
      </c>
      <c r="M535" s="46">
        <f ca="1">$J$535-EFEITO!$K$535*EFEITO!$Y$535</f>
        <v>0</v>
      </c>
      <c r="N535" s="46">
        <f>$K$535-EFEITO!$M$535*EFEITO!$Z$535</f>
        <v>0</v>
      </c>
      <c r="O535" s="46">
        <f>$L$535-EFEITO!$O$535*EFEITO!$AA$535</f>
        <v>0</v>
      </c>
      <c r="P535" s="38"/>
      <c r="Q535" s="38"/>
      <c r="R535" s="38"/>
      <c r="S535" s="38"/>
      <c r="T535" s="38"/>
      <c r="U535" s="38"/>
      <c r="V535" s="38"/>
      <c r="W535" s="38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</row>
    <row r="536" spans="1:36" ht="11.25" customHeight="1" x14ac:dyDescent="0.2">
      <c r="A536" s="35" t="s">
        <v>28</v>
      </c>
      <c r="B536" s="35" t="s">
        <v>41</v>
      </c>
      <c r="C536" s="35" t="s">
        <v>44</v>
      </c>
      <c r="D536" s="35" t="s">
        <v>45</v>
      </c>
      <c r="E536" s="35" t="s">
        <v>25</v>
      </c>
      <c r="F536" s="35" t="s">
        <v>25</v>
      </c>
      <c r="G536" s="35" t="s">
        <v>25</v>
      </c>
      <c r="H536" s="35" t="s">
        <v>25</v>
      </c>
      <c r="I536" s="45">
        <v>44805</v>
      </c>
      <c r="J536" s="46">
        <f ca="1">EFEITO!$J$536*EFEITO!$Y$536</f>
        <v>78502.736169499738</v>
      </c>
      <c r="K536" s="46">
        <f>EFEITO!$L$536*EFEITO!$Z$536</f>
        <v>0</v>
      </c>
      <c r="L536" s="46">
        <f>EFEITO!$N$536*EFEITO!$AA$536</f>
        <v>0</v>
      </c>
      <c r="M536" s="46">
        <f ca="1">$J$536-EFEITO!$K$536*EFEITO!$Y$536</f>
        <v>0</v>
      </c>
      <c r="N536" s="46">
        <f>$K$536-EFEITO!$M$536*EFEITO!$Z$536</f>
        <v>0</v>
      </c>
      <c r="O536" s="46">
        <f>$L$536-EFEITO!$O$536*EFEITO!$AA$536</f>
        <v>0</v>
      </c>
      <c r="P536" s="38"/>
      <c r="Q536" s="38"/>
      <c r="R536" s="38"/>
      <c r="S536" s="38"/>
      <c r="T536" s="38"/>
      <c r="U536" s="38"/>
      <c r="V536" s="38"/>
      <c r="W536" s="38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</row>
    <row r="537" spans="1:36" ht="11.25" customHeight="1" x14ac:dyDescent="0.2">
      <c r="A537" s="35" t="s">
        <v>30</v>
      </c>
      <c r="B537" s="35" t="s">
        <v>41</v>
      </c>
      <c r="C537" s="35" t="s">
        <v>44</v>
      </c>
      <c r="D537" s="35" t="s">
        <v>45</v>
      </c>
      <c r="E537" s="35" t="s">
        <v>25</v>
      </c>
      <c r="F537" s="35" t="s">
        <v>25</v>
      </c>
      <c r="G537" s="35" t="s">
        <v>25</v>
      </c>
      <c r="H537" s="35" t="s">
        <v>25</v>
      </c>
      <c r="I537" s="45">
        <v>44805</v>
      </c>
      <c r="J537" s="46">
        <f ca="1">EFEITO!$J$537*EFEITO!$Y$537</f>
        <v>97860.422425581739</v>
      </c>
      <c r="K537" s="46">
        <f>EFEITO!$L$537*EFEITO!$Z$537</f>
        <v>0</v>
      </c>
      <c r="L537" s="46">
        <f>EFEITO!$N$537*EFEITO!$AA$537</f>
        <v>0</v>
      </c>
      <c r="M537" s="46">
        <f ca="1">$J$537-EFEITO!$K$537*EFEITO!$Y$537</f>
        <v>0</v>
      </c>
      <c r="N537" s="46">
        <f>$K$537-EFEITO!$M$537*EFEITO!$Z$537</f>
        <v>0</v>
      </c>
      <c r="O537" s="46">
        <f>$L$537-EFEITO!$O$537*EFEITO!$AA$537</f>
        <v>0</v>
      </c>
      <c r="P537" s="38"/>
      <c r="Q537" s="38"/>
      <c r="R537" s="38"/>
      <c r="S537" s="38"/>
      <c r="T537" s="38"/>
      <c r="U537" s="38"/>
      <c r="V537" s="38"/>
      <c r="W537" s="38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</row>
    <row r="538" spans="1:36" ht="11.25" customHeight="1" x14ac:dyDescent="0.2">
      <c r="A538" s="35" t="s">
        <v>21</v>
      </c>
      <c r="B538" s="35" t="s">
        <v>41</v>
      </c>
      <c r="C538" s="35" t="s">
        <v>44</v>
      </c>
      <c r="D538" s="35" t="s">
        <v>45</v>
      </c>
      <c r="E538" s="35" t="s">
        <v>25</v>
      </c>
      <c r="F538" s="35" t="s">
        <v>25</v>
      </c>
      <c r="G538" s="35" t="s">
        <v>25</v>
      </c>
      <c r="H538" s="35" t="s">
        <v>25</v>
      </c>
      <c r="I538" s="45">
        <v>44835</v>
      </c>
      <c r="J538" s="46">
        <f ca="1">EFEITO!$J$538*EFEITO!$Y$538</f>
        <v>383319.295256218</v>
      </c>
      <c r="K538" s="46">
        <f>EFEITO!$L$538*EFEITO!$Z$538</f>
        <v>0</v>
      </c>
      <c r="L538" s="46">
        <f>EFEITO!$N$538*EFEITO!$AA$538</f>
        <v>0</v>
      </c>
      <c r="M538" s="46">
        <f ca="1">$J$538-EFEITO!$K$538*EFEITO!$Y$538</f>
        <v>0</v>
      </c>
      <c r="N538" s="46">
        <f>$K$538-EFEITO!$M$538*EFEITO!$Z$538</f>
        <v>0</v>
      </c>
      <c r="O538" s="46">
        <f>$L$538-EFEITO!$O$538*EFEITO!$AA$538</f>
        <v>0</v>
      </c>
      <c r="P538" s="38"/>
      <c r="Q538" s="38"/>
      <c r="R538" s="38"/>
      <c r="S538" s="38"/>
      <c r="T538" s="38"/>
      <c r="U538" s="38"/>
      <c r="V538" s="38"/>
      <c r="W538" s="38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</row>
    <row r="539" spans="1:36" ht="11.25" customHeight="1" x14ac:dyDescent="0.2">
      <c r="A539" s="35" t="s">
        <v>28</v>
      </c>
      <c r="B539" s="35" t="s">
        <v>41</v>
      </c>
      <c r="C539" s="35" t="s">
        <v>44</v>
      </c>
      <c r="D539" s="35" t="s">
        <v>45</v>
      </c>
      <c r="E539" s="35" t="s">
        <v>25</v>
      </c>
      <c r="F539" s="35" t="s">
        <v>25</v>
      </c>
      <c r="G539" s="35" t="s">
        <v>25</v>
      </c>
      <c r="H539" s="35" t="s">
        <v>25</v>
      </c>
      <c r="I539" s="45">
        <v>44835</v>
      </c>
      <c r="J539" s="46">
        <f ca="1">EFEITO!$J$539*EFEITO!$Y$539</f>
        <v>75802.143092240163</v>
      </c>
      <c r="K539" s="46">
        <f>EFEITO!$L$539*EFEITO!$Z$539</f>
        <v>0</v>
      </c>
      <c r="L539" s="46">
        <f>EFEITO!$N$539*EFEITO!$AA$539</f>
        <v>0</v>
      </c>
      <c r="M539" s="46">
        <f ca="1">$J$539-EFEITO!$K$539*EFEITO!$Y$539</f>
        <v>0</v>
      </c>
      <c r="N539" s="46">
        <f>$K$539-EFEITO!$M$539*EFEITO!$Z$539</f>
        <v>0</v>
      </c>
      <c r="O539" s="46">
        <f>$L$539-EFEITO!$O$539*EFEITO!$AA$539</f>
        <v>0</v>
      </c>
      <c r="P539" s="38"/>
      <c r="Q539" s="38"/>
      <c r="R539" s="38"/>
      <c r="S539" s="38"/>
      <c r="T539" s="38"/>
      <c r="U539" s="38"/>
      <c r="V539" s="38"/>
      <c r="W539" s="38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</row>
    <row r="540" spans="1:36" ht="11.25" customHeight="1" x14ac:dyDescent="0.2">
      <c r="A540" s="35" t="s">
        <v>30</v>
      </c>
      <c r="B540" s="35" t="s">
        <v>41</v>
      </c>
      <c r="C540" s="35" t="s">
        <v>44</v>
      </c>
      <c r="D540" s="35" t="s">
        <v>45</v>
      </c>
      <c r="E540" s="35" t="s">
        <v>25</v>
      </c>
      <c r="F540" s="35" t="s">
        <v>25</v>
      </c>
      <c r="G540" s="35" t="s">
        <v>25</v>
      </c>
      <c r="H540" s="35" t="s">
        <v>25</v>
      </c>
      <c r="I540" s="45">
        <v>44835</v>
      </c>
      <c r="J540" s="46">
        <f ca="1">EFEITO!$J$540*EFEITO!$Y$540</f>
        <v>98788.107070441896</v>
      </c>
      <c r="K540" s="46">
        <f>EFEITO!$L$540*EFEITO!$Z$540</f>
        <v>0</v>
      </c>
      <c r="L540" s="46">
        <f>EFEITO!$N$540*EFEITO!$AA$540</f>
        <v>0</v>
      </c>
      <c r="M540" s="46">
        <f ca="1">$J$540-EFEITO!$K$540*EFEITO!$Y$540</f>
        <v>0</v>
      </c>
      <c r="N540" s="46">
        <f>$K$540-EFEITO!$M$540*EFEITO!$Z$540</f>
        <v>0</v>
      </c>
      <c r="O540" s="46">
        <f>$L$540-EFEITO!$O$540*EFEITO!$AA$540</f>
        <v>0</v>
      </c>
      <c r="P540" s="38"/>
      <c r="Q540" s="38"/>
      <c r="R540" s="38"/>
      <c r="S540" s="38"/>
      <c r="T540" s="38"/>
      <c r="U540" s="38"/>
      <c r="V540" s="38"/>
      <c r="W540" s="38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</row>
    <row r="541" spans="1:36" ht="11.25" customHeight="1" x14ac:dyDescent="0.2">
      <c r="A541" s="35" t="s">
        <v>59</v>
      </c>
      <c r="B541" s="35" t="s">
        <v>41</v>
      </c>
      <c r="C541" s="35" t="s">
        <v>44</v>
      </c>
      <c r="D541" s="35" t="s">
        <v>45</v>
      </c>
      <c r="E541" s="35" t="s">
        <v>25</v>
      </c>
      <c r="F541" s="35" t="s">
        <v>25</v>
      </c>
      <c r="G541" s="35" t="s">
        <v>25</v>
      </c>
      <c r="H541" s="35" t="s">
        <v>25</v>
      </c>
      <c r="I541" s="45">
        <v>44866</v>
      </c>
      <c r="J541" s="46">
        <f ca="1">EFEITO!$J$541*EFEITO!$Y$541</f>
        <v>383319.295256218</v>
      </c>
      <c r="K541" s="46">
        <f>EFEITO!$L$541*EFEITO!$Z$541</f>
        <v>0</v>
      </c>
      <c r="L541" s="46">
        <f>EFEITO!$N$541*EFEITO!$AA$541</f>
        <v>0</v>
      </c>
      <c r="M541" s="46">
        <f ca="1">$J$541-EFEITO!$K$541*EFEITO!$Y$541</f>
        <v>0</v>
      </c>
      <c r="N541" s="46">
        <f>$K$541-EFEITO!$M$541*EFEITO!$Z$541</f>
        <v>0</v>
      </c>
      <c r="O541" s="46">
        <f>$L$541-EFEITO!$O$541*EFEITO!$AA$541</f>
        <v>0</v>
      </c>
      <c r="P541" s="38"/>
      <c r="Q541" s="38"/>
      <c r="R541" s="38"/>
      <c r="S541" s="38"/>
      <c r="T541" s="38"/>
      <c r="U541" s="38"/>
      <c r="V541" s="38"/>
      <c r="W541" s="38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</row>
    <row r="542" spans="1:36" ht="11.25" customHeight="1" x14ac:dyDescent="0.2">
      <c r="A542" s="35" t="s">
        <v>59</v>
      </c>
      <c r="B542" s="35" t="s">
        <v>41</v>
      </c>
      <c r="C542" s="35" t="s">
        <v>44</v>
      </c>
      <c r="D542" s="35" t="s">
        <v>45</v>
      </c>
      <c r="E542" s="35" t="s">
        <v>25</v>
      </c>
      <c r="F542" s="35" t="s">
        <v>25</v>
      </c>
      <c r="G542" s="35" t="s">
        <v>25</v>
      </c>
      <c r="H542" s="35" t="s">
        <v>25</v>
      </c>
      <c r="I542" s="45">
        <v>44866</v>
      </c>
      <c r="J542" s="46">
        <f ca="1">EFEITO!$J$542*EFEITO!$Y$542</f>
        <v>75802.143092240163</v>
      </c>
      <c r="K542" s="46">
        <f>EFEITO!$L$542*EFEITO!$Z$542</f>
        <v>0</v>
      </c>
      <c r="L542" s="46">
        <f>EFEITO!$N$542*EFEITO!$AA$542</f>
        <v>0</v>
      </c>
      <c r="M542" s="46">
        <f ca="1">$J$542-EFEITO!$K$542*EFEITO!$Y$542</f>
        <v>0</v>
      </c>
      <c r="N542" s="46">
        <f>$K$542-EFEITO!$M$542*EFEITO!$Z$542</f>
        <v>0</v>
      </c>
      <c r="O542" s="46">
        <f>$L$542-EFEITO!$O$542*EFEITO!$AA$542</f>
        <v>0</v>
      </c>
      <c r="P542" s="38"/>
      <c r="Q542" s="38"/>
      <c r="R542" s="38"/>
      <c r="S542" s="38"/>
      <c r="T542" s="38"/>
      <c r="U542" s="38"/>
      <c r="V542" s="38"/>
      <c r="W542" s="38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</row>
    <row r="543" spans="1:36" ht="11.25" customHeight="1" x14ac:dyDescent="0.2">
      <c r="A543" s="35" t="s">
        <v>59</v>
      </c>
      <c r="B543" s="35" t="s">
        <v>41</v>
      </c>
      <c r="C543" s="35" t="s">
        <v>44</v>
      </c>
      <c r="D543" s="35" t="s">
        <v>45</v>
      </c>
      <c r="E543" s="35" t="s">
        <v>25</v>
      </c>
      <c r="F543" s="35" t="s">
        <v>25</v>
      </c>
      <c r="G543" s="35" t="s">
        <v>25</v>
      </c>
      <c r="H543" s="35" t="s">
        <v>25</v>
      </c>
      <c r="I543" s="45">
        <v>44866</v>
      </c>
      <c r="J543" s="46">
        <f ca="1">EFEITO!$J$543*EFEITO!$Y$543</f>
        <v>98788.107070441896</v>
      </c>
      <c r="K543" s="46">
        <f>EFEITO!$L$543*EFEITO!$Z$543</f>
        <v>0</v>
      </c>
      <c r="L543" s="46">
        <f>EFEITO!$N$543*EFEITO!$AA$543</f>
        <v>0</v>
      </c>
      <c r="M543" s="46">
        <f ca="1">$J$543-EFEITO!$K$543*EFEITO!$Y$543</f>
        <v>0</v>
      </c>
      <c r="N543" s="46">
        <f>$K$543-EFEITO!$M$543*EFEITO!$Z$543</f>
        <v>0</v>
      </c>
      <c r="O543" s="46">
        <f>$L$543-EFEITO!$O$543*EFEITO!$AA$543</f>
        <v>0</v>
      </c>
      <c r="P543" s="38"/>
      <c r="Q543" s="38"/>
      <c r="R543" s="38"/>
      <c r="S543" s="38"/>
      <c r="T543" s="38"/>
      <c r="U543" s="38"/>
      <c r="V543" s="38"/>
      <c r="W543" s="38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</row>
    <row r="544" spans="1:36" ht="11.25" customHeight="1" x14ac:dyDescent="0.2">
      <c r="A544" s="35" t="s">
        <v>21</v>
      </c>
      <c r="B544" s="35" t="s">
        <v>41</v>
      </c>
      <c r="C544" s="35" t="s">
        <v>44</v>
      </c>
      <c r="D544" s="35" t="s">
        <v>45</v>
      </c>
      <c r="E544" s="35" t="s">
        <v>25</v>
      </c>
      <c r="F544" s="35" t="s">
        <v>25</v>
      </c>
      <c r="G544" s="35" t="s">
        <v>25</v>
      </c>
      <c r="H544" s="35" t="s">
        <v>36</v>
      </c>
      <c r="I544" s="45">
        <v>44531</v>
      </c>
      <c r="J544" s="46">
        <f>EFEITO!$J$544*EFEITO!$Y$544</f>
        <v>0</v>
      </c>
      <c r="K544" s="46">
        <f ca="1">EFEITO!$L$544*EFEITO!$Z$544</f>
        <v>384371.48542634741</v>
      </c>
      <c r="L544" s="46">
        <f>EFEITO!$N$544*EFEITO!$AA$544</f>
        <v>94174.291652568834</v>
      </c>
      <c r="M544" s="46">
        <f>$J$544-EFEITO!$K$544*EFEITO!$Y$544</f>
        <v>0</v>
      </c>
      <c r="N544" s="46">
        <f ca="1">$K$544-EFEITO!$M$544*EFEITO!$Z$544</f>
        <v>0</v>
      </c>
      <c r="O544" s="46">
        <f>$L$544-EFEITO!$O$544*EFEITO!$AA$544</f>
        <v>0</v>
      </c>
      <c r="P544" s="38"/>
      <c r="Q544" s="38"/>
      <c r="R544" s="38"/>
      <c r="S544" s="38"/>
      <c r="T544" s="38"/>
      <c r="U544" s="38"/>
      <c r="V544" s="38"/>
      <c r="W544" s="38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</row>
    <row r="545" spans="1:36" ht="11.25" customHeight="1" x14ac:dyDescent="0.2">
      <c r="A545" s="35" t="s">
        <v>28</v>
      </c>
      <c r="B545" s="35" t="s">
        <v>41</v>
      </c>
      <c r="C545" s="35" t="s">
        <v>44</v>
      </c>
      <c r="D545" s="35" t="s">
        <v>45</v>
      </c>
      <c r="E545" s="35" t="s">
        <v>25</v>
      </c>
      <c r="F545" s="35" t="s">
        <v>25</v>
      </c>
      <c r="G545" s="35" t="s">
        <v>25</v>
      </c>
      <c r="H545" s="35" t="s">
        <v>36</v>
      </c>
      <c r="I545" s="45">
        <v>44531</v>
      </c>
      <c r="J545" s="46">
        <f>EFEITO!$J$545*EFEITO!$Y$545</f>
        <v>0</v>
      </c>
      <c r="K545" s="46">
        <f ca="1">EFEITO!$L$545*EFEITO!$Z$545</f>
        <v>90699.284849341202</v>
      </c>
      <c r="L545" s="46">
        <f>EFEITO!$N$545*EFEITO!$AA$545</f>
        <v>22222.098225124431</v>
      </c>
      <c r="M545" s="46">
        <f>$J$545-EFEITO!$K$545*EFEITO!$Y$545</f>
        <v>0</v>
      </c>
      <c r="N545" s="46">
        <f ca="1">$K$545-EFEITO!$M$545*EFEITO!$Z$545</f>
        <v>0</v>
      </c>
      <c r="O545" s="46">
        <f>$L$545-EFEITO!$O$545*EFEITO!$AA$545</f>
        <v>0</v>
      </c>
      <c r="P545" s="38"/>
      <c r="Q545" s="38"/>
      <c r="R545" s="38"/>
      <c r="S545" s="38"/>
      <c r="T545" s="38"/>
      <c r="U545" s="38"/>
      <c r="V545" s="38"/>
      <c r="W545" s="38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</row>
    <row r="546" spans="1:36" ht="11.25" customHeight="1" x14ac:dyDescent="0.2">
      <c r="A546" s="35" t="s">
        <v>30</v>
      </c>
      <c r="B546" s="35" t="s">
        <v>41</v>
      </c>
      <c r="C546" s="35" t="s">
        <v>44</v>
      </c>
      <c r="D546" s="35" t="s">
        <v>45</v>
      </c>
      <c r="E546" s="35" t="s">
        <v>25</v>
      </c>
      <c r="F546" s="35" t="s">
        <v>25</v>
      </c>
      <c r="G546" s="35" t="s">
        <v>25</v>
      </c>
      <c r="H546" s="35" t="s">
        <v>36</v>
      </c>
      <c r="I546" s="45">
        <v>44531</v>
      </c>
      <c r="J546" s="46">
        <f>EFEITO!$J$546*EFEITO!$Y$546</f>
        <v>0</v>
      </c>
      <c r="K546" s="46">
        <f ca="1">EFEITO!$L$546*EFEITO!$Z$546</f>
        <v>42578.842770015312</v>
      </c>
      <c r="L546" s="46">
        <f>EFEITO!$N$546*EFEITO!$AA$546</f>
        <v>10432.179569211699</v>
      </c>
      <c r="M546" s="46">
        <f>$J$546-EFEITO!$K$546*EFEITO!$Y$546</f>
        <v>0</v>
      </c>
      <c r="N546" s="46">
        <f ca="1">$K$546-EFEITO!$M$546*EFEITO!$Z$546</f>
        <v>0</v>
      </c>
      <c r="O546" s="46">
        <f>$L$546-EFEITO!$O$546*EFEITO!$AA$546</f>
        <v>0</v>
      </c>
      <c r="P546" s="38"/>
      <c r="Q546" s="38"/>
      <c r="R546" s="38"/>
      <c r="S546" s="38"/>
      <c r="T546" s="38"/>
      <c r="U546" s="38"/>
      <c r="V546" s="38"/>
      <c r="W546" s="38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</row>
    <row r="547" spans="1:36" ht="11.25" customHeight="1" x14ac:dyDescent="0.2">
      <c r="A547" s="35" t="s">
        <v>21</v>
      </c>
      <c r="B547" s="35" t="s">
        <v>41</v>
      </c>
      <c r="C547" s="35" t="s">
        <v>44</v>
      </c>
      <c r="D547" s="35" t="s">
        <v>45</v>
      </c>
      <c r="E547" s="35" t="s">
        <v>25</v>
      </c>
      <c r="F547" s="35" t="s">
        <v>25</v>
      </c>
      <c r="G547" s="35" t="s">
        <v>25</v>
      </c>
      <c r="H547" s="35" t="s">
        <v>36</v>
      </c>
      <c r="I547" s="45">
        <v>44562</v>
      </c>
      <c r="J547" s="46">
        <f>EFEITO!$J$547*EFEITO!$Y$547</f>
        <v>0</v>
      </c>
      <c r="K547" s="46">
        <f ca="1">EFEITO!$L$547*EFEITO!$Z$547</f>
        <v>350618.6460434632</v>
      </c>
      <c r="L547" s="46">
        <f>EFEITO!$N$547*EFEITO!$AA$547</f>
        <v>85904.558176839579</v>
      </c>
      <c r="M547" s="46">
        <f>$J$547-EFEITO!$K$547*EFEITO!$Y$547</f>
        <v>0</v>
      </c>
      <c r="N547" s="46">
        <f ca="1">$K$547-EFEITO!$M$547*EFEITO!$Z$547</f>
        <v>0</v>
      </c>
      <c r="O547" s="46">
        <f>$L$547-EFEITO!$O$547*EFEITO!$AA$547</f>
        <v>0</v>
      </c>
      <c r="P547" s="38"/>
      <c r="Q547" s="38"/>
      <c r="R547" s="38"/>
      <c r="S547" s="38"/>
      <c r="T547" s="38"/>
      <c r="U547" s="38"/>
      <c r="V547" s="38"/>
      <c r="W547" s="38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</row>
    <row r="548" spans="1:36" ht="11.25" customHeight="1" x14ac:dyDescent="0.2">
      <c r="A548" s="35" t="s">
        <v>28</v>
      </c>
      <c r="B548" s="35" t="s">
        <v>41</v>
      </c>
      <c r="C548" s="35" t="s">
        <v>44</v>
      </c>
      <c r="D548" s="35" t="s">
        <v>45</v>
      </c>
      <c r="E548" s="35" t="s">
        <v>25</v>
      </c>
      <c r="F548" s="35" t="s">
        <v>25</v>
      </c>
      <c r="G548" s="35" t="s">
        <v>25</v>
      </c>
      <c r="H548" s="35" t="s">
        <v>36</v>
      </c>
      <c r="I548" s="45">
        <v>44562</v>
      </c>
      <c r="J548" s="46">
        <f>EFEITO!$J$548*EFEITO!$Y$548</f>
        <v>0</v>
      </c>
      <c r="K548" s="46">
        <f ca="1">EFEITO!$L$548*EFEITO!$Z$548</f>
        <v>83989.864531738407</v>
      </c>
      <c r="L548" s="46">
        <f>EFEITO!$N$548*EFEITO!$AA$548</f>
        <v>20578.233032812524</v>
      </c>
      <c r="M548" s="46">
        <f>$J$548-EFEITO!$K$548*EFEITO!$Y$548</f>
        <v>0</v>
      </c>
      <c r="N548" s="46">
        <f ca="1">$K$548-EFEITO!$M$548*EFEITO!$Z$548</f>
        <v>0</v>
      </c>
      <c r="O548" s="46">
        <f>$L$548-EFEITO!$O$548*EFEITO!$AA$548</f>
        <v>0</v>
      </c>
      <c r="P548" s="38"/>
      <c r="Q548" s="38"/>
      <c r="R548" s="38"/>
      <c r="S548" s="38"/>
      <c r="T548" s="38"/>
      <c r="U548" s="38"/>
      <c r="V548" s="38"/>
      <c r="W548" s="38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</row>
    <row r="549" spans="1:36" ht="11.25" customHeight="1" x14ac:dyDescent="0.2">
      <c r="A549" s="35" t="s">
        <v>29</v>
      </c>
      <c r="B549" s="35" t="s">
        <v>41</v>
      </c>
      <c r="C549" s="35" t="s">
        <v>44</v>
      </c>
      <c r="D549" s="35" t="s">
        <v>45</v>
      </c>
      <c r="E549" s="35" t="s">
        <v>25</v>
      </c>
      <c r="F549" s="35" t="s">
        <v>25</v>
      </c>
      <c r="G549" s="35" t="s">
        <v>25</v>
      </c>
      <c r="H549" s="35" t="s">
        <v>36</v>
      </c>
      <c r="I549" s="45">
        <v>44562</v>
      </c>
      <c r="J549" s="46">
        <f>EFEITO!$J$549*EFEITO!$Y$549</f>
        <v>0</v>
      </c>
      <c r="K549" s="46">
        <f ca="1">EFEITO!$L$549*EFEITO!$Z$549</f>
        <v>414.43584578177388</v>
      </c>
      <c r="L549" s="46">
        <f>EFEITO!$N$549*EFEITO!$AA$549</f>
        <v>101.54031631311142</v>
      </c>
      <c r="M549" s="46">
        <f>$J$549-EFEITO!$K$549*EFEITO!$Y$549</f>
        <v>0</v>
      </c>
      <c r="N549" s="46">
        <f ca="1">$K$549-EFEITO!$M$549*EFEITO!$Z$549</f>
        <v>0</v>
      </c>
      <c r="O549" s="46">
        <f>$L$549-EFEITO!$O$549*EFEITO!$AA$549</f>
        <v>0</v>
      </c>
      <c r="P549" s="38"/>
      <c r="Q549" s="38"/>
      <c r="R549" s="38"/>
      <c r="S549" s="38"/>
      <c r="T549" s="38"/>
      <c r="U549" s="38"/>
      <c r="V549" s="38"/>
      <c r="W549" s="38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</row>
    <row r="550" spans="1:36" ht="11.25" customHeight="1" x14ac:dyDescent="0.2">
      <c r="A550" s="35" t="s">
        <v>30</v>
      </c>
      <c r="B550" s="35" t="s">
        <v>41</v>
      </c>
      <c r="C550" s="35" t="s">
        <v>44</v>
      </c>
      <c r="D550" s="35" t="s">
        <v>45</v>
      </c>
      <c r="E550" s="35" t="s">
        <v>25</v>
      </c>
      <c r="F550" s="35" t="s">
        <v>25</v>
      </c>
      <c r="G550" s="35" t="s">
        <v>25</v>
      </c>
      <c r="H550" s="35" t="s">
        <v>36</v>
      </c>
      <c r="I550" s="45">
        <v>44562</v>
      </c>
      <c r="J550" s="46">
        <f>EFEITO!$J$550*EFEITO!$Y$550</f>
        <v>0</v>
      </c>
      <c r="K550" s="46">
        <f ca="1">EFEITO!$L$550*EFEITO!$Z$550</f>
        <v>35102.716137716241</v>
      </c>
      <c r="L550" s="46">
        <f>EFEITO!$N$550*EFEITO!$AA$550</f>
        <v>8600.4647917205366</v>
      </c>
      <c r="M550" s="46">
        <f>$J$550-EFEITO!$K$550*EFEITO!$Y$550</f>
        <v>0</v>
      </c>
      <c r="N550" s="46">
        <f ca="1">$K$550-EFEITO!$M$550*EFEITO!$Z$550</f>
        <v>0</v>
      </c>
      <c r="O550" s="46">
        <f>$L$550-EFEITO!$O$550*EFEITO!$AA$550</f>
        <v>0</v>
      </c>
      <c r="P550" s="38"/>
      <c r="Q550" s="38"/>
      <c r="R550" s="38"/>
      <c r="S550" s="38"/>
      <c r="T550" s="38"/>
      <c r="U550" s="38"/>
      <c r="V550" s="38"/>
      <c r="W550" s="38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</row>
    <row r="551" spans="1:36" ht="11.25" customHeight="1" x14ac:dyDescent="0.2">
      <c r="A551" s="35" t="s">
        <v>30</v>
      </c>
      <c r="B551" s="35" t="s">
        <v>41</v>
      </c>
      <c r="C551" s="35" t="s">
        <v>44</v>
      </c>
      <c r="D551" s="35" t="s">
        <v>45</v>
      </c>
      <c r="E551" s="35" t="s">
        <v>25</v>
      </c>
      <c r="F551" s="35" t="s">
        <v>25</v>
      </c>
      <c r="G551" s="35" t="s">
        <v>25</v>
      </c>
      <c r="H551" s="35" t="s">
        <v>36</v>
      </c>
      <c r="I551" s="45">
        <v>44562</v>
      </c>
      <c r="J551" s="46">
        <f>EFEITO!$J$551*EFEITO!$Y$551</f>
        <v>0</v>
      </c>
      <c r="K551" s="46">
        <f ca="1">EFEITO!$L$551*EFEITO!$Z$551</f>
        <v>-4381.1789411216087</v>
      </c>
      <c r="L551" s="46">
        <f>EFEITO!$N$551*EFEITO!$AA$551</f>
        <v>-1073.4262010243206</v>
      </c>
      <c r="M551" s="46">
        <f>$J$551-EFEITO!$K$551*EFEITO!$Y$551</f>
        <v>0</v>
      </c>
      <c r="N551" s="46">
        <f ca="1">$K$551-EFEITO!$M$551*EFEITO!$Z$551</f>
        <v>0</v>
      </c>
      <c r="O551" s="46">
        <f>$L$551-EFEITO!$O$551*EFEITO!$AA$551</f>
        <v>0</v>
      </c>
      <c r="P551" s="38"/>
      <c r="Q551" s="38"/>
      <c r="R551" s="38"/>
      <c r="S551" s="38"/>
      <c r="T551" s="38"/>
      <c r="U551" s="38"/>
      <c r="V551" s="38"/>
      <c r="W551" s="38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</row>
    <row r="552" spans="1:36" ht="11.25" customHeight="1" x14ac:dyDescent="0.2">
      <c r="A552" s="35" t="s">
        <v>21</v>
      </c>
      <c r="B552" s="35" t="s">
        <v>41</v>
      </c>
      <c r="C552" s="35" t="s">
        <v>44</v>
      </c>
      <c r="D552" s="35" t="s">
        <v>45</v>
      </c>
      <c r="E552" s="35" t="s">
        <v>25</v>
      </c>
      <c r="F552" s="35" t="s">
        <v>25</v>
      </c>
      <c r="G552" s="35" t="s">
        <v>25</v>
      </c>
      <c r="H552" s="35" t="s">
        <v>36</v>
      </c>
      <c r="I552" s="45">
        <v>44593</v>
      </c>
      <c r="J552" s="46">
        <f>EFEITO!$J$552*EFEITO!$Y$552</f>
        <v>0</v>
      </c>
      <c r="K552" s="46">
        <f ca="1">EFEITO!$L$552*EFEITO!$Z$552</f>
        <v>344900.91149969539</v>
      </c>
      <c r="L552" s="46">
        <f>EFEITO!$N$552*EFEITO!$AA$552</f>
        <v>84503.664455705468</v>
      </c>
      <c r="M552" s="46">
        <f>$J$552-EFEITO!$K$552*EFEITO!$Y$552</f>
        <v>0</v>
      </c>
      <c r="N552" s="46">
        <f ca="1">$K$552-EFEITO!$M$552*EFEITO!$Z$552</f>
        <v>0</v>
      </c>
      <c r="O552" s="46">
        <f>$L$552-EFEITO!$O$552*EFEITO!$AA$552</f>
        <v>0</v>
      </c>
      <c r="P552" s="38"/>
      <c r="Q552" s="38"/>
      <c r="R552" s="38"/>
      <c r="S552" s="38"/>
      <c r="T552" s="38"/>
      <c r="U552" s="38"/>
      <c r="V552" s="38"/>
      <c r="W552" s="38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</row>
    <row r="553" spans="1:36" ht="11.25" customHeight="1" x14ac:dyDescent="0.2">
      <c r="A553" s="35" t="s">
        <v>27</v>
      </c>
      <c r="B553" s="35" t="s">
        <v>41</v>
      </c>
      <c r="C553" s="35" t="s">
        <v>44</v>
      </c>
      <c r="D553" s="35" t="s">
        <v>45</v>
      </c>
      <c r="E553" s="35" t="s">
        <v>25</v>
      </c>
      <c r="F553" s="35" t="s">
        <v>25</v>
      </c>
      <c r="G553" s="35" t="s">
        <v>25</v>
      </c>
      <c r="H553" s="35" t="s">
        <v>36</v>
      </c>
      <c r="I553" s="45">
        <v>44593</v>
      </c>
      <c r="J553" s="46">
        <f>EFEITO!$J$553*EFEITO!$Y$553</f>
        <v>0</v>
      </c>
      <c r="K553" s="46">
        <f ca="1">EFEITO!$L$553*EFEITO!$Z$553</f>
        <v>-9070.2245105382499</v>
      </c>
      <c r="L553" s="46">
        <f>EFEITO!$N$553*EFEITO!$AA$553</f>
        <v>-2222.2823513098097</v>
      </c>
      <c r="M553" s="46">
        <f>$J$553-EFEITO!$K$553*EFEITO!$Y$553</f>
        <v>0</v>
      </c>
      <c r="N553" s="46">
        <f ca="1">$K$553-EFEITO!$M$553*EFEITO!$Z$553</f>
        <v>0</v>
      </c>
      <c r="O553" s="46">
        <f>$L$553-EFEITO!$O$553*EFEITO!$AA$553</f>
        <v>0</v>
      </c>
      <c r="P553" s="38"/>
      <c r="Q553" s="38"/>
      <c r="R553" s="38"/>
      <c r="S553" s="38"/>
      <c r="T553" s="38"/>
      <c r="U553" s="38"/>
      <c r="V553" s="38"/>
      <c r="W553" s="38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</row>
    <row r="554" spans="1:36" ht="11.25" customHeight="1" x14ac:dyDescent="0.2">
      <c r="A554" s="35" t="s">
        <v>28</v>
      </c>
      <c r="B554" s="35" t="s">
        <v>41</v>
      </c>
      <c r="C554" s="35" t="s">
        <v>44</v>
      </c>
      <c r="D554" s="35" t="s">
        <v>45</v>
      </c>
      <c r="E554" s="35" t="s">
        <v>25</v>
      </c>
      <c r="F554" s="35" t="s">
        <v>25</v>
      </c>
      <c r="G554" s="35" t="s">
        <v>25</v>
      </c>
      <c r="H554" s="35" t="s">
        <v>36</v>
      </c>
      <c r="I554" s="45">
        <v>44593</v>
      </c>
      <c r="J554" s="46">
        <f>EFEITO!$J$554*EFEITO!$Y$554</f>
        <v>0</v>
      </c>
      <c r="K554" s="46">
        <f ca="1">EFEITO!$L$554*EFEITO!$Z$554</f>
        <v>77274.523702053018</v>
      </c>
      <c r="L554" s="46">
        <f>EFEITO!$N$554*EFEITO!$AA$554</f>
        <v>18932.917264553285</v>
      </c>
      <c r="M554" s="46">
        <f>$J$554-EFEITO!$K$554*EFEITO!$Y$554</f>
        <v>0</v>
      </c>
      <c r="N554" s="46">
        <f ca="1">$K$554-EFEITO!$M$554*EFEITO!$Z$554</f>
        <v>0</v>
      </c>
      <c r="O554" s="46">
        <f>$L$554-EFEITO!$O$554*EFEITO!$AA$554</f>
        <v>0</v>
      </c>
      <c r="P554" s="38"/>
      <c r="Q554" s="38"/>
      <c r="R554" s="38"/>
      <c r="S554" s="38"/>
      <c r="T554" s="38"/>
      <c r="U554" s="38"/>
      <c r="V554" s="38"/>
      <c r="W554" s="38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</row>
    <row r="555" spans="1:36" ht="11.25" customHeight="1" x14ac:dyDescent="0.2">
      <c r="A555" s="35" t="s">
        <v>30</v>
      </c>
      <c r="B555" s="35" t="s">
        <v>41</v>
      </c>
      <c r="C555" s="35" t="s">
        <v>44</v>
      </c>
      <c r="D555" s="35" t="s">
        <v>45</v>
      </c>
      <c r="E555" s="35" t="s">
        <v>25</v>
      </c>
      <c r="F555" s="35" t="s">
        <v>25</v>
      </c>
      <c r="G555" s="35" t="s">
        <v>25</v>
      </c>
      <c r="H555" s="35" t="s">
        <v>36</v>
      </c>
      <c r="I555" s="45">
        <v>44593</v>
      </c>
      <c r="J555" s="46">
        <f>EFEITO!$J$555*EFEITO!$Y$555</f>
        <v>0</v>
      </c>
      <c r="K555" s="46">
        <f ca="1">EFEITO!$L$555*EFEITO!$Z$555</f>
        <v>27102.624186107358</v>
      </c>
      <c r="L555" s="46">
        <f>EFEITO!$N$555*EFEITO!$AA$555</f>
        <v>6640.374042890654</v>
      </c>
      <c r="M555" s="46">
        <f>$J$555-EFEITO!$K$555*EFEITO!$Y$555</f>
        <v>0</v>
      </c>
      <c r="N555" s="46">
        <f ca="1">$K$555-EFEITO!$M$555*EFEITO!$Z$555</f>
        <v>0</v>
      </c>
      <c r="O555" s="46">
        <f>$L$555-EFEITO!$O$555*EFEITO!$AA$555</f>
        <v>0</v>
      </c>
      <c r="P555" s="38"/>
      <c r="Q555" s="38"/>
      <c r="R555" s="38"/>
      <c r="S555" s="38"/>
      <c r="T555" s="38"/>
      <c r="U555" s="38"/>
      <c r="V555" s="38"/>
      <c r="W555" s="38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</row>
    <row r="556" spans="1:36" ht="11.25" customHeight="1" x14ac:dyDescent="0.2">
      <c r="A556" s="35" t="s">
        <v>21</v>
      </c>
      <c r="B556" s="35" t="s">
        <v>41</v>
      </c>
      <c r="C556" s="35" t="s">
        <v>44</v>
      </c>
      <c r="D556" s="35" t="s">
        <v>45</v>
      </c>
      <c r="E556" s="35" t="s">
        <v>25</v>
      </c>
      <c r="F556" s="35" t="s">
        <v>25</v>
      </c>
      <c r="G556" s="35" t="s">
        <v>25</v>
      </c>
      <c r="H556" s="35" t="s">
        <v>36</v>
      </c>
      <c r="I556" s="45">
        <v>44621</v>
      </c>
      <c r="J556" s="46">
        <f>EFEITO!$J$556*EFEITO!$Y$556</f>
        <v>0</v>
      </c>
      <c r="K556" s="46">
        <f ca="1">EFEITO!$L$556*EFEITO!$Z$556</f>
        <v>393502.39518573234</v>
      </c>
      <c r="L556" s="46">
        <f>EFEITO!$N$556*EFEITO!$AA$556</f>
        <v>96411.442407338793</v>
      </c>
      <c r="M556" s="46">
        <f>$J$556-EFEITO!$K$556*EFEITO!$Y$556</f>
        <v>0</v>
      </c>
      <c r="N556" s="46">
        <f ca="1">$K$556-EFEITO!$M$556*EFEITO!$Z$556</f>
        <v>0</v>
      </c>
      <c r="O556" s="46">
        <f>$L$556-EFEITO!$O$556*EFEITO!$AA$556</f>
        <v>0</v>
      </c>
      <c r="P556" s="38"/>
      <c r="Q556" s="38"/>
      <c r="R556" s="38"/>
      <c r="S556" s="38"/>
      <c r="T556" s="38"/>
      <c r="U556" s="38"/>
      <c r="V556" s="38"/>
      <c r="W556" s="38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</row>
    <row r="557" spans="1:36" ht="11.25" customHeight="1" x14ac:dyDescent="0.2">
      <c r="A557" s="35" t="s">
        <v>28</v>
      </c>
      <c r="B557" s="35" t="s">
        <v>41</v>
      </c>
      <c r="C557" s="35" t="s">
        <v>44</v>
      </c>
      <c r="D557" s="35" t="s">
        <v>45</v>
      </c>
      <c r="E557" s="35" t="s">
        <v>25</v>
      </c>
      <c r="F557" s="35" t="s">
        <v>25</v>
      </c>
      <c r="G557" s="35" t="s">
        <v>25</v>
      </c>
      <c r="H557" s="35" t="s">
        <v>36</v>
      </c>
      <c r="I557" s="45">
        <v>44621</v>
      </c>
      <c r="J557" s="46">
        <f>EFEITO!$J$557*EFEITO!$Y$557</f>
        <v>0</v>
      </c>
      <c r="K557" s="46">
        <f ca="1">EFEITO!$L$557*EFEITO!$Z$557</f>
        <v>77122.070515926156</v>
      </c>
      <c r="L557" s="46">
        <f>EFEITO!$N$557*EFEITO!$AA$557</f>
        <v>18895.564933909536</v>
      </c>
      <c r="M557" s="46">
        <f>$J$557-EFEITO!$K$557*EFEITO!$Y$557</f>
        <v>0</v>
      </c>
      <c r="N557" s="46">
        <f ca="1">$K$557-EFEITO!$M$557*EFEITO!$Z$557</f>
        <v>0</v>
      </c>
      <c r="O557" s="46">
        <f>$L$557-EFEITO!$O$557*EFEITO!$AA$557</f>
        <v>0</v>
      </c>
      <c r="P557" s="38"/>
      <c r="Q557" s="38"/>
      <c r="R557" s="38"/>
      <c r="S557" s="38"/>
      <c r="T557" s="38"/>
      <c r="U557" s="38"/>
      <c r="V557" s="38"/>
      <c r="W557" s="38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</row>
    <row r="558" spans="1:36" ht="11.25" customHeight="1" x14ac:dyDescent="0.2">
      <c r="A558" s="35" t="s">
        <v>30</v>
      </c>
      <c r="B558" s="35" t="s">
        <v>41</v>
      </c>
      <c r="C558" s="35" t="s">
        <v>44</v>
      </c>
      <c r="D558" s="35" t="s">
        <v>45</v>
      </c>
      <c r="E558" s="35" t="s">
        <v>25</v>
      </c>
      <c r="F558" s="35" t="s">
        <v>25</v>
      </c>
      <c r="G558" s="35" t="s">
        <v>25</v>
      </c>
      <c r="H558" s="35" t="s">
        <v>36</v>
      </c>
      <c r="I558" s="45">
        <v>44621</v>
      </c>
      <c r="J558" s="46">
        <f>EFEITO!$J$558*EFEITO!$Y$558</f>
        <v>0</v>
      </c>
      <c r="K558" s="46">
        <f ca="1">EFEITO!$L$558*EFEITO!$Z$558</f>
        <v>47454.38447003375</v>
      </c>
      <c r="L558" s="46">
        <f>EFEITO!$N$558*EFEITO!$AA$558</f>
        <v>11626.728861838088</v>
      </c>
      <c r="M558" s="46">
        <f>$J$558-EFEITO!$K$558*EFEITO!$Y$558</f>
        <v>0</v>
      </c>
      <c r="N558" s="46">
        <f ca="1">$K$558-EFEITO!$M$558*EFEITO!$Z$558</f>
        <v>0</v>
      </c>
      <c r="O558" s="46">
        <f>$L$558-EFEITO!$O$558*EFEITO!$AA$558</f>
        <v>0</v>
      </c>
      <c r="P558" s="38"/>
      <c r="Q558" s="38"/>
      <c r="R558" s="38"/>
      <c r="S558" s="38"/>
      <c r="T558" s="38"/>
      <c r="U558" s="38"/>
      <c r="V558" s="38"/>
      <c r="W558" s="38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</row>
    <row r="559" spans="1:36" ht="11.25" customHeight="1" x14ac:dyDescent="0.2">
      <c r="A559" s="35" t="s">
        <v>21</v>
      </c>
      <c r="B559" s="35" t="s">
        <v>41</v>
      </c>
      <c r="C559" s="35" t="s">
        <v>44</v>
      </c>
      <c r="D559" s="35" t="s">
        <v>45</v>
      </c>
      <c r="E559" s="35" t="s">
        <v>25</v>
      </c>
      <c r="F559" s="35" t="s">
        <v>25</v>
      </c>
      <c r="G559" s="35" t="s">
        <v>25</v>
      </c>
      <c r="H559" s="35" t="s">
        <v>36</v>
      </c>
      <c r="I559" s="45">
        <v>44652</v>
      </c>
      <c r="J559" s="46">
        <f>EFEITO!$J$559*EFEITO!$Y$559</f>
        <v>0</v>
      </c>
      <c r="K559" s="46">
        <f ca="1">EFEITO!$L$559*EFEITO!$Z$559</f>
        <v>383964.45022066892</v>
      </c>
      <c r="L559" s="46">
        <f>EFEITO!$N$559*EFEITO!$AA$559</f>
        <v>94074.5645561899</v>
      </c>
      <c r="M559" s="46">
        <f>$J$559-EFEITO!$K$559*EFEITO!$Y$559</f>
        <v>0</v>
      </c>
      <c r="N559" s="46">
        <f ca="1">$K$559-EFEITO!$M$559*EFEITO!$Z$559</f>
        <v>0</v>
      </c>
      <c r="O559" s="46">
        <f>$L$559-EFEITO!$O$559*EFEITO!$AA$559</f>
        <v>0</v>
      </c>
      <c r="P559" s="38"/>
      <c r="Q559" s="38"/>
      <c r="R559" s="38"/>
      <c r="S559" s="38"/>
      <c r="T559" s="38"/>
      <c r="U559" s="38"/>
      <c r="V559" s="38"/>
      <c r="W559" s="38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</row>
    <row r="560" spans="1:36" ht="11.25" customHeight="1" x14ac:dyDescent="0.2">
      <c r="A560" s="35" t="s">
        <v>28</v>
      </c>
      <c r="B560" s="35" t="s">
        <v>41</v>
      </c>
      <c r="C560" s="35" t="s">
        <v>44</v>
      </c>
      <c r="D560" s="35" t="s">
        <v>45</v>
      </c>
      <c r="E560" s="35" t="s">
        <v>25</v>
      </c>
      <c r="F560" s="35" t="s">
        <v>25</v>
      </c>
      <c r="G560" s="35" t="s">
        <v>25</v>
      </c>
      <c r="H560" s="35" t="s">
        <v>36</v>
      </c>
      <c r="I560" s="45">
        <v>44652</v>
      </c>
      <c r="J560" s="46">
        <f>EFEITO!$J$560*EFEITO!$Y$560</f>
        <v>0</v>
      </c>
      <c r="K560" s="46">
        <f ca="1">EFEITO!$L$560*EFEITO!$Z$560</f>
        <v>80385.752801457638</v>
      </c>
      <c r="L560" s="46">
        <f>EFEITO!$N$560*EFEITO!$AA$560</f>
        <v>19695.19492487529</v>
      </c>
      <c r="M560" s="46">
        <f>$J$560-EFEITO!$K$560*EFEITO!$Y$560</f>
        <v>0</v>
      </c>
      <c r="N560" s="46">
        <f ca="1">$K$560-EFEITO!$M$560*EFEITO!$Z$560</f>
        <v>0</v>
      </c>
      <c r="O560" s="46">
        <f>$L$560-EFEITO!$O$560*EFEITO!$AA$560</f>
        <v>0</v>
      </c>
      <c r="P560" s="38"/>
      <c r="Q560" s="38"/>
      <c r="R560" s="38"/>
      <c r="S560" s="38"/>
      <c r="T560" s="38"/>
      <c r="U560" s="38"/>
      <c r="V560" s="38"/>
      <c r="W560" s="38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</row>
    <row r="561" spans="1:36" ht="11.25" customHeight="1" x14ac:dyDescent="0.2">
      <c r="A561" s="35" t="s">
        <v>30</v>
      </c>
      <c r="B561" s="35" t="s">
        <v>41</v>
      </c>
      <c r="C561" s="35" t="s">
        <v>44</v>
      </c>
      <c r="D561" s="35" t="s">
        <v>45</v>
      </c>
      <c r="E561" s="35" t="s">
        <v>25</v>
      </c>
      <c r="F561" s="35" t="s">
        <v>25</v>
      </c>
      <c r="G561" s="35" t="s">
        <v>25</v>
      </c>
      <c r="H561" s="35" t="s">
        <v>36</v>
      </c>
      <c r="I561" s="45">
        <v>44652</v>
      </c>
      <c r="J561" s="46">
        <f>EFEITO!$J$561*EFEITO!$Y$561</f>
        <v>0</v>
      </c>
      <c r="K561" s="46">
        <f ca="1">EFEITO!$L$561*EFEITO!$Z$561</f>
        <v>50676.623170987041</v>
      </c>
      <c r="L561" s="46">
        <f>EFEITO!$N$561*EFEITO!$AA$561</f>
        <v>12416.204821172531</v>
      </c>
      <c r="M561" s="46">
        <f>$J$561-EFEITO!$K$561*EFEITO!$Y$561</f>
        <v>0</v>
      </c>
      <c r="N561" s="46">
        <f ca="1">$K$561-EFEITO!$M$561*EFEITO!$Z$561</f>
        <v>0</v>
      </c>
      <c r="O561" s="46">
        <f>$L$561-EFEITO!$O$561*EFEITO!$AA$561</f>
        <v>0</v>
      </c>
      <c r="P561" s="38"/>
      <c r="Q561" s="38"/>
      <c r="R561" s="38"/>
      <c r="S561" s="38"/>
      <c r="T561" s="38"/>
      <c r="U561" s="38"/>
      <c r="V561" s="38"/>
      <c r="W561" s="38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</row>
    <row r="562" spans="1:36" ht="11.25" customHeight="1" x14ac:dyDescent="0.2">
      <c r="A562" s="35" t="s">
        <v>21</v>
      </c>
      <c r="B562" s="35" t="s">
        <v>41</v>
      </c>
      <c r="C562" s="35" t="s">
        <v>44</v>
      </c>
      <c r="D562" s="35" t="s">
        <v>45</v>
      </c>
      <c r="E562" s="35" t="s">
        <v>25</v>
      </c>
      <c r="F562" s="35" t="s">
        <v>25</v>
      </c>
      <c r="G562" s="35" t="s">
        <v>25</v>
      </c>
      <c r="H562" s="35" t="s">
        <v>36</v>
      </c>
      <c r="I562" s="45">
        <v>44682</v>
      </c>
      <c r="J562" s="46">
        <f>EFEITO!$J$562*EFEITO!$Y$562</f>
        <v>0</v>
      </c>
      <c r="K562" s="46">
        <f ca="1">EFEITO!$L$562*EFEITO!$Z$562</f>
        <v>401424.04035224678</v>
      </c>
      <c r="L562" s="46">
        <f>EFEITO!$N$562*EFEITO!$AA$562</f>
        <v>98352.31302486654</v>
      </c>
      <c r="M562" s="46">
        <f>$J$562-EFEITO!$K$562*EFEITO!$Y$562</f>
        <v>0</v>
      </c>
      <c r="N562" s="46">
        <f ca="1">$K$562-EFEITO!$M$562*EFEITO!$Z$562</f>
        <v>0</v>
      </c>
      <c r="O562" s="46">
        <f>$L$562-EFEITO!$O$562*EFEITO!$AA$562</f>
        <v>0</v>
      </c>
      <c r="P562" s="38"/>
      <c r="Q562" s="38"/>
      <c r="R562" s="38"/>
      <c r="S562" s="38"/>
      <c r="T562" s="38"/>
      <c r="U562" s="38"/>
      <c r="V562" s="38"/>
      <c r="W562" s="38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</row>
    <row r="563" spans="1:36" ht="11.25" customHeight="1" x14ac:dyDescent="0.2">
      <c r="A563" s="35" t="s">
        <v>28</v>
      </c>
      <c r="B563" s="35" t="s">
        <v>41</v>
      </c>
      <c r="C563" s="35" t="s">
        <v>44</v>
      </c>
      <c r="D563" s="35" t="s">
        <v>45</v>
      </c>
      <c r="E563" s="35" t="s">
        <v>25</v>
      </c>
      <c r="F563" s="35" t="s">
        <v>25</v>
      </c>
      <c r="G563" s="35" t="s">
        <v>25</v>
      </c>
      <c r="H563" s="35" t="s">
        <v>36</v>
      </c>
      <c r="I563" s="45">
        <v>44682</v>
      </c>
      <c r="J563" s="46">
        <f>EFEITO!$J$563*EFEITO!$Y$563</f>
        <v>0</v>
      </c>
      <c r="K563" s="46">
        <f ca="1">EFEITO!$L$563*EFEITO!$Z$563</f>
        <v>79651.609303215635</v>
      </c>
      <c r="L563" s="46">
        <f>EFEITO!$N$563*EFEITO!$AA$563</f>
        <v>19515.323507406349</v>
      </c>
      <c r="M563" s="46">
        <f>$J$563-EFEITO!$K$563*EFEITO!$Y$563</f>
        <v>0</v>
      </c>
      <c r="N563" s="46">
        <f ca="1">$K$563-EFEITO!$M$563*EFEITO!$Z$563</f>
        <v>0</v>
      </c>
      <c r="O563" s="46">
        <f>$L$563-EFEITO!$O$563*EFEITO!$AA$563</f>
        <v>0</v>
      </c>
      <c r="P563" s="38"/>
      <c r="Q563" s="38"/>
      <c r="R563" s="38"/>
      <c r="S563" s="38"/>
      <c r="T563" s="38"/>
      <c r="U563" s="38"/>
      <c r="V563" s="38"/>
      <c r="W563" s="38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</row>
    <row r="564" spans="1:36" ht="11.25" customHeight="1" x14ac:dyDescent="0.2">
      <c r="A564" s="35" t="s">
        <v>30</v>
      </c>
      <c r="B564" s="35" t="s">
        <v>41</v>
      </c>
      <c r="C564" s="35" t="s">
        <v>44</v>
      </c>
      <c r="D564" s="35" t="s">
        <v>45</v>
      </c>
      <c r="E564" s="35" t="s">
        <v>25</v>
      </c>
      <c r="F564" s="35" t="s">
        <v>25</v>
      </c>
      <c r="G564" s="35" t="s">
        <v>25</v>
      </c>
      <c r="H564" s="35" t="s">
        <v>36</v>
      </c>
      <c r="I564" s="45">
        <v>44682</v>
      </c>
      <c r="J564" s="46">
        <f>EFEITO!$J$564*EFEITO!$Y$564</f>
        <v>0</v>
      </c>
      <c r="K564" s="46">
        <f ca="1">EFEITO!$L$564*EFEITO!$Z$564</f>
        <v>52588.948573665803</v>
      </c>
      <c r="L564" s="46">
        <f>EFEITO!$N$564*EFEITO!$AA$564</f>
        <v>12884.740852160174</v>
      </c>
      <c r="M564" s="46">
        <f>$J$564-EFEITO!$K$564*EFEITO!$Y$564</f>
        <v>0</v>
      </c>
      <c r="N564" s="46">
        <f ca="1">$K$564-EFEITO!$M$564*EFEITO!$Z$564</f>
        <v>0</v>
      </c>
      <c r="O564" s="46">
        <f>$L$564-EFEITO!$O$564*EFEITO!$AA$564</f>
        <v>0</v>
      </c>
      <c r="P564" s="38"/>
      <c r="Q564" s="38"/>
      <c r="R564" s="38"/>
      <c r="S564" s="38"/>
      <c r="T564" s="38"/>
      <c r="U564" s="38"/>
      <c r="V564" s="38"/>
      <c r="W564" s="38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</row>
    <row r="565" spans="1:36" ht="11.25" customHeight="1" x14ac:dyDescent="0.2">
      <c r="A565" s="35" t="s">
        <v>21</v>
      </c>
      <c r="B565" s="35" t="s">
        <v>41</v>
      </c>
      <c r="C565" s="35" t="s">
        <v>44</v>
      </c>
      <c r="D565" s="35" t="s">
        <v>45</v>
      </c>
      <c r="E565" s="35" t="s">
        <v>25</v>
      </c>
      <c r="F565" s="35" t="s">
        <v>25</v>
      </c>
      <c r="G565" s="35" t="s">
        <v>25</v>
      </c>
      <c r="H565" s="35" t="s">
        <v>36</v>
      </c>
      <c r="I565" s="45">
        <v>44713</v>
      </c>
      <c r="J565" s="46">
        <f>EFEITO!$J$565*EFEITO!$Y$565</f>
        <v>0</v>
      </c>
      <c r="K565" s="46">
        <f ca="1">EFEITO!$L$565*EFEITO!$Z$565</f>
        <v>381150.72685341479</v>
      </c>
      <c r="L565" s="46">
        <f>EFEITO!$N$565*EFEITO!$AA$565</f>
        <v>93385.178337221238</v>
      </c>
      <c r="M565" s="46">
        <f>$J$565-EFEITO!$K$565*EFEITO!$Y$565</f>
        <v>0</v>
      </c>
      <c r="N565" s="46">
        <f ca="1">$K$565-EFEITO!$M$565*EFEITO!$Z$565</f>
        <v>0</v>
      </c>
      <c r="O565" s="46">
        <f>$L$565-EFEITO!$O$565*EFEITO!$AA$565</f>
        <v>0</v>
      </c>
      <c r="P565" s="38"/>
      <c r="Q565" s="38"/>
      <c r="R565" s="38"/>
      <c r="S565" s="38"/>
      <c r="T565" s="38"/>
      <c r="U565" s="38"/>
      <c r="V565" s="38"/>
      <c r="W565" s="38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</row>
    <row r="566" spans="1:36" ht="11.25" customHeight="1" x14ac:dyDescent="0.2">
      <c r="A566" s="35" t="s">
        <v>27</v>
      </c>
      <c r="B566" s="35" t="s">
        <v>41</v>
      </c>
      <c r="C566" s="35" t="s">
        <v>44</v>
      </c>
      <c r="D566" s="35" t="s">
        <v>45</v>
      </c>
      <c r="E566" s="35" t="s">
        <v>25</v>
      </c>
      <c r="F566" s="35" t="s">
        <v>25</v>
      </c>
      <c r="G566" s="35" t="s">
        <v>25</v>
      </c>
      <c r="H566" s="35" t="s">
        <v>36</v>
      </c>
      <c r="I566" s="45">
        <v>44713</v>
      </c>
      <c r="J566" s="46">
        <f>EFEITO!$J$566*EFEITO!$Y$566</f>
        <v>0</v>
      </c>
      <c r="K566" s="46">
        <f ca="1">EFEITO!$L$566*EFEITO!$Z$566</f>
        <v>504.72365504137457</v>
      </c>
      <c r="L566" s="46">
        <f>EFEITO!$N$566*EFEITO!$AA$566</f>
        <v>123.6615995098964</v>
      </c>
      <c r="M566" s="46">
        <f>$J$566-EFEITO!$K$566*EFEITO!$Y$566</f>
        <v>0</v>
      </c>
      <c r="N566" s="46">
        <f ca="1">$K$566-EFEITO!$M$566*EFEITO!$Z$566</f>
        <v>0</v>
      </c>
      <c r="O566" s="46">
        <f>$L$566-EFEITO!$O$566*EFEITO!$AA$566</f>
        <v>0</v>
      </c>
      <c r="P566" s="38"/>
      <c r="Q566" s="38"/>
      <c r="R566" s="38"/>
      <c r="S566" s="38"/>
      <c r="T566" s="38"/>
      <c r="U566" s="38"/>
      <c r="V566" s="38"/>
      <c r="W566" s="38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</row>
    <row r="567" spans="1:36" ht="11.25" customHeight="1" x14ac:dyDescent="0.2">
      <c r="A567" s="35" t="s">
        <v>28</v>
      </c>
      <c r="B567" s="35" t="s">
        <v>41</v>
      </c>
      <c r="C567" s="35" t="s">
        <v>44</v>
      </c>
      <c r="D567" s="35" t="s">
        <v>45</v>
      </c>
      <c r="E567" s="35" t="s">
        <v>25</v>
      </c>
      <c r="F567" s="35" t="s">
        <v>25</v>
      </c>
      <c r="G567" s="35" t="s">
        <v>25</v>
      </c>
      <c r="H567" s="35" t="s">
        <v>36</v>
      </c>
      <c r="I567" s="45">
        <v>44713</v>
      </c>
      <c r="J567" s="46">
        <f>EFEITO!$J$567*EFEITO!$Y$567</f>
        <v>0</v>
      </c>
      <c r="K567" s="46">
        <f ca="1">EFEITO!$L$567*EFEITO!$Z$567</f>
        <v>79542.079829687587</v>
      </c>
      <c r="L567" s="46">
        <f>EFEITO!$N$567*EFEITO!$AA$567</f>
        <v>19488.487852380742</v>
      </c>
      <c r="M567" s="46">
        <f>$J$567-EFEITO!$K$567*EFEITO!$Y$567</f>
        <v>0</v>
      </c>
      <c r="N567" s="46">
        <f ca="1">$K$567-EFEITO!$M$567*EFEITO!$Z$567</f>
        <v>0</v>
      </c>
      <c r="O567" s="46">
        <f>$L$567-EFEITO!$O$567*EFEITO!$AA$567</f>
        <v>0</v>
      </c>
      <c r="P567" s="38"/>
      <c r="Q567" s="38"/>
      <c r="R567" s="38"/>
      <c r="S567" s="38"/>
      <c r="T567" s="38"/>
      <c r="U567" s="38"/>
      <c r="V567" s="38"/>
      <c r="W567" s="38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</row>
    <row r="568" spans="1:36" ht="11.25" customHeight="1" x14ac:dyDescent="0.2">
      <c r="A568" s="35" t="s">
        <v>30</v>
      </c>
      <c r="B568" s="35" t="s">
        <v>41</v>
      </c>
      <c r="C568" s="35" t="s">
        <v>44</v>
      </c>
      <c r="D568" s="35" t="s">
        <v>45</v>
      </c>
      <c r="E568" s="35" t="s">
        <v>25</v>
      </c>
      <c r="F568" s="35" t="s">
        <v>25</v>
      </c>
      <c r="G568" s="35" t="s">
        <v>25</v>
      </c>
      <c r="H568" s="35" t="s">
        <v>36</v>
      </c>
      <c r="I568" s="45">
        <v>44713</v>
      </c>
      <c r="J568" s="46">
        <f>EFEITO!$J$568*EFEITO!$Y$568</f>
        <v>0</v>
      </c>
      <c r="K568" s="46">
        <f ca="1">EFEITO!$L$568*EFEITO!$Z$568</f>
        <v>60485.431563829239</v>
      </c>
      <c r="L568" s="46">
        <f>EFEITO!$N$568*EFEITO!$AA$568</f>
        <v>14819.446521911779</v>
      </c>
      <c r="M568" s="46">
        <f>$J$568-EFEITO!$K$568*EFEITO!$Y$568</f>
        <v>0</v>
      </c>
      <c r="N568" s="46">
        <f ca="1">$K$568-EFEITO!$M$568*EFEITO!$Z$568</f>
        <v>0</v>
      </c>
      <c r="O568" s="46">
        <f>$L$568-EFEITO!$O$568*EFEITO!$AA$568</f>
        <v>0</v>
      </c>
      <c r="P568" s="38"/>
      <c r="Q568" s="38"/>
      <c r="R568" s="38"/>
      <c r="S568" s="38"/>
      <c r="T568" s="38"/>
      <c r="U568" s="38"/>
      <c r="V568" s="38"/>
      <c r="W568" s="38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</row>
    <row r="569" spans="1:36" ht="11.25" customHeight="1" x14ac:dyDescent="0.2">
      <c r="A569" s="35" t="s">
        <v>30</v>
      </c>
      <c r="B569" s="35" t="s">
        <v>41</v>
      </c>
      <c r="C569" s="35" t="s">
        <v>44</v>
      </c>
      <c r="D569" s="35" t="s">
        <v>45</v>
      </c>
      <c r="E569" s="35" t="s">
        <v>25</v>
      </c>
      <c r="F569" s="35" t="s">
        <v>25</v>
      </c>
      <c r="G569" s="35" t="s">
        <v>25</v>
      </c>
      <c r="H569" s="35" t="s">
        <v>36</v>
      </c>
      <c r="I569" s="45">
        <v>44713</v>
      </c>
      <c r="J569" s="46">
        <f>EFEITO!$J$569*EFEITO!$Y$569</f>
        <v>0</v>
      </c>
      <c r="K569" s="46">
        <f ca="1">EFEITO!$L$569*EFEITO!$Z$569</f>
        <v>-2440.7311060505181</v>
      </c>
      <c r="L569" s="46">
        <f>EFEITO!$N$569*EFEITO!$AA$569</f>
        <v>-597.99993428685968</v>
      </c>
      <c r="M569" s="46">
        <f>$J$569-EFEITO!$K$569*EFEITO!$Y$569</f>
        <v>0</v>
      </c>
      <c r="N569" s="46">
        <f ca="1">$K$569-EFEITO!$M$569*EFEITO!$Z$569</f>
        <v>0</v>
      </c>
      <c r="O569" s="46">
        <f>$L$569-EFEITO!$O$569*EFEITO!$AA$569</f>
        <v>0</v>
      </c>
      <c r="P569" s="38"/>
      <c r="Q569" s="38"/>
      <c r="R569" s="38"/>
      <c r="S569" s="38"/>
      <c r="T569" s="38"/>
      <c r="U569" s="38"/>
      <c r="V569" s="38"/>
      <c r="W569" s="38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</row>
    <row r="570" spans="1:36" ht="11.25" customHeight="1" x14ac:dyDescent="0.2">
      <c r="A570" s="35" t="s">
        <v>21</v>
      </c>
      <c r="B570" s="35" t="s">
        <v>41</v>
      </c>
      <c r="C570" s="35" t="s">
        <v>44</v>
      </c>
      <c r="D570" s="35" t="s">
        <v>45</v>
      </c>
      <c r="E570" s="35" t="s">
        <v>25</v>
      </c>
      <c r="F570" s="35" t="s">
        <v>25</v>
      </c>
      <c r="G570" s="35" t="s">
        <v>25</v>
      </c>
      <c r="H570" s="35" t="s">
        <v>36</v>
      </c>
      <c r="I570" s="45">
        <v>44743</v>
      </c>
      <c r="J570" s="46">
        <f>EFEITO!$J$570*EFEITO!$Y$570</f>
        <v>0</v>
      </c>
      <c r="K570" s="46">
        <f ca="1">EFEITO!$L$570*EFEITO!$Z$570</f>
        <v>368335.7784506341</v>
      </c>
      <c r="L570" s="46">
        <f>EFEITO!$N$570*EFEITO!$AA$570</f>
        <v>90245.406699225103</v>
      </c>
      <c r="M570" s="46">
        <f>$J$570-EFEITO!$K$570*EFEITO!$Y$570</f>
        <v>0</v>
      </c>
      <c r="N570" s="46">
        <f ca="1">$K$570-EFEITO!$M$570*EFEITO!$Z$570</f>
        <v>0</v>
      </c>
      <c r="O570" s="46">
        <f>$L$570-EFEITO!$O$570*EFEITO!$AA$570</f>
        <v>0</v>
      </c>
      <c r="P570" s="38"/>
      <c r="Q570" s="38"/>
      <c r="R570" s="38"/>
      <c r="S570" s="38"/>
      <c r="T570" s="38"/>
      <c r="U570" s="38"/>
      <c r="V570" s="38"/>
      <c r="W570" s="38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</row>
    <row r="571" spans="1:36" ht="11.25" customHeight="1" x14ac:dyDescent="0.2">
      <c r="A571" s="35" t="s">
        <v>28</v>
      </c>
      <c r="B571" s="35" t="s">
        <v>41</v>
      </c>
      <c r="C571" s="35" t="s">
        <v>44</v>
      </c>
      <c r="D571" s="35" t="s">
        <v>45</v>
      </c>
      <c r="E571" s="35" t="s">
        <v>25</v>
      </c>
      <c r="F571" s="35" t="s">
        <v>25</v>
      </c>
      <c r="G571" s="35" t="s">
        <v>25</v>
      </c>
      <c r="H571" s="35" t="s">
        <v>36</v>
      </c>
      <c r="I571" s="45">
        <v>44743</v>
      </c>
      <c r="J571" s="46">
        <f>EFEITO!$J$571*EFEITO!$Y$571</f>
        <v>0</v>
      </c>
      <c r="K571" s="46">
        <f ca="1">EFEITO!$L$571*EFEITO!$Z$571</f>
        <v>84740.289438207561</v>
      </c>
      <c r="L571" s="46">
        <f>EFEITO!$N$571*EFEITO!$AA$571</f>
        <v>20762.093534136624</v>
      </c>
      <c r="M571" s="46">
        <f>$J$571-EFEITO!$K$571*EFEITO!$Y$571</f>
        <v>0</v>
      </c>
      <c r="N571" s="46">
        <f ca="1">$K$571-EFEITO!$M$571*EFEITO!$Z$571</f>
        <v>0</v>
      </c>
      <c r="O571" s="46">
        <f>$L$571-EFEITO!$O$571*EFEITO!$AA$571</f>
        <v>0</v>
      </c>
      <c r="P571" s="38"/>
      <c r="Q571" s="38"/>
      <c r="R571" s="38"/>
      <c r="S571" s="38"/>
      <c r="T571" s="38"/>
      <c r="U571" s="38"/>
      <c r="V571" s="38"/>
      <c r="W571" s="38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</row>
    <row r="572" spans="1:36" ht="11.25" customHeight="1" x14ac:dyDescent="0.2">
      <c r="A572" s="35" t="s">
        <v>30</v>
      </c>
      <c r="B572" s="35" t="s">
        <v>41</v>
      </c>
      <c r="C572" s="35" t="s">
        <v>44</v>
      </c>
      <c r="D572" s="35" t="s">
        <v>45</v>
      </c>
      <c r="E572" s="35" t="s">
        <v>25</v>
      </c>
      <c r="F572" s="35" t="s">
        <v>25</v>
      </c>
      <c r="G572" s="35" t="s">
        <v>25</v>
      </c>
      <c r="H572" s="35" t="s">
        <v>36</v>
      </c>
      <c r="I572" s="45">
        <v>44743</v>
      </c>
      <c r="J572" s="46">
        <f>EFEITO!$J$572*EFEITO!$Y$572</f>
        <v>0</v>
      </c>
      <c r="K572" s="46">
        <f ca="1">EFEITO!$L$572*EFEITO!$Z$572</f>
        <v>61790.904478041826</v>
      </c>
      <c r="L572" s="46">
        <f>EFEITO!$N$572*EFEITO!$AA$572</f>
        <v>15139.298518298079</v>
      </c>
      <c r="M572" s="46">
        <f>$J$572-EFEITO!$K$572*EFEITO!$Y$572</f>
        <v>0</v>
      </c>
      <c r="N572" s="46">
        <f ca="1">$K$572-EFEITO!$M$572*EFEITO!$Z$572</f>
        <v>0</v>
      </c>
      <c r="O572" s="46">
        <f>$L$572-EFEITO!$O$572*EFEITO!$AA$572</f>
        <v>0</v>
      </c>
      <c r="P572" s="38"/>
      <c r="Q572" s="38"/>
      <c r="R572" s="38"/>
      <c r="S572" s="38"/>
      <c r="T572" s="38"/>
      <c r="U572" s="38"/>
      <c r="V572" s="38"/>
      <c r="W572" s="38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</row>
    <row r="573" spans="1:36" ht="11.25" customHeight="1" x14ac:dyDescent="0.2">
      <c r="A573" s="35" t="s">
        <v>21</v>
      </c>
      <c r="B573" s="35" t="s">
        <v>41</v>
      </c>
      <c r="C573" s="35" t="s">
        <v>44</v>
      </c>
      <c r="D573" s="35" t="s">
        <v>45</v>
      </c>
      <c r="E573" s="35" t="s">
        <v>25</v>
      </c>
      <c r="F573" s="35" t="s">
        <v>25</v>
      </c>
      <c r="G573" s="35" t="s">
        <v>25</v>
      </c>
      <c r="H573" s="35" t="s">
        <v>36</v>
      </c>
      <c r="I573" s="45">
        <v>44774</v>
      </c>
      <c r="J573" s="46">
        <f>EFEITO!$J$573*EFEITO!$Y$573</f>
        <v>0</v>
      </c>
      <c r="K573" s="46">
        <f ca="1">EFEITO!$L$573*EFEITO!$Z$573</f>
        <v>454468.86835627258</v>
      </c>
      <c r="L573" s="46">
        <f>EFEITO!$N$573*EFEITO!$AA$573</f>
        <v>111348.74822497115</v>
      </c>
      <c r="M573" s="46">
        <f>$J$573-EFEITO!$K$573*EFEITO!$Y$573</f>
        <v>0</v>
      </c>
      <c r="N573" s="46">
        <f ca="1">$K$573-EFEITO!$M$573*EFEITO!$Z$573</f>
        <v>0</v>
      </c>
      <c r="O573" s="46">
        <f>$L$573-EFEITO!$O$573*EFEITO!$AA$573</f>
        <v>0</v>
      </c>
      <c r="P573" s="38"/>
      <c r="Q573" s="38"/>
      <c r="R573" s="38"/>
      <c r="S573" s="38"/>
      <c r="T573" s="38"/>
      <c r="U573" s="38"/>
      <c r="V573" s="38"/>
      <c r="W573" s="38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</row>
    <row r="574" spans="1:36" ht="11.25" customHeight="1" x14ac:dyDescent="0.2">
      <c r="A574" s="35" t="s">
        <v>28</v>
      </c>
      <c r="B574" s="35" t="s">
        <v>41</v>
      </c>
      <c r="C574" s="35" t="s">
        <v>44</v>
      </c>
      <c r="D574" s="35" t="s">
        <v>45</v>
      </c>
      <c r="E574" s="35" t="s">
        <v>25</v>
      </c>
      <c r="F574" s="35" t="s">
        <v>25</v>
      </c>
      <c r="G574" s="35" t="s">
        <v>25</v>
      </c>
      <c r="H574" s="35" t="s">
        <v>36</v>
      </c>
      <c r="I574" s="45">
        <v>44774</v>
      </c>
      <c r="J574" s="46">
        <f>EFEITO!$J$574*EFEITO!$Y$574</f>
        <v>0</v>
      </c>
      <c r="K574" s="46">
        <f ca="1">EFEITO!$L$574*EFEITO!$Z$574</f>
        <v>87728.667911898272</v>
      </c>
      <c r="L574" s="46">
        <f>EFEITO!$N$574*EFEITO!$AA$574</f>
        <v>21494.271743551522</v>
      </c>
      <c r="M574" s="46">
        <f>$J$574-EFEITO!$K$574*EFEITO!$Y$574</f>
        <v>0</v>
      </c>
      <c r="N574" s="46">
        <f ca="1">$K$574-EFEITO!$M$574*EFEITO!$Z$574</f>
        <v>0</v>
      </c>
      <c r="O574" s="46">
        <f>$L$574-EFEITO!$O$574*EFEITO!$AA$574</f>
        <v>0</v>
      </c>
      <c r="P574" s="38"/>
      <c r="Q574" s="38"/>
      <c r="R574" s="38"/>
      <c r="S574" s="38"/>
      <c r="T574" s="38"/>
      <c r="U574" s="38"/>
      <c r="V574" s="38"/>
      <c r="W574" s="38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</row>
    <row r="575" spans="1:36" ht="11.25" customHeight="1" x14ac:dyDescent="0.2">
      <c r="A575" s="35" t="s">
        <v>30</v>
      </c>
      <c r="B575" s="35" t="s">
        <v>41</v>
      </c>
      <c r="C575" s="35" t="s">
        <v>44</v>
      </c>
      <c r="D575" s="35" t="s">
        <v>45</v>
      </c>
      <c r="E575" s="35" t="s">
        <v>25</v>
      </c>
      <c r="F575" s="35" t="s">
        <v>25</v>
      </c>
      <c r="G575" s="35" t="s">
        <v>25</v>
      </c>
      <c r="H575" s="35" t="s">
        <v>36</v>
      </c>
      <c r="I575" s="45">
        <v>44774</v>
      </c>
      <c r="J575" s="46">
        <f>EFEITO!$J$575*EFEITO!$Y$575</f>
        <v>0</v>
      </c>
      <c r="K575" s="46">
        <f ca="1">EFEITO!$L$575*EFEITO!$Z$575</f>
        <v>74867.835540477434</v>
      </c>
      <c r="L575" s="46">
        <f>EFEITO!$N$575*EFEITO!$AA$575</f>
        <v>18343.258141963575</v>
      </c>
      <c r="M575" s="46">
        <f>$J$575-EFEITO!$K$575*EFEITO!$Y$575</f>
        <v>0</v>
      </c>
      <c r="N575" s="46">
        <f ca="1">$K$575-EFEITO!$M$575*EFEITO!$Z$575</f>
        <v>0</v>
      </c>
      <c r="O575" s="46">
        <f>$L$575-EFEITO!$O$575*EFEITO!$AA$575</f>
        <v>0</v>
      </c>
      <c r="P575" s="38"/>
      <c r="Q575" s="38"/>
      <c r="R575" s="38"/>
      <c r="S575" s="38"/>
      <c r="T575" s="38"/>
      <c r="U575" s="38"/>
      <c r="V575" s="38"/>
      <c r="W575" s="38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</row>
    <row r="576" spans="1:36" ht="11.25" customHeight="1" x14ac:dyDescent="0.2">
      <c r="A576" s="35" t="s">
        <v>30</v>
      </c>
      <c r="B576" s="35" t="s">
        <v>41</v>
      </c>
      <c r="C576" s="35" t="s">
        <v>44</v>
      </c>
      <c r="D576" s="35" t="s">
        <v>45</v>
      </c>
      <c r="E576" s="35" t="s">
        <v>25</v>
      </c>
      <c r="F576" s="35" t="s">
        <v>25</v>
      </c>
      <c r="G576" s="35" t="s">
        <v>25</v>
      </c>
      <c r="H576" s="35" t="s">
        <v>36</v>
      </c>
      <c r="I576" s="45">
        <v>44774</v>
      </c>
      <c r="J576" s="46">
        <f>EFEITO!$J$576*EFEITO!$Y$576</f>
        <v>0</v>
      </c>
      <c r="K576" s="46">
        <f ca="1">EFEITO!$L$576*EFEITO!$Z$576</f>
        <v>-5825.7838892752206</v>
      </c>
      <c r="L576" s="46">
        <f>EFEITO!$N$576*EFEITO!$AA$576</f>
        <v>-1427.3667321728803</v>
      </c>
      <c r="M576" s="46">
        <f>$J$576-EFEITO!$K$576*EFEITO!$Y$576</f>
        <v>0</v>
      </c>
      <c r="N576" s="46">
        <f ca="1">$K$576-EFEITO!$M$576*EFEITO!$Z$576</f>
        <v>0</v>
      </c>
      <c r="O576" s="46">
        <f>$L$576-EFEITO!$O$576*EFEITO!$AA$576</f>
        <v>0</v>
      </c>
      <c r="P576" s="38"/>
      <c r="Q576" s="38"/>
      <c r="R576" s="38"/>
      <c r="S576" s="38"/>
      <c r="T576" s="38"/>
      <c r="U576" s="38"/>
      <c r="V576" s="38"/>
      <c r="W576" s="38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</row>
    <row r="577" spans="1:36" ht="11.25" customHeight="1" x14ac:dyDescent="0.2">
      <c r="A577" s="35" t="s">
        <v>21</v>
      </c>
      <c r="B577" s="35" t="s">
        <v>41</v>
      </c>
      <c r="C577" s="35" t="s">
        <v>44</v>
      </c>
      <c r="D577" s="35" t="s">
        <v>45</v>
      </c>
      <c r="E577" s="35" t="s">
        <v>25</v>
      </c>
      <c r="F577" s="35" t="s">
        <v>25</v>
      </c>
      <c r="G577" s="35" t="s">
        <v>25</v>
      </c>
      <c r="H577" s="35" t="s">
        <v>36</v>
      </c>
      <c r="I577" s="45">
        <v>44805</v>
      </c>
      <c r="J577" s="46">
        <f>EFEITO!$J$577*EFEITO!$Y$577</f>
        <v>0</v>
      </c>
      <c r="K577" s="46">
        <f ca="1">EFEITO!$L$577*EFEITO!$Z$577</f>
        <v>449394.98950148711</v>
      </c>
      <c r="L577" s="46">
        <f>EFEITO!$N$577*EFEITO!$AA$577</f>
        <v>110105.6046381092</v>
      </c>
      <c r="M577" s="46">
        <f>$J$577-EFEITO!$K$577*EFEITO!$Y$577</f>
        <v>0</v>
      </c>
      <c r="N577" s="46">
        <f ca="1">$K$577-EFEITO!$M$577*EFEITO!$Z$577</f>
        <v>0</v>
      </c>
      <c r="O577" s="46">
        <f>$L$577-EFEITO!$O$577*EFEITO!$AA$577</f>
        <v>0</v>
      </c>
      <c r="P577" s="38"/>
      <c r="Q577" s="38"/>
      <c r="R577" s="38"/>
      <c r="S577" s="38"/>
      <c r="T577" s="38"/>
      <c r="U577" s="38"/>
      <c r="V577" s="38"/>
      <c r="W577" s="38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</row>
    <row r="578" spans="1:36" ht="11.25" customHeight="1" x14ac:dyDescent="0.2">
      <c r="A578" s="35" t="s">
        <v>28</v>
      </c>
      <c r="B578" s="35" t="s">
        <v>41</v>
      </c>
      <c r="C578" s="35" t="s">
        <v>44</v>
      </c>
      <c r="D578" s="35" t="s">
        <v>45</v>
      </c>
      <c r="E578" s="35" t="s">
        <v>25</v>
      </c>
      <c r="F578" s="35" t="s">
        <v>25</v>
      </c>
      <c r="G578" s="35" t="s">
        <v>25</v>
      </c>
      <c r="H578" s="35" t="s">
        <v>36</v>
      </c>
      <c r="I578" s="45">
        <v>44805</v>
      </c>
      <c r="J578" s="46">
        <f>EFEITO!$J$578*EFEITO!$Y$578</f>
        <v>0</v>
      </c>
      <c r="K578" s="46">
        <f ca="1">EFEITO!$L$578*EFEITO!$Z$578</f>
        <v>89080.024794750978</v>
      </c>
      <c r="L578" s="46">
        <f>EFEITO!$N$578*EFEITO!$AA$578</f>
        <v>21825.365703529631</v>
      </c>
      <c r="M578" s="46">
        <f>$J$578-EFEITO!$K$578*EFEITO!$Y$578</f>
        <v>0</v>
      </c>
      <c r="N578" s="46">
        <f ca="1">$K$578-EFEITO!$M$578*EFEITO!$Z$578</f>
        <v>0</v>
      </c>
      <c r="O578" s="46">
        <f>$L$578-EFEITO!$O$578*EFEITO!$AA$578</f>
        <v>0</v>
      </c>
      <c r="P578" s="38"/>
      <c r="Q578" s="38"/>
      <c r="R578" s="38"/>
      <c r="S578" s="38"/>
      <c r="T578" s="38"/>
      <c r="U578" s="38"/>
      <c r="V578" s="38"/>
      <c r="W578" s="38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</row>
    <row r="579" spans="1:36" ht="11.25" customHeight="1" x14ac:dyDescent="0.2">
      <c r="A579" s="35" t="s">
        <v>30</v>
      </c>
      <c r="B579" s="35" t="s">
        <v>41</v>
      </c>
      <c r="C579" s="35" t="s">
        <v>44</v>
      </c>
      <c r="D579" s="35" t="s">
        <v>45</v>
      </c>
      <c r="E579" s="35" t="s">
        <v>25</v>
      </c>
      <c r="F579" s="35" t="s">
        <v>25</v>
      </c>
      <c r="G579" s="35" t="s">
        <v>25</v>
      </c>
      <c r="H579" s="35" t="s">
        <v>36</v>
      </c>
      <c r="I579" s="45">
        <v>44805</v>
      </c>
      <c r="J579" s="46">
        <f>EFEITO!$J$579*EFEITO!$Y$579</f>
        <v>0</v>
      </c>
      <c r="K579" s="46">
        <f ca="1">EFEITO!$L$579*EFEITO!$Z$579</f>
        <v>81068.0918189769</v>
      </c>
      <c r="L579" s="46">
        <f>EFEITO!$N$579*EFEITO!$AA$579</f>
        <v>19862.37380280509</v>
      </c>
      <c r="M579" s="46">
        <f>$J$579-EFEITO!$K$579*EFEITO!$Y$579</f>
        <v>0</v>
      </c>
      <c r="N579" s="46">
        <f ca="1">$K$579-EFEITO!$M$579*EFEITO!$Z$579</f>
        <v>0</v>
      </c>
      <c r="O579" s="46">
        <f>$L$579-EFEITO!$O$579*EFEITO!$AA$579</f>
        <v>0</v>
      </c>
      <c r="P579" s="38"/>
      <c r="Q579" s="38"/>
      <c r="R579" s="38"/>
      <c r="S579" s="38"/>
      <c r="T579" s="38"/>
      <c r="U579" s="38"/>
      <c r="V579" s="38"/>
      <c r="W579" s="38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</row>
    <row r="580" spans="1:36" ht="11.25" customHeight="1" x14ac:dyDescent="0.2">
      <c r="A580" s="35" t="s">
        <v>21</v>
      </c>
      <c r="B580" s="35" t="s">
        <v>41</v>
      </c>
      <c r="C580" s="35" t="s">
        <v>44</v>
      </c>
      <c r="D580" s="35" t="s">
        <v>45</v>
      </c>
      <c r="E580" s="35" t="s">
        <v>25</v>
      </c>
      <c r="F580" s="35" t="s">
        <v>25</v>
      </c>
      <c r="G580" s="35" t="s">
        <v>25</v>
      </c>
      <c r="H580" s="35" t="s">
        <v>36</v>
      </c>
      <c r="I580" s="45">
        <v>44835</v>
      </c>
      <c r="J580" s="46">
        <f>EFEITO!$J$580*EFEITO!$Y$580</f>
        <v>0</v>
      </c>
      <c r="K580" s="46">
        <f ca="1">EFEITO!$L$580*EFEITO!$Z$580</f>
        <v>445672.46752955433</v>
      </c>
      <c r="L580" s="46">
        <f>EFEITO!$N$580*EFEITO!$AA$580</f>
        <v>109193.55501122534</v>
      </c>
      <c r="M580" s="46">
        <f>$J$580-EFEITO!$K$580*EFEITO!$Y$580</f>
        <v>0</v>
      </c>
      <c r="N580" s="46">
        <f ca="1">$K$580-EFEITO!$M$580*EFEITO!$Z$580</f>
        <v>0</v>
      </c>
      <c r="O580" s="46">
        <f>$L$580-EFEITO!$O$580*EFEITO!$AA$580</f>
        <v>0</v>
      </c>
      <c r="P580" s="38"/>
      <c r="Q580" s="38"/>
      <c r="R580" s="38"/>
      <c r="S580" s="38"/>
      <c r="T580" s="38"/>
      <c r="U580" s="38"/>
      <c r="V580" s="38"/>
      <c r="W580" s="38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</row>
    <row r="581" spans="1:36" ht="11.25" customHeight="1" x14ac:dyDescent="0.2">
      <c r="A581" s="35" t="s">
        <v>28</v>
      </c>
      <c r="B581" s="35" t="s">
        <v>41</v>
      </c>
      <c r="C581" s="35" t="s">
        <v>44</v>
      </c>
      <c r="D581" s="35" t="s">
        <v>45</v>
      </c>
      <c r="E581" s="35" t="s">
        <v>25</v>
      </c>
      <c r="F581" s="35" t="s">
        <v>25</v>
      </c>
      <c r="G581" s="35" t="s">
        <v>25</v>
      </c>
      <c r="H581" s="35" t="s">
        <v>36</v>
      </c>
      <c r="I581" s="45">
        <v>44835</v>
      </c>
      <c r="J581" s="46">
        <f>EFEITO!$J$581*EFEITO!$Y$581</f>
        <v>0</v>
      </c>
      <c r="K581" s="46">
        <f ca="1">EFEITO!$L$581*EFEITO!$Z$581</f>
        <v>85866.666861921578</v>
      </c>
      <c r="L581" s="46">
        <f>EFEITO!$N$581*EFEITO!$AA$581</f>
        <v>21038.065608116187</v>
      </c>
      <c r="M581" s="46">
        <f>$J$581-EFEITO!$K$581*EFEITO!$Y$581</f>
        <v>0</v>
      </c>
      <c r="N581" s="46">
        <f ca="1">$K$581-EFEITO!$M$581*EFEITO!$Z$581</f>
        <v>0</v>
      </c>
      <c r="O581" s="46">
        <f>$L$581-EFEITO!$O$581*EFEITO!$AA$581</f>
        <v>0</v>
      </c>
      <c r="P581" s="38"/>
      <c r="Q581" s="38"/>
      <c r="R581" s="38"/>
      <c r="S581" s="38"/>
      <c r="T581" s="38"/>
      <c r="U581" s="38"/>
      <c r="V581" s="38"/>
      <c r="W581" s="38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</row>
    <row r="582" spans="1:36" ht="11.25" customHeight="1" x14ac:dyDescent="0.2">
      <c r="A582" s="35" t="s">
        <v>30</v>
      </c>
      <c r="B582" s="35" t="s">
        <v>41</v>
      </c>
      <c r="C582" s="35" t="s">
        <v>44</v>
      </c>
      <c r="D582" s="35" t="s">
        <v>45</v>
      </c>
      <c r="E582" s="35" t="s">
        <v>25</v>
      </c>
      <c r="F582" s="35" t="s">
        <v>25</v>
      </c>
      <c r="G582" s="35" t="s">
        <v>25</v>
      </c>
      <c r="H582" s="35" t="s">
        <v>36</v>
      </c>
      <c r="I582" s="45">
        <v>44835</v>
      </c>
      <c r="J582" s="46">
        <f>EFEITO!$J$582*EFEITO!$Y$582</f>
        <v>0</v>
      </c>
      <c r="K582" s="46">
        <f ca="1">EFEITO!$L$582*EFEITO!$Z$582</f>
        <v>82355.803196941706</v>
      </c>
      <c r="L582" s="46">
        <f>EFEITO!$N$582*EFEITO!$AA$582</f>
        <v>20177.874071349401</v>
      </c>
      <c r="M582" s="46">
        <f>$J$582-EFEITO!$K$582*EFEITO!$Y$582</f>
        <v>0</v>
      </c>
      <c r="N582" s="46">
        <f ca="1">$K$582-EFEITO!$M$582*EFEITO!$Z$582</f>
        <v>0</v>
      </c>
      <c r="O582" s="46">
        <f>$L$582-EFEITO!$O$582*EFEITO!$AA$582</f>
        <v>0</v>
      </c>
      <c r="P582" s="38"/>
      <c r="Q582" s="38"/>
      <c r="R582" s="38"/>
      <c r="S582" s="38"/>
      <c r="T582" s="38"/>
      <c r="U582" s="38"/>
      <c r="V582" s="38"/>
      <c r="W582" s="38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</row>
    <row r="583" spans="1:36" ht="11.25" customHeight="1" x14ac:dyDescent="0.2">
      <c r="A583" s="35" t="s">
        <v>59</v>
      </c>
      <c r="B583" s="35" t="s">
        <v>41</v>
      </c>
      <c r="C583" s="35" t="s">
        <v>44</v>
      </c>
      <c r="D583" s="35" t="s">
        <v>45</v>
      </c>
      <c r="E583" s="35" t="s">
        <v>25</v>
      </c>
      <c r="F583" s="35" t="s">
        <v>25</v>
      </c>
      <c r="G583" s="35" t="s">
        <v>25</v>
      </c>
      <c r="H583" s="35" t="s">
        <v>36</v>
      </c>
      <c r="I583" s="45">
        <v>44866</v>
      </c>
      <c r="J583" s="46">
        <f>EFEITO!$J$583*EFEITO!$Y$583</f>
        <v>0</v>
      </c>
      <c r="K583" s="46">
        <f ca="1">EFEITO!$L$583*EFEITO!$Z$583</f>
        <v>445672.46752955433</v>
      </c>
      <c r="L583" s="46">
        <f>EFEITO!$N$583*EFEITO!$AA$583</f>
        <v>109193.55501122534</v>
      </c>
      <c r="M583" s="46">
        <f>$J$583-EFEITO!$K$583*EFEITO!$Y$583</f>
        <v>0</v>
      </c>
      <c r="N583" s="46">
        <f ca="1">$K$583-EFEITO!$M$583*EFEITO!$Z$583</f>
        <v>0</v>
      </c>
      <c r="O583" s="46">
        <f>$L$583-EFEITO!$O$583*EFEITO!$AA$583</f>
        <v>0</v>
      </c>
      <c r="P583" s="38"/>
      <c r="Q583" s="38"/>
      <c r="R583" s="38"/>
      <c r="S583" s="38"/>
      <c r="T583" s="38"/>
      <c r="U583" s="38"/>
      <c r="V583" s="38"/>
      <c r="W583" s="38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</row>
    <row r="584" spans="1:36" ht="11.25" customHeight="1" x14ac:dyDescent="0.2">
      <c r="A584" s="35" t="s">
        <v>59</v>
      </c>
      <c r="B584" s="35" t="s">
        <v>41</v>
      </c>
      <c r="C584" s="35" t="s">
        <v>44</v>
      </c>
      <c r="D584" s="35" t="s">
        <v>45</v>
      </c>
      <c r="E584" s="35" t="s">
        <v>25</v>
      </c>
      <c r="F584" s="35" t="s">
        <v>25</v>
      </c>
      <c r="G584" s="35" t="s">
        <v>25</v>
      </c>
      <c r="H584" s="35" t="s">
        <v>36</v>
      </c>
      <c r="I584" s="45">
        <v>44866</v>
      </c>
      <c r="J584" s="46">
        <f>EFEITO!$J$584*EFEITO!$Y$584</f>
        <v>0</v>
      </c>
      <c r="K584" s="46">
        <f ca="1">EFEITO!$L$584*EFEITO!$Z$584</f>
        <v>85866.666861921578</v>
      </c>
      <c r="L584" s="46">
        <f>EFEITO!$N$584*EFEITO!$AA$584</f>
        <v>21038.065608116187</v>
      </c>
      <c r="M584" s="46">
        <f>$J$584-EFEITO!$K$584*EFEITO!$Y$584</f>
        <v>0</v>
      </c>
      <c r="N584" s="46">
        <f ca="1">$K$584-EFEITO!$M$584*EFEITO!$Z$584</f>
        <v>0</v>
      </c>
      <c r="O584" s="46">
        <f>$L$584-EFEITO!$O$584*EFEITO!$AA$584</f>
        <v>0</v>
      </c>
      <c r="P584" s="38"/>
      <c r="Q584" s="38"/>
      <c r="R584" s="38"/>
      <c r="S584" s="38"/>
      <c r="T584" s="38"/>
      <c r="U584" s="38"/>
      <c r="V584" s="38"/>
      <c r="W584" s="38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</row>
    <row r="585" spans="1:36" ht="11.25" customHeight="1" x14ac:dyDescent="0.2">
      <c r="A585" s="35" t="s">
        <v>59</v>
      </c>
      <c r="B585" s="35" t="s">
        <v>41</v>
      </c>
      <c r="C585" s="35" t="s">
        <v>44</v>
      </c>
      <c r="D585" s="35" t="s">
        <v>45</v>
      </c>
      <c r="E585" s="35" t="s">
        <v>25</v>
      </c>
      <c r="F585" s="35" t="s">
        <v>25</v>
      </c>
      <c r="G585" s="35" t="s">
        <v>25</v>
      </c>
      <c r="H585" s="35" t="s">
        <v>36</v>
      </c>
      <c r="I585" s="45">
        <v>44866</v>
      </c>
      <c r="J585" s="46">
        <f>EFEITO!$J$585*EFEITO!$Y$585</f>
        <v>0</v>
      </c>
      <c r="K585" s="46">
        <f ca="1">EFEITO!$L$585*EFEITO!$Z$585</f>
        <v>82355.803196941706</v>
      </c>
      <c r="L585" s="46">
        <f>EFEITO!$N$585*EFEITO!$AA$585</f>
        <v>20177.874071349401</v>
      </c>
      <c r="M585" s="46">
        <f>$J$585-EFEITO!$K$585*EFEITO!$Y$585</f>
        <v>0</v>
      </c>
      <c r="N585" s="46">
        <f ca="1">$K$585-EFEITO!$M$585*EFEITO!$Z$585</f>
        <v>0</v>
      </c>
      <c r="O585" s="46">
        <f>$L$585-EFEITO!$O$585*EFEITO!$AA$585</f>
        <v>0</v>
      </c>
      <c r="P585" s="38"/>
      <c r="Q585" s="38"/>
      <c r="R585" s="38"/>
      <c r="S585" s="38"/>
      <c r="T585" s="38"/>
      <c r="U585" s="38"/>
      <c r="V585" s="38"/>
      <c r="W585" s="38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</row>
    <row r="586" spans="1:36" ht="11.25" customHeight="1" x14ac:dyDescent="0.2">
      <c r="A586" s="35" t="s">
        <v>21</v>
      </c>
      <c r="B586" s="35" t="s">
        <v>41</v>
      </c>
      <c r="C586" s="35" t="s">
        <v>44</v>
      </c>
      <c r="D586" s="35" t="s">
        <v>54</v>
      </c>
      <c r="E586" s="35" t="s">
        <v>25</v>
      </c>
      <c r="F586" s="35" t="s">
        <v>25</v>
      </c>
      <c r="G586" s="35" t="s">
        <v>25</v>
      </c>
      <c r="H586" s="35" t="s">
        <v>37</v>
      </c>
      <c r="I586" s="45">
        <v>44531</v>
      </c>
      <c r="J586" s="46">
        <f>EFEITO!$J$586*EFEITO!$Y$586</f>
        <v>0</v>
      </c>
      <c r="K586" s="46">
        <f ca="1">EFEITO!$L$586*EFEITO!$Z$586</f>
        <v>4627.993487392383</v>
      </c>
      <c r="L586" s="46">
        <f>EFEITO!$N$586*EFEITO!$AA$586</f>
        <v>8922.3654566674522</v>
      </c>
      <c r="M586" s="46">
        <f>$J$586-EFEITO!$K$586*EFEITO!$Y$586</f>
        <v>0</v>
      </c>
      <c r="N586" s="46">
        <f ca="1">$K$586-EFEITO!$M$586*EFEITO!$Z$586</f>
        <v>0</v>
      </c>
      <c r="O586" s="46">
        <f>$L$586-EFEITO!$O$586*EFEITO!$AA$586</f>
        <v>0</v>
      </c>
      <c r="P586" s="38"/>
      <c r="Q586" s="38"/>
      <c r="R586" s="38"/>
      <c r="S586" s="38"/>
      <c r="T586" s="38"/>
      <c r="U586" s="38"/>
      <c r="V586" s="38"/>
      <c r="W586" s="38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</row>
    <row r="587" spans="1:36" ht="11.25" customHeight="1" x14ac:dyDescent="0.2">
      <c r="A587" s="35" t="s">
        <v>21</v>
      </c>
      <c r="B587" s="35" t="s">
        <v>41</v>
      </c>
      <c r="C587" s="35" t="s">
        <v>44</v>
      </c>
      <c r="D587" s="35" t="s">
        <v>54</v>
      </c>
      <c r="E587" s="35" t="s">
        <v>25</v>
      </c>
      <c r="F587" s="35" t="s">
        <v>25</v>
      </c>
      <c r="G587" s="35" t="s">
        <v>25</v>
      </c>
      <c r="H587" s="35" t="s">
        <v>37</v>
      </c>
      <c r="I587" s="45">
        <v>44562</v>
      </c>
      <c r="J587" s="46">
        <f>EFEITO!$J$587*EFEITO!$Y$587</f>
        <v>0</v>
      </c>
      <c r="K587" s="46">
        <f ca="1">EFEITO!$L$587*EFEITO!$Z$587</f>
        <v>6008.1110550664798</v>
      </c>
      <c r="L587" s="46">
        <f>EFEITO!$N$587*EFEITO!$AA$587</f>
        <v>11583.111057433945</v>
      </c>
      <c r="M587" s="46">
        <f>$J$587-EFEITO!$K$587*EFEITO!$Y$587</f>
        <v>0</v>
      </c>
      <c r="N587" s="46">
        <f ca="1">$K$587-EFEITO!$M$587*EFEITO!$Z$587</f>
        <v>0</v>
      </c>
      <c r="O587" s="46">
        <f>$L$587-EFEITO!$O$587*EFEITO!$AA$587</f>
        <v>0</v>
      </c>
      <c r="P587" s="38"/>
      <c r="Q587" s="38"/>
      <c r="R587" s="38"/>
      <c r="S587" s="38"/>
      <c r="T587" s="38"/>
      <c r="U587" s="38"/>
      <c r="V587" s="38"/>
      <c r="W587" s="38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</row>
    <row r="588" spans="1:36" ht="11.25" customHeight="1" x14ac:dyDescent="0.2">
      <c r="A588" s="35" t="s">
        <v>21</v>
      </c>
      <c r="B588" s="35" t="s">
        <v>41</v>
      </c>
      <c r="C588" s="35" t="s">
        <v>44</v>
      </c>
      <c r="D588" s="35" t="s">
        <v>54</v>
      </c>
      <c r="E588" s="35" t="s">
        <v>25</v>
      </c>
      <c r="F588" s="35" t="s">
        <v>25</v>
      </c>
      <c r="G588" s="35" t="s">
        <v>25</v>
      </c>
      <c r="H588" s="35" t="s">
        <v>37</v>
      </c>
      <c r="I588" s="45">
        <v>44593</v>
      </c>
      <c r="J588" s="46">
        <f>EFEITO!$J$588*EFEITO!$Y$588</f>
        <v>0</v>
      </c>
      <c r="K588" s="46">
        <f ca="1">EFEITO!$L$588*EFEITO!$Z$588</f>
        <v>6572.4313393747425</v>
      </c>
      <c r="L588" s="46">
        <f>EFEITO!$N$588*EFEITO!$AA$588</f>
        <v>12671.07106103494</v>
      </c>
      <c r="M588" s="46">
        <f>$J$588-EFEITO!$K$588*EFEITO!$Y$588</f>
        <v>0</v>
      </c>
      <c r="N588" s="46">
        <f ca="1">$K$588-EFEITO!$M$588*EFEITO!$Z$588</f>
        <v>0</v>
      </c>
      <c r="O588" s="46">
        <f>$L$588-EFEITO!$O$588*EFEITO!$AA$588</f>
        <v>0</v>
      </c>
      <c r="P588" s="38"/>
      <c r="Q588" s="38"/>
      <c r="R588" s="38"/>
      <c r="S588" s="38"/>
      <c r="T588" s="38"/>
      <c r="U588" s="38"/>
      <c r="V588" s="38"/>
      <c r="W588" s="38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</row>
    <row r="589" spans="1:36" ht="11.25" customHeight="1" x14ac:dyDescent="0.2">
      <c r="A589" s="35" t="s">
        <v>21</v>
      </c>
      <c r="B589" s="35" t="s">
        <v>41</v>
      </c>
      <c r="C589" s="35" t="s">
        <v>44</v>
      </c>
      <c r="D589" s="35" t="s">
        <v>54</v>
      </c>
      <c r="E589" s="35" t="s">
        <v>25</v>
      </c>
      <c r="F589" s="35" t="s">
        <v>25</v>
      </c>
      <c r="G589" s="35" t="s">
        <v>25</v>
      </c>
      <c r="H589" s="35" t="s">
        <v>37</v>
      </c>
      <c r="I589" s="45">
        <v>44621</v>
      </c>
      <c r="J589" s="46">
        <f>EFEITO!$J$589*EFEITO!$Y$589</f>
        <v>0</v>
      </c>
      <c r="K589" s="46">
        <f ca="1">EFEITO!$L$589*EFEITO!$Z$589</f>
        <v>7070.5077953340542</v>
      </c>
      <c r="L589" s="46">
        <f>EFEITO!$N$589*EFEITO!$AA$589</f>
        <v>13631.318774765989</v>
      </c>
      <c r="M589" s="46">
        <f>$J$589-EFEITO!$K$589*EFEITO!$Y$589</f>
        <v>0</v>
      </c>
      <c r="N589" s="46">
        <f ca="1">$K$589-EFEITO!$M$589*EFEITO!$Z$589</f>
        <v>0</v>
      </c>
      <c r="O589" s="46">
        <f>$L$589-EFEITO!$O$589*EFEITO!$AA$589</f>
        <v>0</v>
      </c>
      <c r="P589" s="38"/>
      <c r="Q589" s="38"/>
      <c r="R589" s="38"/>
      <c r="S589" s="38"/>
      <c r="T589" s="38"/>
      <c r="U589" s="38"/>
      <c r="V589" s="38"/>
      <c r="W589" s="38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</row>
    <row r="590" spans="1:36" ht="11.25" customHeight="1" x14ac:dyDescent="0.2">
      <c r="A590" s="35" t="s">
        <v>21</v>
      </c>
      <c r="B590" s="35" t="s">
        <v>41</v>
      </c>
      <c r="C590" s="35" t="s">
        <v>44</v>
      </c>
      <c r="D590" s="35" t="s">
        <v>54</v>
      </c>
      <c r="E590" s="35" t="s">
        <v>25</v>
      </c>
      <c r="F590" s="35" t="s">
        <v>25</v>
      </c>
      <c r="G590" s="35" t="s">
        <v>25</v>
      </c>
      <c r="H590" s="35" t="s">
        <v>37</v>
      </c>
      <c r="I590" s="45">
        <v>44652</v>
      </c>
      <c r="J590" s="46">
        <f>EFEITO!$J$590*EFEITO!$Y$590</f>
        <v>0</v>
      </c>
      <c r="K590" s="46">
        <f ca="1">EFEITO!$L$590*EFEITO!$Z$590</f>
        <v>6941.3096438110178</v>
      </c>
      <c r="L590" s="46">
        <f>EFEITO!$N$590*EFEITO!$AA$590</f>
        <v>13382.236072434023</v>
      </c>
      <c r="M590" s="46">
        <f>$J$590-EFEITO!$K$590*EFEITO!$Y$590</f>
        <v>0</v>
      </c>
      <c r="N590" s="46">
        <f ca="1">$K$590-EFEITO!$M$590*EFEITO!$Z$590</f>
        <v>0</v>
      </c>
      <c r="O590" s="46">
        <f>$L$590-EFEITO!$O$590*EFEITO!$AA$590</f>
        <v>0</v>
      </c>
      <c r="P590" s="38"/>
      <c r="Q590" s="38"/>
      <c r="R590" s="38"/>
      <c r="S590" s="38"/>
      <c r="T590" s="38"/>
      <c r="U590" s="38"/>
      <c r="V590" s="38"/>
      <c r="W590" s="38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</row>
    <row r="591" spans="1:36" ht="11.25" customHeight="1" x14ac:dyDescent="0.2">
      <c r="A591" s="35" t="s">
        <v>21</v>
      </c>
      <c r="B591" s="35" t="s">
        <v>41</v>
      </c>
      <c r="C591" s="35" t="s">
        <v>44</v>
      </c>
      <c r="D591" s="35" t="s">
        <v>54</v>
      </c>
      <c r="E591" s="35" t="s">
        <v>25</v>
      </c>
      <c r="F591" s="35" t="s">
        <v>25</v>
      </c>
      <c r="G591" s="35" t="s">
        <v>25</v>
      </c>
      <c r="H591" s="35" t="s">
        <v>37</v>
      </c>
      <c r="I591" s="45">
        <v>44682</v>
      </c>
      <c r="J591" s="46">
        <f>EFEITO!$J$591*EFEITO!$Y$591</f>
        <v>0</v>
      </c>
      <c r="K591" s="46">
        <f ca="1">EFEITO!$L$591*EFEITO!$Z$591</f>
        <v>7397.643413413457</v>
      </c>
      <c r="L591" s="46">
        <f>EFEITO!$N$591*EFEITO!$AA$591</f>
        <v>14262.007548712776</v>
      </c>
      <c r="M591" s="46">
        <f>$J$591-EFEITO!$K$591*EFEITO!$Y$591</f>
        <v>0</v>
      </c>
      <c r="N591" s="46">
        <f ca="1">$K$591-EFEITO!$M$591*EFEITO!$Z$591</f>
        <v>0</v>
      </c>
      <c r="O591" s="46">
        <f>$L$591-EFEITO!$O$591*EFEITO!$AA$591</f>
        <v>0</v>
      </c>
      <c r="P591" s="38"/>
      <c r="Q591" s="38"/>
      <c r="R591" s="38"/>
      <c r="S591" s="38"/>
      <c r="T591" s="38"/>
      <c r="U591" s="38"/>
      <c r="V591" s="38"/>
      <c r="W591" s="38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</row>
    <row r="592" spans="1:36" ht="11.25" customHeight="1" x14ac:dyDescent="0.2">
      <c r="A592" s="35" t="s">
        <v>21</v>
      </c>
      <c r="B592" s="35" t="s">
        <v>41</v>
      </c>
      <c r="C592" s="35" t="s">
        <v>44</v>
      </c>
      <c r="D592" s="35" t="s">
        <v>54</v>
      </c>
      <c r="E592" s="35" t="s">
        <v>25</v>
      </c>
      <c r="F592" s="35" t="s">
        <v>25</v>
      </c>
      <c r="G592" s="35" t="s">
        <v>25</v>
      </c>
      <c r="H592" s="35" t="s">
        <v>37</v>
      </c>
      <c r="I592" s="45">
        <v>44713</v>
      </c>
      <c r="J592" s="46">
        <f>EFEITO!$J$592*EFEITO!$Y$592</f>
        <v>0</v>
      </c>
      <c r="K592" s="46">
        <f ca="1">EFEITO!$L$592*EFEITO!$Z$592</f>
        <v>6596.5921877280407</v>
      </c>
      <c r="L592" s="46">
        <f>EFEITO!$N$592*EFEITO!$AA$592</f>
        <v>12717.651057169014</v>
      </c>
      <c r="M592" s="46">
        <f>$J$592-EFEITO!$K$592*EFEITO!$Y$592</f>
        <v>0</v>
      </c>
      <c r="N592" s="46">
        <f ca="1">$K$592-EFEITO!$M$592*EFEITO!$Z$592</f>
        <v>0</v>
      </c>
      <c r="O592" s="46">
        <f>$L$592-EFEITO!$O$592*EFEITO!$AA$592</f>
        <v>0</v>
      </c>
      <c r="P592" s="38"/>
      <c r="Q592" s="38"/>
      <c r="R592" s="38"/>
      <c r="S592" s="38"/>
      <c r="T592" s="38"/>
      <c r="U592" s="38"/>
      <c r="V592" s="38"/>
      <c r="W592" s="38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</row>
    <row r="593" spans="1:36" ht="11.25" customHeight="1" x14ac:dyDescent="0.2">
      <c r="A593" s="35" t="s">
        <v>21</v>
      </c>
      <c r="B593" s="35" t="s">
        <v>41</v>
      </c>
      <c r="C593" s="35" t="s">
        <v>44</v>
      </c>
      <c r="D593" s="35" t="s">
        <v>54</v>
      </c>
      <c r="E593" s="35" t="s">
        <v>25</v>
      </c>
      <c r="F593" s="35" t="s">
        <v>25</v>
      </c>
      <c r="G593" s="35" t="s">
        <v>25</v>
      </c>
      <c r="H593" s="35" t="s">
        <v>37</v>
      </c>
      <c r="I593" s="45">
        <v>44743</v>
      </c>
      <c r="J593" s="46">
        <f>EFEITO!$J$593*EFEITO!$Y$593</f>
        <v>0</v>
      </c>
      <c r="K593" s="46">
        <f ca="1">EFEITO!$L$593*EFEITO!$Z$593</f>
        <v>8200.7364009315479</v>
      </c>
      <c r="L593" s="46">
        <f>EFEITO!$N$593*EFEITO!$AA$593</f>
        <v>15810.30037795801</v>
      </c>
      <c r="M593" s="46">
        <f>$J$593-EFEITO!$K$593*EFEITO!$Y$593</f>
        <v>0</v>
      </c>
      <c r="N593" s="46">
        <f ca="1">$K$593-EFEITO!$M$593*EFEITO!$Z$593</f>
        <v>0</v>
      </c>
      <c r="O593" s="46">
        <f>$L$593-EFEITO!$O$593*EFEITO!$AA$593</f>
        <v>0</v>
      </c>
      <c r="P593" s="38"/>
      <c r="Q593" s="38"/>
      <c r="R593" s="38"/>
      <c r="S593" s="38"/>
      <c r="T593" s="38"/>
      <c r="U593" s="38"/>
      <c r="V593" s="38"/>
      <c r="W593" s="38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</row>
    <row r="594" spans="1:36" ht="11.25" customHeight="1" x14ac:dyDescent="0.2">
      <c r="A594" s="35" t="s">
        <v>21</v>
      </c>
      <c r="B594" s="35" t="s">
        <v>41</v>
      </c>
      <c r="C594" s="35" t="s">
        <v>44</v>
      </c>
      <c r="D594" s="35" t="s">
        <v>54</v>
      </c>
      <c r="E594" s="35" t="s">
        <v>25</v>
      </c>
      <c r="F594" s="35" t="s">
        <v>25</v>
      </c>
      <c r="G594" s="35" t="s">
        <v>25</v>
      </c>
      <c r="H594" s="35" t="s">
        <v>37</v>
      </c>
      <c r="I594" s="45">
        <v>44774</v>
      </c>
      <c r="J594" s="46">
        <f>EFEITO!$J$594*EFEITO!$Y$594</f>
        <v>0</v>
      </c>
      <c r="K594" s="46">
        <f ca="1">EFEITO!$L$594*EFEITO!$Z$594</f>
        <v>4413.6084949617061</v>
      </c>
      <c r="L594" s="46">
        <f>EFEITO!$N$594*EFEITO!$AA$594</f>
        <v>8509.0499980130044</v>
      </c>
      <c r="M594" s="46">
        <f>$J$594-EFEITO!$K$594*EFEITO!$Y$594</f>
        <v>0</v>
      </c>
      <c r="N594" s="46">
        <f ca="1">$K$594-EFEITO!$M$594*EFEITO!$Z$594</f>
        <v>0</v>
      </c>
      <c r="O594" s="46">
        <f>$L$594-EFEITO!$O$594*EFEITO!$AA$594</f>
        <v>0</v>
      </c>
      <c r="P594" s="38"/>
      <c r="Q594" s="38"/>
      <c r="R594" s="38"/>
      <c r="S594" s="38"/>
      <c r="T594" s="38"/>
      <c r="U594" s="38"/>
      <c r="V594" s="38"/>
      <c r="W594" s="38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</row>
    <row r="595" spans="1:36" ht="11.25" customHeight="1" x14ac:dyDescent="0.2">
      <c r="A595" s="35" t="s">
        <v>21</v>
      </c>
      <c r="B595" s="35" t="s">
        <v>41</v>
      </c>
      <c r="C595" s="35" t="s">
        <v>44</v>
      </c>
      <c r="D595" s="35" t="s">
        <v>54</v>
      </c>
      <c r="E595" s="35" t="s">
        <v>25</v>
      </c>
      <c r="F595" s="35" t="s">
        <v>25</v>
      </c>
      <c r="G595" s="35" t="s">
        <v>25</v>
      </c>
      <c r="H595" s="35" t="s">
        <v>37</v>
      </c>
      <c r="I595" s="45">
        <v>44805</v>
      </c>
      <c r="J595" s="46">
        <f>EFEITO!$J$595*EFEITO!$Y$595</f>
        <v>0</v>
      </c>
      <c r="K595" s="46">
        <f ca="1">EFEITO!$L$595*EFEITO!$Z$595</f>
        <v>4740.1769569764783</v>
      </c>
      <c r="L595" s="46">
        <f>EFEITO!$N$595*EFEITO!$AA$595</f>
        <v>9138.6453448204957</v>
      </c>
      <c r="M595" s="46">
        <f>$J$595-EFEITO!$K$595*EFEITO!$Y$595</f>
        <v>0</v>
      </c>
      <c r="N595" s="46">
        <f ca="1">$K$595-EFEITO!$M$595*EFEITO!$Z$595</f>
        <v>0</v>
      </c>
      <c r="O595" s="46">
        <f>$L$595-EFEITO!$O$595*EFEITO!$AA$595</f>
        <v>0</v>
      </c>
      <c r="P595" s="38"/>
      <c r="Q595" s="38"/>
      <c r="R595" s="38"/>
      <c r="S595" s="38"/>
      <c r="T595" s="38"/>
      <c r="U595" s="38"/>
      <c r="V595" s="38"/>
      <c r="W595" s="38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</row>
    <row r="596" spans="1:36" ht="11.25" customHeight="1" x14ac:dyDescent="0.2">
      <c r="A596" s="35" t="s">
        <v>21</v>
      </c>
      <c r="B596" s="35" t="s">
        <v>41</v>
      </c>
      <c r="C596" s="35" t="s">
        <v>44</v>
      </c>
      <c r="D596" s="35" t="s">
        <v>54</v>
      </c>
      <c r="E596" s="35" t="s">
        <v>25</v>
      </c>
      <c r="F596" s="35" t="s">
        <v>25</v>
      </c>
      <c r="G596" s="35" t="s">
        <v>25</v>
      </c>
      <c r="H596" s="35" t="s">
        <v>37</v>
      </c>
      <c r="I596" s="45">
        <v>44835</v>
      </c>
      <c r="J596" s="46">
        <f>EFEITO!$J$596*EFEITO!$Y$596</f>
        <v>0</v>
      </c>
      <c r="K596" s="46">
        <f ca="1">EFEITO!$L$596*EFEITO!$Z$596</f>
        <v>8735.1108450272714</v>
      </c>
      <c r="L596" s="46">
        <f>EFEITO!$N$596*EFEITO!$AA$596</f>
        <v>16840.527428604099</v>
      </c>
      <c r="M596" s="46">
        <f>$J$596-EFEITO!$K$596*EFEITO!$Y$596</f>
        <v>0</v>
      </c>
      <c r="N596" s="46">
        <f ca="1">$K$596-EFEITO!$M$596*EFEITO!$Z$596</f>
        <v>0</v>
      </c>
      <c r="O596" s="46">
        <f>$L$596-EFEITO!$O$596*EFEITO!$AA$596</f>
        <v>0</v>
      </c>
      <c r="P596" s="38"/>
      <c r="Q596" s="38"/>
      <c r="R596" s="38"/>
      <c r="S596" s="38"/>
      <c r="T596" s="38"/>
      <c r="U596" s="38"/>
      <c r="V596" s="38"/>
      <c r="W596" s="38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</row>
    <row r="597" spans="1:36" ht="11.25" customHeight="1" x14ac:dyDescent="0.2">
      <c r="A597" s="35" t="s">
        <v>59</v>
      </c>
      <c r="B597" s="35" t="s">
        <v>41</v>
      </c>
      <c r="C597" s="35" t="s">
        <v>44</v>
      </c>
      <c r="D597" s="35" t="s">
        <v>54</v>
      </c>
      <c r="E597" s="35" t="s">
        <v>25</v>
      </c>
      <c r="F597" s="35" t="s">
        <v>25</v>
      </c>
      <c r="G597" s="35" t="s">
        <v>25</v>
      </c>
      <c r="H597" s="35" t="s">
        <v>37</v>
      </c>
      <c r="I597" s="45">
        <v>44866</v>
      </c>
      <c r="J597" s="46">
        <f>EFEITO!$J$597*EFEITO!$Y$597</f>
        <v>0</v>
      </c>
      <c r="K597" s="46">
        <f ca="1">EFEITO!$L$597*EFEITO!$Z$597</f>
        <v>8735.1108450272714</v>
      </c>
      <c r="L597" s="46">
        <f>EFEITO!$N$597*EFEITO!$AA$597</f>
        <v>16840.527428604099</v>
      </c>
      <c r="M597" s="46">
        <f>$J$597-EFEITO!$K$597*EFEITO!$Y$597</f>
        <v>0</v>
      </c>
      <c r="N597" s="46">
        <f ca="1">$K$597-EFEITO!$M$597*EFEITO!$Z$597</f>
        <v>0</v>
      </c>
      <c r="O597" s="46">
        <f>$L$597-EFEITO!$O$597*EFEITO!$AA$597</f>
        <v>0</v>
      </c>
      <c r="P597" s="38"/>
      <c r="Q597" s="38"/>
      <c r="R597" s="38"/>
      <c r="S597" s="38"/>
      <c r="T597" s="38"/>
      <c r="U597" s="38"/>
      <c r="V597" s="38"/>
      <c r="W597" s="38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</row>
    <row r="598" spans="1:36" ht="11.25" customHeight="1" x14ac:dyDescent="0.2">
      <c r="A598" s="35" t="s">
        <v>21</v>
      </c>
      <c r="B598" s="35" t="s">
        <v>41</v>
      </c>
      <c r="C598" s="35" t="s">
        <v>44</v>
      </c>
      <c r="D598" s="35" t="s">
        <v>54</v>
      </c>
      <c r="E598" s="35" t="s">
        <v>25</v>
      </c>
      <c r="F598" s="35" t="s">
        <v>25</v>
      </c>
      <c r="G598" s="35" t="s">
        <v>25</v>
      </c>
      <c r="H598" s="35" t="s">
        <v>25</v>
      </c>
      <c r="I598" s="45">
        <v>44531</v>
      </c>
      <c r="J598" s="46">
        <f ca="1">EFEITO!$J$598*EFEITO!$Y$598</f>
        <v>6184.5642990677316</v>
      </c>
      <c r="K598" s="46">
        <f>EFEITO!$L$598*EFEITO!$Z$598</f>
        <v>0</v>
      </c>
      <c r="L598" s="46">
        <f>EFEITO!$N$598*EFEITO!$AA$598</f>
        <v>0</v>
      </c>
      <c r="M598" s="46">
        <f ca="1">$J$598-EFEITO!$K$598*EFEITO!$Y$598</f>
        <v>0</v>
      </c>
      <c r="N598" s="46">
        <f>$K$598-EFEITO!$M$598*EFEITO!$Z$598</f>
        <v>0</v>
      </c>
      <c r="O598" s="46">
        <f>$L$598-EFEITO!$O$598*EFEITO!$AA$598</f>
        <v>0</v>
      </c>
      <c r="P598" s="38"/>
      <c r="Q598" s="38"/>
      <c r="R598" s="38"/>
      <c r="S598" s="38"/>
      <c r="T598" s="38"/>
      <c r="U598" s="38"/>
      <c r="V598" s="38"/>
      <c r="W598" s="38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</row>
    <row r="599" spans="1:36" ht="11.25" customHeight="1" x14ac:dyDescent="0.2">
      <c r="A599" s="35" t="s">
        <v>21</v>
      </c>
      <c r="B599" s="35" t="s">
        <v>41</v>
      </c>
      <c r="C599" s="35" t="s">
        <v>44</v>
      </c>
      <c r="D599" s="35" t="s">
        <v>54</v>
      </c>
      <c r="E599" s="35" t="s">
        <v>25</v>
      </c>
      <c r="F599" s="35" t="s">
        <v>25</v>
      </c>
      <c r="G599" s="35" t="s">
        <v>25</v>
      </c>
      <c r="H599" s="35" t="s">
        <v>25</v>
      </c>
      <c r="I599" s="45">
        <v>44562</v>
      </c>
      <c r="J599" s="46">
        <f ca="1">EFEITO!$J$599*EFEITO!$Y$599</f>
        <v>6184.5642990677316</v>
      </c>
      <c r="K599" s="46">
        <f>EFEITO!$L$599*EFEITO!$Z$599</f>
        <v>0</v>
      </c>
      <c r="L599" s="46">
        <f>EFEITO!$N$599*EFEITO!$AA$599</f>
        <v>0</v>
      </c>
      <c r="M599" s="46">
        <f ca="1">$J$599-EFEITO!$K$599*EFEITO!$Y$599</f>
        <v>0</v>
      </c>
      <c r="N599" s="46">
        <f>$K$599-EFEITO!$M$599*EFEITO!$Z$599</f>
        <v>0</v>
      </c>
      <c r="O599" s="46">
        <f>$L$599-EFEITO!$O$599*EFEITO!$AA$599</f>
        <v>0</v>
      </c>
      <c r="P599" s="38"/>
      <c r="Q599" s="38"/>
      <c r="R599" s="38"/>
      <c r="S599" s="38"/>
      <c r="T599" s="38"/>
      <c r="U599" s="38"/>
      <c r="V599" s="38"/>
      <c r="W599" s="38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</row>
    <row r="600" spans="1:36" ht="11.25" customHeight="1" x14ac:dyDescent="0.2">
      <c r="A600" s="35" t="s">
        <v>21</v>
      </c>
      <c r="B600" s="35" t="s">
        <v>41</v>
      </c>
      <c r="C600" s="35" t="s">
        <v>44</v>
      </c>
      <c r="D600" s="35" t="s">
        <v>54</v>
      </c>
      <c r="E600" s="35" t="s">
        <v>25</v>
      </c>
      <c r="F600" s="35" t="s">
        <v>25</v>
      </c>
      <c r="G600" s="35" t="s">
        <v>25</v>
      </c>
      <c r="H600" s="35" t="s">
        <v>25</v>
      </c>
      <c r="I600" s="45">
        <v>44593</v>
      </c>
      <c r="J600" s="46">
        <f ca="1">EFEITO!$J$600*EFEITO!$Y$600</f>
        <v>6184.5642990677316</v>
      </c>
      <c r="K600" s="46">
        <f>EFEITO!$L$600*EFEITO!$Z$600</f>
        <v>0</v>
      </c>
      <c r="L600" s="46">
        <f>EFEITO!$N$600*EFEITO!$AA$600</f>
        <v>0</v>
      </c>
      <c r="M600" s="46">
        <f ca="1">$J$600-EFEITO!$K$600*EFEITO!$Y$600</f>
        <v>0</v>
      </c>
      <c r="N600" s="46">
        <f>$K$600-EFEITO!$M$600*EFEITO!$Z$600</f>
        <v>0</v>
      </c>
      <c r="O600" s="46">
        <f>$L$600-EFEITO!$O$600*EFEITO!$AA$600</f>
        <v>0</v>
      </c>
      <c r="P600" s="38"/>
      <c r="Q600" s="38"/>
      <c r="R600" s="38"/>
      <c r="S600" s="38"/>
      <c r="T600" s="38"/>
      <c r="U600" s="38"/>
      <c r="V600" s="38"/>
      <c r="W600" s="38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</row>
    <row r="601" spans="1:36" ht="11.25" customHeight="1" x14ac:dyDescent="0.2">
      <c r="A601" s="35" t="s">
        <v>21</v>
      </c>
      <c r="B601" s="35" t="s">
        <v>41</v>
      </c>
      <c r="C601" s="35" t="s">
        <v>44</v>
      </c>
      <c r="D601" s="35" t="s">
        <v>54</v>
      </c>
      <c r="E601" s="35" t="s">
        <v>25</v>
      </c>
      <c r="F601" s="35" t="s">
        <v>25</v>
      </c>
      <c r="G601" s="35" t="s">
        <v>25</v>
      </c>
      <c r="H601" s="35" t="s">
        <v>25</v>
      </c>
      <c r="I601" s="45">
        <v>44621</v>
      </c>
      <c r="J601" s="46">
        <f ca="1">EFEITO!$J$601*EFEITO!$Y$601</f>
        <v>6184.5642990677316</v>
      </c>
      <c r="K601" s="46">
        <f>EFEITO!$L$601*EFEITO!$Z$601</f>
        <v>0</v>
      </c>
      <c r="L601" s="46">
        <f>EFEITO!$N$601*EFEITO!$AA$601</f>
        <v>0</v>
      </c>
      <c r="M601" s="46">
        <f ca="1">$J$601-EFEITO!$K$601*EFEITO!$Y$601</f>
        <v>0</v>
      </c>
      <c r="N601" s="46">
        <f>$K$601-EFEITO!$M$601*EFEITO!$Z$601</f>
        <v>0</v>
      </c>
      <c r="O601" s="46">
        <f>$L$601-EFEITO!$O$601*EFEITO!$AA$601</f>
        <v>0</v>
      </c>
      <c r="P601" s="38"/>
      <c r="Q601" s="38"/>
      <c r="R601" s="38"/>
      <c r="S601" s="38"/>
      <c r="T601" s="38"/>
      <c r="U601" s="38"/>
      <c r="V601" s="38"/>
      <c r="W601" s="38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</row>
    <row r="602" spans="1:36" ht="11.25" customHeight="1" x14ac:dyDescent="0.2">
      <c r="A602" s="35" t="s">
        <v>21</v>
      </c>
      <c r="B602" s="35" t="s">
        <v>41</v>
      </c>
      <c r="C602" s="35" t="s">
        <v>44</v>
      </c>
      <c r="D602" s="35" t="s">
        <v>54</v>
      </c>
      <c r="E602" s="35" t="s">
        <v>25</v>
      </c>
      <c r="F602" s="35" t="s">
        <v>25</v>
      </c>
      <c r="G602" s="35" t="s">
        <v>25</v>
      </c>
      <c r="H602" s="35" t="s">
        <v>25</v>
      </c>
      <c r="I602" s="45">
        <v>44652</v>
      </c>
      <c r="J602" s="46">
        <f ca="1">EFEITO!$J$602*EFEITO!$Y$602</f>
        <v>6184.5642990677316</v>
      </c>
      <c r="K602" s="46">
        <f>EFEITO!$L$602*EFEITO!$Z$602</f>
        <v>0</v>
      </c>
      <c r="L602" s="46">
        <f>EFEITO!$N$602*EFEITO!$AA$602</f>
        <v>0</v>
      </c>
      <c r="M602" s="46">
        <f ca="1">$J$602-EFEITO!$K$602*EFEITO!$Y$602</f>
        <v>0</v>
      </c>
      <c r="N602" s="46">
        <f>$K$602-EFEITO!$M$602*EFEITO!$Z$602</f>
        <v>0</v>
      </c>
      <c r="O602" s="46">
        <f>$L$602-EFEITO!$O$602*EFEITO!$AA$602</f>
        <v>0</v>
      </c>
      <c r="P602" s="38"/>
      <c r="Q602" s="38"/>
      <c r="R602" s="38"/>
      <c r="S602" s="38"/>
      <c r="T602" s="38"/>
      <c r="U602" s="38"/>
      <c r="V602" s="38"/>
      <c r="W602" s="38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</row>
    <row r="603" spans="1:36" ht="11.25" customHeight="1" x14ac:dyDescent="0.2">
      <c r="A603" s="35" t="s">
        <v>21</v>
      </c>
      <c r="B603" s="35" t="s">
        <v>41</v>
      </c>
      <c r="C603" s="35" t="s">
        <v>44</v>
      </c>
      <c r="D603" s="35" t="s">
        <v>54</v>
      </c>
      <c r="E603" s="35" t="s">
        <v>25</v>
      </c>
      <c r="F603" s="35" t="s">
        <v>25</v>
      </c>
      <c r="G603" s="35" t="s">
        <v>25</v>
      </c>
      <c r="H603" s="35" t="s">
        <v>25</v>
      </c>
      <c r="I603" s="45">
        <v>44682</v>
      </c>
      <c r="J603" s="46">
        <f ca="1">EFEITO!$J$603*EFEITO!$Y$603</f>
        <v>6184.5642990677316</v>
      </c>
      <c r="K603" s="46">
        <f>EFEITO!$L$603*EFEITO!$Z$603</f>
        <v>0</v>
      </c>
      <c r="L603" s="46">
        <f>EFEITO!$N$603*EFEITO!$AA$603</f>
        <v>0</v>
      </c>
      <c r="M603" s="46">
        <f ca="1">$J$603-EFEITO!$K$603*EFEITO!$Y$603</f>
        <v>0</v>
      </c>
      <c r="N603" s="46">
        <f>$K$603-EFEITO!$M$603*EFEITO!$Z$603</f>
        <v>0</v>
      </c>
      <c r="O603" s="46">
        <f>$L$603-EFEITO!$O$603*EFEITO!$AA$603</f>
        <v>0</v>
      </c>
      <c r="P603" s="38"/>
      <c r="Q603" s="38"/>
      <c r="R603" s="38"/>
      <c r="S603" s="38"/>
      <c r="T603" s="38"/>
      <c r="U603" s="38"/>
      <c r="V603" s="38"/>
      <c r="W603" s="38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</row>
    <row r="604" spans="1:36" ht="11.25" customHeight="1" x14ac:dyDescent="0.2">
      <c r="A604" s="35" t="s">
        <v>21</v>
      </c>
      <c r="B604" s="35" t="s">
        <v>41</v>
      </c>
      <c r="C604" s="35" t="s">
        <v>44</v>
      </c>
      <c r="D604" s="35" t="s">
        <v>54</v>
      </c>
      <c r="E604" s="35" t="s">
        <v>25</v>
      </c>
      <c r="F604" s="35" t="s">
        <v>25</v>
      </c>
      <c r="G604" s="35" t="s">
        <v>25</v>
      </c>
      <c r="H604" s="35" t="s">
        <v>25</v>
      </c>
      <c r="I604" s="45">
        <v>44713</v>
      </c>
      <c r="J604" s="46">
        <f ca="1">EFEITO!$J$604*EFEITO!$Y$604</f>
        <v>6184.5642990677316</v>
      </c>
      <c r="K604" s="46">
        <f>EFEITO!$L$604*EFEITO!$Z$604</f>
        <v>0</v>
      </c>
      <c r="L604" s="46">
        <f>EFEITO!$N$604*EFEITO!$AA$604</f>
        <v>0</v>
      </c>
      <c r="M604" s="46">
        <f ca="1">$J$604-EFEITO!$K$604*EFEITO!$Y$604</f>
        <v>0</v>
      </c>
      <c r="N604" s="46">
        <f>$K$604-EFEITO!$M$604*EFEITO!$Z$604</f>
        <v>0</v>
      </c>
      <c r="O604" s="46">
        <f>$L$604-EFEITO!$O$604*EFEITO!$AA$604</f>
        <v>0</v>
      </c>
      <c r="P604" s="38"/>
      <c r="Q604" s="38"/>
      <c r="R604" s="38"/>
      <c r="S604" s="38"/>
      <c r="T604" s="38"/>
      <c r="U604" s="38"/>
      <c r="V604" s="38"/>
      <c r="W604" s="38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</row>
    <row r="605" spans="1:36" ht="11.25" customHeight="1" x14ac:dyDescent="0.2">
      <c r="A605" s="35" t="s">
        <v>21</v>
      </c>
      <c r="B605" s="35" t="s">
        <v>41</v>
      </c>
      <c r="C605" s="35" t="s">
        <v>44</v>
      </c>
      <c r="D605" s="35" t="s">
        <v>54</v>
      </c>
      <c r="E605" s="35" t="s">
        <v>25</v>
      </c>
      <c r="F605" s="35" t="s">
        <v>25</v>
      </c>
      <c r="G605" s="35" t="s">
        <v>25</v>
      </c>
      <c r="H605" s="35" t="s">
        <v>25</v>
      </c>
      <c r="I605" s="45">
        <v>44743</v>
      </c>
      <c r="J605" s="46">
        <f ca="1">EFEITO!$J$605*EFEITO!$Y$605</f>
        <v>6184.5642990677316</v>
      </c>
      <c r="K605" s="46">
        <f>EFEITO!$L$605*EFEITO!$Z$605</f>
        <v>0</v>
      </c>
      <c r="L605" s="46">
        <f>EFEITO!$N$605*EFEITO!$AA$605</f>
        <v>0</v>
      </c>
      <c r="M605" s="46">
        <f ca="1">$J$605-EFEITO!$K$605*EFEITO!$Y$605</f>
        <v>0</v>
      </c>
      <c r="N605" s="46">
        <f>$K$605-EFEITO!$M$605*EFEITO!$Z$605</f>
        <v>0</v>
      </c>
      <c r="O605" s="46">
        <f>$L$605-EFEITO!$O$605*EFEITO!$AA$605</f>
        <v>0</v>
      </c>
      <c r="P605" s="38"/>
      <c r="Q605" s="38"/>
      <c r="R605" s="38"/>
      <c r="S605" s="38"/>
      <c r="T605" s="38"/>
      <c r="U605" s="38"/>
      <c r="V605" s="38"/>
      <c r="W605" s="38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</row>
    <row r="606" spans="1:36" ht="11.25" customHeight="1" x14ac:dyDescent="0.2">
      <c r="A606" s="35" t="s">
        <v>21</v>
      </c>
      <c r="B606" s="35" t="s">
        <v>41</v>
      </c>
      <c r="C606" s="35" t="s">
        <v>44</v>
      </c>
      <c r="D606" s="35" t="s">
        <v>54</v>
      </c>
      <c r="E606" s="35" t="s">
        <v>25</v>
      </c>
      <c r="F606" s="35" t="s">
        <v>25</v>
      </c>
      <c r="G606" s="35" t="s">
        <v>25</v>
      </c>
      <c r="H606" s="35" t="s">
        <v>25</v>
      </c>
      <c r="I606" s="45">
        <v>44774</v>
      </c>
      <c r="J606" s="46">
        <f ca="1">EFEITO!$J$606*EFEITO!$Y$606</f>
        <v>6184.5642990677316</v>
      </c>
      <c r="K606" s="46">
        <f>EFEITO!$L$606*EFEITO!$Z$606</f>
        <v>0</v>
      </c>
      <c r="L606" s="46">
        <f>EFEITO!$N$606*EFEITO!$AA$606</f>
        <v>0</v>
      </c>
      <c r="M606" s="46">
        <f ca="1">$J$606-EFEITO!$K$606*EFEITO!$Y$606</f>
        <v>0</v>
      </c>
      <c r="N606" s="46">
        <f>$K$606-EFEITO!$M$606*EFEITO!$Z$606</f>
        <v>0</v>
      </c>
      <c r="O606" s="46">
        <f>$L$606-EFEITO!$O$606*EFEITO!$AA$606</f>
        <v>0</v>
      </c>
      <c r="P606" s="38"/>
      <c r="Q606" s="38"/>
      <c r="R606" s="38"/>
      <c r="S606" s="38"/>
      <c r="T606" s="38"/>
      <c r="U606" s="38"/>
      <c r="V606" s="38"/>
      <c r="W606" s="38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</row>
    <row r="607" spans="1:36" ht="11.25" customHeight="1" x14ac:dyDescent="0.2">
      <c r="A607" s="35" t="s">
        <v>21</v>
      </c>
      <c r="B607" s="35" t="s">
        <v>41</v>
      </c>
      <c r="C607" s="35" t="s">
        <v>44</v>
      </c>
      <c r="D607" s="35" t="s">
        <v>54</v>
      </c>
      <c r="E607" s="35" t="s">
        <v>25</v>
      </c>
      <c r="F607" s="35" t="s">
        <v>25</v>
      </c>
      <c r="G607" s="35" t="s">
        <v>25</v>
      </c>
      <c r="H607" s="35" t="s">
        <v>25</v>
      </c>
      <c r="I607" s="45">
        <v>44805</v>
      </c>
      <c r="J607" s="46">
        <f ca="1">EFEITO!$J$607*EFEITO!$Y$607</f>
        <v>6184.5642990677316</v>
      </c>
      <c r="K607" s="46">
        <f>EFEITO!$L$607*EFEITO!$Z$607</f>
        <v>0</v>
      </c>
      <c r="L607" s="46">
        <f>EFEITO!$N$607*EFEITO!$AA$607</f>
        <v>0</v>
      </c>
      <c r="M607" s="46">
        <f ca="1">$J$607-EFEITO!$K$607*EFEITO!$Y$607</f>
        <v>0</v>
      </c>
      <c r="N607" s="46">
        <f>$K$607-EFEITO!$M$607*EFEITO!$Z$607</f>
        <v>0</v>
      </c>
      <c r="O607" s="46">
        <f>$L$607-EFEITO!$O$607*EFEITO!$AA$607</f>
        <v>0</v>
      </c>
      <c r="P607" s="38"/>
      <c r="Q607" s="38"/>
      <c r="R607" s="38"/>
      <c r="S607" s="38"/>
      <c r="T607" s="38"/>
      <c r="U607" s="38"/>
      <c r="V607" s="38"/>
      <c r="W607" s="38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</row>
    <row r="608" spans="1:36" ht="11.25" customHeight="1" x14ac:dyDescent="0.2">
      <c r="A608" s="35" t="s">
        <v>21</v>
      </c>
      <c r="B608" s="35" t="s">
        <v>41</v>
      </c>
      <c r="C608" s="35" t="s">
        <v>44</v>
      </c>
      <c r="D608" s="35" t="s">
        <v>54</v>
      </c>
      <c r="E608" s="35" t="s">
        <v>25</v>
      </c>
      <c r="F608" s="35" t="s">
        <v>25</v>
      </c>
      <c r="G608" s="35" t="s">
        <v>25</v>
      </c>
      <c r="H608" s="35" t="s">
        <v>25</v>
      </c>
      <c r="I608" s="45">
        <v>44835</v>
      </c>
      <c r="J608" s="46">
        <f ca="1">EFEITO!$J$608*EFEITO!$Y$608</f>
        <v>6184.5642990677316</v>
      </c>
      <c r="K608" s="46">
        <f>EFEITO!$L$608*EFEITO!$Z$608</f>
        <v>0</v>
      </c>
      <c r="L608" s="46">
        <f>EFEITO!$N$608*EFEITO!$AA$608</f>
        <v>0</v>
      </c>
      <c r="M608" s="46">
        <f ca="1">$J$608-EFEITO!$K$608*EFEITO!$Y$608</f>
        <v>0</v>
      </c>
      <c r="N608" s="46">
        <f>$K$608-EFEITO!$M$608*EFEITO!$Z$608</f>
        <v>0</v>
      </c>
      <c r="O608" s="46">
        <f>$L$608-EFEITO!$O$608*EFEITO!$AA$608</f>
        <v>0</v>
      </c>
      <c r="P608" s="38"/>
      <c r="Q608" s="38"/>
      <c r="R608" s="38"/>
      <c r="S608" s="38"/>
      <c r="T608" s="38"/>
      <c r="U608" s="38"/>
      <c r="V608" s="38"/>
      <c r="W608" s="38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</row>
    <row r="609" spans="1:36" ht="11.25" customHeight="1" x14ac:dyDescent="0.2">
      <c r="A609" s="35" t="s">
        <v>59</v>
      </c>
      <c r="B609" s="35" t="s">
        <v>41</v>
      </c>
      <c r="C609" s="35" t="s">
        <v>44</v>
      </c>
      <c r="D609" s="35" t="s">
        <v>54</v>
      </c>
      <c r="E609" s="35" t="s">
        <v>25</v>
      </c>
      <c r="F609" s="35" t="s">
        <v>25</v>
      </c>
      <c r="G609" s="35" t="s">
        <v>25</v>
      </c>
      <c r="H609" s="35" t="s">
        <v>25</v>
      </c>
      <c r="I609" s="45">
        <v>44866</v>
      </c>
      <c r="J609" s="46">
        <f ca="1">EFEITO!$J$609*EFEITO!$Y$609</f>
        <v>6184.5642990677316</v>
      </c>
      <c r="K609" s="46">
        <f>EFEITO!$L$609*EFEITO!$Z$609</f>
        <v>0</v>
      </c>
      <c r="L609" s="46">
        <f>EFEITO!$N$609*EFEITO!$AA$609</f>
        <v>0</v>
      </c>
      <c r="M609" s="46">
        <f ca="1">$J$609-EFEITO!$K$609*EFEITO!$Y$609</f>
        <v>0</v>
      </c>
      <c r="N609" s="46">
        <f>$K$609-EFEITO!$M$609*EFEITO!$Z$609</f>
        <v>0</v>
      </c>
      <c r="O609" s="46">
        <f>$L$609-EFEITO!$O$609*EFEITO!$AA$609</f>
        <v>0</v>
      </c>
      <c r="P609" s="38"/>
      <c r="Q609" s="38"/>
      <c r="R609" s="38"/>
      <c r="S609" s="38"/>
      <c r="T609" s="38"/>
      <c r="U609" s="38"/>
      <c r="V609" s="38"/>
      <c r="W609" s="38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</row>
    <row r="610" spans="1:36" ht="11.25" customHeight="1" x14ac:dyDescent="0.2">
      <c r="A610" s="35" t="s">
        <v>21</v>
      </c>
      <c r="B610" s="35" t="s">
        <v>41</v>
      </c>
      <c r="C610" s="35" t="s">
        <v>44</v>
      </c>
      <c r="D610" s="35" t="s">
        <v>54</v>
      </c>
      <c r="E610" s="35" t="s">
        <v>25</v>
      </c>
      <c r="F610" s="35" t="s">
        <v>25</v>
      </c>
      <c r="G610" s="35" t="s">
        <v>25</v>
      </c>
      <c r="H610" s="35" t="s">
        <v>36</v>
      </c>
      <c r="I610" s="45">
        <v>44531</v>
      </c>
      <c r="J610" s="46">
        <f>EFEITO!$J$610*EFEITO!$Y$610</f>
        <v>0</v>
      </c>
      <c r="K610" s="46">
        <f ca="1">EFEITO!$L$610*EFEITO!$Z$610</f>
        <v>3552.3072495580614</v>
      </c>
      <c r="L610" s="46">
        <f>EFEITO!$N$610*EFEITO!$AA$610</f>
        <v>870.34556839809773</v>
      </c>
      <c r="M610" s="46">
        <f>$J$610-EFEITO!$K$610*EFEITO!$Y$610</f>
        <v>0</v>
      </c>
      <c r="N610" s="46">
        <f ca="1">$K$610-EFEITO!$M$610*EFEITO!$Z$610</f>
        <v>0</v>
      </c>
      <c r="O610" s="46">
        <f>$L$610-EFEITO!$O$610*EFEITO!$AA$610</f>
        <v>0</v>
      </c>
      <c r="P610" s="38"/>
      <c r="Q610" s="38"/>
      <c r="R610" s="38"/>
      <c r="S610" s="38"/>
      <c r="T610" s="38"/>
      <c r="U610" s="38"/>
      <c r="V610" s="38"/>
      <c r="W610" s="38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</row>
    <row r="611" spans="1:36" ht="11.25" customHeight="1" x14ac:dyDescent="0.2">
      <c r="A611" s="35" t="s">
        <v>21</v>
      </c>
      <c r="B611" s="35" t="s">
        <v>41</v>
      </c>
      <c r="C611" s="35" t="s">
        <v>44</v>
      </c>
      <c r="D611" s="35" t="s">
        <v>54</v>
      </c>
      <c r="E611" s="35" t="s">
        <v>25</v>
      </c>
      <c r="F611" s="35" t="s">
        <v>25</v>
      </c>
      <c r="G611" s="35" t="s">
        <v>25</v>
      </c>
      <c r="H611" s="35" t="s">
        <v>36</v>
      </c>
      <c r="I611" s="45">
        <v>44562</v>
      </c>
      <c r="J611" s="46">
        <f>EFEITO!$J$611*EFEITO!$Y$611</f>
        <v>0</v>
      </c>
      <c r="K611" s="46">
        <f ca="1">EFEITO!$L$611*EFEITO!$Z$611</f>
        <v>5016.1538619801122</v>
      </c>
      <c r="L611" s="46">
        <f>EFEITO!$N$611*EFEITO!$AA$611</f>
        <v>1229.0004713754806</v>
      </c>
      <c r="M611" s="46">
        <f>$J$611-EFEITO!$K$611*EFEITO!$Y$611</f>
        <v>0</v>
      </c>
      <c r="N611" s="46">
        <f ca="1">$K$611-EFEITO!$M$611*EFEITO!$Z$611</f>
        <v>0</v>
      </c>
      <c r="O611" s="46">
        <f>$L$611-EFEITO!$O$611*EFEITO!$AA$611</f>
        <v>0</v>
      </c>
      <c r="P611" s="38"/>
      <c r="Q611" s="38"/>
      <c r="R611" s="38"/>
      <c r="S611" s="38"/>
      <c r="T611" s="38"/>
      <c r="U611" s="38"/>
      <c r="V611" s="38"/>
      <c r="W611" s="38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</row>
    <row r="612" spans="1:36" ht="11.25" customHeight="1" x14ac:dyDescent="0.2">
      <c r="A612" s="35" t="s">
        <v>21</v>
      </c>
      <c r="B612" s="35" t="s">
        <v>41</v>
      </c>
      <c r="C612" s="35" t="s">
        <v>44</v>
      </c>
      <c r="D612" s="35" t="s">
        <v>54</v>
      </c>
      <c r="E612" s="35" t="s">
        <v>25</v>
      </c>
      <c r="F612" s="35" t="s">
        <v>25</v>
      </c>
      <c r="G612" s="35" t="s">
        <v>25</v>
      </c>
      <c r="H612" s="35" t="s">
        <v>36</v>
      </c>
      <c r="I612" s="45">
        <v>44593</v>
      </c>
      <c r="J612" s="46">
        <f>EFEITO!$J$612*EFEITO!$Y$612</f>
        <v>0</v>
      </c>
      <c r="K612" s="46">
        <f ca="1">EFEITO!$L$612*EFEITO!$Z$612</f>
        <v>6346.7889525437367</v>
      </c>
      <c r="L612" s="46">
        <f>EFEITO!$N$612*EFEITO!$AA$612</f>
        <v>1555.0174155379348</v>
      </c>
      <c r="M612" s="46">
        <f>$J$612-EFEITO!$K$612*EFEITO!$Y$612</f>
        <v>0</v>
      </c>
      <c r="N612" s="46">
        <f ca="1">$K$612-EFEITO!$M$612*EFEITO!$Z$612</f>
        <v>0</v>
      </c>
      <c r="O612" s="46">
        <f>$L$612-EFEITO!$O$612*EFEITO!$AA$612</f>
        <v>0</v>
      </c>
      <c r="P612" s="38"/>
      <c r="Q612" s="38"/>
      <c r="R612" s="38"/>
      <c r="S612" s="38"/>
      <c r="T612" s="38"/>
      <c r="U612" s="38"/>
      <c r="V612" s="38"/>
      <c r="W612" s="38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</row>
    <row r="613" spans="1:36" ht="11.25" customHeight="1" x14ac:dyDescent="0.2">
      <c r="A613" s="35" t="s">
        <v>21</v>
      </c>
      <c r="B613" s="35" t="s">
        <v>41</v>
      </c>
      <c r="C613" s="35" t="s">
        <v>44</v>
      </c>
      <c r="D613" s="35" t="s">
        <v>54</v>
      </c>
      <c r="E613" s="35" t="s">
        <v>25</v>
      </c>
      <c r="F613" s="35" t="s">
        <v>25</v>
      </c>
      <c r="G613" s="35" t="s">
        <v>25</v>
      </c>
      <c r="H613" s="35" t="s">
        <v>36</v>
      </c>
      <c r="I613" s="45">
        <v>44621</v>
      </c>
      <c r="J613" s="46">
        <f>EFEITO!$J$613*EFEITO!$Y$613</f>
        <v>0</v>
      </c>
      <c r="K613" s="46">
        <f ca="1">EFEITO!$L$613*EFEITO!$Z$613</f>
        <v>6334.9479283785431</v>
      </c>
      <c r="L613" s="46">
        <f>EFEITO!$N$613*EFEITO!$AA$613</f>
        <v>1552.1162636432746</v>
      </c>
      <c r="M613" s="46">
        <f>$J$613-EFEITO!$K$613*EFEITO!$Y$613</f>
        <v>0</v>
      </c>
      <c r="N613" s="46">
        <f ca="1">$K$613-EFEITO!$M$613*EFEITO!$Z$613</f>
        <v>0</v>
      </c>
      <c r="O613" s="46">
        <f>$L$613-EFEITO!$O$613*EFEITO!$AA$613</f>
        <v>0</v>
      </c>
      <c r="P613" s="38"/>
      <c r="Q613" s="38"/>
      <c r="R613" s="38"/>
      <c r="S613" s="38"/>
      <c r="T613" s="38"/>
      <c r="U613" s="38"/>
      <c r="V613" s="38"/>
      <c r="W613" s="38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</row>
    <row r="614" spans="1:36" ht="11.25" customHeight="1" x14ac:dyDescent="0.2">
      <c r="A614" s="35" t="s">
        <v>21</v>
      </c>
      <c r="B614" s="35" t="s">
        <v>41</v>
      </c>
      <c r="C614" s="35" t="s">
        <v>44</v>
      </c>
      <c r="D614" s="35" t="s">
        <v>54</v>
      </c>
      <c r="E614" s="35" t="s">
        <v>25</v>
      </c>
      <c r="F614" s="35" t="s">
        <v>25</v>
      </c>
      <c r="G614" s="35" t="s">
        <v>25</v>
      </c>
      <c r="H614" s="35" t="s">
        <v>36</v>
      </c>
      <c r="I614" s="45">
        <v>44652</v>
      </c>
      <c r="J614" s="46">
        <f>EFEITO!$J$614*EFEITO!$Y$614</f>
        <v>0</v>
      </c>
      <c r="K614" s="46">
        <f ca="1">EFEITO!$L$614*EFEITO!$Z$614</f>
        <v>5694.0524954374423</v>
      </c>
      <c r="L614" s="46">
        <f>EFEITO!$N$614*EFEITO!$AA$614</f>
        <v>1395.0914173447843</v>
      </c>
      <c r="M614" s="46">
        <f>$J$614-EFEITO!$K$614*EFEITO!$Y$614</f>
        <v>0</v>
      </c>
      <c r="N614" s="46">
        <f ca="1">$K$614-EFEITO!$M$614*EFEITO!$Z$614</f>
        <v>0</v>
      </c>
      <c r="O614" s="46">
        <f>$L$614-EFEITO!$O$614*EFEITO!$AA$614</f>
        <v>0</v>
      </c>
      <c r="P614" s="38"/>
      <c r="Q614" s="38"/>
      <c r="R614" s="38"/>
      <c r="S614" s="38"/>
      <c r="T614" s="38"/>
      <c r="U614" s="38"/>
      <c r="V614" s="38"/>
      <c r="W614" s="38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</row>
    <row r="615" spans="1:36" ht="11.25" customHeight="1" x14ac:dyDescent="0.2">
      <c r="A615" s="35" t="s">
        <v>21</v>
      </c>
      <c r="B615" s="35" t="s">
        <v>41</v>
      </c>
      <c r="C615" s="35" t="s">
        <v>44</v>
      </c>
      <c r="D615" s="35" t="s">
        <v>54</v>
      </c>
      <c r="E615" s="35" t="s">
        <v>25</v>
      </c>
      <c r="F615" s="35" t="s">
        <v>25</v>
      </c>
      <c r="G615" s="35" t="s">
        <v>25</v>
      </c>
      <c r="H615" s="35" t="s">
        <v>36</v>
      </c>
      <c r="I615" s="45">
        <v>44682</v>
      </c>
      <c r="J615" s="46">
        <f>EFEITO!$J$615*EFEITO!$Y$615</f>
        <v>0</v>
      </c>
      <c r="K615" s="46">
        <f ca="1">EFEITO!$L$615*EFEITO!$Z$615</f>
        <v>6669.4568610452607</v>
      </c>
      <c r="L615" s="46">
        <f>EFEITO!$N$615*EFEITO!$AA$615</f>
        <v>1634.0738046674287</v>
      </c>
      <c r="M615" s="46">
        <f>$J$615-EFEITO!$K$615*EFEITO!$Y$615</f>
        <v>0</v>
      </c>
      <c r="N615" s="46">
        <f ca="1">$K$615-EFEITO!$M$615*EFEITO!$Z$615</f>
        <v>0</v>
      </c>
      <c r="O615" s="46">
        <f>$L$615-EFEITO!$O$615*EFEITO!$AA$615</f>
        <v>0</v>
      </c>
      <c r="P615" s="38"/>
      <c r="Q615" s="38"/>
      <c r="R615" s="38"/>
      <c r="S615" s="38"/>
      <c r="T615" s="38"/>
      <c r="U615" s="38"/>
      <c r="V615" s="38"/>
      <c r="W615" s="38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</row>
    <row r="616" spans="1:36" ht="11.25" customHeight="1" x14ac:dyDescent="0.2">
      <c r="A616" s="35" t="s">
        <v>21</v>
      </c>
      <c r="B616" s="35" t="s">
        <v>41</v>
      </c>
      <c r="C616" s="35" t="s">
        <v>44</v>
      </c>
      <c r="D616" s="35" t="s">
        <v>54</v>
      </c>
      <c r="E616" s="35" t="s">
        <v>25</v>
      </c>
      <c r="F616" s="35" t="s">
        <v>25</v>
      </c>
      <c r="G616" s="35" t="s">
        <v>25</v>
      </c>
      <c r="H616" s="35" t="s">
        <v>36</v>
      </c>
      <c r="I616" s="45">
        <v>44713</v>
      </c>
      <c r="J616" s="46">
        <f>EFEITO!$J$616*EFEITO!$Y$616</f>
        <v>0</v>
      </c>
      <c r="K616" s="46">
        <f ca="1">EFEITO!$L$616*EFEITO!$Z$616</f>
        <v>6380.8318970186674</v>
      </c>
      <c r="L616" s="46">
        <f>EFEITO!$N$616*EFEITO!$AA$616</f>
        <v>1563.3582272350832</v>
      </c>
      <c r="M616" s="46">
        <f>$J$616-EFEITO!$K$616*EFEITO!$Y$616</f>
        <v>0</v>
      </c>
      <c r="N616" s="46">
        <f ca="1">$K$616-EFEITO!$M$616*EFEITO!$Z$616</f>
        <v>0</v>
      </c>
      <c r="O616" s="46">
        <f>$L$616-EFEITO!$O$616*EFEITO!$AA$616</f>
        <v>0</v>
      </c>
      <c r="P616" s="38"/>
      <c r="Q616" s="38"/>
      <c r="R616" s="38"/>
      <c r="S616" s="38"/>
      <c r="T616" s="38"/>
      <c r="U616" s="38"/>
      <c r="V616" s="38"/>
      <c r="W616" s="38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</row>
    <row r="617" spans="1:36" ht="11.25" customHeight="1" x14ac:dyDescent="0.2">
      <c r="A617" s="35" t="s">
        <v>21</v>
      </c>
      <c r="B617" s="35" t="s">
        <v>41</v>
      </c>
      <c r="C617" s="35" t="s">
        <v>44</v>
      </c>
      <c r="D617" s="35" t="s">
        <v>54</v>
      </c>
      <c r="E617" s="35" t="s">
        <v>25</v>
      </c>
      <c r="F617" s="35" t="s">
        <v>25</v>
      </c>
      <c r="G617" s="35" t="s">
        <v>25</v>
      </c>
      <c r="H617" s="35" t="s">
        <v>36</v>
      </c>
      <c r="I617" s="45">
        <v>44743</v>
      </c>
      <c r="J617" s="46">
        <f>EFEITO!$J$617*EFEITO!$Y$617</f>
        <v>0</v>
      </c>
      <c r="K617" s="46">
        <f ca="1">EFEITO!$L$617*EFEITO!$Z$617</f>
        <v>6599.8908440747473</v>
      </c>
      <c r="L617" s="46">
        <f>EFEITO!$N$617*EFEITO!$AA$617</f>
        <v>1617.029537286299</v>
      </c>
      <c r="M617" s="46">
        <f>$J$617-EFEITO!$K$617*EFEITO!$Y$617</f>
        <v>0</v>
      </c>
      <c r="N617" s="46">
        <f ca="1">$K$617-EFEITO!$M$617*EFEITO!$Z$617</f>
        <v>0</v>
      </c>
      <c r="O617" s="46">
        <f>$L$617-EFEITO!$O$617*EFEITO!$AA$617</f>
        <v>0</v>
      </c>
      <c r="P617" s="38"/>
      <c r="Q617" s="38"/>
      <c r="R617" s="38"/>
      <c r="S617" s="38"/>
      <c r="T617" s="38"/>
      <c r="U617" s="38"/>
      <c r="V617" s="38"/>
      <c r="W617" s="38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</row>
    <row r="618" spans="1:36" ht="11.25" customHeight="1" x14ac:dyDescent="0.2">
      <c r="A618" s="35" t="s">
        <v>21</v>
      </c>
      <c r="B618" s="35" t="s">
        <v>41</v>
      </c>
      <c r="C618" s="35" t="s">
        <v>44</v>
      </c>
      <c r="D618" s="35" t="s">
        <v>54</v>
      </c>
      <c r="E618" s="35" t="s">
        <v>25</v>
      </c>
      <c r="F618" s="35" t="s">
        <v>25</v>
      </c>
      <c r="G618" s="35" t="s">
        <v>25</v>
      </c>
      <c r="H618" s="35" t="s">
        <v>36</v>
      </c>
      <c r="I618" s="45">
        <v>44774</v>
      </c>
      <c r="J618" s="46">
        <f>EFEITO!$J$618*EFEITO!$Y$618</f>
        <v>0</v>
      </c>
      <c r="K618" s="46">
        <f ca="1">EFEITO!$L$618*EFEITO!$Z$618</f>
        <v>4256.8481873870769</v>
      </c>
      <c r="L618" s="46">
        <f>EFEITO!$N$618*EFEITO!$AA$618</f>
        <v>1042.9641061303871</v>
      </c>
      <c r="M618" s="46">
        <f>$J$618-EFEITO!$K$618*EFEITO!$Y$618</f>
        <v>0</v>
      </c>
      <c r="N618" s="46">
        <f ca="1">$K$618-EFEITO!$M$618*EFEITO!$Z$618</f>
        <v>0</v>
      </c>
      <c r="O618" s="46">
        <f>$L$618-EFEITO!$O$618*EFEITO!$AA$618</f>
        <v>0</v>
      </c>
      <c r="P618" s="38"/>
      <c r="Q618" s="38"/>
      <c r="R618" s="38"/>
      <c r="S618" s="38"/>
      <c r="T618" s="38"/>
      <c r="U618" s="38"/>
      <c r="V618" s="38"/>
      <c r="W618" s="38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</row>
    <row r="619" spans="1:36" ht="11.25" customHeight="1" x14ac:dyDescent="0.2">
      <c r="A619" s="35" t="s">
        <v>21</v>
      </c>
      <c r="B619" s="35" t="s">
        <v>41</v>
      </c>
      <c r="C619" s="35" t="s">
        <v>44</v>
      </c>
      <c r="D619" s="35" t="s">
        <v>54</v>
      </c>
      <c r="E619" s="35" t="s">
        <v>25</v>
      </c>
      <c r="F619" s="35" t="s">
        <v>25</v>
      </c>
      <c r="G619" s="35" t="s">
        <v>25</v>
      </c>
      <c r="H619" s="35" t="s">
        <v>36</v>
      </c>
      <c r="I619" s="45">
        <v>44805</v>
      </c>
      <c r="J619" s="46">
        <f>EFEITO!$J$619*EFEITO!$Y$619</f>
        <v>0</v>
      </c>
      <c r="K619" s="46">
        <f ca="1">EFEITO!$L$619*EFEITO!$Z$619</f>
        <v>4465.5462382986125</v>
      </c>
      <c r="L619" s="46">
        <f>EFEITO!$N$619*EFEITO!$AA$619</f>
        <v>1094.0969082737754</v>
      </c>
      <c r="M619" s="46">
        <f>$J$619-EFEITO!$K$619*EFEITO!$Y$619</f>
        <v>0</v>
      </c>
      <c r="N619" s="46">
        <f ca="1">$K$619-EFEITO!$M$619*EFEITO!$Z$619</f>
        <v>0</v>
      </c>
      <c r="O619" s="46">
        <f>$L$619-EFEITO!$O$619*EFEITO!$AA$619</f>
        <v>0</v>
      </c>
      <c r="P619" s="38"/>
      <c r="Q619" s="38"/>
      <c r="R619" s="38"/>
      <c r="S619" s="38"/>
      <c r="T619" s="38"/>
      <c r="U619" s="38"/>
      <c r="V619" s="38"/>
      <c r="W619" s="38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</row>
    <row r="620" spans="1:36" ht="11.25" customHeight="1" x14ac:dyDescent="0.2">
      <c r="A620" s="35" t="s">
        <v>21</v>
      </c>
      <c r="B620" s="35" t="s">
        <v>41</v>
      </c>
      <c r="C620" s="35" t="s">
        <v>44</v>
      </c>
      <c r="D620" s="35" t="s">
        <v>54</v>
      </c>
      <c r="E620" s="35" t="s">
        <v>25</v>
      </c>
      <c r="F620" s="35" t="s">
        <v>25</v>
      </c>
      <c r="G620" s="35" t="s">
        <v>25</v>
      </c>
      <c r="H620" s="35" t="s">
        <v>36</v>
      </c>
      <c r="I620" s="45">
        <v>44835</v>
      </c>
      <c r="J620" s="46">
        <f>EFEITO!$J$620*EFEITO!$Y$620</f>
        <v>0</v>
      </c>
      <c r="K620" s="46">
        <f ca="1">EFEITO!$L$620*EFEITO!$Z$620</f>
        <v>6953.6414410099051</v>
      </c>
      <c r="L620" s="46">
        <f>EFEITO!$N$620*EFEITO!$AA$620</f>
        <v>1703.7014501392766</v>
      </c>
      <c r="M620" s="46">
        <f>$J$620-EFEITO!$K$620*EFEITO!$Y$620</f>
        <v>0</v>
      </c>
      <c r="N620" s="46">
        <f ca="1">$K$620-EFEITO!$M$620*EFEITO!$Z$620</f>
        <v>0</v>
      </c>
      <c r="O620" s="46">
        <f>$L$620-EFEITO!$O$620*EFEITO!$AA$620</f>
        <v>0</v>
      </c>
      <c r="P620" s="38"/>
      <c r="Q620" s="38"/>
      <c r="R620" s="38"/>
      <c r="S620" s="38"/>
      <c r="T620" s="38"/>
      <c r="U620" s="38"/>
      <c r="V620" s="38"/>
      <c r="W620" s="38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</row>
    <row r="621" spans="1:36" ht="11.25" customHeight="1" x14ac:dyDescent="0.2">
      <c r="A621" s="35" t="s">
        <v>59</v>
      </c>
      <c r="B621" s="35" t="s">
        <v>41</v>
      </c>
      <c r="C621" s="35" t="s">
        <v>44</v>
      </c>
      <c r="D621" s="35" t="s">
        <v>54</v>
      </c>
      <c r="E621" s="35" t="s">
        <v>25</v>
      </c>
      <c r="F621" s="35" t="s">
        <v>25</v>
      </c>
      <c r="G621" s="35" t="s">
        <v>25</v>
      </c>
      <c r="H621" s="35" t="s">
        <v>36</v>
      </c>
      <c r="I621" s="45">
        <v>44866</v>
      </c>
      <c r="J621" s="46">
        <f>EFEITO!$J$621*EFEITO!$Y$621</f>
        <v>0</v>
      </c>
      <c r="K621" s="46">
        <f ca="1">EFEITO!$L$621*EFEITO!$Z$621</f>
        <v>6953.6414410099051</v>
      </c>
      <c r="L621" s="46">
        <f>EFEITO!$N$621*EFEITO!$AA$621</f>
        <v>1703.7014501392766</v>
      </c>
      <c r="M621" s="46">
        <f>$J$621-EFEITO!$K$621*EFEITO!$Y$621</f>
        <v>0</v>
      </c>
      <c r="N621" s="46">
        <f ca="1">$K$621-EFEITO!$M$621*EFEITO!$Z$621</f>
        <v>0</v>
      </c>
      <c r="O621" s="46">
        <f>$L$621-EFEITO!$O$621*EFEITO!$AA$621</f>
        <v>0</v>
      </c>
      <c r="P621" s="38"/>
      <c r="Q621" s="38"/>
      <c r="R621" s="38"/>
      <c r="S621" s="38"/>
      <c r="T621" s="38"/>
      <c r="U621" s="38"/>
      <c r="V621" s="38"/>
      <c r="W621" s="38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</row>
    <row r="622" spans="1:36" ht="11.25" customHeight="1" x14ac:dyDescent="0.2">
      <c r="A622" s="35" t="s">
        <v>21</v>
      </c>
      <c r="B622" s="35" t="s">
        <v>41</v>
      </c>
      <c r="C622" s="35" t="s">
        <v>44</v>
      </c>
      <c r="D622" s="35" t="s">
        <v>40</v>
      </c>
      <c r="E622" s="35" t="s">
        <v>25</v>
      </c>
      <c r="F622" s="35" t="s">
        <v>60</v>
      </c>
      <c r="G622" s="35" t="s">
        <v>25</v>
      </c>
      <c r="H622" s="35" t="s">
        <v>37</v>
      </c>
      <c r="I622" s="45">
        <v>44531</v>
      </c>
      <c r="J622" s="46">
        <f>EFEITO!$J$622*EFEITO!$Y$622</f>
        <v>0</v>
      </c>
      <c r="K622" s="46">
        <f ca="1">EFEITO!$L$622*EFEITO!$Z$622</f>
        <v>277948.10092453955</v>
      </c>
      <c r="L622" s="46">
        <f>EFEITO!$N$622*EFEITO!$AA$622</f>
        <v>0</v>
      </c>
      <c r="M622" s="46">
        <f>$J$622-EFEITO!$K$622*EFEITO!$Y$622</f>
        <v>0</v>
      </c>
      <c r="N622" s="46">
        <f ca="1">$K$622-EFEITO!$M$622*EFEITO!$Z$622</f>
        <v>0</v>
      </c>
      <c r="O622" s="46">
        <f>$L$622-EFEITO!$O$622*EFEITO!$AA$622</f>
        <v>0</v>
      </c>
      <c r="P622" s="38"/>
      <c r="Q622" s="38"/>
      <c r="R622" s="38"/>
      <c r="S622" s="38"/>
      <c r="T622" s="38"/>
      <c r="U622" s="38"/>
      <c r="V622" s="38"/>
      <c r="W622" s="38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</row>
    <row r="623" spans="1:36" ht="11.25" customHeight="1" x14ac:dyDescent="0.2">
      <c r="A623" s="35" t="s">
        <v>21</v>
      </c>
      <c r="B623" s="35" t="s">
        <v>41</v>
      </c>
      <c r="C623" s="35" t="s">
        <v>44</v>
      </c>
      <c r="D623" s="35" t="s">
        <v>40</v>
      </c>
      <c r="E623" s="35" t="s">
        <v>25</v>
      </c>
      <c r="F623" s="35" t="s">
        <v>60</v>
      </c>
      <c r="G623" s="35" t="s">
        <v>25</v>
      </c>
      <c r="H623" s="35" t="s">
        <v>37</v>
      </c>
      <c r="I623" s="45">
        <v>44562</v>
      </c>
      <c r="J623" s="46">
        <f>EFEITO!$J$623*EFEITO!$Y$623</f>
        <v>0</v>
      </c>
      <c r="K623" s="46">
        <f ca="1">EFEITO!$L$623*EFEITO!$Z$623</f>
        <v>311359.8318480411</v>
      </c>
      <c r="L623" s="46">
        <f>EFEITO!$N$623*EFEITO!$AA$623</f>
        <v>0</v>
      </c>
      <c r="M623" s="46">
        <f>$J$623-EFEITO!$K$623*EFEITO!$Y$623</f>
        <v>0</v>
      </c>
      <c r="N623" s="46">
        <f ca="1">$K$623-EFEITO!$M$623*EFEITO!$Z$623</f>
        <v>0</v>
      </c>
      <c r="O623" s="46">
        <f>$L$623-EFEITO!$O$623*EFEITO!$AA$623</f>
        <v>0</v>
      </c>
      <c r="P623" s="38"/>
      <c r="Q623" s="38"/>
      <c r="R623" s="38"/>
      <c r="S623" s="38"/>
      <c r="T623" s="38"/>
      <c r="U623" s="38"/>
      <c r="V623" s="38"/>
      <c r="W623" s="38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</row>
    <row r="624" spans="1:36" ht="11.25" customHeight="1" x14ac:dyDescent="0.2">
      <c r="A624" s="35" t="s">
        <v>21</v>
      </c>
      <c r="B624" s="35" t="s">
        <v>41</v>
      </c>
      <c r="C624" s="35" t="s">
        <v>44</v>
      </c>
      <c r="D624" s="35" t="s">
        <v>40</v>
      </c>
      <c r="E624" s="35" t="s">
        <v>25</v>
      </c>
      <c r="F624" s="35" t="s">
        <v>60</v>
      </c>
      <c r="G624" s="35" t="s">
        <v>25</v>
      </c>
      <c r="H624" s="35" t="s">
        <v>37</v>
      </c>
      <c r="I624" s="45">
        <v>44593</v>
      </c>
      <c r="J624" s="46">
        <f>EFEITO!$J$624*EFEITO!$Y$624</f>
        <v>0</v>
      </c>
      <c r="K624" s="46">
        <f ca="1">EFEITO!$L$624*EFEITO!$Z$624</f>
        <v>308095.28154002258</v>
      </c>
      <c r="L624" s="46">
        <f>EFEITO!$N$624*EFEITO!$AA$624</f>
        <v>0</v>
      </c>
      <c r="M624" s="46">
        <f>$J$624-EFEITO!$K$624*EFEITO!$Y$624</f>
        <v>0</v>
      </c>
      <c r="N624" s="46">
        <f ca="1">$K$624-EFEITO!$M$624*EFEITO!$Z$624</f>
        <v>0</v>
      </c>
      <c r="O624" s="46">
        <f>$L$624-EFEITO!$O$624*EFEITO!$AA$624</f>
        <v>0</v>
      </c>
      <c r="P624" s="38"/>
      <c r="Q624" s="38"/>
      <c r="R624" s="38"/>
      <c r="S624" s="38"/>
      <c r="T624" s="38"/>
      <c r="U624" s="38"/>
      <c r="V624" s="38"/>
      <c r="W624" s="38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</row>
    <row r="625" spans="1:36" ht="11.25" customHeight="1" x14ac:dyDescent="0.2">
      <c r="A625" s="35" t="s">
        <v>21</v>
      </c>
      <c r="B625" s="35" t="s">
        <v>41</v>
      </c>
      <c r="C625" s="35" t="s">
        <v>44</v>
      </c>
      <c r="D625" s="35" t="s">
        <v>40</v>
      </c>
      <c r="E625" s="35" t="s">
        <v>25</v>
      </c>
      <c r="F625" s="35" t="s">
        <v>60</v>
      </c>
      <c r="G625" s="35" t="s">
        <v>25</v>
      </c>
      <c r="H625" s="35" t="s">
        <v>37</v>
      </c>
      <c r="I625" s="45">
        <v>44621</v>
      </c>
      <c r="J625" s="46">
        <f>EFEITO!$J$625*EFEITO!$Y$625</f>
        <v>0</v>
      </c>
      <c r="K625" s="46">
        <f ca="1">EFEITO!$L$625*EFEITO!$Z$625</f>
        <v>248407.55043578619</v>
      </c>
      <c r="L625" s="46">
        <f>EFEITO!$N$625*EFEITO!$AA$625</f>
        <v>0</v>
      </c>
      <c r="M625" s="46">
        <f>$J$625-EFEITO!$K$625*EFEITO!$Y$625</f>
        <v>0</v>
      </c>
      <c r="N625" s="46">
        <f ca="1">$K$625-EFEITO!$M$625*EFEITO!$Z$625</f>
        <v>0</v>
      </c>
      <c r="O625" s="46">
        <f>$L$625-EFEITO!$O$625*EFEITO!$AA$625</f>
        <v>0</v>
      </c>
      <c r="P625" s="38"/>
      <c r="Q625" s="38"/>
      <c r="R625" s="38"/>
      <c r="S625" s="38"/>
      <c r="T625" s="38"/>
      <c r="U625" s="38"/>
      <c r="V625" s="38"/>
      <c r="W625" s="38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</row>
    <row r="626" spans="1:36" ht="11.25" customHeight="1" x14ac:dyDescent="0.2">
      <c r="A626" s="35" t="s">
        <v>21</v>
      </c>
      <c r="B626" s="35" t="s">
        <v>41</v>
      </c>
      <c r="C626" s="35" t="s">
        <v>44</v>
      </c>
      <c r="D626" s="35" t="s">
        <v>40</v>
      </c>
      <c r="E626" s="35" t="s">
        <v>25</v>
      </c>
      <c r="F626" s="35" t="s">
        <v>60</v>
      </c>
      <c r="G626" s="35" t="s">
        <v>25</v>
      </c>
      <c r="H626" s="35" t="s">
        <v>37</v>
      </c>
      <c r="I626" s="45">
        <v>44652</v>
      </c>
      <c r="J626" s="46">
        <f>EFEITO!$J$626*EFEITO!$Y$626</f>
        <v>0</v>
      </c>
      <c r="K626" s="46">
        <f ca="1">EFEITO!$L$626*EFEITO!$Z$626</f>
        <v>312824.90939419699</v>
      </c>
      <c r="L626" s="46">
        <f>EFEITO!$N$626*EFEITO!$AA$626</f>
        <v>0</v>
      </c>
      <c r="M626" s="46">
        <f>$J$626-EFEITO!$K$626*EFEITO!$Y$626</f>
        <v>0</v>
      </c>
      <c r="N626" s="46">
        <f ca="1">$K$626-EFEITO!$M$626*EFEITO!$Z$626</f>
        <v>0</v>
      </c>
      <c r="O626" s="46">
        <f>$L$626-EFEITO!$O$626*EFEITO!$AA$626</f>
        <v>0</v>
      </c>
      <c r="P626" s="38"/>
      <c r="Q626" s="38"/>
      <c r="R626" s="38"/>
      <c r="S626" s="38"/>
      <c r="T626" s="38"/>
      <c r="U626" s="38"/>
      <c r="V626" s="38"/>
      <c r="W626" s="38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</row>
    <row r="627" spans="1:36" ht="11.25" customHeight="1" x14ac:dyDescent="0.2">
      <c r="A627" s="35" t="s">
        <v>21</v>
      </c>
      <c r="B627" s="35" t="s">
        <v>41</v>
      </c>
      <c r="C627" s="35" t="s">
        <v>44</v>
      </c>
      <c r="D627" s="35" t="s">
        <v>40</v>
      </c>
      <c r="E627" s="35" t="s">
        <v>25</v>
      </c>
      <c r="F627" s="35" t="s">
        <v>60</v>
      </c>
      <c r="G627" s="35" t="s">
        <v>25</v>
      </c>
      <c r="H627" s="35" t="s">
        <v>37</v>
      </c>
      <c r="I627" s="45">
        <v>44682</v>
      </c>
      <c r="J627" s="46">
        <f>EFEITO!$J$627*EFEITO!$Y$627</f>
        <v>0</v>
      </c>
      <c r="K627" s="46">
        <f ca="1">EFEITO!$L$627*EFEITO!$Z$627</f>
        <v>311154.40792143153</v>
      </c>
      <c r="L627" s="46">
        <f>EFEITO!$N$627*EFEITO!$AA$627</f>
        <v>0</v>
      </c>
      <c r="M627" s="46">
        <f>$J$627-EFEITO!$K$627*EFEITO!$Y$627</f>
        <v>0</v>
      </c>
      <c r="N627" s="46">
        <f ca="1">$K$627-EFEITO!$M$627*EFEITO!$Z$627</f>
        <v>0</v>
      </c>
      <c r="O627" s="46">
        <f>$L$627-EFEITO!$O$627*EFEITO!$AA$627</f>
        <v>0</v>
      </c>
      <c r="P627" s="38"/>
      <c r="Q627" s="38"/>
      <c r="R627" s="38"/>
      <c r="S627" s="38"/>
      <c r="T627" s="38"/>
      <c r="U627" s="38"/>
      <c r="V627" s="38"/>
      <c r="W627" s="38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</row>
    <row r="628" spans="1:36" ht="11.25" customHeight="1" x14ac:dyDescent="0.2">
      <c r="A628" s="35" t="s">
        <v>21</v>
      </c>
      <c r="B628" s="35" t="s">
        <v>41</v>
      </c>
      <c r="C628" s="35" t="s">
        <v>44</v>
      </c>
      <c r="D628" s="35" t="s">
        <v>40</v>
      </c>
      <c r="E628" s="35" t="s">
        <v>25</v>
      </c>
      <c r="F628" s="35" t="s">
        <v>60</v>
      </c>
      <c r="G628" s="35" t="s">
        <v>25</v>
      </c>
      <c r="H628" s="35" t="s">
        <v>37</v>
      </c>
      <c r="I628" s="45">
        <v>44713</v>
      </c>
      <c r="J628" s="46">
        <f>EFEITO!$J$628*EFEITO!$Y$628</f>
        <v>0</v>
      </c>
      <c r="K628" s="46">
        <f ca="1">EFEITO!$L$628*EFEITO!$Z$628</f>
        <v>324709.89159097418</v>
      </c>
      <c r="L628" s="46">
        <f>EFEITO!$N$628*EFEITO!$AA$628</f>
        <v>0</v>
      </c>
      <c r="M628" s="46">
        <f>$J$628-EFEITO!$K$628*EFEITO!$Y$628</f>
        <v>0</v>
      </c>
      <c r="N628" s="46">
        <f ca="1">$K$628-EFEITO!$M$628*EFEITO!$Z$628</f>
        <v>0</v>
      </c>
      <c r="O628" s="46">
        <f>$L$628-EFEITO!$O$628*EFEITO!$AA$628</f>
        <v>0</v>
      </c>
      <c r="P628" s="38"/>
      <c r="Q628" s="38"/>
      <c r="R628" s="38"/>
      <c r="S628" s="38"/>
      <c r="T628" s="38"/>
      <c r="U628" s="38"/>
      <c r="V628" s="38"/>
      <c r="W628" s="38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</row>
    <row r="629" spans="1:36" ht="11.25" customHeight="1" x14ac:dyDescent="0.2">
      <c r="A629" s="35" t="s">
        <v>21</v>
      </c>
      <c r="B629" s="35" t="s">
        <v>41</v>
      </c>
      <c r="C629" s="35" t="s">
        <v>44</v>
      </c>
      <c r="D629" s="35" t="s">
        <v>40</v>
      </c>
      <c r="E629" s="35" t="s">
        <v>25</v>
      </c>
      <c r="F629" s="35" t="s">
        <v>60</v>
      </c>
      <c r="G629" s="35" t="s">
        <v>25</v>
      </c>
      <c r="H629" s="35" t="s">
        <v>37</v>
      </c>
      <c r="I629" s="45">
        <v>44743</v>
      </c>
      <c r="J629" s="46">
        <f>EFEITO!$J$629*EFEITO!$Y$629</f>
        <v>0</v>
      </c>
      <c r="K629" s="46">
        <f ca="1">EFEITO!$L$629*EFEITO!$Z$629</f>
        <v>300655.89544025226</v>
      </c>
      <c r="L629" s="46">
        <f>EFEITO!$N$629*EFEITO!$AA$629</f>
        <v>0</v>
      </c>
      <c r="M629" s="46">
        <f>$J$629-EFEITO!$K$629*EFEITO!$Y$629</f>
        <v>0</v>
      </c>
      <c r="N629" s="46">
        <f ca="1">$K$629-EFEITO!$M$629*EFEITO!$Z$629</f>
        <v>0</v>
      </c>
      <c r="O629" s="46">
        <f>$L$629-EFEITO!$O$629*EFEITO!$AA$629</f>
        <v>0</v>
      </c>
      <c r="P629" s="38"/>
      <c r="Q629" s="38"/>
      <c r="R629" s="38"/>
      <c r="S629" s="38"/>
      <c r="T629" s="38"/>
      <c r="U629" s="38"/>
      <c r="V629" s="38"/>
      <c r="W629" s="38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</row>
    <row r="630" spans="1:36" ht="11.25" customHeight="1" x14ac:dyDescent="0.2">
      <c r="A630" s="35" t="s">
        <v>21</v>
      </c>
      <c r="B630" s="35" t="s">
        <v>41</v>
      </c>
      <c r="C630" s="35" t="s">
        <v>44</v>
      </c>
      <c r="D630" s="35" t="s">
        <v>40</v>
      </c>
      <c r="E630" s="35" t="s">
        <v>25</v>
      </c>
      <c r="F630" s="35" t="s">
        <v>60</v>
      </c>
      <c r="G630" s="35" t="s">
        <v>25</v>
      </c>
      <c r="H630" s="35" t="s">
        <v>37</v>
      </c>
      <c r="I630" s="45">
        <v>44774</v>
      </c>
      <c r="J630" s="46">
        <f>EFEITO!$J$630*EFEITO!$Y$630</f>
        <v>0</v>
      </c>
      <c r="K630" s="46">
        <f ca="1">EFEITO!$L$630*EFEITO!$Z$630</f>
        <v>328461.28866487223</v>
      </c>
      <c r="L630" s="46">
        <f>EFEITO!$N$630*EFEITO!$AA$630</f>
        <v>0</v>
      </c>
      <c r="M630" s="46">
        <f>$J$630-EFEITO!$K$630*EFEITO!$Y$630</f>
        <v>0</v>
      </c>
      <c r="N630" s="46">
        <f ca="1">$K$630-EFEITO!$M$630*EFEITO!$Z$630</f>
        <v>0</v>
      </c>
      <c r="O630" s="46">
        <f>$L$630-EFEITO!$O$630*EFEITO!$AA$630</f>
        <v>0</v>
      </c>
      <c r="P630" s="38"/>
      <c r="Q630" s="38"/>
      <c r="R630" s="38"/>
      <c r="S630" s="38"/>
      <c r="T630" s="38"/>
      <c r="U630" s="38"/>
      <c r="V630" s="38"/>
      <c r="W630" s="38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</row>
    <row r="631" spans="1:36" ht="11.25" customHeight="1" x14ac:dyDescent="0.2">
      <c r="A631" s="35" t="s">
        <v>21</v>
      </c>
      <c r="B631" s="35" t="s">
        <v>41</v>
      </c>
      <c r="C631" s="35" t="s">
        <v>44</v>
      </c>
      <c r="D631" s="35" t="s">
        <v>40</v>
      </c>
      <c r="E631" s="35" t="s">
        <v>25</v>
      </c>
      <c r="F631" s="35" t="s">
        <v>60</v>
      </c>
      <c r="G631" s="35" t="s">
        <v>25</v>
      </c>
      <c r="H631" s="35" t="s">
        <v>37</v>
      </c>
      <c r="I631" s="45">
        <v>44805</v>
      </c>
      <c r="J631" s="46">
        <f>EFEITO!$J$631*EFEITO!$Y$631</f>
        <v>0</v>
      </c>
      <c r="K631" s="46">
        <f ca="1">EFEITO!$L$631*EFEITO!$Z$631</f>
        <v>327476.36544303334</v>
      </c>
      <c r="L631" s="46">
        <f>EFEITO!$N$631*EFEITO!$AA$631</f>
        <v>0</v>
      </c>
      <c r="M631" s="46">
        <f>$J$631-EFEITO!$K$631*EFEITO!$Y$631</f>
        <v>0</v>
      </c>
      <c r="N631" s="46">
        <f ca="1">$K$631-EFEITO!$M$631*EFEITO!$Z$631</f>
        <v>0</v>
      </c>
      <c r="O631" s="46">
        <f>$L$631-EFEITO!$O$631*EFEITO!$AA$631</f>
        <v>0</v>
      </c>
      <c r="P631" s="38"/>
      <c r="Q631" s="38"/>
      <c r="R631" s="38"/>
      <c r="S631" s="38"/>
      <c r="T631" s="38"/>
      <c r="U631" s="38"/>
      <c r="V631" s="38"/>
      <c r="W631" s="38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</row>
    <row r="632" spans="1:36" ht="11.25" customHeight="1" x14ac:dyDescent="0.2">
      <c r="A632" s="35" t="s">
        <v>21</v>
      </c>
      <c r="B632" s="35" t="s">
        <v>41</v>
      </c>
      <c r="C632" s="35" t="s">
        <v>44</v>
      </c>
      <c r="D632" s="35" t="s">
        <v>40</v>
      </c>
      <c r="E632" s="35" t="s">
        <v>25</v>
      </c>
      <c r="F632" s="35" t="s">
        <v>60</v>
      </c>
      <c r="G632" s="35" t="s">
        <v>25</v>
      </c>
      <c r="H632" s="35" t="s">
        <v>37</v>
      </c>
      <c r="I632" s="45">
        <v>44835</v>
      </c>
      <c r="J632" s="46">
        <f>EFEITO!$J$632*EFEITO!$Y$632</f>
        <v>0</v>
      </c>
      <c r="K632" s="46">
        <f ca="1">EFEITO!$L$632*EFEITO!$Z$632</f>
        <v>316417.95649484993</v>
      </c>
      <c r="L632" s="46">
        <f>EFEITO!$N$632*EFEITO!$AA$632</f>
        <v>0</v>
      </c>
      <c r="M632" s="46">
        <f>$J$632-EFEITO!$K$632*EFEITO!$Y$632</f>
        <v>0</v>
      </c>
      <c r="N632" s="46">
        <f ca="1">$K$632-EFEITO!$M$632*EFEITO!$Z$632</f>
        <v>0</v>
      </c>
      <c r="O632" s="46">
        <f>$L$632-EFEITO!$O$632*EFEITO!$AA$632</f>
        <v>0</v>
      </c>
      <c r="P632" s="38"/>
      <c r="Q632" s="38"/>
      <c r="R632" s="38"/>
      <c r="S632" s="38"/>
      <c r="T632" s="38"/>
      <c r="U632" s="38"/>
      <c r="V632" s="38"/>
      <c r="W632" s="38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</row>
    <row r="633" spans="1:36" ht="11.25" customHeight="1" x14ac:dyDescent="0.2">
      <c r="A633" s="35" t="s">
        <v>59</v>
      </c>
      <c r="B633" s="35" t="s">
        <v>41</v>
      </c>
      <c r="C633" s="35" t="s">
        <v>44</v>
      </c>
      <c r="D633" s="35" t="s">
        <v>40</v>
      </c>
      <c r="E633" s="35" t="s">
        <v>25</v>
      </c>
      <c r="F633" s="35" t="s">
        <v>60</v>
      </c>
      <c r="G633" s="35" t="s">
        <v>25</v>
      </c>
      <c r="H633" s="35" t="s">
        <v>37</v>
      </c>
      <c r="I633" s="45">
        <v>44866</v>
      </c>
      <c r="J633" s="46">
        <f>EFEITO!$J$633*EFEITO!$Y$633</f>
        <v>0</v>
      </c>
      <c r="K633" s="46">
        <f ca="1">EFEITO!$L$633*EFEITO!$Z$633</f>
        <v>316417.95649484993</v>
      </c>
      <c r="L633" s="46">
        <f>EFEITO!$N$633*EFEITO!$AA$633</f>
        <v>0</v>
      </c>
      <c r="M633" s="46">
        <f>$J$633-EFEITO!$K$633*EFEITO!$Y$633</f>
        <v>0</v>
      </c>
      <c r="N633" s="46">
        <f ca="1">$K$633-EFEITO!$M$633*EFEITO!$Z$633</f>
        <v>0</v>
      </c>
      <c r="O633" s="46">
        <f>$L$633-EFEITO!$O$633*EFEITO!$AA$633</f>
        <v>0</v>
      </c>
      <c r="P633" s="38"/>
      <c r="Q633" s="38"/>
      <c r="R633" s="38"/>
      <c r="S633" s="38"/>
      <c r="T633" s="38"/>
      <c r="U633" s="38"/>
      <c r="V633" s="38"/>
      <c r="W633" s="38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</row>
    <row r="634" spans="1:36" ht="11.25" customHeight="1" x14ac:dyDescent="0.2">
      <c r="A634" s="35" t="s">
        <v>21</v>
      </c>
      <c r="B634" s="35" t="s">
        <v>41</v>
      </c>
      <c r="C634" s="35" t="s">
        <v>44</v>
      </c>
      <c r="D634" s="35" t="s">
        <v>40</v>
      </c>
      <c r="E634" s="35" t="s">
        <v>25</v>
      </c>
      <c r="F634" s="35" t="s">
        <v>60</v>
      </c>
      <c r="G634" s="35" t="s">
        <v>25</v>
      </c>
      <c r="H634" s="35" t="s">
        <v>25</v>
      </c>
      <c r="I634" s="45">
        <v>44531</v>
      </c>
      <c r="J634" s="46">
        <f ca="1">EFEITO!$J$634*EFEITO!$Y$634</f>
        <v>214624.9963919805</v>
      </c>
      <c r="K634" s="46">
        <f>EFEITO!$L$634*EFEITO!$Z$634</f>
        <v>0</v>
      </c>
      <c r="L634" s="46">
        <f>EFEITO!$N$634*EFEITO!$AA$634</f>
        <v>0</v>
      </c>
      <c r="M634" s="46">
        <f ca="1">$J$634-EFEITO!$K$634*EFEITO!$Y$634</f>
        <v>131178.79779477848</v>
      </c>
      <c r="N634" s="46">
        <f>$K$634-EFEITO!$M$634*EFEITO!$Z$634</f>
        <v>0</v>
      </c>
      <c r="O634" s="46">
        <f>$L$634-EFEITO!$O$634*EFEITO!$AA$634</f>
        <v>0</v>
      </c>
      <c r="P634" s="38"/>
      <c r="Q634" s="38"/>
      <c r="R634" s="38"/>
      <c r="S634" s="38"/>
      <c r="T634" s="38"/>
      <c r="U634" s="38"/>
      <c r="V634" s="38"/>
      <c r="W634" s="38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</row>
    <row r="635" spans="1:36" ht="11.25" customHeight="1" x14ac:dyDescent="0.2">
      <c r="A635" s="35" t="s">
        <v>21</v>
      </c>
      <c r="B635" s="35" t="s">
        <v>41</v>
      </c>
      <c r="C635" s="35" t="s">
        <v>44</v>
      </c>
      <c r="D635" s="35" t="s">
        <v>40</v>
      </c>
      <c r="E635" s="35" t="s">
        <v>25</v>
      </c>
      <c r="F635" s="35" t="s">
        <v>60</v>
      </c>
      <c r="G635" s="35" t="s">
        <v>25</v>
      </c>
      <c r="H635" s="35" t="s">
        <v>25</v>
      </c>
      <c r="I635" s="45">
        <v>44562</v>
      </c>
      <c r="J635" s="46">
        <f ca="1">EFEITO!$J$635*EFEITO!$Y$635</f>
        <v>214810.53332095256</v>
      </c>
      <c r="K635" s="46">
        <f>EFEITO!$L$635*EFEITO!$Z$635</f>
        <v>0</v>
      </c>
      <c r="L635" s="46">
        <f>EFEITO!$N$635*EFEITO!$AA$635</f>
        <v>0</v>
      </c>
      <c r="M635" s="46">
        <f ca="1">$J$635-EFEITO!$K$635*EFEITO!$Y$635</f>
        <v>128585.58524592221</v>
      </c>
      <c r="N635" s="46">
        <f>$K$635-EFEITO!$M$635*EFEITO!$Z$635</f>
        <v>0</v>
      </c>
      <c r="O635" s="46">
        <f>$L$635-EFEITO!$O$635*EFEITO!$AA$635</f>
        <v>0</v>
      </c>
      <c r="P635" s="38"/>
      <c r="Q635" s="38"/>
      <c r="R635" s="38"/>
      <c r="S635" s="38"/>
      <c r="T635" s="38"/>
      <c r="U635" s="38"/>
      <c r="V635" s="38"/>
      <c r="W635" s="38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</row>
    <row r="636" spans="1:36" ht="11.25" customHeight="1" x14ac:dyDescent="0.2">
      <c r="A636" s="35" t="s">
        <v>21</v>
      </c>
      <c r="B636" s="35" t="s">
        <v>41</v>
      </c>
      <c r="C636" s="35" t="s">
        <v>44</v>
      </c>
      <c r="D636" s="35" t="s">
        <v>40</v>
      </c>
      <c r="E636" s="35" t="s">
        <v>25</v>
      </c>
      <c r="F636" s="35" t="s">
        <v>60</v>
      </c>
      <c r="G636" s="35" t="s">
        <v>25</v>
      </c>
      <c r="H636" s="35" t="s">
        <v>25</v>
      </c>
      <c r="I636" s="45">
        <v>44593</v>
      </c>
      <c r="J636" s="46">
        <f ca="1">EFEITO!$J$636*EFEITO!$Y$636</f>
        <v>214645.61160631073</v>
      </c>
      <c r="K636" s="46">
        <f>EFEITO!$L$636*EFEITO!$Z$636</f>
        <v>0</v>
      </c>
      <c r="L636" s="46">
        <f>EFEITO!$N$636*EFEITO!$AA$636</f>
        <v>0</v>
      </c>
      <c r="M636" s="46">
        <f ca="1">$J$636-EFEITO!$K$636*EFEITO!$Y$636</f>
        <v>122755.82527764911</v>
      </c>
      <c r="N636" s="46">
        <f>$K$636-EFEITO!$M$636*EFEITO!$Z$636</f>
        <v>0</v>
      </c>
      <c r="O636" s="46">
        <f>$L$636-EFEITO!$O$636*EFEITO!$AA$636</f>
        <v>0</v>
      </c>
      <c r="P636" s="38"/>
      <c r="Q636" s="38"/>
      <c r="R636" s="38"/>
      <c r="S636" s="38"/>
      <c r="T636" s="38"/>
      <c r="U636" s="38"/>
      <c r="V636" s="38"/>
      <c r="W636" s="38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</row>
    <row r="637" spans="1:36" ht="11.25" customHeight="1" x14ac:dyDescent="0.2">
      <c r="A637" s="35" t="s">
        <v>21</v>
      </c>
      <c r="B637" s="35" t="s">
        <v>41</v>
      </c>
      <c r="C637" s="35" t="s">
        <v>44</v>
      </c>
      <c r="D637" s="35" t="s">
        <v>40</v>
      </c>
      <c r="E637" s="35" t="s">
        <v>25</v>
      </c>
      <c r="F637" s="35" t="s">
        <v>60</v>
      </c>
      <c r="G637" s="35" t="s">
        <v>25</v>
      </c>
      <c r="H637" s="35" t="s">
        <v>25</v>
      </c>
      <c r="I637" s="45">
        <v>44621</v>
      </c>
      <c r="J637" s="46">
        <f ca="1">EFEITO!$J$637*EFEITO!$Y$637</f>
        <v>214212.69210537599</v>
      </c>
      <c r="K637" s="46">
        <f>EFEITO!$L$637*EFEITO!$Z$637</f>
        <v>0</v>
      </c>
      <c r="L637" s="46">
        <f>EFEITO!$N$637*EFEITO!$AA$637</f>
        <v>0</v>
      </c>
      <c r="M637" s="46">
        <f ca="1">$J$637-EFEITO!$K$637*EFEITO!$Y$637</f>
        <v>123043.77034532797</v>
      </c>
      <c r="N637" s="46">
        <f>$K$637-EFEITO!$M$637*EFEITO!$Z$637</f>
        <v>0</v>
      </c>
      <c r="O637" s="46">
        <f>$L$637-EFEITO!$O$637*EFEITO!$AA$637</f>
        <v>0</v>
      </c>
      <c r="P637" s="38"/>
      <c r="Q637" s="38"/>
      <c r="R637" s="38"/>
      <c r="S637" s="38"/>
      <c r="T637" s="38"/>
      <c r="U637" s="38"/>
      <c r="V637" s="38"/>
      <c r="W637" s="38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</row>
    <row r="638" spans="1:36" ht="11.25" customHeight="1" x14ac:dyDescent="0.2">
      <c r="A638" s="35" t="s">
        <v>21</v>
      </c>
      <c r="B638" s="35" t="s">
        <v>41</v>
      </c>
      <c r="C638" s="35" t="s">
        <v>44</v>
      </c>
      <c r="D638" s="35" t="s">
        <v>40</v>
      </c>
      <c r="E638" s="35" t="s">
        <v>25</v>
      </c>
      <c r="F638" s="35" t="s">
        <v>60</v>
      </c>
      <c r="G638" s="35" t="s">
        <v>25</v>
      </c>
      <c r="H638" s="35" t="s">
        <v>25</v>
      </c>
      <c r="I638" s="45">
        <v>44652</v>
      </c>
      <c r="J638" s="46">
        <f ca="1">EFEITO!$J$638*EFEITO!$Y$638</f>
        <v>214624.9963919805</v>
      </c>
      <c r="K638" s="46">
        <f>EFEITO!$L$638*EFEITO!$Z$638</f>
        <v>0</v>
      </c>
      <c r="L638" s="46">
        <f>EFEITO!$N$638*EFEITO!$AA$638</f>
        <v>0</v>
      </c>
      <c r="M638" s="46">
        <f ca="1">$J$638-EFEITO!$K$638*EFEITO!$Y$638</f>
        <v>110059.69814980759</v>
      </c>
      <c r="N638" s="46">
        <f>$K$638-EFEITO!$M$638*EFEITO!$Z$638</f>
        <v>0</v>
      </c>
      <c r="O638" s="46">
        <f>$L$638-EFEITO!$O$638*EFEITO!$AA$638</f>
        <v>0</v>
      </c>
      <c r="P638" s="38"/>
      <c r="Q638" s="38"/>
      <c r="R638" s="38"/>
      <c r="S638" s="38"/>
      <c r="T638" s="38"/>
      <c r="U638" s="38"/>
      <c r="V638" s="38"/>
      <c r="W638" s="38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</row>
    <row r="639" spans="1:36" ht="11.25" customHeight="1" x14ac:dyDescent="0.2">
      <c r="A639" s="35" t="s">
        <v>21</v>
      </c>
      <c r="B639" s="35" t="s">
        <v>41</v>
      </c>
      <c r="C639" s="35" t="s">
        <v>44</v>
      </c>
      <c r="D639" s="35" t="s">
        <v>40</v>
      </c>
      <c r="E639" s="35" t="s">
        <v>25</v>
      </c>
      <c r="F639" s="35" t="s">
        <v>60</v>
      </c>
      <c r="G639" s="35" t="s">
        <v>25</v>
      </c>
      <c r="H639" s="35" t="s">
        <v>25</v>
      </c>
      <c r="I639" s="45">
        <v>44682</v>
      </c>
      <c r="J639" s="46">
        <f ca="1">EFEITO!$J$639*EFEITO!$Y$639</f>
        <v>214872.37896394322</v>
      </c>
      <c r="K639" s="46">
        <f>EFEITO!$L$639*EFEITO!$Z$639</f>
        <v>0</v>
      </c>
      <c r="L639" s="46">
        <f>EFEITO!$N$639*EFEITO!$AA$639</f>
        <v>0</v>
      </c>
      <c r="M639" s="46">
        <f ca="1">$J$639-EFEITO!$K$639*EFEITO!$Y$639</f>
        <v>111583.22639597571</v>
      </c>
      <c r="N639" s="46">
        <f>$K$639-EFEITO!$M$639*EFEITO!$Z$639</f>
        <v>0</v>
      </c>
      <c r="O639" s="46">
        <f>$L$639-EFEITO!$O$639*EFEITO!$AA$639</f>
        <v>0</v>
      </c>
      <c r="P639" s="38"/>
      <c r="Q639" s="38"/>
      <c r="R639" s="38"/>
      <c r="S639" s="38"/>
      <c r="T639" s="38"/>
      <c r="U639" s="38"/>
      <c r="V639" s="38"/>
      <c r="W639" s="38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</row>
    <row r="640" spans="1:36" ht="11.25" customHeight="1" x14ac:dyDescent="0.2">
      <c r="A640" s="35" t="s">
        <v>21</v>
      </c>
      <c r="B640" s="35" t="s">
        <v>41</v>
      </c>
      <c r="C640" s="35" t="s">
        <v>44</v>
      </c>
      <c r="D640" s="35" t="s">
        <v>40</v>
      </c>
      <c r="E640" s="35" t="s">
        <v>25</v>
      </c>
      <c r="F640" s="35" t="s">
        <v>60</v>
      </c>
      <c r="G640" s="35" t="s">
        <v>25</v>
      </c>
      <c r="H640" s="35" t="s">
        <v>25</v>
      </c>
      <c r="I640" s="45">
        <v>44713</v>
      </c>
      <c r="J640" s="46">
        <f ca="1">EFEITO!$J$640*EFEITO!$Y$640</f>
        <v>206481.98673154134</v>
      </c>
      <c r="K640" s="46">
        <f>EFEITO!$L$640*EFEITO!$Z$640</f>
        <v>0</v>
      </c>
      <c r="L640" s="46">
        <f>EFEITO!$N$640*EFEITO!$AA$640</f>
        <v>0</v>
      </c>
      <c r="M640" s="46">
        <f ca="1">$J$640-EFEITO!$K$640*EFEITO!$Y$640</f>
        <v>107515.17049111357</v>
      </c>
      <c r="N640" s="46">
        <f>$K$640-EFEITO!$M$640*EFEITO!$Z$640</f>
        <v>0</v>
      </c>
      <c r="O640" s="46">
        <f>$L$640-EFEITO!$O$640*EFEITO!$AA$640</f>
        <v>0</v>
      </c>
      <c r="P640" s="38"/>
      <c r="Q640" s="38"/>
      <c r="R640" s="38"/>
      <c r="S640" s="38"/>
      <c r="T640" s="38"/>
      <c r="U640" s="38"/>
      <c r="V640" s="38"/>
      <c r="W640" s="38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</row>
    <row r="641" spans="1:36" ht="11.25" customHeight="1" x14ac:dyDescent="0.2">
      <c r="A641" s="35" t="s">
        <v>21</v>
      </c>
      <c r="B641" s="35" t="s">
        <v>41</v>
      </c>
      <c r="C641" s="35" t="s">
        <v>44</v>
      </c>
      <c r="D641" s="35" t="s">
        <v>40</v>
      </c>
      <c r="E641" s="35" t="s">
        <v>25</v>
      </c>
      <c r="F641" s="35" t="s">
        <v>60</v>
      </c>
      <c r="G641" s="35" t="s">
        <v>25</v>
      </c>
      <c r="H641" s="35" t="s">
        <v>25</v>
      </c>
      <c r="I641" s="45">
        <v>44743</v>
      </c>
      <c r="J641" s="46">
        <f ca="1">EFEITO!$J$641*EFEITO!$Y$641</f>
        <v>206605.67801752267</v>
      </c>
      <c r="K641" s="46">
        <f>EFEITO!$L$641*EFEITO!$Z$641</f>
        <v>0</v>
      </c>
      <c r="L641" s="46">
        <f>EFEITO!$N$641*EFEITO!$AA$641</f>
        <v>0</v>
      </c>
      <c r="M641" s="46">
        <f ca="1">$J$641-EFEITO!$K$641*EFEITO!$Y$641</f>
        <v>106505.22701803294</v>
      </c>
      <c r="N641" s="46">
        <f>$K$641-EFEITO!$M$641*EFEITO!$Z$641</f>
        <v>0</v>
      </c>
      <c r="O641" s="46">
        <f>$L$641-EFEITO!$O$641*EFEITO!$AA$641</f>
        <v>0</v>
      </c>
      <c r="P641" s="38"/>
      <c r="Q641" s="38"/>
      <c r="R641" s="38"/>
      <c r="S641" s="38"/>
      <c r="T641" s="38"/>
      <c r="U641" s="38"/>
      <c r="V641" s="38"/>
      <c r="W641" s="38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</row>
    <row r="642" spans="1:36" ht="11.25" customHeight="1" x14ac:dyDescent="0.2">
      <c r="A642" s="35" t="s">
        <v>21</v>
      </c>
      <c r="B642" s="35" t="s">
        <v>41</v>
      </c>
      <c r="C642" s="35" t="s">
        <v>44</v>
      </c>
      <c r="D642" s="35" t="s">
        <v>40</v>
      </c>
      <c r="E642" s="35" t="s">
        <v>25</v>
      </c>
      <c r="F642" s="35" t="s">
        <v>60</v>
      </c>
      <c r="G642" s="35" t="s">
        <v>25</v>
      </c>
      <c r="H642" s="35" t="s">
        <v>25</v>
      </c>
      <c r="I642" s="45">
        <v>44774</v>
      </c>
      <c r="J642" s="46">
        <f ca="1">EFEITO!$J$642*EFEITO!$Y$642</f>
        <v>206770.5997321645</v>
      </c>
      <c r="K642" s="46">
        <f>EFEITO!$L$642*EFEITO!$Z$642</f>
        <v>0</v>
      </c>
      <c r="L642" s="46">
        <f>EFEITO!$N$642*EFEITO!$AA$642</f>
        <v>0</v>
      </c>
      <c r="M642" s="46">
        <f ca="1">$J$642-EFEITO!$K$642*EFEITO!$Y$642</f>
        <v>107810.19070035056</v>
      </c>
      <c r="N642" s="46">
        <f>$K$642-EFEITO!$M$642*EFEITO!$Z$642</f>
        <v>0</v>
      </c>
      <c r="O642" s="46">
        <f>$L$642-EFEITO!$O$642*EFEITO!$AA$642</f>
        <v>0</v>
      </c>
      <c r="P642" s="38"/>
      <c r="Q642" s="38"/>
      <c r="R642" s="38"/>
      <c r="S642" s="38"/>
      <c r="T642" s="38"/>
      <c r="U642" s="38"/>
      <c r="V642" s="38"/>
      <c r="W642" s="38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</row>
    <row r="643" spans="1:36" ht="11.25" customHeight="1" x14ac:dyDescent="0.2">
      <c r="A643" s="35" t="s">
        <v>21</v>
      </c>
      <c r="B643" s="35" t="s">
        <v>41</v>
      </c>
      <c r="C643" s="35" t="s">
        <v>44</v>
      </c>
      <c r="D643" s="35" t="s">
        <v>40</v>
      </c>
      <c r="E643" s="35" t="s">
        <v>25</v>
      </c>
      <c r="F643" s="35" t="s">
        <v>60</v>
      </c>
      <c r="G643" s="35" t="s">
        <v>25</v>
      </c>
      <c r="H643" s="35" t="s">
        <v>25</v>
      </c>
      <c r="I643" s="45">
        <v>44805</v>
      </c>
      <c r="J643" s="46">
        <f ca="1">EFEITO!$J$643*EFEITO!$Y$643</f>
        <v>206028.45201627637</v>
      </c>
      <c r="K643" s="46">
        <f>EFEITO!$L$643*EFEITO!$Z$643</f>
        <v>0</v>
      </c>
      <c r="L643" s="46">
        <f>EFEITO!$N$643*EFEITO!$AA$643</f>
        <v>0</v>
      </c>
      <c r="M643" s="46">
        <f ca="1">$J$643-EFEITO!$K$643*EFEITO!$Y$643</f>
        <v>106310.68124039861</v>
      </c>
      <c r="N643" s="46">
        <f>$K$643-EFEITO!$M$643*EFEITO!$Z$643</f>
        <v>0</v>
      </c>
      <c r="O643" s="46">
        <f>$L$643-EFEITO!$O$643*EFEITO!$AA$643</f>
        <v>0</v>
      </c>
      <c r="P643" s="38"/>
      <c r="Q643" s="38"/>
      <c r="R643" s="38"/>
      <c r="S643" s="38"/>
      <c r="T643" s="38"/>
      <c r="U643" s="38"/>
      <c r="V643" s="38"/>
      <c r="W643" s="38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</row>
    <row r="644" spans="1:36" ht="11.25" customHeight="1" x14ac:dyDescent="0.2">
      <c r="A644" s="35" t="s">
        <v>21</v>
      </c>
      <c r="B644" s="35" t="s">
        <v>41</v>
      </c>
      <c r="C644" s="35" t="s">
        <v>44</v>
      </c>
      <c r="D644" s="35" t="s">
        <v>40</v>
      </c>
      <c r="E644" s="35" t="s">
        <v>25</v>
      </c>
      <c r="F644" s="35" t="s">
        <v>60</v>
      </c>
      <c r="G644" s="35" t="s">
        <v>25</v>
      </c>
      <c r="H644" s="35" t="s">
        <v>25</v>
      </c>
      <c r="I644" s="45">
        <v>44835</v>
      </c>
      <c r="J644" s="46">
        <f ca="1">EFEITO!$J$644*EFEITO!$Y$644</f>
        <v>210481.33831160513</v>
      </c>
      <c r="K644" s="46">
        <f>EFEITO!$L$644*EFEITO!$Z$644</f>
        <v>0</v>
      </c>
      <c r="L644" s="46">
        <f>EFEITO!$N$644*EFEITO!$AA$644</f>
        <v>0</v>
      </c>
      <c r="M644" s="46">
        <f ca="1">$J$644-EFEITO!$K$644*EFEITO!$Y$644</f>
        <v>107640.15641255486</v>
      </c>
      <c r="N644" s="46">
        <f>$K$644-EFEITO!$M$644*EFEITO!$Z$644</f>
        <v>0</v>
      </c>
      <c r="O644" s="46">
        <f>$L$644-EFEITO!$O$644*EFEITO!$AA$644</f>
        <v>0</v>
      </c>
      <c r="P644" s="38"/>
      <c r="Q644" s="38"/>
      <c r="R644" s="38"/>
      <c r="S644" s="38"/>
      <c r="T644" s="38"/>
      <c r="U644" s="38"/>
      <c r="V644" s="38"/>
      <c r="W644" s="38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</row>
    <row r="645" spans="1:36" ht="11.25" customHeight="1" x14ac:dyDescent="0.2">
      <c r="A645" s="35" t="s">
        <v>59</v>
      </c>
      <c r="B645" s="35" t="s">
        <v>41</v>
      </c>
      <c r="C645" s="35" t="s">
        <v>44</v>
      </c>
      <c r="D645" s="35" t="s">
        <v>40</v>
      </c>
      <c r="E645" s="35" t="s">
        <v>25</v>
      </c>
      <c r="F645" s="35" t="s">
        <v>60</v>
      </c>
      <c r="G645" s="35" t="s">
        <v>25</v>
      </c>
      <c r="H645" s="35" t="s">
        <v>25</v>
      </c>
      <c r="I645" s="45">
        <v>44866</v>
      </c>
      <c r="J645" s="46">
        <f ca="1">EFEITO!$J$645*EFEITO!$Y$645</f>
        <v>210481.33831160513</v>
      </c>
      <c r="K645" s="46">
        <f>EFEITO!$L$645*EFEITO!$Z$645</f>
        <v>0</v>
      </c>
      <c r="L645" s="46">
        <f>EFEITO!$N$645*EFEITO!$AA$645</f>
        <v>0</v>
      </c>
      <c r="M645" s="46">
        <f ca="1">$J$645-EFEITO!$K$645*EFEITO!$Y$645</f>
        <v>107640.15641255486</v>
      </c>
      <c r="N645" s="46">
        <f>$K$645-EFEITO!$M$645*EFEITO!$Z$645</f>
        <v>0</v>
      </c>
      <c r="O645" s="46">
        <f>$L$645-EFEITO!$O$645*EFEITO!$AA$645</f>
        <v>0</v>
      </c>
      <c r="P645" s="38"/>
      <c r="Q645" s="38"/>
      <c r="R645" s="38"/>
      <c r="S645" s="38"/>
      <c r="T645" s="38"/>
      <c r="U645" s="38"/>
      <c r="V645" s="38"/>
      <c r="W645" s="38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</row>
    <row r="646" spans="1:36" ht="11.25" customHeight="1" x14ac:dyDescent="0.2">
      <c r="A646" s="35" t="s">
        <v>21</v>
      </c>
      <c r="B646" s="35" t="s">
        <v>41</v>
      </c>
      <c r="C646" s="35" t="s">
        <v>44</v>
      </c>
      <c r="D646" s="35" t="s">
        <v>40</v>
      </c>
      <c r="E646" s="35" t="s">
        <v>25</v>
      </c>
      <c r="F646" s="35" t="s">
        <v>60</v>
      </c>
      <c r="G646" s="35" t="s">
        <v>25</v>
      </c>
      <c r="H646" s="35" t="s">
        <v>36</v>
      </c>
      <c r="I646" s="45">
        <v>44531</v>
      </c>
      <c r="J646" s="46">
        <f>EFEITO!$J$646*EFEITO!$Y$646</f>
        <v>0</v>
      </c>
      <c r="K646" s="46">
        <f ca="1">EFEITO!$L$646*EFEITO!$Z$646</f>
        <v>363611.20980872185</v>
      </c>
      <c r="L646" s="46">
        <f>EFEITO!$N$646*EFEITO!$AA$646</f>
        <v>0</v>
      </c>
      <c r="M646" s="46">
        <f>$J$646-EFEITO!$K$646*EFEITO!$Y$646</f>
        <v>0</v>
      </c>
      <c r="N646" s="46">
        <f ca="1">$K$646-EFEITO!$M$646*EFEITO!$Z$646</f>
        <v>218930.30942583142</v>
      </c>
      <c r="O646" s="46">
        <f>$L$646-EFEITO!$O$646*EFEITO!$AA$646</f>
        <v>0</v>
      </c>
      <c r="P646" s="38"/>
      <c r="Q646" s="38"/>
      <c r="R646" s="38"/>
      <c r="S646" s="38"/>
      <c r="T646" s="38"/>
      <c r="U646" s="38"/>
      <c r="V646" s="38"/>
      <c r="W646" s="38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</row>
    <row r="647" spans="1:36" ht="11.25" customHeight="1" x14ac:dyDescent="0.2">
      <c r="A647" s="35" t="s">
        <v>21</v>
      </c>
      <c r="B647" s="35" t="s">
        <v>41</v>
      </c>
      <c r="C647" s="35" t="s">
        <v>44</v>
      </c>
      <c r="D647" s="35" t="s">
        <v>40</v>
      </c>
      <c r="E647" s="35" t="s">
        <v>25</v>
      </c>
      <c r="F647" s="35" t="s">
        <v>60</v>
      </c>
      <c r="G647" s="35" t="s">
        <v>25</v>
      </c>
      <c r="H647" s="35" t="s">
        <v>36</v>
      </c>
      <c r="I647" s="45">
        <v>44562</v>
      </c>
      <c r="J647" s="46">
        <f>EFEITO!$J$647*EFEITO!$Y$647</f>
        <v>0</v>
      </c>
      <c r="K647" s="46">
        <f ca="1">EFEITO!$L$647*EFEITO!$Z$647</f>
        <v>430434.54955697095</v>
      </c>
      <c r="L647" s="46">
        <f>EFEITO!$N$647*EFEITO!$AA$647</f>
        <v>0</v>
      </c>
      <c r="M647" s="46">
        <f>$J$647-EFEITO!$K$647*EFEITO!$Y$647</f>
        <v>0</v>
      </c>
      <c r="N647" s="46">
        <f ca="1">$K$647-EFEITO!$M$647*EFEITO!$Z$647</f>
        <v>234974.22060315043</v>
      </c>
      <c r="O647" s="46">
        <f>$L$647-EFEITO!$O$647*EFEITO!$AA$647</f>
        <v>0</v>
      </c>
      <c r="P647" s="38"/>
      <c r="Q647" s="38"/>
      <c r="R647" s="38"/>
      <c r="S647" s="38"/>
      <c r="T647" s="38"/>
      <c r="U647" s="38"/>
      <c r="V647" s="38"/>
      <c r="W647" s="38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</row>
    <row r="648" spans="1:36" ht="11.25" customHeight="1" x14ac:dyDescent="0.2">
      <c r="A648" s="35" t="s">
        <v>21</v>
      </c>
      <c r="B648" s="35" t="s">
        <v>41</v>
      </c>
      <c r="C648" s="35" t="s">
        <v>44</v>
      </c>
      <c r="D648" s="35" t="s">
        <v>40</v>
      </c>
      <c r="E648" s="35" t="s">
        <v>25</v>
      </c>
      <c r="F648" s="35" t="s">
        <v>60</v>
      </c>
      <c r="G648" s="35" t="s">
        <v>25</v>
      </c>
      <c r="H648" s="35" t="s">
        <v>36</v>
      </c>
      <c r="I648" s="45">
        <v>44593</v>
      </c>
      <c r="J648" s="46">
        <f>EFEITO!$J$648*EFEITO!$Y$648</f>
        <v>0</v>
      </c>
      <c r="K648" s="46">
        <f ca="1">EFEITO!$L$648*EFEITO!$Z$648</f>
        <v>381864.14855936775</v>
      </c>
      <c r="L648" s="46">
        <f>EFEITO!$N$648*EFEITO!$AA$648</f>
        <v>0</v>
      </c>
      <c r="M648" s="46">
        <f>$J$648-EFEITO!$K$648*EFEITO!$Y$648</f>
        <v>0</v>
      </c>
      <c r="N648" s="46">
        <f ca="1">$K$648-EFEITO!$M$648*EFEITO!$Z$648</f>
        <v>190321.09164198893</v>
      </c>
      <c r="O648" s="46">
        <f>$L$648-EFEITO!$O$648*EFEITO!$AA$648</f>
        <v>0</v>
      </c>
      <c r="P648" s="38"/>
      <c r="Q648" s="38"/>
      <c r="R648" s="38"/>
      <c r="S648" s="38"/>
      <c r="T648" s="38"/>
      <c r="U648" s="38"/>
      <c r="V648" s="38"/>
      <c r="W648" s="38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</row>
    <row r="649" spans="1:36" ht="11.25" customHeight="1" x14ac:dyDescent="0.2">
      <c r="A649" s="35" t="s">
        <v>21</v>
      </c>
      <c r="B649" s="35" t="s">
        <v>41</v>
      </c>
      <c r="C649" s="35" t="s">
        <v>44</v>
      </c>
      <c r="D649" s="35" t="s">
        <v>40</v>
      </c>
      <c r="E649" s="35" t="s">
        <v>25</v>
      </c>
      <c r="F649" s="35" t="s">
        <v>60</v>
      </c>
      <c r="G649" s="35" t="s">
        <v>25</v>
      </c>
      <c r="H649" s="35" t="s">
        <v>36</v>
      </c>
      <c r="I649" s="45">
        <v>44621</v>
      </c>
      <c r="J649" s="46">
        <f>EFEITO!$J$649*EFEITO!$Y$649</f>
        <v>0</v>
      </c>
      <c r="K649" s="46">
        <f ca="1">EFEITO!$L$649*EFEITO!$Z$649</f>
        <v>349345.73594570492</v>
      </c>
      <c r="L649" s="46">
        <f>EFEITO!$N$649*EFEITO!$AA$649</f>
        <v>0</v>
      </c>
      <c r="M649" s="46">
        <f>$J$649-EFEITO!$K$649*EFEITO!$Y$649</f>
        <v>0</v>
      </c>
      <c r="N649" s="46">
        <f ca="1">$K$649-EFEITO!$M$649*EFEITO!$Z$649</f>
        <v>189030.97772022092</v>
      </c>
      <c r="O649" s="46">
        <f>$L$649-EFEITO!$O$649*EFEITO!$AA$649</f>
        <v>0</v>
      </c>
      <c r="P649" s="38"/>
      <c r="Q649" s="38"/>
      <c r="R649" s="38"/>
      <c r="S649" s="38"/>
      <c r="T649" s="38"/>
      <c r="U649" s="38"/>
      <c r="V649" s="38"/>
      <c r="W649" s="38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</row>
    <row r="650" spans="1:36" ht="11.25" customHeight="1" x14ac:dyDescent="0.2">
      <c r="A650" s="35" t="s">
        <v>21</v>
      </c>
      <c r="B650" s="35" t="s">
        <v>41</v>
      </c>
      <c r="C650" s="35" t="s">
        <v>44</v>
      </c>
      <c r="D650" s="35" t="s">
        <v>40</v>
      </c>
      <c r="E650" s="35" t="s">
        <v>25</v>
      </c>
      <c r="F650" s="35" t="s">
        <v>60</v>
      </c>
      <c r="G650" s="35" t="s">
        <v>25</v>
      </c>
      <c r="H650" s="35" t="s">
        <v>36</v>
      </c>
      <c r="I650" s="45">
        <v>44652</v>
      </c>
      <c r="J650" s="46">
        <f>EFEITO!$J$650*EFEITO!$Y$650</f>
        <v>0</v>
      </c>
      <c r="K650" s="46">
        <f ca="1">EFEITO!$L$650*EFEITO!$Z$650</f>
        <v>432564.45377868513</v>
      </c>
      <c r="L650" s="46">
        <f>EFEITO!$N$650*EFEITO!$AA$650</f>
        <v>0</v>
      </c>
      <c r="M650" s="46">
        <f>$J$650-EFEITO!$K$650*EFEITO!$Y$650</f>
        <v>0</v>
      </c>
      <c r="N650" s="46">
        <f ca="1">$K$650-EFEITO!$M$650*EFEITO!$Z$650</f>
        <v>229994.52007412689</v>
      </c>
      <c r="O650" s="46">
        <f>$L$650-EFEITO!$O$650*EFEITO!$AA$650</f>
        <v>0</v>
      </c>
      <c r="P650" s="38"/>
      <c r="Q650" s="38"/>
      <c r="R650" s="38"/>
      <c r="S650" s="38"/>
      <c r="T650" s="38"/>
      <c r="U650" s="38"/>
      <c r="V650" s="38"/>
      <c r="W650" s="38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</row>
    <row r="651" spans="1:36" ht="11.25" customHeight="1" x14ac:dyDescent="0.2">
      <c r="A651" s="35" t="s">
        <v>21</v>
      </c>
      <c r="B651" s="35" t="s">
        <v>41</v>
      </c>
      <c r="C651" s="35" t="s">
        <v>44</v>
      </c>
      <c r="D651" s="35" t="s">
        <v>40</v>
      </c>
      <c r="E651" s="35" t="s">
        <v>25</v>
      </c>
      <c r="F651" s="35" t="s">
        <v>60</v>
      </c>
      <c r="G651" s="35" t="s">
        <v>25</v>
      </c>
      <c r="H651" s="35" t="s">
        <v>36</v>
      </c>
      <c r="I651" s="45">
        <v>44682</v>
      </c>
      <c r="J651" s="46">
        <f>EFEITO!$J$651*EFEITO!$Y$651</f>
        <v>0</v>
      </c>
      <c r="K651" s="46">
        <f ca="1">EFEITO!$L$651*EFEITO!$Z$651</f>
        <v>386985.3915108139</v>
      </c>
      <c r="L651" s="46">
        <f>EFEITO!$N$651*EFEITO!$AA$651</f>
        <v>0</v>
      </c>
      <c r="M651" s="46">
        <f>$J$651-EFEITO!$K$651*EFEITO!$Y$651</f>
        <v>0</v>
      </c>
      <c r="N651" s="46">
        <f ca="1">$K$651-EFEITO!$M$651*EFEITO!$Z$651</f>
        <v>195659.81394786754</v>
      </c>
      <c r="O651" s="46">
        <f>$L$651-EFEITO!$O$651*EFEITO!$AA$651</f>
        <v>0</v>
      </c>
      <c r="P651" s="38"/>
      <c r="Q651" s="38"/>
      <c r="R651" s="38"/>
      <c r="S651" s="38"/>
      <c r="T651" s="38"/>
      <c r="U651" s="38"/>
      <c r="V651" s="38"/>
      <c r="W651" s="38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</row>
    <row r="652" spans="1:36" ht="11.25" customHeight="1" x14ac:dyDescent="0.2">
      <c r="A652" s="35" t="s">
        <v>21</v>
      </c>
      <c r="B652" s="35" t="s">
        <v>41</v>
      </c>
      <c r="C652" s="35" t="s">
        <v>44</v>
      </c>
      <c r="D652" s="35" t="s">
        <v>40</v>
      </c>
      <c r="E652" s="35" t="s">
        <v>25</v>
      </c>
      <c r="F652" s="35" t="s">
        <v>60</v>
      </c>
      <c r="G652" s="35" t="s">
        <v>25</v>
      </c>
      <c r="H652" s="35" t="s">
        <v>36</v>
      </c>
      <c r="I652" s="45">
        <v>44713</v>
      </c>
      <c r="J652" s="46">
        <f>EFEITO!$J$652*EFEITO!$Y$652</f>
        <v>0</v>
      </c>
      <c r="K652" s="46">
        <f ca="1">EFEITO!$L$652*EFEITO!$Z$652</f>
        <v>445953.69185347768</v>
      </c>
      <c r="L652" s="46">
        <f>EFEITO!$N$652*EFEITO!$AA$652</f>
        <v>0</v>
      </c>
      <c r="M652" s="46">
        <f>$J$652-EFEITO!$K$652*EFEITO!$Y$652</f>
        <v>0</v>
      </c>
      <c r="N652" s="46">
        <f ca="1">$K$652-EFEITO!$M$652*EFEITO!$Z$652</f>
        <v>219320.0256535403</v>
      </c>
      <c r="O652" s="46">
        <f>$L$652-EFEITO!$O$652*EFEITO!$AA$652</f>
        <v>0</v>
      </c>
      <c r="P652" s="38"/>
      <c r="Q652" s="38"/>
      <c r="R652" s="38"/>
      <c r="S652" s="38"/>
      <c r="T652" s="38"/>
      <c r="U652" s="38"/>
      <c r="V652" s="38"/>
      <c r="W652" s="38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</row>
    <row r="653" spans="1:36" ht="11.25" customHeight="1" x14ac:dyDescent="0.2">
      <c r="A653" s="35" t="s">
        <v>21</v>
      </c>
      <c r="B653" s="35" t="s">
        <v>41</v>
      </c>
      <c r="C653" s="35" t="s">
        <v>44</v>
      </c>
      <c r="D653" s="35" t="s">
        <v>40</v>
      </c>
      <c r="E653" s="35" t="s">
        <v>25</v>
      </c>
      <c r="F653" s="35" t="s">
        <v>60</v>
      </c>
      <c r="G653" s="35" t="s">
        <v>25</v>
      </c>
      <c r="H653" s="35" t="s">
        <v>36</v>
      </c>
      <c r="I653" s="45">
        <v>44743</v>
      </c>
      <c r="J653" s="46">
        <f>EFEITO!$J$653*EFEITO!$Y$653</f>
        <v>0</v>
      </c>
      <c r="K653" s="46">
        <f ca="1">EFEITO!$L$653*EFEITO!$Z$653</f>
        <v>398083.39140964154</v>
      </c>
      <c r="L653" s="46">
        <f>EFEITO!$N$653*EFEITO!$AA$653</f>
        <v>0</v>
      </c>
      <c r="M653" s="46">
        <f>$J$653-EFEITO!$K$653*EFEITO!$Y$653</f>
        <v>0</v>
      </c>
      <c r="N653" s="46">
        <f ca="1">$K$653-EFEITO!$M$653*EFEITO!$Z$653</f>
        <v>188890.56922387492</v>
      </c>
      <c r="O653" s="46">
        <f>$L$653-EFEITO!$O$653*EFEITO!$AA$653</f>
        <v>0</v>
      </c>
      <c r="P653" s="38"/>
      <c r="Q653" s="38"/>
      <c r="R653" s="38"/>
      <c r="S653" s="38"/>
      <c r="T653" s="38"/>
      <c r="U653" s="38"/>
      <c r="V653" s="38"/>
      <c r="W653" s="38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</row>
    <row r="654" spans="1:36" ht="11.25" customHeight="1" x14ac:dyDescent="0.2">
      <c r="A654" s="35" t="s">
        <v>21</v>
      </c>
      <c r="B654" s="35" t="s">
        <v>41</v>
      </c>
      <c r="C654" s="35" t="s">
        <v>44</v>
      </c>
      <c r="D654" s="35" t="s">
        <v>40</v>
      </c>
      <c r="E654" s="35" t="s">
        <v>25</v>
      </c>
      <c r="F654" s="35" t="s">
        <v>60</v>
      </c>
      <c r="G654" s="35" t="s">
        <v>25</v>
      </c>
      <c r="H654" s="35" t="s">
        <v>36</v>
      </c>
      <c r="I654" s="45">
        <v>44774</v>
      </c>
      <c r="J654" s="46">
        <f>EFEITO!$J$654*EFEITO!$Y$654</f>
        <v>0</v>
      </c>
      <c r="K654" s="46">
        <f ca="1">EFEITO!$L$654*EFEITO!$Z$654</f>
        <v>413010.48249788862</v>
      </c>
      <c r="L654" s="46">
        <f>EFEITO!$N$654*EFEITO!$AA$654</f>
        <v>0</v>
      </c>
      <c r="M654" s="46">
        <f>$J$654-EFEITO!$K$654*EFEITO!$Y$654</f>
        <v>0</v>
      </c>
      <c r="N654" s="46">
        <f ca="1">$K$654-EFEITO!$M$654*EFEITO!$Z$654</f>
        <v>191678.16492727009</v>
      </c>
      <c r="O654" s="46">
        <f>$L$654-EFEITO!$O$654*EFEITO!$AA$654</f>
        <v>0</v>
      </c>
      <c r="P654" s="38"/>
      <c r="Q654" s="38"/>
      <c r="R654" s="38"/>
      <c r="S654" s="38"/>
      <c r="T654" s="38"/>
      <c r="U654" s="38"/>
      <c r="V654" s="38"/>
      <c r="W654" s="38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</row>
    <row r="655" spans="1:36" ht="11.25" customHeight="1" x14ac:dyDescent="0.2">
      <c r="A655" s="35" t="s">
        <v>21</v>
      </c>
      <c r="B655" s="35" t="s">
        <v>41</v>
      </c>
      <c r="C655" s="35" t="s">
        <v>44</v>
      </c>
      <c r="D655" s="35" t="s">
        <v>40</v>
      </c>
      <c r="E655" s="35" t="s">
        <v>25</v>
      </c>
      <c r="F655" s="35" t="s">
        <v>60</v>
      </c>
      <c r="G655" s="35" t="s">
        <v>25</v>
      </c>
      <c r="H655" s="35" t="s">
        <v>36</v>
      </c>
      <c r="I655" s="45">
        <v>44805</v>
      </c>
      <c r="J655" s="46">
        <f>EFEITO!$J$655*EFEITO!$Y$655</f>
        <v>0</v>
      </c>
      <c r="K655" s="46">
        <f ca="1">EFEITO!$L$655*EFEITO!$Z$655</f>
        <v>486780.06304704439</v>
      </c>
      <c r="L655" s="46">
        <f>EFEITO!$N$655*EFEITO!$AA$655</f>
        <v>0</v>
      </c>
      <c r="M655" s="46">
        <f>$J$655-EFEITO!$K$655*EFEITO!$Y$655</f>
        <v>0</v>
      </c>
      <c r="N655" s="46">
        <f ca="1">$K$655-EFEITO!$M$655*EFEITO!$Z$655</f>
        <v>248355.18816660205</v>
      </c>
      <c r="O655" s="46">
        <f>$L$655-EFEITO!$O$655*EFEITO!$AA$655</f>
        <v>0</v>
      </c>
      <c r="P655" s="38"/>
      <c r="Q655" s="38"/>
      <c r="R655" s="38"/>
      <c r="S655" s="38"/>
      <c r="T655" s="38"/>
      <c r="U655" s="38"/>
      <c r="V655" s="38"/>
      <c r="W655" s="38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</row>
    <row r="656" spans="1:36" ht="11.25" customHeight="1" x14ac:dyDescent="0.2">
      <c r="A656" s="35" t="s">
        <v>21</v>
      </c>
      <c r="B656" s="35" t="s">
        <v>41</v>
      </c>
      <c r="C656" s="35" t="s">
        <v>44</v>
      </c>
      <c r="D656" s="35" t="s">
        <v>40</v>
      </c>
      <c r="E656" s="35" t="s">
        <v>25</v>
      </c>
      <c r="F656" s="35" t="s">
        <v>60</v>
      </c>
      <c r="G656" s="35" t="s">
        <v>25</v>
      </c>
      <c r="H656" s="35" t="s">
        <v>36</v>
      </c>
      <c r="I656" s="45">
        <v>44835</v>
      </c>
      <c r="J656" s="46">
        <f>EFEITO!$J$656*EFEITO!$Y$656</f>
        <v>0</v>
      </c>
      <c r="K656" s="46">
        <f ca="1">EFEITO!$L$656*EFEITO!$Z$656</f>
        <v>443175.49155871914</v>
      </c>
      <c r="L656" s="46">
        <f>EFEITO!$N$656*EFEITO!$AA$656</f>
        <v>0</v>
      </c>
      <c r="M656" s="46">
        <f>$J$656-EFEITO!$K$656*EFEITO!$Y$656</f>
        <v>0</v>
      </c>
      <c r="N656" s="46">
        <f ca="1">$K$656-EFEITO!$M$656*EFEITO!$Z$656</f>
        <v>229742.17482403998</v>
      </c>
      <c r="O656" s="46">
        <f>$L$656-EFEITO!$O$656*EFEITO!$AA$656</f>
        <v>0</v>
      </c>
      <c r="P656" s="38"/>
      <c r="Q656" s="38"/>
      <c r="R656" s="38"/>
      <c r="S656" s="38"/>
      <c r="T656" s="38"/>
      <c r="U656" s="38"/>
      <c r="V656" s="38"/>
      <c r="W656" s="38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</row>
    <row r="657" spans="1:36" ht="11.25" customHeight="1" x14ac:dyDescent="0.2">
      <c r="A657" s="35" t="s">
        <v>59</v>
      </c>
      <c r="B657" s="35" t="s">
        <v>41</v>
      </c>
      <c r="C657" s="35" t="s">
        <v>44</v>
      </c>
      <c r="D657" s="35" t="s">
        <v>40</v>
      </c>
      <c r="E657" s="35" t="s">
        <v>25</v>
      </c>
      <c r="F657" s="35" t="s">
        <v>60</v>
      </c>
      <c r="G657" s="35" t="s">
        <v>25</v>
      </c>
      <c r="H657" s="35" t="s">
        <v>36</v>
      </c>
      <c r="I657" s="45">
        <v>44866</v>
      </c>
      <c r="J657" s="46">
        <f>EFEITO!$J$657*EFEITO!$Y$657</f>
        <v>0</v>
      </c>
      <c r="K657" s="46">
        <f ca="1">EFEITO!$L$657*EFEITO!$Z$657</f>
        <v>443175.49155871914</v>
      </c>
      <c r="L657" s="46">
        <f>EFEITO!$N$657*EFEITO!$AA$657</f>
        <v>0</v>
      </c>
      <c r="M657" s="46">
        <f>$J$657-EFEITO!$K$657*EFEITO!$Y$657</f>
        <v>0</v>
      </c>
      <c r="N657" s="46">
        <f ca="1">$K$657-EFEITO!$M$657*EFEITO!$Z$657</f>
        <v>229742.17482403998</v>
      </c>
      <c r="O657" s="46">
        <f>$L$657-EFEITO!$O$657*EFEITO!$AA$657</f>
        <v>0</v>
      </c>
      <c r="P657" s="38"/>
      <c r="Q657" s="38"/>
      <c r="R657" s="38"/>
      <c r="S657" s="38"/>
      <c r="T657" s="38"/>
      <c r="U657" s="38"/>
      <c r="V657" s="38"/>
      <c r="W657" s="38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</row>
    <row r="658" spans="1:36" ht="11.25" customHeight="1" x14ac:dyDescent="0.2">
      <c r="A658" s="35" t="s">
        <v>21</v>
      </c>
      <c r="B658" s="35" t="s">
        <v>41</v>
      </c>
      <c r="C658" s="35" t="s">
        <v>44</v>
      </c>
      <c r="D658" s="35" t="s">
        <v>40</v>
      </c>
      <c r="E658" s="35" t="s">
        <v>25</v>
      </c>
      <c r="F658" s="35" t="s">
        <v>25</v>
      </c>
      <c r="G658" s="35" t="s">
        <v>25</v>
      </c>
      <c r="H658" s="35" t="s">
        <v>37</v>
      </c>
      <c r="I658" s="45">
        <v>44531</v>
      </c>
      <c r="J658" s="46">
        <f>EFEITO!$J$658*EFEITO!$Y$658</f>
        <v>0</v>
      </c>
      <c r="K658" s="46">
        <f ca="1">EFEITO!$L$658*EFEITO!$Z$658</f>
        <v>184291.35134769467</v>
      </c>
      <c r="L658" s="46">
        <f>EFEITO!$N$658*EFEITO!$AA$658</f>
        <v>355297.55858704017</v>
      </c>
      <c r="M658" s="46">
        <f>$J$658-EFEITO!$K$658*EFEITO!$Y$658</f>
        <v>0</v>
      </c>
      <c r="N658" s="46">
        <f ca="1">$K$658-EFEITO!$M$658*EFEITO!$Z$658</f>
        <v>0</v>
      </c>
      <c r="O658" s="46">
        <f>$L$658-EFEITO!$O$658*EFEITO!$AA$658</f>
        <v>0</v>
      </c>
      <c r="P658" s="38"/>
      <c r="Q658" s="38"/>
      <c r="R658" s="38"/>
      <c r="S658" s="38"/>
      <c r="T658" s="38"/>
      <c r="U658" s="38"/>
      <c r="V658" s="38"/>
      <c r="W658" s="38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</row>
    <row r="659" spans="1:36" ht="11.25" customHeight="1" x14ac:dyDescent="0.2">
      <c r="A659" s="35" t="s">
        <v>28</v>
      </c>
      <c r="B659" s="35" t="s">
        <v>41</v>
      </c>
      <c r="C659" s="35" t="s">
        <v>44</v>
      </c>
      <c r="D659" s="35" t="s">
        <v>40</v>
      </c>
      <c r="E659" s="35" t="s">
        <v>25</v>
      </c>
      <c r="F659" s="35" t="s">
        <v>25</v>
      </c>
      <c r="G659" s="35" t="s">
        <v>25</v>
      </c>
      <c r="H659" s="35" t="s">
        <v>37</v>
      </c>
      <c r="I659" s="45">
        <v>44531</v>
      </c>
      <c r="J659" s="46">
        <f>EFEITO!$J$659*EFEITO!$Y$659</f>
        <v>0</v>
      </c>
      <c r="K659" s="46">
        <f ca="1">EFEITO!$L$659*EFEITO!$Z$659</f>
        <v>24367.17972961138</v>
      </c>
      <c r="L659" s="46">
        <f>EFEITO!$N$659*EFEITO!$AA$659</f>
        <v>46977.784927349152</v>
      </c>
      <c r="M659" s="46">
        <f>$J$659-EFEITO!$K$659*EFEITO!$Y$659</f>
        <v>0</v>
      </c>
      <c r="N659" s="46">
        <f ca="1">$K$659-EFEITO!$M$659*EFEITO!$Z$659</f>
        <v>0</v>
      </c>
      <c r="O659" s="46">
        <f>$L$659-EFEITO!$O$659*EFEITO!$AA$659</f>
        <v>0</v>
      </c>
      <c r="P659" s="38"/>
      <c r="Q659" s="38"/>
      <c r="R659" s="38"/>
      <c r="S659" s="38"/>
      <c r="T659" s="38"/>
      <c r="U659" s="38"/>
      <c r="V659" s="38"/>
      <c r="W659" s="38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</row>
    <row r="660" spans="1:36" ht="11.25" customHeight="1" x14ac:dyDescent="0.2">
      <c r="A660" s="35" t="s">
        <v>30</v>
      </c>
      <c r="B660" s="35" t="s">
        <v>41</v>
      </c>
      <c r="C660" s="35" t="s">
        <v>44</v>
      </c>
      <c r="D660" s="35" t="s">
        <v>40</v>
      </c>
      <c r="E660" s="35" t="s">
        <v>25</v>
      </c>
      <c r="F660" s="35" t="s">
        <v>25</v>
      </c>
      <c r="G660" s="35" t="s">
        <v>25</v>
      </c>
      <c r="H660" s="35" t="s">
        <v>37</v>
      </c>
      <c r="I660" s="45">
        <v>44531</v>
      </c>
      <c r="J660" s="46">
        <f>EFEITO!$J$660*EFEITO!$Y$660</f>
        <v>0</v>
      </c>
      <c r="K660" s="46">
        <f ca="1">EFEITO!$L$660*EFEITO!$Z$660</f>
        <v>4338.2901695786541</v>
      </c>
      <c r="L660" s="46">
        <f>EFEITO!$N$660*EFEITO!$AA$660</f>
        <v>8363.8428739143001</v>
      </c>
      <c r="M660" s="46">
        <f>$J$660-EFEITO!$K$660*EFEITO!$Y$660</f>
        <v>0</v>
      </c>
      <c r="N660" s="46">
        <f ca="1">$K$660-EFEITO!$M$660*EFEITO!$Z$660</f>
        <v>0</v>
      </c>
      <c r="O660" s="46">
        <f>$L$660-EFEITO!$O$660*EFEITO!$AA$660</f>
        <v>0</v>
      </c>
      <c r="P660" s="38"/>
      <c r="Q660" s="38"/>
      <c r="R660" s="38"/>
      <c r="S660" s="38"/>
      <c r="T660" s="38"/>
      <c r="U660" s="38"/>
      <c r="V660" s="38"/>
      <c r="W660" s="38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</row>
    <row r="661" spans="1:36" ht="11.25" customHeight="1" x14ac:dyDescent="0.2">
      <c r="A661" s="35" t="s">
        <v>21</v>
      </c>
      <c r="B661" s="35" t="s">
        <v>41</v>
      </c>
      <c r="C661" s="35" t="s">
        <v>44</v>
      </c>
      <c r="D661" s="35" t="s">
        <v>40</v>
      </c>
      <c r="E661" s="35" t="s">
        <v>25</v>
      </c>
      <c r="F661" s="35" t="s">
        <v>25</v>
      </c>
      <c r="G661" s="35" t="s">
        <v>25</v>
      </c>
      <c r="H661" s="35" t="s">
        <v>37</v>
      </c>
      <c r="I661" s="45">
        <v>44562</v>
      </c>
      <c r="J661" s="46">
        <f>EFEITO!$J$661*EFEITO!$Y$661</f>
        <v>0</v>
      </c>
      <c r="K661" s="46">
        <f ca="1">EFEITO!$L$661*EFEITO!$Z$661</f>
        <v>167981.41753466311</v>
      </c>
      <c r="L661" s="46">
        <f>EFEITO!$N$661*EFEITO!$AA$661</f>
        <v>323853.43697140686</v>
      </c>
      <c r="M661" s="46">
        <f>$J$661-EFEITO!$K$661*EFEITO!$Y$661</f>
        <v>0</v>
      </c>
      <c r="N661" s="46">
        <f ca="1">$K$661-EFEITO!$M$661*EFEITO!$Z$661</f>
        <v>0</v>
      </c>
      <c r="O661" s="46">
        <f>$L$661-EFEITO!$O$661*EFEITO!$AA$661</f>
        <v>0</v>
      </c>
      <c r="P661" s="38"/>
      <c r="Q661" s="38"/>
      <c r="R661" s="38"/>
      <c r="S661" s="38"/>
      <c r="T661" s="38"/>
      <c r="U661" s="38"/>
      <c r="V661" s="38"/>
      <c r="W661" s="38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</row>
    <row r="662" spans="1:36" ht="11.25" customHeight="1" x14ac:dyDescent="0.2">
      <c r="A662" s="35" t="s">
        <v>27</v>
      </c>
      <c r="B662" s="35" t="s">
        <v>41</v>
      </c>
      <c r="C662" s="35" t="s">
        <v>44</v>
      </c>
      <c r="D662" s="35" t="s">
        <v>40</v>
      </c>
      <c r="E662" s="35" t="s">
        <v>25</v>
      </c>
      <c r="F662" s="35" t="s">
        <v>25</v>
      </c>
      <c r="G662" s="35" t="s">
        <v>25</v>
      </c>
      <c r="H662" s="35" t="s">
        <v>37</v>
      </c>
      <c r="I662" s="45">
        <v>44562</v>
      </c>
      <c r="J662" s="46">
        <f>EFEITO!$J$662*EFEITO!$Y$662</f>
        <v>0</v>
      </c>
      <c r="K662" s="46">
        <f ca="1">EFEITO!$L$662*EFEITO!$Z$662</f>
        <v>-5032.942917539217</v>
      </c>
      <c r="L662" s="46">
        <f>EFEITO!$N$662*EFEITO!$AA$662</f>
        <v>-9703.0724341258556</v>
      </c>
      <c r="M662" s="46">
        <f>$J$662-EFEITO!$K$662*EFEITO!$Y$662</f>
        <v>0</v>
      </c>
      <c r="N662" s="46">
        <f ca="1">$K$662-EFEITO!$M$662*EFEITO!$Z$662</f>
        <v>0</v>
      </c>
      <c r="O662" s="46">
        <f>$L$662-EFEITO!$O$662*EFEITO!$AA$662</f>
        <v>0</v>
      </c>
      <c r="P662" s="38"/>
      <c r="Q662" s="38"/>
      <c r="R662" s="38"/>
      <c r="S662" s="38"/>
      <c r="T662" s="38"/>
      <c r="U662" s="38"/>
      <c r="V662" s="38"/>
      <c r="W662" s="38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</row>
    <row r="663" spans="1:36" ht="11.25" customHeight="1" x14ac:dyDescent="0.2">
      <c r="A663" s="35" t="s">
        <v>28</v>
      </c>
      <c r="B663" s="35" t="s">
        <v>41</v>
      </c>
      <c r="C663" s="35" t="s">
        <v>44</v>
      </c>
      <c r="D663" s="35" t="s">
        <v>40</v>
      </c>
      <c r="E663" s="35" t="s">
        <v>25</v>
      </c>
      <c r="F663" s="35" t="s">
        <v>25</v>
      </c>
      <c r="G663" s="35" t="s">
        <v>25</v>
      </c>
      <c r="H663" s="35" t="s">
        <v>37</v>
      </c>
      <c r="I663" s="45">
        <v>44562</v>
      </c>
      <c r="J663" s="46">
        <f>EFEITO!$J$663*EFEITO!$Y$663</f>
        <v>0</v>
      </c>
      <c r="K663" s="46">
        <f ca="1">EFEITO!$L$663*EFEITO!$Z$663</f>
        <v>22960.519258112537</v>
      </c>
      <c r="L663" s="46">
        <f>EFEITO!$N$663*EFEITO!$AA$663</f>
        <v>44265.866936463543</v>
      </c>
      <c r="M663" s="46">
        <f>$J$663-EFEITO!$K$663*EFEITO!$Y$663</f>
        <v>0</v>
      </c>
      <c r="N663" s="46">
        <f ca="1">$K$663-EFEITO!$M$663*EFEITO!$Z$663</f>
        <v>0</v>
      </c>
      <c r="O663" s="46">
        <f>$L$663-EFEITO!$O$663*EFEITO!$AA$663</f>
        <v>0</v>
      </c>
      <c r="P663" s="38"/>
      <c r="Q663" s="38"/>
      <c r="R663" s="38"/>
      <c r="S663" s="38"/>
      <c r="T663" s="38"/>
      <c r="U663" s="38"/>
      <c r="V663" s="38"/>
      <c r="W663" s="38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</row>
    <row r="664" spans="1:36" ht="11.25" customHeight="1" x14ac:dyDescent="0.2">
      <c r="A664" s="35" t="s">
        <v>29</v>
      </c>
      <c r="B664" s="35" t="s">
        <v>41</v>
      </c>
      <c r="C664" s="35" t="s">
        <v>44</v>
      </c>
      <c r="D664" s="35" t="s">
        <v>40</v>
      </c>
      <c r="E664" s="35" t="s">
        <v>25</v>
      </c>
      <c r="F664" s="35" t="s">
        <v>25</v>
      </c>
      <c r="G664" s="35" t="s">
        <v>25</v>
      </c>
      <c r="H664" s="35" t="s">
        <v>37</v>
      </c>
      <c r="I664" s="45">
        <v>44562</v>
      </c>
      <c r="J664" s="46">
        <f>EFEITO!$J$664*EFEITO!$Y$664</f>
        <v>0</v>
      </c>
      <c r="K664" s="46">
        <f ca="1">EFEITO!$L$664*EFEITO!$Z$664</f>
        <v>-4160.6568901360934</v>
      </c>
      <c r="L664" s="46">
        <f>EFEITO!$N$664*EFEITO!$AA$664</f>
        <v>-8021.3814938863279</v>
      </c>
      <c r="M664" s="46">
        <f>$J$664-EFEITO!$K$664*EFEITO!$Y$664</f>
        <v>0</v>
      </c>
      <c r="N664" s="46">
        <f ca="1">$K$664-EFEITO!$M$664*EFEITO!$Z$664</f>
        <v>0</v>
      </c>
      <c r="O664" s="46">
        <f>$L$664-EFEITO!$O$664*EFEITO!$AA$664</f>
        <v>0</v>
      </c>
      <c r="P664" s="38"/>
      <c r="Q664" s="38"/>
      <c r="R664" s="38"/>
      <c r="S664" s="38"/>
      <c r="T664" s="38"/>
      <c r="U664" s="38"/>
      <c r="V664" s="38"/>
      <c r="W664" s="38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</row>
    <row r="665" spans="1:36" ht="11.25" customHeight="1" x14ac:dyDescent="0.2">
      <c r="A665" s="35" t="s">
        <v>30</v>
      </c>
      <c r="B665" s="35" t="s">
        <v>41</v>
      </c>
      <c r="C665" s="35" t="s">
        <v>44</v>
      </c>
      <c r="D665" s="35" t="s">
        <v>40</v>
      </c>
      <c r="E665" s="35" t="s">
        <v>25</v>
      </c>
      <c r="F665" s="35" t="s">
        <v>25</v>
      </c>
      <c r="G665" s="35" t="s">
        <v>25</v>
      </c>
      <c r="H665" s="35" t="s">
        <v>37</v>
      </c>
      <c r="I665" s="45">
        <v>44562</v>
      </c>
      <c r="J665" s="46">
        <f>EFEITO!$J$665*EFEITO!$Y$665</f>
        <v>0</v>
      </c>
      <c r="K665" s="46">
        <f ca="1">EFEITO!$L$665*EFEITO!$Z$665</f>
        <v>3098.2601498685185</v>
      </c>
      <c r="L665" s="46">
        <f>EFEITO!$N$665*EFEITO!$AA$665</f>
        <v>5973.1737765542848</v>
      </c>
      <c r="M665" s="46">
        <f>$J$665-EFEITO!$K$665*EFEITO!$Y$665</f>
        <v>0</v>
      </c>
      <c r="N665" s="46">
        <f ca="1">$K$665-EFEITO!$M$665*EFEITO!$Z$665</f>
        <v>0</v>
      </c>
      <c r="O665" s="46">
        <f>$L$665-EFEITO!$O$665*EFEITO!$AA$665</f>
        <v>0</v>
      </c>
      <c r="P665" s="38"/>
      <c r="Q665" s="38"/>
      <c r="R665" s="38"/>
      <c r="S665" s="38"/>
      <c r="T665" s="38"/>
      <c r="U665" s="38"/>
      <c r="V665" s="38"/>
      <c r="W665" s="38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</row>
    <row r="666" spans="1:36" ht="11.25" customHeight="1" x14ac:dyDescent="0.2">
      <c r="A666" s="35" t="s">
        <v>21</v>
      </c>
      <c r="B666" s="35" t="s">
        <v>41</v>
      </c>
      <c r="C666" s="35" t="s">
        <v>44</v>
      </c>
      <c r="D666" s="35" t="s">
        <v>40</v>
      </c>
      <c r="E666" s="35" t="s">
        <v>25</v>
      </c>
      <c r="F666" s="35" t="s">
        <v>25</v>
      </c>
      <c r="G666" s="35" t="s">
        <v>25</v>
      </c>
      <c r="H666" s="35" t="s">
        <v>37</v>
      </c>
      <c r="I666" s="45">
        <v>44593</v>
      </c>
      <c r="J666" s="46">
        <f>EFEITO!$J$666*EFEITO!$Y$666</f>
        <v>0</v>
      </c>
      <c r="K666" s="46">
        <f ca="1">EFEITO!$L$666*EFEITO!$Z$666</f>
        <v>173740.09335250469</v>
      </c>
      <c r="L666" s="46">
        <f>EFEITO!$N$666*EFEITO!$AA$666</f>
        <v>334955.65877297777</v>
      </c>
      <c r="M666" s="46">
        <f>$J$666-EFEITO!$K$666*EFEITO!$Y$666</f>
        <v>0</v>
      </c>
      <c r="N666" s="46">
        <f ca="1">$K$666-EFEITO!$M$666*EFEITO!$Z$666</f>
        <v>0</v>
      </c>
      <c r="O666" s="46">
        <f>$L$666-EFEITO!$O$666*EFEITO!$AA$666</f>
        <v>0</v>
      </c>
      <c r="P666" s="38"/>
      <c r="Q666" s="38"/>
      <c r="R666" s="38"/>
      <c r="S666" s="38"/>
      <c r="T666" s="38"/>
      <c r="U666" s="38"/>
      <c r="V666" s="38"/>
      <c r="W666" s="38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</row>
    <row r="667" spans="1:36" ht="11.25" customHeight="1" x14ac:dyDescent="0.2">
      <c r="A667" s="35" t="s">
        <v>27</v>
      </c>
      <c r="B667" s="35" t="s">
        <v>41</v>
      </c>
      <c r="C667" s="35" t="s">
        <v>44</v>
      </c>
      <c r="D667" s="35" t="s">
        <v>40</v>
      </c>
      <c r="E667" s="35" t="s">
        <v>25</v>
      </c>
      <c r="F667" s="35" t="s">
        <v>25</v>
      </c>
      <c r="G667" s="35" t="s">
        <v>25</v>
      </c>
      <c r="H667" s="35" t="s">
        <v>37</v>
      </c>
      <c r="I667" s="45">
        <v>44593</v>
      </c>
      <c r="J667" s="46">
        <f>EFEITO!$J$667*EFEITO!$Y$667</f>
        <v>0</v>
      </c>
      <c r="K667" s="46">
        <f ca="1">EFEITO!$L$667*EFEITO!$Z$667</f>
        <v>-5038.3876157596787</v>
      </c>
      <c r="L667" s="46">
        <f>EFEITO!$N$667*EFEITO!$AA$667</f>
        <v>-9713.5693346631106</v>
      </c>
      <c r="M667" s="46">
        <f>$J$667-EFEITO!$K$667*EFEITO!$Y$667</f>
        <v>0</v>
      </c>
      <c r="N667" s="46">
        <f ca="1">$K$667-EFEITO!$M$667*EFEITO!$Z$667</f>
        <v>0</v>
      </c>
      <c r="O667" s="46">
        <f>$L$667-EFEITO!$O$667*EFEITO!$AA$667</f>
        <v>0</v>
      </c>
      <c r="P667" s="38"/>
      <c r="Q667" s="38"/>
      <c r="R667" s="38"/>
      <c r="S667" s="38"/>
      <c r="T667" s="38"/>
      <c r="U667" s="38"/>
      <c r="V667" s="38"/>
      <c r="W667" s="38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</row>
    <row r="668" spans="1:36" ht="11.25" customHeight="1" x14ac:dyDescent="0.2">
      <c r="A668" s="35" t="s">
        <v>28</v>
      </c>
      <c r="B668" s="35" t="s">
        <v>41</v>
      </c>
      <c r="C668" s="35" t="s">
        <v>44</v>
      </c>
      <c r="D668" s="35" t="s">
        <v>40</v>
      </c>
      <c r="E668" s="35" t="s">
        <v>25</v>
      </c>
      <c r="F668" s="35" t="s">
        <v>25</v>
      </c>
      <c r="G668" s="35" t="s">
        <v>25</v>
      </c>
      <c r="H668" s="35" t="s">
        <v>37</v>
      </c>
      <c r="I668" s="45">
        <v>44593</v>
      </c>
      <c r="J668" s="46">
        <f>EFEITO!$J$668*EFEITO!$Y$668</f>
        <v>0</v>
      </c>
      <c r="K668" s="46">
        <f ca="1">EFEITO!$L$668*EFEITO!$Z$668</f>
        <v>20482.160686886156</v>
      </c>
      <c r="L668" s="46">
        <f>EFEITO!$N$668*EFEITO!$AA$668</f>
        <v>39487.809023161404</v>
      </c>
      <c r="M668" s="46">
        <f>$J$668-EFEITO!$K$668*EFEITO!$Y$668</f>
        <v>0</v>
      </c>
      <c r="N668" s="46">
        <f ca="1">$K$668-EFEITO!$M$668*EFEITO!$Z$668</f>
        <v>0</v>
      </c>
      <c r="O668" s="46">
        <f>$L$668-EFEITO!$O$668*EFEITO!$AA$668</f>
        <v>0</v>
      </c>
      <c r="P668" s="38"/>
      <c r="Q668" s="38"/>
      <c r="R668" s="38"/>
      <c r="S668" s="38"/>
      <c r="T668" s="38"/>
      <c r="U668" s="38"/>
      <c r="V668" s="38"/>
      <c r="W668" s="38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</row>
    <row r="669" spans="1:36" ht="11.25" customHeight="1" x14ac:dyDescent="0.2">
      <c r="A669" s="35" t="s">
        <v>30</v>
      </c>
      <c r="B669" s="35" t="s">
        <v>41</v>
      </c>
      <c r="C669" s="35" t="s">
        <v>44</v>
      </c>
      <c r="D669" s="35" t="s">
        <v>40</v>
      </c>
      <c r="E669" s="35" t="s">
        <v>25</v>
      </c>
      <c r="F669" s="35" t="s">
        <v>25</v>
      </c>
      <c r="G669" s="35" t="s">
        <v>25</v>
      </c>
      <c r="H669" s="35" t="s">
        <v>37</v>
      </c>
      <c r="I669" s="45">
        <v>44593</v>
      </c>
      <c r="J669" s="46">
        <f>EFEITO!$J$669*EFEITO!$Y$669</f>
        <v>0</v>
      </c>
      <c r="K669" s="46">
        <f ca="1">EFEITO!$L$669*EFEITO!$Z$669</f>
        <v>2276.2241497917394</v>
      </c>
      <c r="L669" s="46">
        <f>EFEITO!$N$669*EFEITO!$AA$669</f>
        <v>4388.3604808565142</v>
      </c>
      <c r="M669" s="46">
        <f>$J$669-EFEITO!$K$669*EFEITO!$Y$669</f>
        <v>0</v>
      </c>
      <c r="N669" s="46">
        <f ca="1">$K$669-EFEITO!$M$669*EFEITO!$Z$669</f>
        <v>0</v>
      </c>
      <c r="O669" s="46">
        <f>$L$669-EFEITO!$O$669*EFEITO!$AA$669</f>
        <v>0</v>
      </c>
      <c r="P669" s="38"/>
      <c r="Q669" s="38"/>
      <c r="R669" s="38"/>
      <c r="S669" s="38"/>
      <c r="T669" s="38"/>
      <c r="U669" s="38"/>
      <c r="V669" s="38"/>
      <c r="W669" s="38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</row>
    <row r="670" spans="1:36" ht="11.25" customHeight="1" x14ac:dyDescent="0.2">
      <c r="A670" s="35" t="s">
        <v>21</v>
      </c>
      <c r="B670" s="35" t="s">
        <v>41</v>
      </c>
      <c r="C670" s="35" t="s">
        <v>44</v>
      </c>
      <c r="D670" s="35" t="s">
        <v>40</v>
      </c>
      <c r="E670" s="35" t="s">
        <v>25</v>
      </c>
      <c r="F670" s="35" t="s">
        <v>25</v>
      </c>
      <c r="G670" s="35" t="s">
        <v>25</v>
      </c>
      <c r="H670" s="35" t="s">
        <v>37</v>
      </c>
      <c r="I670" s="45">
        <v>44621</v>
      </c>
      <c r="J670" s="46">
        <f>EFEITO!$J$670*EFEITO!$Y$670</f>
        <v>0</v>
      </c>
      <c r="K670" s="46">
        <f ca="1">EFEITO!$L$670*EFEITO!$Z$670</f>
        <v>190181.83423495659</v>
      </c>
      <c r="L670" s="46">
        <f>EFEITO!$N$670*EFEITO!$AA$670</f>
        <v>366653.89285578387</v>
      </c>
      <c r="M670" s="46">
        <f>$J$670-EFEITO!$K$670*EFEITO!$Y$670</f>
        <v>0</v>
      </c>
      <c r="N670" s="46">
        <f ca="1">$K$670-EFEITO!$M$670*EFEITO!$Z$670</f>
        <v>0</v>
      </c>
      <c r="O670" s="46">
        <f>$L$670-EFEITO!$O$670*EFEITO!$AA$670</f>
        <v>0</v>
      </c>
      <c r="P670" s="38"/>
      <c r="Q670" s="38"/>
      <c r="R670" s="38"/>
      <c r="S670" s="38"/>
      <c r="T670" s="38"/>
      <c r="U670" s="38"/>
      <c r="V670" s="38"/>
      <c r="W670" s="38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</row>
    <row r="671" spans="1:36" ht="11.25" customHeight="1" x14ac:dyDescent="0.2">
      <c r="A671" s="35" t="s">
        <v>27</v>
      </c>
      <c r="B671" s="35" t="s">
        <v>41</v>
      </c>
      <c r="C671" s="35" t="s">
        <v>44</v>
      </c>
      <c r="D671" s="35" t="s">
        <v>40</v>
      </c>
      <c r="E671" s="35" t="s">
        <v>25</v>
      </c>
      <c r="F671" s="35" t="s">
        <v>25</v>
      </c>
      <c r="G671" s="35" t="s">
        <v>25</v>
      </c>
      <c r="H671" s="35" t="s">
        <v>37</v>
      </c>
      <c r="I671" s="45">
        <v>44621</v>
      </c>
      <c r="J671" s="46">
        <f>EFEITO!$J$671*EFEITO!$Y$671</f>
        <v>0</v>
      </c>
      <c r="K671" s="46">
        <f ca="1">EFEITO!$L$671*EFEITO!$Z$671</f>
        <v>-6889.2447170778532</v>
      </c>
      <c r="L671" s="46">
        <f>EFEITO!$N$671*EFEITO!$AA$671</f>
        <v>-13281.859461046513</v>
      </c>
      <c r="M671" s="46">
        <f>$J$671-EFEITO!$K$671*EFEITO!$Y$671</f>
        <v>0</v>
      </c>
      <c r="N671" s="46">
        <f ca="1">$K$671-EFEITO!$M$671*EFEITO!$Z$671</f>
        <v>0</v>
      </c>
      <c r="O671" s="46">
        <f>$L$671-EFEITO!$O$671*EFEITO!$AA$671</f>
        <v>0</v>
      </c>
      <c r="P671" s="38"/>
      <c r="Q671" s="38"/>
      <c r="R671" s="38"/>
      <c r="S671" s="38"/>
      <c r="T671" s="38"/>
      <c r="U671" s="38"/>
      <c r="V671" s="38"/>
      <c r="W671" s="38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</row>
    <row r="672" spans="1:36" ht="11.25" customHeight="1" x14ac:dyDescent="0.2">
      <c r="A672" s="35" t="s">
        <v>28</v>
      </c>
      <c r="B672" s="35" t="s">
        <v>41</v>
      </c>
      <c r="C672" s="35" t="s">
        <v>44</v>
      </c>
      <c r="D672" s="35" t="s">
        <v>40</v>
      </c>
      <c r="E672" s="35" t="s">
        <v>25</v>
      </c>
      <c r="F672" s="35" t="s">
        <v>25</v>
      </c>
      <c r="G672" s="35" t="s">
        <v>25</v>
      </c>
      <c r="H672" s="35" t="s">
        <v>37</v>
      </c>
      <c r="I672" s="45">
        <v>44621</v>
      </c>
      <c r="J672" s="46">
        <f>EFEITO!$J$672*EFEITO!$Y$672</f>
        <v>0</v>
      </c>
      <c r="K672" s="46">
        <f ca="1">EFEITO!$L$672*EFEITO!$Z$672</f>
        <v>21832.559276773569</v>
      </c>
      <c r="L672" s="46">
        <f>EFEITO!$N$672*EFEITO!$AA$672</f>
        <v>42091.259041828707</v>
      </c>
      <c r="M672" s="46">
        <f>$J$672-EFEITO!$K$672*EFEITO!$Y$672</f>
        <v>0</v>
      </c>
      <c r="N672" s="46">
        <f ca="1">$K$672-EFEITO!$M$672*EFEITO!$Z$672</f>
        <v>0</v>
      </c>
      <c r="O672" s="46">
        <f>$L$672-EFEITO!$O$672*EFEITO!$AA$672</f>
        <v>0</v>
      </c>
      <c r="P672" s="38"/>
      <c r="Q672" s="38"/>
      <c r="R672" s="38"/>
      <c r="S672" s="38"/>
      <c r="T672" s="38"/>
      <c r="U672" s="38"/>
      <c r="V672" s="38"/>
      <c r="W672" s="38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</row>
    <row r="673" spans="1:36" ht="11.25" customHeight="1" x14ac:dyDescent="0.2">
      <c r="A673" s="35" t="s">
        <v>30</v>
      </c>
      <c r="B673" s="35" t="s">
        <v>41</v>
      </c>
      <c r="C673" s="35" t="s">
        <v>44</v>
      </c>
      <c r="D673" s="35" t="s">
        <v>40</v>
      </c>
      <c r="E673" s="35" t="s">
        <v>25</v>
      </c>
      <c r="F673" s="35" t="s">
        <v>25</v>
      </c>
      <c r="G673" s="35" t="s">
        <v>25</v>
      </c>
      <c r="H673" s="35" t="s">
        <v>37</v>
      </c>
      <c r="I673" s="45">
        <v>44621</v>
      </c>
      <c r="J673" s="46">
        <f>EFEITO!$J$673*EFEITO!$Y$673</f>
        <v>0</v>
      </c>
      <c r="K673" s="46">
        <f ca="1">EFEITO!$L$673*EFEITO!$Z$673</f>
        <v>3867.096911082871</v>
      </c>
      <c r="L673" s="46">
        <f>EFEITO!$N$673*EFEITO!$AA$673</f>
        <v>7455.4236065859513</v>
      </c>
      <c r="M673" s="46">
        <f>$J$673-EFEITO!$K$673*EFEITO!$Y$673</f>
        <v>0</v>
      </c>
      <c r="N673" s="46">
        <f ca="1">$K$673-EFEITO!$M$673*EFEITO!$Z$673</f>
        <v>0</v>
      </c>
      <c r="O673" s="46">
        <f>$L$673-EFEITO!$O$673*EFEITO!$AA$673</f>
        <v>0</v>
      </c>
      <c r="P673" s="38"/>
      <c r="Q673" s="38"/>
      <c r="R673" s="38"/>
      <c r="S673" s="38"/>
      <c r="T673" s="38"/>
      <c r="U673" s="38"/>
      <c r="V673" s="38"/>
      <c r="W673" s="38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</row>
    <row r="674" spans="1:36" ht="11.25" customHeight="1" x14ac:dyDescent="0.2">
      <c r="A674" s="35" t="s">
        <v>21</v>
      </c>
      <c r="B674" s="35" t="s">
        <v>41</v>
      </c>
      <c r="C674" s="35" t="s">
        <v>44</v>
      </c>
      <c r="D674" s="35" t="s">
        <v>40</v>
      </c>
      <c r="E674" s="35" t="s">
        <v>25</v>
      </c>
      <c r="F674" s="35" t="s">
        <v>25</v>
      </c>
      <c r="G674" s="35" t="s">
        <v>25</v>
      </c>
      <c r="H674" s="35" t="s">
        <v>37</v>
      </c>
      <c r="I674" s="45">
        <v>44652</v>
      </c>
      <c r="J674" s="46">
        <f>EFEITO!$J$674*EFEITO!$Y$674</f>
        <v>0</v>
      </c>
      <c r="K674" s="46">
        <f ca="1">EFEITO!$L$674*EFEITO!$Z$674</f>
        <v>170446.39122276418</v>
      </c>
      <c r="L674" s="46">
        <f>EFEITO!$N$674*EFEITO!$AA$674</f>
        <v>328605.69000422157</v>
      </c>
      <c r="M674" s="46">
        <f>$J$674-EFEITO!$K$674*EFEITO!$Y$674</f>
        <v>0</v>
      </c>
      <c r="N674" s="46">
        <f ca="1">$K$674-EFEITO!$M$674*EFEITO!$Z$674</f>
        <v>0</v>
      </c>
      <c r="O674" s="46">
        <f>$L$674-EFEITO!$O$674*EFEITO!$AA$674</f>
        <v>0</v>
      </c>
      <c r="P674" s="38"/>
      <c r="Q674" s="38"/>
      <c r="R674" s="38"/>
      <c r="S674" s="38"/>
      <c r="T674" s="38"/>
      <c r="U674" s="38"/>
      <c r="V674" s="38"/>
      <c r="W674" s="38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</row>
    <row r="675" spans="1:36" ht="11.25" customHeight="1" x14ac:dyDescent="0.2">
      <c r="A675" s="35" t="s">
        <v>28</v>
      </c>
      <c r="B675" s="35" t="s">
        <v>41</v>
      </c>
      <c r="C675" s="35" t="s">
        <v>44</v>
      </c>
      <c r="D675" s="35" t="s">
        <v>40</v>
      </c>
      <c r="E675" s="35" t="s">
        <v>25</v>
      </c>
      <c r="F675" s="35" t="s">
        <v>25</v>
      </c>
      <c r="G675" s="35" t="s">
        <v>25</v>
      </c>
      <c r="H675" s="35" t="s">
        <v>37</v>
      </c>
      <c r="I675" s="45">
        <v>44652</v>
      </c>
      <c r="J675" s="46">
        <f>EFEITO!$J$675*EFEITO!$Y$675</f>
        <v>0</v>
      </c>
      <c r="K675" s="46">
        <f ca="1">EFEITO!$L$675*EFEITO!$Z$675</f>
        <v>25106.184081826123</v>
      </c>
      <c r="L675" s="46">
        <f>EFEITO!$N$675*EFEITO!$AA$675</f>
        <v>48402.520489853778</v>
      </c>
      <c r="M675" s="46">
        <f>$J$675-EFEITO!$K$675*EFEITO!$Y$675</f>
        <v>0</v>
      </c>
      <c r="N675" s="46">
        <f ca="1">$K$675-EFEITO!$M$675*EFEITO!$Z$675</f>
        <v>0</v>
      </c>
      <c r="O675" s="46">
        <f>$L$675-EFEITO!$O$675*EFEITO!$AA$675</f>
        <v>0</v>
      </c>
      <c r="P675" s="38"/>
      <c r="Q675" s="38"/>
      <c r="R675" s="38"/>
      <c r="S675" s="38"/>
      <c r="T675" s="38"/>
      <c r="U675" s="38"/>
      <c r="V675" s="38"/>
      <c r="W675" s="38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</row>
    <row r="676" spans="1:36" ht="11.25" customHeight="1" x14ac:dyDescent="0.2">
      <c r="A676" s="35" t="s">
        <v>30</v>
      </c>
      <c r="B676" s="35" t="s">
        <v>41</v>
      </c>
      <c r="C676" s="35" t="s">
        <v>44</v>
      </c>
      <c r="D676" s="35" t="s">
        <v>40</v>
      </c>
      <c r="E676" s="35" t="s">
        <v>25</v>
      </c>
      <c r="F676" s="35" t="s">
        <v>25</v>
      </c>
      <c r="G676" s="35" t="s">
        <v>25</v>
      </c>
      <c r="H676" s="35" t="s">
        <v>37</v>
      </c>
      <c r="I676" s="45">
        <v>44652</v>
      </c>
      <c r="J676" s="46">
        <f>EFEITO!$J$676*EFEITO!$Y$676</f>
        <v>0</v>
      </c>
      <c r="K676" s="46">
        <f ca="1">EFEITO!$L$676*EFEITO!$Z$676</f>
        <v>3925.6274169528328</v>
      </c>
      <c r="L676" s="46">
        <f>EFEITO!$N$676*EFEITO!$AA$676</f>
        <v>7568.2652873614506</v>
      </c>
      <c r="M676" s="46">
        <f>$J$676-EFEITO!$K$676*EFEITO!$Y$676</f>
        <v>0</v>
      </c>
      <c r="N676" s="46">
        <f ca="1">$K$676-EFEITO!$M$676*EFEITO!$Z$676</f>
        <v>0</v>
      </c>
      <c r="O676" s="46">
        <f>$L$676-EFEITO!$O$676*EFEITO!$AA$676</f>
        <v>0</v>
      </c>
      <c r="P676" s="38"/>
      <c r="Q676" s="38"/>
      <c r="R676" s="38"/>
      <c r="S676" s="38"/>
      <c r="T676" s="38"/>
      <c r="U676" s="38"/>
      <c r="V676" s="38"/>
      <c r="W676" s="38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</row>
    <row r="677" spans="1:36" ht="11.25" customHeight="1" x14ac:dyDescent="0.2">
      <c r="A677" s="35" t="s">
        <v>21</v>
      </c>
      <c r="B677" s="35" t="s">
        <v>41</v>
      </c>
      <c r="C677" s="35" t="s">
        <v>44</v>
      </c>
      <c r="D677" s="35" t="s">
        <v>40</v>
      </c>
      <c r="E677" s="35" t="s">
        <v>25</v>
      </c>
      <c r="F677" s="35" t="s">
        <v>25</v>
      </c>
      <c r="G677" s="35" t="s">
        <v>25</v>
      </c>
      <c r="H677" s="35" t="s">
        <v>37</v>
      </c>
      <c r="I677" s="45">
        <v>44682</v>
      </c>
      <c r="J677" s="46">
        <f>EFEITO!$J$677*EFEITO!$Y$677</f>
        <v>0</v>
      </c>
      <c r="K677" s="46">
        <f ca="1">EFEITO!$L$677*EFEITO!$Z$677</f>
        <v>177419.12131255577</v>
      </c>
      <c r="L677" s="46">
        <f>EFEITO!$N$677*EFEITO!$AA$677</f>
        <v>342048.50194017263</v>
      </c>
      <c r="M677" s="46">
        <f>$J$677-EFEITO!$K$677*EFEITO!$Y$677</f>
        <v>0</v>
      </c>
      <c r="N677" s="46">
        <f ca="1">$K$677-EFEITO!$M$677*EFEITO!$Z$677</f>
        <v>0</v>
      </c>
      <c r="O677" s="46">
        <f>$L$677-EFEITO!$O$677*EFEITO!$AA$677</f>
        <v>0</v>
      </c>
      <c r="P677" s="38"/>
      <c r="Q677" s="38"/>
      <c r="R677" s="38"/>
      <c r="S677" s="38"/>
      <c r="T677" s="38"/>
      <c r="U677" s="38"/>
      <c r="V677" s="38"/>
      <c r="W677" s="38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</row>
    <row r="678" spans="1:36" ht="11.25" customHeight="1" x14ac:dyDescent="0.2">
      <c r="A678" s="35" t="s">
        <v>28</v>
      </c>
      <c r="B678" s="35" t="s">
        <v>41</v>
      </c>
      <c r="C678" s="35" t="s">
        <v>44</v>
      </c>
      <c r="D678" s="35" t="s">
        <v>40</v>
      </c>
      <c r="E678" s="35" t="s">
        <v>25</v>
      </c>
      <c r="F678" s="35" t="s">
        <v>25</v>
      </c>
      <c r="G678" s="35" t="s">
        <v>25</v>
      </c>
      <c r="H678" s="35" t="s">
        <v>37</v>
      </c>
      <c r="I678" s="45">
        <v>44682</v>
      </c>
      <c r="J678" s="46">
        <f>EFEITO!$J$678*EFEITO!$Y$678</f>
        <v>0</v>
      </c>
      <c r="K678" s="46">
        <f ca="1">EFEITO!$L$678*EFEITO!$Z$678</f>
        <v>24154.382774161673</v>
      </c>
      <c r="L678" s="46">
        <f>EFEITO!$N$678*EFEITO!$AA$678</f>
        <v>46567.531064684743</v>
      </c>
      <c r="M678" s="46">
        <f>$J$678-EFEITO!$K$678*EFEITO!$Y$678</f>
        <v>0</v>
      </c>
      <c r="N678" s="46">
        <f ca="1">$K$678-EFEITO!$M$678*EFEITO!$Z$678</f>
        <v>0</v>
      </c>
      <c r="O678" s="46">
        <f>$L$678-EFEITO!$O$678*EFEITO!$AA$678</f>
        <v>0</v>
      </c>
      <c r="P678" s="38"/>
      <c r="Q678" s="38"/>
      <c r="R678" s="38"/>
      <c r="S678" s="38"/>
      <c r="T678" s="38"/>
      <c r="U678" s="38"/>
      <c r="V678" s="38"/>
      <c r="W678" s="38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</row>
    <row r="679" spans="1:36" ht="11.25" customHeight="1" x14ac:dyDescent="0.2">
      <c r="A679" s="35" t="s">
        <v>30</v>
      </c>
      <c r="B679" s="35" t="s">
        <v>41</v>
      </c>
      <c r="C679" s="35" t="s">
        <v>44</v>
      </c>
      <c r="D679" s="35" t="s">
        <v>40</v>
      </c>
      <c r="E679" s="35" t="s">
        <v>25</v>
      </c>
      <c r="F679" s="35" t="s">
        <v>25</v>
      </c>
      <c r="G679" s="35" t="s">
        <v>25</v>
      </c>
      <c r="H679" s="35" t="s">
        <v>37</v>
      </c>
      <c r="I679" s="45">
        <v>44682</v>
      </c>
      <c r="J679" s="46">
        <f>EFEITO!$J$679*EFEITO!$Y$679</f>
        <v>0</v>
      </c>
      <c r="K679" s="46">
        <f ca="1">EFEITO!$L$679*EFEITO!$Z$679</f>
        <v>4499.7027855727556</v>
      </c>
      <c r="L679" s="46">
        <f>EFEITO!$N$679*EFEITO!$AA$679</f>
        <v>8675.0322377583616</v>
      </c>
      <c r="M679" s="46">
        <f>$J$679-EFEITO!$K$679*EFEITO!$Y$679</f>
        <v>0</v>
      </c>
      <c r="N679" s="46">
        <f ca="1">$K$679-EFEITO!$M$679*EFEITO!$Z$679</f>
        <v>0</v>
      </c>
      <c r="O679" s="46">
        <f>$L$679-EFEITO!$O$679*EFEITO!$AA$679</f>
        <v>0</v>
      </c>
      <c r="P679" s="38"/>
      <c r="Q679" s="38"/>
      <c r="R679" s="38"/>
      <c r="S679" s="38"/>
      <c r="T679" s="38"/>
      <c r="U679" s="38"/>
      <c r="V679" s="38"/>
      <c r="W679" s="38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</row>
    <row r="680" spans="1:36" ht="11.25" customHeight="1" x14ac:dyDescent="0.2">
      <c r="A680" s="35" t="s">
        <v>21</v>
      </c>
      <c r="B680" s="35" t="s">
        <v>41</v>
      </c>
      <c r="C680" s="35" t="s">
        <v>44</v>
      </c>
      <c r="D680" s="35" t="s">
        <v>40</v>
      </c>
      <c r="E680" s="35" t="s">
        <v>25</v>
      </c>
      <c r="F680" s="35" t="s">
        <v>25</v>
      </c>
      <c r="G680" s="35" t="s">
        <v>25</v>
      </c>
      <c r="H680" s="35" t="s">
        <v>37</v>
      </c>
      <c r="I680" s="45">
        <v>44713</v>
      </c>
      <c r="J680" s="46">
        <f>EFEITO!$J$680*EFEITO!$Y$680</f>
        <v>0</v>
      </c>
      <c r="K680" s="46">
        <f ca="1">EFEITO!$L$680*EFEITO!$Z$680</f>
        <v>185381.76559755503</v>
      </c>
      <c r="L680" s="46">
        <f>EFEITO!$N$680*EFEITO!$AA$680</f>
        <v>357399.78160505358</v>
      </c>
      <c r="M680" s="46">
        <f>$J$680-EFEITO!$K$680*EFEITO!$Y$680</f>
        <v>0</v>
      </c>
      <c r="N680" s="46">
        <f ca="1">$K$680-EFEITO!$M$680*EFEITO!$Z$680</f>
        <v>0</v>
      </c>
      <c r="O680" s="46">
        <f>$L$680-EFEITO!$O$680*EFEITO!$AA$680</f>
        <v>0</v>
      </c>
      <c r="P680" s="38"/>
      <c r="Q680" s="38"/>
      <c r="R680" s="38"/>
      <c r="S680" s="38"/>
      <c r="T680" s="38"/>
      <c r="U680" s="38"/>
      <c r="V680" s="38"/>
      <c r="W680" s="38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</row>
    <row r="681" spans="1:36" ht="11.25" customHeight="1" x14ac:dyDescent="0.2">
      <c r="A681" s="35" t="s">
        <v>27</v>
      </c>
      <c r="B681" s="35" t="s">
        <v>41</v>
      </c>
      <c r="C681" s="35" t="s">
        <v>44</v>
      </c>
      <c r="D681" s="35" t="s">
        <v>40</v>
      </c>
      <c r="E681" s="35" t="s">
        <v>25</v>
      </c>
      <c r="F681" s="35" t="s">
        <v>25</v>
      </c>
      <c r="G681" s="35" t="s">
        <v>25</v>
      </c>
      <c r="H681" s="35" t="s">
        <v>37</v>
      </c>
      <c r="I681" s="45">
        <v>44713</v>
      </c>
      <c r="J681" s="46">
        <f>EFEITO!$J$681*EFEITO!$Y$681</f>
        <v>0</v>
      </c>
      <c r="K681" s="46">
        <f ca="1">EFEITO!$L$681*EFEITO!$Z$681</f>
        <v>-2413.8162110713215</v>
      </c>
      <c r="L681" s="46">
        <f>EFEITO!$N$681*EFEITO!$AA$681</f>
        <v>-4653.6259048500833</v>
      </c>
      <c r="M681" s="46">
        <f>$J$681-EFEITO!$K$681*EFEITO!$Y$681</f>
        <v>0</v>
      </c>
      <c r="N681" s="46">
        <f ca="1">$K$681-EFEITO!$M$681*EFEITO!$Z$681</f>
        <v>0</v>
      </c>
      <c r="O681" s="46">
        <f>$L$681-EFEITO!$O$681*EFEITO!$AA$681</f>
        <v>0</v>
      </c>
      <c r="P681" s="38"/>
      <c r="Q681" s="38"/>
      <c r="R681" s="38"/>
      <c r="S681" s="38"/>
      <c r="T681" s="38"/>
      <c r="U681" s="38"/>
      <c r="V681" s="38"/>
      <c r="W681" s="38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</row>
    <row r="682" spans="1:36" ht="11.25" customHeight="1" x14ac:dyDescent="0.2">
      <c r="A682" s="35" t="s">
        <v>28</v>
      </c>
      <c r="B682" s="35" t="s">
        <v>41</v>
      </c>
      <c r="C682" s="35" t="s">
        <v>44</v>
      </c>
      <c r="D682" s="35" t="s">
        <v>40</v>
      </c>
      <c r="E682" s="35" t="s">
        <v>25</v>
      </c>
      <c r="F682" s="35" t="s">
        <v>25</v>
      </c>
      <c r="G682" s="35" t="s">
        <v>25</v>
      </c>
      <c r="H682" s="35" t="s">
        <v>37</v>
      </c>
      <c r="I682" s="45">
        <v>44713</v>
      </c>
      <c r="J682" s="46">
        <f>EFEITO!$J$682*EFEITO!$Y$682</f>
        <v>0</v>
      </c>
      <c r="K682" s="46">
        <f ca="1">EFEITO!$L$682*EFEITO!$Z$682</f>
        <v>22515.07488495102</v>
      </c>
      <c r="L682" s="46">
        <f>EFEITO!$N$682*EFEITO!$AA$682</f>
        <v>43407.089261259302</v>
      </c>
      <c r="M682" s="46">
        <f>$J$682-EFEITO!$K$682*EFEITO!$Y$682</f>
        <v>0</v>
      </c>
      <c r="N682" s="46">
        <f ca="1">$K$682-EFEITO!$M$682*EFEITO!$Z$682</f>
        <v>0</v>
      </c>
      <c r="O682" s="46">
        <f>$L$682-EFEITO!$O$682*EFEITO!$AA$682</f>
        <v>0</v>
      </c>
      <c r="P682" s="38"/>
      <c r="Q682" s="38"/>
      <c r="R682" s="38"/>
      <c r="S682" s="38"/>
      <c r="T682" s="38"/>
      <c r="U682" s="38"/>
      <c r="V682" s="38"/>
      <c r="W682" s="38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</row>
    <row r="683" spans="1:36" ht="11.25" customHeight="1" x14ac:dyDescent="0.2">
      <c r="A683" s="35" t="s">
        <v>30</v>
      </c>
      <c r="B683" s="35" t="s">
        <v>41</v>
      </c>
      <c r="C683" s="35" t="s">
        <v>44</v>
      </c>
      <c r="D683" s="35" t="s">
        <v>40</v>
      </c>
      <c r="E683" s="35" t="s">
        <v>25</v>
      </c>
      <c r="F683" s="35" t="s">
        <v>25</v>
      </c>
      <c r="G683" s="35" t="s">
        <v>25</v>
      </c>
      <c r="H683" s="35" t="s">
        <v>37</v>
      </c>
      <c r="I683" s="45">
        <v>44713</v>
      </c>
      <c r="J683" s="46">
        <f>EFEITO!$J$683*EFEITO!$Y$683</f>
        <v>0</v>
      </c>
      <c r="K683" s="46">
        <f ca="1">EFEITO!$L$683*EFEITO!$Z$683</f>
        <v>6087.8531977536577</v>
      </c>
      <c r="L683" s="46">
        <f>EFEITO!$N$683*EFEITO!$AA$683</f>
        <v>11736.846913219171</v>
      </c>
      <c r="M683" s="46">
        <f>$J$683-EFEITO!$K$683*EFEITO!$Y$683</f>
        <v>0</v>
      </c>
      <c r="N683" s="46">
        <f ca="1">$K$683-EFEITO!$M$683*EFEITO!$Z$683</f>
        <v>0</v>
      </c>
      <c r="O683" s="46">
        <f>$L$683-EFEITO!$O$683*EFEITO!$AA$683</f>
        <v>0</v>
      </c>
      <c r="P683" s="38"/>
      <c r="Q683" s="38"/>
      <c r="R683" s="38"/>
      <c r="S683" s="38"/>
      <c r="T683" s="38"/>
      <c r="U683" s="38"/>
      <c r="V683" s="38"/>
      <c r="W683" s="38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</row>
    <row r="684" spans="1:36" ht="11.25" customHeight="1" x14ac:dyDescent="0.2">
      <c r="A684" s="35" t="s">
        <v>21</v>
      </c>
      <c r="B684" s="35" t="s">
        <v>41</v>
      </c>
      <c r="C684" s="35" t="s">
        <v>44</v>
      </c>
      <c r="D684" s="35" t="s">
        <v>40</v>
      </c>
      <c r="E684" s="35" t="s">
        <v>25</v>
      </c>
      <c r="F684" s="35" t="s">
        <v>25</v>
      </c>
      <c r="G684" s="35" t="s">
        <v>25</v>
      </c>
      <c r="H684" s="35" t="s">
        <v>37</v>
      </c>
      <c r="I684" s="45">
        <v>44743</v>
      </c>
      <c r="J684" s="46">
        <f>EFEITO!$J$684*EFEITO!$Y$684</f>
        <v>0</v>
      </c>
      <c r="K684" s="46">
        <f ca="1">EFEITO!$L$684*EFEITO!$Z$684</f>
        <v>191412.67632641972</v>
      </c>
      <c r="L684" s="46">
        <f>EFEITO!$N$684*EFEITO!$AA$684</f>
        <v>369026.84843348729</v>
      </c>
      <c r="M684" s="46">
        <f>$J$684-EFEITO!$K$684*EFEITO!$Y$684</f>
        <v>0</v>
      </c>
      <c r="N684" s="46">
        <f ca="1">$K$684-EFEITO!$M$684*EFEITO!$Z$684</f>
        <v>0</v>
      </c>
      <c r="O684" s="46">
        <f>$L$684-EFEITO!$O$684*EFEITO!$AA$684</f>
        <v>0</v>
      </c>
      <c r="P684" s="38"/>
      <c r="Q684" s="38"/>
      <c r="R684" s="38"/>
      <c r="S684" s="38"/>
      <c r="T684" s="38"/>
      <c r="U684" s="38"/>
      <c r="V684" s="38"/>
      <c r="W684" s="38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</row>
    <row r="685" spans="1:36" ht="11.25" customHeight="1" x14ac:dyDescent="0.2">
      <c r="A685" s="35" t="s">
        <v>28</v>
      </c>
      <c r="B685" s="35" t="s">
        <v>41</v>
      </c>
      <c r="C685" s="35" t="s">
        <v>44</v>
      </c>
      <c r="D685" s="35" t="s">
        <v>40</v>
      </c>
      <c r="E685" s="35" t="s">
        <v>25</v>
      </c>
      <c r="F685" s="35" t="s">
        <v>25</v>
      </c>
      <c r="G685" s="35" t="s">
        <v>25</v>
      </c>
      <c r="H685" s="35" t="s">
        <v>37</v>
      </c>
      <c r="I685" s="45">
        <v>44743</v>
      </c>
      <c r="J685" s="46">
        <f>EFEITO!$J$685*EFEITO!$Y$685</f>
        <v>0</v>
      </c>
      <c r="K685" s="46">
        <f ca="1">EFEITO!$L$685*EFEITO!$Z$685</f>
        <v>24572.830518646737</v>
      </c>
      <c r="L685" s="46">
        <f>EFEITO!$N$685*EFEITO!$AA$685</f>
        <v>47374.261608058427</v>
      </c>
      <c r="M685" s="46">
        <f>$J$685-EFEITO!$K$685*EFEITO!$Y$685</f>
        <v>0</v>
      </c>
      <c r="N685" s="46">
        <f ca="1">$K$685-EFEITO!$M$685*EFEITO!$Z$685</f>
        <v>0</v>
      </c>
      <c r="O685" s="46">
        <f>$L$685-EFEITO!$O$685*EFEITO!$AA$685</f>
        <v>0</v>
      </c>
      <c r="P685" s="38"/>
      <c r="Q685" s="38"/>
      <c r="R685" s="38"/>
      <c r="S685" s="38"/>
      <c r="T685" s="38"/>
      <c r="U685" s="38"/>
      <c r="V685" s="38"/>
      <c r="W685" s="38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</row>
    <row r="686" spans="1:36" ht="11.25" customHeight="1" x14ac:dyDescent="0.2">
      <c r="A686" s="35" t="s">
        <v>30</v>
      </c>
      <c r="B686" s="35" t="s">
        <v>41</v>
      </c>
      <c r="C686" s="35" t="s">
        <v>44</v>
      </c>
      <c r="D686" s="35" t="s">
        <v>40</v>
      </c>
      <c r="E686" s="35" t="s">
        <v>25</v>
      </c>
      <c r="F686" s="35" t="s">
        <v>25</v>
      </c>
      <c r="G686" s="35" t="s">
        <v>25</v>
      </c>
      <c r="H686" s="35" t="s">
        <v>37</v>
      </c>
      <c r="I686" s="45">
        <v>44743</v>
      </c>
      <c r="J686" s="46">
        <f>EFEITO!$J$686*EFEITO!$Y$686</f>
        <v>0</v>
      </c>
      <c r="K686" s="46">
        <f ca="1">EFEITO!$L$686*EFEITO!$Z$686</f>
        <v>5820.4958288864063</v>
      </c>
      <c r="L686" s="46">
        <f>EFEITO!$N$686*EFEITO!$AA$686</f>
        <v>11221.405359754339</v>
      </c>
      <c r="M686" s="46">
        <f>$J$686-EFEITO!$K$686*EFEITO!$Y$686</f>
        <v>0</v>
      </c>
      <c r="N686" s="46">
        <f ca="1">$K$686-EFEITO!$M$686*EFEITO!$Z$686</f>
        <v>0</v>
      </c>
      <c r="O686" s="46">
        <f>$L$686-EFEITO!$O$686*EFEITO!$AA$686</f>
        <v>0</v>
      </c>
      <c r="P686" s="38"/>
      <c r="Q686" s="38"/>
      <c r="R686" s="38"/>
      <c r="S686" s="38"/>
      <c r="T686" s="38"/>
      <c r="U686" s="38"/>
      <c r="V686" s="38"/>
      <c r="W686" s="38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</row>
    <row r="687" spans="1:36" ht="11.25" customHeight="1" x14ac:dyDescent="0.2">
      <c r="A687" s="35" t="s">
        <v>21</v>
      </c>
      <c r="B687" s="35" t="s">
        <v>41</v>
      </c>
      <c r="C687" s="35" t="s">
        <v>44</v>
      </c>
      <c r="D687" s="35" t="s">
        <v>40</v>
      </c>
      <c r="E687" s="35" t="s">
        <v>25</v>
      </c>
      <c r="F687" s="35" t="s">
        <v>25</v>
      </c>
      <c r="G687" s="35" t="s">
        <v>25</v>
      </c>
      <c r="H687" s="35" t="s">
        <v>37</v>
      </c>
      <c r="I687" s="45">
        <v>44774</v>
      </c>
      <c r="J687" s="46">
        <f>EFEITO!$J$687*EFEITO!$Y$687</f>
        <v>0</v>
      </c>
      <c r="K687" s="46">
        <f ca="1">EFEITO!$L$687*EFEITO!$Z$687</f>
        <v>190088.82064035707</v>
      </c>
      <c r="L687" s="46">
        <f>EFEITO!$N$687*EFEITO!$AA$687</f>
        <v>366474.57080493908</v>
      </c>
      <c r="M687" s="46">
        <f>$J$687-EFEITO!$K$687*EFEITO!$Y$687</f>
        <v>0</v>
      </c>
      <c r="N687" s="46">
        <f ca="1">$K$687-EFEITO!$M$687*EFEITO!$Z$687</f>
        <v>0</v>
      </c>
      <c r="O687" s="46">
        <f>$L$687-EFEITO!$O$687*EFEITO!$AA$687</f>
        <v>0</v>
      </c>
      <c r="P687" s="38"/>
      <c r="Q687" s="38"/>
      <c r="R687" s="38"/>
      <c r="S687" s="38"/>
      <c r="T687" s="38"/>
      <c r="U687" s="38"/>
      <c r="V687" s="38"/>
      <c r="W687" s="38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</row>
    <row r="688" spans="1:36" ht="11.25" customHeight="1" x14ac:dyDescent="0.2">
      <c r="A688" s="35" t="s">
        <v>28</v>
      </c>
      <c r="B688" s="35" t="s">
        <v>41</v>
      </c>
      <c r="C688" s="35" t="s">
        <v>44</v>
      </c>
      <c r="D688" s="35" t="s">
        <v>40</v>
      </c>
      <c r="E688" s="35" t="s">
        <v>25</v>
      </c>
      <c r="F688" s="35" t="s">
        <v>25</v>
      </c>
      <c r="G688" s="35" t="s">
        <v>25</v>
      </c>
      <c r="H688" s="35" t="s">
        <v>37</v>
      </c>
      <c r="I688" s="45">
        <v>44774</v>
      </c>
      <c r="J688" s="46">
        <f>EFEITO!$J$688*EFEITO!$Y$688</f>
        <v>0</v>
      </c>
      <c r="K688" s="46">
        <f ca="1">EFEITO!$L$688*EFEITO!$Z$688</f>
        <v>27319.00018359207</v>
      </c>
      <c r="L688" s="46">
        <f>EFEITO!$N$688*EFEITO!$AA$688</f>
        <v>52668.635816536837</v>
      </c>
      <c r="M688" s="46">
        <f>$J$688-EFEITO!$K$688*EFEITO!$Y$688</f>
        <v>0</v>
      </c>
      <c r="N688" s="46">
        <f ca="1">$K$688-EFEITO!$M$688*EFEITO!$Z$688</f>
        <v>0</v>
      </c>
      <c r="O688" s="46">
        <f>$L$688-EFEITO!$O$688*EFEITO!$AA$688</f>
        <v>0</v>
      </c>
      <c r="P688" s="38"/>
      <c r="Q688" s="38"/>
      <c r="R688" s="38"/>
      <c r="S688" s="38"/>
      <c r="T688" s="38"/>
      <c r="U688" s="38"/>
      <c r="V688" s="38"/>
      <c r="W688" s="38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</row>
    <row r="689" spans="1:36" ht="11.25" customHeight="1" x14ac:dyDescent="0.2">
      <c r="A689" s="35" t="s">
        <v>30</v>
      </c>
      <c r="B689" s="35" t="s">
        <v>41</v>
      </c>
      <c r="C689" s="35" t="s">
        <v>44</v>
      </c>
      <c r="D689" s="35" t="s">
        <v>40</v>
      </c>
      <c r="E689" s="35" t="s">
        <v>25</v>
      </c>
      <c r="F689" s="35" t="s">
        <v>25</v>
      </c>
      <c r="G689" s="35" t="s">
        <v>25</v>
      </c>
      <c r="H689" s="35" t="s">
        <v>37</v>
      </c>
      <c r="I689" s="45">
        <v>44774</v>
      </c>
      <c r="J689" s="46">
        <f>EFEITO!$J$689*EFEITO!$Y$689</f>
        <v>0</v>
      </c>
      <c r="K689" s="46">
        <f ca="1">EFEITO!$L$689*EFEITO!$Z$689</f>
        <v>6235.9943618353836</v>
      </c>
      <c r="L689" s="46">
        <f>EFEITO!$N$689*EFEITO!$AA$689</f>
        <v>12022.450082003674</v>
      </c>
      <c r="M689" s="46">
        <f>$J$689-EFEITO!$K$689*EFEITO!$Y$689</f>
        <v>0</v>
      </c>
      <c r="N689" s="46">
        <f ca="1">$K$689-EFEITO!$M$689*EFEITO!$Z$689</f>
        <v>0</v>
      </c>
      <c r="O689" s="46">
        <f>$L$689-EFEITO!$O$689*EFEITO!$AA$689</f>
        <v>0</v>
      </c>
      <c r="P689" s="38"/>
      <c r="Q689" s="38"/>
      <c r="R689" s="38"/>
      <c r="S689" s="38"/>
      <c r="T689" s="38"/>
      <c r="U689" s="38"/>
      <c r="V689" s="38"/>
      <c r="W689" s="38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</row>
    <row r="690" spans="1:36" ht="11.25" customHeight="1" x14ac:dyDescent="0.2">
      <c r="A690" s="35" t="s">
        <v>21</v>
      </c>
      <c r="B690" s="35" t="s">
        <v>41</v>
      </c>
      <c r="C690" s="35" t="s">
        <v>44</v>
      </c>
      <c r="D690" s="35" t="s">
        <v>40</v>
      </c>
      <c r="E690" s="35" t="s">
        <v>25</v>
      </c>
      <c r="F690" s="35" t="s">
        <v>25</v>
      </c>
      <c r="G690" s="35" t="s">
        <v>25</v>
      </c>
      <c r="H690" s="35" t="s">
        <v>37</v>
      </c>
      <c r="I690" s="45">
        <v>44805</v>
      </c>
      <c r="J690" s="46">
        <f>EFEITO!$J$690*EFEITO!$Y$690</f>
        <v>0</v>
      </c>
      <c r="K690" s="46">
        <f ca="1">EFEITO!$L$690*EFEITO!$Z$690</f>
        <v>184155.12046097024</v>
      </c>
      <c r="L690" s="46">
        <f>EFEITO!$N$690*EFEITO!$AA$690</f>
        <v>355034.91738818097</v>
      </c>
      <c r="M690" s="46">
        <f>$J$690-EFEITO!$K$690*EFEITO!$Y$690</f>
        <v>0</v>
      </c>
      <c r="N690" s="46">
        <f ca="1">$K$690-EFEITO!$M$690*EFEITO!$Z$690</f>
        <v>0</v>
      </c>
      <c r="O690" s="46">
        <f>$L$690-EFEITO!$O$690*EFEITO!$AA$690</f>
        <v>0</v>
      </c>
      <c r="P690" s="38"/>
      <c r="Q690" s="38"/>
      <c r="R690" s="38"/>
      <c r="S690" s="38"/>
      <c r="T690" s="38"/>
      <c r="U690" s="38"/>
      <c r="V690" s="38"/>
      <c r="W690" s="38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</row>
    <row r="691" spans="1:36" ht="11.25" customHeight="1" x14ac:dyDescent="0.2">
      <c r="A691" s="35" t="s">
        <v>28</v>
      </c>
      <c r="B691" s="35" t="s">
        <v>41</v>
      </c>
      <c r="C691" s="35" t="s">
        <v>44</v>
      </c>
      <c r="D691" s="35" t="s">
        <v>40</v>
      </c>
      <c r="E691" s="35" t="s">
        <v>25</v>
      </c>
      <c r="F691" s="35" t="s">
        <v>25</v>
      </c>
      <c r="G691" s="35" t="s">
        <v>25</v>
      </c>
      <c r="H691" s="35" t="s">
        <v>37</v>
      </c>
      <c r="I691" s="45">
        <v>44805</v>
      </c>
      <c r="J691" s="46">
        <f>EFEITO!$J$691*EFEITO!$Y$691</f>
        <v>0</v>
      </c>
      <c r="K691" s="46">
        <f ca="1">EFEITO!$L$691*EFEITO!$Z$691</f>
        <v>26913.710459806458</v>
      </c>
      <c r="L691" s="46">
        <f>EFEITO!$N$691*EFEITO!$AA$691</f>
        <v>51887.272782794855</v>
      </c>
      <c r="M691" s="46">
        <f>$J$691-EFEITO!$K$691*EFEITO!$Y$691</f>
        <v>0</v>
      </c>
      <c r="N691" s="46">
        <f ca="1">$K$691-EFEITO!$M$691*EFEITO!$Z$691</f>
        <v>0</v>
      </c>
      <c r="O691" s="46">
        <f>$L$691-EFEITO!$O$691*EFEITO!$AA$691</f>
        <v>0</v>
      </c>
      <c r="P691" s="38"/>
      <c r="Q691" s="38"/>
      <c r="R691" s="38"/>
      <c r="S691" s="38"/>
      <c r="T691" s="38"/>
      <c r="U691" s="38"/>
      <c r="V691" s="38"/>
      <c r="W691" s="38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</row>
    <row r="692" spans="1:36" ht="11.25" customHeight="1" x14ac:dyDescent="0.2">
      <c r="A692" s="35" t="s">
        <v>30</v>
      </c>
      <c r="B692" s="35" t="s">
        <v>41</v>
      </c>
      <c r="C692" s="35" t="s">
        <v>44</v>
      </c>
      <c r="D692" s="35" t="s">
        <v>40</v>
      </c>
      <c r="E692" s="35" t="s">
        <v>25</v>
      </c>
      <c r="F692" s="35" t="s">
        <v>25</v>
      </c>
      <c r="G692" s="35" t="s">
        <v>25</v>
      </c>
      <c r="H692" s="35" t="s">
        <v>37</v>
      </c>
      <c r="I692" s="45">
        <v>44805</v>
      </c>
      <c r="J692" s="46">
        <f>EFEITO!$J$692*EFEITO!$Y$692</f>
        <v>0</v>
      </c>
      <c r="K692" s="46">
        <f ca="1">EFEITO!$L$692*EFEITO!$Z$692</f>
        <v>4781.2390560557933</v>
      </c>
      <c r="L692" s="46">
        <f>EFEITO!$N$692*EFEITO!$AA$692</f>
        <v>9217.8094697056331</v>
      </c>
      <c r="M692" s="46">
        <f>$J$692-EFEITO!$K$692*EFEITO!$Y$692</f>
        <v>0</v>
      </c>
      <c r="N692" s="46">
        <f ca="1">$K$692-EFEITO!$M$692*EFEITO!$Z$692</f>
        <v>0</v>
      </c>
      <c r="O692" s="46">
        <f>$L$692-EFEITO!$O$692*EFEITO!$AA$692</f>
        <v>0</v>
      </c>
      <c r="P692" s="38"/>
      <c r="Q692" s="38"/>
      <c r="R692" s="38"/>
      <c r="S692" s="38"/>
      <c r="T692" s="38"/>
      <c r="U692" s="38"/>
      <c r="V692" s="38"/>
      <c r="W692" s="38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</row>
    <row r="693" spans="1:36" ht="11.25" customHeight="1" x14ac:dyDescent="0.2">
      <c r="A693" s="35" t="s">
        <v>21</v>
      </c>
      <c r="B693" s="35" t="s">
        <v>41</v>
      </c>
      <c r="C693" s="35" t="s">
        <v>44</v>
      </c>
      <c r="D693" s="35" t="s">
        <v>40</v>
      </c>
      <c r="E693" s="35" t="s">
        <v>25</v>
      </c>
      <c r="F693" s="35" t="s">
        <v>25</v>
      </c>
      <c r="G693" s="35" t="s">
        <v>25</v>
      </c>
      <c r="H693" s="35" t="s">
        <v>37</v>
      </c>
      <c r="I693" s="45">
        <v>44835</v>
      </c>
      <c r="J693" s="46">
        <f>EFEITO!$J$693*EFEITO!$Y$693</f>
        <v>0</v>
      </c>
      <c r="K693" s="46">
        <f ca="1">EFEITO!$L$693*EFEITO!$Z$693</f>
        <v>189507.14538047108</v>
      </c>
      <c r="L693" s="46">
        <f>EFEITO!$N$693*EFEITO!$AA$693</f>
        <v>365353.15193087561</v>
      </c>
      <c r="M693" s="46">
        <f>$J$693-EFEITO!$K$693*EFEITO!$Y$693</f>
        <v>0</v>
      </c>
      <c r="N693" s="46">
        <f ca="1">$K$693-EFEITO!$M$693*EFEITO!$Z$693</f>
        <v>0</v>
      </c>
      <c r="O693" s="46">
        <f>$L$693-EFEITO!$O$693*EFEITO!$AA$693</f>
        <v>0</v>
      </c>
      <c r="P693" s="38"/>
      <c r="Q693" s="38"/>
      <c r="R693" s="38"/>
      <c r="S693" s="38"/>
      <c r="T693" s="38"/>
      <c r="U693" s="38"/>
      <c r="V693" s="38"/>
      <c r="W693" s="38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</row>
    <row r="694" spans="1:36" ht="11.25" customHeight="1" x14ac:dyDescent="0.2">
      <c r="A694" s="35" t="s">
        <v>27</v>
      </c>
      <c r="B694" s="35" t="s">
        <v>41</v>
      </c>
      <c r="C694" s="35" t="s">
        <v>44</v>
      </c>
      <c r="D694" s="35" t="s">
        <v>40</v>
      </c>
      <c r="E694" s="35" t="s">
        <v>25</v>
      </c>
      <c r="F694" s="35" t="s">
        <v>25</v>
      </c>
      <c r="G694" s="35" t="s">
        <v>25</v>
      </c>
      <c r="H694" s="35" t="s">
        <v>37</v>
      </c>
      <c r="I694" s="45">
        <v>44835</v>
      </c>
      <c r="J694" s="46">
        <f>EFEITO!$J$694*EFEITO!$Y$694</f>
        <v>0</v>
      </c>
      <c r="K694" s="46">
        <f ca="1">EFEITO!$L$694*EFEITO!$Z$694</f>
        <v>-3189.5722762741771</v>
      </c>
      <c r="L694" s="46">
        <f>EFEITO!$N$694*EFEITO!$AA$694</f>
        <v>-6149.2155459811793</v>
      </c>
      <c r="M694" s="46">
        <f>$J$694-EFEITO!$K$694*EFEITO!$Y$694</f>
        <v>0</v>
      </c>
      <c r="N694" s="46">
        <f ca="1">$K$694-EFEITO!$M$694*EFEITO!$Z$694</f>
        <v>0</v>
      </c>
      <c r="O694" s="46">
        <f>$L$694-EFEITO!$O$694*EFEITO!$AA$694</f>
        <v>0</v>
      </c>
      <c r="P694" s="38"/>
      <c r="Q694" s="38"/>
      <c r="R694" s="38"/>
      <c r="S694" s="38"/>
      <c r="T694" s="38"/>
      <c r="U694" s="38"/>
      <c r="V694" s="38"/>
      <c r="W694" s="38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</row>
    <row r="695" spans="1:36" ht="11.25" customHeight="1" x14ac:dyDescent="0.2">
      <c r="A695" s="35" t="s">
        <v>28</v>
      </c>
      <c r="B695" s="35" t="s">
        <v>41</v>
      </c>
      <c r="C695" s="35" t="s">
        <v>44</v>
      </c>
      <c r="D695" s="35" t="s">
        <v>40</v>
      </c>
      <c r="E695" s="35" t="s">
        <v>25</v>
      </c>
      <c r="F695" s="35" t="s">
        <v>25</v>
      </c>
      <c r="G695" s="35" t="s">
        <v>25</v>
      </c>
      <c r="H695" s="35" t="s">
        <v>37</v>
      </c>
      <c r="I695" s="45">
        <v>44835</v>
      </c>
      <c r="J695" s="46">
        <f>EFEITO!$J$695*EFEITO!$Y$695</f>
        <v>0</v>
      </c>
      <c r="K695" s="46">
        <f ca="1">EFEITO!$L$695*EFEITO!$Z$695</f>
        <v>26867.997680997167</v>
      </c>
      <c r="L695" s="46">
        <f>EFEITO!$N$695*EFEITO!$AA$695</f>
        <v>51799.142555367478</v>
      </c>
      <c r="M695" s="46">
        <f>$J$695-EFEITO!$K$695*EFEITO!$Y$695</f>
        <v>0</v>
      </c>
      <c r="N695" s="46">
        <f ca="1">$K$695-EFEITO!$M$695*EFEITO!$Z$695</f>
        <v>0</v>
      </c>
      <c r="O695" s="46">
        <f>$L$695-EFEITO!$O$695*EFEITO!$AA$695</f>
        <v>0</v>
      </c>
      <c r="P695" s="38"/>
      <c r="Q695" s="38"/>
      <c r="R695" s="38"/>
      <c r="S695" s="38"/>
      <c r="T695" s="38"/>
      <c r="U695" s="38"/>
      <c r="V695" s="38"/>
      <c r="W695" s="38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</row>
    <row r="696" spans="1:36" ht="11.25" customHeight="1" x14ac:dyDescent="0.2">
      <c r="A696" s="35" t="s">
        <v>30</v>
      </c>
      <c r="B696" s="35" t="s">
        <v>41</v>
      </c>
      <c r="C696" s="35" t="s">
        <v>44</v>
      </c>
      <c r="D696" s="35" t="s">
        <v>40</v>
      </c>
      <c r="E696" s="35" t="s">
        <v>25</v>
      </c>
      <c r="F696" s="35" t="s">
        <v>25</v>
      </c>
      <c r="G696" s="35" t="s">
        <v>25</v>
      </c>
      <c r="H696" s="35" t="s">
        <v>37</v>
      </c>
      <c r="I696" s="45">
        <v>44835</v>
      </c>
      <c r="J696" s="46">
        <f>EFEITO!$J$696*EFEITO!$Y$696</f>
        <v>0</v>
      </c>
      <c r="K696" s="46">
        <f ca="1">EFEITO!$L$696*EFEITO!$Z$696</f>
        <v>4920.9863103809748</v>
      </c>
      <c r="L696" s="46">
        <f>EFEITO!$N$696*EFEITO!$AA$696</f>
        <v>9487.2299168285335</v>
      </c>
      <c r="M696" s="46">
        <f>$J$696-EFEITO!$K$696*EFEITO!$Y$696</f>
        <v>0</v>
      </c>
      <c r="N696" s="46">
        <f ca="1">$K$696-EFEITO!$M$696*EFEITO!$Z$696</f>
        <v>0</v>
      </c>
      <c r="O696" s="46">
        <f>$L$696-EFEITO!$O$696*EFEITO!$AA$696</f>
        <v>0</v>
      </c>
      <c r="P696" s="38"/>
      <c r="Q696" s="38"/>
      <c r="R696" s="38"/>
      <c r="S696" s="38"/>
      <c r="T696" s="38"/>
      <c r="U696" s="38"/>
      <c r="V696" s="38"/>
      <c r="W696" s="38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</row>
    <row r="697" spans="1:36" ht="11.25" customHeight="1" x14ac:dyDescent="0.2">
      <c r="A697" s="35" t="s">
        <v>59</v>
      </c>
      <c r="B697" s="35" t="s">
        <v>41</v>
      </c>
      <c r="C697" s="35" t="s">
        <v>44</v>
      </c>
      <c r="D697" s="35" t="s">
        <v>40</v>
      </c>
      <c r="E697" s="35" t="s">
        <v>25</v>
      </c>
      <c r="F697" s="35" t="s">
        <v>25</v>
      </c>
      <c r="G697" s="35" t="s">
        <v>25</v>
      </c>
      <c r="H697" s="35" t="s">
        <v>37</v>
      </c>
      <c r="I697" s="45">
        <v>44866</v>
      </c>
      <c r="J697" s="46">
        <f>EFEITO!$J$697*EFEITO!$Y$697</f>
        <v>0</v>
      </c>
      <c r="K697" s="46">
        <f ca="1">EFEITO!$L$697*EFEITO!$Z$697</f>
        <v>189507.14538047108</v>
      </c>
      <c r="L697" s="46">
        <f>EFEITO!$N$697*EFEITO!$AA$697</f>
        <v>365353.15193087561</v>
      </c>
      <c r="M697" s="46">
        <f>$J$697-EFEITO!$K$697*EFEITO!$Y$697</f>
        <v>0</v>
      </c>
      <c r="N697" s="46">
        <f ca="1">$K$697-EFEITO!$M$697*EFEITO!$Z$697</f>
        <v>0</v>
      </c>
      <c r="O697" s="46">
        <f>$L$697-EFEITO!$O$697*EFEITO!$AA$697</f>
        <v>0</v>
      </c>
      <c r="P697" s="38"/>
      <c r="Q697" s="38"/>
      <c r="R697" s="38"/>
      <c r="S697" s="38"/>
      <c r="T697" s="38"/>
      <c r="U697" s="38"/>
      <c r="V697" s="38"/>
      <c r="W697" s="38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</row>
    <row r="698" spans="1:36" ht="11.25" customHeight="1" x14ac:dyDescent="0.2">
      <c r="A698" s="35" t="s">
        <v>59</v>
      </c>
      <c r="B698" s="35" t="s">
        <v>41</v>
      </c>
      <c r="C698" s="35" t="s">
        <v>44</v>
      </c>
      <c r="D698" s="35" t="s">
        <v>40</v>
      </c>
      <c r="E698" s="35" t="s">
        <v>25</v>
      </c>
      <c r="F698" s="35" t="s">
        <v>25</v>
      </c>
      <c r="G698" s="35" t="s">
        <v>25</v>
      </c>
      <c r="H698" s="35" t="s">
        <v>37</v>
      </c>
      <c r="I698" s="45">
        <v>44866</v>
      </c>
      <c r="J698" s="46">
        <f>EFEITO!$J$698*EFEITO!$Y$698</f>
        <v>0</v>
      </c>
      <c r="K698" s="46">
        <f ca="1">EFEITO!$L$698*EFEITO!$Z$698</f>
        <v>-3189.5722762741771</v>
      </c>
      <c r="L698" s="46">
        <f>EFEITO!$N$698*EFEITO!$AA$698</f>
        <v>-6149.2155459811793</v>
      </c>
      <c r="M698" s="46">
        <f>$J$698-EFEITO!$K$698*EFEITO!$Y$698</f>
        <v>0</v>
      </c>
      <c r="N698" s="46">
        <f ca="1">$K$698-EFEITO!$M$698*EFEITO!$Z$698</f>
        <v>0</v>
      </c>
      <c r="O698" s="46">
        <f>$L$698-EFEITO!$O$698*EFEITO!$AA$698</f>
        <v>0</v>
      </c>
      <c r="P698" s="38"/>
      <c r="Q698" s="38"/>
      <c r="R698" s="38"/>
      <c r="S698" s="38"/>
      <c r="T698" s="38"/>
      <c r="U698" s="38"/>
      <c r="V698" s="38"/>
      <c r="W698" s="38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</row>
    <row r="699" spans="1:36" ht="11.25" customHeight="1" x14ac:dyDescent="0.2">
      <c r="A699" s="35" t="s">
        <v>59</v>
      </c>
      <c r="B699" s="35" t="s">
        <v>41</v>
      </c>
      <c r="C699" s="35" t="s">
        <v>44</v>
      </c>
      <c r="D699" s="35" t="s">
        <v>40</v>
      </c>
      <c r="E699" s="35" t="s">
        <v>25</v>
      </c>
      <c r="F699" s="35" t="s">
        <v>25</v>
      </c>
      <c r="G699" s="35" t="s">
        <v>25</v>
      </c>
      <c r="H699" s="35" t="s">
        <v>37</v>
      </c>
      <c r="I699" s="45">
        <v>44866</v>
      </c>
      <c r="J699" s="46">
        <f>EFEITO!$J$699*EFEITO!$Y$699</f>
        <v>0</v>
      </c>
      <c r="K699" s="46">
        <f ca="1">EFEITO!$L$699*EFEITO!$Z$699</f>
        <v>26867.997680997167</v>
      </c>
      <c r="L699" s="46">
        <f>EFEITO!$N$699*EFEITO!$AA$699</f>
        <v>51799.142555367478</v>
      </c>
      <c r="M699" s="46">
        <f>$J$699-EFEITO!$K$699*EFEITO!$Y$699</f>
        <v>0</v>
      </c>
      <c r="N699" s="46">
        <f ca="1">$K$699-EFEITO!$M$699*EFEITO!$Z$699</f>
        <v>0</v>
      </c>
      <c r="O699" s="46">
        <f>$L$699-EFEITO!$O$699*EFEITO!$AA$699</f>
        <v>0</v>
      </c>
      <c r="P699" s="38"/>
      <c r="Q699" s="38"/>
      <c r="R699" s="38"/>
      <c r="S699" s="38"/>
      <c r="T699" s="38"/>
      <c r="U699" s="38"/>
      <c r="V699" s="38"/>
      <c r="W699" s="38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</row>
    <row r="700" spans="1:36" ht="11.25" customHeight="1" x14ac:dyDescent="0.2">
      <c r="A700" s="35" t="s">
        <v>59</v>
      </c>
      <c r="B700" s="35" t="s">
        <v>41</v>
      </c>
      <c r="C700" s="35" t="s">
        <v>44</v>
      </c>
      <c r="D700" s="35" t="s">
        <v>40</v>
      </c>
      <c r="E700" s="35" t="s">
        <v>25</v>
      </c>
      <c r="F700" s="35" t="s">
        <v>25</v>
      </c>
      <c r="G700" s="35" t="s">
        <v>25</v>
      </c>
      <c r="H700" s="35" t="s">
        <v>37</v>
      </c>
      <c r="I700" s="45">
        <v>44866</v>
      </c>
      <c r="J700" s="46">
        <f>EFEITO!$J$700*EFEITO!$Y$700</f>
        <v>0</v>
      </c>
      <c r="K700" s="46">
        <f ca="1">EFEITO!$L$700*EFEITO!$Z$700</f>
        <v>4920.9863103809748</v>
      </c>
      <c r="L700" s="46">
        <f>EFEITO!$N$700*EFEITO!$AA$700</f>
        <v>9487.2299168285335</v>
      </c>
      <c r="M700" s="46">
        <f>$J$700-EFEITO!$K$700*EFEITO!$Y$700</f>
        <v>0</v>
      </c>
      <c r="N700" s="46">
        <f ca="1">$K$700-EFEITO!$M$700*EFEITO!$Z$700</f>
        <v>0</v>
      </c>
      <c r="O700" s="46">
        <f>$L$700-EFEITO!$O$700*EFEITO!$AA$700</f>
        <v>0</v>
      </c>
      <c r="P700" s="38"/>
      <c r="Q700" s="38"/>
      <c r="R700" s="38"/>
      <c r="S700" s="38"/>
      <c r="T700" s="38"/>
      <c r="U700" s="38"/>
      <c r="V700" s="38"/>
      <c r="W700" s="38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</row>
    <row r="701" spans="1:36" ht="11.25" customHeight="1" x14ac:dyDescent="0.2">
      <c r="A701" s="35" t="s">
        <v>21</v>
      </c>
      <c r="B701" s="35" t="s">
        <v>41</v>
      </c>
      <c r="C701" s="35" t="s">
        <v>44</v>
      </c>
      <c r="D701" s="35" t="s">
        <v>40</v>
      </c>
      <c r="E701" s="35" t="s">
        <v>25</v>
      </c>
      <c r="F701" s="35" t="s">
        <v>25</v>
      </c>
      <c r="G701" s="35" t="s">
        <v>25</v>
      </c>
      <c r="H701" s="35" t="s">
        <v>25</v>
      </c>
      <c r="I701" s="45">
        <v>44531</v>
      </c>
      <c r="J701" s="46">
        <f ca="1">EFEITO!$J$701*EFEITO!$Y$701</f>
        <v>224953.21877142362</v>
      </c>
      <c r="K701" s="46">
        <f>EFEITO!$L$701*EFEITO!$Z$701</f>
        <v>0</v>
      </c>
      <c r="L701" s="46">
        <f>EFEITO!$N$701*EFEITO!$AA$701</f>
        <v>0</v>
      </c>
      <c r="M701" s="46">
        <f ca="1">$J$701-EFEITO!$K$701*EFEITO!$Y$701</f>
        <v>0</v>
      </c>
      <c r="N701" s="46">
        <f>$K$701-EFEITO!$M$701*EFEITO!$Z$701</f>
        <v>0</v>
      </c>
      <c r="O701" s="46">
        <f>$L$701-EFEITO!$O$701*EFEITO!$AA$701</f>
        <v>0</v>
      </c>
      <c r="P701" s="38"/>
      <c r="Q701" s="38"/>
      <c r="R701" s="38"/>
      <c r="S701" s="38"/>
      <c r="T701" s="38"/>
      <c r="U701" s="38"/>
      <c r="V701" s="38"/>
      <c r="W701" s="38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</row>
    <row r="702" spans="1:36" ht="11.25" customHeight="1" x14ac:dyDescent="0.2">
      <c r="A702" s="35" t="s">
        <v>28</v>
      </c>
      <c r="B702" s="35" t="s">
        <v>41</v>
      </c>
      <c r="C702" s="35" t="s">
        <v>44</v>
      </c>
      <c r="D702" s="35" t="s">
        <v>40</v>
      </c>
      <c r="E702" s="35" t="s">
        <v>25</v>
      </c>
      <c r="F702" s="35" t="s">
        <v>25</v>
      </c>
      <c r="G702" s="35" t="s">
        <v>25</v>
      </c>
      <c r="H702" s="35" t="s">
        <v>25</v>
      </c>
      <c r="I702" s="45">
        <v>44531</v>
      </c>
      <c r="J702" s="46">
        <f ca="1">EFEITO!$J$702*EFEITO!$Y$702</f>
        <v>32901.882071040331</v>
      </c>
      <c r="K702" s="46">
        <f>EFEITO!$L$702*EFEITO!$Z$702</f>
        <v>0</v>
      </c>
      <c r="L702" s="46">
        <f>EFEITO!$N$702*EFEITO!$AA$702</f>
        <v>0</v>
      </c>
      <c r="M702" s="46">
        <f ca="1">$J$702-EFEITO!$K$702*EFEITO!$Y$702</f>
        <v>0</v>
      </c>
      <c r="N702" s="46">
        <f>$K$702-EFEITO!$M$702*EFEITO!$Z$702</f>
        <v>0</v>
      </c>
      <c r="O702" s="46">
        <f>$L$702-EFEITO!$O$702*EFEITO!$AA$702</f>
        <v>0</v>
      </c>
      <c r="P702" s="38"/>
      <c r="Q702" s="38"/>
      <c r="R702" s="38"/>
      <c r="S702" s="38"/>
      <c r="T702" s="38"/>
      <c r="U702" s="38"/>
      <c r="V702" s="38"/>
      <c r="W702" s="38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</row>
    <row r="703" spans="1:36" ht="11.25" customHeight="1" x14ac:dyDescent="0.2">
      <c r="A703" s="35" t="s">
        <v>30</v>
      </c>
      <c r="B703" s="35" t="s">
        <v>41</v>
      </c>
      <c r="C703" s="35" t="s">
        <v>44</v>
      </c>
      <c r="D703" s="35" t="s">
        <v>40</v>
      </c>
      <c r="E703" s="35" t="s">
        <v>25</v>
      </c>
      <c r="F703" s="35" t="s">
        <v>25</v>
      </c>
      <c r="G703" s="35" t="s">
        <v>25</v>
      </c>
      <c r="H703" s="35" t="s">
        <v>25</v>
      </c>
      <c r="I703" s="45">
        <v>44531</v>
      </c>
      <c r="J703" s="46">
        <f ca="1">EFEITO!$J$703*EFEITO!$Y$703</f>
        <v>8060.5488031182767</v>
      </c>
      <c r="K703" s="46">
        <f>EFEITO!$L$703*EFEITO!$Z$703</f>
        <v>0</v>
      </c>
      <c r="L703" s="46">
        <f>EFEITO!$N$703*EFEITO!$AA$703</f>
        <v>0</v>
      </c>
      <c r="M703" s="46">
        <f ca="1">$J$703-EFEITO!$K$703*EFEITO!$Y$703</f>
        <v>0</v>
      </c>
      <c r="N703" s="46">
        <f>$K$703-EFEITO!$M$703*EFEITO!$Z$703</f>
        <v>0</v>
      </c>
      <c r="O703" s="46">
        <f>$L$703-EFEITO!$O$703*EFEITO!$AA$703</f>
        <v>0</v>
      </c>
      <c r="P703" s="38"/>
      <c r="Q703" s="38"/>
      <c r="R703" s="38"/>
      <c r="S703" s="38"/>
      <c r="T703" s="38"/>
      <c r="U703" s="38"/>
      <c r="V703" s="38"/>
      <c r="W703" s="38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</row>
    <row r="704" spans="1:36" ht="11.25" customHeight="1" x14ac:dyDescent="0.2">
      <c r="A704" s="35" t="s">
        <v>21</v>
      </c>
      <c r="B704" s="35" t="s">
        <v>41</v>
      </c>
      <c r="C704" s="35" t="s">
        <v>44</v>
      </c>
      <c r="D704" s="35" t="s">
        <v>40</v>
      </c>
      <c r="E704" s="35" t="s">
        <v>25</v>
      </c>
      <c r="F704" s="35" t="s">
        <v>25</v>
      </c>
      <c r="G704" s="35" t="s">
        <v>25</v>
      </c>
      <c r="H704" s="35" t="s">
        <v>25</v>
      </c>
      <c r="I704" s="45">
        <v>44562</v>
      </c>
      <c r="J704" s="46">
        <f ca="1">EFEITO!$J$704*EFEITO!$Y$704</f>
        <v>215800.06360880338</v>
      </c>
      <c r="K704" s="46">
        <f>EFEITO!$L$704*EFEITO!$Z$704</f>
        <v>0</v>
      </c>
      <c r="L704" s="46">
        <f>EFEITO!$N$704*EFEITO!$AA$704</f>
        <v>0</v>
      </c>
      <c r="M704" s="46">
        <f ca="1">$J$704-EFEITO!$K$704*EFEITO!$Y$704</f>
        <v>0</v>
      </c>
      <c r="N704" s="46">
        <f>$K$704-EFEITO!$M$704*EFEITO!$Z$704</f>
        <v>0</v>
      </c>
      <c r="O704" s="46">
        <f>$L$704-EFEITO!$O$704*EFEITO!$AA$704</f>
        <v>0</v>
      </c>
      <c r="P704" s="38"/>
      <c r="Q704" s="38"/>
      <c r="R704" s="38"/>
      <c r="S704" s="38"/>
      <c r="T704" s="38"/>
      <c r="U704" s="38"/>
      <c r="V704" s="38"/>
      <c r="W704" s="38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</row>
    <row r="705" spans="1:36" ht="11.25" customHeight="1" x14ac:dyDescent="0.2">
      <c r="A705" s="35" t="s">
        <v>28</v>
      </c>
      <c r="B705" s="35" t="s">
        <v>41</v>
      </c>
      <c r="C705" s="35" t="s">
        <v>44</v>
      </c>
      <c r="D705" s="35" t="s">
        <v>40</v>
      </c>
      <c r="E705" s="35" t="s">
        <v>25</v>
      </c>
      <c r="F705" s="35" t="s">
        <v>25</v>
      </c>
      <c r="G705" s="35" t="s">
        <v>25</v>
      </c>
      <c r="H705" s="35" t="s">
        <v>25</v>
      </c>
      <c r="I705" s="45">
        <v>44562</v>
      </c>
      <c r="J705" s="46">
        <f ca="1">EFEITO!$J$705*EFEITO!$Y$705</f>
        <v>32365.886498454463</v>
      </c>
      <c r="K705" s="46">
        <f>EFEITO!$L$705*EFEITO!$Z$705</f>
        <v>0</v>
      </c>
      <c r="L705" s="46">
        <f>EFEITO!$N$705*EFEITO!$AA$705</f>
        <v>0</v>
      </c>
      <c r="M705" s="46">
        <f ca="1">$J$705-EFEITO!$K$705*EFEITO!$Y$705</f>
        <v>0</v>
      </c>
      <c r="N705" s="46">
        <f>$K$705-EFEITO!$M$705*EFEITO!$Z$705</f>
        <v>0</v>
      </c>
      <c r="O705" s="46">
        <f>$L$705-EFEITO!$O$705*EFEITO!$AA$705</f>
        <v>0</v>
      </c>
      <c r="P705" s="38"/>
      <c r="Q705" s="38"/>
      <c r="R705" s="38"/>
      <c r="S705" s="38"/>
      <c r="T705" s="38"/>
      <c r="U705" s="38"/>
      <c r="V705" s="38"/>
      <c r="W705" s="38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</row>
    <row r="706" spans="1:36" ht="11.25" customHeight="1" x14ac:dyDescent="0.2">
      <c r="A706" s="35" t="s">
        <v>30</v>
      </c>
      <c r="B706" s="35" t="s">
        <v>41</v>
      </c>
      <c r="C706" s="35" t="s">
        <v>44</v>
      </c>
      <c r="D706" s="35" t="s">
        <v>40</v>
      </c>
      <c r="E706" s="35" t="s">
        <v>25</v>
      </c>
      <c r="F706" s="35" t="s">
        <v>25</v>
      </c>
      <c r="G706" s="35" t="s">
        <v>25</v>
      </c>
      <c r="H706" s="35" t="s">
        <v>25</v>
      </c>
      <c r="I706" s="45">
        <v>44562</v>
      </c>
      <c r="J706" s="46">
        <f ca="1">EFEITO!$J$706*EFEITO!$Y$706</f>
        <v>8349.1618037414373</v>
      </c>
      <c r="K706" s="46">
        <f>EFEITO!$L$706*EFEITO!$Z$706</f>
        <v>0</v>
      </c>
      <c r="L706" s="46">
        <f>EFEITO!$N$706*EFEITO!$AA$706</f>
        <v>0</v>
      </c>
      <c r="M706" s="46">
        <f ca="1">$J$706-EFEITO!$K$706*EFEITO!$Y$706</f>
        <v>0</v>
      </c>
      <c r="N706" s="46">
        <f>$K$706-EFEITO!$M$706*EFEITO!$Z$706</f>
        <v>0</v>
      </c>
      <c r="O706" s="46">
        <f>$L$706-EFEITO!$O$706*EFEITO!$AA$706</f>
        <v>0</v>
      </c>
      <c r="P706" s="38"/>
      <c r="Q706" s="38"/>
      <c r="R706" s="38"/>
      <c r="S706" s="38"/>
      <c r="T706" s="38"/>
      <c r="U706" s="38"/>
      <c r="V706" s="38"/>
      <c r="W706" s="38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</row>
    <row r="707" spans="1:36" ht="11.25" customHeight="1" x14ac:dyDescent="0.2">
      <c r="A707" s="35" t="s">
        <v>21</v>
      </c>
      <c r="B707" s="35" t="s">
        <v>41</v>
      </c>
      <c r="C707" s="35" t="s">
        <v>44</v>
      </c>
      <c r="D707" s="35" t="s">
        <v>40</v>
      </c>
      <c r="E707" s="35" t="s">
        <v>25</v>
      </c>
      <c r="F707" s="35" t="s">
        <v>25</v>
      </c>
      <c r="G707" s="35" t="s">
        <v>25</v>
      </c>
      <c r="H707" s="35" t="s">
        <v>25</v>
      </c>
      <c r="I707" s="45">
        <v>44593</v>
      </c>
      <c r="J707" s="46">
        <f ca="1">EFEITO!$J$707*EFEITO!$Y$707</f>
        <v>218273.88932843046</v>
      </c>
      <c r="K707" s="46">
        <f>EFEITO!$L$707*EFEITO!$Z$707</f>
        <v>0</v>
      </c>
      <c r="L707" s="46">
        <f>EFEITO!$N$707*EFEITO!$AA$707</f>
        <v>0</v>
      </c>
      <c r="M707" s="46">
        <f ca="1">$J$707-EFEITO!$K$707*EFEITO!$Y$707</f>
        <v>0</v>
      </c>
      <c r="N707" s="46">
        <f>$K$707-EFEITO!$M$707*EFEITO!$Z$707</f>
        <v>0</v>
      </c>
      <c r="O707" s="46">
        <f>$L$707-EFEITO!$O$707*EFEITO!$AA$707</f>
        <v>0</v>
      </c>
      <c r="P707" s="38"/>
      <c r="Q707" s="38"/>
      <c r="R707" s="38"/>
      <c r="S707" s="38"/>
      <c r="T707" s="38"/>
      <c r="U707" s="38"/>
      <c r="V707" s="38"/>
      <c r="W707" s="38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</row>
    <row r="708" spans="1:36" ht="11.25" customHeight="1" x14ac:dyDescent="0.2">
      <c r="A708" s="35" t="s">
        <v>27</v>
      </c>
      <c r="B708" s="35" t="s">
        <v>41</v>
      </c>
      <c r="C708" s="35" t="s">
        <v>44</v>
      </c>
      <c r="D708" s="35" t="s">
        <v>40</v>
      </c>
      <c r="E708" s="35" t="s">
        <v>25</v>
      </c>
      <c r="F708" s="35" t="s">
        <v>25</v>
      </c>
      <c r="G708" s="35" t="s">
        <v>25</v>
      </c>
      <c r="H708" s="35" t="s">
        <v>25</v>
      </c>
      <c r="I708" s="45">
        <v>44593</v>
      </c>
      <c r="J708" s="46">
        <f ca="1">EFEITO!$J$708*EFEITO!$Y$708</f>
        <v>-391.68907227428969</v>
      </c>
      <c r="K708" s="46">
        <f>EFEITO!$L$708*EFEITO!$Z$708</f>
        <v>0</v>
      </c>
      <c r="L708" s="46">
        <f>EFEITO!$N$708*EFEITO!$AA$708</f>
        <v>0</v>
      </c>
      <c r="M708" s="46">
        <f ca="1">$J$708-EFEITO!$K$708*EFEITO!$Y$708</f>
        <v>0</v>
      </c>
      <c r="N708" s="46">
        <f>$K$708-EFEITO!$M$708*EFEITO!$Z$708</f>
        <v>0</v>
      </c>
      <c r="O708" s="46">
        <f>$L$708-EFEITO!$O$708*EFEITO!$AA$708</f>
        <v>0</v>
      </c>
      <c r="P708" s="38"/>
      <c r="Q708" s="38"/>
      <c r="R708" s="38"/>
      <c r="S708" s="38"/>
      <c r="T708" s="38"/>
      <c r="U708" s="38"/>
      <c r="V708" s="38"/>
      <c r="W708" s="38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</row>
    <row r="709" spans="1:36" ht="11.25" customHeight="1" x14ac:dyDescent="0.2">
      <c r="A709" s="35" t="s">
        <v>28</v>
      </c>
      <c r="B709" s="35" t="s">
        <v>41</v>
      </c>
      <c r="C709" s="35" t="s">
        <v>44</v>
      </c>
      <c r="D709" s="35" t="s">
        <v>40</v>
      </c>
      <c r="E709" s="35" t="s">
        <v>25</v>
      </c>
      <c r="F709" s="35" t="s">
        <v>25</v>
      </c>
      <c r="G709" s="35" t="s">
        <v>25</v>
      </c>
      <c r="H709" s="35" t="s">
        <v>25</v>
      </c>
      <c r="I709" s="45">
        <v>44593</v>
      </c>
      <c r="J709" s="46">
        <f ca="1">EFEITO!$J$709*EFEITO!$Y$709</f>
        <v>30696.054137706175</v>
      </c>
      <c r="K709" s="46">
        <f>EFEITO!$L$709*EFEITO!$Z$709</f>
        <v>0</v>
      </c>
      <c r="L709" s="46">
        <f>EFEITO!$N$709*EFEITO!$AA$709</f>
        <v>0</v>
      </c>
      <c r="M709" s="46">
        <f ca="1">$J$709-EFEITO!$K$709*EFEITO!$Y$709</f>
        <v>0</v>
      </c>
      <c r="N709" s="46">
        <f>$K$709-EFEITO!$M$709*EFEITO!$Z$709</f>
        <v>0</v>
      </c>
      <c r="O709" s="46">
        <f>$L$709-EFEITO!$O$709*EFEITO!$AA$709</f>
        <v>0</v>
      </c>
      <c r="P709" s="38"/>
      <c r="Q709" s="38"/>
      <c r="R709" s="38"/>
      <c r="S709" s="38"/>
      <c r="T709" s="38"/>
      <c r="U709" s="38"/>
      <c r="V709" s="38"/>
      <c r="W709" s="38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</row>
    <row r="710" spans="1:36" ht="11.25" customHeight="1" x14ac:dyDescent="0.2">
      <c r="A710" s="35" t="s">
        <v>30</v>
      </c>
      <c r="B710" s="35" t="s">
        <v>41</v>
      </c>
      <c r="C710" s="35" t="s">
        <v>44</v>
      </c>
      <c r="D710" s="35" t="s">
        <v>40</v>
      </c>
      <c r="E710" s="35" t="s">
        <v>25</v>
      </c>
      <c r="F710" s="35" t="s">
        <v>25</v>
      </c>
      <c r="G710" s="35" t="s">
        <v>25</v>
      </c>
      <c r="H710" s="35" t="s">
        <v>25</v>
      </c>
      <c r="I710" s="45">
        <v>44593</v>
      </c>
      <c r="J710" s="46">
        <f ca="1">EFEITO!$J$710*EFEITO!$Y$710</f>
        <v>8266.7009464205348</v>
      </c>
      <c r="K710" s="46">
        <f>EFEITO!$L$710*EFEITO!$Z$710</f>
        <v>0</v>
      </c>
      <c r="L710" s="46">
        <f>EFEITO!$N$710*EFEITO!$AA$710</f>
        <v>0</v>
      </c>
      <c r="M710" s="46">
        <f ca="1">$J$710-EFEITO!$K$710*EFEITO!$Y$710</f>
        <v>0</v>
      </c>
      <c r="N710" s="46">
        <f>$K$710-EFEITO!$M$710*EFEITO!$Z$710</f>
        <v>0</v>
      </c>
      <c r="O710" s="46">
        <f>$L$710-EFEITO!$O$710*EFEITO!$AA$710</f>
        <v>0</v>
      </c>
      <c r="P710" s="38"/>
      <c r="Q710" s="38"/>
      <c r="R710" s="38"/>
      <c r="S710" s="38"/>
      <c r="T710" s="38"/>
      <c r="U710" s="38"/>
      <c r="V710" s="38"/>
      <c r="W710" s="38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</row>
    <row r="711" spans="1:36" ht="11.25" customHeight="1" x14ac:dyDescent="0.2">
      <c r="A711" s="35" t="s">
        <v>21</v>
      </c>
      <c r="B711" s="35" t="s">
        <v>41</v>
      </c>
      <c r="C711" s="35" t="s">
        <v>44</v>
      </c>
      <c r="D711" s="35" t="s">
        <v>40</v>
      </c>
      <c r="E711" s="35" t="s">
        <v>25</v>
      </c>
      <c r="F711" s="35" t="s">
        <v>25</v>
      </c>
      <c r="G711" s="35" t="s">
        <v>25</v>
      </c>
      <c r="H711" s="35" t="s">
        <v>25</v>
      </c>
      <c r="I711" s="45">
        <v>44621</v>
      </c>
      <c r="J711" s="46">
        <f ca="1">EFEITO!$J$711*EFEITO!$Y$711</f>
        <v>219799.41518886719</v>
      </c>
      <c r="K711" s="46">
        <f>EFEITO!$L$711*EFEITO!$Z$711</f>
        <v>0</v>
      </c>
      <c r="L711" s="46">
        <f>EFEITO!$N$711*EFEITO!$AA$711</f>
        <v>0</v>
      </c>
      <c r="M711" s="46">
        <f ca="1">$J$711-EFEITO!$K$711*EFEITO!$Y$711</f>
        <v>0</v>
      </c>
      <c r="N711" s="46">
        <f>$K$711-EFEITO!$M$711*EFEITO!$Z$711</f>
        <v>0</v>
      </c>
      <c r="O711" s="46">
        <f>$L$711-EFEITO!$O$711*EFEITO!$AA$711</f>
        <v>0</v>
      </c>
      <c r="P711" s="38"/>
      <c r="Q711" s="38"/>
      <c r="R711" s="38"/>
      <c r="S711" s="38"/>
      <c r="T711" s="38"/>
      <c r="U711" s="38"/>
      <c r="V711" s="38"/>
      <c r="W711" s="38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</row>
    <row r="712" spans="1:36" ht="11.25" customHeight="1" x14ac:dyDescent="0.2">
      <c r="A712" s="35" t="s">
        <v>28</v>
      </c>
      <c r="B712" s="35" t="s">
        <v>41</v>
      </c>
      <c r="C712" s="35" t="s">
        <v>44</v>
      </c>
      <c r="D712" s="35" t="s">
        <v>40</v>
      </c>
      <c r="E712" s="35" t="s">
        <v>25</v>
      </c>
      <c r="F712" s="35" t="s">
        <v>25</v>
      </c>
      <c r="G712" s="35" t="s">
        <v>25</v>
      </c>
      <c r="H712" s="35" t="s">
        <v>25</v>
      </c>
      <c r="I712" s="45">
        <v>44621</v>
      </c>
      <c r="J712" s="46">
        <f ca="1">EFEITO!$J$712*EFEITO!$Y$712</f>
        <v>32675.114713407849</v>
      </c>
      <c r="K712" s="46">
        <f>EFEITO!$L$712*EFEITO!$Z$712</f>
        <v>0</v>
      </c>
      <c r="L712" s="46">
        <f>EFEITO!$N$712*EFEITO!$AA$712</f>
        <v>0</v>
      </c>
      <c r="M712" s="46">
        <f ca="1">$J$712-EFEITO!$K$712*EFEITO!$Y$712</f>
        <v>0</v>
      </c>
      <c r="N712" s="46">
        <f>$K$712-EFEITO!$M$712*EFEITO!$Z$712</f>
        <v>0</v>
      </c>
      <c r="O712" s="46">
        <f>$L$712-EFEITO!$O$712*EFEITO!$AA$712</f>
        <v>0</v>
      </c>
      <c r="P712" s="38"/>
      <c r="Q712" s="38"/>
      <c r="R712" s="38"/>
      <c r="S712" s="38"/>
      <c r="T712" s="38"/>
      <c r="U712" s="38"/>
      <c r="V712" s="38"/>
      <c r="W712" s="38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</row>
    <row r="713" spans="1:36" ht="11.25" customHeight="1" x14ac:dyDescent="0.2">
      <c r="A713" s="35" t="s">
        <v>30</v>
      </c>
      <c r="B713" s="35" t="s">
        <v>41</v>
      </c>
      <c r="C713" s="35" t="s">
        <v>44</v>
      </c>
      <c r="D713" s="35" t="s">
        <v>40</v>
      </c>
      <c r="E713" s="35" t="s">
        <v>25</v>
      </c>
      <c r="F713" s="35" t="s">
        <v>25</v>
      </c>
      <c r="G713" s="35" t="s">
        <v>25</v>
      </c>
      <c r="H713" s="35" t="s">
        <v>25</v>
      </c>
      <c r="I713" s="45">
        <v>44621</v>
      </c>
      <c r="J713" s="46">
        <f ca="1">EFEITO!$J$713*EFEITO!$Y$713</f>
        <v>8390.3922324018895</v>
      </c>
      <c r="K713" s="46">
        <f>EFEITO!$L$713*EFEITO!$Z$713</f>
        <v>0</v>
      </c>
      <c r="L713" s="46">
        <f>EFEITO!$N$713*EFEITO!$AA$713</f>
        <v>0</v>
      </c>
      <c r="M713" s="46">
        <f ca="1">$J$713-EFEITO!$K$713*EFEITO!$Y$713</f>
        <v>0</v>
      </c>
      <c r="N713" s="46">
        <f>$K$713-EFEITO!$M$713*EFEITO!$Z$713</f>
        <v>0</v>
      </c>
      <c r="O713" s="46">
        <f>$L$713-EFEITO!$O$713*EFEITO!$AA$713</f>
        <v>0</v>
      </c>
      <c r="P713" s="38"/>
      <c r="Q713" s="38"/>
      <c r="R713" s="38"/>
      <c r="S713" s="38"/>
      <c r="T713" s="38"/>
      <c r="U713" s="38"/>
      <c r="V713" s="38"/>
      <c r="W713" s="38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</row>
    <row r="714" spans="1:36" ht="11.25" customHeight="1" x14ac:dyDescent="0.2">
      <c r="A714" s="35" t="s">
        <v>21</v>
      </c>
      <c r="B714" s="35" t="s">
        <v>41</v>
      </c>
      <c r="C714" s="35" t="s">
        <v>44</v>
      </c>
      <c r="D714" s="35" t="s">
        <v>40</v>
      </c>
      <c r="E714" s="35" t="s">
        <v>25</v>
      </c>
      <c r="F714" s="35" t="s">
        <v>25</v>
      </c>
      <c r="G714" s="35" t="s">
        <v>25</v>
      </c>
      <c r="H714" s="35" t="s">
        <v>25</v>
      </c>
      <c r="I714" s="45">
        <v>44652</v>
      </c>
      <c r="J714" s="46">
        <f ca="1">EFEITO!$J$714*EFEITO!$Y$714</f>
        <v>218232.65889977003</v>
      </c>
      <c r="K714" s="46">
        <f>EFEITO!$L$714*EFEITO!$Z$714</f>
        <v>0</v>
      </c>
      <c r="L714" s="46">
        <f>EFEITO!$N$714*EFEITO!$AA$714</f>
        <v>0</v>
      </c>
      <c r="M714" s="46">
        <f ca="1">$J$714-EFEITO!$K$714*EFEITO!$Y$714</f>
        <v>0</v>
      </c>
      <c r="N714" s="46">
        <f>$K$714-EFEITO!$M$714*EFEITO!$Z$714</f>
        <v>0</v>
      </c>
      <c r="O714" s="46">
        <f>$L$714-EFEITO!$O$714*EFEITO!$AA$714</f>
        <v>0</v>
      </c>
      <c r="P714" s="38"/>
      <c r="Q714" s="38"/>
      <c r="R714" s="38"/>
      <c r="S714" s="38"/>
      <c r="T714" s="38"/>
      <c r="U714" s="38"/>
      <c r="V714" s="38"/>
      <c r="W714" s="38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</row>
    <row r="715" spans="1:36" ht="11.25" customHeight="1" x14ac:dyDescent="0.2">
      <c r="A715" s="35" t="s">
        <v>28</v>
      </c>
      <c r="B715" s="35" t="s">
        <v>41</v>
      </c>
      <c r="C715" s="35" t="s">
        <v>44</v>
      </c>
      <c r="D715" s="35" t="s">
        <v>40</v>
      </c>
      <c r="E715" s="35" t="s">
        <v>25</v>
      </c>
      <c r="F715" s="35" t="s">
        <v>25</v>
      </c>
      <c r="G715" s="35" t="s">
        <v>25</v>
      </c>
      <c r="H715" s="35" t="s">
        <v>25</v>
      </c>
      <c r="I715" s="45">
        <v>44652</v>
      </c>
      <c r="J715" s="46">
        <f ca="1">EFEITO!$J$715*EFEITO!$Y$715</f>
        <v>32283.425641133559</v>
      </c>
      <c r="K715" s="46">
        <f>EFEITO!$L$715*EFEITO!$Z$715</f>
        <v>0</v>
      </c>
      <c r="L715" s="46">
        <f>EFEITO!$N$715*EFEITO!$AA$715</f>
        <v>0</v>
      </c>
      <c r="M715" s="46">
        <f ca="1">$J$715-EFEITO!$K$715*EFEITO!$Y$715</f>
        <v>0</v>
      </c>
      <c r="N715" s="46">
        <f>$K$715-EFEITO!$M$715*EFEITO!$Z$715</f>
        <v>0</v>
      </c>
      <c r="O715" s="46">
        <f>$L$715-EFEITO!$O$715*EFEITO!$AA$715</f>
        <v>0</v>
      </c>
      <c r="P715" s="38"/>
      <c r="Q715" s="38"/>
      <c r="R715" s="38"/>
      <c r="S715" s="38"/>
      <c r="T715" s="38"/>
      <c r="U715" s="38"/>
      <c r="V715" s="38"/>
      <c r="W715" s="38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</row>
    <row r="716" spans="1:36" ht="11.25" customHeight="1" x14ac:dyDescent="0.2">
      <c r="A716" s="35" t="s">
        <v>30</v>
      </c>
      <c r="B716" s="35" t="s">
        <v>41</v>
      </c>
      <c r="C716" s="35" t="s">
        <v>44</v>
      </c>
      <c r="D716" s="35" t="s">
        <v>40</v>
      </c>
      <c r="E716" s="35" t="s">
        <v>25</v>
      </c>
      <c r="F716" s="35" t="s">
        <v>25</v>
      </c>
      <c r="G716" s="35" t="s">
        <v>25</v>
      </c>
      <c r="H716" s="35" t="s">
        <v>25</v>
      </c>
      <c r="I716" s="45">
        <v>44652</v>
      </c>
      <c r="J716" s="46">
        <f ca="1">EFEITO!$J$716*EFEITO!$Y$716</f>
        <v>8369.7770180716634</v>
      </c>
      <c r="K716" s="46">
        <f>EFEITO!$L$716*EFEITO!$Z$716</f>
        <v>0</v>
      </c>
      <c r="L716" s="46">
        <f>EFEITO!$N$716*EFEITO!$AA$716</f>
        <v>0</v>
      </c>
      <c r="M716" s="46">
        <f ca="1">$J$716-EFEITO!$K$716*EFEITO!$Y$716</f>
        <v>0</v>
      </c>
      <c r="N716" s="46">
        <f>$K$716-EFEITO!$M$716*EFEITO!$Z$716</f>
        <v>0</v>
      </c>
      <c r="O716" s="46">
        <f>$L$716-EFEITO!$O$716*EFEITO!$AA$716</f>
        <v>0</v>
      </c>
      <c r="P716" s="38"/>
      <c r="Q716" s="38"/>
      <c r="R716" s="38"/>
      <c r="S716" s="38"/>
      <c r="T716" s="38"/>
      <c r="U716" s="38"/>
      <c r="V716" s="38"/>
      <c r="W716" s="38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</row>
    <row r="717" spans="1:36" ht="11.25" customHeight="1" x14ac:dyDescent="0.2">
      <c r="A717" s="35" t="s">
        <v>21</v>
      </c>
      <c r="B717" s="35" t="s">
        <v>41</v>
      </c>
      <c r="C717" s="35" t="s">
        <v>44</v>
      </c>
      <c r="D717" s="35" t="s">
        <v>40</v>
      </c>
      <c r="E717" s="35" t="s">
        <v>25</v>
      </c>
      <c r="F717" s="35" t="s">
        <v>25</v>
      </c>
      <c r="G717" s="35" t="s">
        <v>25</v>
      </c>
      <c r="H717" s="35" t="s">
        <v>25</v>
      </c>
      <c r="I717" s="45">
        <v>44682</v>
      </c>
      <c r="J717" s="46">
        <f ca="1">EFEITO!$J$717*EFEITO!$Y$717</f>
        <v>218108.96761378867</v>
      </c>
      <c r="K717" s="46">
        <f>EFEITO!$L$717*EFEITO!$Z$717</f>
        <v>0</v>
      </c>
      <c r="L717" s="46">
        <f>EFEITO!$N$717*EFEITO!$AA$717</f>
        <v>0</v>
      </c>
      <c r="M717" s="46">
        <f ca="1">$J$717-EFEITO!$K$717*EFEITO!$Y$717</f>
        <v>0</v>
      </c>
      <c r="N717" s="46">
        <f>$K$717-EFEITO!$M$717*EFEITO!$Z$717</f>
        <v>0</v>
      </c>
      <c r="O717" s="46">
        <f>$L$717-EFEITO!$O$717*EFEITO!$AA$717</f>
        <v>0</v>
      </c>
      <c r="P717" s="38"/>
      <c r="Q717" s="38"/>
      <c r="R717" s="38"/>
      <c r="S717" s="38"/>
      <c r="T717" s="38"/>
      <c r="U717" s="38"/>
      <c r="V717" s="38"/>
      <c r="W717" s="38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</row>
    <row r="718" spans="1:36" ht="11.25" customHeight="1" x14ac:dyDescent="0.2">
      <c r="A718" s="35" t="s">
        <v>28</v>
      </c>
      <c r="B718" s="35" t="s">
        <v>41</v>
      </c>
      <c r="C718" s="35" t="s">
        <v>44</v>
      </c>
      <c r="D718" s="35" t="s">
        <v>40</v>
      </c>
      <c r="E718" s="35" t="s">
        <v>25</v>
      </c>
      <c r="F718" s="35" t="s">
        <v>25</v>
      </c>
      <c r="G718" s="35" t="s">
        <v>25</v>
      </c>
      <c r="H718" s="35" t="s">
        <v>25</v>
      </c>
      <c r="I718" s="45">
        <v>44682</v>
      </c>
      <c r="J718" s="46">
        <f ca="1">EFEITO!$J$718*EFEITO!$Y$718</f>
        <v>31355.740996273398</v>
      </c>
      <c r="K718" s="46">
        <f>EFEITO!$L$718*EFEITO!$Z$718</f>
        <v>0</v>
      </c>
      <c r="L718" s="46">
        <f>EFEITO!$N$718*EFEITO!$AA$718</f>
        <v>0</v>
      </c>
      <c r="M718" s="46">
        <f ca="1">$J$718-EFEITO!$K$718*EFEITO!$Y$718</f>
        <v>0</v>
      </c>
      <c r="N718" s="46">
        <f>$K$718-EFEITO!$M$718*EFEITO!$Z$718</f>
        <v>0</v>
      </c>
      <c r="O718" s="46">
        <f>$L$718-EFEITO!$O$718*EFEITO!$AA$718</f>
        <v>0</v>
      </c>
      <c r="P718" s="38"/>
      <c r="Q718" s="38"/>
      <c r="R718" s="38"/>
      <c r="S718" s="38"/>
      <c r="T718" s="38"/>
      <c r="U718" s="38"/>
      <c r="V718" s="38"/>
      <c r="W718" s="38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</row>
    <row r="719" spans="1:36" ht="11.25" customHeight="1" x14ac:dyDescent="0.2">
      <c r="A719" s="35" t="s">
        <v>30</v>
      </c>
      <c r="B719" s="35" t="s">
        <v>41</v>
      </c>
      <c r="C719" s="35" t="s">
        <v>44</v>
      </c>
      <c r="D719" s="35" t="s">
        <v>40</v>
      </c>
      <c r="E719" s="35" t="s">
        <v>25</v>
      </c>
      <c r="F719" s="35" t="s">
        <v>25</v>
      </c>
      <c r="G719" s="35" t="s">
        <v>25</v>
      </c>
      <c r="H719" s="35" t="s">
        <v>25</v>
      </c>
      <c r="I719" s="45">
        <v>44682</v>
      </c>
      <c r="J719" s="46">
        <f ca="1">EFEITO!$J$719*EFEITO!$Y$719</f>
        <v>8266.7009464205348</v>
      </c>
      <c r="K719" s="46">
        <f>EFEITO!$L$719*EFEITO!$Z$719</f>
        <v>0</v>
      </c>
      <c r="L719" s="46">
        <f>EFEITO!$N$719*EFEITO!$AA$719</f>
        <v>0</v>
      </c>
      <c r="M719" s="46">
        <f ca="1">$J$719-EFEITO!$K$719*EFEITO!$Y$719</f>
        <v>0</v>
      </c>
      <c r="N719" s="46">
        <f>$K$719-EFEITO!$M$719*EFEITO!$Z$719</f>
        <v>0</v>
      </c>
      <c r="O719" s="46">
        <f>$L$719-EFEITO!$O$719*EFEITO!$AA$719</f>
        <v>0</v>
      </c>
      <c r="P719" s="38"/>
      <c r="Q719" s="38"/>
      <c r="R719" s="38"/>
      <c r="S719" s="38"/>
      <c r="T719" s="38"/>
      <c r="U719" s="38"/>
      <c r="V719" s="38"/>
      <c r="W719" s="38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</row>
    <row r="720" spans="1:36" ht="11.25" customHeight="1" x14ac:dyDescent="0.2">
      <c r="A720" s="35" t="s">
        <v>21</v>
      </c>
      <c r="B720" s="35" t="s">
        <v>41</v>
      </c>
      <c r="C720" s="35" t="s">
        <v>44</v>
      </c>
      <c r="D720" s="35" t="s">
        <v>40</v>
      </c>
      <c r="E720" s="35" t="s">
        <v>25</v>
      </c>
      <c r="F720" s="35" t="s">
        <v>25</v>
      </c>
      <c r="G720" s="35" t="s">
        <v>25</v>
      </c>
      <c r="H720" s="35" t="s">
        <v>25</v>
      </c>
      <c r="I720" s="45">
        <v>44713</v>
      </c>
      <c r="J720" s="46">
        <f ca="1">EFEITO!$J$720*EFEITO!$Y$720</f>
        <v>218438.81104307229</v>
      </c>
      <c r="K720" s="46">
        <f>EFEITO!$L$720*EFEITO!$Z$720</f>
        <v>0</v>
      </c>
      <c r="L720" s="46">
        <f>EFEITO!$N$720*EFEITO!$AA$720</f>
        <v>0</v>
      </c>
      <c r="M720" s="46">
        <f ca="1">$J$720-EFEITO!$K$720*EFEITO!$Y$720</f>
        <v>0</v>
      </c>
      <c r="N720" s="46">
        <f>$K$720-EFEITO!$M$720*EFEITO!$Z$720</f>
        <v>0</v>
      </c>
      <c r="O720" s="46">
        <f>$L$720-EFEITO!$O$720*EFEITO!$AA$720</f>
        <v>0</v>
      </c>
      <c r="P720" s="38"/>
      <c r="Q720" s="38"/>
      <c r="R720" s="38"/>
      <c r="S720" s="38"/>
      <c r="T720" s="38"/>
      <c r="U720" s="38"/>
      <c r="V720" s="38"/>
      <c r="W720" s="38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</row>
    <row r="721" spans="1:36" ht="11.25" customHeight="1" x14ac:dyDescent="0.2">
      <c r="A721" s="35" t="s">
        <v>27</v>
      </c>
      <c r="B721" s="35" t="s">
        <v>41</v>
      </c>
      <c r="C721" s="35" t="s">
        <v>44</v>
      </c>
      <c r="D721" s="35" t="s">
        <v>40</v>
      </c>
      <c r="E721" s="35" t="s">
        <v>25</v>
      </c>
      <c r="F721" s="35" t="s">
        <v>25</v>
      </c>
      <c r="G721" s="35" t="s">
        <v>25</v>
      </c>
      <c r="H721" s="35" t="s">
        <v>25</v>
      </c>
      <c r="I721" s="45">
        <v>44713</v>
      </c>
      <c r="J721" s="46">
        <f ca="1">EFEITO!$J$721*EFEITO!$Y$721</f>
        <v>-3442.7407931477037</v>
      </c>
      <c r="K721" s="46">
        <f>EFEITO!$L$721*EFEITO!$Z$721</f>
        <v>0</v>
      </c>
      <c r="L721" s="46">
        <f>EFEITO!$N$721*EFEITO!$AA$721</f>
        <v>0</v>
      </c>
      <c r="M721" s="46">
        <f ca="1">$J$721-EFEITO!$K$721*EFEITO!$Y$721</f>
        <v>0</v>
      </c>
      <c r="N721" s="46">
        <f>$K$721-EFEITO!$M$721*EFEITO!$Z$721</f>
        <v>0</v>
      </c>
      <c r="O721" s="46">
        <f>$L$721-EFEITO!$O$721*EFEITO!$AA$721</f>
        <v>0</v>
      </c>
      <c r="P721" s="38"/>
      <c r="Q721" s="38"/>
      <c r="R721" s="38"/>
      <c r="S721" s="38"/>
      <c r="T721" s="38"/>
      <c r="U721" s="38"/>
      <c r="V721" s="38"/>
      <c r="W721" s="38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</row>
    <row r="722" spans="1:36" ht="11.25" customHeight="1" x14ac:dyDescent="0.2">
      <c r="A722" s="35" t="s">
        <v>28</v>
      </c>
      <c r="B722" s="35" t="s">
        <v>41</v>
      </c>
      <c r="C722" s="35" t="s">
        <v>44</v>
      </c>
      <c r="D722" s="35" t="s">
        <v>40</v>
      </c>
      <c r="E722" s="35" t="s">
        <v>25</v>
      </c>
      <c r="F722" s="35" t="s">
        <v>25</v>
      </c>
      <c r="G722" s="35" t="s">
        <v>25</v>
      </c>
      <c r="H722" s="35" t="s">
        <v>25</v>
      </c>
      <c r="I722" s="45">
        <v>44713</v>
      </c>
      <c r="J722" s="46">
        <f ca="1">EFEITO!$J$722*EFEITO!$Y$722</f>
        <v>31335.125781943174</v>
      </c>
      <c r="K722" s="46">
        <f>EFEITO!$L$722*EFEITO!$Z$722</f>
        <v>0</v>
      </c>
      <c r="L722" s="46">
        <f>EFEITO!$N$722*EFEITO!$AA$722</f>
        <v>0</v>
      </c>
      <c r="M722" s="46">
        <f ca="1">$J$722-EFEITO!$K$722*EFEITO!$Y$722</f>
        <v>0</v>
      </c>
      <c r="N722" s="46">
        <f>$K$722-EFEITO!$M$722*EFEITO!$Z$722</f>
        <v>0</v>
      </c>
      <c r="O722" s="46">
        <f>$L$722-EFEITO!$O$722*EFEITO!$AA$722</f>
        <v>0</v>
      </c>
      <c r="P722" s="38"/>
      <c r="Q722" s="38"/>
      <c r="R722" s="38"/>
      <c r="S722" s="38"/>
      <c r="T722" s="38"/>
      <c r="U722" s="38"/>
      <c r="V722" s="38"/>
      <c r="W722" s="38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</row>
    <row r="723" spans="1:36" ht="11.25" customHeight="1" x14ac:dyDescent="0.2">
      <c r="A723" s="35" t="s">
        <v>30</v>
      </c>
      <c r="B723" s="35" t="s">
        <v>41</v>
      </c>
      <c r="C723" s="35" t="s">
        <v>44</v>
      </c>
      <c r="D723" s="35" t="s">
        <v>40</v>
      </c>
      <c r="E723" s="35" t="s">
        <v>25</v>
      </c>
      <c r="F723" s="35" t="s">
        <v>25</v>
      </c>
      <c r="G723" s="35" t="s">
        <v>25</v>
      </c>
      <c r="H723" s="35" t="s">
        <v>25</v>
      </c>
      <c r="I723" s="45">
        <v>44713</v>
      </c>
      <c r="J723" s="46">
        <f ca="1">EFEITO!$J$723*EFEITO!$Y$723</f>
        <v>8637.7748043645988</v>
      </c>
      <c r="K723" s="46">
        <f>EFEITO!$L$723*EFEITO!$Z$723</f>
        <v>0</v>
      </c>
      <c r="L723" s="46">
        <f>EFEITO!$N$723*EFEITO!$AA$723</f>
        <v>0</v>
      </c>
      <c r="M723" s="46">
        <f ca="1">$J$723-EFEITO!$K$723*EFEITO!$Y$723</f>
        <v>0</v>
      </c>
      <c r="N723" s="46">
        <f>$K$723-EFEITO!$M$723*EFEITO!$Z$723</f>
        <v>0</v>
      </c>
      <c r="O723" s="46">
        <f>$L$723-EFEITO!$O$723*EFEITO!$AA$723</f>
        <v>0</v>
      </c>
      <c r="P723" s="38"/>
      <c r="Q723" s="38"/>
      <c r="R723" s="38"/>
      <c r="S723" s="38"/>
      <c r="T723" s="38"/>
      <c r="U723" s="38"/>
      <c r="V723" s="38"/>
      <c r="W723" s="38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</row>
    <row r="724" spans="1:36" ht="11.25" customHeight="1" x14ac:dyDescent="0.2">
      <c r="A724" s="35" t="s">
        <v>21</v>
      </c>
      <c r="B724" s="35" t="s">
        <v>41</v>
      </c>
      <c r="C724" s="35" t="s">
        <v>44</v>
      </c>
      <c r="D724" s="35" t="s">
        <v>40</v>
      </c>
      <c r="E724" s="35" t="s">
        <v>25</v>
      </c>
      <c r="F724" s="35" t="s">
        <v>25</v>
      </c>
      <c r="G724" s="35" t="s">
        <v>25</v>
      </c>
      <c r="H724" s="35" t="s">
        <v>25</v>
      </c>
      <c r="I724" s="45">
        <v>44743</v>
      </c>
      <c r="J724" s="46">
        <f ca="1">EFEITO!$J$724*EFEITO!$Y$724</f>
        <v>222314.47133715471</v>
      </c>
      <c r="K724" s="46">
        <f>EFEITO!$L$724*EFEITO!$Z$724</f>
        <v>0</v>
      </c>
      <c r="L724" s="46">
        <f>EFEITO!$N$724*EFEITO!$AA$724</f>
        <v>0</v>
      </c>
      <c r="M724" s="46">
        <f ca="1">$J$724-EFEITO!$K$724*EFEITO!$Y$724</f>
        <v>0</v>
      </c>
      <c r="N724" s="46">
        <f>$K$724-EFEITO!$M$724*EFEITO!$Z$724</f>
        <v>0</v>
      </c>
      <c r="O724" s="46">
        <f>$L$724-EFEITO!$O$724*EFEITO!$AA$724</f>
        <v>0</v>
      </c>
      <c r="P724" s="38"/>
      <c r="Q724" s="38"/>
      <c r="R724" s="38"/>
      <c r="S724" s="38"/>
      <c r="T724" s="38"/>
      <c r="U724" s="38"/>
      <c r="V724" s="38"/>
      <c r="W724" s="38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</row>
    <row r="725" spans="1:36" ht="11.25" customHeight="1" x14ac:dyDescent="0.2">
      <c r="A725" s="35" t="s">
        <v>28</v>
      </c>
      <c r="B725" s="35" t="s">
        <v>41</v>
      </c>
      <c r="C725" s="35" t="s">
        <v>44</v>
      </c>
      <c r="D725" s="35" t="s">
        <v>40</v>
      </c>
      <c r="E725" s="35" t="s">
        <v>25</v>
      </c>
      <c r="F725" s="35" t="s">
        <v>25</v>
      </c>
      <c r="G725" s="35" t="s">
        <v>25</v>
      </c>
      <c r="H725" s="35" t="s">
        <v>25</v>
      </c>
      <c r="I725" s="45">
        <v>44743</v>
      </c>
      <c r="J725" s="46">
        <f ca="1">EFEITO!$J$725*EFEITO!$Y$725</f>
        <v>31829.890925868593</v>
      </c>
      <c r="K725" s="46">
        <f>EFEITO!$L$725*EFEITO!$Z$725</f>
        <v>0</v>
      </c>
      <c r="L725" s="46">
        <f>EFEITO!$N$725*EFEITO!$AA$725</f>
        <v>0</v>
      </c>
      <c r="M725" s="46">
        <f ca="1">$J$725-EFEITO!$K$725*EFEITO!$Y$725</f>
        <v>0</v>
      </c>
      <c r="N725" s="46">
        <f>$K$725-EFEITO!$M$725*EFEITO!$Z$725</f>
        <v>0</v>
      </c>
      <c r="O725" s="46">
        <f>$L$725-EFEITO!$O$725*EFEITO!$AA$725</f>
        <v>0</v>
      </c>
      <c r="P725" s="38"/>
      <c r="Q725" s="38"/>
      <c r="R725" s="38"/>
      <c r="S725" s="38"/>
      <c r="T725" s="38"/>
      <c r="U725" s="38"/>
      <c r="V725" s="38"/>
      <c r="W725" s="38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</row>
    <row r="726" spans="1:36" ht="11.25" customHeight="1" x14ac:dyDescent="0.2">
      <c r="A726" s="35" t="s">
        <v>30</v>
      </c>
      <c r="B726" s="35" t="s">
        <v>41</v>
      </c>
      <c r="C726" s="35" t="s">
        <v>44</v>
      </c>
      <c r="D726" s="35" t="s">
        <v>40</v>
      </c>
      <c r="E726" s="35" t="s">
        <v>25</v>
      </c>
      <c r="F726" s="35" t="s">
        <v>25</v>
      </c>
      <c r="G726" s="35" t="s">
        <v>25</v>
      </c>
      <c r="H726" s="35" t="s">
        <v>25</v>
      </c>
      <c r="I726" s="45">
        <v>44743</v>
      </c>
      <c r="J726" s="46">
        <f ca="1">EFEITO!$J$726*EFEITO!$Y$726</f>
        <v>8452.2378753925659</v>
      </c>
      <c r="K726" s="46">
        <f>EFEITO!$L$726*EFEITO!$Z$726</f>
        <v>0</v>
      </c>
      <c r="L726" s="46">
        <f>EFEITO!$N$726*EFEITO!$AA$726</f>
        <v>0</v>
      </c>
      <c r="M726" s="46">
        <f ca="1">$J$726-EFEITO!$K$726*EFEITO!$Y$726</f>
        <v>0</v>
      </c>
      <c r="N726" s="46">
        <f>$K$726-EFEITO!$M$726*EFEITO!$Z$726</f>
        <v>0</v>
      </c>
      <c r="O726" s="46">
        <f>$L$726-EFEITO!$O$726*EFEITO!$AA$726</f>
        <v>0</v>
      </c>
      <c r="P726" s="38"/>
      <c r="Q726" s="38"/>
      <c r="R726" s="38"/>
      <c r="S726" s="38"/>
      <c r="T726" s="38"/>
      <c r="U726" s="38"/>
      <c r="V726" s="38"/>
      <c r="W726" s="38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</row>
    <row r="727" spans="1:36" ht="11.25" customHeight="1" x14ac:dyDescent="0.2">
      <c r="A727" s="35" t="s">
        <v>21</v>
      </c>
      <c r="B727" s="35" t="s">
        <v>41</v>
      </c>
      <c r="C727" s="35" t="s">
        <v>44</v>
      </c>
      <c r="D727" s="35" t="s">
        <v>40</v>
      </c>
      <c r="E727" s="35" t="s">
        <v>25</v>
      </c>
      <c r="F727" s="35" t="s">
        <v>25</v>
      </c>
      <c r="G727" s="35" t="s">
        <v>25</v>
      </c>
      <c r="H727" s="35" t="s">
        <v>25</v>
      </c>
      <c r="I727" s="45">
        <v>44774</v>
      </c>
      <c r="J727" s="46">
        <f ca="1">EFEITO!$J$727*EFEITO!$Y$727</f>
        <v>228148.57699260861</v>
      </c>
      <c r="K727" s="46">
        <f>EFEITO!$L$727*EFEITO!$Z$727</f>
        <v>0</v>
      </c>
      <c r="L727" s="46">
        <f>EFEITO!$N$727*EFEITO!$AA$727</f>
        <v>0</v>
      </c>
      <c r="M727" s="46">
        <f ca="1">$J$727-EFEITO!$K$727*EFEITO!$Y$727</f>
        <v>0</v>
      </c>
      <c r="N727" s="46">
        <f>$K$727-EFEITO!$M$727*EFEITO!$Z$727</f>
        <v>0</v>
      </c>
      <c r="O727" s="46">
        <f>$L$727-EFEITO!$O$727*EFEITO!$AA$727</f>
        <v>0</v>
      </c>
      <c r="P727" s="38"/>
      <c r="Q727" s="38"/>
      <c r="R727" s="38"/>
      <c r="S727" s="38"/>
      <c r="T727" s="38"/>
      <c r="U727" s="38"/>
      <c r="V727" s="38"/>
      <c r="W727" s="38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</row>
    <row r="728" spans="1:36" ht="11.25" customHeight="1" x14ac:dyDescent="0.2">
      <c r="A728" s="35" t="s">
        <v>28</v>
      </c>
      <c r="B728" s="35" t="s">
        <v>41</v>
      </c>
      <c r="C728" s="35" t="s">
        <v>44</v>
      </c>
      <c r="D728" s="35" t="s">
        <v>40</v>
      </c>
      <c r="E728" s="35" t="s">
        <v>25</v>
      </c>
      <c r="F728" s="35" t="s">
        <v>25</v>
      </c>
      <c r="G728" s="35" t="s">
        <v>25</v>
      </c>
      <c r="H728" s="35" t="s">
        <v>25</v>
      </c>
      <c r="I728" s="45">
        <v>44774</v>
      </c>
      <c r="J728" s="46">
        <f ca="1">EFEITO!$J$728*EFEITO!$Y$728</f>
        <v>32510.192998766044</v>
      </c>
      <c r="K728" s="46">
        <f>EFEITO!$L$728*EFEITO!$Z$728</f>
        <v>0</v>
      </c>
      <c r="L728" s="46">
        <f>EFEITO!$N$728*EFEITO!$AA$728</f>
        <v>0</v>
      </c>
      <c r="M728" s="46">
        <f ca="1">$J$728-EFEITO!$K$728*EFEITO!$Y$728</f>
        <v>0</v>
      </c>
      <c r="N728" s="46">
        <f>$K$728-EFEITO!$M$728*EFEITO!$Z$728</f>
        <v>0</v>
      </c>
      <c r="O728" s="46">
        <f>$L$728-EFEITO!$O$728*EFEITO!$AA$728</f>
        <v>0</v>
      </c>
      <c r="P728" s="38"/>
      <c r="Q728" s="38"/>
      <c r="R728" s="38"/>
      <c r="S728" s="38"/>
      <c r="T728" s="38"/>
      <c r="U728" s="38"/>
      <c r="V728" s="38"/>
      <c r="W728" s="38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</row>
    <row r="729" spans="1:36" ht="11.25" customHeight="1" x14ac:dyDescent="0.2">
      <c r="A729" s="35" t="s">
        <v>30</v>
      </c>
      <c r="B729" s="35" t="s">
        <v>41</v>
      </c>
      <c r="C729" s="35" t="s">
        <v>44</v>
      </c>
      <c r="D729" s="35" t="s">
        <v>40</v>
      </c>
      <c r="E729" s="35" t="s">
        <v>25</v>
      </c>
      <c r="F729" s="35" t="s">
        <v>25</v>
      </c>
      <c r="G729" s="35" t="s">
        <v>25</v>
      </c>
      <c r="H729" s="35" t="s">
        <v>25</v>
      </c>
      <c r="I729" s="45">
        <v>44774</v>
      </c>
      <c r="J729" s="46">
        <f ca="1">EFEITO!$J$729*EFEITO!$Y$729</f>
        <v>8617.1595900343727</v>
      </c>
      <c r="K729" s="46">
        <f>EFEITO!$L$729*EFEITO!$Z$729</f>
        <v>0</v>
      </c>
      <c r="L729" s="46">
        <f>EFEITO!$N$729*EFEITO!$AA$729</f>
        <v>0</v>
      </c>
      <c r="M729" s="46">
        <f ca="1">$J$729-EFEITO!$K$729*EFEITO!$Y$729</f>
        <v>0</v>
      </c>
      <c r="N729" s="46">
        <f>$K$729-EFEITO!$M$729*EFEITO!$Z$729</f>
        <v>0</v>
      </c>
      <c r="O729" s="46">
        <f>$L$729-EFEITO!$O$729*EFEITO!$AA$729</f>
        <v>0</v>
      </c>
      <c r="P729" s="38"/>
      <c r="Q729" s="38"/>
      <c r="R729" s="38"/>
      <c r="S729" s="38"/>
      <c r="T729" s="38"/>
      <c r="U729" s="38"/>
      <c r="V729" s="38"/>
      <c r="W729" s="38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</row>
    <row r="730" spans="1:36" ht="11.25" customHeight="1" x14ac:dyDescent="0.2">
      <c r="A730" s="35" t="s">
        <v>21</v>
      </c>
      <c r="B730" s="35" t="s">
        <v>41</v>
      </c>
      <c r="C730" s="35" t="s">
        <v>44</v>
      </c>
      <c r="D730" s="35" t="s">
        <v>40</v>
      </c>
      <c r="E730" s="35" t="s">
        <v>25</v>
      </c>
      <c r="F730" s="35" t="s">
        <v>25</v>
      </c>
      <c r="G730" s="35" t="s">
        <v>25</v>
      </c>
      <c r="H730" s="35" t="s">
        <v>25</v>
      </c>
      <c r="I730" s="45">
        <v>44805</v>
      </c>
      <c r="J730" s="46">
        <f ca="1">EFEITO!$J$730*EFEITO!$Y$730</f>
        <v>231302.70478513316</v>
      </c>
      <c r="K730" s="46">
        <f>EFEITO!$L$730*EFEITO!$Z$730</f>
        <v>0</v>
      </c>
      <c r="L730" s="46">
        <f>EFEITO!$N$730*EFEITO!$AA$730</f>
        <v>0</v>
      </c>
      <c r="M730" s="46">
        <f ca="1">$J$730-EFEITO!$K$730*EFEITO!$Y$730</f>
        <v>0</v>
      </c>
      <c r="N730" s="46">
        <f>$K$730-EFEITO!$M$730*EFEITO!$Z$730</f>
        <v>0</v>
      </c>
      <c r="O730" s="46">
        <f>$L$730-EFEITO!$O$730*EFEITO!$AA$730</f>
        <v>0</v>
      </c>
      <c r="P730" s="38"/>
      <c r="Q730" s="38"/>
      <c r="R730" s="38"/>
      <c r="S730" s="38"/>
      <c r="T730" s="38"/>
      <c r="U730" s="38"/>
      <c r="V730" s="38"/>
      <c r="W730" s="38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</row>
    <row r="731" spans="1:36" ht="11.25" customHeight="1" x14ac:dyDescent="0.2">
      <c r="A731" s="35" t="s">
        <v>28</v>
      </c>
      <c r="B731" s="35" t="s">
        <v>41</v>
      </c>
      <c r="C731" s="35" t="s">
        <v>44</v>
      </c>
      <c r="D731" s="35" t="s">
        <v>40</v>
      </c>
      <c r="E731" s="35" t="s">
        <v>25</v>
      </c>
      <c r="F731" s="35" t="s">
        <v>25</v>
      </c>
      <c r="G731" s="35" t="s">
        <v>25</v>
      </c>
      <c r="H731" s="35" t="s">
        <v>25</v>
      </c>
      <c r="I731" s="45">
        <v>44805</v>
      </c>
      <c r="J731" s="46">
        <f ca="1">EFEITO!$J$731*EFEITO!$Y$731</f>
        <v>32819.421213719426</v>
      </c>
      <c r="K731" s="46">
        <f>EFEITO!$L$731*EFEITO!$Z$731</f>
        <v>0</v>
      </c>
      <c r="L731" s="46">
        <f>EFEITO!$N$731*EFEITO!$AA$731</f>
        <v>0</v>
      </c>
      <c r="M731" s="46">
        <f ca="1">$J$731-EFEITO!$K$731*EFEITO!$Y$731</f>
        <v>0</v>
      </c>
      <c r="N731" s="46">
        <f>$K$731-EFEITO!$M$731*EFEITO!$Z$731</f>
        <v>0</v>
      </c>
      <c r="O731" s="46">
        <f>$L$731-EFEITO!$O$731*EFEITO!$AA$731</f>
        <v>0</v>
      </c>
      <c r="P731" s="38"/>
      <c r="Q731" s="38"/>
      <c r="R731" s="38"/>
      <c r="S731" s="38"/>
      <c r="T731" s="38"/>
      <c r="U731" s="38"/>
      <c r="V731" s="38"/>
      <c r="W731" s="38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</row>
    <row r="732" spans="1:36" ht="11.25" customHeight="1" x14ac:dyDescent="0.2">
      <c r="A732" s="35" t="s">
        <v>30</v>
      </c>
      <c r="B732" s="35" t="s">
        <v>41</v>
      </c>
      <c r="C732" s="35" t="s">
        <v>44</v>
      </c>
      <c r="D732" s="35" t="s">
        <v>40</v>
      </c>
      <c r="E732" s="35" t="s">
        <v>25</v>
      </c>
      <c r="F732" s="35" t="s">
        <v>25</v>
      </c>
      <c r="G732" s="35" t="s">
        <v>25</v>
      </c>
      <c r="H732" s="35" t="s">
        <v>25</v>
      </c>
      <c r="I732" s="45">
        <v>44805</v>
      </c>
      <c r="J732" s="46">
        <f ca="1">EFEITO!$J$732*EFEITO!$Y$732</f>
        <v>8761.4660903459535</v>
      </c>
      <c r="K732" s="46">
        <f>EFEITO!$L$732*EFEITO!$Z$732</f>
        <v>0</v>
      </c>
      <c r="L732" s="46">
        <f>EFEITO!$N$732*EFEITO!$AA$732</f>
        <v>0</v>
      </c>
      <c r="M732" s="46">
        <f ca="1">$J$732-EFEITO!$K$732*EFEITO!$Y$732</f>
        <v>0</v>
      </c>
      <c r="N732" s="46">
        <f>$K$732-EFEITO!$M$732*EFEITO!$Z$732</f>
        <v>0</v>
      </c>
      <c r="O732" s="46">
        <f>$L$732-EFEITO!$O$732*EFEITO!$AA$732</f>
        <v>0</v>
      </c>
      <c r="P732" s="38"/>
      <c r="Q732" s="38"/>
      <c r="R732" s="38"/>
      <c r="S732" s="38"/>
      <c r="T732" s="38"/>
      <c r="U732" s="38"/>
      <c r="V732" s="38"/>
      <c r="W732" s="38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</row>
    <row r="733" spans="1:36" ht="11.25" customHeight="1" x14ac:dyDescent="0.2">
      <c r="A733" s="35" t="s">
        <v>21</v>
      </c>
      <c r="B733" s="35" t="s">
        <v>41</v>
      </c>
      <c r="C733" s="35" t="s">
        <v>44</v>
      </c>
      <c r="D733" s="35" t="s">
        <v>40</v>
      </c>
      <c r="E733" s="35" t="s">
        <v>25</v>
      </c>
      <c r="F733" s="35" t="s">
        <v>25</v>
      </c>
      <c r="G733" s="35" t="s">
        <v>25</v>
      </c>
      <c r="H733" s="35" t="s">
        <v>25</v>
      </c>
      <c r="I733" s="45">
        <v>44835</v>
      </c>
      <c r="J733" s="46">
        <f ca="1">EFEITO!$J$733*EFEITO!$Y$733</f>
        <v>239033.41015896783</v>
      </c>
      <c r="K733" s="46">
        <f>EFEITO!$L$733*EFEITO!$Z$733</f>
        <v>0</v>
      </c>
      <c r="L733" s="46">
        <f>EFEITO!$N$733*EFEITO!$AA$733</f>
        <v>0</v>
      </c>
      <c r="M733" s="46">
        <f ca="1">$J$733-EFEITO!$K$733*EFEITO!$Y$733</f>
        <v>0</v>
      </c>
      <c r="N733" s="46">
        <f>$K$733-EFEITO!$M$733*EFEITO!$Z$733</f>
        <v>0</v>
      </c>
      <c r="O733" s="46">
        <f>$L$733-EFEITO!$O$733*EFEITO!$AA$733</f>
        <v>0</v>
      </c>
      <c r="P733" s="38"/>
      <c r="Q733" s="38"/>
      <c r="R733" s="38"/>
      <c r="S733" s="38"/>
      <c r="T733" s="38"/>
      <c r="U733" s="38"/>
      <c r="V733" s="38"/>
      <c r="W733" s="38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</row>
    <row r="734" spans="1:36" ht="11.25" customHeight="1" x14ac:dyDescent="0.2">
      <c r="A734" s="35" t="s">
        <v>28</v>
      </c>
      <c r="B734" s="35" t="s">
        <v>41</v>
      </c>
      <c r="C734" s="35" t="s">
        <v>44</v>
      </c>
      <c r="D734" s="35" t="s">
        <v>40</v>
      </c>
      <c r="E734" s="35" t="s">
        <v>25</v>
      </c>
      <c r="F734" s="35" t="s">
        <v>25</v>
      </c>
      <c r="G734" s="35" t="s">
        <v>25</v>
      </c>
      <c r="H734" s="35" t="s">
        <v>25</v>
      </c>
      <c r="I734" s="45">
        <v>44835</v>
      </c>
      <c r="J734" s="46">
        <f ca="1">EFEITO!$J$734*EFEITO!$Y$734</f>
        <v>32386.501712784688</v>
      </c>
      <c r="K734" s="46">
        <f>EFEITO!$L$734*EFEITO!$Z$734</f>
        <v>0</v>
      </c>
      <c r="L734" s="46">
        <f>EFEITO!$N$734*EFEITO!$AA$734</f>
        <v>0</v>
      </c>
      <c r="M734" s="46">
        <f ca="1">$J$734-EFEITO!$K$734*EFEITO!$Y$734</f>
        <v>0</v>
      </c>
      <c r="N734" s="46">
        <f>$K$734-EFEITO!$M$734*EFEITO!$Z$734</f>
        <v>0</v>
      </c>
      <c r="O734" s="46">
        <f>$L$734-EFEITO!$O$734*EFEITO!$AA$734</f>
        <v>0</v>
      </c>
      <c r="P734" s="38"/>
      <c r="Q734" s="38"/>
      <c r="R734" s="38"/>
      <c r="S734" s="38"/>
      <c r="T734" s="38"/>
      <c r="U734" s="38"/>
      <c r="V734" s="38"/>
      <c r="W734" s="38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</row>
    <row r="735" spans="1:36" ht="11.25" customHeight="1" x14ac:dyDescent="0.2">
      <c r="A735" s="35" t="s">
        <v>30</v>
      </c>
      <c r="B735" s="35" t="s">
        <v>41</v>
      </c>
      <c r="C735" s="35" t="s">
        <v>44</v>
      </c>
      <c r="D735" s="35" t="s">
        <v>40</v>
      </c>
      <c r="E735" s="35" t="s">
        <v>25</v>
      </c>
      <c r="F735" s="35" t="s">
        <v>25</v>
      </c>
      <c r="G735" s="35" t="s">
        <v>25</v>
      </c>
      <c r="H735" s="35" t="s">
        <v>25</v>
      </c>
      <c r="I735" s="45">
        <v>44835</v>
      </c>
      <c r="J735" s="46">
        <f ca="1">EFEITO!$J$735*EFEITO!$Y$735</f>
        <v>8514.0835183832442</v>
      </c>
      <c r="K735" s="46">
        <f>EFEITO!$L$735*EFEITO!$Z$735</f>
        <v>0</v>
      </c>
      <c r="L735" s="46">
        <f>EFEITO!$N$735*EFEITO!$AA$735</f>
        <v>0</v>
      </c>
      <c r="M735" s="46">
        <f ca="1">$J$735-EFEITO!$K$735*EFEITO!$Y$735</f>
        <v>0</v>
      </c>
      <c r="N735" s="46">
        <f>$K$735-EFEITO!$M$735*EFEITO!$Z$735</f>
        <v>0</v>
      </c>
      <c r="O735" s="46">
        <f>$L$735-EFEITO!$O$735*EFEITO!$AA$735</f>
        <v>0</v>
      </c>
      <c r="P735" s="38"/>
      <c r="Q735" s="38"/>
      <c r="R735" s="38"/>
      <c r="S735" s="38"/>
      <c r="T735" s="38"/>
      <c r="U735" s="38"/>
      <c r="V735" s="38"/>
      <c r="W735" s="38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</row>
    <row r="736" spans="1:36" ht="11.25" customHeight="1" x14ac:dyDescent="0.2">
      <c r="A736" s="35" t="s">
        <v>59</v>
      </c>
      <c r="B736" s="35" t="s">
        <v>41</v>
      </c>
      <c r="C736" s="35" t="s">
        <v>44</v>
      </c>
      <c r="D736" s="35" t="s">
        <v>40</v>
      </c>
      <c r="E736" s="35" t="s">
        <v>25</v>
      </c>
      <c r="F736" s="35" t="s">
        <v>25</v>
      </c>
      <c r="G736" s="35" t="s">
        <v>25</v>
      </c>
      <c r="H736" s="35" t="s">
        <v>25</v>
      </c>
      <c r="I736" s="45">
        <v>44866</v>
      </c>
      <c r="J736" s="46">
        <f ca="1">EFEITO!$J$736*EFEITO!$Y$736</f>
        <v>239033.41015896783</v>
      </c>
      <c r="K736" s="46">
        <f>EFEITO!$L$736*EFEITO!$Z$736</f>
        <v>0</v>
      </c>
      <c r="L736" s="46">
        <f>EFEITO!$N$736*EFEITO!$AA$736</f>
        <v>0</v>
      </c>
      <c r="M736" s="46">
        <f ca="1">$J$736-EFEITO!$K$736*EFEITO!$Y$736</f>
        <v>0</v>
      </c>
      <c r="N736" s="46">
        <f>$K$736-EFEITO!$M$736*EFEITO!$Z$736</f>
        <v>0</v>
      </c>
      <c r="O736" s="46">
        <f>$L$736-EFEITO!$O$736*EFEITO!$AA$736</f>
        <v>0</v>
      </c>
      <c r="P736" s="38"/>
      <c r="Q736" s="38"/>
      <c r="R736" s="38"/>
      <c r="S736" s="38"/>
      <c r="T736" s="38"/>
      <c r="U736" s="38"/>
      <c r="V736" s="38"/>
      <c r="W736" s="38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</row>
    <row r="737" spans="1:36" ht="11.25" customHeight="1" x14ac:dyDescent="0.2">
      <c r="A737" s="35" t="s">
        <v>59</v>
      </c>
      <c r="B737" s="35" t="s">
        <v>41</v>
      </c>
      <c r="C737" s="35" t="s">
        <v>44</v>
      </c>
      <c r="D737" s="35" t="s">
        <v>40</v>
      </c>
      <c r="E737" s="35" t="s">
        <v>25</v>
      </c>
      <c r="F737" s="35" t="s">
        <v>25</v>
      </c>
      <c r="G737" s="35" t="s">
        <v>25</v>
      </c>
      <c r="H737" s="35" t="s">
        <v>25</v>
      </c>
      <c r="I737" s="45">
        <v>44866</v>
      </c>
      <c r="J737" s="46">
        <f ca="1">EFEITO!$J$737*EFEITO!$Y$737</f>
        <v>32386.501712784688</v>
      </c>
      <c r="K737" s="46">
        <f>EFEITO!$L$737*EFEITO!$Z$737</f>
        <v>0</v>
      </c>
      <c r="L737" s="46">
        <f>EFEITO!$N$737*EFEITO!$AA$737</f>
        <v>0</v>
      </c>
      <c r="M737" s="46">
        <f ca="1">$J$737-EFEITO!$K$737*EFEITO!$Y$737</f>
        <v>0</v>
      </c>
      <c r="N737" s="46">
        <f>$K$737-EFEITO!$M$737*EFEITO!$Z$737</f>
        <v>0</v>
      </c>
      <c r="O737" s="46">
        <f>$L$737-EFEITO!$O$737*EFEITO!$AA$737</f>
        <v>0</v>
      </c>
      <c r="P737" s="38"/>
      <c r="Q737" s="38"/>
      <c r="R737" s="38"/>
      <c r="S737" s="38"/>
      <c r="T737" s="38"/>
      <c r="U737" s="38"/>
      <c r="V737" s="38"/>
      <c r="W737" s="38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</row>
    <row r="738" spans="1:36" ht="11.25" customHeight="1" x14ac:dyDescent="0.2">
      <c r="A738" s="35" t="s">
        <v>59</v>
      </c>
      <c r="B738" s="35" t="s">
        <v>41</v>
      </c>
      <c r="C738" s="35" t="s">
        <v>44</v>
      </c>
      <c r="D738" s="35" t="s">
        <v>40</v>
      </c>
      <c r="E738" s="35" t="s">
        <v>25</v>
      </c>
      <c r="F738" s="35" t="s">
        <v>25</v>
      </c>
      <c r="G738" s="35" t="s">
        <v>25</v>
      </c>
      <c r="H738" s="35" t="s">
        <v>25</v>
      </c>
      <c r="I738" s="45">
        <v>44866</v>
      </c>
      <c r="J738" s="46">
        <f ca="1">EFEITO!$J$738*EFEITO!$Y$738</f>
        <v>8514.0835183832442</v>
      </c>
      <c r="K738" s="46">
        <f>EFEITO!$L$738*EFEITO!$Z$738</f>
        <v>0</v>
      </c>
      <c r="L738" s="46">
        <f>EFEITO!$N$738*EFEITO!$AA$738</f>
        <v>0</v>
      </c>
      <c r="M738" s="46">
        <f ca="1">$J$738-EFEITO!$K$738*EFEITO!$Y$738</f>
        <v>0</v>
      </c>
      <c r="N738" s="46">
        <f>$K$738-EFEITO!$M$738*EFEITO!$Z$738</f>
        <v>0</v>
      </c>
      <c r="O738" s="46">
        <f>$L$738-EFEITO!$O$738*EFEITO!$AA$738</f>
        <v>0</v>
      </c>
      <c r="P738" s="38"/>
      <c r="Q738" s="38"/>
      <c r="R738" s="38"/>
      <c r="S738" s="38"/>
      <c r="T738" s="38"/>
      <c r="U738" s="38"/>
      <c r="V738" s="38"/>
      <c r="W738" s="38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</row>
    <row r="739" spans="1:36" ht="11.25" customHeight="1" x14ac:dyDescent="0.2">
      <c r="A739" s="35" t="s">
        <v>21</v>
      </c>
      <c r="B739" s="35" t="s">
        <v>41</v>
      </c>
      <c r="C739" s="35" t="s">
        <v>44</v>
      </c>
      <c r="D739" s="35" t="s">
        <v>40</v>
      </c>
      <c r="E739" s="35" t="s">
        <v>25</v>
      </c>
      <c r="F739" s="35" t="s">
        <v>25</v>
      </c>
      <c r="G739" s="35" t="s">
        <v>25</v>
      </c>
      <c r="H739" s="35" t="s">
        <v>36</v>
      </c>
      <c r="I739" s="45">
        <v>44531</v>
      </c>
      <c r="J739" s="46">
        <f>EFEITO!$J$739*EFEITO!$Y$739</f>
        <v>0</v>
      </c>
      <c r="K739" s="46">
        <f ca="1">EFEITO!$L$739*EFEITO!$Z$739</f>
        <v>108089.30896394856</v>
      </c>
      <c r="L739" s="46">
        <f>EFEITO!$N$739*EFEITO!$AA$739</f>
        <v>26482.802426419952</v>
      </c>
      <c r="M739" s="46">
        <f>$J$739-EFEITO!$K$739*EFEITO!$Y$739</f>
        <v>0</v>
      </c>
      <c r="N739" s="46">
        <f ca="1">$K$739-EFEITO!$M$739*EFEITO!$Z$739</f>
        <v>0</v>
      </c>
      <c r="O739" s="46">
        <f>$L$739-EFEITO!$O$739*EFEITO!$AA$739</f>
        <v>0</v>
      </c>
      <c r="P739" s="38"/>
      <c r="Q739" s="38"/>
      <c r="R739" s="38"/>
      <c r="S739" s="38"/>
      <c r="T739" s="38"/>
      <c r="U739" s="38"/>
      <c r="V739" s="38"/>
      <c r="W739" s="38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</row>
    <row r="740" spans="1:36" ht="11.25" customHeight="1" x14ac:dyDescent="0.2">
      <c r="A740" s="35" t="s">
        <v>28</v>
      </c>
      <c r="B740" s="35" t="s">
        <v>41</v>
      </c>
      <c r="C740" s="35" t="s">
        <v>44</v>
      </c>
      <c r="D740" s="35" t="s">
        <v>40</v>
      </c>
      <c r="E740" s="35" t="s">
        <v>25</v>
      </c>
      <c r="F740" s="35" t="s">
        <v>25</v>
      </c>
      <c r="G740" s="35" t="s">
        <v>25</v>
      </c>
      <c r="H740" s="35" t="s">
        <v>36</v>
      </c>
      <c r="I740" s="45">
        <v>44531</v>
      </c>
      <c r="J740" s="46">
        <f>EFEITO!$J$740*EFEITO!$Y$740</f>
        <v>0</v>
      </c>
      <c r="K740" s="46">
        <f ca="1">EFEITO!$L$740*EFEITO!$Z$740</f>
        <v>6659.0959649007154</v>
      </c>
      <c r="L740" s="46">
        <f>EFEITO!$N$740*EFEITO!$AA$740</f>
        <v>1631.5352967596007</v>
      </c>
      <c r="M740" s="46">
        <f>$J$740-EFEITO!$K$740*EFEITO!$Y$740</f>
        <v>0</v>
      </c>
      <c r="N740" s="46">
        <f ca="1">$K$740-EFEITO!$M$740*EFEITO!$Z$740</f>
        <v>0</v>
      </c>
      <c r="O740" s="46">
        <f>$L$740-EFEITO!$O$740*EFEITO!$AA$740</f>
        <v>0</v>
      </c>
      <c r="P740" s="38"/>
      <c r="Q740" s="38"/>
      <c r="R740" s="38"/>
      <c r="S740" s="38"/>
      <c r="T740" s="38"/>
      <c r="U740" s="38"/>
      <c r="V740" s="38"/>
      <c r="W740" s="38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</row>
    <row r="741" spans="1:36" ht="11.25" customHeight="1" x14ac:dyDescent="0.2">
      <c r="A741" s="35" t="s">
        <v>30</v>
      </c>
      <c r="B741" s="35" t="s">
        <v>41</v>
      </c>
      <c r="C741" s="35" t="s">
        <v>44</v>
      </c>
      <c r="D741" s="35" t="s">
        <v>40</v>
      </c>
      <c r="E741" s="35" t="s">
        <v>25</v>
      </c>
      <c r="F741" s="35" t="s">
        <v>25</v>
      </c>
      <c r="G741" s="35" t="s">
        <v>25</v>
      </c>
      <c r="H741" s="35" t="s">
        <v>36</v>
      </c>
      <c r="I741" s="45">
        <v>44531</v>
      </c>
      <c r="J741" s="46">
        <f>EFEITO!$J$741*EFEITO!$Y$741</f>
        <v>0</v>
      </c>
      <c r="K741" s="46">
        <f ca="1">EFEITO!$L$741*EFEITO!$Z$741</f>
        <v>2320.8407363779334</v>
      </c>
      <c r="L741" s="46">
        <f>EFEITO!$N$741*EFEITO!$AA$741</f>
        <v>568.62577135342394</v>
      </c>
      <c r="M741" s="46">
        <f>$J$741-EFEITO!$K$741*EFEITO!$Y$741</f>
        <v>0</v>
      </c>
      <c r="N741" s="46">
        <f ca="1">$K$741-EFEITO!$M$741*EFEITO!$Z$741</f>
        <v>0</v>
      </c>
      <c r="O741" s="46">
        <f>$L$741-EFEITO!$O$741*EFEITO!$AA$741</f>
        <v>0</v>
      </c>
      <c r="P741" s="38"/>
      <c r="Q741" s="38"/>
      <c r="R741" s="38"/>
      <c r="S741" s="38"/>
      <c r="T741" s="38"/>
      <c r="U741" s="38"/>
      <c r="V741" s="38"/>
      <c r="W741" s="38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</row>
    <row r="742" spans="1:36" ht="11.25" customHeight="1" x14ac:dyDescent="0.2">
      <c r="A742" s="35" t="s">
        <v>21</v>
      </c>
      <c r="B742" s="35" t="s">
        <v>41</v>
      </c>
      <c r="C742" s="35" t="s">
        <v>44</v>
      </c>
      <c r="D742" s="35" t="s">
        <v>40</v>
      </c>
      <c r="E742" s="35" t="s">
        <v>25</v>
      </c>
      <c r="F742" s="35" t="s">
        <v>25</v>
      </c>
      <c r="G742" s="35" t="s">
        <v>25</v>
      </c>
      <c r="H742" s="35" t="s">
        <v>36</v>
      </c>
      <c r="I742" s="45">
        <v>44562</v>
      </c>
      <c r="J742" s="46">
        <f>EFEITO!$J$742*EFEITO!$Y$742</f>
        <v>0</v>
      </c>
      <c r="K742" s="46">
        <f ca="1">EFEITO!$L$742*EFEITO!$Z$742</f>
        <v>111219.7797276216</v>
      </c>
      <c r="L742" s="46">
        <f>EFEITO!$N$742*EFEITO!$AA$742</f>
        <v>27249.794458570774</v>
      </c>
      <c r="M742" s="46">
        <f>$J$742-EFEITO!$K$742*EFEITO!$Y$742</f>
        <v>0</v>
      </c>
      <c r="N742" s="46">
        <f ca="1">$K$742-EFEITO!$M$742*EFEITO!$Z$742</f>
        <v>0</v>
      </c>
      <c r="O742" s="46">
        <f>$L$742-EFEITO!$O$742*EFEITO!$AA$742</f>
        <v>0</v>
      </c>
      <c r="P742" s="38"/>
      <c r="Q742" s="38"/>
      <c r="R742" s="38"/>
      <c r="S742" s="38"/>
      <c r="T742" s="38"/>
      <c r="U742" s="38"/>
      <c r="V742" s="38"/>
      <c r="W742" s="38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</row>
    <row r="743" spans="1:36" ht="11.25" customHeight="1" x14ac:dyDescent="0.2">
      <c r="A743" s="35" t="s">
        <v>27</v>
      </c>
      <c r="B743" s="35" t="s">
        <v>41</v>
      </c>
      <c r="C743" s="35" t="s">
        <v>44</v>
      </c>
      <c r="D743" s="35" t="s">
        <v>40</v>
      </c>
      <c r="E743" s="35" t="s">
        <v>25</v>
      </c>
      <c r="F743" s="35" t="s">
        <v>25</v>
      </c>
      <c r="G743" s="35" t="s">
        <v>25</v>
      </c>
      <c r="H743" s="35" t="s">
        <v>36</v>
      </c>
      <c r="I743" s="45">
        <v>44562</v>
      </c>
      <c r="J743" s="46">
        <f>EFEITO!$J$743*EFEITO!$Y$743</f>
        <v>0</v>
      </c>
      <c r="K743" s="46">
        <f ca="1">EFEITO!$L$743*EFEITO!$Z$743</f>
        <v>-20203.747481861476</v>
      </c>
      <c r="L743" s="46">
        <f>EFEITO!$N$743*EFEITO!$AA$743</f>
        <v>-4950.0904202641814</v>
      </c>
      <c r="M743" s="46">
        <f>$J$743-EFEITO!$K$743*EFEITO!$Y$743</f>
        <v>0</v>
      </c>
      <c r="N743" s="46">
        <f ca="1">$K$743-EFEITO!$M$743*EFEITO!$Z$743</f>
        <v>0</v>
      </c>
      <c r="O743" s="46">
        <f>$L$743-EFEITO!$O$743*EFEITO!$AA$743</f>
        <v>0</v>
      </c>
      <c r="P743" s="38"/>
      <c r="Q743" s="38"/>
      <c r="R743" s="38"/>
      <c r="S743" s="38"/>
      <c r="T743" s="38"/>
      <c r="U743" s="38"/>
      <c r="V743" s="38"/>
      <c r="W743" s="38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</row>
    <row r="744" spans="1:36" ht="11.25" customHeight="1" x14ac:dyDescent="0.2">
      <c r="A744" s="35" t="s">
        <v>28</v>
      </c>
      <c r="B744" s="35" t="s">
        <v>41</v>
      </c>
      <c r="C744" s="35" t="s">
        <v>44</v>
      </c>
      <c r="D744" s="35" t="s">
        <v>40</v>
      </c>
      <c r="E744" s="35" t="s">
        <v>25</v>
      </c>
      <c r="F744" s="35" t="s">
        <v>25</v>
      </c>
      <c r="G744" s="35" t="s">
        <v>25</v>
      </c>
      <c r="H744" s="35" t="s">
        <v>36</v>
      </c>
      <c r="I744" s="45">
        <v>44562</v>
      </c>
      <c r="J744" s="46">
        <f>EFEITO!$J$744*EFEITO!$Y$744</f>
        <v>0</v>
      </c>
      <c r="K744" s="46">
        <f ca="1">EFEITO!$L$744*EFEITO!$Z$744</f>
        <v>5054.6371905169917</v>
      </c>
      <c r="L744" s="46">
        <f>EFEITO!$N$744*EFEITO!$AA$744</f>
        <v>1238.4292150331266</v>
      </c>
      <c r="M744" s="46">
        <f>$J$744-EFEITO!$K$744*EFEITO!$Y$744</f>
        <v>0</v>
      </c>
      <c r="N744" s="46">
        <f ca="1">$K$744-EFEITO!$M$744*EFEITO!$Z$744</f>
        <v>0</v>
      </c>
      <c r="O744" s="46">
        <f>$L$744-EFEITO!$O$744*EFEITO!$AA$744</f>
        <v>0</v>
      </c>
      <c r="P744" s="38"/>
      <c r="Q744" s="38"/>
      <c r="R744" s="38"/>
      <c r="S744" s="38"/>
      <c r="T744" s="38"/>
      <c r="U744" s="38"/>
      <c r="V744" s="38"/>
      <c r="W744" s="38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</row>
    <row r="745" spans="1:36" ht="11.25" customHeight="1" x14ac:dyDescent="0.2">
      <c r="A745" s="35" t="s">
        <v>30</v>
      </c>
      <c r="B745" s="35" t="s">
        <v>41</v>
      </c>
      <c r="C745" s="35" t="s">
        <v>44</v>
      </c>
      <c r="D745" s="35" t="s">
        <v>40</v>
      </c>
      <c r="E745" s="35" t="s">
        <v>25</v>
      </c>
      <c r="F745" s="35" t="s">
        <v>25</v>
      </c>
      <c r="G745" s="35" t="s">
        <v>25</v>
      </c>
      <c r="H745" s="35" t="s">
        <v>36</v>
      </c>
      <c r="I745" s="45">
        <v>44562</v>
      </c>
      <c r="J745" s="46">
        <f>EFEITO!$J$745*EFEITO!$Y$745</f>
        <v>0</v>
      </c>
      <c r="K745" s="46">
        <f ca="1">EFEITO!$L$745*EFEITO!$Z$745</f>
        <v>2755.9983744487959</v>
      </c>
      <c r="L745" s="46">
        <f>EFEITO!$N$745*EFEITO!$AA$745</f>
        <v>675.24310348219092</v>
      </c>
      <c r="M745" s="46">
        <f>$J$745-EFEITO!$K$745*EFEITO!$Y$745</f>
        <v>0</v>
      </c>
      <c r="N745" s="46">
        <f ca="1">$K$745-EFEITO!$M$745*EFEITO!$Z$745</f>
        <v>0</v>
      </c>
      <c r="O745" s="46">
        <f>$L$745-EFEITO!$O$745*EFEITO!$AA$745</f>
        <v>0</v>
      </c>
      <c r="P745" s="38"/>
      <c r="Q745" s="38"/>
      <c r="R745" s="38"/>
      <c r="S745" s="38"/>
      <c r="T745" s="38"/>
      <c r="U745" s="38"/>
      <c r="V745" s="38"/>
      <c r="W745" s="38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</row>
    <row r="746" spans="1:36" ht="11.25" customHeight="1" x14ac:dyDescent="0.2">
      <c r="A746" s="35" t="s">
        <v>21</v>
      </c>
      <c r="B746" s="35" t="s">
        <v>41</v>
      </c>
      <c r="C746" s="35" t="s">
        <v>44</v>
      </c>
      <c r="D746" s="35" t="s">
        <v>40</v>
      </c>
      <c r="E746" s="35" t="s">
        <v>25</v>
      </c>
      <c r="F746" s="35" t="s">
        <v>25</v>
      </c>
      <c r="G746" s="35" t="s">
        <v>25</v>
      </c>
      <c r="H746" s="35" t="s">
        <v>36</v>
      </c>
      <c r="I746" s="45">
        <v>44593</v>
      </c>
      <c r="J746" s="46">
        <f>EFEITO!$J$746*EFEITO!$Y$746</f>
        <v>0</v>
      </c>
      <c r="K746" s="46">
        <f ca="1">EFEITO!$L$746*EFEITO!$Z$746</f>
        <v>90774.771378394304</v>
      </c>
      <c r="L746" s="46">
        <f>EFEITO!$N$746*EFEITO!$AA$746</f>
        <v>22240.59306845289</v>
      </c>
      <c r="M746" s="46">
        <f>$J$746-EFEITO!$K$746*EFEITO!$Y$746</f>
        <v>0</v>
      </c>
      <c r="N746" s="46">
        <f ca="1">$K$746-EFEITO!$M$746*EFEITO!$Z$746</f>
        <v>0</v>
      </c>
      <c r="O746" s="46">
        <f>$L$746-EFEITO!$O$746*EFEITO!$AA$746</f>
        <v>0</v>
      </c>
      <c r="P746" s="38"/>
      <c r="Q746" s="38"/>
      <c r="R746" s="38"/>
      <c r="S746" s="38"/>
      <c r="T746" s="38"/>
      <c r="U746" s="38"/>
      <c r="V746" s="38"/>
      <c r="W746" s="38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</row>
    <row r="747" spans="1:36" ht="11.25" customHeight="1" x14ac:dyDescent="0.2">
      <c r="A747" s="35" t="s">
        <v>27</v>
      </c>
      <c r="B747" s="35" t="s">
        <v>41</v>
      </c>
      <c r="C747" s="35" t="s">
        <v>44</v>
      </c>
      <c r="D747" s="35" t="s">
        <v>40</v>
      </c>
      <c r="E747" s="35" t="s">
        <v>25</v>
      </c>
      <c r="F747" s="35" t="s">
        <v>25</v>
      </c>
      <c r="G747" s="35" t="s">
        <v>25</v>
      </c>
      <c r="H747" s="35" t="s">
        <v>36</v>
      </c>
      <c r="I747" s="45">
        <v>44593</v>
      </c>
      <c r="J747" s="46">
        <f>EFEITO!$J$747*EFEITO!$Y$747</f>
        <v>0</v>
      </c>
      <c r="K747" s="46">
        <f ca="1">EFEITO!$L$747*EFEITO!$Z$747</f>
        <v>-20203.747481861476</v>
      </c>
      <c r="L747" s="46">
        <f>EFEITO!$N$747*EFEITO!$AA$747</f>
        <v>-4950.0904202641814</v>
      </c>
      <c r="M747" s="46">
        <f>$J$747-EFEITO!$K$747*EFEITO!$Y$747</f>
        <v>0</v>
      </c>
      <c r="N747" s="46">
        <f ca="1">$K$747-EFEITO!$M$747*EFEITO!$Z$747</f>
        <v>0</v>
      </c>
      <c r="O747" s="46">
        <f>$L$747-EFEITO!$O$747*EFEITO!$AA$747</f>
        <v>0</v>
      </c>
      <c r="P747" s="38"/>
      <c r="Q747" s="38"/>
      <c r="R747" s="38"/>
      <c r="S747" s="38"/>
      <c r="T747" s="38"/>
      <c r="U747" s="38"/>
      <c r="V747" s="38"/>
      <c r="W747" s="38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</row>
    <row r="748" spans="1:36" ht="11.25" customHeight="1" x14ac:dyDescent="0.2">
      <c r="A748" s="35" t="s">
        <v>28</v>
      </c>
      <c r="B748" s="35" t="s">
        <v>41</v>
      </c>
      <c r="C748" s="35" t="s">
        <v>44</v>
      </c>
      <c r="D748" s="35" t="s">
        <v>40</v>
      </c>
      <c r="E748" s="35" t="s">
        <v>25</v>
      </c>
      <c r="F748" s="35" t="s">
        <v>25</v>
      </c>
      <c r="G748" s="35" t="s">
        <v>25</v>
      </c>
      <c r="H748" s="35" t="s">
        <v>36</v>
      </c>
      <c r="I748" s="45">
        <v>44593</v>
      </c>
      <c r="J748" s="46">
        <f>EFEITO!$J$748*EFEITO!$Y$748</f>
        <v>0</v>
      </c>
      <c r="K748" s="46">
        <f ca="1">EFEITO!$L$748*EFEITO!$Z$748</f>
        <v>5902.7505463489788</v>
      </c>
      <c r="L748" s="46">
        <f>EFEITO!$N$748*EFEITO!$AA$748</f>
        <v>1446.2242194881726</v>
      </c>
      <c r="M748" s="46">
        <f>$J$748-EFEITO!$K$748*EFEITO!$Y$748</f>
        <v>0</v>
      </c>
      <c r="N748" s="46">
        <f ca="1">$K$748-EFEITO!$M$748*EFEITO!$Z$748</f>
        <v>0</v>
      </c>
      <c r="O748" s="46">
        <f>$L$748-EFEITO!$O$748*EFEITO!$AA$748</f>
        <v>0</v>
      </c>
      <c r="P748" s="38"/>
      <c r="Q748" s="38"/>
      <c r="R748" s="38"/>
      <c r="S748" s="38"/>
      <c r="T748" s="38"/>
      <c r="U748" s="38"/>
      <c r="V748" s="38"/>
      <c r="W748" s="38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</row>
    <row r="749" spans="1:36" ht="11.25" customHeight="1" x14ac:dyDescent="0.2">
      <c r="A749" s="35" t="s">
        <v>30</v>
      </c>
      <c r="B749" s="35" t="s">
        <v>41</v>
      </c>
      <c r="C749" s="35" t="s">
        <v>44</v>
      </c>
      <c r="D749" s="35" t="s">
        <v>40</v>
      </c>
      <c r="E749" s="35" t="s">
        <v>25</v>
      </c>
      <c r="F749" s="35" t="s">
        <v>25</v>
      </c>
      <c r="G749" s="35" t="s">
        <v>25</v>
      </c>
      <c r="H749" s="35" t="s">
        <v>36</v>
      </c>
      <c r="I749" s="45">
        <v>44593</v>
      </c>
      <c r="J749" s="46">
        <f>EFEITO!$J$749*EFEITO!$Y$749</f>
        <v>0</v>
      </c>
      <c r="K749" s="46">
        <f ca="1">EFEITO!$L$749*EFEITO!$Z$749</f>
        <v>3575.9892978884482</v>
      </c>
      <c r="L749" s="46">
        <f>EFEITO!$N$749*EFEITO!$AA$749</f>
        <v>876.14787218741844</v>
      </c>
      <c r="M749" s="46">
        <f>$J$749-EFEITO!$K$749*EFEITO!$Y$749</f>
        <v>0</v>
      </c>
      <c r="N749" s="46">
        <f ca="1">$K$749-EFEITO!$M$749*EFEITO!$Z$749</f>
        <v>0</v>
      </c>
      <c r="O749" s="46">
        <f>$L$749-EFEITO!$O$749*EFEITO!$AA$749</f>
        <v>0</v>
      </c>
      <c r="P749" s="38"/>
      <c r="Q749" s="38"/>
      <c r="R749" s="38"/>
      <c r="S749" s="38"/>
      <c r="T749" s="38"/>
      <c r="U749" s="38"/>
      <c r="V749" s="38"/>
      <c r="W749" s="38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</row>
    <row r="750" spans="1:36" ht="11.25" customHeight="1" x14ac:dyDescent="0.2">
      <c r="A750" s="35" t="s">
        <v>21</v>
      </c>
      <c r="B750" s="35" t="s">
        <v>41</v>
      </c>
      <c r="C750" s="35" t="s">
        <v>44</v>
      </c>
      <c r="D750" s="35" t="s">
        <v>40</v>
      </c>
      <c r="E750" s="35" t="s">
        <v>25</v>
      </c>
      <c r="F750" s="35" t="s">
        <v>25</v>
      </c>
      <c r="G750" s="35" t="s">
        <v>25</v>
      </c>
      <c r="H750" s="35" t="s">
        <v>36</v>
      </c>
      <c r="I750" s="45">
        <v>44621</v>
      </c>
      <c r="J750" s="46">
        <f>EFEITO!$J$750*EFEITO!$Y$750</f>
        <v>0</v>
      </c>
      <c r="K750" s="46">
        <f ca="1">EFEITO!$L$750*EFEITO!$Z$750</f>
        <v>100838.16179078816</v>
      </c>
      <c r="L750" s="46">
        <f>EFEITO!$N$750*EFEITO!$AA$750</f>
        <v>24706.209534927337</v>
      </c>
      <c r="M750" s="46">
        <f>$J$750-EFEITO!$K$750*EFEITO!$Y$750</f>
        <v>0</v>
      </c>
      <c r="N750" s="46">
        <f ca="1">$K$750-EFEITO!$M$750*EFEITO!$Z$750</f>
        <v>0</v>
      </c>
      <c r="O750" s="46">
        <f>$L$750-EFEITO!$O$750*EFEITO!$AA$750</f>
        <v>0</v>
      </c>
      <c r="P750" s="38"/>
      <c r="Q750" s="38"/>
      <c r="R750" s="38"/>
      <c r="S750" s="38"/>
      <c r="T750" s="38"/>
      <c r="U750" s="38"/>
      <c r="V750" s="38"/>
      <c r="W750" s="38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</row>
    <row r="751" spans="1:36" ht="11.25" customHeight="1" x14ac:dyDescent="0.2">
      <c r="A751" s="35" t="s">
        <v>28</v>
      </c>
      <c r="B751" s="35" t="s">
        <v>41</v>
      </c>
      <c r="C751" s="35" t="s">
        <v>44</v>
      </c>
      <c r="D751" s="35" t="s">
        <v>40</v>
      </c>
      <c r="E751" s="35" t="s">
        <v>25</v>
      </c>
      <c r="F751" s="35" t="s">
        <v>25</v>
      </c>
      <c r="G751" s="35" t="s">
        <v>25</v>
      </c>
      <c r="H751" s="35" t="s">
        <v>36</v>
      </c>
      <c r="I751" s="45">
        <v>44621</v>
      </c>
      <c r="J751" s="46">
        <f>EFEITO!$J$751*EFEITO!$Y$751</f>
        <v>0</v>
      </c>
      <c r="K751" s="46">
        <f ca="1">EFEITO!$L$751*EFEITO!$Z$751</f>
        <v>5775.4595365731484</v>
      </c>
      <c r="L751" s="46">
        <f>EFEITO!$N$751*EFEITO!$AA$751</f>
        <v>1415.0368366205741</v>
      </c>
      <c r="M751" s="46">
        <f>$J$751-EFEITO!$K$751*EFEITO!$Y$751</f>
        <v>0</v>
      </c>
      <c r="N751" s="46">
        <f ca="1">$K$751-EFEITO!$M$751*EFEITO!$Z$751</f>
        <v>0</v>
      </c>
      <c r="O751" s="46">
        <f>$L$751-EFEITO!$O$751*EFEITO!$AA$751</f>
        <v>0</v>
      </c>
      <c r="P751" s="38"/>
      <c r="Q751" s="38"/>
      <c r="R751" s="38"/>
      <c r="S751" s="38"/>
      <c r="T751" s="38"/>
      <c r="U751" s="38"/>
      <c r="V751" s="38"/>
      <c r="W751" s="38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</row>
    <row r="752" spans="1:36" ht="11.25" customHeight="1" x14ac:dyDescent="0.2">
      <c r="A752" s="35" t="s">
        <v>30</v>
      </c>
      <c r="B752" s="35" t="s">
        <v>41</v>
      </c>
      <c r="C752" s="35" t="s">
        <v>44</v>
      </c>
      <c r="D752" s="35" t="s">
        <v>40</v>
      </c>
      <c r="E752" s="35" t="s">
        <v>25</v>
      </c>
      <c r="F752" s="35" t="s">
        <v>25</v>
      </c>
      <c r="G752" s="35" t="s">
        <v>25</v>
      </c>
      <c r="H752" s="35" t="s">
        <v>36</v>
      </c>
      <c r="I752" s="45">
        <v>44621</v>
      </c>
      <c r="J752" s="46">
        <f>EFEITO!$J$752*EFEITO!$Y$752</f>
        <v>0</v>
      </c>
      <c r="K752" s="46">
        <f ca="1">EFEITO!$L$752*EFEITO!$Z$752</f>
        <v>2471.813794484151</v>
      </c>
      <c r="L752" s="46">
        <f>EFEITO!$N$752*EFEITO!$AA$752</f>
        <v>605.61545801034299</v>
      </c>
      <c r="M752" s="46">
        <f>$J$752-EFEITO!$K$752*EFEITO!$Y$752</f>
        <v>0</v>
      </c>
      <c r="N752" s="46">
        <f ca="1">$K$752-EFEITO!$M$752*EFEITO!$Z$752</f>
        <v>0</v>
      </c>
      <c r="O752" s="46">
        <f>$L$752-EFEITO!$O$752*EFEITO!$AA$752</f>
        <v>0</v>
      </c>
      <c r="P752" s="38"/>
      <c r="Q752" s="38"/>
      <c r="R752" s="38"/>
      <c r="S752" s="38"/>
      <c r="T752" s="38"/>
      <c r="U752" s="38"/>
      <c r="V752" s="38"/>
      <c r="W752" s="38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</row>
    <row r="753" spans="1:36" ht="11.25" customHeight="1" x14ac:dyDescent="0.2">
      <c r="A753" s="35" t="s">
        <v>21</v>
      </c>
      <c r="B753" s="35" t="s">
        <v>41</v>
      </c>
      <c r="C753" s="35" t="s">
        <v>44</v>
      </c>
      <c r="D753" s="35" t="s">
        <v>40</v>
      </c>
      <c r="E753" s="35" t="s">
        <v>25</v>
      </c>
      <c r="F753" s="35" t="s">
        <v>25</v>
      </c>
      <c r="G753" s="35" t="s">
        <v>25</v>
      </c>
      <c r="H753" s="35" t="s">
        <v>36</v>
      </c>
      <c r="I753" s="45">
        <v>44652</v>
      </c>
      <c r="J753" s="46">
        <f>EFEITO!$J$753*EFEITO!$Y$753</f>
        <v>0</v>
      </c>
      <c r="K753" s="46">
        <f ca="1">EFEITO!$L$753*EFEITO!$Z$753</f>
        <v>86896.835964293423</v>
      </c>
      <c r="L753" s="46">
        <f>EFEITO!$N$753*EFEITO!$AA$753</f>
        <v>21290.465822951635</v>
      </c>
      <c r="M753" s="46">
        <f>$J$753-EFEITO!$K$753*EFEITO!$Y$753</f>
        <v>0</v>
      </c>
      <c r="N753" s="46">
        <f ca="1">$K$753-EFEITO!$M$753*EFEITO!$Z$753</f>
        <v>0</v>
      </c>
      <c r="O753" s="46">
        <f>$L$753-EFEITO!$O$753*EFEITO!$AA$753</f>
        <v>0</v>
      </c>
      <c r="P753" s="38"/>
      <c r="Q753" s="38"/>
      <c r="R753" s="38"/>
      <c r="S753" s="38"/>
      <c r="T753" s="38"/>
      <c r="U753" s="38"/>
      <c r="V753" s="38"/>
      <c r="W753" s="38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</row>
    <row r="754" spans="1:36" ht="11.25" customHeight="1" x14ac:dyDescent="0.2">
      <c r="A754" s="35" t="s">
        <v>28</v>
      </c>
      <c r="B754" s="35" t="s">
        <v>41</v>
      </c>
      <c r="C754" s="35" t="s">
        <v>44</v>
      </c>
      <c r="D754" s="35" t="s">
        <v>40</v>
      </c>
      <c r="E754" s="35" t="s">
        <v>25</v>
      </c>
      <c r="F754" s="35" t="s">
        <v>25</v>
      </c>
      <c r="G754" s="35" t="s">
        <v>25</v>
      </c>
      <c r="H754" s="35" t="s">
        <v>36</v>
      </c>
      <c r="I754" s="45">
        <v>44652</v>
      </c>
      <c r="J754" s="46">
        <f>EFEITO!$J$754*EFEITO!$Y$754</f>
        <v>0</v>
      </c>
      <c r="K754" s="46">
        <f ca="1">EFEITO!$L$754*EFEITO!$Z$754</f>
        <v>6895.9164482045862</v>
      </c>
      <c r="L754" s="46">
        <f>EFEITO!$N$754*EFEITO!$AA$754</f>
        <v>1689.5583346528072</v>
      </c>
      <c r="M754" s="46">
        <f>$J$754-EFEITO!$K$754*EFEITO!$Y$754</f>
        <v>0</v>
      </c>
      <c r="N754" s="46">
        <f ca="1">$K$754-EFEITO!$M$754*EFEITO!$Z$754</f>
        <v>0</v>
      </c>
      <c r="O754" s="46">
        <f>$L$754-EFEITO!$O$754*EFEITO!$AA$754</f>
        <v>0</v>
      </c>
      <c r="P754" s="38"/>
      <c r="Q754" s="38"/>
      <c r="R754" s="38"/>
      <c r="S754" s="38"/>
      <c r="T754" s="38"/>
      <c r="U754" s="38"/>
      <c r="V754" s="38"/>
      <c r="W754" s="38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</row>
    <row r="755" spans="1:36" ht="11.25" customHeight="1" x14ac:dyDescent="0.2">
      <c r="A755" s="35" t="s">
        <v>30</v>
      </c>
      <c r="B755" s="35" t="s">
        <v>41</v>
      </c>
      <c r="C755" s="35" t="s">
        <v>44</v>
      </c>
      <c r="D755" s="35" t="s">
        <v>40</v>
      </c>
      <c r="E755" s="35" t="s">
        <v>25</v>
      </c>
      <c r="F755" s="35" t="s">
        <v>25</v>
      </c>
      <c r="G755" s="35" t="s">
        <v>25</v>
      </c>
      <c r="H755" s="35" t="s">
        <v>36</v>
      </c>
      <c r="I755" s="45">
        <v>44652</v>
      </c>
      <c r="J755" s="46">
        <f>EFEITO!$J$755*EFEITO!$Y$755</f>
        <v>0</v>
      </c>
      <c r="K755" s="46">
        <f ca="1">EFEITO!$L$755*EFEITO!$Z$755</f>
        <v>2243.8740793041752</v>
      </c>
      <c r="L755" s="46">
        <f>EFEITO!$N$755*EFEITO!$AA$755</f>
        <v>549.76828403813181</v>
      </c>
      <c r="M755" s="46">
        <f>$J$755-EFEITO!$K$755*EFEITO!$Y$755</f>
        <v>0</v>
      </c>
      <c r="N755" s="46">
        <f ca="1">$K$755-EFEITO!$M$755*EFEITO!$Z$755</f>
        <v>0</v>
      </c>
      <c r="O755" s="46">
        <f>$L$755-EFEITO!$O$755*EFEITO!$AA$755</f>
        <v>0</v>
      </c>
      <c r="P755" s="38"/>
      <c r="Q755" s="38"/>
      <c r="R755" s="38"/>
      <c r="S755" s="38"/>
      <c r="T755" s="38"/>
      <c r="U755" s="38"/>
      <c r="V755" s="38"/>
      <c r="W755" s="38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</row>
    <row r="756" spans="1:36" ht="11.25" customHeight="1" x14ac:dyDescent="0.2">
      <c r="A756" s="35" t="s">
        <v>21</v>
      </c>
      <c r="B756" s="35" t="s">
        <v>41</v>
      </c>
      <c r="C756" s="35" t="s">
        <v>44</v>
      </c>
      <c r="D756" s="35" t="s">
        <v>40</v>
      </c>
      <c r="E756" s="35" t="s">
        <v>25</v>
      </c>
      <c r="F756" s="35" t="s">
        <v>25</v>
      </c>
      <c r="G756" s="35" t="s">
        <v>25</v>
      </c>
      <c r="H756" s="35" t="s">
        <v>36</v>
      </c>
      <c r="I756" s="45">
        <v>44682</v>
      </c>
      <c r="J756" s="46">
        <f>EFEITO!$J$756*EFEITO!$Y$756</f>
        <v>0</v>
      </c>
      <c r="K756" s="46">
        <f ca="1">EFEITO!$L$756*EFEITO!$Z$756</f>
        <v>83260.161417558367</v>
      </c>
      <c r="L756" s="46">
        <f>EFEITO!$N$756*EFEITO!$AA$756</f>
        <v>20399.449547304084</v>
      </c>
      <c r="M756" s="46">
        <f>$J$756-EFEITO!$K$756*EFEITO!$Y$756</f>
        <v>0</v>
      </c>
      <c r="N756" s="46">
        <f ca="1">$K$756-EFEITO!$M$756*EFEITO!$Z$756</f>
        <v>0</v>
      </c>
      <c r="O756" s="46">
        <f>$L$756-EFEITO!$O$756*EFEITO!$AA$756</f>
        <v>0</v>
      </c>
      <c r="P756" s="38"/>
      <c r="Q756" s="38"/>
      <c r="R756" s="38"/>
      <c r="S756" s="38"/>
      <c r="T756" s="38"/>
      <c r="U756" s="38"/>
      <c r="V756" s="38"/>
      <c r="W756" s="38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</row>
    <row r="757" spans="1:36" ht="11.25" customHeight="1" x14ac:dyDescent="0.2">
      <c r="A757" s="35" t="s">
        <v>28</v>
      </c>
      <c r="B757" s="35" t="s">
        <v>41</v>
      </c>
      <c r="C757" s="35" t="s">
        <v>44</v>
      </c>
      <c r="D757" s="35" t="s">
        <v>40</v>
      </c>
      <c r="E757" s="35" t="s">
        <v>25</v>
      </c>
      <c r="F757" s="35" t="s">
        <v>25</v>
      </c>
      <c r="G757" s="35" t="s">
        <v>25</v>
      </c>
      <c r="H757" s="35" t="s">
        <v>36</v>
      </c>
      <c r="I757" s="45">
        <v>44682</v>
      </c>
      <c r="J757" s="46">
        <f>EFEITO!$J$757*EFEITO!$Y$757</f>
        <v>0</v>
      </c>
      <c r="K757" s="46">
        <f ca="1">EFEITO!$L$757*EFEITO!$Z$757</f>
        <v>6417.8350975348976</v>
      </c>
      <c r="L757" s="46">
        <f>EFEITO!$N$757*EFEITO!$AA$757</f>
        <v>1572.4243269058968</v>
      </c>
      <c r="M757" s="46">
        <f>$J$757-EFEITO!$K$757*EFEITO!$Y$757</f>
        <v>0</v>
      </c>
      <c r="N757" s="46">
        <f ca="1">$K$757-EFEITO!$M$757*EFEITO!$Z$757</f>
        <v>0</v>
      </c>
      <c r="O757" s="46">
        <f>$L$757-EFEITO!$O$757*EFEITO!$AA$757</f>
        <v>0</v>
      </c>
      <c r="P757" s="38"/>
      <c r="Q757" s="38"/>
      <c r="R757" s="38"/>
      <c r="S757" s="38"/>
      <c r="T757" s="38"/>
      <c r="U757" s="38"/>
      <c r="V757" s="38"/>
      <c r="W757" s="38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</row>
    <row r="758" spans="1:36" ht="11.25" customHeight="1" x14ac:dyDescent="0.2">
      <c r="A758" s="35" t="s">
        <v>30</v>
      </c>
      <c r="B758" s="35" t="s">
        <v>41</v>
      </c>
      <c r="C758" s="35" t="s">
        <v>44</v>
      </c>
      <c r="D758" s="35" t="s">
        <v>40</v>
      </c>
      <c r="E758" s="35" t="s">
        <v>25</v>
      </c>
      <c r="F758" s="35" t="s">
        <v>25</v>
      </c>
      <c r="G758" s="35" t="s">
        <v>25</v>
      </c>
      <c r="H758" s="35" t="s">
        <v>36</v>
      </c>
      <c r="I758" s="45">
        <v>44682</v>
      </c>
      <c r="J758" s="46">
        <f>EFEITO!$J$758*EFEITO!$Y$758</f>
        <v>0</v>
      </c>
      <c r="K758" s="46">
        <f ca="1">EFEITO!$L$758*EFEITO!$Z$758</f>
        <v>2313.4400962746872</v>
      </c>
      <c r="L758" s="46">
        <f>EFEITO!$N$758*EFEITO!$AA$758</f>
        <v>566.81255141926113</v>
      </c>
      <c r="M758" s="46">
        <f>$J$758-EFEITO!$K$758*EFEITO!$Y$758</f>
        <v>0</v>
      </c>
      <c r="N758" s="46">
        <f ca="1">$K$758-EFEITO!$M$758*EFEITO!$Z$758</f>
        <v>0</v>
      </c>
      <c r="O758" s="46">
        <f>$L$758-EFEITO!$O$758*EFEITO!$AA$758</f>
        <v>0</v>
      </c>
      <c r="P758" s="38"/>
      <c r="Q758" s="38"/>
      <c r="R758" s="38"/>
      <c r="S758" s="38"/>
      <c r="T758" s="38"/>
      <c r="U758" s="38"/>
      <c r="V758" s="38"/>
      <c r="W758" s="38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</row>
    <row r="759" spans="1:36" ht="11.25" customHeight="1" x14ac:dyDescent="0.2">
      <c r="A759" s="35" t="s">
        <v>21</v>
      </c>
      <c r="B759" s="35" t="s">
        <v>41</v>
      </c>
      <c r="C759" s="35" t="s">
        <v>44</v>
      </c>
      <c r="D759" s="35" t="s">
        <v>40</v>
      </c>
      <c r="E759" s="35" t="s">
        <v>25</v>
      </c>
      <c r="F759" s="35" t="s">
        <v>25</v>
      </c>
      <c r="G759" s="35" t="s">
        <v>25</v>
      </c>
      <c r="H759" s="35" t="s">
        <v>36</v>
      </c>
      <c r="I759" s="45">
        <v>44713</v>
      </c>
      <c r="J759" s="46">
        <f>EFEITO!$J$759*EFEITO!$Y$759</f>
        <v>0</v>
      </c>
      <c r="K759" s="46">
        <f ca="1">EFEITO!$L$759*EFEITO!$Z$759</f>
        <v>77792.568509280245</v>
      </c>
      <c r="L759" s="46">
        <f>EFEITO!$N$759*EFEITO!$AA$759</f>
        <v>19059.842659944676</v>
      </c>
      <c r="M759" s="46">
        <f>$J$759-EFEITO!$K$759*EFEITO!$Y$759</f>
        <v>0</v>
      </c>
      <c r="N759" s="46">
        <f ca="1">$K$759-EFEITO!$M$759*EFEITO!$Z$759</f>
        <v>0</v>
      </c>
      <c r="O759" s="46">
        <f>$L$759-EFEITO!$O$759*EFEITO!$AA$759</f>
        <v>0</v>
      </c>
      <c r="P759" s="38"/>
      <c r="Q759" s="38"/>
      <c r="R759" s="38"/>
      <c r="S759" s="38"/>
      <c r="T759" s="38"/>
      <c r="U759" s="38"/>
      <c r="V759" s="38"/>
      <c r="W759" s="38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</row>
    <row r="760" spans="1:36" ht="11.25" customHeight="1" x14ac:dyDescent="0.2">
      <c r="A760" s="35" t="s">
        <v>27</v>
      </c>
      <c r="B760" s="35" t="s">
        <v>41</v>
      </c>
      <c r="C760" s="35" t="s">
        <v>44</v>
      </c>
      <c r="D760" s="35" t="s">
        <v>40</v>
      </c>
      <c r="E760" s="35" t="s">
        <v>25</v>
      </c>
      <c r="F760" s="35" t="s">
        <v>25</v>
      </c>
      <c r="G760" s="35" t="s">
        <v>25</v>
      </c>
      <c r="H760" s="35" t="s">
        <v>36</v>
      </c>
      <c r="I760" s="45">
        <v>44713</v>
      </c>
      <c r="J760" s="46">
        <f>EFEITO!$J$760*EFEITO!$Y$760</f>
        <v>0</v>
      </c>
      <c r="K760" s="46">
        <f ca="1">EFEITO!$L$760*EFEITO!$Z$760</f>
        <v>-1657.7433831270955</v>
      </c>
      <c r="L760" s="46">
        <f>EFEITO!$N$760*EFEITO!$AA$760</f>
        <v>-406.16126525244567</v>
      </c>
      <c r="M760" s="46">
        <f>$J$760-EFEITO!$K$760*EFEITO!$Y$760</f>
        <v>0</v>
      </c>
      <c r="N760" s="46">
        <f ca="1">$K$760-EFEITO!$M$760*EFEITO!$Z$760</f>
        <v>0</v>
      </c>
      <c r="O760" s="46">
        <f>$L$760-EFEITO!$O$760*EFEITO!$AA$760</f>
        <v>0</v>
      </c>
      <c r="P760" s="38"/>
      <c r="Q760" s="38"/>
      <c r="R760" s="38"/>
      <c r="S760" s="38"/>
      <c r="T760" s="38"/>
      <c r="U760" s="38"/>
      <c r="V760" s="38"/>
      <c r="W760" s="38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</row>
    <row r="761" spans="1:36" ht="11.25" customHeight="1" x14ac:dyDescent="0.2">
      <c r="A761" s="35" t="s">
        <v>28</v>
      </c>
      <c r="B761" s="35" t="s">
        <v>41</v>
      </c>
      <c r="C761" s="35" t="s">
        <v>44</v>
      </c>
      <c r="D761" s="35" t="s">
        <v>40</v>
      </c>
      <c r="E761" s="35" t="s">
        <v>25</v>
      </c>
      <c r="F761" s="35" t="s">
        <v>25</v>
      </c>
      <c r="G761" s="35" t="s">
        <v>25</v>
      </c>
      <c r="H761" s="35" t="s">
        <v>36</v>
      </c>
      <c r="I761" s="45">
        <v>44713</v>
      </c>
      <c r="J761" s="46">
        <f>EFEITO!$J$761*EFEITO!$Y$761</f>
        <v>0</v>
      </c>
      <c r="K761" s="46">
        <f ca="1">EFEITO!$L$761*EFEITO!$Z$761</f>
        <v>6265.3819114080297</v>
      </c>
      <c r="L761" s="46">
        <f>EFEITO!$N$761*EFEITO!$AA$761</f>
        <v>1535.0719962621449</v>
      </c>
      <c r="M761" s="46">
        <f>$J$761-EFEITO!$K$761*EFEITO!$Y$761</f>
        <v>0</v>
      </c>
      <c r="N761" s="46">
        <f ca="1">$K$761-EFEITO!$M$761*EFEITO!$Z$761</f>
        <v>0</v>
      </c>
      <c r="O761" s="46">
        <f>$L$761-EFEITO!$O$761*EFEITO!$AA$761</f>
        <v>0</v>
      </c>
      <c r="P761" s="38"/>
      <c r="Q761" s="38"/>
      <c r="R761" s="38"/>
      <c r="S761" s="38"/>
      <c r="T761" s="38"/>
      <c r="U761" s="38"/>
      <c r="V761" s="38"/>
      <c r="W761" s="38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</row>
    <row r="762" spans="1:36" ht="11.25" customHeight="1" x14ac:dyDescent="0.2">
      <c r="A762" s="35" t="s">
        <v>30</v>
      </c>
      <c r="B762" s="35" t="s">
        <v>41</v>
      </c>
      <c r="C762" s="35" t="s">
        <v>44</v>
      </c>
      <c r="D762" s="35" t="s">
        <v>40</v>
      </c>
      <c r="E762" s="35" t="s">
        <v>25</v>
      </c>
      <c r="F762" s="35" t="s">
        <v>25</v>
      </c>
      <c r="G762" s="35" t="s">
        <v>25</v>
      </c>
      <c r="H762" s="35" t="s">
        <v>36</v>
      </c>
      <c r="I762" s="45">
        <v>44713</v>
      </c>
      <c r="J762" s="46">
        <f>EFEITO!$J$762*EFEITO!$Y$762</f>
        <v>0</v>
      </c>
      <c r="K762" s="46">
        <f ca="1">EFEITO!$L$762*EFEITO!$Z$762</f>
        <v>2366.7247050180581</v>
      </c>
      <c r="L762" s="46">
        <f>EFEITO!$N$762*EFEITO!$AA$762</f>
        <v>579.86773494523266</v>
      </c>
      <c r="M762" s="46">
        <f>$J$762-EFEITO!$K$762*EFEITO!$Y$762</f>
        <v>0</v>
      </c>
      <c r="N762" s="46">
        <f ca="1">$K$762-EFEITO!$M$762*EFEITO!$Z$762</f>
        <v>0</v>
      </c>
      <c r="O762" s="46">
        <f>$L$762-EFEITO!$O$762*EFEITO!$AA$762</f>
        <v>0</v>
      </c>
      <c r="P762" s="38"/>
      <c r="Q762" s="38"/>
      <c r="R762" s="38"/>
      <c r="S762" s="38"/>
      <c r="T762" s="38"/>
      <c r="U762" s="38"/>
      <c r="V762" s="38"/>
      <c r="W762" s="38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</row>
    <row r="763" spans="1:36" ht="11.25" customHeight="1" x14ac:dyDescent="0.2">
      <c r="A763" s="35" t="s">
        <v>21</v>
      </c>
      <c r="B763" s="35" t="s">
        <v>41</v>
      </c>
      <c r="C763" s="35" t="s">
        <v>44</v>
      </c>
      <c r="D763" s="35" t="s">
        <v>40</v>
      </c>
      <c r="E763" s="35" t="s">
        <v>25</v>
      </c>
      <c r="F763" s="35" t="s">
        <v>25</v>
      </c>
      <c r="G763" s="35" t="s">
        <v>25</v>
      </c>
      <c r="H763" s="35" t="s">
        <v>36</v>
      </c>
      <c r="I763" s="45">
        <v>44743</v>
      </c>
      <c r="J763" s="46">
        <f>EFEITO!$J$763*EFEITO!$Y$763</f>
        <v>0</v>
      </c>
      <c r="K763" s="46">
        <f ca="1">EFEITO!$L$763*EFEITO!$Z$763</f>
        <v>84208.923478794488</v>
      </c>
      <c r="L763" s="46">
        <f>EFEITO!$N$763*EFEITO!$AA$763</f>
        <v>20631.904342863741</v>
      </c>
      <c r="M763" s="46">
        <f>$J$763-EFEITO!$K$763*EFEITO!$Y$763</f>
        <v>0</v>
      </c>
      <c r="N763" s="46">
        <f ca="1">$K$763-EFEITO!$M$763*EFEITO!$Z$763</f>
        <v>0</v>
      </c>
      <c r="O763" s="46">
        <f>$L$763-EFEITO!$O$763*EFEITO!$AA$763</f>
        <v>0</v>
      </c>
      <c r="P763" s="38"/>
      <c r="Q763" s="38"/>
      <c r="R763" s="38"/>
      <c r="S763" s="38"/>
      <c r="T763" s="38"/>
      <c r="U763" s="38"/>
      <c r="V763" s="38"/>
      <c r="W763" s="38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</row>
    <row r="764" spans="1:36" ht="11.25" customHeight="1" x14ac:dyDescent="0.2">
      <c r="A764" s="35" t="s">
        <v>28</v>
      </c>
      <c r="B764" s="35" t="s">
        <v>41</v>
      </c>
      <c r="C764" s="35" t="s">
        <v>44</v>
      </c>
      <c r="D764" s="35" t="s">
        <v>40</v>
      </c>
      <c r="E764" s="35" t="s">
        <v>25</v>
      </c>
      <c r="F764" s="35" t="s">
        <v>25</v>
      </c>
      <c r="G764" s="35" t="s">
        <v>25</v>
      </c>
      <c r="H764" s="35" t="s">
        <v>36</v>
      </c>
      <c r="I764" s="45">
        <v>44743</v>
      </c>
      <c r="J764" s="46">
        <f>EFEITO!$J$764*EFEITO!$Y$764</f>
        <v>0</v>
      </c>
      <c r="K764" s="46">
        <f ca="1">EFEITO!$L$764*EFEITO!$Z$764</f>
        <v>7131.2568034878077</v>
      </c>
      <c r="L764" s="46">
        <f>EFEITO!$N$764*EFEITO!$AA$764</f>
        <v>1747.2187285591813</v>
      </c>
      <c r="M764" s="46">
        <f>$J$764-EFEITO!$K$764*EFEITO!$Y$764</f>
        <v>0</v>
      </c>
      <c r="N764" s="46">
        <f ca="1">$K$764-EFEITO!$M$764*EFEITO!$Z$764</f>
        <v>0</v>
      </c>
      <c r="O764" s="46">
        <f>$L$764-EFEITO!$O$764*EFEITO!$AA$764</f>
        <v>0</v>
      </c>
      <c r="P764" s="38"/>
      <c r="Q764" s="38"/>
      <c r="R764" s="38"/>
      <c r="S764" s="38"/>
      <c r="T764" s="38"/>
      <c r="U764" s="38"/>
      <c r="V764" s="38"/>
      <c r="W764" s="38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</row>
    <row r="765" spans="1:36" ht="11.25" customHeight="1" x14ac:dyDescent="0.2">
      <c r="A765" s="35" t="s">
        <v>30</v>
      </c>
      <c r="B765" s="35" t="s">
        <v>41</v>
      </c>
      <c r="C765" s="35" t="s">
        <v>44</v>
      </c>
      <c r="D765" s="35" t="s">
        <v>40</v>
      </c>
      <c r="E765" s="35" t="s">
        <v>25</v>
      </c>
      <c r="F765" s="35" t="s">
        <v>25</v>
      </c>
      <c r="G765" s="35" t="s">
        <v>25</v>
      </c>
      <c r="H765" s="35" t="s">
        <v>36</v>
      </c>
      <c r="I765" s="45">
        <v>44743</v>
      </c>
      <c r="J765" s="46">
        <f>EFEITO!$J$765*EFEITO!$Y$765</f>
        <v>0</v>
      </c>
      <c r="K765" s="46">
        <f ca="1">EFEITO!$L$765*EFEITO!$Z$765</f>
        <v>4250.9276753044796</v>
      </c>
      <c r="L765" s="46">
        <f>EFEITO!$N$765*EFEITO!$AA$765</f>
        <v>1041.5135301830569</v>
      </c>
      <c r="M765" s="46">
        <f>$J$765-EFEITO!$K$765*EFEITO!$Y$765</f>
        <v>0</v>
      </c>
      <c r="N765" s="46">
        <f ca="1">$K$765-EFEITO!$M$765*EFEITO!$Z$765</f>
        <v>0</v>
      </c>
      <c r="O765" s="46">
        <f>$L$765-EFEITO!$O$765*EFEITO!$AA$765</f>
        <v>0</v>
      </c>
      <c r="P765" s="38"/>
      <c r="Q765" s="38"/>
      <c r="R765" s="38"/>
      <c r="S765" s="38"/>
      <c r="T765" s="38"/>
      <c r="U765" s="38"/>
      <c r="V765" s="38"/>
      <c r="W765" s="38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</row>
    <row r="766" spans="1:36" ht="11.25" customHeight="1" x14ac:dyDescent="0.2">
      <c r="A766" s="35" t="s">
        <v>21</v>
      </c>
      <c r="B766" s="35" t="s">
        <v>41</v>
      </c>
      <c r="C766" s="35" t="s">
        <v>44</v>
      </c>
      <c r="D766" s="35" t="s">
        <v>40</v>
      </c>
      <c r="E766" s="35" t="s">
        <v>25</v>
      </c>
      <c r="F766" s="35" t="s">
        <v>25</v>
      </c>
      <c r="G766" s="35" t="s">
        <v>25</v>
      </c>
      <c r="H766" s="35" t="s">
        <v>36</v>
      </c>
      <c r="I766" s="45">
        <v>44774</v>
      </c>
      <c r="J766" s="46">
        <f>EFEITO!$J$766*EFEITO!$Y$766</f>
        <v>0</v>
      </c>
      <c r="K766" s="46">
        <f ca="1">EFEITO!$L$766*EFEITO!$Z$766</f>
        <v>85573.60151383304</v>
      </c>
      <c r="L766" s="46">
        <f>EFEITO!$N$766*EFEITO!$AA$766</f>
        <v>20966.262098723342</v>
      </c>
      <c r="M766" s="46">
        <f>$J$766-EFEITO!$K$766*EFEITO!$Y$766</f>
        <v>0</v>
      </c>
      <c r="N766" s="46">
        <f ca="1">$K$766-EFEITO!$M$766*EFEITO!$Z$766</f>
        <v>0</v>
      </c>
      <c r="O766" s="46">
        <f>$L$766-EFEITO!$O$766*EFEITO!$AA$766</f>
        <v>0</v>
      </c>
      <c r="P766" s="38"/>
      <c r="Q766" s="38"/>
      <c r="R766" s="38"/>
      <c r="S766" s="38"/>
      <c r="T766" s="38"/>
      <c r="U766" s="38"/>
      <c r="V766" s="38"/>
      <c r="W766" s="38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</row>
    <row r="767" spans="1:36" ht="11.25" customHeight="1" x14ac:dyDescent="0.2">
      <c r="A767" s="35" t="s">
        <v>28</v>
      </c>
      <c r="B767" s="35" t="s">
        <v>41</v>
      </c>
      <c r="C767" s="35" t="s">
        <v>44</v>
      </c>
      <c r="D767" s="35" t="s">
        <v>40</v>
      </c>
      <c r="E767" s="35" t="s">
        <v>25</v>
      </c>
      <c r="F767" s="35" t="s">
        <v>25</v>
      </c>
      <c r="G767" s="35" t="s">
        <v>25</v>
      </c>
      <c r="H767" s="35" t="s">
        <v>36</v>
      </c>
      <c r="I767" s="45">
        <v>44774</v>
      </c>
      <c r="J767" s="46">
        <f>EFEITO!$J$767*EFEITO!$Y$767</f>
        <v>0</v>
      </c>
      <c r="K767" s="46">
        <f ca="1">EFEITO!$L$767*EFEITO!$Z$767</f>
        <v>8025.25412795992</v>
      </c>
      <c r="L767" s="46">
        <f>EFEITO!$N$767*EFEITO!$AA$767</f>
        <v>1966.2556966060358</v>
      </c>
      <c r="M767" s="46">
        <f>$J$767-EFEITO!$K$767*EFEITO!$Y$767</f>
        <v>0</v>
      </c>
      <c r="N767" s="46">
        <f ca="1">$K$767-EFEITO!$M$767*EFEITO!$Z$767</f>
        <v>0</v>
      </c>
      <c r="O767" s="46">
        <f>$L$767-EFEITO!$O$767*EFEITO!$AA$767</f>
        <v>0</v>
      </c>
      <c r="P767" s="38"/>
      <c r="Q767" s="38"/>
      <c r="R767" s="38"/>
      <c r="S767" s="38"/>
      <c r="T767" s="38"/>
      <c r="U767" s="38"/>
      <c r="V767" s="38"/>
      <c r="W767" s="38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</row>
    <row r="768" spans="1:36" ht="11.25" customHeight="1" x14ac:dyDescent="0.2">
      <c r="A768" s="35" t="s">
        <v>30</v>
      </c>
      <c r="B768" s="35" t="s">
        <v>41</v>
      </c>
      <c r="C768" s="35" t="s">
        <v>44</v>
      </c>
      <c r="D768" s="35" t="s">
        <v>40</v>
      </c>
      <c r="E768" s="35" t="s">
        <v>25</v>
      </c>
      <c r="F768" s="35" t="s">
        <v>25</v>
      </c>
      <c r="G768" s="35" t="s">
        <v>25</v>
      </c>
      <c r="H768" s="35" t="s">
        <v>36</v>
      </c>
      <c r="I768" s="45">
        <v>44774</v>
      </c>
      <c r="J768" s="46">
        <f>EFEITO!$J$768*EFEITO!$Y$768</f>
        <v>0</v>
      </c>
      <c r="K768" s="46">
        <f ca="1">EFEITO!$L$768*EFEITO!$Z$768</f>
        <v>4062.9514166820327</v>
      </c>
      <c r="L768" s="46">
        <f>EFEITO!$N$768*EFEITO!$AA$768</f>
        <v>995.45774385532434</v>
      </c>
      <c r="M768" s="46">
        <f>$J$768-EFEITO!$K$768*EFEITO!$Y$768</f>
        <v>0</v>
      </c>
      <c r="N768" s="46">
        <f ca="1">$K$768-EFEITO!$M$768*EFEITO!$Z$768</f>
        <v>0</v>
      </c>
      <c r="O768" s="46">
        <f>$L$768-EFEITO!$O$768*EFEITO!$AA$768</f>
        <v>0</v>
      </c>
      <c r="P768" s="38"/>
      <c r="Q768" s="38"/>
      <c r="R768" s="38"/>
      <c r="S768" s="38"/>
      <c r="T768" s="38"/>
      <c r="U768" s="38"/>
      <c r="V768" s="38"/>
      <c r="W768" s="38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</row>
    <row r="769" spans="1:36" ht="11.25" customHeight="1" x14ac:dyDescent="0.2">
      <c r="A769" s="35" t="s">
        <v>21</v>
      </c>
      <c r="B769" s="35" t="s">
        <v>41</v>
      </c>
      <c r="C769" s="35" t="s">
        <v>44</v>
      </c>
      <c r="D769" s="35" t="s">
        <v>40</v>
      </c>
      <c r="E769" s="35" t="s">
        <v>25</v>
      </c>
      <c r="F769" s="35" t="s">
        <v>25</v>
      </c>
      <c r="G769" s="35" t="s">
        <v>25</v>
      </c>
      <c r="H769" s="35" t="s">
        <v>36</v>
      </c>
      <c r="I769" s="45">
        <v>44805</v>
      </c>
      <c r="J769" s="46">
        <f>EFEITO!$J$769*EFEITO!$Y$769</f>
        <v>0</v>
      </c>
      <c r="K769" s="46">
        <f ca="1">EFEITO!$L$769*EFEITO!$Z$769</f>
        <v>88911.290200396979</v>
      </c>
      <c r="L769" s="46">
        <f>EFEITO!$N$769*EFEITO!$AA$769</f>
        <v>21784.024289030724</v>
      </c>
      <c r="M769" s="46">
        <f>$J$769-EFEITO!$K$769*EFEITO!$Y$769</f>
        <v>0</v>
      </c>
      <c r="N769" s="46">
        <f ca="1">$K$769-EFEITO!$M$769*EFEITO!$Z$769</f>
        <v>0</v>
      </c>
      <c r="O769" s="46">
        <f>$L$769-EFEITO!$O$769*EFEITO!$AA$769</f>
        <v>0</v>
      </c>
      <c r="P769" s="38"/>
      <c r="Q769" s="38"/>
      <c r="R769" s="38"/>
      <c r="S769" s="38"/>
      <c r="T769" s="38"/>
      <c r="U769" s="38"/>
      <c r="V769" s="38"/>
      <c r="W769" s="38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</row>
    <row r="770" spans="1:36" ht="11.25" customHeight="1" x14ac:dyDescent="0.2">
      <c r="A770" s="35" t="s">
        <v>28</v>
      </c>
      <c r="B770" s="35" t="s">
        <v>41</v>
      </c>
      <c r="C770" s="35" t="s">
        <v>44</v>
      </c>
      <c r="D770" s="35" t="s">
        <v>40</v>
      </c>
      <c r="E770" s="35" t="s">
        <v>25</v>
      </c>
      <c r="F770" s="35" t="s">
        <v>25</v>
      </c>
      <c r="G770" s="35" t="s">
        <v>25</v>
      </c>
      <c r="H770" s="35" t="s">
        <v>36</v>
      </c>
      <c r="I770" s="45">
        <v>44805</v>
      </c>
      <c r="J770" s="46">
        <f>EFEITO!$J$770*EFEITO!$Y$770</f>
        <v>0</v>
      </c>
      <c r="K770" s="46">
        <f ca="1">EFEITO!$L$770*EFEITO!$Z$770</f>
        <v>7672.9836590454124</v>
      </c>
      <c r="L770" s="46">
        <f>EFEITO!$N$770*EFEITO!$AA$770</f>
        <v>1879.9464277398913</v>
      </c>
      <c r="M770" s="46">
        <f>$J$770-EFEITO!$K$770*EFEITO!$Y$770</f>
        <v>0</v>
      </c>
      <c r="N770" s="46">
        <f ca="1">$K$770-EFEITO!$M$770*EFEITO!$Z$770</f>
        <v>0</v>
      </c>
      <c r="O770" s="46">
        <f>$L$770-EFEITO!$O$770*EFEITO!$AA$770</f>
        <v>0</v>
      </c>
      <c r="P770" s="38"/>
      <c r="Q770" s="38"/>
      <c r="R770" s="38"/>
      <c r="S770" s="38"/>
      <c r="T770" s="38"/>
      <c r="U770" s="38"/>
      <c r="V770" s="38"/>
      <c r="W770" s="38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</row>
    <row r="771" spans="1:36" ht="11.25" customHeight="1" x14ac:dyDescent="0.2">
      <c r="A771" s="35" t="s">
        <v>30</v>
      </c>
      <c r="B771" s="35" t="s">
        <v>41</v>
      </c>
      <c r="C771" s="35" t="s">
        <v>44</v>
      </c>
      <c r="D771" s="35" t="s">
        <v>40</v>
      </c>
      <c r="E771" s="35" t="s">
        <v>25</v>
      </c>
      <c r="F771" s="35" t="s">
        <v>25</v>
      </c>
      <c r="G771" s="35" t="s">
        <v>25</v>
      </c>
      <c r="H771" s="35" t="s">
        <v>36</v>
      </c>
      <c r="I771" s="45">
        <v>44805</v>
      </c>
      <c r="J771" s="46">
        <f>EFEITO!$J$771*EFEITO!$Y$771</f>
        <v>0</v>
      </c>
      <c r="K771" s="46">
        <f ca="1">EFEITO!$L$771*EFEITO!$Z$771</f>
        <v>3932.7001508649037</v>
      </c>
      <c r="L771" s="46">
        <f>EFEITO!$N$771*EFEITO!$AA$771</f>
        <v>963.54507301406079</v>
      </c>
      <c r="M771" s="46">
        <f>$J$771-EFEITO!$K$771*EFEITO!$Y$771</f>
        <v>0</v>
      </c>
      <c r="N771" s="46">
        <f ca="1">$K$771-EFEITO!$M$771*EFEITO!$Z$771</f>
        <v>0</v>
      </c>
      <c r="O771" s="46">
        <f>$L$771-EFEITO!$O$771*EFEITO!$AA$771</f>
        <v>0</v>
      </c>
      <c r="P771" s="38"/>
      <c r="Q771" s="38"/>
      <c r="R771" s="38"/>
      <c r="S771" s="38"/>
      <c r="T771" s="38"/>
      <c r="U771" s="38"/>
      <c r="V771" s="38"/>
      <c r="W771" s="38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</row>
    <row r="772" spans="1:36" ht="11.25" customHeight="1" x14ac:dyDescent="0.2">
      <c r="A772" s="35" t="s">
        <v>21</v>
      </c>
      <c r="B772" s="35" t="s">
        <v>41</v>
      </c>
      <c r="C772" s="35" t="s">
        <v>44</v>
      </c>
      <c r="D772" s="35" t="s">
        <v>40</v>
      </c>
      <c r="E772" s="35" t="s">
        <v>25</v>
      </c>
      <c r="F772" s="35" t="s">
        <v>25</v>
      </c>
      <c r="G772" s="35" t="s">
        <v>25</v>
      </c>
      <c r="H772" s="35" t="s">
        <v>36</v>
      </c>
      <c r="I772" s="45">
        <v>44835</v>
      </c>
      <c r="J772" s="46">
        <f>EFEITO!$J$772*EFEITO!$Y$772</f>
        <v>0</v>
      </c>
      <c r="K772" s="46">
        <f ca="1">EFEITO!$L$772*EFEITO!$Z$772</f>
        <v>105089.08946609264</v>
      </c>
      <c r="L772" s="46">
        <f>EFEITO!$N$772*EFEITO!$AA$772</f>
        <v>25747.723065110393</v>
      </c>
      <c r="M772" s="46">
        <f>$J$772-EFEITO!$K$772*EFEITO!$Y$772</f>
        <v>0</v>
      </c>
      <c r="N772" s="46">
        <f ca="1">$K$772-EFEITO!$M$772*EFEITO!$Z$772</f>
        <v>0</v>
      </c>
      <c r="O772" s="46">
        <f>$L$772-EFEITO!$O$772*EFEITO!$AA$772</f>
        <v>0</v>
      </c>
      <c r="P772" s="38"/>
      <c r="Q772" s="38"/>
      <c r="R772" s="38"/>
      <c r="S772" s="38"/>
      <c r="T772" s="38"/>
      <c r="U772" s="38"/>
      <c r="V772" s="38"/>
      <c r="W772" s="38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</row>
    <row r="773" spans="1:36" ht="11.25" customHeight="1" x14ac:dyDescent="0.2">
      <c r="A773" s="35" t="s">
        <v>28</v>
      </c>
      <c r="B773" s="35" t="s">
        <v>41</v>
      </c>
      <c r="C773" s="35" t="s">
        <v>44</v>
      </c>
      <c r="D773" s="35" t="s">
        <v>40</v>
      </c>
      <c r="E773" s="35" t="s">
        <v>25</v>
      </c>
      <c r="F773" s="35" t="s">
        <v>25</v>
      </c>
      <c r="G773" s="35" t="s">
        <v>25</v>
      </c>
      <c r="H773" s="35" t="s">
        <v>36</v>
      </c>
      <c r="I773" s="45">
        <v>44835</v>
      </c>
      <c r="J773" s="46">
        <f>EFEITO!$J$773*EFEITO!$Y$773</f>
        <v>0</v>
      </c>
      <c r="K773" s="46">
        <f ca="1">EFEITO!$L$773*EFEITO!$Z$773</f>
        <v>7252.6273011810426</v>
      </c>
      <c r="L773" s="46">
        <f>EFEITO!$N$773*EFEITO!$AA$773</f>
        <v>1776.9555354794497</v>
      </c>
      <c r="M773" s="46">
        <f>$J$773-EFEITO!$K$773*EFEITO!$Y$773</f>
        <v>0</v>
      </c>
      <c r="N773" s="46">
        <f ca="1">$K$773-EFEITO!$M$773*EFEITO!$Z$773</f>
        <v>0</v>
      </c>
      <c r="O773" s="46">
        <f>$L$773-EFEITO!$O$773*EFEITO!$AA$773</f>
        <v>0</v>
      </c>
      <c r="P773" s="38"/>
      <c r="Q773" s="38"/>
      <c r="R773" s="38"/>
      <c r="S773" s="38"/>
      <c r="T773" s="38"/>
      <c r="U773" s="38"/>
      <c r="V773" s="38"/>
      <c r="W773" s="38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</row>
    <row r="774" spans="1:36" ht="11.25" customHeight="1" x14ac:dyDescent="0.2">
      <c r="A774" s="35" t="s">
        <v>30</v>
      </c>
      <c r="B774" s="35" t="s">
        <v>41</v>
      </c>
      <c r="C774" s="35" t="s">
        <v>44</v>
      </c>
      <c r="D774" s="35" t="s">
        <v>40</v>
      </c>
      <c r="E774" s="35" t="s">
        <v>25</v>
      </c>
      <c r="F774" s="35" t="s">
        <v>25</v>
      </c>
      <c r="G774" s="35" t="s">
        <v>25</v>
      </c>
      <c r="H774" s="35" t="s">
        <v>36</v>
      </c>
      <c r="I774" s="45">
        <v>44835</v>
      </c>
      <c r="J774" s="46">
        <f>EFEITO!$J$774*EFEITO!$Y$774</f>
        <v>0</v>
      </c>
      <c r="K774" s="46">
        <f ca="1">EFEITO!$L$774*EFEITO!$Z$774</f>
        <v>3795.048244944529</v>
      </c>
      <c r="L774" s="46">
        <f>EFEITO!$N$774*EFEITO!$AA$774</f>
        <v>929.81918223863454</v>
      </c>
      <c r="M774" s="46">
        <f>$J$774-EFEITO!$K$774*EFEITO!$Y$774</f>
        <v>0</v>
      </c>
      <c r="N774" s="46">
        <f ca="1">$K$774-EFEITO!$M$774*EFEITO!$Z$774</f>
        <v>0</v>
      </c>
      <c r="O774" s="46">
        <f>$L$774-EFEITO!$O$774*EFEITO!$AA$774</f>
        <v>0</v>
      </c>
      <c r="P774" s="38"/>
      <c r="Q774" s="38"/>
      <c r="R774" s="38"/>
      <c r="S774" s="38"/>
      <c r="T774" s="38"/>
      <c r="U774" s="38"/>
      <c r="V774" s="38"/>
      <c r="W774" s="38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</row>
    <row r="775" spans="1:36" ht="11.25" customHeight="1" x14ac:dyDescent="0.2">
      <c r="A775" s="35" t="s">
        <v>59</v>
      </c>
      <c r="B775" s="35" t="s">
        <v>41</v>
      </c>
      <c r="C775" s="35" t="s">
        <v>44</v>
      </c>
      <c r="D775" s="35" t="s">
        <v>40</v>
      </c>
      <c r="E775" s="35" t="s">
        <v>25</v>
      </c>
      <c r="F775" s="35" t="s">
        <v>25</v>
      </c>
      <c r="G775" s="35" t="s">
        <v>25</v>
      </c>
      <c r="H775" s="35" t="s">
        <v>36</v>
      </c>
      <c r="I775" s="45">
        <v>44866</v>
      </c>
      <c r="J775" s="46">
        <f>EFEITO!$J$775*EFEITO!$Y$775</f>
        <v>0</v>
      </c>
      <c r="K775" s="46">
        <f ca="1">EFEITO!$L$775*EFEITO!$Z$775</f>
        <v>105089.08946609264</v>
      </c>
      <c r="L775" s="46">
        <f>EFEITO!$N$775*EFEITO!$AA$775</f>
        <v>25747.723065110393</v>
      </c>
      <c r="M775" s="46">
        <f>$J$775-EFEITO!$K$775*EFEITO!$Y$775</f>
        <v>0</v>
      </c>
      <c r="N775" s="46">
        <f ca="1">$K$775-EFEITO!$M$775*EFEITO!$Z$775</f>
        <v>0</v>
      </c>
      <c r="O775" s="46">
        <f>$L$775-EFEITO!$O$775*EFEITO!$AA$775</f>
        <v>0</v>
      </c>
      <c r="P775" s="38"/>
      <c r="Q775" s="38"/>
      <c r="R775" s="38"/>
      <c r="S775" s="38"/>
      <c r="T775" s="38"/>
      <c r="U775" s="38"/>
      <c r="V775" s="38"/>
      <c r="W775" s="38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</row>
    <row r="776" spans="1:36" ht="11.25" customHeight="1" x14ac:dyDescent="0.2">
      <c r="A776" s="35" t="s">
        <v>59</v>
      </c>
      <c r="B776" s="35" t="s">
        <v>41</v>
      </c>
      <c r="C776" s="35" t="s">
        <v>44</v>
      </c>
      <c r="D776" s="35" t="s">
        <v>40</v>
      </c>
      <c r="E776" s="35" t="s">
        <v>25</v>
      </c>
      <c r="F776" s="35" t="s">
        <v>25</v>
      </c>
      <c r="G776" s="35" t="s">
        <v>25</v>
      </c>
      <c r="H776" s="35" t="s">
        <v>36</v>
      </c>
      <c r="I776" s="45">
        <v>44866</v>
      </c>
      <c r="J776" s="46">
        <f>EFEITO!$J$776*EFEITO!$Y$776</f>
        <v>0</v>
      </c>
      <c r="K776" s="46">
        <f ca="1">EFEITO!$L$776*EFEITO!$Z$776</f>
        <v>7252.6273011810426</v>
      </c>
      <c r="L776" s="46">
        <f>EFEITO!$N$776*EFEITO!$AA$776</f>
        <v>1776.9555354794497</v>
      </c>
      <c r="M776" s="46">
        <f>$J$776-EFEITO!$K$776*EFEITO!$Y$776</f>
        <v>0</v>
      </c>
      <c r="N776" s="46">
        <f ca="1">$K$776-EFEITO!$M$776*EFEITO!$Z$776</f>
        <v>0</v>
      </c>
      <c r="O776" s="46">
        <f>$L$776-EFEITO!$O$776*EFEITO!$AA$776</f>
        <v>0</v>
      </c>
      <c r="P776" s="38"/>
      <c r="Q776" s="38"/>
      <c r="R776" s="38"/>
      <c r="S776" s="38"/>
      <c r="T776" s="38"/>
      <c r="U776" s="38"/>
      <c r="V776" s="38"/>
      <c r="W776" s="38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</row>
    <row r="777" spans="1:36" ht="11.25" customHeight="1" x14ac:dyDescent="0.2">
      <c r="A777" s="35" t="s">
        <v>59</v>
      </c>
      <c r="B777" s="35" t="s">
        <v>41</v>
      </c>
      <c r="C777" s="35" t="s">
        <v>44</v>
      </c>
      <c r="D777" s="35" t="s">
        <v>40</v>
      </c>
      <c r="E777" s="35" t="s">
        <v>25</v>
      </c>
      <c r="F777" s="35" t="s">
        <v>25</v>
      </c>
      <c r="G777" s="35" t="s">
        <v>25</v>
      </c>
      <c r="H777" s="35" t="s">
        <v>36</v>
      </c>
      <c r="I777" s="45">
        <v>44866</v>
      </c>
      <c r="J777" s="46">
        <f>EFEITO!$J$777*EFEITO!$Y$777</f>
        <v>0</v>
      </c>
      <c r="K777" s="46">
        <f ca="1">EFEITO!$L$777*EFEITO!$Z$777</f>
        <v>3795.048244944529</v>
      </c>
      <c r="L777" s="46">
        <f>EFEITO!$N$777*EFEITO!$AA$777</f>
        <v>929.81918223863454</v>
      </c>
      <c r="M777" s="46">
        <f>$J$777-EFEITO!$K$777*EFEITO!$Y$777</f>
        <v>0</v>
      </c>
      <c r="N777" s="46">
        <f ca="1">$K$777-EFEITO!$M$777*EFEITO!$Z$777</f>
        <v>0</v>
      </c>
      <c r="O777" s="46">
        <f>$L$777-EFEITO!$O$777*EFEITO!$AA$777</f>
        <v>0</v>
      </c>
      <c r="P777" s="38"/>
      <c r="Q777" s="38"/>
      <c r="R777" s="38"/>
      <c r="S777" s="38"/>
      <c r="T777" s="38"/>
      <c r="U777" s="38"/>
      <c r="V777" s="38"/>
      <c r="W777" s="38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</row>
    <row r="778" spans="1:36" ht="11.25" customHeight="1" x14ac:dyDescent="0.2">
      <c r="A778" s="35" t="s">
        <v>21</v>
      </c>
      <c r="B778" s="35" t="s">
        <v>41</v>
      </c>
      <c r="C778" s="35" t="s">
        <v>44</v>
      </c>
      <c r="D778" s="35" t="s">
        <v>48</v>
      </c>
      <c r="E778" s="35" t="s">
        <v>25</v>
      </c>
      <c r="F778" s="35" t="s">
        <v>25</v>
      </c>
      <c r="G778" s="35" t="s">
        <v>25</v>
      </c>
      <c r="H778" s="35" t="s">
        <v>37</v>
      </c>
      <c r="I778" s="45">
        <v>44531</v>
      </c>
      <c r="J778" s="46">
        <f>EFEITO!$J$778*EFEITO!$Y$778</f>
        <v>0</v>
      </c>
      <c r="K778" s="46">
        <f ca="1">EFEITO!$L$778*EFEITO!$Z$778</f>
        <v>396896.49461634492</v>
      </c>
      <c r="L778" s="46">
        <f>EFEITO!$N$778*EFEITO!$AA$778</f>
        <v>765181.62419294508</v>
      </c>
      <c r="M778" s="46">
        <f>$J$778-EFEITO!$K$778*EFEITO!$Y$778</f>
        <v>0</v>
      </c>
      <c r="N778" s="46">
        <f ca="1">$K$778-EFEITO!$M$778*EFEITO!$Z$778</f>
        <v>0</v>
      </c>
      <c r="O778" s="46">
        <f>$L$778-EFEITO!$O$778*EFEITO!$AA$778</f>
        <v>0</v>
      </c>
      <c r="P778" s="38"/>
      <c r="Q778" s="38"/>
      <c r="R778" s="38"/>
      <c r="S778" s="38"/>
      <c r="T778" s="38"/>
      <c r="U778" s="38"/>
      <c r="V778" s="38"/>
      <c r="W778" s="38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</row>
    <row r="779" spans="1:36" ht="11.25" customHeight="1" x14ac:dyDescent="0.2">
      <c r="A779" s="35" t="s">
        <v>28</v>
      </c>
      <c r="B779" s="35" t="s">
        <v>41</v>
      </c>
      <c r="C779" s="35" t="s">
        <v>44</v>
      </c>
      <c r="D779" s="35" t="s">
        <v>48</v>
      </c>
      <c r="E779" s="35" t="s">
        <v>25</v>
      </c>
      <c r="F779" s="35" t="s">
        <v>25</v>
      </c>
      <c r="G779" s="35" t="s">
        <v>25</v>
      </c>
      <c r="H779" s="35" t="s">
        <v>37</v>
      </c>
      <c r="I779" s="45">
        <v>44531</v>
      </c>
      <c r="J779" s="46">
        <f>EFEITO!$J$779*EFEITO!$Y$779</f>
        <v>0</v>
      </c>
      <c r="K779" s="46">
        <f ca="1">EFEITO!$L$779*EFEITO!$Z$779</f>
        <v>86341.570655228774</v>
      </c>
      <c r="L779" s="46">
        <f>EFEITO!$N$779*EFEITO!$AA$779</f>
        <v>166458.97397809147</v>
      </c>
      <c r="M779" s="46">
        <f>$J$779-EFEITO!$K$779*EFEITO!$Y$779</f>
        <v>0</v>
      </c>
      <c r="N779" s="46">
        <f ca="1">$K$779-EFEITO!$M$779*EFEITO!$Z$779</f>
        <v>0</v>
      </c>
      <c r="O779" s="46">
        <f>$L$779-EFEITO!$O$779*EFEITO!$AA$779</f>
        <v>0</v>
      </c>
      <c r="P779" s="38"/>
      <c r="Q779" s="38"/>
      <c r="R779" s="38"/>
      <c r="S779" s="38"/>
      <c r="T779" s="38"/>
      <c r="U779" s="38"/>
      <c r="V779" s="38"/>
      <c r="W779" s="38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</row>
    <row r="780" spans="1:36" ht="11.25" customHeight="1" x14ac:dyDescent="0.2">
      <c r="A780" s="35" t="s">
        <v>30</v>
      </c>
      <c r="B780" s="35" t="s">
        <v>41</v>
      </c>
      <c r="C780" s="35" t="s">
        <v>44</v>
      </c>
      <c r="D780" s="35" t="s">
        <v>48</v>
      </c>
      <c r="E780" s="35" t="s">
        <v>25</v>
      </c>
      <c r="F780" s="35" t="s">
        <v>25</v>
      </c>
      <c r="G780" s="35" t="s">
        <v>25</v>
      </c>
      <c r="H780" s="35" t="s">
        <v>37</v>
      </c>
      <c r="I780" s="45">
        <v>44531</v>
      </c>
      <c r="J780" s="46">
        <f>EFEITO!$J$780*EFEITO!$Y$780</f>
        <v>0</v>
      </c>
      <c r="K780" s="46">
        <f ca="1">EFEITO!$L$780*EFEITO!$Z$780</f>
        <v>21928.522082909203</v>
      </c>
      <c r="L780" s="46">
        <f>EFEITO!$N$780*EFEITO!$AA$780</f>
        <v>42276.266913797845</v>
      </c>
      <c r="M780" s="46">
        <f>$J$780-EFEITO!$K$780*EFEITO!$Y$780</f>
        <v>0</v>
      </c>
      <c r="N780" s="46">
        <f ca="1">$K$780-EFEITO!$M$780*EFEITO!$Z$780</f>
        <v>0</v>
      </c>
      <c r="O780" s="46">
        <f>$L$780-EFEITO!$O$780*EFEITO!$AA$780</f>
        <v>0</v>
      </c>
      <c r="P780" s="38"/>
      <c r="Q780" s="38"/>
      <c r="R780" s="38"/>
      <c r="S780" s="38"/>
      <c r="T780" s="38"/>
      <c r="U780" s="38"/>
      <c r="V780" s="38"/>
      <c r="W780" s="38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</row>
    <row r="781" spans="1:36" ht="11.25" customHeight="1" x14ac:dyDescent="0.2">
      <c r="A781" s="35" t="s">
        <v>21</v>
      </c>
      <c r="B781" s="35" t="s">
        <v>41</v>
      </c>
      <c r="C781" s="35" t="s">
        <v>44</v>
      </c>
      <c r="D781" s="35" t="s">
        <v>48</v>
      </c>
      <c r="E781" s="35" t="s">
        <v>25</v>
      </c>
      <c r="F781" s="35" t="s">
        <v>25</v>
      </c>
      <c r="G781" s="35" t="s">
        <v>25</v>
      </c>
      <c r="H781" s="35" t="s">
        <v>37</v>
      </c>
      <c r="I781" s="45">
        <v>44562</v>
      </c>
      <c r="J781" s="46">
        <f>EFEITO!$J$781*EFEITO!$Y$781</f>
        <v>0</v>
      </c>
      <c r="K781" s="46">
        <f ca="1">EFEITO!$L$781*EFEITO!$Z$781</f>
        <v>393037.79161501862</v>
      </c>
      <c r="L781" s="46">
        <f>EFEITO!$N$781*EFEITO!$AA$781</f>
        <v>757742.38330802065</v>
      </c>
      <c r="M781" s="46">
        <f>$J$781-EFEITO!$K$781*EFEITO!$Y$781</f>
        <v>0</v>
      </c>
      <c r="N781" s="46">
        <f ca="1">$K$781-EFEITO!$M$781*EFEITO!$Z$781</f>
        <v>0</v>
      </c>
      <c r="O781" s="46">
        <f>$L$781-EFEITO!$O$781*EFEITO!$AA$781</f>
        <v>0</v>
      </c>
      <c r="P781" s="38"/>
      <c r="Q781" s="38"/>
      <c r="R781" s="38"/>
      <c r="S781" s="38"/>
      <c r="T781" s="38"/>
      <c r="U781" s="38"/>
      <c r="V781" s="38"/>
      <c r="W781" s="38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</row>
    <row r="782" spans="1:36" ht="11.25" customHeight="1" x14ac:dyDescent="0.2">
      <c r="A782" s="35" t="s">
        <v>28</v>
      </c>
      <c r="B782" s="35" t="s">
        <v>41</v>
      </c>
      <c r="C782" s="35" t="s">
        <v>44</v>
      </c>
      <c r="D782" s="35" t="s">
        <v>48</v>
      </c>
      <c r="E782" s="35" t="s">
        <v>25</v>
      </c>
      <c r="F782" s="35" t="s">
        <v>25</v>
      </c>
      <c r="G782" s="35" t="s">
        <v>25</v>
      </c>
      <c r="H782" s="35" t="s">
        <v>37</v>
      </c>
      <c r="I782" s="45">
        <v>44562</v>
      </c>
      <c r="J782" s="46">
        <f>EFEITO!$J$782*EFEITO!$Y$782</f>
        <v>0</v>
      </c>
      <c r="K782" s="46">
        <f ca="1">EFEITO!$L$782*EFEITO!$Z$782</f>
        <v>87437.316172096689</v>
      </c>
      <c r="L782" s="46">
        <f>EFEITO!$N$782*EFEITO!$AA$782</f>
        <v>168571.47521121422</v>
      </c>
      <c r="M782" s="46">
        <f>$J$782-EFEITO!$K$782*EFEITO!$Y$782</f>
        <v>0</v>
      </c>
      <c r="N782" s="46">
        <f ca="1">$K$782-EFEITO!$M$782*EFEITO!$Z$782</f>
        <v>0</v>
      </c>
      <c r="O782" s="46">
        <f>$L$782-EFEITO!$O$782*EFEITO!$AA$782</f>
        <v>0</v>
      </c>
      <c r="P782" s="38"/>
      <c r="Q782" s="38"/>
      <c r="R782" s="38"/>
      <c r="S782" s="38"/>
      <c r="T782" s="38"/>
      <c r="U782" s="38"/>
      <c r="V782" s="38"/>
      <c r="W782" s="38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</row>
    <row r="783" spans="1:36" ht="11.25" customHeight="1" x14ac:dyDescent="0.2">
      <c r="A783" s="35" t="s">
        <v>29</v>
      </c>
      <c r="B783" s="35" t="s">
        <v>41</v>
      </c>
      <c r="C783" s="35" t="s">
        <v>44</v>
      </c>
      <c r="D783" s="35" t="s">
        <v>48</v>
      </c>
      <c r="E783" s="35" t="s">
        <v>25</v>
      </c>
      <c r="F783" s="35" t="s">
        <v>25</v>
      </c>
      <c r="G783" s="35" t="s">
        <v>25</v>
      </c>
      <c r="H783" s="35" t="s">
        <v>37</v>
      </c>
      <c r="I783" s="45">
        <v>44562</v>
      </c>
      <c r="J783" s="46">
        <f>EFEITO!$J$783*EFEITO!$Y$783</f>
        <v>0</v>
      </c>
      <c r="K783" s="46">
        <f ca="1">EFEITO!$L$783*EFEITO!$Z$783</f>
        <v>-1919.2561227127239</v>
      </c>
      <c r="L783" s="46">
        <f>EFEITO!$N$783*EFEITO!$AA$783</f>
        <v>-3700.1574393826795</v>
      </c>
      <c r="M783" s="46">
        <f>$J$783-EFEITO!$K$783*EFEITO!$Y$783</f>
        <v>0</v>
      </c>
      <c r="N783" s="46">
        <f ca="1">$K$783-EFEITO!$M$783*EFEITO!$Z$783</f>
        <v>0</v>
      </c>
      <c r="O783" s="46">
        <f>$L$783-EFEITO!$O$783*EFEITO!$AA$783</f>
        <v>0</v>
      </c>
      <c r="P783" s="38"/>
      <c r="Q783" s="38"/>
      <c r="R783" s="38"/>
      <c r="S783" s="38"/>
      <c r="T783" s="38"/>
      <c r="U783" s="38"/>
      <c r="V783" s="38"/>
      <c r="W783" s="38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</row>
    <row r="784" spans="1:36" ht="11.25" customHeight="1" x14ac:dyDescent="0.2">
      <c r="A784" s="35" t="s">
        <v>30</v>
      </c>
      <c r="B784" s="35" t="s">
        <v>41</v>
      </c>
      <c r="C784" s="35" t="s">
        <v>44</v>
      </c>
      <c r="D784" s="35" t="s">
        <v>48</v>
      </c>
      <c r="E784" s="35" t="s">
        <v>25</v>
      </c>
      <c r="F784" s="35" t="s">
        <v>25</v>
      </c>
      <c r="G784" s="35" t="s">
        <v>25</v>
      </c>
      <c r="H784" s="35" t="s">
        <v>37</v>
      </c>
      <c r="I784" s="45">
        <v>44562</v>
      </c>
      <c r="J784" s="46">
        <f>EFEITO!$J$784*EFEITO!$Y$784</f>
        <v>0</v>
      </c>
      <c r="K784" s="46">
        <f ca="1">EFEITO!$L$784*EFEITO!$Z$784</f>
        <v>22231.610283848233</v>
      </c>
      <c r="L784" s="46">
        <f>EFEITO!$N$784*EFEITO!$AA$784</f>
        <v>42860.594377038418</v>
      </c>
      <c r="M784" s="46">
        <f>$J$784-EFEITO!$K$784*EFEITO!$Y$784</f>
        <v>0</v>
      </c>
      <c r="N784" s="46">
        <f ca="1">$K$784-EFEITO!$M$784*EFEITO!$Z$784</f>
        <v>0</v>
      </c>
      <c r="O784" s="46">
        <f>$L$784-EFEITO!$O$784*EFEITO!$AA$784</f>
        <v>0</v>
      </c>
      <c r="P784" s="38"/>
      <c r="Q784" s="38"/>
      <c r="R784" s="38"/>
      <c r="S784" s="38"/>
      <c r="T784" s="38"/>
      <c r="U784" s="38"/>
      <c r="V784" s="38"/>
      <c r="W784" s="38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</row>
    <row r="785" spans="1:36" ht="11.25" customHeight="1" x14ac:dyDescent="0.2">
      <c r="A785" s="35" t="s">
        <v>21</v>
      </c>
      <c r="B785" s="35" t="s">
        <v>41</v>
      </c>
      <c r="C785" s="35" t="s">
        <v>44</v>
      </c>
      <c r="D785" s="35" t="s">
        <v>48</v>
      </c>
      <c r="E785" s="35" t="s">
        <v>25</v>
      </c>
      <c r="F785" s="35" t="s">
        <v>25</v>
      </c>
      <c r="G785" s="35" t="s">
        <v>25</v>
      </c>
      <c r="H785" s="35" t="s">
        <v>37</v>
      </c>
      <c r="I785" s="45">
        <v>44593</v>
      </c>
      <c r="J785" s="46">
        <f>EFEITO!$J$785*EFEITO!$Y$785</f>
        <v>0</v>
      </c>
      <c r="K785" s="46">
        <f ca="1">EFEITO!$L$785*EFEITO!$Z$785</f>
        <v>351929.18573840405</v>
      </c>
      <c r="L785" s="46">
        <f>EFEITO!$N$785*EFEITO!$AA$785</f>
        <v>678488.5973974606</v>
      </c>
      <c r="M785" s="46">
        <f>$J$785-EFEITO!$K$785*EFEITO!$Y$785</f>
        <v>0</v>
      </c>
      <c r="N785" s="46">
        <f ca="1">$K$785-EFEITO!$M$785*EFEITO!$Z$785</f>
        <v>0</v>
      </c>
      <c r="O785" s="46">
        <f>$L$785-EFEITO!$O$785*EFEITO!$AA$785</f>
        <v>0</v>
      </c>
      <c r="P785" s="38"/>
      <c r="Q785" s="38"/>
      <c r="R785" s="38"/>
      <c r="S785" s="38"/>
      <c r="T785" s="38"/>
      <c r="U785" s="38"/>
      <c r="V785" s="38"/>
      <c r="W785" s="38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</row>
    <row r="786" spans="1:36" ht="11.25" customHeight="1" x14ac:dyDescent="0.2">
      <c r="A786" s="35" t="s">
        <v>27</v>
      </c>
      <c r="B786" s="35" t="s">
        <v>41</v>
      </c>
      <c r="C786" s="35" t="s">
        <v>44</v>
      </c>
      <c r="D786" s="35" t="s">
        <v>48</v>
      </c>
      <c r="E786" s="35" t="s">
        <v>25</v>
      </c>
      <c r="F786" s="35" t="s">
        <v>25</v>
      </c>
      <c r="G786" s="35" t="s">
        <v>25</v>
      </c>
      <c r="H786" s="35" t="s">
        <v>37</v>
      </c>
      <c r="I786" s="45">
        <v>44593</v>
      </c>
      <c r="J786" s="46">
        <f>EFEITO!$J$786*EFEITO!$Y$786</f>
        <v>0</v>
      </c>
      <c r="K786" s="46">
        <f ca="1">EFEITO!$L$786*EFEITO!$Z$786</f>
        <v>-101.06721071731896</v>
      </c>
      <c r="L786" s="46">
        <f>EFEITO!$N$786*EFEITO!$AA$786</f>
        <v>-194.8487162228113</v>
      </c>
      <c r="M786" s="46">
        <f>$J$786-EFEITO!$K$786*EFEITO!$Y$786</f>
        <v>0</v>
      </c>
      <c r="N786" s="46">
        <f ca="1">$K$786-EFEITO!$M$786*EFEITO!$Z$786</f>
        <v>0</v>
      </c>
      <c r="O786" s="46">
        <f>$L$786-EFEITO!$O$786*EFEITO!$AA$786</f>
        <v>0</v>
      </c>
      <c r="P786" s="38"/>
      <c r="Q786" s="38"/>
      <c r="R786" s="38"/>
      <c r="S786" s="38"/>
      <c r="T786" s="38"/>
      <c r="U786" s="38"/>
      <c r="V786" s="38"/>
      <c r="W786" s="38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</row>
    <row r="787" spans="1:36" ht="11.25" customHeight="1" x14ac:dyDescent="0.2">
      <c r="A787" s="35" t="s">
        <v>28</v>
      </c>
      <c r="B787" s="35" t="s">
        <v>41</v>
      </c>
      <c r="C787" s="35" t="s">
        <v>44</v>
      </c>
      <c r="D787" s="35" t="s">
        <v>48</v>
      </c>
      <c r="E787" s="35" t="s">
        <v>25</v>
      </c>
      <c r="F787" s="35" t="s">
        <v>25</v>
      </c>
      <c r="G787" s="35" t="s">
        <v>25</v>
      </c>
      <c r="H787" s="35" t="s">
        <v>37</v>
      </c>
      <c r="I787" s="45">
        <v>44593</v>
      </c>
      <c r="J787" s="46">
        <f>EFEITO!$J$787*EFEITO!$Y$787</f>
        <v>0</v>
      </c>
      <c r="K787" s="46">
        <f ca="1">EFEITO!$L$787*EFEITO!$Z$787</f>
        <v>73113.449466191407</v>
      </c>
      <c r="L787" s="46">
        <f>EFEITO!$N$787*EFEITO!$AA$787</f>
        <v>140956.31675197271</v>
      </c>
      <c r="M787" s="46">
        <f>$J$787-EFEITO!$K$787*EFEITO!$Y$787</f>
        <v>0</v>
      </c>
      <c r="N787" s="46">
        <f ca="1">$K$787-EFEITO!$M$787*EFEITO!$Z$787</f>
        <v>0</v>
      </c>
      <c r="O787" s="46">
        <f>$L$787-EFEITO!$O$787*EFEITO!$AA$787</f>
        <v>0</v>
      </c>
      <c r="P787" s="38"/>
      <c r="Q787" s="38"/>
      <c r="R787" s="38"/>
      <c r="S787" s="38"/>
      <c r="T787" s="38"/>
      <c r="U787" s="38"/>
      <c r="V787" s="38"/>
      <c r="W787" s="38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</row>
    <row r="788" spans="1:36" ht="11.25" customHeight="1" x14ac:dyDescent="0.2">
      <c r="A788" s="35" t="s">
        <v>30</v>
      </c>
      <c r="B788" s="35" t="s">
        <v>41</v>
      </c>
      <c r="C788" s="35" t="s">
        <v>44</v>
      </c>
      <c r="D788" s="35" t="s">
        <v>48</v>
      </c>
      <c r="E788" s="35" t="s">
        <v>25</v>
      </c>
      <c r="F788" s="35" t="s">
        <v>25</v>
      </c>
      <c r="G788" s="35" t="s">
        <v>25</v>
      </c>
      <c r="H788" s="35" t="s">
        <v>37</v>
      </c>
      <c r="I788" s="45">
        <v>44593</v>
      </c>
      <c r="J788" s="46">
        <f>EFEITO!$J$788*EFEITO!$Y$788</f>
        <v>0</v>
      </c>
      <c r="K788" s="46">
        <f ca="1">EFEITO!$L$788*EFEITO!$Z$788</f>
        <v>20257.907178930898</v>
      </c>
      <c r="L788" s="46">
        <f>EFEITO!$N$788*EFEITO!$AA$788</f>
        <v>39055.467932283187</v>
      </c>
      <c r="M788" s="46">
        <f>$J$788-EFEITO!$K$788*EFEITO!$Y$788</f>
        <v>0</v>
      </c>
      <c r="N788" s="46">
        <f ca="1">$K$788-EFEITO!$M$788*EFEITO!$Z$788</f>
        <v>0</v>
      </c>
      <c r="O788" s="46">
        <f>$L$788-EFEITO!$O$788*EFEITO!$AA$788</f>
        <v>0</v>
      </c>
      <c r="P788" s="38"/>
      <c r="Q788" s="38"/>
      <c r="R788" s="38"/>
      <c r="S788" s="38"/>
      <c r="T788" s="38"/>
      <c r="U788" s="38"/>
      <c r="V788" s="38"/>
      <c r="W788" s="38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</row>
    <row r="789" spans="1:36" ht="11.25" customHeight="1" x14ac:dyDescent="0.2">
      <c r="A789" s="35" t="s">
        <v>21</v>
      </c>
      <c r="B789" s="35" t="s">
        <v>41</v>
      </c>
      <c r="C789" s="35" t="s">
        <v>44</v>
      </c>
      <c r="D789" s="35" t="s">
        <v>48</v>
      </c>
      <c r="E789" s="35" t="s">
        <v>25</v>
      </c>
      <c r="F789" s="35" t="s">
        <v>25</v>
      </c>
      <c r="G789" s="35" t="s">
        <v>25</v>
      </c>
      <c r="H789" s="35" t="s">
        <v>37</v>
      </c>
      <c r="I789" s="45">
        <v>44621</v>
      </c>
      <c r="J789" s="46">
        <f>EFEITO!$J$789*EFEITO!$Y$789</f>
        <v>0</v>
      </c>
      <c r="K789" s="46">
        <f ca="1">EFEITO!$L$789*EFEITO!$Z$789</f>
        <v>353238.74909163802</v>
      </c>
      <c r="L789" s="46">
        <f>EFEITO!$N$789*EFEITO!$AA$789</f>
        <v>681013.32066209847</v>
      </c>
      <c r="M789" s="46">
        <f>$J$789-EFEITO!$K$789*EFEITO!$Y$789</f>
        <v>0</v>
      </c>
      <c r="N789" s="46">
        <f ca="1">$K$789-EFEITO!$M$789*EFEITO!$Z$789</f>
        <v>0</v>
      </c>
      <c r="O789" s="46">
        <f>$L$789-EFEITO!$O$789*EFEITO!$AA$789</f>
        <v>0</v>
      </c>
      <c r="P789" s="38"/>
      <c r="Q789" s="38"/>
      <c r="R789" s="38"/>
      <c r="S789" s="38"/>
      <c r="T789" s="38"/>
      <c r="U789" s="38"/>
      <c r="V789" s="38"/>
      <c r="W789" s="38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</row>
    <row r="790" spans="1:36" ht="11.25" customHeight="1" x14ac:dyDescent="0.2">
      <c r="A790" s="35" t="s">
        <v>28</v>
      </c>
      <c r="B790" s="35" t="s">
        <v>41</v>
      </c>
      <c r="C790" s="35" t="s">
        <v>44</v>
      </c>
      <c r="D790" s="35" t="s">
        <v>48</v>
      </c>
      <c r="E790" s="35" t="s">
        <v>25</v>
      </c>
      <c r="F790" s="35" t="s">
        <v>25</v>
      </c>
      <c r="G790" s="35" t="s">
        <v>25</v>
      </c>
      <c r="H790" s="35" t="s">
        <v>37</v>
      </c>
      <c r="I790" s="45">
        <v>44621</v>
      </c>
      <c r="J790" s="46">
        <f>EFEITO!$J$790*EFEITO!$Y$790</f>
        <v>0</v>
      </c>
      <c r="K790" s="46">
        <f ca="1">EFEITO!$L$790*EFEITO!$Z$790</f>
        <v>64022.278043788523</v>
      </c>
      <c r="L790" s="46">
        <f>EFEITO!$N$790*EFEITO!$AA$790</f>
        <v>123429.33576531765</v>
      </c>
      <c r="M790" s="46">
        <f>$J$790-EFEITO!$K$790*EFEITO!$Y$790</f>
        <v>0</v>
      </c>
      <c r="N790" s="46">
        <f ca="1">$K$790-EFEITO!$M$790*EFEITO!$Z$790</f>
        <v>0</v>
      </c>
      <c r="O790" s="46">
        <f>$L$790-EFEITO!$O$790*EFEITO!$AA$790</f>
        <v>0</v>
      </c>
      <c r="P790" s="38"/>
      <c r="Q790" s="38"/>
      <c r="R790" s="38"/>
      <c r="S790" s="38"/>
      <c r="T790" s="38"/>
      <c r="U790" s="38"/>
      <c r="V790" s="38"/>
      <c r="W790" s="38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</row>
    <row r="791" spans="1:36" ht="11.25" customHeight="1" x14ac:dyDescent="0.2">
      <c r="A791" s="35" t="s">
        <v>30</v>
      </c>
      <c r="B791" s="35" t="s">
        <v>41</v>
      </c>
      <c r="C791" s="35" t="s">
        <v>44</v>
      </c>
      <c r="D791" s="35" t="s">
        <v>48</v>
      </c>
      <c r="E791" s="35" t="s">
        <v>25</v>
      </c>
      <c r="F791" s="35" t="s">
        <v>25</v>
      </c>
      <c r="G791" s="35" t="s">
        <v>25</v>
      </c>
      <c r="H791" s="35" t="s">
        <v>37</v>
      </c>
      <c r="I791" s="45">
        <v>44621</v>
      </c>
      <c r="J791" s="46">
        <f>EFEITO!$J$791*EFEITO!$Y$791</f>
        <v>0</v>
      </c>
      <c r="K791" s="46">
        <f ca="1">EFEITO!$L$791*EFEITO!$Z$791</f>
        <v>31933.835650285004</v>
      </c>
      <c r="L791" s="46">
        <f>EFEITO!$N$791*EFEITO!$AA$791</f>
        <v>61565.633763572587</v>
      </c>
      <c r="M791" s="46">
        <f>$J$791-EFEITO!$K$791*EFEITO!$Y$791</f>
        <v>0</v>
      </c>
      <c r="N791" s="46">
        <f ca="1">$K$791-EFEITO!$M$791*EFEITO!$Z$791</f>
        <v>0</v>
      </c>
      <c r="O791" s="46">
        <f>$L$791-EFEITO!$O$791*EFEITO!$AA$791</f>
        <v>0</v>
      </c>
      <c r="P791" s="38"/>
      <c r="Q791" s="38"/>
      <c r="R791" s="38"/>
      <c r="S791" s="38"/>
      <c r="T791" s="38"/>
      <c r="U791" s="38"/>
      <c r="V791" s="38"/>
      <c r="W791" s="38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</row>
    <row r="792" spans="1:36" ht="11.25" customHeight="1" x14ac:dyDescent="0.2">
      <c r="A792" s="35" t="s">
        <v>21</v>
      </c>
      <c r="B792" s="35" t="s">
        <v>41</v>
      </c>
      <c r="C792" s="35" t="s">
        <v>44</v>
      </c>
      <c r="D792" s="35" t="s">
        <v>48</v>
      </c>
      <c r="E792" s="35" t="s">
        <v>25</v>
      </c>
      <c r="F792" s="35" t="s">
        <v>25</v>
      </c>
      <c r="G792" s="35" t="s">
        <v>25</v>
      </c>
      <c r="H792" s="35" t="s">
        <v>37</v>
      </c>
      <c r="I792" s="45">
        <v>44652</v>
      </c>
      <c r="J792" s="46">
        <f>EFEITO!$J$792*EFEITO!$Y$792</f>
        <v>0</v>
      </c>
      <c r="K792" s="46">
        <f ca="1">EFEITO!$L$792*EFEITO!$Z$792</f>
        <v>360820.3779324179</v>
      </c>
      <c r="L792" s="46">
        <f>EFEITO!$N$792*EFEITO!$AA$792</f>
        <v>695630.03597479942</v>
      </c>
      <c r="M792" s="46">
        <f>$J$792-EFEITO!$K$792*EFEITO!$Y$792</f>
        <v>0</v>
      </c>
      <c r="N792" s="46">
        <f ca="1">$K$792-EFEITO!$M$792*EFEITO!$Z$792</f>
        <v>0</v>
      </c>
      <c r="O792" s="46">
        <f>$L$792-EFEITO!$O$792*EFEITO!$AA$792</f>
        <v>0</v>
      </c>
      <c r="P792" s="38"/>
      <c r="Q792" s="38"/>
      <c r="R792" s="38"/>
      <c r="S792" s="38"/>
      <c r="T792" s="38"/>
      <c r="U792" s="38"/>
      <c r="V792" s="38"/>
      <c r="W792" s="38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</row>
    <row r="793" spans="1:36" ht="11.25" customHeight="1" x14ac:dyDescent="0.2">
      <c r="A793" s="35" t="s">
        <v>28</v>
      </c>
      <c r="B793" s="35" t="s">
        <v>41</v>
      </c>
      <c r="C793" s="35" t="s">
        <v>44</v>
      </c>
      <c r="D793" s="35" t="s">
        <v>48</v>
      </c>
      <c r="E793" s="35" t="s">
        <v>25</v>
      </c>
      <c r="F793" s="35" t="s">
        <v>25</v>
      </c>
      <c r="G793" s="35" t="s">
        <v>25</v>
      </c>
      <c r="H793" s="35" t="s">
        <v>37</v>
      </c>
      <c r="I793" s="45">
        <v>44652</v>
      </c>
      <c r="J793" s="46">
        <f>EFEITO!$J$793*EFEITO!$Y$793</f>
        <v>0</v>
      </c>
      <c r="K793" s="46">
        <f ca="1">EFEITO!$L$793*EFEITO!$Z$793</f>
        <v>70968.238367329526</v>
      </c>
      <c r="L793" s="46">
        <f>EFEITO!$N$793*EFEITO!$AA$793</f>
        <v>136820.53794029393</v>
      </c>
      <c r="M793" s="46">
        <f>$J$793-EFEITO!$K$793*EFEITO!$Y$793</f>
        <v>0</v>
      </c>
      <c r="N793" s="46">
        <f ca="1">$K$793-EFEITO!$M$793*EFEITO!$Z$793</f>
        <v>0</v>
      </c>
      <c r="O793" s="46">
        <f>$L$793-EFEITO!$O$793*EFEITO!$AA$793</f>
        <v>0</v>
      </c>
      <c r="P793" s="38"/>
      <c r="Q793" s="38"/>
      <c r="R793" s="38"/>
      <c r="S793" s="38"/>
      <c r="T793" s="38"/>
      <c r="U793" s="38"/>
      <c r="V793" s="38"/>
      <c r="W793" s="38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</row>
    <row r="794" spans="1:36" ht="11.25" customHeight="1" x14ac:dyDescent="0.2">
      <c r="A794" s="35" t="s">
        <v>30</v>
      </c>
      <c r="B794" s="35" t="s">
        <v>41</v>
      </c>
      <c r="C794" s="35" t="s">
        <v>44</v>
      </c>
      <c r="D794" s="35" t="s">
        <v>48</v>
      </c>
      <c r="E794" s="35" t="s">
        <v>25</v>
      </c>
      <c r="F794" s="35" t="s">
        <v>25</v>
      </c>
      <c r="G794" s="35" t="s">
        <v>25</v>
      </c>
      <c r="H794" s="35" t="s">
        <v>37</v>
      </c>
      <c r="I794" s="45">
        <v>44652</v>
      </c>
      <c r="J794" s="46">
        <f>EFEITO!$J$794*EFEITO!$Y$794</f>
        <v>0</v>
      </c>
      <c r="K794" s="46">
        <f ca="1">EFEITO!$L$794*EFEITO!$Z$794</f>
        <v>38935.944424224508</v>
      </c>
      <c r="L794" s="46">
        <f>EFEITO!$N$794*EFEITO!$AA$794</f>
        <v>75065.085225339295</v>
      </c>
      <c r="M794" s="46">
        <f>$J$794-EFEITO!$K$794*EFEITO!$Y$794</f>
        <v>0</v>
      </c>
      <c r="N794" s="46">
        <f ca="1">$K$794-EFEITO!$M$794*EFEITO!$Z$794</f>
        <v>0</v>
      </c>
      <c r="O794" s="46">
        <f>$L$794-EFEITO!$O$794*EFEITO!$AA$794</f>
        <v>0</v>
      </c>
      <c r="P794" s="38"/>
      <c r="Q794" s="38"/>
      <c r="R794" s="38"/>
      <c r="S794" s="38"/>
      <c r="T794" s="38"/>
      <c r="U794" s="38"/>
      <c r="V794" s="38"/>
      <c r="W794" s="38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</row>
    <row r="795" spans="1:36" ht="11.25" customHeight="1" x14ac:dyDescent="0.2">
      <c r="A795" s="35" t="s">
        <v>21</v>
      </c>
      <c r="B795" s="35" t="s">
        <v>41</v>
      </c>
      <c r="C795" s="35" t="s">
        <v>44</v>
      </c>
      <c r="D795" s="35" t="s">
        <v>48</v>
      </c>
      <c r="E795" s="35" t="s">
        <v>25</v>
      </c>
      <c r="F795" s="35" t="s">
        <v>25</v>
      </c>
      <c r="G795" s="35" t="s">
        <v>25</v>
      </c>
      <c r="H795" s="35" t="s">
        <v>37</v>
      </c>
      <c r="I795" s="45">
        <v>44682</v>
      </c>
      <c r="J795" s="46">
        <f>EFEITO!$J$795*EFEITO!$Y$795</f>
        <v>0</v>
      </c>
      <c r="K795" s="46">
        <f ca="1">EFEITO!$L$795*EFEITO!$Z$795</f>
        <v>404544.14042304794</v>
      </c>
      <c r="L795" s="46">
        <f>EFEITO!$N$795*EFEITO!$AA$795</f>
        <v>779925.61442466022</v>
      </c>
      <c r="M795" s="46">
        <f>$J$795-EFEITO!$K$795*EFEITO!$Y$795</f>
        <v>0</v>
      </c>
      <c r="N795" s="46">
        <f ca="1">$K$795-EFEITO!$M$795*EFEITO!$Z$795</f>
        <v>0</v>
      </c>
      <c r="O795" s="46">
        <f>$L$795-EFEITO!$O$795*EFEITO!$AA$795</f>
        <v>0</v>
      </c>
      <c r="P795" s="38"/>
      <c r="Q795" s="38"/>
      <c r="R795" s="38"/>
      <c r="S795" s="38"/>
      <c r="T795" s="38"/>
      <c r="U795" s="38"/>
      <c r="V795" s="38"/>
      <c r="W795" s="38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</row>
    <row r="796" spans="1:36" ht="11.25" customHeight="1" x14ac:dyDescent="0.2">
      <c r="A796" s="35" t="s">
        <v>28</v>
      </c>
      <c r="B796" s="35" t="s">
        <v>41</v>
      </c>
      <c r="C796" s="35" t="s">
        <v>44</v>
      </c>
      <c r="D796" s="35" t="s">
        <v>48</v>
      </c>
      <c r="E796" s="35" t="s">
        <v>25</v>
      </c>
      <c r="F796" s="35" t="s">
        <v>25</v>
      </c>
      <c r="G796" s="35" t="s">
        <v>25</v>
      </c>
      <c r="H796" s="35" t="s">
        <v>37</v>
      </c>
      <c r="I796" s="45">
        <v>44682</v>
      </c>
      <c r="J796" s="46">
        <f>EFEITO!$J$796*EFEITO!$Y$796</f>
        <v>0</v>
      </c>
      <c r="K796" s="46">
        <f ca="1">EFEITO!$L$796*EFEITO!$Z$796</f>
        <v>81454.95400236448</v>
      </c>
      <c r="L796" s="46">
        <f>EFEITO!$N$796*EFEITO!$AA$796</f>
        <v>157038.00574590437</v>
      </c>
      <c r="M796" s="46">
        <f>$J$796-EFEITO!$K$796*EFEITO!$Y$796</f>
        <v>0</v>
      </c>
      <c r="N796" s="46">
        <f ca="1">$K$796-EFEITO!$M$796*EFEITO!$Z$796</f>
        <v>0</v>
      </c>
      <c r="O796" s="46">
        <f>$L$796-EFEITO!$O$796*EFEITO!$AA$796</f>
        <v>0</v>
      </c>
      <c r="P796" s="38"/>
      <c r="Q796" s="38"/>
      <c r="R796" s="38"/>
      <c r="S796" s="38"/>
      <c r="T796" s="38"/>
      <c r="U796" s="38"/>
      <c r="V796" s="38"/>
      <c r="W796" s="38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</row>
    <row r="797" spans="1:36" ht="11.25" customHeight="1" x14ac:dyDescent="0.2">
      <c r="A797" s="35" t="s">
        <v>30</v>
      </c>
      <c r="B797" s="35" t="s">
        <v>41</v>
      </c>
      <c r="C797" s="35" t="s">
        <v>44</v>
      </c>
      <c r="D797" s="35" t="s">
        <v>48</v>
      </c>
      <c r="E797" s="35" t="s">
        <v>25</v>
      </c>
      <c r="F797" s="35" t="s">
        <v>25</v>
      </c>
      <c r="G797" s="35" t="s">
        <v>25</v>
      </c>
      <c r="H797" s="35" t="s">
        <v>37</v>
      </c>
      <c r="I797" s="45">
        <v>44682</v>
      </c>
      <c r="J797" s="46">
        <f>EFEITO!$J$797*EFEITO!$Y$797</f>
        <v>0</v>
      </c>
      <c r="K797" s="46">
        <f ca="1">EFEITO!$L$797*EFEITO!$Z$797</f>
        <v>41179.500384693478</v>
      </c>
      <c r="L797" s="46">
        <f>EFEITO!$N$797*EFEITO!$AA$797</f>
        <v>79390.464302972279</v>
      </c>
      <c r="M797" s="46">
        <f>$J$797-EFEITO!$K$797*EFEITO!$Y$797</f>
        <v>0</v>
      </c>
      <c r="N797" s="46">
        <f ca="1">$K$797-EFEITO!$M$797*EFEITO!$Z$797</f>
        <v>0</v>
      </c>
      <c r="O797" s="46">
        <f>$L$797-EFEITO!$O$797*EFEITO!$AA$797</f>
        <v>0</v>
      </c>
      <c r="P797" s="38"/>
      <c r="Q797" s="38"/>
      <c r="R797" s="38"/>
      <c r="S797" s="38"/>
      <c r="T797" s="38"/>
      <c r="U797" s="38"/>
      <c r="V797" s="38"/>
      <c r="W797" s="38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</row>
    <row r="798" spans="1:36" ht="11.25" customHeight="1" x14ac:dyDescent="0.2">
      <c r="A798" s="35" t="s">
        <v>21</v>
      </c>
      <c r="B798" s="35" t="s">
        <v>41</v>
      </c>
      <c r="C798" s="35" t="s">
        <v>44</v>
      </c>
      <c r="D798" s="35" t="s">
        <v>48</v>
      </c>
      <c r="E798" s="35" t="s">
        <v>25</v>
      </c>
      <c r="F798" s="35" t="s">
        <v>25</v>
      </c>
      <c r="G798" s="35" t="s">
        <v>25</v>
      </c>
      <c r="H798" s="35" t="s">
        <v>37</v>
      </c>
      <c r="I798" s="45">
        <v>44713</v>
      </c>
      <c r="J798" s="46">
        <f>EFEITO!$J$798*EFEITO!$Y$798</f>
        <v>0</v>
      </c>
      <c r="K798" s="46">
        <f ca="1">EFEITO!$L$798*EFEITO!$Z$798</f>
        <v>413554.5488218473</v>
      </c>
      <c r="L798" s="46">
        <f>EFEITO!$N$798*EFEITO!$AA$798</f>
        <v>797296.89138667926</v>
      </c>
      <c r="M798" s="46">
        <f>$J$798-EFEITO!$K$798*EFEITO!$Y$798</f>
        <v>0</v>
      </c>
      <c r="N798" s="46">
        <f ca="1">$K$798-EFEITO!$M$798*EFEITO!$Z$798</f>
        <v>0</v>
      </c>
      <c r="O798" s="46">
        <f>$L$798-EFEITO!$O$798*EFEITO!$AA$798</f>
        <v>0</v>
      </c>
      <c r="P798" s="38"/>
      <c r="Q798" s="38"/>
      <c r="R798" s="38"/>
      <c r="S798" s="38"/>
      <c r="T798" s="38"/>
      <c r="U798" s="38"/>
      <c r="V798" s="38"/>
      <c r="W798" s="38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</row>
    <row r="799" spans="1:36" ht="11.25" customHeight="1" x14ac:dyDescent="0.2">
      <c r="A799" s="35" t="s">
        <v>28</v>
      </c>
      <c r="B799" s="35" t="s">
        <v>41</v>
      </c>
      <c r="C799" s="35" t="s">
        <v>44</v>
      </c>
      <c r="D799" s="35" t="s">
        <v>48</v>
      </c>
      <c r="E799" s="35" t="s">
        <v>25</v>
      </c>
      <c r="F799" s="35" t="s">
        <v>25</v>
      </c>
      <c r="G799" s="35" t="s">
        <v>25</v>
      </c>
      <c r="H799" s="35" t="s">
        <v>37</v>
      </c>
      <c r="I799" s="45">
        <v>44713</v>
      </c>
      <c r="J799" s="46">
        <f>EFEITO!$J$799*EFEITO!$Y$799</f>
        <v>0</v>
      </c>
      <c r="K799" s="46">
        <f ca="1">EFEITO!$L$799*EFEITO!$Z$799</f>
        <v>85263.293545151522</v>
      </c>
      <c r="L799" s="46">
        <f>EFEITO!$N$799*EFEITO!$AA$799</f>
        <v>164380.1503008591</v>
      </c>
      <c r="M799" s="46">
        <f>$J$799-EFEITO!$K$799*EFEITO!$Y$799</f>
        <v>0</v>
      </c>
      <c r="N799" s="46">
        <f ca="1">$K$799-EFEITO!$M$799*EFEITO!$Z$799</f>
        <v>0</v>
      </c>
      <c r="O799" s="46">
        <f>$L$799-EFEITO!$O$799*EFEITO!$AA$799</f>
        <v>0</v>
      </c>
      <c r="P799" s="38"/>
      <c r="Q799" s="38"/>
      <c r="R799" s="38"/>
      <c r="S799" s="38"/>
      <c r="T799" s="38"/>
      <c r="U799" s="38"/>
      <c r="V799" s="38"/>
      <c r="W799" s="38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</row>
    <row r="800" spans="1:36" ht="11.25" customHeight="1" x14ac:dyDescent="0.2">
      <c r="A800" s="35" t="s">
        <v>30</v>
      </c>
      <c r="B800" s="35" t="s">
        <v>41</v>
      </c>
      <c r="C800" s="35" t="s">
        <v>44</v>
      </c>
      <c r="D800" s="35" t="s">
        <v>48</v>
      </c>
      <c r="E800" s="35" t="s">
        <v>25</v>
      </c>
      <c r="F800" s="35" t="s">
        <v>25</v>
      </c>
      <c r="G800" s="35" t="s">
        <v>25</v>
      </c>
      <c r="H800" s="35" t="s">
        <v>37</v>
      </c>
      <c r="I800" s="45">
        <v>44713</v>
      </c>
      <c r="J800" s="46">
        <f>EFEITO!$J$800*EFEITO!$Y$800</f>
        <v>0</v>
      </c>
      <c r="K800" s="46">
        <f ca="1">EFEITO!$L$800*EFEITO!$Z$800</f>
        <v>32395.500686894979</v>
      </c>
      <c r="L800" s="46">
        <f>EFEITO!$N$800*EFEITO!$AA$800</f>
        <v>62455.683454960737</v>
      </c>
      <c r="M800" s="46">
        <f>$J$800-EFEITO!$K$800*EFEITO!$Y$800</f>
        <v>0</v>
      </c>
      <c r="N800" s="46">
        <f ca="1">$K$800-EFEITO!$M$800*EFEITO!$Z$800</f>
        <v>0</v>
      </c>
      <c r="O800" s="46">
        <f>$L$800-EFEITO!$O$800*EFEITO!$AA$800</f>
        <v>0</v>
      </c>
      <c r="P800" s="38"/>
      <c r="Q800" s="38"/>
      <c r="R800" s="38"/>
      <c r="S800" s="38"/>
      <c r="T800" s="38"/>
      <c r="U800" s="38"/>
      <c r="V800" s="38"/>
      <c r="W800" s="38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</row>
    <row r="801" spans="1:36" ht="11.25" customHeight="1" x14ac:dyDescent="0.2">
      <c r="A801" s="35" t="s">
        <v>21</v>
      </c>
      <c r="B801" s="35" t="s">
        <v>41</v>
      </c>
      <c r="C801" s="35" t="s">
        <v>44</v>
      </c>
      <c r="D801" s="35" t="s">
        <v>48</v>
      </c>
      <c r="E801" s="35" t="s">
        <v>25</v>
      </c>
      <c r="F801" s="35" t="s">
        <v>25</v>
      </c>
      <c r="G801" s="35" t="s">
        <v>25</v>
      </c>
      <c r="H801" s="35" t="s">
        <v>37</v>
      </c>
      <c r="I801" s="45">
        <v>44743</v>
      </c>
      <c r="J801" s="46">
        <f>EFEITO!$J$801*EFEITO!$Y$801</f>
        <v>0</v>
      </c>
      <c r="K801" s="46">
        <f ca="1">EFEITO!$L$801*EFEITO!$Z$801</f>
        <v>433425.99585833831</v>
      </c>
      <c r="L801" s="46">
        <f>EFEITO!$N$801*EFEITO!$AA$801</f>
        <v>835607.29806624516</v>
      </c>
      <c r="M801" s="46">
        <f>$J$801-EFEITO!$K$801*EFEITO!$Y$801</f>
        <v>0</v>
      </c>
      <c r="N801" s="46">
        <f ca="1">$K$801-EFEITO!$M$801*EFEITO!$Z$801</f>
        <v>0</v>
      </c>
      <c r="O801" s="46">
        <f>$L$801-EFEITO!$O$801*EFEITO!$AA$801</f>
        <v>0</v>
      </c>
      <c r="P801" s="38"/>
      <c r="Q801" s="38"/>
      <c r="R801" s="38"/>
      <c r="S801" s="38"/>
      <c r="T801" s="38"/>
      <c r="U801" s="38"/>
      <c r="V801" s="38"/>
      <c r="W801" s="38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</row>
    <row r="802" spans="1:36" ht="11.25" customHeight="1" x14ac:dyDescent="0.2">
      <c r="A802" s="35" t="s">
        <v>28</v>
      </c>
      <c r="B802" s="35" t="s">
        <v>41</v>
      </c>
      <c r="C802" s="35" t="s">
        <v>44</v>
      </c>
      <c r="D802" s="35" t="s">
        <v>48</v>
      </c>
      <c r="E802" s="35" t="s">
        <v>25</v>
      </c>
      <c r="F802" s="35" t="s">
        <v>25</v>
      </c>
      <c r="G802" s="35" t="s">
        <v>25</v>
      </c>
      <c r="H802" s="35" t="s">
        <v>37</v>
      </c>
      <c r="I802" s="45">
        <v>44743</v>
      </c>
      <c r="J802" s="46">
        <f>EFEITO!$J$802*EFEITO!$Y$802</f>
        <v>0</v>
      </c>
      <c r="K802" s="46">
        <f ca="1">EFEITO!$L$802*EFEITO!$Z$802</f>
        <v>88555.747931549849</v>
      </c>
      <c r="L802" s="46">
        <f>EFEITO!$N$802*EFEITO!$AA$802</f>
        <v>170727.71352990885</v>
      </c>
      <c r="M802" s="46">
        <f>$J$802-EFEITO!$K$802*EFEITO!$Y$802</f>
        <v>0</v>
      </c>
      <c r="N802" s="46">
        <f ca="1">$K$802-EFEITO!$M$802*EFEITO!$Z$802</f>
        <v>0</v>
      </c>
      <c r="O802" s="46">
        <f>$L$802-EFEITO!$O$802*EFEITO!$AA$802</f>
        <v>0</v>
      </c>
      <c r="P802" s="38"/>
      <c r="Q802" s="38"/>
      <c r="R802" s="38"/>
      <c r="S802" s="38"/>
      <c r="T802" s="38"/>
      <c r="U802" s="38"/>
      <c r="V802" s="38"/>
      <c r="W802" s="38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</row>
    <row r="803" spans="1:36" ht="11.25" customHeight="1" x14ac:dyDescent="0.2">
      <c r="A803" s="35" t="s">
        <v>30</v>
      </c>
      <c r="B803" s="35" t="s">
        <v>41</v>
      </c>
      <c r="C803" s="35" t="s">
        <v>44</v>
      </c>
      <c r="D803" s="35" t="s">
        <v>48</v>
      </c>
      <c r="E803" s="35" t="s">
        <v>25</v>
      </c>
      <c r="F803" s="35" t="s">
        <v>25</v>
      </c>
      <c r="G803" s="35" t="s">
        <v>25</v>
      </c>
      <c r="H803" s="35" t="s">
        <v>37</v>
      </c>
      <c r="I803" s="45">
        <v>44743</v>
      </c>
      <c r="J803" s="46">
        <f>EFEITO!$J$803*EFEITO!$Y$803</f>
        <v>0</v>
      </c>
      <c r="K803" s="46">
        <f ca="1">EFEITO!$L$803*EFEITO!$Z$803</f>
        <v>46407.318126040052</v>
      </c>
      <c r="L803" s="46">
        <f>EFEITO!$N$803*EFEITO!$AA$803</f>
        <v>89469.238302160738</v>
      </c>
      <c r="M803" s="46">
        <f>$J$803-EFEITO!$K$803*EFEITO!$Y$803</f>
        <v>0</v>
      </c>
      <c r="N803" s="46">
        <f ca="1">$K$803-EFEITO!$M$803*EFEITO!$Z$803</f>
        <v>0</v>
      </c>
      <c r="O803" s="46">
        <f>$L$803-EFEITO!$O$803*EFEITO!$AA$803</f>
        <v>0</v>
      </c>
      <c r="P803" s="38"/>
      <c r="Q803" s="38"/>
      <c r="R803" s="38"/>
      <c r="S803" s="38"/>
      <c r="T803" s="38"/>
      <c r="U803" s="38"/>
      <c r="V803" s="38"/>
      <c r="W803" s="38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</row>
    <row r="804" spans="1:36" ht="11.25" customHeight="1" x14ac:dyDescent="0.2">
      <c r="A804" s="35" t="s">
        <v>21</v>
      </c>
      <c r="B804" s="35" t="s">
        <v>41</v>
      </c>
      <c r="C804" s="35" t="s">
        <v>44</v>
      </c>
      <c r="D804" s="35" t="s">
        <v>48</v>
      </c>
      <c r="E804" s="35" t="s">
        <v>25</v>
      </c>
      <c r="F804" s="35" t="s">
        <v>25</v>
      </c>
      <c r="G804" s="35" t="s">
        <v>25</v>
      </c>
      <c r="H804" s="35" t="s">
        <v>37</v>
      </c>
      <c r="I804" s="45">
        <v>44774</v>
      </c>
      <c r="J804" s="46">
        <f>EFEITO!$J$804*EFEITO!$Y$804</f>
        <v>0</v>
      </c>
      <c r="K804" s="46">
        <f ca="1">EFEITO!$L$804*EFEITO!$Z$804</f>
        <v>459447.45639726665</v>
      </c>
      <c r="L804" s="46">
        <f>EFEITO!$N$804*EFEITO!$AA$804</f>
        <v>885774.39127349714</v>
      </c>
      <c r="M804" s="46">
        <f>$J$804-EFEITO!$K$804*EFEITO!$Y$804</f>
        <v>0</v>
      </c>
      <c r="N804" s="46">
        <f ca="1">$K$804-EFEITO!$M$804*EFEITO!$Z$804</f>
        <v>0</v>
      </c>
      <c r="O804" s="46">
        <f>$L$804-EFEITO!$O$804*EFEITO!$AA$804</f>
        <v>0</v>
      </c>
      <c r="P804" s="38"/>
      <c r="Q804" s="38"/>
      <c r="R804" s="38"/>
      <c r="S804" s="38"/>
      <c r="T804" s="38"/>
      <c r="U804" s="38"/>
      <c r="V804" s="38"/>
      <c r="W804" s="38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</row>
    <row r="805" spans="1:36" ht="11.25" customHeight="1" x14ac:dyDescent="0.2">
      <c r="A805" s="35" t="s">
        <v>28</v>
      </c>
      <c r="B805" s="35" t="s">
        <v>41</v>
      </c>
      <c r="C805" s="35" t="s">
        <v>44</v>
      </c>
      <c r="D805" s="35" t="s">
        <v>48</v>
      </c>
      <c r="E805" s="35" t="s">
        <v>25</v>
      </c>
      <c r="F805" s="35" t="s">
        <v>25</v>
      </c>
      <c r="G805" s="35" t="s">
        <v>25</v>
      </c>
      <c r="H805" s="35" t="s">
        <v>37</v>
      </c>
      <c r="I805" s="45">
        <v>44774</v>
      </c>
      <c r="J805" s="46">
        <f>EFEITO!$J$805*EFEITO!$Y$805</f>
        <v>0</v>
      </c>
      <c r="K805" s="46">
        <f ca="1">EFEITO!$L$805*EFEITO!$Z$805</f>
        <v>92988.526301496095</v>
      </c>
      <c r="L805" s="46">
        <f>EFEITO!$N$805*EFEITO!$AA$805</f>
        <v>179273.7213652301</v>
      </c>
      <c r="M805" s="46">
        <f>$J$805-EFEITO!$K$805*EFEITO!$Y$805</f>
        <v>0</v>
      </c>
      <c r="N805" s="46">
        <f ca="1">$K$805-EFEITO!$M$805*EFEITO!$Z$805</f>
        <v>0</v>
      </c>
      <c r="O805" s="46">
        <f>$L$805-EFEITO!$O$805*EFEITO!$AA$805</f>
        <v>0</v>
      </c>
      <c r="P805" s="38"/>
      <c r="Q805" s="38"/>
      <c r="R805" s="38"/>
      <c r="S805" s="38"/>
      <c r="T805" s="38"/>
      <c r="U805" s="38"/>
      <c r="V805" s="38"/>
      <c r="W805" s="38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</row>
    <row r="806" spans="1:36" ht="11.25" customHeight="1" x14ac:dyDescent="0.2">
      <c r="A806" s="35" t="s">
        <v>29</v>
      </c>
      <c r="B806" s="35" t="s">
        <v>41</v>
      </c>
      <c r="C806" s="35" t="s">
        <v>44</v>
      </c>
      <c r="D806" s="35" t="s">
        <v>48</v>
      </c>
      <c r="E806" s="35" t="s">
        <v>25</v>
      </c>
      <c r="F806" s="35" t="s">
        <v>25</v>
      </c>
      <c r="G806" s="35" t="s">
        <v>25</v>
      </c>
      <c r="H806" s="35" t="s">
        <v>37</v>
      </c>
      <c r="I806" s="45">
        <v>44774</v>
      </c>
      <c r="J806" s="46">
        <f>EFEITO!$J$806*EFEITO!$Y$806</f>
        <v>0</v>
      </c>
      <c r="K806" s="46">
        <f ca="1">EFEITO!$L$806*EFEITO!$Z$806</f>
        <v>447.25927256833745</v>
      </c>
      <c r="L806" s="46">
        <f>EFEITO!$N$806*EFEITO!$AA$806</f>
        <v>862.27664204999428</v>
      </c>
      <c r="M806" s="46">
        <f>$J$806-EFEITO!$K$806*EFEITO!$Y$806</f>
        <v>0</v>
      </c>
      <c r="N806" s="46">
        <f ca="1">$K$806-EFEITO!$M$806*EFEITO!$Z$806</f>
        <v>0</v>
      </c>
      <c r="O806" s="46">
        <f>$L$806-EFEITO!$O$806*EFEITO!$AA$806</f>
        <v>0</v>
      </c>
      <c r="P806" s="38"/>
      <c r="Q806" s="38"/>
      <c r="R806" s="38"/>
      <c r="S806" s="38"/>
      <c r="T806" s="38"/>
      <c r="U806" s="38"/>
      <c r="V806" s="38"/>
      <c r="W806" s="38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</row>
    <row r="807" spans="1:36" ht="11.25" customHeight="1" x14ac:dyDescent="0.2">
      <c r="A807" s="35" t="s">
        <v>30</v>
      </c>
      <c r="B807" s="35" t="s">
        <v>41</v>
      </c>
      <c r="C807" s="35" t="s">
        <v>44</v>
      </c>
      <c r="D807" s="35" t="s">
        <v>48</v>
      </c>
      <c r="E807" s="35" t="s">
        <v>25</v>
      </c>
      <c r="F807" s="35" t="s">
        <v>25</v>
      </c>
      <c r="G807" s="35" t="s">
        <v>25</v>
      </c>
      <c r="H807" s="35" t="s">
        <v>37</v>
      </c>
      <c r="I807" s="45">
        <v>44774</v>
      </c>
      <c r="J807" s="46">
        <f>EFEITO!$J$807*EFEITO!$Y$807</f>
        <v>0</v>
      </c>
      <c r="K807" s="46">
        <f ca="1">EFEITO!$L$807*EFEITO!$Z$807</f>
        <v>52586.02972534766</v>
      </c>
      <c r="L807" s="46">
        <f>EFEITO!$N$807*EFEITO!$AA$807</f>
        <v>101381.25224309537</v>
      </c>
      <c r="M807" s="46">
        <f>$J$807-EFEITO!$K$807*EFEITO!$Y$807</f>
        <v>0</v>
      </c>
      <c r="N807" s="46">
        <f ca="1">$K$807-EFEITO!$M$807*EFEITO!$Z$807</f>
        <v>0</v>
      </c>
      <c r="O807" s="46">
        <f>$L$807-EFEITO!$O$807*EFEITO!$AA$807</f>
        <v>0</v>
      </c>
      <c r="P807" s="38"/>
      <c r="Q807" s="38"/>
      <c r="R807" s="38"/>
      <c r="S807" s="38"/>
      <c r="T807" s="38"/>
      <c r="U807" s="38"/>
      <c r="V807" s="38"/>
      <c r="W807" s="38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</row>
    <row r="808" spans="1:36" ht="11.25" customHeight="1" x14ac:dyDescent="0.2">
      <c r="A808" s="35" t="s">
        <v>21</v>
      </c>
      <c r="B808" s="35" t="s">
        <v>41</v>
      </c>
      <c r="C808" s="35" t="s">
        <v>44</v>
      </c>
      <c r="D808" s="35" t="s">
        <v>48</v>
      </c>
      <c r="E808" s="35" t="s">
        <v>25</v>
      </c>
      <c r="F808" s="35" t="s">
        <v>25</v>
      </c>
      <c r="G808" s="35" t="s">
        <v>25</v>
      </c>
      <c r="H808" s="35" t="s">
        <v>37</v>
      </c>
      <c r="I808" s="45">
        <v>44805</v>
      </c>
      <c r="J808" s="46">
        <f>EFEITO!$J$808*EFEITO!$Y$808</f>
        <v>0</v>
      </c>
      <c r="K808" s="46">
        <f ca="1">EFEITO!$L$808*EFEITO!$Z$808</f>
        <v>457633.01071529783</v>
      </c>
      <c r="L808" s="46">
        <f>EFEITO!$N$808*EFEITO!$AA$808</f>
        <v>882276.2991694567</v>
      </c>
      <c r="M808" s="46">
        <f>$J$808-EFEITO!$K$808*EFEITO!$Y$808</f>
        <v>0</v>
      </c>
      <c r="N808" s="46">
        <f ca="1">$K$808-EFEITO!$M$808*EFEITO!$Z$808</f>
        <v>0</v>
      </c>
      <c r="O808" s="46">
        <f>$L$808-EFEITO!$O$808*EFEITO!$AA$808</f>
        <v>0</v>
      </c>
      <c r="P808" s="38"/>
      <c r="Q808" s="38"/>
      <c r="R808" s="38"/>
      <c r="S808" s="38"/>
      <c r="T808" s="38"/>
      <c r="U808" s="38"/>
      <c r="V808" s="38"/>
      <c r="W808" s="38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</row>
    <row r="809" spans="1:36" ht="11.25" customHeight="1" x14ac:dyDescent="0.2">
      <c r="A809" s="35" t="s">
        <v>28</v>
      </c>
      <c r="B809" s="35" t="s">
        <v>41</v>
      </c>
      <c r="C809" s="35" t="s">
        <v>44</v>
      </c>
      <c r="D809" s="35" t="s">
        <v>48</v>
      </c>
      <c r="E809" s="35" t="s">
        <v>25</v>
      </c>
      <c r="F809" s="35" t="s">
        <v>25</v>
      </c>
      <c r="G809" s="35" t="s">
        <v>25</v>
      </c>
      <c r="H809" s="35" t="s">
        <v>37</v>
      </c>
      <c r="I809" s="45">
        <v>44805</v>
      </c>
      <c r="J809" s="46">
        <f>EFEITO!$J$809*EFEITO!$Y$809</f>
        <v>0</v>
      </c>
      <c r="K809" s="46">
        <f ca="1">EFEITO!$L$809*EFEITO!$Z$809</f>
        <v>91728.87268194971</v>
      </c>
      <c r="L809" s="46">
        <f>EFEITO!$N$809*EFEITO!$AA$809</f>
        <v>176845.2196888504</v>
      </c>
      <c r="M809" s="46">
        <f>$J$809-EFEITO!$K$809*EFEITO!$Y$809</f>
        <v>0</v>
      </c>
      <c r="N809" s="46">
        <f ca="1">$K$809-EFEITO!$M$809*EFEITO!$Z$809</f>
        <v>0</v>
      </c>
      <c r="O809" s="46">
        <f>$L$809-EFEITO!$O$809*EFEITO!$AA$809</f>
        <v>0</v>
      </c>
      <c r="P809" s="38"/>
      <c r="Q809" s="38"/>
      <c r="R809" s="38"/>
      <c r="S809" s="38"/>
      <c r="T809" s="38"/>
      <c r="U809" s="38"/>
      <c r="V809" s="38"/>
      <c r="W809" s="38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</row>
    <row r="810" spans="1:36" ht="11.25" customHeight="1" x14ac:dyDescent="0.2">
      <c r="A810" s="35" t="s">
        <v>30</v>
      </c>
      <c r="B810" s="35" t="s">
        <v>41</v>
      </c>
      <c r="C810" s="35" t="s">
        <v>44</v>
      </c>
      <c r="D810" s="35" t="s">
        <v>48</v>
      </c>
      <c r="E810" s="35" t="s">
        <v>25</v>
      </c>
      <c r="F810" s="35" t="s">
        <v>25</v>
      </c>
      <c r="G810" s="35" t="s">
        <v>25</v>
      </c>
      <c r="H810" s="35" t="s">
        <v>37</v>
      </c>
      <c r="I810" s="45">
        <v>44805</v>
      </c>
      <c r="J810" s="46">
        <f>EFEITO!$J$810*EFEITO!$Y$810</f>
        <v>0</v>
      </c>
      <c r="K810" s="46">
        <f ca="1">EFEITO!$L$810*EFEITO!$Z$810</f>
        <v>52306.988941549003</v>
      </c>
      <c r="L810" s="46">
        <f>EFEITO!$N$810*EFEITO!$AA$810</f>
        <v>100843.28609056101</v>
      </c>
      <c r="M810" s="46">
        <f>$J$810-EFEITO!$K$810*EFEITO!$Y$810</f>
        <v>0</v>
      </c>
      <c r="N810" s="46">
        <f ca="1">$K$810-EFEITO!$M$810*EFEITO!$Z$810</f>
        <v>0</v>
      </c>
      <c r="O810" s="46">
        <f>$L$810-EFEITO!$O$810*EFEITO!$AA$810</f>
        <v>0</v>
      </c>
      <c r="P810" s="38"/>
      <c r="Q810" s="38"/>
      <c r="R810" s="38"/>
      <c r="S810" s="38"/>
      <c r="T810" s="38"/>
      <c r="U810" s="38"/>
      <c r="V810" s="38"/>
      <c r="W810" s="38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</row>
    <row r="811" spans="1:36" ht="11.25" customHeight="1" x14ac:dyDescent="0.2">
      <c r="A811" s="35" t="s">
        <v>21</v>
      </c>
      <c r="B811" s="35" t="s">
        <v>41</v>
      </c>
      <c r="C811" s="35" t="s">
        <v>44</v>
      </c>
      <c r="D811" s="35" t="s">
        <v>48</v>
      </c>
      <c r="E811" s="35" t="s">
        <v>25</v>
      </c>
      <c r="F811" s="35" t="s">
        <v>25</v>
      </c>
      <c r="G811" s="35" t="s">
        <v>25</v>
      </c>
      <c r="H811" s="35" t="s">
        <v>37</v>
      </c>
      <c r="I811" s="45">
        <v>44835</v>
      </c>
      <c r="J811" s="46">
        <f>EFEITO!$J$811*EFEITO!$Y$811</f>
        <v>0</v>
      </c>
      <c r="K811" s="46">
        <f ca="1">EFEITO!$L$811*EFEITO!$Z$811</f>
        <v>456675.76470941288</v>
      </c>
      <c r="L811" s="46">
        <f>EFEITO!$N$811*EFEITO!$AA$811</f>
        <v>880430.81284375035</v>
      </c>
      <c r="M811" s="46">
        <f>$J$811-EFEITO!$K$811*EFEITO!$Y$811</f>
        <v>0</v>
      </c>
      <c r="N811" s="46">
        <f ca="1">$K$811-EFEITO!$M$811*EFEITO!$Z$811</f>
        <v>0</v>
      </c>
      <c r="O811" s="46">
        <f>$L$811-EFEITO!$O$811*EFEITO!$AA$811</f>
        <v>0</v>
      </c>
      <c r="P811" s="38"/>
      <c r="Q811" s="38"/>
      <c r="R811" s="38"/>
      <c r="S811" s="38"/>
      <c r="T811" s="38"/>
      <c r="U811" s="38"/>
      <c r="V811" s="38"/>
      <c r="W811" s="38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</row>
    <row r="812" spans="1:36" ht="11.25" customHeight="1" x14ac:dyDescent="0.2">
      <c r="A812" s="35" t="s">
        <v>28</v>
      </c>
      <c r="B812" s="35" t="s">
        <v>41</v>
      </c>
      <c r="C812" s="35" t="s">
        <v>44</v>
      </c>
      <c r="D812" s="35" t="s">
        <v>48</v>
      </c>
      <c r="E812" s="35" t="s">
        <v>25</v>
      </c>
      <c r="F812" s="35" t="s">
        <v>25</v>
      </c>
      <c r="G812" s="35" t="s">
        <v>25</v>
      </c>
      <c r="H812" s="35" t="s">
        <v>37</v>
      </c>
      <c r="I812" s="45">
        <v>44835</v>
      </c>
      <c r="J812" s="46">
        <f>EFEITO!$J$812*EFEITO!$Y$812</f>
        <v>0</v>
      </c>
      <c r="K812" s="46">
        <f ca="1">EFEITO!$L$812*EFEITO!$Z$812</f>
        <v>99461.13817349571</v>
      </c>
      <c r="L812" s="46">
        <f>EFEITO!$N$812*EFEITO!$AA$812</f>
        <v>191752.34924974869</v>
      </c>
      <c r="M812" s="46">
        <f>$J$812-EFEITO!$K$812*EFEITO!$Y$812</f>
        <v>0</v>
      </c>
      <c r="N812" s="46">
        <f ca="1">$K$812-EFEITO!$M$812*EFEITO!$Z$812</f>
        <v>0</v>
      </c>
      <c r="O812" s="46">
        <f>$L$812-EFEITO!$O$812*EFEITO!$AA$812</f>
        <v>0</v>
      </c>
      <c r="P812" s="38"/>
      <c r="Q812" s="38"/>
      <c r="R812" s="38"/>
      <c r="S812" s="38"/>
      <c r="T812" s="38"/>
      <c r="U812" s="38"/>
      <c r="V812" s="38"/>
      <c r="W812" s="38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</row>
    <row r="813" spans="1:36" ht="11.25" customHeight="1" x14ac:dyDescent="0.2">
      <c r="A813" s="35" t="s">
        <v>30</v>
      </c>
      <c r="B813" s="35" t="s">
        <v>41</v>
      </c>
      <c r="C813" s="35" t="s">
        <v>44</v>
      </c>
      <c r="D813" s="35" t="s">
        <v>48</v>
      </c>
      <c r="E813" s="35" t="s">
        <v>25</v>
      </c>
      <c r="F813" s="35" t="s">
        <v>25</v>
      </c>
      <c r="G813" s="35" t="s">
        <v>25</v>
      </c>
      <c r="H813" s="35" t="s">
        <v>37</v>
      </c>
      <c r="I813" s="45">
        <v>44835</v>
      </c>
      <c r="J813" s="46">
        <f>EFEITO!$J$813*EFEITO!$Y$813</f>
        <v>0</v>
      </c>
      <c r="K813" s="46">
        <f ca="1">EFEITO!$L$813*EFEITO!$Z$813</f>
        <v>57588.686509035557</v>
      </c>
      <c r="L813" s="46">
        <f>EFEITO!$N$813*EFEITO!$AA$813</f>
        <v>111025.93566798275</v>
      </c>
      <c r="M813" s="46">
        <f>$J$813-EFEITO!$K$813*EFEITO!$Y$813</f>
        <v>0</v>
      </c>
      <c r="N813" s="46">
        <f ca="1">$K$813-EFEITO!$M$813*EFEITO!$Z$813</f>
        <v>0</v>
      </c>
      <c r="O813" s="46">
        <f>$L$813-EFEITO!$O$813*EFEITO!$AA$813</f>
        <v>0</v>
      </c>
      <c r="P813" s="38"/>
      <c r="Q813" s="38"/>
      <c r="R813" s="38"/>
      <c r="S813" s="38"/>
      <c r="T813" s="38"/>
      <c r="U813" s="38"/>
      <c r="V813" s="38"/>
      <c r="W813" s="38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</row>
    <row r="814" spans="1:36" ht="11.25" customHeight="1" x14ac:dyDescent="0.2">
      <c r="A814" s="35" t="s">
        <v>59</v>
      </c>
      <c r="B814" s="35" t="s">
        <v>41</v>
      </c>
      <c r="C814" s="35" t="s">
        <v>44</v>
      </c>
      <c r="D814" s="35" t="s">
        <v>48</v>
      </c>
      <c r="E814" s="35" t="s">
        <v>25</v>
      </c>
      <c r="F814" s="35" t="s">
        <v>25</v>
      </c>
      <c r="G814" s="35" t="s">
        <v>25</v>
      </c>
      <c r="H814" s="35" t="s">
        <v>37</v>
      </c>
      <c r="I814" s="45">
        <v>44866</v>
      </c>
      <c r="J814" s="46">
        <f>EFEITO!$J$814*EFEITO!$Y$814</f>
        <v>0</v>
      </c>
      <c r="K814" s="46">
        <f ca="1">EFEITO!$L$814*EFEITO!$Z$814</f>
        <v>456675.76470941288</v>
      </c>
      <c r="L814" s="46">
        <f>EFEITO!$N$814*EFEITO!$AA$814</f>
        <v>880430.81284375035</v>
      </c>
      <c r="M814" s="46">
        <f>$J$814-EFEITO!$K$814*EFEITO!$Y$814</f>
        <v>0</v>
      </c>
      <c r="N814" s="46">
        <f ca="1">$K$814-EFEITO!$M$814*EFEITO!$Z$814</f>
        <v>0</v>
      </c>
      <c r="O814" s="46">
        <f>$L$814-EFEITO!$O$814*EFEITO!$AA$814</f>
        <v>0</v>
      </c>
      <c r="P814" s="38"/>
      <c r="Q814" s="38"/>
      <c r="R814" s="38"/>
      <c r="S814" s="38"/>
      <c r="T814" s="38"/>
      <c r="U814" s="38"/>
      <c r="V814" s="38"/>
      <c r="W814" s="38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</row>
    <row r="815" spans="1:36" ht="11.25" customHeight="1" x14ac:dyDescent="0.2">
      <c r="A815" s="35" t="s">
        <v>59</v>
      </c>
      <c r="B815" s="35" t="s">
        <v>41</v>
      </c>
      <c r="C815" s="35" t="s">
        <v>44</v>
      </c>
      <c r="D815" s="35" t="s">
        <v>48</v>
      </c>
      <c r="E815" s="35" t="s">
        <v>25</v>
      </c>
      <c r="F815" s="35" t="s">
        <v>25</v>
      </c>
      <c r="G815" s="35" t="s">
        <v>25</v>
      </c>
      <c r="H815" s="35" t="s">
        <v>37</v>
      </c>
      <c r="I815" s="45">
        <v>44866</v>
      </c>
      <c r="J815" s="46">
        <f>EFEITO!$J$815*EFEITO!$Y$815</f>
        <v>0</v>
      </c>
      <c r="K815" s="46">
        <f ca="1">EFEITO!$L$815*EFEITO!$Z$815</f>
        <v>99461.13817349571</v>
      </c>
      <c r="L815" s="46">
        <f>EFEITO!$N$815*EFEITO!$AA$815</f>
        <v>191752.34924974869</v>
      </c>
      <c r="M815" s="46">
        <f>$J$815-EFEITO!$K$815*EFEITO!$Y$815</f>
        <v>0</v>
      </c>
      <c r="N815" s="46">
        <f ca="1">$K$815-EFEITO!$M$815*EFEITO!$Z$815</f>
        <v>0</v>
      </c>
      <c r="O815" s="46">
        <f>$L$815-EFEITO!$O$815*EFEITO!$AA$815</f>
        <v>0</v>
      </c>
      <c r="P815" s="38"/>
      <c r="Q815" s="38"/>
      <c r="R815" s="38"/>
      <c r="S815" s="38"/>
      <c r="T815" s="38"/>
      <c r="U815" s="38"/>
      <c r="V815" s="38"/>
      <c r="W815" s="38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</row>
    <row r="816" spans="1:36" ht="11.25" customHeight="1" x14ac:dyDescent="0.2">
      <c r="A816" s="35" t="s">
        <v>59</v>
      </c>
      <c r="B816" s="35" t="s">
        <v>41</v>
      </c>
      <c r="C816" s="35" t="s">
        <v>44</v>
      </c>
      <c r="D816" s="35" t="s">
        <v>48</v>
      </c>
      <c r="E816" s="35" t="s">
        <v>25</v>
      </c>
      <c r="F816" s="35" t="s">
        <v>25</v>
      </c>
      <c r="G816" s="35" t="s">
        <v>25</v>
      </c>
      <c r="H816" s="35" t="s">
        <v>37</v>
      </c>
      <c r="I816" s="45">
        <v>44866</v>
      </c>
      <c r="J816" s="46">
        <f>EFEITO!$J$816*EFEITO!$Y$816</f>
        <v>0</v>
      </c>
      <c r="K816" s="46">
        <f ca="1">EFEITO!$L$816*EFEITO!$Z$816</f>
        <v>57588.686509035557</v>
      </c>
      <c r="L816" s="46">
        <f>EFEITO!$N$816*EFEITO!$AA$816</f>
        <v>111025.93566798275</v>
      </c>
      <c r="M816" s="46">
        <f>$J$816-EFEITO!$K$816*EFEITO!$Y$816</f>
        <v>0</v>
      </c>
      <c r="N816" s="46">
        <f ca="1">$K$816-EFEITO!$M$816*EFEITO!$Z$816</f>
        <v>0</v>
      </c>
      <c r="O816" s="46">
        <f>$L$816-EFEITO!$O$816*EFEITO!$AA$816</f>
        <v>0</v>
      </c>
      <c r="P816" s="38"/>
      <c r="Q816" s="38"/>
      <c r="R816" s="38"/>
      <c r="S816" s="38"/>
      <c r="T816" s="38"/>
      <c r="U816" s="38"/>
      <c r="V816" s="38"/>
      <c r="W816" s="38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</row>
    <row r="817" spans="1:36" ht="11.25" customHeight="1" x14ac:dyDescent="0.2">
      <c r="A817" s="35" t="s">
        <v>21</v>
      </c>
      <c r="B817" s="35" t="s">
        <v>41</v>
      </c>
      <c r="C817" s="35" t="s">
        <v>44</v>
      </c>
      <c r="D817" s="35" t="s">
        <v>48</v>
      </c>
      <c r="E817" s="35" t="s">
        <v>25</v>
      </c>
      <c r="F817" s="35" t="s">
        <v>25</v>
      </c>
      <c r="G817" s="35" t="s">
        <v>25</v>
      </c>
      <c r="H817" s="35" t="s">
        <v>25</v>
      </c>
      <c r="I817" s="45">
        <v>44531</v>
      </c>
      <c r="J817" s="46">
        <f ca="1">EFEITO!$J$817*EFEITO!$Y$817</f>
        <v>567289.46793915285</v>
      </c>
      <c r="K817" s="46">
        <f>EFEITO!$L$817*EFEITO!$Z$817</f>
        <v>0</v>
      </c>
      <c r="L817" s="46">
        <f>EFEITO!$N$817*EFEITO!$AA$817</f>
        <v>0</v>
      </c>
      <c r="M817" s="46">
        <f ca="1">$J$817-EFEITO!$K$817*EFEITO!$Y$817</f>
        <v>0</v>
      </c>
      <c r="N817" s="46">
        <f>$K$817-EFEITO!$M$817*EFEITO!$Z$817</f>
        <v>0</v>
      </c>
      <c r="O817" s="46">
        <f>$L$817-EFEITO!$O$817*EFEITO!$AA$817</f>
        <v>0</v>
      </c>
      <c r="P817" s="38"/>
      <c r="Q817" s="38"/>
      <c r="R817" s="38"/>
      <c r="S817" s="38"/>
      <c r="T817" s="38"/>
      <c r="U817" s="38"/>
      <c r="V817" s="38"/>
      <c r="W817" s="38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</row>
    <row r="818" spans="1:36" ht="11.25" customHeight="1" x14ac:dyDescent="0.2">
      <c r="A818" s="35" t="s">
        <v>27</v>
      </c>
      <c r="B818" s="35" t="s">
        <v>41</v>
      </c>
      <c r="C818" s="35" t="s">
        <v>44</v>
      </c>
      <c r="D818" s="35" t="s">
        <v>48</v>
      </c>
      <c r="E818" s="35" t="s">
        <v>25</v>
      </c>
      <c r="F818" s="35" t="s">
        <v>25</v>
      </c>
      <c r="G818" s="35" t="s">
        <v>25</v>
      </c>
      <c r="H818" s="35" t="s">
        <v>25</v>
      </c>
      <c r="I818" s="45">
        <v>44531</v>
      </c>
      <c r="J818" s="46">
        <f ca="1">EFEITO!$J$818*EFEITO!$Y$818</f>
        <v>-4741.4992959519277</v>
      </c>
      <c r="K818" s="46">
        <f>EFEITO!$L$818*EFEITO!$Z$818</f>
        <v>0</v>
      </c>
      <c r="L818" s="46">
        <f>EFEITO!$N$818*EFEITO!$AA$818</f>
        <v>0</v>
      </c>
      <c r="M818" s="46">
        <f ca="1">$J$818-EFEITO!$K$818*EFEITO!$Y$818</f>
        <v>0</v>
      </c>
      <c r="N818" s="46">
        <f>$K$818-EFEITO!$M$818*EFEITO!$Z$818</f>
        <v>0</v>
      </c>
      <c r="O818" s="46">
        <f>$L$818-EFEITO!$O$818*EFEITO!$AA$818</f>
        <v>0</v>
      </c>
      <c r="P818" s="38"/>
      <c r="Q818" s="38"/>
      <c r="R818" s="38"/>
      <c r="S818" s="38"/>
      <c r="T818" s="38"/>
      <c r="U818" s="38"/>
      <c r="V818" s="38"/>
      <c r="W818" s="38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</row>
    <row r="819" spans="1:36" ht="11.25" customHeight="1" x14ac:dyDescent="0.2">
      <c r="A819" s="35" t="s">
        <v>28</v>
      </c>
      <c r="B819" s="35" t="s">
        <v>41</v>
      </c>
      <c r="C819" s="35" t="s">
        <v>44</v>
      </c>
      <c r="D819" s="35" t="s">
        <v>48</v>
      </c>
      <c r="E819" s="35" t="s">
        <v>25</v>
      </c>
      <c r="F819" s="35" t="s">
        <v>25</v>
      </c>
      <c r="G819" s="35" t="s">
        <v>25</v>
      </c>
      <c r="H819" s="35" t="s">
        <v>25</v>
      </c>
      <c r="I819" s="45">
        <v>44531</v>
      </c>
      <c r="J819" s="46">
        <f ca="1">EFEITO!$J$819*EFEITO!$Y$819</f>
        <v>138596.08594210786</v>
      </c>
      <c r="K819" s="46">
        <f>EFEITO!$L$819*EFEITO!$Z$819</f>
        <v>0</v>
      </c>
      <c r="L819" s="46">
        <f>EFEITO!$N$819*EFEITO!$AA$819</f>
        <v>0</v>
      </c>
      <c r="M819" s="46">
        <f ca="1">$J$819-EFEITO!$K$819*EFEITO!$Y$819</f>
        <v>0</v>
      </c>
      <c r="N819" s="46">
        <f>$K$819-EFEITO!$M$819*EFEITO!$Z$819</f>
        <v>0</v>
      </c>
      <c r="O819" s="46">
        <f>$L$819-EFEITO!$O$819*EFEITO!$AA$819</f>
        <v>0</v>
      </c>
      <c r="P819" s="38"/>
      <c r="Q819" s="38"/>
      <c r="R819" s="38"/>
      <c r="S819" s="38"/>
      <c r="T819" s="38"/>
      <c r="U819" s="38"/>
      <c r="V819" s="38"/>
      <c r="W819" s="38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</row>
    <row r="820" spans="1:36" ht="11.25" customHeight="1" x14ac:dyDescent="0.2">
      <c r="A820" s="35" t="s">
        <v>30</v>
      </c>
      <c r="B820" s="35" t="s">
        <v>41</v>
      </c>
      <c r="C820" s="35" t="s">
        <v>44</v>
      </c>
      <c r="D820" s="35" t="s">
        <v>48</v>
      </c>
      <c r="E820" s="35" t="s">
        <v>25</v>
      </c>
      <c r="F820" s="35" t="s">
        <v>25</v>
      </c>
      <c r="G820" s="35" t="s">
        <v>25</v>
      </c>
      <c r="H820" s="35" t="s">
        <v>25</v>
      </c>
      <c r="I820" s="45">
        <v>44531</v>
      </c>
      <c r="J820" s="46">
        <f ca="1">EFEITO!$J$820*EFEITO!$Y$820</f>
        <v>50094.970822448624</v>
      </c>
      <c r="K820" s="46">
        <f>EFEITO!$L$820*EFEITO!$Z$820</f>
        <v>0</v>
      </c>
      <c r="L820" s="46">
        <f>EFEITO!$N$820*EFEITO!$AA$820</f>
        <v>0</v>
      </c>
      <c r="M820" s="46">
        <f ca="1">$J$820-EFEITO!$K$820*EFEITO!$Y$820</f>
        <v>0</v>
      </c>
      <c r="N820" s="46">
        <f>$K$820-EFEITO!$M$820*EFEITO!$Z$820</f>
        <v>0</v>
      </c>
      <c r="O820" s="46">
        <f>$L$820-EFEITO!$O$820*EFEITO!$AA$820</f>
        <v>0</v>
      </c>
      <c r="P820" s="38"/>
      <c r="Q820" s="38"/>
      <c r="R820" s="38"/>
      <c r="S820" s="38"/>
      <c r="T820" s="38"/>
      <c r="U820" s="38"/>
      <c r="V820" s="38"/>
      <c r="W820" s="38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</row>
    <row r="821" spans="1:36" ht="11.25" customHeight="1" x14ac:dyDescent="0.2">
      <c r="A821" s="35" t="s">
        <v>21</v>
      </c>
      <c r="B821" s="35" t="s">
        <v>41</v>
      </c>
      <c r="C821" s="35" t="s">
        <v>44</v>
      </c>
      <c r="D821" s="35" t="s">
        <v>48</v>
      </c>
      <c r="E821" s="35" t="s">
        <v>25</v>
      </c>
      <c r="F821" s="35" t="s">
        <v>25</v>
      </c>
      <c r="G821" s="35" t="s">
        <v>25</v>
      </c>
      <c r="H821" s="35" t="s">
        <v>25</v>
      </c>
      <c r="I821" s="45">
        <v>44562</v>
      </c>
      <c r="J821" s="46">
        <f ca="1">EFEITO!$J$821*EFEITO!$Y$821</f>
        <v>567103.93101018074</v>
      </c>
      <c r="K821" s="46">
        <f>EFEITO!$L$821*EFEITO!$Z$821</f>
        <v>0</v>
      </c>
      <c r="L821" s="46">
        <f>EFEITO!$N$821*EFEITO!$AA$821</f>
        <v>0</v>
      </c>
      <c r="M821" s="46">
        <f ca="1">$J$821-EFEITO!$K$821*EFEITO!$Y$821</f>
        <v>0</v>
      </c>
      <c r="N821" s="46">
        <f>$K$821-EFEITO!$M$821*EFEITO!$Z$821</f>
        <v>0</v>
      </c>
      <c r="O821" s="46">
        <f>$L$821-EFEITO!$O$821*EFEITO!$AA$821</f>
        <v>0</v>
      </c>
      <c r="P821" s="38"/>
      <c r="Q821" s="38"/>
      <c r="R821" s="38"/>
      <c r="S821" s="38"/>
      <c r="T821" s="38"/>
      <c r="U821" s="38"/>
      <c r="V821" s="38"/>
      <c r="W821" s="38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</row>
    <row r="822" spans="1:36" ht="11.25" customHeight="1" x14ac:dyDescent="0.2">
      <c r="A822" s="35" t="s">
        <v>28</v>
      </c>
      <c r="B822" s="35" t="s">
        <v>41</v>
      </c>
      <c r="C822" s="35" t="s">
        <v>44</v>
      </c>
      <c r="D822" s="35" t="s">
        <v>48</v>
      </c>
      <c r="E822" s="35" t="s">
        <v>25</v>
      </c>
      <c r="F822" s="35" t="s">
        <v>25</v>
      </c>
      <c r="G822" s="35" t="s">
        <v>25</v>
      </c>
      <c r="H822" s="35" t="s">
        <v>25</v>
      </c>
      <c r="I822" s="45">
        <v>44562</v>
      </c>
      <c r="J822" s="46">
        <f ca="1">EFEITO!$J$822*EFEITO!$Y$822</f>
        <v>137730.24694023837</v>
      </c>
      <c r="K822" s="46">
        <f>EFEITO!$L$822*EFEITO!$Z$822</f>
        <v>0</v>
      </c>
      <c r="L822" s="46">
        <f>EFEITO!$N$822*EFEITO!$AA$822</f>
        <v>0</v>
      </c>
      <c r="M822" s="46">
        <f ca="1">$J$822-EFEITO!$K$822*EFEITO!$Y$822</f>
        <v>0</v>
      </c>
      <c r="N822" s="46">
        <f>$K$822-EFEITO!$M$822*EFEITO!$Z$822</f>
        <v>0</v>
      </c>
      <c r="O822" s="46">
        <f>$L$822-EFEITO!$O$822*EFEITO!$AA$822</f>
        <v>0</v>
      </c>
      <c r="P822" s="38"/>
      <c r="Q822" s="38"/>
      <c r="R822" s="38"/>
      <c r="S822" s="38"/>
      <c r="T822" s="38"/>
      <c r="U822" s="38"/>
      <c r="V822" s="38"/>
      <c r="W822" s="38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</row>
    <row r="823" spans="1:36" ht="11.25" customHeight="1" x14ac:dyDescent="0.2">
      <c r="A823" s="35" t="s">
        <v>29</v>
      </c>
      <c r="B823" s="35" t="s">
        <v>41</v>
      </c>
      <c r="C823" s="35" t="s">
        <v>44</v>
      </c>
      <c r="D823" s="35" t="s">
        <v>48</v>
      </c>
      <c r="E823" s="35" t="s">
        <v>25</v>
      </c>
      <c r="F823" s="35" t="s">
        <v>25</v>
      </c>
      <c r="G823" s="35" t="s">
        <v>25</v>
      </c>
      <c r="H823" s="35" t="s">
        <v>25</v>
      </c>
      <c r="I823" s="45">
        <v>44562</v>
      </c>
      <c r="J823" s="46">
        <f ca="1">EFEITO!$J$823*EFEITO!$Y$823</f>
        <v>-907.06943052993392</v>
      </c>
      <c r="K823" s="46">
        <f>EFEITO!$L$823*EFEITO!$Z$823</f>
        <v>0</v>
      </c>
      <c r="L823" s="46">
        <f>EFEITO!$N$823*EFEITO!$AA$823</f>
        <v>0</v>
      </c>
      <c r="M823" s="46">
        <f ca="1">$J$823-EFEITO!$K$823*EFEITO!$Y$823</f>
        <v>0</v>
      </c>
      <c r="N823" s="46">
        <f>$K$823-EFEITO!$M$823*EFEITO!$Z$823</f>
        <v>0</v>
      </c>
      <c r="O823" s="46">
        <f>$L$823-EFEITO!$O$823*EFEITO!$AA$823</f>
        <v>0</v>
      </c>
      <c r="P823" s="38"/>
      <c r="Q823" s="38"/>
      <c r="R823" s="38"/>
      <c r="S823" s="38"/>
      <c r="T823" s="38"/>
      <c r="U823" s="38"/>
      <c r="V823" s="38"/>
      <c r="W823" s="38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</row>
    <row r="824" spans="1:36" ht="11.25" customHeight="1" x14ac:dyDescent="0.2">
      <c r="A824" s="35" t="s">
        <v>30</v>
      </c>
      <c r="B824" s="35" t="s">
        <v>41</v>
      </c>
      <c r="C824" s="35" t="s">
        <v>44</v>
      </c>
      <c r="D824" s="35" t="s">
        <v>48</v>
      </c>
      <c r="E824" s="35" t="s">
        <v>25</v>
      </c>
      <c r="F824" s="35" t="s">
        <v>25</v>
      </c>
      <c r="G824" s="35" t="s">
        <v>25</v>
      </c>
      <c r="H824" s="35" t="s">
        <v>25</v>
      </c>
      <c r="I824" s="45">
        <v>44562</v>
      </c>
      <c r="J824" s="46">
        <f ca="1">EFEITO!$J$824*EFEITO!$Y$824</f>
        <v>50094.970822448624</v>
      </c>
      <c r="K824" s="46">
        <f>EFEITO!$L$824*EFEITO!$Z$824</f>
        <v>0</v>
      </c>
      <c r="L824" s="46">
        <f>EFEITO!$N$824*EFEITO!$AA$824</f>
        <v>0</v>
      </c>
      <c r="M824" s="46">
        <f ca="1">$J$824-EFEITO!$K$824*EFEITO!$Y$824</f>
        <v>0</v>
      </c>
      <c r="N824" s="46">
        <f>$K$824-EFEITO!$M$824*EFEITO!$Z$824</f>
        <v>0</v>
      </c>
      <c r="O824" s="46">
        <f>$L$824-EFEITO!$O$824*EFEITO!$AA$824</f>
        <v>0</v>
      </c>
      <c r="P824" s="38"/>
      <c r="Q824" s="38"/>
      <c r="R824" s="38"/>
      <c r="S824" s="38"/>
      <c r="T824" s="38"/>
      <c r="U824" s="38"/>
      <c r="V824" s="38"/>
      <c r="W824" s="38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</row>
    <row r="825" spans="1:36" ht="11.25" customHeight="1" x14ac:dyDescent="0.2">
      <c r="A825" s="35" t="s">
        <v>21</v>
      </c>
      <c r="B825" s="35" t="s">
        <v>41</v>
      </c>
      <c r="C825" s="35" t="s">
        <v>44</v>
      </c>
      <c r="D825" s="35" t="s">
        <v>48</v>
      </c>
      <c r="E825" s="35" t="s">
        <v>25</v>
      </c>
      <c r="F825" s="35" t="s">
        <v>25</v>
      </c>
      <c r="G825" s="35" t="s">
        <v>25</v>
      </c>
      <c r="H825" s="35" t="s">
        <v>25</v>
      </c>
      <c r="I825" s="45">
        <v>44593</v>
      </c>
      <c r="J825" s="46">
        <f ca="1">EFEITO!$J$825*EFEITO!$Y$825</f>
        <v>564423.95314725139</v>
      </c>
      <c r="K825" s="46">
        <f>EFEITO!$L$825*EFEITO!$Z$825</f>
        <v>0</v>
      </c>
      <c r="L825" s="46">
        <f>EFEITO!$N$825*EFEITO!$AA$825</f>
        <v>0</v>
      </c>
      <c r="M825" s="46">
        <f ca="1">$J$825-EFEITO!$K$825*EFEITO!$Y$825</f>
        <v>0</v>
      </c>
      <c r="N825" s="46">
        <f>$K$825-EFEITO!$M$825*EFEITO!$Z$825</f>
        <v>0</v>
      </c>
      <c r="O825" s="46">
        <f>$L$825-EFEITO!$O$825*EFEITO!$AA$825</f>
        <v>0</v>
      </c>
      <c r="P825" s="38"/>
      <c r="Q825" s="38"/>
      <c r="R825" s="38"/>
      <c r="S825" s="38"/>
      <c r="T825" s="38"/>
      <c r="U825" s="38"/>
      <c r="V825" s="38"/>
      <c r="W825" s="38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</row>
    <row r="826" spans="1:36" ht="11.25" customHeight="1" x14ac:dyDescent="0.2">
      <c r="A826" s="35" t="s">
        <v>28</v>
      </c>
      <c r="B826" s="35" t="s">
        <v>41</v>
      </c>
      <c r="C826" s="35" t="s">
        <v>44</v>
      </c>
      <c r="D826" s="35" t="s">
        <v>48</v>
      </c>
      <c r="E826" s="35" t="s">
        <v>25</v>
      </c>
      <c r="F826" s="35" t="s">
        <v>25</v>
      </c>
      <c r="G826" s="35" t="s">
        <v>25</v>
      </c>
      <c r="H826" s="35" t="s">
        <v>25</v>
      </c>
      <c r="I826" s="45">
        <v>44593</v>
      </c>
      <c r="J826" s="46">
        <f ca="1">EFEITO!$J$826*EFEITO!$Y$826</f>
        <v>132679.51942933307</v>
      </c>
      <c r="K826" s="46">
        <f>EFEITO!$L$826*EFEITO!$Z$826</f>
        <v>0</v>
      </c>
      <c r="L826" s="46">
        <f>EFEITO!$N$826*EFEITO!$AA$826</f>
        <v>0</v>
      </c>
      <c r="M826" s="46">
        <f ca="1">$J$826-EFEITO!$K$826*EFEITO!$Y$826</f>
        <v>0</v>
      </c>
      <c r="N826" s="46">
        <f>$K$826-EFEITO!$M$826*EFEITO!$Z$826</f>
        <v>0</v>
      </c>
      <c r="O826" s="46">
        <f>$L$826-EFEITO!$O$826*EFEITO!$AA$826</f>
        <v>0</v>
      </c>
      <c r="P826" s="38"/>
      <c r="Q826" s="38"/>
      <c r="R826" s="38"/>
      <c r="S826" s="38"/>
      <c r="T826" s="38"/>
      <c r="U826" s="38"/>
      <c r="V826" s="38"/>
      <c r="W826" s="38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</row>
    <row r="827" spans="1:36" ht="11.25" customHeight="1" x14ac:dyDescent="0.2">
      <c r="A827" s="35" t="s">
        <v>30</v>
      </c>
      <c r="B827" s="35" t="s">
        <v>41</v>
      </c>
      <c r="C827" s="35" t="s">
        <v>44</v>
      </c>
      <c r="D827" s="35" t="s">
        <v>48</v>
      </c>
      <c r="E827" s="35" t="s">
        <v>25</v>
      </c>
      <c r="F827" s="35" t="s">
        <v>25</v>
      </c>
      <c r="G827" s="35" t="s">
        <v>25</v>
      </c>
      <c r="H827" s="35" t="s">
        <v>25</v>
      </c>
      <c r="I827" s="45">
        <v>44593</v>
      </c>
      <c r="J827" s="46">
        <f ca="1">EFEITO!$J$827*EFEITO!$Y$827</f>
        <v>50094.970822448624</v>
      </c>
      <c r="K827" s="46">
        <f>EFEITO!$L$827*EFEITO!$Z$827</f>
        <v>0</v>
      </c>
      <c r="L827" s="46">
        <f>EFEITO!$N$827*EFEITO!$AA$827</f>
        <v>0</v>
      </c>
      <c r="M827" s="46">
        <f ca="1">$J$827-EFEITO!$K$827*EFEITO!$Y$827</f>
        <v>0</v>
      </c>
      <c r="N827" s="46">
        <f>$K$827-EFEITO!$M$827*EFEITO!$Z$827</f>
        <v>0</v>
      </c>
      <c r="O827" s="46">
        <f>$L$827-EFEITO!$O$827*EFEITO!$AA$827</f>
        <v>0</v>
      </c>
      <c r="P827" s="38"/>
      <c r="Q827" s="38"/>
      <c r="R827" s="38"/>
      <c r="S827" s="38"/>
      <c r="T827" s="38"/>
      <c r="U827" s="38"/>
      <c r="V827" s="38"/>
      <c r="W827" s="38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</row>
    <row r="828" spans="1:36" ht="11.25" customHeight="1" x14ac:dyDescent="0.2">
      <c r="A828" s="35" t="s">
        <v>21</v>
      </c>
      <c r="B828" s="35" t="s">
        <v>41</v>
      </c>
      <c r="C828" s="35" t="s">
        <v>44</v>
      </c>
      <c r="D828" s="35" t="s">
        <v>48</v>
      </c>
      <c r="E828" s="35" t="s">
        <v>25</v>
      </c>
      <c r="F828" s="35" t="s">
        <v>25</v>
      </c>
      <c r="G828" s="35" t="s">
        <v>25</v>
      </c>
      <c r="H828" s="35" t="s">
        <v>25</v>
      </c>
      <c r="I828" s="45">
        <v>44621</v>
      </c>
      <c r="J828" s="46">
        <f ca="1">EFEITO!$J$828*EFEITO!$Y$828</f>
        <v>568650.07208494772</v>
      </c>
      <c r="K828" s="46">
        <f>EFEITO!$L$828*EFEITO!$Z$828</f>
        <v>0</v>
      </c>
      <c r="L828" s="46">
        <f>EFEITO!$N$828*EFEITO!$AA$828</f>
        <v>0</v>
      </c>
      <c r="M828" s="46">
        <f ca="1">$J$828-EFEITO!$K$828*EFEITO!$Y$828</f>
        <v>0</v>
      </c>
      <c r="N828" s="46">
        <f>$K$828-EFEITO!$M$828*EFEITO!$Z$828</f>
        <v>0</v>
      </c>
      <c r="O828" s="46">
        <f>$L$828-EFEITO!$O$828*EFEITO!$AA$828</f>
        <v>0</v>
      </c>
      <c r="P828" s="38"/>
      <c r="Q828" s="38"/>
      <c r="R828" s="38"/>
      <c r="S828" s="38"/>
      <c r="T828" s="38"/>
      <c r="U828" s="38"/>
      <c r="V828" s="38"/>
      <c r="W828" s="38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</row>
    <row r="829" spans="1:36" ht="11.25" customHeight="1" x14ac:dyDescent="0.2">
      <c r="A829" s="35" t="s">
        <v>28</v>
      </c>
      <c r="B829" s="35" t="s">
        <v>41</v>
      </c>
      <c r="C829" s="35" t="s">
        <v>44</v>
      </c>
      <c r="D829" s="35" t="s">
        <v>48</v>
      </c>
      <c r="E829" s="35" t="s">
        <v>25</v>
      </c>
      <c r="F829" s="35" t="s">
        <v>25</v>
      </c>
      <c r="G829" s="35" t="s">
        <v>25</v>
      </c>
      <c r="H829" s="35" t="s">
        <v>25</v>
      </c>
      <c r="I829" s="45">
        <v>44621</v>
      </c>
      <c r="J829" s="46">
        <f ca="1">EFEITO!$J$829*EFEITO!$Y$829</f>
        <v>132370.29121437969</v>
      </c>
      <c r="K829" s="46">
        <f>EFEITO!$L$829*EFEITO!$Z$829</f>
        <v>0</v>
      </c>
      <c r="L829" s="46">
        <f>EFEITO!$N$829*EFEITO!$AA$829</f>
        <v>0</v>
      </c>
      <c r="M829" s="46">
        <f ca="1">$J$829-EFEITO!$K$829*EFEITO!$Y$829</f>
        <v>0</v>
      </c>
      <c r="N829" s="46">
        <f>$K$829-EFEITO!$M$829*EFEITO!$Z$829</f>
        <v>0</v>
      </c>
      <c r="O829" s="46">
        <f>$L$829-EFEITO!$O$829*EFEITO!$AA$829</f>
        <v>0</v>
      </c>
      <c r="P829" s="38"/>
      <c r="Q829" s="38"/>
      <c r="R829" s="38"/>
      <c r="S829" s="38"/>
      <c r="T829" s="38"/>
      <c r="U829" s="38"/>
      <c r="V829" s="38"/>
      <c r="W829" s="38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</row>
    <row r="830" spans="1:36" ht="11.25" customHeight="1" x14ac:dyDescent="0.2">
      <c r="A830" s="35" t="s">
        <v>30</v>
      </c>
      <c r="B830" s="35" t="s">
        <v>41</v>
      </c>
      <c r="C830" s="35" t="s">
        <v>44</v>
      </c>
      <c r="D830" s="35" t="s">
        <v>48</v>
      </c>
      <c r="E830" s="35" t="s">
        <v>25</v>
      </c>
      <c r="F830" s="35" t="s">
        <v>25</v>
      </c>
      <c r="G830" s="35" t="s">
        <v>25</v>
      </c>
      <c r="H830" s="35" t="s">
        <v>25</v>
      </c>
      <c r="I830" s="45">
        <v>44621</v>
      </c>
      <c r="J830" s="46">
        <f ca="1">EFEITO!$J$830*EFEITO!$Y$830</f>
        <v>50094.970822448624</v>
      </c>
      <c r="K830" s="46">
        <f>EFEITO!$L$830*EFEITO!$Z$830</f>
        <v>0</v>
      </c>
      <c r="L830" s="46">
        <f>EFEITO!$N$830*EFEITO!$AA$830</f>
        <v>0</v>
      </c>
      <c r="M830" s="46">
        <f ca="1">$J$830-EFEITO!$K$830*EFEITO!$Y$830</f>
        <v>0</v>
      </c>
      <c r="N830" s="46">
        <f>$K$830-EFEITO!$M$830*EFEITO!$Z$830</f>
        <v>0</v>
      </c>
      <c r="O830" s="46">
        <f>$L$830-EFEITO!$O$830*EFEITO!$AA$830</f>
        <v>0</v>
      </c>
      <c r="P830" s="38"/>
      <c r="Q830" s="38"/>
      <c r="R830" s="38"/>
      <c r="S830" s="38"/>
      <c r="T830" s="38"/>
      <c r="U830" s="38"/>
      <c r="V830" s="38"/>
      <c r="W830" s="38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</row>
    <row r="831" spans="1:36" ht="11.25" customHeight="1" x14ac:dyDescent="0.2">
      <c r="A831" s="35" t="s">
        <v>21</v>
      </c>
      <c r="B831" s="35" t="s">
        <v>41</v>
      </c>
      <c r="C831" s="35" t="s">
        <v>44</v>
      </c>
      <c r="D831" s="35" t="s">
        <v>48</v>
      </c>
      <c r="E831" s="35" t="s">
        <v>25</v>
      </c>
      <c r="F831" s="35" t="s">
        <v>25</v>
      </c>
      <c r="G831" s="35" t="s">
        <v>25</v>
      </c>
      <c r="H831" s="35" t="s">
        <v>25</v>
      </c>
      <c r="I831" s="45">
        <v>44652</v>
      </c>
      <c r="J831" s="46">
        <f ca="1">EFEITO!$J$831*EFEITO!$Y$831</f>
        <v>567681.1570114271</v>
      </c>
      <c r="K831" s="46">
        <f>EFEITO!$L$831*EFEITO!$Z$831</f>
        <v>0</v>
      </c>
      <c r="L831" s="46">
        <f>EFEITO!$N$831*EFEITO!$AA$831</f>
        <v>0</v>
      </c>
      <c r="M831" s="46">
        <f ca="1">$J$831-EFEITO!$K$831*EFEITO!$Y$831</f>
        <v>0</v>
      </c>
      <c r="N831" s="46">
        <f>$K$831-EFEITO!$M$831*EFEITO!$Z$831</f>
        <v>0</v>
      </c>
      <c r="O831" s="46">
        <f>$L$831-EFEITO!$O$831*EFEITO!$AA$831</f>
        <v>0</v>
      </c>
      <c r="P831" s="38"/>
      <c r="Q831" s="38"/>
      <c r="R831" s="38"/>
      <c r="S831" s="38"/>
      <c r="T831" s="38"/>
      <c r="U831" s="38"/>
      <c r="V831" s="38"/>
      <c r="W831" s="38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</row>
    <row r="832" spans="1:36" ht="11.25" customHeight="1" x14ac:dyDescent="0.2">
      <c r="A832" s="35" t="s">
        <v>28</v>
      </c>
      <c r="B832" s="35" t="s">
        <v>41</v>
      </c>
      <c r="C832" s="35" t="s">
        <v>44</v>
      </c>
      <c r="D832" s="35" t="s">
        <v>48</v>
      </c>
      <c r="E832" s="35" t="s">
        <v>25</v>
      </c>
      <c r="F832" s="35" t="s">
        <v>25</v>
      </c>
      <c r="G832" s="35" t="s">
        <v>25</v>
      </c>
      <c r="H832" s="35" t="s">
        <v>25</v>
      </c>
      <c r="I832" s="45">
        <v>44652</v>
      </c>
      <c r="J832" s="46">
        <f ca="1">EFEITO!$J$832*EFEITO!$Y$832</f>
        <v>135586.2646498949</v>
      </c>
      <c r="K832" s="46">
        <f>EFEITO!$L$832*EFEITO!$Z$832</f>
        <v>0</v>
      </c>
      <c r="L832" s="46">
        <f>EFEITO!$N$832*EFEITO!$AA$832</f>
        <v>0</v>
      </c>
      <c r="M832" s="46">
        <f ca="1">$J$832-EFEITO!$K$832*EFEITO!$Y$832</f>
        <v>0</v>
      </c>
      <c r="N832" s="46">
        <f>$K$832-EFEITO!$M$832*EFEITO!$Z$832</f>
        <v>0</v>
      </c>
      <c r="O832" s="46">
        <f>$L$832-EFEITO!$O$832*EFEITO!$AA$832</f>
        <v>0</v>
      </c>
      <c r="P832" s="38"/>
      <c r="Q832" s="38"/>
      <c r="R832" s="38"/>
      <c r="S832" s="38"/>
      <c r="T832" s="38"/>
      <c r="U832" s="38"/>
      <c r="V832" s="38"/>
      <c r="W832" s="38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</row>
    <row r="833" spans="1:36" ht="11.25" customHeight="1" x14ac:dyDescent="0.2">
      <c r="A833" s="35" t="s">
        <v>30</v>
      </c>
      <c r="B833" s="35" t="s">
        <v>41</v>
      </c>
      <c r="C833" s="35" t="s">
        <v>44</v>
      </c>
      <c r="D833" s="35" t="s">
        <v>48</v>
      </c>
      <c r="E833" s="35" t="s">
        <v>25</v>
      </c>
      <c r="F833" s="35" t="s">
        <v>25</v>
      </c>
      <c r="G833" s="35" t="s">
        <v>25</v>
      </c>
      <c r="H833" s="35" t="s">
        <v>25</v>
      </c>
      <c r="I833" s="45">
        <v>44652</v>
      </c>
      <c r="J833" s="46">
        <f ca="1">EFEITO!$J$833*EFEITO!$Y$833</f>
        <v>50094.970822448624</v>
      </c>
      <c r="K833" s="46">
        <f>EFEITO!$L$833*EFEITO!$Z$833</f>
        <v>0</v>
      </c>
      <c r="L833" s="46">
        <f>EFEITO!$N$833*EFEITO!$AA$833</f>
        <v>0</v>
      </c>
      <c r="M833" s="46">
        <f ca="1">$J$833-EFEITO!$K$833*EFEITO!$Y$833</f>
        <v>0</v>
      </c>
      <c r="N833" s="46">
        <f>$K$833-EFEITO!$M$833*EFEITO!$Z$833</f>
        <v>0</v>
      </c>
      <c r="O833" s="46">
        <f>$L$833-EFEITO!$O$833*EFEITO!$AA$833</f>
        <v>0</v>
      </c>
      <c r="P833" s="38"/>
      <c r="Q833" s="38"/>
      <c r="R833" s="38"/>
      <c r="S833" s="38"/>
      <c r="T833" s="38"/>
      <c r="U833" s="38"/>
      <c r="V833" s="38"/>
      <c r="W833" s="38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</row>
    <row r="834" spans="1:36" ht="11.25" customHeight="1" x14ac:dyDescent="0.2">
      <c r="A834" s="35" t="s">
        <v>21</v>
      </c>
      <c r="B834" s="35" t="s">
        <v>41</v>
      </c>
      <c r="C834" s="35" t="s">
        <v>44</v>
      </c>
      <c r="D834" s="35" t="s">
        <v>48</v>
      </c>
      <c r="E834" s="35" t="s">
        <v>25</v>
      </c>
      <c r="F834" s="35" t="s">
        <v>25</v>
      </c>
      <c r="G834" s="35" t="s">
        <v>25</v>
      </c>
      <c r="H834" s="35" t="s">
        <v>25</v>
      </c>
      <c r="I834" s="45">
        <v>44682</v>
      </c>
      <c r="J834" s="46">
        <f ca="1">EFEITO!$J$834*EFEITO!$Y$834</f>
        <v>573803.87566750415</v>
      </c>
      <c r="K834" s="46">
        <f>EFEITO!$L$834*EFEITO!$Z$834</f>
        <v>0</v>
      </c>
      <c r="L834" s="46">
        <f>EFEITO!$N$834*EFEITO!$AA$834</f>
        <v>0</v>
      </c>
      <c r="M834" s="46">
        <f ca="1">$J$834-EFEITO!$K$834*EFEITO!$Y$834</f>
        <v>0</v>
      </c>
      <c r="N834" s="46">
        <f>$K$834-EFEITO!$M$834*EFEITO!$Z$834</f>
        <v>0</v>
      </c>
      <c r="O834" s="46">
        <f>$L$834-EFEITO!$O$834*EFEITO!$AA$834</f>
        <v>0</v>
      </c>
      <c r="P834" s="38"/>
      <c r="Q834" s="38"/>
      <c r="R834" s="38"/>
      <c r="S834" s="38"/>
      <c r="T834" s="38"/>
      <c r="U834" s="38"/>
      <c r="V834" s="38"/>
      <c r="W834" s="38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</row>
    <row r="835" spans="1:36" ht="11.25" customHeight="1" x14ac:dyDescent="0.2">
      <c r="A835" s="35" t="s">
        <v>28</v>
      </c>
      <c r="B835" s="35" t="s">
        <v>41</v>
      </c>
      <c r="C835" s="35" t="s">
        <v>44</v>
      </c>
      <c r="D835" s="35" t="s">
        <v>48</v>
      </c>
      <c r="E835" s="35" t="s">
        <v>25</v>
      </c>
      <c r="F835" s="35" t="s">
        <v>25</v>
      </c>
      <c r="G835" s="35" t="s">
        <v>25</v>
      </c>
      <c r="H835" s="35" t="s">
        <v>25</v>
      </c>
      <c r="I835" s="45">
        <v>44682</v>
      </c>
      <c r="J835" s="46">
        <f ca="1">EFEITO!$J$835*EFEITO!$Y$835</f>
        <v>137462.24915394545</v>
      </c>
      <c r="K835" s="46">
        <f>EFEITO!$L$835*EFEITO!$Z$835</f>
        <v>0</v>
      </c>
      <c r="L835" s="46">
        <f>EFEITO!$N$835*EFEITO!$AA$835</f>
        <v>0</v>
      </c>
      <c r="M835" s="46">
        <f ca="1">$J$835-EFEITO!$K$835*EFEITO!$Y$835</f>
        <v>0</v>
      </c>
      <c r="N835" s="46">
        <f>$K$835-EFEITO!$M$835*EFEITO!$Z$835</f>
        <v>0</v>
      </c>
      <c r="O835" s="46">
        <f>$L$835-EFEITO!$O$835*EFEITO!$AA$835</f>
        <v>0</v>
      </c>
      <c r="P835" s="38"/>
      <c r="Q835" s="38"/>
      <c r="R835" s="38"/>
      <c r="S835" s="38"/>
      <c r="T835" s="38"/>
      <c r="U835" s="38"/>
      <c r="V835" s="38"/>
      <c r="W835" s="38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</row>
    <row r="836" spans="1:36" ht="11.25" customHeight="1" x14ac:dyDescent="0.2">
      <c r="A836" s="35" t="s">
        <v>30</v>
      </c>
      <c r="B836" s="35" t="s">
        <v>41</v>
      </c>
      <c r="C836" s="35" t="s">
        <v>44</v>
      </c>
      <c r="D836" s="35" t="s">
        <v>48</v>
      </c>
      <c r="E836" s="35" t="s">
        <v>25</v>
      </c>
      <c r="F836" s="35" t="s">
        <v>25</v>
      </c>
      <c r="G836" s="35" t="s">
        <v>25</v>
      </c>
      <c r="H836" s="35" t="s">
        <v>25</v>
      </c>
      <c r="I836" s="45">
        <v>44682</v>
      </c>
      <c r="J836" s="46">
        <f ca="1">EFEITO!$J$836*EFEITO!$Y$836</f>
        <v>50094.970822448624</v>
      </c>
      <c r="K836" s="46">
        <f>EFEITO!$L$836*EFEITO!$Z$836</f>
        <v>0</v>
      </c>
      <c r="L836" s="46">
        <f>EFEITO!$N$836*EFEITO!$AA$836</f>
        <v>0</v>
      </c>
      <c r="M836" s="46">
        <f ca="1">$J$836-EFEITO!$K$836*EFEITO!$Y$836</f>
        <v>0</v>
      </c>
      <c r="N836" s="46">
        <f>$K$836-EFEITO!$M$836*EFEITO!$Z$836</f>
        <v>0</v>
      </c>
      <c r="O836" s="46">
        <f>$L$836-EFEITO!$O$836*EFEITO!$AA$836</f>
        <v>0</v>
      </c>
      <c r="P836" s="38"/>
      <c r="Q836" s="38"/>
      <c r="R836" s="38"/>
      <c r="S836" s="38"/>
      <c r="T836" s="38"/>
      <c r="U836" s="38"/>
      <c r="V836" s="38"/>
      <c r="W836" s="38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</row>
    <row r="837" spans="1:36" ht="11.25" customHeight="1" x14ac:dyDescent="0.2">
      <c r="A837" s="35" t="s">
        <v>21</v>
      </c>
      <c r="B837" s="35" t="s">
        <v>41</v>
      </c>
      <c r="C837" s="35" t="s">
        <v>44</v>
      </c>
      <c r="D837" s="35" t="s">
        <v>48</v>
      </c>
      <c r="E837" s="35" t="s">
        <v>25</v>
      </c>
      <c r="F837" s="35" t="s">
        <v>25</v>
      </c>
      <c r="G837" s="35" t="s">
        <v>25</v>
      </c>
      <c r="H837" s="35" t="s">
        <v>25</v>
      </c>
      <c r="I837" s="45">
        <v>44713</v>
      </c>
      <c r="J837" s="46">
        <f ca="1">EFEITO!$J$837*EFEITO!$Y$837</f>
        <v>570917.74566127255</v>
      </c>
      <c r="K837" s="46">
        <f>EFEITO!$L$837*EFEITO!$Z$837</f>
        <v>0</v>
      </c>
      <c r="L837" s="46">
        <f>EFEITO!$N$837*EFEITO!$AA$837</f>
        <v>0</v>
      </c>
      <c r="M837" s="46">
        <f ca="1">$J$837-EFEITO!$K$837*EFEITO!$Y$837</f>
        <v>0</v>
      </c>
      <c r="N837" s="46">
        <f>$K$837-EFEITO!$M$837*EFEITO!$Z$837</f>
        <v>0</v>
      </c>
      <c r="O837" s="46">
        <f>$L$837-EFEITO!$O$837*EFEITO!$AA$837</f>
        <v>0</v>
      </c>
      <c r="P837" s="38"/>
      <c r="Q837" s="38"/>
      <c r="R837" s="38"/>
      <c r="S837" s="38"/>
      <c r="T837" s="38"/>
      <c r="U837" s="38"/>
      <c r="V837" s="38"/>
      <c r="W837" s="38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</row>
    <row r="838" spans="1:36" ht="11.25" customHeight="1" x14ac:dyDescent="0.2">
      <c r="A838" s="35" t="s">
        <v>28</v>
      </c>
      <c r="B838" s="35" t="s">
        <v>41</v>
      </c>
      <c r="C838" s="35" t="s">
        <v>44</v>
      </c>
      <c r="D838" s="35" t="s">
        <v>48</v>
      </c>
      <c r="E838" s="35" t="s">
        <v>25</v>
      </c>
      <c r="F838" s="35" t="s">
        <v>25</v>
      </c>
      <c r="G838" s="35" t="s">
        <v>25</v>
      </c>
      <c r="H838" s="35" t="s">
        <v>25</v>
      </c>
      <c r="I838" s="45">
        <v>44713</v>
      </c>
      <c r="J838" s="46">
        <f ca="1">EFEITO!$J$838*EFEITO!$Y$838</f>
        <v>136843.79272403868</v>
      </c>
      <c r="K838" s="46">
        <f>EFEITO!$L$838*EFEITO!$Z$838</f>
        <v>0</v>
      </c>
      <c r="L838" s="46">
        <f>EFEITO!$N$838*EFEITO!$AA$838</f>
        <v>0</v>
      </c>
      <c r="M838" s="46">
        <f ca="1">$J$838-EFEITO!$K$838*EFEITO!$Y$838</f>
        <v>0</v>
      </c>
      <c r="N838" s="46">
        <f>$K$838-EFEITO!$M$838*EFEITO!$Z$838</f>
        <v>0</v>
      </c>
      <c r="O838" s="46">
        <f>$L$838-EFEITO!$O$838*EFEITO!$AA$838</f>
        <v>0</v>
      </c>
      <c r="P838" s="38"/>
      <c r="Q838" s="38"/>
      <c r="R838" s="38"/>
      <c r="S838" s="38"/>
      <c r="T838" s="38"/>
      <c r="U838" s="38"/>
      <c r="V838" s="38"/>
      <c r="W838" s="38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</row>
    <row r="839" spans="1:36" ht="11.25" customHeight="1" x14ac:dyDescent="0.2">
      <c r="A839" s="35" t="s">
        <v>30</v>
      </c>
      <c r="B839" s="35" t="s">
        <v>41</v>
      </c>
      <c r="C839" s="35" t="s">
        <v>44</v>
      </c>
      <c r="D839" s="35" t="s">
        <v>48</v>
      </c>
      <c r="E839" s="35" t="s">
        <v>25</v>
      </c>
      <c r="F839" s="35" t="s">
        <v>25</v>
      </c>
      <c r="G839" s="35" t="s">
        <v>25</v>
      </c>
      <c r="H839" s="35" t="s">
        <v>25</v>
      </c>
      <c r="I839" s="45">
        <v>44713</v>
      </c>
      <c r="J839" s="46">
        <f ca="1">EFEITO!$J$839*EFEITO!$Y$839</f>
        <v>50094.970822448624</v>
      </c>
      <c r="K839" s="46">
        <f>EFEITO!$L$839*EFEITO!$Z$839</f>
        <v>0</v>
      </c>
      <c r="L839" s="46">
        <f>EFEITO!$N$839*EFEITO!$AA$839</f>
        <v>0</v>
      </c>
      <c r="M839" s="46">
        <f ca="1">$J$839-EFEITO!$K$839*EFEITO!$Y$839</f>
        <v>0</v>
      </c>
      <c r="N839" s="46">
        <f>$K$839-EFEITO!$M$839*EFEITO!$Z$839</f>
        <v>0</v>
      </c>
      <c r="O839" s="46">
        <f>$L$839-EFEITO!$O$839*EFEITO!$AA$839</f>
        <v>0</v>
      </c>
      <c r="P839" s="38"/>
      <c r="Q839" s="38"/>
      <c r="R839" s="38"/>
      <c r="S839" s="38"/>
      <c r="T839" s="38"/>
      <c r="U839" s="38"/>
      <c r="V839" s="38"/>
      <c r="W839" s="38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</row>
    <row r="840" spans="1:36" ht="11.25" customHeight="1" x14ac:dyDescent="0.2">
      <c r="A840" s="35" t="s">
        <v>21</v>
      </c>
      <c r="B840" s="35" t="s">
        <v>41</v>
      </c>
      <c r="C840" s="35" t="s">
        <v>44</v>
      </c>
      <c r="D840" s="35" t="s">
        <v>48</v>
      </c>
      <c r="E840" s="35" t="s">
        <v>25</v>
      </c>
      <c r="F840" s="35" t="s">
        <v>25</v>
      </c>
      <c r="G840" s="35" t="s">
        <v>25</v>
      </c>
      <c r="H840" s="35" t="s">
        <v>25</v>
      </c>
      <c r="I840" s="45">
        <v>44743</v>
      </c>
      <c r="J840" s="46">
        <f ca="1">EFEITO!$J$840*EFEITO!$Y$840</f>
        <v>584791.78490551445</v>
      </c>
      <c r="K840" s="46">
        <f>EFEITO!$L$840*EFEITO!$Z$840</f>
        <v>0</v>
      </c>
      <c r="L840" s="46">
        <f>EFEITO!$N$840*EFEITO!$AA$840</f>
        <v>0</v>
      </c>
      <c r="M840" s="46">
        <f ca="1">$J$840-EFEITO!$K$840*EFEITO!$Y$840</f>
        <v>0</v>
      </c>
      <c r="N840" s="46">
        <f>$K$840-EFEITO!$M$840*EFEITO!$Z$840</f>
        <v>0</v>
      </c>
      <c r="O840" s="46">
        <f>$L$840-EFEITO!$O$840*EFEITO!$AA$840</f>
        <v>0</v>
      </c>
      <c r="P840" s="38"/>
      <c r="Q840" s="38"/>
      <c r="R840" s="38"/>
      <c r="S840" s="38"/>
      <c r="T840" s="38"/>
      <c r="U840" s="38"/>
      <c r="V840" s="38"/>
      <c r="W840" s="38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</row>
    <row r="841" spans="1:36" ht="11.25" customHeight="1" x14ac:dyDescent="0.2">
      <c r="A841" s="35" t="s">
        <v>28</v>
      </c>
      <c r="B841" s="35" t="s">
        <v>41</v>
      </c>
      <c r="C841" s="35" t="s">
        <v>44</v>
      </c>
      <c r="D841" s="35" t="s">
        <v>48</v>
      </c>
      <c r="E841" s="35" t="s">
        <v>25</v>
      </c>
      <c r="F841" s="35" t="s">
        <v>25</v>
      </c>
      <c r="G841" s="35" t="s">
        <v>25</v>
      </c>
      <c r="H841" s="35" t="s">
        <v>25</v>
      </c>
      <c r="I841" s="45">
        <v>44743</v>
      </c>
      <c r="J841" s="46">
        <f ca="1">EFEITO!$J$841*EFEITO!$Y$841</f>
        <v>136720.10143805732</v>
      </c>
      <c r="K841" s="46">
        <f>EFEITO!$L$841*EFEITO!$Z$841</f>
        <v>0</v>
      </c>
      <c r="L841" s="46">
        <f>EFEITO!$N$841*EFEITO!$AA$841</f>
        <v>0</v>
      </c>
      <c r="M841" s="46">
        <f ca="1">$J$841-EFEITO!$K$841*EFEITO!$Y$841</f>
        <v>0</v>
      </c>
      <c r="N841" s="46">
        <f>$K$841-EFEITO!$M$841*EFEITO!$Z$841</f>
        <v>0</v>
      </c>
      <c r="O841" s="46">
        <f>$L$841-EFEITO!$O$841*EFEITO!$AA$841</f>
        <v>0</v>
      </c>
      <c r="P841" s="38"/>
      <c r="Q841" s="38"/>
      <c r="R841" s="38"/>
      <c r="S841" s="38"/>
      <c r="T841" s="38"/>
      <c r="U841" s="38"/>
      <c r="V841" s="38"/>
      <c r="W841" s="38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</row>
    <row r="842" spans="1:36" ht="11.25" customHeight="1" x14ac:dyDescent="0.2">
      <c r="A842" s="35" t="s">
        <v>30</v>
      </c>
      <c r="B842" s="35" t="s">
        <v>41</v>
      </c>
      <c r="C842" s="35" t="s">
        <v>44</v>
      </c>
      <c r="D842" s="35" t="s">
        <v>48</v>
      </c>
      <c r="E842" s="35" t="s">
        <v>25</v>
      </c>
      <c r="F842" s="35" t="s">
        <v>25</v>
      </c>
      <c r="G842" s="35" t="s">
        <v>25</v>
      </c>
      <c r="H842" s="35" t="s">
        <v>25</v>
      </c>
      <c r="I842" s="45">
        <v>44743</v>
      </c>
      <c r="J842" s="46">
        <f ca="1">EFEITO!$J$842*EFEITO!$Y$842</f>
        <v>50094.970822448624</v>
      </c>
      <c r="K842" s="46">
        <f>EFEITO!$L$842*EFEITO!$Z$842</f>
        <v>0</v>
      </c>
      <c r="L842" s="46">
        <f>EFEITO!$N$842*EFEITO!$AA$842</f>
        <v>0</v>
      </c>
      <c r="M842" s="46">
        <f ca="1">$J$842-EFEITO!$K$842*EFEITO!$Y$842</f>
        <v>0</v>
      </c>
      <c r="N842" s="46">
        <f>$K$842-EFEITO!$M$842*EFEITO!$Z$842</f>
        <v>0</v>
      </c>
      <c r="O842" s="46">
        <f>$L$842-EFEITO!$O$842*EFEITO!$AA$842</f>
        <v>0</v>
      </c>
      <c r="P842" s="38"/>
      <c r="Q842" s="38"/>
      <c r="R842" s="38"/>
      <c r="S842" s="38"/>
      <c r="T842" s="38"/>
      <c r="U842" s="38"/>
      <c r="V842" s="38"/>
      <c r="W842" s="38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</row>
    <row r="843" spans="1:36" ht="11.25" customHeight="1" x14ac:dyDescent="0.2">
      <c r="A843" s="35" t="s">
        <v>21</v>
      </c>
      <c r="B843" s="35" t="s">
        <v>41</v>
      </c>
      <c r="C843" s="35" t="s">
        <v>44</v>
      </c>
      <c r="D843" s="35" t="s">
        <v>48</v>
      </c>
      <c r="E843" s="35" t="s">
        <v>25</v>
      </c>
      <c r="F843" s="35" t="s">
        <v>25</v>
      </c>
      <c r="G843" s="35" t="s">
        <v>25</v>
      </c>
      <c r="H843" s="35" t="s">
        <v>25</v>
      </c>
      <c r="I843" s="45">
        <v>44774</v>
      </c>
      <c r="J843" s="46">
        <f ca="1">EFEITO!$J$843*EFEITO!$Y$843</f>
        <v>589100.3647005317</v>
      </c>
      <c r="K843" s="46">
        <f>EFEITO!$L$843*EFEITO!$Z$843</f>
        <v>0</v>
      </c>
      <c r="L843" s="46">
        <f>EFEITO!$N$843*EFEITO!$AA$843</f>
        <v>0</v>
      </c>
      <c r="M843" s="46">
        <f ca="1">$J$843-EFEITO!$K$843*EFEITO!$Y$843</f>
        <v>0</v>
      </c>
      <c r="N843" s="46">
        <f>$K$843-EFEITO!$M$843*EFEITO!$Z$843</f>
        <v>0</v>
      </c>
      <c r="O843" s="46">
        <f>$L$843-EFEITO!$O$843*EFEITO!$AA$843</f>
        <v>0</v>
      </c>
      <c r="P843" s="38"/>
      <c r="Q843" s="38"/>
      <c r="R843" s="38"/>
      <c r="S843" s="38"/>
      <c r="T843" s="38"/>
      <c r="U843" s="38"/>
      <c r="V843" s="38"/>
      <c r="W843" s="38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</row>
    <row r="844" spans="1:36" ht="11.25" customHeight="1" x14ac:dyDescent="0.2">
      <c r="A844" s="35" t="s">
        <v>28</v>
      </c>
      <c r="B844" s="35" t="s">
        <v>41</v>
      </c>
      <c r="C844" s="35" t="s">
        <v>44</v>
      </c>
      <c r="D844" s="35" t="s">
        <v>48</v>
      </c>
      <c r="E844" s="35" t="s">
        <v>25</v>
      </c>
      <c r="F844" s="35" t="s">
        <v>25</v>
      </c>
      <c r="G844" s="35" t="s">
        <v>25</v>
      </c>
      <c r="H844" s="35" t="s">
        <v>25</v>
      </c>
      <c r="I844" s="45">
        <v>44774</v>
      </c>
      <c r="J844" s="46">
        <f ca="1">EFEITO!$J$844*EFEITO!$Y$844</f>
        <v>138822.85329974035</v>
      </c>
      <c r="K844" s="46">
        <f>EFEITO!$L$844*EFEITO!$Z$844</f>
        <v>0</v>
      </c>
      <c r="L844" s="46">
        <f>EFEITO!$N$844*EFEITO!$AA$844</f>
        <v>0</v>
      </c>
      <c r="M844" s="46">
        <f ca="1">$J$844-EFEITO!$K$844*EFEITO!$Y$844</f>
        <v>0</v>
      </c>
      <c r="N844" s="46">
        <f>$K$844-EFEITO!$M$844*EFEITO!$Z$844</f>
        <v>0</v>
      </c>
      <c r="O844" s="46">
        <f>$L$844-EFEITO!$O$844*EFEITO!$AA$844</f>
        <v>0</v>
      </c>
      <c r="P844" s="38"/>
      <c r="Q844" s="38"/>
      <c r="R844" s="38"/>
      <c r="S844" s="38"/>
      <c r="T844" s="38"/>
      <c r="U844" s="38"/>
      <c r="V844" s="38"/>
      <c r="W844" s="38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</row>
    <row r="845" spans="1:36" ht="11.25" customHeight="1" x14ac:dyDescent="0.2">
      <c r="A845" s="35" t="s">
        <v>30</v>
      </c>
      <c r="B845" s="35" t="s">
        <v>41</v>
      </c>
      <c r="C845" s="35" t="s">
        <v>44</v>
      </c>
      <c r="D845" s="35" t="s">
        <v>48</v>
      </c>
      <c r="E845" s="35" t="s">
        <v>25</v>
      </c>
      <c r="F845" s="35" t="s">
        <v>25</v>
      </c>
      <c r="G845" s="35" t="s">
        <v>25</v>
      </c>
      <c r="H845" s="35" t="s">
        <v>25</v>
      </c>
      <c r="I845" s="45">
        <v>44774</v>
      </c>
      <c r="J845" s="46">
        <f ca="1">EFEITO!$J$845*EFEITO!$Y$845</f>
        <v>55454.926548307325</v>
      </c>
      <c r="K845" s="46">
        <f>EFEITO!$L$845*EFEITO!$Z$845</f>
        <v>0</v>
      </c>
      <c r="L845" s="46">
        <f>EFEITO!$N$845*EFEITO!$AA$845</f>
        <v>0</v>
      </c>
      <c r="M845" s="46">
        <f ca="1">$J$845-EFEITO!$K$845*EFEITO!$Y$845</f>
        <v>0</v>
      </c>
      <c r="N845" s="46">
        <f>$K$845-EFEITO!$M$845*EFEITO!$Z$845</f>
        <v>0</v>
      </c>
      <c r="O845" s="46">
        <f>$L$845-EFEITO!$O$845*EFEITO!$AA$845</f>
        <v>0</v>
      </c>
      <c r="P845" s="38"/>
      <c r="Q845" s="38"/>
      <c r="R845" s="38"/>
      <c r="S845" s="38"/>
      <c r="T845" s="38"/>
      <c r="U845" s="38"/>
      <c r="V845" s="38"/>
      <c r="W845" s="38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</row>
    <row r="846" spans="1:36" ht="11.25" customHeight="1" x14ac:dyDescent="0.2">
      <c r="A846" s="35" t="s">
        <v>21</v>
      </c>
      <c r="B846" s="35" t="s">
        <v>41</v>
      </c>
      <c r="C846" s="35" t="s">
        <v>44</v>
      </c>
      <c r="D846" s="35" t="s">
        <v>48</v>
      </c>
      <c r="E846" s="35" t="s">
        <v>25</v>
      </c>
      <c r="F846" s="35" t="s">
        <v>25</v>
      </c>
      <c r="G846" s="35" t="s">
        <v>25</v>
      </c>
      <c r="H846" s="35" t="s">
        <v>25</v>
      </c>
      <c r="I846" s="45">
        <v>44805</v>
      </c>
      <c r="J846" s="46">
        <f ca="1">EFEITO!$J$846*EFEITO!$Y$846</f>
        <v>581781.96361330152</v>
      </c>
      <c r="K846" s="46">
        <f>EFEITO!$L$846*EFEITO!$Z$846</f>
        <v>0</v>
      </c>
      <c r="L846" s="46">
        <f>EFEITO!$N$846*EFEITO!$AA$846</f>
        <v>0</v>
      </c>
      <c r="M846" s="46">
        <f ca="1">$J$846-EFEITO!$K$846*EFEITO!$Y$846</f>
        <v>0</v>
      </c>
      <c r="N846" s="46">
        <f>$K$846-EFEITO!$M$846*EFEITO!$Z$846</f>
        <v>0</v>
      </c>
      <c r="O846" s="46">
        <f>$L$846-EFEITO!$O$846*EFEITO!$AA$846</f>
        <v>0</v>
      </c>
      <c r="P846" s="38"/>
      <c r="Q846" s="38"/>
      <c r="R846" s="38"/>
      <c r="S846" s="38"/>
      <c r="T846" s="38"/>
      <c r="U846" s="38"/>
      <c r="V846" s="38"/>
      <c r="W846" s="38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</row>
    <row r="847" spans="1:36" ht="11.25" customHeight="1" x14ac:dyDescent="0.2">
      <c r="A847" s="35" t="s">
        <v>28</v>
      </c>
      <c r="B847" s="35" t="s">
        <v>41</v>
      </c>
      <c r="C847" s="35" t="s">
        <v>44</v>
      </c>
      <c r="D847" s="35" t="s">
        <v>48</v>
      </c>
      <c r="E847" s="35" t="s">
        <v>25</v>
      </c>
      <c r="F847" s="35" t="s">
        <v>25</v>
      </c>
      <c r="G847" s="35" t="s">
        <v>25</v>
      </c>
      <c r="H847" s="35" t="s">
        <v>25</v>
      </c>
      <c r="I847" s="45">
        <v>44805</v>
      </c>
      <c r="J847" s="46">
        <f ca="1">EFEITO!$J$847*EFEITO!$Y$847</f>
        <v>139647.46187294938</v>
      </c>
      <c r="K847" s="46">
        <f>EFEITO!$L$847*EFEITO!$Z$847</f>
        <v>0</v>
      </c>
      <c r="L847" s="46">
        <f>EFEITO!$N$847*EFEITO!$AA$847</f>
        <v>0</v>
      </c>
      <c r="M847" s="46">
        <f ca="1">$J$847-EFEITO!$K$847*EFEITO!$Y$847</f>
        <v>0</v>
      </c>
      <c r="N847" s="46">
        <f>$K$847-EFEITO!$M$847*EFEITO!$Z$847</f>
        <v>0</v>
      </c>
      <c r="O847" s="46">
        <f>$L$847-EFEITO!$O$847*EFEITO!$AA$847</f>
        <v>0</v>
      </c>
      <c r="P847" s="38"/>
      <c r="Q847" s="38"/>
      <c r="R847" s="38"/>
      <c r="S847" s="38"/>
      <c r="T847" s="38"/>
      <c r="U847" s="38"/>
      <c r="V847" s="38"/>
      <c r="W847" s="38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</row>
    <row r="848" spans="1:36" ht="11.25" customHeight="1" x14ac:dyDescent="0.2">
      <c r="A848" s="35" t="s">
        <v>30</v>
      </c>
      <c r="B848" s="35" t="s">
        <v>41</v>
      </c>
      <c r="C848" s="35" t="s">
        <v>44</v>
      </c>
      <c r="D848" s="35" t="s">
        <v>48</v>
      </c>
      <c r="E848" s="35" t="s">
        <v>25</v>
      </c>
      <c r="F848" s="35" t="s">
        <v>25</v>
      </c>
      <c r="G848" s="35" t="s">
        <v>25</v>
      </c>
      <c r="H848" s="35" t="s">
        <v>25</v>
      </c>
      <c r="I848" s="45">
        <v>44805</v>
      </c>
      <c r="J848" s="46">
        <f ca="1">EFEITO!$J$848*EFEITO!$Y$848</f>
        <v>55681.693905939814</v>
      </c>
      <c r="K848" s="46">
        <f>EFEITO!$L$848*EFEITO!$Z$848</f>
        <v>0</v>
      </c>
      <c r="L848" s="46">
        <f>EFEITO!$N$848*EFEITO!$AA$848</f>
        <v>0</v>
      </c>
      <c r="M848" s="46">
        <f ca="1">$J$848-EFEITO!$K$848*EFEITO!$Y$848</f>
        <v>0</v>
      </c>
      <c r="N848" s="46">
        <f>$K$848-EFEITO!$M$848*EFEITO!$Z$848</f>
        <v>0</v>
      </c>
      <c r="O848" s="46">
        <f>$L$848-EFEITO!$O$848*EFEITO!$AA$848</f>
        <v>0</v>
      </c>
      <c r="P848" s="38"/>
      <c r="Q848" s="38"/>
      <c r="R848" s="38"/>
      <c r="S848" s="38"/>
      <c r="T848" s="38"/>
      <c r="U848" s="38"/>
      <c r="V848" s="38"/>
      <c r="W848" s="38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</row>
    <row r="849" spans="1:36" ht="11.25" customHeight="1" x14ac:dyDescent="0.2">
      <c r="A849" s="35" t="s">
        <v>21</v>
      </c>
      <c r="B849" s="35" t="s">
        <v>41</v>
      </c>
      <c r="C849" s="35" t="s">
        <v>44</v>
      </c>
      <c r="D849" s="35" t="s">
        <v>48</v>
      </c>
      <c r="E849" s="35" t="s">
        <v>25</v>
      </c>
      <c r="F849" s="35" t="s">
        <v>25</v>
      </c>
      <c r="G849" s="35" t="s">
        <v>25</v>
      </c>
      <c r="H849" s="35" t="s">
        <v>25</v>
      </c>
      <c r="I849" s="45">
        <v>44835</v>
      </c>
      <c r="J849" s="46">
        <f ca="1">EFEITO!$J$849*EFEITO!$Y$849</f>
        <v>578565.99017778633</v>
      </c>
      <c r="K849" s="46">
        <f>EFEITO!$L$849*EFEITO!$Z$849</f>
        <v>0</v>
      </c>
      <c r="L849" s="46">
        <f>EFEITO!$N$849*EFEITO!$AA$849</f>
        <v>0</v>
      </c>
      <c r="M849" s="46">
        <f ca="1">$J$849-EFEITO!$K$849*EFEITO!$Y$849</f>
        <v>0</v>
      </c>
      <c r="N849" s="46">
        <f>$K$849-EFEITO!$M$849*EFEITO!$Z$849</f>
        <v>0</v>
      </c>
      <c r="O849" s="46">
        <f>$L$849-EFEITO!$O$849*EFEITO!$AA$849</f>
        <v>0</v>
      </c>
      <c r="P849" s="38"/>
      <c r="Q849" s="38"/>
      <c r="R849" s="38"/>
      <c r="S849" s="38"/>
      <c r="T849" s="38"/>
      <c r="U849" s="38"/>
      <c r="V849" s="38"/>
      <c r="W849" s="38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</row>
    <row r="850" spans="1:36" ht="11.25" customHeight="1" x14ac:dyDescent="0.2">
      <c r="A850" s="35" t="s">
        <v>28</v>
      </c>
      <c r="B850" s="35" t="s">
        <v>41</v>
      </c>
      <c r="C850" s="35" t="s">
        <v>44</v>
      </c>
      <c r="D850" s="35" t="s">
        <v>48</v>
      </c>
      <c r="E850" s="35" t="s">
        <v>25</v>
      </c>
      <c r="F850" s="35" t="s">
        <v>25</v>
      </c>
      <c r="G850" s="35" t="s">
        <v>25</v>
      </c>
      <c r="H850" s="35" t="s">
        <v>25</v>
      </c>
      <c r="I850" s="45">
        <v>44835</v>
      </c>
      <c r="J850" s="46">
        <f ca="1">EFEITO!$J$850*EFEITO!$Y$850</f>
        <v>143316.97002372958</v>
      </c>
      <c r="K850" s="46">
        <f>EFEITO!$L$850*EFEITO!$Z$850</f>
        <v>0</v>
      </c>
      <c r="L850" s="46">
        <f>EFEITO!$N$850*EFEITO!$AA$850</f>
        <v>0</v>
      </c>
      <c r="M850" s="46">
        <f ca="1">$J$850-EFEITO!$K$850*EFEITO!$Y$850</f>
        <v>0</v>
      </c>
      <c r="N850" s="46">
        <f>$K$850-EFEITO!$M$850*EFEITO!$Z$850</f>
        <v>0</v>
      </c>
      <c r="O850" s="46">
        <f>$L$850-EFEITO!$O$850*EFEITO!$AA$850</f>
        <v>0</v>
      </c>
      <c r="P850" s="38"/>
      <c r="Q850" s="38"/>
      <c r="R850" s="38"/>
      <c r="S850" s="38"/>
      <c r="T850" s="38"/>
      <c r="U850" s="38"/>
      <c r="V850" s="38"/>
      <c r="W850" s="38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</row>
    <row r="851" spans="1:36" ht="11.25" customHeight="1" x14ac:dyDescent="0.2">
      <c r="A851" s="35" t="s">
        <v>30</v>
      </c>
      <c r="B851" s="35" t="s">
        <v>41</v>
      </c>
      <c r="C851" s="35" t="s">
        <v>44</v>
      </c>
      <c r="D851" s="35" t="s">
        <v>48</v>
      </c>
      <c r="E851" s="35" t="s">
        <v>25</v>
      </c>
      <c r="F851" s="35" t="s">
        <v>25</v>
      </c>
      <c r="G851" s="35" t="s">
        <v>25</v>
      </c>
      <c r="H851" s="35" t="s">
        <v>25</v>
      </c>
      <c r="I851" s="45">
        <v>44835</v>
      </c>
      <c r="J851" s="46">
        <f ca="1">EFEITO!$J$851*EFEITO!$Y$851</f>
        <v>59990.273700956997</v>
      </c>
      <c r="K851" s="46">
        <f>EFEITO!$L$851*EFEITO!$Z$851</f>
        <v>0</v>
      </c>
      <c r="L851" s="46">
        <f>EFEITO!$N$851*EFEITO!$AA$851</f>
        <v>0</v>
      </c>
      <c r="M851" s="46">
        <f ca="1">$J$851-EFEITO!$K$851*EFEITO!$Y$851</f>
        <v>0</v>
      </c>
      <c r="N851" s="46">
        <f>$K$851-EFEITO!$M$851*EFEITO!$Z$851</f>
        <v>0</v>
      </c>
      <c r="O851" s="46">
        <f>$L$851-EFEITO!$O$851*EFEITO!$AA$851</f>
        <v>0</v>
      </c>
      <c r="P851" s="38"/>
      <c r="Q851" s="38"/>
      <c r="R851" s="38"/>
      <c r="S851" s="38"/>
      <c r="T851" s="38"/>
      <c r="U851" s="38"/>
      <c r="V851" s="38"/>
      <c r="W851" s="38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</row>
    <row r="852" spans="1:36" ht="11.25" customHeight="1" x14ac:dyDescent="0.2">
      <c r="A852" s="35" t="s">
        <v>59</v>
      </c>
      <c r="B852" s="35" t="s">
        <v>41</v>
      </c>
      <c r="C852" s="35" t="s">
        <v>44</v>
      </c>
      <c r="D852" s="35" t="s">
        <v>48</v>
      </c>
      <c r="E852" s="35" t="s">
        <v>25</v>
      </c>
      <c r="F852" s="35" t="s">
        <v>25</v>
      </c>
      <c r="G852" s="35" t="s">
        <v>25</v>
      </c>
      <c r="H852" s="35" t="s">
        <v>25</v>
      </c>
      <c r="I852" s="45">
        <v>44866</v>
      </c>
      <c r="J852" s="46">
        <f ca="1">EFEITO!$J$852*EFEITO!$Y$852</f>
        <v>578565.99017778633</v>
      </c>
      <c r="K852" s="46">
        <f>EFEITO!$L$852*EFEITO!$Z$852</f>
        <v>0</v>
      </c>
      <c r="L852" s="46">
        <f>EFEITO!$N$852*EFEITO!$AA$852</f>
        <v>0</v>
      </c>
      <c r="M852" s="46">
        <f ca="1">$J$852-EFEITO!$K$852*EFEITO!$Y$852</f>
        <v>0</v>
      </c>
      <c r="N852" s="46">
        <f>$K$852-EFEITO!$M$852*EFEITO!$Z$852</f>
        <v>0</v>
      </c>
      <c r="O852" s="46">
        <f>$L$852-EFEITO!$O$852*EFEITO!$AA$852</f>
        <v>0</v>
      </c>
      <c r="P852" s="38"/>
      <c r="Q852" s="38"/>
      <c r="R852" s="38"/>
      <c r="S852" s="38"/>
      <c r="T852" s="38"/>
      <c r="U852" s="38"/>
      <c r="V852" s="38"/>
      <c r="W852" s="38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</row>
    <row r="853" spans="1:36" ht="11.25" customHeight="1" x14ac:dyDescent="0.2">
      <c r="A853" s="35" t="s">
        <v>59</v>
      </c>
      <c r="B853" s="35" t="s">
        <v>41</v>
      </c>
      <c r="C853" s="35" t="s">
        <v>44</v>
      </c>
      <c r="D853" s="35" t="s">
        <v>48</v>
      </c>
      <c r="E853" s="35" t="s">
        <v>25</v>
      </c>
      <c r="F853" s="35" t="s">
        <v>25</v>
      </c>
      <c r="G853" s="35" t="s">
        <v>25</v>
      </c>
      <c r="H853" s="35" t="s">
        <v>25</v>
      </c>
      <c r="I853" s="45">
        <v>44866</v>
      </c>
      <c r="J853" s="46">
        <f ca="1">EFEITO!$J$853*EFEITO!$Y$853</f>
        <v>143316.97002372958</v>
      </c>
      <c r="K853" s="46">
        <f>EFEITO!$L$853*EFEITO!$Z$853</f>
        <v>0</v>
      </c>
      <c r="L853" s="46">
        <f>EFEITO!$N$853*EFEITO!$AA$853</f>
        <v>0</v>
      </c>
      <c r="M853" s="46">
        <f ca="1">$J$853-EFEITO!$K$853*EFEITO!$Y$853</f>
        <v>0</v>
      </c>
      <c r="N853" s="46">
        <f>$K$853-EFEITO!$M$853*EFEITO!$Z$853</f>
        <v>0</v>
      </c>
      <c r="O853" s="46">
        <f>$L$853-EFEITO!$O$853*EFEITO!$AA$853</f>
        <v>0</v>
      </c>
      <c r="P853" s="38"/>
      <c r="Q853" s="38"/>
      <c r="R853" s="38"/>
      <c r="S853" s="38"/>
      <c r="T853" s="38"/>
      <c r="U853" s="38"/>
      <c r="V853" s="38"/>
      <c r="W853" s="38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</row>
    <row r="854" spans="1:36" ht="11.25" customHeight="1" x14ac:dyDescent="0.2">
      <c r="A854" s="35" t="s">
        <v>59</v>
      </c>
      <c r="B854" s="35" t="s">
        <v>41</v>
      </c>
      <c r="C854" s="35" t="s">
        <v>44</v>
      </c>
      <c r="D854" s="35" t="s">
        <v>48</v>
      </c>
      <c r="E854" s="35" t="s">
        <v>25</v>
      </c>
      <c r="F854" s="35" t="s">
        <v>25</v>
      </c>
      <c r="G854" s="35" t="s">
        <v>25</v>
      </c>
      <c r="H854" s="35" t="s">
        <v>25</v>
      </c>
      <c r="I854" s="45">
        <v>44866</v>
      </c>
      <c r="J854" s="46">
        <f ca="1">EFEITO!$J$854*EFEITO!$Y$854</f>
        <v>59990.273700956997</v>
      </c>
      <c r="K854" s="46">
        <f>EFEITO!$L$854*EFEITO!$Z$854</f>
        <v>0</v>
      </c>
      <c r="L854" s="46">
        <f>EFEITO!$N$854*EFEITO!$AA$854</f>
        <v>0</v>
      </c>
      <c r="M854" s="46">
        <f ca="1">$J$854-EFEITO!$K$854*EFEITO!$Y$854</f>
        <v>0</v>
      </c>
      <c r="N854" s="46">
        <f>$K$854-EFEITO!$M$854*EFEITO!$Z$854</f>
        <v>0</v>
      </c>
      <c r="O854" s="46">
        <f>$L$854-EFEITO!$O$854*EFEITO!$AA$854</f>
        <v>0</v>
      </c>
      <c r="P854" s="38"/>
      <c r="Q854" s="38"/>
      <c r="R854" s="38"/>
      <c r="S854" s="38"/>
      <c r="T854" s="38"/>
      <c r="U854" s="38"/>
      <c r="V854" s="38"/>
      <c r="W854" s="38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</row>
    <row r="855" spans="1:36" ht="11.25" customHeight="1" x14ac:dyDescent="0.2">
      <c r="A855" s="35" t="s">
        <v>21</v>
      </c>
      <c r="B855" s="35" t="s">
        <v>41</v>
      </c>
      <c r="C855" s="35" t="s">
        <v>44</v>
      </c>
      <c r="D855" s="35" t="s">
        <v>48</v>
      </c>
      <c r="E855" s="35" t="s">
        <v>25</v>
      </c>
      <c r="F855" s="35" t="s">
        <v>25</v>
      </c>
      <c r="G855" s="35" t="s">
        <v>25</v>
      </c>
      <c r="H855" s="35" t="s">
        <v>36</v>
      </c>
      <c r="I855" s="45">
        <v>44531</v>
      </c>
      <c r="J855" s="46">
        <f>EFEITO!$J$855*EFEITO!$Y$855</f>
        <v>0</v>
      </c>
      <c r="K855" s="46">
        <f ca="1">EFEITO!$L$855*EFEITO!$Z$855</f>
        <v>360572.50698232907</v>
      </c>
      <c r="L855" s="46">
        <f>EFEITO!$N$855*EFEITO!$AA$855</f>
        <v>88343.338988288422</v>
      </c>
      <c r="M855" s="46">
        <f>$J$855-EFEITO!$K$855*EFEITO!$Y$855</f>
        <v>0</v>
      </c>
      <c r="N855" s="46">
        <f ca="1">$K$855-EFEITO!$M$855*EFEITO!$Z$855</f>
        <v>0</v>
      </c>
      <c r="O855" s="46">
        <f>$L$855-EFEITO!$O$855*EFEITO!$AA$855</f>
        <v>0</v>
      </c>
      <c r="P855" s="38"/>
      <c r="Q855" s="38"/>
      <c r="R855" s="38"/>
      <c r="S855" s="38"/>
      <c r="T855" s="38"/>
      <c r="U855" s="38"/>
      <c r="V855" s="38"/>
      <c r="W855" s="38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</row>
    <row r="856" spans="1:36" ht="11.25" customHeight="1" x14ac:dyDescent="0.2">
      <c r="A856" s="35" t="s">
        <v>28</v>
      </c>
      <c r="B856" s="35" t="s">
        <v>41</v>
      </c>
      <c r="C856" s="35" t="s">
        <v>44</v>
      </c>
      <c r="D856" s="35" t="s">
        <v>48</v>
      </c>
      <c r="E856" s="35" t="s">
        <v>25</v>
      </c>
      <c r="F856" s="35" t="s">
        <v>25</v>
      </c>
      <c r="G856" s="35" t="s">
        <v>25</v>
      </c>
      <c r="H856" s="35" t="s">
        <v>36</v>
      </c>
      <c r="I856" s="45">
        <v>44531</v>
      </c>
      <c r="J856" s="46">
        <f>EFEITO!$J$856*EFEITO!$Y$856</f>
        <v>0</v>
      </c>
      <c r="K856" s="46">
        <f ca="1">EFEITO!$L$856*EFEITO!$Z$856</f>
        <v>93292.469141518581</v>
      </c>
      <c r="L856" s="46">
        <f>EFEITO!$N$856*EFEITO!$AA$856</f>
        <v>22857.450490055046</v>
      </c>
      <c r="M856" s="46">
        <f>$J$856-EFEITO!$K$856*EFEITO!$Y$856</f>
        <v>0</v>
      </c>
      <c r="N856" s="46">
        <f ca="1">$K$856-EFEITO!$M$856*EFEITO!$Z$856</f>
        <v>0</v>
      </c>
      <c r="O856" s="46">
        <f>$L$856-EFEITO!$O$856*EFEITO!$AA$856</f>
        <v>0</v>
      </c>
      <c r="P856" s="38"/>
      <c r="Q856" s="38"/>
      <c r="R856" s="38"/>
      <c r="S856" s="38"/>
      <c r="T856" s="38"/>
      <c r="U856" s="38"/>
      <c r="V856" s="38"/>
      <c r="W856" s="38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</row>
    <row r="857" spans="1:36" ht="11.25" customHeight="1" x14ac:dyDescent="0.2">
      <c r="A857" s="35" t="s">
        <v>30</v>
      </c>
      <c r="B857" s="35" t="s">
        <v>41</v>
      </c>
      <c r="C857" s="35" t="s">
        <v>44</v>
      </c>
      <c r="D857" s="35" t="s">
        <v>48</v>
      </c>
      <c r="E857" s="35" t="s">
        <v>25</v>
      </c>
      <c r="F857" s="35" t="s">
        <v>25</v>
      </c>
      <c r="G857" s="35" t="s">
        <v>25</v>
      </c>
      <c r="H857" s="35" t="s">
        <v>36</v>
      </c>
      <c r="I857" s="45">
        <v>44531</v>
      </c>
      <c r="J857" s="46">
        <f>EFEITO!$J$857*EFEITO!$Y$857</f>
        <v>0</v>
      </c>
      <c r="K857" s="46">
        <f ca="1">EFEITO!$L$857*EFEITO!$Z$857</f>
        <v>34697.161060058366</v>
      </c>
      <c r="L857" s="46">
        <f>EFEITO!$N$857*EFEITO!$AA$857</f>
        <v>8501.1003393284209</v>
      </c>
      <c r="M857" s="46">
        <f>$J$857-EFEITO!$K$857*EFEITO!$Y$857</f>
        <v>0</v>
      </c>
      <c r="N857" s="46">
        <f ca="1">$K$857-EFEITO!$M$857*EFEITO!$Z$857</f>
        <v>0</v>
      </c>
      <c r="O857" s="46">
        <f>$L$857-EFEITO!$O$857*EFEITO!$AA$857</f>
        <v>0</v>
      </c>
      <c r="P857" s="38"/>
      <c r="Q857" s="38"/>
      <c r="R857" s="38"/>
      <c r="S857" s="38"/>
      <c r="T857" s="38"/>
      <c r="U857" s="38"/>
      <c r="V857" s="38"/>
      <c r="W857" s="38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</row>
    <row r="858" spans="1:36" ht="11.25" customHeight="1" x14ac:dyDescent="0.2">
      <c r="A858" s="35" t="s">
        <v>21</v>
      </c>
      <c r="B858" s="35" t="s">
        <v>41</v>
      </c>
      <c r="C858" s="35" t="s">
        <v>44</v>
      </c>
      <c r="D858" s="35" t="s">
        <v>48</v>
      </c>
      <c r="E858" s="35" t="s">
        <v>25</v>
      </c>
      <c r="F858" s="35" t="s">
        <v>25</v>
      </c>
      <c r="G858" s="35" t="s">
        <v>25</v>
      </c>
      <c r="H858" s="35" t="s">
        <v>36</v>
      </c>
      <c r="I858" s="45">
        <v>44562</v>
      </c>
      <c r="J858" s="46">
        <f>EFEITO!$J$858*EFEITO!$Y$858</f>
        <v>0</v>
      </c>
      <c r="K858" s="46">
        <f ca="1">EFEITO!$L$858*EFEITO!$Z$858</f>
        <v>357474.59903511027</v>
      </c>
      <c r="L858" s="46">
        <f>EFEITO!$N$858*EFEITO!$AA$858</f>
        <v>87584.325123847913</v>
      </c>
      <c r="M858" s="46">
        <f>$J$858-EFEITO!$K$858*EFEITO!$Y$858</f>
        <v>0</v>
      </c>
      <c r="N858" s="46">
        <f ca="1">$K$858-EFEITO!$M$858*EFEITO!$Z$858</f>
        <v>0</v>
      </c>
      <c r="O858" s="46">
        <f>$L$858-EFEITO!$O$858*EFEITO!$AA$858</f>
        <v>0</v>
      </c>
      <c r="P858" s="38"/>
      <c r="Q858" s="38"/>
      <c r="R858" s="38"/>
      <c r="S858" s="38"/>
      <c r="T858" s="38"/>
      <c r="U858" s="38"/>
      <c r="V858" s="38"/>
      <c r="W858" s="38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</row>
    <row r="859" spans="1:36" ht="11.25" customHeight="1" x14ac:dyDescent="0.2">
      <c r="A859" s="35" t="s">
        <v>28</v>
      </c>
      <c r="B859" s="35" t="s">
        <v>41</v>
      </c>
      <c r="C859" s="35" t="s">
        <v>44</v>
      </c>
      <c r="D859" s="35" t="s">
        <v>48</v>
      </c>
      <c r="E859" s="35" t="s">
        <v>25</v>
      </c>
      <c r="F859" s="35" t="s">
        <v>25</v>
      </c>
      <c r="G859" s="35" t="s">
        <v>25</v>
      </c>
      <c r="H859" s="35" t="s">
        <v>36</v>
      </c>
      <c r="I859" s="45">
        <v>44562</v>
      </c>
      <c r="J859" s="46">
        <f>EFEITO!$J$859*EFEITO!$Y$859</f>
        <v>0</v>
      </c>
      <c r="K859" s="46">
        <f ca="1">EFEITO!$L$859*EFEITO!$Z$859</f>
        <v>94247.15171483731</v>
      </c>
      <c r="L859" s="46">
        <f>EFEITO!$N$859*EFEITO!$AA$859</f>
        <v>23091.355861562031</v>
      </c>
      <c r="M859" s="46">
        <f>$J$859-EFEITO!$K$859*EFEITO!$Y$859</f>
        <v>0</v>
      </c>
      <c r="N859" s="46">
        <f ca="1">$K$859-EFEITO!$M$859*EFEITO!$Z$859</f>
        <v>0</v>
      </c>
      <c r="O859" s="46">
        <f>$L$859-EFEITO!$O$859*EFEITO!$AA$859</f>
        <v>0</v>
      </c>
      <c r="P859" s="38"/>
      <c r="Q859" s="38"/>
      <c r="R859" s="38"/>
      <c r="S859" s="38"/>
      <c r="T859" s="38"/>
      <c r="U859" s="38"/>
      <c r="V859" s="38"/>
      <c r="W859" s="38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</row>
    <row r="860" spans="1:36" ht="11.25" customHeight="1" x14ac:dyDescent="0.2">
      <c r="A860" s="35" t="s">
        <v>29</v>
      </c>
      <c r="B860" s="35" t="s">
        <v>41</v>
      </c>
      <c r="C860" s="35" t="s">
        <v>44</v>
      </c>
      <c r="D860" s="35" t="s">
        <v>48</v>
      </c>
      <c r="E860" s="35" t="s">
        <v>25</v>
      </c>
      <c r="F860" s="35" t="s">
        <v>25</v>
      </c>
      <c r="G860" s="35" t="s">
        <v>25</v>
      </c>
      <c r="H860" s="35" t="s">
        <v>36</v>
      </c>
      <c r="I860" s="45">
        <v>44562</v>
      </c>
      <c r="J860" s="46">
        <f>EFEITO!$J$860*EFEITO!$Y$860</f>
        <v>0</v>
      </c>
      <c r="K860" s="46">
        <f ca="1">EFEITO!$L$860*EFEITO!$Z$860</f>
        <v>-2131.3843497348366</v>
      </c>
      <c r="L860" s="46">
        <f>EFEITO!$N$860*EFEITO!$AA$860</f>
        <v>-522.20734103885866</v>
      </c>
      <c r="M860" s="46">
        <f>$J$860-EFEITO!$K$860*EFEITO!$Y$860</f>
        <v>0</v>
      </c>
      <c r="N860" s="46">
        <f ca="1">$K$860-EFEITO!$M$860*EFEITO!$Z$860</f>
        <v>0</v>
      </c>
      <c r="O860" s="46">
        <f>$L$860-EFEITO!$O$860*EFEITO!$AA$860</f>
        <v>0</v>
      </c>
      <c r="P860" s="38"/>
      <c r="Q860" s="38"/>
      <c r="R860" s="38"/>
      <c r="S860" s="38"/>
      <c r="T860" s="38"/>
      <c r="U860" s="38"/>
      <c r="V860" s="38"/>
      <c r="W860" s="38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</row>
    <row r="861" spans="1:36" ht="11.25" customHeight="1" x14ac:dyDescent="0.2">
      <c r="A861" s="35" t="s">
        <v>30</v>
      </c>
      <c r="B861" s="35" t="s">
        <v>41</v>
      </c>
      <c r="C861" s="35" t="s">
        <v>44</v>
      </c>
      <c r="D861" s="35" t="s">
        <v>48</v>
      </c>
      <c r="E861" s="35" t="s">
        <v>25</v>
      </c>
      <c r="F861" s="35" t="s">
        <v>25</v>
      </c>
      <c r="G861" s="35" t="s">
        <v>25</v>
      </c>
      <c r="H861" s="35" t="s">
        <v>36</v>
      </c>
      <c r="I861" s="45">
        <v>44562</v>
      </c>
      <c r="J861" s="46">
        <f>EFEITO!$J$861*EFEITO!$Y$861</f>
        <v>0</v>
      </c>
      <c r="K861" s="46">
        <f ca="1">EFEITO!$L$861*EFEITO!$Z$861</f>
        <v>32098.056255798383</v>
      </c>
      <c r="L861" s="46">
        <f>EFEITO!$N$861*EFEITO!$AA$861</f>
        <v>7864.297498450479</v>
      </c>
      <c r="M861" s="46">
        <f>$J$861-EFEITO!$K$861*EFEITO!$Y$861</f>
        <v>0</v>
      </c>
      <c r="N861" s="46">
        <f ca="1">$K$861-EFEITO!$M$861*EFEITO!$Z$861</f>
        <v>0</v>
      </c>
      <c r="O861" s="46">
        <f>$L$861-EFEITO!$O$861*EFEITO!$AA$861</f>
        <v>0</v>
      </c>
      <c r="P861" s="38"/>
      <c r="Q861" s="38"/>
      <c r="R861" s="38"/>
      <c r="S861" s="38"/>
      <c r="T861" s="38"/>
      <c r="U861" s="38"/>
      <c r="V861" s="38"/>
      <c r="W861" s="38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</row>
    <row r="862" spans="1:36" ht="11.25" customHeight="1" x14ac:dyDescent="0.2">
      <c r="A862" s="35" t="s">
        <v>21</v>
      </c>
      <c r="B862" s="35" t="s">
        <v>41</v>
      </c>
      <c r="C862" s="35" t="s">
        <v>44</v>
      </c>
      <c r="D862" s="35" t="s">
        <v>48</v>
      </c>
      <c r="E862" s="35" t="s">
        <v>25</v>
      </c>
      <c r="F862" s="35" t="s">
        <v>25</v>
      </c>
      <c r="G862" s="35" t="s">
        <v>25</v>
      </c>
      <c r="H862" s="35" t="s">
        <v>36</v>
      </c>
      <c r="I862" s="45">
        <v>44593</v>
      </c>
      <c r="J862" s="46">
        <f>EFEITO!$J$862*EFEITO!$Y$862</f>
        <v>0</v>
      </c>
      <c r="K862" s="46">
        <f ca="1">EFEITO!$L$862*EFEITO!$Z$862</f>
        <v>319570.00055430515</v>
      </c>
      <c r="L862" s="46">
        <f>EFEITO!$N$862*EFEITO!$AA$862</f>
        <v>78297.375265053386</v>
      </c>
      <c r="M862" s="46">
        <f>$J$862-EFEITO!$K$862*EFEITO!$Y$862</f>
        <v>0</v>
      </c>
      <c r="N862" s="46">
        <f ca="1">$K$862-EFEITO!$M$862*EFEITO!$Z$862</f>
        <v>0</v>
      </c>
      <c r="O862" s="46">
        <f>$L$862-EFEITO!$O$862*EFEITO!$AA$862</f>
        <v>0</v>
      </c>
      <c r="P862" s="38"/>
      <c r="Q862" s="38"/>
      <c r="R862" s="38"/>
      <c r="S862" s="38"/>
      <c r="T862" s="38"/>
      <c r="U862" s="38"/>
      <c r="V862" s="38"/>
      <c r="W862" s="38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</row>
    <row r="863" spans="1:36" ht="11.25" customHeight="1" x14ac:dyDescent="0.2">
      <c r="A863" s="35" t="s">
        <v>27</v>
      </c>
      <c r="B863" s="35" t="s">
        <v>41</v>
      </c>
      <c r="C863" s="35" t="s">
        <v>44</v>
      </c>
      <c r="D863" s="35" t="s">
        <v>48</v>
      </c>
      <c r="E863" s="35" t="s">
        <v>25</v>
      </c>
      <c r="F863" s="35" t="s">
        <v>25</v>
      </c>
      <c r="G863" s="35" t="s">
        <v>25</v>
      </c>
      <c r="H863" s="35" t="s">
        <v>36</v>
      </c>
      <c r="I863" s="45">
        <v>44593</v>
      </c>
      <c r="J863" s="46">
        <f>EFEITO!$J$863*EFEITO!$Y$863</f>
        <v>0</v>
      </c>
      <c r="K863" s="46">
        <f ca="1">EFEITO!$L$863*EFEITO!$Z$863</f>
        <v>932.48065300899111</v>
      </c>
      <c r="L863" s="46">
        <f>EFEITO!$N$863*EFEITO!$AA$863</f>
        <v>228.46571170450068</v>
      </c>
      <c r="M863" s="46">
        <f>$J$863-EFEITO!$K$863*EFEITO!$Y$863</f>
        <v>0</v>
      </c>
      <c r="N863" s="46">
        <f ca="1">$K$863-EFEITO!$M$863*EFEITO!$Z$863</f>
        <v>0</v>
      </c>
      <c r="O863" s="46">
        <f>$L$863-EFEITO!$O$863*EFEITO!$AA$863</f>
        <v>0</v>
      </c>
      <c r="P863" s="38"/>
      <c r="Q863" s="38"/>
      <c r="R863" s="38"/>
      <c r="S863" s="38"/>
      <c r="T863" s="38"/>
      <c r="U863" s="38"/>
      <c r="V863" s="38"/>
      <c r="W863" s="38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</row>
    <row r="864" spans="1:36" ht="11.25" customHeight="1" x14ac:dyDescent="0.2">
      <c r="A864" s="35" t="s">
        <v>28</v>
      </c>
      <c r="B864" s="35" t="s">
        <v>41</v>
      </c>
      <c r="C864" s="35" t="s">
        <v>44</v>
      </c>
      <c r="D864" s="35" t="s">
        <v>48</v>
      </c>
      <c r="E864" s="35" t="s">
        <v>25</v>
      </c>
      <c r="F864" s="35" t="s">
        <v>25</v>
      </c>
      <c r="G864" s="35" t="s">
        <v>25</v>
      </c>
      <c r="H864" s="35" t="s">
        <v>36</v>
      </c>
      <c r="I864" s="45">
        <v>44593</v>
      </c>
      <c r="J864" s="46">
        <f>EFEITO!$J$864*EFEITO!$Y$864</f>
        <v>0</v>
      </c>
      <c r="K864" s="46">
        <f ca="1">EFEITO!$L$864*EFEITO!$Z$864</f>
        <v>84445.743962098364</v>
      </c>
      <c r="L864" s="46">
        <f>EFEITO!$N$864*EFEITO!$AA$864</f>
        <v>20689.927380756948</v>
      </c>
      <c r="M864" s="46">
        <f>$J$864-EFEITO!$K$864*EFEITO!$Y$864</f>
        <v>0</v>
      </c>
      <c r="N864" s="46">
        <f ca="1">$K$864-EFEITO!$M$864*EFEITO!$Z$864</f>
        <v>0</v>
      </c>
      <c r="O864" s="46">
        <f>$L$864-EFEITO!$O$864*EFEITO!$AA$864</f>
        <v>0</v>
      </c>
      <c r="P864" s="38"/>
      <c r="Q864" s="38"/>
      <c r="R864" s="38"/>
      <c r="S864" s="38"/>
      <c r="T864" s="38"/>
      <c r="U864" s="38"/>
      <c r="V864" s="38"/>
      <c r="W864" s="38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</row>
    <row r="865" spans="1:36" ht="11.25" customHeight="1" x14ac:dyDescent="0.2">
      <c r="A865" s="35" t="s">
        <v>30</v>
      </c>
      <c r="B865" s="35" t="s">
        <v>41</v>
      </c>
      <c r="C865" s="35" t="s">
        <v>44</v>
      </c>
      <c r="D865" s="35" t="s">
        <v>48</v>
      </c>
      <c r="E865" s="35" t="s">
        <v>25</v>
      </c>
      <c r="F865" s="35" t="s">
        <v>25</v>
      </c>
      <c r="G865" s="35" t="s">
        <v>25</v>
      </c>
      <c r="H865" s="35" t="s">
        <v>36</v>
      </c>
      <c r="I865" s="45">
        <v>44593</v>
      </c>
      <c r="J865" s="46">
        <f>EFEITO!$J$865*EFEITO!$Y$865</f>
        <v>0</v>
      </c>
      <c r="K865" s="46">
        <f ca="1">EFEITO!$L$865*EFEITO!$Z$865</f>
        <v>28841.774610370161</v>
      </c>
      <c r="L865" s="46">
        <f>EFEITO!$N$865*EFEITO!$AA$865</f>
        <v>7066.4807274188888</v>
      </c>
      <c r="M865" s="46">
        <f>$J$865-EFEITO!$K$865*EFEITO!$Y$865</f>
        <v>0</v>
      </c>
      <c r="N865" s="46">
        <f ca="1">$K$865-EFEITO!$M$865*EFEITO!$Z$865</f>
        <v>0</v>
      </c>
      <c r="O865" s="46">
        <f>$L$865-EFEITO!$O$865*EFEITO!$AA$865</f>
        <v>0</v>
      </c>
      <c r="P865" s="38"/>
      <c r="Q865" s="38"/>
      <c r="R865" s="38"/>
      <c r="S865" s="38"/>
      <c r="T865" s="38"/>
      <c r="U865" s="38"/>
      <c r="V865" s="38"/>
      <c r="W865" s="38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</row>
    <row r="866" spans="1:36" ht="11.25" customHeight="1" x14ac:dyDescent="0.2">
      <c r="A866" s="35" t="s">
        <v>21</v>
      </c>
      <c r="B866" s="35" t="s">
        <v>41</v>
      </c>
      <c r="C866" s="35" t="s">
        <v>44</v>
      </c>
      <c r="D866" s="35" t="s">
        <v>48</v>
      </c>
      <c r="E866" s="35" t="s">
        <v>25</v>
      </c>
      <c r="F866" s="35" t="s">
        <v>25</v>
      </c>
      <c r="G866" s="35" t="s">
        <v>25</v>
      </c>
      <c r="H866" s="35" t="s">
        <v>36</v>
      </c>
      <c r="I866" s="45">
        <v>44621</v>
      </c>
      <c r="J866" s="46">
        <f>EFEITO!$J$866*EFEITO!$Y$866</f>
        <v>0</v>
      </c>
      <c r="K866" s="46">
        <f ca="1">EFEITO!$L$866*EFEITO!$Z$866</f>
        <v>339396.31539090106</v>
      </c>
      <c r="L866" s="46">
        <f>EFEITO!$N$866*EFEITO!$AA$866</f>
        <v>83154.99146867526</v>
      </c>
      <c r="M866" s="46">
        <f>$J$866-EFEITO!$K$866*EFEITO!$Y$866</f>
        <v>0</v>
      </c>
      <c r="N866" s="46">
        <f ca="1">$K$866-EFEITO!$M$866*EFEITO!$Z$866</f>
        <v>0</v>
      </c>
      <c r="O866" s="46">
        <f>$L$866-EFEITO!$O$866*EFEITO!$AA$866</f>
        <v>0</v>
      </c>
      <c r="P866" s="38"/>
      <c r="Q866" s="38"/>
      <c r="R866" s="38"/>
      <c r="S866" s="38"/>
      <c r="T866" s="38"/>
      <c r="U866" s="38"/>
      <c r="V866" s="38"/>
      <c r="W866" s="38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</row>
    <row r="867" spans="1:36" ht="11.25" customHeight="1" x14ac:dyDescent="0.2">
      <c r="A867" s="35" t="s">
        <v>28</v>
      </c>
      <c r="B867" s="35" t="s">
        <v>41</v>
      </c>
      <c r="C867" s="35" t="s">
        <v>44</v>
      </c>
      <c r="D867" s="35" t="s">
        <v>48</v>
      </c>
      <c r="E867" s="35" t="s">
        <v>25</v>
      </c>
      <c r="F867" s="35" t="s">
        <v>25</v>
      </c>
      <c r="G867" s="35" t="s">
        <v>25</v>
      </c>
      <c r="H867" s="35" t="s">
        <v>36</v>
      </c>
      <c r="I867" s="45">
        <v>44621</v>
      </c>
      <c r="J867" s="46">
        <f>EFEITO!$J$867*EFEITO!$Y$867</f>
        <v>0</v>
      </c>
      <c r="K867" s="46">
        <f ca="1">EFEITO!$L$867*EFEITO!$Z$867</f>
        <v>82191.508986649642</v>
      </c>
      <c r="L867" s="46">
        <f>EFEITO!$N$867*EFEITO!$AA$867</f>
        <v>20137.620588810987</v>
      </c>
      <c r="M867" s="46">
        <f>$J$867-EFEITO!$K$867*EFEITO!$Y$867</f>
        <v>0</v>
      </c>
      <c r="N867" s="46">
        <f ca="1">$K$867-EFEITO!$M$867*EFEITO!$Z$867</f>
        <v>0</v>
      </c>
      <c r="O867" s="46">
        <f>$L$867-EFEITO!$O$867*EFEITO!$AA$867</f>
        <v>0</v>
      </c>
      <c r="P867" s="38"/>
      <c r="Q867" s="38"/>
      <c r="R867" s="38"/>
      <c r="S867" s="38"/>
      <c r="T867" s="38"/>
      <c r="U867" s="38"/>
      <c r="V867" s="38"/>
      <c r="W867" s="38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</row>
    <row r="868" spans="1:36" ht="11.25" customHeight="1" x14ac:dyDescent="0.2">
      <c r="A868" s="35" t="s">
        <v>30</v>
      </c>
      <c r="B868" s="35" t="s">
        <v>41</v>
      </c>
      <c r="C868" s="35" t="s">
        <v>44</v>
      </c>
      <c r="D868" s="35" t="s">
        <v>48</v>
      </c>
      <c r="E868" s="35" t="s">
        <v>25</v>
      </c>
      <c r="F868" s="35" t="s">
        <v>25</v>
      </c>
      <c r="G868" s="35" t="s">
        <v>25</v>
      </c>
      <c r="H868" s="35" t="s">
        <v>36</v>
      </c>
      <c r="I868" s="45">
        <v>44621</v>
      </c>
      <c r="J868" s="46">
        <f>EFEITO!$J$868*EFEITO!$Y$868</f>
        <v>0</v>
      </c>
      <c r="K868" s="46">
        <f ca="1">EFEITO!$L$868*EFEITO!$Z$868</f>
        <v>42990.318359755787</v>
      </c>
      <c r="L868" s="46">
        <f>EFEITO!$N$868*EFEITO!$AA$868</f>
        <v>10532.994597551147</v>
      </c>
      <c r="M868" s="46">
        <f>$J$868-EFEITO!$K$868*EFEITO!$Y$868</f>
        <v>0</v>
      </c>
      <c r="N868" s="46">
        <f ca="1">$K$868-EFEITO!$M$868*EFEITO!$Z$868</f>
        <v>0</v>
      </c>
      <c r="O868" s="46">
        <f>$L$868-EFEITO!$O$868*EFEITO!$AA$868</f>
        <v>0</v>
      </c>
      <c r="P868" s="38"/>
      <c r="Q868" s="38"/>
      <c r="R868" s="38"/>
      <c r="S868" s="38"/>
      <c r="T868" s="38"/>
      <c r="U868" s="38"/>
      <c r="V868" s="38"/>
      <c r="W868" s="38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</row>
    <row r="869" spans="1:36" ht="11.25" customHeight="1" x14ac:dyDescent="0.2">
      <c r="A869" s="35" t="s">
        <v>21</v>
      </c>
      <c r="B869" s="35" t="s">
        <v>41</v>
      </c>
      <c r="C869" s="35" t="s">
        <v>44</v>
      </c>
      <c r="D869" s="35" t="s">
        <v>48</v>
      </c>
      <c r="E869" s="35" t="s">
        <v>25</v>
      </c>
      <c r="F869" s="35" t="s">
        <v>25</v>
      </c>
      <c r="G869" s="35" t="s">
        <v>25</v>
      </c>
      <c r="H869" s="35" t="s">
        <v>36</v>
      </c>
      <c r="I869" s="45">
        <v>44652</v>
      </c>
      <c r="J869" s="46">
        <f>EFEITO!$J$869*EFEITO!$Y$869</f>
        <v>0</v>
      </c>
      <c r="K869" s="46">
        <f ca="1">EFEITO!$L$869*EFEITO!$Z$869</f>
        <v>320743.74207467993</v>
      </c>
      <c r="L869" s="46">
        <f>EFEITO!$N$869*EFEITO!$AA$869</f>
        <v>78584.951946611574</v>
      </c>
      <c r="M869" s="46">
        <f>$J$869-EFEITO!$K$869*EFEITO!$Y$869</f>
        <v>0</v>
      </c>
      <c r="N869" s="46">
        <f ca="1">$K$869-EFEITO!$M$869*EFEITO!$Z$869</f>
        <v>0</v>
      </c>
      <c r="O869" s="46">
        <f>$L$869-EFEITO!$O$869*EFEITO!$AA$869</f>
        <v>0</v>
      </c>
      <c r="P869" s="38"/>
      <c r="Q869" s="38"/>
      <c r="R869" s="38"/>
      <c r="S869" s="38"/>
      <c r="T869" s="38"/>
      <c r="U869" s="38"/>
      <c r="V869" s="38"/>
      <c r="W869" s="38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</row>
    <row r="870" spans="1:36" ht="11.25" customHeight="1" x14ac:dyDescent="0.2">
      <c r="A870" s="35" t="s">
        <v>28</v>
      </c>
      <c r="B870" s="35" t="s">
        <v>41</v>
      </c>
      <c r="C870" s="35" t="s">
        <v>44</v>
      </c>
      <c r="D870" s="35" t="s">
        <v>48</v>
      </c>
      <c r="E870" s="35" t="s">
        <v>25</v>
      </c>
      <c r="F870" s="35" t="s">
        <v>25</v>
      </c>
      <c r="G870" s="35" t="s">
        <v>25</v>
      </c>
      <c r="H870" s="35" t="s">
        <v>36</v>
      </c>
      <c r="I870" s="45">
        <v>44652</v>
      </c>
      <c r="J870" s="46">
        <f>EFEITO!$J$870*EFEITO!$Y$870</f>
        <v>0</v>
      </c>
      <c r="K870" s="46">
        <f ca="1">EFEITO!$L$870*EFEITO!$Z$870</f>
        <v>90199.001578361771</v>
      </c>
      <c r="L870" s="46">
        <f>EFEITO!$N$870*EFEITO!$AA$870</f>
        <v>22099.524557575034</v>
      </c>
      <c r="M870" s="46">
        <f>$J$870-EFEITO!$K$870*EFEITO!$Y$870</f>
        <v>0</v>
      </c>
      <c r="N870" s="46">
        <f ca="1">$K$870-EFEITO!$M$870*EFEITO!$Z$870</f>
        <v>0</v>
      </c>
      <c r="O870" s="46">
        <f>$L$870-EFEITO!$O$870*EFEITO!$AA$870</f>
        <v>0</v>
      </c>
      <c r="P870" s="38"/>
      <c r="Q870" s="38"/>
      <c r="R870" s="38"/>
      <c r="S870" s="38"/>
      <c r="T870" s="38"/>
      <c r="U870" s="38"/>
      <c r="V870" s="38"/>
      <c r="W870" s="38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</row>
    <row r="871" spans="1:36" ht="11.25" customHeight="1" x14ac:dyDescent="0.2">
      <c r="A871" s="35" t="s">
        <v>30</v>
      </c>
      <c r="B871" s="35" t="s">
        <v>41</v>
      </c>
      <c r="C871" s="35" t="s">
        <v>44</v>
      </c>
      <c r="D871" s="35" t="s">
        <v>48</v>
      </c>
      <c r="E871" s="35" t="s">
        <v>25</v>
      </c>
      <c r="F871" s="35" t="s">
        <v>25</v>
      </c>
      <c r="G871" s="35" t="s">
        <v>25</v>
      </c>
      <c r="H871" s="35" t="s">
        <v>36</v>
      </c>
      <c r="I871" s="45">
        <v>44652</v>
      </c>
      <c r="J871" s="46">
        <f>EFEITO!$J$871*EFEITO!$Y$871</f>
        <v>0</v>
      </c>
      <c r="K871" s="46">
        <f ca="1">EFEITO!$L$871*EFEITO!$Z$871</f>
        <v>51848.884563341206</v>
      </c>
      <c r="L871" s="46">
        <f>EFEITO!$N$871*EFEITO!$AA$871</f>
        <v>12703.418858743902</v>
      </c>
      <c r="M871" s="46">
        <f>$J$871-EFEITO!$K$871*EFEITO!$Y$871</f>
        <v>0</v>
      </c>
      <c r="N871" s="46">
        <f ca="1">$K$871-EFEITO!$M$871*EFEITO!$Z$871</f>
        <v>0</v>
      </c>
      <c r="O871" s="46">
        <f>$L$871-EFEITO!$O$871*EFEITO!$AA$871</f>
        <v>0</v>
      </c>
      <c r="P871" s="38"/>
      <c r="Q871" s="38"/>
      <c r="R871" s="38"/>
      <c r="S871" s="38"/>
      <c r="T871" s="38"/>
      <c r="U871" s="38"/>
      <c r="V871" s="38"/>
      <c r="W871" s="38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</row>
    <row r="872" spans="1:36" ht="11.25" customHeight="1" x14ac:dyDescent="0.2">
      <c r="A872" s="35" t="s">
        <v>21</v>
      </c>
      <c r="B872" s="35" t="s">
        <v>41</v>
      </c>
      <c r="C872" s="35" t="s">
        <v>44</v>
      </c>
      <c r="D872" s="35" t="s">
        <v>48</v>
      </c>
      <c r="E872" s="35" t="s">
        <v>25</v>
      </c>
      <c r="F872" s="35" t="s">
        <v>25</v>
      </c>
      <c r="G872" s="35" t="s">
        <v>25</v>
      </c>
      <c r="H872" s="35" t="s">
        <v>36</v>
      </c>
      <c r="I872" s="45">
        <v>44682</v>
      </c>
      <c r="J872" s="46">
        <f>EFEITO!$J$872*EFEITO!$Y$872</f>
        <v>0</v>
      </c>
      <c r="K872" s="46">
        <f ca="1">EFEITO!$L$872*EFEITO!$Z$872</f>
        <v>345704.6210149079</v>
      </c>
      <c r="L872" s="46">
        <f>EFEITO!$N$872*EFEITO!$AA$872</f>
        <v>84700.580140555539</v>
      </c>
      <c r="M872" s="46">
        <f>$J$872-EFEITO!$K$872*EFEITO!$Y$872</f>
        <v>0</v>
      </c>
      <c r="N872" s="46">
        <f ca="1">$K$872-EFEITO!$M$872*EFEITO!$Z$872</f>
        <v>0</v>
      </c>
      <c r="O872" s="46">
        <f>$L$872-EFEITO!$O$872*EFEITO!$AA$872</f>
        <v>0</v>
      </c>
      <c r="P872" s="38"/>
      <c r="Q872" s="38"/>
      <c r="R872" s="38"/>
      <c r="S872" s="38"/>
      <c r="T872" s="38"/>
      <c r="U872" s="38"/>
      <c r="V872" s="38"/>
      <c r="W872" s="38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</row>
    <row r="873" spans="1:36" ht="11.25" customHeight="1" x14ac:dyDescent="0.2">
      <c r="A873" s="35" t="s">
        <v>28</v>
      </c>
      <c r="B873" s="35" t="s">
        <v>41</v>
      </c>
      <c r="C873" s="35" t="s">
        <v>44</v>
      </c>
      <c r="D873" s="35" t="s">
        <v>48</v>
      </c>
      <c r="E873" s="35" t="s">
        <v>25</v>
      </c>
      <c r="F873" s="35" t="s">
        <v>25</v>
      </c>
      <c r="G873" s="35" t="s">
        <v>25</v>
      </c>
      <c r="H873" s="35" t="s">
        <v>36</v>
      </c>
      <c r="I873" s="45">
        <v>44682</v>
      </c>
      <c r="J873" s="46">
        <f>EFEITO!$J$873*EFEITO!$Y$873</f>
        <v>0</v>
      </c>
      <c r="K873" s="46">
        <f ca="1">EFEITO!$L$873*EFEITO!$Z$873</f>
        <v>91834.543041179131</v>
      </c>
      <c r="L873" s="46">
        <f>EFEITO!$N$873*EFEITO!$AA$873</f>
        <v>22500.246163024993</v>
      </c>
      <c r="M873" s="46">
        <f>$J$873-EFEITO!$K$873*EFEITO!$Y$873</f>
        <v>0</v>
      </c>
      <c r="N873" s="46">
        <f ca="1">$K$873-EFEITO!$M$873*EFEITO!$Z$873</f>
        <v>0</v>
      </c>
      <c r="O873" s="46">
        <f>$L$873-EFEITO!$O$873*EFEITO!$AA$873</f>
        <v>0</v>
      </c>
      <c r="P873" s="38"/>
      <c r="Q873" s="38"/>
      <c r="R873" s="38"/>
      <c r="S873" s="38"/>
      <c r="T873" s="38"/>
      <c r="U873" s="38"/>
      <c r="V873" s="38"/>
      <c r="W873" s="38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</row>
    <row r="874" spans="1:36" ht="11.25" customHeight="1" x14ac:dyDescent="0.2">
      <c r="A874" s="35" t="s">
        <v>30</v>
      </c>
      <c r="B874" s="35" t="s">
        <v>41</v>
      </c>
      <c r="C874" s="35" t="s">
        <v>44</v>
      </c>
      <c r="D874" s="35" t="s">
        <v>48</v>
      </c>
      <c r="E874" s="35" t="s">
        <v>25</v>
      </c>
      <c r="F874" s="35" t="s">
        <v>25</v>
      </c>
      <c r="G874" s="35" t="s">
        <v>25</v>
      </c>
      <c r="H874" s="35" t="s">
        <v>36</v>
      </c>
      <c r="I874" s="45">
        <v>44682</v>
      </c>
      <c r="J874" s="46">
        <f>EFEITO!$J$874*EFEITO!$Y$874</f>
        <v>0</v>
      </c>
      <c r="K874" s="46">
        <f ca="1">EFEITO!$L$874*EFEITO!$Z$874</f>
        <v>55507.761030386013</v>
      </c>
      <c r="L874" s="46">
        <f>EFEITO!$N$874*EFEITO!$AA$874</f>
        <v>13599.874794193944</v>
      </c>
      <c r="M874" s="46">
        <f>$J$874-EFEITO!$K$874*EFEITO!$Y$874</f>
        <v>0</v>
      </c>
      <c r="N874" s="46">
        <f ca="1">$K$874-EFEITO!$M$874*EFEITO!$Z$874</f>
        <v>0</v>
      </c>
      <c r="O874" s="46">
        <f>$L$874-EFEITO!$O$874*EFEITO!$AA$874</f>
        <v>0</v>
      </c>
      <c r="P874" s="38"/>
      <c r="Q874" s="38"/>
      <c r="R874" s="38"/>
      <c r="S874" s="38"/>
      <c r="T874" s="38"/>
      <c r="U874" s="38"/>
      <c r="V874" s="38"/>
      <c r="W874" s="38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</row>
    <row r="875" spans="1:36" ht="11.25" customHeight="1" x14ac:dyDescent="0.2">
      <c r="A875" s="35" t="s">
        <v>21</v>
      </c>
      <c r="B875" s="35" t="s">
        <v>41</v>
      </c>
      <c r="C875" s="35" t="s">
        <v>44</v>
      </c>
      <c r="D875" s="35" t="s">
        <v>48</v>
      </c>
      <c r="E875" s="35" t="s">
        <v>25</v>
      </c>
      <c r="F875" s="35" t="s">
        <v>25</v>
      </c>
      <c r="G875" s="35" t="s">
        <v>25</v>
      </c>
      <c r="H875" s="35" t="s">
        <v>36</v>
      </c>
      <c r="I875" s="45">
        <v>44713</v>
      </c>
      <c r="J875" s="46">
        <f>EFEITO!$J$875*EFEITO!$Y$875</f>
        <v>0</v>
      </c>
      <c r="K875" s="46">
        <f ca="1">EFEITO!$L$875*EFEITO!$Z$875</f>
        <v>360813.76784969488</v>
      </c>
      <c r="L875" s="46">
        <f>EFEITO!$N$875*EFEITO!$AA$875</f>
        <v>88402.449958142126</v>
      </c>
      <c r="M875" s="46">
        <f>$J$875-EFEITO!$K$875*EFEITO!$Y$875</f>
        <v>0</v>
      </c>
      <c r="N875" s="46">
        <f ca="1">$K$875-EFEITO!$M$875*EFEITO!$Z$875</f>
        <v>0</v>
      </c>
      <c r="O875" s="46">
        <f>$L$875-EFEITO!$O$875*EFEITO!$AA$875</f>
        <v>0</v>
      </c>
      <c r="P875" s="38"/>
      <c r="Q875" s="38"/>
      <c r="R875" s="38"/>
      <c r="S875" s="38"/>
      <c r="T875" s="38"/>
      <c r="U875" s="38"/>
      <c r="V875" s="38"/>
      <c r="W875" s="38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</row>
    <row r="876" spans="1:36" ht="11.25" customHeight="1" x14ac:dyDescent="0.2">
      <c r="A876" s="35" t="s">
        <v>28</v>
      </c>
      <c r="B876" s="35" t="s">
        <v>41</v>
      </c>
      <c r="C876" s="35" t="s">
        <v>44</v>
      </c>
      <c r="D876" s="35" t="s">
        <v>48</v>
      </c>
      <c r="E876" s="35" t="s">
        <v>25</v>
      </c>
      <c r="F876" s="35" t="s">
        <v>25</v>
      </c>
      <c r="G876" s="35" t="s">
        <v>25</v>
      </c>
      <c r="H876" s="35" t="s">
        <v>36</v>
      </c>
      <c r="I876" s="45">
        <v>44713</v>
      </c>
      <c r="J876" s="46">
        <f>EFEITO!$J$876*EFEITO!$Y$876</f>
        <v>0</v>
      </c>
      <c r="K876" s="46">
        <f ca="1">EFEITO!$L$876*EFEITO!$Z$876</f>
        <v>94556.498471152998</v>
      </c>
      <c r="L876" s="46">
        <f>EFEITO!$N$876*EFEITO!$AA$876</f>
        <v>23167.148454810034</v>
      </c>
      <c r="M876" s="46">
        <f>$J$876-EFEITO!$K$876*EFEITO!$Y$876</f>
        <v>0</v>
      </c>
      <c r="N876" s="46">
        <f ca="1">$K$876-EFEITO!$M$876*EFEITO!$Z$876</f>
        <v>0</v>
      </c>
      <c r="O876" s="46">
        <f>$L$876-EFEITO!$O$876*EFEITO!$AA$876</f>
        <v>0</v>
      </c>
      <c r="P876" s="38"/>
      <c r="Q876" s="38"/>
      <c r="R876" s="38"/>
      <c r="S876" s="38"/>
      <c r="T876" s="38"/>
      <c r="U876" s="38"/>
      <c r="V876" s="38"/>
      <c r="W876" s="38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</row>
    <row r="877" spans="1:36" ht="11.25" customHeight="1" x14ac:dyDescent="0.2">
      <c r="A877" s="35" t="s">
        <v>30</v>
      </c>
      <c r="B877" s="35" t="s">
        <v>41</v>
      </c>
      <c r="C877" s="35" t="s">
        <v>44</v>
      </c>
      <c r="D877" s="35" t="s">
        <v>48</v>
      </c>
      <c r="E877" s="35" t="s">
        <v>25</v>
      </c>
      <c r="F877" s="35" t="s">
        <v>25</v>
      </c>
      <c r="G877" s="35" t="s">
        <v>25</v>
      </c>
      <c r="H877" s="35" t="s">
        <v>36</v>
      </c>
      <c r="I877" s="45">
        <v>44713</v>
      </c>
      <c r="J877" s="46">
        <f>EFEITO!$J$877*EFEITO!$Y$877</f>
        <v>0</v>
      </c>
      <c r="K877" s="46">
        <f ca="1">EFEITO!$L$877*EFEITO!$Z$877</f>
        <v>45639.747516717842</v>
      </c>
      <c r="L877" s="46">
        <f>EFEITO!$N$877*EFEITO!$AA$877</f>
        <v>11182.127333981394</v>
      </c>
      <c r="M877" s="46">
        <f>$J$877-EFEITO!$K$877*EFEITO!$Y$877</f>
        <v>0</v>
      </c>
      <c r="N877" s="46">
        <f ca="1">$K$877-EFEITO!$M$877*EFEITO!$Z$877</f>
        <v>0</v>
      </c>
      <c r="O877" s="46">
        <f>$L$877-EFEITO!$O$877*EFEITO!$AA$877</f>
        <v>0</v>
      </c>
      <c r="P877" s="38"/>
      <c r="Q877" s="38"/>
      <c r="R877" s="38"/>
      <c r="S877" s="38"/>
      <c r="T877" s="38"/>
      <c r="U877" s="38"/>
      <c r="V877" s="38"/>
      <c r="W877" s="38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</row>
    <row r="878" spans="1:36" ht="11.25" customHeight="1" x14ac:dyDescent="0.2">
      <c r="A878" s="35" t="s">
        <v>21</v>
      </c>
      <c r="B878" s="35" t="s">
        <v>41</v>
      </c>
      <c r="C878" s="35" t="s">
        <v>44</v>
      </c>
      <c r="D878" s="35" t="s">
        <v>48</v>
      </c>
      <c r="E878" s="35" t="s">
        <v>25</v>
      </c>
      <c r="F878" s="35" t="s">
        <v>25</v>
      </c>
      <c r="G878" s="35" t="s">
        <v>25</v>
      </c>
      <c r="H878" s="35" t="s">
        <v>36</v>
      </c>
      <c r="I878" s="45">
        <v>44743</v>
      </c>
      <c r="J878" s="46">
        <f>EFEITO!$J$878*EFEITO!$Y$878</f>
        <v>0</v>
      </c>
      <c r="K878" s="46">
        <f ca="1">EFEITO!$L$878*EFEITO!$Z$878</f>
        <v>392441.1433949268</v>
      </c>
      <c r="L878" s="46">
        <f>EFEITO!$N$878*EFEITO!$AA$878</f>
        <v>96151.426668779852</v>
      </c>
      <c r="M878" s="46">
        <f>$J$878-EFEITO!$K$878*EFEITO!$Y$878</f>
        <v>0</v>
      </c>
      <c r="N878" s="46">
        <f ca="1">$K$878-EFEITO!$M$878*EFEITO!$Z$878</f>
        <v>0</v>
      </c>
      <c r="O878" s="46">
        <f>$L$878-EFEITO!$O$878*EFEITO!$AA$878</f>
        <v>0</v>
      </c>
      <c r="P878" s="38"/>
      <c r="Q878" s="38"/>
      <c r="R878" s="38"/>
      <c r="S878" s="38"/>
      <c r="T878" s="38"/>
      <c r="U878" s="38"/>
      <c r="V878" s="38"/>
      <c r="W878" s="38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</row>
    <row r="879" spans="1:36" ht="11.25" customHeight="1" x14ac:dyDescent="0.2">
      <c r="A879" s="35" t="s">
        <v>28</v>
      </c>
      <c r="B879" s="35" t="s">
        <v>41</v>
      </c>
      <c r="C879" s="35" t="s">
        <v>44</v>
      </c>
      <c r="D879" s="35" t="s">
        <v>48</v>
      </c>
      <c r="E879" s="35" t="s">
        <v>25</v>
      </c>
      <c r="F879" s="35" t="s">
        <v>25</v>
      </c>
      <c r="G879" s="35" t="s">
        <v>25</v>
      </c>
      <c r="H879" s="35" t="s">
        <v>36</v>
      </c>
      <c r="I879" s="45">
        <v>44743</v>
      </c>
      <c r="J879" s="46">
        <f>EFEITO!$J$879*EFEITO!$Y$879</f>
        <v>0</v>
      </c>
      <c r="K879" s="46">
        <f ca="1">EFEITO!$L$879*EFEITO!$Z$879</f>
        <v>99711.784367074142</v>
      </c>
      <c r="L879" s="46">
        <f>EFEITO!$N$879*EFEITO!$AA$879</f>
        <v>24430.237460947774</v>
      </c>
      <c r="M879" s="46">
        <f>$J$879-EFEITO!$K$879*EFEITO!$Y$879</f>
        <v>0</v>
      </c>
      <c r="N879" s="46">
        <f ca="1">$K$879-EFEITO!$M$879*EFEITO!$Z$879</f>
        <v>0</v>
      </c>
      <c r="O879" s="46">
        <f>$L$879-EFEITO!$O$879*EFEITO!$AA$879</f>
        <v>0</v>
      </c>
      <c r="P879" s="38"/>
      <c r="Q879" s="38"/>
      <c r="R879" s="38"/>
      <c r="S879" s="38"/>
      <c r="T879" s="38"/>
      <c r="U879" s="38"/>
      <c r="V879" s="38"/>
      <c r="W879" s="38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</row>
    <row r="880" spans="1:36" ht="11.25" customHeight="1" x14ac:dyDescent="0.2">
      <c r="A880" s="35" t="s">
        <v>30</v>
      </c>
      <c r="B880" s="35" t="s">
        <v>41</v>
      </c>
      <c r="C880" s="35" t="s">
        <v>44</v>
      </c>
      <c r="D880" s="35" t="s">
        <v>48</v>
      </c>
      <c r="E880" s="35" t="s">
        <v>25</v>
      </c>
      <c r="F880" s="35" t="s">
        <v>25</v>
      </c>
      <c r="G880" s="35" t="s">
        <v>25</v>
      </c>
      <c r="H880" s="35" t="s">
        <v>36</v>
      </c>
      <c r="I880" s="45">
        <v>44743</v>
      </c>
      <c r="J880" s="46">
        <f>EFEITO!$J$880*EFEITO!$Y$880</f>
        <v>0</v>
      </c>
      <c r="K880" s="46">
        <f ca="1">EFEITO!$L$880*EFEITO!$Z$880</f>
        <v>73665.971587710301</v>
      </c>
      <c r="L880" s="46">
        <f>EFEITO!$N$880*EFEITO!$AA$880</f>
        <v>18048.791224655553</v>
      </c>
      <c r="M880" s="46">
        <f>$J$880-EFEITO!$K$880*EFEITO!$Y$880</f>
        <v>0</v>
      </c>
      <c r="N880" s="46">
        <f ca="1">$K$880-EFEITO!$M$880*EFEITO!$Z$880</f>
        <v>0</v>
      </c>
      <c r="O880" s="46">
        <f>$L$880-EFEITO!$O$880*EFEITO!$AA$880</f>
        <v>0</v>
      </c>
      <c r="P880" s="38"/>
      <c r="Q880" s="38"/>
      <c r="R880" s="38"/>
      <c r="S880" s="38"/>
      <c r="T880" s="38"/>
      <c r="U880" s="38"/>
      <c r="V880" s="38"/>
      <c r="W880" s="38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</row>
    <row r="881" spans="1:36" ht="11.25" customHeight="1" x14ac:dyDescent="0.2">
      <c r="A881" s="35" t="s">
        <v>21</v>
      </c>
      <c r="B881" s="35" t="s">
        <v>41</v>
      </c>
      <c r="C881" s="35" t="s">
        <v>44</v>
      </c>
      <c r="D881" s="35" t="s">
        <v>48</v>
      </c>
      <c r="E881" s="35" t="s">
        <v>25</v>
      </c>
      <c r="F881" s="35" t="s">
        <v>25</v>
      </c>
      <c r="G881" s="35" t="s">
        <v>25</v>
      </c>
      <c r="H881" s="35" t="s">
        <v>36</v>
      </c>
      <c r="I881" s="45">
        <v>44774</v>
      </c>
      <c r="J881" s="46">
        <f>EFEITO!$J$881*EFEITO!$Y$881</f>
        <v>0</v>
      </c>
      <c r="K881" s="46">
        <f ca="1">EFEITO!$L$881*EFEITO!$Z$881</f>
        <v>436790.21927763859</v>
      </c>
      <c r="L881" s="46">
        <f>EFEITO!$N$881*EFEITO!$AA$881</f>
        <v>107017.32844624328</v>
      </c>
      <c r="M881" s="46">
        <f>$J$881-EFEITO!$K$881*EFEITO!$Y$881</f>
        <v>0</v>
      </c>
      <c r="N881" s="46">
        <f ca="1">$K$881-EFEITO!$M$881*EFEITO!$Z$881</f>
        <v>0</v>
      </c>
      <c r="O881" s="46">
        <f>$L$881-EFEITO!$O$881*EFEITO!$AA$881</f>
        <v>0</v>
      </c>
      <c r="P881" s="38"/>
      <c r="Q881" s="38"/>
      <c r="R881" s="38"/>
      <c r="S881" s="38"/>
      <c r="T881" s="38"/>
      <c r="U881" s="38"/>
      <c r="V881" s="38"/>
      <c r="W881" s="38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</row>
    <row r="882" spans="1:36" ht="11.25" customHeight="1" x14ac:dyDescent="0.2">
      <c r="A882" s="35" t="s">
        <v>28</v>
      </c>
      <c r="B882" s="35" t="s">
        <v>41</v>
      </c>
      <c r="C882" s="35" t="s">
        <v>44</v>
      </c>
      <c r="D882" s="35" t="s">
        <v>48</v>
      </c>
      <c r="E882" s="35" t="s">
        <v>25</v>
      </c>
      <c r="F882" s="35" t="s">
        <v>25</v>
      </c>
      <c r="G882" s="35" t="s">
        <v>25</v>
      </c>
      <c r="H882" s="35" t="s">
        <v>36</v>
      </c>
      <c r="I882" s="45">
        <v>44774</v>
      </c>
      <c r="J882" s="46">
        <f>EFEITO!$J$882*EFEITO!$Y$882</f>
        <v>0</v>
      </c>
      <c r="K882" s="46">
        <f ca="1">EFEITO!$L$882*EFEITO!$Z$882</f>
        <v>110476.7554612557</v>
      </c>
      <c r="L882" s="46">
        <f>EFEITO!$N$882*EFEITO!$AA$882</f>
        <v>27067.747177180841</v>
      </c>
      <c r="M882" s="46">
        <f>$J$882-EFEITO!$K$882*EFEITO!$Y$882</f>
        <v>0</v>
      </c>
      <c r="N882" s="46">
        <f ca="1">$K$882-EFEITO!$M$882*EFEITO!$Z$882</f>
        <v>0</v>
      </c>
      <c r="O882" s="46">
        <f>$L$882-EFEITO!$O$882*EFEITO!$AA$882</f>
        <v>0</v>
      </c>
      <c r="P882" s="38"/>
      <c r="Q882" s="38"/>
      <c r="R882" s="38"/>
      <c r="S882" s="38"/>
      <c r="T882" s="38"/>
      <c r="U882" s="38"/>
      <c r="V882" s="38"/>
      <c r="W882" s="38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</row>
    <row r="883" spans="1:36" ht="11.25" customHeight="1" x14ac:dyDescent="0.2">
      <c r="A883" s="35" t="s">
        <v>29</v>
      </c>
      <c r="B883" s="35" t="s">
        <v>41</v>
      </c>
      <c r="C883" s="35" t="s">
        <v>44</v>
      </c>
      <c r="D883" s="35" t="s">
        <v>48</v>
      </c>
      <c r="E883" s="35" t="s">
        <v>25</v>
      </c>
      <c r="F883" s="35" t="s">
        <v>25</v>
      </c>
      <c r="G883" s="35" t="s">
        <v>25</v>
      </c>
      <c r="H883" s="35" t="s">
        <v>36</v>
      </c>
      <c r="I883" s="45">
        <v>44774</v>
      </c>
      <c r="J883" s="46">
        <f>EFEITO!$J$883*EFEITO!$Y$883</f>
        <v>0</v>
      </c>
      <c r="K883" s="46">
        <f ca="1">EFEITO!$L$883*EFEITO!$Z$883</f>
        <v>222.01920309737883</v>
      </c>
      <c r="L883" s="46">
        <f>EFEITO!$N$883*EFEITO!$AA$883</f>
        <v>54.396598024881108</v>
      </c>
      <c r="M883" s="46">
        <f>$J$883-EFEITO!$K$883*EFEITO!$Y$883</f>
        <v>0</v>
      </c>
      <c r="N883" s="46">
        <f ca="1">$K$883-EFEITO!$M$883*EFEITO!$Z$883</f>
        <v>0</v>
      </c>
      <c r="O883" s="46">
        <f>$L$883-EFEITO!$O$883*EFEITO!$AA$883</f>
        <v>0</v>
      </c>
      <c r="P883" s="38"/>
      <c r="Q883" s="38"/>
      <c r="R883" s="38"/>
      <c r="S883" s="38"/>
      <c r="T883" s="38"/>
      <c r="U883" s="38"/>
      <c r="V883" s="38"/>
      <c r="W883" s="38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</row>
    <row r="884" spans="1:36" ht="11.25" customHeight="1" x14ac:dyDescent="0.2">
      <c r="A884" s="35" t="s">
        <v>30</v>
      </c>
      <c r="B884" s="35" t="s">
        <v>41</v>
      </c>
      <c r="C884" s="35" t="s">
        <v>44</v>
      </c>
      <c r="D884" s="35" t="s">
        <v>48</v>
      </c>
      <c r="E884" s="35" t="s">
        <v>25</v>
      </c>
      <c r="F884" s="35" t="s">
        <v>25</v>
      </c>
      <c r="G884" s="35" t="s">
        <v>25</v>
      </c>
      <c r="H884" s="35" t="s">
        <v>36</v>
      </c>
      <c r="I884" s="45">
        <v>44774</v>
      </c>
      <c r="J884" s="46">
        <f>EFEITO!$J$884*EFEITO!$Y$884</f>
        <v>0</v>
      </c>
      <c r="K884" s="46">
        <f ca="1">EFEITO!$L$884*EFEITO!$Z$884</f>
        <v>83686.438287505327</v>
      </c>
      <c r="L884" s="46">
        <f>EFEITO!$N$884*EFEITO!$AA$884</f>
        <v>20503.891015511854</v>
      </c>
      <c r="M884" s="46">
        <f>$J$884-EFEITO!$K$884*EFEITO!$Y$884</f>
        <v>0</v>
      </c>
      <c r="N884" s="46">
        <f ca="1">$K$884-EFEITO!$M$884*EFEITO!$Z$884</f>
        <v>0</v>
      </c>
      <c r="O884" s="46">
        <f>$L$884-EFEITO!$O$884*EFEITO!$AA$884</f>
        <v>0</v>
      </c>
      <c r="P884" s="38"/>
      <c r="Q884" s="38"/>
      <c r="R884" s="38"/>
      <c r="S884" s="38"/>
      <c r="T884" s="38"/>
      <c r="U884" s="38"/>
      <c r="V884" s="38"/>
      <c r="W884" s="38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</row>
    <row r="885" spans="1:36" ht="11.25" customHeight="1" x14ac:dyDescent="0.2">
      <c r="A885" s="35" t="s">
        <v>21</v>
      </c>
      <c r="B885" s="35" t="s">
        <v>41</v>
      </c>
      <c r="C885" s="35" t="s">
        <v>44</v>
      </c>
      <c r="D885" s="35" t="s">
        <v>48</v>
      </c>
      <c r="E885" s="35" t="s">
        <v>25</v>
      </c>
      <c r="F885" s="35" t="s">
        <v>25</v>
      </c>
      <c r="G885" s="35" t="s">
        <v>25</v>
      </c>
      <c r="H885" s="35" t="s">
        <v>36</v>
      </c>
      <c r="I885" s="45">
        <v>44805</v>
      </c>
      <c r="J885" s="46">
        <f>EFEITO!$J$885*EFEITO!$Y$885</f>
        <v>0</v>
      </c>
      <c r="K885" s="46">
        <f ca="1">EFEITO!$L$885*EFEITO!$Z$885</f>
        <v>409435.97332802089</v>
      </c>
      <c r="L885" s="46">
        <f>EFEITO!$N$885*EFEITO!$AA$885</f>
        <v>100315.30492559109</v>
      </c>
      <c r="M885" s="46">
        <f>$J$885-EFEITO!$K$885*EFEITO!$Y$885</f>
        <v>0</v>
      </c>
      <c r="N885" s="46">
        <f ca="1">$K$885-EFEITO!$M$885*EFEITO!$Z$885</f>
        <v>0</v>
      </c>
      <c r="O885" s="46">
        <f>$L$885-EFEITO!$O$885*EFEITO!$AA$885</f>
        <v>0</v>
      </c>
      <c r="P885" s="38"/>
      <c r="Q885" s="38"/>
      <c r="R885" s="38"/>
      <c r="S885" s="38"/>
      <c r="T885" s="38"/>
      <c r="U885" s="38"/>
      <c r="V885" s="38"/>
      <c r="W885" s="38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</row>
    <row r="886" spans="1:36" ht="11.25" customHeight="1" x14ac:dyDescent="0.2">
      <c r="A886" s="35" t="s">
        <v>28</v>
      </c>
      <c r="B886" s="35" t="s">
        <v>41</v>
      </c>
      <c r="C886" s="35" t="s">
        <v>44</v>
      </c>
      <c r="D886" s="35" t="s">
        <v>48</v>
      </c>
      <c r="E886" s="35" t="s">
        <v>25</v>
      </c>
      <c r="F886" s="35" t="s">
        <v>25</v>
      </c>
      <c r="G886" s="35" t="s">
        <v>25</v>
      </c>
      <c r="H886" s="35" t="s">
        <v>36</v>
      </c>
      <c r="I886" s="45">
        <v>44805</v>
      </c>
      <c r="J886" s="46">
        <f>EFEITO!$J$886*EFEITO!$Y$886</f>
        <v>0</v>
      </c>
      <c r="K886" s="46">
        <f ca="1">EFEITO!$L$886*EFEITO!$Z$886</f>
        <v>121161.79964232222</v>
      </c>
      <c r="L886" s="46">
        <f>EFEITO!$N$886*EFEITO!$AA$886</f>
        <v>29685.674118124953</v>
      </c>
      <c r="M886" s="46">
        <f>$J$886-EFEITO!$K$886*EFEITO!$Y$886</f>
        <v>0</v>
      </c>
      <c r="N886" s="46">
        <f ca="1">$K$886-EFEITO!$M$886*EFEITO!$Z$886</f>
        <v>0</v>
      </c>
      <c r="O886" s="46">
        <f>$L$886-EFEITO!$O$886*EFEITO!$AA$886</f>
        <v>0</v>
      </c>
      <c r="P886" s="38"/>
      <c r="Q886" s="38"/>
      <c r="R886" s="38"/>
      <c r="S886" s="38"/>
      <c r="T886" s="38"/>
      <c r="U886" s="38"/>
      <c r="V886" s="38"/>
      <c r="W886" s="38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</row>
    <row r="887" spans="1:36" ht="11.25" customHeight="1" x14ac:dyDescent="0.2">
      <c r="A887" s="35" t="s">
        <v>30</v>
      </c>
      <c r="B887" s="35" t="s">
        <v>41</v>
      </c>
      <c r="C887" s="35" t="s">
        <v>44</v>
      </c>
      <c r="D887" s="35" t="s">
        <v>48</v>
      </c>
      <c r="E887" s="35" t="s">
        <v>25</v>
      </c>
      <c r="F887" s="35" t="s">
        <v>25</v>
      </c>
      <c r="G887" s="35" t="s">
        <v>25</v>
      </c>
      <c r="H887" s="35" t="s">
        <v>36</v>
      </c>
      <c r="I887" s="45">
        <v>44805</v>
      </c>
      <c r="J887" s="46">
        <f>EFEITO!$J$887*EFEITO!$Y$887</f>
        <v>0</v>
      </c>
      <c r="K887" s="46">
        <f ca="1">EFEITO!$L$887*EFEITO!$Z$887</f>
        <v>83470.339596490536</v>
      </c>
      <c r="L887" s="46">
        <f>EFEITO!$N$887*EFEITO!$AA$887</f>
        <v>20450.944993434303</v>
      </c>
      <c r="M887" s="46">
        <f>$J$887-EFEITO!$K$887*EFEITO!$Y$887</f>
        <v>0</v>
      </c>
      <c r="N887" s="46">
        <f ca="1">$K$887-EFEITO!$M$887*EFEITO!$Z$887</f>
        <v>0</v>
      </c>
      <c r="O887" s="46">
        <f>$L$887-EFEITO!$O$887*EFEITO!$AA$887</f>
        <v>0</v>
      </c>
      <c r="P887" s="38"/>
      <c r="Q887" s="38"/>
      <c r="R887" s="38"/>
      <c r="S887" s="38"/>
      <c r="T887" s="38"/>
      <c r="U887" s="38"/>
      <c r="V887" s="38"/>
      <c r="W887" s="38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</row>
    <row r="888" spans="1:36" ht="11.25" customHeight="1" x14ac:dyDescent="0.2">
      <c r="A888" s="35" t="s">
        <v>21</v>
      </c>
      <c r="B888" s="35" t="s">
        <v>41</v>
      </c>
      <c r="C888" s="35" t="s">
        <v>44</v>
      </c>
      <c r="D888" s="35" t="s">
        <v>48</v>
      </c>
      <c r="E888" s="35" t="s">
        <v>25</v>
      </c>
      <c r="F888" s="35" t="s">
        <v>25</v>
      </c>
      <c r="G888" s="35" t="s">
        <v>25</v>
      </c>
      <c r="H888" s="35" t="s">
        <v>36</v>
      </c>
      <c r="I888" s="45">
        <v>44835</v>
      </c>
      <c r="J888" s="46">
        <f>EFEITO!$J$888*EFEITO!$Y$888</f>
        <v>0</v>
      </c>
      <c r="K888" s="46">
        <f ca="1">EFEITO!$L$888*EFEITO!$Z$888</f>
        <v>394221.73740376782</v>
      </c>
      <c r="L888" s="46">
        <f>EFEITO!$N$888*EFEITO!$AA$888</f>
        <v>96587.687384939403</v>
      </c>
      <c r="M888" s="46">
        <f>$J$888-EFEITO!$K$888*EFEITO!$Y$888</f>
        <v>0</v>
      </c>
      <c r="N888" s="46">
        <f ca="1">$K$888-EFEITO!$M$888*EFEITO!$Z$888</f>
        <v>0</v>
      </c>
      <c r="O888" s="46">
        <f>$L$888-EFEITO!$O$888*EFEITO!$AA$888</f>
        <v>0</v>
      </c>
      <c r="P888" s="38"/>
      <c r="Q888" s="38"/>
      <c r="R888" s="38"/>
      <c r="S888" s="38"/>
      <c r="T888" s="38"/>
      <c r="U888" s="38"/>
      <c r="V888" s="38"/>
      <c r="W888" s="38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</row>
    <row r="889" spans="1:36" ht="11.25" customHeight="1" x14ac:dyDescent="0.2">
      <c r="A889" s="35" t="s">
        <v>28</v>
      </c>
      <c r="B889" s="35" t="s">
        <v>41</v>
      </c>
      <c r="C889" s="35" t="s">
        <v>44</v>
      </c>
      <c r="D889" s="35" t="s">
        <v>48</v>
      </c>
      <c r="E889" s="35" t="s">
        <v>25</v>
      </c>
      <c r="F889" s="35" t="s">
        <v>25</v>
      </c>
      <c r="G889" s="35" t="s">
        <v>25</v>
      </c>
      <c r="H889" s="35" t="s">
        <v>36</v>
      </c>
      <c r="I889" s="45">
        <v>44835</v>
      </c>
      <c r="J889" s="46">
        <f>EFEITO!$J$889*EFEITO!$Y$889</f>
        <v>0</v>
      </c>
      <c r="K889" s="46">
        <f ca="1">EFEITO!$L$889*EFEITO!$Z$889</f>
        <v>116956.75593565787</v>
      </c>
      <c r="L889" s="46">
        <f>EFEITO!$N$889*EFEITO!$AA$889</f>
        <v>28655.402551533705</v>
      </c>
      <c r="M889" s="46">
        <f>$J$889-EFEITO!$K$889*EFEITO!$Y$889</f>
        <v>0</v>
      </c>
      <c r="N889" s="46">
        <f ca="1">$K$889-EFEITO!$M$889*EFEITO!$Z$889</f>
        <v>0</v>
      </c>
      <c r="O889" s="46">
        <f>$L$889-EFEITO!$O$889*EFEITO!$AA$889</f>
        <v>0</v>
      </c>
      <c r="P889" s="38"/>
      <c r="Q889" s="38"/>
      <c r="R889" s="38"/>
      <c r="S889" s="38"/>
      <c r="T889" s="38"/>
      <c r="U889" s="38"/>
      <c r="V889" s="38"/>
      <c r="W889" s="38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</row>
    <row r="890" spans="1:36" ht="11.25" customHeight="1" x14ac:dyDescent="0.2">
      <c r="A890" s="35" t="s">
        <v>30</v>
      </c>
      <c r="B890" s="35" t="s">
        <v>41</v>
      </c>
      <c r="C890" s="35" t="s">
        <v>44</v>
      </c>
      <c r="D890" s="35" t="s">
        <v>48</v>
      </c>
      <c r="E890" s="35" t="s">
        <v>25</v>
      </c>
      <c r="F890" s="35" t="s">
        <v>25</v>
      </c>
      <c r="G890" s="35" t="s">
        <v>25</v>
      </c>
      <c r="H890" s="35" t="s">
        <v>36</v>
      </c>
      <c r="I890" s="45">
        <v>44835</v>
      </c>
      <c r="J890" s="46">
        <f>EFEITO!$J$890*EFEITO!$Y$890</f>
        <v>0</v>
      </c>
      <c r="K890" s="46">
        <f ca="1">EFEITO!$L$890*EFEITO!$Z$890</f>
        <v>75584.217502471656</v>
      </c>
      <c r="L890" s="46">
        <f>EFEITO!$N$890*EFEITO!$AA$890</f>
        <v>18518.777831590527</v>
      </c>
      <c r="M890" s="46">
        <f>$J$890-EFEITO!$K$890*EFEITO!$Y$890</f>
        <v>0</v>
      </c>
      <c r="N890" s="46">
        <f ca="1">$K$890-EFEITO!$M$890*EFEITO!$Z$890</f>
        <v>0</v>
      </c>
      <c r="O890" s="46">
        <f>$L$890-EFEITO!$O$890*EFEITO!$AA$890</f>
        <v>0</v>
      </c>
      <c r="P890" s="38"/>
      <c r="Q890" s="38"/>
      <c r="R890" s="38"/>
      <c r="S890" s="38"/>
      <c r="T890" s="38"/>
      <c r="U890" s="38"/>
      <c r="V890" s="38"/>
      <c r="W890" s="38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</row>
    <row r="891" spans="1:36" ht="11.25" customHeight="1" x14ac:dyDescent="0.2">
      <c r="A891" s="35" t="s">
        <v>59</v>
      </c>
      <c r="B891" s="35" t="s">
        <v>41</v>
      </c>
      <c r="C891" s="35" t="s">
        <v>44</v>
      </c>
      <c r="D891" s="35" t="s">
        <v>48</v>
      </c>
      <c r="E891" s="35" t="s">
        <v>25</v>
      </c>
      <c r="F891" s="35" t="s">
        <v>25</v>
      </c>
      <c r="G891" s="35" t="s">
        <v>25</v>
      </c>
      <c r="H891" s="35" t="s">
        <v>36</v>
      </c>
      <c r="I891" s="45">
        <v>44866</v>
      </c>
      <c r="J891" s="46">
        <f>EFEITO!$J$891*EFEITO!$Y$891</f>
        <v>0</v>
      </c>
      <c r="K891" s="46">
        <f ca="1">EFEITO!$L$891*EFEITO!$Z$891</f>
        <v>394221.73740376782</v>
      </c>
      <c r="L891" s="46">
        <f>EFEITO!$N$891*EFEITO!$AA$891</f>
        <v>96587.687384939403</v>
      </c>
      <c r="M891" s="46">
        <f>$J$891-EFEITO!$K$891*EFEITO!$Y$891</f>
        <v>0</v>
      </c>
      <c r="N891" s="46">
        <f ca="1">$K$891-EFEITO!$M$891*EFEITO!$Z$891</f>
        <v>0</v>
      </c>
      <c r="O891" s="46">
        <f>$L$891-EFEITO!$O$891*EFEITO!$AA$891</f>
        <v>0</v>
      </c>
      <c r="P891" s="38"/>
      <c r="Q891" s="38"/>
      <c r="R891" s="38"/>
      <c r="S891" s="38"/>
      <c r="T891" s="38"/>
      <c r="U891" s="38"/>
      <c r="V891" s="38"/>
      <c r="W891" s="38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</row>
    <row r="892" spans="1:36" ht="11.25" customHeight="1" x14ac:dyDescent="0.2">
      <c r="A892" s="35" t="s">
        <v>59</v>
      </c>
      <c r="B892" s="35" t="s">
        <v>41</v>
      </c>
      <c r="C892" s="35" t="s">
        <v>44</v>
      </c>
      <c r="D892" s="35" t="s">
        <v>48</v>
      </c>
      <c r="E892" s="35" t="s">
        <v>25</v>
      </c>
      <c r="F892" s="35" t="s">
        <v>25</v>
      </c>
      <c r="G892" s="35" t="s">
        <v>25</v>
      </c>
      <c r="H892" s="35" t="s">
        <v>36</v>
      </c>
      <c r="I892" s="45">
        <v>44866</v>
      </c>
      <c r="J892" s="46">
        <f>EFEITO!$J$892*EFEITO!$Y$892</f>
        <v>0</v>
      </c>
      <c r="K892" s="46">
        <f ca="1">EFEITO!$L$892*EFEITO!$Z$892</f>
        <v>116956.75593565787</v>
      </c>
      <c r="L892" s="46">
        <f>EFEITO!$N$892*EFEITO!$AA$892</f>
        <v>28655.402551533705</v>
      </c>
      <c r="M892" s="46">
        <f>$J$892-EFEITO!$K$892*EFEITO!$Y$892</f>
        <v>0</v>
      </c>
      <c r="N892" s="46">
        <f ca="1">$K$892-EFEITO!$M$892*EFEITO!$Z$892</f>
        <v>0</v>
      </c>
      <c r="O892" s="46">
        <f>$L$892-EFEITO!$O$892*EFEITO!$AA$892</f>
        <v>0</v>
      </c>
      <c r="P892" s="38"/>
      <c r="Q892" s="38"/>
      <c r="R892" s="38"/>
      <c r="S892" s="38"/>
      <c r="T892" s="38"/>
      <c r="U892" s="38"/>
      <c r="V892" s="38"/>
      <c r="W892" s="38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</row>
    <row r="893" spans="1:36" ht="11.25" customHeight="1" x14ac:dyDescent="0.2">
      <c r="A893" s="35" t="s">
        <v>59</v>
      </c>
      <c r="B893" s="35" t="s">
        <v>41</v>
      </c>
      <c r="C893" s="35" t="s">
        <v>44</v>
      </c>
      <c r="D893" s="35" t="s">
        <v>48</v>
      </c>
      <c r="E893" s="35" t="s">
        <v>25</v>
      </c>
      <c r="F893" s="35" t="s">
        <v>25</v>
      </c>
      <c r="G893" s="35" t="s">
        <v>25</v>
      </c>
      <c r="H893" s="35" t="s">
        <v>36</v>
      </c>
      <c r="I893" s="45">
        <v>44866</v>
      </c>
      <c r="J893" s="46">
        <f>EFEITO!$J$893*EFEITO!$Y$893</f>
        <v>0</v>
      </c>
      <c r="K893" s="46">
        <f ca="1">EFEITO!$L$893*EFEITO!$Z$893</f>
        <v>75584.217502471656</v>
      </c>
      <c r="L893" s="46">
        <f>EFEITO!$N$893*EFEITO!$AA$893</f>
        <v>18518.777831590527</v>
      </c>
      <c r="M893" s="46">
        <f>$J$893-EFEITO!$K$893*EFEITO!$Y$893</f>
        <v>0</v>
      </c>
      <c r="N893" s="46">
        <f ca="1">$K$893-EFEITO!$M$893*EFEITO!$Z$893</f>
        <v>0</v>
      </c>
      <c r="O893" s="46">
        <f>$L$893-EFEITO!$O$893*EFEITO!$AA$893</f>
        <v>0</v>
      </c>
      <c r="P893" s="38"/>
      <c r="Q893" s="38"/>
      <c r="R893" s="38"/>
      <c r="S893" s="38"/>
      <c r="T893" s="38"/>
      <c r="U893" s="38"/>
      <c r="V893" s="38"/>
      <c r="W893" s="38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</row>
    <row r="894" spans="1:36" ht="11.25" customHeight="1" x14ac:dyDescent="0.2">
      <c r="A894" s="35" t="s">
        <v>21</v>
      </c>
      <c r="B894" s="35" t="s">
        <v>41</v>
      </c>
      <c r="C894" s="35" t="s">
        <v>44</v>
      </c>
      <c r="D894" s="35" t="s">
        <v>47</v>
      </c>
      <c r="E894" s="35" t="s">
        <v>25</v>
      </c>
      <c r="F894" s="35" t="s">
        <v>25</v>
      </c>
      <c r="G894" s="35" t="s">
        <v>25</v>
      </c>
      <c r="H894" s="35" t="s">
        <v>37</v>
      </c>
      <c r="I894" s="45">
        <v>44743</v>
      </c>
      <c r="J894" s="46">
        <f>EFEITO!$J$894*EFEITO!$Y$816</f>
        <v>0</v>
      </c>
      <c r="K894" s="46">
        <f ca="1">EFEITO!$L$894*EFEITO!$Z$816</f>
        <v>2.4954866843782457</v>
      </c>
      <c r="L894" s="46">
        <f>EFEITO!$N$894*EFEITO!$AA$816</f>
        <v>4.8110794129089207</v>
      </c>
      <c r="M894" s="46">
        <f>$J$894-EFEITO!$K$894*EFEITO!$Y$894</f>
        <v>0</v>
      </c>
      <c r="N894" s="46">
        <f ca="1">$K$894-EFEITO!$M$894*EFEITO!$Z$894</f>
        <v>4.9909733687564906E-2</v>
      </c>
      <c r="O894" s="46">
        <f>$L$894-EFEITO!$O$894*EFEITO!$AA$894</f>
        <v>9.6221588258178947E-2</v>
      </c>
      <c r="P894" s="38"/>
      <c r="Q894" s="38"/>
      <c r="R894" s="38"/>
      <c r="S894" s="38"/>
      <c r="T894" s="38"/>
      <c r="U894" s="38"/>
      <c r="V894" s="38"/>
      <c r="W894" s="38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</row>
    <row r="895" spans="1:36" ht="11.25" customHeight="1" x14ac:dyDescent="0.2">
      <c r="A895" s="35" t="s">
        <v>21</v>
      </c>
      <c r="B895" s="35" t="s">
        <v>41</v>
      </c>
      <c r="C895" s="35" t="s">
        <v>44</v>
      </c>
      <c r="D895" s="35" t="s">
        <v>47</v>
      </c>
      <c r="E895" s="35" t="s">
        <v>25</v>
      </c>
      <c r="F895" s="35" t="s">
        <v>25</v>
      </c>
      <c r="G895" s="35" t="s">
        <v>25</v>
      </c>
      <c r="H895" s="35" t="s">
        <v>37</v>
      </c>
      <c r="I895" s="45">
        <v>44774</v>
      </c>
      <c r="J895" s="46">
        <f>EFEITO!$J$895*EFEITO!$Y$816</f>
        <v>0</v>
      </c>
      <c r="K895" s="46">
        <f ca="1">EFEITO!$L$895*EFEITO!$Z$816</f>
        <v>9.3013594599552807</v>
      </c>
      <c r="L895" s="46">
        <f>EFEITO!$N$895*EFEITO!$AA$816</f>
        <v>17.932205084478706</v>
      </c>
      <c r="M895" s="46">
        <f>$J$895-EFEITO!$K$895*EFEITO!$Y$895</f>
        <v>0</v>
      </c>
      <c r="N895" s="46">
        <f ca="1">$K$895-EFEITO!$M$895*EFEITO!$Z$895</f>
        <v>0.18602718919910544</v>
      </c>
      <c r="O895" s="46">
        <f>$L$895-EFEITO!$O$895*EFEITO!$AA$895</f>
        <v>0.35864410168957406</v>
      </c>
      <c r="P895" s="38"/>
      <c r="Q895" s="38"/>
      <c r="R895" s="38"/>
      <c r="S895" s="38"/>
      <c r="T895" s="38"/>
      <c r="U895" s="38"/>
      <c r="V895" s="38"/>
      <c r="W895" s="38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</row>
    <row r="896" spans="1:36" ht="11.25" customHeight="1" x14ac:dyDescent="0.2">
      <c r="A896" s="35" t="s">
        <v>21</v>
      </c>
      <c r="B896" s="35" t="s">
        <v>41</v>
      </c>
      <c r="C896" s="35" t="s">
        <v>44</v>
      </c>
      <c r="D896" s="35" t="s">
        <v>47</v>
      </c>
      <c r="E896" s="35" t="s">
        <v>25</v>
      </c>
      <c r="F896" s="35" t="s">
        <v>25</v>
      </c>
      <c r="G896" s="35" t="s">
        <v>25</v>
      </c>
      <c r="H896" s="35" t="s">
        <v>37</v>
      </c>
      <c r="I896" s="45">
        <v>44805</v>
      </c>
      <c r="J896" s="46">
        <f>EFEITO!$J$896*EFEITO!$Y$816</f>
        <v>0</v>
      </c>
      <c r="K896" s="46">
        <f ca="1">EFEITO!$L$896*EFEITO!$Z$816</f>
        <v>0.22686242585256783</v>
      </c>
      <c r="L896" s="46">
        <f>EFEITO!$N$896*EFEITO!$AA$816</f>
        <v>0.43737085571899281</v>
      </c>
      <c r="M896" s="46">
        <f>$J$896-EFEITO!$K$896*EFEITO!$Y$896</f>
        <v>0</v>
      </c>
      <c r="N896" s="46">
        <f ca="1">$K$896-EFEITO!$M$896*EFEITO!$Z$896</f>
        <v>4.5372485170513677E-3</v>
      </c>
      <c r="O896" s="46">
        <f>$L$896-EFEITO!$O$896*EFEITO!$AA$896</f>
        <v>8.747417114379874E-3</v>
      </c>
      <c r="P896" s="38"/>
      <c r="Q896" s="38"/>
      <c r="R896" s="38"/>
      <c r="S896" s="38"/>
      <c r="T896" s="38"/>
      <c r="U896" s="38"/>
      <c r="V896" s="38"/>
      <c r="W896" s="38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</row>
    <row r="897" spans="1:36" ht="11.25" customHeight="1" x14ac:dyDescent="0.2">
      <c r="A897" s="35" t="s">
        <v>21</v>
      </c>
      <c r="B897" s="35" t="s">
        <v>41</v>
      </c>
      <c r="C897" s="35" t="s">
        <v>44</v>
      </c>
      <c r="D897" s="35" t="s">
        <v>47</v>
      </c>
      <c r="E897" s="35" t="s">
        <v>25</v>
      </c>
      <c r="F897" s="35" t="s">
        <v>25</v>
      </c>
      <c r="G897" s="35" t="s">
        <v>25</v>
      </c>
      <c r="H897" s="35" t="s">
        <v>37</v>
      </c>
      <c r="I897" s="45">
        <v>44835</v>
      </c>
      <c r="J897" s="46">
        <f>EFEITO!$J$897*EFEITO!$Y$816</f>
        <v>0</v>
      </c>
      <c r="K897" s="46">
        <f ca="1">EFEITO!$L$897*EFEITO!$Z$816</f>
        <v>0.11343121292628391</v>
      </c>
      <c r="L897" s="46">
        <f>EFEITO!$N$897*EFEITO!$AA$816</f>
        <v>0.21868542785949641</v>
      </c>
      <c r="M897" s="46">
        <f>$J$897-EFEITO!$K$897*EFEITO!$Y$897</f>
        <v>0</v>
      </c>
      <c r="N897" s="46">
        <f ca="1">$K$897-EFEITO!$M$897*EFEITO!$Z$897</f>
        <v>2.2686242585256838E-3</v>
      </c>
      <c r="O897" s="46">
        <f>$L$897-EFEITO!$O$897*EFEITO!$AA$897</f>
        <v>4.373708557189937E-3</v>
      </c>
      <c r="P897" s="38"/>
      <c r="Q897" s="38"/>
      <c r="R897" s="38"/>
      <c r="S897" s="38"/>
      <c r="T897" s="38"/>
      <c r="U897" s="38"/>
      <c r="V897" s="38"/>
      <c r="W897" s="38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</row>
    <row r="898" spans="1:36" ht="11.25" customHeight="1" x14ac:dyDescent="0.2">
      <c r="A898" s="35" t="s">
        <v>59</v>
      </c>
      <c r="B898" s="35" t="s">
        <v>41</v>
      </c>
      <c r="C898" s="35" t="s">
        <v>44</v>
      </c>
      <c r="D898" s="35" t="s">
        <v>47</v>
      </c>
      <c r="E898" s="35" t="s">
        <v>25</v>
      </c>
      <c r="F898" s="35" t="s">
        <v>25</v>
      </c>
      <c r="G898" s="35" t="s">
        <v>25</v>
      </c>
      <c r="H898" s="35" t="s">
        <v>37</v>
      </c>
      <c r="I898" s="45">
        <v>44866</v>
      </c>
      <c r="J898" s="46">
        <f>EFEITO!$J$898*EFEITO!$Y$816</f>
        <v>0</v>
      </c>
      <c r="K898" s="46">
        <f ca="1">EFEITO!$L$898*EFEITO!$Z$816</f>
        <v>0.11343121292628391</v>
      </c>
      <c r="L898" s="46">
        <f>EFEITO!$N$898*EFEITO!$AA$816</f>
        <v>0.21868542785949641</v>
      </c>
      <c r="M898" s="46">
        <f>$J$898-EFEITO!$K$898*EFEITO!$Y$898</f>
        <v>0</v>
      </c>
      <c r="N898" s="46">
        <f ca="1">$K$898-EFEITO!$M$898*EFEITO!$Z$898</f>
        <v>2.2686242585256838E-3</v>
      </c>
      <c r="O898" s="46">
        <f>$L$898-EFEITO!$O$898*EFEITO!$AA$898</f>
        <v>4.373708557189937E-3</v>
      </c>
      <c r="P898" s="38"/>
      <c r="Q898" s="38"/>
      <c r="R898" s="38"/>
      <c r="S898" s="38"/>
      <c r="T898" s="38"/>
      <c r="U898" s="38"/>
      <c r="V898" s="38"/>
      <c r="W898" s="38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</row>
    <row r="899" spans="1:36" ht="11.25" customHeight="1" x14ac:dyDescent="0.2">
      <c r="A899" s="35" t="s">
        <v>21</v>
      </c>
      <c r="B899" s="35" t="s">
        <v>41</v>
      </c>
      <c r="C899" s="35" t="s">
        <v>44</v>
      </c>
      <c r="D899" s="35" t="s">
        <v>47</v>
      </c>
      <c r="E899" s="35" t="s">
        <v>25</v>
      </c>
      <c r="F899" s="35" t="s">
        <v>25</v>
      </c>
      <c r="G899" s="35" t="s">
        <v>25</v>
      </c>
      <c r="H899" s="35" t="s">
        <v>25</v>
      </c>
      <c r="I899" s="45">
        <v>44774</v>
      </c>
      <c r="J899" s="46">
        <f ca="1">EFEITO!$J$899*EFEITO!$Y$854</f>
        <v>309.22821495338655</v>
      </c>
      <c r="K899" s="46">
        <f>EFEITO!$L$899*EFEITO!$Z$854</f>
        <v>0</v>
      </c>
      <c r="L899" s="46">
        <f>EFEITO!$N$899*EFEITO!$AA$854</f>
        <v>0</v>
      </c>
      <c r="M899" s="46">
        <f ca="1">$J$899-EFEITO!$K$899*EFEITO!$Y$899</f>
        <v>6.1845642990677447</v>
      </c>
      <c r="N899" s="46">
        <f>$K$899-EFEITO!$M$899*EFEITO!$Z$899</f>
        <v>0</v>
      </c>
      <c r="O899" s="46">
        <f>$L$899-EFEITO!$O$899*EFEITO!$AA$899</f>
        <v>0</v>
      </c>
      <c r="P899" s="38"/>
      <c r="Q899" s="38"/>
      <c r="R899" s="38"/>
      <c r="S899" s="38"/>
      <c r="T899" s="38"/>
      <c r="U899" s="38"/>
      <c r="V899" s="38"/>
      <c r="W899" s="38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</row>
    <row r="900" spans="1:36" ht="11.25" customHeight="1" x14ac:dyDescent="0.2">
      <c r="A900" s="35" t="s">
        <v>21</v>
      </c>
      <c r="B900" s="35" t="s">
        <v>41</v>
      </c>
      <c r="C900" s="35" t="s">
        <v>44</v>
      </c>
      <c r="D900" s="35" t="s">
        <v>47</v>
      </c>
      <c r="E900" s="35" t="s">
        <v>25</v>
      </c>
      <c r="F900" s="35" t="s">
        <v>25</v>
      </c>
      <c r="G900" s="35" t="s">
        <v>25</v>
      </c>
      <c r="H900" s="35" t="s">
        <v>25</v>
      </c>
      <c r="I900" s="45">
        <v>44805</v>
      </c>
      <c r="J900" s="46">
        <f ca="1">EFEITO!$J$900*EFEITO!$Y$854</f>
        <v>20.615214330225772</v>
      </c>
      <c r="K900" s="46">
        <f>EFEITO!$L$900*EFEITO!$Z$854</f>
        <v>0</v>
      </c>
      <c r="L900" s="46">
        <f>EFEITO!$N$900*EFEITO!$AA$854</f>
        <v>0</v>
      </c>
      <c r="M900" s="46">
        <f ca="1">$J$900-EFEITO!$K$900*EFEITO!$Y$900</f>
        <v>0.41230428660451679</v>
      </c>
      <c r="N900" s="46">
        <f>$K$900-EFEITO!$M$900*EFEITO!$Z$900</f>
        <v>0</v>
      </c>
      <c r="O900" s="46">
        <f>$L$900-EFEITO!$O$900*EFEITO!$AA$900</f>
        <v>0</v>
      </c>
      <c r="P900" s="38"/>
      <c r="Q900" s="38"/>
      <c r="R900" s="38"/>
      <c r="S900" s="38"/>
      <c r="T900" s="38"/>
      <c r="U900" s="38"/>
      <c r="V900" s="38"/>
      <c r="W900" s="38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</row>
    <row r="901" spans="1:36" ht="11.25" customHeight="1" x14ac:dyDescent="0.2">
      <c r="A901" s="35" t="s">
        <v>21</v>
      </c>
      <c r="B901" s="35" t="s">
        <v>41</v>
      </c>
      <c r="C901" s="35" t="s">
        <v>44</v>
      </c>
      <c r="D901" s="35" t="s">
        <v>47</v>
      </c>
      <c r="E901" s="35" t="s">
        <v>25</v>
      </c>
      <c r="F901" s="35" t="s">
        <v>25</v>
      </c>
      <c r="G901" s="35" t="s">
        <v>25</v>
      </c>
      <c r="H901" s="35" t="s">
        <v>25</v>
      </c>
      <c r="I901" s="45">
        <v>44835</v>
      </c>
      <c r="J901" s="46">
        <f ca="1">EFEITO!$J$901*EFEITO!$Y$854</f>
        <v>20.615214330225772</v>
      </c>
      <c r="K901" s="46">
        <f>EFEITO!$L$901*EFEITO!$Z$854</f>
        <v>0</v>
      </c>
      <c r="L901" s="46">
        <f>EFEITO!$N$901*EFEITO!$AA$854</f>
        <v>0</v>
      </c>
      <c r="M901" s="46">
        <f ca="1">$J$901-EFEITO!$K$901*EFEITO!$Y$901</f>
        <v>0.41230428660451679</v>
      </c>
      <c r="N901" s="46">
        <f>$K$901-EFEITO!$M$901*EFEITO!$Z$901</f>
        <v>0</v>
      </c>
      <c r="O901" s="46">
        <f>$L$901-EFEITO!$O$901*EFEITO!$AA$901</f>
        <v>0</v>
      </c>
      <c r="P901" s="38"/>
      <c r="Q901" s="38"/>
      <c r="R901" s="38"/>
      <c r="S901" s="38"/>
      <c r="T901" s="38"/>
      <c r="U901" s="38"/>
      <c r="V901" s="38"/>
      <c r="W901" s="38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</row>
    <row r="902" spans="1:36" ht="11.25" customHeight="1" x14ac:dyDescent="0.2">
      <c r="A902" s="35" t="s">
        <v>59</v>
      </c>
      <c r="B902" s="35" t="s">
        <v>41</v>
      </c>
      <c r="C902" s="35" t="s">
        <v>44</v>
      </c>
      <c r="D902" s="35" t="s">
        <v>47</v>
      </c>
      <c r="E902" s="35" t="s">
        <v>25</v>
      </c>
      <c r="F902" s="35" t="s">
        <v>25</v>
      </c>
      <c r="G902" s="35" t="s">
        <v>25</v>
      </c>
      <c r="H902" s="35" t="s">
        <v>25</v>
      </c>
      <c r="I902" s="45">
        <v>44866</v>
      </c>
      <c r="J902" s="46">
        <f ca="1">EFEITO!$J$902*EFEITO!$Y$854</f>
        <v>20.615214330225772</v>
      </c>
      <c r="K902" s="46">
        <f>EFEITO!$L$902*EFEITO!$Z$854</f>
        <v>0</v>
      </c>
      <c r="L902" s="46">
        <f>EFEITO!$N$902*EFEITO!$AA$854</f>
        <v>0</v>
      </c>
      <c r="M902" s="46">
        <f ca="1">$J$902-EFEITO!$K$902*EFEITO!$Y$902</f>
        <v>0.41230428660451679</v>
      </c>
      <c r="N902" s="46">
        <f>$K$902-EFEITO!$M$902*EFEITO!$Z$902</f>
        <v>0</v>
      </c>
      <c r="O902" s="46">
        <f>$L$902-EFEITO!$O$902*EFEITO!$AA$902</f>
        <v>0</v>
      </c>
      <c r="P902" s="38"/>
      <c r="Q902" s="38"/>
      <c r="R902" s="38"/>
      <c r="S902" s="38"/>
      <c r="T902" s="38"/>
      <c r="U902" s="38"/>
      <c r="V902" s="38"/>
      <c r="W902" s="38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</row>
    <row r="903" spans="1:36" ht="11.25" customHeight="1" x14ac:dyDescent="0.2">
      <c r="A903" s="35" t="s">
        <v>27</v>
      </c>
      <c r="B903" s="35" t="s">
        <v>41</v>
      </c>
      <c r="C903" s="35" t="s">
        <v>44</v>
      </c>
      <c r="D903" s="35" t="s">
        <v>47</v>
      </c>
      <c r="E903" s="35" t="s">
        <v>25</v>
      </c>
      <c r="F903" s="35" t="s">
        <v>25</v>
      </c>
      <c r="G903" s="35" t="s">
        <v>25</v>
      </c>
      <c r="H903" s="35" t="s">
        <v>36</v>
      </c>
      <c r="I903" s="45">
        <v>44531</v>
      </c>
      <c r="J903" s="46">
        <f>EFEITO!$J$903*EFEITO!$Y$893</f>
        <v>0</v>
      </c>
      <c r="K903" s="46">
        <f ca="1">EFEITO!$L$903*EFEITO!$Z$893</f>
        <v>-531.36595941305995</v>
      </c>
      <c r="L903" s="46">
        <f>EFEITO!$N$903*EFEITO!$AA$893</f>
        <v>-130.18919127288211</v>
      </c>
      <c r="M903" s="46">
        <f>$J$903-EFEITO!$K$903*EFEITO!$Y$903</f>
        <v>0</v>
      </c>
      <c r="N903" s="46">
        <f ca="1">$K$903-EFEITO!$M$903*EFEITO!$Z$903</f>
        <v>-10.62731918826114</v>
      </c>
      <c r="O903" s="46">
        <f>$L$903-EFEITO!$O$903*EFEITO!$AA$903</f>
        <v>-2.6037838254576258</v>
      </c>
      <c r="P903" s="38"/>
      <c r="Q903" s="38"/>
      <c r="R903" s="38"/>
      <c r="S903" s="38"/>
      <c r="T903" s="38"/>
      <c r="U903" s="38"/>
      <c r="V903" s="38"/>
      <c r="W903" s="38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</row>
    <row r="904" spans="1:36" ht="11.25" customHeight="1" x14ac:dyDescent="0.2">
      <c r="A904" s="35" t="s">
        <v>21</v>
      </c>
      <c r="B904" s="35" t="s">
        <v>41</v>
      </c>
      <c r="C904" s="35" t="s">
        <v>44</v>
      </c>
      <c r="D904" s="35" t="s">
        <v>47</v>
      </c>
      <c r="E904" s="35" t="s">
        <v>25</v>
      </c>
      <c r="F904" s="35" t="s">
        <v>25</v>
      </c>
      <c r="G904" s="35" t="s">
        <v>25</v>
      </c>
      <c r="H904" s="35" t="s">
        <v>36</v>
      </c>
      <c r="I904" s="45">
        <v>44743</v>
      </c>
      <c r="J904" s="46">
        <f>EFEITO!$J$904*EFEITO!$Y$893</f>
        <v>0</v>
      </c>
      <c r="K904" s="46">
        <f ca="1">EFEITO!$L$904*EFEITO!$Z$893</f>
        <v>2.9602560412983845</v>
      </c>
      <c r="L904" s="46">
        <f>EFEITO!$N$904*EFEITO!$AA$893</f>
        <v>0.72528797366508146</v>
      </c>
      <c r="M904" s="46">
        <f>$J$904-EFEITO!$K$904*EFEITO!$Y$904</f>
        <v>0</v>
      </c>
      <c r="N904" s="46">
        <f ca="1">$K$904-EFEITO!$M$904*EFEITO!$Z$904</f>
        <v>5.920512082596785E-2</v>
      </c>
      <c r="O904" s="46">
        <f>$L$904-EFEITO!$O$904*EFEITO!$AA$904</f>
        <v>1.4505759473301572E-2</v>
      </c>
      <c r="P904" s="38"/>
      <c r="Q904" s="38"/>
      <c r="R904" s="38"/>
      <c r="S904" s="38"/>
      <c r="T904" s="38"/>
      <c r="U904" s="38"/>
      <c r="V904" s="38"/>
      <c r="W904" s="38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</row>
    <row r="905" spans="1:36" ht="11.25" customHeight="1" x14ac:dyDescent="0.2">
      <c r="A905" s="35" t="s">
        <v>21</v>
      </c>
      <c r="B905" s="35" t="s">
        <v>41</v>
      </c>
      <c r="C905" s="35" t="s">
        <v>44</v>
      </c>
      <c r="D905" s="35" t="s">
        <v>52</v>
      </c>
      <c r="E905" s="35" t="s">
        <v>53</v>
      </c>
      <c r="F905" s="35" t="s">
        <v>25</v>
      </c>
      <c r="G905" s="35" t="s">
        <v>25</v>
      </c>
      <c r="H905" s="35" t="s">
        <v>37</v>
      </c>
      <c r="I905" s="45">
        <v>44531</v>
      </c>
      <c r="J905" s="46">
        <f>EFEITO!$J$905*EFEITO!$Y$816</f>
        <v>0</v>
      </c>
      <c r="K905" s="46">
        <f ca="1">EFEITO!$L$905*EFEITO!$Z$816</f>
        <v>265092.37440753914</v>
      </c>
      <c r="L905" s="46">
        <f>EFEITO!$N$905*EFEITO!$AA$816</f>
        <v>511074.84284133464</v>
      </c>
      <c r="M905" s="46">
        <f>$J$905-EFEITO!$K$905*EFEITO!$Y$905</f>
        <v>0</v>
      </c>
      <c r="N905" s="46">
        <f ca="1">$K$905-EFEITO!$M$905*EFEITO!$Z$905</f>
        <v>7952.771232226165</v>
      </c>
      <c r="O905" s="46">
        <f>$L$905-EFEITO!$O$905*EFEITO!$AA$905</f>
        <v>15332.245285240118</v>
      </c>
      <c r="P905" s="38"/>
      <c r="Q905" s="38"/>
      <c r="R905" s="38"/>
      <c r="S905" s="38"/>
      <c r="T905" s="38"/>
      <c r="U905" s="38"/>
      <c r="V905" s="38"/>
      <c r="W905" s="38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</row>
    <row r="906" spans="1:36" ht="11.25" customHeight="1" x14ac:dyDescent="0.2">
      <c r="A906" s="35" t="s">
        <v>28</v>
      </c>
      <c r="B906" s="35" t="s">
        <v>41</v>
      </c>
      <c r="C906" s="35" t="s">
        <v>44</v>
      </c>
      <c r="D906" s="35" t="s">
        <v>52</v>
      </c>
      <c r="E906" s="35" t="s">
        <v>53</v>
      </c>
      <c r="F906" s="35" t="s">
        <v>25</v>
      </c>
      <c r="G906" s="35" t="s">
        <v>25</v>
      </c>
      <c r="H906" s="35" t="s">
        <v>37</v>
      </c>
      <c r="I906" s="45">
        <v>44531</v>
      </c>
      <c r="J906" s="46">
        <f>EFEITO!$J$906*EFEITO!$Y$816</f>
        <v>0</v>
      </c>
      <c r="K906" s="46">
        <f ca="1">EFEITO!$L$906*EFEITO!$Z$816</f>
        <v>36968.933760869819</v>
      </c>
      <c r="L906" s="46">
        <f>EFEITO!$N$906*EFEITO!$AA$816</f>
        <v>71272.861220827777</v>
      </c>
      <c r="M906" s="46">
        <f>$J$906-EFEITO!$K$906*EFEITO!$Y$906</f>
        <v>0</v>
      </c>
      <c r="N906" s="46">
        <f ca="1">$K$906-EFEITO!$M$906*EFEITO!$Z$906</f>
        <v>1109.0680128260938</v>
      </c>
      <c r="O906" s="46">
        <f>$L$906-EFEITO!$O$906*EFEITO!$AA$906</f>
        <v>2138.1858366248489</v>
      </c>
      <c r="P906" s="38"/>
      <c r="Q906" s="38"/>
      <c r="R906" s="38"/>
      <c r="S906" s="38"/>
      <c r="T906" s="38"/>
      <c r="U906" s="38"/>
      <c r="V906" s="38"/>
      <c r="W906" s="38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</row>
    <row r="907" spans="1:36" ht="11.25" customHeight="1" x14ac:dyDescent="0.2">
      <c r="A907" s="35" t="s">
        <v>21</v>
      </c>
      <c r="B907" s="35" t="s">
        <v>41</v>
      </c>
      <c r="C907" s="35" t="s">
        <v>44</v>
      </c>
      <c r="D907" s="35" t="s">
        <v>52</v>
      </c>
      <c r="E907" s="35" t="s">
        <v>53</v>
      </c>
      <c r="F907" s="35" t="s">
        <v>25</v>
      </c>
      <c r="G907" s="35" t="s">
        <v>25</v>
      </c>
      <c r="H907" s="35" t="s">
        <v>37</v>
      </c>
      <c r="I907" s="45">
        <v>44562</v>
      </c>
      <c r="J907" s="46">
        <f>EFEITO!$J$907*EFEITO!$Y$816</f>
        <v>0</v>
      </c>
      <c r="K907" s="46">
        <f ca="1">EFEITO!$L$907*EFEITO!$Z$816</f>
        <v>317660.59543245734</v>
      </c>
      <c r="L907" s="46">
        <f>EFEITO!$N$907*EFEITO!$AA$816</f>
        <v>612421.76147225604</v>
      </c>
      <c r="M907" s="46">
        <f>$J$907-EFEITO!$K$907*EFEITO!$Y$907</f>
        <v>0</v>
      </c>
      <c r="N907" s="46">
        <f ca="1">$K$907-EFEITO!$M$907*EFEITO!$Z$907</f>
        <v>9529.8178629736649</v>
      </c>
      <c r="O907" s="46">
        <f>$L$907-EFEITO!$O$907*EFEITO!$AA$907</f>
        <v>18372.65284416778</v>
      </c>
      <c r="P907" s="38"/>
      <c r="Q907" s="38"/>
      <c r="R907" s="38"/>
      <c r="S907" s="38"/>
      <c r="T907" s="38"/>
      <c r="U907" s="38"/>
      <c r="V907" s="38"/>
      <c r="W907" s="38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</row>
    <row r="908" spans="1:36" ht="11.25" customHeight="1" x14ac:dyDescent="0.2">
      <c r="A908" s="35" t="s">
        <v>28</v>
      </c>
      <c r="B908" s="35" t="s">
        <v>41</v>
      </c>
      <c r="C908" s="35" t="s">
        <v>44</v>
      </c>
      <c r="D908" s="35" t="s">
        <v>52</v>
      </c>
      <c r="E908" s="35" t="s">
        <v>53</v>
      </c>
      <c r="F908" s="35" t="s">
        <v>25</v>
      </c>
      <c r="G908" s="35" t="s">
        <v>25</v>
      </c>
      <c r="H908" s="35" t="s">
        <v>37</v>
      </c>
      <c r="I908" s="45">
        <v>44562</v>
      </c>
      <c r="J908" s="46">
        <f>EFEITO!$J$908*EFEITO!$Y$816</f>
        <v>0</v>
      </c>
      <c r="K908" s="46">
        <f ca="1">EFEITO!$L$908*EFEITO!$Z$816</f>
        <v>39526.240456292886</v>
      </c>
      <c r="L908" s="46">
        <f>EFEITO!$N$908*EFEITO!$AA$816</f>
        <v>76203.124191920113</v>
      </c>
      <c r="M908" s="46">
        <f>$J$908-EFEITO!$K$908*EFEITO!$Y$908</f>
        <v>0</v>
      </c>
      <c r="N908" s="46">
        <f ca="1">$K$908-EFEITO!$M$908*EFEITO!$Z$908</f>
        <v>1185.7872136887818</v>
      </c>
      <c r="O908" s="46">
        <f>$L$908-EFEITO!$O$908*EFEITO!$AA$908</f>
        <v>2286.0937257576152</v>
      </c>
      <c r="P908" s="38"/>
      <c r="Q908" s="38"/>
      <c r="R908" s="38"/>
      <c r="S908" s="38"/>
      <c r="T908" s="38"/>
      <c r="U908" s="38"/>
      <c r="V908" s="38"/>
      <c r="W908" s="38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</row>
    <row r="909" spans="1:36" ht="11.25" customHeight="1" x14ac:dyDescent="0.2">
      <c r="A909" s="35" t="s">
        <v>21</v>
      </c>
      <c r="B909" s="35" t="s">
        <v>41</v>
      </c>
      <c r="C909" s="35" t="s">
        <v>44</v>
      </c>
      <c r="D909" s="35" t="s">
        <v>52</v>
      </c>
      <c r="E909" s="35" t="s">
        <v>53</v>
      </c>
      <c r="F909" s="35" t="s">
        <v>25</v>
      </c>
      <c r="G909" s="35" t="s">
        <v>25</v>
      </c>
      <c r="H909" s="35" t="s">
        <v>37</v>
      </c>
      <c r="I909" s="45">
        <v>44593</v>
      </c>
      <c r="J909" s="46">
        <f>EFEITO!$J$909*EFEITO!$Y$816</f>
        <v>0</v>
      </c>
      <c r="K909" s="46">
        <f ca="1">EFEITO!$L$909*EFEITO!$Z$816</f>
        <v>289934.94435052457</v>
      </c>
      <c r="L909" s="46">
        <f>EFEITO!$N$909*EFEITO!$AA$816</f>
        <v>558969.13839684287</v>
      </c>
      <c r="M909" s="46">
        <f>$J$909-EFEITO!$K$909*EFEITO!$Y$909</f>
        <v>0</v>
      </c>
      <c r="N909" s="46">
        <f ca="1">$K$909-EFEITO!$M$909*EFEITO!$Z$909</f>
        <v>8698.0483305157395</v>
      </c>
      <c r="O909" s="46">
        <f>$L$909-EFEITO!$O$909*EFEITO!$AA$909</f>
        <v>16769.07415190537</v>
      </c>
      <c r="P909" s="38"/>
      <c r="Q909" s="38"/>
      <c r="R909" s="38"/>
      <c r="S909" s="38"/>
      <c r="T909" s="38"/>
      <c r="U909" s="38"/>
      <c r="V909" s="38"/>
      <c r="W909" s="38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</row>
    <row r="910" spans="1:36" ht="11.25" customHeight="1" x14ac:dyDescent="0.2">
      <c r="A910" s="35" t="s">
        <v>28</v>
      </c>
      <c r="B910" s="35" t="s">
        <v>41</v>
      </c>
      <c r="C910" s="35" t="s">
        <v>44</v>
      </c>
      <c r="D910" s="35" t="s">
        <v>52</v>
      </c>
      <c r="E910" s="35" t="s">
        <v>53</v>
      </c>
      <c r="F910" s="35" t="s">
        <v>25</v>
      </c>
      <c r="G910" s="35" t="s">
        <v>25</v>
      </c>
      <c r="H910" s="35" t="s">
        <v>37</v>
      </c>
      <c r="I910" s="45">
        <v>44593</v>
      </c>
      <c r="J910" s="46">
        <f>EFEITO!$J$910*EFEITO!$Y$816</f>
        <v>0</v>
      </c>
      <c r="K910" s="46">
        <f ca="1">EFEITO!$L$910*EFEITO!$Z$816</f>
        <v>37237.992597930963</v>
      </c>
      <c r="L910" s="46">
        <f>EFEITO!$N$910*EFEITO!$AA$816</f>
        <v>71791.583055710493</v>
      </c>
      <c r="M910" s="46">
        <f>$J$910-EFEITO!$K$910*EFEITO!$Y$910</f>
        <v>0</v>
      </c>
      <c r="N910" s="46">
        <f ca="1">$K$910-EFEITO!$M$910*EFEITO!$Z$910</f>
        <v>1117.1397779379258</v>
      </c>
      <c r="O910" s="46">
        <f>$L$910-EFEITO!$O$910*EFEITO!$AA$910</f>
        <v>2153.7474916713254</v>
      </c>
      <c r="P910" s="38"/>
      <c r="Q910" s="38"/>
      <c r="R910" s="38"/>
      <c r="S910" s="38"/>
      <c r="T910" s="38"/>
      <c r="U910" s="38"/>
      <c r="V910" s="38"/>
      <c r="W910" s="38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</row>
    <row r="911" spans="1:36" ht="11.25" customHeight="1" x14ac:dyDescent="0.2">
      <c r="A911" s="35" t="s">
        <v>21</v>
      </c>
      <c r="B911" s="35" t="s">
        <v>41</v>
      </c>
      <c r="C911" s="35" t="s">
        <v>44</v>
      </c>
      <c r="D911" s="35" t="s">
        <v>52</v>
      </c>
      <c r="E911" s="35" t="s">
        <v>53</v>
      </c>
      <c r="F911" s="35" t="s">
        <v>25</v>
      </c>
      <c r="G911" s="35" t="s">
        <v>25</v>
      </c>
      <c r="H911" s="35" t="s">
        <v>37</v>
      </c>
      <c r="I911" s="45">
        <v>44621</v>
      </c>
      <c r="J911" s="46">
        <f>EFEITO!$J$911*EFEITO!$Y$816</f>
        <v>0</v>
      </c>
      <c r="K911" s="46">
        <f ca="1">EFEITO!$L$911*EFEITO!$Z$816</f>
        <v>299233.46803015668</v>
      </c>
      <c r="L911" s="46">
        <f>EFEITO!$N$911*EFEITO!$AA$816</f>
        <v>576895.87634562503</v>
      </c>
      <c r="M911" s="46">
        <f>$J$911-EFEITO!$K$911*EFEITO!$Y$911</f>
        <v>0</v>
      </c>
      <c r="N911" s="46">
        <f ca="1">$K$911-EFEITO!$M$911*EFEITO!$Z$911</f>
        <v>8977.0040409046924</v>
      </c>
      <c r="O911" s="46">
        <f>$L$911-EFEITO!$O$911*EFEITO!$AA$911</f>
        <v>17306.876290368731</v>
      </c>
      <c r="P911" s="38"/>
      <c r="Q911" s="38"/>
      <c r="R911" s="38"/>
      <c r="S911" s="38"/>
      <c r="T911" s="38"/>
      <c r="U911" s="38"/>
      <c r="V911" s="38"/>
      <c r="W911" s="38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</row>
    <row r="912" spans="1:36" ht="11.25" customHeight="1" x14ac:dyDescent="0.2">
      <c r="A912" s="35" t="s">
        <v>28</v>
      </c>
      <c r="B912" s="35" t="s">
        <v>41</v>
      </c>
      <c r="C912" s="35" t="s">
        <v>44</v>
      </c>
      <c r="D912" s="35" t="s">
        <v>52</v>
      </c>
      <c r="E912" s="35" t="s">
        <v>53</v>
      </c>
      <c r="F912" s="35" t="s">
        <v>25</v>
      </c>
      <c r="G912" s="35" t="s">
        <v>25</v>
      </c>
      <c r="H912" s="35" t="s">
        <v>37</v>
      </c>
      <c r="I912" s="45">
        <v>44621</v>
      </c>
      <c r="J912" s="46">
        <f>EFEITO!$J$912*EFEITO!$Y$816</f>
        <v>0</v>
      </c>
      <c r="K912" s="46">
        <f ca="1">EFEITO!$L$912*EFEITO!$Z$816</f>
        <v>36792.094499917745</v>
      </c>
      <c r="L912" s="46">
        <f>EFEITO!$N$912*EFEITO!$AA$816</f>
        <v>70931.930638794816</v>
      </c>
      <c r="M912" s="46">
        <f>$J$912-EFEITO!$K$912*EFEITO!$Y$912</f>
        <v>0</v>
      </c>
      <c r="N912" s="46">
        <f ca="1">$K$912-EFEITO!$M$912*EFEITO!$Z$912</f>
        <v>1103.7628349975348</v>
      </c>
      <c r="O912" s="46">
        <f>$L$912-EFEITO!$O$912*EFEITO!$AA$912</f>
        <v>2127.9579191638477</v>
      </c>
      <c r="P912" s="38"/>
      <c r="Q912" s="38"/>
      <c r="R912" s="38"/>
      <c r="S912" s="38"/>
      <c r="T912" s="38"/>
      <c r="U912" s="38"/>
      <c r="V912" s="38"/>
      <c r="W912" s="38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</row>
    <row r="913" spans="1:36" ht="11.25" customHeight="1" x14ac:dyDescent="0.2">
      <c r="A913" s="35" t="s">
        <v>21</v>
      </c>
      <c r="B913" s="35" t="s">
        <v>41</v>
      </c>
      <c r="C913" s="35" t="s">
        <v>44</v>
      </c>
      <c r="D913" s="35" t="s">
        <v>52</v>
      </c>
      <c r="E913" s="35" t="s">
        <v>53</v>
      </c>
      <c r="F913" s="35" t="s">
        <v>25</v>
      </c>
      <c r="G913" s="35" t="s">
        <v>25</v>
      </c>
      <c r="H913" s="35" t="s">
        <v>37</v>
      </c>
      <c r="I913" s="45">
        <v>44652</v>
      </c>
      <c r="J913" s="46">
        <f>EFEITO!$J$913*EFEITO!$Y$816</f>
        <v>0</v>
      </c>
      <c r="K913" s="46">
        <f ca="1">EFEITO!$L$913*EFEITO!$Z$816</f>
        <v>307139.96386475745</v>
      </c>
      <c r="L913" s="46">
        <f>EFEITO!$N$913*EFEITO!$AA$816</f>
        <v>592138.9067237156</v>
      </c>
      <c r="M913" s="46">
        <f>$J$913-EFEITO!$K$913*EFEITO!$Y$913</f>
        <v>0</v>
      </c>
      <c r="N913" s="46">
        <f ca="1">$K$913-EFEITO!$M$913*EFEITO!$Z$913</f>
        <v>9214.1989159427467</v>
      </c>
      <c r="O913" s="46">
        <f>$L$913-EFEITO!$O$913*EFEITO!$AA$913</f>
        <v>17764.167201711563</v>
      </c>
      <c r="P913" s="38"/>
      <c r="Q913" s="38"/>
      <c r="R913" s="38"/>
      <c r="S913" s="38"/>
      <c r="T913" s="38"/>
      <c r="U913" s="38"/>
      <c r="V913" s="38"/>
      <c r="W913" s="38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</row>
    <row r="914" spans="1:36" ht="11.25" customHeight="1" x14ac:dyDescent="0.2">
      <c r="A914" s="35" t="s">
        <v>28</v>
      </c>
      <c r="B914" s="35" t="s">
        <v>41</v>
      </c>
      <c r="C914" s="35" t="s">
        <v>44</v>
      </c>
      <c r="D914" s="35" t="s">
        <v>52</v>
      </c>
      <c r="E914" s="35" t="s">
        <v>53</v>
      </c>
      <c r="F914" s="35" t="s">
        <v>25</v>
      </c>
      <c r="G914" s="35" t="s">
        <v>25</v>
      </c>
      <c r="H914" s="35" t="s">
        <v>37</v>
      </c>
      <c r="I914" s="45">
        <v>44652</v>
      </c>
      <c r="J914" s="46">
        <f>EFEITO!$J$914*EFEITO!$Y$816</f>
        <v>0</v>
      </c>
      <c r="K914" s="46">
        <f ca="1">EFEITO!$L$914*EFEITO!$Z$816</f>
        <v>38731.541378531343</v>
      </c>
      <c r="L914" s="46">
        <f>EFEITO!$N$914*EFEITO!$AA$816</f>
        <v>74671.014084336479</v>
      </c>
      <c r="M914" s="46">
        <f>$J$914-EFEITO!$K$914*EFEITO!$Y$914</f>
        <v>0</v>
      </c>
      <c r="N914" s="46">
        <f ca="1">$K$914-EFEITO!$M$914*EFEITO!$Z$914</f>
        <v>1161.9462413559377</v>
      </c>
      <c r="O914" s="46">
        <f>$L$914-EFEITO!$O$914*EFEITO!$AA$914</f>
        <v>2240.1304225300992</v>
      </c>
      <c r="P914" s="38"/>
      <c r="Q914" s="38"/>
      <c r="R914" s="38"/>
      <c r="S914" s="38"/>
      <c r="T914" s="38"/>
      <c r="U914" s="38"/>
      <c r="V914" s="38"/>
      <c r="W914" s="38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</row>
    <row r="915" spans="1:36" ht="11.25" customHeight="1" x14ac:dyDescent="0.2">
      <c r="A915" s="35" t="s">
        <v>21</v>
      </c>
      <c r="B915" s="35" t="s">
        <v>41</v>
      </c>
      <c r="C915" s="35" t="s">
        <v>44</v>
      </c>
      <c r="D915" s="35" t="s">
        <v>52</v>
      </c>
      <c r="E915" s="35" t="s">
        <v>53</v>
      </c>
      <c r="F915" s="35" t="s">
        <v>25</v>
      </c>
      <c r="G915" s="35" t="s">
        <v>25</v>
      </c>
      <c r="H915" s="35" t="s">
        <v>37</v>
      </c>
      <c r="I915" s="45">
        <v>44682</v>
      </c>
      <c r="J915" s="46">
        <f>EFEITO!$J$915*EFEITO!$Y$816</f>
        <v>0</v>
      </c>
      <c r="K915" s="46">
        <f ca="1">EFEITO!$L$915*EFEITO!$Z$816</f>
        <v>321591.89441005653</v>
      </c>
      <c r="L915" s="46">
        <f>EFEITO!$N$915*EFEITO!$AA$816</f>
        <v>620000.96103101049</v>
      </c>
      <c r="M915" s="46">
        <f>$J$915-EFEITO!$K$915*EFEITO!$Y$915</f>
        <v>0</v>
      </c>
      <c r="N915" s="46">
        <f ca="1">$K$915-EFEITO!$M$915*EFEITO!$Z$915</f>
        <v>9647.7568323017331</v>
      </c>
      <c r="O915" s="46">
        <f>$L$915-EFEITO!$O$915*EFEITO!$AA$915</f>
        <v>18600.028830930358</v>
      </c>
      <c r="P915" s="38"/>
      <c r="Q915" s="38"/>
      <c r="R915" s="38"/>
      <c r="S915" s="38"/>
      <c r="T915" s="38"/>
      <c r="U915" s="38"/>
      <c r="V915" s="38"/>
      <c r="W915" s="38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</row>
    <row r="916" spans="1:36" ht="11.25" customHeight="1" x14ac:dyDescent="0.2">
      <c r="A916" s="35" t="s">
        <v>28</v>
      </c>
      <c r="B916" s="35" t="s">
        <v>41</v>
      </c>
      <c r="C916" s="35" t="s">
        <v>44</v>
      </c>
      <c r="D916" s="35" t="s">
        <v>52</v>
      </c>
      <c r="E916" s="35" t="s">
        <v>53</v>
      </c>
      <c r="F916" s="35" t="s">
        <v>25</v>
      </c>
      <c r="G916" s="35" t="s">
        <v>25</v>
      </c>
      <c r="H916" s="35" t="s">
        <v>37</v>
      </c>
      <c r="I916" s="45">
        <v>44682</v>
      </c>
      <c r="J916" s="46">
        <f>EFEITO!$J$916*EFEITO!$Y$816</f>
        <v>0</v>
      </c>
      <c r="K916" s="46">
        <f ca="1">EFEITO!$L$916*EFEITO!$Z$816</f>
        <v>39385.585752264298</v>
      </c>
      <c r="L916" s="46">
        <f>EFEITO!$N$916*EFEITO!$AA$816</f>
        <v>75931.95426137434</v>
      </c>
      <c r="M916" s="46">
        <f>$J$916-EFEITO!$K$916*EFEITO!$Y$916</f>
        <v>0</v>
      </c>
      <c r="N916" s="46">
        <f ca="1">$K$916-EFEITO!$M$916*EFEITO!$Z$916</f>
        <v>1181.5675725679248</v>
      </c>
      <c r="O916" s="46">
        <f>$L$916-EFEITO!$O$916*EFEITO!$AA$916</f>
        <v>2277.9586278412316</v>
      </c>
      <c r="P916" s="38"/>
      <c r="Q916" s="38"/>
      <c r="R916" s="38"/>
      <c r="S916" s="38"/>
      <c r="T916" s="38"/>
      <c r="U916" s="38"/>
      <c r="V916" s="38"/>
      <c r="W916" s="38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</row>
    <row r="917" spans="1:36" ht="11.25" customHeight="1" x14ac:dyDescent="0.2">
      <c r="A917" s="35" t="s">
        <v>21</v>
      </c>
      <c r="B917" s="35" t="s">
        <v>41</v>
      </c>
      <c r="C917" s="35" t="s">
        <v>44</v>
      </c>
      <c r="D917" s="35" t="s">
        <v>52</v>
      </c>
      <c r="E917" s="35" t="s">
        <v>53</v>
      </c>
      <c r="F917" s="35" t="s">
        <v>25</v>
      </c>
      <c r="G917" s="35" t="s">
        <v>25</v>
      </c>
      <c r="H917" s="35" t="s">
        <v>37</v>
      </c>
      <c r="I917" s="45">
        <v>44713</v>
      </c>
      <c r="J917" s="46">
        <f>EFEITO!$J$917*EFEITO!$Y$816</f>
        <v>0</v>
      </c>
      <c r="K917" s="46">
        <f ca="1">EFEITO!$L$917*EFEITO!$Z$816</f>
        <v>295506.91239188949</v>
      </c>
      <c r="L917" s="46">
        <f>EFEITO!$N$917*EFEITO!$AA$816</f>
        <v>569711.40398415714</v>
      </c>
      <c r="M917" s="46">
        <f>$J$917-EFEITO!$K$917*EFEITO!$Y$917</f>
        <v>0</v>
      </c>
      <c r="N917" s="46">
        <f ca="1">$K$917-EFEITO!$M$917*EFEITO!$Z$917</f>
        <v>8865.2073717566673</v>
      </c>
      <c r="O917" s="46">
        <f>$L$917-EFEITO!$O$917*EFEITO!$AA$917</f>
        <v>17091.342119524721</v>
      </c>
      <c r="P917" s="38"/>
      <c r="Q917" s="38"/>
      <c r="R917" s="38"/>
      <c r="S917" s="38"/>
      <c r="T917" s="38"/>
      <c r="U917" s="38"/>
      <c r="V917" s="38"/>
      <c r="W917" s="38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</row>
    <row r="918" spans="1:36" ht="11.25" customHeight="1" x14ac:dyDescent="0.2">
      <c r="A918" s="35" t="s">
        <v>28</v>
      </c>
      <c r="B918" s="35" t="s">
        <v>41</v>
      </c>
      <c r="C918" s="35" t="s">
        <v>44</v>
      </c>
      <c r="D918" s="35" t="s">
        <v>52</v>
      </c>
      <c r="E918" s="35" t="s">
        <v>53</v>
      </c>
      <c r="F918" s="35" t="s">
        <v>25</v>
      </c>
      <c r="G918" s="35" t="s">
        <v>25</v>
      </c>
      <c r="H918" s="35" t="s">
        <v>37</v>
      </c>
      <c r="I918" s="45">
        <v>44713</v>
      </c>
      <c r="J918" s="46">
        <f>EFEITO!$J$918*EFEITO!$Y$816</f>
        <v>0</v>
      </c>
      <c r="K918" s="46">
        <f ca="1">EFEITO!$L$918*EFEITO!$Z$816</f>
        <v>39712.381076704922</v>
      </c>
      <c r="L918" s="46">
        <f>EFEITO!$N$918*EFEITO!$AA$816</f>
        <v>76561.986979037552</v>
      </c>
      <c r="M918" s="46">
        <f>$J$918-EFEITO!$K$918*EFEITO!$Y$918</f>
        <v>0</v>
      </c>
      <c r="N918" s="46">
        <f ca="1">$K$918-EFEITO!$M$918*EFEITO!$Z$918</f>
        <v>1191.3714323011445</v>
      </c>
      <c r="O918" s="46">
        <f>$L$918-EFEITO!$O$918*EFEITO!$AA$918</f>
        <v>2296.8596093711385</v>
      </c>
      <c r="P918" s="38"/>
      <c r="Q918" s="38"/>
      <c r="R918" s="38"/>
      <c r="S918" s="38"/>
      <c r="T918" s="38"/>
      <c r="U918" s="38"/>
      <c r="V918" s="38"/>
      <c r="W918" s="38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</row>
    <row r="919" spans="1:36" ht="11.25" customHeight="1" x14ac:dyDescent="0.2">
      <c r="A919" s="35" t="s">
        <v>21</v>
      </c>
      <c r="B919" s="35" t="s">
        <v>41</v>
      </c>
      <c r="C919" s="35" t="s">
        <v>44</v>
      </c>
      <c r="D919" s="35" t="s">
        <v>52</v>
      </c>
      <c r="E919" s="35" t="s">
        <v>53</v>
      </c>
      <c r="F919" s="35" t="s">
        <v>25</v>
      </c>
      <c r="G919" s="35" t="s">
        <v>25</v>
      </c>
      <c r="H919" s="35" t="s">
        <v>37</v>
      </c>
      <c r="I919" s="45">
        <v>44743</v>
      </c>
      <c r="J919" s="46">
        <f>EFEITO!$J$919*EFEITO!$Y$816</f>
        <v>0</v>
      </c>
      <c r="K919" s="46">
        <f ca="1">EFEITO!$L$919*EFEITO!$Z$816</f>
        <v>324131.84612990182</v>
      </c>
      <c r="L919" s="46">
        <f>EFEITO!$N$919*EFEITO!$AA$816</f>
        <v>624897.76513164025</v>
      </c>
      <c r="M919" s="46">
        <f>$J$919-EFEITO!$K$919*EFEITO!$Y$919</f>
        <v>0</v>
      </c>
      <c r="N919" s="46">
        <f ca="1">$K$919-EFEITO!$M$919*EFEITO!$Z$919</f>
        <v>9723.9553838970605</v>
      </c>
      <c r="O919" s="46">
        <f>$L$919-EFEITO!$O$919*EFEITO!$AA$919</f>
        <v>18746.932953949203</v>
      </c>
      <c r="P919" s="38"/>
      <c r="Q919" s="38"/>
      <c r="R919" s="38"/>
      <c r="S919" s="38"/>
      <c r="T919" s="38"/>
      <c r="U919" s="38"/>
      <c r="V919" s="38"/>
      <c r="W919" s="38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</row>
    <row r="920" spans="1:36" ht="11.25" customHeight="1" x14ac:dyDescent="0.2">
      <c r="A920" s="35" t="s">
        <v>27</v>
      </c>
      <c r="B920" s="35" t="s">
        <v>41</v>
      </c>
      <c r="C920" s="35" t="s">
        <v>44</v>
      </c>
      <c r="D920" s="35" t="s">
        <v>52</v>
      </c>
      <c r="E920" s="35" t="s">
        <v>53</v>
      </c>
      <c r="F920" s="35" t="s">
        <v>25</v>
      </c>
      <c r="G920" s="35" t="s">
        <v>25</v>
      </c>
      <c r="H920" s="35" t="s">
        <v>37</v>
      </c>
      <c r="I920" s="45">
        <v>44743</v>
      </c>
      <c r="J920" s="46">
        <f>EFEITO!$J$920*EFEITO!$Y$816</f>
        <v>0</v>
      </c>
      <c r="K920" s="46">
        <f ca="1">EFEITO!$L$920*EFEITO!$Z$816</f>
        <v>-39383.317128005772</v>
      </c>
      <c r="L920" s="46">
        <f>EFEITO!$N$920*EFEITO!$AA$816</f>
        <v>-75927.580552817148</v>
      </c>
      <c r="M920" s="46">
        <f>$J$920-EFEITO!$K$920*EFEITO!$Y$920</f>
        <v>0</v>
      </c>
      <c r="N920" s="46">
        <f ca="1">$K$920-EFEITO!$M$920*EFEITO!$Z$920</f>
        <v>-1181.4995138401719</v>
      </c>
      <c r="O920" s="46">
        <f>$L$920-EFEITO!$O$920*EFEITO!$AA$920</f>
        <v>-2277.8274165845214</v>
      </c>
      <c r="P920" s="38"/>
      <c r="Q920" s="38"/>
      <c r="R920" s="38"/>
      <c r="S920" s="38"/>
      <c r="T920" s="38"/>
      <c r="U920" s="38"/>
      <c r="V920" s="38"/>
      <c r="W920" s="38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</row>
    <row r="921" spans="1:36" ht="11.25" customHeight="1" x14ac:dyDescent="0.2">
      <c r="A921" s="35" t="s">
        <v>28</v>
      </c>
      <c r="B921" s="35" t="s">
        <v>41</v>
      </c>
      <c r="C921" s="35" t="s">
        <v>44</v>
      </c>
      <c r="D921" s="35" t="s">
        <v>52</v>
      </c>
      <c r="E921" s="35" t="s">
        <v>53</v>
      </c>
      <c r="F921" s="35" t="s">
        <v>25</v>
      </c>
      <c r="G921" s="35" t="s">
        <v>25</v>
      </c>
      <c r="H921" s="35" t="s">
        <v>37</v>
      </c>
      <c r="I921" s="45">
        <v>44743</v>
      </c>
      <c r="J921" s="46">
        <f>EFEITO!$J$921*EFEITO!$Y$816</f>
        <v>0</v>
      </c>
      <c r="K921" s="46">
        <f ca="1">EFEITO!$L$921*EFEITO!$Z$816</f>
        <v>39219.295594114366</v>
      </c>
      <c r="L921" s="46">
        <f>EFEITO!$N$921*EFEITO!$AA$816</f>
        <v>75611.361424132323</v>
      </c>
      <c r="M921" s="46">
        <f>$J$921-EFEITO!$K$921*EFEITO!$Y$921</f>
        <v>0</v>
      </c>
      <c r="N921" s="46">
        <f ca="1">$K$921-EFEITO!$M$921*EFEITO!$Z$921</f>
        <v>1176.5788678234312</v>
      </c>
      <c r="O921" s="46">
        <f>$L$921-EFEITO!$O$921*EFEITO!$AA$921</f>
        <v>2268.3408427239774</v>
      </c>
      <c r="P921" s="38"/>
      <c r="Q921" s="38"/>
      <c r="R921" s="38"/>
      <c r="S921" s="38"/>
      <c r="T921" s="38"/>
      <c r="U921" s="38"/>
      <c r="V921" s="38"/>
      <c r="W921" s="38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</row>
    <row r="922" spans="1:36" ht="11.25" customHeight="1" x14ac:dyDescent="0.2">
      <c r="A922" s="35" t="s">
        <v>21</v>
      </c>
      <c r="B922" s="35" t="s">
        <v>41</v>
      </c>
      <c r="C922" s="35" t="s">
        <v>44</v>
      </c>
      <c r="D922" s="35" t="s">
        <v>52</v>
      </c>
      <c r="E922" s="35" t="s">
        <v>53</v>
      </c>
      <c r="F922" s="35" t="s">
        <v>25</v>
      </c>
      <c r="G922" s="35" t="s">
        <v>25</v>
      </c>
      <c r="H922" s="35" t="s">
        <v>37</v>
      </c>
      <c r="I922" s="45">
        <v>44774</v>
      </c>
      <c r="J922" s="46">
        <f>EFEITO!$J$922*EFEITO!$Y$816</f>
        <v>0</v>
      </c>
      <c r="K922" s="46">
        <f ca="1">EFEITO!$L$922*EFEITO!$Z$816</f>
        <v>335654.18873895379</v>
      </c>
      <c r="L922" s="46">
        <f>EFEITO!$N$922*EFEITO!$AA$816</f>
        <v>647111.83089360793</v>
      </c>
      <c r="M922" s="46">
        <f>$J$922-EFEITO!$K$922*EFEITO!$Y$922</f>
        <v>0</v>
      </c>
      <c r="N922" s="46">
        <f ca="1">$K$922-EFEITO!$M$922*EFEITO!$Z$922</f>
        <v>10069.625662168604</v>
      </c>
      <c r="O922" s="46">
        <f>$L$922-EFEITO!$O$922*EFEITO!$AA$922</f>
        <v>19413.354926808272</v>
      </c>
      <c r="P922" s="38"/>
      <c r="Q922" s="38"/>
      <c r="R922" s="38"/>
      <c r="S922" s="38"/>
      <c r="T922" s="38"/>
      <c r="U922" s="38"/>
      <c r="V922" s="38"/>
      <c r="W922" s="38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</row>
    <row r="923" spans="1:36" ht="11.25" customHeight="1" x14ac:dyDescent="0.2">
      <c r="A923" s="35" t="s">
        <v>27</v>
      </c>
      <c r="B923" s="35" t="s">
        <v>41</v>
      </c>
      <c r="C923" s="35" t="s">
        <v>44</v>
      </c>
      <c r="D923" s="35" t="s">
        <v>52</v>
      </c>
      <c r="E923" s="35" t="s">
        <v>53</v>
      </c>
      <c r="F923" s="35" t="s">
        <v>25</v>
      </c>
      <c r="G923" s="35" t="s">
        <v>25</v>
      </c>
      <c r="H923" s="35" t="s">
        <v>37</v>
      </c>
      <c r="I923" s="45">
        <v>44774</v>
      </c>
      <c r="J923" s="46">
        <f>EFEITO!$J$923*EFEITO!$Y$816</f>
        <v>0</v>
      </c>
      <c r="K923" s="46">
        <f ca="1">EFEITO!$L$923*EFEITO!$Z$816</f>
        <v>-8408.7692454383523</v>
      </c>
      <c r="L923" s="46">
        <f>EFEITO!$N$923*EFEITO!$AA$816</f>
        <v>-16211.369452652327</v>
      </c>
      <c r="M923" s="46">
        <f>$J$923-EFEITO!$K$923*EFEITO!$Y$923</f>
        <v>0</v>
      </c>
      <c r="N923" s="46">
        <f ca="1">$K$923-EFEITO!$M$923*EFEITO!$Z$923</f>
        <v>-252.26307736315084</v>
      </c>
      <c r="O923" s="46">
        <f>$L$923-EFEITO!$O$923*EFEITO!$AA$923</f>
        <v>-486.34108357956939</v>
      </c>
      <c r="P923" s="38"/>
      <c r="Q923" s="38"/>
      <c r="R923" s="38"/>
      <c r="S923" s="38"/>
      <c r="T923" s="38"/>
      <c r="U923" s="38"/>
      <c r="V923" s="38"/>
      <c r="W923" s="38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</row>
    <row r="924" spans="1:36" ht="11.25" customHeight="1" x14ac:dyDescent="0.2">
      <c r="A924" s="35" t="s">
        <v>28</v>
      </c>
      <c r="B924" s="35" t="s">
        <v>41</v>
      </c>
      <c r="C924" s="35" t="s">
        <v>44</v>
      </c>
      <c r="D924" s="35" t="s">
        <v>52</v>
      </c>
      <c r="E924" s="35" t="s">
        <v>53</v>
      </c>
      <c r="F924" s="35" t="s">
        <v>25</v>
      </c>
      <c r="G924" s="35" t="s">
        <v>25</v>
      </c>
      <c r="H924" s="35" t="s">
        <v>37</v>
      </c>
      <c r="I924" s="45">
        <v>44774</v>
      </c>
      <c r="J924" s="46">
        <f>EFEITO!$J$924*EFEITO!$Y$816</f>
        <v>0</v>
      </c>
      <c r="K924" s="46">
        <f ca="1">EFEITO!$L$924*EFEITO!$Z$816</f>
        <v>39398.063185686187</v>
      </c>
      <c r="L924" s="46">
        <f>EFEITO!$N$924*EFEITO!$AA$816</f>
        <v>75956.009658438881</v>
      </c>
      <c r="M924" s="46">
        <f>$J$924-EFEITO!$K$924*EFEITO!$Y$924</f>
        <v>0</v>
      </c>
      <c r="N924" s="46">
        <f ca="1">$K$924-EFEITO!$M$924*EFEITO!$Z$924</f>
        <v>1181.9418955705842</v>
      </c>
      <c r="O924" s="46">
        <f>$L$924-EFEITO!$O$924*EFEITO!$AA$924</f>
        <v>2278.6802897531743</v>
      </c>
      <c r="P924" s="38"/>
      <c r="Q924" s="38"/>
      <c r="R924" s="38"/>
      <c r="S924" s="38"/>
      <c r="T924" s="38"/>
      <c r="U924" s="38"/>
      <c r="V924" s="38"/>
      <c r="W924" s="38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</row>
    <row r="925" spans="1:36" ht="11.25" customHeight="1" x14ac:dyDescent="0.2">
      <c r="A925" s="35" t="s">
        <v>21</v>
      </c>
      <c r="B925" s="35" t="s">
        <v>41</v>
      </c>
      <c r="C925" s="35" t="s">
        <v>44</v>
      </c>
      <c r="D925" s="35" t="s">
        <v>52</v>
      </c>
      <c r="E925" s="35" t="s">
        <v>53</v>
      </c>
      <c r="F925" s="35" t="s">
        <v>25</v>
      </c>
      <c r="G925" s="35" t="s">
        <v>25</v>
      </c>
      <c r="H925" s="35" t="s">
        <v>37</v>
      </c>
      <c r="I925" s="45">
        <v>44805</v>
      </c>
      <c r="J925" s="46">
        <f>EFEITO!$J$925*EFEITO!$Y$816</f>
        <v>0</v>
      </c>
      <c r="K925" s="46">
        <f ca="1">EFEITO!$L$925*EFEITO!$Z$816</f>
        <v>316421.01913759892</v>
      </c>
      <c r="L925" s="46">
        <f>EFEITO!$N$925*EFEITO!$AA$816</f>
        <v>610031.96711660747</v>
      </c>
      <c r="M925" s="46">
        <f>$J$925-EFEITO!$K$925*EFEITO!$Y$925</f>
        <v>0</v>
      </c>
      <c r="N925" s="46">
        <f ca="1">$K$925-EFEITO!$M$925*EFEITO!$Z$925</f>
        <v>9492.6305741279502</v>
      </c>
      <c r="O925" s="46">
        <f>$L$925-EFEITO!$O$925*EFEITO!$AA$925</f>
        <v>18300.959013498272</v>
      </c>
      <c r="P925" s="38"/>
      <c r="Q925" s="38"/>
      <c r="R925" s="38"/>
      <c r="S925" s="38"/>
      <c r="T925" s="38"/>
      <c r="U925" s="38"/>
      <c r="V925" s="38"/>
      <c r="W925" s="38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</row>
    <row r="926" spans="1:36" ht="11.25" customHeight="1" x14ac:dyDescent="0.2">
      <c r="A926" s="35" t="s">
        <v>28</v>
      </c>
      <c r="B926" s="35" t="s">
        <v>41</v>
      </c>
      <c r="C926" s="35" t="s">
        <v>44</v>
      </c>
      <c r="D926" s="35" t="s">
        <v>52</v>
      </c>
      <c r="E926" s="35" t="s">
        <v>53</v>
      </c>
      <c r="F926" s="35" t="s">
        <v>25</v>
      </c>
      <c r="G926" s="35" t="s">
        <v>25</v>
      </c>
      <c r="H926" s="35" t="s">
        <v>37</v>
      </c>
      <c r="I926" s="45">
        <v>44805</v>
      </c>
      <c r="J926" s="46">
        <f>EFEITO!$J$926*EFEITO!$Y$816</f>
        <v>0</v>
      </c>
      <c r="K926" s="46">
        <f ca="1">EFEITO!$L$926*EFEITO!$Z$816</f>
        <v>39142.048938111562</v>
      </c>
      <c r="L926" s="46">
        <f>EFEITO!$N$926*EFEITO!$AA$816</f>
        <v>75462.436647759998</v>
      </c>
      <c r="M926" s="46">
        <f>$J$926-EFEITO!$K$926*EFEITO!$Y$926</f>
        <v>0</v>
      </c>
      <c r="N926" s="46">
        <f ca="1">$K$926-EFEITO!$M$926*EFEITO!$Z$926</f>
        <v>1174.2614681433479</v>
      </c>
      <c r="O926" s="46">
        <f>$L$926-EFEITO!$O$926*EFEITO!$AA$926</f>
        <v>2263.8730994328071</v>
      </c>
      <c r="P926" s="38"/>
      <c r="Q926" s="38"/>
      <c r="R926" s="38"/>
      <c r="S926" s="38"/>
      <c r="T926" s="38"/>
      <c r="U926" s="38"/>
      <c r="V926" s="38"/>
      <c r="W926" s="38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</row>
    <row r="927" spans="1:36" ht="11.25" customHeight="1" x14ac:dyDescent="0.2">
      <c r="A927" s="35" t="s">
        <v>21</v>
      </c>
      <c r="B927" s="35" t="s">
        <v>41</v>
      </c>
      <c r="C927" s="35" t="s">
        <v>44</v>
      </c>
      <c r="D927" s="35" t="s">
        <v>52</v>
      </c>
      <c r="E927" s="35" t="s">
        <v>53</v>
      </c>
      <c r="F927" s="35" t="s">
        <v>25</v>
      </c>
      <c r="G927" s="35" t="s">
        <v>25</v>
      </c>
      <c r="H927" s="35" t="s">
        <v>37</v>
      </c>
      <c r="I927" s="45">
        <v>44835</v>
      </c>
      <c r="J927" s="46">
        <f>EFEITO!$J$927*EFEITO!$Y$816</f>
        <v>0</v>
      </c>
      <c r="K927" s="46">
        <f ca="1">EFEITO!$L$927*EFEITO!$Z$816</f>
        <v>318041.7243078897</v>
      </c>
      <c r="L927" s="46">
        <f>EFEITO!$N$927*EFEITO!$AA$816</f>
        <v>613156.54450986395</v>
      </c>
      <c r="M927" s="46">
        <f>$J$927-EFEITO!$K$927*EFEITO!$Y$927</f>
        <v>0</v>
      </c>
      <c r="N927" s="46">
        <f ca="1">$K$927-EFEITO!$M$927*EFEITO!$Z$927</f>
        <v>9541.2517292366829</v>
      </c>
      <c r="O927" s="46">
        <f>$L$927-EFEITO!$O$927*EFEITO!$AA$927</f>
        <v>18394.696335295914</v>
      </c>
      <c r="P927" s="38"/>
      <c r="Q927" s="38"/>
      <c r="R927" s="38"/>
      <c r="S927" s="38"/>
      <c r="T927" s="38"/>
      <c r="U927" s="38"/>
      <c r="V927" s="38"/>
      <c r="W927" s="38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</row>
    <row r="928" spans="1:36" ht="11.25" customHeight="1" x14ac:dyDescent="0.2">
      <c r="A928" s="35" t="s">
        <v>28</v>
      </c>
      <c r="B928" s="35" t="s">
        <v>41</v>
      </c>
      <c r="C928" s="35" t="s">
        <v>44</v>
      </c>
      <c r="D928" s="35" t="s">
        <v>52</v>
      </c>
      <c r="E928" s="35" t="s">
        <v>53</v>
      </c>
      <c r="F928" s="35" t="s">
        <v>25</v>
      </c>
      <c r="G928" s="35" t="s">
        <v>25</v>
      </c>
      <c r="H928" s="35" t="s">
        <v>37</v>
      </c>
      <c r="I928" s="45">
        <v>44835</v>
      </c>
      <c r="J928" s="46">
        <f>EFEITO!$J$928*EFEITO!$Y$816</f>
        <v>0</v>
      </c>
      <c r="K928" s="46">
        <f ca="1">EFEITO!$L$928*EFEITO!$Z$816</f>
        <v>43918.2970207986</v>
      </c>
      <c r="L928" s="46">
        <f>EFEITO!$N$928*EFEITO!$AA$816</f>
        <v>84670.623958639815</v>
      </c>
      <c r="M928" s="46">
        <f>$J$928-EFEITO!$K$928*EFEITO!$Y$928</f>
        <v>0</v>
      </c>
      <c r="N928" s="46">
        <f ca="1">$K$928-EFEITO!$M$928*EFEITO!$Z$928</f>
        <v>1317.5489106239547</v>
      </c>
      <c r="O928" s="46">
        <f>$L$928-EFEITO!$O$928*EFEITO!$AA$928</f>
        <v>2540.1187187592004</v>
      </c>
      <c r="P928" s="38"/>
      <c r="Q928" s="38"/>
      <c r="R928" s="38"/>
      <c r="S928" s="38"/>
      <c r="T928" s="38"/>
      <c r="U928" s="38"/>
      <c r="V928" s="38"/>
      <c r="W928" s="38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</row>
    <row r="929" spans="1:36" ht="11.25" customHeight="1" x14ac:dyDescent="0.2">
      <c r="A929" s="35" t="s">
        <v>59</v>
      </c>
      <c r="B929" s="35" t="s">
        <v>41</v>
      </c>
      <c r="C929" s="35" t="s">
        <v>44</v>
      </c>
      <c r="D929" s="35" t="s">
        <v>52</v>
      </c>
      <c r="E929" s="35" t="s">
        <v>53</v>
      </c>
      <c r="F929" s="35" t="s">
        <v>25</v>
      </c>
      <c r="G929" s="35" t="s">
        <v>25</v>
      </c>
      <c r="H929" s="35" t="s">
        <v>37</v>
      </c>
      <c r="I929" s="45">
        <v>44866</v>
      </c>
      <c r="J929" s="46">
        <f>EFEITO!$J$929*EFEITO!$Y$816</f>
        <v>0</v>
      </c>
      <c r="K929" s="46">
        <f ca="1">EFEITO!$L$929*EFEITO!$Z$816</f>
        <v>318041.7243078897</v>
      </c>
      <c r="L929" s="46">
        <f>EFEITO!$N$929*EFEITO!$AA$816</f>
        <v>613156.54450986395</v>
      </c>
      <c r="M929" s="46">
        <f>$J$929-EFEITO!$K$929*EFEITO!$Y$929</f>
        <v>0</v>
      </c>
      <c r="N929" s="46">
        <f ca="1">$K$929-EFEITO!$M$929*EFEITO!$Z$929</f>
        <v>9541.2517292366829</v>
      </c>
      <c r="O929" s="46">
        <f>$L$929-EFEITO!$O$929*EFEITO!$AA$929</f>
        <v>18394.696335295914</v>
      </c>
      <c r="P929" s="38"/>
      <c r="Q929" s="38"/>
      <c r="R929" s="38"/>
      <c r="S929" s="38"/>
      <c r="T929" s="38"/>
      <c r="U929" s="38"/>
      <c r="V929" s="38"/>
      <c r="W929" s="38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</row>
    <row r="930" spans="1:36" ht="11.25" customHeight="1" x14ac:dyDescent="0.2">
      <c r="A930" s="35" t="s">
        <v>59</v>
      </c>
      <c r="B930" s="35" t="s">
        <v>41</v>
      </c>
      <c r="C930" s="35" t="s">
        <v>44</v>
      </c>
      <c r="D930" s="35" t="s">
        <v>52</v>
      </c>
      <c r="E930" s="35" t="s">
        <v>53</v>
      </c>
      <c r="F930" s="35" t="s">
        <v>25</v>
      </c>
      <c r="G930" s="35" t="s">
        <v>25</v>
      </c>
      <c r="H930" s="35" t="s">
        <v>37</v>
      </c>
      <c r="I930" s="45">
        <v>44866</v>
      </c>
      <c r="J930" s="46">
        <f>EFEITO!$J$930*EFEITO!$Y$816</f>
        <v>0</v>
      </c>
      <c r="K930" s="46">
        <f ca="1">EFEITO!$L$930*EFEITO!$Z$816</f>
        <v>43918.2970207986</v>
      </c>
      <c r="L930" s="46">
        <f>EFEITO!$N$930*EFEITO!$AA$816</f>
        <v>84670.623958639815</v>
      </c>
      <c r="M930" s="46">
        <f>$J$930-EFEITO!$K$930*EFEITO!$Y$930</f>
        <v>0</v>
      </c>
      <c r="N930" s="46">
        <f ca="1">$K$930-EFEITO!$M$930*EFEITO!$Z$930</f>
        <v>1317.5489106239547</v>
      </c>
      <c r="O930" s="46">
        <f>$L$930-EFEITO!$O$930*EFEITO!$AA$930</f>
        <v>2540.1187187592004</v>
      </c>
      <c r="P930" s="38"/>
      <c r="Q930" s="38"/>
      <c r="R930" s="38"/>
      <c r="S930" s="38"/>
      <c r="T930" s="38"/>
      <c r="U930" s="38"/>
      <c r="V930" s="38"/>
      <c r="W930" s="38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</row>
    <row r="931" spans="1:36" ht="11.25" customHeight="1" x14ac:dyDescent="0.2">
      <c r="A931" s="35" t="s">
        <v>21</v>
      </c>
      <c r="B931" s="35" t="s">
        <v>41</v>
      </c>
      <c r="C931" s="35" t="s">
        <v>44</v>
      </c>
      <c r="D931" s="35" t="s">
        <v>52</v>
      </c>
      <c r="E931" s="35" t="s">
        <v>53</v>
      </c>
      <c r="F931" s="35" t="s">
        <v>25</v>
      </c>
      <c r="G931" s="35" t="s">
        <v>25</v>
      </c>
      <c r="H931" s="35" t="s">
        <v>25</v>
      </c>
      <c r="I931" s="45">
        <v>44531</v>
      </c>
      <c r="J931" s="46">
        <f ca="1">EFEITO!$J$931*EFEITO!$Y$854</f>
        <v>117115.03261001261</v>
      </c>
      <c r="K931" s="46">
        <f>EFEITO!$L$931*EFEITO!$Z$854</f>
        <v>0</v>
      </c>
      <c r="L931" s="46">
        <f>EFEITO!$N$931*EFEITO!$AA$854</f>
        <v>0</v>
      </c>
      <c r="M931" s="46">
        <f ca="1">$J$931-EFEITO!$K$931*EFEITO!$Y$931</f>
        <v>3513.4509783003887</v>
      </c>
      <c r="N931" s="46">
        <f>$K$931-EFEITO!$M$931*EFEITO!$Z$931</f>
        <v>0</v>
      </c>
      <c r="O931" s="46">
        <f>$L$931-EFEITO!$O$931*EFEITO!$AA$931</f>
        <v>0</v>
      </c>
      <c r="P931" s="38"/>
      <c r="Q931" s="38"/>
      <c r="R931" s="38"/>
      <c r="S931" s="38"/>
      <c r="T931" s="38"/>
      <c r="U931" s="38"/>
      <c r="V931" s="38"/>
      <c r="W931" s="38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</row>
    <row r="932" spans="1:36" ht="11.25" customHeight="1" x14ac:dyDescent="0.2">
      <c r="A932" s="35" t="s">
        <v>28</v>
      </c>
      <c r="B932" s="35" t="s">
        <v>41</v>
      </c>
      <c r="C932" s="35" t="s">
        <v>44</v>
      </c>
      <c r="D932" s="35" t="s">
        <v>52</v>
      </c>
      <c r="E932" s="35" t="s">
        <v>53</v>
      </c>
      <c r="F932" s="35" t="s">
        <v>25</v>
      </c>
      <c r="G932" s="35" t="s">
        <v>25</v>
      </c>
      <c r="H932" s="35" t="s">
        <v>25</v>
      </c>
      <c r="I932" s="45">
        <v>44531</v>
      </c>
      <c r="J932" s="46">
        <f ca="1">EFEITO!$J$932*EFEITO!$Y$854</f>
        <v>20182.29482929103</v>
      </c>
      <c r="K932" s="46">
        <f>EFEITO!$L$932*EFEITO!$Z$854</f>
        <v>0</v>
      </c>
      <c r="L932" s="46">
        <f>EFEITO!$N$932*EFEITO!$AA$854</f>
        <v>0</v>
      </c>
      <c r="M932" s="46">
        <f ca="1">$J$932-EFEITO!$K$932*EFEITO!$Y$932</f>
        <v>605.46884487873103</v>
      </c>
      <c r="N932" s="46">
        <f>$K$932-EFEITO!$M$932*EFEITO!$Z$932</f>
        <v>0</v>
      </c>
      <c r="O932" s="46">
        <f>$L$932-EFEITO!$O$932*EFEITO!$AA$932</f>
        <v>0</v>
      </c>
      <c r="P932" s="38"/>
      <c r="Q932" s="38"/>
      <c r="R932" s="38"/>
      <c r="S932" s="38"/>
      <c r="T932" s="38"/>
      <c r="U932" s="38"/>
      <c r="V932" s="38"/>
      <c r="W932" s="38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</row>
    <row r="933" spans="1:36" ht="11.25" customHeight="1" x14ac:dyDescent="0.2">
      <c r="A933" s="35" t="s">
        <v>21</v>
      </c>
      <c r="B933" s="35" t="s">
        <v>41</v>
      </c>
      <c r="C933" s="35" t="s">
        <v>44</v>
      </c>
      <c r="D933" s="35" t="s">
        <v>52</v>
      </c>
      <c r="E933" s="35" t="s">
        <v>53</v>
      </c>
      <c r="F933" s="35" t="s">
        <v>25</v>
      </c>
      <c r="G933" s="35" t="s">
        <v>25</v>
      </c>
      <c r="H933" s="35" t="s">
        <v>25</v>
      </c>
      <c r="I933" s="45">
        <v>44562</v>
      </c>
      <c r="J933" s="46">
        <f ca="1">EFEITO!$J$933*EFEITO!$Y$854</f>
        <v>136781.94708104798</v>
      </c>
      <c r="K933" s="46">
        <f>EFEITO!$L$933*EFEITO!$Z$854</f>
        <v>0</v>
      </c>
      <c r="L933" s="46">
        <f>EFEITO!$N$933*EFEITO!$AA$854</f>
        <v>0</v>
      </c>
      <c r="M933" s="46">
        <f ca="1">$J$933-EFEITO!$K$933*EFEITO!$Y$933</f>
        <v>4103.4584124314424</v>
      </c>
      <c r="N933" s="46">
        <f>$K$933-EFEITO!$M$933*EFEITO!$Z$933</f>
        <v>0</v>
      </c>
      <c r="O933" s="46">
        <f>$L$933-EFEITO!$O$933*EFEITO!$AA$933</f>
        <v>0</v>
      </c>
      <c r="P933" s="38"/>
      <c r="Q933" s="38"/>
      <c r="R933" s="38"/>
      <c r="S933" s="38"/>
      <c r="T933" s="38"/>
      <c r="U933" s="38"/>
      <c r="V933" s="38"/>
      <c r="W933" s="38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</row>
    <row r="934" spans="1:36" ht="11.25" customHeight="1" x14ac:dyDescent="0.2">
      <c r="A934" s="35" t="s">
        <v>28</v>
      </c>
      <c r="B934" s="35" t="s">
        <v>41</v>
      </c>
      <c r="C934" s="35" t="s">
        <v>44</v>
      </c>
      <c r="D934" s="35" t="s">
        <v>52</v>
      </c>
      <c r="E934" s="35" t="s">
        <v>53</v>
      </c>
      <c r="F934" s="35" t="s">
        <v>25</v>
      </c>
      <c r="G934" s="35" t="s">
        <v>25</v>
      </c>
      <c r="H934" s="35" t="s">
        <v>25</v>
      </c>
      <c r="I934" s="45">
        <v>44562</v>
      </c>
      <c r="J934" s="46">
        <f ca="1">EFEITO!$J$934*EFEITO!$Y$854</f>
        <v>19893.681828667872</v>
      </c>
      <c r="K934" s="46">
        <f>EFEITO!$L$934*EFEITO!$Z$854</f>
        <v>0</v>
      </c>
      <c r="L934" s="46">
        <f>EFEITO!$N$934*EFEITO!$AA$854</f>
        <v>0</v>
      </c>
      <c r="M934" s="46">
        <f ca="1">$J$934-EFEITO!$K$934*EFEITO!$Y$934</f>
        <v>596.81045486003859</v>
      </c>
      <c r="N934" s="46">
        <f>$K$934-EFEITO!$M$934*EFEITO!$Z$934</f>
        <v>0</v>
      </c>
      <c r="O934" s="46">
        <f>$L$934-EFEITO!$O$934*EFEITO!$AA$934</f>
        <v>0</v>
      </c>
      <c r="P934" s="38"/>
      <c r="Q934" s="38"/>
      <c r="R934" s="38"/>
      <c r="S934" s="38"/>
      <c r="T934" s="38"/>
      <c r="U934" s="38"/>
      <c r="V934" s="38"/>
      <c r="W934" s="38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</row>
    <row r="935" spans="1:36" ht="11.25" customHeight="1" x14ac:dyDescent="0.2">
      <c r="A935" s="35" t="s">
        <v>21</v>
      </c>
      <c r="B935" s="35" t="s">
        <v>41</v>
      </c>
      <c r="C935" s="35" t="s">
        <v>44</v>
      </c>
      <c r="D935" s="35" t="s">
        <v>52</v>
      </c>
      <c r="E935" s="35" t="s">
        <v>53</v>
      </c>
      <c r="F935" s="35" t="s">
        <v>25</v>
      </c>
      <c r="G935" s="35" t="s">
        <v>25</v>
      </c>
      <c r="H935" s="35" t="s">
        <v>25</v>
      </c>
      <c r="I935" s="45">
        <v>44593</v>
      </c>
      <c r="J935" s="46">
        <f ca="1">EFEITO!$J$935*EFEITO!$Y$854</f>
        <v>132535.21292902148</v>
      </c>
      <c r="K935" s="46">
        <f>EFEITO!$L$935*EFEITO!$Z$854</f>
        <v>0</v>
      </c>
      <c r="L935" s="46">
        <f>EFEITO!$N$935*EFEITO!$AA$854</f>
        <v>0</v>
      </c>
      <c r="M935" s="46">
        <f ca="1">$J$935-EFEITO!$K$935*EFEITO!$Y$935</f>
        <v>3976.0563878706453</v>
      </c>
      <c r="N935" s="46">
        <f>$K$935-EFEITO!$M$935*EFEITO!$Z$935</f>
        <v>0</v>
      </c>
      <c r="O935" s="46">
        <f>$L$935-EFEITO!$O$935*EFEITO!$AA$935</f>
        <v>0</v>
      </c>
      <c r="P935" s="38"/>
      <c r="Q935" s="38"/>
      <c r="R935" s="38"/>
      <c r="S935" s="38"/>
      <c r="T935" s="38"/>
      <c r="U935" s="38"/>
      <c r="V935" s="38"/>
      <c r="W935" s="38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</row>
    <row r="936" spans="1:36" ht="11.25" customHeight="1" x14ac:dyDescent="0.2">
      <c r="A936" s="35" t="s">
        <v>28</v>
      </c>
      <c r="B936" s="35" t="s">
        <v>41</v>
      </c>
      <c r="C936" s="35" t="s">
        <v>44</v>
      </c>
      <c r="D936" s="35" t="s">
        <v>52</v>
      </c>
      <c r="E936" s="35" t="s">
        <v>53</v>
      </c>
      <c r="F936" s="35" t="s">
        <v>25</v>
      </c>
      <c r="G936" s="35" t="s">
        <v>25</v>
      </c>
      <c r="H936" s="35" t="s">
        <v>25</v>
      </c>
      <c r="I936" s="45">
        <v>44593</v>
      </c>
      <c r="J936" s="46">
        <f ca="1">EFEITO!$J$936*EFEITO!$Y$854</f>
        <v>19996.757900319</v>
      </c>
      <c r="K936" s="46">
        <f>EFEITO!$L$936*EFEITO!$Z$854</f>
        <v>0</v>
      </c>
      <c r="L936" s="46">
        <f>EFEITO!$N$936*EFEITO!$AA$854</f>
        <v>0</v>
      </c>
      <c r="M936" s="46">
        <f ca="1">$J$936-EFEITO!$K$936*EFEITO!$Y$936</f>
        <v>599.90273700957187</v>
      </c>
      <c r="N936" s="46">
        <f>$K$936-EFEITO!$M$936*EFEITO!$Z$936</f>
        <v>0</v>
      </c>
      <c r="O936" s="46">
        <f>$L$936-EFEITO!$O$936*EFEITO!$AA$936</f>
        <v>0</v>
      </c>
      <c r="P936" s="38"/>
      <c r="Q936" s="38"/>
      <c r="R936" s="38"/>
      <c r="S936" s="38"/>
      <c r="T936" s="38"/>
      <c r="U936" s="38"/>
      <c r="V936" s="38"/>
      <c r="W936" s="38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</row>
    <row r="937" spans="1:36" ht="11.25" customHeight="1" x14ac:dyDescent="0.2">
      <c r="A937" s="35" t="s">
        <v>21</v>
      </c>
      <c r="B937" s="35" t="s">
        <v>41</v>
      </c>
      <c r="C937" s="35" t="s">
        <v>44</v>
      </c>
      <c r="D937" s="35" t="s">
        <v>52</v>
      </c>
      <c r="E937" s="35" t="s">
        <v>53</v>
      </c>
      <c r="F937" s="35" t="s">
        <v>25</v>
      </c>
      <c r="G937" s="35" t="s">
        <v>25</v>
      </c>
      <c r="H937" s="35" t="s">
        <v>25</v>
      </c>
      <c r="I937" s="45">
        <v>44621</v>
      </c>
      <c r="J937" s="46">
        <f ca="1">EFEITO!$J$937*EFEITO!$Y$854</f>
        <v>132576.44335768194</v>
      </c>
      <c r="K937" s="46">
        <f>EFEITO!$L$937*EFEITO!$Z$854</f>
        <v>0</v>
      </c>
      <c r="L937" s="46">
        <f>EFEITO!$N$937*EFEITO!$AA$854</f>
        <v>0</v>
      </c>
      <c r="M937" s="46">
        <f ca="1">$J$937-EFEITO!$K$937*EFEITO!$Y$937</f>
        <v>3977.2933007304673</v>
      </c>
      <c r="N937" s="46">
        <f>$K$937-EFEITO!$M$937*EFEITO!$Z$937</f>
        <v>0</v>
      </c>
      <c r="O937" s="46">
        <f>$L$937-EFEITO!$O$937*EFEITO!$AA$937</f>
        <v>0</v>
      </c>
      <c r="P937" s="38"/>
      <c r="Q937" s="38"/>
      <c r="R937" s="38"/>
      <c r="S937" s="38"/>
      <c r="T937" s="38"/>
      <c r="U937" s="38"/>
      <c r="V937" s="38"/>
      <c r="W937" s="38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</row>
    <row r="938" spans="1:36" ht="11.25" customHeight="1" x14ac:dyDescent="0.2">
      <c r="A938" s="35" t="s">
        <v>28</v>
      </c>
      <c r="B938" s="35" t="s">
        <v>41</v>
      </c>
      <c r="C938" s="35" t="s">
        <v>44</v>
      </c>
      <c r="D938" s="35" t="s">
        <v>52</v>
      </c>
      <c r="E938" s="35" t="s">
        <v>53</v>
      </c>
      <c r="F938" s="35" t="s">
        <v>25</v>
      </c>
      <c r="G938" s="35" t="s">
        <v>25</v>
      </c>
      <c r="H938" s="35" t="s">
        <v>25</v>
      </c>
      <c r="I938" s="45">
        <v>44621</v>
      </c>
      <c r="J938" s="46">
        <f ca="1">EFEITO!$J$938*EFEITO!$Y$854</f>
        <v>20079.218757639901</v>
      </c>
      <c r="K938" s="46">
        <f>EFEITO!$L$938*EFEITO!$Z$854</f>
        <v>0</v>
      </c>
      <c r="L938" s="46">
        <f>EFEITO!$N$938*EFEITO!$AA$854</f>
        <v>0</v>
      </c>
      <c r="M938" s="46">
        <f ca="1">$J$938-EFEITO!$K$938*EFEITO!$Y$938</f>
        <v>602.37656272919776</v>
      </c>
      <c r="N938" s="46">
        <f>$K$938-EFEITO!$M$938*EFEITO!$Z$938</f>
        <v>0</v>
      </c>
      <c r="O938" s="46">
        <f>$L$938-EFEITO!$O$938*EFEITO!$AA$938</f>
        <v>0</v>
      </c>
      <c r="P938" s="38"/>
      <c r="Q938" s="38"/>
      <c r="R938" s="38"/>
      <c r="S938" s="38"/>
      <c r="T938" s="38"/>
      <c r="U938" s="38"/>
      <c r="V938" s="38"/>
      <c r="W938" s="38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</row>
    <row r="939" spans="1:36" ht="11.25" customHeight="1" x14ac:dyDescent="0.2">
      <c r="A939" s="35" t="s">
        <v>21</v>
      </c>
      <c r="B939" s="35" t="s">
        <v>41</v>
      </c>
      <c r="C939" s="35" t="s">
        <v>44</v>
      </c>
      <c r="D939" s="35" t="s">
        <v>52</v>
      </c>
      <c r="E939" s="35" t="s">
        <v>53</v>
      </c>
      <c r="F939" s="35" t="s">
        <v>25</v>
      </c>
      <c r="G939" s="35" t="s">
        <v>25</v>
      </c>
      <c r="H939" s="35" t="s">
        <v>25</v>
      </c>
      <c r="I939" s="45">
        <v>44652</v>
      </c>
      <c r="J939" s="46">
        <f ca="1">EFEITO!$J$939*EFEITO!$Y$854</f>
        <v>131525.06742684043</v>
      </c>
      <c r="K939" s="46">
        <f>EFEITO!$L$939*EFEITO!$Z$854</f>
        <v>0</v>
      </c>
      <c r="L939" s="46">
        <f>EFEITO!$N$939*EFEITO!$AA$854</f>
        <v>0</v>
      </c>
      <c r="M939" s="46">
        <f ca="1">$J$939-EFEITO!$K$939*EFEITO!$Y$939</f>
        <v>3945.7520228052308</v>
      </c>
      <c r="N939" s="46">
        <f>$K$939-EFEITO!$M$939*EFEITO!$Z$939</f>
        <v>0</v>
      </c>
      <c r="O939" s="46">
        <f>$L$939-EFEITO!$O$939*EFEITO!$AA$939</f>
        <v>0</v>
      </c>
      <c r="P939" s="38"/>
      <c r="Q939" s="38"/>
      <c r="R939" s="38"/>
      <c r="S939" s="38"/>
      <c r="T939" s="38"/>
      <c r="U939" s="38"/>
      <c r="V939" s="38"/>
      <c r="W939" s="38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</row>
    <row r="940" spans="1:36" ht="11.25" customHeight="1" x14ac:dyDescent="0.2">
      <c r="A940" s="35" t="s">
        <v>28</v>
      </c>
      <c r="B940" s="35" t="s">
        <v>41</v>
      </c>
      <c r="C940" s="35" t="s">
        <v>44</v>
      </c>
      <c r="D940" s="35" t="s">
        <v>52</v>
      </c>
      <c r="E940" s="35" t="s">
        <v>53</v>
      </c>
      <c r="F940" s="35" t="s">
        <v>25</v>
      </c>
      <c r="G940" s="35" t="s">
        <v>25</v>
      </c>
      <c r="H940" s="35" t="s">
        <v>25</v>
      </c>
      <c r="I940" s="45">
        <v>44652</v>
      </c>
      <c r="J940" s="46">
        <f ca="1">EFEITO!$J$940*EFEITO!$Y$854</f>
        <v>20635.829544555996</v>
      </c>
      <c r="K940" s="46">
        <f>EFEITO!$L$940*EFEITO!$Z$854</f>
        <v>0</v>
      </c>
      <c r="L940" s="46">
        <f>EFEITO!$N$940*EFEITO!$AA$854</f>
        <v>0</v>
      </c>
      <c r="M940" s="46">
        <f ca="1">$J$940-EFEITO!$K$940*EFEITO!$Y$940</f>
        <v>619.0748863366789</v>
      </c>
      <c r="N940" s="46">
        <f>$K$940-EFEITO!$M$940*EFEITO!$Z$940</f>
        <v>0</v>
      </c>
      <c r="O940" s="46">
        <f>$L$940-EFEITO!$O$940*EFEITO!$AA$940</f>
        <v>0</v>
      </c>
      <c r="P940" s="38"/>
      <c r="Q940" s="38"/>
      <c r="R940" s="38"/>
      <c r="S940" s="38"/>
      <c r="T940" s="38"/>
      <c r="U940" s="38"/>
      <c r="V940" s="38"/>
      <c r="W940" s="38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</row>
    <row r="941" spans="1:36" ht="11.25" customHeight="1" x14ac:dyDescent="0.2">
      <c r="A941" s="35" t="s">
        <v>21</v>
      </c>
      <c r="B941" s="35" t="s">
        <v>41</v>
      </c>
      <c r="C941" s="35" t="s">
        <v>44</v>
      </c>
      <c r="D941" s="35" t="s">
        <v>52</v>
      </c>
      <c r="E941" s="35" t="s">
        <v>53</v>
      </c>
      <c r="F941" s="35" t="s">
        <v>25</v>
      </c>
      <c r="G941" s="35" t="s">
        <v>25</v>
      </c>
      <c r="H941" s="35" t="s">
        <v>25</v>
      </c>
      <c r="I941" s="45">
        <v>44682</v>
      </c>
      <c r="J941" s="46">
        <f ca="1">EFEITO!$J$941*EFEITO!$Y$854</f>
        <v>131628.14349849155</v>
      </c>
      <c r="K941" s="46">
        <f>EFEITO!$L$941*EFEITO!$Z$854</f>
        <v>0</v>
      </c>
      <c r="L941" s="46">
        <f>EFEITO!$N$941*EFEITO!$AA$854</f>
        <v>0</v>
      </c>
      <c r="M941" s="46">
        <f ca="1">$J$941-EFEITO!$K$941*EFEITO!$Y$941</f>
        <v>3948.8443049547641</v>
      </c>
      <c r="N941" s="46">
        <f>$K$941-EFEITO!$M$941*EFEITO!$Z$941</f>
        <v>0</v>
      </c>
      <c r="O941" s="46">
        <f>$L$941-EFEITO!$O$941*EFEITO!$AA$941</f>
        <v>0</v>
      </c>
      <c r="P941" s="38"/>
      <c r="Q941" s="38"/>
      <c r="R941" s="38"/>
      <c r="S941" s="38"/>
      <c r="T941" s="38"/>
      <c r="U941" s="38"/>
      <c r="V941" s="38"/>
      <c r="W941" s="38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</row>
    <row r="942" spans="1:36" ht="11.25" customHeight="1" x14ac:dyDescent="0.2">
      <c r="A942" s="35" t="s">
        <v>28</v>
      </c>
      <c r="B942" s="35" t="s">
        <v>41</v>
      </c>
      <c r="C942" s="35" t="s">
        <v>44</v>
      </c>
      <c r="D942" s="35" t="s">
        <v>52</v>
      </c>
      <c r="E942" s="35" t="s">
        <v>53</v>
      </c>
      <c r="F942" s="35" t="s">
        <v>25</v>
      </c>
      <c r="G942" s="35" t="s">
        <v>25</v>
      </c>
      <c r="H942" s="35" t="s">
        <v>25</v>
      </c>
      <c r="I942" s="45">
        <v>44682</v>
      </c>
      <c r="J942" s="46">
        <f ca="1">EFEITO!$J$942*EFEITO!$Y$854</f>
        <v>20120.449186300353</v>
      </c>
      <c r="K942" s="46">
        <f>EFEITO!$L$942*EFEITO!$Z$854</f>
        <v>0</v>
      </c>
      <c r="L942" s="46">
        <f>EFEITO!$N$942*EFEITO!$AA$854</f>
        <v>0</v>
      </c>
      <c r="M942" s="46">
        <f ca="1">$J$942-EFEITO!$K$942*EFEITO!$Y$942</f>
        <v>603.61347558901252</v>
      </c>
      <c r="N942" s="46">
        <f>$K$942-EFEITO!$M$942*EFEITO!$Z$942</f>
        <v>0</v>
      </c>
      <c r="O942" s="46">
        <f>$L$942-EFEITO!$O$942*EFEITO!$AA$942</f>
        <v>0</v>
      </c>
      <c r="P942" s="38"/>
      <c r="Q942" s="38"/>
      <c r="R942" s="38"/>
      <c r="S942" s="38"/>
      <c r="T942" s="38"/>
      <c r="U942" s="38"/>
      <c r="V942" s="38"/>
      <c r="W942" s="38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</row>
    <row r="943" spans="1:36" ht="11.25" customHeight="1" x14ac:dyDescent="0.2">
      <c r="A943" s="35" t="s">
        <v>21</v>
      </c>
      <c r="B943" s="35" t="s">
        <v>41</v>
      </c>
      <c r="C943" s="35" t="s">
        <v>44</v>
      </c>
      <c r="D943" s="35" t="s">
        <v>52</v>
      </c>
      <c r="E943" s="35" t="s">
        <v>53</v>
      </c>
      <c r="F943" s="35" t="s">
        <v>25</v>
      </c>
      <c r="G943" s="35" t="s">
        <v>25</v>
      </c>
      <c r="H943" s="35" t="s">
        <v>25</v>
      </c>
      <c r="I943" s="45">
        <v>44713</v>
      </c>
      <c r="J943" s="46">
        <f ca="1">EFEITO!$J$943*EFEITO!$Y$854</f>
        <v>133297.97585923984</v>
      </c>
      <c r="K943" s="46">
        <f>EFEITO!$L$943*EFEITO!$Z$854</f>
        <v>0</v>
      </c>
      <c r="L943" s="46">
        <f>EFEITO!$N$943*EFEITO!$AA$854</f>
        <v>0</v>
      </c>
      <c r="M943" s="46">
        <f ca="1">$J$943-EFEITO!$K$943*EFEITO!$Y$943</f>
        <v>3998.9392757772148</v>
      </c>
      <c r="N943" s="46">
        <f>$K$943-EFEITO!$M$943*EFEITO!$Z$943</f>
        <v>0</v>
      </c>
      <c r="O943" s="46">
        <f>$L$943-EFEITO!$O$943*EFEITO!$AA$943</f>
        <v>0</v>
      </c>
      <c r="P943" s="38"/>
      <c r="Q943" s="38"/>
      <c r="R943" s="38"/>
      <c r="S943" s="38"/>
      <c r="T943" s="38"/>
      <c r="U943" s="38"/>
      <c r="V943" s="38"/>
      <c r="W943" s="38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</row>
    <row r="944" spans="1:36" ht="11.25" customHeight="1" x14ac:dyDescent="0.2">
      <c r="A944" s="35" t="s">
        <v>28</v>
      </c>
      <c r="B944" s="35" t="s">
        <v>41</v>
      </c>
      <c r="C944" s="35" t="s">
        <v>44</v>
      </c>
      <c r="D944" s="35" t="s">
        <v>52</v>
      </c>
      <c r="E944" s="35" t="s">
        <v>53</v>
      </c>
      <c r="F944" s="35" t="s">
        <v>25</v>
      </c>
      <c r="G944" s="35" t="s">
        <v>25</v>
      </c>
      <c r="H944" s="35" t="s">
        <v>25</v>
      </c>
      <c r="I944" s="45">
        <v>44713</v>
      </c>
      <c r="J944" s="46">
        <f ca="1">EFEITO!$J$944*EFEITO!$Y$854</f>
        <v>20037.988328979449</v>
      </c>
      <c r="K944" s="46">
        <f>EFEITO!$L$944*EFEITO!$Z$854</f>
        <v>0</v>
      </c>
      <c r="L944" s="46">
        <f>EFEITO!$N$944*EFEITO!$AA$854</f>
        <v>0</v>
      </c>
      <c r="M944" s="46">
        <f ca="1">$J$944-EFEITO!$K$944*EFEITO!$Y$944</f>
        <v>601.13964986938299</v>
      </c>
      <c r="N944" s="46">
        <f>$K$944-EFEITO!$M$944*EFEITO!$Z$944</f>
        <v>0</v>
      </c>
      <c r="O944" s="46">
        <f>$L$944-EFEITO!$O$944*EFEITO!$AA$944</f>
        <v>0</v>
      </c>
      <c r="P944" s="38"/>
      <c r="Q944" s="38"/>
      <c r="R944" s="38"/>
      <c r="S944" s="38"/>
      <c r="T944" s="38"/>
      <c r="U944" s="38"/>
      <c r="V944" s="38"/>
      <c r="W944" s="38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</row>
    <row r="945" spans="1:36" ht="11.25" customHeight="1" x14ac:dyDescent="0.2">
      <c r="A945" s="35" t="s">
        <v>21</v>
      </c>
      <c r="B945" s="35" t="s">
        <v>41</v>
      </c>
      <c r="C945" s="35" t="s">
        <v>44</v>
      </c>
      <c r="D945" s="35" t="s">
        <v>52</v>
      </c>
      <c r="E945" s="35" t="s">
        <v>53</v>
      </c>
      <c r="F945" s="35" t="s">
        <v>25</v>
      </c>
      <c r="G945" s="35" t="s">
        <v>25</v>
      </c>
      <c r="H945" s="35" t="s">
        <v>25</v>
      </c>
      <c r="I945" s="45">
        <v>44743</v>
      </c>
      <c r="J945" s="46">
        <f ca="1">EFEITO!$J$945*EFEITO!$Y$854</f>
        <v>129525.39163680852</v>
      </c>
      <c r="K945" s="46">
        <f>EFEITO!$L$945*EFEITO!$Z$854</f>
        <v>0</v>
      </c>
      <c r="L945" s="46">
        <f>EFEITO!$N$945*EFEITO!$AA$854</f>
        <v>0</v>
      </c>
      <c r="M945" s="46">
        <f ca="1">$J$945-EFEITO!$K$945*EFEITO!$Y$945</f>
        <v>3885.761749104262</v>
      </c>
      <c r="N945" s="46">
        <f>$K$945-EFEITO!$M$945*EFEITO!$Z$945</f>
        <v>0</v>
      </c>
      <c r="O945" s="46">
        <f>$L$945-EFEITO!$O$945*EFEITO!$AA$945</f>
        <v>0</v>
      </c>
      <c r="P945" s="38"/>
      <c r="Q945" s="38"/>
      <c r="R945" s="38"/>
      <c r="S945" s="38"/>
      <c r="T945" s="38"/>
      <c r="U945" s="38"/>
      <c r="V945" s="38"/>
      <c r="W945" s="38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</row>
    <row r="946" spans="1:36" ht="11.25" customHeight="1" x14ac:dyDescent="0.2">
      <c r="A946" s="35" t="s">
        <v>28</v>
      </c>
      <c r="B946" s="35" t="s">
        <v>41</v>
      </c>
      <c r="C946" s="35" t="s">
        <v>44</v>
      </c>
      <c r="D946" s="35" t="s">
        <v>52</v>
      </c>
      <c r="E946" s="35" t="s">
        <v>53</v>
      </c>
      <c r="F946" s="35" t="s">
        <v>25</v>
      </c>
      <c r="G946" s="35" t="s">
        <v>25</v>
      </c>
      <c r="H946" s="35" t="s">
        <v>25</v>
      </c>
      <c r="I946" s="45">
        <v>44743</v>
      </c>
      <c r="J946" s="46">
        <f ca="1">EFEITO!$J$946*EFEITO!$Y$854</f>
        <v>19955.527471658548</v>
      </c>
      <c r="K946" s="46">
        <f>EFEITO!$L$946*EFEITO!$Z$854</f>
        <v>0</v>
      </c>
      <c r="L946" s="46">
        <f>EFEITO!$N$946*EFEITO!$AA$854</f>
        <v>0</v>
      </c>
      <c r="M946" s="46">
        <f ca="1">$J$946-EFEITO!$K$946*EFEITO!$Y$946</f>
        <v>598.66582414976074</v>
      </c>
      <c r="N946" s="46">
        <f>$K$946-EFEITO!$M$946*EFEITO!$Z$946</f>
        <v>0</v>
      </c>
      <c r="O946" s="46">
        <f>$L$946-EFEITO!$O$946*EFEITO!$AA$946</f>
        <v>0</v>
      </c>
      <c r="P946" s="38"/>
      <c r="Q946" s="38"/>
      <c r="R946" s="38"/>
      <c r="S946" s="38"/>
      <c r="T946" s="38"/>
      <c r="U946" s="38"/>
      <c r="V946" s="38"/>
      <c r="W946" s="38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</row>
    <row r="947" spans="1:36" ht="11.25" customHeight="1" x14ac:dyDescent="0.2">
      <c r="A947" s="35" t="s">
        <v>21</v>
      </c>
      <c r="B947" s="35" t="s">
        <v>41</v>
      </c>
      <c r="C947" s="35" t="s">
        <v>44</v>
      </c>
      <c r="D947" s="35" t="s">
        <v>52</v>
      </c>
      <c r="E947" s="35" t="s">
        <v>53</v>
      </c>
      <c r="F947" s="35" t="s">
        <v>25</v>
      </c>
      <c r="G947" s="35" t="s">
        <v>25</v>
      </c>
      <c r="H947" s="35" t="s">
        <v>25</v>
      </c>
      <c r="I947" s="45">
        <v>44774</v>
      </c>
      <c r="J947" s="46">
        <f ca="1">EFEITO!$J$947*EFEITO!$Y$854</f>
        <v>130803.53492528253</v>
      </c>
      <c r="K947" s="46">
        <f>EFEITO!$L$947*EFEITO!$Z$854</f>
        <v>0</v>
      </c>
      <c r="L947" s="46">
        <f>EFEITO!$N$947*EFEITO!$AA$854</f>
        <v>0</v>
      </c>
      <c r="M947" s="46">
        <f ca="1">$J$947-EFEITO!$K$947*EFEITO!$Y$947</f>
        <v>3924.1060477584979</v>
      </c>
      <c r="N947" s="46">
        <f>$K$947-EFEITO!$M$947*EFEITO!$Z$947</f>
        <v>0</v>
      </c>
      <c r="O947" s="46">
        <f>$L$947-EFEITO!$O$947*EFEITO!$AA$947</f>
        <v>0</v>
      </c>
      <c r="P947" s="38"/>
      <c r="Q947" s="38"/>
      <c r="R947" s="38"/>
      <c r="S947" s="38"/>
      <c r="T947" s="38"/>
      <c r="U947" s="38"/>
      <c r="V947" s="38"/>
      <c r="W947" s="38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</row>
    <row r="948" spans="1:36" ht="11.25" customHeight="1" x14ac:dyDescent="0.2">
      <c r="A948" s="35" t="s">
        <v>28</v>
      </c>
      <c r="B948" s="35" t="s">
        <v>41</v>
      </c>
      <c r="C948" s="35" t="s">
        <v>44</v>
      </c>
      <c r="D948" s="35" t="s">
        <v>52</v>
      </c>
      <c r="E948" s="35" t="s">
        <v>53</v>
      </c>
      <c r="F948" s="35" t="s">
        <v>25</v>
      </c>
      <c r="G948" s="35" t="s">
        <v>25</v>
      </c>
      <c r="H948" s="35" t="s">
        <v>25</v>
      </c>
      <c r="I948" s="45">
        <v>44774</v>
      </c>
      <c r="J948" s="46">
        <f ca="1">EFEITO!$J$948*EFEITO!$Y$854</f>
        <v>20037.988328979449</v>
      </c>
      <c r="K948" s="46">
        <f>EFEITO!$L$948*EFEITO!$Z$854</f>
        <v>0</v>
      </c>
      <c r="L948" s="46">
        <f>EFEITO!$N$948*EFEITO!$AA$854</f>
        <v>0</v>
      </c>
      <c r="M948" s="46">
        <f ca="1">$J$948-EFEITO!$K$948*EFEITO!$Y$948</f>
        <v>601.13964986938299</v>
      </c>
      <c r="N948" s="46">
        <f>$K$948-EFEITO!$M$948*EFEITO!$Z$948</f>
        <v>0</v>
      </c>
      <c r="O948" s="46">
        <f>$L$948-EFEITO!$O$948*EFEITO!$AA$948</f>
        <v>0</v>
      </c>
      <c r="P948" s="38"/>
      <c r="Q948" s="38"/>
      <c r="R948" s="38"/>
      <c r="S948" s="38"/>
      <c r="T948" s="38"/>
      <c r="U948" s="38"/>
      <c r="V948" s="38"/>
      <c r="W948" s="38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</row>
    <row r="949" spans="1:36" ht="11.25" customHeight="1" x14ac:dyDescent="0.2">
      <c r="A949" s="35" t="s">
        <v>21</v>
      </c>
      <c r="B949" s="35" t="s">
        <v>41</v>
      </c>
      <c r="C949" s="35" t="s">
        <v>44</v>
      </c>
      <c r="D949" s="35" t="s">
        <v>52</v>
      </c>
      <c r="E949" s="35" t="s">
        <v>53</v>
      </c>
      <c r="F949" s="35" t="s">
        <v>25</v>
      </c>
      <c r="G949" s="35" t="s">
        <v>25</v>
      </c>
      <c r="H949" s="35" t="s">
        <v>25</v>
      </c>
      <c r="I949" s="45">
        <v>44805</v>
      </c>
      <c r="J949" s="46">
        <f ca="1">EFEITO!$J$949*EFEITO!$Y$854</f>
        <v>136699.48622372709</v>
      </c>
      <c r="K949" s="46">
        <f>EFEITO!$L$949*EFEITO!$Z$854</f>
        <v>0</v>
      </c>
      <c r="L949" s="46">
        <f>EFEITO!$N$949*EFEITO!$AA$854</f>
        <v>0</v>
      </c>
      <c r="M949" s="46">
        <f ca="1">$J$949-EFEITO!$K$949*EFEITO!$Y$949</f>
        <v>4100.9845867118274</v>
      </c>
      <c r="N949" s="46">
        <f>$K$949-EFEITO!$M$949*EFEITO!$Z$949</f>
        <v>0</v>
      </c>
      <c r="O949" s="46">
        <f>$L$949-EFEITO!$O$949*EFEITO!$AA$949</f>
        <v>0</v>
      </c>
      <c r="P949" s="38"/>
      <c r="Q949" s="38"/>
      <c r="R949" s="38"/>
      <c r="S949" s="38"/>
      <c r="T949" s="38"/>
      <c r="U949" s="38"/>
      <c r="V949" s="38"/>
      <c r="W949" s="38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</row>
    <row r="950" spans="1:36" ht="11.25" customHeight="1" x14ac:dyDescent="0.2">
      <c r="A950" s="35" t="s">
        <v>28</v>
      </c>
      <c r="B950" s="35" t="s">
        <v>41</v>
      </c>
      <c r="C950" s="35" t="s">
        <v>44</v>
      </c>
      <c r="D950" s="35" t="s">
        <v>52</v>
      </c>
      <c r="E950" s="35" t="s">
        <v>53</v>
      </c>
      <c r="F950" s="35" t="s">
        <v>25</v>
      </c>
      <c r="G950" s="35" t="s">
        <v>25</v>
      </c>
      <c r="H950" s="35" t="s">
        <v>25</v>
      </c>
      <c r="I950" s="45">
        <v>44805</v>
      </c>
      <c r="J950" s="46">
        <f ca="1">EFEITO!$J$950*EFEITO!$Y$854</f>
        <v>20099.833971970129</v>
      </c>
      <c r="K950" s="46">
        <f>EFEITO!$L$950*EFEITO!$Z$854</f>
        <v>0</v>
      </c>
      <c r="L950" s="46">
        <f>EFEITO!$N$950*EFEITO!$AA$854</f>
        <v>0</v>
      </c>
      <c r="M950" s="46">
        <f ca="1">$J$950-EFEITO!$K$950*EFEITO!$Y$950</f>
        <v>602.99501915910878</v>
      </c>
      <c r="N950" s="46">
        <f>$K$950-EFEITO!$M$950*EFEITO!$Z$950</f>
        <v>0</v>
      </c>
      <c r="O950" s="46">
        <f>$L$950-EFEITO!$O$950*EFEITO!$AA$950</f>
        <v>0</v>
      </c>
      <c r="P950" s="38"/>
      <c r="Q950" s="38"/>
      <c r="R950" s="38"/>
      <c r="S950" s="38"/>
      <c r="T950" s="38"/>
      <c r="U950" s="38"/>
      <c r="V950" s="38"/>
      <c r="W950" s="38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</row>
    <row r="951" spans="1:36" ht="11.25" customHeight="1" x14ac:dyDescent="0.2">
      <c r="A951" s="35" t="s">
        <v>21</v>
      </c>
      <c r="B951" s="35" t="s">
        <v>41</v>
      </c>
      <c r="C951" s="35" t="s">
        <v>44</v>
      </c>
      <c r="D951" s="35" t="s">
        <v>52</v>
      </c>
      <c r="E951" s="35" t="s">
        <v>53</v>
      </c>
      <c r="F951" s="35" t="s">
        <v>25</v>
      </c>
      <c r="G951" s="35" t="s">
        <v>25</v>
      </c>
      <c r="H951" s="35" t="s">
        <v>25</v>
      </c>
      <c r="I951" s="45">
        <v>44835</v>
      </c>
      <c r="J951" s="46">
        <f ca="1">EFEITO!$J$951*EFEITO!$Y$854</f>
        <v>138018.85994086156</v>
      </c>
      <c r="K951" s="46">
        <f>EFEITO!$L$951*EFEITO!$Z$854</f>
        <v>0</v>
      </c>
      <c r="L951" s="46">
        <f>EFEITO!$N$951*EFEITO!$AA$854</f>
        <v>0</v>
      </c>
      <c r="M951" s="46">
        <f ca="1">$J$951-EFEITO!$K$951*EFEITO!$Y$951</f>
        <v>4140.5657982258708</v>
      </c>
      <c r="N951" s="46">
        <f>$K$951-EFEITO!$M$951*EFEITO!$Z$951</f>
        <v>0</v>
      </c>
      <c r="O951" s="46">
        <f>$L$951-EFEITO!$O$951*EFEITO!$AA$951</f>
        <v>0</v>
      </c>
      <c r="P951" s="38"/>
      <c r="Q951" s="38"/>
      <c r="R951" s="38"/>
      <c r="S951" s="38"/>
      <c r="T951" s="38"/>
      <c r="U951" s="38"/>
      <c r="V951" s="38"/>
      <c r="W951" s="38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</row>
    <row r="952" spans="1:36" ht="11.25" customHeight="1" x14ac:dyDescent="0.2">
      <c r="A952" s="35" t="s">
        <v>28</v>
      </c>
      <c r="B952" s="35" t="s">
        <v>41</v>
      </c>
      <c r="C952" s="35" t="s">
        <v>44</v>
      </c>
      <c r="D952" s="35" t="s">
        <v>52</v>
      </c>
      <c r="E952" s="35" t="s">
        <v>53</v>
      </c>
      <c r="F952" s="35" t="s">
        <v>25</v>
      </c>
      <c r="G952" s="35" t="s">
        <v>25</v>
      </c>
      <c r="H952" s="35" t="s">
        <v>25</v>
      </c>
      <c r="I952" s="45">
        <v>44835</v>
      </c>
      <c r="J952" s="46">
        <f ca="1">EFEITO!$J$952*EFEITO!$Y$854</f>
        <v>23480.729122127155</v>
      </c>
      <c r="K952" s="46">
        <f>EFEITO!$L$952*EFEITO!$Z$854</f>
        <v>0</v>
      </c>
      <c r="L952" s="46">
        <f>EFEITO!$N$952*EFEITO!$AA$854</f>
        <v>0</v>
      </c>
      <c r="M952" s="46">
        <f ca="1">$J$952-EFEITO!$K$952*EFEITO!$Y$952</f>
        <v>704.42187366381768</v>
      </c>
      <c r="N952" s="46">
        <f>$K$952-EFEITO!$M$952*EFEITO!$Z$952</f>
        <v>0</v>
      </c>
      <c r="O952" s="46">
        <f>$L$952-EFEITO!$O$952*EFEITO!$AA$952</f>
        <v>0</v>
      </c>
      <c r="P952" s="38"/>
      <c r="Q952" s="38"/>
      <c r="R952" s="38"/>
      <c r="S952" s="38"/>
      <c r="T952" s="38"/>
      <c r="U952" s="38"/>
      <c r="V952" s="38"/>
      <c r="W952" s="38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</row>
    <row r="953" spans="1:36" ht="11.25" customHeight="1" x14ac:dyDescent="0.2">
      <c r="A953" s="35" t="s">
        <v>59</v>
      </c>
      <c r="B953" s="35" t="s">
        <v>41</v>
      </c>
      <c r="C953" s="35" t="s">
        <v>44</v>
      </c>
      <c r="D953" s="35" t="s">
        <v>52</v>
      </c>
      <c r="E953" s="35" t="s">
        <v>53</v>
      </c>
      <c r="F953" s="35" t="s">
        <v>25</v>
      </c>
      <c r="G953" s="35" t="s">
        <v>25</v>
      </c>
      <c r="H953" s="35" t="s">
        <v>25</v>
      </c>
      <c r="I953" s="45">
        <v>44866</v>
      </c>
      <c r="J953" s="46">
        <f ca="1">EFEITO!$J$953*EFEITO!$Y$854</f>
        <v>138018.85994086156</v>
      </c>
      <c r="K953" s="46">
        <f>EFEITO!$L$953*EFEITO!$Z$854</f>
        <v>0</v>
      </c>
      <c r="L953" s="46">
        <f>EFEITO!$N$953*EFEITO!$AA$854</f>
        <v>0</v>
      </c>
      <c r="M953" s="46">
        <f ca="1">$J$953-EFEITO!$K$953*EFEITO!$Y$953</f>
        <v>4140.5657982258708</v>
      </c>
      <c r="N953" s="46">
        <f>$K$953-EFEITO!$M$953*EFEITO!$Z$953</f>
        <v>0</v>
      </c>
      <c r="O953" s="46">
        <f>$L$953-EFEITO!$O$953*EFEITO!$AA$953</f>
        <v>0</v>
      </c>
      <c r="P953" s="38"/>
      <c r="Q953" s="38"/>
      <c r="R953" s="38"/>
      <c r="S953" s="38"/>
      <c r="T953" s="38"/>
      <c r="U953" s="38"/>
      <c r="V953" s="38"/>
      <c r="W953" s="38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</row>
    <row r="954" spans="1:36" ht="11.25" customHeight="1" x14ac:dyDescent="0.2">
      <c r="A954" s="35" t="s">
        <v>59</v>
      </c>
      <c r="B954" s="35" t="s">
        <v>41</v>
      </c>
      <c r="C954" s="35" t="s">
        <v>44</v>
      </c>
      <c r="D954" s="35" t="s">
        <v>52</v>
      </c>
      <c r="E954" s="35" t="s">
        <v>53</v>
      </c>
      <c r="F954" s="35" t="s">
        <v>25</v>
      </c>
      <c r="G954" s="35" t="s">
        <v>25</v>
      </c>
      <c r="H954" s="35" t="s">
        <v>25</v>
      </c>
      <c r="I954" s="45">
        <v>44866</v>
      </c>
      <c r="J954" s="46">
        <f ca="1">EFEITO!$J$954*EFEITO!$Y$854</f>
        <v>23480.729122127155</v>
      </c>
      <c r="K954" s="46">
        <f>EFEITO!$L$954*EFEITO!$Z$854</f>
        <v>0</v>
      </c>
      <c r="L954" s="46">
        <f>EFEITO!$N$954*EFEITO!$AA$854</f>
        <v>0</v>
      </c>
      <c r="M954" s="46">
        <f ca="1">$J$954-EFEITO!$K$954*EFEITO!$Y$954</f>
        <v>704.42187366381768</v>
      </c>
      <c r="N954" s="46">
        <f>$K$954-EFEITO!$M$954*EFEITO!$Z$954</f>
        <v>0</v>
      </c>
      <c r="O954" s="46">
        <f>$L$954-EFEITO!$O$954*EFEITO!$AA$954</f>
        <v>0</v>
      </c>
      <c r="P954" s="38"/>
      <c r="Q954" s="38"/>
      <c r="R954" s="38"/>
      <c r="S954" s="38"/>
      <c r="T954" s="38"/>
      <c r="U954" s="38"/>
      <c r="V954" s="38"/>
      <c r="W954" s="38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</row>
    <row r="955" spans="1:36" ht="11.25" customHeight="1" x14ac:dyDescent="0.2">
      <c r="A955" s="35" t="s">
        <v>21</v>
      </c>
      <c r="B955" s="35" t="s">
        <v>41</v>
      </c>
      <c r="C955" s="35" t="s">
        <v>44</v>
      </c>
      <c r="D955" s="35" t="s">
        <v>52</v>
      </c>
      <c r="E955" s="35" t="s">
        <v>53</v>
      </c>
      <c r="F955" s="35" t="s">
        <v>25</v>
      </c>
      <c r="G955" s="35" t="s">
        <v>25</v>
      </c>
      <c r="H955" s="35" t="s">
        <v>36</v>
      </c>
      <c r="I955" s="45">
        <v>44531</v>
      </c>
      <c r="J955" s="46">
        <f>EFEITO!$J$955*EFEITO!$Y$893</f>
        <v>0</v>
      </c>
      <c r="K955" s="46">
        <f ca="1">EFEITO!$L$955*EFEITO!$Z$893</f>
        <v>355494.18774348166</v>
      </c>
      <c r="L955" s="46">
        <f>EFEITO!$N$955*EFEITO!$AA$893</f>
        <v>87099.107469465976</v>
      </c>
      <c r="M955" s="46">
        <f>$J$955-EFEITO!$K$955*EFEITO!$Y$955</f>
        <v>0</v>
      </c>
      <c r="N955" s="46">
        <f ca="1">$K$955-EFEITO!$M$955*EFEITO!$Z$955</f>
        <v>10664.825632304477</v>
      </c>
      <c r="O955" s="46">
        <f>$L$955-EFEITO!$O$955*EFEITO!$AA$955</f>
        <v>2612.9732240839803</v>
      </c>
      <c r="P955" s="38"/>
      <c r="Q955" s="38"/>
      <c r="R955" s="38"/>
      <c r="S955" s="38"/>
      <c r="T955" s="38"/>
      <c r="U955" s="38"/>
      <c r="V955" s="38"/>
      <c r="W955" s="38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</row>
    <row r="956" spans="1:36" ht="11.25" customHeight="1" x14ac:dyDescent="0.2">
      <c r="A956" s="35" t="s">
        <v>28</v>
      </c>
      <c r="B956" s="35" t="s">
        <v>41</v>
      </c>
      <c r="C956" s="35" t="s">
        <v>44</v>
      </c>
      <c r="D956" s="35" t="s">
        <v>52</v>
      </c>
      <c r="E956" s="35" t="s">
        <v>53</v>
      </c>
      <c r="F956" s="35" t="s">
        <v>25</v>
      </c>
      <c r="G956" s="35" t="s">
        <v>25</v>
      </c>
      <c r="H956" s="35" t="s">
        <v>36</v>
      </c>
      <c r="I956" s="45">
        <v>44531</v>
      </c>
      <c r="J956" s="46">
        <f>EFEITO!$J$956*EFEITO!$Y$893</f>
        <v>0</v>
      </c>
      <c r="K956" s="46">
        <f ca="1">EFEITO!$L$956*EFEITO!$Z$893</f>
        <v>48699.17213539972</v>
      </c>
      <c r="L956" s="46">
        <f>EFEITO!$N$956*EFEITO!$AA$893</f>
        <v>11931.712454764256</v>
      </c>
      <c r="M956" s="46">
        <f>$J$956-EFEITO!$K$956*EFEITO!$Y$956</f>
        <v>0</v>
      </c>
      <c r="N956" s="46">
        <f ca="1">$K$956-EFEITO!$M$956*EFEITO!$Z$956</f>
        <v>1460.9751640619943</v>
      </c>
      <c r="O956" s="46">
        <f>$L$956-EFEITO!$O$956*EFEITO!$AA$956</f>
        <v>357.95137364292714</v>
      </c>
      <c r="P956" s="38"/>
      <c r="Q956" s="38"/>
      <c r="R956" s="38"/>
      <c r="S956" s="38"/>
      <c r="T956" s="38"/>
      <c r="U956" s="38"/>
      <c r="V956" s="38"/>
      <c r="W956" s="38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</row>
    <row r="957" spans="1:36" ht="11.25" customHeight="1" x14ac:dyDescent="0.2">
      <c r="A957" s="35" t="s">
        <v>21</v>
      </c>
      <c r="B957" s="35" t="s">
        <v>41</v>
      </c>
      <c r="C957" s="35" t="s">
        <v>44</v>
      </c>
      <c r="D957" s="35" t="s">
        <v>52</v>
      </c>
      <c r="E957" s="35" t="s">
        <v>53</v>
      </c>
      <c r="F957" s="35" t="s">
        <v>25</v>
      </c>
      <c r="G957" s="35" t="s">
        <v>25</v>
      </c>
      <c r="H957" s="35" t="s">
        <v>36</v>
      </c>
      <c r="I957" s="45">
        <v>44562</v>
      </c>
      <c r="J957" s="46">
        <f>EFEITO!$J$957*EFEITO!$Y$893</f>
        <v>0</v>
      </c>
      <c r="K957" s="46">
        <f ca="1">EFEITO!$L$957*EFEITO!$Z$893</f>
        <v>410399.5366694635</v>
      </c>
      <c r="L957" s="46">
        <f>EFEITO!$N$957*EFEITO!$AA$893</f>
        <v>100551.38616101908</v>
      </c>
      <c r="M957" s="46">
        <f>$J$957-EFEITO!$K$957*EFEITO!$Y$957</f>
        <v>0</v>
      </c>
      <c r="N957" s="46">
        <f ca="1">$K$957-EFEITO!$M$957*EFEITO!$Z$957</f>
        <v>12311.986100083916</v>
      </c>
      <c r="O957" s="46">
        <f>$L$957-EFEITO!$O$957*EFEITO!$AA$957</f>
        <v>3016.5415848305711</v>
      </c>
      <c r="P957" s="38"/>
      <c r="Q957" s="38"/>
      <c r="R957" s="38"/>
      <c r="S957" s="38"/>
      <c r="T957" s="38"/>
      <c r="U957" s="38"/>
      <c r="V957" s="38"/>
      <c r="W957" s="38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</row>
    <row r="958" spans="1:36" ht="11.25" customHeight="1" x14ac:dyDescent="0.2">
      <c r="A958" s="35" t="s">
        <v>28</v>
      </c>
      <c r="B958" s="35" t="s">
        <v>41</v>
      </c>
      <c r="C958" s="35" t="s">
        <v>44</v>
      </c>
      <c r="D958" s="35" t="s">
        <v>52</v>
      </c>
      <c r="E958" s="35" t="s">
        <v>53</v>
      </c>
      <c r="F958" s="35" t="s">
        <v>25</v>
      </c>
      <c r="G958" s="35" t="s">
        <v>25</v>
      </c>
      <c r="H958" s="35" t="s">
        <v>36</v>
      </c>
      <c r="I958" s="45">
        <v>44562</v>
      </c>
      <c r="J958" s="46">
        <f>EFEITO!$J$958*EFEITO!$Y$893</f>
        <v>0</v>
      </c>
      <c r="K958" s="46">
        <f ca="1">EFEITO!$L$958*EFEITO!$Z$893</f>
        <v>52645.193438450464</v>
      </c>
      <c r="L958" s="46">
        <f>EFEITO!$N$958*EFEITO!$AA$893</f>
        <v>12898.521323659808</v>
      </c>
      <c r="M958" s="46">
        <f>$J$958-EFEITO!$K$958*EFEITO!$Y$958</f>
        <v>0</v>
      </c>
      <c r="N958" s="46">
        <f ca="1">$K$958-EFEITO!$M$958*EFEITO!$Z$958</f>
        <v>1579.355803153514</v>
      </c>
      <c r="O958" s="46">
        <f>$L$958-EFEITO!$O$958*EFEITO!$AA$958</f>
        <v>386.9556397097931</v>
      </c>
      <c r="P958" s="38"/>
      <c r="Q958" s="38"/>
      <c r="R958" s="38"/>
      <c r="S958" s="38"/>
      <c r="T958" s="38"/>
      <c r="U958" s="38"/>
      <c r="V958" s="38"/>
      <c r="W958" s="38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</row>
    <row r="959" spans="1:36" ht="11.25" customHeight="1" x14ac:dyDescent="0.2">
      <c r="A959" s="35" t="s">
        <v>21</v>
      </c>
      <c r="B959" s="35" t="s">
        <v>41</v>
      </c>
      <c r="C959" s="35" t="s">
        <v>44</v>
      </c>
      <c r="D959" s="35" t="s">
        <v>52</v>
      </c>
      <c r="E959" s="35" t="s">
        <v>53</v>
      </c>
      <c r="F959" s="35" t="s">
        <v>25</v>
      </c>
      <c r="G959" s="35" t="s">
        <v>25</v>
      </c>
      <c r="H959" s="35" t="s">
        <v>36</v>
      </c>
      <c r="I959" s="45">
        <v>44593</v>
      </c>
      <c r="J959" s="46">
        <f>EFEITO!$J$959*EFEITO!$Y$893</f>
        <v>0</v>
      </c>
      <c r="K959" s="46">
        <f ca="1">EFEITO!$L$959*EFEITO!$Z$893</f>
        <v>369799.62506305613</v>
      </c>
      <c r="L959" s="46">
        <f>EFEITO!$N$959*EFEITO!$AA$893</f>
        <v>90604.061602202477</v>
      </c>
      <c r="M959" s="46">
        <f>$J$959-EFEITO!$K$959*EFEITO!$Y$959</f>
        <v>0</v>
      </c>
      <c r="N959" s="46">
        <f ca="1">$K$959-EFEITO!$M$959*EFEITO!$Z$959</f>
        <v>11093.988751891709</v>
      </c>
      <c r="O959" s="46">
        <f>$L$959-EFEITO!$O$959*EFEITO!$AA$959</f>
        <v>2718.1218480660755</v>
      </c>
      <c r="P959" s="38"/>
      <c r="Q959" s="38"/>
      <c r="R959" s="38"/>
      <c r="S959" s="38"/>
      <c r="T959" s="38"/>
      <c r="U959" s="38"/>
      <c r="V959" s="38"/>
      <c r="W959" s="38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</row>
    <row r="960" spans="1:36" ht="11.25" customHeight="1" x14ac:dyDescent="0.2">
      <c r="A960" s="35" t="s">
        <v>27</v>
      </c>
      <c r="B960" s="35" t="s">
        <v>41</v>
      </c>
      <c r="C960" s="35" t="s">
        <v>44</v>
      </c>
      <c r="D960" s="35" t="s">
        <v>52</v>
      </c>
      <c r="E960" s="35" t="s">
        <v>53</v>
      </c>
      <c r="F960" s="35" t="s">
        <v>25</v>
      </c>
      <c r="G960" s="35" t="s">
        <v>25</v>
      </c>
      <c r="H960" s="35" t="s">
        <v>36</v>
      </c>
      <c r="I960" s="45">
        <v>44593</v>
      </c>
      <c r="J960" s="46">
        <f>EFEITO!$J$960*EFEITO!$Y$893</f>
        <v>0</v>
      </c>
      <c r="K960" s="46">
        <f ca="1">EFEITO!$L$960*EFEITO!$Z$893</f>
        <v>-1.4801280206491922</v>
      </c>
      <c r="L960" s="46">
        <f>EFEITO!$N$960*EFEITO!$AA$893</f>
        <v>-0.36264398683254073</v>
      </c>
      <c r="M960" s="46">
        <f>$J$960-EFEITO!$K$960*EFEITO!$Y$960</f>
        <v>0</v>
      </c>
      <c r="N960" s="46">
        <f ca="1">$K$960-EFEITO!$M$960*EFEITO!$Z$960</f>
        <v>-4.4403840619475998E-2</v>
      </c>
      <c r="O960" s="46">
        <f>$L$960-EFEITO!$O$960*EFEITO!$AA$960</f>
        <v>-1.0879319604976179E-2</v>
      </c>
      <c r="P960" s="38"/>
      <c r="Q960" s="38"/>
      <c r="R960" s="38"/>
      <c r="S960" s="38"/>
      <c r="T960" s="38"/>
      <c r="U960" s="38"/>
      <c r="V960" s="38"/>
      <c r="W960" s="38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</row>
    <row r="961" spans="1:36" ht="11.25" customHeight="1" x14ac:dyDescent="0.2">
      <c r="A961" s="35" t="s">
        <v>28</v>
      </c>
      <c r="B961" s="35" t="s">
        <v>41</v>
      </c>
      <c r="C961" s="35" t="s">
        <v>44</v>
      </c>
      <c r="D961" s="35" t="s">
        <v>52</v>
      </c>
      <c r="E961" s="35" t="s">
        <v>53</v>
      </c>
      <c r="F961" s="35" t="s">
        <v>25</v>
      </c>
      <c r="G961" s="35" t="s">
        <v>25</v>
      </c>
      <c r="H961" s="35" t="s">
        <v>36</v>
      </c>
      <c r="I961" s="45">
        <v>44593</v>
      </c>
      <c r="J961" s="46">
        <f>EFEITO!$J$961*EFEITO!$Y$893</f>
        <v>0</v>
      </c>
      <c r="K961" s="46">
        <f ca="1">EFEITO!$L$961*EFEITO!$Z$893</f>
        <v>49866.993143691936</v>
      </c>
      <c r="L961" s="46">
        <f>EFEITO!$N$961*EFEITO!$AA$893</f>
        <v>12217.83856037513</v>
      </c>
      <c r="M961" s="46">
        <f>$J$961-EFEITO!$K$961*EFEITO!$Y$961</f>
        <v>0</v>
      </c>
      <c r="N961" s="46">
        <f ca="1">$K$961-EFEITO!$M$961*EFEITO!$Z$961</f>
        <v>1496.0097943107612</v>
      </c>
      <c r="O961" s="46">
        <f>$L$961-EFEITO!$O$961*EFEITO!$AA$961</f>
        <v>366.53515681125282</v>
      </c>
      <c r="P961" s="38"/>
      <c r="Q961" s="38"/>
      <c r="R961" s="38"/>
      <c r="S961" s="38"/>
      <c r="T961" s="38"/>
      <c r="U961" s="38"/>
      <c r="V961" s="38"/>
      <c r="W961" s="38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</row>
    <row r="962" spans="1:36" ht="11.25" customHeight="1" x14ac:dyDescent="0.2">
      <c r="A962" s="35" t="s">
        <v>21</v>
      </c>
      <c r="B962" s="35" t="s">
        <v>41</v>
      </c>
      <c r="C962" s="35" t="s">
        <v>44</v>
      </c>
      <c r="D962" s="35" t="s">
        <v>52</v>
      </c>
      <c r="E962" s="35" t="s">
        <v>53</v>
      </c>
      <c r="F962" s="35" t="s">
        <v>25</v>
      </c>
      <c r="G962" s="35" t="s">
        <v>25</v>
      </c>
      <c r="H962" s="35" t="s">
        <v>36</v>
      </c>
      <c r="I962" s="45">
        <v>44621</v>
      </c>
      <c r="J962" s="46">
        <f>EFEITO!$J$962*EFEITO!$Y$893</f>
        <v>0</v>
      </c>
      <c r="K962" s="46">
        <f ca="1">EFEITO!$L$962*EFEITO!$Z$893</f>
        <v>390965.45575833955</v>
      </c>
      <c r="L962" s="46">
        <f>EFEITO!$N$962*EFEITO!$AA$893</f>
        <v>95789.870613907799</v>
      </c>
      <c r="M962" s="46">
        <f>$J$962-EFEITO!$K$962*EFEITO!$Y$962</f>
        <v>0</v>
      </c>
      <c r="N962" s="46">
        <f ca="1">$K$962-EFEITO!$M$962*EFEITO!$Z$962</f>
        <v>11728.963672750222</v>
      </c>
      <c r="O962" s="46">
        <f>$L$962-EFEITO!$O$962*EFEITO!$AA$962</f>
        <v>2873.6961184172251</v>
      </c>
      <c r="P962" s="38"/>
      <c r="Q962" s="38"/>
      <c r="R962" s="38"/>
      <c r="S962" s="38"/>
      <c r="T962" s="38"/>
      <c r="U962" s="38"/>
      <c r="V962" s="38"/>
      <c r="W962" s="38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</row>
    <row r="963" spans="1:36" ht="11.25" customHeight="1" x14ac:dyDescent="0.2">
      <c r="A963" s="35" t="s">
        <v>28</v>
      </c>
      <c r="B963" s="35" t="s">
        <v>41</v>
      </c>
      <c r="C963" s="35" t="s">
        <v>44</v>
      </c>
      <c r="D963" s="35" t="s">
        <v>52</v>
      </c>
      <c r="E963" s="35" t="s">
        <v>53</v>
      </c>
      <c r="F963" s="35" t="s">
        <v>25</v>
      </c>
      <c r="G963" s="35" t="s">
        <v>25</v>
      </c>
      <c r="H963" s="35" t="s">
        <v>36</v>
      </c>
      <c r="I963" s="45">
        <v>44621</v>
      </c>
      <c r="J963" s="46">
        <f>EFEITO!$J$963*EFEITO!$Y$893</f>
        <v>0</v>
      </c>
      <c r="K963" s="46">
        <f ca="1">EFEITO!$L$963*EFEITO!$Z$893</f>
        <v>50429.441791538622</v>
      </c>
      <c r="L963" s="46">
        <f>EFEITO!$N$963*EFEITO!$AA$893</f>
        <v>12355.643275371494</v>
      </c>
      <c r="M963" s="46">
        <f>$J$963-EFEITO!$K$963*EFEITO!$Y$963</f>
        <v>0</v>
      </c>
      <c r="N963" s="46">
        <f ca="1">$K$963-EFEITO!$M$963*EFEITO!$Z$963</f>
        <v>1512.883253746164</v>
      </c>
      <c r="O963" s="46">
        <f>$L$963-EFEITO!$O$963*EFEITO!$AA$963</f>
        <v>370.66929826114392</v>
      </c>
      <c r="P963" s="38"/>
      <c r="Q963" s="38"/>
      <c r="R963" s="38"/>
      <c r="S963" s="38"/>
      <c r="T963" s="38"/>
      <c r="U963" s="38"/>
      <c r="V963" s="38"/>
      <c r="W963" s="38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</row>
    <row r="964" spans="1:36" ht="11.25" customHeight="1" x14ac:dyDescent="0.2">
      <c r="A964" s="35" t="s">
        <v>21</v>
      </c>
      <c r="B964" s="35" t="s">
        <v>41</v>
      </c>
      <c r="C964" s="35" t="s">
        <v>44</v>
      </c>
      <c r="D964" s="35" t="s">
        <v>52</v>
      </c>
      <c r="E964" s="35" t="s">
        <v>53</v>
      </c>
      <c r="F964" s="35" t="s">
        <v>25</v>
      </c>
      <c r="G964" s="35" t="s">
        <v>25</v>
      </c>
      <c r="H964" s="35" t="s">
        <v>36</v>
      </c>
      <c r="I964" s="45">
        <v>44652</v>
      </c>
      <c r="J964" s="46">
        <f>EFEITO!$J$964*EFEITO!$Y$893</f>
        <v>0</v>
      </c>
      <c r="K964" s="46">
        <f ca="1">EFEITO!$L$964*EFEITO!$Z$893</f>
        <v>372235.91578504472</v>
      </c>
      <c r="L964" s="46">
        <f>EFEITO!$N$964*EFEITO!$AA$893</f>
        <v>91200.973604528845</v>
      </c>
      <c r="M964" s="46">
        <f>$J$964-EFEITO!$K$964*EFEITO!$Y$964</f>
        <v>0</v>
      </c>
      <c r="N964" s="46">
        <f ca="1">$K$964-EFEITO!$M$964*EFEITO!$Z$964</f>
        <v>11167.077473551384</v>
      </c>
      <c r="O964" s="46">
        <f>$L$964-EFEITO!$O$964*EFEITO!$AA$964</f>
        <v>2736.0292081358639</v>
      </c>
      <c r="P964" s="38"/>
      <c r="Q964" s="38"/>
      <c r="R964" s="38"/>
      <c r="S964" s="38"/>
      <c r="T964" s="38"/>
      <c r="U964" s="38"/>
      <c r="V964" s="38"/>
      <c r="W964" s="38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</row>
    <row r="965" spans="1:36" ht="11.25" customHeight="1" x14ac:dyDescent="0.2">
      <c r="A965" s="35" t="s">
        <v>28</v>
      </c>
      <c r="B965" s="35" t="s">
        <v>41</v>
      </c>
      <c r="C965" s="35" t="s">
        <v>44</v>
      </c>
      <c r="D965" s="35" t="s">
        <v>52</v>
      </c>
      <c r="E965" s="35" t="s">
        <v>53</v>
      </c>
      <c r="F965" s="35" t="s">
        <v>25</v>
      </c>
      <c r="G965" s="35" t="s">
        <v>25</v>
      </c>
      <c r="H965" s="35" t="s">
        <v>36</v>
      </c>
      <c r="I965" s="45">
        <v>44652</v>
      </c>
      <c r="J965" s="46">
        <f>EFEITO!$J$965*EFEITO!$Y$893</f>
        <v>0</v>
      </c>
      <c r="K965" s="46">
        <f ca="1">EFEITO!$L$965*EFEITO!$Z$893</f>
        <v>49850.711735464793</v>
      </c>
      <c r="L965" s="46">
        <f>EFEITO!$N$965*EFEITO!$AA$893</f>
        <v>12213.849476519972</v>
      </c>
      <c r="M965" s="46">
        <f>$J$965-EFEITO!$K$965*EFEITO!$Y$965</f>
        <v>0</v>
      </c>
      <c r="N965" s="46">
        <f ca="1">$K$965-EFEITO!$M$965*EFEITO!$Z$965</f>
        <v>1495.5213520639445</v>
      </c>
      <c r="O965" s="46">
        <f>$L$965-EFEITO!$O$965*EFEITO!$AA$965</f>
        <v>366.41548429559953</v>
      </c>
      <c r="P965" s="38"/>
      <c r="Q965" s="38"/>
      <c r="R965" s="38"/>
      <c r="S965" s="38"/>
      <c r="T965" s="38"/>
      <c r="U965" s="38"/>
      <c r="V965" s="38"/>
      <c r="W965" s="38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</row>
    <row r="966" spans="1:36" ht="11.25" customHeight="1" x14ac:dyDescent="0.2">
      <c r="A966" s="35" t="s">
        <v>21</v>
      </c>
      <c r="B966" s="35" t="s">
        <v>41</v>
      </c>
      <c r="C966" s="35" t="s">
        <v>44</v>
      </c>
      <c r="D966" s="35" t="s">
        <v>52</v>
      </c>
      <c r="E966" s="35" t="s">
        <v>53</v>
      </c>
      <c r="F966" s="35" t="s">
        <v>25</v>
      </c>
      <c r="G966" s="35" t="s">
        <v>25</v>
      </c>
      <c r="H966" s="35" t="s">
        <v>36</v>
      </c>
      <c r="I966" s="45">
        <v>44682</v>
      </c>
      <c r="J966" s="46">
        <f>EFEITO!$J$966*EFEITO!$Y$893</f>
        <v>0</v>
      </c>
      <c r="K966" s="46">
        <f ca="1">EFEITO!$L$966*EFEITO!$Z$893</f>
        <v>402500.09342325869</v>
      </c>
      <c r="L966" s="46">
        <f>EFEITO!$N$966*EFEITO!$AA$893</f>
        <v>98615.955203293794</v>
      </c>
      <c r="M966" s="46">
        <f>$J$966-EFEITO!$K$966*EFEITO!$Y$966</f>
        <v>0</v>
      </c>
      <c r="N966" s="46">
        <f ca="1">$K$966-EFEITO!$M$966*EFEITO!$Z$966</f>
        <v>12075.002802697767</v>
      </c>
      <c r="O966" s="46">
        <f>$L$966-EFEITO!$O$966*EFEITO!$AA$966</f>
        <v>2958.4786560988141</v>
      </c>
      <c r="P966" s="38"/>
      <c r="Q966" s="38"/>
      <c r="R966" s="38"/>
      <c r="S966" s="38"/>
      <c r="T966" s="38"/>
      <c r="U966" s="38"/>
      <c r="V966" s="38"/>
      <c r="W966" s="38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</row>
    <row r="967" spans="1:36" ht="11.25" customHeight="1" x14ac:dyDescent="0.2">
      <c r="A967" s="35" t="s">
        <v>28</v>
      </c>
      <c r="B967" s="35" t="s">
        <v>41</v>
      </c>
      <c r="C967" s="35" t="s">
        <v>44</v>
      </c>
      <c r="D967" s="35" t="s">
        <v>52</v>
      </c>
      <c r="E967" s="35" t="s">
        <v>53</v>
      </c>
      <c r="F967" s="35" t="s">
        <v>25</v>
      </c>
      <c r="G967" s="35" t="s">
        <v>25</v>
      </c>
      <c r="H967" s="35" t="s">
        <v>36</v>
      </c>
      <c r="I967" s="45">
        <v>44682</v>
      </c>
      <c r="J967" s="46">
        <f>EFEITO!$J$967*EFEITO!$Y$893</f>
        <v>0</v>
      </c>
      <c r="K967" s="46">
        <f ca="1">EFEITO!$L$967*EFEITO!$Z$893</f>
        <v>49320.825904072386</v>
      </c>
      <c r="L967" s="46">
        <f>EFEITO!$N$967*EFEITO!$AA$893</f>
        <v>12084.022929233925</v>
      </c>
      <c r="M967" s="46">
        <f>$J$967-EFEITO!$K$967*EFEITO!$Y$967</f>
        <v>0</v>
      </c>
      <c r="N967" s="46">
        <f ca="1">$K$967-EFEITO!$M$967*EFEITO!$Z$967</f>
        <v>1479.6247771221751</v>
      </c>
      <c r="O967" s="46">
        <f>$L$967-EFEITO!$O$967*EFEITO!$AA$967</f>
        <v>362.52068787701864</v>
      </c>
      <c r="P967" s="38"/>
      <c r="Q967" s="38"/>
      <c r="R967" s="38"/>
      <c r="S967" s="38"/>
      <c r="T967" s="38"/>
      <c r="U967" s="38"/>
      <c r="V967" s="38"/>
      <c r="W967" s="38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</row>
    <row r="968" spans="1:36" ht="11.25" customHeight="1" x14ac:dyDescent="0.2">
      <c r="A968" s="35" t="s">
        <v>21</v>
      </c>
      <c r="B968" s="35" t="s">
        <v>41</v>
      </c>
      <c r="C968" s="35" t="s">
        <v>44</v>
      </c>
      <c r="D968" s="35" t="s">
        <v>52</v>
      </c>
      <c r="E968" s="35" t="s">
        <v>53</v>
      </c>
      <c r="F968" s="35" t="s">
        <v>25</v>
      </c>
      <c r="G968" s="35" t="s">
        <v>25</v>
      </c>
      <c r="H968" s="35" t="s">
        <v>36</v>
      </c>
      <c r="I968" s="45">
        <v>44713</v>
      </c>
      <c r="J968" s="46">
        <f>EFEITO!$J$968*EFEITO!$Y$893</f>
        <v>0</v>
      </c>
      <c r="K968" s="46">
        <f ca="1">EFEITO!$L$968*EFEITO!$Z$893</f>
        <v>382035.84340976301</v>
      </c>
      <c r="L968" s="46">
        <f>EFEITO!$N$968*EFEITO!$AA$893</f>
        <v>93602.039441347093</v>
      </c>
      <c r="M968" s="46">
        <f>$J$968-EFEITO!$K$968*EFEITO!$Y$968</f>
        <v>0</v>
      </c>
      <c r="N968" s="46">
        <f ca="1">$K$968-EFEITO!$M$968*EFEITO!$Z$968</f>
        <v>11461.075302292884</v>
      </c>
      <c r="O968" s="46">
        <f>$L$968-EFEITO!$O$968*EFEITO!$AA$968</f>
        <v>2808.0611832404102</v>
      </c>
      <c r="P968" s="38"/>
      <c r="Q968" s="38"/>
      <c r="R968" s="38"/>
      <c r="S968" s="38"/>
      <c r="T968" s="38"/>
      <c r="U968" s="38"/>
      <c r="V968" s="38"/>
      <c r="W968" s="38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</row>
    <row r="969" spans="1:36" ht="11.25" customHeight="1" x14ac:dyDescent="0.2">
      <c r="A969" s="35" t="s">
        <v>28</v>
      </c>
      <c r="B969" s="35" t="s">
        <v>41</v>
      </c>
      <c r="C969" s="35" t="s">
        <v>44</v>
      </c>
      <c r="D969" s="35" t="s">
        <v>52</v>
      </c>
      <c r="E969" s="35" t="s">
        <v>53</v>
      </c>
      <c r="F969" s="35" t="s">
        <v>25</v>
      </c>
      <c r="G969" s="35" t="s">
        <v>25</v>
      </c>
      <c r="H969" s="35" t="s">
        <v>36</v>
      </c>
      <c r="I969" s="45">
        <v>44713</v>
      </c>
      <c r="J969" s="46">
        <f>EFEITO!$J$969*EFEITO!$Y$893</f>
        <v>0</v>
      </c>
      <c r="K969" s="46">
        <f ca="1">EFEITO!$L$969*EFEITO!$Z$893</f>
        <v>52806.527392701231</v>
      </c>
      <c r="L969" s="46">
        <f>EFEITO!$N$969*EFEITO!$AA$893</f>
        <v>12938.049518224556</v>
      </c>
      <c r="M969" s="46">
        <f>$J$969-EFEITO!$K$969*EFEITO!$Y$969</f>
        <v>0</v>
      </c>
      <c r="N969" s="46">
        <f ca="1">$K$969-EFEITO!$M$969*EFEITO!$Z$969</f>
        <v>1584.1958217810461</v>
      </c>
      <c r="O969" s="46">
        <f>$L$969-EFEITO!$O$969*EFEITO!$AA$969</f>
        <v>388.14148554673557</v>
      </c>
      <c r="P969" s="38"/>
      <c r="Q969" s="38"/>
      <c r="R969" s="38"/>
      <c r="S969" s="38"/>
      <c r="T969" s="38"/>
      <c r="U969" s="38"/>
      <c r="V969" s="38"/>
      <c r="W969" s="38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</row>
    <row r="970" spans="1:36" ht="11.25" customHeight="1" x14ac:dyDescent="0.2">
      <c r="A970" s="35" t="s">
        <v>21</v>
      </c>
      <c r="B970" s="35" t="s">
        <v>41</v>
      </c>
      <c r="C970" s="35" t="s">
        <v>44</v>
      </c>
      <c r="D970" s="35" t="s">
        <v>52</v>
      </c>
      <c r="E970" s="35" t="s">
        <v>53</v>
      </c>
      <c r="F970" s="35" t="s">
        <v>25</v>
      </c>
      <c r="G970" s="35" t="s">
        <v>25</v>
      </c>
      <c r="H970" s="35" t="s">
        <v>36</v>
      </c>
      <c r="I970" s="45">
        <v>44743</v>
      </c>
      <c r="J970" s="46">
        <f>EFEITO!$J$970*EFEITO!$Y$893</f>
        <v>0</v>
      </c>
      <c r="K970" s="46">
        <f ca="1">EFEITO!$L$970*EFEITO!$Z$893</f>
        <v>409814.886101307</v>
      </c>
      <c r="L970" s="46">
        <f>EFEITO!$N$970*EFEITO!$AA$893</f>
        <v>100408.14178622021</v>
      </c>
      <c r="M970" s="46">
        <f>$J$970-EFEITO!$K$970*EFEITO!$Y$970</f>
        <v>0</v>
      </c>
      <c r="N970" s="46">
        <f ca="1">$K$970-EFEITO!$M$970*EFEITO!$Z$970</f>
        <v>12294.446583039244</v>
      </c>
      <c r="O970" s="46">
        <f>$L$970-EFEITO!$O$970*EFEITO!$AA$970</f>
        <v>3012.2442535865994</v>
      </c>
      <c r="P970" s="38"/>
      <c r="Q970" s="38"/>
      <c r="R970" s="38"/>
      <c r="S970" s="38"/>
      <c r="T970" s="38"/>
      <c r="U970" s="38"/>
      <c r="V970" s="38"/>
      <c r="W970" s="38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</row>
    <row r="971" spans="1:36" ht="11.25" customHeight="1" x14ac:dyDescent="0.2">
      <c r="A971" s="35" t="s">
        <v>28</v>
      </c>
      <c r="B971" s="35" t="s">
        <v>41</v>
      </c>
      <c r="C971" s="35" t="s">
        <v>44</v>
      </c>
      <c r="D971" s="35" t="s">
        <v>52</v>
      </c>
      <c r="E971" s="35" t="s">
        <v>53</v>
      </c>
      <c r="F971" s="35" t="s">
        <v>25</v>
      </c>
      <c r="G971" s="35" t="s">
        <v>25</v>
      </c>
      <c r="H971" s="35" t="s">
        <v>36</v>
      </c>
      <c r="I971" s="45">
        <v>44743</v>
      </c>
      <c r="J971" s="46">
        <f>EFEITO!$J$971*EFEITO!$Y$893</f>
        <v>0</v>
      </c>
      <c r="K971" s="46">
        <f ca="1">EFEITO!$L$971*EFEITO!$Z$893</f>
        <v>51527.69678286033</v>
      </c>
      <c r="L971" s="46">
        <f>EFEITO!$N$971*EFEITO!$AA$893</f>
        <v>12624.725113601242</v>
      </c>
      <c r="M971" s="46">
        <f>$J$971-EFEITO!$K$971*EFEITO!$Y$971</f>
        <v>0</v>
      </c>
      <c r="N971" s="46">
        <f ca="1">$K$971-EFEITO!$M$971*EFEITO!$Z$971</f>
        <v>1545.8309034858103</v>
      </c>
      <c r="O971" s="46">
        <f>$L$971-EFEITO!$O$971*EFEITO!$AA$971</f>
        <v>378.74175340803777</v>
      </c>
      <c r="P971" s="38"/>
      <c r="Q971" s="38"/>
      <c r="R971" s="38"/>
      <c r="S971" s="38"/>
      <c r="T971" s="38"/>
      <c r="U971" s="38"/>
      <c r="V971" s="38"/>
      <c r="W971" s="38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</row>
    <row r="972" spans="1:36" ht="11.25" customHeight="1" x14ac:dyDescent="0.2">
      <c r="A972" s="35" t="s">
        <v>21</v>
      </c>
      <c r="B972" s="35" t="s">
        <v>41</v>
      </c>
      <c r="C972" s="35" t="s">
        <v>44</v>
      </c>
      <c r="D972" s="35" t="s">
        <v>52</v>
      </c>
      <c r="E972" s="35" t="s">
        <v>53</v>
      </c>
      <c r="F972" s="35" t="s">
        <v>25</v>
      </c>
      <c r="G972" s="35" t="s">
        <v>25</v>
      </c>
      <c r="H972" s="35" t="s">
        <v>36</v>
      </c>
      <c r="I972" s="45">
        <v>44774</v>
      </c>
      <c r="J972" s="46">
        <f>EFEITO!$J$972*EFEITO!$Y$893</f>
        <v>0</v>
      </c>
      <c r="K972" s="46">
        <f ca="1">EFEITO!$L$972*EFEITO!$Z$893</f>
        <v>442201.56732113205</v>
      </c>
      <c r="L972" s="46">
        <f>EFEITO!$N$972*EFEITO!$AA$893</f>
        <v>108343.15486210305</v>
      </c>
      <c r="M972" s="46">
        <f>$J$972-EFEITO!$K$972*EFEITO!$Y$972</f>
        <v>0</v>
      </c>
      <c r="N972" s="46">
        <f ca="1">$K$972-EFEITO!$M$972*EFEITO!$Z$972</f>
        <v>13266.047019634047</v>
      </c>
      <c r="O972" s="46">
        <f>$L$972-EFEITO!$O$972*EFEITO!$AA$972</f>
        <v>3250.2946458630904</v>
      </c>
      <c r="P972" s="38"/>
      <c r="Q972" s="38"/>
      <c r="R972" s="38"/>
      <c r="S972" s="38"/>
      <c r="T972" s="38"/>
      <c r="U972" s="38"/>
      <c r="V972" s="38"/>
      <c r="W972" s="38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</row>
    <row r="973" spans="1:36" ht="11.25" customHeight="1" x14ac:dyDescent="0.2">
      <c r="A973" s="35" t="s">
        <v>27</v>
      </c>
      <c r="B973" s="35" t="s">
        <v>41</v>
      </c>
      <c r="C973" s="35" t="s">
        <v>44</v>
      </c>
      <c r="D973" s="35" t="s">
        <v>52</v>
      </c>
      <c r="E973" s="35" t="s">
        <v>53</v>
      </c>
      <c r="F973" s="35" t="s">
        <v>25</v>
      </c>
      <c r="G973" s="35" t="s">
        <v>25</v>
      </c>
      <c r="H973" s="35" t="s">
        <v>36</v>
      </c>
      <c r="I973" s="45">
        <v>44774</v>
      </c>
      <c r="J973" s="46">
        <f>EFEITO!$J$973*EFEITO!$Y$893</f>
        <v>0</v>
      </c>
      <c r="K973" s="46">
        <f ca="1">EFEITO!$L$973*EFEITO!$Z$893</f>
        <v>-9228.5982087477132</v>
      </c>
      <c r="L973" s="46">
        <f>EFEITO!$N$973*EFEITO!$AA$893</f>
        <v>-2261.0852579008915</v>
      </c>
      <c r="M973" s="46">
        <f>$J$973-EFEITO!$K$973*EFEITO!$Y$973</f>
        <v>0</v>
      </c>
      <c r="N973" s="46">
        <f ca="1">$K$973-EFEITO!$M$973*EFEITO!$Z$973</f>
        <v>-276.85794626243114</v>
      </c>
      <c r="O973" s="46">
        <f>$L$973-EFEITO!$O$973*EFEITO!$AA$973</f>
        <v>-67.832557737026491</v>
      </c>
      <c r="P973" s="38"/>
      <c r="Q973" s="38"/>
      <c r="R973" s="38"/>
      <c r="S973" s="38"/>
      <c r="T973" s="38"/>
      <c r="U973" s="38"/>
      <c r="V973" s="38"/>
      <c r="W973" s="38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</row>
    <row r="974" spans="1:36" ht="11.25" customHeight="1" x14ac:dyDescent="0.2">
      <c r="A974" s="35" t="s">
        <v>28</v>
      </c>
      <c r="B974" s="35" t="s">
        <v>41</v>
      </c>
      <c r="C974" s="35" t="s">
        <v>44</v>
      </c>
      <c r="D974" s="35" t="s">
        <v>52</v>
      </c>
      <c r="E974" s="35" t="s">
        <v>53</v>
      </c>
      <c r="F974" s="35" t="s">
        <v>25</v>
      </c>
      <c r="G974" s="35" t="s">
        <v>25</v>
      </c>
      <c r="H974" s="35" t="s">
        <v>36</v>
      </c>
      <c r="I974" s="45">
        <v>44774</v>
      </c>
      <c r="J974" s="46">
        <f>EFEITO!$J$974*EFEITO!$Y$893</f>
        <v>0</v>
      </c>
      <c r="K974" s="46">
        <f ca="1">EFEITO!$L$974*EFEITO!$Z$893</f>
        <v>52011.698645612618</v>
      </c>
      <c r="L974" s="46">
        <f>EFEITO!$N$974*EFEITO!$AA$893</f>
        <v>12743.309697295483</v>
      </c>
      <c r="M974" s="46">
        <f>$J$974-EFEITO!$K$974*EFEITO!$Y$974</f>
        <v>0</v>
      </c>
      <c r="N974" s="46">
        <f ca="1">$K$974-EFEITO!$M$974*EFEITO!$Z$974</f>
        <v>1560.3509593683848</v>
      </c>
      <c r="O974" s="46">
        <f>$L$974-EFEITO!$O$974*EFEITO!$AA$974</f>
        <v>382.29929091886515</v>
      </c>
      <c r="P974" s="38"/>
      <c r="Q974" s="38"/>
      <c r="R974" s="38"/>
      <c r="S974" s="38"/>
      <c r="T974" s="38"/>
      <c r="U974" s="38"/>
      <c r="V974" s="38"/>
      <c r="W974" s="38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</row>
    <row r="975" spans="1:36" ht="11.25" customHeight="1" x14ac:dyDescent="0.2">
      <c r="A975" s="35" t="s">
        <v>21</v>
      </c>
      <c r="B975" s="35" t="s">
        <v>41</v>
      </c>
      <c r="C975" s="35" t="s">
        <v>44</v>
      </c>
      <c r="D975" s="35" t="s">
        <v>52</v>
      </c>
      <c r="E975" s="35" t="s">
        <v>53</v>
      </c>
      <c r="F975" s="35" t="s">
        <v>25</v>
      </c>
      <c r="G975" s="35" t="s">
        <v>25</v>
      </c>
      <c r="H975" s="35" t="s">
        <v>36</v>
      </c>
      <c r="I975" s="45">
        <v>44805</v>
      </c>
      <c r="J975" s="46">
        <f>EFEITO!$J$975*EFEITO!$Y$893</f>
        <v>0</v>
      </c>
      <c r="K975" s="46">
        <f ca="1">EFEITO!$L$975*EFEITO!$Z$893</f>
        <v>419056.80546224059</v>
      </c>
      <c r="L975" s="46">
        <f>EFEITO!$N$975*EFEITO!$AA$893</f>
        <v>102672.4908400026</v>
      </c>
      <c r="M975" s="46">
        <f>$J$975-EFEITO!$K$975*EFEITO!$Y$975</f>
        <v>0</v>
      </c>
      <c r="N975" s="46">
        <f ca="1">$K$975-EFEITO!$M$975*EFEITO!$Z$975</f>
        <v>12571.704163867224</v>
      </c>
      <c r="O975" s="46">
        <f>$L$975-EFEITO!$O$975*EFEITO!$AA$975</f>
        <v>3080.1747252000787</v>
      </c>
      <c r="P975" s="38"/>
      <c r="Q975" s="38"/>
      <c r="R975" s="38"/>
      <c r="S975" s="38"/>
      <c r="T975" s="38"/>
      <c r="U975" s="38"/>
      <c r="V975" s="38"/>
      <c r="W975" s="38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</row>
    <row r="976" spans="1:36" ht="11.25" customHeight="1" x14ac:dyDescent="0.2">
      <c r="A976" s="35" t="s">
        <v>28</v>
      </c>
      <c r="B976" s="35" t="s">
        <v>41</v>
      </c>
      <c r="C976" s="35" t="s">
        <v>44</v>
      </c>
      <c r="D976" s="35" t="s">
        <v>52</v>
      </c>
      <c r="E976" s="35" t="s">
        <v>53</v>
      </c>
      <c r="F976" s="35" t="s">
        <v>25</v>
      </c>
      <c r="G976" s="35" t="s">
        <v>25</v>
      </c>
      <c r="H976" s="35" t="s">
        <v>36</v>
      </c>
      <c r="I976" s="45">
        <v>44805</v>
      </c>
      <c r="J976" s="46">
        <f>EFEITO!$J$976*EFEITO!$Y$893</f>
        <v>0</v>
      </c>
      <c r="K976" s="46">
        <f ca="1">EFEITO!$L$976*EFEITO!$Z$893</f>
        <v>53016.705571633422</v>
      </c>
      <c r="L976" s="46">
        <f>EFEITO!$N$976*EFEITO!$AA$893</f>
        <v>12989.544964354778</v>
      </c>
      <c r="M976" s="46">
        <f>$J$976-EFEITO!$K$976*EFEITO!$Y$976</f>
        <v>0</v>
      </c>
      <c r="N976" s="46">
        <f ca="1">$K$976-EFEITO!$M$976*EFEITO!$Z$976</f>
        <v>1590.5011671490065</v>
      </c>
      <c r="O976" s="46">
        <f>$L$976-EFEITO!$O$976*EFEITO!$AA$976</f>
        <v>389.68634893064336</v>
      </c>
      <c r="P976" s="38"/>
      <c r="Q976" s="38"/>
      <c r="R976" s="38"/>
      <c r="S976" s="38"/>
      <c r="T976" s="38"/>
      <c r="U976" s="38"/>
      <c r="V976" s="38"/>
      <c r="W976" s="38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</row>
    <row r="977" spans="1:36" ht="11.25" customHeight="1" x14ac:dyDescent="0.2">
      <c r="A977" s="35" t="s">
        <v>21</v>
      </c>
      <c r="B977" s="35" t="s">
        <v>41</v>
      </c>
      <c r="C977" s="35" t="s">
        <v>44</v>
      </c>
      <c r="D977" s="35" t="s">
        <v>52</v>
      </c>
      <c r="E977" s="35" t="s">
        <v>53</v>
      </c>
      <c r="F977" s="35" t="s">
        <v>25</v>
      </c>
      <c r="G977" s="35" t="s">
        <v>25</v>
      </c>
      <c r="H977" s="35" t="s">
        <v>36</v>
      </c>
      <c r="I977" s="45">
        <v>44835</v>
      </c>
      <c r="J977" s="46">
        <f>EFEITO!$J$977*EFEITO!$Y$893</f>
        <v>0</v>
      </c>
      <c r="K977" s="46">
        <f ca="1">EFEITO!$L$977*EFEITO!$Z$893</f>
        <v>385144.11225312628</v>
      </c>
      <c r="L977" s="46">
        <f>EFEITO!$N$977*EFEITO!$AA$893</f>
        <v>94363.591813695413</v>
      </c>
      <c r="M977" s="46">
        <f>$J$977-EFEITO!$K$977*EFEITO!$Y$977</f>
        <v>0</v>
      </c>
      <c r="N977" s="46">
        <f ca="1">$K$977-EFEITO!$M$977*EFEITO!$Z$977</f>
        <v>11554.32336759381</v>
      </c>
      <c r="O977" s="46">
        <f>$L$977-EFEITO!$O$977*EFEITO!$AA$977</f>
        <v>2830.9077544108586</v>
      </c>
      <c r="P977" s="38"/>
      <c r="Q977" s="38"/>
      <c r="R977" s="38"/>
      <c r="S977" s="38"/>
      <c r="T977" s="38"/>
      <c r="U977" s="38"/>
      <c r="V977" s="38"/>
      <c r="W977" s="38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</row>
    <row r="978" spans="1:36" ht="11.25" customHeight="1" x14ac:dyDescent="0.2">
      <c r="A978" s="35" t="s">
        <v>28</v>
      </c>
      <c r="B978" s="35" t="s">
        <v>41</v>
      </c>
      <c r="C978" s="35" t="s">
        <v>44</v>
      </c>
      <c r="D978" s="35" t="s">
        <v>52</v>
      </c>
      <c r="E978" s="35" t="s">
        <v>53</v>
      </c>
      <c r="F978" s="35" t="s">
        <v>25</v>
      </c>
      <c r="G978" s="35" t="s">
        <v>25</v>
      </c>
      <c r="H978" s="35" t="s">
        <v>36</v>
      </c>
      <c r="I978" s="45">
        <v>44835</v>
      </c>
      <c r="J978" s="46">
        <f>EFEITO!$J$978*EFEITO!$Y$893</f>
        <v>0</v>
      </c>
      <c r="K978" s="46">
        <f ca="1">EFEITO!$L$978*EFEITO!$Z$893</f>
        <v>57082.617244356748</v>
      </c>
      <c r="L978" s="46">
        <f>EFEITO!$N$978*EFEITO!$AA$893</f>
        <v>13985.727996183767</v>
      </c>
      <c r="M978" s="46">
        <f>$J$978-EFEITO!$K$978*EFEITO!$Y$978</f>
        <v>0</v>
      </c>
      <c r="N978" s="46">
        <f ca="1">$K$978-EFEITO!$M$978*EFEITO!$Z$978</f>
        <v>1712.4785173307027</v>
      </c>
      <c r="O978" s="46">
        <f>$L$978-EFEITO!$O$978*EFEITO!$AA$978</f>
        <v>419.57183988551151</v>
      </c>
      <c r="P978" s="38"/>
      <c r="Q978" s="38"/>
      <c r="R978" s="38"/>
      <c r="S978" s="38"/>
      <c r="T978" s="38"/>
      <c r="U978" s="38"/>
      <c r="V978" s="38"/>
      <c r="W978" s="38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</row>
    <row r="979" spans="1:36" ht="11.25" customHeight="1" x14ac:dyDescent="0.2">
      <c r="A979" s="35" t="s">
        <v>59</v>
      </c>
      <c r="B979" s="35" t="s">
        <v>41</v>
      </c>
      <c r="C979" s="35" t="s">
        <v>44</v>
      </c>
      <c r="D979" s="35" t="s">
        <v>52</v>
      </c>
      <c r="E979" s="35" t="s">
        <v>53</v>
      </c>
      <c r="F979" s="35" t="s">
        <v>25</v>
      </c>
      <c r="G979" s="35" t="s">
        <v>25</v>
      </c>
      <c r="H979" s="35" t="s">
        <v>36</v>
      </c>
      <c r="I979" s="45">
        <v>44866</v>
      </c>
      <c r="J979" s="46">
        <f>EFEITO!$J$979*EFEITO!$Y$893</f>
        <v>0</v>
      </c>
      <c r="K979" s="46">
        <f ca="1">EFEITO!$L$979*EFEITO!$Z$893</f>
        <v>385144.11225312628</v>
      </c>
      <c r="L979" s="46">
        <f>EFEITO!$N$979*EFEITO!$AA$893</f>
        <v>94363.591813695413</v>
      </c>
      <c r="M979" s="46">
        <f>$J$979-EFEITO!$K$979*EFEITO!$Y$979</f>
        <v>0</v>
      </c>
      <c r="N979" s="46">
        <f ca="1">$K$979-EFEITO!$M$979*EFEITO!$Z$979</f>
        <v>11554.32336759381</v>
      </c>
      <c r="O979" s="46">
        <f>$L$979-EFEITO!$O$979*EFEITO!$AA$979</f>
        <v>2830.9077544108586</v>
      </c>
      <c r="P979" s="38"/>
      <c r="Q979" s="38"/>
      <c r="R979" s="38"/>
      <c r="S979" s="38"/>
      <c r="T979" s="38"/>
      <c r="U979" s="38"/>
      <c r="V979" s="38"/>
      <c r="W979" s="38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</row>
    <row r="980" spans="1:36" ht="11.25" customHeight="1" x14ac:dyDescent="0.2">
      <c r="A980" s="35" t="s">
        <v>59</v>
      </c>
      <c r="B980" s="35" t="s">
        <v>41</v>
      </c>
      <c r="C980" s="35" t="s">
        <v>44</v>
      </c>
      <c r="D980" s="35" t="s">
        <v>52</v>
      </c>
      <c r="E980" s="35" t="s">
        <v>53</v>
      </c>
      <c r="F980" s="35" t="s">
        <v>25</v>
      </c>
      <c r="G980" s="35" t="s">
        <v>25</v>
      </c>
      <c r="H980" s="35" t="s">
        <v>36</v>
      </c>
      <c r="I980" s="45">
        <v>44866</v>
      </c>
      <c r="J980" s="46">
        <f>EFEITO!$J$980*EFEITO!$Y$893</f>
        <v>0</v>
      </c>
      <c r="K980" s="46">
        <f ca="1">EFEITO!$L$980*EFEITO!$Z$893</f>
        <v>57082.617244356748</v>
      </c>
      <c r="L980" s="46">
        <f>EFEITO!$N$980*EFEITO!$AA$893</f>
        <v>13985.727996183767</v>
      </c>
      <c r="M980" s="46">
        <f>$J$980-EFEITO!$K$980*EFEITO!$Y$980</f>
        <v>0</v>
      </c>
      <c r="N980" s="46">
        <f ca="1">$K$980-EFEITO!$M$980*EFEITO!$Z$980</f>
        <v>1712.4785173307027</v>
      </c>
      <c r="O980" s="46">
        <f>$L$980-EFEITO!$O$980*EFEITO!$AA$980</f>
        <v>419.57183988551151</v>
      </c>
      <c r="P980" s="38"/>
      <c r="Q980" s="38"/>
      <c r="R980" s="38"/>
      <c r="S980" s="38"/>
      <c r="T980" s="38"/>
      <c r="U980" s="38"/>
      <c r="V980" s="38"/>
      <c r="W980" s="38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</row>
    <row r="981" spans="1:36" ht="11.25" customHeight="1" x14ac:dyDescent="0.2">
      <c r="A981" s="35" t="s">
        <v>21</v>
      </c>
      <c r="B981" s="35" t="s">
        <v>22</v>
      </c>
      <c r="C981" s="35" t="s">
        <v>35</v>
      </c>
      <c r="D981" s="35" t="s">
        <v>24</v>
      </c>
      <c r="E981" s="35" t="s">
        <v>24</v>
      </c>
      <c r="F981" s="35" t="s">
        <v>25</v>
      </c>
      <c r="G981" s="35" t="s">
        <v>25</v>
      </c>
      <c r="H981" s="35" t="s">
        <v>37</v>
      </c>
      <c r="I981" s="45">
        <v>44531</v>
      </c>
      <c r="J981" s="46">
        <f>EFEITO!$J$981*EFEITO!$Y$981</f>
        <v>0</v>
      </c>
      <c r="K981" s="46">
        <f ca="1">EFEITO!$L$981*EFEITO!$Z$981</f>
        <v>13064.841418088845</v>
      </c>
      <c r="L981" s="46">
        <f>EFEITO!$N$981*EFEITO!$AA$981</f>
        <v>7644.5865016844155</v>
      </c>
      <c r="M981" s="46">
        <f>$J$981-EFEITO!$K$981*EFEITO!$Y$981</f>
        <v>0</v>
      </c>
      <c r="N981" s="46">
        <f ca="1">$K$981-EFEITO!$M$981*EFEITO!$Z$981</f>
        <v>0</v>
      </c>
      <c r="O981" s="46">
        <f>$L$981-EFEITO!$O$981*EFEITO!$AA$981</f>
        <v>0</v>
      </c>
      <c r="P981" s="38"/>
      <c r="Q981" s="38"/>
      <c r="R981" s="38"/>
      <c r="S981" s="38"/>
      <c r="T981" s="38"/>
      <c r="U981" s="38"/>
      <c r="V981" s="38"/>
      <c r="W981" s="38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</row>
    <row r="982" spans="1:36" ht="11.25" customHeight="1" x14ac:dyDescent="0.2">
      <c r="A982" s="35" t="s">
        <v>28</v>
      </c>
      <c r="B982" s="35" t="s">
        <v>22</v>
      </c>
      <c r="C982" s="35" t="s">
        <v>35</v>
      </c>
      <c r="D982" s="35" t="s">
        <v>24</v>
      </c>
      <c r="E982" s="35" t="s">
        <v>24</v>
      </c>
      <c r="F982" s="35" t="s">
        <v>25</v>
      </c>
      <c r="G982" s="35" t="s">
        <v>25</v>
      </c>
      <c r="H982" s="35" t="s">
        <v>37</v>
      </c>
      <c r="I982" s="45">
        <v>44531</v>
      </c>
      <c r="J982" s="46">
        <f>EFEITO!$J$982*EFEITO!$Y$982</f>
        <v>0</v>
      </c>
      <c r="K982" s="46">
        <f ca="1">EFEITO!$L$982*EFEITO!$Z$982</f>
        <v>291.14373271994765</v>
      </c>
      <c r="L982" s="46">
        <f>EFEITO!$N$982*EFEITO!$AA$982</f>
        <v>170.35594830254769</v>
      </c>
      <c r="M982" s="46">
        <f>$J$982-EFEITO!$K$982*EFEITO!$Y$982</f>
        <v>0</v>
      </c>
      <c r="N982" s="46">
        <f ca="1">$K$982-EFEITO!$M$982*EFEITO!$Z$982</f>
        <v>0</v>
      </c>
      <c r="O982" s="46">
        <f>$L$982-EFEITO!$O$982*EFEITO!$AA$982</f>
        <v>0</v>
      </c>
      <c r="P982" s="38"/>
      <c r="Q982" s="38"/>
      <c r="R982" s="38"/>
      <c r="S982" s="38"/>
      <c r="T982" s="38"/>
      <c r="U982" s="38"/>
      <c r="V982" s="38"/>
      <c r="W982" s="38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</row>
    <row r="983" spans="1:36" ht="11.25" customHeight="1" x14ac:dyDescent="0.2">
      <c r="A983" s="35" t="s">
        <v>30</v>
      </c>
      <c r="B983" s="35" t="s">
        <v>22</v>
      </c>
      <c r="C983" s="35" t="s">
        <v>35</v>
      </c>
      <c r="D983" s="35" t="s">
        <v>24</v>
      </c>
      <c r="E983" s="35" t="s">
        <v>24</v>
      </c>
      <c r="F983" s="35" t="s">
        <v>25</v>
      </c>
      <c r="G983" s="35" t="s">
        <v>25</v>
      </c>
      <c r="H983" s="35" t="s">
        <v>37</v>
      </c>
      <c r="I983" s="45">
        <v>44531</v>
      </c>
      <c r="J983" s="46">
        <f>EFEITO!$J$983*EFEITO!$Y$983</f>
        <v>0</v>
      </c>
      <c r="K983" s="46">
        <f ca="1">EFEITO!$L$983*EFEITO!$Z$983</f>
        <v>599.85326189411546</v>
      </c>
      <c r="L983" s="46">
        <f>EFEITO!$N$983*EFEITO!$AA$983</f>
        <v>350.99011171449172</v>
      </c>
      <c r="M983" s="46">
        <f>$J$983-EFEITO!$K$983*EFEITO!$Y$983</f>
        <v>0</v>
      </c>
      <c r="N983" s="46">
        <f ca="1">$K$983-EFEITO!$M$983*EFEITO!$Z$983</f>
        <v>0</v>
      </c>
      <c r="O983" s="46">
        <f>$L$983-EFEITO!$O$983*EFEITO!$AA$983</f>
        <v>0</v>
      </c>
      <c r="P983" s="38"/>
      <c r="Q983" s="38"/>
      <c r="R983" s="38"/>
      <c r="S983" s="38"/>
      <c r="T983" s="38"/>
      <c r="U983" s="38"/>
      <c r="V983" s="38"/>
      <c r="W983" s="38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</row>
    <row r="984" spans="1:36" ht="11.25" customHeight="1" x14ac:dyDescent="0.2">
      <c r="A984" s="35" t="s">
        <v>30</v>
      </c>
      <c r="B984" s="35" t="s">
        <v>22</v>
      </c>
      <c r="C984" s="35" t="s">
        <v>35</v>
      </c>
      <c r="D984" s="35" t="s">
        <v>24</v>
      </c>
      <c r="E984" s="35" t="s">
        <v>24</v>
      </c>
      <c r="F984" s="35" t="s">
        <v>25</v>
      </c>
      <c r="G984" s="35" t="s">
        <v>25</v>
      </c>
      <c r="H984" s="35" t="s">
        <v>37</v>
      </c>
      <c r="I984" s="45">
        <v>44531</v>
      </c>
      <c r="J984" s="46">
        <f>EFEITO!$J$984*EFEITO!$Y$984</f>
        <v>0</v>
      </c>
      <c r="K984" s="46">
        <f ca="1">EFEITO!$L$984*EFEITO!$Z$984</f>
        <v>-134.17278568223517</v>
      </c>
      <c r="L984" s="46">
        <f>EFEITO!$N$984*EFEITO!$AA$984</f>
        <v>-78.508068601559202</v>
      </c>
      <c r="M984" s="46">
        <f>$J$984-EFEITO!$K$984*EFEITO!$Y$984</f>
        <v>0</v>
      </c>
      <c r="N984" s="46">
        <f ca="1">$K$984-EFEITO!$M$984*EFEITO!$Z$984</f>
        <v>0</v>
      </c>
      <c r="O984" s="46">
        <f>$L$984-EFEITO!$O$984*EFEITO!$AA$984</f>
        <v>0</v>
      </c>
      <c r="P984" s="38"/>
      <c r="Q984" s="38"/>
      <c r="R984" s="38"/>
      <c r="S984" s="38"/>
      <c r="T984" s="38"/>
      <c r="U984" s="38"/>
      <c r="V984" s="38"/>
      <c r="W984" s="38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</row>
    <row r="985" spans="1:36" ht="11.25" customHeight="1" x14ac:dyDescent="0.2">
      <c r="A985" s="35" t="s">
        <v>21</v>
      </c>
      <c r="B985" s="35" t="s">
        <v>22</v>
      </c>
      <c r="C985" s="35" t="s">
        <v>35</v>
      </c>
      <c r="D985" s="35" t="s">
        <v>24</v>
      </c>
      <c r="E985" s="35" t="s">
        <v>24</v>
      </c>
      <c r="F985" s="35" t="s">
        <v>25</v>
      </c>
      <c r="G985" s="35" t="s">
        <v>25</v>
      </c>
      <c r="H985" s="35" t="s">
        <v>37</v>
      </c>
      <c r="I985" s="45">
        <v>44562</v>
      </c>
      <c r="J985" s="46">
        <f>EFEITO!$J$985*EFEITO!$Y$985</f>
        <v>0</v>
      </c>
      <c r="K985" s="46">
        <f ca="1">EFEITO!$L$985*EFEITO!$Z$985</f>
        <v>12957.577937613076</v>
      </c>
      <c r="L985" s="46">
        <f>EFEITO!$N$985*EFEITO!$AA$985</f>
        <v>7581.8237838887408</v>
      </c>
      <c r="M985" s="46">
        <f>$J$985-EFEITO!$K$985*EFEITO!$Y$985</f>
        <v>0</v>
      </c>
      <c r="N985" s="46">
        <f ca="1">$K$985-EFEITO!$M$985*EFEITO!$Z$985</f>
        <v>0</v>
      </c>
      <c r="O985" s="46">
        <f>$L$985-EFEITO!$O$985*EFEITO!$AA$985</f>
        <v>0</v>
      </c>
      <c r="P985" s="38"/>
      <c r="Q985" s="38"/>
      <c r="R985" s="38"/>
      <c r="S985" s="38"/>
      <c r="T985" s="38"/>
      <c r="U985" s="38"/>
      <c r="V985" s="38"/>
      <c r="W985" s="38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</row>
    <row r="986" spans="1:36" ht="11.25" customHeight="1" x14ac:dyDescent="0.2">
      <c r="A986" s="35" t="s">
        <v>28</v>
      </c>
      <c r="B986" s="35" t="s">
        <v>22</v>
      </c>
      <c r="C986" s="35" t="s">
        <v>35</v>
      </c>
      <c r="D986" s="35" t="s">
        <v>24</v>
      </c>
      <c r="E986" s="35" t="s">
        <v>24</v>
      </c>
      <c r="F986" s="35" t="s">
        <v>25</v>
      </c>
      <c r="G986" s="35" t="s">
        <v>25</v>
      </c>
      <c r="H986" s="35" t="s">
        <v>37</v>
      </c>
      <c r="I986" s="45">
        <v>44562</v>
      </c>
      <c r="J986" s="46">
        <f>EFEITO!$J$986*EFEITO!$Y$986</f>
        <v>0</v>
      </c>
      <c r="K986" s="46">
        <f ca="1">EFEITO!$L$986*EFEITO!$Z$986</f>
        <v>335.99257473072265</v>
      </c>
      <c r="L986" s="46">
        <f>EFEITO!$N$986*EFEITO!$AA$986</f>
        <v>196.59819964568726</v>
      </c>
      <c r="M986" s="46">
        <f>$J$986-EFEITO!$K$986*EFEITO!$Y$986</f>
        <v>0</v>
      </c>
      <c r="N986" s="46">
        <f ca="1">$K$986-EFEITO!$M$986*EFEITO!$Z$986</f>
        <v>0</v>
      </c>
      <c r="O986" s="46">
        <f>$L$986-EFEITO!$O$986*EFEITO!$AA$986</f>
        <v>0</v>
      </c>
      <c r="P986" s="38"/>
      <c r="Q986" s="38"/>
      <c r="R986" s="38"/>
      <c r="S986" s="38"/>
      <c r="T986" s="38"/>
      <c r="U986" s="38"/>
      <c r="V986" s="38"/>
      <c r="W986" s="38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</row>
    <row r="987" spans="1:36" ht="11.25" customHeight="1" x14ac:dyDescent="0.2">
      <c r="A987" s="35" t="s">
        <v>30</v>
      </c>
      <c r="B987" s="35" t="s">
        <v>22</v>
      </c>
      <c r="C987" s="35" t="s">
        <v>35</v>
      </c>
      <c r="D987" s="35" t="s">
        <v>24</v>
      </c>
      <c r="E987" s="35" t="s">
        <v>24</v>
      </c>
      <c r="F987" s="35" t="s">
        <v>25</v>
      </c>
      <c r="G987" s="35" t="s">
        <v>25</v>
      </c>
      <c r="H987" s="35" t="s">
        <v>37</v>
      </c>
      <c r="I987" s="45">
        <v>44562</v>
      </c>
      <c r="J987" s="46">
        <f>EFEITO!$J$987*EFEITO!$Y$987</f>
        <v>0</v>
      </c>
      <c r="K987" s="46">
        <f ca="1">EFEITO!$L$987*EFEITO!$Z$987</f>
        <v>464.18551481152116</v>
      </c>
      <c r="L987" s="46">
        <f>EFEITO!$N$987*EFEITO!$AA$987</f>
        <v>271.60730140149451</v>
      </c>
      <c r="M987" s="46">
        <f>$J$987-EFEITO!$K$987*EFEITO!$Y$987</f>
        <v>0</v>
      </c>
      <c r="N987" s="46">
        <f ca="1">$K$987-EFEITO!$M$987*EFEITO!$Z$987</f>
        <v>0</v>
      </c>
      <c r="O987" s="46">
        <f>$L$987-EFEITO!$O$987*EFEITO!$AA$987</f>
        <v>0</v>
      </c>
      <c r="P987" s="38"/>
      <c r="Q987" s="38"/>
      <c r="R987" s="38"/>
      <c r="S987" s="38"/>
      <c r="T987" s="38"/>
      <c r="U987" s="38"/>
      <c r="V987" s="38"/>
      <c r="W987" s="38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</row>
    <row r="988" spans="1:36" ht="11.25" customHeight="1" x14ac:dyDescent="0.2">
      <c r="A988" s="35" t="s">
        <v>21</v>
      </c>
      <c r="B988" s="35" t="s">
        <v>22</v>
      </c>
      <c r="C988" s="35" t="s">
        <v>35</v>
      </c>
      <c r="D988" s="35" t="s">
        <v>24</v>
      </c>
      <c r="E988" s="35" t="s">
        <v>24</v>
      </c>
      <c r="F988" s="35" t="s">
        <v>25</v>
      </c>
      <c r="G988" s="35" t="s">
        <v>25</v>
      </c>
      <c r="H988" s="35" t="s">
        <v>37</v>
      </c>
      <c r="I988" s="45">
        <v>44593</v>
      </c>
      <c r="J988" s="46">
        <f>EFEITO!$J$988*EFEITO!$Y$988</f>
        <v>0</v>
      </c>
      <c r="K988" s="46">
        <f ca="1">EFEITO!$L$988*EFEITO!$Z$988</f>
        <v>12057.611174596857</v>
      </c>
      <c r="L988" s="46">
        <f>EFEITO!$N$988*EFEITO!$AA$988</f>
        <v>7055.2292736030731</v>
      </c>
      <c r="M988" s="46">
        <f>$J$988-EFEITO!$K$988*EFEITO!$Y$988</f>
        <v>0</v>
      </c>
      <c r="N988" s="46">
        <f ca="1">$K$988-EFEITO!$M$988*EFEITO!$Z$988</f>
        <v>0</v>
      </c>
      <c r="O988" s="46">
        <f>$L$988-EFEITO!$O$988*EFEITO!$AA$988</f>
        <v>0</v>
      </c>
      <c r="P988" s="38"/>
      <c r="Q988" s="38"/>
      <c r="R988" s="38"/>
      <c r="S988" s="38"/>
      <c r="T988" s="38"/>
      <c r="U988" s="38"/>
      <c r="V988" s="38"/>
      <c r="W988" s="38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</row>
    <row r="989" spans="1:36" ht="11.25" customHeight="1" x14ac:dyDescent="0.2">
      <c r="A989" s="35" t="s">
        <v>27</v>
      </c>
      <c r="B989" s="35" t="s">
        <v>22</v>
      </c>
      <c r="C989" s="35" t="s">
        <v>35</v>
      </c>
      <c r="D989" s="35" t="s">
        <v>24</v>
      </c>
      <c r="E989" s="35" t="s">
        <v>24</v>
      </c>
      <c r="F989" s="35" t="s">
        <v>25</v>
      </c>
      <c r="G989" s="35" t="s">
        <v>25</v>
      </c>
      <c r="H989" s="35" t="s">
        <v>37</v>
      </c>
      <c r="I989" s="45">
        <v>44593</v>
      </c>
      <c r="J989" s="46">
        <f>EFEITO!$J$989*EFEITO!$Y$989</f>
        <v>0</v>
      </c>
      <c r="K989" s="46">
        <f ca="1">EFEITO!$L$989*EFEITO!$Z$989</f>
        <v>132.30408393178621</v>
      </c>
      <c r="L989" s="46">
        <f>EFEITO!$N$989*EFEITO!$AA$989</f>
        <v>77.414641462261727</v>
      </c>
      <c r="M989" s="46">
        <f>$J$989-EFEITO!$K$989*EFEITO!$Y$989</f>
        <v>0</v>
      </c>
      <c r="N989" s="46">
        <f ca="1">$K$989-EFEITO!$M$989*EFEITO!$Z$989</f>
        <v>0</v>
      </c>
      <c r="O989" s="46">
        <f>$L$989-EFEITO!$O$989*EFEITO!$AA$989</f>
        <v>0</v>
      </c>
      <c r="P989" s="38"/>
      <c r="Q989" s="38"/>
      <c r="R989" s="38"/>
      <c r="S989" s="38"/>
      <c r="T989" s="38"/>
      <c r="U989" s="38"/>
      <c r="V989" s="38"/>
      <c r="W989" s="38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</row>
    <row r="990" spans="1:36" ht="11.25" customHeight="1" x14ac:dyDescent="0.2">
      <c r="A990" s="35" t="s">
        <v>28</v>
      </c>
      <c r="B990" s="35" t="s">
        <v>22</v>
      </c>
      <c r="C990" s="35" t="s">
        <v>35</v>
      </c>
      <c r="D990" s="35" t="s">
        <v>24</v>
      </c>
      <c r="E990" s="35" t="s">
        <v>24</v>
      </c>
      <c r="F990" s="35" t="s">
        <v>25</v>
      </c>
      <c r="G990" s="35" t="s">
        <v>25</v>
      </c>
      <c r="H990" s="35" t="s">
        <v>37</v>
      </c>
      <c r="I990" s="45">
        <v>44593</v>
      </c>
      <c r="J990" s="46">
        <f>EFEITO!$J$990*EFEITO!$Y$990</f>
        <v>0</v>
      </c>
      <c r="K990" s="46">
        <f ca="1">EFEITO!$L$990*EFEITO!$Z$990</f>
        <v>337.48753613108181</v>
      </c>
      <c r="L990" s="46">
        <f>EFEITO!$N$990*EFEITO!$AA$990</f>
        <v>197.47294135712525</v>
      </c>
      <c r="M990" s="46">
        <f>$J$990-EFEITO!$K$990*EFEITO!$Y$990</f>
        <v>0</v>
      </c>
      <c r="N990" s="46">
        <f ca="1">$K$990-EFEITO!$M$990*EFEITO!$Z$990</f>
        <v>0</v>
      </c>
      <c r="O990" s="46">
        <f>$L$990-EFEITO!$O$990*EFEITO!$AA$990</f>
        <v>0</v>
      </c>
      <c r="P990" s="38"/>
      <c r="Q990" s="38"/>
      <c r="R990" s="38"/>
      <c r="S990" s="38"/>
      <c r="T990" s="38"/>
      <c r="U990" s="38"/>
      <c r="V990" s="38"/>
      <c r="W990" s="38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</row>
    <row r="991" spans="1:36" ht="11.25" customHeight="1" x14ac:dyDescent="0.2">
      <c r="A991" s="35" t="s">
        <v>30</v>
      </c>
      <c r="B991" s="35" t="s">
        <v>22</v>
      </c>
      <c r="C991" s="35" t="s">
        <v>35</v>
      </c>
      <c r="D991" s="35" t="s">
        <v>24</v>
      </c>
      <c r="E991" s="35" t="s">
        <v>24</v>
      </c>
      <c r="F991" s="35" t="s">
        <v>25</v>
      </c>
      <c r="G991" s="35" t="s">
        <v>25</v>
      </c>
      <c r="H991" s="35" t="s">
        <v>37</v>
      </c>
      <c r="I991" s="45">
        <v>44593</v>
      </c>
      <c r="J991" s="46">
        <f>EFEITO!$J$991*EFEITO!$Y$991</f>
        <v>0</v>
      </c>
      <c r="K991" s="46">
        <f ca="1">EFEITO!$L$991*EFEITO!$Z$991</f>
        <v>151.36484178636562</v>
      </c>
      <c r="L991" s="46">
        <f>EFEITO!$N$991*EFEITO!$AA$991</f>
        <v>88.567598283096046</v>
      </c>
      <c r="M991" s="46">
        <f>$J$991-EFEITO!$K$991*EFEITO!$Y$991</f>
        <v>0</v>
      </c>
      <c r="N991" s="46">
        <f ca="1">$K$991-EFEITO!$M$991*EFEITO!$Z$991</f>
        <v>0</v>
      </c>
      <c r="O991" s="46">
        <f>$L$991-EFEITO!$O$991*EFEITO!$AA$991</f>
        <v>0</v>
      </c>
      <c r="P991" s="38"/>
      <c r="Q991" s="38"/>
      <c r="R991" s="38"/>
      <c r="S991" s="38"/>
      <c r="T991" s="38"/>
      <c r="U991" s="38"/>
      <c r="V991" s="38"/>
      <c r="W991" s="38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</row>
    <row r="992" spans="1:36" ht="11.25" customHeight="1" x14ac:dyDescent="0.2">
      <c r="A992" s="35" t="s">
        <v>30</v>
      </c>
      <c r="B992" s="35" t="s">
        <v>22</v>
      </c>
      <c r="C992" s="35" t="s">
        <v>35</v>
      </c>
      <c r="D992" s="35" t="s">
        <v>24</v>
      </c>
      <c r="E992" s="35" t="s">
        <v>24</v>
      </c>
      <c r="F992" s="35" t="s">
        <v>25</v>
      </c>
      <c r="G992" s="35" t="s">
        <v>25</v>
      </c>
      <c r="H992" s="35" t="s">
        <v>37</v>
      </c>
      <c r="I992" s="45">
        <v>44593</v>
      </c>
      <c r="J992" s="46">
        <f>EFEITO!$J$992*EFEITO!$Y$992</f>
        <v>0</v>
      </c>
      <c r="K992" s="46">
        <f ca="1">EFEITO!$L$992*EFEITO!$Z$992</f>
        <v>-121.83935412927207</v>
      </c>
      <c r="L992" s="46">
        <f>EFEITO!$N$992*EFEITO!$AA$992</f>
        <v>-71.29144948219583</v>
      </c>
      <c r="M992" s="46">
        <f>$J$992-EFEITO!$K$992*EFEITO!$Y$992</f>
        <v>0</v>
      </c>
      <c r="N992" s="46">
        <f ca="1">$K$992-EFEITO!$M$992*EFEITO!$Z$992</f>
        <v>0</v>
      </c>
      <c r="O992" s="46">
        <f>$L$992-EFEITO!$O$992*EFEITO!$AA$992</f>
        <v>0</v>
      </c>
      <c r="P992" s="38"/>
      <c r="Q992" s="38"/>
      <c r="R992" s="38"/>
      <c r="S992" s="38"/>
      <c r="T992" s="38"/>
      <c r="U992" s="38"/>
      <c r="V992" s="38"/>
      <c r="W992" s="38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</row>
    <row r="993" spans="1:36" ht="11.25" customHeight="1" x14ac:dyDescent="0.2">
      <c r="A993" s="35" t="s">
        <v>21</v>
      </c>
      <c r="B993" s="35" t="s">
        <v>22</v>
      </c>
      <c r="C993" s="35" t="s">
        <v>35</v>
      </c>
      <c r="D993" s="35" t="s">
        <v>24</v>
      </c>
      <c r="E993" s="35" t="s">
        <v>24</v>
      </c>
      <c r="F993" s="35" t="s">
        <v>25</v>
      </c>
      <c r="G993" s="35" t="s">
        <v>25</v>
      </c>
      <c r="H993" s="35" t="s">
        <v>37</v>
      </c>
      <c r="I993" s="45">
        <v>44621</v>
      </c>
      <c r="J993" s="46">
        <f>EFEITO!$J$993*EFEITO!$Y$993</f>
        <v>0</v>
      </c>
      <c r="K993" s="46">
        <f ca="1">EFEITO!$L$993*EFEITO!$Z$993</f>
        <v>12484.422654399401</v>
      </c>
      <c r="L993" s="46">
        <f>EFEITO!$N$993*EFEITO!$AA$993</f>
        <v>7304.9680322186186</v>
      </c>
      <c r="M993" s="46">
        <f>$J$993-EFEITO!$K$993*EFEITO!$Y$993</f>
        <v>0</v>
      </c>
      <c r="N993" s="46">
        <f ca="1">$K$993-EFEITO!$M$993*EFEITO!$Z$993</f>
        <v>0</v>
      </c>
      <c r="O993" s="46">
        <f>$L$993-EFEITO!$O$993*EFEITO!$AA$993</f>
        <v>0</v>
      </c>
      <c r="P993" s="38"/>
      <c r="Q993" s="38"/>
      <c r="R993" s="38"/>
      <c r="S993" s="38"/>
      <c r="T993" s="38"/>
      <c r="U993" s="38"/>
      <c r="V993" s="38"/>
      <c r="W993" s="38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</row>
    <row r="994" spans="1:36" ht="11.25" customHeight="1" x14ac:dyDescent="0.2">
      <c r="A994" s="35" t="s">
        <v>28</v>
      </c>
      <c r="B994" s="35" t="s">
        <v>22</v>
      </c>
      <c r="C994" s="35" t="s">
        <v>35</v>
      </c>
      <c r="D994" s="35" t="s">
        <v>24</v>
      </c>
      <c r="E994" s="35" t="s">
        <v>24</v>
      </c>
      <c r="F994" s="35" t="s">
        <v>25</v>
      </c>
      <c r="G994" s="35" t="s">
        <v>25</v>
      </c>
      <c r="H994" s="35" t="s">
        <v>37</v>
      </c>
      <c r="I994" s="45">
        <v>44621</v>
      </c>
      <c r="J994" s="46">
        <f>EFEITO!$J$994*EFEITO!$Y$994</f>
        <v>0</v>
      </c>
      <c r="K994" s="46">
        <f ca="1">EFEITO!$L$994*EFEITO!$Z$994</f>
        <v>437.27620960505612</v>
      </c>
      <c r="L994" s="46">
        <f>EFEITO!$N$994*EFEITO!$AA$994</f>
        <v>255.86195059561078</v>
      </c>
      <c r="M994" s="46">
        <f>$J$994-EFEITO!$K$994*EFEITO!$Y$994</f>
        <v>0</v>
      </c>
      <c r="N994" s="46">
        <f ca="1">$K$994-EFEITO!$M$994*EFEITO!$Z$994</f>
        <v>0</v>
      </c>
      <c r="O994" s="46">
        <f>$L$994-EFEITO!$O$994*EFEITO!$AA$994</f>
        <v>0</v>
      </c>
      <c r="P994" s="38"/>
      <c r="Q994" s="38"/>
      <c r="R994" s="38"/>
      <c r="S994" s="38"/>
      <c r="T994" s="38"/>
      <c r="U994" s="38"/>
      <c r="V994" s="38"/>
      <c r="W994" s="38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</row>
    <row r="995" spans="1:36" ht="11.25" customHeight="1" x14ac:dyDescent="0.2">
      <c r="A995" s="35" t="s">
        <v>30</v>
      </c>
      <c r="B995" s="35" t="s">
        <v>22</v>
      </c>
      <c r="C995" s="35" t="s">
        <v>35</v>
      </c>
      <c r="D995" s="35" t="s">
        <v>24</v>
      </c>
      <c r="E995" s="35" t="s">
        <v>24</v>
      </c>
      <c r="F995" s="35" t="s">
        <v>25</v>
      </c>
      <c r="G995" s="35" t="s">
        <v>25</v>
      </c>
      <c r="H995" s="35" t="s">
        <v>37</v>
      </c>
      <c r="I995" s="45">
        <v>44621</v>
      </c>
      <c r="J995" s="46">
        <f>EFEITO!$J$995*EFEITO!$Y$995</f>
        <v>0</v>
      </c>
      <c r="K995" s="46">
        <f ca="1">EFEITO!$L$995*EFEITO!$Z$995</f>
        <v>70.263185816880821</v>
      </c>
      <c r="L995" s="46">
        <f>EFEITO!$N$995*EFEITO!$AA$995</f>
        <v>41.112860437585326</v>
      </c>
      <c r="M995" s="46">
        <f>$J$995-EFEITO!$K$995*EFEITO!$Y$995</f>
        <v>0</v>
      </c>
      <c r="N995" s="46">
        <f ca="1">$K$995-EFEITO!$M$995*EFEITO!$Z$995</f>
        <v>0</v>
      </c>
      <c r="O995" s="46">
        <f>$L$995-EFEITO!$O$995*EFEITO!$AA$995</f>
        <v>0</v>
      </c>
      <c r="P995" s="38"/>
      <c r="Q995" s="38"/>
      <c r="R995" s="38"/>
      <c r="S995" s="38"/>
      <c r="T995" s="38"/>
      <c r="U995" s="38"/>
      <c r="V995" s="38"/>
      <c r="W995" s="38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</row>
    <row r="996" spans="1:36" ht="11.25" customHeight="1" x14ac:dyDescent="0.2">
      <c r="A996" s="35" t="s">
        <v>21</v>
      </c>
      <c r="B996" s="35" t="s">
        <v>22</v>
      </c>
      <c r="C996" s="35" t="s">
        <v>35</v>
      </c>
      <c r="D996" s="35" t="s">
        <v>24</v>
      </c>
      <c r="E996" s="35" t="s">
        <v>24</v>
      </c>
      <c r="F996" s="35" t="s">
        <v>25</v>
      </c>
      <c r="G996" s="35" t="s">
        <v>25</v>
      </c>
      <c r="H996" s="35" t="s">
        <v>37</v>
      </c>
      <c r="I996" s="45">
        <v>44652</v>
      </c>
      <c r="J996" s="46">
        <f>EFEITO!$J$996*EFEITO!$Y$996</f>
        <v>0</v>
      </c>
      <c r="K996" s="46">
        <f ca="1">EFEITO!$L$996*EFEITO!$Z$996</f>
        <v>12744.545938061894</v>
      </c>
      <c r="L996" s="46">
        <f>EFEITO!$N$996*EFEITO!$AA$996</f>
        <v>7457.1730900088278</v>
      </c>
      <c r="M996" s="46">
        <f>$J$996-EFEITO!$K$996*EFEITO!$Y$996</f>
        <v>0</v>
      </c>
      <c r="N996" s="46">
        <f ca="1">$K$996-EFEITO!$M$996*EFEITO!$Z$996</f>
        <v>0</v>
      </c>
      <c r="O996" s="46">
        <f>$L$996-EFEITO!$O$996*EFEITO!$AA$996</f>
        <v>0</v>
      </c>
      <c r="P996" s="38"/>
      <c r="Q996" s="38"/>
      <c r="R996" s="38"/>
      <c r="S996" s="38"/>
      <c r="T996" s="38"/>
      <c r="U996" s="38"/>
      <c r="V996" s="38"/>
      <c r="W996" s="38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</row>
    <row r="997" spans="1:36" ht="11.25" customHeight="1" x14ac:dyDescent="0.2">
      <c r="A997" s="35" t="s">
        <v>27</v>
      </c>
      <c r="B997" s="35" t="s">
        <v>22</v>
      </c>
      <c r="C997" s="35" t="s">
        <v>35</v>
      </c>
      <c r="D997" s="35" t="s">
        <v>24</v>
      </c>
      <c r="E997" s="35" t="s">
        <v>24</v>
      </c>
      <c r="F997" s="35" t="s">
        <v>25</v>
      </c>
      <c r="G997" s="35" t="s">
        <v>25</v>
      </c>
      <c r="H997" s="35" t="s">
        <v>37</v>
      </c>
      <c r="I997" s="45">
        <v>44652</v>
      </c>
      <c r="J997" s="46">
        <f>EFEITO!$J$997*EFEITO!$Y$997</f>
        <v>0</v>
      </c>
      <c r="K997" s="46">
        <f ca="1">EFEITO!$L$997*EFEITO!$Z$997</f>
        <v>20.555719254938538</v>
      </c>
      <c r="L997" s="46">
        <f>EFEITO!$N$997*EFEITO!$AA$997</f>
        <v>12.027698532272302</v>
      </c>
      <c r="M997" s="46">
        <f>$J$997-EFEITO!$K$997*EFEITO!$Y$997</f>
        <v>0</v>
      </c>
      <c r="N997" s="46">
        <f ca="1">$K$997-EFEITO!$M$997*EFEITO!$Z$997</f>
        <v>0</v>
      </c>
      <c r="O997" s="46">
        <f>$L$997-EFEITO!$O$997*EFEITO!$AA$997</f>
        <v>0</v>
      </c>
      <c r="P997" s="38"/>
      <c r="Q997" s="38"/>
      <c r="R997" s="38"/>
      <c r="S997" s="38"/>
      <c r="T997" s="38"/>
      <c r="U997" s="38"/>
      <c r="V997" s="38"/>
      <c r="W997" s="38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</row>
    <row r="998" spans="1:36" ht="11.25" customHeight="1" x14ac:dyDescent="0.2">
      <c r="A998" s="35" t="s">
        <v>28</v>
      </c>
      <c r="B998" s="35" t="s">
        <v>22</v>
      </c>
      <c r="C998" s="35" t="s">
        <v>35</v>
      </c>
      <c r="D998" s="35" t="s">
        <v>24</v>
      </c>
      <c r="E998" s="35" t="s">
        <v>24</v>
      </c>
      <c r="F998" s="35" t="s">
        <v>25</v>
      </c>
      <c r="G998" s="35" t="s">
        <v>25</v>
      </c>
      <c r="H998" s="35" t="s">
        <v>37</v>
      </c>
      <c r="I998" s="45">
        <v>44652</v>
      </c>
      <c r="J998" s="46">
        <f>EFEITO!$J$998*EFEITO!$Y$998</f>
        <v>0</v>
      </c>
      <c r="K998" s="46">
        <f ca="1">EFEITO!$L$998*EFEITO!$Z$998</f>
        <v>417.46797105029719</v>
      </c>
      <c r="L998" s="46">
        <f>EFEITO!$N$998*EFEITO!$AA$998</f>
        <v>244.27162291905748</v>
      </c>
      <c r="M998" s="46">
        <f>$J$998-EFEITO!$K$998*EFEITO!$Y$998</f>
        <v>0</v>
      </c>
      <c r="N998" s="46">
        <f ca="1">$K$998-EFEITO!$M$998*EFEITO!$Z$998</f>
        <v>0</v>
      </c>
      <c r="O998" s="46">
        <f>$L$998-EFEITO!$O$998*EFEITO!$AA$998</f>
        <v>0</v>
      </c>
      <c r="P998" s="38"/>
      <c r="Q998" s="38"/>
      <c r="R998" s="38"/>
      <c r="S998" s="38"/>
      <c r="T998" s="38"/>
      <c r="U998" s="38"/>
      <c r="V998" s="38"/>
      <c r="W998" s="38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</row>
    <row r="999" spans="1:36" ht="11.25" customHeight="1" x14ac:dyDescent="0.2">
      <c r="A999" s="35" t="s">
        <v>30</v>
      </c>
      <c r="B999" s="35" t="s">
        <v>22</v>
      </c>
      <c r="C999" s="35" t="s">
        <v>35</v>
      </c>
      <c r="D999" s="35" t="s">
        <v>24</v>
      </c>
      <c r="E999" s="35" t="s">
        <v>24</v>
      </c>
      <c r="F999" s="35" t="s">
        <v>25</v>
      </c>
      <c r="G999" s="35" t="s">
        <v>25</v>
      </c>
      <c r="H999" s="35" t="s">
        <v>37</v>
      </c>
      <c r="I999" s="45">
        <v>44652</v>
      </c>
      <c r="J999" s="46">
        <f>EFEITO!$J$999*EFEITO!$Y$999</f>
        <v>0</v>
      </c>
      <c r="K999" s="46">
        <f ca="1">EFEITO!$L$999*EFEITO!$Z$999</f>
        <v>70.263185816880821</v>
      </c>
      <c r="L999" s="46">
        <f>EFEITO!$N$999*EFEITO!$AA$999</f>
        <v>41.112860437585326</v>
      </c>
      <c r="M999" s="46">
        <f>$J$999-EFEITO!$K$999*EFEITO!$Y$999</f>
        <v>0</v>
      </c>
      <c r="N999" s="46">
        <f ca="1">$K$999-EFEITO!$M$999*EFEITO!$Z$999</f>
        <v>0</v>
      </c>
      <c r="O999" s="46">
        <f>$L$999-EFEITO!$O$999*EFEITO!$AA$999</f>
        <v>0</v>
      </c>
      <c r="P999" s="38"/>
      <c r="Q999" s="38"/>
      <c r="R999" s="38"/>
      <c r="S999" s="38"/>
      <c r="T999" s="38"/>
      <c r="U999" s="38"/>
      <c r="V999" s="38"/>
      <c r="W999" s="38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</row>
    <row r="1000" spans="1:36" ht="11.25" customHeight="1" x14ac:dyDescent="0.2">
      <c r="A1000" s="35" t="s">
        <v>21</v>
      </c>
      <c r="B1000" s="35" t="s">
        <v>22</v>
      </c>
      <c r="C1000" s="35" t="s">
        <v>35</v>
      </c>
      <c r="D1000" s="35" t="s">
        <v>24</v>
      </c>
      <c r="E1000" s="35" t="s">
        <v>24</v>
      </c>
      <c r="F1000" s="35" t="s">
        <v>25</v>
      </c>
      <c r="G1000" s="35" t="s">
        <v>25</v>
      </c>
      <c r="H1000" s="35" t="s">
        <v>37</v>
      </c>
      <c r="I1000" s="45">
        <v>44682</v>
      </c>
      <c r="J1000" s="46">
        <f>EFEITO!$J$1000*EFEITO!$Y$1000</f>
        <v>0</v>
      </c>
      <c r="K1000" s="46">
        <f ca="1">EFEITO!$L$1000*EFEITO!$Z$1000</f>
        <v>15512.840711176979</v>
      </c>
      <c r="L1000" s="46">
        <f>EFEITO!$N$1000*EFEITO!$AA$1000</f>
        <v>9076.9760541641172</v>
      </c>
      <c r="M1000" s="46">
        <f>$J$1000-EFEITO!$K$1000*EFEITO!$Y$1000</f>
        <v>0</v>
      </c>
      <c r="N1000" s="46">
        <f ca="1">$K$1000-EFEITO!$M$1000*EFEITO!$Z$1000</f>
        <v>0</v>
      </c>
      <c r="O1000" s="46">
        <f>$L$1000-EFEITO!$O$1000*EFEITO!$AA$1000</f>
        <v>0</v>
      </c>
      <c r="P1000" s="38"/>
      <c r="Q1000" s="38"/>
      <c r="R1000" s="38"/>
      <c r="S1000" s="38"/>
      <c r="T1000" s="38"/>
      <c r="U1000" s="38"/>
      <c r="V1000" s="38"/>
      <c r="W1000" s="38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</row>
    <row r="1001" spans="1:36" ht="11.25" customHeight="1" x14ac:dyDescent="0.2">
      <c r="A1001" s="35" t="s">
        <v>28</v>
      </c>
      <c r="B1001" s="35" t="s">
        <v>22</v>
      </c>
      <c r="C1001" s="35" t="s">
        <v>35</v>
      </c>
      <c r="D1001" s="35" t="s">
        <v>24</v>
      </c>
      <c r="E1001" s="35" t="s">
        <v>24</v>
      </c>
      <c r="F1001" s="35" t="s">
        <v>25</v>
      </c>
      <c r="G1001" s="35" t="s">
        <v>25</v>
      </c>
      <c r="H1001" s="35" t="s">
        <v>37</v>
      </c>
      <c r="I1001" s="45">
        <v>44682</v>
      </c>
      <c r="J1001" s="46">
        <f>EFEITO!$J$1001*EFEITO!$Y$1001</f>
        <v>0</v>
      </c>
      <c r="K1001" s="46">
        <f ca="1">EFEITO!$L$1001*EFEITO!$Z$1001</f>
        <v>389.43744479356286</v>
      </c>
      <c r="L1001" s="46">
        <f>EFEITO!$N$1001*EFEITO!$AA$1001</f>
        <v>227.87021582959525</v>
      </c>
      <c r="M1001" s="46">
        <f>$J$1001-EFEITO!$K$1001*EFEITO!$Y$1001</f>
        <v>0</v>
      </c>
      <c r="N1001" s="46">
        <f ca="1">$K$1001-EFEITO!$M$1001*EFEITO!$Z$1001</f>
        <v>0</v>
      </c>
      <c r="O1001" s="46">
        <f>$L$1001-EFEITO!$O$1001*EFEITO!$AA$1001</f>
        <v>0</v>
      </c>
      <c r="P1001" s="38"/>
      <c r="Q1001" s="38"/>
      <c r="R1001" s="38"/>
      <c r="S1001" s="38"/>
      <c r="T1001" s="38"/>
      <c r="U1001" s="38"/>
      <c r="V1001" s="38"/>
      <c r="W1001" s="38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</row>
    <row r="1002" spans="1:36" ht="11.25" customHeight="1" x14ac:dyDescent="0.2">
      <c r="A1002" s="35" t="s">
        <v>30</v>
      </c>
      <c r="B1002" s="35" t="s">
        <v>22</v>
      </c>
      <c r="C1002" s="35" t="s">
        <v>35</v>
      </c>
      <c r="D1002" s="35" t="s">
        <v>24</v>
      </c>
      <c r="E1002" s="35" t="s">
        <v>24</v>
      </c>
      <c r="F1002" s="35" t="s">
        <v>25</v>
      </c>
      <c r="G1002" s="35" t="s">
        <v>25</v>
      </c>
      <c r="H1002" s="35" t="s">
        <v>37</v>
      </c>
      <c r="I1002" s="45">
        <v>44682</v>
      </c>
      <c r="J1002" s="46">
        <f>EFEITO!$J$1002*EFEITO!$Y$1002</f>
        <v>0</v>
      </c>
      <c r="K1002" s="46">
        <f ca="1">EFEITO!$L$1002*EFEITO!$Z$1002</f>
        <v>118.10195062837415</v>
      </c>
      <c r="L1002" s="46">
        <f>EFEITO!$N$1002*EFEITO!$AA$1002</f>
        <v>69.104595203600866</v>
      </c>
      <c r="M1002" s="46">
        <f>$J$1002-EFEITO!$K$1002*EFEITO!$Y$1002</f>
        <v>0</v>
      </c>
      <c r="N1002" s="46">
        <f ca="1">$K$1002-EFEITO!$M$1002*EFEITO!$Z$1002</f>
        <v>0</v>
      </c>
      <c r="O1002" s="46">
        <f>$L$1002-EFEITO!$O$1002*EFEITO!$AA$1002</f>
        <v>0</v>
      </c>
      <c r="P1002" s="38"/>
      <c r="Q1002" s="38"/>
      <c r="R1002" s="38"/>
      <c r="S1002" s="38"/>
      <c r="T1002" s="38"/>
      <c r="U1002" s="38"/>
      <c r="V1002" s="38"/>
      <c r="W1002" s="38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</row>
    <row r="1003" spans="1:36" ht="11.25" customHeight="1" x14ac:dyDescent="0.2">
      <c r="A1003" s="35" t="s">
        <v>21</v>
      </c>
      <c r="B1003" s="35" t="s">
        <v>22</v>
      </c>
      <c r="C1003" s="35" t="s">
        <v>35</v>
      </c>
      <c r="D1003" s="35" t="s">
        <v>24</v>
      </c>
      <c r="E1003" s="35" t="s">
        <v>24</v>
      </c>
      <c r="F1003" s="35" t="s">
        <v>25</v>
      </c>
      <c r="G1003" s="35" t="s">
        <v>25</v>
      </c>
      <c r="H1003" s="35" t="s">
        <v>37</v>
      </c>
      <c r="I1003" s="45">
        <v>44713</v>
      </c>
      <c r="J1003" s="46">
        <f>EFEITO!$J$1003*EFEITO!$Y$1003</f>
        <v>0</v>
      </c>
      <c r="K1003" s="46">
        <f ca="1">EFEITO!$L$1003*EFEITO!$Z$1003</f>
        <v>13475.208322487437</v>
      </c>
      <c r="L1003" s="46">
        <f>EFEITO!$N$1003*EFEITO!$AA$1003</f>
        <v>7884.7031014741424</v>
      </c>
      <c r="M1003" s="46">
        <f>$J$1003-EFEITO!$K$1003*EFEITO!$Y$1003</f>
        <v>0</v>
      </c>
      <c r="N1003" s="46">
        <f ca="1">$K$1003-EFEITO!$M$1003*EFEITO!$Z$1003</f>
        <v>0</v>
      </c>
      <c r="O1003" s="46">
        <f>$L$1003-EFEITO!$O$1003*EFEITO!$AA$1003</f>
        <v>0</v>
      </c>
      <c r="P1003" s="38"/>
      <c r="Q1003" s="38"/>
      <c r="R1003" s="38"/>
      <c r="S1003" s="38"/>
      <c r="T1003" s="38"/>
      <c r="U1003" s="38"/>
      <c r="V1003" s="38"/>
      <c r="W1003" s="38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</row>
    <row r="1004" spans="1:36" ht="11.25" customHeight="1" x14ac:dyDescent="0.2">
      <c r="A1004" s="35" t="s">
        <v>27</v>
      </c>
      <c r="B1004" s="35" t="s">
        <v>22</v>
      </c>
      <c r="C1004" s="35" t="s">
        <v>35</v>
      </c>
      <c r="D1004" s="35" t="s">
        <v>24</v>
      </c>
      <c r="E1004" s="35" t="s">
        <v>24</v>
      </c>
      <c r="F1004" s="35" t="s">
        <v>25</v>
      </c>
      <c r="G1004" s="35" t="s">
        <v>25</v>
      </c>
      <c r="H1004" s="35" t="s">
        <v>37</v>
      </c>
      <c r="I1004" s="45">
        <v>44713</v>
      </c>
      <c r="J1004" s="46">
        <f>EFEITO!$J$1004*EFEITO!$Y$1004</f>
        <v>0</v>
      </c>
      <c r="K1004" s="46">
        <f ca="1">EFEITO!$L$1004*EFEITO!$Z$1004</f>
        <v>-26.535564856375203</v>
      </c>
      <c r="L1004" s="46">
        <f>EFEITO!$N$1004*EFEITO!$AA$1004</f>
        <v>-15.526665378024243</v>
      </c>
      <c r="M1004" s="46">
        <f>$J$1004-EFEITO!$K$1004*EFEITO!$Y$1004</f>
        <v>0</v>
      </c>
      <c r="N1004" s="46">
        <f ca="1">$K$1004-EFEITO!$M$1004*EFEITO!$Z$1004</f>
        <v>0</v>
      </c>
      <c r="O1004" s="46">
        <f>$L$1004-EFEITO!$O$1004*EFEITO!$AA$1004</f>
        <v>0</v>
      </c>
      <c r="P1004" s="38"/>
      <c r="Q1004" s="38"/>
      <c r="R1004" s="38"/>
      <c r="S1004" s="38"/>
      <c r="T1004" s="38"/>
      <c r="U1004" s="38"/>
      <c r="V1004" s="38"/>
      <c r="W1004" s="38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</row>
    <row r="1005" spans="1:36" ht="11.25" customHeight="1" x14ac:dyDescent="0.2">
      <c r="A1005" s="35" t="s">
        <v>28</v>
      </c>
      <c r="B1005" s="35" t="s">
        <v>22</v>
      </c>
      <c r="C1005" s="35" t="s">
        <v>35</v>
      </c>
      <c r="D1005" s="35" t="s">
        <v>24</v>
      </c>
      <c r="E1005" s="35" t="s">
        <v>24</v>
      </c>
      <c r="F1005" s="35" t="s">
        <v>25</v>
      </c>
      <c r="G1005" s="35" t="s">
        <v>25</v>
      </c>
      <c r="H1005" s="35" t="s">
        <v>37</v>
      </c>
      <c r="I1005" s="45">
        <v>44713</v>
      </c>
      <c r="J1005" s="46">
        <f>EFEITO!$J$1005*EFEITO!$Y$1005</f>
        <v>0</v>
      </c>
      <c r="K1005" s="46">
        <f ca="1">EFEITO!$L$1005*EFEITO!$Z$1005</f>
        <v>352.81089048476326</v>
      </c>
      <c r="L1005" s="46">
        <f>EFEITO!$N$1005*EFEITO!$AA$1005</f>
        <v>206.43904389936458</v>
      </c>
      <c r="M1005" s="46">
        <f>$J$1005-EFEITO!$K$1005*EFEITO!$Y$1005</f>
        <v>0</v>
      </c>
      <c r="N1005" s="46">
        <f ca="1">$K$1005-EFEITO!$M$1005*EFEITO!$Z$1005</f>
        <v>0</v>
      </c>
      <c r="O1005" s="46">
        <f>$L$1005-EFEITO!$O$1005*EFEITO!$AA$1005</f>
        <v>0</v>
      </c>
      <c r="P1005" s="38"/>
      <c r="Q1005" s="38"/>
      <c r="R1005" s="38"/>
      <c r="S1005" s="38"/>
      <c r="T1005" s="38"/>
      <c r="U1005" s="38"/>
      <c r="V1005" s="38"/>
      <c r="W1005" s="38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</row>
    <row r="1006" spans="1:36" ht="11.25" customHeight="1" x14ac:dyDescent="0.2">
      <c r="A1006" s="35" t="s">
        <v>21</v>
      </c>
      <c r="B1006" s="35" t="s">
        <v>22</v>
      </c>
      <c r="C1006" s="35" t="s">
        <v>35</v>
      </c>
      <c r="D1006" s="35" t="s">
        <v>24</v>
      </c>
      <c r="E1006" s="35" t="s">
        <v>24</v>
      </c>
      <c r="F1006" s="35" t="s">
        <v>25</v>
      </c>
      <c r="G1006" s="35" t="s">
        <v>25</v>
      </c>
      <c r="H1006" s="35" t="s">
        <v>37</v>
      </c>
      <c r="I1006" s="45">
        <v>44743</v>
      </c>
      <c r="J1006" s="46">
        <f>EFEITO!$J$1006*EFEITO!$Y$1006</f>
        <v>0</v>
      </c>
      <c r="K1006" s="46">
        <f ca="1">EFEITO!$L$1006*EFEITO!$Z$1006</f>
        <v>14753.400319794524</v>
      </c>
      <c r="L1006" s="46">
        <f>EFEITO!$N$1006*EFEITO!$AA$1006</f>
        <v>8632.6072647536203</v>
      </c>
      <c r="M1006" s="46">
        <f>$J$1006-EFEITO!$K$1006*EFEITO!$Y$1006</f>
        <v>0</v>
      </c>
      <c r="N1006" s="46">
        <f ca="1">$K$1006-EFEITO!$M$1006*EFEITO!$Z$1006</f>
        <v>0</v>
      </c>
      <c r="O1006" s="46">
        <f>$L$1006-EFEITO!$O$1006*EFEITO!$AA$1006</f>
        <v>0</v>
      </c>
      <c r="P1006" s="38"/>
      <c r="Q1006" s="38"/>
      <c r="R1006" s="38"/>
      <c r="S1006" s="38"/>
      <c r="T1006" s="38"/>
      <c r="U1006" s="38"/>
      <c r="V1006" s="38"/>
      <c r="W1006" s="38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</row>
    <row r="1007" spans="1:36" ht="11.25" customHeight="1" x14ac:dyDescent="0.2">
      <c r="A1007" s="35" t="s">
        <v>28</v>
      </c>
      <c r="B1007" s="35" t="s">
        <v>22</v>
      </c>
      <c r="C1007" s="35" t="s">
        <v>35</v>
      </c>
      <c r="D1007" s="35" t="s">
        <v>24</v>
      </c>
      <c r="E1007" s="35" t="s">
        <v>24</v>
      </c>
      <c r="F1007" s="35" t="s">
        <v>25</v>
      </c>
      <c r="G1007" s="35" t="s">
        <v>25</v>
      </c>
      <c r="H1007" s="35" t="s">
        <v>37</v>
      </c>
      <c r="I1007" s="45">
        <v>44743</v>
      </c>
      <c r="J1007" s="46">
        <f>EFEITO!$J$1007*EFEITO!$Y$1007</f>
        <v>0</v>
      </c>
      <c r="K1007" s="46">
        <f ca="1">EFEITO!$L$1007*EFEITO!$Z$1007</f>
        <v>392.80110794437093</v>
      </c>
      <c r="L1007" s="46">
        <f>EFEITO!$N$1007*EFEITO!$AA$1007</f>
        <v>229.83838468033071</v>
      </c>
      <c r="M1007" s="46">
        <f>$J$1007-EFEITO!$K$1007*EFEITO!$Y$1007</f>
        <v>0</v>
      </c>
      <c r="N1007" s="46">
        <f ca="1">$K$1007-EFEITO!$M$1007*EFEITO!$Z$1007</f>
        <v>0</v>
      </c>
      <c r="O1007" s="46">
        <f>$L$1007-EFEITO!$O$1007*EFEITO!$AA$1007</f>
        <v>0</v>
      </c>
      <c r="P1007" s="38"/>
      <c r="Q1007" s="38"/>
      <c r="R1007" s="38"/>
      <c r="S1007" s="38"/>
      <c r="T1007" s="38"/>
      <c r="U1007" s="38"/>
      <c r="V1007" s="38"/>
      <c r="W1007" s="38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</row>
    <row r="1008" spans="1:36" ht="11.25" customHeight="1" x14ac:dyDescent="0.2">
      <c r="A1008" s="35" t="s">
        <v>30</v>
      </c>
      <c r="B1008" s="35" t="s">
        <v>22</v>
      </c>
      <c r="C1008" s="35" t="s">
        <v>35</v>
      </c>
      <c r="D1008" s="35" t="s">
        <v>24</v>
      </c>
      <c r="E1008" s="35" t="s">
        <v>24</v>
      </c>
      <c r="F1008" s="35" t="s">
        <v>25</v>
      </c>
      <c r="G1008" s="35" t="s">
        <v>25</v>
      </c>
      <c r="H1008" s="35" t="s">
        <v>37</v>
      </c>
      <c r="I1008" s="45">
        <v>44743</v>
      </c>
      <c r="J1008" s="46">
        <f>EFEITO!$J$1008*EFEITO!$Y$1008</f>
        <v>0</v>
      </c>
      <c r="K1008" s="46">
        <f ca="1">EFEITO!$L$1008*EFEITO!$Z$1008</f>
        <v>235.4564205565687</v>
      </c>
      <c r="L1008" s="46">
        <f>EFEITO!$N$1008*EFEITO!$AA$1008</f>
        <v>137.77181955148274</v>
      </c>
      <c r="M1008" s="46">
        <f>$J$1008-EFEITO!$K$1008*EFEITO!$Y$1008</f>
        <v>0</v>
      </c>
      <c r="N1008" s="46">
        <f ca="1">$K$1008-EFEITO!$M$1008*EFEITO!$Z$1008</f>
        <v>0</v>
      </c>
      <c r="O1008" s="46">
        <f>$L$1008-EFEITO!$O$1008*EFEITO!$AA$1008</f>
        <v>0</v>
      </c>
      <c r="P1008" s="38"/>
      <c r="Q1008" s="38"/>
      <c r="R1008" s="38"/>
      <c r="S1008" s="38"/>
      <c r="T1008" s="38"/>
      <c r="U1008" s="38"/>
      <c r="V1008" s="38"/>
      <c r="W1008" s="38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</row>
    <row r="1009" spans="1:36" ht="11.25" customHeight="1" x14ac:dyDescent="0.2">
      <c r="A1009" s="35" t="s">
        <v>21</v>
      </c>
      <c r="B1009" s="35" t="s">
        <v>22</v>
      </c>
      <c r="C1009" s="35" t="s">
        <v>35</v>
      </c>
      <c r="D1009" s="35" t="s">
        <v>24</v>
      </c>
      <c r="E1009" s="35" t="s">
        <v>24</v>
      </c>
      <c r="F1009" s="35" t="s">
        <v>25</v>
      </c>
      <c r="G1009" s="35" t="s">
        <v>25</v>
      </c>
      <c r="H1009" s="35" t="s">
        <v>37</v>
      </c>
      <c r="I1009" s="45">
        <v>44774</v>
      </c>
      <c r="J1009" s="46">
        <f>EFEITO!$J$1009*EFEITO!$Y$1009</f>
        <v>0</v>
      </c>
      <c r="K1009" s="46">
        <f ca="1">EFEITO!$L$1009*EFEITO!$Z$1009</f>
        <v>16819.436975090892</v>
      </c>
      <c r="L1009" s="46">
        <f>EFEITO!$N$1009*EFEITO!$AA$1009</f>
        <v>9841.5003099609166</v>
      </c>
      <c r="M1009" s="46">
        <f>$J$1009-EFEITO!$K$1009*EFEITO!$Y$1009</f>
        <v>0</v>
      </c>
      <c r="N1009" s="46">
        <f ca="1">$K$1009-EFEITO!$M$1009*EFEITO!$Z$1009</f>
        <v>0</v>
      </c>
      <c r="O1009" s="46">
        <f>$L$1009-EFEITO!$O$1009*EFEITO!$AA$1009</f>
        <v>0</v>
      </c>
      <c r="P1009" s="38"/>
      <c r="Q1009" s="38"/>
      <c r="R1009" s="38"/>
      <c r="S1009" s="38"/>
      <c r="T1009" s="38"/>
      <c r="U1009" s="38"/>
      <c r="V1009" s="38"/>
      <c r="W1009" s="38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</row>
    <row r="1010" spans="1:36" ht="11.25" customHeight="1" x14ac:dyDescent="0.2">
      <c r="A1010" s="35" t="s">
        <v>27</v>
      </c>
      <c r="B1010" s="35" t="s">
        <v>22</v>
      </c>
      <c r="C1010" s="35" t="s">
        <v>35</v>
      </c>
      <c r="D1010" s="35" t="s">
        <v>24</v>
      </c>
      <c r="E1010" s="35" t="s">
        <v>24</v>
      </c>
      <c r="F1010" s="35" t="s">
        <v>25</v>
      </c>
      <c r="G1010" s="35" t="s">
        <v>25</v>
      </c>
      <c r="H1010" s="35" t="s">
        <v>37</v>
      </c>
      <c r="I1010" s="45">
        <v>44774</v>
      </c>
      <c r="J1010" s="46">
        <f>EFEITO!$J$1010*EFEITO!$Y$1010</f>
        <v>0</v>
      </c>
      <c r="K1010" s="46">
        <f ca="1">EFEITO!$L$1010*EFEITO!$Z$1010</f>
        <v>88.202722621190816</v>
      </c>
      <c r="L1010" s="46">
        <f>EFEITO!$N$1010*EFEITO!$AA$1010</f>
        <v>51.609760974841144</v>
      </c>
      <c r="M1010" s="46">
        <f>$J$1010-EFEITO!$K$1010*EFEITO!$Y$1010</f>
        <v>0</v>
      </c>
      <c r="N1010" s="46">
        <f ca="1">$K$1010-EFEITO!$M$1010*EFEITO!$Z$1010</f>
        <v>0</v>
      </c>
      <c r="O1010" s="46">
        <f>$L$1010-EFEITO!$O$1010*EFEITO!$AA$1010</f>
        <v>0</v>
      </c>
      <c r="P1010" s="38"/>
      <c r="Q1010" s="38"/>
      <c r="R1010" s="38"/>
      <c r="S1010" s="38"/>
      <c r="T1010" s="38"/>
      <c r="U1010" s="38"/>
      <c r="V1010" s="38"/>
      <c r="W1010" s="38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</row>
    <row r="1011" spans="1:36" ht="11.25" customHeight="1" x14ac:dyDescent="0.2">
      <c r="A1011" s="35" t="s">
        <v>28</v>
      </c>
      <c r="B1011" s="35" t="s">
        <v>22</v>
      </c>
      <c r="C1011" s="35" t="s">
        <v>35</v>
      </c>
      <c r="D1011" s="35" t="s">
        <v>24</v>
      </c>
      <c r="E1011" s="35" t="s">
        <v>24</v>
      </c>
      <c r="F1011" s="35" t="s">
        <v>25</v>
      </c>
      <c r="G1011" s="35" t="s">
        <v>25</v>
      </c>
      <c r="H1011" s="35" t="s">
        <v>37</v>
      </c>
      <c r="I1011" s="45">
        <v>44774</v>
      </c>
      <c r="J1011" s="46">
        <f>EFEITO!$J$1011*EFEITO!$Y$1011</f>
        <v>0</v>
      </c>
      <c r="K1011" s="46">
        <f ca="1">EFEITO!$L$1011*EFEITO!$Z$1011</f>
        <v>398.40721319571787</v>
      </c>
      <c r="L1011" s="46">
        <f>EFEITO!$N$1011*EFEITO!$AA$1011</f>
        <v>233.11866609822317</v>
      </c>
      <c r="M1011" s="46">
        <f>$J$1011-EFEITO!$K$1011*EFEITO!$Y$1011</f>
        <v>0</v>
      </c>
      <c r="N1011" s="46">
        <f ca="1">$K$1011-EFEITO!$M$1011*EFEITO!$Z$1011</f>
        <v>0</v>
      </c>
      <c r="O1011" s="46">
        <f>$L$1011-EFEITO!$O$1011*EFEITO!$AA$1011</f>
        <v>0</v>
      </c>
      <c r="P1011" s="38"/>
      <c r="Q1011" s="38"/>
      <c r="R1011" s="38"/>
      <c r="S1011" s="38"/>
      <c r="T1011" s="38"/>
      <c r="U1011" s="38"/>
      <c r="V1011" s="38"/>
      <c r="W1011" s="38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</row>
    <row r="1012" spans="1:36" ht="11.25" customHeight="1" x14ac:dyDescent="0.2">
      <c r="A1012" s="35" t="s">
        <v>30</v>
      </c>
      <c r="B1012" s="35" t="s">
        <v>22</v>
      </c>
      <c r="C1012" s="35" t="s">
        <v>35</v>
      </c>
      <c r="D1012" s="35" t="s">
        <v>24</v>
      </c>
      <c r="E1012" s="35" t="s">
        <v>24</v>
      </c>
      <c r="F1012" s="35" t="s">
        <v>25</v>
      </c>
      <c r="G1012" s="35" t="s">
        <v>25</v>
      </c>
      <c r="H1012" s="35" t="s">
        <v>37</v>
      </c>
      <c r="I1012" s="45">
        <v>44774</v>
      </c>
      <c r="J1012" s="46">
        <f>EFEITO!$J$1012*EFEITO!$Y$1012</f>
        <v>0</v>
      </c>
      <c r="K1012" s="46">
        <f ca="1">EFEITO!$L$1012*EFEITO!$Z$1012</f>
        <v>68.394484066431858</v>
      </c>
      <c r="L1012" s="46">
        <f>EFEITO!$N$1012*EFEITO!$AA$1012</f>
        <v>40.019433298287844</v>
      </c>
      <c r="M1012" s="46">
        <f>$J$1012-EFEITO!$K$1012*EFEITO!$Y$1012</f>
        <v>0</v>
      </c>
      <c r="N1012" s="46">
        <f ca="1">$K$1012-EFEITO!$M$1012*EFEITO!$Z$1012</f>
        <v>0</v>
      </c>
      <c r="O1012" s="46">
        <f>$L$1012-EFEITO!$O$1012*EFEITO!$AA$1012</f>
        <v>0</v>
      </c>
      <c r="P1012" s="38"/>
      <c r="Q1012" s="38"/>
      <c r="R1012" s="38"/>
      <c r="S1012" s="38"/>
      <c r="T1012" s="38"/>
      <c r="U1012" s="38"/>
      <c r="V1012" s="38"/>
      <c r="W1012" s="38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</row>
    <row r="1013" spans="1:36" ht="11.25" customHeight="1" x14ac:dyDescent="0.2">
      <c r="A1013" s="35" t="s">
        <v>21</v>
      </c>
      <c r="B1013" s="35" t="s">
        <v>22</v>
      </c>
      <c r="C1013" s="35" t="s">
        <v>35</v>
      </c>
      <c r="D1013" s="35" t="s">
        <v>24</v>
      </c>
      <c r="E1013" s="35" t="s">
        <v>24</v>
      </c>
      <c r="F1013" s="35" t="s">
        <v>25</v>
      </c>
      <c r="G1013" s="35" t="s">
        <v>25</v>
      </c>
      <c r="H1013" s="35" t="s">
        <v>37</v>
      </c>
      <c r="I1013" s="45">
        <v>44805</v>
      </c>
      <c r="J1013" s="46">
        <f>EFEITO!$J$1013*EFEITO!$Y$1013</f>
        <v>0</v>
      </c>
      <c r="K1013" s="46">
        <f ca="1">EFEITO!$L$1013*EFEITO!$Z$1013</f>
        <v>16430.373270647418</v>
      </c>
      <c r="L1013" s="46">
        <f>EFEITO!$N$1013*EFEITO!$AA$1013</f>
        <v>9613.8487795591809</v>
      </c>
      <c r="M1013" s="46">
        <f>$J$1013-EFEITO!$K$1013*EFEITO!$Y$1013</f>
        <v>0</v>
      </c>
      <c r="N1013" s="46">
        <f ca="1">$K$1013-EFEITO!$M$1013*EFEITO!$Z$1013</f>
        <v>0</v>
      </c>
      <c r="O1013" s="46">
        <f>$L$1013-EFEITO!$O$1013*EFEITO!$AA$1013</f>
        <v>0</v>
      </c>
      <c r="P1013" s="38"/>
      <c r="Q1013" s="38"/>
      <c r="R1013" s="38"/>
      <c r="S1013" s="38"/>
      <c r="T1013" s="38"/>
      <c r="U1013" s="38"/>
      <c r="V1013" s="38"/>
      <c r="W1013" s="38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</row>
    <row r="1014" spans="1:36" ht="11.25" customHeight="1" x14ac:dyDescent="0.2">
      <c r="A1014" s="35" t="s">
        <v>27</v>
      </c>
      <c r="B1014" s="35" t="s">
        <v>22</v>
      </c>
      <c r="C1014" s="35" t="s">
        <v>35</v>
      </c>
      <c r="D1014" s="35" t="s">
        <v>24</v>
      </c>
      <c r="E1014" s="35" t="s">
        <v>24</v>
      </c>
      <c r="F1014" s="35" t="s">
        <v>25</v>
      </c>
      <c r="G1014" s="35" t="s">
        <v>25</v>
      </c>
      <c r="H1014" s="35" t="s">
        <v>37</v>
      </c>
      <c r="I1014" s="45">
        <v>44805</v>
      </c>
      <c r="J1014" s="46">
        <f>EFEITO!$J$1014*EFEITO!$Y$1014</f>
        <v>0</v>
      </c>
      <c r="K1014" s="46">
        <f ca="1">EFEITO!$L$1014*EFEITO!$Z$1014</f>
        <v>-4.8586245511672903</v>
      </c>
      <c r="L1014" s="46">
        <f>EFEITO!$N$1014*EFEITO!$AA$1014</f>
        <v>-2.8429105621734529</v>
      </c>
      <c r="M1014" s="46">
        <f>$J$1014-EFEITO!$K$1014*EFEITO!$Y$1014</f>
        <v>0</v>
      </c>
      <c r="N1014" s="46">
        <f ca="1">$K$1014-EFEITO!$M$1014*EFEITO!$Z$1014</f>
        <v>0</v>
      </c>
      <c r="O1014" s="46">
        <f>$L$1014-EFEITO!$O$1014*EFEITO!$AA$1014</f>
        <v>0</v>
      </c>
      <c r="P1014" s="38"/>
      <c r="Q1014" s="38"/>
      <c r="R1014" s="38"/>
      <c r="S1014" s="38"/>
      <c r="T1014" s="38"/>
      <c r="U1014" s="38"/>
      <c r="V1014" s="38"/>
      <c r="W1014" s="38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</row>
    <row r="1015" spans="1:36" ht="11.25" customHeight="1" x14ac:dyDescent="0.2">
      <c r="A1015" s="35" t="s">
        <v>28</v>
      </c>
      <c r="B1015" s="35" t="s">
        <v>22</v>
      </c>
      <c r="C1015" s="35" t="s">
        <v>35</v>
      </c>
      <c r="D1015" s="35" t="s">
        <v>24</v>
      </c>
      <c r="E1015" s="35" t="s">
        <v>24</v>
      </c>
      <c r="F1015" s="35" t="s">
        <v>25</v>
      </c>
      <c r="G1015" s="35" t="s">
        <v>25</v>
      </c>
      <c r="H1015" s="35" t="s">
        <v>37</v>
      </c>
      <c r="I1015" s="45">
        <v>44805</v>
      </c>
      <c r="J1015" s="46">
        <f>EFEITO!$J$1015*EFEITO!$Y$1015</f>
        <v>0</v>
      </c>
      <c r="K1015" s="46">
        <f ca="1">EFEITO!$L$1015*EFEITO!$Z$1015</f>
        <v>346.83104488332663</v>
      </c>
      <c r="L1015" s="46">
        <f>EFEITO!$N$1015*EFEITO!$AA$1015</f>
        <v>202.94007705361267</v>
      </c>
      <c r="M1015" s="46">
        <f>$J$1015-EFEITO!$K$1015*EFEITO!$Y$1015</f>
        <v>0</v>
      </c>
      <c r="N1015" s="46">
        <f ca="1">$K$1015-EFEITO!$M$1015*EFEITO!$Z$1015</f>
        <v>0</v>
      </c>
      <c r="O1015" s="46">
        <f>$L$1015-EFEITO!$O$1015*EFEITO!$AA$1015</f>
        <v>0</v>
      </c>
      <c r="P1015" s="38"/>
      <c r="Q1015" s="38"/>
      <c r="R1015" s="38"/>
      <c r="S1015" s="38"/>
      <c r="T1015" s="38"/>
      <c r="U1015" s="38"/>
      <c r="V1015" s="38"/>
      <c r="W1015" s="38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</row>
    <row r="1016" spans="1:36" ht="11.25" customHeight="1" x14ac:dyDescent="0.2">
      <c r="A1016" s="35" t="s">
        <v>30</v>
      </c>
      <c r="B1016" s="35" t="s">
        <v>22</v>
      </c>
      <c r="C1016" s="35" t="s">
        <v>35</v>
      </c>
      <c r="D1016" s="35" t="s">
        <v>24</v>
      </c>
      <c r="E1016" s="35" t="s">
        <v>24</v>
      </c>
      <c r="F1016" s="35" t="s">
        <v>25</v>
      </c>
      <c r="G1016" s="35" t="s">
        <v>25</v>
      </c>
      <c r="H1016" s="35" t="s">
        <v>37</v>
      </c>
      <c r="I1016" s="45">
        <v>44805</v>
      </c>
      <c r="J1016" s="46">
        <f>EFEITO!$J$1016*EFEITO!$Y$1016</f>
        <v>0</v>
      </c>
      <c r="K1016" s="46">
        <f ca="1">EFEITO!$L$1016*EFEITO!$Z$1016</f>
        <v>68.394484066431858</v>
      </c>
      <c r="L1016" s="46">
        <f>EFEITO!$N$1016*EFEITO!$AA$1016</f>
        <v>40.019433298287844</v>
      </c>
      <c r="M1016" s="46">
        <f>$J$1016-EFEITO!$K$1016*EFEITO!$Y$1016</f>
        <v>0</v>
      </c>
      <c r="N1016" s="46">
        <f ca="1">$K$1016-EFEITO!$M$1016*EFEITO!$Z$1016</f>
        <v>0</v>
      </c>
      <c r="O1016" s="46">
        <f>$L$1016-EFEITO!$O$1016*EFEITO!$AA$1016</f>
        <v>0</v>
      </c>
      <c r="P1016" s="38"/>
      <c r="Q1016" s="38"/>
      <c r="R1016" s="38"/>
      <c r="S1016" s="38"/>
      <c r="T1016" s="38"/>
      <c r="U1016" s="38"/>
      <c r="V1016" s="38"/>
      <c r="W1016" s="38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</row>
    <row r="1017" spans="1:36" ht="11.25" customHeight="1" x14ac:dyDescent="0.2">
      <c r="A1017" s="35" t="s">
        <v>21</v>
      </c>
      <c r="B1017" s="35" t="s">
        <v>22</v>
      </c>
      <c r="C1017" s="35" t="s">
        <v>35</v>
      </c>
      <c r="D1017" s="35" t="s">
        <v>24</v>
      </c>
      <c r="E1017" s="35" t="s">
        <v>24</v>
      </c>
      <c r="F1017" s="35" t="s">
        <v>25</v>
      </c>
      <c r="G1017" s="35" t="s">
        <v>25</v>
      </c>
      <c r="H1017" s="35" t="s">
        <v>37</v>
      </c>
      <c r="I1017" s="45">
        <v>44835</v>
      </c>
      <c r="J1017" s="46">
        <f>EFEITO!$J$1017*EFEITO!$Y$1017</f>
        <v>0</v>
      </c>
      <c r="K1017" s="46">
        <f ca="1">EFEITO!$L$1017*EFEITO!$Z$1017</f>
        <v>18214.609701976082</v>
      </c>
      <c r="L1017" s="46">
        <f>EFEITO!$N$1017*EFEITO!$AA$1017</f>
        <v>10657.853012160416</v>
      </c>
      <c r="M1017" s="46">
        <f>$J$1017-EFEITO!$K$1017*EFEITO!$Y$1017</f>
        <v>0</v>
      </c>
      <c r="N1017" s="46">
        <f ca="1">$K$1017-EFEITO!$M$1017*EFEITO!$Z$1017</f>
        <v>0</v>
      </c>
      <c r="O1017" s="46">
        <f>$L$1017-EFEITO!$O$1017*EFEITO!$AA$1017</f>
        <v>0</v>
      </c>
      <c r="P1017" s="38"/>
      <c r="Q1017" s="38"/>
      <c r="R1017" s="38"/>
      <c r="S1017" s="38"/>
      <c r="T1017" s="38"/>
      <c r="U1017" s="38"/>
      <c r="V1017" s="38"/>
      <c r="W1017" s="38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</row>
    <row r="1018" spans="1:36" ht="11.25" customHeight="1" x14ac:dyDescent="0.2">
      <c r="A1018" s="35" t="s">
        <v>28</v>
      </c>
      <c r="B1018" s="35" t="s">
        <v>22</v>
      </c>
      <c r="C1018" s="35" t="s">
        <v>35</v>
      </c>
      <c r="D1018" s="35" t="s">
        <v>24</v>
      </c>
      <c r="E1018" s="35" t="s">
        <v>24</v>
      </c>
      <c r="F1018" s="35" t="s">
        <v>25</v>
      </c>
      <c r="G1018" s="35" t="s">
        <v>25</v>
      </c>
      <c r="H1018" s="35" t="s">
        <v>37</v>
      </c>
      <c r="I1018" s="45">
        <v>44835</v>
      </c>
      <c r="J1018" s="46">
        <f>EFEITO!$J$1018*EFEITO!$Y$1018</f>
        <v>0</v>
      </c>
      <c r="K1018" s="46">
        <f ca="1">EFEITO!$L$1018*EFEITO!$Z$1018</f>
        <v>392.42736759428118</v>
      </c>
      <c r="L1018" s="46">
        <f>EFEITO!$N$1018*EFEITO!$AA$1018</f>
        <v>229.61969925247124</v>
      </c>
      <c r="M1018" s="46">
        <f>$J$1018-EFEITO!$K$1018*EFEITO!$Y$1018</f>
        <v>0</v>
      </c>
      <c r="N1018" s="46">
        <f ca="1">$K$1018-EFEITO!$M$1018*EFEITO!$Z$1018</f>
        <v>0</v>
      </c>
      <c r="O1018" s="46">
        <f>$L$1018-EFEITO!$O$1018*EFEITO!$AA$1018</f>
        <v>0</v>
      </c>
      <c r="P1018" s="38"/>
      <c r="Q1018" s="38"/>
      <c r="R1018" s="38"/>
      <c r="S1018" s="38"/>
      <c r="T1018" s="38"/>
      <c r="U1018" s="38"/>
      <c r="V1018" s="38"/>
      <c r="W1018" s="38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</row>
    <row r="1019" spans="1:36" ht="11.25" customHeight="1" x14ac:dyDescent="0.2">
      <c r="A1019" s="35" t="s">
        <v>30</v>
      </c>
      <c r="B1019" s="35" t="s">
        <v>22</v>
      </c>
      <c r="C1019" s="35" t="s">
        <v>35</v>
      </c>
      <c r="D1019" s="35" t="s">
        <v>24</v>
      </c>
      <c r="E1019" s="35" t="s">
        <v>24</v>
      </c>
      <c r="F1019" s="35" t="s">
        <v>25</v>
      </c>
      <c r="G1019" s="35" t="s">
        <v>25</v>
      </c>
      <c r="H1019" s="35" t="s">
        <v>37</v>
      </c>
      <c r="I1019" s="45">
        <v>44835</v>
      </c>
      <c r="J1019" s="46">
        <f>EFEITO!$J$1019*EFEITO!$Y$1019</f>
        <v>0</v>
      </c>
      <c r="K1019" s="46">
        <f ca="1">EFEITO!$L$1019*EFEITO!$Z$1019</f>
        <v>164.4457540395083</v>
      </c>
      <c r="L1019" s="46">
        <f>EFEITO!$N$1019*EFEITO!$AA$1019</f>
        <v>96.221588258178414</v>
      </c>
      <c r="M1019" s="46">
        <f>$J$1019-EFEITO!$K$1019*EFEITO!$Y$1019</f>
        <v>0</v>
      </c>
      <c r="N1019" s="46">
        <f ca="1">$K$1019-EFEITO!$M$1019*EFEITO!$Z$1019</f>
        <v>0</v>
      </c>
      <c r="O1019" s="46">
        <f>$L$1019-EFEITO!$O$1019*EFEITO!$AA$1019</f>
        <v>0</v>
      </c>
      <c r="P1019" s="38"/>
      <c r="Q1019" s="38"/>
      <c r="R1019" s="38"/>
      <c r="S1019" s="38"/>
      <c r="T1019" s="38"/>
      <c r="U1019" s="38"/>
      <c r="V1019" s="38"/>
      <c r="W1019" s="38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</row>
    <row r="1020" spans="1:36" ht="11.25" customHeight="1" x14ac:dyDescent="0.2">
      <c r="A1020" s="35" t="s">
        <v>30</v>
      </c>
      <c r="B1020" s="35" t="s">
        <v>22</v>
      </c>
      <c r="C1020" s="35" t="s">
        <v>35</v>
      </c>
      <c r="D1020" s="35" t="s">
        <v>24</v>
      </c>
      <c r="E1020" s="35" t="s">
        <v>24</v>
      </c>
      <c r="F1020" s="35" t="s">
        <v>25</v>
      </c>
      <c r="G1020" s="35" t="s">
        <v>25</v>
      </c>
      <c r="H1020" s="35" t="s">
        <v>37</v>
      </c>
      <c r="I1020" s="45">
        <v>44835</v>
      </c>
      <c r="J1020" s="46">
        <f>EFEITO!$J$1020*EFEITO!$Y$1020</f>
        <v>0</v>
      </c>
      <c r="K1020" s="46">
        <f ca="1">EFEITO!$L$1020*EFEITO!$Z$1020</f>
        <v>-68.394484066431858</v>
      </c>
      <c r="L1020" s="46">
        <f>EFEITO!$N$1020*EFEITO!$AA$1020</f>
        <v>-40.019433298287844</v>
      </c>
      <c r="M1020" s="46">
        <f>$J$1020-EFEITO!$K$1020*EFEITO!$Y$1020</f>
        <v>0</v>
      </c>
      <c r="N1020" s="46">
        <f ca="1">$K$1020-EFEITO!$M$1020*EFEITO!$Z$1020</f>
        <v>0</v>
      </c>
      <c r="O1020" s="46">
        <f>$L$1020-EFEITO!$O$1020*EFEITO!$AA$1020</f>
        <v>0</v>
      </c>
      <c r="P1020" s="38"/>
      <c r="Q1020" s="38"/>
      <c r="R1020" s="38"/>
      <c r="S1020" s="38"/>
      <c r="T1020" s="38"/>
      <c r="U1020" s="38"/>
      <c r="V1020" s="38"/>
      <c r="W1020" s="38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</row>
    <row r="1021" spans="1:36" ht="11.25" customHeight="1" x14ac:dyDescent="0.2">
      <c r="A1021" s="35" t="s">
        <v>59</v>
      </c>
      <c r="B1021" s="35" t="s">
        <v>22</v>
      </c>
      <c r="C1021" s="35" t="s">
        <v>35</v>
      </c>
      <c r="D1021" s="35" t="s">
        <v>24</v>
      </c>
      <c r="E1021" s="35" t="s">
        <v>24</v>
      </c>
      <c r="F1021" s="35" t="s">
        <v>25</v>
      </c>
      <c r="G1021" s="35" t="s">
        <v>25</v>
      </c>
      <c r="H1021" s="35" t="s">
        <v>37</v>
      </c>
      <c r="I1021" s="45">
        <v>44866</v>
      </c>
      <c r="J1021" s="46">
        <f>EFEITO!$J$1021*EFEITO!$Y$1021</f>
        <v>0</v>
      </c>
      <c r="K1021" s="46">
        <f ca="1">EFEITO!$L$1021*EFEITO!$Z$1021</f>
        <v>18214.609701976082</v>
      </c>
      <c r="L1021" s="46">
        <f>EFEITO!$N$1021*EFEITO!$AA$1021</f>
        <v>10657.853012160416</v>
      </c>
      <c r="M1021" s="46">
        <f>$J$1021-EFEITO!$K$1021*EFEITO!$Y$1021</f>
        <v>0</v>
      </c>
      <c r="N1021" s="46">
        <f ca="1">$K$1021-EFEITO!$M$1021*EFEITO!$Z$1021</f>
        <v>0</v>
      </c>
      <c r="O1021" s="46">
        <f>$L$1021-EFEITO!$O$1021*EFEITO!$AA$1021</f>
        <v>0</v>
      </c>
      <c r="P1021" s="38"/>
      <c r="Q1021" s="38"/>
      <c r="R1021" s="38"/>
      <c r="S1021" s="38"/>
      <c r="T1021" s="38"/>
      <c r="U1021" s="38"/>
      <c r="V1021" s="38"/>
      <c r="W1021" s="38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</row>
    <row r="1022" spans="1:36" ht="11.25" customHeight="1" x14ac:dyDescent="0.2">
      <c r="A1022" s="35" t="s">
        <v>59</v>
      </c>
      <c r="B1022" s="35" t="s">
        <v>22</v>
      </c>
      <c r="C1022" s="35" t="s">
        <v>35</v>
      </c>
      <c r="D1022" s="35" t="s">
        <v>24</v>
      </c>
      <c r="E1022" s="35" t="s">
        <v>24</v>
      </c>
      <c r="F1022" s="35" t="s">
        <v>25</v>
      </c>
      <c r="G1022" s="35" t="s">
        <v>25</v>
      </c>
      <c r="H1022" s="35" t="s">
        <v>37</v>
      </c>
      <c r="I1022" s="45">
        <v>44866</v>
      </c>
      <c r="J1022" s="46">
        <f>EFEITO!$J$1022*EFEITO!$Y$1022</f>
        <v>0</v>
      </c>
      <c r="K1022" s="46">
        <f ca="1">EFEITO!$L$1022*EFEITO!$Z$1022</f>
        <v>392.42736759428118</v>
      </c>
      <c r="L1022" s="46">
        <f>EFEITO!$N$1022*EFEITO!$AA$1022</f>
        <v>229.61969925247124</v>
      </c>
      <c r="M1022" s="46">
        <f>$J$1022-EFEITO!$K$1022*EFEITO!$Y$1022</f>
        <v>0</v>
      </c>
      <c r="N1022" s="46">
        <f ca="1">$K$1022-EFEITO!$M$1022*EFEITO!$Z$1022</f>
        <v>0</v>
      </c>
      <c r="O1022" s="46">
        <f>$L$1022-EFEITO!$O$1022*EFEITO!$AA$1022</f>
        <v>0</v>
      </c>
      <c r="P1022" s="38"/>
      <c r="Q1022" s="38"/>
      <c r="R1022" s="38"/>
      <c r="S1022" s="38"/>
      <c r="T1022" s="38"/>
      <c r="U1022" s="38"/>
      <c r="V1022" s="38"/>
      <c r="W1022" s="38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</row>
    <row r="1023" spans="1:36" ht="11.25" customHeight="1" x14ac:dyDescent="0.2">
      <c r="A1023" s="35" t="s">
        <v>59</v>
      </c>
      <c r="B1023" s="35" t="s">
        <v>22</v>
      </c>
      <c r="C1023" s="35" t="s">
        <v>35</v>
      </c>
      <c r="D1023" s="35" t="s">
        <v>24</v>
      </c>
      <c r="E1023" s="35" t="s">
        <v>24</v>
      </c>
      <c r="F1023" s="35" t="s">
        <v>25</v>
      </c>
      <c r="G1023" s="35" t="s">
        <v>25</v>
      </c>
      <c r="H1023" s="35" t="s">
        <v>37</v>
      </c>
      <c r="I1023" s="45">
        <v>44866</v>
      </c>
      <c r="J1023" s="46">
        <f>EFEITO!$J$1023*EFEITO!$Y$1023</f>
        <v>0</v>
      </c>
      <c r="K1023" s="46">
        <f ca="1">EFEITO!$L$1023*EFEITO!$Z$1023</f>
        <v>164.4457540395083</v>
      </c>
      <c r="L1023" s="46">
        <f>EFEITO!$N$1023*EFEITO!$AA$1023</f>
        <v>96.221588258178414</v>
      </c>
      <c r="M1023" s="46">
        <f>$J$1023-EFEITO!$K$1023*EFEITO!$Y$1023</f>
        <v>0</v>
      </c>
      <c r="N1023" s="46">
        <f ca="1">$K$1023-EFEITO!$M$1023*EFEITO!$Z$1023</f>
        <v>0</v>
      </c>
      <c r="O1023" s="46">
        <f>$L$1023-EFEITO!$O$1023*EFEITO!$AA$1023</f>
        <v>0</v>
      </c>
      <c r="P1023" s="38"/>
      <c r="Q1023" s="38"/>
      <c r="R1023" s="38"/>
      <c r="S1023" s="38"/>
      <c r="T1023" s="38"/>
      <c r="U1023" s="38"/>
      <c r="V1023" s="38"/>
      <c r="W1023" s="38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</row>
    <row r="1024" spans="1:36" ht="11.25" customHeight="1" x14ac:dyDescent="0.2">
      <c r="A1024" s="35" t="s">
        <v>59</v>
      </c>
      <c r="B1024" s="35" t="s">
        <v>22</v>
      </c>
      <c r="C1024" s="35" t="s">
        <v>35</v>
      </c>
      <c r="D1024" s="35" t="s">
        <v>24</v>
      </c>
      <c r="E1024" s="35" t="s">
        <v>24</v>
      </c>
      <c r="F1024" s="35" t="s">
        <v>25</v>
      </c>
      <c r="G1024" s="35" t="s">
        <v>25</v>
      </c>
      <c r="H1024" s="35" t="s">
        <v>37</v>
      </c>
      <c r="I1024" s="45">
        <v>44866</v>
      </c>
      <c r="J1024" s="46">
        <f>EFEITO!$J$1024*EFEITO!$Y$1024</f>
        <v>0</v>
      </c>
      <c r="K1024" s="46">
        <f ca="1">EFEITO!$L$1024*EFEITO!$Z$1024</f>
        <v>-68.394484066431858</v>
      </c>
      <c r="L1024" s="46">
        <f>EFEITO!$N$1024*EFEITO!$AA$1024</f>
        <v>-40.019433298287844</v>
      </c>
      <c r="M1024" s="46">
        <f>$J$1024-EFEITO!$K$1024*EFEITO!$Y$1024</f>
        <v>0</v>
      </c>
      <c r="N1024" s="46">
        <f ca="1">$K$1024-EFEITO!$M$1024*EFEITO!$Z$1024</f>
        <v>0</v>
      </c>
      <c r="O1024" s="46">
        <f>$L$1024-EFEITO!$O$1024*EFEITO!$AA$1024</f>
        <v>0</v>
      </c>
      <c r="P1024" s="38"/>
      <c r="Q1024" s="38"/>
      <c r="R1024" s="38"/>
      <c r="S1024" s="38"/>
      <c r="T1024" s="38"/>
      <c r="U1024" s="38"/>
      <c r="V1024" s="38"/>
      <c r="W1024" s="38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</row>
    <row r="1025" spans="1:36" ht="11.25" customHeight="1" x14ac:dyDescent="0.2">
      <c r="A1025" s="35" t="s">
        <v>21</v>
      </c>
      <c r="B1025" s="35" t="s">
        <v>22</v>
      </c>
      <c r="C1025" s="35" t="s">
        <v>35</v>
      </c>
      <c r="D1025" s="35" t="s">
        <v>24</v>
      </c>
      <c r="E1025" s="35" t="s">
        <v>24</v>
      </c>
      <c r="F1025" s="35" t="s">
        <v>25</v>
      </c>
      <c r="G1025" s="35" t="s">
        <v>25</v>
      </c>
      <c r="H1025" s="35" t="s">
        <v>38</v>
      </c>
      <c r="I1025" s="45">
        <v>44531</v>
      </c>
      <c r="J1025" s="46">
        <f>EFEITO!$J$1025*EFEITO!$Y$1025</f>
        <v>0</v>
      </c>
      <c r="K1025" s="46">
        <f ca="1">EFEITO!$L$1025*EFEITO!$Z$1025</f>
        <v>929.70904625980563</v>
      </c>
      <c r="L1025" s="46">
        <f>EFEITO!$N$1025*EFEITO!$AA$1025</f>
        <v>250.61350032698286</v>
      </c>
      <c r="M1025" s="46">
        <f>$J$1025-EFEITO!$K$1025*EFEITO!$Y$1025</f>
        <v>0</v>
      </c>
      <c r="N1025" s="46">
        <f ca="1">$K$1025-EFEITO!$M$1025*EFEITO!$Z$1025</f>
        <v>0</v>
      </c>
      <c r="O1025" s="46">
        <f>$L$1025-EFEITO!$O$1025*EFEITO!$AA$1025</f>
        <v>0</v>
      </c>
      <c r="P1025" s="38"/>
      <c r="Q1025" s="38"/>
      <c r="R1025" s="38"/>
      <c r="S1025" s="38"/>
      <c r="T1025" s="38"/>
      <c r="U1025" s="38"/>
      <c r="V1025" s="38"/>
      <c r="W1025" s="38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</row>
    <row r="1026" spans="1:36" ht="11.25" customHeight="1" x14ac:dyDescent="0.2">
      <c r="A1026" s="35" t="s">
        <v>28</v>
      </c>
      <c r="B1026" s="35" t="s">
        <v>22</v>
      </c>
      <c r="C1026" s="35" t="s">
        <v>35</v>
      </c>
      <c r="D1026" s="35" t="s">
        <v>24</v>
      </c>
      <c r="E1026" s="35" t="s">
        <v>24</v>
      </c>
      <c r="F1026" s="35" t="s">
        <v>25</v>
      </c>
      <c r="G1026" s="35" t="s">
        <v>25</v>
      </c>
      <c r="H1026" s="35" t="s">
        <v>38</v>
      </c>
      <c r="I1026" s="45">
        <v>44531</v>
      </c>
      <c r="J1026" s="46">
        <f>EFEITO!$J$1026*EFEITO!$Y$1026</f>
        <v>0</v>
      </c>
      <c r="K1026" s="46">
        <f ca="1">EFEITO!$L$1026*EFEITO!$Z$1026</f>
        <v>71.391270567943195</v>
      </c>
      <c r="L1026" s="46">
        <f>EFEITO!$N$1026*EFEITO!$AA$1026</f>
        <v>19.244317651635683</v>
      </c>
      <c r="M1026" s="46">
        <f>$J$1026-EFEITO!$K$1026*EFEITO!$Y$1026</f>
        <v>0</v>
      </c>
      <c r="N1026" s="46">
        <f ca="1">$K$1026-EFEITO!$M$1026*EFEITO!$Z$1026</f>
        <v>0</v>
      </c>
      <c r="O1026" s="46">
        <f>$L$1026-EFEITO!$O$1026*EFEITO!$AA$1026</f>
        <v>0</v>
      </c>
      <c r="P1026" s="38"/>
      <c r="Q1026" s="38"/>
      <c r="R1026" s="38"/>
      <c r="S1026" s="38"/>
      <c r="T1026" s="38"/>
      <c r="U1026" s="38"/>
      <c r="V1026" s="38"/>
      <c r="W1026" s="38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</row>
    <row r="1027" spans="1:36" ht="11.25" customHeight="1" x14ac:dyDescent="0.2">
      <c r="A1027" s="35" t="s">
        <v>30</v>
      </c>
      <c r="B1027" s="35" t="s">
        <v>22</v>
      </c>
      <c r="C1027" s="35" t="s">
        <v>35</v>
      </c>
      <c r="D1027" s="35" t="s">
        <v>24</v>
      </c>
      <c r="E1027" s="35" t="s">
        <v>24</v>
      </c>
      <c r="F1027" s="35" t="s">
        <v>25</v>
      </c>
      <c r="G1027" s="35" t="s">
        <v>25</v>
      </c>
      <c r="H1027" s="35" t="s">
        <v>38</v>
      </c>
      <c r="I1027" s="45">
        <v>44531</v>
      </c>
      <c r="J1027" s="46">
        <f>EFEITO!$J$1027*EFEITO!$Y$1027</f>
        <v>0</v>
      </c>
      <c r="K1027" s="46">
        <f ca="1">EFEITO!$L$1027*EFEITO!$Z$1027</f>
        <v>47.053337419780746</v>
      </c>
      <c r="L1027" s="46">
        <f>EFEITO!$N$1027*EFEITO!$AA$1027</f>
        <v>12.683754815850792</v>
      </c>
      <c r="M1027" s="46">
        <f>$J$1027-EFEITO!$K$1027*EFEITO!$Y$1027</f>
        <v>0</v>
      </c>
      <c r="N1027" s="46">
        <f ca="1">$K$1027-EFEITO!$M$1027*EFEITO!$Z$1027</f>
        <v>0</v>
      </c>
      <c r="O1027" s="46">
        <f>$L$1027-EFEITO!$O$1027*EFEITO!$AA$1027</f>
        <v>0</v>
      </c>
      <c r="P1027" s="38"/>
      <c r="Q1027" s="38"/>
      <c r="R1027" s="38"/>
      <c r="S1027" s="38"/>
      <c r="T1027" s="38"/>
      <c r="U1027" s="38"/>
      <c r="V1027" s="38"/>
      <c r="W1027" s="38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</row>
    <row r="1028" spans="1:36" ht="11.25" customHeight="1" x14ac:dyDescent="0.2">
      <c r="A1028" s="35" t="s">
        <v>30</v>
      </c>
      <c r="B1028" s="35" t="s">
        <v>22</v>
      </c>
      <c r="C1028" s="35" t="s">
        <v>35</v>
      </c>
      <c r="D1028" s="35" t="s">
        <v>24</v>
      </c>
      <c r="E1028" s="35" t="s">
        <v>24</v>
      </c>
      <c r="F1028" s="35" t="s">
        <v>25</v>
      </c>
      <c r="G1028" s="35" t="s">
        <v>25</v>
      </c>
      <c r="H1028" s="35" t="s">
        <v>38</v>
      </c>
      <c r="I1028" s="45">
        <v>44531</v>
      </c>
      <c r="J1028" s="46">
        <f>EFEITO!$J$1028*EFEITO!$Y$1028</f>
        <v>0</v>
      </c>
      <c r="K1028" s="46">
        <f ca="1">EFEITO!$L$1028*EFEITO!$Z$1028</f>
        <v>-20.281610956802044</v>
      </c>
      <c r="L1028" s="46">
        <f>EFEITO!$N$1028*EFEITO!$AA$1028</f>
        <v>-5.4671356964874107</v>
      </c>
      <c r="M1028" s="46">
        <f>$J$1028-EFEITO!$K$1028*EFEITO!$Y$1028</f>
        <v>0</v>
      </c>
      <c r="N1028" s="46">
        <f ca="1">$K$1028-EFEITO!$M$1028*EFEITO!$Z$1028</f>
        <v>0</v>
      </c>
      <c r="O1028" s="46">
        <f>$L$1028-EFEITO!$O$1028*EFEITO!$AA$1028</f>
        <v>0</v>
      </c>
      <c r="P1028" s="38"/>
      <c r="Q1028" s="38"/>
      <c r="R1028" s="38"/>
      <c r="S1028" s="38"/>
      <c r="T1028" s="38"/>
      <c r="U1028" s="38"/>
      <c r="V1028" s="38"/>
      <c r="W1028" s="38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</row>
    <row r="1029" spans="1:36" ht="11.25" customHeight="1" x14ac:dyDescent="0.2">
      <c r="A1029" s="35" t="s">
        <v>21</v>
      </c>
      <c r="B1029" s="35" t="s">
        <v>22</v>
      </c>
      <c r="C1029" s="35" t="s">
        <v>35</v>
      </c>
      <c r="D1029" s="35" t="s">
        <v>24</v>
      </c>
      <c r="E1029" s="35" t="s">
        <v>24</v>
      </c>
      <c r="F1029" s="35" t="s">
        <v>25</v>
      </c>
      <c r="G1029" s="35" t="s">
        <v>25</v>
      </c>
      <c r="H1029" s="35" t="s">
        <v>38</v>
      </c>
      <c r="I1029" s="45">
        <v>44562</v>
      </c>
      <c r="J1029" s="46">
        <f>EFEITO!$J$1029*EFEITO!$Y$1029</f>
        <v>0</v>
      </c>
      <c r="K1029" s="46">
        <f ca="1">EFEITO!$L$1029*EFEITO!$Z$1029</f>
        <v>582.48786667935462</v>
      </c>
      <c r="L1029" s="46">
        <f>EFEITO!$N$1029*EFEITO!$AA$1029</f>
        <v>157.0161372031184</v>
      </c>
      <c r="M1029" s="46">
        <f>$J$1029-EFEITO!$K$1029*EFEITO!$Y$1029</f>
        <v>0</v>
      </c>
      <c r="N1029" s="46">
        <f ca="1">$K$1029-EFEITO!$M$1029*EFEITO!$Z$1029</f>
        <v>0</v>
      </c>
      <c r="O1029" s="46">
        <f>$L$1029-EFEITO!$O$1029*EFEITO!$AA$1029</f>
        <v>0</v>
      </c>
      <c r="P1029" s="38"/>
      <c r="Q1029" s="38"/>
      <c r="R1029" s="38"/>
      <c r="S1029" s="38"/>
      <c r="T1029" s="38"/>
      <c r="U1029" s="38"/>
      <c r="V1029" s="38"/>
      <c r="W1029" s="38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</row>
    <row r="1030" spans="1:36" ht="11.25" customHeight="1" x14ac:dyDescent="0.2">
      <c r="A1030" s="35" t="s">
        <v>28</v>
      </c>
      <c r="B1030" s="35" t="s">
        <v>22</v>
      </c>
      <c r="C1030" s="35" t="s">
        <v>35</v>
      </c>
      <c r="D1030" s="35" t="s">
        <v>24</v>
      </c>
      <c r="E1030" s="35" t="s">
        <v>24</v>
      </c>
      <c r="F1030" s="35" t="s">
        <v>25</v>
      </c>
      <c r="G1030" s="35" t="s">
        <v>25</v>
      </c>
      <c r="H1030" s="35" t="s">
        <v>38</v>
      </c>
      <c r="I1030" s="45">
        <v>44562</v>
      </c>
      <c r="J1030" s="46">
        <f>EFEITO!$J$1030*EFEITO!$Y$1030</f>
        <v>0</v>
      </c>
      <c r="K1030" s="46">
        <f ca="1">EFEITO!$L$1030*EFEITO!$Z$1030</f>
        <v>38.12942859878784</v>
      </c>
      <c r="L1030" s="46">
        <f>EFEITO!$N$1030*EFEITO!$AA$1030</f>
        <v>10.278215109396331</v>
      </c>
      <c r="M1030" s="46">
        <f>$J$1030-EFEITO!$K$1030*EFEITO!$Y$1030</f>
        <v>0</v>
      </c>
      <c r="N1030" s="46">
        <f ca="1">$K$1030-EFEITO!$M$1030*EFEITO!$Z$1030</f>
        <v>0</v>
      </c>
      <c r="O1030" s="46">
        <f>$L$1030-EFEITO!$O$1030*EFEITO!$AA$1030</f>
        <v>0</v>
      </c>
      <c r="P1030" s="38"/>
      <c r="Q1030" s="38"/>
      <c r="R1030" s="38"/>
      <c r="S1030" s="38"/>
      <c r="T1030" s="38"/>
      <c r="U1030" s="38"/>
      <c r="V1030" s="38"/>
      <c r="W1030" s="38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</row>
    <row r="1031" spans="1:36" ht="11.25" customHeight="1" x14ac:dyDescent="0.2">
      <c r="A1031" s="35" t="s">
        <v>30</v>
      </c>
      <c r="B1031" s="35" t="s">
        <v>22</v>
      </c>
      <c r="C1031" s="35" t="s">
        <v>35</v>
      </c>
      <c r="D1031" s="35" t="s">
        <v>24</v>
      </c>
      <c r="E1031" s="35" t="s">
        <v>24</v>
      </c>
      <c r="F1031" s="35" t="s">
        <v>25</v>
      </c>
      <c r="G1031" s="35" t="s">
        <v>25</v>
      </c>
      <c r="H1031" s="35" t="s">
        <v>38</v>
      </c>
      <c r="I1031" s="45">
        <v>44562</v>
      </c>
      <c r="J1031" s="46">
        <f>EFEITO!$J$1031*EFEITO!$Y$1031</f>
        <v>0</v>
      </c>
      <c r="K1031" s="46">
        <f ca="1">EFEITO!$L$1031*EFEITO!$Z$1031</f>
        <v>77.070121635847769</v>
      </c>
      <c r="L1031" s="46">
        <f>EFEITO!$N$1031*EFEITO!$AA$1031</f>
        <v>20.775115646652157</v>
      </c>
      <c r="M1031" s="46">
        <f>$J$1031-EFEITO!$K$1031*EFEITO!$Y$1031</f>
        <v>0</v>
      </c>
      <c r="N1031" s="46">
        <f ca="1">$K$1031-EFEITO!$M$1031*EFEITO!$Z$1031</f>
        <v>0</v>
      </c>
      <c r="O1031" s="46">
        <f>$L$1031-EFEITO!$O$1031*EFEITO!$AA$1031</f>
        <v>0</v>
      </c>
      <c r="P1031" s="38"/>
      <c r="Q1031" s="38"/>
      <c r="R1031" s="38"/>
      <c r="S1031" s="38"/>
      <c r="T1031" s="38"/>
      <c r="U1031" s="38"/>
      <c r="V1031" s="38"/>
      <c r="W1031" s="38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</row>
    <row r="1032" spans="1:36" ht="11.25" customHeight="1" x14ac:dyDescent="0.2">
      <c r="A1032" s="35" t="s">
        <v>21</v>
      </c>
      <c r="B1032" s="35" t="s">
        <v>22</v>
      </c>
      <c r="C1032" s="35" t="s">
        <v>35</v>
      </c>
      <c r="D1032" s="35" t="s">
        <v>24</v>
      </c>
      <c r="E1032" s="35" t="s">
        <v>24</v>
      </c>
      <c r="F1032" s="35" t="s">
        <v>25</v>
      </c>
      <c r="G1032" s="35" t="s">
        <v>25</v>
      </c>
      <c r="H1032" s="35" t="s">
        <v>38</v>
      </c>
      <c r="I1032" s="45">
        <v>44593</v>
      </c>
      <c r="J1032" s="46">
        <f>EFEITO!$J$1032*EFEITO!$Y$1032</f>
        <v>0</v>
      </c>
      <c r="K1032" s="46">
        <f ca="1">EFEITO!$L$1032*EFEITO!$Z$1032</f>
        <v>575.99775117317802</v>
      </c>
      <c r="L1032" s="46">
        <f>EFEITO!$N$1032*EFEITO!$AA$1032</f>
        <v>155.26665378024245</v>
      </c>
      <c r="M1032" s="46">
        <f>$J$1032-EFEITO!$K$1032*EFEITO!$Y$1032</f>
        <v>0</v>
      </c>
      <c r="N1032" s="46">
        <f ca="1">$K$1032-EFEITO!$M$1032*EFEITO!$Z$1032</f>
        <v>0</v>
      </c>
      <c r="O1032" s="46">
        <f>$L$1032-EFEITO!$O$1032*EFEITO!$AA$1032</f>
        <v>0</v>
      </c>
      <c r="P1032" s="38"/>
      <c r="Q1032" s="38"/>
      <c r="R1032" s="38"/>
      <c r="S1032" s="38"/>
      <c r="T1032" s="38"/>
      <c r="U1032" s="38"/>
      <c r="V1032" s="38"/>
      <c r="W1032" s="38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</row>
    <row r="1033" spans="1:36" ht="11.25" customHeight="1" x14ac:dyDescent="0.2">
      <c r="A1033" s="35" t="s">
        <v>27</v>
      </c>
      <c r="B1033" s="35" t="s">
        <v>22</v>
      </c>
      <c r="C1033" s="35" t="s">
        <v>35</v>
      </c>
      <c r="D1033" s="35" t="s">
        <v>24</v>
      </c>
      <c r="E1033" s="35" t="s">
        <v>24</v>
      </c>
      <c r="F1033" s="35" t="s">
        <v>25</v>
      </c>
      <c r="G1033" s="35" t="s">
        <v>25</v>
      </c>
      <c r="H1033" s="35" t="s">
        <v>38</v>
      </c>
      <c r="I1033" s="45">
        <v>44593</v>
      </c>
      <c r="J1033" s="46">
        <f>EFEITO!$J$1033*EFEITO!$Y$1033</f>
        <v>0</v>
      </c>
      <c r="K1033" s="46">
        <f ca="1">EFEITO!$L$1033*EFEITO!$Z$1033</f>
        <v>17.036553203713719</v>
      </c>
      <c r="L1033" s="46">
        <f>EFEITO!$N$1033*EFEITO!$AA$1033</f>
        <v>4.5923939850494246</v>
      </c>
      <c r="M1033" s="46">
        <f>$J$1033-EFEITO!$K$1033*EFEITO!$Y$1033</f>
        <v>0</v>
      </c>
      <c r="N1033" s="46">
        <f ca="1">$K$1033-EFEITO!$M$1033*EFEITO!$Z$1033</f>
        <v>0</v>
      </c>
      <c r="O1033" s="46">
        <f>$L$1033-EFEITO!$O$1033*EFEITO!$AA$1033</f>
        <v>0</v>
      </c>
      <c r="P1033" s="38"/>
      <c r="Q1033" s="38"/>
      <c r="R1033" s="38"/>
      <c r="S1033" s="38"/>
      <c r="T1033" s="38"/>
      <c r="U1033" s="38"/>
      <c r="V1033" s="38"/>
      <c r="W1033" s="38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</row>
    <row r="1034" spans="1:36" ht="11.25" customHeight="1" x14ac:dyDescent="0.2">
      <c r="A1034" s="35" t="s">
        <v>28</v>
      </c>
      <c r="B1034" s="35" t="s">
        <v>22</v>
      </c>
      <c r="C1034" s="35" t="s">
        <v>35</v>
      </c>
      <c r="D1034" s="35" t="s">
        <v>24</v>
      </c>
      <c r="E1034" s="35" t="s">
        <v>24</v>
      </c>
      <c r="F1034" s="35" t="s">
        <v>25</v>
      </c>
      <c r="G1034" s="35" t="s">
        <v>25</v>
      </c>
      <c r="H1034" s="35" t="s">
        <v>38</v>
      </c>
      <c r="I1034" s="45">
        <v>44593</v>
      </c>
      <c r="J1034" s="46">
        <f>EFEITO!$J$1034*EFEITO!$Y$1034</f>
        <v>0</v>
      </c>
      <c r="K1034" s="46">
        <f ca="1">EFEITO!$L$1034*EFEITO!$Z$1034</f>
        <v>38.940693037059923</v>
      </c>
      <c r="L1034" s="46">
        <f>EFEITO!$N$1034*EFEITO!$AA$1034</f>
        <v>10.496900537255828</v>
      </c>
      <c r="M1034" s="46">
        <f>$J$1034-EFEITO!$K$1034*EFEITO!$Y$1034</f>
        <v>0</v>
      </c>
      <c r="N1034" s="46">
        <f ca="1">$K$1034-EFEITO!$M$1034*EFEITO!$Z$1034</f>
        <v>0</v>
      </c>
      <c r="O1034" s="46">
        <f>$L$1034-EFEITO!$O$1034*EFEITO!$AA$1034</f>
        <v>0</v>
      </c>
      <c r="P1034" s="38"/>
      <c r="Q1034" s="38"/>
      <c r="R1034" s="38"/>
      <c r="S1034" s="38"/>
      <c r="T1034" s="38"/>
      <c r="U1034" s="38"/>
      <c r="V1034" s="38"/>
      <c r="W1034" s="38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</row>
    <row r="1035" spans="1:36" ht="11.25" customHeight="1" x14ac:dyDescent="0.2">
      <c r="A1035" s="35" t="s">
        <v>30</v>
      </c>
      <c r="B1035" s="35" t="s">
        <v>22</v>
      </c>
      <c r="C1035" s="35" t="s">
        <v>35</v>
      </c>
      <c r="D1035" s="35" t="s">
        <v>24</v>
      </c>
      <c r="E1035" s="35" t="s">
        <v>24</v>
      </c>
      <c r="F1035" s="35" t="s">
        <v>25</v>
      </c>
      <c r="G1035" s="35" t="s">
        <v>25</v>
      </c>
      <c r="H1035" s="35" t="s">
        <v>38</v>
      </c>
      <c r="I1035" s="45">
        <v>44593</v>
      </c>
      <c r="J1035" s="46">
        <f>EFEITO!$J$1035*EFEITO!$Y$1035</f>
        <v>0</v>
      </c>
      <c r="K1035" s="46">
        <f ca="1">EFEITO!$L$1035*EFEITO!$Z$1035</f>
        <v>-20.281610956802044</v>
      </c>
      <c r="L1035" s="46">
        <f>EFEITO!$N$1035*EFEITO!$AA$1035</f>
        <v>-5.4671356964874107</v>
      </c>
      <c r="M1035" s="46">
        <f>$J$1035-EFEITO!$K$1035*EFEITO!$Y$1035</f>
        <v>0</v>
      </c>
      <c r="N1035" s="46">
        <f ca="1">$K$1035-EFEITO!$M$1035*EFEITO!$Z$1035</f>
        <v>0</v>
      </c>
      <c r="O1035" s="46">
        <f>$L$1035-EFEITO!$O$1035*EFEITO!$AA$1035</f>
        <v>0</v>
      </c>
      <c r="P1035" s="38"/>
      <c r="Q1035" s="38"/>
      <c r="R1035" s="38"/>
      <c r="S1035" s="38"/>
      <c r="T1035" s="38"/>
      <c r="U1035" s="38"/>
      <c r="V1035" s="38"/>
      <c r="W1035" s="38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</row>
    <row r="1036" spans="1:36" ht="11.25" customHeight="1" x14ac:dyDescent="0.2">
      <c r="A1036" s="35" t="s">
        <v>21</v>
      </c>
      <c r="B1036" s="35" t="s">
        <v>22</v>
      </c>
      <c r="C1036" s="35" t="s">
        <v>35</v>
      </c>
      <c r="D1036" s="35" t="s">
        <v>24</v>
      </c>
      <c r="E1036" s="35" t="s">
        <v>24</v>
      </c>
      <c r="F1036" s="35" t="s">
        <v>25</v>
      </c>
      <c r="G1036" s="35" t="s">
        <v>25</v>
      </c>
      <c r="H1036" s="35" t="s">
        <v>38</v>
      </c>
      <c r="I1036" s="45">
        <v>44621</v>
      </c>
      <c r="J1036" s="46">
        <f>EFEITO!$J$1036*EFEITO!$Y$1036</f>
        <v>0</v>
      </c>
      <c r="K1036" s="46">
        <f ca="1">EFEITO!$L$1036*EFEITO!$Z$1036</f>
        <v>1629.8302564886121</v>
      </c>
      <c r="L1036" s="46">
        <f>EFEITO!$N$1036*EFEITO!$AA$1036</f>
        <v>439.33902456972822</v>
      </c>
      <c r="M1036" s="46">
        <f>$J$1036-EFEITO!$K$1036*EFEITO!$Y$1036</f>
        <v>0</v>
      </c>
      <c r="N1036" s="46">
        <f ca="1">$K$1036-EFEITO!$M$1036*EFEITO!$Z$1036</f>
        <v>0</v>
      </c>
      <c r="O1036" s="46">
        <f>$L$1036-EFEITO!$O$1036*EFEITO!$AA$1036</f>
        <v>0</v>
      </c>
      <c r="P1036" s="38"/>
      <c r="Q1036" s="38"/>
      <c r="R1036" s="38"/>
      <c r="S1036" s="38"/>
      <c r="T1036" s="38"/>
      <c r="U1036" s="38"/>
      <c r="V1036" s="38"/>
      <c r="W1036" s="38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</row>
    <row r="1037" spans="1:36" ht="11.25" customHeight="1" x14ac:dyDescent="0.2">
      <c r="A1037" s="35" t="s">
        <v>28</v>
      </c>
      <c r="B1037" s="35" t="s">
        <v>22</v>
      </c>
      <c r="C1037" s="35" t="s">
        <v>35</v>
      </c>
      <c r="D1037" s="35" t="s">
        <v>24</v>
      </c>
      <c r="E1037" s="35" t="s">
        <v>24</v>
      </c>
      <c r="F1037" s="35" t="s">
        <v>25</v>
      </c>
      <c r="G1037" s="35" t="s">
        <v>25</v>
      </c>
      <c r="H1037" s="35" t="s">
        <v>38</v>
      </c>
      <c r="I1037" s="45">
        <v>44621</v>
      </c>
      <c r="J1037" s="46">
        <f>EFEITO!$J$1037*EFEITO!$Y$1037</f>
        <v>0</v>
      </c>
      <c r="K1037" s="46">
        <f ca="1">EFEITO!$L$1037*EFEITO!$Z$1037</f>
        <v>47.864601858052822</v>
      </c>
      <c r="L1037" s="46">
        <f>EFEITO!$N$1037*EFEITO!$AA$1037</f>
        <v>12.902440243710286</v>
      </c>
      <c r="M1037" s="46">
        <f>$J$1037-EFEITO!$K$1037*EFEITO!$Y$1037</f>
        <v>0</v>
      </c>
      <c r="N1037" s="46">
        <f ca="1">$K$1037-EFEITO!$M$1037*EFEITO!$Z$1037</f>
        <v>0</v>
      </c>
      <c r="O1037" s="46">
        <f>$L$1037-EFEITO!$O$1037*EFEITO!$AA$1037</f>
        <v>0</v>
      </c>
      <c r="P1037" s="38"/>
      <c r="Q1037" s="38"/>
      <c r="R1037" s="38"/>
      <c r="S1037" s="38"/>
      <c r="T1037" s="38"/>
      <c r="U1037" s="38"/>
      <c r="V1037" s="38"/>
      <c r="W1037" s="38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</row>
    <row r="1038" spans="1:36" ht="11.25" customHeight="1" x14ac:dyDescent="0.2">
      <c r="A1038" s="35" t="s">
        <v>30</v>
      </c>
      <c r="B1038" s="35" t="s">
        <v>22</v>
      </c>
      <c r="C1038" s="35" t="s">
        <v>35</v>
      </c>
      <c r="D1038" s="35" t="s">
        <v>24</v>
      </c>
      <c r="E1038" s="35" t="s">
        <v>24</v>
      </c>
      <c r="F1038" s="35" t="s">
        <v>25</v>
      </c>
      <c r="G1038" s="35" t="s">
        <v>25</v>
      </c>
      <c r="H1038" s="35" t="s">
        <v>38</v>
      </c>
      <c r="I1038" s="45">
        <v>44621</v>
      </c>
      <c r="J1038" s="46">
        <f>EFEITO!$J$1038*EFEITO!$Y$1038</f>
        <v>0</v>
      </c>
      <c r="K1038" s="46">
        <f ca="1">EFEITO!$L$1038*EFEITO!$Z$1038</f>
        <v>8.9239088209928994</v>
      </c>
      <c r="L1038" s="46">
        <f>EFEITO!$N$1038*EFEITO!$AA$1038</f>
        <v>2.4055397064544604</v>
      </c>
      <c r="M1038" s="46">
        <f>$J$1038-EFEITO!$K$1038*EFEITO!$Y$1038</f>
        <v>0</v>
      </c>
      <c r="N1038" s="46">
        <f ca="1">$K$1038-EFEITO!$M$1038*EFEITO!$Z$1038</f>
        <v>0</v>
      </c>
      <c r="O1038" s="46">
        <f>$L$1038-EFEITO!$O$1038*EFEITO!$AA$1038</f>
        <v>0</v>
      </c>
      <c r="P1038" s="38"/>
      <c r="Q1038" s="38"/>
      <c r="R1038" s="38"/>
      <c r="S1038" s="38"/>
      <c r="T1038" s="38"/>
      <c r="U1038" s="38"/>
      <c r="V1038" s="38"/>
      <c r="W1038" s="38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</row>
    <row r="1039" spans="1:36" ht="11.25" customHeight="1" x14ac:dyDescent="0.2">
      <c r="A1039" s="35" t="s">
        <v>21</v>
      </c>
      <c r="B1039" s="35" t="s">
        <v>22</v>
      </c>
      <c r="C1039" s="35" t="s">
        <v>35</v>
      </c>
      <c r="D1039" s="35" t="s">
        <v>24</v>
      </c>
      <c r="E1039" s="35" t="s">
        <v>24</v>
      </c>
      <c r="F1039" s="35" t="s">
        <v>25</v>
      </c>
      <c r="G1039" s="35" t="s">
        <v>25</v>
      </c>
      <c r="H1039" s="35" t="s">
        <v>38</v>
      </c>
      <c r="I1039" s="45">
        <v>44652</v>
      </c>
      <c r="J1039" s="46">
        <f>EFEITO!$J$1039*EFEITO!$Y$1039</f>
        <v>0</v>
      </c>
      <c r="K1039" s="46">
        <f ca="1">EFEITO!$L$1039*EFEITO!$Z$1039</f>
        <v>852.63892462395791</v>
      </c>
      <c r="L1039" s="46">
        <f>EFEITO!$N$1039*EFEITO!$AA$1039</f>
        <v>229.83838468033071</v>
      </c>
      <c r="M1039" s="46">
        <f>$J$1039-EFEITO!$K$1039*EFEITO!$Y$1039</f>
        <v>0</v>
      </c>
      <c r="N1039" s="46">
        <f ca="1">$K$1039-EFEITO!$M$1039*EFEITO!$Z$1039</f>
        <v>0</v>
      </c>
      <c r="O1039" s="46">
        <f>$L$1039-EFEITO!$O$1039*EFEITO!$AA$1039</f>
        <v>0</v>
      </c>
      <c r="P1039" s="38"/>
      <c r="Q1039" s="38"/>
      <c r="R1039" s="38"/>
      <c r="S1039" s="38"/>
      <c r="T1039" s="38"/>
      <c r="U1039" s="38"/>
      <c r="V1039" s="38"/>
      <c r="W1039" s="38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</row>
    <row r="1040" spans="1:36" ht="11.25" customHeight="1" x14ac:dyDescent="0.2">
      <c r="A1040" s="35" t="s">
        <v>28</v>
      </c>
      <c r="B1040" s="35" t="s">
        <v>22</v>
      </c>
      <c r="C1040" s="35" t="s">
        <v>35</v>
      </c>
      <c r="D1040" s="35" t="s">
        <v>24</v>
      </c>
      <c r="E1040" s="35" t="s">
        <v>24</v>
      </c>
      <c r="F1040" s="35" t="s">
        <v>25</v>
      </c>
      <c r="G1040" s="35" t="s">
        <v>25</v>
      </c>
      <c r="H1040" s="35" t="s">
        <v>38</v>
      </c>
      <c r="I1040" s="45">
        <v>44652</v>
      </c>
      <c r="J1040" s="46">
        <f>EFEITO!$J$1040*EFEITO!$Y$1040</f>
        <v>0</v>
      </c>
      <c r="K1040" s="46">
        <f ca="1">EFEITO!$L$1040*EFEITO!$Z$1040</f>
        <v>25.149197586434536</v>
      </c>
      <c r="L1040" s="46">
        <f>EFEITO!$N$1040*EFEITO!$AA$1040</f>
        <v>6.779248263644388</v>
      </c>
      <c r="M1040" s="46">
        <f>$J$1040-EFEITO!$K$1040*EFEITO!$Y$1040</f>
        <v>0</v>
      </c>
      <c r="N1040" s="46">
        <f ca="1">$K$1040-EFEITO!$M$1040*EFEITO!$Z$1040</f>
        <v>0</v>
      </c>
      <c r="O1040" s="46">
        <f>$L$1040-EFEITO!$O$1040*EFEITO!$AA$1040</f>
        <v>0</v>
      </c>
      <c r="P1040" s="38"/>
      <c r="Q1040" s="38"/>
      <c r="R1040" s="38"/>
      <c r="S1040" s="38"/>
      <c r="T1040" s="38"/>
      <c r="U1040" s="38"/>
      <c r="V1040" s="38"/>
      <c r="W1040" s="38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</row>
    <row r="1041" spans="1:36" ht="11.25" customHeight="1" x14ac:dyDescent="0.2">
      <c r="A1041" s="35" t="s">
        <v>30</v>
      </c>
      <c r="B1041" s="35" t="s">
        <v>22</v>
      </c>
      <c r="C1041" s="35" t="s">
        <v>35</v>
      </c>
      <c r="D1041" s="35" t="s">
        <v>24</v>
      </c>
      <c r="E1041" s="35" t="s">
        <v>24</v>
      </c>
      <c r="F1041" s="35" t="s">
        <v>25</v>
      </c>
      <c r="G1041" s="35" t="s">
        <v>25</v>
      </c>
      <c r="H1041" s="35" t="s">
        <v>38</v>
      </c>
      <c r="I1041" s="45">
        <v>44652</v>
      </c>
      <c r="J1041" s="46">
        <f>EFEITO!$J$1041*EFEITO!$Y$1041</f>
        <v>0</v>
      </c>
      <c r="K1041" s="46">
        <f ca="1">EFEITO!$L$1041*EFEITO!$Z$1041</f>
        <v>8.9239088209928994</v>
      </c>
      <c r="L1041" s="46">
        <f>EFEITO!$N$1041*EFEITO!$AA$1041</f>
        <v>2.4055397064544604</v>
      </c>
      <c r="M1041" s="46">
        <f>$J$1041-EFEITO!$K$1041*EFEITO!$Y$1041</f>
        <v>0</v>
      </c>
      <c r="N1041" s="46">
        <f ca="1">$K$1041-EFEITO!$M$1041*EFEITO!$Z$1041</f>
        <v>0</v>
      </c>
      <c r="O1041" s="46">
        <f>$L$1041-EFEITO!$O$1041*EFEITO!$AA$1041</f>
        <v>0</v>
      </c>
      <c r="P1041" s="38"/>
      <c r="Q1041" s="38"/>
      <c r="R1041" s="38"/>
      <c r="S1041" s="38"/>
      <c r="T1041" s="38"/>
      <c r="U1041" s="38"/>
      <c r="V1041" s="38"/>
      <c r="W1041" s="38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</row>
    <row r="1042" spans="1:36" ht="11.25" customHeight="1" x14ac:dyDescent="0.2">
      <c r="A1042" s="35" t="s">
        <v>21</v>
      </c>
      <c r="B1042" s="35" t="s">
        <v>22</v>
      </c>
      <c r="C1042" s="35" t="s">
        <v>35</v>
      </c>
      <c r="D1042" s="35" t="s">
        <v>24</v>
      </c>
      <c r="E1042" s="35" t="s">
        <v>24</v>
      </c>
      <c r="F1042" s="35" t="s">
        <v>25</v>
      </c>
      <c r="G1042" s="35" t="s">
        <v>25</v>
      </c>
      <c r="H1042" s="35" t="s">
        <v>38</v>
      </c>
      <c r="I1042" s="45">
        <v>44682</v>
      </c>
      <c r="J1042" s="46">
        <f>EFEITO!$J$1042*EFEITO!$Y$1042</f>
        <v>0</v>
      </c>
      <c r="K1042" s="46">
        <f ca="1">EFEITO!$L$1042*EFEITO!$Z$1042</f>
        <v>1046.5311253709856</v>
      </c>
      <c r="L1042" s="46">
        <f>EFEITO!$N$1042*EFEITO!$AA$1042</f>
        <v>282.10420193875035</v>
      </c>
      <c r="M1042" s="46">
        <f>$J$1042-EFEITO!$K$1042*EFEITO!$Y$1042</f>
        <v>0</v>
      </c>
      <c r="N1042" s="46">
        <f ca="1">$K$1042-EFEITO!$M$1042*EFEITO!$Z$1042</f>
        <v>0</v>
      </c>
      <c r="O1042" s="46">
        <f>$L$1042-EFEITO!$O$1042*EFEITO!$AA$1042</f>
        <v>0</v>
      </c>
      <c r="P1042" s="38"/>
      <c r="Q1042" s="38"/>
      <c r="R1042" s="38"/>
      <c r="S1042" s="38"/>
      <c r="T1042" s="38"/>
      <c r="U1042" s="38"/>
      <c r="V1042" s="38"/>
      <c r="W1042" s="38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</row>
    <row r="1043" spans="1:36" ht="11.25" customHeight="1" x14ac:dyDescent="0.2">
      <c r="A1043" s="35" t="s">
        <v>28</v>
      </c>
      <c r="B1043" s="35" t="s">
        <v>22</v>
      </c>
      <c r="C1043" s="35" t="s">
        <v>35</v>
      </c>
      <c r="D1043" s="35" t="s">
        <v>24</v>
      </c>
      <c r="E1043" s="35" t="s">
        <v>24</v>
      </c>
      <c r="F1043" s="35" t="s">
        <v>25</v>
      </c>
      <c r="G1043" s="35" t="s">
        <v>25</v>
      </c>
      <c r="H1043" s="35" t="s">
        <v>38</v>
      </c>
      <c r="I1043" s="45">
        <v>44682</v>
      </c>
      <c r="J1043" s="46">
        <f>EFEITO!$J$1043*EFEITO!$Y$1043</f>
        <v>0</v>
      </c>
      <c r="K1043" s="46">
        <f ca="1">EFEITO!$L$1043*EFEITO!$Z$1043</f>
        <v>21.092875395074124</v>
      </c>
      <c r="L1043" s="46">
        <f>EFEITO!$N$1043*EFEITO!$AA$1043</f>
        <v>5.6858211243469059</v>
      </c>
      <c r="M1043" s="46">
        <f>$J$1043-EFEITO!$K$1043*EFEITO!$Y$1043</f>
        <v>0</v>
      </c>
      <c r="N1043" s="46">
        <f ca="1">$K$1043-EFEITO!$M$1043*EFEITO!$Z$1043</f>
        <v>0</v>
      </c>
      <c r="O1043" s="46">
        <f>$L$1043-EFEITO!$O$1043*EFEITO!$AA$1043</f>
        <v>0</v>
      </c>
      <c r="P1043" s="38"/>
      <c r="Q1043" s="38"/>
      <c r="R1043" s="38"/>
      <c r="S1043" s="38"/>
      <c r="T1043" s="38"/>
      <c r="U1043" s="38"/>
      <c r="V1043" s="38"/>
      <c r="W1043" s="38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</row>
    <row r="1044" spans="1:36" ht="11.25" customHeight="1" x14ac:dyDescent="0.2">
      <c r="A1044" s="35" t="s">
        <v>21</v>
      </c>
      <c r="B1044" s="35" t="s">
        <v>22</v>
      </c>
      <c r="C1044" s="35" t="s">
        <v>35</v>
      </c>
      <c r="D1044" s="35" t="s">
        <v>24</v>
      </c>
      <c r="E1044" s="35" t="s">
        <v>24</v>
      </c>
      <c r="F1044" s="35" t="s">
        <v>25</v>
      </c>
      <c r="G1044" s="35" t="s">
        <v>25</v>
      </c>
      <c r="H1044" s="35" t="s">
        <v>38</v>
      </c>
      <c r="I1044" s="45">
        <v>44713</v>
      </c>
      <c r="J1044" s="46">
        <f>EFEITO!$J$1044*EFEITO!$Y$1044</f>
        <v>0</v>
      </c>
      <c r="K1044" s="46">
        <f ca="1">EFEITO!$L$1044*EFEITO!$Z$1044</f>
        <v>1190.9361953834159</v>
      </c>
      <c r="L1044" s="46">
        <f>EFEITO!$N$1044*EFEITO!$AA$1044</f>
        <v>321.03020809774068</v>
      </c>
      <c r="M1044" s="46">
        <f>$J$1044-EFEITO!$K$1044*EFEITO!$Y$1044</f>
        <v>0</v>
      </c>
      <c r="N1044" s="46">
        <f ca="1">$K$1044-EFEITO!$M$1044*EFEITO!$Z$1044</f>
        <v>0</v>
      </c>
      <c r="O1044" s="46">
        <f>$L$1044-EFEITO!$O$1044*EFEITO!$AA$1044</f>
        <v>0</v>
      </c>
      <c r="P1044" s="38"/>
      <c r="Q1044" s="38"/>
      <c r="R1044" s="38"/>
      <c r="S1044" s="38"/>
      <c r="T1044" s="38"/>
      <c r="U1044" s="38"/>
      <c r="V1044" s="38"/>
      <c r="W1044" s="38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</row>
    <row r="1045" spans="1:36" ht="11.25" customHeight="1" x14ac:dyDescent="0.2">
      <c r="A1045" s="35" t="s">
        <v>27</v>
      </c>
      <c r="B1045" s="35" t="s">
        <v>22</v>
      </c>
      <c r="C1045" s="35" t="s">
        <v>35</v>
      </c>
      <c r="D1045" s="35" t="s">
        <v>24</v>
      </c>
      <c r="E1045" s="35" t="s">
        <v>24</v>
      </c>
      <c r="F1045" s="35" t="s">
        <v>25</v>
      </c>
      <c r="G1045" s="35" t="s">
        <v>25</v>
      </c>
      <c r="H1045" s="35" t="s">
        <v>38</v>
      </c>
      <c r="I1045" s="45">
        <v>44713</v>
      </c>
      <c r="J1045" s="46">
        <f>EFEITO!$J$1045*EFEITO!$Y$1045</f>
        <v>0</v>
      </c>
      <c r="K1045" s="46">
        <f ca="1">EFEITO!$L$1045*EFEITO!$Z$1045</f>
        <v>-66.523683938310711</v>
      </c>
      <c r="L1045" s="46">
        <f>EFEITO!$N$1045*EFEITO!$AA$1045</f>
        <v>-17.932205084478706</v>
      </c>
      <c r="M1045" s="46">
        <f>$J$1045-EFEITO!$K$1045*EFEITO!$Y$1045</f>
        <v>0</v>
      </c>
      <c r="N1045" s="46">
        <f ca="1">$K$1045-EFEITO!$M$1045*EFEITO!$Z$1045</f>
        <v>0</v>
      </c>
      <c r="O1045" s="46">
        <f>$L$1045-EFEITO!$O$1045*EFEITO!$AA$1045</f>
        <v>0</v>
      </c>
      <c r="P1045" s="38"/>
      <c r="Q1045" s="38"/>
      <c r="R1045" s="38"/>
      <c r="S1045" s="38"/>
      <c r="T1045" s="38"/>
      <c r="U1045" s="38"/>
      <c r="V1045" s="38"/>
      <c r="W1045" s="38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</row>
    <row r="1046" spans="1:36" ht="11.25" customHeight="1" x14ac:dyDescent="0.2">
      <c r="A1046" s="35" t="s">
        <v>28</v>
      </c>
      <c r="B1046" s="35" t="s">
        <v>22</v>
      </c>
      <c r="C1046" s="35" t="s">
        <v>35</v>
      </c>
      <c r="D1046" s="35" t="s">
        <v>24</v>
      </c>
      <c r="E1046" s="35" t="s">
        <v>24</v>
      </c>
      <c r="F1046" s="35" t="s">
        <v>25</v>
      </c>
      <c r="G1046" s="35" t="s">
        <v>25</v>
      </c>
      <c r="H1046" s="35" t="s">
        <v>38</v>
      </c>
      <c r="I1046" s="45">
        <v>44713</v>
      </c>
      <c r="J1046" s="46">
        <f>EFEITO!$J$1046*EFEITO!$Y$1046</f>
        <v>0</v>
      </c>
      <c r="K1046" s="46">
        <f ca="1">EFEITO!$L$1046*EFEITO!$Z$1046</f>
        <v>17.847817641985799</v>
      </c>
      <c r="L1046" s="46">
        <f>EFEITO!$N$1046*EFEITO!$AA$1046</f>
        <v>4.8110794129089207</v>
      </c>
      <c r="M1046" s="46">
        <f>$J$1046-EFEITO!$K$1046*EFEITO!$Y$1046</f>
        <v>0</v>
      </c>
      <c r="N1046" s="46">
        <f ca="1">$K$1046-EFEITO!$M$1046*EFEITO!$Z$1046</f>
        <v>0</v>
      </c>
      <c r="O1046" s="46">
        <f>$L$1046-EFEITO!$O$1046*EFEITO!$AA$1046</f>
        <v>0</v>
      </c>
      <c r="P1046" s="38"/>
      <c r="Q1046" s="38"/>
      <c r="R1046" s="38"/>
      <c r="S1046" s="38"/>
      <c r="T1046" s="38"/>
      <c r="U1046" s="38"/>
      <c r="V1046" s="38"/>
      <c r="W1046" s="38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</row>
    <row r="1047" spans="1:36" ht="11.25" customHeight="1" x14ac:dyDescent="0.2">
      <c r="A1047" s="35" t="s">
        <v>21</v>
      </c>
      <c r="B1047" s="35" t="s">
        <v>22</v>
      </c>
      <c r="C1047" s="35" t="s">
        <v>35</v>
      </c>
      <c r="D1047" s="35" t="s">
        <v>24</v>
      </c>
      <c r="E1047" s="35" t="s">
        <v>24</v>
      </c>
      <c r="F1047" s="35" t="s">
        <v>25</v>
      </c>
      <c r="G1047" s="35" t="s">
        <v>25</v>
      </c>
      <c r="H1047" s="35" t="s">
        <v>38</v>
      </c>
      <c r="I1047" s="45">
        <v>44743</v>
      </c>
      <c r="J1047" s="46">
        <f>EFEITO!$J$1047*EFEITO!$Y$1047</f>
        <v>0</v>
      </c>
      <c r="K1047" s="46">
        <f ca="1">EFEITO!$L$1047*EFEITO!$Z$1047</f>
        <v>1023.8157210993671</v>
      </c>
      <c r="L1047" s="46">
        <f>EFEITO!$N$1047*EFEITO!$AA$1047</f>
        <v>275.98100995868447</v>
      </c>
      <c r="M1047" s="46">
        <f>$J$1047-EFEITO!$K$1047*EFEITO!$Y$1047</f>
        <v>0</v>
      </c>
      <c r="N1047" s="46">
        <f ca="1">$K$1047-EFEITO!$M$1047*EFEITO!$Z$1047</f>
        <v>0</v>
      </c>
      <c r="O1047" s="46">
        <f>$L$1047-EFEITO!$O$1047*EFEITO!$AA$1047</f>
        <v>0</v>
      </c>
      <c r="P1047" s="38"/>
      <c r="Q1047" s="38"/>
      <c r="R1047" s="38"/>
      <c r="S1047" s="38"/>
      <c r="T1047" s="38"/>
      <c r="U1047" s="38"/>
      <c r="V1047" s="38"/>
      <c r="W1047" s="38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</row>
    <row r="1048" spans="1:36" ht="11.25" customHeight="1" x14ac:dyDescent="0.2">
      <c r="A1048" s="35" t="s">
        <v>28</v>
      </c>
      <c r="B1048" s="35" t="s">
        <v>22</v>
      </c>
      <c r="C1048" s="35" t="s">
        <v>35</v>
      </c>
      <c r="D1048" s="35" t="s">
        <v>24</v>
      </c>
      <c r="E1048" s="35" t="s">
        <v>24</v>
      </c>
      <c r="F1048" s="35" t="s">
        <v>25</v>
      </c>
      <c r="G1048" s="35" t="s">
        <v>25</v>
      </c>
      <c r="H1048" s="35" t="s">
        <v>38</v>
      </c>
      <c r="I1048" s="45">
        <v>44743</v>
      </c>
      <c r="J1048" s="46">
        <f>EFEITO!$J$1048*EFEITO!$Y$1048</f>
        <v>0</v>
      </c>
      <c r="K1048" s="46">
        <f ca="1">EFEITO!$L$1048*EFEITO!$Z$1048</f>
        <v>24.337933148162453</v>
      </c>
      <c r="L1048" s="46">
        <f>EFEITO!$N$1048*EFEITO!$AA$1048</f>
        <v>6.560562835784892</v>
      </c>
      <c r="M1048" s="46">
        <f>$J$1048-EFEITO!$K$1048*EFEITO!$Y$1048</f>
        <v>0</v>
      </c>
      <c r="N1048" s="46">
        <f ca="1">$K$1048-EFEITO!$M$1048*EFEITO!$Z$1048</f>
        <v>0</v>
      </c>
      <c r="O1048" s="46">
        <f>$L$1048-EFEITO!$O$1048*EFEITO!$AA$1048</f>
        <v>0</v>
      </c>
      <c r="P1048" s="38"/>
      <c r="Q1048" s="38"/>
      <c r="R1048" s="38"/>
      <c r="S1048" s="38"/>
      <c r="T1048" s="38"/>
      <c r="U1048" s="38"/>
      <c r="V1048" s="38"/>
      <c r="W1048" s="38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</row>
    <row r="1049" spans="1:36" ht="11.25" customHeight="1" x14ac:dyDescent="0.2">
      <c r="A1049" s="35" t="s">
        <v>30</v>
      </c>
      <c r="B1049" s="35" t="s">
        <v>22</v>
      </c>
      <c r="C1049" s="35" t="s">
        <v>35</v>
      </c>
      <c r="D1049" s="35" t="s">
        <v>24</v>
      </c>
      <c r="E1049" s="35" t="s">
        <v>24</v>
      </c>
      <c r="F1049" s="35" t="s">
        <v>25</v>
      </c>
      <c r="G1049" s="35" t="s">
        <v>25</v>
      </c>
      <c r="H1049" s="35" t="s">
        <v>38</v>
      </c>
      <c r="I1049" s="45">
        <v>44743</v>
      </c>
      <c r="J1049" s="46">
        <f>EFEITO!$J$1049*EFEITO!$Y$1049</f>
        <v>0</v>
      </c>
      <c r="K1049" s="46">
        <f ca="1">EFEITO!$L$1049*EFEITO!$Z$1049</f>
        <v>26.771726462978698</v>
      </c>
      <c r="L1049" s="46">
        <f>EFEITO!$N$1049*EFEITO!$AA$1049</f>
        <v>7.216619119363382</v>
      </c>
      <c r="M1049" s="46">
        <f>$J$1049-EFEITO!$K$1049*EFEITO!$Y$1049</f>
        <v>0</v>
      </c>
      <c r="N1049" s="46">
        <f ca="1">$K$1049-EFEITO!$M$1049*EFEITO!$Z$1049</f>
        <v>0</v>
      </c>
      <c r="O1049" s="46">
        <f>$L$1049-EFEITO!$O$1049*EFEITO!$AA$1049</f>
        <v>0</v>
      </c>
      <c r="P1049" s="38"/>
      <c r="Q1049" s="38"/>
      <c r="R1049" s="38"/>
      <c r="S1049" s="38"/>
      <c r="T1049" s="38"/>
      <c r="U1049" s="38"/>
      <c r="V1049" s="38"/>
      <c r="W1049" s="38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</row>
    <row r="1050" spans="1:36" ht="11.25" customHeight="1" x14ac:dyDescent="0.2">
      <c r="A1050" s="35" t="s">
        <v>21</v>
      </c>
      <c r="B1050" s="35" t="s">
        <v>22</v>
      </c>
      <c r="C1050" s="35" t="s">
        <v>35</v>
      </c>
      <c r="D1050" s="35" t="s">
        <v>24</v>
      </c>
      <c r="E1050" s="35" t="s">
        <v>24</v>
      </c>
      <c r="F1050" s="35" t="s">
        <v>25</v>
      </c>
      <c r="G1050" s="35" t="s">
        <v>25</v>
      </c>
      <c r="H1050" s="35" t="s">
        <v>38</v>
      </c>
      <c r="I1050" s="45">
        <v>44774</v>
      </c>
      <c r="J1050" s="46">
        <f>EFEITO!$J$1050*EFEITO!$Y$1050</f>
        <v>0</v>
      </c>
      <c r="K1050" s="46">
        <f ca="1">EFEITO!$L$1050*EFEITO!$Z$1050</f>
        <v>1336.9637942723907</v>
      </c>
      <c r="L1050" s="46">
        <f>EFEITO!$N$1050*EFEITO!$AA$1050</f>
        <v>360.39358511245007</v>
      </c>
      <c r="M1050" s="46">
        <f>$J$1050-EFEITO!$K$1050*EFEITO!$Y$1050</f>
        <v>0</v>
      </c>
      <c r="N1050" s="46">
        <f ca="1">$K$1050-EFEITO!$M$1050*EFEITO!$Z$1050</f>
        <v>0</v>
      </c>
      <c r="O1050" s="46">
        <f>$L$1050-EFEITO!$O$1050*EFEITO!$AA$1050</f>
        <v>0</v>
      </c>
      <c r="P1050" s="38"/>
      <c r="Q1050" s="38"/>
      <c r="R1050" s="38"/>
      <c r="S1050" s="38"/>
      <c r="T1050" s="38"/>
      <c r="U1050" s="38"/>
      <c r="V1050" s="38"/>
      <c r="W1050" s="38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</row>
    <row r="1051" spans="1:36" ht="11.25" customHeight="1" x14ac:dyDescent="0.2">
      <c r="A1051" s="35" t="s">
        <v>27</v>
      </c>
      <c r="B1051" s="35" t="s">
        <v>22</v>
      </c>
      <c r="C1051" s="35" t="s">
        <v>35</v>
      </c>
      <c r="D1051" s="35" t="s">
        <v>24</v>
      </c>
      <c r="E1051" s="35" t="s">
        <v>24</v>
      </c>
      <c r="F1051" s="35" t="s">
        <v>25</v>
      </c>
      <c r="G1051" s="35" t="s">
        <v>25</v>
      </c>
      <c r="H1051" s="35" t="s">
        <v>38</v>
      </c>
      <c r="I1051" s="45">
        <v>44774</v>
      </c>
      <c r="J1051" s="46">
        <f>EFEITO!$J$1051*EFEITO!$Y$1051</f>
        <v>0</v>
      </c>
      <c r="K1051" s="46">
        <f ca="1">EFEITO!$L$1051*EFEITO!$Z$1051</f>
        <v>15.414024327169553</v>
      </c>
      <c r="L1051" s="46">
        <f>EFEITO!$N$1051*EFEITO!$AA$1051</f>
        <v>4.1550231293304316</v>
      </c>
      <c r="M1051" s="46">
        <f>$J$1051-EFEITO!$K$1051*EFEITO!$Y$1051</f>
        <v>0</v>
      </c>
      <c r="N1051" s="46">
        <f ca="1">$K$1051-EFEITO!$M$1051*EFEITO!$Z$1051</f>
        <v>0</v>
      </c>
      <c r="O1051" s="46">
        <f>$L$1051-EFEITO!$O$1051*EFEITO!$AA$1051</f>
        <v>0</v>
      </c>
      <c r="P1051" s="38"/>
      <c r="Q1051" s="38"/>
      <c r="R1051" s="38"/>
      <c r="S1051" s="38"/>
      <c r="T1051" s="38"/>
      <c r="U1051" s="38"/>
      <c r="V1051" s="38"/>
      <c r="W1051" s="38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</row>
    <row r="1052" spans="1:36" ht="11.25" customHeight="1" x14ac:dyDescent="0.2">
      <c r="A1052" s="35" t="s">
        <v>28</v>
      </c>
      <c r="B1052" s="35" t="s">
        <v>22</v>
      </c>
      <c r="C1052" s="35" t="s">
        <v>35</v>
      </c>
      <c r="D1052" s="35" t="s">
        <v>24</v>
      </c>
      <c r="E1052" s="35" t="s">
        <v>24</v>
      </c>
      <c r="F1052" s="35" t="s">
        <v>25</v>
      </c>
      <c r="G1052" s="35" t="s">
        <v>25</v>
      </c>
      <c r="H1052" s="35" t="s">
        <v>38</v>
      </c>
      <c r="I1052" s="45">
        <v>44774</v>
      </c>
      <c r="J1052" s="46">
        <f>EFEITO!$J$1052*EFEITO!$Y$1052</f>
        <v>0</v>
      </c>
      <c r="K1052" s="46">
        <f ca="1">EFEITO!$L$1052*EFEITO!$Z$1052</f>
        <v>25.149197586434536</v>
      </c>
      <c r="L1052" s="46">
        <f>EFEITO!$N$1052*EFEITO!$AA$1052</f>
        <v>6.779248263644388</v>
      </c>
      <c r="M1052" s="46">
        <f>$J$1052-EFEITO!$K$1052*EFEITO!$Y$1052</f>
        <v>0</v>
      </c>
      <c r="N1052" s="46">
        <f ca="1">$K$1052-EFEITO!$M$1052*EFEITO!$Z$1052</f>
        <v>0</v>
      </c>
      <c r="O1052" s="46">
        <f>$L$1052-EFEITO!$O$1052*EFEITO!$AA$1052</f>
        <v>0</v>
      </c>
      <c r="P1052" s="38"/>
      <c r="Q1052" s="38"/>
      <c r="R1052" s="38"/>
      <c r="S1052" s="38"/>
      <c r="T1052" s="38"/>
      <c r="U1052" s="38"/>
      <c r="V1052" s="38"/>
      <c r="W1052" s="38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</row>
    <row r="1053" spans="1:36" ht="11.25" customHeight="1" x14ac:dyDescent="0.2">
      <c r="A1053" s="35" t="s">
        <v>30</v>
      </c>
      <c r="B1053" s="35" t="s">
        <v>22</v>
      </c>
      <c r="C1053" s="35" t="s">
        <v>35</v>
      </c>
      <c r="D1053" s="35" t="s">
        <v>24</v>
      </c>
      <c r="E1053" s="35" t="s">
        <v>24</v>
      </c>
      <c r="F1053" s="35" t="s">
        <v>25</v>
      </c>
      <c r="G1053" s="35" t="s">
        <v>25</v>
      </c>
      <c r="H1053" s="35" t="s">
        <v>38</v>
      </c>
      <c r="I1053" s="45">
        <v>44774</v>
      </c>
      <c r="J1053" s="46">
        <f>EFEITO!$J$1053*EFEITO!$Y$1053</f>
        <v>0</v>
      </c>
      <c r="K1053" s="46">
        <f ca="1">EFEITO!$L$1053*EFEITO!$Z$1053</f>
        <v>7.3013799444487351</v>
      </c>
      <c r="L1053" s="46">
        <f>EFEITO!$N$1053*EFEITO!$AA$1053</f>
        <v>1.9681688507354675</v>
      </c>
      <c r="M1053" s="46">
        <f>$J$1053-EFEITO!$K$1053*EFEITO!$Y$1053</f>
        <v>0</v>
      </c>
      <c r="N1053" s="46">
        <f ca="1">$K$1053-EFEITO!$M$1053*EFEITO!$Z$1053</f>
        <v>0</v>
      </c>
      <c r="O1053" s="46">
        <f>$L$1053-EFEITO!$O$1053*EFEITO!$AA$1053</f>
        <v>0</v>
      </c>
      <c r="P1053" s="38"/>
      <c r="Q1053" s="38"/>
      <c r="R1053" s="38"/>
      <c r="S1053" s="38"/>
      <c r="T1053" s="38"/>
      <c r="U1053" s="38"/>
      <c r="V1053" s="38"/>
      <c r="W1053" s="38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</row>
    <row r="1054" spans="1:36" ht="11.25" customHeight="1" x14ac:dyDescent="0.2">
      <c r="A1054" s="35" t="s">
        <v>21</v>
      </c>
      <c r="B1054" s="35" t="s">
        <v>22</v>
      </c>
      <c r="C1054" s="35" t="s">
        <v>35</v>
      </c>
      <c r="D1054" s="35" t="s">
        <v>24</v>
      </c>
      <c r="E1054" s="35" t="s">
        <v>24</v>
      </c>
      <c r="F1054" s="35" t="s">
        <v>25</v>
      </c>
      <c r="G1054" s="35" t="s">
        <v>25</v>
      </c>
      <c r="H1054" s="35" t="s">
        <v>38</v>
      </c>
      <c r="I1054" s="45">
        <v>44805</v>
      </c>
      <c r="J1054" s="46">
        <f>EFEITO!$J$1054*EFEITO!$Y$1054</f>
        <v>0</v>
      </c>
      <c r="K1054" s="46">
        <f ca="1">EFEITO!$L$1054*EFEITO!$Z$1054</f>
        <v>934.57663288943809</v>
      </c>
      <c r="L1054" s="46">
        <f>EFEITO!$N$1054*EFEITO!$AA$1054</f>
        <v>251.92561289413985</v>
      </c>
      <c r="M1054" s="46">
        <f>$J$1054-EFEITO!$K$1054*EFEITO!$Y$1054</f>
        <v>0</v>
      </c>
      <c r="N1054" s="46">
        <f ca="1">$K$1054-EFEITO!$M$1054*EFEITO!$Z$1054</f>
        <v>0</v>
      </c>
      <c r="O1054" s="46">
        <f>$L$1054-EFEITO!$O$1054*EFEITO!$AA$1054</f>
        <v>0</v>
      </c>
      <c r="P1054" s="38"/>
      <c r="Q1054" s="38"/>
      <c r="R1054" s="38"/>
      <c r="S1054" s="38"/>
      <c r="T1054" s="38"/>
      <c r="U1054" s="38"/>
      <c r="V1054" s="38"/>
      <c r="W1054" s="38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</row>
    <row r="1055" spans="1:36" ht="11.25" customHeight="1" x14ac:dyDescent="0.2">
      <c r="A1055" s="35" t="s">
        <v>27</v>
      </c>
      <c r="B1055" s="35" t="s">
        <v>22</v>
      </c>
      <c r="C1055" s="35" t="s">
        <v>35</v>
      </c>
      <c r="D1055" s="35" t="s">
        <v>24</v>
      </c>
      <c r="E1055" s="35" t="s">
        <v>24</v>
      </c>
      <c r="F1055" s="35" t="s">
        <v>25</v>
      </c>
      <c r="G1055" s="35" t="s">
        <v>25</v>
      </c>
      <c r="H1055" s="35" t="s">
        <v>38</v>
      </c>
      <c r="I1055" s="45">
        <v>44805</v>
      </c>
      <c r="J1055" s="46">
        <f>EFEITO!$J$1055*EFEITO!$Y$1055</f>
        <v>0</v>
      </c>
      <c r="K1055" s="46">
        <f ca="1">EFEITO!$L$1055*EFEITO!$Z$1055</f>
        <v>6.4901155061766538</v>
      </c>
      <c r="L1055" s="46">
        <f>EFEITO!$N$1055*EFEITO!$AA$1055</f>
        <v>1.7494834228759713</v>
      </c>
      <c r="M1055" s="46">
        <f>$J$1055-EFEITO!$K$1055*EFEITO!$Y$1055</f>
        <v>0</v>
      </c>
      <c r="N1055" s="46">
        <f ca="1">$K$1055-EFEITO!$M$1055*EFEITO!$Z$1055</f>
        <v>0</v>
      </c>
      <c r="O1055" s="46">
        <f>$L$1055-EFEITO!$O$1055*EFEITO!$AA$1055</f>
        <v>0</v>
      </c>
      <c r="P1055" s="38"/>
      <c r="Q1055" s="38"/>
      <c r="R1055" s="38"/>
      <c r="S1055" s="38"/>
      <c r="T1055" s="38"/>
      <c r="U1055" s="38"/>
      <c r="V1055" s="38"/>
      <c r="W1055" s="38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</row>
    <row r="1056" spans="1:36" ht="11.25" customHeight="1" x14ac:dyDescent="0.2">
      <c r="A1056" s="35" t="s">
        <v>28</v>
      </c>
      <c r="B1056" s="35" t="s">
        <v>22</v>
      </c>
      <c r="C1056" s="35" t="s">
        <v>35</v>
      </c>
      <c r="D1056" s="35" t="s">
        <v>24</v>
      </c>
      <c r="E1056" s="35" t="s">
        <v>24</v>
      </c>
      <c r="F1056" s="35" t="s">
        <v>25</v>
      </c>
      <c r="G1056" s="35" t="s">
        <v>25</v>
      </c>
      <c r="H1056" s="35" t="s">
        <v>38</v>
      </c>
      <c r="I1056" s="45">
        <v>44805</v>
      </c>
      <c r="J1056" s="46">
        <f>EFEITO!$J$1056*EFEITO!$Y$1056</f>
        <v>0</v>
      </c>
      <c r="K1056" s="46">
        <f ca="1">EFEITO!$L$1056*EFEITO!$Z$1056</f>
        <v>20.281610956802044</v>
      </c>
      <c r="L1056" s="46">
        <f>EFEITO!$N$1056*EFEITO!$AA$1056</f>
        <v>5.4671356964874107</v>
      </c>
      <c r="M1056" s="46">
        <f>$J$1056-EFEITO!$K$1056*EFEITO!$Y$1056</f>
        <v>0</v>
      </c>
      <c r="N1056" s="46">
        <f ca="1">$K$1056-EFEITO!$M$1056*EFEITO!$Z$1056</f>
        <v>0</v>
      </c>
      <c r="O1056" s="46">
        <f>$L$1056-EFEITO!$O$1056*EFEITO!$AA$1056</f>
        <v>0</v>
      </c>
      <c r="P1056" s="38"/>
      <c r="Q1056" s="38"/>
      <c r="R1056" s="38"/>
      <c r="S1056" s="38"/>
      <c r="T1056" s="38"/>
      <c r="U1056" s="38"/>
      <c r="V1056" s="38"/>
      <c r="W1056" s="38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</row>
    <row r="1057" spans="1:36" ht="11.25" customHeight="1" x14ac:dyDescent="0.2">
      <c r="A1057" s="35" t="s">
        <v>30</v>
      </c>
      <c r="B1057" s="35" t="s">
        <v>22</v>
      </c>
      <c r="C1057" s="35" t="s">
        <v>35</v>
      </c>
      <c r="D1057" s="35" t="s">
        <v>24</v>
      </c>
      <c r="E1057" s="35" t="s">
        <v>24</v>
      </c>
      <c r="F1057" s="35" t="s">
        <v>25</v>
      </c>
      <c r="G1057" s="35" t="s">
        <v>25</v>
      </c>
      <c r="H1057" s="35" t="s">
        <v>38</v>
      </c>
      <c r="I1057" s="45">
        <v>44805</v>
      </c>
      <c r="J1057" s="46">
        <f>EFEITO!$J$1057*EFEITO!$Y$1057</f>
        <v>0</v>
      </c>
      <c r="K1057" s="46">
        <f ca="1">EFEITO!$L$1057*EFEITO!$Z$1057</f>
        <v>7.3013799444487351</v>
      </c>
      <c r="L1057" s="46">
        <f>EFEITO!$N$1057*EFEITO!$AA$1057</f>
        <v>1.9681688507354675</v>
      </c>
      <c r="M1057" s="46">
        <f>$J$1057-EFEITO!$K$1057*EFEITO!$Y$1057</f>
        <v>0</v>
      </c>
      <c r="N1057" s="46">
        <f ca="1">$K$1057-EFEITO!$M$1057*EFEITO!$Z$1057</f>
        <v>0</v>
      </c>
      <c r="O1057" s="46">
        <f>$L$1057-EFEITO!$O$1057*EFEITO!$AA$1057</f>
        <v>0</v>
      </c>
      <c r="P1057" s="38"/>
      <c r="Q1057" s="38"/>
      <c r="R1057" s="38"/>
      <c r="S1057" s="38"/>
      <c r="T1057" s="38"/>
      <c r="U1057" s="38"/>
      <c r="V1057" s="38"/>
      <c r="W1057" s="38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</row>
    <row r="1058" spans="1:36" ht="11.25" customHeight="1" x14ac:dyDescent="0.2">
      <c r="A1058" s="35" t="s">
        <v>21</v>
      </c>
      <c r="B1058" s="35" t="s">
        <v>22</v>
      </c>
      <c r="C1058" s="35" t="s">
        <v>35</v>
      </c>
      <c r="D1058" s="35" t="s">
        <v>24</v>
      </c>
      <c r="E1058" s="35" t="s">
        <v>24</v>
      </c>
      <c r="F1058" s="35" t="s">
        <v>25</v>
      </c>
      <c r="G1058" s="35" t="s">
        <v>25</v>
      </c>
      <c r="H1058" s="35" t="s">
        <v>38</v>
      </c>
      <c r="I1058" s="45">
        <v>44835</v>
      </c>
      <c r="J1058" s="46">
        <f>EFEITO!$J$1058*EFEITO!$Y$1058</f>
        <v>0</v>
      </c>
      <c r="K1058" s="46">
        <f ca="1">EFEITO!$L$1058*EFEITO!$Z$1058</f>
        <v>1543.8362260317715</v>
      </c>
      <c r="L1058" s="46">
        <f>EFEITO!$N$1058*EFEITO!$AA$1058</f>
        <v>416.15836921662168</v>
      </c>
      <c r="M1058" s="46">
        <f>$J$1058-EFEITO!$K$1058*EFEITO!$Y$1058</f>
        <v>0</v>
      </c>
      <c r="N1058" s="46">
        <f ca="1">$K$1058-EFEITO!$M$1058*EFEITO!$Z$1058</f>
        <v>0</v>
      </c>
      <c r="O1058" s="46">
        <f>$L$1058-EFEITO!$O$1058*EFEITO!$AA$1058</f>
        <v>0</v>
      </c>
      <c r="P1058" s="38"/>
      <c r="Q1058" s="38"/>
      <c r="R1058" s="38"/>
      <c r="S1058" s="38"/>
      <c r="T1058" s="38"/>
      <c r="U1058" s="38"/>
      <c r="V1058" s="38"/>
      <c r="W1058" s="38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</row>
    <row r="1059" spans="1:36" ht="11.25" customHeight="1" x14ac:dyDescent="0.2">
      <c r="A1059" s="35" t="s">
        <v>28</v>
      </c>
      <c r="B1059" s="35" t="s">
        <v>22</v>
      </c>
      <c r="C1059" s="35" t="s">
        <v>35</v>
      </c>
      <c r="D1059" s="35" t="s">
        <v>24</v>
      </c>
      <c r="E1059" s="35" t="s">
        <v>24</v>
      </c>
      <c r="F1059" s="35" t="s">
        <v>25</v>
      </c>
      <c r="G1059" s="35" t="s">
        <v>25</v>
      </c>
      <c r="H1059" s="35" t="s">
        <v>38</v>
      </c>
      <c r="I1059" s="45">
        <v>44835</v>
      </c>
      <c r="J1059" s="46">
        <f>EFEITO!$J$1059*EFEITO!$Y$1059</f>
        <v>0</v>
      </c>
      <c r="K1059" s="46">
        <f ca="1">EFEITO!$L$1059*EFEITO!$Z$1059</f>
        <v>21.904139833346207</v>
      </c>
      <c r="L1059" s="46">
        <f>EFEITO!$N$1059*EFEITO!$AA$1059</f>
        <v>5.9045065522064029</v>
      </c>
      <c r="M1059" s="46">
        <f>$J$1059-EFEITO!$K$1059*EFEITO!$Y$1059</f>
        <v>0</v>
      </c>
      <c r="N1059" s="46">
        <f ca="1">$K$1059-EFEITO!$M$1059*EFEITO!$Z$1059</f>
        <v>0</v>
      </c>
      <c r="O1059" s="46">
        <f>$L$1059-EFEITO!$O$1059*EFEITO!$AA$1059</f>
        <v>0</v>
      </c>
      <c r="P1059" s="38"/>
      <c r="Q1059" s="38"/>
      <c r="R1059" s="38"/>
      <c r="S1059" s="38"/>
      <c r="T1059" s="38"/>
      <c r="U1059" s="38"/>
      <c r="V1059" s="38"/>
      <c r="W1059" s="38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</row>
    <row r="1060" spans="1:36" ht="11.25" customHeight="1" x14ac:dyDescent="0.2">
      <c r="A1060" s="35" t="s">
        <v>30</v>
      </c>
      <c r="B1060" s="35" t="s">
        <v>22</v>
      </c>
      <c r="C1060" s="35" t="s">
        <v>35</v>
      </c>
      <c r="D1060" s="35" t="s">
        <v>24</v>
      </c>
      <c r="E1060" s="35" t="s">
        <v>24</v>
      </c>
      <c r="F1060" s="35" t="s">
        <v>25</v>
      </c>
      <c r="G1060" s="35" t="s">
        <v>25</v>
      </c>
      <c r="H1060" s="35" t="s">
        <v>38</v>
      </c>
      <c r="I1060" s="45">
        <v>44835</v>
      </c>
      <c r="J1060" s="46">
        <f>EFEITO!$J$1060*EFEITO!$Y$1060</f>
        <v>0</v>
      </c>
      <c r="K1060" s="46">
        <f ca="1">EFEITO!$L$1060*EFEITO!$Z$1060</f>
        <v>42.185750790148248</v>
      </c>
      <c r="L1060" s="46">
        <f>EFEITO!$N$1060*EFEITO!$AA$1060</f>
        <v>11.371642248693812</v>
      </c>
      <c r="M1060" s="46">
        <f>$J$1060-EFEITO!$K$1060*EFEITO!$Y$1060</f>
        <v>0</v>
      </c>
      <c r="N1060" s="46">
        <f ca="1">$K$1060-EFEITO!$M$1060*EFEITO!$Z$1060</f>
        <v>0</v>
      </c>
      <c r="O1060" s="46">
        <f>$L$1060-EFEITO!$O$1060*EFEITO!$AA$1060</f>
        <v>0</v>
      </c>
      <c r="P1060" s="38"/>
      <c r="Q1060" s="38"/>
      <c r="R1060" s="38"/>
      <c r="S1060" s="38"/>
      <c r="T1060" s="38"/>
      <c r="U1060" s="38"/>
      <c r="V1060" s="38"/>
      <c r="W1060" s="38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</row>
    <row r="1061" spans="1:36" ht="11.25" customHeight="1" x14ac:dyDescent="0.2">
      <c r="A1061" s="35" t="s">
        <v>30</v>
      </c>
      <c r="B1061" s="35" t="s">
        <v>22</v>
      </c>
      <c r="C1061" s="35" t="s">
        <v>35</v>
      </c>
      <c r="D1061" s="35" t="s">
        <v>24</v>
      </c>
      <c r="E1061" s="35" t="s">
        <v>24</v>
      </c>
      <c r="F1061" s="35" t="s">
        <v>25</v>
      </c>
      <c r="G1061" s="35" t="s">
        <v>25</v>
      </c>
      <c r="H1061" s="35" t="s">
        <v>38</v>
      </c>
      <c r="I1061" s="45">
        <v>44835</v>
      </c>
      <c r="J1061" s="46">
        <f>EFEITO!$J$1061*EFEITO!$Y$1061</f>
        <v>0</v>
      </c>
      <c r="K1061" s="46">
        <f ca="1">EFEITO!$L$1061*EFEITO!$Z$1061</f>
        <v>-7.3013799444487351</v>
      </c>
      <c r="L1061" s="46">
        <f>EFEITO!$N$1061*EFEITO!$AA$1061</f>
        <v>-1.9681688507354675</v>
      </c>
      <c r="M1061" s="46">
        <f>$J$1061-EFEITO!$K$1061*EFEITO!$Y$1061</f>
        <v>0</v>
      </c>
      <c r="N1061" s="46">
        <f ca="1">$K$1061-EFEITO!$M$1061*EFEITO!$Z$1061</f>
        <v>0</v>
      </c>
      <c r="O1061" s="46">
        <f>$L$1061-EFEITO!$O$1061*EFEITO!$AA$1061</f>
        <v>0</v>
      </c>
      <c r="P1061" s="38"/>
      <c r="Q1061" s="38"/>
      <c r="R1061" s="38"/>
      <c r="S1061" s="38"/>
      <c r="T1061" s="38"/>
      <c r="U1061" s="38"/>
      <c r="V1061" s="38"/>
      <c r="W1061" s="38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</row>
    <row r="1062" spans="1:36" ht="11.25" customHeight="1" x14ac:dyDescent="0.2">
      <c r="A1062" s="35" t="s">
        <v>59</v>
      </c>
      <c r="B1062" s="35" t="s">
        <v>22</v>
      </c>
      <c r="C1062" s="35" t="s">
        <v>35</v>
      </c>
      <c r="D1062" s="35" t="s">
        <v>24</v>
      </c>
      <c r="E1062" s="35" t="s">
        <v>24</v>
      </c>
      <c r="F1062" s="35" t="s">
        <v>25</v>
      </c>
      <c r="G1062" s="35" t="s">
        <v>25</v>
      </c>
      <c r="H1062" s="35" t="s">
        <v>38</v>
      </c>
      <c r="I1062" s="45">
        <v>44866</v>
      </c>
      <c r="J1062" s="46">
        <f>EFEITO!$J$1062*EFEITO!$Y$1062</f>
        <v>0</v>
      </c>
      <c r="K1062" s="46">
        <f ca="1">EFEITO!$L$1062*EFEITO!$Z$1062</f>
        <v>1543.8362260317715</v>
      </c>
      <c r="L1062" s="46">
        <f>EFEITO!$N$1062*EFEITO!$AA$1062</f>
        <v>416.15836921662168</v>
      </c>
      <c r="M1062" s="46">
        <f>$J$1062-EFEITO!$K$1062*EFEITO!$Y$1062</f>
        <v>0</v>
      </c>
      <c r="N1062" s="46">
        <f ca="1">$K$1062-EFEITO!$M$1062*EFEITO!$Z$1062</f>
        <v>0</v>
      </c>
      <c r="O1062" s="46">
        <f>$L$1062-EFEITO!$O$1062*EFEITO!$AA$1062</f>
        <v>0</v>
      </c>
      <c r="P1062" s="38"/>
      <c r="Q1062" s="38"/>
      <c r="R1062" s="38"/>
      <c r="S1062" s="38"/>
      <c r="T1062" s="38"/>
      <c r="U1062" s="38"/>
      <c r="V1062" s="38"/>
      <c r="W1062" s="38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</row>
    <row r="1063" spans="1:36" ht="11.25" customHeight="1" x14ac:dyDescent="0.2">
      <c r="A1063" s="35" t="s">
        <v>59</v>
      </c>
      <c r="B1063" s="35" t="s">
        <v>22</v>
      </c>
      <c r="C1063" s="35" t="s">
        <v>35</v>
      </c>
      <c r="D1063" s="35" t="s">
        <v>24</v>
      </c>
      <c r="E1063" s="35" t="s">
        <v>24</v>
      </c>
      <c r="F1063" s="35" t="s">
        <v>25</v>
      </c>
      <c r="G1063" s="35" t="s">
        <v>25</v>
      </c>
      <c r="H1063" s="35" t="s">
        <v>38</v>
      </c>
      <c r="I1063" s="45">
        <v>44866</v>
      </c>
      <c r="J1063" s="46">
        <f>EFEITO!$J$1063*EFEITO!$Y$1063</f>
        <v>0</v>
      </c>
      <c r="K1063" s="46">
        <f ca="1">EFEITO!$L$1063*EFEITO!$Z$1063</f>
        <v>21.904139833346207</v>
      </c>
      <c r="L1063" s="46">
        <f>EFEITO!$N$1063*EFEITO!$AA$1063</f>
        <v>5.9045065522064029</v>
      </c>
      <c r="M1063" s="46">
        <f>$J$1063-EFEITO!$K$1063*EFEITO!$Y$1063</f>
        <v>0</v>
      </c>
      <c r="N1063" s="46">
        <f ca="1">$K$1063-EFEITO!$M$1063*EFEITO!$Z$1063</f>
        <v>0</v>
      </c>
      <c r="O1063" s="46">
        <f>$L$1063-EFEITO!$O$1063*EFEITO!$AA$1063</f>
        <v>0</v>
      </c>
      <c r="P1063" s="38"/>
      <c r="Q1063" s="38"/>
      <c r="R1063" s="38"/>
      <c r="S1063" s="38"/>
      <c r="T1063" s="38"/>
      <c r="U1063" s="38"/>
      <c r="V1063" s="38"/>
      <c r="W1063" s="38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</row>
    <row r="1064" spans="1:36" ht="11.25" customHeight="1" x14ac:dyDescent="0.2">
      <c r="A1064" s="35" t="s">
        <v>59</v>
      </c>
      <c r="B1064" s="35" t="s">
        <v>22</v>
      </c>
      <c r="C1064" s="35" t="s">
        <v>35</v>
      </c>
      <c r="D1064" s="35" t="s">
        <v>24</v>
      </c>
      <c r="E1064" s="35" t="s">
        <v>24</v>
      </c>
      <c r="F1064" s="35" t="s">
        <v>25</v>
      </c>
      <c r="G1064" s="35" t="s">
        <v>25</v>
      </c>
      <c r="H1064" s="35" t="s">
        <v>38</v>
      </c>
      <c r="I1064" s="45">
        <v>44866</v>
      </c>
      <c r="J1064" s="46">
        <f>EFEITO!$J$1064*EFEITO!$Y$1064</f>
        <v>0</v>
      </c>
      <c r="K1064" s="46">
        <f ca="1">EFEITO!$L$1064*EFEITO!$Z$1064</f>
        <v>42.185750790148248</v>
      </c>
      <c r="L1064" s="46">
        <f>EFEITO!$N$1064*EFEITO!$AA$1064</f>
        <v>11.371642248693812</v>
      </c>
      <c r="M1064" s="46">
        <f>$J$1064-EFEITO!$K$1064*EFEITO!$Y$1064</f>
        <v>0</v>
      </c>
      <c r="N1064" s="46">
        <f ca="1">$K$1064-EFEITO!$M$1064*EFEITO!$Z$1064</f>
        <v>0</v>
      </c>
      <c r="O1064" s="46">
        <f>$L$1064-EFEITO!$O$1064*EFEITO!$AA$1064</f>
        <v>0</v>
      </c>
      <c r="P1064" s="38"/>
      <c r="Q1064" s="38"/>
      <c r="R1064" s="38"/>
      <c r="S1064" s="38"/>
      <c r="T1064" s="38"/>
      <c r="U1064" s="38"/>
      <c r="V1064" s="38"/>
      <c r="W1064" s="38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</row>
    <row r="1065" spans="1:36" ht="11.25" customHeight="1" x14ac:dyDescent="0.2">
      <c r="A1065" s="35" t="s">
        <v>59</v>
      </c>
      <c r="B1065" s="35" t="s">
        <v>22</v>
      </c>
      <c r="C1065" s="35" t="s">
        <v>35</v>
      </c>
      <c r="D1065" s="35" t="s">
        <v>24</v>
      </c>
      <c r="E1065" s="35" t="s">
        <v>24</v>
      </c>
      <c r="F1065" s="35" t="s">
        <v>25</v>
      </c>
      <c r="G1065" s="35" t="s">
        <v>25</v>
      </c>
      <c r="H1065" s="35" t="s">
        <v>38</v>
      </c>
      <c r="I1065" s="45">
        <v>44866</v>
      </c>
      <c r="J1065" s="46">
        <f>EFEITO!$J$1065*EFEITO!$Y$1065</f>
        <v>0</v>
      </c>
      <c r="K1065" s="46">
        <f ca="1">EFEITO!$L$1065*EFEITO!$Z$1065</f>
        <v>-7.3013799444487351</v>
      </c>
      <c r="L1065" s="46">
        <f>EFEITO!$N$1065*EFEITO!$AA$1065</f>
        <v>-1.9681688507354675</v>
      </c>
      <c r="M1065" s="46">
        <f>$J$1065-EFEITO!$K$1065*EFEITO!$Y$1065</f>
        <v>0</v>
      </c>
      <c r="N1065" s="46">
        <f ca="1">$K$1065-EFEITO!$M$1065*EFEITO!$Z$1065</f>
        <v>0</v>
      </c>
      <c r="O1065" s="46">
        <f>$L$1065-EFEITO!$O$1065*EFEITO!$AA$1065</f>
        <v>0</v>
      </c>
      <c r="P1065" s="38"/>
      <c r="Q1065" s="38"/>
      <c r="R1065" s="38"/>
      <c r="S1065" s="38"/>
      <c r="T1065" s="38"/>
      <c r="U1065" s="38"/>
      <c r="V1065" s="38"/>
      <c r="W1065" s="38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</row>
    <row r="1066" spans="1:36" ht="11.25" customHeight="1" x14ac:dyDescent="0.2">
      <c r="A1066" s="35" t="s">
        <v>21</v>
      </c>
      <c r="B1066" s="35" t="s">
        <v>22</v>
      </c>
      <c r="C1066" s="35" t="s">
        <v>35</v>
      </c>
      <c r="D1066" s="35" t="s">
        <v>24</v>
      </c>
      <c r="E1066" s="35" t="s">
        <v>24</v>
      </c>
      <c r="F1066" s="35" t="s">
        <v>25</v>
      </c>
      <c r="G1066" s="35" t="s">
        <v>25</v>
      </c>
      <c r="H1066" s="35" t="s">
        <v>36</v>
      </c>
      <c r="I1066" s="45">
        <v>44531</v>
      </c>
      <c r="J1066" s="46">
        <f>EFEITO!$J$1066*EFEITO!$Y$1066</f>
        <v>0</v>
      </c>
      <c r="K1066" s="46">
        <f ca="1">EFEITO!$L$1066*EFEITO!$Z$1066</f>
        <v>4419.4622053810099</v>
      </c>
      <c r="L1066" s="46">
        <f>EFEITO!$N$1066*EFEITO!$AA$1066</f>
        <v>1283.3970694003617</v>
      </c>
      <c r="M1066" s="46">
        <f>$J$1066-EFEITO!$K$1066*EFEITO!$Y$1066</f>
        <v>0</v>
      </c>
      <c r="N1066" s="46">
        <f ca="1">$K$1066-EFEITO!$M$1066*EFEITO!$Z$1066</f>
        <v>0</v>
      </c>
      <c r="O1066" s="46">
        <f>$L$1066-EFEITO!$O$1066*EFEITO!$AA$1066</f>
        <v>0</v>
      </c>
      <c r="P1066" s="38"/>
      <c r="Q1066" s="38"/>
      <c r="R1066" s="38"/>
      <c r="S1066" s="38"/>
      <c r="T1066" s="38"/>
      <c r="U1066" s="38"/>
      <c r="V1066" s="38"/>
      <c r="W1066" s="38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</row>
    <row r="1067" spans="1:36" ht="11.25" customHeight="1" x14ac:dyDescent="0.2">
      <c r="A1067" s="35" t="s">
        <v>28</v>
      </c>
      <c r="B1067" s="35" t="s">
        <v>22</v>
      </c>
      <c r="C1067" s="35" t="s">
        <v>35</v>
      </c>
      <c r="D1067" s="35" t="s">
        <v>24</v>
      </c>
      <c r="E1067" s="35" t="s">
        <v>24</v>
      </c>
      <c r="F1067" s="35" t="s">
        <v>25</v>
      </c>
      <c r="G1067" s="35" t="s">
        <v>25</v>
      </c>
      <c r="H1067" s="35" t="s">
        <v>36</v>
      </c>
      <c r="I1067" s="45">
        <v>44531</v>
      </c>
      <c r="J1067" s="46">
        <f>EFEITO!$J$1067*EFEITO!$Y$1067</f>
        <v>0</v>
      </c>
      <c r="K1067" s="46">
        <f ca="1">EFEITO!$L$1067*EFEITO!$Z$1067</f>
        <v>67.43457448165428</v>
      </c>
      <c r="L1067" s="46">
        <f>EFEITO!$N$1067*EFEITO!$AA$1067</f>
        <v>19.582775288957201</v>
      </c>
      <c r="M1067" s="46">
        <f>$J$1067-EFEITO!$K$1067*EFEITO!$Y$1067</f>
        <v>0</v>
      </c>
      <c r="N1067" s="46">
        <f ca="1">$K$1067-EFEITO!$M$1067*EFEITO!$Z$1067</f>
        <v>0</v>
      </c>
      <c r="O1067" s="46">
        <f>$L$1067-EFEITO!$O$1067*EFEITO!$AA$1067</f>
        <v>0</v>
      </c>
      <c r="P1067" s="38"/>
      <c r="Q1067" s="38"/>
      <c r="R1067" s="38"/>
      <c r="S1067" s="38"/>
      <c r="T1067" s="38"/>
      <c r="U1067" s="38"/>
      <c r="V1067" s="38"/>
      <c r="W1067" s="38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</row>
    <row r="1068" spans="1:36" ht="11.25" customHeight="1" x14ac:dyDescent="0.2">
      <c r="A1068" s="35" t="s">
        <v>30</v>
      </c>
      <c r="B1068" s="35" t="s">
        <v>22</v>
      </c>
      <c r="C1068" s="35" t="s">
        <v>35</v>
      </c>
      <c r="D1068" s="35" t="s">
        <v>24</v>
      </c>
      <c r="E1068" s="35" t="s">
        <v>24</v>
      </c>
      <c r="F1068" s="35" t="s">
        <v>25</v>
      </c>
      <c r="G1068" s="35" t="s">
        <v>25</v>
      </c>
      <c r="H1068" s="35" t="s">
        <v>36</v>
      </c>
      <c r="I1068" s="45">
        <v>44531</v>
      </c>
      <c r="J1068" s="46">
        <f>EFEITO!$J$1068*EFEITO!$Y$1068</f>
        <v>0</v>
      </c>
      <c r="K1068" s="46">
        <f ca="1">EFEITO!$L$1068*EFEITO!$Z$1068</f>
        <v>337.17287240827142</v>
      </c>
      <c r="L1068" s="46">
        <f>EFEITO!$N$1068*EFEITO!$AA$1068</f>
        <v>97.913876444786013</v>
      </c>
      <c r="M1068" s="46">
        <f>$J$1068-EFEITO!$K$1068*EFEITO!$Y$1068</f>
        <v>0</v>
      </c>
      <c r="N1068" s="46">
        <f ca="1">$K$1068-EFEITO!$M$1068*EFEITO!$Z$1068</f>
        <v>0</v>
      </c>
      <c r="O1068" s="46">
        <f>$L$1068-EFEITO!$O$1068*EFEITO!$AA$1068</f>
        <v>0</v>
      </c>
      <c r="P1068" s="38"/>
      <c r="Q1068" s="38"/>
      <c r="R1068" s="38"/>
      <c r="S1068" s="38"/>
      <c r="T1068" s="38"/>
      <c r="U1068" s="38"/>
      <c r="V1068" s="38"/>
      <c r="W1068" s="38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</row>
    <row r="1069" spans="1:36" ht="11.25" customHeight="1" x14ac:dyDescent="0.2">
      <c r="A1069" s="35" t="s">
        <v>30</v>
      </c>
      <c r="B1069" s="35" t="s">
        <v>22</v>
      </c>
      <c r="C1069" s="35" t="s">
        <v>35</v>
      </c>
      <c r="D1069" s="35" t="s">
        <v>24</v>
      </c>
      <c r="E1069" s="35" t="s">
        <v>24</v>
      </c>
      <c r="F1069" s="35" t="s">
        <v>25</v>
      </c>
      <c r="G1069" s="35" t="s">
        <v>25</v>
      </c>
      <c r="H1069" s="35" t="s">
        <v>36</v>
      </c>
      <c r="I1069" s="45">
        <v>44531</v>
      </c>
      <c r="J1069" s="46">
        <f>EFEITO!$J$1069*EFEITO!$Y$1069</f>
        <v>0</v>
      </c>
      <c r="K1069" s="46">
        <f ca="1">EFEITO!$L$1069*EFEITO!$Z$1069</f>
        <v>-36.214864073481003</v>
      </c>
      <c r="L1069" s="46">
        <f>EFEITO!$N$1069*EFEITO!$AA$1069</f>
        <v>-10.516675618143681</v>
      </c>
      <c r="M1069" s="46">
        <f>$J$1069-EFEITO!$K$1069*EFEITO!$Y$1069</f>
        <v>0</v>
      </c>
      <c r="N1069" s="46">
        <f ca="1">$K$1069-EFEITO!$M$1069*EFEITO!$Z$1069</f>
        <v>0</v>
      </c>
      <c r="O1069" s="46">
        <f>$L$1069-EFEITO!$O$1069*EFEITO!$AA$1069</f>
        <v>0</v>
      </c>
      <c r="P1069" s="38"/>
      <c r="Q1069" s="38"/>
      <c r="R1069" s="38"/>
      <c r="S1069" s="38"/>
      <c r="T1069" s="38"/>
      <c r="U1069" s="38"/>
      <c r="V1069" s="38"/>
      <c r="W1069" s="38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</row>
    <row r="1070" spans="1:36" ht="11.25" customHeight="1" x14ac:dyDescent="0.2">
      <c r="A1070" s="35" t="s">
        <v>21</v>
      </c>
      <c r="B1070" s="35" t="s">
        <v>22</v>
      </c>
      <c r="C1070" s="35" t="s">
        <v>35</v>
      </c>
      <c r="D1070" s="35" t="s">
        <v>24</v>
      </c>
      <c r="E1070" s="35" t="s">
        <v>24</v>
      </c>
      <c r="F1070" s="35" t="s">
        <v>25</v>
      </c>
      <c r="G1070" s="35" t="s">
        <v>25</v>
      </c>
      <c r="H1070" s="35" t="s">
        <v>36</v>
      </c>
      <c r="I1070" s="45">
        <v>44562</v>
      </c>
      <c r="J1070" s="46">
        <f>EFEITO!$J$1070*EFEITO!$Y$1070</f>
        <v>0</v>
      </c>
      <c r="K1070" s="46">
        <f ca="1">EFEITO!$L$1070*EFEITO!$Z$1070</f>
        <v>3967.4007986706602</v>
      </c>
      <c r="L1070" s="46">
        <f>EFEITO!$N$1070*EFEITO!$AA$1070</f>
        <v>1152.1199461669819</v>
      </c>
      <c r="M1070" s="46">
        <f>$J$1070-EFEITO!$K$1070*EFEITO!$Y$1070</f>
        <v>0</v>
      </c>
      <c r="N1070" s="46">
        <f ca="1">$K$1070-EFEITO!$M$1070*EFEITO!$Z$1070</f>
        <v>0</v>
      </c>
      <c r="O1070" s="46">
        <f>$L$1070-EFEITO!$O$1070*EFEITO!$AA$1070</f>
        <v>0</v>
      </c>
      <c r="P1070" s="38"/>
      <c r="Q1070" s="38"/>
      <c r="R1070" s="38"/>
      <c r="S1070" s="38"/>
      <c r="T1070" s="38"/>
      <c r="U1070" s="38"/>
      <c r="V1070" s="38"/>
      <c r="W1070" s="38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</row>
    <row r="1071" spans="1:36" ht="11.25" customHeight="1" x14ac:dyDescent="0.2">
      <c r="A1071" s="35" t="s">
        <v>28</v>
      </c>
      <c r="B1071" s="35" t="s">
        <v>22</v>
      </c>
      <c r="C1071" s="35" t="s">
        <v>35</v>
      </c>
      <c r="D1071" s="35" t="s">
        <v>24</v>
      </c>
      <c r="E1071" s="35" t="s">
        <v>24</v>
      </c>
      <c r="F1071" s="35" t="s">
        <v>25</v>
      </c>
      <c r="G1071" s="35" t="s">
        <v>25</v>
      </c>
      <c r="H1071" s="35" t="s">
        <v>36</v>
      </c>
      <c r="I1071" s="45">
        <v>44562</v>
      </c>
      <c r="J1071" s="46">
        <f>EFEITO!$J$1071*EFEITO!$Y$1071</f>
        <v>0</v>
      </c>
      <c r="K1071" s="46">
        <f ca="1">EFEITO!$L$1071*EFEITO!$Z$1071</f>
        <v>82.420035477577457</v>
      </c>
      <c r="L1071" s="46">
        <f>EFEITO!$N$1071*EFEITO!$AA$1071</f>
        <v>23.934503130947689</v>
      </c>
      <c r="M1071" s="46">
        <f>$J$1071-EFEITO!$K$1071*EFEITO!$Y$1071</f>
        <v>0</v>
      </c>
      <c r="N1071" s="46">
        <f ca="1">$K$1071-EFEITO!$M$1071*EFEITO!$Z$1071</f>
        <v>0</v>
      </c>
      <c r="O1071" s="46">
        <f>$L$1071-EFEITO!$O$1071*EFEITO!$AA$1071</f>
        <v>0</v>
      </c>
      <c r="P1071" s="38"/>
      <c r="Q1071" s="38"/>
      <c r="R1071" s="38"/>
      <c r="S1071" s="38"/>
      <c r="T1071" s="38"/>
      <c r="U1071" s="38"/>
      <c r="V1071" s="38"/>
      <c r="W1071" s="38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</row>
    <row r="1072" spans="1:36" ht="11.25" customHeight="1" x14ac:dyDescent="0.2">
      <c r="A1072" s="35" t="s">
        <v>30</v>
      </c>
      <c r="B1072" s="35" t="s">
        <v>22</v>
      </c>
      <c r="C1072" s="35" t="s">
        <v>35</v>
      </c>
      <c r="D1072" s="35" t="s">
        <v>24</v>
      </c>
      <c r="E1072" s="35" t="s">
        <v>24</v>
      </c>
      <c r="F1072" s="35" t="s">
        <v>25</v>
      </c>
      <c r="G1072" s="35" t="s">
        <v>25</v>
      </c>
      <c r="H1072" s="35" t="s">
        <v>36</v>
      </c>
      <c r="I1072" s="45">
        <v>44562</v>
      </c>
      <c r="J1072" s="46">
        <f>EFEITO!$J$1072*EFEITO!$Y$1072</f>
        <v>0</v>
      </c>
      <c r="K1072" s="46">
        <f ca="1">EFEITO!$L$1072*EFEITO!$Z$1072</f>
        <v>208.54766552659751</v>
      </c>
      <c r="L1072" s="46">
        <f>EFEITO!$N$1072*EFEITO!$AA$1072</f>
        <v>60.561545801034306</v>
      </c>
      <c r="M1072" s="46">
        <f>$J$1072-EFEITO!$K$1072*EFEITO!$Y$1072</f>
        <v>0</v>
      </c>
      <c r="N1072" s="46">
        <f ca="1">$K$1072-EFEITO!$M$1072*EFEITO!$Z$1072</f>
        <v>0</v>
      </c>
      <c r="O1072" s="46">
        <f>$L$1072-EFEITO!$O$1072*EFEITO!$AA$1072</f>
        <v>0</v>
      </c>
      <c r="P1072" s="38"/>
      <c r="Q1072" s="38"/>
      <c r="R1072" s="38"/>
      <c r="S1072" s="38"/>
      <c r="T1072" s="38"/>
      <c r="U1072" s="38"/>
      <c r="V1072" s="38"/>
      <c r="W1072" s="38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</row>
    <row r="1073" spans="1:36" ht="11.25" customHeight="1" x14ac:dyDescent="0.2">
      <c r="A1073" s="35" t="s">
        <v>21</v>
      </c>
      <c r="B1073" s="35" t="s">
        <v>22</v>
      </c>
      <c r="C1073" s="35" t="s">
        <v>35</v>
      </c>
      <c r="D1073" s="35" t="s">
        <v>24</v>
      </c>
      <c r="E1073" s="35" t="s">
        <v>24</v>
      </c>
      <c r="F1073" s="35" t="s">
        <v>25</v>
      </c>
      <c r="G1073" s="35" t="s">
        <v>25</v>
      </c>
      <c r="H1073" s="35" t="s">
        <v>36</v>
      </c>
      <c r="I1073" s="45">
        <v>44593</v>
      </c>
      <c r="J1073" s="46">
        <f>EFEITO!$J$1073*EFEITO!$Y$1073</f>
        <v>0</v>
      </c>
      <c r="K1073" s="46">
        <f ca="1">EFEITO!$L$1073*EFEITO!$Z$1073</f>
        <v>4220.9048471850274</v>
      </c>
      <c r="L1073" s="46">
        <f>EFEITO!$N$1073*EFEITO!$AA$1073</f>
        <v>1225.7366754939876</v>
      </c>
      <c r="M1073" s="46">
        <f>$J$1073-EFEITO!$K$1073*EFEITO!$Y$1073</f>
        <v>0</v>
      </c>
      <c r="N1073" s="46">
        <f ca="1">$K$1073-EFEITO!$M$1073*EFEITO!$Z$1073</f>
        <v>0</v>
      </c>
      <c r="O1073" s="46">
        <f>$L$1073-EFEITO!$O$1073*EFEITO!$AA$1073</f>
        <v>0</v>
      </c>
      <c r="P1073" s="38"/>
      <c r="Q1073" s="38"/>
      <c r="R1073" s="38"/>
      <c r="S1073" s="38"/>
      <c r="T1073" s="38"/>
      <c r="U1073" s="38"/>
      <c r="V1073" s="38"/>
      <c r="W1073" s="38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</row>
    <row r="1074" spans="1:36" ht="11.25" customHeight="1" x14ac:dyDescent="0.2">
      <c r="A1074" s="35" t="s">
        <v>27</v>
      </c>
      <c r="B1074" s="35" t="s">
        <v>22</v>
      </c>
      <c r="C1074" s="35" t="s">
        <v>35</v>
      </c>
      <c r="D1074" s="35" t="s">
        <v>24</v>
      </c>
      <c r="E1074" s="35" t="s">
        <v>24</v>
      </c>
      <c r="F1074" s="35" t="s">
        <v>25</v>
      </c>
      <c r="G1074" s="35" t="s">
        <v>25</v>
      </c>
      <c r="H1074" s="35" t="s">
        <v>36</v>
      </c>
      <c r="I1074" s="45">
        <v>44593</v>
      </c>
      <c r="J1074" s="46">
        <f>EFEITO!$J$1074*EFEITO!$Y$1074</f>
        <v>0</v>
      </c>
      <c r="K1074" s="46">
        <f ca="1">EFEITO!$L$1074*EFEITO!$Z$1074</f>
        <v>29.97092199184635</v>
      </c>
      <c r="L1074" s="46">
        <f>EFEITO!$N$1074*EFEITO!$AA$1074</f>
        <v>8.7034556839809785</v>
      </c>
      <c r="M1074" s="46">
        <f>$J$1074-EFEITO!$K$1074*EFEITO!$Y$1074</f>
        <v>0</v>
      </c>
      <c r="N1074" s="46">
        <f ca="1">$K$1074-EFEITO!$M$1074*EFEITO!$Z$1074</f>
        <v>0</v>
      </c>
      <c r="O1074" s="46">
        <f>$L$1074-EFEITO!$O$1074*EFEITO!$AA$1074</f>
        <v>0</v>
      </c>
      <c r="P1074" s="38"/>
      <c r="Q1074" s="38"/>
      <c r="R1074" s="38"/>
      <c r="S1074" s="38"/>
      <c r="T1074" s="38"/>
      <c r="U1074" s="38"/>
      <c r="V1074" s="38"/>
      <c r="W1074" s="38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</row>
    <row r="1075" spans="1:36" ht="11.25" customHeight="1" x14ac:dyDescent="0.2">
      <c r="A1075" s="35" t="s">
        <v>28</v>
      </c>
      <c r="B1075" s="35" t="s">
        <v>22</v>
      </c>
      <c r="C1075" s="35" t="s">
        <v>35</v>
      </c>
      <c r="D1075" s="35" t="s">
        <v>24</v>
      </c>
      <c r="E1075" s="35" t="s">
        <v>24</v>
      </c>
      <c r="F1075" s="35" t="s">
        <v>25</v>
      </c>
      <c r="G1075" s="35" t="s">
        <v>25</v>
      </c>
      <c r="H1075" s="35" t="s">
        <v>36</v>
      </c>
      <c r="I1075" s="45">
        <v>44593</v>
      </c>
      <c r="J1075" s="46">
        <f>EFEITO!$J$1075*EFEITO!$Y$1075</f>
        <v>0</v>
      </c>
      <c r="K1075" s="46">
        <f ca="1">EFEITO!$L$1075*EFEITO!$Z$1075</f>
        <v>82.420035477577457</v>
      </c>
      <c r="L1075" s="46">
        <f>EFEITO!$N$1075*EFEITO!$AA$1075</f>
        <v>23.934503130947689</v>
      </c>
      <c r="M1075" s="46">
        <f>$J$1075-EFEITO!$K$1075*EFEITO!$Y$1075</f>
        <v>0</v>
      </c>
      <c r="N1075" s="46">
        <f ca="1">$K$1075-EFEITO!$M$1075*EFEITO!$Z$1075</f>
        <v>0</v>
      </c>
      <c r="O1075" s="46">
        <f>$L$1075-EFEITO!$O$1075*EFEITO!$AA$1075</f>
        <v>0</v>
      </c>
      <c r="P1075" s="38"/>
      <c r="Q1075" s="38"/>
      <c r="R1075" s="38"/>
      <c r="S1075" s="38"/>
      <c r="T1075" s="38"/>
      <c r="U1075" s="38"/>
      <c r="V1075" s="38"/>
      <c r="W1075" s="38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</row>
    <row r="1076" spans="1:36" ht="11.25" customHeight="1" x14ac:dyDescent="0.2">
      <c r="A1076" s="35" t="s">
        <v>30</v>
      </c>
      <c r="B1076" s="35" t="s">
        <v>22</v>
      </c>
      <c r="C1076" s="35" t="s">
        <v>35</v>
      </c>
      <c r="D1076" s="35" t="s">
        <v>24</v>
      </c>
      <c r="E1076" s="35" t="s">
        <v>24</v>
      </c>
      <c r="F1076" s="35" t="s">
        <v>25</v>
      </c>
      <c r="G1076" s="35" t="s">
        <v>25</v>
      </c>
      <c r="H1076" s="35" t="s">
        <v>36</v>
      </c>
      <c r="I1076" s="45">
        <v>44593</v>
      </c>
      <c r="J1076" s="46">
        <f>EFEITO!$J$1076*EFEITO!$Y$1076</f>
        <v>0</v>
      </c>
      <c r="K1076" s="46">
        <f ca="1">EFEITO!$L$1076*EFEITO!$Z$1076</f>
        <v>33.71728724082714</v>
      </c>
      <c r="L1076" s="46">
        <f>EFEITO!$N$1076*EFEITO!$AA$1076</f>
        <v>9.7913876444786005</v>
      </c>
      <c r="M1076" s="46">
        <f>$J$1076-EFEITO!$K$1076*EFEITO!$Y$1076</f>
        <v>0</v>
      </c>
      <c r="N1076" s="46">
        <f ca="1">$K$1076-EFEITO!$M$1076*EFEITO!$Z$1076</f>
        <v>0</v>
      </c>
      <c r="O1076" s="46">
        <f>$L$1076-EFEITO!$O$1076*EFEITO!$AA$1076</f>
        <v>0</v>
      </c>
      <c r="P1076" s="38"/>
      <c r="Q1076" s="38"/>
      <c r="R1076" s="38"/>
      <c r="S1076" s="38"/>
      <c r="T1076" s="38"/>
      <c r="U1076" s="38"/>
      <c r="V1076" s="38"/>
      <c r="W1076" s="38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</row>
    <row r="1077" spans="1:36" ht="11.25" customHeight="1" x14ac:dyDescent="0.2">
      <c r="A1077" s="35" t="s">
        <v>30</v>
      </c>
      <c r="B1077" s="35" t="s">
        <v>22</v>
      </c>
      <c r="C1077" s="35" t="s">
        <v>35</v>
      </c>
      <c r="D1077" s="35" t="s">
        <v>24</v>
      </c>
      <c r="E1077" s="35" t="s">
        <v>24</v>
      </c>
      <c r="F1077" s="35" t="s">
        <v>25</v>
      </c>
      <c r="G1077" s="35" t="s">
        <v>25</v>
      </c>
      <c r="H1077" s="35" t="s">
        <v>36</v>
      </c>
      <c r="I1077" s="45">
        <v>44593</v>
      </c>
      <c r="J1077" s="46">
        <f>EFEITO!$J$1077*EFEITO!$Y$1077</f>
        <v>0</v>
      </c>
      <c r="K1077" s="46">
        <f ca="1">EFEITO!$L$1077*EFEITO!$Z$1077</f>
        <v>-36.214864073481003</v>
      </c>
      <c r="L1077" s="46">
        <f>EFEITO!$N$1077*EFEITO!$AA$1077</f>
        <v>-10.516675618143681</v>
      </c>
      <c r="M1077" s="46">
        <f>$J$1077-EFEITO!$K$1077*EFEITO!$Y$1077</f>
        <v>0</v>
      </c>
      <c r="N1077" s="46">
        <f ca="1">$K$1077-EFEITO!$M$1077*EFEITO!$Z$1077</f>
        <v>0</v>
      </c>
      <c r="O1077" s="46">
        <f>$L$1077-EFEITO!$O$1077*EFEITO!$AA$1077</f>
        <v>0</v>
      </c>
      <c r="P1077" s="38"/>
      <c r="Q1077" s="38"/>
      <c r="R1077" s="38"/>
      <c r="S1077" s="38"/>
      <c r="T1077" s="38"/>
      <c r="U1077" s="38"/>
      <c r="V1077" s="38"/>
      <c r="W1077" s="38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</row>
    <row r="1078" spans="1:36" ht="11.25" customHeight="1" x14ac:dyDescent="0.2">
      <c r="A1078" s="35" t="s">
        <v>21</v>
      </c>
      <c r="B1078" s="35" t="s">
        <v>22</v>
      </c>
      <c r="C1078" s="35" t="s">
        <v>35</v>
      </c>
      <c r="D1078" s="35" t="s">
        <v>24</v>
      </c>
      <c r="E1078" s="35" t="s">
        <v>24</v>
      </c>
      <c r="F1078" s="35" t="s">
        <v>25</v>
      </c>
      <c r="G1078" s="35" t="s">
        <v>25</v>
      </c>
      <c r="H1078" s="35" t="s">
        <v>36</v>
      </c>
      <c r="I1078" s="45">
        <v>44621</v>
      </c>
      <c r="J1078" s="46">
        <f>EFEITO!$J$1078*EFEITO!$Y$1078</f>
        <v>0</v>
      </c>
      <c r="K1078" s="46">
        <f ca="1">EFEITO!$L$1078*EFEITO!$Z$1078</f>
        <v>9845.4478743215259</v>
      </c>
      <c r="L1078" s="46">
        <f>EFEITO!$N$1078*EFEITO!$AA$1078</f>
        <v>2859.0851921877515</v>
      </c>
      <c r="M1078" s="46">
        <f>$J$1078-EFEITO!$K$1078*EFEITO!$Y$1078</f>
        <v>0</v>
      </c>
      <c r="N1078" s="46">
        <f ca="1">$K$1078-EFEITO!$M$1078*EFEITO!$Z$1078</f>
        <v>0</v>
      </c>
      <c r="O1078" s="46">
        <f>$L$1078-EFEITO!$O$1078*EFEITO!$AA$1078</f>
        <v>0</v>
      </c>
      <c r="P1078" s="38"/>
      <c r="Q1078" s="38"/>
      <c r="R1078" s="38"/>
      <c r="S1078" s="38"/>
      <c r="T1078" s="38"/>
      <c r="U1078" s="38"/>
      <c r="V1078" s="38"/>
      <c r="W1078" s="38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</row>
    <row r="1079" spans="1:36" ht="11.25" customHeight="1" x14ac:dyDescent="0.2">
      <c r="A1079" s="35" t="s">
        <v>28</v>
      </c>
      <c r="B1079" s="35" t="s">
        <v>22</v>
      </c>
      <c r="C1079" s="35" t="s">
        <v>35</v>
      </c>
      <c r="D1079" s="35" t="s">
        <v>24</v>
      </c>
      <c r="E1079" s="35" t="s">
        <v>24</v>
      </c>
      <c r="F1079" s="35" t="s">
        <v>25</v>
      </c>
      <c r="G1079" s="35" t="s">
        <v>25</v>
      </c>
      <c r="H1079" s="35" t="s">
        <v>36</v>
      </c>
      <c r="I1079" s="45">
        <v>44621</v>
      </c>
      <c r="J1079" s="46">
        <f>EFEITO!$J$1079*EFEITO!$Y$1079</f>
        <v>0</v>
      </c>
      <c r="K1079" s="46">
        <f ca="1">EFEITO!$L$1079*EFEITO!$Z$1079</f>
        <v>108.644592220443</v>
      </c>
      <c r="L1079" s="46">
        <f>EFEITO!$N$1079*EFEITO!$AA$1079</f>
        <v>31.550026854431042</v>
      </c>
      <c r="M1079" s="46">
        <f>$J$1079-EFEITO!$K$1079*EFEITO!$Y$1079</f>
        <v>0</v>
      </c>
      <c r="N1079" s="46">
        <f ca="1">$K$1079-EFEITO!$M$1079*EFEITO!$Z$1079</f>
        <v>0</v>
      </c>
      <c r="O1079" s="46">
        <f>$L$1079-EFEITO!$O$1079*EFEITO!$AA$1079</f>
        <v>0</v>
      </c>
      <c r="P1079" s="38"/>
      <c r="Q1079" s="38"/>
      <c r="R1079" s="38"/>
      <c r="S1079" s="38"/>
      <c r="T1079" s="38"/>
      <c r="U1079" s="38"/>
      <c r="V1079" s="38"/>
      <c r="W1079" s="38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</row>
    <row r="1080" spans="1:36" ht="11.25" customHeight="1" x14ac:dyDescent="0.2">
      <c r="A1080" s="35" t="s">
        <v>30</v>
      </c>
      <c r="B1080" s="35" t="s">
        <v>22</v>
      </c>
      <c r="C1080" s="35" t="s">
        <v>35</v>
      </c>
      <c r="D1080" s="35" t="s">
        <v>24</v>
      </c>
      <c r="E1080" s="35" t="s">
        <v>24</v>
      </c>
      <c r="F1080" s="35" t="s">
        <v>25</v>
      </c>
      <c r="G1080" s="35" t="s">
        <v>25</v>
      </c>
      <c r="H1080" s="35" t="s">
        <v>36</v>
      </c>
      <c r="I1080" s="45">
        <v>44621</v>
      </c>
      <c r="J1080" s="46">
        <f>EFEITO!$J$1080*EFEITO!$Y$1080</f>
        <v>0</v>
      </c>
      <c r="K1080" s="46">
        <f ca="1">EFEITO!$L$1080*EFEITO!$Z$1080</f>
        <v>43.707594571442591</v>
      </c>
      <c r="L1080" s="46">
        <f>EFEITO!$N$1080*EFEITO!$AA$1080</f>
        <v>12.692539539138927</v>
      </c>
      <c r="M1080" s="46">
        <f>$J$1080-EFEITO!$K$1080*EFEITO!$Y$1080</f>
        <v>0</v>
      </c>
      <c r="N1080" s="46">
        <f ca="1">$K$1080-EFEITO!$M$1080*EFEITO!$Z$1080</f>
        <v>0</v>
      </c>
      <c r="O1080" s="46">
        <f>$L$1080-EFEITO!$O$1080*EFEITO!$AA$1080</f>
        <v>0</v>
      </c>
      <c r="P1080" s="38"/>
      <c r="Q1080" s="38"/>
      <c r="R1080" s="38"/>
      <c r="S1080" s="38"/>
      <c r="T1080" s="38"/>
      <c r="U1080" s="38"/>
      <c r="V1080" s="38"/>
      <c r="W1080" s="38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</row>
    <row r="1081" spans="1:36" ht="11.25" customHeight="1" x14ac:dyDescent="0.2">
      <c r="A1081" s="35" t="s">
        <v>21</v>
      </c>
      <c r="B1081" s="35" t="s">
        <v>22</v>
      </c>
      <c r="C1081" s="35" t="s">
        <v>35</v>
      </c>
      <c r="D1081" s="35" t="s">
        <v>24</v>
      </c>
      <c r="E1081" s="35" t="s">
        <v>24</v>
      </c>
      <c r="F1081" s="35" t="s">
        <v>25</v>
      </c>
      <c r="G1081" s="35" t="s">
        <v>25</v>
      </c>
      <c r="H1081" s="35" t="s">
        <v>36</v>
      </c>
      <c r="I1081" s="45">
        <v>44652</v>
      </c>
      <c r="J1081" s="46">
        <f>EFEITO!$J$1081*EFEITO!$Y$1081</f>
        <v>0</v>
      </c>
      <c r="K1081" s="46">
        <f ca="1">EFEITO!$L$1081*EFEITO!$Z$1081</f>
        <v>4485.6479914463371</v>
      </c>
      <c r="L1081" s="46">
        <f>EFEITO!$N$1081*EFEITO!$AA$1081</f>
        <v>1302.6172007024863</v>
      </c>
      <c r="M1081" s="46">
        <f>$J$1081-EFEITO!$K$1081*EFEITO!$Y$1081</f>
        <v>0</v>
      </c>
      <c r="N1081" s="46">
        <f ca="1">$K$1081-EFEITO!$M$1081*EFEITO!$Z$1081</f>
        <v>0</v>
      </c>
      <c r="O1081" s="46">
        <f>$L$1081-EFEITO!$O$1081*EFEITO!$AA$1081</f>
        <v>0</v>
      </c>
      <c r="P1081" s="38"/>
      <c r="Q1081" s="38"/>
      <c r="R1081" s="38"/>
      <c r="S1081" s="38"/>
      <c r="T1081" s="38"/>
      <c r="U1081" s="38"/>
      <c r="V1081" s="38"/>
      <c r="W1081" s="38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</row>
    <row r="1082" spans="1:36" ht="11.25" customHeight="1" x14ac:dyDescent="0.2">
      <c r="A1082" s="35" t="s">
        <v>27</v>
      </c>
      <c r="B1082" s="35" t="s">
        <v>22</v>
      </c>
      <c r="C1082" s="35" t="s">
        <v>35</v>
      </c>
      <c r="D1082" s="35" t="s">
        <v>24</v>
      </c>
      <c r="E1082" s="35" t="s">
        <v>24</v>
      </c>
      <c r="F1082" s="35" t="s">
        <v>25</v>
      </c>
      <c r="G1082" s="35" t="s">
        <v>25</v>
      </c>
      <c r="H1082" s="35" t="s">
        <v>36</v>
      </c>
      <c r="I1082" s="45">
        <v>44652</v>
      </c>
      <c r="J1082" s="46">
        <f>EFEITO!$J$1082*EFEITO!$Y$1082</f>
        <v>0</v>
      </c>
      <c r="K1082" s="46">
        <f ca="1">EFEITO!$L$1082*EFEITO!$Z$1082</f>
        <v>-3234.3619982867517</v>
      </c>
      <c r="L1082" s="46">
        <f>EFEITO!$N$1082*EFEITO!$AA$1082</f>
        <v>-939.24792589628044</v>
      </c>
      <c r="M1082" s="46">
        <f>$J$1082-EFEITO!$K$1082*EFEITO!$Y$1082</f>
        <v>0</v>
      </c>
      <c r="N1082" s="46">
        <f ca="1">$K$1082-EFEITO!$M$1082*EFEITO!$Z$1082</f>
        <v>0</v>
      </c>
      <c r="O1082" s="46">
        <f>$L$1082-EFEITO!$O$1082*EFEITO!$AA$1082</f>
        <v>0</v>
      </c>
      <c r="P1082" s="38"/>
      <c r="Q1082" s="38"/>
      <c r="R1082" s="38"/>
      <c r="S1082" s="38"/>
      <c r="T1082" s="38"/>
      <c r="U1082" s="38"/>
      <c r="V1082" s="38"/>
      <c r="W1082" s="38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</row>
    <row r="1083" spans="1:36" ht="11.25" customHeight="1" x14ac:dyDescent="0.2">
      <c r="A1083" s="35" t="s">
        <v>28</v>
      </c>
      <c r="B1083" s="35" t="s">
        <v>22</v>
      </c>
      <c r="C1083" s="35" t="s">
        <v>35</v>
      </c>
      <c r="D1083" s="35" t="s">
        <v>24</v>
      </c>
      <c r="E1083" s="35" t="s">
        <v>24</v>
      </c>
      <c r="F1083" s="35" t="s">
        <v>25</v>
      </c>
      <c r="G1083" s="35" t="s">
        <v>25</v>
      </c>
      <c r="H1083" s="35" t="s">
        <v>36</v>
      </c>
      <c r="I1083" s="45">
        <v>44652</v>
      </c>
      <c r="J1083" s="46">
        <f>EFEITO!$J$1083*EFEITO!$Y$1083</f>
        <v>0</v>
      </c>
      <c r="K1083" s="46">
        <f ca="1">EFEITO!$L$1083*EFEITO!$Z$1083</f>
        <v>106.14701538778915</v>
      </c>
      <c r="L1083" s="46">
        <f>EFEITO!$N$1083*EFEITO!$AA$1083</f>
        <v>30.824738880765967</v>
      </c>
      <c r="M1083" s="46">
        <f>$J$1083-EFEITO!$K$1083*EFEITO!$Y$1083</f>
        <v>0</v>
      </c>
      <c r="N1083" s="46">
        <f ca="1">$K$1083-EFEITO!$M$1083*EFEITO!$Z$1083</f>
        <v>0</v>
      </c>
      <c r="O1083" s="46">
        <f>$L$1083-EFEITO!$O$1083*EFEITO!$AA$1083</f>
        <v>0</v>
      </c>
      <c r="P1083" s="38"/>
      <c r="Q1083" s="38"/>
      <c r="R1083" s="38"/>
      <c r="S1083" s="38"/>
      <c r="T1083" s="38"/>
      <c r="U1083" s="38"/>
      <c r="V1083" s="38"/>
      <c r="W1083" s="38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</row>
    <row r="1084" spans="1:36" ht="11.25" customHeight="1" x14ac:dyDescent="0.2">
      <c r="A1084" s="35" t="s">
        <v>30</v>
      </c>
      <c r="B1084" s="35" t="s">
        <v>22</v>
      </c>
      <c r="C1084" s="35" t="s">
        <v>35</v>
      </c>
      <c r="D1084" s="35" t="s">
        <v>24</v>
      </c>
      <c r="E1084" s="35" t="s">
        <v>24</v>
      </c>
      <c r="F1084" s="35" t="s">
        <v>25</v>
      </c>
      <c r="G1084" s="35" t="s">
        <v>25</v>
      </c>
      <c r="H1084" s="35" t="s">
        <v>36</v>
      </c>
      <c r="I1084" s="45">
        <v>44652</v>
      </c>
      <c r="J1084" s="46">
        <f>EFEITO!$J$1084*EFEITO!$Y$1084</f>
        <v>0</v>
      </c>
      <c r="K1084" s="46">
        <f ca="1">EFEITO!$L$1084*EFEITO!$Z$1084</f>
        <v>43.707594571442591</v>
      </c>
      <c r="L1084" s="46">
        <f>EFEITO!$N$1084*EFEITO!$AA$1084</f>
        <v>12.692539539138927</v>
      </c>
      <c r="M1084" s="46">
        <f>$J$1084-EFEITO!$K$1084*EFEITO!$Y$1084</f>
        <v>0</v>
      </c>
      <c r="N1084" s="46">
        <f ca="1">$K$1084-EFEITO!$M$1084*EFEITO!$Z$1084</f>
        <v>0</v>
      </c>
      <c r="O1084" s="46">
        <f>$L$1084-EFEITO!$O$1084*EFEITO!$AA$1084</f>
        <v>0</v>
      </c>
      <c r="P1084" s="38"/>
      <c r="Q1084" s="38"/>
      <c r="R1084" s="38"/>
      <c r="S1084" s="38"/>
      <c r="T1084" s="38"/>
      <c r="U1084" s="38"/>
      <c r="V1084" s="38"/>
      <c r="W1084" s="38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</row>
    <row r="1085" spans="1:36" ht="11.25" customHeight="1" x14ac:dyDescent="0.2">
      <c r="A1085" s="35" t="s">
        <v>21</v>
      </c>
      <c r="B1085" s="35" t="s">
        <v>22</v>
      </c>
      <c r="C1085" s="35" t="s">
        <v>35</v>
      </c>
      <c r="D1085" s="35" t="s">
        <v>24</v>
      </c>
      <c r="E1085" s="35" t="s">
        <v>24</v>
      </c>
      <c r="F1085" s="35" t="s">
        <v>25</v>
      </c>
      <c r="G1085" s="35" t="s">
        <v>25</v>
      </c>
      <c r="H1085" s="35" t="s">
        <v>36</v>
      </c>
      <c r="I1085" s="45">
        <v>44682</v>
      </c>
      <c r="J1085" s="46">
        <f>EFEITO!$J$1085*EFEITO!$Y$1085</f>
        <v>0</v>
      </c>
      <c r="K1085" s="46">
        <f ca="1">EFEITO!$L$1085*EFEITO!$Z$1085</f>
        <v>5025.1245872995714</v>
      </c>
      <c r="L1085" s="46">
        <f>EFEITO!$N$1085*EFEITO!$AA$1085</f>
        <v>1459.279403014144</v>
      </c>
      <c r="M1085" s="46">
        <f>$J$1085-EFEITO!$K$1085*EFEITO!$Y$1085</f>
        <v>0</v>
      </c>
      <c r="N1085" s="46">
        <f ca="1">$K$1085-EFEITO!$M$1085*EFEITO!$Z$1085</f>
        <v>0</v>
      </c>
      <c r="O1085" s="46">
        <f>$L$1085-EFEITO!$O$1085*EFEITO!$AA$1085</f>
        <v>0</v>
      </c>
      <c r="P1085" s="38"/>
      <c r="Q1085" s="38"/>
      <c r="R1085" s="38"/>
      <c r="S1085" s="38"/>
      <c r="T1085" s="38"/>
      <c r="U1085" s="38"/>
      <c r="V1085" s="38"/>
      <c r="W1085" s="38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</row>
    <row r="1086" spans="1:36" ht="11.25" customHeight="1" x14ac:dyDescent="0.2">
      <c r="A1086" s="35" t="s">
        <v>28</v>
      </c>
      <c r="B1086" s="35" t="s">
        <v>22</v>
      </c>
      <c r="C1086" s="35" t="s">
        <v>35</v>
      </c>
      <c r="D1086" s="35" t="s">
        <v>24</v>
      </c>
      <c r="E1086" s="35" t="s">
        <v>24</v>
      </c>
      <c r="F1086" s="35" t="s">
        <v>25</v>
      </c>
      <c r="G1086" s="35" t="s">
        <v>25</v>
      </c>
      <c r="H1086" s="35" t="s">
        <v>36</v>
      </c>
      <c r="I1086" s="45">
        <v>44682</v>
      </c>
      <c r="J1086" s="46">
        <f>EFEITO!$J$1086*EFEITO!$Y$1086</f>
        <v>0</v>
      </c>
      <c r="K1086" s="46">
        <f ca="1">EFEITO!$L$1086*EFEITO!$Z$1086</f>
        <v>93.65913122451984</v>
      </c>
      <c r="L1086" s="46">
        <f>EFEITO!$N$1086*EFEITO!$AA$1086</f>
        <v>27.198299012440554</v>
      </c>
      <c r="M1086" s="46">
        <f>$J$1086-EFEITO!$K$1086*EFEITO!$Y$1086</f>
        <v>0</v>
      </c>
      <c r="N1086" s="46">
        <f ca="1">$K$1086-EFEITO!$M$1086*EFEITO!$Z$1086</f>
        <v>0</v>
      </c>
      <c r="O1086" s="46">
        <f>$L$1086-EFEITO!$O$1086*EFEITO!$AA$1086</f>
        <v>0</v>
      </c>
      <c r="P1086" s="38"/>
      <c r="Q1086" s="38"/>
      <c r="R1086" s="38"/>
      <c r="S1086" s="38"/>
      <c r="T1086" s="38"/>
      <c r="U1086" s="38"/>
      <c r="V1086" s="38"/>
      <c r="W1086" s="38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</row>
    <row r="1087" spans="1:36" ht="11.25" customHeight="1" x14ac:dyDescent="0.2">
      <c r="A1087" s="35" t="s">
        <v>30</v>
      </c>
      <c r="B1087" s="35" t="s">
        <v>22</v>
      </c>
      <c r="C1087" s="35" t="s">
        <v>35</v>
      </c>
      <c r="D1087" s="35" t="s">
        <v>24</v>
      </c>
      <c r="E1087" s="35" t="s">
        <v>24</v>
      </c>
      <c r="F1087" s="35" t="s">
        <v>25</v>
      </c>
      <c r="G1087" s="35" t="s">
        <v>25</v>
      </c>
      <c r="H1087" s="35" t="s">
        <v>36</v>
      </c>
      <c r="I1087" s="45">
        <v>44682</v>
      </c>
      <c r="J1087" s="46">
        <f>EFEITO!$J$1087*EFEITO!$Y$1087</f>
        <v>0</v>
      </c>
      <c r="K1087" s="46">
        <f ca="1">EFEITO!$L$1087*EFEITO!$Z$1087</f>
        <v>32.468498824500209</v>
      </c>
      <c r="L1087" s="46">
        <f>EFEITO!$N$1087*EFEITO!$AA$1087</f>
        <v>9.4287436576460593</v>
      </c>
      <c r="M1087" s="46">
        <f>$J$1087-EFEITO!$K$1087*EFEITO!$Y$1087</f>
        <v>0</v>
      </c>
      <c r="N1087" s="46">
        <f ca="1">$K$1087-EFEITO!$M$1087*EFEITO!$Z$1087</f>
        <v>0</v>
      </c>
      <c r="O1087" s="46">
        <f>$L$1087-EFEITO!$O$1087*EFEITO!$AA$1087</f>
        <v>0</v>
      </c>
      <c r="P1087" s="38"/>
      <c r="Q1087" s="38"/>
      <c r="R1087" s="38"/>
      <c r="S1087" s="38"/>
      <c r="T1087" s="38"/>
      <c r="U1087" s="38"/>
      <c r="V1087" s="38"/>
      <c r="W1087" s="38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</row>
    <row r="1088" spans="1:36" ht="11.25" customHeight="1" x14ac:dyDescent="0.2">
      <c r="A1088" s="35" t="s">
        <v>21</v>
      </c>
      <c r="B1088" s="35" t="s">
        <v>22</v>
      </c>
      <c r="C1088" s="35" t="s">
        <v>35</v>
      </c>
      <c r="D1088" s="35" t="s">
        <v>24</v>
      </c>
      <c r="E1088" s="35" t="s">
        <v>24</v>
      </c>
      <c r="F1088" s="35" t="s">
        <v>25</v>
      </c>
      <c r="G1088" s="35" t="s">
        <v>25</v>
      </c>
      <c r="H1088" s="35" t="s">
        <v>36</v>
      </c>
      <c r="I1088" s="45">
        <v>44713</v>
      </c>
      <c r="J1088" s="46">
        <f>EFEITO!$J$1088*EFEITO!$Y$1088</f>
        <v>0</v>
      </c>
      <c r="K1088" s="46">
        <f ca="1">EFEITO!$L$1088*EFEITO!$Z$1088</f>
        <v>4540.5946817647218</v>
      </c>
      <c r="L1088" s="46">
        <f>EFEITO!$N$1088*EFEITO!$AA$1088</f>
        <v>1318.5735361231182</v>
      </c>
      <c r="M1088" s="46">
        <f>$J$1088-EFEITO!$K$1088*EFEITO!$Y$1088</f>
        <v>0</v>
      </c>
      <c r="N1088" s="46">
        <f ca="1">$K$1088-EFEITO!$M$1088*EFEITO!$Z$1088</f>
        <v>0</v>
      </c>
      <c r="O1088" s="46">
        <f>$L$1088-EFEITO!$O$1088*EFEITO!$AA$1088</f>
        <v>0</v>
      </c>
      <c r="P1088" s="38"/>
      <c r="Q1088" s="38"/>
      <c r="R1088" s="38"/>
      <c r="S1088" s="38"/>
      <c r="T1088" s="38"/>
      <c r="U1088" s="38"/>
      <c r="V1088" s="38"/>
      <c r="W1088" s="38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</row>
    <row r="1089" spans="1:36" ht="11.25" customHeight="1" x14ac:dyDescent="0.2">
      <c r="A1089" s="35" t="s">
        <v>27</v>
      </c>
      <c r="B1089" s="35" t="s">
        <v>22</v>
      </c>
      <c r="C1089" s="35" t="s">
        <v>35</v>
      </c>
      <c r="D1089" s="35" t="s">
        <v>24</v>
      </c>
      <c r="E1089" s="35" t="s">
        <v>24</v>
      </c>
      <c r="F1089" s="35" t="s">
        <v>25</v>
      </c>
      <c r="G1089" s="35" t="s">
        <v>25</v>
      </c>
      <c r="H1089" s="35" t="s">
        <v>36</v>
      </c>
      <c r="I1089" s="45">
        <v>44713</v>
      </c>
      <c r="J1089" s="46">
        <f>EFEITO!$J$1089*EFEITO!$Y$1089</f>
        <v>0</v>
      </c>
      <c r="K1089" s="46">
        <f ca="1">EFEITO!$L$1089*EFEITO!$Z$1089</f>
        <v>47.453959820423385</v>
      </c>
      <c r="L1089" s="46">
        <f>EFEITO!$N$1089*EFEITO!$AA$1089</f>
        <v>13.780471499636548</v>
      </c>
      <c r="M1089" s="46">
        <f>$J$1089-EFEITO!$K$1089*EFEITO!$Y$1089</f>
        <v>0</v>
      </c>
      <c r="N1089" s="46">
        <f ca="1">$K$1089-EFEITO!$M$1089*EFEITO!$Z$1089</f>
        <v>0</v>
      </c>
      <c r="O1089" s="46">
        <f>$L$1089-EFEITO!$O$1089*EFEITO!$AA$1089</f>
        <v>0</v>
      </c>
      <c r="P1089" s="38"/>
      <c r="Q1089" s="38"/>
      <c r="R1089" s="38"/>
      <c r="S1089" s="38"/>
      <c r="T1089" s="38"/>
      <c r="U1089" s="38"/>
      <c r="V1089" s="38"/>
      <c r="W1089" s="38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</row>
    <row r="1090" spans="1:36" ht="11.25" customHeight="1" x14ac:dyDescent="0.2">
      <c r="A1090" s="35" t="s">
        <v>28</v>
      </c>
      <c r="B1090" s="35" t="s">
        <v>22</v>
      </c>
      <c r="C1090" s="35" t="s">
        <v>35</v>
      </c>
      <c r="D1090" s="35" t="s">
        <v>24</v>
      </c>
      <c r="E1090" s="35" t="s">
        <v>24</v>
      </c>
      <c r="F1090" s="35" t="s">
        <v>25</v>
      </c>
      <c r="G1090" s="35" t="s">
        <v>25</v>
      </c>
      <c r="H1090" s="35" t="s">
        <v>36</v>
      </c>
      <c r="I1090" s="45">
        <v>44713</v>
      </c>
      <c r="J1090" s="46">
        <f>EFEITO!$J$1090*EFEITO!$Y$1090</f>
        <v>0</v>
      </c>
      <c r="K1090" s="46">
        <f ca="1">EFEITO!$L$1090*EFEITO!$Z$1090</f>
        <v>88.6639775592121</v>
      </c>
      <c r="L1090" s="46">
        <f>EFEITO!$N$1090*EFEITO!$AA$1090</f>
        <v>25.747723065110392</v>
      </c>
      <c r="M1090" s="46">
        <f>$J$1090-EFEITO!$K$1090*EFEITO!$Y$1090</f>
        <v>0</v>
      </c>
      <c r="N1090" s="46">
        <f ca="1">$K$1090-EFEITO!$M$1090*EFEITO!$Z$1090</f>
        <v>0</v>
      </c>
      <c r="O1090" s="46">
        <f>$L$1090-EFEITO!$O$1090*EFEITO!$AA$1090</f>
        <v>0</v>
      </c>
      <c r="P1090" s="38"/>
      <c r="Q1090" s="38"/>
      <c r="R1090" s="38"/>
      <c r="S1090" s="38"/>
      <c r="T1090" s="38"/>
      <c r="U1090" s="38"/>
      <c r="V1090" s="38"/>
      <c r="W1090" s="38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</row>
    <row r="1091" spans="1:36" ht="11.25" customHeight="1" x14ac:dyDescent="0.2">
      <c r="A1091" s="35" t="s">
        <v>21</v>
      </c>
      <c r="B1091" s="35" t="s">
        <v>22</v>
      </c>
      <c r="C1091" s="35" t="s">
        <v>35</v>
      </c>
      <c r="D1091" s="35" t="s">
        <v>24</v>
      </c>
      <c r="E1091" s="35" t="s">
        <v>24</v>
      </c>
      <c r="F1091" s="35" t="s">
        <v>25</v>
      </c>
      <c r="G1091" s="35" t="s">
        <v>25</v>
      </c>
      <c r="H1091" s="35" t="s">
        <v>36</v>
      </c>
      <c r="I1091" s="45">
        <v>44743</v>
      </c>
      <c r="J1091" s="46">
        <f>EFEITO!$J$1091*EFEITO!$Y$1091</f>
        <v>0</v>
      </c>
      <c r="K1091" s="46">
        <f ca="1">EFEITO!$L$1091*EFEITO!$Z$1091</f>
        <v>4941.4557634056664</v>
      </c>
      <c r="L1091" s="46">
        <f>EFEITO!$N$1091*EFEITO!$AA$1091</f>
        <v>1434.9822558963638</v>
      </c>
      <c r="M1091" s="46">
        <f>$J$1091-EFEITO!$K$1091*EFEITO!$Y$1091</f>
        <v>0</v>
      </c>
      <c r="N1091" s="46">
        <f ca="1">$K$1091-EFEITO!$M$1091*EFEITO!$Z$1091</f>
        <v>0</v>
      </c>
      <c r="O1091" s="46">
        <f>$L$1091-EFEITO!$O$1091*EFEITO!$AA$1091</f>
        <v>0</v>
      </c>
      <c r="P1091" s="38"/>
      <c r="Q1091" s="38"/>
      <c r="R1091" s="38"/>
      <c r="S1091" s="38"/>
      <c r="T1091" s="38"/>
      <c r="U1091" s="38"/>
      <c r="V1091" s="38"/>
      <c r="W1091" s="38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</row>
    <row r="1092" spans="1:36" ht="11.25" customHeight="1" x14ac:dyDescent="0.2">
      <c r="A1092" s="35" t="s">
        <v>28</v>
      </c>
      <c r="B1092" s="35" t="s">
        <v>22</v>
      </c>
      <c r="C1092" s="35" t="s">
        <v>35</v>
      </c>
      <c r="D1092" s="35" t="s">
        <v>24</v>
      </c>
      <c r="E1092" s="35" t="s">
        <v>24</v>
      </c>
      <c r="F1092" s="35" t="s">
        <v>25</v>
      </c>
      <c r="G1092" s="35" t="s">
        <v>25</v>
      </c>
      <c r="H1092" s="35" t="s">
        <v>36</v>
      </c>
      <c r="I1092" s="45">
        <v>44743</v>
      </c>
      <c r="J1092" s="46">
        <f>EFEITO!$J$1092*EFEITO!$Y$1092</f>
        <v>0</v>
      </c>
      <c r="K1092" s="46">
        <f ca="1">EFEITO!$L$1092*EFEITO!$Z$1092</f>
        <v>79.922458644923594</v>
      </c>
      <c r="L1092" s="46">
        <f>EFEITO!$N$1092*EFEITO!$AA$1092</f>
        <v>23.209215157282607</v>
      </c>
      <c r="M1092" s="46">
        <f>$J$1092-EFEITO!$K$1092*EFEITO!$Y$1092</f>
        <v>0</v>
      </c>
      <c r="N1092" s="46">
        <f ca="1">$K$1092-EFEITO!$M$1092*EFEITO!$Z$1092</f>
        <v>0</v>
      </c>
      <c r="O1092" s="46">
        <f>$L$1092-EFEITO!$O$1092*EFEITO!$AA$1092</f>
        <v>0</v>
      </c>
      <c r="P1092" s="38"/>
      <c r="Q1092" s="38"/>
      <c r="R1092" s="38"/>
      <c r="S1092" s="38"/>
      <c r="T1092" s="38"/>
      <c r="U1092" s="38"/>
      <c r="V1092" s="38"/>
      <c r="W1092" s="38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</row>
    <row r="1093" spans="1:36" ht="11.25" customHeight="1" x14ac:dyDescent="0.2">
      <c r="A1093" s="35" t="s">
        <v>30</v>
      </c>
      <c r="B1093" s="35" t="s">
        <v>22</v>
      </c>
      <c r="C1093" s="35" t="s">
        <v>35</v>
      </c>
      <c r="D1093" s="35" t="s">
        <v>24</v>
      </c>
      <c r="E1093" s="35" t="s">
        <v>24</v>
      </c>
      <c r="F1093" s="35" t="s">
        <v>25</v>
      </c>
      <c r="G1093" s="35" t="s">
        <v>25</v>
      </c>
      <c r="H1093" s="35" t="s">
        <v>36</v>
      </c>
      <c r="I1093" s="45">
        <v>44743</v>
      </c>
      <c r="J1093" s="46">
        <f>EFEITO!$J$1093*EFEITO!$Y$1093</f>
        <v>0</v>
      </c>
      <c r="K1093" s="46">
        <f ca="1">EFEITO!$L$1093*EFEITO!$Z$1093</f>
        <v>68.683362897981212</v>
      </c>
      <c r="L1093" s="46">
        <f>EFEITO!$N$1093*EFEITO!$AA$1093</f>
        <v>19.945419275789742</v>
      </c>
      <c r="M1093" s="46">
        <f>$J$1093-EFEITO!$K$1093*EFEITO!$Y$1093</f>
        <v>0</v>
      </c>
      <c r="N1093" s="46">
        <f ca="1">$K$1093-EFEITO!$M$1093*EFEITO!$Z$1093</f>
        <v>0</v>
      </c>
      <c r="O1093" s="46">
        <f>$L$1093-EFEITO!$O$1093*EFEITO!$AA$1093</f>
        <v>0</v>
      </c>
      <c r="P1093" s="38"/>
      <c r="Q1093" s="38"/>
      <c r="R1093" s="38"/>
      <c r="S1093" s="38"/>
      <c r="T1093" s="38"/>
      <c r="U1093" s="38"/>
      <c r="V1093" s="38"/>
      <c r="W1093" s="38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</row>
    <row r="1094" spans="1:36" ht="11.25" customHeight="1" x14ac:dyDescent="0.2">
      <c r="A1094" s="35" t="s">
        <v>21</v>
      </c>
      <c r="B1094" s="35" t="s">
        <v>22</v>
      </c>
      <c r="C1094" s="35" t="s">
        <v>35</v>
      </c>
      <c r="D1094" s="35" t="s">
        <v>24</v>
      </c>
      <c r="E1094" s="35" t="s">
        <v>24</v>
      </c>
      <c r="F1094" s="35" t="s">
        <v>25</v>
      </c>
      <c r="G1094" s="35" t="s">
        <v>25</v>
      </c>
      <c r="H1094" s="35" t="s">
        <v>36</v>
      </c>
      <c r="I1094" s="45">
        <v>44774</v>
      </c>
      <c r="J1094" s="46">
        <f>EFEITO!$J$1094*EFEITO!$Y$1094</f>
        <v>0</v>
      </c>
      <c r="K1094" s="46">
        <f ca="1">EFEITO!$L$1094*EFEITO!$Z$1094</f>
        <v>5644.5236417977285</v>
      </c>
      <c r="L1094" s="46">
        <f>EFEITO!$N$1094*EFEITO!$AA$1094</f>
        <v>1639.1508204830841</v>
      </c>
      <c r="M1094" s="46">
        <f>$J$1094-EFEITO!$K$1094*EFEITO!$Y$1094</f>
        <v>0</v>
      </c>
      <c r="N1094" s="46">
        <f ca="1">$K$1094-EFEITO!$M$1094*EFEITO!$Z$1094</f>
        <v>0</v>
      </c>
      <c r="O1094" s="46">
        <f>$L$1094-EFEITO!$O$1094*EFEITO!$AA$1094</f>
        <v>0</v>
      </c>
      <c r="P1094" s="38"/>
      <c r="Q1094" s="38"/>
      <c r="R1094" s="38"/>
      <c r="S1094" s="38"/>
      <c r="T1094" s="38"/>
      <c r="U1094" s="38"/>
      <c r="V1094" s="38"/>
      <c r="W1094" s="38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</row>
    <row r="1095" spans="1:36" ht="11.25" customHeight="1" x14ac:dyDescent="0.2">
      <c r="A1095" s="35" t="s">
        <v>27</v>
      </c>
      <c r="B1095" s="35" t="s">
        <v>22</v>
      </c>
      <c r="C1095" s="35" t="s">
        <v>35</v>
      </c>
      <c r="D1095" s="35" t="s">
        <v>24</v>
      </c>
      <c r="E1095" s="35" t="s">
        <v>24</v>
      </c>
      <c r="F1095" s="35" t="s">
        <v>25</v>
      </c>
      <c r="G1095" s="35" t="s">
        <v>25</v>
      </c>
      <c r="H1095" s="35" t="s">
        <v>36</v>
      </c>
      <c r="I1095" s="45">
        <v>44774</v>
      </c>
      <c r="J1095" s="46">
        <f>EFEITO!$J$1095*EFEITO!$Y$1095</f>
        <v>0</v>
      </c>
      <c r="K1095" s="46">
        <f ca="1">EFEITO!$L$1095*EFEITO!$Z$1095</f>
        <v>22.478191493884758</v>
      </c>
      <c r="L1095" s="46">
        <f>EFEITO!$N$1095*EFEITO!$AA$1095</f>
        <v>6.5275917629857334</v>
      </c>
      <c r="M1095" s="46">
        <f>$J$1095-EFEITO!$K$1095*EFEITO!$Y$1095</f>
        <v>0</v>
      </c>
      <c r="N1095" s="46">
        <f ca="1">$K$1095-EFEITO!$M$1095*EFEITO!$Z$1095</f>
        <v>0</v>
      </c>
      <c r="O1095" s="46">
        <f>$L$1095-EFEITO!$O$1095*EFEITO!$AA$1095</f>
        <v>0</v>
      </c>
      <c r="P1095" s="38"/>
      <c r="Q1095" s="38"/>
      <c r="R1095" s="38"/>
      <c r="S1095" s="38"/>
      <c r="T1095" s="38"/>
      <c r="U1095" s="38"/>
      <c r="V1095" s="38"/>
      <c r="W1095" s="38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</row>
    <row r="1096" spans="1:36" ht="11.25" customHeight="1" x14ac:dyDescent="0.2">
      <c r="A1096" s="35" t="s">
        <v>28</v>
      </c>
      <c r="B1096" s="35" t="s">
        <v>22</v>
      </c>
      <c r="C1096" s="35" t="s">
        <v>35</v>
      </c>
      <c r="D1096" s="35" t="s">
        <v>24</v>
      </c>
      <c r="E1096" s="35" t="s">
        <v>24</v>
      </c>
      <c r="F1096" s="35" t="s">
        <v>25</v>
      </c>
      <c r="G1096" s="35" t="s">
        <v>25</v>
      </c>
      <c r="H1096" s="35" t="s">
        <v>36</v>
      </c>
      <c r="I1096" s="45">
        <v>44774</v>
      </c>
      <c r="J1096" s="46">
        <f>EFEITO!$J$1096*EFEITO!$Y$1096</f>
        <v>0</v>
      </c>
      <c r="K1096" s="46">
        <f ca="1">EFEITO!$L$1096*EFEITO!$Z$1096</f>
        <v>121.13247638371233</v>
      </c>
      <c r="L1096" s="46">
        <f>EFEITO!$N$1096*EFEITO!$AA$1096</f>
        <v>35.176466722756452</v>
      </c>
      <c r="M1096" s="46">
        <f>$J$1096-EFEITO!$K$1096*EFEITO!$Y$1096</f>
        <v>0</v>
      </c>
      <c r="N1096" s="46">
        <f ca="1">$K$1096-EFEITO!$M$1096*EFEITO!$Z$1096</f>
        <v>0</v>
      </c>
      <c r="O1096" s="46">
        <f>$L$1096-EFEITO!$O$1096*EFEITO!$AA$1096</f>
        <v>0</v>
      </c>
      <c r="P1096" s="38"/>
      <c r="Q1096" s="38"/>
      <c r="R1096" s="38"/>
      <c r="S1096" s="38"/>
      <c r="T1096" s="38"/>
      <c r="U1096" s="38"/>
      <c r="V1096" s="38"/>
      <c r="W1096" s="38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</row>
    <row r="1097" spans="1:36" ht="11.25" customHeight="1" x14ac:dyDescent="0.2">
      <c r="A1097" s="35" t="s">
        <v>30</v>
      </c>
      <c r="B1097" s="35" t="s">
        <v>22</v>
      </c>
      <c r="C1097" s="35" t="s">
        <v>35</v>
      </c>
      <c r="D1097" s="35" t="s">
        <v>24</v>
      </c>
      <c r="E1097" s="35" t="s">
        <v>24</v>
      </c>
      <c r="F1097" s="35" t="s">
        <v>25</v>
      </c>
      <c r="G1097" s="35" t="s">
        <v>25</v>
      </c>
      <c r="H1097" s="35" t="s">
        <v>36</v>
      </c>
      <c r="I1097" s="45">
        <v>44774</v>
      </c>
      <c r="J1097" s="46">
        <f>EFEITO!$J$1097*EFEITO!$Y$1097</f>
        <v>0</v>
      </c>
      <c r="K1097" s="46">
        <f ca="1">EFEITO!$L$1097*EFEITO!$Z$1097</f>
        <v>12.487884163269312</v>
      </c>
      <c r="L1097" s="46">
        <f>EFEITO!$N$1097*EFEITO!$AA$1097</f>
        <v>3.6264398683254075</v>
      </c>
      <c r="M1097" s="46">
        <f>$J$1097-EFEITO!$K$1097*EFEITO!$Y$1097</f>
        <v>0</v>
      </c>
      <c r="N1097" s="46">
        <f ca="1">$K$1097-EFEITO!$M$1097*EFEITO!$Z$1097</f>
        <v>0</v>
      </c>
      <c r="O1097" s="46">
        <f>$L$1097-EFEITO!$O$1097*EFEITO!$AA$1097</f>
        <v>0</v>
      </c>
      <c r="P1097" s="38"/>
      <c r="Q1097" s="38"/>
      <c r="R1097" s="38"/>
      <c r="S1097" s="38"/>
      <c r="T1097" s="38"/>
      <c r="U1097" s="38"/>
      <c r="V1097" s="38"/>
      <c r="W1097" s="38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</row>
    <row r="1098" spans="1:36" ht="11.25" customHeight="1" x14ac:dyDescent="0.2">
      <c r="A1098" s="35" t="s">
        <v>21</v>
      </c>
      <c r="B1098" s="35" t="s">
        <v>22</v>
      </c>
      <c r="C1098" s="35" t="s">
        <v>35</v>
      </c>
      <c r="D1098" s="35" t="s">
        <v>24</v>
      </c>
      <c r="E1098" s="35" t="s">
        <v>24</v>
      </c>
      <c r="F1098" s="35" t="s">
        <v>25</v>
      </c>
      <c r="G1098" s="35" t="s">
        <v>25</v>
      </c>
      <c r="H1098" s="35" t="s">
        <v>36</v>
      </c>
      <c r="I1098" s="45">
        <v>44805</v>
      </c>
      <c r="J1098" s="46">
        <f>EFEITO!$J$1098*EFEITO!$Y$1098</f>
        <v>0</v>
      </c>
      <c r="K1098" s="46">
        <f ca="1">EFEITO!$L$1098*EFEITO!$Z$1098</f>
        <v>6839.6141562226021</v>
      </c>
      <c r="L1098" s="46">
        <f>EFEITO!$N$1098*EFEITO!$AA$1098</f>
        <v>1986.2011158818259</v>
      </c>
      <c r="M1098" s="46">
        <f>$J$1098-EFEITO!$K$1098*EFEITO!$Y$1098</f>
        <v>0</v>
      </c>
      <c r="N1098" s="46">
        <f ca="1">$K$1098-EFEITO!$M$1098*EFEITO!$Z$1098</f>
        <v>0</v>
      </c>
      <c r="O1098" s="46">
        <f>$L$1098-EFEITO!$O$1098*EFEITO!$AA$1098</f>
        <v>0</v>
      </c>
      <c r="P1098" s="38"/>
      <c r="Q1098" s="38"/>
      <c r="R1098" s="38"/>
      <c r="S1098" s="38"/>
      <c r="T1098" s="38"/>
      <c r="U1098" s="38"/>
      <c r="V1098" s="38"/>
      <c r="W1098" s="38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</row>
    <row r="1099" spans="1:36" ht="11.25" customHeight="1" x14ac:dyDescent="0.2">
      <c r="A1099" s="35" t="s">
        <v>27</v>
      </c>
      <c r="B1099" s="35" t="s">
        <v>22</v>
      </c>
      <c r="C1099" s="35" t="s">
        <v>35</v>
      </c>
      <c r="D1099" s="35" t="s">
        <v>24</v>
      </c>
      <c r="E1099" s="35" t="s">
        <v>24</v>
      </c>
      <c r="F1099" s="35" t="s">
        <v>25</v>
      </c>
      <c r="G1099" s="35" t="s">
        <v>25</v>
      </c>
      <c r="H1099" s="35" t="s">
        <v>36</v>
      </c>
      <c r="I1099" s="45">
        <v>44805</v>
      </c>
      <c r="J1099" s="46">
        <f>EFEITO!$J$1099*EFEITO!$Y$1099</f>
        <v>0</v>
      </c>
      <c r="K1099" s="46">
        <f ca="1">EFEITO!$L$1099*EFEITO!$Z$1099</f>
        <v>-1.2487884163269312</v>
      </c>
      <c r="L1099" s="46">
        <f>EFEITO!$N$1099*EFEITO!$AA$1099</f>
        <v>-0.36264398683254073</v>
      </c>
      <c r="M1099" s="46">
        <f>$J$1099-EFEITO!$K$1099*EFEITO!$Y$1099</f>
        <v>0</v>
      </c>
      <c r="N1099" s="46">
        <f ca="1">$K$1099-EFEITO!$M$1099*EFEITO!$Z$1099</f>
        <v>0</v>
      </c>
      <c r="O1099" s="46">
        <f>$L$1099-EFEITO!$O$1099*EFEITO!$AA$1099</f>
        <v>0</v>
      </c>
      <c r="P1099" s="38"/>
      <c r="Q1099" s="38"/>
      <c r="R1099" s="38"/>
      <c r="S1099" s="38"/>
      <c r="T1099" s="38"/>
      <c r="U1099" s="38"/>
      <c r="V1099" s="38"/>
      <c r="W1099" s="38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</row>
    <row r="1100" spans="1:36" ht="11.25" customHeight="1" x14ac:dyDescent="0.2">
      <c r="A1100" s="35" t="s">
        <v>28</v>
      </c>
      <c r="B1100" s="35" t="s">
        <v>22</v>
      </c>
      <c r="C1100" s="35" t="s">
        <v>35</v>
      </c>
      <c r="D1100" s="35" t="s">
        <v>24</v>
      </c>
      <c r="E1100" s="35" t="s">
        <v>24</v>
      </c>
      <c r="F1100" s="35" t="s">
        <v>25</v>
      </c>
      <c r="G1100" s="35" t="s">
        <v>25</v>
      </c>
      <c r="H1100" s="35" t="s">
        <v>36</v>
      </c>
      <c r="I1100" s="45">
        <v>44805</v>
      </c>
      <c r="J1100" s="46">
        <f>EFEITO!$J$1100*EFEITO!$Y$1100</f>
        <v>0</v>
      </c>
      <c r="K1100" s="46">
        <f ca="1">EFEITO!$L$1100*EFEITO!$Z$1100</f>
        <v>87.415189142885183</v>
      </c>
      <c r="L1100" s="46">
        <f>EFEITO!$N$1100*EFEITO!$AA$1100</f>
        <v>25.385079078277855</v>
      </c>
      <c r="M1100" s="46">
        <f>$J$1100-EFEITO!$K$1100*EFEITO!$Y$1100</f>
        <v>0</v>
      </c>
      <c r="N1100" s="46">
        <f ca="1">$K$1100-EFEITO!$M$1100*EFEITO!$Z$1100</f>
        <v>0</v>
      </c>
      <c r="O1100" s="46">
        <f>$L$1100-EFEITO!$O$1100*EFEITO!$AA$1100</f>
        <v>0</v>
      </c>
      <c r="P1100" s="38"/>
      <c r="Q1100" s="38"/>
      <c r="R1100" s="38"/>
      <c r="S1100" s="38"/>
      <c r="T1100" s="38"/>
      <c r="U1100" s="38"/>
      <c r="V1100" s="38"/>
      <c r="W1100" s="38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</row>
    <row r="1101" spans="1:36" ht="11.25" customHeight="1" x14ac:dyDescent="0.2">
      <c r="A1101" s="35" t="s">
        <v>30</v>
      </c>
      <c r="B1101" s="35" t="s">
        <v>22</v>
      </c>
      <c r="C1101" s="35" t="s">
        <v>35</v>
      </c>
      <c r="D1101" s="35" t="s">
        <v>24</v>
      </c>
      <c r="E1101" s="35" t="s">
        <v>24</v>
      </c>
      <c r="F1101" s="35" t="s">
        <v>25</v>
      </c>
      <c r="G1101" s="35" t="s">
        <v>25</v>
      </c>
      <c r="H1101" s="35" t="s">
        <v>36</v>
      </c>
      <c r="I1101" s="45">
        <v>44805</v>
      </c>
      <c r="J1101" s="46">
        <f>EFEITO!$J$1101*EFEITO!$Y$1101</f>
        <v>0</v>
      </c>
      <c r="K1101" s="46">
        <f ca="1">EFEITO!$L$1101*EFEITO!$Z$1101</f>
        <v>12.487884163269312</v>
      </c>
      <c r="L1101" s="46">
        <f>EFEITO!$N$1101*EFEITO!$AA$1101</f>
        <v>3.6264398683254075</v>
      </c>
      <c r="M1101" s="46">
        <f>$J$1101-EFEITO!$K$1101*EFEITO!$Y$1101</f>
        <v>0</v>
      </c>
      <c r="N1101" s="46">
        <f ca="1">$K$1101-EFEITO!$M$1101*EFEITO!$Z$1101</f>
        <v>0</v>
      </c>
      <c r="O1101" s="46">
        <f>$L$1101-EFEITO!$O$1101*EFEITO!$AA$1101</f>
        <v>0</v>
      </c>
      <c r="P1101" s="38"/>
      <c r="Q1101" s="38"/>
      <c r="R1101" s="38"/>
      <c r="S1101" s="38"/>
      <c r="T1101" s="38"/>
      <c r="U1101" s="38"/>
      <c r="V1101" s="38"/>
      <c r="W1101" s="38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</row>
    <row r="1102" spans="1:36" ht="11.25" customHeight="1" x14ac:dyDescent="0.2">
      <c r="A1102" s="35" t="s">
        <v>21</v>
      </c>
      <c r="B1102" s="35" t="s">
        <v>22</v>
      </c>
      <c r="C1102" s="35" t="s">
        <v>35</v>
      </c>
      <c r="D1102" s="35" t="s">
        <v>24</v>
      </c>
      <c r="E1102" s="35" t="s">
        <v>24</v>
      </c>
      <c r="F1102" s="35" t="s">
        <v>25</v>
      </c>
      <c r="G1102" s="35" t="s">
        <v>25</v>
      </c>
      <c r="H1102" s="35" t="s">
        <v>36</v>
      </c>
      <c r="I1102" s="45">
        <v>44835</v>
      </c>
      <c r="J1102" s="46">
        <f>EFEITO!$J$1102*EFEITO!$Y$1102</f>
        <v>0</v>
      </c>
      <c r="K1102" s="46">
        <f ca="1">EFEITO!$L$1102*EFEITO!$Z$1102</f>
        <v>5708.2118510304017</v>
      </c>
      <c r="L1102" s="46">
        <f>EFEITO!$N$1102*EFEITO!$AA$1102</f>
        <v>1657.6456638115437</v>
      </c>
      <c r="M1102" s="46">
        <f>$J$1102-EFEITO!$K$1102*EFEITO!$Y$1102</f>
        <v>0</v>
      </c>
      <c r="N1102" s="46">
        <f ca="1">$K$1102-EFEITO!$M$1102*EFEITO!$Z$1102</f>
        <v>0</v>
      </c>
      <c r="O1102" s="46">
        <f>$L$1102-EFEITO!$O$1102*EFEITO!$AA$1102</f>
        <v>0</v>
      </c>
      <c r="P1102" s="38"/>
      <c r="Q1102" s="38"/>
      <c r="R1102" s="38"/>
      <c r="S1102" s="38"/>
      <c r="T1102" s="38"/>
      <c r="U1102" s="38"/>
      <c r="V1102" s="38"/>
      <c r="W1102" s="38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</row>
    <row r="1103" spans="1:36" ht="11.25" customHeight="1" x14ac:dyDescent="0.2">
      <c r="A1103" s="35" t="s">
        <v>28</v>
      </c>
      <c r="B1103" s="35" t="s">
        <v>22</v>
      </c>
      <c r="C1103" s="35" t="s">
        <v>35</v>
      </c>
      <c r="D1103" s="35" t="s">
        <v>24</v>
      </c>
      <c r="E1103" s="35" t="s">
        <v>24</v>
      </c>
      <c r="F1103" s="35" t="s">
        <v>25</v>
      </c>
      <c r="G1103" s="35" t="s">
        <v>25</v>
      </c>
      <c r="H1103" s="35" t="s">
        <v>36</v>
      </c>
      <c r="I1103" s="45">
        <v>44835</v>
      </c>
      <c r="J1103" s="46">
        <f>EFEITO!$J$1103*EFEITO!$Y$1103</f>
        <v>0</v>
      </c>
      <c r="K1103" s="46">
        <f ca="1">EFEITO!$L$1103*EFEITO!$Z$1103</f>
        <v>96.156708057173702</v>
      </c>
      <c r="L1103" s="46">
        <f>EFEITO!$N$1103*EFEITO!$AA$1103</f>
        <v>27.923586986105636</v>
      </c>
      <c r="M1103" s="46">
        <f>$J$1103-EFEITO!$K$1103*EFEITO!$Y$1103</f>
        <v>0</v>
      </c>
      <c r="N1103" s="46">
        <f ca="1">$K$1103-EFEITO!$M$1103*EFEITO!$Z$1103</f>
        <v>0</v>
      </c>
      <c r="O1103" s="46">
        <f>$L$1103-EFEITO!$O$1103*EFEITO!$AA$1103</f>
        <v>0</v>
      </c>
      <c r="P1103" s="38"/>
      <c r="Q1103" s="38"/>
      <c r="R1103" s="38"/>
      <c r="S1103" s="38"/>
      <c r="T1103" s="38"/>
      <c r="U1103" s="38"/>
      <c r="V1103" s="38"/>
      <c r="W1103" s="38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</row>
    <row r="1104" spans="1:36" ht="11.25" customHeight="1" x14ac:dyDescent="0.2">
      <c r="A1104" s="35" t="s">
        <v>30</v>
      </c>
      <c r="B1104" s="35" t="s">
        <v>22</v>
      </c>
      <c r="C1104" s="35" t="s">
        <v>35</v>
      </c>
      <c r="D1104" s="35" t="s">
        <v>24</v>
      </c>
      <c r="E1104" s="35" t="s">
        <v>24</v>
      </c>
      <c r="F1104" s="35" t="s">
        <v>25</v>
      </c>
      <c r="G1104" s="35" t="s">
        <v>25</v>
      </c>
      <c r="H1104" s="35" t="s">
        <v>36</v>
      </c>
      <c r="I1104" s="45">
        <v>44835</v>
      </c>
      <c r="J1104" s="46">
        <f>EFEITO!$J$1104*EFEITO!$Y$1104</f>
        <v>0</v>
      </c>
      <c r="K1104" s="46">
        <f ca="1">EFEITO!$L$1104*EFEITO!$Z$1104</f>
        <v>112.3909574694238</v>
      </c>
      <c r="L1104" s="46">
        <f>EFEITO!$N$1104*EFEITO!$AA$1104</f>
        <v>32.637958814928666</v>
      </c>
      <c r="M1104" s="46">
        <f>$J$1104-EFEITO!$K$1104*EFEITO!$Y$1104</f>
        <v>0</v>
      </c>
      <c r="N1104" s="46">
        <f ca="1">$K$1104-EFEITO!$M$1104*EFEITO!$Z$1104</f>
        <v>0</v>
      </c>
      <c r="O1104" s="46">
        <f>$L$1104-EFEITO!$O$1104*EFEITO!$AA$1104</f>
        <v>0</v>
      </c>
      <c r="P1104" s="38"/>
      <c r="Q1104" s="38"/>
      <c r="R1104" s="38"/>
      <c r="S1104" s="38"/>
      <c r="T1104" s="38"/>
      <c r="U1104" s="38"/>
      <c r="V1104" s="38"/>
      <c r="W1104" s="38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</row>
    <row r="1105" spans="1:36" ht="11.25" customHeight="1" x14ac:dyDescent="0.2">
      <c r="A1105" s="35" t="s">
        <v>30</v>
      </c>
      <c r="B1105" s="35" t="s">
        <v>22</v>
      </c>
      <c r="C1105" s="35" t="s">
        <v>35</v>
      </c>
      <c r="D1105" s="35" t="s">
        <v>24</v>
      </c>
      <c r="E1105" s="35" t="s">
        <v>24</v>
      </c>
      <c r="F1105" s="35" t="s">
        <v>25</v>
      </c>
      <c r="G1105" s="35" t="s">
        <v>25</v>
      </c>
      <c r="H1105" s="35" t="s">
        <v>36</v>
      </c>
      <c r="I1105" s="45">
        <v>44835</v>
      </c>
      <c r="J1105" s="46">
        <f>EFEITO!$J$1105*EFEITO!$Y$1105</f>
        <v>0</v>
      </c>
      <c r="K1105" s="46">
        <f ca="1">EFEITO!$L$1105*EFEITO!$Z$1105</f>
        <v>-12.487884163269312</v>
      </c>
      <c r="L1105" s="46">
        <f>EFEITO!$N$1105*EFEITO!$AA$1105</f>
        <v>-3.6264398683254075</v>
      </c>
      <c r="M1105" s="46">
        <f>$J$1105-EFEITO!$K$1105*EFEITO!$Y$1105</f>
        <v>0</v>
      </c>
      <c r="N1105" s="46">
        <f ca="1">$K$1105-EFEITO!$M$1105*EFEITO!$Z$1105</f>
        <v>0</v>
      </c>
      <c r="O1105" s="46">
        <f>$L$1105-EFEITO!$O$1105*EFEITO!$AA$1105</f>
        <v>0</v>
      </c>
      <c r="P1105" s="38"/>
      <c r="Q1105" s="38"/>
      <c r="R1105" s="38"/>
      <c r="S1105" s="38"/>
      <c r="T1105" s="38"/>
      <c r="U1105" s="38"/>
      <c r="V1105" s="38"/>
      <c r="W1105" s="38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</row>
    <row r="1106" spans="1:36" ht="11.25" customHeight="1" x14ac:dyDescent="0.2">
      <c r="A1106" s="35" t="s">
        <v>59</v>
      </c>
      <c r="B1106" s="35" t="s">
        <v>22</v>
      </c>
      <c r="C1106" s="35" t="s">
        <v>35</v>
      </c>
      <c r="D1106" s="35" t="s">
        <v>24</v>
      </c>
      <c r="E1106" s="35" t="s">
        <v>24</v>
      </c>
      <c r="F1106" s="35" t="s">
        <v>25</v>
      </c>
      <c r="G1106" s="35" t="s">
        <v>25</v>
      </c>
      <c r="H1106" s="35" t="s">
        <v>36</v>
      </c>
      <c r="I1106" s="45">
        <v>44866</v>
      </c>
      <c r="J1106" s="46">
        <f>EFEITO!$J$1106*EFEITO!$Y$1106</f>
        <v>0</v>
      </c>
      <c r="K1106" s="46">
        <f ca="1">EFEITO!$L$1106*EFEITO!$Z$1106</f>
        <v>5708.2118510304017</v>
      </c>
      <c r="L1106" s="46">
        <f>EFEITO!$N$1106*EFEITO!$AA$1106</f>
        <v>1657.6456638115437</v>
      </c>
      <c r="M1106" s="46">
        <f>$J$1106-EFEITO!$K$1106*EFEITO!$Y$1106</f>
        <v>0</v>
      </c>
      <c r="N1106" s="46">
        <f ca="1">$K$1106-EFEITO!$M$1106*EFEITO!$Z$1106</f>
        <v>0</v>
      </c>
      <c r="O1106" s="46">
        <f>$L$1106-EFEITO!$O$1106*EFEITO!$AA$1106</f>
        <v>0</v>
      </c>
      <c r="P1106" s="38"/>
      <c r="Q1106" s="38"/>
      <c r="R1106" s="38"/>
      <c r="S1106" s="38"/>
      <c r="T1106" s="38"/>
      <c r="U1106" s="38"/>
      <c r="V1106" s="38"/>
      <c r="W1106" s="38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</row>
    <row r="1107" spans="1:36" ht="11.25" customHeight="1" x14ac:dyDescent="0.2">
      <c r="A1107" s="35" t="s">
        <v>59</v>
      </c>
      <c r="B1107" s="35" t="s">
        <v>22</v>
      </c>
      <c r="C1107" s="35" t="s">
        <v>35</v>
      </c>
      <c r="D1107" s="35" t="s">
        <v>24</v>
      </c>
      <c r="E1107" s="35" t="s">
        <v>24</v>
      </c>
      <c r="F1107" s="35" t="s">
        <v>25</v>
      </c>
      <c r="G1107" s="35" t="s">
        <v>25</v>
      </c>
      <c r="H1107" s="35" t="s">
        <v>36</v>
      </c>
      <c r="I1107" s="45">
        <v>44866</v>
      </c>
      <c r="J1107" s="46">
        <f>EFEITO!$J$1107*EFEITO!$Y$1107</f>
        <v>0</v>
      </c>
      <c r="K1107" s="46">
        <f ca="1">EFEITO!$L$1107*EFEITO!$Z$1107</f>
        <v>96.156708057173702</v>
      </c>
      <c r="L1107" s="46">
        <f>EFEITO!$N$1107*EFEITO!$AA$1107</f>
        <v>27.923586986105636</v>
      </c>
      <c r="M1107" s="46">
        <f>$J$1107-EFEITO!$K$1107*EFEITO!$Y$1107</f>
        <v>0</v>
      </c>
      <c r="N1107" s="46">
        <f ca="1">$K$1107-EFEITO!$M$1107*EFEITO!$Z$1107</f>
        <v>0</v>
      </c>
      <c r="O1107" s="46">
        <f>$L$1107-EFEITO!$O$1107*EFEITO!$AA$1107</f>
        <v>0</v>
      </c>
      <c r="P1107" s="38"/>
      <c r="Q1107" s="38"/>
      <c r="R1107" s="38"/>
      <c r="S1107" s="38"/>
      <c r="T1107" s="38"/>
      <c r="U1107" s="38"/>
      <c r="V1107" s="38"/>
      <c r="W1107" s="38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</row>
    <row r="1108" spans="1:36" ht="11.25" customHeight="1" x14ac:dyDescent="0.2">
      <c r="A1108" s="35" t="s">
        <v>59</v>
      </c>
      <c r="B1108" s="35" t="s">
        <v>22</v>
      </c>
      <c r="C1108" s="35" t="s">
        <v>35</v>
      </c>
      <c r="D1108" s="35" t="s">
        <v>24</v>
      </c>
      <c r="E1108" s="35" t="s">
        <v>24</v>
      </c>
      <c r="F1108" s="35" t="s">
        <v>25</v>
      </c>
      <c r="G1108" s="35" t="s">
        <v>25</v>
      </c>
      <c r="H1108" s="35" t="s">
        <v>36</v>
      </c>
      <c r="I1108" s="45">
        <v>44866</v>
      </c>
      <c r="J1108" s="46">
        <f>EFEITO!$J$1108*EFEITO!$Y$1108</f>
        <v>0</v>
      </c>
      <c r="K1108" s="46">
        <f ca="1">EFEITO!$L$1108*EFEITO!$Z$1108</f>
        <v>112.3909574694238</v>
      </c>
      <c r="L1108" s="46">
        <f>EFEITO!$N$1108*EFEITO!$AA$1108</f>
        <v>32.637958814928666</v>
      </c>
      <c r="M1108" s="46">
        <f>$J$1108-EFEITO!$K$1108*EFEITO!$Y$1108</f>
        <v>0</v>
      </c>
      <c r="N1108" s="46">
        <f ca="1">$K$1108-EFEITO!$M$1108*EFEITO!$Z$1108</f>
        <v>0</v>
      </c>
      <c r="O1108" s="46">
        <f>$L$1108-EFEITO!$O$1108*EFEITO!$AA$1108</f>
        <v>0</v>
      </c>
      <c r="P1108" s="38"/>
      <c r="Q1108" s="38"/>
      <c r="R1108" s="38"/>
      <c r="S1108" s="38"/>
      <c r="T1108" s="38"/>
      <c r="U1108" s="38"/>
      <c r="V1108" s="38"/>
      <c r="W1108" s="38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</row>
    <row r="1109" spans="1:36" ht="11.25" customHeight="1" x14ac:dyDescent="0.2">
      <c r="A1109" s="35" t="s">
        <v>59</v>
      </c>
      <c r="B1109" s="35" t="s">
        <v>22</v>
      </c>
      <c r="C1109" s="35" t="s">
        <v>35</v>
      </c>
      <c r="D1109" s="35" t="s">
        <v>24</v>
      </c>
      <c r="E1109" s="35" t="s">
        <v>24</v>
      </c>
      <c r="F1109" s="35" t="s">
        <v>25</v>
      </c>
      <c r="G1109" s="35" t="s">
        <v>25</v>
      </c>
      <c r="H1109" s="35" t="s">
        <v>36</v>
      </c>
      <c r="I1109" s="45">
        <v>44866</v>
      </c>
      <c r="J1109" s="46">
        <f>EFEITO!$J$1109*EFEITO!$Y$1109</f>
        <v>0</v>
      </c>
      <c r="K1109" s="46">
        <f ca="1">EFEITO!$L$1109*EFEITO!$Z$1109</f>
        <v>-12.487884163269312</v>
      </c>
      <c r="L1109" s="46">
        <f>EFEITO!$N$1109*EFEITO!$AA$1109</f>
        <v>-3.6264398683254075</v>
      </c>
      <c r="M1109" s="46">
        <f>$J$1109-EFEITO!$K$1109*EFEITO!$Y$1109</f>
        <v>0</v>
      </c>
      <c r="N1109" s="46">
        <f ca="1">$K$1109-EFEITO!$M$1109*EFEITO!$Z$1109</f>
        <v>0</v>
      </c>
      <c r="O1109" s="46">
        <f>$L$1109-EFEITO!$O$1109*EFEITO!$AA$1109</f>
        <v>0</v>
      </c>
      <c r="P1109" s="38"/>
      <c r="Q1109" s="38"/>
      <c r="R1109" s="38"/>
      <c r="S1109" s="38"/>
      <c r="T1109" s="38"/>
      <c r="U1109" s="38"/>
      <c r="V1109" s="38"/>
      <c r="W1109" s="38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</row>
    <row r="1110" spans="1:36" ht="11.25" customHeight="1" x14ac:dyDescent="0.2">
      <c r="A1110" s="35" t="s">
        <v>21</v>
      </c>
      <c r="B1110" s="35" t="s">
        <v>22</v>
      </c>
      <c r="C1110" s="35" t="s">
        <v>23</v>
      </c>
      <c r="D1110" s="35" t="s">
        <v>24</v>
      </c>
      <c r="E1110" s="35" t="s">
        <v>24</v>
      </c>
      <c r="F1110" s="35" t="s">
        <v>25</v>
      </c>
      <c r="G1110" s="35" t="s">
        <v>25</v>
      </c>
      <c r="H1110" s="35" t="s">
        <v>25</v>
      </c>
      <c r="I1110" s="45">
        <v>44531</v>
      </c>
      <c r="J1110" s="46">
        <f>EFEITO!$J$1110*EFEITO!$Y$1110</f>
        <v>0</v>
      </c>
      <c r="K1110" s="46">
        <f ca="1">EFEITO!$L$1110*EFEITO!$Z$1110</f>
        <v>15395757.95853004</v>
      </c>
      <c r="L1110" s="46">
        <f>EFEITO!$N$1110*EFEITO!$AA$1110</f>
        <v>7071652.8129053498</v>
      </c>
      <c r="M1110" s="46">
        <f>$J$1110-EFEITO!$K$1110*EFEITO!$Y$1110</f>
        <v>0</v>
      </c>
      <c r="N1110" s="46">
        <f ca="1">$K$1110-EFEITO!$M$1110*EFEITO!$Z$1110</f>
        <v>0</v>
      </c>
      <c r="O1110" s="46">
        <f>$L$1110-EFEITO!$O$1110*EFEITO!$AA$1110</f>
        <v>0</v>
      </c>
      <c r="P1110" s="38"/>
      <c r="Q1110" s="38"/>
      <c r="R1110" s="38"/>
      <c r="S1110" s="38"/>
      <c r="T1110" s="38"/>
      <c r="U1110" s="38"/>
      <c r="V1110" s="38"/>
      <c r="W1110" s="38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</row>
    <row r="1111" spans="1:36" ht="11.25" customHeight="1" x14ac:dyDescent="0.2">
      <c r="A1111" s="35" t="s">
        <v>27</v>
      </c>
      <c r="B1111" s="35" t="s">
        <v>22</v>
      </c>
      <c r="C1111" s="35" t="s">
        <v>23</v>
      </c>
      <c r="D1111" s="35" t="s">
        <v>24</v>
      </c>
      <c r="E1111" s="35" t="s">
        <v>24</v>
      </c>
      <c r="F1111" s="35" t="s">
        <v>25</v>
      </c>
      <c r="G1111" s="35" t="s">
        <v>25</v>
      </c>
      <c r="H1111" s="35" t="s">
        <v>25</v>
      </c>
      <c r="I1111" s="45">
        <v>44531</v>
      </c>
      <c r="J1111" s="46">
        <f>EFEITO!$J$1111*EFEITO!$Y$1111</f>
        <v>0</v>
      </c>
      <c r="K1111" s="46">
        <f ca="1">EFEITO!$L$1111*EFEITO!$Z$1111</f>
        <v>-207631.71475971161</v>
      </c>
      <c r="L1111" s="46">
        <f>EFEITO!$N$1111*EFEITO!$AA$1111</f>
        <v>-95370.387329021527</v>
      </c>
      <c r="M1111" s="46">
        <f>$J$1111-EFEITO!$K$1111*EFEITO!$Y$1111</f>
        <v>0</v>
      </c>
      <c r="N1111" s="46">
        <f ca="1">$K$1111-EFEITO!$M$1111*EFEITO!$Z$1111</f>
        <v>0</v>
      </c>
      <c r="O1111" s="46">
        <f>$L$1111-EFEITO!$O$1111*EFEITO!$AA$1111</f>
        <v>0</v>
      </c>
      <c r="P1111" s="38"/>
      <c r="Q1111" s="38"/>
      <c r="R1111" s="38"/>
      <c r="S1111" s="38"/>
      <c r="T1111" s="38"/>
      <c r="U1111" s="38"/>
      <c r="V1111" s="38"/>
      <c r="W1111" s="38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</row>
    <row r="1112" spans="1:36" ht="11.25" customHeight="1" x14ac:dyDescent="0.2">
      <c r="A1112" s="35" t="s">
        <v>28</v>
      </c>
      <c r="B1112" s="35" t="s">
        <v>22</v>
      </c>
      <c r="C1112" s="35" t="s">
        <v>23</v>
      </c>
      <c r="D1112" s="35" t="s">
        <v>24</v>
      </c>
      <c r="E1112" s="35" t="s">
        <v>24</v>
      </c>
      <c r="F1112" s="35" t="s">
        <v>25</v>
      </c>
      <c r="G1112" s="35" t="s">
        <v>25</v>
      </c>
      <c r="H1112" s="35" t="s">
        <v>25</v>
      </c>
      <c r="I1112" s="45">
        <v>44531</v>
      </c>
      <c r="J1112" s="46">
        <f>EFEITO!$J$1112*EFEITO!$Y$1112</f>
        <v>0</v>
      </c>
      <c r="K1112" s="46">
        <f ca="1">EFEITO!$L$1112*EFEITO!$Z$1112</f>
        <v>3205641.1650079996</v>
      </c>
      <c r="L1112" s="46">
        <f>EFEITO!$N$1112*EFEITO!$AA$1112</f>
        <v>1472430.3553456499</v>
      </c>
      <c r="M1112" s="46">
        <f>$J$1112-EFEITO!$K$1112*EFEITO!$Y$1112</f>
        <v>0</v>
      </c>
      <c r="N1112" s="46">
        <f ca="1">$K$1112-EFEITO!$M$1112*EFEITO!$Z$1112</f>
        <v>0</v>
      </c>
      <c r="O1112" s="46">
        <f>$L$1112-EFEITO!$O$1112*EFEITO!$AA$1112</f>
        <v>0</v>
      </c>
      <c r="P1112" s="38"/>
      <c r="Q1112" s="38"/>
      <c r="R1112" s="38"/>
      <c r="S1112" s="38"/>
      <c r="T1112" s="38"/>
      <c r="U1112" s="38"/>
      <c r="V1112" s="38"/>
      <c r="W1112" s="38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</row>
    <row r="1113" spans="1:36" ht="11.25" customHeight="1" x14ac:dyDescent="0.2">
      <c r="A1113" s="35" t="s">
        <v>29</v>
      </c>
      <c r="B1113" s="35" t="s">
        <v>22</v>
      </c>
      <c r="C1113" s="35" t="s">
        <v>23</v>
      </c>
      <c r="D1113" s="35" t="s">
        <v>24</v>
      </c>
      <c r="E1113" s="35" t="s">
        <v>24</v>
      </c>
      <c r="F1113" s="35" t="s">
        <v>25</v>
      </c>
      <c r="G1113" s="35" t="s">
        <v>25</v>
      </c>
      <c r="H1113" s="35" t="s">
        <v>25</v>
      </c>
      <c r="I1113" s="45">
        <v>44531</v>
      </c>
      <c r="J1113" s="46">
        <f>EFEITO!$J$1113*EFEITO!$Y$1113</f>
        <v>0</v>
      </c>
      <c r="K1113" s="46">
        <f ca="1">EFEITO!$L$1113*EFEITO!$Z$1113</f>
        <v>-3232.7886546345762</v>
      </c>
      <c r="L1113" s="46">
        <f>EFEITO!$N$1113*EFEITO!$AA$1113</f>
        <v>-1484.8998694740358</v>
      </c>
      <c r="M1113" s="46">
        <f>$J$1113-EFEITO!$K$1113*EFEITO!$Y$1113</f>
        <v>0</v>
      </c>
      <c r="N1113" s="46">
        <f ca="1">$K$1113-EFEITO!$M$1113*EFEITO!$Z$1113</f>
        <v>0</v>
      </c>
      <c r="O1113" s="46">
        <f>$L$1113-EFEITO!$O$1113*EFEITO!$AA$1113</f>
        <v>0</v>
      </c>
      <c r="P1113" s="38"/>
      <c r="Q1113" s="38"/>
      <c r="R1113" s="38"/>
      <c r="S1113" s="38"/>
      <c r="T1113" s="38"/>
      <c r="U1113" s="38"/>
      <c r="V1113" s="38"/>
      <c r="W1113" s="38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</row>
    <row r="1114" spans="1:36" ht="11.25" customHeight="1" x14ac:dyDescent="0.2">
      <c r="A1114" s="35" t="s">
        <v>30</v>
      </c>
      <c r="B1114" s="35" t="s">
        <v>22</v>
      </c>
      <c r="C1114" s="35" t="s">
        <v>23</v>
      </c>
      <c r="D1114" s="35" t="s">
        <v>24</v>
      </c>
      <c r="E1114" s="35" t="s">
        <v>24</v>
      </c>
      <c r="F1114" s="35" t="s">
        <v>25</v>
      </c>
      <c r="G1114" s="35" t="s">
        <v>25</v>
      </c>
      <c r="H1114" s="35" t="s">
        <v>25</v>
      </c>
      <c r="I1114" s="45">
        <v>44531</v>
      </c>
      <c r="J1114" s="46">
        <f>EFEITO!$J$1114*EFEITO!$Y$1114</f>
        <v>0</v>
      </c>
      <c r="K1114" s="46">
        <f ca="1">EFEITO!$L$1114*EFEITO!$Z$1114</f>
        <v>210227.68874694261</v>
      </c>
      <c r="L1114" s="46">
        <f>EFEITO!$N$1114*EFEITO!$AA$1114</f>
        <v>96562.782454904911</v>
      </c>
      <c r="M1114" s="46">
        <f>$J$1114-EFEITO!$K$1114*EFEITO!$Y$1114</f>
        <v>0</v>
      </c>
      <c r="N1114" s="46">
        <f ca="1">$K$1114-EFEITO!$M$1114*EFEITO!$Z$1114</f>
        <v>0</v>
      </c>
      <c r="O1114" s="46">
        <f>$L$1114-EFEITO!$O$1114*EFEITO!$AA$1114</f>
        <v>0</v>
      </c>
      <c r="P1114" s="38"/>
      <c r="Q1114" s="38"/>
      <c r="R1114" s="38"/>
      <c r="S1114" s="38"/>
      <c r="T1114" s="38"/>
      <c r="U1114" s="38"/>
      <c r="V1114" s="38"/>
      <c r="W1114" s="38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</row>
    <row r="1115" spans="1:36" ht="11.25" customHeight="1" x14ac:dyDescent="0.2">
      <c r="A1115" s="35" t="s">
        <v>30</v>
      </c>
      <c r="B1115" s="35" t="s">
        <v>22</v>
      </c>
      <c r="C1115" s="35" t="s">
        <v>23</v>
      </c>
      <c r="D1115" s="35" t="s">
        <v>24</v>
      </c>
      <c r="E1115" s="35" t="s">
        <v>24</v>
      </c>
      <c r="F1115" s="35" t="s">
        <v>25</v>
      </c>
      <c r="G1115" s="35" t="s">
        <v>25</v>
      </c>
      <c r="H1115" s="35" t="s">
        <v>25</v>
      </c>
      <c r="I1115" s="45">
        <v>44531</v>
      </c>
      <c r="J1115" s="46">
        <f>EFEITO!$J$1115*EFEITO!$Y$1115</f>
        <v>0</v>
      </c>
      <c r="K1115" s="46">
        <f ca="1">EFEITO!$L$1115*EFEITO!$Z$1115</f>
        <v>-526.32631816949447</v>
      </c>
      <c r="L1115" s="46">
        <f>EFEITO!$N$1115*EFEITO!$AA$1115</f>
        <v>-241.75470921373147</v>
      </c>
      <c r="M1115" s="46">
        <f>$J$1115-EFEITO!$K$1115*EFEITO!$Y$1115</f>
        <v>0</v>
      </c>
      <c r="N1115" s="46">
        <f ca="1">$K$1115-EFEITO!$M$1115*EFEITO!$Z$1115</f>
        <v>0</v>
      </c>
      <c r="O1115" s="46">
        <f>$L$1115-EFEITO!$O$1115*EFEITO!$AA$1115</f>
        <v>0</v>
      </c>
      <c r="P1115" s="38"/>
      <c r="Q1115" s="38"/>
      <c r="R1115" s="38"/>
      <c r="S1115" s="38"/>
      <c r="T1115" s="38"/>
      <c r="U1115" s="38"/>
      <c r="V1115" s="38"/>
      <c r="W1115" s="38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</row>
    <row r="1116" spans="1:36" ht="11.25" customHeight="1" x14ac:dyDescent="0.2">
      <c r="A1116" s="35" t="s">
        <v>21</v>
      </c>
      <c r="B1116" s="35" t="s">
        <v>22</v>
      </c>
      <c r="C1116" s="35" t="s">
        <v>23</v>
      </c>
      <c r="D1116" s="35" t="s">
        <v>24</v>
      </c>
      <c r="E1116" s="35" t="s">
        <v>24</v>
      </c>
      <c r="F1116" s="35" t="s">
        <v>25</v>
      </c>
      <c r="G1116" s="35" t="s">
        <v>25</v>
      </c>
      <c r="H1116" s="35" t="s">
        <v>25</v>
      </c>
      <c r="I1116" s="45">
        <v>44562</v>
      </c>
      <c r="J1116" s="46">
        <f>EFEITO!$J$1116*EFEITO!$Y$1116</f>
        <v>0</v>
      </c>
      <c r="K1116" s="46">
        <f ca="1">EFEITO!$L$1116*EFEITO!$Z$1116</f>
        <v>15448516.145289304</v>
      </c>
      <c r="L1116" s="46">
        <f>EFEITO!$N$1116*EFEITO!$AA$1116</f>
        <v>7095885.9543203339</v>
      </c>
      <c r="M1116" s="46">
        <f>$J$1116-EFEITO!$K$1116*EFEITO!$Y$1116</f>
        <v>0</v>
      </c>
      <c r="N1116" s="46">
        <f ca="1">$K$1116-EFEITO!$M$1116*EFEITO!$Z$1116</f>
        <v>0</v>
      </c>
      <c r="O1116" s="46">
        <f>$L$1116-EFEITO!$O$1116*EFEITO!$AA$1116</f>
        <v>0</v>
      </c>
      <c r="P1116" s="38"/>
      <c r="Q1116" s="38"/>
      <c r="R1116" s="38"/>
      <c r="S1116" s="38"/>
      <c r="T1116" s="38"/>
      <c r="U1116" s="38"/>
      <c r="V1116" s="38"/>
      <c r="W1116" s="38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</row>
    <row r="1117" spans="1:36" ht="11.25" customHeight="1" x14ac:dyDescent="0.2">
      <c r="A1117" s="35" t="s">
        <v>27</v>
      </c>
      <c r="B1117" s="35" t="s">
        <v>22</v>
      </c>
      <c r="C1117" s="35" t="s">
        <v>23</v>
      </c>
      <c r="D1117" s="35" t="s">
        <v>24</v>
      </c>
      <c r="E1117" s="35" t="s">
        <v>24</v>
      </c>
      <c r="F1117" s="35" t="s">
        <v>25</v>
      </c>
      <c r="G1117" s="35" t="s">
        <v>25</v>
      </c>
      <c r="H1117" s="35" t="s">
        <v>25</v>
      </c>
      <c r="I1117" s="45">
        <v>44562</v>
      </c>
      <c r="J1117" s="46">
        <f>EFEITO!$J$1117*EFEITO!$Y$1117</f>
        <v>0</v>
      </c>
      <c r="K1117" s="46">
        <f ca="1">EFEITO!$L$1117*EFEITO!$Z$1117</f>
        <v>-107883.33529097673</v>
      </c>
      <c r="L1117" s="46">
        <f>EFEITO!$N$1117*EFEITO!$AA$1117</f>
        <v>-49553.486975505046</v>
      </c>
      <c r="M1117" s="46">
        <f>$J$1117-EFEITO!$K$1117*EFEITO!$Y$1117</f>
        <v>0</v>
      </c>
      <c r="N1117" s="46">
        <f ca="1">$K$1117-EFEITO!$M$1117*EFEITO!$Z$1117</f>
        <v>0</v>
      </c>
      <c r="O1117" s="46">
        <f>$L$1117-EFEITO!$O$1117*EFEITO!$AA$1117</f>
        <v>0</v>
      </c>
      <c r="P1117" s="38"/>
      <c r="Q1117" s="38"/>
      <c r="R1117" s="38"/>
      <c r="S1117" s="38"/>
      <c r="T1117" s="38"/>
      <c r="U1117" s="38"/>
      <c r="V1117" s="38"/>
      <c r="W1117" s="38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</row>
    <row r="1118" spans="1:36" ht="11.25" customHeight="1" x14ac:dyDescent="0.2">
      <c r="A1118" s="35" t="s">
        <v>28</v>
      </c>
      <c r="B1118" s="35" t="s">
        <v>22</v>
      </c>
      <c r="C1118" s="35" t="s">
        <v>23</v>
      </c>
      <c r="D1118" s="35" t="s">
        <v>24</v>
      </c>
      <c r="E1118" s="35" t="s">
        <v>24</v>
      </c>
      <c r="F1118" s="35" t="s">
        <v>25</v>
      </c>
      <c r="G1118" s="35" t="s">
        <v>25</v>
      </c>
      <c r="H1118" s="35" t="s">
        <v>25</v>
      </c>
      <c r="I1118" s="45">
        <v>44562</v>
      </c>
      <c r="J1118" s="46">
        <f>EFEITO!$J$1118*EFEITO!$Y$1118</f>
        <v>0</v>
      </c>
      <c r="K1118" s="46">
        <f ca="1">EFEITO!$L$1118*EFEITO!$Z$1118</f>
        <v>3273758.2367503331</v>
      </c>
      <c r="L1118" s="46">
        <f>EFEITO!$N$1118*EFEITO!$AA$1118</f>
        <v>1503718.2129029753</v>
      </c>
      <c r="M1118" s="46">
        <f>$J$1118-EFEITO!$K$1118*EFEITO!$Y$1118</f>
        <v>0</v>
      </c>
      <c r="N1118" s="46">
        <f ca="1">$K$1118-EFEITO!$M$1118*EFEITO!$Z$1118</f>
        <v>0</v>
      </c>
      <c r="O1118" s="46">
        <f>$L$1118-EFEITO!$O$1118*EFEITO!$AA$1118</f>
        <v>0</v>
      </c>
      <c r="P1118" s="38"/>
      <c r="Q1118" s="38"/>
      <c r="R1118" s="38"/>
      <c r="S1118" s="38"/>
      <c r="T1118" s="38"/>
      <c r="U1118" s="38"/>
      <c r="V1118" s="38"/>
      <c r="W1118" s="38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</row>
    <row r="1119" spans="1:36" ht="11.25" customHeight="1" x14ac:dyDescent="0.2">
      <c r="A1119" s="35" t="s">
        <v>29</v>
      </c>
      <c r="B1119" s="35" t="s">
        <v>22</v>
      </c>
      <c r="C1119" s="35" t="s">
        <v>23</v>
      </c>
      <c r="D1119" s="35" t="s">
        <v>24</v>
      </c>
      <c r="E1119" s="35" t="s">
        <v>24</v>
      </c>
      <c r="F1119" s="35" t="s">
        <v>25</v>
      </c>
      <c r="G1119" s="35" t="s">
        <v>25</v>
      </c>
      <c r="H1119" s="35" t="s">
        <v>25</v>
      </c>
      <c r="I1119" s="45">
        <v>44562</v>
      </c>
      <c r="J1119" s="46">
        <f>EFEITO!$J$1119*EFEITO!$Y$1119</f>
        <v>0</v>
      </c>
      <c r="K1119" s="46">
        <f ca="1">EFEITO!$L$1119*EFEITO!$Z$1119</f>
        <v>-13793.465962333174</v>
      </c>
      <c r="L1119" s="46">
        <f>EFEITO!$N$1119*EFEITO!$AA$1119</f>
        <v>-6335.6804280106244</v>
      </c>
      <c r="M1119" s="46">
        <f>$J$1119-EFEITO!$K$1119*EFEITO!$Y$1119</f>
        <v>0</v>
      </c>
      <c r="N1119" s="46">
        <f ca="1">$K$1119-EFEITO!$M$1119*EFEITO!$Z$1119</f>
        <v>0</v>
      </c>
      <c r="O1119" s="46">
        <f>$L$1119-EFEITO!$O$1119*EFEITO!$AA$1119</f>
        <v>0</v>
      </c>
      <c r="P1119" s="38"/>
      <c r="Q1119" s="38"/>
      <c r="R1119" s="38"/>
      <c r="S1119" s="38"/>
      <c r="T1119" s="38"/>
      <c r="U1119" s="38"/>
      <c r="V1119" s="38"/>
      <c r="W1119" s="38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</row>
    <row r="1120" spans="1:36" ht="11.25" customHeight="1" x14ac:dyDescent="0.2">
      <c r="A1120" s="35" t="s">
        <v>30</v>
      </c>
      <c r="B1120" s="35" t="s">
        <v>22</v>
      </c>
      <c r="C1120" s="35" t="s">
        <v>23</v>
      </c>
      <c r="D1120" s="35" t="s">
        <v>24</v>
      </c>
      <c r="E1120" s="35" t="s">
        <v>24</v>
      </c>
      <c r="F1120" s="35" t="s">
        <v>25</v>
      </c>
      <c r="G1120" s="35" t="s">
        <v>25</v>
      </c>
      <c r="H1120" s="35" t="s">
        <v>25</v>
      </c>
      <c r="I1120" s="45">
        <v>44562</v>
      </c>
      <c r="J1120" s="46">
        <f>EFEITO!$J$1120*EFEITO!$Y$1120</f>
        <v>0</v>
      </c>
      <c r="K1120" s="46">
        <f ca="1">EFEITO!$L$1120*EFEITO!$Z$1120</f>
        <v>212179.81699000066</v>
      </c>
      <c r="L1120" s="46">
        <f>EFEITO!$N$1120*EFEITO!$AA$1120</f>
        <v>97459.443289555449</v>
      </c>
      <c r="M1120" s="46">
        <f>$J$1120-EFEITO!$K$1120*EFEITO!$Y$1120</f>
        <v>0</v>
      </c>
      <c r="N1120" s="46">
        <f ca="1">$K$1120-EFEITO!$M$1120*EFEITO!$Z$1120</f>
        <v>0</v>
      </c>
      <c r="O1120" s="46">
        <f>$L$1120-EFEITO!$O$1120*EFEITO!$AA$1120</f>
        <v>0</v>
      </c>
      <c r="P1120" s="38"/>
      <c r="Q1120" s="38"/>
      <c r="R1120" s="38"/>
      <c r="S1120" s="38"/>
      <c r="T1120" s="38"/>
      <c r="U1120" s="38"/>
      <c r="V1120" s="38"/>
      <c r="W1120" s="38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</row>
    <row r="1121" spans="1:36" ht="11.25" customHeight="1" x14ac:dyDescent="0.2">
      <c r="A1121" s="35" t="s">
        <v>30</v>
      </c>
      <c r="B1121" s="35" t="s">
        <v>22</v>
      </c>
      <c r="C1121" s="35" t="s">
        <v>23</v>
      </c>
      <c r="D1121" s="35" t="s">
        <v>24</v>
      </c>
      <c r="E1121" s="35" t="s">
        <v>24</v>
      </c>
      <c r="F1121" s="35" t="s">
        <v>25</v>
      </c>
      <c r="G1121" s="35" t="s">
        <v>25</v>
      </c>
      <c r="H1121" s="35" t="s">
        <v>25</v>
      </c>
      <c r="I1121" s="45">
        <v>44562</v>
      </c>
      <c r="J1121" s="46">
        <f>EFEITO!$J$1121*EFEITO!$Y$1121</f>
        <v>0</v>
      </c>
      <c r="K1121" s="46">
        <f ca="1">EFEITO!$L$1121*EFEITO!$Z$1121</f>
        <v>-1658.3296780493042</v>
      </c>
      <c r="L1121" s="46">
        <f>EFEITO!$N$1121*EFEITO!$AA$1121</f>
        <v>-761.71187960280656</v>
      </c>
      <c r="M1121" s="46">
        <f>$J$1121-EFEITO!$K$1121*EFEITO!$Y$1121</f>
        <v>0</v>
      </c>
      <c r="N1121" s="46">
        <f ca="1">$K$1121-EFEITO!$M$1121*EFEITO!$Z$1121</f>
        <v>0</v>
      </c>
      <c r="O1121" s="46">
        <f>$L$1121-EFEITO!$O$1121*EFEITO!$AA$1121</f>
        <v>0</v>
      </c>
      <c r="P1121" s="38"/>
      <c r="Q1121" s="38"/>
      <c r="R1121" s="38"/>
      <c r="S1121" s="38"/>
      <c r="T1121" s="38"/>
      <c r="U1121" s="38"/>
      <c r="V1121" s="38"/>
      <c r="W1121" s="38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</row>
    <row r="1122" spans="1:36" ht="11.25" customHeight="1" x14ac:dyDescent="0.2">
      <c r="A1122" s="35" t="s">
        <v>21</v>
      </c>
      <c r="B1122" s="35" t="s">
        <v>22</v>
      </c>
      <c r="C1122" s="35" t="s">
        <v>23</v>
      </c>
      <c r="D1122" s="35" t="s">
        <v>24</v>
      </c>
      <c r="E1122" s="35" t="s">
        <v>24</v>
      </c>
      <c r="F1122" s="35" t="s">
        <v>25</v>
      </c>
      <c r="G1122" s="35" t="s">
        <v>25</v>
      </c>
      <c r="H1122" s="35" t="s">
        <v>25</v>
      </c>
      <c r="I1122" s="45">
        <v>44593</v>
      </c>
      <c r="J1122" s="46">
        <f>EFEITO!$J$1122*EFEITO!$Y$1122</f>
        <v>0</v>
      </c>
      <c r="K1122" s="46">
        <f ca="1">EFEITO!$L$1122*EFEITO!$Z$1122</f>
        <v>13956185.669788551</v>
      </c>
      <c r="L1122" s="46">
        <f>EFEITO!$N$1122*EFEITO!$AA$1122</f>
        <v>6410421.6184113482</v>
      </c>
      <c r="M1122" s="46">
        <f>$J$1122-EFEITO!$K$1122*EFEITO!$Y$1122</f>
        <v>0</v>
      </c>
      <c r="N1122" s="46">
        <f ca="1">$K$1122-EFEITO!$M$1122*EFEITO!$Z$1122</f>
        <v>0</v>
      </c>
      <c r="O1122" s="46">
        <f>$L$1122-EFEITO!$O$1122*EFEITO!$AA$1122</f>
        <v>0</v>
      </c>
      <c r="P1122" s="38"/>
      <c r="Q1122" s="38"/>
      <c r="R1122" s="38"/>
      <c r="S1122" s="38"/>
      <c r="T1122" s="38"/>
      <c r="U1122" s="38"/>
      <c r="V1122" s="38"/>
      <c r="W1122" s="38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</row>
    <row r="1123" spans="1:36" ht="11.25" customHeight="1" x14ac:dyDescent="0.2">
      <c r="A1123" s="35" t="s">
        <v>27</v>
      </c>
      <c r="B1123" s="35" t="s">
        <v>22</v>
      </c>
      <c r="C1123" s="35" t="s">
        <v>23</v>
      </c>
      <c r="D1123" s="35" t="s">
        <v>24</v>
      </c>
      <c r="E1123" s="35" t="s">
        <v>24</v>
      </c>
      <c r="F1123" s="35" t="s">
        <v>25</v>
      </c>
      <c r="G1123" s="35" t="s">
        <v>25</v>
      </c>
      <c r="H1123" s="35" t="s">
        <v>25</v>
      </c>
      <c r="I1123" s="45">
        <v>44593</v>
      </c>
      <c r="J1123" s="46">
        <f>EFEITO!$J$1123*EFEITO!$Y$1123</f>
        <v>0</v>
      </c>
      <c r="K1123" s="46">
        <f ca="1">EFEITO!$L$1123*EFEITO!$Z$1123</f>
        <v>-111744.90309670693</v>
      </c>
      <c r="L1123" s="46">
        <f>EFEITO!$N$1123*EFEITO!$AA$1123</f>
        <v>-51327.200676978697</v>
      </c>
      <c r="M1123" s="46">
        <f>$J$1123-EFEITO!$K$1123*EFEITO!$Y$1123</f>
        <v>0</v>
      </c>
      <c r="N1123" s="46">
        <f ca="1">$K$1123-EFEITO!$M$1123*EFEITO!$Z$1123</f>
        <v>0</v>
      </c>
      <c r="O1123" s="46">
        <f>$L$1123-EFEITO!$O$1123*EFEITO!$AA$1123</f>
        <v>0</v>
      </c>
      <c r="P1123" s="38"/>
      <c r="Q1123" s="38"/>
      <c r="R1123" s="38"/>
      <c r="S1123" s="38"/>
      <c r="T1123" s="38"/>
      <c r="U1123" s="38"/>
      <c r="V1123" s="38"/>
      <c r="W1123" s="38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</row>
    <row r="1124" spans="1:36" ht="11.25" customHeight="1" x14ac:dyDescent="0.2">
      <c r="A1124" s="35" t="s">
        <v>28</v>
      </c>
      <c r="B1124" s="35" t="s">
        <v>22</v>
      </c>
      <c r="C1124" s="35" t="s">
        <v>23</v>
      </c>
      <c r="D1124" s="35" t="s">
        <v>24</v>
      </c>
      <c r="E1124" s="35" t="s">
        <v>24</v>
      </c>
      <c r="F1124" s="35" t="s">
        <v>25</v>
      </c>
      <c r="G1124" s="35" t="s">
        <v>25</v>
      </c>
      <c r="H1124" s="35" t="s">
        <v>25</v>
      </c>
      <c r="I1124" s="45">
        <v>44593</v>
      </c>
      <c r="J1124" s="46">
        <f>EFEITO!$J$1124*EFEITO!$Y$1124</f>
        <v>0</v>
      </c>
      <c r="K1124" s="46">
        <f ca="1">EFEITO!$L$1124*EFEITO!$Z$1124</f>
        <v>2952687.6316122487</v>
      </c>
      <c r="L1124" s="46">
        <f>EFEITO!$N$1124*EFEITO!$AA$1124</f>
        <v>1356242.5345971868</v>
      </c>
      <c r="M1124" s="46">
        <f>$J$1124-EFEITO!$K$1124*EFEITO!$Y$1124</f>
        <v>0</v>
      </c>
      <c r="N1124" s="46">
        <f ca="1">$K$1124-EFEITO!$M$1124*EFEITO!$Z$1124</f>
        <v>0</v>
      </c>
      <c r="O1124" s="46">
        <f>$L$1124-EFEITO!$O$1124*EFEITO!$AA$1124</f>
        <v>0</v>
      </c>
      <c r="P1124" s="38"/>
      <c r="Q1124" s="38"/>
      <c r="R1124" s="38"/>
      <c r="S1124" s="38"/>
      <c r="T1124" s="38"/>
      <c r="U1124" s="38"/>
      <c r="V1124" s="38"/>
      <c r="W1124" s="38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</row>
    <row r="1125" spans="1:36" ht="11.25" customHeight="1" x14ac:dyDescent="0.2">
      <c r="A1125" s="35" t="s">
        <v>29</v>
      </c>
      <c r="B1125" s="35" t="s">
        <v>22</v>
      </c>
      <c r="C1125" s="35" t="s">
        <v>23</v>
      </c>
      <c r="D1125" s="35" t="s">
        <v>24</v>
      </c>
      <c r="E1125" s="35" t="s">
        <v>24</v>
      </c>
      <c r="F1125" s="35" t="s">
        <v>25</v>
      </c>
      <c r="G1125" s="35" t="s">
        <v>25</v>
      </c>
      <c r="H1125" s="35" t="s">
        <v>25</v>
      </c>
      <c r="I1125" s="45">
        <v>44593</v>
      </c>
      <c r="J1125" s="46">
        <f>EFEITO!$J$1125*EFEITO!$Y$1125</f>
        <v>0</v>
      </c>
      <c r="K1125" s="46">
        <f ca="1">EFEITO!$L$1125*EFEITO!$Z$1125</f>
        <v>-24177.86413102653</v>
      </c>
      <c r="L1125" s="46">
        <f>EFEITO!$N$1125*EFEITO!$AA$1125</f>
        <v>-11105.491613518569</v>
      </c>
      <c r="M1125" s="46">
        <f>$J$1125-EFEITO!$K$1125*EFEITO!$Y$1125</f>
        <v>0</v>
      </c>
      <c r="N1125" s="46">
        <f ca="1">$K$1125-EFEITO!$M$1125*EFEITO!$Z$1125</f>
        <v>0</v>
      </c>
      <c r="O1125" s="46">
        <f>$L$1125-EFEITO!$O$1125*EFEITO!$AA$1125</f>
        <v>0</v>
      </c>
      <c r="P1125" s="38"/>
      <c r="Q1125" s="38"/>
      <c r="R1125" s="38"/>
      <c r="S1125" s="38"/>
      <c r="T1125" s="38"/>
      <c r="U1125" s="38"/>
      <c r="V1125" s="38"/>
      <c r="W1125" s="38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</row>
    <row r="1126" spans="1:36" ht="11.25" customHeight="1" x14ac:dyDescent="0.2">
      <c r="A1126" s="35" t="s">
        <v>30</v>
      </c>
      <c r="B1126" s="35" t="s">
        <v>22</v>
      </c>
      <c r="C1126" s="35" t="s">
        <v>23</v>
      </c>
      <c r="D1126" s="35" t="s">
        <v>24</v>
      </c>
      <c r="E1126" s="35" t="s">
        <v>24</v>
      </c>
      <c r="F1126" s="35" t="s">
        <v>25</v>
      </c>
      <c r="G1126" s="35" t="s">
        <v>25</v>
      </c>
      <c r="H1126" s="35" t="s">
        <v>25</v>
      </c>
      <c r="I1126" s="45">
        <v>44593</v>
      </c>
      <c r="J1126" s="46">
        <f>EFEITO!$J$1126*EFEITO!$Y$1126</f>
        <v>0</v>
      </c>
      <c r="K1126" s="46">
        <f ca="1">EFEITO!$L$1126*EFEITO!$Z$1126</f>
        <v>204196.53153807102</v>
      </c>
      <c r="L1126" s="46">
        <f>EFEITO!$N$1126*EFEITO!$AA$1126</f>
        <v>93792.522623847952</v>
      </c>
      <c r="M1126" s="46">
        <f>$J$1126-EFEITO!$K$1126*EFEITO!$Y$1126</f>
        <v>0</v>
      </c>
      <c r="N1126" s="46">
        <f ca="1">$K$1126-EFEITO!$M$1126*EFEITO!$Z$1126</f>
        <v>0</v>
      </c>
      <c r="O1126" s="46">
        <f>$L$1126-EFEITO!$O$1126*EFEITO!$AA$1126</f>
        <v>0</v>
      </c>
      <c r="P1126" s="38"/>
      <c r="Q1126" s="38"/>
      <c r="R1126" s="38"/>
      <c r="S1126" s="38"/>
      <c r="T1126" s="38"/>
      <c r="U1126" s="38"/>
      <c r="V1126" s="38"/>
      <c r="W1126" s="38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</row>
    <row r="1127" spans="1:36" ht="11.25" customHeight="1" x14ac:dyDescent="0.2">
      <c r="A1127" s="35" t="s">
        <v>30</v>
      </c>
      <c r="B1127" s="35" t="s">
        <v>22</v>
      </c>
      <c r="C1127" s="35" t="s">
        <v>23</v>
      </c>
      <c r="D1127" s="35" t="s">
        <v>24</v>
      </c>
      <c r="E1127" s="35" t="s">
        <v>24</v>
      </c>
      <c r="F1127" s="35" t="s">
        <v>25</v>
      </c>
      <c r="G1127" s="35" t="s">
        <v>25</v>
      </c>
      <c r="H1127" s="35" t="s">
        <v>25</v>
      </c>
      <c r="I1127" s="45">
        <v>44593</v>
      </c>
      <c r="J1127" s="46">
        <f>EFEITO!$J$1127*EFEITO!$Y$1127</f>
        <v>0</v>
      </c>
      <c r="K1127" s="46">
        <f ca="1">EFEITO!$L$1127*EFEITO!$Z$1127</f>
        <v>-335.48280585612815</v>
      </c>
      <c r="L1127" s="46">
        <f>EFEITO!$N$1127*EFEITO!$AA$1127</f>
        <v>-154.09555892630976</v>
      </c>
      <c r="M1127" s="46">
        <f>$J$1127-EFEITO!$K$1127*EFEITO!$Y$1127</f>
        <v>0</v>
      </c>
      <c r="N1127" s="46">
        <f ca="1">$K$1127-EFEITO!$M$1127*EFEITO!$Z$1127</f>
        <v>0</v>
      </c>
      <c r="O1127" s="46">
        <f>$L$1127-EFEITO!$O$1127*EFEITO!$AA$1127</f>
        <v>0</v>
      </c>
      <c r="P1127" s="38"/>
      <c r="Q1127" s="38"/>
      <c r="R1127" s="38"/>
      <c r="S1127" s="38"/>
      <c r="T1127" s="38"/>
      <c r="U1127" s="38"/>
      <c r="V1127" s="38"/>
      <c r="W1127" s="38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</row>
    <row r="1128" spans="1:36" ht="11.25" customHeight="1" x14ac:dyDescent="0.2">
      <c r="A1128" s="35" t="s">
        <v>21</v>
      </c>
      <c r="B1128" s="35" t="s">
        <v>22</v>
      </c>
      <c r="C1128" s="35" t="s">
        <v>23</v>
      </c>
      <c r="D1128" s="35" t="s">
        <v>24</v>
      </c>
      <c r="E1128" s="35" t="s">
        <v>24</v>
      </c>
      <c r="F1128" s="35" t="s">
        <v>25</v>
      </c>
      <c r="G1128" s="35" t="s">
        <v>25</v>
      </c>
      <c r="H1128" s="35" t="s">
        <v>25</v>
      </c>
      <c r="I1128" s="45">
        <v>44621</v>
      </c>
      <c r="J1128" s="46">
        <f>EFEITO!$J$1128*EFEITO!$Y$1128</f>
        <v>0</v>
      </c>
      <c r="K1128" s="46">
        <f ca="1">EFEITO!$L$1128*EFEITO!$Z$1128</f>
        <v>14351201.104871294</v>
      </c>
      <c r="L1128" s="46">
        <f>EFEITO!$N$1128*EFEITO!$AA$1128</f>
        <v>6591861.9879058702</v>
      </c>
      <c r="M1128" s="46">
        <f>$J$1128-EFEITO!$K$1128*EFEITO!$Y$1128</f>
        <v>0</v>
      </c>
      <c r="N1128" s="46">
        <f ca="1">$K$1128-EFEITO!$M$1128*EFEITO!$Z$1128</f>
        <v>0</v>
      </c>
      <c r="O1128" s="46">
        <f>$L$1128-EFEITO!$O$1128*EFEITO!$AA$1128</f>
        <v>0</v>
      </c>
      <c r="P1128" s="38"/>
      <c r="Q1128" s="38"/>
      <c r="R1128" s="38"/>
      <c r="S1128" s="38"/>
      <c r="T1128" s="38"/>
      <c r="U1128" s="38"/>
      <c r="V1128" s="38"/>
      <c r="W1128" s="38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</row>
    <row r="1129" spans="1:36" ht="11.25" customHeight="1" x14ac:dyDescent="0.2">
      <c r="A1129" s="35" t="s">
        <v>27</v>
      </c>
      <c r="B1129" s="35" t="s">
        <v>22</v>
      </c>
      <c r="C1129" s="35" t="s">
        <v>23</v>
      </c>
      <c r="D1129" s="35" t="s">
        <v>24</v>
      </c>
      <c r="E1129" s="35" t="s">
        <v>24</v>
      </c>
      <c r="F1129" s="35" t="s">
        <v>25</v>
      </c>
      <c r="G1129" s="35" t="s">
        <v>25</v>
      </c>
      <c r="H1129" s="35" t="s">
        <v>25</v>
      </c>
      <c r="I1129" s="45">
        <v>44621</v>
      </c>
      <c r="J1129" s="46">
        <f>EFEITO!$J$1129*EFEITO!$Y$1129</f>
        <v>0</v>
      </c>
      <c r="K1129" s="46">
        <f ca="1">EFEITO!$L$1129*EFEITO!$Z$1129</f>
        <v>-202482.95768540466</v>
      </c>
      <c r="L1129" s="46">
        <f>EFEITO!$N$1129*EFEITO!$AA$1129</f>
        <v>-93005.435727056669</v>
      </c>
      <c r="M1129" s="46">
        <f>$J$1129-EFEITO!$K$1129*EFEITO!$Y$1129</f>
        <v>0</v>
      </c>
      <c r="N1129" s="46">
        <f ca="1">$K$1129-EFEITO!$M$1129*EFEITO!$Z$1129</f>
        <v>0</v>
      </c>
      <c r="O1129" s="46">
        <f>$L$1129-EFEITO!$O$1129*EFEITO!$AA$1129</f>
        <v>0</v>
      </c>
      <c r="P1129" s="38"/>
      <c r="Q1129" s="38"/>
      <c r="R1129" s="38"/>
      <c r="S1129" s="38"/>
      <c r="T1129" s="38"/>
      <c r="U1129" s="38"/>
      <c r="V1129" s="38"/>
      <c r="W1129" s="38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</row>
    <row r="1130" spans="1:36" ht="11.25" customHeight="1" x14ac:dyDescent="0.2">
      <c r="A1130" s="35" t="s">
        <v>28</v>
      </c>
      <c r="B1130" s="35" t="s">
        <v>22</v>
      </c>
      <c r="C1130" s="35" t="s">
        <v>23</v>
      </c>
      <c r="D1130" s="35" t="s">
        <v>24</v>
      </c>
      <c r="E1130" s="35" t="s">
        <v>24</v>
      </c>
      <c r="F1130" s="35" t="s">
        <v>25</v>
      </c>
      <c r="G1130" s="35" t="s">
        <v>25</v>
      </c>
      <c r="H1130" s="35" t="s">
        <v>25</v>
      </c>
      <c r="I1130" s="45">
        <v>44621</v>
      </c>
      <c r="J1130" s="46">
        <f>EFEITO!$J$1130*EFEITO!$Y$1130</f>
        <v>0</v>
      </c>
      <c r="K1130" s="46">
        <f ca="1">EFEITO!$L$1130*EFEITO!$Z$1130</f>
        <v>3072620.2236069678</v>
      </c>
      <c r="L1130" s="46">
        <f>EFEITO!$N$1130*EFEITO!$AA$1130</f>
        <v>1411330.5435034703</v>
      </c>
      <c r="M1130" s="46">
        <f>$J$1130-EFEITO!$K$1130*EFEITO!$Y$1130</f>
        <v>0</v>
      </c>
      <c r="N1130" s="46">
        <f ca="1">$K$1130-EFEITO!$M$1130*EFEITO!$Z$1130</f>
        <v>0</v>
      </c>
      <c r="O1130" s="46">
        <f>$L$1130-EFEITO!$O$1130*EFEITO!$AA$1130</f>
        <v>0</v>
      </c>
      <c r="P1130" s="38"/>
      <c r="Q1130" s="38"/>
      <c r="R1130" s="38"/>
      <c r="S1130" s="38"/>
      <c r="T1130" s="38"/>
      <c r="U1130" s="38"/>
      <c r="V1130" s="38"/>
      <c r="W1130" s="38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</row>
    <row r="1131" spans="1:36" ht="11.25" customHeight="1" x14ac:dyDescent="0.2">
      <c r="A1131" s="35" t="s">
        <v>29</v>
      </c>
      <c r="B1131" s="35" t="s">
        <v>22</v>
      </c>
      <c r="C1131" s="35" t="s">
        <v>23</v>
      </c>
      <c r="D1131" s="35" t="s">
        <v>24</v>
      </c>
      <c r="E1131" s="35" t="s">
        <v>24</v>
      </c>
      <c r="F1131" s="35" t="s">
        <v>25</v>
      </c>
      <c r="G1131" s="35" t="s">
        <v>25</v>
      </c>
      <c r="H1131" s="35" t="s">
        <v>25</v>
      </c>
      <c r="I1131" s="45">
        <v>44621</v>
      </c>
      <c r="J1131" s="46">
        <f>EFEITO!$J$1131*EFEITO!$Y$1131</f>
        <v>0</v>
      </c>
      <c r="K1131" s="46">
        <f ca="1">EFEITO!$L$1131*EFEITO!$Z$1131</f>
        <v>-5155.2859313071194</v>
      </c>
      <c r="L1131" s="46">
        <f>EFEITO!$N$1131*EFEITO!$AA$1131</f>
        <v>-2367.9504676325892</v>
      </c>
      <c r="M1131" s="46">
        <f>$J$1131-EFEITO!$K$1131*EFEITO!$Y$1131</f>
        <v>0</v>
      </c>
      <c r="N1131" s="46">
        <f ca="1">$K$1131-EFEITO!$M$1131*EFEITO!$Z$1131</f>
        <v>0</v>
      </c>
      <c r="O1131" s="46">
        <f>$L$1131-EFEITO!$O$1131*EFEITO!$AA$1131</f>
        <v>0</v>
      </c>
      <c r="P1131" s="38"/>
      <c r="Q1131" s="38"/>
      <c r="R1131" s="38"/>
      <c r="S1131" s="38"/>
      <c r="T1131" s="38"/>
      <c r="U1131" s="38"/>
      <c r="V1131" s="38"/>
      <c r="W1131" s="38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</row>
    <row r="1132" spans="1:36" ht="11.25" customHeight="1" x14ac:dyDescent="0.2">
      <c r="A1132" s="35" t="s">
        <v>30</v>
      </c>
      <c r="B1132" s="35" t="s">
        <v>22</v>
      </c>
      <c r="C1132" s="35" t="s">
        <v>23</v>
      </c>
      <c r="D1132" s="35" t="s">
        <v>24</v>
      </c>
      <c r="E1132" s="35" t="s">
        <v>24</v>
      </c>
      <c r="F1132" s="35" t="s">
        <v>25</v>
      </c>
      <c r="G1132" s="35" t="s">
        <v>25</v>
      </c>
      <c r="H1132" s="35" t="s">
        <v>25</v>
      </c>
      <c r="I1132" s="45">
        <v>44621</v>
      </c>
      <c r="J1132" s="46">
        <f>EFEITO!$J$1132*EFEITO!$Y$1132</f>
        <v>0</v>
      </c>
      <c r="K1132" s="46">
        <f ca="1">EFEITO!$L$1132*EFEITO!$Z$1132</f>
        <v>221396.55419519776</v>
      </c>
      <c r="L1132" s="46">
        <f>EFEITO!$N$1132*EFEITO!$AA$1132</f>
        <v>101692.91888448905</v>
      </c>
      <c r="M1132" s="46">
        <f>$J$1132-EFEITO!$K$1132*EFEITO!$Y$1132</f>
        <v>0</v>
      </c>
      <c r="N1132" s="46">
        <f ca="1">$K$1132-EFEITO!$M$1132*EFEITO!$Z$1132</f>
        <v>0</v>
      </c>
      <c r="O1132" s="46">
        <f>$L$1132-EFEITO!$O$1132*EFEITO!$AA$1132</f>
        <v>0</v>
      </c>
      <c r="P1132" s="38"/>
      <c r="Q1132" s="38"/>
      <c r="R1132" s="38"/>
      <c r="S1132" s="38"/>
      <c r="T1132" s="38"/>
      <c r="U1132" s="38"/>
      <c r="V1132" s="38"/>
      <c r="W1132" s="38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</row>
    <row r="1133" spans="1:36" ht="11.25" customHeight="1" x14ac:dyDescent="0.2">
      <c r="A1133" s="35" t="s">
        <v>30</v>
      </c>
      <c r="B1133" s="35" t="s">
        <v>22</v>
      </c>
      <c r="C1133" s="35" t="s">
        <v>23</v>
      </c>
      <c r="D1133" s="35" t="s">
        <v>24</v>
      </c>
      <c r="E1133" s="35" t="s">
        <v>24</v>
      </c>
      <c r="F1133" s="35" t="s">
        <v>25</v>
      </c>
      <c r="G1133" s="35" t="s">
        <v>25</v>
      </c>
      <c r="H1133" s="35" t="s">
        <v>25</v>
      </c>
      <c r="I1133" s="45">
        <v>44621</v>
      </c>
      <c r="J1133" s="46">
        <f>EFEITO!$J$1133*EFEITO!$Y$1133</f>
        <v>0</v>
      </c>
      <c r="K1133" s="46">
        <f ca="1">EFEITO!$L$1133*EFEITO!$Z$1133</f>
        <v>-425.38014455110857</v>
      </c>
      <c r="L1133" s="46">
        <f>EFEITO!$N$1133*EFEITO!$AA$1133</f>
        <v>-195.38763235117418</v>
      </c>
      <c r="M1133" s="46">
        <f>$J$1133-EFEITO!$K$1133*EFEITO!$Y$1133</f>
        <v>0</v>
      </c>
      <c r="N1133" s="46">
        <f ca="1">$K$1133-EFEITO!$M$1133*EFEITO!$Z$1133</f>
        <v>0</v>
      </c>
      <c r="O1133" s="46">
        <f>$L$1133-EFEITO!$O$1133*EFEITO!$AA$1133</f>
        <v>0</v>
      </c>
      <c r="P1133" s="38"/>
      <c r="Q1133" s="38"/>
      <c r="R1133" s="38"/>
      <c r="S1133" s="38"/>
      <c r="T1133" s="38"/>
      <c r="U1133" s="38"/>
      <c r="V1133" s="38"/>
      <c r="W1133" s="38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</row>
    <row r="1134" spans="1:36" ht="11.25" customHeight="1" x14ac:dyDescent="0.2">
      <c r="A1134" s="35" t="s">
        <v>21</v>
      </c>
      <c r="B1134" s="35" t="s">
        <v>22</v>
      </c>
      <c r="C1134" s="35" t="s">
        <v>23</v>
      </c>
      <c r="D1134" s="35" t="s">
        <v>24</v>
      </c>
      <c r="E1134" s="35" t="s">
        <v>24</v>
      </c>
      <c r="F1134" s="35" t="s">
        <v>25</v>
      </c>
      <c r="G1134" s="35" t="s">
        <v>25</v>
      </c>
      <c r="H1134" s="35" t="s">
        <v>25</v>
      </c>
      <c r="I1134" s="45">
        <v>44652</v>
      </c>
      <c r="J1134" s="46">
        <f>EFEITO!$J$1134*EFEITO!$Y$1134</f>
        <v>0</v>
      </c>
      <c r="K1134" s="46">
        <f ca="1">EFEITO!$L$1134*EFEITO!$Z$1134</f>
        <v>14128546.490154136</v>
      </c>
      <c r="L1134" s="46">
        <f>EFEITO!$N$1134*EFEITO!$AA$1134</f>
        <v>6489591.2106754072</v>
      </c>
      <c r="M1134" s="46">
        <f>$J$1134-EFEITO!$K$1134*EFEITO!$Y$1134</f>
        <v>0</v>
      </c>
      <c r="N1134" s="46">
        <f ca="1">$K$1134-EFEITO!$M$1134*EFEITO!$Z$1134</f>
        <v>0</v>
      </c>
      <c r="O1134" s="46">
        <f>$L$1134-EFEITO!$O$1134*EFEITO!$AA$1134</f>
        <v>0</v>
      </c>
      <c r="P1134" s="38"/>
      <c r="Q1134" s="38"/>
      <c r="R1134" s="38"/>
      <c r="S1134" s="38"/>
      <c r="T1134" s="38"/>
      <c r="U1134" s="38"/>
      <c r="V1134" s="38"/>
      <c r="W1134" s="38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</row>
    <row r="1135" spans="1:36" ht="11.25" customHeight="1" x14ac:dyDescent="0.2">
      <c r="A1135" s="35" t="s">
        <v>27</v>
      </c>
      <c r="B1135" s="35" t="s">
        <v>22</v>
      </c>
      <c r="C1135" s="35" t="s">
        <v>23</v>
      </c>
      <c r="D1135" s="35" t="s">
        <v>24</v>
      </c>
      <c r="E1135" s="35" t="s">
        <v>24</v>
      </c>
      <c r="F1135" s="35" t="s">
        <v>25</v>
      </c>
      <c r="G1135" s="35" t="s">
        <v>25</v>
      </c>
      <c r="H1135" s="35" t="s">
        <v>25</v>
      </c>
      <c r="I1135" s="45">
        <v>44652</v>
      </c>
      <c r="J1135" s="46">
        <f>EFEITO!$J$1135*EFEITO!$Y$1135</f>
        <v>0</v>
      </c>
      <c r="K1135" s="46">
        <f ca="1">EFEITO!$L$1135*EFEITO!$Z$1135</f>
        <v>-160408.4920773076</v>
      </c>
      <c r="L1135" s="46">
        <f>EFEITO!$N$1135*EFEITO!$AA$1135</f>
        <v>-73679.59195434791</v>
      </c>
      <c r="M1135" s="46">
        <f>$J$1135-EFEITO!$K$1135*EFEITO!$Y$1135</f>
        <v>0</v>
      </c>
      <c r="N1135" s="46">
        <f ca="1">$K$1135-EFEITO!$M$1135*EFEITO!$Z$1135</f>
        <v>0</v>
      </c>
      <c r="O1135" s="46">
        <f>$L$1135-EFEITO!$O$1135*EFEITO!$AA$1135</f>
        <v>0</v>
      </c>
      <c r="P1135" s="38"/>
      <c r="Q1135" s="38"/>
      <c r="R1135" s="38"/>
      <c r="S1135" s="38"/>
      <c r="T1135" s="38"/>
      <c r="U1135" s="38"/>
      <c r="V1135" s="38"/>
      <c r="W1135" s="38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</row>
    <row r="1136" spans="1:36" ht="11.25" customHeight="1" x14ac:dyDescent="0.2">
      <c r="A1136" s="35" t="s">
        <v>28</v>
      </c>
      <c r="B1136" s="35" t="s">
        <v>22</v>
      </c>
      <c r="C1136" s="35" t="s">
        <v>23</v>
      </c>
      <c r="D1136" s="35" t="s">
        <v>24</v>
      </c>
      <c r="E1136" s="35" t="s">
        <v>24</v>
      </c>
      <c r="F1136" s="35" t="s">
        <v>25</v>
      </c>
      <c r="G1136" s="35" t="s">
        <v>25</v>
      </c>
      <c r="H1136" s="35" t="s">
        <v>25</v>
      </c>
      <c r="I1136" s="45">
        <v>44652</v>
      </c>
      <c r="J1136" s="46">
        <f>EFEITO!$J$1136*EFEITO!$Y$1136</f>
        <v>0</v>
      </c>
      <c r="K1136" s="46">
        <f ca="1">EFEITO!$L$1136*EFEITO!$Z$1136</f>
        <v>3072627.2546837376</v>
      </c>
      <c r="L1136" s="46">
        <f>EFEITO!$N$1136*EFEITO!$AA$1136</f>
        <v>1411333.7730511124</v>
      </c>
      <c r="M1136" s="46">
        <f>$J$1136-EFEITO!$K$1136*EFEITO!$Y$1136</f>
        <v>0</v>
      </c>
      <c r="N1136" s="46">
        <f ca="1">$K$1136-EFEITO!$M$1136*EFEITO!$Z$1136</f>
        <v>0</v>
      </c>
      <c r="O1136" s="46">
        <f>$L$1136-EFEITO!$O$1136*EFEITO!$AA$1136</f>
        <v>0</v>
      </c>
      <c r="P1136" s="38"/>
      <c r="Q1136" s="38"/>
      <c r="R1136" s="38"/>
      <c r="S1136" s="38"/>
      <c r="T1136" s="38"/>
      <c r="U1136" s="38"/>
      <c r="V1136" s="38"/>
      <c r="W1136" s="38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</row>
    <row r="1137" spans="1:36" ht="11.25" customHeight="1" x14ac:dyDescent="0.2">
      <c r="A1137" s="35" t="s">
        <v>29</v>
      </c>
      <c r="B1137" s="35" t="s">
        <v>22</v>
      </c>
      <c r="C1137" s="35" t="s">
        <v>23</v>
      </c>
      <c r="D1137" s="35" t="s">
        <v>24</v>
      </c>
      <c r="E1137" s="35" t="s">
        <v>24</v>
      </c>
      <c r="F1137" s="35" t="s">
        <v>25</v>
      </c>
      <c r="G1137" s="35" t="s">
        <v>25</v>
      </c>
      <c r="H1137" s="35" t="s">
        <v>25</v>
      </c>
      <c r="I1137" s="45">
        <v>44652</v>
      </c>
      <c r="J1137" s="46">
        <f>EFEITO!$J$1137*EFEITO!$Y$1137</f>
        <v>0</v>
      </c>
      <c r="K1137" s="46">
        <f ca="1">EFEITO!$L$1137*EFEITO!$Z$1137</f>
        <v>-12074.36769220514</v>
      </c>
      <c r="L1137" s="46">
        <f>EFEITO!$N$1137*EFEITO!$AA$1137</f>
        <v>-5546.056029500508</v>
      </c>
      <c r="M1137" s="46">
        <f>$J$1137-EFEITO!$K$1137*EFEITO!$Y$1137</f>
        <v>0</v>
      </c>
      <c r="N1137" s="46">
        <f ca="1">$K$1137-EFEITO!$M$1137*EFEITO!$Z$1137</f>
        <v>0</v>
      </c>
      <c r="O1137" s="46">
        <f>$L$1137-EFEITO!$O$1137*EFEITO!$AA$1137</f>
        <v>0</v>
      </c>
      <c r="P1137" s="38"/>
      <c r="Q1137" s="38"/>
      <c r="R1137" s="38"/>
      <c r="S1137" s="38"/>
      <c r="T1137" s="38"/>
      <c r="U1137" s="38"/>
      <c r="V1137" s="38"/>
      <c r="W1137" s="38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</row>
    <row r="1138" spans="1:36" ht="11.25" customHeight="1" x14ac:dyDescent="0.2">
      <c r="A1138" s="35" t="s">
        <v>30</v>
      </c>
      <c r="B1138" s="35" t="s">
        <v>22</v>
      </c>
      <c r="C1138" s="35" t="s">
        <v>23</v>
      </c>
      <c r="D1138" s="35" t="s">
        <v>24</v>
      </c>
      <c r="E1138" s="35" t="s">
        <v>24</v>
      </c>
      <c r="F1138" s="35" t="s">
        <v>25</v>
      </c>
      <c r="G1138" s="35" t="s">
        <v>25</v>
      </c>
      <c r="H1138" s="35" t="s">
        <v>25</v>
      </c>
      <c r="I1138" s="45">
        <v>44652</v>
      </c>
      <c r="J1138" s="46">
        <f>EFEITO!$J$1138*EFEITO!$Y$1138</f>
        <v>0</v>
      </c>
      <c r="K1138" s="46">
        <f ca="1">EFEITO!$L$1138*EFEITO!$Z$1138</f>
        <v>223228.14969363683</v>
      </c>
      <c r="L1138" s="46">
        <f>EFEITO!$N$1138*EFEITO!$AA$1138</f>
        <v>102534.21604527385</v>
      </c>
      <c r="M1138" s="46">
        <f>$J$1138-EFEITO!$K$1138*EFEITO!$Y$1138</f>
        <v>0</v>
      </c>
      <c r="N1138" s="46">
        <f ca="1">$K$1138-EFEITO!$M$1138*EFEITO!$Z$1138</f>
        <v>0</v>
      </c>
      <c r="O1138" s="46">
        <f>$L$1138-EFEITO!$O$1138*EFEITO!$AA$1138</f>
        <v>0</v>
      </c>
      <c r="P1138" s="38"/>
      <c r="Q1138" s="38"/>
      <c r="R1138" s="38"/>
      <c r="S1138" s="38"/>
      <c r="T1138" s="38"/>
      <c r="U1138" s="38"/>
      <c r="V1138" s="38"/>
      <c r="W1138" s="38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</row>
    <row r="1139" spans="1:36" ht="11.25" customHeight="1" x14ac:dyDescent="0.2">
      <c r="A1139" s="35" t="s">
        <v>30</v>
      </c>
      <c r="B1139" s="35" t="s">
        <v>22</v>
      </c>
      <c r="C1139" s="35" t="s">
        <v>23</v>
      </c>
      <c r="D1139" s="35" t="s">
        <v>24</v>
      </c>
      <c r="E1139" s="35" t="s">
        <v>24</v>
      </c>
      <c r="F1139" s="35" t="s">
        <v>25</v>
      </c>
      <c r="G1139" s="35" t="s">
        <v>25</v>
      </c>
      <c r="H1139" s="35" t="s">
        <v>25</v>
      </c>
      <c r="I1139" s="45">
        <v>44652</v>
      </c>
      <c r="J1139" s="46">
        <f>EFEITO!$J$1139*EFEITO!$Y$1139</f>
        <v>0</v>
      </c>
      <c r="K1139" s="46">
        <f ca="1">EFEITO!$L$1139*EFEITO!$Z$1139</f>
        <v>-358.58491524143039</v>
      </c>
      <c r="L1139" s="46">
        <f>EFEITO!$N$1139*EFEITO!$AA$1139</f>
        <v>-164.70692975057656</v>
      </c>
      <c r="M1139" s="46">
        <f>$J$1139-EFEITO!$K$1139*EFEITO!$Y$1139</f>
        <v>0</v>
      </c>
      <c r="N1139" s="46">
        <f ca="1">$K$1139-EFEITO!$M$1139*EFEITO!$Z$1139</f>
        <v>0</v>
      </c>
      <c r="O1139" s="46">
        <f>$L$1139-EFEITO!$O$1139*EFEITO!$AA$1139</f>
        <v>0</v>
      </c>
      <c r="P1139" s="38"/>
      <c r="Q1139" s="38"/>
      <c r="R1139" s="38"/>
      <c r="S1139" s="38"/>
      <c r="T1139" s="38"/>
      <c r="U1139" s="38"/>
      <c r="V1139" s="38"/>
      <c r="W1139" s="38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</row>
    <row r="1140" spans="1:36" ht="11.25" customHeight="1" x14ac:dyDescent="0.2">
      <c r="A1140" s="35" t="s">
        <v>21</v>
      </c>
      <c r="B1140" s="35" t="s">
        <v>22</v>
      </c>
      <c r="C1140" s="35" t="s">
        <v>23</v>
      </c>
      <c r="D1140" s="35" t="s">
        <v>24</v>
      </c>
      <c r="E1140" s="35" t="s">
        <v>24</v>
      </c>
      <c r="F1140" s="35" t="s">
        <v>25</v>
      </c>
      <c r="G1140" s="35" t="s">
        <v>25</v>
      </c>
      <c r="H1140" s="35" t="s">
        <v>25</v>
      </c>
      <c r="I1140" s="45">
        <v>44682</v>
      </c>
      <c r="J1140" s="46">
        <f>EFEITO!$J$1140*EFEITO!$Y$1140</f>
        <v>0</v>
      </c>
      <c r="K1140" s="46">
        <f ca="1">EFEITO!$L$1140*EFEITO!$Z$1140</f>
        <v>15094113.716286151</v>
      </c>
      <c r="L1140" s="46">
        <f>EFEITO!$N$1140*EFEITO!$AA$1140</f>
        <v>6933100.1440528985</v>
      </c>
      <c r="M1140" s="46">
        <f>$J$1140-EFEITO!$K$1140*EFEITO!$Y$1140</f>
        <v>0</v>
      </c>
      <c r="N1140" s="46">
        <f ca="1">$K$1140-EFEITO!$M$1140*EFEITO!$Z$1140</f>
        <v>0</v>
      </c>
      <c r="O1140" s="46">
        <f>$L$1140-EFEITO!$O$1140*EFEITO!$AA$1140</f>
        <v>0</v>
      </c>
      <c r="P1140" s="38"/>
      <c r="Q1140" s="38"/>
      <c r="R1140" s="38"/>
      <c r="S1140" s="38"/>
      <c r="T1140" s="38"/>
      <c r="U1140" s="38"/>
      <c r="V1140" s="38"/>
      <c r="W1140" s="38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</row>
    <row r="1141" spans="1:36" ht="11.25" customHeight="1" x14ac:dyDescent="0.2">
      <c r="A1141" s="35" t="s">
        <v>27</v>
      </c>
      <c r="B1141" s="35" t="s">
        <v>22</v>
      </c>
      <c r="C1141" s="35" t="s">
        <v>23</v>
      </c>
      <c r="D1141" s="35" t="s">
        <v>24</v>
      </c>
      <c r="E1141" s="35" t="s">
        <v>24</v>
      </c>
      <c r="F1141" s="35" t="s">
        <v>25</v>
      </c>
      <c r="G1141" s="35" t="s">
        <v>25</v>
      </c>
      <c r="H1141" s="35" t="s">
        <v>25</v>
      </c>
      <c r="I1141" s="45">
        <v>44682</v>
      </c>
      <c r="J1141" s="46">
        <f>EFEITO!$J$1141*EFEITO!$Y$1141</f>
        <v>0</v>
      </c>
      <c r="K1141" s="46">
        <f ca="1">EFEITO!$L$1141*EFEITO!$Z$1141</f>
        <v>-227574.35957668914</v>
      </c>
      <c r="L1141" s="46">
        <f>EFEITO!$N$1141*EFEITO!$AA$1141</f>
        <v>-104530.53785208266</v>
      </c>
      <c r="M1141" s="46">
        <f>$J$1141-EFEITO!$K$1141*EFEITO!$Y$1141</f>
        <v>0</v>
      </c>
      <c r="N1141" s="46">
        <f ca="1">$K$1141-EFEITO!$M$1141*EFEITO!$Z$1141</f>
        <v>0</v>
      </c>
      <c r="O1141" s="46">
        <f>$L$1141-EFEITO!$O$1141*EFEITO!$AA$1141</f>
        <v>0</v>
      </c>
      <c r="P1141" s="38"/>
      <c r="Q1141" s="38"/>
      <c r="R1141" s="38"/>
      <c r="S1141" s="38"/>
      <c r="T1141" s="38"/>
      <c r="U1141" s="38"/>
      <c r="V1141" s="38"/>
      <c r="W1141" s="38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</row>
    <row r="1142" spans="1:36" ht="11.25" customHeight="1" x14ac:dyDescent="0.2">
      <c r="A1142" s="35" t="s">
        <v>28</v>
      </c>
      <c r="B1142" s="35" t="s">
        <v>22</v>
      </c>
      <c r="C1142" s="35" t="s">
        <v>23</v>
      </c>
      <c r="D1142" s="35" t="s">
        <v>24</v>
      </c>
      <c r="E1142" s="35" t="s">
        <v>24</v>
      </c>
      <c r="F1142" s="35" t="s">
        <v>25</v>
      </c>
      <c r="G1142" s="35" t="s">
        <v>25</v>
      </c>
      <c r="H1142" s="35" t="s">
        <v>25</v>
      </c>
      <c r="I1142" s="45">
        <v>44682</v>
      </c>
      <c r="J1142" s="46">
        <f>EFEITO!$J$1142*EFEITO!$Y$1142</f>
        <v>0</v>
      </c>
      <c r="K1142" s="46">
        <f ca="1">EFEITO!$L$1142*EFEITO!$Z$1142</f>
        <v>3188878.5757698864</v>
      </c>
      <c r="L1142" s="46">
        <f>EFEITO!$N$1142*EFEITO!$AA$1142</f>
        <v>1464730.8830847465</v>
      </c>
      <c r="M1142" s="46">
        <f>$J$1142-EFEITO!$K$1142*EFEITO!$Y$1142</f>
        <v>0</v>
      </c>
      <c r="N1142" s="46">
        <f ca="1">$K$1142-EFEITO!$M$1142*EFEITO!$Z$1142</f>
        <v>0</v>
      </c>
      <c r="O1142" s="46">
        <f>$L$1142-EFEITO!$O$1142*EFEITO!$AA$1142</f>
        <v>0</v>
      </c>
      <c r="P1142" s="38"/>
      <c r="Q1142" s="38"/>
      <c r="R1142" s="38"/>
      <c r="S1142" s="38"/>
      <c r="T1142" s="38"/>
      <c r="U1142" s="38"/>
      <c r="V1142" s="38"/>
      <c r="W1142" s="38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</row>
    <row r="1143" spans="1:36" ht="11.25" customHeight="1" x14ac:dyDescent="0.2">
      <c r="A1143" s="35" t="s">
        <v>29</v>
      </c>
      <c r="B1143" s="35" t="s">
        <v>22</v>
      </c>
      <c r="C1143" s="35" t="s">
        <v>23</v>
      </c>
      <c r="D1143" s="35" t="s">
        <v>24</v>
      </c>
      <c r="E1143" s="35" t="s">
        <v>24</v>
      </c>
      <c r="F1143" s="35" t="s">
        <v>25</v>
      </c>
      <c r="G1143" s="35" t="s">
        <v>25</v>
      </c>
      <c r="H1143" s="35" t="s">
        <v>25</v>
      </c>
      <c r="I1143" s="45">
        <v>44682</v>
      </c>
      <c r="J1143" s="46">
        <f>EFEITO!$J$1143*EFEITO!$Y$1143</f>
        <v>0</v>
      </c>
      <c r="K1143" s="46">
        <f ca="1">EFEITO!$L$1143*EFEITO!$Z$1143</f>
        <v>-7658.3492612276923</v>
      </c>
      <c r="L1143" s="46">
        <f>EFEITO!$N$1143*EFEITO!$AA$1143</f>
        <v>-3517.6694282444569</v>
      </c>
      <c r="M1143" s="46">
        <f>$J$1143-EFEITO!$K$1143*EFEITO!$Y$1143</f>
        <v>0</v>
      </c>
      <c r="N1143" s="46">
        <f ca="1">$K$1143-EFEITO!$M$1143*EFEITO!$Z$1143</f>
        <v>0</v>
      </c>
      <c r="O1143" s="46">
        <f>$L$1143-EFEITO!$O$1143*EFEITO!$AA$1143</f>
        <v>0</v>
      </c>
      <c r="P1143" s="38"/>
      <c r="Q1143" s="38"/>
      <c r="R1143" s="38"/>
      <c r="S1143" s="38"/>
      <c r="T1143" s="38"/>
      <c r="U1143" s="38"/>
      <c r="V1143" s="38"/>
      <c r="W1143" s="38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</row>
    <row r="1144" spans="1:36" ht="11.25" customHeight="1" x14ac:dyDescent="0.2">
      <c r="A1144" s="35" t="s">
        <v>30</v>
      </c>
      <c r="B1144" s="35" t="s">
        <v>22</v>
      </c>
      <c r="C1144" s="35" t="s">
        <v>23</v>
      </c>
      <c r="D1144" s="35" t="s">
        <v>24</v>
      </c>
      <c r="E1144" s="35" t="s">
        <v>24</v>
      </c>
      <c r="F1144" s="35" t="s">
        <v>25</v>
      </c>
      <c r="G1144" s="35" t="s">
        <v>25</v>
      </c>
      <c r="H1144" s="35" t="s">
        <v>25</v>
      </c>
      <c r="I1144" s="45">
        <v>44682</v>
      </c>
      <c r="J1144" s="46">
        <f>EFEITO!$J$1144*EFEITO!$Y$1144</f>
        <v>0</v>
      </c>
      <c r="K1144" s="46">
        <f ca="1">EFEITO!$L$1144*EFEITO!$Z$1144</f>
        <v>246148.95774224139</v>
      </c>
      <c r="L1144" s="46">
        <f>EFEITO!$N$1144*EFEITO!$AA$1144</f>
        <v>113062.31067676764</v>
      </c>
      <c r="M1144" s="46">
        <f>$J$1144-EFEITO!$K$1144*EFEITO!$Y$1144</f>
        <v>0</v>
      </c>
      <c r="N1144" s="46">
        <f ca="1">$K$1144-EFEITO!$M$1144*EFEITO!$Z$1144</f>
        <v>0</v>
      </c>
      <c r="O1144" s="46">
        <f>$L$1144-EFEITO!$O$1144*EFEITO!$AA$1144</f>
        <v>0</v>
      </c>
      <c r="P1144" s="38"/>
      <c r="Q1144" s="38"/>
      <c r="R1144" s="38"/>
      <c r="S1144" s="38"/>
      <c r="T1144" s="38"/>
      <c r="U1144" s="38"/>
      <c r="V1144" s="38"/>
      <c r="W1144" s="38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</row>
    <row r="1145" spans="1:36" ht="11.25" customHeight="1" x14ac:dyDescent="0.2">
      <c r="A1145" s="35" t="s">
        <v>30</v>
      </c>
      <c r="B1145" s="35" t="s">
        <v>22</v>
      </c>
      <c r="C1145" s="35" t="s">
        <v>23</v>
      </c>
      <c r="D1145" s="35" t="s">
        <v>24</v>
      </c>
      <c r="E1145" s="35" t="s">
        <v>24</v>
      </c>
      <c r="F1145" s="35" t="s">
        <v>25</v>
      </c>
      <c r="G1145" s="35" t="s">
        <v>25</v>
      </c>
      <c r="H1145" s="35" t="s">
        <v>25</v>
      </c>
      <c r="I1145" s="45">
        <v>44682</v>
      </c>
      <c r="J1145" s="46">
        <f>EFEITO!$J$1145*EFEITO!$Y$1145</f>
        <v>0</v>
      </c>
      <c r="K1145" s="46">
        <f ca="1">EFEITO!$L$1145*EFEITO!$Z$1145</f>
        <v>-570.01943809387046</v>
      </c>
      <c r="L1145" s="46">
        <f>EFEITO!$N$1145*EFEITO!$AA$1145</f>
        <v>-261.8240409900622</v>
      </c>
      <c r="M1145" s="46">
        <f>$J$1145-EFEITO!$K$1145*EFEITO!$Y$1145</f>
        <v>0</v>
      </c>
      <c r="N1145" s="46">
        <f ca="1">$K$1145-EFEITO!$M$1145*EFEITO!$Z$1145</f>
        <v>0</v>
      </c>
      <c r="O1145" s="46">
        <f>$L$1145-EFEITO!$O$1145*EFEITO!$AA$1145</f>
        <v>0</v>
      </c>
      <c r="P1145" s="38"/>
      <c r="Q1145" s="38"/>
      <c r="R1145" s="38"/>
      <c r="S1145" s="38"/>
      <c r="T1145" s="38"/>
      <c r="U1145" s="38"/>
      <c r="V1145" s="38"/>
      <c r="W1145" s="38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</row>
    <row r="1146" spans="1:36" ht="11.25" customHeight="1" x14ac:dyDescent="0.2">
      <c r="A1146" s="35" t="s">
        <v>21</v>
      </c>
      <c r="B1146" s="35" t="s">
        <v>22</v>
      </c>
      <c r="C1146" s="35" t="s">
        <v>23</v>
      </c>
      <c r="D1146" s="35" t="s">
        <v>24</v>
      </c>
      <c r="E1146" s="35" t="s">
        <v>24</v>
      </c>
      <c r="F1146" s="35" t="s">
        <v>25</v>
      </c>
      <c r="G1146" s="35" t="s">
        <v>25</v>
      </c>
      <c r="H1146" s="35" t="s">
        <v>25</v>
      </c>
      <c r="I1146" s="45">
        <v>44713</v>
      </c>
      <c r="J1146" s="46">
        <f>EFEITO!$J$1146*EFEITO!$Y$1146</f>
        <v>0</v>
      </c>
      <c r="K1146" s="46">
        <f ca="1">EFEITO!$L$1146*EFEITO!$Z$1146</f>
        <v>13302140.344321949</v>
      </c>
      <c r="L1146" s="46">
        <f>EFEITO!$N$1146*EFEITO!$AA$1146</f>
        <v>6110002.4069596054</v>
      </c>
      <c r="M1146" s="46">
        <f>$J$1146-EFEITO!$K$1146*EFEITO!$Y$1146</f>
        <v>0</v>
      </c>
      <c r="N1146" s="46">
        <f ca="1">$K$1146-EFEITO!$M$1146*EFEITO!$Z$1146</f>
        <v>0</v>
      </c>
      <c r="O1146" s="46">
        <f>$L$1146-EFEITO!$O$1146*EFEITO!$AA$1146</f>
        <v>0</v>
      </c>
      <c r="P1146" s="38"/>
      <c r="Q1146" s="38"/>
      <c r="R1146" s="38"/>
      <c r="S1146" s="38"/>
      <c r="T1146" s="38"/>
      <c r="U1146" s="38"/>
      <c r="V1146" s="38"/>
      <c r="W1146" s="38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</row>
    <row r="1147" spans="1:36" ht="11.25" customHeight="1" x14ac:dyDescent="0.2">
      <c r="A1147" s="35" t="s">
        <v>27</v>
      </c>
      <c r="B1147" s="35" t="s">
        <v>22</v>
      </c>
      <c r="C1147" s="35" t="s">
        <v>23</v>
      </c>
      <c r="D1147" s="35" t="s">
        <v>24</v>
      </c>
      <c r="E1147" s="35" t="s">
        <v>24</v>
      </c>
      <c r="F1147" s="35" t="s">
        <v>25</v>
      </c>
      <c r="G1147" s="35" t="s">
        <v>25</v>
      </c>
      <c r="H1147" s="35" t="s">
        <v>25</v>
      </c>
      <c r="I1147" s="45">
        <v>44713</v>
      </c>
      <c r="J1147" s="46">
        <f>EFEITO!$J$1147*EFEITO!$Y$1147</f>
        <v>0</v>
      </c>
      <c r="K1147" s="46">
        <f ca="1">EFEITO!$L$1147*EFEITO!$Z$1147</f>
        <v>-125877.36740328095</v>
      </c>
      <c r="L1147" s="46">
        <f>EFEITO!$N$1147*EFEITO!$AA$1147</f>
        <v>-57818.591437736715</v>
      </c>
      <c r="M1147" s="46">
        <f>$J$1147-EFEITO!$K$1147*EFEITO!$Y$1147</f>
        <v>0</v>
      </c>
      <c r="N1147" s="46">
        <f ca="1">$K$1147-EFEITO!$M$1147*EFEITO!$Z$1147</f>
        <v>0</v>
      </c>
      <c r="O1147" s="46">
        <f>$L$1147-EFEITO!$O$1147*EFEITO!$AA$1147</f>
        <v>0</v>
      </c>
      <c r="P1147" s="38"/>
      <c r="Q1147" s="38"/>
      <c r="R1147" s="38"/>
      <c r="S1147" s="38"/>
      <c r="T1147" s="38"/>
      <c r="U1147" s="38"/>
      <c r="V1147" s="38"/>
      <c r="W1147" s="38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</row>
    <row r="1148" spans="1:36" ht="11.25" customHeight="1" x14ac:dyDescent="0.2">
      <c r="A1148" s="35" t="s">
        <v>28</v>
      </c>
      <c r="B1148" s="35" t="s">
        <v>22</v>
      </c>
      <c r="C1148" s="35" t="s">
        <v>23</v>
      </c>
      <c r="D1148" s="35" t="s">
        <v>24</v>
      </c>
      <c r="E1148" s="35" t="s">
        <v>24</v>
      </c>
      <c r="F1148" s="35" t="s">
        <v>25</v>
      </c>
      <c r="G1148" s="35" t="s">
        <v>25</v>
      </c>
      <c r="H1148" s="35" t="s">
        <v>25</v>
      </c>
      <c r="I1148" s="45">
        <v>44713</v>
      </c>
      <c r="J1148" s="46">
        <f>EFEITO!$J$1148*EFEITO!$Y$1148</f>
        <v>0</v>
      </c>
      <c r="K1148" s="46">
        <f ca="1">EFEITO!$L$1148*EFEITO!$Z$1148</f>
        <v>3023308.7711240402</v>
      </c>
      <c r="L1148" s="46">
        <f>EFEITO!$N$1148*EFEITO!$AA$1148</f>
        <v>1388680.5724790727</v>
      </c>
      <c r="M1148" s="46">
        <f>$J$1148-EFEITO!$K$1148*EFEITO!$Y$1148</f>
        <v>0</v>
      </c>
      <c r="N1148" s="46">
        <f ca="1">$K$1148-EFEITO!$M$1148*EFEITO!$Z$1148</f>
        <v>0</v>
      </c>
      <c r="O1148" s="46">
        <f>$L$1148-EFEITO!$O$1148*EFEITO!$AA$1148</f>
        <v>0</v>
      </c>
      <c r="P1148" s="38"/>
      <c r="Q1148" s="38"/>
      <c r="R1148" s="38"/>
      <c r="S1148" s="38"/>
      <c r="T1148" s="38"/>
      <c r="U1148" s="38"/>
      <c r="V1148" s="38"/>
      <c r="W1148" s="38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</row>
    <row r="1149" spans="1:36" ht="11.25" customHeight="1" x14ac:dyDescent="0.2">
      <c r="A1149" s="35" t="s">
        <v>29</v>
      </c>
      <c r="B1149" s="35" t="s">
        <v>22</v>
      </c>
      <c r="C1149" s="35" t="s">
        <v>23</v>
      </c>
      <c r="D1149" s="35" t="s">
        <v>24</v>
      </c>
      <c r="E1149" s="35" t="s">
        <v>24</v>
      </c>
      <c r="F1149" s="35" t="s">
        <v>25</v>
      </c>
      <c r="G1149" s="35" t="s">
        <v>25</v>
      </c>
      <c r="H1149" s="35" t="s">
        <v>25</v>
      </c>
      <c r="I1149" s="45">
        <v>44713</v>
      </c>
      <c r="J1149" s="46">
        <f>EFEITO!$J$1149*EFEITO!$Y$1149</f>
        <v>0</v>
      </c>
      <c r="K1149" s="46">
        <f ca="1">EFEITO!$L$1149*EFEITO!$Z$1149</f>
        <v>-7504.670011838507</v>
      </c>
      <c r="L1149" s="46">
        <f>EFEITO!$N$1149*EFEITO!$AA$1149</f>
        <v>-3447.0807440656386</v>
      </c>
      <c r="M1149" s="46">
        <f>$J$1149-EFEITO!$K$1149*EFEITO!$Y$1149</f>
        <v>0</v>
      </c>
      <c r="N1149" s="46">
        <f ca="1">$K$1149-EFEITO!$M$1149*EFEITO!$Z$1149</f>
        <v>0</v>
      </c>
      <c r="O1149" s="46">
        <f>$L$1149-EFEITO!$O$1149*EFEITO!$AA$1149</f>
        <v>0</v>
      </c>
      <c r="P1149" s="38"/>
      <c r="Q1149" s="38"/>
      <c r="R1149" s="38"/>
      <c r="S1149" s="38"/>
      <c r="T1149" s="38"/>
      <c r="U1149" s="38"/>
      <c r="V1149" s="38"/>
      <c r="W1149" s="38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</row>
    <row r="1150" spans="1:36" ht="11.25" customHeight="1" x14ac:dyDescent="0.2">
      <c r="A1150" s="35" t="s">
        <v>30</v>
      </c>
      <c r="B1150" s="35" t="s">
        <v>22</v>
      </c>
      <c r="C1150" s="35" t="s">
        <v>23</v>
      </c>
      <c r="D1150" s="35" t="s">
        <v>24</v>
      </c>
      <c r="E1150" s="35" t="s">
        <v>24</v>
      </c>
      <c r="F1150" s="35" t="s">
        <v>25</v>
      </c>
      <c r="G1150" s="35" t="s">
        <v>25</v>
      </c>
      <c r="H1150" s="35" t="s">
        <v>25</v>
      </c>
      <c r="I1150" s="45">
        <v>44713</v>
      </c>
      <c r="J1150" s="46">
        <f>EFEITO!$J$1150*EFEITO!$Y$1150</f>
        <v>0</v>
      </c>
      <c r="K1150" s="46">
        <f ca="1">EFEITO!$L$1150*EFEITO!$Z$1150</f>
        <v>218196.91204533339</v>
      </c>
      <c r="L1150" s="46">
        <f>EFEITO!$N$1150*EFEITO!$AA$1150</f>
        <v>100223.24402532808</v>
      </c>
      <c r="M1150" s="46">
        <f>$J$1150-EFEITO!$K$1150*EFEITO!$Y$1150</f>
        <v>0</v>
      </c>
      <c r="N1150" s="46">
        <f ca="1">$K$1150-EFEITO!$M$1150*EFEITO!$Z$1150</f>
        <v>0</v>
      </c>
      <c r="O1150" s="46">
        <f>$L$1150-EFEITO!$O$1150*EFEITO!$AA$1150</f>
        <v>0</v>
      </c>
      <c r="P1150" s="38"/>
      <c r="Q1150" s="38"/>
      <c r="R1150" s="38"/>
      <c r="S1150" s="38"/>
      <c r="T1150" s="38"/>
      <c r="U1150" s="38"/>
      <c r="V1150" s="38"/>
      <c r="W1150" s="38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</row>
    <row r="1151" spans="1:36" ht="11.25" customHeight="1" x14ac:dyDescent="0.2">
      <c r="A1151" s="35" t="s">
        <v>21</v>
      </c>
      <c r="B1151" s="35" t="s">
        <v>22</v>
      </c>
      <c r="C1151" s="35" t="s">
        <v>23</v>
      </c>
      <c r="D1151" s="35" t="s">
        <v>24</v>
      </c>
      <c r="E1151" s="35" t="s">
        <v>24</v>
      </c>
      <c r="F1151" s="35" t="s">
        <v>25</v>
      </c>
      <c r="G1151" s="35" t="s">
        <v>25</v>
      </c>
      <c r="H1151" s="35" t="s">
        <v>25</v>
      </c>
      <c r="I1151" s="45">
        <v>44743</v>
      </c>
      <c r="J1151" s="46">
        <f>EFEITO!$J$1151*EFEITO!$Y$1151</f>
        <v>0</v>
      </c>
      <c r="K1151" s="46">
        <f ca="1">EFEITO!$L$1151*EFEITO!$Z$1151</f>
        <v>15072724.678533746</v>
      </c>
      <c r="L1151" s="46">
        <f>EFEITO!$N$1151*EFEITO!$AA$1151</f>
        <v>6923275.629443448</v>
      </c>
      <c r="M1151" s="46">
        <f>$J$1151-EFEITO!$K$1151*EFEITO!$Y$1151</f>
        <v>0</v>
      </c>
      <c r="N1151" s="46">
        <f ca="1">$K$1151-EFEITO!$M$1151*EFEITO!$Z$1151</f>
        <v>0</v>
      </c>
      <c r="O1151" s="46">
        <f>$L$1151-EFEITO!$O$1151*EFEITO!$AA$1151</f>
        <v>0</v>
      </c>
      <c r="P1151" s="38"/>
      <c r="Q1151" s="38"/>
      <c r="R1151" s="38"/>
      <c r="S1151" s="38"/>
      <c r="T1151" s="38"/>
      <c r="U1151" s="38"/>
      <c r="V1151" s="38"/>
      <c r="W1151" s="38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</row>
    <row r="1152" spans="1:36" ht="11.25" customHeight="1" x14ac:dyDescent="0.2">
      <c r="A1152" s="35" t="s">
        <v>27</v>
      </c>
      <c r="B1152" s="35" t="s">
        <v>22</v>
      </c>
      <c r="C1152" s="35" t="s">
        <v>23</v>
      </c>
      <c r="D1152" s="35" t="s">
        <v>24</v>
      </c>
      <c r="E1152" s="35" t="s">
        <v>24</v>
      </c>
      <c r="F1152" s="35" t="s">
        <v>25</v>
      </c>
      <c r="G1152" s="35" t="s">
        <v>25</v>
      </c>
      <c r="H1152" s="35" t="s">
        <v>25</v>
      </c>
      <c r="I1152" s="45">
        <v>44743</v>
      </c>
      <c r="J1152" s="46">
        <f>EFEITO!$J$1152*EFEITO!$Y$1152</f>
        <v>0</v>
      </c>
      <c r="K1152" s="46">
        <f ca="1">EFEITO!$L$1152*EFEITO!$Z$1152</f>
        <v>-97548.154659669453</v>
      </c>
      <c r="L1152" s="46">
        <f>EFEITO!$N$1152*EFEITO!$AA$1152</f>
        <v>-44806.28262349229</v>
      </c>
      <c r="M1152" s="46">
        <f>$J$1152-EFEITO!$K$1152*EFEITO!$Y$1152</f>
        <v>0</v>
      </c>
      <c r="N1152" s="46">
        <f ca="1">$K$1152-EFEITO!$M$1152*EFEITO!$Z$1152</f>
        <v>0</v>
      </c>
      <c r="O1152" s="46">
        <f>$L$1152-EFEITO!$O$1152*EFEITO!$AA$1152</f>
        <v>0</v>
      </c>
      <c r="P1152" s="38"/>
      <c r="Q1152" s="38"/>
      <c r="R1152" s="38"/>
      <c r="S1152" s="38"/>
      <c r="T1152" s="38"/>
      <c r="U1152" s="38"/>
      <c r="V1152" s="38"/>
      <c r="W1152" s="38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</row>
    <row r="1153" spans="1:36" ht="11.25" customHeight="1" x14ac:dyDescent="0.2">
      <c r="A1153" s="35" t="s">
        <v>28</v>
      </c>
      <c r="B1153" s="35" t="s">
        <v>22</v>
      </c>
      <c r="C1153" s="35" t="s">
        <v>23</v>
      </c>
      <c r="D1153" s="35" t="s">
        <v>24</v>
      </c>
      <c r="E1153" s="35" t="s">
        <v>24</v>
      </c>
      <c r="F1153" s="35" t="s">
        <v>25</v>
      </c>
      <c r="G1153" s="35" t="s">
        <v>25</v>
      </c>
      <c r="H1153" s="35" t="s">
        <v>25</v>
      </c>
      <c r="I1153" s="45">
        <v>44743</v>
      </c>
      <c r="J1153" s="46">
        <f>EFEITO!$J$1153*EFEITO!$Y$1153</f>
        <v>0</v>
      </c>
      <c r="K1153" s="46">
        <f ca="1">EFEITO!$L$1153*EFEITO!$Z$1153</f>
        <v>3280968.6059773932</v>
      </c>
      <c r="L1153" s="46">
        <f>EFEITO!$N$1153*EFEITO!$AA$1153</f>
        <v>1507030.1140100185</v>
      </c>
      <c r="M1153" s="46">
        <f>$J$1153-EFEITO!$K$1153*EFEITO!$Y$1153</f>
        <v>0</v>
      </c>
      <c r="N1153" s="46">
        <f ca="1">$K$1153-EFEITO!$M$1153*EFEITO!$Z$1153</f>
        <v>0</v>
      </c>
      <c r="O1153" s="46">
        <f>$L$1153-EFEITO!$O$1153*EFEITO!$AA$1153</f>
        <v>0</v>
      </c>
      <c r="P1153" s="38"/>
      <c r="Q1153" s="38"/>
      <c r="R1153" s="38"/>
      <c r="S1153" s="38"/>
      <c r="T1153" s="38"/>
      <c r="U1153" s="38"/>
      <c r="V1153" s="38"/>
      <c r="W1153" s="38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</row>
    <row r="1154" spans="1:36" ht="11.25" customHeight="1" x14ac:dyDescent="0.2">
      <c r="A1154" s="35" t="s">
        <v>29</v>
      </c>
      <c r="B1154" s="35" t="s">
        <v>22</v>
      </c>
      <c r="C1154" s="35" t="s">
        <v>23</v>
      </c>
      <c r="D1154" s="35" t="s">
        <v>24</v>
      </c>
      <c r="E1154" s="35" t="s">
        <v>24</v>
      </c>
      <c r="F1154" s="35" t="s">
        <v>25</v>
      </c>
      <c r="G1154" s="35" t="s">
        <v>25</v>
      </c>
      <c r="H1154" s="35" t="s">
        <v>25</v>
      </c>
      <c r="I1154" s="45">
        <v>44743</v>
      </c>
      <c r="J1154" s="46">
        <f>EFEITO!$J$1154*EFEITO!$Y$1154</f>
        <v>0</v>
      </c>
      <c r="K1154" s="46">
        <f ca="1">EFEITO!$L$1154*EFEITO!$Z$1154</f>
        <v>-10029.328791836646</v>
      </c>
      <c r="L1154" s="46">
        <f>EFEITO!$N$1154*EFEITO!$AA$1154</f>
        <v>-4606.7190295784512</v>
      </c>
      <c r="M1154" s="46">
        <f>$J$1154-EFEITO!$K$1154*EFEITO!$Y$1154</f>
        <v>0</v>
      </c>
      <c r="N1154" s="46">
        <f ca="1">$K$1154-EFEITO!$M$1154*EFEITO!$Z$1154</f>
        <v>0</v>
      </c>
      <c r="O1154" s="46">
        <f>$L$1154-EFEITO!$O$1154*EFEITO!$AA$1154</f>
        <v>0</v>
      </c>
      <c r="P1154" s="38"/>
      <c r="Q1154" s="38"/>
      <c r="R1154" s="38"/>
      <c r="S1154" s="38"/>
      <c r="T1154" s="38"/>
      <c r="U1154" s="38"/>
      <c r="V1154" s="38"/>
      <c r="W1154" s="38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</row>
    <row r="1155" spans="1:36" ht="11.25" customHeight="1" x14ac:dyDescent="0.2">
      <c r="A1155" s="35" t="s">
        <v>30</v>
      </c>
      <c r="B1155" s="35" t="s">
        <v>22</v>
      </c>
      <c r="C1155" s="35" t="s">
        <v>23</v>
      </c>
      <c r="D1155" s="35" t="s">
        <v>24</v>
      </c>
      <c r="E1155" s="35" t="s">
        <v>24</v>
      </c>
      <c r="F1155" s="35" t="s">
        <v>25</v>
      </c>
      <c r="G1155" s="35" t="s">
        <v>25</v>
      </c>
      <c r="H1155" s="35" t="s">
        <v>25</v>
      </c>
      <c r="I1155" s="45">
        <v>44743</v>
      </c>
      <c r="J1155" s="46">
        <f>EFEITO!$J$1155*EFEITO!$Y$1155</f>
        <v>0</v>
      </c>
      <c r="K1155" s="46">
        <f ca="1">EFEITO!$L$1155*EFEITO!$Z$1155</f>
        <v>225836.17695532975</v>
      </c>
      <c r="L1155" s="46">
        <f>EFEITO!$N$1155*EFEITO!$AA$1155</f>
        <v>103732.1475385438</v>
      </c>
      <c r="M1155" s="46">
        <f>$J$1155-EFEITO!$K$1155*EFEITO!$Y$1155</f>
        <v>0</v>
      </c>
      <c r="N1155" s="46">
        <f ca="1">$K$1155-EFEITO!$M$1155*EFEITO!$Z$1155</f>
        <v>0</v>
      </c>
      <c r="O1155" s="46">
        <f>$L$1155-EFEITO!$O$1155*EFEITO!$AA$1155</f>
        <v>0</v>
      </c>
      <c r="P1155" s="38"/>
      <c r="Q1155" s="38"/>
      <c r="R1155" s="38"/>
      <c r="S1155" s="38"/>
      <c r="T1155" s="38"/>
      <c r="U1155" s="38"/>
      <c r="V1155" s="38"/>
      <c r="W1155" s="38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</row>
    <row r="1156" spans="1:36" ht="11.25" customHeight="1" x14ac:dyDescent="0.2">
      <c r="A1156" s="35" t="s">
        <v>30</v>
      </c>
      <c r="B1156" s="35" t="s">
        <v>22</v>
      </c>
      <c r="C1156" s="35" t="s">
        <v>23</v>
      </c>
      <c r="D1156" s="35" t="s">
        <v>24</v>
      </c>
      <c r="E1156" s="35" t="s">
        <v>24</v>
      </c>
      <c r="F1156" s="35" t="s">
        <v>25</v>
      </c>
      <c r="G1156" s="35" t="s">
        <v>25</v>
      </c>
      <c r="H1156" s="35" t="s">
        <v>25</v>
      </c>
      <c r="I1156" s="45">
        <v>44743</v>
      </c>
      <c r="J1156" s="46">
        <f>EFEITO!$J$1156*EFEITO!$Y$1156</f>
        <v>0</v>
      </c>
      <c r="K1156" s="46">
        <f ca="1">EFEITO!$L$1156*EFEITO!$Z$1156</f>
        <v>-351.55383847199056</v>
      </c>
      <c r="L1156" s="46">
        <f>EFEITO!$N$1156*EFEITO!$AA$1156</f>
        <v>-161.47738210840839</v>
      </c>
      <c r="M1156" s="46">
        <f>$J$1156-EFEITO!$K$1156*EFEITO!$Y$1156</f>
        <v>0</v>
      </c>
      <c r="N1156" s="46">
        <f ca="1">$K$1156-EFEITO!$M$1156*EFEITO!$Z$1156</f>
        <v>0</v>
      </c>
      <c r="O1156" s="46">
        <f>$L$1156-EFEITO!$O$1156*EFEITO!$AA$1156</f>
        <v>0</v>
      </c>
      <c r="P1156" s="38"/>
      <c r="Q1156" s="38"/>
      <c r="R1156" s="38"/>
      <c r="S1156" s="38"/>
      <c r="T1156" s="38"/>
      <c r="U1156" s="38"/>
      <c r="V1156" s="38"/>
      <c r="W1156" s="38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</row>
    <row r="1157" spans="1:36" ht="11.25" customHeight="1" x14ac:dyDescent="0.2">
      <c r="A1157" s="35" t="s">
        <v>21</v>
      </c>
      <c r="B1157" s="35" t="s">
        <v>22</v>
      </c>
      <c r="C1157" s="35" t="s">
        <v>23</v>
      </c>
      <c r="D1157" s="35" t="s">
        <v>24</v>
      </c>
      <c r="E1157" s="35" t="s">
        <v>24</v>
      </c>
      <c r="F1157" s="35" t="s">
        <v>25</v>
      </c>
      <c r="G1157" s="35" t="s">
        <v>25</v>
      </c>
      <c r="H1157" s="35" t="s">
        <v>25</v>
      </c>
      <c r="I1157" s="45">
        <v>44774</v>
      </c>
      <c r="J1157" s="46">
        <f>EFEITO!$J$1157*EFEITO!$Y$1157</f>
        <v>0</v>
      </c>
      <c r="K1157" s="46">
        <f ca="1">EFEITO!$L$1157*EFEITO!$Z$1157</f>
        <v>16070103.007069554</v>
      </c>
      <c r="L1157" s="46">
        <f>EFEITO!$N$1157*EFEITO!$AA$1157</f>
        <v>7381396.1897639809</v>
      </c>
      <c r="M1157" s="46">
        <f>$J$1157-EFEITO!$K$1157*EFEITO!$Y$1157</f>
        <v>0</v>
      </c>
      <c r="N1157" s="46">
        <f ca="1">$K$1157-EFEITO!$M$1157*EFEITO!$Z$1157</f>
        <v>0</v>
      </c>
      <c r="O1157" s="46">
        <f>$L$1157-EFEITO!$O$1157*EFEITO!$AA$1157</f>
        <v>0</v>
      </c>
      <c r="P1157" s="38"/>
      <c r="Q1157" s="38"/>
      <c r="R1157" s="38"/>
      <c r="S1157" s="38"/>
      <c r="T1157" s="38"/>
      <c r="U1157" s="38"/>
      <c r="V1157" s="38"/>
      <c r="W1157" s="38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</row>
    <row r="1158" spans="1:36" ht="11.25" customHeight="1" x14ac:dyDescent="0.2">
      <c r="A1158" s="35" t="s">
        <v>27</v>
      </c>
      <c r="B1158" s="35" t="s">
        <v>22</v>
      </c>
      <c r="C1158" s="35" t="s">
        <v>23</v>
      </c>
      <c r="D1158" s="35" t="s">
        <v>24</v>
      </c>
      <c r="E1158" s="35" t="s">
        <v>24</v>
      </c>
      <c r="F1158" s="35" t="s">
        <v>25</v>
      </c>
      <c r="G1158" s="35" t="s">
        <v>25</v>
      </c>
      <c r="H1158" s="35" t="s">
        <v>25</v>
      </c>
      <c r="I1158" s="45">
        <v>44774</v>
      </c>
      <c r="J1158" s="46">
        <f>EFEITO!$J$1158*EFEITO!$Y$1158</f>
        <v>0</v>
      </c>
      <c r="K1158" s="46">
        <f ca="1">EFEITO!$L$1158*EFEITO!$Z$1158</f>
        <v>-131309.37642744248</v>
      </c>
      <c r="L1158" s="46">
        <f>EFEITO!$N$1158*EFEITO!$AA$1158</f>
        <v>-60313.647673286076</v>
      </c>
      <c r="M1158" s="46">
        <f>$J$1158-EFEITO!$K$1158*EFEITO!$Y$1158</f>
        <v>0</v>
      </c>
      <c r="N1158" s="46">
        <f ca="1">$K$1158-EFEITO!$M$1158*EFEITO!$Z$1158</f>
        <v>0</v>
      </c>
      <c r="O1158" s="46">
        <f>$L$1158-EFEITO!$O$1158*EFEITO!$AA$1158</f>
        <v>0</v>
      </c>
      <c r="P1158" s="38"/>
      <c r="Q1158" s="38"/>
      <c r="R1158" s="38"/>
      <c r="S1158" s="38"/>
      <c r="T1158" s="38"/>
      <c r="U1158" s="38"/>
      <c r="V1158" s="38"/>
      <c r="W1158" s="38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</row>
    <row r="1159" spans="1:36" ht="11.25" customHeight="1" x14ac:dyDescent="0.2">
      <c r="A1159" s="35" t="s">
        <v>28</v>
      </c>
      <c r="B1159" s="35" t="s">
        <v>22</v>
      </c>
      <c r="C1159" s="35" t="s">
        <v>23</v>
      </c>
      <c r="D1159" s="35" t="s">
        <v>24</v>
      </c>
      <c r="E1159" s="35" t="s">
        <v>24</v>
      </c>
      <c r="F1159" s="35" t="s">
        <v>25</v>
      </c>
      <c r="G1159" s="35" t="s">
        <v>25</v>
      </c>
      <c r="H1159" s="35" t="s">
        <v>25</v>
      </c>
      <c r="I1159" s="45">
        <v>44774</v>
      </c>
      <c r="J1159" s="46">
        <f>EFEITO!$J$1159*EFEITO!$Y$1159</f>
        <v>0</v>
      </c>
      <c r="K1159" s="46">
        <f ca="1">EFEITO!$L$1159*EFEITO!$Z$1159</f>
        <v>3427769.9556267578</v>
      </c>
      <c r="L1159" s="46">
        <f>EFEITO!$N$1159*EFEITO!$AA$1159</f>
        <v>1574459.6085488731</v>
      </c>
      <c r="M1159" s="46">
        <f>$J$1159-EFEITO!$K$1159*EFEITO!$Y$1159</f>
        <v>0</v>
      </c>
      <c r="N1159" s="46">
        <f ca="1">$K$1159-EFEITO!$M$1159*EFEITO!$Z$1159</f>
        <v>0</v>
      </c>
      <c r="O1159" s="46">
        <f>$L$1159-EFEITO!$O$1159*EFEITO!$AA$1159</f>
        <v>0</v>
      </c>
      <c r="P1159" s="38"/>
      <c r="Q1159" s="38"/>
      <c r="R1159" s="38"/>
      <c r="S1159" s="38"/>
      <c r="T1159" s="38"/>
      <c r="U1159" s="38"/>
      <c r="V1159" s="38"/>
      <c r="W1159" s="38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</row>
    <row r="1160" spans="1:36" ht="11.25" customHeight="1" x14ac:dyDescent="0.2">
      <c r="A1160" s="35" t="s">
        <v>29</v>
      </c>
      <c r="B1160" s="35" t="s">
        <v>22</v>
      </c>
      <c r="C1160" s="35" t="s">
        <v>23</v>
      </c>
      <c r="D1160" s="35" t="s">
        <v>24</v>
      </c>
      <c r="E1160" s="35" t="s">
        <v>24</v>
      </c>
      <c r="F1160" s="35" t="s">
        <v>25</v>
      </c>
      <c r="G1160" s="35" t="s">
        <v>25</v>
      </c>
      <c r="H1160" s="35" t="s">
        <v>25</v>
      </c>
      <c r="I1160" s="45">
        <v>44774</v>
      </c>
      <c r="J1160" s="46">
        <f>EFEITO!$J$1160*EFEITO!$Y$1160</f>
        <v>0</v>
      </c>
      <c r="K1160" s="46">
        <f ca="1">EFEITO!$L$1160*EFEITO!$Z$1160</f>
        <v>-14057.131341187165</v>
      </c>
      <c r="L1160" s="46">
        <f>EFEITO!$N$1160*EFEITO!$AA$1160</f>
        <v>-6456.7884645919303</v>
      </c>
      <c r="M1160" s="46">
        <f>$J$1160-EFEITO!$K$1160*EFEITO!$Y$1160</f>
        <v>0</v>
      </c>
      <c r="N1160" s="46">
        <f ca="1">$K$1160-EFEITO!$M$1160*EFEITO!$Z$1160</f>
        <v>0</v>
      </c>
      <c r="O1160" s="46">
        <f>$L$1160-EFEITO!$O$1160*EFEITO!$AA$1160</f>
        <v>0</v>
      </c>
      <c r="P1160" s="38"/>
      <c r="Q1160" s="38"/>
      <c r="R1160" s="38"/>
      <c r="S1160" s="38"/>
      <c r="T1160" s="38"/>
      <c r="U1160" s="38"/>
      <c r="V1160" s="38"/>
      <c r="W1160" s="38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</row>
    <row r="1161" spans="1:36" ht="11.25" customHeight="1" x14ac:dyDescent="0.2">
      <c r="A1161" s="35" t="s">
        <v>30</v>
      </c>
      <c r="B1161" s="35" t="s">
        <v>22</v>
      </c>
      <c r="C1161" s="35" t="s">
        <v>23</v>
      </c>
      <c r="D1161" s="35" t="s">
        <v>24</v>
      </c>
      <c r="E1161" s="35" t="s">
        <v>24</v>
      </c>
      <c r="F1161" s="35" t="s">
        <v>25</v>
      </c>
      <c r="G1161" s="35" t="s">
        <v>25</v>
      </c>
      <c r="H1161" s="35" t="s">
        <v>25</v>
      </c>
      <c r="I1161" s="45">
        <v>44774</v>
      </c>
      <c r="J1161" s="46">
        <f>EFEITO!$J$1161*EFEITO!$Y$1161</f>
        <v>0</v>
      </c>
      <c r="K1161" s="46">
        <f ca="1">EFEITO!$L$1161*EFEITO!$Z$1161</f>
        <v>270898.34797066957</v>
      </c>
      <c r="L1161" s="46">
        <f>EFEITO!$N$1161*EFEITO!$AA$1161</f>
        <v>124430.3183771996</v>
      </c>
      <c r="M1161" s="46">
        <f>$J$1161-EFEITO!$K$1161*EFEITO!$Y$1161</f>
        <v>0</v>
      </c>
      <c r="N1161" s="46">
        <f ca="1">$K$1161-EFEITO!$M$1161*EFEITO!$Z$1161</f>
        <v>0</v>
      </c>
      <c r="O1161" s="46">
        <f>$L$1161-EFEITO!$O$1161*EFEITO!$AA$1161</f>
        <v>0</v>
      </c>
      <c r="P1161" s="38"/>
      <c r="Q1161" s="38"/>
      <c r="R1161" s="38"/>
      <c r="S1161" s="38"/>
      <c r="T1161" s="38"/>
      <c r="U1161" s="38"/>
      <c r="V1161" s="38"/>
      <c r="W1161" s="38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</row>
    <row r="1162" spans="1:36" ht="11.25" customHeight="1" x14ac:dyDescent="0.2">
      <c r="A1162" s="35" t="s">
        <v>30</v>
      </c>
      <c r="B1162" s="35" t="s">
        <v>22</v>
      </c>
      <c r="C1162" s="35" t="s">
        <v>23</v>
      </c>
      <c r="D1162" s="35" t="s">
        <v>24</v>
      </c>
      <c r="E1162" s="35" t="s">
        <v>24</v>
      </c>
      <c r="F1162" s="35" t="s">
        <v>25</v>
      </c>
      <c r="G1162" s="35" t="s">
        <v>25</v>
      </c>
      <c r="H1162" s="35" t="s">
        <v>25</v>
      </c>
      <c r="I1162" s="45">
        <v>44774</v>
      </c>
      <c r="J1162" s="46">
        <f>EFEITO!$J$1162*EFEITO!$Y$1162</f>
        <v>0</v>
      </c>
      <c r="K1162" s="46">
        <f ca="1">EFEITO!$L$1162*EFEITO!$Z$1162</f>
        <v>-975.31079187515104</v>
      </c>
      <c r="L1162" s="46">
        <f>EFEITO!$N$1162*EFEITO!$AA$1162</f>
        <v>-447.98439436361303</v>
      </c>
      <c r="M1162" s="46">
        <f>$J$1162-EFEITO!$K$1162*EFEITO!$Y$1162</f>
        <v>0</v>
      </c>
      <c r="N1162" s="46">
        <f ca="1">$K$1162-EFEITO!$M$1162*EFEITO!$Z$1162</f>
        <v>0</v>
      </c>
      <c r="O1162" s="46">
        <f>$L$1162-EFEITO!$O$1162*EFEITO!$AA$1162</f>
        <v>0</v>
      </c>
      <c r="P1162" s="38"/>
      <c r="Q1162" s="38"/>
      <c r="R1162" s="38"/>
      <c r="S1162" s="38"/>
      <c r="T1162" s="38"/>
      <c r="U1162" s="38"/>
      <c r="V1162" s="38"/>
      <c r="W1162" s="38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</row>
    <row r="1163" spans="1:36" ht="11.25" customHeight="1" x14ac:dyDescent="0.2">
      <c r="A1163" s="35" t="s">
        <v>21</v>
      </c>
      <c r="B1163" s="35" t="s">
        <v>22</v>
      </c>
      <c r="C1163" s="35" t="s">
        <v>23</v>
      </c>
      <c r="D1163" s="35" t="s">
        <v>24</v>
      </c>
      <c r="E1163" s="35" t="s">
        <v>24</v>
      </c>
      <c r="F1163" s="35" t="s">
        <v>25</v>
      </c>
      <c r="G1163" s="35" t="s">
        <v>25</v>
      </c>
      <c r="H1163" s="35" t="s">
        <v>25</v>
      </c>
      <c r="I1163" s="45">
        <v>44805</v>
      </c>
      <c r="J1163" s="46">
        <f>EFEITO!$J$1163*EFEITO!$Y$1163</f>
        <v>0</v>
      </c>
      <c r="K1163" s="46">
        <f ca="1">EFEITO!$L$1163*EFEITO!$Z$1163</f>
        <v>15334595.626152223</v>
      </c>
      <c r="L1163" s="46">
        <f>EFEITO!$N$1163*EFEITO!$AA$1163</f>
        <v>7043559.4393300787</v>
      </c>
      <c r="M1163" s="46">
        <f>$J$1163-EFEITO!$K$1163*EFEITO!$Y$1163</f>
        <v>0</v>
      </c>
      <c r="N1163" s="46">
        <f ca="1">$K$1163-EFEITO!$M$1163*EFEITO!$Z$1163</f>
        <v>0</v>
      </c>
      <c r="O1163" s="46">
        <f>$L$1163-EFEITO!$O$1163*EFEITO!$AA$1163</f>
        <v>0</v>
      </c>
      <c r="P1163" s="38"/>
      <c r="Q1163" s="38"/>
      <c r="R1163" s="38"/>
      <c r="S1163" s="38"/>
      <c r="T1163" s="38"/>
      <c r="U1163" s="38"/>
      <c r="V1163" s="38"/>
      <c r="W1163" s="38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</row>
    <row r="1164" spans="1:36" ht="11.25" customHeight="1" x14ac:dyDescent="0.2">
      <c r="A1164" s="35" t="s">
        <v>27</v>
      </c>
      <c r="B1164" s="35" t="s">
        <v>22</v>
      </c>
      <c r="C1164" s="35" t="s">
        <v>23</v>
      </c>
      <c r="D1164" s="35" t="s">
        <v>24</v>
      </c>
      <c r="E1164" s="35" t="s">
        <v>24</v>
      </c>
      <c r="F1164" s="35" t="s">
        <v>25</v>
      </c>
      <c r="G1164" s="35" t="s">
        <v>25</v>
      </c>
      <c r="H1164" s="35" t="s">
        <v>25</v>
      </c>
      <c r="I1164" s="45">
        <v>44805</v>
      </c>
      <c r="J1164" s="46">
        <f>EFEITO!$J$1164*EFEITO!$Y$1164</f>
        <v>0</v>
      </c>
      <c r="K1164" s="46">
        <f ca="1">EFEITO!$L$1164*EFEITO!$Z$1164</f>
        <v>-104776.10157865359</v>
      </c>
      <c r="L1164" s="46">
        <f>EFEITO!$N$1164*EFEITO!$AA$1164</f>
        <v>-48126.257599641162</v>
      </c>
      <c r="M1164" s="46">
        <f>$J$1164-EFEITO!$K$1164*EFEITO!$Y$1164</f>
        <v>0</v>
      </c>
      <c r="N1164" s="46">
        <f ca="1">$K$1164-EFEITO!$M$1164*EFEITO!$Z$1164</f>
        <v>0</v>
      </c>
      <c r="O1164" s="46">
        <f>$L$1164-EFEITO!$O$1164*EFEITO!$AA$1164</f>
        <v>0</v>
      </c>
      <c r="P1164" s="38"/>
      <c r="Q1164" s="38"/>
      <c r="R1164" s="38"/>
      <c r="S1164" s="38"/>
      <c r="T1164" s="38"/>
      <c r="U1164" s="38"/>
      <c r="V1164" s="38"/>
      <c r="W1164" s="38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</row>
    <row r="1165" spans="1:36" ht="11.25" customHeight="1" x14ac:dyDescent="0.2">
      <c r="A1165" s="35" t="s">
        <v>28</v>
      </c>
      <c r="B1165" s="35" t="s">
        <v>22</v>
      </c>
      <c r="C1165" s="35" t="s">
        <v>23</v>
      </c>
      <c r="D1165" s="35" t="s">
        <v>24</v>
      </c>
      <c r="E1165" s="35" t="s">
        <v>24</v>
      </c>
      <c r="F1165" s="35" t="s">
        <v>25</v>
      </c>
      <c r="G1165" s="35" t="s">
        <v>25</v>
      </c>
      <c r="H1165" s="35" t="s">
        <v>25</v>
      </c>
      <c r="I1165" s="45">
        <v>44805</v>
      </c>
      <c r="J1165" s="46">
        <f>EFEITO!$J$1165*EFEITO!$Y$1165</f>
        <v>0</v>
      </c>
      <c r="K1165" s="46">
        <f ca="1">EFEITO!$L$1165*EFEITO!$Z$1165</f>
        <v>3477739.8182271668</v>
      </c>
      <c r="L1165" s="46">
        <f>EFEITO!$N$1165*EFEITO!$AA$1165</f>
        <v>1597412.0036417625</v>
      </c>
      <c r="M1165" s="46">
        <f>$J$1165-EFEITO!$K$1165*EFEITO!$Y$1165</f>
        <v>0</v>
      </c>
      <c r="N1165" s="46">
        <f ca="1">$K$1165-EFEITO!$M$1165*EFEITO!$Z$1165</f>
        <v>0</v>
      </c>
      <c r="O1165" s="46">
        <f>$L$1165-EFEITO!$O$1165*EFEITO!$AA$1165</f>
        <v>0</v>
      </c>
      <c r="P1165" s="38"/>
      <c r="Q1165" s="38"/>
      <c r="R1165" s="38"/>
      <c r="S1165" s="38"/>
      <c r="T1165" s="38"/>
      <c r="U1165" s="38"/>
      <c r="V1165" s="38"/>
      <c r="W1165" s="38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</row>
    <row r="1166" spans="1:36" ht="11.25" customHeight="1" x14ac:dyDescent="0.2">
      <c r="A1166" s="35" t="s">
        <v>29</v>
      </c>
      <c r="B1166" s="35" t="s">
        <v>22</v>
      </c>
      <c r="C1166" s="35" t="s">
        <v>23</v>
      </c>
      <c r="D1166" s="35" t="s">
        <v>24</v>
      </c>
      <c r="E1166" s="35" t="s">
        <v>24</v>
      </c>
      <c r="F1166" s="35" t="s">
        <v>25</v>
      </c>
      <c r="G1166" s="35" t="s">
        <v>25</v>
      </c>
      <c r="H1166" s="35" t="s">
        <v>25</v>
      </c>
      <c r="I1166" s="45">
        <v>44805</v>
      </c>
      <c r="J1166" s="46">
        <f>EFEITO!$J$1166*EFEITO!$Y$1166</f>
        <v>0</v>
      </c>
      <c r="K1166" s="46">
        <f ca="1">EFEITO!$L$1166*EFEITO!$Z$1166</f>
        <v>-14956.606947906215</v>
      </c>
      <c r="L1166" s="46">
        <f>EFEITO!$N$1166*EFEITO!$AA$1166</f>
        <v>-6869.9398808150154</v>
      </c>
      <c r="M1166" s="46">
        <f>$J$1166-EFEITO!$K$1166*EFEITO!$Y$1166</f>
        <v>0</v>
      </c>
      <c r="N1166" s="46">
        <f ca="1">$K$1166-EFEITO!$M$1166*EFEITO!$Z$1166</f>
        <v>0</v>
      </c>
      <c r="O1166" s="46">
        <f>$L$1166-EFEITO!$O$1166*EFEITO!$AA$1166</f>
        <v>0</v>
      </c>
      <c r="P1166" s="38"/>
      <c r="Q1166" s="38"/>
      <c r="R1166" s="38"/>
      <c r="S1166" s="38"/>
      <c r="T1166" s="38"/>
      <c r="U1166" s="38"/>
      <c r="V1166" s="38"/>
      <c r="W1166" s="38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</row>
    <row r="1167" spans="1:36" ht="11.25" customHeight="1" x14ac:dyDescent="0.2">
      <c r="A1167" s="35" t="s">
        <v>30</v>
      </c>
      <c r="B1167" s="35" t="s">
        <v>22</v>
      </c>
      <c r="C1167" s="35" t="s">
        <v>23</v>
      </c>
      <c r="D1167" s="35" t="s">
        <v>24</v>
      </c>
      <c r="E1167" s="35" t="s">
        <v>24</v>
      </c>
      <c r="F1167" s="35" t="s">
        <v>25</v>
      </c>
      <c r="G1167" s="35" t="s">
        <v>25</v>
      </c>
      <c r="H1167" s="35" t="s">
        <v>25</v>
      </c>
      <c r="I1167" s="45">
        <v>44805</v>
      </c>
      <c r="J1167" s="46">
        <f>EFEITO!$J$1167*EFEITO!$Y$1167</f>
        <v>0</v>
      </c>
      <c r="K1167" s="46">
        <f ca="1">EFEITO!$L$1167*EFEITO!$Z$1167</f>
        <v>231679.50397050349</v>
      </c>
      <c r="L1167" s="46">
        <f>EFEITO!$N$1167*EFEITO!$AA$1167</f>
        <v>106416.13231115998</v>
      </c>
      <c r="M1167" s="46">
        <f>$J$1167-EFEITO!$K$1167*EFEITO!$Y$1167</f>
        <v>0</v>
      </c>
      <c r="N1167" s="46">
        <f ca="1">$K$1167-EFEITO!$M$1167*EFEITO!$Z$1167</f>
        <v>0</v>
      </c>
      <c r="O1167" s="46">
        <f>$L$1167-EFEITO!$O$1167*EFEITO!$AA$1167</f>
        <v>0</v>
      </c>
      <c r="P1167" s="38"/>
      <c r="Q1167" s="38"/>
      <c r="R1167" s="38"/>
      <c r="S1167" s="38"/>
      <c r="T1167" s="38"/>
      <c r="U1167" s="38"/>
      <c r="V1167" s="38"/>
      <c r="W1167" s="38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</row>
    <row r="1168" spans="1:36" ht="11.25" customHeight="1" x14ac:dyDescent="0.2">
      <c r="A1168" s="35" t="s">
        <v>30</v>
      </c>
      <c r="B1168" s="35" t="s">
        <v>22</v>
      </c>
      <c r="C1168" s="35" t="s">
        <v>23</v>
      </c>
      <c r="D1168" s="35" t="s">
        <v>24</v>
      </c>
      <c r="E1168" s="35" t="s">
        <v>24</v>
      </c>
      <c r="F1168" s="35" t="s">
        <v>25</v>
      </c>
      <c r="G1168" s="35" t="s">
        <v>25</v>
      </c>
      <c r="H1168" s="35" t="s">
        <v>25</v>
      </c>
      <c r="I1168" s="45">
        <v>44805</v>
      </c>
      <c r="J1168" s="46">
        <f>EFEITO!$J$1168*EFEITO!$Y$1168</f>
        <v>0</v>
      </c>
      <c r="K1168" s="46">
        <f ca="1">EFEITO!$L$1168*EFEITO!$Z$1168</f>
        <v>-1674.9029304344122</v>
      </c>
      <c r="L1168" s="46">
        <f>EFEITO!$N$1168*EFEITO!$AA$1168</f>
        <v>-769.32438475934578</v>
      </c>
      <c r="M1168" s="46">
        <f>$J$1168-EFEITO!$K$1168*EFEITO!$Y$1168</f>
        <v>0</v>
      </c>
      <c r="N1168" s="46">
        <f ca="1">$K$1168-EFEITO!$M$1168*EFEITO!$Z$1168</f>
        <v>0</v>
      </c>
      <c r="O1168" s="46">
        <f>$L$1168-EFEITO!$O$1168*EFEITO!$AA$1168</f>
        <v>0</v>
      </c>
      <c r="P1168" s="38"/>
      <c r="Q1168" s="38"/>
      <c r="R1168" s="38"/>
      <c r="S1168" s="38"/>
      <c r="T1168" s="38"/>
      <c r="U1168" s="38"/>
      <c r="V1168" s="38"/>
      <c r="W1168" s="38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</row>
    <row r="1169" spans="1:36" ht="11.25" customHeight="1" x14ac:dyDescent="0.2">
      <c r="A1169" s="35" t="s">
        <v>21</v>
      </c>
      <c r="B1169" s="35" t="s">
        <v>22</v>
      </c>
      <c r="C1169" s="35" t="s">
        <v>23</v>
      </c>
      <c r="D1169" s="35" t="s">
        <v>24</v>
      </c>
      <c r="E1169" s="35" t="s">
        <v>24</v>
      </c>
      <c r="F1169" s="35" t="s">
        <v>25</v>
      </c>
      <c r="G1169" s="35" t="s">
        <v>25</v>
      </c>
      <c r="H1169" s="35" t="s">
        <v>25</v>
      </c>
      <c r="I1169" s="45">
        <v>44835</v>
      </c>
      <c r="J1169" s="46">
        <f>EFEITO!$J$1169*EFEITO!$Y$1169</f>
        <v>0</v>
      </c>
      <c r="K1169" s="46">
        <f ca="1">EFEITO!$L$1169*EFEITO!$Z$1169</f>
        <v>16676958.758578287</v>
      </c>
      <c r="L1169" s="46">
        <f>EFEITO!$N$1169*EFEITO!$AA$1169</f>
        <v>7660140.0615333365</v>
      </c>
      <c r="M1169" s="46">
        <f>$J$1169-EFEITO!$K$1169*EFEITO!$Y$1169</f>
        <v>0</v>
      </c>
      <c r="N1169" s="46">
        <f ca="1">$K$1169-EFEITO!$M$1169*EFEITO!$Z$1169</f>
        <v>0</v>
      </c>
      <c r="O1169" s="46">
        <f>$L$1169-EFEITO!$O$1169*EFEITO!$AA$1169</f>
        <v>0</v>
      </c>
      <c r="P1169" s="38"/>
      <c r="Q1169" s="38"/>
      <c r="R1169" s="38"/>
      <c r="S1169" s="38"/>
      <c r="T1169" s="38"/>
      <c r="U1169" s="38"/>
      <c r="V1169" s="38"/>
      <c r="W1169" s="38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</row>
    <row r="1170" spans="1:36" ht="11.25" customHeight="1" x14ac:dyDescent="0.2">
      <c r="A1170" s="35" t="s">
        <v>27</v>
      </c>
      <c r="B1170" s="35" t="s">
        <v>22</v>
      </c>
      <c r="C1170" s="35" t="s">
        <v>23</v>
      </c>
      <c r="D1170" s="35" t="s">
        <v>24</v>
      </c>
      <c r="E1170" s="35" t="s">
        <v>24</v>
      </c>
      <c r="F1170" s="35" t="s">
        <v>25</v>
      </c>
      <c r="G1170" s="35" t="s">
        <v>25</v>
      </c>
      <c r="H1170" s="35" t="s">
        <v>25</v>
      </c>
      <c r="I1170" s="45">
        <v>44835</v>
      </c>
      <c r="J1170" s="46">
        <f>EFEITO!$J$1170*EFEITO!$Y$1170</f>
        <v>0</v>
      </c>
      <c r="K1170" s="46">
        <f ca="1">EFEITO!$L$1170*EFEITO!$Z$1170</f>
        <v>-180908.60083814786</v>
      </c>
      <c r="L1170" s="46">
        <f>EFEITO!$N$1170*EFEITO!$AA$1170</f>
        <v>-83095.799469038087</v>
      </c>
      <c r="M1170" s="46">
        <f>$J$1170-EFEITO!$K$1170*EFEITO!$Y$1170</f>
        <v>0</v>
      </c>
      <c r="N1170" s="46">
        <f ca="1">$K$1170-EFEITO!$M$1170*EFEITO!$Z$1170</f>
        <v>0</v>
      </c>
      <c r="O1170" s="46">
        <f>$L$1170-EFEITO!$O$1170*EFEITO!$AA$1170</f>
        <v>0</v>
      </c>
      <c r="P1170" s="38"/>
      <c r="Q1170" s="38"/>
      <c r="R1170" s="38"/>
      <c r="S1170" s="38"/>
      <c r="T1170" s="38"/>
      <c r="U1170" s="38"/>
      <c r="V1170" s="38"/>
      <c r="W1170" s="38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</row>
    <row r="1171" spans="1:36" ht="11.25" customHeight="1" x14ac:dyDescent="0.2">
      <c r="A1171" s="35" t="s">
        <v>28</v>
      </c>
      <c r="B1171" s="35" t="s">
        <v>22</v>
      </c>
      <c r="C1171" s="35" t="s">
        <v>23</v>
      </c>
      <c r="D1171" s="35" t="s">
        <v>24</v>
      </c>
      <c r="E1171" s="35" t="s">
        <v>24</v>
      </c>
      <c r="F1171" s="35" t="s">
        <v>25</v>
      </c>
      <c r="G1171" s="35" t="s">
        <v>25</v>
      </c>
      <c r="H1171" s="35" t="s">
        <v>25</v>
      </c>
      <c r="I1171" s="45">
        <v>44835</v>
      </c>
      <c r="J1171" s="46">
        <f>EFEITO!$J$1171*EFEITO!$Y$1171</f>
        <v>0</v>
      </c>
      <c r="K1171" s="46">
        <f ca="1">EFEITO!$L$1171*EFEITO!$Z$1171</f>
        <v>3666134.5069456911</v>
      </c>
      <c r="L1171" s="46">
        <f>EFEITO!$N$1171*EFEITO!$AA$1171</f>
        <v>1683946.348621812</v>
      </c>
      <c r="M1171" s="46">
        <f>$J$1171-EFEITO!$K$1171*EFEITO!$Y$1171</f>
        <v>0</v>
      </c>
      <c r="N1171" s="46">
        <f ca="1">$K$1171-EFEITO!$M$1171*EFEITO!$Z$1171</f>
        <v>0</v>
      </c>
      <c r="O1171" s="46">
        <f>$L$1171-EFEITO!$O$1171*EFEITO!$AA$1171</f>
        <v>0</v>
      </c>
      <c r="P1171" s="38"/>
      <c r="Q1171" s="38"/>
      <c r="R1171" s="38"/>
      <c r="S1171" s="38"/>
      <c r="T1171" s="38"/>
      <c r="U1171" s="38"/>
      <c r="V1171" s="38"/>
      <c r="W1171" s="38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</row>
    <row r="1172" spans="1:36" ht="11.25" customHeight="1" x14ac:dyDescent="0.2">
      <c r="A1172" s="35" t="s">
        <v>29</v>
      </c>
      <c r="B1172" s="35" t="s">
        <v>22</v>
      </c>
      <c r="C1172" s="35" t="s">
        <v>23</v>
      </c>
      <c r="D1172" s="35" t="s">
        <v>24</v>
      </c>
      <c r="E1172" s="35" t="s">
        <v>24</v>
      </c>
      <c r="F1172" s="35" t="s">
        <v>25</v>
      </c>
      <c r="G1172" s="35" t="s">
        <v>25</v>
      </c>
      <c r="H1172" s="35" t="s">
        <v>25</v>
      </c>
      <c r="I1172" s="45">
        <v>44835</v>
      </c>
      <c r="J1172" s="46">
        <f>EFEITO!$J$1172*EFEITO!$Y$1172</f>
        <v>0</v>
      </c>
      <c r="K1172" s="46">
        <f ca="1">EFEITO!$L$1172*EFEITO!$Z$1172</f>
        <v>-14729.60361220716</v>
      </c>
      <c r="L1172" s="46">
        <f>EFEITO!$N$1172*EFEITO!$AA$1172</f>
        <v>-6765.6716283678725</v>
      </c>
      <c r="M1172" s="46">
        <f>$J$1172-EFEITO!$K$1172*EFEITO!$Y$1172</f>
        <v>0</v>
      </c>
      <c r="N1172" s="46">
        <f ca="1">$K$1172-EFEITO!$M$1172*EFEITO!$Z$1172</f>
        <v>0</v>
      </c>
      <c r="O1172" s="46">
        <f>$L$1172-EFEITO!$O$1172*EFEITO!$AA$1172</f>
        <v>0</v>
      </c>
      <c r="P1172" s="38"/>
      <c r="Q1172" s="38"/>
      <c r="R1172" s="38"/>
      <c r="S1172" s="38"/>
      <c r="T1172" s="38"/>
      <c r="U1172" s="38"/>
      <c r="V1172" s="38"/>
      <c r="W1172" s="38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</row>
    <row r="1173" spans="1:36" ht="11.25" customHeight="1" x14ac:dyDescent="0.2">
      <c r="A1173" s="35" t="s">
        <v>30</v>
      </c>
      <c r="B1173" s="35" t="s">
        <v>22</v>
      </c>
      <c r="C1173" s="35" t="s">
        <v>23</v>
      </c>
      <c r="D1173" s="35" t="s">
        <v>24</v>
      </c>
      <c r="E1173" s="35" t="s">
        <v>24</v>
      </c>
      <c r="F1173" s="35" t="s">
        <v>25</v>
      </c>
      <c r="G1173" s="35" t="s">
        <v>25</v>
      </c>
      <c r="H1173" s="35" t="s">
        <v>25</v>
      </c>
      <c r="I1173" s="45">
        <v>44835</v>
      </c>
      <c r="J1173" s="46">
        <f>EFEITO!$J$1173*EFEITO!$Y$1173</f>
        <v>0</v>
      </c>
      <c r="K1173" s="46">
        <f ca="1">EFEITO!$L$1173*EFEITO!$Z$1173</f>
        <v>273762.00509490853</v>
      </c>
      <c r="L1173" s="46">
        <f>EFEITO!$N$1173*EFEITO!$AA$1173</f>
        <v>125745.6669954598</v>
      </c>
      <c r="M1173" s="46">
        <f>$J$1173-EFEITO!$K$1173*EFEITO!$Y$1173</f>
        <v>0</v>
      </c>
      <c r="N1173" s="46">
        <f ca="1">$K$1173-EFEITO!$M$1173*EFEITO!$Z$1173</f>
        <v>0</v>
      </c>
      <c r="O1173" s="46">
        <f>$L$1173-EFEITO!$O$1173*EFEITO!$AA$1173</f>
        <v>0</v>
      </c>
      <c r="P1173" s="38"/>
      <c r="Q1173" s="38"/>
      <c r="R1173" s="38"/>
      <c r="S1173" s="38"/>
      <c r="T1173" s="38"/>
      <c r="U1173" s="38"/>
      <c r="V1173" s="38"/>
      <c r="W1173" s="38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</row>
    <row r="1174" spans="1:36" ht="11.25" customHeight="1" x14ac:dyDescent="0.2">
      <c r="A1174" s="35" t="s">
        <v>30</v>
      </c>
      <c r="B1174" s="35" t="s">
        <v>22</v>
      </c>
      <c r="C1174" s="35" t="s">
        <v>23</v>
      </c>
      <c r="D1174" s="35" t="s">
        <v>24</v>
      </c>
      <c r="E1174" s="35" t="s">
        <v>24</v>
      </c>
      <c r="F1174" s="35" t="s">
        <v>25</v>
      </c>
      <c r="G1174" s="35" t="s">
        <v>25</v>
      </c>
      <c r="H1174" s="35" t="s">
        <v>25</v>
      </c>
      <c r="I1174" s="45">
        <v>44835</v>
      </c>
      <c r="J1174" s="46">
        <f>EFEITO!$J$1174*EFEITO!$Y$1174</f>
        <v>0</v>
      </c>
      <c r="K1174" s="46">
        <f ca="1">EFEITO!$L$1174*EFEITO!$Z$1174</f>
        <v>-402.78025493505208</v>
      </c>
      <c r="L1174" s="46">
        <f>EFEITO!$N$1174*EFEITO!$AA$1174</f>
        <v>-185.00694350134793</v>
      </c>
      <c r="M1174" s="46">
        <f>$J$1174-EFEITO!$K$1174*EFEITO!$Y$1174</f>
        <v>0</v>
      </c>
      <c r="N1174" s="46">
        <f ca="1">$K$1174-EFEITO!$M$1174*EFEITO!$Z$1174</f>
        <v>0</v>
      </c>
      <c r="O1174" s="46">
        <f>$L$1174-EFEITO!$O$1174*EFEITO!$AA$1174</f>
        <v>0</v>
      </c>
      <c r="P1174" s="38"/>
      <c r="Q1174" s="38"/>
      <c r="R1174" s="38"/>
      <c r="S1174" s="38"/>
      <c r="T1174" s="38"/>
      <c r="U1174" s="38"/>
      <c r="V1174" s="38"/>
      <c r="W1174" s="38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</row>
    <row r="1175" spans="1:36" ht="11.25" customHeight="1" x14ac:dyDescent="0.2">
      <c r="A1175" s="35" t="s">
        <v>59</v>
      </c>
      <c r="B1175" s="35" t="s">
        <v>22</v>
      </c>
      <c r="C1175" s="35" t="s">
        <v>23</v>
      </c>
      <c r="D1175" s="35" t="s">
        <v>24</v>
      </c>
      <c r="E1175" s="35" t="s">
        <v>24</v>
      </c>
      <c r="F1175" s="35" t="s">
        <v>25</v>
      </c>
      <c r="G1175" s="35" t="s">
        <v>25</v>
      </c>
      <c r="H1175" s="35" t="s">
        <v>25</v>
      </c>
      <c r="I1175" s="45">
        <v>44866</v>
      </c>
      <c r="J1175" s="46">
        <f>EFEITO!$J$1175*EFEITO!$Y$1175</f>
        <v>0</v>
      </c>
      <c r="K1175" s="46">
        <f ca="1">EFEITO!$L$1175*EFEITO!$Z$1175</f>
        <v>16676958.758578287</v>
      </c>
      <c r="L1175" s="46">
        <f>EFEITO!$N$1175*EFEITO!$AA$1175</f>
        <v>7660140.0615333365</v>
      </c>
      <c r="M1175" s="46">
        <f>$J$1175-EFEITO!$K$1175*EFEITO!$Y$1175</f>
        <v>0</v>
      </c>
      <c r="N1175" s="46">
        <f ca="1">$K$1175-EFEITO!$M$1175*EFEITO!$Z$1175</f>
        <v>0</v>
      </c>
      <c r="O1175" s="46">
        <f>$L$1175-EFEITO!$O$1175*EFEITO!$AA$1175</f>
        <v>0</v>
      </c>
      <c r="P1175" s="38"/>
      <c r="Q1175" s="38"/>
      <c r="R1175" s="38"/>
      <c r="S1175" s="38"/>
      <c r="T1175" s="38"/>
      <c r="U1175" s="38"/>
      <c r="V1175" s="38"/>
      <c r="W1175" s="38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</row>
    <row r="1176" spans="1:36" ht="11.25" customHeight="1" x14ac:dyDescent="0.2">
      <c r="A1176" s="35" t="s">
        <v>59</v>
      </c>
      <c r="B1176" s="35" t="s">
        <v>22</v>
      </c>
      <c r="C1176" s="35" t="s">
        <v>23</v>
      </c>
      <c r="D1176" s="35" t="s">
        <v>24</v>
      </c>
      <c r="E1176" s="35" t="s">
        <v>24</v>
      </c>
      <c r="F1176" s="35" t="s">
        <v>25</v>
      </c>
      <c r="G1176" s="35" t="s">
        <v>25</v>
      </c>
      <c r="H1176" s="35" t="s">
        <v>25</v>
      </c>
      <c r="I1176" s="45">
        <v>44866</v>
      </c>
      <c r="J1176" s="46">
        <f>EFEITO!$J$1176*EFEITO!$Y$1176</f>
        <v>0</v>
      </c>
      <c r="K1176" s="46">
        <f ca="1">EFEITO!$L$1176*EFEITO!$Z$1176</f>
        <v>-180908.60083814786</v>
      </c>
      <c r="L1176" s="46">
        <f>EFEITO!$N$1176*EFEITO!$AA$1176</f>
        <v>-83095.799469038087</v>
      </c>
      <c r="M1176" s="46">
        <f>$J$1176-EFEITO!$K$1176*EFEITO!$Y$1176</f>
        <v>0</v>
      </c>
      <c r="N1176" s="46">
        <f ca="1">$K$1176-EFEITO!$M$1176*EFEITO!$Z$1176</f>
        <v>0</v>
      </c>
      <c r="O1176" s="46">
        <f>$L$1176-EFEITO!$O$1176*EFEITO!$AA$1176</f>
        <v>0</v>
      </c>
      <c r="P1176" s="38"/>
      <c r="Q1176" s="38"/>
      <c r="R1176" s="38"/>
      <c r="S1176" s="38"/>
      <c r="T1176" s="38"/>
      <c r="U1176" s="38"/>
      <c r="V1176" s="38"/>
      <c r="W1176" s="38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</row>
    <row r="1177" spans="1:36" ht="11.25" customHeight="1" x14ac:dyDescent="0.2">
      <c r="A1177" s="35" t="s">
        <v>59</v>
      </c>
      <c r="B1177" s="35" t="s">
        <v>22</v>
      </c>
      <c r="C1177" s="35" t="s">
        <v>23</v>
      </c>
      <c r="D1177" s="35" t="s">
        <v>24</v>
      </c>
      <c r="E1177" s="35" t="s">
        <v>24</v>
      </c>
      <c r="F1177" s="35" t="s">
        <v>25</v>
      </c>
      <c r="G1177" s="35" t="s">
        <v>25</v>
      </c>
      <c r="H1177" s="35" t="s">
        <v>25</v>
      </c>
      <c r="I1177" s="45">
        <v>44866</v>
      </c>
      <c r="J1177" s="46">
        <f>EFEITO!$J$1177*EFEITO!$Y$1177</f>
        <v>0</v>
      </c>
      <c r="K1177" s="46">
        <f ca="1">EFEITO!$L$1177*EFEITO!$Z$1177</f>
        <v>3666134.5069456911</v>
      </c>
      <c r="L1177" s="46">
        <f>EFEITO!$N$1177*EFEITO!$AA$1177</f>
        <v>1683946.348621812</v>
      </c>
      <c r="M1177" s="46">
        <f>$J$1177-EFEITO!$K$1177*EFEITO!$Y$1177</f>
        <v>0</v>
      </c>
      <c r="N1177" s="46">
        <f ca="1">$K$1177-EFEITO!$M$1177*EFEITO!$Z$1177</f>
        <v>0</v>
      </c>
      <c r="O1177" s="46">
        <f>$L$1177-EFEITO!$O$1177*EFEITO!$AA$1177</f>
        <v>0</v>
      </c>
      <c r="P1177" s="38"/>
      <c r="Q1177" s="38"/>
      <c r="R1177" s="38"/>
      <c r="S1177" s="38"/>
      <c r="T1177" s="38"/>
      <c r="U1177" s="38"/>
      <c r="V1177" s="38"/>
      <c r="W1177" s="38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</row>
    <row r="1178" spans="1:36" ht="11.25" customHeight="1" x14ac:dyDescent="0.2">
      <c r="A1178" s="35" t="s">
        <v>59</v>
      </c>
      <c r="B1178" s="35" t="s">
        <v>22</v>
      </c>
      <c r="C1178" s="35" t="s">
        <v>23</v>
      </c>
      <c r="D1178" s="35" t="s">
        <v>24</v>
      </c>
      <c r="E1178" s="35" t="s">
        <v>24</v>
      </c>
      <c r="F1178" s="35" t="s">
        <v>25</v>
      </c>
      <c r="G1178" s="35" t="s">
        <v>25</v>
      </c>
      <c r="H1178" s="35" t="s">
        <v>25</v>
      </c>
      <c r="I1178" s="45">
        <v>44866</v>
      </c>
      <c r="J1178" s="46">
        <f>EFEITO!$J$1178*EFEITO!$Y$1178</f>
        <v>0</v>
      </c>
      <c r="K1178" s="46">
        <f ca="1">EFEITO!$L$1178*EFEITO!$Z$1178</f>
        <v>-14729.60361220716</v>
      </c>
      <c r="L1178" s="46">
        <f>EFEITO!$N$1178*EFEITO!$AA$1178</f>
        <v>-6765.6716283678725</v>
      </c>
      <c r="M1178" s="46">
        <f>$J$1178-EFEITO!$K$1178*EFEITO!$Y$1178</f>
        <v>0</v>
      </c>
      <c r="N1178" s="46">
        <f ca="1">$K$1178-EFEITO!$M$1178*EFEITO!$Z$1178</f>
        <v>0</v>
      </c>
      <c r="O1178" s="46">
        <f>$L$1178-EFEITO!$O$1178*EFEITO!$AA$1178</f>
        <v>0</v>
      </c>
      <c r="P1178" s="38"/>
      <c r="Q1178" s="38"/>
      <c r="R1178" s="38"/>
      <c r="S1178" s="38"/>
      <c r="T1178" s="38"/>
      <c r="U1178" s="38"/>
      <c r="V1178" s="38"/>
      <c r="W1178" s="38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</row>
    <row r="1179" spans="1:36" ht="11.25" customHeight="1" x14ac:dyDescent="0.2">
      <c r="A1179" s="35" t="s">
        <v>59</v>
      </c>
      <c r="B1179" s="35" t="s">
        <v>22</v>
      </c>
      <c r="C1179" s="35" t="s">
        <v>23</v>
      </c>
      <c r="D1179" s="35" t="s">
        <v>24</v>
      </c>
      <c r="E1179" s="35" t="s">
        <v>24</v>
      </c>
      <c r="F1179" s="35" t="s">
        <v>25</v>
      </c>
      <c r="G1179" s="35" t="s">
        <v>25</v>
      </c>
      <c r="H1179" s="35" t="s">
        <v>25</v>
      </c>
      <c r="I1179" s="45">
        <v>44866</v>
      </c>
      <c r="J1179" s="46">
        <f>EFEITO!$J$1179*EFEITO!$Y$1179</f>
        <v>0</v>
      </c>
      <c r="K1179" s="46">
        <f ca="1">EFEITO!$L$1179*EFEITO!$Z$1179</f>
        <v>273762.00509490853</v>
      </c>
      <c r="L1179" s="46">
        <f>EFEITO!$N$1179*EFEITO!$AA$1179</f>
        <v>125745.6669954598</v>
      </c>
      <c r="M1179" s="46">
        <f>$J$1179-EFEITO!$K$1179*EFEITO!$Y$1179</f>
        <v>0</v>
      </c>
      <c r="N1179" s="46">
        <f ca="1">$K$1179-EFEITO!$M$1179*EFEITO!$Z$1179</f>
        <v>0</v>
      </c>
      <c r="O1179" s="46">
        <f>$L$1179-EFEITO!$O$1179*EFEITO!$AA$1179</f>
        <v>0</v>
      </c>
      <c r="P1179" s="38"/>
      <c r="Q1179" s="38"/>
      <c r="R1179" s="38"/>
      <c r="S1179" s="38"/>
      <c r="T1179" s="38"/>
      <c r="U1179" s="38"/>
      <c r="V1179" s="38"/>
      <c r="W1179" s="38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</row>
    <row r="1180" spans="1:36" ht="11.25" customHeight="1" x14ac:dyDescent="0.2">
      <c r="A1180" s="35" t="s">
        <v>59</v>
      </c>
      <c r="B1180" s="35" t="s">
        <v>22</v>
      </c>
      <c r="C1180" s="35" t="s">
        <v>23</v>
      </c>
      <c r="D1180" s="35" t="s">
        <v>24</v>
      </c>
      <c r="E1180" s="35" t="s">
        <v>24</v>
      </c>
      <c r="F1180" s="35" t="s">
        <v>25</v>
      </c>
      <c r="G1180" s="35" t="s">
        <v>25</v>
      </c>
      <c r="H1180" s="35" t="s">
        <v>25</v>
      </c>
      <c r="I1180" s="45">
        <v>44866</v>
      </c>
      <c r="J1180" s="46">
        <f>EFEITO!$J$1180*EFEITO!$Y$1180</f>
        <v>0</v>
      </c>
      <c r="K1180" s="46">
        <f ca="1">EFEITO!$L$1180*EFEITO!$Z$1180</f>
        <v>-402.78025493505208</v>
      </c>
      <c r="L1180" s="46">
        <f>EFEITO!$N$1180*EFEITO!$AA$1180</f>
        <v>-185.00694350134793</v>
      </c>
      <c r="M1180" s="46">
        <f>$J$1180-EFEITO!$K$1180*EFEITO!$Y$1180</f>
        <v>0</v>
      </c>
      <c r="N1180" s="46">
        <f ca="1">$K$1180-EFEITO!$M$1180*EFEITO!$Z$1180</f>
        <v>0</v>
      </c>
      <c r="O1180" s="46">
        <f>$L$1180-EFEITO!$O$1180*EFEITO!$AA$1180</f>
        <v>0</v>
      </c>
      <c r="P1180" s="38"/>
      <c r="Q1180" s="38"/>
      <c r="R1180" s="38"/>
      <c r="S1180" s="38"/>
      <c r="T1180" s="38"/>
      <c r="U1180" s="38"/>
      <c r="V1180" s="38"/>
      <c r="W1180" s="38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</row>
    <row r="1181" spans="1:36" ht="11.25" customHeight="1" x14ac:dyDescent="0.2">
      <c r="A1181" s="35" t="s">
        <v>21</v>
      </c>
      <c r="B1181" s="35" t="s">
        <v>22</v>
      </c>
      <c r="C1181" s="35" t="s">
        <v>23</v>
      </c>
      <c r="D1181" s="35" t="s">
        <v>24</v>
      </c>
      <c r="E1181" s="35" t="s">
        <v>31</v>
      </c>
      <c r="F1181" s="35" t="s">
        <v>25</v>
      </c>
      <c r="G1181" s="35" t="s">
        <v>25</v>
      </c>
      <c r="H1181" s="35" t="s">
        <v>25</v>
      </c>
      <c r="I1181" s="45">
        <v>44531</v>
      </c>
      <c r="J1181" s="46">
        <f>EFEITO!$J$1181*EFEITO!$Y$1110</f>
        <v>0</v>
      </c>
      <c r="K1181" s="46">
        <f ca="1">EFEITO!$L$1181*EFEITO!$Z$1372</f>
        <v>455618.13508248585</v>
      </c>
      <c r="L1181" s="46">
        <f>EFEITO!$N$1181*EFEITO!$AA$1372</f>
        <v>250141.38307649331</v>
      </c>
      <c r="M1181" s="46">
        <f>$J$1181-EFEITO!$K$1181*EFEITO!$Y$1181</f>
        <v>0</v>
      </c>
      <c r="N1181" s="46">
        <f ca="1">$K$1181-EFEITO!$M$1181*EFEITO!$Z$1181</f>
        <v>296151.78780361579</v>
      </c>
      <c r="O1181" s="46">
        <f>$L$1181-EFEITO!$O$1181*EFEITO!$AA$1181</f>
        <v>162591.89899972067</v>
      </c>
      <c r="P1181" s="38"/>
      <c r="Q1181" s="38"/>
      <c r="R1181" s="38"/>
      <c r="S1181" s="38"/>
      <c r="T1181" s="38"/>
      <c r="U1181" s="38"/>
      <c r="V1181" s="38"/>
      <c r="W1181" s="38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</row>
    <row r="1182" spans="1:36" ht="11.25" customHeight="1" x14ac:dyDescent="0.2">
      <c r="A1182" s="35" t="s">
        <v>27</v>
      </c>
      <c r="B1182" s="35" t="s">
        <v>22</v>
      </c>
      <c r="C1182" s="35" t="s">
        <v>23</v>
      </c>
      <c r="D1182" s="35" t="s">
        <v>24</v>
      </c>
      <c r="E1182" s="35" t="s">
        <v>31</v>
      </c>
      <c r="F1182" s="35" t="s">
        <v>25</v>
      </c>
      <c r="G1182" s="35" t="s">
        <v>25</v>
      </c>
      <c r="H1182" s="35" t="s">
        <v>25</v>
      </c>
      <c r="I1182" s="45">
        <v>44531</v>
      </c>
      <c r="J1182" s="46">
        <f>EFEITO!$J$1182*EFEITO!$Y$1110</f>
        <v>0</v>
      </c>
      <c r="K1182" s="46">
        <f ca="1">EFEITO!$L$1182*EFEITO!$Z$1372</f>
        <v>-2007.5910950131849</v>
      </c>
      <c r="L1182" s="46">
        <f>EFEITO!$N$1182*EFEITO!$AA$1372</f>
        <v>-1102.1984738771075</v>
      </c>
      <c r="M1182" s="46">
        <f>$J$1182-EFEITO!$K$1182*EFEITO!$Y$1182</f>
        <v>0</v>
      </c>
      <c r="N1182" s="46">
        <f ca="1">$K$1182-EFEITO!$M$1182*EFEITO!$Z$1182</f>
        <v>-1304.9342117585702</v>
      </c>
      <c r="O1182" s="46">
        <f>$L$1182-EFEITO!$O$1182*EFEITO!$AA$1182</f>
        <v>-716.42900802011991</v>
      </c>
      <c r="P1182" s="38"/>
      <c r="Q1182" s="38"/>
      <c r="R1182" s="38"/>
      <c r="S1182" s="38"/>
      <c r="T1182" s="38"/>
      <c r="U1182" s="38"/>
      <c r="V1182" s="38"/>
      <c r="W1182" s="38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</row>
    <row r="1183" spans="1:36" ht="11.25" customHeight="1" x14ac:dyDescent="0.2">
      <c r="A1183" s="35" t="s">
        <v>28</v>
      </c>
      <c r="B1183" s="35" t="s">
        <v>22</v>
      </c>
      <c r="C1183" s="35" t="s">
        <v>23</v>
      </c>
      <c r="D1183" s="35" t="s">
        <v>24</v>
      </c>
      <c r="E1183" s="35" t="s">
        <v>31</v>
      </c>
      <c r="F1183" s="35" t="s">
        <v>25</v>
      </c>
      <c r="G1183" s="35" t="s">
        <v>25</v>
      </c>
      <c r="H1183" s="35" t="s">
        <v>25</v>
      </c>
      <c r="I1183" s="45">
        <v>44531</v>
      </c>
      <c r="J1183" s="46">
        <f>EFEITO!$J$1183*EFEITO!$Y$1110</f>
        <v>0</v>
      </c>
      <c r="K1183" s="46">
        <f ca="1">EFEITO!$L$1183*EFEITO!$Z$1372</f>
        <v>243919.3768265078</v>
      </c>
      <c r="L1183" s="46">
        <f>EFEITO!$N$1183*EFEITO!$AA$1372</f>
        <v>133915.4998022475</v>
      </c>
      <c r="M1183" s="46">
        <f>$J$1183-EFEITO!$K$1183*EFEITO!$Y$1183</f>
        <v>0</v>
      </c>
      <c r="N1183" s="46">
        <f ca="1">$K$1183-EFEITO!$M$1183*EFEITO!$Z$1183</f>
        <v>158547.59493723005</v>
      </c>
      <c r="O1183" s="46">
        <f>$L$1183-EFEITO!$O$1183*EFEITO!$AA$1183</f>
        <v>87045.074871460878</v>
      </c>
      <c r="P1183" s="38"/>
      <c r="Q1183" s="38"/>
      <c r="R1183" s="38"/>
      <c r="S1183" s="38"/>
      <c r="T1183" s="38"/>
      <c r="U1183" s="38"/>
      <c r="V1183" s="38"/>
      <c r="W1183" s="38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</row>
    <row r="1184" spans="1:36" ht="11.25" customHeight="1" x14ac:dyDescent="0.2">
      <c r="A1184" s="35" t="s">
        <v>29</v>
      </c>
      <c r="B1184" s="35" t="s">
        <v>22</v>
      </c>
      <c r="C1184" s="35" t="s">
        <v>23</v>
      </c>
      <c r="D1184" s="35" t="s">
        <v>24</v>
      </c>
      <c r="E1184" s="35" t="s">
        <v>31</v>
      </c>
      <c r="F1184" s="35" t="s">
        <v>25</v>
      </c>
      <c r="G1184" s="35" t="s">
        <v>25</v>
      </c>
      <c r="H1184" s="35" t="s">
        <v>25</v>
      </c>
      <c r="I1184" s="45">
        <v>44531</v>
      </c>
      <c r="J1184" s="46">
        <f>EFEITO!$J$1184*EFEITO!$Y$1110</f>
        <v>0</v>
      </c>
      <c r="K1184" s="46">
        <f ca="1">EFEITO!$L$1184*EFEITO!$Z$1372</f>
        <v>1047.9138114196076</v>
      </c>
      <c r="L1184" s="46">
        <f>EFEITO!$N$1184*EFEITO!$AA$1372</f>
        <v>575.32084425481514</v>
      </c>
      <c r="M1184" s="46">
        <f>$J$1184-EFEITO!$K$1184*EFEITO!$Y$1184</f>
        <v>0</v>
      </c>
      <c r="N1184" s="46">
        <f ca="1">$K$1184-EFEITO!$M$1184*EFEITO!$Z$1184</f>
        <v>681.14397742274491</v>
      </c>
      <c r="O1184" s="46">
        <f>$L$1184-EFEITO!$O$1184*EFEITO!$AA$1184</f>
        <v>373.95854876562987</v>
      </c>
      <c r="P1184" s="38"/>
      <c r="Q1184" s="38"/>
      <c r="R1184" s="38"/>
      <c r="S1184" s="38"/>
      <c r="T1184" s="38"/>
      <c r="U1184" s="38"/>
      <c r="V1184" s="38"/>
      <c r="W1184" s="38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</row>
    <row r="1185" spans="1:36" ht="11.25" customHeight="1" x14ac:dyDescent="0.2">
      <c r="A1185" s="35" t="s">
        <v>30</v>
      </c>
      <c r="B1185" s="35" t="s">
        <v>22</v>
      </c>
      <c r="C1185" s="35" t="s">
        <v>23</v>
      </c>
      <c r="D1185" s="35" t="s">
        <v>24</v>
      </c>
      <c r="E1185" s="35" t="s">
        <v>31</v>
      </c>
      <c r="F1185" s="35" t="s">
        <v>25</v>
      </c>
      <c r="G1185" s="35" t="s">
        <v>25</v>
      </c>
      <c r="H1185" s="35" t="s">
        <v>25</v>
      </c>
      <c r="I1185" s="45">
        <v>44531</v>
      </c>
      <c r="J1185" s="46">
        <f>EFEITO!$J$1185*EFEITO!$Y$1110</f>
        <v>0</v>
      </c>
      <c r="K1185" s="46">
        <f ca="1">EFEITO!$L$1185*EFEITO!$Z$1372</f>
        <v>365.55132956497931</v>
      </c>
      <c r="L1185" s="46">
        <f>EFEITO!$N$1185*EFEITO!$AA$1372</f>
        <v>200.69331776330759</v>
      </c>
      <c r="M1185" s="46">
        <f>$J$1185-EFEITO!$K$1185*EFEITO!$Y$1185</f>
        <v>0</v>
      </c>
      <c r="N1185" s="46">
        <f ca="1">$K$1185-EFEITO!$M$1185*EFEITO!$Z$1185</f>
        <v>237.60836421723656</v>
      </c>
      <c r="O1185" s="46">
        <f>$L$1185-EFEITO!$O$1185*EFEITO!$AA$1185</f>
        <v>130.45065654614996</v>
      </c>
      <c r="P1185" s="38"/>
      <c r="Q1185" s="38"/>
      <c r="R1185" s="38"/>
      <c r="S1185" s="38"/>
      <c r="T1185" s="38"/>
      <c r="U1185" s="38"/>
      <c r="V1185" s="38"/>
      <c r="W1185" s="38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</row>
    <row r="1186" spans="1:36" ht="11.25" customHeight="1" x14ac:dyDescent="0.2">
      <c r="A1186" s="35" t="s">
        <v>30</v>
      </c>
      <c r="B1186" s="35" t="s">
        <v>22</v>
      </c>
      <c r="C1186" s="35" t="s">
        <v>23</v>
      </c>
      <c r="D1186" s="35" t="s">
        <v>24</v>
      </c>
      <c r="E1186" s="35" t="s">
        <v>31</v>
      </c>
      <c r="F1186" s="35" t="s">
        <v>25</v>
      </c>
      <c r="G1186" s="35" t="s">
        <v>25</v>
      </c>
      <c r="H1186" s="35" t="s">
        <v>25</v>
      </c>
      <c r="I1186" s="45">
        <v>44531</v>
      </c>
      <c r="J1186" s="46">
        <f>EFEITO!$J$1186*EFEITO!$Y$1110</f>
        <v>0</v>
      </c>
      <c r="K1186" s="46">
        <f ca="1">EFEITO!$L$1186*EFEITO!$Z$1372</f>
        <v>142.43896634773333</v>
      </c>
      <c r="L1186" s="46">
        <f>EFEITO!$N$1186*EFEITO!$AA$1372</f>
        <v>78.201189335357796</v>
      </c>
      <c r="M1186" s="46">
        <f>$J$1186-EFEITO!$K$1186*EFEITO!$Y$1186</f>
        <v>0</v>
      </c>
      <c r="N1186" s="46">
        <f ca="1">$K$1186-EFEITO!$M$1186*EFEITO!$Z$1186</f>
        <v>92.585328126026667</v>
      </c>
      <c r="O1186" s="46">
        <f>$L$1186-EFEITO!$O$1186*EFEITO!$AA$1186</f>
        <v>50.830773067982577</v>
      </c>
      <c r="P1186" s="38"/>
      <c r="Q1186" s="38"/>
      <c r="R1186" s="38"/>
      <c r="S1186" s="38"/>
      <c r="T1186" s="38"/>
      <c r="U1186" s="38"/>
      <c r="V1186" s="38"/>
      <c r="W1186" s="38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</row>
    <row r="1187" spans="1:36" ht="11.25" customHeight="1" x14ac:dyDescent="0.2">
      <c r="A1187" s="35" t="s">
        <v>21</v>
      </c>
      <c r="B1187" s="35" t="s">
        <v>22</v>
      </c>
      <c r="C1187" s="35" t="s">
        <v>23</v>
      </c>
      <c r="D1187" s="35" t="s">
        <v>24</v>
      </c>
      <c r="E1187" s="35" t="s">
        <v>31</v>
      </c>
      <c r="F1187" s="35" t="s">
        <v>25</v>
      </c>
      <c r="G1187" s="35" t="s">
        <v>25</v>
      </c>
      <c r="H1187" s="35" t="s">
        <v>25</v>
      </c>
      <c r="I1187" s="45">
        <v>44562</v>
      </c>
      <c r="J1187" s="46">
        <f>EFEITO!$J$1187*EFEITO!$Y$1110</f>
        <v>0</v>
      </c>
      <c r="K1187" s="46">
        <f ca="1">EFEITO!$L$1187*EFEITO!$Z$1372</f>
        <v>459908.53120454104</v>
      </c>
      <c r="L1187" s="46">
        <f>EFEITO!$N$1187*EFEITO!$AA$1372</f>
        <v>252496.87671750609</v>
      </c>
      <c r="M1187" s="46">
        <f>$J$1187-EFEITO!$K$1187*EFEITO!$Y$1187</f>
        <v>0</v>
      </c>
      <c r="N1187" s="46">
        <f ca="1">$K$1187-EFEITO!$M$1187*EFEITO!$Z$1187</f>
        <v>298940.54528295167</v>
      </c>
      <c r="O1187" s="46">
        <f>$L$1187-EFEITO!$O$1187*EFEITO!$AA$1187</f>
        <v>164122.96986637899</v>
      </c>
      <c r="P1187" s="38"/>
      <c r="Q1187" s="38"/>
      <c r="R1187" s="38"/>
      <c r="S1187" s="38"/>
      <c r="T1187" s="38"/>
      <c r="U1187" s="38"/>
      <c r="V1187" s="38"/>
      <c r="W1187" s="38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</row>
    <row r="1188" spans="1:36" ht="11.25" customHeight="1" x14ac:dyDescent="0.2">
      <c r="A1188" s="35" t="s">
        <v>27</v>
      </c>
      <c r="B1188" s="35" t="s">
        <v>22</v>
      </c>
      <c r="C1188" s="35" t="s">
        <v>23</v>
      </c>
      <c r="D1188" s="35" t="s">
        <v>24</v>
      </c>
      <c r="E1188" s="35" t="s">
        <v>31</v>
      </c>
      <c r="F1188" s="35" t="s">
        <v>25</v>
      </c>
      <c r="G1188" s="35" t="s">
        <v>25</v>
      </c>
      <c r="H1188" s="35" t="s">
        <v>25</v>
      </c>
      <c r="I1188" s="45">
        <v>44562</v>
      </c>
      <c r="J1188" s="46">
        <f>EFEITO!$J$1188*EFEITO!$Y$1110</f>
        <v>0</v>
      </c>
      <c r="K1188" s="46">
        <f ca="1">EFEITO!$L$1188*EFEITO!$Z$1372</f>
        <v>10663.594474746678</v>
      </c>
      <c r="L1188" s="46">
        <f>EFEITO!$N$1188*EFEITO!$AA$1372</f>
        <v>5854.4778293275676</v>
      </c>
      <c r="M1188" s="46">
        <f>$J$1188-EFEITO!$K$1188*EFEITO!$Y$1188</f>
        <v>0</v>
      </c>
      <c r="N1188" s="46">
        <f ca="1">$K$1188-EFEITO!$M$1188*EFEITO!$Z$1188</f>
        <v>6931.3364085853409</v>
      </c>
      <c r="O1188" s="46">
        <f>$L$1188-EFEITO!$O$1188*EFEITO!$AA$1188</f>
        <v>3805.4105890629194</v>
      </c>
      <c r="P1188" s="38"/>
      <c r="Q1188" s="38"/>
      <c r="R1188" s="38"/>
      <c r="S1188" s="38"/>
      <c r="T1188" s="38"/>
      <c r="U1188" s="38"/>
      <c r="V1188" s="38"/>
      <c r="W1188" s="38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</row>
    <row r="1189" spans="1:36" ht="11.25" customHeight="1" x14ac:dyDescent="0.2">
      <c r="A1189" s="35" t="s">
        <v>28</v>
      </c>
      <c r="B1189" s="35" t="s">
        <v>22</v>
      </c>
      <c r="C1189" s="35" t="s">
        <v>23</v>
      </c>
      <c r="D1189" s="35" t="s">
        <v>24</v>
      </c>
      <c r="E1189" s="35" t="s">
        <v>31</v>
      </c>
      <c r="F1189" s="35" t="s">
        <v>25</v>
      </c>
      <c r="G1189" s="35" t="s">
        <v>25</v>
      </c>
      <c r="H1189" s="35" t="s">
        <v>25</v>
      </c>
      <c r="I1189" s="45">
        <v>44562</v>
      </c>
      <c r="J1189" s="46">
        <f>EFEITO!$J$1189*EFEITO!$Y$1110</f>
        <v>0</v>
      </c>
      <c r="K1189" s="46">
        <f ca="1">EFEITO!$L$1189*EFEITO!$Z$1372</f>
        <v>245893.35400615868</v>
      </c>
      <c r="L1189" s="46">
        <f>EFEITO!$N$1189*EFEITO!$AA$1372</f>
        <v>134999.24371816937</v>
      </c>
      <c r="M1189" s="46">
        <f>$J$1189-EFEITO!$K$1189*EFEITO!$Y$1189</f>
        <v>0</v>
      </c>
      <c r="N1189" s="46">
        <f ca="1">$K$1189-EFEITO!$M$1189*EFEITO!$Z$1189</f>
        <v>159830.68010400317</v>
      </c>
      <c r="O1189" s="46">
        <f>$L$1189-EFEITO!$O$1189*EFEITO!$AA$1189</f>
        <v>87749.508416810102</v>
      </c>
      <c r="P1189" s="38"/>
      <c r="Q1189" s="38"/>
      <c r="R1189" s="38"/>
      <c r="S1189" s="38"/>
      <c r="T1189" s="38"/>
      <c r="U1189" s="38"/>
      <c r="V1189" s="38"/>
      <c r="W1189" s="38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</row>
    <row r="1190" spans="1:36" ht="11.25" customHeight="1" x14ac:dyDescent="0.2">
      <c r="A1190" s="35" t="s">
        <v>29</v>
      </c>
      <c r="B1190" s="35" t="s">
        <v>22</v>
      </c>
      <c r="C1190" s="35" t="s">
        <v>23</v>
      </c>
      <c r="D1190" s="35" t="s">
        <v>24</v>
      </c>
      <c r="E1190" s="35" t="s">
        <v>31</v>
      </c>
      <c r="F1190" s="35" t="s">
        <v>25</v>
      </c>
      <c r="G1190" s="35" t="s">
        <v>25</v>
      </c>
      <c r="H1190" s="35" t="s">
        <v>25</v>
      </c>
      <c r="I1190" s="45">
        <v>44562</v>
      </c>
      <c r="J1190" s="46">
        <f>EFEITO!$J$1190*EFEITO!$Y$1110</f>
        <v>0</v>
      </c>
      <c r="K1190" s="46">
        <f ca="1">EFEITO!$L$1190*EFEITO!$Z$1372</f>
        <v>1718.091248955403</v>
      </c>
      <c r="L1190" s="46">
        <f>EFEITO!$N$1190*EFEITO!$AA$1372</f>
        <v>943.2585934875458</v>
      </c>
      <c r="M1190" s="46">
        <f>$J$1190-EFEITO!$K$1190*EFEITO!$Y$1190</f>
        <v>0</v>
      </c>
      <c r="N1190" s="46">
        <f ca="1">$K$1190-EFEITO!$M$1190*EFEITO!$Z$1190</f>
        <v>1116.759311821012</v>
      </c>
      <c r="O1190" s="46">
        <f>$L$1190-EFEITO!$O$1190*EFEITO!$AA$1190</f>
        <v>613.11808576690487</v>
      </c>
      <c r="P1190" s="38"/>
      <c r="Q1190" s="38"/>
      <c r="R1190" s="38"/>
      <c r="S1190" s="38"/>
      <c r="T1190" s="38"/>
      <c r="U1190" s="38"/>
      <c r="V1190" s="38"/>
      <c r="W1190" s="38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</row>
    <row r="1191" spans="1:36" ht="11.25" customHeight="1" x14ac:dyDescent="0.2">
      <c r="A1191" s="35" t="s">
        <v>30</v>
      </c>
      <c r="B1191" s="35" t="s">
        <v>22</v>
      </c>
      <c r="C1191" s="35" t="s">
        <v>23</v>
      </c>
      <c r="D1191" s="35" t="s">
        <v>24</v>
      </c>
      <c r="E1191" s="35" t="s">
        <v>31</v>
      </c>
      <c r="F1191" s="35" t="s">
        <v>25</v>
      </c>
      <c r="G1191" s="35" t="s">
        <v>25</v>
      </c>
      <c r="H1191" s="35" t="s">
        <v>25</v>
      </c>
      <c r="I1191" s="45">
        <v>44562</v>
      </c>
      <c r="J1191" s="46">
        <f>EFEITO!$J$1191*EFEITO!$Y$1110</f>
        <v>0</v>
      </c>
      <c r="K1191" s="46">
        <f ca="1">EFEITO!$L$1191*EFEITO!$Z$1372</f>
        <v>428.57742086928607</v>
      </c>
      <c r="L1191" s="46">
        <f>EFEITO!$N$1191*EFEITO!$AA$1372</f>
        <v>235.29561392939513</v>
      </c>
      <c r="M1191" s="46">
        <f>$J$1191-EFEITO!$K$1191*EFEITO!$Y$1191</f>
        <v>0</v>
      </c>
      <c r="N1191" s="46">
        <f ca="1">$K$1191-EFEITO!$M$1191*EFEITO!$Z$1191</f>
        <v>278.57532356503594</v>
      </c>
      <c r="O1191" s="46">
        <f>$L$1191-EFEITO!$O$1191*EFEITO!$AA$1191</f>
        <v>152.94214905410684</v>
      </c>
      <c r="P1191" s="38"/>
      <c r="Q1191" s="38"/>
      <c r="R1191" s="38"/>
      <c r="S1191" s="38"/>
      <c r="T1191" s="38"/>
      <c r="U1191" s="38"/>
      <c r="V1191" s="38"/>
      <c r="W1191" s="38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</row>
    <row r="1192" spans="1:36" ht="11.25" customHeight="1" x14ac:dyDescent="0.2">
      <c r="A1192" s="35" t="s">
        <v>30</v>
      </c>
      <c r="B1192" s="35" t="s">
        <v>22</v>
      </c>
      <c r="C1192" s="35" t="s">
        <v>23</v>
      </c>
      <c r="D1192" s="35" t="s">
        <v>24</v>
      </c>
      <c r="E1192" s="35" t="s">
        <v>31</v>
      </c>
      <c r="F1192" s="35" t="s">
        <v>25</v>
      </c>
      <c r="G1192" s="35" t="s">
        <v>25</v>
      </c>
      <c r="H1192" s="35" t="s">
        <v>25</v>
      </c>
      <c r="I1192" s="45">
        <v>44562</v>
      </c>
      <c r="J1192" s="46">
        <f>EFEITO!$J$1192*EFEITO!$Y$1110</f>
        <v>0</v>
      </c>
      <c r="K1192" s="46">
        <f ca="1">EFEITO!$L$1192*EFEITO!$Z$1372</f>
        <v>84.875136289799798</v>
      </c>
      <c r="L1192" s="46">
        <f>EFEITO!$N$1192*EFEITO!$AA$1372</f>
        <v>46.597758836997862</v>
      </c>
      <c r="M1192" s="46">
        <f>$J$1192-EFEITO!$K$1192*EFEITO!$Y$1192</f>
        <v>0</v>
      </c>
      <c r="N1192" s="46">
        <f ca="1">$K$1192-EFEITO!$M$1192*EFEITO!$Z$1192</f>
        <v>55.168838588369866</v>
      </c>
      <c r="O1192" s="46">
        <f>$L$1192-EFEITO!$O$1192*EFEITO!$AA$1192</f>
        <v>30.288543244048615</v>
      </c>
      <c r="P1192" s="38"/>
      <c r="Q1192" s="38"/>
      <c r="R1192" s="38"/>
      <c r="S1192" s="38"/>
      <c r="T1192" s="38"/>
      <c r="U1192" s="38"/>
      <c r="V1192" s="38"/>
      <c r="W1192" s="38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</row>
    <row r="1193" spans="1:36" ht="11.25" customHeight="1" x14ac:dyDescent="0.2">
      <c r="A1193" s="35" t="s">
        <v>21</v>
      </c>
      <c r="B1193" s="35" t="s">
        <v>22</v>
      </c>
      <c r="C1193" s="35" t="s">
        <v>23</v>
      </c>
      <c r="D1193" s="35" t="s">
        <v>24</v>
      </c>
      <c r="E1193" s="35" t="s">
        <v>31</v>
      </c>
      <c r="F1193" s="35" t="s">
        <v>25</v>
      </c>
      <c r="G1193" s="35" t="s">
        <v>25</v>
      </c>
      <c r="H1193" s="35" t="s">
        <v>25</v>
      </c>
      <c r="I1193" s="45">
        <v>44593</v>
      </c>
      <c r="J1193" s="46">
        <f>EFEITO!$J$1193*EFEITO!$Y$1110</f>
        <v>0</v>
      </c>
      <c r="K1193" s="46">
        <f ca="1">EFEITO!$L$1193*EFEITO!$Z$1372</f>
        <v>504414.61566604831</v>
      </c>
      <c r="L1193" s="46">
        <f>EFEITO!$N$1193*EFEITO!$AA$1372</f>
        <v>276931.403496176</v>
      </c>
      <c r="M1193" s="46">
        <f>$J$1193-EFEITO!$K$1193*EFEITO!$Y$1193</f>
        <v>0</v>
      </c>
      <c r="N1193" s="46">
        <f ca="1">$K$1193-EFEITO!$M$1193*EFEITO!$Z$1193</f>
        <v>327869.50018293143</v>
      </c>
      <c r="O1193" s="46">
        <f>$L$1193-EFEITO!$O$1193*EFEITO!$AA$1193</f>
        <v>180005.41227251443</v>
      </c>
      <c r="P1193" s="38"/>
      <c r="Q1193" s="38"/>
      <c r="R1193" s="38"/>
      <c r="S1193" s="38"/>
      <c r="T1193" s="38"/>
      <c r="U1193" s="38"/>
      <c r="V1193" s="38"/>
      <c r="W1193" s="38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</row>
    <row r="1194" spans="1:36" ht="11.25" customHeight="1" x14ac:dyDescent="0.2">
      <c r="A1194" s="35" t="s">
        <v>27</v>
      </c>
      <c r="B1194" s="35" t="s">
        <v>22</v>
      </c>
      <c r="C1194" s="35" t="s">
        <v>23</v>
      </c>
      <c r="D1194" s="35" t="s">
        <v>24</v>
      </c>
      <c r="E1194" s="35" t="s">
        <v>31</v>
      </c>
      <c r="F1194" s="35" t="s">
        <v>25</v>
      </c>
      <c r="G1194" s="35" t="s">
        <v>25</v>
      </c>
      <c r="H1194" s="35" t="s">
        <v>25</v>
      </c>
      <c r="I1194" s="45">
        <v>44593</v>
      </c>
      <c r="J1194" s="46">
        <f>EFEITO!$J$1194*EFEITO!$Y$1110</f>
        <v>0</v>
      </c>
      <c r="K1194" s="46">
        <f ca="1">EFEITO!$L$1194*EFEITO!$Z$1372</f>
        <v>164.28801133322634</v>
      </c>
      <c r="L1194" s="46">
        <f>EFEITO!$N$1194*EFEITO!$AA$1372</f>
        <v>90.196652006268124</v>
      </c>
      <c r="M1194" s="46">
        <f>$J$1194-EFEITO!$K$1194*EFEITO!$Y$1194</f>
        <v>0</v>
      </c>
      <c r="N1194" s="46">
        <f ca="1">$K$1194-EFEITO!$M$1194*EFEITO!$Z$1194</f>
        <v>106.78720736659713</v>
      </c>
      <c r="O1194" s="46">
        <f>$L$1194-EFEITO!$O$1194*EFEITO!$AA$1194</f>
        <v>58.627823804074282</v>
      </c>
      <c r="P1194" s="38"/>
      <c r="Q1194" s="38"/>
      <c r="R1194" s="38"/>
      <c r="S1194" s="38"/>
      <c r="T1194" s="38"/>
      <c r="U1194" s="38"/>
      <c r="V1194" s="38"/>
      <c r="W1194" s="38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</row>
    <row r="1195" spans="1:36" ht="11.25" customHeight="1" x14ac:dyDescent="0.2">
      <c r="A1195" s="35" t="s">
        <v>28</v>
      </c>
      <c r="B1195" s="35" t="s">
        <v>22</v>
      </c>
      <c r="C1195" s="35" t="s">
        <v>23</v>
      </c>
      <c r="D1195" s="35" t="s">
        <v>24</v>
      </c>
      <c r="E1195" s="35" t="s">
        <v>31</v>
      </c>
      <c r="F1195" s="35" t="s">
        <v>25</v>
      </c>
      <c r="G1195" s="35" t="s">
        <v>25</v>
      </c>
      <c r="H1195" s="35" t="s">
        <v>25</v>
      </c>
      <c r="I1195" s="45">
        <v>44593</v>
      </c>
      <c r="J1195" s="46">
        <f>EFEITO!$J$1195*EFEITO!$Y$1110</f>
        <v>0</v>
      </c>
      <c r="K1195" s="46">
        <f ca="1">EFEITO!$L$1195*EFEITO!$Z$1372</f>
        <v>256237.61628496353</v>
      </c>
      <c r="L1195" s="46">
        <f>EFEITO!$N$1195*EFEITO!$AA$1372</f>
        <v>140678.4032469221</v>
      </c>
      <c r="M1195" s="46">
        <f>$J$1195-EFEITO!$K$1195*EFEITO!$Y$1195</f>
        <v>0</v>
      </c>
      <c r="N1195" s="46">
        <f ca="1">$K$1195-EFEITO!$M$1195*EFEITO!$Z$1195</f>
        <v>166554.4505852263</v>
      </c>
      <c r="O1195" s="46">
        <f>$L$1195-EFEITO!$O$1195*EFEITO!$AA$1195</f>
        <v>91440.962110499386</v>
      </c>
      <c r="P1195" s="38"/>
      <c r="Q1195" s="38"/>
      <c r="R1195" s="38"/>
      <c r="S1195" s="38"/>
      <c r="T1195" s="38"/>
      <c r="U1195" s="38"/>
      <c r="V1195" s="38"/>
      <c r="W1195" s="38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</row>
    <row r="1196" spans="1:36" ht="11.25" customHeight="1" x14ac:dyDescent="0.2">
      <c r="A1196" s="35" t="s">
        <v>29</v>
      </c>
      <c r="B1196" s="35" t="s">
        <v>22</v>
      </c>
      <c r="C1196" s="35" t="s">
        <v>23</v>
      </c>
      <c r="D1196" s="35" t="s">
        <v>24</v>
      </c>
      <c r="E1196" s="35" t="s">
        <v>31</v>
      </c>
      <c r="F1196" s="35" t="s">
        <v>25</v>
      </c>
      <c r="G1196" s="35" t="s">
        <v>25</v>
      </c>
      <c r="H1196" s="35" t="s">
        <v>25</v>
      </c>
      <c r="I1196" s="45">
        <v>44593</v>
      </c>
      <c r="J1196" s="46">
        <f>EFEITO!$J$1196*EFEITO!$Y$1110</f>
        <v>0</v>
      </c>
      <c r="K1196" s="46">
        <f ca="1">EFEITO!$L$1196*EFEITO!$Z$1372</f>
        <v>-365.13115562295059</v>
      </c>
      <c r="L1196" s="46">
        <f>EFEITO!$N$1196*EFEITO!$AA$1372</f>
        <v>-200.462635788867</v>
      </c>
      <c r="M1196" s="46">
        <f>$J$1196-EFEITO!$K$1196*EFEITO!$Y$1196</f>
        <v>0</v>
      </c>
      <c r="N1196" s="46">
        <f ca="1">$K$1196-EFEITO!$M$1196*EFEITO!$Z$1196</f>
        <v>-237.3352511549179</v>
      </c>
      <c r="O1196" s="46">
        <f>$L$1196-EFEITO!$O$1196*EFEITO!$AA$1196</f>
        <v>-130.30071326276357</v>
      </c>
      <c r="P1196" s="38"/>
      <c r="Q1196" s="38"/>
      <c r="R1196" s="38"/>
      <c r="S1196" s="38"/>
      <c r="T1196" s="38"/>
      <c r="U1196" s="38"/>
      <c r="V1196" s="38"/>
      <c r="W1196" s="38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</row>
    <row r="1197" spans="1:36" ht="11.25" customHeight="1" x14ac:dyDescent="0.2">
      <c r="A1197" s="35" t="s">
        <v>30</v>
      </c>
      <c r="B1197" s="35" t="s">
        <v>22</v>
      </c>
      <c r="C1197" s="35" t="s">
        <v>23</v>
      </c>
      <c r="D1197" s="35" t="s">
        <v>24</v>
      </c>
      <c r="E1197" s="35" t="s">
        <v>31</v>
      </c>
      <c r="F1197" s="35" t="s">
        <v>25</v>
      </c>
      <c r="G1197" s="35" t="s">
        <v>25</v>
      </c>
      <c r="H1197" s="35" t="s">
        <v>25</v>
      </c>
      <c r="I1197" s="45">
        <v>44593</v>
      </c>
      <c r="J1197" s="46">
        <f>EFEITO!$J$1197*EFEITO!$Y$1110</f>
        <v>0</v>
      </c>
      <c r="K1197" s="46">
        <f ca="1">EFEITO!$L$1197*EFEITO!$Z$1372</f>
        <v>491.60351217359283</v>
      </c>
      <c r="L1197" s="46">
        <f>EFEITO!$N$1197*EFEITO!$AA$1372</f>
        <v>269.89791009548259</v>
      </c>
      <c r="M1197" s="46">
        <f>$J$1197-EFEITO!$K$1197*EFEITO!$Y$1197</f>
        <v>0</v>
      </c>
      <c r="N1197" s="46">
        <f ca="1">$K$1197-EFEITO!$M$1197*EFEITO!$Z$1197</f>
        <v>319.54228291283539</v>
      </c>
      <c r="O1197" s="46">
        <f>$L$1197-EFEITO!$O$1197*EFEITO!$AA$1197</f>
        <v>175.43364156206368</v>
      </c>
      <c r="P1197" s="38"/>
      <c r="Q1197" s="38"/>
      <c r="R1197" s="38"/>
      <c r="S1197" s="38"/>
      <c r="T1197" s="38"/>
      <c r="U1197" s="38"/>
      <c r="V1197" s="38"/>
      <c r="W1197" s="38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</row>
    <row r="1198" spans="1:36" ht="11.25" customHeight="1" x14ac:dyDescent="0.2">
      <c r="A1198" s="35" t="s">
        <v>30</v>
      </c>
      <c r="B1198" s="35" t="s">
        <v>22</v>
      </c>
      <c r="C1198" s="35" t="s">
        <v>23</v>
      </c>
      <c r="D1198" s="35" t="s">
        <v>24</v>
      </c>
      <c r="E1198" s="35" t="s">
        <v>31</v>
      </c>
      <c r="F1198" s="35" t="s">
        <v>25</v>
      </c>
      <c r="G1198" s="35" t="s">
        <v>25</v>
      </c>
      <c r="H1198" s="35" t="s">
        <v>25</v>
      </c>
      <c r="I1198" s="45">
        <v>44593</v>
      </c>
      <c r="J1198" s="46">
        <f>EFEITO!$J$1198*EFEITO!$Y$1110</f>
        <v>0</v>
      </c>
      <c r="K1198" s="46">
        <f ca="1">EFEITO!$L$1198*EFEITO!$Z$1372</f>
        <v>101.26192002891955</v>
      </c>
      <c r="L1198" s="46">
        <f>EFEITO!$N$1198*EFEITO!$AA$1372</f>
        <v>55.594355840180611</v>
      </c>
      <c r="M1198" s="46">
        <f>$J$1198-EFEITO!$K$1198*EFEITO!$Y$1198</f>
        <v>0</v>
      </c>
      <c r="N1198" s="46">
        <f ca="1">$K$1198-EFEITO!$M$1198*EFEITO!$Z$1198</f>
        <v>65.820248018797713</v>
      </c>
      <c r="O1198" s="46">
        <f>$L$1198-EFEITO!$O$1198*EFEITO!$AA$1198</f>
        <v>36.136331296117405</v>
      </c>
      <c r="P1198" s="38"/>
      <c r="Q1198" s="38"/>
      <c r="R1198" s="38"/>
      <c r="S1198" s="38"/>
      <c r="T1198" s="38"/>
      <c r="U1198" s="38"/>
      <c r="V1198" s="38"/>
      <c r="W1198" s="38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</row>
    <row r="1199" spans="1:36" ht="11.25" customHeight="1" x14ac:dyDescent="0.2">
      <c r="A1199" s="35" t="s">
        <v>21</v>
      </c>
      <c r="B1199" s="35" t="s">
        <v>22</v>
      </c>
      <c r="C1199" s="35" t="s">
        <v>23</v>
      </c>
      <c r="D1199" s="35" t="s">
        <v>24</v>
      </c>
      <c r="E1199" s="35" t="s">
        <v>31</v>
      </c>
      <c r="F1199" s="35" t="s">
        <v>25</v>
      </c>
      <c r="G1199" s="35" t="s">
        <v>25</v>
      </c>
      <c r="H1199" s="35" t="s">
        <v>25</v>
      </c>
      <c r="I1199" s="45">
        <v>44621</v>
      </c>
      <c r="J1199" s="46">
        <f>EFEITO!$J$1199*EFEITO!$Y$1110</f>
        <v>0</v>
      </c>
      <c r="K1199" s="46">
        <f ca="1">EFEITO!$L$1199*EFEITO!$Z$1372</f>
        <v>523677.49003835459</v>
      </c>
      <c r="L1199" s="46">
        <f>EFEITO!$N$1199*EFEITO!$AA$1372</f>
        <v>287507.0186144046</v>
      </c>
      <c r="M1199" s="46">
        <f>$J$1199-EFEITO!$K$1199*EFEITO!$Y$1199</f>
        <v>0</v>
      </c>
      <c r="N1199" s="46">
        <f ca="1">$K$1199-EFEITO!$M$1199*EFEITO!$Z$1199</f>
        <v>340390.3685249305</v>
      </c>
      <c r="O1199" s="46">
        <f>$L$1199-EFEITO!$O$1199*EFEITO!$AA$1199</f>
        <v>186879.56209936301</v>
      </c>
      <c r="P1199" s="38"/>
      <c r="Q1199" s="38"/>
      <c r="R1199" s="38"/>
      <c r="S1199" s="38"/>
      <c r="T1199" s="38"/>
      <c r="U1199" s="38"/>
      <c r="V1199" s="38"/>
      <c r="W1199" s="38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</row>
    <row r="1200" spans="1:36" ht="11.25" customHeight="1" x14ac:dyDescent="0.2">
      <c r="A1200" s="35" t="s">
        <v>27</v>
      </c>
      <c r="B1200" s="35" t="s">
        <v>22</v>
      </c>
      <c r="C1200" s="35" t="s">
        <v>23</v>
      </c>
      <c r="D1200" s="35" t="s">
        <v>24</v>
      </c>
      <c r="E1200" s="35" t="s">
        <v>31</v>
      </c>
      <c r="F1200" s="35" t="s">
        <v>25</v>
      </c>
      <c r="G1200" s="35" t="s">
        <v>25</v>
      </c>
      <c r="H1200" s="35" t="s">
        <v>25</v>
      </c>
      <c r="I1200" s="45">
        <v>44621</v>
      </c>
      <c r="J1200" s="46">
        <f>EFEITO!$J$1200*EFEITO!$Y$1110</f>
        <v>0</v>
      </c>
      <c r="K1200" s="46">
        <f ca="1">EFEITO!$L$1200*EFEITO!$Z$1372</f>
        <v>-2745.4165372156031</v>
      </c>
      <c r="L1200" s="46">
        <f>EFEITO!$N$1200*EFEITO!$AA$1372</f>
        <v>-1507.2760209947721</v>
      </c>
      <c r="M1200" s="46">
        <f>$J$1200-EFEITO!$K$1200*EFEITO!$Y$1200</f>
        <v>0</v>
      </c>
      <c r="N1200" s="46">
        <f ca="1">$K$1200-EFEITO!$M$1200*EFEITO!$Z$1200</f>
        <v>-1784.5207491901419</v>
      </c>
      <c r="O1200" s="46">
        <f>$L$1200-EFEITO!$O$1200*EFEITO!$AA$1200</f>
        <v>-979.72941364660187</v>
      </c>
      <c r="P1200" s="38"/>
      <c r="Q1200" s="38"/>
      <c r="R1200" s="38"/>
      <c r="S1200" s="38"/>
      <c r="T1200" s="38"/>
      <c r="U1200" s="38"/>
      <c r="V1200" s="38"/>
      <c r="W1200" s="38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</row>
    <row r="1201" spans="1:36" ht="11.25" customHeight="1" x14ac:dyDescent="0.2">
      <c r="A1201" s="35" t="s">
        <v>28</v>
      </c>
      <c r="B1201" s="35" t="s">
        <v>22</v>
      </c>
      <c r="C1201" s="35" t="s">
        <v>23</v>
      </c>
      <c r="D1201" s="35" t="s">
        <v>24</v>
      </c>
      <c r="E1201" s="35" t="s">
        <v>31</v>
      </c>
      <c r="F1201" s="35" t="s">
        <v>25</v>
      </c>
      <c r="G1201" s="35" t="s">
        <v>25</v>
      </c>
      <c r="H1201" s="35" t="s">
        <v>25</v>
      </c>
      <c r="I1201" s="45">
        <v>44621</v>
      </c>
      <c r="J1201" s="46">
        <f>EFEITO!$J$1201*EFEITO!$Y$1110</f>
        <v>0</v>
      </c>
      <c r="K1201" s="46">
        <f ca="1">EFEITO!$L$1201*EFEITO!$Z$1372</f>
        <v>259976.74419507704</v>
      </c>
      <c r="L1201" s="46">
        <f>EFEITO!$N$1201*EFEITO!$AA$1372</f>
        <v>142731.24213746883</v>
      </c>
      <c r="M1201" s="46">
        <f>$J$1201-EFEITO!$K$1201*EFEITO!$Y$1201</f>
        <v>0</v>
      </c>
      <c r="N1201" s="46">
        <f ca="1">$K$1201-EFEITO!$M$1201*EFEITO!$Z$1201</f>
        <v>168984.88372680009</v>
      </c>
      <c r="O1201" s="46">
        <f>$L$1201-EFEITO!$O$1201*EFEITO!$AA$1201</f>
        <v>92775.307389354741</v>
      </c>
      <c r="P1201" s="38"/>
      <c r="Q1201" s="38"/>
      <c r="R1201" s="38"/>
      <c r="S1201" s="38"/>
      <c r="T1201" s="38"/>
      <c r="U1201" s="38"/>
      <c r="V1201" s="38"/>
      <c r="W1201" s="38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</row>
    <row r="1202" spans="1:36" ht="11.25" customHeight="1" x14ac:dyDescent="0.2">
      <c r="A1202" s="35" t="s">
        <v>29</v>
      </c>
      <c r="B1202" s="35" t="s">
        <v>22</v>
      </c>
      <c r="C1202" s="35" t="s">
        <v>23</v>
      </c>
      <c r="D1202" s="35" t="s">
        <v>24</v>
      </c>
      <c r="E1202" s="35" t="s">
        <v>31</v>
      </c>
      <c r="F1202" s="35" t="s">
        <v>25</v>
      </c>
      <c r="G1202" s="35" t="s">
        <v>25</v>
      </c>
      <c r="H1202" s="35" t="s">
        <v>25</v>
      </c>
      <c r="I1202" s="45">
        <v>44621</v>
      </c>
      <c r="J1202" s="46">
        <f>EFEITO!$J$1202*EFEITO!$Y$1110</f>
        <v>0</v>
      </c>
      <c r="K1202" s="46">
        <f ca="1">EFEITO!$L$1202*EFEITO!$Z$1372</f>
        <v>1335.7329617092748</v>
      </c>
      <c r="L1202" s="46">
        <f>EFEITO!$N$1202*EFEITO!$AA$1372</f>
        <v>733.33799674661475</v>
      </c>
      <c r="M1202" s="46">
        <f>$J$1202-EFEITO!$K$1202*EFEITO!$Y$1202</f>
        <v>0</v>
      </c>
      <c r="N1202" s="46">
        <f ca="1">$K$1202-EFEITO!$M$1202*EFEITO!$Z$1202</f>
        <v>868.22642511102868</v>
      </c>
      <c r="O1202" s="46">
        <f>$L$1202-EFEITO!$O$1202*EFEITO!$AA$1202</f>
        <v>476.66969788529963</v>
      </c>
      <c r="P1202" s="38"/>
      <c r="Q1202" s="38"/>
      <c r="R1202" s="38"/>
      <c r="S1202" s="38"/>
      <c r="T1202" s="38"/>
      <c r="U1202" s="38"/>
      <c r="V1202" s="38"/>
      <c r="W1202" s="38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</row>
    <row r="1203" spans="1:36" ht="11.25" customHeight="1" x14ac:dyDescent="0.2">
      <c r="A1203" s="35" t="s">
        <v>30</v>
      </c>
      <c r="B1203" s="35" t="s">
        <v>22</v>
      </c>
      <c r="C1203" s="35" t="s">
        <v>23</v>
      </c>
      <c r="D1203" s="35" t="s">
        <v>24</v>
      </c>
      <c r="E1203" s="35" t="s">
        <v>31</v>
      </c>
      <c r="F1203" s="35" t="s">
        <v>25</v>
      </c>
      <c r="G1203" s="35" t="s">
        <v>25</v>
      </c>
      <c r="H1203" s="35" t="s">
        <v>25</v>
      </c>
      <c r="I1203" s="45">
        <v>44621</v>
      </c>
      <c r="J1203" s="46">
        <f>EFEITO!$J$1203*EFEITO!$Y$1110</f>
        <v>0</v>
      </c>
      <c r="K1203" s="46">
        <f ca="1">EFEITO!$L$1203*EFEITO!$Z$1372</f>
        <v>542.02438521703834</v>
      </c>
      <c r="L1203" s="46">
        <f>EFEITO!$N$1203*EFEITO!$AA$1372</f>
        <v>297.57974702835264</v>
      </c>
      <c r="M1203" s="46">
        <f>$J$1203-EFEITO!$K$1203*EFEITO!$Y$1203</f>
        <v>0</v>
      </c>
      <c r="N1203" s="46">
        <f ca="1">$K$1203-EFEITO!$M$1203*EFEITO!$Z$1203</f>
        <v>352.31585039107495</v>
      </c>
      <c r="O1203" s="46">
        <f>$L$1203-EFEITO!$O$1203*EFEITO!$AA$1203</f>
        <v>193.42683556842923</v>
      </c>
      <c r="P1203" s="38"/>
      <c r="Q1203" s="38"/>
      <c r="R1203" s="38"/>
      <c r="S1203" s="38"/>
      <c r="T1203" s="38"/>
      <c r="U1203" s="38"/>
      <c r="V1203" s="38"/>
      <c r="W1203" s="38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</row>
    <row r="1204" spans="1:36" ht="11.25" customHeight="1" x14ac:dyDescent="0.2">
      <c r="A1204" s="35" t="s">
        <v>21</v>
      </c>
      <c r="B1204" s="35" t="s">
        <v>22</v>
      </c>
      <c r="C1204" s="35" t="s">
        <v>23</v>
      </c>
      <c r="D1204" s="35" t="s">
        <v>24</v>
      </c>
      <c r="E1204" s="35" t="s">
        <v>31</v>
      </c>
      <c r="F1204" s="35" t="s">
        <v>25</v>
      </c>
      <c r="G1204" s="35" t="s">
        <v>25</v>
      </c>
      <c r="H1204" s="35" t="s">
        <v>25</v>
      </c>
      <c r="I1204" s="45">
        <v>44652</v>
      </c>
      <c r="J1204" s="46">
        <f>EFEITO!$J$1204*EFEITO!$Y$1110</f>
        <v>0</v>
      </c>
      <c r="K1204" s="46">
        <f ca="1">EFEITO!$L$1204*EFEITO!$Z$1372</f>
        <v>543579.44897648657</v>
      </c>
      <c r="L1204" s="46">
        <f>EFEITO!$N$1204*EFEITO!$AA$1372</f>
        <v>298433.50101575727</v>
      </c>
      <c r="M1204" s="46">
        <f>$J$1204-EFEITO!$K$1204*EFEITO!$Y$1204</f>
        <v>0</v>
      </c>
      <c r="N1204" s="46">
        <f ca="1">$K$1204-EFEITO!$M$1204*EFEITO!$Z$1204</f>
        <v>353326.64183471631</v>
      </c>
      <c r="O1204" s="46">
        <f>$L$1204-EFEITO!$O$1204*EFEITO!$AA$1204</f>
        <v>193981.77566024225</v>
      </c>
      <c r="P1204" s="38"/>
      <c r="Q1204" s="38"/>
      <c r="R1204" s="38"/>
      <c r="S1204" s="38"/>
      <c r="T1204" s="38"/>
      <c r="U1204" s="38"/>
      <c r="V1204" s="38"/>
      <c r="W1204" s="38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</row>
    <row r="1205" spans="1:36" ht="11.25" customHeight="1" x14ac:dyDescent="0.2">
      <c r="A1205" s="35" t="s">
        <v>27</v>
      </c>
      <c r="B1205" s="35" t="s">
        <v>22</v>
      </c>
      <c r="C1205" s="35" t="s">
        <v>23</v>
      </c>
      <c r="D1205" s="35" t="s">
        <v>24</v>
      </c>
      <c r="E1205" s="35" t="s">
        <v>31</v>
      </c>
      <c r="F1205" s="35" t="s">
        <v>25</v>
      </c>
      <c r="G1205" s="35" t="s">
        <v>25</v>
      </c>
      <c r="H1205" s="35" t="s">
        <v>25</v>
      </c>
      <c r="I1205" s="45">
        <v>44652</v>
      </c>
      <c r="J1205" s="46">
        <f>EFEITO!$J$1205*EFEITO!$Y$1110</f>
        <v>0</v>
      </c>
      <c r="K1205" s="46">
        <f ca="1">EFEITO!$L$1205*EFEITO!$Z$1372</f>
        <v>-532.36038455037783</v>
      </c>
      <c r="L1205" s="46">
        <f>EFEITO!$N$1205*EFEITO!$AA$1372</f>
        <v>-292.27406161621923</v>
      </c>
      <c r="M1205" s="46">
        <f>$J$1205-EFEITO!$K$1205*EFEITO!$Y$1205</f>
        <v>0</v>
      </c>
      <c r="N1205" s="46">
        <f ca="1">$K$1205-EFEITO!$M$1205*EFEITO!$Z$1205</f>
        <v>-346.0342499577456</v>
      </c>
      <c r="O1205" s="46">
        <f>$L$1205-EFEITO!$O$1205*EFEITO!$AA$1205</f>
        <v>-189.97814005054252</v>
      </c>
      <c r="P1205" s="38"/>
      <c r="Q1205" s="38"/>
      <c r="R1205" s="38"/>
      <c r="S1205" s="38"/>
      <c r="T1205" s="38"/>
      <c r="U1205" s="38"/>
      <c r="V1205" s="38"/>
      <c r="W1205" s="38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</row>
    <row r="1206" spans="1:36" ht="11.25" customHeight="1" x14ac:dyDescent="0.2">
      <c r="A1206" s="35" t="s">
        <v>28</v>
      </c>
      <c r="B1206" s="35" t="s">
        <v>22</v>
      </c>
      <c r="C1206" s="35" t="s">
        <v>23</v>
      </c>
      <c r="D1206" s="35" t="s">
        <v>24</v>
      </c>
      <c r="E1206" s="35" t="s">
        <v>31</v>
      </c>
      <c r="F1206" s="35" t="s">
        <v>25</v>
      </c>
      <c r="G1206" s="35" t="s">
        <v>25</v>
      </c>
      <c r="H1206" s="35" t="s">
        <v>25</v>
      </c>
      <c r="I1206" s="45">
        <v>44652</v>
      </c>
      <c r="J1206" s="46">
        <f>EFEITO!$J$1206*EFEITO!$Y$1110</f>
        <v>0</v>
      </c>
      <c r="K1206" s="46">
        <f ca="1">EFEITO!$L$1206*EFEITO!$Z$1372</f>
        <v>264654.12051774072</v>
      </c>
      <c r="L1206" s="46">
        <f>EFEITO!$N$1206*EFEITO!$AA$1372</f>
        <v>145299.19387694143</v>
      </c>
      <c r="M1206" s="46">
        <f>$J$1206-EFEITO!$K$1206*EFEITO!$Y$1206</f>
        <v>0</v>
      </c>
      <c r="N1206" s="46">
        <f ca="1">$K$1206-EFEITO!$M$1206*EFEITO!$Z$1206</f>
        <v>172025.17833653151</v>
      </c>
      <c r="O1206" s="46">
        <f>$L$1206-EFEITO!$O$1206*EFEITO!$AA$1206</f>
        <v>94444.476020011934</v>
      </c>
      <c r="P1206" s="38"/>
      <c r="Q1206" s="38"/>
      <c r="R1206" s="38"/>
      <c r="S1206" s="38"/>
      <c r="T1206" s="38"/>
      <c r="U1206" s="38"/>
      <c r="V1206" s="38"/>
      <c r="W1206" s="38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</row>
    <row r="1207" spans="1:36" ht="11.25" customHeight="1" x14ac:dyDescent="0.2">
      <c r="A1207" s="35" t="s">
        <v>29</v>
      </c>
      <c r="B1207" s="35" t="s">
        <v>22</v>
      </c>
      <c r="C1207" s="35" t="s">
        <v>23</v>
      </c>
      <c r="D1207" s="35" t="s">
        <v>24</v>
      </c>
      <c r="E1207" s="35" t="s">
        <v>31</v>
      </c>
      <c r="F1207" s="35" t="s">
        <v>25</v>
      </c>
      <c r="G1207" s="35" t="s">
        <v>25</v>
      </c>
      <c r="H1207" s="35" t="s">
        <v>25</v>
      </c>
      <c r="I1207" s="45">
        <v>44652</v>
      </c>
      <c r="J1207" s="46">
        <f>EFEITO!$J$1207*EFEITO!$Y$1110</f>
        <v>0</v>
      </c>
      <c r="K1207" s="46">
        <f ca="1">EFEITO!$L$1207*EFEITO!$Z$1372</f>
        <v>334.87863179688338</v>
      </c>
      <c r="L1207" s="46">
        <f>EFEITO!$N$1207*EFEITO!$AA$1372</f>
        <v>183.85353362914501</v>
      </c>
      <c r="M1207" s="46">
        <f>$J$1207-EFEITO!$K$1207*EFEITO!$Y$1207</f>
        <v>0</v>
      </c>
      <c r="N1207" s="46">
        <f ca="1">$K$1207-EFEITO!$M$1207*EFEITO!$Z$1207</f>
        <v>217.67111066797423</v>
      </c>
      <c r="O1207" s="46">
        <f>$L$1207-EFEITO!$O$1207*EFEITO!$AA$1207</f>
        <v>119.50479685894426</v>
      </c>
      <c r="P1207" s="38"/>
      <c r="Q1207" s="38"/>
      <c r="R1207" s="38"/>
      <c r="S1207" s="38"/>
      <c r="T1207" s="38"/>
      <c r="U1207" s="38"/>
      <c r="V1207" s="38"/>
      <c r="W1207" s="38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</row>
    <row r="1208" spans="1:36" ht="11.25" customHeight="1" x14ac:dyDescent="0.2">
      <c r="A1208" s="35" t="s">
        <v>30</v>
      </c>
      <c r="B1208" s="35" t="s">
        <v>22</v>
      </c>
      <c r="C1208" s="35" t="s">
        <v>23</v>
      </c>
      <c r="D1208" s="35" t="s">
        <v>24</v>
      </c>
      <c r="E1208" s="35" t="s">
        <v>31</v>
      </c>
      <c r="F1208" s="35" t="s">
        <v>25</v>
      </c>
      <c r="G1208" s="35" t="s">
        <v>25</v>
      </c>
      <c r="H1208" s="35" t="s">
        <v>25</v>
      </c>
      <c r="I1208" s="45">
        <v>44652</v>
      </c>
      <c r="J1208" s="46">
        <f>EFEITO!$J$1208*EFEITO!$Y$1110</f>
        <v>0</v>
      </c>
      <c r="K1208" s="46">
        <f ca="1">EFEITO!$L$1208*EFEITO!$Z$1372</f>
        <v>592.44525826048368</v>
      </c>
      <c r="L1208" s="46">
        <f>EFEITO!$N$1208*EFEITO!$AA$1372</f>
        <v>325.26158396122264</v>
      </c>
      <c r="M1208" s="46">
        <f>$J$1208-EFEITO!$K$1208*EFEITO!$Y$1208</f>
        <v>0</v>
      </c>
      <c r="N1208" s="46">
        <f ca="1">$K$1208-EFEITO!$M$1208*EFEITO!$Z$1208</f>
        <v>385.08941786931439</v>
      </c>
      <c r="O1208" s="46">
        <f>$L$1208-EFEITO!$O$1208*EFEITO!$AA$1208</f>
        <v>211.42002957479474</v>
      </c>
      <c r="P1208" s="38"/>
      <c r="Q1208" s="38"/>
      <c r="R1208" s="38"/>
      <c r="S1208" s="38"/>
      <c r="T1208" s="38"/>
      <c r="U1208" s="38"/>
      <c r="V1208" s="38"/>
      <c r="W1208" s="38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</row>
    <row r="1209" spans="1:36" ht="11.25" customHeight="1" x14ac:dyDescent="0.2">
      <c r="A1209" s="35" t="s">
        <v>21</v>
      </c>
      <c r="B1209" s="35" t="s">
        <v>22</v>
      </c>
      <c r="C1209" s="35" t="s">
        <v>23</v>
      </c>
      <c r="D1209" s="35" t="s">
        <v>24</v>
      </c>
      <c r="E1209" s="35" t="s">
        <v>31</v>
      </c>
      <c r="F1209" s="35" t="s">
        <v>25</v>
      </c>
      <c r="G1209" s="35" t="s">
        <v>25</v>
      </c>
      <c r="H1209" s="35" t="s">
        <v>25</v>
      </c>
      <c r="I1209" s="45">
        <v>44682</v>
      </c>
      <c r="J1209" s="46">
        <f>EFEITO!$J$1209*EFEITO!$Y$1110</f>
        <v>0</v>
      </c>
      <c r="K1209" s="46">
        <f ca="1">EFEITO!$L$1209*EFEITO!$Z$1372</f>
        <v>534604.95374869532</v>
      </c>
      <c r="L1209" s="46">
        <f>EFEITO!$N$1209*EFEITO!$AA$1372</f>
        <v>293506.36472368083</v>
      </c>
      <c r="M1209" s="46">
        <f>$J$1209-EFEITO!$K$1209*EFEITO!$Y$1209</f>
        <v>0</v>
      </c>
      <c r="N1209" s="46">
        <f ca="1">$K$1209-EFEITO!$M$1209*EFEITO!$Z$1209</f>
        <v>347493.21993665199</v>
      </c>
      <c r="O1209" s="46">
        <f>$L$1209-EFEITO!$O$1209*EFEITO!$AA$1209</f>
        <v>190779.13707039255</v>
      </c>
      <c r="P1209" s="38"/>
      <c r="Q1209" s="38"/>
      <c r="R1209" s="38"/>
      <c r="S1209" s="38"/>
      <c r="T1209" s="38"/>
      <c r="U1209" s="38"/>
      <c r="V1209" s="38"/>
      <c r="W1209" s="38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</row>
    <row r="1210" spans="1:36" ht="11.25" customHeight="1" x14ac:dyDescent="0.2">
      <c r="A1210" s="35" t="s">
        <v>27</v>
      </c>
      <c r="B1210" s="35" t="s">
        <v>22</v>
      </c>
      <c r="C1210" s="35" t="s">
        <v>23</v>
      </c>
      <c r="D1210" s="35" t="s">
        <v>24</v>
      </c>
      <c r="E1210" s="35" t="s">
        <v>31</v>
      </c>
      <c r="F1210" s="35" t="s">
        <v>25</v>
      </c>
      <c r="G1210" s="35" t="s">
        <v>25</v>
      </c>
      <c r="H1210" s="35" t="s">
        <v>25</v>
      </c>
      <c r="I1210" s="45">
        <v>44682</v>
      </c>
      <c r="J1210" s="46">
        <f>EFEITO!$J$1210*EFEITO!$Y$1110</f>
        <v>0</v>
      </c>
      <c r="K1210" s="46">
        <f ca="1">EFEITO!$L$1210*EFEITO!$Z$1372</f>
        <v>-2174.8203239406125</v>
      </c>
      <c r="L1210" s="46">
        <f>EFEITO!$N$1210*EFEITO!$AA$1372</f>
        <v>-1194.0098997044599</v>
      </c>
      <c r="M1210" s="46">
        <f>$J$1210-EFEITO!$K$1210*EFEITO!$Y$1210</f>
        <v>0</v>
      </c>
      <c r="N1210" s="46">
        <f ca="1">$K$1210-EFEITO!$M$1210*EFEITO!$Z$1210</f>
        <v>-1413.6332105613983</v>
      </c>
      <c r="O1210" s="46">
        <f>$L$1210-EFEITO!$O$1210*EFEITO!$AA$1210</f>
        <v>-776.10643480789895</v>
      </c>
      <c r="P1210" s="38"/>
      <c r="Q1210" s="38"/>
      <c r="R1210" s="38"/>
      <c r="S1210" s="38"/>
      <c r="T1210" s="38"/>
      <c r="U1210" s="38"/>
      <c r="V1210" s="38"/>
      <c r="W1210" s="38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</row>
    <row r="1211" spans="1:36" ht="11.25" customHeight="1" x14ac:dyDescent="0.2">
      <c r="A1211" s="35" t="s">
        <v>28</v>
      </c>
      <c r="B1211" s="35" t="s">
        <v>22</v>
      </c>
      <c r="C1211" s="35" t="s">
        <v>23</v>
      </c>
      <c r="D1211" s="35" t="s">
        <v>24</v>
      </c>
      <c r="E1211" s="35" t="s">
        <v>31</v>
      </c>
      <c r="F1211" s="35" t="s">
        <v>25</v>
      </c>
      <c r="G1211" s="35" t="s">
        <v>25</v>
      </c>
      <c r="H1211" s="35" t="s">
        <v>25</v>
      </c>
      <c r="I1211" s="45">
        <v>44682</v>
      </c>
      <c r="J1211" s="46">
        <f>EFEITO!$J$1211*EFEITO!$Y$1110</f>
        <v>0</v>
      </c>
      <c r="K1211" s="46">
        <f ca="1">EFEITO!$L$1211*EFEITO!$Z$1372</f>
        <v>261067.5157485836</v>
      </c>
      <c r="L1211" s="46">
        <f>EFEITO!$N$1211*EFEITO!$AA$1372</f>
        <v>143330.0925431166</v>
      </c>
      <c r="M1211" s="46">
        <f>$J$1211-EFEITO!$K$1211*EFEITO!$Y$1211</f>
        <v>0</v>
      </c>
      <c r="N1211" s="46">
        <f ca="1">$K$1211-EFEITO!$M$1211*EFEITO!$Z$1211</f>
        <v>169693.88523657934</v>
      </c>
      <c r="O1211" s="46">
        <f>$L$1211-EFEITO!$O$1211*EFEITO!$AA$1211</f>
        <v>93164.560153025785</v>
      </c>
      <c r="P1211" s="38"/>
      <c r="Q1211" s="38"/>
      <c r="R1211" s="38"/>
      <c r="S1211" s="38"/>
      <c r="T1211" s="38"/>
      <c r="U1211" s="38"/>
      <c r="V1211" s="38"/>
      <c r="W1211" s="38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</row>
    <row r="1212" spans="1:36" ht="11.25" customHeight="1" x14ac:dyDescent="0.2">
      <c r="A1212" s="35" t="s">
        <v>29</v>
      </c>
      <c r="B1212" s="35" t="s">
        <v>22</v>
      </c>
      <c r="C1212" s="35" t="s">
        <v>23</v>
      </c>
      <c r="D1212" s="35" t="s">
        <v>24</v>
      </c>
      <c r="E1212" s="35" t="s">
        <v>31</v>
      </c>
      <c r="F1212" s="35" t="s">
        <v>25</v>
      </c>
      <c r="G1212" s="35" t="s">
        <v>25</v>
      </c>
      <c r="H1212" s="35" t="s">
        <v>25</v>
      </c>
      <c r="I1212" s="45">
        <v>44682</v>
      </c>
      <c r="J1212" s="46">
        <f>EFEITO!$J$1212*EFEITO!$Y$1110</f>
        <v>0</v>
      </c>
      <c r="K1212" s="46">
        <f ca="1">EFEITO!$L$1212*EFEITO!$Z$1372</f>
        <v>1882.3792602886292</v>
      </c>
      <c r="L1212" s="46">
        <f>EFEITO!$N$1212*EFEITO!$AA$1372</f>
        <v>1033.4552454938139</v>
      </c>
      <c r="M1212" s="46">
        <f>$J$1212-EFEITO!$K$1212*EFEITO!$Y$1212</f>
        <v>0</v>
      </c>
      <c r="N1212" s="46">
        <f ca="1">$K$1212-EFEITO!$M$1212*EFEITO!$Z$1212</f>
        <v>1223.546519187609</v>
      </c>
      <c r="O1212" s="46">
        <f>$L$1212-EFEITO!$O$1212*EFEITO!$AA$1212</f>
        <v>671.74590957097905</v>
      </c>
      <c r="P1212" s="38"/>
      <c r="Q1212" s="38"/>
      <c r="R1212" s="38"/>
      <c r="S1212" s="38"/>
      <c r="T1212" s="38"/>
      <c r="U1212" s="38"/>
      <c r="V1212" s="38"/>
      <c r="W1212" s="38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</row>
    <row r="1213" spans="1:36" ht="11.25" customHeight="1" x14ac:dyDescent="0.2">
      <c r="A1213" s="35" t="s">
        <v>30</v>
      </c>
      <c r="B1213" s="35" t="s">
        <v>22</v>
      </c>
      <c r="C1213" s="35" t="s">
        <v>23</v>
      </c>
      <c r="D1213" s="35" t="s">
        <v>24</v>
      </c>
      <c r="E1213" s="35" t="s">
        <v>31</v>
      </c>
      <c r="F1213" s="35" t="s">
        <v>25</v>
      </c>
      <c r="G1213" s="35" t="s">
        <v>25</v>
      </c>
      <c r="H1213" s="35" t="s">
        <v>25</v>
      </c>
      <c r="I1213" s="45">
        <v>44682</v>
      </c>
      <c r="J1213" s="46">
        <f>EFEITO!$J$1213*EFEITO!$Y$1110</f>
        <v>0</v>
      </c>
      <c r="K1213" s="46">
        <f ca="1">EFEITO!$L$1213*EFEITO!$Z$1372</f>
        <v>579.84003999962226</v>
      </c>
      <c r="L1213" s="46">
        <f>EFEITO!$N$1213*EFEITO!$AA$1372</f>
        <v>318.34112472800513</v>
      </c>
      <c r="M1213" s="46">
        <f>$J$1213-EFEITO!$K$1213*EFEITO!$Y$1213</f>
        <v>0</v>
      </c>
      <c r="N1213" s="46">
        <f ca="1">$K$1213-EFEITO!$M$1213*EFEITO!$Z$1213</f>
        <v>376.89602599975444</v>
      </c>
      <c r="O1213" s="46">
        <f>$L$1213-EFEITO!$O$1213*EFEITO!$AA$1213</f>
        <v>206.92173107320335</v>
      </c>
      <c r="P1213" s="38"/>
      <c r="Q1213" s="38"/>
      <c r="R1213" s="38"/>
      <c r="S1213" s="38"/>
      <c r="T1213" s="38"/>
      <c r="U1213" s="38"/>
      <c r="V1213" s="38"/>
      <c r="W1213" s="38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</row>
    <row r="1214" spans="1:36" ht="11.25" customHeight="1" x14ac:dyDescent="0.2">
      <c r="A1214" s="35" t="s">
        <v>21</v>
      </c>
      <c r="B1214" s="35" t="s">
        <v>22</v>
      </c>
      <c r="C1214" s="35" t="s">
        <v>23</v>
      </c>
      <c r="D1214" s="35" t="s">
        <v>24</v>
      </c>
      <c r="E1214" s="35" t="s">
        <v>31</v>
      </c>
      <c r="F1214" s="35" t="s">
        <v>25</v>
      </c>
      <c r="G1214" s="35" t="s">
        <v>25</v>
      </c>
      <c r="H1214" s="35" t="s">
        <v>25</v>
      </c>
      <c r="I1214" s="45">
        <v>44713</v>
      </c>
      <c r="J1214" s="46">
        <f>EFEITO!$J$1214*EFEITO!$Y$1110</f>
        <v>0</v>
      </c>
      <c r="K1214" s="46">
        <f ca="1">EFEITO!$L$1214*EFEITO!$Z$1372</f>
        <v>545073.16734039865</v>
      </c>
      <c r="L1214" s="46">
        <f>EFEITO!$N$1214*EFEITO!$AA$1372</f>
        <v>299253.57543489354</v>
      </c>
      <c r="M1214" s="46">
        <f>$J$1214-EFEITO!$K$1214*EFEITO!$Y$1214</f>
        <v>0</v>
      </c>
      <c r="N1214" s="46">
        <f ca="1">$K$1214-EFEITO!$M$1214*EFEITO!$Z$1214</f>
        <v>354297.55877125915</v>
      </c>
      <c r="O1214" s="46">
        <f>$L$1214-EFEITO!$O$1214*EFEITO!$AA$1214</f>
        <v>194514.82403268083</v>
      </c>
      <c r="P1214" s="38"/>
      <c r="Q1214" s="38"/>
      <c r="R1214" s="38"/>
      <c r="S1214" s="38"/>
      <c r="T1214" s="38"/>
      <c r="U1214" s="38"/>
      <c r="V1214" s="38"/>
      <c r="W1214" s="38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</row>
    <row r="1215" spans="1:36" ht="11.25" customHeight="1" x14ac:dyDescent="0.2">
      <c r="A1215" s="35" t="s">
        <v>27</v>
      </c>
      <c r="B1215" s="35" t="s">
        <v>22</v>
      </c>
      <c r="C1215" s="35" t="s">
        <v>23</v>
      </c>
      <c r="D1215" s="35" t="s">
        <v>24</v>
      </c>
      <c r="E1215" s="35" t="s">
        <v>31</v>
      </c>
      <c r="F1215" s="35" t="s">
        <v>25</v>
      </c>
      <c r="G1215" s="35" t="s">
        <v>25</v>
      </c>
      <c r="H1215" s="35" t="s">
        <v>25</v>
      </c>
      <c r="I1215" s="45">
        <v>44713</v>
      </c>
      <c r="J1215" s="46">
        <f>EFEITO!$J$1215*EFEITO!$Y$1110</f>
        <v>0</v>
      </c>
      <c r="K1215" s="46">
        <f ca="1">EFEITO!$L$1215*EFEITO!$Z$1372</f>
        <v>2714.3236655054784</v>
      </c>
      <c r="L1215" s="46">
        <f>EFEITO!$N$1215*EFEITO!$AA$1372</f>
        <v>1490.205554886169</v>
      </c>
      <c r="M1215" s="46">
        <f>$J$1215-EFEITO!$K$1215*EFEITO!$Y$1215</f>
        <v>0</v>
      </c>
      <c r="N1215" s="46">
        <f ca="1">$K$1215-EFEITO!$M$1215*EFEITO!$Z$1215</f>
        <v>1764.3103825785611</v>
      </c>
      <c r="O1215" s="46">
        <f>$L$1215-EFEITO!$O$1215*EFEITO!$AA$1215</f>
        <v>968.63361067600988</v>
      </c>
      <c r="P1215" s="38"/>
      <c r="Q1215" s="38"/>
      <c r="R1215" s="38"/>
      <c r="S1215" s="38"/>
      <c r="T1215" s="38"/>
      <c r="U1215" s="38"/>
      <c r="V1215" s="38"/>
      <c r="W1215" s="38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</row>
    <row r="1216" spans="1:36" ht="11.25" customHeight="1" x14ac:dyDescent="0.2">
      <c r="A1216" s="35" t="s">
        <v>28</v>
      </c>
      <c r="B1216" s="35" t="s">
        <v>22</v>
      </c>
      <c r="C1216" s="35" t="s">
        <v>23</v>
      </c>
      <c r="D1216" s="35" t="s">
        <v>24</v>
      </c>
      <c r="E1216" s="35" t="s">
        <v>31</v>
      </c>
      <c r="F1216" s="35" t="s">
        <v>25</v>
      </c>
      <c r="G1216" s="35" t="s">
        <v>25</v>
      </c>
      <c r="H1216" s="35" t="s">
        <v>25</v>
      </c>
      <c r="I1216" s="45">
        <v>44713</v>
      </c>
      <c r="J1216" s="46">
        <f>EFEITO!$J$1216*EFEITO!$Y$1110</f>
        <v>0</v>
      </c>
      <c r="K1216" s="46">
        <f ca="1">EFEITO!$L$1216*EFEITO!$Z$1372</f>
        <v>264602.01894892915</v>
      </c>
      <c r="L1216" s="46">
        <f>EFEITO!$N$1216*EFEITO!$AA$1372</f>
        <v>145270.58931211079</v>
      </c>
      <c r="M1216" s="46">
        <f>$J$1216-EFEITO!$K$1216*EFEITO!$Y$1216</f>
        <v>0</v>
      </c>
      <c r="N1216" s="46">
        <f ca="1">$K$1216-EFEITO!$M$1216*EFEITO!$Z$1216</f>
        <v>171991.31231680396</v>
      </c>
      <c r="O1216" s="46">
        <f>$L$1216-EFEITO!$O$1216*EFEITO!$AA$1216</f>
        <v>94425.883052872028</v>
      </c>
      <c r="P1216" s="38"/>
      <c r="Q1216" s="38"/>
      <c r="R1216" s="38"/>
      <c r="S1216" s="38"/>
      <c r="T1216" s="38"/>
      <c r="U1216" s="38"/>
      <c r="V1216" s="38"/>
      <c r="W1216" s="38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</row>
    <row r="1217" spans="1:36" ht="11.25" customHeight="1" x14ac:dyDescent="0.2">
      <c r="A1217" s="35" t="s">
        <v>29</v>
      </c>
      <c r="B1217" s="35" t="s">
        <v>22</v>
      </c>
      <c r="C1217" s="35" t="s">
        <v>23</v>
      </c>
      <c r="D1217" s="35" t="s">
        <v>24</v>
      </c>
      <c r="E1217" s="35" t="s">
        <v>31</v>
      </c>
      <c r="F1217" s="35" t="s">
        <v>25</v>
      </c>
      <c r="G1217" s="35" t="s">
        <v>25</v>
      </c>
      <c r="H1217" s="35" t="s">
        <v>25</v>
      </c>
      <c r="I1217" s="45">
        <v>44713</v>
      </c>
      <c r="J1217" s="46">
        <f>EFEITO!$J$1217*EFEITO!$Y$1110</f>
        <v>0</v>
      </c>
      <c r="K1217" s="46">
        <f ca="1">EFEITO!$L$1217*EFEITO!$Z$1372</f>
        <v>468.07377141998506</v>
      </c>
      <c r="L1217" s="46">
        <f>EFEITO!$N$1217*EFEITO!$AA$1372</f>
        <v>256.97971952680996</v>
      </c>
      <c r="M1217" s="46">
        <f>$J$1217-EFEITO!$K$1217*EFEITO!$Y$1217</f>
        <v>0</v>
      </c>
      <c r="N1217" s="46">
        <f ca="1">$K$1217-EFEITO!$M$1217*EFEITO!$Z$1217</f>
        <v>304.24795142299035</v>
      </c>
      <c r="O1217" s="46">
        <f>$L$1217-EFEITO!$O$1217*EFEITO!$AA$1217</f>
        <v>167.0368176924265</v>
      </c>
      <c r="P1217" s="38"/>
      <c r="Q1217" s="38"/>
      <c r="R1217" s="38"/>
      <c r="S1217" s="38"/>
      <c r="T1217" s="38"/>
      <c r="U1217" s="38"/>
      <c r="V1217" s="38"/>
      <c r="W1217" s="38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</row>
    <row r="1218" spans="1:36" ht="11.25" customHeight="1" x14ac:dyDescent="0.2">
      <c r="A1218" s="35" t="s">
        <v>30</v>
      </c>
      <c r="B1218" s="35" t="s">
        <v>22</v>
      </c>
      <c r="C1218" s="35" t="s">
        <v>23</v>
      </c>
      <c r="D1218" s="35" t="s">
        <v>24</v>
      </c>
      <c r="E1218" s="35" t="s">
        <v>31</v>
      </c>
      <c r="F1218" s="35" t="s">
        <v>25</v>
      </c>
      <c r="G1218" s="35" t="s">
        <v>25</v>
      </c>
      <c r="H1218" s="35" t="s">
        <v>25</v>
      </c>
      <c r="I1218" s="45">
        <v>44713</v>
      </c>
      <c r="J1218" s="46">
        <f>EFEITO!$J$1218*EFEITO!$Y$1110</f>
        <v>0</v>
      </c>
      <c r="K1218" s="46">
        <f ca="1">EFEITO!$L$1218*EFEITO!$Z$1372</f>
        <v>605.05047652134499</v>
      </c>
      <c r="L1218" s="46">
        <f>EFEITO!$N$1218*EFEITO!$AA$1372</f>
        <v>332.18204319444015</v>
      </c>
      <c r="M1218" s="46">
        <f>$J$1218-EFEITO!$K$1218*EFEITO!$Y$1218</f>
        <v>0</v>
      </c>
      <c r="N1218" s="46">
        <f ca="1">$K$1218-EFEITO!$M$1218*EFEITO!$Z$1218</f>
        <v>393.28280973887422</v>
      </c>
      <c r="O1218" s="46">
        <f>$L$1218-EFEITO!$O$1218*EFEITO!$AA$1218</f>
        <v>215.9183280763861</v>
      </c>
      <c r="P1218" s="38"/>
      <c r="Q1218" s="38"/>
      <c r="R1218" s="38"/>
      <c r="S1218" s="38"/>
      <c r="T1218" s="38"/>
      <c r="U1218" s="38"/>
      <c r="V1218" s="38"/>
      <c r="W1218" s="38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</row>
    <row r="1219" spans="1:36" ht="11.25" customHeight="1" x14ac:dyDescent="0.2">
      <c r="A1219" s="35" t="s">
        <v>21</v>
      </c>
      <c r="B1219" s="35" t="s">
        <v>22</v>
      </c>
      <c r="C1219" s="35" t="s">
        <v>23</v>
      </c>
      <c r="D1219" s="35" t="s">
        <v>24</v>
      </c>
      <c r="E1219" s="35" t="s">
        <v>31</v>
      </c>
      <c r="F1219" s="35" t="s">
        <v>25</v>
      </c>
      <c r="G1219" s="35" t="s">
        <v>25</v>
      </c>
      <c r="H1219" s="35" t="s">
        <v>25</v>
      </c>
      <c r="I1219" s="45">
        <v>44743</v>
      </c>
      <c r="J1219" s="46">
        <f>EFEITO!$J$1219*EFEITO!$Y$1110</f>
        <v>0</v>
      </c>
      <c r="K1219" s="46">
        <f ca="1">EFEITO!$L$1219*EFEITO!$Z$1372</f>
        <v>561872.98206453258</v>
      </c>
      <c r="L1219" s="46">
        <f>EFEITO!$N$1219*EFEITO!$AA$1372</f>
        <v>308476.93281895138</v>
      </c>
      <c r="M1219" s="46">
        <f>$J$1219-EFEITO!$K$1219*EFEITO!$Y$1219</f>
        <v>0</v>
      </c>
      <c r="N1219" s="46">
        <f ca="1">$K$1219-EFEITO!$M$1219*EFEITO!$Z$1219</f>
        <v>365217.43834194617</v>
      </c>
      <c r="O1219" s="46">
        <f>$L$1219-EFEITO!$O$1219*EFEITO!$AA$1219</f>
        <v>200510.00633231841</v>
      </c>
      <c r="P1219" s="38"/>
      <c r="Q1219" s="38"/>
      <c r="R1219" s="38"/>
      <c r="S1219" s="38"/>
      <c r="T1219" s="38"/>
      <c r="U1219" s="38"/>
      <c r="V1219" s="38"/>
      <c r="W1219" s="38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</row>
    <row r="1220" spans="1:36" ht="11.25" customHeight="1" x14ac:dyDescent="0.2">
      <c r="A1220" s="35" t="s">
        <v>27</v>
      </c>
      <c r="B1220" s="35" t="s">
        <v>22</v>
      </c>
      <c r="C1220" s="35" t="s">
        <v>23</v>
      </c>
      <c r="D1220" s="35" t="s">
        <v>24</v>
      </c>
      <c r="E1220" s="35" t="s">
        <v>31</v>
      </c>
      <c r="F1220" s="35" t="s">
        <v>25</v>
      </c>
      <c r="G1220" s="35" t="s">
        <v>25</v>
      </c>
      <c r="H1220" s="35" t="s">
        <v>25</v>
      </c>
      <c r="I1220" s="45">
        <v>44743</v>
      </c>
      <c r="J1220" s="46">
        <f>EFEITO!$J$1220*EFEITO!$Y$1110</f>
        <v>0</v>
      </c>
      <c r="K1220" s="46">
        <f ca="1">EFEITO!$L$1220*EFEITO!$Z$1372</f>
        <v>4523.592659881112</v>
      </c>
      <c r="L1220" s="46">
        <f>EFEITO!$N$1220*EFEITO!$AA$1372</f>
        <v>2483.5221368273214</v>
      </c>
      <c r="M1220" s="46">
        <f>$J$1220-EFEITO!$K$1220*EFEITO!$Y$1220</f>
        <v>0</v>
      </c>
      <c r="N1220" s="46">
        <f ca="1">$K$1220-EFEITO!$M$1220*EFEITO!$Z$1220</f>
        <v>2940.3352289227232</v>
      </c>
      <c r="O1220" s="46">
        <f>$L$1220-EFEITO!$O$1220*EFEITO!$AA$1220</f>
        <v>1614.2893889377592</v>
      </c>
      <c r="P1220" s="38"/>
      <c r="Q1220" s="38"/>
      <c r="R1220" s="38"/>
      <c r="S1220" s="38"/>
      <c r="T1220" s="38"/>
      <c r="U1220" s="38"/>
      <c r="V1220" s="38"/>
      <c r="W1220" s="38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</row>
    <row r="1221" spans="1:36" ht="11.25" customHeight="1" x14ac:dyDescent="0.2">
      <c r="A1221" s="35" t="s">
        <v>28</v>
      </c>
      <c r="B1221" s="35" t="s">
        <v>22</v>
      </c>
      <c r="C1221" s="35" t="s">
        <v>23</v>
      </c>
      <c r="D1221" s="35" t="s">
        <v>24</v>
      </c>
      <c r="E1221" s="35" t="s">
        <v>31</v>
      </c>
      <c r="F1221" s="35" t="s">
        <v>25</v>
      </c>
      <c r="G1221" s="35" t="s">
        <v>25</v>
      </c>
      <c r="H1221" s="35" t="s">
        <v>25</v>
      </c>
      <c r="I1221" s="45">
        <v>44743</v>
      </c>
      <c r="J1221" s="46">
        <f>EFEITO!$J$1221*EFEITO!$Y$1110</f>
        <v>0</v>
      </c>
      <c r="K1221" s="46">
        <f ca="1">EFEITO!$L$1221*EFEITO!$Z$1372</f>
        <v>273197.51728101046</v>
      </c>
      <c r="L1221" s="46">
        <f>EFEITO!$N$1221*EFEITO!$AA$1372</f>
        <v>149989.65046324179</v>
      </c>
      <c r="M1221" s="46">
        <f>$J$1221-EFEITO!$K$1221*EFEITO!$Y$1221</f>
        <v>0</v>
      </c>
      <c r="N1221" s="46">
        <f ca="1">$K$1221-EFEITO!$M$1221*EFEITO!$Z$1221</f>
        <v>177578.38623265678</v>
      </c>
      <c r="O1221" s="46">
        <f>$L$1221-EFEITO!$O$1221*EFEITO!$AA$1221</f>
        <v>97493.272801107174</v>
      </c>
      <c r="P1221" s="38"/>
      <c r="Q1221" s="38"/>
      <c r="R1221" s="38"/>
      <c r="S1221" s="38"/>
      <c r="T1221" s="38"/>
      <c r="U1221" s="38"/>
      <c r="V1221" s="38"/>
      <c r="W1221" s="38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</row>
    <row r="1222" spans="1:36" ht="11.25" customHeight="1" x14ac:dyDescent="0.2">
      <c r="A1222" s="35" t="s">
        <v>29</v>
      </c>
      <c r="B1222" s="35" t="s">
        <v>22</v>
      </c>
      <c r="C1222" s="35" t="s">
        <v>23</v>
      </c>
      <c r="D1222" s="35" t="s">
        <v>24</v>
      </c>
      <c r="E1222" s="35" t="s">
        <v>31</v>
      </c>
      <c r="F1222" s="35" t="s">
        <v>25</v>
      </c>
      <c r="G1222" s="35" t="s">
        <v>25</v>
      </c>
      <c r="H1222" s="35" t="s">
        <v>25</v>
      </c>
      <c r="I1222" s="45">
        <v>44743</v>
      </c>
      <c r="J1222" s="46">
        <f>EFEITO!$J$1222*EFEITO!$Y$1110</f>
        <v>0</v>
      </c>
      <c r="K1222" s="46">
        <f ca="1">EFEITO!$L$1222*EFEITO!$Z$1372</f>
        <v>224.37288504333213</v>
      </c>
      <c r="L1222" s="46">
        <f>EFEITO!$N$1222*EFEITO!$AA$1372</f>
        <v>123.18417435127157</v>
      </c>
      <c r="M1222" s="46">
        <f>$J$1222-EFEITO!$K$1222*EFEITO!$Y$1222</f>
        <v>0</v>
      </c>
      <c r="N1222" s="46">
        <f ca="1">$K$1222-EFEITO!$M$1222*EFEITO!$Z$1222</f>
        <v>145.84237527816589</v>
      </c>
      <c r="O1222" s="46">
        <f>$L$1222-EFEITO!$O$1222*EFEITO!$AA$1222</f>
        <v>80.069713328326515</v>
      </c>
      <c r="P1222" s="38"/>
      <c r="Q1222" s="38"/>
      <c r="R1222" s="38"/>
      <c r="S1222" s="38"/>
      <c r="T1222" s="38"/>
      <c r="U1222" s="38"/>
      <c r="V1222" s="38"/>
      <c r="W1222" s="38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</row>
    <row r="1223" spans="1:36" ht="11.25" customHeight="1" x14ac:dyDescent="0.2">
      <c r="A1223" s="35" t="s">
        <v>30</v>
      </c>
      <c r="B1223" s="35" t="s">
        <v>22</v>
      </c>
      <c r="C1223" s="35" t="s">
        <v>23</v>
      </c>
      <c r="D1223" s="35" t="s">
        <v>24</v>
      </c>
      <c r="E1223" s="35" t="s">
        <v>31</v>
      </c>
      <c r="F1223" s="35" t="s">
        <v>25</v>
      </c>
      <c r="G1223" s="35" t="s">
        <v>25</v>
      </c>
      <c r="H1223" s="35" t="s">
        <v>25</v>
      </c>
      <c r="I1223" s="45">
        <v>44743</v>
      </c>
      <c r="J1223" s="46">
        <f>EFEITO!$J$1223*EFEITO!$Y$1110</f>
        <v>0</v>
      </c>
      <c r="K1223" s="46">
        <f ca="1">EFEITO!$L$1223*EFEITO!$Z$1372</f>
        <v>655.47134956479056</v>
      </c>
      <c r="L1223" s="46">
        <f>EFEITO!$N$1223*EFEITO!$AA$1372</f>
        <v>359.86388012731021</v>
      </c>
      <c r="M1223" s="46">
        <f>$J$1223-EFEITO!$K$1223*EFEITO!$Y$1223</f>
        <v>0</v>
      </c>
      <c r="N1223" s="46">
        <f ca="1">$K$1223-EFEITO!$M$1223*EFEITO!$Z$1223</f>
        <v>426.05637721711389</v>
      </c>
      <c r="O1223" s="46">
        <f>$L$1223-EFEITO!$O$1223*EFEITO!$AA$1223</f>
        <v>233.91152208275167</v>
      </c>
      <c r="P1223" s="38"/>
      <c r="Q1223" s="38"/>
      <c r="R1223" s="38"/>
      <c r="S1223" s="38"/>
      <c r="T1223" s="38"/>
      <c r="U1223" s="38"/>
      <c r="V1223" s="38"/>
      <c r="W1223" s="38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</row>
    <row r="1224" spans="1:36" ht="11.25" customHeight="1" x14ac:dyDescent="0.2">
      <c r="A1224" s="35" t="s">
        <v>21</v>
      </c>
      <c r="B1224" s="35" t="s">
        <v>22</v>
      </c>
      <c r="C1224" s="35" t="s">
        <v>23</v>
      </c>
      <c r="D1224" s="35" t="s">
        <v>24</v>
      </c>
      <c r="E1224" s="35" t="s">
        <v>31</v>
      </c>
      <c r="F1224" s="35" t="s">
        <v>25</v>
      </c>
      <c r="G1224" s="35" t="s">
        <v>25</v>
      </c>
      <c r="H1224" s="35" t="s">
        <v>25</v>
      </c>
      <c r="I1224" s="45">
        <v>44774</v>
      </c>
      <c r="J1224" s="46">
        <f>EFEITO!$J$1224*EFEITO!$Y$1110</f>
        <v>0</v>
      </c>
      <c r="K1224" s="46">
        <f ca="1">EFEITO!$L$1224*EFEITO!$Z$1372</f>
        <v>455057.62304381956</v>
      </c>
      <c r="L1224" s="46">
        <f>EFEITO!$N$1224*EFEITO!$AA$1372</f>
        <v>249833.65332258955</v>
      </c>
      <c r="M1224" s="46">
        <f>$J$1224-EFEITO!$K$1224*EFEITO!$Y$1224</f>
        <v>0</v>
      </c>
      <c r="N1224" s="46">
        <f ca="1">$K$1224-EFEITO!$M$1224*EFEITO!$Z$1224</f>
        <v>295787.45497848274</v>
      </c>
      <c r="O1224" s="46">
        <f>$L$1224-EFEITO!$O$1224*EFEITO!$AA$1224</f>
        <v>162391.87465968321</v>
      </c>
      <c r="P1224" s="38"/>
      <c r="Q1224" s="38"/>
      <c r="R1224" s="38"/>
      <c r="S1224" s="38"/>
      <c r="T1224" s="38"/>
      <c r="U1224" s="38"/>
      <c r="V1224" s="38"/>
      <c r="W1224" s="38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</row>
    <row r="1225" spans="1:36" ht="11.25" customHeight="1" x14ac:dyDescent="0.2">
      <c r="A1225" s="35" t="s">
        <v>27</v>
      </c>
      <c r="B1225" s="35" t="s">
        <v>22</v>
      </c>
      <c r="C1225" s="35" t="s">
        <v>23</v>
      </c>
      <c r="D1225" s="35" t="s">
        <v>24</v>
      </c>
      <c r="E1225" s="35" t="s">
        <v>31</v>
      </c>
      <c r="F1225" s="35" t="s">
        <v>25</v>
      </c>
      <c r="G1225" s="35" t="s">
        <v>25</v>
      </c>
      <c r="H1225" s="35" t="s">
        <v>25</v>
      </c>
      <c r="I1225" s="45">
        <v>44774</v>
      </c>
      <c r="J1225" s="46">
        <f>EFEITO!$J$1225*EFEITO!$Y$1110</f>
        <v>0</v>
      </c>
      <c r="K1225" s="46">
        <f ca="1">EFEITO!$L$1225*EFEITO!$Z$1372</f>
        <v>2578.1873082881762</v>
      </c>
      <c r="L1225" s="46">
        <f>EFEITO!$N$1225*EFEITO!$AA$1372</f>
        <v>1415.4645951674202</v>
      </c>
      <c r="M1225" s="46">
        <f>$J$1225-EFEITO!$K$1225*EFEITO!$Y$1225</f>
        <v>0</v>
      </c>
      <c r="N1225" s="46">
        <f ca="1">$K$1225-EFEITO!$M$1225*EFEITO!$Z$1225</f>
        <v>1675.8217503873148</v>
      </c>
      <c r="O1225" s="46">
        <f>$L$1225-EFEITO!$O$1225*EFEITO!$AA$1225</f>
        <v>920.05198685882328</v>
      </c>
      <c r="P1225" s="38"/>
      <c r="Q1225" s="38"/>
      <c r="R1225" s="38"/>
      <c r="S1225" s="38"/>
      <c r="T1225" s="38"/>
      <c r="U1225" s="38"/>
      <c r="V1225" s="38"/>
      <c r="W1225" s="38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</row>
    <row r="1226" spans="1:36" ht="11.25" customHeight="1" x14ac:dyDescent="0.2">
      <c r="A1226" s="35" t="s">
        <v>28</v>
      </c>
      <c r="B1226" s="35" t="s">
        <v>22</v>
      </c>
      <c r="C1226" s="35" t="s">
        <v>23</v>
      </c>
      <c r="D1226" s="35" t="s">
        <v>24</v>
      </c>
      <c r="E1226" s="35" t="s">
        <v>31</v>
      </c>
      <c r="F1226" s="35" t="s">
        <v>25</v>
      </c>
      <c r="G1226" s="35" t="s">
        <v>25</v>
      </c>
      <c r="H1226" s="35" t="s">
        <v>25</v>
      </c>
      <c r="I1226" s="45">
        <v>44774</v>
      </c>
      <c r="J1226" s="46">
        <f>EFEITO!$J$1226*EFEITO!$Y$1110</f>
        <v>0</v>
      </c>
      <c r="K1226" s="46">
        <f ca="1">EFEITO!$L$1226*EFEITO!$Z$1372</f>
        <v>385036.89612656081</v>
      </c>
      <c r="L1226" s="46">
        <f>EFEITO!$N$1226*EFEITO!$AA$1372</f>
        <v>211391.19432798965</v>
      </c>
      <c r="M1226" s="46">
        <f>$J$1226-EFEITO!$K$1226*EFEITO!$Y$1226</f>
        <v>0</v>
      </c>
      <c r="N1226" s="46">
        <f ca="1">$K$1226-EFEITO!$M$1226*EFEITO!$Z$1226</f>
        <v>250273.98248226455</v>
      </c>
      <c r="O1226" s="46">
        <f>$L$1226-EFEITO!$O$1226*EFEITO!$AA$1226</f>
        <v>137404.27631319329</v>
      </c>
      <c r="P1226" s="38"/>
      <c r="Q1226" s="38"/>
      <c r="R1226" s="38"/>
      <c r="S1226" s="38"/>
      <c r="T1226" s="38"/>
      <c r="U1226" s="38"/>
      <c r="V1226" s="38"/>
      <c r="W1226" s="38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</row>
    <row r="1227" spans="1:36" ht="11.25" customHeight="1" x14ac:dyDescent="0.2">
      <c r="A1227" s="35" t="s">
        <v>29</v>
      </c>
      <c r="B1227" s="35" t="s">
        <v>22</v>
      </c>
      <c r="C1227" s="35" t="s">
        <v>23</v>
      </c>
      <c r="D1227" s="35" t="s">
        <v>24</v>
      </c>
      <c r="E1227" s="35" t="s">
        <v>31</v>
      </c>
      <c r="F1227" s="35" t="s">
        <v>25</v>
      </c>
      <c r="G1227" s="35" t="s">
        <v>25</v>
      </c>
      <c r="H1227" s="35" t="s">
        <v>25</v>
      </c>
      <c r="I1227" s="45">
        <v>44774</v>
      </c>
      <c r="J1227" s="46">
        <f>EFEITO!$J$1227*EFEITO!$Y$1110</f>
        <v>0</v>
      </c>
      <c r="K1227" s="46">
        <f ca="1">EFEITO!$L$1227*EFEITO!$Z$1372</f>
        <v>1094.973292926823</v>
      </c>
      <c r="L1227" s="46">
        <f>EFEITO!$N$1227*EFEITO!$AA$1372</f>
        <v>601.1572253921604</v>
      </c>
      <c r="M1227" s="46">
        <f>$J$1227-EFEITO!$K$1227*EFEITO!$Y$1227</f>
        <v>0</v>
      </c>
      <c r="N1227" s="46">
        <f ca="1">$K$1227-EFEITO!$M$1227*EFEITO!$Z$1227</f>
        <v>711.73264040243498</v>
      </c>
      <c r="O1227" s="46">
        <f>$L$1227-EFEITO!$O$1227*EFEITO!$AA$1227</f>
        <v>390.7521965049043</v>
      </c>
      <c r="P1227" s="38"/>
      <c r="Q1227" s="38"/>
      <c r="R1227" s="38"/>
      <c r="S1227" s="38"/>
      <c r="T1227" s="38"/>
      <c r="U1227" s="38"/>
      <c r="V1227" s="38"/>
      <c r="W1227" s="38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</row>
    <row r="1228" spans="1:36" ht="11.25" customHeight="1" x14ac:dyDescent="0.2">
      <c r="A1228" s="35" t="s">
        <v>30</v>
      </c>
      <c r="B1228" s="35" t="s">
        <v>22</v>
      </c>
      <c r="C1228" s="35" t="s">
        <v>23</v>
      </c>
      <c r="D1228" s="35" t="s">
        <v>24</v>
      </c>
      <c r="E1228" s="35" t="s">
        <v>31</v>
      </c>
      <c r="F1228" s="35" t="s">
        <v>25</v>
      </c>
      <c r="G1228" s="35" t="s">
        <v>25</v>
      </c>
      <c r="H1228" s="35" t="s">
        <v>25</v>
      </c>
      <c r="I1228" s="45">
        <v>44774</v>
      </c>
      <c r="J1228" s="46">
        <f>EFEITO!$J$1228*EFEITO!$Y$1110</f>
        <v>0</v>
      </c>
      <c r="K1228" s="46">
        <f ca="1">EFEITO!$L$1228*EFEITO!$Z$1372</f>
        <v>680.68178608651328</v>
      </c>
      <c r="L1228" s="46">
        <f>EFEITO!$N$1228*EFEITO!$AA$1372</f>
        <v>373.70479859374518</v>
      </c>
      <c r="M1228" s="46">
        <f>$J$1228-EFEITO!$K$1228*EFEITO!$Y$1228</f>
        <v>0</v>
      </c>
      <c r="N1228" s="46">
        <f ca="1">$K$1228-EFEITO!$M$1228*EFEITO!$Z$1228</f>
        <v>442.44316095623367</v>
      </c>
      <c r="O1228" s="46">
        <f>$L$1228-EFEITO!$O$1228*EFEITO!$AA$1228</f>
        <v>242.90811908593437</v>
      </c>
      <c r="P1228" s="38"/>
      <c r="Q1228" s="38"/>
      <c r="R1228" s="38"/>
      <c r="S1228" s="38"/>
      <c r="T1228" s="38"/>
      <c r="U1228" s="38"/>
      <c r="V1228" s="38"/>
      <c r="W1228" s="38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</row>
    <row r="1229" spans="1:36" ht="11.25" customHeight="1" x14ac:dyDescent="0.2">
      <c r="A1229" s="35" t="s">
        <v>30</v>
      </c>
      <c r="B1229" s="35" t="s">
        <v>22</v>
      </c>
      <c r="C1229" s="35" t="s">
        <v>23</v>
      </c>
      <c r="D1229" s="35" t="s">
        <v>24</v>
      </c>
      <c r="E1229" s="35" t="s">
        <v>31</v>
      </c>
      <c r="F1229" s="35" t="s">
        <v>25</v>
      </c>
      <c r="G1229" s="35" t="s">
        <v>25</v>
      </c>
      <c r="H1229" s="35" t="s">
        <v>25</v>
      </c>
      <c r="I1229" s="45">
        <v>44774</v>
      </c>
      <c r="J1229" s="46">
        <f>EFEITO!$J$1229*EFEITO!$Y$1110</f>
        <v>0</v>
      </c>
      <c r="K1229" s="46">
        <f ca="1">EFEITO!$L$1229*EFEITO!$Z$1372</f>
        <v>262.18853982591617</v>
      </c>
      <c r="L1229" s="46">
        <f>EFEITO!$N$1229*EFEITO!$AA$1372</f>
        <v>143.94555205092408</v>
      </c>
      <c r="M1229" s="46">
        <f>$J$1229-EFEITO!$K$1229*EFEITO!$Y$1229</f>
        <v>0</v>
      </c>
      <c r="N1229" s="46">
        <f ca="1">$K$1229-EFEITO!$M$1229*EFEITO!$Z$1229</f>
        <v>170.4225508868455</v>
      </c>
      <c r="O1229" s="46">
        <f>$L$1229-EFEITO!$O$1229*EFEITO!$AA$1229</f>
        <v>93.564608833100664</v>
      </c>
      <c r="P1229" s="38"/>
      <c r="Q1229" s="38"/>
      <c r="R1229" s="38"/>
      <c r="S1229" s="38"/>
      <c r="T1229" s="38"/>
      <c r="U1229" s="38"/>
      <c r="V1229" s="38"/>
      <c r="W1229" s="38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</row>
    <row r="1230" spans="1:36" ht="11.25" customHeight="1" x14ac:dyDescent="0.2">
      <c r="A1230" s="35" t="s">
        <v>21</v>
      </c>
      <c r="B1230" s="35" t="s">
        <v>22</v>
      </c>
      <c r="C1230" s="35" t="s">
        <v>23</v>
      </c>
      <c r="D1230" s="35" t="s">
        <v>24</v>
      </c>
      <c r="E1230" s="35" t="s">
        <v>31</v>
      </c>
      <c r="F1230" s="35" t="s">
        <v>25</v>
      </c>
      <c r="G1230" s="35" t="s">
        <v>25</v>
      </c>
      <c r="H1230" s="35" t="s">
        <v>25</v>
      </c>
      <c r="I1230" s="45">
        <v>44805</v>
      </c>
      <c r="J1230" s="46">
        <f>EFEITO!$J$1230*EFEITO!$Y$1110</f>
        <v>0</v>
      </c>
      <c r="K1230" s="46">
        <f ca="1">EFEITO!$L$1230*EFEITO!$Z$1372</f>
        <v>577036.21928446472</v>
      </c>
      <c r="L1230" s="46">
        <f>EFEITO!$N$1230*EFEITO!$AA$1372</f>
        <v>316801.78391256311</v>
      </c>
      <c r="M1230" s="46">
        <f>$J$1230-EFEITO!$K$1230*EFEITO!$Y$1230</f>
        <v>0</v>
      </c>
      <c r="N1230" s="46">
        <f ca="1">$K$1230-EFEITO!$M$1230*EFEITO!$Z$1230</f>
        <v>375073.54253490211</v>
      </c>
      <c r="O1230" s="46">
        <f>$L$1230-EFEITO!$O$1230*EFEITO!$AA$1230</f>
        <v>205921.15954316602</v>
      </c>
      <c r="P1230" s="38"/>
      <c r="Q1230" s="38"/>
      <c r="R1230" s="38"/>
      <c r="S1230" s="38"/>
      <c r="T1230" s="38"/>
      <c r="U1230" s="38"/>
      <c r="V1230" s="38"/>
      <c r="W1230" s="38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</row>
    <row r="1231" spans="1:36" ht="11.25" customHeight="1" x14ac:dyDescent="0.2">
      <c r="A1231" s="35" t="s">
        <v>27</v>
      </c>
      <c r="B1231" s="35" t="s">
        <v>22</v>
      </c>
      <c r="C1231" s="35" t="s">
        <v>23</v>
      </c>
      <c r="D1231" s="35" t="s">
        <v>24</v>
      </c>
      <c r="E1231" s="35" t="s">
        <v>31</v>
      </c>
      <c r="F1231" s="35" t="s">
        <v>25</v>
      </c>
      <c r="G1231" s="35" t="s">
        <v>25</v>
      </c>
      <c r="H1231" s="35" t="s">
        <v>25</v>
      </c>
      <c r="I1231" s="45">
        <v>44805</v>
      </c>
      <c r="J1231" s="46">
        <f>EFEITO!$J$1231*EFEITO!$Y$1110</f>
        <v>0</v>
      </c>
      <c r="K1231" s="46">
        <f ca="1">EFEITO!$L$1231*EFEITO!$Z$1372</f>
        <v>1243.7148684049871</v>
      </c>
      <c r="L1231" s="46">
        <f>EFEITO!$N$1231*EFEITO!$AA$1372</f>
        <v>682.81864434412694</v>
      </c>
      <c r="M1231" s="46">
        <f>$J$1231-EFEITO!$K$1231*EFEITO!$Y$1231</f>
        <v>0</v>
      </c>
      <c r="N1231" s="46">
        <f ca="1">$K$1231-EFEITO!$M$1231*EFEITO!$Z$1231</f>
        <v>808.41466446324171</v>
      </c>
      <c r="O1231" s="46">
        <f>$L$1231-EFEITO!$O$1231*EFEITO!$AA$1231</f>
        <v>443.83211882368255</v>
      </c>
      <c r="P1231" s="38"/>
      <c r="Q1231" s="38"/>
      <c r="R1231" s="38"/>
      <c r="S1231" s="38"/>
      <c r="T1231" s="38"/>
      <c r="U1231" s="38"/>
      <c r="V1231" s="38"/>
      <c r="W1231" s="38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</row>
    <row r="1232" spans="1:36" ht="11.25" customHeight="1" x14ac:dyDescent="0.2">
      <c r="A1232" s="35" t="s">
        <v>28</v>
      </c>
      <c r="B1232" s="35" t="s">
        <v>22</v>
      </c>
      <c r="C1232" s="35" t="s">
        <v>23</v>
      </c>
      <c r="D1232" s="35" t="s">
        <v>24</v>
      </c>
      <c r="E1232" s="35" t="s">
        <v>31</v>
      </c>
      <c r="F1232" s="35" t="s">
        <v>25</v>
      </c>
      <c r="G1232" s="35" t="s">
        <v>25</v>
      </c>
      <c r="H1232" s="35" t="s">
        <v>25</v>
      </c>
      <c r="I1232" s="45">
        <v>44805</v>
      </c>
      <c r="J1232" s="46">
        <f>EFEITO!$J$1232*EFEITO!$Y$1110</f>
        <v>0</v>
      </c>
      <c r="K1232" s="46">
        <f ca="1">EFEITO!$L$1232*EFEITO!$Z$1372</f>
        <v>276493.78185622575</v>
      </c>
      <c r="L1232" s="46">
        <f>EFEITO!$N$1232*EFEITO!$AA$1372</f>
        <v>151799.3505527282</v>
      </c>
      <c r="M1232" s="46">
        <f>$J$1232-EFEITO!$K$1232*EFEITO!$Y$1232</f>
        <v>0</v>
      </c>
      <c r="N1232" s="46">
        <f ca="1">$K$1232-EFEITO!$M$1232*EFEITO!$Z$1232</f>
        <v>179720.95820654673</v>
      </c>
      <c r="O1232" s="46">
        <f>$L$1232-EFEITO!$O$1232*EFEITO!$AA$1232</f>
        <v>98669.57785927334</v>
      </c>
      <c r="P1232" s="38"/>
      <c r="Q1232" s="38"/>
      <c r="R1232" s="38"/>
      <c r="S1232" s="38"/>
      <c r="T1232" s="38"/>
      <c r="U1232" s="38"/>
      <c r="V1232" s="38"/>
      <c r="W1232" s="38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</row>
    <row r="1233" spans="1:36" ht="11.25" customHeight="1" x14ac:dyDescent="0.2">
      <c r="A1233" s="35" t="s">
        <v>29</v>
      </c>
      <c r="B1233" s="35" t="s">
        <v>22</v>
      </c>
      <c r="C1233" s="35" t="s">
        <v>23</v>
      </c>
      <c r="D1233" s="35" t="s">
        <v>24</v>
      </c>
      <c r="E1233" s="35" t="s">
        <v>31</v>
      </c>
      <c r="F1233" s="35" t="s">
        <v>25</v>
      </c>
      <c r="G1233" s="35" t="s">
        <v>25</v>
      </c>
      <c r="H1233" s="35" t="s">
        <v>25</v>
      </c>
      <c r="I1233" s="45">
        <v>44805</v>
      </c>
      <c r="J1233" s="46">
        <f>EFEITO!$J$1233*EFEITO!$Y$1110</f>
        <v>0</v>
      </c>
      <c r="K1233" s="46">
        <f ca="1">EFEITO!$L$1233*EFEITO!$Z$1372</f>
        <v>-58.404177941990952</v>
      </c>
      <c r="L1233" s="46">
        <f>EFEITO!$N$1233*EFEITO!$AA$1372</f>
        <v>-32.064794447241098</v>
      </c>
      <c r="M1233" s="46">
        <f>$J$1233-EFEITO!$K$1233*EFEITO!$Y$1233</f>
        <v>0</v>
      </c>
      <c r="N1233" s="46">
        <f ca="1">$K$1233-EFEITO!$M$1233*EFEITO!$Z$1233</f>
        <v>-37.962715662294116</v>
      </c>
      <c r="O1233" s="46">
        <f>$L$1233-EFEITO!$O$1233*EFEITO!$AA$1233</f>
        <v>-20.842116390706714</v>
      </c>
      <c r="P1233" s="38"/>
      <c r="Q1233" s="38"/>
      <c r="R1233" s="38"/>
      <c r="S1233" s="38"/>
      <c r="T1233" s="38"/>
      <c r="U1233" s="38"/>
      <c r="V1233" s="38"/>
      <c r="W1233" s="38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</row>
    <row r="1234" spans="1:36" ht="11.25" customHeight="1" x14ac:dyDescent="0.2">
      <c r="A1234" s="35" t="s">
        <v>30</v>
      </c>
      <c r="B1234" s="35" t="s">
        <v>22</v>
      </c>
      <c r="C1234" s="35" t="s">
        <v>23</v>
      </c>
      <c r="D1234" s="35" t="s">
        <v>24</v>
      </c>
      <c r="E1234" s="35" t="s">
        <v>31</v>
      </c>
      <c r="F1234" s="35" t="s">
        <v>25</v>
      </c>
      <c r="G1234" s="35" t="s">
        <v>25</v>
      </c>
      <c r="H1234" s="35" t="s">
        <v>25</v>
      </c>
      <c r="I1234" s="45">
        <v>44805</v>
      </c>
      <c r="J1234" s="46">
        <f>EFEITO!$J$1234*EFEITO!$Y$1110</f>
        <v>0</v>
      </c>
      <c r="K1234" s="46">
        <f ca="1">EFEITO!$L$1234*EFEITO!$Z$1372</f>
        <v>781.52353217340408</v>
      </c>
      <c r="L1234" s="46">
        <f>EFEITO!$N$1234*EFEITO!$AA$1372</f>
        <v>429.06847245948524</v>
      </c>
      <c r="M1234" s="46">
        <f>$J$1234-EFEITO!$K$1234*EFEITO!$Y$1234</f>
        <v>0</v>
      </c>
      <c r="N1234" s="46">
        <f ca="1">$K$1234-EFEITO!$M$1234*EFEITO!$Z$1234</f>
        <v>507.99029591271267</v>
      </c>
      <c r="O1234" s="46">
        <f>$L$1234-EFEITO!$O$1234*EFEITO!$AA$1234</f>
        <v>278.89450709866543</v>
      </c>
      <c r="P1234" s="38"/>
      <c r="Q1234" s="38"/>
      <c r="R1234" s="38"/>
      <c r="S1234" s="38"/>
      <c r="T1234" s="38"/>
      <c r="U1234" s="38"/>
      <c r="V1234" s="38"/>
      <c r="W1234" s="38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</row>
    <row r="1235" spans="1:36" ht="11.25" customHeight="1" x14ac:dyDescent="0.2">
      <c r="A1235" s="35" t="s">
        <v>21</v>
      </c>
      <c r="B1235" s="35" t="s">
        <v>22</v>
      </c>
      <c r="C1235" s="35" t="s">
        <v>23</v>
      </c>
      <c r="D1235" s="35" t="s">
        <v>24</v>
      </c>
      <c r="E1235" s="35" t="s">
        <v>31</v>
      </c>
      <c r="F1235" s="35" t="s">
        <v>25</v>
      </c>
      <c r="G1235" s="35" t="s">
        <v>25</v>
      </c>
      <c r="H1235" s="35" t="s">
        <v>25</v>
      </c>
      <c r="I1235" s="45">
        <v>44835</v>
      </c>
      <c r="J1235" s="46">
        <f>EFEITO!$J$1235*EFEITO!$Y$1110</f>
        <v>0</v>
      </c>
      <c r="K1235" s="46">
        <f ca="1">EFEITO!$L$1235*EFEITO!$Z$1372</f>
        <v>587818.30281086359</v>
      </c>
      <c r="L1235" s="46">
        <f>EFEITO!$N$1235*EFEITO!$AA$1372</f>
        <v>322721.31405868294</v>
      </c>
      <c r="M1235" s="46">
        <f>$J$1235-EFEITO!$K$1235*EFEITO!$Y$1235</f>
        <v>0</v>
      </c>
      <c r="N1235" s="46">
        <f ca="1">$K$1235-EFEITO!$M$1235*EFEITO!$Z$1235</f>
        <v>382081.89682706137</v>
      </c>
      <c r="O1235" s="46">
        <f>$L$1235-EFEITO!$O$1235*EFEITO!$AA$1235</f>
        <v>209768.85413814391</v>
      </c>
      <c r="P1235" s="38"/>
      <c r="Q1235" s="38"/>
      <c r="R1235" s="38"/>
      <c r="S1235" s="38"/>
      <c r="T1235" s="38"/>
      <c r="U1235" s="38"/>
      <c r="V1235" s="38"/>
      <c r="W1235" s="38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</row>
    <row r="1236" spans="1:36" ht="11.25" customHeight="1" x14ac:dyDescent="0.2">
      <c r="A1236" s="35" t="s">
        <v>27</v>
      </c>
      <c r="B1236" s="35" t="s">
        <v>22</v>
      </c>
      <c r="C1236" s="35" t="s">
        <v>23</v>
      </c>
      <c r="D1236" s="35" t="s">
        <v>24</v>
      </c>
      <c r="E1236" s="35" t="s">
        <v>31</v>
      </c>
      <c r="F1236" s="35" t="s">
        <v>25</v>
      </c>
      <c r="G1236" s="35" t="s">
        <v>25</v>
      </c>
      <c r="H1236" s="35" t="s">
        <v>25</v>
      </c>
      <c r="I1236" s="45">
        <v>44835</v>
      </c>
      <c r="J1236" s="46">
        <f>EFEITO!$J$1236*EFEITO!$Y$1110</f>
        <v>0</v>
      </c>
      <c r="K1236" s="46">
        <f ca="1">EFEITO!$L$1236*EFEITO!$Z$1372</f>
        <v>1358.0021806367968</v>
      </c>
      <c r="L1236" s="46">
        <f>EFEITO!$N$1236*EFEITO!$AA$1372</f>
        <v>745.56414139196579</v>
      </c>
      <c r="M1236" s="46">
        <f>$J$1236-EFEITO!$K$1236*EFEITO!$Y$1236</f>
        <v>0</v>
      </c>
      <c r="N1236" s="46">
        <f ca="1">$K$1236-EFEITO!$M$1236*EFEITO!$Z$1236</f>
        <v>882.70141741391785</v>
      </c>
      <c r="O1236" s="46">
        <f>$L$1236-EFEITO!$O$1236*EFEITO!$AA$1236</f>
        <v>484.61669190477784</v>
      </c>
      <c r="P1236" s="38"/>
      <c r="Q1236" s="38"/>
      <c r="R1236" s="38"/>
      <c r="S1236" s="38"/>
      <c r="T1236" s="38"/>
      <c r="U1236" s="38"/>
      <c r="V1236" s="38"/>
      <c r="W1236" s="38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</row>
    <row r="1237" spans="1:36" ht="11.25" customHeight="1" x14ac:dyDescent="0.2">
      <c r="A1237" s="35" t="s">
        <v>28</v>
      </c>
      <c r="B1237" s="35" t="s">
        <v>22</v>
      </c>
      <c r="C1237" s="35" t="s">
        <v>23</v>
      </c>
      <c r="D1237" s="35" t="s">
        <v>24</v>
      </c>
      <c r="E1237" s="35" t="s">
        <v>31</v>
      </c>
      <c r="F1237" s="35" t="s">
        <v>25</v>
      </c>
      <c r="G1237" s="35" t="s">
        <v>25</v>
      </c>
      <c r="H1237" s="35" t="s">
        <v>25</v>
      </c>
      <c r="I1237" s="45">
        <v>44835</v>
      </c>
      <c r="J1237" s="46">
        <f>EFEITO!$J$1237*EFEITO!$Y$1110</f>
        <v>0</v>
      </c>
      <c r="K1237" s="46">
        <f ca="1">EFEITO!$L$1237*EFEITO!$Z$1372</f>
        <v>283368.6678956995</v>
      </c>
      <c r="L1237" s="46">
        <f>EFEITO!$N$1237*EFEITO!$AA$1372</f>
        <v>155573.769018525</v>
      </c>
      <c r="M1237" s="46">
        <f>$J$1237-EFEITO!$K$1237*EFEITO!$Y$1237</f>
        <v>0</v>
      </c>
      <c r="N1237" s="46">
        <f ca="1">$K$1237-EFEITO!$M$1237*EFEITO!$Z$1237</f>
        <v>184189.63413220469</v>
      </c>
      <c r="O1237" s="46">
        <f>$L$1237-EFEITO!$O$1237*EFEITO!$AA$1237</f>
        <v>101122.94986204125</v>
      </c>
      <c r="P1237" s="38"/>
      <c r="Q1237" s="38"/>
      <c r="R1237" s="38"/>
      <c r="S1237" s="38"/>
      <c r="T1237" s="38"/>
      <c r="U1237" s="38"/>
      <c r="V1237" s="38"/>
      <c r="W1237" s="38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</row>
    <row r="1238" spans="1:36" ht="11.25" customHeight="1" x14ac:dyDescent="0.2">
      <c r="A1238" s="35" t="s">
        <v>29</v>
      </c>
      <c r="B1238" s="35" t="s">
        <v>22</v>
      </c>
      <c r="C1238" s="35" t="s">
        <v>23</v>
      </c>
      <c r="D1238" s="35" t="s">
        <v>24</v>
      </c>
      <c r="E1238" s="35" t="s">
        <v>31</v>
      </c>
      <c r="F1238" s="35" t="s">
        <v>25</v>
      </c>
      <c r="G1238" s="35" t="s">
        <v>25</v>
      </c>
      <c r="H1238" s="35" t="s">
        <v>25</v>
      </c>
      <c r="I1238" s="45">
        <v>44835</v>
      </c>
      <c r="J1238" s="46">
        <f>EFEITO!$J$1238*EFEITO!$Y$1110</f>
        <v>0</v>
      </c>
      <c r="K1238" s="46">
        <f ca="1">EFEITO!$L$1238*EFEITO!$Z$1372</f>
        <v>184.4563605506045</v>
      </c>
      <c r="L1238" s="46">
        <f>EFEITO!$N$1238*EFEITO!$AA$1372</f>
        <v>101.26938677941614</v>
      </c>
      <c r="M1238" s="46">
        <f>$J$1238-EFEITO!$K$1238*EFEITO!$Y$1238</f>
        <v>0</v>
      </c>
      <c r="N1238" s="46">
        <f ca="1">$K$1238-EFEITO!$M$1238*EFEITO!$Z$1238</f>
        <v>119.89663435789294</v>
      </c>
      <c r="O1238" s="46">
        <f>$L$1238-EFEITO!$O$1238*EFEITO!$AA$1238</f>
        <v>65.82510140662049</v>
      </c>
      <c r="P1238" s="38"/>
      <c r="Q1238" s="38"/>
      <c r="R1238" s="38"/>
      <c r="S1238" s="38"/>
      <c r="T1238" s="38"/>
      <c r="U1238" s="38"/>
      <c r="V1238" s="38"/>
      <c r="W1238" s="38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</row>
    <row r="1239" spans="1:36" ht="11.25" customHeight="1" x14ac:dyDescent="0.2">
      <c r="A1239" s="35" t="s">
        <v>30</v>
      </c>
      <c r="B1239" s="35" t="s">
        <v>22</v>
      </c>
      <c r="C1239" s="35" t="s">
        <v>23</v>
      </c>
      <c r="D1239" s="35" t="s">
        <v>24</v>
      </c>
      <c r="E1239" s="35" t="s">
        <v>31</v>
      </c>
      <c r="F1239" s="35" t="s">
        <v>25</v>
      </c>
      <c r="G1239" s="35" t="s">
        <v>25</v>
      </c>
      <c r="H1239" s="35" t="s">
        <v>25</v>
      </c>
      <c r="I1239" s="45">
        <v>44835</v>
      </c>
      <c r="J1239" s="46">
        <f>EFEITO!$J$1239*EFEITO!$Y$1110</f>
        <v>0</v>
      </c>
      <c r="K1239" s="46">
        <f ca="1">EFEITO!$L$1239*EFEITO!$Z$1372</f>
        <v>819.33918695598811</v>
      </c>
      <c r="L1239" s="46">
        <f>EFEITO!$N$1239*EFEITO!$AA$1372</f>
        <v>449.82985015913772</v>
      </c>
      <c r="M1239" s="46">
        <f>$J$1239-EFEITO!$K$1239*EFEITO!$Y$1239</f>
        <v>0</v>
      </c>
      <c r="N1239" s="46">
        <f ca="1">$K$1239-EFEITO!$M$1239*EFEITO!$Z$1239</f>
        <v>532.57047152139228</v>
      </c>
      <c r="O1239" s="46">
        <f>$L$1239-EFEITO!$O$1239*EFEITO!$AA$1239</f>
        <v>292.38940260343952</v>
      </c>
      <c r="P1239" s="38"/>
      <c r="Q1239" s="38"/>
      <c r="R1239" s="38"/>
      <c r="S1239" s="38"/>
      <c r="T1239" s="38"/>
      <c r="U1239" s="38"/>
      <c r="V1239" s="38"/>
      <c r="W1239" s="38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</row>
    <row r="1240" spans="1:36" ht="11.25" customHeight="1" x14ac:dyDescent="0.2">
      <c r="A1240" s="35" t="s">
        <v>59</v>
      </c>
      <c r="B1240" s="35" t="s">
        <v>22</v>
      </c>
      <c r="C1240" s="35" t="s">
        <v>23</v>
      </c>
      <c r="D1240" s="35" t="s">
        <v>24</v>
      </c>
      <c r="E1240" s="35" t="s">
        <v>31</v>
      </c>
      <c r="F1240" s="35" t="s">
        <v>25</v>
      </c>
      <c r="G1240" s="35" t="s">
        <v>25</v>
      </c>
      <c r="H1240" s="35" t="s">
        <v>25</v>
      </c>
      <c r="I1240" s="45">
        <v>44866</v>
      </c>
      <c r="J1240" s="46">
        <f>EFEITO!$J$1240*EFEITO!$Y$1110</f>
        <v>0</v>
      </c>
      <c r="K1240" s="46">
        <f ca="1">EFEITO!$L$1240*EFEITO!$Z$1372</f>
        <v>587818.30281086359</v>
      </c>
      <c r="L1240" s="46">
        <f>EFEITO!$N$1240*EFEITO!$AA$1372</f>
        <v>322721.31405868294</v>
      </c>
      <c r="M1240" s="46">
        <f>$J$1240-EFEITO!$K$1240*EFEITO!$Y$1240</f>
        <v>0</v>
      </c>
      <c r="N1240" s="46">
        <f ca="1">$K$1240-EFEITO!$M$1240*EFEITO!$Z$1240</f>
        <v>382081.89682706137</v>
      </c>
      <c r="O1240" s="46">
        <f>$L$1240-EFEITO!$O$1240*EFEITO!$AA$1240</f>
        <v>209768.85413814391</v>
      </c>
      <c r="P1240" s="38"/>
      <c r="Q1240" s="38"/>
      <c r="R1240" s="38"/>
      <c r="S1240" s="38"/>
      <c r="T1240" s="38"/>
      <c r="U1240" s="38"/>
      <c r="V1240" s="38"/>
      <c r="W1240" s="38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</row>
    <row r="1241" spans="1:36" ht="11.25" customHeight="1" x14ac:dyDescent="0.2">
      <c r="A1241" s="35" t="s">
        <v>59</v>
      </c>
      <c r="B1241" s="35" t="s">
        <v>22</v>
      </c>
      <c r="C1241" s="35" t="s">
        <v>23</v>
      </c>
      <c r="D1241" s="35" t="s">
        <v>24</v>
      </c>
      <c r="E1241" s="35" t="s">
        <v>31</v>
      </c>
      <c r="F1241" s="35" t="s">
        <v>25</v>
      </c>
      <c r="G1241" s="35" t="s">
        <v>25</v>
      </c>
      <c r="H1241" s="35" t="s">
        <v>25</v>
      </c>
      <c r="I1241" s="45">
        <v>44866</v>
      </c>
      <c r="J1241" s="46">
        <f>EFEITO!$J$1241*EFEITO!$Y$1110</f>
        <v>0</v>
      </c>
      <c r="K1241" s="46">
        <f ca="1">EFEITO!$L$1241*EFEITO!$Z$1372</f>
        <v>1358.0021806367968</v>
      </c>
      <c r="L1241" s="46">
        <f>EFEITO!$N$1241*EFEITO!$AA$1372</f>
        <v>745.56414139196579</v>
      </c>
      <c r="M1241" s="46">
        <f>$J$1241-EFEITO!$K$1241*EFEITO!$Y$1241</f>
        <v>0</v>
      </c>
      <c r="N1241" s="46">
        <f ca="1">$K$1241-EFEITO!$M$1241*EFEITO!$Z$1241</f>
        <v>882.70141741391785</v>
      </c>
      <c r="O1241" s="46">
        <f>$L$1241-EFEITO!$O$1241*EFEITO!$AA$1241</f>
        <v>484.61669190477784</v>
      </c>
      <c r="P1241" s="38"/>
      <c r="Q1241" s="38"/>
      <c r="R1241" s="38"/>
      <c r="S1241" s="38"/>
      <c r="T1241" s="38"/>
      <c r="U1241" s="38"/>
      <c r="V1241" s="38"/>
      <c r="W1241" s="38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</row>
    <row r="1242" spans="1:36" ht="11.25" customHeight="1" x14ac:dyDescent="0.2">
      <c r="A1242" s="35" t="s">
        <v>59</v>
      </c>
      <c r="B1242" s="35" t="s">
        <v>22</v>
      </c>
      <c r="C1242" s="35" t="s">
        <v>23</v>
      </c>
      <c r="D1242" s="35" t="s">
        <v>24</v>
      </c>
      <c r="E1242" s="35" t="s">
        <v>31</v>
      </c>
      <c r="F1242" s="35" t="s">
        <v>25</v>
      </c>
      <c r="G1242" s="35" t="s">
        <v>25</v>
      </c>
      <c r="H1242" s="35" t="s">
        <v>25</v>
      </c>
      <c r="I1242" s="45">
        <v>44866</v>
      </c>
      <c r="J1242" s="46">
        <f>EFEITO!$J$1242*EFEITO!$Y$1110</f>
        <v>0</v>
      </c>
      <c r="K1242" s="46">
        <f ca="1">EFEITO!$L$1242*EFEITO!$Z$1372</f>
        <v>283368.6678956995</v>
      </c>
      <c r="L1242" s="46">
        <f>EFEITO!$N$1242*EFEITO!$AA$1372</f>
        <v>155573.769018525</v>
      </c>
      <c r="M1242" s="46">
        <f>$J$1242-EFEITO!$K$1242*EFEITO!$Y$1242</f>
        <v>0</v>
      </c>
      <c r="N1242" s="46">
        <f ca="1">$K$1242-EFEITO!$M$1242*EFEITO!$Z$1242</f>
        <v>184189.63413220469</v>
      </c>
      <c r="O1242" s="46">
        <f>$L$1242-EFEITO!$O$1242*EFEITO!$AA$1242</f>
        <v>101122.94986204125</v>
      </c>
      <c r="P1242" s="38"/>
      <c r="Q1242" s="38"/>
      <c r="R1242" s="38"/>
      <c r="S1242" s="38"/>
      <c r="T1242" s="38"/>
      <c r="U1242" s="38"/>
      <c r="V1242" s="38"/>
      <c r="W1242" s="38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</row>
    <row r="1243" spans="1:36" ht="11.25" customHeight="1" x14ac:dyDescent="0.2">
      <c r="A1243" s="35" t="s">
        <v>59</v>
      </c>
      <c r="B1243" s="35" t="s">
        <v>22</v>
      </c>
      <c r="C1243" s="35" t="s">
        <v>23</v>
      </c>
      <c r="D1243" s="35" t="s">
        <v>24</v>
      </c>
      <c r="E1243" s="35" t="s">
        <v>31</v>
      </c>
      <c r="F1243" s="35" t="s">
        <v>25</v>
      </c>
      <c r="G1243" s="35" t="s">
        <v>25</v>
      </c>
      <c r="H1243" s="35" t="s">
        <v>25</v>
      </c>
      <c r="I1243" s="45">
        <v>44866</v>
      </c>
      <c r="J1243" s="46">
        <f>EFEITO!$J$1243*EFEITO!$Y$1110</f>
        <v>0</v>
      </c>
      <c r="K1243" s="46">
        <f ca="1">EFEITO!$L$1243*EFEITO!$Z$1372</f>
        <v>184.4563605506045</v>
      </c>
      <c r="L1243" s="46">
        <f>EFEITO!$N$1243*EFEITO!$AA$1372</f>
        <v>101.26938677941614</v>
      </c>
      <c r="M1243" s="46">
        <f>$J$1243-EFEITO!$K$1243*EFEITO!$Y$1243</f>
        <v>0</v>
      </c>
      <c r="N1243" s="46">
        <f ca="1">$K$1243-EFEITO!$M$1243*EFEITO!$Z$1243</f>
        <v>119.89663435789294</v>
      </c>
      <c r="O1243" s="46">
        <f>$L$1243-EFEITO!$O$1243*EFEITO!$AA$1243</f>
        <v>65.82510140662049</v>
      </c>
      <c r="P1243" s="38"/>
      <c r="Q1243" s="38"/>
      <c r="R1243" s="38"/>
      <c r="S1243" s="38"/>
      <c r="T1243" s="38"/>
      <c r="U1243" s="38"/>
      <c r="V1243" s="38"/>
      <c r="W1243" s="38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</row>
    <row r="1244" spans="1:36" ht="11.25" customHeight="1" x14ac:dyDescent="0.2">
      <c r="A1244" s="35" t="s">
        <v>59</v>
      </c>
      <c r="B1244" s="35" t="s">
        <v>22</v>
      </c>
      <c r="C1244" s="35" t="s">
        <v>23</v>
      </c>
      <c r="D1244" s="35" t="s">
        <v>24</v>
      </c>
      <c r="E1244" s="35" t="s">
        <v>31</v>
      </c>
      <c r="F1244" s="35" t="s">
        <v>25</v>
      </c>
      <c r="G1244" s="35" t="s">
        <v>25</v>
      </c>
      <c r="H1244" s="35" t="s">
        <v>25</v>
      </c>
      <c r="I1244" s="45">
        <v>44866</v>
      </c>
      <c r="J1244" s="46">
        <f>EFEITO!$J$1244*EFEITO!$Y$1110</f>
        <v>0</v>
      </c>
      <c r="K1244" s="46">
        <f ca="1">EFEITO!$L$1244*EFEITO!$Z$1372</f>
        <v>819.33918695598811</v>
      </c>
      <c r="L1244" s="46">
        <f>EFEITO!$N$1244*EFEITO!$AA$1372</f>
        <v>449.82985015913772</v>
      </c>
      <c r="M1244" s="46">
        <f>$J$1244-EFEITO!$K$1244*EFEITO!$Y$1244</f>
        <v>0</v>
      </c>
      <c r="N1244" s="46">
        <f ca="1">$K$1244-EFEITO!$M$1244*EFEITO!$Z$1244</f>
        <v>532.57047152139228</v>
      </c>
      <c r="O1244" s="46">
        <f>$L$1244-EFEITO!$O$1244*EFEITO!$AA$1244</f>
        <v>292.38940260343952</v>
      </c>
      <c r="P1244" s="38"/>
      <c r="Q1244" s="38"/>
      <c r="R1244" s="38"/>
      <c r="S1244" s="38"/>
      <c r="T1244" s="38"/>
      <c r="U1244" s="38"/>
      <c r="V1244" s="38"/>
      <c r="W1244" s="38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</row>
    <row r="1245" spans="1:36" ht="11.25" customHeight="1" x14ac:dyDescent="0.2">
      <c r="A1245" s="35" t="s">
        <v>21</v>
      </c>
      <c r="B1245" s="35" t="s">
        <v>22</v>
      </c>
      <c r="C1245" s="35" t="s">
        <v>23</v>
      </c>
      <c r="D1245" s="35" t="s">
        <v>24</v>
      </c>
      <c r="E1245" s="35" t="s">
        <v>32</v>
      </c>
      <c r="F1245" s="35" t="s">
        <v>25</v>
      </c>
      <c r="G1245" s="35" t="s">
        <v>25</v>
      </c>
      <c r="H1245" s="35" t="s">
        <v>25</v>
      </c>
      <c r="I1245" s="45">
        <v>44531</v>
      </c>
      <c r="J1245" s="46">
        <f>EFEITO!$J$1245*EFEITO!$Y$1110</f>
        <v>0</v>
      </c>
      <c r="K1245" s="46">
        <f ca="1">EFEITO!$L$1245*EFEITO!$Z$1372</f>
        <v>896594.46880709718</v>
      </c>
      <c r="L1245" s="46">
        <f>EFEITO!$N$1245*EFEITO!$AA$1372</f>
        <v>492244.19138965552</v>
      </c>
      <c r="M1245" s="46">
        <f>$J$1245-EFEITO!$K$1245*EFEITO!$Y$1245</f>
        <v>0</v>
      </c>
      <c r="N1245" s="46">
        <f ca="1">$K$1245-EFEITO!$M$1245*EFEITO!$Z$1245</f>
        <v>358637.78752283892</v>
      </c>
      <c r="O1245" s="46">
        <f>$L$1245-EFEITO!$O$1245*EFEITO!$AA$1245</f>
        <v>196897.67655586224</v>
      </c>
      <c r="P1245" s="38"/>
      <c r="Q1245" s="38"/>
      <c r="R1245" s="38"/>
      <c r="S1245" s="38"/>
      <c r="T1245" s="38"/>
      <c r="U1245" s="38"/>
      <c r="V1245" s="38"/>
      <c r="W1245" s="38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</row>
    <row r="1246" spans="1:36" ht="11.25" customHeight="1" x14ac:dyDescent="0.2">
      <c r="A1246" s="35" t="s">
        <v>27</v>
      </c>
      <c r="B1246" s="35" t="s">
        <v>22</v>
      </c>
      <c r="C1246" s="35" t="s">
        <v>23</v>
      </c>
      <c r="D1246" s="35" t="s">
        <v>24</v>
      </c>
      <c r="E1246" s="35" t="s">
        <v>32</v>
      </c>
      <c r="F1246" s="35" t="s">
        <v>25</v>
      </c>
      <c r="G1246" s="35" t="s">
        <v>25</v>
      </c>
      <c r="H1246" s="35" t="s">
        <v>25</v>
      </c>
      <c r="I1246" s="45">
        <v>44531</v>
      </c>
      <c r="J1246" s="46">
        <f>EFEITO!$J$1246*EFEITO!$Y$1110</f>
        <v>0</v>
      </c>
      <c r="K1246" s="46">
        <f ca="1">EFEITO!$L$1246*EFEITO!$Z$1372</f>
        <v>-12595.974434136724</v>
      </c>
      <c r="L1246" s="46">
        <f>EFEITO!$N$1246*EFEITO!$AA$1372</f>
        <v>-6915.384229779811</v>
      </c>
      <c r="M1246" s="46">
        <f>$J$1246-EFEITO!$K$1246*EFEITO!$Y$1246</f>
        <v>0</v>
      </c>
      <c r="N1246" s="46">
        <f ca="1">$K$1246-EFEITO!$M$1246*EFEITO!$Z$1246</f>
        <v>-5038.3897736546896</v>
      </c>
      <c r="O1246" s="46">
        <f>$L$1246-EFEITO!$O$1246*EFEITO!$AA$1246</f>
        <v>-2766.1536919119253</v>
      </c>
      <c r="P1246" s="38"/>
      <c r="Q1246" s="38"/>
      <c r="R1246" s="38"/>
      <c r="S1246" s="38"/>
      <c r="T1246" s="38"/>
      <c r="U1246" s="38"/>
      <c r="V1246" s="38"/>
      <c r="W1246" s="38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</row>
    <row r="1247" spans="1:36" ht="11.25" customHeight="1" x14ac:dyDescent="0.2">
      <c r="A1247" s="35" t="s">
        <v>28</v>
      </c>
      <c r="B1247" s="35" t="s">
        <v>22</v>
      </c>
      <c r="C1247" s="35" t="s">
        <v>23</v>
      </c>
      <c r="D1247" s="35" t="s">
        <v>24</v>
      </c>
      <c r="E1247" s="35" t="s">
        <v>32</v>
      </c>
      <c r="F1247" s="35" t="s">
        <v>25</v>
      </c>
      <c r="G1247" s="35" t="s">
        <v>25</v>
      </c>
      <c r="H1247" s="35" t="s">
        <v>25</v>
      </c>
      <c r="I1247" s="45">
        <v>44531</v>
      </c>
      <c r="J1247" s="46">
        <f>EFEITO!$J$1247*EFEITO!$Y$1110</f>
        <v>0</v>
      </c>
      <c r="K1247" s="46">
        <f ca="1">EFEITO!$L$1247*EFEITO!$Z$1372</f>
        <v>440943.56015713315</v>
      </c>
      <c r="L1247" s="46">
        <f>EFEITO!$N$1247*EFEITO!$AA$1372</f>
        <v>242084.81511915594</v>
      </c>
      <c r="M1247" s="46">
        <f>$J$1247-EFEITO!$K$1247*EFEITO!$Y$1247</f>
        <v>0</v>
      </c>
      <c r="N1247" s="46">
        <f ca="1">$K$1247-EFEITO!$M$1247*EFEITO!$Z$1247</f>
        <v>176377.42406285327</v>
      </c>
      <c r="O1247" s="46">
        <f>$L$1247-EFEITO!$O$1247*EFEITO!$AA$1247</f>
        <v>96833.926047662389</v>
      </c>
      <c r="P1247" s="38"/>
      <c r="Q1247" s="38"/>
      <c r="R1247" s="38"/>
      <c r="S1247" s="38"/>
      <c r="T1247" s="38"/>
      <c r="U1247" s="38"/>
      <c r="V1247" s="38"/>
      <c r="W1247" s="38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</row>
    <row r="1248" spans="1:36" ht="11.25" customHeight="1" x14ac:dyDescent="0.2">
      <c r="A1248" s="35" t="s">
        <v>29</v>
      </c>
      <c r="B1248" s="35" t="s">
        <v>22</v>
      </c>
      <c r="C1248" s="35" t="s">
        <v>23</v>
      </c>
      <c r="D1248" s="35" t="s">
        <v>24</v>
      </c>
      <c r="E1248" s="35" t="s">
        <v>32</v>
      </c>
      <c r="F1248" s="35" t="s">
        <v>25</v>
      </c>
      <c r="G1248" s="35" t="s">
        <v>25</v>
      </c>
      <c r="H1248" s="35" t="s">
        <v>25</v>
      </c>
      <c r="I1248" s="45">
        <v>44531</v>
      </c>
      <c r="J1248" s="46">
        <f>EFEITO!$J$1248*EFEITO!$Y$1110</f>
        <v>0</v>
      </c>
      <c r="K1248" s="46">
        <f ca="1">EFEITO!$L$1248*EFEITO!$Z$1372</f>
        <v>-760.09466112993971</v>
      </c>
      <c r="L1248" s="46">
        <f>EFEITO!$N$1248*EFEITO!$AA$1372</f>
        <v>-417.30369176301542</v>
      </c>
      <c r="M1248" s="46">
        <f>$J$1248-EFEITO!$K$1248*EFEITO!$Y$1248</f>
        <v>0</v>
      </c>
      <c r="N1248" s="46">
        <f ca="1">$K$1248-EFEITO!$M$1248*EFEITO!$Z$1248</f>
        <v>-304.03786445197591</v>
      </c>
      <c r="O1248" s="46">
        <f>$L$1248-EFEITO!$O$1248*EFEITO!$AA$1248</f>
        <v>-166.9214767052062</v>
      </c>
      <c r="P1248" s="38"/>
      <c r="Q1248" s="38"/>
      <c r="R1248" s="38"/>
      <c r="S1248" s="38"/>
      <c r="T1248" s="38"/>
      <c r="U1248" s="38"/>
      <c r="V1248" s="38"/>
      <c r="W1248" s="38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</row>
    <row r="1249" spans="1:36" ht="11.25" customHeight="1" x14ac:dyDescent="0.2">
      <c r="A1249" s="35" t="s">
        <v>30</v>
      </c>
      <c r="B1249" s="35" t="s">
        <v>22</v>
      </c>
      <c r="C1249" s="35" t="s">
        <v>23</v>
      </c>
      <c r="D1249" s="35" t="s">
        <v>24</v>
      </c>
      <c r="E1249" s="35" t="s">
        <v>32</v>
      </c>
      <c r="F1249" s="35" t="s">
        <v>25</v>
      </c>
      <c r="G1249" s="35" t="s">
        <v>25</v>
      </c>
      <c r="H1249" s="35" t="s">
        <v>25</v>
      </c>
      <c r="I1249" s="45">
        <v>44531</v>
      </c>
      <c r="J1249" s="46">
        <f>EFEITO!$J$1249*EFEITO!$Y$1110</f>
        <v>0</v>
      </c>
      <c r="K1249" s="46">
        <f ca="1">EFEITO!$L$1249*EFEITO!$Z$1372</f>
        <v>613.45395536191927</v>
      </c>
      <c r="L1249" s="46">
        <f>EFEITO!$N$1249*EFEITO!$AA$1372</f>
        <v>336.79568268325181</v>
      </c>
      <c r="M1249" s="46">
        <f>$J$1249-EFEITO!$K$1249*EFEITO!$Y$1249</f>
        <v>0</v>
      </c>
      <c r="N1249" s="46">
        <f ca="1">$K$1249-EFEITO!$M$1249*EFEITO!$Z$1249</f>
        <v>245.38158214476772</v>
      </c>
      <c r="O1249" s="46">
        <f>$L$1249-EFEITO!$O$1249*EFEITO!$AA$1249</f>
        <v>134.71827307330074</v>
      </c>
      <c r="P1249" s="38"/>
      <c r="Q1249" s="38"/>
      <c r="R1249" s="38"/>
      <c r="S1249" s="38"/>
      <c r="T1249" s="38"/>
      <c r="U1249" s="38"/>
      <c r="V1249" s="38"/>
      <c r="W1249" s="38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</row>
    <row r="1250" spans="1:36" ht="11.25" customHeight="1" x14ac:dyDescent="0.2">
      <c r="A1250" s="35" t="s">
        <v>30</v>
      </c>
      <c r="B1250" s="35" t="s">
        <v>22</v>
      </c>
      <c r="C1250" s="35" t="s">
        <v>23</v>
      </c>
      <c r="D1250" s="35" t="s">
        <v>24</v>
      </c>
      <c r="E1250" s="35" t="s">
        <v>32</v>
      </c>
      <c r="F1250" s="35" t="s">
        <v>25</v>
      </c>
      <c r="G1250" s="35" t="s">
        <v>25</v>
      </c>
      <c r="H1250" s="35" t="s">
        <v>25</v>
      </c>
      <c r="I1250" s="45">
        <v>44531</v>
      </c>
      <c r="J1250" s="46">
        <f>EFEITO!$J$1250*EFEITO!$Y$1110</f>
        <v>0</v>
      </c>
      <c r="K1250" s="46">
        <f ca="1">EFEITO!$L$1250*EFEITO!$Z$1372</f>
        <v>-29.412175942009831</v>
      </c>
      <c r="L1250" s="46">
        <f>EFEITO!$N$1250*EFEITO!$AA$1372</f>
        <v>-16.147738210840842</v>
      </c>
      <c r="M1250" s="46">
        <f>$J$1250-EFEITO!$K$1250*EFEITO!$Y$1250</f>
        <v>0</v>
      </c>
      <c r="N1250" s="46">
        <f ca="1">$K$1250-EFEITO!$M$1250*EFEITO!$Z$1250</f>
        <v>-11.764870376803934</v>
      </c>
      <c r="O1250" s="46">
        <f>$L$1250-EFEITO!$O$1250*EFEITO!$AA$1250</f>
        <v>-6.4590952843363372</v>
      </c>
      <c r="P1250" s="38"/>
      <c r="Q1250" s="38"/>
      <c r="R1250" s="38"/>
      <c r="S1250" s="38"/>
      <c r="T1250" s="38"/>
      <c r="U1250" s="38"/>
      <c r="V1250" s="38"/>
      <c r="W1250" s="38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</row>
    <row r="1251" spans="1:36" ht="11.25" customHeight="1" x14ac:dyDescent="0.2">
      <c r="A1251" s="35" t="s">
        <v>21</v>
      </c>
      <c r="B1251" s="35" t="s">
        <v>22</v>
      </c>
      <c r="C1251" s="35" t="s">
        <v>23</v>
      </c>
      <c r="D1251" s="35" t="s">
        <v>24</v>
      </c>
      <c r="E1251" s="35" t="s">
        <v>32</v>
      </c>
      <c r="F1251" s="35" t="s">
        <v>25</v>
      </c>
      <c r="G1251" s="35" t="s">
        <v>25</v>
      </c>
      <c r="H1251" s="35" t="s">
        <v>25</v>
      </c>
      <c r="I1251" s="45">
        <v>44562</v>
      </c>
      <c r="J1251" s="46">
        <f>EFEITO!$J$1251*EFEITO!$Y$1110</f>
        <v>0</v>
      </c>
      <c r="K1251" s="46">
        <f ca="1">EFEITO!$L$1251*EFEITO!$Z$1372</f>
        <v>907421.09077135101</v>
      </c>
      <c r="L1251" s="46">
        <f>EFEITO!$N$1251*EFEITO!$AA$1372</f>
        <v>498188.17382506613</v>
      </c>
      <c r="M1251" s="46">
        <f>$J$1251-EFEITO!$K$1251*EFEITO!$Y$1251</f>
        <v>0</v>
      </c>
      <c r="N1251" s="46">
        <f ca="1">$K$1251-EFEITO!$M$1251*EFEITO!$Z$1251</f>
        <v>362968.4363085404</v>
      </c>
      <c r="O1251" s="46">
        <f>$L$1251-EFEITO!$O$1251*EFEITO!$AA$1251</f>
        <v>199275.26953002647</v>
      </c>
      <c r="P1251" s="38"/>
      <c r="Q1251" s="38"/>
      <c r="R1251" s="38"/>
      <c r="S1251" s="38"/>
      <c r="T1251" s="38"/>
      <c r="U1251" s="38"/>
      <c r="V1251" s="38"/>
      <c r="W1251" s="38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</row>
    <row r="1252" spans="1:36" ht="11.25" customHeight="1" x14ac:dyDescent="0.2">
      <c r="A1252" s="35" t="s">
        <v>27</v>
      </c>
      <c r="B1252" s="35" t="s">
        <v>22</v>
      </c>
      <c r="C1252" s="35" t="s">
        <v>23</v>
      </c>
      <c r="D1252" s="35" t="s">
        <v>24</v>
      </c>
      <c r="E1252" s="35" t="s">
        <v>32</v>
      </c>
      <c r="F1252" s="35" t="s">
        <v>25</v>
      </c>
      <c r="G1252" s="35" t="s">
        <v>25</v>
      </c>
      <c r="H1252" s="35" t="s">
        <v>25</v>
      </c>
      <c r="I1252" s="45">
        <v>44562</v>
      </c>
      <c r="J1252" s="46">
        <f>EFEITO!$J$1252*EFEITO!$Y$1110</f>
        <v>0</v>
      </c>
      <c r="K1252" s="46">
        <f ca="1">EFEITO!$L$1252*EFEITO!$Z$1372</f>
        <v>-4791.6636348954298</v>
      </c>
      <c r="L1252" s="46">
        <f>EFEITO!$N$1252*EFEITO!$AA$1372</f>
        <v>-2630.6972365204138</v>
      </c>
      <c r="M1252" s="46">
        <f>$J$1252-EFEITO!$K$1252*EFEITO!$Y$1252</f>
        <v>0</v>
      </c>
      <c r="N1252" s="46">
        <f ca="1">$K$1252-EFEITO!$M$1252*EFEITO!$Z$1252</f>
        <v>-1916.6654539581718</v>
      </c>
      <c r="O1252" s="46">
        <f>$L$1252-EFEITO!$O$1252*EFEITO!$AA$1252</f>
        <v>-1052.2788946081657</v>
      </c>
      <c r="P1252" s="38"/>
      <c r="Q1252" s="38"/>
      <c r="R1252" s="38"/>
      <c r="S1252" s="38"/>
      <c r="T1252" s="38"/>
      <c r="U1252" s="38"/>
      <c r="V1252" s="38"/>
      <c r="W1252" s="38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</row>
    <row r="1253" spans="1:36" ht="11.25" customHeight="1" x14ac:dyDescent="0.2">
      <c r="A1253" s="35" t="s">
        <v>28</v>
      </c>
      <c r="B1253" s="35" t="s">
        <v>22</v>
      </c>
      <c r="C1253" s="35" t="s">
        <v>23</v>
      </c>
      <c r="D1253" s="35" t="s">
        <v>24</v>
      </c>
      <c r="E1253" s="35" t="s">
        <v>32</v>
      </c>
      <c r="F1253" s="35" t="s">
        <v>25</v>
      </c>
      <c r="G1253" s="35" t="s">
        <v>25</v>
      </c>
      <c r="H1253" s="35" t="s">
        <v>25</v>
      </c>
      <c r="I1253" s="45">
        <v>44562</v>
      </c>
      <c r="J1253" s="46">
        <f>EFEITO!$J$1253*EFEITO!$Y$1110</f>
        <v>0</v>
      </c>
      <c r="K1253" s="46">
        <f ca="1">EFEITO!$L$1253*EFEITO!$Z$1372</f>
        <v>445689.00465840532</v>
      </c>
      <c r="L1253" s="46">
        <f>EFEITO!$N$1253*EFEITO!$AA$1372</f>
        <v>244690.13733848787</v>
      </c>
      <c r="M1253" s="46">
        <f>$J$1253-EFEITO!$K$1253*EFEITO!$Y$1253</f>
        <v>0</v>
      </c>
      <c r="N1253" s="46">
        <f ca="1">$K$1253-EFEITO!$M$1253*EFEITO!$Z$1253</f>
        <v>178275.60186336213</v>
      </c>
      <c r="O1253" s="46">
        <f>$L$1253-EFEITO!$O$1253*EFEITO!$AA$1253</f>
        <v>97876.054935395165</v>
      </c>
      <c r="P1253" s="38"/>
      <c r="Q1253" s="38"/>
      <c r="R1253" s="38"/>
      <c r="S1253" s="38"/>
      <c r="T1253" s="38"/>
      <c r="U1253" s="38"/>
      <c r="V1253" s="38"/>
      <c r="W1253" s="38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</row>
    <row r="1254" spans="1:36" ht="11.25" customHeight="1" x14ac:dyDescent="0.2">
      <c r="A1254" s="35" t="s">
        <v>29</v>
      </c>
      <c r="B1254" s="35" t="s">
        <v>22</v>
      </c>
      <c r="C1254" s="35" t="s">
        <v>23</v>
      </c>
      <c r="D1254" s="35" t="s">
        <v>24</v>
      </c>
      <c r="E1254" s="35" t="s">
        <v>32</v>
      </c>
      <c r="F1254" s="35" t="s">
        <v>25</v>
      </c>
      <c r="G1254" s="35" t="s">
        <v>25</v>
      </c>
      <c r="H1254" s="35" t="s">
        <v>25</v>
      </c>
      <c r="I1254" s="45">
        <v>44562</v>
      </c>
      <c r="J1254" s="46">
        <f>EFEITO!$J$1254*EFEITO!$Y$1110</f>
        <v>0</v>
      </c>
      <c r="K1254" s="46">
        <f ca="1">EFEITO!$L$1254*EFEITO!$Z$1372</f>
        <v>-1015.9805918254253</v>
      </c>
      <c r="L1254" s="46">
        <f>EFEITO!$N$1254*EFEITO!$AA$1372</f>
        <v>-557.78901419733086</v>
      </c>
      <c r="M1254" s="46">
        <f>$J$1254-EFEITO!$K$1254*EFEITO!$Y$1254</f>
        <v>0</v>
      </c>
      <c r="N1254" s="46">
        <f ca="1">$K$1254-EFEITO!$M$1254*EFEITO!$Z$1254</f>
        <v>-406.39223673017023</v>
      </c>
      <c r="O1254" s="46">
        <f>$L$1254-EFEITO!$O$1254*EFEITO!$AA$1254</f>
        <v>-223.11560567893241</v>
      </c>
      <c r="P1254" s="38"/>
      <c r="Q1254" s="38"/>
      <c r="R1254" s="38"/>
      <c r="S1254" s="38"/>
      <c r="T1254" s="38"/>
      <c r="U1254" s="38"/>
      <c r="V1254" s="38"/>
      <c r="W1254" s="38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</row>
    <row r="1255" spans="1:36" ht="11.25" customHeight="1" x14ac:dyDescent="0.2">
      <c r="A1255" s="35" t="s">
        <v>30</v>
      </c>
      <c r="B1255" s="35" t="s">
        <v>22</v>
      </c>
      <c r="C1255" s="35" t="s">
        <v>23</v>
      </c>
      <c r="D1255" s="35" t="s">
        <v>24</v>
      </c>
      <c r="E1255" s="35" t="s">
        <v>32</v>
      </c>
      <c r="F1255" s="35" t="s">
        <v>25</v>
      </c>
      <c r="G1255" s="35" t="s">
        <v>25</v>
      </c>
      <c r="H1255" s="35" t="s">
        <v>25</v>
      </c>
      <c r="I1255" s="45">
        <v>44562</v>
      </c>
      <c r="J1255" s="46">
        <f>EFEITO!$J$1255*EFEITO!$Y$1110</f>
        <v>0</v>
      </c>
      <c r="K1255" s="46">
        <f ca="1">EFEITO!$L$1255*EFEITO!$Z$1372</f>
        <v>639.92491370972812</v>
      </c>
      <c r="L1255" s="46">
        <f>EFEITO!$N$1255*EFEITO!$AA$1372</f>
        <v>351.32864707300854</v>
      </c>
      <c r="M1255" s="46">
        <f>$J$1255-EFEITO!$K$1255*EFEITO!$Y$1255</f>
        <v>0</v>
      </c>
      <c r="N1255" s="46">
        <f ca="1">$K$1255-EFEITO!$M$1255*EFEITO!$Z$1255</f>
        <v>255.96996548389126</v>
      </c>
      <c r="O1255" s="46">
        <f>$L$1255-EFEITO!$O$1255*EFEITO!$AA$1255</f>
        <v>140.53145882920342</v>
      </c>
      <c r="P1255" s="38"/>
      <c r="Q1255" s="38"/>
      <c r="R1255" s="38"/>
      <c r="S1255" s="38"/>
      <c r="T1255" s="38"/>
      <c r="U1255" s="38"/>
      <c r="V1255" s="38"/>
      <c r="W1255" s="38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</row>
    <row r="1256" spans="1:36" ht="11.25" customHeight="1" x14ac:dyDescent="0.2">
      <c r="A1256" s="35" t="s">
        <v>30</v>
      </c>
      <c r="B1256" s="35" t="s">
        <v>22</v>
      </c>
      <c r="C1256" s="35" t="s">
        <v>23</v>
      </c>
      <c r="D1256" s="35" t="s">
        <v>24</v>
      </c>
      <c r="E1256" s="35" t="s">
        <v>32</v>
      </c>
      <c r="F1256" s="35" t="s">
        <v>25</v>
      </c>
      <c r="G1256" s="35" t="s">
        <v>25</v>
      </c>
      <c r="H1256" s="35" t="s">
        <v>25</v>
      </c>
      <c r="I1256" s="45">
        <v>44562</v>
      </c>
      <c r="J1256" s="46">
        <f>EFEITO!$J$1256*EFEITO!$Y$1110</f>
        <v>0</v>
      </c>
      <c r="K1256" s="46">
        <f ca="1">EFEITO!$L$1256*EFEITO!$Z$1372</f>
        <v>-29.412175942009831</v>
      </c>
      <c r="L1256" s="46">
        <f>EFEITO!$N$1256*EFEITO!$AA$1372</f>
        <v>-16.147738210840842</v>
      </c>
      <c r="M1256" s="46">
        <f>$J$1256-EFEITO!$K$1256*EFEITO!$Y$1256</f>
        <v>0</v>
      </c>
      <c r="N1256" s="46">
        <f ca="1">$K$1256-EFEITO!$M$1256*EFEITO!$Z$1256</f>
        <v>-11.764870376803934</v>
      </c>
      <c r="O1256" s="46">
        <f>$L$1256-EFEITO!$O$1256*EFEITO!$AA$1256</f>
        <v>-6.4590952843363372</v>
      </c>
      <c r="P1256" s="38"/>
      <c r="Q1256" s="38"/>
      <c r="R1256" s="38"/>
      <c r="S1256" s="38"/>
      <c r="T1256" s="38"/>
      <c r="U1256" s="38"/>
      <c r="V1256" s="38"/>
      <c r="W1256" s="38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</row>
    <row r="1257" spans="1:36" ht="11.25" customHeight="1" x14ac:dyDescent="0.2">
      <c r="A1257" s="35" t="s">
        <v>21</v>
      </c>
      <c r="B1257" s="35" t="s">
        <v>22</v>
      </c>
      <c r="C1257" s="35" t="s">
        <v>23</v>
      </c>
      <c r="D1257" s="35" t="s">
        <v>24</v>
      </c>
      <c r="E1257" s="35" t="s">
        <v>32</v>
      </c>
      <c r="F1257" s="35" t="s">
        <v>25</v>
      </c>
      <c r="G1257" s="35" t="s">
        <v>25</v>
      </c>
      <c r="H1257" s="35" t="s">
        <v>25</v>
      </c>
      <c r="I1257" s="45">
        <v>44593</v>
      </c>
      <c r="J1257" s="46">
        <f>EFEITO!$J$1257*EFEITO!$Y$1110</f>
        <v>0</v>
      </c>
      <c r="K1257" s="46">
        <f ca="1">EFEITO!$L$1257*EFEITO!$Z$1372</f>
        <v>967229.91020154394</v>
      </c>
      <c r="L1257" s="46">
        <f>EFEITO!$N$1257*EFEITO!$AA$1372</f>
        <v>531024.13811286201</v>
      </c>
      <c r="M1257" s="46">
        <f>$J$1257-EFEITO!$K$1257*EFEITO!$Y$1257</f>
        <v>0</v>
      </c>
      <c r="N1257" s="46">
        <f ca="1">$K$1257-EFEITO!$M$1257*EFEITO!$Z$1257</f>
        <v>386891.96408061765</v>
      </c>
      <c r="O1257" s="46">
        <f>$L$1257-EFEITO!$O$1257*EFEITO!$AA$1257</f>
        <v>212409.65524514479</v>
      </c>
      <c r="P1257" s="38"/>
      <c r="Q1257" s="38"/>
      <c r="R1257" s="38"/>
      <c r="S1257" s="38"/>
      <c r="T1257" s="38"/>
      <c r="U1257" s="38"/>
      <c r="V1257" s="38"/>
      <c r="W1257" s="38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</row>
    <row r="1258" spans="1:36" ht="11.25" customHeight="1" x14ac:dyDescent="0.2">
      <c r="A1258" s="35" t="s">
        <v>27</v>
      </c>
      <c r="B1258" s="35" t="s">
        <v>22</v>
      </c>
      <c r="C1258" s="35" t="s">
        <v>23</v>
      </c>
      <c r="D1258" s="35" t="s">
        <v>24</v>
      </c>
      <c r="E1258" s="35" t="s">
        <v>32</v>
      </c>
      <c r="F1258" s="35" t="s">
        <v>25</v>
      </c>
      <c r="G1258" s="35" t="s">
        <v>25</v>
      </c>
      <c r="H1258" s="35" t="s">
        <v>25</v>
      </c>
      <c r="I1258" s="45">
        <v>44593</v>
      </c>
      <c r="J1258" s="46">
        <f>EFEITO!$J$1258*EFEITO!$Y$1110</f>
        <v>0</v>
      </c>
      <c r="K1258" s="46">
        <f ca="1">EFEITO!$L$1258*EFEITO!$Z$1372</f>
        <v>-4971.9182560257477</v>
      </c>
      <c r="L1258" s="46">
        <f>EFEITO!$N$1258*EFEITO!$AA$1372</f>
        <v>-2729.6598035554239</v>
      </c>
      <c r="M1258" s="46">
        <f>$J$1258-EFEITO!$K$1258*EFEITO!$Y$1258</f>
        <v>0</v>
      </c>
      <c r="N1258" s="46">
        <f ca="1">$K$1258-EFEITO!$M$1258*EFEITO!$Z$1258</f>
        <v>-1988.7673024102996</v>
      </c>
      <c r="O1258" s="46">
        <f>$L$1258-EFEITO!$O$1258*EFEITO!$AA$1258</f>
        <v>-1091.8639214221696</v>
      </c>
      <c r="P1258" s="38"/>
      <c r="Q1258" s="38"/>
      <c r="R1258" s="38"/>
      <c r="S1258" s="38"/>
      <c r="T1258" s="38"/>
      <c r="U1258" s="38"/>
      <c r="V1258" s="38"/>
      <c r="W1258" s="38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</row>
    <row r="1259" spans="1:36" ht="11.25" customHeight="1" x14ac:dyDescent="0.2">
      <c r="A1259" s="35" t="s">
        <v>28</v>
      </c>
      <c r="B1259" s="35" t="s">
        <v>22</v>
      </c>
      <c r="C1259" s="35" t="s">
        <v>23</v>
      </c>
      <c r="D1259" s="35" t="s">
        <v>24</v>
      </c>
      <c r="E1259" s="35" t="s">
        <v>32</v>
      </c>
      <c r="F1259" s="35" t="s">
        <v>25</v>
      </c>
      <c r="G1259" s="35" t="s">
        <v>25</v>
      </c>
      <c r="H1259" s="35" t="s">
        <v>25</v>
      </c>
      <c r="I1259" s="45">
        <v>44593</v>
      </c>
      <c r="J1259" s="46">
        <f>EFEITO!$J$1259*EFEITO!$Y$1110</f>
        <v>0</v>
      </c>
      <c r="K1259" s="46">
        <f ca="1">EFEITO!$L$1259*EFEITO!$Z$1372</f>
        <v>449826.45746556204</v>
      </c>
      <c r="L1259" s="46">
        <f>EFEITO!$N$1259*EFEITO!$AA$1372</f>
        <v>246961.66274080428</v>
      </c>
      <c r="M1259" s="46">
        <f>$J$1259-EFEITO!$K$1259*EFEITO!$Y$1259</f>
        <v>0</v>
      </c>
      <c r="N1259" s="46">
        <f ca="1">$K$1259-EFEITO!$M$1259*EFEITO!$Z$1259</f>
        <v>179930.58298622479</v>
      </c>
      <c r="O1259" s="46">
        <f>$L$1259-EFEITO!$O$1259*EFEITO!$AA$1259</f>
        <v>98784.665096321725</v>
      </c>
      <c r="P1259" s="38"/>
      <c r="Q1259" s="38"/>
      <c r="R1259" s="38"/>
      <c r="S1259" s="38"/>
      <c r="T1259" s="38"/>
      <c r="U1259" s="38"/>
      <c r="V1259" s="38"/>
      <c r="W1259" s="38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</row>
    <row r="1260" spans="1:36" ht="11.25" customHeight="1" x14ac:dyDescent="0.2">
      <c r="A1260" s="35" t="s">
        <v>29</v>
      </c>
      <c r="B1260" s="35" t="s">
        <v>22</v>
      </c>
      <c r="C1260" s="35" t="s">
        <v>23</v>
      </c>
      <c r="D1260" s="35" t="s">
        <v>24</v>
      </c>
      <c r="E1260" s="35" t="s">
        <v>32</v>
      </c>
      <c r="F1260" s="35" t="s">
        <v>25</v>
      </c>
      <c r="G1260" s="35" t="s">
        <v>25</v>
      </c>
      <c r="H1260" s="35" t="s">
        <v>25</v>
      </c>
      <c r="I1260" s="45">
        <v>44593</v>
      </c>
      <c r="J1260" s="46">
        <f>EFEITO!$J$1260*EFEITO!$Y$1110</f>
        <v>0</v>
      </c>
      <c r="K1260" s="46">
        <f ca="1">EFEITO!$L$1260*EFEITO!$Z$1372</f>
        <v>-723.95970211547058</v>
      </c>
      <c r="L1260" s="46">
        <f>EFEITO!$N$1260*EFEITO!$AA$1372</f>
        <v>-397.46504196112528</v>
      </c>
      <c r="M1260" s="46">
        <f>$J$1260-EFEITO!$K$1260*EFEITO!$Y$1260</f>
        <v>0</v>
      </c>
      <c r="N1260" s="46">
        <f ca="1">$K$1260-EFEITO!$M$1260*EFEITO!$Z$1260</f>
        <v>-289.58388084618826</v>
      </c>
      <c r="O1260" s="46">
        <f>$L$1260-EFEITO!$O$1260*EFEITO!$AA$1260</f>
        <v>-158.98601678445013</v>
      </c>
      <c r="P1260" s="38"/>
      <c r="Q1260" s="38"/>
      <c r="R1260" s="38"/>
      <c r="S1260" s="38"/>
      <c r="T1260" s="38"/>
      <c r="U1260" s="38"/>
      <c r="V1260" s="38"/>
      <c r="W1260" s="38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</row>
    <row r="1261" spans="1:36" ht="11.25" customHeight="1" x14ac:dyDescent="0.2">
      <c r="A1261" s="35" t="s">
        <v>30</v>
      </c>
      <c r="B1261" s="35" t="s">
        <v>22</v>
      </c>
      <c r="C1261" s="35" t="s">
        <v>23</v>
      </c>
      <c r="D1261" s="35" t="s">
        <v>24</v>
      </c>
      <c r="E1261" s="35" t="s">
        <v>32</v>
      </c>
      <c r="F1261" s="35" t="s">
        <v>25</v>
      </c>
      <c r="G1261" s="35" t="s">
        <v>25</v>
      </c>
      <c r="H1261" s="35" t="s">
        <v>25</v>
      </c>
      <c r="I1261" s="45">
        <v>44593</v>
      </c>
      <c r="J1261" s="46">
        <f>EFEITO!$J$1261*EFEITO!$Y$1110</f>
        <v>0</v>
      </c>
      <c r="K1261" s="46">
        <f ca="1">EFEITO!$L$1261*EFEITO!$Z$1372</f>
        <v>675.21952484013991</v>
      </c>
      <c r="L1261" s="46">
        <f>EFEITO!$N$1261*EFEITO!$AA$1372</f>
        <v>370.70593292601757</v>
      </c>
      <c r="M1261" s="46">
        <f>$J$1261-EFEITO!$K$1261*EFEITO!$Y$1261</f>
        <v>0</v>
      </c>
      <c r="N1261" s="46">
        <f ca="1">$K$1261-EFEITO!$M$1261*EFEITO!$Z$1261</f>
        <v>270.08780993605598</v>
      </c>
      <c r="O1261" s="46">
        <f>$L$1261-EFEITO!$O$1261*EFEITO!$AA$1261</f>
        <v>148.28237317040703</v>
      </c>
      <c r="P1261" s="38"/>
      <c r="Q1261" s="38"/>
      <c r="R1261" s="38"/>
      <c r="S1261" s="38"/>
      <c r="T1261" s="38"/>
      <c r="U1261" s="38"/>
      <c r="V1261" s="38"/>
      <c r="W1261" s="38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</row>
    <row r="1262" spans="1:36" ht="11.25" customHeight="1" x14ac:dyDescent="0.2">
      <c r="A1262" s="35" t="s">
        <v>30</v>
      </c>
      <c r="B1262" s="35" t="s">
        <v>22</v>
      </c>
      <c r="C1262" s="35" t="s">
        <v>23</v>
      </c>
      <c r="D1262" s="35" t="s">
        <v>24</v>
      </c>
      <c r="E1262" s="35" t="s">
        <v>32</v>
      </c>
      <c r="F1262" s="35" t="s">
        <v>25</v>
      </c>
      <c r="G1262" s="35" t="s">
        <v>25</v>
      </c>
      <c r="H1262" s="35" t="s">
        <v>25</v>
      </c>
      <c r="I1262" s="45">
        <v>44593</v>
      </c>
      <c r="J1262" s="46">
        <f>EFEITO!$J$1262*EFEITO!$Y$1110</f>
        <v>0</v>
      </c>
      <c r="K1262" s="46">
        <f ca="1">EFEITO!$L$1262*EFEITO!$Z$1372</f>
        <v>-29.412175942009831</v>
      </c>
      <c r="L1262" s="46">
        <f>EFEITO!$N$1262*EFEITO!$AA$1372</f>
        <v>-16.147738210840842</v>
      </c>
      <c r="M1262" s="46">
        <f>$J$1262-EFEITO!$K$1262*EFEITO!$Y$1262</f>
        <v>0</v>
      </c>
      <c r="N1262" s="46">
        <f ca="1">$K$1262-EFEITO!$M$1262*EFEITO!$Z$1262</f>
        <v>-11.764870376803934</v>
      </c>
      <c r="O1262" s="46">
        <f>$L$1262-EFEITO!$O$1262*EFEITO!$AA$1262</f>
        <v>-6.4590952843363372</v>
      </c>
      <c r="P1262" s="38"/>
      <c r="Q1262" s="38"/>
      <c r="R1262" s="38"/>
      <c r="S1262" s="38"/>
      <c r="T1262" s="38"/>
      <c r="U1262" s="38"/>
      <c r="V1262" s="38"/>
      <c r="W1262" s="38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</row>
    <row r="1263" spans="1:36" ht="11.25" customHeight="1" x14ac:dyDescent="0.2">
      <c r="A1263" s="35" t="s">
        <v>21</v>
      </c>
      <c r="B1263" s="35" t="s">
        <v>22</v>
      </c>
      <c r="C1263" s="35" t="s">
        <v>23</v>
      </c>
      <c r="D1263" s="35" t="s">
        <v>24</v>
      </c>
      <c r="E1263" s="35" t="s">
        <v>32</v>
      </c>
      <c r="F1263" s="35" t="s">
        <v>25</v>
      </c>
      <c r="G1263" s="35" t="s">
        <v>25</v>
      </c>
      <c r="H1263" s="35" t="s">
        <v>25</v>
      </c>
      <c r="I1263" s="45">
        <v>44621</v>
      </c>
      <c r="J1263" s="46">
        <f>EFEITO!$J$1263*EFEITO!$Y$1110</f>
        <v>0</v>
      </c>
      <c r="K1263" s="46">
        <f ca="1">EFEITO!$L$1263*EFEITO!$Z$1372</f>
        <v>1021471.8450737984</v>
      </c>
      <c r="L1263" s="46">
        <f>EFEITO!$N$1263*EFEITO!$AA$1372</f>
        <v>560803.79692129476</v>
      </c>
      <c r="M1263" s="46">
        <f>$J$1263-EFEITO!$K$1263*EFEITO!$Y$1263</f>
        <v>0</v>
      </c>
      <c r="N1263" s="46">
        <f ca="1">$K$1263-EFEITO!$M$1263*EFEITO!$Z$1263</f>
        <v>408588.73802951933</v>
      </c>
      <c r="O1263" s="46">
        <f>$L$1263-EFEITO!$O$1263*EFEITO!$AA$1263</f>
        <v>224321.51876851794</v>
      </c>
      <c r="P1263" s="38"/>
      <c r="Q1263" s="38"/>
      <c r="R1263" s="38"/>
      <c r="S1263" s="38"/>
      <c r="T1263" s="38"/>
      <c r="U1263" s="38"/>
      <c r="V1263" s="38"/>
      <c r="W1263" s="38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</row>
    <row r="1264" spans="1:36" ht="11.25" customHeight="1" x14ac:dyDescent="0.2">
      <c r="A1264" s="35" t="s">
        <v>27</v>
      </c>
      <c r="B1264" s="35" t="s">
        <v>22</v>
      </c>
      <c r="C1264" s="35" t="s">
        <v>23</v>
      </c>
      <c r="D1264" s="35" t="s">
        <v>24</v>
      </c>
      <c r="E1264" s="35" t="s">
        <v>32</v>
      </c>
      <c r="F1264" s="35" t="s">
        <v>25</v>
      </c>
      <c r="G1264" s="35" t="s">
        <v>25</v>
      </c>
      <c r="H1264" s="35" t="s">
        <v>25</v>
      </c>
      <c r="I1264" s="45">
        <v>44621</v>
      </c>
      <c r="J1264" s="46">
        <f>EFEITO!$J$1264*EFEITO!$Y$1110</f>
        <v>0</v>
      </c>
      <c r="K1264" s="46">
        <f ca="1">EFEITO!$L$1264*EFEITO!$Z$1372</f>
        <v>-7581.1984360240476</v>
      </c>
      <c r="L1264" s="46">
        <f>EFEITO!$N$1264*EFEITO!$AA$1372</f>
        <v>-4162.1948648314474</v>
      </c>
      <c r="M1264" s="46">
        <f>$J$1264-EFEITO!$K$1264*EFEITO!$Y$1264</f>
        <v>0</v>
      </c>
      <c r="N1264" s="46">
        <f ca="1">$K$1264-EFEITO!$M$1264*EFEITO!$Z$1264</f>
        <v>-3032.4793744096196</v>
      </c>
      <c r="O1264" s="46">
        <f>$L$1264-EFEITO!$O$1264*EFEITO!$AA$1264</f>
        <v>-1664.8779459325797</v>
      </c>
      <c r="P1264" s="38"/>
      <c r="Q1264" s="38"/>
      <c r="R1264" s="38"/>
      <c r="S1264" s="38"/>
      <c r="T1264" s="38"/>
      <c r="U1264" s="38"/>
      <c r="V1264" s="38"/>
      <c r="W1264" s="38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</row>
    <row r="1265" spans="1:36" ht="11.25" customHeight="1" x14ac:dyDescent="0.2">
      <c r="A1265" s="35" t="s">
        <v>28</v>
      </c>
      <c r="B1265" s="35" t="s">
        <v>22</v>
      </c>
      <c r="C1265" s="35" t="s">
        <v>23</v>
      </c>
      <c r="D1265" s="35" t="s">
        <v>24</v>
      </c>
      <c r="E1265" s="35" t="s">
        <v>32</v>
      </c>
      <c r="F1265" s="35" t="s">
        <v>25</v>
      </c>
      <c r="G1265" s="35" t="s">
        <v>25</v>
      </c>
      <c r="H1265" s="35" t="s">
        <v>25</v>
      </c>
      <c r="I1265" s="45">
        <v>44621</v>
      </c>
      <c r="J1265" s="46">
        <f>EFEITO!$J$1265*EFEITO!$Y$1110</f>
        <v>0</v>
      </c>
      <c r="K1265" s="46">
        <f ca="1">EFEITO!$L$1265*EFEITO!$Z$1372</f>
        <v>462534.1981682785</v>
      </c>
      <c r="L1265" s="46">
        <f>EFEITO!$N$1265*EFEITO!$AA$1372</f>
        <v>253938.40837578531</v>
      </c>
      <c r="M1265" s="46">
        <f>$J$1265-EFEITO!$K$1265*EFEITO!$Y$1265</f>
        <v>0</v>
      </c>
      <c r="N1265" s="46">
        <f ca="1">$K$1265-EFEITO!$M$1265*EFEITO!$Z$1265</f>
        <v>185013.67926731141</v>
      </c>
      <c r="O1265" s="46">
        <f>$L$1265-EFEITO!$O$1265*EFEITO!$AA$1265</f>
        <v>101575.36335031415</v>
      </c>
      <c r="P1265" s="38"/>
      <c r="Q1265" s="38"/>
      <c r="R1265" s="38"/>
      <c r="S1265" s="38"/>
      <c r="T1265" s="38"/>
      <c r="U1265" s="38"/>
      <c r="V1265" s="38"/>
      <c r="W1265" s="38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</row>
    <row r="1266" spans="1:36" ht="11.25" customHeight="1" x14ac:dyDescent="0.2">
      <c r="A1266" s="35" t="s">
        <v>29</v>
      </c>
      <c r="B1266" s="35" t="s">
        <v>22</v>
      </c>
      <c r="C1266" s="35" t="s">
        <v>23</v>
      </c>
      <c r="D1266" s="35" t="s">
        <v>24</v>
      </c>
      <c r="E1266" s="35" t="s">
        <v>32</v>
      </c>
      <c r="F1266" s="35" t="s">
        <v>25</v>
      </c>
      <c r="G1266" s="35" t="s">
        <v>25</v>
      </c>
      <c r="H1266" s="35" t="s">
        <v>25</v>
      </c>
      <c r="I1266" s="45">
        <v>44621</v>
      </c>
      <c r="J1266" s="46">
        <f>EFEITO!$J$1266*EFEITO!$Y$1110</f>
        <v>0</v>
      </c>
      <c r="K1266" s="46">
        <f ca="1">EFEITO!$L$1266*EFEITO!$Z$1372</f>
        <v>-1126.9065125210052</v>
      </c>
      <c r="L1266" s="46">
        <f>EFEITO!$N$1266*EFEITO!$AA$1372</f>
        <v>-618.6890554496448</v>
      </c>
      <c r="M1266" s="46">
        <f>$J$1266-EFEITO!$K$1266*EFEITO!$Y$1266</f>
        <v>0</v>
      </c>
      <c r="N1266" s="46">
        <f ca="1">$K$1266-EFEITO!$M$1266*EFEITO!$Z$1266</f>
        <v>-450.76260500840215</v>
      </c>
      <c r="O1266" s="46">
        <f>$L$1266-EFEITO!$O$1266*EFEITO!$AA$1266</f>
        <v>-247.47562217985796</v>
      </c>
      <c r="P1266" s="38"/>
      <c r="Q1266" s="38"/>
      <c r="R1266" s="38"/>
      <c r="S1266" s="38"/>
      <c r="T1266" s="38"/>
      <c r="U1266" s="38"/>
      <c r="V1266" s="38"/>
      <c r="W1266" s="38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</row>
    <row r="1267" spans="1:36" ht="11.25" customHeight="1" x14ac:dyDescent="0.2">
      <c r="A1267" s="35" t="s">
        <v>30</v>
      </c>
      <c r="B1267" s="35" t="s">
        <v>22</v>
      </c>
      <c r="C1267" s="35" t="s">
        <v>23</v>
      </c>
      <c r="D1267" s="35" t="s">
        <v>24</v>
      </c>
      <c r="E1267" s="35" t="s">
        <v>32</v>
      </c>
      <c r="F1267" s="35" t="s">
        <v>25</v>
      </c>
      <c r="G1267" s="35" t="s">
        <v>25</v>
      </c>
      <c r="H1267" s="35" t="s">
        <v>25</v>
      </c>
      <c r="I1267" s="45">
        <v>44621</v>
      </c>
      <c r="J1267" s="46">
        <f>EFEITO!$J$1267*EFEITO!$Y$1110</f>
        <v>0</v>
      </c>
      <c r="K1267" s="46">
        <f ca="1">EFEITO!$L$1267*EFEITO!$Z$1372</f>
        <v>763.87622660819818</v>
      </c>
      <c r="L1267" s="46">
        <f>EFEITO!$N$1267*EFEITO!$AA$1372</f>
        <v>419.37982953298069</v>
      </c>
      <c r="M1267" s="46">
        <f>$J$1267-EFEITO!$K$1267*EFEITO!$Y$1267</f>
        <v>0</v>
      </c>
      <c r="N1267" s="46">
        <f ca="1">$K$1267-EFEITO!$M$1267*EFEITO!$Z$1267</f>
        <v>305.55049064327932</v>
      </c>
      <c r="O1267" s="46">
        <f>$L$1267-EFEITO!$O$1267*EFEITO!$AA$1267</f>
        <v>167.7519318131923</v>
      </c>
      <c r="P1267" s="38"/>
      <c r="Q1267" s="38"/>
      <c r="R1267" s="38"/>
      <c r="S1267" s="38"/>
      <c r="T1267" s="38"/>
      <c r="U1267" s="38"/>
      <c r="V1267" s="38"/>
      <c r="W1267" s="38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</row>
    <row r="1268" spans="1:36" ht="11.25" customHeight="1" x14ac:dyDescent="0.2">
      <c r="A1268" s="35" t="s">
        <v>21</v>
      </c>
      <c r="B1268" s="35" t="s">
        <v>22</v>
      </c>
      <c r="C1268" s="35" t="s">
        <v>23</v>
      </c>
      <c r="D1268" s="35" t="s">
        <v>24</v>
      </c>
      <c r="E1268" s="35" t="s">
        <v>32</v>
      </c>
      <c r="F1268" s="35" t="s">
        <v>25</v>
      </c>
      <c r="G1268" s="35" t="s">
        <v>25</v>
      </c>
      <c r="H1268" s="35" t="s">
        <v>25</v>
      </c>
      <c r="I1268" s="45">
        <v>44652</v>
      </c>
      <c r="J1268" s="46">
        <f>EFEITO!$J$1268*EFEITO!$Y$1110</f>
        <v>0</v>
      </c>
      <c r="K1268" s="46">
        <f ca="1">EFEITO!$L$1268*EFEITO!$Z$1372</f>
        <v>1059621.1179663532</v>
      </c>
      <c r="L1268" s="46">
        <f>EFEITO!$N$1268*EFEITO!$AA$1372</f>
        <v>581748.33610865311</v>
      </c>
      <c r="M1268" s="46">
        <f>$J$1268-EFEITO!$K$1268*EFEITO!$Y$1268</f>
        <v>0</v>
      </c>
      <c r="N1268" s="46">
        <f ca="1">$K$1268-EFEITO!$M$1268*EFEITO!$Z$1268</f>
        <v>423848.44718654128</v>
      </c>
      <c r="O1268" s="46">
        <f>$L$1268-EFEITO!$O$1268*EFEITO!$AA$1268</f>
        <v>232699.33444346132</v>
      </c>
      <c r="P1268" s="38"/>
      <c r="Q1268" s="38"/>
      <c r="R1268" s="38"/>
      <c r="S1268" s="38"/>
      <c r="T1268" s="38"/>
      <c r="U1268" s="38"/>
      <c r="V1268" s="38"/>
      <c r="W1268" s="38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</row>
    <row r="1269" spans="1:36" ht="11.25" customHeight="1" x14ac:dyDescent="0.2">
      <c r="A1269" s="35" t="s">
        <v>27</v>
      </c>
      <c r="B1269" s="35" t="s">
        <v>22</v>
      </c>
      <c r="C1269" s="35" t="s">
        <v>23</v>
      </c>
      <c r="D1269" s="35" t="s">
        <v>24</v>
      </c>
      <c r="E1269" s="35" t="s">
        <v>32</v>
      </c>
      <c r="F1269" s="35" t="s">
        <v>25</v>
      </c>
      <c r="G1269" s="35" t="s">
        <v>25</v>
      </c>
      <c r="H1269" s="35" t="s">
        <v>25</v>
      </c>
      <c r="I1269" s="45">
        <v>44652</v>
      </c>
      <c r="J1269" s="46">
        <f>EFEITO!$J$1269*EFEITO!$Y$1110</f>
        <v>0</v>
      </c>
      <c r="K1269" s="46">
        <f ca="1">EFEITO!$L$1269*EFEITO!$Z$1372</f>
        <v>-4116.864283997319</v>
      </c>
      <c r="L1269" s="46">
        <f>EFEITO!$N$1269*EFEITO!$AA$1372</f>
        <v>-2260.2219855688368</v>
      </c>
      <c r="M1269" s="46">
        <f>$J$1269-EFEITO!$K$1269*EFEITO!$Y$1269</f>
        <v>0</v>
      </c>
      <c r="N1269" s="46">
        <f ca="1">$K$1269-EFEITO!$M$1269*EFEITO!$Z$1269</f>
        <v>-1646.745713598928</v>
      </c>
      <c r="O1269" s="46">
        <f>$L$1269-EFEITO!$O$1269*EFEITO!$AA$1269</f>
        <v>-904.08879422753489</v>
      </c>
      <c r="P1269" s="38"/>
      <c r="Q1269" s="38"/>
      <c r="R1269" s="38"/>
      <c r="S1269" s="38"/>
      <c r="T1269" s="38"/>
      <c r="U1269" s="38"/>
      <c r="V1269" s="38"/>
      <c r="W1269" s="38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</row>
    <row r="1270" spans="1:36" ht="11.25" customHeight="1" x14ac:dyDescent="0.2">
      <c r="A1270" s="35" t="s">
        <v>28</v>
      </c>
      <c r="B1270" s="35" t="s">
        <v>22</v>
      </c>
      <c r="C1270" s="35" t="s">
        <v>23</v>
      </c>
      <c r="D1270" s="35" t="s">
        <v>24</v>
      </c>
      <c r="E1270" s="35" t="s">
        <v>32</v>
      </c>
      <c r="F1270" s="35" t="s">
        <v>25</v>
      </c>
      <c r="G1270" s="35" t="s">
        <v>25</v>
      </c>
      <c r="H1270" s="35" t="s">
        <v>25</v>
      </c>
      <c r="I1270" s="45">
        <v>44652</v>
      </c>
      <c r="J1270" s="46">
        <f>EFEITO!$J$1270*EFEITO!$Y$1110</f>
        <v>0</v>
      </c>
      <c r="K1270" s="46">
        <f ca="1">EFEITO!$L$1270*EFEITO!$Z$1372</f>
        <v>475599.08672171924</v>
      </c>
      <c r="L1270" s="46">
        <f>EFEITO!$N$1270*EFEITO!$AA$1372</f>
        <v>261111.23368904082</v>
      </c>
      <c r="M1270" s="46">
        <f>$J$1270-EFEITO!$K$1270*EFEITO!$Y$1270</f>
        <v>0</v>
      </c>
      <c r="N1270" s="46">
        <f ca="1">$K$1270-EFEITO!$M$1270*EFEITO!$Z$1270</f>
        <v>190239.63468868769</v>
      </c>
      <c r="O1270" s="46">
        <f>$L$1270-EFEITO!$O$1270*EFEITO!$AA$1270</f>
        <v>104444.49347561633</v>
      </c>
      <c r="P1270" s="38"/>
      <c r="Q1270" s="38"/>
      <c r="R1270" s="38"/>
      <c r="S1270" s="38"/>
      <c r="T1270" s="38"/>
      <c r="U1270" s="38"/>
      <c r="V1270" s="38"/>
      <c r="W1270" s="38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</row>
    <row r="1271" spans="1:36" ht="11.25" customHeight="1" x14ac:dyDescent="0.2">
      <c r="A1271" s="35" t="s">
        <v>29</v>
      </c>
      <c r="B1271" s="35" t="s">
        <v>22</v>
      </c>
      <c r="C1271" s="35" t="s">
        <v>23</v>
      </c>
      <c r="D1271" s="35" t="s">
        <v>24</v>
      </c>
      <c r="E1271" s="35" t="s">
        <v>32</v>
      </c>
      <c r="F1271" s="35" t="s">
        <v>25</v>
      </c>
      <c r="G1271" s="35" t="s">
        <v>25</v>
      </c>
      <c r="H1271" s="35" t="s">
        <v>25</v>
      </c>
      <c r="I1271" s="45">
        <v>44652</v>
      </c>
      <c r="J1271" s="46">
        <f>EFEITO!$J$1271*EFEITO!$Y$1110</f>
        <v>0</v>
      </c>
      <c r="K1271" s="46">
        <f ca="1">EFEITO!$L$1271*EFEITO!$Z$1372</f>
        <v>-2676.9281846649233</v>
      </c>
      <c r="L1271" s="46">
        <f>EFEITO!$N$1271*EFEITO!$AA$1372</f>
        <v>-1469.6748591609573</v>
      </c>
      <c r="M1271" s="46">
        <f>$J$1271-EFEITO!$K$1271*EFEITO!$Y$1271</f>
        <v>0</v>
      </c>
      <c r="N1271" s="46">
        <f ca="1">$K$1271-EFEITO!$M$1271*EFEITO!$Z$1271</f>
        <v>-1070.7712738659693</v>
      </c>
      <c r="O1271" s="46">
        <f>$L$1271-EFEITO!$O$1271*EFEITO!$AA$1271</f>
        <v>-587.86994366438307</v>
      </c>
      <c r="P1271" s="38"/>
      <c r="Q1271" s="38"/>
      <c r="R1271" s="38"/>
      <c r="S1271" s="38"/>
      <c r="T1271" s="38"/>
      <c r="U1271" s="38"/>
      <c r="V1271" s="38"/>
      <c r="W1271" s="38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</row>
    <row r="1272" spans="1:36" ht="11.25" customHeight="1" x14ac:dyDescent="0.2">
      <c r="A1272" s="35" t="s">
        <v>30</v>
      </c>
      <c r="B1272" s="35" t="s">
        <v>22</v>
      </c>
      <c r="C1272" s="35" t="s">
        <v>23</v>
      </c>
      <c r="D1272" s="35" t="s">
        <v>24</v>
      </c>
      <c r="E1272" s="35" t="s">
        <v>32</v>
      </c>
      <c r="F1272" s="35" t="s">
        <v>25</v>
      </c>
      <c r="G1272" s="35" t="s">
        <v>25</v>
      </c>
      <c r="H1272" s="35" t="s">
        <v>25</v>
      </c>
      <c r="I1272" s="45">
        <v>44652</v>
      </c>
      <c r="J1272" s="46">
        <f>EFEITO!$J$1272*EFEITO!$Y$1110</f>
        <v>0</v>
      </c>
      <c r="K1272" s="46">
        <f ca="1">EFEITO!$L$1272*EFEITO!$Z$1372</f>
        <v>723.53952817344179</v>
      </c>
      <c r="L1272" s="46">
        <f>EFEITO!$N$1272*EFEITO!$AA$1372</f>
        <v>397.23435998668469</v>
      </c>
      <c r="M1272" s="46">
        <f>$J$1272-EFEITO!$K$1272*EFEITO!$Y$1272</f>
        <v>0</v>
      </c>
      <c r="N1272" s="46">
        <f ca="1">$K$1272-EFEITO!$M$1272*EFEITO!$Z$1272</f>
        <v>289.41581126937672</v>
      </c>
      <c r="O1272" s="46">
        <f>$L$1272-EFEITO!$O$1272*EFEITO!$AA$1272</f>
        <v>158.89374399467391</v>
      </c>
      <c r="P1272" s="38"/>
      <c r="Q1272" s="38"/>
      <c r="R1272" s="38"/>
      <c r="S1272" s="38"/>
      <c r="T1272" s="38"/>
      <c r="U1272" s="38"/>
      <c r="V1272" s="38"/>
      <c r="W1272" s="38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</row>
    <row r="1273" spans="1:36" ht="11.25" customHeight="1" x14ac:dyDescent="0.2">
      <c r="A1273" s="35" t="s">
        <v>21</v>
      </c>
      <c r="B1273" s="35" t="s">
        <v>22</v>
      </c>
      <c r="C1273" s="35" t="s">
        <v>23</v>
      </c>
      <c r="D1273" s="35" t="s">
        <v>24</v>
      </c>
      <c r="E1273" s="35" t="s">
        <v>32</v>
      </c>
      <c r="F1273" s="35" t="s">
        <v>25</v>
      </c>
      <c r="G1273" s="35" t="s">
        <v>25</v>
      </c>
      <c r="H1273" s="35" t="s">
        <v>25</v>
      </c>
      <c r="I1273" s="45">
        <v>44682</v>
      </c>
      <c r="J1273" s="46">
        <f>EFEITO!$J$1273*EFEITO!$Y$1110</f>
        <v>0</v>
      </c>
      <c r="K1273" s="46">
        <f ca="1">EFEITO!$L$1273*EFEITO!$Z$1372</f>
        <v>1038364.5182391208</v>
      </c>
      <c r="L1273" s="46">
        <f>EFEITO!$N$1273*EFEITO!$AA$1372</f>
        <v>570078.13502170402</v>
      </c>
      <c r="M1273" s="46">
        <f>$J$1273-EFEITO!$K$1273*EFEITO!$Y$1273</f>
        <v>0</v>
      </c>
      <c r="N1273" s="46">
        <f ca="1">$K$1273-EFEITO!$M$1273*EFEITO!$Z$1273</f>
        <v>415345.80729564838</v>
      </c>
      <c r="O1273" s="46">
        <f>$L$1273-EFEITO!$O$1273*EFEITO!$AA$1273</f>
        <v>228031.25400868163</v>
      </c>
      <c r="P1273" s="38"/>
      <c r="Q1273" s="38"/>
      <c r="R1273" s="38"/>
      <c r="S1273" s="38"/>
      <c r="T1273" s="38"/>
      <c r="U1273" s="38"/>
      <c r="V1273" s="38"/>
      <c r="W1273" s="38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</row>
    <row r="1274" spans="1:36" ht="11.25" customHeight="1" x14ac:dyDescent="0.2">
      <c r="A1274" s="35" t="s">
        <v>27</v>
      </c>
      <c r="B1274" s="35" t="s">
        <v>22</v>
      </c>
      <c r="C1274" s="35" t="s">
        <v>23</v>
      </c>
      <c r="D1274" s="35" t="s">
        <v>24</v>
      </c>
      <c r="E1274" s="35" t="s">
        <v>32</v>
      </c>
      <c r="F1274" s="35" t="s">
        <v>25</v>
      </c>
      <c r="G1274" s="35" t="s">
        <v>25</v>
      </c>
      <c r="H1274" s="35" t="s">
        <v>25</v>
      </c>
      <c r="I1274" s="45">
        <v>44682</v>
      </c>
      <c r="J1274" s="46">
        <f>EFEITO!$J$1274*EFEITO!$Y$1110</f>
        <v>0</v>
      </c>
      <c r="K1274" s="46">
        <f ca="1">EFEITO!$L$1274*EFEITO!$Z$1372</f>
        <v>-4560.1477928376098</v>
      </c>
      <c r="L1274" s="46">
        <f>EFEITO!$N$1274*EFEITO!$AA$1372</f>
        <v>-2503.5914686036522</v>
      </c>
      <c r="M1274" s="46">
        <f>$J$1274-EFEITO!$K$1274*EFEITO!$Y$1274</f>
        <v>0</v>
      </c>
      <c r="N1274" s="46">
        <f ca="1">$K$1274-EFEITO!$M$1274*EFEITO!$Z$1274</f>
        <v>-1824.0591171350443</v>
      </c>
      <c r="O1274" s="46">
        <f>$L$1274-EFEITO!$O$1274*EFEITO!$AA$1274</f>
        <v>-1001.4365874414611</v>
      </c>
      <c r="P1274" s="38"/>
      <c r="Q1274" s="38"/>
      <c r="R1274" s="38"/>
      <c r="S1274" s="38"/>
      <c r="T1274" s="38"/>
      <c r="U1274" s="38"/>
      <c r="V1274" s="38"/>
      <c r="W1274" s="38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</row>
    <row r="1275" spans="1:36" ht="11.25" customHeight="1" x14ac:dyDescent="0.2">
      <c r="A1275" s="35" t="s">
        <v>28</v>
      </c>
      <c r="B1275" s="35" t="s">
        <v>22</v>
      </c>
      <c r="C1275" s="35" t="s">
        <v>23</v>
      </c>
      <c r="D1275" s="35" t="s">
        <v>24</v>
      </c>
      <c r="E1275" s="35" t="s">
        <v>32</v>
      </c>
      <c r="F1275" s="35" t="s">
        <v>25</v>
      </c>
      <c r="G1275" s="35" t="s">
        <v>25</v>
      </c>
      <c r="H1275" s="35" t="s">
        <v>25</v>
      </c>
      <c r="I1275" s="45">
        <v>44682</v>
      </c>
      <c r="J1275" s="46">
        <f>EFEITO!$J$1275*EFEITO!$Y$1110</f>
        <v>0</v>
      </c>
      <c r="K1275" s="46">
        <f ca="1">EFEITO!$L$1275*EFEITO!$Z$1372</f>
        <v>463182.94673477073</v>
      </c>
      <c r="L1275" s="46">
        <f>EFEITO!$N$1275*EFEITO!$AA$1372</f>
        <v>254294.58134432154</v>
      </c>
      <c r="M1275" s="46">
        <f>$J$1275-EFEITO!$K$1275*EFEITO!$Y$1275</f>
        <v>0</v>
      </c>
      <c r="N1275" s="46">
        <f ca="1">$K$1275-EFEITO!$M$1275*EFEITO!$Z$1275</f>
        <v>185273.17869390827</v>
      </c>
      <c r="O1275" s="46">
        <f>$L$1275-EFEITO!$O$1275*EFEITO!$AA$1275</f>
        <v>101717.83253772862</v>
      </c>
      <c r="P1275" s="38"/>
      <c r="Q1275" s="38"/>
      <c r="R1275" s="38"/>
      <c r="S1275" s="38"/>
      <c r="T1275" s="38"/>
      <c r="U1275" s="38"/>
      <c r="V1275" s="38"/>
      <c r="W1275" s="38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</row>
    <row r="1276" spans="1:36" ht="11.25" customHeight="1" x14ac:dyDescent="0.2">
      <c r="A1276" s="35" t="s">
        <v>29</v>
      </c>
      <c r="B1276" s="35" t="s">
        <v>22</v>
      </c>
      <c r="C1276" s="35" t="s">
        <v>23</v>
      </c>
      <c r="D1276" s="35" t="s">
        <v>24</v>
      </c>
      <c r="E1276" s="35" t="s">
        <v>32</v>
      </c>
      <c r="F1276" s="35" t="s">
        <v>25</v>
      </c>
      <c r="G1276" s="35" t="s">
        <v>25</v>
      </c>
      <c r="H1276" s="35" t="s">
        <v>25</v>
      </c>
      <c r="I1276" s="45">
        <v>44682</v>
      </c>
      <c r="J1276" s="46">
        <f>EFEITO!$J$1276*EFEITO!$Y$1110</f>
        <v>0</v>
      </c>
      <c r="K1276" s="46">
        <f ca="1">EFEITO!$L$1276*EFEITO!$Z$1372</f>
        <v>-1308.8418294194375</v>
      </c>
      <c r="L1276" s="46">
        <f>EFEITO!$N$1276*EFEITO!$AA$1372</f>
        <v>-718.57435038241749</v>
      </c>
      <c r="M1276" s="46">
        <f>$J$1276-EFEITO!$K$1276*EFEITO!$Y$1276</f>
        <v>0</v>
      </c>
      <c r="N1276" s="46">
        <f ca="1">$K$1276-EFEITO!$M$1276*EFEITO!$Z$1276</f>
        <v>-523.53673176777511</v>
      </c>
      <c r="O1276" s="46">
        <f>$L$1276-EFEITO!$O$1276*EFEITO!$AA$1276</f>
        <v>-287.42974015296704</v>
      </c>
      <c r="P1276" s="38"/>
      <c r="Q1276" s="38"/>
      <c r="R1276" s="38"/>
      <c r="S1276" s="38"/>
      <c r="T1276" s="38"/>
      <c r="U1276" s="38"/>
      <c r="V1276" s="38"/>
      <c r="W1276" s="38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</row>
    <row r="1277" spans="1:36" ht="11.25" customHeight="1" x14ac:dyDescent="0.2">
      <c r="A1277" s="35" t="s">
        <v>30</v>
      </c>
      <c r="B1277" s="35" t="s">
        <v>22</v>
      </c>
      <c r="C1277" s="35" t="s">
        <v>23</v>
      </c>
      <c r="D1277" s="35" t="s">
        <v>24</v>
      </c>
      <c r="E1277" s="35" t="s">
        <v>32</v>
      </c>
      <c r="F1277" s="35" t="s">
        <v>25</v>
      </c>
      <c r="G1277" s="35" t="s">
        <v>25</v>
      </c>
      <c r="H1277" s="35" t="s">
        <v>25</v>
      </c>
      <c r="I1277" s="45">
        <v>44682</v>
      </c>
      <c r="J1277" s="46">
        <f>EFEITO!$J$1277*EFEITO!$Y$1110</f>
        <v>0</v>
      </c>
      <c r="K1277" s="46">
        <f ca="1">EFEITO!$L$1277*EFEITO!$Z$1372</f>
        <v>713.03517962272406</v>
      </c>
      <c r="L1277" s="46">
        <f>EFEITO!$N$1277*EFEITO!$AA$1372</f>
        <v>391.46731062567011</v>
      </c>
      <c r="M1277" s="46">
        <f>$J$1277-EFEITO!$K$1277*EFEITO!$Y$1277</f>
        <v>0</v>
      </c>
      <c r="N1277" s="46">
        <f ca="1">$K$1277-EFEITO!$M$1277*EFEITO!$Z$1277</f>
        <v>285.21407184908963</v>
      </c>
      <c r="O1277" s="46">
        <f>$L$1277-EFEITO!$O$1277*EFEITO!$AA$1277</f>
        <v>156.58692425026805</v>
      </c>
      <c r="P1277" s="38"/>
      <c r="Q1277" s="38"/>
      <c r="R1277" s="38"/>
      <c r="S1277" s="38"/>
      <c r="T1277" s="38"/>
      <c r="U1277" s="38"/>
      <c r="V1277" s="38"/>
      <c r="W1277" s="38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</row>
    <row r="1278" spans="1:36" ht="11.25" customHeight="1" x14ac:dyDescent="0.2">
      <c r="A1278" s="35" t="s">
        <v>21</v>
      </c>
      <c r="B1278" s="35" t="s">
        <v>22</v>
      </c>
      <c r="C1278" s="35" t="s">
        <v>23</v>
      </c>
      <c r="D1278" s="35" t="s">
        <v>24</v>
      </c>
      <c r="E1278" s="35" t="s">
        <v>32</v>
      </c>
      <c r="F1278" s="35" t="s">
        <v>25</v>
      </c>
      <c r="G1278" s="35" t="s">
        <v>25</v>
      </c>
      <c r="H1278" s="35" t="s">
        <v>25</v>
      </c>
      <c r="I1278" s="45">
        <v>44713</v>
      </c>
      <c r="J1278" s="46">
        <f>EFEITO!$J$1278*EFEITO!$Y$1110</f>
        <v>0</v>
      </c>
      <c r="K1278" s="46">
        <f ca="1">EFEITO!$L$1278*EFEITO!$Z$1372</f>
        <v>1042728.0246270889</v>
      </c>
      <c r="L1278" s="46">
        <f>EFEITO!$N$1278*EFEITO!$AA$1372</f>
        <v>572473.76732626942</v>
      </c>
      <c r="M1278" s="46">
        <f>$J$1278-EFEITO!$K$1278*EFEITO!$Y$1278</f>
        <v>0</v>
      </c>
      <c r="N1278" s="46">
        <f ca="1">$K$1278-EFEITO!$M$1278*EFEITO!$Z$1278</f>
        <v>417091.20985083561</v>
      </c>
      <c r="O1278" s="46">
        <f>$L$1278-EFEITO!$O$1278*EFEITO!$AA$1278</f>
        <v>228989.50693050784</v>
      </c>
      <c r="P1278" s="38"/>
      <c r="Q1278" s="38"/>
      <c r="R1278" s="38"/>
      <c r="S1278" s="38"/>
      <c r="T1278" s="38"/>
      <c r="U1278" s="38"/>
      <c r="V1278" s="38"/>
      <c r="W1278" s="38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</row>
    <row r="1279" spans="1:36" ht="11.25" customHeight="1" x14ac:dyDescent="0.2">
      <c r="A1279" s="35" t="s">
        <v>27</v>
      </c>
      <c r="B1279" s="35" t="s">
        <v>22</v>
      </c>
      <c r="C1279" s="35" t="s">
        <v>23</v>
      </c>
      <c r="D1279" s="35" t="s">
        <v>24</v>
      </c>
      <c r="E1279" s="35" t="s">
        <v>32</v>
      </c>
      <c r="F1279" s="35" t="s">
        <v>25</v>
      </c>
      <c r="G1279" s="35" t="s">
        <v>25</v>
      </c>
      <c r="H1279" s="35" t="s">
        <v>25</v>
      </c>
      <c r="I1279" s="45">
        <v>44713</v>
      </c>
      <c r="J1279" s="46">
        <f>EFEITO!$J$1279*EFEITO!$Y$1110</f>
        <v>0</v>
      </c>
      <c r="K1279" s="46">
        <f ca="1">EFEITO!$L$1279*EFEITO!$Z$1372</f>
        <v>-1837.4206484915569</v>
      </c>
      <c r="L1279" s="46">
        <f>EFEITO!$N$1279*EFEITO!$AA$1372</f>
        <v>-1008.7722742286714</v>
      </c>
      <c r="M1279" s="46">
        <f>$J$1279-EFEITO!$K$1279*EFEITO!$Y$1279</f>
        <v>0</v>
      </c>
      <c r="N1279" s="46">
        <f ca="1">$K$1279-EFEITO!$M$1279*EFEITO!$Z$1279</f>
        <v>-734.96825939662267</v>
      </c>
      <c r="O1279" s="46">
        <f>$L$1279-EFEITO!$O$1279*EFEITO!$AA$1279</f>
        <v>-403.5089096914686</v>
      </c>
      <c r="P1279" s="38"/>
      <c r="Q1279" s="38"/>
      <c r="R1279" s="38"/>
      <c r="S1279" s="38"/>
      <c r="T1279" s="38"/>
      <c r="U1279" s="38"/>
      <c r="V1279" s="38"/>
      <c r="W1279" s="38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</row>
    <row r="1280" spans="1:36" ht="11.25" customHeight="1" x14ac:dyDescent="0.2">
      <c r="A1280" s="35" t="s">
        <v>28</v>
      </c>
      <c r="B1280" s="35" t="s">
        <v>22</v>
      </c>
      <c r="C1280" s="35" t="s">
        <v>23</v>
      </c>
      <c r="D1280" s="35" t="s">
        <v>24</v>
      </c>
      <c r="E1280" s="35" t="s">
        <v>32</v>
      </c>
      <c r="F1280" s="35" t="s">
        <v>25</v>
      </c>
      <c r="G1280" s="35" t="s">
        <v>25</v>
      </c>
      <c r="H1280" s="35" t="s">
        <v>25</v>
      </c>
      <c r="I1280" s="45">
        <v>44713</v>
      </c>
      <c r="J1280" s="46">
        <f>EFEITO!$J$1280*EFEITO!$Y$1110</f>
        <v>0</v>
      </c>
      <c r="K1280" s="46">
        <f ca="1">EFEITO!$L$1280*EFEITO!$Z$1372</f>
        <v>463966.1509627123</v>
      </c>
      <c r="L1280" s="46">
        <f>EFEITO!$N$1280*EFEITO!$AA$1372</f>
        <v>254724.57254467881</v>
      </c>
      <c r="M1280" s="46">
        <f>$J$1280-EFEITO!$K$1280*EFEITO!$Y$1280</f>
        <v>0</v>
      </c>
      <c r="N1280" s="46">
        <f ca="1">$K$1280-EFEITO!$M$1280*EFEITO!$Z$1280</f>
        <v>185586.46038508497</v>
      </c>
      <c r="O1280" s="46">
        <f>$L$1280-EFEITO!$O$1280*EFEITO!$AA$1280</f>
        <v>101889.82901787155</v>
      </c>
      <c r="P1280" s="38"/>
      <c r="Q1280" s="38"/>
      <c r="R1280" s="38"/>
      <c r="S1280" s="38"/>
      <c r="T1280" s="38"/>
      <c r="U1280" s="38"/>
      <c r="V1280" s="38"/>
      <c r="W1280" s="38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</row>
    <row r="1281" spans="1:36" ht="11.25" customHeight="1" x14ac:dyDescent="0.2">
      <c r="A1281" s="35" t="s">
        <v>29</v>
      </c>
      <c r="B1281" s="35" t="s">
        <v>22</v>
      </c>
      <c r="C1281" s="35" t="s">
        <v>23</v>
      </c>
      <c r="D1281" s="35" t="s">
        <v>24</v>
      </c>
      <c r="E1281" s="35" t="s">
        <v>32</v>
      </c>
      <c r="F1281" s="35" t="s">
        <v>25</v>
      </c>
      <c r="G1281" s="35" t="s">
        <v>25</v>
      </c>
      <c r="H1281" s="35" t="s">
        <v>25</v>
      </c>
      <c r="I1281" s="45">
        <v>44713</v>
      </c>
      <c r="J1281" s="46">
        <f>EFEITO!$J$1281*EFEITO!$Y$1110</f>
        <v>0</v>
      </c>
      <c r="K1281" s="46">
        <f ca="1">EFEITO!$L$1281*EFEITO!$Z$1372</f>
        <v>-166.38888104336991</v>
      </c>
      <c r="L1281" s="46">
        <f>EFEITO!$N$1281*EFEITO!$AA$1372</f>
        <v>-91.350061878471053</v>
      </c>
      <c r="M1281" s="46">
        <f>$J$1281-EFEITO!$K$1281*EFEITO!$Y$1281</f>
        <v>0</v>
      </c>
      <c r="N1281" s="46">
        <f ca="1">$K$1281-EFEITO!$M$1281*EFEITO!$Z$1281</f>
        <v>-66.555552417347968</v>
      </c>
      <c r="O1281" s="46">
        <f>$L$1281-EFEITO!$O$1281*EFEITO!$AA$1281</f>
        <v>-36.54002475138843</v>
      </c>
      <c r="P1281" s="38"/>
      <c r="Q1281" s="38"/>
      <c r="R1281" s="38"/>
      <c r="S1281" s="38"/>
      <c r="T1281" s="38"/>
      <c r="U1281" s="38"/>
      <c r="V1281" s="38"/>
      <c r="W1281" s="38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</row>
    <row r="1282" spans="1:36" ht="11.25" customHeight="1" x14ac:dyDescent="0.2">
      <c r="A1282" s="35" t="s">
        <v>30</v>
      </c>
      <c r="B1282" s="35" t="s">
        <v>22</v>
      </c>
      <c r="C1282" s="35" t="s">
        <v>23</v>
      </c>
      <c r="D1282" s="35" t="s">
        <v>24</v>
      </c>
      <c r="E1282" s="35" t="s">
        <v>32</v>
      </c>
      <c r="F1282" s="35" t="s">
        <v>25</v>
      </c>
      <c r="G1282" s="35" t="s">
        <v>25</v>
      </c>
      <c r="H1282" s="35" t="s">
        <v>25</v>
      </c>
      <c r="I1282" s="45">
        <v>44713</v>
      </c>
      <c r="J1282" s="46">
        <f>EFEITO!$J$1282*EFEITO!$Y$1110</f>
        <v>0</v>
      </c>
      <c r="K1282" s="46">
        <f ca="1">EFEITO!$L$1282*EFEITO!$Z$1372</f>
        <v>695.38787405751816</v>
      </c>
      <c r="L1282" s="46">
        <f>EFEITO!$N$1282*EFEITO!$AA$1372</f>
        <v>381.77866769916562</v>
      </c>
      <c r="M1282" s="46">
        <f>$J$1282-EFEITO!$K$1282*EFEITO!$Y$1282</f>
        <v>0</v>
      </c>
      <c r="N1282" s="46">
        <f ca="1">$K$1282-EFEITO!$M$1282*EFEITO!$Z$1282</f>
        <v>278.15514962300733</v>
      </c>
      <c r="O1282" s="46">
        <f>$L$1282-EFEITO!$O$1282*EFEITO!$AA$1282</f>
        <v>152.71146707966628</v>
      </c>
      <c r="P1282" s="38"/>
      <c r="Q1282" s="38"/>
      <c r="R1282" s="38"/>
      <c r="S1282" s="38"/>
      <c r="T1282" s="38"/>
      <c r="U1282" s="38"/>
      <c r="V1282" s="38"/>
      <c r="W1282" s="38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</row>
    <row r="1283" spans="1:36" ht="11.25" customHeight="1" x14ac:dyDescent="0.2">
      <c r="A1283" s="35" t="s">
        <v>21</v>
      </c>
      <c r="B1283" s="35" t="s">
        <v>22</v>
      </c>
      <c r="C1283" s="35" t="s">
        <v>23</v>
      </c>
      <c r="D1283" s="35" t="s">
        <v>24</v>
      </c>
      <c r="E1283" s="35" t="s">
        <v>32</v>
      </c>
      <c r="F1283" s="35" t="s">
        <v>25</v>
      </c>
      <c r="G1283" s="35" t="s">
        <v>25</v>
      </c>
      <c r="H1283" s="35" t="s">
        <v>25</v>
      </c>
      <c r="I1283" s="45">
        <v>44743</v>
      </c>
      <c r="J1283" s="46">
        <f>EFEITO!$J$1283*EFEITO!$Y$1110</f>
        <v>0</v>
      </c>
      <c r="K1283" s="46">
        <f ca="1">EFEITO!$L$1283*EFEITO!$Z$1372</f>
        <v>1099118.7290388783</v>
      </c>
      <c r="L1283" s="46">
        <f>EFEITO!$N$1283*EFEITO!$AA$1372</f>
        <v>603433.1337519912</v>
      </c>
      <c r="M1283" s="46">
        <f>$J$1283-EFEITO!$K$1283*EFEITO!$Y$1283</f>
        <v>0</v>
      </c>
      <c r="N1283" s="46">
        <f ca="1">$K$1283-EFEITO!$M$1283*EFEITO!$Z$1283</f>
        <v>439647.49161555141</v>
      </c>
      <c r="O1283" s="46">
        <f>$L$1283-EFEITO!$O$1283*EFEITO!$AA$1283</f>
        <v>241373.25350079651</v>
      </c>
      <c r="P1283" s="38"/>
      <c r="Q1283" s="38"/>
      <c r="R1283" s="38"/>
      <c r="S1283" s="38"/>
      <c r="T1283" s="38"/>
      <c r="U1283" s="38"/>
      <c r="V1283" s="38"/>
      <c r="W1283" s="38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</row>
    <row r="1284" spans="1:36" ht="11.25" customHeight="1" x14ac:dyDescent="0.2">
      <c r="A1284" s="35" t="s">
        <v>27</v>
      </c>
      <c r="B1284" s="35" t="s">
        <v>22</v>
      </c>
      <c r="C1284" s="35" t="s">
        <v>23</v>
      </c>
      <c r="D1284" s="35" t="s">
        <v>24</v>
      </c>
      <c r="E1284" s="35" t="s">
        <v>32</v>
      </c>
      <c r="F1284" s="35" t="s">
        <v>25</v>
      </c>
      <c r="G1284" s="35" t="s">
        <v>25</v>
      </c>
      <c r="H1284" s="35" t="s">
        <v>25</v>
      </c>
      <c r="I1284" s="45">
        <v>44743</v>
      </c>
      <c r="J1284" s="46">
        <f>EFEITO!$J$1284*EFEITO!$Y$1110</f>
        <v>0</v>
      </c>
      <c r="K1284" s="46">
        <f ca="1">EFEITO!$L$1284*EFEITO!$Z$1372</f>
        <v>-2023.5577048102762</v>
      </c>
      <c r="L1284" s="46">
        <f>EFEITO!$N$1284*EFEITO!$AA$1372</f>
        <v>-1110.9643889058498</v>
      </c>
      <c r="M1284" s="46">
        <f>$J$1284-EFEITO!$K$1284*EFEITO!$Y$1284</f>
        <v>0</v>
      </c>
      <c r="N1284" s="46">
        <f ca="1">$K$1284-EFEITO!$M$1284*EFEITO!$Z$1284</f>
        <v>-809.42308192411042</v>
      </c>
      <c r="O1284" s="46">
        <f>$L$1284-EFEITO!$O$1284*EFEITO!$AA$1284</f>
        <v>-444.38575556233991</v>
      </c>
      <c r="P1284" s="38"/>
      <c r="Q1284" s="38"/>
      <c r="R1284" s="38"/>
      <c r="S1284" s="38"/>
      <c r="T1284" s="38"/>
      <c r="U1284" s="38"/>
      <c r="V1284" s="38"/>
      <c r="W1284" s="38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</row>
    <row r="1285" spans="1:36" ht="11.25" customHeight="1" x14ac:dyDescent="0.2">
      <c r="A1285" s="35" t="s">
        <v>28</v>
      </c>
      <c r="B1285" s="35" t="s">
        <v>22</v>
      </c>
      <c r="C1285" s="35" t="s">
        <v>23</v>
      </c>
      <c r="D1285" s="35" t="s">
        <v>24</v>
      </c>
      <c r="E1285" s="35" t="s">
        <v>32</v>
      </c>
      <c r="F1285" s="35" t="s">
        <v>25</v>
      </c>
      <c r="G1285" s="35" t="s">
        <v>25</v>
      </c>
      <c r="H1285" s="35" t="s">
        <v>25</v>
      </c>
      <c r="I1285" s="45">
        <v>44743</v>
      </c>
      <c r="J1285" s="46">
        <f>EFEITO!$J$1285*EFEITO!$Y$1110</f>
        <v>0</v>
      </c>
      <c r="K1285" s="46">
        <f ca="1">EFEITO!$L$1285*EFEITO!$Z$1372</f>
        <v>498356.9679438204</v>
      </c>
      <c r="L1285" s="46">
        <f>EFEITO!$N$1285*EFEITO!$AA$1372</f>
        <v>273605.66147066618</v>
      </c>
      <c r="M1285" s="46">
        <f>$J$1285-EFEITO!$K$1285*EFEITO!$Y$1285</f>
        <v>0</v>
      </c>
      <c r="N1285" s="46">
        <f ca="1">$K$1285-EFEITO!$M$1285*EFEITO!$Z$1285</f>
        <v>199342.7871775282</v>
      </c>
      <c r="O1285" s="46">
        <f>$L$1285-EFEITO!$O$1285*EFEITO!$AA$1285</f>
        <v>109442.26458826649</v>
      </c>
      <c r="P1285" s="38"/>
      <c r="Q1285" s="38"/>
      <c r="R1285" s="38"/>
      <c r="S1285" s="38"/>
      <c r="T1285" s="38"/>
      <c r="U1285" s="38"/>
      <c r="V1285" s="38"/>
      <c r="W1285" s="38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</row>
    <row r="1286" spans="1:36" ht="11.25" customHeight="1" x14ac:dyDescent="0.2">
      <c r="A1286" s="35" t="s">
        <v>29</v>
      </c>
      <c r="B1286" s="35" t="s">
        <v>22</v>
      </c>
      <c r="C1286" s="35" t="s">
        <v>23</v>
      </c>
      <c r="D1286" s="35" t="s">
        <v>24</v>
      </c>
      <c r="E1286" s="35" t="s">
        <v>32</v>
      </c>
      <c r="F1286" s="35" t="s">
        <v>25</v>
      </c>
      <c r="G1286" s="35" t="s">
        <v>25</v>
      </c>
      <c r="H1286" s="35" t="s">
        <v>25</v>
      </c>
      <c r="I1286" s="45">
        <v>44743</v>
      </c>
      <c r="J1286" s="46">
        <f>EFEITO!$J$1286*EFEITO!$Y$1110</f>
        <v>0</v>
      </c>
      <c r="K1286" s="46">
        <f ca="1">EFEITO!$L$1286*EFEITO!$Z$1372</f>
        <v>-264.28940953605974</v>
      </c>
      <c r="L1286" s="46">
        <f>EFEITO!$N$1286*EFEITO!$AA$1372</f>
        <v>-145.09896192312698</v>
      </c>
      <c r="M1286" s="46">
        <f>$J$1286-EFEITO!$K$1286*EFEITO!$Y$1286</f>
        <v>0</v>
      </c>
      <c r="N1286" s="46">
        <f ca="1">$K$1286-EFEITO!$M$1286*EFEITO!$Z$1286</f>
        <v>-105.71576381442389</v>
      </c>
      <c r="O1286" s="46">
        <f>$L$1286-EFEITO!$O$1286*EFEITO!$AA$1286</f>
        <v>-58.039584769250794</v>
      </c>
      <c r="P1286" s="38"/>
      <c r="Q1286" s="38"/>
      <c r="R1286" s="38"/>
      <c r="S1286" s="38"/>
      <c r="T1286" s="38"/>
      <c r="U1286" s="38"/>
      <c r="V1286" s="38"/>
      <c r="W1286" s="38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</row>
    <row r="1287" spans="1:36" ht="11.25" customHeight="1" x14ac:dyDescent="0.2">
      <c r="A1287" s="35" t="s">
        <v>30</v>
      </c>
      <c r="B1287" s="35" t="s">
        <v>22</v>
      </c>
      <c r="C1287" s="35" t="s">
        <v>23</v>
      </c>
      <c r="D1287" s="35" t="s">
        <v>24</v>
      </c>
      <c r="E1287" s="35" t="s">
        <v>32</v>
      </c>
      <c r="F1287" s="35" t="s">
        <v>25</v>
      </c>
      <c r="G1287" s="35" t="s">
        <v>25</v>
      </c>
      <c r="H1287" s="35" t="s">
        <v>25</v>
      </c>
      <c r="I1287" s="45">
        <v>44743</v>
      </c>
      <c r="J1287" s="46">
        <f>EFEITO!$J$1287*EFEITO!$Y$1110</f>
        <v>0</v>
      </c>
      <c r="K1287" s="46">
        <f ca="1">EFEITO!$L$1287*EFEITO!$Z$1372</f>
        <v>788.66648918789213</v>
      </c>
      <c r="L1287" s="46">
        <f>EFEITO!$N$1287*EFEITO!$AA$1372</f>
        <v>432.99006602497514</v>
      </c>
      <c r="M1287" s="46">
        <f>$J$1287-EFEITO!$K$1287*EFEITO!$Y$1287</f>
        <v>0</v>
      </c>
      <c r="N1287" s="46">
        <f ca="1">$K$1287-EFEITO!$M$1287*EFEITO!$Z$1287</f>
        <v>315.46659567515684</v>
      </c>
      <c r="O1287" s="46">
        <f>$L$1287-EFEITO!$O$1287*EFEITO!$AA$1287</f>
        <v>173.19602640999011</v>
      </c>
      <c r="P1287" s="38"/>
      <c r="Q1287" s="38"/>
      <c r="R1287" s="38"/>
      <c r="S1287" s="38"/>
      <c r="T1287" s="38"/>
      <c r="U1287" s="38"/>
      <c r="V1287" s="38"/>
      <c r="W1287" s="38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</row>
    <row r="1288" spans="1:36" ht="11.25" customHeight="1" x14ac:dyDescent="0.2">
      <c r="A1288" s="35" t="s">
        <v>21</v>
      </c>
      <c r="B1288" s="35" t="s">
        <v>22</v>
      </c>
      <c r="C1288" s="35" t="s">
        <v>23</v>
      </c>
      <c r="D1288" s="35" t="s">
        <v>24</v>
      </c>
      <c r="E1288" s="35" t="s">
        <v>32</v>
      </c>
      <c r="F1288" s="35" t="s">
        <v>25</v>
      </c>
      <c r="G1288" s="35" t="s">
        <v>25</v>
      </c>
      <c r="H1288" s="35" t="s">
        <v>25</v>
      </c>
      <c r="I1288" s="45">
        <v>44774</v>
      </c>
      <c r="J1288" s="46">
        <f>EFEITO!$J$1288*EFEITO!$Y$1110</f>
        <v>0</v>
      </c>
      <c r="K1288" s="46">
        <f ca="1">EFEITO!$L$1288*EFEITO!$Z$1372</f>
        <v>930559.64958493016</v>
      </c>
      <c r="L1288" s="46">
        <f>EFEITO!$N$1288*EFEITO!$AA$1372</f>
        <v>510891.59947553457</v>
      </c>
      <c r="M1288" s="46">
        <f>$J$1288-EFEITO!$K$1288*EFEITO!$Y$1288</f>
        <v>0</v>
      </c>
      <c r="N1288" s="46">
        <f ca="1">$K$1288-EFEITO!$M$1288*EFEITO!$Z$1288</f>
        <v>372223.85983397206</v>
      </c>
      <c r="O1288" s="46">
        <f>$L$1288-EFEITO!$O$1288*EFEITO!$AA$1288</f>
        <v>204356.63979021384</v>
      </c>
      <c r="P1288" s="38"/>
      <c r="Q1288" s="38"/>
      <c r="R1288" s="38"/>
      <c r="S1288" s="38"/>
      <c r="T1288" s="38"/>
      <c r="U1288" s="38"/>
      <c r="V1288" s="38"/>
      <c r="W1288" s="38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</row>
    <row r="1289" spans="1:36" ht="11.25" customHeight="1" x14ac:dyDescent="0.2">
      <c r="A1289" s="35" t="s">
        <v>27</v>
      </c>
      <c r="B1289" s="35" t="s">
        <v>22</v>
      </c>
      <c r="C1289" s="35" t="s">
        <v>23</v>
      </c>
      <c r="D1289" s="35" t="s">
        <v>24</v>
      </c>
      <c r="E1289" s="35" t="s">
        <v>32</v>
      </c>
      <c r="F1289" s="35" t="s">
        <v>25</v>
      </c>
      <c r="G1289" s="35" t="s">
        <v>25</v>
      </c>
      <c r="H1289" s="35" t="s">
        <v>25</v>
      </c>
      <c r="I1289" s="45">
        <v>44774</v>
      </c>
      <c r="J1289" s="46">
        <f>EFEITO!$J$1289*EFEITO!$Y$1110</f>
        <v>0</v>
      </c>
      <c r="K1289" s="46">
        <f ca="1">EFEITO!$L$1289*EFEITO!$Z$1372</f>
        <v>-872.70127759363447</v>
      </c>
      <c r="L1289" s="46">
        <f>EFEITO!$N$1289*EFEITO!$AA$1372</f>
        <v>-479.12646091309182</v>
      </c>
      <c r="M1289" s="46">
        <f>$J$1289-EFEITO!$K$1289*EFEITO!$Y$1289</f>
        <v>0</v>
      </c>
      <c r="N1289" s="46">
        <f ca="1">$K$1289-EFEITO!$M$1289*EFEITO!$Z$1289</f>
        <v>-349.08051103745379</v>
      </c>
      <c r="O1289" s="46">
        <f>$L$1289-EFEITO!$O$1289*EFEITO!$AA$1289</f>
        <v>-191.6505843652368</v>
      </c>
      <c r="P1289" s="38"/>
      <c r="Q1289" s="38"/>
      <c r="R1289" s="38"/>
      <c r="S1289" s="38"/>
      <c r="T1289" s="38"/>
      <c r="U1289" s="38"/>
      <c r="V1289" s="38"/>
      <c r="W1289" s="38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</row>
    <row r="1290" spans="1:36" ht="11.25" customHeight="1" x14ac:dyDescent="0.2">
      <c r="A1290" s="35" t="s">
        <v>28</v>
      </c>
      <c r="B1290" s="35" t="s">
        <v>22</v>
      </c>
      <c r="C1290" s="35" t="s">
        <v>23</v>
      </c>
      <c r="D1290" s="35" t="s">
        <v>24</v>
      </c>
      <c r="E1290" s="35" t="s">
        <v>32</v>
      </c>
      <c r="F1290" s="35" t="s">
        <v>25</v>
      </c>
      <c r="G1290" s="35" t="s">
        <v>25</v>
      </c>
      <c r="H1290" s="35" t="s">
        <v>25</v>
      </c>
      <c r="I1290" s="45">
        <v>44774</v>
      </c>
      <c r="J1290" s="46">
        <f>EFEITO!$J$1290*EFEITO!$Y$1110</f>
        <v>0</v>
      </c>
      <c r="K1290" s="46">
        <f ca="1">EFEITO!$L$1290*EFEITO!$Z$1372</f>
        <v>691094.53671786876</v>
      </c>
      <c r="L1290" s="46">
        <f>EFEITO!$N$1290*EFEITO!$AA$1372</f>
        <v>379421.55928433168</v>
      </c>
      <c r="M1290" s="46">
        <f>$J$1290-EFEITO!$K$1290*EFEITO!$Y$1290</f>
        <v>0</v>
      </c>
      <c r="N1290" s="46">
        <f ca="1">$K$1290-EFEITO!$M$1290*EFEITO!$Z$1290</f>
        <v>276437.81468714756</v>
      </c>
      <c r="O1290" s="46">
        <f>$L$1290-EFEITO!$O$1290*EFEITO!$AA$1290</f>
        <v>151768.6237137327</v>
      </c>
      <c r="P1290" s="38"/>
      <c r="Q1290" s="38"/>
      <c r="R1290" s="38"/>
      <c r="S1290" s="38"/>
      <c r="T1290" s="38"/>
      <c r="U1290" s="38"/>
      <c r="V1290" s="38"/>
      <c r="W1290" s="38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</row>
    <row r="1291" spans="1:36" ht="11.25" customHeight="1" x14ac:dyDescent="0.2">
      <c r="A1291" s="35" t="s">
        <v>29</v>
      </c>
      <c r="B1291" s="35" t="s">
        <v>22</v>
      </c>
      <c r="C1291" s="35" t="s">
        <v>23</v>
      </c>
      <c r="D1291" s="35" t="s">
        <v>24</v>
      </c>
      <c r="E1291" s="35" t="s">
        <v>32</v>
      </c>
      <c r="F1291" s="35" t="s">
        <v>25</v>
      </c>
      <c r="G1291" s="35" t="s">
        <v>25</v>
      </c>
      <c r="H1291" s="35" t="s">
        <v>25</v>
      </c>
      <c r="I1291" s="45">
        <v>44774</v>
      </c>
      <c r="J1291" s="46">
        <f>EFEITO!$J$1291*EFEITO!$Y$1110</f>
        <v>0</v>
      </c>
      <c r="K1291" s="46">
        <f ca="1">EFEITO!$L$1291*EFEITO!$Z$1372</f>
        <v>-784.88492370963377</v>
      </c>
      <c r="L1291" s="46">
        <f>EFEITO!$N$1291*EFEITO!$AA$1372</f>
        <v>-430.91392825500992</v>
      </c>
      <c r="M1291" s="46">
        <f>$J$1291-EFEITO!$K$1291*EFEITO!$Y$1291</f>
        <v>0</v>
      </c>
      <c r="N1291" s="46">
        <f ca="1">$K$1291-EFEITO!$M$1291*EFEITO!$Z$1291</f>
        <v>-313.95396948385354</v>
      </c>
      <c r="O1291" s="46">
        <f>$L$1291-EFEITO!$O$1291*EFEITO!$AA$1291</f>
        <v>-172.36557130200401</v>
      </c>
      <c r="P1291" s="38"/>
      <c r="Q1291" s="38"/>
      <c r="R1291" s="38"/>
      <c r="S1291" s="38"/>
      <c r="T1291" s="38"/>
      <c r="U1291" s="38"/>
      <c r="V1291" s="38"/>
      <c r="W1291" s="38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</row>
    <row r="1292" spans="1:36" ht="11.25" customHeight="1" x14ac:dyDescent="0.2">
      <c r="A1292" s="35" t="s">
        <v>30</v>
      </c>
      <c r="B1292" s="35" t="s">
        <v>22</v>
      </c>
      <c r="C1292" s="35" t="s">
        <v>23</v>
      </c>
      <c r="D1292" s="35" t="s">
        <v>24</v>
      </c>
      <c r="E1292" s="35" t="s">
        <v>32</v>
      </c>
      <c r="F1292" s="35" t="s">
        <v>25</v>
      </c>
      <c r="G1292" s="35" t="s">
        <v>25</v>
      </c>
      <c r="H1292" s="35" t="s">
        <v>25</v>
      </c>
      <c r="I1292" s="45">
        <v>44774</v>
      </c>
      <c r="J1292" s="46">
        <f>EFEITO!$J$1292*EFEITO!$Y$1110</f>
        <v>0</v>
      </c>
      <c r="K1292" s="46">
        <f ca="1">EFEITO!$L$1292*EFEITO!$Z$1372</f>
        <v>852.953102318285</v>
      </c>
      <c r="L1292" s="46">
        <f>EFEITO!$N$1292*EFEITO!$AA$1372</f>
        <v>468.28440811438435</v>
      </c>
      <c r="M1292" s="46">
        <f>$J$1292-EFEITO!$K$1292*EFEITO!$Y$1292</f>
        <v>0</v>
      </c>
      <c r="N1292" s="46">
        <f ca="1">$K$1292-EFEITO!$M$1292*EFEITO!$Z$1292</f>
        <v>341.18124092731404</v>
      </c>
      <c r="O1292" s="46">
        <f>$L$1292-EFEITO!$O$1292*EFEITO!$AA$1292</f>
        <v>187.31376324575376</v>
      </c>
      <c r="P1292" s="38"/>
      <c r="Q1292" s="38"/>
      <c r="R1292" s="38"/>
      <c r="S1292" s="38"/>
      <c r="T1292" s="38"/>
      <c r="U1292" s="38"/>
      <c r="V1292" s="38"/>
      <c r="W1292" s="38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</row>
    <row r="1293" spans="1:36" ht="11.25" customHeight="1" x14ac:dyDescent="0.2">
      <c r="A1293" s="35" t="s">
        <v>30</v>
      </c>
      <c r="B1293" s="35" t="s">
        <v>22</v>
      </c>
      <c r="C1293" s="35" t="s">
        <v>23</v>
      </c>
      <c r="D1293" s="35" t="s">
        <v>24</v>
      </c>
      <c r="E1293" s="35" t="s">
        <v>32</v>
      </c>
      <c r="F1293" s="35" t="s">
        <v>25</v>
      </c>
      <c r="G1293" s="35" t="s">
        <v>25</v>
      </c>
      <c r="H1293" s="35" t="s">
        <v>25</v>
      </c>
      <c r="I1293" s="45">
        <v>44774</v>
      </c>
      <c r="J1293" s="46">
        <f>EFEITO!$J$1293*EFEITO!$Y$1110</f>
        <v>0</v>
      </c>
      <c r="K1293" s="46">
        <f ca="1">EFEITO!$L$1293*EFEITO!$Z$1372</f>
        <v>-8.4034788405742376</v>
      </c>
      <c r="L1293" s="46">
        <f>EFEITO!$N$1293*EFEITO!$AA$1372</f>
        <v>-4.6136394888116694</v>
      </c>
      <c r="M1293" s="46">
        <f>$J$1293-EFEITO!$K$1293*EFEITO!$Y$1293</f>
        <v>0</v>
      </c>
      <c r="N1293" s="46">
        <f ca="1">$K$1293-EFEITO!$M$1293*EFEITO!$Z$1293</f>
        <v>-3.3613915362296956</v>
      </c>
      <c r="O1293" s="46">
        <f>$L$1293-EFEITO!$O$1293*EFEITO!$AA$1293</f>
        <v>-1.8454557955246682</v>
      </c>
      <c r="P1293" s="38"/>
      <c r="Q1293" s="38"/>
      <c r="R1293" s="38"/>
      <c r="S1293" s="38"/>
      <c r="T1293" s="38"/>
      <c r="U1293" s="38"/>
      <c r="V1293" s="38"/>
      <c r="W1293" s="38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</row>
    <row r="1294" spans="1:36" ht="11.25" customHeight="1" x14ac:dyDescent="0.2">
      <c r="A1294" s="35" t="s">
        <v>21</v>
      </c>
      <c r="B1294" s="35" t="s">
        <v>22</v>
      </c>
      <c r="C1294" s="35" t="s">
        <v>23</v>
      </c>
      <c r="D1294" s="35" t="s">
        <v>24</v>
      </c>
      <c r="E1294" s="35" t="s">
        <v>32</v>
      </c>
      <c r="F1294" s="35" t="s">
        <v>25</v>
      </c>
      <c r="G1294" s="35" t="s">
        <v>25</v>
      </c>
      <c r="H1294" s="35" t="s">
        <v>25</v>
      </c>
      <c r="I1294" s="45">
        <v>44805</v>
      </c>
      <c r="J1294" s="46">
        <f>EFEITO!$J$1294*EFEITO!$Y$1110</f>
        <v>0</v>
      </c>
      <c r="K1294" s="46">
        <f ca="1">EFEITO!$L$1294*EFEITO!$Z$1372</f>
        <v>1133888.1227417542</v>
      </c>
      <c r="L1294" s="46">
        <f>EFEITO!$N$1294*EFEITO!$AA$1372</f>
        <v>622522.06713694951</v>
      </c>
      <c r="M1294" s="46">
        <f>$J$1294-EFEITO!$K$1294*EFEITO!$Y$1294</f>
        <v>0</v>
      </c>
      <c r="N1294" s="46">
        <f ca="1">$K$1294-EFEITO!$M$1294*EFEITO!$Z$1294</f>
        <v>453555.24909670162</v>
      </c>
      <c r="O1294" s="46">
        <f>$L$1294-EFEITO!$O$1294*EFEITO!$AA$1294</f>
        <v>249008.82685477985</v>
      </c>
      <c r="P1294" s="38"/>
      <c r="Q1294" s="38"/>
      <c r="R1294" s="38"/>
      <c r="S1294" s="38"/>
      <c r="T1294" s="38"/>
      <c r="U1294" s="38"/>
      <c r="V1294" s="38"/>
      <c r="W1294" s="38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</row>
    <row r="1295" spans="1:36" ht="11.25" customHeight="1" x14ac:dyDescent="0.2">
      <c r="A1295" s="35" t="s">
        <v>27</v>
      </c>
      <c r="B1295" s="35" t="s">
        <v>22</v>
      </c>
      <c r="C1295" s="35" t="s">
        <v>23</v>
      </c>
      <c r="D1295" s="35" t="s">
        <v>24</v>
      </c>
      <c r="E1295" s="35" t="s">
        <v>32</v>
      </c>
      <c r="F1295" s="35" t="s">
        <v>25</v>
      </c>
      <c r="G1295" s="35" t="s">
        <v>25</v>
      </c>
      <c r="H1295" s="35" t="s">
        <v>25</v>
      </c>
      <c r="I1295" s="45">
        <v>44805</v>
      </c>
      <c r="J1295" s="46">
        <f>EFEITO!$J$1295*EFEITO!$Y$1110</f>
        <v>0</v>
      </c>
      <c r="K1295" s="46">
        <f ca="1">EFEITO!$L$1295*EFEITO!$Z$1372</f>
        <v>-1978.1789190711754</v>
      </c>
      <c r="L1295" s="46">
        <f>EFEITO!$N$1295*EFEITO!$AA$1372</f>
        <v>-1086.050735666267</v>
      </c>
      <c r="M1295" s="46">
        <f>$J$1295-EFEITO!$K$1295*EFEITO!$Y$1295</f>
        <v>0</v>
      </c>
      <c r="N1295" s="46">
        <f ca="1">$K$1295-EFEITO!$M$1295*EFEITO!$Z$1295</f>
        <v>-791.27156762847017</v>
      </c>
      <c r="O1295" s="46">
        <f>$L$1295-EFEITO!$O$1295*EFEITO!$AA$1295</f>
        <v>-434.42029426650686</v>
      </c>
      <c r="P1295" s="38"/>
      <c r="Q1295" s="38"/>
      <c r="R1295" s="38"/>
      <c r="S1295" s="38"/>
      <c r="T1295" s="38"/>
      <c r="U1295" s="38"/>
      <c r="V1295" s="38"/>
      <c r="W1295" s="38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</row>
    <row r="1296" spans="1:36" ht="11.25" customHeight="1" x14ac:dyDescent="0.2">
      <c r="A1296" s="35" t="s">
        <v>28</v>
      </c>
      <c r="B1296" s="35" t="s">
        <v>22</v>
      </c>
      <c r="C1296" s="35" t="s">
        <v>23</v>
      </c>
      <c r="D1296" s="35" t="s">
        <v>24</v>
      </c>
      <c r="E1296" s="35" t="s">
        <v>32</v>
      </c>
      <c r="F1296" s="35" t="s">
        <v>25</v>
      </c>
      <c r="G1296" s="35" t="s">
        <v>25</v>
      </c>
      <c r="H1296" s="35" t="s">
        <v>25</v>
      </c>
      <c r="I1296" s="45">
        <v>44805</v>
      </c>
      <c r="J1296" s="46">
        <f>EFEITO!$J$1296*EFEITO!$Y$1110</f>
        <v>0</v>
      </c>
      <c r="K1296" s="46">
        <f ca="1">EFEITO!$L$1296*EFEITO!$Z$1372</f>
        <v>505997.83107961249</v>
      </c>
      <c r="L1296" s="46">
        <f>EFEITO!$N$1296*EFEITO!$AA$1372</f>
        <v>277800.61317586817</v>
      </c>
      <c r="M1296" s="46">
        <f>$J$1296-EFEITO!$K$1296*EFEITO!$Y$1296</f>
        <v>0</v>
      </c>
      <c r="N1296" s="46">
        <f ca="1">$K$1296-EFEITO!$M$1296*EFEITO!$Z$1296</f>
        <v>202399.13243184501</v>
      </c>
      <c r="O1296" s="46">
        <f>$L$1296-EFEITO!$O$1296*EFEITO!$AA$1296</f>
        <v>111120.24527034731</v>
      </c>
      <c r="P1296" s="38"/>
      <c r="Q1296" s="38"/>
      <c r="R1296" s="38"/>
      <c r="S1296" s="38"/>
      <c r="T1296" s="38"/>
      <c r="U1296" s="38"/>
      <c r="V1296" s="38"/>
      <c r="W1296" s="38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</row>
    <row r="1297" spans="1:36" ht="11.25" customHeight="1" x14ac:dyDescent="0.2">
      <c r="A1297" s="35" t="s">
        <v>29</v>
      </c>
      <c r="B1297" s="35" t="s">
        <v>22</v>
      </c>
      <c r="C1297" s="35" t="s">
        <v>23</v>
      </c>
      <c r="D1297" s="35" t="s">
        <v>24</v>
      </c>
      <c r="E1297" s="35" t="s">
        <v>32</v>
      </c>
      <c r="F1297" s="35" t="s">
        <v>25</v>
      </c>
      <c r="G1297" s="35" t="s">
        <v>25</v>
      </c>
      <c r="H1297" s="35" t="s">
        <v>25</v>
      </c>
      <c r="I1297" s="45">
        <v>44805</v>
      </c>
      <c r="J1297" s="46">
        <f>EFEITO!$J$1297*EFEITO!$Y$1110</f>
        <v>0</v>
      </c>
      <c r="K1297" s="46">
        <f ca="1">EFEITO!$L$1297*EFEITO!$Z$1372</f>
        <v>-151.26261913033625</v>
      </c>
      <c r="L1297" s="46">
        <f>EFEITO!$N$1297*EFEITO!$AA$1372</f>
        <v>-83.045510798610039</v>
      </c>
      <c r="M1297" s="46">
        <f>$J$1297-EFEITO!$K$1297*EFEITO!$Y$1297</f>
        <v>0</v>
      </c>
      <c r="N1297" s="46">
        <f ca="1">$K$1297-EFEITO!$M$1297*EFEITO!$Z$1297</f>
        <v>-60.505047652134493</v>
      </c>
      <c r="O1297" s="46">
        <f>$L$1297-EFEITO!$O$1297*EFEITO!$AA$1297</f>
        <v>-33.21820431944402</v>
      </c>
      <c r="P1297" s="38"/>
      <c r="Q1297" s="38"/>
      <c r="R1297" s="38"/>
      <c r="S1297" s="38"/>
      <c r="T1297" s="38"/>
      <c r="U1297" s="38"/>
      <c r="V1297" s="38"/>
      <c r="W1297" s="38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</row>
    <row r="1298" spans="1:36" ht="11.25" customHeight="1" x14ac:dyDescent="0.2">
      <c r="A1298" s="35" t="s">
        <v>30</v>
      </c>
      <c r="B1298" s="35" t="s">
        <v>22</v>
      </c>
      <c r="C1298" s="35" t="s">
        <v>23</v>
      </c>
      <c r="D1298" s="35" t="s">
        <v>24</v>
      </c>
      <c r="E1298" s="35" t="s">
        <v>32</v>
      </c>
      <c r="F1298" s="35" t="s">
        <v>25</v>
      </c>
      <c r="G1298" s="35" t="s">
        <v>25</v>
      </c>
      <c r="H1298" s="35" t="s">
        <v>25</v>
      </c>
      <c r="I1298" s="45">
        <v>44805</v>
      </c>
      <c r="J1298" s="46">
        <f>EFEITO!$J$1298*EFEITO!$Y$1110</f>
        <v>0</v>
      </c>
      <c r="K1298" s="46">
        <f ca="1">EFEITO!$L$1298*EFEITO!$Z$1372</f>
        <v>1006.7367651007936</v>
      </c>
      <c r="L1298" s="46">
        <f>EFEITO!$N$1298*EFEITO!$AA$1372</f>
        <v>552.71401075963786</v>
      </c>
      <c r="M1298" s="46">
        <f>$J$1298-EFEITO!$K$1298*EFEITO!$Y$1298</f>
        <v>0</v>
      </c>
      <c r="N1298" s="46">
        <f ca="1">$K$1298-EFEITO!$M$1298*EFEITO!$Z$1298</f>
        <v>402.69470604031756</v>
      </c>
      <c r="O1298" s="46">
        <f>$L$1298-EFEITO!$O$1298*EFEITO!$AA$1298</f>
        <v>221.08560430385518</v>
      </c>
      <c r="P1298" s="38"/>
      <c r="Q1298" s="38"/>
      <c r="R1298" s="38"/>
      <c r="S1298" s="38"/>
      <c r="T1298" s="38"/>
      <c r="U1298" s="38"/>
      <c r="V1298" s="38"/>
      <c r="W1298" s="38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</row>
    <row r="1299" spans="1:36" ht="11.25" customHeight="1" x14ac:dyDescent="0.2">
      <c r="A1299" s="35" t="s">
        <v>21</v>
      </c>
      <c r="B1299" s="35" t="s">
        <v>22</v>
      </c>
      <c r="C1299" s="35" t="s">
        <v>23</v>
      </c>
      <c r="D1299" s="35" t="s">
        <v>24</v>
      </c>
      <c r="E1299" s="35" t="s">
        <v>32</v>
      </c>
      <c r="F1299" s="35" t="s">
        <v>25</v>
      </c>
      <c r="G1299" s="35" t="s">
        <v>25</v>
      </c>
      <c r="H1299" s="35" t="s">
        <v>25</v>
      </c>
      <c r="I1299" s="45">
        <v>44835</v>
      </c>
      <c r="J1299" s="46">
        <f>EFEITO!$J$1299*EFEITO!$Y$1110</f>
        <v>0</v>
      </c>
      <c r="K1299" s="46">
        <f ca="1">EFEITO!$L$1299*EFEITO!$Z$1372</f>
        <v>1177448.395659755</v>
      </c>
      <c r="L1299" s="46">
        <f>EFEITO!$N$1299*EFEITO!$AA$1372</f>
        <v>646437.32879115373</v>
      </c>
      <c r="M1299" s="46">
        <f>$J$1299-EFEITO!$K$1299*EFEITO!$Y$1299</f>
        <v>0</v>
      </c>
      <c r="N1299" s="46">
        <f ca="1">$K$1299-EFEITO!$M$1299*EFEITO!$Z$1299</f>
        <v>470979.35826390213</v>
      </c>
      <c r="O1299" s="46">
        <f>$L$1299-EFEITO!$O$1299*EFEITO!$AA$1299</f>
        <v>258574.93151646154</v>
      </c>
      <c r="P1299" s="38"/>
      <c r="Q1299" s="38"/>
      <c r="R1299" s="38"/>
      <c r="S1299" s="38"/>
      <c r="T1299" s="38"/>
      <c r="U1299" s="38"/>
      <c r="V1299" s="38"/>
      <c r="W1299" s="38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</row>
    <row r="1300" spans="1:36" ht="11.25" customHeight="1" x14ac:dyDescent="0.2">
      <c r="A1300" s="35" t="s">
        <v>27</v>
      </c>
      <c r="B1300" s="35" t="s">
        <v>22</v>
      </c>
      <c r="C1300" s="35" t="s">
        <v>23</v>
      </c>
      <c r="D1300" s="35" t="s">
        <v>24</v>
      </c>
      <c r="E1300" s="35" t="s">
        <v>32</v>
      </c>
      <c r="F1300" s="35" t="s">
        <v>25</v>
      </c>
      <c r="G1300" s="35" t="s">
        <v>25</v>
      </c>
      <c r="H1300" s="35" t="s">
        <v>25</v>
      </c>
      <c r="I1300" s="45">
        <v>44835</v>
      </c>
      <c r="J1300" s="46">
        <f>EFEITO!$J$1300*EFEITO!$Y$1110</f>
        <v>0</v>
      </c>
      <c r="K1300" s="46">
        <f ca="1">EFEITO!$L$1300*EFEITO!$Z$1372</f>
        <v>-3115.1696062008696</v>
      </c>
      <c r="L1300" s="46">
        <f>EFEITO!$N$1300*EFEITO!$AA$1372</f>
        <v>-1710.2761585024855</v>
      </c>
      <c r="M1300" s="46">
        <f>$J$1300-EFEITO!$K$1300*EFEITO!$Y$1300</f>
        <v>0</v>
      </c>
      <c r="N1300" s="46">
        <f ca="1">$K$1300-EFEITO!$M$1300*EFEITO!$Z$1300</f>
        <v>-1246.067842480348</v>
      </c>
      <c r="O1300" s="46">
        <f>$L$1300-EFEITO!$O$1300*EFEITO!$AA$1300</f>
        <v>-684.11046340099415</v>
      </c>
      <c r="P1300" s="38"/>
      <c r="Q1300" s="38"/>
      <c r="R1300" s="38"/>
      <c r="S1300" s="38"/>
      <c r="T1300" s="38"/>
      <c r="U1300" s="38"/>
      <c r="V1300" s="38"/>
      <c r="W1300" s="38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</row>
    <row r="1301" spans="1:36" ht="11.25" customHeight="1" x14ac:dyDescent="0.2">
      <c r="A1301" s="35" t="s">
        <v>28</v>
      </c>
      <c r="B1301" s="35" t="s">
        <v>22</v>
      </c>
      <c r="C1301" s="35" t="s">
        <v>23</v>
      </c>
      <c r="D1301" s="35" t="s">
        <v>24</v>
      </c>
      <c r="E1301" s="35" t="s">
        <v>32</v>
      </c>
      <c r="F1301" s="35" t="s">
        <v>25</v>
      </c>
      <c r="G1301" s="35" t="s">
        <v>25</v>
      </c>
      <c r="H1301" s="35" t="s">
        <v>25</v>
      </c>
      <c r="I1301" s="45">
        <v>44835</v>
      </c>
      <c r="J1301" s="46">
        <f>EFEITO!$J$1301*EFEITO!$Y$1110</f>
        <v>0</v>
      </c>
      <c r="K1301" s="46">
        <f ca="1">EFEITO!$L$1301*EFEITO!$Z$1372</f>
        <v>526921.23287081625</v>
      </c>
      <c r="L1301" s="46">
        <f>EFEITO!$N$1301*EFEITO!$AA$1372</f>
        <v>289287.88345708587</v>
      </c>
      <c r="M1301" s="46">
        <f>$J$1301-EFEITO!$K$1301*EFEITO!$Y$1301</f>
        <v>0</v>
      </c>
      <c r="N1301" s="46">
        <f ca="1">$K$1301-EFEITO!$M$1301*EFEITO!$Z$1301</f>
        <v>210768.49314832652</v>
      </c>
      <c r="O1301" s="46">
        <f>$L$1301-EFEITO!$O$1301*EFEITO!$AA$1301</f>
        <v>115715.15338283437</v>
      </c>
      <c r="P1301" s="38"/>
      <c r="Q1301" s="38"/>
      <c r="R1301" s="38"/>
      <c r="S1301" s="38"/>
      <c r="T1301" s="38"/>
      <c r="U1301" s="38"/>
      <c r="V1301" s="38"/>
      <c r="W1301" s="38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</row>
    <row r="1302" spans="1:36" ht="11.25" customHeight="1" x14ac:dyDescent="0.2">
      <c r="A1302" s="35" t="s">
        <v>29</v>
      </c>
      <c r="B1302" s="35" t="s">
        <v>22</v>
      </c>
      <c r="C1302" s="35" t="s">
        <v>23</v>
      </c>
      <c r="D1302" s="35" t="s">
        <v>24</v>
      </c>
      <c r="E1302" s="35" t="s">
        <v>32</v>
      </c>
      <c r="F1302" s="35" t="s">
        <v>25</v>
      </c>
      <c r="G1302" s="35" t="s">
        <v>25</v>
      </c>
      <c r="H1302" s="35" t="s">
        <v>25</v>
      </c>
      <c r="I1302" s="45">
        <v>44835</v>
      </c>
      <c r="J1302" s="46">
        <f>EFEITO!$J$1302*EFEITO!$Y$1110</f>
        <v>0</v>
      </c>
      <c r="K1302" s="46">
        <f ca="1">EFEITO!$L$1302*EFEITO!$Z$1372</f>
        <v>-1557.5848031004348</v>
      </c>
      <c r="L1302" s="46">
        <f>EFEITO!$N$1302*EFEITO!$AA$1372</f>
        <v>-855.13807925124274</v>
      </c>
      <c r="M1302" s="46">
        <f>$J$1302-EFEITO!$K$1302*EFEITO!$Y$1302</f>
        <v>0</v>
      </c>
      <c r="N1302" s="46">
        <f ca="1">$K$1302-EFEITO!$M$1302*EFEITO!$Z$1302</f>
        <v>-623.03392124017398</v>
      </c>
      <c r="O1302" s="46">
        <f>$L$1302-EFEITO!$O$1302*EFEITO!$AA$1302</f>
        <v>-342.05523170049707</v>
      </c>
      <c r="P1302" s="38"/>
      <c r="Q1302" s="38"/>
      <c r="R1302" s="38"/>
      <c r="S1302" s="38"/>
      <c r="T1302" s="38"/>
      <c r="U1302" s="38"/>
      <c r="V1302" s="38"/>
      <c r="W1302" s="38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</row>
    <row r="1303" spans="1:36" ht="11.25" customHeight="1" x14ac:dyDescent="0.2">
      <c r="A1303" s="35" t="s">
        <v>30</v>
      </c>
      <c r="B1303" s="35" t="s">
        <v>22</v>
      </c>
      <c r="C1303" s="35" t="s">
        <v>23</v>
      </c>
      <c r="D1303" s="35" t="s">
        <v>24</v>
      </c>
      <c r="E1303" s="35" t="s">
        <v>32</v>
      </c>
      <c r="F1303" s="35" t="s">
        <v>25</v>
      </c>
      <c r="G1303" s="35" t="s">
        <v>25</v>
      </c>
      <c r="H1303" s="35" t="s">
        <v>25</v>
      </c>
      <c r="I1303" s="45">
        <v>44835</v>
      </c>
      <c r="J1303" s="46">
        <f>EFEITO!$J$1303*EFEITO!$Y$1110</f>
        <v>0</v>
      </c>
      <c r="K1303" s="46">
        <f ca="1">EFEITO!$L$1303*EFEITO!$Z$1372</f>
        <v>1086.9899880282776</v>
      </c>
      <c r="L1303" s="46">
        <f>EFEITO!$N$1303*EFEITO!$AA$1372</f>
        <v>596.77426787778938</v>
      </c>
      <c r="M1303" s="46">
        <f>$J$1303-EFEITO!$K$1303*EFEITO!$Y$1303</f>
        <v>0</v>
      </c>
      <c r="N1303" s="46">
        <f ca="1">$K$1303-EFEITO!$M$1303*EFEITO!$Z$1303</f>
        <v>434.79599521131104</v>
      </c>
      <c r="O1303" s="46">
        <f>$L$1303-EFEITO!$O$1303*EFEITO!$AA$1303</f>
        <v>238.70970715111577</v>
      </c>
      <c r="P1303" s="38"/>
      <c r="Q1303" s="38"/>
      <c r="R1303" s="38"/>
      <c r="S1303" s="38"/>
      <c r="T1303" s="38"/>
      <c r="U1303" s="38"/>
      <c r="V1303" s="38"/>
      <c r="W1303" s="38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</row>
    <row r="1304" spans="1:36" ht="11.25" customHeight="1" x14ac:dyDescent="0.2">
      <c r="A1304" s="35" t="s">
        <v>59</v>
      </c>
      <c r="B1304" s="35" t="s">
        <v>22</v>
      </c>
      <c r="C1304" s="35" t="s">
        <v>23</v>
      </c>
      <c r="D1304" s="35" t="s">
        <v>24</v>
      </c>
      <c r="E1304" s="35" t="s">
        <v>32</v>
      </c>
      <c r="F1304" s="35" t="s">
        <v>25</v>
      </c>
      <c r="G1304" s="35" t="s">
        <v>25</v>
      </c>
      <c r="H1304" s="35" t="s">
        <v>25</v>
      </c>
      <c r="I1304" s="45">
        <v>44866</v>
      </c>
      <c r="J1304" s="46">
        <f>EFEITO!$J$1304*EFEITO!$Y$1110</f>
        <v>0</v>
      </c>
      <c r="K1304" s="46">
        <f ca="1">EFEITO!$L$1304*EFEITO!$Z$1372</f>
        <v>1177448.395659755</v>
      </c>
      <c r="L1304" s="46">
        <f>EFEITO!$N$1304*EFEITO!$AA$1372</f>
        <v>646437.32879115373</v>
      </c>
      <c r="M1304" s="46">
        <f>$J$1304-EFEITO!$K$1304*EFEITO!$Y$1304</f>
        <v>0</v>
      </c>
      <c r="N1304" s="46">
        <f ca="1">$K$1304-EFEITO!$M$1304*EFEITO!$Z$1304</f>
        <v>470979.35826390213</v>
      </c>
      <c r="O1304" s="46">
        <f>$L$1304-EFEITO!$O$1304*EFEITO!$AA$1304</f>
        <v>258574.93151646154</v>
      </c>
      <c r="P1304" s="38"/>
      <c r="Q1304" s="38"/>
      <c r="R1304" s="38"/>
      <c r="S1304" s="38"/>
      <c r="T1304" s="38"/>
      <c r="U1304" s="38"/>
      <c r="V1304" s="38"/>
      <c r="W1304" s="38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</row>
    <row r="1305" spans="1:36" ht="11.25" customHeight="1" x14ac:dyDescent="0.2">
      <c r="A1305" s="35" t="s">
        <v>59</v>
      </c>
      <c r="B1305" s="35" t="s">
        <v>22</v>
      </c>
      <c r="C1305" s="35" t="s">
        <v>23</v>
      </c>
      <c r="D1305" s="35" t="s">
        <v>24</v>
      </c>
      <c r="E1305" s="35" t="s">
        <v>32</v>
      </c>
      <c r="F1305" s="35" t="s">
        <v>25</v>
      </c>
      <c r="G1305" s="35" t="s">
        <v>25</v>
      </c>
      <c r="H1305" s="35" t="s">
        <v>25</v>
      </c>
      <c r="I1305" s="45">
        <v>44866</v>
      </c>
      <c r="J1305" s="46">
        <f>EFEITO!$J$1305*EFEITO!$Y$1110</f>
        <v>0</v>
      </c>
      <c r="K1305" s="46">
        <f ca="1">EFEITO!$L$1305*EFEITO!$Z$1372</f>
        <v>-3115.1696062008696</v>
      </c>
      <c r="L1305" s="46">
        <f>EFEITO!$N$1305*EFEITO!$AA$1372</f>
        <v>-1710.2761585024855</v>
      </c>
      <c r="M1305" s="46">
        <f>$J$1305-EFEITO!$K$1305*EFEITO!$Y$1305</f>
        <v>0</v>
      </c>
      <c r="N1305" s="46">
        <f ca="1">$K$1305-EFEITO!$M$1305*EFEITO!$Z$1305</f>
        <v>-1246.067842480348</v>
      </c>
      <c r="O1305" s="46">
        <f>$L$1305-EFEITO!$O$1305*EFEITO!$AA$1305</f>
        <v>-684.11046340099415</v>
      </c>
      <c r="P1305" s="38"/>
      <c r="Q1305" s="38"/>
      <c r="R1305" s="38"/>
      <c r="S1305" s="38"/>
      <c r="T1305" s="38"/>
      <c r="U1305" s="38"/>
      <c r="V1305" s="38"/>
      <c r="W1305" s="38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</row>
    <row r="1306" spans="1:36" ht="11.25" customHeight="1" x14ac:dyDescent="0.2">
      <c r="A1306" s="35" t="s">
        <v>59</v>
      </c>
      <c r="B1306" s="35" t="s">
        <v>22</v>
      </c>
      <c r="C1306" s="35" t="s">
        <v>23</v>
      </c>
      <c r="D1306" s="35" t="s">
        <v>24</v>
      </c>
      <c r="E1306" s="35" t="s">
        <v>32</v>
      </c>
      <c r="F1306" s="35" t="s">
        <v>25</v>
      </c>
      <c r="G1306" s="35" t="s">
        <v>25</v>
      </c>
      <c r="H1306" s="35" t="s">
        <v>25</v>
      </c>
      <c r="I1306" s="45">
        <v>44866</v>
      </c>
      <c r="J1306" s="46">
        <f>EFEITO!$J$1306*EFEITO!$Y$1110</f>
        <v>0</v>
      </c>
      <c r="K1306" s="46">
        <f ca="1">EFEITO!$L$1306*EFEITO!$Z$1372</f>
        <v>526921.23287081625</v>
      </c>
      <c r="L1306" s="46">
        <f>EFEITO!$N$1306*EFEITO!$AA$1372</f>
        <v>289287.88345708587</v>
      </c>
      <c r="M1306" s="46">
        <f>$J$1306-EFEITO!$K$1306*EFEITO!$Y$1306</f>
        <v>0</v>
      </c>
      <c r="N1306" s="46">
        <f ca="1">$K$1306-EFEITO!$M$1306*EFEITO!$Z$1306</f>
        <v>210768.49314832652</v>
      </c>
      <c r="O1306" s="46">
        <f>$L$1306-EFEITO!$O$1306*EFEITO!$AA$1306</f>
        <v>115715.15338283437</v>
      </c>
      <c r="P1306" s="38"/>
      <c r="Q1306" s="38"/>
      <c r="R1306" s="38"/>
      <c r="S1306" s="38"/>
      <c r="T1306" s="38"/>
      <c r="U1306" s="38"/>
      <c r="V1306" s="38"/>
      <c r="W1306" s="38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</row>
    <row r="1307" spans="1:36" ht="11.25" customHeight="1" x14ac:dyDescent="0.2">
      <c r="A1307" s="35" t="s">
        <v>59</v>
      </c>
      <c r="B1307" s="35" t="s">
        <v>22</v>
      </c>
      <c r="C1307" s="35" t="s">
        <v>23</v>
      </c>
      <c r="D1307" s="35" t="s">
        <v>24</v>
      </c>
      <c r="E1307" s="35" t="s">
        <v>32</v>
      </c>
      <c r="F1307" s="35" t="s">
        <v>25</v>
      </c>
      <c r="G1307" s="35" t="s">
        <v>25</v>
      </c>
      <c r="H1307" s="35" t="s">
        <v>25</v>
      </c>
      <c r="I1307" s="45">
        <v>44866</v>
      </c>
      <c r="J1307" s="46">
        <f>EFEITO!$J$1307*EFEITO!$Y$1110</f>
        <v>0</v>
      </c>
      <c r="K1307" s="46">
        <f ca="1">EFEITO!$L$1307*EFEITO!$Z$1372</f>
        <v>-1557.5848031004348</v>
      </c>
      <c r="L1307" s="46">
        <f>EFEITO!$N$1307*EFEITO!$AA$1372</f>
        <v>-855.13807925124274</v>
      </c>
      <c r="M1307" s="46">
        <f>$J$1307-EFEITO!$K$1307*EFEITO!$Y$1307</f>
        <v>0</v>
      </c>
      <c r="N1307" s="46">
        <f ca="1">$K$1307-EFEITO!$M$1307*EFEITO!$Z$1307</f>
        <v>-623.03392124017398</v>
      </c>
      <c r="O1307" s="46">
        <f>$L$1307-EFEITO!$O$1307*EFEITO!$AA$1307</f>
        <v>-342.05523170049707</v>
      </c>
      <c r="P1307" s="38"/>
      <c r="Q1307" s="38"/>
      <c r="R1307" s="38"/>
      <c r="S1307" s="38"/>
      <c r="T1307" s="38"/>
      <c r="U1307" s="38"/>
      <c r="V1307" s="38"/>
      <c r="W1307" s="38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</row>
    <row r="1308" spans="1:36" ht="11.25" customHeight="1" x14ac:dyDescent="0.2">
      <c r="A1308" s="35" t="s">
        <v>59</v>
      </c>
      <c r="B1308" s="35" t="s">
        <v>22</v>
      </c>
      <c r="C1308" s="35" t="s">
        <v>23</v>
      </c>
      <c r="D1308" s="35" t="s">
        <v>24</v>
      </c>
      <c r="E1308" s="35" t="s">
        <v>32</v>
      </c>
      <c r="F1308" s="35" t="s">
        <v>25</v>
      </c>
      <c r="G1308" s="35" t="s">
        <v>25</v>
      </c>
      <c r="H1308" s="35" t="s">
        <v>25</v>
      </c>
      <c r="I1308" s="45">
        <v>44866</v>
      </c>
      <c r="J1308" s="46">
        <f>EFEITO!$J$1308*EFEITO!$Y$1110</f>
        <v>0</v>
      </c>
      <c r="K1308" s="46">
        <f ca="1">EFEITO!$L$1308*EFEITO!$Z$1372</f>
        <v>1086.9899880282776</v>
      </c>
      <c r="L1308" s="46">
        <f>EFEITO!$N$1308*EFEITO!$AA$1372</f>
        <v>596.77426787778938</v>
      </c>
      <c r="M1308" s="46">
        <f>$J$1308-EFEITO!$K$1308*EFEITO!$Y$1308</f>
        <v>0</v>
      </c>
      <c r="N1308" s="46">
        <f ca="1">$K$1308-EFEITO!$M$1308*EFEITO!$Z$1308</f>
        <v>434.79599521131104</v>
      </c>
      <c r="O1308" s="46">
        <f>$L$1308-EFEITO!$O$1308*EFEITO!$AA$1308</f>
        <v>238.70970715111577</v>
      </c>
      <c r="P1308" s="38"/>
      <c r="Q1308" s="38"/>
      <c r="R1308" s="38"/>
      <c r="S1308" s="38"/>
      <c r="T1308" s="38"/>
      <c r="U1308" s="38"/>
      <c r="V1308" s="38"/>
      <c r="W1308" s="38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</row>
    <row r="1309" spans="1:36" ht="11.25" customHeight="1" x14ac:dyDescent="0.2">
      <c r="A1309" s="35" t="s">
        <v>21</v>
      </c>
      <c r="B1309" s="35" t="s">
        <v>22</v>
      </c>
      <c r="C1309" s="35" t="s">
        <v>23</v>
      </c>
      <c r="D1309" s="35" t="s">
        <v>24</v>
      </c>
      <c r="E1309" s="35" t="s">
        <v>33</v>
      </c>
      <c r="F1309" s="35" t="s">
        <v>25</v>
      </c>
      <c r="G1309" s="35" t="s">
        <v>25</v>
      </c>
      <c r="H1309" s="35" t="s">
        <v>25</v>
      </c>
      <c r="I1309" s="45">
        <v>44531</v>
      </c>
      <c r="J1309" s="46">
        <f>EFEITO!$J$1309*EFEITO!$Y$1110</f>
        <v>0</v>
      </c>
      <c r="K1309" s="46">
        <f ca="1">EFEITO!$L$1309*EFEITO!$Z$1372</f>
        <v>818065.21956375707</v>
      </c>
      <c r="L1309" s="46">
        <f>EFEITO!$N$1309*EFEITO!$AA$1372</f>
        <v>449130.4224126339</v>
      </c>
      <c r="M1309" s="46">
        <f>$J$1309-EFEITO!$K$1309*EFEITO!$Y$1309</f>
        <v>0</v>
      </c>
      <c r="N1309" s="46">
        <f ca="1">$K$1309-EFEITO!$M$1309*EFEITO!$Z$1309</f>
        <v>81806.521956375684</v>
      </c>
      <c r="O1309" s="46">
        <f>$L$1309-EFEITO!$O$1309*EFEITO!$AA$1309</f>
        <v>44913.042241263378</v>
      </c>
      <c r="P1309" s="38"/>
      <c r="Q1309" s="38"/>
      <c r="R1309" s="38"/>
      <c r="S1309" s="38"/>
      <c r="T1309" s="38"/>
      <c r="U1309" s="38"/>
      <c r="V1309" s="38"/>
      <c r="W1309" s="38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</row>
    <row r="1310" spans="1:36" ht="11.25" customHeight="1" x14ac:dyDescent="0.2">
      <c r="A1310" s="35" t="s">
        <v>27</v>
      </c>
      <c r="B1310" s="35" t="s">
        <v>22</v>
      </c>
      <c r="C1310" s="35" t="s">
        <v>23</v>
      </c>
      <c r="D1310" s="35" t="s">
        <v>24</v>
      </c>
      <c r="E1310" s="35" t="s">
        <v>33</v>
      </c>
      <c r="F1310" s="35" t="s">
        <v>25</v>
      </c>
      <c r="G1310" s="35" t="s">
        <v>25</v>
      </c>
      <c r="H1310" s="35" t="s">
        <v>25</v>
      </c>
      <c r="I1310" s="45">
        <v>44531</v>
      </c>
      <c r="J1310" s="46">
        <f>EFEITO!$J$1310*EFEITO!$Y$1110</f>
        <v>0</v>
      </c>
      <c r="K1310" s="46">
        <f ca="1">EFEITO!$L$1310*EFEITO!$Z$1372</f>
        <v>-12490.510774687516</v>
      </c>
      <c r="L1310" s="46">
        <f>EFEITO!$N$1310*EFEITO!$AA$1372</f>
        <v>-6857.4830541952242</v>
      </c>
      <c r="M1310" s="46">
        <f>$J$1310-EFEITO!$K$1310*EFEITO!$Y$1310</f>
        <v>0</v>
      </c>
      <c r="N1310" s="46">
        <f ca="1">$K$1310-EFEITO!$M$1310*EFEITO!$Z$1310</f>
        <v>-1249.05107746875</v>
      </c>
      <c r="O1310" s="46">
        <f>$L$1310-EFEITO!$O$1310*EFEITO!$AA$1310</f>
        <v>-685.74830541952269</v>
      </c>
      <c r="P1310" s="38"/>
      <c r="Q1310" s="38"/>
      <c r="R1310" s="38"/>
      <c r="S1310" s="38"/>
      <c r="T1310" s="38"/>
      <c r="U1310" s="38"/>
      <c r="V1310" s="38"/>
      <c r="W1310" s="38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</row>
    <row r="1311" spans="1:36" ht="11.25" customHeight="1" x14ac:dyDescent="0.2">
      <c r="A1311" s="35" t="s">
        <v>28</v>
      </c>
      <c r="B1311" s="35" t="s">
        <v>22</v>
      </c>
      <c r="C1311" s="35" t="s">
        <v>23</v>
      </c>
      <c r="D1311" s="35" t="s">
        <v>24</v>
      </c>
      <c r="E1311" s="35" t="s">
        <v>33</v>
      </c>
      <c r="F1311" s="35" t="s">
        <v>25</v>
      </c>
      <c r="G1311" s="35" t="s">
        <v>25</v>
      </c>
      <c r="H1311" s="35" t="s">
        <v>25</v>
      </c>
      <c r="I1311" s="45">
        <v>44531</v>
      </c>
      <c r="J1311" s="46">
        <f>EFEITO!$J$1311*EFEITO!$Y$1110</f>
        <v>0</v>
      </c>
      <c r="K1311" s="46">
        <f ca="1">EFEITO!$L$1311*EFEITO!$Z$1372</f>
        <v>285714.07884010376</v>
      </c>
      <c r="L1311" s="46">
        <f>EFEITO!$N$1311*EFEITO!$AA$1372</f>
        <v>156861.43579985233</v>
      </c>
      <c r="M1311" s="46">
        <f>$J$1311-EFEITO!$K$1311*EFEITO!$Y$1311</f>
        <v>0</v>
      </c>
      <c r="N1311" s="46">
        <f ca="1">$K$1311-EFEITO!$M$1311*EFEITO!$Z$1311</f>
        <v>28571.407884010347</v>
      </c>
      <c r="O1311" s="46">
        <f>$L$1311-EFEITO!$O$1311*EFEITO!$AA$1311</f>
        <v>15686.143579985219</v>
      </c>
      <c r="P1311" s="38"/>
      <c r="Q1311" s="38"/>
      <c r="R1311" s="38"/>
      <c r="S1311" s="38"/>
      <c r="T1311" s="38"/>
      <c r="U1311" s="38"/>
      <c r="V1311" s="38"/>
      <c r="W1311" s="38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</row>
    <row r="1312" spans="1:36" ht="11.25" customHeight="1" x14ac:dyDescent="0.2">
      <c r="A1312" s="35" t="s">
        <v>29</v>
      </c>
      <c r="B1312" s="35" t="s">
        <v>22</v>
      </c>
      <c r="C1312" s="35" t="s">
        <v>23</v>
      </c>
      <c r="D1312" s="35" t="s">
        <v>24</v>
      </c>
      <c r="E1312" s="35" t="s">
        <v>33</v>
      </c>
      <c r="F1312" s="35" t="s">
        <v>25</v>
      </c>
      <c r="G1312" s="35" t="s">
        <v>25</v>
      </c>
      <c r="H1312" s="35" t="s">
        <v>25</v>
      </c>
      <c r="I1312" s="45">
        <v>44531</v>
      </c>
      <c r="J1312" s="46">
        <f>EFEITO!$J$1312*EFEITO!$Y$1110</f>
        <v>0</v>
      </c>
      <c r="K1312" s="46">
        <f ca="1">EFEITO!$L$1312*EFEITO!$Z$1372</f>
        <v>-248.32279973896868</v>
      </c>
      <c r="L1312" s="46">
        <f>EFEITO!$N$1312*EFEITO!$AA$1372</f>
        <v>-136.33304689438481</v>
      </c>
      <c r="M1312" s="46">
        <f>$J$1312-EFEITO!$K$1312*EFEITO!$Y$1312</f>
        <v>0</v>
      </c>
      <c r="N1312" s="46">
        <f ca="1">$K$1312-EFEITO!$M$1312*EFEITO!$Z$1312</f>
        <v>-24.832279973896846</v>
      </c>
      <c r="O1312" s="46">
        <f>$L$1312-EFEITO!$O$1312*EFEITO!$AA$1312</f>
        <v>-13.633304689438475</v>
      </c>
      <c r="P1312" s="38"/>
      <c r="Q1312" s="38"/>
      <c r="R1312" s="38"/>
      <c r="S1312" s="38"/>
      <c r="T1312" s="38"/>
      <c r="U1312" s="38"/>
      <c r="V1312" s="38"/>
      <c r="W1312" s="38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</row>
    <row r="1313" spans="1:36" ht="11.25" customHeight="1" x14ac:dyDescent="0.2">
      <c r="A1313" s="35" t="s">
        <v>30</v>
      </c>
      <c r="B1313" s="35" t="s">
        <v>22</v>
      </c>
      <c r="C1313" s="35" t="s">
        <v>23</v>
      </c>
      <c r="D1313" s="35" t="s">
        <v>24</v>
      </c>
      <c r="E1313" s="35" t="s">
        <v>33</v>
      </c>
      <c r="F1313" s="35" t="s">
        <v>25</v>
      </c>
      <c r="G1313" s="35" t="s">
        <v>25</v>
      </c>
      <c r="H1313" s="35" t="s">
        <v>25</v>
      </c>
      <c r="I1313" s="45">
        <v>44531</v>
      </c>
      <c r="J1313" s="46">
        <f>EFEITO!$J$1313*EFEITO!$Y$1110</f>
        <v>0</v>
      </c>
      <c r="K1313" s="46">
        <f ca="1">EFEITO!$L$1313*EFEITO!$Z$1372</f>
        <v>792.86822860817927</v>
      </c>
      <c r="L1313" s="46">
        <f>EFEITO!$N$1313*EFEITO!$AA$1372</f>
        <v>435.29688576938099</v>
      </c>
      <c r="M1313" s="46">
        <f>$J$1313-EFEITO!$K$1313*EFEITO!$Y$1313</f>
        <v>0</v>
      </c>
      <c r="N1313" s="46">
        <f ca="1">$K$1313-EFEITO!$M$1313*EFEITO!$Z$1313</f>
        <v>79.286822860817892</v>
      </c>
      <c r="O1313" s="46">
        <f>$L$1313-EFEITO!$O$1313*EFEITO!$AA$1313</f>
        <v>43.529688576938099</v>
      </c>
      <c r="P1313" s="38"/>
      <c r="Q1313" s="38"/>
      <c r="R1313" s="38"/>
      <c r="S1313" s="38"/>
      <c r="T1313" s="38"/>
      <c r="U1313" s="38"/>
      <c r="V1313" s="38"/>
      <c r="W1313" s="38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</row>
    <row r="1314" spans="1:36" ht="11.25" customHeight="1" x14ac:dyDescent="0.2">
      <c r="A1314" s="35" t="s">
        <v>30</v>
      </c>
      <c r="B1314" s="35" t="s">
        <v>22</v>
      </c>
      <c r="C1314" s="35" t="s">
        <v>23</v>
      </c>
      <c r="D1314" s="35" t="s">
        <v>24</v>
      </c>
      <c r="E1314" s="35" t="s">
        <v>33</v>
      </c>
      <c r="F1314" s="35" t="s">
        <v>25</v>
      </c>
      <c r="G1314" s="35" t="s">
        <v>25</v>
      </c>
      <c r="H1314" s="35" t="s">
        <v>25</v>
      </c>
      <c r="I1314" s="45">
        <v>44531</v>
      </c>
      <c r="J1314" s="46">
        <f>EFEITO!$J$1314*EFEITO!$Y$1110</f>
        <v>0</v>
      </c>
      <c r="K1314" s="46">
        <f ca="1">EFEITO!$L$1314*EFEITO!$Z$1372</f>
        <v>-50.420873043445418</v>
      </c>
      <c r="L1314" s="46">
        <f>EFEITO!$N$1314*EFEITO!$AA$1372</f>
        <v>-27.681836932870013</v>
      </c>
      <c r="M1314" s="46">
        <f>$J$1314-EFEITO!$K$1314*EFEITO!$Y$1314</f>
        <v>0</v>
      </c>
      <c r="N1314" s="46">
        <f ca="1">$K$1314-EFEITO!$M$1314*EFEITO!$Z$1314</f>
        <v>-5.0420873043445411</v>
      </c>
      <c r="O1314" s="46">
        <f>$L$1314-EFEITO!$O$1314*EFEITO!$AA$1314</f>
        <v>-2.7681836932869999</v>
      </c>
      <c r="P1314" s="38"/>
      <c r="Q1314" s="38"/>
      <c r="R1314" s="38"/>
      <c r="S1314" s="38"/>
      <c r="T1314" s="38"/>
      <c r="U1314" s="38"/>
      <c r="V1314" s="38"/>
      <c r="W1314" s="38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</row>
    <row r="1315" spans="1:36" ht="11.25" customHeight="1" x14ac:dyDescent="0.2">
      <c r="A1315" s="35" t="s">
        <v>21</v>
      </c>
      <c r="B1315" s="35" t="s">
        <v>22</v>
      </c>
      <c r="C1315" s="35" t="s">
        <v>23</v>
      </c>
      <c r="D1315" s="35" t="s">
        <v>24</v>
      </c>
      <c r="E1315" s="35" t="s">
        <v>33</v>
      </c>
      <c r="F1315" s="35" t="s">
        <v>25</v>
      </c>
      <c r="G1315" s="35" t="s">
        <v>25</v>
      </c>
      <c r="H1315" s="35" t="s">
        <v>25</v>
      </c>
      <c r="I1315" s="45">
        <v>44562</v>
      </c>
      <c r="J1315" s="46">
        <f>EFEITO!$J$1315*EFEITO!$Y$1110</f>
        <v>0</v>
      </c>
      <c r="K1315" s="46">
        <f ca="1">EFEITO!$L$1315*EFEITO!$Z$1372</f>
        <v>832091.46609655942</v>
      </c>
      <c r="L1315" s="46">
        <f>EFEITO!$N$1315*EFEITO!$AA$1372</f>
        <v>456831.04808340943</v>
      </c>
      <c r="M1315" s="46">
        <f>$J$1315-EFEITO!$K$1315*EFEITO!$Y$1315</f>
        <v>0</v>
      </c>
      <c r="N1315" s="46">
        <f ca="1">$K$1315-EFEITO!$M$1315*EFEITO!$Z$1315</f>
        <v>83209.146609655931</v>
      </c>
      <c r="O1315" s="46">
        <f>$L$1315-EFEITO!$O$1315*EFEITO!$AA$1315</f>
        <v>45683.104808340955</v>
      </c>
      <c r="P1315" s="38"/>
      <c r="Q1315" s="38"/>
      <c r="R1315" s="38"/>
      <c r="S1315" s="38"/>
      <c r="T1315" s="38"/>
      <c r="U1315" s="38"/>
      <c r="V1315" s="38"/>
      <c r="W1315" s="38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</row>
    <row r="1316" spans="1:36" ht="11.25" customHeight="1" x14ac:dyDescent="0.2">
      <c r="A1316" s="35" t="s">
        <v>27</v>
      </c>
      <c r="B1316" s="35" t="s">
        <v>22</v>
      </c>
      <c r="C1316" s="35" t="s">
        <v>23</v>
      </c>
      <c r="D1316" s="35" t="s">
        <v>24</v>
      </c>
      <c r="E1316" s="35" t="s">
        <v>33</v>
      </c>
      <c r="F1316" s="35" t="s">
        <v>25</v>
      </c>
      <c r="G1316" s="35" t="s">
        <v>25</v>
      </c>
      <c r="H1316" s="35" t="s">
        <v>25</v>
      </c>
      <c r="I1316" s="45">
        <v>44562</v>
      </c>
      <c r="J1316" s="46">
        <f>EFEITO!$J$1316*EFEITO!$Y$1110</f>
        <v>0</v>
      </c>
      <c r="K1316" s="46">
        <f ca="1">EFEITO!$L$1316*EFEITO!$Z$1372</f>
        <v>-4646.7036248955237</v>
      </c>
      <c r="L1316" s="46">
        <f>EFEITO!$N$1316*EFEITO!$AA$1372</f>
        <v>-2551.1119553384124</v>
      </c>
      <c r="M1316" s="46">
        <f>$J$1316-EFEITO!$K$1316*EFEITO!$Y$1316</f>
        <v>0</v>
      </c>
      <c r="N1316" s="46">
        <f ca="1">$K$1316-EFEITO!$M$1316*EFEITO!$Z$1316</f>
        <v>-464.67036248955174</v>
      </c>
      <c r="O1316" s="46">
        <f>$L$1316-EFEITO!$O$1316*EFEITO!$AA$1316</f>
        <v>-255.11119553384151</v>
      </c>
      <c r="P1316" s="38"/>
      <c r="Q1316" s="38"/>
      <c r="R1316" s="38"/>
      <c r="S1316" s="38"/>
      <c r="T1316" s="38"/>
      <c r="U1316" s="38"/>
      <c r="V1316" s="38"/>
      <c r="W1316" s="38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</row>
    <row r="1317" spans="1:36" ht="11.25" customHeight="1" x14ac:dyDescent="0.2">
      <c r="A1317" s="35" t="s">
        <v>28</v>
      </c>
      <c r="B1317" s="35" t="s">
        <v>22</v>
      </c>
      <c r="C1317" s="35" t="s">
        <v>23</v>
      </c>
      <c r="D1317" s="35" t="s">
        <v>24</v>
      </c>
      <c r="E1317" s="35" t="s">
        <v>33</v>
      </c>
      <c r="F1317" s="35" t="s">
        <v>25</v>
      </c>
      <c r="G1317" s="35" t="s">
        <v>25</v>
      </c>
      <c r="H1317" s="35" t="s">
        <v>25</v>
      </c>
      <c r="I1317" s="45">
        <v>44562</v>
      </c>
      <c r="J1317" s="46">
        <f>EFEITO!$J$1317*EFEITO!$Y$1110</f>
        <v>0</v>
      </c>
      <c r="K1317" s="46">
        <f ca="1">EFEITO!$L$1317*EFEITO!$Z$1372</f>
        <v>293550.74303288123</v>
      </c>
      <c r="L1317" s="46">
        <f>EFEITO!$N$1317*EFEITO!$AA$1372</f>
        <v>161163.88530514366</v>
      </c>
      <c r="M1317" s="46">
        <f>$J$1317-EFEITO!$K$1317*EFEITO!$Y$1317</f>
        <v>0</v>
      </c>
      <c r="N1317" s="46">
        <f ca="1">$K$1317-EFEITO!$M$1317*EFEITO!$Z$1317</f>
        <v>29355.074303288071</v>
      </c>
      <c r="O1317" s="46">
        <f>$L$1317-EFEITO!$O$1317*EFEITO!$AA$1317</f>
        <v>16116.388530514378</v>
      </c>
      <c r="P1317" s="38"/>
      <c r="Q1317" s="38"/>
      <c r="R1317" s="38"/>
      <c r="S1317" s="38"/>
      <c r="T1317" s="38"/>
      <c r="U1317" s="38"/>
      <c r="V1317" s="38"/>
      <c r="W1317" s="38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</row>
    <row r="1318" spans="1:36" ht="11.25" customHeight="1" x14ac:dyDescent="0.2">
      <c r="A1318" s="35" t="s">
        <v>29</v>
      </c>
      <c r="B1318" s="35" t="s">
        <v>22</v>
      </c>
      <c r="C1318" s="35" t="s">
        <v>23</v>
      </c>
      <c r="D1318" s="35" t="s">
        <v>24</v>
      </c>
      <c r="E1318" s="35" t="s">
        <v>33</v>
      </c>
      <c r="F1318" s="35" t="s">
        <v>25</v>
      </c>
      <c r="G1318" s="35" t="s">
        <v>25</v>
      </c>
      <c r="H1318" s="35" t="s">
        <v>25</v>
      </c>
      <c r="I1318" s="45">
        <v>44562</v>
      </c>
      <c r="J1318" s="46">
        <f>EFEITO!$J$1318*EFEITO!$Y$1110</f>
        <v>0</v>
      </c>
      <c r="K1318" s="46">
        <f ca="1">EFEITO!$L$1318*EFEITO!$Z$1372</f>
        <v>-350.84524159397438</v>
      </c>
      <c r="L1318" s="46">
        <f>EFEITO!$N$1318*EFEITO!$AA$1372</f>
        <v>-192.61944865788718</v>
      </c>
      <c r="M1318" s="46">
        <f>$J$1318-EFEITO!$K$1318*EFEITO!$Y$1318</f>
        <v>0</v>
      </c>
      <c r="N1318" s="46">
        <f ca="1">$K$1318-EFEITO!$M$1318*EFEITO!$Z$1318</f>
        <v>-35.084524159397404</v>
      </c>
      <c r="O1318" s="46">
        <f>$L$1318-EFEITO!$O$1318*EFEITO!$AA$1318</f>
        <v>-19.261944865788735</v>
      </c>
      <c r="P1318" s="38"/>
      <c r="Q1318" s="38"/>
      <c r="R1318" s="38"/>
      <c r="S1318" s="38"/>
      <c r="T1318" s="38"/>
      <c r="U1318" s="38"/>
      <c r="V1318" s="38"/>
      <c r="W1318" s="38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</row>
    <row r="1319" spans="1:36" ht="11.25" customHeight="1" x14ac:dyDescent="0.2">
      <c r="A1319" s="35" t="s">
        <v>30</v>
      </c>
      <c r="B1319" s="35" t="s">
        <v>22</v>
      </c>
      <c r="C1319" s="35" t="s">
        <v>23</v>
      </c>
      <c r="D1319" s="35" t="s">
        <v>24</v>
      </c>
      <c r="E1319" s="35" t="s">
        <v>33</v>
      </c>
      <c r="F1319" s="35" t="s">
        <v>25</v>
      </c>
      <c r="G1319" s="35" t="s">
        <v>25</v>
      </c>
      <c r="H1319" s="35" t="s">
        <v>25</v>
      </c>
      <c r="I1319" s="45">
        <v>44562</v>
      </c>
      <c r="J1319" s="46">
        <f>EFEITO!$J$1319*EFEITO!$Y$1110</f>
        <v>0</v>
      </c>
      <c r="K1319" s="46">
        <f ca="1">EFEITO!$L$1319*EFEITO!$Z$1372</f>
        <v>484.040381217076</v>
      </c>
      <c r="L1319" s="46">
        <f>EFEITO!$N$1319*EFEITO!$AA$1372</f>
        <v>265.7456345555521</v>
      </c>
      <c r="M1319" s="46">
        <f>$J$1319-EFEITO!$K$1319*EFEITO!$Y$1319</f>
        <v>0</v>
      </c>
      <c r="N1319" s="46">
        <f ca="1">$K$1319-EFEITO!$M$1319*EFEITO!$Z$1319</f>
        <v>48.404038121707572</v>
      </c>
      <c r="O1319" s="46">
        <f>$L$1319-EFEITO!$O$1319*EFEITO!$AA$1319</f>
        <v>26.574563455555193</v>
      </c>
      <c r="P1319" s="38"/>
      <c r="Q1319" s="38"/>
      <c r="R1319" s="38"/>
      <c r="S1319" s="38"/>
      <c r="T1319" s="38"/>
      <c r="U1319" s="38"/>
      <c r="V1319" s="38"/>
      <c r="W1319" s="38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</row>
    <row r="1320" spans="1:36" ht="11.25" customHeight="1" x14ac:dyDescent="0.2">
      <c r="A1320" s="35" t="s">
        <v>30</v>
      </c>
      <c r="B1320" s="35" t="s">
        <v>22</v>
      </c>
      <c r="C1320" s="35" t="s">
        <v>23</v>
      </c>
      <c r="D1320" s="35" t="s">
        <v>24</v>
      </c>
      <c r="E1320" s="35" t="s">
        <v>33</v>
      </c>
      <c r="F1320" s="35" t="s">
        <v>25</v>
      </c>
      <c r="G1320" s="35" t="s">
        <v>25</v>
      </c>
      <c r="H1320" s="35" t="s">
        <v>25</v>
      </c>
      <c r="I1320" s="45">
        <v>44562</v>
      </c>
      <c r="J1320" s="46">
        <f>EFEITO!$J$1320*EFEITO!$Y$1110</f>
        <v>0</v>
      </c>
      <c r="K1320" s="46">
        <f ca="1">EFEITO!$L$1320*EFEITO!$Z$1372</f>
        <v>-50.420873043445418</v>
      </c>
      <c r="L1320" s="46">
        <f>EFEITO!$N$1320*EFEITO!$AA$1372</f>
        <v>-27.681836932870013</v>
      </c>
      <c r="M1320" s="46">
        <f>$J$1320-EFEITO!$K$1320*EFEITO!$Y$1320</f>
        <v>0</v>
      </c>
      <c r="N1320" s="46">
        <f ca="1">$K$1320-EFEITO!$M$1320*EFEITO!$Z$1320</f>
        <v>-5.0420873043445411</v>
      </c>
      <c r="O1320" s="46">
        <f>$L$1320-EFEITO!$O$1320*EFEITO!$AA$1320</f>
        <v>-2.7681836932869999</v>
      </c>
      <c r="P1320" s="38"/>
      <c r="Q1320" s="38"/>
      <c r="R1320" s="38"/>
      <c r="S1320" s="38"/>
      <c r="T1320" s="38"/>
      <c r="U1320" s="38"/>
      <c r="V1320" s="38"/>
      <c r="W1320" s="38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</row>
    <row r="1321" spans="1:36" ht="11.25" customHeight="1" x14ac:dyDescent="0.2">
      <c r="A1321" s="35" t="s">
        <v>21</v>
      </c>
      <c r="B1321" s="35" t="s">
        <v>22</v>
      </c>
      <c r="C1321" s="35" t="s">
        <v>23</v>
      </c>
      <c r="D1321" s="35" t="s">
        <v>24</v>
      </c>
      <c r="E1321" s="35" t="s">
        <v>33</v>
      </c>
      <c r="F1321" s="35" t="s">
        <v>25</v>
      </c>
      <c r="G1321" s="35" t="s">
        <v>25</v>
      </c>
      <c r="H1321" s="35" t="s">
        <v>25</v>
      </c>
      <c r="I1321" s="45">
        <v>44593</v>
      </c>
      <c r="J1321" s="46">
        <f>EFEITO!$J$1321*EFEITO!$Y$1110</f>
        <v>0</v>
      </c>
      <c r="K1321" s="46">
        <f ca="1">EFEITO!$L$1321*EFEITO!$Z$1372</f>
        <v>804786.88264776568</v>
      </c>
      <c r="L1321" s="46">
        <f>EFEITO!$N$1321*EFEITO!$AA$1372</f>
        <v>441840.41065636254</v>
      </c>
      <c r="M1321" s="46">
        <f>$J$1321-EFEITO!$K$1321*EFEITO!$Y$1321</f>
        <v>0</v>
      </c>
      <c r="N1321" s="46">
        <f ca="1">$K$1321-EFEITO!$M$1321*EFEITO!$Z$1321</f>
        <v>80478.688264776487</v>
      </c>
      <c r="O1321" s="46">
        <f>$L$1321-EFEITO!$O$1321*EFEITO!$AA$1321</f>
        <v>44184.041065636266</v>
      </c>
      <c r="P1321" s="38"/>
      <c r="Q1321" s="38"/>
      <c r="R1321" s="38"/>
      <c r="S1321" s="38"/>
      <c r="T1321" s="38"/>
      <c r="U1321" s="38"/>
      <c r="V1321" s="38"/>
      <c r="W1321" s="38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</row>
    <row r="1322" spans="1:36" ht="11.25" customHeight="1" x14ac:dyDescent="0.2">
      <c r="A1322" s="35" t="s">
        <v>27</v>
      </c>
      <c r="B1322" s="35" t="s">
        <v>22</v>
      </c>
      <c r="C1322" s="35" t="s">
        <v>23</v>
      </c>
      <c r="D1322" s="35" t="s">
        <v>24</v>
      </c>
      <c r="E1322" s="35" t="s">
        <v>33</v>
      </c>
      <c r="F1322" s="35" t="s">
        <v>25</v>
      </c>
      <c r="G1322" s="35" t="s">
        <v>25</v>
      </c>
      <c r="H1322" s="35" t="s">
        <v>25</v>
      </c>
      <c r="I1322" s="45">
        <v>44593</v>
      </c>
      <c r="J1322" s="46">
        <f>EFEITO!$J$1322*EFEITO!$Y$1110</f>
        <v>0</v>
      </c>
      <c r="K1322" s="46">
        <f ca="1">EFEITO!$L$1322*EFEITO!$Z$1372</f>
        <v>-5421.9245479384981</v>
      </c>
      <c r="L1322" s="46">
        <f>EFEITO!$N$1322*EFEITO!$AA$1372</f>
        <v>-2976.7201981812887</v>
      </c>
      <c r="M1322" s="46">
        <f>$J$1322-EFEITO!$K$1322*EFEITO!$Y$1322</f>
        <v>0</v>
      </c>
      <c r="N1322" s="46">
        <f ca="1">$K$1322-EFEITO!$M$1322*EFEITO!$Z$1322</f>
        <v>-542.19245479384972</v>
      </c>
      <c r="O1322" s="46">
        <f>$L$1322-EFEITO!$O$1322*EFEITO!$AA$1322</f>
        <v>-297.67201981812877</v>
      </c>
      <c r="P1322" s="38"/>
      <c r="Q1322" s="38"/>
      <c r="R1322" s="38"/>
      <c r="S1322" s="38"/>
      <c r="T1322" s="38"/>
      <c r="U1322" s="38"/>
      <c r="V1322" s="38"/>
      <c r="W1322" s="38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</row>
    <row r="1323" spans="1:36" ht="11.25" customHeight="1" x14ac:dyDescent="0.2">
      <c r="A1323" s="35" t="s">
        <v>28</v>
      </c>
      <c r="B1323" s="35" t="s">
        <v>22</v>
      </c>
      <c r="C1323" s="35" t="s">
        <v>23</v>
      </c>
      <c r="D1323" s="35" t="s">
        <v>24</v>
      </c>
      <c r="E1323" s="35" t="s">
        <v>33</v>
      </c>
      <c r="F1323" s="35" t="s">
        <v>25</v>
      </c>
      <c r="G1323" s="35" t="s">
        <v>25</v>
      </c>
      <c r="H1323" s="35" t="s">
        <v>25</v>
      </c>
      <c r="I1323" s="45">
        <v>44593</v>
      </c>
      <c r="J1323" s="46">
        <f>EFEITO!$J$1323*EFEITO!$Y$1110</f>
        <v>0</v>
      </c>
      <c r="K1323" s="46">
        <f ca="1">EFEITO!$L$1323*EFEITO!$Z$1372</f>
        <v>265384.38282898656</v>
      </c>
      <c r="L1323" s="46">
        <f>EFEITO!$N$1323*EFEITO!$AA$1372</f>
        <v>145700.11914851915</v>
      </c>
      <c r="M1323" s="46">
        <f>$J$1323-EFEITO!$K$1323*EFEITO!$Y$1323</f>
        <v>0</v>
      </c>
      <c r="N1323" s="46">
        <f ca="1">$K$1323-EFEITO!$M$1323*EFEITO!$Z$1323</f>
        <v>26538.438282898627</v>
      </c>
      <c r="O1323" s="46">
        <f>$L$1323-EFEITO!$O$1323*EFEITO!$AA$1323</f>
        <v>14570.01191485193</v>
      </c>
      <c r="P1323" s="38"/>
      <c r="Q1323" s="38"/>
      <c r="R1323" s="38"/>
      <c r="S1323" s="38"/>
      <c r="T1323" s="38"/>
      <c r="U1323" s="38"/>
      <c r="V1323" s="38"/>
      <c r="W1323" s="38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</row>
    <row r="1324" spans="1:36" ht="11.25" customHeight="1" x14ac:dyDescent="0.2">
      <c r="A1324" s="35" t="s">
        <v>29</v>
      </c>
      <c r="B1324" s="35" t="s">
        <v>22</v>
      </c>
      <c r="C1324" s="35" t="s">
        <v>23</v>
      </c>
      <c r="D1324" s="35" t="s">
        <v>24</v>
      </c>
      <c r="E1324" s="35" t="s">
        <v>33</v>
      </c>
      <c r="F1324" s="35" t="s">
        <v>25</v>
      </c>
      <c r="G1324" s="35" t="s">
        <v>25</v>
      </c>
      <c r="H1324" s="35" t="s">
        <v>25</v>
      </c>
      <c r="I1324" s="45">
        <v>44593</v>
      </c>
      <c r="J1324" s="46">
        <f>EFEITO!$J$1324*EFEITO!$Y$1110</f>
        <v>0</v>
      </c>
      <c r="K1324" s="46">
        <f ca="1">EFEITO!$L$1324*EFEITO!$Z$1372</f>
        <v>-772.69987939080113</v>
      </c>
      <c r="L1324" s="46">
        <f>EFEITO!$N$1324*EFEITO!$AA$1372</f>
        <v>-424.22415099623294</v>
      </c>
      <c r="M1324" s="46">
        <f>$J$1324-EFEITO!$K$1324*EFEITO!$Y$1324</f>
        <v>0</v>
      </c>
      <c r="N1324" s="46">
        <f ca="1">$K$1324-EFEITO!$M$1324*EFEITO!$Z$1324</f>
        <v>-77.269987939080124</v>
      </c>
      <c r="O1324" s="46">
        <f>$L$1324-EFEITO!$O$1324*EFEITO!$AA$1324</f>
        <v>-42.422415099623265</v>
      </c>
      <c r="P1324" s="38"/>
      <c r="Q1324" s="38"/>
      <c r="R1324" s="38"/>
      <c r="S1324" s="38"/>
      <c r="T1324" s="38"/>
      <c r="U1324" s="38"/>
      <c r="V1324" s="38"/>
      <c r="W1324" s="38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</row>
    <row r="1325" spans="1:36" ht="11.25" customHeight="1" x14ac:dyDescent="0.2">
      <c r="A1325" s="35" t="s">
        <v>30</v>
      </c>
      <c r="B1325" s="35" t="s">
        <v>22</v>
      </c>
      <c r="C1325" s="35" t="s">
        <v>23</v>
      </c>
      <c r="D1325" s="35" t="s">
        <v>24</v>
      </c>
      <c r="E1325" s="35" t="s">
        <v>33</v>
      </c>
      <c r="F1325" s="35" t="s">
        <v>25</v>
      </c>
      <c r="G1325" s="35" t="s">
        <v>25</v>
      </c>
      <c r="H1325" s="35" t="s">
        <v>25</v>
      </c>
      <c r="I1325" s="45">
        <v>44593</v>
      </c>
      <c r="J1325" s="46">
        <f>EFEITO!$J$1325*EFEITO!$Y$1110</f>
        <v>0</v>
      </c>
      <c r="K1325" s="46">
        <f ca="1">EFEITO!$L$1325*EFEITO!$Z$1372</f>
        <v>540.34368944892344</v>
      </c>
      <c r="L1325" s="46">
        <f>EFEITO!$N$1325*EFEITO!$AA$1372</f>
        <v>296.6570191305903</v>
      </c>
      <c r="M1325" s="46">
        <f>$J$1325-EFEITO!$K$1325*EFEITO!$Y$1325</f>
        <v>0</v>
      </c>
      <c r="N1325" s="46">
        <f ca="1">$K$1325-EFEITO!$M$1325*EFEITO!$Z$1325</f>
        <v>54.034368944892321</v>
      </c>
      <c r="O1325" s="46">
        <f>$L$1325-EFEITO!$O$1325*EFEITO!$AA$1325</f>
        <v>29.665701913059024</v>
      </c>
      <c r="P1325" s="38"/>
      <c r="Q1325" s="38"/>
      <c r="R1325" s="38"/>
      <c r="S1325" s="38"/>
      <c r="T1325" s="38"/>
      <c r="U1325" s="38"/>
      <c r="V1325" s="38"/>
      <c r="W1325" s="38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</row>
    <row r="1326" spans="1:36" ht="11.25" customHeight="1" x14ac:dyDescent="0.2">
      <c r="A1326" s="35" t="s">
        <v>30</v>
      </c>
      <c r="B1326" s="35" t="s">
        <v>22</v>
      </c>
      <c r="C1326" s="35" t="s">
        <v>23</v>
      </c>
      <c r="D1326" s="35" t="s">
        <v>24</v>
      </c>
      <c r="E1326" s="35" t="s">
        <v>33</v>
      </c>
      <c r="F1326" s="35" t="s">
        <v>25</v>
      </c>
      <c r="G1326" s="35" t="s">
        <v>25</v>
      </c>
      <c r="H1326" s="35" t="s">
        <v>25</v>
      </c>
      <c r="I1326" s="45">
        <v>44593</v>
      </c>
      <c r="J1326" s="46">
        <f>EFEITO!$J$1326*EFEITO!$Y$1110</f>
        <v>0</v>
      </c>
      <c r="K1326" s="46">
        <f ca="1">EFEITO!$L$1326*EFEITO!$Z$1372</f>
        <v>-50.420873043445418</v>
      </c>
      <c r="L1326" s="46">
        <f>EFEITO!$N$1326*EFEITO!$AA$1372</f>
        <v>-27.681836932870013</v>
      </c>
      <c r="M1326" s="46">
        <f>$J$1326-EFEITO!$K$1326*EFEITO!$Y$1326</f>
        <v>0</v>
      </c>
      <c r="N1326" s="46">
        <f ca="1">$K$1326-EFEITO!$M$1326*EFEITO!$Z$1326</f>
        <v>-5.0420873043445411</v>
      </c>
      <c r="O1326" s="46">
        <f>$L$1326-EFEITO!$O$1326*EFEITO!$AA$1326</f>
        <v>-2.7681836932869999</v>
      </c>
      <c r="P1326" s="38"/>
      <c r="Q1326" s="38"/>
      <c r="R1326" s="38"/>
      <c r="S1326" s="38"/>
      <c r="T1326" s="38"/>
      <c r="U1326" s="38"/>
      <c r="V1326" s="38"/>
      <c r="W1326" s="38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</row>
    <row r="1327" spans="1:36" ht="11.25" customHeight="1" x14ac:dyDescent="0.2">
      <c r="A1327" s="35" t="s">
        <v>21</v>
      </c>
      <c r="B1327" s="35" t="s">
        <v>22</v>
      </c>
      <c r="C1327" s="35" t="s">
        <v>23</v>
      </c>
      <c r="D1327" s="35" t="s">
        <v>24</v>
      </c>
      <c r="E1327" s="35" t="s">
        <v>33</v>
      </c>
      <c r="F1327" s="35" t="s">
        <v>25</v>
      </c>
      <c r="G1327" s="35" t="s">
        <v>25</v>
      </c>
      <c r="H1327" s="35" t="s">
        <v>25</v>
      </c>
      <c r="I1327" s="45">
        <v>44621</v>
      </c>
      <c r="J1327" s="46">
        <f>EFEITO!$J$1327*EFEITO!$Y$1110</f>
        <v>0</v>
      </c>
      <c r="K1327" s="46">
        <f ca="1">EFEITO!$L$1327*EFEITO!$Z$1372</f>
        <v>895851.18110364839</v>
      </c>
      <c r="L1327" s="46">
        <f>EFEITO!$N$1327*EFEITO!$AA$1372</f>
        <v>491836.11497687019</v>
      </c>
      <c r="M1327" s="46">
        <f>$J$1327-EFEITO!$K$1327*EFEITO!$Y$1327</f>
        <v>0</v>
      </c>
      <c r="N1327" s="46">
        <f ca="1">$K$1327-EFEITO!$M$1327*EFEITO!$Z$1327</f>
        <v>89585.118110364769</v>
      </c>
      <c r="O1327" s="46">
        <f>$L$1327-EFEITO!$O$1327*EFEITO!$AA$1327</f>
        <v>49183.611497687001</v>
      </c>
      <c r="P1327" s="38"/>
      <c r="Q1327" s="38"/>
      <c r="R1327" s="38"/>
      <c r="S1327" s="38"/>
      <c r="T1327" s="38"/>
      <c r="U1327" s="38"/>
      <c r="V1327" s="38"/>
      <c r="W1327" s="38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</row>
    <row r="1328" spans="1:36" ht="11.25" customHeight="1" x14ac:dyDescent="0.2">
      <c r="A1328" s="35" t="s">
        <v>27</v>
      </c>
      <c r="B1328" s="35" t="s">
        <v>22</v>
      </c>
      <c r="C1328" s="35" t="s">
        <v>23</v>
      </c>
      <c r="D1328" s="35" t="s">
        <v>24</v>
      </c>
      <c r="E1328" s="35" t="s">
        <v>33</v>
      </c>
      <c r="F1328" s="35" t="s">
        <v>25</v>
      </c>
      <c r="G1328" s="35" t="s">
        <v>25</v>
      </c>
      <c r="H1328" s="35" t="s">
        <v>25</v>
      </c>
      <c r="I1328" s="45">
        <v>44621</v>
      </c>
      <c r="J1328" s="46">
        <f>EFEITO!$J$1328*EFEITO!$Y$1110</f>
        <v>0</v>
      </c>
      <c r="K1328" s="46">
        <f ca="1">EFEITO!$L$1328*EFEITO!$Z$1372</f>
        <v>-7556.4081734443544</v>
      </c>
      <c r="L1328" s="46">
        <f>EFEITO!$N$1328*EFEITO!$AA$1372</f>
        <v>-4148.584628339453</v>
      </c>
      <c r="M1328" s="46">
        <f>$J$1328-EFEITO!$K$1328*EFEITO!$Y$1328</f>
        <v>0</v>
      </c>
      <c r="N1328" s="46">
        <f ca="1">$K$1328-EFEITO!$M$1328*EFEITO!$Z$1328</f>
        <v>-755.64081734443516</v>
      </c>
      <c r="O1328" s="46">
        <f>$L$1328-EFEITO!$O$1328*EFEITO!$AA$1328</f>
        <v>-414.8584628339454</v>
      </c>
      <c r="P1328" s="38"/>
      <c r="Q1328" s="38"/>
      <c r="R1328" s="38"/>
      <c r="S1328" s="38"/>
      <c r="T1328" s="38"/>
      <c r="U1328" s="38"/>
      <c r="V1328" s="38"/>
      <c r="W1328" s="38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</row>
    <row r="1329" spans="1:36" ht="11.25" customHeight="1" x14ac:dyDescent="0.2">
      <c r="A1329" s="35" t="s">
        <v>28</v>
      </c>
      <c r="B1329" s="35" t="s">
        <v>22</v>
      </c>
      <c r="C1329" s="35" t="s">
        <v>23</v>
      </c>
      <c r="D1329" s="35" t="s">
        <v>24</v>
      </c>
      <c r="E1329" s="35" t="s">
        <v>33</v>
      </c>
      <c r="F1329" s="35" t="s">
        <v>25</v>
      </c>
      <c r="G1329" s="35" t="s">
        <v>25</v>
      </c>
      <c r="H1329" s="35" t="s">
        <v>25</v>
      </c>
      <c r="I1329" s="45">
        <v>44621</v>
      </c>
      <c r="J1329" s="46">
        <f>EFEITO!$J$1329*EFEITO!$Y$1110</f>
        <v>0</v>
      </c>
      <c r="K1329" s="46">
        <f ca="1">EFEITO!$L$1329*EFEITO!$Z$1372</f>
        <v>290193.97341001389</v>
      </c>
      <c r="L1329" s="46">
        <f>EFEITO!$N$1329*EFEITO!$AA$1372</f>
        <v>159320.96701133784</v>
      </c>
      <c r="M1329" s="46">
        <f>$J$1329-EFEITO!$K$1329*EFEITO!$Y$1329</f>
        <v>0</v>
      </c>
      <c r="N1329" s="46">
        <f ca="1">$K$1329-EFEITO!$M$1329*EFEITO!$Z$1329</f>
        <v>29019.397341001371</v>
      </c>
      <c r="O1329" s="46">
        <f>$L$1329-EFEITO!$O$1329*EFEITO!$AA$1329</f>
        <v>15932.096701133763</v>
      </c>
      <c r="P1329" s="38"/>
      <c r="Q1329" s="38"/>
      <c r="R1329" s="38"/>
      <c r="S1329" s="38"/>
      <c r="T1329" s="38"/>
      <c r="U1329" s="38"/>
      <c r="V1329" s="38"/>
      <c r="W1329" s="38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</row>
    <row r="1330" spans="1:36" ht="11.25" customHeight="1" x14ac:dyDescent="0.2">
      <c r="A1330" s="35" t="s">
        <v>29</v>
      </c>
      <c r="B1330" s="35" t="s">
        <v>22</v>
      </c>
      <c r="C1330" s="35" t="s">
        <v>23</v>
      </c>
      <c r="D1330" s="35" t="s">
        <v>24</v>
      </c>
      <c r="E1330" s="35" t="s">
        <v>33</v>
      </c>
      <c r="F1330" s="35" t="s">
        <v>25</v>
      </c>
      <c r="G1330" s="35" t="s">
        <v>25</v>
      </c>
      <c r="H1330" s="35" t="s">
        <v>25</v>
      </c>
      <c r="I1330" s="45">
        <v>44621</v>
      </c>
      <c r="J1330" s="46">
        <f>EFEITO!$J$1330*EFEITO!$Y$1110</f>
        <v>0</v>
      </c>
      <c r="K1330" s="46">
        <f ca="1">EFEITO!$L$1330*EFEITO!$Z$1372</f>
        <v>-456.30890104318109</v>
      </c>
      <c r="L1330" s="46">
        <f>EFEITO!$N$1330*EFEITO!$AA$1372</f>
        <v>-250.52062424247364</v>
      </c>
      <c r="M1330" s="46">
        <f>$J$1330-EFEITO!$K$1330*EFEITO!$Y$1330</f>
        <v>0</v>
      </c>
      <c r="N1330" s="46">
        <f ca="1">$K$1330-EFEITO!$M$1330*EFEITO!$Z$1330</f>
        <v>-45.630890104318098</v>
      </c>
      <c r="O1330" s="46">
        <f>$L$1330-EFEITO!$O$1330*EFEITO!$AA$1330</f>
        <v>-25.052062424247367</v>
      </c>
      <c r="P1330" s="38"/>
      <c r="Q1330" s="38"/>
      <c r="R1330" s="38"/>
      <c r="S1330" s="38"/>
      <c r="T1330" s="38"/>
      <c r="U1330" s="38"/>
      <c r="V1330" s="38"/>
      <c r="W1330" s="38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</row>
    <row r="1331" spans="1:36" ht="11.25" customHeight="1" x14ac:dyDescent="0.2">
      <c r="A1331" s="35" t="s">
        <v>30</v>
      </c>
      <c r="B1331" s="35" t="s">
        <v>22</v>
      </c>
      <c r="C1331" s="35" t="s">
        <v>23</v>
      </c>
      <c r="D1331" s="35" t="s">
        <v>24</v>
      </c>
      <c r="E1331" s="35" t="s">
        <v>33</v>
      </c>
      <c r="F1331" s="35" t="s">
        <v>25</v>
      </c>
      <c r="G1331" s="35" t="s">
        <v>25</v>
      </c>
      <c r="H1331" s="35" t="s">
        <v>25</v>
      </c>
      <c r="I1331" s="45">
        <v>44621</v>
      </c>
      <c r="J1331" s="46">
        <f>EFEITO!$J$1331*EFEITO!$Y$1110</f>
        <v>0</v>
      </c>
      <c r="K1331" s="46">
        <f ca="1">EFEITO!$L$1331*EFEITO!$Z$1372</f>
        <v>470.5948150721573</v>
      </c>
      <c r="L1331" s="46">
        <f>EFEITO!$N$1331*EFEITO!$AA$1372</f>
        <v>258.36381137345347</v>
      </c>
      <c r="M1331" s="46">
        <f>$J$1331-EFEITO!$K$1331*EFEITO!$Y$1331</f>
        <v>0</v>
      </c>
      <c r="N1331" s="46">
        <f ca="1">$K$1331-EFEITO!$M$1331*EFEITO!$Z$1331</f>
        <v>47.059481507215708</v>
      </c>
      <c r="O1331" s="46">
        <f>$L$1331-EFEITO!$O$1331*EFEITO!$AA$1331</f>
        <v>25.836381137345342</v>
      </c>
      <c r="P1331" s="38"/>
      <c r="Q1331" s="38"/>
      <c r="R1331" s="38"/>
      <c r="S1331" s="38"/>
      <c r="T1331" s="38"/>
      <c r="U1331" s="38"/>
      <c r="V1331" s="38"/>
      <c r="W1331" s="38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</row>
    <row r="1332" spans="1:36" ht="11.25" customHeight="1" x14ac:dyDescent="0.2">
      <c r="A1332" s="35" t="s">
        <v>21</v>
      </c>
      <c r="B1332" s="35" t="s">
        <v>22</v>
      </c>
      <c r="C1332" s="35" t="s">
        <v>23</v>
      </c>
      <c r="D1332" s="35" t="s">
        <v>24</v>
      </c>
      <c r="E1332" s="35" t="s">
        <v>33</v>
      </c>
      <c r="F1332" s="35" t="s">
        <v>25</v>
      </c>
      <c r="G1332" s="35" t="s">
        <v>25</v>
      </c>
      <c r="H1332" s="35" t="s">
        <v>25</v>
      </c>
      <c r="I1332" s="45">
        <v>44652</v>
      </c>
      <c r="J1332" s="46">
        <f>EFEITO!$J$1332*EFEITO!$Y$1110</f>
        <v>0</v>
      </c>
      <c r="K1332" s="46">
        <f ca="1">EFEITO!$L$1332*EFEITO!$Z$1372</f>
        <v>925260.41582806397</v>
      </c>
      <c r="L1332" s="46">
        <f>EFEITO!$N$1332*EFEITO!$AA$1372</f>
        <v>507982.23841388995</v>
      </c>
      <c r="M1332" s="46">
        <f>$J$1332-EFEITO!$K$1332*EFEITO!$Y$1332</f>
        <v>0</v>
      </c>
      <c r="N1332" s="46">
        <f ca="1">$K$1332-EFEITO!$M$1332*EFEITO!$Z$1332</f>
        <v>92526.041582806269</v>
      </c>
      <c r="O1332" s="46">
        <f>$L$1332-EFEITO!$O$1332*EFEITO!$AA$1332</f>
        <v>50798.223841389001</v>
      </c>
      <c r="P1332" s="38"/>
      <c r="Q1332" s="38"/>
      <c r="R1332" s="38"/>
      <c r="S1332" s="38"/>
      <c r="T1332" s="38"/>
      <c r="U1332" s="38"/>
      <c r="V1332" s="38"/>
      <c r="W1332" s="38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</row>
    <row r="1333" spans="1:36" ht="11.25" customHeight="1" x14ac:dyDescent="0.2">
      <c r="A1333" s="35" t="s">
        <v>27</v>
      </c>
      <c r="B1333" s="35" t="s">
        <v>22</v>
      </c>
      <c r="C1333" s="35" t="s">
        <v>23</v>
      </c>
      <c r="D1333" s="35" t="s">
        <v>24</v>
      </c>
      <c r="E1333" s="35" t="s">
        <v>33</v>
      </c>
      <c r="F1333" s="35" t="s">
        <v>25</v>
      </c>
      <c r="G1333" s="35" t="s">
        <v>25</v>
      </c>
      <c r="H1333" s="35" t="s">
        <v>25</v>
      </c>
      <c r="I1333" s="45">
        <v>44652</v>
      </c>
      <c r="J1333" s="46">
        <f>EFEITO!$J$1333*EFEITO!$Y$1110</f>
        <v>0</v>
      </c>
      <c r="K1333" s="46">
        <f ca="1">EFEITO!$L$1333*EFEITO!$Z$1372</f>
        <v>-4586.1985772433891</v>
      </c>
      <c r="L1333" s="46">
        <f>EFEITO!$N$1333*EFEITO!$AA$1372</f>
        <v>-2517.893751018968</v>
      </c>
      <c r="M1333" s="46">
        <f>$J$1333-EFEITO!$K$1333*EFEITO!$Y$1333</f>
        <v>0</v>
      </c>
      <c r="N1333" s="46">
        <f ca="1">$K$1333-EFEITO!$M$1333*EFEITO!$Z$1333</f>
        <v>-458.61985772433854</v>
      </c>
      <c r="O1333" s="46">
        <f>$L$1333-EFEITO!$O$1333*EFEITO!$AA$1333</f>
        <v>-251.78937510189689</v>
      </c>
      <c r="P1333" s="38"/>
      <c r="Q1333" s="38"/>
      <c r="R1333" s="38"/>
      <c r="S1333" s="38"/>
      <c r="T1333" s="38"/>
      <c r="U1333" s="38"/>
      <c r="V1333" s="38"/>
      <c r="W1333" s="38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</row>
    <row r="1334" spans="1:36" ht="11.25" customHeight="1" x14ac:dyDescent="0.2">
      <c r="A1334" s="35" t="s">
        <v>28</v>
      </c>
      <c r="B1334" s="35" t="s">
        <v>22</v>
      </c>
      <c r="C1334" s="35" t="s">
        <v>23</v>
      </c>
      <c r="D1334" s="35" t="s">
        <v>24</v>
      </c>
      <c r="E1334" s="35" t="s">
        <v>33</v>
      </c>
      <c r="F1334" s="35" t="s">
        <v>25</v>
      </c>
      <c r="G1334" s="35" t="s">
        <v>25</v>
      </c>
      <c r="H1334" s="35" t="s">
        <v>25</v>
      </c>
      <c r="I1334" s="45">
        <v>44652</v>
      </c>
      <c r="J1334" s="46">
        <f>EFEITO!$J$1334*EFEITO!$Y$1110</f>
        <v>0</v>
      </c>
      <c r="K1334" s="46">
        <f ca="1">EFEITO!$L$1334*EFEITO!$Z$1372</f>
        <v>300799.1637068186</v>
      </c>
      <c r="L1334" s="46">
        <f>EFEITO!$N$1334*EFEITO!$AA$1372</f>
        <v>165143.38004621817</v>
      </c>
      <c r="M1334" s="46">
        <f>$J$1334-EFEITO!$K$1334*EFEITO!$Y$1334</f>
        <v>0</v>
      </c>
      <c r="N1334" s="46">
        <f ca="1">$K$1334-EFEITO!$M$1334*EFEITO!$Z$1334</f>
        <v>30079.916370681836</v>
      </c>
      <c r="O1334" s="46">
        <f>$L$1334-EFEITO!$O$1334*EFEITO!$AA$1334</f>
        <v>16514.338004621794</v>
      </c>
      <c r="P1334" s="38"/>
      <c r="Q1334" s="38"/>
      <c r="R1334" s="38"/>
      <c r="S1334" s="38"/>
      <c r="T1334" s="38"/>
      <c r="U1334" s="38"/>
      <c r="V1334" s="38"/>
      <c r="W1334" s="38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</row>
    <row r="1335" spans="1:36" ht="11.25" customHeight="1" x14ac:dyDescent="0.2">
      <c r="A1335" s="35" t="s">
        <v>29</v>
      </c>
      <c r="B1335" s="35" t="s">
        <v>22</v>
      </c>
      <c r="C1335" s="35" t="s">
        <v>23</v>
      </c>
      <c r="D1335" s="35" t="s">
        <v>24</v>
      </c>
      <c r="E1335" s="35" t="s">
        <v>33</v>
      </c>
      <c r="F1335" s="35" t="s">
        <v>25</v>
      </c>
      <c r="G1335" s="35" t="s">
        <v>25</v>
      </c>
      <c r="H1335" s="35" t="s">
        <v>25</v>
      </c>
      <c r="I1335" s="45">
        <v>44652</v>
      </c>
      <c r="J1335" s="46">
        <f>EFEITO!$J$1335*EFEITO!$Y$1110</f>
        <v>0</v>
      </c>
      <c r="K1335" s="46">
        <f ca="1">EFEITO!$L$1335*EFEITO!$Z$1372</f>
        <v>-472.27551084027215</v>
      </c>
      <c r="L1335" s="46">
        <f>EFEITO!$N$1335*EFEITO!$AA$1372</f>
        <v>-259.28653927121582</v>
      </c>
      <c r="M1335" s="46">
        <f>$J$1335-EFEITO!$K$1335*EFEITO!$Y$1335</f>
        <v>0</v>
      </c>
      <c r="N1335" s="46">
        <f ca="1">$K$1335-EFEITO!$M$1335*EFEITO!$Z$1335</f>
        <v>-47.227551084027198</v>
      </c>
      <c r="O1335" s="46">
        <f>$L$1335-EFEITO!$O$1335*EFEITO!$AA$1335</f>
        <v>-25.928653927121587</v>
      </c>
      <c r="P1335" s="38"/>
      <c r="Q1335" s="38"/>
      <c r="R1335" s="38"/>
      <c r="S1335" s="38"/>
      <c r="T1335" s="38"/>
      <c r="U1335" s="38"/>
      <c r="V1335" s="38"/>
      <c r="W1335" s="38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</row>
    <row r="1336" spans="1:36" ht="11.25" customHeight="1" x14ac:dyDescent="0.2">
      <c r="A1336" s="35" t="s">
        <v>30</v>
      </c>
      <c r="B1336" s="35" t="s">
        <v>22</v>
      </c>
      <c r="C1336" s="35" t="s">
        <v>23</v>
      </c>
      <c r="D1336" s="35" t="s">
        <v>24</v>
      </c>
      <c r="E1336" s="35" t="s">
        <v>33</v>
      </c>
      <c r="F1336" s="35" t="s">
        <v>25</v>
      </c>
      <c r="G1336" s="35" t="s">
        <v>25</v>
      </c>
      <c r="H1336" s="35" t="s">
        <v>25</v>
      </c>
      <c r="I1336" s="45">
        <v>44652</v>
      </c>
      <c r="J1336" s="46">
        <f>EFEITO!$J$1336*EFEITO!$Y$1110</f>
        <v>0</v>
      </c>
      <c r="K1336" s="46">
        <f ca="1">EFEITO!$L$1336*EFEITO!$Z$1372</f>
        <v>649.58891437638852</v>
      </c>
      <c r="L1336" s="46">
        <f>EFEITO!$N$1336*EFEITO!$AA$1372</f>
        <v>356.63433248514201</v>
      </c>
      <c r="M1336" s="46">
        <f>$J$1336-EFEITO!$K$1336*EFEITO!$Y$1336</f>
        <v>0</v>
      </c>
      <c r="N1336" s="46">
        <f ca="1">$K$1336-EFEITO!$M$1336*EFEITO!$Z$1336</f>
        <v>64.95889143763884</v>
      </c>
      <c r="O1336" s="46">
        <f>$L$1336-EFEITO!$O$1336*EFEITO!$AA$1336</f>
        <v>35.663433248514195</v>
      </c>
      <c r="P1336" s="38"/>
      <c r="Q1336" s="38"/>
      <c r="R1336" s="38"/>
      <c r="S1336" s="38"/>
      <c r="T1336" s="38"/>
      <c r="U1336" s="38"/>
      <c r="V1336" s="38"/>
      <c r="W1336" s="38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</row>
    <row r="1337" spans="1:36" ht="11.25" customHeight="1" x14ac:dyDescent="0.2">
      <c r="A1337" s="35" t="s">
        <v>21</v>
      </c>
      <c r="B1337" s="35" t="s">
        <v>22</v>
      </c>
      <c r="C1337" s="35" t="s">
        <v>23</v>
      </c>
      <c r="D1337" s="35" t="s">
        <v>24</v>
      </c>
      <c r="E1337" s="35" t="s">
        <v>33</v>
      </c>
      <c r="F1337" s="35" t="s">
        <v>25</v>
      </c>
      <c r="G1337" s="35" t="s">
        <v>25</v>
      </c>
      <c r="H1337" s="35" t="s">
        <v>25</v>
      </c>
      <c r="I1337" s="45">
        <v>44682</v>
      </c>
      <c r="J1337" s="46">
        <f>EFEITO!$J$1337*EFEITO!$Y$1110</f>
        <v>0</v>
      </c>
      <c r="K1337" s="46">
        <f ca="1">EFEITO!$L$1337*EFEITO!$Z$1372</f>
        <v>897790.70402005292</v>
      </c>
      <c r="L1337" s="46">
        <f>EFEITO!$N$1337*EFEITO!$AA$1372</f>
        <v>492900.94297088793</v>
      </c>
      <c r="M1337" s="46">
        <f>$J$1337-EFEITO!$K$1337*EFEITO!$Y$1337</f>
        <v>0</v>
      </c>
      <c r="N1337" s="46">
        <f ca="1">$K$1337-EFEITO!$M$1337*EFEITO!$Z$1337</f>
        <v>89779.070402005222</v>
      </c>
      <c r="O1337" s="46">
        <f>$L$1337-EFEITO!$O$1337*EFEITO!$AA$1337</f>
        <v>49290.094297088799</v>
      </c>
      <c r="P1337" s="38"/>
      <c r="Q1337" s="38"/>
      <c r="R1337" s="38"/>
      <c r="S1337" s="38"/>
      <c r="T1337" s="38"/>
      <c r="U1337" s="38"/>
      <c r="V1337" s="38"/>
      <c r="W1337" s="38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</row>
    <row r="1338" spans="1:36" ht="11.25" customHeight="1" x14ac:dyDescent="0.2">
      <c r="A1338" s="35" t="s">
        <v>27</v>
      </c>
      <c r="B1338" s="35" t="s">
        <v>22</v>
      </c>
      <c r="C1338" s="35" t="s">
        <v>23</v>
      </c>
      <c r="D1338" s="35" t="s">
        <v>24</v>
      </c>
      <c r="E1338" s="35" t="s">
        <v>33</v>
      </c>
      <c r="F1338" s="35" t="s">
        <v>25</v>
      </c>
      <c r="G1338" s="35" t="s">
        <v>25</v>
      </c>
      <c r="H1338" s="35" t="s">
        <v>25</v>
      </c>
      <c r="I1338" s="45">
        <v>44682</v>
      </c>
      <c r="J1338" s="46">
        <f>EFEITO!$J$1338*EFEITO!$Y$1110</f>
        <v>0</v>
      </c>
      <c r="K1338" s="46">
        <f ca="1">EFEITO!$L$1338*EFEITO!$Z$1372</f>
        <v>-4733.2594569534394</v>
      </c>
      <c r="L1338" s="46">
        <f>EFEITO!$N$1338*EFEITO!$AA$1372</f>
        <v>-2598.6324420731726</v>
      </c>
      <c r="M1338" s="46">
        <f>$J$1338-EFEITO!$K$1338*EFEITO!$Y$1338</f>
        <v>0</v>
      </c>
      <c r="N1338" s="46">
        <f ca="1">$K$1338-EFEITO!$M$1338*EFEITO!$Z$1338</f>
        <v>-473.32594569534376</v>
      </c>
      <c r="O1338" s="46">
        <f>$L$1338-EFEITO!$O$1338*EFEITO!$AA$1338</f>
        <v>-259.86324420731717</v>
      </c>
      <c r="P1338" s="38"/>
      <c r="Q1338" s="38"/>
      <c r="R1338" s="38"/>
      <c r="S1338" s="38"/>
      <c r="T1338" s="38"/>
      <c r="U1338" s="38"/>
      <c r="V1338" s="38"/>
      <c r="W1338" s="38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</row>
    <row r="1339" spans="1:36" ht="11.25" customHeight="1" x14ac:dyDescent="0.2">
      <c r="A1339" s="35" t="s">
        <v>28</v>
      </c>
      <c r="B1339" s="35" t="s">
        <v>22</v>
      </c>
      <c r="C1339" s="35" t="s">
        <v>23</v>
      </c>
      <c r="D1339" s="35" t="s">
        <v>24</v>
      </c>
      <c r="E1339" s="35" t="s">
        <v>33</v>
      </c>
      <c r="F1339" s="35" t="s">
        <v>25</v>
      </c>
      <c r="G1339" s="35" t="s">
        <v>25</v>
      </c>
      <c r="H1339" s="35" t="s">
        <v>25</v>
      </c>
      <c r="I1339" s="45">
        <v>44682</v>
      </c>
      <c r="J1339" s="46">
        <f>EFEITO!$J$1339*EFEITO!$Y$1110</f>
        <v>0</v>
      </c>
      <c r="K1339" s="46">
        <f ca="1">EFEITO!$L$1339*EFEITO!$Z$1372</f>
        <v>281148.46878601977</v>
      </c>
      <c r="L1339" s="46">
        <f>EFEITO!$N$1339*EFEITO!$AA$1372</f>
        <v>154354.84546558096</v>
      </c>
      <c r="M1339" s="46">
        <f>$J$1339-EFEITO!$K$1339*EFEITO!$Y$1339</f>
        <v>0</v>
      </c>
      <c r="N1339" s="46">
        <f ca="1">$K$1339-EFEITO!$M$1339*EFEITO!$Z$1339</f>
        <v>28114.846878601937</v>
      </c>
      <c r="O1339" s="46">
        <f>$L$1339-EFEITO!$O$1339*EFEITO!$AA$1339</f>
        <v>15435.484546558087</v>
      </c>
      <c r="P1339" s="38"/>
      <c r="Q1339" s="38"/>
      <c r="R1339" s="38"/>
      <c r="S1339" s="38"/>
      <c r="T1339" s="38"/>
      <c r="U1339" s="38"/>
      <c r="V1339" s="38"/>
      <c r="W1339" s="38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</row>
    <row r="1340" spans="1:36" ht="11.25" customHeight="1" x14ac:dyDescent="0.2">
      <c r="A1340" s="35" t="s">
        <v>29</v>
      </c>
      <c r="B1340" s="35" t="s">
        <v>22</v>
      </c>
      <c r="C1340" s="35" t="s">
        <v>23</v>
      </c>
      <c r="D1340" s="35" t="s">
        <v>24</v>
      </c>
      <c r="E1340" s="35" t="s">
        <v>33</v>
      </c>
      <c r="F1340" s="35" t="s">
        <v>25</v>
      </c>
      <c r="G1340" s="35" t="s">
        <v>25</v>
      </c>
      <c r="H1340" s="35" t="s">
        <v>25</v>
      </c>
      <c r="I1340" s="45">
        <v>44682</v>
      </c>
      <c r="J1340" s="46">
        <f>EFEITO!$J$1340*EFEITO!$Y$1110</f>
        <v>0</v>
      </c>
      <c r="K1340" s="46">
        <f ca="1">EFEITO!$L$1340*EFEITO!$Z$1372</f>
        <v>-527.31829724603335</v>
      </c>
      <c r="L1340" s="46">
        <f>EFEITO!$N$1340*EFEITO!$AA$1372</f>
        <v>-289.5058779229322</v>
      </c>
      <c r="M1340" s="46">
        <f>$J$1340-EFEITO!$K$1340*EFEITO!$Y$1340</f>
        <v>0</v>
      </c>
      <c r="N1340" s="46">
        <f ca="1">$K$1340-EFEITO!$M$1340*EFEITO!$Z$1340</f>
        <v>-52.731829724603358</v>
      </c>
      <c r="O1340" s="46">
        <f>$L$1340-EFEITO!$O$1340*EFEITO!$AA$1340</f>
        <v>-28.95058779229322</v>
      </c>
      <c r="P1340" s="38"/>
      <c r="Q1340" s="38"/>
      <c r="R1340" s="38"/>
      <c r="S1340" s="38"/>
      <c r="T1340" s="38"/>
      <c r="U1340" s="38"/>
      <c r="V1340" s="38"/>
      <c r="W1340" s="38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</row>
    <row r="1341" spans="1:36" ht="11.25" customHeight="1" x14ac:dyDescent="0.2">
      <c r="A1341" s="35" t="s">
        <v>30</v>
      </c>
      <c r="B1341" s="35" t="s">
        <v>22</v>
      </c>
      <c r="C1341" s="35" t="s">
        <v>23</v>
      </c>
      <c r="D1341" s="35" t="s">
        <v>24</v>
      </c>
      <c r="E1341" s="35" t="s">
        <v>33</v>
      </c>
      <c r="F1341" s="35" t="s">
        <v>25</v>
      </c>
      <c r="G1341" s="35" t="s">
        <v>25</v>
      </c>
      <c r="H1341" s="35" t="s">
        <v>25</v>
      </c>
      <c r="I1341" s="45">
        <v>44682</v>
      </c>
      <c r="J1341" s="46">
        <f>EFEITO!$J$1341*EFEITO!$Y$1110</f>
        <v>0</v>
      </c>
      <c r="K1341" s="46">
        <f ca="1">EFEITO!$L$1341*EFEITO!$Z$1372</f>
        <v>422.27481173885536</v>
      </c>
      <c r="L1341" s="46">
        <f>EFEITO!$N$1341*EFEITO!$AA$1372</f>
        <v>231.83538431278635</v>
      </c>
      <c r="M1341" s="46">
        <f>$J$1341-EFEITO!$K$1341*EFEITO!$Y$1341</f>
        <v>0</v>
      </c>
      <c r="N1341" s="46">
        <f ca="1">$K$1341-EFEITO!$M$1341*EFEITO!$Z$1341</f>
        <v>42.227481173885508</v>
      </c>
      <c r="O1341" s="46">
        <f>$L$1341-EFEITO!$O$1341*EFEITO!$AA$1341</f>
        <v>23.183538431278635</v>
      </c>
      <c r="P1341" s="38"/>
      <c r="Q1341" s="38"/>
      <c r="R1341" s="38"/>
      <c r="S1341" s="38"/>
      <c r="T1341" s="38"/>
      <c r="U1341" s="38"/>
      <c r="V1341" s="38"/>
      <c r="W1341" s="38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</row>
    <row r="1342" spans="1:36" ht="11.25" customHeight="1" x14ac:dyDescent="0.2">
      <c r="A1342" s="35" t="s">
        <v>21</v>
      </c>
      <c r="B1342" s="35" t="s">
        <v>22</v>
      </c>
      <c r="C1342" s="35" t="s">
        <v>23</v>
      </c>
      <c r="D1342" s="35" t="s">
        <v>24</v>
      </c>
      <c r="E1342" s="35" t="s">
        <v>33</v>
      </c>
      <c r="F1342" s="35" t="s">
        <v>25</v>
      </c>
      <c r="G1342" s="35" t="s">
        <v>25</v>
      </c>
      <c r="H1342" s="35" t="s">
        <v>25</v>
      </c>
      <c r="I1342" s="45">
        <v>44713</v>
      </c>
      <c r="J1342" s="46">
        <f>EFEITO!$J$1342*EFEITO!$Y$1110</f>
        <v>0</v>
      </c>
      <c r="K1342" s="46">
        <f ca="1">EFEITO!$L$1342*EFEITO!$Z$1372</f>
        <v>826445.58883751975</v>
      </c>
      <c r="L1342" s="46">
        <f>EFEITO!$N$1342*EFEITO!$AA$1372</f>
        <v>453731.37439285131</v>
      </c>
      <c r="M1342" s="46">
        <f>$J$1342-EFEITO!$K$1342*EFEITO!$Y$1342</f>
        <v>0</v>
      </c>
      <c r="N1342" s="46">
        <f ca="1">$K$1342-EFEITO!$M$1342*EFEITO!$Z$1342</f>
        <v>82644.558883751975</v>
      </c>
      <c r="O1342" s="46">
        <f>$L$1342-EFEITO!$O$1342*EFEITO!$AA$1342</f>
        <v>45373.137439285114</v>
      </c>
      <c r="P1342" s="38"/>
      <c r="Q1342" s="38"/>
      <c r="R1342" s="38"/>
      <c r="S1342" s="38"/>
      <c r="T1342" s="38"/>
      <c r="U1342" s="38"/>
      <c r="V1342" s="38"/>
      <c r="W1342" s="38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</row>
    <row r="1343" spans="1:36" ht="11.25" customHeight="1" x14ac:dyDescent="0.2">
      <c r="A1343" s="35" t="s">
        <v>27</v>
      </c>
      <c r="B1343" s="35" t="s">
        <v>22</v>
      </c>
      <c r="C1343" s="35" t="s">
        <v>23</v>
      </c>
      <c r="D1343" s="35" t="s">
        <v>24</v>
      </c>
      <c r="E1343" s="35" t="s">
        <v>33</v>
      </c>
      <c r="F1343" s="35" t="s">
        <v>25</v>
      </c>
      <c r="G1343" s="35" t="s">
        <v>25</v>
      </c>
      <c r="H1343" s="35" t="s">
        <v>25</v>
      </c>
      <c r="I1343" s="45">
        <v>44713</v>
      </c>
      <c r="J1343" s="46">
        <f>EFEITO!$J$1343*EFEITO!$Y$1110</f>
        <v>0</v>
      </c>
      <c r="K1343" s="46">
        <f ca="1">EFEITO!$L$1343*EFEITO!$Z$1372</f>
        <v>-2006.7507471291276</v>
      </c>
      <c r="L1343" s="46">
        <f>EFEITO!$N$1343*EFEITO!$AA$1372</f>
        <v>-1101.7371099282266</v>
      </c>
      <c r="M1343" s="46">
        <f>$J$1343-EFEITO!$K$1343*EFEITO!$Y$1343</f>
        <v>0</v>
      </c>
      <c r="N1343" s="46">
        <f ca="1">$K$1343-EFEITO!$M$1343*EFEITO!$Z$1343</f>
        <v>-200.67507471291265</v>
      </c>
      <c r="O1343" s="46">
        <f>$L$1343-EFEITO!$O$1343*EFEITO!$AA$1343</f>
        <v>-110.17371099282275</v>
      </c>
      <c r="P1343" s="38"/>
      <c r="Q1343" s="38"/>
      <c r="R1343" s="38"/>
      <c r="S1343" s="38"/>
      <c r="T1343" s="38"/>
      <c r="U1343" s="38"/>
      <c r="V1343" s="38"/>
      <c r="W1343" s="38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</row>
    <row r="1344" spans="1:36" ht="11.25" customHeight="1" x14ac:dyDescent="0.2">
      <c r="A1344" s="35" t="s">
        <v>28</v>
      </c>
      <c r="B1344" s="35" t="s">
        <v>22</v>
      </c>
      <c r="C1344" s="35" t="s">
        <v>23</v>
      </c>
      <c r="D1344" s="35" t="s">
        <v>24</v>
      </c>
      <c r="E1344" s="35" t="s">
        <v>33</v>
      </c>
      <c r="F1344" s="35" t="s">
        <v>25</v>
      </c>
      <c r="G1344" s="35" t="s">
        <v>25</v>
      </c>
      <c r="H1344" s="35" t="s">
        <v>25</v>
      </c>
      <c r="I1344" s="45">
        <v>44713</v>
      </c>
      <c r="J1344" s="46">
        <f>EFEITO!$J$1344*EFEITO!$Y$1110</f>
        <v>0</v>
      </c>
      <c r="K1344" s="46">
        <f ca="1">EFEITO!$L$1344*EFEITO!$Z$1372</f>
        <v>265326.39882498659</v>
      </c>
      <c r="L1344" s="46">
        <f>EFEITO!$N$1344*EFEITO!$AA$1372</f>
        <v>145668.28503604635</v>
      </c>
      <c r="M1344" s="46">
        <f>$J$1344-EFEITO!$K$1344*EFEITO!$Y$1344</f>
        <v>0</v>
      </c>
      <c r="N1344" s="46">
        <f ca="1">$K$1344-EFEITO!$M$1344*EFEITO!$Z$1344</f>
        <v>26532.639882498654</v>
      </c>
      <c r="O1344" s="46">
        <f>$L$1344-EFEITO!$O$1344*EFEITO!$AA$1344</f>
        <v>14566.828503604629</v>
      </c>
      <c r="P1344" s="38"/>
      <c r="Q1344" s="38"/>
      <c r="R1344" s="38"/>
      <c r="S1344" s="38"/>
      <c r="T1344" s="38"/>
      <c r="U1344" s="38"/>
      <c r="V1344" s="38"/>
      <c r="W1344" s="38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</row>
    <row r="1345" spans="1:36" ht="11.25" customHeight="1" x14ac:dyDescent="0.2">
      <c r="A1345" s="35" t="s">
        <v>29</v>
      </c>
      <c r="B1345" s="35" t="s">
        <v>22</v>
      </c>
      <c r="C1345" s="35" t="s">
        <v>23</v>
      </c>
      <c r="D1345" s="35" t="s">
        <v>24</v>
      </c>
      <c r="E1345" s="35" t="s">
        <v>33</v>
      </c>
      <c r="F1345" s="35" t="s">
        <v>25</v>
      </c>
      <c r="G1345" s="35" t="s">
        <v>25</v>
      </c>
      <c r="H1345" s="35" t="s">
        <v>25</v>
      </c>
      <c r="I1345" s="45">
        <v>44713</v>
      </c>
      <c r="J1345" s="46">
        <f>EFEITO!$J$1345*EFEITO!$Y$1110</f>
        <v>0</v>
      </c>
      <c r="K1345" s="46">
        <f ca="1">EFEITO!$L$1345*EFEITO!$Z$1372</f>
        <v>-128.99340020281454</v>
      </c>
      <c r="L1345" s="46">
        <f>EFEITO!$N$1345*EFEITO!$AA$1372</f>
        <v>-70.819366153259111</v>
      </c>
      <c r="M1345" s="46">
        <f>$J$1345-EFEITO!$K$1345*EFEITO!$Y$1345</f>
        <v>0</v>
      </c>
      <c r="N1345" s="46">
        <f ca="1">$K$1345-EFEITO!$M$1345*EFEITO!$Z$1345</f>
        <v>-12.899340020281457</v>
      </c>
      <c r="O1345" s="46">
        <f>$L$1345-EFEITO!$O$1345*EFEITO!$AA$1345</f>
        <v>-7.0819366153259082</v>
      </c>
      <c r="P1345" s="38"/>
      <c r="Q1345" s="38"/>
      <c r="R1345" s="38"/>
      <c r="S1345" s="38"/>
      <c r="T1345" s="38"/>
      <c r="U1345" s="38"/>
      <c r="V1345" s="38"/>
      <c r="W1345" s="38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</row>
    <row r="1346" spans="1:36" ht="11.25" customHeight="1" x14ac:dyDescent="0.2">
      <c r="A1346" s="35" t="s">
        <v>30</v>
      </c>
      <c r="B1346" s="35" t="s">
        <v>22</v>
      </c>
      <c r="C1346" s="35" t="s">
        <v>23</v>
      </c>
      <c r="D1346" s="35" t="s">
        <v>24</v>
      </c>
      <c r="E1346" s="35" t="s">
        <v>33</v>
      </c>
      <c r="F1346" s="35" t="s">
        <v>25</v>
      </c>
      <c r="G1346" s="35" t="s">
        <v>25</v>
      </c>
      <c r="H1346" s="35" t="s">
        <v>25</v>
      </c>
      <c r="I1346" s="45">
        <v>44713</v>
      </c>
      <c r="J1346" s="46">
        <f>EFEITO!$J$1346*EFEITO!$Y$1110</f>
        <v>0</v>
      </c>
      <c r="K1346" s="46">
        <f ca="1">EFEITO!$L$1346*EFEITO!$Z$1372</f>
        <v>371.85393869540997</v>
      </c>
      <c r="L1346" s="46">
        <f>EFEITO!$N$1346*EFEITO!$AA$1372</f>
        <v>204.15354737991635</v>
      </c>
      <c r="M1346" s="46">
        <f>$J$1346-EFEITO!$K$1346*EFEITO!$Y$1346</f>
        <v>0</v>
      </c>
      <c r="N1346" s="46">
        <f ca="1">$K$1346-EFEITO!$M$1346*EFEITO!$Z$1346</f>
        <v>37.185393869540974</v>
      </c>
      <c r="O1346" s="46">
        <f>$L$1346-EFEITO!$O$1346*EFEITO!$AA$1346</f>
        <v>20.415354737991635</v>
      </c>
      <c r="P1346" s="38"/>
      <c r="Q1346" s="38"/>
      <c r="R1346" s="38"/>
      <c r="S1346" s="38"/>
      <c r="T1346" s="38"/>
      <c r="U1346" s="38"/>
      <c r="V1346" s="38"/>
      <c r="W1346" s="38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</row>
    <row r="1347" spans="1:36" ht="11.25" customHeight="1" x14ac:dyDescent="0.2">
      <c r="A1347" s="35" t="s">
        <v>21</v>
      </c>
      <c r="B1347" s="35" t="s">
        <v>22</v>
      </c>
      <c r="C1347" s="35" t="s">
        <v>23</v>
      </c>
      <c r="D1347" s="35" t="s">
        <v>24</v>
      </c>
      <c r="E1347" s="35" t="s">
        <v>33</v>
      </c>
      <c r="F1347" s="35" t="s">
        <v>25</v>
      </c>
      <c r="G1347" s="35" t="s">
        <v>25</v>
      </c>
      <c r="H1347" s="35" t="s">
        <v>25</v>
      </c>
      <c r="I1347" s="45">
        <v>44743</v>
      </c>
      <c r="J1347" s="46">
        <f>EFEITO!$J$1347*EFEITO!$Y$1110</f>
        <v>0</v>
      </c>
      <c r="K1347" s="46">
        <f ca="1">EFEITO!$L$1347*EFEITO!$Z$1372</f>
        <v>974306.05955924944</v>
      </c>
      <c r="L1347" s="46">
        <f>EFEITO!$N$1347*EFEITO!$AA$1372</f>
        <v>534909.0532444159</v>
      </c>
      <c r="M1347" s="46">
        <f>$J$1347-EFEITO!$K$1347*EFEITO!$Y$1347</f>
        <v>0</v>
      </c>
      <c r="N1347" s="46">
        <f ca="1">$K$1347-EFEITO!$M$1347*EFEITO!$Z$1347</f>
        <v>97430.605955924955</v>
      </c>
      <c r="O1347" s="46">
        <f>$L$1347-EFEITO!$O$1347*EFEITO!$AA$1347</f>
        <v>53490.905324441614</v>
      </c>
      <c r="P1347" s="38"/>
      <c r="Q1347" s="38"/>
      <c r="R1347" s="38"/>
      <c r="S1347" s="38"/>
      <c r="T1347" s="38"/>
      <c r="U1347" s="38"/>
      <c r="V1347" s="38"/>
      <c r="W1347" s="38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</row>
    <row r="1348" spans="1:36" ht="11.25" customHeight="1" x14ac:dyDescent="0.2">
      <c r="A1348" s="35" t="s">
        <v>27</v>
      </c>
      <c r="B1348" s="35" t="s">
        <v>22</v>
      </c>
      <c r="C1348" s="35" t="s">
        <v>23</v>
      </c>
      <c r="D1348" s="35" t="s">
        <v>24</v>
      </c>
      <c r="E1348" s="35" t="s">
        <v>33</v>
      </c>
      <c r="F1348" s="35" t="s">
        <v>25</v>
      </c>
      <c r="G1348" s="35" t="s">
        <v>25</v>
      </c>
      <c r="H1348" s="35" t="s">
        <v>25</v>
      </c>
      <c r="I1348" s="45">
        <v>44743</v>
      </c>
      <c r="J1348" s="46">
        <f>EFEITO!$J$1348*EFEITO!$Y$1110</f>
        <v>0</v>
      </c>
      <c r="K1348" s="46">
        <f ca="1">EFEITO!$L$1348*EFEITO!$Z$1372</f>
        <v>-1693.3009863757088</v>
      </c>
      <c r="L1348" s="46">
        <f>EFEITO!$N$1348*EFEITO!$AA$1372</f>
        <v>-929.64835699555135</v>
      </c>
      <c r="M1348" s="46">
        <f>$J$1348-EFEITO!$K$1348*EFEITO!$Y$1348</f>
        <v>0</v>
      </c>
      <c r="N1348" s="46">
        <f ca="1">$K$1348-EFEITO!$M$1348*EFEITO!$Z$1348</f>
        <v>-169.3300986375707</v>
      </c>
      <c r="O1348" s="46">
        <f>$L$1348-EFEITO!$O$1348*EFEITO!$AA$1348</f>
        <v>-92.964835699555124</v>
      </c>
      <c r="P1348" s="38"/>
      <c r="Q1348" s="38"/>
      <c r="R1348" s="38"/>
      <c r="S1348" s="38"/>
      <c r="T1348" s="38"/>
      <c r="U1348" s="38"/>
      <c r="V1348" s="38"/>
      <c r="W1348" s="38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</row>
    <row r="1349" spans="1:36" ht="11.25" customHeight="1" x14ac:dyDescent="0.2">
      <c r="A1349" s="35" t="s">
        <v>28</v>
      </c>
      <c r="B1349" s="35" t="s">
        <v>22</v>
      </c>
      <c r="C1349" s="35" t="s">
        <v>23</v>
      </c>
      <c r="D1349" s="35" t="s">
        <v>24</v>
      </c>
      <c r="E1349" s="35" t="s">
        <v>33</v>
      </c>
      <c r="F1349" s="35" t="s">
        <v>25</v>
      </c>
      <c r="G1349" s="35" t="s">
        <v>25</v>
      </c>
      <c r="H1349" s="35" t="s">
        <v>25</v>
      </c>
      <c r="I1349" s="45">
        <v>44743</v>
      </c>
      <c r="J1349" s="46">
        <f>EFEITO!$J$1349*EFEITO!$Y$1110</f>
        <v>0</v>
      </c>
      <c r="K1349" s="46">
        <f ca="1">EFEITO!$L$1349*EFEITO!$Z$1372</f>
        <v>319780.94171190768</v>
      </c>
      <c r="L1349" s="46">
        <f>EFEITO!$N$1349*EFEITO!$AA$1372</f>
        <v>175564.66892354595</v>
      </c>
      <c r="M1349" s="46">
        <f>$J$1349-EFEITO!$K$1349*EFEITO!$Y$1349</f>
        <v>0</v>
      </c>
      <c r="N1349" s="46">
        <f ca="1">$K$1349-EFEITO!$M$1349*EFEITO!$Z$1349</f>
        <v>31978.094171190751</v>
      </c>
      <c r="O1349" s="46">
        <f>$L$1349-EFEITO!$O$1349*EFEITO!$AA$1349</f>
        <v>17556.466892354598</v>
      </c>
      <c r="P1349" s="38"/>
      <c r="Q1349" s="38"/>
      <c r="R1349" s="38"/>
      <c r="S1349" s="38"/>
      <c r="T1349" s="38"/>
      <c r="U1349" s="38"/>
      <c r="V1349" s="38"/>
      <c r="W1349" s="38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</row>
    <row r="1350" spans="1:36" ht="11.25" customHeight="1" x14ac:dyDescent="0.2">
      <c r="A1350" s="35" t="s">
        <v>29</v>
      </c>
      <c r="B1350" s="35" t="s">
        <v>22</v>
      </c>
      <c r="C1350" s="35" t="s">
        <v>23</v>
      </c>
      <c r="D1350" s="35" t="s">
        <v>24</v>
      </c>
      <c r="E1350" s="35" t="s">
        <v>33</v>
      </c>
      <c r="F1350" s="35" t="s">
        <v>25</v>
      </c>
      <c r="G1350" s="35" t="s">
        <v>25</v>
      </c>
      <c r="H1350" s="35" t="s">
        <v>25</v>
      </c>
      <c r="I1350" s="45">
        <v>44743</v>
      </c>
      <c r="J1350" s="46">
        <f>EFEITO!$J$1350*EFEITO!$Y$1110</f>
        <v>0</v>
      </c>
      <c r="K1350" s="46">
        <f ca="1">EFEITO!$L$1350*EFEITO!$Z$1372</f>
        <v>-244.54123426071027</v>
      </c>
      <c r="L1350" s="46">
        <f>EFEITO!$N$1350*EFEITO!$AA$1372</f>
        <v>-134.25690912441956</v>
      </c>
      <c r="M1350" s="46">
        <f>$J$1350-EFEITO!$K$1350*EFEITO!$Y$1350</f>
        <v>0</v>
      </c>
      <c r="N1350" s="46">
        <f ca="1">$K$1350-EFEITO!$M$1350*EFEITO!$Z$1350</f>
        <v>-24.454123426071021</v>
      </c>
      <c r="O1350" s="46">
        <f>$L$1350-EFEITO!$O$1350*EFEITO!$AA$1350</f>
        <v>-13.425690912441965</v>
      </c>
      <c r="P1350" s="38"/>
      <c r="Q1350" s="38"/>
      <c r="R1350" s="38"/>
      <c r="S1350" s="38"/>
      <c r="T1350" s="38"/>
      <c r="U1350" s="38"/>
      <c r="V1350" s="38"/>
      <c r="W1350" s="38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</row>
    <row r="1351" spans="1:36" ht="11.25" customHeight="1" x14ac:dyDescent="0.2">
      <c r="A1351" s="35" t="s">
        <v>30</v>
      </c>
      <c r="B1351" s="35" t="s">
        <v>22</v>
      </c>
      <c r="C1351" s="35" t="s">
        <v>23</v>
      </c>
      <c r="D1351" s="35" t="s">
        <v>24</v>
      </c>
      <c r="E1351" s="35" t="s">
        <v>33</v>
      </c>
      <c r="F1351" s="35" t="s">
        <v>25</v>
      </c>
      <c r="G1351" s="35" t="s">
        <v>25</v>
      </c>
      <c r="H1351" s="35" t="s">
        <v>25</v>
      </c>
      <c r="I1351" s="45">
        <v>44743</v>
      </c>
      <c r="J1351" s="46">
        <f>EFEITO!$J$1351*EFEITO!$Y$1110</f>
        <v>0</v>
      </c>
      <c r="K1351" s="46">
        <f ca="1">EFEITO!$L$1351*EFEITO!$Z$1372</f>
        <v>648.3283925503024</v>
      </c>
      <c r="L1351" s="46">
        <f>EFEITO!$N$1351*EFEITO!$AA$1372</f>
        <v>355.94228656182025</v>
      </c>
      <c r="M1351" s="46">
        <f>$J$1351-EFEITO!$K$1351*EFEITO!$Y$1351</f>
        <v>0</v>
      </c>
      <c r="N1351" s="46">
        <f ca="1">$K$1351-EFEITO!$M$1351*EFEITO!$Z$1351</f>
        <v>64.832839255030308</v>
      </c>
      <c r="O1351" s="46">
        <f>$L$1351-EFEITO!$O$1351*EFEITO!$AA$1351</f>
        <v>35.594228656182054</v>
      </c>
      <c r="P1351" s="38"/>
      <c r="Q1351" s="38"/>
      <c r="R1351" s="38"/>
      <c r="S1351" s="38"/>
      <c r="T1351" s="38"/>
      <c r="U1351" s="38"/>
      <c r="V1351" s="38"/>
      <c r="W1351" s="38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</row>
    <row r="1352" spans="1:36" ht="11.25" customHeight="1" x14ac:dyDescent="0.2">
      <c r="A1352" s="35" t="s">
        <v>21</v>
      </c>
      <c r="B1352" s="35" t="s">
        <v>22</v>
      </c>
      <c r="C1352" s="35" t="s">
        <v>23</v>
      </c>
      <c r="D1352" s="35" t="s">
        <v>24</v>
      </c>
      <c r="E1352" s="35" t="s">
        <v>33</v>
      </c>
      <c r="F1352" s="35" t="s">
        <v>25</v>
      </c>
      <c r="G1352" s="35" t="s">
        <v>25</v>
      </c>
      <c r="H1352" s="35" t="s">
        <v>25</v>
      </c>
      <c r="I1352" s="45">
        <v>44774</v>
      </c>
      <c r="J1352" s="46">
        <f>EFEITO!$J$1352*EFEITO!$Y$1110</f>
        <v>0</v>
      </c>
      <c r="K1352" s="46">
        <f ca="1">EFEITO!$L$1352*EFEITO!$Z$1372</f>
        <v>942125.77768715459</v>
      </c>
      <c r="L1352" s="46">
        <f>EFEITO!$N$1352*EFEITO!$AA$1372</f>
        <v>517241.58218596055</v>
      </c>
      <c r="M1352" s="46">
        <f>$J$1352-EFEITO!$K$1352*EFEITO!$Y$1352</f>
        <v>0</v>
      </c>
      <c r="N1352" s="46">
        <f ca="1">$K$1352-EFEITO!$M$1352*EFEITO!$Z$1352</f>
        <v>94212.577768715448</v>
      </c>
      <c r="O1352" s="46">
        <f>$L$1352-EFEITO!$O$1352*EFEITO!$AA$1352</f>
        <v>51724.158218596072</v>
      </c>
      <c r="P1352" s="38"/>
      <c r="Q1352" s="38"/>
      <c r="R1352" s="38"/>
      <c r="S1352" s="38"/>
      <c r="T1352" s="38"/>
      <c r="U1352" s="38"/>
      <c r="V1352" s="38"/>
      <c r="W1352" s="38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</row>
    <row r="1353" spans="1:36" ht="11.25" customHeight="1" x14ac:dyDescent="0.2">
      <c r="A1353" s="35" t="s">
        <v>27</v>
      </c>
      <c r="B1353" s="35" t="s">
        <v>22</v>
      </c>
      <c r="C1353" s="35" t="s">
        <v>23</v>
      </c>
      <c r="D1353" s="35" t="s">
        <v>24</v>
      </c>
      <c r="E1353" s="35" t="s">
        <v>33</v>
      </c>
      <c r="F1353" s="35" t="s">
        <v>25</v>
      </c>
      <c r="G1353" s="35" t="s">
        <v>25</v>
      </c>
      <c r="H1353" s="35" t="s">
        <v>25</v>
      </c>
      <c r="I1353" s="45">
        <v>44774</v>
      </c>
      <c r="J1353" s="46">
        <f>EFEITO!$J$1353*EFEITO!$Y$1110</f>
        <v>0</v>
      </c>
      <c r="K1353" s="46">
        <f ca="1">EFEITO!$L$1353*EFEITO!$Z$1372</f>
        <v>-824.80144820236137</v>
      </c>
      <c r="L1353" s="46">
        <f>EFEITO!$N$1353*EFEITO!$AA$1372</f>
        <v>-452.82871582686533</v>
      </c>
      <c r="M1353" s="46">
        <f>$J$1353-EFEITO!$K$1353*EFEITO!$Y$1353</f>
        <v>0</v>
      </c>
      <c r="N1353" s="46">
        <f ca="1">$K$1353-EFEITO!$M$1353*EFEITO!$Z$1353</f>
        <v>-82.480144820236092</v>
      </c>
      <c r="O1353" s="46">
        <f>$L$1353-EFEITO!$O$1353*EFEITO!$AA$1353</f>
        <v>-45.282871582686539</v>
      </c>
      <c r="P1353" s="38"/>
      <c r="Q1353" s="38"/>
      <c r="R1353" s="38"/>
      <c r="S1353" s="38"/>
      <c r="T1353" s="38"/>
      <c r="U1353" s="38"/>
      <c r="V1353" s="38"/>
      <c r="W1353" s="38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</row>
    <row r="1354" spans="1:36" ht="11.25" customHeight="1" x14ac:dyDescent="0.2">
      <c r="A1354" s="35" t="s">
        <v>28</v>
      </c>
      <c r="B1354" s="35" t="s">
        <v>22</v>
      </c>
      <c r="C1354" s="35" t="s">
        <v>23</v>
      </c>
      <c r="D1354" s="35" t="s">
        <v>24</v>
      </c>
      <c r="E1354" s="35" t="s">
        <v>33</v>
      </c>
      <c r="F1354" s="35" t="s">
        <v>25</v>
      </c>
      <c r="G1354" s="35" t="s">
        <v>25</v>
      </c>
      <c r="H1354" s="35" t="s">
        <v>25</v>
      </c>
      <c r="I1354" s="45">
        <v>44774</v>
      </c>
      <c r="J1354" s="46">
        <f>EFEITO!$J$1354*EFEITO!$Y$1110</f>
        <v>0</v>
      </c>
      <c r="K1354" s="46">
        <f ca="1">EFEITO!$L$1354*EFEITO!$Z$1372</f>
        <v>433008.99543586292</v>
      </c>
      <c r="L1354" s="46">
        <f>EFEITO!$N$1354*EFEITO!$AA$1372</f>
        <v>237728.61671381997</v>
      </c>
      <c r="M1354" s="46">
        <f>$J$1354-EFEITO!$K$1354*EFEITO!$Y$1354</f>
        <v>0</v>
      </c>
      <c r="N1354" s="46">
        <f ca="1">$K$1354-EFEITO!$M$1354*EFEITO!$Z$1354</f>
        <v>43300.899543586303</v>
      </c>
      <c r="O1354" s="46">
        <f>$L$1354-EFEITO!$O$1354*EFEITO!$AA$1354</f>
        <v>23772.861671382008</v>
      </c>
      <c r="P1354" s="38"/>
      <c r="Q1354" s="38"/>
      <c r="R1354" s="38"/>
      <c r="S1354" s="38"/>
      <c r="T1354" s="38"/>
      <c r="U1354" s="38"/>
      <c r="V1354" s="38"/>
      <c r="W1354" s="38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</row>
    <row r="1355" spans="1:36" ht="11.25" customHeight="1" x14ac:dyDescent="0.2">
      <c r="A1355" s="35" t="s">
        <v>29</v>
      </c>
      <c r="B1355" s="35" t="s">
        <v>22</v>
      </c>
      <c r="C1355" s="35" t="s">
        <v>23</v>
      </c>
      <c r="D1355" s="35" t="s">
        <v>24</v>
      </c>
      <c r="E1355" s="35" t="s">
        <v>33</v>
      </c>
      <c r="F1355" s="35" t="s">
        <v>25</v>
      </c>
      <c r="G1355" s="35" t="s">
        <v>25</v>
      </c>
      <c r="H1355" s="35" t="s">
        <v>25</v>
      </c>
      <c r="I1355" s="45">
        <v>44774</v>
      </c>
      <c r="J1355" s="46">
        <f>EFEITO!$J$1355*EFEITO!$Y$1110</f>
        <v>0</v>
      </c>
      <c r="K1355" s="46">
        <f ca="1">EFEITO!$L$1355*EFEITO!$Z$1372</f>
        <v>-847.07066712988308</v>
      </c>
      <c r="L1355" s="46">
        <f>EFEITO!$N$1355*EFEITO!$AA$1372</f>
        <v>-465.05486047221621</v>
      </c>
      <c r="M1355" s="46">
        <f>$J$1355-EFEITO!$K$1355*EFEITO!$Y$1355</f>
        <v>0</v>
      </c>
      <c r="N1355" s="46">
        <f ca="1">$K$1355-EFEITO!$M$1355*EFEITO!$Z$1355</f>
        <v>-84.707066712988308</v>
      </c>
      <c r="O1355" s="46">
        <f>$L$1355-EFEITO!$O$1355*EFEITO!$AA$1355</f>
        <v>-46.505486047221609</v>
      </c>
      <c r="P1355" s="38"/>
      <c r="Q1355" s="38"/>
      <c r="R1355" s="38"/>
      <c r="S1355" s="38"/>
      <c r="T1355" s="38"/>
      <c r="U1355" s="38"/>
      <c r="V1355" s="38"/>
      <c r="W1355" s="38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</row>
    <row r="1356" spans="1:36" ht="11.25" customHeight="1" x14ac:dyDescent="0.2">
      <c r="A1356" s="35" t="s">
        <v>30</v>
      </c>
      <c r="B1356" s="35" t="s">
        <v>22</v>
      </c>
      <c r="C1356" s="35" t="s">
        <v>23</v>
      </c>
      <c r="D1356" s="35" t="s">
        <v>24</v>
      </c>
      <c r="E1356" s="35" t="s">
        <v>33</v>
      </c>
      <c r="F1356" s="35" t="s">
        <v>25</v>
      </c>
      <c r="G1356" s="35" t="s">
        <v>25</v>
      </c>
      <c r="H1356" s="35" t="s">
        <v>25</v>
      </c>
      <c r="I1356" s="45">
        <v>44774</v>
      </c>
      <c r="J1356" s="46">
        <f>EFEITO!$J$1356*EFEITO!$Y$1110</f>
        <v>0</v>
      </c>
      <c r="K1356" s="46">
        <f ca="1">EFEITO!$L$1356*EFEITO!$Z$1372</f>
        <v>680.2616121444845</v>
      </c>
      <c r="L1356" s="46">
        <f>EFEITO!$N$1356*EFEITO!$AA$1372</f>
        <v>373.4741166193046</v>
      </c>
      <c r="M1356" s="46">
        <f>$J$1356-EFEITO!$K$1356*EFEITO!$Y$1356</f>
        <v>0</v>
      </c>
      <c r="N1356" s="46">
        <f ca="1">$K$1356-EFEITO!$M$1356*EFEITO!$Z$1356</f>
        <v>68.026161214448507</v>
      </c>
      <c r="O1356" s="46">
        <f>$L$1356-EFEITO!$O$1356*EFEITO!$AA$1356</f>
        <v>37.347411661930437</v>
      </c>
      <c r="P1356" s="38"/>
      <c r="Q1356" s="38"/>
      <c r="R1356" s="38"/>
      <c r="S1356" s="38"/>
      <c r="T1356" s="38"/>
      <c r="U1356" s="38"/>
      <c r="V1356" s="38"/>
      <c r="W1356" s="38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</row>
    <row r="1357" spans="1:36" ht="11.25" customHeight="1" x14ac:dyDescent="0.2">
      <c r="A1357" s="35" t="s">
        <v>21</v>
      </c>
      <c r="B1357" s="35" t="s">
        <v>22</v>
      </c>
      <c r="C1357" s="35" t="s">
        <v>23</v>
      </c>
      <c r="D1357" s="35" t="s">
        <v>24</v>
      </c>
      <c r="E1357" s="35" t="s">
        <v>33</v>
      </c>
      <c r="F1357" s="35" t="s">
        <v>25</v>
      </c>
      <c r="G1357" s="35" t="s">
        <v>25</v>
      </c>
      <c r="H1357" s="35" t="s">
        <v>25</v>
      </c>
      <c r="I1357" s="45">
        <v>44805</v>
      </c>
      <c r="J1357" s="46">
        <f>EFEITO!$J$1357*EFEITO!$Y$1110</f>
        <v>0</v>
      </c>
      <c r="K1357" s="46">
        <f ca="1">EFEITO!$L$1357*EFEITO!$Z$1372</f>
        <v>1016822.2002313088</v>
      </c>
      <c r="L1357" s="46">
        <f>EFEITO!$N$1357*EFEITO!$AA$1372</f>
        <v>558251.07019213529</v>
      </c>
      <c r="M1357" s="46">
        <f>$J$1357-EFEITO!$K$1357*EFEITO!$Y$1357</f>
        <v>0</v>
      </c>
      <c r="N1357" s="46">
        <f ca="1">$K$1357-EFEITO!$M$1357*EFEITO!$Z$1357</f>
        <v>101682.22002313088</v>
      </c>
      <c r="O1357" s="46">
        <f>$L$1357-EFEITO!$O$1357*EFEITO!$AA$1357</f>
        <v>55825.107019213494</v>
      </c>
      <c r="P1357" s="38"/>
      <c r="Q1357" s="38"/>
      <c r="R1357" s="38"/>
      <c r="S1357" s="38"/>
      <c r="T1357" s="38"/>
      <c r="U1357" s="38"/>
      <c r="V1357" s="38"/>
      <c r="W1357" s="38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</row>
    <row r="1358" spans="1:36" ht="11.25" customHeight="1" x14ac:dyDescent="0.2">
      <c r="A1358" s="35" t="s">
        <v>27</v>
      </c>
      <c r="B1358" s="35" t="s">
        <v>22</v>
      </c>
      <c r="C1358" s="35" t="s">
        <v>23</v>
      </c>
      <c r="D1358" s="35" t="s">
        <v>24</v>
      </c>
      <c r="E1358" s="35" t="s">
        <v>33</v>
      </c>
      <c r="F1358" s="35" t="s">
        <v>25</v>
      </c>
      <c r="G1358" s="35" t="s">
        <v>25</v>
      </c>
      <c r="H1358" s="35" t="s">
        <v>25</v>
      </c>
      <c r="I1358" s="45">
        <v>44805</v>
      </c>
      <c r="J1358" s="46">
        <f>EFEITO!$J$1358*EFEITO!$Y$1110</f>
        <v>0</v>
      </c>
      <c r="K1358" s="46">
        <f ca="1">EFEITO!$L$1358*EFEITO!$Z$1372</f>
        <v>-2285.3260706941637</v>
      </c>
      <c r="L1358" s="46">
        <f>EFEITO!$N$1358*EFEITO!$AA$1372</f>
        <v>-1254.6792589823333</v>
      </c>
      <c r="M1358" s="46">
        <f>$J$1358-EFEITO!$K$1358*EFEITO!$Y$1358</f>
        <v>0</v>
      </c>
      <c r="N1358" s="46">
        <f ca="1">$K$1358-EFEITO!$M$1358*EFEITO!$Z$1358</f>
        <v>-228.53260706941637</v>
      </c>
      <c r="O1358" s="46">
        <f>$L$1358-EFEITO!$O$1358*EFEITO!$AA$1358</f>
        <v>-125.46792589823326</v>
      </c>
      <c r="P1358" s="38"/>
      <c r="Q1358" s="38"/>
      <c r="R1358" s="38"/>
      <c r="S1358" s="38"/>
      <c r="T1358" s="38"/>
      <c r="U1358" s="38"/>
      <c r="V1358" s="38"/>
      <c r="W1358" s="38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</row>
    <row r="1359" spans="1:36" ht="11.25" customHeight="1" x14ac:dyDescent="0.2">
      <c r="A1359" s="35" t="s">
        <v>28</v>
      </c>
      <c r="B1359" s="35" t="s">
        <v>22</v>
      </c>
      <c r="C1359" s="35" t="s">
        <v>23</v>
      </c>
      <c r="D1359" s="35" t="s">
        <v>24</v>
      </c>
      <c r="E1359" s="35" t="s">
        <v>33</v>
      </c>
      <c r="F1359" s="35" t="s">
        <v>25</v>
      </c>
      <c r="G1359" s="35" t="s">
        <v>25</v>
      </c>
      <c r="H1359" s="35" t="s">
        <v>25</v>
      </c>
      <c r="I1359" s="45">
        <v>44805</v>
      </c>
      <c r="J1359" s="46">
        <f>EFEITO!$J$1359*EFEITO!$Y$1110</f>
        <v>0</v>
      </c>
      <c r="K1359" s="46">
        <f ca="1">EFEITO!$L$1359*EFEITO!$Z$1372</f>
        <v>330200.41512633563</v>
      </c>
      <c r="L1359" s="46">
        <f>EFEITO!$N$1359*EFEITO!$AA$1372</f>
        <v>181285.12052572356</v>
      </c>
      <c r="M1359" s="46">
        <f>$J$1359-EFEITO!$K$1359*EFEITO!$Y$1359</f>
        <v>0</v>
      </c>
      <c r="N1359" s="46">
        <f ca="1">$K$1359-EFEITO!$M$1359*EFEITO!$Z$1359</f>
        <v>33020.041512633557</v>
      </c>
      <c r="O1359" s="46">
        <f>$L$1359-EFEITO!$O$1359*EFEITO!$AA$1359</f>
        <v>18128.512052572361</v>
      </c>
      <c r="P1359" s="38"/>
      <c r="Q1359" s="38"/>
      <c r="R1359" s="38"/>
      <c r="S1359" s="38"/>
      <c r="T1359" s="38"/>
      <c r="U1359" s="38"/>
      <c r="V1359" s="38"/>
      <c r="W1359" s="38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</row>
    <row r="1360" spans="1:36" ht="11.25" customHeight="1" x14ac:dyDescent="0.2">
      <c r="A1360" s="35" t="s">
        <v>29</v>
      </c>
      <c r="B1360" s="35" t="s">
        <v>22</v>
      </c>
      <c r="C1360" s="35" t="s">
        <v>23</v>
      </c>
      <c r="D1360" s="35" t="s">
        <v>24</v>
      </c>
      <c r="E1360" s="35" t="s">
        <v>33</v>
      </c>
      <c r="F1360" s="35" t="s">
        <v>25</v>
      </c>
      <c r="G1360" s="35" t="s">
        <v>25</v>
      </c>
      <c r="H1360" s="35" t="s">
        <v>25</v>
      </c>
      <c r="I1360" s="45">
        <v>44805</v>
      </c>
      <c r="J1360" s="46">
        <f>EFEITO!$J$1360*EFEITO!$Y$1110</f>
        <v>0</v>
      </c>
      <c r="K1360" s="46">
        <f ca="1">EFEITO!$L$1360*EFEITO!$Z$1372</f>
        <v>-201.68349217378167</v>
      </c>
      <c r="L1360" s="46">
        <f>EFEITO!$N$1360*EFEITO!$AA$1372</f>
        <v>-110.72734773148005</v>
      </c>
      <c r="M1360" s="46">
        <f>$J$1360-EFEITO!$K$1360*EFEITO!$Y$1360</f>
        <v>0</v>
      </c>
      <c r="N1360" s="46">
        <f ca="1">$K$1360-EFEITO!$M$1360*EFEITO!$Z$1360</f>
        <v>-20.168349217378164</v>
      </c>
      <c r="O1360" s="46">
        <f>$L$1360-EFEITO!$O$1360*EFEITO!$AA$1360</f>
        <v>-11.072734773147999</v>
      </c>
      <c r="P1360" s="38"/>
      <c r="Q1360" s="38"/>
      <c r="R1360" s="38"/>
      <c r="S1360" s="38"/>
      <c r="T1360" s="38"/>
      <c r="U1360" s="38"/>
      <c r="V1360" s="38"/>
      <c r="W1360" s="38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</row>
    <row r="1361" spans="1:36" ht="11.25" customHeight="1" x14ac:dyDescent="0.2">
      <c r="A1361" s="35" t="s">
        <v>30</v>
      </c>
      <c r="B1361" s="35" t="s">
        <v>22</v>
      </c>
      <c r="C1361" s="35" t="s">
        <v>23</v>
      </c>
      <c r="D1361" s="35" t="s">
        <v>24</v>
      </c>
      <c r="E1361" s="35" t="s">
        <v>33</v>
      </c>
      <c r="F1361" s="35" t="s">
        <v>25</v>
      </c>
      <c r="G1361" s="35" t="s">
        <v>25</v>
      </c>
      <c r="H1361" s="35" t="s">
        <v>25</v>
      </c>
      <c r="I1361" s="45">
        <v>44805</v>
      </c>
      <c r="J1361" s="46">
        <f>EFEITO!$J$1361*EFEITO!$Y$1110</f>
        <v>0</v>
      </c>
      <c r="K1361" s="46">
        <f ca="1">EFEITO!$L$1361*EFEITO!$Z$1372</f>
        <v>729.42196336184372</v>
      </c>
      <c r="L1361" s="46">
        <f>EFEITO!$N$1361*EFEITO!$AA$1372</f>
        <v>400.46390762885284</v>
      </c>
      <c r="M1361" s="46">
        <f>$J$1361-EFEITO!$K$1361*EFEITO!$Y$1361</f>
        <v>0</v>
      </c>
      <c r="N1361" s="46">
        <f ca="1">$K$1361-EFEITO!$M$1361*EFEITO!$Z$1361</f>
        <v>72.942196336184338</v>
      </c>
      <c r="O1361" s="46">
        <f>$L$1361-EFEITO!$O$1361*EFEITO!$AA$1361</f>
        <v>40.046390762885267</v>
      </c>
      <c r="P1361" s="38"/>
      <c r="Q1361" s="38"/>
      <c r="R1361" s="38"/>
      <c r="S1361" s="38"/>
      <c r="T1361" s="38"/>
      <c r="U1361" s="38"/>
      <c r="V1361" s="38"/>
      <c r="W1361" s="38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</row>
    <row r="1362" spans="1:36" ht="11.25" customHeight="1" x14ac:dyDescent="0.2">
      <c r="A1362" s="35" t="s">
        <v>21</v>
      </c>
      <c r="B1362" s="35" t="s">
        <v>22</v>
      </c>
      <c r="C1362" s="35" t="s">
        <v>23</v>
      </c>
      <c r="D1362" s="35" t="s">
        <v>24</v>
      </c>
      <c r="E1362" s="35" t="s">
        <v>33</v>
      </c>
      <c r="F1362" s="35" t="s">
        <v>25</v>
      </c>
      <c r="G1362" s="35" t="s">
        <v>25</v>
      </c>
      <c r="H1362" s="35" t="s">
        <v>25</v>
      </c>
      <c r="I1362" s="45">
        <v>44835</v>
      </c>
      <c r="J1362" s="46">
        <f>EFEITO!$J$1362*EFEITO!$Y$1110</f>
        <v>0</v>
      </c>
      <c r="K1362" s="46">
        <f ca="1">EFEITO!$L$1362*EFEITO!$Z$1372</f>
        <v>1136594.4631023612</v>
      </c>
      <c r="L1362" s="46">
        <f>EFEITO!$N$1362*EFEITO!$AA$1372</f>
        <v>624007.88973432127</v>
      </c>
      <c r="M1362" s="46">
        <f>$J$1362-EFEITO!$K$1362*EFEITO!$Y$1362</f>
        <v>0</v>
      </c>
      <c r="N1362" s="46">
        <f ca="1">$K$1362-EFEITO!$M$1362*EFEITO!$Z$1362</f>
        <v>113659.44631023612</v>
      </c>
      <c r="O1362" s="46">
        <f>$L$1362-EFEITO!$O$1362*EFEITO!$AA$1362</f>
        <v>62400.788973432151</v>
      </c>
      <c r="P1362" s="38"/>
      <c r="Q1362" s="38"/>
      <c r="R1362" s="38"/>
      <c r="S1362" s="38"/>
      <c r="T1362" s="38"/>
      <c r="U1362" s="38"/>
      <c r="V1362" s="38"/>
      <c r="W1362" s="38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</row>
    <row r="1363" spans="1:36" ht="11.25" customHeight="1" x14ac:dyDescent="0.2">
      <c r="A1363" s="35" t="s">
        <v>27</v>
      </c>
      <c r="B1363" s="35" t="s">
        <v>22</v>
      </c>
      <c r="C1363" s="35" t="s">
        <v>23</v>
      </c>
      <c r="D1363" s="35" t="s">
        <v>24</v>
      </c>
      <c r="E1363" s="35" t="s">
        <v>33</v>
      </c>
      <c r="F1363" s="35" t="s">
        <v>25</v>
      </c>
      <c r="G1363" s="35" t="s">
        <v>25</v>
      </c>
      <c r="H1363" s="35" t="s">
        <v>25</v>
      </c>
      <c r="I1363" s="45">
        <v>44835</v>
      </c>
      <c r="J1363" s="46">
        <f>EFEITO!$J$1363*EFEITO!$Y$1110</f>
        <v>0</v>
      </c>
      <c r="K1363" s="46">
        <f ca="1">EFEITO!$L$1363*EFEITO!$Z$1372</f>
        <v>-3695.8499940845491</v>
      </c>
      <c r="L1363" s="46">
        <f>EFEITO!$N$1363*EFEITO!$AA$1372</f>
        <v>-2029.078647179372</v>
      </c>
      <c r="M1363" s="46">
        <f>$J$1363-EFEITO!$K$1363*EFEITO!$Y$1363</f>
        <v>0</v>
      </c>
      <c r="N1363" s="46">
        <f ca="1">$K$1363-EFEITO!$M$1363*EFEITO!$Z$1363</f>
        <v>-369.58499940845468</v>
      </c>
      <c r="O1363" s="46">
        <f>$L$1363-EFEITO!$O$1363*EFEITO!$AA$1363</f>
        <v>-202.90786471793717</v>
      </c>
      <c r="P1363" s="38"/>
      <c r="Q1363" s="38"/>
      <c r="R1363" s="38"/>
      <c r="S1363" s="38"/>
      <c r="T1363" s="38"/>
      <c r="U1363" s="38"/>
      <c r="V1363" s="38"/>
      <c r="W1363" s="38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</row>
    <row r="1364" spans="1:36" ht="11.25" customHeight="1" x14ac:dyDescent="0.2">
      <c r="A1364" s="35" t="s">
        <v>28</v>
      </c>
      <c r="B1364" s="35" t="s">
        <v>22</v>
      </c>
      <c r="C1364" s="35" t="s">
        <v>23</v>
      </c>
      <c r="D1364" s="35" t="s">
        <v>24</v>
      </c>
      <c r="E1364" s="35" t="s">
        <v>33</v>
      </c>
      <c r="F1364" s="35" t="s">
        <v>25</v>
      </c>
      <c r="G1364" s="35" t="s">
        <v>25</v>
      </c>
      <c r="H1364" s="35" t="s">
        <v>25</v>
      </c>
      <c r="I1364" s="45">
        <v>44835</v>
      </c>
      <c r="J1364" s="46">
        <f>EFEITO!$J$1364*EFEITO!$Y$1110</f>
        <v>0</v>
      </c>
      <c r="K1364" s="46">
        <f ca="1">EFEITO!$L$1364*EFEITO!$Z$1372</f>
        <v>363310.12175819819</v>
      </c>
      <c r="L1364" s="46">
        <f>EFEITO!$N$1364*EFEITO!$AA$1372</f>
        <v>199462.86011164155</v>
      </c>
      <c r="M1364" s="46">
        <f>$J$1364-EFEITO!$K$1364*EFEITO!$Y$1364</f>
        <v>0</v>
      </c>
      <c r="N1364" s="46">
        <f ca="1">$K$1364-EFEITO!$M$1364*EFEITO!$Z$1364</f>
        <v>36331.012175819837</v>
      </c>
      <c r="O1364" s="46">
        <f>$L$1364-EFEITO!$O$1364*EFEITO!$AA$1364</f>
        <v>19946.286011164164</v>
      </c>
      <c r="P1364" s="38"/>
      <c r="Q1364" s="38"/>
      <c r="R1364" s="38"/>
      <c r="S1364" s="38"/>
      <c r="T1364" s="38"/>
      <c r="U1364" s="38"/>
      <c r="V1364" s="38"/>
      <c r="W1364" s="38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</row>
    <row r="1365" spans="1:36" ht="11.25" customHeight="1" x14ac:dyDescent="0.2">
      <c r="A1365" s="35" t="s">
        <v>29</v>
      </c>
      <c r="B1365" s="35" t="s">
        <v>22</v>
      </c>
      <c r="C1365" s="35" t="s">
        <v>23</v>
      </c>
      <c r="D1365" s="35" t="s">
        <v>24</v>
      </c>
      <c r="E1365" s="35" t="s">
        <v>33</v>
      </c>
      <c r="F1365" s="35" t="s">
        <v>25</v>
      </c>
      <c r="G1365" s="35" t="s">
        <v>25</v>
      </c>
      <c r="H1365" s="35" t="s">
        <v>25</v>
      </c>
      <c r="I1365" s="45">
        <v>44835</v>
      </c>
      <c r="J1365" s="46">
        <f>EFEITO!$J$1365*EFEITO!$Y$1110</f>
        <v>0</v>
      </c>
      <c r="K1365" s="46">
        <f ca="1">EFEITO!$L$1365*EFEITO!$Z$1372</f>
        <v>-2592.0530483751231</v>
      </c>
      <c r="L1365" s="46">
        <f>EFEITO!$N$1365*EFEITO!$AA$1372</f>
        <v>-1423.0771003239593</v>
      </c>
      <c r="M1365" s="46">
        <f>$J$1365-EFEITO!$K$1365*EFEITO!$Y$1365</f>
        <v>0</v>
      </c>
      <c r="N1365" s="46">
        <f ca="1">$K$1365-EFEITO!$M$1365*EFEITO!$Z$1365</f>
        <v>-259.20530483751236</v>
      </c>
      <c r="O1365" s="46">
        <f>$L$1365-EFEITO!$O$1365*EFEITO!$AA$1365</f>
        <v>-142.30771003239602</v>
      </c>
      <c r="P1365" s="38"/>
      <c r="Q1365" s="38"/>
      <c r="R1365" s="38"/>
      <c r="S1365" s="38"/>
      <c r="T1365" s="38"/>
      <c r="U1365" s="38"/>
      <c r="V1365" s="38"/>
      <c r="W1365" s="38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</row>
    <row r="1366" spans="1:36" ht="11.25" customHeight="1" x14ac:dyDescent="0.2">
      <c r="A1366" s="35" t="s">
        <v>30</v>
      </c>
      <c r="B1366" s="35" t="s">
        <v>22</v>
      </c>
      <c r="C1366" s="35" t="s">
        <v>23</v>
      </c>
      <c r="D1366" s="35" t="s">
        <v>24</v>
      </c>
      <c r="E1366" s="35" t="s">
        <v>33</v>
      </c>
      <c r="F1366" s="35" t="s">
        <v>25</v>
      </c>
      <c r="G1366" s="35" t="s">
        <v>25</v>
      </c>
      <c r="H1366" s="35" t="s">
        <v>25</v>
      </c>
      <c r="I1366" s="45">
        <v>44835</v>
      </c>
      <c r="J1366" s="46">
        <f>EFEITO!$J$1366*EFEITO!$Y$1110</f>
        <v>0</v>
      </c>
      <c r="K1366" s="46">
        <f ca="1">EFEITO!$L$1366*EFEITO!$Z$1372</f>
        <v>902.11345353564423</v>
      </c>
      <c r="L1366" s="46">
        <f>EFEITO!$N$1366*EFEITO!$AA$1372</f>
        <v>495.27419912393259</v>
      </c>
      <c r="M1366" s="46">
        <f>$J$1366-EFEITO!$K$1366*EFEITO!$Y$1366</f>
        <v>0</v>
      </c>
      <c r="N1366" s="46">
        <f ca="1">$K$1366-EFEITO!$M$1366*EFEITO!$Z$1366</f>
        <v>90.211345353564411</v>
      </c>
      <c r="O1366" s="46">
        <f>$L$1366-EFEITO!$O$1366*EFEITO!$AA$1366</f>
        <v>49.527419912393214</v>
      </c>
      <c r="P1366" s="38"/>
      <c r="Q1366" s="38"/>
      <c r="R1366" s="38"/>
      <c r="S1366" s="38"/>
      <c r="T1366" s="38"/>
      <c r="U1366" s="38"/>
      <c r="V1366" s="38"/>
      <c r="W1366" s="38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</row>
    <row r="1367" spans="1:36" ht="11.25" customHeight="1" x14ac:dyDescent="0.2">
      <c r="A1367" s="35" t="s">
        <v>59</v>
      </c>
      <c r="B1367" s="35" t="s">
        <v>22</v>
      </c>
      <c r="C1367" s="35" t="s">
        <v>23</v>
      </c>
      <c r="D1367" s="35" t="s">
        <v>24</v>
      </c>
      <c r="E1367" s="35" t="s">
        <v>33</v>
      </c>
      <c r="F1367" s="35" t="s">
        <v>25</v>
      </c>
      <c r="G1367" s="35" t="s">
        <v>25</v>
      </c>
      <c r="H1367" s="35" t="s">
        <v>25</v>
      </c>
      <c r="I1367" s="45">
        <v>44866</v>
      </c>
      <c r="J1367" s="46">
        <f>EFEITO!$J$1367*EFEITO!$Y$1110</f>
        <v>0</v>
      </c>
      <c r="K1367" s="46">
        <f ca="1">EFEITO!$L$1367*EFEITO!$Z$1372</f>
        <v>1136594.4631023612</v>
      </c>
      <c r="L1367" s="46">
        <f>EFEITO!$N$1367*EFEITO!$AA$1372</f>
        <v>624007.88973432127</v>
      </c>
      <c r="M1367" s="46">
        <f>$J$1367-EFEITO!$K$1367*EFEITO!$Y$1367</f>
        <v>0</v>
      </c>
      <c r="N1367" s="46">
        <f ca="1">$K$1367-EFEITO!$M$1367*EFEITO!$Z$1367</f>
        <v>113659.44631023612</v>
      </c>
      <c r="O1367" s="46">
        <f>$L$1367-EFEITO!$O$1367*EFEITO!$AA$1367</f>
        <v>62400.788973432151</v>
      </c>
      <c r="P1367" s="38"/>
      <c r="Q1367" s="38"/>
      <c r="R1367" s="38"/>
      <c r="S1367" s="38"/>
      <c r="T1367" s="38"/>
      <c r="U1367" s="38"/>
      <c r="V1367" s="38"/>
      <c r="W1367" s="38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</row>
    <row r="1368" spans="1:36" ht="11.25" customHeight="1" x14ac:dyDescent="0.2">
      <c r="A1368" s="35" t="s">
        <v>59</v>
      </c>
      <c r="B1368" s="35" t="s">
        <v>22</v>
      </c>
      <c r="C1368" s="35" t="s">
        <v>23</v>
      </c>
      <c r="D1368" s="35" t="s">
        <v>24</v>
      </c>
      <c r="E1368" s="35" t="s">
        <v>33</v>
      </c>
      <c r="F1368" s="35" t="s">
        <v>25</v>
      </c>
      <c r="G1368" s="35" t="s">
        <v>25</v>
      </c>
      <c r="H1368" s="35" t="s">
        <v>25</v>
      </c>
      <c r="I1368" s="45">
        <v>44866</v>
      </c>
      <c r="J1368" s="46">
        <f>EFEITO!$J$1368*EFEITO!$Y$1110</f>
        <v>0</v>
      </c>
      <c r="K1368" s="46">
        <f ca="1">EFEITO!$L$1368*EFEITO!$Z$1372</f>
        <v>-3695.8499940845491</v>
      </c>
      <c r="L1368" s="46">
        <f>EFEITO!$N$1368*EFEITO!$AA$1372</f>
        <v>-2029.078647179372</v>
      </c>
      <c r="M1368" s="46">
        <f>$J$1368-EFEITO!$K$1368*EFEITO!$Y$1368</f>
        <v>0</v>
      </c>
      <c r="N1368" s="46">
        <f ca="1">$K$1368-EFEITO!$M$1368*EFEITO!$Z$1368</f>
        <v>-369.58499940845468</v>
      </c>
      <c r="O1368" s="46">
        <f>$L$1368-EFEITO!$O$1368*EFEITO!$AA$1368</f>
        <v>-202.90786471793717</v>
      </c>
      <c r="P1368" s="38"/>
      <c r="Q1368" s="38"/>
      <c r="R1368" s="38"/>
      <c r="S1368" s="38"/>
      <c r="T1368" s="38"/>
      <c r="U1368" s="38"/>
      <c r="V1368" s="38"/>
      <c r="W1368" s="38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</row>
    <row r="1369" spans="1:36" ht="11.25" customHeight="1" x14ac:dyDescent="0.2">
      <c r="A1369" s="35" t="s">
        <v>59</v>
      </c>
      <c r="B1369" s="35" t="s">
        <v>22</v>
      </c>
      <c r="C1369" s="35" t="s">
        <v>23</v>
      </c>
      <c r="D1369" s="35" t="s">
        <v>24</v>
      </c>
      <c r="E1369" s="35" t="s">
        <v>33</v>
      </c>
      <c r="F1369" s="35" t="s">
        <v>25</v>
      </c>
      <c r="G1369" s="35" t="s">
        <v>25</v>
      </c>
      <c r="H1369" s="35" t="s">
        <v>25</v>
      </c>
      <c r="I1369" s="45">
        <v>44866</v>
      </c>
      <c r="J1369" s="46">
        <f>EFEITO!$J$1369*EFEITO!$Y$1110</f>
        <v>0</v>
      </c>
      <c r="K1369" s="46">
        <f ca="1">EFEITO!$L$1369*EFEITO!$Z$1372</f>
        <v>363310.12175819819</v>
      </c>
      <c r="L1369" s="46">
        <f>EFEITO!$N$1369*EFEITO!$AA$1372</f>
        <v>199462.86011164155</v>
      </c>
      <c r="M1369" s="46">
        <f>$J$1369-EFEITO!$K$1369*EFEITO!$Y$1369</f>
        <v>0</v>
      </c>
      <c r="N1369" s="46">
        <f ca="1">$K$1369-EFEITO!$M$1369*EFEITO!$Z$1369</f>
        <v>36331.012175819837</v>
      </c>
      <c r="O1369" s="46">
        <f>$L$1369-EFEITO!$O$1369*EFEITO!$AA$1369</f>
        <v>19946.286011164164</v>
      </c>
      <c r="P1369" s="38"/>
      <c r="Q1369" s="38"/>
      <c r="R1369" s="38"/>
      <c r="S1369" s="38"/>
      <c r="T1369" s="38"/>
      <c r="U1369" s="38"/>
      <c r="V1369" s="38"/>
      <c r="W1369" s="38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</row>
    <row r="1370" spans="1:36" ht="11.25" customHeight="1" x14ac:dyDescent="0.2">
      <c r="A1370" s="35" t="s">
        <v>59</v>
      </c>
      <c r="B1370" s="35" t="s">
        <v>22</v>
      </c>
      <c r="C1370" s="35" t="s">
        <v>23</v>
      </c>
      <c r="D1370" s="35" t="s">
        <v>24</v>
      </c>
      <c r="E1370" s="35" t="s">
        <v>33</v>
      </c>
      <c r="F1370" s="35" t="s">
        <v>25</v>
      </c>
      <c r="G1370" s="35" t="s">
        <v>25</v>
      </c>
      <c r="H1370" s="35" t="s">
        <v>25</v>
      </c>
      <c r="I1370" s="45">
        <v>44866</v>
      </c>
      <c r="J1370" s="46">
        <f>EFEITO!$J$1370*EFEITO!$Y$1110</f>
        <v>0</v>
      </c>
      <c r="K1370" s="46">
        <f ca="1">EFEITO!$L$1370*EFEITO!$Z$1372</f>
        <v>-2592.0530483751231</v>
      </c>
      <c r="L1370" s="46">
        <f>EFEITO!$N$1370*EFEITO!$AA$1372</f>
        <v>-1423.0771003239593</v>
      </c>
      <c r="M1370" s="46">
        <f>$J$1370-EFEITO!$K$1370*EFEITO!$Y$1370</f>
        <v>0</v>
      </c>
      <c r="N1370" s="46">
        <f ca="1">$K$1370-EFEITO!$M$1370*EFEITO!$Z$1370</f>
        <v>-259.20530483751236</v>
      </c>
      <c r="O1370" s="46">
        <f>$L$1370-EFEITO!$O$1370*EFEITO!$AA$1370</f>
        <v>-142.30771003239602</v>
      </c>
      <c r="P1370" s="38"/>
      <c r="Q1370" s="38"/>
      <c r="R1370" s="38"/>
      <c r="S1370" s="38"/>
      <c r="T1370" s="38"/>
      <c r="U1370" s="38"/>
      <c r="V1370" s="38"/>
      <c r="W1370" s="38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</row>
    <row r="1371" spans="1:36" ht="11.25" customHeight="1" x14ac:dyDescent="0.2">
      <c r="A1371" s="35" t="s">
        <v>59</v>
      </c>
      <c r="B1371" s="35" t="s">
        <v>22</v>
      </c>
      <c r="C1371" s="35" t="s">
        <v>23</v>
      </c>
      <c r="D1371" s="35" t="s">
        <v>24</v>
      </c>
      <c r="E1371" s="35" t="s">
        <v>33</v>
      </c>
      <c r="F1371" s="35" t="s">
        <v>25</v>
      </c>
      <c r="G1371" s="35" t="s">
        <v>25</v>
      </c>
      <c r="H1371" s="35" t="s">
        <v>25</v>
      </c>
      <c r="I1371" s="45">
        <v>44866</v>
      </c>
      <c r="J1371" s="46">
        <f>EFEITO!$J$1371*EFEITO!$Y$1110</f>
        <v>0</v>
      </c>
      <c r="K1371" s="46">
        <f ca="1">EFEITO!$L$1371*EFEITO!$Z$1372</f>
        <v>902.11345353564423</v>
      </c>
      <c r="L1371" s="46">
        <f>EFEITO!$N$1371*EFEITO!$AA$1372</f>
        <v>495.27419912393259</v>
      </c>
      <c r="M1371" s="46">
        <f>$J$1371-EFEITO!$K$1371*EFEITO!$Y$1371</f>
        <v>0</v>
      </c>
      <c r="N1371" s="46">
        <f ca="1">$K$1371-EFEITO!$M$1371*EFEITO!$Z$1371</f>
        <v>90.211345353564411</v>
      </c>
      <c r="O1371" s="46">
        <f>$L$1371-EFEITO!$O$1371*EFEITO!$AA$1371</f>
        <v>49.527419912393214</v>
      </c>
      <c r="P1371" s="38"/>
      <c r="Q1371" s="38"/>
      <c r="R1371" s="38"/>
      <c r="S1371" s="38"/>
      <c r="T1371" s="38"/>
      <c r="U1371" s="38"/>
      <c r="V1371" s="38"/>
      <c r="W1371" s="38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</row>
    <row r="1372" spans="1:36" ht="11.25" customHeight="1" x14ac:dyDescent="0.2">
      <c r="A1372" s="35" t="s">
        <v>21</v>
      </c>
      <c r="B1372" s="35" t="s">
        <v>22</v>
      </c>
      <c r="C1372" s="35" t="s">
        <v>23</v>
      </c>
      <c r="D1372" s="35" t="s">
        <v>24</v>
      </c>
      <c r="E1372" s="35" t="s">
        <v>34</v>
      </c>
      <c r="F1372" s="35" t="s">
        <v>25</v>
      </c>
      <c r="G1372" s="35" t="s">
        <v>25</v>
      </c>
      <c r="H1372" s="35" t="s">
        <v>25</v>
      </c>
      <c r="I1372" s="45">
        <v>44531</v>
      </c>
      <c r="J1372" s="46">
        <f>EFEITO!$J$1372*EFEITO!$Y$1110</f>
        <v>0</v>
      </c>
      <c r="K1372" s="46">
        <f ca="1">EFEITO!$L$1372*EFEITO!$Z$1372</f>
        <v>440842.71841104625</v>
      </c>
      <c r="L1372" s="46">
        <f>EFEITO!$N$1372*EFEITO!$AA$1372</f>
        <v>242029.45144529018</v>
      </c>
      <c r="M1372" s="46">
        <f>$J$1372-EFEITO!$K$1372*EFEITO!$Y$1372</f>
        <v>0</v>
      </c>
      <c r="N1372" s="46">
        <f ca="1">$K$1372-EFEITO!$M$1372*EFEITO!$Z$1372</f>
        <v>0</v>
      </c>
      <c r="O1372" s="46">
        <f>$L$1372-EFEITO!$O$1372*EFEITO!$AA$1372</f>
        <v>0</v>
      </c>
      <c r="P1372" s="38"/>
      <c r="Q1372" s="38"/>
      <c r="R1372" s="38"/>
      <c r="S1372" s="38"/>
      <c r="T1372" s="38"/>
      <c r="U1372" s="38"/>
      <c r="V1372" s="38"/>
      <c r="W1372" s="38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</row>
    <row r="1373" spans="1:36" ht="11.25" customHeight="1" x14ac:dyDescent="0.2">
      <c r="A1373" s="35" t="s">
        <v>27</v>
      </c>
      <c r="B1373" s="35" t="s">
        <v>22</v>
      </c>
      <c r="C1373" s="35" t="s">
        <v>23</v>
      </c>
      <c r="D1373" s="35" t="s">
        <v>24</v>
      </c>
      <c r="E1373" s="35" t="s">
        <v>34</v>
      </c>
      <c r="F1373" s="35" t="s">
        <v>25</v>
      </c>
      <c r="G1373" s="35" t="s">
        <v>25</v>
      </c>
      <c r="H1373" s="35" t="s">
        <v>25</v>
      </c>
      <c r="I1373" s="45">
        <v>44531</v>
      </c>
      <c r="J1373" s="46">
        <f>EFEITO!$J$1373*EFEITO!$Y$1110</f>
        <v>0</v>
      </c>
      <c r="K1373" s="46">
        <f ca="1">EFEITO!$L$1373*EFEITO!$Z$1372</f>
        <v>-17756.970964075394</v>
      </c>
      <c r="L1373" s="46">
        <f>EFEITO!$N$1373*EFEITO!$AA$1372</f>
        <v>-9748.8509218334984</v>
      </c>
      <c r="M1373" s="46">
        <f>$J$1373-EFEITO!$K$1373*EFEITO!$Y$1373</f>
        <v>0</v>
      </c>
      <c r="N1373" s="46">
        <f ca="1">$K$1373-EFEITO!$M$1373*EFEITO!$Z$1373</f>
        <v>0</v>
      </c>
      <c r="O1373" s="46">
        <f>$L$1373-EFEITO!$O$1373*EFEITO!$AA$1373</f>
        <v>0</v>
      </c>
      <c r="P1373" s="38"/>
      <c r="Q1373" s="38"/>
      <c r="R1373" s="38"/>
      <c r="S1373" s="38"/>
      <c r="T1373" s="38"/>
      <c r="U1373" s="38"/>
      <c r="V1373" s="38"/>
      <c r="W1373" s="38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</row>
    <row r="1374" spans="1:36" ht="11.25" customHeight="1" x14ac:dyDescent="0.2">
      <c r="A1374" s="35" t="s">
        <v>28</v>
      </c>
      <c r="B1374" s="35" t="s">
        <v>22</v>
      </c>
      <c r="C1374" s="35" t="s">
        <v>23</v>
      </c>
      <c r="D1374" s="35" t="s">
        <v>24</v>
      </c>
      <c r="E1374" s="35" t="s">
        <v>34</v>
      </c>
      <c r="F1374" s="35" t="s">
        <v>25</v>
      </c>
      <c r="G1374" s="35" t="s">
        <v>25</v>
      </c>
      <c r="H1374" s="35" t="s">
        <v>25</v>
      </c>
      <c r="I1374" s="45">
        <v>44531</v>
      </c>
      <c r="J1374" s="46">
        <f>EFEITO!$J$1374*EFEITO!$Y$1110</f>
        <v>0</v>
      </c>
      <c r="K1374" s="46">
        <f ca="1">EFEITO!$L$1374*EFEITO!$Z$1372</f>
        <v>113286.45790189723</v>
      </c>
      <c r="L1374" s="46">
        <f>EFEITO!$N$1374*EFEITO!$AA$1372</f>
        <v>62196.012584721226</v>
      </c>
      <c r="M1374" s="46">
        <f>$J$1374-EFEITO!$K$1374*EFEITO!$Y$1374</f>
        <v>0</v>
      </c>
      <c r="N1374" s="46">
        <f ca="1">$K$1374-EFEITO!$M$1374*EFEITO!$Z$1374</f>
        <v>0</v>
      </c>
      <c r="O1374" s="46">
        <f>$L$1374-EFEITO!$O$1374*EFEITO!$AA$1374</f>
        <v>0</v>
      </c>
      <c r="P1374" s="38"/>
      <c r="Q1374" s="38"/>
      <c r="R1374" s="38"/>
      <c r="S1374" s="38"/>
      <c r="T1374" s="38"/>
      <c r="U1374" s="38"/>
      <c r="V1374" s="38"/>
      <c r="W1374" s="38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</row>
    <row r="1375" spans="1:36" ht="11.25" customHeight="1" x14ac:dyDescent="0.2">
      <c r="A1375" s="35" t="s">
        <v>29</v>
      </c>
      <c r="B1375" s="35" t="s">
        <v>22</v>
      </c>
      <c r="C1375" s="35" t="s">
        <v>23</v>
      </c>
      <c r="D1375" s="35" t="s">
        <v>24</v>
      </c>
      <c r="E1375" s="35" t="s">
        <v>34</v>
      </c>
      <c r="F1375" s="35" t="s">
        <v>25</v>
      </c>
      <c r="G1375" s="35" t="s">
        <v>25</v>
      </c>
      <c r="H1375" s="35" t="s">
        <v>25</v>
      </c>
      <c r="I1375" s="45">
        <v>44531</v>
      </c>
      <c r="J1375" s="46">
        <f>EFEITO!$J$1375*EFEITO!$Y$1110</f>
        <v>0</v>
      </c>
      <c r="K1375" s="46">
        <f ca="1">EFEITO!$L$1375*EFEITO!$Z$1372</f>
        <v>-215.96940620275791</v>
      </c>
      <c r="L1375" s="46">
        <f>EFEITO!$N$1375*EFEITO!$AA$1372</f>
        <v>-118.57053486245989</v>
      </c>
      <c r="M1375" s="46">
        <f>$J$1375-EFEITO!$K$1375*EFEITO!$Y$1375</f>
        <v>0</v>
      </c>
      <c r="N1375" s="46">
        <f ca="1">$K$1375-EFEITO!$M$1375*EFEITO!$Z$1375</f>
        <v>0</v>
      </c>
      <c r="O1375" s="46">
        <f>$L$1375-EFEITO!$O$1375*EFEITO!$AA$1375</f>
        <v>0</v>
      </c>
      <c r="P1375" s="38"/>
      <c r="Q1375" s="38"/>
      <c r="R1375" s="38"/>
      <c r="S1375" s="38"/>
      <c r="T1375" s="38"/>
      <c r="U1375" s="38"/>
      <c r="V1375" s="38"/>
      <c r="W1375" s="38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</row>
    <row r="1376" spans="1:36" ht="11.25" customHeight="1" x14ac:dyDescent="0.2">
      <c r="A1376" s="35" t="s">
        <v>30</v>
      </c>
      <c r="B1376" s="35" t="s">
        <v>22</v>
      </c>
      <c r="C1376" s="35" t="s">
        <v>23</v>
      </c>
      <c r="D1376" s="35" t="s">
        <v>24</v>
      </c>
      <c r="E1376" s="35" t="s">
        <v>34</v>
      </c>
      <c r="F1376" s="35" t="s">
        <v>25</v>
      </c>
      <c r="G1376" s="35" t="s">
        <v>25</v>
      </c>
      <c r="H1376" s="35" t="s">
        <v>25</v>
      </c>
      <c r="I1376" s="45">
        <v>44531</v>
      </c>
      <c r="J1376" s="46">
        <f>EFEITO!$J$1376*EFEITO!$Y$1110</f>
        <v>0</v>
      </c>
      <c r="K1376" s="46">
        <f ca="1">EFEITO!$L$1376*EFEITO!$Z$1372</f>
        <v>1800.8655155350589</v>
      </c>
      <c r="L1376" s="46">
        <f>EFEITO!$N$1376*EFEITO!$AA$1372</f>
        <v>988.70294245234061</v>
      </c>
      <c r="M1376" s="46">
        <f>$J$1376-EFEITO!$K$1376*EFEITO!$Y$1376</f>
        <v>0</v>
      </c>
      <c r="N1376" s="46">
        <f ca="1">$K$1376-EFEITO!$M$1376*EFEITO!$Z$1376</f>
        <v>0</v>
      </c>
      <c r="O1376" s="46">
        <f>$L$1376-EFEITO!$O$1376*EFEITO!$AA$1376</f>
        <v>0</v>
      </c>
      <c r="P1376" s="38"/>
      <c r="Q1376" s="38"/>
      <c r="R1376" s="38"/>
      <c r="S1376" s="38"/>
      <c r="T1376" s="38"/>
      <c r="U1376" s="38"/>
      <c r="V1376" s="38"/>
      <c r="W1376" s="38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</row>
    <row r="1377" spans="1:36" ht="11.25" customHeight="1" x14ac:dyDescent="0.2">
      <c r="A1377" s="35" t="s">
        <v>30</v>
      </c>
      <c r="B1377" s="35" t="s">
        <v>22</v>
      </c>
      <c r="C1377" s="35" t="s">
        <v>23</v>
      </c>
      <c r="D1377" s="35" t="s">
        <v>24</v>
      </c>
      <c r="E1377" s="35" t="s">
        <v>34</v>
      </c>
      <c r="F1377" s="35" t="s">
        <v>25</v>
      </c>
      <c r="G1377" s="35" t="s">
        <v>25</v>
      </c>
      <c r="H1377" s="35" t="s">
        <v>25</v>
      </c>
      <c r="I1377" s="45">
        <v>44531</v>
      </c>
      <c r="J1377" s="46">
        <f>EFEITO!$J$1377*EFEITO!$Y$1110</f>
        <v>0</v>
      </c>
      <c r="K1377" s="46">
        <f ca="1">EFEITO!$L$1377*EFEITO!$Z$1372</f>
        <v>-923.12215063707993</v>
      </c>
      <c r="L1377" s="46">
        <f>EFEITO!$N$1377*EFEITO!$AA$1372</f>
        <v>-506.80829784596182</v>
      </c>
      <c r="M1377" s="46">
        <f>$J$1377-EFEITO!$K$1377*EFEITO!$Y$1377</f>
        <v>0</v>
      </c>
      <c r="N1377" s="46">
        <f ca="1">$K$1377-EFEITO!$M$1377*EFEITO!$Z$1377</f>
        <v>0</v>
      </c>
      <c r="O1377" s="46">
        <f>$L$1377-EFEITO!$O$1377*EFEITO!$AA$1377</f>
        <v>0</v>
      </c>
      <c r="P1377" s="38"/>
      <c r="Q1377" s="38"/>
      <c r="R1377" s="38"/>
      <c r="S1377" s="38"/>
      <c r="T1377" s="38"/>
      <c r="U1377" s="38"/>
      <c r="V1377" s="38"/>
      <c r="W1377" s="38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</row>
    <row r="1378" spans="1:36" ht="11.25" customHeight="1" x14ac:dyDescent="0.2">
      <c r="A1378" s="35" t="s">
        <v>21</v>
      </c>
      <c r="B1378" s="35" t="s">
        <v>22</v>
      </c>
      <c r="C1378" s="35" t="s">
        <v>23</v>
      </c>
      <c r="D1378" s="35" t="s">
        <v>24</v>
      </c>
      <c r="E1378" s="35" t="s">
        <v>34</v>
      </c>
      <c r="F1378" s="35" t="s">
        <v>25</v>
      </c>
      <c r="G1378" s="35" t="s">
        <v>25</v>
      </c>
      <c r="H1378" s="35" t="s">
        <v>25</v>
      </c>
      <c r="I1378" s="45">
        <v>44562</v>
      </c>
      <c r="J1378" s="46">
        <f>EFEITO!$J$1378*EFEITO!$Y$1110</f>
        <v>0</v>
      </c>
      <c r="K1378" s="46">
        <f ca="1">EFEITO!$L$1378*EFEITO!$Z$1372</f>
        <v>460724.50899996079</v>
      </c>
      <c r="L1378" s="46">
        <f>EFEITO!$N$1378*EFEITO!$AA$1372</f>
        <v>252944.86111186972</v>
      </c>
      <c r="M1378" s="46">
        <f>$J$1378-EFEITO!$K$1378*EFEITO!$Y$1378</f>
        <v>0</v>
      </c>
      <c r="N1378" s="46">
        <f ca="1">$K$1378-EFEITO!$M$1378*EFEITO!$Z$1378</f>
        <v>0</v>
      </c>
      <c r="O1378" s="46">
        <f>$L$1378-EFEITO!$O$1378*EFEITO!$AA$1378</f>
        <v>0</v>
      </c>
      <c r="P1378" s="38"/>
      <c r="Q1378" s="38"/>
      <c r="R1378" s="38"/>
      <c r="S1378" s="38"/>
      <c r="T1378" s="38"/>
      <c r="U1378" s="38"/>
      <c r="V1378" s="38"/>
      <c r="W1378" s="38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</row>
    <row r="1379" spans="1:36" ht="11.25" customHeight="1" x14ac:dyDescent="0.2">
      <c r="A1379" s="35" t="s">
        <v>27</v>
      </c>
      <c r="B1379" s="35" t="s">
        <v>22</v>
      </c>
      <c r="C1379" s="35" t="s">
        <v>23</v>
      </c>
      <c r="D1379" s="35" t="s">
        <v>24</v>
      </c>
      <c r="E1379" s="35" t="s">
        <v>34</v>
      </c>
      <c r="F1379" s="35" t="s">
        <v>25</v>
      </c>
      <c r="G1379" s="35" t="s">
        <v>25</v>
      </c>
      <c r="H1379" s="35" t="s">
        <v>25</v>
      </c>
      <c r="I1379" s="45">
        <v>44562</v>
      </c>
      <c r="J1379" s="46">
        <f>EFEITO!$J$1379*EFEITO!$Y$1110</f>
        <v>0</v>
      </c>
      <c r="K1379" s="46">
        <f ca="1">EFEITO!$L$1379*EFEITO!$Z$1372</f>
        <v>-7264.3872837343997</v>
      </c>
      <c r="L1379" s="46">
        <f>EFEITO!$N$1379*EFEITO!$AA$1372</f>
        <v>-3988.2606561032476</v>
      </c>
      <c r="M1379" s="46">
        <f>$J$1379-EFEITO!$K$1379*EFEITO!$Y$1379</f>
        <v>0</v>
      </c>
      <c r="N1379" s="46">
        <f ca="1">$K$1379-EFEITO!$M$1379*EFEITO!$Z$1379</f>
        <v>0</v>
      </c>
      <c r="O1379" s="46">
        <f>$L$1379-EFEITO!$O$1379*EFEITO!$AA$1379</f>
        <v>0</v>
      </c>
      <c r="P1379" s="38"/>
      <c r="Q1379" s="38"/>
      <c r="R1379" s="38"/>
      <c r="S1379" s="38"/>
      <c r="T1379" s="38"/>
      <c r="U1379" s="38"/>
      <c r="V1379" s="38"/>
      <c r="W1379" s="38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</row>
    <row r="1380" spans="1:36" ht="11.25" customHeight="1" x14ac:dyDescent="0.2">
      <c r="A1380" s="35" t="s">
        <v>28</v>
      </c>
      <c r="B1380" s="35" t="s">
        <v>22</v>
      </c>
      <c r="C1380" s="35" t="s">
        <v>23</v>
      </c>
      <c r="D1380" s="35" t="s">
        <v>24</v>
      </c>
      <c r="E1380" s="35" t="s">
        <v>34</v>
      </c>
      <c r="F1380" s="35" t="s">
        <v>25</v>
      </c>
      <c r="G1380" s="35" t="s">
        <v>25</v>
      </c>
      <c r="H1380" s="35" t="s">
        <v>25</v>
      </c>
      <c r="I1380" s="45">
        <v>44562</v>
      </c>
      <c r="J1380" s="46">
        <f>EFEITO!$J$1380*EFEITO!$Y$1110</f>
        <v>0</v>
      </c>
      <c r="K1380" s="46">
        <f ca="1">EFEITO!$L$1380*EFEITO!$Z$1372</f>
        <v>118399.1344285026</v>
      </c>
      <c r="L1380" s="46">
        <f>EFEITO!$N$1380*EFEITO!$AA$1372</f>
        <v>65002.950849714245</v>
      </c>
      <c r="M1380" s="46">
        <f>$J$1380-EFEITO!$K$1380*EFEITO!$Y$1380</f>
        <v>0</v>
      </c>
      <c r="N1380" s="46">
        <f ca="1">$K$1380-EFEITO!$M$1380*EFEITO!$Z$1380</f>
        <v>0</v>
      </c>
      <c r="O1380" s="46">
        <f>$L$1380-EFEITO!$O$1380*EFEITO!$AA$1380</f>
        <v>0</v>
      </c>
      <c r="P1380" s="38"/>
      <c r="Q1380" s="38"/>
      <c r="R1380" s="38"/>
      <c r="S1380" s="38"/>
      <c r="T1380" s="38"/>
      <c r="U1380" s="38"/>
      <c r="V1380" s="38"/>
      <c r="W1380" s="38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</row>
    <row r="1381" spans="1:36" ht="11.25" customHeight="1" x14ac:dyDescent="0.2">
      <c r="A1381" s="35" t="s">
        <v>29</v>
      </c>
      <c r="B1381" s="35" t="s">
        <v>22</v>
      </c>
      <c r="C1381" s="35" t="s">
        <v>23</v>
      </c>
      <c r="D1381" s="35" t="s">
        <v>24</v>
      </c>
      <c r="E1381" s="35" t="s">
        <v>34</v>
      </c>
      <c r="F1381" s="35" t="s">
        <v>25</v>
      </c>
      <c r="G1381" s="35" t="s">
        <v>25</v>
      </c>
      <c r="H1381" s="35" t="s">
        <v>25</v>
      </c>
      <c r="I1381" s="45">
        <v>44562</v>
      </c>
      <c r="J1381" s="46">
        <f>EFEITO!$J$1381*EFEITO!$Y$1110</f>
        <v>0</v>
      </c>
      <c r="K1381" s="46">
        <f ca="1">EFEITO!$L$1381*EFEITO!$Z$1372</f>
        <v>-1797.5041239988291</v>
      </c>
      <c r="L1381" s="46">
        <f>EFEITO!$N$1381*EFEITO!$AA$1372</f>
        <v>-986.85748665681592</v>
      </c>
      <c r="M1381" s="46">
        <f>$J$1381-EFEITO!$K$1381*EFEITO!$Y$1381</f>
        <v>0</v>
      </c>
      <c r="N1381" s="46">
        <f ca="1">$K$1381-EFEITO!$M$1381*EFEITO!$Z$1381</f>
        <v>0</v>
      </c>
      <c r="O1381" s="46">
        <f>$L$1381-EFEITO!$O$1381*EFEITO!$AA$1381</f>
        <v>0</v>
      </c>
      <c r="P1381" s="38"/>
      <c r="Q1381" s="38"/>
      <c r="R1381" s="38"/>
      <c r="S1381" s="38"/>
      <c r="T1381" s="38"/>
      <c r="U1381" s="38"/>
      <c r="V1381" s="38"/>
      <c r="W1381" s="38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</row>
    <row r="1382" spans="1:36" ht="11.25" customHeight="1" x14ac:dyDescent="0.2">
      <c r="A1382" s="35" t="s">
        <v>30</v>
      </c>
      <c r="B1382" s="35" t="s">
        <v>22</v>
      </c>
      <c r="C1382" s="35" t="s">
        <v>23</v>
      </c>
      <c r="D1382" s="35" t="s">
        <v>24</v>
      </c>
      <c r="E1382" s="35" t="s">
        <v>34</v>
      </c>
      <c r="F1382" s="35" t="s">
        <v>25</v>
      </c>
      <c r="G1382" s="35" t="s">
        <v>25</v>
      </c>
      <c r="H1382" s="35" t="s">
        <v>25</v>
      </c>
      <c r="I1382" s="45">
        <v>44562</v>
      </c>
      <c r="J1382" s="46">
        <f>EFEITO!$J$1382*EFEITO!$Y$1110</f>
        <v>0</v>
      </c>
      <c r="K1382" s="46">
        <f ca="1">EFEITO!$L$1382*EFEITO!$Z$1372</f>
        <v>1467.2474055642617</v>
      </c>
      <c r="L1382" s="46">
        <f>EFEITO!$N$1382*EFEITO!$AA$1372</f>
        <v>805.54145474651739</v>
      </c>
      <c r="M1382" s="46">
        <f>$J$1382-EFEITO!$K$1382*EFEITO!$Y$1382</f>
        <v>0</v>
      </c>
      <c r="N1382" s="46">
        <f ca="1">$K$1382-EFEITO!$M$1382*EFEITO!$Z$1382</f>
        <v>0</v>
      </c>
      <c r="O1382" s="46">
        <f>$L$1382-EFEITO!$O$1382*EFEITO!$AA$1382</f>
        <v>0</v>
      </c>
      <c r="P1382" s="38"/>
      <c r="Q1382" s="38"/>
      <c r="R1382" s="38"/>
      <c r="S1382" s="38"/>
      <c r="T1382" s="38"/>
      <c r="U1382" s="38"/>
      <c r="V1382" s="38"/>
      <c r="W1382" s="38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</row>
    <row r="1383" spans="1:36" ht="11.25" customHeight="1" x14ac:dyDescent="0.2">
      <c r="A1383" s="35" t="s">
        <v>30</v>
      </c>
      <c r="B1383" s="35" t="s">
        <v>22</v>
      </c>
      <c r="C1383" s="35" t="s">
        <v>23</v>
      </c>
      <c r="D1383" s="35" t="s">
        <v>24</v>
      </c>
      <c r="E1383" s="35" t="s">
        <v>34</v>
      </c>
      <c r="F1383" s="35" t="s">
        <v>25</v>
      </c>
      <c r="G1383" s="35" t="s">
        <v>25</v>
      </c>
      <c r="H1383" s="35" t="s">
        <v>25</v>
      </c>
      <c r="I1383" s="45">
        <v>44562</v>
      </c>
      <c r="J1383" s="46">
        <f>EFEITO!$J$1383*EFEITO!$Y$1110</f>
        <v>0</v>
      </c>
      <c r="K1383" s="46">
        <f ca="1">EFEITO!$L$1383*EFEITO!$Z$1372</f>
        <v>-12.605218260861355</v>
      </c>
      <c r="L1383" s="46">
        <f>EFEITO!$N$1383*EFEITO!$AA$1372</f>
        <v>-6.9204592332175032</v>
      </c>
      <c r="M1383" s="46">
        <f>$J$1383-EFEITO!$K$1383*EFEITO!$Y$1383</f>
        <v>0</v>
      </c>
      <c r="N1383" s="46">
        <f ca="1">$K$1383-EFEITO!$M$1383*EFEITO!$Z$1383</f>
        <v>0</v>
      </c>
      <c r="O1383" s="46">
        <f>$L$1383-EFEITO!$O$1383*EFEITO!$AA$1383</f>
        <v>0</v>
      </c>
      <c r="P1383" s="38"/>
      <c r="Q1383" s="38"/>
      <c r="R1383" s="38"/>
      <c r="S1383" s="38"/>
      <c r="T1383" s="38"/>
      <c r="U1383" s="38"/>
      <c r="V1383" s="38"/>
      <c r="W1383" s="38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</row>
    <row r="1384" spans="1:36" ht="11.25" customHeight="1" x14ac:dyDescent="0.2">
      <c r="A1384" s="35" t="s">
        <v>21</v>
      </c>
      <c r="B1384" s="35" t="s">
        <v>22</v>
      </c>
      <c r="C1384" s="35" t="s">
        <v>23</v>
      </c>
      <c r="D1384" s="35" t="s">
        <v>24</v>
      </c>
      <c r="E1384" s="35" t="s">
        <v>34</v>
      </c>
      <c r="F1384" s="35" t="s">
        <v>25</v>
      </c>
      <c r="G1384" s="35" t="s">
        <v>25</v>
      </c>
      <c r="H1384" s="35" t="s">
        <v>25</v>
      </c>
      <c r="I1384" s="45">
        <v>44593</v>
      </c>
      <c r="J1384" s="46">
        <f>EFEITO!$J$1384*EFEITO!$Y$1110</f>
        <v>0</v>
      </c>
      <c r="K1384" s="46">
        <f ca="1">EFEITO!$L$1384*EFEITO!$Z$1372</f>
        <v>416304.98037051148</v>
      </c>
      <c r="L1384" s="46">
        <f>EFEITO!$N$1384*EFEITO!$AA$1372</f>
        <v>228557.85481993455</v>
      </c>
      <c r="M1384" s="46">
        <f>$J$1384-EFEITO!$K$1384*EFEITO!$Y$1384</f>
        <v>0</v>
      </c>
      <c r="N1384" s="46">
        <f ca="1">$K$1384-EFEITO!$M$1384*EFEITO!$Z$1384</f>
        <v>0</v>
      </c>
      <c r="O1384" s="46">
        <f>$L$1384-EFEITO!$O$1384*EFEITO!$AA$1384</f>
        <v>0</v>
      </c>
      <c r="P1384" s="38"/>
      <c r="Q1384" s="38"/>
      <c r="R1384" s="38"/>
      <c r="S1384" s="38"/>
      <c r="T1384" s="38"/>
      <c r="U1384" s="38"/>
      <c r="V1384" s="38"/>
      <c r="W1384" s="38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</row>
    <row r="1385" spans="1:36" ht="11.25" customHeight="1" x14ac:dyDescent="0.2">
      <c r="A1385" s="35" t="s">
        <v>27</v>
      </c>
      <c r="B1385" s="35" t="s">
        <v>22</v>
      </c>
      <c r="C1385" s="35" t="s">
        <v>23</v>
      </c>
      <c r="D1385" s="35" t="s">
        <v>24</v>
      </c>
      <c r="E1385" s="35" t="s">
        <v>34</v>
      </c>
      <c r="F1385" s="35" t="s">
        <v>25</v>
      </c>
      <c r="G1385" s="35" t="s">
        <v>25</v>
      </c>
      <c r="H1385" s="35" t="s">
        <v>25</v>
      </c>
      <c r="I1385" s="45">
        <v>44593</v>
      </c>
      <c r="J1385" s="46">
        <f>EFEITO!$J$1385*EFEITO!$Y$1110</f>
        <v>0</v>
      </c>
      <c r="K1385" s="46">
        <f ca="1">EFEITO!$L$1385*EFEITO!$Z$1372</f>
        <v>-1621.451242288799</v>
      </c>
      <c r="L1385" s="46">
        <f>EFEITO!$N$1385*EFEITO!$AA$1372</f>
        <v>-890.20173936621154</v>
      </c>
      <c r="M1385" s="46">
        <f>$J$1385-EFEITO!$K$1385*EFEITO!$Y$1385</f>
        <v>0</v>
      </c>
      <c r="N1385" s="46">
        <f ca="1">$K$1385-EFEITO!$M$1385*EFEITO!$Z$1385</f>
        <v>0</v>
      </c>
      <c r="O1385" s="46">
        <f>$L$1385-EFEITO!$O$1385*EFEITO!$AA$1385</f>
        <v>0</v>
      </c>
      <c r="P1385" s="38"/>
      <c r="Q1385" s="38"/>
      <c r="R1385" s="38"/>
      <c r="S1385" s="38"/>
      <c r="T1385" s="38"/>
      <c r="U1385" s="38"/>
      <c r="V1385" s="38"/>
      <c r="W1385" s="38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</row>
    <row r="1386" spans="1:36" ht="11.25" customHeight="1" x14ac:dyDescent="0.2">
      <c r="A1386" s="35" t="s">
        <v>28</v>
      </c>
      <c r="B1386" s="35" t="s">
        <v>22</v>
      </c>
      <c r="C1386" s="35" t="s">
        <v>23</v>
      </c>
      <c r="D1386" s="35" t="s">
        <v>24</v>
      </c>
      <c r="E1386" s="35" t="s">
        <v>34</v>
      </c>
      <c r="F1386" s="35" t="s">
        <v>25</v>
      </c>
      <c r="G1386" s="35" t="s">
        <v>25</v>
      </c>
      <c r="H1386" s="35" t="s">
        <v>25</v>
      </c>
      <c r="I1386" s="45">
        <v>44593</v>
      </c>
      <c r="J1386" s="46">
        <f>EFEITO!$J$1386*EFEITO!$Y$1110</f>
        <v>0</v>
      </c>
      <c r="K1386" s="46">
        <f ca="1">EFEITO!$L$1386*EFEITO!$Z$1372</f>
        <v>95537.05006877835</v>
      </c>
      <c r="L1386" s="46">
        <f>EFEITO!$N$1386*EFEITO!$AA$1372</f>
        <v>52451.313938427658</v>
      </c>
      <c r="M1386" s="46">
        <f>$J$1386-EFEITO!$K$1386*EFEITO!$Y$1386</f>
        <v>0</v>
      </c>
      <c r="N1386" s="46">
        <f ca="1">$K$1386-EFEITO!$M$1386*EFEITO!$Z$1386</f>
        <v>0</v>
      </c>
      <c r="O1386" s="46">
        <f>$L$1386-EFEITO!$O$1386*EFEITO!$AA$1386</f>
        <v>0</v>
      </c>
      <c r="P1386" s="38"/>
      <c r="Q1386" s="38"/>
      <c r="R1386" s="38"/>
      <c r="S1386" s="38"/>
      <c r="T1386" s="38"/>
      <c r="U1386" s="38"/>
      <c r="V1386" s="38"/>
      <c r="W1386" s="38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</row>
    <row r="1387" spans="1:36" ht="11.25" customHeight="1" x14ac:dyDescent="0.2">
      <c r="A1387" s="35" t="s">
        <v>29</v>
      </c>
      <c r="B1387" s="35" t="s">
        <v>22</v>
      </c>
      <c r="C1387" s="35" t="s">
        <v>23</v>
      </c>
      <c r="D1387" s="35" t="s">
        <v>24</v>
      </c>
      <c r="E1387" s="35" t="s">
        <v>34</v>
      </c>
      <c r="F1387" s="35" t="s">
        <v>25</v>
      </c>
      <c r="G1387" s="35" t="s">
        <v>25</v>
      </c>
      <c r="H1387" s="35" t="s">
        <v>25</v>
      </c>
      <c r="I1387" s="45">
        <v>44593</v>
      </c>
      <c r="J1387" s="46">
        <f>EFEITO!$J$1387*EFEITO!$Y$1110</f>
        <v>0</v>
      </c>
      <c r="K1387" s="46">
        <f ca="1">EFEITO!$L$1387*EFEITO!$Z$1372</f>
        <v>-5969.4111944019096</v>
      </c>
      <c r="L1387" s="46">
        <f>EFEITO!$N$1387*EFEITO!$AA$1372</f>
        <v>-3277.2988108773693</v>
      </c>
      <c r="M1387" s="46">
        <f>$J$1387-EFEITO!$K$1387*EFEITO!$Y$1387</f>
        <v>0</v>
      </c>
      <c r="N1387" s="46">
        <f ca="1">$K$1387-EFEITO!$M$1387*EFEITO!$Z$1387</f>
        <v>0</v>
      </c>
      <c r="O1387" s="46">
        <f>$L$1387-EFEITO!$O$1387*EFEITO!$AA$1387</f>
        <v>0</v>
      </c>
      <c r="P1387" s="38"/>
      <c r="Q1387" s="38"/>
      <c r="R1387" s="38"/>
      <c r="S1387" s="38"/>
      <c r="T1387" s="38"/>
      <c r="U1387" s="38"/>
      <c r="V1387" s="38"/>
      <c r="W1387" s="38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</row>
    <row r="1388" spans="1:36" ht="11.25" customHeight="1" x14ac:dyDescent="0.2">
      <c r="A1388" s="35" t="s">
        <v>30</v>
      </c>
      <c r="B1388" s="35" t="s">
        <v>22</v>
      </c>
      <c r="C1388" s="35" t="s">
        <v>23</v>
      </c>
      <c r="D1388" s="35" t="s">
        <v>24</v>
      </c>
      <c r="E1388" s="35" t="s">
        <v>34</v>
      </c>
      <c r="F1388" s="35" t="s">
        <v>25</v>
      </c>
      <c r="G1388" s="35" t="s">
        <v>25</v>
      </c>
      <c r="H1388" s="35" t="s">
        <v>25</v>
      </c>
      <c r="I1388" s="45">
        <v>44593</v>
      </c>
      <c r="J1388" s="46">
        <f>EFEITO!$J$1388*EFEITO!$Y$1110</f>
        <v>0</v>
      </c>
      <c r="K1388" s="46">
        <f ca="1">EFEITO!$L$1388*EFEITO!$Z$1372</f>
        <v>993.71137289790363</v>
      </c>
      <c r="L1388" s="46">
        <f>EFEITO!$N$1388*EFEITO!$AA$1372</f>
        <v>545.56286955197993</v>
      </c>
      <c r="M1388" s="46">
        <f>$J$1388-EFEITO!$K$1388*EFEITO!$Y$1388</f>
        <v>0</v>
      </c>
      <c r="N1388" s="46">
        <f ca="1">$K$1388-EFEITO!$M$1388*EFEITO!$Z$1388</f>
        <v>0</v>
      </c>
      <c r="O1388" s="46">
        <f>$L$1388-EFEITO!$O$1388*EFEITO!$AA$1388</f>
        <v>0</v>
      </c>
      <c r="P1388" s="38"/>
      <c r="Q1388" s="38"/>
      <c r="R1388" s="38"/>
      <c r="S1388" s="38"/>
      <c r="T1388" s="38"/>
      <c r="U1388" s="38"/>
      <c r="V1388" s="38"/>
      <c r="W1388" s="38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</row>
    <row r="1389" spans="1:36" ht="11.25" customHeight="1" x14ac:dyDescent="0.2">
      <c r="A1389" s="35" t="s">
        <v>30</v>
      </c>
      <c r="B1389" s="35" t="s">
        <v>22</v>
      </c>
      <c r="C1389" s="35" t="s">
        <v>23</v>
      </c>
      <c r="D1389" s="35" t="s">
        <v>24</v>
      </c>
      <c r="E1389" s="35" t="s">
        <v>34</v>
      </c>
      <c r="F1389" s="35" t="s">
        <v>25</v>
      </c>
      <c r="G1389" s="35" t="s">
        <v>25</v>
      </c>
      <c r="H1389" s="35" t="s">
        <v>25</v>
      </c>
      <c r="I1389" s="45">
        <v>44593</v>
      </c>
      <c r="J1389" s="46">
        <f>EFEITO!$J$1389*EFEITO!$Y$1110</f>
        <v>0</v>
      </c>
      <c r="K1389" s="46">
        <f ca="1">EFEITO!$L$1389*EFEITO!$Z$1372</f>
        <v>-12.185044318832643</v>
      </c>
      <c r="L1389" s="46">
        <f>EFEITO!$N$1389*EFEITO!$AA$1372</f>
        <v>-6.6897772587769202</v>
      </c>
      <c r="M1389" s="46">
        <f>$J$1389-EFEITO!$K$1389*EFEITO!$Y$1389</f>
        <v>0</v>
      </c>
      <c r="N1389" s="46">
        <f ca="1">$K$1389-EFEITO!$M$1389*EFEITO!$Z$1389</f>
        <v>0</v>
      </c>
      <c r="O1389" s="46">
        <f>$L$1389-EFEITO!$O$1389*EFEITO!$AA$1389</f>
        <v>0</v>
      </c>
      <c r="P1389" s="38"/>
      <c r="Q1389" s="38"/>
      <c r="R1389" s="38"/>
      <c r="S1389" s="38"/>
      <c r="T1389" s="38"/>
      <c r="U1389" s="38"/>
      <c r="V1389" s="38"/>
      <c r="W1389" s="38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</row>
    <row r="1390" spans="1:36" ht="11.25" customHeight="1" x14ac:dyDescent="0.2">
      <c r="A1390" s="35" t="s">
        <v>21</v>
      </c>
      <c r="B1390" s="35" t="s">
        <v>22</v>
      </c>
      <c r="C1390" s="35" t="s">
        <v>23</v>
      </c>
      <c r="D1390" s="35" t="s">
        <v>24</v>
      </c>
      <c r="E1390" s="35" t="s">
        <v>34</v>
      </c>
      <c r="F1390" s="35" t="s">
        <v>25</v>
      </c>
      <c r="G1390" s="35" t="s">
        <v>25</v>
      </c>
      <c r="H1390" s="35" t="s">
        <v>25</v>
      </c>
      <c r="I1390" s="45">
        <v>44621</v>
      </c>
      <c r="J1390" s="46">
        <f>EFEITO!$J$1390*EFEITO!$Y$1110</f>
        <v>0</v>
      </c>
      <c r="K1390" s="46">
        <f ca="1">EFEITO!$L$1390*EFEITO!$Z$1372</f>
        <v>446182.70904028916</v>
      </c>
      <c r="L1390" s="46">
        <f>EFEITO!$N$1390*EFEITO!$AA$1372</f>
        <v>244961.18865845559</v>
      </c>
      <c r="M1390" s="46">
        <f>$J$1390-EFEITO!$K$1390*EFEITO!$Y$1390</f>
        <v>0</v>
      </c>
      <c r="N1390" s="46">
        <f ca="1">$K$1390-EFEITO!$M$1390*EFEITO!$Z$1390</f>
        <v>0</v>
      </c>
      <c r="O1390" s="46">
        <f>$L$1390-EFEITO!$O$1390*EFEITO!$AA$1390</f>
        <v>0</v>
      </c>
      <c r="P1390" s="38"/>
      <c r="Q1390" s="38"/>
      <c r="R1390" s="38"/>
      <c r="S1390" s="38"/>
      <c r="T1390" s="38"/>
      <c r="U1390" s="38"/>
      <c r="V1390" s="38"/>
      <c r="W1390" s="38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</row>
    <row r="1391" spans="1:36" ht="11.25" customHeight="1" x14ac:dyDescent="0.2">
      <c r="A1391" s="35" t="s">
        <v>27</v>
      </c>
      <c r="B1391" s="35" t="s">
        <v>22</v>
      </c>
      <c r="C1391" s="35" t="s">
        <v>23</v>
      </c>
      <c r="D1391" s="35" t="s">
        <v>24</v>
      </c>
      <c r="E1391" s="35" t="s">
        <v>34</v>
      </c>
      <c r="F1391" s="35" t="s">
        <v>25</v>
      </c>
      <c r="G1391" s="35" t="s">
        <v>25</v>
      </c>
      <c r="H1391" s="35" t="s">
        <v>25</v>
      </c>
      <c r="I1391" s="45">
        <v>44621</v>
      </c>
      <c r="J1391" s="46">
        <f>EFEITO!$J$1391*EFEITO!$Y$1110</f>
        <v>0</v>
      </c>
      <c r="K1391" s="46">
        <f ca="1">EFEITO!$L$1391*EFEITO!$Z$1372</f>
        <v>-2295.8304192448818</v>
      </c>
      <c r="L1391" s="46">
        <f>EFEITO!$N$1391*EFEITO!$AA$1372</f>
        <v>-1260.4463083433479</v>
      </c>
      <c r="M1391" s="46">
        <f>$J$1391-EFEITO!$K$1391*EFEITO!$Y$1391</f>
        <v>0</v>
      </c>
      <c r="N1391" s="46">
        <f ca="1">$K$1391-EFEITO!$M$1391*EFEITO!$Z$1391</f>
        <v>0</v>
      </c>
      <c r="O1391" s="46">
        <f>$L$1391-EFEITO!$O$1391*EFEITO!$AA$1391</f>
        <v>0</v>
      </c>
      <c r="P1391" s="38"/>
      <c r="Q1391" s="38"/>
      <c r="R1391" s="38"/>
      <c r="S1391" s="38"/>
      <c r="T1391" s="38"/>
      <c r="U1391" s="38"/>
      <c r="V1391" s="38"/>
      <c r="W1391" s="38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</row>
    <row r="1392" spans="1:36" ht="11.25" customHeight="1" x14ac:dyDescent="0.2">
      <c r="A1392" s="35" t="s">
        <v>28</v>
      </c>
      <c r="B1392" s="35" t="s">
        <v>22</v>
      </c>
      <c r="C1392" s="35" t="s">
        <v>23</v>
      </c>
      <c r="D1392" s="35" t="s">
        <v>24</v>
      </c>
      <c r="E1392" s="35" t="s">
        <v>34</v>
      </c>
      <c r="F1392" s="35" t="s">
        <v>25</v>
      </c>
      <c r="G1392" s="35" t="s">
        <v>25</v>
      </c>
      <c r="H1392" s="35" t="s">
        <v>25</v>
      </c>
      <c r="I1392" s="45">
        <v>44621</v>
      </c>
      <c r="J1392" s="46">
        <f>EFEITO!$J$1392*EFEITO!$Y$1110</f>
        <v>0</v>
      </c>
      <c r="K1392" s="46">
        <f ca="1">EFEITO!$L$1392*EFEITO!$Z$1372</f>
        <v>108383.44817236419</v>
      </c>
      <c r="L1392" s="46">
        <f>EFEITO!$N$1392*EFEITO!$AA$1372</f>
        <v>59504.184624974063</v>
      </c>
      <c r="M1392" s="46">
        <f>$J$1392-EFEITO!$K$1392*EFEITO!$Y$1392</f>
        <v>0</v>
      </c>
      <c r="N1392" s="46">
        <f ca="1">$K$1392-EFEITO!$M$1392*EFEITO!$Z$1392</f>
        <v>0</v>
      </c>
      <c r="O1392" s="46">
        <f>$L$1392-EFEITO!$O$1392*EFEITO!$AA$1392</f>
        <v>0</v>
      </c>
      <c r="P1392" s="38"/>
      <c r="Q1392" s="38"/>
      <c r="R1392" s="38"/>
      <c r="S1392" s="38"/>
      <c r="T1392" s="38"/>
      <c r="U1392" s="38"/>
      <c r="V1392" s="38"/>
      <c r="W1392" s="38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</row>
    <row r="1393" spans="1:36" ht="11.25" customHeight="1" x14ac:dyDescent="0.2">
      <c r="A1393" s="35" t="s">
        <v>29</v>
      </c>
      <c r="B1393" s="35" t="s">
        <v>22</v>
      </c>
      <c r="C1393" s="35" t="s">
        <v>23</v>
      </c>
      <c r="D1393" s="35" t="s">
        <v>24</v>
      </c>
      <c r="E1393" s="35" t="s">
        <v>34</v>
      </c>
      <c r="F1393" s="35" t="s">
        <v>25</v>
      </c>
      <c r="G1393" s="35" t="s">
        <v>25</v>
      </c>
      <c r="H1393" s="35" t="s">
        <v>25</v>
      </c>
      <c r="I1393" s="45">
        <v>44621</v>
      </c>
      <c r="J1393" s="46">
        <f>EFEITO!$J$1393*EFEITO!$Y$1110</f>
        <v>0</v>
      </c>
      <c r="K1393" s="46">
        <f ca="1">EFEITO!$L$1393*EFEITO!$Z$1372</f>
        <v>-213.02818860855692</v>
      </c>
      <c r="L1393" s="46">
        <f>EFEITO!$N$1393*EFEITO!$AA$1372</f>
        <v>-116.95576104137581</v>
      </c>
      <c r="M1393" s="46">
        <f>$J$1393-EFEITO!$K$1393*EFEITO!$Y$1393</f>
        <v>0</v>
      </c>
      <c r="N1393" s="46">
        <f ca="1">$K$1393-EFEITO!$M$1393*EFEITO!$Z$1393</f>
        <v>0</v>
      </c>
      <c r="O1393" s="46">
        <f>$L$1393-EFEITO!$O$1393*EFEITO!$AA$1393</f>
        <v>0</v>
      </c>
      <c r="P1393" s="38"/>
      <c r="Q1393" s="38"/>
      <c r="R1393" s="38"/>
      <c r="S1393" s="38"/>
      <c r="T1393" s="38"/>
      <c r="U1393" s="38"/>
      <c r="V1393" s="38"/>
      <c r="W1393" s="38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</row>
    <row r="1394" spans="1:36" ht="11.25" customHeight="1" x14ac:dyDescent="0.2">
      <c r="A1394" s="35" t="s">
        <v>30</v>
      </c>
      <c r="B1394" s="35" t="s">
        <v>22</v>
      </c>
      <c r="C1394" s="35" t="s">
        <v>23</v>
      </c>
      <c r="D1394" s="35" t="s">
        <v>24</v>
      </c>
      <c r="E1394" s="35" t="s">
        <v>34</v>
      </c>
      <c r="F1394" s="35" t="s">
        <v>25</v>
      </c>
      <c r="G1394" s="35" t="s">
        <v>25</v>
      </c>
      <c r="H1394" s="35" t="s">
        <v>25</v>
      </c>
      <c r="I1394" s="45">
        <v>44621</v>
      </c>
      <c r="J1394" s="46">
        <f>EFEITO!$J$1394*EFEITO!$Y$1110</f>
        <v>0</v>
      </c>
      <c r="K1394" s="46">
        <f ca="1">EFEITO!$L$1394*EFEITO!$Z$1372</f>
        <v>1059.6786817964112</v>
      </c>
      <c r="L1394" s="46">
        <f>EFEITO!$N$1394*EFEITO!$AA$1372</f>
        <v>581.77993953915143</v>
      </c>
      <c r="M1394" s="46">
        <f>$J$1394-EFEITO!$K$1394*EFEITO!$Y$1394</f>
        <v>0</v>
      </c>
      <c r="N1394" s="46">
        <f ca="1">$K$1394-EFEITO!$M$1394*EFEITO!$Z$1394</f>
        <v>0</v>
      </c>
      <c r="O1394" s="46">
        <f>$L$1394-EFEITO!$O$1394*EFEITO!$AA$1394</f>
        <v>0</v>
      </c>
      <c r="P1394" s="38"/>
      <c r="Q1394" s="38"/>
      <c r="R1394" s="38"/>
      <c r="S1394" s="38"/>
      <c r="T1394" s="38"/>
      <c r="U1394" s="38"/>
      <c r="V1394" s="38"/>
      <c r="W1394" s="38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</row>
    <row r="1395" spans="1:36" ht="11.25" customHeight="1" x14ac:dyDescent="0.2">
      <c r="A1395" s="35" t="s">
        <v>21</v>
      </c>
      <c r="B1395" s="35" t="s">
        <v>22</v>
      </c>
      <c r="C1395" s="35" t="s">
        <v>23</v>
      </c>
      <c r="D1395" s="35" t="s">
        <v>24</v>
      </c>
      <c r="E1395" s="35" t="s">
        <v>34</v>
      </c>
      <c r="F1395" s="35" t="s">
        <v>25</v>
      </c>
      <c r="G1395" s="35" t="s">
        <v>25</v>
      </c>
      <c r="H1395" s="35" t="s">
        <v>25</v>
      </c>
      <c r="I1395" s="45">
        <v>44652</v>
      </c>
      <c r="J1395" s="46">
        <f>EFEITO!$J$1395*EFEITO!$Y$1110</f>
        <v>0</v>
      </c>
      <c r="K1395" s="46">
        <f ca="1">EFEITO!$L$1395*EFEITO!$Z$1372</f>
        <v>475773.8790816032</v>
      </c>
      <c r="L1395" s="46">
        <f>EFEITO!$N$1395*EFEITO!$AA$1372</f>
        <v>261207.19739040811</v>
      </c>
      <c r="M1395" s="46">
        <f>$J$1395-EFEITO!$K$1395*EFEITO!$Y$1395</f>
        <v>0</v>
      </c>
      <c r="N1395" s="46">
        <f ca="1">$K$1395-EFEITO!$M$1395*EFEITO!$Z$1395</f>
        <v>0</v>
      </c>
      <c r="O1395" s="46">
        <f>$L$1395-EFEITO!$O$1395*EFEITO!$AA$1395</f>
        <v>0</v>
      </c>
      <c r="P1395" s="38"/>
      <c r="Q1395" s="38"/>
      <c r="R1395" s="38"/>
      <c r="S1395" s="38"/>
      <c r="T1395" s="38"/>
      <c r="U1395" s="38"/>
      <c r="V1395" s="38"/>
      <c r="W1395" s="38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</row>
    <row r="1396" spans="1:36" ht="11.25" customHeight="1" x14ac:dyDescent="0.2">
      <c r="A1396" s="35" t="s">
        <v>27</v>
      </c>
      <c r="B1396" s="35" t="s">
        <v>22</v>
      </c>
      <c r="C1396" s="35" t="s">
        <v>23</v>
      </c>
      <c r="D1396" s="35" t="s">
        <v>24</v>
      </c>
      <c r="E1396" s="35" t="s">
        <v>34</v>
      </c>
      <c r="F1396" s="35" t="s">
        <v>25</v>
      </c>
      <c r="G1396" s="35" t="s">
        <v>25</v>
      </c>
      <c r="H1396" s="35" t="s">
        <v>25</v>
      </c>
      <c r="I1396" s="45">
        <v>44652</v>
      </c>
      <c r="J1396" s="46">
        <f>EFEITO!$J$1396*EFEITO!$Y$1110</f>
        <v>0</v>
      </c>
      <c r="K1396" s="46">
        <f ca="1">EFEITO!$L$1396*EFEITO!$Z$1372</f>
        <v>1164.7221673035892</v>
      </c>
      <c r="L1396" s="46">
        <f>EFEITO!$N$1396*EFEITO!$AA$1372</f>
        <v>639.45043314929728</v>
      </c>
      <c r="M1396" s="46">
        <f>$J$1396-EFEITO!$K$1396*EFEITO!$Y$1396</f>
        <v>0</v>
      </c>
      <c r="N1396" s="46">
        <f ca="1">$K$1396-EFEITO!$M$1396*EFEITO!$Z$1396</f>
        <v>0</v>
      </c>
      <c r="O1396" s="46">
        <f>$L$1396-EFEITO!$O$1396*EFEITO!$AA$1396</f>
        <v>0</v>
      </c>
      <c r="P1396" s="38"/>
      <c r="Q1396" s="38"/>
      <c r="R1396" s="38"/>
      <c r="S1396" s="38"/>
      <c r="T1396" s="38"/>
      <c r="U1396" s="38"/>
      <c r="V1396" s="38"/>
      <c r="W1396" s="38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</row>
    <row r="1397" spans="1:36" ht="11.25" customHeight="1" x14ac:dyDescent="0.2">
      <c r="A1397" s="35" t="s">
        <v>28</v>
      </c>
      <c r="B1397" s="35" t="s">
        <v>22</v>
      </c>
      <c r="C1397" s="35" t="s">
        <v>23</v>
      </c>
      <c r="D1397" s="35" t="s">
        <v>24</v>
      </c>
      <c r="E1397" s="35" t="s">
        <v>34</v>
      </c>
      <c r="F1397" s="35" t="s">
        <v>25</v>
      </c>
      <c r="G1397" s="35" t="s">
        <v>25</v>
      </c>
      <c r="H1397" s="35" t="s">
        <v>25</v>
      </c>
      <c r="I1397" s="45">
        <v>44652</v>
      </c>
      <c r="J1397" s="46">
        <f>EFEITO!$J$1397*EFEITO!$Y$1110</f>
        <v>0</v>
      </c>
      <c r="K1397" s="46">
        <f ca="1">EFEITO!$L$1397*EFEITO!$Z$1372</f>
        <v>113085.6147576075</v>
      </c>
      <c r="L1397" s="46">
        <f>EFEITO!$N$1397*EFEITO!$AA$1372</f>
        <v>62085.746600938626</v>
      </c>
      <c r="M1397" s="46">
        <f>$J$1397-EFEITO!$K$1397*EFEITO!$Y$1397</f>
        <v>0</v>
      </c>
      <c r="N1397" s="46">
        <f ca="1">$K$1397-EFEITO!$M$1397*EFEITO!$Z$1397</f>
        <v>0</v>
      </c>
      <c r="O1397" s="46">
        <f>$L$1397-EFEITO!$O$1397*EFEITO!$AA$1397</f>
        <v>0</v>
      </c>
      <c r="P1397" s="38"/>
      <c r="Q1397" s="38"/>
      <c r="R1397" s="38"/>
      <c r="S1397" s="38"/>
      <c r="T1397" s="38"/>
      <c r="U1397" s="38"/>
      <c r="V1397" s="38"/>
      <c r="W1397" s="38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</row>
    <row r="1398" spans="1:36" ht="11.25" customHeight="1" x14ac:dyDescent="0.2">
      <c r="A1398" s="35" t="s">
        <v>29</v>
      </c>
      <c r="B1398" s="35" t="s">
        <v>22</v>
      </c>
      <c r="C1398" s="35" t="s">
        <v>23</v>
      </c>
      <c r="D1398" s="35" t="s">
        <v>24</v>
      </c>
      <c r="E1398" s="35" t="s">
        <v>34</v>
      </c>
      <c r="F1398" s="35" t="s">
        <v>25</v>
      </c>
      <c r="G1398" s="35" t="s">
        <v>25</v>
      </c>
      <c r="H1398" s="35" t="s">
        <v>25</v>
      </c>
      <c r="I1398" s="45">
        <v>44652</v>
      </c>
      <c r="J1398" s="46">
        <f>EFEITO!$J$1398*EFEITO!$Y$1110</f>
        <v>0</v>
      </c>
      <c r="K1398" s="46">
        <f ca="1">EFEITO!$L$1398*EFEITO!$Z$1372</f>
        <v>-507.99029591271267</v>
      </c>
      <c r="L1398" s="46">
        <f>EFEITO!$N$1398*EFEITO!$AA$1372</f>
        <v>-278.89450709866543</v>
      </c>
      <c r="M1398" s="46">
        <f>$J$1398-EFEITO!$K$1398*EFEITO!$Y$1398</f>
        <v>0</v>
      </c>
      <c r="N1398" s="46">
        <f ca="1">$K$1398-EFEITO!$M$1398*EFEITO!$Z$1398</f>
        <v>0</v>
      </c>
      <c r="O1398" s="46">
        <f>$L$1398-EFEITO!$O$1398*EFEITO!$AA$1398</f>
        <v>0</v>
      </c>
      <c r="P1398" s="38"/>
      <c r="Q1398" s="38"/>
      <c r="R1398" s="38"/>
      <c r="S1398" s="38"/>
      <c r="T1398" s="38"/>
      <c r="U1398" s="38"/>
      <c r="V1398" s="38"/>
      <c r="W1398" s="38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</row>
    <row r="1399" spans="1:36" ht="11.25" customHeight="1" x14ac:dyDescent="0.2">
      <c r="A1399" s="35" t="s">
        <v>30</v>
      </c>
      <c r="B1399" s="35" t="s">
        <v>22</v>
      </c>
      <c r="C1399" s="35" t="s">
        <v>23</v>
      </c>
      <c r="D1399" s="35" t="s">
        <v>24</v>
      </c>
      <c r="E1399" s="35" t="s">
        <v>34</v>
      </c>
      <c r="F1399" s="35" t="s">
        <v>25</v>
      </c>
      <c r="G1399" s="35" t="s">
        <v>25</v>
      </c>
      <c r="H1399" s="35" t="s">
        <v>25</v>
      </c>
      <c r="I1399" s="45">
        <v>44652</v>
      </c>
      <c r="J1399" s="46">
        <f>EFEITO!$J$1399*EFEITO!$Y$1110</f>
        <v>0</v>
      </c>
      <c r="K1399" s="46">
        <f ca="1">EFEITO!$L$1399*EFEITO!$Z$1372</f>
        <v>821.44005666613168</v>
      </c>
      <c r="L1399" s="46">
        <f>EFEITO!$N$1399*EFEITO!$AA$1372</f>
        <v>450.98326003134065</v>
      </c>
      <c r="M1399" s="46">
        <f>$J$1399-EFEITO!$K$1399*EFEITO!$Y$1399</f>
        <v>0</v>
      </c>
      <c r="N1399" s="46">
        <f ca="1">$K$1399-EFEITO!$M$1399*EFEITO!$Z$1399</f>
        <v>0</v>
      </c>
      <c r="O1399" s="46">
        <f>$L$1399-EFEITO!$O$1399*EFEITO!$AA$1399</f>
        <v>0</v>
      </c>
      <c r="P1399" s="38"/>
      <c r="Q1399" s="38"/>
      <c r="R1399" s="38"/>
      <c r="S1399" s="38"/>
      <c r="T1399" s="38"/>
      <c r="U1399" s="38"/>
      <c r="V1399" s="38"/>
      <c r="W1399" s="38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</row>
    <row r="1400" spans="1:36" ht="11.25" customHeight="1" x14ac:dyDescent="0.2">
      <c r="A1400" s="35" t="s">
        <v>21</v>
      </c>
      <c r="B1400" s="35" t="s">
        <v>22</v>
      </c>
      <c r="C1400" s="35" t="s">
        <v>23</v>
      </c>
      <c r="D1400" s="35" t="s">
        <v>24</v>
      </c>
      <c r="E1400" s="35" t="s">
        <v>34</v>
      </c>
      <c r="F1400" s="35" t="s">
        <v>25</v>
      </c>
      <c r="G1400" s="35" t="s">
        <v>25</v>
      </c>
      <c r="H1400" s="35" t="s">
        <v>25</v>
      </c>
      <c r="I1400" s="45">
        <v>44682</v>
      </c>
      <c r="J1400" s="46">
        <f>EFEITO!$J$1400*EFEITO!$Y$1110</f>
        <v>0</v>
      </c>
      <c r="K1400" s="46">
        <f ca="1">EFEITO!$L$1400*EFEITO!$Z$1372</f>
        <v>465852.31178847916</v>
      </c>
      <c r="L1400" s="46">
        <f>EFEITO!$N$1400*EFEITO!$AA$1372</f>
        <v>255760.10392794257</v>
      </c>
      <c r="M1400" s="46">
        <f>$J$1400-EFEITO!$K$1400*EFEITO!$Y$1400</f>
        <v>0</v>
      </c>
      <c r="N1400" s="46">
        <f ca="1">$K$1400-EFEITO!$M$1400*EFEITO!$Z$1400</f>
        <v>0</v>
      </c>
      <c r="O1400" s="46">
        <f>$L$1400-EFEITO!$O$1400*EFEITO!$AA$1400</f>
        <v>0</v>
      </c>
      <c r="P1400" s="38"/>
      <c r="Q1400" s="38"/>
      <c r="R1400" s="38"/>
      <c r="S1400" s="38"/>
      <c r="T1400" s="38"/>
      <c r="U1400" s="38"/>
      <c r="V1400" s="38"/>
      <c r="W1400" s="38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</row>
    <row r="1401" spans="1:36" ht="11.25" customHeight="1" x14ac:dyDescent="0.2">
      <c r="A1401" s="35" t="s">
        <v>27</v>
      </c>
      <c r="B1401" s="35" t="s">
        <v>22</v>
      </c>
      <c r="C1401" s="35" t="s">
        <v>23</v>
      </c>
      <c r="D1401" s="35" t="s">
        <v>24</v>
      </c>
      <c r="E1401" s="35" t="s">
        <v>34</v>
      </c>
      <c r="F1401" s="35" t="s">
        <v>25</v>
      </c>
      <c r="G1401" s="35" t="s">
        <v>25</v>
      </c>
      <c r="H1401" s="35" t="s">
        <v>25</v>
      </c>
      <c r="I1401" s="45">
        <v>44682</v>
      </c>
      <c r="J1401" s="46">
        <f>EFEITO!$J$1401*EFEITO!$Y$1110</f>
        <v>0</v>
      </c>
      <c r="K1401" s="46">
        <f ca="1">EFEITO!$L$1401*EFEITO!$Z$1372</f>
        <v>1270.1858267527959</v>
      </c>
      <c r="L1401" s="46">
        <f>EFEITO!$N$1401*EFEITO!$AA$1372</f>
        <v>697.35160873388384</v>
      </c>
      <c r="M1401" s="46">
        <f>$J$1401-EFEITO!$K$1401*EFEITO!$Y$1401</f>
        <v>0</v>
      </c>
      <c r="N1401" s="46">
        <f ca="1">$K$1401-EFEITO!$M$1401*EFEITO!$Z$1401</f>
        <v>0</v>
      </c>
      <c r="O1401" s="46">
        <f>$L$1401-EFEITO!$O$1401*EFEITO!$AA$1401</f>
        <v>0</v>
      </c>
      <c r="P1401" s="38"/>
      <c r="Q1401" s="38"/>
      <c r="R1401" s="38"/>
      <c r="S1401" s="38"/>
      <c r="T1401" s="38"/>
      <c r="U1401" s="38"/>
      <c r="V1401" s="38"/>
      <c r="W1401" s="38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</row>
    <row r="1402" spans="1:36" ht="11.25" customHeight="1" x14ac:dyDescent="0.2">
      <c r="A1402" s="35" t="s">
        <v>28</v>
      </c>
      <c r="B1402" s="35" t="s">
        <v>22</v>
      </c>
      <c r="C1402" s="35" t="s">
        <v>23</v>
      </c>
      <c r="D1402" s="35" t="s">
        <v>24</v>
      </c>
      <c r="E1402" s="35" t="s">
        <v>34</v>
      </c>
      <c r="F1402" s="35" t="s">
        <v>25</v>
      </c>
      <c r="G1402" s="35" t="s">
        <v>25</v>
      </c>
      <c r="H1402" s="35" t="s">
        <v>25</v>
      </c>
      <c r="I1402" s="45">
        <v>44682</v>
      </c>
      <c r="J1402" s="46">
        <f>EFEITO!$J$1402*EFEITO!$Y$1110</f>
        <v>0</v>
      </c>
      <c r="K1402" s="46">
        <f ca="1">EFEITO!$L$1402*EFEITO!$Z$1372</f>
        <v>100322.83126848537</v>
      </c>
      <c r="L1402" s="46">
        <f>EFEITO!$N$1402*EFEITO!$AA$1372</f>
        <v>55078.7816273059</v>
      </c>
      <c r="M1402" s="46">
        <f>$J$1402-EFEITO!$K$1402*EFEITO!$Y$1402</f>
        <v>0</v>
      </c>
      <c r="N1402" s="46">
        <f ca="1">$K$1402-EFEITO!$M$1402*EFEITO!$Z$1402</f>
        <v>0</v>
      </c>
      <c r="O1402" s="46">
        <f>$L$1402-EFEITO!$O$1402*EFEITO!$AA$1402</f>
        <v>0</v>
      </c>
      <c r="P1402" s="38"/>
      <c r="Q1402" s="38"/>
      <c r="R1402" s="38"/>
      <c r="S1402" s="38"/>
      <c r="T1402" s="38"/>
      <c r="U1402" s="38"/>
      <c r="V1402" s="38"/>
      <c r="W1402" s="38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</row>
    <row r="1403" spans="1:36" ht="11.25" customHeight="1" x14ac:dyDescent="0.2">
      <c r="A1403" s="35" t="s">
        <v>29</v>
      </c>
      <c r="B1403" s="35" t="s">
        <v>22</v>
      </c>
      <c r="C1403" s="35" t="s">
        <v>23</v>
      </c>
      <c r="D1403" s="35" t="s">
        <v>24</v>
      </c>
      <c r="E1403" s="35" t="s">
        <v>34</v>
      </c>
      <c r="F1403" s="35" t="s">
        <v>25</v>
      </c>
      <c r="G1403" s="35" t="s">
        <v>25</v>
      </c>
      <c r="H1403" s="35" t="s">
        <v>25</v>
      </c>
      <c r="I1403" s="45">
        <v>44682</v>
      </c>
      <c r="J1403" s="46">
        <f>EFEITO!$J$1403*EFEITO!$Y$1110</f>
        <v>0</v>
      </c>
      <c r="K1403" s="46">
        <f ca="1">EFEITO!$L$1403*EFEITO!$Z$1372</f>
        <v>-2607.179310288157</v>
      </c>
      <c r="L1403" s="46">
        <f>EFEITO!$N$1403*EFEITO!$AA$1372</f>
        <v>-1431.3816514038203</v>
      </c>
      <c r="M1403" s="46">
        <f>$J$1403-EFEITO!$K$1403*EFEITO!$Y$1403</f>
        <v>0</v>
      </c>
      <c r="N1403" s="46">
        <f ca="1">$K$1403-EFEITO!$M$1403*EFEITO!$Z$1403</f>
        <v>0</v>
      </c>
      <c r="O1403" s="46">
        <f>$L$1403-EFEITO!$O$1403*EFEITO!$AA$1403</f>
        <v>0</v>
      </c>
      <c r="P1403" s="38"/>
      <c r="Q1403" s="38"/>
      <c r="R1403" s="38"/>
      <c r="S1403" s="38"/>
      <c r="T1403" s="38"/>
      <c r="U1403" s="38"/>
      <c r="V1403" s="38"/>
      <c r="W1403" s="38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</row>
    <row r="1404" spans="1:36" ht="11.25" customHeight="1" x14ac:dyDescent="0.2">
      <c r="A1404" s="35" t="s">
        <v>30</v>
      </c>
      <c r="B1404" s="35" t="s">
        <v>22</v>
      </c>
      <c r="C1404" s="35" t="s">
        <v>23</v>
      </c>
      <c r="D1404" s="35" t="s">
        <v>24</v>
      </c>
      <c r="E1404" s="35" t="s">
        <v>34</v>
      </c>
      <c r="F1404" s="35" t="s">
        <v>25</v>
      </c>
      <c r="G1404" s="35" t="s">
        <v>25</v>
      </c>
      <c r="H1404" s="35" t="s">
        <v>25</v>
      </c>
      <c r="I1404" s="45">
        <v>44682</v>
      </c>
      <c r="J1404" s="46">
        <f>EFEITO!$J$1404*EFEITO!$Y$1110</f>
        <v>0</v>
      </c>
      <c r="K1404" s="46">
        <f ca="1">EFEITO!$L$1404*EFEITO!$Z$1372</f>
        <v>997.07276443413332</v>
      </c>
      <c r="L1404" s="46">
        <f>EFEITO!$N$1404*EFEITO!$AA$1372</f>
        <v>547.40832534750461</v>
      </c>
      <c r="M1404" s="46">
        <f>$J$1404-EFEITO!$K$1404*EFEITO!$Y$1404</f>
        <v>0</v>
      </c>
      <c r="N1404" s="46">
        <f ca="1">$K$1404-EFEITO!$M$1404*EFEITO!$Z$1404</f>
        <v>0</v>
      </c>
      <c r="O1404" s="46">
        <f>$L$1404-EFEITO!$O$1404*EFEITO!$AA$1404</f>
        <v>0</v>
      </c>
      <c r="P1404" s="38"/>
      <c r="Q1404" s="38"/>
      <c r="R1404" s="38"/>
      <c r="S1404" s="38"/>
      <c r="T1404" s="38"/>
      <c r="U1404" s="38"/>
      <c r="V1404" s="38"/>
      <c r="W1404" s="38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</row>
    <row r="1405" spans="1:36" ht="11.25" customHeight="1" x14ac:dyDescent="0.2">
      <c r="A1405" s="35" t="s">
        <v>21</v>
      </c>
      <c r="B1405" s="35" t="s">
        <v>22</v>
      </c>
      <c r="C1405" s="35" t="s">
        <v>23</v>
      </c>
      <c r="D1405" s="35" t="s">
        <v>24</v>
      </c>
      <c r="E1405" s="35" t="s">
        <v>34</v>
      </c>
      <c r="F1405" s="35" t="s">
        <v>25</v>
      </c>
      <c r="G1405" s="35" t="s">
        <v>25</v>
      </c>
      <c r="H1405" s="35" t="s">
        <v>25</v>
      </c>
      <c r="I1405" s="45">
        <v>44713</v>
      </c>
      <c r="J1405" s="46">
        <f>EFEITO!$J$1405*EFEITO!$Y$1110</f>
        <v>0</v>
      </c>
      <c r="K1405" s="46">
        <f ca="1">EFEITO!$L$1405*EFEITO!$Z$1372</f>
        <v>362266.82986014086</v>
      </c>
      <c r="L1405" s="46">
        <f>EFEITO!$N$1405*EFEITO!$AA$1372</f>
        <v>198890.07676910557</v>
      </c>
      <c r="M1405" s="46">
        <f>$J$1405-EFEITO!$K$1405*EFEITO!$Y$1405</f>
        <v>0</v>
      </c>
      <c r="N1405" s="46">
        <f ca="1">$K$1405-EFEITO!$M$1405*EFEITO!$Z$1405</f>
        <v>0</v>
      </c>
      <c r="O1405" s="46">
        <f>$L$1405-EFEITO!$O$1405*EFEITO!$AA$1405</f>
        <v>0</v>
      </c>
      <c r="P1405" s="38"/>
      <c r="Q1405" s="38"/>
      <c r="R1405" s="38"/>
      <c r="S1405" s="38"/>
      <c r="T1405" s="38"/>
      <c r="U1405" s="38"/>
      <c r="V1405" s="38"/>
      <c r="W1405" s="38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</row>
    <row r="1406" spans="1:36" ht="11.25" customHeight="1" x14ac:dyDescent="0.2">
      <c r="A1406" s="35" t="s">
        <v>27</v>
      </c>
      <c r="B1406" s="35" t="s">
        <v>22</v>
      </c>
      <c r="C1406" s="35" t="s">
        <v>23</v>
      </c>
      <c r="D1406" s="35" t="s">
        <v>24</v>
      </c>
      <c r="E1406" s="35" t="s">
        <v>34</v>
      </c>
      <c r="F1406" s="35" t="s">
        <v>25</v>
      </c>
      <c r="G1406" s="35" t="s">
        <v>25</v>
      </c>
      <c r="H1406" s="35" t="s">
        <v>25</v>
      </c>
      <c r="I1406" s="45">
        <v>44713</v>
      </c>
      <c r="J1406" s="46">
        <f>EFEITO!$J$1406*EFEITO!$Y$1110</f>
        <v>0</v>
      </c>
      <c r="K1406" s="46">
        <f ca="1">EFEITO!$L$1406*EFEITO!$Z$1372</f>
        <v>-16506.953486539973</v>
      </c>
      <c r="L1406" s="46">
        <f>EFEITO!$N$1406*EFEITO!$AA$1372</f>
        <v>-9062.5720478727617</v>
      </c>
      <c r="M1406" s="46">
        <f>$J$1406-EFEITO!$K$1406*EFEITO!$Y$1406</f>
        <v>0</v>
      </c>
      <c r="N1406" s="46">
        <f ca="1">$K$1406-EFEITO!$M$1406*EFEITO!$Z$1406</f>
        <v>0</v>
      </c>
      <c r="O1406" s="46">
        <f>$L$1406-EFEITO!$O$1406*EFEITO!$AA$1406</f>
        <v>0</v>
      </c>
      <c r="P1406" s="38"/>
      <c r="Q1406" s="38"/>
      <c r="R1406" s="38"/>
      <c r="S1406" s="38"/>
      <c r="T1406" s="38"/>
      <c r="U1406" s="38"/>
      <c r="V1406" s="38"/>
      <c r="W1406" s="38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</row>
    <row r="1407" spans="1:36" ht="11.25" customHeight="1" x14ac:dyDescent="0.2">
      <c r="A1407" s="35" t="s">
        <v>28</v>
      </c>
      <c r="B1407" s="35" t="s">
        <v>22</v>
      </c>
      <c r="C1407" s="35" t="s">
        <v>23</v>
      </c>
      <c r="D1407" s="35" t="s">
        <v>24</v>
      </c>
      <c r="E1407" s="35" t="s">
        <v>34</v>
      </c>
      <c r="F1407" s="35" t="s">
        <v>25</v>
      </c>
      <c r="G1407" s="35" t="s">
        <v>25</v>
      </c>
      <c r="H1407" s="35" t="s">
        <v>25</v>
      </c>
      <c r="I1407" s="45">
        <v>44713</v>
      </c>
      <c r="J1407" s="46">
        <f>EFEITO!$J$1407*EFEITO!$Y$1110</f>
        <v>0</v>
      </c>
      <c r="K1407" s="46">
        <f ca="1">EFEITO!$L$1407*EFEITO!$Z$1372</f>
        <v>82803.258581656206</v>
      </c>
      <c r="L1407" s="46">
        <f>EFEITO!$N$1407*EFEITO!$AA$1372</f>
        <v>45460.266021031333</v>
      </c>
      <c r="M1407" s="46">
        <f>$J$1407-EFEITO!$K$1407*EFEITO!$Y$1407</f>
        <v>0</v>
      </c>
      <c r="N1407" s="46">
        <f ca="1">$K$1407-EFEITO!$M$1407*EFEITO!$Z$1407</f>
        <v>0</v>
      </c>
      <c r="O1407" s="46">
        <f>$L$1407-EFEITO!$O$1407*EFEITO!$AA$1407</f>
        <v>0</v>
      </c>
      <c r="P1407" s="38"/>
      <c r="Q1407" s="38"/>
      <c r="R1407" s="38"/>
      <c r="S1407" s="38"/>
      <c r="T1407" s="38"/>
      <c r="U1407" s="38"/>
      <c r="V1407" s="38"/>
      <c r="W1407" s="38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</row>
    <row r="1408" spans="1:36" ht="11.25" customHeight="1" x14ac:dyDescent="0.2">
      <c r="A1408" s="35" t="s">
        <v>29</v>
      </c>
      <c r="B1408" s="35" t="s">
        <v>22</v>
      </c>
      <c r="C1408" s="35" t="s">
        <v>23</v>
      </c>
      <c r="D1408" s="35" t="s">
        <v>24</v>
      </c>
      <c r="E1408" s="35" t="s">
        <v>34</v>
      </c>
      <c r="F1408" s="35" t="s">
        <v>25</v>
      </c>
      <c r="G1408" s="35" t="s">
        <v>25</v>
      </c>
      <c r="H1408" s="35" t="s">
        <v>25</v>
      </c>
      <c r="I1408" s="45">
        <v>44713</v>
      </c>
      <c r="J1408" s="46">
        <f>EFEITO!$J$1408*EFEITO!$Y$1110</f>
        <v>0</v>
      </c>
      <c r="K1408" s="46">
        <f ca="1">EFEITO!$L$1408*EFEITO!$Z$1372</f>
        <v>-1955.4895262016248</v>
      </c>
      <c r="L1408" s="46">
        <f>EFEITO!$N$1408*EFEITO!$AA$1372</f>
        <v>-1073.5939090464753</v>
      </c>
      <c r="M1408" s="46">
        <f>$J$1408-EFEITO!$K$1408*EFEITO!$Y$1408</f>
        <v>0</v>
      </c>
      <c r="N1408" s="46">
        <f ca="1">$K$1408-EFEITO!$M$1408*EFEITO!$Z$1408</f>
        <v>0</v>
      </c>
      <c r="O1408" s="46">
        <f>$L$1408-EFEITO!$O$1408*EFEITO!$AA$1408</f>
        <v>0</v>
      </c>
      <c r="P1408" s="38"/>
      <c r="Q1408" s="38"/>
      <c r="R1408" s="38"/>
      <c r="S1408" s="38"/>
      <c r="T1408" s="38"/>
      <c r="U1408" s="38"/>
      <c r="V1408" s="38"/>
      <c r="W1408" s="38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</row>
    <row r="1409" spans="1:36" ht="11.25" customHeight="1" x14ac:dyDescent="0.2">
      <c r="A1409" s="35" t="s">
        <v>30</v>
      </c>
      <c r="B1409" s="35" t="s">
        <v>22</v>
      </c>
      <c r="C1409" s="35" t="s">
        <v>23</v>
      </c>
      <c r="D1409" s="35" t="s">
        <v>24</v>
      </c>
      <c r="E1409" s="35" t="s">
        <v>34</v>
      </c>
      <c r="F1409" s="35" t="s">
        <v>25</v>
      </c>
      <c r="G1409" s="35" t="s">
        <v>25</v>
      </c>
      <c r="H1409" s="35" t="s">
        <v>25</v>
      </c>
      <c r="I1409" s="45">
        <v>44713</v>
      </c>
      <c r="J1409" s="46">
        <f>EFEITO!$J$1409*EFEITO!$Y$1110</f>
        <v>0</v>
      </c>
      <c r="K1409" s="46">
        <f ca="1">EFEITO!$L$1409*EFEITO!$Z$1372</f>
        <v>1106.3179893615984</v>
      </c>
      <c r="L1409" s="46">
        <f>EFEITO!$N$1409*EFEITO!$AA$1372</f>
        <v>607.38563870205621</v>
      </c>
      <c r="M1409" s="46">
        <f>$J$1409-EFEITO!$K$1409*EFEITO!$Y$1409</f>
        <v>0</v>
      </c>
      <c r="N1409" s="46">
        <f ca="1">$K$1409-EFEITO!$M$1409*EFEITO!$Z$1409</f>
        <v>0</v>
      </c>
      <c r="O1409" s="46">
        <f>$L$1409-EFEITO!$O$1409*EFEITO!$AA$1409</f>
        <v>0</v>
      </c>
      <c r="P1409" s="38"/>
      <c r="Q1409" s="38"/>
      <c r="R1409" s="38"/>
      <c r="S1409" s="38"/>
      <c r="T1409" s="38"/>
      <c r="U1409" s="38"/>
      <c r="V1409" s="38"/>
      <c r="W1409" s="38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</row>
    <row r="1410" spans="1:36" ht="11.25" customHeight="1" x14ac:dyDescent="0.2">
      <c r="A1410" s="35" t="s">
        <v>21</v>
      </c>
      <c r="B1410" s="35" t="s">
        <v>22</v>
      </c>
      <c r="C1410" s="35" t="s">
        <v>23</v>
      </c>
      <c r="D1410" s="35" t="s">
        <v>24</v>
      </c>
      <c r="E1410" s="35" t="s">
        <v>34</v>
      </c>
      <c r="F1410" s="35" t="s">
        <v>25</v>
      </c>
      <c r="G1410" s="35" t="s">
        <v>25</v>
      </c>
      <c r="H1410" s="35" t="s">
        <v>25</v>
      </c>
      <c r="I1410" s="45">
        <v>44743</v>
      </c>
      <c r="J1410" s="46">
        <f>EFEITO!$J$1410*EFEITO!$Y$1110</f>
        <v>0</v>
      </c>
      <c r="K1410" s="46">
        <f ca="1">EFEITO!$L$1410*EFEITO!$Z$1372</f>
        <v>523670.34708134009</v>
      </c>
      <c r="L1410" s="46">
        <f>EFEITO!$N$1410*EFEITO!$AA$1372</f>
        <v>287503.09702083905</v>
      </c>
      <c r="M1410" s="46">
        <f>$J$1410-EFEITO!$K$1410*EFEITO!$Y$1410</f>
        <v>0</v>
      </c>
      <c r="N1410" s="46">
        <f ca="1">$K$1410-EFEITO!$M$1410*EFEITO!$Z$1410</f>
        <v>0</v>
      </c>
      <c r="O1410" s="46">
        <f>$L$1410-EFEITO!$O$1410*EFEITO!$AA$1410</f>
        <v>0</v>
      </c>
      <c r="P1410" s="38"/>
      <c r="Q1410" s="38"/>
      <c r="R1410" s="38"/>
      <c r="S1410" s="38"/>
      <c r="T1410" s="38"/>
      <c r="U1410" s="38"/>
      <c r="V1410" s="38"/>
      <c r="W1410" s="38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</row>
    <row r="1411" spans="1:36" ht="11.25" customHeight="1" x14ac:dyDescent="0.2">
      <c r="A1411" s="35" t="s">
        <v>27</v>
      </c>
      <c r="B1411" s="35" t="s">
        <v>22</v>
      </c>
      <c r="C1411" s="35" t="s">
        <v>23</v>
      </c>
      <c r="D1411" s="35" t="s">
        <v>24</v>
      </c>
      <c r="E1411" s="35" t="s">
        <v>34</v>
      </c>
      <c r="F1411" s="35" t="s">
        <v>25</v>
      </c>
      <c r="G1411" s="35" t="s">
        <v>25</v>
      </c>
      <c r="H1411" s="35" t="s">
        <v>25</v>
      </c>
      <c r="I1411" s="45">
        <v>44743</v>
      </c>
      <c r="J1411" s="46">
        <f>EFEITO!$J$1411*EFEITO!$Y$1110</f>
        <v>0</v>
      </c>
      <c r="K1411" s="46">
        <f ca="1">EFEITO!$L$1411*EFEITO!$Z$1372</f>
        <v>-11824.955250514038</v>
      </c>
      <c r="L1411" s="46">
        <f>EFEITO!$N$1411*EFEITO!$AA$1372</f>
        <v>-6492.0828066813401</v>
      </c>
      <c r="M1411" s="46">
        <f>$J$1411-EFEITO!$K$1411*EFEITO!$Y$1411</f>
        <v>0</v>
      </c>
      <c r="N1411" s="46">
        <f ca="1">$K$1411-EFEITO!$M$1411*EFEITO!$Z$1411</f>
        <v>0</v>
      </c>
      <c r="O1411" s="46">
        <f>$L$1411-EFEITO!$O$1411*EFEITO!$AA$1411</f>
        <v>0</v>
      </c>
      <c r="P1411" s="38"/>
      <c r="Q1411" s="38"/>
      <c r="R1411" s="38"/>
      <c r="S1411" s="38"/>
      <c r="T1411" s="38"/>
      <c r="U1411" s="38"/>
      <c r="V1411" s="38"/>
      <c r="W1411" s="38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</row>
    <row r="1412" spans="1:36" ht="11.25" customHeight="1" x14ac:dyDescent="0.2">
      <c r="A1412" s="35" t="s">
        <v>28</v>
      </c>
      <c r="B1412" s="35" t="s">
        <v>22</v>
      </c>
      <c r="C1412" s="35" t="s">
        <v>23</v>
      </c>
      <c r="D1412" s="35" t="s">
        <v>24</v>
      </c>
      <c r="E1412" s="35" t="s">
        <v>34</v>
      </c>
      <c r="F1412" s="35" t="s">
        <v>25</v>
      </c>
      <c r="G1412" s="35" t="s">
        <v>25</v>
      </c>
      <c r="H1412" s="35" t="s">
        <v>25</v>
      </c>
      <c r="I1412" s="45">
        <v>44743</v>
      </c>
      <c r="J1412" s="46">
        <f>EFEITO!$J$1412*EFEITO!$Y$1110</f>
        <v>0</v>
      </c>
      <c r="K1412" s="46">
        <f ca="1">EFEITO!$L$1412*EFEITO!$Z$1372</f>
        <v>118289.4690296331</v>
      </c>
      <c r="L1412" s="46">
        <f>EFEITO!$N$1412*EFEITO!$AA$1372</f>
        <v>64942.742854385251</v>
      </c>
      <c r="M1412" s="46">
        <f>$J$1412-EFEITO!$K$1412*EFEITO!$Y$1412</f>
        <v>0</v>
      </c>
      <c r="N1412" s="46">
        <f ca="1">$K$1412-EFEITO!$M$1412*EFEITO!$Z$1412</f>
        <v>0</v>
      </c>
      <c r="O1412" s="46">
        <f>$L$1412-EFEITO!$O$1412*EFEITO!$AA$1412</f>
        <v>0</v>
      </c>
      <c r="P1412" s="38"/>
      <c r="Q1412" s="38"/>
      <c r="R1412" s="38"/>
      <c r="S1412" s="38"/>
      <c r="T1412" s="38"/>
      <c r="U1412" s="38"/>
      <c r="V1412" s="38"/>
      <c r="W1412" s="38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</row>
    <row r="1413" spans="1:36" ht="11.25" customHeight="1" x14ac:dyDescent="0.2">
      <c r="A1413" s="35" t="s">
        <v>29</v>
      </c>
      <c r="B1413" s="35" t="s">
        <v>22</v>
      </c>
      <c r="C1413" s="35" t="s">
        <v>23</v>
      </c>
      <c r="D1413" s="35" t="s">
        <v>24</v>
      </c>
      <c r="E1413" s="35" t="s">
        <v>34</v>
      </c>
      <c r="F1413" s="35" t="s">
        <v>25</v>
      </c>
      <c r="G1413" s="35" t="s">
        <v>25</v>
      </c>
      <c r="H1413" s="35" t="s">
        <v>25</v>
      </c>
      <c r="I1413" s="45">
        <v>44743</v>
      </c>
      <c r="J1413" s="46">
        <f>EFEITO!$J$1413*EFEITO!$Y$1110</f>
        <v>0</v>
      </c>
      <c r="K1413" s="46">
        <f ca="1">EFEITO!$L$1413*EFEITO!$Z$1372</f>
        <v>-2375.6634682303365</v>
      </c>
      <c r="L1413" s="46">
        <f>EFEITO!$N$1413*EFEITO!$AA$1372</f>
        <v>-1304.2758834870588</v>
      </c>
      <c r="M1413" s="46">
        <f>$J$1413-EFEITO!$K$1413*EFEITO!$Y$1413</f>
        <v>0</v>
      </c>
      <c r="N1413" s="46">
        <f ca="1">$K$1413-EFEITO!$M$1413*EFEITO!$Z$1413</f>
        <v>0</v>
      </c>
      <c r="O1413" s="46">
        <f>$L$1413-EFEITO!$O$1413*EFEITO!$AA$1413</f>
        <v>0</v>
      </c>
      <c r="P1413" s="38"/>
      <c r="Q1413" s="38"/>
      <c r="R1413" s="38"/>
      <c r="S1413" s="38"/>
      <c r="T1413" s="38"/>
      <c r="U1413" s="38"/>
      <c r="V1413" s="38"/>
      <c r="W1413" s="38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</row>
    <row r="1414" spans="1:36" ht="11.25" customHeight="1" x14ac:dyDescent="0.2">
      <c r="A1414" s="35" t="s">
        <v>30</v>
      </c>
      <c r="B1414" s="35" t="s">
        <v>22</v>
      </c>
      <c r="C1414" s="35" t="s">
        <v>23</v>
      </c>
      <c r="D1414" s="35" t="s">
        <v>24</v>
      </c>
      <c r="E1414" s="35" t="s">
        <v>34</v>
      </c>
      <c r="F1414" s="35" t="s">
        <v>25</v>
      </c>
      <c r="G1414" s="35" t="s">
        <v>25</v>
      </c>
      <c r="H1414" s="35" t="s">
        <v>25</v>
      </c>
      <c r="I1414" s="45">
        <v>44743</v>
      </c>
      <c r="J1414" s="46">
        <f>EFEITO!$J$1414*EFEITO!$Y$1110</f>
        <v>0</v>
      </c>
      <c r="K1414" s="46">
        <f ca="1">EFEITO!$L$1414*EFEITO!$Z$1372</f>
        <v>1139.0915568398377</v>
      </c>
      <c r="L1414" s="46">
        <f>EFEITO!$N$1414*EFEITO!$AA$1372</f>
        <v>625.37883270842167</v>
      </c>
      <c r="M1414" s="46">
        <f>$J$1414-EFEITO!$K$1414*EFEITO!$Y$1414</f>
        <v>0</v>
      </c>
      <c r="N1414" s="46">
        <f ca="1">$K$1414-EFEITO!$M$1414*EFEITO!$Z$1414</f>
        <v>0</v>
      </c>
      <c r="O1414" s="46">
        <f>$L$1414-EFEITO!$O$1414*EFEITO!$AA$1414</f>
        <v>0</v>
      </c>
      <c r="P1414" s="38"/>
      <c r="Q1414" s="38"/>
      <c r="R1414" s="38"/>
      <c r="S1414" s="38"/>
      <c r="T1414" s="38"/>
      <c r="U1414" s="38"/>
      <c r="V1414" s="38"/>
      <c r="W1414" s="38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</row>
    <row r="1415" spans="1:36" ht="11.25" customHeight="1" x14ac:dyDescent="0.2">
      <c r="A1415" s="35" t="s">
        <v>21</v>
      </c>
      <c r="B1415" s="35" t="s">
        <v>22</v>
      </c>
      <c r="C1415" s="35" t="s">
        <v>23</v>
      </c>
      <c r="D1415" s="35" t="s">
        <v>24</v>
      </c>
      <c r="E1415" s="35" t="s">
        <v>34</v>
      </c>
      <c r="F1415" s="35" t="s">
        <v>25</v>
      </c>
      <c r="G1415" s="35" t="s">
        <v>25</v>
      </c>
      <c r="H1415" s="35" t="s">
        <v>25</v>
      </c>
      <c r="I1415" s="45">
        <v>44774</v>
      </c>
      <c r="J1415" s="46">
        <f>EFEITO!$J$1415*EFEITO!$Y$1110</f>
        <v>0</v>
      </c>
      <c r="K1415" s="46">
        <f ca="1">EFEITO!$L$1415*EFEITO!$Z$1372</f>
        <v>579307.67961507197</v>
      </c>
      <c r="L1415" s="46">
        <f>EFEITO!$N$1415*EFEITO!$AA$1372</f>
        <v>318048.85066638893</v>
      </c>
      <c r="M1415" s="46">
        <f>$J$1415-EFEITO!$K$1415*EFEITO!$Y$1415</f>
        <v>0</v>
      </c>
      <c r="N1415" s="46">
        <f ca="1">$K$1415-EFEITO!$M$1415*EFEITO!$Z$1415</f>
        <v>0</v>
      </c>
      <c r="O1415" s="46">
        <f>$L$1415-EFEITO!$O$1415*EFEITO!$AA$1415</f>
        <v>0</v>
      </c>
      <c r="P1415" s="38"/>
      <c r="Q1415" s="38"/>
      <c r="R1415" s="38"/>
      <c r="S1415" s="38"/>
      <c r="T1415" s="38"/>
      <c r="U1415" s="38"/>
      <c r="V1415" s="38"/>
      <c r="W1415" s="38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</row>
    <row r="1416" spans="1:36" ht="11.25" customHeight="1" x14ac:dyDescent="0.2">
      <c r="A1416" s="35" t="s">
        <v>27</v>
      </c>
      <c r="B1416" s="35" t="s">
        <v>22</v>
      </c>
      <c r="C1416" s="35" t="s">
        <v>23</v>
      </c>
      <c r="D1416" s="35" t="s">
        <v>24</v>
      </c>
      <c r="E1416" s="35" t="s">
        <v>34</v>
      </c>
      <c r="F1416" s="35" t="s">
        <v>25</v>
      </c>
      <c r="G1416" s="35" t="s">
        <v>25</v>
      </c>
      <c r="H1416" s="35" t="s">
        <v>25</v>
      </c>
      <c r="I1416" s="45">
        <v>44774</v>
      </c>
      <c r="J1416" s="46">
        <f>EFEITO!$J$1416*EFEITO!$Y$1110</f>
        <v>0</v>
      </c>
      <c r="K1416" s="46">
        <f ca="1">EFEITO!$L$1416*EFEITO!$Z$1372</f>
        <v>-7475.7347765748418</v>
      </c>
      <c r="L1416" s="46">
        <f>EFEITO!$N$1416*EFEITO!$AA$1372</f>
        <v>-4104.2936892468606</v>
      </c>
      <c r="M1416" s="46">
        <f>$J$1416-EFEITO!$K$1416*EFEITO!$Y$1416</f>
        <v>0</v>
      </c>
      <c r="N1416" s="46">
        <f ca="1">$K$1416-EFEITO!$M$1416*EFEITO!$Z$1416</f>
        <v>0</v>
      </c>
      <c r="O1416" s="46">
        <f>$L$1416-EFEITO!$O$1416*EFEITO!$AA$1416</f>
        <v>0</v>
      </c>
      <c r="P1416" s="38"/>
      <c r="Q1416" s="38"/>
      <c r="R1416" s="38"/>
      <c r="S1416" s="38"/>
      <c r="T1416" s="38"/>
      <c r="U1416" s="38"/>
      <c r="V1416" s="38"/>
      <c r="W1416" s="38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</row>
    <row r="1417" spans="1:36" ht="11.25" customHeight="1" x14ac:dyDescent="0.2">
      <c r="A1417" s="35" t="s">
        <v>28</v>
      </c>
      <c r="B1417" s="35" t="s">
        <v>22</v>
      </c>
      <c r="C1417" s="35" t="s">
        <v>23</v>
      </c>
      <c r="D1417" s="35" t="s">
        <v>24</v>
      </c>
      <c r="E1417" s="35" t="s">
        <v>34</v>
      </c>
      <c r="F1417" s="35" t="s">
        <v>25</v>
      </c>
      <c r="G1417" s="35" t="s">
        <v>25</v>
      </c>
      <c r="H1417" s="35" t="s">
        <v>25</v>
      </c>
      <c r="I1417" s="45">
        <v>44774</v>
      </c>
      <c r="J1417" s="46">
        <f>EFEITO!$J$1417*EFEITO!$Y$1110</f>
        <v>0</v>
      </c>
      <c r="K1417" s="46">
        <f ca="1">EFEITO!$L$1417*EFEITO!$Z$1372</f>
        <v>178327.7034321737</v>
      </c>
      <c r="L1417" s="46">
        <f>EFEITO!$N$1417*EFEITO!$AA$1372</f>
        <v>97904.659500225782</v>
      </c>
      <c r="M1417" s="46">
        <f>$J$1417-EFEITO!$K$1417*EFEITO!$Y$1417</f>
        <v>0</v>
      </c>
      <c r="N1417" s="46">
        <f ca="1">$K$1417-EFEITO!$M$1417*EFEITO!$Z$1417</f>
        <v>0</v>
      </c>
      <c r="O1417" s="46">
        <f>$L$1417-EFEITO!$O$1417*EFEITO!$AA$1417</f>
        <v>0</v>
      </c>
      <c r="P1417" s="38"/>
      <c r="Q1417" s="38"/>
      <c r="R1417" s="38"/>
      <c r="S1417" s="38"/>
      <c r="T1417" s="38"/>
      <c r="U1417" s="38"/>
      <c r="V1417" s="38"/>
      <c r="W1417" s="38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</row>
    <row r="1418" spans="1:36" ht="11.25" customHeight="1" x14ac:dyDescent="0.2">
      <c r="A1418" s="35" t="s">
        <v>29</v>
      </c>
      <c r="B1418" s="35" t="s">
        <v>22</v>
      </c>
      <c r="C1418" s="35" t="s">
        <v>23</v>
      </c>
      <c r="D1418" s="35" t="s">
        <v>24</v>
      </c>
      <c r="E1418" s="35" t="s">
        <v>34</v>
      </c>
      <c r="F1418" s="35" t="s">
        <v>25</v>
      </c>
      <c r="G1418" s="35" t="s">
        <v>25</v>
      </c>
      <c r="H1418" s="35" t="s">
        <v>25</v>
      </c>
      <c r="I1418" s="45">
        <v>44774</v>
      </c>
      <c r="J1418" s="46">
        <f>EFEITO!$J$1418*EFEITO!$Y$1110</f>
        <v>0</v>
      </c>
      <c r="K1418" s="46">
        <f ca="1">EFEITO!$L$1418*EFEITO!$Z$1372</f>
        <v>-3761.3971290410286</v>
      </c>
      <c r="L1418" s="46">
        <f>EFEITO!$N$1418*EFEITO!$AA$1372</f>
        <v>-2065.0650351921031</v>
      </c>
      <c r="M1418" s="46">
        <f>$J$1418-EFEITO!$K$1418*EFEITO!$Y$1418</f>
        <v>0</v>
      </c>
      <c r="N1418" s="46">
        <f ca="1">$K$1418-EFEITO!$M$1418*EFEITO!$Z$1418</f>
        <v>0</v>
      </c>
      <c r="O1418" s="46">
        <f>$L$1418-EFEITO!$O$1418*EFEITO!$AA$1418</f>
        <v>0</v>
      </c>
      <c r="P1418" s="38"/>
      <c r="Q1418" s="38"/>
      <c r="R1418" s="38"/>
      <c r="S1418" s="38"/>
      <c r="T1418" s="38"/>
      <c r="U1418" s="38"/>
      <c r="V1418" s="38"/>
      <c r="W1418" s="38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</row>
    <row r="1419" spans="1:36" ht="11.25" customHeight="1" x14ac:dyDescent="0.2">
      <c r="A1419" s="35" t="s">
        <v>30</v>
      </c>
      <c r="B1419" s="35" t="s">
        <v>22</v>
      </c>
      <c r="C1419" s="35" t="s">
        <v>23</v>
      </c>
      <c r="D1419" s="35" t="s">
        <v>24</v>
      </c>
      <c r="E1419" s="35" t="s">
        <v>34</v>
      </c>
      <c r="F1419" s="35" t="s">
        <v>25</v>
      </c>
      <c r="G1419" s="35" t="s">
        <v>25</v>
      </c>
      <c r="H1419" s="35" t="s">
        <v>25</v>
      </c>
      <c r="I1419" s="45">
        <v>44774</v>
      </c>
      <c r="J1419" s="46">
        <f>EFEITO!$J$1419*EFEITO!$Y$1110</f>
        <v>0</v>
      </c>
      <c r="K1419" s="46">
        <f ca="1">EFEITO!$L$1419*EFEITO!$Z$1372</f>
        <v>2283.6453749260486</v>
      </c>
      <c r="L1419" s="46">
        <f>EFEITO!$N$1419*EFEITO!$AA$1372</f>
        <v>1253.756531084571</v>
      </c>
      <c r="M1419" s="46">
        <f>$J$1419-EFEITO!$K$1419*EFEITO!$Y$1419</f>
        <v>0</v>
      </c>
      <c r="N1419" s="46">
        <f ca="1">$K$1419-EFEITO!$M$1419*EFEITO!$Z$1419</f>
        <v>0</v>
      </c>
      <c r="O1419" s="46">
        <f>$L$1419-EFEITO!$O$1419*EFEITO!$AA$1419</f>
        <v>0</v>
      </c>
      <c r="P1419" s="38"/>
      <c r="Q1419" s="38"/>
      <c r="R1419" s="38"/>
      <c r="S1419" s="38"/>
      <c r="T1419" s="38"/>
      <c r="U1419" s="38"/>
      <c r="V1419" s="38"/>
      <c r="W1419" s="38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</row>
    <row r="1420" spans="1:36" ht="11.25" customHeight="1" x14ac:dyDescent="0.2">
      <c r="A1420" s="35" t="s">
        <v>21</v>
      </c>
      <c r="B1420" s="35" t="s">
        <v>22</v>
      </c>
      <c r="C1420" s="35" t="s">
        <v>23</v>
      </c>
      <c r="D1420" s="35" t="s">
        <v>24</v>
      </c>
      <c r="E1420" s="35" t="s">
        <v>34</v>
      </c>
      <c r="F1420" s="35" t="s">
        <v>25</v>
      </c>
      <c r="G1420" s="35" t="s">
        <v>25</v>
      </c>
      <c r="H1420" s="35" t="s">
        <v>25</v>
      </c>
      <c r="I1420" s="45">
        <v>44805</v>
      </c>
      <c r="J1420" s="46">
        <f>EFEITO!$J$1420*EFEITO!$Y$1110</f>
        <v>0</v>
      </c>
      <c r="K1420" s="46">
        <f ca="1">EFEITO!$L$1420*EFEITO!$Z$1372</f>
        <v>569646.6201660058</v>
      </c>
      <c r="L1420" s="46">
        <f>EFEITO!$N$1420*EFEITO!$AA$1372</f>
        <v>312744.78002807661</v>
      </c>
      <c r="M1420" s="46">
        <f>$J$1420-EFEITO!$K$1420*EFEITO!$Y$1420</f>
        <v>0</v>
      </c>
      <c r="N1420" s="46">
        <f ca="1">$K$1420-EFEITO!$M$1420*EFEITO!$Z$1420</f>
        <v>0</v>
      </c>
      <c r="O1420" s="46">
        <f>$L$1420-EFEITO!$O$1420*EFEITO!$AA$1420</f>
        <v>0</v>
      </c>
      <c r="P1420" s="38"/>
      <c r="Q1420" s="38"/>
      <c r="R1420" s="38"/>
      <c r="S1420" s="38"/>
      <c r="T1420" s="38"/>
      <c r="U1420" s="38"/>
      <c r="V1420" s="38"/>
      <c r="W1420" s="38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</row>
    <row r="1421" spans="1:36" ht="11.25" customHeight="1" x14ac:dyDescent="0.2">
      <c r="A1421" s="35" t="s">
        <v>27</v>
      </c>
      <c r="B1421" s="35" t="s">
        <v>22</v>
      </c>
      <c r="C1421" s="35" t="s">
        <v>23</v>
      </c>
      <c r="D1421" s="35" t="s">
        <v>24</v>
      </c>
      <c r="E1421" s="35" t="s">
        <v>34</v>
      </c>
      <c r="F1421" s="35" t="s">
        <v>25</v>
      </c>
      <c r="G1421" s="35" t="s">
        <v>25</v>
      </c>
      <c r="H1421" s="35" t="s">
        <v>25</v>
      </c>
      <c r="I1421" s="45">
        <v>44805</v>
      </c>
      <c r="J1421" s="46">
        <f>EFEITO!$J$1421*EFEITO!$Y$1110</f>
        <v>0</v>
      </c>
      <c r="K1421" s="46">
        <f ca="1">EFEITO!$L$1421*EFEITO!$Z$1372</f>
        <v>-6606.8150644594652</v>
      </c>
      <c r="L1421" s="46">
        <f>EFEITO!$N$1421*EFEITO!$AA$1372</f>
        <v>-3627.2433661037339</v>
      </c>
      <c r="M1421" s="46">
        <f>$J$1421-EFEITO!$K$1421*EFEITO!$Y$1421</f>
        <v>0</v>
      </c>
      <c r="N1421" s="46">
        <f ca="1">$K$1421-EFEITO!$M$1421*EFEITO!$Z$1421</f>
        <v>0</v>
      </c>
      <c r="O1421" s="46">
        <f>$L$1421-EFEITO!$O$1421*EFEITO!$AA$1421</f>
        <v>0</v>
      </c>
      <c r="P1421" s="38"/>
      <c r="Q1421" s="38"/>
      <c r="R1421" s="38"/>
      <c r="S1421" s="38"/>
      <c r="T1421" s="38"/>
      <c r="U1421" s="38"/>
      <c r="V1421" s="38"/>
      <c r="W1421" s="38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</row>
    <row r="1422" spans="1:36" ht="11.25" customHeight="1" x14ac:dyDescent="0.2">
      <c r="A1422" s="35" t="s">
        <v>28</v>
      </c>
      <c r="B1422" s="35" t="s">
        <v>22</v>
      </c>
      <c r="C1422" s="35" t="s">
        <v>23</v>
      </c>
      <c r="D1422" s="35" t="s">
        <v>24</v>
      </c>
      <c r="E1422" s="35" t="s">
        <v>34</v>
      </c>
      <c r="F1422" s="35" t="s">
        <v>25</v>
      </c>
      <c r="G1422" s="35" t="s">
        <v>25</v>
      </c>
      <c r="H1422" s="35" t="s">
        <v>25</v>
      </c>
      <c r="I1422" s="45">
        <v>44805</v>
      </c>
      <c r="J1422" s="46">
        <f>EFEITO!$J$1422*EFEITO!$Y$1110</f>
        <v>0</v>
      </c>
      <c r="K1422" s="46">
        <f ca="1">EFEITO!$L$1422*EFEITO!$Z$1372</f>
        <v>144575.97101689136</v>
      </c>
      <c r="L1422" s="46">
        <f>EFEITO!$N$1422*EFEITO!$AA$1372</f>
        <v>79374.437857362602</v>
      </c>
      <c r="M1422" s="46">
        <f>$J$1422-EFEITO!$K$1422*EFEITO!$Y$1422</f>
        <v>0</v>
      </c>
      <c r="N1422" s="46">
        <f ca="1">$K$1422-EFEITO!$M$1422*EFEITO!$Z$1422</f>
        <v>0</v>
      </c>
      <c r="O1422" s="46">
        <f>$L$1422-EFEITO!$O$1422*EFEITO!$AA$1422</f>
        <v>0</v>
      </c>
      <c r="P1422" s="38"/>
      <c r="Q1422" s="38"/>
      <c r="R1422" s="38"/>
      <c r="S1422" s="38"/>
      <c r="T1422" s="38"/>
      <c r="U1422" s="38"/>
      <c r="V1422" s="38"/>
      <c r="W1422" s="38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</row>
    <row r="1423" spans="1:36" ht="11.25" customHeight="1" x14ac:dyDescent="0.2">
      <c r="A1423" s="35" t="s">
        <v>29</v>
      </c>
      <c r="B1423" s="35" t="s">
        <v>22</v>
      </c>
      <c r="C1423" s="35" t="s">
        <v>23</v>
      </c>
      <c r="D1423" s="35" t="s">
        <v>24</v>
      </c>
      <c r="E1423" s="35" t="s">
        <v>34</v>
      </c>
      <c r="F1423" s="35" t="s">
        <v>25</v>
      </c>
      <c r="G1423" s="35" t="s">
        <v>25</v>
      </c>
      <c r="H1423" s="35" t="s">
        <v>25</v>
      </c>
      <c r="I1423" s="45">
        <v>44805</v>
      </c>
      <c r="J1423" s="46">
        <f>EFEITO!$J$1423*EFEITO!$Y$1110</f>
        <v>0</v>
      </c>
      <c r="K1423" s="46">
        <f ca="1">EFEITO!$L$1423*EFEITO!$Z$1372</f>
        <v>-1807.5882986075183</v>
      </c>
      <c r="L1423" s="46">
        <f>EFEITO!$N$1423*EFEITO!$AA$1372</f>
        <v>-992.39385404338987</v>
      </c>
      <c r="M1423" s="46">
        <f>$J$1423-EFEITO!$K$1423*EFEITO!$Y$1423</f>
        <v>0</v>
      </c>
      <c r="N1423" s="46">
        <f ca="1">$K$1423-EFEITO!$M$1423*EFEITO!$Z$1423</f>
        <v>0</v>
      </c>
      <c r="O1423" s="46">
        <f>$L$1423-EFEITO!$O$1423*EFEITO!$AA$1423</f>
        <v>0</v>
      </c>
      <c r="P1423" s="38"/>
      <c r="Q1423" s="38"/>
      <c r="R1423" s="38"/>
      <c r="S1423" s="38"/>
      <c r="T1423" s="38"/>
      <c r="U1423" s="38"/>
      <c r="V1423" s="38"/>
      <c r="W1423" s="38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</row>
    <row r="1424" spans="1:36" ht="11.25" customHeight="1" x14ac:dyDescent="0.2">
      <c r="A1424" s="35" t="s">
        <v>30</v>
      </c>
      <c r="B1424" s="35" t="s">
        <v>22</v>
      </c>
      <c r="C1424" s="35" t="s">
        <v>23</v>
      </c>
      <c r="D1424" s="35" t="s">
        <v>24</v>
      </c>
      <c r="E1424" s="35" t="s">
        <v>34</v>
      </c>
      <c r="F1424" s="35" t="s">
        <v>25</v>
      </c>
      <c r="G1424" s="35" t="s">
        <v>25</v>
      </c>
      <c r="H1424" s="35" t="s">
        <v>25</v>
      </c>
      <c r="I1424" s="45">
        <v>44805</v>
      </c>
      <c r="J1424" s="46">
        <f>EFEITO!$J$1424*EFEITO!$Y$1110</f>
        <v>0</v>
      </c>
      <c r="K1424" s="46">
        <f ca="1">EFEITO!$L$1424*EFEITO!$Z$1372</f>
        <v>3284.4997048384407</v>
      </c>
      <c r="L1424" s="46">
        <f>EFEITO!$N$1424*EFEITO!$AA$1372</f>
        <v>1803.2409942020408</v>
      </c>
      <c r="M1424" s="46">
        <f>$J$1424-EFEITO!$K$1424*EFEITO!$Y$1424</f>
        <v>0</v>
      </c>
      <c r="N1424" s="46">
        <f ca="1">$K$1424-EFEITO!$M$1424*EFEITO!$Z$1424</f>
        <v>0</v>
      </c>
      <c r="O1424" s="46">
        <f>$L$1424-EFEITO!$O$1424*EFEITO!$AA$1424</f>
        <v>0</v>
      </c>
      <c r="P1424" s="38"/>
      <c r="Q1424" s="38"/>
      <c r="R1424" s="38"/>
      <c r="S1424" s="38"/>
      <c r="T1424" s="38"/>
      <c r="U1424" s="38"/>
      <c r="V1424" s="38"/>
      <c r="W1424" s="38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</row>
    <row r="1425" spans="1:36" ht="11.25" customHeight="1" x14ac:dyDescent="0.2">
      <c r="A1425" s="35" t="s">
        <v>21</v>
      </c>
      <c r="B1425" s="35" t="s">
        <v>22</v>
      </c>
      <c r="C1425" s="35" t="s">
        <v>23</v>
      </c>
      <c r="D1425" s="35" t="s">
        <v>24</v>
      </c>
      <c r="E1425" s="35" t="s">
        <v>34</v>
      </c>
      <c r="F1425" s="35" t="s">
        <v>25</v>
      </c>
      <c r="G1425" s="35" t="s">
        <v>25</v>
      </c>
      <c r="H1425" s="35" t="s">
        <v>25</v>
      </c>
      <c r="I1425" s="45">
        <v>44835</v>
      </c>
      <c r="J1425" s="46">
        <f>EFEITO!$J$1425*EFEITO!$Y$1110</f>
        <v>0</v>
      </c>
      <c r="K1425" s="46">
        <f ca="1">EFEITO!$L$1425*EFEITO!$Z$1372</f>
        <v>744904.11260377569</v>
      </c>
      <c r="L1425" s="46">
        <f>EFEITO!$N$1425*EFEITO!$AA$1372</f>
        <v>408963.84634106501</v>
      </c>
      <c r="M1425" s="46">
        <f>$J$1425-EFEITO!$K$1425*EFEITO!$Y$1425</f>
        <v>0</v>
      </c>
      <c r="N1425" s="46">
        <f ca="1">$K$1425-EFEITO!$M$1425*EFEITO!$Z$1425</f>
        <v>0</v>
      </c>
      <c r="O1425" s="46">
        <f>$L$1425-EFEITO!$O$1425*EFEITO!$AA$1425</f>
        <v>0</v>
      </c>
      <c r="P1425" s="38"/>
      <c r="Q1425" s="38"/>
      <c r="R1425" s="38"/>
      <c r="S1425" s="38"/>
      <c r="T1425" s="38"/>
      <c r="U1425" s="38"/>
      <c r="V1425" s="38"/>
      <c r="W1425" s="38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</row>
    <row r="1426" spans="1:36" ht="11.25" customHeight="1" x14ac:dyDescent="0.2">
      <c r="A1426" s="35" t="s">
        <v>27</v>
      </c>
      <c r="B1426" s="35" t="s">
        <v>22</v>
      </c>
      <c r="C1426" s="35" t="s">
        <v>23</v>
      </c>
      <c r="D1426" s="35" t="s">
        <v>24</v>
      </c>
      <c r="E1426" s="35" t="s">
        <v>34</v>
      </c>
      <c r="F1426" s="35" t="s">
        <v>25</v>
      </c>
      <c r="G1426" s="35" t="s">
        <v>25</v>
      </c>
      <c r="H1426" s="35" t="s">
        <v>25</v>
      </c>
      <c r="I1426" s="45">
        <v>44835</v>
      </c>
      <c r="J1426" s="46">
        <f>EFEITO!$J$1426*EFEITO!$Y$1110</f>
        <v>0</v>
      </c>
      <c r="K1426" s="46">
        <f ca="1">EFEITO!$L$1426*EFEITO!$Z$1372</f>
        <v>-5617.7256049238767</v>
      </c>
      <c r="L1426" s="46">
        <f>EFEITO!$N$1426*EFEITO!$AA$1372</f>
        <v>-3084.2179982706007</v>
      </c>
      <c r="M1426" s="46">
        <f>$J$1426-EFEITO!$K$1426*EFEITO!$Y$1426</f>
        <v>0</v>
      </c>
      <c r="N1426" s="46">
        <f ca="1">$K$1426-EFEITO!$M$1426*EFEITO!$Z$1426</f>
        <v>0</v>
      </c>
      <c r="O1426" s="46">
        <f>$L$1426-EFEITO!$O$1426*EFEITO!$AA$1426</f>
        <v>0</v>
      </c>
      <c r="P1426" s="38"/>
      <c r="Q1426" s="38"/>
      <c r="R1426" s="38"/>
      <c r="S1426" s="38"/>
      <c r="T1426" s="38"/>
      <c r="U1426" s="38"/>
      <c r="V1426" s="38"/>
      <c r="W1426" s="38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</row>
    <row r="1427" spans="1:36" ht="11.25" customHeight="1" x14ac:dyDescent="0.2">
      <c r="A1427" s="35" t="s">
        <v>28</v>
      </c>
      <c r="B1427" s="35" t="s">
        <v>22</v>
      </c>
      <c r="C1427" s="35" t="s">
        <v>23</v>
      </c>
      <c r="D1427" s="35" t="s">
        <v>24</v>
      </c>
      <c r="E1427" s="35" t="s">
        <v>34</v>
      </c>
      <c r="F1427" s="35" t="s">
        <v>25</v>
      </c>
      <c r="G1427" s="35" t="s">
        <v>25</v>
      </c>
      <c r="H1427" s="35" t="s">
        <v>25</v>
      </c>
      <c r="I1427" s="45">
        <v>44835</v>
      </c>
      <c r="J1427" s="46">
        <f>EFEITO!$J$1427*EFEITO!$Y$1110</f>
        <v>0</v>
      </c>
      <c r="K1427" s="46">
        <f ca="1">EFEITO!$L$1427*EFEITO!$Z$1372</f>
        <v>164598.9400503276</v>
      </c>
      <c r="L1427" s="46">
        <f>EFEITO!$N$1427*EFEITO!$AA$1372</f>
        <v>90367.356667354165</v>
      </c>
      <c r="M1427" s="46">
        <f>$J$1427-EFEITO!$K$1427*EFEITO!$Y$1427</f>
        <v>0</v>
      </c>
      <c r="N1427" s="46">
        <f ca="1">$K$1427-EFEITO!$M$1427*EFEITO!$Z$1427</f>
        <v>0</v>
      </c>
      <c r="O1427" s="46">
        <f>$L$1427-EFEITO!$O$1427*EFEITO!$AA$1427</f>
        <v>0</v>
      </c>
      <c r="P1427" s="38"/>
      <c r="Q1427" s="38"/>
      <c r="R1427" s="38"/>
      <c r="S1427" s="38"/>
      <c r="T1427" s="38"/>
      <c r="U1427" s="38"/>
      <c r="V1427" s="38"/>
      <c r="W1427" s="38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</row>
    <row r="1428" spans="1:36" ht="11.25" customHeight="1" x14ac:dyDescent="0.2">
      <c r="A1428" s="35" t="s">
        <v>29</v>
      </c>
      <c r="B1428" s="35" t="s">
        <v>22</v>
      </c>
      <c r="C1428" s="35" t="s">
        <v>23</v>
      </c>
      <c r="D1428" s="35" t="s">
        <v>24</v>
      </c>
      <c r="E1428" s="35" t="s">
        <v>34</v>
      </c>
      <c r="F1428" s="35" t="s">
        <v>25</v>
      </c>
      <c r="G1428" s="35" t="s">
        <v>25</v>
      </c>
      <c r="H1428" s="35" t="s">
        <v>25</v>
      </c>
      <c r="I1428" s="45">
        <v>44835</v>
      </c>
      <c r="J1428" s="46">
        <f>EFEITO!$J$1428*EFEITO!$Y$1110</f>
        <v>0</v>
      </c>
      <c r="K1428" s="46">
        <f ca="1">EFEITO!$L$1428*EFEITO!$Z$1372</f>
        <v>-19694.393010769782</v>
      </c>
      <c r="L1428" s="46">
        <f>EFEITO!$N$1428*EFEITO!$AA$1372</f>
        <v>-10812.525505979027</v>
      </c>
      <c r="M1428" s="46">
        <f>$J$1428-EFEITO!$K$1428*EFEITO!$Y$1428</f>
        <v>0</v>
      </c>
      <c r="N1428" s="46">
        <f ca="1">$K$1428-EFEITO!$M$1428*EFEITO!$Z$1428</f>
        <v>0</v>
      </c>
      <c r="O1428" s="46">
        <f>$L$1428-EFEITO!$O$1428*EFEITO!$AA$1428</f>
        <v>0</v>
      </c>
      <c r="P1428" s="38"/>
      <c r="Q1428" s="38"/>
      <c r="R1428" s="38"/>
      <c r="S1428" s="38"/>
      <c r="T1428" s="38"/>
      <c r="U1428" s="38"/>
      <c r="V1428" s="38"/>
      <c r="W1428" s="38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</row>
    <row r="1429" spans="1:36" ht="11.25" customHeight="1" x14ac:dyDescent="0.2">
      <c r="A1429" s="35" t="s">
        <v>30</v>
      </c>
      <c r="B1429" s="35" t="s">
        <v>22</v>
      </c>
      <c r="C1429" s="35" t="s">
        <v>23</v>
      </c>
      <c r="D1429" s="35" t="s">
        <v>24</v>
      </c>
      <c r="E1429" s="35" t="s">
        <v>34</v>
      </c>
      <c r="F1429" s="35" t="s">
        <v>25</v>
      </c>
      <c r="G1429" s="35" t="s">
        <v>25</v>
      </c>
      <c r="H1429" s="35" t="s">
        <v>25</v>
      </c>
      <c r="I1429" s="45">
        <v>44835</v>
      </c>
      <c r="J1429" s="46">
        <f>EFEITO!$J$1429*EFEITO!$Y$1110</f>
        <v>0</v>
      </c>
      <c r="K1429" s="46">
        <f ca="1">EFEITO!$L$1429*EFEITO!$Z$1372</f>
        <v>4380.7335195913502</v>
      </c>
      <c r="L1429" s="46">
        <f>EFEITO!$N$1429*EFEITO!$AA$1372</f>
        <v>2405.0902655175232</v>
      </c>
      <c r="M1429" s="46">
        <f>$J$1429-EFEITO!$K$1429*EFEITO!$Y$1429</f>
        <v>0</v>
      </c>
      <c r="N1429" s="46">
        <f ca="1">$K$1429-EFEITO!$M$1429*EFEITO!$Z$1429</f>
        <v>0</v>
      </c>
      <c r="O1429" s="46">
        <f>$L$1429-EFEITO!$O$1429*EFEITO!$AA$1429</f>
        <v>0</v>
      </c>
      <c r="P1429" s="38"/>
      <c r="Q1429" s="38"/>
      <c r="R1429" s="38"/>
      <c r="S1429" s="38"/>
      <c r="T1429" s="38"/>
      <c r="U1429" s="38"/>
      <c r="V1429" s="38"/>
      <c r="W1429" s="38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</row>
    <row r="1430" spans="1:36" ht="11.25" customHeight="1" x14ac:dyDescent="0.2">
      <c r="A1430" s="35" t="s">
        <v>59</v>
      </c>
      <c r="B1430" s="35" t="s">
        <v>22</v>
      </c>
      <c r="C1430" s="35" t="s">
        <v>23</v>
      </c>
      <c r="D1430" s="35" t="s">
        <v>24</v>
      </c>
      <c r="E1430" s="35" t="s">
        <v>34</v>
      </c>
      <c r="F1430" s="35" t="s">
        <v>25</v>
      </c>
      <c r="G1430" s="35" t="s">
        <v>25</v>
      </c>
      <c r="H1430" s="35" t="s">
        <v>25</v>
      </c>
      <c r="I1430" s="45">
        <v>44866</v>
      </c>
      <c r="J1430" s="46">
        <f>EFEITO!$J$1430*EFEITO!$Y$1110</f>
        <v>0</v>
      </c>
      <c r="K1430" s="46">
        <f ca="1">EFEITO!$L$1430*EFEITO!$Z$1372</f>
        <v>744904.11260377569</v>
      </c>
      <c r="L1430" s="46">
        <f>EFEITO!$N$1430*EFEITO!$AA$1372</f>
        <v>408963.84634106501</v>
      </c>
      <c r="M1430" s="46">
        <f>$J$1430-EFEITO!$K$1430*EFEITO!$Y$1430</f>
        <v>0</v>
      </c>
      <c r="N1430" s="46">
        <f ca="1">$K$1430-EFEITO!$M$1430*EFEITO!$Z$1430</f>
        <v>0</v>
      </c>
      <c r="O1430" s="46">
        <f>$L$1430-EFEITO!$O$1430*EFEITO!$AA$1430</f>
        <v>0</v>
      </c>
      <c r="P1430" s="38"/>
      <c r="Q1430" s="38"/>
      <c r="R1430" s="38"/>
      <c r="S1430" s="38"/>
      <c r="T1430" s="38"/>
      <c r="U1430" s="38"/>
      <c r="V1430" s="38"/>
      <c r="W1430" s="38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</row>
    <row r="1431" spans="1:36" ht="11.25" customHeight="1" x14ac:dyDescent="0.2">
      <c r="A1431" s="35" t="s">
        <v>59</v>
      </c>
      <c r="B1431" s="35" t="s">
        <v>22</v>
      </c>
      <c r="C1431" s="35" t="s">
        <v>23</v>
      </c>
      <c r="D1431" s="35" t="s">
        <v>24</v>
      </c>
      <c r="E1431" s="35" t="s">
        <v>34</v>
      </c>
      <c r="F1431" s="35" t="s">
        <v>25</v>
      </c>
      <c r="G1431" s="35" t="s">
        <v>25</v>
      </c>
      <c r="H1431" s="35" t="s">
        <v>25</v>
      </c>
      <c r="I1431" s="45">
        <v>44866</v>
      </c>
      <c r="J1431" s="46">
        <f>EFEITO!$J$1431*EFEITO!$Y$1110</f>
        <v>0</v>
      </c>
      <c r="K1431" s="46">
        <f ca="1">EFEITO!$L$1431*EFEITO!$Z$1372</f>
        <v>-5617.7256049238767</v>
      </c>
      <c r="L1431" s="46">
        <f>EFEITO!$N$1431*EFEITO!$AA$1372</f>
        <v>-3084.2179982706007</v>
      </c>
      <c r="M1431" s="46">
        <f>$J$1431-EFEITO!$K$1431*EFEITO!$Y$1431</f>
        <v>0</v>
      </c>
      <c r="N1431" s="46">
        <f ca="1">$K$1431-EFEITO!$M$1431*EFEITO!$Z$1431</f>
        <v>0</v>
      </c>
      <c r="O1431" s="46">
        <f>$L$1431-EFEITO!$O$1431*EFEITO!$AA$1431</f>
        <v>0</v>
      </c>
      <c r="P1431" s="38"/>
      <c r="Q1431" s="38"/>
      <c r="R1431" s="38"/>
      <c r="S1431" s="38"/>
      <c r="T1431" s="38"/>
      <c r="U1431" s="38"/>
      <c r="V1431" s="38"/>
      <c r="W1431" s="38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</row>
    <row r="1432" spans="1:36" ht="11.25" customHeight="1" x14ac:dyDescent="0.2">
      <c r="A1432" s="35" t="s">
        <v>59</v>
      </c>
      <c r="B1432" s="35" t="s">
        <v>22</v>
      </c>
      <c r="C1432" s="35" t="s">
        <v>23</v>
      </c>
      <c r="D1432" s="35" t="s">
        <v>24</v>
      </c>
      <c r="E1432" s="35" t="s">
        <v>34</v>
      </c>
      <c r="F1432" s="35" t="s">
        <v>25</v>
      </c>
      <c r="G1432" s="35" t="s">
        <v>25</v>
      </c>
      <c r="H1432" s="35" t="s">
        <v>25</v>
      </c>
      <c r="I1432" s="45">
        <v>44866</v>
      </c>
      <c r="J1432" s="46">
        <f>EFEITO!$J$1432*EFEITO!$Y$1110</f>
        <v>0</v>
      </c>
      <c r="K1432" s="46">
        <f ca="1">EFEITO!$L$1432*EFEITO!$Z$1372</f>
        <v>164598.9400503276</v>
      </c>
      <c r="L1432" s="46">
        <f>EFEITO!$N$1432*EFEITO!$AA$1372</f>
        <v>90367.356667354165</v>
      </c>
      <c r="M1432" s="46">
        <f>$J$1432-EFEITO!$K$1432*EFEITO!$Y$1432</f>
        <v>0</v>
      </c>
      <c r="N1432" s="46">
        <f ca="1">$K$1432-EFEITO!$M$1432*EFEITO!$Z$1432</f>
        <v>0</v>
      </c>
      <c r="O1432" s="46">
        <f>$L$1432-EFEITO!$O$1432*EFEITO!$AA$1432</f>
        <v>0</v>
      </c>
      <c r="P1432" s="38"/>
      <c r="Q1432" s="38"/>
      <c r="R1432" s="38"/>
      <c r="S1432" s="38"/>
      <c r="T1432" s="38"/>
      <c r="U1432" s="38"/>
      <c r="V1432" s="38"/>
      <c r="W1432" s="38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</row>
    <row r="1433" spans="1:36" ht="11.25" customHeight="1" x14ac:dyDescent="0.2">
      <c r="A1433" s="35" t="s">
        <v>59</v>
      </c>
      <c r="B1433" s="35" t="s">
        <v>22</v>
      </c>
      <c r="C1433" s="35" t="s">
        <v>23</v>
      </c>
      <c r="D1433" s="35" t="s">
        <v>24</v>
      </c>
      <c r="E1433" s="35" t="s">
        <v>34</v>
      </c>
      <c r="F1433" s="35" t="s">
        <v>25</v>
      </c>
      <c r="G1433" s="35" t="s">
        <v>25</v>
      </c>
      <c r="H1433" s="35" t="s">
        <v>25</v>
      </c>
      <c r="I1433" s="45">
        <v>44866</v>
      </c>
      <c r="J1433" s="46">
        <f>EFEITO!$J$1433*EFEITO!$Y$1110</f>
        <v>0</v>
      </c>
      <c r="K1433" s="46">
        <f ca="1">EFEITO!$L$1433*EFEITO!$Z$1372</f>
        <v>-19694.393010769782</v>
      </c>
      <c r="L1433" s="46">
        <f>EFEITO!$N$1433*EFEITO!$AA$1372</f>
        <v>-10812.525505979027</v>
      </c>
      <c r="M1433" s="46">
        <f>$J$1433-EFEITO!$K$1433*EFEITO!$Y$1433</f>
        <v>0</v>
      </c>
      <c r="N1433" s="46">
        <f ca="1">$K$1433-EFEITO!$M$1433*EFEITO!$Z$1433</f>
        <v>0</v>
      </c>
      <c r="O1433" s="46">
        <f>$L$1433-EFEITO!$O$1433*EFEITO!$AA$1433</f>
        <v>0</v>
      </c>
      <c r="P1433" s="38"/>
      <c r="Q1433" s="38"/>
      <c r="R1433" s="38"/>
      <c r="S1433" s="38"/>
      <c r="T1433" s="38"/>
      <c r="U1433" s="38"/>
      <c r="V1433" s="38"/>
      <c r="W1433" s="38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</row>
    <row r="1434" spans="1:36" ht="11.25" customHeight="1" x14ac:dyDescent="0.2">
      <c r="A1434" s="35" t="s">
        <v>59</v>
      </c>
      <c r="B1434" s="35" t="s">
        <v>22</v>
      </c>
      <c r="C1434" s="35" t="s">
        <v>23</v>
      </c>
      <c r="D1434" s="35" t="s">
        <v>24</v>
      </c>
      <c r="E1434" s="35" t="s">
        <v>34</v>
      </c>
      <c r="F1434" s="35" t="s">
        <v>25</v>
      </c>
      <c r="G1434" s="35" t="s">
        <v>25</v>
      </c>
      <c r="H1434" s="35" t="s">
        <v>25</v>
      </c>
      <c r="I1434" s="45">
        <v>44866</v>
      </c>
      <c r="J1434" s="46">
        <f>EFEITO!$J$1434*EFEITO!$Y$1110</f>
        <v>0</v>
      </c>
      <c r="K1434" s="46">
        <f ca="1">EFEITO!$L$1434*EFEITO!$Z$1372</f>
        <v>4380.7335195913502</v>
      </c>
      <c r="L1434" s="46">
        <f>EFEITO!$N$1434*EFEITO!$AA$1372</f>
        <v>2405.0902655175232</v>
      </c>
      <c r="M1434" s="46">
        <f>$J$1434-EFEITO!$K$1434*EFEITO!$Y$1434</f>
        <v>0</v>
      </c>
      <c r="N1434" s="46">
        <f ca="1">$K$1434-EFEITO!$M$1434*EFEITO!$Z$1434</f>
        <v>0</v>
      </c>
      <c r="O1434" s="46">
        <f>$L$1434-EFEITO!$O$1434*EFEITO!$AA$1434</f>
        <v>0</v>
      </c>
      <c r="P1434" s="38"/>
      <c r="Q1434" s="38"/>
      <c r="R1434" s="38"/>
      <c r="S1434" s="38"/>
      <c r="T1434" s="38"/>
      <c r="U1434" s="38"/>
      <c r="V1434" s="38"/>
      <c r="W1434" s="38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</row>
    <row r="1435" spans="1:36" ht="11.25" customHeight="1" x14ac:dyDescent="0.2">
      <c r="A1435" s="35" t="s">
        <v>21</v>
      </c>
      <c r="B1435" s="35" t="s">
        <v>46</v>
      </c>
      <c r="C1435" s="35" t="s">
        <v>35</v>
      </c>
      <c r="D1435" s="35" t="s">
        <v>47</v>
      </c>
      <c r="E1435" s="35" t="s">
        <v>25</v>
      </c>
      <c r="F1435" s="35" t="s">
        <v>25</v>
      </c>
      <c r="G1435" s="35" t="s">
        <v>25</v>
      </c>
      <c r="H1435" s="35" t="s">
        <v>37</v>
      </c>
      <c r="I1435" s="45">
        <v>44531</v>
      </c>
      <c r="J1435" s="46">
        <f>EFEITO!$J$1435*EFEITO!$Y$1435/(1-CUSTOS!$M$38)</f>
        <v>0</v>
      </c>
      <c r="K1435" s="46">
        <f ca="1">EFEITO!$L$1435*EFEITO!$Z$1435/(1-CUSTOS!$M$38)</f>
        <v>2159.6909841137967</v>
      </c>
      <c r="L1435" s="46">
        <f>EFEITO!$N$1435*EFEITO!$AA$1435/(1-CUSTOS!$M$38)</f>
        <v>1287.6197992367147</v>
      </c>
      <c r="M1435" s="46">
        <f>$J$1435-EFEITO!$K$1435*EFEITO!$Y$1435</f>
        <v>0</v>
      </c>
      <c r="N1435" s="46">
        <f ca="1">$K$1435-EFEITO!$M$1435*EFEITO!$Z$1435</f>
        <v>129.58145904682806</v>
      </c>
      <c r="O1435" s="46">
        <f>$L$1435-EFEITO!$O$1435*EFEITO!$AA$1435</f>
        <v>77.257187954202891</v>
      </c>
      <c r="P1435" s="38"/>
      <c r="Q1435" s="38"/>
      <c r="R1435" s="38"/>
      <c r="S1435" s="38"/>
      <c r="T1435" s="38"/>
      <c r="U1435" s="38"/>
      <c r="V1435" s="38"/>
      <c r="W1435" s="38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</row>
    <row r="1436" spans="1:36" ht="11.25" customHeight="1" x14ac:dyDescent="0.2">
      <c r="A1436" s="35" t="s">
        <v>28</v>
      </c>
      <c r="B1436" s="35" t="s">
        <v>46</v>
      </c>
      <c r="C1436" s="35" t="s">
        <v>35</v>
      </c>
      <c r="D1436" s="35" t="s">
        <v>47</v>
      </c>
      <c r="E1436" s="35" t="s">
        <v>25</v>
      </c>
      <c r="F1436" s="35" t="s">
        <v>25</v>
      </c>
      <c r="G1436" s="35" t="s">
        <v>25</v>
      </c>
      <c r="H1436" s="35" t="s">
        <v>37</v>
      </c>
      <c r="I1436" s="45">
        <v>44531</v>
      </c>
      <c r="J1436" s="46">
        <f>EFEITO!$J$1436*EFEITO!$Y$1436/(1-CUSTOS!$M$38)</f>
        <v>0</v>
      </c>
      <c r="K1436" s="46">
        <f ca="1">EFEITO!$L$1436*EFEITO!$Z$1436/(1-CUSTOS!$M$38)</f>
        <v>4.7683394690012495</v>
      </c>
      <c r="L1436" s="46">
        <f>EFEITO!$N$1436*EFEITO!$AA$1436/(1-CUSTOS!$M$38)</f>
        <v>2.8429105621734534</v>
      </c>
      <c r="M1436" s="46">
        <f>$J$1436-EFEITO!$K$1436*EFEITO!$Y$1436</f>
        <v>0</v>
      </c>
      <c r="N1436" s="46">
        <f ca="1">$K$1436-EFEITO!$M$1436*EFEITO!$Z$1436</f>
        <v>0.28610036814007511</v>
      </c>
      <c r="O1436" s="46">
        <f>$L$1436-EFEITO!$O$1436*EFEITO!$AA$1436</f>
        <v>0.17057463373040749</v>
      </c>
      <c r="P1436" s="38"/>
      <c r="Q1436" s="38"/>
      <c r="R1436" s="38"/>
      <c r="S1436" s="38"/>
      <c r="T1436" s="38"/>
      <c r="U1436" s="38"/>
      <c r="V1436" s="38"/>
      <c r="W1436" s="38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</row>
    <row r="1437" spans="1:36" ht="11.25" customHeight="1" x14ac:dyDescent="0.2">
      <c r="A1437" s="35" t="s">
        <v>21</v>
      </c>
      <c r="B1437" s="35" t="s">
        <v>46</v>
      </c>
      <c r="C1437" s="35" t="s">
        <v>35</v>
      </c>
      <c r="D1437" s="35" t="s">
        <v>47</v>
      </c>
      <c r="E1437" s="35" t="s">
        <v>25</v>
      </c>
      <c r="F1437" s="35" t="s">
        <v>25</v>
      </c>
      <c r="G1437" s="35" t="s">
        <v>25</v>
      </c>
      <c r="H1437" s="35" t="s">
        <v>37</v>
      </c>
      <c r="I1437" s="45">
        <v>44562</v>
      </c>
      <c r="J1437" s="46">
        <f>EFEITO!$J$1437*EFEITO!$Y$1437/(1-CUSTOS!$M$38)</f>
        <v>0</v>
      </c>
      <c r="K1437" s="46">
        <f ca="1">EFEITO!$L$1437*EFEITO!$Z$1437/(1-CUSTOS!$M$38)</f>
        <v>2351.8917442489242</v>
      </c>
      <c r="L1437" s="46">
        <f>EFEITO!$N$1437*EFEITO!$AA$1437/(1-CUSTOS!$M$38)</f>
        <v>1402.2109634350909</v>
      </c>
      <c r="M1437" s="46">
        <f>$J$1437-EFEITO!$K$1437*EFEITO!$Y$1437</f>
        <v>0</v>
      </c>
      <c r="N1437" s="46">
        <f ca="1">$K$1437-EFEITO!$M$1437*EFEITO!$Z$1437</f>
        <v>141.1135046549357</v>
      </c>
      <c r="O1437" s="46">
        <f>$L$1437-EFEITO!$O$1437*EFEITO!$AA$1437</f>
        <v>84.132657806105499</v>
      </c>
      <c r="P1437" s="38"/>
      <c r="Q1437" s="38"/>
      <c r="R1437" s="38"/>
      <c r="S1437" s="38"/>
      <c r="T1437" s="38"/>
      <c r="U1437" s="38"/>
      <c r="V1437" s="38"/>
      <c r="W1437" s="38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</row>
    <row r="1438" spans="1:36" ht="11.25" customHeight="1" x14ac:dyDescent="0.2">
      <c r="A1438" s="35" t="s">
        <v>28</v>
      </c>
      <c r="B1438" s="35" t="s">
        <v>46</v>
      </c>
      <c r="C1438" s="35" t="s">
        <v>35</v>
      </c>
      <c r="D1438" s="35" t="s">
        <v>47</v>
      </c>
      <c r="E1438" s="35" t="s">
        <v>25</v>
      </c>
      <c r="F1438" s="35" t="s">
        <v>25</v>
      </c>
      <c r="G1438" s="35" t="s">
        <v>25</v>
      </c>
      <c r="H1438" s="35" t="s">
        <v>37</v>
      </c>
      <c r="I1438" s="45">
        <v>44562</v>
      </c>
      <c r="J1438" s="46">
        <f>EFEITO!$J$1438*EFEITO!$Y$1438/(1-CUSTOS!$M$38)</f>
        <v>0</v>
      </c>
      <c r="K1438" s="46">
        <f ca="1">EFEITO!$L$1438*EFEITO!$Z$1438/(1-CUSTOS!$M$38)</f>
        <v>81.795361660559891</v>
      </c>
      <c r="L1438" s="46">
        <f>EFEITO!$N$1438*EFEITO!$AA$1438/(1-CUSTOS!$M$38)</f>
        <v>48.766850412667701</v>
      </c>
      <c r="M1438" s="46">
        <f>$J$1438-EFEITO!$K$1438*EFEITO!$Y$1438</f>
        <v>0</v>
      </c>
      <c r="N1438" s="46">
        <f ca="1">$K$1438-EFEITO!$M$1438*EFEITO!$Z$1438</f>
        <v>4.9077216996335977</v>
      </c>
      <c r="O1438" s="46">
        <f>$L$1438-EFEITO!$O$1438*EFEITO!$AA$1438</f>
        <v>2.926011024760065</v>
      </c>
      <c r="P1438" s="38"/>
      <c r="Q1438" s="38"/>
      <c r="R1438" s="38"/>
      <c r="S1438" s="38"/>
      <c r="T1438" s="38"/>
      <c r="U1438" s="38"/>
      <c r="V1438" s="38"/>
      <c r="W1438" s="38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</row>
    <row r="1439" spans="1:36" ht="11.25" customHeight="1" x14ac:dyDescent="0.2">
      <c r="A1439" s="35" t="s">
        <v>21</v>
      </c>
      <c r="B1439" s="35" t="s">
        <v>46</v>
      </c>
      <c r="C1439" s="35" t="s">
        <v>35</v>
      </c>
      <c r="D1439" s="35" t="s">
        <v>47</v>
      </c>
      <c r="E1439" s="35" t="s">
        <v>25</v>
      </c>
      <c r="F1439" s="35" t="s">
        <v>25</v>
      </c>
      <c r="G1439" s="35" t="s">
        <v>25</v>
      </c>
      <c r="H1439" s="35" t="s">
        <v>37</v>
      </c>
      <c r="I1439" s="45">
        <v>44593</v>
      </c>
      <c r="J1439" s="46">
        <f>EFEITO!$J$1439*EFEITO!$Y$1439/(1-CUSTOS!$M$38)</f>
        <v>0</v>
      </c>
      <c r="K1439" s="46">
        <f ca="1">EFEITO!$L$1439*EFEITO!$Z$1439/(1-CUSTOS!$M$38)</f>
        <v>2021.0423441689909</v>
      </c>
      <c r="L1439" s="46">
        <f>EFEITO!$N$1439*EFEITO!$AA$1439/(1-CUSTOS!$M$38)</f>
        <v>1204.9567075058253</v>
      </c>
      <c r="M1439" s="46">
        <f>$J$1439-EFEITO!$K$1439*EFEITO!$Y$1439</f>
        <v>0</v>
      </c>
      <c r="N1439" s="46">
        <f ca="1">$K$1439-EFEITO!$M$1439*EFEITO!$Z$1439</f>
        <v>121.2625406501395</v>
      </c>
      <c r="O1439" s="46">
        <f>$L$1439-EFEITO!$O$1439*EFEITO!$AA$1439</f>
        <v>72.297402450349637</v>
      </c>
      <c r="P1439" s="38"/>
      <c r="Q1439" s="38"/>
      <c r="R1439" s="38"/>
      <c r="S1439" s="38"/>
      <c r="T1439" s="38"/>
      <c r="U1439" s="38"/>
      <c r="V1439" s="38"/>
      <c r="W1439" s="38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</row>
    <row r="1440" spans="1:36" ht="11.25" customHeight="1" x14ac:dyDescent="0.2">
      <c r="A1440" s="35" t="s">
        <v>28</v>
      </c>
      <c r="B1440" s="35" t="s">
        <v>46</v>
      </c>
      <c r="C1440" s="35" t="s">
        <v>35</v>
      </c>
      <c r="D1440" s="35" t="s">
        <v>47</v>
      </c>
      <c r="E1440" s="35" t="s">
        <v>25</v>
      </c>
      <c r="F1440" s="35" t="s">
        <v>25</v>
      </c>
      <c r="G1440" s="35" t="s">
        <v>25</v>
      </c>
      <c r="H1440" s="35" t="s">
        <v>37</v>
      </c>
      <c r="I1440" s="45">
        <v>44593</v>
      </c>
      <c r="J1440" s="46">
        <f>EFEITO!$J$1440*EFEITO!$Y$1440/(1-CUSTOS!$M$38)</f>
        <v>0</v>
      </c>
      <c r="K1440" s="46">
        <f ca="1">EFEITO!$L$1440*EFEITO!$Z$1440/(1-CUSTOS!$M$38)</f>
        <v>91.698835942331726</v>
      </c>
      <c r="L1440" s="46">
        <f>EFEITO!$N$1440*EFEITO!$AA$1440/(1-CUSTOS!$M$38)</f>
        <v>54.6713569648741</v>
      </c>
      <c r="M1440" s="46">
        <f>$J$1440-EFEITO!$K$1440*EFEITO!$Y$1440</f>
        <v>0</v>
      </c>
      <c r="N1440" s="46">
        <f ca="1">$K$1440-EFEITO!$M$1440*EFEITO!$Z$1440</f>
        <v>5.5019301565399132</v>
      </c>
      <c r="O1440" s="46">
        <f>$L$1440-EFEITO!$O$1440*EFEITO!$AA$1440</f>
        <v>3.2802814178924464</v>
      </c>
      <c r="P1440" s="38"/>
      <c r="Q1440" s="38"/>
      <c r="R1440" s="38"/>
      <c r="S1440" s="38"/>
      <c r="T1440" s="38"/>
      <c r="U1440" s="38"/>
      <c r="V1440" s="38"/>
      <c r="W1440" s="38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</row>
    <row r="1441" spans="1:36" ht="11.25" customHeight="1" x14ac:dyDescent="0.2">
      <c r="A1441" s="35" t="s">
        <v>21</v>
      </c>
      <c r="B1441" s="35" t="s">
        <v>46</v>
      </c>
      <c r="C1441" s="35" t="s">
        <v>35</v>
      </c>
      <c r="D1441" s="35" t="s">
        <v>47</v>
      </c>
      <c r="E1441" s="35" t="s">
        <v>25</v>
      </c>
      <c r="F1441" s="35" t="s">
        <v>25</v>
      </c>
      <c r="G1441" s="35" t="s">
        <v>25</v>
      </c>
      <c r="H1441" s="35" t="s">
        <v>37</v>
      </c>
      <c r="I1441" s="45">
        <v>44621</v>
      </c>
      <c r="J1441" s="46">
        <f>EFEITO!$J$1441*EFEITO!$Y$1441/(1-CUSTOS!$M$38)</f>
        <v>0</v>
      </c>
      <c r="K1441" s="46">
        <f ca="1">EFEITO!$L$1441*EFEITO!$Z$1441/(1-CUSTOS!$M$38)</f>
        <v>2026.5442743255312</v>
      </c>
      <c r="L1441" s="46">
        <f>EFEITO!$N$1441*EFEITO!$AA$1441/(1-CUSTOS!$M$38)</f>
        <v>1208.2369889237177</v>
      </c>
      <c r="M1441" s="46">
        <f>$J$1441-EFEITO!$K$1441*EFEITO!$Y$1441</f>
        <v>0</v>
      </c>
      <c r="N1441" s="46">
        <f ca="1">$K$1441-EFEITO!$M$1441*EFEITO!$Z$1441</f>
        <v>121.59265645953201</v>
      </c>
      <c r="O1441" s="46">
        <f>$L$1441-EFEITO!$O$1441*EFEITO!$AA$1441</f>
        <v>72.494219335423168</v>
      </c>
      <c r="P1441" s="38"/>
      <c r="Q1441" s="38"/>
      <c r="R1441" s="38"/>
      <c r="S1441" s="38"/>
      <c r="T1441" s="38"/>
      <c r="U1441" s="38"/>
      <c r="V1441" s="38"/>
      <c r="W1441" s="38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</row>
    <row r="1442" spans="1:36" ht="11.25" customHeight="1" x14ac:dyDescent="0.2">
      <c r="A1442" s="35" t="s">
        <v>21</v>
      </c>
      <c r="B1442" s="35" t="s">
        <v>46</v>
      </c>
      <c r="C1442" s="35" t="s">
        <v>35</v>
      </c>
      <c r="D1442" s="35" t="s">
        <v>47</v>
      </c>
      <c r="E1442" s="35" t="s">
        <v>25</v>
      </c>
      <c r="F1442" s="35" t="s">
        <v>25</v>
      </c>
      <c r="G1442" s="35" t="s">
        <v>25</v>
      </c>
      <c r="H1442" s="35" t="s">
        <v>37</v>
      </c>
      <c r="I1442" s="45">
        <v>44652</v>
      </c>
      <c r="J1442" s="46">
        <f>EFEITO!$J$1442*EFEITO!$Y$1442/(1-CUSTOS!$M$38)</f>
        <v>0</v>
      </c>
      <c r="K1442" s="46">
        <f ca="1">EFEITO!$L$1442*EFEITO!$Z$1442/(1-CUSTOS!$M$38)</f>
        <v>1763.918808186693</v>
      </c>
      <c r="L1442" s="46">
        <f>EFEITO!$N$1442*EFEITO!$AA$1442/(1-CUSTOS!$M$38)</f>
        <v>1051.6582225763182</v>
      </c>
      <c r="M1442" s="46">
        <f>$J$1442-EFEITO!$K$1442*EFEITO!$Y$1442</f>
        <v>0</v>
      </c>
      <c r="N1442" s="46">
        <f ca="1">$K$1442-EFEITO!$M$1442*EFEITO!$Z$1442</f>
        <v>105.83512849120166</v>
      </c>
      <c r="O1442" s="46">
        <f>$L$1442-EFEITO!$O$1442*EFEITO!$AA$1442</f>
        <v>63.099493354579067</v>
      </c>
      <c r="P1442" s="38"/>
      <c r="Q1442" s="38"/>
      <c r="R1442" s="38"/>
      <c r="S1442" s="38"/>
      <c r="T1442" s="38"/>
      <c r="U1442" s="38"/>
      <c r="V1442" s="38"/>
      <c r="W1442" s="38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</row>
    <row r="1443" spans="1:36" ht="11.25" customHeight="1" x14ac:dyDescent="0.2">
      <c r="A1443" s="35" t="s">
        <v>21</v>
      </c>
      <c r="B1443" s="35" t="s">
        <v>46</v>
      </c>
      <c r="C1443" s="35" t="s">
        <v>35</v>
      </c>
      <c r="D1443" s="35" t="s">
        <v>47</v>
      </c>
      <c r="E1443" s="35" t="s">
        <v>25</v>
      </c>
      <c r="F1443" s="35" t="s">
        <v>25</v>
      </c>
      <c r="G1443" s="35" t="s">
        <v>25</v>
      </c>
      <c r="H1443" s="35" t="s">
        <v>37</v>
      </c>
      <c r="I1443" s="45">
        <v>44682</v>
      </c>
      <c r="J1443" s="46">
        <f>EFEITO!$J$1443*EFEITO!$Y$1443/(1-CUSTOS!$M$38)</f>
        <v>0</v>
      </c>
      <c r="K1443" s="46">
        <f ca="1">EFEITO!$L$1443*EFEITO!$Z$1443/(1-CUSTOS!$M$38)</f>
        <v>2339.7874979045359</v>
      </c>
      <c r="L1443" s="46">
        <f>EFEITO!$N$1443*EFEITO!$AA$1443/(1-CUSTOS!$M$38)</f>
        <v>1394.9943443157274</v>
      </c>
      <c r="M1443" s="46">
        <f>$J$1443-EFEITO!$K$1443*EFEITO!$Y$1443</f>
        <v>0</v>
      </c>
      <c r="N1443" s="46">
        <f ca="1">$K$1443-EFEITO!$M$1443*EFEITO!$Z$1443</f>
        <v>140.38724987427213</v>
      </c>
      <c r="O1443" s="46">
        <f>$L$1443-EFEITO!$O$1443*EFEITO!$AA$1443</f>
        <v>83.699660658943685</v>
      </c>
      <c r="P1443" s="38"/>
      <c r="Q1443" s="38"/>
      <c r="R1443" s="38"/>
      <c r="S1443" s="38"/>
      <c r="T1443" s="38"/>
      <c r="U1443" s="38"/>
      <c r="V1443" s="38"/>
      <c r="W1443" s="38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</row>
    <row r="1444" spans="1:36" ht="11.25" customHeight="1" x14ac:dyDescent="0.2">
      <c r="A1444" s="35" t="s">
        <v>21</v>
      </c>
      <c r="B1444" s="35" t="s">
        <v>46</v>
      </c>
      <c r="C1444" s="35" t="s">
        <v>35</v>
      </c>
      <c r="D1444" s="35" t="s">
        <v>47</v>
      </c>
      <c r="E1444" s="35" t="s">
        <v>25</v>
      </c>
      <c r="F1444" s="35" t="s">
        <v>25</v>
      </c>
      <c r="G1444" s="35" t="s">
        <v>25</v>
      </c>
      <c r="H1444" s="35" t="s">
        <v>37</v>
      </c>
      <c r="I1444" s="45">
        <v>44713</v>
      </c>
      <c r="J1444" s="46">
        <f>EFEITO!$J$1444*EFEITO!$Y$1444/(1-CUSTOS!$M$38)</f>
        <v>0</v>
      </c>
      <c r="K1444" s="46">
        <f ca="1">EFEITO!$L$1444*EFEITO!$Z$1444/(1-CUSTOS!$M$38)</f>
        <v>2078.9960084845447</v>
      </c>
      <c r="L1444" s="46">
        <f>EFEITO!$N$1444*EFEITO!$AA$1444/(1-CUSTOS!$M$38)</f>
        <v>1239.5090051076256</v>
      </c>
      <c r="M1444" s="46">
        <f>$J$1444-EFEITO!$K$1444*EFEITO!$Y$1444</f>
        <v>0</v>
      </c>
      <c r="N1444" s="46">
        <f ca="1">$K$1444-EFEITO!$M$1444*EFEITO!$Z$1444</f>
        <v>124.73976050907277</v>
      </c>
      <c r="O1444" s="46">
        <f>$L$1444-EFEITO!$O$1444*EFEITO!$AA$1444</f>
        <v>74.370540306457542</v>
      </c>
      <c r="P1444" s="38"/>
      <c r="Q1444" s="38"/>
      <c r="R1444" s="38"/>
      <c r="S1444" s="38"/>
      <c r="T1444" s="38"/>
      <c r="U1444" s="38"/>
      <c r="V1444" s="38"/>
      <c r="W1444" s="38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</row>
    <row r="1445" spans="1:36" ht="11.25" customHeight="1" x14ac:dyDescent="0.2">
      <c r="A1445" s="35" t="s">
        <v>21</v>
      </c>
      <c r="B1445" s="35" t="s">
        <v>46</v>
      </c>
      <c r="C1445" s="35" t="s">
        <v>35</v>
      </c>
      <c r="D1445" s="35" t="s">
        <v>47</v>
      </c>
      <c r="E1445" s="35" t="s">
        <v>25</v>
      </c>
      <c r="F1445" s="35" t="s">
        <v>25</v>
      </c>
      <c r="G1445" s="35" t="s">
        <v>25</v>
      </c>
      <c r="H1445" s="35" t="s">
        <v>37</v>
      </c>
      <c r="I1445" s="45">
        <v>44743</v>
      </c>
      <c r="J1445" s="46">
        <f>EFEITO!$J$1445*EFEITO!$Y$1445/(1-CUSTOS!$M$38)</f>
        <v>0</v>
      </c>
      <c r="K1445" s="46">
        <f ca="1">EFEITO!$L$1445*EFEITO!$Z$1445/(1-CUSTOS!$M$38)</f>
        <v>2118.9767009554016</v>
      </c>
      <c r="L1445" s="46">
        <f>EFEITO!$N$1445*EFEITO!$AA$1445/(1-CUSTOS!$M$38)</f>
        <v>1263.3457167443107</v>
      </c>
      <c r="M1445" s="46">
        <f>$J$1445-EFEITO!$K$1445*EFEITO!$Y$1445</f>
        <v>0</v>
      </c>
      <c r="N1445" s="46">
        <f ca="1">$K$1445-EFEITO!$M$1445*EFEITO!$Z$1445</f>
        <v>127.13860205732431</v>
      </c>
      <c r="O1445" s="46">
        <f>$L$1445-EFEITO!$O$1445*EFEITO!$AA$1445</f>
        <v>75.800743004658671</v>
      </c>
      <c r="P1445" s="38"/>
      <c r="Q1445" s="38"/>
      <c r="R1445" s="38"/>
      <c r="S1445" s="38"/>
      <c r="T1445" s="38"/>
      <c r="U1445" s="38"/>
      <c r="V1445" s="38"/>
      <c r="W1445" s="38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</row>
    <row r="1446" spans="1:36" ht="11.25" customHeight="1" x14ac:dyDescent="0.2">
      <c r="A1446" s="35" t="s">
        <v>21</v>
      </c>
      <c r="B1446" s="35" t="s">
        <v>46</v>
      </c>
      <c r="C1446" s="35" t="s">
        <v>35</v>
      </c>
      <c r="D1446" s="35" t="s">
        <v>47</v>
      </c>
      <c r="E1446" s="35" t="s">
        <v>25</v>
      </c>
      <c r="F1446" s="35" t="s">
        <v>25</v>
      </c>
      <c r="G1446" s="35" t="s">
        <v>25</v>
      </c>
      <c r="H1446" s="35" t="s">
        <v>37</v>
      </c>
      <c r="I1446" s="45">
        <v>44774</v>
      </c>
      <c r="J1446" s="46">
        <f>EFEITO!$J$1446*EFEITO!$Y$1446/(1-CUSTOS!$M$38)</f>
        <v>0</v>
      </c>
      <c r="K1446" s="46">
        <f ca="1">EFEITO!$L$1446*EFEITO!$Z$1446/(1-CUSTOS!$M$38)</f>
        <v>2842.6639142122835</v>
      </c>
      <c r="L1446" s="46">
        <f>EFEITO!$N$1446*EFEITO!$AA$1446/(1-CUSTOS!$M$38)</f>
        <v>1694.8120659110971</v>
      </c>
      <c r="M1446" s="46">
        <f>$J$1446-EFEITO!$K$1446*EFEITO!$Y$1446</f>
        <v>0</v>
      </c>
      <c r="N1446" s="46">
        <f ca="1">$K$1446-EFEITO!$M$1446*EFEITO!$Z$1446</f>
        <v>170.55983485273737</v>
      </c>
      <c r="O1446" s="46">
        <f>$L$1446-EFEITO!$O$1446*EFEITO!$AA$1446</f>
        <v>101.68872395466587</v>
      </c>
      <c r="P1446" s="38"/>
      <c r="Q1446" s="38"/>
      <c r="R1446" s="38"/>
      <c r="S1446" s="38"/>
      <c r="T1446" s="38"/>
      <c r="U1446" s="38"/>
      <c r="V1446" s="38"/>
      <c r="W1446" s="38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</row>
    <row r="1447" spans="1:36" ht="11.25" customHeight="1" x14ac:dyDescent="0.2">
      <c r="A1447" s="35" t="s">
        <v>21</v>
      </c>
      <c r="B1447" s="35" t="s">
        <v>46</v>
      </c>
      <c r="C1447" s="35" t="s">
        <v>35</v>
      </c>
      <c r="D1447" s="35" t="s">
        <v>47</v>
      </c>
      <c r="E1447" s="35" t="s">
        <v>25</v>
      </c>
      <c r="F1447" s="35" t="s">
        <v>25</v>
      </c>
      <c r="G1447" s="35" t="s">
        <v>25</v>
      </c>
      <c r="H1447" s="35" t="s">
        <v>37</v>
      </c>
      <c r="I1447" s="45">
        <v>44805</v>
      </c>
      <c r="J1447" s="46">
        <f>EFEITO!$J$1447*EFEITO!$Y$1447/(1-CUSTOS!$M$38)</f>
        <v>0</v>
      </c>
      <c r="K1447" s="46">
        <f ca="1">EFEITO!$L$1447*EFEITO!$Z$1447/(1-CUSTOS!$M$38)</f>
        <v>2228.2817133986609</v>
      </c>
      <c r="L1447" s="46">
        <f>EFEITO!$N$1447*EFEITO!$AA$1447/(1-CUSTOS!$M$38)</f>
        <v>1328.5139742464407</v>
      </c>
      <c r="M1447" s="46">
        <f>$J$1447-EFEITO!$K$1447*EFEITO!$Y$1447</f>
        <v>0</v>
      </c>
      <c r="N1447" s="46">
        <f ca="1">$K$1447-EFEITO!$M$1447*EFEITO!$Z$1447</f>
        <v>133.69690280391978</v>
      </c>
      <c r="O1447" s="46">
        <f>$L$1447-EFEITO!$O$1447*EFEITO!$AA$1447</f>
        <v>79.710838454786426</v>
      </c>
      <c r="P1447" s="38"/>
      <c r="Q1447" s="38"/>
      <c r="R1447" s="38"/>
      <c r="S1447" s="38"/>
      <c r="T1447" s="38"/>
      <c r="U1447" s="38"/>
      <c r="V1447" s="38"/>
      <c r="W1447" s="38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</row>
    <row r="1448" spans="1:36" ht="11.25" customHeight="1" x14ac:dyDescent="0.2">
      <c r="A1448" s="35" t="s">
        <v>21</v>
      </c>
      <c r="B1448" s="35" t="s">
        <v>46</v>
      </c>
      <c r="C1448" s="35" t="s">
        <v>35</v>
      </c>
      <c r="D1448" s="35" t="s">
        <v>47</v>
      </c>
      <c r="E1448" s="35" t="s">
        <v>25</v>
      </c>
      <c r="F1448" s="35" t="s">
        <v>25</v>
      </c>
      <c r="G1448" s="35" t="s">
        <v>25</v>
      </c>
      <c r="H1448" s="35" t="s">
        <v>37</v>
      </c>
      <c r="I1448" s="45">
        <v>44835</v>
      </c>
      <c r="J1448" s="46">
        <f>EFEITO!$J$1448*EFEITO!$Y$1448/(1-CUSTOS!$M$38)</f>
        <v>0</v>
      </c>
      <c r="K1448" s="46">
        <f ca="1">EFEITO!$L$1448*EFEITO!$Z$1448/(1-CUSTOS!$M$38)</f>
        <v>2403.9766830641684</v>
      </c>
      <c r="L1448" s="46">
        <f>EFEITO!$N$1448*EFEITO!$AA$1448/(1-CUSTOS!$M$38)</f>
        <v>1433.2642941911395</v>
      </c>
      <c r="M1448" s="46">
        <f>$J$1448-EFEITO!$K$1448*EFEITO!$Y$1448</f>
        <v>0</v>
      </c>
      <c r="N1448" s="46">
        <f ca="1">$K$1448-EFEITO!$M$1448*EFEITO!$Z$1448</f>
        <v>144.23860098385012</v>
      </c>
      <c r="O1448" s="46">
        <f>$L$1448-EFEITO!$O$1448*EFEITO!$AA$1448</f>
        <v>85.995857651468441</v>
      </c>
      <c r="P1448" s="38"/>
      <c r="Q1448" s="38"/>
      <c r="R1448" s="38"/>
      <c r="S1448" s="38"/>
      <c r="T1448" s="38"/>
      <c r="U1448" s="38"/>
      <c r="V1448" s="38"/>
      <c r="W1448" s="38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</row>
    <row r="1449" spans="1:36" ht="11.25" customHeight="1" x14ac:dyDescent="0.2">
      <c r="A1449" s="35" t="s">
        <v>59</v>
      </c>
      <c r="B1449" s="35" t="s">
        <v>46</v>
      </c>
      <c r="C1449" s="35" t="s">
        <v>35</v>
      </c>
      <c r="D1449" s="35" t="s">
        <v>47</v>
      </c>
      <c r="E1449" s="35" t="s">
        <v>25</v>
      </c>
      <c r="F1449" s="35" t="s">
        <v>25</v>
      </c>
      <c r="G1449" s="35" t="s">
        <v>25</v>
      </c>
      <c r="H1449" s="35" t="s">
        <v>37</v>
      </c>
      <c r="I1449" s="45">
        <v>44866</v>
      </c>
      <c r="J1449" s="46">
        <f>EFEITO!$J$1449*EFEITO!$Y$1449/(1-CUSTOS!$M$38)</f>
        <v>0</v>
      </c>
      <c r="K1449" s="46">
        <f ca="1">EFEITO!$L$1449*EFEITO!$Z$1449/(1-CUSTOS!$M$38)</f>
        <v>2403.9766830641684</v>
      </c>
      <c r="L1449" s="46">
        <f>EFEITO!$N$1449*EFEITO!$AA$1449/(1-CUSTOS!$M$38)</f>
        <v>1433.2642941911395</v>
      </c>
      <c r="M1449" s="46">
        <f>$J$1449-EFEITO!$K$1449*EFEITO!$Y$1449</f>
        <v>0</v>
      </c>
      <c r="N1449" s="46">
        <f ca="1">$K$1449-EFEITO!$M$1449*EFEITO!$Z$1449</f>
        <v>144.23860098385012</v>
      </c>
      <c r="O1449" s="46">
        <f>$L$1449-EFEITO!$O$1449*EFEITO!$AA$1449</f>
        <v>85.995857651468441</v>
      </c>
      <c r="P1449" s="38"/>
      <c r="Q1449" s="38"/>
      <c r="R1449" s="38"/>
      <c r="S1449" s="38"/>
      <c r="T1449" s="38"/>
      <c r="U1449" s="38"/>
      <c r="V1449" s="38"/>
      <c r="W1449" s="38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</row>
    <row r="1450" spans="1:36" ht="11.25" customHeight="1" x14ac:dyDescent="0.2">
      <c r="A1450" s="35" t="s">
        <v>21</v>
      </c>
      <c r="B1450" s="35" t="s">
        <v>46</v>
      </c>
      <c r="C1450" s="35" t="s">
        <v>35</v>
      </c>
      <c r="D1450" s="35" t="s">
        <v>47</v>
      </c>
      <c r="E1450" s="35" t="s">
        <v>25</v>
      </c>
      <c r="F1450" s="35" t="s">
        <v>25</v>
      </c>
      <c r="G1450" s="35" t="s">
        <v>25</v>
      </c>
      <c r="H1450" s="35" t="s">
        <v>38</v>
      </c>
      <c r="I1450" s="45">
        <v>44531</v>
      </c>
      <c r="J1450" s="46">
        <f>EFEITO!$J$1450*EFEITO!$Y$1450/(1-CUSTOS!$M$38)</f>
        <v>0</v>
      </c>
      <c r="K1450" s="46">
        <f ca="1">EFEITO!$L$1450*EFEITO!$Z$1450/(1-CUSTOS!$M$38)</f>
        <v>29.245903061681883</v>
      </c>
      <c r="L1450" s="46">
        <f>EFEITO!$N$1450*EFEITO!$AA$1450/(1-CUSTOS!$M$38)</f>
        <v>8.0913608308013671</v>
      </c>
      <c r="M1450" s="46">
        <f>$J$1450-EFEITO!$K$1450*EFEITO!$Y$1450</f>
        <v>0</v>
      </c>
      <c r="N1450" s="46">
        <f ca="1">$K$1450-EFEITO!$M$1450*EFEITO!$Z$1450</f>
        <v>1.7547541837009142</v>
      </c>
      <c r="O1450" s="46">
        <f>$L$1450-EFEITO!$O$1450*EFEITO!$AA$1450</f>
        <v>0.48548164984808295</v>
      </c>
      <c r="P1450" s="38"/>
      <c r="Q1450" s="38"/>
      <c r="R1450" s="38"/>
      <c r="S1450" s="38"/>
      <c r="T1450" s="38"/>
      <c r="U1450" s="38"/>
      <c r="V1450" s="38"/>
      <c r="W1450" s="38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</row>
    <row r="1451" spans="1:36" ht="11.25" customHeight="1" x14ac:dyDescent="0.2">
      <c r="A1451" s="35" t="s">
        <v>28</v>
      </c>
      <c r="B1451" s="35" t="s">
        <v>46</v>
      </c>
      <c r="C1451" s="35" t="s">
        <v>35</v>
      </c>
      <c r="D1451" s="35" t="s">
        <v>47</v>
      </c>
      <c r="E1451" s="35" t="s">
        <v>25</v>
      </c>
      <c r="F1451" s="35" t="s">
        <v>25</v>
      </c>
      <c r="G1451" s="35" t="s">
        <v>25</v>
      </c>
      <c r="H1451" s="35" t="s">
        <v>38</v>
      </c>
      <c r="I1451" s="45">
        <v>44531</v>
      </c>
      <c r="J1451" s="46">
        <f>EFEITO!$J$1451*EFEITO!$Y$1451/(1-CUSTOS!$M$38)</f>
        <v>0</v>
      </c>
      <c r="K1451" s="46">
        <f ca="1">EFEITO!$L$1451*EFEITO!$Z$1451/(1-CUSTOS!$M$38)</f>
        <v>0.7904298124778889</v>
      </c>
      <c r="L1451" s="46">
        <f>EFEITO!$N$1451*EFEITO!$AA$1451/(1-CUSTOS!$M$38)</f>
        <v>0.21868542785949641</v>
      </c>
      <c r="M1451" s="46">
        <f>$J$1451-EFEITO!$K$1451*EFEITO!$Y$1451</f>
        <v>0</v>
      </c>
      <c r="N1451" s="46">
        <f ca="1">$K$1451-EFEITO!$M$1451*EFEITO!$Z$1451</f>
        <v>4.7425788748673425E-2</v>
      </c>
      <c r="O1451" s="46">
        <f>$L$1451-EFEITO!$O$1451*EFEITO!$AA$1451</f>
        <v>1.3121125671569783E-2</v>
      </c>
      <c r="P1451" s="38"/>
      <c r="Q1451" s="38"/>
      <c r="R1451" s="38"/>
      <c r="S1451" s="38"/>
      <c r="T1451" s="38"/>
      <c r="U1451" s="38"/>
      <c r="V1451" s="38"/>
      <c r="W1451" s="38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</row>
    <row r="1452" spans="1:36" ht="11.25" customHeight="1" x14ac:dyDescent="0.2">
      <c r="A1452" s="35" t="s">
        <v>21</v>
      </c>
      <c r="B1452" s="35" t="s">
        <v>46</v>
      </c>
      <c r="C1452" s="35" t="s">
        <v>35</v>
      </c>
      <c r="D1452" s="35" t="s">
        <v>47</v>
      </c>
      <c r="E1452" s="35" t="s">
        <v>25</v>
      </c>
      <c r="F1452" s="35" t="s">
        <v>25</v>
      </c>
      <c r="G1452" s="35" t="s">
        <v>25</v>
      </c>
      <c r="H1452" s="35" t="s">
        <v>38</v>
      </c>
      <c r="I1452" s="45">
        <v>44562</v>
      </c>
      <c r="J1452" s="46">
        <f>EFEITO!$J$1452*EFEITO!$Y$1452/(1-CUSTOS!$M$38)</f>
        <v>0</v>
      </c>
      <c r="K1452" s="46">
        <f ca="1">EFEITO!$L$1452*EFEITO!$Z$1452/(1-CUSTOS!$M$38)</f>
        <v>43.473639686283889</v>
      </c>
      <c r="L1452" s="46">
        <f>EFEITO!$N$1452*EFEITO!$AA$1452/(1-CUSTOS!$M$38)</f>
        <v>12.027698532272304</v>
      </c>
      <c r="M1452" s="46">
        <f>$J$1452-EFEITO!$K$1452*EFEITO!$Y$1452</f>
        <v>0</v>
      </c>
      <c r="N1452" s="46">
        <f ca="1">$K$1452-EFEITO!$M$1452*EFEITO!$Z$1452</f>
        <v>2.6084183811770387</v>
      </c>
      <c r="O1452" s="46">
        <f>$L$1452-EFEITO!$O$1452*EFEITO!$AA$1452</f>
        <v>0.721661911936339</v>
      </c>
      <c r="P1452" s="38"/>
      <c r="Q1452" s="38"/>
      <c r="R1452" s="38"/>
      <c r="S1452" s="38"/>
      <c r="T1452" s="38"/>
      <c r="U1452" s="38"/>
      <c r="V1452" s="38"/>
      <c r="W1452" s="38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</row>
    <row r="1453" spans="1:36" ht="11.25" customHeight="1" x14ac:dyDescent="0.2">
      <c r="A1453" s="35" t="s">
        <v>28</v>
      </c>
      <c r="B1453" s="35" t="s">
        <v>46</v>
      </c>
      <c r="C1453" s="35" t="s">
        <v>35</v>
      </c>
      <c r="D1453" s="35" t="s">
        <v>47</v>
      </c>
      <c r="E1453" s="35" t="s">
        <v>25</v>
      </c>
      <c r="F1453" s="35" t="s">
        <v>25</v>
      </c>
      <c r="G1453" s="35" t="s">
        <v>25</v>
      </c>
      <c r="H1453" s="35" t="s">
        <v>38</v>
      </c>
      <c r="I1453" s="45">
        <v>44562</v>
      </c>
      <c r="J1453" s="46">
        <f>EFEITO!$J$1453*EFEITO!$Y$1453/(1-CUSTOS!$M$38)</f>
        <v>0</v>
      </c>
      <c r="K1453" s="46">
        <f ca="1">EFEITO!$L$1453*EFEITO!$Z$1453/(1-CUSTOS!$M$38)</f>
        <v>7.9042981247788875</v>
      </c>
      <c r="L1453" s="46">
        <f>EFEITO!$N$1453*EFEITO!$AA$1453/(1-CUSTOS!$M$38)</f>
        <v>2.1868542785949643</v>
      </c>
      <c r="M1453" s="46">
        <f>$J$1453-EFEITO!$K$1453*EFEITO!$Y$1453</f>
        <v>0</v>
      </c>
      <c r="N1453" s="46">
        <f ca="1">$K$1453-EFEITO!$M$1453*EFEITO!$Z$1453</f>
        <v>0.47425788748673359</v>
      </c>
      <c r="O1453" s="46">
        <f>$L$1453-EFEITO!$O$1453*EFEITO!$AA$1453</f>
        <v>0.131211256715698</v>
      </c>
      <c r="P1453" s="38"/>
      <c r="Q1453" s="38"/>
      <c r="R1453" s="38"/>
      <c r="S1453" s="38"/>
      <c r="T1453" s="38"/>
      <c r="U1453" s="38"/>
      <c r="V1453" s="38"/>
      <c r="W1453" s="38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</row>
    <row r="1454" spans="1:36" ht="11.25" customHeight="1" x14ac:dyDescent="0.2">
      <c r="A1454" s="35" t="s">
        <v>21</v>
      </c>
      <c r="B1454" s="35" t="s">
        <v>46</v>
      </c>
      <c r="C1454" s="35" t="s">
        <v>35</v>
      </c>
      <c r="D1454" s="35" t="s">
        <v>47</v>
      </c>
      <c r="E1454" s="35" t="s">
        <v>25</v>
      </c>
      <c r="F1454" s="35" t="s">
        <v>25</v>
      </c>
      <c r="G1454" s="35" t="s">
        <v>25</v>
      </c>
      <c r="H1454" s="35" t="s">
        <v>38</v>
      </c>
      <c r="I1454" s="45">
        <v>44593</v>
      </c>
      <c r="J1454" s="46">
        <f>EFEITO!$J$1454*EFEITO!$Y$1454/(1-CUSTOS!$M$38)</f>
        <v>0</v>
      </c>
      <c r="K1454" s="46">
        <f ca="1">EFEITO!$L$1454*EFEITO!$Z$1454/(1-CUSTOS!$M$38)</f>
        <v>27.665043436726112</v>
      </c>
      <c r="L1454" s="46">
        <f>EFEITO!$N$1454*EFEITO!$AA$1454/(1-CUSTOS!$M$38)</f>
        <v>7.653989975082375</v>
      </c>
      <c r="M1454" s="46">
        <f>$J$1454-EFEITO!$K$1454*EFEITO!$Y$1454</f>
        <v>0</v>
      </c>
      <c r="N1454" s="46">
        <f ca="1">$K$1454-EFEITO!$M$1454*EFEITO!$Z$1454</f>
        <v>1.6599026062035698</v>
      </c>
      <c r="O1454" s="46">
        <f>$L$1454-EFEITO!$O$1454*EFEITO!$AA$1454</f>
        <v>0.459239398504943</v>
      </c>
      <c r="P1454" s="38"/>
      <c r="Q1454" s="38"/>
      <c r="R1454" s="38"/>
      <c r="S1454" s="38"/>
      <c r="T1454" s="38"/>
      <c r="U1454" s="38"/>
      <c r="V1454" s="38"/>
      <c r="W1454" s="38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</row>
    <row r="1455" spans="1:36" ht="11.25" customHeight="1" x14ac:dyDescent="0.2">
      <c r="A1455" s="35" t="s">
        <v>28</v>
      </c>
      <c r="B1455" s="35" t="s">
        <v>46</v>
      </c>
      <c r="C1455" s="35" t="s">
        <v>35</v>
      </c>
      <c r="D1455" s="35" t="s">
        <v>47</v>
      </c>
      <c r="E1455" s="35" t="s">
        <v>25</v>
      </c>
      <c r="F1455" s="35" t="s">
        <v>25</v>
      </c>
      <c r="G1455" s="35" t="s">
        <v>25</v>
      </c>
      <c r="H1455" s="35" t="s">
        <v>38</v>
      </c>
      <c r="I1455" s="45">
        <v>44593</v>
      </c>
      <c r="J1455" s="46">
        <f>EFEITO!$J$1455*EFEITO!$Y$1455/(1-CUSTOS!$M$38)</f>
        <v>0</v>
      </c>
      <c r="K1455" s="46">
        <f ca="1">EFEITO!$L$1455*EFEITO!$Z$1455/(1-CUSTOS!$M$38)</f>
        <v>11.856447187168332</v>
      </c>
      <c r="L1455" s="46">
        <f>EFEITO!$N$1455*EFEITO!$AA$1455/(1-CUSTOS!$M$38)</f>
        <v>3.280281417892446</v>
      </c>
      <c r="M1455" s="46">
        <f>$J$1455-EFEITO!$K$1455*EFEITO!$Y$1455</f>
        <v>0</v>
      </c>
      <c r="N1455" s="46">
        <f ca="1">$K$1455-EFEITO!$M$1455*EFEITO!$Z$1455</f>
        <v>0.71138683123010082</v>
      </c>
      <c r="O1455" s="46">
        <f>$L$1455-EFEITO!$O$1455*EFEITO!$AA$1455</f>
        <v>0.196816885073547</v>
      </c>
      <c r="P1455" s="38"/>
      <c r="Q1455" s="38"/>
      <c r="R1455" s="38"/>
      <c r="S1455" s="38"/>
      <c r="T1455" s="38"/>
      <c r="U1455" s="38"/>
      <c r="V1455" s="38"/>
      <c r="W1455" s="38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</row>
    <row r="1456" spans="1:36" ht="11.25" customHeight="1" x14ac:dyDescent="0.2">
      <c r="A1456" s="35" t="s">
        <v>21</v>
      </c>
      <c r="B1456" s="35" t="s">
        <v>46</v>
      </c>
      <c r="C1456" s="35" t="s">
        <v>35</v>
      </c>
      <c r="D1456" s="35" t="s">
        <v>47</v>
      </c>
      <c r="E1456" s="35" t="s">
        <v>25</v>
      </c>
      <c r="F1456" s="35" t="s">
        <v>25</v>
      </c>
      <c r="G1456" s="35" t="s">
        <v>25</v>
      </c>
      <c r="H1456" s="35" t="s">
        <v>38</v>
      </c>
      <c r="I1456" s="45">
        <v>44621</v>
      </c>
      <c r="J1456" s="46">
        <f>EFEITO!$J$1456*EFEITO!$Y$1456/(1-CUSTOS!$M$38)</f>
        <v>0</v>
      </c>
      <c r="K1456" s="46">
        <f ca="1">EFEITO!$L$1456*EFEITO!$Z$1456/(1-CUSTOS!$M$38)</f>
        <v>29.245903061681883</v>
      </c>
      <c r="L1456" s="46">
        <f>EFEITO!$N$1456*EFEITO!$AA$1456/(1-CUSTOS!$M$38)</f>
        <v>8.0913608308013671</v>
      </c>
      <c r="M1456" s="46">
        <f>$J$1456-EFEITO!$K$1456*EFEITO!$Y$1456</f>
        <v>0</v>
      </c>
      <c r="N1456" s="46">
        <f ca="1">$K$1456-EFEITO!$M$1456*EFEITO!$Z$1456</f>
        <v>1.7547541837009142</v>
      </c>
      <c r="O1456" s="46">
        <f>$L$1456-EFEITO!$O$1456*EFEITO!$AA$1456</f>
        <v>0.48548164984808295</v>
      </c>
      <c r="P1456" s="38"/>
      <c r="Q1456" s="38"/>
      <c r="R1456" s="38"/>
      <c r="S1456" s="38"/>
      <c r="T1456" s="38"/>
      <c r="U1456" s="38"/>
      <c r="V1456" s="38"/>
      <c r="W1456" s="38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</row>
    <row r="1457" spans="1:36" ht="11.25" customHeight="1" x14ac:dyDescent="0.2">
      <c r="A1457" s="35" t="s">
        <v>21</v>
      </c>
      <c r="B1457" s="35" t="s">
        <v>46</v>
      </c>
      <c r="C1457" s="35" t="s">
        <v>35</v>
      </c>
      <c r="D1457" s="35" t="s">
        <v>47</v>
      </c>
      <c r="E1457" s="35" t="s">
        <v>25</v>
      </c>
      <c r="F1457" s="35" t="s">
        <v>25</v>
      </c>
      <c r="G1457" s="35" t="s">
        <v>25</v>
      </c>
      <c r="H1457" s="35" t="s">
        <v>38</v>
      </c>
      <c r="I1457" s="45">
        <v>44652</v>
      </c>
      <c r="J1457" s="46">
        <f>EFEITO!$J$1457*EFEITO!$Y$1457/(1-CUSTOS!$M$38)</f>
        <v>0</v>
      </c>
      <c r="K1457" s="46">
        <f ca="1">EFEITO!$L$1457*EFEITO!$Z$1457/(1-CUSTOS!$M$38)</f>
        <v>30.036332874159772</v>
      </c>
      <c r="L1457" s="46">
        <f>EFEITO!$N$1457*EFEITO!$AA$1457/(1-CUSTOS!$M$38)</f>
        <v>8.3100462586608632</v>
      </c>
      <c r="M1457" s="46">
        <f>$J$1457-EFEITO!$K$1457*EFEITO!$Y$1457</f>
        <v>0</v>
      </c>
      <c r="N1457" s="46">
        <f ca="1">$K$1457-EFEITO!$M$1457*EFEITO!$Z$1457</f>
        <v>1.8021799724495864</v>
      </c>
      <c r="O1457" s="46">
        <f>$L$1457-EFEITO!$O$1457*EFEITO!$AA$1457</f>
        <v>0.49860277551965204</v>
      </c>
      <c r="P1457" s="38"/>
      <c r="Q1457" s="38"/>
      <c r="R1457" s="38"/>
      <c r="S1457" s="38"/>
      <c r="T1457" s="38"/>
      <c r="U1457" s="38"/>
      <c r="V1457" s="38"/>
      <c r="W1457" s="38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</row>
    <row r="1458" spans="1:36" ht="11.25" customHeight="1" x14ac:dyDescent="0.2">
      <c r="A1458" s="35" t="s">
        <v>21</v>
      </c>
      <c r="B1458" s="35" t="s">
        <v>46</v>
      </c>
      <c r="C1458" s="35" t="s">
        <v>35</v>
      </c>
      <c r="D1458" s="35" t="s">
        <v>47</v>
      </c>
      <c r="E1458" s="35" t="s">
        <v>25</v>
      </c>
      <c r="F1458" s="35" t="s">
        <v>25</v>
      </c>
      <c r="G1458" s="35" t="s">
        <v>25</v>
      </c>
      <c r="H1458" s="35" t="s">
        <v>38</v>
      </c>
      <c r="I1458" s="45">
        <v>44682</v>
      </c>
      <c r="J1458" s="46">
        <f>EFEITO!$J$1458*EFEITO!$Y$1458/(1-CUSTOS!$M$38)</f>
        <v>0</v>
      </c>
      <c r="K1458" s="46">
        <f ca="1">EFEITO!$L$1458*EFEITO!$Z$1458/(1-CUSTOS!$M$38)</f>
        <v>24.503324186814552</v>
      </c>
      <c r="L1458" s="46">
        <f>EFEITO!$N$1458*EFEITO!$AA$1458/(1-CUSTOS!$M$38)</f>
        <v>6.7792482636443889</v>
      </c>
      <c r="M1458" s="46">
        <f>$J$1458-EFEITO!$K$1458*EFEITO!$Y$1458</f>
        <v>0</v>
      </c>
      <c r="N1458" s="46">
        <f ca="1">$K$1458-EFEITO!$M$1458*EFEITO!$Z$1458</f>
        <v>1.4701994512088739</v>
      </c>
      <c r="O1458" s="46">
        <f>$L$1458-EFEITO!$O$1458*EFEITO!$AA$1458</f>
        <v>0.40675489581866398</v>
      </c>
      <c r="P1458" s="38"/>
      <c r="Q1458" s="38"/>
      <c r="R1458" s="38"/>
      <c r="S1458" s="38"/>
      <c r="T1458" s="38"/>
      <c r="U1458" s="38"/>
      <c r="V1458" s="38"/>
      <c r="W1458" s="38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</row>
    <row r="1459" spans="1:36" ht="11.25" customHeight="1" x14ac:dyDescent="0.2">
      <c r="A1459" s="35" t="s">
        <v>21</v>
      </c>
      <c r="B1459" s="35" t="s">
        <v>46</v>
      </c>
      <c r="C1459" s="35" t="s">
        <v>35</v>
      </c>
      <c r="D1459" s="35" t="s">
        <v>47</v>
      </c>
      <c r="E1459" s="35" t="s">
        <v>25</v>
      </c>
      <c r="F1459" s="35" t="s">
        <v>25</v>
      </c>
      <c r="G1459" s="35" t="s">
        <v>25</v>
      </c>
      <c r="H1459" s="35" t="s">
        <v>38</v>
      </c>
      <c r="I1459" s="45">
        <v>44713</v>
      </c>
      <c r="J1459" s="46">
        <f>EFEITO!$J$1459*EFEITO!$Y$1459/(1-CUSTOS!$M$38)</f>
        <v>0</v>
      </c>
      <c r="K1459" s="46">
        <f ca="1">EFEITO!$L$1459*EFEITO!$Z$1459/(1-CUSTOS!$M$38)</f>
        <v>29.245903061681883</v>
      </c>
      <c r="L1459" s="46">
        <f>EFEITO!$N$1459*EFEITO!$AA$1459/(1-CUSTOS!$M$38)</f>
        <v>8.0913608308013671</v>
      </c>
      <c r="M1459" s="46">
        <f>$J$1459-EFEITO!$K$1459*EFEITO!$Y$1459</f>
        <v>0</v>
      </c>
      <c r="N1459" s="46">
        <f ca="1">$K$1459-EFEITO!$M$1459*EFEITO!$Z$1459</f>
        <v>1.7547541837009142</v>
      </c>
      <c r="O1459" s="46">
        <f>$L$1459-EFEITO!$O$1459*EFEITO!$AA$1459</f>
        <v>0.48548164984808295</v>
      </c>
      <c r="P1459" s="38"/>
      <c r="Q1459" s="38"/>
      <c r="R1459" s="38"/>
      <c r="S1459" s="38"/>
      <c r="T1459" s="38"/>
      <c r="U1459" s="38"/>
      <c r="V1459" s="38"/>
      <c r="W1459" s="38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</row>
    <row r="1460" spans="1:36" ht="11.25" customHeight="1" x14ac:dyDescent="0.2">
      <c r="A1460" s="35" t="s">
        <v>21</v>
      </c>
      <c r="B1460" s="35" t="s">
        <v>46</v>
      </c>
      <c r="C1460" s="35" t="s">
        <v>35</v>
      </c>
      <c r="D1460" s="35" t="s">
        <v>47</v>
      </c>
      <c r="E1460" s="35" t="s">
        <v>25</v>
      </c>
      <c r="F1460" s="35" t="s">
        <v>25</v>
      </c>
      <c r="G1460" s="35" t="s">
        <v>25</v>
      </c>
      <c r="H1460" s="35" t="s">
        <v>38</v>
      </c>
      <c r="I1460" s="45">
        <v>44743</v>
      </c>
      <c r="J1460" s="46">
        <f>EFEITO!$J$1460*EFEITO!$Y$1460/(1-CUSTOS!$M$38)</f>
        <v>0</v>
      </c>
      <c r="K1460" s="46">
        <f ca="1">EFEITO!$L$1460*EFEITO!$Z$1460/(1-CUSTOS!$M$38)</f>
        <v>41.102350248850222</v>
      </c>
      <c r="L1460" s="46">
        <f>EFEITO!$N$1460*EFEITO!$AA$1460/(1-CUSTOS!$M$38)</f>
        <v>11.371642248693814</v>
      </c>
      <c r="M1460" s="46">
        <f>$J$1460-EFEITO!$K$1460*EFEITO!$Y$1460</f>
        <v>0</v>
      </c>
      <c r="N1460" s="46">
        <f ca="1">$K$1460-EFEITO!$M$1460*EFEITO!$Z$1460</f>
        <v>2.4661410149310186</v>
      </c>
      <c r="O1460" s="46">
        <f>$L$1460-EFEITO!$O$1460*EFEITO!$AA$1460</f>
        <v>0.68229853492162995</v>
      </c>
      <c r="P1460" s="38"/>
      <c r="Q1460" s="38"/>
      <c r="R1460" s="38"/>
      <c r="S1460" s="38"/>
      <c r="T1460" s="38"/>
      <c r="U1460" s="38"/>
      <c r="V1460" s="38"/>
      <c r="W1460" s="38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</row>
    <row r="1461" spans="1:36" ht="11.25" customHeight="1" x14ac:dyDescent="0.2">
      <c r="A1461" s="35" t="s">
        <v>21</v>
      </c>
      <c r="B1461" s="35" t="s">
        <v>46</v>
      </c>
      <c r="C1461" s="35" t="s">
        <v>35</v>
      </c>
      <c r="D1461" s="35" t="s">
        <v>47</v>
      </c>
      <c r="E1461" s="35" t="s">
        <v>25</v>
      </c>
      <c r="F1461" s="35" t="s">
        <v>25</v>
      </c>
      <c r="G1461" s="35" t="s">
        <v>25</v>
      </c>
      <c r="H1461" s="35" t="s">
        <v>38</v>
      </c>
      <c r="I1461" s="45">
        <v>44774</v>
      </c>
      <c r="J1461" s="46">
        <f>EFEITO!$J$1461*EFEITO!$Y$1461/(1-CUSTOS!$M$38)</f>
        <v>0</v>
      </c>
      <c r="K1461" s="46">
        <f ca="1">EFEITO!$L$1461*EFEITO!$Z$1461/(1-CUSTOS!$M$38)</f>
        <v>43.473639686283889</v>
      </c>
      <c r="L1461" s="46">
        <f>EFEITO!$N$1461*EFEITO!$AA$1461/(1-CUSTOS!$M$38)</f>
        <v>12.027698532272304</v>
      </c>
      <c r="M1461" s="46">
        <f>$J$1461-EFEITO!$K$1461*EFEITO!$Y$1461</f>
        <v>0</v>
      </c>
      <c r="N1461" s="46">
        <f ca="1">$K$1461-EFEITO!$M$1461*EFEITO!$Z$1461</f>
        <v>2.6084183811770387</v>
      </c>
      <c r="O1461" s="46">
        <f>$L$1461-EFEITO!$O$1461*EFEITO!$AA$1461</f>
        <v>0.721661911936339</v>
      </c>
      <c r="P1461" s="38"/>
      <c r="Q1461" s="38"/>
      <c r="R1461" s="38"/>
      <c r="S1461" s="38"/>
      <c r="T1461" s="38"/>
      <c r="U1461" s="38"/>
      <c r="V1461" s="38"/>
      <c r="W1461" s="38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</row>
    <row r="1462" spans="1:36" ht="11.25" customHeight="1" x14ac:dyDescent="0.2">
      <c r="A1462" s="35" t="s">
        <v>21</v>
      </c>
      <c r="B1462" s="35" t="s">
        <v>46</v>
      </c>
      <c r="C1462" s="35" t="s">
        <v>35</v>
      </c>
      <c r="D1462" s="35" t="s">
        <v>47</v>
      </c>
      <c r="E1462" s="35" t="s">
        <v>25</v>
      </c>
      <c r="F1462" s="35" t="s">
        <v>25</v>
      </c>
      <c r="G1462" s="35" t="s">
        <v>25</v>
      </c>
      <c r="H1462" s="35" t="s">
        <v>38</v>
      </c>
      <c r="I1462" s="45">
        <v>44805</v>
      </c>
      <c r="J1462" s="46">
        <f>EFEITO!$J$1462*EFEITO!$Y$1462/(1-CUSTOS!$M$38)</f>
        <v>0</v>
      </c>
      <c r="K1462" s="46">
        <f ca="1">EFEITO!$L$1462*EFEITO!$Z$1462/(1-CUSTOS!$M$38)</f>
        <v>36.359771373982888</v>
      </c>
      <c r="L1462" s="46">
        <f>EFEITO!$N$1462*EFEITO!$AA$1462/(1-CUSTOS!$M$38)</f>
        <v>10.059529681536834</v>
      </c>
      <c r="M1462" s="46">
        <f>$J$1462-EFEITO!$K$1462*EFEITO!$Y$1462</f>
        <v>0</v>
      </c>
      <c r="N1462" s="46">
        <f ca="1">$K$1462-EFEITO!$M$1462*EFEITO!$Z$1462</f>
        <v>2.1815862824389782</v>
      </c>
      <c r="O1462" s="46">
        <f>$L$1462-EFEITO!$O$1462*EFEITO!$AA$1462</f>
        <v>0.60357178089221009</v>
      </c>
      <c r="P1462" s="38"/>
      <c r="Q1462" s="38"/>
      <c r="R1462" s="38"/>
      <c r="S1462" s="38"/>
      <c r="T1462" s="38"/>
      <c r="U1462" s="38"/>
      <c r="V1462" s="38"/>
      <c r="W1462" s="38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</row>
    <row r="1463" spans="1:36" ht="11.25" customHeight="1" x14ac:dyDescent="0.2">
      <c r="A1463" s="35" t="s">
        <v>21</v>
      </c>
      <c r="B1463" s="35" t="s">
        <v>46</v>
      </c>
      <c r="C1463" s="35" t="s">
        <v>35</v>
      </c>
      <c r="D1463" s="35" t="s">
        <v>47</v>
      </c>
      <c r="E1463" s="35" t="s">
        <v>25</v>
      </c>
      <c r="F1463" s="35" t="s">
        <v>25</v>
      </c>
      <c r="G1463" s="35" t="s">
        <v>25</v>
      </c>
      <c r="H1463" s="35" t="s">
        <v>38</v>
      </c>
      <c r="I1463" s="45">
        <v>44835</v>
      </c>
      <c r="J1463" s="46">
        <f>EFEITO!$J$1463*EFEITO!$Y$1463/(1-CUSTOS!$M$38)</f>
        <v>0</v>
      </c>
      <c r="K1463" s="46">
        <f ca="1">EFEITO!$L$1463*EFEITO!$Z$1463/(1-CUSTOS!$M$38)</f>
        <v>38.731060811416555</v>
      </c>
      <c r="L1463" s="46">
        <f>EFEITO!$N$1463*EFEITO!$AA$1463/(1-CUSTOS!$M$38)</f>
        <v>10.715585965115325</v>
      </c>
      <c r="M1463" s="46">
        <f>$J$1463-EFEITO!$K$1463*EFEITO!$Y$1463</f>
        <v>0</v>
      </c>
      <c r="N1463" s="46">
        <f ca="1">$K$1463-EFEITO!$M$1463*EFEITO!$Z$1463</f>
        <v>2.3238636486849984</v>
      </c>
      <c r="O1463" s="46">
        <f>$L$1463-EFEITO!$O$1463*EFEITO!$AA$1463</f>
        <v>0.64293515790692091</v>
      </c>
      <c r="P1463" s="38"/>
      <c r="Q1463" s="38"/>
      <c r="R1463" s="38"/>
      <c r="S1463" s="38"/>
      <c r="T1463" s="38"/>
      <c r="U1463" s="38"/>
      <c r="V1463" s="38"/>
      <c r="W1463" s="38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</row>
    <row r="1464" spans="1:36" ht="11.25" customHeight="1" x14ac:dyDescent="0.2">
      <c r="A1464" s="35" t="s">
        <v>59</v>
      </c>
      <c r="B1464" s="35" t="s">
        <v>46</v>
      </c>
      <c r="C1464" s="35" t="s">
        <v>35</v>
      </c>
      <c r="D1464" s="35" t="s">
        <v>47</v>
      </c>
      <c r="E1464" s="35" t="s">
        <v>25</v>
      </c>
      <c r="F1464" s="35" t="s">
        <v>25</v>
      </c>
      <c r="G1464" s="35" t="s">
        <v>25</v>
      </c>
      <c r="H1464" s="35" t="s">
        <v>38</v>
      </c>
      <c r="I1464" s="45">
        <v>44866</v>
      </c>
      <c r="J1464" s="46">
        <f>EFEITO!$J$1464*EFEITO!$Y$1464/(1-CUSTOS!$M$38)</f>
        <v>0</v>
      </c>
      <c r="K1464" s="46">
        <f ca="1">EFEITO!$L$1464*EFEITO!$Z$1464/(1-CUSTOS!$M$38)</f>
        <v>38.731060811416555</v>
      </c>
      <c r="L1464" s="46">
        <f>EFEITO!$N$1464*EFEITO!$AA$1464/(1-CUSTOS!$M$38)</f>
        <v>10.715585965115325</v>
      </c>
      <c r="M1464" s="46">
        <f>$J$1464-EFEITO!$K$1464*EFEITO!$Y$1464</f>
        <v>0</v>
      </c>
      <c r="N1464" s="46">
        <f ca="1">$K$1464-EFEITO!$M$1464*EFEITO!$Z$1464</f>
        <v>2.3238636486849984</v>
      </c>
      <c r="O1464" s="46">
        <f>$L$1464-EFEITO!$O$1464*EFEITO!$AA$1464</f>
        <v>0.64293515790692091</v>
      </c>
      <c r="P1464" s="38"/>
      <c r="Q1464" s="38"/>
      <c r="R1464" s="38"/>
      <c r="S1464" s="38"/>
      <c r="T1464" s="38"/>
      <c r="U1464" s="38"/>
      <c r="V1464" s="38"/>
      <c r="W1464" s="38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</row>
    <row r="1465" spans="1:36" ht="11.25" customHeight="1" x14ac:dyDescent="0.2">
      <c r="A1465" s="35" t="s">
        <v>21</v>
      </c>
      <c r="B1465" s="35" t="s">
        <v>46</v>
      </c>
      <c r="C1465" s="35" t="s">
        <v>35</v>
      </c>
      <c r="D1465" s="35" t="s">
        <v>47</v>
      </c>
      <c r="E1465" s="35" t="s">
        <v>25</v>
      </c>
      <c r="F1465" s="35" t="s">
        <v>25</v>
      </c>
      <c r="G1465" s="35" t="s">
        <v>25</v>
      </c>
      <c r="H1465" s="35" t="s">
        <v>36</v>
      </c>
      <c r="I1465" s="45">
        <v>44531</v>
      </c>
      <c r="J1465" s="46">
        <f>EFEITO!$J$1465*EFEITO!$Y$1465/(1-CUSTOS!$M$38)</f>
        <v>0</v>
      </c>
      <c r="K1465" s="46">
        <f ca="1">EFEITO!$L$1465*EFEITO!$Z$1465/(1-CUSTOS!$M$38)</f>
        <v>354.50676416689771</v>
      </c>
      <c r="L1465" s="46">
        <f>EFEITO!$N$1465*EFEITO!$AA$1465/(1-CUSTOS!$M$38)</f>
        <v>105.89204415510189</v>
      </c>
      <c r="M1465" s="46">
        <f>$J$1465-EFEITO!$K$1465*EFEITO!$Y$1465</f>
        <v>0</v>
      </c>
      <c r="N1465" s="46">
        <f ca="1">$K$1465-EFEITO!$M$1465*EFEITO!$Z$1465</f>
        <v>21.270405850013901</v>
      </c>
      <c r="O1465" s="46">
        <f>$L$1465-EFEITO!$O$1465*EFEITO!$AA$1465</f>
        <v>6.3535226493061145</v>
      </c>
      <c r="P1465" s="38"/>
      <c r="Q1465" s="38"/>
      <c r="R1465" s="38"/>
      <c r="S1465" s="38"/>
      <c r="T1465" s="38"/>
      <c r="U1465" s="38"/>
      <c r="V1465" s="38"/>
      <c r="W1465" s="38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</row>
    <row r="1466" spans="1:36" ht="11.25" customHeight="1" x14ac:dyDescent="0.2">
      <c r="A1466" s="35" t="s">
        <v>28</v>
      </c>
      <c r="B1466" s="35" t="s">
        <v>46</v>
      </c>
      <c r="C1466" s="35" t="s">
        <v>35</v>
      </c>
      <c r="D1466" s="35" t="s">
        <v>47</v>
      </c>
      <c r="E1466" s="35" t="s">
        <v>25</v>
      </c>
      <c r="F1466" s="35" t="s">
        <v>25</v>
      </c>
      <c r="G1466" s="35" t="s">
        <v>25</v>
      </c>
      <c r="H1466" s="35" t="s">
        <v>36</v>
      </c>
      <c r="I1466" s="45">
        <v>44531</v>
      </c>
      <c r="J1466" s="46">
        <f>EFEITO!$J$1466*EFEITO!$Y$1466/(1-CUSTOS!$M$38)</f>
        <v>0</v>
      </c>
      <c r="K1466" s="46">
        <f ca="1">EFEITO!$L$1466*EFEITO!$Z$1466/(1-CUSTOS!$M$38)</f>
        <v>1.2140642608455401</v>
      </c>
      <c r="L1466" s="46">
        <f>EFEITO!$N$1466*EFEITO!$AA$1466/(1-CUSTOS!$M$38)</f>
        <v>0.36264398683254073</v>
      </c>
      <c r="M1466" s="46">
        <f>$J$1466-EFEITO!$K$1466*EFEITO!$Y$1466</f>
        <v>0</v>
      </c>
      <c r="N1466" s="46">
        <f ca="1">$K$1466-EFEITO!$M$1466*EFEITO!$Z$1466</f>
        <v>7.2843855650732481E-2</v>
      </c>
      <c r="O1466" s="46">
        <f>$L$1466-EFEITO!$O$1466*EFEITO!$AA$1466</f>
        <v>2.1758639209952468E-2</v>
      </c>
      <c r="P1466" s="38"/>
      <c r="Q1466" s="38"/>
      <c r="R1466" s="38"/>
      <c r="S1466" s="38"/>
      <c r="T1466" s="38"/>
      <c r="U1466" s="38"/>
      <c r="V1466" s="38"/>
      <c r="W1466" s="38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</row>
    <row r="1467" spans="1:36" ht="11.25" customHeight="1" x14ac:dyDescent="0.2">
      <c r="A1467" s="35" t="s">
        <v>21</v>
      </c>
      <c r="B1467" s="35" t="s">
        <v>46</v>
      </c>
      <c r="C1467" s="35" t="s">
        <v>35</v>
      </c>
      <c r="D1467" s="35" t="s">
        <v>47</v>
      </c>
      <c r="E1467" s="35" t="s">
        <v>25</v>
      </c>
      <c r="F1467" s="35" t="s">
        <v>25</v>
      </c>
      <c r="G1467" s="35" t="s">
        <v>25</v>
      </c>
      <c r="H1467" s="35" t="s">
        <v>36</v>
      </c>
      <c r="I1467" s="45">
        <v>44562</v>
      </c>
      <c r="J1467" s="46">
        <f>EFEITO!$J$1467*EFEITO!$Y$1467/(1-CUSTOS!$M$38)</f>
        <v>0</v>
      </c>
      <c r="K1467" s="46">
        <f ca="1">EFEITO!$L$1467*EFEITO!$Z$1467/(1-CUSTOS!$M$38)</f>
        <v>359.3630212102799</v>
      </c>
      <c r="L1467" s="46">
        <f>EFEITO!$N$1467*EFEITO!$AA$1467/(1-CUSTOS!$M$38)</f>
        <v>107.34262010243205</v>
      </c>
      <c r="M1467" s="46">
        <f>$J$1467-EFEITO!$K$1467*EFEITO!$Y$1467</f>
        <v>0</v>
      </c>
      <c r="N1467" s="46">
        <f ca="1">$K$1467-EFEITO!$M$1467*EFEITO!$Z$1467</f>
        <v>21.561781272616827</v>
      </c>
      <c r="O1467" s="46">
        <f>$L$1467-EFEITO!$O$1467*EFEITO!$AA$1467</f>
        <v>6.4405572061459253</v>
      </c>
      <c r="P1467" s="38"/>
      <c r="Q1467" s="38"/>
      <c r="R1467" s="38"/>
      <c r="S1467" s="38"/>
      <c r="T1467" s="38"/>
      <c r="U1467" s="38"/>
      <c r="V1467" s="38"/>
      <c r="W1467" s="38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</row>
    <row r="1468" spans="1:36" ht="11.25" customHeight="1" x14ac:dyDescent="0.2">
      <c r="A1468" s="35" t="s">
        <v>28</v>
      </c>
      <c r="B1468" s="35" t="s">
        <v>46</v>
      </c>
      <c r="C1468" s="35" t="s">
        <v>35</v>
      </c>
      <c r="D1468" s="35" t="s">
        <v>47</v>
      </c>
      <c r="E1468" s="35" t="s">
        <v>25</v>
      </c>
      <c r="F1468" s="35" t="s">
        <v>25</v>
      </c>
      <c r="G1468" s="35" t="s">
        <v>25</v>
      </c>
      <c r="H1468" s="35" t="s">
        <v>36</v>
      </c>
      <c r="I1468" s="45">
        <v>44562</v>
      </c>
      <c r="J1468" s="46">
        <f>EFEITO!$J$1468*EFEITO!$Y$1468/(1-CUSTOS!$M$38)</f>
        <v>0</v>
      </c>
      <c r="K1468" s="46">
        <f ca="1">EFEITO!$L$1468*EFEITO!$Z$1468/(1-CUSTOS!$M$38)</f>
        <v>15.782835390992021</v>
      </c>
      <c r="L1468" s="46">
        <f>EFEITO!$N$1468*EFEITO!$AA$1468/(1-CUSTOS!$M$38)</f>
        <v>4.7143718288230296</v>
      </c>
      <c r="M1468" s="46">
        <f>$J$1468-EFEITO!$K$1468*EFEITO!$Y$1468</f>
        <v>0</v>
      </c>
      <c r="N1468" s="46">
        <f ca="1">$K$1468-EFEITO!$M$1468*EFEITO!$Z$1468</f>
        <v>0.94697012345952203</v>
      </c>
      <c r="O1468" s="46">
        <f>$L$1468-EFEITO!$O$1468*EFEITO!$AA$1468</f>
        <v>0.28286230972938231</v>
      </c>
      <c r="P1468" s="38"/>
      <c r="Q1468" s="38"/>
      <c r="R1468" s="38"/>
      <c r="S1468" s="38"/>
      <c r="T1468" s="38"/>
      <c r="U1468" s="38"/>
      <c r="V1468" s="38"/>
      <c r="W1468" s="38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</row>
    <row r="1469" spans="1:36" ht="11.25" customHeight="1" x14ac:dyDescent="0.2">
      <c r="A1469" s="35" t="s">
        <v>21</v>
      </c>
      <c r="B1469" s="35" t="s">
        <v>46</v>
      </c>
      <c r="C1469" s="35" t="s">
        <v>35</v>
      </c>
      <c r="D1469" s="35" t="s">
        <v>47</v>
      </c>
      <c r="E1469" s="35" t="s">
        <v>25</v>
      </c>
      <c r="F1469" s="35" t="s">
        <v>25</v>
      </c>
      <c r="G1469" s="35" t="s">
        <v>25</v>
      </c>
      <c r="H1469" s="35" t="s">
        <v>36</v>
      </c>
      <c r="I1469" s="45">
        <v>44593</v>
      </c>
      <c r="J1469" s="46">
        <f>EFEITO!$J$1469*EFEITO!$Y$1469/(1-CUSTOS!$M$38)</f>
        <v>0</v>
      </c>
      <c r="K1469" s="46">
        <f ca="1">EFEITO!$L$1469*EFEITO!$Z$1469/(1-CUSTOS!$M$38)</f>
        <v>382.43024216634512</v>
      </c>
      <c r="L1469" s="46">
        <f>EFEITO!$N$1469*EFEITO!$AA$1469/(1-CUSTOS!$M$38)</f>
        <v>114.23285585225032</v>
      </c>
      <c r="M1469" s="46">
        <f>$J$1469-EFEITO!$K$1469*EFEITO!$Y$1469</f>
        <v>0</v>
      </c>
      <c r="N1469" s="46">
        <f ca="1">$K$1469-EFEITO!$M$1469*EFEITO!$Z$1469</f>
        <v>22.945814529980737</v>
      </c>
      <c r="O1469" s="46">
        <f>$L$1469-EFEITO!$O$1469*EFEITO!$AA$1469</f>
        <v>6.85397135113503</v>
      </c>
      <c r="P1469" s="38"/>
      <c r="Q1469" s="38"/>
      <c r="R1469" s="38"/>
      <c r="S1469" s="38"/>
      <c r="T1469" s="38"/>
      <c r="U1469" s="38"/>
      <c r="V1469" s="38"/>
      <c r="W1469" s="38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</row>
    <row r="1470" spans="1:36" ht="11.25" customHeight="1" x14ac:dyDescent="0.2">
      <c r="A1470" s="35" t="s">
        <v>28</v>
      </c>
      <c r="B1470" s="35" t="s">
        <v>46</v>
      </c>
      <c r="C1470" s="35" t="s">
        <v>35</v>
      </c>
      <c r="D1470" s="35" t="s">
        <v>47</v>
      </c>
      <c r="E1470" s="35" t="s">
        <v>25</v>
      </c>
      <c r="F1470" s="35" t="s">
        <v>25</v>
      </c>
      <c r="G1470" s="35" t="s">
        <v>25</v>
      </c>
      <c r="H1470" s="35" t="s">
        <v>36</v>
      </c>
      <c r="I1470" s="45">
        <v>44593</v>
      </c>
      <c r="J1470" s="46">
        <f>EFEITO!$J$1470*EFEITO!$Y$1470/(1-CUSTOS!$M$38)</f>
        <v>0</v>
      </c>
      <c r="K1470" s="46">
        <f ca="1">EFEITO!$L$1470*EFEITO!$Z$1470/(1-CUSTOS!$M$38)</f>
        <v>21.853156695219724</v>
      </c>
      <c r="L1470" s="46">
        <f>EFEITO!$N$1470*EFEITO!$AA$1470/(1-CUSTOS!$M$38)</f>
        <v>6.5275917629857325</v>
      </c>
      <c r="M1470" s="46">
        <f>$J$1470-EFEITO!$K$1470*EFEITO!$Y$1470</f>
        <v>0</v>
      </c>
      <c r="N1470" s="46">
        <f ca="1">$K$1470-EFEITO!$M$1470*EFEITO!$Z$1470</f>
        <v>1.311189401713186</v>
      </c>
      <c r="O1470" s="46">
        <f>$L$1470-EFEITO!$O$1470*EFEITO!$AA$1470</f>
        <v>0.39165550577914399</v>
      </c>
      <c r="P1470" s="38"/>
      <c r="Q1470" s="38"/>
      <c r="R1470" s="38"/>
      <c r="S1470" s="38"/>
      <c r="T1470" s="38"/>
      <c r="U1470" s="38"/>
      <c r="V1470" s="38"/>
      <c r="W1470" s="38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</row>
    <row r="1471" spans="1:36" ht="11.25" customHeight="1" x14ac:dyDescent="0.2">
      <c r="A1471" s="35" t="s">
        <v>21</v>
      </c>
      <c r="B1471" s="35" t="s">
        <v>46</v>
      </c>
      <c r="C1471" s="35" t="s">
        <v>35</v>
      </c>
      <c r="D1471" s="35" t="s">
        <v>47</v>
      </c>
      <c r="E1471" s="35" t="s">
        <v>25</v>
      </c>
      <c r="F1471" s="35" t="s">
        <v>25</v>
      </c>
      <c r="G1471" s="35" t="s">
        <v>25</v>
      </c>
      <c r="H1471" s="35" t="s">
        <v>36</v>
      </c>
      <c r="I1471" s="45">
        <v>44621</v>
      </c>
      <c r="J1471" s="46">
        <f>EFEITO!$J$1471*EFEITO!$Y$1471/(1-CUSTOS!$M$38)</f>
        <v>0</v>
      </c>
      <c r="K1471" s="46">
        <f ca="1">EFEITO!$L$1471*EFEITO!$Z$1471/(1-CUSTOS!$M$38)</f>
        <v>284.09103703785638</v>
      </c>
      <c r="L1471" s="46">
        <f>EFEITO!$N$1471*EFEITO!$AA$1471/(1-CUSTOS!$M$38)</f>
        <v>84.85869291881454</v>
      </c>
      <c r="M1471" s="46">
        <f>$J$1471-EFEITO!$K$1471*EFEITO!$Y$1471</f>
        <v>0</v>
      </c>
      <c r="N1471" s="46">
        <f ca="1">$K$1471-EFEITO!$M$1471*EFEITO!$Z$1471</f>
        <v>17.045462222271397</v>
      </c>
      <c r="O1471" s="46">
        <f>$L$1471-EFEITO!$O$1471*EFEITO!$AA$1471</f>
        <v>5.0915215751288798</v>
      </c>
      <c r="P1471" s="38"/>
      <c r="Q1471" s="38"/>
      <c r="R1471" s="38"/>
      <c r="S1471" s="38"/>
      <c r="T1471" s="38"/>
      <c r="U1471" s="38"/>
      <c r="V1471" s="38"/>
      <c r="W1471" s="38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</row>
    <row r="1472" spans="1:36" ht="11.25" customHeight="1" x14ac:dyDescent="0.2">
      <c r="A1472" s="35" t="s">
        <v>21</v>
      </c>
      <c r="B1472" s="35" t="s">
        <v>46</v>
      </c>
      <c r="C1472" s="35" t="s">
        <v>35</v>
      </c>
      <c r="D1472" s="35" t="s">
        <v>47</v>
      </c>
      <c r="E1472" s="35" t="s">
        <v>25</v>
      </c>
      <c r="F1472" s="35" t="s">
        <v>25</v>
      </c>
      <c r="G1472" s="35" t="s">
        <v>25</v>
      </c>
      <c r="H1472" s="35" t="s">
        <v>36</v>
      </c>
      <c r="I1472" s="45">
        <v>44652</v>
      </c>
      <c r="J1472" s="46">
        <f>EFEITO!$J$1472*EFEITO!$Y$1472/(1-CUSTOS!$M$38)</f>
        <v>0</v>
      </c>
      <c r="K1472" s="46">
        <f ca="1">EFEITO!$L$1472*EFEITO!$Z$1472/(1-CUSTOS!$M$38)</f>
        <v>324.15515764575923</v>
      </c>
      <c r="L1472" s="46">
        <f>EFEITO!$N$1472*EFEITO!$AA$1472/(1-CUSTOS!$M$38)</f>
        <v>96.825944484288371</v>
      </c>
      <c r="M1472" s="46">
        <f>$J$1472-EFEITO!$K$1472*EFEITO!$Y$1472</f>
        <v>0</v>
      </c>
      <c r="N1472" s="46">
        <f ca="1">$K$1472-EFEITO!$M$1472*EFEITO!$Z$1472</f>
        <v>19.449309458745574</v>
      </c>
      <c r="O1472" s="46">
        <f>$L$1472-EFEITO!$O$1472*EFEITO!$AA$1472</f>
        <v>5.8095566690573008</v>
      </c>
      <c r="P1472" s="38"/>
      <c r="Q1472" s="38"/>
      <c r="R1472" s="38"/>
      <c r="S1472" s="38"/>
      <c r="T1472" s="38"/>
      <c r="U1472" s="38"/>
      <c r="V1472" s="38"/>
      <c r="W1472" s="38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</row>
    <row r="1473" spans="1:36" ht="11.25" customHeight="1" x14ac:dyDescent="0.2">
      <c r="A1473" s="35" t="s">
        <v>21</v>
      </c>
      <c r="B1473" s="35" t="s">
        <v>46</v>
      </c>
      <c r="C1473" s="35" t="s">
        <v>35</v>
      </c>
      <c r="D1473" s="35" t="s">
        <v>47</v>
      </c>
      <c r="E1473" s="35" t="s">
        <v>25</v>
      </c>
      <c r="F1473" s="35" t="s">
        <v>25</v>
      </c>
      <c r="G1473" s="35" t="s">
        <v>25</v>
      </c>
      <c r="H1473" s="35" t="s">
        <v>36</v>
      </c>
      <c r="I1473" s="45">
        <v>44682</v>
      </c>
      <c r="J1473" s="46">
        <f>EFEITO!$J$1473*EFEITO!$Y$1473/(1-CUSTOS!$M$38)</f>
        <v>0</v>
      </c>
      <c r="K1473" s="46">
        <f ca="1">EFEITO!$L$1473*EFEITO!$Z$1473/(1-CUSTOS!$M$38)</f>
        <v>415.20997720917472</v>
      </c>
      <c r="L1473" s="46">
        <f>EFEITO!$N$1473*EFEITO!$AA$1473/(1-CUSTOS!$M$38)</f>
        <v>124.02424349672893</v>
      </c>
      <c r="M1473" s="46">
        <f>$J$1473-EFEITO!$K$1473*EFEITO!$Y$1473</f>
        <v>0</v>
      </c>
      <c r="N1473" s="46">
        <f ca="1">$K$1473-EFEITO!$M$1473*EFEITO!$Z$1473</f>
        <v>24.912598632550498</v>
      </c>
      <c r="O1473" s="46">
        <f>$L$1473-EFEITO!$O$1473*EFEITO!$AA$1473</f>
        <v>7.441454609803742</v>
      </c>
      <c r="P1473" s="38"/>
      <c r="Q1473" s="38"/>
      <c r="R1473" s="38"/>
      <c r="S1473" s="38"/>
      <c r="T1473" s="38"/>
      <c r="U1473" s="38"/>
      <c r="V1473" s="38"/>
      <c r="W1473" s="38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</row>
    <row r="1474" spans="1:36" ht="11.25" customHeight="1" x14ac:dyDescent="0.2">
      <c r="A1474" s="35" t="s">
        <v>21</v>
      </c>
      <c r="B1474" s="35" t="s">
        <v>46</v>
      </c>
      <c r="C1474" s="35" t="s">
        <v>35</v>
      </c>
      <c r="D1474" s="35" t="s">
        <v>47</v>
      </c>
      <c r="E1474" s="35" t="s">
        <v>25</v>
      </c>
      <c r="F1474" s="35" t="s">
        <v>25</v>
      </c>
      <c r="G1474" s="35" t="s">
        <v>25</v>
      </c>
      <c r="H1474" s="35" t="s">
        <v>36</v>
      </c>
      <c r="I1474" s="45">
        <v>44713</v>
      </c>
      <c r="J1474" s="46">
        <f>EFEITO!$J$1474*EFEITO!$Y$1474/(1-CUSTOS!$M$38)</f>
        <v>0</v>
      </c>
      <c r="K1474" s="46">
        <f ca="1">EFEITO!$L$1474*EFEITO!$Z$1474/(1-CUSTOS!$M$38)</f>
        <v>318.08483634153157</v>
      </c>
      <c r="L1474" s="46">
        <f>EFEITO!$N$1474*EFEITO!$AA$1474/(1-CUSTOS!$M$38)</f>
        <v>95.012724550125668</v>
      </c>
      <c r="M1474" s="46">
        <f>$J$1474-EFEITO!$K$1474*EFEITO!$Y$1474</f>
        <v>0</v>
      </c>
      <c r="N1474" s="46">
        <f ca="1">$K$1474-EFEITO!$M$1474*EFEITO!$Z$1474</f>
        <v>19.085090180491932</v>
      </c>
      <c r="O1474" s="46">
        <f>$L$1474-EFEITO!$O$1474*EFEITO!$AA$1474</f>
        <v>5.7007634730075409</v>
      </c>
      <c r="P1474" s="38"/>
      <c r="Q1474" s="38"/>
      <c r="R1474" s="38"/>
      <c r="S1474" s="38"/>
      <c r="T1474" s="38"/>
      <c r="U1474" s="38"/>
      <c r="V1474" s="38"/>
      <c r="W1474" s="38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</row>
    <row r="1475" spans="1:36" ht="11.25" customHeight="1" x14ac:dyDescent="0.2">
      <c r="A1475" s="35" t="s">
        <v>21</v>
      </c>
      <c r="B1475" s="35" t="s">
        <v>46</v>
      </c>
      <c r="C1475" s="35" t="s">
        <v>35</v>
      </c>
      <c r="D1475" s="35" t="s">
        <v>47</v>
      </c>
      <c r="E1475" s="35" t="s">
        <v>25</v>
      </c>
      <c r="F1475" s="35" t="s">
        <v>25</v>
      </c>
      <c r="G1475" s="35" t="s">
        <v>25</v>
      </c>
      <c r="H1475" s="35" t="s">
        <v>36</v>
      </c>
      <c r="I1475" s="45">
        <v>44743</v>
      </c>
      <c r="J1475" s="46">
        <f>EFEITO!$J$1475*EFEITO!$Y$1475/(1-CUSTOS!$M$38)</f>
        <v>0</v>
      </c>
      <c r="K1475" s="46">
        <f ca="1">EFEITO!$L$1475*EFEITO!$Z$1475/(1-CUSTOS!$M$38)</f>
        <v>291.37542260292963</v>
      </c>
      <c r="L1475" s="46">
        <f>EFEITO!$N$1475*EFEITO!$AA$1475/(1-CUSTOS!$M$38)</f>
        <v>87.034556839809767</v>
      </c>
      <c r="M1475" s="46">
        <f>$J$1475-EFEITO!$K$1475*EFEITO!$Y$1475</f>
        <v>0</v>
      </c>
      <c r="N1475" s="46">
        <f ca="1">$K$1475-EFEITO!$M$1475*EFEITO!$Z$1475</f>
        <v>17.482525356175813</v>
      </c>
      <c r="O1475" s="46">
        <f>$L$1475-EFEITO!$O$1475*EFEITO!$AA$1475</f>
        <v>5.2220734103885889</v>
      </c>
      <c r="P1475" s="38"/>
      <c r="Q1475" s="38"/>
      <c r="R1475" s="38"/>
      <c r="S1475" s="38"/>
      <c r="T1475" s="38"/>
      <c r="U1475" s="38"/>
      <c r="V1475" s="38"/>
      <c r="W1475" s="38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</row>
    <row r="1476" spans="1:36" ht="11.25" customHeight="1" x14ac:dyDescent="0.2">
      <c r="A1476" s="35" t="s">
        <v>21</v>
      </c>
      <c r="B1476" s="35" t="s">
        <v>46</v>
      </c>
      <c r="C1476" s="35" t="s">
        <v>35</v>
      </c>
      <c r="D1476" s="35" t="s">
        <v>47</v>
      </c>
      <c r="E1476" s="35" t="s">
        <v>25</v>
      </c>
      <c r="F1476" s="35" t="s">
        <v>25</v>
      </c>
      <c r="G1476" s="35" t="s">
        <v>25</v>
      </c>
      <c r="H1476" s="35" t="s">
        <v>36</v>
      </c>
      <c r="I1476" s="45">
        <v>44774</v>
      </c>
      <c r="J1476" s="46">
        <f>EFEITO!$J$1476*EFEITO!$Y$1476/(1-CUSTOS!$M$38)</f>
        <v>0</v>
      </c>
      <c r="K1476" s="46">
        <f ca="1">EFEITO!$L$1476*EFEITO!$Z$1476/(1-CUSTOS!$M$38)</f>
        <v>363.00521399281649</v>
      </c>
      <c r="L1476" s="46">
        <f>EFEITO!$N$1476*EFEITO!$AA$1476/(1-CUSTOS!$M$38)</f>
        <v>108.43055206292968</v>
      </c>
      <c r="M1476" s="46">
        <f>$J$1476-EFEITO!$K$1476*EFEITO!$Y$1476</f>
        <v>0</v>
      </c>
      <c r="N1476" s="46">
        <f ca="1">$K$1476-EFEITO!$M$1476*EFEITO!$Z$1476</f>
        <v>21.780312839569035</v>
      </c>
      <c r="O1476" s="46">
        <f>$L$1476-EFEITO!$O$1476*EFEITO!$AA$1476</f>
        <v>6.5058331237757869</v>
      </c>
      <c r="P1476" s="38"/>
      <c r="Q1476" s="38"/>
      <c r="R1476" s="38"/>
      <c r="S1476" s="38"/>
      <c r="T1476" s="38"/>
      <c r="U1476" s="38"/>
      <c r="V1476" s="38"/>
      <c r="W1476" s="38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</row>
    <row r="1477" spans="1:36" ht="11.25" customHeight="1" x14ac:dyDescent="0.2">
      <c r="A1477" s="35" t="s">
        <v>21</v>
      </c>
      <c r="B1477" s="35" t="s">
        <v>46</v>
      </c>
      <c r="C1477" s="35" t="s">
        <v>35</v>
      </c>
      <c r="D1477" s="35" t="s">
        <v>47</v>
      </c>
      <c r="E1477" s="35" t="s">
        <v>25</v>
      </c>
      <c r="F1477" s="35" t="s">
        <v>25</v>
      </c>
      <c r="G1477" s="35" t="s">
        <v>25</v>
      </c>
      <c r="H1477" s="35" t="s">
        <v>36</v>
      </c>
      <c r="I1477" s="45">
        <v>44805</v>
      </c>
      <c r="J1477" s="46">
        <f>EFEITO!$J$1477*EFEITO!$Y$1477/(1-CUSTOS!$M$38)</f>
        <v>0</v>
      </c>
      <c r="K1477" s="46">
        <f ca="1">EFEITO!$L$1477*EFEITO!$Z$1477/(1-CUSTOS!$M$38)</f>
        <v>286.5191655595475</v>
      </c>
      <c r="L1477" s="46">
        <f>EFEITO!$N$1477*EFEITO!$AA$1477/(1-CUSTOS!$M$38)</f>
        <v>85.583980892479602</v>
      </c>
      <c r="M1477" s="46">
        <f>$J$1477-EFEITO!$K$1477*EFEITO!$Y$1477</f>
        <v>0</v>
      </c>
      <c r="N1477" s="46">
        <f ca="1">$K$1477-EFEITO!$M$1477*EFEITO!$Z$1477</f>
        <v>17.191149933572888</v>
      </c>
      <c r="O1477" s="46">
        <f>$L$1477-EFEITO!$O$1477*EFEITO!$AA$1477</f>
        <v>5.1350388535487781</v>
      </c>
      <c r="P1477" s="38"/>
      <c r="Q1477" s="38"/>
      <c r="R1477" s="38"/>
      <c r="S1477" s="38"/>
      <c r="T1477" s="38"/>
      <c r="U1477" s="38"/>
      <c r="V1477" s="38"/>
      <c r="W1477" s="38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</row>
    <row r="1478" spans="1:36" ht="11.25" customHeight="1" x14ac:dyDescent="0.2">
      <c r="A1478" s="35" t="s">
        <v>21</v>
      </c>
      <c r="B1478" s="35" t="s">
        <v>46</v>
      </c>
      <c r="C1478" s="35" t="s">
        <v>35</v>
      </c>
      <c r="D1478" s="35" t="s">
        <v>47</v>
      </c>
      <c r="E1478" s="35" t="s">
        <v>25</v>
      </c>
      <c r="F1478" s="35" t="s">
        <v>25</v>
      </c>
      <c r="G1478" s="35" t="s">
        <v>25</v>
      </c>
      <c r="H1478" s="35" t="s">
        <v>36</v>
      </c>
      <c r="I1478" s="45">
        <v>44835</v>
      </c>
      <c r="J1478" s="46">
        <f>EFEITO!$J$1478*EFEITO!$Y$1478/(1-CUSTOS!$M$38)</f>
        <v>0</v>
      </c>
      <c r="K1478" s="46">
        <f ca="1">EFEITO!$L$1478*EFEITO!$Z$1478/(1-CUSTOS!$M$38)</f>
        <v>375.14585660127187</v>
      </c>
      <c r="L1478" s="46">
        <f>EFEITO!$N$1478*EFEITO!$AA$1478/(1-CUSTOS!$M$38)</f>
        <v>112.05699193125508</v>
      </c>
      <c r="M1478" s="46">
        <f>$J$1478-EFEITO!$K$1478*EFEITO!$Y$1478</f>
        <v>0</v>
      </c>
      <c r="N1478" s="46">
        <f ca="1">$K$1478-EFEITO!$M$1478*EFEITO!$Z$1478</f>
        <v>22.50875139607632</v>
      </c>
      <c r="O1478" s="46">
        <f>$L$1478-EFEITO!$O$1478*EFEITO!$AA$1478</f>
        <v>6.7234195158753067</v>
      </c>
      <c r="P1478" s="38"/>
      <c r="Q1478" s="38"/>
      <c r="R1478" s="38"/>
      <c r="S1478" s="38"/>
      <c r="T1478" s="38"/>
      <c r="U1478" s="38"/>
      <c r="V1478" s="38"/>
      <c r="W1478" s="38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</row>
    <row r="1479" spans="1:36" ht="11.25" customHeight="1" x14ac:dyDescent="0.2">
      <c r="A1479" s="35" t="s">
        <v>59</v>
      </c>
      <c r="B1479" s="35" t="s">
        <v>46</v>
      </c>
      <c r="C1479" s="35" t="s">
        <v>35</v>
      </c>
      <c r="D1479" s="35" t="s">
        <v>47</v>
      </c>
      <c r="E1479" s="35" t="s">
        <v>25</v>
      </c>
      <c r="F1479" s="35" t="s">
        <v>25</v>
      </c>
      <c r="G1479" s="35" t="s">
        <v>25</v>
      </c>
      <c r="H1479" s="35" t="s">
        <v>36</v>
      </c>
      <c r="I1479" s="45">
        <v>44866</v>
      </c>
      <c r="J1479" s="46">
        <f>EFEITO!$J$1479*EFEITO!$Y$1479/(1-CUSTOS!$M$38)</f>
        <v>0</v>
      </c>
      <c r="K1479" s="46">
        <f ca="1">EFEITO!$L$1479*EFEITO!$Z$1479/(1-CUSTOS!$M$38)</f>
        <v>375.14585660127187</v>
      </c>
      <c r="L1479" s="46">
        <f>EFEITO!$N$1479*EFEITO!$AA$1479/(1-CUSTOS!$M$38)</f>
        <v>112.05699193125508</v>
      </c>
      <c r="M1479" s="46">
        <f>$J$1479-EFEITO!$K$1479*EFEITO!$Y$1479</f>
        <v>0</v>
      </c>
      <c r="N1479" s="46">
        <f ca="1">$K$1479-EFEITO!$M$1479*EFEITO!$Z$1479</f>
        <v>22.50875139607632</v>
      </c>
      <c r="O1479" s="46">
        <f>$L$1479-EFEITO!$O$1479*EFEITO!$AA$1479</f>
        <v>6.7234195158753067</v>
      </c>
      <c r="P1479" s="38"/>
      <c r="Q1479" s="38"/>
      <c r="R1479" s="38"/>
      <c r="S1479" s="38"/>
      <c r="T1479" s="38"/>
      <c r="U1479" s="38"/>
      <c r="V1479" s="38"/>
      <c r="W1479" s="38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</row>
    <row r="1480" spans="1:36" ht="11.25" customHeight="1" x14ac:dyDescent="0.2">
      <c r="A1480" s="35" t="s">
        <v>21</v>
      </c>
      <c r="B1480" s="35" t="s">
        <v>46</v>
      </c>
      <c r="C1480" s="35" t="s">
        <v>23</v>
      </c>
      <c r="D1480" s="35" t="s">
        <v>47</v>
      </c>
      <c r="E1480" s="35" t="s">
        <v>55</v>
      </c>
      <c r="F1480" s="35" t="s">
        <v>56</v>
      </c>
      <c r="G1480" s="35" t="s">
        <v>25</v>
      </c>
      <c r="H1480" s="35" t="s">
        <v>25</v>
      </c>
      <c r="I1480" s="45">
        <v>44531</v>
      </c>
      <c r="J1480" s="46">
        <f>EFEITO!$J$1480*EFEITO!$Y$1110</f>
        <v>0</v>
      </c>
      <c r="K1480" s="46">
        <f ca="1">EFEITO!$L$1480*EFEITO!$Z$1110</f>
        <v>1997.3280222901521</v>
      </c>
      <c r="L1480" s="46">
        <f>EFEITO!$N$1480*EFEITO!$AA$1110</f>
        <v>917.42221235020031</v>
      </c>
      <c r="M1480" s="46">
        <f>$J$1480-EFEITO!$K$1480*EFEITO!$Y$1480</f>
        <v>0</v>
      </c>
      <c r="N1480" s="46">
        <f ca="1">$K$1480-EFEITO!$M$1480*EFEITO!$Z$1480</f>
        <v>119.83968133740927</v>
      </c>
      <c r="O1480" s="46">
        <f>$L$1480-EFEITO!$O$1480*EFEITO!$AA$1480</f>
        <v>55.045332741012089</v>
      </c>
      <c r="P1480" s="38"/>
      <c r="Q1480" s="38"/>
      <c r="R1480" s="38"/>
      <c r="S1480" s="38"/>
      <c r="T1480" s="38"/>
      <c r="U1480" s="38"/>
      <c r="V1480" s="38"/>
      <c r="W1480" s="38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</row>
    <row r="1481" spans="1:36" ht="11.25" customHeight="1" x14ac:dyDescent="0.2">
      <c r="A1481" s="35" t="s">
        <v>28</v>
      </c>
      <c r="B1481" s="35" t="s">
        <v>46</v>
      </c>
      <c r="C1481" s="35" t="s">
        <v>23</v>
      </c>
      <c r="D1481" s="35" t="s">
        <v>47</v>
      </c>
      <c r="E1481" s="35" t="s">
        <v>55</v>
      </c>
      <c r="F1481" s="35" t="s">
        <v>56</v>
      </c>
      <c r="G1481" s="35" t="s">
        <v>25</v>
      </c>
      <c r="H1481" s="35" t="s">
        <v>25</v>
      </c>
      <c r="I1481" s="45">
        <v>44531</v>
      </c>
      <c r="J1481" s="46">
        <f>EFEITO!$J$1481*EFEITO!$Y$1110</f>
        <v>0</v>
      </c>
      <c r="K1481" s="46">
        <f ca="1">EFEITO!$L$1481*EFEITO!$Z$1110</f>
        <v>3431.6676832558737</v>
      </c>
      <c r="L1481" s="46">
        <f>EFEITO!$N$1481*EFEITO!$AA$1110</f>
        <v>1576.2499313525068</v>
      </c>
      <c r="M1481" s="46">
        <f>$J$1481-EFEITO!$K$1481*EFEITO!$Y$1481</f>
        <v>0</v>
      </c>
      <c r="N1481" s="46">
        <f ca="1">$K$1481-EFEITO!$M$1481*EFEITO!$Z$1481</f>
        <v>205.90006099535231</v>
      </c>
      <c r="O1481" s="46">
        <f>$L$1481-EFEITO!$O$1481*EFEITO!$AA$1481</f>
        <v>94.574995881150699</v>
      </c>
      <c r="P1481" s="38"/>
      <c r="Q1481" s="38"/>
      <c r="R1481" s="38"/>
      <c r="S1481" s="38"/>
      <c r="T1481" s="38"/>
      <c r="U1481" s="38"/>
      <c r="V1481" s="38"/>
      <c r="W1481" s="38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</row>
    <row r="1482" spans="1:36" ht="11.25" customHeight="1" x14ac:dyDescent="0.2">
      <c r="A1482" s="35" t="s">
        <v>29</v>
      </c>
      <c r="B1482" s="35" t="s">
        <v>46</v>
      </c>
      <c r="C1482" s="35" t="s">
        <v>23</v>
      </c>
      <c r="D1482" s="35" t="s">
        <v>47</v>
      </c>
      <c r="E1482" s="35" t="s">
        <v>55</v>
      </c>
      <c r="F1482" s="35" t="s">
        <v>56</v>
      </c>
      <c r="G1482" s="35" t="s">
        <v>25</v>
      </c>
      <c r="H1482" s="35" t="s">
        <v>25</v>
      </c>
      <c r="I1482" s="45">
        <v>44531</v>
      </c>
      <c r="J1482" s="46">
        <f>EFEITO!$J$1482*EFEITO!$Y$1110</f>
        <v>0</v>
      </c>
      <c r="K1482" s="46">
        <f ca="1">EFEITO!$L$1482*EFEITO!$Z$1110</f>
        <v>25.110988462285043</v>
      </c>
      <c r="L1482" s="46">
        <f>EFEITO!$N$1482*EFEITO!$AA$1110</f>
        <v>11.534098722029173</v>
      </c>
      <c r="M1482" s="46">
        <f>$J$1482-EFEITO!$K$1482*EFEITO!$Y$1482</f>
        <v>0</v>
      </c>
      <c r="N1482" s="46">
        <f ca="1">$K$1482-EFEITO!$M$1482*EFEITO!$Z$1482</f>
        <v>1.5066593077371024</v>
      </c>
      <c r="O1482" s="46">
        <f>$L$1482-EFEITO!$O$1482*EFEITO!$AA$1482</f>
        <v>0.69204592332175174</v>
      </c>
      <c r="P1482" s="38"/>
      <c r="Q1482" s="38"/>
      <c r="R1482" s="38"/>
      <c r="S1482" s="38"/>
      <c r="T1482" s="38"/>
      <c r="U1482" s="38"/>
      <c r="V1482" s="38"/>
      <c r="W1482" s="38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</row>
    <row r="1483" spans="1:36" ht="11.25" customHeight="1" x14ac:dyDescent="0.2">
      <c r="A1483" s="35" t="s">
        <v>21</v>
      </c>
      <c r="B1483" s="35" t="s">
        <v>46</v>
      </c>
      <c r="C1483" s="35" t="s">
        <v>23</v>
      </c>
      <c r="D1483" s="35" t="s">
        <v>47</v>
      </c>
      <c r="E1483" s="35" t="s">
        <v>55</v>
      </c>
      <c r="F1483" s="35" t="s">
        <v>56</v>
      </c>
      <c r="G1483" s="35" t="s">
        <v>25</v>
      </c>
      <c r="H1483" s="35" t="s">
        <v>25</v>
      </c>
      <c r="I1483" s="45">
        <v>44562</v>
      </c>
      <c r="J1483" s="46">
        <f>EFEITO!$J$1483*EFEITO!$Y$1110</f>
        <v>0</v>
      </c>
      <c r="K1483" s="46">
        <f ca="1">EFEITO!$L$1483*EFEITO!$Z$1110</f>
        <v>2002.8524397518549</v>
      </c>
      <c r="L1483" s="46">
        <f>EFEITO!$N$1483*EFEITO!$AA$1110</f>
        <v>919.95971406904675</v>
      </c>
      <c r="M1483" s="46">
        <f>$J$1483-EFEITO!$K$1483*EFEITO!$Y$1483</f>
        <v>0</v>
      </c>
      <c r="N1483" s="46">
        <f ca="1">$K$1483-EFEITO!$M$1483*EFEITO!$Z$1483</f>
        <v>120.17114638511134</v>
      </c>
      <c r="O1483" s="46">
        <f>$L$1483-EFEITO!$O$1483*EFEITO!$AA$1483</f>
        <v>55.197582844142858</v>
      </c>
      <c r="P1483" s="38"/>
      <c r="Q1483" s="38"/>
      <c r="R1483" s="38"/>
      <c r="S1483" s="38"/>
      <c r="T1483" s="38"/>
      <c r="U1483" s="38"/>
      <c r="V1483" s="38"/>
      <c r="W1483" s="38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</row>
    <row r="1484" spans="1:36" ht="11.25" customHeight="1" x14ac:dyDescent="0.2">
      <c r="A1484" s="35" t="s">
        <v>28</v>
      </c>
      <c r="B1484" s="35" t="s">
        <v>46</v>
      </c>
      <c r="C1484" s="35" t="s">
        <v>23</v>
      </c>
      <c r="D1484" s="35" t="s">
        <v>47</v>
      </c>
      <c r="E1484" s="35" t="s">
        <v>55</v>
      </c>
      <c r="F1484" s="35" t="s">
        <v>56</v>
      </c>
      <c r="G1484" s="35" t="s">
        <v>25</v>
      </c>
      <c r="H1484" s="35" t="s">
        <v>25</v>
      </c>
      <c r="I1484" s="45">
        <v>44562</v>
      </c>
      <c r="J1484" s="46">
        <f>EFEITO!$J$1484*EFEITO!$Y$1110</f>
        <v>0</v>
      </c>
      <c r="K1484" s="46">
        <f ca="1">EFEITO!$L$1484*EFEITO!$Z$1110</f>
        <v>68.804108386661014</v>
      </c>
      <c r="L1484" s="46">
        <f>EFEITO!$N$1484*EFEITO!$AA$1110</f>
        <v>31.603430498359934</v>
      </c>
      <c r="M1484" s="46">
        <f>$J$1484-EFEITO!$K$1484*EFEITO!$Y$1484</f>
        <v>0</v>
      </c>
      <c r="N1484" s="46">
        <f ca="1">$K$1484-EFEITO!$M$1484*EFEITO!$Z$1484</f>
        <v>4.1282465031996622</v>
      </c>
      <c r="O1484" s="46">
        <f>$L$1484-EFEITO!$O$1484*EFEITO!$AA$1484</f>
        <v>1.8962058299016</v>
      </c>
      <c r="P1484" s="38"/>
      <c r="Q1484" s="38"/>
      <c r="R1484" s="38"/>
      <c r="S1484" s="38"/>
      <c r="T1484" s="38"/>
      <c r="U1484" s="38"/>
      <c r="V1484" s="38"/>
      <c r="W1484" s="38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</row>
    <row r="1485" spans="1:36" ht="11.25" customHeight="1" x14ac:dyDescent="0.2">
      <c r="A1485" s="35" t="s">
        <v>29</v>
      </c>
      <c r="B1485" s="35" t="s">
        <v>46</v>
      </c>
      <c r="C1485" s="35" t="s">
        <v>23</v>
      </c>
      <c r="D1485" s="35" t="s">
        <v>47</v>
      </c>
      <c r="E1485" s="35" t="s">
        <v>55</v>
      </c>
      <c r="F1485" s="35" t="s">
        <v>56</v>
      </c>
      <c r="G1485" s="35" t="s">
        <v>25</v>
      </c>
      <c r="H1485" s="35" t="s">
        <v>25</v>
      </c>
      <c r="I1485" s="45">
        <v>44562</v>
      </c>
      <c r="J1485" s="46">
        <f>EFEITO!$J$1485*EFEITO!$Y$1110</f>
        <v>0</v>
      </c>
      <c r="K1485" s="46">
        <f ca="1">EFEITO!$L$1485*EFEITO!$Z$1110</f>
        <v>-3078.6071854761462</v>
      </c>
      <c r="L1485" s="46">
        <f>EFEITO!$N$1485*EFEITO!$AA$1110</f>
        <v>-1414.0805033207764</v>
      </c>
      <c r="M1485" s="46">
        <f>$J$1485-EFEITO!$K$1485*EFEITO!$Y$1485</f>
        <v>0</v>
      </c>
      <c r="N1485" s="46">
        <f ca="1">$K$1485-EFEITO!$M$1485*EFEITO!$Z$1485</f>
        <v>-184.71643112856918</v>
      </c>
      <c r="O1485" s="46">
        <f>$L$1485-EFEITO!$O$1485*EFEITO!$AA$1485</f>
        <v>-84.844830199246644</v>
      </c>
      <c r="P1485" s="38"/>
      <c r="Q1485" s="38"/>
      <c r="R1485" s="38"/>
      <c r="S1485" s="38"/>
      <c r="T1485" s="38"/>
      <c r="U1485" s="38"/>
      <c r="V1485" s="38"/>
      <c r="W1485" s="38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</row>
    <row r="1486" spans="1:36" ht="11.25" customHeight="1" x14ac:dyDescent="0.2">
      <c r="A1486" s="35" t="s">
        <v>21</v>
      </c>
      <c r="B1486" s="35" t="s">
        <v>46</v>
      </c>
      <c r="C1486" s="35" t="s">
        <v>23</v>
      </c>
      <c r="D1486" s="35" t="s">
        <v>47</v>
      </c>
      <c r="E1486" s="35" t="s">
        <v>55</v>
      </c>
      <c r="F1486" s="35" t="s">
        <v>56</v>
      </c>
      <c r="G1486" s="35" t="s">
        <v>25</v>
      </c>
      <c r="H1486" s="35" t="s">
        <v>25</v>
      </c>
      <c r="I1486" s="45">
        <v>44593</v>
      </c>
      <c r="J1486" s="46">
        <f>EFEITO!$J$1486*EFEITO!$Y$1110</f>
        <v>0</v>
      </c>
      <c r="K1486" s="46">
        <f ca="1">EFEITO!$L$1486*EFEITO!$Z$1110</f>
        <v>2308.202059453241</v>
      </c>
      <c r="L1486" s="46">
        <f>EFEITO!$N$1486*EFEITO!$AA$1110</f>
        <v>1060.2143545289216</v>
      </c>
      <c r="M1486" s="46">
        <f>$J$1486-EFEITO!$K$1486*EFEITO!$Y$1486</f>
        <v>0</v>
      </c>
      <c r="N1486" s="46">
        <f ca="1">$K$1486-EFEITO!$M$1486*EFEITO!$Z$1486</f>
        <v>138.49212356719454</v>
      </c>
      <c r="O1486" s="46">
        <f>$L$1486-EFEITO!$O$1486*EFEITO!$AA$1486</f>
        <v>63.612861271735483</v>
      </c>
      <c r="P1486" s="38"/>
      <c r="Q1486" s="38"/>
      <c r="R1486" s="38"/>
      <c r="S1486" s="38"/>
      <c r="T1486" s="38"/>
      <c r="U1486" s="38"/>
      <c r="V1486" s="38"/>
      <c r="W1486" s="38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</row>
    <row r="1487" spans="1:36" ht="11.25" customHeight="1" x14ac:dyDescent="0.2">
      <c r="A1487" s="35" t="s">
        <v>28</v>
      </c>
      <c r="B1487" s="35" t="s">
        <v>46</v>
      </c>
      <c r="C1487" s="35" t="s">
        <v>23</v>
      </c>
      <c r="D1487" s="35" t="s">
        <v>47</v>
      </c>
      <c r="E1487" s="35" t="s">
        <v>55</v>
      </c>
      <c r="F1487" s="35" t="s">
        <v>56</v>
      </c>
      <c r="G1487" s="35" t="s">
        <v>25</v>
      </c>
      <c r="H1487" s="35" t="s">
        <v>25</v>
      </c>
      <c r="I1487" s="45">
        <v>44593</v>
      </c>
      <c r="J1487" s="46">
        <f>EFEITO!$J$1487*EFEITO!$Y$1110</f>
        <v>0</v>
      </c>
      <c r="K1487" s="46">
        <f ca="1">EFEITO!$L$1487*EFEITO!$Z$1110</f>
        <v>64.284130463449713</v>
      </c>
      <c r="L1487" s="46">
        <f>EFEITO!$N$1487*EFEITO!$AA$1110</f>
        <v>29.527292728394681</v>
      </c>
      <c r="M1487" s="46">
        <f>$J$1487-EFEITO!$K$1487*EFEITO!$Y$1487</f>
        <v>0</v>
      </c>
      <c r="N1487" s="46">
        <f ca="1">$K$1487-EFEITO!$M$1487*EFEITO!$Z$1487</f>
        <v>3.8570478278069942</v>
      </c>
      <c r="O1487" s="46">
        <f>$L$1487-EFEITO!$O$1487*EFEITO!$AA$1487</f>
        <v>1.7716375637036812</v>
      </c>
      <c r="P1487" s="38"/>
      <c r="Q1487" s="38"/>
      <c r="R1487" s="38"/>
      <c r="S1487" s="38"/>
      <c r="T1487" s="38"/>
      <c r="U1487" s="38"/>
      <c r="V1487" s="38"/>
      <c r="W1487" s="38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</row>
    <row r="1488" spans="1:36" ht="11.25" customHeight="1" x14ac:dyDescent="0.2">
      <c r="A1488" s="35" t="s">
        <v>29</v>
      </c>
      <c r="B1488" s="35" t="s">
        <v>46</v>
      </c>
      <c r="C1488" s="35" t="s">
        <v>23</v>
      </c>
      <c r="D1488" s="35" t="s">
        <v>47</v>
      </c>
      <c r="E1488" s="35" t="s">
        <v>55</v>
      </c>
      <c r="F1488" s="35" t="s">
        <v>56</v>
      </c>
      <c r="G1488" s="35" t="s">
        <v>25</v>
      </c>
      <c r="H1488" s="35" t="s">
        <v>25</v>
      </c>
      <c r="I1488" s="45">
        <v>44593</v>
      </c>
      <c r="J1488" s="46">
        <f>EFEITO!$J$1488*EFEITO!$Y$1110</f>
        <v>0</v>
      </c>
      <c r="K1488" s="46">
        <f ca="1">EFEITO!$L$1488*EFEITO!$Z$1110</f>
        <v>-2312.7220373764526</v>
      </c>
      <c r="L1488" s="46">
        <f>EFEITO!$N$1488*EFEITO!$AA$1110</f>
        <v>-1062.2904922988869</v>
      </c>
      <c r="M1488" s="46">
        <f>$J$1488-EFEITO!$K$1488*EFEITO!$Y$1488</f>
        <v>0</v>
      </c>
      <c r="N1488" s="46">
        <f ca="1">$K$1488-EFEITO!$M$1488*EFEITO!$Z$1488</f>
        <v>-138.76332224258749</v>
      </c>
      <c r="O1488" s="46">
        <f>$L$1488-EFEITO!$O$1488*EFEITO!$AA$1488</f>
        <v>-63.737429537933281</v>
      </c>
      <c r="P1488" s="38"/>
      <c r="Q1488" s="38"/>
      <c r="R1488" s="38"/>
      <c r="S1488" s="38"/>
      <c r="T1488" s="38"/>
      <c r="U1488" s="38"/>
      <c r="V1488" s="38"/>
      <c r="W1488" s="38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</row>
    <row r="1489" spans="1:36" ht="11.25" customHeight="1" x14ac:dyDescent="0.2">
      <c r="A1489" s="35" t="s">
        <v>21</v>
      </c>
      <c r="B1489" s="35" t="s">
        <v>46</v>
      </c>
      <c r="C1489" s="35" t="s">
        <v>23</v>
      </c>
      <c r="D1489" s="35" t="s">
        <v>47</v>
      </c>
      <c r="E1489" s="35" t="s">
        <v>55</v>
      </c>
      <c r="F1489" s="35" t="s">
        <v>56</v>
      </c>
      <c r="G1489" s="35" t="s">
        <v>25</v>
      </c>
      <c r="H1489" s="35" t="s">
        <v>25</v>
      </c>
      <c r="I1489" s="45">
        <v>44621</v>
      </c>
      <c r="J1489" s="46">
        <f>EFEITO!$J$1489*EFEITO!$Y$1110</f>
        <v>0</v>
      </c>
      <c r="K1489" s="46">
        <f ca="1">EFEITO!$L$1489*EFEITO!$Z$1110</f>
        <v>2538.7209335370176</v>
      </c>
      <c r="L1489" s="46">
        <f>EFEITO!$N$1489*EFEITO!$AA$1110</f>
        <v>1166.0973807971493</v>
      </c>
      <c r="M1489" s="46">
        <f>$J$1489-EFEITO!$K$1489*EFEITO!$Y$1489</f>
        <v>0</v>
      </c>
      <c r="N1489" s="46">
        <f ca="1">$K$1489-EFEITO!$M$1489*EFEITO!$Z$1489</f>
        <v>152.32325601222101</v>
      </c>
      <c r="O1489" s="46">
        <f>$L$1489-EFEITO!$O$1489*EFEITO!$AA$1489</f>
        <v>69.965842847829208</v>
      </c>
      <c r="P1489" s="38"/>
      <c r="Q1489" s="38"/>
      <c r="R1489" s="38"/>
      <c r="S1489" s="38"/>
      <c r="T1489" s="38"/>
      <c r="U1489" s="38"/>
      <c r="V1489" s="38"/>
      <c r="W1489" s="38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</row>
    <row r="1490" spans="1:36" ht="11.25" customHeight="1" x14ac:dyDescent="0.2">
      <c r="A1490" s="35" t="s">
        <v>28</v>
      </c>
      <c r="B1490" s="35" t="s">
        <v>46</v>
      </c>
      <c r="C1490" s="35" t="s">
        <v>23</v>
      </c>
      <c r="D1490" s="35" t="s">
        <v>47</v>
      </c>
      <c r="E1490" s="35" t="s">
        <v>55</v>
      </c>
      <c r="F1490" s="35" t="s">
        <v>56</v>
      </c>
      <c r="G1490" s="35" t="s">
        <v>25</v>
      </c>
      <c r="H1490" s="35" t="s">
        <v>25</v>
      </c>
      <c r="I1490" s="45">
        <v>44621</v>
      </c>
      <c r="J1490" s="46">
        <f>EFEITO!$J$1490*EFEITO!$Y$1110</f>
        <v>0</v>
      </c>
      <c r="K1490" s="46">
        <f ca="1">EFEITO!$L$1490*EFEITO!$Z$1110</f>
        <v>9.0399558464226146</v>
      </c>
      <c r="L1490" s="46">
        <f>EFEITO!$N$1490*EFEITO!$AA$1110</f>
        <v>4.1522755399305016</v>
      </c>
      <c r="M1490" s="46">
        <f>$J$1490-EFEITO!$K$1490*EFEITO!$Y$1490</f>
        <v>0</v>
      </c>
      <c r="N1490" s="46">
        <f ca="1">$K$1490-EFEITO!$M$1490*EFEITO!$Z$1490</f>
        <v>0.54239735078535745</v>
      </c>
      <c r="O1490" s="46">
        <f>$L$1490-EFEITO!$O$1490*EFEITO!$AA$1490</f>
        <v>0.24913653239583056</v>
      </c>
      <c r="P1490" s="38"/>
      <c r="Q1490" s="38"/>
      <c r="R1490" s="38"/>
      <c r="S1490" s="38"/>
      <c r="T1490" s="38"/>
      <c r="U1490" s="38"/>
      <c r="V1490" s="38"/>
      <c r="W1490" s="38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</row>
    <row r="1491" spans="1:36" ht="11.25" customHeight="1" x14ac:dyDescent="0.2">
      <c r="A1491" s="35" t="s">
        <v>21</v>
      </c>
      <c r="B1491" s="35" t="s">
        <v>46</v>
      </c>
      <c r="C1491" s="35" t="s">
        <v>23</v>
      </c>
      <c r="D1491" s="35" t="s">
        <v>47</v>
      </c>
      <c r="E1491" s="35" t="s">
        <v>55</v>
      </c>
      <c r="F1491" s="35" t="s">
        <v>56</v>
      </c>
      <c r="G1491" s="35" t="s">
        <v>25</v>
      </c>
      <c r="H1491" s="35" t="s">
        <v>25</v>
      </c>
      <c r="I1491" s="45">
        <v>44652</v>
      </c>
      <c r="J1491" s="46">
        <f>EFEITO!$J$1491*EFEITO!$Y$1110</f>
        <v>0</v>
      </c>
      <c r="K1491" s="46">
        <f ca="1">EFEITO!$L$1491*EFEITO!$Z$1110</f>
        <v>1888.346332363835</v>
      </c>
      <c r="L1491" s="46">
        <f>EFEITO!$N$1491*EFEITO!$AA$1110</f>
        <v>867.36422389659367</v>
      </c>
      <c r="M1491" s="46">
        <f>$J$1491-EFEITO!$K$1491*EFEITO!$Y$1491</f>
        <v>0</v>
      </c>
      <c r="N1491" s="46">
        <f ca="1">$K$1491-EFEITO!$M$1491*EFEITO!$Z$1491</f>
        <v>113.30077994183011</v>
      </c>
      <c r="O1491" s="46">
        <f>$L$1491-EFEITO!$O$1491*EFEITO!$AA$1491</f>
        <v>52.041853433795723</v>
      </c>
      <c r="P1491" s="38"/>
      <c r="Q1491" s="38"/>
      <c r="R1491" s="38"/>
      <c r="S1491" s="38"/>
      <c r="T1491" s="38"/>
      <c r="U1491" s="38"/>
      <c r="V1491" s="38"/>
      <c r="W1491" s="38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</row>
    <row r="1492" spans="1:36" ht="11.25" customHeight="1" x14ac:dyDescent="0.2">
      <c r="A1492" s="35" t="s">
        <v>27</v>
      </c>
      <c r="B1492" s="35" t="s">
        <v>46</v>
      </c>
      <c r="C1492" s="35" t="s">
        <v>23</v>
      </c>
      <c r="D1492" s="35" t="s">
        <v>47</v>
      </c>
      <c r="E1492" s="35" t="s">
        <v>55</v>
      </c>
      <c r="F1492" s="35" t="s">
        <v>56</v>
      </c>
      <c r="G1492" s="35" t="s">
        <v>25</v>
      </c>
      <c r="H1492" s="35" t="s">
        <v>25</v>
      </c>
      <c r="I1492" s="45">
        <v>44652</v>
      </c>
      <c r="J1492" s="46">
        <f>EFEITO!$J$1492*EFEITO!$Y$1110</f>
        <v>0</v>
      </c>
      <c r="K1492" s="46">
        <f ca="1">EFEITO!$L$1492*EFEITO!$Z$1110</f>
        <v>-6246.6094898780275</v>
      </c>
      <c r="L1492" s="46">
        <f>EFEITO!$N$1492*EFEITO!$AA$1110</f>
        <v>-2869.2223980919771</v>
      </c>
      <c r="M1492" s="46">
        <f>$J$1492-EFEITO!$K$1492*EFEITO!$Y$1492</f>
        <v>0</v>
      </c>
      <c r="N1492" s="46">
        <f ca="1">$K$1492-EFEITO!$M$1492*EFEITO!$Z$1492</f>
        <v>-374.79656939268261</v>
      </c>
      <c r="O1492" s="46">
        <f>$L$1492-EFEITO!$O$1492*EFEITO!$AA$1492</f>
        <v>-172.15334388551901</v>
      </c>
      <c r="P1492" s="38"/>
      <c r="Q1492" s="38"/>
      <c r="R1492" s="38"/>
      <c r="S1492" s="38"/>
      <c r="T1492" s="38"/>
      <c r="U1492" s="38"/>
      <c r="V1492" s="38"/>
      <c r="W1492" s="38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</row>
    <row r="1493" spans="1:36" ht="11.25" customHeight="1" x14ac:dyDescent="0.2">
      <c r="A1493" s="35" t="s">
        <v>28</v>
      </c>
      <c r="B1493" s="35" t="s">
        <v>46</v>
      </c>
      <c r="C1493" s="35" t="s">
        <v>23</v>
      </c>
      <c r="D1493" s="35" t="s">
        <v>47</v>
      </c>
      <c r="E1493" s="35" t="s">
        <v>55</v>
      </c>
      <c r="F1493" s="35" t="s">
        <v>56</v>
      </c>
      <c r="G1493" s="35" t="s">
        <v>25</v>
      </c>
      <c r="H1493" s="35" t="s">
        <v>25</v>
      </c>
      <c r="I1493" s="45">
        <v>44652</v>
      </c>
      <c r="J1493" s="46">
        <f>EFEITO!$J$1493*EFEITO!$Y$1110</f>
        <v>0</v>
      </c>
      <c r="K1493" s="46">
        <f ca="1">EFEITO!$L$1493*EFEITO!$Z$1110</f>
        <v>287.26970800854087</v>
      </c>
      <c r="L1493" s="46">
        <f>EFEITO!$N$1493*EFEITO!$AA$1110</f>
        <v>131.95008938001371</v>
      </c>
      <c r="M1493" s="46">
        <f>$J$1493-EFEITO!$K$1493*EFEITO!$Y$1493</f>
        <v>0</v>
      </c>
      <c r="N1493" s="46">
        <f ca="1">$K$1493-EFEITO!$M$1493*EFEITO!$Z$1493</f>
        <v>17.236182480512468</v>
      </c>
      <c r="O1493" s="46">
        <f>$L$1493-EFEITO!$O$1493*EFEITO!$AA$1493</f>
        <v>7.9170053628008219</v>
      </c>
      <c r="P1493" s="38"/>
      <c r="Q1493" s="38"/>
      <c r="R1493" s="38"/>
      <c r="S1493" s="38"/>
      <c r="T1493" s="38"/>
      <c r="U1493" s="38"/>
      <c r="V1493" s="38"/>
      <c r="W1493" s="38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</row>
    <row r="1494" spans="1:36" ht="11.25" customHeight="1" x14ac:dyDescent="0.2">
      <c r="A1494" s="35" t="s">
        <v>21</v>
      </c>
      <c r="B1494" s="35" t="s">
        <v>46</v>
      </c>
      <c r="C1494" s="35" t="s">
        <v>23</v>
      </c>
      <c r="D1494" s="35" t="s">
        <v>47</v>
      </c>
      <c r="E1494" s="35" t="s">
        <v>55</v>
      </c>
      <c r="F1494" s="35" t="s">
        <v>56</v>
      </c>
      <c r="G1494" s="35" t="s">
        <v>25</v>
      </c>
      <c r="H1494" s="35" t="s">
        <v>25</v>
      </c>
      <c r="I1494" s="45">
        <v>44682</v>
      </c>
      <c r="J1494" s="46">
        <f>EFEITO!$J$1494*EFEITO!$Y$1110</f>
        <v>0</v>
      </c>
      <c r="K1494" s="46">
        <f ca="1">EFEITO!$L$1494*EFEITO!$Z$1110</f>
        <v>8021.4541543923333</v>
      </c>
      <c r="L1494" s="46">
        <f>EFEITO!$N$1494*EFEITO!$AA$1110</f>
        <v>3684.4524957649987</v>
      </c>
      <c r="M1494" s="46">
        <f>$J$1494-EFEITO!$K$1494*EFEITO!$Y$1494</f>
        <v>0</v>
      </c>
      <c r="N1494" s="46">
        <f ca="1">$K$1494-EFEITO!$M$1494*EFEITO!$Z$1494</f>
        <v>481.28724926354062</v>
      </c>
      <c r="O1494" s="46">
        <f>$L$1494-EFEITO!$O$1494*EFEITO!$AA$1494</f>
        <v>221.06714974590022</v>
      </c>
      <c r="P1494" s="38"/>
      <c r="Q1494" s="38"/>
      <c r="R1494" s="38"/>
      <c r="S1494" s="38"/>
      <c r="T1494" s="38"/>
      <c r="U1494" s="38"/>
      <c r="V1494" s="38"/>
      <c r="W1494" s="38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</row>
    <row r="1495" spans="1:36" ht="11.25" customHeight="1" x14ac:dyDescent="0.2">
      <c r="A1495" s="35" t="s">
        <v>27</v>
      </c>
      <c r="B1495" s="35" t="s">
        <v>46</v>
      </c>
      <c r="C1495" s="35" t="s">
        <v>23</v>
      </c>
      <c r="D1495" s="35" t="s">
        <v>47</v>
      </c>
      <c r="E1495" s="35" t="s">
        <v>55</v>
      </c>
      <c r="F1495" s="35" t="s">
        <v>56</v>
      </c>
      <c r="G1495" s="35" t="s">
        <v>25</v>
      </c>
      <c r="H1495" s="35" t="s">
        <v>25</v>
      </c>
      <c r="I1495" s="45">
        <v>44682</v>
      </c>
      <c r="J1495" s="46">
        <f>EFEITO!$J$1495*EFEITO!$Y$1110</f>
        <v>0</v>
      </c>
      <c r="K1495" s="46">
        <f ca="1">EFEITO!$L$1495*EFEITO!$Z$1110</f>
        <v>-129.07048069614513</v>
      </c>
      <c r="L1495" s="46">
        <f>EFEITO!$N$1495*EFEITO!$AA$1110</f>
        <v>-59.285267431229947</v>
      </c>
      <c r="M1495" s="46">
        <f>$J$1495-EFEITO!$K$1495*EFEITO!$Y$1495</f>
        <v>0</v>
      </c>
      <c r="N1495" s="46">
        <f ca="1">$K$1495-EFEITO!$M$1495*EFEITO!$Z$1495</f>
        <v>-7.7442288417687166</v>
      </c>
      <c r="O1495" s="46">
        <f>$L$1495-EFEITO!$O$1495*EFEITO!$AA$1495</f>
        <v>-3.5571160458738049</v>
      </c>
      <c r="P1495" s="38"/>
      <c r="Q1495" s="38"/>
      <c r="R1495" s="38"/>
      <c r="S1495" s="38"/>
      <c r="T1495" s="38"/>
      <c r="U1495" s="38"/>
      <c r="V1495" s="38"/>
      <c r="W1495" s="38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</row>
    <row r="1496" spans="1:36" ht="11.25" customHeight="1" x14ac:dyDescent="0.2">
      <c r="A1496" s="35" t="s">
        <v>28</v>
      </c>
      <c r="B1496" s="35" t="s">
        <v>46</v>
      </c>
      <c r="C1496" s="35" t="s">
        <v>23</v>
      </c>
      <c r="D1496" s="35" t="s">
        <v>47</v>
      </c>
      <c r="E1496" s="35" t="s">
        <v>55</v>
      </c>
      <c r="F1496" s="35" t="s">
        <v>56</v>
      </c>
      <c r="G1496" s="35" t="s">
        <v>25</v>
      </c>
      <c r="H1496" s="35" t="s">
        <v>25</v>
      </c>
      <c r="I1496" s="45">
        <v>44682</v>
      </c>
      <c r="J1496" s="46">
        <f>EFEITO!$J$1496*EFEITO!$Y$1110</f>
        <v>0</v>
      </c>
      <c r="K1496" s="46">
        <f ca="1">EFEITO!$L$1496*EFEITO!$Z$1110</f>
        <v>1292.2114662691881</v>
      </c>
      <c r="L1496" s="46">
        <f>EFEITO!$N$1496*EFEITO!$AA$1110</f>
        <v>593.54472023562118</v>
      </c>
      <c r="M1496" s="46">
        <f>$J$1496-EFEITO!$K$1496*EFEITO!$Y$1496</f>
        <v>0</v>
      </c>
      <c r="N1496" s="46">
        <f ca="1">$K$1496-EFEITO!$M$1496*EFEITO!$Z$1496</f>
        <v>77.532687976151237</v>
      </c>
      <c r="O1496" s="46">
        <f>$L$1496-EFEITO!$O$1496*EFEITO!$AA$1496</f>
        <v>35.612683214137292</v>
      </c>
      <c r="P1496" s="38"/>
      <c r="Q1496" s="38"/>
      <c r="R1496" s="38"/>
      <c r="S1496" s="38"/>
      <c r="T1496" s="38"/>
      <c r="U1496" s="38"/>
      <c r="V1496" s="38"/>
      <c r="W1496" s="38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</row>
    <row r="1497" spans="1:36" ht="11.25" customHeight="1" x14ac:dyDescent="0.2">
      <c r="A1497" s="35" t="s">
        <v>21</v>
      </c>
      <c r="B1497" s="35" t="s">
        <v>46</v>
      </c>
      <c r="C1497" s="35" t="s">
        <v>23</v>
      </c>
      <c r="D1497" s="35" t="s">
        <v>47</v>
      </c>
      <c r="E1497" s="35" t="s">
        <v>55</v>
      </c>
      <c r="F1497" s="35" t="s">
        <v>56</v>
      </c>
      <c r="G1497" s="35" t="s">
        <v>25</v>
      </c>
      <c r="H1497" s="35" t="s">
        <v>25</v>
      </c>
      <c r="I1497" s="45">
        <v>44713</v>
      </c>
      <c r="J1497" s="46">
        <f>EFEITO!$J$1497*EFEITO!$Y$1110</f>
        <v>0</v>
      </c>
      <c r="K1497" s="46">
        <f ca="1">EFEITO!$L$1497*EFEITO!$Z$1110</f>
        <v>4871.0295419140521</v>
      </c>
      <c r="L1497" s="46">
        <f>EFEITO!$N$1497*EFEITO!$AA$1110</f>
        <v>2237.384470099219</v>
      </c>
      <c r="M1497" s="46">
        <f>$J$1497-EFEITO!$K$1497*EFEITO!$Y$1497</f>
        <v>0</v>
      </c>
      <c r="N1497" s="46">
        <f ca="1">$K$1497-EFEITO!$M$1497*EFEITO!$Z$1497</f>
        <v>292.26177251484296</v>
      </c>
      <c r="O1497" s="46">
        <f>$L$1497-EFEITO!$O$1497*EFEITO!$AA$1497</f>
        <v>134.24306820595348</v>
      </c>
      <c r="P1497" s="38"/>
      <c r="Q1497" s="38"/>
      <c r="R1497" s="38"/>
      <c r="S1497" s="38"/>
      <c r="T1497" s="38"/>
      <c r="U1497" s="38"/>
      <c r="V1497" s="38"/>
      <c r="W1497" s="38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</row>
    <row r="1498" spans="1:36" ht="11.25" customHeight="1" x14ac:dyDescent="0.2">
      <c r="A1498" s="35" t="s">
        <v>27</v>
      </c>
      <c r="B1498" s="35" t="s">
        <v>46</v>
      </c>
      <c r="C1498" s="35" t="s">
        <v>23</v>
      </c>
      <c r="D1498" s="35" t="s">
        <v>47</v>
      </c>
      <c r="E1498" s="35" t="s">
        <v>55</v>
      </c>
      <c r="F1498" s="35" t="s">
        <v>56</v>
      </c>
      <c r="G1498" s="35" t="s">
        <v>25</v>
      </c>
      <c r="H1498" s="35" t="s">
        <v>25</v>
      </c>
      <c r="I1498" s="45">
        <v>44713</v>
      </c>
      <c r="J1498" s="46">
        <f>EFEITO!$J$1498*EFEITO!$Y$1110</f>
        <v>0</v>
      </c>
      <c r="K1498" s="46">
        <f ca="1">EFEITO!$L$1498*EFEITO!$Z$1110</f>
        <v>-3576.8091965678814</v>
      </c>
      <c r="L1498" s="46">
        <f>EFEITO!$N$1498*EFEITO!$AA$1110</f>
        <v>-1642.9170219658354</v>
      </c>
      <c r="M1498" s="46">
        <f>$J$1498-EFEITO!$K$1498*EFEITO!$Y$1498</f>
        <v>0</v>
      </c>
      <c r="N1498" s="46">
        <f ca="1">$K$1498-EFEITO!$M$1498*EFEITO!$Z$1498</f>
        <v>-214.60855179407326</v>
      </c>
      <c r="O1498" s="46">
        <f>$L$1498-EFEITO!$O$1498*EFEITO!$AA$1498</f>
        <v>-98.575021317950359</v>
      </c>
      <c r="P1498" s="38"/>
      <c r="Q1498" s="38"/>
      <c r="R1498" s="38"/>
      <c r="S1498" s="38"/>
      <c r="T1498" s="38"/>
      <c r="U1498" s="38"/>
      <c r="V1498" s="38"/>
      <c r="W1498" s="38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</row>
    <row r="1499" spans="1:36" ht="11.25" customHeight="1" x14ac:dyDescent="0.2">
      <c r="A1499" s="35" t="s">
        <v>28</v>
      </c>
      <c r="B1499" s="35" t="s">
        <v>46</v>
      </c>
      <c r="C1499" s="35" t="s">
        <v>23</v>
      </c>
      <c r="D1499" s="35" t="s">
        <v>47</v>
      </c>
      <c r="E1499" s="35" t="s">
        <v>55</v>
      </c>
      <c r="F1499" s="35" t="s">
        <v>56</v>
      </c>
      <c r="G1499" s="35" t="s">
        <v>25</v>
      </c>
      <c r="H1499" s="35" t="s">
        <v>25</v>
      </c>
      <c r="I1499" s="45">
        <v>44713</v>
      </c>
      <c r="J1499" s="46">
        <f>EFEITO!$J$1499*EFEITO!$Y$1110</f>
        <v>0</v>
      </c>
      <c r="K1499" s="46">
        <f ca="1">EFEITO!$L$1499*EFEITO!$Z$1110</f>
        <v>502.72198901494647</v>
      </c>
      <c r="L1499" s="46">
        <f>EFEITO!$N$1499*EFEITO!$AA$1110</f>
        <v>230.912656415024</v>
      </c>
      <c r="M1499" s="46">
        <f>$J$1499-EFEITO!$K$1499*EFEITO!$Y$1499</f>
        <v>0</v>
      </c>
      <c r="N1499" s="46">
        <f ca="1">$K$1499-EFEITO!$M$1499*EFEITO!$Z$1499</f>
        <v>30.163319340896805</v>
      </c>
      <c r="O1499" s="46">
        <f>$L$1499-EFEITO!$O$1499*EFEITO!$AA$1499</f>
        <v>13.854759384901456</v>
      </c>
      <c r="P1499" s="38"/>
      <c r="Q1499" s="38"/>
      <c r="R1499" s="38"/>
      <c r="S1499" s="38"/>
      <c r="T1499" s="38"/>
      <c r="U1499" s="38"/>
      <c r="V1499" s="38"/>
      <c r="W1499" s="38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</row>
    <row r="1500" spans="1:36" ht="11.25" customHeight="1" x14ac:dyDescent="0.2">
      <c r="A1500" s="35" t="s">
        <v>21</v>
      </c>
      <c r="B1500" s="35" t="s">
        <v>46</v>
      </c>
      <c r="C1500" s="35" t="s">
        <v>23</v>
      </c>
      <c r="D1500" s="35" t="s">
        <v>47</v>
      </c>
      <c r="E1500" s="35" t="s">
        <v>55</v>
      </c>
      <c r="F1500" s="35" t="s">
        <v>56</v>
      </c>
      <c r="G1500" s="35" t="s">
        <v>25</v>
      </c>
      <c r="H1500" s="35" t="s">
        <v>25</v>
      </c>
      <c r="I1500" s="45">
        <v>44743</v>
      </c>
      <c r="J1500" s="46">
        <f>EFEITO!$J$1500*EFEITO!$Y$1110</f>
        <v>0</v>
      </c>
      <c r="K1500" s="46">
        <f ca="1">EFEITO!$L$1500*EFEITO!$Z$1110</f>
        <v>1509.6726263525766</v>
      </c>
      <c r="L1500" s="46">
        <f>EFEITO!$N$1500*EFEITO!$AA$1110</f>
        <v>693.43001516839377</v>
      </c>
      <c r="M1500" s="46">
        <f>$J$1500-EFEITO!$K$1500*EFEITO!$Y$1500</f>
        <v>0</v>
      </c>
      <c r="N1500" s="46">
        <f ca="1">$K$1500-EFEITO!$M$1500*EFEITO!$Z$1500</f>
        <v>90.580357581154658</v>
      </c>
      <c r="O1500" s="46">
        <f>$L$1500-EFEITO!$O$1500*EFEITO!$AA$1500</f>
        <v>41.605800910103653</v>
      </c>
      <c r="P1500" s="38"/>
      <c r="Q1500" s="38"/>
      <c r="R1500" s="38"/>
      <c r="S1500" s="38"/>
      <c r="T1500" s="38"/>
      <c r="U1500" s="38"/>
      <c r="V1500" s="38"/>
      <c r="W1500" s="38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</row>
    <row r="1501" spans="1:36" ht="11.25" customHeight="1" x14ac:dyDescent="0.2">
      <c r="A1501" s="35" t="s">
        <v>28</v>
      </c>
      <c r="B1501" s="35" t="s">
        <v>46</v>
      </c>
      <c r="C1501" s="35" t="s">
        <v>23</v>
      </c>
      <c r="D1501" s="35" t="s">
        <v>47</v>
      </c>
      <c r="E1501" s="35" t="s">
        <v>55</v>
      </c>
      <c r="F1501" s="35" t="s">
        <v>56</v>
      </c>
      <c r="G1501" s="35" t="s">
        <v>25</v>
      </c>
      <c r="H1501" s="35" t="s">
        <v>25</v>
      </c>
      <c r="I1501" s="45">
        <v>44743</v>
      </c>
      <c r="J1501" s="46">
        <f>EFEITO!$J$1501*EFEITO!$Y$1110</f>
        <v>0</v>
      </c>
      <c r="K1501" s="46">
        <f ca="1">EFEITO!$L$1501*EFEITO!$Z$1110</f>
        <v>859.80024494863983</v>
      </c>
      <c r="L1501" s="46">
        <f>EFEITO!$N$1501*EFEITO!$AA$1110</f>
        <v>394.92754024227884</v>
      </c>
      <c r="M1501" s="46">
        <f>$J$1501-EFEITO!$K$1501*EFEITO!$Y$1501</f>
        <v>0</v>
      </c>
      <c r="N1501" s="46">
        <f ca="1">$K$1501-EFEITO!$M$1501*EFEITO!$Z$1501</f>
        <v>51.588014696918435</v>
      </c>
      <c r="O1501" s="46">
        <f>$L$1501-EFEITO!$O$1501*EFEITO!$AA$1501</f>
        <v>23.695652414536767</v>
      </c>
      <c r="P1501" s="38"/>
      <c r="Q1501" s="38"/>
      <c r="R1501" s="38"/>
      <c r="S1501" s="38"/>
      <c r="T1501" s="38"/>
      <c r="U1501" s="38"/>
      <c r="V1501" s="38"/>
      <c r="W1501" s="38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</row>
    <row r="1502" spans="1:36" ht="11.25" customHeight="1" x14ac:dyDescent="0.2">
      <c r="A1502" s="35" t="s">
        <v>21</v>
      </c>
      <c r="B1502" s="35" t="s">
        <v>46</v>
      </c>
      <c r="C1502" s="35" t="s">
        <v>23</v>
      </c>
      <c r="D1502" s="35" t="s">
        <v>47</v>
      </c>
      <c r="E1502" s="35" t="s">
        <v>55</v>
      </c>
      <c r="F1502" s="35" t="s">
        <v>56</v>
      </c>
      <c r="G1502" s="35" t="s">
        <v>25</v>
      </c>
      <c r="H1502" s="35" t="s">
        <v>25</v>
      </c>
      <c r="I1502" s="45">
        <v>44774</v>
      </c>
      <c r="J1502" s="46">
        <f>EFEITO!$J$1502*EFEITO!$Y$1110</f>
        <v>0</v>
      </c>
      <c r="K1502" s="46">
        <f ca="1">EFEITO!$L$1502*EFEITO!$Z$1110</f>
        <v>882.40013456469626</v>
      </c>
      <c r="L1502" s="46">
        <f>EFEITO!$N$1502*EFEITO!$AA$1110</f>
        <v>405.30822909210508</v>
      </c>
      <c r="M1502" s="46">
        <f>$J$1502-EFEITO!$K$1502*EFEITO!$Y$1502</f>
        <v>0</v>
      </c>
      <c r="N1502" s="46">
        <f ca="1">$K$1502-EFEITO!$M$1502*EFEITO!$Z$1502</f>
        <v>52.944008073881832</v>
      </c>
      <c r="O1502" s="46">
        <f>$L$1502-EFEITO!$O$1502*EFEITO!$AA$1502</f>
        <v>24.318493745526325</v>
      </c>
      <c r="P1502" s="38"/>
      <c r="Q1502" s="38"/>
      <c r="R1502" s="38"/>
      <c r="S1502" s="38"/>
      <c r="T1502" s="38"/>
      <c r="U1502" s="38"/>
      <c r="V1502" s="38"/>
      <c r="W1502" s="38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</row>
    <row r="1503" spans="1:36" ht="11.25" customHeight="1" x14ac:dyDescent="0.2">
      <c r="A1503" s="35" t="s">
        <v>28</v>
      </c>
      <c r="B1503" s="35" t="s">
        <v>46</v>
      </c>
      <c r="C1503" s="35" t="s">
        <v>23</v>
      </c>
      <c r="D1503" s="35" t="s">
        <v>47</v>
      </c>
      <c r="E1503" s="35" t="s">
        <v>55</v>
      </c>
      <c r="F1503" s="35" t="s">
        <v>56</v>
      </c>
      <c r="G1503" s="35" t="s">
        <v>25</v>
      </c>
      <c r="H1503" s="35" t="s">
        <v>25</v>
      </c>
      <c r="I1503" s="45">
        <v>44774</v>
      </c>
      <c r="J1503" s="46">
        <f>EFEITO!$J$1503*EFEITO!$Y$1110</f>
        <v>0</v>
      </c>
      <c r="K1503" s="46">
        <f ca="1">EFEITO!$L$1503*EFEITO!$Z$1110</f>
        <v>1184.7364356506082</v>
      </c>
      <c r="L1503" s="46">
        <f>EFEITO!$N$1503*EFEITO!$AA$1110</f>
        <v>544.1787777053363</v>
      </c>
      <c r="M1503" s="46">
        <f>$J$1503-EFEITO!$K$1503*EFEITO!$Y$1503</f>
        <v>0</v>
      </c>
      <c r="N1503" s="46">
        <f ca="1">$K$1503-EFEITO!$M$1503*EFEITO!$Z$1503</f>
        <v>71.084186139036547</v>
      </c>
      <c r="O1503" s="46">
        <f>$L$1503-EFEITO!$O$1503*EFEITO!$AA$1503</f>
        <v>32.65072666232021</v>
      </c>
      <c r="P1503" s="38"/>
      <c r="Q1503" s="38"/>
      <c r="R1503" s="38"/>
      <c r="S1503" s="38"/>
      <c r="T1503" s="38"/>
      <c r="U1503" s="38"/>
      <c r="V1503" s="38"/>
      <c r="W1503" s="38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</row>
    <row r="1504" spans="1:36" ht="11.25" customHeight="1" x14ac:dyDescent="0.2">
      <c r="A1504" s="35" t="s">
        <v>21</v>
      </c>
      <c r="B1504" s="35" t="s">
        <v>46</v>
      </c>
      <c r="C1504" s="35" t="s">
        <v>23</v>
      </c>
      <c r="D1504" s="35" t="s">
        <v>47</v>
      </c>
      <c r="E1504" s="35" t="s">
        <v>55</v>
      </c>
      <c r="F1504" s="35" t="s">
        <v>56</v>
      </c>
      <c r="G1504" s="35" t="s">
        <v>25</v>
      </c>
      <c r="H1504" s="35" t="s">
        <v>25</v>
      </c>
      <c r="I1504" s="45">
        <v>44805</v>
      </c>
      <c r="J1504" s="46">
        <f>EFEITO!$J$1504*EFEITO!$Y$1110</f>
        <v>0</v>
      </c>
      <c r="K1504" s="46">
        <f ca="1">EFEITO!$L$1504*EFEITO!$Z$1110</f>
        <v>2183.1493369110617</v>
      </c>
      <c r="L1504" s="46">
        <f>EFEITO!$N$1504*EFEITO!$AA$1110</f>
        <v>1002.7745428932163</v>
      </c>
      <c r="M1504" s="46">
        <f>$J$1504-EFEITO!$K$1504*EFEITO!$Y$1504</f>
        <v>0</v>
      </c>
      <c r="N1504" s="46">
        <f ca="1">$K$1504-EFEITO!$M$1504*EFEITO!$Z$1504</f>
        <v>130.98896021466362</v>
      </c>
      <c r="O1504" s="46">
        <f>$L$1504-EFEITO!$O$1504*EFEITO!$AA$1504</f>
        <v>60.166472573593069</v>
      </c>
      <c r="P1504" s="38"/>
      <c r="Q1504" s="38"/>
      <c r="R1504" s="38"/>
      <c r="S1504" s="38"/>
      <c r="T1504" s="38"/>
      <c r="U1504" s="38"/>
      <c r="V1504" s="38"/>
      <c r="W1504" s="38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</row>
    <row r="1505" spans="1:36" ht="11.25" customHeight="1" x14ac:dyDescent="0.2">
      <c r="A1505" s="35" t="s">
        <v>28</v>
      </c>
      <c r="B1505" s="35" t="s">
        <v>46</v>
      </c>
      <c r="C1505" s="35" t="s">
        <v>23</v>
      </c>
      <c r="D1505" s="35" t="s">
        <v>47</v>
      </c>
      <c r="E1505" s="35" t="s">
        <v>55</v>
      </c>
      <c r="F1505" s="35" t="s">
        <v>56</v>
      </c>
      <c r="G1505" s="35" t="s">
        <v>25</v>
      </c>
      <c r="H1505" s="35" t="s">
        <v>25</v>
      </c>
      <c r="I1505" s="45">
        <v>44805</v>
      </c>
      <c r="J1505" s="46">
        <f>EFEITO!$J$1505*EFEITO!$Y$1110</f>
        <v>0</v>
      </c>
      <c r="K1505" s="46">
        <f ca="1">EFEITO!$L$1505*EFEITO!$Z$1110</f>
        <v>1224.4117974210187</v>
      </c>
      <c r="L1505" s="46">
        <f>EFEITO!$N$1505*EFEITO!$AA$1110</f>
        <v>562.40265368614246</v>
      </c>
      <c r="M1505" s="46">
        <f>$J$1505-EFEITO!$K$1505*EFEITO!$Y$1505</f>
        <v>0</v>
      </c>
      <c r="N1505" s="46">
        <f ca="1">$K$1505-EFEITO!$M$1505*EFEITO!$Z$1505</f>
        <v>73.464707845261273</v>
      </c>
      <c r="O1505" s="46">
        <f>$L$1505-EFEITO!$O$1505*EFEITO!$AA$1505</f>
        <v>33.744159221168616</v>
      </c>
      <c r="P1505" s="38"/>
      <c r="Q1505" s="38"/>
      <c r="R1505" s="38"/>
      <c r="S1505" s="38"/>
      <c r="T1505" s="38"/>
      <c r="U1505" s="38"/>
      <c r="V1505" s="38"/>
      <c r="W1505" s="38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</row>
    <row r="1506" spans="1:36" ht="11.25" customHeight="1" x14ac:dyDescent="0.2">
      <c r="A1506" s="35" t="s">
        <v>21</v>
      </c>
      <c r="B1506" s="35" t="s">
        <v>46</v>
      </c>
      <c r="C1506" s="35" t="s">
        <v>23</v>
      </c>
      <c r="D1506" s="35" t="s">
        <v>47</v>
      </c>
      <c r="E1506" s="35" t="s">
        <v>55</v>
      </c>
      <c r="F1506" s="35" t="s">
        <v>56</v>
      </c>
      <c r="G1506" s="35" t="s">
        <v>25</v>
      </c>
      <c r="H1506" s="35" t="s">
        <v>25</v>
      </c>
      <c r="I1506" s="45">
        <v>44835</v>
      </c>
      <c r="J1506" s="46">
        <f>EFEITO!$J$1506*EFEITO!$Y$1110</f>
        <v>0</v>
      </c>
      <c r="K1506" s="46">
        <f ca="1">EFEITO!$L$1506*EFEITO!$Z$1110</f>
        <v>3863.0744650379311</v>
      </c>
      <c r="L1506" s="46">
        <f>EFEITO!$N$1506*EFEITO!$AA$1110</f>
        <v>1774.4057473969679</v>
      </c>
      <c r="M1506" s="46">
        <f>$J$1506-EFEITO!$K$1506*EFEITO!$Y$1506</f>
        <v>0</v>
      </c>
      <c r="N1506" s="46">
        <f ca="1">$K$1506-EFEITO!$M$1506*EFEITO!$Z$1506</f>
        <v>231.78446790227645</v>
      </c>
      <c r="O1506" s="46">
        <f>$L$1506-EFEITO!$O$1506*EFEITO!$AA$1506</f>
        <v>106.46434484381825</v>
      </c>
      <c r="P1506" s="38"/>
      <c r="Q1506" s="38"/>
      <c r="R1506" s="38"/>
      <c r="S1506" s="38"/>
      <c r="T1506" s="38"/>
      <c r="U1506" s="38"/>
      <c r="V1506" s="38"/>
      <c r="W1506" s="38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</row>
    <row r="1507" spans="1:36" ht="11.25" customHeight="1" x14ac:dyDescent="0.2">
      <c r="A1507" s="35" t="s">
        <v>28</v>
      </c>
      <c r="B1507" s="35" t="s">
        <v>46</v>
      </c>
      <c r="C1507" s="35" t="s">
        <v>23</v>
      </c>
      <c r="D1507" s="35" t="s">
        <v>47</v>
      </c>
      <c r="E1507" s="35" t="s">
        <v>55</v>
      </c>
      <c r="F1507" s="35" t="s">
        <v>56</v>
      </c>
      <c r="G1507" s="35" t="s">
        <v>25</v>
      </c>
      <c r="H1507" s="35" t="s">
        <v>25</v>
      </c>
      <c r="I1507" s="45">
        <v>44835</v>
      </c>
      <c r="J1507" s="46">
        <f>EFEITO!$J$1507*EFEITO!$Y$1110</f>
        <v>0</v>
      </c>
      <c r="K1507" s="46">
        <f ca="1">EFEITO!$L$1507*EFEITO!$Z$1110</f>
        <v>1582.4944928932032</v>
      </c>
      <c r="L1507" s="46">
        <f>EFEITO!$N$1507*EFEITO!$AA$1110</f>
        <v>726.87890146227835</v>
      </c>
      <c r="M1507" s="46">
        <f>$J$1507-EFEITO!$K$1507*EFEITO!$Y$1507</f>
        <v>0</v>
      </c>
      <c r="N1507" s="46">
        <f ca="1">$K$1507-EFEITO!$M$1507*EFEITO!$Z$1507</f>
        <v>94.949669573592246</v>
      </c>
      <c r="O1507" s="46">
        <f>$L$1507-EFEITO!$O$1507*EFEITO!$AA$1507</f>
        <v>43.612734087736726</v>
      </c>
      <c r="P1507" s="38"/>
      <c r="Q1507" s="38"/>
      <c r="R1507" s="38"/>
      <c r="S1507" s="38"/>
      <c r="T1507" s="38"/>
      <c r="U1507" s="38"/>
      <c r="V1507" s="38"/>
      <c r="W1507" s="38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</row>
    <row r="1508" spans="1:36" ht="11.25" customHeight="1" x14ac:dyDescent="0.2">
      <c r="A1508" s="35" t="s">
        <v>59</v>
      </c>
      <c r="B1508" s="35" t="s">
        <v>46</v>
      </c>
      <c r="C1508" s="35" t="s">
        <v>23</v>
      </c>
      <c r="D1508" s="35" t="s">
        <v>47</v>
      </c>
      <c r="E1508" s="35" t="s">
        <v>55</v>
      </c>
      <c r="F1508" s="35" t="s">
        <v>56</v>
      </c>
      <c r="G1508" s="35" t="s">
        <v>25</v>
      </c>
      <c r="H1508" s="35" t="s">
        <v>25</v>
      </c>
      <c r="I1508" s="45">
        <v>44866</v>
      </c>
      <c r="J1508" s="46">
        <f>EFEITO!$J$1508*EFEITO!$Y$1110</f>
        <v>0</v>
      </c>
      <c r="K1508" s="46">
        <f ca="1">EFEITO!$L$1508*EFEITO!$Z$1110</f>
        <v>3863.0744650379311</v>
      </c>
      <c r="L1508" s="46">
        <f>EFEITO!$N$1508*EFEITO!$AA$1110</f>
        <v>1774.4057473969679</v>
      </c>
      <c r="M1508" s="46">
        <f>$J$1508-EFEITO!$K$1508*EFEITO!$Y$1508</f>
        <v>0</v>
      </c>
      <c r="N1508" s="46">
        <f ca="1">$K$1508-EFEITO!$M$1508*EFEITO!$Z$1508</f>
        <v>231.78446790227645</v>
      </c>
      <c r="O1508" s="46">
        <f>$L$1508-EFEITO!$O$1508*EFEITO!$AA$1508</f>
        <v>106.46434484381825</v>
      </c>
      <c r="P1508" s="38"/>
      <c r="Q1508" s="38"/>
      <c r="R1508" s="38"/>
      <c r="S1508" s="38"/>
      <c r="T1508" s="38"/>
      <c r="U1508" s="38"/>
      <c r="V1508" s="38"/>
      <c r="W1508" s="38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</row>
    <row r="1509" spans="1:36" ht="11.25" customHeight="1" x14ac:dyDescent="0.2">
      <c r="A1509" s="35" t="s">
        <v>59</v>
      </c>
      <c r="B1509" s="35" t="s">
        <v>46</v>
      </c>
      <c r="C1509" s="35" t="s">
        <v>23</v>
      </c>
      <c r="D1509" s="35" t="s">
        <v>47</v>
      </c>
      <c r="E1509" s="35" t="s">
        <v>55</v>
      </c>
      <c r="F1509" s="35" t="s">
        <v>56</v>
      </c>
      <c r="G1509" s="35" t="s">
        <v>25</v>
      </c>
      <c r="H1509" s="35" t="s">
        <v>25</v>
      </c>
      <c r="I1509" s="45">
        <v>44866</v>
      </c>
      <c r="J1509" s="46">
        <f>EFEITO!$J$1509*EFEITO!$Y$1110</f>
        <v>0</v>
      </c>
      <c r="K1509" s="46">
        <f ca="1">EFEITO!$L$1509*EFEITO!$Z$1110</f>
        <v>1582.4944928932032</v>
      </c>
      <c r="L1509" s="46">
        <f>EFEITO!$N$1509*EFEITO!$AA$1110</f>
        <v>726.87890146227835</v>
      </c>
      <c r="M1509" s="46">
        <f>$J$1509-EFEITO!$K$1509*EFEITO!$Y$1509</f>
        <v>0</v>
      </c>
      <c r="N1509" s="46">
        <f ca="1">$K$1509-EFEITO!$M$1509*EFEITO!$Z$1509</f>
        <v>94.949669573592246</v>
      </c>
      <c r="O1509" s="46">
        <f>$L$1509-EFEITO!$O$1509*EFEITO!$AA$1509</f>
        <v>43.612734087736726</v>
      </c>
      <c r="P1509" s="38"/>
      <c r="Q1509" s="38"/>
      <c r="R1509" s="38"/>
      <c r="S1509" s="38"/>
      <c r="T1509" s="38"/>
      <c r="U1509" s="38"/>
      <c r="V1509" s="38"/>
      <c r="W1509" s="38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</row>
    <row r="1510" spans="1:36" ht="11.25" customHeight="1" x14ac:dyDescent="0.2">
      <c r="A1510" s="35" t="s">
        <v>21</v>
      </c>
      <c r="B1510" s="35" t="s">
        <v>46</v>
      </c>
      <c r="C1510" s="35" t="s">
        <v>23</v>
      </c>
      <c r="D1510" s="35" t="s">
        <v>47</v>
      </c>
      <c r="E1510" s="35" t="s">
        <v>55</v>
      </c>
      <c r="F1510" s="35" t="s">
        <v>57</v>
      </c>
      <c r="G1510" s="35" t="s">
        <v>25</v>
      </c>
      <c r="H1510" s="35" t="s">
        <v>25</v>
      </c>
      <c r="I1510" s="45">
        <v>44531</v>
      </c>
      <c r="J1510" s="46">
        <f>EFEITO!$J$1510*EFEITO!$Y$1110</f>
        <v>0</v>
      </c>
      <c r="K1510" s="46">
        <f ca="1">EFEITO!$L$1510*EFEITO!$Z$1110</f>
        <v>945.17760572040891</v>
      </c>
      <c r="L1510" s="46">
        <f>EFEITO!$N$1510*EFEITO!$AA$1110</f>
        <v>434.14347589717801</v>
      </c>
      <c r="M1510" s="46">
        <f>$J$1510-EFEITO!$K$1510*EFEITO!$Y$1510</f>
        <v>0</v>
      </c>
      <c r="N1510" s="46">
        <f ca="1">$K$1510-EFEITO!$M$1510*EFEITO!$Z$1510</f>
        <v>651.9835124259381</v>
      </c>
      <c r="O1510" s="46">
        <f>$L$1510-EFEITO!$O$1510*EFEITO!$AA$1510</f>
        <v>299.4721696738734</v>
      </c>
      <c r="P1510" s="38"/>
      <c r="Q1510" s="38"/>
      <c r="R1510" s="38"/>
      <c r="S1510" s="38"/>
      <c r="T1510" s="38"/>
      <c r="U1510" s="38"/>
      <c r="V1510" s="38"/>
      <c r="W1510" s="38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</row>
    <row r="1511" spans="1:36" ht="11.25" customHeight="1" x14ac:dyDescent="0.2">
      <c r="A1511" s="35" t="s">
        <v>28</v>
      </c>
      <c r="B1511" s="35" t="s">
        <v>46</v>
      </c>
      <c r="C1511" s="35" t="s">
        <v>23</v>
      </c>
      <c r="D1511" s="35" t="s">
        <v>47</v>
      </c>
      <c r="E1511" s="35" t="s">
        <v>55</v>
      </c>
      <c r="F1511" s="35" t="s">
        <v>57</v>
      </c>
      <c r="G1511" s="35" t="s">
        <v>25</v>
      </c>
      <c r="H1511" s="35" t="s">
        <v>25</v>
      </c>
      <c r="I1511" s="45">
        <v>44531</v>
      </c>
      <c r="J1511" s="46">
        <f>EFEITO!$J$1511*EFEITO!$Y$1110</f>
        <v>0</v>
      </c>
      <c r="K1511" s="46">
        <f ca="1">EFEITO!$L$1511*EFEITO!$Z$1110</f>
        <v>614.71699755673785</v>
      </c>
      <c r="L1511" s="46">
        <f>EFEITO!$N$1511*EFEITO!$AA$1110</f>
        <v>282.35473671527416</v>
      </c>
      <c r="M1511" s="46">
        <f>$J$1511-EFEITO!$K$1511*EFEITO!$Y$1511</f>
        <v>0</v>
      </c>
      <c r="N1511" s="46">
        <f ca="1">$K$1511-EFEITO!$M$1511*EFEITO!$Z$1511</f>
        <v>424.0317849146378</v>
      </c>
      <c r="O1511" s="46">
        <f>$L$1511-EFEITO!$O$1511*EFEITO!$AA$1511</f>
        <v>194.76829738619614</v>
      </c>
      <c r="P1511" s="38"/>
      <c r="Q1511" s="38"/>
      <c r="R1511" s="38"/>
      <c r="S1511" s="38"/>
      <c r="T1511" s="38"/>
      <c r="U1511" s="38"/>
      <c r="V1511" s="38"/>
      <c r="W1511" s="38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</row>
    <row r="1512" spans="1:36" ht="11.25" customHeight="1" x14ac:dyDescent="0.2">
      <c r="A1512" s="35" t="s">
        <v>21</v>
      </c>
      <c r="B1512" s="35" t="s">
        <v>46</v>
      </c>
      <c r="C1512" s="35" t="s">
        <v>23</v>
      </c>
      <c r="D1512" s="35" t="s">
        <v>47</v>
      </c>
      <c r="E1512" s="35" t="s">
        <v>55</v>
      </c>
      <c r="F1512" s="35" t="s">
        <v>57</v>
      </c>
      <c r="G1512" s="35" t="s">
        <v>25</v>
      </c>
      <c r="H1512" s="35" t="s">
        <v>25</v>
      </c>
      <c r="I1512" s="45">
        <v>44562</v>
      </c>
      <c r="J1512" s="46">
        <f>EFEITO!$J$1512*EFEITO!$Y$1110</f>
        <v>0</v>
      </c>
      <c r="K1512" s="46">
        <f ca="1">EFEITO!$L$1512*EFEITO!$Z$1110</f>
        <v>678.49890825094178</v>
      </c>
      <c r="L1512" s="46">
        <f>EFEITO!$N$1512*EFEITO!$AA$1110</f>
        <v>311.65134746922826</v>
      </c>
      <c r="M1512" s="46">
        <f>$J$1512-EFEITO!$K$1512*EFEITO!$Y$1512</f>
        <v>0</v>
      </c>
      <c r="N1512" s="46">
        <f ca="1">$K$1512-EFEITO!$M$1512*EFEITO!$Z$1512</f>
        <v>468.02854691149963</v>
      </c>
      <c r="O1512" s="46">
        <f>$L$1512-EFEITO!$O$1512*EFEITO!$AA$1512</f>
        <v>214.97709948427365</v>
      </c>
      <c r="P1512" s="38"/>
      <c r="Q1512" s="38"/>
      <c r="R1512" s="38"/>
      <c r="S1512" s="38"/>
      <c r="T1512" s="38"/>
      <c r="U1512" s="38"/>
      <c r="V1512" s="38"/>
      <c r="W1512" s="38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</row>
    <row r="1513" spans="1:36" ht="11.25" customHeight="1" x14ac:dyDescent="0.2">
      <c r="A1513" s="35" t="s">
        <v>28</v>
      </c>
      <c r="B1513" s="35" t="s">
        <v>46</v>
      </c>
      <c r="C1513" s="35" t="s">
        <v>23</v>
      </c>
      <c r="D1513" s="35" t="s">
        <v>47</v>
      </c>
      <c r="E1513" s="35" t="s">
        <v>55</v>
      </c>
      <c r="F1513" s="35" t="s">
        <v>57</v>
      </c>
      <c r="G1513" s="35" t="s">
        <v>25</v>
      </c>
      <c r="H1513" s="35" t="s">
        <v>25</v>
      </c>
      <c r="I1513" s="45">
        <v>44562</v>
      </c>
      <c r="J1513" s="46">
        <f>EFEITO!$J$1513*EFEITO!$Y$1110</f>
        <v>0</v>
      </c>
      <c r="K1513" s="46">
        <f ca="1">EFEITO!$L$1513*EFEITO!$Z$1110</f>
        <v>1957.150440750496</v>
      </c>
      <c r="L1513" s="46">
        <f>EFEITO!$N$1513*EFEITO!$AA$1110</f>
        <v>898.96765439495368</v>
      </c>
      <c r="M1513" s="46">
        <f>$J$1513-EFEITO!$K$1513*EFEITO!$Y$1513</f>
        <v>0</v>
      </c>
      <c r="N1513" s="46">
        <f ca="1">$K$1513-EFEITO!$M$1513*EFEITO!$Z$1513</f>
        <v>1350.0423740296922</v>
      </c>
      <c r="O1513" s="46">
        <f>$L$1513-EFEITO!$O$1513*EFEITO!$AA$1513</f>
        <v>620.10788800163914</v>
      </c>
      <c r="P1513" s="38"/>
      <c r="Q1513" s="38"/>
      <c r="R1513" s="38"/>
      <c r="S1513" s="38"/>
      <c r="T1513" s="38"/>
      <c r="U1513" s="38"/>
      <c r="V1513" s="38"/>
      <c r="W1513" s="38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</row>
    <row r="1514" spans="1:36" ht="11.25" customHeight="1" x14ac:dyDescent="0.2">
      <c r="A1514" s="35" t="s">
        <v>29</v>
      </c>
      <c r="B1514" s="35" t="s">
        <v>46</v>
      </c>
      <c r="C1514" s="35" t="s">
        <v>23</v>
      </c>
      <c r="D1514" s="35" t="s">
        <v>47</v>
      </c>
      <c r="E1514" s="35" t="s">
        <v>55</v>
      </c>
      <c r="F1514" s="35" t="s">
        <v>57</v>
      </c>
      <c r="G1514" s="35" t="s">
        <v>25</v>
      </c>
      <c r="H1514" s="35" t="s">
        <v>25</v>
      </c>
      <c r="I1514" s="45">
        <v>44562</v>
      </c>
      <c r="J1514" s="46">
        <f>EFEITO!$J$1514*EFEITO!$Y$1110</f>
        <v>0</v>
      </c>
      <c r="K1514" s="46">
        <f ca="1">EFEITO!$L$1514*EFEITO!$Z$1110</f>
        <v>245.08324739190201</v>
      </c>
      <c r="L1514" s="46">
        <f>EFEITO!$N$1514*EFEITO!$AA$1110</f>
        <v>112.57280352700472</v>
      </c>
      <c r="M1514" s="46">
        <f>$J$1514-EFEITO!$K$1514*EFEITO!$Y$1514</f>
        <v>0</v>
      </c>
      <c r="N1514" s="46">
        <f ca="1">$K$1514-EFEITO!$M$1514*EFEITO!$Z$1514</f>
        <v>169.05842405093401</v>
      </c>
      <c r="O1514" s="46">
        <f>$L$1514-EFEITO!$O$1514*EFEITO!$AA$1514</f>
        <v>77.652719872927861</v>
      </c>
      <c r="P1514" s="38"/>
      <c r="Q1514" s="38"/>
      <c r="R1514" s="38"/>
      <c r="S1514" s="38"/>
      <c r="T1514" s="38"/>
      <c r="U1514" s="38"/>
      <c r="V1514" s="38"/>
      <c r="W1514" s="38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</row>
    <row r="1515" spans="1:36" ht="11.25" customHeight="1" x14ac:dyDescent="0.2">
      <c r="A1515" s="35" t="s">
        <v>21</v>
      </c>
      <c r="B1515" s="35" t="s">
        <v>46</v>
      </c>
      <c r="C1515" s="35" t="s">
        <v>23</v>
      </c>
      <c r="D1515" s="35" t="s">
        <v>47</v>
      </c>
      <c r="E1515" s="35" t="s">
        <v>55</v>
      </c>
      <c r="F1515" s="35" t="s">
        <v>57</v>
      </c>
      <c r="G1515" s="35" t="s">
        <v>25</v>
      </c>
      <c r="H1515" s="35" t="s">
        <v>25</v>
      </c>
      <c r="I1515" s="45">
        <v>44593</v>
      </c>
      <c r="J1515" s="46">
        <f>EFEITO!$J$1515*EFEITO!$Y$1110</f>
        <v>0</v>
      </c>
      <c r="K1515" s="46">
        <f ca="1">EFEITO!$L$1515*EFEITO!$Z$1110</f>
        <v>978.32411049062523</v>
      </c>
      <c r="L1515" s="46">
        <f>EFEITO!$N$1515*EFEITO!$AA$1110</f>
        <v>449.36848621025655</v>
      </c>
      <c r="M1515" s="46">
        <f>$J$1515-EFEITO!$K$1515*EFEITO!$Y$1515</f>
        <v>0</v>
      </c>
      <c r="N1515" s="46">
        <f ca="1">$K$1515-EFEITO!$M$1515*EFEITO!$Z$1515</f>
        <v>674.84797141643332</v>
      </c>
      <c r="O1515" s="46">
        <f>$L$1515-EFEITO!$O$1515*EFEITO!$AA$1515</f>
        <v>309.974381787835</v>
      </c>
      <c r="P1515" s="38"/>
      <c r="Q1515" s="38"/>
      <c r="R1515" s="38"/>
      <c r="S1515" s="38"/>
      <c r="T1515" s="38"/>
      <c r="U1515" s="38"/>
      <c r="V1515" s="38"/>
      <c r="W1515" s="38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</row>
    <row r="1516" spans="1:36" ht="11.25" customHeight="1" x14ac:dyDescent="0.2">
      <c r="A1516" s="35" t="s">
        <v>28</v>
      </c>
      <c r="B1516" s="35" t="s">
        <v>46</v>
      </c>
      <c r="C1516" s="35" t="s">
        <v>23</v>
      </c>
      <c r="D1516" s="35" t="s">
        <v>47</v>
      </c>
      <c r="E1516" s="35" t="s">
        <v>55</v>
      </c>
      <c r="F1516" s="35" t="s">
        <v>57</v>
      </c>
      <c r="G1516" s="35" t="s">
        <v>25</v>
      </c>
      <c r="H1516" s="35" t="s">
        <v>25</v>
      </c>
      <c r="I1516" s="45">
        <v>44593</v>
      </c>
      <c r="J1516" s="46">
        <f>EFEITO!$J$1516*EFEITO!$Y$1110</f>
        <v>0</v>
      </c>
      <c r="K1516" s="46">
        <f ca="1">EFEITO!$L$1516*EFEITO!$Z$1110</f>
        <v>623.75695340316042</v>
      </c>
      <c r="L1516" s="46">
        <f>EFEITO!$N$1516*EFEITO!$AA$1110</f>
        <v>286.50701225520464</v>
      </c>
      <c r="M1516" s="46">
        <f>$J$1516-EFEITO!$K$1516*EFEITO!$Y$1516</f>
        <v>0</v>
      </c>
      <c r="N1516" s="46">
        <f ca="1">$K$1516-EFEITO!$M$1516*EFEITO!$Z$1516</f>
        <v>430.26754645750009</v>
      </c>
      <c r="O1516" s="46">
        <f>$L$1516-EFEITO!$O$1516*EFEITO!$AA$1516</f>
        <v>197.63253705364019</v>
      </c>
      <c r="P1516" s="38"/>
      <c r="Q1516" s="38"/>
      <c r="R1516" s="38"/>
      <c r="S1516" s="38"/>
      <c r="T1516" s="38"/>
      <c r="U1516" s="38"/>
      <c r="V1516" s="38"/>
      <c r="W1516" s="38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</row>
    <row r="1517" spans="1:36" ht="11.25" customHeight="1" x14ac:dyDescent="0.2">
      <c r="A1517" s="35" t="s">
        <v>29</v>
      </c>
      <c r="B1517" s="35" t="s">
        <v>46</v>
      </c>
      <c r="C1517" s="35" t="s">
        <v>23</v>
      </c>
      <c r="D1517" s="35" t="s">
        <v>47</v>
      </c>
      <c r="E1517" s="35" t="s">
        <v>55</v>
      </c>
      <c r="F1517" s="35" t="s">
        <v>57</v>
      </c>
      <c r="G1517" s="35" t="s">
        <v>25</v>
      </c>
      <c r="H1517" s="35" t="s">
        <v>25</v>
      </c>
      <c r="I1517" s="45">
        <v>44593</v>
      </c>
      <c r="J1517" s="46">
        <f>EFEITO!$J$1517*EFEITO!$Y$1110</f>
        <v>0</v>
      </c>
      <c r="K1517" s="46">
        <f ca="1">EFEITO!$L$1517*EFEITO!$Z$1110</f>
        <v>2287.611048914167</v>
      </c>
      <c r="L1517" s="46">
        <f>EFEITO!$N$1517*EFEITO!$AA$1110</f>
        <v>1050.7563935768576</v>
      </c>
      <c r="M1517" s="46">
        <f>$J$1517-EFEITO!$K$1517*EFEITO!$Y$1517</f>
        <v>0</v>
      </c>
      <c r="N1517" s="46">
        <f ca="1">$K$1517-EFEITO!$M$1517*EFEITO!$Z$1517</f>
        <v>1577.9941015409922</v>
      </c>
      <c r="O1517" s="46">
        <f>$L$1517-EFEITO!$O$1517*EFEITO!$AA$1517</f>
        <v>724.81176028931645</v>
      </c>
      <c r="P1517" s="38"/>
      <c r="Q1517" s="38"/>
      <c r="R1517" s="38"/>
      <c r="S1517" s="38"/>
      <c r="T1517" s="38"/>
      <c r="U1517" s="38"/>
      <c r="V1517" s="38"/>
      <c r="W1517" s="38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</row>
    <row r="1518" spans="1:36" ht="11.25" customHeight="1" x14ac:dyDescent="0.2">
      <c r="A1518" s="35" t="s">
        <v>21</v>
      </c>
      <c r="B1518" s="35" t="s">
        <v>46</v>
      </c>
      <c r="C1518" s="35" t="s">
        <v>23</v>
      </c>
      <c r="D1518" s="35" t="s">
        <v>47</v>
      </c>
      <c r="E1518" s="35" t="s">
        <v>55</v>
      </c>
      <c r="F1518" s="35" t="s">
        <v>57</v>
      </c>
      <c r="G1518" s="35" t="s">
        <v>25</v>
      </c>
      <c r="H1518" s="35" t="s">
        <v>25</v>
      </c>
      <c r="I1518" s="45">
        <v>44621</v>
      </c>
      <c r="J1518" s="46">
        <f>EFEITO!$J$1518*EFEITO!$Y$1110</f>
        <v>0</v>
      </c>
      <c r="K1518" s="46">
        <f ca="1">EFEITO!$L$1518*EFEITO!$Z$1110</f>
        <v>714.6587316366323</v>
      </c>
      <c r="L1518" s="46">
        <f>EFEITO!$N$1518*EFEITO!$AA$1110</f>
        <v>328.26044962895025</v>
      </c>
      <c r="M1518" s="46">
        <f>$J$1518-EFEITO!$K$1518*EFEITO!$Y$1518</f>
        <v>0</v>
      </c>
      <c r="N1518" s="46">
        <f ca="1">$K$1518-EFEITO!$M$1518*EFEITO!$Z$1518</f>
        <v>492.97159308294897</v>
      </c>
      <c r="O1518" s="46">
        <f>$L$1518-EFEITO!$O$1518*EFEITO!$AA$1518</f>
        <v>226.43405815404989</v>
      </c>
      <c r="P1518" s="38"/>
      <c r="Q1518" s="38"/>
      <c r="R1518" s="38"/>
      <c r="S1518" s="38"/>
      <c r="T1518" s="38"/>
      <c r="U1518" s="38"/>
      <c r="V1518" s="38"/>
      <c r="W1518" s="38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</row>
    <row r="1519" spans="1:36" ht="11.25" customHeight="1" x14ac:dyDescent="0.2">
      <c r="A1519" s="35" t="s">
        <v>28</v>
      </c>
      <c r="B1519" s="35" t="s">
        <v>46</v>
      </c>
      <c r="C1519" s="35" t="s">
        <v>23</v>
      </c>
      <c r="D1519" s="35" t="s">
        <v>47</v>
      </c>
      <c r="E1519" s="35" t="s">
        <v>55</v>
      </c>
      <c r="F1519" s="35" t="s">
        <v>57</v>
      </c>
      <c r="G1519" s="35" t="s">
        <v>25</v>
      </c>
      <c r="H1519" s="35" t="s">
        <v>25</v>
      </c>
      <c r="I1519" s="45">
        <v>44621</v>
      </c>
      <c r="J1519" s="46">
        <f>EFEITO!$J$1519*EFEITO!$Y$1110</f>
        <v>0</v>
      </c>
      <c r="K1519" s="46">
        <f ca="1">EFEITO!$L$1519*EFEITO!$Z$1110</f>
        <v>441.45117716697104</v>
      </c>
      <c r="L1519" s="46">
        <f>EFEITO!$N$1519*EFEITO!$AA$1110</f>
        <v>202.76945553327286</v>
      </c>
      <c r="M1519" s="46">
        <f>$J$1519-EFEITO!$K$1519*EFEITO!$Y$1519</f>
        <v>0</v>
      </c>
      <c r="N1519" s="46">
        <f ca="1">$K$1519-EFEITO!$M$1519*EFEITO!$Z$1519</f>
        <v>304.51302200977659</v>
      </c>
      <c r="O1519" s="46">
        <f>$L$1519-EFEITO!$O$1519*EFEITO!$AA$1519</f>
        <v>139.87037042685162</v>
      </c>
      <c r="P1519" s="38"/>
      <c r="Q1519" s="38"/>
      <c r="R1519" s="38"/>
      <c r="S1519" s="38"/>
      <c r="T1519" s="38"/>
      <c r="U1519" s="38"/>
      <c r="V1519" s="38"/>
      <c r="W1519" s="38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</row>
    <row r="1520" spans="1:36" ht="11.25" customHeight="1" x14ac:dyDescent="0.2">
      <c r="A1520" s="35" t="s">
        <v>21</v>
      </c>
      <c r="B1520" s="35" t="s">
        <v>46</v>
      </c>
      <c r="C1520" s="35" t="s">
        <v>23</v>
      </c>
      <c r="D1520" s="35" t="s">
        <v>47</v>
      </c>
      <c r="E1520" s="35" t="s">
        <v>55</v>
      </c>
      <c r="F1520" s="35" t="s">
        <v>57</v>
      </c>
      <c r="G1520" s="35" t="s">
        <v>25</v>
      </c>
      <c r="H1520" s="35" t="s">
        <v>25</v>
      </c>
      <c r="I1520" s="45">
        <v>44652</v>
      </c>
      <c r="J1520" s="46">
        <f>EFEITO!$J$1520*EFEITO!$Y$1110</f>
        <v>0</v>
      </c>
      <c r="K1520" s="46">
        <f ca="1">EFEITO!$L$1520*EFEITO!$Z$1110</f>
        <v>514.27304370759771</v>
      </c>
      <c r="L1520" s="46">
        <f>EFEITO!$N$1520*EFEITO!$AA$1110</f>
        <v>236.21834182715745</v>
      </c>
      <c r="M1520" s="46">
        <f>$J$1520-EFEITO!$K$1520*EFEITO!$Y$1520</f>
        <v>0</v>
      </c>
      <c r="N1520" s="46">
        <f ca="1">$K$1520-EFEITO!$M$1520*EFEITO!$Z$1520</f>
        <v>354.74554554950089</v>
      </c>
      <c r="O1520" s="46">
        <f>$L$1520-EFEITO!$O$1520*EFEITO!$AA$1520</f>
        <v>162.94341219237322</v>
      </c>
      <c r="P1520" s="38"/>
      <c r="Q1520" s="38"/>
      <c r="R1520" s="38"/>
      <c r="S1520" s="38"/>
      <c r="T1520" s="38"/>
      <c r="U1520" s="38"/>
      <c r="V1520" s="38"/>
      <c r="W1520" s="38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</row>
    <row r="1521" spans="1:36" ht="11.25" customHeight="1" x14ac:dyDescent="0.2">
      <c r="A1521" s="35" t="s">
        <v>27</v>
      </c>
      <c r="B1521" s="35" t="s">
        <v>46</v>
      </c>
      <c r="C1521" s="35" t="s">
        <v>23</v>
      </c>
      <c r="D1521" s="35" t="s">
        <v>47</v>
      </c>
      <c r="E1521" s="35" t="s">
        <v>55</v>
      </c>
      <c r="F1521" s="35" t="s">
        <v>57</v>
      </c>
      <c r="G1521" s="35" t="s">
        <v>25</v>
      </c>
      <c r="H1521" s="35" t="s">
        <v>25</v>
      </c>
      <c r="I1521" s="45">
        <v>44652</v>
      </c>
      <c r="J1521" s="46">
        <f>EFEITO!$J$1521*EFEITO!$Y$1110</f>
        <v>0</v>
      </c>
      <c r="K1521" s="46">
        <f ca="1">EFEITO!$L$1521*EFEITO!$Z$1110</f>
        <v>-43.693119924375971</v>
      </c>
      <c r="L1521" s="46">
        <f>EFEITO!$N$1521*EFEITO!$AA$1110</f>
        <v>-20.06933177633076</v>
      </c>
      <c r="M1521" s="46">
        <f>$J$1521-EFEITO!$K$1521*EFEITO!$Y$1521</f>
        <v>0</v>
      </c>
      <c r="N1521" s="46">
        <f ca="1">$K$1521-EFEITO!$M$1521*EFEITO!$Z$1521</f>
        <v>-30.139514123834545</v>
      </c>
      <c r="O1521" s="46">
        <f>$L$1521-EFEITO!$O$1521*EFEITO!$AA$1521</f>
        <v>-13.843825059312959</v>
      </c>
      <c r="P1521" s="38"/>
      <c r="Q1521" s="38"/>
      <c r="R1521" s="38"/>
      <c r="S1521" s="38"/>
      <c r="T1521" s="38"/>
      <c r="U1521" s="38"/>
      <c r="V1521" s="38"/>
      <c r="W1521" s="38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</row>
    <row r="1522" spans="1:36" ht="11.25" customHeight="1" x14ac:dyDescent="0.2">
      <c r="A1522" s="35" t="s">
        <v>28</v>
      </c>
      <c r="B1522" s="35" t="s">
        <v>46</v>
      </c>
      <c r="C1522" s="35" t="s">
        <v>23</v>
      </c>
      <c r="D1522" s="35" t="s">
        <v>47</v>
      </c>
      <c r="E1522" s="35" t="s">
        <v>55</v>
      </c>
      <c r="F1522" s="35" t="s">
        <v>57</v>
      </c>
      <c r="G1522" s="35" t="s">
        <v>25</v>
      </c>
      <c r="H1522" s="35" t="s">
        <v>25</v>
      </c>
      <c r="I1522" s="45">
        <v>44652</v>
      </c>
      <c r="J1522" s="46">
        <f>EFEITO!$J$1522*EFEITO!$Y$1110</f>
        <v>0</v>
      </c>
      <c r="K1522" s="46">
        <f ca="1">EFEITO!$L$1522*EFEITO!$Z$1110</f>
        <v>455.01111093660495</v>
      </c>
      <c r="L1522" s="46">
        <f>EFEITO!$N$1522*EFEITO!$AA$1110</f>
        <v>208.99786884316862</v>
      </c>
      <c r="M1522" s="46">
        <f>$J$1522-EFEITO!$K$1522*EFEITO!$Y$1522</f>
        <v>0</v>
      </c>
      <c r="N1522" s="46">
        <f ca="1">$K$1522-EFEITO!$M$1522*EFEITO!$Z$1522</f>
        <v>313.86666432407009</v>
      </c>
      <c r="O1522" s="46">
        <f>$L$1522-EFEITO!$O$1522*EFEITO!$AA$1522</f>
        <v>144.16672992801773</v>
      </c>
      <c r="P1522" s="38"/>
      <c r="Q1522" s="38"/>
      <c r="R1522" s="38"/>
      <c r="S1522" s="38"/>
      <c r="T1522" s="38"/>
      <c r="U1522" s="38"/>
      <c r="V1522" s="38"/>
      <c r="W1522" s="38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</row>
    <row r="1523" spans="1:36" ht="11.25" customHeight="1" x14ac:dyDescent="0.2">
      <c r="A1523" s="35" t="s">
        <v>21</v>
      </c>
      <c r="B1523" s="35" t="s">
        <v>46</v>
      </c>
      <c r="C1523" s="35" t="s">
        <v>23</v>
      </c>
      <c r="D1523" s="35" t="s">
        <v>47</v>
      </c>
      <c r="E1523" s="35" t="s">
        <v>55</v>
      </c>
      <c r="F1523" s="35" t="s">
        <v>57</v>
      </c>
      <c r="G1523" s="35" t="s">
        <v>25</v>
      </c>
      <c r="H1523" s="35" t="s">
        <v>25</v>
      </c>
      <c r="I1523" s="45">
        <v>44682</v>
      </c>
      <c r="J1523" s="46">
        <f>EFEITO!$J$1523*EFEITO!$Y$1110</f>
        <v>0</v>
      </c>
      <c r="K1523" s="46">
        <f ca="1">EFEITO!$L$1523*EFEITO!$Z$1110</f>
        <v>1356.495596732638</v>
      </c>
      <c r="L1523" s="46">
        <f>EFEITO!$N$1523*EFEITO!$AA$1110</f>
        <v>623.07201296401593</v>
      </c>
      <c r="M1523" s="46">
        <f>$J$1523-EFEITO!$K$1523*EFEITO!$Y$1523</f>
        <v>0</v>
      </c>
      <c r="N1523" s="46">
        <f ca="1">$K$1523-EFEITO!$M$1523*EFEITO!$Z$1523</f>
        <v>935.71066262617376</v>
      </c>
      <c r="O1523" s="46">
        <f>$L$1523-EFEITO!$O$1523*EFEITO!$AA$1523</f>
        <v>429.79507454257822</v>
      </c>
      <c r="P1523" s="38"/>
      <c r="Q1523" s="38"/>
      <c r="R1523" s="38"/>
      <c r="S1523" s="38"/>
      <c r="T1523" s="38"/>
      <c r="U1523" s="38"/>
      <c r="V1523" s="38"/>
      <c r="W1523" s="38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</row>
    <row r="1524" spans="1:36" ht="11.25" customHeight="1" x14ac:dyDescent="0.2">
      <c r="A1524" s="35" t="s">
        <v>27</v>
      </c>
      <c r="B1524" s="35" t="s">
        <v>46</v>
      </c>
      <c r="C1524" s="35" t="s">
        <v>23</v>
      </c>
      <c r="D1524" s="35" t="s">
        <v>47</v>
      </c>
      <c r="E1524" s="35" t="s">
        <v>55</v>
      </c>
      <c r="F1524" s="35" t="s">
        <v>57</v>
      </c>
      <c r="G1524" s="35" t="s">
        <v>25</v>
      </c>
      <c r="H1524" s="35" t="s">
        <v>25</v>
      </c>
      <c r="I1524" s="45">
        <v>44682</v>
      </c>
      <c r="J1524" s="46">
        <f>EFEITO!$J$1524*EFEITO!$Y$1110</f>
        <v>0</v>
      </c>
      <c r="K1524" s="46">
        <f ca="1">EFEITO!$L$1524*EFEITO!$Z$1110</f>
        <v>-119.5283050804768</v>
      </c>
      <c r="L1524" s="46">
        <f>EFEITO!$N$1524*EFEITO!$AA$1110</f>
        <v>-54.902309916858854</v>
      </c>
      <c r="M1524" s="46">
        <f>$J$1524-EFEITO!$K$1524*EFEITO!$Y$1524</f>
        <v>0</v>
      </c>
      <c r="N1524" s="46">
        <f ca="1">$K$1524-EFEITO!$M$1524*EFEITO!$Z$1524</f>
        <v>-82.450624844512902</v>
      </c>
      <c r="O1524" s="46">
        <f>$L$1524-EFEITO!$O$1524*EFEITO!$AA$1524</f>
        <v>-37.871613380649237</v>
      </c>
      <c r="P1524" s="38"/>
      <c r="Q1524" s="38"/>
      <c r="R1524" s="38"/>
      <c r="S1524" s="38"/>
      <c r="T1524" s="38"/>
      <c r="U1524" s="38"/>
      <c r="V1524" s="38"/>
      <c r="W1524" s="38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</row>
    <row r="1525" spans="1:36" ht="11.25" customHeight="1" x14ac:dyDescent="0.2">
      <c r="A1525" s="35" t="s">
        <v>28</v>
      </c>
      <c r="B1525" s="35" t="s">
        <v>46</v>
      </c>
      <c r="C1525" s="35" t="s">
        <v>23</v>
      </c>
      <c r="D1525" s="35" t="s">
        <v>47</v>
      </c>
      <c r="E1525" s="35" t="s">
        <v>55</v>
      </c>
      <c r="F1525" s="35" t="s">
        <v>57</v>
      </c>
      <c r="G1525" s="35" t="s">
        <v>25</v>
      </c>
      <c r="H1525" s="35" t="s">
        <v>25</v>
      </c>
      <c r="I1525" s="45">
        <v>44682</v>
      </c>
      <c r="J1525" s="46">
        <f>EFEITO!$J$1525*EFEITO!$Y$1110</f>
        <v>0</v>
      </c>
      <c r="K1525" s="46">
        <f ca="1">EFEITO!$L$1525*EFEITO!$Z$1110</f>
        <v>480.62431916813568</v>
      </c>
      <c r="L1525" s="46">
        <f>EFEITO!$N$1525*EFEITO!$AA$1110</f>
        <v>220.76264953963835</v>
      </c>
      <c r="M1525" s="46">
        <f>$J$1525-EFEITO!$K$1525*EFEITO!$Y$1525</f>
        <v>0</v>
      </c>
      <c r="N1525" s="46">
        <f ca="1">$K$1525-EFEITO!$M$1525*EFEITO!$Z$1525</f>
        <v>331.53465536218005</v>
      </c>
      <c r="O1525" s="46">
        <f>$L$1525-EFEITO!$O$1525*EFEITO!$AA$1525</f>
        <v>152.28207565244253</v>
      </c>
      <c r="P1525" s="38"/>
      <c r="Q1525" s="38"/>
      <c r="R1525" s="38"/>
      <c r="S1525" s="38"/>
      <c r="T1525" s="38"/>
      <c r="U1525" s="38"/>
      <c r="V1525" s="38"/>
      <c r="W1525" s="38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</row>
    <row r="1526" spans="1:36" ht="11.25" customHeight="1" x14ac:dyDescent="0.2">
      <c r="A1526" s="35" t="s">
        <v>21</v>
      </c>
      <c r="B1526" s="35" t="s">
        <v>46</v>
      </c>
      <c r="C1526" s="35" t="s">
        <v>23</v>
      </c>
      <c r="D1526" s="35" t="s">
        <v>47</v>
      </c>
      <c r="E1526" s="35" t="s">
        <v>55</v>
      </c>
      <c r="F1526" s="35" t="s">
        <v>57</v>
      </c>
      <c r="G1526" s="35" t="s">
        <v>25</v>
      </c>
      <c r="H1526" s="35" t="s">
        <v>25</v>
      </c>
      <c r="I1526" s="45">
        <v>44713</v>
      </c>
      <c r="J1526" s="46">
        <f>EFEITO!$J$1526*EFEITO!$Y$1110</f>
        <v>0</v>
      </c>
      <c r="K1526" s="46">
        <f ca="1">EFEITO!$L$1526*EFEITO!$Z$1110</f>
        <v>1570.9434382005522</v>
      </c>
      <c r="L1526" s="46">
        <f>EFEITO!$N$1526*EFEITO!$AA$1110</f>
        <v>721.57321605014499</v>
      </c>
      <c r="M1526" s="46">
        <f>$J$1526-EFEITO!$K$1526*EFEITO!$Y$1526</f>
        <v>0</v>
      </c>
      <c r="N1526" s="46">
        <f ca="1">$K$1526-EFEITO!$M$1526*EFEITO!$Z$1526</f>
        <v>1083.6367836707409</v>
      </c>
      <c r="O1526" s="46">
        <f>$L$1526-EFEITO!$O$1526*EFEITO!$AA$1526</f>
        <v>497.74120443139003</v>
      </c>
      <c r="P1526" s="38"/>
      <c r="Q1526" s="38"/>
      <c r="R1526" s="38"/>
      <c r="S1526" s="38"/>
      <c r="T1526" s="38"/>
      <c r="U1526" s="38"/>
      <c r="V1526" s="38"/>
      <c r="W1526" s="38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</row>
    <row r="1527" spans="1:36" ht="11.25" customHeight="1" x14ac:dyDescent="0.2">
      <c r="A1527" s="35" t="s">
        <v>28</v>
      </c>
      <c r="B1527" s="35" t="s">
        <v>46</v>
      </c>
      <c r="C1527" s="35" t="s">
        <v>23</v>
      </c>
      <c r="D1527" s="35" t="s">
        <v>47</v>
      </c>
      <c r="E1527" s="35" t="s">
        <v>55</v>
      </c>
      <c r="F1527" s="35" t="s">
        <v>57</v>
      </c>
      <c r="G1527" s="35" t="s">
        <v>25</v>
      </c>
      <c r="H1527" s="35" t="s">
        <v>25</v>
      </c>
      <c r="I1527" s="45">
        <v>44713</v>
      </c>
      <c r="J1527" s="46">
        <f>EFEITO!$J$1527*EFEITO!$Y$1110</f>
        <v>0</v>
      </c>
      <c r="K1527" s="46">
        <f ca="1">EFEITO!$L$1527*EFEITO!$Z$1110</f>
        <v>795.5161144851902</v>
      </c>
      <c r="L1527" s="46">
        <f>EFEITO!$N$1527*EFEITO!$AA$1110</f>
        <v>365.40024751388421</v>
      </c>
      <c r="M1527" s="46">
        <f>$J$1527-EFEITO!$K$1527*EFEITO!$Y$1527</f>
        <v>0</v>
      </c>
      <c r="N1527" s="46">
        <f ca="1">$K$1527-EFEITO!$M$1527*EFEITO!$Z$1527</f>
        <v>548.74701577188421</v>
      </c>
      <c r="O1527" s="46">
        <f>$L$1527-EFEITO!$O$1527*EFEITO!$AA$1527</f>
        <v>252.05309073507738</v>
      </c>
      <c r="P1527" s="38"/>
      <c r="Q1527" s="38"/>
      <c r="R1527" s="38"/>
      <c r="S1527" s="38"/>
      <c r="T1527" s="38"/>
      <c r="U1527" s="38"/>
      <c r="V1527" s="38"/>
      <c r="W1527" s="38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</row>
    <row r="1528" spans="1:36" ht="11.25" customHeight="1" x14ac:dyDescent="0.2">
      <c r="A1528" s="35" t="s">
        <v>21</v>
      </c>
      <c r="B1528" s="35" t="s">
        <v>46</v>
      </c>
      <c r="C1528" s="35" t="s">
        <v>23</v>
      </c>
      <c r="D1528" s="35" t="s">
        <v>47</v>
      </c>
      <c r="E1528" s="35" t="s">
        <v>55</v>
      </c>
      <c r="F1528" s="35" t="s">
        <v>57</v>
      </c>
      <c r="G1528" s="35" t="s">
        <v>25</v>
      </c>
      <c r="H1528" s="35" t="s">
        <v>25</v>
      </c>
      <c r="I1528" s="45">
        <v>44743</v>
      </c>
      <c r="J1528" s="46">
        <f>EFEITO!$J$1528*EFEITO!$Y$1110</f>
        <v>0</v>
      </c>
      <c r="K1528" s="46">
        <f ca="1">EFEITO!$L$1528*EFEITO!$Z$1110</f>
        <v>3304.1038618674656</v>
      </c>
      <c r="L1528" s="46">
        <f>EFEITO!$N$1528*EFEITO!$AA$1110</f>
        <v>1517.6567098445985</v>
      </c>
      <c r="M1528" s="46">
        <f>$J$1528-EFEITO!$K$1528*EFEITO!$Y$1528</f>
        <v>0</v>
      </c>
      <c r="N1528" s="46">
        <f ca="1">$K$1528-EFEITO!$M$1528*EFEITO!$Z$1528</f>
        <v>2279.170843916178</v>
      </c>
      <c r="O1528" s="46">
        <f>$L$1528-EFEITO!$O$1528*EFEITO!$AA$1528</f>
        <v>1046.8795984508042</v>
      </c>
      <c r="P1528" s="38"/>
      <c r="Q1528" s="38"/>
      <c r="R1528" s="38"/>
      <c r="S1528" s="38"/>
      <c r="T1528" s="38"/>
      <c r="U1528" s="38"/>
      <c r="V1528" s="38"/>
      <c r="W1528" s="38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</row>
    <row r="1529" spans="1:36" ht="11.25" customHeight="1" x14ac:dyDescent="0.2">
      <c r="A1529" s="35" t="s">
        <v>28</v>
      </c>
      <c r="B1529" s="35" t="s">
        <v>46</v>
      </c>
      <c r="C1529" s="35" t="s">
        <v>23</v>
      </c>
      <c r="D1529" s="35" t="s">
        <v>47</v>
      </c>
      <c r="E1529" s="35" t="s">
        <v>55</v>
      </c>
      <c r="F1529" s="35" t="s">
        <v>57</v>
      </c>
      <c r="G1529" s="35" t="s">
        <v>25</v>
      </c>
      <c r="H1529" s="35" t="s">
        <v>25</v>
      </c>
      <c r="I1529" s="45">
        <v>44743</v>
      </c>
      <c r="J1529" s="46">
        <f>EFEITO!$J$1529*EFEITO!$Y$1110</f>
        <v>0</v>
      </c>
      <c r="K1529" s="46">
        <f ca="1">EFEITO!$L$1529*EFEITO!$Z$1110</f>
        <v>837.70257510182898</v>
      </c>
      <c r="L1529" s="46">
        <f>EFEITO!$N$1529*EFEITO!$AA$1110</f>
        <v>384.77753336689318</v>
      </c>
      <c r="M1529" s="46">
        <f>$J$1529-EFEITO!$K$1529*EFEITO!$Y$1529</f>
        <v>0</v>
      </c>
      <c r="N1529" s="46">
        <f ca="1">$K$1529-EFEITO!$M$1529*EFEITO!$Z$1529</f>
        <v>577.84723630524161</v>
      </c>
      <c r="O1529" s="46">
        <f>$L$1529-EFEITO!$O$1529*EFEITO!$AA$1529</f>
        <v>265.41954251648292</v>
      </c>
      <c r="P1529" s="38"/>
      <c r="Q1529" s="38"/>
      <c r="R1529" s="38"/>
      <c r="S1529" s="38"/>
      <c r="T1529" s="38"/>
      <c r="U1529" s="38"/>
      <c r="V1529" s="38"/>
      <c r="W1529" s="38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</row>
    <row r="1530" spans="1:36" ht="11.25" customHeight="1" x14ac:dyDescent="0.2">
      <c r="A1530" s="35" t="s">
        <v>21</v>
      </c>
      <c r="B1530" s="35" t="s">
        <v>46</v>
      </c>
      <c r="C1530" s="35" t="s">
        <v>23</v>
      </c>
      <c r="D1530" s="35" t="s">
        <v>47</v>
      </c>
      <c r="E1530" s="35" t="s">
        <v>55</v>
      </c>
      <c r="F1530" s="35" t="s">
        <v>57</v>
      </c>
      <c r="G1530" s="35" t="s">
        <v>25</v>
      </c>
      <c r="H1530" s="35" t="s">
        <v>25</v>
      </c>
      <c r="I1530" s="45">
        <v>44774</v>
      </c>
      <c r="J1530" s="46">
        <f>EFEITO!$J$1530*EFEITO!$Y$1110</f>
        <v>0</v>
      </c>
      <c r="K1530" s="46">
        <f ca="1">EFEITO!$L$1530*EFEITO!$Z$1110</f>
        <v>3935.3941118093117</v>
      </c>
      <c r="L1530" s="46">
        <f>EFEITO!$N$1530*EFEITO!$AA$1110</f>
        <v>1807.623951716412</v>
      </c>
      <c r="M1530" s="46">
        <f>$J$1530-EFEITO!$K$1530*EFEITO!$Y$1530</f>
        <v>0</v>
      </c>
      <c r="N1530" s="46">
        <f ca="1">$K$1530-EFEITO!$M$1530*EFEITO!$Z$1530</f>
        <v>2714.6348583260633</v>
      </c>
      <c r="O1530" s="46">
        <f>$L$1530-EFEITO!$O$1530*EFEITO!$AA$1530</f>
        <v>1246.8990018939812</v>
      </c>
      <c r="P1530" s="38"/>
      <c r="Q1530" s="38"/>
      <c r="R1530" s="38"/>
      <c r="S1530" s="38"/>
      <c r="T1530" s="38"/>
      <c r="U1530" s="38"/>
      <c r="V1530" s="38"/>
      <c r="W1530" s="38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</row>
    <row r="1531" spans="1:36" ht="11.25" customHeight="1" x14ac:dyDescent="0.2">
      <c r="A1531" s="35" t="s">
        <v>28</v>
      </c>
      <c r="B1531" s="35" t="s">
        <v>46</v>
      </c>
      <c r="C1531" s="35" t="s">
        <v>23</v>
      </c>
      <c r="D1531" s="35" t="s">
        <v>47</v>
      </c>
      <c r="E1531" s="35" t="s">
        <v>55</v>
      </c>
      <c r="F1531" s="35" t="s">
        <v>57</v>
      </c>
      <c r="G1531" s="35" t="s">
        <v>25</v>
      </c>
      <c r="H1531" s="35" t="s">
        <v>25</v>
      </c>
      <c r="I1531" s="45">
        <v>44774</v>
      </c>
      <c r="J1531" s="46">
        <f>EFEITO!$J$1531*EFEITO!$Y$1110</f>
        <v>0</v>
      </c>
      <c r="K1531" s="46">
        <f ca="1">EFEITO!$L$1531*EFEITO!$Z$1110</f>
        <v>1931.5372325189655</v>
      </c>
      <c r="L1531" s="46">
        <f>EFEITO!$N$1531*EFEITO!$AA$1110</f>
        <v>887.20287369848393</v>
      </c>
      <c r="M1531" s="46">
        <f>$J$1531-EFEITO!$K$1531*EFEITO!$Y$1531</f>
        <v>0</v>
      </c>
      <c r="N1531" s="46">
        <f ca="1">$K$1531-EFEITO!$M$1531*EFEITO!$Z$1531</f>
        <v>1332.3743829915825</v>
      </c>
      <c r="O1531" s="46">
        <f>$L$1531-EFEITO!$O$1531*EFEITO!$AA$1531</f>
        <v>611.99254227721417</v>
      </c>
      <c r="P1531" s="38"/>
      <c r="Q1531" s="38"/>
      <c r="R1531" s="38"/>
      <c r="S1531" s="38"/>
      <c r="T1531" s="38"/>
      <c r="U1531" s="38"/>
      <c r="V1531" s="38"/>
      <c r="W1531" s="38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</row>
    <row r="1532" spans="1:36" ht="11.25" customHeight="1" x14ac:dyDescent="0.2">
      <c r="A1532" s="35" t="s">
        <v>21</v>
      </c>
      <c r="B1532" s="35" t="s">
        <v>46</v>
      </c>
      <c r="C1532" s="35" t="s">
        <v>23</v>
      </c>
      <c r="D1532" s="35" t="s">
        <v>47</v>
      </c>
      <c r="E1532" s="35" t="s">
        <v>55</v>
      </c>
      <c r="F1532" s="35" t="s">
        <v>57</v>
      </c>
      <c r="G1532" s="35" t="s">
        <v>25</v>
      </c>
      <c r="H1532" s="35" t="s">
        <v>25</v>
      </c>
      <c r="I1532" s="45">
        <v>44805</v>
      </c>
      <c r="J1532" s="46">
        <f>EFEITO!$J$1532*EFEITO!$Y$1110</f>
        <v>0</v>
      </c>
      <c r="K1532" s="46">
        <f ca="1">EFEITO!$L$1532*EFEITO!$Z$1110</f>
        <v>2943.5100675490526</v>
      </c>
      <c r="L1532" s="46">
        <f>EFEITO!$N$1532*EFEITO!$AA$1110</f>
        <v>1352.0270521962595</v>
      </c>
      <c r="M1532" s="46">
        <f>$J$1532-EFEITO!$K$1532*EFEITO!$Y$1532</f>
        <v>0</v>
      </c>
      <c r="N1532" s="46">
        <f ca="1">$K$1532-EFEITO!$M$1532*EFEITO!$Z$1532</f>
        <v>2030.4332445953364</v>
      </c>
      <c r="O1532" s="46">
        <f>$L$1532-EFEITO!$O$1532*EFEITO!$AA$1532</f>
        <v>932.62826060497991</v>
      </c>
      <c r="P1532" s="38"/>
      <c r="Q1532" s="38"/>
      <c r="R1532" s="38"/>
      <c r="S1532" s="38"/>
      <c r="T1532" s="38"/>
      <c r="U1532" s="38"/>
      <c r="V1532" s="38"/>
      <c r="W1532" s="38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</row>
    <row r="1533" spans="1:36" ht="11.25" customHeight="1" x14ac:dyDescent="0.2">
      <c r="A1533" s="35" t="s">
        <v>28</v>
      </c>
      <c r="B1533" s="35" t="s">
        <v>46</v>
      </c>
      <c r="C1533" s="35" t="s">
        <v>23</v>
      </c>
      <c r="D1533" s="35" t="s">
        <v>47</v>
      </c>
      <c r="E1533" s="35" t="s">
        <v>55</v>
      </c>
      <c r="F1533" s="35" t="s">
        <v>57</v>
      </c>
      <c r="G1533" s="35" t="s">
        <v>25</v>
      </c>
      <c r="H1533" s="35" t="s">
        <v>25</v>
      </c>
      <c r="I1533" s="45">
        <v>44805</v>
      </c>
      <c r="J1533" s="46">
        <f>EFEITO!$J$1533*EFEITO!$Y$1110</f>
        <v>0</v>
      </c>
      <c r="K1533" s="46">
        <f ca="1">EFEITO!$L$1533*EFEITO!$Z$1110</f>
        <v>1151.5899308803921</v>
      </c>
      <c r="L1533" s="46">
        <f>EFEITO!$N$1533*EFEITO!$AA$1110</f>
        <v>528.95376739225787</v>
      </c>
      <c r="M1533" s="46">
        <f>$J$1533-EFEITO!$K$1533*EFEITO!$Y$1533</f>
        <v>0</v>
      </c>
      <c r="N1533" s="46">
        <f ca="1">$K$1533-EFEITO!$M$1533*EFEITO!$Z$1533</f>
        <v>794.36673432129453</v>
      </c>
      <c r="O1533" s="46">
        <f>$L$1533-EFEITO!$O$1533*EFEITO!$AA$1533</f>
        <v>364.87230874717955</v>
      </c>
      <c r="P1533" s="38"/>
      <c r="Q1533" s="38"/>
      <c r="R1533" s="38"/>
      <c r="S1533" s="38"/>
      <c r="T1533" s="38"/>
      <c r="U1533" s="38"/>
      <c r="V1533" s="38"/>
      <c r="W1533" s="38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</row>
    <row r="1534" spans="1:36" ht="11.25" customHeight="1" x14ac:dyDescent="0.2">
      <c r="A1534" s="35" t="s">
        <v>21</v>
      </c>
      <c r="B1534" s="35" t="s">
        <v>46</v>
      </c>
      <c r="C1534" s="35" t="s">
        <v>23</v>
      </c>
      <c r="D1534" s="35" t="s">
        <v>47</v>
      </c>
      <c r="E1534" s="35" t="s">
        <v>55</v>
      </c>
      <c r="F1534" s="35" t="s">
        <v>57</v>
      </c>
      <c r="G1534" s="35" t="s">
        <v>25</v>
      </c>
      <c r="H1534" s="35" t="s">
        <v>25</v>
      </c>
      <c r="I1534" s="45">
        <v>44835</v>
      </c>
      <c r="J1534" s="46">
        <f>EFEITO!$J$1534*EFEITO!$Y$1110</f>
        <v>0</v>
      </c>
      <c r="K1534" s="46">
        <f ca="1">EFEITO!$L$1534*EFEITO!$Z$1110</f>
        <v>1761.284730744673</v>
      </c>
      <c r="L1534" s="46">
        <f>EFEITO!$N$1534*EFEITO!$AA$1110</f>
        <v>809.00168436312617</v>
      </c>
      <c r="M1534" s="46">
        <f>$J$1534-EFEITO!$K$1534*EFEITO!$Y$1534</f>
        <v>0</v>
      </c>
      <c r="N1534" s="46">
        <f ca="1">$K$1534-EFEITO!$M$1534*EFEITO!$Z$1534</f>
        <v>1214.9342072676754</v>
      </c>
      <c r="O1534" s="46">
        <f>$L$1534-EFEITO!$O$1534*EFEITO!$AA$1534</f>
        <v>558.04936187368446</v>
      </c>
      <c r="P1534" s="38"/>
      <c r="Q1534" s="38"/>
      <c r="R1534" s="38"/>
      <c r="S1534" s="38"/>
      <c r="T1534" s="38"/>
      <c r="U1534" s="38"/>
      <c r="V1534" s="38"/>
      <c r="W1534" s="38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</row>
    <row r="1535" spans="1:36" ht="11.25" customHeight="1" x14ac:dyDescent="0.2">
      <c r="A1535" s="35" t="s">
        <v>28</v>
      </c>
      <c r="B1535" s="35" t="s">
        <v>46</v>
      </c>
      <c r="C1535" s="35" t="s">
        <v>23</v>
      </c>
      <c r="D1535" s="35" t="s">
        <v>47</v>
      </c>
      <c r="E1535" s="35" t="s">
        <v>55</v>
      </c>
      <c r="F1535" s="35" t="s">
        <v>57</v>
      </c>
      <c r="G1535" s="35" t="s">
        <v>25</v>
      </c>
      <c r="H1535" s="35" t="s">
        <v>25</v>
      </c>
      <c r="I1535" s="45">
        <v>44835</v>
      </c>
      <c r="J1535" s="46">
        <f>EFEITO!$J$1535*EFEITO!$Y$1110</f>
        <v>0</v>
      </c>
      <c r="K1535" s="46">
        <f ca="1">EFEITO!$L$1535*EFEITO!$Z$1110</f>
        <v>1481.0460995055716</v>
      </c>
      <c r="L1535" s="46">
        <f>EFEITO!$N$1535*EFEITO!$AA$1110</f>
        <v>680.28114262528049</v>
      </c>
      <c r="M1535" s="46">
        <f>$J$1535-EFEITO!$K$1535*EFEITO!$Y$1535</f>
        <v>0</v>
      </c>
      <c r="N1535" s="46">
        <f ca="1">$K$1535-EFEITO!$M$1535*EFEITO!$Z$1535</f>
        <v>1021.6255994389433</v>
      </c>
      <c r="O1535" s="46">
        <f>$L$1535-EFEITO!$O$1535*EFEITO!$AA$1535</f>
        <v>469.25793218291847</v>
      </c>
      <c r="P1535" s="38"/>
      <c r="Q1535" s="38"/>
      <c r="R1535" s="38"/>
      <c r="S1535" s="38"/>
      <c r="T1535" s="38"/>
      <c r="U1535" s="38"/>
      <c r="V1535" s="38"/>
      <c r="W1535" s="38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</row>
    <row r="1536" spans="1:36" ht="11.25" customHeight="1" x14ac:dyDescent="0.2">
      <c r="A1536" s="35" t="s">
        <v>59</v>
      </c>
      <c r="B1536" s="35" t="s">
        <v>46</v>
      </c>
      <c r="C1536" s="35" t="s">
        <v>23</v>
      </c>
      <c r="D1536" s="35" t="s">
        <v>47</v>
      </c>
      <c r="E1536" s="35" t="s">
        <v>55</v>
      </c>
      <c r="F1536" s="35" t="s">
        <v>57</v>
      </c>
      <c r="G1536" s="35" t="s">
        <v>25</v>
      </c>
      <c r="H1536" s="35" t="s">
        <v>25</v>
      </c>
      <c r="I1536" s="45">
        <v>44866</v>
      </c>
      <c r="J1536" s="46">
        <f>EFEITO!$J$1536*EFEITO!$Y$1110</f>
        <v>0</v>
      </c>
      <c r="K1536" s="46">
        <f ca="1">EFEITO!$L$1536*EFEITO!$Z$1110</f>
        <v>1761.284730744673</v>
      </c>
      <c r="L1536" s="46">
        <f>EFEITO!$N$1536*EFEITO!$AA$1110</f>
        <v>809.00168436312617</v>
      </c>
      <c r="M1536" s="46">
        <f>$J$1536-EFEITO!$K$1536*EFEITO!$Y$1536</f>
        <v>0</v>
      </c>
      <c r="N1536" s="46">
        <f ca="1">$K$1536-EFEITO!$M$1536*EFEITO!$Z$1536</f>
        <v>1214.9342072676754</v>
      </c>
      <c r="O1536" s="46">
        <f>$L$1536-EFEITO!$O$1536*EFEITO!$AA$1536</f>
        <v>558.04936187368446</v>
      </c>
      <c r="P1536" s="38"/>
      <c r="Q1536" s="38"/>
      <c r="R1536" s="38"/>
      <c r="S1536" s="38"/>
      <c r="T1536" s="38"/>
      <c r="U1536" s="38"/>
      <c r="V1536" s="38"/>
      <c r="W1536" s="38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</row>
    <row r="1537" spans="1:36" ht="11.25" customHeight="1" x14ac:dyDescent="0.2">
      <c r="A1537" s="35" t="s">
        <v>59</v>
      </c>
      <c r="B1537" s="35" t="s">
        <v>46</v>
      </c>
      <c r="C1537" s="35" t="s">
        <v>23</v>
      </c>
      <c r="D1537" s="35" t="s">
        <v>47</v>
      </c>
      <c r="E1537" s="35" t="s">
        <v>55</v>
      </c>
      <c r="F1537" s="35" t="s">
        <v>57</v>
      </c>
      <c r="G1537" s="35" t="s">
        <v>25</v>
      </c>
      <c r="H1537" s="35" t="s">
        <v>25</v>
      </c>
      <c r="I1537" s="45">
        <v>44866</v>
      </c>
      <c r="J1537" s="46">
        <f>EFEITO!$J$1537*EFEITO!$Y$1110</f>
        <v>0</v>
      </c>
      <c r="K1537" s="46">
        <f ca="1">EFEITO!$L$1537*EFEITO!$Z$1110</f>
        <v>1481.0460995055716</v>
      </c>
      <c r="L1537" s="46">
        <f>EFEITO!$N$1537*EFEITO!$AA$1110</f>
        <v>680.28114262528049</v>
      </c>
      <c r="M1537" s="46">
        <f>$J$1537-EFEITO!$K$1537*EFEITO!$Y$1537</f>
        <v>0</v>
      </c>
      <c r="N1537" s="46">
        <f ca="1">$K$1537-EFEITO!$M$1537*EFEITO!$Z$1537</f>
        <v>1021.6255994389433</v>
      </c>
      <c r="O1537" s="46">
        <f>$L$1537-EFEITO!$O$1537*EFEITO!$AA$1537</f>
        <v>469.25793218291847</v>
      </c>
      <c r="P1537" s="38"/>
      <c r="Q1537" s="38"/>
      <c r="R1537" s="38"/>
      <c r="S1537" s="38"/>
      <c r="T1537" s="38"/>
      <c r="U1537" s="38"/>
      <c r="V1537" s="38"/>
      <c r="W1537" s="38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</row>
    <row r="1538" spans="1:36" ht="11.25" customHeight="1" x14ac:dyDescent="0.2">
      <c r="A1538" s="35" t="s">
        <v>21</v>
      </c>
      <c r="B1538" s="35" t="s">
        <v>46</v>
      </c>
      <c r="C1538" s="35" t="s">
        <v>23</v>
      </c>
      <c r="D1538" s="35" t="s">
        <v>47</v>
      </c>
      <c r="E1538" s="35" t="s">
        <v>58</v>
      </c>
      <c r="F1538" s="35" t="s">
        <v>56</v>
      </c>
      <c r="G1538" s="35" t="s">
        <v>25</v>
      </c>
      <c r="H1538" s="35" t="s">
        <v>25</v>
      </c>
      <c r="I1538" s="45">
        <v>44682</v>
      </c>
      <c r="J1538" s="46">
        <f>EFEITO!$J$1538*EFEITO!$Y$1110</f>
        <v>0</v>
      </c>
      <c r="K1538" s="46">
        <f ca="1">EFEITO!$L$1538*EFEITO!$Z$1110</f>
        <v>151.16815054295594</v>
      </c>
      <c r="L1538" s="46">
        <f>EFEITO!$N$1538*EFEITO!$AA$1110</f>
        <v>69.435274306615611</v>
      </c>
      <c r="M1538" s="46">
        <f>$J$1538-EFEITO!$K$1538*EFEITO!$Y$1538</f>
        <v>0</v>
      </c>
      <c r="N1538" s="46">
        <f ca="1">$K$1538-EFEITO!$M$1538*EFEITO!$Z$1538</f>
        <v>9.0700890325773571</v>
      </c>
      <c r="O1538" s="46">
        <f>$L$1538-EFEITO!$O$1538*EFEITO!$AA$1538</f>
        <v>4.1661164583969423</v>
      </c>
      <c r="P1538" s="38"/>
      <c r="Q1538" s="38"/>
      <c r="R1538" s="38"/>
      <c r="S1538" s="38"/>
      <c r="T1538" s="38"/>
      <c r="U1538" s="38"/>
      <c r="V1538" s="38"/>
      <c r="W1538" s="38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</row>
    <row r="1539" spans="1:36" ht="11.25" customHeight="1" x14ac:dyDescent="0.2">
      <c r="A1539" s="35" t="s">
        <v>21</v>
      </c>
      <c r="B1539" s="35" t="s">
        <v>46</v>
      </c>
      <c r="C1539" s="35" t="s">
        <v>23</v>
      </c>
      <c r="D1539" s="35" t="s">
        <v>47</v>
      </c>
      <c r="E1539" s="35" t="s">
        <v>58</v>
      </c>
      <c r="F1539" s="35" t="s">
        <v>56</v>
      </c>
      <c r="G1539" s="35" t="s">
        <v>25</v>
      </c>
      <c r="H1539" s="35" t="s">
        <v>25</v>
      </c>
      <c r="I1539" s="45">
        <v>44713</v>
      </c>
      <c r="J1539" s="46">
        <f>EFEITO!$J$1539*EFEITO!$Y$1110</f>
        <v>0</v>
      </c>
      <c r="K1539" s="46">
        <f ca="1">EFEITO!$L$1539*EFEITO!$Z$1110</f>
        <v>129.07048069614513</v>
      </c>
      <c r="L1539" s="46">
        <f>EFEITO!$N$1539*EFEITO!$AA$1110</f>
        <v>59.285267431229947</v>
      </c>
      <c r="M1539" s="46">
        <f>$J$1539-EFEITO!$K$1539*EFEITO!$Y$1539</f>
        <v>0</v>
      </c>
      <c r="N1539" s="46">
        <f ca="1">$K$1539-EFEITO!$M$1539*EFEITO!$Z$1539</f>
        <v>7.7442288417687166</v>
      </c>
      <c r="O1539" s="46">
        <f>$L$1539-EFEITO!$O$1539*EFEITO!$AA$1539</f>
        <v>3.5571160458738049</v>
      </c>
      <c r="P1539" s="38"/>
      <c r="Q1539" s="38"/>
      <c r="R1539" s="38"/>
      <c r="S1539" s="38"/>
      <c r="T1539" s="38"/>
      <c r="U1539" s="38"/>
      <c r="V1539" s="38"/>
      <c r="W1539" s="38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</row>
    <row r="1540" spans="1:36" ht="11.25" customHeight="1" x14ac:dyDescent="0.2">
      <c r="A1540" s="35" t="s">
        <v>21</v>
      </c>
      <c r="B1540" s="35" t="s">
        <v>46</v>
      </c>
      <c r="C1540" s="35" t="s">
        <v>23</v>
      </c>
      <c r="D1540" s="35" t="s">
        <v>47</v>
      </c>
      <c r="E1540" s="35" t="s">
        <v>58</v>
      </c>
      <c r="F1540" s="35" t="s">
        <v>56</v>
      </c>
      <c r="G1540" s="35" t="s">
        <v>25</v>
      </c>
      <c r="H1540" s="35" t="s">
        <v>25</v>
      </c>
      <c r="I1540" s="45">
        <v>44743</v>
      </c>
      <c r="J1540" s="46">
        <f>EFEITO!$J$1540*EFEITO!$Y$1110</f>
        <v>0</v>
      </c>
      <c r="K1540" s="46">
        <f ca="1">EFEITO!$L$1540*EFEITO!$Z$1110</f>
        <v>137.60821677332203</v>
      </c>
      <c r="L1540" s="46">
        <f>EFEITO!$N$1540*EFEITO!$AA$1110</f>
        <v>63.206860996719868</v>
      </c>
      <c r="M1540" s="46">
        <f>$J$1540-EFEITO!$K$1540*EFEITO!$Y$1540</f>
        <v>0</v>
      </c>
      <c r="N1540" s="46">
        <f ca="1">$K$1540-EFEITO!$M$1540*EFEITO!$Z$1540</f>
        <v>8.2564930063993245</v>
      </c>
      <c r="O1540" s="46">
        <f>$L$1540-EFEITO!$O$1540*EFEITO!$AA$1540</f>
        <v>3.7924116598032001</v>
      </c>
      <c r="P1540" s="38"/>
      <c r="Q1540" s="38"/>
      <c r="R1540" s="38"/>
      <c r="S1540" s="38"/>
      <c r="T1540" s="38"/>
      <c r="U1540" s="38"/>
      <c r="V1540" s="38"/>
      <c r="W1540" s="38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</row>
    <row r="1541" spans="1:36" ht="11.25" customHeight="1" x14ac:dyDescent="0.2">
      <c r="A1541" s="35" t="s">
        <v>21</v>
      </c>
      <c r="B1541" s="35" t="s">
        <v>46</v>
      </c>
      <c r="C1541" s="35" t="s">
        <v>23</v>
      </c>
      <c r="D1541" s="35" t="s">
        <v>47</v>
      </c>
      <c r="E1541" s="35" t="s">
        <v>58</v>
      </c>
      <c r="F1541" s="35" t="s">
        <v>56</v>
      </c>
      <c r="G1541" s="35" t="s">
        <v>25</v>
      </c>
      <c r="H1541" s="35" t="s">
        <v>25</v>
      </c>
      <c r="I1541" s="45">
        <v>44774</v>
      </c>
      <c r="J1541" s="46">
        <f>EFEITO!$J$1541*EFEITO!$Y$1110</f>
        <v>0</v>
      </c>
      <c r="K1541" s="46">
        <f ca="1">EFEITO!$L$1541*EFEITO!$Z$1110</f>
        <v>115.5105469265112</v>
      </c>
      <c r="L1541" s="46">
        <f>EFEITO!$N$1541*EFEITO!$AA$1110</f>
        <v>53.056854121334197</v>
      </c>
      <c r="M1541" s="46">
        <f>$J$1541-EFEITO!$K$1541*EFEITO!$Y$1541</f>
        <v>0</v>
      </c>
      <c r="N1541" s="46">
        <f ca="1">$K$1541-EFEITO!$M$1541*EFEITO!$Z$1541</f>
        <v>6.930632815590684</v>
      </c>
      <c r="O1541" s="46">
        <f>$L$1541-EFEITO!$O$1541*EFEITO!$AA$1541</f>
        <v>3.1834112472800555</v>
      </c>
      <c r="P1541" s="38"/>
      <c r="Q1541" s="38"/>
      <c r="R1541" s="38"/>
      <c r="S1541" s="38"/>
      <c r="T1541" s="38"/>
      <c r="U1541" s="38"/>
      <c r="V1541" s="38"/>
      <c r="W1541" s="38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</row>
    <row r="1542" spans="1:36" ht="11.25" customHeight="1" x14ac:dyDescent="0.2">
      <c r="A1542" s="35" t="s">
        <v>21</v>
      </c>
      <c r="B1542" s="35" t="s">
        <v>46</v>
      </c>
      <c r="C1542" s="35" t="s">
        <v>23</v>
      </c>
      <c r="D1542" s="35" t="s">
        <v>47</v>
      </c>
      <c r="E1542" s="35" t="s">
        <v>25</v>
      </c>
      <c r="F1542" s="35" t="s">
        <v>25</v>
      </c>
      <c r="G1542" s="35" t="s">
        <v>25</v>
      </c>
      <c r="H1542" s="35" t="s">
        <v>25</v>
      </c>
      <c r="I1542" s="45">
        <v>44531</v>
      </c>
      <c r="J1542" s="46">
        <f>EFEITO!$J$1542*EFEITO!$Y$1110</f>
        <v>0</v>
      </c>
      <c r="K1542" s="46">
        <f ca="1">EFEITO!$L$1542*EFEITO!$Z$1110</f>
        <v>1911497.1570667543</v>
      </c>
      <c r="L1542" s="46">
        <f>EFEITO!$N$1542*EFEITO!$AA$1110</f>
        <v>877997.97087238135</v>
      </c>
      <c r="M1542" s="46">
        <f>$J$1542-EFEITO!$K$1542*EFEITO!$Y$1542</f>
        <v>0</v>
      </c>
      <c r="N1542" s="46">
        <f ca="1">$K$1542-EFEITO!$M$1542*EFEITO!$Z$1542</f>
        <v>114689.82942400547</v>
      </c>
      <c r="O1542" s="46">
        <f>$L$1542-EFEITO!$O$1542*EFEITO!$AA$1542</f>
        <v>52679.878252342925</v>
      </c>
      <c r="P1542" s="38"/>
      <c r="Q1542" s="38"/>
      <c r="R1542" s="38"/>
      <c r="S1542" s="38"/>
      <c r="T1542" s="38"/>
      <c r="U1542" s="38"/>
      <c r="V1542" s="38"/>
      <c r="W1542" s="38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</row>
    <row r="1543" spans="1:36" ht="11.25" customHeight="1" x14ac:dyDescent="0.2">
      <c r="A1543" s="35" t="s">
        <v>27</v>
      </c>
      <c r="B1543" s="35" t="s">
        <v>46</v>
      </c>
      <c r="C1543" s="35" t="s">
        <v>23</v>
      </c>
      <c r="D1543" s="35" t="s">
        <v>47</v>
      </c>
      <c r="E1543" s="35" t="s">
        <v>25</v>
      </c>
      <c r="F1543" s="35" t="s">
        <v>25</v>
      </c>
      <c r="G1543" s="35" t="s">
        <v>25</v>
      </c>
      <c r="H1543" s="35" t="s">
        <v>25</v>
      </c>
      <c r="I1543" s="45">
        <v>44531</v>
      </c>
      <c r="J1543" s="46">
        <f>EFEITO!$J$1543*EFEITO!$Y$1110</f>
        <v>0</v>
      </c>
      <c r="K1543" s="46">
        <f ca="1">EFEITO!$L$1543*EFEITO!$Z$1110</f>
        <v>-27051.565650650427</v>
      </c>
      <c r="L1543" s="46">
        <f>EFEITO!$N$1543*EFEITO!$AA$1110</f>
        <v>-12425.453871267586</v>
      </c>
      <c r="M1543" s="46">
        <f>$J$1543-EFEITO!$K$1543*EFEITO!$Y$1543</f>
        <v>0</v>
      </c>
      <c r="N1543" s="46">
        <f ca="1">$K$1543-EFEITO!$M$1543*EFEITO!$Z$1543</f>
        <v>-1623.0939390390267</v>
      </c>
      <c r="O1543" s="46">
        <f>$L$1543-EFEITO!$O$1543*EFEITO!$AA$1543</f>
        <v>-745.52723227605566</v>
      </c>
      <c r="P1543" s="38"/>
      <c r="Q1543" s="38"/>
      <c r="R1543" s="38"/>
      <c r="S1543" s="38"/>
      <c r="T1543" s="38"/>
      <c r="U1543" s="38"/>
      <c r="V1543" s="38"/>
      <c r="W1543" s="38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</row>
    <row r="1544" spans="1:36" ht="11.25" customHeight="1" x14ac:dyDescent="0.2">
      <c r="A1544" s="35" t="s">
        <v>28</v>
      </c>
      <c r="B1544" s="35" t="s">
        <v>46</v>
      </c>
      <c r="C1544" s="35" t="s">
        <v>23</v>
      </c>
      <c r="D1544" s="35" t="s">
        <v>47</v>
      </c>
      <c r="E1544" s="35" t="s">
        <v>25</v>
      </c>
      <c r="F1544" s="35" t="s">
        <v>25</v>
      </c>
      <c r="G1544" s="35" t="s">
        <v>25</v>
      </c>
      <c r="H1544" s="35" t="s">
        <v>25</v>
      </c>
      <c r="I1544" s="45">
        <v>44531</v>
      </c>
      <c r="J1544" s="46">
        <f>EFEITO!$J$1544*EFEITO!$Y$1110</f>
        <v>0</v>
      </c>
      <c r="K1544" s="46">
        <f ca="1">EFEITO!$L$1544*EFEITO!$Z$1110</f>
        <v>372801.25024946843</v>
      </c>
      <c r="L1544" s="46">
        <f>EFEITO!$N$1544*EFEITO!$AA$1110</f>
        <v>171236.84440106619</v>
      </c>
      <c r="M1544" s="46">
        <f>$J$1544-EFEITO!$K$1544*EFEITO!$Y$1544</f>
        <v>0</v>
      </c>
      <c r="N1544" s="46">
        <f ca="1">$K$1544-EFEITO!$M$1544*EFEITO!$Z$1544</f>
        <v>22368.075014968112</v>
      </c>
      <c r="O1544" s="46">
        <f>$L$1544-EFEITO!$O$1544*EFEITO!$AA$1544</f>
        <v>10274.210664064012</v>
      </c>
      <c r="P1544" s="38"/>
      <c r="Q1544" s="38"/>
      <c r="R1544" s="38"/>
      <c r="S1544" s="38"/>
      <c r="T1544" s="38"/>
      <c r="U1544" s="38"/>
      <c r="V1544" s="38"/>
      <c r="W1544" s="38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</row>
    <row r="1545" spans="1:36" ht="11.25" customHeight="1" x14ac:dyDescent="0.2">
      <c r="A1545" s="35" t="s">
        <v>29</v>
      </c>
      <c r="B1545" s="35" t="s">
        <v>46</v>
      </c>
      <c r="C1545" s="35" t="s">
        <v>23</v>
      </c>
      <c r="D1545" s="35" t="s">
        <v>47</v>
      </c>
      <c r="E1545" s="35" t="s">
        <v>25</v>
      </c>
      <c r="F1545" s="35" t="s">
        <v>25</v>
      </c>
      <c r="G1545" s="35" t="s">
        <v>25</v>
      </c>
      <c r="H1545" s="35" t="s">
        <v>25</v>
      </c>
      <c r="I1545" s="45">
        <v>44531</v>
      </c>
      <c r="J1545" s="46">
        <f>EFEITO!$J$1545*EFEITO!$Y$1110</f>
        <v>0</v>
      </c>
      <c r="K1545" s="46">
        <f ca="1">EFEITO!$L$1545*EFEITO!$Z$1110</f>
        <v>-287.26970800854087</v>
      </c>
      <c r="L1545" s="46">
        <f>EFEITO!$N$1545*EFEITO!$AA$1110</f>
        <v>-131.95008938001371</v>
      </c>
      <c r="M1545" s="46">
        <f>$J$1545-EFEITO!$K$1545*EFEITO!$Y$1545</f>
        <v>0</v>
      </c>
      <c r="N1545" s="46">
        <f ca="1">$K$1545-EFEITO!$M$1545*EFEITO!$Z$1545</f>
        <v>-17.236182480512468</v>
      </c>
      <c r="O1545" s="46">
        <f>$L$1545-EFEITO!$O$1545*EFEITO!$AA$1545</f>
        <v>-7.9170053628008219</v>
      </c>
      <c r="P1545" s="38"/>
      <c r="Q1545" s="38"/>
      <c r="R1545" s="38"/>
      <c r="S1545" s="38"/>
      <c r="T1545" s="38"/>
      <c r="U1545" s="38"/>
      <c r="V1545" s="38"/>
      <c r="W1545" s="38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</row>
    <row r="1546" spans="1:36" ht="11.25" customHeight="1" x14ac:dyDescent="0.2">
      <c r="A1546" s="35" t="s">
        <v>30</v>
      </c>
      <c r="B1546" s="35" t="s">
        <v>46</v>
      </c>
      <c r="C1546" s="35" t="s">
        <v>23</v>
      </c>
      <c r="D1546" s="35" t="s">
        <v>47</v>
      </c>
      <c r="E1546" s="35" t="s">
        <v>25</v>
      </c>
      <c r="F1546" s="35" t="s">
        <v>25</v>
      </c>
      <c r="G1546" s="35" t="s">
        <v>25</v>
      </c>
      <c r="H1546" s="35" t="s">
        <v>25</v>
      </c>
      <c r="I1546" s="45">
        <v>44531</v>
      </c>
      <c r="J1546" s="46">
        <f>EFEITO!$J$1546*EFEITO!$Y$1110</f>
        <v>0</v>
      </c>
      <c r="K1546" s="46">
        <f ca="1">EFEITO!$L$1546*EFEITO!$Z$1110</f>
        <v>17007.67248550566</v>
      </c>
      <c r="L1546" s="46">
        <f>EFEITO!$N$1546*EFEITO!$AA$1110</f>
        <v>7812.0450644303592</v>
      </c>
      <c r="M1546" s="46">
        <f>$J$1546-EFEITO!$K$1546*EFEITO!$Y$1546</f>
        <v>0</v>
      </c>
      <c r="N1546" s="46">
        <f ca="1">$K$1546-EFEITO!$M$1546*EFEITO!$Z$1546</f>
        <v>1020.4603491303405</v>
      </c>
      <c r="O1546" s="46">
        <f>$L$1546-EFEITO!$O$1546*EFEITO!$AA$1546</f>
        <v>468.72270386582295</v>
      </c>
      <c r="P1546" s="38"/>
      <c r="Q1546" s="38"/>
      <c r="R1546" s="38"/>
      <c r="S1546" s="38"/>
      <c r="T1546" s="38"/>
      <c r="U1546" s="38"/>
      <c r="V1546" s="38"/>
      <c r="W1546" s="38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</row>
    <row r="1547" spans="1:36" ht="11.25" customHeight="1" x14ac:dyDescent="0.2">
      <c r="A1547" s="35" t="s">
        <v>30</v>
      </c>
      <c r="B1547" s="35" t="s">
        <v>46</v>
      </c>
      <c r="C1547" s="35" t="s">
        <v>23</v>
      </c>
      <c r="D1547" s="35" t="s">
        <v>47</v>
      </c>
      <c r="E1547" s="35" t="s">
        <v>25</v>
      </c>
      <c r="F1547" s="35" t="s">
        <v>25</v>
      </c>
      <c r="G1547" s="35" t="s">
        <v>25</v>
      </c>
      <c r="H1547" s="35" t="s">
        <v>25</v>
      </c>
      <c r="I1547" s="45">
        <v>44531</v>
      </c>
      <c r="J1547" s="46">
        <f>EFEITO!$J$1547*EFEITO!$Y$1110</f>
        <v>0</v>
      </c>
      <c r="K1547" s="46">
        <f ca="1">EFEITO!$L$1547*EFEITO!$Z$1110</f>
        <v>1276.6426534225714</v>
      </c>
      <c r="L1547" s="46">
        <f>EFEITO!$N$1547*EFEITO!$AA$1110</f>
        <v>586.39357902796303</v>
      </c>
      <c r="M1547" s="46">
        <f>$J$1547-EFEITO!$K$1547*EFEITO!$Y$1547</f>
        <v>0</v>
      </c>
      <c r="N1547" s="46">
        <f ca="1">$K$1547-EFEITO!$M$1547*EFEITO!$Z$1547</f>
        <v>76.598559205354377</v>
      </c>
      <c r="O1547" s="46">
        <f>$L$1547-EFEITO!$O$1547*EFEITO!$AA$1547</f>
        <v>35.183614741677843</v>
      </c>
      <c r="P1547" s="38"/>
      <c r="Q1547" s="38"/>
      <c r="R1547" s="38"/>
      <c r="S1547" s="38"/>
      <c r="T1547" s="38"/>
      <c r="U1547" s="38"/>
      <c r="V1547" s="38"/>
      <c r="W1547" s="38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</row>
    <row r="1548" spans="1:36" ht="11.25" customHeight="1" x14ac:dyDescent="0.2">
      <c r="A1548" s="35" t="s">
        <v>21</v>
      </c>
      <c r="B1548" s="35" t="s">
        <v>46</v>
      </c>
      <c r="C1548" s="35" t="s">
        <v>23</v>
      </c>
      <c r="D1548" s="35" t="s">
        <v>47</v>
      </c>
      <c r="E1548" s="35" t="s">
        <v>25</v>
      </c>
      <c r="F1548" s="35" t="s">
        <v>25</v>
      </c>
      <c r="G1548" s="35" t="s">
        <v>25</v>
      </c>
      <c r="H1548" s="35" t="s">
        <v>25</v>
      </c>
      <c r="I1548" s="45">
        <v>44562</v>
      </c>
      <c r="J1548" s="46">
        <f>EFEITO!$J$1548*EFEITO!$Y$1110</f>
        <v>0</v>
      </c>
      <c r="K1548" s="46">
        <f ca="1">EFEITO!$L$1548*EFEITO!$Z$1110</f>
        <v>1952503.903445435</v>
      </c>
      <c r="L1548" s="46">
        <f>EFEITO!$N$1548*EFEITO!$AA$1110</f>
        <v>896833.38476742944</v>
      </c>
      <c r="M1548" s="46">
        <f>$J$1548-EFEITO!$K$1548*EFEITO!$Y$1548</f>
        <v>0</v>
      </c>
      <c r="N1548" s="46">
        <f ca="1">$K$1548-EFEITO!$M$1548*EFEITO!$Z$1548</f>
        <v>117150.23420672631</v>
      </c>
      <c r="O1548" s="46">
        <f>$L$1548-EFEITO!$O$1548*EFEITO!$AA$1548</f>
        <v>53810.00308604585</v>
      </c>
      <c r="P1548" s="38"/>
      <c r="Q1548" s="38"/>
      <c r="R1548" s="38"/>
      <c r="S1548" s="38"/>
      <c r="T1548" s="38"/>
      <c r="U1548" s="38"/>
      <c r="V1548" s="38"/>
      <c r="W1548" s="38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</row>
    <row r="1549" spans="1:36" ht="11.25" customHeight="1" x14ac:dyDescent="0.2">
      <c r="A1549" s="35" t="s">
        <v>27</v>
      </c>
      <c r="B1549" s="35" t="s">
        <v>46</v>
      </c>
      <c r="C1549" s="35" t="s">
        <v>23</v>
      </c>
      <c r="D1549" s="35" t="s">
        <v>47</v>
      </c>
      <c r="E1549" s="35" t="s">
        <v>25</v>
      </c>
      <c r="F1549" s="35" t="s">
        <v>25</v>
      </c>
      <c r="G1549" s="35" t="s">
        <v>25</v>
      </c>
      <c r="H1549" s="35" t="s">
        <v>25</v>
      </c>
      <c r="I1549" s="45">
        <v>44562</v>
      </c>
      <c r="J1549" s="46">
        <f>EFEITO!$J$1549*EFEITO!$Y$1110</f>
        <v>0</v>
      </c>
      <c r="K1549" s="46">
        <f ca="1">EFEITO!$L$1549*EFEITO!$Z$1110</f>
        <v>-11748.929281733925</v>
      </c>
      <c r="L1549" s="46">
        <f>EFEITO!$N$1549*EFEITO!$AA$1110</f>
        <v>-5396.5741100630084</v>
      </c>
      <c r="M1549" s="46">
        <f>$J$1549-EFEITO!$K$1549*EFEITO!$Y$1549</f>
        <v>0</v>
      </c>
      <c r="N1549" s="46">
        <f ca="1">$K$1549-EFEITO!$M$1549*EFEITO!$Z$1549</f>
        <v>-704.93575690403668</v>
      </c>
      <c r="O1549" s="46">
        <f>$L$1549-EFEITO!$O$1549*EFEITO!$AA$1549</f>
        <v>-323.79444660378067</v>
      </c>
      <c r="P1549" s="38"/>
      <c r="Q1549" s="38"/>
      <c r="R1549" s="38"/>
      <c r="S1549" s="38"/>
      <c r="T1549" s="38"/>
      <c r="U1549" s="38"/>
      <c r="V1549" s="38"/>
      <c r="W1549" s="38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</row>
    <row r="1550" spans="1:36" ht="11.25" customHeight="1" x14ac:dyDescent="0.2">
      <c r="A1550" s="35" t="s">
        <v>28</v>
      </c>
      <c r="B1550" s="35" t="s">
        <v>46</v>
      </c>
      <c r="C1550" s="35" t="s">
        <v>23</v>
      </c>
      <c r="D1550" s="35" t="s">
        <v>47</v>
      </c>
      <c r="E1550" s="35" t="s">
        <v>25</v>
      </c>
      <c r="F1550" s="35" t="s">
        <v>25</v>
      </c>
      <c r="G1550" s="35" t="s">
        <v>25</v>
      </c>
      <c r="H1550" s="35" t="s">
        <v>25</v>
      </c>
      <c r="I1550" s="45">
        <v>44562</v>
      </c>
      <c r="J1550" s="46">
        <f>EFEITO!$J$1550*EFEITO!$Y$1110</f>
        <v>0</v>
      </c>
      <c r="K1550" s="46">
        <f ca="1">EFEITO!$L$1550*EFEITO!$Z$1110</f>
        <v>376092.29639733554</v>
      </c>
      <c r="L1550" s="46">
        <f>EFEITO!$N$1550*EFEITO!$AA$1110</f>
        <v>172748.50337957533</v>
      </c>
      <c r="M1550" s="46">
        <f>$J$1550-EFEITO!$K$1550*EFEITO!$Y$1550</f>
        <v>0</v>
      </c>
      <c r="N1550" s="46">
        <f ca="1">$K$1550-EFEITO!$M$1550*EFEITO!$Z$1550</f>
        <v>22565.537783840147</v>
      </c>
      <c r="O1550" s="46">
        <f>$L$1550-EFEITO!$O$1550*EFEITO!$AA$1550</f>
        <v>10364.910202774539</v>
      </c>
      <c r="P1550" s="38"/>
      <c r="Q1550" s="38"/>
      <c r="R1550" s="38"/>
      <c r="S1550" s="38"/>
      <c r="T1550" s="38"/>
      <c r="U1550" s="38"/>
      <c r="V1550" s="38"/>
      <c r="W1550" s="38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</row>
    <row r="1551" spans="1:36" ht="11.25" customHeight="1" x14ac:dyDescent="0.2">
      <c r="A1551" s="35" t="s">
        <v>29</v>
      </c>
      <c r="B1551" s="35" t="s">
        <v>46</v>
      </c>
      <c r="C1551" s="35" t="s">
        <v>23</v>
      </c>
      <c r="D1551" s="35" t="s">
        <v>47</v>
      </c>
      <c r="E1551" s="35" t="s">
        <v>25</v>
      </c>
      <c r="F1551" s="35" t="s">
        <v>25</v>
      </c>
      <c r="G1551" s="35" t="s">
        <v>25</v>
      </c>
      <c r="H1551" s="35" t="s">
        <v>25</v>
      </c>
      <c r="I1551" s="45">
        <v>44562</v>
      </c>
      <c r="J1551" s="46">
        <f>EFEITO!$J$1551*EFEITO!$Y$1110</f>
        <v>0</v>
      </c>
      <c r="K1551" s="46">
        <f ca="1">EFEITO!$L$1551*EFEITO!$Z$1110</f>
        <v>-1399.1842771185225</v>
      </c>
      <c r="L1551" s="46">
        <f>EFEITO!$N$1551*EFEITO!$AA$1110</f>
        <v>-642.67998079146548</v>
      </c>
      <c r="M1551" s="46">
        <f>$J$1551-EFEITO!$K$1551*EFEITO!$Y$1551</f>
        <v>0</v>
      </c>
      <c r="N1551" s="46">
        <f ca="1">$K$1551-EFEITO!$M$1551*EFEITO!$Z$1551</f>
        <v>-83.951056627111257</v>
      </c>
      <c r="O1551" s="46">
        <f>$L$1551-EFEITO!$O$1551*EFEITO!$AA$1551</f>
        <v>-38.560798847487945</v>
      </c>
      <c r="P1551" s="38"/>
      <c r="Q1551" s="38"/>
      <c r="R1551" s="38"/>
      <c r="S1551" s="38"/>
      <c r="T1551" s="38"/>
      <c r="U1551" s="38"/>
      <c r="V1551" s="38"/>
      <c r="W1551" s="38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</row>
    <row r="1552" spans="1:36" ht="11.25" customHeight="1" x14ac:dyDescent="0.2">
      <c r="A1552" s="35" t="s">
        <v>30</v>
      </c>
      <c r="B1552" s="35" t="s">
        <v>46</v>
      </c>
      <c r="C1552" s="35" t="s">
        <v>23</v>
      </c>
      <c r="D1552" s="35" t="s">
        <v>47</v>
      </c>
      <c r="E1552" s="35" t="s">
        <v>25</v>
      </c>
      <c r="F1552" s="35" t="s">
        <v>25</v>
      </c>
      <c r="G1552" s="35" t="s">
        <v>25</v>
      </c>
      <c r="H1552" s="35" t="s">
        <v>25</v>
      </c>
      <c r="I1552" s="45">
        <v>44562</v>
      </c>
      <c r="J1552" s="46">
        <f>EFEITO!$J$1552*EFEITO!$Y$1110</f>
        <v>0</v>
      </c>
      <c r="K1552" s="46">
        <f ca="1">EFEITO!$L$1552*EFEITO!$Z$1110</f>
        <v>20016.973342825899</v>
      </c>
      <c r="L1552" s="46">
        <f>EFEITO!$N$1552*EFEITO!$AA$1110</f>
        <v>9194.291455278335</v>
      </c>
      <c r="M1552" s="46">
        <f>$J$1552-EFEITO!$K$1552*EFEITO!$Y$1552</f>
        <v>0</v>
      </c>
      <c r="N1552" s="46">
        <f ca="1">$K$1552-EFEITO!$M$1552*EFEITO!$Z$1552</f>
        <v>1201.0184005695555</v>
      </c>
      <c r="O1552" s="46">
        <f>$L$1552-EFEITO!$O$1552*EFEITO!$AA$1552</f>
        <v>551.65748731670101</v>
      </c>
      <c r="P1552" s="38"/>
      <c r="Q1552" s="38"/>
      <c r="R1552" s="38"/>
      <c r="S1552" s="38"/>
      <c r="T1552" s="38"/>
      <c r="U1552" s="38"/>
      <c r="V1552" s="38"/>
      <c r="W1552" s="38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</row>
    <row r="1553" spans="1:36" ht="11.25" customHeight="1" x14ac:dyDescent="0.2">
      <c r="A1553" s="35" t="s">
        <v>30</v>
      </c>
      <c r="B1553" s="35" t="s">
        <v>46</v>
      </c>
      <c r="C1553" s="35" t="s">
        <v>23</v>
      </c>
      <c r="D1553" s="35" t="s">
        <v>47</v>
      </c>
      <c r="E1553" s="35" t="s">
        <v>25</v>
      </c>
      <c r="F1553" s="35" t="s">
        <v>25</v>
      </c>
      <c r="G1553" s="35" t="s">
        <v>25</v>
      </c>
      <c r="H1553" s="35" t="s">
        <v>25</v>
      </c>
      <c r="I1553" s="45">
        <v>44562</v>
      </c>
      <c r="J1553" s="46">
        <f>EFEITO!$J$1553*EFEITO!$Y$1110</f>
        <v>0</v>
      </c>
      <c r="K1553" s="46">
        <f ca="1">EFEITO!$L$1553*EFEITO!$Z$1110</f>
        <v>-508.24640647664927</v>
      </c>
      <c r="L1553" s="46">
        <f>EFEITO!$N$1553*EFEITO!$AA$1110</f>
        <v>-233.45015813387045</v>
      </c>
      <c r="M1553" s="46">
        <f>$J$1553-EFEITO!$K$1553*EFEITO!$Y$1553</f>
        <v>0</v>
      </c>
      <c r="N1553" s="46">
        <f ca="1">$K$1553-EFEITO!$M$1553*EFEITO!$Z$1553</f>
        <v>-30.494784388598987</v>
      </c>
      <c r="O1553" s="46">
        <f>$L$1553-EFEITO!$O$1553*EFEITO!$AA$1553</f>
        <v>-14.007009488032253</v>
      </c>
      <c r="P1553" s="38"/>
      <c r="Q1553" s="38"/>
      <c r="R1553" s="38"/>
      <c r="S1553" s="38"/>
      <c r="T1553" s="38"/>
      <c r="U1553" s="38"/>
      <c r="V1553" s="38"/>
      <c r="W1553" s="38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</row>
    <row r="1554" spans="1:36" ht="11.25" customHeight="1" x14ac:dyDescent="0.2">
      <c r="A1554" s="35" t="s">
        <v>21</v>
      </c>
      <c r="B1554" s="35" t="s">
        <v>46</v>
      </c>
      <c r="C1554" s="35" t="s">
        <v>23</v>
      </c>
      <c r="D1554" s="35" t="s">
        <v>47</v>
      </c>
      <c r="E1554" s="35" t="s">
        <v>25</v>
      </c>
      <c r="F1554" s="35" t="s">
        <v>25</v>
      </c>
      <c r="G1554" s="35" t="s">
        <v>25</v>
      </c>
      <c r="H1554" s="35" t="s">
        <v>25</v>
      </c>
      <c r="I1554" s="45">
        <v>44593</v>
      </c>
      <c r="J1554" s="46">
        <f>EFEITO!$J$1554*EFEITO!$Y$1110</f>
        <v>0</v>
      </c>
      <c r="K1554" s="46">
        <f ca="1">EFEITO!$L$1554*EFEITO!$Z$1110</f>
        <v>1814691.7854457991</v>
      </c>
      <c r="L1554" s="46">
        <f>EFEITO!$N$1554*EFEITO!$AA$1110</f>
        <v>833532.86688908667</v>
      </c>
      <c r="M1554" s="46">
        <f>$J$1554-EFEITO!$K$1554*EFEITO!$Y$1554</f>
        <v>0</v>
      </c>
      <c r="N1554" s="46">
        <f ca="1">$K$1554-EFEITO!$M$1554*EFEITO!$Z$1554</f>
        <v>108881.5071267481</v>
      </c>
      <c r="O1554" s="46">
        <f>$L$1554-EFEITO!$O$1554*EFEITO!$AA$1554</f>
        <v>50011.972013345221</v>
      </c>
      <c r="P1554" s="38"/>
      <c r="Q1554" s="38"/>
      <c r="R1554" s="38"/>
      <c r="S1554" s="38"/>
      <c r="T1554" s="38"/>
      <c r="U1554" s="38"/>
      <c r="V1554" s="38"/>
      <c r="W1554" s="38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</row>
    <row r="1555" spans="1:36" ht="11.25" customHeight="1" x14ac:dyDescent="0.2">
      <c r="A1555" s="35" t="s">
        <v>27</v>
      </c>
      <c r="B1555" s="35" t="s">
        <v>46</v>
      </c>
      <c r="C1555" s="35" t="s">
        <v>23</v>
      </c>
      <c r="D1555" s="35" t="s">
        <v>47</v>
      </c>
      <c r="E1555" s="35" t="s">
        <v>25</v>
      </c>
      <c r="F1555" s="35" t="s">
        <v>25</v>
      </c>
      <c r="G1555" s="35" t="s">
        <v>25</v>
      </c>
      <c r="H1555" s="35" t="s">
        <v>25</v>
      </c>
      <c r="I1555" s="45">
        <v>44593</v>
      </c>
      <c r="J1555" s="46">
        <f>EFEITO!$J$1555*EFEITO!$Y$1110</f>
        <v>0</v>
      </c>
      <c r="K1555" s="46">
        <f ca="1">EFEITO!$L$1555*EFEITO!$Z$1110</f>
        <v>-16656.620866802914</v>
      </c>
      <c r="L1555" s="46">
        <f>EFEITO!$N$1555*EFEITO!$AA$1110</f>
        <v>-7650.79836429639</v>
      </c>
      <c r="M1555" s="46">
        <f>$J$1555-EFEITO!$K$1555*EFEITO!$Y$1555</f>
        <v>0</v>
      </c>
      <c r="N1555" s="46">
        <f ca="1">$K$1555-EFEITO!$M$1555*EFEITO!$Z$1555</f>
        <v>-999.39725200817702</v>
      </c>
      <c r="O1555" s="46">
        <f>$L$1555-EFEITO!$O$1555*EFEITO!$AA$1555</f>
        <v>-459.04790185778438</v>
      </c>
      <c r="P1555" s="38"/>
      <c r="Q1555" s="38"/>
      <c r="R1555" s="38"/>
      <c r="S1555" s="38"/>
      <c r="T1555" s="38"/>
      <c r="U1555" s="38"/>
      <c r="V1555" s="38"/>
      <c r="W1555" s="38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</row>
    <row r="1556" spans="1:36" ht="11.25" customHeight="1" x14ac:dyDescent="0.2">
      <c r="A1556" s="35" t="s">
        <v>28</v>
      </c>
      <c r="B1556" s="35" t="s">
        <v>46</v>
      </c>
      <c r="C1556" s="35" t="s">
        <v>23</v>
      </c>
      <c r="D1556" s="35" t="s">
        <v>47</v>
      </c>
      <c r="E1556" s="35" t="s">
        <v>25</v>
      </c>
      <c r="F1556" s="35" t="s">
        <v>25</v>
      </c>
      <c r="G1556" s="35" t="s">
        <v>25</v>
      </c>
      <c r="H1556" s="35" t="s">
        <v>25</v>
      </c>
      <c r="I1556" s="45">
        <v>44593</v>
      </c>
      <c r="J1556" s="46">
        <f>EFEITO!$J$1556*EFEITO!$Y$1110</f>
        <v>0</v>
      </c>
      <c r="K1556" s="46">
        <f ca="1">EFEITO!$L$1556*EFEITO!$Z$1110</f>
        <v>352853.58323479845</v>
      </c>
      <c r="L1556" s="46">
        <f>EFEITO!$N$1556*EFEITO!$AA$1110</f>
        <v>162074.38705826065</v>
      </c>
      <c r="M1556" s="46">
        <f>$J$1556-EFEITO!$K$1556*EFEITO!$Y$1556</f>
        <v>0</v>
      </c>
      <c r="N1556" s="46">
        <f ca="1">$K$1556-EFEITO!$M$1556*EFEITO!$Z$1556</f>
        <v>21171.214994087932</v>
      </c>
      <c r="O1556" s="46">
        <f>$L$1556-EFEITO!$O$1556*EFEITO!$AA$1556</f>
        <v>9724.4632234956662</v>
      </c>
      <c r="P1556" s="38"/>
      <c r="Q1556" s="38"/>
      <c r="R1556" s="38"/>
      <c r="S1556" s="38"/>
      <c r="T1556" s="38"/>
      <c r="U1556" s="38"/>
      <c r="V1556" s="38"/>
      <c r="W1556" s="38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</row>
    <row r="1557" spans="1:36" ht="11.25" customHeight="1" x14ac:dyDescent="0.2">
      <c r="A1557" s="35" t="s">
        <v>29</v>
      </c>
      <c r="B1557" s="35" t="s">
        <v>46</v>
      </c>
      <c r="C1557" s="35" t="s">
        <v>23</v>
      </c>
      <c r="D1557" s="35" t="s">
        <v>47</v>
      </c>
      <c r="E1557" s="35" t="s">
        <v>25</v>
      </c>
      <c r="F1557" s="35" t="s">
        <v>25</v>
      </c>
      <c r="G1557" s="35" t="s">
        <v>25</v>
      </c>
      <c r="H1557" s="35" t="s">
        <v>25</v>
      </c>
      <c r="I1557" s="45">
        <v>44593</v>
      </c>
      <c r="J1557" s="46">
        <f>EFEITO!$J$1557*EFEITO!$Y$1110</f>
        <v>0</v>
      </c>
      <c r="K1557" s="46">
        <f ca="1">EFEITO!$L$1557*EFEITO!$Z$1110</f>
        <v>-2974.6476932422861</v>
      </c>
      <c r="L1557" s="46">
        <f>EFEITO!$N$1557*EFEITO!$AA$1110</f>
        <v>-1366.3293346115759</v>
      </c>
      <c r="M1557" s="46">
        <f>$J$1557-EFEITO!$K$1557*EFEITO!$Y$1557</f>
        <v>0</v>
      </c>
      <c r="N1557" s="46">
        <f ca="1">$K$1557-EFEITO!$M$1557*EFEITO!$Z$1557</f>
        <v>-178.47886159453719</v>
      </c>
      <c r="O1557" s="46">
        <f>$L$1557-EFEITO!$O$1557*EFEITO!$AA$1557</f>
        <v>-81.979760076694674</v>
      </c>
      <c r="P1557" s="38"/>
      <c r="Q1557" s="38"/>
      <c r="R1557" s="38"/>
      <c r="S1557" s="38"/>
      <c r="T1557" s="38"/>
      <c r="U1557" s="38"/>
      <c r="V1557" s="38"/>
      <c r="W1557" s="38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</row>
    <row r="1558" spans="1:36" ht="11.25" customHeight="1" x14ac:dyDescent="0.2">
      <c r="A1558" s="35" t="s">
        <v>30</v>
      </c>
      <c r="B1558" s="35" t="s">
        <v>46</v>
      </c>
      <c r="C1558" s="35" t="s">
        <v>23</v>
      </c>
      <c r="D1558" s="35" t="s">
        <v>47</v>
      </c>
      <c r="E1558" s="35" t="s">
        <v>25</v>
      </c>
      <c r="F1558" s="35" t="s">
        <v>25</v>
      </c>
      <c r="G1558" s="35" t="s">
        <v>25</v>
      </c>
      <c r="H1558" s="35" t="s">
        <v>25</v>
      </c>
      <c r="I1558" s="45">
        <v>44593</v>
      </c>
      <c r="J1558" s="46">
        <f>EFEITO!$J$1558*EFEITO!$Y$1110</f>
        <v>0</v>
      </c>
      <c r="K1558" s="46">
        <f ca="1">EFEITO!$L$1558*EFEITO!$Z$1110</f>
        <v>18573.593726013751</v>
      </c>
      <c r="L1558" s="46">
        <f>EFEITO!$N$1558*EFEITO!$AA$1110</f>
        <v>8531.3114607360967</v>
      </c>
      <c r="M1558" s="46">
        <f>$J$1558-EFEITO!$K$1558*EFEITO!$Y$1558</f>
        <v>0</v>
      </c>
      <c r="N1558" s="46">
        <f ca="1">$K$1558-EFEITO!$M$1558*EFEITO!$Z$1558</f>
        <v>1114.4156235608243</v>
      </c>
      <c r="O1558" s="46">
        <f>$L$1558-EFEITO!$O$1558*EFEITO!$AA$1558</f>
        <v>511.87868764416635</v>
      </c>
      <c r="P1558" s="38"/>
      <c r="Q1558" s="38"/>
      <c r="R1558" s="38"/>
      <c r="S1558" s="38"/>
      <c r="T1558" s="38"/>
      <c r="U1558" s="38"/>
      <c r="V1558" s="38"/>
      <c r="W1558" s="38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</row>
    <row r="1559" spans="1:36" ht="11.25" customHeight="1" x14ac:dyDescent="0.2">
      <c r="A1559" s="35" t="s">
        <v>30</v>
      </c>
      <c r="B1559" s="35" t="s">
        <v>46</v>
      </c>
      <c r="C1559" s="35" t="s">
        <v>23</v>
      </c>
      <c r="D1559" s="35" t="s">
        <v>47</v>
      </c>
      <c r="E1559" s="35" t="s">
        <v>25</v>
      </c>
      <c r="F1559" s="35" t="s">
        <v>25</v>
      </c>
      <c r="G1559" s="35" t="s">
        <v>25</v>
      </c>
      <c r="H1559" s="35" t="s">
        <v>25</v>
      </c>
      <c r="I1559" s="45">
        <v>44593</v>
      </c>
      <c r="J1559" s="46">
        <f>EFEITO!$J$1559*EFEITO!$Y$1110</f>
        <v>0</v>
      </c>
      <c r="K1559" s="46">
        <f ca="1">EFEITO!$L$1559*EFEITO!$Z$1110</f>
        <v>-187.8301936978921</v>
      </c>
      <c r="L1559" s="46">
        <f>EFEITO!$N$1559*EFEITO!$AA$1110</f>
        <v>-86.27505844077821</v>
      </c>
      <c r="M1559" s="46">
        <f>$J$1559-EFEITO!$K$1559*EFEITO!$Y$1559</f>
        <v>0</v>
      </c>
      <c r="N1559" s="46">
        <f ca="1">$K$1559-EFEITO!$M$1559*EFEITO!$Z$1559</f>
        <v>-11.269811621873515</v>
      </c>
      <c r="O1559" s="46">
        <f>$L$1559-EFEITO!$O$1559*EFEITO!$AA$1559</f>
        <v>-5.1765035064467071</v>
      </c>
      <c r="P1559" s="38"/>
      <c r="Q1559" s="38"/>
      <c r="R1559" s="38"/>
      <c r="S1559" s="38"/>
      <c r="T1559" s="38"/>
      <c r="U1559" s="38"/>
      <c r="V1559" s="38"/>
      <c r="W1559" s="38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</row>
    <row r="1560" spans="1:36" ht="11.25" customHeight="1" x14ac:dyDescent="0.2">
      <c r="A1560" s="35" t="s">
        <v>21</v>
      </c>
      <c r="B1560" s="35" t="s">
        <v>46</v>
      </c>
      <c r="C1560" s="35" t="s">
        <v>23</v>
      </c>
      <c r="D1560" s="35" t="s">
        <v>47</v>
      </c>
      <c r="E1560" s="35" t="s">
        <v>25</v>
      </c>
      <c r="F1560" s="35" t="s">
        <v>25</v>
      </c>
      <c r="G1560" s="35" t="s">
        <v>25</v>
      </c>
      <c r="H1560" s="35" t="s">
        <v>25</v>
      </c>
      <c r="I1560" s="45">
        <v>44621</v>
      </c>
      <c r="J1560" s="46">
        <f>EFEITO!$J$1560*EFEITO!$Y$1110</f>
        <v>0</v>
      </c>
      <c r="K1560" s="46">
        <f ca="1">EFEITO!$L$1560*EFEITO!$Z$1110</f>
        <v>1455577.5305675839</v>
      </c>
      <c r="L1560" s="46">
        <f>EFEITO!$N$1560*EFEITO!$AA$1110</f>
        <v>668582.79833744967</v>
      </c>
      <c r="M1560" s="46">
        <f>$J$1560-EFEITO!$K$1560*EFEITO!$Y$1560</f>
        <v>0</v>
      </c>
      <c r="N1560" s="46">
        <f ca="1">$K$1560-EFEITO!$M$1560*EFEITO!$Z$1560</f>
        <v>87334.651834055083</v>
      </c>
      <c r="O1560" s="46">
        <f>$L$1560-EFEITO!$O$1560*EFEITO!$AA$1560</f>
        <v>40114.967900246964</v>
      </c>
      <c r="P1560" s="38"/>
      <c r="Q1560" s="38"/>
      <c r="R1560" s="38"/>
      <c r="S1560" s="38"/>
      <c r="T1560" s="38"/>
      <c r="U1560" s="38"/>
      <c r="V1560" s="38"/>
      <c r="W1560" s="38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</row>
    <row r="1561" spans="1:36" ht="11.25" customHeight="1" x14ac:dyDescent="0.2">
      <c r="A1561" s="35" t="s">
        <v>27</v>
      </c>
      <c r="B1561" s="35" t="s">
        <v>46</v>
      </c>
      <c r="C1561" s="35" t="s">
        <v>23</v>
      </c>
      <c r="D1561" s="35" t="s">
        <v>47</v>
      </c>
      <c r="E1561" s="35" t="s">
        <v>25</v>
      </c>
      <c r="F1561" s="35" t="s">
        <v>25</v>
      </c>
      <c r="G1561" s="35" t="s">
        <v>25</v>
      </c>
      <c r="H1561" s="35" t="s">
        <v>25</v>
      </c>
      <c r="I1561" s="45">
        <v>44621</v>
      </c>
      <c r="J1561" s="46">
        <f>EFEITO!$J$1561*EFEITO!$Y$1110</f>
        <v>0</v>
      </c>
      <c r="K1561" s="46">
        <f ca="1">EFEITO!$L$1561*EFEITO!$Z$1110</f>
        <v>-26164.143318393279</v>
      </c>
      <c r="L1561" s="46">
        <f>EFEITO!$N$1561*EFEITO!$AA$1110</f>
        <v>-12017.838822431077</v>
      </c>
      <c r="M1561" s="46">
        <f>$J$1561-EFEITO!$K$1561*EFEITO!$Y$1561</f>
        <v>0</v>
      </c>
      <c r="N1561" s="46">
        <f ca="1">$K$1561-EFEITO!$M$1561*EFEITO!$Z$1561</f>
        <v>-1569.8485991035996</v>
      </c>
      <c r="O1561" s="46">
        <f>$L$1561-EFEITO!$O$1561*EFEITO!$AA$1561</f>
        <v>-721.07032934586641</v>
      </c>
      <c r="P1561" s="38"/>
      <c r="Q1561" s="38"/>
      <c r="R1561" s="38"/>
      <c r="S1561" s="38"/>
      <c r="T1561" s="38"/>
      <c r="U1561" s="38"/>
      <c r="V1561" s="38"/>
      <c r="W1561" s="38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</row>
    <row r="1562" spans="1:36" ht="11.25" customHeight="1" x14ac:dyDescent="0.2">
      <c r="A1562" s="35" t="s">
        <v>28</v>
      </c>
      <c r="B1562" s="35" t="s">
        <v>46</v>
      </c>
      <c r="C1562" s="35" t="s">
        <v>23</v>
      </c>
      <c r="D1562" s="35" t="s">
        <v>47</v>
      </c>
      <c r="E1562" s="35" t="s">
        <v>25</v>
      </c>
      <c r="F1562" s="35" t="s">
        <v>25</v>
      </c>
      <c r="G1562" s="35" t="s">
        <v>25</v>
      </c>
      <c r="H1562" s="35" t="s">
        <v>25</v>
      </c>
      <c r="I1562" s="45">
        <v>44621</v>
      </c>
      <c r="J1562" s="46">
        <f>EFEITO!$J$1562*EFEITO!$Y$1110</f>
        <v>0</v>
      </c>
      <c r="K1562" s="46">
        <f ca="1">EFEITO!$L$1562*EFEITO!$Z$1110</f>
        <v>266075.02930683381</v>
      </c>
      <c r="L1562" s="46">
        <f>EFEITO!$N$1562*EFEITO!$AA$1110</f>
        <v>122214.84869467223</v>
      </c>
      <c r="M1562" s="46">
        <f>$J$1562-EFEITO!$K$1562*EFEITO!$Y$1562</f>
        <v>0</v>
      </c>
      <c r="N1562" s="46">
        <f ca="1">$K$1562-EFEITO!$M$1562*EFEITO!$Z$1562</f>
        <v>15964.501758410042</v>
      </c>
      <c r="O1562" s="46">
        <f>$L$1562-EFEITO!$O$1562*EFEITO!$AA$1562</f>
        <v>7332.890921680344</v>
      </c>
      <c r="P1562" s="38"/>
      <c r="Q1562" s="38"/>
      <c r="R1562" s="38"/>
      <c r="S1562" s="38"/>
      <c r="T1562" s="38"/>
      <c r="U1562" s="38"/>
      <c r="V1562" s="38"/>
      <c r="W1562" s="38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</row>
    <row r="1563" spans="1:36" ht="11.25" customHeight="1" x14ac:dyDescent="0.2">
      <c r="A1563" s="35" t="s">
        <v>29</v>
      </c>
      <c r="B1563" s="35" t="s">
        <v>46</v>
      </c>
      <c r="C1563" s="35" t="s">
        <v>23</v>
      </c>
      <c r="D1563" s="35" t="s">
        <v>47</v>
      </c>
      <c r="E1563" s="35" t="s">
        <v>25</v>
      </c>
      <c r="F1563" s="35" t="s">
        <v>25</v>
      </c>
      <c r="G1563" s="35" t="s">
        <v>25</v>
      </c>
      <c r="H1563" s="35" t="s">
        <v>25</v>
      </c>
      <c r="I1563" s="45">
        <v>44621</v>
      </c>
      <c r="J1563" s="46">
        <f>EFEITO!$J$1563*EFEITO!$Y$1110</f>
        <v>0</v>
      </c>
      <c r="K1563" s="46">
        <f ca="1">EFEITO!$L$1563*EFEITO!$Z$1110</f>
        <v>-1705.0361165891543</v>
      </c>
      <c r="L1563" s="46">
        <f>EFEITO!$N$1563*EFEITO!$AA$1110</f>
        <v>-783.1653032257808</v>
      </c>
      <c r="M1563" s="46">
        <f>$J$1563-EFEITO!$K$1563*EFEITO!$Y$1563</f>
        <v>0</v>
      </c>
      <c r="N1563" s="46">
        <f ca="1">$K$1563-EFEITO!$M$1563*EFEITO!$Z$1563</f>
        <v>-102.30216699534935</v>
      </c>
      <c r="O1563" s="46">
        <f>$L$1563-EFEITO!$O$1563*EFEITO!$AA$1563</f>
        <v>-46.989918193546941</v>
      </c>
      <c r="P1563" s="38"/>
      <c r="Q1563" s="38"/>
      <c r="R1563" s="38"/>
      <c r="S1563" s="38"/>
      <c r="T1563" s="38"/>
      <c r="U1563" s="38"/>
      <c r="V1563" s="38"/>
      <c r="W1563" s="38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</row>
    <row r="1564" spans="1:36" ht="11.25" customHeight="1" x14ac:dyDescent="0.2">
      <c r="A1564" s="35" t="s">
        <v>30</v>
      </c>
      <c r="B1564" s="35" t="s">
        <v>46</v>
      </c>
      <c r="C1564" s="35" t="s">
        <v>23</v>
      </c>
      <c r="D1564" s="35" t="s">
        <v>47</v>
      </c>
      <c r="E1564" s="35" t="s">
        <v>25</v>
      </c>
      <c r="F1564" s="35" t="s">
        <v>25</v>
      </c>
      <c r="G1564" s="35" t="s">
        <v>25</v>
      </c>
      <c r="H1564" s="35" t="s">
        <v>25</v>
      </c>
      <c r="I1564" s="45">
        <v>44621</v>
      </c>
      <c r="J1564" s="46">
        <f>EFEITO!$J$1564*EFEITO!$Y$1110</f>
        <v>0</v>
      </c>
      <c r="K1564" s="46">
        <f ca="1">EFEITO!$L$1564*EFEITO!$Z$1110</f>
        <v>21062.092682626204</v>
      </c>
      <c r="L1564" s="46">
        <f>EFEITO!$N$1564*EFEITO!$AA$1110</f>
        <v>9674.3406440891886</v>
      </c>
      <c r="M1564" s="46">
        <f>$J$1564-EFEITO!$K$1564*EFEITO!$Y$1564</f>
        <v>0</v>
      </c>
      <c r="N1564" s="46">
        <f ca="1">$K$1564-EFEITO!$M$1564*EFEITO!$Z$1564</f>
        <v>1263.7255609575732</v>
      </c>
      <c r="O1564" s="46">
        <f>$L$1564-EFEITO!$O$1564*EFEITO!$AA$1564</f>
        <v>580.46043864535204</v>
      </c>
      <c r="P1564" s="38"/>
      <c r="Q1564" s="38"/>
      <c r="R1564" s="38"/>
      <c r="S1564" s="38"/>
      <c r="T1564" s="38"/>
      <c r="U1564" s="38"/>
      <c r="V1564" s="38"/>
      <c r="W1564" s="38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</row>
    <row r="1565" spans="1:36" ht="11.25" customHeight="1" x14ac:dyDescent="0.2">
      <c r="A1565" s="35" t="s">
        <v>30</v>
      </c>
      <c r="B1565" s="35" t="s">
        <v>46</v>
      </c>
      <c r="C1565" s="35" t="s">
        <v>23</v>
      </c>
      <c r="D1565" s="35" t="s">
        <v>47</v>
      </c>
      <c r="E1565" s="35" t="s">
        <v>25</v>
      </c>
      <c r="F1565" s="35" t="s">
        <v>25</v>
      </c>
      <c r="G1565" s="35" t="s">
        <v>25</v>
      </c>
      <c r="H1565" s="35" t="s">
        <v>25</v>
      </c>
      <c r="I1565" s="45">
        <v>44621</v>
      </c>
      <c r="J1565" s="46">
        <f>EFEITO!$J$1565*EFEITO!$Y$1110</f>
        <v>0</v>
      </c>
      <c r="K1565" s="46">
        <f ca="1">EFEITO!$L$1565*EFEITO!$Z$1110</f>
        <v>-47.208658309095881</v>
      </c>
      <c r="L1565" s="46">
        <f>EFEITO!$N$1565*EFEITO!$AA$1110</f>
        <v>-21.684105597414845</v>
      </c>
      <c r="M1565" s="46">
        <f>$J$1565-EFEITO!$K$1565*EFEITO!$Y$1565</f>
        <v>0</v>
      </c>
      <c r="N1565" s="46">
        <f ca="1">$K$1565-EFEITO!$M$1565*EFEITO!$Z$1565</f>
        <v>-2.8325194985457571</v>
      </c>
      <c r="O1565" s="46">
        <f>$L$1565-EFEITO!$O$1565*EFEITO!$AA$1565</f>
        <v>-1.3010463358448945</v>
      </c>
      <c r="P1565" s="38"/>
      <c r="Q1565" s="38"/>
      <c r="R1565" s="38"/>
      <c r="S1565" s="38"/>
      <c r="T1565" s="38"/>
      <c r="U1565" s="38"/>
      <c r="V1565" s="38"/>
      <c r="W1565" s="38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</row>
    <row r="1566" spans="1:36" ht="11.25" customHeight="1" x14ac:dyDescent="0.2">
      <c r="A1566" s="35" t="s">
        <v>21</v>
      </c>
      <c r="B1566" s="35" t="s">
        <v>46</v>
      </c>
      <c r="C1566" s="35" t="s">
        <v>23</v>
      </c>
      <c r="D1566" s="35" t="s">
        <v>47</v>
      </c>
      <c r="E1566" s="35" t="s">
        <v>25</v>
      </c>
      <c r="F1566" s="35" t="s">
        <v>25</v>
      </c>
      <c r="G1566" s="35" t="s">
        <v>25</v>
      </c>
      <c r="H1566" s="35" t="s">
        <v>25</v>
      </c>
      <c r="I1566" s="45">
        <v>44652</v>
      </c>
      <c r="J1566" s="46">
        <f>EFEITO!$J$1566*EFEITO!$Y$1110</f>
        <v>0</v>
      </c>
      <c r="K1566" s="46">
        <f ca="1">EFEITO!$L$1566*EFEITO!$Z$1110</f>
        <v>1445351.3316262027</v>
      </c>
      <c r="L1566" s="46">
        <f>EFEITO!$N$1566*EFEITO!$AA$1110</f>
        <v>663885.65197389049</v>
      </c>
      <c r="M1566" s="46">
        <f>$J$1566-EFEITO!$K$1566*EFEITO!$Y$1566</f>
        <v>0</v>
      </c>
      <c r="N1566" s="46">
        <f ca="1">$K$1566-EFEITO!$M$1566*EFEITO!$Z$1566</f>
        <v>86721.079897572054</v>
      </c>
      <c r="O1566" s="46">
        <f>$L$1566-EFEITO!$O$1566*EFEITO!$AA$1566</f>
        <v>39833.139118433464</v>
      </c>
      <c r="P1566" s="38"/>
      <c r="Q1566" s="38"/>
      <c r="R1566" s="38"/>
      <c r="S1566" s="38"/>
      <c r="T1566" s="38"/>
      <c r="U1566" s="38"/>
      <c r="V1566" s="38"/>
      <c r="W1566" s="38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</row>
    <row r="1567" spans="1:36" ht="11.25" customHeight="1" x14ac:dyDescent="0.2">
      <c r="A1567" s="35" t="s">
        <v>27</v>
      </c>
      <c r="B1567" s="35" t="s">
        <v>46</v>
      </c>
      <c r="C1567" s="35" t="s">
        <v>23</v>
      </c>
      <c r="D1567" s="35" t="s">
        <v>47</v>
      </c>
      <c r="E1567" s="35" t="s">
        <v>25</v>
      </c>
      <c r="F1567" s="35" t="s">
        <v>25</v>
      </c>
      <c r="G1567" s="35" t="s">
        <v>25</v>
      </c>
      <c r="H1567" s="35" t="s">
        <v>25</v>
      </c>
      <c r="I1567" s="45">
        <v>44652</v>
      </c>
      <c r="J1567" s="46">
        <f>EFEITO!$J$1567*EFEITO!$Y$1110</f>
        <v>0</v>
      </c>
      <c r="K1567" s="46">
        <f ca="1">EFEITO!$L$1567*EFEITO!$Z$1110</f>
        <v>-4897.1449699148288</v>
      </c>
      <c r="L1567" s="46">
        <f>EFEITO!$N$1567*EFEITO!$AA$1110</f>
        <v>-2249.379932770129</v>
      </c>
      <c r="M1567" s="46">
        <f>$J$1567-EFEITO!$K$1567*EFEITO!$Y$1567</f>
        <v>0</v>
      </c>
      <c r="N1567" s="46">
        <f ca="1">$K$1567-EFEITO!$M$1567*EFEITO!$Z$1567</f>
        <v>-293.82869819489042</v>
      </c>
      <c r="O1567" s="46">
        <f>$L$1567-EFEITO!$O$1567*EFEITO!$AA$1567</f>
        <v>-134.96279596620798</v>
      </c>
      <c r="P1567" s="38"/>
      <c r="Q1567" s="38"/>
      <c r="R1567" s="38"/>
      <c r="S1567" s="38"/>
      <c r="T1567" s="38"/>
      <c r="U1567" s="38"/>
      <c r="V1567" s="38"/>
      <c r="W1567" s="38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</row>
    <row r="1568" spans="1:36" ht="11.25" customHeight="1" x14ac:dyDescent="0.2">
      <c r="A1568" s="35" t="s">
        <v>28</v>
      </c>
      <c r="B1568" s="35" t="s">
        <v>46</v>
      </c>
      <c r="C1568" s="35" t="s">
        <v>23</v>
      </c>
      <c r="D1568" s="35" t="s">
        <v>47</v>
      </c>
      <c r="E1568" s="35" t="s">
        <v>25</v>
      </c>
      <c r="F1568" s="35" t="s">
        <v>25</v>
      </c>
      <c r="G1568" s="35" t="s">
        <v>25</v>
      </c>
      <c r="H1568" s="35" t="s">
        <v>25</v>
      </c>
      <c r="I1568" s="45">
        <v>44652</v>
      </c>
      <c r="J1568" s="46">
        <f>EFEITO!$J$1568*EFEITO!$Y$1110</f>
        <v>0</v>
      </c>
      <c r="K1568" s="46">
        <f ca="1">EFEITO!$L$1568*EFEITO!$Z$1110</f>
        <v>264556.31672463479</v>
      </c>
      <c r="L1568" s="46">
        <f>EFEITO!$N$1568*EFEITO!$AA$1110</f>
        <v>121517.26640396391</v>
      </c>
      <c r="M1568" s="46">
        <f>$J$1568-EFEITO!$K$1568*EFEITO!$Y$1568</f>
        <v>0</v>
      </c>
      <c r="N1568" s="46">
        <f ca="1">$K$1568-EFEITO!$M$1568*EFEITO!$Z$1568</f>
        <v>15873.379003478069</v>
      </c>
      <c r="O1568" s="46">
        <f>$L$1568-EFEITO!$O$1568*EFEITO!$AA$1568</f>
        <v>7291.035984237853</v>
      </c>
      <c r="P1568" s="38"/>
      <c r="Q1568" s="38"/>
      <c r="R1568" s="38"/>
      <c r="S1568" s="38"/>
      <c r="T1568" s="38"/>
      <c r="U1568" s="38"/>
      <c r="V1568" s="38"/>
      <c r="W1568" s="38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</row>
    <row r="1569" spans="1:36" ht="11.25" customHeight="1" x14ac:dyDescent="0.2">
      <c r="A1569" s="35" t="s">
        <v>30</v>
      </c>
      <c r="B1569" s="35" t="s">
        <v>46</v>
      </c>
      <c r="C1569" s="35" t="s">
        <v>23</v>
      </c>
      <c r="D1569" s="35" t="s">
        <v>47</v>
      </c>
      <c r="E1569" s="35" t="s">
        <v>25</v>
      </c>
      <c r="F1569" s="35" t="s">
        <v>25</v>
      </c>
      <c r="G1569" s="35" t="s">
        <v>25</v>
      </c>
      <c r="H1569" s="35" t="s">
        <v>25</v>
      </c>
      <c r="I1569" s="45">
        <v>44652</v>
      </c>
      <c r="J1569" s="46">
        <f>EFEITO!$J$1569*EFEITO!$Y$1110</f>
        <v>0</v>
      </c>
      <c r="K1569" s="46">
        <f ca="1">EFEITO!$L$1569*EFEITO!$Z$1110</f>
        <v>24586.671023192532</v>
      </c>
      <c r="L1569" s="46">
        <f>EFEITO!$N$1569*EFEITO!$AA$1110</f>
        <v>11293.266740713203</v>
      </c>
      <c r="M1569" s="46">
        <f>$J$1569-EFEITO!$K$1569*EFEITO!$Y$1569</f>
        <v>0</v>
      </c>
      <c r="N1569" s="46">
        <f ca="1">$K$1569-EFEITO!$M$1569*EFEITO!$Z$1569</f>
        <v>1475.2002613915538</v>
      </c>
      <c r="O1569" s="46">
        <f>$L$1569-EFEITO!$O$1569*EFEITO!$AA$1569</f>
        <v>677.59600444279204</v>
      </c>
      <c r="P1569" s="38"/>
      <c r="Q1569" s="38"/>
      <c r="R1569" s="38"/>
      <c r="S1569" s="38"/>
      <c r="T1569" s="38"/>
      <c r="U1569" s="38"/>
      <c r="V1569" s="38"/>
      <c r="W1569" s="38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</row>
    <row r="1570" spans="1:36" ht="11.25" customHeight="1" x14ac:dyDescent="0.2">
      <c r="A1570" s="35" t="s">
        <v>30</v>
      </c>
      <c r="B1570" s="35" t="s">
        <v>46</v>
      </c>
      <c r="C1570" s="35" t="s">
        <v>23</v>
      </c>
      <c r="D1570" s="35" t="s">
        <v>47</v>
      </c>
      <c r="E1570" s="35" t="s">
        <v>25</v>
      </c>
      <c r="F1570" s="35" t="s">
        <v>25</v>
      </c>
      <c r="G1570" s="35" t="s">
        <v>25</v>
      </c>
      <c r="H1570" s="35" t="s">
        <v>25</v>
      </c>
      <c r="I1570" s="45">
        <v>44652</v>
      </c>
      <c r="J1570" s="46">
        <f>EFEITO!$J$1570*EFEITO!$Y$1110</f>
        <v>0</v>
      </c>
      <c r="K1570" s="46">
        <f ca="1">EFEITO!$L$1570*EFEITO!$Z$1110</f>
        <v>-356.5760361644476</v>
      </c>
      <c r="L1570" s="46">
        <f>EFEITO!$N$1570*EFEITO!$AA$1110</f>
        <v>-163.78420185281425</v>
      </c>
      <c r="M1570" s="46">
        <f>$J$1570-EFEITO!$K$1570*EFEITO!$Y$1570</f>
        <v>0</v>
      </c>
      <c r="N1570" s="46">
        <f ca="1">$K$1570-EFEITO!$M$1570*EFEITO!$Z$1570</f>
        <v>-21.394562169866902</v>
      </c>
      <c r="O1570" s="46">
        <f>$L$1570-EFEITO!$O$1570*EFEITO!$AA$1570</f>
        <v>-9.8270521111688822</v>
      </c>
      <c r="P1570" s="38"/>
      <c r="Q1570" s="38"/>
      <c r="R1570" s="38"/>
      <c r="S1570" s="38"/>
      <c r="T1570" s="38"/>
      <c r="U1570" s="38"/>
      <c r="V1570" s="38"/>
      <c r="W1570" s="38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</row>
    <row r="1571" spans="1:36" ht="11.25" customHeight="1" x14ac:dyDescent="0.2">
      <c r="A1571" s="35" t="s">
        <v>21</v>
      </c>
      <c r="B1571" s="35" t="s">
        <v>46</v>
      </c>
      <c r="C1571" s="35" t="s">
        <v>23</v>
      </c>
      <c r="D1571" s="35" t="s">
        <v>47</v>
      </c>
      <c r="E1571" s="35" t="s">
        <v>25</v>
      </c>
      <c r="F1571" s="35" t="s">
        <v>25</v>
      </c>
      <c r="G1571" s="35" t="s">
        <v>25</v>
      </c>
      <c r="H1571" s="35" t="s">
        <v>25</v>
      </c>
      <c r="I1571" s="45">
        <v>44682</v>
      </c>
      <c r="J1571" s="46">
        <f>EFEITO!$J$1571*EFEITO!$Y$1110</f>
        <v>0</v>
      </c>
      <c r="K1571" s="46">
        <f ca="1">EFEITO!$L$1571*EFEITO!$Z$1110</f>
        <v>1508792.7373168583</v>
      </c>
      <c r="L1571" s="46">
        <f>EFEITO!$N$1571*EFEITO!$AA$1110</f>
        <v>693025.86034917389</v>
      </c>
      <c r="M1571" s="46">
        <f>$J$1571-EFEITO!$K$1571*EFEITO!$Y$1571</f>
        <v>0</v>
      </c>
      <c r="N1571" s="46">
        <f ca="1">$K$1571-EFEITO!$M$1571*EFEITO!$Z$1571</f>
        <v>90527.564239011612</v>
      </c>
      <c r="O1571" s="46">
        <f>$L$1571-EFEITO!$O$1571*EFEITO!$AA$1571</f>
        <v>41581.551620950457</v>
      </c>
      <c r="P1571" s="38"/>
      <c r="Q1571" s="38"/>
      <c r="R1571" s="38"/>
      <c r="S1571" s="38"/>
      <c r="T1571" s="38"/>
      <c r="U1571" s="38"/>
      <c r="V1571" s="38"/>
      <c r="W1571" s="38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</row>
    <row r="1572" spans="1:36" ht="11.25" customHeight="1" x14ac:dyDescent="0.2">
      <c r="A1572" s="35" t="s">
        <v>27</v>
      </c>
      <c r="B1572" s="35" t="s">
        <v>46</v>
      </c>
      <c r="C1572" s="35" t="s">
        <v>23</v>
      </c>
      <c r="D1572" s="35" t="s">
        <v>47</v>
      </c>
      <c r="E1572" s="35" t="s">
        <v>25</v>
      </c>
      <c r="F1572" s="35" t="s">
        <v>25</v>
      </c>
      <c r="G1572" s="35" t="s">
        <v>25</v>
      </c>
      <c r="H1572" s="35" t="s">
        <v>25</v>
      </c>
      <c r="I1572" s="45">
        <v>44682</v>
      </c>
      <c r="J1572" s="46">
        <f>EFEITO!$J$1572*EFEITO!$Y$1110</f>
        <v>0</v>
      </c>
      <c r="K1572" s="46">
        <f ca="1">EFEITO!$L$1572*EFEITO!$Z$1110</f>
        <v>-15763.171897314813</v>
      </c>
      <c r="L1572" s="46">
        <f>EFEITO!$N$1572*EFEITO!$AA$1110</f>
        <v>-7240.4151317665928</v>
      </c>
      <c r="M1572" s="46">
        <f>$J$1572-EFEITO!$K$1572*EFEITO!$Y$1572</f>
        <v>0</v>
      </c>
      <c r="N1572" s="46">
        <f ca="1">$K$1572-EFEITO!$M$1572*EFEITO!$Z$1572</f>
        <v>-945.79031383889014</v>
      </c>
      <c r="O1572" s="46">
        <f>$L$1572-EFEITO!$O$1572*EFEITO!$AA$1572</f>
        <v>-434.42490790599641</v>
      </c>
      <c r="P1572" s="38"/>
      <c r="Q1572" s="38"/>
      <c r="R1572" s="38"/>
      <c r="S1572" s="38"/>
      <c r="T1572" s="38"/>
      <c r="U1572" s="38"/>
      <c r="V1572" s="38"/>
      <c r="W1572" s="38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</row>
    <row r="1573" spans="1:36" ht="11.25" customHeight="1" x14ac:dyDescent="0.2">
      <c r="A1573" s="35" t="s">
        <v>28</v>
      </c>
      <c r="B1573" s="35" t="s">
        <v>46</v>
      </c>
      <c r="C1573" s="35" t="s">
        <v>23</v>
      </c>
      <c r="D1573" s="35" t="s">
        <v>47</v>
      </c>
      <c r="E1573" s="35" t="s">
        <v>25</v>
      </c>
      <c r="F1573" s="35" t="s">
        <v>25</v>
      </c>
      <c r="G1573" s="35" t="s">
        <v>25</v>
      </c>
      <c r="H1573" s="35" t="s">
        <v>25</v>
      </c>
      <c r="I1573" s="45">
        <v>44682</v>
      </c>
      <c r="J1573" s="46">
        <f>EFEITO!$J$1573*EFEITO!$Y$1110</f>
        <v>0</v>
      </c>
      <c r="K1573" s="46">
        <f ca="1">EFEITO!$L$1573*EFEITO!$Z$1110</f>
        <v>278987.0995741408</v>
      </c>
      <c r="L1573" s="46">
        <f>EFEITO!$N$1573*EFEITO!$AA$1110</f>
        <v>128145.68225753964</v>
      </c>
      <c r="M1573" s="46">
        <f>$J$1573-EFEITO!$K$1573*EFEITO!$Y$1573</f>
        <v>0</v>
      </c>
      <c r="N1573" s="46">
        <f ca="1">$K$1573-EFEITO!$M$1573*EFEITO!$Z$1573</f>
        <v>16739.225974448491</v>
      </c>
      <c r="O1573" s="46">
        <f>$L$1573-EFEITO!$O$1573*EFEITO!$AA$1573</f>
        <v>7688.7409354523843</v>
      </c>
      <c r="P1573" s="38"/>
      <c r="Q1573" s="38"/>
      <c r="R1573" s="38"/>
      <c r="S1573" s="38"/>
      <c r="T1573" s="38"/>
      <c r="U1573" s="38"/>
      <c r="V1573" s="38"/>
      <c r="W1573" s="38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</row>
    <row r="1574" spans="1:36" ht="11.25" customHeight="1" x14ac:dyDescent="0.2">
      <c r="A1574" s="35" t="s">
        <v>29</v>
      </c>
      <c r="B1574" s="35" t="s">
        <v>46</v>
      </c>
      <c r="C1574" s="35" t="s">
        <v>23</v>
      </c>
      <c r="D1574" s="35" t="s">
        <v>47</v>
      </c>
      <c r="E1574" s="35" t="s">
        <v>25</v>
      </c>
      <c r="F1574" s="35" t="s">
        <v>25</v>
      </c>
      <c r="G1574" s="35" t="s">
        <v>25</v>
      </c>
      <c r="H1574" s="35" t="s">
        <v>25</v>
      </c>
      <c r="I1574" s="45">
        <v>44682</v>
      </c>
      <c r="J1574" s="46">
        <f>EFEITO!$J$1574*EFEITO!$Y$1110</f>
        <v>0</v>
      </c>
      <c r="K1574" s="46">
        <f ca="1">EFEITO!$L$1574*EFEITO!$Z$1110</f>
        <v>-59.261932770992694</v>
      </c>
      <c r="L1574" s="46">
        <f>EFEITO!$N$1574*EFEITO!$AA$1110</f>
        <v>-27.220472983988845</v>
      </c>
      <c r="M1574" s="46">
        <f>$J$1574-EFEITO!$K$1574*EFEITO!$Y$1574</f>
        <v>0</v>
      </c>
      <c r="N1574" s="46">
        <f ca="1">$K$1574-EFEITO!$M$1574*EFEITO!$Z$1574</f>
        <v>-3.5557159662595623</v>
      </c>
      <c r="O1574" s="46">
        <f>$L$1574-EFEITO!$O$1574*EFEITO!$AA$1574</f>
        <v>-1.633228379039334</v>
      </c>
      <c r="P1574" s="38"/>
      <c r="Q1574" s="38"/>
      <c r="R1574" s="38"/>
      <c r="S1574" s="38"/>
      <c r="T1574" s="38"/>
      <c r="U1574" s="38"/>
      <c r="V1574" s="38"/>
      <c r="W1574" s="38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</row>
    <row r="1575" spans="1:36" ht="11.25" customHeight="1" x14ac:dyDescent="0.2">
      <c r="A1575" s="35" t="s">
        <v>30</v>
      </c>
      <c r="B1575" s="35" t="s">
        <v>46</v>
      </c>
      <c r="C1575" s="35" t="s">
        <v>23</v>
      </c>
      <c r="D1575" s="35" t="s">
        <v>47</v>
      </c>
      <c r="E1575" s="35" t="s">
        <v>25</v>
      </c>
      <c r="F1575" s="35" t="s">
        <v>25</v>
      </c>
      <c r="G1575" s="35" t="s">
        <v>25</v>
      </c>
      <c r="H1575" s="35" t="s">
        <v>25</v>
      </c>
      <c r="I1575" s="45">
        <v>44682</v>
      </c>
      <c r="J1575" s="46">
        <f>EFEITO!$J$1575*EFEITO!$Y$1110</f>
        <v>0</v>
      </c>
      <c r="K1575" s="46">
        <f ca="1">EFEITO!$L$1575*EFEITO!$Z$1110</f>
        <v>25233.027866211749</v>
      </c>
      <c r="L1575" s="46">
        <f>EFEITO!$N$1575*EFEITO!$AA$1110</f>
        <v>11590.154441818235</v>
      </c>
      <c r="M1575" s="46">
        <f>$J$1575-EFEITO!$K$1575*EFEITO!$Y$1575</f>
        <v>0</v>
      </c>
      <c r="N1575" s="46">
        <f ca="1">$K$1575-EFEITO!$M$1575*EFEITO!$Z$1575</f>
        <v>1513.981671972706</v>
      </c>
      <c r="O1575" s="46">
        <f>$L$1575-EFEITO!$O$1575*EFEITO!$AA$1575</f>
        <v>695.40926650909569</v>
      </c>
      <c r="P1575" s="38"/>
      <c r="Q1575" s="38"/>
      <c r="R1575" s="38"/>
      <c r="S1575" s="38"/>
      <c r="T1575" s="38"/>
      <c r="U1575" s="38"/>
      <c r="V1575" s="38"/>
      <c r="W1575" s="38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</row>
    <row r="1576" spans="1:36" ht="11.25" customHeight="1" x14ac:dyDescent="0.2">
      <c r="A1576" s="35" t="s">
        <v>30</v>
      </c>
      <c r="B1576" s="35" t="s">
        <v>46</v>
      </c>
      <c r="C1576" s="35" t="s">
        <v>23</v>
      </c>
      <c r="D1576" s="35" t="s">
        <v>47</v>
      </c>
      <c r="E1576" s="35" t="s">
        <v>25</v>
      </c>
      <c r="F1576" s="35" t="s">
        <v>25</v>
      </c>
      <c r="G1576" s="35" t="s">
        <v>25</v>
      </c>
      <c r="H1576" s="35" t="s">
        <v>25</v>
      </c>
      <c r="I1576" s="45">
        <v>44682</v>
      </c>
      <c r="J1576" s="46">
        <f>EFEITO!$J$1576*EFEITO!$Y$1110</f>
        <v>0</v>
      </c>
      <c r="K1576" s="46">
        <f ca="1">EFEITO!$L$1576*EFEITO!$Z$1110</f>
        <v>-2064.625471369076</v>
      </c>
      <c r="L1576" s="46">
        <f>EFEITO!$N$1576*EFEITO!$AA$1110</f>
        <v>-948.33359692523845</v>
      </c>
      <c r="M1576" s="46">
        <f>$J$1576-EFEITO!$K$1576*EFEITO!$Y$1576</f>
        <v>0</v>
      </c>
      <c r="N1576" s="46">
        <f ca="1">$K$1576-EFEITO!$M$1576*EFEITO!$Z$1576</f>
        <v>-123.87752828214457</v>
      </c>
      <c r="O1576" s="46">
        <f>$L$1576-EFEITO!$O$1576*EFEITO!$AA$1576</f>
        <v>-56.900015815514394</v>
      </c>
      <c r="P1576" s="38"/>
      <c r="Q1576" s="38"/>
      <c r="R1576" s="38"/>
      <c r="S1576" s="38"/>
      <c r="T1576" s="38"/>
      <c r="U1576" s="38"/>
      <c r="V1576" s="38"/>
      <c r="W1576" s="38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</row>
    <row r="1577" spans="1:36" ht="11.25" customHeight="1" x14ac:dyDescent="0.2">
      <c r="A1577" s="35" t="s">
        <v>21</v>
      </c>
      <c r="B1577" s="35" t="s">
        <v>46</v>
      </c>
      <c r="C1577" s="35" t="s">
        <v>23</v>
      </c>
      <c r="D1577" s="35" t="s">
        <v>47</v>
      </c>
      <c r="E1577" s="35" t="s">
        <v>25</v>
      </c>
      <c r="F1577" s="35" t="s">
        <v>25</v>
      </c>
      <c r="G1577" s="35" t="s">
        <v>25</v>
      </c>
      <c r="H1577" s="35" t="s">
        <v>25</v>
      </c>
      <c r="I1577" s="45">
        <v>44713</v>
      </c>
      <c r="J1577" s="46">
        <f>EFEITO!$J$1577*EFEITO!$Y$1110</f>
        <v>0</v>
      </c>
      <c r="K1577" s="46">
        <f ca="1">EFEITO!$L$1577*EFEITO!$Z$1110</f>
        <v>1413799.3746233417</v>
      </c>
      <c r="L1577" s="46">
        <f>EFEITO!$N$1577*EFEITO!$AA$1110</f>
        <v>649393.05692966096</v>
      </c>
      <c r="M1577" s="46">
        <f>$J$1577-EFEITO!$K$1577*EFEITO!$Y$1577</f>
        <v>0</v>
      </c>
      <c r="N1577" s="46">
        <f ca="1">$K$1577-EFEITO!$M$1577*EFEITO!$Z$1577</f>
        <v>84827.962477400666</v>
      </c>
      <c r="O1577" s="46">
        <f>$L$1577-EFEITO!$O$1577*EFEITO!$AA$1577</f>
        <v>38963.583415779751</v>
      </c>
      <c r="P1577" s="38"/>
      <c r="Q1577" s="38"/>
      <c r="R1577" s="38"/>
      <c r="S1577" s="38"/>
      <c r="T1577" s="38"/>
      <c r="U1577" s="38"/>
      <c r="V1577" s="38"/>
      <c r="W1577" s="38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</row>
    <row r="1578" spans="1:36" ht="11.25" customHeight="1" x14ac:dyDescent="0.2">
      <c r="A1578" s="35" t="s">
        <v>27</v>
      </c>
      <c r="B1578" s="35" t="s">
        <v>46</v>
      </c>
      <c r="C1578" s="35" t="s">
        <v>23</v>
      </c>
      <c r="D1578" s="35" t="s">
        <v>47</v>
      </c>
      <c r="E1578" s="35" t="s">
        <v>25</v>
      </c>
      <c r="F1578" s="35" t="s">
        <v>25</v>
      </c>
      <c r="G1578" s="35" t="s">
        <v>25</v>
      </c>
      <c r="H1578" s="35" t="s">
        <v>25</v>
      </c>
      <c r="I1578" s="45">
        <v>44713</v>
      </c>
      <c r="J1578" s="46">
        <f>EFEITO!$J$1578*EFEITO!$Y$1110</f>
        <v>0</v>
      </c>
      <c r="K1578" s="46">
        <f ca="1">EFEITO!$L$1578*EFEITO!$Z$1110</f>
        <v>-29402.9586102588</v>
      </c>
      <c r="L1578" s="46">
        <f>EFEITO!$N$1578*EFEITO!$AA$1110</f>
        <v>-13505.506875598398</v>
      </c>
      <c r="M1578" s="46">
        <f>$J$1578-EFEITO!$K$1578*EFEITO!$Y$1578</f>
        <v>0</v>
      </c>
      <c r="N1578" s="46">
        <f ca="1">$K$1578-EFEITO!$M$1578*EFEITO!$Z$1578</f>
        <v>-1764.1775166155276</v>
      </c>
      <c r="O1578" s="46">
        <f>$L$1578-EFEITO!$O$1578*EFEITO!$AA$1578</f>
        <v>-810.33041253590454</v>
      </c>
      <c r="P1578" s="38"/>
      <c r="Q1578" s="38"/>
      <c r="R1578" s="38"/>
      <c r="S1578" s="38"/>
      <c r="T1578" s="38"/>
      <c r="U1578" s="38"/>
      <c r="V1578" s="38"/>
      <c r="W1578" s="38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</row>
    <row r="1579" spans="1:36" ht="11.25" customHeight="1" x14ac:dyDescent="0.2">
      <c r="A1579" s="35" t="s">
        <v>28</v>
      </c>
      <c r="B1579" s="35" t="s">
        <v>46</v>
      </c>
      <c r="C1579" s="35" t="s">
        <v>23</v>
      </c>
      <c r="D1579" s="35" t="s">
        <v>47</v>
      </c>
      <c r="E1579" s="35" t="s">
        <v>25</v>
      </c>
      <c r="F1579" s="35" t="s">
        <v>25</v>
      </c>
      <c r="G1579" s="35" t="s">
        <v>25</v>
      </c>
      <c r="H1579" s="35" t="s">
        <v>25</v>
      </c>
      <c r="I1579" s="45">
        <v>44713</v>
      </c>
      <c r="J1579" s="46">
        <f>EFEITO!$J$1579*EFEITO!$Y$1110</f>
        <v>0</v>
      </c>
      <c r="K1579" s="46">
        <f ca="1">EFEITO!$L$1579*EFEITO!$Z$1110</f>
        <v>271661.21980015375</v>
      </c>
      <c r="L1579" s="46">
        <f>EFEITO!$N$1579*EFEITO!$AA$1110</f>
        <v>124780.72429637484</v>
      </c>
      <c r="M1579" s="46">
        <f>$J$1579-EFEITO!$K$1579*EFEITO!$Y$1579</f>
        <v>0</v>
      </c>
      <c r="N1579" s="46">
        <f ca="1">$K$1579-EFEITO!$M$1579*EFEITO!$Z$1579</f>
        <v>16299.673188009212</v>
      </c>
      <c r="O1579" s="46">
        <f>$L$1579-EFEITO!$O$1579*EFEITO!$AA$1579</f>
        <v>7486.8434577824955</v>
      </c>
      <c r="P1579" s="38"/>
      <c r="Q1579" s="38"/>
      <c r="R1579" s="38"/>
      <c r="S1579" s="38"/>
      <c r="T1579" s="38"/>
      <c r="U1579" s="38"/>
      <c r="V1579" s="38"/>
      <c r="W1579" s="38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</row>
    <row r="1580" spans="1:36" ht="11.25" customHeight="1" x14ac:dyDescent="0.2">
      <c r="A1580" s="35" t="s">
        <v>29</v>
      </c>
      <c r="B1580" s="35" t="s">
        <v>46</v>
      </c>
      <c r="C1580" s="35" t="s">
        <v>23</v>
      </c>
      <c r="D1580" s="35" t="s">
        <v>47</v>
      </c>
      <c r="E1580" s="35" t="s">
        <v>25</v>
      </c>
      <c r="F1580" s="35" t="s">
        <v>25</v>
      </c>
      <c r="G1580" s="35" t="s">
        <v>25</v>
      </c>
      <c r="H1580" s="35" t="s">
        <v>25</v>
      </c>
      <c r="I1580" s="45">
        <v>44713</v>
      </c>
      <c r="J1580" s="46">
        <f>EFEITO!$J$1580*EFEITO!$Y$1110</f>
        <v>0</v>
      </c>
      <c r="K1580" s="46">
        <f ca="1">EFEITO!$L$1580*EFEITO!$Z$1110</f>
        <v>-9931.8981566029797</v>
      </c>
      <c r="L1580" s="46">
        <f>EFEITO!$N$1580*EFEITO!$AA$1110</f>
        <v>-4561.9667265369781</v>
      </c>
      <c r="M1580" s="46">
        <f>$J$1580-EFEITO!$K$1580*EFEITO!$Y$1580</f>
        <v>0</v>
      </c>
      <c r="N1580" s="46">
        <f ca="1">$K$1580-EFEITO!$M$1580*EFEITO!$Z$1580</f>
        <v>-595.913889396179</v>
      </c>
      <c r="O1580" s="46">
        <f>$L$1580-EFEITO!$O$1580*EFEITO!$AA$1580</f>
        <v>-273.71800359221925</v>
      </c>
      <c r="P1580" s="38"/>
      <c r="Q1580" s="38"/>
      <c r="R1580" s="38"/>
      <c r="S1580" s="38"/>
      <c r="T1580" s="38"/>
      <c r="U1580" s="38"/>
      <c r="V1580" s="38"/>
      <c r="W1580" s="38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</row>
    <row r="1581" spans="1:36" ht="11.25" customHeight="1" x14ac:dyDescent="0.2">
      <c r="A1581" s="35" t="s">
        <v>30</v>
      </c>
      <c r="B1581" s="35" t="s">
        <v>46</v>
      </c>
      <c r="C1581" s="35" t="s">
        <v>23</v>
      </c>
      <c r="D1581" s="35" t="s">
        <v>47</v>
      </c>
      <c r="E1581" s="35" t="s">
        <v>25</v>
      </c>
      <c r="F1581" s="35" t="s">
        <v>25</v>
      </c>
      <c r="G1581" s="35" t="s">
        <v>25</v>
      </c>
      <c r="H1581" s="35" t="s">
        <v>25</v>
      </c>
      <c r="I1581" s="45">
        <v>44713</v>
      </c>
      <c r="J1581" s="46">
        <f>EFEITO!$J$1581*EFEITO!$Y$1110</f>
        <v>0</v>
      </c>
      <c r="K1581" s="46">
        <f ca="1">EFEITO!$L$1581*EFEITO!$Z$1110</f>
        <v>23410.974543388344</v>
      </c>
      <c r="L1581" s="46">
        <f>EFEITO!$N$1581*EFEITO!$AA$1110</f>
        <v>10753.240238547798</v>
      </c>
      <c r="M1581" s="46">
        <f>$J$1581-EFEITO!$K$1581*EFEITO!$Y$1581</f>
        <v>0</v>
      </c>
      <c r="N1581" s="46">
        <f ca="1">$K$1581-EFEITO!$M$1581*EFEITO!$Z$1581</f>
        <v>1404.6584726032997</v>
      </c>
      <c r="O1581" s="46">
        <f>$L$1581-EFEITO!$O$1581*EFEITO!$AA$1581</f>
        <v>645.19441431286941</v>
      </c>
      <c r="P1581" s="38"/>
      <c r="Q1581" s="38"/>
      <c r="R1581" s="38"/>
      <c r="S1581" s="38"/>
      <c r="T1581" s="38"/>
      <c r="U1581" s="38"/>
      <c r="V1581" s="38"/>
      <c r="W1581" s="38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</row>
    <row r="1582" spans="1:36" ht="11.25" customHeight="1" x14ac:dyDescent="0.2">
      <c r="A1582" s="35" t="s">
        <v>30</v>
      </c>
      <c r="B1582" s="35" t="s">
        <v>46</v>
      </c>
      <c r="C1582" s="35" t="s">
        <v>23</v>
      </c>
      <c r="D1582" s="35" t="s">
        <v>47</v>
      </c>
      <c r="E1582" s="35" t="s">
        <v>25</v>
      </c>
      <c r="F1582" s="35" t="s">
        <v>25</v>
      </c>
      <c r="G1582" s="35" t="s">
        <v>25</v>
      </c>
      <c r="H1582" s="35" t="s">
        <v>25</v>
      </c>
      <c r="I1582" s="45">
        <v>44713</v>
      </c>
      <c r="J1582" s="46">
        <f>EFEITO!$J$1582*EFEITO!$Y$1110</f>
        <v>0</v>
      </c>
      <c r="K1582" s="46">
        <f ca="1">EFEITO!$L$1582*EFEITO!$Z$1110</f>
        <v>8.5377360771769144</v>
      </c>
      <c r="L1582" s="46">
        <f>EFEITO!$N$1582*EFEITO!$AA$1110</f>
        <v>3.921593565489919</v>
      </c>
      <c r="M1582" s="46">
        <f>$J$1582-EFEITO!$K$1582*EFEITO!$Y$1582</f>
        <v>0</v>
      </c>
      <c r="N1582" s="46">
        <f ca="1">$K$1582-EFEITO!$M$1582*EFEITO!$Z$1582</f>
        <v>0.51226416463061497</v>
      </c>
      <c r="O1582" s="46">
        <f>$L$1582-EFEITO!$O$1582*EFEITO!$AA$1582</f>
        <v>0.23529561392939558</v>
      </c>
      <c r="P1582" s="38"/>
      <c r="Q1582" s="38"/>
      <c r="R1582" s="38"/>
      <c r="S1582" s="38"/>
      <c r="T1582" s="38"/>
      <c r="U1582" s="38"/>
      <c r="V1582" s="38"/>
      <c r="W1582" s="38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</row>
    <row r="1583" spans="1:36" ht="11.25" customHeight="1" x14ac:dyDescent="0.2">
      <c r="A1583" s="35" t="s">
        <v>21</v>
      </c>
      <c r="B1583" s="35" t="s">
        <v>46</v>
      </c>
      <c r="C1583" s="35" t="s">
        <v>23</v>
      </c>
      <c r="D1583" s="35" t="s">
        <v>47</v>
      </c>
      <c r="E1583" s="35" t="s">
        <v>25</v>
      </c>
      <c r="F1583" s="35" t="s">
        <v>25</v>
      </c>
      <c r="G1583" s="35" t="s">
        <v>25</v>
      </c>
      <c r="H1583" s="35" t="s">
        <v>25</v>
      </c>
      <c r="I1583" s="45">
        <v>44743</v>
      </c>
      <c r="J1583" s="46">
        <f>EFEITO!$J$1583*EFEITO!$Y$1110</f>
        <v>0</v>
      </c>
      <c r="K1583" s="46">
        <f ca="1">EFEITO!$L$1583*EFEITO!$Z$1110</f>
        <v>1516514.3662690108</v>
      </c>
      <c r="L1583" s="46">
        <f>EFEITO!$N$1583*EFEITO!$AA$1110</f>
        <v>696572.5957061979</v>
      </c>
      <c r="M1583" s="46">
        <f>$J$1583-EFEITO!$K$1583*EFEITO!$Y$1583</f>
        <v>0</v>
      </c>
      <c r="N1583" s="46">
        <f ca="1">$K$1583-EFEITO!$M$1583*EFEITO!$Z$1583</f>
        <v>90990.861976140644</v>
      </c>
      <c r="O1583" s="46">
        <f>$L$1583-EFEITO!$O$1583*EFEITO!$AA$1583</f>
        <v>41794.355742371874</v>
      </c>
      <c r="P1583" s="38"/>
      <c r="Q1583" s="38"/>
      <c r="R1583" s="38"/>
      <c r="S1583" s="38"/>
      <c r="T1583" s="38"/>
      <c r="U1583" s="38"/>
      <c r="V1583" s="38"/>
      <c r="W1583" s="38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</row>
    <row r="1584" spans="1:36" ht="11.25" customHeight="1" x14ac:dyDescent="0.2">
      <c r="A1584" s="35" t="s">
        <v>27</v>
      </c>
      <c r="B1584" s="35" t="s">
        <v>46</v>
      </c>
      <c r="C1584" s="35" t="s">
        <v>23</v>
      </c>
      <c r="D1584" s="35" t="s">
        <v>47</v>
      </c>
      <c r="E1584" s="35" t="s">
        <v>25</v>
      </c>
      <c r="F1584" s="35" t="s">
        <v>25</v>
      </c>
      <c r="G1584" s="35" t="s">
        <v>25</v>
      </c>
      <c r="H1584" s="35" t="s">
        <v>25</v>
      </c>
      <c r="I1584" s="45">
        <v>44743</v>
      </c>
      <c r="J1584" s="46">
        <f>EFEITO!$J$1584*EFEITO!$Y$1110</f>
        <v>0</v>
      </c>
      <c r="K1584" s="46">
        <f ca="1">EFEITO!$L$1584*EFEITO!$Z$1110</f>
        <v>-12008.576902433953</v>
      </c>
      <c r="L1584" s="46">
        <f>EFEITO!$N$1584*EFEITO!$AA$1110</f>
        <v>-5515.8366908487915</v>
      </c>
      <c r="M1584" s="46">
        <f>$J$1584-EFEITO!$K$1584*EFEITO!$Y$1584</f>
        <v>0</v>
      </c>
      <c r="N1584" s="46">
        <f ca="1">$K$1584-EFEITO!$M$1584*EFEITO!$Z$1584</f>
        <v>-720.51461414603727</v>
      </c>
      <c r="O1584" s="46">
        <f>$L$1584-EFEITO!$O$1584*EFEITO!$AA$1584</f>
        <v>-330.95020145092803</v>
      </c>
      <c r="P1584" s="38"/>
      <c r="Q1584" s="38"/>
      <c r="R1584" s="38"/>
      <c r="S1584" s="38"/>
      <c r="T1584" s="38"/>
      <c r="U1584" s="38"/>
      <c r="V1584" s="38"/>
      <c r="W1584" s="38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</row>
    <row r="1585" spans="1:36" ht="11.25" customHeight="1" x14ac:dyDescent="0.2">
      <c r="A1585" s="35" t="s">
        <v>28</v>
      </c>
      <c r="B1585" s="35" t="s">
        <v>46</v>
      </c>
      <c r="C1585" s="35" t="s">
        <v>23</v>
      </c>
      <c r="D1585" s="35" t="s">
        <v>47</v>
      </c>
      <c r="E1585" s="35" t="s">
        <v>25</v>
      </c>
      <c r="F1585" s="35" t="s">
        <v>25</v>
      </c>
      <c r="G1585" s="35" t="s">
        <v>25</v>
      </c>
      <c r="H1585" s="35" t="s">
        <v>25</v>
      </c>
      <c r="I1585" s="45">
        <v>44743</v>
      </c>
      <c r="J1585" s="46">
        <f>EFEITO!$J$1585*EFEITO!$Y$1110</f>
        <v>0</v>
      </c>
      <c r="K1585" s="46">
        <f ca="1">EFEITO!$L$1585*EFEITO!$Z$1110</f>
        <v>292660.53501162422</v>
      </c>
      <c r="L1585" s="46">
        <f>EFEITO!$N$1585*EFEITO!$AA$1110</f>
        <v>134426.22969365897</v>
      </c>
      <c r="M1585" s="46">
        <f>$J$1585-EFEITO!$K$1585*EFEITO!$Y$1585</f>
        <v>0</v>
      </c>
      <c r="N1585" s="46">
        <f ca="1">$K$1585-EFEITO!$M$1585*EFEITO!$Z$1585</f>
        <v>17559.632100697432</v>
      </c>
      <c r="O1585" s="46">
        <f>$L$1585-EFEITO!$O$1585*EFEITO!$AA$1585</f>
        <v>8065.5737816195615</v>
      </c>
      <c r="P1585" s="38"/>
      <c r="Q1585" s="38"/>
      <c r="R1585" s="38"/>
      <c r="S1585" s="38"/>
      <c r="T1585" s="38"/>
      <c r="U1585" s="38"/>
      <c r="V1585" s="38"/>
      <c r="W1585" s="38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</row>
    <row r="1586" spans="1:36" ht="11.25" customHeight="1" x14ac:dyDescent="0.2">
      <c r="A1586" s="35" t="s">
        <v>29</v>
      </c>
      <c r="B1586" s="35" t="s">
        <v>46</v>
      </c>
      <c r="C1586" s="35" t="s">
        <v>23</v>
      </c>
      <c r="D1586" s="35" t="s">
        <v>47</v>
      </c>
      <c r="E1586" s="35" t="s">
        <v>25</v>
      </c>
      <c r="F1586" s="35" t="s">
        <v>25</v>
      </c>
      <c r="G1586" s="35" t="s">
        <v>25</v>
      </c>
      <c r="H1586" s="35" t="s">
        <v>25</v>
      </c>
      <c r="I1586" s="45">
        <v>44743</v>
      </c>
      <c r="J1586" s="46">
        <f>EFEITO!$J$1586*EFEITO!$Y$1110</f>
        <v>0</v>
      </c>
      <c r="K1586" s="46">
        <f ca="1">EFEITO!$L$1586*EFEITO!$Z$1110</f>
        <v>-312.38069647082591</v>
      </c>
      <c r="L1586" s="46">
        <f>EFEITO!$N$1586*EFEITO!$AA$1110</f>
        <v>-143.48418810204291</v>
      </c>
      <c r="M1586" s="46">
        <f>$J$1586-EFEITO!$K$1586*EFEITO!$Y$1586</f>
        <v>0</v>
      </c>
      <c r="N1586" s="46">
        <f ca="1">$K$1586-EFEITO!$M$1586*EFEITO!$Z$1586</f>
        <v>-18.742841788249564</v>
      </c>
      <c r="O1586" s="46">
        <f>$L$1586-EFEITO!$O$1586*EFEITO!$AA$1586</f>
        <v>-8.6090512861225932</v>
      </c>
      <c r="P1586" s="38"/>
      <c r="Q1586" s="38"/>
      <c r="R1586" s="38"/>
      <c r="S1586" s="38"/>
      <c r="T1586" s="38"/>
      <c r="U1586" s="38"/>
      <c r="V1586" s="38"/>
      <c r="W1586" s="38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</row>
    <row r="1587" spans="1:36" ht="11.25" customHeight="1" x14ac:dyDescent="0.2">
      <c r="A1587" s="35" t="s">
        <v>30</v>
      </c>
      <c r="B1587" s="35" t="s">
        <v>46</v>
      </c>
      <c r="C1587" s="35" t="s">
        <v>23</v>
      </c>
      <c r="D1587" s="35" t="s">
        <v>47</v>
      </c>
      <c r="E1587" s="35" t="s">
        <v>25</v>
      </c>
      <c r="F1587" s="35" t="s">
        <v>25</v>
      </c>
      <c r="G1587" s="35" t="s">
        <v>25</v>
      </c>
      <c r="H1587" s="35" t="s">
        <v>25</v>
      </c>
      <c r="I1587" s="45">
        <v>44743</v>
      </c>
      <c r="J1587" s="46">
        <f>EFEITO!$J$1587*EFEITO!$Y$1110</f>
        <v>0</v>
      </c>
      <c r="K1587" s="46">
        <f ca="1">EFEITO!$L$1587*EFEITO!$Z$1110</f>
        <v>23143.793626149629</v>
      </c>
      <c r="L1587" s="46">
        <f>EFEITO!$N$1587*EFEITO!$AA$1110</f>
        <v>10630.517428145407</v>
      </c>
      <c r="M1587" s="46">
        <f>$J$1587-EFEITO!$K$1587*EFEITO!$Y$1587</f>
        <v>0</v>
      </c>
      <c r="N1587" s="46">
        <f ca="1">$K$1587-EFEITO!$M$1587*EFEITO!$Z$1587</f>
        <v>1388.6276175689782</v>
      </c>
      <c r="O1587" s="46">
        <f>$L$1587-EFEITO!$O$1587*EFEITO!$AA$1587</f>
        <v>637.83104568872659</v>
      </c>
      <c r="P1587" s="38"/>
      <c r="Q1587" s="38"/>
      <c r="R1587" s="38"/>
      <c r="S1587" s="38"/>
      <c r="T1587" s="38"/>
      <c r="U1587" s="38"/>
      <c r="V1587" s="38"/>
      <c r="W1587" s="38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</row>
    <row r="1588" spans="1:36" ht="11.25" customHeight="1" x14ac:dyDescent="0.2">
      <c r="A1588" s="35" t="s">
        <v>30</v>
      </c>
      <c r="B1588" s="35" t="s">
        <v>46</v>
      </c>
      <c r="C1588" s="35" t="s">
        <v>23</v>
      </c>
      <c r="D1588" s="35" t="s">
        <v>47</v>
      </c>
      <c r="E1588" s="35" t="s">
        <v>25</v>
      </c>
      <c r="F1588" s="35" t="s">
        <v>25</v>
      </c>
      <c r="G1588" s="35" t="s">
        <v>25</v>
      </c>
      <c r="H1588" s="35" t="s">
        <v>25</v>
      </c>
      <c r="I1588" s="45">
        <v>44743</v>
      </c>
      <c r="J1588" s="46">
        <f>EFEITO!$J$1588*EFEITO!$Y$1110</f>
        <v>0</v>
      </c>
      <c r="K1588" s="46">
        <f ca="1">EFEITO!$L$1588*EFEITO!$Z$1110</f>
        <v>-891.44009041111894</v>
      </c>
      <c r="L1588" s="46">
        <f>EFEITO!$N$1588*EFEITO!$AA$1110</f>
        <v>-409.46050463203562</v>
      </c>
      <c r="M1588" s="46">
        <f>$J$1588-EFEITO!$K$1588*EFEITO!$Y$1588</f>
        <v>0</v>
      </c>
      <c r="N1588" s="46">
        <f ca="1">$K$1588-EFEITO!$M$1588*EFEITO!$Z$1588</f>
        <v>-53.486405424667169</v>
      </c>
      <c r="O1588" s="46">
        <f>$L$1588-EFEITO!$O$1588*EFEITO!$AA$1588</f>
        <v>-24.567630277922206</v>
      </c>
      <c r="P1588" s="38"/>
      <c r="Q1588" s="38"/>
      <c r="R1588" s="38"/>
      <c r="S1588" s="38"/>
      <c r="T1588" s="38"/>
      <c r="U1588" s="38"/>
      <c r="V1588" s="38"/>
      <c r="W1588" s="38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</row>
    <row r="1589" spans="1:36" ht="11.25" customHeight="1" x14ac:dyDescent="0.2">
      <c r="A1589" s="35" t="s">
        <v>21</v>
      </c>
      <c r="B1589" s="35" t="s">
        <v>46</v>
      </c>
      <c r="C1589" s="35" t="s">
        <v>23</v>
      </c>
      <c r="D1589" s="35" t="s">
        <v>47</v>
      </c>
      <c r="E1589" s="35" t="s">
        <v>25</v>
      </c>
      <c r="F1589" s="35" t="s">
        <v>25</v>
      </c>
      <c r="G1589" s="35" t="s">
        <v>25</v>
      </c>
      <c r="H1589" s="35" t="s">
        <v>25</v>
      </c>
      <c r="I1589" s="45">
        <v>44774</v>
      </c>
      <c r="J1589" s="46">
        <f>EFEITO!$J$1589*EFEITO!$Y$1110</f>
        <v>0</v>
      </c>
      <c r="K1589" s="46">
        <f ca="1">EFEITO!$L$1589*EFEITO!$Z$1110</f>
        <v>1584640.4779671903</v>
      </c>
      <c r="L1589" s="46">
        <f>EFEITO!$N$1589*EFEITO!$AA$1110</f>
        <v>727864.60553906311</v>
      </c>
      <c r="M1589" s="46">
        <f>$J$1589-EFEITO!$K$1589*EFEITO!$Y$1589</f>
        <v>0</v>
      </c>
      <c r="N1589" s="46">
        <f ca="1">$K$1589-EFEITO!$M$1589*EFEITO!$Z$1589</f>
        <v>95078.428678031545</v>
      </c>
      <c r="O1589" s="46">
        <f>$L$1589-EFEITO!$O$1589*EFEITO!$AA$1589</f>
        <v>43671.876332343905</v>
      </c>
      <c r="P1589" s="38"/>
      <c r="Q1589" s="38"/>
      <c r="R1589" s="38"/>
      <c r="S1589" s="38"/>
      <c r="T1589" s="38"/>
      <c r="U1589" s="38"/>
      <c r="V1589" s="38"/>
      <c r="W1589" s="38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</row>
    <row r="1590" spans="1:36" ht="11.25" customHeight="1" x14ac:dyDescent="0.2">
      <c r="A1590" s="35" t="s">
        <v>27</v>
      </c>
      <c r="B1590" s="35" t="s">
        <v>46</v>
      </c>
      <c r="C1590" s="35" t="s">
        <v>23</v>
      </c>
      <c r="D1590" s="35" t="s">
        <v>47</v>
      </c>
      <c r="E1590" s="35" t="s">
        <v>25</v>
      </c>
      <c r="F1590" s="35" t="s">
        <v>25</v>
      </c>
      <c r="G1590" s="35" t="s">
        <v>25</v>
      </c>
      <c r="H1590" s="35" t="s">
        <v>25</v>
      </c>
      <c r="I1590" s="45">
        <v>44774</v>
      </c>
      <c r="J1590" s="46">
        <f>EFEITO!$J$1590*EFEITO!$Y$1110</f>
        <v>0</v>
      </c>
      <c r="K1590" s="46">
        <f ca="1">EFEITO!$L$1590*EFEITO!$Z$1110</f>
        <v>-7036.6011869015138</v>
      </c>
      <c r="L1590" s="46">
        <f>EFEITO!$N$1590*EFEITO!$AA$1110</f>
        <v>-3232.0851438870145</v>
      </c>
      <c r="M1590" s="46">
        <f>$J$1590-EFEITO!$K$1590*EFEITO!$Y$1590</f>
        <v>0</v>
      </c>
      <c r="N1590" s="46">
        <f ca="1">$K$1590-EFEITO!$M$1590*EFEITO!$Z$1590</f>
        <v>-422.19607121409081</v>
      </c>
      <c r="O1590" s="46">
        <f>$L$1590-EFEITO!$O$1590*EFEITO!$AA$1590</f>
        <v>-193.92510863322104</v>
      </c>
      <c r="P1590" s="38"/>
      <c r="Q1590" s="38"/>
      <c r="R1590" s="38"/>
      <c r="S1590" s="38"/>
      <c r="T1590" s="38"/>
      <c r="U1590" s="38"/>
      <c r="V1590" s="38"/>
      <c r="W1590" s="38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</row>
    <row r="1591" spans="1:36" ht="11.25" customHeight="1" x14ac:dyDescent="0.2">
      <c r="A1591" s="35" t="s">
        <v>28</v>
      </c>
      <c r="B1591" s="35" t="s">
        <v>46</v>
      </c>
      <c r="C1591" s="35" t="s">
        <v>23</v>
      </c>
      <c r="D1591" s="35" t="s">
        <v>47</v>
      </c>
      <c r="E1591" s="35" t="s">
        <v>25</v>
      </c>
      <c r="F1591" s="35" t="s">
        <v>25</v>
      </c>
      <c r="G1591" s="35" t="s">
        <v>25</v>
      </c>
      <c r="H1591" s="35" t="s">
        <v>25</v>
      </c>
      <c r="I1591" s="45">
        <v>44774</v>
      </c>
      <c r="J1591" s="46">
        <f>EFEITO!$J$1591*EFEITO!$Y$1110</f>
        <v>0</v>
      </c>
      <c r="K1591" s="46">
        <f ca="1">EFEITO!$L$1591*EFEITO!$Z$1110</f>
        <v>303192.08357270656</v>
      </c>
      <c r="L1591" s="46">
        <f>EFEITO!$N$1591*EFEITO!$AA$1110</f>
        <v>139263.63069767799</v>
      </c>
      <c r="M1591" s="46">
        <f>$J$1591-EFEITO!$K$1591*EFEITO!$Y$1591</f>
        <v>0</v>
      </c>
      <c r="N1591" s="46">
        <f ca="1">$K$1591-EFEITO!$M$1591*EFEITO!$Z$1591</f>
        <v>18191.525014362414</v>
      </c>
      <c r="O1591" s="46">
        <f>$L$1591-EFEITO!$O$1591*EFEITO!$AA$1591</f>
        <v>8355.8178418606985</v>
      </c>
      <c r="P1591" s="38"/>
      <c r="Q1591" s="38"/>
      <c r="R1591" s="38"/>
      <c r="S1591" s="38"/>
      <c r="T1591" s="38"/>
      <c r="U1591" s="38"/>
      <c r="V1591" s="38"/>
      <c r="W1591" s="38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</row>
    <row r="1592" spans="1:36" ht="11.25" customHeight="1" x14ac:dyDescent="0.2">
      <c r="A1592" s="35" t="s">
        <v>29</v>
      </c>
      <c r="B1592" s="35" t="s">
        <v>46</v>
      </c>
      <c r="C1592" s="35" t="s">
        <v>23</v>
      </c>
      <c r="D1592" s="35" t="s">
        <v>47</v>
      </c>
      <c r="E1592" s="35" t="s">
        <v>25</v>
      </c>
      <c r="F1592" s="35" t="s">
        <v>25</v>
      </c>
      <c r="G1592" s="35" t="s">
        <v>25</v>
      </c>
      <c r="H1592" s="35" t="s">
        <v>25</v>
      </c>
      <c r="I1592" s="45">
        <v>44774</v>
      </c>
      <c r="J1592" s="46">
        <f>EFEITO!$J$1592*EFEITO!$Y$1110</f>
        <v>0</v>
      </c>
      <c r="K1592" s="46">
        <f ca="1">EFEITO!$L$1592*EFEITO!$Z$1110</f>
        <v>-5129.6727230755887</v>
      </c>
      <c r="L1592" s="46">
        <f>EFEITO!$N$1592*EFEITO!$AA$1110</f>
        <v>-2356.1856869361195</v>
      </c>
      <c r="M1592" s="46">
        <f>$J$1592-EFEITO!$K$1592*EFEITO!$Y$1592</f>
        <v>0</v>
      </c>
      <c r="N1592" s="46">
        <f ca="1">$K$1592-EFEITO!$M$1592*EFEITO!$Z$1592</f>
        <v>-307.78036338453603</v>
      </c>
      <c r="O1592" s="46">
        <f>$L$1592-EFEITO!$O$1592*EFEITO!$AA$1592</f>
        <v>-141.37114121616742</v>
      </c>
      <c r="P1592" s="38"/>
      <c r="Q1592" s="38"/>
      <c r="R1592" s="38"/>
      <c r="S1592" s="38"/>
      <c r="T1592" s="38"/>
      <c r="U1592" s="38"/>
      <c r="V1592" s="38"/>
      <c r="W1592" s="38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</row>
    <row r="1593" spans="1:36" ht="11.25" customHeight="1" x14ac:dyDescent="0.2">
      <c r="A1593" s="35" t="s">
        <v>30</v>
      </c>
      <c r="B1593" s="35" t="s">
        <v>46</v>
      </c>
      <c r="C1593" s="35" t="s">
        <v>23</v>
      </c>
      <c r="D1593" s="35" t="s">
        <v>47</v>
      </c>
      <c r="E1593" s="35" t="s">
        <v>25</v>
      </c>
      <c r="F1593" s="35" t="s">
        <v>25</v>
      </c>
      <c r="G1593" s="35" t="s">
        <v>25</v>
      </c>
      <c r="H1593" s="35" t="s">
        <v>25</v>
      </c>
      <c r="I1593" s="45">
        <v>44774</v>
      </c>
      <c r="J1593" s="46">
        <f>EFEITO!$J$1593*EFEITO!$Y$1110</f>
        <v>0</v>
      </c>
      <c r="K1593" s="46">
        <f ca="1">EFEITO!$L$1593*EFEITO!$Z$1110</f>
        <v>24551.013419576084</v>
      </c>
      <c r="L1593" s="46">
        <f>EFEITO!$N$1593*EFEITO!$AA$1110</f>
        <v>11276.888320527922</v>
      </c>
      <c r="M1593" s="46">
        <f>$J$1593-EFEITO!$K$1593*EFEITO!$Y$1593</f>
        <v>0</v>
      </c>
      <c r="N1593" s="46">
        <f ca="1">$K$1593-EFEITO!$M$1593*EFEITO!$Z$1593</f>
        <v>1473.0608051745658</v>
      </c>
      <c r="O1593" s="46">
        <f>$L$1593-EFEITO!$O$1593*EFEITO!$AA$1593</f>
        <v>676.61329923167614</v>
      </c>
      <c r="P1593" s="38"/>
      <c r="Q1593" s="38"/>
      <c r="R1593" s="38"/>
      <c r="S1593" s="38"/>
      <c r="T1593" s="38"/>
      <c r="U1593" s="38"/>
      <c r="V1593" s="38"/>
      <c r="W1593" s="38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</row>
    <row r="1594" spans="1:36" ht="11.25" customHeight="1" x14ac:dyDescent="0.2">
      <c r="A1594" s="35" t="s">
        <v>21</v>
      </c>
      <c r="B1594" s="35" t="s">
        <v>46</v>
      </c>
      <c r="C1594" s="35" t="s">
        <v>23</v>
      </c>
      <c r="D1594" s="35" t="s">
        <v>47</v>
      </c>
      <c r="E1594" s="35" t="s">
        <v>25</v>
      </c>
      <c r="F1594" s="35" t="s">
        <v>25</v>
      </c>
      <c r="G1594" s="35" t="s">
        <v>25</v>
      </c>
      <c r="H1594" s="35" t="s">
        <v>25</v>
      </c>
      <c r="I1594" s="45">
        <v>44805</v>
      </c>
      <c r="J1594" s="46">
        <f>EFEITO!$J$1594*EFEITO!$Y$1110</f>
        <v>0</v>
      </c>
      <c r="K1594" s="46">
        <f ca="1">EFEITO!$L$1594*EFEITO!$Z$1110</f>
        <v>1512523.2257628152</v>
      </c>
      <c r="L1594" s="46">
        <f>EFEITO!$N$1594*EFEITO!$AA$1110</f>
        <v>694739.36605531862</v>
      </c>
      <c r="M1594" s="46">
        <f>$J$1594-EFEITO!$K$1594*EFEITO!$Y$1594</f>
        <v>0</v>
      </c>
      <c r="N1594" s="46">
        <f ca="1">$K$1594-EFEITO!$M$1594*EFEITO!$Z$1594</f>
        <v>90751.393545768922</v>
      </c>
      <c r="O1594" s="46">
        <f>$L$1594-EFEITO!$O$1594*EFEITO!$AA$1594</f>
        <v>41684.361963319243</v>
      </c>
      <c r="P1594" s="38"/>
      <c r="Q1594" s="38"/>
      <c r="R1594" s="38"/>
      <c r="S1594" s="38"/>
      <c r="T1594" s="38"/>
      <c r="U1594" s="38"/>
      <c r="V1594" s="38"/>
      <c r="W1594" s="38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</row>
    <row r="1595" spans="1:36" ht="11.25" customHeight="1" x14ac:dyDescent="0.2">
      <c r="A1595" s="35" t="s">
        <v>27</v>
      </c>
      <c r="B1595" s="35" t="s">
        <v>46</v>
      </c>
      <c r="C1595" s="35" t="s">
        <v>23</v>
      </c>
      <c r="D1595" s="35" t="s">
        <v>47</v>
      </c>
      <c r="E1595" s="35" t="s">
        <v>25</v>
      </c>
      <c r="F1595" s="35" t="s">
        <v>25</v>
      </c>
      <c r="G1595" s="35" t="s">
        <v>25</v>
      </c>
      <c r="H1595" s="35" t="s">
        <v>25</v>
      </c>
      <c r="I1595" s="45">
        <v>44805</v>
      </c>
      <c r="J1595" s="46">
        <f>EFEITO!$J$1595*EFEITO!$Y$1110</f>
        <v>0</v>
      </c>
      <c r="K1595" s="46">
        <f ca="1">EFEITO!$L$1595*EFEITO!$Z$1110</f>
        <v>-11159.825492408718</v>
      </c>
      <c r="L1595" s="46">
        <f>EFEITO!$N$1595*EFEITO!$AA$1110</f>
        <v>-5125.9841540442048</v>
      </c>
      <c r="M1595" s="46">
        <f>$J$1595-EFEITO!$K$1595*EFEITO!$Y$1595</f>
        <v>0</v>
      </c>
      <c r="N1595" s="46">
        <f ca="1">$K$1595-EFEITO!$M$1595*EFEITO!$Z$1595</f>
        <v>-669.58952954452252</v>
      </c>
      <c r="O1595" s="46">
        <f>$L$1595-EFEITO!$O$1595*EFEITO!$AA$1595</f>
        <v>-307.55904924265269</v>
      </c>
      <c r="P1595" s="38"/>
      <c r="Q1595" s="38"/>
      <c r="R1595" s="38"/>
      <c r="S1595" s="38"/>
      <c r="T1595" s="38"/>
      <c r="U1595" s="38"/>
      <c r="V1595" s="38"/>
      <c r="W1595" s="38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</row>
    <row r="1596" spans="1:36" ht="11.25" customHeight="1" x14ac:dyDescent="0.2">
      <c r="A1596" s="35" t="s">
        <v>28</v>
      </c>
      <c r="B1596" s="35" t="s">
        <v>46</v>
      </c>
      <c r="C1596" s="35" t="s">
        <v>23</v>
      </c>
      <c r="D1596" s="35" t="s">
        <v>47</v>
      </c>
      <c r="E1596" s="35" t="s">
        <v>25</v>
      </c>
      <c r="F1596" s="35" t="s">
        <v>25</v>
      </c>
      <c r="G1596" s="35" t="s">
        <v>25</v>
      </c>
      <c r="H1596" s="35" t="s">
        <v>25</v>
      </c>
      <c r="I1596" s="45">
        <v>44805</v>
      </c>
      <c r="J1596" s="46">
        <f>EFEITO!$J$1596*EFEITO!$Y$1110</f>
        <v>0</v>
      </c>
      <c r="K1596" s="46">
        <f ca="1">EFEITO!$L$1596*EFEITO!$Z$1110</f>
        <v>305842.79951478535</v>
      </c>
      <c r="L1596" s="46">
        <f>EFEITO!$N$1596*EFEITO!$AA$1110</f>
        <v>140481.17015877538</v>
      </c>
      <c r="M1596" s="46">
        <f>$J$1596-EFEITO!$K$1596*EFEITO!$Y$1596</f>
        <v>0</v>
      </c>
      <c r="N1596" s="46">
        <f ca="1">$K$1596-EFEITO!$M$1596*EFEITO!$Z$1596</f>
        <v>18350.567970887118</v>
      </c>
      <c r="O1596" s="46">
        <f>$L$1596-EFEITO!$O$1596*EFEITO!$AA$1596</f>
        <v>8428.8702095265326</v>
      </c>
      <c r="P1596" s="38"/>
      <c r="Q1596" s="38"/>
      <c r="R1596" s="38"/>
      <c r="S1596" s="38"/>
      <c r="T1596" s="38"/>
      <c r="U1596" s="38"/>
      <c r="V1596" s="38"/>
      <c r="W1596" s="38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</row>
    <row r="1597" spans="1:36" ht="11.25" customHeight="1" x14ac:dyDescent="0.2">
      <c r="A1597" s="35" t="s">
        <v>30</v>
      </c>
      <c r="B1597" s="35" t="s">
        <v>46</v>
      </c>
      <c r="C1597" s="35" t="s">
        <v>23</v>
      </c>
      <c r="D1597" s="35" t="s">
        <v>47</v>
      </c>
      <c r="E1597" s="35" t="s">
        <v>25</v>
      </c>
      <c r="F1597" s="35" t="s">
        <v>25</v>
      </c>
      <c r="G1597" s="35" t="s">
        <v>25</v>
      </c>
      <c r="H1597" s="35" t="s">
        <v>25</v>
      </c>
      <c r="I1597" s="45">
        <v>44805</v>
      </c>
      <c r="J1597" s="46">
        <f>EFEITO!$J$1597*EFEITO!$Y$1110</f>
        <v>0</v>
      </c>
      <c r="K1597" s="46">
        <f ca="1">EFEITO!$L$1597*EFEITO!$Z$1110</f>
        <v>23009.70094776103</v>
      </c>
      <c r="L1597" s="46">
        <f>EFEITO!$N$1597*EFEITO!$AA$1110</f>
        <v>10568.925340969772</v>
      </c>
      <c r="M1597" s="46">
        <f>$J$1597-EFEITO!$K$1597*EFEITO!$Y$1597</f>
        <v>0</v>
      </c>
      <c r="N1597" s="46">
        <f ca="1">$K$1597-EFEITO!$M$1597*EFEITO!$Z$1597</f>
        <v>1380.5820568656636</v>
      </c>
      <c r="O1597" s="46">
        <f>$L$1597-EFEITO!$O$1597*EFEITO!$AA$1597</f>
        <v>634.13552045818687</v>
      </c>
      <c r="P1597" s="38"/>
      <c r="Q1597" s="38"/>
      <c r="R1597" s="38"/>
      <c r="S1597" s="38"/>
      <c r="T1597" s="38"/>
      <c r="U1597" s="38"/>
      <c r="V1597" s="38"/>
      <c r="W1597" s="38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</row>
    <row r="1598" spans="1:36" ht="11.25" customHeight="1" x14ac:dyDescent="0.2">
      <c r="A1598" s="35" t="s">
        <v>21</v>
      </c>
      <c r="B1598" s="35" t="s">
        <v>46</v>
      </c>
      <c r="C1598" s="35" t="s">
        <v>23</v>
      </c>
      <c r="D1598" s="35" t="s">
        <v>47</v>
      </c>
      <c r="E1598" s="35" t="s">
        <v>25</v>
      </c>
      <c r="F1598" s="35" t="s">
        <v>25</v>
      </c>
      <c r="G1598" s="35" t="s">
        <v>25</v>
      </c>
      <c r="H1598" s="35" t="s">
        <v>25</v>
      </c>
      <c r="I1598" s="45">
        <v>44835</v>
      </c>
      <c r="J1598" s="46">
        <f>EFEITO!$J$1598*EFEITO!$Y$1110</f>
        <v>0</v>
      </c>
      <c r="K1598" s="46">
        <f ca="1">EFEITO!$L$1598*EFEITO!$Z$1110</f>
        <v>1555832.1475637183</v>
      </c>
      <c r="L1598" s="46">
        <f>EFEITO!$N$1598*EFEITO!$AA$1110</f>
        <v>714632.22612120234</v>
      </c>
      <c r="M1598" s="46">
        <f>$J$1598-EFEITO!$K$1598*EFEITO!$Y$1598</f>
        <v>0</v>
      </c>
      <c r="N1598" s="46">
        <f ca="1">$K$1598-EFEITO!$M$1598*EFEITO!$Z$1598</f>
        <v>93349.928853823105</v>
      </c>
      <c r="O1598" s="46">
        <f>$L$1598-EFEITO!$O$1598*EFEITO!$AA$1598</f>
        <v>42877.933567272266</v>
      </c>
      <c r="P1598" s="38"/>
      <c r="Q1598" s="38"/>
      <c r="R1598" s="38"/>
      <c r="S1598" s="38"/>
      <c r="T1598" s="38"/>
      <c r="U1598" s="38"/>
      <c r="V1598" s="38"/>
      <c r="W1598" s="38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</row>
    <row r="1599" spans="1:36" ht="11.25" customHeight="1" x14ac:dyDescent="0.2">
      <c r="A1599" s="35" t="s">
        <v>27</v>
      </c>
      <c r="B1599" s="35" t="s">
        <v>46</v>
      </c>
      <c r="C1599" s="35" t="s">
        <v>23</v>
      </c>
      <c r="D1599" s="35" t="s">
        <v>47</v>
      </c>
      <c r="E1599" s="35" t="s">
        <v>25</v>
      </c>
      <c r="F1599" s="35" t="s">
        <v>25</v>
      </c>
      <c r="G1599" s="35" t="s">
        <v>25</v>
      </c>
      <c r="H1599" s="35" t="s">
        <v>25</v>
      </c>
      <c r="I1599" s="45">
        <v>44835</v>
      </c>
      <c r="J1599" s="46">
        <f>EFEITO!$J$1599*EFEITO!$Y$1110</f>
        <v>0</v>
      </c>
      <c r="K1599" s="46">
        <f ca="1">EFEITO!$L$1599*EFEITO!$Z$1110</f>
        <v>-13897.927674336279</v>
      </c>
      <c r="L1599" s="46">
        <f>EFEITO!$N$1599*EFEITO!$AA$1110</f>
        <v>-6383.6622786942653</v>
      </c>
      <c r="M1599" s="46">
        <f>$J$1599-EFEITO!$K$1599*EFEITO!$Y$1599</f>
        <v>0</v>
      </c>
      <c r="N1599" s="46">
        <f ca="1">$K$1599-EFEITO!$M$1599*EFEITO!$Z$1599</f>
        <v>-833.87566046017855</v>
      </c>
      <c r="O1599" s="46">
        <f>$L$1599-EFEITO!$O$1599*EFEITO!$AA$1599</f>
        <v>-383.01973672165695</v>
      </c>
      <c r="P1599" s="38"/>
      <c r="Q1599" s="38"/>
      <c r="R1599" s="38"/>
      <c r="S1599" s="38"/>
      <c r="T1599" s="38"/>
      <c r="U1599" s="38"/>
      <c r="V1599" s="38"/>
      <c r="W1599" s="38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</row>
    <row r="1600" spans="1:36" ht="11.25" customHeight="1" x14ac:dyDescent="0.2">
      <c r="A1600" s="35" t="s">
        <v>28</v>
      </c>
      <c r="B1600" s="35" t="s">
        <v>46</v>
      </c>
      <c r="C1600" s="35" t="s">
        <v>23</v>
      </c>
      <c r="D1600" s="35" t="s">
        <v>47</v>
      </c>
      <c r="E1600" s="35" t="s">
        <v>25</v>
      </c>
      <c r="F1600" s="35" t="s">
        <v>25</v>
      </c>
      <c r="G1600" s="35" t="s">
        <v>25</v>
      </c>
      <c r="H1600" s="35" t="s">
        <v>25</v>
      </c>
      <c r="I1600" s="45">
        <v>44835</v>
      </c>
      <c r="J1600" s="46">
        <f>EFEITO!$J$1600*EFEITO!$Y$1110</f>
        <v>0</v>
      </c>
      <c r="K1600" s="46">
        <f ca="1">EFEITO!$L$1600*EFEITO!$Z$1110</f>
        <v>294780.40465761034</v>
      </c>
      <c r="L1600" s="46">
        <f>EFEITO!$N$1600*EFEITO!$AA$1110</f>
        <v>135399.93830777265</v>
      </c>
      <c r="M1600" s="46">
        <f>$J$1600-EFEITO!$K$1600*EFEITO!$Y$1600</f>
        <v>0</v>
      </c>
      <c r="N1600" s="46">
        <f ca="1">$K$1600-EFEITO!$M$1600*EFEITO!$Z$1600</f>
        <v>17686.824279456632</v>
      </c>
      <c r="O1600" s="46">
        <f>$L$1600-EFEITO!$O$1600*EFEITO!$AA$1600</f>
        <v>8123.996298466358</v>
      </c>
      <c r="P1600" s="38"/>
      <c r="Q1600" s="38"/>
      <c r="R1600" s="38"/>
      <c r="S1600" s="38"/>
      <c r="T1600" s="38"/>
      <c r="U1600" s="38"/>
      <c r="V1600" s="38"/>
      <c r="W1600" s="38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</row>
    <row r="1601" spans="1:36" ht="11.25" customHeight="1" x14ac:dyDescent="0.2">
      <c r="A1601" s="35" t="s">
        <v>29</v>
      </c>
      <c r="B1601" s="35" t="s">
        <v>46</v>
      </c>
      <c r="C1601" s="35" t="s">
        <v>23</v>
      </c>
      <c r="D1601" s="35" t="s">
        <v>47</v>
      </c>
      <c r="E1601" s="35" t="s">
        <v>25</v>
      </c>
      <c r="F1601" s="35" t="s">
        <v>25</v>
      </c>
      <c r="G1601" s="35" t="s">
        <v>25</v>
      </c>
      <c r="H1601" s="35" t="s">
        <v>25</v>
      </c>
      <c r="I1601" s="45">
        <v>44835</v>
      </c>
      <c r="J1601" s="46">
        <f>EFEITO!$J$1601*EFEITO!$Y$1110</f>
        <v>0</v>
      </c>
      <c r="K1601" s="46">
        <f ca="1">EFEITO!$L$1601*EFEITO!$Z$1110</f>
        <v>-3395.0056401009374</v>
      </c>
      <c r="L1601" s="46">
        <f>EFEITO!$N$1601*EFEITO!$AA$1110</f>
        <v>-1559.410147218344</v>
      </c>
      <c r="M1601" s="46">
        <f>$J$1601-EFEITO!$K$1601*EFEITO!$Y$1601</f>
        <v>0</v>
      </c>
      <c r="N1601" s="46">
        <f ca="1">$K$1601-EFEITO!$M$1601*EFEITO!$Z$1601</f>
        <v>-203.70033840605629</v>
      </c>
      <c r="O1601" s="46">
        <f>$L$1601-EFEITO!$O$1601*EFEITO!$AA$1601</f>
        <v>-93.564608833100692</v>
      </c>
      <c r="P1601" s="38"/>
      <c r="Q1601" s="38"/>
      <c r="R1601" s="38"/>
      <c r="S1601" s="38"/>
      <c r="T1601" s="38"/>
      <c r="U1601" s="38"/>
      <c r="V1601" s="38"/>
      <c r="W1601" s="38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</row>
    <row r="1602" spans="1:36" ht="11.25" customHeight="1" x14ac:dyDescent="0.2">
      <c r="A1602" s="35" t="s">
        <v>30</v>
      </c>
      <c r="B1602" s="35" t="s">
        <v>46</v>
      </c>
      <c r="C1602" s="35" t="s">
        <v>23</v>
      </c>
      <c r="D1602" s="35" t="s">
        <v>47</v>
      </c>
      <c r="E1602" s="35" t="s">
        <v>25</v>
      </c>
      <c r="F1602" s="35" t="s">
        <v>25</v>
      </c>
      <c r="G1602" s="35" t="s">
        <v>25</v>
      </c>
      <c r="H1602" s="35" t="s">
        <v>25</v>
      </c>
      <c r="I1602" s="45">
        <v>44835</v>
      </c>
      <c r="J1602" s="46">
        <f>EFEITO!$J$1602*EFEITO!$Y$1110</f>
        <v>0</v>
      </c>
      <c r="K1602" s="46">
        <f ca="1">EFEITO!$L$1602*EFEITO!$Z$1110</f>
        <v>26375.075621476473</v>
      </c>
      <c r="L1602" s="46">
        <f>EFEITO!$N$1602*EFEITO!$AA$1110</f>
        <v>12114.725251696122</v>
      </c>
      <c r="M1602" s="46">
        <f>$J$1602-EFEITO!$K$1602*EFEITO!$Y$1602</f>
        <v>0</v>
      </c>
      <c r="N1602" s="46">
        <f ca="1">$K$1602-EFEITO!$M$1602*EFEITO!$Z$1602</f>
        <v>1582.5045372885907</v>
      </c>
      <c r="O1602" s="46">
        <f>$L$1602-EFEITO!$O$1602*EFEITO!$AA$1602</f>
        <v>726.88351510176835</v>
      </c>
      <c r="P1602" s="38"/>
      <c r="Q1602" s="38"/>
      <c r="R1602" s="38"/>
      <c r="S1602" s="38"/>
      <c r="T1602" s="38"/>
      <c r="U1602" s="38"/>
      <c r="V1602" s="38"/>
      <c r="W1602" s="38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</row>
    <row r="1603" spans="1:36" ht="11.25" customHeight="1" x14ac:dyDescent="0.2">
      <c r="A1603" s="35" t="s">
        <v>59</v>
      </c>
      <c r="B1603" s="35" t="s">
        <v>46</v>
      </c>
      <c r="C1603" s="35" t="s">
        <v>23</v>
      </c>
      <c r="D1603" s="35" t="s">
        <v>47</v>
      </c>
      <c r="E1603" s="35" t="s">
        <v>25</v>
      </c>
      <c r="F1603" s="35" t="s">
        <v>25</v>
      </c>
      <c r="G1603" s="35" t="s">
        <v>25</v>
      </c>
      <c r="H1603" s="35" t="s">
        <v>25</v>
      </c>
      <c r="I1603" s="45">
        <v>44866</v>
      </c>
      <c r="J1603" s="46">
        <f>EFEITO!$J$1603*EFEITO!$Y$1110</f>
        <v>0</v>
      </c>
      <c r="K1603" s="46">
        <f ca="1">EFEITO!$L$1603*EFEITO!$Z$1110</f>
        <v>1555832.1475637183</v>
      </c>
      <c r="L1603" s="46">
        <f>EFEITO!$N$1603*EFEITO!$AA$1110</f>
        <v>714632.22612120234</v>
      </c>
      <c r="M1603" s="46">
        <f>$J$1603-EFEITO!$K$1603*EFEITO!$Y$1603</f>
        <v>0</v>
      </c>
      <c r="N1603" s="46">
        <f ca="1">$K$1603-EFEITO!$M$1603*EFEITO!$Z$1603</f>
        <v>93349.928853823105</v>
      </c>
      <c r="O1603" s="46">
        <f>$L$1603-EFEITO!$O$1603*EFEITO!$AA$1603</f>
        <v>42877.933567272266</v>
      </c>
      <c r="P1603" s="38"/>
      <c r="Q1603" s="38"/>
      <c r="R1603" s="38"/>
      <c r="S1603" s="38"/>
      <c r="T1603" s="38"/>
      <c r="U1603" s="38"/>
      <c r="V1603" s="38"/>
      <c r="W1603" s="38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</row>
    <row r="1604" spans="1:36" ht="11.25" customHeight="1" x14ac:dyDescent="0.2">
      <c r="A1604" s="35" t="s">
        <v>59</v>
      </c>
      <c r="B1604" s="35" t="s">
        <v>46</v>
      </c>
      <c r="C1604" s="35" t="s">
        <v>23</v>
      </c>
      <c r="D1604" s="35" t="s">
        <v>47</v>
      </c>
      <c r="E1604" s="35" t="s">
        <v>25</v>
      </c>
      <c r="F1604" s="35" t="s">
        <v>25</v>
      </c>
      <c r="G1604" s="35" t="s">
        <v>25</v>
      </c>
      <c r="H1604" s="35" t="s">
        <v>25</v>
      </c>
      <c r="I1604" s="45">
        <v>44866</v>
      </c>
      <c r="J1604" s="46">
        <f>EFEITO!$J$1604*EFEITO!$Y$1110</f>
        <v>0</v>
      </c>
      <c r="K1604" s="46">
        <f ca="1">EFEITO!$L$1604*EFEITO!$Z$1110</f>
        <v>-13897.927674336279</v>
      </c>
      <c r="L1604" s="46">
        <f>EFEITO!$N$1604*EFEITO!$AA$1110</f>
        <v>-6383.6622786942653</v>
      </c>
      <c r="M1604" s="46">
        <f>$J$1604-EFEITO!$K$1604*EFEITO!$Y$1604</f>
        <v>0</v>
      </c>
      <c r="N1604" s="46">
        <f ca="1">$K$1604-EFEITO!$M$1604*EFEITO!$Z$1604</f>
        <v>-833.87566046017855</v>
      </c>
      <c r="O1604" s="46">
        <f>$L$1604-EFEITO!$O$1604*EFEITO!$AA$1604</f>
        <v>-383.01973672165695</v>
      </c>
      <c r="P1604" s="38"/>
      <c r="Q1604" s="38"/>
      <c r="R1604" s="38"/>
      <c r="S1604" s="38"/>
      <c r="T1604" s="38"/>
      <c r="U1604" s="38"/>
      <c r="V1604" s="38"/>
      <c r="W1604" s="38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</row>
    <row r="1605" spans="1:36" ht="11.25" customHeight="1" x14ac:dyDescent="0.2">
      <c r="A1605" s="35" t="s">
        <v>59</v>
      </c>
      <c r="B1605" s="35" t="s">
        <v>46</v>
      </c>
      <c r="C1605" s="35" t="s">
        <v>23</v>
      </c>
      <c r="D1605" s="35" t="s">
        <v>47</v>
      </c>
      <c r="E1605" s="35" t="s">
        <v>25</v>
      </c>
      <c r="F1605" s="35" t="s">
        <v>25</v>
      </c>
      <c r="G1605" s="35" t="s">
        <v>25</v>
      </c>
      <c r="H1605" s="35" t="s">
        <v>25</v>
      </c>
      <c r="I1605" s="45">
        <v>44866</v>
      </c>
      <c r="J1605" s="46">
        <f>EFEITO!$J$1605*EFEITO!$Y$1110</f>
        <v>0</v>
      </c>
      <c r="K1605" s="46">
        <f ca="1">EFEITO!$L$1605*EFEITO!$Z$1110</f>
        <v>294780.40465761034</v>
      </c>
      <c r="L1605" s="46">
        <f>EFEITO!$N$1605*EFEITO!$AA$1110</f>
        <v>135399.93830777265</v>
      </c>
      <c r="M1605" s="46">
        <f>$J$1605-EFEITO!$K$1605*EFEITO!$Y$1605</f>
        <v>0</v>
      </c>
      <c r="N1605" s="46">
        <f ca="1">$K$1605-EFEITO!$M$1605*EFEITO!$Z$1605</f>
        <v>17686.824279456632</v>
      </c>
      <c r="O1605" s="46">
        <f>$L$1605-EFEITO!$O$1605*EFEITO!$AA$1605</f>
        <v>8123.996298466358</v>
      </c>
      <c r="P1605" s="38"/>
      <c r="Q1605" s="38"/>
      <c r="R1605" s="38"/>
      <c r="S1605" s="38"/>
      <c r="T1605" s="38"/>
      <c r="U1605" s="38"/>
      <c r="V1605" s="38"/>
      <c r="W1605" s="38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</row>
    <row r="1606" spans="1:36" ht="11.25" customHeight="1" x14ac:dyDescent="0.2">
      <c r="A1606" s="35" t="s">
        <v>59</v>
      </c>
      <c r="B1606" s="35" t="s">
        <v>46</v>
      </c>
      <c r="C1606" s="35" t="s">
        <v>23</v>
      </c>
      <c r="D1606" s="35" t="s">
        <v>47</v>
      </c>
      <c r="E1606" s="35" t="s">
        <v>25</v>
      </c>
      <c r="F1606" s="35" t="s">
        <v>25</v>
      </c>
      <c r="G1606" s="35" t="s">
        <v>25</v>
      </c>
      <c r="H1606" s="35" t="s">
        <v>25</v>
      </c>
      <c r="I1606" s="45">
        <v>44866</v>
      </c>
      <c r="J1606" s="46">
        <f>EFEITO!$J$1606*EFEITO!$Y$1110</f>
        <v>0</v>
      </c>
      <c r="K1606" s="46">
        <f ca="1">EFEITO!$L$1606*EFEITO!$Z$1110</f>
        <v>-3395.0056401009374</v>
      </c>
      <c r="L1606" s="46">
        <f>EFEITO!$N$1606*EFEITO!$AA$1110</f>
        <v>-1559.410147218344</v>
      </c>
      <c r="M1606" s="46">
        <f>$J$1606-EFEITO!$K$1606*EFEITO!$Y$1606</f>
        <v>0</v>
      </c>
      <c r="N1606" s="46">
        <f ca="1">$K$1606-EFEITO!$M$1606*EFEITO!$Z$1606</f>
        <v>-203.70033840605629</v>
      </c>
      <c r="O1606" s="46">
        <f>$L$1606-EFEITO!$O$1606*EFEITO!$AA$1606</f>
        <v>-93.564608833100692</v>
      </c>
      <c r="P1606" s="38"/>
      <c r="Q1606" s="38"/>
      <c r="R1606" s="38"/>
      <c r="S1606" s="38"/>
      <c r="T1606" s="38"/>
      <c r="U1606" s="38"/>
      <c r="V1606" s="38"/>
      <c r="W1606" s="38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</row>
    <row r="1607" spans="1:36" ht="11.25" customHeight="1" x14ac:dyDescent="0.2">
      <c r="A1607" s="35" t="s">
        <v>59</v>
      </c>
      <c r="B1607" s="35" t="s">
        <v>46</v>
      </c>
      <c r="C1607" s="35" t="s">
        <v>23</v>
      </c>
      <c r="D1607" s="35" t="s">
        <v>47</v>
      </c>
      <c r="E1607" s="35" t="s">
        <v>25</v>
      </c>
      <c r="F1607" s="35" t="s">
        <v>25</v>
      </c>
      <c r="G1607" s="35" t="s">
        <v>25</v>
      </c>
      <c r="H1607" s="35" t="s">
        <v>25</v>
      </c>
      <c r="I1607" s="45">
        <v>44866</v>
      </c>
      <c r="J1607" s="46">
        <f>EFEITO!$J$1607*EFEITO!$Y$1110</f>
        <v>0</v>
      </c>
      <c r="K1607" s="46">
        <f ca="1">EFEITO!$L$1607*EFEITO!$Z$1110</f>
        <v>26375.075621476473</v>
      </c>
      <c r="L1607" s="46">
        <f>EFEITO!$N$1607*EFEITO!$AA$1110</f>
        <v>12114.725251696122</v>
      </c>
      <c r="M1607" s="46">
        <f>$J$1607-EFEITO!$K$1607*EFEITO!$Y$1607</f>
        <v>0</v>
      </c>
      <c r="N1607" s="46">
        <f ca="1">$K$1607-EFEITO!$M$1607*EFEITO!$Z$1607</f>
        <v>1582.5045372885907</v>
      </c>
      <c r="O1607" s="46">
        <f>$L$1607-EFEITO!$O$1607*EFEITO!$AA$1607</f>
        <v>726.88351510176835</v>
      </c>
      <c r="P1607" s="38"/>
      <c r="Q1607" s="38"/>
      <c r="R1607" s="38"/>
      <c r="S1607" s="38"/>
      <c r="T1607" s="38"/>
      <c r="U1607" s="38"/>
      <c r="V1607" s="38"/>
      <c r="W1607" s="38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</row>
    <row r="1608" spans="1:36" ht="11.25" customHeight="1" x14ac:dyDescent="0.2">
      <c r="A1608" s="35" t="s">
        <v>21</v>
      </c>
      <c r="B1608" s="35" t="s">
        <v>39</v>
      </c>
      <c r="C1608" s="35" t="s">
        <v>35</v>
      </c>
      <c r="D1608" s="35" t="s">
        <v>45</v>
      </c>
      <c r="E1608" s="35" t="s">
        <v>25</v>
      </c>
      <c r="F1608" s="35" t="s">
        <v>25</v>
      </c>
      <c r="G1608" s="35" t="s">
        <v>25</v>
      </c>
      <c r="H1608" s="35" t="s">
        <v>37</v>
      </c>
      <c r="I1608" s="45">
        <v>44531</v>
      </c>
      <c r="J1608" s="46">
        <f>EFEITO!$J$1608*EFEITO!$Y$1608</f>
        <v>0</v>
      </c>
      <c r="K1608" s="46">
        <f ca="1">EFEITO!$L$1608*EFEITO!$Z$1608</f>
        <v>35444.434736733754</v>
      </c>
      <c r="L1608" s="46">
        <f>EFEITO!$N$1608*EFEITO!$AA$1608</f>
        <v>19818.804270622579</v>
      </c>
      <c r="M1608" s="46">
        <f>$J$1608-EFEITO!$K$1608*EFEITO!$Y$1608</f>
        <v>0</v>
      </c>
      <c r="N1608" s="46">
        <f ca="1">$K$1608-EFEITO!$M$1608*EFEITO!$Z$1608</f>
        <v>0</v>
      </c>
      <c r="O1608" s="46">
        <f>$L$1608-EFEITO!$O$1608*EFEITO!$AA$1608</f>
        <v>0</v>
      </c>
      <c r="P1608" s="38"/>
      <c r="Q1608" s="38"/>
      <c r="R1608" s="38"/>
      <c r="S1608" s="38"/>
      <c r="T1608" s="38"/>
      <c r="U1608" s="38"/>
      <c r="V1608" s="38"/>
      <c r="W1608" s="38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</row>
    <row r="1609" spans="1:36" ht="11.25" customHeight="1" x14ac:dyDescent="0.2">
      <c r="A1609" s="35" t="s">
        <v>27</v>
      </c>
      <c r="B1609" s="35" t="s">
        <v>39</v>
      </c>
      <c r="C1609" s="35" t="s">
        <v>35</v>
      </c>
      <c r="D1609" s="35" t="s">
        <v>45</v>
      </c>
      <c r="E1609" s="35" t="s">
        <v>25</v>
      </c>
      <c r="F1609" s="35" t="s">
        <v>25</v>
      </c>
      <c r="G1609" s="35" t="s">
        <v>25</v>
      </c>
      <c r="H1609" s="35" t="s">
        <v>37</v>
      </c>
      <c r="I1609" s="45">
        <v>44531</v>
      </c>
      <c r="J1609" s="46">
        <f>EFEITO!$J$1609*EFEITO!$Y$1609</f>
        <v>0</v>
      </c>
      <c r="K1609" s="46">
        <f ca="1">EFEITO!$L$1609*EFEITO!$Z$1609</f>
        <v>1292.9844443669303</v>
      </c>
      <c r="L1609" s="46">
        <f>EFEITO!$N$1609*EFEITO!$AA$1609</f>
        <v>722.97402450349512</v>
      </c>
      <c r="M1609" s="46">
        <f>$J$1609-EFEITO!$K$1609*EFEITO!$Y$1609</f>
        <v>0</v>
      </c>
      <c r="N1609" s="46">
        <f ca="1">$K$1609-EFEITO!$M$1609*EFEITO!$Z$1609</f>
        <v>0</v>
      </c>
      <c r="O1609" s="46">
        <f>$L$1609-EFEITO!$O$1609*EFEITO!$AA$1609</f>
        <v>0</v>
      </c>
      <c r="P1609" s="38"/>
      <c r="Q1609" s="38"/>
      <c r="R1609" s="38"/>
      <c r="S1609" s="38"/>
      <c r="T1609" s="38"/>
      <c r="U1609" s="38"/>
      <c r="V1609" s="38"/>
      <c r="W1609" s="38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</row>
    <row r="1610" spans="1:36" ht="11.25" customHeight="1" x14ac:dyDescent="0.2">
      <c r="A1610" s="35" t="s">
        <v>28</v>
      </c>
      <c r="B1610" s="35" t="s">
        <v>39</v>
      </c>
      <c r="C1610" s="35" t="s">
        <v>35</v>
      </c>
      <c r="D1610" s="35" t="s">
        <v>45</v>
      </c>
      <c r="E1610" s="35" t="s">
        <v>25</v>
      </c>
      <c r="F1610" s="35" t="s">
        <v>25</v>
      </c>
      <c r="G1610" s="35" t="s">
        <v>25</v>
      </c>
      <c r="H1610" s="35" t="s">
        <v>37</v>
      </c>
      <c r="I1610" s="45">
        <v>44531</v>
      </c>
      <c r="J1610" s="46">
        <f>EFEITO!$J$1610*EFEITO!$Y$1610</f>
        <v>0</v>
      </c>
      <c r="K1610" s="46">
        <f ca="1">EFEITO!$L$1610*EFEITO!$Z$1610</f>
        <v>5538.7918031229483</v>
      </c>
      <c r="L1610" s="46">
        <f>EFEITO!$N$1610*EFEITO!$AA$1610</f>
        <v>3097.0230293461882</v>
      </c>
      <c r="M1610" s="46">
        <f>$J$1610-EFEITO!$K$1610*EFEITO!$Y$1610</f>
        <v>0</v>
      </c>
      <c r="N1610" s="46">
        <f ca="1">$K$1610-EFEITO!$M$1610*EFEITO!$Z$1610</f>
        <v>0</v>
      </c>
      <c r="O1610" s="46">
        <f>$L$1610-EFEITO!$O$1610*EFEITO!$AA$1610</f>
        <v>0</v>
      </c>
      <c r="P1610" s="38"/>
      <c r="Q1610" s="38"/>
      <c r="R1610" s="38"/>
      <c r="S1610" s="38"/>
      <c r="T1610" s="38"/>
      <c r="U1610" s="38"/>
      <c r="V1610" s="38"/>
      <c r="W1610" s="38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</row>
    <row r="1611" spans="1:36" ht="11.25" customHeight="1" x14ac:dyDescent="0.2">
      <c r="A1611" s="35" t="s">
        <v>30</v>
      </c>
      <c r="B1611" s="35" t="s">
        <v>39</v>
      </c>
      <c r="C1611" s="35" t="s">
        <v>35</v>
      </c>
      <c r="D1611" s="35" t="s">
        <v>45</v>
      </c>
      <c r="E1611" s="35" t="s">
        <v>25</v>
      </c>
      <c r="F1611" s="35" t="s">
        <v>25</v>
      </c>
      <c r="G1611" s="35" t="s">
        <v>25</v>
      </c>
      <c r="H1611" s="35" t="s">
        <v>37</v>
      </c>
      <c r="I1611" s="45">
        <v>44531</v>
      </c>
      <c r="J1611" s="46">
        <f>EFEITO!$J$1611*EFEITO!$Y$1611</f>
        <v>0</v>
      </c>
      <c r="K1611" s="46">
        <f ca="1">EFEITO!$L$1611*EFEITO!$Z$1611</f>
        <v>436.86135038047826</v>
      </c>
      <c r="L1611" s="46">
        <f>EFEITO!$N$1611*EFEITO!$AA$1611</f>
        <v>244.27162291905748</v>
      </c>
      <c r="M1611" s="46">
        <f>$J$1611-EFEITO!$K$1611*EFEITO!$Y$1611</f>
        <v>0</v>
      </c>
      <c r="N1611" s="46">
        <f ca="1">$K$1611-EFEITO!$M$1611*EFEITO!$Z$1611</f>
        <v>0</v>
      </c>
      <c r="O1611" s="46">
        <f>$L$1611-EFEITO!$O$1611*EFEITO!$AA$1611</f>
        <v>0</v>
      </c>
      <c r="P1611" s="38"/>
      <c r="Q1611" s="38"/>
      <c r="R1611" s="38"/>
      <c r="S1611" s="38"/>
      <c r="T1611" s="38"/>
      <c r="U1611" s="38"/>
      <c r="V1611" s="38"/>
      <c r="W1611" s="38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</row>
    <row r="1612" spans="1:36" ht="11.25" customHeight="1" x14ac:dyDescent="0.2">
      <c r="A1612" s="35" t="s">
        <v>21</v>
      </c>
      <c r="B1612" s="35" t="s">
        <v>39</v>
      </c>
      <c r="C1612" s="35" t="s">
        <v>35</v>
      </c>
      <c r="D1612" s="35" t="s">
        <v>45</v>
      </c>
      <c r="E1612" s="35" t="s">
        <v>25</v>
      </c>
      <c r="F1612" s="35" t="s">
        <v>25</v>
      </c>
      <c r="G1612" s="35" t="s">
        <v>25</v>
      </c>
      <c r="H1612" s="35" t="s">
        <v>37</v>
      </c>
      <c r="I1612" s="45">
        <v>44562</v>
      </c>
      <c r="J1612" s="46">
        <f>EFEITO!$J$1612*EFEITO!$Y$1612</f>
        <v>0</v>
      </c>
      <c r="K1612" s="46">
        <f ca="1">EFEITO!$L$1612*EFEITO!$Z$1612</f>
        <v>34434.217307877196</v>
      </c>
      <c r="L1612" s="46">
        <f>EFEITO!$N$1612*EFEITO!$AA$1612</f>
        <v>19253.939810461499</v>
      </c>
      <c r="M1612" s="46">
        <f>$J$1612-EFEITO!$K$1612*EFEITO!$Y$1612</f>
        <v>0</v>
      </c>
      <c r="N1612" s="46">
        <f ca="1">$K$1612-EFEITO!$M$1612*EFEITO!$Z$1612</f>
        <v>0</v>
      </c>
      <c r="O1612" s="46">
        <f>$L$1612-EFEITO!$O$1612*EFEITO!$AA$1612</f>
        <v>0</v>
      </c>
      <c r="P1612" s="38"/>
      <c r="Q1612" s="38"/>
      <c r="R1612" s="38"/>
      <c r="S1612" s="38"/>
      <c r="T1612" s="38"/>
      <c r="U1612" s="38"/>
      <c r="V1612" s="38"/>
      <c r="W1612" s="38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</row>
    <row r="1613" spans="1:36" ht="11.25" customHeight="1" x14ac:dyDescent="0.2">
      <c r="A1613" s="35" t="s">
        <v>27</v>
      </c>
      <c r="B1613" s="35" t="s">
        <v>39</v>
      </c>
      <c r="C1613" s="35" t="s">
        <v>35</v>
      </c>
      <c r="D1613" s="35" t="s">
        <v>45</v>
      </c>
      <c r="E1613" s="35" t="s">
        <v>25</v>
      </c>
      <c r="F1613" s="35" t="s">
        <v>25</v>
      </c>
      <c r="G1613" s="35" t="s">
        <v>25</v>
      </c>
      <c r="H1613" s="35" t="s">
        <v>37</v>
      </c>
      <c r="I1613" s="45">
        <v>44562</v>
      </c>
      <c r="J1613" s="46">
        <f>EFEITO!$J$1613*EFEITO!$Y$1613</f>
        <v>0</v>
      </c>
      <c r="K1613" s="46">
        <f ca="1">EFEITO!$L$1613*EFEITO!$Z$1613</f>
        <v>-422.39056258810791</v>
      </c>
      <c r="L1613" s="46">
        <f>EFEITO!$N$1613*EFEITO!$AA$1613</f>
        <v>-236.18026208825611</v>
      </c>
      <c r="M1613" s="46">
        <f>$J$1613-EFEITO!$K$1613*EFEITO!$Y$1613</f>
        <v>0</v>
      </c>
      <c r="N1613" s="46">
        <f ca="1">$K$1613-EFEITO!$M$1613*EFEITO!$Z$1613</f>
        <v>0</v>
      </c>
      <c r="O1613" s="46">
        <f>$L$1613-EFEITO!$O$1613*EFEITO!$AA$1613</f>
        <v>0</v>
      </c>
      <c r="P1613" s="38"/>
      <c r="Q1613" s="38"/>
      <c r="R1613" s="38"/>
      <c r="S1613" s="38"/>
      <c r="T1613" s="38"/>
      <c r="U1613" s="38"/>
      <c r="V1613" s="38"/>
      <c r="W1613" s="38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</row>
    <row r="1614" spans="1:36" ht="11.25" customHeight="1" x14ac:dyDescent="0.2">
      <c r="A1614" s="35" t="s">
        <v>28</v>
      </c>
      <c r="B1614" s="35" t="s">
        <v>39</v>
      </c>
      <c r="C1614" s="35" t="s">
        <v>35</v>
      </c>
      <c r="D1614" s="35" t="s">
        <v>45</v>
      </c>
      <c r="E1614" s="35" t="s">
        <v>25</v>
      </c>
      <c r="F1614" s="35" t="s">
        <v>25</v>
      </c>
      <c r="G1614" s="35" t="s">
        <v>25</v>
      </c>
      <c r="H1614" s="35" t="s">
        <v>37</v>
      </c>
      <c r="I1614" s="45">
        <v>44562</v>
      </c>
      <c r="J1614" s="46">
        <f>EFEITO!$J$1614*EFEITO!$Y$1614</f>
        <v>0</v>
      </c>
      <c r="K1614" s="46">
        <f ca="1">EFEITO!$L$1614*EFEITO!$Z$1614</f>
        <v>5638.5229081784737</v>
      </c>
      <c r="L1614" s="46">
        <f>EFEITO!$N$1614*EFEITO!$AA$1614</f>
        <v>3152.7878134503594</v>
      </c>
      <c r="M1614" s="46">
        <f>$J$1614-EFEITO!$K$1614*EFEITO!$Y$1614</f>
        <v>0</v>
      </c>
      <c r="N1614" s="46">
        <f ca="1">$K$1614-EFEITO!$M$1614*EFEITO!$Z$1614</f>
        <v>0</v>
      </c>
      <c r="O1614" s="46">
        <f>$L$1614-EFEITO!$O$1614*EFEITO!$AA$1614</f>
        <v>0</v>
      </c>
      <c r="P1614" s="38"/>
      <c r="Q1614" s="38"/>
      <c r="R1614" s="38"/>
      <c r="S1614" s="38"/>
      <c r="T1614" s="38"/>
      <c r="U1614" s="38"/>
      <c r="V1614" s="38"/>
      <c r="W1614" s="38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</row>
    <row r="1615" spans="1:36" ht="11.25" customHeight="1" x14ac:dyDescent="0.2">
      <c r="A1615" s="35" t="s">
        <v>30</v>
      </c>
      <c r="B1615" s="35" t="s">
        <v>39</v>
      </c>
      <c r="C1615" s="35" t="s">
        <v>35</v>
      </c>
      <c r="D1615" s="35" t="s">
        <v>45</v>
      </c>
      <c r="E1615" s="35" t="s">
        <v>25</v>
      </c>
      <c r="F1615" s="35" t="s">
        <v>25</v>
      </c>
      <c r="G1615" s="35" t="s">
        <v>25</v>
      </c>
      <c r="H1615" s="35" t="s">
        <v>37</v>
      </c>
      <c r="I1615" s="45">
        <v>44562</v>
      </c>
      <c r="J1615" s="46">
        <f>EFEITO!$J$1615*EFEITO!$Y$1615</f>
        <v>0</v>
      </c>
      <c r="K1615" s="46">
        <f ca="1">EFEITO!$L$1615*EFEITO!$Z$1615</f>
        <v>436.47024800771152</v>
      </c>
      <c r="L1615" s="46">
        <f>EFEITO!$N$1615*EFEITO!$AA$1615</f>
        <v>244.05293749119801</v>
      </c>
      <c r="M1615" s="46">
        <f>$J$1615-EFEITO!$K$1615*EFEITO!$Y$1615</f>
        <v>0</v>
      </c>
      <c r="N1615" s="46">
        <f ca="1">$K$1615-EFEITO!$M$1615*EFEITO!$Z$1615</f>
        <v>0</v>
      </c>
      <c r="O1615" s="46">
        <f>$L$1615-EFEITO!$O$1615*EFEITO!$AA$1615</f>
        <v>0</v>
      </c>
      <c r="P1615" s="38"/>
      <c r="Q1615" s="38"/>
      <c r="R1615" s="38"/>
      <c r="S1615" s="38"/>
      <c r="T1615" s="38"/>
      <c r="U1615" s="38"/>
      <c r="V1615" s="38"/>
      <c r="W1615" s="38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</row>
    <row r="1616" spans="1:36" ht="11.25" customHeight="1" x14ac:dyDescent="0.2">
      <c r="A1616" s="35" t="s">
        <v>30</v>
      </c>
      <c r="B1616" s="35" t="s">
        <v>39</v>
      </c>
      <c r="C1616" s="35" t="s">
        <v>35</v>
      </c>
      <c r="D1616" s="35" t="s">
        <v>45</v>
      </c>
      <c r="E1616" s="35" t="s">
        <v>25</v>
      </c>
      <c r="F1616" s="35" t="s">
        <v>25</v>
      </c>
      <c r="G1616" s="35" t="s">
        <v>25</v>
      </c>
      <c r="H1616" s="35" t="s">
        <v>37</v>
      </c>
      <c r="I1616" s="45">
        <v>44562</v>
      </c>
      <c r="J1616" s="46">
        <f>EFEITO!$J$1616*EFEITO!$Y$1616</f>
        <v>0</v>
      </c>
      <c r="K1616" s="46">
        <f ca="1">EFEITO!$L$1616*EFEITO!$Z$1616</f>
        <v>-124.76165691259854</v>
      </c>
      <c r="L1616" s="46">
        <f>EFEITO!$N$1616*EFEITO!$AA$1616</f>
        <v>-69.760651487179359</v>
      </c>
      <c r="M1616" s="46">
        <f>$J$1616-EFEITO!$K$1616*EFEITO!$Y$1616</f>
        <v>0</v>
      </c>
      <c r="N1616" s="46">
        <f ca="1">$K$1616-EFEITO!$M$1616*EFEITO!$Z$1616</f>
        <v>0</v>
      </c>
      <c r="O1616" s="46">
        <f>$L$1616-EFEITO!$O$1616*EFEITO!$AA$1616</f>
        <v>0</v>
      </c>
      <c r="P1616" s="38"/>
      <c r="Q1616" s="38"/>
      <c r="R1616" s="38"/>
      <c r="S1616" s="38"/>
      <c r="T1616" s="38"/>
      <c r="U1616" s="38"/>
      <c r="V1616" s="38"/>
      <c r="W1616" s="38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</row>
    <row r="1617" spans="1:36" ht="11.25" customHeight="1" x14ac:dyDescent="0.2">
      <c r="A1617" s="35" t="s">
        <v>21</v>
      </c>
      <c r="B1617" s="35" t="s">
        <v>39</v>
      </c>
      <c r="C1617" s="35" t="s">
        <v>35</v>
      </c>
      <c r="D1617" s="35" t="s">
        <v>45</v>
      </c>
      <c r="E1617" s="35" t="s">
        <v>25</v>
      </c>
      <c r="F1617" s="35" t="s">
        <v>25</v>
      </c>
      <c r="G1617" s="35" t="s">
        <v>25</v>
      </c>
      <c r="H1617" s="35" t="s">
        <v>37</v>
      </c>
      <c r="I1617" s="45">
        <v>44593</v>
      </c>
      <c r="J1617" s="46">
        <f>EFEITO!$J$1617*EFEITO!$Y$1617</f>
        <v>0</v>
      </c>
      <c r="K1617" s="46">
        <f ca="1">EFEITO!$L$1617*EFEITO!$Z$1617</f>
        <v>29002.587554892343</v>
      </c>
      <c r="L1617" s="46">
        <f>EFEITO!$N$1617*EFEITO!$AA$1617</f>
        <v>16216.836588348817</v>
      </c>
      <c r="M1617" s="46">
        <f>$J$1617-EFEITO!$K$1617*EFEITO!$Y$1617</f>
        <v>0</v>
      </c>
      <c r="N1617" s="46">
        <f ca="1">$K$1617-EFEITO!$M$1617*EFEITO!$Z$1617</f>
        <v>0</v>
      </c>
      <c r="O1617" s="46">
        <f>$L$1617-EFEITO!$O$1617*EFEITO!$AA$1617</f>
        <v>0</v>
      </c>
      <c r="P1617" s="38"/>
      <c r="Q1617" s="38"/>
      <c r="R1617" s="38"/>
      <c r="S1617" s="38"/>
      <c r="T1617" s="38"/>
      <c r="U1617" s="38"/>
      <c r="V1617" s="38"/>
      <c r="W1617" s="38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</row>
    <row r="1618" spans="1:36" ht="11.25" customHeight="1" x14ac:dyDescent="0.2">
      <c r="A1618" s="35" t="s">
        <v>28</v>
      </c>
      <c r="B1618" s="35" t="s">
        <v>39</v>
      </c>
      <c r="C1618" s="35" t="s">
        <v>35</v>
      </c>
      <c r="D1618" s="35" t="s">
        <v>45</v>
      </c>
      <c r="E1618" s="35" t="s">
        <v>25</v>
      </c>
      <c r="F1618" s="35" t="s">
        <v>25</v>
      </c>
      <c r="G1618" s="35" t="s">
        <v>25</v>
      </c>
      <c r="H1618" s="35" t="s">
        <v>37</v>
      </c>
      <c r="I1618" s="45">
        <v>44593</v>
      </c>
      <c r="J1618" s="46">
        <f>EFEITO!$J$1618*EFEITO!$Y$1618</f>
        <v>0</v>
      </c>
      <c r="K1618" s="46">
        <f ca="1">EFEITO!$L$1618*EFEITO!$Z$1618</f>
        <v>4849.2783199351379</v>
      </c>
      <c r="L1618" s="46">
        <f>EFEITO!$N$1618*EFEITO!$AA$1618</f>
        <v>2711.4806200298958</v>
      </c>
      <c r="M1618" s="46">
        <f>$J$1618-EFEITO!$K$1618*EFEITO!$Y$1618</f>
        <v>0</v>
      </c>
      <c r="N1618" s="46">
        <f ca="1">$K$1618-EFEITO!$M$1618*EFEITO!$Z$1618</f>
        <v>0</v>
      </c>
      <c r="O1618" s="46">
        <f>$L$1618-EFEITO!$O$1618*EFEITO!$AA$1618</f>
        <v>0</v>
      </c>
      <c r="P1618" s="38"/>
      <c r="Q1618" s="38"/>
      <c r="R1618" s="38"/>
      <c r="S1618" s="38"/>
      <c r="T1618" s="38"/>
      <c r="U1618" s="38"/>
      <c r="V1618" s="38"/>
      <c r="W1618" s="38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</row>
    <row r="1619" spans="1:36" ht="11.25" customHeight="1" x14ac:dyDescent="0.2">
      <c r="A1619" s="35" t="s">
        <v>30</v>
      </c>
      <c r="B1619" s="35" t="s">
        <v>39</v>
      </c>
      <c r="C1619" s="35" t="s">
        <v>35</v>
      </c>
      <c r="D1619" s="35" t="s">
        <v>45</v>
      </c>
      <c r="E1619" s="35" t="s">
        <v>25</v>
      </c>
      <c r="F1619" s="35" t="s">
        <v>25</v>
      </c>
      <c r="G1619" s="35" t="s">
        <v>25</v>
      </c>
      <c r="H1619" s="35" t="s">
        <v>37</v>
      </c>
      <c r="I1619" s="45">
        <v>44593</v>
      </c>
      <c r="J1619" s="46">
        <f>EFEITO!$J$1619*EFEITO!$Y$1619</f>
        <v>0</v>
      </c>
      <c r="K1619" s="46">
        <f ca="1">EFEITO!$L$1619*EFEITO!$Z$1619</f>
        <v>321.87725278704886</v>
      </c>
      <c r="L1619" s="46">
        <f>EFEITO!$N$1619*EFEITO!$AA$1619</f>
        <v>179.97810712836554</v>
      </c>
      <c r="M1619" s="46">
        <f>$J$1619-EFEITO!$K$1619*EFEITO!$Y$1619</f>
        <v>0</v>
      </c>
      <c r="N1619" s="46">
        <f ca="1">$K$1619-EFEITO!$M$1619*EFEITO!$Z$1619</f>
        <v>0</v>
      </c>
      <c r="O1619" s="46">
        <f>$L$1619-EFEITO!$O$1619*EFEITO!$AA$1619</f>
        <v>0</v>
      </c>
      <c r="P1619" s="38"/>
      <c r="Q1619" s="38"/>
      <c r="R1619" s="38"/>
      <c r="S1619" s="38"/>
      <c r="T1619" s="38"/>
      <c r="U1619" s="38"/>
      <c r="V1619" s="38"/>
      <c r="W1619" s="38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</row>
    <row r="1620" spans="1:36" ht="11.25" customHeight="1" x14ac:dyDescent="0.2">
      <c r="A1620" s="35" t="s">
        <v>21</v>
      </c>
      <c r="B1620" s="35" t="s">
        <v>39</v>
      </c>
      <c r="C1620" s="35" t="s">
        <v>35</v>
      </c>
      <c r="D1620" s="35" t="s">
        <v>45</v>
      </c>
      <c r="E1620" s="35" t="s">
        <v>25</v>
      </c>
      <c r="F1620" s="35" t="s">
        <v>25</v>
      </c>
      <c r="G1620" s="35" t="s">
        <v>25</v>
      </c>
      <c r="H1620" s="35" t="s">
        <v>37</v>
      </c>
      <c r="I1620" s="45">
        <v>44621</v>
      </c>
      <c r="J1620" s="46">
        <f>EFEITO!$J$1620*EFEITO!$Y$1620</f>
        <v>0</v>
      </c>
      <c r="K1620" s="46">
        <f ca="1">EFEITO!$L$1620*EFEITO!$Z$1620</f>
        <v>31427.422266046291</v>
      </c>
      <c r="L1620" s="46">
        <f>EFEITO!$N$1620*EFEITO!$AA$1620</f>
        <v>17572.686241077692</v>
      </c>
      <c r="M1620" s="46">
        <f>$J$1620-EFEITO!$K$1620*EFEITO!$Y$1620</f>
        <v>0</v>
      </c>
      <c r="N1620" s="46">
        <f ca="1">$K$1620-EFEITO!$M$1620*EFEITO!$Z$1620</f>
        <v>0</v>
      </c>
      <c r="O1620" s="46">
        <f>$L$1620-EFEITO!$O$1620*EFEITO!$AA$1620</f>
        <v>0</v>
      </c>
      <c r="P1620" s="38"/>
      <c r="Q1620" s="38"/>
      <c r="R1620" s="38"/>
      <c r="S1620" s="38"/>
      <c r="T1620" s="38"/>
      <c r="U1620" s="38"/>
      <c r="V1620" s="38"/>
      <c r="W1620" s="38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</row>
    <row r="1621" spans="1:36" ht="11.25" customHeight="1" x14ac:dyDescent="0.2">
      <c r="A1621" s="35" t="s">
        <v>27</v>
      </c>
      <c r="B1621" s="35" t="s">
        <v>39</v>
      </c>
      <c r="C1621" s="35" t="s">
        <v>35</v>
      </c>
      <c r="D1621" s="35" t="s">
        <v>45</v>
      </c>
      <c r="E1621" s="35" t="s">
        <v>25</v>
      </c>
      <c r="F1621" s="35" t="s">
        <v>25</v>
      </c>
      <c r="G1621" s="35" t="s">
        <v>25</v>
      </c>
      <c r="H1621" s="35" t="s">
        <v>37</v>
      </c>
      <c r="I1621" s="45">
        <v>44621</v>
      </c>
      <c r="J1621" s="46">
        <f>EFEITO!$J$1621*EFEITO!$Y$1621</f>
        <v>0</v>
      </c>
      <c r="K1621" s="46">
        <f ca="1">EFEITO!$L$1621*EFEITO!$Z$1621</f>
        <v>208.45756468468659</v>
      </c>
      <c r="L1621" s="46">
        <f>EFEITO!$N$1621*EFEITO!$AA$1621</f>
        <v>116.55933304911159</v>
      </c>
      <c r="M1621" s="46">
        <f>$J$1621-EFEITO!$K$1621*EFEITO!$Y$1621</f>
        <v>0</v>
      </c>
      <c r="N1621" s="46">
        <f ca="1">$K$1621-EFEITO!$M$1621*EFEITO!$Z$1621</f>
        <v>0</v>
      </c>
      <c r="O1621" s="46">
        <f>$L$1621-EFEITO!$O$1621*EFEITO!$AA$1621</f>
        <v>0</v>
      </c>
      <c r="P1621" s="38"/>
      <c r="Q1621" s="38"/>
      <c r="R1621" s="38"/>
      <c r="S1621" s="38"/>
      <c r="T1621" s="38"/>
      <c r="U1621" s="38"/>
      <c r="V1621" s="38"/>
      <c r="W1621" s="38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</row>
    <row r="1622" spans="1:36" ht="11.25" customHeight="1" x14ac:dyDescent="0.2">
      <c r="A1622" s="35" t="s">
        <v>28</v>
      </c>
      <c r="B1622" s="35" t="s">
        <v>39</v>
      </c>
      <c r="C1622" s="35" t="s">
        <v>35</v>
      </c>
      <c r="D1622" s="35" t="s">
        <v>45</v>
      </c>
      <c r="E1622" s="35" t="s">
        <v>25</v>
      </c>
      <c r="F1622" s="35" t="s">
        <v>25</v>
      </c>
      <c r="G1622" s="35" t="s">
        <v>25</v>
      </c>
      <c r="H1622" s="35" t="s">
        <v>37</v>
      </c>
      <c r="I1622" s="45">
        <v>44621</v>
      </c>
      <c r="J1622" s="46">
        <f>EFEITO!$J$1622*EFEITO!$Y$1622</f>
        <v>0</v>
      </c>
      <c r="K1622" s="46">
        <f ca="1">EFEITO!$L$1622*EFEITO!$Z$1622</f>
        <v>4602.8838250920753</v>
      </c>
      <c r="L1622" s="46">
        <f>EFEITO!$N$1622*EFEITO!$AA$1622</f>
        <v>2573.7088004784132</v>
      </c>
      <c r="M1622" s="46">
        <f>$J$1622-EFEITO!$K$1622*EFEITO!$Y$1622</f>
        <v>0</v>
      </c>
      <c r="N1622" s="46">
        <f ca="1">$K$1622-EFEITO!$M$1622*EFEITO!$Z$1622</f>
        <v>0</v>
      </c>
      <c r="O1622" s="46">
        <f>$L$1622-EFEITO!$O$1622*EFEITO!$AA$1622</f>
        <v>0</v>
      </c>
      <c r="P1622" s="38"/>
      <c r="Q1622" s="38"/>
      <c r="R1622" s="38"/>
      <c r="S1622" s="38"/>
      <c r="T1622" s="38"/>
      <c r="U1622" s="38"/>
      <c r="V1622" s="38"/>
      <c r="W1622" s="38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</row>
    <row r="1623" spans="1:36" ht="11.25" customHeight="1" x14ac:dyDescent="0.2">
      <c r="A1623" s="35" t="s">
        <v>29</v>
      </c>
      <c r="B1623" s="35" t="s">
        <v>39</v>
      </c>
      <c r="C1623" s="35" t="s">
        <v>35</v>
      </c>
      <c r="D1623" s="35" t="s">
        <v>45</v>
      </c>
      <c r="E1623" s="35" t="s">
        <v>25</v>
      </c>
      <c r="F1623" s="35" t="s">
        <v>25</v>
      </c>
      <c r="G1623" s="35" t="s">
        <v>25</v>
      </c>
      <c r="H1623" s="35" t="s">
        <v>37</v>
      </c>
      <c r="I1623" s="45">
        <v>44621</v>
      </c>
      <c r="J1623" s="46">
        <f>EFEITO!$J$1623*EFEITO!$Y$1623</f>
        <v>0</v>
      </c>
      <c r="K1623" s="46">
        <f ca="1">EFEITO!$L$1623*EFEITO!$Z$1623</f>
        <v>1061.4518396890044</v>
      </c>
      <c r="L1623" s="46">
        <f>EFEITO!$N$1623*EFEITO!$AA$1623</f>
        <v>593.51225121067318</v>
      </c>
      <c r="M1623" s="46">
        <f>$J$1623-EFEITO!$K$1623*EFEITO!$Y$1623</f>
        <v>0</v>
      </c>
      <c r="N1623" s="46">
        <f ca="1">$K$1623-EFEITO!$M$1623*EFEITO!$Z$1623</f>
        <v>0</v>
      </c>
      <c r="O1623" s="46">
        <f>$L$1623-EFEITO!$O$1623*EFEITO!$AA$1623</f>
        <v>0</v>
      </c>
      <c r="P1623" s="38"/>
      <c r="Q1623" s="38"/>
      <c r="R1623" s="38"/>
      <c r="S1623" s="38"/>
      <c r="T1623" s="38"/>
      <c r="U1623" s="38"/>
      <c r="V1623" s="38"/>
      <c r="W1623" s="38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</row>
    <row r="1624" spans="1:36" ht="11.25" customHeight="1" x14ac:dyDescent="0.2">
      <c r="A1624" s="35" t="s">
        <v>30</v>
      </c>
      <c r="B1624" s="35" t="s">
        <v>39</v>
      </c>
      <c r="C1624" s="35" t="s">
        <v>35</v>
      </c>
      <c r="D1624" s="35" t="s">
        <v>45</v>
      </c>
      <c r="E1624" s="35" t="s">
        <v>25</v>
      </c>
      <c r="F1624" s="35" t="s">
        <v>25</v>
      </c>
      <c r="G1624" s="35" t="s">
        <v>25</v>
      </c>
      <c r="H1624" s="35" t="s">
        <v>37</v>
      </c>
      <c r="I1624" s="45">
        <v>44621</v>
      </c>
      <c r="J1624" s="46">
        <f>EFEITO!$J$1624*EFEITO!$Y$1624</f>
        <v>0</v>
      </c>
      <c r="K1624" s="46">
        <f ca="1">EFEITO!$L$1624*EFEITO!$Z$1624</f>
        <v>248.74110907966354</v>
      </c>
      <c r="L1624" s="46">
        <f>EFEITO!$N$1624*EFEITO!$AA$1624</f>
        <v>139.08393211863972</v>
      </c>
      <c r="M1624" s="46">
        <f>$J$1624-EFEITO!$K$1624*EFEITO!$Y$1624</f>
        <v>0</v>
      </c>
      <c r="N1624" s="46">
        <f ca="1">$K$1624-EFEITO!$M$1624*EFEITO!$Z$1624</f>
        <v>0</v>
      </c>
      <c r="O1624" s="46">
        <f>$L$1624-EFEITO!$O$1624*EFEITO!$AA$1624</f>
        <v>0</v>
      </c>
      <c r="P1624" s="38"/>
      <c r="Q1624" s="38"/>
      <c r="R1624" s="38"/>
      <c r="S1624" s="38"/>
      <c r="T1624" s="38"/>
      <c r="U1624" s="38"/>
      <c r="V1624" s="38"/>
      <c r="W1624" s="38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</row>
    <row r="1625" spans="1:36" ht="11.25" customHeight="1" x14ac:dyDescent="0.2">
      <c r="A1625" s="35" t="s">
        <v>21</v>
      </c>
      <c r="B1625" s="35" t="s">
        <v>39</v>
      </c>
      <c r="C1625" s="35" t="s">
        <v>35</v>
      </c>
      <c r="D1625" s="35" t="s">
        <v>45</v>
      </c>
      <c r="E1625" s="35" t="s">
        <v>25</v>
      </c>
      <c r="F1625" s="35" t="s">
        <v>25</v>
      </c>
      <c r="G1625" s="35" t="s">
        <v>25</v>
      </c>
      <c r="H1625" s="35" t="s">
        <v>37</v>
      </c>
      <c r="I1625" s="45">
        <v>44652</v>
      </c>
      <c r="J1625" s="46">
        <f>EFEITO!$J$1625*EFEITO!$Y$1625</f>
        <v>0</v>
      </c>
      <c r="K1625" s="46">
        <f ca="1">EFEITO!$L$1625*EFEITO!$Z$1625</f>
        <v>33531.161929158734</v>
      </c>
      <c r="L1625" s="46">
        <f>EFEITO!$N$1625*EFEITO!$AA$1625</f>
        <v>18748.995157533926</v>
      </c>
      <c r="M1625" s="46">
        <f>$J$1625-EFEITO!$K$1625*EFEITO!$Y$1625</f>
        <v>0</v>
      </c>
      <c r="N1625" s="46">
        <f ca="1">$K$1625-EFEITO!$M$1625*EFEITO!$Z$1625</f>
        <v>0</v>
      </c>
      <c r="O1625" s="46">
        <f>$L$1625-EFEITO!$O$1625*EFEITO!$AA$1625</f>
        <v>0</v>
      </c>
      <c r="P1625" s="38"/>
      <c r="Q1625" s="38"/>
      <c r="R1625" s="38"/>
      <c r="S1625" s="38"/>
      <c r="T1625" s="38"/>
      <c r="U1625" s="38"/>
      <c r="V1625" s="38"/>
      <c r="W1625" s="38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</row>
    <row r="1626" spans="1:36" ht="11.25" customHeight="1" x14ac:dyDescent="0.2">
      <c r="A1626" s="35" t="s">
        <v>28</v>
      </c>
      <c r="B1626" s="35" t="s">
        <v>39</v>
      </c>
      <c r="C1626" s="35" t="s">
        <v>35</v>
      </c>
      <c r="D1626" s="35" t="s">
        <v>45</v>
      </c>
      <c r="E1626" s="35" t="s">
        <v>25</v>
      </c>
      <c r="F1626" s="35" t="s">
        <v>25</v>
      </c>
      <c r="G1626" s="35" t="s">
        <v>25</v>
      </c>
      <c r="H1626" s="35" t="s">
        <v>37</v>
      </c>
      <c r="I1626" s="45">
        <v>44652</v>
      </c>
      <c r="J1626" s="46">
        <f>EFEITO!$J$1626*EFEITO!$Y$1626</f>
        <v>0</v>
      </c>
      <c r="K1626" s="46">
        <f ca="1">EFEITO!$L$1626*EFEITO!$Z$1626</f>
        <v>4959.1780866826002</v>
      </c>
      <c r="L1626" s="46">
        <f>EFEITO!$N$1626*EFEITO!$AA$1626</f>
        <v>2772.9312252584141</v>
      </c>
      <c r="M1626" s="46">
        <f>$J$1626-EFEITO!$K$1626*EFEITO!$Y$1626</f>
        <v>0</v>
      </c>
      <c r="N1626" s="46">
        <f ca="1">$K$1626-EFEITO!$M$1626*EFEITO!$Z$1626</f>
        <v>0</v>
      </c>
      <c r="O1626" s="46">
        <f>$L$1626-EFEITO!$O$1626*EFEITO!$AA$1626</f>
        <v>0</v>
      </c>
      <c r="P1626" s="38"/>
      <c r="Q1626" s="38"/>
      <c r="R1626" s="38"/>
      <c r="S1626" s="38"/>
      <c r="T1626" s="38"/>
      <c r="U1626" s="38"/>
      <c r="V1626" s="38"/>
      <c r="W1626" s="38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</row>
    <row r="1627" spans="1:36" ht="11.25" customHeight="1" x14ac:dyDescent="0.2">
      <c r="A1627" s="35" t="s">
        <v>30</v>
      </c>
      <c r="B1627" s="35" t="s">
        <v>39</v>
      </c>
      <c r="C1627" s="35" t="s">
        <v>35</v>
      </c>
      <c r="D1627" s="35" t="s">
        <v>45</v>
      </c>
      <c r="E1627" s="35" t="s">
        <v>25</v>
      </c>
      <c r="F1627" s="35" t="s">
        <v>25</v>
      </c>
      <c r="G1627" s="35" t="s">
        <v>25</v>
      </c>
      <c r="H1627" s="35" t="s">
        <v>37</v>
      </c>
      <c r="I1627" s="45">
        <v>44652</v>
      </c>
      <c r="J1627" s="46">
        <f>EFEITO!$J$1627*EFEITO!$Y$1627</f>
        <v>0</v>
      </c>
      <c r="K1627" s="46">
        <f ca="1">EFEITO!$L$1627*EFEITO!$Z$1627</f>
        <v>547.54332187347313</v>
      </c>
      <c r="L1627" s="46">
        <f>EFEITO!$N$1627*EFEITO!$AA$1627</f>
        <v>306.15959900329494</v>
      </c>
      <c r="M1627" s="46">
        <f>$J$1627-EFEITO!$K$1627*EFEITO!$Y$1627</f>
        <v>0</v>
      </c>
      <c r="N1627" s="46">
        <f ca="1">$K$1627-EFEITO!$M$1627*EFEITO!$Z$1627</f>
        <v>0</v>
      </c>
      <c r="O1627" s="46">
        <f>$L$1627-EFEITO!$O$1627*EFEITO!$AA$1627</f>
        <v>0</v>
      </c>
      <c r="P1627" s="38"/>
      <c r="Q1627" s="38"/>
      <c r="R1627" s="38"/>
      <c r="S1627" s="38"/>
      <c r="T1627" s="38"/>
      <c r="U1627" s="38"/>
      <c r="V1627" s="38"/>
      <c r="W1627" s="38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</row>
    <row r="1628" spans="1:36" ht="11.25" customHeight="1" x14ac:dyDescent="0.2">
      <c r="A1628" s="35" t="s">
        <v>21</v>
      </c>
      <c r="B1628" s="35" t="s">
        <v>39</v>
      </c>
      <c r="C1628" s="35" t="s">
        <v>35</v>
      </c>
      <c r="D1628" s="35" t="s">
        <v>45</v>
      </c>
      <c r="E1628" s="35" t="s">
        <v>25</v>
      </c>
      <c r="F1628" s="35" t="s">
        <v>25</v>
      </c>
      <c r="G1628" s="35" t="s">
        <v>25</v>
      </c>
      <c r="H1628" s="35" t="s">
        <v>37</v>
      </c>
      <c r="I1628" s="45">
        <v>44682</v>
      </c>
      <c r="J1628" s="46">
        <f>EFEITO!$J$1628*EFEITO!$Y$1628</f>
        <v>0</v>
      </c>
      <c r="K1628" s="46">
        <f ca="1">EFEITO!$L$1628*EFEITO!$Z$1628</f>
        <v>32752.868207352869</v>
      </c>
      <c r="L1628" s="46">
        <f>EFEITO!$N$1628*EFEITO!$AA$1628</f>
        <v>18313.811156093529</v>
      </c>
      <c r="M1628" s="46">
        <f>$J$1628-EFEITO!$K$1628*EFEITO!$Y$1628</f>
        <v>0</v>
      </c>
      <c r="N1628" s="46">
        <f ca="1">$K$1628-EFEITO!$M$1628*EFEITO!$Z$1628</f>
        <v>0</v>
      </c>
      <c r="O1628" s="46">
        <f>$L$1628-EFEITO!$O$1628*EFEITO!$AA$1628</f>
        <v>0</v>
      </c>
      <c r="P1628" s="38"/>
      <c r="Q1628" s="38"/>
      <c r="R1628" s="38"/>
      <c r="S1628" s="38"/>
      <c r="T1628" s="38"/>
      <c r="U1628" s="38"/>
      <c r="V1628" s="38"/>
      <c r="W1628" s="38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</row>
    <row r="1629" spans="1:36" ht="11.25" customHeight="1" x14ac:dyDescent="0.2">
      <c r="A1629" s="35" t="s">
        <v>28</v>
      </c>
      <c r="B1629" s="35" t="s">
        <v>39</v>
      </c>
      <c r="C1629" s="35" t="s">
        <v>35</v>
      </c>
      <c r="D1629" s="35" t="s">
        <v>45</v>
      </c>
      <c r="E1629" s="35" t="s">
        <v>25</v>
      </c>
      <c r="F1629" s="35" t="s">
        <v>25</v>
      </c>
      <c r="G1629" s="35" t="s">
        <v>25</v>
      </c>
      <c r="H1629" s="35" t="s">
        <v>37</v>
      </c>
      <c r="I1629" s="45">
        <v>44682</v>
      </c>
      <c r="J1629" s="46">
        <f>EFEITO!$J$1629*EFEITO!$Y$1629</f>
        <v>0</v>
      </c>
      <c r="K1629" s="46">
        <f ca="1">EFEITO!$L$1629*EFEITO!$Z$1629</f>
        <v>5019.7989544614493</v>
      </c>
      <c r="L1629" s="46">
        <f>EFEITO!$N$1629*EFEITO!$AA$1629</f>
        <v>2806.8274665766367</v>
      </c>
      <c r="M1629" s="46">
        <f>$J$1629-EFEITO!$K$1629*EFEITO!$Y$1629</f>
        <v>0</v>
      </c>
      <c r="N1629" s="46">
        <f ca="1">$K$1629-EFEITO!$M$1629*EFEITO!$Z$1629</f>
        <v>0</v>
      </c>
      <c r="O1629" s="46">
        <f>$L$1629-EFEITO!$O$1629*EFEITO!$AA$1629</f>
        <v>0</v>
      </c>
      <c r="P1629" s="38"/>
      <c r="Q1629" s="38"/>
      <c r="R1629" s="38"/>
      <c r="S1629" s="38"/>
      <c r="T1629" s="38"/>
      <c r="U1629" s="38"/>
      <c r="V1629" s="38"/>
      <c r="W1629" s="38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</row>
    <row r="1630" spans="1:36" ht="11.25" customHeight="1" x14ac:dyDescent="0.2">
      <c r="A1630" s="35" t="s">
        <v>29</v>
      </c>
      <c r="B1630" s="35" t="s">
        <v>39</v>
      </c>
      <c r="C1630" s="35" t="s">
        <v>35</v>
      </c>
      <c r="D1630" s="35" t="s">
        <v>45</v>
      </c>
      <c r="E1630" s="35" t="s">
        <v>25</v>
      </c>
      <c r="F1630" s="35" t="s">
        <v>25</v>
      </c>
      <c r="G1630" s="35" t="s">
        <v>25</v>
      </c>
      <c r="H1630" s="35" t="s">
        <v>37</v>
      </c>
      <c r="I1630" s="45">
        <v>44682</v>
      </c>
      <c r="J1630" s="46">
        <f>EFEITO!$J$1630*EFEITO!$Y$1630</f>
        <v>0</v>
      </c>
      <c r="K1630" s="46">
        <f ca="1">EFEITO!$L$1630*EFEITO!$Z$1630</f>
        <v>238.96354976049437</v>
      </c>
      <c r="L1630" s="46">
        <f>EFEITO!$N$1630*EFEITO!$AA$1630</f>
        <v>133.61679642215231</v>
      </c>
      <c r="M1630" s="46">
        <f>$J$1630-EFEITO!$K$1630*EFEITO!$Y$1630</f>
        <v>0</v>
      </c>
      <c r="N1630" s="46">
        <f ca="1">$K$1630-EFEITO!$M$1630*EFEITO!$Z$1630</f>
        <v>0</v>
      </c>
      <c r="O1630" s="46">
        <f>$L$1630-EFEITO!$O$1630*EFEITO!$AA$1630</f>
        <v>0</v>
      </c>
      <c r="P1630" s="38"/>
      <c r="Q1630" s="38"/>
      <c r="R1630" s="38"/>
      <c r="S1630" s="38"/>
      <c r="T1630" s="38"/>
      <c r="U1630" s="38"/>
      <c r="V1630" s="38"/>
      <c r="W1630" s="38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</row>
    <row r="1631" spans="1:36" ht="11.25" customHeight="1" x14ac:dyDescent="0.2">
      <c r="A1631" s="35" t="s">
        <v>30</v>
      </c>
      <c r="B1631" s="35" t="s">
        <v>39</v>
      </c>
      <c r="C1631" s="35" t="s">
        <v>35</v>
      </c>
      <c r="D1631" s="35" t="s">
        <v>45</v>
      </c>
      <c r="E1631" s="35" t="s">
        <v>25</v>
      </c>
      <c r="F1631" s="35" t="s">
        <v>25</v>
      </c>
      <c r="G1631" s="35" t="s">
        <v>25</v>
      </c>
      <c r="H1631" s="35" t="s">
        <v>37</v>
      </c>
      <c r="I1631" s="45">
        <v>44682</v>
      </c>
      <c r="J1631" s="46">
        <f>EFEITO!$J$1631*EFEITO!$Y$1631</f>
        <v>0</v>
      </c>
      <c r="K1631" s="46">
        <f ca="1">EFEITO!$L$1631*EFEITO!$Z$1631</f>
        <v>476.75379240268848</v>
      </c>
      <c r="L1631" s="46">
        <f>EFEITO!$N$1631*EFEITO!$AA$1631</f>
        <v>266.57753656072612</v>
      </c>
      <c r="M1631" s="46">
        <f>$J$1631-EFEITO!$K$1631*EFEITO!$Y$1631</f>
        <v>0</v>
      </c>
      <c r="N1631" s="46">
        <f ca="1">$K$1631-EFEITO!$M$1631*EFEITO!$Z$1631</f>
        <v>0</v>
      </c>
      <c r="O1631" s="46">
        <f>$L$1631-EFEITO!$O$1631*EFEITO!$AA$1631</f>
        <v>0</v>
      </c>
      <c r="P1631" s="38"/>
      <c r="Q1631" s="38"/>
      <c r="R1631" s="38"/>
      <c r="S1631" s="38"/>
      <c r="T1631" s="38"/>
      <c r="U1631" s="38"/>
      <c r="V1631" s="38"/>
      <c r="W1631" s="38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</row>
    <row r="1632" spans="1:36" ht="11.25" customHeight="1" x14ac:dyDescent="0.2">
      <c r="A1632" s="35" t="s">
        <v>21</v>
      </c>
      <c r="B1632" s="35" t="s">
        <v>39</v>
      </c>
      <c r="C1632" s="35" t="s">
        <v>35</v>
      </c>
      <c r="D1632" s="35" t="s">
        <v>45</v>
      </c>
      <c r="E1632" s="35" t="s">
        <v>25</v>
      </c>
      <c r="F1632" s="35" t="s">
        <v>25</v>
      </c>
      <c r="G1632" s="35" t="s">
        <v>25</v>
      </c>
      <c r="H1632" s="35" t="s">
        <v>37</v>
      </c>
      <c r="I1632" s="45">
        <v>44713</v>
      </c>
      <c r="J1632" s="46">
        <f>EFEITO!$J$1632*EFEITO!$Y$1632</f>
        <v>0</v>
      </c>
      <c r="K1632" s="46">
        <f ca="1">EFEITO!$L$1632*EFEITO!$Z$1632</f>
        <v>30845.461935369345</v>
      </c>
      <c r="L1632" s="46">
        <f>EFEITO!$N$1632*EFEITO!$AA$1632</f>
        <v>17247.282324422762</v>
      </c>
      <c r="M1632" s="46">
        <f>$J$1632-EFEITO!$K$1632*EFEITO!$Y$1632</f>
        <v>0</v>
      </c>
      <c r="N1632" s="46">
        <f ca="1">$K$1632-EFEITO!$M$1632*EFEITO!$Z$1632</f>
        <v>0</v>
      </c>
      <c r="O1632" s="46">
        <f>$L$1632-EFEITO!$O$1632*EFEITO!$AA$1632</f>
        <v>0</v>
      </c>
      <c r="P1632" s="38"/>
      <c r="Q1632" s="38"/>
      <c r="R1632" s="38"/>
      <c r="S1632" s="38"/>
      <c r="T1632" s="38"/>
      <c r="U1632" s="38"/>
      <c r="V1632" s="38"/>
      <c r="W1632" s="38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</row>
    <row r="1633" spans="1:36" ht="11.25" customHeight="1" x14ac:dyDescent="0.2">
      <c r="A1633" s="35" t="s">
        <v>28</v>
      </c>
      <c r="B1633" s="35" t="s">
        <v>39</v>
      </c>
      <c r="C1633" s="35" t="s">
        <v>35</v>
      </c>
      <c r="D1633" s="35" t="s">
        <v>45</v>
      </c>
      <c r="E1633" s="35" t="s">
        <v>25</v>
      </c>
      <c r="F1633" s="35" t="s">
        <v>25</v>
      </c>
      <c r="G1633" s="35" t="s">
        <v>25</v>
      </c>
      <c r="H1633" s="35" t="s">
        <v>37</v>
      </c>
      <c r="I1633" s="45">
        <v>44713</v>
      </c>
      <c r="J1633" s="46">
        <f>EFEITO!$J$1633*EFEITO!$Y$1633</f>
        <v>0</v>
      </c>
      <c r="K1633" s="46">
        <f ca="1">EFEITO!$L$1633*EFEITO!$Z$1633</f>
        <v>4811.7324921495292</v>
      </c>
      <c r="L1633" s="46">
        <f>EFEITO!$N$1633*EFEITO!$AA$1633</f>
        <v>2690.4868189553845</v>
      </c>
      <c r="M1633" s="46">
        <f>$J$1633-EFEITO!$K$1633*EFEITO!$Y$1633</f>
        <v>0</v>
      </c>
      <c r="N1633" s="46">
        <f ca="1">$K$1633-EFEITO!$M$1633*EFEITO!$Z$1633</f>
        <v>0</v>
      </c>
      <c r="O1633" s="46">
        <f>$L$1633-EFEITO!$O$1633*EFEITO!$AA$1633</f>
        <v>0</v>
      </c>
      <c r="P1633" s="38"/>
      <c r="Q1633" s="38"/>
      <c r="R1633" s="38"/>
      <c r="S1633" s="38"/>
      <c r="T1633" s="38"/>
      <c r="U1633" s="38"/>
      <c r="V1633" s="38"/>
      <c r="W1633" s="38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</row>
    <row r="1634" spans="1:36" ht="11.25" customHeight="1" x14ac:dyDescent="0.2">
      <c r="A1634" s="35" t="s">
        <v>21</v>
      </c>
      <c r="B1634" s="35" t="s">
        <v>39</v>
      </c>
      <c r="C1634" s="35" t="s">
        <v>35</v>
      </c>
      <c r="D1634" s="35" t="s">
        <v>45</v>
      </c>
      <c r="E1634" s="35" t="s">
        <v>25</v>
      </c>
      <c r="F1634" s="35" t="s">
        <v>25</v>
      </c>
      <c r="G1634" s="35" t="s">
        <v>25</v>
      </c>
      <c r="H1634" s="35" t="s">
        <v>37</v>
      </c>
      <c r="I1634" s="45">
        <v>44743</v>
      </c>
      <c r="J1634" s="46">
        <f>EFEITO!$J$1634*EFEITO!$Y$1634</f>
        <v>0</v>
      </c>
      <c r="K1634" s="46">
        <f ca="1">EFEITO!$L$1634*EFEITO!$Z$1634</f>
        <v>35952.476718957783</v>
      </c>
      <c r="L1634" s="46">
        <f>EFEITO!$N$1634*EFEITO!$AA$1634</f>
        <v>20102.876641412066</v>
      </c>
      <c r="M1634" s="46">
        <f>$J$1634-EFEITO!$K$1634*EFEITO!$Y$1634</f>
        <v>0</v>
      </c>
      <c r="N1634" s="46">
        <f ca="1">$K$1634-EFEITO!$M$1634*EFEITO!$Z$1634</f>
        <v>0</v>
      </c>
      <c r="O1634" s="46">
        <f>$L$1634-EFEITO!$O$1634*EFEITO!$AA$1634</f>
        <v>0</v>
      </c>
      <c r="P1634" s="38"/>
      <c r="Q1634" s="38"/>
      <c r="R1634" s="38"/>
      <c r="S1634" s="38"/>
      <c r="T1634" s="38"/>
      <c r="U1634" s="38"/>
      <c r="V1634" s="38"/>
      <c r="W1634" s="38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</row>
    <row r="1635" spans="1:36" ht="11.25" customHeight="1" x14ac:dyDescent="0.2">
      <c r="A1635" s="35" t="s">
        <v>27</v>
      </c>
      <c r="B1635" s="35" t="s">
        <v>39</v>
      </c>
      <c r="C1635" s="35" t="s">
        <v>35</v>
      </c>
      <c r="D1635" s="35" t="s">
        <v>45</v>
      </c>
      <c r="E1635" s="35" t="s">
        <v>25</v>
      </c>
      <c r="F1635" s="35" t="s">
        <v>25</v>
      </c>
      <c r="G1635" s="35" t="s">
        <v>25</v>
      </c>
      <c r="H1635" s="35" t="s">
        <v>37</v>
      </c>
      <c r="I1635" s="45">
        <v>44743</v>
      </c>
      <c r="J1635" s="46">
        <f>EFEITO!$J$1635*EFEITO!$Y$1635</f>
        <v>0</v>
      </c>
      <c r="K1635" s="46">
        <f ca="1">EFEITO!$L$1635*EFEITO!$Z$1635</f>
        <v>674.26049064990559</v>
      </c>
      <c r="L1635" s="46">
        <f>EFEITO!$N$1635*EFEITO!$AA$1635</f>
        <v>377.01367762977179</v>
      </c>
      <c r="M1635" s="46">
        <f>$J$1635-EFEITO!$K$1635*EFEITO!$Y$1635</f>
        <v>0</v>
      </c>
      <c r="N1635" s="46">
        <f ca="1">$K$1635-EFEITO!$M$1635*EFEITO!$Z$1635</f>
        <v>0</v>
      </c>
      <c r="O1635" s="46">
        <f>$L$1635-EFEITO!$O$1635*EFEITO!$AA$1635</f>
        <v>0</v>
      </c>
      <c r="P1635" s="38"/>
      <c r="Q1635" s="38"/>
      <c r="R1635" s="38"/>
      <c r="S1635" s="38"/>
      <c r="T1635" s="38"/>
      <c r="U1635" s="38"/>
      <c r="V1635" s="38"/>
      <c r="W1635" s="38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</row>
    <row r="1636" spans="1:36" ht="11.25" customHeight="1" x14ac:dyDescent="0.2">
      <c r="A1636" s="35" t="s">
        <v>28</v>
      </c>
      <c r="B1636" s="35" t="s">
        <v>39</v>
      </c>
      <c r="C1636" s="35" t="s">
        <v>35</v>
      </c>
      <c r="D1636" s="35" t="s">
        <v>45</v>
      </c>
      <c r="E1636" s="35" t="s">
        <v>25</v>
      </c>
      <c r="F1636" s="35" t="s">
        <v>25</v>
      </c>
      <c r="G1636" s="35" t="s">
        <v>25</v>
      </c>
      <c r="H1636" s="35" t="s">
        <v>37</v>
      </c>
      <c r="I1636" s="45">
        <v>44743</v>
      </c>
      <c r="J1636" s="46">
        <f>EFEITO!$J$1636*EFEITO!$Y$1636</f>
        <v>0</v>
      </c>
      <c r="K1636" s="46">
        <f ca="1">EFEITO!$L$1636*EFEITO!$Z$1636</f>
        <v>5474.259911616432</v>
      </c>
      <c r="L1636" s="46">
        <f>EFEITO!$N$1636*EFEITO!$AA$1636</f>
        <v>3060.939933749371</v>
      </c>
      <c r="M1636" s="46">
        <f>$J$1636-EFEITO!$K$1636*EFEITO!$Y$1636</f>
        <v>0</v>
      </c>
      <c r="N1636" s="46">
        <f ca="1">$K$1636-EFEITO!$M$1636*EFEITO!$Z$1636</f>
        <v>0</v>
      </c>
      <c r="O1636" s="46">
        <f>$L$1636-EFEITO!$O$1636*EFEITO!$AA$1636</f>
        <v>0</v>
      </c>
      <c r="P1636" s="38"/>
      <c r="Q1636" s="38"/>
      <c r="R1636" s="38"/>
      <c r="S1636" s="38"/>
      <c r="T1636" s="38"/>
      <c r="U1636" s="38"/>
      <c r="V1636" s="38"/>
      <c r="W1636" s="38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</row>
    <row r="1637" spans="1:36" ht="11.25" customHeight="1" x14ac:dyDescent="0.2">
      <c r="A1637" s="35" t="s">
        <v>30</v>
      </c>
      <c r="B1637" s="35" t="s">
        <v>39</v>
      </c>
      <c r="C1637" s="35" t="s">
        <v>35</v>
      </c>
      <c r="D1637" s="35" t="s">
        <v>45</v>
      </c>
      <c r="E1637" s="35" t="s">
        <v>25</v>
      </c>
      <c r="F1637" s="35" t="s">
        <v>25</v>
      </c>
      <c r="G1637" s="35" t="s">
        <v>25</v>
      </c>
      <c r="H1637" s="35" t="s">
        <v>37</v>
      </c>
      <c r="I1637" s="45">
        <v>44743</v>
      </c>
      <c r="J1637" s="46">
        <f>EFEITO!$J$1637*EFEITO!$Y$1637</f>
        <v>0</v>
      </c>
      <c r="K1637" s="46">
        <f ca="1">EFEITO!$L$1637*EFEITO!$Z$1637</f>
        <v>1144.3655427155591</v>
      </c>
      <c r="L1637" s="46">
        <f>EFEITO!$N$1637*EFEITO!$AA$1637</f>
        <v>639.8735619168865</v>
      </c>
      <c r="M1637" s="46">
        <f>$J$1637-EFEITO!$K$1637*EFEITO!$Y$1637</f>
        <v>0</v>
      </c>
      <c r="N1637" s="46">
        <f ca="1">$K$1637-EFEITO!$M$1637*EFEITO!$Z$1637</f>
        <v>0</v>
      </c>
      <c r="O1637" s="46">
        <f>$L$1637-EFEITO!$O$1637*EFEITO!$AA$1637</f>
        <v>0</v>
      </c>
      <c r="P1637" s="38"/>
      <c r="Q1637" s="38"/>
      <c r="R1637" s="38"/>
      <c r="S1637" s="38"/>
      <c r="T1637" s="38"/>
      <c r="U1637" s="38"/>
      <c r="V1637" s="38"/>
      <c r="W1637" s="38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</row>
    <row r="1638" spans="1:36" ht="11.25" customHeight="1" x14ac:dyDescent="0.2">
      <c r="A1638" s="35" t="s">
        <v>21</v>
      </c>
      <c r="B1638" s="35" t="s">
        <v>39</v>
      </c>
      <c r="C1638" s="35" t="s">
        <v>35</v>
      </c>
      <c r="D1638" s="35" t="s">
        <v>45</v>
      </c>
      <c r="E1638" s="35" t="s">
        <v>25</v>
      </c>
      <c r="F1638" s="35" t="s">
        <v>25</v>
      </c>
      <c r="G1638" s="35" t="s">
        <v>25</v>
      </c>
      <c r="H1638" s="35" t="s">
        <v>37</v>
      </c>
      <c r="I1638" s="45">
        <v>44774</v>
      </c>
      <c r="J1638" s="46">
        <f>EFEITO!$J$1638*EFEITO!$Y$1638</f>
        <v>0</v>
      </c>
      <c r="K1638" s="46">
        <f ca="1">EFEITO!$L$1638*EFEITO!$Z$1638</f>
        <v>35463.989855372092</v>
      </c>
      <c r="L1638" s="46">
        <f>EFEITO!$N$1638*EFEITO!$AA$1638</f>
        <v>19829.738542015555</v>
      </c>
      <c r="M1638" s="46">
        <f>$J$1638-EFEITO!$K$1638*EFEITO!$Y$1638</f>
        <v>0</v>
      </c>
      <c r="N1638" s="46">
        <f ca="1">$K$1638-EFEITO!$M$1638*EFEITO!$Z$1638</f>
        <v>0</v>
      </c>
      <c r="O1638" s="46">
        <f>$L$1638-EFEITO!$O$1638*EFEITO!$AA$1638</f>
        <v>0</v>
      </c>
      <c r="P1638" s="38"/>
      <c r="Q1638" s="38"/>
      <c r="R1638" s="38"/>
      <c r="S1638" s="38"/>
      <c r="T1638" s="38"/>
      <c r="U1638" s="38"/>
      <c r="V1638" s="38"/>
      <c r="W1638" s="38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</row>
    <row r="1639" spans="1:36" ht="11.25" customHeight="1" x14ac:dyDescent="0.2">
      <c r="A1639" s="35" t="s">
        <v>27</v>
      </c>
      <c r="B1639" s="35" t="s">
        <v>39</v>
      </c>
      <c r="C1639" s="35" t="s">
        <v>35</v>
      </c>
      <c r="D1639" s="35" t="s">
        <v>45</v>
      </c>
      <c r="E1639" s="35" t="s">
        <v>25</v>
      </c>
      <c r="F1639" s="35" t="s">
        <v>25</v>
      </c>
      <c r="G1639" s="35" t="s">
        <v>25</v>
      </c>
      <c r="H1639" s="35" t="s">
        <v>37</v>
      </c>
      <c r="I1639" s="45">
        <v>44774</v>
      </c>
      <c r="J1639" s="46">
        <f>EFEITO!$J$1639*EFEITO!$Y$1639</f>
        <v>0</v>
      </c>
      <c r="K1639" s="46">
        <f ca="1">EFEITO!$L$1639*EFEITO!$Z$1639</f>
        <v>-21.510630502172162</v>
      </c>
      <c r="L1639" s="46">
        <f>EFEITO!$N$1639*EFEITO!$AA$1639</f>
        <v>-12.027698532272302</v>
      </c>
      <c r="M1639" s="46">
        <f>$J$1639-EFEITO!$K$1639*EFEITO!$Y$1639</f>
        <v>0</v>
      </c>
      <c r="N1639" s="46">
        <f ca="1">$K$1639-EFEITO!$M$1639*EFEITO!$Z$1639</f>
        <v>0</v>
      </c>
      <c r="O1639" s="46">
        <f>$L$1639-EFEITO!$O$1639*EFEITO!$AA$1639</f>
        <v>0</v>
      </c>
      <c r="P1639" s="38"/>
      <c r="Q1639" s="38"/>
      <c r="R1639" s="38"/>
      <c r="S1639" s="38"/>
      <c r="T1639" s="38"/>
      <c r="U1639" s="38"/>
      <c r="V1639" s="38"/>
      <c r="W1639" s="38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</row>
    <row r="1640" spans="1:36" ht="11.25" customHeight="1" x14ac:dyDescent="0.2">
      <c r="A1640" s="35" t="s">
        <v>28</v>
      </c>
      <c r="B1640" s="35" t="s">
        <v>39</v>
      </c>
      <c r="C1640" s="35" t="s">
        <v>35</v>
      </c>
      <c r="D1640" s="35" t="s">
        <v>45</v>
      </c>
      <c r="E1640" s="35" t="s">
        <v>25</v>
      </c>
      <c r="F1640" s="35" t="s">
        <v>25</v>
      </c>
      <c r="G1640" s="35" t="s">
        <v>25</v>
      </c>
      <c r="H1640" s="35" t="s">
        <v>37</v>
      </c>
      <c r="I1640" s="45">
        <v>44774</v>
      </c>
      <c r="J1640" s="46">
        <f>EFEITO!$J$1640*EFEITO!$Y$1640</f>
        <v>0</v>
      </c>
      <c r="K1640" s="46">
        <f ca="1">EFEITO!$L$1640*EFEITO!$Z$1640</f>
        <v>5462.1357380606614</v>
      </c>
      <c r="L1640" s="46">
        <f>EFEITO!$N$1640*EFEITO!$AA$1640</f>
        <v>3054.1606854857264</v>
      </c>
      <c r="M1640" s="46">
        <f>$J$1640-EFEITO!$K$1640*EFEITO!$Y$1640</f>
        <v>0</v>
      </c>
      <c r="N1640" s="46">
        <f ca="1">$K$1640-EFEITO!$M$1640*EFEITO!$Z$1640</f>
        <v>0</v>
      </c>
      <c r="O1640" s="46">
        <f>$L$1640-EFEITO!$O$1640*EFEITO!$AA$1640</f>
        <v>0</v>
      </c>
      <c r="P1640" s="38"/>
      <c r="Q1640" s="38"/>
      <c r="R1640" s="38"/>
      <c r="S1640" s="38"/>
      <c r="T1640" s="38"/>
      <c r="U1640" s="38"/>
      <c r="V1640" s="38"/>
      <c r="W1640" s="38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</row>
    <row r="1641" spans="1:36" ht="11.25" customHeight="1" x14ac:dyDescent="0.2">
      <c r="A1641" s="35" t="s">
        <v>30</v>
      </c>
      <c r="B1641" s="35" t="s">
        <v>39</v>
      </c>
      <c r="C1641" s="35" t="s">
        <v>35</v>
      </c>
      <c r="D1641" s="35" t="s">
        <v>45</v>
      </c>
      <c r="E1641" s="35" t="s">
        <v>25</v>
      </c>
      <c r="F1641" s="35" t="s">
        <v>25</v>
      </c>
      <c r="G1641" s="35" t="s">
        <v>25</v>
      </c>
      <c r="H1641" s="35" t="s">
        <v>37</v>
      </c>
      <c r="I1641" s="45">
        <v>44774</v>
      </c>
      <c r="J1641" s="46">
        <f>EFEITO!$J$1641*EFEITO!$Y$1641</f>
        <v>0</v>
      </c>
      <c r="K1641" s="46">
        <f ca="1">EFEITO!$L$1641*EFEITO!$Z$1641</f>
        <v>621.85277269915889</v>
      </c>
      <c r="L1641" s="46">
        <f>EFEITO!$N$1641*EFEITO!$AA$1641</f>
        <v>347.70983029659931</v>
      </c>
      <c r="M1641" s="46">
        <f>$J$1641-EFEITO!$K$1641*EFEITO!$Y$1641</f>
        <v>0</v>
      </c>
      <c r="N1641" s="46">
        <f ca="1">$K$1641-EFEITO!$M$1641*EFEITO!$Z$1641</f>
        <v>0</v>
      </c>
      <c r="O1641" s="46">
        <f>$L$1641-EFEITO!$O$1641*EFEITO!$AA$1641</f>
        <v>0</v>
      </c>
      <c r="P1641" s="38"/>
      <c r="Q1641" s="38"/>
      <c r="R1641" s="38"/>
      <c r="S1641" s="38"/>
      <c r="T1641" s="38"/>
      <c r="U1641" s="38"/>
      <c r="V1641" s="38"/>
      <c r="W1641" s="38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</row>
    <row r="1642" spans="1:36" ht="11.25" customHeight="1" x14ac:dyDescent="0.2">
      <c r="A1642" s="35" t="s">
        <v>21</v>
      </c>
      <c r="B1642" s="35" t="s">
        <v>39</v>
      </c>
      <c r="C1642" s="35" t="s">
        <v>35</v>
      </c>
      <c r="D1642" s="35" t="s">
        <v>45</v>
      </c>
      <c r="E1642" s="35" t="s">
        <v>25</v>
      </c>
      <c r="F1642" s="35" t="s">
        <v>25</v>
      </c>
      <c r="G1642" s="35" t="s">
        <v>25</v>
      </c>
      <c r="H1642" s="35" t="s">
        <v>37</v>
      </c>
      <c r="I1642" s="45">
        <v>44805</v>
      </c>
      <c r="J1642" s="46">
        <f>EFEITO!$J$1642*EFEITO!$Y$1642</f>
        <v>0</v>
      </c>
      <c r="K1642" s="46">
        <f ca="1">EFEITO!$L$1642*EFEITO!$Z$1642</f>
        <v>35166.752052069351</v>
      </c>
      <c r="L1642" s="46">
        <f>EFEITO!$N$1642*EFEITO!$AA$1642</f>
        <v>19663.537616842339</v>
      </c>
      <c r="M1642" s="46">
        <f>$J$1642-EFEITO!$K$1642*EFEITO!$Y$1642</f>
        <v>0</v>
      </c>
      <c r="N1642" s="46">
        <f ca="1">$K$1642-EFEITO!$M$1642*EFEITO!$Z$1642</f>
        <v>0</v>
      </c>
      <c r="O1642" s="46">
        <f>$L$1642-EFEITO!$O$1642*EFEITO!$AA$1642</f>
        <v>0</v>
      </c>
      <c r="P1642" s="38"/>
      <c r="Q1642" s="38"/>
      <c r="R1642" s="38"/>
      <c r="S1642" s="38"/>
      <c r="T1642" s="38"/>
      <c r="U1642" s="38"/>
      <c r="V1642" s="38"/>
      <c r="W1642" s="38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</row>
    <row r="1643" spans="1:36" ht="11.25" customHeight="1" x14ac:dyDescent="0.2">
      <c r="A1643" s="35" t="s">
        <v>27</v>
      </c>
      <c r="B1643" s="35" t="s">
        <v>39</v>
      </c>
      <c r="C1643" s="35" t="s">
        <v>35</v>
      </c>
      <c r="D1643" s="35" t="s">
        <v>45</v>
      </c>
      <c r="E1643" s="35" t="s">
        <v>25</v>
      </c>
      <c r="F1643" s="35" t="s">
        <v>25</v>
      </c>
      <c r="G1643" s="35" t="s">
        <v>25</v>
      </c>
      <c r="H1643" s="35" t="s">
        <v>37</v>
      </c>
      <c r="I1643" s="45">
        <v>44805</v>
      </c>
      <c r="J1643" s="46">
        <f>EFEITO!$J$1643*EFEITO!$Y$1643</f>
        <v>0</v>
      </c>
      <c r="K1643" s="46">
        <f ca="1">EFEITO!$L$1643*EFEITO!$Z$1643</f>
        <v>91.517955227423386</v>
      </c>
      <c r="L1643" s="46">
        <f>EFEITO!$N$1643*EFEITO!$AA$1643</f>
        <v>51.172390119122163</v>
      </c>
      <c r="M1643" s="46">
        <f>$J$1643-EFEITO!$K$1643*EFEITO!$Y$1643</f>
        <v>0</v>
      </c>
      <c r="N1643" s="46">
        <f ca="1">$K$1643-EFEITO!$M$1643*EFEITO!$Z$1643</f>
        <v>0</v>
      </c>
      <c r="O1643" s="46">
        <f>$L$1643-EFEITO!$O$1643*EFEITO!$AA$1643</f>
        <v>0</v>
      </c>
      <c r="P1643" s="38"/>
      <c r="Q1643" s="38"/>
      <c r="R1643" s="38"/>
      <c r="S1643" s="38"/>
      <c r="T1643" s="38"/>
      <c r="U1643" s="38"/>
      <c r="V1643" s="38"/>
      <c r="W1643" s="38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</row>
    <row r="1644" spans="1:36" ht="11.25" customHeight="1" x14ac:dyDescent="0.2">
      <c r="A1644" s="35" t="s">
        <v>28</v>
      </c>
      <c r="B1644" s="35" t="s">
        <v>39</v>
      </c>
      <c r="C1644" s="35" t="s">
        <v>35</v>
      </c>
      <c r="D1644" s="35" t="s">
        <v>45</v>
      </c>
      <c r="E1644" s="35" t="s">
        <v>25</v>
      </c>
      <c r="F1644" s="35" t="s">
        <v>25</v>
      </c>
      <c r="G1644" s="35" t="s">
        <v>25</v>
      </c>
      <c r="H1644" s="35" t="s">
        <v>37</v>
      </c>
      <c r="I1644" s="45">
        <v>44805</v>
      </c>
      <c r="J1644" s="46">
        <f>EFEITO!$J$1644*EFEITO!$Y$1644</f>
        <v>0</v>
      </c>
      <c r="K1644" s="46">
        <f ca="1">EFEITO!$L$1644*EFEITO!$Z$1644</f>
        <v>5611.9279468303339</v>
      </c>
      <c r="L1644" s="46">
        <f>EFEITO!$N$1644*EFEITO!$AA$1644</f>
        <v>3137.9172043559138</v>
      </c>
      <c r="M1644" s="46">
        <f>$J$1644-EFEITO!$K$1644*EFEITO!$Y$1644</f>
        <v>0</v>
      </c>
      <c r="N1644" s="46">
        <f ca="1">$K$1644-EFEITO!$M$1644*EFEITO!$Z$1644</f>
        <v>0</v>
      </c>
      <c r="O1644" s="46">
        <f>$L$1644-EFEITO!$O$1644*EFEITO!$AA$1644</f>
        <v>0</v>
      </c>
      <c r="P1644" s="38"/>
      <c r="Q1644" s="38"/>
      <c r="R1644" s="38"/>
      <c r="S1644" s="38"/>
      <c r="T1644" s="38"/>
      <c r="U1644" s="38"/>
      <c r="V1644" s="38"/>
      <c r="W1644" s="38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</row>
    <row r="1645" spans="1:36" ht="11.25" customHeight="1" x14ac:dyDescent="0.2">
      <c r="A1645" s="35" t="s">
        <v>30</v>
      </c>
      <c r="B1645" s="35" t="s">
        <v>39</v>
      </c>
      <c r="C1645" s="35" t="s">
        <v>35</v>
      </c>
      <c r="D1645" s="35" t="s">
        <v>45</v>
      </c>
      <c r="E1645" s="35" t="s">
        <v>25</v>
      </c>
      <c r="F1645" s="35" t="s">
        <v>25</v>
      </c>
      <c r="G1645" s="35" t="s">
        <v>25</v>
      </c>
      <c r="H1645" s="35" t="s">
        <v>37</v>
      </c>
      <c r="I1645" s="45">
        <v>44805</v>
      </c>
      <c r="J1645" s="46">
        <f>EFEITO!$J$1645*EFEITO!$Y$1645</f>
        <v>0</v>
      </c>
      <c r="K1645" s="46">
        <f ca="1">EFEITO!$L$1645*EFEITO!$Z$1645</f>
        <v>1494.0110639690481</v>
      </c>
      <c r="L1645" s="46">
        <f>EFEITO!$N$1645*EFEITO!$AA$1645</f>
        <v>835.37833442327621</v>
      </c>
      <c r="M1645" s="46">
        <f>$J$1645-EFEITO!$K$1645*EFEITO!$Y$1645</f>
        <v>0</v>
      </c>
      <c r="N1645" s="46">
        <f ca="1">$K$1645-EFEITO!$M$1645*EFEITO!$Z$1645</f>
        <v>0</v>
      </c>
      <c r="O1645" s="46">
        <f>$L$1645-EFEITO!$O$1645*EFEITO!$AA$1645</f>
        <v>0</v>
      </c>
      <c r="P1645" s="38"/>
      <c r="Q1645" s="38"/>
      <c r="R1645" s="38"/>
      <c r="S1645" s="38"/>
      <c r="T1645" s="38"/>
      <c r="U1645" s="38"/>
      <c r="V1645" s="38"/>
      <c r="W1645" s="38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</row>
    <row r="1646" spans="1:36" ht="11.25" customHeight="1" x14ac:dyDescent="0.2">
      <c r="A1646" s="35" t="s">
        <v>30</v>
      </c>
      <c r="B1646" s="35" t="s">
        <v>39</v>
      </c>
      <c r="C1646" s="35" t="s">
        <v>35</v>
      </c>
      <c r="D1646" s="35" t="s">
        <v>45</v>
      </c>
      <c r="E1646" s="35" t="s">
        <v>25</v>
      </c>
      <c r="F1646" s="35" t="s">
        <v>25</v>
      </c>
      <c r="G1646" s="35" t="s">
        <v>25</v>
      </c>
      <c r="H1646" s="35" t="s">
        <v>37</v>
      </c>
      <c r="I1646" s="45">
        <v>44805</v>
      </c>
      <c r="J1646" s="46">
        <f>EFEITO!$J$1646*EFEITO!$Y$1646</f>
        <v>0</v>
      </c>
      <c r="K1646" s="46">
        <f ca="1">EFEITO!$L$1646*EFEITO!$Z$1646</f>
        <v>-285.89583449250637</v>
      </c>
      <c r="L1646" s="46">
        <f>EFEITO!$N$1646*EFEITO!$AA$1646</f>
        <v>-159.85904776529188</v>
      </c>
      <c r="M1646" s="46">
        <f>$J$1646-EFEITO!$K$1646*EFEITO!$Y$1646</f>
        <v>0</v>
      </c>
      <c r="N1646" s="46">
        <f ca="1">$K$1646-EFEITO!$M$1646*EFEITO!$Z$1646</f>
        <v>0</v>
      </c>
      <c r="O1646" s="46">
        <f>$L$1646-EFEITO!$O$1646*EFEITO!$AA$1646</f>
        <v>0</v>
      </c>
      <c r="P1646" s="38"/>
      <c r="Q1646" s="38"/>
      <c r="R1646" s="38"/>
      <c r="S1646" s="38"/>
      <c r="T1646" s="38"/>
      <c r="U1646" s="38"/>
      <c r="V1646" s="38"/>
      <c r="W1646" s="38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</row>
    <row r="1647" spans="1:36" ht="11.25" customHeight="1" x14ac:dyDescent="0.2">
      <c r="A1647" s="35" t="s">
        <v>21</v>
      </c>
      <c r="B1647" s="35" t="s">
        <v>39</v>
      </c>
      <c r="C1647" s="35" t="s">
        <v>35</v>
      </c>
      <c r="D1647" s="35" t="s">
        <v>45</v>
      </c>
      <c r="E1647" s="35" t="s">
        <v>25</v>
      </c>
      <c r="F1647" s="35" t="s">
        <v>25</v>
      </c>
      <c r="G1647" s="35" t="s">
        <v>25</v>
      </c>
      <c r="H1647" s="35" t="s">
        <v>37</v>
      </c>
      <c r="I1647" s="45">
        <v>44835</v>
      </c>
      <c r="J1647" s="46">
        <f>EFEITO!$J$1647*EFEITO!$Y$1647</f>
        <v>0</v>
      </c>
      <c r="K1647" s="46">
        <f ca="1">EFEITO!$L$1647*EFEITO!$Z$1647</f>
        <v>36553.209963527537</v>
      </c>
      <c r="L1647" s="46">
        <f>EFEITO!$N$1647*EFEITO!$AA$1647</f>
        <v>20438.777458604254</v>
      </c>
      <c r="M1647" s="46">
        <f>$J$1647-EFEITO!$K$1647*EFEITO!$Y$1647</f>
        <v>0</v>
      </c>
      <c r="N1647" s="46">
        <f ca="1">$K$1647-EFEITO!$M$1647*EFEITO!$Z$1647</f>
        <v>0</v>
      </c>
      <c r="O1647" s="46">
        <f>$L$1647-EFEITO!$O$1647*EFEITO!$AA$1647</f>
        <v>0</v>
      </c>
      <c r="P1647" s="38"/>
      <c r="Q1647" s="38"/>
      <c r="R1647" s="38"/>
      <c r="S1647" s="38"/>
      <c r="T1647" s="38"/>
      <c r="U1647" s="38"/>
      <c r="V1647" s="38"/>
      <c r="W1647" s="38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</row>
    <row r="1648" spans="1:36" ht="11.25" customHeight="1" x14ac:dyDescent="0.2">
      <c r="A1648" s="35" t="s">
        <v>28</v>
      </c>
      <c r="B1648" s="35" t="s">
        <v>39</v>
      </c>
      <c r="C1648" s="35" t="s">
        <v>35</v>
      </c>
      <c r="D1648" s="35" t="s">
        <v>45</v>
      </c>
      <c r="E1648" s="35" t="s">
        <v>25</v>
      </c>
      <c r="F1648" s="35" t="s">
        <v>25</v>
      </c>
      <c r="G1648" s="35" t="s">
        <v>25</v>
      </c>
      <c r="H1648" s="35" t="s">
        <v>37</v>
      </c>
      <c r="I1648" s="45">
        <v>44835</v>
      </c>
      <c r="J1648" s="46">
        <f>EFEITO!$J$1648*EFEITO!$Y$1648</f>
        <v>0</v>
      </c>
      <c r="K1648" s="46">
        <f ca="1">EFEITO!$L$1648*EFEITO!$Z$1648</f>
        <v>4785.1375308013885</v>
      </c>
      <c r="L1648" s="46">
        <f>EFEITO!$N$1648*EFEITO!$AA$1648</f>
        <v>2675.6162098609384</v>
      </c>
      <c r="M1648" s="46">
        <f>$J$1648-EFEITO!$K$1648*EFEITO!$Y$1648</f>
        <v>0</v>
      </c>
      <c r="N1648" s="46">
        <f ca="1">$K$1648-EFEITO!$M$1648*EFEITO!$Z$1648</f>
        <v>0</v>
      </c>
      <c r="O1648" s="46">
        <f>$L$1648-EFEITO!$O$1648*EFEITO!$AA$1648</f>
        <v>0</v>
      </c>
      <c r="P1648" s="38"/>
      <c r="Q1648" s="38"/>
      <c r="R1648" s="38"/>
      <c r="S1648" s="38"/>
      <c r="T1648" s="38"/>
      <c r="U1648" s="38"/>
      <c r="V1648" s="38"/>
      <c r="W1648" s="38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</row>
    <row r="1649" spans="1:36" ht="11.25" customHeight="1" x14ac:dyDescent="0.2">
      <c r="A1649" s="35" t="s">
        <v>30</v>
      </c>
      <c r="B1649" s="35" t="s">
        <v>39</v>
      </c>
      <c r="C1649" s="35" t="s">
        <v>35</v>
      </c>
      <c r="D1649" s="35" t="s">
        <v>45</v>
      </c>
      <c r="E1649" s="35" t="s">
        <v>25</v>
      </c>
      <c r="F1649" s="35" t="s">
        <v>25</v>
      </c>
      <c r="G1649" s="35" t="s">
        <v>25</v>
      </c>
      <c r="H1649" s="35" t="s">
        <v>37</v>
      </c>
      <c r="I1649" s="45">
        <v>44835</v>
      </c>
      <c r="J1649" s="46">
        <f>EFEITO!$J$1649*EFEITO!$Y$1649</f>
        <v>0</v>
      </c>
      <c r="K1649" s="46">
        <f ca="1">EFEITO!$L$1649*EFEITO!$Z$1649</f>
        <v>-1211.6351508314428</v>
      </c>
      <c r="L1649" s="46">
        <f>EFEITO!$N$1649*EFEITO!$AA$1649</f>
        <v>-677.48745550871979</v>
      </c>
      <c r="M1649" s="46">
        <f>$J$1649-EFEITO!$K$1649*EFEITO!$Y$1649</f>
        <v>0</v>
      </c>
      <c r="N1649" s="46">
        <f ca="1">$K$1649-EFEITO!$M$1649*EFEITO!$Z$1649</f>
        <v>0</v>
      </c>
      <c r="O1649" s="46">
        <f>$L$1649-EFEITO!$O$1649*EFEITO!$AA$1649</f>
        <v>0</v>
      </c>
      <c r="P1649" s="38"/>
      <c r="Q1649" s="38"/>
      <c r="R1649" s="38"/>
      <c r="S1649" s="38"/>
      <c r="T1649" s="38"/>
      <c r="U1649" s="38"/>
      <c r="V1649" s="38"/>
      <c r="W1649" s="38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</row>
    <row r="1650" spans="1:36" ht="11.25" customHeight="1" x14ac:dyDescent="0.2">
      <c r="A1650" s="35" t="s">
        <v>59</v>
      </c>
      <c r="B1650" s="35" t="s">
        <v>39</v>
      </c>
      <c r="C1650" s="35" t="s">
        <v>35</v>
      </c>
      <c r="D1650" s="35" t="s">
        <v>45</v>
      </c>
      <c r="E1650" s="35" t="s">
        <v>25</v>
      </c>
      <c r="F1650" s="35" t="s">
        <v>25</v>
      </c>
      <c r="G1650" s="35" t="s">
        <v>25</v>
      </c>
      <c r="H1650" s="35" t="s">
        <v>37</v>
      </c>
      <c r="I1650" s="45">
        <v>44866</v>
      </c>
      <c r="J1650" s="46">
        <f>EFEITO!$J$1650*EFEITO!$Y$1650</f>
        <v>0</v>
      </c>
      <c r="K1650" s="46">
        <f ca="1">EFEITO!$L$1650*EFEITO!$Z$1650</f>
        <v>36553.209963527537</v>
      </c>
      <c r="L1650" s="46">
        <f>EFEITO!$N$1650*EFEITO!$AA$1650</f>
        <v>20438.777458604254</v>
      </c>
      <c r="M1650" s="46">
        <f>$J$1650-EFEITO!$K$1650*EFEITO!$Y$1650</f>
        <v>0</v>
      </c>
      <c r="N1650" s="46">
        <f ca="1">$K$1650-EFEITO!$M$1650*EFEITO!$Z$1650</f>
        <v>0</v>
      </c>
      <c r="O1650" s="46">
        <f>$L$1650-EFEITO!$O$1650*EFEITO!$AA$1650</f>
        <v>0</v>
      </c>
      <c r="P1650" s="38"/>
      <c r="Q1650" s="38"/>
      <c r="R1650" s="38"/>
      <c r="S1650" s="38"/>
      <c r="T1650" s="38"/>
      <c r="U1650" s="38"/>
      <c r="V1650" s="38"/>
      <c r="W1650" s="38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</row>
    <row r="1651" spans="1:36" ht="11.25" customHeight="1" x14ac:dyDescent="0.2">
      <c r="A1651" s="35" t="s">
        <v>59</v>
      </c>
      <c r="B1651" s="35" t="s">
        <v>39</v>
      </c>
      <c r="C1651" s="35" t="s">
        <v>35</v>
      </c>
      <c r="D1651" s="35" t="s">
        <v>45</v>
      </c>
      <c r="E1651" s="35" t="s">
        <v>25</v>
      </c>
      <c r="F1651" s="35" t="s">
        <v>25</v>
      </c>
      <c r="G1651" s="35" t="s">
        <v>25</v>
      </c>
      <c r="H1651" s="35" t="s">
        <v>37</v>
      </c>
      <c r="I1651" s="45">
        <v>44866</v>
      </c>
      <c r="J1651" s="46">
        <f>EFEITO!$J$1651*EFEITO!$Y$1651</f>
        <v>0</v>
      </c>
      <c r="K1651" s="46">
        <f ca="1">EFEITO!$L$1651*EFEITO!$Z$1651</f>
        <v>4785.1375308013885</v>
      </c>
      <c r="L1651" s="46">
        <f>EFEITO!$N$1651*EFEITO!$AA$1651</f>
        <v>2675.6162098609384</v>
      </c>
      <c r="M1651" s="46">
        <f>$J$1651-EFEITO!$K$1651*EFEITO!$Y$1651</f>
        <v>0</v>
      </c>
      <c r="N1651" s="46">
        <f ca="1">$K$1651-EFEITO!$M$1651*EFEITO!$Z$1651</f>
        <v>0</v>
      </c>
      <c r="O1651" s="46">
        <f>$L$1651-EFEITO!$O$1651*EFEITO!$AA$1651</f>
        <v>0</v>
      </c>
      <c r="P1651" s="38"/>
      <c r="Q1651" s="38"/>
      <c r="R1651" s="38"/>
      <c r="S1651" s="38"/>
      <c r="T1651" s="38"/>
      <c r="U1651" s="38"/>
      <c r="V1651" s="38"/>
      <c r="W1651" s="38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</row>
    <row r="1652" spans="1:36" ht="11.25" customHeight="1" x14ac:dyDescent="0.2">
      <c r="A1652" s="35" t="s">
        <v>59</v>
      </c>
      <c r="B1652" s="35" t="s">
        <v>39</v>
      </c>
      <c r="C1652" s="35" t="s">
        <v>35</v>
      </c>
      <c r="D1652" s="35" t="s">
        <v>45</v>
      </c>
      <c r="E1652" s="35" t="s">
        <v>25</v>
      </c>
      <c r="F1652" s="35" t="s">
        <v>25</v>
      </c>
      <c r="G1652" s="35" t="s">
        <v>25</v>
      </c>
      <c r="H1652" s="35" t="s">
        <v>37</v>
      </c>
      <c r="I1652" s="45">
        <v>44866</v>
      </c>
      <c r="J1652" s="46">
        <f>EFEITO!$J$1652*EFEITO!$Y$1652</f>
        <v>0</v>
      </c>
      <c r="K1652" s="46">
        <f ca="1">EFEITO!$L$1652*EFEITO!$Z$1652</f>
        <v>-1211.6351508314428</v>
      </c>
      <c r="L1652" s="46">
        <f>EFEITO!$N$1652*EFEITO!$AA$1652</f>
        <v>-677.48745550871979</v>
      </c>
      <c r="M1652" s="46">
        <f>$J$1652-EFEITO!$K$1652*EFEITO!$Y$1652</f>
        <v>0</v>
      </c>
      <c r="N1652" s="46">
        <f ca="1">$K$1652-EFEITO!$M$1652*EFEITO!$Z$1652</f>
        <v>0</v>
      </c>
      <c r="O1652" s="46">
        <f>$L$1652-EFEITO!$O$1652*EFEITO!$AA$1652</f>
        <v>0</v>
      </c>
      <c r="P1652" s="38"/>
      <c r="Q1652" s="38"/>
      <c r="R1652" s="38"/>
      <c r="S1652" s="38"/>
      <c r="T1652" s="38"/>
      <c r="U1652" s="38"/>
      <c r="V1652" s="38"/>
      <c r="W1652" s="38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</row>
    <row r="1653" spans="1:36" ht="11.25" customHeight="1" x14ac:dyDescent="0.2">
      <c r="A1653" s="35" t="s">
        <v>21</v>
      </c>
      <c r="B1653" s="35" t="s">
        <v>39</v>
      </c>
      <c r="C1653" s="35" t="s">
        <v>35</v>
      </c>
      <c r="D1653" s="35" t="s">
        <v>45</v>
      </c>
      <c r="E1653" s="35" t="s">
        <v>25</v>
      </c>
      <c r="F1653" s="35" t="s">
        <v>25</v>
      </c>
      <c r="G1653" s="35" t="s">
        <v>25</v>
      </c>
      <c r="H1653" s="35" t="s">
        <v>38</v>
      </c>
      <c r="I1653" s="45">
        <v>44531</v>
      </c>
      <c r="J1653" s="46">
        <f>EFEITO!$J$1653*EFEITO!$Y$1653</f>
        <v>0</v>
      </c>
      <c r="K1653" s="46">
        <f ca="1">EFEITO!$L$1653*EFEITO!$Z$1653</f>
        <v>2011.6069362829439</v>
      </c>
      <c r="L1653" s="46">
        <f>EFEITO!$N$1653*EFEITO!$AA$1653</f>
        <v>509.53704691262664</v>
      </c>
      <c r="M1653" s="46">
        <f>$J$1653-EFEITO!$K$1653*EFEITO!$Y$1653</f>
        <v>0</v>
      </c>
      <c r="N1653" s="46">
        <f ca="1">$K$1653-EFEITO!$M$1653*EFEITO!$Z$1653</f>
        <v>0</v>
      </c>
      <c r="O1653" s="46">
        <f>$L$1653-EFEITO!$O$1653*EFEITO!$AA$1653</f>
        <v>0</v>
      </c>
      <c r="P1653" s="38"/>
      <c r="Q1653" s="38"/>
      <c r="R1653" s="38"/>
      <c r="S1653" s="38"/>
      <c r="T1653" s="38"/>
      <c r="U1653" s="38"/>
      <c r="V1653" s="38"/>
      <c r="W1653" s="38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</row>
    <row r="1654" spans="1:36" ht="11.25" customHeight="1" x14ac:dyDescent="0.2">
      <c r="A1654" s="35" t="s">
        <v>27</v>
      </c>
      <c r="B1654" s="35" t="s">
        <v>39</v>
      </c>
      <c r="C1654" s="35" t="s">
        <v>35</v>
      </c>
      <c r="D1654" s="35" t="s">
        <v>45</v>
      </c>
      <c r="E1654" s="35" t="s">
        <v>25</v>
      </c>
      <c r="F1654" s="35" t="s">
        <v>25</v>
      </c>
      <c r="G1654" s="35" t="s">
        <v>25</v>
      </c>
      <c r="H1654" s="35" t="s">
        <v>38</v>
      </c>
      <c r="I1654" s="45">
        <v>44531</v>
      </c>
      <c r="J1654" s="46">
        <f>EFEITO!$J$1654*EFEITO!$Y$1654</f>
        <v>0</v>
      </c>
      <c r="K1654" s="46">
        <f ca="1">EFEITO!$L$1654*EFEITO!$Z$1654</f>
        <v>241.73817260052544</v>
      </c>
      <c r="L1654" s="46">
        <f>EFEITO!$N$1654*EFEITO!$AA$1654</f>
        <v>61.231919800659</v>
      </c>
      <c r="M1654" s="46">
        <f>$J$1654-EFEITO!$K$1654*EFEITO!$Y$1654</f>
        <v>0</v>
      </c>
      <c r="N1654" s="46">
        <f ca="1">$K$1654-EFEITO!$M$1654*EFEITO!$Z$1654</f>
        <v>0</v>
      </c>
      <c r="O1654" s="46">
        <f>$L$1654-EFEITO!$O$1654*EFEITO!$AA$1654</f>
        <v>0</v>
      </c>
      <c r="P1654" s="38"/>
      <c r="Q1654" s="38"/>
      <c r="R1654" s="38"/>
      <c r="S1654" s="38"/>
      <c r="T1654" s="38"/>
      <c r="U1654" s="38"/>
      <c r="V1654" s="38"/>
      <c r="W1654" s="38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</row>
    <row r="1655" spans="1:36" ht="11.25" customHeight="1" x14ac:dyDescent="0.2">
      <c r="A1655" s="35" t="s">
        <v>28</v>
      </c>
      <c r="B1655" s="35" t="s">
        <v>39</v>
      </c>
      <c r="C1655" s="35" t="s">
        <v>35</v>
      </c>
      <c r="D1655" s="35" t="s">
        <v>45</v>
      </c>
      <c r="E1655" s="35" t="s">
        <v>25</v>
      </c>
      <c r="F1655" s="35" t="s">
        <v>25</v>
      </c>
      <c r="G1655" s="35" t="s">
        <v>25</v>
      </c>
      <c r="H1655" s="35" t="s">
        <v>38</v>
      </c>
      <c r="I1655" s="45">
        <v>44531</v>
      </c>
      <c r="J1655" s="46">
        <f>EFEITO!$J$1655*EFEITO!$Y$1655</f>
        <v>0</v>
      </c>
      <c r="K1655" s="46">
        <f ca="1">EFEITO!$L$1655*EFEITO!$Z$1655</f>
        <v>537.86743403616913</v>
      </c>
      <c r="L1655" s="46">
        <f>EFEITO!$N$1655*EFEITO!$AA$1655</f>
        <v>136.24102155646625</v>
      </c>
      <c r="M1655" s="46">
        <f>$J$1655-EFEITO!$K$1655*EFEITO!$Y$1655</f>
        <v>0</v>
      </c>
      <c r="N1655" s="46">
        <f ca="1">$K$1655-EFEITO!$M$1655*EFEITO!$Z$1655</f>
        <v>0</v>
      </c>
      <c r="O1655" s="46">
        <f>$L$1655-EFEITO!$O$1655*EFEITO!$AA$1655</f>
        <v>0</v>
      </c>
      <c r="P1655" s="38"/>
      <c r="Q1655" s="38"/>
      <c r="R1655" s="38"/>
      <c r="S1655" s="38"/>
      <c r="T1655" s="38"/>
      <c r="U1655" s="38"/>
      <c r="V1655" s="38"/>
      <c r="W1655" s="38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</row>
    <row r="1656" spans="1:36" ht="11.25" customHeight="1" x14ac:dyDescent="0.2">
      <c r="A1656" s="35" t="s">
        <v>30</v>
      </c>
      <c r="B1656" s="35" t="s">
        <v>39</v>
      </c>
      <c r="C1656" s="35" t="s">
        <v>35</v>
      </c>
      <c r="D1656" s="35" t="s">
        <v>45</v>
      </c>
      <c r="E1656" s="35" t="s">
        <v>25</v>
      </c>
      <c r="F1656" s="35" t="s">
        <v>25</v>
      </c>
      <c r="G1656" s="35" t="s">
        <v>25</v>
      </c>
      <c r="H1656" s="35" t="s">
        <v>38</v>
      </c>
      <c r="I1656" s="45">
        <v>44531</v>
      </c>
      <c r="J1656" s="46">
        <f>EFEITO!$J$1656*EFEITO!$Y$1656</f>
        <v>0</v>
      </c>
      <c r="K1656" s="46">
        <f ca="1">EFEITO!$L$1656*EFEITO!$Z$1656</f>
        <v>49.210985136535534</v>
      </c>
      <c r="L1656" s="46">
        <f>EFEITO!$N$1656*EFEITO!$AA$1656</f>
        <v>12.465069387991296</v>
      </c>
      <c r="M1656" s="46">
        <f>$J$1656-EFEITO!$K$1656*EFEITO!$Y$1656</f>
        <v>0</v>
      </c>
      <c r="N1656" s="46">
        <f ca="1">$K$1656-EFEITO!$M$1656*EFEITO!$Z$1656</f>
        <v>0</v>
      </c>
      <c r="O1656" s="46">
        <f>$L$1656-EFEITO!$O$1656*EFEITO!$AA$1656</f>
        <v>0</v>
      </c>
      <c r="P1656" s="38"/>
      <c r="Q1656" s="38"/>
      <c r="R1656" s="38"/>
      <c r="S1656" s="38"/>
      <c r="T1656" s="38"/>
      <c r="U1656" s="38"/>
      <c r="V1656" s="38"/>
      <c r="W1656" s="38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</row>
    <row r="1657" spans="1:36" ht="11.25" customHeight="1" x14ac:dyDescent="0.2">
      <c r="A1657" s="35" t="s">
        <v>21</v>
      </c>
      <c r="B1657" s="35" t="s">
        <v>39</v>
      </c>
      <c r="C1657" s="35" t="s">
        <v>35</v>
      </c>
      <c r="D1657" s="35" t="s">
        <v>45</v>
      </c>
      <c r="E1657" s="35" t="s">
        <v>25</v>
      </c>
      <c r="F1657" s="35" t="s">
        <v>25</v>
      </c>
      <c r="G1657" s="35" t="s">
        <v>25</v>
      </c>
      <c r="H1657" s="35" t="s">
        <v>38</v>
      </c>
      <c r="I1657" s="45">
        <v>44562</v>
      </c>
      <c r="J1657" s="46">
        <f>EFEITO!$J$1657*EFEITO!$Y$1657</f>
        <v>0</v>
      </c>
      <c r="K1657" s="46">
        <f ca="1">EFEITO!$L$1657*EFEITO!$Z$1657</f>
        <v>1882.9676944348071</v>
      </c>
      <c r="L1657" s="46">
        <f>EFEITO!$N$1657*EFEITO!$AA$1657</f>
        <v>476.95291816156168</v>
      </c>
      <c r="M1657" s="46">
        <f>$J$1657-EFEITO!$K$1657*EFEITO!$Y$1657</f>
        <v>0</v>
      </c>
      <c r="N1657" s="46">
        <f ca="1">$K$1657-EFEITO!$M$1657*EFEITO!$Z$1657</f>
        <v>0</v>
      </c>
      <c r="O1657" s="46">
        <f>$L$1657-EFEITO!$O$1657*EFEITO!$AA$1657</f>
        <v>0</v>
      </c>
      <c r="P1657" s="38"/>
      <c r="Q1657" s="38"/>
      <c r="R1657" s="38"/>
      <c r="S1657" s="38"/>
      <c r="T1657" s="38"/>
      <c r="U1657" s="38"/>
      <c r="V1657" s="38"/>
      <c r="W1657" s="38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</row>
    <row r="1658" spans="1:36" ht="11.25" customHeight="1" x14ac:dyDescent="0.2">
      <c r="A1658" s="35" t="s">
        <v>27</v>
      </c>
      <c r="B1658" s="35" t="s">
        <v>39</v>
      </c>
      <c r="C1658" s="35" t="s">
        <v>35</v>
      </c>
      <c r="D1658" s="35" t="s">
        <v>45</v>
      </c>
      <c r="E1658" s="35" t="s">
        <v>25</v>
      </c>
      <c r="F1658" s="35" t="s">
        <v>25</v>
      </c>
      <c r="G1658" s="35" t="s">
        <v>25</v>
      </c>
      <c r="H1658" s="35" t="s">
        <v>38</v>
      </c>
      <c r="I1658" s="45">
        <v>44562</v>
      </c>
      <c r="J1658" s="46">
        <f>EFEITO!$J$1658*EFEITO!$Y$1658</f>
        <v>0</v>
      </c>
      <c r="K1658" s="46">
        <f ca="1">EFEITO!$L$1658*EFEITO!$Z$1658</f>
        <v>-61.297893766561799</v>
      </c>
      <c r="L1658" s="46">
        <f>EFEITO!$N$1658*EFEITO!$AA$1658</f>
        <v>-15.526665378024243</v>
      </c>
      <c r="M1658" s="46">
        <f>$J$1658-EFEITO!$K$1658*EFEITO!$Y$1658</f>
        <v>0</v>
      </c>
      <c r="N1658" s="46">
        <f ca="1">$K$1658-EFEITO!$M$1658*EFEITO!$Z$1658</f>
        <v>0</v>
      </c>
      <c r="O1658" s="46">
        <f>$L$1658-EFEITO!$O$1658*EFEITO!$AA$1658</f>
        <v>0</v>
      </c>
      <c r="P1658" s="38"/>
      <c r="Q1658" s="38"/>
      <c r="R1658" s="38"/>
      <c r="S1658" s="38"/>
      <c r="T1658" s="38"/>
      <c r="U1658" s="38"/>
      <c r="V1658" s="38"/>
      <c r="W1658" s="38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</row>
    <row r="1659" spans="1:36" ht="11.25" customHeight="1" x14ac:dyDescent="0.2">
      <c r="A1659" s="35" t="s">
        <v>28</v>
      </c>
      <c r="B1659" s="35" t="s">
        <v>39</v>
      </c>
      <c r="C1659" s="35" t="s">
        <v>35</v>
      </c>
      <c r="D1659" s="35" t="s">
        <v>45</v>
      </c>
      <c r="E1659" s="35" t="s">
        <v>25</v>
      </c>
      <c r="F1659" s="35" t="s">
        <v>25</v>
      </c>
      <c r="G1659" s="35" t="s">
        <v>25</v>
      </c>
      <c r="H1659" s="35" t="s">
        <v>38</v>
      </c>
      <c r="I1659" s="45">
        <v>44562</v>
      </c>
      <c r="J1659" s="46">
        <f>EFEITO!$J$1659*EFEITO!$Y$1659</f>
        <v>0</v>
      </c>
      <c r="K1659" s="46">
        <f ca="1">EFEITO!$L$1659*EFEITO!$Z$1659</f>
        <v>528.37057725543411</v>
      </c>
      <c r="L1659" s="46">
        <f>EFEITO!$N$1659*EFEITO!$AA$1659</f>
        <v>133.8354818500118</v>
      </c>
      <c r="M1659" s="46">
        <f>$J$1659-EFEITO!$K$1659*EFEITO!$Y$1659</f>
        <v>0</v>
      </c>
      <c r="N1659" s="46">
        <f ca="1">$K$1659-EFEITO!$M$1659*EFEITO!$Z$1659</f>
        <v>0</v>
      </c>
      <c r="O1659" s="46">
        <f>$L$1659-EFEITO!$O$1659*EFEITO!$AA$1659</f>
        <v>0</v>
      </c>
      <c r="P1659" s="38"/>
      <c r="Q1659" s="38"/>
      <c r="R1659" s="38"/>
      <c r="S1659" s="38"/>
      <c r="T1659" s="38"/>
      <c r="U1659" s="38"/>
      <c r="V1659" s="38"/>
      <c r="W1659" s="38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</row>
    <row r="1660" spans="1:36" ht="11.25" customHeight="1" x14ac:dyDescent="0.2">
      <c r="A1660" s="35" t="s">
        <v>30</v>
      </c>
      <c r="B1660" s="35" t="s">
        <v>39</v>
      </c>
      <c r="C1660" s="35" t="s">
        <v>35</v>
      </c>
      <c r="D1660" s="35" t="s">
        <v>45</v>
      </c>
      <c r="E1660" s="35" t="s">
        <v>25</v>
      </c>
      <c r="F1660" s="35" t="s">
        <v>25</v>
      </c>
      <c r="G1660" s="35" t="s">
        <v>25</v>
      </c>
      <c r="H1660" s="35" t="s">
        <v>38</v>
      </c>
      <c r="I1660" s="45">
        <v>44562</v>
      </c>
      <c r="J1660" s="46">
        <f>EFEITO!$J$1660*EFEITO!$Y$1660</f>
        <v>0</v>
      </c>
      <c r="K1660" s="46">
        <f ca="1">EFEITO!$L$1660*EFEITO!$Z$1660</f>
        <v>41.440829588661501</v>
      </c>
      <c r="L1660" s="46">
        <f>EFEITO!$N$1660*EFEITO!$AA$1660</f>
        <v>10.496900537255828</v>
      </c>
      <c r="M1660" s="46">
        <f>$J$1660-EFEITO!$K$1660*EFEITO!$Y$1660</f>
        <v>0</v>
      </c>
      <c r="N1660" s="46">
        <f ca="1">$K$1660-EFEITO!$M$1660*EFEITO!$Z$1660</f>
        <v>0</v>
      </c>
      <c r="O1660" s="46">
        <f>$L$1660-EFEITO!$O$1660*EFEITO!$AA$1660</f>
        <v>0</v>
      </c>
      <c r="P1660" s="38"/>
      <c r="Q1660" s="38"/>
      <c r="R1660" s="38"/>
      <c r="S1660" s="38"/>
      <c r="T1660" s="38"/>
      <c r="U1660" s="38"/>
      <c r="V1660" s="38"/>
      <c r="W1660" s="38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</row>
    <row r="1661" spans="1:36" ht="11.25" customHeight="1" x14ac:dyDescent="0.2">
      <c r="A1661" s="35" t="s">
        <v>21</v>
      </c>
      <c r="B1661" s="35" t="s">
        <v>39</v>
      </c>
      <c r="C1661" s="35" t="s">
        <v>35</v>
      </c>
      <c r="D1661" s="35" t="s">
        <v>45</v>
      </c>
      <c r="E1661" s="35" t="s">
        <v>25</v>
      </c>
      <c r="F1661" s="35" t="s">
        <v>25</v>
      </c>
      <c r="G1661" s="35" t="s">
        <v>25</v>
      </c>
      <c r="H1661" s="35" t="s">
        <v>38</v>
      </c>
      <c r="I1661" s="45">
        <v>44593</v>
      </c>
      <c r="J1661" s="46">
        <f>EFEITO!$J$1661*EFEITO!$Y$1661</f>
        <v>0</v>
      </c>
      <c r="K1661" s="46">
        <f ca="1">EFEITO!$L$1661*EFEITO!$Z$1661</f>
        <v>1842.390215462576</v>
      </c>
      <c r="L1661" s="46">
        <f>EFEITO!$N$1661*EFEITO!$AA$1661</f>
        <v>466.67470305216528</v>
      </c>
      <c r="M1661" s="46">
        <f>$J$1661-EFEITO!$K$1661*EFEITO!$Y$1661</f>
        <v>0</v>
      </c>
      <c r="N1661" s="46">
        <f ca="1">$K$1661-EFEITO!$M$1661*EFEITO!$Z$1661</f>
        <v>0</v>
      </c>
      <c r="O1661" s="46">
        <f>$L$1661-EFEITO!$O$1661*EFEITO!$AA$1661</f>
        <v>0</v>
      </c>
      <c r="P1661" s="38"/>
      <c r="Q1661" s="38"/>
      <c r="R1661" s="38"/>
      <c r="S1661" s="38"/>
      <c r="T1661" s="38"/>
      <c r="U1661" s="38"/>
      <c r="V1661" s="38"/>
      <c r="W1661" s="38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</row>
    <row r="1662" spans="1:36" ht="11.25" customHeight="1" x14ac:dyDescent="0.2">
      <c r="A1662" s="35" t="s">
        <v>28</v>
      </c>
      <c r="B1662" s="35" t="s">
        <v>39</v>
      </c>
      <c r="C1662" s="35" t="s">
        <v>35</v>
      </c>
      <c r="D1662" s="35" t="s">
        <v>45</v>
      </c>
      <c r="E1662" s="35" t="s">
        <v>25</v>
      </c>
      <c r="F1662" s="35" t="s">
        <v>25</v>
      </c>
      <c r="G1662" s="35" t="s">
        <v>25</v>
      </c>
      <c r="H1662" s="35" t="s">
        <v>38</v>
      </c>
      <c r="I1662" s="45">
        <v>44593</v>
      </c>
      <c r="J1662" s="46">
        <f>EFEITO!$J$1662*EFEITO!$Y$1662</f>
        <v>0</v>
      </c>
      <c r="K1662" s="46">
        <f ca="1">EFEITO!$L$1662*EFEITO!$Z$1662</f>
        <v>556.86114759763893</v>
      </c>
      <c r="L1662" s="46">
        <f>EFEITO!$N$1662*EFEITO!$AA$1662</f>
        <v>141.05210096937518</v>
      </c>
      <c r="M1662" s="46">
        <f>$J$1662-EFEITO!$K$1662*EFEITO!$Y$1662</f>
        <v>0</v>
      </c>
      <c r="N1662" s="46">
        <f ca="1">$K$1662-EFEITO!$M$1662*EFEITO!$Z$1662</f>
        <v>0</v>
      </c>
      <c r="O1662" s="46">
        <f>$L$1662-EFEITO!$O$1662*EFEITO!$AA$1662</f>
        <v>0</v>
      </c>
      <c r="P1662" s="38"/>
      <c r="Q1662" s="38"/>
      <c r="R1662" s="38"/>
      <c r="S1662" s="38"/>
      <c r="T1662" s="38"/>
      <c r="U1662" s="38"/>
      <c r="V1662" s="38"/>
      <c r="W1662" s="38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</row>
    <row r="1663" spans="1:36" ht="11.25" customHeight="1" x14ac:dyDescent="0.2">
      <c r="A1663" s="35" t="s">
        <v>30</v>
      </c>
      <c r="B1663" s="35" t="s">
        <v>39</v>
      </c>
      <c r="C1663" s="35" t="s">
        <v>35</v>
      </c>
      <c r="D1663" s="35" t="s">
        <v>45</v>
      </c>
      <c r="E1663" s="35" t="s">
        <v>25</v>
      </c>
      <c r="F1663" s="35" t="s">
        <v>25</v>
      </c>
      <c r="G1663" s="35" t="s">
        <v>25</v>
      </c>
      <c r="H1663" s="35" t="s">
        <v>38</v>
      </c>
      <c r="I1663" s="45">
        <v>44593</v>
      </c>
      <c r="J1663" s="46">
        <f>EFEITO!$J$1663*EFEITO!$Y$1663</f>
        <v>0</v>
      </c>
      <c r="K1663" s="46">
        <f ca="1">EFEITO!$L$1663*EFEITO!$Z$1663</f>
        <v>37.124076506509262</v>
      </c>
      <c r="L1663" s="46">
        <f>EFEITO!$N$1663*EFEITO!$AA$1663</f>
        <v>9.4034733979583436</v>
      </c>
      <c r="M1663" s="46">
        <f>$J$1663-EFEITO!$K$1663*EFEITO!$Y$1663</f>
        <v>0</v>
      </c>
      <c r="N1663" s="46">
        <f ca="1">$K$1663-EFEITO!$M$1663*EFEITO!$Z$1663</f>
        <v>0</v>
      </c>
      <c r="O1663" s="46">
        <f>$L$1663-EFEITO!$O$1663*EFEITO!$AA$1663</f>
        <v>0</v>
      </c>
      <c r="P1663" s="38"/>
      <c r="Q1663" s="38"/>
      <c r="R1663" s="38"/>
      <c r="S1663" s="38"/>
      <c r="T1663" s="38"/>
      <c r="U1663" s="38"/>
      <c r="V1663" s="38"/>
      <c r="W1663" s="38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</row>
    <row r="1664" spans="1:36" ht="11.25" customHeight="1" x14ac:dyDescent="0.2">
      <c r="A1664" s="35" t="s">
        <v>21</v>
      </c>
      <c r="B1664" s="35" t="s">
        <v>39</v>
      </c>
      <c r="C1664" s="35" t="s">
        <v>35</v>
      </c>
      <c r="D1664" s="35" t="s">
        <v>45</v>
      </c>
      <c r="E1664" s="35" t="s">
        <v>25</v>
      </c>
      <c r="F1664" s="35" t="s">
        <v>25</v>
      </c>
      <c r="G1664" s="35" t="s">
        <v>25</v>
      </c>
      <c r="H1664" s="35" t="s">
        <v>38</v>
      </c>
      <c r="I1664" s="45">
        <v>44621</v>
      </c>
      <c r="J1664" s="46">
        <f>EFEITO!$J$1664*EFEITO!$Y$1664</f>
        <v>0</v>
      </c>
      <c r="K1664" s="46">
        <f ca="1">EFEITO!$L$1664*EFEITO!$Z$1664</f>
        <v>1501.3667219725492</v>
      </c>
      <c r="L1664" s="46">
        <f>EFEITO!$N$1664*EFEITO!$AA$1664</f>
        <v>380.29395904766426</v>
      </c>
      <c r="M1664" s="46">
        <f>$J$1664-EFEITO!$K$1664*EFEITO!$Y$1664</f>
        <v>0</v>
      </c>
      <c r="N1664" s="46">
        <f ca="1">$K$1664-EFEITO!$M$1664*EFEITO!$Z$1664</f>
        <v>0</v>
      </c>
      <c r="O1664" s="46">
        <f>$L$1664-EFEITO!$O$1664*EFEITO!$AA$1664</f>
        <v>0</v>
      </c>
      <c r="P1664" s="38"/>
      <c r="Q1664" s="38"/>
      <c r="R1664" s="38"/>
      <c r="S1664" s="38"/>
      <c r="T1664" s="38"/>
      <c r="U1664" s="38"/>
      <c r="V1664" s="38"/>
      <c r="W1664" s="38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</row>
    <row r="1665" spans="1:36" ht="11.25" customHeight="1" x14ac:dyDescent="0.2">
      <c r="A1665" s="35" t="s">
        <v>27</v>
      </c>
      <c r="B1665" s="35" t="s">
        <v>39</v>
      </c>
      <c r="C1665" s="35" t="s">
        <v>35</v>
      </c>
      <c r="D1665" s="35" t="s">
        <v>45</v>
      </c>
      <c r="E1665" s="35" t="s">
        <v>25</v>
      </c>
      <c r="F1665" s="35" t="s">
        <v>25</v>
      </c>
      <c r="G1665" s="35" t="s">
        <v>25</v>
      </c>
      <c r="H1665" s="35" t="s">
        <v>38</v>
      </c>
      <c r="I1665" s="45">
        <v>44621</v>
      </c>
      <c r="J1665" s="46">
        <f>EFEITO!$J$1665*EFEITO!$Y$1665</f>
        <v>0</v>
      </c>
      <c r="K1665" s="46">
        <f ca="1">EFEITO!$L$1665*EFEITO!$Z$1665</f>
        <v>-56.117790067979122</v>
      </c>
      <c r="L1665" s="46">
        <f>EFEITO!$N$1665*EFEITO!$AA$1665</f>
        <v>-14.214552810867266</v>
      </c>
      <c r="M1665" s="46">
        <f>$J$1665-EFEITO!$K$1665*EFEITO!$Y$1665</f>
        <v>0</v>
      </c>
      <c r="N1665" s="46">
        <f ca="1">$K$1665-EFEITO!$M$1665*EFEITO!$Z$1665</f>
        <v>0</v>
      </c>
      <c r="O1665" s="46">
        <f>$L$1665-EFEITO!$O$1665*EFEITO!$AA$1665</f>
        <v>0</v>
      </c>
      <c r="P1665" s="38"/>
      <c r="Q1665" s="38"/>
      <c r="R1665" s="38"/>
      <c r="S1665" s="38"/>
      <c r="T1665" s="38"/>
      <c r="U1665" s="38"/>
      <c r="V1665" s="38"/>
      <c r="W1665" s="38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</row>
    <row r="1666" spans="1:36" ht="11.25" customHeight="1" x14ac:dyDescent="0.2">
      <c r="A1666" s="35" t="s">
        <v>28</v>
      </c>
      <c r="B1666" s="35" t="s">
        <v>39</v>
      </c>
      <c r="C1666" s="35" t="s">
        <v>35</v>
      </c>
      <c r="D1666" s="35" t="s">
        <v>45</v>
      </c>
      <c r="E1666" s="35" t="s">
        <v>25</v>
      </c>
      <c r="F1666" s="35" t="s">
        <v>25</v>
      </c>
      <c r="G1666" s="35" t="s">
        <v>25</v>
      </c>
      <c r="H1666" s="35" t="s">
        <v>38</v>
      </c>
      <c r="I1666" s="45">
        <v>44621</v>
      </c>
      <c r="J1666" s="46">
        <f>EFEITO!$J$1666*EFEITO!$Y$1666</f>
        <v>0</v>
      </c>
      <c r="K1666" s="46">
        <f ca="1">EFEITO!$L$1666*EFEITO!$Z$1666</f>
        <v>378.14756999653622</v>
      </c>
      <c r="L1666" s="46">
        <f>EFEITO!$N$1666*EFEITO!$AA$1666</f>
        <v>95.784217402459419</v>
      </c>
      <c r="M1666" s="46">
        <f>$J$1666-EFEITO!$K$1666*EFEITO!$Y$1666</f>
        <v>0</v>
      </c>
      <c r="N1666" s="46">
        <f ca="1">$K$1666-EFEITO!$M$1666*EFEITO!$Z$1666</f>
        <v>0</v>
      </c>
      <c r="O1666" s="46">
        <f>$L$1666-EFEITO!$O$1666*EFEITO!$AA$1666</f>
        <v>0</v>
      </c>
      <c r="P1666" s="38"/>
      <c r="Q1666" s="38"/>
      <c r="R1666" s="38"/>
      <c r="S1666" s="38"/>
      <c r="T1666" s="38"/>
      <c r="U1666" s="38"/>
      <c r="V1666" s="38"/>
      <c r="W1666" s="38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</row>
    <row r="1667" spans="1:36" ht="11.25" customHeight="1" x14ac:dyDescent="0.2">
      <c r="A1667" s="35" t="s">
        <v>30</v>
      </c>
      <c r="B1667" s="35" t="s">
        <v>39</v>
      </c>
      <c r="C1667" s="35" t="s">
        <v>35</v>
      </c>
      <c r="D1667" s="35" t="s">
        <v>45</v>
      </c>
      <c r="E1667" s="35" t="s">
        <v>25</v>
      </c>
      <c r="F1667" s="35" t="s">
        <v>25</v>
      </c>
      <c r="G1667" s="35" t="s">
        <v>25</v>
      </c>
      <c r="H1667" s="35" t="s">
        <v>38</v>
      </c>
      <c r="I1667" s="45">
        <v>44621</v>
      </c>
      <c r="J1667" s="46">
        <f>EFEITO!$J$1667*EFEITO!$Y$1667</f>
        <v>0</v>
      </c>
      <c r="K1667" s="46">
        <f ca="1">EFEITO!$L$1667*EFEITO!$Z$1667</f>
        <v>38.850777739370159</v>
      </c>
      <c r="L1667" s="46">
        <f>EFEITO!$N$1667*EFEITO!$AA$1667</f>
        <v>9.8408442536773375</v>
      </c>
      <c r="M1667" s="46">
        <f>$J$1667-EFEITO!$K$1667*EFEITO!$Y$1667</f>
        <v>0</v>
      </c>
      <c r="N1667" s="46">
        <f ca="1">$K$1667-EFEITO!$M$1667*EFEITO!$Z$1667</f>
        <v>0</v>
      </c>
      <c r="O1667" s="46">
        <f>$L$1667-EFEITO!$O$1667*EFEITO!$AA$1667</f>
        <v>0</v>
      </c>
      <c r="P1667" s="38"/>
      <c r="Q1667" s="38"/>
      <c r="R1667" s="38"/>
      <c r="S1667" s="38"/>
      <c r="T1667" s="38"/>
      <c r="U1667" s="38"/>
      <c r="V1667" s="38"/>
      <c r="W1667" s="38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</row>
    <row r="1668" spans="1:36" ht="11.25" customHeight="1" x14ac:dyDescent="0.2">
      <c r="A1668" s="35" t="s">
        <v>21</v>
      </c>
      <c r="B1668" s="35" t="s">
        <v>39</v>
      </c>
      <c r="C1668" s="35" t="s">
        <v>35</v>
      </c>
      <c r="D1668" s="35" t="s">
        <v>45</v>
      </c>
      <c r="E1668" s="35" t="s">
        <v>25</v>
      </c>
      <c r="F1668" s="35" t="s">
        <v>25</v>
      </c>
      <c r="G1668" s="35" t="s">
        <v>25</v>
      </c>
      <c r="H1668" s="35" t="s">
        <v>38</v>
      </c>
      <c r="I1668" s="45">
        <v>44652</v>
      </c>
      <c r="J1668" s="46">
        <f>EFEITO!$J$1668*EFEITO!$Y$1668</f>
        <v>0</v>
      </c>
      <c r="K1668" s="46">
        <f ca="1">EFEITO!$L$1668*EFEITO!$Z$1668</f>
        <v>2438.9654914160155</v>
      </c>
      <c r="L1668" s="46">
        <f>EFEITO!$N$1668*EFEITO!$AA$1668</f>
        <v>617.78633370307739</v>
      </c>
      <c r="M1668" s="46">
        <f>$J$1668-EFEITO!$K$1668*EFEITO!$Y$1668</f>
        <v>0</v>
      </c>
      <c r="N1668" s="46">
        <f ca="1">$K$1668-EFEITO!$M$1668*EFEITO!$Z$1668</f>
        <v>0</v>
      </c>
      <c r="O1668" s="46">
        <f>$L$1668-EFEITO!$O$1668*EFEITO!$AA$1668</f>
        <v>0</v>
      </c>
      <c r="P1668" s="38"/>
      <c r="Q1668" s="38"/>
      <c r="R1668" s="38"/>
      <c r="S1668" s="38"/>
      <c r="T1668" s="38"/>
      <c r="U1668" s="38"/>
      <c r="V1668" s="38"/>
      <c r="W1668" s="38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</row>
    <row r="1669" spans="1:36" ht="11.25" customHeight="1" x14ac:dyDescent="0.2">
      <c r="A1669" s="35" t="s">
        <v>28</v>
      </c>
      <c r="B1669" s="35" t="s">
        <v>39</v>
      </c>
      <c r="C1669" s="35" t="s">
        <v>35</v>
      </c>
      <c r="D1669" s="35" t="s">
        <v>45</v>
      </c>
      <c r="E1669" s="35" t="s">
        <v>25</v>
      </c>
      <c r="F1669" s="35" t="s">
        <v>25</v>
      </c>
      <c r="G1669" s="35" t="s">
        <v>25</v>
      </c>
      <c r="H1669" s="35" t="s">
        <v>38</v>
      </c>
      <c r="I1669" s="45">
        <v>44652</v>
      </c>
      <c r="J1669" s="46">
        <f>EFEITO!$J$1669*EFEITO!$Y$1669</f>
        <v>0</v>
      </c>
      <c r="K1669" s="46">
        <f ca="1">EFEITO!$L$1669*EFEITO!$Z$1669</f>
        <v>1160.3432284825221</v>
      </c>
      <c r="L1669" s="46">
        <f>EFEITO!$N$1669*EFEITO!$AA$1669</f>
        <v>293.91321504316318</v>
      </c>
      <c r="M1669" s="46">
        <f>$J$1669-EFEITO!$K$1669*EFEITO!$Y$1669</f>
        <v>0</v>
      </c>
      <c r="N1669" s="46">
        <f ca="1">$K$1669-EFEITO!$M$1669*EFEITO!$Z$1669</f>
        <v>0</v>
      </c>
      <c r="O1669" s="46">
        <f>$L$1669-EFEITO!$O$1669*EFEITO!$AA$1669</f>
        <v>0</v>
      </c>
      <c r="P1669" s="38"/>
      <c r="Q1669" s="38"/>
      <c r="R1669" s="38"/>
      <c r="S1669" s="38"/>
      <c r="T1669" s="38"/>
      <c r="U1669" s="38"/>
      <c r="V1669" s="38"/>
      <c r="W1669" s="38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</row>
    <row r="1670" spans="1:36" ht="11.25" customHeight="1" x14ac:dyDescent="0.2">
      <c r="A1670" s="35" t="s">
        <v>30</v>
      </c>
      <c r="B1670" s="35" t="s">
        <v>39</v>
      </c>
      <c r="C1670" s="35" t="s">
        <v>35</v>
      </c>
      <c r="D1670" s="35" t="s">
        <v>45</v>
      </c>
      <c r="E1670" s="35" t="s">
        <v>25</v>
      </c>
      <c r="F1670" s="35" t="s">
        <v>25</v>
      </c>
      <c r="G1670" s="35" t="s">
        <v>25</v>
      </c>
      <c r="H1670" s="35" t="s">
        <v>38</v>
      </c>
      <c r="I1670" s="45">
        <v>44652</v>
      </c>
      <c r="J1670" s="46">
        <f>EFEITO!$J$1670*EFEITO!$Y$1670</f>
        <v>0</v>
      </c>
      <c r="K1670" s="46">
        <f ca="1">EFEITO!$L$1670*EFEITO!$Z$1670</f>
        <v>44.030881437952843</v>
      </c>
      <c r="L1670" s="46">
        <f>EFEITO!$N$1670*EFEITO!$AA$1670</f>
        <v>11.152956820834316</v>
      </c>
      <c r="M1670" s="46">
        <f>$J$1670-EFEITO!$K$1670*EFEITO!$Y$1670</f>
        <v>0</v>
      </c>
      <c r="N1670" s="46">
        <f ca="1">$K$1670-EFEITO!$M$1670*EFEITO!$Z$1670</f>
        <v>0</v>
      </c>
      <c r="O1670" s="46">
        <f>$L$1670-EFEITO!$O$1670*EFEITO!$AA$1670</f>
        <v>0</v>
      </c>
      <c r="P1670" s="38"/>
      <c r="Q1670" s="38"/>
      <c r="R1670" s="38"/>
      <c r="S1670" s="38"/>
      <c r="T1670" s="38"/>
      <c r="U1670" s="38"/>
      <c r="V1670" s="38"/>
      <c r="W1670" s="38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</row>
    <row r="1671" spans="1:36" ht="11.25" customHeight="1" x14ac:dyDescent="0.2">
      <c r="A1671" s="35" t="s">
        <v>21</v>
      </c>
      <c r="B1671" s="35" t="s">
        <v>39</v>
      </c>
      <c r="C1671" s="35" t="s">
        <v>35</v>
      </c>
      <c r="D1671" s="35" t="s">
        <v>45</v>
      </c>
      <c r="E1671" s="35" t="s">
        <v>25</v>
      </c>
      <c r="F1671" s="35" t="s">
        <v>25</v>
      </c>
      <c r="G1671" s="35" t="s">
        <v>25</v>
      </c>
      <c r="H1671" s="35" t="s">
        <v>38</v>
      </c>
      <c r="I1671" s="45">
        <v>44682</v>
      </c>
      <c r="J1671" s="46">
        <f>EFEITO!$J$1671*EFEITO!$Y$1671</f>
        <v>0</v>
      </c>
      <c r="K1671" s="46">
        <f ca="1">EFEITO!$L$1671*EFEITO!$Z$1671</f>
        <v>1862.2472796404763</v>
      </c>
      <c r="L1671" s="46">
        <f>EFEITO!$N$1671*EFEITO!$AA$1671</f>
        <v>471.70446789293374</v>
      </c>
      <c r="M1671" s="46">
        <f>$J$1671-EFEITO!$K$1671*EFEITO!$Y$1671</f>
        <v>0</v>
      </c>
      <c r="N1671" s="46">
        <f ca="1">$K$1671-EFEITO!$M$1671*EFEITO!$Z$1671</f>
        <v>0</v>
      </c>
      <c r="O1671" s="46">
        <f>$L$1671-EFEITO!$O$1671*EFEITO!$AA$1671</f>
        <v>0</v>
      </c>
      <c r="P1671" s="38"/>
      <c r="Q1671" s="38"/>
      <c r="R1671" s="38"/>
      <c r="S1671" s="38"/>
      <c r="T1671" s="38"/>
      <c r="U1671" s="38"/>
      <c r="V1671" s="38"/>
      <c r="W1671" s="38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</row>
    <row r="1672" spans="1:36" ht="11.25" customHeight="1" x14ac:dyDescent="0.2">
      <c r="A1672" s="35" t="s">
        <v>28</v>
      </c>
      <c r="B1672" s="35" t="s">
        <v>39</v>
      </c>
      <c r="C1672" s="35" t="s">
        <v>35</v>
      </c>
      <c r="D1672" s="35" t="s">
        <v>45</v>
      </c>
      <c r="E1672" s="35" t="s">
        <v>25</v>
      </c>
      <c r="F1672" s="35" t="s">
        <v>25</v>
      </c>
      <c r="G1672" s="35" t="s">
        <v>25</v>
      </c>
      <c r="H1672" s="35" t="s">
        <v>38</v>
      </c>
      <c r="I1672" s="45">
        <v>44682</v>
      </c>
      <c r="J1672" s="46">
        <f>EFEITO!$J$1672*EFEITO!$Y$1672</f>
        <v>0</v>
      </c>
      <c r="K1672" s="46">
        <f ca="1">EFEITO!$L$1672*EFEITO!$Z$1672</f>
        <v>741.61817951375485</v>
      </c>
      <c r="L1672" s="46">
        <f>EFEITO!$N$1672*EFEITO!$AA$1672</f>
        <v>187.8507825313074</v>
      </c>
      <c r="M1672" s="46">
        <f>$J$1672-EFEITO!$K$1672*EFEITO!$Y$1672</f>
        <v>0</v>
      </c>
      <c r="N1672" s="46">
        <f ca="1">$K$1672-EFEITO!$M$1672*EFEITO!$Z$1672</f>
        <v>0</v>
      </c>
      <c r="O1672" s="46">
        <f>$L$1672-EFEITO!$O$1672*EFEITO!$AA$1672</f>
        <v>0</v>
      </c>
      <c r="P1672" s="38"/>
      <c r="Q1672" s="38"/>
      <c r="R1672" s="38"/>
      <c r="S1672" s="38"/>
      <c r="T1672" s="38"/>
      <c r="U1672" s="38"/>
      <c r="V1672" s="38"/>
      <c r="W1672" s="38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</row>
    <row r="1673" spans="1:36" ht="11.25" customHeight="1" x14ac:dyDescent="0.2">
      <c r="A1673" s="35" t="s">
        <v>29</v>
      </c>
      <c r="B1673" s="35" t="s">
        <v>39</v>
      </c>
      <c r="C1673" s="35" t="s">
        <v>35</v>
      </c>
      <c r="D1673" s="35" t="s">
        <v>45</v>
      </c>
      <c r="E1673" s="35" t="s">
        <v>25</v>
      </c>
      <c r="F1673" s="35" t="s">
        <v>25</v>
      </c>
      <c r="G1673" s="35" t="s">
        <v>25</v>
      </c>
      <c r="H1673" s="35" t="s">
        <v>38</v>
      </c>
      <c r="I1673" s="45">
        <v>44682</v>
      </c>
      <c r="J1673" s="46">
        <f>EFEITO!$J$1673*EFEITO!$Y$1673</f>
        <v>0</v>
      </c>
      <c r="K1673" s="46">
        <f ca="1">EFEITO!$L$1673*EFEITO!$Z$1673</f>
        <v>-644.05955985711421</v>
      </c>
      <c r="L1673" s="46">
        <f>EFEITO!$N$1673*EFEITO!$AA$1673</f>
        <v>-163.13932918318432</v>
      </c>
      <c r="M1673" s="46">
        <f>$J$1673-EFEITO!$K$1673*EFEITO!$Y$1673</f>
        <v>0</v>
      </c>
      <c r="N1673" s="46">
        <f ca="1">$K$1673-EFEITO!$M$1673*EFEITO!$Z$1673</f>
        <v>0</v>
      </c>
      <c r="O1673" s="46">
        <f>$L$1673-EFEITO!$O$1673*EFEITO!$AA$1673</f>
        <v>0</v>
      </c>
      <c r="P1673" s="38"/>
      <c r="Q1673" s="38"/>
      <c r="R1673" s="38"/>
      <c r="S1673" s="38"/>
      <c r="T1673" s="38"/>
      <c r="U1673" s="38"/>
      <c r="V1673" s="38"/>
      <c r="W1673" s="38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</row>
    <row r="1674" spans="1:36" ht="11.25" customHeight="1" x14ac:dyDescent="0.2">
      <c r="A1674" s="35" t="s">
        <v>30</v>
      </c>
      <c r="B1674" s="35" t="s">
        <v>39</v>
      </c>
      <c r="C1674" s="35" t="s">
        <v>35</v>
      </c>
      <c r="D1674" s="35" t="s">
        <v>45</v>
      </c>
      <c r="E1674" s="35" t="s">
        <v>25</v>
      </c>
      <c r="F1674" s="35" t="s">
        <v>25</v>
      </c>
      <c r="G1674" s="35" t="s">
        <v>25</v>
      </c>
      <c r="H1674" s="35" t="s">
        <v>38</v>
      </c>
      <c r="I1674" s="45">
        <v>44682</v>
      </c>
      <c r="J1674" s="46">
        <f>EFEITO!$J$1674*EFEITO!$Y$1674</f>
        <v>0</v>
      </c>
      <c r="K1674" s="46">
        <f ca="1">EFEITO!$L$1674*EFEITO!$Z$1674</f>
        <v>44.894232054383295</v>
      </c>
      <c r="L1674" s="46">
        <f>EFEITO!$N$1674*EFEITO!$AA$1674</f>
        <v>11.371642248693812</v>
      </c>
      <c r="M1674" s="46">
        <f>$J$1674-EFEITO!$K$1674*EFEITO!$Y$1674</f>
        <v>0</v>
      </c>
      <c r="N1674" s="46">
        <f ca="1">$K$1674-EFEITO!$M$1674*EFEITO!$Z$1674</f>
        <v>0</v>
      </c>
      <c r="O1674" s="46">
        <f>$L$1674-EFEITO!$O$1674*EFEITO!$AA$1674</f>
        <v>0</v>
      </c>
      <c r="P1674" s="38"/>
      <c r="Q1674" s="38"/>
      <c r="R1674" s="38"/>
      <c r="S1674" s="38"/>
      <c r="T1674" s="38"/>
      <c r="U1674" s="38"/>
      <c r="V1674" s="38"/>
      <c r="W1674" s="38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</row>
    <row r="1675" spans="1:36" ht="11.25" customHeight="1" x14ac:dyDescent="0.2">
      <c r="A1675" s="35" t="s">
        <v>21</v>
      </c>
      <c r="B1675" s="35" t="s">
        <v>39</v>
      </c>
      <c r="C1675" s="35" t="s">
        <v>35</v>
      </c>
      <c r="D1675" s="35" t="s">
        <v>45</v>
      </c>
      <c r="E1675" s="35" t="s">
        <v>25</v>
      </c>
      <c r="F1675" s="35" t="s">
        <v>25</v>
      </c>
      <c r="G1675" s="35" t="s">
        <v>25</v>
      </c>
      <c r="H1675" s="35" t="s">
        <v>38</v>
      </c>
      <c r="I1675" s="45">
        <v>44713</v>
      </c>
      <c r="J1675" s="46">
        <f>EFEITO!$J$1675*EFEITO!$Y$1675</f>
        <v>0</v>
      </c>
      <c r="K1675" s="46">
        <f ca="1">EFEITO!$L$1675*EFEITO!$Z$1675</f>
        <v>1573.8881737527067</v>
      </c>
      <c r="L1675" s="46">
        <f>EFEITO!$N$1675*EFEITO!$AA$1675</f>
        <v>398.66353498786191</v>
      </c>
      <c r="M1675" s="46">
        <f>$J$1675-EFEITO!$K$1675*EFEITO!$Y$1675</f>
        <v>0</v>
      </c>
      <c r="N1675" s="46">
        <f ca="1">$K$1675-EFEITO!$M$1675*EFEITO!$Z$1675</f>
        <v>0</v>
      </c>
      <c r="O1675" s="46">
        <f>$L$1675-EFEITO!$O$1675*EFEITO!$AA$1675</f>
        <v>0</v>
      </c>
      <c r="P1675" s="38"/>
      <c r="Q1675" s="38"/>
      <c r="R1675" s="38"/>
      <c r="S1675" s="38"/>
      <c r="T1675" s="38"/>
      <c r="U1675" s="38"/>
      <c r="V1675" s="38"/>
      <c r="W1675" s="38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</row>
    <row r="1676" spans="1:36" ht="11.25" customHeight="1" x14ac:dyDescent="0.2">
      <c r="A1676" s="35" t="s">
        <v>28</v>
      </c>
      <c r="B1676" s="35" t="s">
        <v>39</v>
      </c>
      <c r="C1676" s="35" t="s">
        <v>35</v>
      </c>
      <c r="D1676" s="35" t="s">
        <v>45</v>
      </c>
      <c r="E1676" s="35" t="s">
        <v>25</v>
      </c>
      <c r="F1676" s="35" t="s">
        <v>25</v>
      </c>
      <c r="G1676" s="35" t="s">
        <v>25</v>
      </c>
      <c r="H1676" s="35" t="s">
        <v>38</v>
      </c>
      <c r="I1676" s="45">
        <v>44713</v>
      </c>
      <c r="J1676" s="46">
        <f>EFEITO!$J$1676*EFEITO!$Y$1676</f>
        <v>0</v>
      </c>
      <c r="K1676" s="46">
        <f ca="1">EFEITO!$L$1676*EFEITO!$Z$1676</f>
        <v>504.19675999538157</v>
      </c>
      <c r="L1676" s="46">
        <f>EFEITO!$N$1676*EFEITO!$AA$1676</f>
        <v>127.71228986994589</v>
      </c>
      <c r="M1676" s="46">
        <f>$J$1676-EFEITO!$K$1676*EFEITO!$Y$1676</f>
        <v>0</v>
      </c>
      <c r="N1676" s="46">
        <f ca="1">$K$1676-EFEITO!$M$1676*EFEITO!$Z$1676</f>
        <v>0</v>
      </c>
      <c r="O1676" s="46">
        <f>$L$1676-EFEITO!$O$1676*EFEITO!$AA$1676</f>
        <v>0</v>
      </c>
      <c r="P1676" s="38"/>
      <c r="Q1676" s="38"/>
      <c r="R1676" s="38"/>
      <c r="S1676" s="38"/>
      <c r="T1676" s="38"/>
      <c r="U1676" s="38"/>
      <c r="V1676" s="38"/>
      <c r="W1676" s="38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</row>
    <row r="1677" spans="1:36" ht="11.25" customHeight="1" x14ac:dyDescent="0.2">
      <c r="A1677" s="35" t="s">
        <v>21</v>
      </c>
      <c r="B1677" s="35" t="s">
        <v>39</v>
      </c>
      <c r="C1677" s="35" t="s">
        <v>35</v>
      </c>
      <c r="D1677" s="35" t="s">
        <v>45</v>
      </c>
      <c r="E1677" s="35" t="s">
        <v>25</v>
      </c>
      <c r="F1677" s="35" t="s">
        <v>25</v>
      </c>
      <c r="G1677" s="35" t="s">
        <v>25</v>
      </c>
      <c r="H1677" s="35" t="s">
        <v>38</v>
      </c>
      <c r="I1677" s="45">
        <v>44743</v>
      </c>
      <c r="J1677" s="46">
        <f>EFEITO!$J$1677*EFEITO!$Y$1677</f>
        <v>0</v>
      </c>
      <c r="K1677" s="46">
        <f ca="1">EFEITO!$L$1677*EFEITO!$Z$1677</f>
        <v>2774.8088812074598</v>
      </c>
      <c r="L1677" s="46">
        <f>EFEITO!$N$1677*EFEITO!$AA$1677</f>
        <v>702.85496514042143</v>
      </c>
      <c r="M1677" s="46">
        <f>$J$1677-EFEITO!$K$1677*EFEITO!$Y$1677</f>
        <v>0</v>
      </c>
      <c r="N1677" s="46">
        <f ca="1">$K$1677-EFEITO!$M$1677*EFEITO!$Z$1677</f>
        <v>0</v>
      </c>
      <c r="O1677" s="46">
        <f>$L$1677-EFEITO!$O$1677*EFEITO!$AA$1677</f>
        <v>0</v>
      </c>
      <c r="P1677" s="38"/>
      <c r="Q1677" s="38"/>
      <c r="R1677" s="38"/>
      <c r="S1677" s="38"/>
      <c r="T1677" s="38"/>
      <c r="U1677" s="38"/>
      <c r="V1677" s="38"/>
      <c r="W1677" s="38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</row>
    <row r="1678" spans="1:36" ht="11.25" customHeight="1" x14ac:dyDescent="0.2">
      <c r="A1678" s="35" t="s">
        <v>27</v>
      </c>
      <c r="B1678" s="35" t="s">
        <v>39</v>
      </c>
      <c r="C1678" s="35" t="s">
        <v>35</v>
      </c>
      <c r="D1678" s="35" t="s">
        <v>45</v>
      </c>
      <c r="E1678" s="35" t="s">
        <v>25</v>
      </c>
      <c r="F1678" s="35" t="s">
        <v>25</v>
      </c>
      <c r="G1678" s="35" t="s">
        <v>25</v>
      </c>
      <c r="H1678" s="35" t="s">
        <v>38</v>
      </c>
      <c r="I1678" s="45">
        <v>44743</v>
      </c>
      <c r="J1678" s="46">
        <f>EFEITO!$J$1678*EFEITO!$Y$1678</f>
        <v>0</v>
      </c>
      <c r="K1678" s="46">
        <f ca="1">EFEITO!$L$1678*EFEITO!$Z$1678</f>
        <v>183.89368129968543</v>
      </c>
      <c r="L1678" s="46">
        <f>EFEITO!$N$1678*EFEITO!$AA$1678</f>
        <v>46.579996134072729</v>
      </c>
      <c r="M1678" s="46">
        <f>$J$1678-EFEITO!$K$1678*EFEITO!$Y$1678</f>
        <v>0</v>
      </c>
      <c r="N1678" s="46">
        <f ca="1">$K$1678-EFEITO!$M$1678*EFEITO!$Z$1678</f>
        <v>0</v>
      </c>
      <c r="O1678" s="46">
        <f>$L$1678-EFEITO!$O$1678*EFEITO!$AA$1678</f>
        <v>0</v>
      </c>
      <c r="P1678" s="38"/>
      <c r="Q1678" s="38"/>
      <c r="R1678" s="38"/>
      <c r="S1678" s="38"/>
      <c r="T1678" s="38"/>
      <c r="U1678" s="38"/>
      <c r="V1678" s="38"/>
      <c r="W1678" s="38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</row>
    <row r="1679" spans="1:36" ht="11.25" customHeight="1" x14ac:dyDescent="0.2">
      <c r="A1679" s="35" t="s">
        <v>28</v>
      </c>
      <c r="B1679" s="35" t="s">
        <v>39</v>
      </c>
      <c r="C1679" s="35" t="s">
        <v>35</v>
      </c>
      <c r="D1679" s="35" t="s">
        <v>45</v>
      </c>
      <c r="E1679" s="35" t="s">
        <v>25</v>
      </c>
      <c r="F1679" s="35" t="s">
        <v>25</v>
      </c>
      <c r="G1679" s="35" t="s">
        <v>25</v>
      </c>
      <c r="H1679" s="35" t="s">
        <v>38</v>
      </c>
      <c r="I1679" s="45">
        <v>44743</v>
      </c>
      <c r="J1679" s="46">
        <f>EFEITO!$J$1679*EFEITO!$Y$1679</f>
        <v>0</v>
      </c>
      <c r="K1679" s="46">
        <f ca="1">EFEITO!$L$1679*EFEITO!$Z$1679</f>
        <v>585.35171793984375</v>
      </c>
      <c r="L1679" s="46">
        <f>EFEITO!$N$1679*EFEITO!$AA$1679</f>
        <v>148.26872008873858</v>
      </c>
      <c r="M1679" s="46">
        <f>$J$1679-EFEITO!$K$1679*EFEITO!$Y$1679</f>
        <v>0</v>
      </c>
      <c r="N1679" s="46">
        <f ca="1">$K$1679-EFEITO!$M$1679*EFEITO!$Z$1679</f>
        <v>0</v>
      </c>
      <c r="O1679" s="46">
        <f>$L$1679-EFEITO!$O$1679*EFEITO!$AA$1679</f>
        <v>0</v>
      </c>
      <c r="P1679" s="38"/>
      <c r="Q1679" s="38"/>
      <c r="R1679" s="38"/>
      <c r="S1679" s="38"/>
      <c r="T1679" s="38"/>
      <c r="U1679" s="38"/>
      <c r="V1679" s="38"/>
      <c r="W1679" s="38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</row>
    <row r="1680" spans="1:36" ht="11.25" customHeight="1" x14ac:dyDescent="0.2">
      <c r="A1680" s="35" t="s">
        <v>30</v>
      </c>
      <c r="B1680" s="35" t="s">
        <v>39</v>
      </c>
      <c r="C1680" s="35" t="s">
        <v>35</v>
      </c>
      <c r="D1680" s="35" t="s">
        <v>45</v>
      </c>
      <c r="E1680" s="35" t="s">
        <v>25</v>
      </c>
      <c r="F1680" s="35" t="s">
        <v>25</v>
      </c>
      <c r="G1680" s="35" t="s">
        <v>25</v>
      </c>
      <c r="H1680" s="35" t="s">
        <v>38</v>
      </c>
      <c r="I1680" s="45">
        <v>44743</v>
      </c>
      <c r="J1680" s="46">
        <f>EFEITO!$J$1680*EFEITO!$Y$1680</f>
        <v>0</v>
      </c>
      <c r="K1680" s="46">
        <f ca="1">EFEITO!$L$1680*EFEITO!$Z$1680</f>
        <v>37.124076506509262</v>
      </c>
      <c r="L1680" s="46">
        <f>EFEITO!$N$1680*EFEITO!$AA$1680</f>
        <v>9.4034733979583436</v>
      </c>
      <c r="M1680" s="46">
        <f>$J$1680-EFEITO!$K$1680*EFEITO!$Y$1680</f>
        <v>0</v>
      </c>
      <c r="N1680" s="46">
        <f ca="1">$K$1680-EFEITO!$M$1680*EFEITO!$Z$1680</f>
        <v>0</v>
      </c>
      <c r="O1680" s="46">
        <f>$L$1680-EFEITO!$O$1680*EFEITO!$AA$1680</f>
        <v>0</v>
      </c>
      <c r="P1680" s="38"/>
      <c r="Q1680" s="38"/>
      <c r="R1680" s="38"/>
      <c r="S1680" s="38"/>
      <c r="T1680" s="38"/>
      <c r="U1680" s="38"/>
      <c r="V1680" s="38"/>
      <c r="W1680" s="38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</row>
    <row r="1681" spans="1:36" ht="11.25" customHeight="1" x14ac:dyDescent="0.2">
      <c r="A1681" s="35" t="s">
        <v>21</v>
      </c>
      <c r="B1681" s="35" t="s">
        <v>39</v>
      </c>
      <c r="C1681" s="35" t="s">
        <v>35</v>
      </c>
      <c r="D1681" s="35" t="s">
        <v>45</v>
      </c>
      <c r="E1681" s="35" t="s">
        <v>25</v>
      </c>
      <c r="F1681" s="35" t="s">
        <v>25</v>
      </c>
      <c r="G1681" s="35" t="s">
        <v>25</v>
      </c>
      <c r="H1681" s="35" t="s">
        <v>38</v>
      </c>
      <c r="I1681" s="45">
        <v>44774</v>
      </c>
      <c r="J1681" s="46">
        <f>EFEITO!$J$1681*EFEITO!$Y$1681</f>
        <v>0</v>
      </c>
      <c r="K1681" s="46">
        <f ca="1">EFEITO!$L$1681*EFEITO!$Z$1681</f>
        <v>1961.5326005299776</v>
      </c>
      <c r="L1681" s="46">
        <f>EFEITO!$N$1681*EFEITO!$AA$1681</f>
        <v>496.85329209677576</v>
      </c>
      <c r="M1681" s="46">
        <f>$J$1681-EFEITO!$K$1681*EFEITO!$Y$1681</f>
        <v>0</v>
      </c>
      <c r="N1681" s="46">
        <f ca="1">$K$1681-EFEITO!$M$1681*EFEITO!$Z$1681</f>
        <v>0</v>
      </c>
      <c r="O1681" s="46">
        <f>$L$1681-EFEITO!$O$1681*EFEITO!$AA$1681</f>
        <v>0</v>
      </c>
      <c r="P1681" s="38"/>
      <c r="Q1681" s="38"/>
      <c r="R1681" s="38"/>
      <c r="S1681" s="38"/>
      <c r="T1681" s="38"/>
      <c r="U1681" s="38"/>
      <c r="V1681" s="38"/>
      <c r="W1681" s="38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</row>
    <row r="1682" spans="1:36" ht="11.25" customHeight="1" x14ac:dyDescent="0.2">
      <c r="A1682" s="35" t="s">
        <v>27</v>
      </c>
      <c r="B1682" s="35" t="s">
        <v>39</v>
      </c>
      <c r="C1682" s="35" t="s">
        <v>35</v>
      </c>
      <c r="D1682" s="35" t="s">
        <v>45</v>
      </c>
      <c r="E1682" s="35" t="s">
        <v>25</v>
      </c>
      <c r="F1682" s="35" t="s">
        <v>25</v>
      </c>
      <c r="G1682" s="35" t="s">
        <v>25</v>
      </c>
      <c r="H1682" s="35" t="s">
        <v>38</v>
      </c>
      <c r="I1682" s="45">
        <v>44774</v>
      </c>
      <c r="J1682" s="46">
        <f>EFEITO!$J$1682*EFEITO!$Y$1682</f>
        <v>0</v>
      </c>
      <c r="K1682" s="46">
        <f ca="1">EFEITO!$L$1682*EFEITO!$Z$1682</f>
        <v>-707.94750547296735</v>
      </c>
      <c r="L1682" s="46">
        <f>EFEITO!$N$1682*EFEITO!$AA$1682</f>
        <v>-179.32205084478704</v>
      </c>
      <c r="M1682" s="46">
        <f>$J$1682-EFEITO!$K$1682*EFEITO!$Y$1682</f>
        <v>0</v>
      </c>
      <c r="N1682" s="46">
        <f ca="1">$K$1682-EFEITO!$M$1682*EFEITO!$Z$1682</f>
        <v>0</v>
      </c>
      <c r="O1682" s="46">
        <f>$L$1682-EFEITO!$O$1682*EFEITO!$AA$1682</f>
        <v>0</v>
      </c>
      <c r="P1682" s="38"/>
      <c r="Q1682" s="38"/>
      <c r="R1682" s="38"/>
      <c r="S1682" s="38"/>
      <c r="T1682" s="38"/>
      <c r="U1682" s="38"/>
      <c r="V1682" s="38"/>
      <c r="W1682" s="38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</row>
    <row r="1683" spans="1:36" ht="11.25" customHeight="1" x14ac:dyDescent="0.2">
      <c r="A1683" s="35" t="s">
        <v>28</v>
      </c>
      <c r="B1683" s="35" t="s">
        <v>39</v>
      </c>
      <c r="C1683" s="35" t="s">
        <v>35</v>
      </c>
      <c r="D1683" s="35" t="s">
        <v>45</v>
      </c>
      <c r="E1683" s="35" t="s">
        <v>25</v>
      </c>
      <c r="F1683" s="35" t="s">
        <v>25</v>
      </c>
      <c r="G1683" s="35" t="s">
        <v>25</v>
      </c>
      <c r="H1683" s="35" t="s">
        <v>38</v>
      </c>
      <c r="I1683" s="45">
        <v>44774</v>
      </c>
      <c r="J1683" s="46">
        <f>EFEITO!$J$1683*EFEITO!$Y$1683</f>
        <v>0</v>
      </c>
      <c r="K1683" s="46">
        <f ca="1">EFEITO!$L$1683*EFEITO!$Z$1683</f>
        <v>488.65644889963352</v>
      </c>
      <c r="L1683" s="46">
        <f>EFEITO!$N$1683*EFEITO!$AA$1683</f>
        <v>123.77595216847494</v>
      </c>
      <c r="M1683" s="46">
        <f>$J$1683-EFEITO!$K$1683*EFEITO!$Y$1683</f>
        <v>0</v>
      </c>
      <c r="N1683" s="46">
        <f ca="1">$K$1683-EFEITO!$M$1683*EFEITO!$Z$1683</f>
        <v>0</v>
      </c>
      <c r="O1683" s="46">
        <f>$L$1683-EFEITO!$O$1683*EFEITO!$AA$1683</f>
        <v>0</v>
      </c>
      <c r="P1683" s="38"/>
      <c r="Q1683" s="38"/>
      <c r="R1683" s="38"/>
      <c r="S1683" s="38"/>
      <c r="T1683" s="38"/>
      <c r="U1683" s="38"/>
      <c r="V1683" s="38"/>
      <c r="W1683" s="38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</row>
    <row r="1684" spans="1:36" ht="11.25" customHeight="1" x14ac:dyDescent="0.2">
      <c r="A1684" s="35" t="s">
        <v>30</v>
      </c>
      <c r="B1684" s="35" t="s">
        <v>39</v>
      </c>
      <c r="C1684" s="35" t="s">
        <v>35</v>
      </c>
      <c r="D1684" s="35" t="s">
        <v>45</v>
      </c>
      <c r="E1684" s="35" t="s">
        <v>25</v>
      </c>
      <c r="F1684" s="35" t="s">
        <v>25</v>
      </c>
      <c r="G1684" s="35" t="s">
        <v>25</v>
      </c>
      <c r="H1684" s="35" t="s">
        <v>38</v>
      </c>
      <c r="I1684" s="45">
        <v>44774</v>
      </c>
      <c r="J1684" s="46">
        <f>EFEITO!$J$1684*EFEITO!$Y$1684</f>
        <v>0</v>
      </c>
      <c r="K1684" s="46">
        <f ca="1">EFEITO!$L$1684*EFEITO!$Z$1684</f>
        <v>15.540311095748063</v>
      </c>
      <c r="L1684" s="46">
        <f>EFEITO!$N$1684*EFEITO!$AA$1684</f>
        <v>3.9363377014709351</v>
      </c>
      <c r="M1684" s="46">
        <f>$J$1684-EFEITO!$K$1684*EFEITO!$Y$1684</f>
        <v>0</v>
      </c>
      <c r="N1684" s="46">
        <f ca="1">$K$1684-EFEITO!$M$1684*EFEITO!$Z$1684</f>
        <v>0</v>
      </c>
      <c r="O1684" s="46">
        <f>$L$1684-EFEITO!$O$1684*EFEITO!$AA$1684</f>
        <v>0</v>
      </c>
      <c r="P1684" s="38"/>
      <c r="Q1684" s="38"/>
      <c r="R1684" s="38"/>
      <c r="S1684" s="38"/>
      <c r="T1684" s="38"/>
      <c r="U1684" s="38"/>
      <c r="V1684" s="38"/>
      <c r="W1684" s="38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</row>
    <row r="1685" spans="1:36" ht="11.25" customHeight="1" x14ac:dyDescent="0.2">
      <c r="A1685" s="35" t="s">
        <v>21</v>
      </c>
      <c r="B1685" s="35" t="s">
        <v>39</v>
      </c>
      <c r="C1685" s="35" t="s">
        <v>35</v>
      </c>
      <c r="D1685" s="35" t="s">
        <v>45</v>
      </c>
      <c r="E1685" s="35" t="s">
        <v>25</v>
      </c>
      <c r="F1685" s="35" t="s">
        <v>25</v>
      </c>
      <c r="G1685" s="35" t="s">
        <v>25</v>
      </c>
      <c r="H1685" s="35" t="s">
        <v>38</v>
      </c>
      <c r="I1685" s="45">
        <v>44805</v>
      </c>
      <c r="J1685" s="46">
        <f>EFEITO!$J$1685*EFEITO!$Y$1685</f>
        <v>0</v>
      </c>
      <c r="K1685" s="46">
        <f ca="1">EFEITO!$L$1685*EFEITO!$Z$1685</f>
        <v>2085.8550892959624</v>
      </c>
      <c r="L1685" s="46">
        <f>EFEITO!$N$1685*EFEITO!$AA$1685</f>
        <v>528.34399370854328</v>
      </c>
      <c r="M1685" s="46">
        <f>$J$1685-EFEITO!$K$1685*EFEITO!$Y$1685</f>
        <v>0</v>
      </c>
      <c r="N1685" s="46">
        <f ca="1">$K$1685-EFEITO!$M$1685*EFEITO!$Z$1685</f>
        <v>0</v>
      </c>
      <c r="O1685" s="46">
        <f>$L$1685-EFEITO!$O$1685*EFEITO!$AA$1685</f>
        <v>0</v>
      </c>
      <c r="P1685" s="38"/>
      <c r="Q1685" s="38"/>
      <c r="R1685" s="38"/>
      <c r="S1685" s="38"/>
      <c r="T1685" s="38"/>
      <c r="U1685" s="38"/>
      <c r="V1685" s="38"/>
      <c r="W1685" s="38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</row>
    <row r="1686" spans="1:36" ht="11.25" customHeight="1" x14ac:dyDescent="0.2">
      <c r="A1686" s="35" t="s">
        <v>27</v>
      </c>
      <c r="B1686" s="35" t="s">
        <v>39</v>
      </c>
      <c r="C1686" s="35" t="s">
        <v>35</v>
      </c>
      <c r="D1686" s="35" t="s">
        <v>45</v>
      </c>
      <c r="E1686" s="35" t="s">
        <v>25</v>
      </c>
      <c r="F1686" s="35" t="s">
        <v>25</v>
      </c>
      <c r="G1686" s="35" t="s">
        <v>25</v>
      </c>
      <c r="H1686" s="35" t="s">
        <v>38</v>
      </c>
      <c r="I1686" s="45">
        <v>44805</v>
      </c>
      <c r="J1686" s="46">
        <f>EFEITO!$J$1686*EFEITO!$Y$1686</f>
        <v>0</v>
      </c>
      <c r="K1686" s="46">
        <f ca="1">EFEITO!$L$1686*EFEITO!$Z$1686</f>
        <v>7.7701555478740314</v>
      </c>
      <c r="L1686" s="46">
        <f>EFEITO!$N$1686*EFEITO!$AA$1686</f>
        <v>1.9681688507354675</v>
      </c>
      <c r="M1686" s="46">
        <f>$J$1686-EFEITO!$K$1686*EFEITO!$Y$1686</f>
        <v>0</v>
      </c>
      <c r="N1686" s="46">
        <f ca="1">$K$1686-EFEITO!$M$1686*EFEITO!$Z$1686</f>
        <v>0</v>
      </c>
      <c r="O1686" s="46">
        <f>$L$1686-EFEITO!$O$1686*EFEITO!$AA$1686</f>
        <v>0</v>
      </c>
      <c r="P1686" s="38"/>
      <c r="Q1686" s="38"/>
      <c r="R1686" s="38"/>
      <c r="S1686" s="38"/>
      <c r="T1686" s="38"/>
      <c r="U1686" s="38"/>
      <c r="V1686" s="38"/>
      <c r="W1686" s="38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</row>
    <row r="1687" spans="1:36" ht="11.25" customHeight="1" x14ac:dyDescent="0.2">
      <c r="A1687" s="35" t="s">
        <v>28</v>
      </c>
      <c r="B1687" s="35" t="s">
        <v>39</v>
      </c>
      <c r="C1687" s="35" t="s">
        <v>35</v>
      </c>
      <c r="D1687" s="35" t="s">
        <v>45</v>
      </c>
      <c r="E1687" s="35" t="s">
        <v>25</v>
      </c>
      <c r="F1687" s="35" t="s">
        <v>25</v>
      </c>
      <c r="G1687" s="35" t="s">
        <v>25</v>
      </c>
      <c r="H1687" s="35" t="s">
        <v>38</v>
      </c>
      <c r="I1687" s="45">
        <v>44805</v>
      </c>
      <c r="J1687" s="46">
        <f>EFEITO!$J$1687*EFEITO!$Y$1687</f>
        <v>0</v>
      </c>
      <c r="K1687" s="46">
        <f ca="1">EFEITO!$L$1687*EFEITO!$Z$1687</f>
        <v>400.59468602372789</v>
      </c>
      <c r="L1687" s="46">
        <f>EFEITO!$N$1687*EFEITO!$AA$1687</f>
        <v>101.47003852680633</v>
      </c>
      <c r="M1687" s="46">
        <f>$J$1687-EFEITO!$K$1687*EFEITO!$Y$1687</f>
        <v>0</v>
      </c>
      <c r="N1687" s="46">
        <f ca="1">$K$1687-EFEITO!$M$1687*EFEITO!$Z$1687</f>
        <v>0</v>
      </c>
      <c r="O1687" s="46">
        <f>$L$1687-EFEITO!$O$1687*EFEITO!$AA$1687</f>
        <v>0</v>
      </c>
      <c r="P1687" s="38"/>
      <c r="Q1687" s="38"/>
      <c r="R1687" s="38"/>
      <c r="S1687" s="38"/>
      <c r="T1687" s="38"/>
      <c r="U1687" s="38"/>
      <c r="V1687" s="38"/>
      <c r="W1687" s="38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</row>
    <row r="1688" spans="1:36" ht="11.25" customHeight="1" x14ac:dyDescent="0.2">
      <c r="A1688" s="35" t="s">
        <v>30</v>
      </c>
      <c r="B1688" s="35" t="s">
        <v>39</v>
      </c>
      <c r="C1688" s="35" t="s">
        <v>35</v>
      </c>
      <c r="D1688" s="35" t="s">
        <v>45</v>
      </c>
      <c r="E1688" s="35" t="s">
        <v>25</v>
      </c>
      <c r="F1688" s="35" t="s">
        <v>25</v>
      </c>
      <c r="G1688" s="35" t="s">
        <v>25</v>
      </c>
      <c r="H1688" s="35" t="s">
        <v>38</v>
      </c>
      <c r="I1688" s="45">
        <v>44805</v>
      </c>
      <c r="J1688" s="46">
        <f>EFEITO!$J$1688*EFEITO!$Y$1688</f>
        <v>0</v>
      </c>
      <c r="K1688" s="46">
        <f ca="1">EFEITO!$L$1688*EFEITO!$Z$1688</f>
        <v>26.763869109343887</v>
      </c>
      <c r="L1688" s="46">
        <f>EFEITO!$N$1688*EFEITO!$AA$1688</f>
        <v>6.779248263644388</v>
      </c>
      <c r="M1688" s="46">
        <f>$J$1688-EFEITO!$K$1688*EFEITO!$Y$1688</f>
        <v>0</v>
      </c>
      <c r="N1688" s="46">
        <f ca="1">$K$1688-EFEITO!$M$1688*EFEITO!$Z$1688</f>
        <v>0</v>
      </c>
      <c r="O1688" s="46">
        <f>$L$1688-EFEITO!$O$1688*EFEITO!$AA$1688</f>
        <v>0</v>
      </c>
      <c r="P1688" s="38"/>
      <c r="Q1688" s="38"/>
      <c r="R1688" s="38"/>
      <c r="S1688" s="38"/>
      <c r="T1688" s="38"/>
      <c r="U1688" s="38"/>
      <c r="V1688" s="38"/>
      <c r="W1688" s="38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</row>
    <row r="1689" spans="1:36" ht="11.25" customHeight="1" x14ac:dyDescent="0.2">
      <c r="A1689" s="35" t="s">
        <v>21</v>
      </c>
      <c r="B1689" s="35" t="s">
        <v>39</v>
      </c>
      <c r="C1689" s="35" t="s">
        <v>35</v>
      </c>
      <c r="D1689" s="35" t="s">
        <v>45</v>
      </c>
      <c r="E1689" s="35" t="s">
        <v>25</v>
      </c>
      <c r="F1689" s="35" t="s">
        <v>25</v>
      </c>
      <c r="G1689" s="35" t="s">
        <v>25</v>
      </c>
      <c r="H1689" s="35" t="s">
        <v>38</v>
      </c>
      <c r="I1689" s="45">
        <v>44835</v>
      </c>
      <c r="J1689" s="46">
        <f>EFEITO!$J$1689*EFEITO!$Y$1689</f>
        <v>0</v>
      </c>
      <c r="K1689" s="46">
        <f ca="1">EFEITO!$L$1689*EFEITO!$Z$1689</f>
        <v>2416.5183753888236</v>
      </c>
      <c r="L1689" s="46">
        <f>EFEITO!$N$1689*EFEITO!$AA$1689</f>
        <v>612.10051257873045</v>
      </c>
      <c r="M1689" s="46">
        <f>$J$1689-EFEITO!$K$1689*EFEITO!$Y$1689</f>
        <v>0</v>
      </c>
      <c r="N1689" s="46">
        <f ca="1">$K$1689-EFEITO!$M$1689*EFEITO!$Z$1689</f>
        <v>0</v>
      </c>
      <c r="O1689" s="46">
        <f>$L$1689-EFEITO!$O$1689*EFEITO!$AA$1689</f>
        <v>0</v>
      </c>
      <c r="P1689" s="38"/>
      <c r="Q1689" s="38"/>
      <c r="R1689" s="38"/>
      <c r="S1689" s="38"/>
      <c r="T1689" s="38"/>
      <c r="U1689" s="38"/>
      <c r="V1689" s="38"/>
      <c r="W1689" s="38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</row>
    <row r="1690" spans="1:36" ht="11.25" customHeight="1" x14ac:dyDescent="0.2">
      <c r="A1690" s="35" t="s">
        <v>28</v>
      </c>
      <c r="B1690" s="35" t="s">
        <v>39</v>
      </c>
      <c r="C1690" s="35" t="s">
        <v>35</v>
      </c>
      <c r="D1690" s="35" t="s">
        <v>45</v>
      </c>
      <c r="E1690" s="35" t="s">
        <v>25</v>
      </c>
      <c r="F1690" s="35" t="s">
        <v>25</v>
      </c>
      <c r="G1690" s="35" t="s">
        <v>25</v>
      </c>
      <c r="H1690" s="35" t="s">
        <v>38</v>
      </c>
      <c r="I1690" s="45">
        <v>44835</v>
      </c>
      <c r="J1690" s="46">
        <f>EFEITO!$J$1690*EFEITO!$Y$1690</f>
        <v>0</v>
      </c>
      <c r="K1690" s="46">
        <f ca="1">EFEITO!$L$1690*EFEITO!$Z$1690</f>
        <v>496.42660444750754</v>
      </c>
      <c r="L1690" s="46">
        <f>EFEITO!$N$1690*EFEITO!$AA$1690</f>
        <v>125.74412101921043</v>
      </c>
      <c r="M1690" s="46">
        <f>$J$1690-EFEITO!$K$1690*EFEITO!$Y$1690</f>
        <v>0</v>
      </c>
      <c r="N1690" s="46">
        <f ca="1">$K$1690-EFEITO!$M$1690*EFEITO!$Z$1690</f>
        <v>0</v>
      </c>
      <c r="O1690" s="46">
        <f>$L$1690-EFEITO!$O$1690*EFEITO!$AA$1690</f>
        <v>0</v>
      </c>
      <c r="P1690" s="38"/>
      <c r="Q1690" s="38"/>
      <c r="R1690" s="38"/>
      <c r="S1690" s="38"/>
      <c r="T1690" s="38"/>
      <c r="U1690" s="38"/>
      <c r="V1690" s="38"/>
      <c r="W1690" s="38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</row>
    <row r="1691" spans="1:36" ht="11.25" customHeight="1" x14ac:dyDescent="0.2">
      <c r="A1691" s="35" t="s">
        <v>30</v>
      </c>
      <c r="B1691" s="35" t="s">
        <v>39</v>
      </c>
      <c r="C1691" s="35" t="s">
        <v>35</v>
      </c>
      <c r="D1691" s="35" t="s">
        <v>45</v>
      </c>
      <c r="E1691" s="35" t="s">
        <v>25</v>
      </c>
      <c r="F1691" s="35" t="s">
        <v>25</v>
      </c>
      <c r="G1691" s="35" t="s">
        <v>25</v>
      </c>
      <c r="H1691" s="35" t="s">
        <v>38</v>
      </c>
      <c r="I1691" s="45">
        <v>44835</v>
      </c>
      <c r="J1691" s="46">
        <f>EFEITO!$J$1691*EFEITO!$Y$1691</f>
        <v>0</v>
      </c>
      <c r="K1691" s="46">
        <f ca="1">EFEITO!$L$1691*EFEITO!$Z$1691</f>
        <v>9.4968567807349267</v>
      </c>
      <c r="L1691" s="46">
        <f>EFEITO!$N$1691*EFEITO!$AA$1691</f>
        <v>2.4055397064544604</v>
      </c>
      <c r="M1691" s="46">
        <f>$J$1691-EFEITO!$K$1691*EFEITO!$Y$1691</f>
        <v>0</v>
      </c>
      <c r="N1691" s="46">
        <f ca="1">$K$1691-EFEITO!$M$1691*EFEITO!$Z$1691</f>
        <v>0</v>
      </c>
      <c r="O1691" s="46">
        <f>$L$1691-EFEITO!$O$1691*EFEITO!$AA$1691</f>
        <v>0</v>
      </c>
      <c r="P1691" s="38"/>
      <c r="Q1691" s="38"/>
      <c r="R1691" s="38"/>
      <c r="S1691" s="38"/>
      <c r="T1691" s="38"/>
      <c r="U1691" s="38"/>
      <c r="V1691" s="38"/>
      <c r="W1691" s="38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</row>
    <row r="1692" spans="1:36" ht="11.25" customHeight="1" x14ac:dyDescent="0.2">
      <c r="A1692" s="35" t="s">
        <v>59</v>
      </c>
      <c r="B1692" s="35" t="s">
        <v>39</v>
      </c>
      <c r="C1692" s="35" t="s">
        <v>35</v>
      </c>
      <c r="D1692" s="35" t="s">
        <v>45</v>
      </c>
      <c r="E1692" s="35" t="s">
        <v>25</v>
      </c>
      <c r="F1692" s="35" t="s">
        <v>25</v>
      </c>
      <c r="G1692" s="35" t="s">
        <v>25</v>
      </c>
      <c r="H1692" s="35" t="s">
        <v>38</v>
      </c>
      <c r="I1692" s="45">
        <v>44866</v>
      </c>
      <c r="J1692" s="46">
        <f>EFEITO!$J$1692*EFEITO!$Y$1692</f>
        <v>0</v>
      </c>
      <c r="K1692" s="46">
        <f ca="1">EFEITO!$L$1692*EFEITO!$Z$1692</f>
        <v>2416.5183753888236</v>
      </c>
      <c r="L1692" s="46">
        <f>EFEITO!$N$1692*EFEITO!$AA$1692</f>
        <v>612.10051257873045</v>
      </c>
      <c r="M1692" s="46">
        <f>$J$1692-EFEITO!$K$1692*EFEITO!$Y$1692</f>
        <v>0</v>
      </c>
      <c r="N1692" s="46">
        <f ca="1">$K$1692-EFEITO!$M$1692*EFEITO!$Z$1692</f>
        <v>0</v>
      </c>
      <c r="O1692" s="46">
        <f>$L$1692-EFEITO!$O$1692*EFEITO!$AA$1692</f>
        <v>0</v>
      </c>
      <c r="P1692" s="38"/>
      <c r="Q1692" s="38"/>
      <c r="R1692" s="38"/>
      <c r="S1692" s="38"/>
      <c r="T1692" s="38"/>
      <c r="U1692" s="38"/>
      <c r="V1692" s="38"/>
      <c r="W1692" s="38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</row>
    <row r="1693" spans="1:36" ht="11.25" customHeight="1" x14ac:dyDescent="0.2">
      <c r="A1693" s="35" t="s">
        <v>59</v>
      </c>
      <c r="B1693" s="35" t="s">
        <v>39</v>
      </c>
      <c r="C1693" s="35" t="s">
        <v>35</v>
      </c>
      <c r="D1693" s="35" t="s">
        <v>45</v>
      </c>
      <c r="E1693" s="35" t="s">
        <v>25</v>
      </c>
      <c r="F1693" s="35" t="s">
        <v>25</v>
      </c>
      <c r="G1693" s="35" t="s">
        <v>25</v>
      </c>
      <c r="H1693" s="35" t="s">
        <v>38</v>
      </c>
      <c r="I1693" s="45">
        <v>44866</v>
      </c>
      <c r="J1693" s="46">
        <f>EFEITO!$J$1693*EFEITO!$Y$1693</f>
        <v>0</v>
      </c>
      <c r="K1693" s="46">
        <f ca="1">EFEITO!$L$1693*EFEITO!$Z$1693</f>
        <v>496.42660444750754</v>
      </c>
      <c r="L1693" s="46">
        <f>EFEITO!$N$1693*EFEITO!$AA$1693</f>
        <v>125.74412101921043</v>
      </c>
      <c r="M1693" s="46">
        <f>$J$1693-EFEITO!$K$1693*EFEITO!$Y$1693</f>
        <v>0</v>
      </c>
      <c r="N1693" s="46">
        <f ca="1">$K$1693-EFEITO!$M$1693*EFEITO!$Z$1693</f>
        <v>0</v>
      </c>
      <c r="O1693" s="46">
        <f>$L$1693-EFEITO!$O$1693*EFEITO!$AA$1693</f>
        <v>0</v>
      </c>
      <c r="P1693" s="38"/>
      <c r="Q1693" s="38"/>
      <c r="R1693" s="38"/>
      <c r="S1693" s="38"/>
      <c r="T1693" s="38"/>
      <c r="U1693" s="38"/>
      <c r="V1693" s="38"/>
      <c r="W1693" s="38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</row>
    <row r="1694" spans="1:36" ht="11.25" customHeight="1" x14ac:dyDescent="0.2">
      <c r="A1694" s="35" t="s">
        <v>59</v>
      </c>
      <c r="B1694" s="35" t="s">
        <v>39</v>
      </c>
      <c r="C1694" s="35" t="s">
        <v>35</v>
      </c>
      <c r="D1694" s="35" t="s">
        <v>45</v>
      </c>
      <c r="E1694" s="35" t="s">
        <v>25</v>
      </c>
      <c r="F1694" s="35" t="s">
        <v>25</v>
      </c>
      <c r="G1694" s="35" t="s">
        <v>25</v>
      </c>
      <c r="H1694" s="35" t="s">
        <v>38</v>
      </c>
      <c r="I1694" s="45">
        <v>44866</v>
      </c>
      <c r="J1694" s="46">
        <f>EFEITO!$J$1694*EFEITO!$Y$1694</f>
        <v>0</v>
      </c>
      <c r="K1694" s="46">
        <f ca="1">EFEITO!$L$1694*EFEITO!$Z$1694</f>
        <v>9.4968567807349267</v>
      </c>
      <c r="L1694" s="46">
        <f>EFEITO!$N$1694*EFEITO!$AA$1694</f>
        <v>2.4055397064544604</v>
      </c>
      <c r="M1694" s="46">
        <f>$J$1694-EFEITO!$K$1694*EFEITO!$Y$1694</f>
        <v>0</v>
      </c>
      <c r="N1694" s="46">
        <f ca="1">$K$1694-EFEITO!$M$1694*EFEITO!$Z$1694</f>
        <v>0</v>
      </c>
      <c r="O1694" s="46">
        <f>$L$1694-EFEITO!$O$1694*EFEITO!$AA$1694</f>
        <v>0</v>
      </c>
      <c r="P1694" s="38"/>
      <c r="Q1694" s="38"/>
      <c r="R1694" s="38"/>
      <c r="S1694" s="38"/>
      <c r="T1694" s="38"/>
      <c r="U1694" s="38"/>
      <c r="V1694" s="38"/>
      <c r="W1694" s="38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</row>
    <row r="1695" spans="1:36" ht="11.25" customHeight="1" x14ac:dyDescent="0.2">
      <c r="A1695" s="35" t="s">
        <v>21</v>
      </c>
      <c r="B1695" s="35" t="s">
        <v>39</v>
      </c>
      <c r="C1695" s="35" t="s">
        <v>35</v>
      </c>
      <c r="D1695" s="35" t="s">
        <v>45</v>
      </c>
      <c r="E1695" s="35" t="s">
        <v>25</v>
      </c>
      <c r="F1695" s="35" t="s">
        <v>25</v>
      </c>
      <c r="G1695" s="35" t="s">
        <v>25</v>
      </c>
      <c r="H1695" s="35" t="s">
        <v>36</v>
      </c>
      <c r="I1695" s="45">
        <v>44531</v>
      </c>
      <c r="J1695" s="46">
        <f>EFEITO!$J$1695*EFEITO!$Y$1695</f>
        <v>0</v>
      </c>
      <c r="K1695" s="46">
        <f ca="1">EFEITO!$L$1695*EFEITO!$Z$1695</f>
        <v>6919.7376941476841</v>
      </c>
      <c r="L1695" s="46">
        <f>EFEITO!$N$1695*EFEITO!$AA$1695</f>
        <v>1878.8584957793937</v>
      </c>
      <c r="M1695" s="46">
        <f>$J$1695-EFEITO!$K$1695*EFEITO!$Y$1695</f>
        <v>0</v>
      </c>
      <c r="N1695" s="46">
        <f ca="1">$K$1695-EFEITO!$M$1695*EFEITO!$Z$1695</f>
        <v>0</v>
      </c>
      <c r="O1695" s="46">
        <f>$L$1695-EFEITO!$O$1695*EFEITO!$AA$1695</f>
        <v>0</v>
      </c>
      <c r="P1695" s="38"/>
      <c r="Q1695" s="38"/>
      <c r="R1695" s="38"/>
      <c r="S1695" s="38"/>
      <c r="T1695" s="38"/>
      <c r="U1695" s="38"/>
      <c r="V1695" s="38"/>
      <c r="W1695" s="38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</row>
    <row r="1696" spans="1:36" ht="11.25" customHeight="1" x14ac:dyDescent="0.2">
      <c r="A1696" s="35" t="s">
        <v>27</v>
      </c>
      <c r="B1696" s="35" t="s">
        <v>39</v>
      </c>
      <c r="C1696" s="35" t="s">
        <v>35</v>
      </c>
      <c r="D1696" s="35" t="s">
        <v>45</v>
      </c>
      <c r="E1696" s="35" t="s">
        <v>25</v>
      </c>
      <c r="F1696" s="35" t="s">
        <v>25</v>
      </c>
      <c r="G1696" s="35" t="s">
        <v>25</v>
      </c>
      <c r="H1696" s="35" t="s">
        <v>36</v>
      </c>
      <c r="I1696" s="45">
        <v>44531</v>
      </c>
      <c r="J1696" s="46">
        <f>EFEITO!$J$1696*EFEITO!$Y$1696</f>
        <v>0</v>
      </c>
      <c r="K1696" s="46">
        <f ca="1">EFEITO!$L$1696*EFEITO!$Z$1696</f>
        <v>584.99230072122862</v>
      </c>
      <c r="L1696" s="46">
        <f>EFEITO!$N$1696*EFEITO!$AA$1696</f>
        <v>158.83806623265284</v>
      </c>
      <c r="M1696" s="46">
        <f>$J$1696-EFEITO!$K$1696*EFEITO!$Y$1696</f>
        <v>0</v>
      </c>
      <c r="N1696" s="46">
        <f ca="1">$K$1696-EFEITO!$M$1696*EFEITO!$Z$1696</f>
        <v>0</v>
      </c>
      <c r="O1696" s="46">
        <f>$L$1696-EFEITO!$O$1696*EFEITO!$AA$1696</f>
        <v>0</v>
      </c>
      <c r="P1696" s="38"/>
      <c r="Q1696" s="38"/>
      <c r="R1696" s="38"/>
      <c r="S1696" s="38"/>
      <c r="T1696" s="38"/>
      <c r="U1696" s="38"/>
      <c r="V1696" s="38"/>
      <c r="W1696" s="38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</row>
    <row r="1697" spans="1:36" ht="11.25" customHeight="1" x14ac:dyDescent="0.2">
      <c r="A1697" s="35" t="s">
        <v>28</v>
      </c>
      <c r="B1697" s="35" t="s">
        <v>39</v>
      </c>
      <c r="C1697" s="35" t="s">
        <v>35</v>
      </c>
      <c r="D1697" s="35" t="s">
        <v>45</v>
      </c>
      <c r="E1697" s="35" t="s">
        <v>25</v>
      </c>
      <c r="F1697" s="35" t="s">
        <v>25</v>
      </c>
      <c r="G1697" s="35" t="s">
        <v>25</v>
      </c>
      <c r="H1697" s="35" t="s">
        <v>36</v>
      </c>
      <c r="I1697" s="45">
        <v>44531</v>
      </c>
      <c r="J1697" s="46">
        <f>EFEITO!$J$1697*EFEITO!$Y$1697</f>
        <v>0</v>
      </c>
      <c r="K1697" s="46">
        <f ca="1">EFEITO!$L$1697*EFEITO!$Z$1697</f>
        <v>675.8130232076295</v>
      </c>
      <c r="L1697" s="46">
        <f>EFEITO!$N$1697*EFEITO!$AA$1697</f>
        <v>183.49785733726563</v>
      </c>
      <c r="M1697" s="46">
        <f>$J$1697-EFEITO!$K$1697*EFEITO!$Y$1697</f>
        <v>0</v>
      </c>
      <c r="N1697" s="46">
        <f ca="1">$K$1697-EFEITO!$M$1697*EFEITO!$Z$1697</f>
        <v>0</v>
      </c>
      <c r="O1697" s="46">
        <f>$L$1697-EFEITO!$O$1697*EFEITO!$AA$1697</f>
        <v>0</v>
      </c>
      <c r="P1697" s="38"/>
      <c r="Q1697" s="38"/>
      <c r="R1697" s="38"/>
      <c r="S1697" s="38"/>
      <c r="T1697" s="38"/>
      <c r="U1697" s="38"/>
      <c r="V1697" s="38"/>
      <c r="W1697" s="38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</row>
    <row r="1698" spans="1:36" ht="11.25" customHeight="1" x14ac:dyDescent="0.2">
      <c r="A1698" s="35" t="s">
        <v>30</v>
      </c>
      <c r="B1698" s="35" t="s">
        <v>39</v>
      </c>
      <c r="C1698" s="35" t="s">
        <v>35</v>
      </c>
      <c r="D1698" s="35" t="s">
        <v>45</v>
      </c>
      <c r="E1698" s="35" t="s">
        <v>25</v>
      </c>
      <c r="F1698" s="35" t="s">
        <v>25</v>
      </c>
      <c r="G1698" s="35" t="s">
        <v>25</v>
      </c>
      <c r="H1698" s="35" t="s">
        <v>36</v>
      </c>
      <c r="I1698" s="45">
        <v>44531</v>
      </c>
      <c r="J1698" s="46">
        <f>EFEITO!$J$1698*EFEITO!$Y$1698</f>
        <v>0</v>
      </c>
      <c r="K1698" s="46">
        <f ca="1">EFEITO!$L$1698*EFEITO!$Z$1698</f>
        <v>93.491920206589057</v>
      </c>
      <c r="L1698" s="46">
        <f>EFEITO!$N$1698*EFEITO!$AA$1698</f>
        <v>25.385079078277855</v>
      </c>
      <c r="M1698" s="46">
        <f>$J$1698-EFEITO!$K$1698*EFEITO!$Y$1698</f>
        <v>0</v>
      </c>
      <c r="N1698" s="46">
        <f ca="1">$K$1698-EFEITO!$M$1698*EFEITO!$Z$1698</f>
        <v>0</v>
      </c>
      <c r="O1698" s="46">
        <f>$L$1698-EFEITO!$O$1698*EFEITO!$AA$1698</f>
        <v>0</v>
      </c>
      <c r="P1698" s="38"/>
      <c r="Q1698" s="38"/>
      <c r="R1698" s="38"/>
      <c r="S1698" s="38"/>
      <c r="T1698" s="38"/>
      <c r="U1698" s="38"/>
      <c r="V1698" s="38"/>
      <c r="W1698" s="38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</row>
    <row r="1699" spans="1:36" ht="11.25" customHeight="1" x14ac:dyDescent="0.2">
      <c r="A1699" s="35" t="s">
        <v>21</v>
      </c>
      <c r="B1699" s="35" t="s">
        <v>39</v>
      </c>
      <c r="C1699" s="35" t="s">
        <v>35</v>
      </c>
      <c r="D1699" s="35" t="s">
        <v>45</v>
      </c>
      <c r="E1699" s="35" t="s">
        <v>25</v>
      </c>
      <c r="F1699" s="35" t="s">
        <v>25</v>
      </c>
      <c r="G1699" s="35" t="s">
        <v>25</v>
      </c>
      <c r="H1699" s="35" t="s">
        <v>36</v>
      </c>
      <c r="I1699" s="45">
        <v>44562</v>
      </c>
      <c r="J1699" s="46">
        <f>EFEITO!$J$1699*EFEITO!$Y$1699</f>
        <v>0</v>
      </c>
      <c r="K1699" s="46">
        <f ca="1">EFEITO!$L$1699*EFEITO!$Z$1699</f>
        <v>7023.9144052350266</v>
      </c>
      <c r="L1699" s="46">
        <f>EFEITO!$N$1699*EFEITO!$AA$1699</f>
        <v>1907.144726752332</v>
      </c>
      <c r="M1699" s="46">
        <f>$J$1699-EFEITO!$K$1699*EFEITO!$Y$1699</f>
        <v>0</v>
      </c>
      <c r="N1699" s="46">
        <f ca="1">$K$1699-EFEITO!$M$1699*EFEITO!$Z$1699</f>
        <v>0</v>
      </c>
      <c r="O1699" s="46">
        <f>$L$1699-EFEITO!$O$1699*EFEITO!$AA$1699</f>
        <v>0</v>
      </c>
      <c r="P1699" s="38"/>
      <c r="Q1699" s="38"/>
      <c r="R1699" s="38"/>
      <c r="S1699" s="38"/>
      <c r="T1699" s="38"/>
      <c r="U1699" s="38"/>
      <c r="V1699" s="38"/>
      <c r="W1699" s="38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</row>
    <row r="1700" spans="1:36" ht="11.25" customHeight="1" x14ac:dyDescent="0.2">
      <c r="A1700" s="35" t="s">
        <v>27</v>
      </c>
      <c r="B1700" s="35" t="s">
        <v>39</v>
      </c>
      <c r="C1700" s="35" t="s">
        <v>35</v>
      </c>
      <c r="D1700" s="35" t="s">
        <v>45</v>
      </c>
      <c r="E1700" s="35" t="s">
        <v>25</v>
      </c>
      <c r="F1700" s="35" t="s">
        <v>25</v>
      </c>
      <c r="G1700" s="35" t="s">
        <v>25</v>
      </c>
      <c r="H1700" s="35" t="s">
        <v>36</v>
      </c>
      <c r="I1700" s="45">
        <v>44562</v>
      </c>
      <c r="J1700" s="46">
        <f>EFEITO!$J$1700*EFEITO!$Y$1700</f>
        <v>0</v>
      </c>
      <c r="K1700" s="46">
        <f ca="1">EFEITO!$L$1700*EFEITO!$Z$1700</f>
        <v>-46.745960103294529</v>
      </c>
      <c r="L1700" s="46">
        <f>EFEITO!$N$1700*EFEITO!$AA$1700</f>
        <v>-12.692539539138927</v>
      </c>
      <c r="M1700" s="46">
        <f>$J$1700-EFEITO!$K$1700*EFEITO!$Y$1700</f>
        <v>0</v>
      </c>
      <c r="N1700" s="46">
        <f ca="1">$K$1700-EFEITO!$M$1700*EFEITO!$Z$1700</f>
        <v>0</v>
      </c>
      <c r="O1700" s="46">
        <f>$L$1700-EFEITO!$O$1700*EFEITO!$AA$1700</f>
        <v>0</v>
      </c>
      <c r="P1700" s="38"/>
      <c r="Q1700" s="38"/>
      <c r="R1700" s="38"/>
      <c r="S1700" s="38"/>
      <c r="T1700" s="38"/>
      <c r="U1700" s="38"/>
      <c r="V1700" s="38"/>
      <c r="W1700" s="38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</row>
    <row r="1701" spans="1:36" ht="11.25" customHeight="1" x14ac:dyDescent="0.2">
      <c r="A1701" s="35" t="s">
        <v>28</v>
      </c>
      <c r="B1701" s="35" t="s">
        <v>39</v>
      </c>
      <c r="C1701" s="35" t="s">
        <v>35</v>
      </c>
      <c r="D1701" s="35" t="s">
        <v>45</v>
      </c>
      <c r="E1701" s="35" t="s">
        <v>25</v>
      </c>
      <c r="F1701" s="35" t="s">
        <v>25</v>
      </c>
      <c r="G1701" s="35" t="s">
        <v>25</v>
      </c>
      <c r="H1701" s="35" t="s">
        <v>36</v>
      </c>
      <c r="I1701" s="45">
        <v>44562</v>
      </c>
      <c r="J1701" s="46">
        <f>EFEITO!$J$1701*EFEITO!$Y$1701</f>
        <v>0</v>
      </c>
      <c r="K1701" s="46">
        <f ca="1">EFEITO!$L$1701*EFEITO!$Z$1701</f>
        <v>810.70850807713646</v>
      </c>
      <c r="L1701" s="46">
        <f>EFEITO!$N$1701*EFEITO!$AA$1701</f>
        <v>220.12490000735224</v>
      </c>
      <c r="M1701" s="46">
        <f>$J$1701-EFEITO!$K$1701*EFEITO!$Y$1701</f>
        <v>0</v>
      </c>
      <c r="N1701" s="46">
        <f ca="1">$K$1701-EFEITO!$M$1701*EFEITO!$Z$1701</f>
        <v>0</v>
      </c>
      <c r="O1701" s="46">
        <f>$L$1701-EFEITO!$O$1701*EFEITO!$AA$1701</f>
        <v>0</v>
      </c>
      <c r="P1701" s="38"/>
      <c r="Q1701" s="38"/>
      <c r="R1701" s="38"/>
      <c r="S1701" s="38"/>
      <c r="T1701" s="38"/>
      <c r="U1701" s="38"/>
      <c r="V1701" s="38"/>
      <c r="W1701" s="38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</row>
    <row r="1702" spans="1:36" ht="11.25" customHeight="1" x14ac:dyDescent="0.2">
      <c r="A1702" s="35" t="s">
        <v>30</v>
      </c>
      <c r="B1702" s="35" t="s">
        <v>39</v>
      </c>
      <c r="C1702" s="35" t="s">
        <v>35</v>
      </c>
      <c r="D1702" s="35" t="s">
        <v>45</v>
      </c>
      <c r="E1702" s="35" t="s">
        <v>25</v>
      </c>
      <c r="F1702" s="35" t="s">
        <v>25</v>
      </c>
      <c r="G1702" s="35" t="s">
        <v>25</v>
      </c>
      <c r="H1702" s="35" t="s">
        <v>36</v>
      </c>
      <c r="I1702" s="45">
        <v>44562</v>
      </c>
      <c r="J1702" s="46">
        <f>EFEITO!$J$1702*EFEITO!$Y$1702</f>
        <v>0</v>
      </c>
      <c r="K1702" s="46">
        <f ca="1">EFEITO!$L$1702*EFEITO!$Z$1702</f>
        <v>113.525903108001</v>
      </c>
      <c r="L1702" s="46">
        <f>EFEITO!$N$1702*EFEITO!$AA$1702</f>
        <v>30.824738880765967</v>
      </c>
      <c r="M1702" s="46">
        <f>$J$1702-EFEITO!$K$1702*EFEITO!$Y$1702</f>
        <v>0</v>
      </c>
      <c r="N1702" s="46">
        <f ca="1">$K$1702-EFEITO!$M$1702*EFEITO!$Z$1702</f>
        <v>0</v>
      </c>
      <c r="O1702" s="46">
        <f>$L$1702-EFEITO!$O$1702*EFEITO!$AA$1702</f>
        <v>0</v>
      </c>
      <c r="P1702" s="38"/>
      <c r="Q1702" s="38"/>
      <c r="R1702" s="38"/>
      <c r="S1702" s="38"/>
      <c r="T1702" s="38"/>
      <c r="U1702" s="38"/>
      <c r="V1702" s="38"/>
      <c r="W1702" s="38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</row>
    <row r="1703" spans="1:36" ht="11.25" customHeight="1" x14ac:dyDescent="0.2">
      <c r="A1703" s="35" t="s">
        <v>21</v>
      </c>
      <c r="B1703" s="35" t="s">
        <v>39</v>
      </c>
      <c r="C1703" s="35" t="s">
        <v>35</v>
      </c>
      <c r="D1703" s="35" t="s">
        <v>45</v>
      </c>
      <c r="E1703" s="35" t="s">
        <v>25</v>
      </c>
      <c r="F1703" s="35" t="s">
        <v>25</v>
      </c>
      <c r="G1703" s="35" t="s">
        <v>25</v>
      </c>
      <c r="H1703" s="35" t="s">
        <v>36</v>
      </c>
      <c r="I1703" s="45">
        <v>44593</v>
      </c>
      <c r="J1703" s="46">
        <f>EFEITO!$J$1703*EFEITO!$Y$1703</f>
        <v>0</v>
      </c>
      <c r="K1703" s="46">
        <f ca="1">EFEITO!$L$1703*EFEITO!$Z$1703</f>
        <v>6247.9314675203368</v>
      </c>
      <c r="L1703" s="46">
        <f>EFEITO!$N$1703*EFEITO!$AA$1703</f>
        <v>1696.4485704026256</v>
      </c>
      <c r="M1703" s="46">
        <f>$J$1703-EFEITO!$K$1703*EFEITO!$Y$1703</f>
        <v>0</v>
      </c>
      <c r="N1703" s="46">
        <f ca="1">$K$1703-EFEITO!$M$1703*EFEITO!$Z$1703</f>
        <v>0</v>
      </c>
      <c r="O1703" s="46">
        <f>$L$1703-EFEITO!$O$1703*EFEITO!$AA$1703</f>
        <v>0</v>
      </c>
      <c r="P1703" s="38"/>
      <c r="Q1703" s="38"/>
      <c r="R1703" s="38"/>
      <c r="S1703" s="38"/>
      <c r="T1703" s="38"/>
      <c r="U1703" s="38"/>
      <c r="V1703" s="38"/>
      <c r="W1703" s="38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</row>
    <row r="1704" spans="1:36" ht="11.25" customHeight="1" x14ac:dyDescent="0.2">
      <c r="A1704" s="35" t="s">
        <v>28</v>
      </c>
      <c r="B1704" s="35" t="s">
        <v>39</v>
      </c>
      <c r="C1704" s="35" t="s">
        <v>35</v>
      </c>
      <c r="D1704" s="35" t="s">
        <v>45</v>
      </c>
      <c r="E1704" s="35" t="s">
        <v>25</v>
      </c>
      <c r="F1704" s="35" t="s">
        <v>25</v>
      </c>
      <c r="G1704" s="35" t="s">
        <v>25</v>
      </c>
      <c r="H1704" s="35" t="s">
        <v>36</v>
      </c>
      <c r="I1704" s="45">
        <v>44593</v>
      </c>
      <c r="J1704" s="46">
        <f>EFEITO!$J$1704*EFEITO!$Y$1704</f>
        <v>0</v>
      </c>
      <c r="K1704" s="46">
        <f ca="1">EFEITO!$L$1704*EFEITO!$Z$1704</f>
        <v>948.2751906668318</v>
      </c>
      <c r="L1704" s="46">
        <f>EFEITO!$N$1704*EFEITO!$AA$1704</f>
        <v>257.47723065110392</v>
      </c>
      <c r="M1704" s="46">
        <f>$J$1704-EFEITO!$K$1704*EFEITO!$Y$1704</f>
        <v>0</v>
      </c>
      <c r="N1704" s="46">
        <f ca="1">$K$1704-EFEITO!$M$1704*EFEITO!$Z$1704</f>
        <v>0</v>
      </c>
      <c r="O1704" s="46">
        <f>$L$1704-EFEITO!$O$1704*EFEITO!$AA$1704</f>
        <v>0</v>
      </c>
      <c r="P1704" s="38"/>
      <c r="Q1704" s="38"/>
      <c r="R1704" s="38"/>
      <c r="S1704" s="38"/>
      <c r="T1704" s="38"/>
      <c r="U1704" s="38"/>
      <c r="V1704" s="38"/>
      <c r="W1704" s="38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</row>
    <row r="1705" spans="1:36" ht="11.25" customHeight="1" x14ac:dyDescent="0.2">
      <c r="A1705" s="35" t="s">
        <v>30</v>
      </c>
      <c r="B1705" s="35" t="s">
        <v>39</v>
      </c>
      <c r="C1705" s="35" t="s">
        <v>35</v>
      </c>
      <c r="D1705" s="35" t="s">
        <v>45</v>
      </c>
      <c r="E1705" s="35" t="s">
        <v>25</v>
      </c>
      <c r="F1705" s="35" t="s">
        <v>25</v>
      </c>
      <c r="G1705" s="35" t="s">
        <v>25</v>
      </c>
      <c r="H1705" s="35" t="s">
        <v>36</v>
      </c>
      <c r="I1705" s="45">
        <v>44593</v>
      </c>
      <c r="J1705" s="46">
        <f>EFEITO!$J$1705*EFEITO!$Y$1705</f>
        <v>0</v>
      </c>
      <c r="K1705" s="46">
        <f ca="1">EFEITO!$L$1705*EFEITO!$Z$1705</f>
        <v>90.820722486400797</v>
      </c>
      <c r="L1705" s="46">
        <f>EFEITO!$N$1705*EFEITO!$AA$1705</f>
        <v>24.659791104612772</v>
      </c>
      <c r="M1705" s="46">
        <f>$J$1705-EFEITO!$K$1705*EFEITO!$Y$1705</f>
        <v>0</v>
      </c>
      <c r="N1705" s="46">
        <f ca="1">$K$1705-EFEITO!$M$1705*EFEITO!$Z$1705</f>
        <v>0</v>
      </c>
      <c r="O1705" s="46">
        <f>$L$1705-EFEITO!$O$1705*EFEITO!$AA$1705</f>
        <v>0</v>
      </c>
      <c r="P1705" s="38"/>
      <c r="Q1705" s="38"/>
      <c r="R1705" s="38"/>
      <c r="S1705" s="38"/>
      <c r="T1705" s="38"/>
      <c r="U1705" s="38"/>
      <c r="V1705" s="38"/>
      <c r="W1705" s="38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</row>
    <row r="1706" spans="1:36" ht="11.25" customHeight="1" x14ac:dyDescent="0.2">
      <c r="A1706" s="35" t="s">
        <v>21</v>
      </c>
      <c r="B1706" s="35" t="s">
        <v>39</v>
      </c>
      <c r="C1706" s="35" t="s">
        <v>35</v>
      </c>
      <c r="D1706" s="35" t="s">
        <v>45</v>
      </c>
      <c r="E1706" s="35" t="s">
        <v>25</v>
      </c>
      <c r="F1706" s="35" t="s">
        <v>25</v>
      </c>
      <c r="G1706" s="35" t="s">
        <v>25</v>
      </c>
      <c r="H1706" s="35" t="s">
        <v>36</v>
      </c>
      <c r="I1706" s="45">
        <v>44621</v>
      </c>
      <c r="J1706" s="46">
        <f>EFEITO!$J$1706*EFEITO!$Y$1706</f>
        <v>0</v>
      </c>
      <c r="K1706" s="46">
        <f ca="1">EFEITO!$L$1706*EFEITO!$Z$1706</f>
        <v>6304.0266196442899</v>
      </c>
      <c r="L1706" s="46">
        <f>EFEITO!$N$1706*EFEITO!$AA$1706</f>
        <v>1711.6796178495922</v>
      </c>
      <c r="M1706" s="46">
        <f>$J$1706-EFEITO!$K$1706*EFEITO!$Y$1706</f>
        <v>0</v>
      </c>
      <c r="N1706" s="46">
        <f ca="1">$K$1706-EFEITO!$M$1706*EFEITO!$Z$1706</f>
        <v>0</v>
      </c>
      <c r="O1706" s="46">
        <f>$L$1706-EFEITO!$O$1706*EFEITO!$AA$1706</f>
        <v>0</v>
      </c>
      <c r="P1706" s="38"/>
      <c r="Q1706" s="38"/>
      <c r="R1706" s="38"/>
      <c r="S1706" s="38"/>
      <c r="T1706" s="38"/>
      <c r="U1706" s="38"/>
      <c r="V1706" s="38"/>
      <c r="W1706" s="38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</row>
    <row r="1707" spans="1:36" ht="11.25" customHeight="1" x14ac:dyDescent="0.2">
      <c r="A1707" s="35" t="s">
        <v>27</v>
      </c>
      <c r="B1707" s="35" t="s">
        <v>39</v>
      </c>
      <c r="C1707" s="35" t="s">
        <v>35</v>
      </c>
      <c r="D1707" s="35" t="s">
        <v>45</v>
      </c>
      <c r="E1707" s="35" t="s">
        <v>25</v>
      </c>
      <c r="F1707" s="35" t="s">
        <v>25</v>
      </c>
      <c r="G1707" s="35" t="s">
        <v>25</v>
      </c>
      <c r="H1707" s="35" t="s">
        <v>36</v>
      </c>
      <c r="I1707" s="45">
        <v>44621</v>
      </c>
      <c r="J1707" s="46">
        <f>EFEITO!$J$1707*EFEITO!$Y$1707</f>
        <v>0</v>
      </c>
      <c r="K1707" s="46">
        <f ca="1">EFEITO!$L$1707*EFEITO!$Z$1707</f>
        <v>-339.24211046390889</v>
      </c>
      <c r="L1707" s="46">
        <f>EFEITO!$N$1707*EFEITO!$AA$1707</f>
        <v>-92.111572655465352</v>
      </c>
      <c r="M1707" s="46">
        <f>$J$1707-EFEITO!$K$1707*EFEITO!$Y$1707</f>
        <v>0</v>
      </c>
      <c r="N1707" s="46">
        <f ca="1">$K$1707-EFEITO!$M$1707*EFEITO!$Z$1707</f>
        <v>0</v>
      </c>
      <c r="O1707" s="46">
        <f>$L$1707-EFEITO!$O$1707*EFEITO!$AA$1707</f>
        <v>0</v>
      </c>
      <c r="P1707" s="38"/>
      <c r="Q1707" s="38"/>
      <c r="R1707" s="38"/>
      <c r="S1707" s="38"/>
      <c r="T1707" s="38"/>
      <c r="U1707" s="38"/>
      <c r="V1707" s="38"/>
      <c r="W1707" s="38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</row>
    <row r="1708" spans="1:36" ht="11.25" customHeight="1" x14ac:dyDescent="0.2">
      <c r="A1708" s="35" t="s">
        <v>28</v>
      </c>
      <c r="B1708" s="35" t="s">
        <v>39</v>
      </c>
      <c r="C1708" s="35" t="s">
        <v>35</v>
      </c>
      <c r="D1708" s="35" t="s">
        <v>45</v>
      </c>
      <c r="E1708" s="35" t="s">
        <v>25</v>
      </c>
      <c r="F1708" s="35" t="s">
        <v>25</v>
      </c>
      <c r="G1708" s="35" t="s">
        <v>25</v>
      </c>
      <c r="H1708" s="35" t="s">
        <v>36</v>
      </c>
      <c r="I1708" s="45">
        <v>44621</v>
      </c>
      <c r="J1708" s="46">
        <f>EFEITO!$J$1708*EFEITO!$Y$1708</f>
        <v>0</v>
      </c>
      <c r="K1708" s="46">
        <f ca="1">EFEITO!$L$1708*EFEITO!$Z$1708</f>
        <v>511.53436341605158</v>
      </c>
      <c r="L1708" s="46">
        <f>EFEITO!$N$1708*EFEITO!$AA$1708</f>
        <v>138.8926469568631</v>
      </c>
      <c r="M1708" s="46">
        <f>$J$1708-EFEITO!$K$1708*EFEITO!$Y$1708</f>
        <v>0</v>
      </c>
      <c r="N1708" s="46">
        <f ca="1">$K$1708-EFEITO!$M$1708*EFEITO!$Z$1708</f>
        <v>0</v>
      </c>
      <c r="O1708" s="46">
        <f>$L$1708-EFEITO!$O$1708*EFEITO!$AA$1708</f>
        <v>0</v>
      </c>
      <c r="P1708" s="38"/>
      <c r="Q1708" s="38"/>
      <c r="R1708" s="38"/>
      <c r="S1708" s="38"/>
      <c r="T1708" s="38"/>
      <c r="U1708" s="38"/>
      <c r="V1708" s="38"/>
      <c r="W1708" s="38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</row>
    <row r="1709" spans="1:36" ht="11.25" customHeight="1" x14ac:dyDescent="0.2">
      <c r="A1709" s="35" t="s">
        <v>29</v>
      </c>
      <c r="B1709" s="35" t="s">
        <v>39</v>
      </c>
      <c r="C1709" s="35" t="s">
        <v>35</v>
      </c>
      <c r="D1709" s="35" t="s">
        <v>45</v>
      </c>
      <c r="E1709" s="35" t="s">
        <v>25</v>
      </c>
      <c r="F1709" s="35" t="s">
        <v>25</v>
      </c>
      <c r="G1709" s="35" t="s">
        <v>25</v>
      </c>
      <c r="H1709" s="35" t="s">
        <v>36</v>
      </c>
      <c r="I1709" s="45">
        <v>44621</v>
      </c>
      <c r="J1709" s="46">
        <f>EFEITO!$J$1709*EFEITO!$Y$1709</f>
        <v>0</v>
      </c>
      <c r="K1709" s="46">
        <f ca="1">EFEITO!$L$1709*EFEITO!$Z$1709</f>
        <v>26.711977201882586</v>
      </c>
      <c r="L1709" s="46">
        <f>EFEITO!$N$1709*EFEITO!$AA$1709</f>
        <v>7.2528797366508151</v>
      </c>
      <c r="M1709" s="46">
        <f>$J$1709-EFEITO!$K$1709*EFEITO!$Y$1709</f>
        <v>0</v>
      </c>
      <c r="N1709" s="46">
        <f ca="1">$K$1709-EFEITO!$M$1709*EFEITO!$Z$1709</f>
        <v>0</v>
      </c>
      <c r="O1709" s="46">
        <f>$L$1709-EFEITO!$O$1709*EFEITO!$AA$1709</f>
        <v>0</v>
      </c>
      <c r="P1709" s="38"/>
      <c r="Q1709" s="38"/>
      <c r="R1709" s="38"/>
      <c r="S1709" s="38"/>
      <c r="T1709" s="38"/>
      <c r="U1709" s="38"/>
      <c r="V1709" s="38"/>
      <c r="W1709" s="38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</row>
    <row r="1710" spans="1:36" ht="11.25" customHeight="1" x14ac:dyDescent="0.2">
      <c r="A1710" s="35" t="s">
        <v>30</v>
      </c>
      <c r="B1710" s="35" t="s">
        <v>39</v>
      </c>
      <c r="C1710" s="35" t="s">
        <v>35</v>
      </c>
      <c r="D1710" s="35" t="s">
        <v>45</v>
      </c>
      <c r="E1710" s="35" t="s">
        <v>25</v>
      </c>
      <c r="F1710" s="35" t="s">
        <v>25</v>
      </c>
      <c r="G1710" s="35" t="s">
        <v>25</v>
      </c>
      <c r="H1710" s="35" t="s">
        <v>36</v>
      </c>
      <c r="I1710" s="45">
        <v>44621</v>
      </c>
      <c r="J1710" s="46">
        <f>EFEITO!$J$1710*EFEITO!$Y$1710</f>
        <v>0</v>
      </c>
      <c r="K1710" s="46">
        <f ca="1">EFEITO!$L$1710*EFEITO!$Z$1710</f>
        <v>94.82751906668318</v>
      </c>
      <c r="L1710" s="46">
        <f>EFEITO!$N$1710*EFEITO!$AA$1710</f>
        <v>25.747723065110392</v>
      </c>
      <c r="M1710" s="46">
        <f>$J$1710-EFEITO!$K$1710*EFEITO!$Y$1710</f>
        <v>0</v>
      </c>
      <c r="N1710" s="46">
        <f ca="1">$K$1710-EFEITO!$M$1710*EFEITO!$Z$1710</f>
        <v>0</v>
      </c>
      <c r="O1710" s="46">
        <f>$L$1710-EFEITO!$O$1710*EFEITO!$AA$1710</f>
        <v>0</v>
      </c>
      <c r="P1710" s="38"/>
      <c r="Q1710" s="38"/>
      <c r="R1710" s="38"/>
      <c r="S1710" s="38"/>
      <c r="T1710" s="38"/>
      <c r="U1710" s="38"/>
      <c r="V1710" s="38"/>
      <c r="W1710" s="38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</row>
    <row r="1711" spans="1:36" ht="11.25" customHeight="1" x14ac:dyDescent="0.2">
      <c r="A1711" s="35" t="s">
        <v>21</v>
      </c>
      <c r="B1711" s="35" t="s">
        <v>39</v>
      </c>
      <c r="C1711" s="35" t="s">
        <v>35</v>
      </c>
      <c r="D1711" s="35" t="s">
        <v>45</v>
      </c>
      <c r="E1711" s="35" t="s">
        <v>25</v>
      </c>
      <c r="F1711" s="35" t="s">
        <v>25</v>
      </c>
      <c r="G1711" s="35" t="s">
        <v>25</v>
      </c>
      <c r="H1711" s="35" t="s">
        <v>36</v>
      </c>
      <c r="I1711" s="45">
        <v>44652</v>
      </c>
      <c r="J1711" s="46">
        <f>EFEITO!$J$1711*EFEITO!$Y$1711</f>
        <v>0</v>
      </c>
      <c r="K1711" s="46">
        <f ca="1">EFEITO!$L$1711*EFEITO!$Z$1711</f>
        <v>6223.890688038643</v>
      </c>
      <c r="L1711" s="46">
        <f>EFEITO!$N$1711*EFEITO!$AA$1711</f>
        <v>1689.92097863964</v>
      </c>
      <c r="M1711" s="46">
        <f>$J$1711-EFEITO!$K$1711*EFEITO!$Y$1711</f>
        <v>0</v>
      </c>
      <c r="N1711" s="46">
        <f ca="1">$K$1711-EFEITO!$M$1711*EFEITO!$Z$1711</f>
        <v>0</v>
      </c>
      <c r="O1711" s="46">
        <f>$L$1711-EFEITO!$O$1711*EFEITO!$AA$1711</f>
        <v>0</v>
      </c>
      <c r="P1711" s="38"/>
      <c r="Q1711" s="38"/>
      <c r="R1711" s="38"/>
      <c r="S1711" s="38"/>
      <c r="T1711" s="38"/>
      <c r="U1711" s="38"/>
      <c r="V1711" s="38"/>
      <c r="W1711" s="38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</row>
    <row r="1712" spans="1:36" ht="11.25" customHeight="1" x14ac:dyDescent="0.2">
      <c r="A1712" s="35" t="s">
        <v>28</v>
      </c>
      <c r="B1712" s="35" t="s">
        <v>39</v>
      </c>
      <c r="C1712" s="35" t="s">
        <v>35</v>
      </c>
      <c r="D1712" s="35" t="s">
        <v>45</v>
      </c>
      <c r="E1712" s="35" t="s">
        <v>25</v>
      </c>
      <c r="F1712" s="35" t="s">
        <v>25</v>
      </c>
      <c r="G1712" s="35" t="s">
        <v>25</v>
      </c>
      <c r="H1712" s="35" t="s">
        <v>36</v>
      </c>
      <c r="I1712" s="45">
        <v>44652</v>
      </c>
      <c r="J1712" s="46">
        <f>EFEITO!$J$1712*EFEITO!$Y$1712</f>
        <v>0</v>
      </c>
      <c r="K1712" s="46">
        <f ca="1">EFEITO!$L$1712*EFEITO!$Z$1712</f>
        <v>2309.2504291027499</v>
      </c>
      <c r="L1712" s="46">
        <f>EFEITO!$N$1712*EFEITO!$AA$1712</f>
        <v>627.01145323346293</v>
      </c>
      <c r="M1712" s="46">
        <f>$J$1712-EFEITO!$K$1712*EFEITO!$Y$1712</f>
        <v>0</v>
      </c>
      <c r="N1712" s="46">
        <f ca="1">$K$1712-EFEITO!$M$1712*EFEITO!$Z$1712</f>
        <v>0</v>
      </c>
      <c r="O1712" s="46">
        <f>$L$1712-EFEITO!$O$1712*EFEITO!$AA$1712</f>
        <v>0</v>
      </c>
      <c r="P1712" s="38"/>
      <c r="Q1712" s="38"/>
      <c r="R1712" s="38"/>
      <c r="S1712" s="38"/>
      <c r="T1712" s="38"/>
      <c r="U1712" s="38"/>
      <c r="V1712" s="38"/>
      <c r="W1712" s="38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</row>
    <row r="1713" spans="1:36" ht="11.25" customHeight="1" x14ac:dyDescent="0.2">
      <c r="A1713" s="35" t="s">
        <v>30</v>
      </c>
      <c r="B1713" s="35" t="s">
        <v>39</v>
      </c>
      <c r="C1713" s="35" t="s">
        <v>35</v>
      </c>
      <c r="D1713" s="35" t="s">
        <v>45</v>
      </c>
      <c r="E1713" s="35" t="s">
        <v>25</v>
      </c>
      <c r="F1713" s="35" t="s">
        <v>25</v>
      </c>
      <c r="G1713" s="35" t="s">
        <v>25</v>
      </c>
      <c r="H1713" s="35" t="s">
        <v>36</v>
      </c>
      <c r="I1713" s="45">
        <v>44652</v>
      </c>
      <c r="J1713" s="46">
        <f>EFEITO!$J$1713*EFEITO!$Y$1713</f>
        <v>0</v>
      </c>
      <c r="K1713" s="46">
        <f ca="1">EFEITO!$L$1713*EFEITO!$Z$1713</f>
        <v>94.82751906668318</v>
      </c>
      <c r="L1713" s="46">
        <f>EFEITO!$N$1713*EFEITO!$AA$1713</f>
        <v>25.747723065110392</v>
      </c>
      <c r="M1713" s="46">
        <f>$J$1713-EFEITO!$K$1713*EFEITO!$Y$1713</f>
        <v>0</v>
      </c>
      <c r="N1713" s="46">
        <f ca="1">$K$1713-EFEITO!$M$1713*EFEITO!$Z$1713</f>
        <v>0</v>
      </c>
      <c r="O1713" s="46">
        <f>$L$1713-EFEITO!$O$1713*EFEITO!$AA$1713</f>
        <v>0</v>
      </c>
      <c r="P1713" s="38"/>
      <c r="Q1713" s="38"/>
      <c r="R1713" s="38"/>
      <c r="S1713" s="38"/>
      <c r="T1713" s="38"/>
      <c r="U1713" s="38"/>
      <c r="V1713" s="38"/>
      <c r="W1713" s="38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</row>
    <row r="1714" spans="1:36" ht="11.25" customHeight="1" x14ac:dyDescent="0.2">
      <c r="A1714" s="35" t="s">
        <v>21</v>
      </c>
      <c r="B1714" s="35" t="s">
        <v>39</v>
      </c>
      <c r="C1714" s="35" t="s">
        <v>35</v>
      </c>
      <c r="D1714" s="35" t="s">
        <v>45</v>
      </c>
      <c r="E1714" s="35" t="s">
        <v>25</v>
      </c>
      <c r="F1714" s="35" t="s">
        <v>25</v>
      </c>
      <c r="G1714" s="35" t="s">
        <v>25</v>
      </c>
      <c r="H1714" s="35" t="s">
        <v>36</v>
      </c>
      <c r="I1714" s="45">
        <v>44682</v>
      </c>
      <c r="J1714" s="46">
        <f>EFEITO!$J$1714*EFEITO!$Y$1714</f>
        <v>0</v>
      </c>
      <c r="K1714" s="46">
        <f ca="1">EFEITO!$L$1714*EFEITO!$Z$1714</f>
        <v>6217.2126937381727</v>
      </c>
      <c r="L1714" s="46">
        <f>EFEITO!$N$1714*EFEITO!$AA$1714</f>
        <v>1688.1077587054772</v>
      </c>
      <c r="M1714" s="46">
        <f>$J$1714-EFEITO!$K$1714*EFEITO!$Y$1714</f>
        <v>0</v>
      </c>
      <c r="N1714" s="46">
        <f ca="1">$K$1714-EFEITO!$M$1714*EFEITO!$Z$1714</f>
        <v>0</v>
      </c>
      <c r="O1714" s="46">
        <f>$L$1714-EFEITO!$O$1714*EFEITO!$AA$1714</f>
        <v>0</v>
      </c>
      <c r="P1714" s="38"/>
      <c r="Q1714" s="38"/>
      <c r="R1714" s="38"/>
      <c r="S1714" s="38"/>
      <c r="T1714" s="38"/>
      <c r="U1714" s="38"/>
      <c r="V1714" s="38"/>
      <c r="W1714" s="38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</row>
    <row r="1715" spans="1:36" ht="11.25" customHeight="1" x14ac:dyDescent="0.2">
      <c r="A1715" s="35" t="s">
        <v>28</v>
      </c>
      <c r="B1715" s="35" t="s">
        <v>39</v>
      </c>
      <c r="C1715" s="35" t="s">
        <v>35</v>
      </c>
      <c r="D1715" s="35" t="s">
        <v>45</v>
      </c>
      <c r="E1715" s="35" t="s">
        <v>25</v>
      </c>
      <c r="F1715" s="35" t="s">
        <v>25</v>
      </c>
      <c r="G1715" s="35" t="s">
        <v>25</v>
      </c>
      <c r="H1715" s="35" t="s">
        <v>36</v>
      </c>
      <c r="I1715" s="45">
        <v>44682</v>
      </c>
      <c r="J1715" s="46">
        <f>EFEITO!$J$1715*EFEITO!$Y$1715</f>
        <v>0</v>
      </c>
      <c r="K1715" s="46">
        <f ca="1">EFEITO!$L$1715*EFEITO!$Z$1715</f>
        <v>858.79006704052517</v>
      </c>
      <c r="L1715" s="46">
        <f>EFEITO!$N$1715*EFEITO!$AA$1715</f>
        <v>233.18008353332371</v>
      </c>
      <c r="M1715" s="46">
        <f>$J$1715-EFEITO!$K$1715*EFEITO!$Y$1715</f>
        <v>0</v>
      </c>
      <c r="N1715" s="46">
        <f ca="1">$K$1715-EFEITO!$M$1715*EFEITO!$Z$1715</f>
        <v>0</v>
      </c>
      <c r="O1715" s="46">
        <f>$L$1715-EFEITO!$O$1715*EFEITO!$AA$1715</f>
        <v>0</v>
      </c>
      <c r="P1715" s="38"/>
      <c r="Q1715" s="38"/>
      <c r="R1715" s="38"/>
      <c r="S1715" s="38"/>
      <c r="T1715" s="38"/>
      <c r="U1715" s="38"/>
      <c r="V1715" s="38"/>
      <c r="W1715" s="38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</row>
    <row r="1716" spans="1:36" ht="11.25" customHeight="1" x14ac:dyDescent="0.2">
      <c r="A1716" s="35" t="s">
        <v>29</v>
      </c>
      <c r="B1716" s="35" t="s">
        <v>39</v>
      </c>
      <c r="C1716" s="35" t="s">
        <v>35</v>
      </c>
      <c r="D1716" s="35" t="s">
        <v>45</v>
      </c>
      <c r="E1716" s="35" t="s">
        <v>25</v>
      </c>
      <c r="F1716" s="35" t="s">
        <v>25</v>
      </c>
      <c r="G1716" s="35" t="s">
        <v>25</v>
      </c>
      <c r="H1716" s="35" t="s">
        <v>36</v>
      </c>
      <c r="I1716" s="45">
        <v>44682</v>
      </c>
      <c r="J1716" s="46">
        <f>EFEITO!$J$1716*EFEITO!$Y$1716</f>
        <v>0</v>
      </c>
      <c r="K1716" s="46">
        <f ca="1">EFEITO!$L$1716*EFEITO!$Z$1716</f>
        <v>-1616.0746207138964</v>
      </c>
      <c r="L1716" s="46">
        <f>EFEITO!$N$1716*EFEITO!$AA$1716</f>
        <v>-438.79922406737427</v>
      </c>
      <c r="M1716" s="46">
        <f>$J$1716-EFEITO!$K$1716*EFEITO!$Y$1716</f>
        <v>0</v>
      </c>
      <c r="N1716" s="46">
        <f ca="1">$K$1716-EFEITO!$M$1716*EFEITO!$Z$1716</f>
        <v>0</v>
      </c>
      <c r="O1716" s="46">
        <f>$L$1716-EFEITO!$O$1716*EFEITO!$AA$1716</f>
        <v>0</v>
      </c>
      <c r="P1716" s="38"/>
      <c r="Q1716" s="38"/>
      <c r="R1716" s="38"/>
      <c r="S1716" s="38"/>
      <c r="T1716" s="38"/>
      <c r="U1716" s="38"/>
      <c r="V1716" s="38"/>
      <c r="W1716" s="38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</row>
    <row r="1717" spans="1:36" ht="11.25" customHeight="1" x14ac:dyDescent="0.2">
      <c r="A1717" s="35" t="s">
        <v>30</v>
      </c>
      <c r="B1717" s="35" t="s">
        <v>39</v>
      </c>
      <c r="C1717" s="35" t="s">
        <v>35</v>
      </c>
      <c r="D1717" s="35" t="s">
        <v>45</v>
      </c>
      <c r="E1717" s="35" t="s">
        <v>25</v>
      </c>
      <c r="F1717" s="35" t="s">
        <v>25</v>
      </c>
      <c r="G1717" s="35" t="s">
        <v>25</v>
      </c>
      <c r="H1717" s="35" t="s">
        <v>36</v>
      </c>
      <c r="I1717" s="45">
        <v>44682</v>
      </c>
      <c r="J1717" s="46">
        <f>EFEITO!$J$1717*EFEITO!$Y$1717</f>
        <v>0</v>
      </c>
      <c r="K1717" s="46">
        <f ca="1">EFEITO!$L$1717*EFEITO!$Z$1717</f>
        <v>89.485123626306674</v>
      </c>
      <c r="L1717" s="46">
        <f>EFEITO!$N$1717*EFEITO!$AA$1717</f>
        <v>24.297147117780231</v>
      </c>
      <c r="M1717" s="46">
        <f>$J$1717-EFEITO!$K$1717*EFEITO!$Y$1717</f>
        <v>0</v>
      </c>
      <c r="N1717" s="46">
        <f ca="1">$K$1717-EFEITO!$M$1717*EFEITO!$Z$1717</f>
        <v>0</v>
      </c>
      <c r="O1717" s="46">
        <f>$L$1717-EFEITO!$O$1717*EFEITO!$AA$1717</f>
        <v>0</v>
      </c>
      <c r="P1717" s="38"/>
      <c r="Q1717" s="38"/>
      <c r="R1717" s="38"/>
      <c r="S1717" s="38"/>
      <c r="T1717" s="38"/>
      <c r="U1717" s="38"/>
      <c r="V1717" s="38"/>
      <c r="W1717" s="38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</row>
    <row r="1718" spans="1:36" ht="11.25" customHeight="1" x14ac:dyDescent="0.2">
      <c r="A1718" s="35" t="s">
        <v>21</v>
      </c>
      <c r="B1718" s="35" t="s">
        <v>39</v>
      </c>
      <c r="C1718" s="35" t="s">
        <v>35</v>
      </c>
      <c r="D1718" s="35" t="s">
        <v>45</v>
      </c>
      <c r="E1718" s="35" t="s">
        <v>25</v>
      </c>
      <c r="F1718" s="35" t="s">
        <v>25</v>
      </c>
      <c r="G1718" s="35" t="s">
        <v>25</v>
      </c>
      <c r="H1718" s="35" t="s">
        <v>36</v>
      </c>
      <c r="I1718" s="45">
        <v>44713</v>
      </c>
      <c r="J1718" s="46">
        <f>EFEITO!$J$1718*EFEITO!$Y$1718</f>
        <v>0</v>
      </c>
      <c r="K1718" s="46">
        <f ca="1">EFEITO!$L$1718*EFEITO!$Z$1718</f>
        <v>6730.0826560143178</v>
      </c>
      <c r="L1718" s="46">
        <f>EFEITO!$N$1718*EFEITO!$AA$1718</f>
        <v>1827.3630496491728</v>
      </c>
      <c r="M1718" s="46">
        <f>$J$1718-EFEITO!$K$1718*EFEITO!$Y$1718</f>
        <v>0</v>
      </c>
      <c r="N1718" s="46">
        <f ca="1">$K$1718-EFEITO!$M$1718*EFEITO!$Z$1718</f>
        <v>0</v>
      </c>
      <c r="O1718" s="46">
        <f>$L$1718-EFEITO!$O$1718*EFEITO!$AA$1718</f>
        <v>0</v>
      </c>
      <c r="P1718" s="38"/>
      <c r="Q1718" s="38"/>
      <c r="R1718" s="38"/>
      <c r="S1718" s="38"/>
      <c r="T1718" s="38"/>
      <c r="U1718" s="38"/>
      <c r="V1718" s="38"/>
      <c r="W1718" s="38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</row>
    <row r="1719" spans="1:36" ht="11.25" customHeight="1" x14ac:dyDescent="0.2">
      <c r="A1719" s="35" t="s">
        <v>28</v>
      </c>
      <c r="B1719" s="35" t="s">
        <v>39</v>
      </c>
      <c r="C1719" s="35" t="s">
        <v>35</v>
      </c>
      <c r="D1719" s="35" t="s">
        <v>45</v>
      </c>
      <c r="E1719" s="35" t="s">
        <v>25</v>
      </c>
      <c r="F1719" s="35" t="s">
        <v>25</v>
      </c>
      <c r="G1719" s="35" t="s">
        <v>25</v>
      </c>
      <c r="H1719" s="35" t="s">
        <v>36</v>
      </c>
      <c r="I1719" s="45">
        <v>44713</v>
      </c>
      <c r="J1719" s="46">
        <f>EFEITO!$J$1719*EFEITO!$Y$1719</f>
        <v>0</v>
      </c>
      <c r="K1719" s="46">
        <f ca="1">EFEITO!$L$1719*EFEITO!$Z$1719</f>
        <v>1008.3771393710676</v>
      </c>
      <c r="L1719" s="46">
        <f>EFEITO!$N$1719*EFEITO!$AA$1719</f>
        <v>273.79621005856825</v>
      </c>
      <c r="M1719" s="46">
        <f>$J$1719-EFEITO!$K$1719*EFEITO!$Y$1719</f>
        <v>0</v>
      </c>
      <c r="N1719" s="46">
        <f ca="1">$K$1719-EFEITO!$M$1719*EFEITO!$Z$1719</f>
        <v>0</v>
      </c>
      <c r="O1719" s="46">
        <f>$L$1719-EFEITO!$O$1719*EFEITO!$AA$1719</f>
        <v>0</v>
      </c>
      <c r="P1719" s="38"/>
      <c r="Q1719" s="38"/>
      <c r="R1719" s="38"/>
      <c r="S1719" s="38"/>
      <c r="T1719" s="38"/>
      <c r="U1719" s="38"/>
      <c r="V1719" s="38"/>
      <c r="W1719" s="38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</row>
    <row r="1720" spans="1:36" ht="11.25" customHeight="1" x14ac:dyDescent="0.2">
      <c r="A1720" s="35" t="s">
        <v>21</v>
      </c>
      <c r="B1720" s="35" t="s">
        <v>39</v>
      </c>
      <c r="C1720" s="35" t="s">
        <v>35</v>
      </c>
      <c r="D1720" s="35" t="s">
        <v>45</v>
      </c>
      <c r="E1720" s="35" t="s">
        <v>25</v>
      </c>
      <c r="F1720" s="35" t="s">
        <v>25</v>
      </c>
      <c r="G1720" s="35" t="s">
        <v>25</v>
      </c>
      <c r="H1720" s="35" t="s">
        <v>36</v>
      </c>
      <c r="I1720" s="45">
        <v>44743</v>
      </c>
      <c r="J1720" s="46">
        <f>EFEITO!$J$1720*EFEITO!$Y$1720</f>
        <v>0</v>
      </c>
      <c r="K1720" s="46">
        <f ca="1">EFEITO!$L$1720*EFEITO!$Z$1720</f>
        <v>8517.1139308202619</v>
      </c>
      <c r="L1720" s="46">
        <f>EFEITO!$N$1720*EFEITO!$AA$1720</f>
        <v>2312.5807040311124</v>
      </c>
      <c r="M1720" s="46">
        <f>$J$1720-EFEITO!$K$1720*EFEITO!$Y$1720</f>
        <v>0</v>
      </c>
      <c r="N1720" s="46">
        <f ca="1">$K$1720-EFEITO!$M$1720*EFEITO!$Z$1720</f>
        <v>0</v>
      </c>
      <c r="O1720" s="46">
        <f>$L$1720-EFEITO!$O$1720*EFEITO!$AA$1720</f>
        <v>0</v>
      </c>
      <c r="P1720" s="38"/>
      <c r="Q1720" s="38"/>
      <c r="R1720" s="38"/>
      <c r="S1720" s="38"/>
      <c r="T1720" s="38"/>
      <c r="U1720" s="38"/>
      <c r="V1720" s="38"/>
      <c r="W1720" s="38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</row>
    <row r="1721" spans="1:36" ht="11.25" customHeight="1" x14ac:dyDescent="0.2">
      <c r="A1721" s="35" t="s">
        <v>27</v>
      </c>
      <c r="B1721" s="35" t="s">
        <v>39</v>
      </c>
      <c r="C1721" s="35" t="s">
        <v>35</v>
      </c>
      <c r="D1721" s="35" t="s">
        <v>45</v>
      </c>
      <c r="E1721" s="35" t="s">
        <v>25</v>
      </c>
      <c r="F1721" s="35" t="s">
        <v>25</v>
      </c>
      <c r="G1721" s="35" t="s">
        <v>25</v>
      </c>
      <c r="H1721" s="35" t="s">
        <v>36</v>
      </c>
      <c r="I1721" s="45">
        <v>44743</v>
      </c>
      <c r="J1721" s="46">
        <f>EFEITO!$J$1721*EFEITO!$Y$1721</f>
        <v>0</v>
      </c>
      <c r="K1721" s="46">
        <f ca="1">EFEITO!$L$1721*EFEITO!$Z$1721</f>
        <v>293.83174922070845</v>
      </c>
      <c r="L1721" s="46">
        <f>EFEITO!$N$1721*EFEITO!$AA$1721</f>
        <v>79.78167710315897</v>
      </c>
      <c r="M1721" s="46">
        <f>$J$1721-EFEITO!$K$1721*EFEITO!$Y$1721</f>
        <v>0</v>
      </c>
      <c r="N1721" s="46">
        <f ca="1">$K$1721-EFEITO!$M$1721*EFEITO!$Z$1721</f>
        <v>0</v>
      </c>
      <c r="O1721" s="46">
        <f>$L$1721-EFEITO!$O$1721*EFEITO!$AA$1721</f>
        <v>0</v>
      </c>
      <c r="P1721" s="38"/>
      <c r="Q1721" s="38"/>
      <c r="R1721" s="38"/>
      <c r="S1721" s="38"/>
      <c r="T1721" s="38"/>
      <c r="U1721" s="38"/>
      <c r="V1721" s="38"/>
      <c r="W1721" s="38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</row>
    <row r="1722" spans="1:36" ht="11.25" customHeight="1" x14ac:dyDescent="0.2">
      <c r="A1722" s="35" t="s">
        <v>28</v>
      </c>
      <c r="B1722" s="35" t="s">
        <v>39</v>
      </c>
      <c r="C1722" s="35" t="s">
        <v>35</v>
      </c>
      <c r="D1722" s="35" t="s">
        <v>45</v>
      </c>
      <c r="E1722" s="35" t="s">
        <v>25</v>
      </c>
      <c r="F1722" s="35" t="s">
        <v>25</v>
      </c>
      <c r="G1722" s="35" t="s">
        <v>25</v>
      </c>
      <c r="H1722" s="35" t="s">
        <v>36</v>
      </c>
      <c r="I1722" s="45">
        <v>44743</v>
      </c>
      <c r="J1722" s="46">
        <f>EFEITO!$J$1722*EFEITO!$Y$1722</f>
        <v>0</v>
      </c>
      <c r="K1722" s="46">
        <f ca="1">EFEITO!$L$1722*EFEITO!$Z$1722</f>
        <v>679.8198197879118</v>
      </c>
      <c r="L1722" s="46">
        <f>EFEITO!$N$1722*EFEITO!$AA$1722</f>
        <v>184.58578929776326</v>
      </c>
      <c r="M1722" s="46">
        <f>$J$1722-EFEITO!$K$1722*EFEITO!$Y$1722</f>
        <v>0</v>
      </c>
      <c r="N1722" s="46">
        <f ca="1">$K$1722-EFEITO!$M$1722*EFEITO!$Z$1722</f>
        <v>0</v>
      </c>
      <c r="O1722" s="46">
        <f>$L$1722-EFEITO!$O$1722*EFEITO!$AA$1722</f>
        <v>0</v>
      </c>
      <c r="P1722" s="38"/>
      <c r="Q1722" s="38"/>
      <c r="R1722" s="38"/>
      <c r="S1722" s="38"/>
      <c r="T1722" s="38"/>
      <c r="U1722" s="38"/>
      <c r="V1722" s="38"/>
      <c r="W1722" s="38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</row>
    <row r="1723" spans="1:36" ht="11.25" customHeight="1" x14ac:dyDescent="0.2">
      <c r="A1723" s="35" t="s">
        <v>30</v>
      </c>
      <c r="B1723" s="35" t="s">
        <v>39</v>
      </c>
      <c r="C1723" s="35" t="s">
        <v>35</v>
      </c>
      <c r="D1723" s="35" t="s">
        <v>45</v>
      </c>
      <c r="E1723" s="35" t="s">
        <v>25</v>
      </c>
      <c r="F1723" s="35" t="s">
        <v>25</v>
      </c>
      <c r="G1723" s="35" t="s">
        <v>25</v>
      </c>
      <c r="H1723" s="35" t="s">
        <v>36</v>
      </c>
      <c r="I1723" s="45">
        <v>44743</v>
      </c>
      <c r="J1723" s="46">
        <f>EFEITO!$J$1723*EFEITO!$Y$1723</f>
        <v>0</v>
      </c>
      <c r="K1723" s="46">
        <f ca="1">EFEITO!$L$1723*EFEITO!$Z$1723</f>
        <v>78.800332745553632</v>
      </c>
      <c r="L1723" s="46">
        <f>EFEITO!$N$1723*EFEITO!$AA$1723</f>
        <v>21.395995223119904</v>
      </c>
      <c r="M1723" s="46">
        <f>$J$1723-EFEITO!$K$1723*EFEITO!$Y$1723</f>
        <v>0</v>
      </c>
      <c r="N1723" s="46">
        <f ca="1">$K$1723-EFEITO!$M$1723*EFEITO!$Z$1723</f>
        <v>0</v>
      </c>
      <c r="O1723" s="46">
        <f>$L$1723-EFEITO!$O$1723*EFEITO!$AA$1723</f>
        <v>0</v>
      </c>
      <c r="P1723" s="38"/>
      <c r="Q1723" s="38"/>
      <c r="R1723" s="38"/>
      <c r="S1723" s="38"/>
      <c r="T1723" s="38"/>
      <c r="U1723" s="38"/>
      <c r="V1723" s="38"/>
      <c r="W1723" s="38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</row>
    <row r="1724" spans="1:36" ht="11.25" customHeight="1" x14ac:dyDescent="0.2">
      <c r="A1724" s="35" t="s">
        <v>21</v>
      </c>
      <c r="B1724" s="35" t="s">
        <v>39</v>
      </c>
      <c r="C1724" s="35" t="s">
        <v>35</v>
      </c>
      <c r="D1724" s="35" t="s">
        <v>45</v>
      </c>
      <c r="E1724" s="35" t="s">
        <v>25</v>
      </c>
      <c r="F1724" s="35" t="s">
        <v>25</v>
      </c>
      <c r="G1724" s="35" t="s">
        <v>25</v>
      </c>
      <c r="H1724" s="35" t="s">
        <v>36</v>
      </c>
      <c r="I1724" s="45">
        <v>44774</v>
      </c>
      <c r="J1724" s="46">
        <f>EFEITO!$J$1724*EFEITO!$Y$1724</f>
        <v>0</v>
      </c>
      <c r="K1724" s="46">
        <f ca="1">EFEITO!$L$1724*EFEITO!$Z$1724</f>
        <v>6637.9263346678226</v>
      </c>
      <c r="L1724" s="46">
        <f>EFEITO!$N$1724*EFEITO!$AA$1724</f>
        <v>1802.3406145577273</v>
      </c>
      <c r="M1724" s="46">
        <f>$J$1724-EFEITO!$K$1724*EFEITO!$Y$1724</f>
        <v>0</v>
      </c>
      <c r="N1724" s="46">
        <f ca="1">$K$1724-EFEITO!$M$1724*EFEITO!$Z$1724</f>
        <v>0</v>
      </c>
      <c r="O1724" s="46">
        <f>$L$1724-EFEITO!$O$1724*EFEITO!$AA$1724</f>
        <v>0</v>
      </c>
      <c r="P1724" s="38"/>
      <c r="Q1724" s="38"/>
      <c r="R1724" s="38"/>
      <c r="S1724" s="38"/>
      <c r="T1724" s="38"/>
      <c r="U1724" s="38"/>
      <c r="V1724" s="38"/>
      <c r="W1724" s="38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</row>
    <row r="1725" spans="1:36" ht="11.25" customHeight="1" x14ac:dyDescent="0.2">
      <c r="A1725" s="35" t="s">
        <v>27</v>
      </c>
      <c r="B1725" s="35" t="s">
        <v>39</v>
      </c>
      <c r="C1725" s="35" t="s">
        <v>35</v>
      </c>
      <c r="D1725" s="35" t="s">
        <v>45</v>
      </c>
      <c r="E1725" s="35" t="s">
        <v>25</v>
      </c>
      <c r="F1725" s="35" t="s">
        <v>25</v>
      </c>
      <c r="G1725" s="35" t="s">
        <v>25</v>
      </c>
      <c r="H1725" s="35" t="s">
        <v>36</v>
      </c>
      <c r="I1725" s="45">
        <v>44774</v>
      </c>
      <c r="J1725" s="46">
        <f>EFEITO!$J$1725*EFEITO!$Y$1725</f>
        <v>0</v>
      </c>
      <c r="K1725" s="46">
        <f ca="1">EFEITO!$L$1725*EFEITO!$Z$1725</f>
        <v>-1083.1706755363389</v>
      </c>
      <c r="L1725" s="46">
        <f>EFEITO!$N$1725*EFEITO!$AA$1725</f>
        <v>-294.10427332119059</v>
      </c>
      <c r="M1725" s="46">
        <f>$J$1725-EFEITO!$K$1725*EFEITO!$Y$1725</f>
        <v>0</v>
      </c>
      <c r="N1725" s="46">
        <f ca="1">$K$1725-EFEITO!$M$1725*EFEITO!$Z$1725</f>
        <v>0</v>
      </c>
      <c r="O1725" s="46">
        <f>$L$1725-EFEITO!$O$1725*EFEITO!$AA$1725</f>
        <v>0</v>
      </c>
      <c r="P1725" s="38"/>
      <c r="Q1725" s="38"/>
      <c r="R1725" s="38"/>
      <c r="S1725" s="38"/>
      <c r="T1725" s="38"/>
      <c r="U1725" s="38"/>
      <c r="V1725" s="38"/>
      <c r="W1725" s="38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</row>
    <row r="1726" spans="1:36" ht="11.25" customHeight="1" x14ac:dyDescent="0.2">
      <c r="A1726" s="35" t="s">
        <v>28</v>
      </c>
      <c r="B1726" s="35" t="s">
        <v>39</v>
      </c>
      <c r="C1726" s="35" t="s">
        <v>35</v>
      </c>
      <c r="D1726" s="35" t="s">
        <v>45</v>
      </c>
      <c r="E1726" s="35" t="s">
        <v>25</v>
      </c>
      <c r="F1726" s="35" t="s">
        <v>25</v>
      </c>
      <c r="G1726" s="35" t="s">
        <v>25</v>
      </c>
      <c r="H1726" s="35" t="s">
        <v>36</v>
      </c>
      <c r="I1726" s="45">
        <v>44774</v>
      </c>
      <c r="J1726" s="46">
        <f>EFEITO!$J$1726*EFEITO!$Y$1726</f>
        <v>0</v>
      </c>
      <c r="K1726" s="46">
        <f ca="1">EFEITO!$L$1726*EFEITO!$Z$1726</f>
        <v>661.12143574659399</v>
      </c>
      <c r="L1726" s="46">
        <f>EFEITO!$N$1726*EFEITO!$AA$1726</f>
        <v>179.50877348210767</v>
      </c>
      <c r="M1726" s="46">
        <f>$J$1726-EFEITO!$K$1726*EFEITO!$Y$1726</f>
        <v>0</v>
      </c>
      <c r="N1726" s="46">
        <f ca="1">$K$1726-EFEITO!$M$1726*EFEITO!$Z$1726</f>
        <v>0</v>
      </c>
      <c r="O1726" s="46">
        <f>$L$1726-EFEITO!$O$1726*EFEITO!$AA$1726</f>
        <v>0</v>
      </c>
      <c r="P1726" s="38"/>
      <c r="Q1726" s="38"/>
      <c r="R1726" s="38"/>
      <c r="S1726" s="38"/>
      <c r="T1726" s="38"/>
      <c r="U1726" s="38"/>
      <c r="V1726" s="38"/>
      <c r="W1726" s="38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</row>
    <row r="1727" spans="1:36" ht="11.25" customHeight="1" x14ac:dyDescent="0.2">
      <c r="A1727" s="35" t="s">
        <v>30</v>
      </c>
      <c r="B1727" s="35" t="s">
        <v>39</v>
      </c>
      <c r="C1727" s="35" t="s">
        <v>35</v>
      </c>
      <c r="D1727" s="35" t="s">
        <v>45</v>
      </c>
      <c r="E1727" s="35" t="s">
        <v>25</v>
      </c>
      <c r="F1727" s="35" t="s">
        <v>25</v>
      </c>
      <c r="G1727" s="35" t="s">
        <v>25</v>
      </c>
      <c r="H1727" s="35" t="s">
        <v>36</v>
      </c>
      <c r="I1727" s="45">
        <v>44774</v>
      </c>
      <c r="J1727" s="46">
        <f>EFEITO!$J$1727*EFEITO!$Y$1727</f>
        <v>0</v>
      </c>
      <c r="K1727" s="46">
        <f ca="1">EFEITO!$L$1727*EFEITO!$Z$1727</f>
        <v>2035.4526627834532</v>
      </c>
      <c r="L1727" s="46">
        <f>EFEITO!$N$1727*EFEITO!$AA$1727</f>
        <v>552.66943593279211</v>
      </c>
      <c r="M1727" s="46">
        <f>$J$1727-EFEITO!$K$1727*EFEITO!$Y$1727</f>
        <v>0</v>
      </c>
      <c r="N1727" s="46">
        <f ca="1">$K$1727-EFEITO!$M$1727*EFEITO!$Z$1727</f>
        <v>0</v>
      </c>
      <c r="O1727" s="46">
        <f>$L$1727-EFEITO!$O$1727*EFEITO!$AA$1727</f>
        <v>0</v>
      </c>
      <c r="P1727" s="38"/>
      <c r="Q1727" s="38"/>
      <c r="R1727" s="38"/>
      <c r="S1727" s="38"/>
      <c r="T1727" s="38"/>
      <c r="U1727" s="38"/>
      <c r="V1727" s="38"/>
      <c r="W1727" s="38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</row>
    <row r="1728" spans="1:36" ht="11.25" customHeight="1" x14ac:dyDescent="0.2">
      <c r="A1728" s="35" t="s">
        <v>21</v>
      </c>
      <c r="B1728" s="35" t="s">
        <v>39</v>
      </c>
      <c r="C1728" s="35" t="s">
        <v>35</v>
      </c>
      <c r="D1728" s="35" t="s">
        <v>45</v>
      </c>
      <c r="E1728" s="35" t="s">
        <v>25</v>
      </c>
      <c r="F1728" s="35" t="s">
        <v>25</v>
      </c>
      <c r="G1728" s="35" t="s">
        <v>25</v>
      </c>
      <c r="H1728" s="35" t="s">
        <v>36</v>
      </c>
      <c r="I1728" s="45">
        <v>44805</v>
      </c>
      <c r="J1728" s="46">
        <f>EFEITO!$J$1728*EFEITO!$Y$1728</f>
        <v>0</v>
      </c>
      <c r="K1728" s="46">
        <f ca="1">EFEITO!$L$1728*EFEITO!$Z$1728</f>
        <v>7868.0128848145159</v>
      </c>
      <c r="L1728" s="46">
        <f>EFEITO!$N$1728*EFEITO!$AA$1728</f>
        <v>2136.3357264304977</v>
      </c>
      <c r="M1728" s="46">
        <f>$J$1728-EFEITO!$K$1728*EFEITO!$Y$1728</f>
        <v>0</v>
      </c>
      <c r="N1728" s="46">
        <f ca="1">$K$1728-EFEITO!$M$1728*EFEITO!$Z$1728</f>
        <v>0</v>
      </c>
      <c r="O1728" s="46">
        <f>$L$1728-EFEITO!$O$1728*EFEITO!$AA$1728</f>
        <v>0</v>
      </c>
      <c r="P1728" s="38"/>
      <c r="Q1728" s="38"/>
      <c r="R1728" s="38"/>
      <c r="S1728" s="38"/>
      <c r="T1728" s="38"/>
      <c r="U1728" s="38"/>
      <c r="V1728" s="38"/>
      <c r="W1728" s="38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</row>
    <row r="1729" spans="1:36" ht="11.25" customHeight="1" x14ac:dyDescent="0.2">
      <c r="A1729" s="35" t="s">
        <v>27</v>
      </c>
      <c r="B1729" s="35" t="s">
        <v>39</v>
      </c>
      <c r="C1729" s="35" t="s">
        <v>35</v>
      </c>
      <c r="D1729" s="35" t="s">
        <v>45</v>
      </c>
      <c r="E1729" s="35" t="s">
        <v>25</v>
      </c>
      <c r="F1729" s="35" t="s">
        <v>25</v>
      </c>
      <c r="G1729" s="35" t="s">
        <v>25</v>
      </c>
      <c r="H1729" s="35" t="s">
        <v>36</v>
      </c>
      <c r="I1729" s="45">
        <v>44805</v>
      </c>
      <c r="J1729" s="46">
        <f>EFEITO!$J$1729*EFEITO!$Y$1729</f>
        <v>0</v>
      </c>
      <c r="K1729" s="46">
        <f ca="1">EFEITO!$L$1729*EFEITO!$Z$1729</f>
        <v>-4.0067965802823879</v>
      </c>
      <c r="L1729" s="46">
        <f>EFEITO!$N$1729*EFEITO!$AA$1729</f>
        <v>-1.0879319604976223</v>
      </c>
      <c r="M1729" s="46">
        <f>$J$1729-EFEITO!$K$1729*EFEITO!$Y$1729</f>
        <v>0</v>
      </c>
      <c r="N1729" s="46">
        <f ca="1">$K$1729-EFEITO!$M$1729*EFEITO!$Z$1729</f>
        <v>0</v>
      </c>
      <c r="O1729" s="46">
        <f>$L$1729-EFEITO!$O$1729*EFEITO!$AA$1729</f>
        <v>0</v>
      </c>
      <c r="P1729" s="38"/>
      <c r="Q1729" s="38"/>
      <c r="R1729" s="38"/>
      <c r="S1729" s="38"/>
      <c r="T1729" s="38"/>
      <c r="U1729" s="38"/>
      <c r="V1729" s="38"/>
      <c r="W1729" s="38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</row>
    <row r="1730" spans="1:36" ht="11.25" customHeight="1" x14ac:dyDescent="0.2">
      <c r="A1730" s="35" t="s">
        <v>28</v>
      </c>
      <c r="B1730" s="35" t="s">
        <v>39</v>
      </c>
      <c r="C1730" s="35" t="s">
        <v>35</v>
      </c>
      <c r="D1730" s="35" t="s">
        <v>45</v>
      </c>
      <c r="E1730" s="35" t="s">
        <v>25</v>
      </c>
      <c r="F1730" s="35" t="s">
        <v>25</v>
      </c>
      <c r="G1730" s="35" t="s">
        <v>25</v>
      </c>
      <c r="H1730" s="35" t="s">
        <v>36</v>
      </c>
      <c r="I1730" s="45">
        <v>44805</v>
      </c>
      <c r="J1730" s="46">
        <f>EFEITO!$J$1730*EFEITO!$Y$1730</f>
        <v>0</v>
      </c>
      <c r="K1730" s="46">
        <f ca="1">EFEITO!$L$1730*EFEITO!$Z$1730</f>
        <v>674.47742434753536</v>
      </c>
      <c r="L1730" s="46">
        <f>EFEITO!$N$1730*EFEITO!$AA$1730</f>
        <v>183.13521335043308</v>
      </c>
      <c r="M1730" s="46">
        <f>$J$1730-EFEITO!$K$1730*EFEITO!$Y$1730</f>
        <v>0</v>
      </c>
      <c r="N1730" s="46">
        <f ca="1">$K$1730-EFEITO!$M$1730*EFEITO!$Z$1730</f>
        <v>0</v>
      </c>
      <c r="O1730" s="46">
        <f>$L$1730-EFEITO!$O$1730*EFEITO!$AA$1730</f>
        <v>0</v>
      </c>
      <c r="P1730" s="38"/>
      <c r="Q1730" s="38"/>
      <c r="R1730" s="38"/>
      <c r="S1730" s="38"/>
      <c r="T1730" s="38"/>
      <c r="U1730" s="38"/>
      <c r="V1730" s="38"/>
      <c r="W1730" s="38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</row>
    <row r="1731" spans="1:36" ht="11.25" customHeight="1" x14ac:dyDescent="0.2">
      <c r="A1731" s="35" t="s">
        <v>30</v>
      </c>
      <c r="B1731" s="35" t="s">
        <v>39</v>
      </c>
      <c r="C1731" s="35" t="s">
        <v>35</v>
      </c>
      <c r="D1731" s="35" t="s">
        <v>45</v>
      </c>
      <c r="E1731" s="35" t="s">
        <v>25</v>
      </c>
      <c r="F1731" s="35" t="s">
        <v>25</v>
      </c>
      <c r="G1731" s="35" t="s">
        <v>25</v>
      </c>
      <c r="H1731" s="35" t="s">
        <v>36</v>
      </c>
      <c r="I1731" s="45">
        <v>44805</v>
      </c>
      <c r="J1731" s="46">
        <f>EFEITO!$J$1731*EFEITO!$Y$1731</f>
        <v>0</v>
      </c>
      <c r="K1731" s="46">
        <f ca="1">EFEITO!$L$1731*EFEITO!$Z$1731</f>
        <v>289.82495264042609</v>
      </c>
      <c r="L1731" s="46">
        <f>EFEITO!$N$1731*EFEITO!$AA$1731</f>
        <v>78.693745142661342</v>
      </c>
      <c r="M1731" s="46">
        <f>$J$1731-EFEITO!$K$1731*EFEITO!$Y$1731</f>
        <v>0</v>
      </c>
      <c r="N1731" s="46">
        <f ca="1">$K$1731-EFEITO!$M$1731*EFEITO!$Z$1731</f>
        <v>0</v>
      </c>
      <c r="O1731" s="46">
        <f>$L$1731-EFEITO!$O$1731*EFEITO!$AA$1731</f>
        <v>0</v>
      </c>
      <c r="P1731" s="38"/>
      <c r="Q1731" s="38"/>
      <c r="R1731" s="38"/>
      <c r="S1731" s="38"/>
      <c r="T1731" s="38"/>
      <c r="U1731" s="38"/>
      <c r="V1731" s="38"/>
      <c r="W1731" s="38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</row>
    <row r="1732" spans="1:36" ht="11.25" customHeight="1" x14ac:dyDescent="0.2">
      <c r="A1732" s="35" t="s">
        <v>30</v>
      </c>
      <c r="B1732" s="35" t="s">
        <v>39</v>
      </c>
      <c r="C1732" s="35" t="s">
        <v>35</v>
      </c>
      <c r="D1732" s="35" t="s">
        <v>45</v>
      </c>
      <c r="E1732" s="35" t="s">
        <v>25</v>
      </c>
      <c r="F1732" s="35" t="s">
        <v>25</v>
      </c>
      <c r="G1732" s="35" t="s">
        <v>25</v>
      </c>
      <c r="H1732" s="35" t="s">
        <v>36</v>
      </c>
      <c r="I1732" s="45">
        <v>44805</v>
      </c>
      <c r="J1732" s="46">
        <f>EFEITO!$J$1732*EFEITO!$Y$1732</f>
        <v>0</v>
      </c>
      <c r="K1732" s="46">
        <f ca="1">EFEITO!$L$1732*EFEITO!$Z$1732</f>
        <v>-1999.3914935609118</v>
      </c>
      <c r="L1732" s="46">
        <f>EFEITO!$N$1732*EFEITO!$AA$1732</f>
        <v>-542.87804828831349</v>
      </c>
      <c r="M1732" s="46">
        <f>$J$1732-EFEITO!$K$1732*EFEITO!$Y$1732</f>
        <v>0</v>
      </c>
      <c r="N1732" s="46">
        <f ca="1">$K$1732-EFEITO!$M$1732*EFEITO!$Z$1732</f>
        <v>0</v>
      </c>
      <c r="O1732" s="46">
        <f>$L$1732-EFEITO!$O$1732*EFEITO!$AA$1732</f>
        <v>0</v>
      </c>
      <c r="P1732" s="38"/>
      <c r="Q1732" s="38"/>
      <c r="R1732" s="38"/>
      <c r="S1732" s="38"/>
      <c r="T1732" s="38"/>
      <c r="U1732" s="38"/>
      <c r="V1732" s="38"/>
      <c r="W1732" s="38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</row>
    <row r="1733" spans="1:36" ht="11.25" customHeight="1" x14ac:dyDescent="0.2">
      <c r="A1733" s="35" t="s">
        <v>21</v>
      </c>
      <c r="B1733" s="35" t="s">
        <v>39</v>
      </c>
      <c r="C1733" s="35" t="s">
        <v>35</v>
      </c>
      <c r="D1733" s="35" t="s">
        <v>45</v>
      </c>
      <c r="E1733" s="35" t="s">
        <v>25</v>
      </c>
      <c r="F1733" s="35" t="s">
        <v>25</v>
      </c>
      <c r="G1733" s="35" t="s">
        <v>25</v>
      </c>
      <c r="H1733" s="35" t="s">
        <v>36</v>
      </c>
      <c r="I1733" s="45">
        <v>44835</v>
      </c>
      <c r="J1733" s="46">
        <f>EFEITO!$J$1733*EFEITO!$Y$1733</f>
        <v>0</v>
      </c>
      <c r="K1733" s="46">
        <f ca="1">EFEITO!$L$1733*EFEITO!$Z$1733</f>
        <v>6982.5108405721076</v>
      </c>
      <c r="L1733" s="46">
        <f>EFEITO!$N$1733*EFEITO!$AA$1733</f>
        <v>1895.9027631605229</v>
      </c>
      <c r="M1733" s="46">
        <f>$J$1733-EFEITO!$K$1733*EFEITO!$Y$1733</f>
        <v>0</v>
      </c>
      <c r="N1733" s="46">
        <f ca="1">$K$1733-EFEITO!$M$1733*EFEITO!$Z$1733</f>
        <v>0</v>
      </c>
      <c r="O1733" s="46">
        <f>$L$1733-EFEITO!$O$1733*EFEITO!$AA$1733</f>
        <v>0</v>
      </c>
      <c r="P1733" s="38"/>
      <c r="Q1733" s="38"/>
      <c r="R1733" s="38"/>
      <c r="S1733" s="38"/>
      <c r="T1733" s="38"/>
      <c r="U1733" s="38"/>
      <c r="V1733" s="38"/>
      <c r="W1733" s="38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</row>
    <row r="1734" spans="1:36" ht="11.25" customHeight="1" x14ac:dyDescent="0.2">
      <c r="A1734" s="35" t="s">
        <v>28</v>
      </c>
      <c r="B1734" s="35" t="s">
        <v>39</v>
      </c>
      <c r="C1734" s="35" t="s">
        <v>35</v>
      </c>
      <c r="D1734" s="35" t="s">
        <v>45</v>
      </c>
      <c r="E1734" s="35" t="s">
        <v>25</v>
      </c>
      <c r="F1734" s="35" t="s">
        <v>25</v>
      </c>
      <c r="G1734" s="35" t="s">
        <v>25</v>
      </c>
      <c r="H1734" s="35" t="s">
        <v>36</v>
      </c>
      <c r="I1734" s="45">
        <v>44835</v>
      </c>
      <c r="J1734" s="46">
        <f>EFEITO!$J$1734*EFEITO!$Y$1734</f>
        <v>0</v>
      </c>
      <c r="K1734" s="46">
        <f ca="1">EFEITO!$L$1734*EFEITO!$Z$1734</f>
        <v>853.44767160014862</v>
      </c>
      <c r="L1734" s="46">
        <f>EFEITO!$N$1734*EFEITO!$AA$1734</f>
        <v>231.72950758599353</v>
      </c>
      <c r="M1734" s="46">
        <f>$J$1734-EFEITO!$K$1734*EFEITO!$Y$1734</f>
        <v>0</v>
      </c>
      <c r="N1734" s="46">
        <f ca="1">$K$1734-EFEITO!$M$1734*EFEITO!$Z$1734</f>
        <v>0</v>
      </c>
      <c r="O1734" s="46">
        <f>$L$1734-EFEITO!$O$1734*EFEITO!$AA$1734</f>
        <v>0</v>
      </c>
      <c r="P1734" s="38"/>
      <c r="Q1734" s="38"/>
      <c r="R1734" s="38"/>
      <c r="S1734" s="38"/>
      <c r="T1734" s="38"/>
      <c r="U1734" s="38"/>
      <c r="V1734" s="38"/>
      <c r="W1734" s="38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</row>
    <row r="1735" spans="1:36" ht="11.25" customHeight="1" x14ac:dyDescent="0.2">
      <c r="A1735" s="35" t="s">
        <v>30</v>
      </c>
      <c r="B1735" s="35" t="s">
        <v>39</v>
      </c>
      <c r="C1735" s="35" t="s">
        <v>35</v>
      </c>
      <c r="D1735" s="35" t="s">
        <v>45</v>
      </c>
      <c r="E1735" s="35" t="s">
        <v>25</v>
      </c>
      <c r="F1735" s="35" t="s">
        <v>25</v>
      </c>
      <c r="G1735" s="35" t="s">
        <v>25</v>
      </c>
      <c r="H1735" s="35" t="s">
        <v>36</v>
      </c>
      <c r="I1735" s="45">
        <v>44835</v>
      </c>
      <c r="J1735" s="46">
        <f>EFEITO!$J$1735*EFEITO!$Y$1735</f>
        <v>0</v>
      </c>
      <c r="K1735" s="46">
        <f ca="1">EFEITO!$L$1735*EFEITO!$Z$1735</f>
        <v>-203.01102673430765</v>
      </c>
      <c r="L1735" s="46">
        <f>EFEITO!$N$1735*EFEITO!$AA$1735</f>
        <v>-55.12188599854619</v>
      </c>
      <c r="M1735" s="46">
        <f>$J$1735-EFEITO!$K$1735*EFEITO!$Y$1735</f>
        <v>0</v>
      </c>
      <c r="N1735" s="46">
        <f ca="1">$K$1735-EFEITO!$M$1735*EFEITO!$Z$1735</f>
        <v>0</v>
      </c>
      <c r="O1735" s="46">
        <f>$L$1735-EFEITO!$O$1735*EFEITO!$AA$1735</f>
        <v>0</v>
      </c>
      <c r="P1735" s="38"/>
      <c r="Q1735" s="38"/>
      <c r="R1735" s="38"/>
      <c r="S1735" s="38"/>
      <c r="T1735" s="38"/>
      <c r="U1735" s="38"/>
      <c r="V1735" s="38"/>
      <c r="W1735" s="38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</row>
    <row r="1736" spans="1:36" ht="11.25" customHeight="1" x14ac:dyDescent="0.2">
      <c r="A1736" s="35" t="s">
        <v>59</v>
      </c>
      <c r="B1736" s="35" t="s">
        <v>39</v>
      </c>
      <c r="C1736" s="35" t="s">
        <v>35</v>
      </c>
      <c r="D1736" s="35" t="s">
        <v>45</v>
      </c>
      <c r="E1736" s="35" t="s">
        <v>25</v>
      </c>
      <c r="F1736" s="35" t="s">
        <v>25</v>
      </c>
      <c r="G1736" s="35" t="s">
        <v>25</v>
      </c>
      <c r="H1736" s="35" t="s">
        <v>36</v>
      </c>
      <c r="I1736" s="45">
        <v>44866</v>
      </c>
      <c r="J1736" s="46">
        <f>EFEITO!$J$1736*EFEITO!$Y$1736</f>
        <v>0</v>
      </c>
      <c r="K1736" s="46">
        <f ca="1">EFEITO!$L$1736*EFEITO!$Z$1736</f>
        <v>6982.5108405721076</v>
      </c>
      <c r="L1736" s="46">
        <f>EFEITO!$N$1736*EFEITO!$AA$1736</f>
        <v>1895.9027631605229</v>
      </c>
      <c r="M1736" s="46">
        <f>$J$1736-EFEITO!$K$1736*EFEITO!$Y$1736</f>
        <v>0</v>
      </c>
      <c r="N1736" s="46">
        <f ca="1">$K$1736-EFEITO!$M$1736*EFEITO!$Z$1736</f>
        <v>0</v>
      </c>
      <c r="O1736" s="46">
        <f>$L$1736-EFEITO!$O$1736*EFEITO!$AA$1736</f>
        <v>0</v>
      </c>
      <c r="P1736" s="38"/>
      <c r="Q1736" s="38"/>
      <c r="R1736" s="38"/>
      <c r="S1736" s="38"/>
      <c r="T1736" s="38"/>
      <c r="U1736" s="38"/>
      <c r="V1736" s="38"/>
      <c r="W1736" s="38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</row>
    <row r="1737" spans="1:36" ht="11.25" customHeight="1" x14ac:dyDescent="0.2">
      <c r="A1737" s="35" t="s">
        <v>59</v>
      </c>
      <c r="B1737" s="35" t="s">
        <v>39</v>
      </c>
      <c r="C1737" s="35" t="s">
        <v>35</v>
      </c>
      <c r="D1737" s="35" t="s">
        <v>45</v>
      </c>
      <c r="E1737" s="35" t="s">
        <v>25</v>
      </c>
      <c r="F1737" s="35" t="s">
        <v>25</v>
      </c>
      <c r="G1737" s="35" t="s">
        <v>25</v>
      </c>
      <c r="H1737" s="35" t="s">
        <v>36</v>
      </c>
      <c r="I1737" s="45">
        <v>44866</v>
      </c>
      <c r="J1737" s="46">
        <f>EFEITO!$J$1737*EFEITO!$Y$1737</f>
        <v>0</v>
      </c>
      <c r="K1737" s="46">
        <f ca="1">EFEITO!$L$1737*EFEITO!$Z$1737</f>
        <v>853.44767160014862</v>
      </c>
      <c r="L1737" s="46">
        <f>EFEITO!$N$1737*EFEITO!$AA$1737</f>
        <v>231.72950758599353</v>
      </c>
      <c r="M1737" s="46">
        <f>$J$1737-EFEITO!$K$1737*EFEITO!$Y$1737</f>
        <v>0</v>
      </c>
      <c r="N1737" s="46">
        <f ca="1">$K$1737-EFEITO!$M$1737*EFEITO!$Z$1737</f>
        <v>0</v>
      </c>
      <c r="O1737" s="46">
        <f>$L$1737-EFEITO!$O$1737*EFEITO!$AA$1737</f>
        <v>0</v>
      </c>
      <c r="P1737" s="38"/>
      <c r="Q1737" s="38"/>
      <c r="R1737" s="38"/>
      <c r="S1737" s="38"/>
      <c r="T1737" s="38"/>
      <c r="U1737" s="38"/>
      <c r="V1737" s="38"/>
      <c r="W1737" s="38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</row>
    <row r="1738" spans="1:36" ht="11.25" customHeight="1" x14ac:dyDescent="0.2">
      <c r="A1738" s="35" t="s">
        <v>59</v>
      </c>
      <c r="B1738" s="35" t="s">
        <v>39</v>
      </c>
      <c r="C1738" s="35" t="s">
        <v>35</v>
      </c>
      <c r="D1738" s="35" t="s">
        <v>45</v>
      </c>
      <c r="E1738" s="35" t="s">
        <v>25</v>
      </c>
      <c r="F1738" s="35" t="s">
        <v>25</v>
      </c>
      <c r="G1738" s="35" t="s">
        <v>25</v>
      </c>
      <c r="H1738" s="35" t="s">
        <v>36</v>
      </c>
      <c r="I1738" s="45">
        <v>44866</v>
      </c>
      <c r="J1738" s="46">
        <f>EFEITO!$J$1738*EFEITO!$Y$1738</f>
        <v>0</v>
      </c>
      <c r="K1738" s="46">
        <f ca="1">EFEITO!$L$1738*EFEITO!$Z$1738</f>
        <v>-203.01102673430765</v>
      </c>
      <c r="L1738" s="46">
        <f>EFEITO!$N$1738*EFEITO!$AA$1738</f>
        <v>-55.12188599854619</v>
      </c>
      <c r="M1738" s="46">
        <f>$J$1738-EFEITO!$K$1738*EFEITO!$Y$1738</f>
        <v>0</v>
      </c>
      <c r="N1738" s="46">
        <f ca="1">$K$1738-EFEITO!$M$1738*EFEITO!$Z$1738</f>
        <v>0</v>
      </c>
      <c r="O1738" s="46">
        <f>$L$1738-EFEITO!$O$1738*EFEITO!$AA$1738</f>
        <v>0</v>
      </c>
      <c r="P1738" s="38"/>
      <c r="Q1738" s="38"/>
      <c r="R1738" s="38"/>
      <c r="S1738" s="38"/>
      <c r="T1738" s="38"/>
      <c r="U1738" s="38"/>
      <c r="V1738" s="38"/>
      <c r="W1738" s="38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</row>
    <row r="1739" spans="1:36" ht="11.25" customHeight="1" x14ac:dyDescent="0.2">
      <c r="A1739" s="35" t="s">
        <v>21</v>
      </c>
      <c r="B1739" s="35" t="s">
        <v>39</v>
      </c>
      <c r="C1739" s="35" t="s">
        <v>35</v>
      </c>
      <c r="D1739" s="35" t="s">
        <v>40</v>
      </c>
      <c r="E1739" s="35" t="s">
        <v>25</v>
      </c>
      <c r="F1739" s="35" t="s">
        <v>25</v>
      </c>
      <c r="G1739" s="35" t="s">
        <v>25</v>
      </c>
      <c r="H1739" s="35" t="s">
        <v>37</v>
      </c>
      <c r="I1739" s="45">
        <v>44531</v>
      </c>
      <c r="J1739" s="46">
        <f>EFEITO!$J$1739*EFEITO!$Y$1739</f>
        <v>0</v>
      </c>
      <c r="K1739" s="46">
        <f ca="1">EFEITO!$L$1739*EFEITO!$Z$1739</f>
        <v>110.68197149299493</v>
      </c>
      <c r="L1739" s="46">
        <f>EFEITO!$N$1739*EFEITO!$AA$1739</f>
        <v>61.887976084237472</v>
      </c>
      <c r="M1739" s="46">
        <f>$J$1739-EFEITO!$K$1739*EFEITO!$Y$1739</f>
        <v>0</v>
      </c>
      <c r="N1739" s="46">
        <f ca="1">$K$1739-EFEITO!$M$1739*EFEITO!$Z$1739</f>
        <v>0</v>
      </c>
      <c r="O1739" s="46">
        <f>$L$1739-EFEITO!$O$1739*EFEITO!$AA$1739</f>
        <v>0</v>
      </c>
      <c r="P1739" s="38"/>
      <c r="Q1739" s="38"/>
      <c r="R1739" s="38"/>
      <c r="S1739" s="38"/>
      <c r="T1739" s="38"/>
      <c r="U1739" s="38"/>
      <c r="V1739" s="38"/>
      <c r="W1739" s="38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</row>
    <row r="1740" spans="1:36" ht="11.25" customHeight="1" x14ac:dyDescent="0.2">
      <c r="A1740" s="35" t="s">
        <v>21</v>
      </c>
      <c r="B1740" s="35" t="s">
        <v>39</v>
      </c>
      <c r="C1740" s="35" t="s">
        <v>35</v>
      </c>
      <c r="D1740" s="35" t="s">
        <v>40</v>
      </c>
      <c r="E1740" s="35" t="s">
        <v>25</v>
      </c>
      <c r="F1740" s="35" t="s">
        <v>25</v>
      </c>
      <c r="G1740" s="35" t="s">
        <v>25</v>
      </c>
      <c r="H1740" s="35" t="s">
        <v>37</v>
      </c>
      <c r="I1740" s="45">
        <v>44562</v>
      </c>
      <c r="J1740" s="46">
        <f>EFEITO!$J$1740*EFEITO!$Y$1740</f>
        <v>0</v>
      </c>
      <c r="K1740" s="46">
        <f ca="1">EFEITO!$L$1740*EFEITO!$Z$1740</f>
        <v>149.01000402413806</v>
      </c>
      <c r="L1740" s="46">
        <f>EFEITO!$N$1740*EFEITO!$AA$1740</f>
        <v>83.319148014468126</v>
      </c>
      <c r="M1740" s="46">
        <f>$J$1740-EFEITO!$K$1740*EFEITO!$Y$1740</f>
        <v>0</v>
      </c>
      <c r="N1740" s="46">
        <f ca="1">$K$1740-EFEITO!$M$1740*EFEITO!$Z$1740</f>
        <v>0</v>
      </c>
      <c r="O1740" s="46">
        <f>$L$1740-EFEITO!$O$1740*EFEITO!$AA$1740</f>
        <v>0</v>
      </c>
      <c r="P1740" s="38"/>
      <c r="Q1740" s="38"/>
      <c r="R1740" s="38"/>
      <c r="S1740" s="38"/>
      <c r="T1740" s="38"/>
      <c r="U1740" s="38"/>
      <c r="V1740" s="38"/>
      <c r="W1740" s="38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</row>
    <row r="1741" spans="1:36" ht="11.25" customHeight="1" x14ac:dyDescent="0.2">
      <c r="A1741" s="35" t="s">
        <v>21</v>
      </c>
      <c r="B1741" s="35" t="s">
        <v>39</v>
      </c>
      <c r="C1741" s="35" t="s">
        <v>35</v>
      </c>
      <c r="D1741" s="35" t="s">
        <v>40</v>
      </c>
      <c r="E1741" s="35" t="s">
        <v>25</v>
      </c>
      <c r="F1741" s="35" t="s">
        <v>25</v>
      </c>
      <c r="G1741" s="35" t="s">
        <v>25</v>
      </c>
      <c r="H1741" s="35" t="s">
        <v>37</v>
      </c>
      <c r="I1741" s="45">
        <v>44593</v>
      </c>
      <c r="J1741" s="46">
        <f>EFEITO!$J$1741*EFEITO!$Y$1741</f>
        <v>0</v>
      </c>
      <c r="K1741" s="46">
        <f ca="1">EFEITO!$L$1741*EFEITO!$Z$1741</f>
        <v>119.2862236938638</v>
      </c>
      <c r="L1741" s="46">
        <f>EFEITO!$N$1741*EFEITO!$AA$1741</f>
        <v>66.699055497146404</v>
      </c>
      <c r="M1741" s="46">
        <f>$J$1741-EFEITO!$K$1741*EFEITO!$Y$1741</f>
        <v>0</v>
      </c>
      <c r="N1741" s="46">
        <f ca="1">$K$1741-EFEITO!$M$1741*EFEITO!$Z$1741</f>
        <v>0</v>
      </c>
      <c r="O1741" s="46">
        <f>$L$1741-EFEITO!$O$1741*EFEITO!$AA$1741</f>
        <v>0</v>
      </c>
      <c r="P1741" s="38"/>
      <c r="Q1741" s="38"/>
      <c r="R1741" s="38"/>
      <c r="S1741" s="38"/>
      <c r="T1741" s="38"/>
      <c r="U1741" s="38"/>
      <c r="V1741" s="38"/>
      <c r="W1741" s="38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</row>
    <row r="1742" spans="1:36" ht="11.25" customHeight="1" x14ac:dyDescent="0.2">
      <c r="A1742" s="35" t="s">
        <v>21</v>
      </c>
      <c r="B1742" s="35" t="s">
        <v>39</v>
      </c>
      <c r="C1742" s="35" t="s">
        <v>35</v>
      </c>
      <c r="D1742" s="35" t="s">
        <v>40</v>
      </c>
      <c r="E1742" s="35" t="s">
        <v>25</v>
      </c>
      <c r="F1742" s="35" t="s">
        <v>25</v>
      </c>
      <c r="G1742" s="35" t="s">
        <v>25</v>
      </c>
      <c r="H1742" s="35" t="s">
        <v>37</v>
      </c>
      <c r="I1742" s="45">
        <v>44621</v>
      </c>
      <c r="J1742" s="46">
        <f>EFEITO!$J$1742*EFEITO!$Y$1742</f>
        <v>0</v>
      </c>
      <c r="K1742" s="46">
        <f ca="1">EFEITO!$L$1742*EFEITO!$Z$1742</f>
        <v>112.63748335682877</v>
      </c>
      <c r="L1742" s="46">
        <f>EFEITO!$N$1742*EFEITO!$AA$1742</f>
        <v>62.981403223534961</v>
      </c>
      <c r="M1742" s="46">
        <f>$J$1742-EFEITO!$K$1742*EFEITO!$Y$1742</f>
        <v>0</v>
      </c>
      <c r="N1742" s="46">
        <f ca="1">$K$1742-EFEITO!$M$1742*EFEITO!$Z$1742</f>
        <v>0</v>
      </c>
      <c r="O1742" s="46">
        <f>$L$1742-EFEITO!$O$1742*EFEITO!$AA$1742</f>
        <v>0</v>
      </c>
      <c r="P1742" s="38"/>
      <c r="Q1742" s="38"/>
      <c r="R1742" s="38"/>
      <c r="S1742" s="38"/>
      <c r="T1742" s="38"/>
      <c r="U1742" s="38"/>
      <c r="V1742" s="38"/>
      <c r="W1742" s="38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</row>
    <row r="1743" spans="1:36" ht="11.25" customHeight="1" x14ac:dyDescent="0.2">
      <c r="A1743" s="35" t="s">
        <v>21</v>
      </c>
      <c r="B1743" s="35" t="s">
        <v>39</v>
      </c>
      <c r="C1743" s="35" t="s">
        <v>35</v>
      </c>
      <c r="D1743" s="35" t="s">
        <v>40</v>
      </c>
      <c r="E1743" s="35" t="s">
        <v>25</v>
      </c>
      <c r="F1743" s="35" t="s">
        <v>25</v>
      </c>
      <c r="G1743" s="35" t="s">
        <v>25</v>
      </c>
      <c r="H1743" s="35" t="s">
        <v>37</v>
      </c>
      <c r="I1743" s="45">
        <v>44652</v>
      </c>
      <c r="J1743" s="46">
        <f>EFEITO!$J$1743*EFEITO!$Y$1743</f>
        <v>0</v>
      </c>
      <c r="K1743" s="46">
        <f ca="1">EFEITO!$L$1743*EFEITO!$Z$1743</f>
        <v>112.246380984062</v>
      </c>
      <c r="L1743" s="46">
        <f>EFEITO!$N$1743*EFEITO!$AA$1743</f>
        <v>62.762717795675464</v>
      </c>
      <c r="M1743" s="46">
        <f>$J$1743-EFEITO!$K$1743*EFEITO!$Y$1743</f>
        <v>0</v>
      </c>
      <c r="N1743" s="46">
        <f ca="1">$K$1743-EFEITO!$M$1743*EFEITO!$Z$1743</f>
        <v>0</v>
      </c>
      <c r="O1743" s="46">
        <f>$L$1743-EFEITO!$O$1743*EFEITO!$AA$1743</f>
        <v>0</v>
      </c>
      <c r="P1743" s="38"/>
      <c r="Q1743" s="38"/>
      <c r="R1743" s="38"/>
      <c r="S1743" s="38"/>
      <c r="T1743" s="38"/>
      <c r="U1743" s="38"/>
      <c r="V1743" s="38"/>
      <c r="W1743" s="38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</row>
    <row r="1744" spans="1:36" ht="11.25" customHeight="1" x14ac:dyDescent="0.2">
      <c r="A1744" s="35" t="s">
        <v>21</v>
      </c>
      <c r="B1744" s="35" t="s">
        <v>39</v>
      </c>
      <c r="C1744" s="35" t="s">
        <v>35</v>
      </c>
      <c r="D1744" s="35" t="s">
        <v>40</v>
      </c>
      <c r="E1744" s="35" t="s">
        <v>25</v>
      </c>
      <c r="F1744" s="35" t="s">
        <v>25</v>
      </c>
      <c r="G1744" s="35" t="s">
        <v>25</v>
      </c>
      <c r="H1744" s="35" t="s">
        <v>37</v>
      </c>
      <c r="I1744" s="45">
        <v>44682</v>
      </c>
      <c r="J1744" s="46">
        <f>EFEITO!$J$1744*EFEITO!$Y$1744</f>
        <v>0</v>
      </c>
      <c r="K1744" s="46">
        <f ca="1">EFEITO!$L$1744*EFEITO!$Z$1744</f>
        <v>120.85063318493087</v>
      </c>
      <c r="L1744" s="46">
        <f>EFEITO!$N$1744*EFEITO!$AA$1744</f>
        <v>67.573797208584381</v>
      </c>
      <c r="M1744" s="46">
        <f>$J$1744-EFEITO!$K$1744*EFEITO!$Y$1744</f>
        <v>0</v>
      </c>
      <c r="N1744" s="46">
        <f ca="1">$K$1744-EFEITO!$M$1744*EFEITO!$Z$1744</f>
        <v>0</v>
      </c>
      <c r="O1744" s="46">
        <f>$L$1744-EFEITO!$O$1744*EFEITO!$AA$1744</f>
        <v>0</v>
      </c>
      <c r="P1744" s="38"/>
      <c r="Q1744" s="38"/>
      <c r="R1744" s="38"/>
      <c r="S1744" s="38"/>
      <c r="T1744" s="38"/>
      <c r="U1744" s="38"/>
      <c r="V1744" s="38"/>
      <c r="W1744" s="38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</row>
    <row r="1745" spans="1:36" ht="11.25" customHeight="1" x14ac:dyDescent="0.2">
      <c r="A1745" s="35" t="s">
        <v>21</v>
      </c>
      <c r="B1745" s="35" t="s">
        <v>39</v>
      </c>
      <c r="C1745" s="35" t="s">
        <v>35</v>
      </c>
      <c r="D1745" s="35" t="s">
        <v>40</v>
      </c>
      <c r="E1745" s="35" t="s">
        <v>25</v>
      </c>
      <c r="F1745" s="35" t="s">
        <v>25</v>
      </c>
      <c r="G1745" s="35" t="s">
        <v>25</v>
      </c>
      <c r="H1745" s="35" t="s">
        <v>37</v>
      </c>
      <c r="I1745" s="45">
        <v>44713</v>
      </c>
      <c r="J1745" s="46">
        <f>EFEITO!$J$1745*EFEITO!$Y$1745</f>
        <v>0</v>
      </c>
      <c r="K1745" s="46">
        <f ca="1">EFEITO!$L$1745*EFEITO!$Z$1745</f>
        <v>94.255671836790739</v>
      </c>
      <c r="L1745" s="46">
        <f>EFEITO!$N$1745*EFEITO!$AA$1745</f>
        <v>52.703188114138634</v>
      </c>
      <c r="M1745" s="46">
        <f>$J$1745-EFEITO!$K$1745*EFEITO!$Y$1745</f>
        <v>0</v>
      </c>
      <c r="N1745" s="46">
        <f ca="1">$K$1745-EFEITO!$M$1745*EFEITO!$Z$1745</f>
        <v>0</v>
      </c>
      <c r="O1745" s="46">
        <f>$L$1745-EFEITO!$O$1745*EFEITO!$AA$1745</f>
        <v>0</v>
      </c>
      <c r="P1745" s="38"/>
      <c r="Q1745" s="38"/>
      <c r="R1745" s="38"/>
      <c r="S1745" s="38"/>
      <c r="T1745" s="38"/>
      <c r="U1745" s="38"/>
      <c r="V1745" s="38"/>
      <c r="W1745" s="38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</row>
    <row r="1746" spans="1:36" ht="11.25" customHeight="1" x14ac:dyDescent="0.2">
      <c r="A1746" s="35" t="s">
        <v>21</v>
      </c>
      <c r="B1746" s="35" t="s">
        <v>39</v>
      </c>
      <c r="C1746" s="35" t="s">
        <v>35</v>
      </c>
      <c r="D1746" s="35" t="s">
        <v>40</v>
      </c>
      <c r="E1746" s="35" t="s">
        <v>25</v>
      </c>
      <c r="F1746" s="35" t="s">
        <v>25</v>
      </c>
      <c r="G1746" s="35" t="s">
        <v>25</v>
      </c>
      <c r="H1746" s="35" t="s">
        <v>37</v>
      </c>
      <c r="I1746" s="45">
        <v>44743</v>
      </c>
      <c r="J1746" s="46">
        <f>EFEITO!$J$1746*EFEITO!$Y$1746</f>
        <v>0</v>
      </c>
      <c r="K1746" s="46">
        <f ca="1">EFEITO!$L$1746*EFEITO!$Z$1746</f>
        <v>113.4196881023623</v>
      </c>
      <c r="L1746" s="46">
        <f>EFEITO!$N$1746*EFEITO!$AA$1746</f>
        <v>63.41877407925395</v>
      </c>
      <c r="M1746" s="46">
        <f>$J$1746-EFEITO!$K$1746*EFEITO!$Y$1746</f>
        <v>0</v>
      </c>
      <c r="N1746" s="46">
        <f ca="1">$K$1746-EFEITO!$M$1746*EFEITO!$Z$1746</f>
        <v>0</v>
      </c>
      <c r="O1746" s="46">
        <f>$L$1746-EFEITO!$O$1746*EFEITO!$AA$1746</f>
        <v>0</v>
      </c>
      <c r="P1746" s="38"/>
      <c r="Q1746" s="38"/>
      <c r="R1746" s="38"/>
      <c r="S1746" s="38"/>
      <c r="T1746" s="38"/>
      <c r="U1746" s="38"/>
      <c r="V1746" s="38"/>
      <c r="W1746" s="38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</row>
    <row r="1747" spans="1:36" ht="11.25" customHeight="1" x14ac:dyDescent="0.2">
      <c r="A1747" s="35" t="s">
        <v>21</v>
      </c>
      <c r="B1747" s="35" t="s">
        <v>39</v>
      </c>
      <c r="C1747" s="35" t="s">
        <v>35</v>
      </c>
      <c r="D1747" s="35" t="s">
        <v>40</v>
      </c>
      <c r="E1747" s="35" t="s">
        <v>25</v>
      </c>
      <c r="F1747" s="35" t="s">
        <v>25</v>
      </c>
      <c r="G1747" s="35" t="s">
        <v>25</v>
      </c>
      <c r="H1747" s="35" t="s">
        <v>37</v>
      </c>
      <c r="I1747" s="45">
        <v>44774</v>
      </c>
      <c r="J1747" s="46">
        <f>EFEITO!$J$1747*EFEITO!$Y$1747</f>
        <v>0</v>
      </c>
      <c r="K1747" s="46">
        <f ca="1">EFEITO!$L$1747*EFEITO!$Z$1747</f>
        <v>115.37519996619613</v>
      </c>
      <c r="L1747" s="46">
        <f>EFEITO!$N$1747*EFEITO!$AA$1747</f>
        <v>64.512201218551439</v>
      </c>
      <c r="M1747" s="46">
        <f>$J$1747-EFEITO!$K$1747*EFEITO!$Y$1747</f>
        <v>0</v>
      </c>
      <c r="N1747" s="46">
        <f ca="1">$K$1747-EFEITO!$M$1747*EFEITO!$Z$1747</f>
        <v>0</v>
      </c>
      <c r="O1747" s="46">
        <f>$L$1747-EFEITO!$O$1747*EFEITO!$AA$1747</f>
        <v>0</v>
      </c>
      <c r="P1747" s="38"/>
      <c r="Q1747" s="38"/>
      <c r="R1747" s="38"/>
      <c r="S1747" s="38"/>
      <c r="T1747" s="38"/>
      <c r="U1747" s="38"/>
      <c r="V1747" s="38"/>
      <c r="W1747" s="38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</row>
    <row r="1748" spans="1:36" ht="11.25" customHeight="1" x14ac:dyDescent="0.2">
      <c r="A1748" s="35" t="s">
        <v>21</v>
      </c>
      <c r="B1748" s="35" t="s">
        <v>39</v>
      </c>
      <c r="C1748" s="35" t="s">
        <v>35</v>
      </c>
      <c r="D1748" s="35" t="s">
        <v>40</v>
      </c>
      <c r="E1748" s="35" t="s">
        <v>25</v>
      </c>
      <c r="F1748" s="35" t="s">
        <v>25</v>
      </c>
      <c r="G1748" s="35" t="s">
        <v>25</v>
      </c>
      <c r="H1748" s="35" t="s">
        <v>37</v>
      </c>
      <c r="I1748" s="45">
        <v>44805</v>
      </c>
      <c r="J1748" s="46">
        <f>EFEITO!$J$1748*EFEITO!$Y$1748</f>
        <v>0</v>
      </c>
      <c r="K1748" s="46">
        <f ca="1">EFEITO!$L$1748*EFEITO!$Z$1748</f>
        <v>113.02858572959553</v>
      </c>
      <c r="L1748" s="46">
        <f>EFEITO!$N$1748*EFEITO!$AA$1748</f>
        <v>63.200088651394452</v>
      </c>
      <c r="M1748" s="46">
        <f>$J$1748-EFEITO!$K$1748*EFEITO!$Y$1748</f>
        <v>0</v>
      </c>
      <c r="N1748" s="46">
        <f ca="1">$K$1748-EFEITO!$M$1748*EFEITO!$Z$1748</f>
        <v>0</v>
      </c>
      <c r="O1748" s="46">
        <f>$L$1748-EFEITO!$O$1748*EFEITO!$AA$1748</f>
        <v>0</v>
      </c>
      <c r="P1748" s="38"/>
      <c r="Q1748" s="38"/>
      <c r="R1748" s="38"/>
      <c r="S1748" s="38"/>
      <c r="T1748" s="38"/>
      <c r="U1748" s="38"/>
      <c r="V1748" s="38"/>
      <c r="W1748" s="38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</row>
    <row r="1749" spans="1:36" ht="11.25" customHeight="1" x14ac:dyDescent="0.2">
      <c r="A1749" s="35" t="s">
        <v>21</v>
      </c>
      <c r="B1749" s="35" t="s">
        <v>39</v>
      </c>
      <c r="C1749" s="35" t="s">
        <v>35</v>
      </c>
      <c r="D1749" s="35" t="s">
        <v>40</v>
      </c>
      <c r="E1749" s="35" t="s">
        <v>25</v>
      </c>
      <c r="F1749" s="35" t="s">
        <v>25</v>
      </c>
      <c r="G1749" s="35" t="s">
        <v>25</v>
      </c>
      <c r="H1749" s="35" t="s">
        <v>37</v>
      </c>
      <c r="I1749" s="45">
        <v>44835</v>
      </c>
      <c r="J1749" s="46">
        <f>EFEITO!$J$1749*EFEITO!$Y$1749</f>
        <v>0</v>
      </c>
      <c r="K1749" s="46">
        <f ca="1">EFEITO!$L$1749*EFEITO!$Z$1749</f>
        <v>109.50866437469465</v>
      </c>
      <c r="L1749" s="46">
        <f>EFEITO!$N$1749*EFEITO!$AA$1749</f>
        <v>61.231919800659</v>
      </c>
      <c r="M1749" s="46">
        <f>$J$1749-EFEITO!$K$1749*EFEITO!$Y$1749</f>
        <v>0</v>
      </c>
      <c r="N1749" s="46">
        <f ca="1">$K$1749-EFEITO!$M$1749*EFEITO!$Z$1749</f>
        <v>0</v>
      </c>
      <c r="O1749" s="46">
        <f>$L$1749-EFEITO!$O$1749*EFEITO!$AA$1749</f>
        <v>0</v>
      </c>
      <c r="P1749" s="38"/>
      <c r="Q1749" s="38"/>
      <c r="R1749" s="38"/>
      <c r="S1749" s="38"/>
      <c r="T1749" s="38"/>
      <c r="U1749" s="38"/>
      <c r="V1749" s="38"/>
      <c r="W1749" s="38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</row>
    <row r="1750" spans="1:36" ht="11.25" customHeight="1" x14ac:dyDescent="0.2">
      <c r="A1750" s="35" t="s">
        <v>59</v>
      </c>
      <c r="B1750" s="35" t="s">
        <v>39</v>
      </c>
      <c r="C1750" s="35" t="s">
        <v>35</v>
      </c>
      <c r="D1750" s="35" t="s">
        <v>40</v>
      </c>
      <c r="E1750" s="35" t="s">
        <v>25</v>
      </c>
      <c r="F1750" s="35" t="s">
        <v>25</v>
      </c>
      <c r="G1750" s="35" t="s">
        <v>25</v>
      </c>
      <c r="H1750" s="35" t="s">
        <v>37</v>
      </c>
      <c r="I1750" s="45">
        <v>44866</v>
      </c>
      <c r="J1750" s="46">
        <f>EFEITO!$J$1750*EFEITO!$Y$1750</f>
        <v>0</v>
      </c>
      <c r="K1750" s="46">
        <f ca="1">EFEITO!$L$1750*EFEITO!$Z$1750</f>
        <v>109.50866437469465</v>
      </c>
      <c r="L1750" s="46">
        <f>EFEITO!$N$1750*EFEITO!$AA$1750</f>
        <v>61.231919800659</v>
      </c>
      <c r="M1750" s="46">
        <f>$J$1750-EFEITO!$K$1750*EFEITO!$Y$1750</f>
        <v>0</v>
      </c>
      <c r="N1750" s="46">
        <f ca="1">$K$1750-EFEITO!$M$1750*EFEITO!$Z$1750</f>
        <v>0</v>
      </c>
      <c r="O1750" s="46">
        <f>$L$1750-EFEITO!$O$1750*EFEITO!$AA$1750</f>
        <v>0</v>
      </c>
      <c r="P1750" s="38"/>
      <c r="Q1750" s="38"/>
      <c r="R1750" s="38"/>
      <c r="S1750" s="38"/>
      <c r="T1750" s="38"/>
      <c r="U1750" s="38"/>
      <c r="V1750" s="38"/>
      <c r="W1750" s="38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</row>
    <row r="1751" spans="1:36" ht="11.25" customHeight="1" x14ac:dyDescent="0.2">
      <c r="A1751" s="35" t="s">
        <v>21</v>
      </c>
      <c r="B1751" s="35" t="s">
        <v>39</v>
      </c>
      <c r="C1751" s="35" t="s">
        <v>35</v>
      </c>
      <c r="D1751" s="35" t="s">
        <v>40</v>
      </c>
      <c r="E1751" s="35" t="s">
        <v>25</v>
      </c>
      <c r="F1751" s="35" t="s">
        <v>25</v>
      </c>
      <c r="G1751" s="35" t="s">
        <v>25</v>
      </c>
      <c r="H1751" s="35" t="s">
        <v>38</v>
      </c>
      <c r="I1751" s="45">
        <v>44531</v>
      </c>
      <c r="J1751" s="46">
        <f>EFEITO!$J$1751*EFEITO!$Y$1751</f>
        <v>0</v>
      </c>
      <c r="K1751" s="46">
        <f ca="1">EFEITO!$L$1751*EFEITO!$Z$1751</f>
        <v>8.6335061643044799</v>
      </c>
      <c r="L1751" s="46">
        <f>EFEITO!$N$1751*EFEITO!$AA$1751</f>
        <v>2.1868542785949638</v>
      </c>
      <c r="M1751" s="46">
        <f>$J$1751-EFEITO!$K$1751*EFEITO!$Y$1751</f>
        <v>0</v>
      </c>
      <c r="N1751" s="46">
        <f ca="1">$K$1751-EFEITO!$M$1751*EFEITO!$Z$1751</f>
        <v>0</v>
      </c>
      <c r="O1751" s="46">
        <f>$L$1751-EFEITO!$O$1751*EFEITO!$AA$1751</f>
        <v>0</v>
      </c>
      <c r="P1751" s="38"/>
      <c r="Q1751" s="38"/>
      <c r="R1751" s="38"/>
      <c r="S1751" s="38"/>
      <c r="T1751" s="38"/>
      <c r="U1751" s="38"/>
      <c r="V1751" s="38"/>
      <c r="W1751" s="38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</row>
    <row r="1752" spans="1:36" ht="11.25" customHeight="1" x14ac:dyDescent="0.2">
      <c r="A1752" s="35" t="s">
        <v>21</v>
      </c>
      <c r="B1752" s="35" t="s">
        <v>39</v>
      </c>
      <c r="C1752" s="35" t="s">
        <v>35</v>
      </c>
      <c r="D1752" s="35" t="s">
        <v>40</v>
      </c>
      <c r="E1752" s="35" t="s">
        <v>25</v>
      </c>
      <c r="F1752" s="35" t="s">
        <v>25</v>
      </c>
      <c r="G1752" s="35" t="s">
        <v>25</v>
      </c>
      <c r="H1752" s="35" t="s">
        <v>38</v>
      </c>
      <c r="I1752" s="45">
        <v>44562</v>
      </c>
      <c r="J1752" s="46">
        <f>EFEITO!$J$1752*EFEITO!$Y$1752</f>
        <v>0</v>
      </c>
      <c r="K1752" s="46">
        <f ca="1">EFEITO!$L$1752*EFEITO!$Z$1752</f>
        <v>14.676960479317616</v>
      </c>
      <c r="L1752" s="46">
        <f>EFEITO!$N$1752*EFEITO!$AA$1752</f>
        <v>3.717652273611439</v>
      </c>
      <c r="M1752" s="46">
        <f>$J$1752-EFEITO!$K$1752*EFEITO!$Y$1752</f>
        <v>0</v>
      </c>
      <c r="N1752" s="46">
        <f ca="1">$K$1752-EFEITO!$M$1752*EFEITO!$Z$1752</f>
        <v>0</v>
      </c>
      <c r="O1752" s="46">
        <f>$L$1752-EFEITO!$O$1752*EFEITO!$AA$1752</f>
        <v>0</v>
      </c>
      <c r="P1752" s="38"/>
      <c r="Q1752" s="38"/>
      <c r="R1752" s="38"/>
      <c r="S1752" s="38"/>
      <c r="T1752" s="38"/>
      <c r="U1752" s="38"/>
      <c r="V1752" s="38"/>
      <c r="W1752" s="38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</row>
    <row r="1753" spans="1:36" ht="11.25" customHeight="1" x14ac:dyDescent="0.2">
      <c r="A1753" s="35" t="s">
        <v>21</v>
      </c>
      <c r="B1753" s="35" t="s">
        <v>39</v>
      </c>
      <c r="C1753" s="35" t="s">
        <v>35</v>
      </c>
      <c r="D1753" s="35" t="s">
        <v>40</v>
      </c>
      <c r="E1753" s="35" t="s">
        <v>25</v>
      </c>
      <c r="F1753" s="35" t="s">
        <v>25</v>
      </c>
      <c r="G1753" s="35" t="s">
        <v>25</v>
      </c>
      <c r="H1753" s="35" t="s">
        <v>38</v>
      </c>
      <c r="I1753" s="45">
        <v>44593</v>
      </c>
      <c r="J1753" s="46">
        <f>EFEITO!$J$1753*EFEITO!$Y$1753</f>
        <v>0</v>
      </c>
      <c r="K1753" s="46">
        <f ca="1">EFEITO!$L$1753*EFEITO!$Z$1753</f>
        <v>7.7701555478740314</v>
      </c>
      <c r="L1753" s="46">
        <f>EFEITO!$N$1753*EFEITO!$AA$1753</f>
        <v>1.9681688507354675</v>
      </c>
      <c r="M1753" s="46">
        <f>$J$1753-EFEITO!$K$1753*EFEITO!$Y$1753</f>
        <v>0</v>
      </c>
      <c r="N1753" s="46">
        <f ca="1">$K$1753-EFEITO!$M$1753*EFEITO!$Z$1753</f>
        <v>0</v>
      </c>
      <c r="O1753" s="46">
        <f>$L$1753-EFEITO!$O$1753*EFEITO!$AA$1753</f>
        <v>0</v>
      </c>
      <c r="P1753" s="38"/>
      <c r="Q1753" s="38"/>
      <c r="R1753" s="38"/>
      <c r="S1753" s="38"/>
      <c r="T1753" s="38"/>
      <c r="U1753" s="38"/>
      <c r="V1753" s="38"/>
      <c r="W1753" s="38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</row>
    <row r="1754" spans="1:36" ht="11.25" customHeight="1" x14ac:dyDescent="0.2">
      <c r="A1754" s="35" t="s">
        <v>21</v>
      </c>
      <c r="B1754" s="35" t="s">
        <v>39</v>
      </c>
      <c r="C1754" s="35" t="s">
        <v>35</v>
      </c>
      <c r="D1754" s="35" t="s">
        <v>40</v>
      </c>
      <c r="E1754" s="35" t="s">
        <v>25</v>
      </c>
      <c r="F1754" s="35" t="s">
        <v>25</v>
      </c>
      <c r="G1754" s="35" t="s">
        <v>25</v>
      </c>
      <c r="H1754" s="35" t="s">
        <v>38</v>
      </c>
      <c r="I1754" s="45">
        <v>44621</v>
      </c>
      <c r="J1754" s="46">
        <f>EFEITO!$J$1754*EFEITO!$Y$1754</f>
        <v>0</v>
      </c>
      <c r="K1754" s="46">
        <f ca="1">EFEITO!$L$1754*EFEITO!$Z$1754</f>
        <v>7.7701555478740314</v>
      </c>
      <c r="L1754" s="46">
        <f>EFEITO!$N$1754*EFEITO!$AA$1754</f>
        <v>1.9681688507354675</v>
      </c>
      <c r="M1754" s="46">
        <f>$J$1754-EFEITO!$K$1754*EFEITO!$Y$1754</f>
        <v>0</v>
      </c>
      <c r="N1754" s="46">
        <f ca="1">$K$1754-EFEITO!$M$1754*EFEITO!$Z$1754</f>
        <v>0</v>
      </c>
      <c r="O1754" s="46">
        <f>$L$1754-EFEITO!$O$1754*EFEITO!$AA$1754</f>
        <v>0</v>
      </c>
      <c r="P1754" s="38"/>
      <c r="Q1754" s="38"/>
      <c r="R1754" s="38"/>
      <c r="S1754" s="38"/>
      <c r="T1754" s="38"/>
      <c r="U1754" s="38"/>
      <c r="V1754" s="38"/>
      <c r="W1754" s="38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</row>
    <row r="1755" spans="1:36" ht="11.25" customHeight="1" x14ac:dyDescent="0.2">
      <c r="A1755" s="35" t="s">
        <v>21</v>
      </c>
      <c r="B1755" s="35" t="s">
        <v>39</v>
      </c>
      <c r="C1755" s="35" t="s">
        <v>35</v>
      </c>
      <c r="D1755" s="35" t="s">
        <v>40</v>
      </c>
      <c r="E1755" s="35" t="s">
        <v>25</v>
      </c>
      <c r="F1755" s="35" t="s">
        <v>25</v>
      </c>
      <c r="G1755" s="35" t="s">
        <v>25</v>
      </c>
      <c r="H1755" s="35" t="s">
        <v>38</v>
      </c>
      <c r="I1755" s="45">
        <v>44652</v>
      </c>
      <c r="J1755" s="46">
        <f>EFEITO!$J$1755*EFEITO!$Y$1755</f>
        <v>0</v>
      </c>
      <c r="K1755" s="46">
        <f ca="1">EFEITO!$L$1755*EFEITO!$Z$1755</f>
        <v>12.086908630026272</v>
      </c>
      <c r="L1755" s="46">
        <f>EFEITO!$N$1755*EFEITO!$AA$1755</f>
        <v>3.0615959900329495</v>
      </c>
      <c r="M1755" s="46">
        <f>$J$1755-EFEITO!$K$1755*EFEITO!$Y$1755</f>
        <v>0</v>
      </c>
      <c r="N1755" s="46">
        <f ca="1">$K$1755-EFEITO!$M$1755*EFEITO!$Z$1755</f>
        <v>0</v>
      </c>
      <c r="O1755" s="46">
        <f>$L$1755-EFEITO!$O$1755*EFEITO!$AA$1755</f>
        <v>0</v>
      </c>
      <c r="P1755" s="38"/>
      <c r="Q1755" s="38"/>
      <c r="R1755" s="38"/>
      <c r="S1755" s="38"/>
      <c r="T1755" s="38"/>
      <c r="U1755" s="38"/>
      <c r="V1755" s="38"/>
      <c r="W1755" s="38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</row>
    <row r="1756" spans="1:36" ht="11.25" customHeight="1" x14ac:dyDescent="0.2">
      <c r="A1756" s="35" t="s">
        <v>21</v>
      </c>
      <c r="B1756" s="35" t="s">
        <v>39</v>
      </c>
      <c r="C1756" s="35" t="s">
        <v>35</v>
      </c>
      <c r="D1756" s="35" t="s">
        <v>40</v>
      </c>
      <c r="E1756" s="35" t="s">
        <v>25</v>
      </c>
      <c r="F1756" s="35" t="s">
        <v>25</v>
      </c>
      <c r="G1756" s="35" t="s">
        <v>25</v>
      </c>
      <c r="H1756" s="35" t="s">
        <v>38</v>
      </c>
      <c r="I1756" s="45">
        <v>44682</v>
      </c>
      <c r="J1756" s="46">
        <f>EFEITO!$J$1756*EFEITO!$Y$1756</f>
        <v>0</v>
      </c>
      <c r="K1756" s="46">
        <f ca="1">EFEITO!$L$1756*EFEITO!$Z$1756</f>
        <v>10.360207397165375</v>
      </c>
      <c r="L1756" s="46">
        <f>EFEITO!$N$1756*EFEITO!$AA$1756</f>
        <v>2.6242251343139569</v>
      </c>
      <c r="M1756" s="46">
        <f>$J$1756-EFEITO!$K$1756*EFEITO!$Y$1756</f>
        <v>0</v>
      </c>
      <c r="N1756" s="46">
        <f ca="1">$K$1756-EFEITO!$M$1756*EFEITO!$Z$1756</f>
        <v>0</v>
      </c>
      <c r="O1756" s="46">
        <f>$L$1756-EFEITO!$O$1756*EFEITO!$AA$1756</f>
        <v>0</v>
      </c>
      <c r="P1756" s="38"/>
      <c r="Q1756" s="38"/>
      <c r="R1756" s="38"/>
      <c r="S1756" s="38"/>
      <c r="T1756" s="38"/>
      <c r="U1756" s="38"/>
      <c r="V1756" s="38"/>
      <c r="W1756" s="38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</row>
    <row r="1757" spans="1:36" ht="11.25" customHeight="1" x14ac:dyDescent="0.2">
      <c r="A1757" s="35" t="s">
        <v>21</v>
      </c>
      <c r="B1757" s="35" t="s">
        <v>39</v>
      </c>
      <c r="C1757" s="35" t="s">
        <v>35</v>
      </c>
      <c r="D1757" s="35" t="s">
        <v>40</v>
      </c>
      <c r="E1757" s="35" t="s">
        <v>25</v>
      </c>
      <c r="F1757" s="35" t="s">
        <v>25</v>
      </c>
      <c r="G1757" s="35" t="s">
        <v>25</v>
      </c>
      <c r="H1757" s="35" t="s">
        <v>38</v>
      </c>
      <c r="I1757" s="45">
        <v>44713</v>
      </c>
      <c r="J1757" s="46">
        <f>EFEITO!$J$1757*EFEITO!$Y$1757</f>
        <v>0</v>
      </c>
      <c r="K1757" s="46">
        <f ca="1">EFEITO!$L$1757*EFEITO!$Z$1757</f>
        <v>10.360207397165375</v>
      </c>
      <c r="L1757" s="46">
        <f>EFEITO!$N$1757*EFEITO!$AA$1757</f>
        <v>2.6242251343139569</v>
      </c>
      <c r="M1757" s="46">
        <f>$J$1757-EFEITO!$K$1757*EFEITO!$Y$1757</f>
        <v>0</v>
      </c>
      <c r="N1757" s="46">
        <f ca="1">$K$1757-EFEITO!$M$1757*EFEITO!$Z$1757</f>
        <v>0</v>
      </c>
      <c r="O1757" s="46">
        <f>$L$1757-EFEITO!$O$1757*EFEITO!$AA$1757</f>
        <v>0</v>
      </c>
      <c r="P1757" s="38"/>
      <c r="Q1757" s="38"/>
      <c r="R1757" s="38"/>
      <c r="S1757" s="38"/>
      <c r="T1757" s="38"/>
      <c r="U1757" s="38"/>
      <c r="V1757" s="38"/>
      <c r="W1757" s="38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</row>
    <row r="1758" spans="1:36" ht="11.25" customHeight="1" x14ac:dyDescent="0.2">
      <c r="A1758" s="35" t="s">
        <v>21</v>
      </c>
      <c r="B1758" s="35" t="s">
        <v>39</v>
      </c>
      <c r="C1758" s="35" t="s">
        <v>35</v>
      </c>
      <c r="D1758" s="35" t="s">
        <v>40</v>
      </c>
      <c r="E1758" s="35" t="s">
        <v>25</v>
      </c>
      <c r="F1758" s="35" t="s">
        <v>25</v>
      </c>
      <c r="G1758" s="35" t="s">
        <v>25</v>
      </c>
      <c r="H1758" s="35" t="s">
        <v>38</v>
      </c>
      <c r="I1758" s="45">
        <v>44743</v>
      </c>
      <c r="J1758" s="46">
        <f>EFEITO!$J$1758*EFEITO!$Y$1758</f>
        <v>0</v>
      </c>
      <c r="K1758" s="46">
        <f ca="1">EFEITO!$L$1758*EFEITO!$Z$1758</f>
        <v>9.4968567807349267</v>
      </c>
      <c r="L1758" s="46">
        <f>EFEITO!$N$1758*EFEITO!$AA$1758</f>
        <v>2.4055397064544604</v>
      </c>
      <c r="M1758" s="46">
        <f>$J$1758-EFEITO!$K$1758*EFEITO!$Y$1758</f>
        <v>0</v>
      </c>
      <c r="N1758" s="46">
        <f ca="1">$K$1758-EFEITO!$M$1758*EFEITO!$Z$1758</f>
        <v>0</v>
      </c>
      <c r="O1758" s="46">
        <f>$L$1758-EFEITO!$O$1758*EFEITO!$AA$1758</f>
        <v>0</v>
      </c>
      <c r="P1758" s="38"/>
      <c r="Q1758" s="38"/>
      <c r="R1758" s="38"/>
      <c r="S1758" s="38"/>
      <c r="T1758" s="38"/>
      <c r="U1758" s="38"/>
      <c r="V1758" s="38"/>
      <c r="W1758" s="38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</row>
    <row r="1759" spans="1:36" ht="11.25" customHeight="1" x14ac:dyDescent="0.2">
      <c r="A1759" s="35" t="s">
        <v>21</v>
      </c>
      <c r="B1759" s="35" t="s">
        <v>39</v>
      </c>
      <c r="C1759" s="35" t="s">
        <v>35</v>
      </c>
      <c r="D1759" s="35" t="s">
        <v>40</v>
      </c>
      <c r="E1759" s="35" t="s">
        <v>25</v>
      </c>
      <c r="F1759" s="35" t="s">
        <v>25</v>
      </c>
      <c r="G1759" s="35" t="s">
        <v>25</v>
      </c>
      <c r="H1759" s="35" t="s">
        <v>38</v>
      </c>
      <c r="I1759" s="45">
        <v>44774</v>
      </c>
      <c r="J1759" s="46">
        <f>EFEITO!$J$1759*EFEITO!$Y$1759</f>
        <v>0</v>
      </c>
      <c r="K1759" s="46">
        <f ca="1">EFEITO!$L$1759*EFEITO!$Z$1759</f>
        <v>9.4968567807349267</v>
      </c>
      <c r="L1759" s="46">
        <f>EFEITO!$N$1759*EFEITO!$AA$1759</f>
        <v>2.4055397064544604</v>
      </c>
      <c r="M1759" s="46">
        <f>$J$1759-EFEITO!$K$1759*EFEITO!$Y$1759</f>
        <v>0</v>
      </c>
      <c r="N1759" s="46">
        <f ca="1">$K$1759-EFEITO!$M$1759*EFEITO!$Z$1759</f>
        <v>0</v>
      </c>
      <c r="O1759" s="46">
        <f>$L$1759-EFEITO!$O$1759*EFEITO!$AA$1759</f>
        <v>0</v>
      </c>
      <c r="P1759" s="38"/>
      <c r="Q1759" s="38"/>
      <c r="R1759" s="38"/>
      <c r="S1759" s="38"/>
      <c r="T1759" s="38"/>
      <c r="U1759" s="38"/>
      <c r="V1759" s="38"/>
      <c r="W1759" s="38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</row>
    <row r="1760" spans="1:36" ht="11.25" customHeight="1" x14ac:dyDescent="0.2">
      <c r="A1760" s="35" t="s">
        <v>21</v>
      </c>
      <c r="B1760" s="35" t="s">
        <v>39</v>
      </c>
      <c r="C1760" s="35" t="s">
        <v>35</v>
      </c>
      <c r="D1760" s="35" t="s">
        <v>40</v>
      </c>
      <c r="E1760" s="35" t="s">
        <v>25</v>
      </c>
      <c r="F1760" s="35" t="s">
        <v>25</v>
      </c>
      <c r="G1760" s="35" t="s">
        <v>25</v>
      </c>
      <c r="H1760" s="35" t="s">
        <v>38</v>
      </c>
      <c r="I1760" s="45">
        <v>44805</v>
      </c>
      <c r="J1760" s="46">
        <f>EFEITO!$J$1760*EFEITO!$Y$1760</f>
        <v>0</v>
      </c>
      <c r="K1760" s="46">
        <f ca="1">EFEITO!$L$1760*EFEITO!$Z$1760</f>
        <v>11.223558013595824</v>
      </c>
      <c r="L1760" s="46">
        <f>EFEITO!$N$1760*EFEITO!$AA$1760</f>
        <v>2.8429105621734529</v>
      </c>
      <c r="M1760" s="46">
        <f>$J$1760-EFEITO!$K$1760*EFEITO!$Y$1760</f>
        <v>0</v>
      </c>
      <c r="N1760" s="46">
        <f ca="1">$K$1760-EFEITO!$M$1760*EFEITO!$Z$1760</f>
        <v>0</v>
      </c>
      <c r="O1760" s="46">
        <f>$L$1760-EFEITO!$O$1760*EFEITO!$AA$1760</f>
        <v>0</v>
      </c>
      <c r="P1760" s="38"/>
      <c r="Q1760" s="38"/>
      <c r="R1760" s="38"/>
      <c r="S1760" s="38"/>
      <c r="T1760" s="38"/>
      <c r="U1760" s="38"/>
      <c r="V1760" s="38"/>
      <c r="W1760" s="38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</row>
    <row r="1761" spans="1:36" ht="11.25" customHeight="1" x14ac:dyDescent="0.2">
      <c r="A1761" s="35" t="s">
        <v>21</v>
      </c>
      <c r="B1761" s="35" t="s">
        <v>39</v>
      </c>
      <c r="C1761" s="35" t="s">
        <v>35</v>
      </c>
      <c r="D1761" s="35" t="s">
        <v>40</v>
      </c>
      <c r="E1761" s="35" t="s">
        <v>25</v>
      </c>
      <c r="F1761" s="35" t="s">
        <v>25</v>
      </c>
      <c r="G1761" s="35" t="s">
        <v>25</v>
      </c>
      <c r="H1761" s="35" t="s">
        <v>38</v>
      </c>
      <c r="I1761" s="45">
        <v>44835</v>
      </c>
      <c r="J1761" s="46">
        <f>EFEITO!$J$1761*EFEITO!$Y$1761</f>
        <v>0</v>
      </c>
      <c r="K1761" s="46">
        <f ca="1">EFEITO!$L$1761*EFEITO!$Z$1761</f>
        <v>7.7701555478740314</v>
      </c>
      <c r="L1761" s="46">
        <f>EFEITO!$N$1761*EFEITO!$AA$1761</f>
        <v>1.9681688507354675</v>
      </c>
      <c r="M1761" s="46">
        <f>$J$1761-EFEITO!$K$1761*EFEITO!$Y$1761</f>
        <v>0</v>
      </c>
      <c r="N1761" s="46">
        <f ca="1">$K$1761-EFEITO!$M$1761*EFEITO!$Z$1761</f>
        <v>0</v>
      </c>
      <c r="O1761" s="46">
        <f>$L$1761-EFEITO!$O$1761*EFEITO!$AA$1761</f>
        <v>0</v>
      </c>
      <c r="P1761" s="38"/>
      <c r="Q1761" s="38"/>
      <c r="R1761" s="38"/>
      <c r="S1761" s="38"/>
      <c r="T1761" s="38"/>
      <c r="U1761" s="38"/>
      <c r="V1761" s="38"/>
      <c r="W1761" s="38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</row>
    <row r="1762" spans="1:36" ht="11.25" customHeight="1" x14ac:dyDescent="0.2">
      <c r="A1762" s="35" t="s">
        <v>59</v>
      </c>
      <c r="B1762" s="35" t="s">
        <v>39</v>
      </c>
      <c r="C1762" s="35" t="s">
        <v>35</v>
      </c>
      <c r="D1762" s="35" t="s">
        <v>40</v>
      </c>
      <c r="E1762" s="35" t="s">
        <v>25</v>
      </c>
      <c r="F1762" s="35" t="s">
        <v>25</v>
      </c>
      <c r="G1762" s="35" t="s">
        <v>25</v>
      </c>
      <c r="H1762" s="35" t="s">
        <v>38</v>
      </c>
      <c r="I1762" s="45">
        <v>44866</v>
      </c>
      <c r="J1762" s="46">
        <f>EFEITO!$J$1762*EFEITO!$Y$1762</f>
        <v>0</v>
      </c>
      <c r="K1762" s="46">
        <f ca="1">EFEITO!$L$1762*EFEITO!$Z$1762</f>
        <v>7.7701555478740314</v>
      </c>
      <c r="L1762" s="46">
        <f>EFEITO!$N$1762*EFEITO!$AA$1762</f>
        <v>1.9681688507354675</v>
      </c>
      <c r="M1762" s="46">
        <f>$J$1762-EFEITO!$K$1762*EFEITO!$Y$1762</f>
        <v>0</v>
      </c>
      <c r="N1762" s="46">
        <f ca="1">$K$1762-EFEITO!$M$1762*EFEITO!$Z$1762</f>
        <v>0</v>
      </c>
      <c r="O1762" s="46">
        <f>$L$1762-EFEITO!$O$1762*EFEITO!$AA$1762</f>
        <v>0</v>
      </c>
      <c r="P1762" s="38"/>
      <c r="Q1762" s="38"/>
      <c r="R1762" s="38"/>
      <c r="S1762" s="38"/>
      <c r="T1762" s="38"/>
      <c r="U1762" s="38"/>
      <c r="V1762" s="38"/>
      <c r="W1762" s="38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</row>
    <row r="1763" spans="1:36" ht="11.25" customHeight="1" x14ac:dyDescent="0.2">
      <c r="A1763" s="35" t="s">
        <v>21</v>
      </c>
      <c r="B1763" s="35" t="s">
        <v>39</v>
      </c>
      <c r="C1763" s="35" t="s">
        <v>35</v>
      </c>
      <c r="D1763" s="35" t="s">
        <v>40</v>
      </c>
      <c r="E1763" s="35" t="s">
        <v>25</v>
      </c>
      <c r="F1763" s="35" t="s">
        <v>25</v>
      </c>
      <c r="G1763" s="35" t="s">
        <v>25</v>
      </c>
      <c r="H1763" s="35" t="s">
        <v>36</v>
      </c>
      <c r="I1763" s="45">
        <v>44531</v>
      </c>
      <c r="J1763" s="46">
        <f>EFEITO!$J$1763*EFEITO!$Y$1763</f>
        <v>0</v>
      </c>
      <c r="K1763" s="46">
        <f ca="1">EFEITO!$L$1763*EFEITO!$Z$1763</f>
        <v>4.0067965802823879</v>
      </c>
      <c r="L1763" s="46">
        <f>EFEITO!$N$1763*EFEITO!$AA$1763</f>
        <v>1.0879319604976223</v>
      </c>
      <c r="M1763" s="46">
        <f>$J$1763-EFEITO!$K$1763*EFEITO!$Y$1763</f>
        <v>0</v>
      </c>
      <c r="N1763" s="46">
        <f ca="1">$K$1763-EFEITO!$M$1763*EFEITO!$Z$1763</f>
        <v>0</v>
      </c>
      <c r="O1763" s="46">
        <f>$L$1763-EFEITO!$O$1763*EFEITO!$AA$1763</f>
        <v>0</v>
      </c>
      <c r="P1763" s="38"/>
      <c r="Q1763" s="38"/>
      <c r="R1763" s="38"/>
      <c r="S1763" s="38"/>
      <c r="T1763" s="38"/>
      <c r="U1763" s="38"/>
      <c r="V1763" s="38"/>
      <c r="W1763" s="38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</row>
    <row r="1764" spans="1:36" ht="11.25" customHeight="1" x14ac:dyDescent="0.2">
      <c r="A1764" s="35" t="s">
        <v>21</v>
      </c>
      <c r="B1764" s="35" t="s">
        <v>39</v>
      </c>
      <c r="C1764" s="35" t="s">
        <v>35</v>
      </c>
      <c r="D1764" s="35" t="s">
        <v>40</v>
      </c>
      <c r="E1764" s="35" t="s">
        <v>25</v>
      </c>
      <c r="F1764" s="35" t="s">
        <v>25</v>
      </c>
      <c r="G1764" s="35" t="s">
        <v>25</v>
      </c>
      <c r="H1764" s="35" t="s">
        <v>36</v>
      </c>
      <c r="I1764" s="45">
        <v>44562</v>
      </c>
      <c r="J1764" s="46">
        <f>EFEITO!$J$1764*EFEITO!$Y$1764</f>
        <v>0</v>
      </c>
      <c r="K1764" s="46">
        <f ca="1">EFEITO!$L$1764*EFEITO!$Z$1764</f>
        <v>9.3491920206589061</v>
      </c>
      <c r="L1764" s="46">
        <f>EFEITO!$N$1764*EFEITO!$AA$1764</f>
        <v>2.5385079078277855</v>
      </c>
      <c r="M1764" s="46">
        <f>$J$1764-EFEITO!$K$1764*EFEITO!$Y$1764</f>
        <v>0</v>
      </c>
      <c r="N1764" s="46">
        <f ca="1">$K$1764-EFEITO!$M$1764*EFEITO!$Z$1764</f>
        <v>0</v>
      </c>
      <c r="O1764" s="46">
        <f>$L$1764-EFEITO!$O$1764*EFEITO!$AA$1764</f>
        <v>0</v>
      </c>
      <c r="P1764" s="38"/>
      <c r="Q1764" s="38"/>
      <c r="R1764" s="38"/>
      <c r="S1764" s="38"/>
      <c r="T1764" s="38"/>
      <c r="U1764" s="38"/>
      <c r="V1764" s="38"/>
      <c r="W1764" s="38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</row>
    <row r="1765" spans="1:36" ht="11.25" customHeight="1" x14ac:dyDescent="0.2">
      <c r="A1765" s="35" t="s">
        <v>21</v>
      </c>
      <c r="B1765" s="35" t="s">
        <v>39</v>
      </c>
      <c r="C1765" s="35" t="s">
        <v>35</v>
      </c>
      <c r="D1765" s="35" t="s">
        <v>40</v>
      </c>
      <c r="E1765" s="35" t="s">
        <v>25</v>
      </c>
      <c r="F1765" s="35" t="s">
        <v>25</v>
      </c>
      <c r="G1765" s="35" t="s">
        <v>25</v>
      </c>
      <c r="H1765" s="35" t="s">
        <v>36</v>
      </c>
      <c r="I1765" s="45">
        <v>44593</v>
      </c>
      <c r="J1765" s="46">
        <f>EFEITO!$J$1765*EFEITO!$Y$1765</f>
        <v>0</v>
      </c>
      <c r="K1765" s="46">
        <f ca="1">EFEITO!$L$1765*EFEITO!$Z$1765</f>
        <v>4.0067965802823879</v>
      </c>
      <c r="L1765" s="46">
        <f>EFEITO!$N$1765*EFEITO!$AA$1765</f>
        <v>1.0879319604976223</v>
      </c>
      <c r="M1765" s="46">
        <f>$J$1765-EFEITO!$K$1765*EFEITO!$Y$1765</f>
        <v>0</v>
      </c>
      <c r="N1765" s="46">
        <f ca="1">$K$1765-EFEITO!$M$1765*EFEITO!$Z$1765</f>
        <v>0</v>
      </c>
      <c r="O1765" s="46">
        <f>$L$1765-EFEITO!$O$1765*EFEITO!$AA$1765</f>
        <v>0</v>
      </c>
      <c r="P1765" s="38"/>
      <c r="Q1765" s="38"/>
      <c r="R1765" s="38"/>
      <c r="S1765" s="38"/>
      <c r="T1765" s="38"/>
      <c r="U1765" s="38"/>
      <c r="V1765" s="38"/>
      <c r="W1765" s="38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</row>
    <row r="1766" spans="1:36" ht="11.25" customHeight="1" x14ac:dyDescent="0.2">
      <c r="A1766" s="35" t="s">
        <v>21</v>
      </c>
      <c r="B1766" s="35" t="s">
        <v>39</v>
      </c>
      <c r="C1766" s="35" t="s">
        <v>35</v>
      </c>
      <c r="D1766" s="35" t="s">
        <v>40</v>
      </c>
      <c r="E1766" s="35" t="s">
        <v>25</v>
      </c>
      <c r="F1766" s="35" t="s">
        <v>25</v>
      </c>
      <c r="G1766" s="35" t="s">
        <v>25</v>
      </c>
      <c r="H1766" s="35" t="s">
        <v>36</v>
      </c>
      <c r="I1766" s="45">
        <v>44621</v>
      </c>
      <c r="J1766" s="46">
        <f>EFEITO!$J$1766*EFEITO!$Y$1766</f>
        <v>0</v>
      </c>
      <c r="K1766" s="46">
        <f ca="1">EFEITO!$L$1766*EFEITO!$Z$1766</f>
        <v>2.6711977201882586</v>
      </c>
      <c r="L1766" s="46">
        <f>EFEITO!$N$1766*EFEITO!$AA$1766</f>
        <v>0.72528797366508146</v>
      </c>
      <c r="M1766" s="46">
        <f>$J$1766-EFEITO!$K$1766*EFEITO!$Y$1766</f>
        <v>0</v>
      </c>
      <c r="N1766" s="46">
        <f ca="1">$K$1766-EFEITO!$M$1766*EFEITO!$Z$1766</f>
        <v>0</v>
      </c>
      <c r="O1766" s="46">
        <f>$L$1766-EFEITO!$O$1766*EFEITO!$AA$1766</f>
        <v>0</v>
      </c>
      <c r="P1766" s="38"/>
      <c r="Q1766" s="38"/>
      <c r="R1766" s="38"/>
      <c r="S1766" s="38"/>
      <c r="T1766" s="38"/>
      <c r="U1766" s="38"/>
      <c r="V1766" s="38"/>
      <c r="W1766" s="38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</row>
    <row r="1767" spans="1:36" ht="11.25" customHeight="1" x14ac:dyDescent="0.2">
      <c r="A1767" s="35" t="s">
        <v>21</v>
      </c>
      <c r="B1767" s="35" t="s">
        <v>39</v>
      </c>
      <c r="C1767" s="35" t="s">
        <v>35</v>
      </c>
      <c r="D1767" s="35" t="s">
        <v>40</v>
      </c>
      <c r="E1767" s="35" t="s">
        <v>25</v>
      </c>
      <c r="F1767" s="35" t="s">
        <v>25</v>
      </c>
      <c r="G1767" s="35" t="s">
        <v>25</v>
      </c>
      <c r="H1767" s="35" t="s">
        <v>36</v>
      </c>
      <c r="I1767" s="45">
        <v>44652</v>
      </c>
      <c r="J1767" s="46">
        <f>EFEITO!$J$1767*EFEITO!$Y$1767</f>
        <v>0</v>
      </c>
      <c r="K1767" s="46">
        <f ca="1">EFEITO!$L$1767*EFEITO!$Z$1767</f>
        <v>8.0135931605647759</v>
      </c>
      <c r="L1767" s="46">
        <f>EFEITO!$N$1767*EFEITO!$AA$1767</f>
        <v>2.1758639209952446</v>
      </c>
      <c r="M1767" s="46">
        <f>$J$1767-EFEITO!$K$1767*EFEITO!$Y$1767</f>
        <v>0</v>
      </c>
      <c r="N1767" s="46">
        <f ca="1">$K$1767-EFEITO!$M$1767*EFEITO!$Z$1767</f>
        <v>0</v>
      </c>
      <c r="O1767" s="46">
        <f>$L$1767-EFEITO!$O$1767*EFEITO!$AA$1767</f>
        <v>0</v>
      </c>
      <c r="P1767" s="38"/>
      <c r="Q1767" s="38"/>
      <c r="R1767" s="38"/>
      <c r="S1767" s="38"/>
      <c r="T1767" s="38"/>
      <c r="U1767" s="38"/>
      <c r="V1767" s="38"/>
      <c r="W1767" s="38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</row>
    <row r="1768" spans="1:36" ht="11.25" customHeight="1" x14ac:dyDescent="0.2">
      <c r="A1768" s="35" t="s">
        <v>21</v>
      </c>
      <c r="B1768" s="35" t="s">
        <v>39</v>
      </c>
      <c r="C1768" s="35" t="s">
        <v>35</v>
      </c>
      <c r="D1768" s="35" t="s">
        <v>40</v>
      </c>
      <c r="E1768" s="35" t="s">
        <v>25</v>
      </c>
      <c r="F1768" s="35" t="s">
        <v>25</v>
      </c>
      <c r="G1768" s="35" t="s">
        <v>25</v>
      </c>
      <c r="H1768" s="35" t="s">
        <v>36</v>
      </c>
      <c r="I1768" s="45">
        <v>44682</v>
      </c>
      <c r="J1768" s="46">
        <f>EFEITO!$J$1768*EFEITO!$Y$1768</f>
        <v>0</v>
      </c>
      <c r="K1768" s="46">
        <f ca="1">EFEITO!$L$1768*EFEITO!$Z$1768</f>
        <v>5.3423954403765173</v>
      </c>
      <c r="L1768" s="46">
        <f>EFEITO!$N$1768*EFEITO!$AA$1768</f>
        <v>1.4505759473301629</v>
      </c>
      <c r="M1768" s="46">
        <f>$J$1768-EFEITO!$K$1768*EFEITO!$Y$1768</f>
        <v>0</v>
      </c>
      <c r="N1768" s="46">
        <f ca="1">$K$1768-EFEITO!$M$1768*EFEITO!$Z$1768</f>
        <v>0</v>
      </c>
      <c r="O1768" s="46">
        <f>$L$1768-EFEITO!$O$1768*EFEITO!$AA$1768</f>
        <v>0</v>
      </c>
      <c r="P1768" s="38"/>
      <c r="Q1768" s="38"/>
      <c r="R1768" s="38"/>
      <c r="S1768" s="38"/>
      <c r="T1768" s="38"/>
      <c r="U1768" s="38"/>
      <c r="V1768" s="38"/>
      <c r="W1768" s="38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</row>
    <row r="1769" spans="1:36" ht="11.25" customHeight="1" x14ac:dyDescent="0.2">
      <c r="A1769" s="35" t="s">
        <v>21</v>
      </c>
      <c r="B1769" s="35" t="s">
        <v>39</v>
      </c>
      <c r="C1769" s="35" t="s">
        <v>35</v>
      </c>
      <c r="D1769" s="35" t="s">
        <v>40</v>
      </c>
      <c r="E1769" s="35" t="s">
        <v>25</v>
      </c>
      <c r="F1769" s="35" t="s">
        <v>25</v>
      </c>
      <c r="G1769" s="35" t="s">
        <v>25</v>
      </c>
      <c r="H1769" s="35" t="s">
        <v>36</v>
      </c>
      <c r="I1769" s="45">
        <v>44713</v>
      </c>
      <c r="J1769" s="46">
        <f>EFEITO!$J$1769*EFEITO!$Y$1769</f>
        <v>0</v>
      </c>
      <c r="K1769" s="46">
        <f ca="1">EFEITO!$L$1769*EFEITO!$Z$1769</f>
        <v>9.3491920206589061</v>
      </c>
      <c r="L1769" s="46">
        <f>EFEITO!$N$1769*EFEITO!$AA$1769</f>
        <v>2.5385079078277855</v>
      </c>
      <c r="M1769" s="46">
        <f>$J$1769-EFEITO!$K$1769*EFEITO!$Y$1769</f>
        <v>0</v>
      </c>
      <c r="N1769" s="46">
        <f ca="1">$K$1769-EFEITO!$M$1769*EFEITO!$Z$1769</f>
        <v>0</v>
      </c>
      <c r="O1769" s="46">
        <f>$L$1769-EFEITO!$O$1769*EFEITO!$AA$1769</f>
        <v>0</v>
      </c>
      <c r="P1769" s="38"/>
      <c r="Q1769" s="38"/>
      <c r="R1769" s="38"/>
      <c r="S1769" s="38"/>
      <c r="T1769" s="38"/>
      <c r="U1769" s="38"/>
      <c r="V1769" s="38"/>
      <c r="W1769" s="38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</row>
    <row r="1770" spans="1:36" ht="11.25" customHeight="1" x14ac:dyDescent="0.2">
      <c r="A1770" s="35" t="s">
        <v>21</v>
      </c>
      <c r="B1770" s="35" t="s">
        <v>39</v>
      </c>
      <c r="C1770" s="35" t="s">
        <v>35</v>
      </c>
      <c r="D1770" s="35" t="s">
        <v>40</v>
      </c>
      <c r="E1770" s="35" t="s">
        <v>25</v>
      </c>
      <c r="F1770" s="35" t="s">
        <v>25</v>
      </c>
      <c r="G1770" s="35" t="s">
        <v>25</v>
      </c>
      <c r="H1770" s="35" t="s">
        <v>36</v>
      </c>
      <c r="I1770" s="45">
        <v>44743</v>
      </c>
      <c r="J1770" s="46">
        <f>EFEITO!$J$1770*EFEITO!$Y$1770</f>
        <v>0</v>
      </c>
      <c r="K1770" s="46">
        <f ca="1">EFEITO!$L$1770*EFEITO!$Z$1770</f>
        <v>4.0067965802823879</v>
      </c>
      <c r="L1770" s="46">
        <f>EFEITO!$N$1770*EFEITO!$AA$1770</f>
        <v>1.0879319604976223</v>
      </c>
      <c r="M1770" s="46">
        <f>$J$1770-EFEITO!$K$1770*EFEITO!$Y$1770</f>
        <v>0</v>
      </c>
      <c r="N1770" s="46">
        <f ca="1">$K$1770-EFEITO!$M$1770*EFEITO!$Z$1770</f>
        <v>0</v>
      </c>
      <c r="O1770" s="46">
        <f>$L$1770-EFEITO!$O$1770*EFEITO!$AA$1770</f>
        <v>0</v>
      </c>
      <c r="P1770" s="38"/>
      <c r="Q1770" s="38"/>
      <c r="R1770" s="38"/>
      <c r="S1770" s="38"/>
      <c r="T1770" s="38"/>
      <c r="U1770" s="38"/>
      <c r="V1770" s="38"/>
      <c r="W1770" s="38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</row>
    <row r="1771" spans="1:36" ht="11.25" customHeight="1" x14ac:dyDescent="0.2">
      <c r="A1771" s="35" t="s">
        <v>21</v>
      </c>
      <c r="B1771" s="35" t="s">
        <v>39</v>
      </c>
      <c r="C1771" s="35" t="s">
        <v>35</v>
      </c>
      <c r="D1771" s="35" t="s">
        <v>40</v>
      </c>
      <c r="E1771" s="35" t="s">
        <v>25</v>
      </c>
      <c r="F1771" s="35" t="s">
        <v>25</v>
      </c>
      <c r="G1771" s="35" t="s">
        <v>25</v>
      </c>
      <c r="H1771" s="35" t="s">
        <v>36</v>
      </c>
      <c r="I1771" s="45">
        <v>44774</v>
      </c>
      <c r="J1771" s="46">
        <f>EFEITO!$J$1771*EFEITO!$Y$1771</f>
        <v>0</v>
      </c>
      <c r="K1771" s="46">
        <f ca="1">EFEITO!$L$1771*EFEITO!$Z$1771</f>
        <v>8.0135931605647759</v>
      </c>
      <c r="L1771" s="46">
        <f>EFEITO!$N$1771*EFEITO!$AA$1771</f>
        <v>2.1758639209952446</v>
      </c>
      <c r="M1771" s="46">
        <f>$J$1771-EFEITO!$K$1771*EFEITO!$Y$1771</f>
        <v>0</v>
      </c>
      <c r="N1771" s="46">
        <f ca="1">$K$1771-EFEITO!$M$1771*EFEITO!$Z$1771</f>
        <v>0</v>
      </c>
      <c r="O1771" s="46">
        <f>$L$1771-EFEITO!$O$1771*EFEITO!$AA$1771</f>
        <v>0</v>
      </c>
      <c r="P1771" s="38"/>
      <c r="Q1771" s="38"/>
      <c r="R1771" s="38"/>
      <c r="S1771" s="38"/>
      <c r="T1771" s="38"/>
      <c r="U1771" s="38"/>
      <c r="V1771" s="38"/>
      <c r="W1771" s="38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</row>
    <row r="1772" spans="1:36" ht="11.25" customHeight="1" x14ac:dyDescent="0.2">
      <c r="A1772" s="35" t="s">
        <v>21</v>
      </c>
      <c r="B1772" s="35" t="s">
        <v>39</v>
      </c>
      <c r="C1772" s="35" t="s">
        <v>35</v>
      </c>
      <c r="D1772" s="35" t="s">
        <v>40</v>
      </c>
      <c r="E1772" s="35" t="s">
        <v>25</v>
      </c>
      <c r="F1772" s="35" t="s">
        <v>25</v>
      </c>
      <c r="G1772" s="35" t="s">
        <v>25</v>
      </c>
      <c r="H1772" s="35" t="s">
        <v>36</v>
      </c>
      <c r="I1772" s="45">
        <v>44805</v>
      </c>
      <c r="J1772" s="46">
        <f>EFEITO!$J$1772*EFEITO!$Y$1772</f>
        <v>0</v>
      </c>
      <c r="K1772" s="46">
        <f ca="1">EFEITO!$L$1772*EFEITO!$Z$1772</f>
        <v>4.0067965802823879</v>
      </c>
      <c r="L1772" s="46">
        <f>EFEITO!$N$1772*EFEITO!$AA$1772</f>
        <v>1.0879319604976223</v>
      </c>
      <c r="M1772" s="46">
        <f>$J$1772-EFEITO!$K$1772*EFEITO!$Y$1772</f>
        <v>0</v>
      </c>
      <c r="N1772" s="46">
        <f ca="1">$K$1772-EFEITO!$M$1772*EFEITO!$Z$1772</f>
        <v>0</v>
      </c>
      <c r="O1772" s="46">
        <f>$L$1772-EFEITO!$O$1772*EFEITO!$AA$1772</f>
        <v>0</v>
      </c>
      <c r="P1772" s="38"/>
      <c r="Q1772" s="38"/>
      <c r="R1772" s="38"/>
      <c r="S1772" s="38"/>
      <c r="T1772" s="38"/>
      <c r="U1772" s="38"/>
      <c r="V1772" s="38"/>
      <c r="W1772" s="38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</row>
    <row r="1773" spans="1:36" ht="11.25" customHeight="1" x14ac:dyDescent="0.2">
      <c r="A1773" s="35" t="s">
        <v>21</v>
      </c>
      <c r="B1773" s="35" t="s">
        <v>39</v>
      </c>
      <c r="C1773" s="35" t="s">
        <v>35</v>
      </c>
      <c r="D1773" s="35" t="s">
        <v>40</v>
      </c>
      <c r="E1773" s="35" t="s">
        <v>25</v>
      </c>
      <c r="F1773" s="35" t="s">
        <v>25</v>
      </c>
      <c r="G1773" s="35" t="s">
        <v>25</v>
      </c>
      <c r="H1773" s="35" t="s">
        <v>36</v>
      </c>
      <c r="I1773" s="45">
        <v>44835</v>
      </c>
      <c r="J1773" s="46">
        <f>EFEITO!$J$1773*EFEITO!$Y$1773</f>
        <v>0</v>
      </c>
      <c r="K1773" s="46">
        <f ca="1">EFEITO!$L$1773*EFEITO!$Z$1773</f>
        <v>4.0067965802823879</v>
      </c>
      <c r="L1773" s="46">
        <f>EFEITO!$N$1773*EFEITO!$AA$1773</f>
        <v>1.0879319604976223</v>
      </c>
      <c r="M1773" s="46">
        <f>$J$1773-EFEITO!$K$1773*EFEITO!$Y$1773</f>
        <v>0</v>
      </c>
      <c r="N1773" s="46">
        <f ca="1">$K$1773-EFEITO!$M$1773*EFEITO!$Z$1773</f>
        <v>0</v>
      </c>
      <c r="O1773" s="46">
        <f>$L$1773-EFEITO!$O$1773*EFEITO!$AA$1773</f>
        <v>0</v>
      </c>
      <c r="P1773" s="38"/>
      <c r="Q1773" s="38"/>
      <c r="R1773" s="38"/>
      <c r="S1773" s="38"/>
      <c r="T1773" s="38"/>
      <c r="U1773" s="38"/>
      <c r="V1773" s="38"/>
      <c r="W1773" s="38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</row>
    <row r="1774" spans="1:36" ht="11.25" customHeight="1" x14ac:dyDescent="0.2">
      <c r="A1774" s="35" t="s">
        <v>59</v>
      </c>
      <c r="B1774" s="35" t="s">
        <v>39</v>
      </c>
      <c r="C1774" s="35" t="s">
        <v>35</v>
      </c>
      <c r="D1774" s="35" t="s">
        <v>40</v>
      </c>
      <c r="E1774" s="35" t="s">
        <v>25</v>
      </c>
      <c r="F1774" s="35" t="s">
        <v>25</v>
      </c>
      <c r="G1774" s="35" t="s">
        <v>25</v>
      </c>
      <c r="H1774" s="35" t="s">
        <v>36</v>
      </c>
      <c r="I1774" s="45">
        <v>44866</v>
      </c>
      <c r="J1774" s="46">
        <f>EFEITO!$J$1774*EFEITO!$Y$1774</f>
        <v>0</v>
      </c>
      <c r="K1774" s="46">
        <f ca="1">EFEITO!$L$1774*EFEITO!$Z$1774</f>
        <v>4.0067965802823879</v>
      </c>
      <c r="L1774" s="46">
        <f>EFEITO!$N$1774*EFEITO!$AA$1774</f>
        <v>1.0879319604976223</v>
      </c>
      <c r="M1774" s="46">
        <f>$J$1774-EFEITO!$K$1774*EFEITO!$Y$1774</f>
        <v>0</v>
      </c>
      <c r="N1774" s="46">
        <f ca="1">$K$1774-EFEITO!$M$1774*EFEITO!$Z$1774</f>
        <v>0</v>
      </c>
      <c r="O1774" s="46">
        <f>$L$1774-EFEITO!$O$1774*EFEITO!$AA$1774</f>
        <v>0</v>
      </c>
      <c r="P1774" s="38"/>
      <c r="Q1774" s="38"/>
      <c r="R1774" s="38"/>
      <c r="S1774" s="38"/>
      <c r="T1774" s="38"/>
      <c r="U1774" s="38"/>
      <c r="V1774" s="38"/>
      <c r="W1774" s="38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</row>
    <row r="1775" spans="1:36" ht="11.25" customHeight="1" x14ac:dyDescent="0.2">
      <c r="A1775" s="35" t="s">
        <v>21</v>
      </c>
      <c r="B1775" s="35" t="s">
        <v>39</v>
      </c>
      <c r="C1775" s="35" t="s">
        <v>35</v>
      </c>
      <c r="D1775" s="35" t="s">
        <v>48</v>
      </c>
      <c r="E1775" s="35" t="s">
        <v>25</v>
      </c>
      <c r="F1775" s="35" t="s">
        <v>25</v>
      </c>
      <c r="G1775" s="35" t="s">
        <v>25</v>
      </c>
      <c r="H1775" s="35" t="s">
        <v>37</v>
      </c>
      <c r="I1775" s="45">
        <v>44531</v>
      </c>
      <c r="J1775" s="46">
        <f>EFEITO!$J$1775*EFEITO!$Y$1775</f>
        <v>0</v>
      </c>
      <c r="K1775" s="46">
        <f ca="1">EFEITO!$L$1775*EFEITO!$Z$1775</f>
        <v>2943.0453550699185</v>
      </c>
      <c r="L1775" s="46">
        <f>EFEITO!$N$1775*EFEITO!$AA$1775</f>
        <v>1645.6078446427105</v>
      </c>
      <c r="M1775" s="46">
        <f>$J$1775-EFEITO!$K$1775*EFEITO!$Y$1775</f>
        <v>0</v>
      </c>
      <c r="N1775" s="46">
        <f ca="1">$K$1775-EFEITO!$M$1775*EFEITO!$Z$1775</f>
        <v>0</v>
      </c>
      <c r="O1775" s="46">
        <f>$L$1775-EFEITO!$O$1775*EFEITO!$AA$1775</f>
        <v>0</v>
      </c>
      <c r="P1775" s="38"/>
      <c r="Q1775" s="38"/>
      <c r="R1775" s="38"/>
      <c r="S1775" s="38"/>
      <c r="T1775" s="38"/>
      <c r="U1775" s="38"/>
      <c r="V1775" s="38"/>
      <c r="W1775" s="38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</row>
    <row r="1776" spans="1:36" ht="11.25" customHeight="1" x14ac:dyDescent="0.2">
      <c r="A1776" s="35" t="s">
        <v>27</v>
      </c>
      <c r="B1776" s="35" t="s">
        <v>39</v>
      </c>
      <c r="C1776" s="35" t="s">
        <v>35</v>
      </c>
      <c r="D1776" s="35" t="s">
        <v>48</v>
      </c>
      <c r="E1776" s="35" t="s">
        <v>25</v>
      </c>
      <c r="F1776" s="35" t="s">
        <v>25</v>
      </c>
      <c r="G1776" s="35" t="s">
        <v>25</v>
      </c>
      <c r="H1776" s="35" t="s">
        <v>37</v>
      </c>
      <c r="I1776" s="45">
        <v>44531</v>
      </c>
      <c r="J1776" s="46">
        <f>EFEITO!$J$1776*EFEITO!$Y$1776</f>
        <v>0</v>
      </c>
      <c r="K1776" s="46">
        <f ca="1">EFEITO!$L$1776*EFEITO!$Z$1776</f>
        <v>535.41914831770339</v>
      </c>
      <c r="L1776" s="46">
        <f>EFEITO!$N$1776*EFEITO!$AA$1776</f>
        <v>299.38035073965057</v>
      </c>
      <c r="M1776" s="46">
        <f>$J$1776-EFEITO!$K$1776*EFEITO!$Y$1776</f>
        <v>0</v>
      </c>
      <c r="N1776" s="46">
        <f ca="1">$K$1776-EFEITO!$M$1776*EFEITO!$Z$1776</f>
        <v>0</v>
      </c>
      <c r="O1776" s="46">
        <f>$L$1776-EFEITO!$O$1776*EFEITO!$AA$1776</f>
        <v>0</v>
      </c>
      <c r="P1776" s="38"/>
      <c r="Q1776" s="38"/>
      <c r="R1776" s="38"/>
      <c r="S1776" s="38"/>
      <c r="T1776" s="38"/>
      <c r="U1776" s="38"/>
      <c r="V1776" s="38"/>
      <c r="W1776" s="38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</row>
    <row r="1777" spans="1:36" ht="11.25" customHeight="1" x14ac:dyDescent="0.2">
      <c r="A1777" s="35" t="s">
        <v>21</v>
      </c>
      <c r="B1777" s="35" t="s">
        <v>39</v>
      </c>
      <c r="C1777" s="35" t="s">
        <v>35</v>
      </c>
      <c r="D1777" s="35" t="s">
        <v>48</v>
      </c>
      <c r="E1777" s="35" t="s">
        <v>25</v>
      </c>
      <c r="F1777" s="35" t="s">
        <v>25</v>
      </c>
      <c r="G1777" s="35" t="s">
        <v>25</v>
      </c>
      <c r="H1777" s="35" t="s">
        <v>37</v>
      </c>
      <c r="I1777" s="45">
        <v>44562</v>
      </c>
      <c r="J1777" s="46">
        <f>EFEITO!$J$1777*EFEITO!$Y$1777</f>
        <v>0</v>
      </c>
      <c r="K1777" s="46">
        <f ca="1">EFEITO!$L$1777*EFEITO!$Z$1777</f>
        <v>2547.2497538299508</v>
      </c>
      <c r="L1777" s="46">
        <f>EFEITO!$N$1777*EFEITO!$AA$1777</f>
        <v>1424.2981916489</v>
      </c>
      <c r="M1777" s="46">
        <f>$J$1777-EFEITO!$K$1777*EFEITO!$Y$1777</f>
        <v>0</v>
      </c>
      <c r="N1777" s="46">
        <f ca="1">$K$1777-EFEITO!$M$1777*EFEITO!$Z$1777</f>
        <v>0</v>
      </c>
      <c r="O1777" s="46">
        <f>$L$1777-EFEITO!$O$1777*EFEITO!$AA$1777</f>
        <v>0</v>
      </c>
      <c r="P1777" s="38"/>
      <c r="Q1777" s="38"/>
      <c r="R1777" s="38"/>
      <c r="S1777" s="38"/>
      <c r="T1777" s="38"/>
      <c r="U1777" s="38"/>
      <c r="V1777" s="38"/>
      <c r="W1777" s="38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</row>
    <row r="1778" spans="1:36" ht="11.25" customHeight="1" x14ac:dyDescent="0.2">
      <c r="A1778" s="35" t="s">
        <v>21</v>
      </c>
      <c r="B1778" s="35" t="s">
        <v>39</v>
      </c>
      <c r="C1778" s="35" t="s">
        <v>35</v>
      </c>
      <c r="D1778" s="35" t="s">
        <v>48</v>
      </c>
      <c r="E1778" s="35" t="s">
        <v>25</v>
      </c>
      <c r="F1778" s="35" t="s">
        <v>25</v>
      </c>
      <c r="G1778" s="35" t="s">
        <v>25</v>
      </c>
      <c r="H1778" s="35" t="s">
        <v>37</v>
      </c>
      <c r="I1778" s="45">
        <v>44593</v>
      </c>
      <c r="J1778" s="46">
        <f>EFEITO!$J$1778*EFEITO!$Y$1778</f>
        <v>0</v>
      </c>
      <c r="K1778" s="46">
        <f ca="1">EFEITO!$L$1778*EFEITO!$Z$1778</f>
        <v>2048.9853309250898</v>
      </c>
      <c r="L1778" s="46">
        <f>EFEITO!$N$1778*EFEITO!$AA$1778</f>
        <v>1145.6929565559017</v>
      </c>
      <c r="M1778" s="46">
        <f>$J$1778-EFEITO!$K$1778*EFEITO!$Y$1778</f>
        <v>0</v>
      </c>
      <c r="N1778" s="46">
        <f ca="1">$K$1778-EFEITO!$M$1778*EFEITO!$Z$1778</f>
        <v>0</v>
      </c>
      <c r="O1778" s="46">
        <f>$L$1778-EFEITO!$O$1778*EFEITO!$AA$1778</f>
        <v>0</v>
      </c>
      <c r="P1778" s="38"/>
      <c r="Q1778" s="38"/>
      <c r="R1778" s="38"/>
      <c r="S1778" s="38"/>
      <c r="T1778" s="38"/>
      <c r="U1778" s="38"/>
      <c r="V1778" s="38"/>
      <c r="W1778" s="38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</row>
    <row r="1779" spans="1:36" ht="11.25" customHeight="1" x14ac:dyDescent="0.2">
      <c r="A1779" s="35" t="s">
        <v>21</v>
      </c>
      <c r="B1779" s="35" t="s">
        <v>39</v>
      </c>
      <c r="C1779" s="35" t="s">
        <v>35</v>
      </c>
      <c r="D1779" s="35" t="s">
        <v>48</v>
      </c>
      <c r="E1779" s="35" t="s">
        <v>25</v>
      </c>
      <c r="F1779" s="35" t="s">
        <v>25</v>
      </c>
      <c r="G1779" s="35" t="s">
        <v>25</v>
      </c>
      <c r="H1779" s="35" t="s">
        <v>37</v>
      </c>
      <c r="I1779" s="45">
        <v>44621</v>
      </c>
      <c r="J1779" s="46">
        <f>EFEITO!$J$1779*EFEITO!$Y$1779</f>
        <v>0</v>
      </c>
      <c r="K1779" s="46">
        <f ca="1">EFEITO!$L$1779*EFEITO!$Z$1779</f>
        <v>2420.5325850535182</v>
      </c>
      <c r="L1779" s="46">
        <f>EFEITO!$N$1779*EFEITO!$AA$1779</f>
        <v>1353.4441130224232</v>
      </c>
      <c r="M1779" s="46">
        <f>$J$1779-EFEITO!$K$1779*EFEITO!$Y$1779</f>
        <v>0</v>
      </c>
      <c r="N1779" s="46">
        <f ca="1">$K$1779-EFEITO!$M$1779*EFEITO!$Z$1779</f>
        <v>0</v>
      </c>
      <c r="O1779" s="46">
        <f>$L$1779-EFEITO!$O$1779*EFEITO!$AA$1779</f>
        <v>0</v>
      </c>
      <c r="P1779" s="38"/>
      <c r="Q1779" s="38"/>
      <c r="R1779" s="38"/>
      <c r="S1779" s="38"/>
      <c r="T1779" s="38"/>
      <c r="U1779" s="38"/>
      <c r="V1779" s="38"/>
      <c r="W1779" s="38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</row>
    <row r="1780" spans="1:36" ht="11.25" customHeight="1" x14ac:dyDescent="0.2">
      <c r="A1780" s="35" t="s">
        <v>21</v>
      </c>
      <c r="B1780" s="35" t="s">
        <v>39</v>
      </c>
      <c r="C1780" s="35" t="s">
        <v>35</v>
      </c>
      <c r="D1780" s="35" t="s">
        <v>48</v>
      </c>
      <c r="E1780" s="35" t="s">
        <v>25</v>
      </c>
      <c r="F1780" s="35" t="s">
        <v>25</v>
      </c>
      <c r="G1780" s="35" t="s">
        <v>25</v>
      </c>
      <c r="H1780" s="35" t="s">
        <v>37</v>
      </c>
      <c r="I1780" s="45">
        <v>44652</v>
      </c>
      <c r="J1780" s="46">
        <f>EFEITO!$J$1780*EFEITO!$Y$1780</f>
        <v>0</v>
      </c>
      <c r="K1780" s="46">
        <f ca="1">EFEITO!$L$1780*EFEITO!$Z$1780</f>
        <v>2578.1468412785252</v>
      </c>
      <c r="L1780" s="46">
        <f>EFEITO!$N$1780*EFEITO!$AA$1780</f>
        <v>1441.5743404498003</v>
      </c>
      <c r="M1780" s="46">
        <f>$J$1780-EFEITO!$K$1780*EFEITO!$Y$1780</f>
        <v>0</v>
      </c>
      <c r="N1780" s="46">
        <f ca="1">$K$1780-EFEITO!$M$1780*EFEITO!$Z$1780</f>
        <v>0</v>
      </c>
      <c r="O1780" s="46">
        <f>$L$1780-EFEITO!$O$1780*EFEITO!$AA$1780</f>
        <v>0</v>
      </c>
      <c r="P1780" s="38"/>
      <c r="Q1780" s="38"/>
      <c r="R1780" s="38"/>
      <c r="S1780" s="38"/>
      <c r="T1780" s="38"/>
      <c r="U1780" s="38"/>
      <c r="V1780" s="38"/>
      <c r="W1780" s="38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</row>
    <row r="1781" spans="1:36" ht="11.25" customHeight="1" x14ac:dyDescent="0.2">
      <c r="A1781" s="35" t="s">
        <v>27</v>
      </c>
      <c r="B1781" s="35" t="s">
        <v>39</v>
      </c>
      <c r="C1781" s="35" t="s">
        <v>35</v>
      </c>
      <c r="D1781" s="35" t="s">
        <v>48</v>
      </c>
      <c r="E1781" s="35" t="s">
        <v>25</v>
      </c>
      <c r="F1781" s="35" t="s">
        <v>25</v>
      </c>
      <c r="G1781" s="35" t="s">
        <v>25</v>
      </c>
      <c r="H1781" s="35" t="s">
        <v>37</v>
      </c>
      <c r="I1781" s="45">
        <v>44652</v>
      </c>
      <c r="J1781" s="46">
        <f>EFEITO!$J$1781*EFEITO!$Y$1781</f>
        <v>0</v>
      </c>
      <c r="K1781" s="46">
        <f ca="1">EFEITO!$L$1781*EFEITO!$Z$1781</f>
        <v>-405.57316055913691</v>
      </c>
      <c r="L1781" s="46">
        <f>EFEITO!$N$1781*EFEITO!$AA$1781</f>
        <v>-226.77678869029776</v>
      </c>
      <c r="M1781" s="46">
        <f>$J$1781-EFEITO!$K$1781*EFEITO!$Y$1781</f>
        <v>0</v>
      </c>
      <c r="N1781" s="46">
        <f ca="1">$K$1781-EFEITO!$M$1781*EFEITO!$Z$1781</f>
        <v>0</v>
      </c>
      <c r="O1781" s="46">
        <f>$L$1781-EFEITO!$O$1781*EFEITO!$AA$1781</f>
        <v>0</v>
      </c>
      <c r="P1781" s="38"/>
      <c r="Q1781" s="38"/>
      <c r="R1781" s="38"/>
      <c r="S1781" s="38"/>
      <c r="T1781" s="38"/>
      <c r="U1781" s="38"/>
      <c r="V1781" s="38"/>
      <c r="W1781" s="38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</row>
    <row r="1782" spans="1:36" ht="11.25" customHeight="1" x14ac:dyDescent="0.2">
      <c r="A1782" s="35" t="s">
        <v>21</v>
      </c>
      <c r="B1782" s="35" t="s">
        <v>39</v>
      </c>
      <c r="C1782" s="35" t="s">
        <v>35</v>
      </c>
      <c r="D1782" s="35" t="s">
        <v>48</v>
      </c>
      <c r="E1782" s="35" t="s">
        <v>25</v>
      </c>
      <c r="F1782" s="35" t="s">
        <v>25</v>
      </c>
      <c r="G1782" s="35" t="s">
        <v>25</v>
      </c>
      <c r="H1782" s="35" t="s">
        <v>37</v>
      </c>
      <c r="I1782" s="45">
        <v>44682</v>
      </c>
      <c r="J1782" s="46">
        <f>EFEITO!$J$1782*EFEITO!$Y$1782</f>
        <v>0</v>
      </c>
      <c r="K1782" s="46">
        <f ca="1">EFEITO!$L$1782*EFEITO!$Z$1782</f>
        <v>3404.1550525619364</v>
      </c>
      <c r="L1782" s="46">
        <f>EFEITO!$N$1782*EFEITO!$AA$1782</f>
        <v>1903.4379640890568</v>
      </c>
      <c r="M1782" s="46">
        <f>$J$1782-EFEITO!$K$1782*EFEITO!$Y$1782</f>
        <v>0</v>
      </c>
      <c r="N1782" s="46">
        <f ca="1">$K$1782-EFEITO!$M$1782*EFEITO!$Z$1782</f>
        <v>0</v>
      </c>
      <c r="O1782" s="46">
        <f>$L$1782-EFEITO!$O$1782*EFEITO!$AA$1782</f>
        <v>0</v>
      </c>
      <c r="P1782" s="38"/>
      <c r="Q1782" s="38"/>
      <c r="R1782" s="38"/>
      <c r="S1782" s="38"/>
      <c r="T1782" s="38"/>
      <c r="U1782" s="38"/>
      <c r="V1782" s="38"/>
      <c r="W1782" s="38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</row>
    <row r="1783" spans="1:36" ht="11.25" customHeight="1" x14ac:dyDescent="0.2">
      <c r="A1783" s="35" t="s">
        <v>21</v>
      </c>
      <c r="B1783" s="35" t="s">
        <v>39</v>
      </c>
      <c r="C1783" s="35" t="s">
        <v>35</v>
      </c>
      <c r="D1783" s="35" t="s">
        <v>48</v>
      </c>
      <c r="E1783" s="35" t="s">
        <v>25</v>
      </c>
      <c r="F1783" s="35" t="s">
        <v>25</v>
      </c>
      <c r="G1783" s="35" t="s">
        <v>25</v>
      </c>
      <c r="H1783" s="35" t="s">
        <v>37</v>
      </c>
      <c r="I1783" s="45">
        <v>44713</v>
      </c>
      <c r="J1783" s="46">
        <f>EFEITO!$J$1783*EFEITO!$Y$1783</f>
        <v>0</v>
      </c>
      <c r="K1783" s="46">
        <f ca="1">EFEITO!$L$1783*EFEITO!$Z$1783</f>
        <v>2561.3294392495545</v>
      </c>
      <c r="L1783" s="46">
        <f>EFEITO!$N$1783*EFEITO!$AA$1783</f>
        <v>1432.1708670518419</v>
      </c>
      <c r="M1783" s="46">
        <f>$J$1783-EFEITO!$K$1783*EFEITO!$Y$1783</f>
        <v>0</v>
      </c>
      <c r="N1783" s="46">
        <f ca="1">$K$1783-EFEITO!$M$1783*EFEITO!$Z$1783</f>
        <v>0</v>
      </c>
      <c r="O1783" s="46">
        <f>$L$1783-EFEITO!$O$1783*EFEITO!$AA$1783</f>
        <v>0</v>
      </c>
      <c r="P1783" s="38"/>
      <c r="Q1783" s="38"/>
      <c r="R1783" s="38"/>
      <c r="S1783" s="38"/>
      <c r="T1783" s="38"/>
      <c r="U1783" s="38"/>
      <c r="V1783" s="38"/>
      <c r="W1783" s="38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</row>
    <row r="1784" spans="1:36" ht="11.25" customHeight="1" x14ac:dyDescent="0.2">
      <c r="A1784" s="35" t="s">
        <v>28</v>
      </c>
      <c r="B1784" s="35" t="s">
        <v>39</v>
      </c>
      <c r="C1784" s="35" t="s">
        <v>35</v>
      </c>
      <c r="D1784" s="35" t="s">
        <v>48</v>
      </c>
      <c r="E1784" s="35" t="s">
        <v>25</v>
      </c>
      <c r="F1784" s="35" t="s">
        <v>25</v>
      </c>
      <c r="G1784" s="35" t="s">
        <v>25</v>
      </c>
      <c r="H1784" s="35" t="s">
        <v>37</v>
      </c>
      <c r="I1784" s="45">
        <v>44713</v>
      </c>
      <c r="J1784" s="46">
        <f>EFEITO!$J$1784*EFEITO!$Y$1784</f>
        <v>0</v>
      </c>
      <c r="K1784" s="46">
        <f ca="1">EFEITO!$L$1784*EFEITO!$Z$1784</f>
        <v>34.417008803475454</v>
      </c>
      <c r="L1784" s="46">
        <f>EFEITO!$N$1784*EFEITO!$AA$1784</f>
        <v>19.244317651635683</v>
      </c>
      <c r="M1784" s="46">
        <f>$J$1784-EFEITO!$K$1784*EFEITO!$Y$1784</f>
        <v>0</v>
      </c>
      <c r="N1784" s="46">
        <f ca="1">$K$1784-EFEITO!$M$1784*EFEITO!$Z$1784</f>
        <v>0</v>
      </c>
      <c r="O1784" s="46">
        <f>$L$1784-EFEITO!$O$1784*EFEITO!$AA$1784</f>
        <v>0</v>
      </c>
      <c r="P1784" s="38"/>
      <c r="Q1784" s="38"/>
      <c r="R1784" s="38"/>
      <c r="S1784" s="38"/>
      <c r="T1784" s="38"/>
      <c r="U1784" s="38"/>
      <c r="V1784" s="38"/>
      <c r="W1784" s="38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</row>
    <row r="1785" spans="1:36" ht="11.25" customHeight="1" x14ac:dyDescent="0.2">
      <c r="A1785" s="35" t="s">
        <v>21</v>
      </c>
      <c r="B1785" s="35" t="s">
        <v>39</v>
      </c>
      <c r="C1785" s="35" t="s">
        <v>35</v>
      </c>
      <c r="D1785" s="35" t="s">
        <v>48</v>
      </c>
      <c r="E1785" s="35" t="s">
        <v>25</v>
      </c>
      <c r="F1785" s="35" t="s">
        <v>25</v>
      </c>
      <c r="G1785" s="35" t="s">
        <v>25</v>
      </c>
      <c r="H1785" s="35" t="s">
        <v>37</v>
      </c>
      <c r="I1785" s="45">
        <v>44743</v>
      </c>
      <c r="J1785" s="46">
        <f>EFEITO!$J$1785*EFEITO!$Y$1785</f>
        <v>0</v>
      </c>
      <c r="K1785" s="46">
        <f ca="1">EFEITO!$L$1785*EFEITO!$Z$1785</f>
        <v>3305.5972546247108</v>
      </c>
      <c r="L1785" s="46">
        <f>EFEITO!$N$1785*EFEITO!$AA$1785</f>
        <v>1848.3292362684635</v>
      </c>
      <c r="M1785" s="46">
        <f>$J$1785-EFEITO!$K$1785*EFEITO!$Y$1785</f>
        <v>0</v>
      </c>
      <c r="N1785" s="46">
        <f ca="1">$K$1785-EFEITO!$M$1785*EFEITO!$Z$1785</f>
        <v>0</v>
      </c>
      <c r="O1785" s="46">
        <f>$L$1785-EFEITO!$O$1785*EFEITO!$AA$1785</f>
        <v>0</v>
      </c>
      <c r="P1785" s="38"/>
      <c r="Q1785" s="38"/>
      <c r="R1785" s="38"/>
      <c r="S1785" s="38"/>
      <c r="T1785" s="38"/>
      <c r="U1785" s="38"/>
      <c r="V1785" s="38"/>
      <c r="W1785" s="38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</row>
    <row r="1786" spans="1:36" ht="11.25" customHeight="1" x14ac:dyDescent="0.2">
      <c r="A1786" s="35" t="s">
        <v>28</v>
      </c>
      <c r="B1786" s="35" t="s">
        <v>39</v>
      </c>
      <c r="C1786" s="35" t="s">
        <v>35</v>
      </c>
      <c r="D1786" s="35" t="s">
        <v>48</v>
      </c>
      <c r="E1786" s="35" t="s">
        <v>25</v>
      </c>
      <c r="F1786" s="35" t="s">
        <v>25</v>
      </c>
      <c r="G1786" s="35" t="s">
        <v>25</v>
      </c>
      <c r="H1786" s="35" t="s">
        <v>37</v>
      </c>
      <c r="I1786" s="45">
        <v>44743</v>
      </c>
      <c r="J1786" s="46">
        <f>EFEITO!$J$1786*EFEITO!$Y$1786</f>
        <v>0</v>
      </c>
      <c r="K1786" s="46">
        <f ca="1">EFEITO!$L$1786*EFEITO!$Z$1786</f>
        <v>94.255671836790739</v>
      </c>
      <c r="L1786" s="46">
        <f>EFEITO!$N$1786*EFEITO!$AA$1786</f>
        <v>52.703188114138634</v>
      </c>
      <c r="M1786" s="46">
        <f>$J$1786-EFEITO!$K$1786*EFEITO!$Y$1786</f>
        <v>0</v>
      </c>
      <c r="N1786" s="46">
        <f ca="1">$K$1786-EFEITO!$M$1786*EFEITO!$Z$1786</f>
        <v>0</v>
      </c>
      <c r="O1786" s="46">
        <f>$L$1786-EFEITO!$O$1786*EFEITO!$AA$1786</f>
        <v>0</v>
      </c>
      <c r="P1786" s="38"/>
      <c r="Q1786" s="38"/>
      <c r="R1786" s="38"/>
      <c r="S1786" s="38"/>
      <c r="T1786" s="38"/>
      <c r="U1786" s="38"/>
      <c r="V1786" s="38"/>
      <c r="W1786" s="38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</row>
    <row r="1787" spans="1:36" ht="11.25" customHeight="1" x14ac:dyDescent="0.2">
      <c r="A1787" s="35" t="s">
        <v>21</v>
      </c>
      <c r="B1787" s="35" t="s">
        <v>39</v>
      </c>
      <c r="C1787" s="35" t="s">
        <v>35</v>
      </c>
      <c r="D1787" s="35" t="s">
        <v>48</v>
      </c>
      <c r="E1787" s="35" t="s">
        <v>25</v>
      </c>
      <c r="F1787" s="35" t="s">
        <v>25</v>
      </c>
      <c r="G1787" s="35" t="s">
        <v>25</v>
      </c>
      <c r="H1787" s="35" t="s">
        <v>37</v>
      </c>
      <c r="I1787" s="45">
        <v>44774</v>
      </c>
      <c r="J1787" s="46">
        <f>EFEITO!$J$1787*EFEITO!$Y$1787</f>
        <v>0</v>
      </c>
      <c r="K1787" s="46">
        <f ca="1">EFEITO!$L$1787*EFEITO!$Z$1787</f>
        <v>3052.554019444613</v>
      </c>
      <c r="L1787" s="46">
        <f>EFEITO!$N$1787*EFEITO!$AA$1787</f>
        <v>1706.8397644433694</v>
      </c>
      <c r="M1787" s="46">
        <f>$J$1787-EFEITO!$K$1787*EFEITO!$Y$1787</f>
        <v>0</v>
      </c>
      <c r="N1787" s="46">
        <f ca="1">$K$1787-EFEITO!$M$1787*EFEITO!$Z$1787</f>
        <v>0</v>
      </c>
      <c r="O1787" s="46">
        <f>$L$1787-EFEITO!$O$1787*EFEITO!$AA$1787</f>
        <v>0</v>
      </c>
      <c r="P1787" s="38"/>
      <c r="Q1787" s="38"/>
      <c r="R1787" s="38"/>
      <c r="S1787" s="38"/>
      <c r="T1787" s="38"/>
      <c r="U1787" s="38"/>
      <c r="V1787" s="38"/>
      <c r="W1787" s="38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</row>
    <row r="1788" spans="1:36" ht="11.25" customHeight="1" x14ac:dyDescent="0.2">
      <c r="A1788" s="35" t="s">
        <v>27</v>
      </c>
      <c r="B1788" s="35" t="s">
        <v>39</v>
      </c>
      <c r="C1788" s="35" t="s">
        <v>35</v>
      </c>
      <c r="D1788" s="35" t="s">
        <v>48</v>
      </c>
      <c r="E1788" s="35" t="s">
        <v>25</v>
      </c>
      <c r="F1788" s="35" t="s">
        <v>25</v>
      </c>
      <c r="G1788" s="35" t="s">
        <v>25</v>
      </c>
      <c r="H1788" s="35" t="s">
        <v>37</v>
      </c>
      <c r="I1788" s="45">
        <v>44774</v>
      </c>
      <c r="J1788" s="46">
        <f>EFEITO!$J$1788*EFEITO!$Y$1788</f>
        <v>0</v>
      </c>
      <c r="K1788" s="46">
        <f ca="1">EFEITO!$L$1788*EFEITO!$Z$1788</f>
        <v>231.14150230515904</v>
      </c>
      <c r="L1788" s="46">
        <f>EFEITO!$N$1788*EFEITO!$AA$1788</f>
        <v>129.24308786496238</v>
      </c>
      <c r="M1788" s="46">
        <f>$J$1788-EFEITO!$K$1788*EFEITO!$Y$1788</f>
        <v>0</v>
      </c>
      <c r="N1788" s="46">
        <f ca="1">$K$1788-EFEITO!$M$1788*EFEITO!$Z$1788</f>
        <v>0</v>
      </c>
      <c r="O1788" s="46">
        <f>$L$1788-EFEITO!$O$1788*EFEITO!$AA$1788</f>
        <v>0</v>
      </c>
      <c r="P1788" s="38"/>
      <c r="Q1788" s="38"/>
      <c r="R1788" s="38"/>
      <c r="S1788" s="38"/>
      <c r="T1788" s="38"/>
      <c r="U1788" s="38"/>
      <c r="V1788" s="38"/>
      <c r="W1788" s="38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</row>
    <row r="1789" spans="1:36" ht="11.25" customHeight="1" x14ac:dyDescent="0.2">
      <c r="A1789" s="35" t="s">
        <v>28</v>
      </c>
      <c r="B1789" s="35" t="s">
        <v>39</v>
      </c>
      <c r="C1789" s="35" t="s">
        <v>35</v>
      </c>
      <c r="D1789" s="35" t="s">
        <v>48</v>
      </c>
      <c r="E1789" s="35" t="s">
        <v>25</v>
      </c>
      <c r="F1789" s="35" t="s">
        <v>25</v>
      </c>
      <c r="G1789" s="35" t="s">
        <v>25</v>
      </c>
      <c r="H1789" s="35" t="s">
        <v>37</v>
      </c>
      <c r="I1789" s="45">
        <v>44774</v>
      </c>
      <c r="J1789" s="46">
        <f>EFEITO!$J$1789*EFEITO!$Y$1789</f>
        <v>0</v>
      </c>
      <c r="K1789" s="46">
        <f ca="1">EFEITO!$L$1789*EFEITO!$Z$1789</f>
        <v>75.091655571219178</v>
      </c>
      <c r="L1789" s="46">
        <f>EFEITO!$N$1789*EFEITO!$AA$1789</f>
        <v>41.98760214902331</v>
      </c>
      <c r="M1789" s="46">
        <f>$J$1789-EFEITO!$K$1789*EFEITO!$Y$1789</f>
        <v>0</v>
      </c>
      <c r="N1789" s="46">
        <f ca="1">$K$1789-EFEITO!$M$1789*EFEITO!$Z$1789</f>
        <v>0</v>
      </c>
      <c r="O1789" s="46">
        <f>$L$1789-EFEITO!$O$1789*EFEITO!$AA$1789</f>
        <v>0</v>
      </c>
      <c r="P1789" s="38"/>
      <c r="Q1789" s="38"/>
      <c r="R1789" s="38"/>
      <c r="S1789" s="38"/>
      <c r="T1789" s="38"/>
      <c r="U1789" s="38"/>
      <c r="V1789" s="38"/>
      <c r="W1789" s="38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</row>
    <row r="1790" spans="1:36" ht="11.25" customHeight="1" x14ac:dyDescent="0.2">
      <c r="A1790" s="35" t="s">
        <v>21</v>
      </c>
      <c r="B1790" s="35" t="s">
        <v>39</v>
      </c>
      <c r="C1790" s="35" t="s">
        <v>35</v>
      </c>
      <c r="D1790" s="35" t="s">
        <v>48</v>
      </c>
      <c r="E1790" s="35" t="s">
        <v>25</v>
      </c>
      <c r="F1790" s="35" t="s">
        <v>25</v>
      </c>
      <c r="G1790" s="35" t="s">
        <v>25</v>
      </c>
      <c r="H1790" s="35" t="s">
        <v>37</v>
      </c>
      <c r="I1790" s="45">
        <v>44805</v>
      </c>
      <c r="J1790" s="46">
        <f>EFEITO!$J$1790*EFEITO!$Y$1790</f>
        <v>0</v>
      </c>
      <c r="K1790" s="46">
        <f ca="1">EFEITO!$L$1790*EFEITO!$Z$1790</f>
        <v>5485.9929827994347</v>
      </c>
      <c r="L1790" s="46">
        <f>EFEITO!$N$1790*EFEITO!$AA$1790</f>
        <v>3067.5004965851558</v>
      </c>
      <c r="M1790" s="46">
        <f>$J$1790-EFEITO!$K$1790*EFEITO!$Y$1790</f>
        <v>0</v>
      </c>
      <c r="N1790" s="46">
        <f ca="1">$K$1790-EFEITO!$M$1790*EFEITO!$Z$1790</f>
        <v>0</v>
      </c>
      <c r="O1790" s="46">
        <f>$L$1790-EFEITO!$O$1790*EFEITO!$AA$1790</f>
        <v>0</v>
      </c>
      <c r="P1790" s="38"/>
      <c r="Q1790" s="38"/>
      <c r="R1790" s="38"/>
      <c r="S1790" s="38"/>
      <c r="T1790" s="38"/>
      <c r="U1790" s="38"/>
      <c r="V1790" s="38"/>
      <c r="W1790" s="38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</row>
    <row r="1791" spans="1:36" ht="11.25" customHeight="1" x14ac:dyDescent="0.2">
      <c r="A1791" s="35" t="s">
        <v>28</v>
      </c>
      <c r="B1791" s="35" t="s">
        <v>39</v>
      </c>
      <c r="C1791" s="35" t="s">
        <v>35</v>
      </c>
      <c r="D1791" s="35" t="s">
        <v>48</v>
      </c>
      <c r="E1791" s="35" t="s">
        <v>25</v>
      </c>
      <c r="F1791" s="35" t="s">
        <v>25</v>
      </c>
      <c r="G1791" s="35" t="s">
        <v>25</v>
      </c>
      <c r="H1791" s="35" t="s">
        <v>37</v>
      </c>
      <c r="I1791" s="45">
        <v>44805</v>
      </c>
      <c r="J1791" s="46">
        <f>EFEITO!$J$1791*EFEITO!$Y$1791</f>
        <v>0</v>
      </c>
      <c r="K1791" s="46">
        <f ca="1">EFEITO!$L$1791*EFEITO!$Z$1791</f>
        <v>60.229765406082052</v>
      </c>
      <c r="L1791" s="46">
        <f>EFEITO!$N$1791*EFEITO!$AA$1791</f>
        <v>33.677555890362449</v>
      </c>
      <c r="M1791" s="46">
        <f>$J$1791-EFEITO!$K$1791*EFEITO!$Y$1791</f>
        <v>0</v>
      </c>
      <c r="N1791" s="46">
        <f ca="1">$K$1791-EFEITO!$M$1791*EFEITO!$Z$1791</f>
        <v>0</v>
      </c>
      <c r="O1791" s="46">
        <f>$L$1791-EFEITO!$O$1791*EFEITO!$AA$1791</f>
        <v>0</v>
      </c>
      <c r="P1791" s="38"/>
      <c r="Q1791" s="38"/>
      <c r="R1791" s="38"/>
      <c r="S1791" s="38"/>
      <c r="T1791" s="38"/>
      <c r="U1791" s="38"/>
      <c r="V1791" s="38"/>
      <c r="W1791" s="38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</row>
    <row r="1792" spans="1:36" ht="11.25" customHeight="1" x14ac:dyDescent="0.2">
      <c r="A1792" s="35" t="s">
        <v>21</v>
      </c>
      <c r="B1792" s="35" t="s">
        <v>39</v>
      </c>
      <c r="C1792" s="35" t="s">
        <v>35</v>
      </c>
      <c r="D1792" s="35" t="s">
        <v>48</v>
      </c>
      <c r="E1792" s="35" t="s">
        <v>25</v>
      </c>
      <c r="F1792" s="35" t="s">
        <v>25</v>
      </c>
      <c r="G1792" s="35" t="s">
        <v>25</v>
      </c>
      <c r="H1792" s="35" t="s">
        <v>37</v>
      </c>
      <c r="I1792" s="45">
        <v>44835</v>
      </c>
      <c r="J1792" s="46">
        <f>EFEITO!$J$1792*EFEITO!$Y$1792</f>
        <v>0</v>
      </c>
      <c r="K1792" s="46">
        <f ca="1">EFEITO!$L$1792*EFEITO!$Z$1792</f>
        <v>8046.5402173034563</v>
      </c>
      <c r="L1792" s="46">
        <f>EFEITO!$N$1792*EFEITO!$AA$1792</f>
        <v>4499.2339927812791</v>
      </c>
      <c r="M1792" s="46">
        <f>$J$1792-EFEITO!$K$1792*EFEITO!$Y$1792</f>
        <v>0</v>
      </c>
      <c r="N1792" s="46">
        <f ca="1">$K$1792-EFEITO!$M$1792*EFEITO!$Z$1792</f>
        <v>0</v>
      </c>
      <c r="O1792" s="46">
        <f>$L$1792-EFEITO!$O$1792*EFEITO!$AA$1792</f>
        <v>0</v>
      </c>
      <c r="P1792" s="38"/>
      <c r="Q1792" s="38"/>
      <c r="R1792" s="38"/>
      <c r="S1792" s="38"/>
      <c r="T1792" s="38"/>
      <c r="U1792" s="38"/>
      <c r="V1792" s="38"/>
      <c r="W1792" s="38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</row>
    <row r="1793" spans="1:36" ht="11.25" customHeight="1" x14ac:dyDescent="0.2">
      <c r="A1793" s="35" t="s">
        <v>28</v>
      </c>
      <c r="B1793" s="35" t="s">
        <v>39</v>
      </c>
      <c r="C1793" s="35" t="s">
        <v>35</v>
      </c>
      <c r="D1793" s="35" t="s">
        <v>48</v>
      </c>
      <c r="E1793" s="35" t="s">
        <v>25</v>
      </c>
      <c r="F1793" s="35" t="s">
        <v>25</v>
      </c>
      <c r="G1793" s="35" t="s">
        <v>25</v>
      </c>
      <c r="H1793" s="35" t="s">
        <v>37</v>
      </c>
      <c r="I1793" s="45">
        <v>44835</v>
      </c>
      <c r="J1793" s="46">
        <f>EFEITO!$J$1793*EFEITO!$Y$1793</f>
        <v>0</v>
      </c>
      <c r="K1793" s="46">
        <f ca="1">EFEITO!$L$1793*EFEITO!$Z$1793</f>
        <v>134.14811385900094</v>
      </c>
      <c r="L1793" s="46">
        <f>EFEITO!$N$1793*EFEITO!$AA$1793</f>
        <v>75.009101755807265</v>
      </c>
      <c r="M1793" s="46">
        <f>$J$1793-EFEITO!$K$1793*EFEITO!$Y$1793</f>
        <v>0</v>
      </c>
      <c r="N1793" s="46">
        <f ca="1">$K$1793-EFEITO!$M$1793*EFEITO!$Z$1793</f>
        <v>0</v>
      </c>
      <c r="O1793" s="46">
        <f>$L$1793-EFEITO!$O$1793*EFEITO!$AA$1793</f>
        <v>0</v>
      </c>
      <c r="P1793" s="38"/>
      <c r="Q1793" s="38"/>
      <c r="R1793" s="38"/>
      <c r="S1793" s="38"/>
      <c r="T1793" s="38"/>
      <c r="U1793" s="38"/>
      <c r="V1793" s="38"/>
      <c r="W1793" s="38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</row>
    <row r="1794" spans="1:36" ht="11.25" customHeight="1" x14ac:dyDescent="0.2">
      <c r="A1794" s="35" t="s">
        <v>59</v>
      </c>
      <c r="B1794" s="35" t="s">
        <v>39</v>
      </c>
      <c r="C1794" s="35" t="s">
        <v>35</v>
      </c>
      <c r="D1794" s="35" t="s">
        <v>48</v>
      </c>
      <c r="E1794" s="35" t="s">
        <v>25</v>
      </c>
      <c r="F1794" s="35" t="s">
        <v>25</v>
      </c>
      <c r="G1794" s="35" t="s">
        <v>25</v>
      </c>
      <c r="H1794" s="35" t="s">
        <v>37</v>
      </c>
      <c r="I1794" s="45">
        <v>44866</v>
      </c>
      <c r="J1794" s="46">
        <f>EFEITO!$J$1794*EFEITO!$Y$1794</f>
        <v>0</v>
      </c>
      <c r="K1794" s="46">
        <f ca="1">EFEITO!$L$1794*EFEITO!$Z$1794</f>
        <v>8046.5402173034563</v>
      </c>
      <c r="L1794" s="46">
        <f>EFEITO!$N$1794*EFEITO!$AA$1794</f>
        <v>4499.2339927812791</v>
      </c>
      <c r="M1794" s="46">
        <f>$J$1794-EFEITO!$K$1794*EFEITO!$Y$1794</f>
        <v>0</v>
      </c>
      <c r="N1794" s="46">
        <f ca="1">$K$1794-EFEITO!$M$1794*EFEITO!$Z$1794</f>
        <v>0</v>
      </c>
      <c r="O1794" s="46">
        <f>$L$1794-EFEITO!$O$1794*EFEITO!$AA$1794</f>
        <v>0</v>
      </c>
      <c r="P1794" s="38"/>
      <c r="Q1794" s="38"/>
      <c r="R1794" s="38"/>
      <c r="S1794" s="38"/>
      <c r="T1794" s="38"/>
      <c r="U1794" s="38"/>
      <c r="V1794" s="38"/>
      <c r="W1794" s="38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</row>
    <row r="1795" spans="1:36" ht="11.25" customHeight="1" x14ac:dyDescent="0.2">
      <c r="A1795" s="35" t="s">
        <v>59</v>
      </c>
      <c r="B1795" s="35" t="s">
        <v>39</v>
      </c>
      <c r="C1795" s="35" t="s">
        <v>35</v>
      </c>
      <c r="D1795" s="35" t="s">
        <v>48</v>
      </c>
      <c r="E1795" s="35" t="s">
        <v>25</v>
      </c>
      <c r="F1795" s="35" t="s">
        <v>25</v>
      </c>
      <c r="G1795" s="35" t="s">
        <v>25</v>
      </c>
      <c r="H1795" s="35" t="s">
        <v>37</v>
      </c>
      <c r="I1795" s="45">
        <v>44866</v>
      </c>
      <c r="J1795" s="46">
        <f>EFEITO!$J$1795*EFEITO!$Y$1795</f>
        <v>0</v>
      </c>
      <c r="K1795" s="46">
        <f ca="1">EFEITO!$L$1795*EFEITO!$Z$1795</f>
        <v>134.14811385900094</v>
      </c>
      <c r="L1795" s="46">
        <f>EFEITO!$N$1795*EFEITO!$AA$1795</f>
        <v>75.009101755807265</v>
      </c>
      <c r="M1795" s="46">
        <f>$J$1795-EFEITO!$K$1795*EFEITO!$Y$1795</f>
        <v>0</v>
      </c>
      <c r="N1795" s="46">
        <f ca="1">$K$1795-EFEITO!$M$1795*EFEITO!$Z$1795</f>
        <v>0</v>
      </c>
      <c r="O1795" s="46">
        <f>$L$1795-EFEITO!$O$1795*EFEITO!$AA$1795</f>
        <v>0</v>
      </c>
      <c r="P1795" s="38"/>
      <c r="Q1795" s="38"/>
      <c r="R1795" s="38"/>
      <c r="S1795" s="38"/>
      <c r="T1795" s="38"/>
      <c r="U1795" s="38"/>
      <c r="V1795" s="38"/>
      <c r="W1795" s="38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</row>
    <row r="1796" spans="1:36" ht="11.25" customHeight="1" x14ac:dyDescent="0.2">
      <c r="A1796" s="35" t="s">
        <v>21</v>
      </c>
      <c r="B1796" s="35" t="s">
        <v>39</v>
      </c>
      <c r="C1796" s="35" t="s">
        <v>35</v>
      </c>
      <c r="D1796" s="35" t="s">
        <v>48</v>
      </c>
      <c r="E1796" s="35" t="s">
        <v>25</v>
      </c>
      <c r="F1796" s="35" t="s">
        <v>25</v>
      </c>
      <c r="G1796" s="35" t="s">
        <v>25</v>
      </c>
      <c r="H1796" s="35" t="s">
        <v>38</v>
      </c>
      <c r="I1796" s="45">
        <v>44531</v>
      </c>
      <c r="J1796" s="46">
        <f>EFEITO!$J$1796*EFEITO!$Y$1796</f>
        <v>0</v>
      </c>
      <c r="K1796" s="46">
        <f ca="1">EFEITO!$L$1796*EFEITO!$Z$1796</f>
        <v>159.71986403963288</v>
      </c>
      <c r="L1796" s="46">
        <f>EFEITO!$N$1796*EFEITO!$AA$1796</f>
        <v>40.456804154006832</v>
      </c>
      <c r="M1796" s="46">
        <f>$J$1796-EFEITO!$K$1796*EFEITO!$Y$1796</f>
        <v>0</v>
      </c>
      <c r="N1796" s="46">
        <f ca="1">$K$1796-EFEITO!$M$1796*EFEITO!$Z$1796</f>
        <v>0</v>
      </c>
      <c r="O1796" s="46">
        <f>$L$1796-EFEITO!$O$1796*EFEITO!$AA$1796</f>
        <v>0</v>
      </c>
      <c r="P1796" s="38"/>
      <c r="Q1796" s="38"/>
      <c r="R1796" s="38"/>
      <c r="S1796" s="38"/>
      <c r="T1796" s="38"/>
      <c r="U1796" s="38"/>
      <c r="V1796" s="38"/>
      <c r="W1796" s="38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</row>
    <row r="1797" spans="1:36" ht="11.25" customHeight="1" x14ac:dyDescent="0.2">
      <c r="A1797" s="35" t="s">
        <v>27</v>
      </c>
      <c r="B1797" s="35" t="s">
        <v>39</v>
      </c>
      <c r="C1797" s="35" t="s">
        <v>35</v>
      </c>
      <c r="D1797" s="35" t="s">
        <v>48</v>
      </c>
      <c r="E1797" s="35" t="s">
        <v>25</v>
      </c>
      <c r="F1797" s="35" t="s">
        <v>25</v>
      </c>
      <c r="G1797" s="35" t="s">
        <v>25</v>
      </c>
      <c r="H1797" s="35" t="s">
        <v>38</v>
      </c>
      <c r="I1797" s="45">
        <v>44531</v>
      </c>
      <c r="J1797" s="46">
        <f>EFEITO!$J$1797*EFEITO!$Y$1797</f>
        <v>0</v>
      </c>
      <c r="K1797" s="46">
        <f ca="1">EFEITO!$L$1797*EFEITO!$Z$1797</f>
        <v>-16.403661712178511</v>
      </c>
      <c r="L1797" s="46">
        <f>EFEITO!$N$1797*EFEITO!$AA$1797</f>
        <v>-4.1550231293304316</v>
      </c>
      <c r="M1797" s="46">
        <f>$J$1797-EFEITO!$K$1797*EFEITO!$Y$1797</f>
        <v>0</v>
      </c>
      <c r="N1797" s="46">
        <f ca="1">$K$1797-EFEITO!$M$1797*EFEITO!$Z$1797</f>
        <v>0</v>
      </c>
      <c r="O1797" s="46">
        <f>$L$1797-EFEITO!$O$1797*EFEITO!$AA$1797</f>
        <v>0</v>
      </c>
      <c r="P1797" s="38"/>
      <c r="Q1797" s="38"/>
      <c r="R1797" s="38"/>
      <c r="S1797" s="38"/>
      <c r="T1797" s="38"/>
      <c r="U1797" s="38"/>
      <c r="V1797" s="38"/>
      <c r="W1797" s="38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</row>
    <row r="1798" spans="1:36" ht="11.25" customHeight="1" x14ac:dyDescent="0.2">
      <c r="A1798" s="35" t="s">
        <v>21</v>
      </c>
      <c r="B1798" s="35" t="s">
        <v>39</v>
      </c>
      <c r="C1798" s="35" t="s">
        <v>35</v>
      </c>
      <c r="D1798" s="35" t="s">
        <v>48</v>
      </c>
      <c r="E1798" s="35" t="s">
        <v>25</v>
      </c>
      <c r="F1798" s="35" t="s">
        <v>25</v>
      </c>
      <c r="G1798" s="35" t="s">
        <v>25</v>
      </c>
      <c r="H1798" s="35" t="s">
        <v>38</v>
      </c>
      <c r="I1798" s="45">
        <v>44562</v>
      </c>
      <c r="J1798" s="46">
        <f>EFEITO!$J$1798*EFEITO!$Y$1798</f>
        <v>0</v>
      </c>
      <c r="K1798" s="46">
        <f ca="1">EFEITO!$L$1798*EFEITO!$Z$1798</f>
        <v>77.701555478740318</v>
      </c>
      <c r="L1798" s="46">
        <f>EFEITO!$N$1798*EFEITO!$AA$1798</f>
        <v>19.681688507354675</v>
      </c>
      <c r="M1798" s="46">
        <f>$J$1798-EFEITO!$K$1798*EFEITO!$Y$1798</f>
        <v>0</v>
      </c>
      <c r="N1798" s="46">
        <f ca="1">$K$1798-EFEITO!$M$1798*EFEITO!$Z$1798</f>
        <v>0</v>
      </c>
      <c r="O1798" s="46">
        <f>$L$1798-EFEITO!$O$1798*EFEITO!$AA$1798</f>
        <v>0</v>
      </c>
      <c r="P1798" s="38"/>
      <c r="Q1798" s="38"/>
      <c r="R1798" s="38"/>
      <c r="S1798" s="38"/>
      <c r="T1798" s="38"/>
      <c r="U1798" s="38"/>
      <c r="V1798" s="38"/>
      <c r="W1798" s="38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</row>
    <row r="1799" spans="1:36" ht="11.25" customHeight="1" x14ac:dyDescent="0.2">
      <c r="A1799" s="35" t="s">
        <v>21</v>
      </c>
      <c r="B1799" s="35" t="s">
        <v>39</v>
      </c>
      <c r="C1799" s="35" t="s">
        <v>35</v>
      </c>
      <c r="D1799" s="35" t="s">
        <v>48</v>
      </c>
      <c r="E1799" s="35" t="s">
        <v>25</v>
      </c>
      <c r="F1799" s="35" t="s">
        <v>25</v>
      </c>
      <c r="G1799" s="35" t="s">
        <v>25</v>
      </c>
      <c r="H1799" s="35" t="s">
        <v>38</v>
      </c>
      <c r="I1799" s="45">
        <v>44593</v>
      </c>
      <c r="J1799" s="46">
        <f>EFEITO!$J$1799*EFEITO!$Y$1799</f>
        <v>0</v>
      </c>
      <c r="K1799" s="46">
        <f ca="1">EFEITO!$L$1799*EFEITO!$Z$1799</f>
        <v>108.78217767023645</v>
      </c>
      <c r="L1799" s="46">
        <f>EFEITO!$N$1799*EFEITO!$AA$1799</f>
        <v>27.554363910296548</v>
      </c>
      <c r="M1799" s="46">
        <f>$J$1799-EFEITO!$K$1799*EFEITO!$Y$1799</f>
        <v>0</v>
      </c>
      <c r="N1799" s="46">
        <f ca="1">$K$1799-EFEITO!$M$1799*EFEITO!$Z$1799</f>
        <v>0</v>
      </c>
      <c r="O1799" s="46">
        <f>$L$1799-EFEITO!$O$1799*EFEITO!$AA$1799</f>
        <v>0</v>
      </c>
      <c r="P1799" s="38"/>
      <c r="Q1799" s="38"/>
      <c r="R1799" s="38"/>
      <c r="S1799" s="38"/>
      <c r="T1799" s="38"/>
      <c r="U1799" s="38"/>
      <c r="V1799" s="38"/>
      <c r="W1799" s="38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</row>
    <row r="1800" spans="1:36" ht="11.25" customHeight="1" x14ac:dyDescent="0.2">
      <c r="A1800" s="35" t="s">
        <v>21</v>
      </c>
      <c r="B1800" s="35" t="s">
        <v>39</v>
      </c>
      <c r="C1800" s="35" t="s">
        <v>35</v>
      </c>
      <c r="D1800" s="35" t="s">
        <v>48</v>
      </c>
      <c r="E1800" s="35" t="s">
        <v>25</v>
      </c>
      <c r="F1800" s="35" t="s">
        <v>25</v>
      </c>
      <c r="G1800" s="35" t="s">
        <v>25</v>
      </c>
      <c r="H1800" s="35" t="s">
        <v>38</v>
      </c>
      <c r="I1800" s="45">
        <v>44621</v>
      </c>
      <c r="J1800" s="46">
        <f>EFEITO!$J$1800*EFEITO!$Y$1800</f>
        <v>0</v>
      </c>
      <c r="K1800" s="46">
        <f ca="1">EFEITO!$L$1800*EFEITO!$Z$1800</f>
        <v>209.79419979259885</v>
      </c>
      <c r="L1800" s="46">
        <f>EFEITO!$N$1800*EFEITO!$AA$1800</f>
        <v>53.140558969857622</v>
      </c>
      <c r="M1800" s="46">
        <f>$J$1800-EFEITO!$K$1800*EFEITO!$Y$1800</f>
        <v>0</v>
      </c>
      <c r="N1800" s="46">
        <f ca="1">$K$1800-EFEITO!$M$1800*EFEITO!$Z$1800</f>
        <v>0</v>
      </c>
      <c r="O1800" s="46">
        <f>$L$1800-EFEITO!$O$1800*EFEITO!$AA$1800</f>
        <v>0</v>
      </c>
      <c r="P1800" s="38"/>
      <c r="Q1800" s="38"/>
      <c r="R1800" s="38"/>
      <c r="S1800" s="38"/>
      <c r="T1800" s="38"/>
      <c r="U1800" s="38"/>
      <c r="V1800" s="38"/>
      <c r="W1800" s="38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</row>
    <row r="1801" spans="1:36" ht="11.25" customHeight="1" x14ac:dyDescent="0.2">
      <c r="A1801" s="35" t="s">
        <v>21</v>
      </c>
      <c r="B1801" s="35" t="s">
        <v>39</v>
      </c>
      <c r="C1801" s="35" t="s">
        <v>35</v>
      </c>
      <c r="D1801" s="35" t="s">
        <v>48</v>
      </c>
      <c r="E1801" s="35" t="s">
        <v>25</v>
      </c>
      <c r="F1801" s="35" t="s">
        <v>25</v>
      </c>
      <c r="G1801" s="35" t="s">
        <v>25</v>
      </c>
      <c r="H1801" s="35" t="s">
        <v>38</v>
      </c>
      <c r="I1801" s="45">
        <v>44652</v>
      </c>
      <c r="J1801" s="46">
        <f>EFEITO!$J$1801*EFEITO!$Y$1801</f>
        <v>0</v>
      </c>
      <c r="K1801" s="46">
        <f ca="1">EFEITO!$L$1801*EFEITO!$Z$1801</f>
        <v>159.71986403963288</v>
      </c>
      <c r="L1801" s="46">
        <f>EFEITO!$N$1801*EFEITO!$AA$1801</f>
        <v>40.456804154006832</v>
      </c>
      <c r="M1801" s="46">
        <f>$J$1801-EFEITO!$K$1801*EFEITO!$Y$1801</f>
        <v>0</v>
      </c>
      <c r="N1801" s="46">
        <f ca="1">$K$1801-EFEITO!$M$1801*EFEITO!$Z$1801</f>
        <v>0</v>
      </c>
      <c r="O1801" s="46">
        <f>$L$1801-EFEITO!$O$1801*EFEITO!$AA$1801</f>
        <v>0</v>
      </c>
      <c r="P1801" s="38"/>
      <c r="Q1801" s="38"/>
      <c r="R1801" s="38"/>
      <c r="S1801" s="38"/>
      <c r="T1801" s="38"/>
      <c r="U1801" s="38"/>
      <c r="V1801" s="38"/>
      <c r="W1801" s="38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</row>
    <row r="1802" spans="1:36" ht="11.25" customHeight="1" x14ac:dyDescent="0.2">
      <c r="A1802" s="35" t="s">
        <v>27</v>
      </c>
      <c r="B1802" s="35" t="s">
        <v>39</v>
      </c>
      <c r="C1802" s="35" t="s">
        <v>35</v>
      </c>
      <c r="D1802" s="35" t="s">
        <v>48</v>
      </c>
      <c r="E1802" s="35" t="s">
        <v>25</v>
      </c>
      <c r="F1802" s="35" t="s">
        <v>25</v>
      </c>
      <c r="G1802" s="35" t="s">
        <v>25</v>
      </c>
      <c r="H1802" s="35" t="s">
        <v>38</v>
      </c>
      <c r="I1802" s="45">
        <v>44652</v>
      </c>
      <c r="J1802" s="46">
        <f>EFEITO!$J$1802*EFEITO!$Y$1802</f>
        <v>0</v>
      </c>
      <c r="K1802" s="46">
        <f ca="1">EFEITO!$L$1802*EFEITO!$Z$1802</f>
        <v>-57.844491300840019</v>
      </c>
      <c r="L1802" s="46">
        <f>EFEITO!$N$1802*EFEITO!$AA$1802</f>
        <v>-14.65192366658626</v>
      </c>
      <c r="M1802" s="46">
        <f>$J$1802-EFEITO!$K$1802*EFEITO!$Y$1802</f>
        <v>0</v>
      </c>
      <c r="N1802" s="46">
        <f ca="1">$K$1802-EFEITO!$M$1802*EFEITO!$Z$1802</f>
        <v>0</v>
      </c>
      <c r="O1802" s="46">
        <f>$L$1802-EFEITO!$O$1802*EFEITO!$AA$1802</f>
        <v>0</v>
      </c>
      <c r="P1802" s="38"/>
      <c r="Q1802" s="38"/>
      <c r="R1802" s="38"/>
      <c r="S1802" s="38"/>
      <c r="T1802" s="38"/>
      <c r="U1802" s="38"/>
      <c r="V1802" s="38"/>
      <c r="W1802" s="38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</row>
    <row r="1803" spans="1:36" ht="11.25" customHeight="1" x14ac:dyDescent="0.2">
      <c r="A1803" s="35" t="s">
        <v>21</v>
      </c>
      <c r="B1803" s="35" t="s">
        <v>39</v>
      </c>
      <c r="C1803" s="35" t="s">
        <v>35</v>
      </c>
      <c r="D1803" s="35" t="s">
        <v>48</v>
      </c>
      <c r="E1803" s="35" t="s">
        <v>25</v>
      </c>
      <c r="F1803" s="35" t="s">
        <v>25</v>
      </c>
      <c r="G1803" s="35" t="s">
        <v>25</v>
      </c>
      <c r="H1803" s="35" t="s">
        <v>38</v>
      </c>
      <c r="I1803" s="45">
        <v>44682</v>
      </c>
      <c r="J1803" s="46">
        <f>EFEITO!$J$1803*EFEITO!$Y$1803</f>
        <v>0</v>
      </c>
      <c r="K1803" s="46">
        <f ca="1">EFEITO!$L$1803*EFEITO!$Z$1803</f>
        <v>186.48373314897677</v>
      </c>
      <c r="L1803" s="46">
        <f>EFEITO!$N$1803*EFEITO!$AA$1803</f>
        <v>47.236052417651223</v>
      </c>
      <c r="M1803" s="46">
        <f>$J$1803-EFEITO!$K$1803*EFEITO!$Y$1803</f>
        <v>0</v>
      </c>
      <c r="N1803" s="46">
        <f ca="1">$K$1803-EFEITO!$M$1803*EFEITO!$Z$1803</f>
        <v>0</v>
      </c>
      <c r="O1803" s="46">
        <f>$L$1803-EFEITO!$O$1803*EFEITO!$AA$1803</f>
        <v>0</v>
      </c>
      <c r="P1803" s="38"/>
      <c r="Q1803" s="38"/>
      <c r="R1803" s="38"/>
      <c r="S1803" s="38"/>
      <c r="T1803" s="38"/>
      <c r="U1803" s="38"/>
      <c r="V1803" s="38"/>
      <c r="W1803" s="38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</row>
    <row r="1804" spans="1:36" ht="11.25" customHeight="1" x14ac:dyDescent="0.2">
      <c r="A1804" s="35" t="s">
        <v>21</v>
      </c>
      <c r="B1804" s="35" t="s">
        <v>39</v>
      </c>
      <c r="C1804" s="35" t="s">
        <v>35</v>
      </c>
      <c r="D1804" s="35" t="s">
        <v>48</v>
      </c>
      <c r="E1804" s="35" t="s">
        <v>25</v>
      </c>
      <c r="F1804" s="35" t="s">
        <v>25</v>
      </c>
      <c r="G1804" s="35" t="s">
        <v>25</v>
      </c>
      <c r="H1804" s="35" t="s">
        <v>38</v>
      </c>
      <c r="I1804" s="45">
        <v>44713</v>
      </c>
      <c r="J1804" s="46">
        <f>EFEITO!$J$1804*EFEITO!$Y$1804</f>
        <v>0</v>
      </c>
      <c r="K1804" s="46">
        <f ca="1">EFEITO!$L$1804*EFEITO!$Z$1804</f>
        <v>170.94342205322872</v>
      </c>
      <c r="L1804" s="46">
        <f>EFEITO!$N$1804*EFEITO!$AA$1804</f>
        <v>43.29971471618029</v>
      </c>
      <c r="M1804" s="46">
        <f>$J$1804-EFEITO!$K$1804*EFEITO!$Y$1804</f>
        <v>0</v>
      </c>
      <c r="N1804" s="46">
        <f ca="1">$K$1804-EFEITO!$M$1804*EFEITO!$Z$1804</f>
        <v>0</v>
      </c>
      <c r="O1804" s="46">
        <f>$L$1804-EFEITO!$O$1804*EFEITO!$AA$1804</f>
        <v>0</v>
      </c>
      <c r="P1804" s="38"/>
      <c r="Q1804" s="38"/>
      <c r="R1804" s="38"/>
      <c r="S1804" s="38"/>
      <c r="T1804" s="38"/>
      <c r="U1804" s="38"/>
      <c r="V1804" s="38"/>
      <c r="W1804" s="38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</row>
    <row r="1805" spans="1:36" ht="11.25" customHeight="1" x14ac:dyDescent="0.2">
      <c r="A1805" s="35" t="s">
        <v>28</v>
      </c>
      <c r="B1805" s="35" t="s">
        <v>39</v>
      </c>
      <c r="C1805" s="35" t="s">
        <v>35</v>
      </c>
      <c r="D1805" s="35" t="s">
        <v>48</v>
      </c>
      <c r="E1805" s="35" t="s">
        <v>25</v>
      </c>
      <c r="F1805" s="35" t="s">
        <v>25</v>
      </c>
      <c r="G1805" s="35" t="s">
        <v>25</v>
      </c>
      <c r="H1805" s="35" t="s">
        <v>38</v>
      </c>
      <c r="I1805" s="45">
        <v>44713</v>
      </c>
      <c r="J1805" s="46">
        <f>EFEITO!$J$1805*EFEITO!$Y$1805</f>
        <v>0</v>
      </c>
      <c r="K1805" s="46">
        <f ca="1">EFEITO!$L$1805*EFEITO!$Z$1805</f>
        <v>3.4534024657217919</v>
      </c>
      <c r="L1805" s="46">
        <f>EFEITO!$N$1805*EFEITO!$AA$1805</f>
        <v>0.87474171143798563</v>
      </c>
      <c r="M1805" s="46">
        <f>$J$1805-EFEITO!$K$1805*EFEITO!$Y$1805</f>
        <v>0</v>
      </c>
      <c r="N1805" s="46">
        <f ca="1">$K$1805-EFEITO!$M$1805*EFEITO!$Z$1805</f>
        <v>0</v>
      </c>
      <c r="O1805" s="46">
        <f>$L$1805-EFEITO!$O$1805*EFEITO!$AA$1805</f>
        <v>0</v>
      </c>
      <c r="P1805" s="38"/>
      <c r="Q1805" s="38"/>
      <c r="R1805" s="38"/>
      <c r="S1805" s="38"/>
      <c r="T1805" s="38"/>
      <c r="U1805" s="38"/>
      <c r="V1805" s="38"/>
      <c r="W1805" s="38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</row>
    <row r="1806" spans="1:36" ht="11.25" customHeight="1" x14ac:dyDescent="0.2">
      <c r="A1806" s="35" t="s">
        <v>21</v>
      </c>
      <c r="B1806" s="35" t="s">
        <v>39</v>
      </c>
      <c r="C1806" s="35" t="s">
        <v>35</v>
      </c>
      <c r="D1806" s="35" t="s">
        <v>48</v>
      </c>
      <c r="E1806" s="35" t="s">
        <v>25</v>
      </c>
      <c r="F1806" s="35" t="s">
        <v>25</v>
      </c>
      <c r="G1806" s="35" t="s">
        <v>25</v>
      </c>
      <c r="H1806" s="35" t="s">
        <v>38</v>
      </c>
      <c r="I1806" s="45">
        <v>44743</v>
      </c>
      <c r="J1806" s="46">
        <f>EFEITO!$J$1806*EFEITO!$Y$1806</f>
        <v>0</v>
      </c>
      <c r="K1806" s="46">
        <f ca="1">EFEITO!$L$1806*EFEITO!$Z$1806</f>
        <v>280.58895033989563</v>
      </c>
      <c r="L1806" s="46">
        <f>EFEITO!$N$1806*EFEITO!$AA$1806</f>
        <v>71.072764054336332</v>
      </c>
      <c r="M1806" s="46">
        <f>$J$1806-EFEITO!$K$1806*EFEITO!$Y$1806</f>
        <v>0</v>
      </c>
      <c r="N1806" s="46">
        <f ca="1">$K$1806-EFEITO!$M$1806*EFEITO!$Z$1806</f>
        <v>0</v>
      </c>
      <c r="O1806" s="46">
        <f>$L$1806-EFEITO!$O$1806*EFEITO!$AA$1806</f>
        <v>0</v>
      </c>
      <c r="P1806" s="38"/>
      <c r="Q1806" s="38"/>
      <c r="R1806" s="38"/>
      <c r="S1806" s="38"/>
      <c r="T1806" s="38"/>
      <c r="U1806" s="38"/>
      <c r="V1806" s="38"/>
      <c r="W1806" s="38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</row>
    <row r="1807" spans="1:36" ht="11.25" customHeight="1" x14ac:dyDescent="0.2">
      <c r="A1807" s="35" t="s">
        <v>28</v>
      </c>
      <c r="B1807" s="35" t="s">
        <v>39</v>
      </c>
      <c r="C1807" s="35" t="s">
        <v>35</v>
      </c>
      <c r="D1807" s="35" t="s">
        <v>48</v>
      </c>
      <c r="E1807" s="35" t="s">
        <v>25</v>
      </c>
      <c r="F1807" s="35" t="s">
        <v>25</v>
      </c>
      <c r="G1807" s="35" t="s">
        <v>25</v>
      </c>
      <c r="H1807" s="35" t="s">
        <v>38</v>
      </c>
      <c r="I1807" s="45">
        <v>44743</v>
      </c>
      <c r="J1807" s="46">
        <f>EFEITO!$J$1807*EFEITO!$Y$1807</f>
        <v>0</v>
      </c>
      <c r="K1807" s="46">
        <f ca="1">EFEITO!$L$1807*EFEITO!$Z$1807</f>
        <v>5.1801036985826876</v>
      </c>
      <c r="L1807" s="46">
        <f>EFEITO!$N$1807*EFEITO!$AA$1807</f>
        <v>1.3121125671569784</v>
      </c>
      <c r="M1807" s="46">
        <f>$J$1807-EFEITO!$K$1807*EFEITO!$Y$1807</f>
        <v>0</v>
      </c>
      <c r="N1807" s="46">
        <f ca="1">$K$1807-EFEITO!$M$1807*EFEITO!$Z$1807</f>
        <v>0</v>
      </c>
      <c r="O1807" s="46">
        <f>$L$1807-EFEITO!$O$1807*EFEITO!$AA$1807</f>
        <v>0</v>
      </c>
      <c r="P1807" s="38"/>
      <c r="Q1807" s="38"/>
      <c r="R1807" s="38"/>
      <c r="S1807" s="38"/>
      <c r="T1807" s="38"/>
      <c r="U1807" s="38"/>
      <c r="V1807" s="38"/>
      <c r="W1807" s="38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</row>
    <row r="1808" spans="1:36" ht="11.25" customHeight="1" x14ac:dyDescent="0.2">
      <c r="A1808" s="35" t="s">
        <v>21</v>
      </c>
      <c r="B1808" s="35" t="s">
        <v>39</v>
      </c>
      <c r="C1808" s="35" t="s">
        <v>35</v>
      </c>
      <c r="D1808" s="35" t="s">
        <v>48</v>
      </c>
      <c r="E1808" s="35" t="s">
        <v>25</v>
      </c>
      <c r="F1808" s="35" t="s">
        <v>25</v>
      </c>
      <c r="G1808" s="35" t="s">
        <v>25</v>
      </c>
      <c r="H1808" s="35" t="s">
        <v>38</v>
      </c>
      <c r="I1808" s="45">
        <v>44774</v>
      </c>
      <c r="J1808" s="46">
        <f>EFEITO!$J$1808*EFEITO!$Y$1808</f>
        <v>0</v>
      </c>
      <c r="K1808" s="46">
        <f ca="1">EFEITO!$L$1808*EFEITO!$Z$1808</f>
        <v>2250.7550570341782</v>
      </c>
      <c r="L1808" s="46">
        <f>EFEITO!$N$1808*EFEITO!$AA$1808</f>
        <v>570.1129104297072</v>
      </c>
      <c r="M1808" s="46">
        <f>$J$1808-EFEITO!$K$1808*EFEITO!$Y$1808</f>
        <v>0</v>
      </c>
      <c r="N1808" s="46">
        <f ca="1">$K$1808-EFEITO!$M$1808*EFEITO!$Z$1808</f>
        <v>0</v>
      </c>
      <c r="O1808" s="46">
        <f>$L$1808-EFEITO!$O$1808*EFEITO!$AA$1808</f>
        <v>0</v>
      </c>
      <c r="P1808" s="38"/>
      <c r="Q1808" s="38"/>
      <c r="R1808" s="38"/>
      <c r="S1808" s="38"/>
      <c r="T1808" s="38"/>
      <c r="U1808" s="38"/>
      <c r="V1808" s="38"/>
      <c r="W1808" s="38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</row>
    <row r="1809" spans="1:36" ht="11.25" customHeight="1" x14ac:dyDescent="0.2">
      <c r="A1809" s="35" t="s">
        <v>27</v>
      </c>
      <c r="B1809" s="35" t="s">
        <v>39</v>
      </c>
      <c r="C1809" s="35" t="s">
        <v>35</v>
      </c>
      <c r="D1809" s="35" t="s">
        <v>48</v>
      </c>
      <c r="E1809" s="35" t="s">
        <v>25</v>
      </c>
      <c r="F1809" s="35" t="s">
        <v>25</v>
      </c>
      <c r="G1809" s="35" t="s">
        <v>25</v>
      </c>
      <c r="H1809" s="35" t="s">
        <v>38</v>
      </c>
      <c r="I1809" s="45">
        <v>44774</v>
      </c>
      <c r="J1809" s="46">
        <f>EFEITO!$J$1809*EFEITO!$Y$1809</f>
        <v>0</v>
      </c>
      <c r="K1809" s="46">
        <f ca="1">EFEITO!$L$1809*EFEITO!$Z$1809</f>
        <v>7.7701555478740314</v>
      </c>
      <c r="L1809" s="46">
        <f>EFEITO!$N$1809*EFEITO!$AA$1809</f>
        <v>1.9681688507354675</v>
      </c>
      <c r="M1809" s="46">
        <f>$J$1809-EFEITO!$K$1809*EFEITO!$Y$1809</f>
        <v>0</v>
      </c>
      <c r="N1809" s="46">
        <f ca="1">$K$1809-EFEITO!$M$1809*EFEITO!$Z$1809</f>
        <v>0</v>
      </c>
      <c r="O1809" s="46">
        <f>$L$1809-EFEITO!$O$1809*EFEITO!$AA$1809</f>
        <v>0</v>
      </c>
      <c r="P1809" s="38"/>
      <c r="Q1809" s="38"/>
      <c r="R1809" s="38"/>
      <c r="S1809" s="38"/>
      <c r="T1809" s="38"/>
      <c r="U1809" s="38"/>
      <c r="V1809" s="38"/>
      <c r="W1809" s="38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</row>
    <row r="1810" spans="1:36" ht="11.25" customHeight="1" x14ac:dyDescent="0.2">
      <c r="A1810" s="35" t="s">
        <v>28</v>
      </c>
      <c r="B1810" s="35" t="s">
        <v>39</v>
      </c>
      <c r="C1810" s="35" t="s">
        <v>35</v>
      </c>
      <c r="D1810" s="35" t="s">
        <v>48</v>
      </c>
      <c r="E1810" s="35" t="s">
        <v>25</v>
      </c>
      <c r="F1810" s="35" t="s">
        <v>25</v>
      </c>
      <c r="G1810" s="35" t="s">
        <v>25</v>
      </c>
      <c r="H1810" s="35" t="s">
        <v>38</v>
      </c>
      <c r="I1810" s="45">
        <v>44774</v>
      </c>
      <c r="J1810" s="46">
        <f>EFEITO!$J$1810*EFEITO!$Y$1810</f>
        <v>0</v>
      </c>
      <c r="K1810" s="46">
        <f ca="1">EFEITO!$L$1810*EFEITO!$Z$1810</f>
        <v>4.31675308215224</v>
      </c>
      <c r="L1810" s="46">
        <f>EFEITO!$N$1810*EFEITO!$AA$1810</f>
        <v>1.0934271392974819</v>
      </c>
      <c r="M1810" s="46">
        <f>$J$1810-EFEITO!$K$1810*EFEITO!$Y$1810</f>
        <v>0</v>
      </c>
      <c r="N1810" s="46">
        <f ca="1">$K$1810-EFEITO!$M$1810*EFEITO!$Z$1810</f>
        <v>0</v>
      </c>
      <c r="O1810" s="46">
        <f>$L$1810-EFEITO!$O$1810*EFEITO!$AA$1810</f>
        <v>0</v>
      </c>
      <c r="P1810" s="38"/>
      <c r="Q1810" s="38"/>
      <c r="R1810" s="38"/>
      <c r="S1810" s="38"/>
      <c r="T1810" s="38"/>
      <c r="U1810" s="38"/>
      <c r="V1810" s="38"/>
      <c r="W1810" s="38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</row>
    <row r="1811" spans="1:36" ht="11.25" customHeight="1" x14ac:dyDescent="0.2">
      <c r="A1811" s="35" t="s">
        <v>21</v>
      </c>
      <c r="B1811" s="35" t="s">
        <v>39</v>
      </c>
      <c r="C1811" s="35" t="s">
        <v>35</v>
      </c>
      <c r="D1811" s="35" t="s">
        <v>48</v>
      </c>
      <c r="E1811" s="35" t="s">
        <v>25</v>
      </c>
      <c r="F1811" s="35" t="s">
        <v>25</v>
      </c>
      <c r="G1811" s="35" t="s">
        <v>25</v>
      </c>
      <c r="H1811" s="35" t="s">
        <v>38</v>
      </c>
      <c r="I1811" s="45">
        <v>44805</v>
      </c>
      <c r="J1811" s="46">
        <f>EFEITO!$J$1811*EFEITO!$Y$1811</f>
        <v>0</v>
      </c>
      <c r="K1811" s="46">
        <f ca="1">EFEITO!$L$1811*EFEITO!$Z$1811</f>
        <v>379.01092061296669</v>
      </c>
      <c r="L1811" s="46">
        <f>EFEITO!$N$1811*EFEITO!$AA$1811</f>
        <v>96.002902830318916</v>
      </c>
      <c r="M1811" s="46">
        <f>$J$1811-EFEITO!$K$1811*EFEITO!$Y$1811</f>
        <v>0</v>
      </c>
      <c r="N1811" s="46">
        <f ca="1">$K$1811-EFEITO!$M$1811*EFEITO!$Z$1811</f>
        <v>0</v>
      </c>
      <c r="O1811" s="46">
        <f>$L$1811-EFEITO!$O$1811*EFEITO!$AA$1811</f>
        <v>0</v>
      </c>
      <c r="P1811" s="38"/>
      <c r="Q1811" s="38"/>
      <c r="R1811" s="38"/>
      <c r="S1811" s="38"/>
      <c r="T1811" s="38"/>
      <c r="U1811" s="38"/>
      <c r="V1811" s="38"/>
      <c r="W1811" s="38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</row>
    <row r="1812" spans="1:36" ht="11.25" customHeight="1" x14ac:dyDescent="0.2">
      <c r="A1812" s="35" t="s">
        <v>28</v>
      </c>
      <c r="B1812" s="35" t="s">
        <v>39</v>
      </c>
      <c r="C1812" s="35" t="s">
        <v>35</v>
      </c>
      <c r="D1812" s="35" t="s">
        <v>48</v>
      </c>
      <c r="E1812" s="35" t="s">
        <v>25</v>
      </c>
      <c r="F1812" s="35" t="s">
        <v>25</v>
      </c>
      <c r="G1812" s="35" t="s">
        <v>25</v>
      </c>
      <c r="H1812" s="35" t="s">
        <v>38</v>
      </c>
      <c r="I1812" s="45">
        <v>44805</v>
      </c>
      <c r="J1812" s="46">
        <f>EFEITO!$J$1812*EFEITO!$Y$1812</f>
        <v>0</v>
      </c>
      <c r="K1812" s="46">
        <f ca="1">EFEITO!$L$1812*EFEITO!$Z$1812</f>
        <v>5.1801036985826876</v>
      </c>
      <c r="L1812" s="46">
        <f>EFEITO!$N$1812*EFEITO!$AA$1812</f>
        <v>1.3121125671569784</v>
      </c>
      <c r="M1812" s="46">
        <f>$J$1812-EFEITO!$K$1812*EFEITO!$Y$1812</f>
        <v>0</v>
      </c>
      <c r="N1812" s="46">
        <f ca="1">$K$1812-EFEITO!$M$1812*EFEITO!$Z$1812</f>
        <v>0</v>
      </c>
      <c r="O1812" s="46">
        <f>$L$1812-EFEITO!$O$1812*EFEITO!$AA$1812</f>
        <v>0</v>
      </c>
      <c r="P1812" s="38"/>
      <c r="Q1812" s="38"/>
      <c r="R1812" s="38"/>
      <c r="S1812" s="38"/>
      <c r="T1812" s="38"/>
      <c r="U1812" s="38"/>
      <c r="V1812" s="38"/>
      <c r="W1812" s="38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</row>
    <row r="1813" spans="1:36" ht="11.25" customHeight="1" x14ac:dyDescent="0.2">
      <c r="A1813" s="35" t="s">
        <v>21</v>
      </c>
      <c r="B1813" s="35" t="s">
        <v>39</v>
      </c>
      <c r="C1813" s="35" t="s">
        <v>35</v>
      </c>
      <c r="D1813" s="35" t="s">
        <v>48</v>
      </c>
      <c r="E1813" s="35" t="s">
        <v>25</v>
      </c>
      <c r="F1813" s="35" t="s">
        <v>25</v>
      </c>
      <c r="G1813" s="35" t="s">
        <v>25</v>
      </c>
      <c r="H1813" s="35" t="s">
        <v>38</v>
      </c>
      <c r="I1813" s="45">
        <v>44835</v>
      </c>
      <c r="J1813" s="46">
        <f>EFEITO!$J$1813*EFEITO!$Y$1813</f>
        <v>0</v>
      </c>
      <c r="K1813" s="46">
        <f ca="1">EFEITO!$L$1813*EFEITO!$Z$1813</f>
        <v>480.88629335175955</v>
      </c>
      <c r="L1813" s="46">
        <f>EFEITO!$N$1813*EFEITO!$AA$1813</f>
        <v>121.80778331773951</v>
      </c>
      <c r="M1813" s="46">
        <f>$J$1813-EFEITO!$K$1813*EFEITO!$Y$1813</f>
        <v>0</v>
      </c>
      <c r="N1813" s="46">
        <f ca="1">$K$1813-EFEITO!$M$1813*EFEITO!$Z$1813</f>
        <v>0</v>
      </c>
      <c r="O1813" s="46">
        <f>$L$1813-EFEITO!$O$1813*EFEITO!$AA$1813</f>
        <v>0</v>
      </c>
      <c r="P1813" s="38"/>
      <c r="Q1813" s="38"/>
      <c r="R1813" s="38"/>
      <c r="S1813" s="38"/>
      <c r="T1813" s="38"/>
      <c r="U1813" s="38"/>
      <c r="V1813" s="38"/>
      <c r="W1813" s="38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</row>
    <row r="1814" spans="1:36" ht="11.25" customHeight="1" x14ac:dyDescent="0.2">
      <c r="A1814" s="35" t="s">
        <v>28</v>
      </c>
      <c r="B1814" s="35" t="s">
        <v>39</v>
      </c>
      <c r="C1814" s="35" t="s">
        <v>35</v>
      </c>
      <c r="D1814" s="35" t="s">
        <v>48</v>
      </c>
      <c r="E1814" s="35" t="s">
        <v>25</v>
      </c>
      <c r="F1814" s="35" t="s">
        <v>25</v>
      </c>
      <c r="G1814" s="35" t="s">
        <v>25</v>
      </c>
      <c r="H1814" s="35" t="s">
        <v>38</v>
      </c>
      <c r="I1814" s="45">
        <v>44835</v>
      </c>
      <c r="J1814" s="46">
        <f>EFEITO!$J$1814*EFEITO!$Y$1814</f>
        <v>0</v>
      </c>
      <c r="K1814" s="46">
        <f ca="1">EFEITO!$L$1814*EFEITO!$Z$1814</f>
        <v>11.223558013595824</v>
      </c>
      <c r="L1814" s="46">
        <f>EFEITO!$N$1814*EFEITO!$AA$1814</f>
        <v>2.8429105621734529</v>
      </c>
      <c r="M1814" s="46">
        <f>$J$1814-EFEITO!$K$1814*EFEITO!$Y$1814</f>
        <v>0</v>
      </c>
      <c r="N1814" s="46">
        <f ca="1">$K$1814-EFEITO!$M$1814*EFEITO!$Z$1814</f>
        <v>0</v>
      </c>
      <c r="O1814" s="46">
        <f>$L$1814-EFEITO!$O$1814*EFEITO!$AA$1814</f>
        <v>0</v>
      </c>
      <c r="P1814" s="38"/>
      <c r="Q1814" s="38"/>
      <c r="R1814" s="38"/>
      <c r="S1814" s="38"/>
      <c r="T1814" s="38"/>
      <c r="U1814" s="38"/>
      <c r="V1814" s="38"/>
      <c r="W1814" s="38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</row>
    <row r="1815" spans="1:36" ht="11.25" customHeight="1" x14ac:dyDescent="0.2">
      <c r="A1815" s="35" t="s">
        <v>59</v>
      </c>
      <c r="B1815" s="35" t="s">
        <v>39</v>
      </c>
      <c r="C1815" s="35" t="s">
        <v>35</v>
      </c>
      <c r="D1815" s="35" t="s">
        <v>48</v>
      </c>
      <c r="E1815" s="35" t="s">
        <v>25</v>
      </c>
      <c r="F1815" s="35" t="s">
        <v>25</v>
      </c>
      <c r="G1815" s="35" t="s">
        <v>25</v>
      </c>
      <c r="H1815" s="35" t="s">
        <v>38</v>
      </c>
      <c r="I1815" s="45">
        <v>44866</v>
      </c>
      <c r="J1815" s="46">
        <f>EFEITO!$J$1815*EFEITO!$Y$1815</f>
        <v>0</v>
      </c>
      <c r="K1815" s="46">
        <f ca="1">EFEITO!$L$1815*EFEITO!$Z$1815</f>
        <v>480.88629335175955</v>
      </c>
      <c r="L1815" s="46">
        <f>EFEITO!$N$1815*EFEITO!$AA$1815</f>
        <v>121.80778331773951</v>
      </c>
      <c r="M1815" s="46">
        <f>$J$1815-EFEITO!$K$1815*EFEITO!$Y$1815</f>
        <v>0</v>
      </c>
      <c r="N1815" s="46">
        <f ca="1">$K$1815-EFEITO!$M$1815*EFEITO!$Z$1815</f>
        <v>0</v>
      </c>
      <c r="O1815" s="46">
        <f>$L$1815-EFEITO!$O$1815*EFEITO!$AA$1815</f>
        <v>0</v>
      </c>
      <c r="P1815" s="38"/>
      <c r="Q1815" s="38"/>
      <c r="R1815" s="38"/>
      <c r="S1815" s="38"/>
      <c r="T1815" s="38"/>
      <c r="U1815" s="38"/>
      <c r="V1815" s="38"/>
      <c r="W1815" s="38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</row>
    <row r="1816" spans="1:36" ht="11.25" customHeight="1" x14ac:dyDescent="0.2">
      <c r="A1816" s="35" t="s">
        <v>59</v>
      </c>
      <c r="B1816" s="35" t="s">
        <v>39</v>
      </c>
      <c r="C1816" s="35" t="s">
        <v>35</v>
      </c>
      <c r="D1816" s="35" t="s">
        <v>48</v>
      </c>
      <c r="E1816" s="35" t="s">
        <v>25</v>
      </c>
      <c r="F1816" s="35" t="s">
        <v>25</v>
      </c>
      <c r="G1816" s="35" t="s">
        <v>25</v>
      </c>
      <c r="H1816" s="35" t="s">
        <v>38</v>
      </c>
      <c r="I1816" s="45">
        <v>44866</v>
      </c>
      <c r="J1816" s="46">
        <f>EFEITO!$J$1816*EFEITO!$Y$1816</f>
        <v>0</v>
      </c>
      <c r="K1816" s="46">
        <f ca="1">EFEITO!$L$1816*EFEITO!$Z$1816</f>
        <v>11.223558013595824</v>
      </c>
      <c r="L1816" s="46">
        <f>EFEITO!$N$1816*EFEITO!$AA$1816</f>
        <v>2.8429105621734529</v>
      </c>
      <c r="M1816" s="46">
        <f>$J$1816-EFEITO!$K$1816*EFEITO!$Y$1816</f>
        <v>0</v>
      </c>
      <c r="N1816" s="46">
        <f ca="1">$K$1816-EFEITO!$M$1816*EFEITO!$Z$1816</f>
        <v>0</v>
      </c>
      <c r="O1816" s="46">
        <f>$L$1816-EFEITO!$O$1816*EFEITO!$AA$1816</f>
        <v>0</v>
      </c>
      <c r="P1816" s="38"/>
      <c r="Q1816" s="38"/>
      <c r="R1816" s="38"/>
      <c r="S1816" s="38"/>
      <c r="T1816" s="38"/>
      <c r="U1816" s="38"/>
      <c r="V1816" s="38"/>
      <c r="W1816" s="38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</row>
    <row r="1817" spans="1:36" ht="11.25" customHeight="1" x14ac:dyDescent="0.2">
      <c r="A1817" s="35" t="s">
        <v>21</v>
      </c>
      <c r="B1817" s="35" t="s">
        <v>39</v>
      </c>
      <c r="C1817" s="35" t="s">
        <v>35</v>
      </c>
      <c r="D1817" s="35" t="s">
        <v>48</v>
      </c>
      <c r="E1817" s="35" t="s">
        <v>25</v>
      </c>
      <c r="F1817" s="35" t="s">
        <v>25</v>
      </c>
      <c r="G1817" s="35" t="s">
        <v>25</v>
      </c>
      <c r="H1817" s="35" t="s">
        <v>36</v>
      </c>
      <c r="I1817" s="45">
        <v>44531</v>
      </c>
      <c r="J1817" s="46">
        <f>EFEITO!$J$1817*EFEITO!$Y$1817</f>
        <v>0</v>
      </c>
      <c r="K1817" s="46">
        <f ca="1">EFEITO!$L$1817*EFEITO!$Z$1817</f>
        <v>690.5046106686649</v>
      </c>
      <c r="L1817" s="46">
        <f>EFEITO!$N$1817*EFEITO!$AA$1817</f>
        <v>187.48694119242356</v>
      </c>
      <c r="M1817" s="46">
        <f>$J$1817-EFEITO!$K$1817*EFEITO!$Y$1817</f>
        <v>0</v>
      </c>
      <c r="N1817" s="46">
        <f ca="1">$K$1817-EFEITO!$M$1817*EFEITO!$Z$1817</f>
        <v>0</v>
      </c>
      <c r="O1817" s="46">
        <f>$L$1817-EFEITO!$O$1817*EFEITO!$AA$1817</f>
        <v>0</v>
      </c>
      <c r="P1817" s="38"/>
      <c r="Q1817" s="38"/>
      <c r="R1817" s="38"/>
      <c r="S1817" s="38"/>
      <c r="T1817" s="38"/>
      <c r="U1817" s="38"/>
      <c r="V1817" s="38"/>
      <c r="W1817" s="38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</row>
    <row r="1818" spans="1:36" ht="11.25" customHeight="1" x14ac:dyDescent="0.2">
      <c r="A1818" s="35" t="s">
        <v>27</v>
      </c>
      <c r="B1818" s="35" t="s">
        <v>39</v>
      </c>
      <c r="C1818" s="35" t="s">
        <v>35</v>
      </c>
      <c r="D1818" s="35" t="s">
        <v>48</v>
      </c>
      <c r="E1818" s="35" t="s">
        <v>25</v>
      </c>
      <c r="F1818" s="35" t="s">
        <v>25</v>
      </c>
      <c r="G1818" s="35" t="s">
        <v>25</v>
      </c>
      <c r="H1818" s="35" t="s">
        <v>36</v>
      </c>
      <c r="I1818" s="45">
        <v>44531</v>
      </c>
      <c r="J1818" s="46">
        <f>EFEITO!$J$1818*EFEITO!$Y$1818</f>
        <v>0</v>
      </c>
      <c r="K1818" s="46">
        <f ca="1">EFEITO!$L$1818*EFEITO!$Z$1818</f>
        <v>62.773146424424077</v>
      </c>
      <c r="L1818" s="46">
        <f>EFEITO!$N$1818*EFEITO!$AA$1818</f>
        <v>17.044267381129416</v>
      </c>
      <c r="M1818" s="46">
        <f>$J$1818-EFEITO!$K$1818*EFEITO!$Y$1818</f>
        <v>0</v>
      </c>
      <c r="N1818" s="46">
        <f ca="1">$K$1818-EFEITO!$M$1818*EFEITO!$Z$1818</f>
        <v>0</v>
      </c>
      <c r="O1818" s="46">
        <f>$L$1818-EFEITO!$O$1818*EFEITO!$AA$1818</f>
        <v>0</v>
      </c>
      <c r="P1818" s="38"/>
      <c r="Q1818" s="38"/>
      <c r="R1818" s="38"/>
      <c r="S1818" s="38"/>
      <c r="T1818" s="38"/>
      <c r="U1818" s="38"/>
      <c r="V1818" s="38"/>
      <c r="W1818" s="38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</row>
    <row r="1819" spans="1:36" ht="11.25" customHeight="1" x14ac:dyDescent="0.2">
      <c r="A1819" s="35" t="s">
        <v>21</v>
      </c>
      <c r="B1819" s="35" t="s">
        <v>39</v>
      </c>
      <c r="C1819" s="35" t="s">
        <v>35</v>
      </c>
      <c r="D1819" s="35" t="s">
        <v>48</v>
      </c>
      <c r="E1819" s="35" t="s">
        <v>25</v>
      </c>
      <c r="F1819" s="35" t="s">
        <v>25</v>
      </c>
      <c r="G1819" s="35" t="s">
        <v>25</v>
      </c>
      <c r="H1819" s="35" t="s">
        <v>36</v>
      </c>
      <c r="I1819" s="45">
        <v>44562</v>
      </c>
      <c r="J1819" s="46">
        <f>EFEITO!$J$1819*EFEITO!$Y$1819</f>
        <v>0</v>
      </c>
      <c r="K1819" s="46">
        <f ca="1">EFEITO!$L$1819*EFEITO!$Z$1819</f>
        <v>271.12656859910828</v>
      </c>
      <c r="L1819" s="46">
        <f>EFEITO!$N$1819*EFEITO!$AA$1819</f>
        <v>73.616729327005771</v>
      </c>
      <c r="M1819" s="46">
        <f>$J$1819-EFEITO!$K$1819*EFEITO!$Y$1819</f>
        <v>0</v>
      </c>
      <c r="N1819" s="46">
        <f ca="1">$K$1819-EFEITO!$M$1819*EFEITO!$Z$1819</f>
        <v>0</v>
      </c>
      <c r="O1819" s="46">
        <f>$L$1819-EFEITO!$O$1819*EFEITO!$AA$1819</f>
        <v>0</v>
      </c>
      <c r="P1819" s="38"/>
      <c r="Q1819" s="38"/>
      <c r="R1819" s="38"/>
      <c r="S1819" s="38"/>
      <c r="T1819" s="38"/>
      <c r="U1819" s="38"/>
      <c r="V1819" s="38"/>
      <c r="W1819" s="38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</row>
    <row r="1820" spans="1:36" ht="11.25" customHeight="1" x14ac:dyDescent="0.2">
      <c r="A1820" s="35" t="s">
        <v>21</v>
      </c>
      <c r="B1820" s="35" t="s">
        <v>39</v>
      </c>
      <c r="C1820" s="35" t="s">
        <v>35</v>
      </c>
      <c r="D1820" s="35" t="s">
        <v>48</v>
      </c>
      <c r="E1820" s="35" t="s">
        <v>25</v>
      </c>
      <c r="F1820" s="35" t="s">
        <v>25</v>
      </c>
      <c r="G1820" s="35" t="s">
        <v>25</v>
      </c>
      <c r="H1820" s="35" t="s">
        <v>36</v>
      </c>
      <c r="I1820" s="45">
        <v>44593</v>
      </c>
      <c r="J1820" s="46">
        <f>EFEITO!$J$1820*EFEITO!$Y$1820</f>
        <v>0</v>
      </c>
      <c r="K1820" s="46">
        <f ca="1">EFEITO!$L$1820*EFEITO!$Z$1820</f>
        <v>480.81558963388653</v>
      </c>
      <c r="L1820" s="46">
        <f>EFEITO!$N$1820*EFEITO!$AA$1820</f>
        <v>130.55183525971466</v>
      </c>
      <c r="M1820" s="46">
        <f>$J$1820-EFEITO!$K$1820*EFEITO!$Y$1820</f>
        <v>0</v>
      </c>
      <c r="N1820" s="46">
        <f ca="1">$K$1820-EFEITO!$M$1820*EFEITO!$Z$1820</f>
        <v>0</v>
      </c>
      <c r="O1820" s="46">
        <f>$L$1820-EFEITO!$O$1820*EFEITO!$AA$1820</f>
        <v>0</v>
      </c>
      <c r="P1820" s="38"/>
      <c r="Q1820" s="38"/>
      <c r="R1820" s="38"/>
      <c r="S1820" s="38"/>
      <c r="T1820" s="38"/>
      <c r="U1820" s="38"/>
      <c r="V1820" s="38"/>
      <c r="W1820" s="38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</row>
    <row r="1821" spans="1:36" ht="11.25" customHeight="1" x14ac:dyDescent="0.2">
      <c r="A1821" s="35" t="s">
        <v>21</v>
      </c>
      <c r="B1821" s="35" t="s">
        <v>39</v>
      </c>
      <c r="C1821" s="35" t="s">
        <v>35</v>
      </c>
      <c r="D1821" s="35" t="s">
        <v>48</v>
      </c>
      <c r="E1821" s="35" t="s">
        <v>25</v>
      </c>
      <c r="F1821" s="35" t="s">
        <v>25</v>
      </c>
      <c r="G1821" s="35" t="s">
        <v>25</v>
      </c>
      <c r="H1821" s="35" t="s">
        <v>36</v>
      </c>
      <c r="I1821" s="45">
        <v>44621</v>
      </c>
      <c r="J1821" s="46">
        <f>EFEITO!$J$1821*EFEITO!$Y$1821</f>
        <v>0</v>
      </c>
      <c r="K1821" s="46">
        <f ca="1">EFEITO!$L$1821*EFEITO!$Z$1821</f>
        <v>332.5641161634382</v>
      </c>
      <c r="L1821" s="46">
        <f>EFEITO!$N$1821*EFEITO!$AA$1821</f>
        <v>90.298352721302649</v>
      </c>
      <c r="M1821" s="46">
        <f>$J$1821-EFEITO!$K$1821*EFEITO!$Y$1821</f>
        <v>0</v>
      </c>
      <c r="N1821" s="46">
        <f ca="1">$K$1821-EFEITO!$M$1821*EFEITO!$Z$1821</f>
        <v>0</v>
      </c>
      <c r="O1821" s="46">
        <f>$L$1821-EFEITO!$O$1821*EFEITO!$AA$1821</f>
        <v>0</v>
      </c>
      <c r="P1821" s="38"/>
      <c r="Q1821" s="38"/>
      <c r="R1821" s="38"/>
      <c r="S1821" s="38"/>
      <c r="T1821" s="38"/>
      <c r="U1821" s="38"/>
      <c r="V1821" s="38"/>
      <c r="W1821" s="38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</row>
    <row r="1822" spans="1:36" ht="11.25" customHeight="1" x14ac:dyDescent="0.2">
      <c r="A1822" s="35" t="s">
        <v>21</v>
      </c>
      <c r="B1822" s="35" t="s">
        <v>39</v>
      </c>
      <c r="C1822" s="35" t="s">
        <v>35</v>
      </c>
      <c r="D1822" s="35" t="s">
        <v>48</v>
      </c>
      <c r="E1822" s="35" t="s">
        <v>25</v>
      </c>
      <c r="F1822" s="35" t="s">
        <v>25</v>
      </c>
      <c r="G1822" s="35" t="s">
        <v>25</v>
      </c>
      <c r="H1822" s="35" t="s">
        <v>36</v>
      </c>
      <c r="I1822" s="45">
        <v>44652</v>
      </c>
      <c r="J1822" s="46">
        <f>EFEITO!$J$1822*EFEITO!$Y$1822</f>
        <v>0</v>
      </c>
      <c r="K1822" s="46">
        <f ca="1">EFEITO!$L$1822*EFEITO!$Z$1822</f>
        <v>434.06962953059207</v>
      </c>
      <c r="L1822" s="46">
        <f>EFEITO!$N$1822*EFEITO!$AA$1822</f>
        <v>117.85929572057574</v>
      </c>
      <c r="M1822" s="46">
        <f>$J$1822-EFEITO!$K$1822*EFEITO!$Y$1822</f>
        <v>0</v>
      </c>
      <c r="N1822" s="46">
        <f ca="1">$K$1822-EFEITO!$M$1822*EFEITO!$Z$1822</f>
        <v>0</v>
      </c>
      <c r="O1822" s="46">
        <f>$L$1822-EFEITO!$O$1822*EFEITO!$AA$1822</f>
        <v>0</v>
      </c>
      <c r="P1822" s="38"/>
      <c r="Q1822" s="38"/>
      <c r="R1822" s="38"/>
      <c r="S1822" s="38"/>
      <c r="T1822" s="38"/>
      <c r="U1822" s="38"/>
      <c r="V1822" s="38"/>
      <c r="W1822" s="38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</row>
    <row r="1823" spans="1:36" ht="11.25" customHeight="1" x14ac:dyDescent="0.2">
      <c r="A1823" s="35" t="s">
        <v>27</v>
      </c>
      <c r="B1823" s="35" t="s">
        <v>39</v>
      </c>
      <c r="C1823" s="35" t="s">
        <v>35</v>
      </c>
      <c r="D1823" s="35" t="s">
        <v>48</v>
      </c>
      <c r="E1823" s="35" t="s">
        <v>25</v>
      </c>
      <c r="F1823" s="35" t="s">
        <v>25</v>
      </c>
      <c r="G1823" s="35" t="s">
        <v>25</v>
      </c>
      <c r="H1823" s="35" t="s">
        <v>36</v>
      </c>
      <c r="I1823" s="45">
        <v>44652</v>
      </c>
      <c r="J1823" s="46">
        <f>EFEITO!$J$1823*EFEITO!$Y$1823</f>
        <v>0</v>
      </c>
      <c r="K1823" s="46">
        <f ca="1">EFEITO!$L$1823*EFEITO!$Z$1823</f>
        <v>-126.88189170894229</v>
      </c>
      <c r="L1823" s="46">
        <f>EFEITO!$N$1823*EFEITO!$AA$1823</f>
        <v>-34.451178749091369</v>
      </c>
      <c r="M1823" s="46">
        <f>$J$1823-EFEITO!$K$1823*EFEITO!$Y$1823</f>
        <v>0</v>
      </c>
      <c r="N1823" s="46">
        <f ca="1">$K$1823-EFEITO!$M$1823*EFEITO!$Z$1823</f>
        <v>0</v>
      </c>
      <c r="O1823" s="46">
        <f>$L$1823-EFEITO!$O$1823*EFEITO!$AA$1823</f>
        <v>0</v>
      </c>
      <c r="P1823" s="38"/>
      <c r="Q1823" s="38"/>
      <c r="R1823" s="38"/>
      <c r="S1823" s="38"/>
      <c r="T1823" s="38"/>
      <c r="U1823" s="38"/>
      <c r="V1823" s="38"/>
      <c r="W1823" s="38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</row>
    <row r="1824" spans="1:36" ht="11.25" customHeight="1" x14ac:dyDescent="0.2">
      <c r="A1824" s="35" t="s">
        <v>21</v>
      </c>
      <c r="B1824" s="35" t="s">
        <v>39</v>
      </c>
      <c r="C1824" s="35" t="s">
        <v>35</v>
      </c>
      <c r="D1824" s="35" t="s">
        <v>48</v>
      </c>
      <c r="E1824" s="35" t="s">
        <v>25</v>
      </c>
      <c r="F1824" s="35" t="s">
        <v>25</v>
      </c>
      <c r="G1824" s="35" t="s">
        <v>25</v>
      </c>
      <c r="H1824" s="35" t="s">
        <v>36</v>
      </c>
      <c r="I1824" s="45">
        <v>44682</v>
      </c>
      <c r="J1824" s="46">
        <f>EFEITO!$J$1824*EFEITO!$Y$1824</f>
        <v>0</v>
      </c>
      <c r="K1824" s="46">
        <f ca="1">EFEITO!$L$1824*EFEITO!$Z$1824</f>
        <v>579.64990528085218</v>
      </c>
      <c r="L1824" s="46">
        <f>EFEITO!$N$1824*EFEITO!$AA$1824</f>
        <v>157.38749028532268</v>
      </c>
      <c r="M1824" s="46">
        <f>$J$1824-EFEITO!$K$1824*EFEITO!$Y$1824</f>
        <v>0</v>
      </c>
      <c r="N1824" s="46">
        <f ca="1">$K$1824-EFEITO!$M$1824*EFEITO!$Z$1824</f>
        <v>0</v>
      </c>
      <c r="O1824" s="46">
        <f>$L$1824-EFEITO!$O$1824*EFEITO!$AA$1824</f>
        <v>0</v>
      </c>
      <c r="P1824" s="38"/>
      <c r="Q1824" s="38"/>
      <c r="R1824" s="38"/>
      <c r="S1824" s="38"/>
      <c r="T1824" s="38"/>
      <c r="U1824" s="38"/>
      <c r="V1824" s="38"/>
      <c r="W1824" s="38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</row>
    <row r="1825" spans="1:36" ht="11.25" customHeight="1" x14ac:dyDescent="0.2">
      <c r="A1825" s="35" t="s">
        <v>21</v>
      </c>
      <c r="B1825" s="35" t="s">
        <v>39</v>
      </c>
      <c r="C1825" s="35" t="s">
        <v>35</v>
      </c>
      <c r="D1825" s="35" t="s">
        <v>48</v>
      </c>
      <c r="E1825" s="35" t="s">
        <v>25</v>
      </c>
      <c r="F1825" s="35" t="s">
        <v>25</v>
      </c>
      <c r="G1825" s="35" t="s">
        <v>25</v>
      </c>
      <c r="H1825" s="35" t="s">
        <v>36</v>
      </c>
      <c r="I1825" s="45">
        <v>44713</v>
      </c>
      <c r="J1825" s="46">
        <f>EFEITO!$J$1825*EFEITO!$Y$1825</f>
        <v>0</v>
      </c>
      <c r="K1825" s="46">
        <f ca="1">EFEITO!$L$1825*EFEITO!$Z$1825</f>
        <v>540.91753833812243</v>
      </c>
      <c r="L1825" s="46">
        <f>EFEITO!$N$1825*EFEITO!$AA$1825</f>
        <v>146.87081466717902</v>
      </c>
      <c r="M1825" s="46">
        <f>$J$1825-EFEITO!$K$1825*EFEITO!$Y$1825</f>
        <v>0</v>
      </c>
      <c r="N1825" s="46">
        <f ca="1">$K$1825-EFEITO!$M$1825*EFEITO!$Z$1825</f>
        <v>0</v>
      </c>
      <c r="O1825" s="46">
        <f>$L$1825-EFEITO!$O$1825*EFEITO!$AA$1825</f>
        <v>0</v>
      </c>
      <c r="P1825" s="38"/>
      <c r="Q1825" s="38"/>
      <c r="R1825" s="38"/>
      <c r="S1825" s="38"/>
      <c r="T1825" s="38"/>
      <c r="U1825" s="38"/>
      <c r="V1825" s="38"/>
      <c r="W1825" s="38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</row>
    <row r="1826" spans="1:36" ht="11.25" customHeight="1" x14ac:dyDescent="0.2">
      <c r="A1826" s="35" t="s">
        <v>28</v>
      </c>
      <c r="B1826" s="35" t="s">
        <v>39</v>
      </c>
      <c r="C1826" s="35" t="s">
        <v>35</v>
      </c>
      <c r="D1826" s="35" t="s">
        <v>48</v>
      </c>
      <c r="E1826" s="35" t="s">
        <v>25</v>
      </c>
      <c r="F1826" s="35" t="s">
        <v>25</v>
      </c>
      <c r="G1826" s="35" t="s">
        <v>25</v>
      </c>
      <c r="H1826" s="35" t="s">
        <v>36</v>
      </c>
      <c r="I1826" s="45">
        <v>44713</v>
      </c>
      <c r="J1826" s="46">
        <f>EFEITO!$J$1826*EFEITO!$Y$1826</f>
        <v>0</v>
      </c>
      <c r="K1826" s="46">
        <f ca="1">EFEITO!$L$1826*EFEITO!$Z$1826</f>
        <v>5.3423954403765173</v>
      </c>
      <c r="L1826" s="46">
        <f>EFEITO!$N$1826*EFEITO!$AA$1826</f>
        <v>1.4505759473301629</v>
      </c>
      <c r="M1826" s="46">
        <f>$J$1826-EFEITO!$K$1826*EFEITO!$Y$1826</f>
        <v>0</v>
      </c>
      <c r="N1826" s="46">
        <f ca="1">$K$1826-EFEITO!$M$1826*EFEITO!$Z$1826</f>
        <v>0</v>
      </c>
      <c r="O1826" s="46">
        <f>$L$1826-EFEITO!$O$1826*EFEITO!$AA$1826</f>
        <v>0</v>
      </c>
      <c r="P1826" s="38"/>
      <c r="Q1826" s="38"/>
      <c r="R1826" s="38"/>
      <c r="S1826" s="38"/>
      <c r="T1826" s="38"/>
      <c r="U1826" s="38"/>
      <c r="V1826" s="38"/>
      <c r="W1826" s="38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</row>
    <row r="1827" spans="1:36" ht="11.25" customHeight="1" x14ac:dyDescent="0.2">
      <c r="A1827" s="35" t="s">
        <v>21</v>
      </c>
      <c r="B1827" s="35" t="s">
        <v>39</v>
      </c>
      <c r="C1827" s="35" t="s">
        <v>35</v>
      </c>
      <c r="D1827" s="35" t="s">
        <v>48</v>
      </c>
      <c r="E1827" s="35" t="s">
        <v>25</v>
      </c>
      <c r="F1827" s="35" t="s">
        <v>25</v>
      </c>
      <c r="G1827" s="35" t="s">
        <v>25</v>
      </c>
      <c r="H1827" s="35" t="s">
        <v>36</v>
      </c>
      <c r="I1827" s="45">
        <v>44743</v>
      </c>
      <c r="J1827" s="46">
        <f>EFEITO!$J$1827*EFEITO!$Y$1827</f>
        <v>0</v>
      </c>
      <c r="K1827" s="46">
        <f ca="1">EFEITO!$L$1827*EFEITO!$Z$1827</f>
        <v>706.53179698979443</v>
      </c>
      <c r="L1827" s="46">
        <f>EFEITO!$N$1827*EFEITO!$AA$1827</f>
        <v>191.83866903441407</v>
      </c>
      <c r="M1827" s="46">
        <f>$J$1827-EFEITO!$K$1827*EFEITO!$Y$1827</f>
        <v>0</v>
      </c>
      <c r="N1827" s="46">
        <f ca="1">$K$1827-EFEITO!$M$1827*EFEITO!$Z$1827</f>
        <v>0</v>
      </c>
      <c r="O1827" s="46">
        <f>$L$1827-EFEITO!$O$1827*EFEITO!$AA$1827</f>
        <v>0</v>
      </c>
      <c r="P1827" s="38"/>
      <c r="Q1827" s="38"/>
      <c r="R1827" s="38"/>
      <c r="S1827" s="38"/>
      <c r="T1827" s="38"/>
      <c r="U1827" s="38"/>
      <c r="V1827" s="38"/>
      <c r="W1827" s="38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</row>
    <row r="1828" spans="1:36" ht="11.25" customHeight="1" x14ac:dyDescent="0.2">
      <c r="A1828" s="35" t="s">
        <v>28</v>
      </c>
      <c r="B1828" s="35" t="s">
        <v>39</v>
      </c>
      <c r="C1828" s="35" t="s">
        <v>35</v>
      </c>
      <c r="D1828" s="35" t="s">
        <v>48</v>
      </c>
      <c r="E1828" s="35" t="s">
        <v>25</v>
      </c>
      <c r="F1828" s="35" t="s">
        <v>25</v>
      </c>
      <c r="G1828" s="35" t="s">
        <v>25</v>
      </c>
      <c r="H1828" s="35" t="s">
        <v>36</v>
      </c>
      <c r="I1828" s="45">
        <v>44743</v>
      </c>
      <c r="J1828" s="46">
        <f>EFEITO!$J$1828*EFEITO!$Y$1828</f>
        <v>0</v>
      </c>
      <c r="K1828" s="46">
        <f ca="1">EFEITO!$L$1828*EFEITO!$Z$1828</f>
        <v>12.020389740847163</v>
      </c>
      <c r="L1828" s="46">
        <f>EFEITO!$N$1828*EFEITO!$AA$1828</f>
        <v>3.2637958814928667</v>
      </c>
      <c r="M1828" s="46">
        <f>$J$1828-EFEITO!$K$1828*EFEITO!$Y$1828</f>
        <v>0</v>
      </c>
      <c r="N1828" s="46">
        <f ca="1">$K$1828-EFEITO!$M$1828*EFEITO!$Z$1828</f>
        <v>0</v>
      </c>
      <c r="O1828" s="46">
        <f>$L$1828-EFEITO!$O$1828*EFEITO!$AA$1828</f>
        <v>0</v>
      </c>
      <c r="P1828" s="38"/>
      <c r="Q1828" s="38"/>
      <c r="R1828" s="38"/>
      <c r="S1828" s="38"/>
      <c r="T1828" s="38"/>
      <c r="U1828" s="38"/>
      <c r="V1828" s="38"/>
      <c r="W1828" s="38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</row>
    <row r="1829" spans="1:36" ht="11.25" customHeight="1" x14ac:dyDescent="0.2">
      <c r="A1829" s="35" t="s">
        <v>21</v>
      </c>
      <c r="B1829" s="35" t="s">
        <v>39</v>
      </c>
      <c r="C1829" s="35" t="s">
        <v>35</v>
      </c>
      <c r="D1829" s="35" t="s">
        <v>48</v>
      </c>
      <c r="E1829" s="35" t="s">
        <v>25</v>
      </c>
      <c r="F1829" s="35" t="s">
        <v>25</v>
      </c>
      <c r="G1829" s="35" t="s">
        <v>25</v>
      </c>
      <c r="H1829" s="35" t="s">
        <v>36</v>
      </c>
      <c r="I1829" s="45">
        <v>44774</v>
      </c>
      <c r="J1829" s="46">
        <f>EFEITO!$J$1829*EFEITO!$Y$1829</f>
        <v>0</v>
      </c>
      <c r="K1829" s="46">
        <f ca="1">EFEITO!$L$1829*EFEITO!$Z$1829</f>
        <v>781.32533315506566</v>
      </c>
      <c r="L1829" s="46">
        <f>EFEITO!$N$1829*EFEITO!$AA$1829</f>
        <v>212.14673229703632</v>
      </c>
      <c r="M1829" s="46">
        <f>$J$1829-EFEITO!$K$1829*EFEITO!$Y$1829</f>
        <v>0</v>
      </c>
      <c r="N1829" s="46">
        <f ca="1">$K$1829-EFEITO!$M$1829*EFEITO!$Z$1829</f>
        <v>0</v>
      </c>
      <c r="O1829" s="46">
        <f>$L$1829-EFEITO!$O$1829*EFEITO!$AA$1829</f>
        <v>0</v>
      </c>
      <c r="P1829" s="38"/>
      <c r="Q1829" s="38"/>
      <c r="R1829" s="38"/>
      <c r="S1829" s="38"/>
      <c r="T1829" s="38"/>
      <c r="U1829" s="38"/>
      <c r="V1829" s="38"/>
      <c r="W1829" s="38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</row>
    <row r="1830" spans="1:36" ht="11.25" customHeight="1" x14ac:dyDescent="0.2">
      <c r="A1830" s="35" t="s">
        <v>27</v>
      </c>
      <c r="B1830" s="35" t="s">
        <v>39</v>
      </c>
      <c r="C1830" s="35" t="s">
        <v>35</v>
      </c>
      <c r="D1830" s="35" t="s">
        <v>48</v>
      </c>
      <c r="E1830" s="35" t="s">
        <v>25</v>
      </c>
      <c r="F1830" s="35" t="s">
        <v>25</v>
      </c>
      <c r="G1830" s="35" t="s">
        <v>25</v>
      </c>
      <c r="H1830" s="35" t="s">
        <v>36</v>
      </c>
      <c r="I1830" s="45">
        <v>44774</v>
      </c>
      <c r="J1830" s="46">
        <f>EFEITO!$J$1830*EFEITO!$Y$1830</f>
        <v>0</v>
      </c>
      <c r="K1830" s="46">
        <f ca="1">EFEITO!$L$1830*EFEITO!$Z$1830</f>
        <v>16.027186321129552</v>
      </c>
      <c r="L1830" s="46">
        <f>EFEITO!$N$1830*EFEITO!$AA$1830</f>
        <v>4.3517278419904892</v>
      </c>
      <c r="M1830" s="46">
        <f>$J$1830-EFEITO!$K$1830*EFEITO!$Y$1830</f>
        <v>0</v>
      </c>
      <c r="N1830" s="46">
        <f ca="1">$K$1830-EFEITO!$M$1830*EFEITO!$Z$1830</f>
        <v>0</v>
      </c>
      <c r="O1830" s="46">
        <f>$L$1830-EFEITO!$O$1830*EFEITO!$AA$1830</f>
        <v>0</v>
      </c>
      <c r="P1830" s="38"/>
      <c r="Q1830" s="38"/>
      <c r="R1830" s="38"/>
      <c r="S1830" s="38"/>
      <c r="T1830" s="38"/>
      <c r="U1830" s="38"/>
      <c r="V1830" s="38"/>
      <c r="W1830" s="38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</row>
    <row r="1831" spans="1:36" ht="11.25" customHeight="1" x14ac:dyDescent="0.2">
      <c r="A1831" s="35" t="s">
        <v>28</v>
      </c>
      <c r="B1831" s="35" t="s">
        <v>39</v>
      </c>
      <c r="C1831" s="35" t="s">
        <v>35</v>
      </c>
      <c r="D1831" s="35" t="s">
        <v>48</v>
      </c>
      <c r="E1831" s="35" t="s">
        <v>25</v>
      </c>
      <c r="F1831" s="35" t="s">
        <v>25</v>
      </c>
      <c r="G1831" s="35" t="s">
        <v>25</v>
      </c>
      <c r="H1831" s="35" t="s">
        <v>36</v>
      </c>
      <c r="I1831" s="45">
        <v>44774</v>
      </c>
      <c r="J1831" s="46">
        <f>EFEITO!$J$1831*EFEITO!$Y$1831</f>
        <v>0</v>
      </c>
      <c r="K1831" s="46">
        <f ca="1">EFEITO!$L$1831*EFEITO!$Z$1831</f>
        <v>10.684790880753035</v>
      </c>
      <c r="L1831" s="46">
        <f>EFEITO!$N$1831*EFEITO!$AA$1831</f>
        <v>2.9011518946603259</v>
      </c>
      <c r="M1831" s="46">
        <f>$J$1831-EFEITO!$K$1831*EFEITO!$Y$1831</f>
        <v>0</v>
      </c>
      <c r="N1831" s="46">
        <f ca="1">$K$1831-EFEITO!$M$1831*EFEITO!$Z$1831</f>
        <v>0</v>
      </c>
      <c r="O1831" s="46">
        <f>$L$1831-EFEITO!$O$1831*EFEITO!$AA$1831</f>
        <v>0</v>
      </c>
      <c r="P1831" s="38"/>
      <c r="Q1831" s="38"/>
      <c r="R1831" s="38"/>
      <c r="S1831" s="38"/>
      <c r="T1831" s="38"/>
      <c r="U1831" s="38"/>
      <c r="V1831" s="38"/>
      <c r="W1831" s="38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</row>
    <row r="1832" spans="1:36" ht="11.25" customHeight="1" x14ac:dyDescent="0.2">
      <c r="A1832" s="35" t="s">
        <v>21</v>
      </c>
      <c r="B1832" s="35" t="s">
        <v>39</v>
      </c>
      <c r="C1832" s="35" t="s">
        <v>35</v>
      </c>
      <c r="D1832" s="35" t="s">
        <v>48</v>
      </c>
      <c r="E1832" s="35" t="s">
        <v>25</v>
      </c>
      <c r="F1832" s="35" t="s">
        <v>25</v>
      </c>
      <c r="G1832" s="35" t="s">
        <v>25</v>
      </c>
      <c r="H1832" s="35" t="s">
        <v>36</v>
      </c>
      <c r="I1832" s="45">
        <v>44805</v>
      </c>
      <c r="J1832" s="46">
        <f>EFEITO!$J$1832*EFEITO!$Y$1832</f>
        <v>0</v>
      </c>
      <c r="K1832" s="46">
        <f ca="1">EFEITO!$L$1832*EFEITO!$Z$1832</f>
        <v>2150.3141647515486</v>
      </c>
      <c r="L1832" s="46">
        <f>EFEITO!$N$1832*EFEITO!$AA$1832</f>
        <v>583.85681880039067</v>
      </c>
      <c r="M1832" s="46">
        <f>$J$1832-EFEITO!$K$1832*EFEITO!$Y$1832</f>
        <v>0</v>
      </c>
      <c r="N1832" s="46">
        <f ca="1">$K$1832-EFEITO!$M$1832*EFEITO!$Z$1832</f>
        <v>0</v>
      </c>
      <c r="O1832" s="46">
        <f>$L$1832-EFEITO!$O$1832*EFEITO!$AA$1832</f>
        <v>0</v>
      </c>
      <c r="P1832" s="38"/>
      <c r="Q1832" s="38"/>
      <c r="R1832" s="38"/>
      <c r="S1832" s="38"/>
      <c r="T1832" s="38"/>
      <c r="U1832" s="38"/>
      <c r="V1832" s="38"/>
      <c r="W1832" s="38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</row>
    <row r="1833" spans="1:36" ht="11.25" customHeight="1" x14ac:dyDescent="0.2">
      <c r="A1833" s="35" t="s">
        <v>28</v>
      </c>
      <c r="B1833" s="35" t="s">
        <v>39</v>
      </c>
      <c r="C1833" s="35" t="s">
        <v>35</v>
      </c>
      <c r="D1833" s="35" t="s">
        <v>48</v>
      </c>
      <c r="E1833" s="35" t="s">
        <v>25</v>
      </c>
      <c r="F1833" s="35" t="s">
        <v>25</v>
      </c>
      <c r="G1833" s="35" t="s">
        <v>25</v>
      </c>
      <c r="H1833" s="35" t="s">
        <v>36</v>
      </c>
      <c r="I1833" s="45">
        <v>44805</v>
      </c>
      <c r="J1833" s="46">
        <f>EFEITO!$J$1833*EFEITO!$Y$1833</f>
        <v>0</v>
      </c>
      <c r="K1833" s="46">
        <f ca="1">EFEITO!$L$1833*EFEITO!$Z$1833</f>
        <v>941.59719636636112</v>
      </c>
      <c r="L1833" s="46">
        <f>EFEITO!$N$1833*EFEITO!$AA$1833</f>
        <v>255.66401071694122</v>
      </c>
      <c r="M1833" s="46">
        <f>$J$1833-EFEITO!$K$1833*EFEITO!$Y$1833</f>
        <v>0</v>
      </c>
      <c r="N1833" s="46">
        <f ca="1">$K$1833-EFEITO!$M$1833*EFEITO!$Z$1833</f>
        <v>0</v>
      </c>
      <c r="O1833" s="46">
        <f>$L$1833-EFEITO!$O$1833*EFEITO!$AA$1833</f>
        <v>0</v>
      </c>
      <c r="P1833" s="38"/>
      <c r="Q1833" s="38"/>
      <c r="R1833" s="38"/>
      <c r="S1833" s="38"/>
      <c r="T1833" s="38"/>
      <c r="U1833" s="38"/>
      <c r="V1833" s="38"/>
      <c r="W1833" s="38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</row>
    <row r="1834" spans="1:36" ht="11.25" customHeight="1" x14ac:dyDescent="0.2">
      <c r="A1834" s="35" t="s">
        <v>21</v>
      </c>
      <c r="B1834" s="35" t="s">
        <v>39</v>
      </c>
      <c r="C1834" s="35" t="s">
        <v>35</v>
      </c>
      <c r="D1834" s="35" t="s">
        <v>48</v>
      </c>
      <c r="E1834" s="35" t="s">
        <v>25</v>
      </c>
      <c r="F1834" s="35" t="s">
        <v>25</v>
      </c>
      <c r="G1834" s="35" t="s">
        <v>25</v>
      </c>
      <c r="H1834" s="35" t="s">
        <v>36</v>
      </c>
      <c r="I1834" s="45">
        <v>44835</v>
      </c>
      <c r="J1834" s="46">
        <f>EFEITO!$J$1834*EFEITO!$Y$1834</f>
        <v>0</v>
      </c>
      <c r="K1834" s="46">
        <f ca="1">EFEITO!$L$1834*EFEITO!$Z$1834</f>
        <v>3001.0906386315087</v>
      </c>
      <c r="L1834" s="46">
        <f>EFEITO!$N$1834*EFEITO!$AA$1834</f>
        <v>814.86103841271904</v>
      </c>
      <c r="M1834" s="46">
        <f>$J$1834-EFEITO!$K$1834*EFEITO!$Y$1834</f>
        <v>0</v>
      </c>
      <c r="N1834" s="46">
        <f ca="1">$K$1834-EFEITO!$M$1834*EFEITO!$Z$1834</f>
        <v>0</v>
      </c>
      <c r="O1834" s="46">
        <f>$L$1834-EFEITO!$O$1834*EFEITO!$AA$1834</f>
        <v>0</v>
      </c>
      <c r="P1834" s="38"/>
      <c r="Q1834" s="38"/>
      <c r="R1834" s="38"/>
      <c r="S1834" s="38"/>
      <c r="T1834" s="38"/>
      <c r="U1834" s="38"/>
      <c r="V1834" s="38"/>
      <c r="W1834" s="38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</row>
    <row r="1835" spans="1:36" ht="11.25" customHeight="1" x14ac:dyDescent="0.2">
      <c r="A1835" s="35" t="s">
        <v>28</v>
      </c>
      <c r="B1835" s="35" t="s">
        <v>39</v>
      </c>
      <c r="C1835" s="35" t="s">
        <v>35</v>
      </c>
      <c r="D1835" s="35" t="s">
        <v>48</v>
      </c>
      <c r="E1835" s="35" t="s">
        <v>25</v>
      </c>
      <c r="F1835" s="35" t="s">
        <v>25</v>
      </c>
      <c r="G1835" s="35" t="s">
        <v>25</v>
      </c>
      <c r="H1835" s="35" t="s">
        <v>36</v>
      </c>
      <c r="I1835" s="45">
        <v>44835</v>
      </c>
      <c r="J1835" s="46">
        <f>EFEITO!$J$1835*EFEITO!$Y$1835</f>
        <v>0</v>
      </c>
      <c r="K1835" s="46">
        <f ca="1">EFEITO!$L$1835*EFEITO!$Z$1835</f>
        <v>478.14439191369831</v>
      </c>
      <c r="L1835" s="46">
        <f>EFEITO!$N$1835*EFEITO!$AA$1835</f>
        <v>129.82654728604959</v>
      </c>
      <c r="M1835" s="46">
        <f>$J$1835-EFEITO!$K$1835*EFEITO!$Y$1835</f>
        <v>0</v>
      </c>
      <c r="N1835" s="46">
        <f ca="1">$K$1835-EFEITO!$M$1835*EFEITO!$Z$1835</f>
        <v>0</v>
      </c>
      <c r="O1835" s="46">
        <f>$L$1835-EFEITO!$O$1835*EFEITO!$AA$1835</f>
        <v>0</v>
      </c>
      <c r="P1835" s="38"/>
      <c r="Q1835" s="38"/>
      <c r="R1835" s="38"/>
      <c r="S1835" s="38"/>
      <c r="T1835" s="38"/>
      <c r="U1835" s="38"/>
      <c r="V1835" s="38"/>
      <c r="W1835" s="38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</row>
    <row r="1836" spans="1:36" ht="11.25" customHeight="1" x14ac:dyDescent="0.2">
      <c r="A1836" s="35" t="s">
        <v>59</v>
      </c>
      <c r="B1836" s="35" t="s">
        <v>39</v>
      </c>
      <c r="C1836" s="35" t="s">
        <v>35</v>
      </c>
      <c r="D1836" s="35" t="s">
        <v>48</v>
      </c>
      <c r="E1836" s="35" t="s">
        <v>25</v>
      </c>
      <c r="F1836" s="35" t="s">
        <v>25</v>
      </c>
      <c r="G1836" s="35" t="s">
        <v>25</v>
      </c>
      <c r="H1836" s="35" t="s">
        <v>36</v>
      </c>
      <c r="I1836" s="45">
        <v>44866</v>
      </c>
      <c r="J1836" s="46">
        <f>EFEITO!$J$1836*EFEITO!$Y$1836</f>
        <v>0</v>
      </c>
      <c r="K1836" s="46">
        <f ca="1">EFEITO!$L$1836*EFEITO!$Z$1836</f>
        <v>3001.0906386315087</v>
      </c>
      <c r="L1836" s="46">
        <f>EFEITO!$N$1836*EFEITO!$AA$1836</f>
        <v>814.86103841271904</v>
      </c>
      <c r="M1836" s="46">
        <f>$J$1836-EFEITO!$K$1836*EFEITO!$Y$1836</f>
        <v>0</v>
      </c>
      <c r="N1836" s="46">
        <f ca="1">$K$1836-EFEITO!$M$1836*EFEITO!$Z$1836</f>
        <v>0</v>
      </c>
      <c r="O1836" s="46">
        <f>$L$1836-EFEITO!$O$1836*EFEITO!$AA$1836</f>
        <v>0</v>
      </c>
      <c r="P1836" s="38"/>
      <c r="Q1836" s="38"/>
      <c r="R1836" s="38"/>
      <c r="S1836" s="38"/>
      <c r="T1836" s="38"/>
      <c r="U1836" s="38"/>
      <c r="V1836" s="38"/>
      <c r="W1836" s="38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</row>
    <row r="1837" spans="1:36" ht="11.25" customHeight="1" x14ac:dyDescent="0.2">
      <c r="A1837" s="35" t="s">
        <v>59</v>
      </c>
      <c r="B1837" s="35" t="s">
        <v>39</v>
      </c>
      <c r="C1837" s="35" t="s">
        <v>35</v>
      </c>
      <c r="D1837" s="35" t="s">
        <v>48</v>
      </c>
      <c r="E1837" s="35" t="s">
        <v>25</v>
      </c>
      <c r="F1837" s="35" t="s">
        <v>25</v>
      </c>
      <c r="G1837" s="35" t="s">
        <v>25</v>
      </c>
      <c r="H1837" s="35" t="s">
        <v>36</v>
      </c>
      <c r="I1837" s="45">
        <v>44866</v>
      </c>
      <c r="J1837" s="46">
        <f>EFEITO!$J$1837*EFEITO!$Y$1837</f>
        <v>0</v>
      </c>
      <c r="K1837" s="46">
        <f ca="1">EFEITO!$L$1837*EFEITO!$Z$1837</f>
        <v>478.14439191369831</v>
      </c>
      <c r="L1837" s="46">
        <f>EFEITO!$N$1837*EFEITO!$AA$1837</f>
        <v>129.82654728604959</v>
      </c>
      <c r="M1837" s="46">
        <f>$J$1837-EFEITO!$K$1837*EFEITO!$Y$1837</f>
        <v>0</v>
      </c>
      <c r="N1837" s="46">
        <f ca="1">$K$1837-EFEITO!$M$1837*EFEITO!$Z$1837</f>
        <v>0</v>
      </c>
      <c r="O1837" s="46">
        <f>$L$1837-EFEITO!$O$1837*EFEITO!$AA$1837</f>
        <v>0</v>
      </c>
      <c r="P1837" s="38"/>
      <c r="Q1837" s="38"/>
      <c r="R1837" s="38"/>
      <c r="S1837" s="38"/>
      <c r="T1837" s="38"/>
      <c r="U1837" s="38"/>
      <c r="V1837" s="38"/>
      <c r="W1837" s="38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</row>
    <row r="1838" spans="1:36" ht="11.25" customHeight="1" x14ac:dyDescent="0.2">
      <c r="A1838" s="35" t="s">
        <v>21</v>
      </c>
      <c r="B1838" s="35" t="s">
        <v>39</v>
      </c>
      <c r="C1838" s="35" t="s">
        <v>23</v>
      </c>
      <c r="D1838" s="35" t="s">
        <v>45</v>
      </c>
      <c r="E1838" s="35" t="s">
        <v>25</v>
      </c>
      <c r="F1838" s="35" t="s">
        <v>25</v>
      </c>
      <c r="G1838" s="35" t="s">
        <v>25</v>
      </c>
      <c r="H1838" s="35" t="s">
        <v>25</v>
      </c>
      <c r="I1838" s="45">
        <v>44531</v>
      </c>
      <c r="J1838" s="46">
        <f>EFEITO!$J$1838*EFEITO!$Y$1838</f>
        <v>0</v>
      </c>
      <c r="K1838" s="46">
        <f ca="1">EFEITO!$L$1838*EFEITO!$Z$1838</f>
        <v>5141144.427044699</v>
      </c>
      <c r="L1838" s="46">
        <f>EFEITO!$N$1838*EFEITO!$AA$1838</f>
        <v>2361454.924596291</v>
      </c>
      <c r="M1838" s="46">
        <f>$J$1838-EFEITO!$K$1838*EFEITO!$Y$1838</f>
        <v>0</v>
      </c>
      <c r="N1838" s="46">
        <f ca="1">$K$1838-EFEITO!$M$1838*EFEITO!$Z$1838</f>
        <v>0</v>
      </c>
      <c r="O1838" s="46">
        <f>$L$1838-EFEITO!$O$1838*EFEITO!$AA$1838</f>
        <v>0</v>
      </c>
      <c r="P1838" s="38"/>
      <c r="Q1838" s="38"/>
      <c r="R1838" s="38"/>
      <c r="S1838" s="38"/>
      <c r="T1838" s="38"/>
      <c r="U1838" s="38"/>
      <c r="V1838" s="38"/>
      <c r="W1838" s="38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</row>
    <row r="1839" spans="1:36" ht="11.25" customHeight="1" x14ac:dyDescent="0.2">
      <c r="A1839" s="35" t="s">
        <v>27</v>
      </c>
      <c r="B1839" s="35" t="s">
        <v>39</v>
      </c>
      <c r="C1839" s="35" t="s">
        <v>23</v>
      </c>
      <c r="D1839" s="35" t="s">
        <v>45</v>
      </c>
      <c r="E1839" s="35" t="s">
        <v>25</v>
      </c>
      <c r="F1839" s="35" t="s">
        <v>25</v>
      </c>
      <c r="G1839" s="35" t="s">
        <v>25</v>
      </c>
      <c r="H1839" s="35" t="s">
        <v>25</v>
      </c>
      <c r="I1839" s="45">
        <v>44531</v>
      </c>
      <c r="J1839" s="46">
        <f>EFEITO!$J$1839*EFEITO!$Y$1839</f>
        <v>0</v>
      </c>
      <c r="K1839" s="46">
        <f ca="1">EFEITO!$L$1839*EFEITO!$Z$1839</f>
        <v>-43521.360763293946</v>
      </c>
      <c r="L1839" s="46">
        <f>EFEITO!$N$1839*EFEITO!$AA$1839</f>
        <v>-19990.438541072079</v>
      </c>
      <c r="M1839" s="46">
        <f>$J$1839-EFEITO!$K$1839*EFEITO!$Y$1839</f>
        <v>0</v>
      </c>
      <c r="N1839" s="46">
        <f ca="1">$K$1839-EFEITO!$M$1839*EFEITO!$Z$1839</f>
        <v>0</v>
      </c>
      <c r="O1839" s="46">
        <f>$L$1839-EFEITO!$O$1839*EFEITO!$AA$1839</f>
        <v>0</v>
      </c>
      <c r="P1839" s="38"/>
      <c r="Q1839" s="38"/>
      <c r="R1839" s="38"/>
      <c r="S1839" s="38"/>
      <c r="T1839" s="38"/>
      <c r="U1839" s="38"/>
      <c r="V1839" s="38"/>
      <c r="W1839" s="38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</row>
    <row r="1840" spans="1:36" ht="11.25" customHeight="1" x14ac:dyDescent="0.2">
      <c r="A1840" s="35" t="s">
        <v>28</v>
      </c>
      <c r="B1840" s="35" t="s">
        <v>39</v>
      </c>
      <c r="C1840" s="35" t="s">
        <v>23</v>
      </c>
      <c r="D1840" s="35" t="s">
        <v>45</v>
      </c>
      <c r="E1840" s="35" t="s">
        <v>25</v>
      </c>
      <c r="F1840" s="35" t="s">
        <v>25</v>
      </c>
      <c r="G1840" s="35" t="s">
        <v>25</v>
      </c>
      <c r="H1840" s="35" t="s">
        <v>25</v>
      </c>
      <c r="I1840" s="45">
        <v>44531</v>
      </c>
      <c r="J1840" s="46">
        <f>EFEITO!$J$1840*EFEITO!$Y$1840</f>
        <v>0</v>
      </c>
      <c r="K1840" s="46">
        <f ca="1">EFEITO!$L$1840*EFEITO!$Z$1840</f>
        <v>1211888.4452551077</v>
      </c>
      <c r="L1840" s="46">
        <f>EFEITO!$N$1840*EFEITO!$AA$1840</f>
        <v>556650.367971492</v>
      </c>
      <c r="M1840" s="46">
        <f>$J$1840-EFEITO!$K$1840*EFEITO!$Y$1840</f>
        <v>0</v>
      </c>
      <c r="N1840" s="46">
        <f ca="1">$K$1840-EFEITO!$M$1840*EFEITO!$Z$1840</f>
        <v>0</v>
      </c>
      <c r="O1840" s="46">
        <f>$L$1840-EFEITO!$O$1840*EFEITO!$AA$1840</f>
        <v>0</v>
      </c>
      <c r="P1840" s="38"/>
      <c r="Q1840" s="38"/>
      <c r="R1840" s="38"/>
      <c r="S1840" s="38"/>
      <c r="T1840" s="38"/>
      <c r="U1840" s="38"/>
      <c r="V1840" s="38"/>
      <c r="W1840" s="38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</row>
    <row r="1841" spans="1:36" ht="11.25" customHeight="1" x14ac:dyDescent="0.2">
      <c r="A1841" s="35" t="s">
        <v>29</v>
      </c>
      <c r="B1841" s="35" t="s">
        <v>39</v>
      </c>
      <c r="C1841" s="35" t="s">
        <v>23</v>
      </c>
      <c r="D1841" s="35" t="s">
        <v>45</v>
      </c>
      <c r="E1841" s="35" t="s">
        <v>25</v>
      </c>
      <c r="F1841" s="35" t="s">
        <v>25</v>
      </c>
      <c r="G1841" s="35" t="s">
        <v>25</v>
      </c>
      <c r="H1841" s="35" t="s">
        <v>25</v>
      </c>
      <c r="I1841" s="45">
        <v>44531</v>
      </c>
      <c r="J1841" s="46">
        <f>EFEITO!$J$1841*EFEITO!$Y$1841</f>
        <v>0</v>
      </c>
      <c r="K1841" s="46">
        <f ca="1">EFEITO!$L$1841*EFEITO!$Z$1841</f>
        <v>-1487.5749565057661</v>
      </c>
      <c r="L1841" s="46">
        <f>EFEITO!$N$1841*EFEITO!$AA$1841</f>
        <v>-683.28000829300822</v>
      </c>
      <c r="M1841" s="46">
        <f>$J$1841-EFEITO!$K$1841*EFEITO!$Y$1841</f>
        <v>0</v>
      </c>
      <c r="N1841" s="46">
        <f ca="1">$K$1841-EFEITO!$M$1841*EFEITO!$Z$1841</f>
        <v>0</v>
      </c>
      <c r="O1841" s="46">
        <f>$L$1841-EFEITO!$O$1841*EFEITO!$AA$1841</f>
        <v>0</v>
      </c>
      <c r="P1841" s="38"/>
      <c r="Q1841" s="38"/>
      <c r="R1841" s="38"/>
      <c r="S1841" s="38"/>
      <c r="T1841" s="38"/>
      <c r="U1841" s="38"/>
      <c r="V1841" s="38"/>
      <c r="W1841" s="38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</row>
    <row r="1842" spans="1:36" ht="11.25" customHeight="1" x14ac:dyDescent="0.2">
      <c r="A1842" s="35" t="s">
        <v>30</v>
      </c>
      <c r="B1842" s="35" t="s">
        <v>39</v>
      </c>
      <c r="C1842" s="35" t="s">
        <v>23</v>
      </c>
      <c r="D1842" s="35" t="s">
        <v>45</v>
      </c>
      <c r="E1842" s="35" t="s">
        <v>25</v>
      </c>
      <c r="F1842" s="35" t="s">
        <v>25</v>
      </c>
      <c r="G1842" s="35" t="s">
        <v>25</v>
      </c>
      <c r="H1842" s="35" t="s">
        <v>25</v>
      </c>
      <c r="I1842" s="45">
        <v>44531</v>
      </c>
      <c r="J1842" s="46">
        <f>EFEITO!$J$1842*EFEITO!$Y$1842</f>
        <v>0</v>
      </c>
      <c r="K1842" s="46">
        <f ca="1">EFEITO!$L$1842*EFEITO!$Z$1842</f>
        <v>189378.03502670737</v>
      </c>
      <c r="L1842" s="46">
        <f>EFEITO!$N$1842*EFEITO!$AA$1842</f>
        <v>86986.020286004088</v>
      </c>
      <c r="M1842" s="46">
        <f>$J$1842-EFEITO!$K$1842*EFEITO!$Y$1842</f>
        <v>0</v>
      </c>
      <c r="N1842" s="46">
        <f ca="1">$K$1842-EFEITO!$M$1842*EFEITO!$Z$1842</f>
        <v>0</v>
      </c>
      <c r="O1842" s="46">
        <f>$L$1842-EFEITO!$O$1842*EFEITO!$AA$1842</f>
        <v>0</v>
      </c>
      <c r="P1842" s="38"/>
      <c r="Q1842" s="38"/>
      <c r="R1842" s="38"/>
      <c r="S1842" s="38"/>
      <c r="T1842" s="38"/>
      <c r="U1842" s="38"/>
      <c r="V1842" s="38"/>
      <c r="W1842" s="38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</row>
    <row r="1843" spans="1:36" ht="11.25" customHeight="1" x14ac:dyDescent="0.2">
      <c r="A1843" s="35" t="s">
        <v>30</v>
      </c>
      <c r="B1843" s="35" t="s">
        <v>39</v>
      </c>
      <c r="C1843" s="35" t="s">
        <v>23</v>
      </c>
      <c r="D1843" s="35" t="s">
        <v>45</v>
      </c>
      <c r="E1843" s="35" t="s">
        <v>25</v>
      </c>
      <c r="F1843" s="35" t="s">
        <v>25</v>
      </c>
      <c r="G1843" s="35" t="s">
        <v>25</v>
      </c>
      <c r="H1843" s="35" t="s">
        <v>25</v>
      </c>
      <c r="I1843" s="45">
        <v>44531</v>
      </c>
      <c r="J1843" s="46">
        <f>EFEITO!$J$1843*EFEITO!$Y$1843</f>
        <v>0</v>
      </c>
      <c r="K1843" s="46">
        <f ca="1">EFEITO!$L$1843*EFEITO!$Z$1843</f>
        <v>-6059.7837357186263</v>
      </c>
      <c r="L1843" s="46">
        <f>EFEITO!$N$1843*EFEITO!$AA$1843</f>
        <v>-2783.4087036000801</v>
      </c>
      <c r="M1843" s="46">
        <f>$J$1843-EFEITO!$K$1843*EFEITO!$Y$1843</f>
        <v>0</v>
      </c>
      <c r="N1843" s="46">
        <f ca="1">$K$1843-EFEITO!$M$1843*EFEITO!$Z$1843</f>
        <v>0</v>
      </c>
      <c r="O1843" s="46">
        <f>$L$1843-EFEITO!$O$1843*EFEITO!$AA$1843</f>
        <v>0</v>
      </c>
      <c r="P1843" s="38"/>
      <c r="Q1843" s="38"/>
      <c r="R1843" s="38"/>
      <c r="S1843" s="38"/>
      <c r="T1843" s="38"/>
      <c r="U1843" s="38"/>
      <c r="V1843" s="38"/>
      <c r="W1843" s="38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</row>
    <row r="1844" spans="1:36" ht="11.25" customHeight="1" x14ac:dyDescent="0.2">
      <c r="A1844" s="35" t="s">
        <v>21</v>
      </c>
      <c r="B1844" s="35" t="s">
        <v>39</v>
      </c>
      <c r="C1844" s="35" t="s">
        <v>23</v>
      </c>
      <c r="D1844" s="35" t="s">
        <v>45</v>
      </c>
      <c r="E1844" s="35" t="s">
        <v>25</v>
      </c>
      <c r="F1844" s="35" t="s">
        <v>25</v>
      </c>
      <c r="G1844" s="35" t="s">
        <v>25</v>
      </c>
      <c r="H1844" s="35" t="s">
        <v>25</v>
      </c>
      <c r="I1844" s="45">
        <v>44562</v>
      </c>
      <c r="J1844" s="46">
        <f>EFEITO!$J$1844*EFEITO!$Y$1844</f>
        <v>0</v>
      </c>
      <c r="K1844" s="46">
        <f ca="1">EFEITO!$L$1844*EFEITO!$Z$1844</f>
        <v>4800220.5722085629</v>
      </c>
      <c r="L1844" s="46">
        <f>EFEITO!$N$1844*EFEITO!$AA$1844</f>
        <v>2204860.1571588921</v>
      </c>
      <c r="M1844" s="46">
        <f>$J$1844-EFEITO!$K$1844*EFEITO!$Y$1844</f>
        <v>0</v>
      </c>
      <c r="N1844" s="46">
        <f ca="1">$K$1844-EFEITO!$M$1844*EFEITO!$Z$1844</f>
        <v>0</v>
      </c>
      <c r="O1844" s="46">
        <f>$L$1844-EFEITO!$O$1844*EFEITO!$AA$1844</f>
        <v>0</v>
      </c>
      <c r="P1844" s="38"/>
      <c r="Q1844" s="38"/>
      <c r="R1844" s="38"/>
      <c r="S1844" s="38"/>
      <c r="T1844" s="38"/>
      <c r="U1844" s="38"/>
      <c r="V1844" s="38"/>
      <c r="W1844" s="38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</row>
    <row r="1845" spans="1:36" ht="11.25" customHeight="1" x14ac:dyDescent="0.2">
      <c r="A1845" s="35" t="s">
        <v>27</v>
      </c>
      <c r="B1845" s="35" t="s">
        <v>39</v>
      </c>
      <c r="C1845" s="35" t="s">
        <v>23</v>
      </c>
      <c r="D1845" s="35" t="s">
        <v>45</v>
      </c>
      <c r="E1845" s="35" t="s">
        <v>25</v>
      </c>
      <c r="F1845" s="35" t="s">
        <v>25</v>
      </c>
      <c r="G1845" s="35" t="s">
        <v>25</v>
      </c>
      <c r="H1845" s="35" t="s">
        <v>25</v>
      </c>
      <c r="I1845" s="45">
        <v>44562</v>
      </c>
      <c r="J1845" s="46">
        <f>EFEITO!$J$1845*EFEITO!$Y$1845</f>
        <v>0</v>
      </c>
      <c r="K1845" s="46">
        <f ca="1">EFEITO!$L$1845*EFEITO!$Z$1845</f>
        <v>-9553.2244505917206</v>
      </c>
      <c r="L1845" s="46">
        <f>EFEITO!$N$1845*EFEITO!$AA$1845</f>
        <v>-4388.0325178087778</v>
      </c>
      <c r="M1845" s="46">
        <f>$J$1845-EFEITO!$K$1845*EFEITO!$Y$1845</f>
        <v>0</v>
      </c>
      <c r="N1845" s="46">
        <f ca="1">$K$1845-EFEITO!$M$1845*EFEITO!$Z$1845</f>
        <v>0</v>
      </c>
      <c r="O1845" s="46">
        <f>$L$1845-EFEITO!$O$1845*EFEITO!$AA$1845</f>
        <v>0</v>
      </c>
      <c r="P1845" s="38"/>
      <c r="Q1845" s="38"/>
      <c r="R1845" s="38"/>
      <c r="S1845" s="38"/>
      <c r="T1845" s="38"/>
      <c r="U1845" s="38"/>
      <c r="V1845" s="38"/>
      <c r="W1845" s="38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</row>
    <row r="1846" spans="1:36" ht="11.25" customHeight="1" x14ac:dyDescent="0.2">
      <c r="A1846" s="35" t="s">
        <v>28</v>
      </c>
      <c r="B1846" s="35" t="s">
        <v>39</v>
      </c>
      <c r="C1846" s="35" t="s">
        <v>23</v>
      </c>
      <c r="D1846" s="35" t="s">
        <v>45</v>
      </c>
      <c r="E1846" s="35" t="s">
        <v>25</v>
      </c>
      <c r="F1846" s="35" t="s">
        <v>25</v>
      </c>
      <c r="G1846" s="35" t="s">
        <v>25</v>
      </c>
      <c r="H1846" s="35" t="s">
        <v>25</v>
      </c>
      <c r="I1846" s="45">
        <v>44562</v>
      </c>
      <c r="J1846" s="46">
        <f>EFEITO!$J$1846*EFEITO!$Y$1846</f>
        <v>0</v>
      </c>
      <c r="K1846" s="46">
        <f ca="1">EFEITO!$L$1846*EFEITO!$Z$1846</f>
        <v>1187553.3863363073</v>
      </c>
      <c r="L1846" s="46">
        <f>EFEITO!$N$1846*EFEITO!$AA$1846</f>
        <v>545472.67289997358</v>
      </c>
      <c r="M1846" s="46">
        <f>$J$1846-EFEITO!$K$1846*EFEITO!$Y$1846</f>
        <v>0</v>
      </c>
      <c r="N1846" s="46">
        <f ca="1">$K$1846-EFEITO!$M$1846*EFEITO!$Z$1846</f>
        <v>0</v>
      </c>
      <c r="O1846" s="46">
        <f>$L$1846-EFEITO!$O$1846*EFEITO!$AA$1846</f>
        <v>0</v>
      </c>
      <c r="P1846" s="38"/>
      <c r="Q1846" s="38"/>
      <c r="R1846" s="38"/>
      <c r="S1846" s="38"/>
      <c r="T1846" s="38"/>
      <c r="U1846" s="38"/>
      <c r="V1846" s="38"/>
      <c r="W1846" s="38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</row>
    <row r="1847" spans="1:36" ht="11.25" customHeight="1" x14ac:dyDescent="0.2">
      <c r="A1847" s="35" t="s">
        <v>29</v>
      </c>
      <c r="B1847" s="35" t="s">
        <v>39</v>
      </c>
      <c r="C1847" s="35" t="s">
        <v>23</v>
      </c>
      <c r="D1847" s="35" t="s">
        <v>45</v>
      </c>
      <c r="E1847" s="35" t="s">
        <v>25</v>
      </c>
      <c r="F1847" s="35" t="s">
        <v>25</v>
      </c>
      <c r="G1847" s="35" t="s">
        <v>25</v>
      </c>
      <c r="H1847" s="35" t="s">
        <v>25</v>
      </c>
      <c r="I1847" s="45">
        <v>44562</v>
      </c>
      <c r="J1847" s="46">
        <f>EFEITO!$J$1847*EFEITO!$Y$1847</f>
        <v>0</v>
      </c>
      <c r="K1847" s="46">
        <f ca="1">EFEITO!$L$1847*EFEITO!$Z$1847</f>
        <v>-593.1215474791727</v>
      </c>
      <c r="L1847" s="46">
        <f>EFEITO!$N$1847*EFEITO!$AA$1847</f>
        <v>-272.43541181432909</v>
      </c>
      <c r="M1847" s="46">
        <f>$J$1847-EFEITO!$K$1847*EFEITO!$Y$1847</f>
        <v>0</v>
      </c>
      <c r="N1847" s="46">
        <f ca="1">$K$1847-EFEITO!$M$1847*EFEITO!$Z$1847</f>
        <v>0</v>
      </c>
      <c r="O1847" s="46">
        <f>$L$1847-EFEITO!$O$1847*EFEITO!$AA$1847</f>
        <v>0</v>
      </c>
      <c r="P1847" s="38"/>
      <c r="Q1847" s="38"/>
      <c r="R1847" s="38"/>
      <c r="S1847" s="38"/>
      <c r="T1847" s="38"/>
      <c r="U1847" s="38"/>
      <c r="V1847" s="38"/>
      <c r="W1847" s="38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</row>
    <row r="1848" spans="1:36" ht="11.25" customHeight="1" x14ac:dyDescent="0.2">
      <c r="A1848" s="35" t="s">
        <v>30</v>
      </c>
      <c r="B1848" s="35" t="s">
        <v>39</v>
      </c>
      <c r="C1848" s="35" t="s">
        <v>23</v>
      </c>
      <c r="D1848" s="35" t="s">
        <v>45</v>
      </c>
      <c r="E1848" s="35" t="s">
        <v>25</v>
      </c>
      <c r="F1848" s="35" t="s">
        <v>25</v>
      </c>
      <c r="G1848" s="35" t="s">
        <v>25</v>
      </c>
      <c r="H1848" s="35" t="s">
        <v>25</v>
      </c>
      <c r="I1848" s="45">
        <v>44562</v>
      </c>
      <c r="J1848" s="46">
        <f>EFEITO!$J$1848*EFEITO!$Y$1848</f>
        <v>0</v>
      </c>
      <c r="K1848" s="46">
        <f ca="1">EFEITO!$L$1848*EFEITO!$Z$1848</f>
        <v>185734.93282059903</v>
      </c>
      <c r="L1848" s="46">
        <f>EFEITO!$N$1848*EFEITO!$AA$1848</f>
        <v>85312.653243412089</v>
      </c>
      <c r="M1848" s="46">
        <f>$J$1848-EFEITO!$K$1848*EFEITO!$Y$1848</f>
        <v>0</v>
      </c>
      <c r="N1848" s="46">
        <f ca="1">$K$1848-EFEITO!$M$1848*EFEITO!$Z$1848</f>
        <v>0</v>
      </c>
      <c r="O1848" s="46">
        <f>$L$1848-EFEITO!$O$1848*EFEITO!$AA$1848</f>
        <v>0</v>
      </c>
      <c r="P1848" s="38"/>
      <c r="Q1848" s="38"/>
      <c r="R1848" s="38"/>
      <c r="S1848" s="38"/>
      <c r="T1848" s="38"/>
      <c r="U1848" s="38"/>
      <c r="V1848" s="38"/>
      <c r="W1848" s="38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</row>
    <row r="1849" spans="1:36" ht="11.25" customHeight="1" x14ac:dyDescent="0.2">
      <c r="A1849" s="35" t="s">
        <v>30</v>
      </c>
      <c r="B1849" s="35" t="s">
        <v>39</v>
      </c>
      <c r="C1849" s="35" t="s">
        <v>23</v>
      </c>
      <c r="D1849" s="35" t="s">
        <v>45</v>
      </c>
      <c r="E1849" s="35" t="s">
        <v>25</v>
      </c>
      <c r="F1849" s="35" t="s">
        <v>25</v>
      </c>
      <c r="G1849" s="35" t="s">
        <v>25</v>
      </c>
      <c r="H1849" s="35" t="s">
        <v>25</v>
      </c>
      <c r="I1849" s="45">
        <v>44562</v>
      </c>
      <c r="J1849" s="46">
        <f>EFEITO!$J$1849*EFEITO!$Y$1849</f>
        <v>0</v>
      </c>
      <c r="K1849" s="46">
        <f ca="1">EFEITO!$L$1849*EFEITO!$Z$1849</f>
        <v>-1594.0455475858544</v>
      </c>
      <c r="L1849" s="46">
        <f>EFEITO!$N$1849*EFEITO!$AA$1849</f>
        <v>-732.18458687441182</v>
      </c>
      <c r="M1849" s="46">
        <f>$J$1849-EFEITO!$K$1849*EFEITO!$Y$1849</f>
        <v>0</v>
      </c>
      <c r="N1849" s="46">
        <f ca="1">$K$1849-EFEITO!$M$1849*EFEITO!$Z$1849</f>
        <v>0</v>
      </c>
      <c r="O1849" s="46">
        <f>$L$1849-EFEITO!$O$1849*EFEITO!$AA$1849</f>
        <v>0</v>
      </c>
      <c r="P1849" s="38"/>
      <c r="Q1849" s="38"/>
      <c r="R1849" s="38"/>
      <c r="S1849" s="38"/>
      <c r="T1849" s="38"/>
      <c r="U1849" s="38"/>
      <c r="V1849" s="38"/>
      <c r="W1849" s="38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</row>
    <row r="1850" spans="1:36" ht="11.25" customHeight="1" x14ac:dyDescent="0.2">
      <c r="A1850" s="35" t="s">
        <v>21</v>
      </c>
      <c r="B1850" s="35" t="s">
        <v>39</v>
      </c>
      <c r="C1850" s="35" t="s">
        <v>23</v>
      </c>
      <c r="D1850" s="35" t="s">
        <v>45</v>
      </c>
      <c r="E1850" s="35" t="s">
        <v>25</v>
      </c>
      <c r="F1850" s="35" t="s">
        <v>25</v>
      </c>
      <c r="G1850" s="35" t="s">
        <v>25</v>
      </c>
      <c r="H1850" s="35" t="s">
        <v>25</v>
      </c>
      <c r="I1850" s="45">
        <v>44593</v>
      </c>
      <c r="J1850" s="46">
        <f>EFEITO!$J$1850*EFEITO!$Y$1850</f>
        <v>0</v>
      </c>
      <c r="K1850" s="46">
        <f ca="1">EFEITO!$L$1850*EFEITO!$Z$1850</f>
        <v>4640575.4541805089</v>
      </c>
      <c r="L1850" s="46">
        <f>EFEITO!$N$1850*EFEITO!$AA$1850</f>
        <v>2131531.201805694</v>
      </c>
      <c r="M1850" s="46">
        <f>$J$1850-EFEITO!$K$1850*EFEITO!$Y$1850</f>
        <v>0</v>
      </c>
      <c r="N1850" s="46">
        <f ca="1">$K$1850-EFEITO!$M$1850*EFEITO!$Z$1850</f>
        <v>0</v>
      </c>
      <c r="O1850" s="46">
        <f>$L$1850-EFEITO!$O$1850*EFEITO!$AA$1850</f>
        <v>0</v>
      </c>
      <c r="P1850" s="38"/>
      <c r="Q1850" s="38"/>
      <c r="R1850" s="38"/>
      <c r="S1850" s="38"/>
      <c r="T1850" s="38"/>
      <c r="U1850" s="38"/>
      <c r="V1850" s="38"/>
      <c r="W1850" s="38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</row>
    <row r="1851" spans="1:36" ht="11.25" customHeight="1" x14ac:dyDescent="0.2">
      <c r="A1851" s="35" t="s">
        <v>27</v>
      </c>
      <c r="B1851" s="35" t="s">
        <v>39</v>
      </c>
      <c r="C1851" s="35" t="s">
        <v>23</v>
      </c>
      <c r="D1851" s="35" t="s">
        <v>45</v>
      </c>
      <c r="E1851" s="35" t="s">
        <v>25</v>
      </c>
      <c r="F1851" s="35" t="s">
        <v>25</v>
      </c>
      <c r="G1851" s="35" t="s">
        <v>25</v>
      </c>
      <c r="H1851" s="35" t="s">
        <v>25</v>
      </c>
      <c r="I1851" s="45">
        <v>44593</v>
      </c>
      <c r="J1851" s="46">
        <f>EFEITO!$J$1851*EFEITO!$Y$1851</f>
        <v>0</v>
      </c>
      <c r="K1851" s="46">
        <f ca="1">EFEITO!$L$1851*EFEITO!$Z$1851</f>
        <v>-38061.729651823931</v>
      </c>
      <c r="L1851" s="46">
        <f>EFEITO!$N$1851*EFEITO!$AA$1851</f>
        <v>-17482.694796928499</v>
      </c>
      <c r="M1851" s="46">
        <f>$J$1851-EFEITO!$K$1851*EFEITO!$Y$1851</f>
        <v>0</v>
      </c>
      <c r="N1851" s="46">
        <f ca="1">$K$1851-EFEITO!$M$1851*EFEITO!$Z$1851</f>
        <v>0</v>
      </c>
      <c r="O1851" s="46">
        <f>$L$1851-EFEITO!$O$1851*EFEITO!$AA$1851</f>
        <v>0</v>
      </c>
      <c r="P1851" s="38"/>
      <c r="Q1851" s="38"/>
      <c r="R1851" s="38"/>
      <c r="S1851" s="38"/>
      <c r="T1851" s="38"/>
      <c r="U1851" s="38"/>
      <c r="V1851" s="38"/>
      <c r="W1851" s="38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</row>
    <row r="1852" spans="1:36" ht="11.25" customHeight="1" x14ac:dyDescent="0.2">
      <c r="A1852" s="35" t="s">
        <v>28</v>
      </c>
      <c r="B1852" s="35" t="s">
        <v>39</v>
      </c>
      <c r="C1852" s="35" t="s">
        <v>23</v>
      </c>
      <c r="D1852" s="35" t="s">
        <v>45</v>
      </c>
      <c r="E1852" s="35" t="s">
        <v>25</v>
      </c>
      <c r="F1852" s="35" t="s">
        <v>25</v>
      </c>
      <c r="G1852" s="35" t="s">
        <v>25</v>
      </c>
      <c r="H1852" s="35" t="s">
        <v>25</v>
      </c>
      <c r="I1852" s="45">
        <v>44593</v>
      </c>
      <c r="J1852" s="46">
        <f>EFEITO!$J$1852*EFEITO!$Y$1852</f>
        <v>0</v>
      </c>
      <c r="K1852" s="46">
        <f ca="1">EFEITO!$L$1852*EFEITO!$Z$1852</f>
        <v>1094703.4976179316</v>
      </c>
      <c r="L1852" s="46">
        <f>EFEITO!$N$1852*EFEITO!$AA$1852</f>
        <v>502824.42014737293</v>
      </c>
      <c r="M1852" s="46">
        <f>$J$1852-EFEITO!$K$1852*EFEITO!$Y$1852</f>
        <v>0</v>
      </c>
      <c r="N1852" s="46">
        <f ca="1">$K$1852-EFEITO!$M$1852*EFEITO!$Z$1852</f>
        <v>0</v>
      </c>
      <c r="O1852" s="46">
        <f>$L$1852-EFEITO!$O$1852*EFEITO!$AA$1852</f>
        <v>0</v>
      </c>
      <c r="P1852" s="38"/>
      <c r="Q1852" s="38"/>
      <c r="R1852" s="38"/>
      <c r="S1852" s="38"/>
      <c r="T1852" s="38"/>
      <c r="U1852" s="38"/>
      <c r="V1852" s="38"/>
      <c r="W1852" s="38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</row>
    <row r="1853" spans="1:36" ht="11.25" customHeight="1" x14ac:dyDescent="0.2">
      <c r="A1853" s="35" t="s">
        <v>29</v>
      </c>
      <c r="B1853" s="35" t="s">
        <v>39</v>
      </c>
      <c r="C1853" s="35" t="s">
        <v>23</v>
      </c>
      <c r="D1853" s="35" t="s">
        <v>45</v>
      </c>
      <c r="E1853" s="35" t="s">
        <v>25</v>
      </c>
      <c r="F1853" s="35" t="s">
        <v>25</v>
      </c>
      <c r="G1853" s="35" t="s">
        <v>25</v>
      </c>
      <c r="H1853" s="35" t="s">
        <v>25</v>
      </c>
      <c r="I1853" s="45">
        <v>44593</v>
      </c>
      <c r="J1853" s="46">
        <f>EFEITO!$J$1853*EFEITO!$Y$1853</f>
        <v>0</v>
      </c>
      <c r="K1853" s="46">
        <f ca="1">EFEITO!$L$1853*EFEITO!$Z$1853</f>
        <v>-1078.2658445705197</v>
      </c>
      <c r="L1853" s="46">
        <f>EFEITO!$N$1853*EFEITO!$AA$1853</f>
        <v>-495.27419912393259</v>
      </c>
      <c r="M1853" s="46">
        <f>$J$1853-EFEITO!$K$1853*EFEITO!$Y$1853</f>
        <v>0</v>
      </c>
      <c r="N1853" s="46">
        <f ca="1">$K$1853-EFEITO!$M$1853*EFEITO!$Z$1853</f>
        <v>0</v>
      </c>
      <c r="O1853" s="46">
        <f>$L$1853-EFEITO!$O$1853*EFEITO!$AA$1853</f>
        <v>0</v>
      </c>
      <c r="P1853" s="38"/>
      <c r="Q1853" s="38"/>
      <c r="R1853" s="38"/>
      <c r="S1853" s="38"/>
      <c r="T1853" s="38"/>
      <c r="U1853" s="38"/>
      <c r="V1853" s="38"/>
      <c r="W1853" s="38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</row>
    <row r="1854" spans="1:36" ht="11.25" customHeight="1" x14ac:dyDescent="0.2">
      <c r="A1854" s="35" t="s">
        <v>30</v>
      </c>
      <c r="B1854" s="35" t="s">
        <v>39</v>
      </c>
      <c r="C1854" s="35" t="s">
        <v>23</v>
      </c>
      <c r="D1854" s="35" t="s">
        <v>45</v>
      </c>
      <c r="E1854" s="35" t="s">
        <v>25</v>
      </c>
      <c r="F1854" s="35" t="s">
        <v>25</v>
      </c>
      <c r="G1854" s="35" t="s">
        <v>25</v>
      </c>
      <c r="H1854" s="35" t="s">
        <v>25</v>
      </c>
      <c r="I1854" s="45">
        <v>44593</v>
      </c>
      <c r="J1854" s="46">
        <f>EFEITO!$J$1854*EFEITO!$Y$1854</f>
        <v>0</v>
      </c>
      <c r="K1854" s="46">
        <f ca="1">EFEITO!$L$1854*EFEITO!$Z$1854</f>
        <v>183024.45272597999</v>
      </c>
      <c r="L1854" s="46">
        <f>EFEITO!$N$1854*EFEITO!$AA$1854</f>
        <v>84067.662627356258</v>
      </c>
      <c r="M1854" s="46">
        <f>$J$1854-EFEITO!$K$1854*EFEITO!$Y$1854</f>
        <v>0</v>
      </c>
      <c r="N1854" s="46">
        <f ca="1">$K$1854-EFEITO!$M$1854*EFEITO!$Z$1854</f>
        <v>0</v>
      </c>
      <c r="O1854" s="46">
        <f>$L$1854-EFEITO!$O$1854*EFEITO!$AA$1854</f>
        <v>0</v>
      </c>
      <c r="P1854" s="38"/>
      <c r="Q1854" s="38"/>
      <c r="R1854" s="38"/>
      <c r="S1854" s="38"/>
      <c r="T1854" s="38"/>
      <c r="U1854" s="38"/>
      <c r="V1854" s="38"/>
      <c r="W1854" s="38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</row>
    <row r="1855" spans="1:36" ht="11.25" customHeight="1" x14ac:dyDescent="0.2">
      <c r="A1855" s="35" t="s">
        <v>30</v>
      </c>
      <c r="B1855" s="35" t="s">
        <v>39</v>
      </c>
      <c r="C1855" s="35" t="s">
        <v>23</v>
      </c>
      <c r="D1855" s="35" t="s">
        <v>45</v>
      </c>
      <c r="E1855" s="35" t="s">
        <v>25</v>
      </c>
      <c r="F1855" s="35" t="s">
        <v>25</v>
      </c>
      <c r="G1855" s="35" t="s">
        <v>25</v>
      </c>
      <c r="H1855" s="35" t="s">
        <v>25</v>
      </c>
      <c r="I1855" s="45">
        <v>44593</v>
      </c>
      <c r="J1855" s="46">
        <f>EFEITO!$J$1855*EFEITO!$Y$1855</f>
        <v>0</v>
      </c>
      <c r="K1855" s="46">
        <f ca="1">EFEITO!$L$1855*EFEITO!$Z$1855</f>
        <v>3633.0578107233996</v>
      </c>
      <c r="L1855" s="46">
        <f>EFEITO!$N$1855*EFEITO!$AA$1855</f>
        <v>1668.7534031031807</v>
      </c>
      <c r="M1855" s="46">
        <f>$J$1855-EFEITO!$K$1855*EFEITO!$Y$1855</f>
        <v>0</v>
      </c>
      <c r="N1855" s="46">
        <f ca="1">$K$1855-EFEITO!$M$1855*EFEITO!$Z$1855</f>
        <v>0</v>
      </c>
      <c r="O1855" s="46">
        <f>$L$1855-EFEITO!$O$1855*EFEITO!$AA$1855</f>
        <v>0</v>
      </c>
      <c r="P1855" s="38"/>
      <c r="Q1855" s="38"/>
      <c r="R1855" s="38"/>
      <c r="S1855" s="38"/>
      <c r="T1855" s="38"/>
      <c r="U1855" s="38"/>
      <c r="V1855" s="38"/>
      <c r="W1855" s="38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</row>
    <row r="1856" spans="1:36" ht="11.25" customHeight="1" x14ac:dyDescent="0.2">
      <c r="A1856" s="35" t="s">
        <v>21</v>
      </c>
      <c r="B1856" s="35" t="s">
        <v>39</v>
      </c>
      <c r="C1856" s="35" t="s">
        <v>23</v>
      </c>
      <c r="D1856" s="35" t="s">
        <v>45</v>
      </c>
      <c r="E1856" s="35" t="s">
        <v>25</v>
      </c>
      <c r="F1856" s="35" t="s">
        <v>25</v>
      </c>
      <c r="G1856" s="35" t="s">
        <v>25</v>
      </c>
      <c r="H1856" s="35" t="s">
        <v>25</v>
      </c>
      <c r="I1856" s="45">
        <v>44621</v>
      </c>
      <c r="J1856" s="46">
        <f>EFEITO!$J$1856*EFEITO!$Y$1856</f>
        <v>0</v>
      </c>
      <c r="K1856" s="46">
        <f ca="1">EFEITO!$L$1856*EFEITO!$Z$1856</f>
        <v>4802457.4590607826</v>
      </c>
      <c r="L1856" s="46">
        <f>EFEITO!$N$1856*EFEITO!$AA$1856</f>
        <v>2205887.6146730501</v>
      </c>
      <c r="M1856" s="46">
        <f>$J$1856-EFEITO!$K$1856*EFEITO!$Y$1856</f>
        <v>0</v>
      </c>
      <c r="N1856" s="46">
        <f ca="1">$K$1856-EFEITO!$M$1856*EFEITO!$Z$1856</f>
        <v>0</v>
      </c>
      <c r="O1856" s="46">
        <f>$L$1856-EFEITO!$O$1856*EFEITO!$AA$1856</f>
        <v>0</v>
      </c>
      <c r="P1856" s="38"/>
      <c r="Q1856" s="38"/>
      <c r="R1856" s="38"/>
      <c r="S1856" s="38"/>
      <c r="T1856" s="38"/>
      <c r="U1856" s="38"/>
      <c r="V1856" s="38"/>
      <c r="W1856" s="38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</row>
    <row r="1857" spans="1:36" ht="11.25" customHeight="1" x14ac:dyDescent="0.2">
      <c r="A1857" s="35" t="s">
        <v>27</v>
      </c>
      <c r="B1857" s="35" t="s">
        <v>39</v>
      </c>
      <c r="C1857" s="35" t="s">
        <v>23</v>
      </c>
      <c r="D1857" s="35" t="s">
        <v>45</v>
      </c>
      <c r="E1857" s="35" t="s">
        <v>25</v>
      </c>
      <c r="F1857" s="35" t="s">
        <v>25</v>
      </c>
      <c r="G1857" s="35" t="s">
        <v>25</v>
      </c>
      <c r="H1857" s="35" t="s">
        <v>25</v>
      </c>
      <c r="I1857" s="45">
        <v>44621</v>
      </c>
      <c r="J1857" s="46">
        <f>EFEITO!$J$1857*EFEITO!$Y$1857</f>
        <v>0</v>
      </c>
      <c r="K1857" s="46">
        <f ca="1">EFEITO!$L$1857*EFEITO!$Z$1857</f>
        <v>-86084.988426636337</v>
      </c>
      <c r="L1857" s="46">
        <f>EFEITO!$N$1857*EFEITO!$AA$1857</f>
        <v>-39540.966556885964</v>
      </c>
      <c r="M1857" s="46">
        <f>$J$1857-EFEITO!$K$1857*EFEITO!$Y$1857</f>
        <v>0</v>
      </c>
      <c r="N1857" s="46">
        <f ca="1">$K$1857-EFEITO!$M$1857*EFEITO!$Z$1857</f>
        <v>0</v>
      </c>
      <c r="O1857" s="46">
        <f>$L$1857-EFEITO!$O$1857*EFEITO!$AA$1857</f>
        <v>0</v>
      </c>
      <c r="P1857" s="38"/>
      <c r="Q1857" s="38"/>
      <c r="R1857" s="38"/>
      <c r="S1857" s="38"/>
      <c r="T1857" s="38"/>
      <c r="U1857" s="38"/>
      <c r="V1857" s="38"/>
      <c r="W1857" s="38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</row>
    <row r="1858" spans="1:36" ht="11.25" customHeight="1" x14ac:dyDescent="0.2">
      <c r="A1858" s="35" t="s">
        <v>28</v>
      </c>
      <c r="B1858" s="35" t="s">
        <v>39</v>
      </c>
      <c r="C1858" s="35" t="s">
        <v>23</v>
      </c>
      <c r="D1858" s="35" t="s">
        <v>45</v>
      </c>
      <c r="E1858" s="35" t="s">
        <v>25</v>
      </c>
      <c r="F1858" s="35" t="s">
        <v>25</v>
      </c>
      <c r="G1858" s="35" t="s">
        <v>25</v>
      </c>
      <c r="H1858" s="35" t="s">
        <v>25</v>
      </c>
      <c r="I1858" s="45">
        <v>44621</v>
      </c>
      <c r="J1858" s="46">
        <f>EFEITO!$J$1858*EFEITO!$Y$1858</f>
        <v>0</v>
      </c>
      <c r="K1858" s="46">
        <f ca="1">EFEITO!$L$1858*EFEITO!$Z$1858</f>
        <v>1144369.0150381771</v>
      </c>
      <c r="L1858" s="46">
        <f>EFEITO!$N$1858*EFEITO!$AA$1858</f>
        <v>525637.02196375106</v>
      </c>
      <c r="M1858" s="46">
        <f>$J$1858-EFEITO!$K$1858*EFEITO!$Y$1858</f>
        <v>0</v>
      </c>
      <c r="N1858" s="46">
        <f ca="1">$K$1858-EFEITO!$M$1858*EFEITO!$Z$1858</f>
        <v>0</v>
      </c>
      <c r="O1858" s="46">
        <f>$L$1858-EFEITO!$O$1858*EFEITO!$AA$1858</f>
        <v>0</v>
      </c>
      <c r="P1858" s="38"/>
      <c r="Q1858" s="38"/>
      <c r="R1858" s="38"/>
      <c r="S1858" s="38"/>
      <c r="T1858" s="38"/>
      <c r="U1858" s="38"/>
      <c r="V1858" s="38"/>
      <c r="W1858" s="38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</row>
    <row r="1859" spans="1:36" ht="11.25" customHeight="1" x14ac:dyDescent="0.2">
      <c r="A1859" s="35" t="s">
        <v>29</v>
      </c>
      <c r="B1859" s="35" t="s">
        <v>39</v>
      </c>
      <c r="C1859" s="35" t="s">
        <v>23</v>
      </c>
      <c r="D1859" s="35" t="s">
        <v>45</v>
      </c>
      <c r="E1859" s="35" t="s">
        <v>25</v>
      </c>
      <c r="F1859" s="35" t="s">
        <v>25</v>
      </c>
      <c r="G1859" s="35" t="s">
        <v>25</v>
      </c>
      <c r="H1859" s="35" t="s">
        <v>25</v>
      </c>
      <c r="I1859" s="45">
        <v>44621</v>
      </c>
      <c r="J1859" s="46">
        <f>EFEITO!$J$1859*EFEITO!$Y$1859</f>
        <v>0</v>
      </c>
      <c r="K1859" s="46">
        <f ca="1">EFEITO!$L$1859*EFEITO!$Z$1859</f>
        <v>550.93508686253381</v>
      </c>
      <c r="L1859" s="46">
        <f>EFEITO!$N$1859*EFEITO!$AA$1859</f>
        <v>253.05812596132003</v>
      </c>
      <c r="M1859" s="46">
        <f>$J$1859-EFEITO!$K$1859*EFEITO!$Y$1859</f>
        <v>0</v>
      </c>
      <c r="N1859" s="46">
        <f ca="1">$K$1859-EFEITO!$M$1859*EFEITO!$Z$1859</f>
        <v>0</v>
      </c>
      <c r="O1859" s="46">
        <f>$L$1859-EFEITO!$O$1859*EFEITO!$AA$1859</f>
        <v>0</v>
      </c>
      <c r="P1859" s="38"/>
      <c r="Q1859" s="38"/>
      <c r="R1859" s="38"/>
      <c r="S1859" s="38"/>
      <c r="T1859" s="38"/>
      <c r="U1859" s="38"/>
      <c r="V1859" s="38"/>
      <c r="W1859" s="38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</row>
    <row r="1860" spans="1:36" ht="11.25" customHeight="1" x14ac:dyDescent="0.2">
      <c r="A1860" s="35" t="s">
        <v>30</v>
      </c>
      <c r="B1860" s="35" t="s">
        <v>39</v>
      </c>
      <c r="C1860" s="35" t="s">
        <v>23</v>
      </c>
      <c r="D1860" s="35" t="s">
        <v>45</v>
      </c>
      <c r="E1860" s="35" t="s">
        <v>25</v>
      </c>
      <c r="F1860" s="35" t="s">
        <v>25</v>
      </c>
      <c r="G1860" s="35" t="s">
        <v>25</v>
      </c>
      <c r="H1860" s="35" t="s">
        <v>25</v>
      </c>
      <c r="I1860" s="45">
        <v>44621</v>
      </c>
      <c r="J1860" s="46">
        <f>EFEITO!$J$1860*EFEITO!$Y$1860</f>
        <v>0</v>
      </c>
      <c r="K1860" s="46">
        <f ca="1">EFEITO!$L$1860*EFEITO!$Z$1860</f>
        <v>204634.46717685324</v>
      </c>
      <c r="L1860" s="46">
        <f>EFEITO!$N$1860*EFEITO!$AA$1860</f>
        <v>93993.677305560122</v>
      </c>
      <c r="M1860" s="46">
        <f>$J$1860-EFEITO!$K$1860*EFEITO!$Y$1860</f>
        <v>0</v>
      </c>
      <c r="N1860" s="46">
        <f ca="1">$K$1860-EFEITO!$M$1860*EFEITO!$Z$1860</f>
        <v>0</v>
      </c>
      <c r="O1860" s="46">
        <f>$L$1860-EFEITO!$O$1860*EFEITO!$AA$1860</f>
        <v>0</v>
      </c>
      <c r="P1860" s="38"/>
      <c r="Q1860" s="38"/>
      <c r="R1860" s="38"/>
      <c r="S1860" s="38"/>
      <c r="T1860" s="38"/>
      <c r="U1860" s="38"/>
      <c r="V1860" s="38"/>
      <c r="W1860" s="38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</row>
    <row r="1861" spans="1:36" ht="11.25" customHeight="1" x14ac:dyDescent="0.2">
      <c r="A1861" s="35" t="s">
        <v>30</v>
      </c>
      <c r="B1861" s="35" t="s">
        <v>39</v>
      </c>
      <c r="C1861" s="35" t="s">
        <v>23</v>
      </c>
      <c r="D1861" s="35" t="s">
        <v>45</v>
      </c>
      <c r="E1861" s="35" t="s">
        <v>25</v>
      </c>
      <c r="F1861" s="35" t="s">
        <v>25</v>
      </c>
      <c r="G1861" s="35" t="s">
        <v>25</v>
      </c>
      <c r="H1861" s="35" t="s">
        <v>25</v>
      </c>
      <c r="I1861" s="45">
        <v>44621</v>
      </c>
      <c r="J1861" s="46">
        <f>EFEITO!$J$1861*EFEITO!$Y$1861</f>
        <v>0</v>
      </c>
      <c r="K1861" s="46">
        <f ca="1">EFEITO!$L$1861*EFEITO!$Z$1861</f>
        <v>1171.67872165022</v>
      </c>
      <c r="L1861" s="46">
        <f>EFEITO!$N$1861*EFEITO!$AA$1861</f>
        <v>538.18104636988119</v>
      </c>
      <c r="M1861" s="46">
        <f>$J$1861-EFEITO!$K$1861*EFEITO!$Y$1861</f>
        <v>0</v>
      </c>
      <c r="N1861" s="46">
        <f ca="1">$K$1861-EFEITO!$M$1861*EFEITO!$Z$1861</f>
        <v>0</v>
      </c>
      <c r="O1861" s="46">
        <f>$L$1861-EFEITO!$O$1861*EFEITO!$AA$1861</f>
        <v>0</v>
      </c>
      <c r="P1861" s="38"/>
      <c r="Q1861" s="38"/>
      <c r="R1861" s="38"/>
      <c r="S1861" s="38"/>
      <c r="T1861" s="38"/>
      <c r="U1861" s="38"/>
      <c r="V1861" s="38"/>
      <c r="W1861" s="38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</row>
    <row r="1862" spans="1:36" ht="11.25" customHeight="1" x14ac:dyDescent="0.2">
      <c r="A1862" s="35" t="s">
        <v>21</v>
      </c>
      <c r="B1862" s="35" t="s">
        <v>39</v>
      </c>
      <c r="C1862" s="35" t="s">
        <v>23</v>
      </c>
      <c r="D1862" s="35" t="s">
        <v>45</v>
      </c>
      <c r="E1862" s="35" t="s">
        <v>25</v>
      </c>
      <c r="F1862" s="35" t="s">
        <v>25</v>
      </c>
      <c r="G1862" s="35" t="s">
        <v>25</v>
      </c>
      <c r="H1862" s="35" t="s">
        <v>25</v>
      </c>
      <c r="I1862" s="45">
        <v>44652</v>
      </c>
      <c r="J1862" s="46">
        <f>EFEITO!$J$1862*EFEITO!$Y$1862</f>
        <v>0</v>
      </c>
      <c r="K1862" s="46">
        <f ca="1">EFEITO!$L$1862*EFEITO!$Z$1862</f>
        <v>4904551.2048518946</v>
      </c>
      <c r="L1862" s="46">
        <f>EFEITO!$N$1862*EFEITO!$AA$1862</f>
        <v>2252781.7998472042</v>
      </c>
      <c r="M1862" s="46">
        <f>$J$1862-EFEITO!$K$1862*EFEITO!$Y$1862</f>
        <v>0</v>
      </c>
      <c r="N1862" s="46">
        <f ca="1">$K$1862-EFEITO!$M$1862*EFEITO!$Z$1862</f>
        <v>0</v>
      </c>
      <c r="O1862" s="46">
        <f>$L$1862-EFEITO!$O$1862*EFEITO!$AA$1862</f>
        <v>0</v>
      </c>
      <c r="P1862" s="38"/>
      <c r="Q1862" s="38"/>
      <c r="R1862" s="38"/>
      <c r="S1862" s="38"/>
      <c r="T1862" s="38"/>
      <c r="U1862" s="38"/>
      <c r="V1862" s="38"/>
      <c r="W1862" s="38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</row>
    <row r="1863" spans="1:36" ht="11.25" customHeight="1" x14ac:dyDescent="0.2">
      <c r="A1863" s="35" t="s">
        <v>27</v>
      </c>
      <c r="B1863" s="35" t="s">
        <v>39</v>
      </c>
      <c r="C1863" s="35" t="s">
        <v>23</v>
      </c>
      <c r="D1863" s="35" t="s">
        <v>45</v>
      </c>
      <c r="E1863" s="35" t="s">
        <v>25</v>
      </c>
      <c r="F1863" s="35" t="s">
        <v>25</v>
      </c>
      <c r="G1863" s="35" t="s">
        <v>25</v>
      </c>
      <c r="H1863" s="35" t="s">
        <v>25</v>
      </c>
      <c r="I1863" s="45">
        <v>44652</v>
      </c>
      <c r="J1863" s="46">
        <f>EFEITO!$J$1863*EFEITO!$Y$1863</f>
        <v>0</v>
      </c>
      <c r="K1863" s="46">
        <f ca="1">EFEITO!$L$1863*EFEITO!$Z$1863</f>
        <v>-24708.710427119233</v>
      </c>
      <c r="L1863" s="46">
        <f>EFEITO!$N$1863*EFEITO!$AA$1863</f>
        <v>-11349.322460502264</v>
      </c>
      <c r="M1863" s="46">
        <f>$J$1863-EFEITO!$K$1863*EFEITO!$Y$1863</f>
        <v>0</v>
      </c>
      <c r="N1863" s="46">
        <f ca="1">$K$1863-EFEITO!$M$1863*EFEITO!$Z$1863</f>
        <v>0</v>
      </c>
      <c r="O1863" s="46">
        <f>$L$1863-EFEITO!$O$1863*EFEITO!$AA$1863</f>
        <v>0</v>
      </c>
      <c r="P1863" s="38"/>
      <c r="Q1863" s="38"/>
      <c r="R1863" s="38"/>
      <c r="S1863" s="38"/>
      <c r="T1863" s="38"/>
      <c r="U1863" s="38"/>
      <c r="V1863" s="38"/>
      <c r="W1863" s="38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</row>
    <row r="1864" spans="1:36" ht="11.25" customHeight="1" x14ac:dyDescent="0.2">
      <c r="A1864" s="35" t="s">
        <v>28</v>
      </c>
      <c r="B1864" s="35" t="s">
        <v>39</v>
      </c>
      <c r="C1864" s="35" t="s">
        <v>23</v>
      </c>
      <c r="D1864" s="35" t="s">
        <v>45</v>
      </c>
      <c r="E1864" s="35" t="s">
        <v>25</v>
      </c>
      <c r="F1864" s="35" t="s">
        <v>25</v>
      </c>
      <c r="G1864" s="35" t="s">
        <v>25</v>
      </c>
      <c r="H1864" s="35" t="s">
        <v>25</v>
      </c>
      <c r="I1864" s="45">
        <v>44652</v>
      </c>
      <c r="J1864" s="46">
        <f>EFEITO!$J$1864*EFEITO!$Y$1864</f>
        <v>0</v>
      </c>
      <c r="K1864" s="46">
        <f ca="1">EFEITO!$L$1864*EFEITO!$Z$1864</f>
        <v>1177436.671304622</v>
      </c>
      <c r="L1864" s="46">
        <f>EFEITO!$N$1864*EFEITO!$AA$1864</f>
        <v>540825.8152068425</v>
      </c>
      <c r="M1864" s="46">
        <f>$J$1864-EFEITO!$K$1864*EFEITO!$Y$1864</f>
        <v>0</v>
      </c>
      <c r="N1864" s="46">
        <f ca="1">$K$1864-EFEITO!$M$1864*EFEITO!$Z$1864</f>
        <v>0</v>
      </c>
      <c r="O1864" s="46">
        <f>$L$1864-EFEITO!$O$1864*EFEITO!$AA$1864</f>
        <v>0</v>
      </c>
      <c r="P1864" s="38"/>
      <c r="Q1864" s="38"/>
      <c r="R1864" s="38"/>
      <c r="S1864" s="38"/>
      <c r="T1864" s="38"/>
      <c r="U1864" s="38"/>
      <c r="V1864" s="38"/>
      <c r="W1864" s="38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</row>
    <row r="1865" spans="1:36" ht="11.25" customHeight="1" x14ac:dyDescent="0.2">
      <c r="A1865" s="35" t="s">
        <v>29</v>
      </c>
      <c r="B1865" s="35" t="s">
        <v>39</v>
      </c>
      <c r="C1865" s="35" t="s">
        <v>23</v>
      </c>
      <c r="D1865" s="35" t="s">
        <v>45</v>
      </c>
      <c r="E1865" s="35" t="s">
        <v>25</v>
      </c>
      <c r="F1865" s="35" t="s">
        <v>25</v>
      </c>
      <c r="G1865" s="35" t="s">
        <v>25</v>
      </c>
      <c r="H1865" s="35" t="s">
        <v>25</v>
      </c>
      <c r="I1865" s="45">
        <v>44652</v>
      </c>
      <c r="J1865" s="46">
        <f>EFEITO!$J$1865*EFEITO!$Y$1865</f>
        <v>0</v>
      </c>
      <c r="K1865" s="46">
        <f ca="1">EFEITO!$L$1865*EFEITO!$Z$1865</f>
        <v>-1292.7136860384339</v>
      </c>
      <c r="L1865" s="46">
        <f>EFEITO!$N$1865*EFEITO!$AA$1865</f>
        <v>-593.77540221006177</v>
      </c>
      <c r="M1865" s="46">
        <f>$J$1865-EFEITO!$K$1865*EFEITO!$Y$1865</f>
        <v>0</v>
      </c>
      <c r="N1865" s="46">
        <f ca="1">$K$1865-EFEITO!$M$1865*EFEITO!$Z$1865</f>
        <v>0</v>
      </c>
      <c r="O1865" s="46">
        <f>$L$1865-EFEITO!$O$1865*EFEITO!$AA$1865</f>
        <v>0</v>
      </c>
      <c r="P1865" s="38"/>
      <c r="Q1865" s="38"/>
      <c r="R1865" s="38"/>
      <c r="S1865" s="38"/>
      <c r="T1865" s="38"/>
      <c r="U1865" s="38"/>
      <c r="V1865" s="38"/>
      <c r="W1865" s="38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</row>
    <row r="1866" spans="1:36" ht="11.25" customHeight="1" x14ac:dyDescent="0.2">
      <c r="A1866" s="35" t="s">
        <v>30</v>
      </c>
      <c r="B1866" s="35" t="s">
        <v>39</v>
      </c>
      <c r="C1866" s="35" t="s">
        <v>23</v>
      </c>
      <c r="D1866" s="35" t="s">
        <v>45</v>
      </c>
      <c r="E1866" s="35" t="s">
        <v>25</v>
      </c>
      <c r="F1866" s="35" t="s">
        <v>25</v>
      </c>
      <c r="G1866" s="35" t="s">
        <v>25</v>
      </c>
      <c r="H1866" s="35" t="s">
        <v>25</v>
      </c>
      <c r="I1866" s="45">
        <v>44652</v>
      </c>
      <c r="J1866" s="46">
        <f>EFEITO!$J$1866*EFEITO!$Y$1866</f>
        <v>0</v>
      </c>
      <c r="K1866" s="46">
        <f ca="1">EFEITO!$L$1866*EFEITO!$Z$1866</f>
        <v>228726.95394710804</v>
      </c>
      <c r="L1866" s="46">
        <f>EFEITO!$N$1866*EFEITO!$AA$1866</f>
        <v>105059.95298342381</v>
      </c>
      <c r="M1866" s="46">
        <f>$J$1866-EFEITO!$K$1866*EFEITO!$Y$1866</f>
        <v>0</v>
      </c>
      <c r="N1866" s="46">
        <f ca="1">$K$1866-EFEITO!$M$1866*EFEITO!$Z$1866</f>
        <v>0</v>
      </c>
      <c r="O1866" s="46">
        <f>$L$1866-EFEITO!$O$1866*EFEITO!$AA$1866</f>
        <v>0</v>
      </c>
      <c r="P1866" s="38"/>
      <c r="Q1866" s="38"/>
      <c r="R1866" s="38"/>
      <c r="S1866" s="38"/>
      <c r="T1866" s="38"/>
      <c r="U1866" s="38"/>
      <c r="V1866" s="38"/>
      <c r="W1866" s="38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</row>
    <row r="1867" spans="1:36" ht="11.25" customHeight="1" x14ac:dyDescent="0.2">
      <c r="A1867" s="35" t="s">
        <v>30</v>
      </c>
      <c r="B1867" s="35" t="s">
        <v>39</v>
      </c>
      <c r="C1867" s="35" t="s">
        <v>23</v>
      </c>
      <c r="D1867" s="35" t="s">
        <v>45</v>
      </c>
      <c r="E1867" s="35" t="s">
        <v>25</v>
      </c>
      <c r="F1867" s="35" t="s">
        <v>25</v>
      </c>
      <c r="G1867" s="35" t="s">
        <v>25</v>
      </c>
      <c r="H1867" s="35" t="s">
        <v>25</v>
      </c>
      <c r="I1867" s="45">
        <v>44652</v>
      </c>
      <c r="J1867" s="46">
        <f>EFEITO!$J$1867*EFEITO!$Y$1867</f>
        <v>0</v>
      </c>
      <c r="K1867" s="46">
        <f ca="1">EFEITO!$L$1867*EFEITO!$Z$1867</f>
        <v>-3538.6404941052083</v>
      </c>
      <c r="L1867" s="46">
        <f>EFEITO!$N$1867*EFEITO!$AA$1867</f>
        <v>-1625.3851919083511</v>
      </c>
      <c r="M1867" s="46">
        <f>$J$1867-EFEITO!$K$1867*EFEITO!$Y$1867</f>
        <v>0</v>
      </c>
      <c r="N1867" s="46">
        <f ca="1">$K$1867-EFEITO!$M$1867*EFEITO!$Z$1867</f>
        <v>0</v>
      </c>
      <c r="O1867" s="46">
        <f>$L$1867-EFEITO!$O$1867*EFEITO!$AA$1867</f>
        <v>0</v>
      </c>
      <c r="P1867" s="38"/>
      <c r="Q1867" s="38"/>
      <c r="R1867" s="38"/>
      <c r="S1867" s="38"/>
      <c r="T1867" s="38"/>
      <c r="U1867" s="38"/>
      <c r="V1867" s="38"/>
      <c r="W1867" s="38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</row>
    <row r="1868" spans="1:36" ht="11.25" customHeight="1" x14ac:dyDescent="0.2">
      <c r="A1868" s="35" t="s">
        <v>21</v>
      </c>
      <c r="B1868" s="35" t="s">
        <v>39</v>
      </c>
      <c r="C1868" s="35" t="s">
        <v>23</v>
      </c>
      <c r="D1868" s="35" t="s">
        <v>45</v>
      </c>
      <c r="E1868" s="35" t="s">
        <v>25</v>
      </c>
      <c r="F1868" s="35" t="s">
        <v>25</v>
      </c>
      <c r="G1868" s="35" t="s">
        <v>25</v>
      </c>
      <c r="H1868" s="35" t="s">
        <v>25</v>
      </c>
      <c r="I1868" s="45">
        <v>44682</v>
      </c>
      <c r="J1868" s="46">
        <f>EFEITO!$J$1868*EFEITO!$Y$1868</f>
        <v>0</v>
      </c>
      <c r="K1868" s="46">
        <f ca="1">EFEITO!$L$1868*EFEITO!$Z$1868</f>
        <v>4931985.9641864803</v>
      </c>
      <c r="L1868" s="46">
        <f>EFEITO!$N$1868*EFEITO!$AA$1868</f>
        <v>2265383.26406497</v>
      </c>
      <c r="M1868" s="46">
        <f>$J$1868-EFEITO!$K$1868*EFEITO!$Y$1868</f>
        <v>0</v>
      </c>
      <c r="N1868" s="46">
        <f ca="1">$K$1868-EFEITO!$M$1868*EFEITO!$Z$1868</f>
        <v>0</v>
      </c>
      <c r="O1868" s="46">
        <f>$L$1868-EFEITO!$O$1868*EFEITO!$AA$1868</f>
        <v>0</v>
      </c>
      <c r="P1868" s="38"/>
      <c r="Q1868" s="38"/>
      <c r="R1868" s="38"/>
      <c r="S1868" s="38"/>
      <c r="T1868" s="38"/>
      <c r="U1868" s="38"/>
      <c r="V1868" s="38"/>
      <c r="W1868" s="38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</row>
    <row r="1869" spans="1:36" ht="11.25" customHeight="1" x14ac:dyDescent="0.2">
      <c r="A1869" s="35" t="s">
        <v>27</v>
      </c>
      <c r="B1869" s="35" t="s">
        <v>39</v>
      </c>
      <c r="C1869" s="35" t="s">
        <v>23</v>
      </c>
      <c r="D1869" s="35" t="s">
        <v>45</v>
      </c>
      <c r="E1869" s="35" t="s">
        <v>25</v>
      </c>
      <c r="F1869" s="35" t="s">
        <v>25</v>
      </c>
      <c r="G1869" s="35" t="s">
        <v>25</v>
      </c>
      <c r="H1869" s="35" t="s">
        <v>25</v>
      </c>
      <c r="I1869" s="45">
        <v>44682</v>
      </c>
      <c r="J1869" s="46">
        <f>EFEITO!$J$1869*EFEITO!$Y$1869</f>
        <v>0</v>
      </c>
      <c r="K1869" s="46">
        <f ca="1">EFEITO!$L$1869*EFEITO!$Z$1869</f>
        <v>-63917.007812131102</v>
      </c>
      <c r="L1869" s="46">
        <f>EFEITO!$N$1869*EFEITO!$AA$1869</f>
        <v>-29358.664205078614</v>
      </c>
      <c r="M1869" s="46">
        <f>$J$1869-EFEITO!$K$1869*EFEITO!$Y$1869</f>
        <v>0</v>
      </c>
      <c r="N1869" s="46">
        <f ca="1">$K$1869-EFEITO!$M$1869*EFEITO!$Z$1869</f>
        <v>0</v>
      </c>
      <c r="O1869" s="46">
        <f>$L$1869-EFEITO!$O$1869*EFEITO!$AA$1869</f>
        <v>0</v>
      </c>
      <c r="P1869" s="38"/>
      <c r="Q1869" s="38"/>
      <c r="R1869" s="38"/>
      <c r="S1869" s="38"/>
      <c r="T1869" s="38"/>
      <c r="U1869" s="38"/>
      <c r="V1869" s="38"/>
      <c r="W1869" s="38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</row>
    <row r="1870" spans="1:36" ht="11.25" customHeight="1" x14ac:dyDescent="0.2">
      <c r="A1870" s="35" t="s">
        <v>28</v>
      </c>
      <c r="B1870" s="35" t="s">
        <v>39</v>
      </c>
      <c r="C1870" s="35" t="s">
        <v>23</v>
      </c>
      <c r="D1870" s="35" t="s">
        <v>45</v>
      </c>
      <c r="E1870" s="35" t="s">
        <v>25</v>
      </c>
      <c r="F1870" s="35" t="s">
        <v>25</v>
      </c>
      <c r="G1870" s="35" t="s">
        <v>25</v>
      </c>
      <c r="H1870" s="35" t="s">
        <v>25</v>
      </c>
      <c r="I1870" s="45">
        <v>44682</v>
      </c>
      <c r="J1870" s="46">
        <f>EFEITO!$J$1870*EFEITO!$Y$1870</f>
        <v>0</v>
      </c>
      <c r="K1870" s="46">
        <f ca="1">EFEITO!$L$1870*EFEITO!$Z$1870</f>
        <v>1185472.1876125534</v>
      </c>
      <c r="L1870" s="46">
        <f>EFEITO!$N$1870*EFEITO!$AA$1870</f>
        <v>544516.72679789178</v>
      </c>
      <c r="M1870" s="46">
        <f>$J$1870-EFEITO!$K$1870*EFEITO!$Y$1870</f>
        <v>0</v>
      </c>
      <c r="N1870" s="46">
        <f ca="1">$K$1870-EFEITO!$M$1870*EFEITO!$Z$1870</f>
        <v>0</v>
      </c>
      <c r="O1870" s="46">
        <f>$L$1870-EFEITO!$O$1870*EFEITO!$AA$1870</f>
        <v>0</v>
      </c>
      <c r="P1870" s="38"/>
      <c r="Q1870" s="38"/>
      <c r="R1870" s="38"/>
      <c r="S1870" s="38"/>
      <c r="T1870" s="38"/>
      <c r="U1870" s="38"/>
      <c r="V1870" s="38"/>
      <c r="W1870" s="38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</row>
    <row r="1871" spans="1:36" ht="11.25" customHeight="1" x14ac:dyDescent="0.2">
      <c r="A1871" s="35" t="s">
        <v>29</v>
      </c>
      <c r="B1871" s="35" t="s">
        <v>39</v>
      </c>
      <c r="C1871" s="35" t="s">
        <v>23</v>
      </c>
      <c r="D1871" s="35" t="s">
        <v>45</v>
      </c>
      <c r="E1871" s="35" t="s">
        <v>25</v>
      </c>
      <c r="F1871" s="35" t="s">
        <v>25</v>
      </c>
      <c r="G1871" s="35" t="s">
        <v>25</v>
      </c>
      <c r="H1871" s="35" t="s">
        <v>25</v>
      </c>
      <c r="I1871" s="45">
        <v>44682</v>
      </c>
      <c r="J1871" s="46">
        <f>EFEITO!$J$1871*EFEITO!$Y$1871</f>
        <v>0</v>
      </c>
      <c r="K1871" s="46">
        <f ca="1">EFEITO!$L$1871*EFEITO!$Z$1871</f>
        <v>-158.19922731239575</v>
      </c>
      <c r="L1871" s="46">
        <f>EFEITO!$N$1871*EFEITO!$AA$1871</f>
        <v>-72.664821948783782</v>
      </c>
      <c r="M1871" s="46">
        <f>$J$1871-EFEITO!$K$1871*EFEITO!$Y$1871</f>
        <v>0</v>
      </c>
      <c r="N1871" s="46">
        <f ca="1">$K$1871-EFEITO!$M$1871*EFEITO!$Z$1871</f>
        <v>0</v>
      </c>
      <c r="O1871" s="46">
        <f>$L$1871-EFEITO!$O$1871*EFEITO!$AA$1871</f>
        <v>0</v>
      </c>
      <c r="P1871" s="38"/>
      <c r="Q1871" s="38"/>
      <c r="R1871" s="38"/>
      <c r="S1871" s="38"/>
      <c r="T1871" s="38"/>
      <c r="U1871" s="38"/>
      <c r="V1871" s="38"/>
      <c r="W1871" s="38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</row>
    <row r="1872" spans="1:36" ht="11.25" customHeight="1" x14ac:dyDescent="0.2">
      <c r="A1872" s="35" t="s">
        <v>30</v>
      </c>
      <c r="B1872" s="35" t="s">
        <v>39</v>
      </c>
      <c r="C1872" s="35" t="s">
        <v>23</v>
      </c>
      <c r="D1872" s="35" t="s">
        <v>45</v>
      </c>
      <c r="E1872" s="35" t="s">
        <v>25</v>
      </c>
      <c r="F1872" s="35" t="s">
        <v>25</v>
      </c>
      <c r="G1872" s="35" t="s">
        <v>25</v>
      </c>
      <c r="H1872" s="35" t="s">
        <v>25</v>
      </c>
      <c r="I1872" s="45">
        <v>44682</v>
      </c>
      <c r="J1872" s="46">
        <f>EFEITO!$J$1872*EFEITO!$Y$1872</f>
        <v>0</v>
      </c>
      <c r="K1872" s="46">
        <f ca="1">EFEITO!$L$1872*EFEITO!$Z$1872</f>
        <v>221240.8660667316</v>
      </c>
      <c r="L1872" s="46">
        <f>EFEITO!$N$1872*EFEITO!$AA$1872</f>
        <v>101621.40747241247</v>
      </c>
      <c r="M1872" s="46">
        <f>$J$1872-EFEITO!$K$1872*EFEITO!$Y$1872</f>
        <v>0</v>
      </c>
      <c r="N1872" s="46">
        <f ca="1">$K$1872-EFEITO!$M$1872*EFEITO!$Z$1872</f>
        <v>0</v>
      </c>
      <c r="O1872" s="46">
        <f>$L$1872-EFEITO!$O$1872*EFEITO!$AA$1872</f>
        <v>0</v>
      </c>
      <c r="P1872" s="38"/>
      <c r="Q1872" s="38"/>
      <c r="R1872" s="38"/>
      <c r="S1872" s="38"/>
      <c r="T1872" s="38"/>
      <c r="U1872" s="38"/>
      <c r="V1872" s="38"/>
      <c r="W1872" s="38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</row>
    <row r="1873" spans="1:36" ht="11.25" customHeight="1" x14ac:dyDescent="0.2">
      <c r="A1873" s="35" t="s">
        <v>30</v>
      </c>
      <c r="B1873" s="35" t="s">
        <v>39</v>
      </c>
      <c r="C1873" s="35" t="s">
        <v>23</v>
      </c>
      <c r="D1873" s="35" t="s">
        <v>45</v>
      </c>
      <c r="E1873" s="35" t="s">
        <v>25</v>
      </c>
      <c r="F1873" s="35" t="s">
        <v>25</v>
      </c>
      <c r="G1873" s="35" t="s">
        <v>25</v>
      </c>
      <c r="H1873" s="35" t="s">
        <v>25</v>
      </c>
      <c r="I1873" s="45">
        <v>44682</v>
      </c>
      <c r="J1873" s="46">
        <f>EFEITO!$J$1873*EFEITO!$Y$1873</f>
        <v>0</v>
      </c>
      <c r="K1873" s="46">
        <f ca="1">EFEITO!$L$1873*EFEITO!$Z$1873</f>
        <v>-383.19368393446973</v>
      </c>
      <c r="L1873" s="46">
        <f>EFEITO!$N$1873*EFEITO!$AA$1873</f>
        <v>-176.01034649816518</v>
      </c>
      <c r="M1873" s="46">
        <f>$J$1873-EFEITO!$K$1873*EFEITO!$Y$1873</f>
        <v>0</v>
      </c>
      <c r="N1873" s="46">
        <f ca="1">$K$1873-EFEITO!$M$1873*EFEITO!$Z$1873</f>
        <v>0</v>
      </c>
      <c r="O1873" s="46">
        <f>$L$1873-EFEITO!$O$1873*EFEITO!$AA$1873</f>
        <v>0</v>
      </c>
      <c r="P1873" s="38"/>
      <c r="Q1873" s="38"/>
      <c r="R1873" s="38"/>
      <c r="S1873" s="38"/>
      <c r="T1873" s="38"/>
      <c r="U1873" s="38"/>
      <c r="V1873" s="38"/>
      <c r="W1873" s="38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</row>
    <row r="1874" spans="1:36" ht="11.25" customHeight="1" x14ac:dyDescent="0.2">
      <c r="A1874" s="35" t="s">
        <v>21</v>
      </c>
      <c r="B1874" s="35" t="s">
        <v>39</v>
      </c>
      <c r="C1874" s="35" t="s">
        <v>23</v>
      </c>
      <c r="D1874" s="35" t="s">
        <v>45</v>
      </c>
      <c r="E1874" s="35" t="s">
        <v>25</v>
      </c>
      <c r="F1874" s="35" t="s">
        <v>25</v>
      </c>
      <c r="G1874" s="35" t="s">
        <v>25</v>
      </c>
      <c r="H1874" s="35" t="s">
        <v>25</v>
      </c>
      <c r="I1874" s="45">
        <v>44713</v>
      </c>
      <c r="J1874" s="46">
        <f>EFEITO!$J$1874*EFEITO!$Y$1874</f>
        <v>0</v>
      </c>
      <c r="K1874" s="46">
        <f ca="1">EFEITO!$L$1874*EFEITO!$Z$1874</f>
        <v>4547699.4500341322</v>
      </c>
      <c r="L1874" s="46">
        <f>EFEITO!$N$1874*EFEITO!$AA$1874</f>
        <v>2088870.9535904224</v>
      </c>
      <c r="M1874" s="46">
        <f>$J$1874-EFEITO!$K$1874*EFEITO!$Y$1874</f>
        <v>0</v>
      </c>
      <c r="N1874" s="46">
        <f ca="1">$K$1874-EFEITO!$M$1874*EFEITO!$Z$1874</f>
        <v>0</v>
      </c>
      <c r="O1874" s="46">
        <f>$L$1874-EFEITO!$O$1874*EFEITO!$AA$1874</f>
        <v>0</v>
      </c>
      <c r="P1874" s="38"/>
      <c r="Q1874" s="38"/>
      <c r="R1874" s="38"/>
      <c r="S1874" s="38"/>
      <c r="T1874" s="38"/>
      <c r="U1874" s="38"/>
      <c r="V1874" s="38"/>
      <c r="W1874" s="38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</row>
    <row r="1875" spans="1:36" ht="11.25" customHeight="1" x14ac:dyDescent="0.2">
      <c r="A1875" s="35" t="s">
        <v>27</v>
      </c>
      <c r="B1875" s="35" t="s">
        <v>39</v>
      </c>
      <c r="C1875" s="35" t="s">
        <v>23</v>
      </c>
      <c r="D1875" s="35" t="s">
        <v>45</v>
      </c>
      <c r="E1875" s="35" t="s">
        <v>25</v>
      </c>
      <c r="F1875" s="35" t="s">
        <v>25</v>
      </c>
      <c r="G1875" s="35" t="s">
        <v>25</v>
      </c>
      <c r="H1875" s="35" t="s">
        <v>25</v>
      </c>
      <c r="I1875" s="45">
        <v>44713</v>
      </c>
      <c r="J1875" s="46">
        <f>EFEITO!$J$1875*EFEITO!$Y$1875</f>
        <v>0</v>
      </c>
      <c r="K1875" s="46">
        <f ca="1">EFEITO!$L$1875*EFEITO!$Z$1875</f>
        <v>-6256.1516654936959</v>
      </c>
      <c r="L1875" s="46">
        <f>EFEITO!$N$1875*EFEITO!$AA$1875</f>
        <v>-2873.605355606348</v>
      </c>
      <c r="M1875" s="46">
        <f>$J$1875-EFEITO!$K$1875*EFEITO!$Y$1875</f>
        <v>0</v>
      </c>
      <c r="N1875" s="46">
        <f ca="1">$K$1875-EFEITO!$M$1875*EFEITO!$Z$1875</f>
        <v>0</v>
      </c>
      <c r="O1875" s="46">
        <f>$L$1875-EFEITO!$O$1875*EFEITO!$AA$1875</f>
        <v>0</v>
      </c>
      <c r="P1875" s="38"/>
      <c r="Q1875" s="38"/>
      <c r="R1875" s="38"/>
      <c r="S1875" s="38"/>
      <c r="T1875" s="38"/>
      <c r="U1875" s="38"/>
      <c r="V1875" s="38"/>
      <c r="W1875" s="38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</row>
    <row r="1876" spans="1:36" ht="11.25" customHeight="1" x14ac:dyDescent="0.2">
      <c r="A1876" s="35" t="s">
        <v>28</v>
      </c>
      <c r="B1876" s="35" t="s">
        <v>39</v>
      </c>
      <c r="C1876" s="35" t="s">
        <v>23</v>
      </c>
      <c r="D1876" s="35" t="s">
        <v>45</v>
      </c>
      <c r="E1876" s="35" t="s">
        <v>25</v>
      </c>
      <c r="F1876" s="35" t="s">
        <v>25</v>
      </c>
      <c r="G1876" s="35" t="s">
        <v>25</v>
      </c>
      <c r="H1876" s="35" t="s">
        <v>25</v>
      </c>
      <c r="I1876" s="45">
        <v>44713</v>
      </c>
      <c r="J1876" s="46">
        <f>EFEITO!$J$1876*EFEITO!$Y$1876</f>
        <v>0</v>
      </c>
      <c r="K1876" s="46">
        <f ca="1">EFEITO!$L$1876*EFEITO!$Z$1876</f>
        <v>1129698.6733587412</v>
      </c>
      <c r="L1876" s="46">
        <f>EFEITO!$N$1876*EFEITO!$AA$1876</f>
        <v>518898.57080836728</v>
      </c>
      <c r="M1876" s="46">
        <f>$J$1876-EFEITO!$K$1876*EFEITO!$Y$1876</f>
        <v>0</v>
      </c>
      <c r="N1876" s="46">
        <f ca="1">$K$1876-EFEITO!$M$1876*EFEITO!$Z$1876</f>
        <v>0</v>
      </c>
      <c r="O1876" s="46">
        <f>$L$1876-EFEITO!$O$1876*EFEITO!$AA$1876</f>
        <v>0</v>
      </c>
      <c r="P1876" s="38"/>
      <c r="Q1876" s="38"/>
      <c r="R1876" s="38"/>
      <c r="S1876" s="38"/>
      <c r="T1876" s="38"/>
      <c r="U1876" s="38"/>
      <c r="V1876" s="38"/>
      <c r="W1876" s="38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</row>
    <row r="1877" spans="1:36" ht="11.25" customHeight="1" x14ac:dyDescent="0.2">
      <c r="A1877" s="35" t="s">
        <v>29</v>
      </c>
      <c r="B1877" s="35" t="s">
        <v>39</v>
      </c>
      <c r="C1877" s="35" t="s">
        <v>23</v>
      </c>
      <c r="D1877" s="35" t="s">
        <v>45</v>
      </c>
      <c r="E1877" s="35" t="s">
        <v>25</v>
      </c>
      <c r="F1877" s="35" t="s">
        <v>25</v>
      </c>
      <c r="G1877" s="35" t="s">
        <v>25</v>
      </c>
      <c r="H1877" s="35" t="s">
        <v>25</v>
      </c>
      <c r="I1877" s="45">
        <v>44713</v>
      </c>
      <c r="J1877" s="46">
        <f>EFEITO!$J$1877*EFEITO!$Y$1877</f>
        <v>0</v>
      </c>
      <c r="K1877" s="46">
        <f ca="1">EFEITO!$L$1877*EFEITO!$Z$1877</f>
        <v>-2685.871325926008</v>
      </c>
      <c r="L1877" s="46">
        <f>EFEITO!$N$1877*EFEITO!$AA$1877</f>
        <v>-1233.6871993082402</v>
      </c>
      <c r="M1877" s="46">
        <f>$J$1877-EFEITO!$K$1877*EFEITO!$Y$1877</f>
        <v>0</v>
      </c>
      <c r="N1877" s="46">
        <f ca="1">$K$1877-EFEITO!$M$1877*EFEITO!$Z$1877</f>
        <v>0</v>
      </c>
      <c r="O1877" s="46">
        <f>$L$1877-EFEITO!$O$1877*EFEITO!$AA$1877</f>
        <v>0</v>
      </c>
      <c r="P1877" s="38"/>
      <c r="Q1877" s="38"/>
      <c r="R1877" s="38"/>
      <c r="S1877" s="38"/>
      <c r="T1877" s="38"/>
      <c r="U1877" s="38"/>
      <c r="V1877" s="38"/>
      <c r="W1877" s="38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</row>
    <row r="1878" spans="1:36" ht="11.25" customHeight="1" x14ac:dyDescent="0.2">
      <c r="A1878" s="35" t="s">
        <v>30</v>
      </c>
      <c r="B1878" s="35" t="s">
        <v>39</v>
      </c>
      <c r="C1878" s="35" t="s">
        <v>23</v>
      </c>
      <c r="D1878" s="35" t="s">
        <v>45</v>
      </c>
      <c r="E1878" s="35" t="s">
        <v>25</v>
      </c>
      <c r="F1878" s="35" t="s">
        <v>25</v>
      </c>
      <c r="G1878" s="35" t="s">
        <v>25</v>
      </c>
      <c r="H1878" s="35" t="s">
        <v>25</v>
      </c>
      <c r="I1878" s="45">
        <v>44713</v>
      </c>
      <c r="J1878" s="46">
        <f>EFEITO!$J$1878*EFEITO!$Y$1878</f>
        <v>0</v>
      </c>
      <c r="K1878" s="46">
        <f ca="1">EFEITO!$L$1878*EFEITO!$Z$1878</f>
        <v>243258.18075046313</v>
      </c>
      <c r="L1878" s="46">
        <f>EFEITO!$N$1878*EFEITO!$AA$1878</f>
        <v>111734.50523188764</v>
      </c>
      <c r="M1878" s="46">
        <f>$J$1878-EFEITO!$K$1878*EFEITO!$Y$1878</f>
        <v>0</v>
      </c>
      <c r="N1878" s="46">
        <f ca="1">$K$1878-EFEITO!$M$1878*EFEITO!$Z$1878</f>
        <v>0</v>
      </c>
      <c r="O1878" s="46">
        <f>$L$1878-EFEITO!$O$1878*EFEITO!$AA$1878</f>
        <v>0</v>
      </c>
      <c r="P1878" s="38"/>
      <c r="Q1878" s="38"/>
      <c r="R1878" s="38"/>
      <c r="S1878" s="38"/>
      <c r="T1878" s="38"/>
      <c r="U1878" s="38"/>
      <c r="V1878" s="38"/>
      <c r="W1878" s="38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</row>
    <row r="1879" spans="1:36" ht="11.25" customHeight="1" x14ac:dyDescent="0.2">
      <c r="A1879" s="35" t="s">
        <v>30</v>
      </c>
      <c r="B1879" s="35" t="s">
        <v>39</v>
      </c>
      <c r="C1879" s="35" t="s">
        <v>23</v>
      </c>
      <c r="D1879" s="35" t="s">
        <v>45</v>
      </c>
      <c r="E1879" s="35" t="s">
        <v>25</v>
      </c>
      <c r="F1879" s="35" t="s">
        <v>25</v>
      </c>
      <c r="G1879" s="35" t="s">
        <v>25</v>
      </c>
      <c r="H1879" s="35" t="s">
        <v>25</v>
      </c>
      <c r="I1879" s="45">
        <v>44713</v>
      </c>
      <c r="J1879" s="46">
        <f>EFEITO!$J$1879*EFEITO!$Y$1879</f>
        <v>0</v>
      </c>
      <c r="K1879" s="46">
        <f ca="1">EFEITO!$L$1879*EFEITO!$Z$1879</f>
        <v>-4066.4734715824393</v>
      </c>
      <c r="L1879" s="46">
        <f>EFEITO!$N$1879*EFEITO!$AA$1879</f>
        <v>-1867.8319470454041</v>
      </c>
      <c r="M1879" s="46">
        <f>$J$1879-EFEITO!$K$1879*EFEITO!$Y$1879</f>
        <v>0</v>
      </c>
      <c r="N1879" s="46">
        <f ca="1">$K$1879-EFEITO!$M$1879*EFEITO!$Z$1879</f>
        <v>0</v>
      </c>
      <c r="O1879" s="46">
        <f>$L$1879-EFEITO!$O$1879*EFEITO!$AA$1879</f>
        <v>0</v>
      </c>
      <c r="P1879" s="38"/>
      <c r="Q1879" s="38"/>
      <c r="R1879" s="38"/>
      <c r="S1879" s="38"/>
      <c r="T1879" s="38"/>
      <c r="U1879" s="38"/>
      <c r="V1879" s="38"/>
      <c r="W1879" s="38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</row>
    <row r="1880" spans="1:36" ht="11.25" customHeight="1" x14ac:dyDescent="0.2">
      <c r="A1880" s="35" t="s">
        <v>21</v>
      </c>
      <c r="B1880" s="35" t="s">
        <v>39</v>
      </c>
      <c r="C1880" s="35" t="s">
        <v>23</v>
      </c>
      <c r="D1880" s="35" t="s">
        <v>45</v>
      </c>
      <c r="E1880" s="35" t="s">
        <v>25</v>
      </c>
      <c r="F1880" s="35" t="s">
        <v>25</v>
      </c>
      <c r="G1880" s="35" t="s">
        <v>25</v>
      </c>
      <c r="H1880" s="35" t="s">
        <v>25</v>
      </c>
      <c r="I1880" s="45">
        <v>44743</v>
      </c>
      <c r="J1880" s="46">
        <f>EFEITO!$J$1880*EFEITO!$Y$1880</f>
        <v>0</v>
      </c>
      <c r="K1880" s="46">
        <f ca="1">EFEITO!$L$1880*EFEITO!$Z$1880</f>
        <v>5149139.7657710901</v>
      </c>
      <c r="L1880" s="46">
        <f>EFEITO!$N$1880*EFEITO!$AA$1880</f>
        <v>2365127.3816293855</v>
      </c>
      <c r="M1880" s="46">
        <f>$J$1880-EFEITO!$K$1880*EFEITO!$Y$1880</f>
        <v>0</v>
      </c>
      <c r="N1880" s="46">
        <f ca="1">$K$1880-EFEITO!$M$1880*EFEITO!$Z$1880</f>
        <v>0</v>
      </c>
      <c r="O1880" s="46">
        <f>$L$1880-EFEITO!$O$1880*EFEITO!$AA$1880</f>
        <v>0</v>
      </c>
      <c r="P1880" s="38"/>
      <c r="Q1880" s="38"/>
      <c r="R1880" s="38"/>
      <c r="S1880" s="38"/>
      <c r="T1880" s="38"/>
      <c r="U1880" s="38"/>
      <c r="V1880" s="38"/>
      <c r="W1880" s="38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</row>
    <row r="1881" spans="1:36" ht="11.25" customHeight="1" x14ac:dyDescent="0.2">
      <c r="A1881" s="35" t="s">
        <v>27</v>
      </c>
      <c r="B1881" s="35" t="s">
        <v>39</v>
      </c>
      <c r="C1881" s="35" t="s">
        <v>23</v>
      </c>
      <c r="D1881" s="35" t="s">
        <v>45</v>
      </c>
      <c r="E1881" s="35" t="s">
        <v>25</v>
      </c>
      <c r="F1881" s="35" t="s">
        <v>25</v>
      </c>
      <c r="G1881" s="35" t="s">
        <v>25</v>
      </c>
      <c r="H1881" s="35" t="s">
        <v>25</v>
      </c>
      <c r="I1881" s="45">
        <v>44743</v>
      </c>
      <c r="J1881" s="46">
        <f>EFEITO!$J$1881*EFEITO!$Y$1881</f>
        <v>0</v>
      </c>
      <c r="K1881" s="46">
        <f ca="1">EFEITO!$L$1881*EFEITO!$Z$1881</f>
        <v>-37573.069816347859</v>
      </c>
      <c r="L1881" s="46">
        <f>EFEITO!$N$1881*EFEITO!$AA$1881</f>
        <v>-17258.24123579781</v>
      </c>
      <c r="M1881" s="46">
        <f>$J$1881-EFEITO!$K$1881*EFEITO!$Y$1881</f>
        <v>0</v>
      </c>
      <c r="N1881" s="46">
        <f ca="1">$K$1881-EFEITO!$M$1881*EFEITO!$Z$1881</f>
        <v>0</v>
      </c>
      <c r="O1881" s="46">
        <f>$L$1881-EFEITO!$O$1881*EFEITO!$AA$1881</f>
        <v>0</v>
      </c>
      <c r="P1881" s="38"/>
      <c r="Q1881" s="38"/>
      <c r="R1881" s="38"/>
      <c r="S1881" s="38"/>
      <c r="T1881" s="38"/>
      <c r="U1881" s="38"/>
      <c r="V1881" s="38"/>
      <c r="W1881" s="38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</row>
    <row r="1882" spans="1:36" ht="11.25" customHeight="1" x14ac:dyDescent="0.2">
      <c r="A1882" s="35" t="s">
        <v>28</v>
      </c>
      <c r="B1882" s="35" t="s">
        <v>39</v>
      </c>
      <c r="C1882" s="35" t="s">
        <v>23</v>
      </c>
      <c r="D1882" s="35" t="s">
        <v>45</v>
      </c>
      <c r="E1882" s="35" t="s">
        <v>25</v>
      </c>
      <c r="F1882" s="35" t="s">
        <v>25</v>
      </c>
      <c r="G1882" s="35" t="s">
        <v>25</v>
      </c>
      <c r="H1882" s="35" t="s">
        <v>25</v>
      </c>
      <c r="I1882" s="45">
        <v>44743</v>
      </c>
      <c r="J1882" s="46">
        <f>EFEITO!$J$1882*EFEITO!$Y$1882</f>
        <v>0</v>
      </c>
      <c r="K1882" s="46">
        <f ca="1">EFEITO!$L$1882*EFEITO!$Z$1882</f>
        <v>1242358.6208750138</v>
      </c>
      <c r="L1882" s="46">
        <f>EFEITO!$N$1882*EFEITO!$AA$1882</f>
        <v>570646.07404277672</v>
      </c>
      <c r="M1882" s="46">
        <f>$J$1882-EFEITO!$K$1882*EFEITO!$Y$1882</f>
        <v>0</v>
      </c>
      <c r="N1882" s="46">
        <f ca="1">$K$1882-EFEITO!$M$1882*EFEITO!$Z$1882</f>
        <v>0</v>
      </c>
      <c r="O1882" s="46">
        <f>$L$1882-EFEITO!$O$1882*EFEITO!$AA$1882</f>
        <v>0</v>
      </c>
      <c r="P1882" s="38"/>
      <c r="Q1882" s="38"/>
      <c r="R1882" s="38"/>
      <c r="S1882" s="38"/>
      <c r="T1882" s="38"/>
      <c r="U1882" s="38"/>
      <c r="V1882" s="38"/>
      <c r="W1882" s="38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</row>
    <row r="1883" spans="1:36" ht="11.25" customHeight="1" x14ac:dyDescent="0.2">
      <c r="A1883" s="35" t="s">
        <v>29</v>
      </c>
      <c r="B1883" s="35" t="s">
        <v>39</v>
      </c>
      <c r="C1883" s="35" t="s">
        <v>23</v>
      </c>
      <c r="D1883" s="35" t="s">
        <v>45</v>
      </c>
      <c r="E1883" s="35" t="s">
        <v>25</v>
      </c>
      <c r="F1883" s="35" t="s">
        <v>25</v>
      </c>
      <c r="G1883" s="35" t="s">
        <v>25</v>
      </c>
      <c r="H1883" s="35" t="s">
        <v>25</v>
      </c>
      <c r="I1883" s="45">
        <v>44743</v>
      </c>
      <c r="J1883" s="46">
        <f>EFEITO!$J$1883*EFEITO!$Y$1883</f>
        <v>0</v>
      </c>
      <c r="K1883" s="46">
        <f ca="1">EFEITO!$L$1883*EFEITO!$Z$1883</f>
        <v>-512.2641646306148</v>
      </c>
      <c r="L1883" s="46">
        <f>EFEITO!$N$1883*EFEITO!$AA$1883</f>
        <v>-235.29561392939513</v>
      </c>
      <c r="M1883" s="46">
        <f>$J$1883-EFEITO!$K$1883*EFEITO!$Y$1883</f>
        <v>0</v>
      </c>
      <c r="N1883" s="46">
        <f ca="1">$K$1883-EFEITO!$M$1883*EFEITO!$Z$1883</f>
        <v>0</v>
      </c>
      <c r="O1883" s="46">
        <f>$L$1883-EFEITO!$O$1883*EFEITO!$AA$1883</f>
        <v>0</v>
      </c>
      <c r="P1883" s="38"/>
      <c r="Q1883" s="38"/>
      <c r="R1883" s="38"/>
      <c r="S1883" s="38"/>
      <c r="T1883" s="38"/>
      <c r="U1883" s="38"/>
      <c r="V1883" s="38"/>
      <c r="W1883" s="38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</row>
    <row r="1884" spans="1:36" ht="11.25" customHeight="1" x14ac:dyDescent="0.2">
      <c r="A1884" s="35" t="s">
        <v>30</v>
      </c>
      <c r="B1884" s="35" t="s">
        <v>39</v>
      </c>
      <c r="C1884" s="35" t="s">
        <v>23</v>
      </c>
      <c r="D1884" s="35" t="s">
        <v>45</v>
      </c>
      <c r="E1884" s="35" t="s">
        <v>25</v>
      </c>
      <c r="F1884" s="35" t="s">
        <v>25</v>
      </c>
      <c r="G1884" s="35" t="s">
        <v>25</v>
      </c>
      <c r="H1884" s="35" t="s">
        <v>25</v>
      </c>
      <c r="I1884" s="45">
        <v>44743</v>
      </c>
      <c r="J1884" s="46">
        <f>EFEITO!$J$1884*EFEITO!$Y$1884</f>
        <v>0</v>
      </c>
      <c r="K1884" s="46">
        <f ca="1">EFEITO!$L$1884*EFEITO!$Z$1884</f>
        <v>273623.89465836593</v>
      </c>
      <c r="L1884" s="46">
        <f>EFEITO!$N$1884*EFEITO!$AA$1884</f>
        <v>125682.22945248862</v>
      </c>
      <c r="M1884" s="46">
        <f>$J$1884-EFEITO!$K$1884*EFEITO!$Y$1884</f>
        <v>0</v>
      </c>
      <c r="N1884" s="46">
        <f ca="1">$K$1884-EFEITO!$M$1884*EFEITO!$Z$1884</f>
        <v>0</v>
      </c>
      <c r="O1884" s="46">
        <f>$L$1884-EFEITO!$O$1884*EFEITO!$AA$1884</f>
        <v>0</v>
      </c>
      <c r="P1884" s="38"/>
      <c r="Q1884" s="38"/>
      <c r="R1884" s="38"/>
      <c r="S1884" s="38"/>
      <c r="T1884" s="38"/>
      <c r="U1884" s="38"/>
      <c r="V1884" s="38"/>
      <c r="W1884" s="38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</row>
    <row r="1885" spans="1:36" ht="11.25" customHeight="1" x14ac:dyDescent="0.2">
      <c r="A1885" s="35" t="s">
        <v>21</v>
      </c>
      <c r="B1885" s="35" t="s">
        <v>39</v>
      </c>
      <c r="C1885" s="35" t="s">
        <v>23</v>
      </c>
      <c r="D1885" s="35" t="s">
        <v>45</v>
      </c>
      <c r="E1885" s="35" t="s">
        <v>25</v>
      </c>
      <c r="F1885" s="35" t="s">
        <v>25</v>
      </c>
      <c r="G1885" s="35" t="s">
        <v>25</v>
      </c>
      <c r="H1885" s="35" t="s">
        <v>25</v>
      </c>
      <c r="I1885" s="45">
        <v>44774</v>
      </c>
      <c r="J1885" s="46">
        <f>EFEITO!$J$1885*EFEITO!$Y$1885</f>
        <v>0</v>
      </c>
      <c r="K1885" s="46">
        <f ca="1">EFEITO!$L$1885*EFEITO!$Z$1885</f>
        <v>5289790.9321262715</v>
      </c>
      <c r="L1885" s="46">
        <f>EFEITO!$N$1885*EFEITO!$AA$1885</f>
        <v>2429731.9447092405</v>
      </c>
      <c r="M1885" s="46">
        <f>$J$1885-EFEITO!$K$1885*EFEITO!$Y$1885</f>
        <v>0</v>
      </c>
      <c r="N1885" s="46">
        <f ca="1">$K$1885-EFEITO!$M$1885*EFEITO!$Z$1885</f>
        <v>0</v>
      </c>
      <c r="O1885" s="46">
        <f>$L$1885-EFEITO!$O$1885*EFEITO!$AA$1885</f>
        <v>0</v>
      </c>
      <c r="P1885" s="38"/>
      <c r="Q1885" s="38"/>
      <c r="R1885" s="38"/>
      <c r="S1885" s="38"/>
      <c r="T1885" s="38"/>
      <c r="U1885" s="38"/>
      <c r="V1885" s="38"/>
      <c r="W1885" s="38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</row>
    <row r="1886" spans="1:36" ht="11.25" customHeight="1" x14ac:dyDescent="0.2">
      <c r="A1886" s="35" t="s">
        <v>27</v>
      </c>
      <c r="B1886" s="35" t="s">
        <v>39</v>
      </c>
      <c r="C1886" s="35" t="s">
        <v>23</v>
      </c>
      <c r="D1886" s="35" t="s">
        <v>45</v>
      </c>
      <c r="E1886" s="35" t="s">
        <v>25</v>
      </c>
      <c r="F1886" s="35" t="s">
        <v>25</v>
      </c>
      <c r="G1886" s="35" t="s">
        <v>25</v>
      </c>
      <c r="H1886" s="35" t="s">
        <v>25</v>
      </c>
      <c r="I1886" s="45">
        <v>44774</v>
      </c>
      <c r="J1886" s="46">
        <f>EFEITO!$J$1886*EFEITO!$Y$1886</f>
        <v>0</v>
      </c>
      <c r="K1886" s="46">
        <f ca="1">EFEITO!$L$1886*EFEITO!$Z$1886</f>
        <v>-101307.77185224277</v>
      </c>
      <c r="L1886" s="46">
        <f>EFEITO!$N$1886*EFEITO!$AA$1886</f>
        <v>-46533.167884154493</v>
      </c>
      <c r="M1886" s="46">
        <f>$J$1886-EFEITO!$K$1886*EFEITO!$Y$1886</f>
        <v>0</v>
      </c>
      <c r="N1886" s="46">
        <f ca="1">$K$1886-EFEITO!$M$1886*EFEITO!$Z$1886</f>
        <v>0</v>
      </c>
      <c r="O1886" s="46">
        <f>$L$1886-EFEITO!$O$1886*EFEITO!$AA$1886</f>
        <v>0</v>
      </c>
      <c r="P1886" s="38"/>
      <c r="Q1886" s="38"/>
      <c r="R1886" s="38"/>
      <c r="S1886" s="38"/>
      <c r="T1886" s="38"/>
      <c r="U1886" s="38"/>
      <c r="V1886" s="38"/>
      <c r="W1886" s="38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</row>
    <row r="1887" spans="1:36" ht="11.25" customHeight="1" x14ac:dyDescent="0.2">
      <c r="A1887" s="35" t="s">
        <v>28</v>
      </c>
      <c r="B1887" s="35" t="s">
        <v>39</v>
      </c>
      <c r="C1887" s="35" t="s">
        <v>23</v>
      </c>
      <c r="D1887" s="35" t="s">
        <v>45</v>
      </c>
      <c r="E1887" s="35" t="s">
        <v>25</v>
      </c>
      <c r="F1887" s="35" t="s">
        <v>25</v>
      </c>
      <c r="G1887" s="35" t="s">
        <v>25</v>
      </c>
      <c r="H1887" s="35" t="s">
        <v>25</v>
      </c>
      <c r="I1887" s="45">
        <v>44774</v>
      </c>
      <c r="J1887" s="46">
        <f>EFEITO!$J$1887*EFEITO!$Y$1887</f>
        <v>0</v>
      </c>
      <c r="K1887" s="46">
        <f ca="1">EFEITO!$L$1887*EFEITO!$Z$1887</f>
        <v>1244899.8529073971</v>
      </c>
      <c r="L1887" s="46">
        <f>EFEITO!$N$1887*EFEITO!$AA$1887</f>
        <v>571813.32483344607</v>
      </c>
      <c r="M1887" s="46">
        <f>$J$1887-EFEITO!$K$1887*EFEITO!$Y$1887</f>
        <v>0</v>
      </c>
      <c r="N1887" s="46">
        <f ca="1">$K$1887-EFEITO!$M$1887*EFEITO!$Z$1887</f>
        <v>0</v>
      </c>
      <c r="O1887" s="46">
        <f>$L$1887-EFEITO!$O$1887*EFEITO!$AA$1887</f>
        <v>0</v>
      </c>
      <c r="P1887" s="38"/>
      <c r="Q1887" s="38"/>
      <c r="R1887" s="38"/>
      <c r="S1887" s="38"/>
      <c r="T1887" s="38"/>
      <c r="U1887" s="38"/>
      <c r="V1887" s="38"/>
      <c r="W1887" s="38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</row>
    <row r="1888" spans="1:36" ht="11.25" customHeight="1" x14ac:dyDescent="0.2">
      <c r="A1888" s="35" t="s">
        <v>29</v>
      </c>
      <c r="B1888" s="35" t="s">
        <v>39</v>
      </c>
      <c r="C1888" s="35" t="s">
        <v>23</v>
      </c>
      <c r="D1888" s="35" t="s">
        <v>45</v>
      </c>
      <c r="E1888" s="35" t="s">
        <v>25</v>
      </c>
      <c r="F1888" s="35" t="s">
        <v>25</v>
      </c>
      <c r="G1888" s="35" t="s">
        <v>25</v>
      </c>
      <c r="H1888" s="35" t="s">
        <v>25</v>
      </c>
      <c r="I1888" s="45">
        <v>44774</v>
      </c>
      <c r="J1888" s="46">
        <f>EFEITO!$J$1888*EFEITO!$Y$1888</f>
        <v>0</v>
      </c>
      <c r="K1888" s="46">
        <f ca="1">EFEITO!$L$1888*EFEITO!$Z$1888</f>
        <v>-1221.3984788055443</v>
      </c>
      <c r="L1888" s="46">
        <f>EFEITO!$N$1888*EFEITO!$AA$1888</f>
        <v>-561.01856183949894</v>
      </c>
      <c r="M1888" s="46">
        <f>$J$1888-EFEITO!$K$1888*EFEITO!$Y$1888</f>
        <v>0</v>
      </c>
      <c r="N1888" s="46">
        <f ca="1">$K$1888-EFEITO!$M$1888*EFEITO!$Z$1888</f>
        <v>0</v>
      </c>
      <c r="O1888" s="46">
        <f>$L$1888-EFEITO!$O$1888*EFEITO!$AA$1888</f>
        <v>0</v>
      </c>
      <c r="P1888" s="38"/>
      <c r="Q1888" s="38"/>
      <c r="R1888" s="38"/>
      <c r="S1888" s="38"/>
      <c r="T1888" s="38"/>
      <c r="U1888" s="38"/>
      <c r="V1888" s="38"/>
      <c r="W1888" s="38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</row>
    <row r="1889" spans="1:36" ht="11.25" customHeight="1" x14ac:dyDescent="0.2">
      <c r="A1889" s="35" t="s">
        <v>30</v>
      </c>
      <c r="B1889" s="35" t="s">
        <v>39</v>
      </c>
      <c r="C1889" s="35" t="s">
        <v>23</v>
      </c>
      <c r="D1889" s="35" t="s">
        <v>45</v>
      </c>
      <c r="E1889" s="35" t="s">
        <v>25</v>
      </c>
      <c r="F1889" s="35" t="s">
        <v>25</v>
      </c>
      <c r="G1889" s="35" t="s">
        <v>25</v>
      </c>
      <c r="H1889" s="35" t="s">
        <v>25</v>
      </c>
      <c r="I1889" s="45">
        <v>44774</v>
      </c>
      <c r="J1889" s="46">
        <f>EFEITO!$J$1889*EFEITO!$Y$1889</f>
        <v>0</v>
      </c>
      <c r="K1889" s="46">
        <f ca="1">EFEITO!$L$1889*EFEITO!$Z$1889</f>
        <v>280774.49973288621</v>
      </c>
      <c r="L1889" s="46">
        <f>EFEITO!$N$1889*EFEITO!$AA$1889</f>
        <v>128966.67940457366</v>
      </c>
      <c r="M1889" s="46">
        <f>$J$1889-EFEITO!$K$1889*EFEITO!$Y$1889</f>
        <v>0</v>
      </c>
      <c r="N1889" s="46">
        <f ca="1">$K$1889-EFEITO!$M$1889*EFEITO!$Z$1889</f>
        <v>0</v>
      </c>
      <c r="O1889" s="46">
        <f>$L$1889-EFEITO!$O$1889*EFEITO!$AA$1889</f>
        <v>0</v>
      </c>
      <c r="P1889" s="38"/>
      <c r="Q1889" s="38"/>
      <c r="R1889" s="38"/>
      <c r="S1889" s="38"/>
      <c r="T1889" s="38"/>
      <c r="U1889" s="38"/>
      <c r="V1889" s="38"/>
      <c r="W1889" s="38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</row>
    <row r="1890" spans="1:36" ht="11.25" customHeight="1" x14ac:dyDescent="0.2">
      <c r="A1890" s="35" t="s">
        <v>30</v>
      </c>
      <c r="B1890" s="35" t="s">
        <v>39</v>
      </c>
      <c r="C1890" s="35" t="s">
        <v>23</v>
      </c>
      <c r="D1890" s="35" t="s">
        <v>45</v>
      </c>
      <c r="E1890" s="35" t="s">
        <v>25</v>
      </c>
      <c r="F1890" s="35" t="s">
        <v>25</v>
      </c>
      <c r="G1890" s="35" t="s">
        <v>25</v>
      </c>
      <c r="H1890" s="35" t="s">
        <v>25</v>
      </c>
      <c r="I1890" s="45">
        <v>44774</v>
      </c>
      <c r="J1890" s="46">
        <f>EFEITO!$J$1890*EFEITO!$Y$1890</f>
        <v>0</v>
      </c>
      <c r="K1890" s="46">
        <f ca="1">EFEITO!$L$1890*EFEITO!$Z$1890</f>
        <v>-7739.2066440762501</v>
      </c>
      <c r="L1890" s="46">
        <f>EFEITO!$N$1890*EFEITO!$AA$1890</f>
        <v>-3554.8092261293909</v>
      </c>
      <c r="M1890" s="46">
        <f>$J$1890-EFEITO!$K$1890*EFEITO!$Y$1890</f>
        <v>0</v>
      </c>
      <c r="N1890" s="46">
        <f ca="1">$K$1890-EFEITO!$M$1890*EFEITO!$Z$1890</f>
        <v>0</v>
      </c>
      <c r="O1890" s="46">
        <f>$L$1890-EFEITO!$O$1890*EFEITO!$AA$1890</f>
        <v>0</v>
      </c>
      <c r="P1890" s="38"/>
      <c r="Q1890" s="38"/>
      <c r="R1890" s="38"/>
      <c r="S1890" s="38"/>
      <c r="T1890" s="38"/>
      <c r="U1890" s="38"/>
      <c r="V1890" s="38"/>
      <c r="W1890" s="38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</row>
    <row r="1891" spans="1:36" ht="11.25" customHeight="1" x14ac:dyDescent="0.2">
      <c r="A1891" s="35" t="s">
        <v>21</v>
      </c>
      <c r="B1891" s="35" t="s">
        <v>39</v>
      </c>
      <c r="C1891" s="35" t="s">
        <v>23</v>
      </c>
      <c r="D1891" s="35" t="s">
        <v>45</v>
      </c>
      <c r="E1891" s="35" t="s">
        <v>25</v>
      </c>
      <c r="F1891" s="35" t="s">
        <v>25</v>
      </c>
      <c r="G1891" s="35" t="s">
        <v>25</v>
      </c>
      <c r="H1891" s="35" t="s">
        <v>25</v>
      </c>
      <c r="I1891" s="45">
        <v>44805</v>
      </c>
      <c r="J1891" s="46">
        <f>EFEITO!$J$1891*EFEITO!$Y$1891</f>
        <v>0</v>
      </c>
      <c r="K1891" s="46">
        <f ca="1">EFEITO!$L$1891*EFEITO!$Z$1891</f>
        <v>5169502.7685349267</v>
      </c>
      <c r="L1891" s="46">
        <f>EFEITO!$N$1891*EFEITO!$AA$1891</f>
        <v>2374480.6129650534</v>
      </c>
      <c r="M1891" s="46">
        <f>$J$1891-EFEITO!$K$1891*EFEITO!$Y$1891</f>
        <v>0</v>
      </c>
      <c r="N1891" s="46">
        <f ca="1">$K$1891-EFEITO!$M$1891*EFEITO!$Z$1891</f>
        <v>0</v>
      </c>
      <c r="O1891" s="46">
        <f>$L$1891-EFEITO!$O$1891*EFEITO!$AA$1891</f>
        <v>0</v>
      </c>
      <c r="P1891" s="38"/>
      <c r="Q1891" s="38"/>
      <c r="R1891" s="38"/>
      <c r="S1891" s="38"/>
      <c r="T1891" s="38"/>
      <c r="U1891" s="38"/>
      <c r="V1891" s="38"/>
      <c r="W1891" s="38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</row>
    <row r="1892" spans="1:36" ht="11.25" customHeight="1" x14ac:dyDescent="0.2">
      <c r="A1892" s="35" t="s">
        <v>27</v>
      </c>
      <c r="B1892" s="35" t="s">
        <v>39</v>
      </c>
      <c r="C1892" s="35" t="s">
        <v>23</v>
      </c>
      <c r="D1892" s="35" t="s">
        <v>45</v>
      </c>
      <c r="E1892" s="35" t="s">
        <v>25</v>
      </c>
      <c r="F1892" s="35" t="s">
        <v>25</v>
      </c>
      <c r="G1892" s="35" t="s">
        <v>25</v>
      </c>
      <c r="H1892" s="35" t="s">
        <v>25</v>
      </c>
      <c r="I1892" s="45">
        <v>44805</v>
      </c>
      <c r="J1892" s="46">
        <f>EFEITO!$J$1892*EFEITO!$Y$1892</f>
        <v>0</v>
      </c>
      <c r="K1892" s="46">
        <f ca="1">EFEITO!$L$1892*EFEITO!$Z$1892</f>
        <v>-7995.8409461608026</v>
      </c>
      <c r="L1892" s="46">
        <f>EFEITO!$N$1892*EFEITO!$AA$1892</f>
        <v>-3672.6877150685291</v>
      </c>
      <c r="M1892" s="46">
        <f>$J$1892-EFEITO!$K$1892*EFEITO!$Y$1892</f>
        <v>0</v>
      </c>
      <c r="N1892" s="46">
        <f ca="1">$K$1892-EFEITO!$M$1892*EFEITO!$Z$1892</f>
        <v>0</v>
      </c>
      <c r="O1892" s="46">
        <f>$L$1892-EFEITO!$O$1892*EFEITO!$AA$1892</f>
        <v>0</v>
      </c>
      <c r="P1892" s="38"/>
      <c r="Q1892" s="38"/>
      <c r="R1892" s="38"/>
      <c r="S1892" s="38"/>
      <c r="T1892" s="38"/>
      <c r="U1892" s="38"/>
      <c r="V1892" s="38"/>
      <c r="W1892" s="38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</row>
    <row r="1893" spans="1:36" ht="11.25" customHeight="1" x14ac:dyDescent="0.2">
      <c r="A1893" s="35" t="s">
        <v>28</v>
      </c>
      <c r="B1893" s="35" t="s">
        <v>39</v>
      </c>
      <c r="C1893" s="35" t="s">
        <v>23</v>
      </c>
      <c r="D1893" s="35" t="s">
        <v>45</v>
      </c>
      <c r="E1893" s="35" t="s">
        <v>25</v>
      </c>
      <c r="F1893" s="35" t="s">
        <v>25</v>
      </c>
      <c r="G1893" s="35" t="s">
        <v>25</v>
      </c>
      <c r="H1893" s="35" t="s">
        <v>25</v>
      </c>
      <c r="I1893" s="45">
        <v>44805</v>
      </c>
      <c r="J1893" s="46">
        <f>EFEITO!$J$1893*EFEITO!$Y$1893</f>
        <v>0</v>
      </c>
      <c r="K1893" s="46">
        <f ca="1">EFEITO!$L$1893*EFEITO!$Z$1893</f>
        <v>1270101.7431479155</v>
      </c>
      <c r="L1893" s="46">
        <f>EFEITO!$N$1893*EFEITO!$AA$1893</f>
        <v>583389.17699284898</v>
      </c>
      <c r="M1893" s="46">
        <f>$J$1893-EFEITO!$K$1893*EFEITO!$Y$1893</f>
        <v>0</v>
      </c>
      <c r="N1893" s="46">
        <f ca="1">$K$1893-EFEITO!$M$1893*EFEITO!$Z$1893</f>
        <v>0</v>
      </c>
      <c r="O1893" s="46">
        <f>$L$1893-EFEITO!$O$1893*EFEITO!$AA$1893</f>
        <v>0</v>
      </c>
      <c r="P1893" s="38"/>
      <c r="Q1893" s="38"/>
      <c r="R1893" s="38"/>
      <c r="S1893" s="38"/>
      <c r="T1893" s="38"/>
      <c r="U1893" s="38"/>
      <c r="V1893" s="38"/>
      <c r="W1893" s="38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</row>
    <row r="1894" spans="1:36" ht="11.25" customHeight="1" x14ac:dyDescent="0.2">
      <c r="A1894" s="35" t="s">
        <v>29</v>
      </c>
      <c r="B1894" s="35" t="s">
        <v>39</v>
      </c>
      <c r="C1894" s="35" t="s">
        <v>23</v>
      </c>
      <c r="D1894" s="35" t="s">
        <v>45</v>
      </c>
      <c r="E1894" s="35" t="s">
        <v>25</v>
      </c>
      <c r="F1894" s="35" t="s">
        <v>25</v>
      </c>
      <c r="G1894" s="35" t="s">
        <v>25</v>
      </c>
      <c r="H1894" s="35" t="s">
        <v>25</v>
      </c>
      <c r="I1894" s="45">
        <v>44805</v>
      </c>
      <c r="J1894" s="46">
        <f>EFEITO!$J$1894*EFEITO!$Y$1894</f>
        <v>0</v>
      </c>
      <c r="K1894" s="46">
        <f ca="1">EFEITO!$L$1894*EFEITO!$Z$1894</f>
        <v>-7669.3980961510979</v>
      </c>
      <c r="L1894" s="46">
        <f>EFEITO!$N$1894*EFEITO!$AA$1894</f>
        <v>-3522.7444316821502</v>
      </c>
      <c r="M1894" s="46">
        <f>$J$1894-EFEITO!$K$1894*EFEITO!$Y$1894</f>
        <v>0</v>
      </c>
      <c r="N1894" s="46">
        <f ca="1">$K$1894-EFEITO!$M$1894*EFEITO!$Z$1894</f>
        <v>0</v>
      </c>
      <c r="O1894" s="46">
        <f>$L$1894-EFEITO!$O$1894*EFEITO!$AA$1894</f>
        <v>0</v>
      </c>
      <c r="P1894" s="38"/>
      <c r="Q1894" s="38"/>
      <c r="R1894" s="38"/>
      <c r="S1894" s="38"/>
      <c r="T1894" s="38"/>
      <c r="U1894" s="38"/>
      <c r="V1894" s="38"/>
      <c r="W1894" s="38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</row>
    <row r="1895" spans="1:36" ht="11.25" customHeight="1" x14ac:dyDescent="0.2">
      <c r="A1895" s="35" t="s">
        <v>30</v>
      </c>
      <c r="B1895" s="35" t="s">
        <v>39</v>
      </c>
      <c r="C1895" s="35" t="s">
        <v>23</v>
      </c>
      <c r="D1895" s="35" t="s">
        <v>45</v>
      </c>
      <c r="E1895" s="35" t="s">
        <v>25</v>
      </c>
      <c r="F1895" s="35" t="s">
        <v>25</v>
      </c>
      <c r="G1895" s="35" t="s">
        <v>25</v>
      </c>
      <c r="H1895" s="35" t="s">
        <v>25</v>
      </c>
      <c r="I1895" s="45">
        <v>44805</v>
      </c>
      <c r="J1895" s="46">
        <f>EFEITO!$J$1895*EFEITO!$Y$1895</f>
        <v>0</v>
      </c>
      <c r="K1895" s="46">
        <f ca="1">EFEITO!$L$1895*EFEITO!$Z$1895</f>
        <v>264157.55422785372</v>
      </c>
      <c r="L1895" s="46">
        <f>EFEITO!$N$1895*EFEITO!$AA$1895</f>
        <v>121334.10491625809</v>
      </c>
      <c r="M1895" s="46">
        <f>$J$1895-EFEITO!$K$1895*EFEITO!$Y$1895</f>
        <v>0</v>
      </c>
      <c r="N1895" s="46">
        <f ca="1">$K$1895-EFEITO!$M$1895*EFEITO!$Z$1895</f>
        <v>0</v>
      </c>
      <c r="O1895" s="46">
        <f>$L$1895-EFEITO!$O$1895*EFEITO!$AA$1895</f>
        <v>0</v>
      </c>
      <c r="P1895" s="38"/>
      <c r="Q1895" s="38"/>
      <c r="R1895" s="38"/>
      <c r="S1895" s="38"/>
      <c r="T1895" s="38"/>
      <c r="U1895" s="38"/>
      <c r="V1895" s="38"/>
      <c r="W1895" s="38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</row>
    <row r="1896" spans="1:36" ht="11.25" customHeight="1" x14ac:dyDescent="0.2">
      <c r="A1896" s="35" t="s">
        <v>30</v>
      </c>
      <c r="B1896" s="35" t="s">
        <v>39</v>
      </c>
      <c r="C1896" s="35" t="s">
        <v>23</v>
      </c>
      <c r="D1896" s="35" t="s">
        <v>45</v>
      </c>
      <c r="E1896" s="35" t="s">
        <v>25</v>
      </c>
      <c r="F1896" s="35" t="s">
        <v>25</v>
      </c>
      <c r="G1896" s="35" t="s">
        <v>25</v>
      </c>
      <c r="H1896" s="35" t="s">
        <v>25</v>
      </c>
      <c r="I1896" s="45">
        <v>44805</v>
      </c>
      <c r="J1896" s="46">
        <f>EFEITO!$J$1896*EFEITO!$Y$1896</f>
        <v>0</v>
      </c>
      <c r="K1896" s="46">
        <f ca="1">EFEITO!$L$1896*EFEITO!$Z$1896</f>
        <v>-416.8424084739317</v>
      </c>
      <c r="L1896" s="46">
        <f>EFEITO!$N$1896*EFEITO!$AA$1896</f>
        <v>-191.46603878568425</v>
      </c>
      <c r="M1896" s="46">
        <f>$J$1896-EFEITO!$K$1896*EFEITO!$Y$1896</f>
        <v>0</v>
      </c>
      <c r="N1896" s="46">
        <f ca="1">$K$1896-EFEITO!$M$1896*EFEITO!$Z$1896</f>
        <v>0</v>
      </c>
      <c r="O1896" s="46">
        <f>$L$1896-EFEITO!$O$1896*EFEITO!$AA$1896</f>
        <v>0</v>
      </c>
      <c r="P1896" s="38"/>
      <c r="Q1896" s="38"/>
      <c r="R1896" s="38"/>
      <c r="S1896" s="38"/>
      <c r="T1896" s="38"/>
      <c r="U1896" s="38"/>
      <c r="V1896" s="38"/>
      <c r="W1896" s="38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</row>
    <row r="1897" spans="1:36" ht="11.25" customHeight="1" x14ac:dyDescent="0.2">
      <c r="A1897" s="35" t="s">
        <v>21</v>
      </c>
      <c r="B1897" s="35" t="s">
        <v>39</v>
      </c>
      <c r="C1897" s="35" t="s">
        <v>23</v>
      </c>
      <c r="D1897" s="35" t="s">
        <v>45</v>
      </c>
      <c r="E1897" s="35" t="s">
        <v>25</v>
      </c>
      <c r="F1897" s="35" t="s">
        <v>25</v>
      </c>
      <c r="G1897" s="35" t="s">
        <v>25</v>
      </c>
      <c r="H1897" s="35" t="s">
        <v>25</v>
      </c>
      <c r="I1897" s="45">
        <v>44835</v>
      </c>
      <c r="J1897" s="46">
        <f>EFEITO!$J$1897*EFEITO!$Y$1897</f>
        <v>0</v>
      </c>
      <c r="K1897" s="46">
        <f ca="1">EFEITO!$L$1897*EFEITO!$Z$1897</f>
        <v>5429586.8182144277</v>
      </c>
      <c r="L1897" s="46">
        <f>EFEITO!$N$1897*EFEITO!$AA$1897</f>
        <v>2493943.6563866236</v>
      </c>
      <c r="M1897" s="46">
        <f>$J$1897-EFEITO!$K$1897*EFEITO!$Y$1897</f>
        <v>0</v>
      </c>
      <c r="N1897" s="46">
        <f ca="1">$K$1897-EFEITO!$M$1897*EFEITO!$Z$1897</f>
        <v>0</v>
      </c>
      <c r="O1897" s="46">
        <f>$L$1897-EFEITO!$O$1897*EFEITO!$AA$1897</f>
        <v>0</v>
      </c>
      <c r="P1897" s="38"/>
      <c r="Q1897" s="38"/>
      <c r="R1897" s="38"/>
      <c r="S1897" s="38"/>
      <c r="T1897" s="38"/>
      <c r="U1897" s="38"/>
      <c r="V1897" s="38"/>
      <c r="W1897" s="38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</row>
    <row r="1898" spans="1:36" ht="11.25" customHeight="1" x14ac:dyDescent="0.2">
      <c r="A1898" s="35" t="s">
        <v>27</v>
      </c>
      <c r="B1898" s="35" t="s">
        <v>39</v>
      </c>
      <c r="C1898" s="35" t="s">
        <v>23</v>
      </c>
      <c r="D1898" s="35" t="s">
        <v>45</v>
      </c>
      <c r="E1898" s="35" t="s">
        <v>25</v>
      </c>
      <c r="F1898" s="35" t="s">
        <v>25</v>
      </c>
      <c r="G1898" s="35" t="s">
        <v>25</v>
      </c>
      <c r="H1898" s="35" t="s">
        <v>25</v>
      </c>
      <c r="I1898" s="45">
        <v>44835</v>
      </c>
      <c r="J1898" s="46">
        <f>EFEITO!$J$1898*EFEITO!$Y$1898</f>
        <v>0</v>
      </c>
      <c r="K1898" s="46">
        <f ca="1">EFEITO!$L$1898*EFEITO!$Z$1898</f>
        <v>-32506.676784197232</v>
      </c>
      <c r="L1898" s="46">
        <f>EFEITO!$N$1898*EFEITO!$AA$1898</f>
        <v>-14931.121477641203</v>
      </c>
      <c r="M1898" s="46">
        <f>$J$1898-EFEITO!$K$1898*EFEITO!$Y$1898</f>
        <v>0</v>
      </c>
      <c r="N1898" s="46">
        <f ca="1">$K$1898-EFEITO!$M$1898*EFEITO!$Z$1898</f>
        <v>0</v>
      </c>
      <c r="O1898" s="46">
        <f>$L$1898-EFEITO!$O$1898*EFEITO!$AA$1898</f>
        <v>0</v>
      </c>
      <c r="P1898" s="38"/>
      <c r="Q1898" s="38"/>
      <c r="R1898" s="38"/>
      <c r="S1898" s="38"/>
      <c r="T1898" s="38"/>
      <c r="U1898" s="38"/>
      <c r="V1898" s="38"/>
      <c r="W1898" s="38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</row>
    <row r="1899" spans="1:36" ht="11.25" customHeight="1" x14ac:dyDescent="0.2">
      <c r="A1899" s="35" t="s">
        <v>28</v>
      </c>
      <c r="B1899" s="35" t="s">
        <v>39</v>
      </c>
      <c r="C1899" s="35" t="s">
        <v>23</v>
      </c>
      <c r="D1899" s="35" t="s">
        <v>45</v>
      </c>
      <c r="E1899" s="35" t="s">
        <v>25</v>
      </c>
      <c r="F1899" s="35" t="s">
        <v>25</v>
      </c>
      <c r="G1899" s="35" t="s">
        <v>25</v>
      </c>
      <c r="H1899" s="35" t="s">
        <v>25</v>
      </c>
      <c r="I1899" s="45">
        <v>44835</v>
      </c>
      <c r="J1899" s="46">
        <f>EFEITO!$J$1899*EFEITO!$Y$1899</f>
        <v>0</v>
      </c>
      <c r="K1899" s="46">
        <f ca="1">EFEITO!$L$1899*EFEITO!$Z$1899</f>
        <v>1325399.655280252</v>
      </c>
      <c r="L1899" s="46">
        <f>EFEITO!$N$1899*EFEITO!$AA$1899</f>
        <v>608788.87715257832</v>
      </c>
      <c r="M1899" s="46">
        <f>$J$1899-EFEITO!$K$1899*EFEITO!$Y$1899</f>
        <v>0</v>
      </c>
      <c r="N1899" s="46">
        <f ca="1">$K$1899-EFEITO!$M$1899*EFEITO!$Z$1899</f>
        <v>0</v>
      </c>
      <c r="O1899" s="46">
        <f>$L$1899-EFEITO!$O$1899*EFEITO!$AA$1899</f>
        <v>0</v>
      </c>
      <c r="P1899" s="38"/>
      <c r="Q1899" s="38"/>
      <c r="R1899" s="38"/>
      <c r="S1899" s="38"/>
      <c r="T1899" s="38"/>
      <c r="U1899" s="38"/>
      <c r="V1899" s="38"/>
      <c r="W1899" s="38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</row>
    <row r="1900" spans="1:36" ht="11.25" customHeight="1" x14ac:dyDescent="0.2">
      <c r="A1900" s="35" t="s">
        <v>29</v>
      </c>
      <c r="B1900" s="35" t="s">
        <v>39</v>
      </c>
      <c r="C1900" s="35" t="s">
        <v>23</v>
      </c>
      <c r="D1900" s="35" t="s">
        <v>45</v>
      </c>
      <c r="E1900" s="35" t="s">
        <v>25</v>
      </c>
      <c r="F1900" s="35" t="s">
        <v>25</v>
      </c>
      <c r="G1900" s="35" t="s">
        <v>25</v>
      </c>
      <c r="H1900" s="35" t="s">
        <v>25</v>
      </c>
      <c r="I1900" s="45">
        <v>44835</v>
      </c>
      <c r="J1900" s="46">
        <f>EFEITO!$J$1900*EFEITO!$Y$1900</f>
        <v>0</v>
      </c>
      <c r="K1900" s="46">
        <f ca="1">EFEITO!$L$1900*EFEITO!$Z$1900</f>
        <v>-2419.6948482257862</v>
      </c>
      <c r="L1900" s="46">
        <f>EFEITO!$N$1900*EFEITO!$AA$1900</f>
        <v>-1111.4257528547309</v>
      </c>
      <c r="M1900" s="46">
        <f>$J$1900-EFEITO!$K$1900*EFEITO!$Y$1900</f>
        <v>0</v>
      </c>
      <c r="N1900" s="46">
        <f ca="1">$K$1900-EFEITO!$M$1900*EFEITO!$Z$1900</f>
        <v>0</v>
      </c>
      <c r="O1900" s="46">
        <f>$L$1900-EFEITO!$O$1900*EFEITO!$AA$1900</f>
        <v>0</v>
      </c>
      <c r="P1900" s="38"/>
      <c r="Q1900" s="38"/>
      <c r="R1900" s="38"/>
      <c r="S1900" s="38"/>
      <c r="T1900" s="38"/>
      <c r="U1900" s="38"/>
      <c r="V1900" s="38"/>
      <c r="W1900" s="38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</row>
    <row r="1901" spans="1:36" ht="11.25" customHeight="1" x14ac:dyDescent="0.2">
      <c r="A1901" s="35" t="s">
        <v>30</v>
      </c>
      <c r="B1901" s="35" t="s">
        <v>39</v>
      </c>
      <c r="C1901" s="35" t="s">
        <v>23</v>
      </c>
      <c r="D1901" s="35" t="s">
        <v>45</v>
      </c>
      <c r="E1901" s="35" t="s">
        <v>25</v>
      </c>
      <c r="F1901" s="35" t="s">
        <v>25</v>
      </c>
      <c r="G1901" s="35" t="s">
        <v>25</v>
      </c>
      <c r="H1901" s="35" t="s">
        <v>25</v>
      </c>
      <c r="I1901" s="45">
        <v>44835</v>
      </c>
      <c r="J1901" s="46">
        <f>EFEITO!$J$1901*EFEITO!$Y$1901</f>
        <v>0</v>
      </c>
      <c r="K1901" s="46">
        <f ca="1">EFEITO!$L$1901*EFEITO!$Z$1901</f>
        <v>277418.66723478644</v>
      </c>
      <c r="L1901" s="46">
        <f>EFEITO!$N$1901*EFEITO!$AA$1901</f>
        <v>127425.26245136169</v>
      </c>
      <c r="M1901" s="46">
        <f>$J$1901-EFEITO!$K$1901*EFEITO!$Y$1901</f>
        <v>0</v>
      </c>
      <c r="N1901" s="46">
        <f ca="1">$K$1901-EFEITO!$M$1901*EFEITO!$Z$1901</f>
        <v>0</v>
      </c>
      <c r="O1901" s="46">
        <f>$L$1901-EFEITO!$O$1901*EFEITO!$AA$1901</f>
        <v>0</v>
      </c>
      <c r="P1901" s="38"/>
      <c r="Q1901" s="38"/>
      <c r="R1901" s="38"/>
      <c r="S1901" s="38"/>
      <c r="T1901" s="38"/>
      <c r="U1901" s="38"/>
      <c r="V1901" s="38"/>
      <c r="W1901" s="38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</row>
    <row r="1902" spans="1:36" ht="11.25" customHeight="1" x14ac:dyDescent="0.2">
      <c r="A1902" s="35" t="s">
        <v>30</v>
      </c>
      <c r="B1902" s="35" t="s">
        <v>39</v>
      </c>
      <c r="C1902" s="35" t="s">
        <v>23</v>
      </c>
      <c r="D1902" s="35" t="s">
        <v>45</v>
      </c>
      <c r="E1902" s="35" t="s">
        <v>25</v>
      </c>
      <c r="F1902" s="35" t="s">
        <v>25</v>
      </c>
      <c r="G1902" s="35" t="s">
        <v>25</v>
      </c>
      <c r="H1902" s="35" t="s">
        <v>25</v>
      </c>
      <c r="I1902" s="45">
        <v>44835</v>
      </c>
      <c r="J1902" s="46">
        <f>EFEITO!$J$1902*EFEITO!$Y$1902</f>
        <v>0</v>
      </c>
      <c r="K1902" s="46">
        <f ca="1">EFEITO!$L$1902*EFEITO!$Z$1902</f>
        <v>-218.96781939112557</v>
      </c>
      <c r="L1902" s="46">
        <f>EFEITO!$N$1902*EFEITO!$AA$1902</f>
        <v>-100.57734085609438</v>
      </c>
      <c r="M1902" s="46">
        <f>$J$1902-EFEITO!$K$1902*EFEITO!$Y$1902</f>
        <v>0</v>
      </c>
      <c r="N1902" s="46">
        <f ca="1">$K$1902-EFEITO!$M$1902*EFEITO!$Z$1902</f>
        <v>0</v>
      </c>
      <c r="O1902" s="46">
        <f>$L$1902-EFEITO!$O$1902*EFEITO!$AA$1902</f>
        <v>0</v>
      </c>
      <c r="P1902" s="38"/>
      <c r="Q1902" s="38"/>
      <c r="R1902" s="38"/>
      <c r="S1902" s="38"/>
      <c r="T1902" s="38"/>
      <c r="U1902" s="38"/>
      <c r="V1902" s="38"/>
      <c r="W1902" s="38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</row>
    <row r="1903" spans="1:36" ht="11.25" customHeight="1" x14ac:dyDescent="0.2">
      <c r="A1903" s="35" t="s">
        <v>59</v>
      </c>
      <c r="B1903" s="35" t="s">
        <v>39</v>
      </c>
      <c r="C1903" s="35" t="s">
        <v>23</v>
      </c>
      <c r="D1903" s="35" t="s">
        <v>45</v>
      </c>
      <c r="E1903" s="35" t="s">
        <v>25</v>
      </c>
      <c r="F1903" s="35" t="s">
        <v>25</v>
      </c>
      <c r="G1903" s="35" t="s">
        <v>25</v>
      </c>
      <c r="H1903" s="35" t="s">
        <v>25</v>
      </c>
      <c r="I1903" s="45">
        <v>44866</v>
      </c>
      <c r="J1903" s="46">
        <f>EFEITO!$J$1903*EFEITO!$Y$1903</f>
        <v>0</v>
      </c>
      <c r="K1903" s="46">
        <f ca="1">EFEITO!$L$1903*EFEITO!$Z$1903</f>
        <v>5429586.8182144277</v>
      </c>
      <c r="L1903" s="46">
        <f>EFEITO!$N$1903*EFEITO!$AA$1903</f>
        <v>2493943.6563866236</v>
      </c>
      <c r="M1903" s="46">
        <f>$J$1903-EFEITO!$K$1903*EFEITO!$Y$1903</f>
        <v>0</v>
      </c>
      <c r="N1903" s="46">
        <f ca="1">$K$1903-EFEITO!$M$1903*EFEITO!$Z$1903</f>
        <v>0</v>
      </c>
      <c r="O1903" s="46">
        <f>$L$1903-EFEITO!$O$1903*EFEITO!$AA$1903</f>
        <v>0</v>
      </c>
      <c r="P1903" s="38"/>
      <c r="Q1903" s="38"/>
      <c r="R1903" s="38"/>
      <c r="S1903" s="38"/>
      <c r="T1903" s="38"/>
      <c r="U1903" s="38"/>
      <c r="V1903" s="38"/>
      <c r="W1903" s="38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</row>
    <row r="1904" spans="1:36" ht="11.25" customHeight="1" x14ac:dyDescent="0.2">
      <c r="A1904" s="35" t="s">
        <v>59</v>
      </c>
      <c r="B1904" s="35" t="s">
        <v>39</v>
      </c>
      <c r="C1904" s="35" t="s">
        <v>23</v>
      </c>
      <c r="D1904" s="35" t="s">
        <v>45</v>
      </c>
      <c r="E1904" s="35" t="s">
        <v>25</v>
      </c>
      <c r="F1904" s="35" t="s">
        <v>25</v>
      </c>
      <c r="G1904" s="35" t="s">
        <v>25</v>
      </c>
      <c r="H1904" s="35" t="s">
        <v>25</v>
      </c>
      <c r="I1904" s="45">
        <v>44866</v>
      </c>
      <c r="J1904" s="46">
        <f>EFEITO!$J$1904*EFEITO!$Y$1904</f>
        <v>0</v>
      </c>
      <c r="K1904" s="46">
        <f ca="1">EFEITO!$L$1904*EFEITO!$Z$1904</f>
        <v>-32506.676784197232</v>
      </c>
      <c r="L1904" s="46">
        <f>EFEITO!$N$1904*EFEITO!$AA$1904</f>
        <v>-14931.121477641203</v>
      </c>
      <c r="M1904" s="46">
        <f>$J$1904-EFEITO!$K$1904*EFEITO!$Y$1904</f>
        <v>0</v>
      </c>
      <c r="N1904" s="46">
        <f ca="1">$K$1904-EFEITO!$M$1904*EFEITO!$Z$1904</f>
        <v>0</v>
      </c>
      <c r="O1904" s="46">
        <f>$L$1904-EFEITO!$O$1904*EFEITO!$AA$1904</f>
        <v>0</v>
      </c>
      <c r="P1904" s="38"/>
      <c r="Q1904" s="38"/>
      <c r="R1904" s="38"/>
      <c r="S1904" s="38"/>
      <c r="T1904" s="38"/>
      <c r="U1904" s="38"/>
      <c r="V1904" s="38"/>
      <c r="W1904" s="38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</row>
    <row r="1905" spans="1:36" ht="11.25" customHeight="1" x14ac:dyDescent="0.2">
      <c r="A1905" s="35" t="s">
        <v>59</v>
      </c>
      <c r="B1905" s="35" t="s">
        <v>39</v>
      </c>
      <c r="C1905" s="35" t="s">
        <v>23</v>
      </c>
      <c r="D1905" s="35" t="s">
        <v>45</v>
      </c>
      <c r="E1905" s="35" t="s">
        <v>25</v>
      </c>
      <c r="F1905" s="35" t="s">
        <v>25</v>
      </c>
      <c r="G1905" s="35" t="s">
        <v>25</v>
      </c>
      <c r="H1905" s="35" t="s">
        <v>25</v>
      </c>
      <c r="I1905" s="45">
        <v>44866</v>
      </c>
      <c r="J1905" s="46">
        <f>EFEITO!$J$1905*EFEITO!$Y$1905</f>
        <v>0</v>
      </c>
      <c r="K1905" s="46">
        <f ca="1">EFEITO!$L$1905*EFEITO!$Z$1905</f>
        <v>1325399.655280252</v>
      </c>
      <c r="L1905" s="46">
        <f>EFEITO!$N$1905*EFEITO!$AA$1905</f>
        <v>608788.87715257832</v>
      </c>
      <c r="M1905" s="46">
        <f>$J$1905-EFEITO!$K$1905*EFEITO!$Y$1905</f>
        <v>0</v>
      </c>
      <c r="N1905" s="46">
        <f ca="1">$K$1905-EFEITO!$M$1905*EFEITO!$Z$1905</f>
        <v>0</v>
      </c>
      <c r="O1905" s="46">
        <f>$L$1905-EFEITO!$O$1905*EFEITO!$AA$1905</f>
        <v>0</v>
      </c>
      <c r="P1905" s="38"/>
      <c r="Q1905" s="38"/>
      <c r="R1905" s="38"/>
      <c r="S1905" s="38"/>
      <c r="T1905" s="38"/>
      <c r="U1905" s="38"/>
      <c r="V1905" s="38"/>
      <c r="W1905" s="38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</row>
    <row r="1906" spans="1:36" ht="11.25" customHeight="1" x14ac:dyDescent="0.2">
      <c r="A1906" s="35" t="s">
        <v>59</v>
      </c>
      <c r="B1906" s="35" t="s">
        <v>39</v>
      </c>
      <c r="C1906" s="35" t="s">
        <v>23</v>
      </c>
      <c r="D1906" s="35" t="s">
        <v>45</v>
      </c>
      <c r="E1906" s="35" t="s">
        <v>25</v>
      </c>
      <c r="F1906" s="35" t="s">
        <v>25</v>
      </c>
      <c r="G1906" s="35" t="s">
        <v>25</v>
      </c>
      <c r="H1906" s="35" t="s">
        <v>25</v>
      </c>
      <c r="I1906" s="45">
        <v>44866</v>
      </c>
      <c r="J1906" s="46">
        <f>EFEITO!$J$1906*EFEITO!$Y$1906</f>
        <v>0</v>
      </c>
      <c r="K1906" s="46">
        <f ca="1">EFEITO!$L$1906*EFEITO!$Z$1906</f>
        <v>-2419.6948482257862</v>
      </c>
      <c r="L1906" s="46">
        <f>EFEITO!$N$1906*EFEITO!$AA$1906</f>
        <v>-1111.4257528547309</v>
      </c>
      <c r="M1906" s="46">
        <f>$J$1906-EFEITO!$K$1906*EFEITO!$Y$1906</f>
        <v>0</v>
      </c>
      <c r="N1906" s="46">
        <f ca="1">$K$1906-EFEITO!$M$1906*EFEITO!$Z$1906</f>
        <v>0</v>
      </c>
      <c r="O1906" s="46">
        <f>$L$1906-EFEITO!$O$1906*EFEITO!$AA$1906</f>
        <v>0</v>
      </c>
      <c r="P1906" s="38"/>
      <c r="Q1906" s="38"/>
      <c r="R1906" s="38"/>
      <c r="S1906" s="38"/>
      <c r="T1906" s="38"/>
      <c r="U1906" s="38"/>
      <c r="V1906" s="38"/>
      <c r="W1906" s="38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</row>
    <row r="1907" spans="1:36" ht="11.25" customHeight="1" x14ac:dyDescent="0.2">
      <c r="A1907" s="35" t="s">
        <v>59</v>
      </c>
      <c r="B1907" s="35" t="s">
        <v>39</v>
      </c>
      <c r="C1907" s="35" t="s">
        <v>23</v>
      </c>
      <c r="D1907" s="35" t="s">
        <v>45</v>
      </c>
      <c r="E1907" s="35" t="s">
        <v>25</v>
      </c>
      <c r="F1907" s="35" t="s">
        <v>25</v>
      </c>
      <c r="G1907" s="35" t="s">
        <v>25</v>
      </c>
      <c r="H1907" s="35" t="s">
        <v>25</v>
      </c>
      <c r="I1907" s="45">
        <v>44866</v>
      </c>
      <c r="J1907" s="46">
        <f>EFEITO!$J$1907*EFEITO!$Y$1907</f>
        <v>0</v>
      </c>
      <c r="K1907" s="46">
        <f ca="1">EFEITO!$L$1907*EFEITO!$Z$1907</f>
        <v>277418.66723478644</v>
      </c>
      <c r="L1907" s="46">
        <f>EFEITO!$N$1907*EFEITO!$AA$1907</f>
        <v>127425.26245136169</v>
      </c>
      <c r="M1907" s="46">
        <f>$J$1907-EFEITO!$K$1907*EFEITO!$Y$1907</f>
        <v>0</v>
      </c>
      <c r="N1907" s="46">
        <f ca="1">$K$1907-EFEITO!$M$1907*EFEITO!$Z$1907</f>
        <v>0</v>
      </c>
      <c r="O1907" s="46">
        <f>$L$1907-EFEITO!$O$1907*EFEITO!$AA$1907</f>
        <v>0</v>
      </c>
      <c r="P1907" s="38"/>
      <c r="Q1907" s="38"/>
      <c r="R1907" s="38"/>
      <c r="S1907" s="38"/>
      <c r="T1907" s="38"/>
      <c r="U1907" s="38"/>
      <c r="V1907" s="38"/>
      <c r="W1907" s="38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</row>
    <row r="1908" spans="1:36" ht="11.25" customHeight="1" x14ac:dyDescent="0.2">
      <c r="A1908" s="35" t="s">
        <v>59</v>
      </c>
      <c r="B1908" s="35" t="s">
        <v>39</v>
      </c>
      <c r="C1908" s="35" t="s">
        <v>23</v>
      </c>
      <c r="D1908" s="35" t="s">
        <v>45</v>
      </c>
      <c r="E1908" s="35" t="s">
        <v>25</v>
      </c>
      <c r="F1908" s="35" t="s">
        <v>25</v>
      </c>
      <c r="G1908" s="35" t="s">
        <v>25</v>
      </c>
      <c r="H1908" s="35" t="s">
        <v>25</v>
      </c>
      <c r="I1908" s="45">
        <v>44866</v>
      </c>
      <c r="J1908" s="46">
        <f>EFEITO!$J$1908*EFEITO!$Y$1908</f>
        <v>0</v>
      </c>
      <c r="K1908" s="46">
        <f ca="1">EFEITO!$L$1908*EFEITO!$Z$1908</f>
        <v>-218.96781939112557</v>
      </c>
      <c r="L1908" s="46">
        <f>EFEITO!$N$1908*EFEITO!$AA$1908</f>
        <v>-100.57734085609438</v>
      </c>
      <c r="M1908" s="46">
        <f>$J$1908-EFEITO!$K$1908*EFEITO!$Y$1908</f>
        <v>0</v>
      </c>
      <c r="N1908" s="46">
        <f ca="1">$K$1908-EFEITO!$M$1908*EFEITO!$Z$1908</f>
        <v>0</v>
      </c>
      <c r="O1908" s="46">
        <f>$L$1908-EFEITO!$O$1908*EFEITO!$AA$1908</f>
        <v>0</v>
      </c>
      <c r="P1908" s="38"/>
      <c r="Q1908" s="38"/>
      <c r="R1908" s="38"/>
      <c r="S1908" s="38"/>
      <c r="T1908" s="38"/>
      <c r="U1908" s="38"/>
      <c r="V1908" s="38"/>
      <c r="W1908" s="38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</row>
    <row r="1909" spans="1:36" ht="11.25" customHeight="1" x14ac:dyDescent="0.2">
      <c r="A1909" s="35" t="s">
        <v>21</v>
      </c>
      <c r="B1909" s="35" t="s">
        <v>39</v>
      </c>
      <c r="C1909" s="35" t="s">
        <v>23</v>
      </c>
      <c r="D1909" s="35" t="s">
        <v>54</v>
      </c>
      <c r="E1909" s="35" t="s">
        <v>25</v>
      </c>
      <c r="F1909" s="35" t="s">
        <v>25</v>
      </c>
      <c r="G1909" s="35" t="s">
        <v>25</v>
      </c>
      <c r="H1909" s="35" t="s">
        <v>25</v>
      </c>
      <c r="I1909" s="45">
        <v>44531</v>
      </c>
      <c r="J1909" s="46">
        <f>EFEITO!$J$1909*EFEITO!$Y$1909</f>
        <v>0</v>
      </c>
      <c r="K1909" s="46">
        <f ca="1">EFEITO!$L$1909*EFEITO!$Z$1909</f>
        <v>35733.43880160086</v>
      </c>
      <c r="L1909" s="46">
        <f>EFEITO!$N$1909*EFEITO!$AA$1909</f>
        <v>16413.253163421952</v>
      </c>
      <c r="M1909" s="46">
        <f>$J$1909-EFEITO!$K$1909*EFEITO!$Y$1909</f>
        <v>0</v>
      </c>
      <c r="N1909" s="46">
        <f ca="1">$K$1909-EFEITO!$M$1909*EFEITO!$Z$1909</f>
        <v>0</v>
      </c>
      <c r="O1909" s="46">
        <f>$L$1909-EFEITO!$O$1909*EFEITO!$AA$1909</f>
        <v>0</v>
      </c>
      <c r="P1909" s="38"/>
      <c r="Q1909" s="38"/>
      <c r="R1909" s="38"/>
      <c r="S1909" s="38"/>
      <c r="T1909" s="38"/>
      <c r="U1909" s="38"/>
      <c r="V1909" s="38"/>
      <c r="W1909" s="38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</row>
    <row r="1910" spans="1:36" ht="11.25" customHeight="1" x14ac:dyDescent="0.2">
      <c r="A1910" s="35" t="s">
        <v>28</v>
      </c>
      <c r="B1910" s="35" t="s">
        <v>39</v>
      </c>
      <c r="C1910" s="35" t="s">
        <v>23</v>
      </c>
      <c r="D1910" s="35" t="s">
        <v>54</v>
      </c>
      <c r="E1910" s="35" t="s">
        <v>25</v>
      </c>
      <c r="F1910" s="35" t="s">
        <v>25</v>
      </c>
      <c r="G1910" s="35" t="s">
        <v>25</v>
      </c>
      <c r="H1910" s="35" t="s">
        <v>25</v>
      </c>
      <c r="I1910" s="45">
        <v>44531</v>
      </c>
      <c r="J1910" s="46">
        <f>EFEITO!$J$1910*EFEITO!$Y$1910</f>
        <v>0</v>
      </c>
      <c r="K1910" s="46">
        <f ca="1">EFEITO!$L$1910*EFEITO!$Z$1910</f>
        <v>5548.0217908572577</v>
      </c>
      <c r="L1910" s="46">
        <f>EFEITO!$N$1910*EFEITO!$AA$1910</f>
        <v>2548.3437716451253</v>
      </c>
      <c r="M1910" s="46">
        <f>$J$1910-EFEITO!$K$1910*EFEITO!$Y$1910</f>
        <v>0</v>
      </c>
      <c r="N1910" s="46">
        <f ca="1">$K$1910-EFEITO!$M$1910*EFEITO!$Z$1910</f>
        <v>0</v>
      </c>
      <c r="O1910" s="46">
        <f>$L$1910-EFEITO!$O$1910*EFEITO!$AA$1910</f>
        <v>0</v>
      </c>
      <c r="P1910" s="38"/>
      <c r="Q1910" s="38"/>
      <c r="R1910" s="38"/>
      <c r="S1910" s="38"/>
      <c r="T1910" s="38"/>
      <c r="U1910" s="38"/>
      <c r="V1910" s="38"/>
      <c r="W1910" s="38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</row>
    <row r="1911" spans="1:36" ht="11.25" customHeight="1" x14ac:dyDescent="0.2">
      <c r="A1911" s="35" t="s">
        <v>21</v>
      </c>
      <c r="B1911" s="35" t="s">
        <v>39</v>
      </c>
      <c r="C1911" s="35" t="s">
        <v>23</v>
      </c>
      <c r="D1911" s="35" t="s">
        <v>54</v>
      </c>
      <c r="E1911" s="35" t="s">
        <v>25</v>
      </c>
      <c r="F1911" s="35" t="s">
        <v>25</v>
      </c>
      <c r="G1911" s="35" t="s">
        <v>25</v>
      </c>
      <c r="H1911" s="35" t="s">
        <v>25</v>
      </c>
      <c r="I1911" s="45">
        <v>44562</v>
      </c>
      <c r="J1911" s="46">
        <f>EFEITO!$J$1911*EFEITO!$Y$1911</f>
        <v>0</v>
      </c>
      <c r="K1911" s="46">
        <f ca="1">EFEITO!$L$1911*EFEITO!$Z$1911</f>
        <v>37571.060937270879</v>
      </c>
      <c r="L1911" s="46">
        <f>EFEITO!$N$1911*EFEITO!$AA$1911</f>
        <v>17257.318507900047</v>
      </c>
      <c r="M1911" s="46">
        <f>$J$1911-EFEITO!$K$1911*EFEITO!$Y$1911</f>
        <v>0</v>
      </c>
      <c r="N1911" s="46">
        <f ca="1">$K$1911-EFEITO!$M$1911*EFEITO!$Z$1911</f>
        <v>0</v>
      </c>
      <c r="O1911" s="46">
        <f>$L$1911-EFEITO!$O$1911*EFEITO!$AA$1911</f>
        <v>0</v>
      </c>
      <c r="P1911" s="38"/>
      <c r="Q1911" s="38"/>
      <c r="R1911" s="38"/>
      <c r="S1911" s="38"/>
      <c r="T1911" s="38"/>
      <c r="U1911" s="38"/>
      <c r="V1911" s="38"/>
      <c r="W1911" s="38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</row>
    <row r="1912" spans="1:36" ht="11.25" customHeight="1" x14ac:dyDescent="0.2">
      <c r="A1912" s="35" t="s">
        <v>28</v>
      </c>
      <c r="B1912" s="35" t="s">
        <v>39</v>
      </c>
      <c r="C1912" s="35" t="s">
        <v>23</v>
      </c>
      <c r="D1912" s="35" t="s">
        <v>54</v>
      </c>
      <c r="E1912" s="35" t="s">
        <v>25</v>
      </c>
      <c r="F1912" s="35" t="s">
        <v>25</v>
      </c>
      <c r="G1912" s="35" t="s">
        <v>25</v>
      </c>
      <c r="H1912" s="35" t="s">
        <v>25</v>
      </c>
      <c r="I1912" s="45">
        <v>44562</v>
      </c>
      <c r="J1912" s="46">
        <f>EFEITO!$J$1912*EFEITO!$Y$1912</f>
        <v>0</v>
      </c>
      <c r="K1912" s="46">
        <f ca="1">EFEITO!$L$1912*EFEITO!$Z$1912</f>
        <v>5466.6621882394538</v>
      </c>
      <c r="L1912" s="46">
        <f>EFEITO!$N$1912*EFEITO!$AA$1912</f>
        <v>2510.9732917857509</v>
      </c>
      <c r="M1912" s="46">
        <f>$J$1912-EFEITO!$K$1912*EFEITO!$Y$1912</f>
        <v>0</v>
      </c>
      <c r="N1912" s="46">
        <f ca="1">$K$1912-EFEITO!$M$1912*EFEITO!$Z$1912</f>
        <v>0</v>
      </c>
      <c r="O1912" s="46">
        <f>$L$1912-EFEITO!$O$1912*EFEITO!$AA$1912</f>
        <v>0</v>
      </c>
      <c r="P1912" s="38"/>
      <c r="Q1912" s="38"/>
      <c r="R1912" s="38"/>
      <c r="S1912" s="38"/>
      <c r="T1912" s="38"/>
      <c r="U1912" s="38"/>
      <c r="V1912" s="38"/>
      <c r="W1912" s="38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</row>
    <row r="1913" spans="1:36" ht="11.25" customHeight="1" x14ac:dyDescent="0.2">
      <c r="A1913" s="35" t="s">
        <v>30</v>
      </c>
      <c r="B1913" s="35" t="s">
        <v>39</v>
      </c>
      <c r="C1913" s="35" t="s">
        <v>23</v>
      </c>
      <c r="D1913" s="35" t="s">
        <v>54</v>
      </c>
      <c r="E1913" s="35" t="s">
        <v>25</v>
      </c>
      <c r="F1913" s="35" t="s">
        <v>25</v>
      </c>
      <c r="G1913" s="35" t="s">
        <v>25</v>
      </c>
      <c r="H1913" s="35" t="s">
        <v>25</v>
      </c>
      <c r="I1913" s="45">
        <v>44562</v>
      </c>
      <c r="J1913" s="46">
        <f>EFEITO!$J$1913*EFEITO!$Y$1913</f>
        <v>0</v>
      </c>
      <c r="K1913" s="46">
        <f ca="1">EFEITO!$L$1913*EFEITO!$Z$1913</f>
        <v>50.221976924570086</v>
      </c>
      <c r="L1913" s="46">
        <f>EFEITO!$N$1913*EFEITO!$AA$1913</f>
        <v>23.068197444058345</v>
      </c>
      <c r="M1913" s="46">
        <f>$J$1913-EFEITO!$K$1913*EFEITO!$Y$1913</f>
        <v>0</v>
      </c>
      <c r="N1913" s="46">
        <f ca="1">$K$1913-EFEITO!$M$1913*EFEITO!$Z$1913</f>
        <v>0</v>
      </c>
      <c r="O1913" s="46">
        <f>$L$1913-EFEITO!$O$1913*EFEITO!$AA$1913</f>
        <v>0</v>
      </c>
      <c r="P1913" s="38"/>
      <c r="Q1913" s="38"/>
      <c r="R1913" s="38"/>
      <c r="S1913" s="38"/>
      <c r="T1913" s="38"/>
      <c r="U1913" s="38"/>
      <c r="V1913" s="38"/>
      <c r="W1913" s="38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</row>
    <row r="1914" spans="1:36" ht="11.25" customHeight="1" x14ac:dyDescent="0.2">
      <c r="A1914" s="35" t="s">
        <v>30</v>
      </c>
      <c r="B1914" s="35" t="s">
        <v>39</v>
      </c>
      <c r="C1914" s="35" t="s">
        <v>23</v>
      </c>
      <c r="D1914" s="35" t="s">
        <v>54</v>
      </c>
      <c r="E1914" s="35" t="s">
        <v>25</v>
      </c>
      <c r="F1914" s="35" t="s">
        <v>25</v>
      </c>
      <c r="G1914" s="35" t="s">
        <v>25</v>
      </c>
      <c r="H1914" s="35" t="s">
        <v>25</v>
      </c>
      <c r="I1914" s="45">
        <v>44562</v>
      </c>
      <c r="J1914" s="46">
        <f>EFEITO!$J$1914*EFEITO!$Y$1914</f>
        <v>0</v>
      </c>
      <c r="K1914" s="46">
        <f ca="1">EFEITO!$L$1914*EFEITO!$Z$1914</f>
        <v>406.29579331977197</v>
      </c>
      <c r="L1914" s="46">
        <f>EFEITO!$N$1914*EFEITO!$AA$1914</f>
        <v>186.62171732243203</v>
      </c>
      <c r="M1914" s="46">
        <f>$J$1914-EFEITO!$K$1914*EFEITO!$Y$1914</f>
        <v>0</v>
      </c>
      <c r="N1914" s="46">
        <f ca="1">$K$1914-EFEITO!$M$1914*EFEITO!$Z$1914</f>
        <v>0</v>
      </c>
      <c r="O1914" s="46">
        <f>$L$1914-EFEITO!$O$1914*EFEITO!$AA$1914</f>
        <v>0</v>
      </c>
      <c r="P1914" s="38"/>
      <c r="Q1914" s="38"/>
      <c r="R1914" s="38"/>
      <c r="S1914" s="38"/>
      <c r="T1914" s="38"/>
      <c r="U1914" s="38"/>
      <c r="V1914" s="38"/>
      <c r="W1914" s="38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</row>
    <row r="1915" spans="1:36" ht="11.25" customHeight="1" x14ac:dyDescent="0.2">
      <c r="A1915" s="35" t="s">
        <v>21</v>
      </c>
      <c r="B1915" s="35" t="s">
        <v>39</v>
      </c>
      <c r="C1915" s="35" t="s">
        <v>23</v>
      </c>
      <c r="D1915" s="35" t="s">
        <v>54</v>
      </c>
      <c r="E1915" s="35" t="s">
        <v>25</v>
      </c>
      <c r="F1915" s="35" t="s">
        <v>25</v>
      </c>
      <c r="G1915" s="35" t="s">
        <v>25</v>
      </c>
      <c r="H1915" s="35" t="s">
        <v>25</v>
      </c>
      <c r="I1915" s="45">
        <v>44593</v>
      </c>
      <c r="J1915" s="46">
        <f>EFEITO!$J$1915*EFEITO!$Y$1915</f>
        <v>0</v>
      </c>
      <c r="K1915" s="46">
        <f ca="1">EFEITO!$L$1915*EFEITO!$Z$1915</f>
        <v>39657.281858717521</v>
      </c>
      <c r="L1915" s="46">
        <f>EFEITO!$N$1915*EFEITO!$AA$1915</f>
        <v>18215.571429726231</v>
      </c>
      <c r="M1915" s="46">
        <f>$J$1915-EFEITO!$K$1915*EFEITO!$Y$1915</f>
        <v>0</v>
      </c>
      <c r="N1915" s="46">
        <f ca="1">$K$1915-EFEITO!$M$1915*EFEITO!$Z$1915</f>
        <v>0</v>
      </c>
      <c r="O1915" s="46">
        <f>$L$1915-EFEITO!$O$1915*EFEITO!$AA$1915</f>
        <v>0</v>
      </c>
      <c r="P1915" s="38"/>
      <c r="Q1915" s="38"/>
      <c r="R1915" s="38"/>
      <c r="S1915" s="38"/>
      <c r="T1915" s="38"/>
      <c r="U1915" s="38"/>
      <c r="V1915" s="38"/>
      <c r="W1915" s="38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</row>
    <row r="1916" spans="1:36" ht="11.25" customHeight="1" x14ac:dyDescent="0.2">
      <c r="A1916" s="35" t="s">
        <v>28</v>
      </c>
      <c r="B1916" s="35" t="s">
        <v>39</v>
      </c>
      <c r="C1916" s="35" t="s">
        <v>23</v>
      </c>
      <c r="D1916" s="35" t="s">
        <v>54</v>
      </c>
      <c r="E1916" s="35" t="s">
        <v>25</v>
      </c>
      <c r="F1916" s="35" t="s">
        <v>25</v>
      </c>
      <c r="G1916" s="35" t="s">
        <v>25</v>
      </c>
      <c r="H1916" s="35" t="s">
        <v>25</v>
      </c>
      <c r="I1916" s="45">
        <v>44593</v>
      </c>
      <c r="J1916" s="46">
        <f>EFEITO!$J$1916*EFEITO!$Y$1916</f>
        <v>0</v>
      </c>
      <c r="K1916" s="46">
        <f ca="1">EFEITO!$L$1916*EFEITO!$Z$1916</f>
        <v>5198.9790512314949</v>
      </c>
      <c r="L1916" s="46">
        <f>EFEITO!$N$1916*EFEITO!$AA$1916</f>
        <v>2388.0197994089199</v>
      </c>
      <c r="M1916" s="46">
        <f>$J$1916-EFEITO!$K$1916*EFEITO!$Y$1916</f>
        <v>0</v>
      </c>
      <c r="N1916" s="46">
        <f ca="1">$K$1916-EFEITO!$M$1916*EFEITO!$Z$1916</f>
        <v>0</v>
      </c>
      <c r="O1916" s="46">
        <f>$L$1916-EFEITO!$O$1916*EFEITO!$AA$1916</f>
        <v>0</v>
      </c>
      <c r="P1916" s="38"/>
      <c r="Q1916" s="38"/>
      <c r="R1916" s="38"/>
      <c r="S1916" s="38"/>
      <c r="T1916" s="38"/>
      <c r="U1916" s="38"/>
      <c r="V1916" s="38"/>
      <c r="W1916" s="38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</row>
    <row r="1917" spans="1:36" ht="11.25" customHeight="1" x14ac:dyDescent="0.2">
      <c r="A1917" s="35" t="s">
        <v>21</v>
      </c>
      <c r="B1917" s="35" t="s">
        <v>39</v>
      </c>
      <c r="C1917" s="35" t="s">
        <v>23</v>
      </c>
      <c r="D1917" s="35" t="s">
        <v>54</v>
      </c>
      <c r="E1917" s="35" t="s">
        <v>25</v>
      </c>
      <c r="F1917" s="35" t="s">
        <v>25</v>
      </c>
      <c r="G1917" s="35" t="s">
        <v>25</v>
      </c>
      <c r="H1917" s="35" t="s">
        <v>25</v>
      </c>
      <c r="I1917" s="45">
        <v>44621</v>
      </c>
      <c r="J1917" s="46">
        <f>EFEITO!$J$1917*EFEITO!$Y$1917</f>
        <v>0</v>
      </c>
      <c r="K1917" s="46">
        <f ca="1">EFEITO!$L$1917*EFEITO!$Z$1917</f>
        <v>32605.614078738636</v>
      </c>
      <c r="L1917" s="46">
        <f>EFEITO!$N$1917*EFEITO!$AA$1917</f>
        <v>14976.565826606</v>
      </c>
      <c r="M1917" s="46">
        <f>$J$1917-EFEITO!$K$1917*EFEITO!$Y$1917</f>
        <v>0</v>
      </c>
      <c r="N1917" s="46">
        <f ca="1">$K$1917-EFEITO!$M$1917*EFEITO!$Z$1917</f>
        <v>0</v>
      </c>
      <c r="O1917" s="46">
        <f>$L$1917-EFEITO!$O$1917*EFEITO!$AA$1917</f>
        <v>0</v>
      </c>
      <c r="P1917" s="38"/>
      <c r="Q1917" s="38"/>
      <c r="R1917" s="38"/>
      <c r="S1917" s="38"/>
      <c r="T1917" s="38"/>
      <c r="U1917" s="38"/>
      <c r="V1917" s="38"/>
      <c r="W1917" s="38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</row>
    <row r="1918" spans="1:36" ht="11.25" customHeight="1" x14ac:dyDescent="0.2">
      <c r="A1918" s="35" t="s">
        <v>28</v>
      </c>
      <c r="B1918" s="35" t="s">
        <v>39</v>
      </c>
      <c r="C1918" s="35" t="s">
        <v>23</v>
      </c>
      <c r="D1918" s="35" t="s">
        <v>54</v>
      </c>
      <c r="E1918" s="35" t="s">
        <v>25</v>
      </c>
      <c r="F1918" s="35" t="s">
        <v>25</v>
      </c>
      <c r="G1918" s="35" t="s">
        <v>25</v>
      </c>
      <c r="H1918" s="35" t="s">
        <v>25</v>
      </c>
      <c r="I1918" s="45">
        <v>44621</v>
      </c>
      <c r="J1918" s="46">
        <f>EFEITO!$J$1918*EFEITO!$Y$1918</f>
        <v>0</v>
      </c>
      <c r="K1918" s="46">
        <f ca="1">EFEITO!$L$1918*EFEITO!$Z$1918</f>
        <v>4831.3541801436413</v>
      </c>
      <c r="L1918" s="46">
        <f>EFEITO!$N$1918*EFEITO!$AA$1918</f>
        <v>2219.1605941184125</v>
      </c>
      <c r="M1918" s="46">
        <f>$J$1918-EFEITO!$K$1918*EFEITO!$Y$1918</f>
        <v>0</v>
      </c>
      <c r="N1918" s="46">
        <f ca="1">$K$1918-EFEITO!$M$1918*EFEITO!$Z$1918</f>
        <v>0</v>
      </c>
      <c r="O1918" s="46">
        <f>$L$1918-EFEITO!$O$1918*EFEITO!$AA$1918</f>
        <v>0</v>
      </c>
      <c r="P1918" s="38"/>
      <c r="Q1918" s="38"/>
      <c r="R1918" s="38"/>
      <c r="S1918" s="38"/>
      <c r="T1918" s="38"/>
      <c r="U1918" s="38"/>
      <c r="V1918" s="38"/>
      <c r="W1918" s="38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</row>
    <row r="1919" spans="1:36" ht="11.25" customHeight="1" x14ac:dyDescent="0.2">
      <c r="A1919" s="35" t="s">
        <v>30</v>
      </c>
      <c r="B1919" s="35" t="s">
        <v>39</v>
      </c>
      <c r="C1919" s="35" t="s">
        <v>23</v>
      </c>
      <c r="D1919" s="35" t="s">
        <v>54</v>
      </c>
      <c r="E1919" s="35" t="s">
        <v>25</v>
      </c>
      <c r="F1919" s="35" t="s">
        <v>25</v>
      </c>
      <c r="G1919" s="35" t="s">
        <v>25</v>
      </c>
      <c r="H1919" s="35" t="s">
        <v>25</v>
      </c>
      <c r="I1919" s="45">
        <v>44621</v>
      </c>
      <c r="J1919" s="46">
        <f>EFEITO!$J$1919*EFEITO!$Y$1919</f>
        <v>0</v>
      </c>
      <c r="K1919" s="46">
        <f ca="1">EFEITO!$L$1919*EFEITO!$Z$1919</f>
        <v>50.221976924570086</v>
      </c>
      <c r="L1919" s="46">
        <f>EFEITO!$N$1919*EFEITO!$AA$1919</f>
        <v>23.068197444058345</v>
      </c>
      <c r="M1919" s="46">
        <f>$J$1919-EFEITO!$K$1919*EFEITO!$Y$1919</f>
        <v>0</v>
      </c>
      <c r="N1919" s="46">
        <f ca="1">$K$1919-EFEITO!$M$1919*EFEITO!$Z$1919</f>
        <v>0</v>
      </c>
      <c r="O1919" s="46">
        <f>$L$1919-EFEITO!$O$1919*EFEITO!$AA$1919</f>
        <v>0</v>
      </c>
      <c r="P1919" s="38"/>
      <c r="Q1919" s="38"/>
      <c r="R1919" s="38"/>
      <c r="S1919" s="38"/>
      <c r="T1919" s="38"/>
      <c r="U1919" s="38"/>
      <c r="V1919" s="38"/>
      <c r="W1919" s="38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</row>
    <row r="1920" spans="1:36" ht="11.25" customHeight="1" x14ac:dyDescent="0.2">
      <c r="A1920" s="35" t="s">
        <v>21</v>
      </c>
      <c r="B1920" s="35" t="s">
        <v>39</v>
      </c>
      <c r="C1920" s="35" t="s">
        <v>23</v>
      </c>
      <c r="D1920" s="35" t="s">
        <v>54</v>
      </c>
      <c r="E1920" s="35" t="s">
        <v>25</v>
      </c>
      <c r="F1920" s="35" t="s">
        <v>25</v>
      </c>
      <c r="G1920" s="35" t="s">
        <v>25</v>
      </c>
      <c r="H1920" s="35" t="s">
        <v>25</v>
      </c>
      <c r="I1920" s="45">
        <v>44652</v>
      </c>
      <c r="J1920" s="46">
        <f>EFEITO!$J$1920*EFEITO!$Y$1920</f>
        <v>0</v>
      </c>
      <c r="K1920" s="46">
        <f ca="1">EFEITO!$L$1920*EFEITO!$Z$1920</f>
        <v>37280.275690877614</v>
      </c>
      <c r="L1920" s="46">
        <f>EFEITO!$N$1920*EFEITO!$AA$1920</f>
        <v>17123.753644698947</v>
      </c>
      <c r="M1920" s="46">
        <f>$J$1920-EFEITO!$K$1920*EFEITO!$Y$1920</f>
        <v>0</v>
      </c>
      <c r="N1920" s="46">
        <f ca="1">$K$1920-EFEITO!$M$1920*EFEITO!$Z$1920</f>
        <v>0</v>
      </c>
      <c r="O1920" s="46">
        <f>$L$1920-EFEITO!$O$1920*EFEITO!$AA$1920</f>
        <v>0</v>
      </c>
      <c r="P1920" s="38"/>
      <c r="Q1920" s="38"/>
      <c r="R1920" s="38"/>
      <c r="S1920" s="38"/>
      <c r="T1920" s="38"/>
      <c r="U1920" s="38"/>
      <c r="V1920" s="38"/>
      <c r="W1920" s="38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</row>
    <row r="1921" spans="1:36" ht="11.25" customHeight="1" x14ac:dyDescent="0.2">
      <c r="A1921" s="35" t="s">
        <v>28</v>
      </c>
      <c r="B1921" s="35" t="s">
        <v>39</v>
      </c>
      <c r="C1921" s="35" t="s">
        <v>23</v>
      </c>
      <c r="D1921" s="35" t="s">
        <v>54</v>
      </c>
      <c r="E1921" s="35" t="s">
        <v>25</v>
      </c>
      <c r="F1921" s="35" t="s">
        <v>25</v>
      </c>
      <c r="G1921" s="35" t="s">
        <v>25</v>
      </c>
      <c r="H1921" s="35" t="s">
        <v>25</v>
      </c>
      <c r="I1921" s="45">
        <v>44652</v>
      </c>
      <c r="J1921" s="46">
        <f>EFEITO!$J$1921*EFEITO!$Y$1921</f>
        <v>0</v>
      </c>
      <c r="K1921" s="46">
        <f ca="1">EFEITO!$L$1921*EFEITO!$Z$1921</f>
        <v>5164.8281069227878</v>
      </c>
      <c r="L1921" s="46">
        <f>EFEITO!$N$1921*EFEITO!$AA$1921</f>
        <v>2372.3334251469605</v>
      </c>
      <c r="M1921" s="46">
        <f>$J$1921-EFEITO!$K$1921*EFEITO!$Y$1921</f>
        <v>0</v>
      </c>
      <c r="N1921" s="46">
        <f ca="1">$K$1921-EFEITO!$M$1921*EFEITO!$Z$1921</f>
        <v>0</v>
      </c>
      <c r="O1921" s="46">
        <f>$L$1921-EFEITO!$O$1921*EFEITO!$AA$1921</f>
        <v>0</v>
      </c>
      <c r="P1921" s="38"/>
      <c r="Q1921" s="38"/>
      <c r="R1921" s="38"/>
      <c r="S1921" s="38"/>
      <c r="T1921" s="38"/>
      <c r="U1921" s="38"/>
      <c r="V1921" s="38"/>
      <c r="W1921" s="38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</row>
    <row r="1922" spans="1:36" ht="11.25" customHeight="1" x14ac:dyDescent="0.2">
      <c r="A1922" s="35" t="s">
        <v>30</v>
      </c>
      <c r="B1922" s="35" t="s">
        <v>39</v>
      </c>
      <c r="C1922" s="35" t="s">
        <v>23</v>
      </c>
      <c r="D1922" s="35" t="s">
        <v>54</v>
      </c>
      <c r="E1922" s="35" t="s">
        <v>25</v>
      </c>
      <c r="F1922" s="35" t="s">
        <v>25</v>
      </c>
      <c r="G1922" s="35" t="s">
        <v>25</v>
      </c>
      <c r="H1922" s="35" t="s">
        <v>25</v>
      </c>
      <c r="I1922" s="45">
        <v>44652</v>
      </c>
      <c r="J1922" s="46">
        <f>EFEITO!$J$1922*EFEITO!$Y$1922</f>
        <v>0</v>
      </c>
      <c r="K1922" s="46">
        <f ca="1">EFEITO!$L$1922*EFEITO!$Z$1922</f>
        <v>50.221976924570086</v>
      </c>
      <c r="L1922" s="46">
        <f>EFEITO!$N$1922*EFEITO!$AA$1922</f>
        <v>23.068197444058345</v>
      </c>
      <c r="M1922" s="46">
        <f>$J$1922-EFEITO!$K$1922*EFEITO!$Y$1922</f>
        <v>0</v>
      </c>
      <c r="N1922" s="46">
        <f ca="1">$K$1922-EFEITO!$M$1922*EFEITO!$Z$1922</f>
        <v>0</v>
      </c>
      <c r="O1922" s="46">
        <f>$L$1922-EFEITO!$O$1922*EFEITO!$AA$1922</f>
        <v>0</v>
      </c>
      <c r="P1922" s="38"/>
      <c r="Q1922" s="38"/>
      <c r="R1922" s="38"/>
      <c r="S1922" s="38"/>
      <c r="T1922" s="38"/>
      <c r="U1922" s="38"/>
      <c r="V1922" s="38"/>
      <c r="W1922" s="38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</row>
    <row r="1923" spans="1:36" ht="11.25" customHeight="1" x14ac:dyDescent="0.2">
      <c r="A1923" s="35" t="s">
        <v>21</v>
      </c>
      <c r="B1923" s="35" t="s">
        <v>39</v>
      </c>
      <c r="C1923" s="35" t="s">
        <v>23</v>
      </c>
      <c r="D1923" s="35" t="s">
        <v>54</v>
      </c>
      <c r="E1923" s="35" t="s">
        <v>25</v>
      </c>
      <c r="F1923" s="35" t="s">
        <v>25</v>
      </c>
      <c r="G1923" s="35" t="s">
        <v>25</v>
      </c>
      <c r="H1923" s="35" t="s">
        <v>25</v>
      </c>
      <c r="I1923" s="45">
        <v>44682</v>
      </c>
      <c r="J1923" s="46">
        <f>EFEITO!$J$1923*EFEITO!$Y$1923</f>
        <v>0</v>
      </c>
      <c r="K1923" s="46">
        <f ca="1">EFEITO!$L$1923*EFEITO!$Z$1923</f>
        <v>32409.246148963564</v>
      </c>
      <c r="L1923" s="46">
        <f>EFEITO!$N$1923*EFEITO!$AA$1923</f>
        <v>14886.369174599729</v>
      </c>
      <c r="M1923" s="46">
        <f>$J$1923-EFEITO!$K$1923*EFEITO!$Y$1923</f>
        <v>0</v>
      </c>
      <c r="N1923" s="46">
        <f ca="1">$K$1923-EFEITO!$M$1923*EFEITO!$Z$1923</f>
        <v>0</v>
      </c>
      <c r="O1923" s="46">
        <f>$L$1923-EFEITO!$O$1923*EFEITO!$AA$1923</f>
        <v>0</v>
      </c>
      <c r="P1923" s="38"/>
      <c r="Q1923" s="38"/>
      <c r="R1923" s="38"/>
      <c r="S1923" s="38"/>
      <c r="T1923" s="38"/>
      <c r="U1923" s="38"/>
      <c r="V1923" s="38"/>
      <c r="W1923" s="38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</row>
    <row r="1924" spans="1:36" ht="11.25" customHeight="1" x14ac:dyDescent="0.2">
      <c r="A1924" s="35" t="s">
        <v>27</v>
      </c>
      <c r="B1924" s="35" t="s">
        <v>39</v>
      </c>
      <c r="C1924" s="35" t="s">
        <v>23</v>
      </c>
      <c r="D1924" s="35" t="s">
        <v>54</v>
      </c>
      <c r="E1924" s="35" t="s">
        <v>25</v>
      </c>
      <c r="F1924" s="35" t="s">
        <v>25</v>
      </c>
      <c r="G1924" s="35" t="s">
        <v>25</v>
      </c>
      <c r="H1924" s="35" t="s">
        <v>25</v>
      </c>
      <c r="I1924" s="45">
        <v>44682</v>
      </c>
      <c r="J1924" s="46">
        <f>EFEITO!$J$1924*EFEITO!$Y$1924</f>
        <v>0</v>
      </c>
      <c r="K1924" s="46">
        <f ca="1">EFEITO!$L$1924*EFEITO!$Z$1924</f>
        <v>25.110988462285043</v>
      </c>
      <c r="L1924" s="46">
        <f>EFEITO!$N$1924*EFEITO!$AA$1924</f>
        <v>11.534098722029173</v>
      </c>
      <c r="M1924" s="46">
        <f>$J$1924-EFEITO!$K$1924*EFEITO!$Y$1924</f>
        <v>0</v>
      </c>
      <c r="N1924" s="46">
        <f ca="1">$K$1924-EFEITO!$M$1924*EFEITO!$Z$1924</f>
        <v>0</v>
      </c>
      <c r="O1924" s="46">
        <f>$L$1924-EFEITO!$O$1924*EFEITO!$AA$1924</f>
        <v>0</v>
      </c>
      <c r="P1924" s="38"/>
      <c r="Q1924" s="38"/>
      <c r="R1924" s="38"/>
      <c r="S1924" s="38"/>
      <c r="T1924" s="38"/>
      <c r="U1924" s="38"/>
      <c r="V1924" s="38"/>
      <c r="W1924" s="38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</row>
    <row r="1925" spans="1:36" ht="11.25" customHeight="1" x14ac:dyDescent="0.2">
      <c r="A1925" s="35" t="s">
        <v>28</v>
      </c>
      <c r="B1925" s="35" t="s">
        <v>39</v>
      </c>
      <c r="C1925" s="35" t="s">
        <v>23</v>
      </c>
      <c r="D1925" s="35" t="s">
        <v>54</v>
      </c>
      <c r="E1925" s="35" t="s">
        <v>25</v>
      </c>
      <c r="F1925" s="35" t="s">
        <v>25</v>
      </c>
      <c r="G1925" s="35" t="s">
        <v>25</v>
      </c>
      <c r="H1925" s="35" t="s">
        <v>25</v>
      </c>
      <c r="I1925" s="45">
        <v>44682</v>
      </c>
      <c r="J1925" s="46">
        <f>EFEITO!$J$1925*EFEITO!$Y$1925</f>
        <v>0</v>
      </c>
      <c r="K1925" s="46">
        <f ca="1">EFEITO!$L$1925*EFEITO!$Z$1925</f>
        <v>5125.6549649216222</v>
      </c>
      <c r="L1925" s="46">
        <f>EFEITO!$N$1925*EFEITO!$AA$1925</f>
        <v>2354.3402311405944</v>
      </c>
      <c r="M1925" s="46">
        <f>$J$1925-EFEITO!$K$1925*EFEITO!$Y$1925</f>
        <v>0</v>
      </c>
      <c r="N1925" s="46">
        <f ca="1">$K$1925-EFEITO!$M$1925*EFEITO!$Z$1925</f>
        <v>0</v>
      </c>
      <c r="O1925" s="46">
        <f>$L$1925-EFEITO!$O$1925*EFEITO!$AA$1925</f>
        <v>0</v>
      </c>
      <c r="P1925" s="38"/>
      <c r="Q1925" s="38"/>
      <c r="R1925" s="38"/>
      <c r="S1925" s="38"/>
      <c r="T1925" s="38"/>
      <c r="U1925" s="38"/>
      <c r="V1925" s="38"/>
      <c r="W1925" s="38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</row>
    <row r="1926" spans="1:36" ht="11.25" customHeight="1" x14ac:dyDescent="0.2">
      <c r="A1926" s="35" t="s">
        <v>30</v>
      </c>
      <c r="B1926" s="35" t="s">
        <v>39</v>
      </c>
      <c r="C1926" s="35" t="s">
        <v>23</v>
      </c>
      <c r="D1926" s="35" t="s">
        <v>54</v>
      </c>
      <c r="E1926" s="35" t="s">
        <v>25</v>
      </c>
      <c r="F1926" s="35" t="s">
        <v>25</v>
      </c>
      <c r="G1926" s="35" t="s">
        <v>25</v>
      </c>
      <c r="H1926" s="35" t="s">
        <v>25</v>
      </c>
      <c r="I1926" s="45">
        <v>44682</v>
      </c>
      <c r="J1926" s="46">
        <f>EFEITO!$J$1926*EFEITO!$Y$1926</f>
        <v>0</v>
      </c>
      <c r="K1926" s="46">
        <f ca="1">EFEITO!$L$1926*EFEITO!$Z$1926</f>
        <v>50.221976924570086</v>
      </c>
      <c r="L1926" s="46">
        <f>EFEITO!$N$1926*EFEITO!$AA$1926</f>
        <v>23.068197444058345</v>
      </c>
      <c r="M1926" s="46">
        <f>$J$1926-EFEITO!$K$1926*EFEITO!$Y$1926</f>
        <v>0</v>
      </c>
      <c r="N1926" s="46">
        <f ca="1">$K$1926-EFEITO!$M$1926*EFEITO!$Z$1926</f>
        <v>0</v>
      </c>
      <c r="O1926" s="46">
        <f>$L$1926-EFEITO!$O$1926*EFEITO!$AA$1926</f>
        <v>0</v>
      </c>
      <c r="P1926" s="38"/>
      <c r="Q1926" s="38"/>
      <c r="R1926" s="38"/>
      <c r="S1926" s="38"/>
      <c r="T1926" s="38"/>
      <c r="U1926" s="38"/>
      <c r="V1926" s="38"/>
      <c r="W1926" s="38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</row>
    <row r="1927" spans="1:36" ht="11.25" customHeight="1" x14ac:dyDescent="0.2">
      <c r="A1927" s="35" t="s">
        <v>21</v>
      </c>
      <c r="B1927" s="35" t="s">
        <v>39</v>
      </c>
      <c r="C1927" s="35" t="s">
        <v>23</v>
      </c>
      <c r="D1927" s="35" t="s">
        <v>54</v>
      </c>
      <c r="E1927" s="35" t="s">
        <v>25</v>
      </c>
      <c r="F1927" s="35" t="s">
        <v>25</v>
      </c>
      <c r="G1927" s="35" t="s">
        <v>25</v>
      </c>
      <c r="H1927" s="35" t="s">
        <v>25</v>
      </c>
      <c r="I1927" s="45">
        <v>44713</v>
      </c>
      <c r="J1927" s="46">
        <f>EFEITO!$J$1927*EFEITO!$Y$1927</f>
        <v>0</v>
      </c>
      <c r="K1927" s="46">
        <f ca="1">EFEITO!$L$1927*EFEITO!$Z$1927</f>
        <v>27366.959665736729</v>
      </c>
      <c r="L1927" s="46">
        <f>EFEITO!$N$1927*EFEITO!$AA$1927</f>
        <v>12570.322151216273</v>
      </c>
      <c r="M1927" s="46">
        <f>$J$1927-EFEITO!$K$1927*EFEITO!$Y$1927</f>
        <v>0</v>
      </c>
      <c r="N1927" s="46">
        <f ca="1">$K$1927-EFEITO!$M$1927*EFEITO!$Z$1927</f>
        <v>0</v>
      </c>
      <c r="O1927" s="46">
        <f>$L$1927-EFEITO!$O$1927*EFEITO!$AA$1927</f>
        <v>0</v>
      </c>
      <c r="P1927" s="38"/>
      <c r="Q1927" s="38"/>
      <c r="R1927" s="38"/>
      <c r="S1927" s="38"/>
      <c r="T1927" s="38"/>
      <c r="U1927" s="38"/>
      <c r="V1927" s="38"/>
      <c r="W1927" s="38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</row>
    <row r="1928" spans="1:36" ht="11.25" customHeight="1" x14ac:dyDescent="0.2">
      <c r="A1928" s="35" t="s">
        <v>27</v>
      </c>
      <c r="B1928" s="35" t="s">
        <v>39</v>
      </c>
      <c r="C1928" s="35" t="s">
        <v>23</v>
      </c>
      <c r="D1928" s="35" t="s">
        <v>54</v>
      </c>
      <c r="E1928" s="35" t="s">
        <v>25</v>
      </c>
      <c r="F1928" s="35" t="s">
        <v>25</v>
      </c>
      <c r="G1928" s="35" t="s">
        <v>25</v>
      </c>
      <c r="H1928" s="35" t="s">
        <v>25</v>
      </c>
      <c r="I1928" s="45">
        <v>44713</v>
      </c>
      <c r="J1928" s="46">
        <f>EFEITO!$J$1928*EFEITO!$Y$1928</f>
        <v>0</v>
      </c>
      <c r="K1928" s="46">
        <f ca="1">EFEITO!$L$1928*EFEITO!$Z$1928</f>
        <v>878.38237641073079</v>
      </c>
      <c r="L1928" s="46">
        <f>EFEITO!$N$1928*EFEITO!$AA$1928</f>
        <v>403.46277329658045</v>
      </c>
      <c r="M1928" s="46">
        <f>$J$1928-EFEITO!$K$1928*EFEITO!$Y$1928</f>
        <v>0</v>
      </c>
      <c r="N1928" s="46">
        <f ca="1">$K$1928-EFEITO!$M$1928*EFEITO!$Z$1928</f>
        <v>0</v>
      </c>
      <c r="O1928" s="46">
        <f>$L$1928-EFEITO!$O$1928*EFEITO!$AA$1928</f>
        <v>0</v>
      </c>
      <c r="P1928" s="38"/>
      <c r="Q1928" s="38"/>
      <c r="R1928" s="38"/>
      <c r="S1928" s="38"/>
      <c r="T1928" s="38"/>
      <c r="U1928" s="38"/>
      <c r="V1928" s="38"/>
      <c r="W1928" s="38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</row>
    <row r="1929" spans="1:36" ht="11.25" customHeight="1" x14ac:dyDescent="0.2">
      <c r="A1929" s="35" t="s">
        <v>28</v>
      </c>
      <c r="B1929" s="35" t="s">
        <v>39</v>
      </c>
      <c r="C1929" s="35" t="s">
        <v>23</v>
      </c>
      <c r="D1929" s="35" t="s">
        <v>54</v>
      </c>
      <c r="E1929" s="35" t="s">
        <v>25</v>
      </c>
      <c r="F1929" s="35" t="s">
        <v>25</v>
      </c>
      <c r="G1929" s="35" t="s">
        <v>25</v>
      </c>
      <c r="H1929" s="35" t="s">
        <v>25</v>
      </c>
      <c r="I1929" s="45">
        <v>44713</v>
      </c>
      <c r="J1929" s="46">
        <f>EFEITO!$J$1929*EFEITO!$Y$1929</f>
        <v>0</v>
      </c>
      <c r="K1929" s="46">
        <f ca="1">EFEITO!$L$1929*EFEITO!$Z$1929</f>
        <v>5048.8153402270309</v>
      </c>
      <c r="L1929" s="46">
        <f>EFEITO!$N$1929*EFEITO!$AA$1929</f>
        <v>2319.0458890511854</v>
      </c>
      <c r="M1929" s="46">
        <f>$J$1929-EFEITO!$K$1929*EFEITO!$Y$1929</f>
        <v>0</v>
      </c>
      <c r="N1929" s="46">
        <f ca="1">$K$1929-EFEITO!$M$1929*EFEITO!$Z$1929</f>
        <v>0</v>
      </c>
      <c r="O1929" s="46">
        <f>$L$1929-EFEITO!$O$1929*EFEITO!$AA$1929</f>
        <v>0</v>
      </c>
      <c r="P1929" s="38"/>
      <c r="Q1929" s="38"/>
      <c r="R1929" s="38"/>
      <c r="S1929" s="38"/>
      <c r="T1929" s="38"/>
      <c r="U1929" s="38"/>
      <c r="V1929" s="38"/>
      <c r="W1929" s="38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</row>
    <row r="1930" spans="1:36" ht="11.25" customHeight="1" x14ac:dyDescent="0.2">
      <c r="A1930" s="35" t="s">
        <v>30</v>
      </c>
      <c r="B1930" s="35" t="s">
        <v>39</v>
      </c>
      <c r="C1930" s="35" t="s">
        <v>23</v>
      </c>
      <c r="D1930" s="35" t="s">
        <v>54</v>
      </c>
      <c r="E1930" s="35" t="s">
        <v>25</v>
      </c>
      <c r="F1930" s="35" t="s">
        <v>25</v>
      </c>
      <c r="G1930" s="35" t="s">
        <v>25</v>
      </c>
      <c r="H1930" s="35" t="s">
        <v>25</v>
      </c>
      <c r="I1930" s="45">
        <v>44713</v>
      </c>
      <c r="J1930" s="46">
        <f>EFEITO!$J$1930*EFEITO!$Y$1930</f>
        <v>0</v>
      </c>
      <c r="K1930" s="46">
        <f ca="1">EFEITO!$L$1930*EFEITO!$Z$1930</f>
        <v>50.221976924570086</v>
      </c>
      <c r="L1930" s="46">
        <f>EFEITO!$N$1930*EFEITO!$AA$1930</f>
        <v>23.068197444058345</v>
      </c>
      <c r="M1930" s="46">
        <f>$J$1930-EFEITO!$K$1930*EFEITO!$Y$1930</f>
        <v>0</v>
      </c>
      <c r="N1930" s="46">
        <f ca="1">$K$1930-EFEITO!$M$1930*EFEITO!$Z$1930</f>
        <v>0</v>
      </c>
      <c r="O1930" s="46">
        <f>$L$1930-EFEITO!$O$1930*EFEITO!$AA$1930</f>
        <v>0</v>
      </c>
      <c r="P1930" s="38"/>
      <c r="Q1930" s="38"/>
      <c r="R1930" s="38"/>
      <c r="S1930" s="38"/>
      <c r="T1930" s="38"/>
      <c r="U1930" s="38"/>
      <c r="V1930" s="38"/>
      <c r="W1930" s="38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</row>
    <row r="1931" spans="1:36" ht="11.25" customHeight="1" x14ac:dyDescent="0.2">
      <c r="A1931" s="35" t="s">
        <v>21</v>
      </c>
      <c r="B1931" s="35" t="s">
        <v>39</v>
      </c>
      <c r="C1931" s="35" t="s">
        <v>23</v>
      </c>
      <c r="D1931" s="35" t="s">
        <v>54</v>
      </c>
      <c r="E1931" s="35" t="s">
        <v>25</v>
      </c>
      <c r="F1931" s="35" t="s">
        <v>25</v>
      </c>
      <c r="G1931" s="35" t="s">
        <v>25</v>
      </c>
      <c r="H1931" s="35" t="s">
        <v>25</v>
      </c>
      <c r="I1931" s="45">
        <v>44743</v>
      </c>
      <c r="J1931" s="46">
        <f>EFEITO!$J$1931*EFEITO!$Y$1931</f>
        <v>0</v>
      </c>
      <c r="K1931" s="46">
        <f ca="1">EFEITO!$L$1931*EFEITO!$Z$1931</f>
        <v>34295.081382481178</v>
      </c>
      <c r="L1931" s="46">
        <f>EFEITO!$N$1931*EFEITO!$AA$1931</f>
        <v>15752.579988624124</v>
      </c>
      <c r="M1931" s="46">
        <f>$J$1931-EFEITO!$K$1931*EFEITO!$Y$1931</f>
        <v>0</v>
      </c>
      <c r="N1931" s="46">
        <f ca="1">$K$1931-EFEITO!$M$1931*EFEITO!$Z$1931</f>
        <v>0</v>
      </c>
      <c r="O1931" s="46">
        <f>$L$1931-EFEITO!$O$1931*EFEITO!$AA$1931</f>
        <v>0</v>
      </c>
      <c r="P1931" s="38"/>
      <c r="Q1931" s="38"/>
      <c r="R1931" s="38"/>
      <c r="S1931" s="38"/>
      <c r="T1931" s="38"/>
      <c r="U1931" s="38"/>
      <c r="V1931" s="38"/>
      <c r="W1931" s="38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</row>
    <row r="1932" spans="1:36" ht="11.25" customHeight="1" x14ac:dyDescent="0.2">
      <c r="A1932" s="35" t="s">
        <v>28</v>
      </c>
      <c r="B1932" s="35" t="s">
        <v>39</v>
      </c>
      <c r="C1932" s="35" t="s">
        <v>23</v>
      </c>
      <c r="D1932" s="35" t="s">
        <v>54</v>
      </c>
      <c r="E1932" s="35" t="s">
        <v>25</v>
      </c>
      <c r="F1932" s="35" t="s">
        <v>25</v>
      </c>
      <c r="G1932" s="35" t="s">
        <v>25</v>
      </c>
      <c r="H1932" s="35" t="s">
        <v>25</v>
      </c>
      <c r="I1932" s="45">
        <v>44743</v>
      </c>
      <c r="J1932" s="46">
        <f>EFEITO!$J$1932*EFEITO!$Y$1932</f>
        <v>0</v>
      </c>
      <c r="K1932" s="46">
        <f ca="1">EFEITO!$L$1932*EFEITO!$Z$1932</f>
        <v>5474.195484778139</v>
      </c>
      <c r="L1932" s="46">
        <f>EFEITO!$N$1932*EFEITO!$AA$1932</f>
        <v>2514.4335214023595</v>
      </c>
      <c r="M1932" s="46">
        <f>$J$1932-EFEITO!$K$1932*EFEITO!$Y$1932</f>
        <v>0</v>
      </c>
      <c r="N1932" s="46">
        <f ca="1">$K$1932-EFEITO!$M$1932*EFEITO!$Z$1932</f>
        <v>0</v>
      </c>
      <c r="O1932" s="46">
        <f>$L$1932-EFEITO!$O$1932*EFEITO!$AA$1932</f>
        <v>0</v>
      </c>
      <c r="P1932" s="38"/>
      <c r="Q1932" s="38"/>
      <c r="R1932" s="38"/>
      <c r="S1932" s="38"/>
      <c r="T1932" s="38"/>
      <c r="U1932" s="38"/>
      <c r="V1932" s="38"/>
      <c r="W1932" s="38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</row>
    <row r="1933" spans="1:36" ht="11.25" customHeight="1" x14ac:dyDescent="0.2">
      <c r="A1933" s="35" t="s">
        <v>30</v>
      </c>
      <c r="B1933" s="35" t="s">
        <v>39</v>
      </c>
      <c r="C1933" s="35" t="s">
        <v>23</v>
      </c>
      <c r="D1933" s="35" t="s">
        <v>54</v>
      </c>
      <c r="E1933" s="35" t="s">
        <v>25</v>
      </c>
      <c r="F1933" s="35" t="s">
        <v>25</v>
      </c>
      <c r="G1933" s="35" t="s">
        <v>25</v>
      </c>
      <c r="H1933" s="35" t="s">
        <v>25</v>
      </c>
      <c r="I1933" s="45">
        <v>44743</v>
      </c>
      <c r="J1933" s="46">
        <f>EFEITO!$J$1933*EFEITO!$Y$1933</f>
        <v>0</v>
      </c>
      <c r="K1933" s="46">
        <f ca="1">EFEITO!$L$1933*EFEITO!$Z$1933</f>
        <v>50.221976924570086</v>
      </c>
      <c r="L1933" s="46">
        <f>EFEITO!$N$1933*EFEITO!$AA$1933</f>
        <v>23.068197444058345</v>
      </c>
      <c r="M1933" s="46">
        <f>$J$1933-EFEITO!$K$1933*EFEITO!$Y$1933</f>
        <v>0</v>
      </c>
      <c r="N1933" s="46">
        <f ca="1">$K$1933-EFEITO!$M$1933*EFEITO!$Z$1933</f>
        <v>0</v>
      </c>
      <c r="O1933" s="46">
        <f>$L$1933-EFEITO!$O$1933*EFEITO!$AA$1933</f>
        <v>0</v>
      </c>
      <c r="P1933" s="38"/>
      <c r="Q1933" s="38"/>
      <c r="R1933" s="38"/>
      <c r="S1933" s="38"/>
      <c r="T1933" s="38"/>
      <c r="U1933" s="38"/>
      <c r="V1933" s="38"/>
      <c r="W1933" s="38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</row>
    <row r="1934" spans="1:36" ht="11.25" customHeight="1" x14ac:dyDescent="0.2">
      <c r="A1934" s="35" t="s">
        <v>21</v>
      </c>
      <c r="B1934" s="35" t="s">
        <v>39</v>
      </c>
      <c r="C1934" s="35" t="s">
        <v>23</v>
      </c>
      <c r="D1934" s="35" t="s">
        <v>54</v>
      </c>
      <c r="E1934" s="35" t="s">
        <v>25</v>
      </c>
      <c r="F1934" s="35" t="s">
        <v>25</v>
      </c>
      <c r="G1934" s="35" t="s">
        <v>25</v>
      </c>
      <c r="H1934" s="35" t="s">
        <v>25</v>
      </c>
      <c r="I1934" s="45">
        <v>44774</v>
      </c>
      <c r="J1934" s="46">
        <f>EFEITO!$J$1934*EFEITO!$Y$1934</f>
        <v>0</v>
      </c>
      <c r="K1934" s="46">
        <f ca="1">EFEITO!$L$1934*EFEITO!$Z$1934</f>
        <v>40425.175885894198</v>
      </c>
      <c r="L1934" s="46">
        <f>EFEITO!$N$1934*EFEITO!$AA$1934</f>
        <v>18568.284168645881</v>
      </c>
      <c r="M1934" s="46">
        <f>$J$1934-EFEITO!$K$1934*EFEITO!$Y$1934</f>
        <v>0</v>
      </c>
      <c r="N1934" s="46">
        <f ca="1">$K$1934-EFEITO!$M$1934*EFEITO!$Z$1934</f>
        <v>0</v>
      </c>
      <c r="O1934" s="46">
        <f>$L$1934-EFEITO!$O$1934*EFEITO!$AA$1934</f>
        <v>0</v>
      </c>
      <c r="P1934" s="38"/>
      <c r="Q1934" s="38"/>
      <c r="R1934" s="38"/>
      <c r="S1934" s="38"/>
      <c r="T1934" s="38"/>
      <c r="U1934" s="38"/>
      <c r="V1934" s="38"/>
      <c r="W1934" s="38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</row>
    <row r="1935" spans="1:36" ht="11.25" customHeight="1" x14ac:dyDescent="0.2">
      <c r="A1935" s="35" t="s">
        <v>28</v>
      </c>
      <c r="B1935" s="35" t="s">
        <v>39</v>
      </c>
      <c r="C1935" s="35" t="s">
        <v>23</v>
      </c>
      <c r="D1935" s="35" t="s">
        <v>54</v>
      </c>
      <c r="E1935" s="35" t="s">
        <v>25</v>
      </c>
      <c r="F1935" s="35" t="s">
        <v>25</v>
      </c>
      <c r="G1935" s="35" t="s">
        <v>25</v>
      </c>
      <c r="H1935" s="35" t="s">
        <v>25</v>
      </c>
      <c r="I1935" s="45">
        <v>44774</v>
      </c>
      <c r="J1935" s="46">
        <f>EFEITO!$J$1935*EFEITO!$Y$1935</f>
        <v>0</v>
      </c>
      <c r="K1935" s="46">
        <f ca="1">EFEITO!$L$1935*EFEITO!$Z$1935</f>
        <v>5986.4596494087536</v>
      </c>
      <c r="L1935" s="46">
        <f>EFEITO!$N$1935*EFEITO!$AA$1935</f>
        <v>2749.7291353317546</v>
      </c>
      <c r="M1935" s="46">
        <f>$J$1935-EFEITO!$K$1935*EFEITO!$Y$1935</f>
        <v>0</v>
      </c>
      <c r="N1935" s="46">
        <f ca="1">$K$1935-EFEITO!$M$1935*EFEITO!$Z$1935</f>
        <v>0</v>
      </c>
      <c r="O1935" s="46">
        <f>$L$1935-EFEITO!$O$1935*EFEITO!$AA$1935</f>
        <v>0</v>
      </c>
      <c r="P1935" s="38"/>
      <c r="Q1935" s="38"/>
      <c r="R1935" s="38"/>
      <c r="S1935" s="38"/>
      <c r="T1935" s="38"/>
      <c r="U1935" s="38"/>
      <c r="V1935" s="38"/>
      <c r="W1935" s="38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</row>
    <row r="1936" spans="1:36" ht="11.25" customHeight="1" x14ac:dyDescent="0.2">
      <c r="A1936" s="35" t="s">
        <v>30</v>
      </c>
      <c r="B1936" s="35" t="s">
        <v>39</v>
      </c>
      <c r="C1936" s="35" t="s">
        <v>23</v>
      </c>
      <c r="D1936" s="35" t="s">
        <v>54</v>
      </c>
      <c r="E1936" s="35" t="s">
        <v>25</v>
      </c>
      <c r="F1936" s="35" t="s">
        <v>25</v>
      </c>
      <c r="G1936" s="35" t="s">
        <v>25</v>
      </c>
      <c r="H1936" s="35" t="s">
        <v>25</v>
      </c>
      <c r="I1936" s="45">
        <v>44774</v>
      </c>
      <c r="J1936" s="46">
        <f>EFEITO!$J$1936*EFEITO!$Y$1936</f>
        <v>0</v>
      </c>
      <c r="K1936" s="46">
        <f ca="1">EFEITO!$L$1936*EFEITO!$Z$1936</f>
        <v>50.221976924570086</v>
      </c>
      <c r="L1936" s="46">
        <f>EFEITO!$N$1936*EFEITO!$AA$1936</f>
        <v>23.068197444058345</v>
      </c>
      <c r="M1936" s="46">
        <f>$J$1936-EFEITO!$K$1936*EFEITO!$Y$1936</f>
        <v>0</v>
      </c>
      <c r="N1936" s="46">
        <f ca="1">$K$1936-EFEITO!$M$1936*EFEITO!$Z$1936</f>
        <v>0</v>
      </c>
      <c r="O1936" s="46">
        <f>$L$1936-EFEITO!$O$1936*EFEITO!$AA$1936</f>
        <v>0</v>
      </c>
      <c r="P1936" s="38"/>
      <c r="Q1936" s="38"/>
      <c r="R1936" s="38"/>
      <c r="S1936" s="38"/>
      <c r="T1936" s="38"/>
      <c r="U1936" s="38"/>
      <c r="V1936" s="38"/>
      <c r="W1936" s="38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</row>
    <row r="1937" spans="1:36" ht="11.25" customHeight="1" x14ac:dyDescent="0.2">
      <c r="A1937" s="35" t="s">
        <v>21</v>
      </c>
      <c r="B1937" s="35" t="s">
        <v>39</v>
      </c>
      <c r="C1937" s="35" t="s">
        <v>23</v>
      </c>
      <c r="D1937" s="35" t="s">
        <v>54</v>
      </c>
      <c r="E1937" s="35" t="s">
        <v>25</v>
      </c>
      <c r="F1937" s="35" t="s">
        <v>25</v>
      </c>
      <c r="G1937" s="35" t="s">
        <v>25</v>
      </c>
      <c r="H1937" s="35" t="s">
        <v>25</v>
      </c>
      <c r="I1937" s="45">
        <v>44805</v>
      </c>
      <c r="J1937" s="46">
        <f>EFEITO!$J$1937*EFEITO!$Y$1937</f>
        <v>0</v>
      </c>
      <c r="K1937" s="46">
        <f ca="1">EFEITO!$L$1937*EFEITO!$Z$1937</f>
        <v>42839.346316658281</v>
      </c>
      <c r="L1937" s="46">
        <f>EFEITO!$N$1937*EFEITO!$AA$1937</f>
        <v>19677.172419781768</v>
      </c>
      <c r="M1937" s="46">
        <f>$J$1937-EFEITO!$K$1937*EFEITO!$Y$1937</f>
        <v>0</v>
      </c>
      <c r="N1937" s="46">
        <f ca="1">$K$1937-EFEITO!$M$1937*EFEITO!$Z$1937</f>
        <v>0</v>
      </c>
      <c r="O1937" s="46">
        <f>$L$1937-EFEITO!$O$1937*EFEITO!$AA$1937</f>
        <v>0</v>
      </c>
      <c r="P1937" s="38"/>
      <c r="Q1937" s="38"/>
      <c r="R1937" s="38"/>
      <c r="S1937" s="38"/>
      <c r="T1937" s="38"/>
      <c r="U1937" s="38"/>
      <c r="V1937" s="38"/>
      <c r="W1937" s="38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</row>
    <row r="1938" spans="1:36" ht="11.25" customHeight="1" x14ac:dyDescent="0.2">
      <c r="A1938" s="35" t="s">
        <v>27</v>
      </c>
      <c r="B1938" s="35" t="s">
        <v>39</v>
      </c>
      <c r="C1938" s="35" t="s">
        <v>23</v>
      </c>
      <c r="D1938" s="35" t="s">
        <v>54</v>
      </c>
      <c r="E1938" s="35" t="s">
        <v>25</v>
      </c>
      <c r="F1938" s="35" t="s">
        <v>25</v>
      </c>
      <c r="G1938" s="35" t="s">
        <v>25</v>
      </c>
      <c r="H1938" s="35" t="s">
        <v>25</v>
      </c>
      <c r="I1938" s="45">
        <v>44805</v>
      </c>
      <c r="J1938" s="46">
        <f>EFEITO!$J$1938*EFEITO!$Y$1938</f>
        <v>0</v>
      </c>
      <c r="K1938" s="46">
        <f ca="1">EFEITO!$L$1938*EFEITO!$Z$1938</f>
        <v>248.59878577662192</v>
      </c>
      <c r="L1938" s="46">
        <f>EFEITO!$N$1938*EFEITO!$AA$1938</f>
        <v>114.18757734808881</v>
      </c>
      <c r="M1938" s="46">
        <f>$J$1938-EFEITO!$K$1938*EFEITO!$Y$1938</f>
        <v>0</v>
      </c>
      <c r="N1938" s="46">
        <f ca="1">$K$1938-EFEITO!$M$1938*EFEITO!$Z$1938</f>
        <v>0</v>
      </c>
      <c r="O1938" s="46">
        <f>$L$1938-EFEITO!$O$1938*EFEITO!$AA$1938</f>
        <v>0</v>
      </c>
      <c r="P1938" s="38"/>
      <c r="Q1938" s="38"/>
      <c r="R1938" s="38"/>
      <c r="S1938" s="38"/>
      <c r="T1938" s="38"/>
      <c r="U1938" s="38"/>
      <c r="V1938" s="38"/>
      <c r="W1938" s="38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</row>
    <row r="1939" spans="1:36" ht="11.25" customHeight="1" x14ac:dyDescent="0.2">
      <c r="A1939" s="35" t="s">
        <v>28</v>
      </c>
      <c r="B1939" s="35" t="s">
        <v>39</v>
      </c>
      <c r="C1939" s="35" t="s">
        <v>23</v>
      </c>
      <c r="D1939" s="35" t="s">
        <v>54</v>
      </c>
      <c r="E1939" s="35" t="s">
        <v>25</v>
      </c>
      <c r="F1939" s="35" t="s">
        <v>25</v>
      </c>
      <c r="G1939" s="35" t="s">
        <v>25</v>
      </c>
      <c r="H1939" s="35" t="s">
        <v>25</v>
      </c>
      <c r="I1939" s="45">
        <v>44805</v>
      </c>
      <c r="J1939" s="46">
        <f>EFEITO!$J$1939*EFEITO!$Y$1939</f>
        <v>0</v>
      </c>
      <c r="K1939" s="46">
        <f ca="1">EFEITO!$L$1939*EFEITO!$Z$1939</f>
        <v>5964.8641993311894</v>
      </c>
      <c r="L1939" s="46">
        <f>EFEITO!$N$1939*EFEITO!$AA$1939</f>
        <v>2739.8098104308096</v>
      </c>
      <c r="M1939" s="46">
        <f>$J$1939-EFEITO!$K$1939*EFEITO!$Y$1939</f>
        <v>0</v>
      </c>
      <c r="N1939" s="46">
        <f ca="1">$K$1939-EFEITO!$M$1939*EFEITO!$Z$1939</f>
        <v>0</v>
      </c>
      <c r="O1939" s="46">
        <f>$L$1939-EFEITO!$O$1939*EFEITO!$AA$1939</f>
        <v>0</v>
      </c>
      <c r="P1939" s="38"/>
      <c r="Q1939" s="38"/>
      <c r="R1939" s="38"/>
      <c r="S1939" s="38"/>
      <c r="T1939" s="38"/>
      <c r="U1939" s="38"/>
      <c r="V1939" s="38"/>
      <c r="W1939" s="38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</row>
    <row r="1940" spans="1:36" ht="11.25" customHeight="1" x14ac:dyDescent="0.2">
      <c r="A1940" s="35" t="s">
        <v>30</v>
      </c>
      <c r="B1940" s="35" t="s">
        <v>39</v>
      </c>
      <c r="C1940" s="35" t="s">
        <v>23</v>
      </c>
      <c r="D1940" s="35" t="s">
        <v>54</v>
      </c>
      <c r="E1940" s="35" t="s">
        <v>25</v>
      </c>
      <c r="F1940" s="35" t="s">
        <v>25</v>
      </c>
      <c r="G1940" s="35" t="s">
        <v>25</v>
      </c>
      <c r="H1940" s="35" t="s">
        <v>25</v>
      </c>
      <c r="I1940" s="45">
        <v>44805</v>
      </c>
      <c r="J1940" s="46">
        <f>EFEITO!$J$1940*EFEITO!$Y$1940</f>
        <v>0</v>
      </c>
      <c r="K1940" s="46">
        <f ca="1">EFEITO!$L$1940*EFEITO!$Z$1940</f>
        <v>50.221976924570086</v>
      </c>
      <c r="L1940" s="46">
        <f>EFEITO!$N$1940*EFEITO!$AA$1940</f>
        <v>23.068197444058345</v>
      </c>
      <c r="M1940" s="46">
        <f>$J$1940-EFEITO!$K$1940*EFEITO!$Y$1940</f>
        <v>0</v>
      </c>
      <c r="N1940" s="46">
        <f ca="1">$K$1940-EFEITO!$M$1940*EFEITO!$Z$1940</f>
        <v>0</v>
      </c>
      <c r="O1940" s="46">
        <f>$L$1940-EFEITO!$O$1940*EFEITO!$AA$1940</f>
        <v>0</v>
      </c>
      <c r="P1940" s="38"/>
      <c r="Q1940" s="38"/>
      <c r="R1940" s="38"/>
      <c r="S1940" s="38"/>
      <c r="T1940" s="38"/>
      <c r="U1940" s="38"/>
      <c r="V1940" s="38"/>
      <c r="W1940" s="38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</row>
    <row r="1941" spans="1:36" ht="11.25" customHeight="1" x14ac:dyDescent="0.2">
      <c r="A1941" s="35" t="s">
        <v>21</v>
      </c>
      <c r="B1941" s="35" t="s">
        <v>39</v>
      </c>
      <c r="C1941" s="35" t="s">
        <v>23</v>
      </c>
      <c r="D1941" s="35" t="s">
        <v>54</v>
      </c>
      <c r="E1941" s="35" t="s">
        <v>25</v>
      </c>
      <c r="F1941" s="35" t="s">
        <v>25</v>
      </c>
      <c r="G1941" s="35" t="s">
        <v>25</v>
      </c>
      <c r="H1941" s="35" t="s">
        <v>25</v>
      </c>
      <c r="I1941" s="45">
        <v>44835</v>
      </c>
      <c r="J1941" s="46">
        <f>EFEITO!$J$1941*EFEITO!$Y$1941</f>
        <v>0</v>
      </c>
      <c r="K1941" s="46">
        <f ca="1">EFEITO!$L$1941*EFEITO!$Z$1941</f>
        <v>41021.812971758089</v>
      </c>
      <c r="L1941" s="46">
        <f>EFEITO!$N$1941*EFEITO!$AA$1941</f>
        <v>18842.334354281295</v>
      </c>
      <c r="M1941" s="46">
        <f>$J$1941-EFEITO!$K$1941*EFEITO!$Y$1941</f>
        <v>0</v>
      </c>
      <c r="N1941" s="46">
        <f ca="1">$K$1941-EFEITO!$M$1941*EFEITO!$Z$1941</f>
        <v>0</v>
      </c>
      <c r="O1941" s="46">
        <f>$L$1941-EFEITO!$O$1941*EFEITO!$AA$1941</f>
        <v>0</v>
      </c>
      <c r="P1941" s="38"/>
      <c r="Q1941" s="38"/>
      <c r="R1941" s="38"/>
      <c r="S1941" s="38"/>
      <c r="T1941" s="38"/>
      <c r="U1941" s="38"/>
      <c r="V1941" s="38"/>
      <c r="W1941" s="38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</row>
    <row r="1942" spans="1:36" ht="11.25" customHeight="1" x14ac:dyDescent="0.2">
      <c r="A1942" s="35" t="s">
        <v>28</v>
      </c>
      <c r="B1942" s="35" t="s">
        <v>39</v>
      </c>
      <c r="C1942" s="35" t="s">
        <v>23</v>
      </c>
      <c r="D1942" s="35" t="s">
        <v>54</v>
      </c>
      <c r="E1942" s="35" t="s">
        <v>25</v>
      </c>
      <c r="F1942" s="35" t="s">
        <v>25</v>
      </c>
      <c r="G1942" s="35" t="s">
        <v>25</v>
      </c>
      <c r="H1942" s="35" t="s">
        <v>25</v>
      </c>
      <c r="I1942" s="45">
        <v>44835</v>
      </c>
      <c r="J1942" s="46">
        <f>EFEITO!$J$1942*EFEITO!$Y$1942</f>
        <v>0</v>
      </c>
      <c r="K1942" s="46">
        <f ca="1">EFEITO!$L$1942*EFEITO!$Z$1942</f>
        <v>9633.0773939017872</v>
      </c>
      <c r="L1942" s="46">
        <f>EFEITO!$N$1942*EFEITO!$AA$1942</f>
        <v>4424.7109517448316</v>
      </c>
      <c r="M1942" s="46">
        <f>$J$1942-EFEITO!$K$1942*EFEITO!$Y$1942</f>
        <v>0</v>
      </c>
      <c r="N1942" s="46">
        <f ca="1">$K$1942-EFEITO!$M$1942*EFEITO!$Z$1942</f>
        <v>0</v>
      </c>
      <c r="O1942" s="46">
        <f>$L$1942-EFEITO!$O$1942*EFEITO!$AA$1942</f>
        <v>0</v>
      </c>
      <c r="P1942" s="38"/>
      <c r="Q1942" s="38"/>
      <c r="R1942" s="38"/>
      <c r="S1942" s="38"/>
      <c r="T1942" s="38"/>
      <c r="U1942" s="38"/>
      <c r="V1942" s="38"/>
      <c r="W1942" s="38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</row>
    <row r="1943" spans="1:36" ht="11.25" customHeight="1" x14ac:dyDescent="0.2">
      <c r="A1943" s="35" t="s">
        <v>30</v>
      </c>
      <c r="B1943" s="35" t="s">
        <v>39</v>
      </c>
      <c r="C1943" s="35" t="s">
        <v>23</v>
      </c>
      <c r="D1943" s="35" t="s">
        <v>54</v>
      </c>
      <c r="E1943" s="35" t="s">
        <v>25</v>
      </c>
      <c r="F1943" s="35" t="s">
        <v>25</v>
      </c>
      <c r="G1943" s="35" t="s">
        <v>25</v>
      </c>
      <c r="H1943" s="35" t="s">
        <v>25</v>
      </c>
      <c r="I1943" s="45">
        <v>44835</v>
      </c>
      <c r="J1943" s="46">
        <f>EFEITO!$J$1943*EFEITO!$Y$1943</f>
        <v>0</v>
      </c>
      <c r="K1943" s="46">
        <f ca="1">EFEITO!$L$1943*EFEITO!$Z$1943</f>
        <v>50.221976924570086</v>
      </c>
      <c r="L1943" s="46">
        <f>EFEITO!$N$1943*EFEITO!$AA$1943</f>
        <v>23.068197444058345</v>
      </c>
      <c r="M1943" s="46">
        <f>$J$1943-EFEITO!$K$1943*EFEITO!$Y$1943</f>
        <v>0</v>
      </c>
      <c r="N1943" s="46">
        <f ca="1">$K$1943-EFEITO!$M$1943*EFEITO!$Z$1943</f>
        <v>0</v>
      </c>
      <c r="O1943" s="46">
        <f>$L$1943-EFEITO!$O$1943*EFEITO!$AA$1943</f>
        <v>0</v>
      </c>
      <c r="P1943" s="38"/>
      <c r="Q1943" s="38"/>
      <c r="R1943" s="38"/>
      <c r="S1943" s="38"/>
      <c r="T1943" s="38"/>
      <c r="U1943" s="38"/>
      <c r="V1943" s="38"/>
      <c r="W1943" s="38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</row>
    <row r="1944" spans="1:36" ht="11.25" customHeight="1" x14ac:dyDescent="0.2">
      <c r="A1944" s="35" t="s">
        <v>59</v>
      </c>
      <c r="B1944" s="35" t="s">
        <v>39</v>
      </c>
      <c r="C1944" s="35" t="s">
        <v>23</v>
      </c>
      <c r="D1944" s="35" t="s">
        <v>54</v>
      </c>
      <c r="E1944" s="35" t="s">
        <v>25</v>
      </c>
      <c r="F1944" s="35" t="s">
        <v>25</v>
      </c>
      <c r="G1944" s="35" t="s">
        <v>25</v>
      </c>
      <c r="H1944" s="35" t="s">
        <v>25</v>
      </c>
      <c r="I1944" s="45">
        <v>44866</v>
      </c>
      <c r="J1944" s="46">
        <f>EFEITO!$J$1944*EFEITO!$Y$1944</f>
        <v>0</v>
      </c>
      <c r="K1944" s="46">
        <f ca="1">EFEITO!$L$1944*EFEITO!$Z$1944</f>
        <v>41021.812971758089</v>
      </c>
      <c r="L1944" s="46">
        <f>EFEITO!$N$1944*EFEITO!$AA$1944</f>
        <v>18842.334354281295</v>
      </c>
      <c r="M1944" s="46">
        <f>$J$1944-EFEITO!$K$1944*EFEITO!$Y$1944</f>
        <v>0</v>
      </c>
      <c r="N1944" s="46">
        <f ca="1">$K$1944-EFEITO!$M$1944*EFEITO!$Z$1944</f>
        <v>0</v>
      </c>
      <c r="O1944" s="46">
        <f>$L$1944-EFEITO!$O$1944*EFEITO!$AA$1944</f>
        <v>0</v>
      </c>
      <c r="P1944" s="38"/>
      <c r="Q1944" s="38"/>
      <c r="R1944" s="38"/>
      <c r="S1944" s="38"/>
      <c r="T1944" s="38"/>
      <c r="U1944" s="38"/>
      <c r="V1944" s="38"/>
      <c r="W1944" s="38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</row>
    <row r="1945" spans="1:36" ht="11.25" customHeight="1" x14ac:dyDescent="0.2">
      <c r="A1945" s="35" t="s">
        <v>59</v>
      </c>
      <c r="B1945" s="35" t="s">
        <v>39</v>
      </c>
      <c r="C1945" s="35" t="s">
        <v>23</v>
      </c>
      <c r="D1945" s="35" t="s">
        <v>54</v>
      </c>
      <c r="E1945" s="35" t="s">
        <v>25</v>
      </c>
      <c r="F1945" s="35" t="s">
        <v>25</v>
      </c>
      <c r="G1945" s="35" t="s">
        <v>25</v>
      </c>
      <c r="H1945" s="35" t="s">
        <v>25</v>
      </c>
      <c r="I1945" s="45">
        <v>44866</v>
      </c>
      <c r="J1945" s="46">
        <f>EFEITO!$J$1945*EFEITO!$Y$1945</f>
        <v>0</v>
      </c>
      <c r="K1945" s="46">
        <f ca="1">EFEITO!$L$1945*EFEITO!$Z$1945</f>
        <v>9633.0773939017872</v>
      </c>
      <c r="L1945" s="46">
        <f>EFEITO!$N$1945*EFEITO!$AA$1945</f>
        <v>4424.7109517448316</v>
      </c>
      <c r="M1945" s="46">
        <f>$J$1945-EFEITO!$K$1945*EFEITO!$Y$1945</f>
        <v>0</v>
      </c>
      <c r="N1945" s="46">
        <f ca="1">$K$1945-EFEITO!$M$1945*EFEITO!$Z$1945</f>
        <v>0</v>
      </c>
      <c r="O1945" s="46">
        <f>$L$1945-EFEITO!$O$1945*EFEITO!$AA$1945</f>
        <v>0</v>
      </c>
      <c r="P1945" s="38"/>
      <c r="Q1945" s="38"/>
      <c r="R1945" s="38"/>
      <c r="S1945" s="38"/>
      <c r="T1945" s="38"/>
      <c r="U1945" s="38"/>
      <c r="V1945" s="38"/>
      <c r="W1945" s="38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</row>
    <row r="1946" spans="1:36" ht="11.25" customHeight="1" x14ac:dyDescent="0.2">
      <c r="A1946" s="35" t="s">
        <v>59</v>
      </c>
      <c r="B1946" s="35" t="s">
        <v>39</v>
      </c>
      <c r="C1946" s="35" t="s">
        <v>23</v>
      </c>
      <c r="D1946" s="35" t="s">
        <v>54</v>
      </c>
      <c r="E1946" s="35" t="s">
        <v>25</v>
      </c>
      <c r="F1946" s="35" t="s">
        <v>25</v>
      </c>
      <c r="G1946" s="35" t="s">
        <v>25</v>
      </c>
      <c r="H1946" s="35" t="s">
        <v>25</v>
      </c>
      <c r="I1946" s="45">
        <v>44866</v>
      </c>
      <c r="J1946" s="46">
        <f>EFEITO!$J$1946*EFEITO!$Y$1946</f>
        <v>0</v>
      </c>
      <c r="K1946" s="46">
        <f ca="1">EFEITO!$L$1946*EFEITO!$Z$1946</f>
        <v>50.221976924570086</v>
      </c>
      <c r="L1946" s="46">
        <f>EFEITO!$N$1946*EFEITO!$AA$1946</f>
        <v>23.068197444058345</v>
      </c>
      <c r="M1946" s="46">
        <f>$J$1946-EFEITO!$K$1946*EFEITO!$Y$1946</f>
        <v>0</v>
      </c>
      <c r="N1946" s="46">
        <f ca="1">$K$1946-EFEITO!$M$1946*EFEITO!$Z$1946</f>
        <v>0</v>
      </c>
      <c r="O1946" s="46">
        <f>$L$1946-EFEITO!$O$1946*EFEITO!$AA$1946</f>
        <v>0</v>
      </c>
      <c r="P1946" s="38"/>
      <c r="Q1946" s="38"/>
      <c r="R1946" s="38"/>
      <c r="S1946" s="38"/>
      <c r="T1946" s="38"/>
      <c r="U1946" s="38"/>
      <c r="V1946" s="38"/>
      <c r="W1946" s="38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</row>
    <row r="1947" spans="1:36" ht="11.25" customHeight="1" x14ac:dyDescent="0.2">
      <c r="A1947" s="35" t="s">
        <v>21</v>
      </c>
      <c r="B1947" s="35" t="s">
        <v>39</v>
      </c>
      <c r="C1947" s="35" t="s">
        <v>23</v>
      </c>
      <c r="D1947" s="35" t="s">
        <v>40</v>
      </c>
      <c r="E1947" s="35" t="s">
        <v>25</v>
      </c>
      <c r="F1947" s="35" t="s">
        <v>25</v>
      </c>
      <c r="G1947" s="35" t="s">
        <v>25</v>
      </c>
      <c r="H1947" s="35" t="s">
        <v>25</v>
      </c>
      <c r="I1947" s="45">
        <v>44531</v>
      </c>
      <c r="J1947" s="46">
        <f>EFEITO!$J$1947*EFEITO!$Y$1947</f>
        <v>0</v>
      </c>
      <c r="K1947" s="46">
        <f ca="1">EFEITO!$L$1947*EFEITO!$Z$1947</f>
        <v>116109.69511122131</v>
      </c>
      <c r="L1947" s="46">
        <f>EFEITO!$N$1947*EFEITO!$AA$1947</f>
        <v>53332.057716841809</v>
      </c>
      <c r="M1947" s="46">
        <f>$J$1947-EFEITO!$K$1947*EFEITO!$Y$1947</f>
        <v>0</v>
      </c>
      <c r="N1947" s="46">
        <f ca="1">$K$1947-EFEITO!$M$1947*EFEITO!$Z$1947</f>
        <v>0</v>
      </c>
      <c r="O1947" s="46">
        <f>$L$1947-EFEITO!$O$1947*EFEITO!$AA$1947</f>
        <v>0</v>
      </c>
      <c r="P1947" s="38"/>
      <c r="Q1947" s="38"/>
      <c r="R1947" s="38"/>
      <c r="S1947" s="38"/>
      <c r="T1947" s="38"/>
      <c r="U1947" s="38"/>
      <c r="V1947" s="38"/>
      <c r="W1947" s="38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</row>
    <row r="1948" spans="1:36" ht="11.25" customHeight="1" x14ac:dyDescent="0.2">
      <c r="A1948" s="35" t="s">
        <v>27</v>
      </c>
      <c r="B1948" s="35" t="s">
        <v>39</v>
      </c>
      <c r="C1948" s="35" t="s">
        <v>23</v>
      </c>
      <c r="D1948" s="35" t="s">
        <v>40</v>
      </c>
      <c r="E1948" s="35" t="s">
        <v>25</v>
      </c>
      <c r="F1948" s="35" t="s">
        <v>25</v>
      </c>
      <c r="G1948" s="35" t="s">
        <v>25</v>
      </c>
      <c r="H1948" s="35" t="s">
        <v>25</v>
      </c>
      <c r="I1948" s="45">
        <v>44531</v>
      </c>
      <c r="J1948" s="46">
        <f>EFEITO!$J$1948*EFEITO!$Y$1948</f>
        <v>0</v>
      </c>
      <c r="K1948" s="46">
        <f ca="1">EFEITO!$L$1948*EFEITO!$Z$1948</f>
        <v>-509.75306578438631</v>
      </c>
      <c r="L1948" s="46">
        <f>EFEITO!$N$1948*EFEITO!$AA$1948</f>
        <v>-234.14220405719217</v>
      </c>
      <c r="M1948" s="46">
        <f>$J$1948-EFEITO!$K$1948*EFEITO!$Y$1948</f>
        <v>0</v>
      </c>
      <c r="N1948" s="46">
        <f ca="1">$K$1948-EFEITO!$M$1948*EFEITO!$Z$1948</f>
        <v>0</v>
      </c>
      <c r="O1948" s="46">
        <f>$L$1948-EFEITO!$O$1948*EFEITO!$AA$1948</f>
        <v>0</v>
      </c>
      <c r="P1948" s="38"/>
      <c r="Q1948" s="38"/>
      <c r="R1948" s="38"/>
      <c r="S1948" s="38"/>
      <c r="T1948" s="38"/>
      <c r="U1948" s="38"/>
      <c r="V1948" s="38"/>
      <c r="W1948" s="38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</row>
    <row r="1949" spans="1:36" ht="11.25" customHeight="1" x14ac:dyDescent="0.2">
      <c r="A1949" s="35" t="s">
        <v>28</v>
      </c>
      <c r="B1949" s="35" t="s">
        <v>39</v>
      </c>
      <c r="C1949" s="35" t="s">
        <v>23</v>
      </c>
      <c r="D1949" s="35" t="s">
        <v>40</v>
      </c>
      <c r="E1949" s="35" t="s">
        <v>25</v>
      </c>
      <c r="F1949" s="35" t="s">
        <v>25</v>
      </c>
      <c r="G1949" s="35" t="s">
        <v>25</v>
      </c>
      <c r="H1949" s="35" t="s">
        <v>25</v>
      </c>
      <c r="I1949" s="45">
        <v>44531</v>
      </c>
      <c r="J1949" s="46">
        <f>EFEITO!$J$1949*EFEITO!$Y$1949</f>
        <v>0</v>
      </c>
      <c r="K1949" s="46">
        <f ca="1">EFEITO!$L$1949*EFEITO!$Z$1949</f>
        <v>27770.744360210272</v>
      </c>
      <c r="L1949" s="46">
        <f>EFEITO!$N$1949*EFEITO!$AA$1949</f>
        <v>12755.790458666503</v>
      </c>
      <c r="M1949" s="46">
        <f>$J$1949-EFEITO!$K$1949*EFEITO!$Y$1949</f>
        <v>0</v>
      </c>
      <c r="N1949" s="46">
        <f ca="1">$K$1949-EFEITO!$M$1949*EFEITO!$Z$1949</f>
        <v>0</v>
      </c>
      <c r="O1949" s="46">
        <f>$L$1949-EFEITO!$O$1949*EFEITO!$AA$1949</f>
        <v>0</v>
      </c>
      <c r="P1949" s="38"/>
      <c r="Q1949" s="38"/>
      <c r="R1949" s="38"/>
      <c r="S1949" s="38"/>
      <c r="T1949" s="38"/>
      <c r="U1949" s="38"/>
      <c r="V1949" s="38"/>
      <c r="W1949" s="38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</row>
    <row r="1950" spans="1:36" ht="11.25" customHeight="1" x14ac:dyDescent="0.2">
      <c r="A1950" s="35" t="s">
        <v>30</v>
      </c>
      <c r="B1950" s="35" t="s">
        <v>39</v>
      </c>
      <c r="C1950" s="35" t="s">
        <v>23</v>
      </c>
      <c r="D1950" s="35" t="s">
        <v>40</v>
      </c>
      <c r="E1950" s="35" t="s">
        <v>25</v>
      </c>
      <c r="F1950" s="35" t="s">
        <v>25</v>
      </c>
      <c r="G1950" s="35" t="s">
        <v>25</v>
      </c>
      <c r="H1950" s="35" t="s">
        <v>25</v>
      </c>
      <c r="I1950" s="45">
        <v>44531</v>
      </c>
      <c r="J1950" s="46">
        <f>EFEITO!$J$1950*EFEITO!$Y$1950</f>
        <v>0</v>
      </c>
      <c r="K1950" s="46">
        <f ca="1">EFEITO!$L$1950*EFEITO!$Z$1950</f>
        <v>6353.5823007273611</v>
      </c>
      <c r="L1950" s="46">
        <f>EFEITO!$N$1950*EFEITO!$AA$1950</f>
        <v>2918.3576586478212</v>
      </c>
      <c r="M1950" s="46">
        <f>$J$1950-EFEITO!$K$1950*EFEITO!$Y$1950</f>
        <v>0</v>
      </c>
      <c r="N1950" s="46">
        <f ca="1">$K$1950-EFEITO!$M$1950*EFEITO!$Z$1950</f>
        <v>0</v>
      </c>
      <c r="O1950" s="46">
        <f>$L$1950-EFEITO!$O$1950*EFEITO!$AA$1950</f>
        <v>0</v>
      </c>
      <c r="P1950" s="38"/>
      <c r="Q1950" s="38"/>
      <c r="R1950" s="38"/>
      <c r="S1950" s="38"/>
      <c r="T1950" s="38"/>
      <c r="U1950" s="38"/>
      <c r="V1950" s="38"/>
      <c r="W1950" s="38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</row>
    <row r="1951" spans="1:36" ht="11.25" customHeight="1" x14ac:dyDescent="0.2">
      <c r="A1951" s="35" t="s">
        <v>21</v>
      </c>
      <c r="B1951" s="35" t="s">
        <v>39</v>
      </c>
      <c r="C1951" s="35" t="s">
        <v>23</v>
      </c>
      <c r="D1951" s="35" t="s">
        <v>40</v>
      </c>
      <c r="E1951" s="35" t="s">
        <v>25</v>
      </c>
      <c r="F1951" s="35" t="s">
        <v>25</v>
      </c>
      <c r="G1951" s="35" t="s">
        <v>25</v>
      </c>
      <c r="H1951" s="35" t="s">
        <v>25</v>
      </c>
      <c r="I1951" s="45">
        <v>44562</v>
      </c>
      <c r="J1951" s="46">
        <f>EFEITO!$J$1951*EFEITO!$Y$1951</f>
        <v>0</v>
      </c>
      <c r="K1951" s="46">
        <f ca="1">EFEITO!$L$1951*EFEITO!$Z$1951</f>
        <v>118238.1024932846</v>
      </c>
      <c r="L1951" s="46">
        <f>EFEITO!$N$1951*EFEITO!$AA$1951</f>
        <v>54309.687924521</v>
      </c>
      <c r="M1951" s="46">
        <f>$J$1951-EFEITO!$K$1951*EFEITO!$Y$1951</f>
        <v>0</v>
      </c>
      <c r="N1951" s="46">
        <f ca="1">$K$1951-EFEITO!$M$1951*EFEITO!$Z$1951</f>
        <v>0</v>
      </c>
      <c r="O1951" s="46">
        <f>$L$1951-EFEITO!$O$1951*EFEITO!$AA$1951</f>
        <v>0</v>
      </c>
      <c r="P1951" s="38"/>
      <c r="Q1951" s="38"/>
      <c r="R1951" s="38"/>
      <c r="S1951" s="38"/>
      <c r="T1951" s="38"/>
      <c r="U1951" s="38"/>
      <c r="V1951" s="38"/>
      <c r="W1951" s="38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</row>
    <row r="1952" spans="1:36" ht="11.25" customHeight="1" x14ac:dyDescent="0.2">
      <c r="A1952" s="35" t="s">
        <v>27</v>
      </c>
      <c r="B1952" s="35" t="s">
        <v>39</v>
      </c>
      <c r="C1952" s="35" t="s">
        <v>23</v>
      </c>
      <c r="D1952" s="35" t="s">
        <v>40</v>
      </c>
      <c r="E1952" s="35" t="s">
        <v>25</v>
      </c>
      <c r="F1952" s="35" t="s">
        <v>25</v>
      </c>
      <c r="G1952" s="35" t="s">
        <v>25</v>
      </c>
      <c r="H1952" s="35" t="s">
        <v>25</v>
      </c>
      <c r="I1952" s="45">
        <v>44562</v>
      </c>
      <c r="J1952" s="46">
        <f>EFEITO!$J$1952*EFEITO!$Y$1952</f>
        <v>0</v>
      </c>
      <c r="K1952" s="46">
        <f ca="1">EFEITO!$L$1952*EFEITO!$Z$1952</f>
        <v>1008.4572966453673</v>
      </c>
      <c r="L1952" s="46">
        <f>EFEITO!$N$1952*EFEITO!$AA$1952</f>
        <v>463.20940467669158</v>
      </c>
      <c r="M1952" s="46">
        <f>$J$1952-EFEITO!$K$1952*EFEITO!$Y$1952</f>
        <v>0</v>
      </c>
      <c r="N1952" s="46">
        <f ca="1">$K$1952-EFEITO!$M$1952*EFEITO!$Z$1952</f>
        <v>0</v>
      </c>
      <c r="O1952" s="46">
        <f>$L$1952-EFEITO!$O$1952*EFEITO!$AA$1952</f>
        <v>0</v>
      </c>
      <c r="P1952" s="38"/>
      <c r="Q1952" s="38"/>
      <c r="R1952" s="38"/>
      <c r="S1952" s="38"/>
      <c r="T1952" s="38"/>
      <c r="U1952" s="38"/>
      <c r="V1952" s="38"/>
      <c r="W1952" s="38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</row>
    <row r="1953" spans="1:36" ht="11.25" customHeight="1" x14ac:dyDescent="0.2">
      <c r="A1953" s="35" t="s">
        <v>28</v>
      </c>
      <c r="B1953" s="35" t="s">
        <v>39</v>
      </c>
      <c r="C1953" s="35" t="s">
        <v>23</v>
      </c>
      <c r="D1953" s="35" t="s">
        <v>40</v>
      </c>
      <c r="E1953" s="35" t="s">
        <v>25</v>
      </c>
      <c r="F1953" s="35" t="s">
        <v>25</v>
      </c>
      <c r="G1953" s="35" t="s">
        <v>25</v>
      </c>
      <c r="H1953" s="35" t="s">
        <v>25</v>
      </c>
      <c r="I1953" s="45">
        <v>44562</v>
      </c>
      <c r="J1953" s="46">
        <f>EFEITO!$J$1953*EFEITO!$Y$1953</f>
        <v>0</v>
      </c>
      <c r="K1953" s="46">
        <f ca="1">EFEITO!$L$1953*EFEITO!$Z$1953</f>
        <v>28032.400859987283</v>
      </c>
      <c r="L1953" s="46">
        <f>EFEITO!$N$1953*EFEITO!$AA$1953</f>
        <v>12875.975767350046</v>
      </c>
      <c r="M1953" s="46">
        <f>$J$1953-EFEITO!$K$1953*EFEITO!$Y$1953</f>
        <v>0</v>
      </c>
      <c r="N1953" s="46">
        <f ca="1">$K$1953-EFEITO!$M$1953*EFEITO!$Z$1953</f>
        <v>0</v>
      </c>
      <c r="O1953" s="46">
        <f>$L$1953-EFEITO!$O$1953*EFEITO!$AA$1953</f>
        <v>0</v>
      </c>
      <c r="P1953" s="38"/>
      <c r="Q1953" s="38"/>
      <c r="R1953" s="38"/>
      <c r="S1953" s="38"/>
      <c r="T1953" s="38"/>
      <c r="U1953" s="38"/>
      <c r="V1953" s="38"/>
      <c r="W1953" s="38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</row>
    <row r="1954" spans="1:36" ht="11.25" customHeight="1" x14ac:dyDescent="0.2">
      <c r="A1954" s="35" t="s">
        <v>30</v>
      </c>
      <c r="B1954" s="35" t="s">
        <v>39</v>
      </c>
      <c r="C1954" s="35" t="s">
        <v>23</v>
      </c>
      <c r="D1954" s="35" t="s">
        <v>40</v>
      </c>
      <c r="E1954" s="35" t="s">
        <v>25</v>
      </c>
      <c r="F1954" s="35" t="s">
        <v>25</v>
      </c>
      <c r="G1954" s="35" t="s">
        <v>25</v>
      </c>
      <c r="H1954" s="35" t="s">
        <v>25</v>
      </c>
      <c r="I1954" s="45">
        <v>44562</v>
      </c>
      <c r="J1954" s="46">
        <f>EFEITO!$J$1954*EFEITO!$Y$1954</f>
        <v>0</v>
      </c>
      <c r="K1954" s="46">
        <f ca="1">EFEITO!$L$1954*EFEITO!$Z$1954</f>
        <v>6797.5445767405608</v>
      </c>
      <c r="L1954" s="46">
        <f>EFEITO!$N$1954*EFEITO!$AA$1954</f>
        <v>3122.2805240532971</v>
      </c>
      <c r="M1954" s="46">
        <f>$J$1954-EFEITO!$K$1954*EFEITO!$Y$1954</f>
        <v>0</v>
      </c>
      <c r="N1954" s="46">
        <f ca="1">$K$1954-EFEITO!$M$1954*EFEITO!$Z$1954</f>
        <v>0</v>
      </c>
      <c r="O1954" s="46">
        <f>$L$1954-EFEITO!$O$1954*EFEITO!$AA$1954</f>
        <v>0</v>
      </c>
      <c r="P1954" s="38"/>
      <c r="Q1954" s="38"/>
      <c r="R1954" s="38"/>
      <c r="S1954" s="38"/>
      <c r="T1954" s="38"/>
      <c r="U1954" s="38"/>
      <c r="V1954" s="38"/>
      <c r="W1954" s="38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</row>
    <row r="1955" spans="1:36" ht="11.25" customHeight="1" x14ac:dyDescent="0.2">
      <c r="A1955" s="35" t="s">
        <v>30</v>
      </c>
      <c r="B1955" s="35" t="s">
        <v>39</v>
      </c>
      <c r="C1955" s="35" t="s">
        <v>23</v>
      </c>
      <c r="D1955" s="35" t="s">
        <v>40</v>
      </c>
      <c r="E1955" s="35" t="s">
        <v>25</v>
      </c>
      <c r="F1955" s="35" t="s">
        <v>25</v>
      </c>
      <c r="G1955" s="35" t="s">
        <v>25</v>
      </c>
      <c r="H1955" s="35" t="s">
        <v>25</v>
      </c>
      <c r="I1955" s="45">
        <v>44562</v>
      </c>
      <c r="J1955" s="46">
        <f>EFEITO!$J$1955*EFEITO!$Y$1955</f>
        <v>0</v>
      </c>
      <c r="K1955" s="46">
        <f ca="1">EFEITO!$L$1955*EFEITO!$Z$1955</f>
        <v>-6806.5845325869841</v>
      </c>
      <c r="L1955" s="46">
        <f>EFEITO!$N$1955*EFEITO!$AA$1955</f>
        <v>-3126.4327995932276</v>
      </c>
      <c r="M1955" s="46">
        <f>$J$1955-EFEITO!$K$1955*EFEITO!$Y$1955</f>
        <v>0</v>
      </c>
      <c r="N1955" s="46">
        <f ca="1">$K$1955-EFEITO!$M$1955*EFEITO!$Z$1955</f>
        <v>0</v>
      </c>
      <c r="O1955" s="46">
        <f>$L$1955-EFEITO!$O$1955*EFEITO!$AA$1955</f>
        <v>0</v>
      </c>
      <c r="P1955" s="38"/>
      <c r="Q1955" s="38"/>
      <c r="R1955" s="38"/>
      <c r="S1955" s="38"/>
      <c r="T1955" s="38"/>
      <c r="U1955" s="38"/>
      <c r="V1955" s="38"/>
      <c r="W1955" s="38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</row>
    <row r="1956" spans="1:36" ht="11.25" customHeight="1" x14ac:dyDescent="0.2">
      <c r="A1956" s="35" t="s">
        <v>21</v>
      </c>
      <c r="B1956" s="35" t="s">
        <v>39</v>
      </c>
      <c r="C1956" s="35" t="s">
        <v>23</v>
      </c>
      <c r="D1956" s="35" t="s">
        <v>40</v>
      </c>
      <c r="E1956" s="35" t="s">
        <v>25</v>
      </c>
      <c r="F1956" s="35" t="s">
        <v>25</v>
      </c>
      <c r="G1956" s="35" t="s">
        <v>25</v>
      </c>
      <c r="H1956" s="35" t="s">
        <v>25</v>
      </c>
      <c r="I1956" s="45">
        <v>44593</v>
      </c>
      <c r="J1956" s="46">
        <f>EFEITO!$J$1956*EFEITO!$Y$1956</f>
        <v>0</v>
      </c>
      <c r="K1956" s="46">
        <f ca="1">EFEITO!$L$1956*EFEITO!$Z$1956</f>
        <v>126676.90127592011</v>
      </c>
      <c r="L1956" s="46">
        <f>EFEITO!$N$1956*EFEITO!$AA$1956</f>
        <v>58185.837141046126</v>
      </c>
      <c r="M1956" s="46">
        <f>$J$1956-EFEITO!$K$1956*EFEITO!$Y$1956</f>
        <v>0</v>
      </c>
      <c r="N1956" s="46">
        <f ca="1">$K$1956-EFEITO!$M$1956*EFEITO!$Z$1956</f>
        <v>0</v>
      </c>
      <c r="O1956" s="46">
        <f>$L$1956-EFEITO!$O$1956*EFEITO!$AA$1956</f>
        <v>0</v>
      </c>
      <c r="P1956" s="38"/>
      <c r="Q1956" s="38"/>
      <c r="R1956" s="38"/>
      <c r="S1956" s="38"/>
      <c r="T1956" s="38"/>
      <c r="U1956" s="38"/>
      <c r="V1956" s="38"/>
      <c r="W1956" s="38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</row>
    <row r="1957" spans="1:36" ht="11.25" customHeight="1" x14ac:dyDescent="0.2">
      <c r="A1957" s="35" t="s">
        <v>28</v>
      </c>
      <c r="B1957" s="35" t="s">
        <v>39</v>
      </c>
      <c r="C1957" s="35" t="s">
        <v>23</v>
      </c>
      <c r="D1957" s="35" t="s">
        <v>40</v>
      </c>
      <c r="E1957" s="35" t="s">
        <v>25</v>
      </c>
      <c r="F1957" s="35" t="s">
        <v>25</v>
      </c>
      <c r="G1957" s="35" t="s">
        <v>25</v>
      </c>
      <c r="H1957" s="35" t="s">
        <v>25</v>
      </c>
      <c r="I1957" s="45">
        <v>44593</v>
      </c>
      <c r="J1957" s="46">
        <f>EFEITO!$J$1957*EFEITO!$Y$1957</f>
        <v>0</v>
      </c>
      <c r="K1957" s="46">
        <f ca="1">EFEITO!$L$1957*EFEITO!$Z$1957</f>
        <v>26337.409138783045</v>
      </c>
      <c r="L1957" s="46">
        <f>EFEITO!$N$1957*EFEITO!$AA$1957</f>
        <v>12097.424103613077</v>
      </c>
      <c r="M1957" s="46">
        <f>$J$1957-EFEITO!$K$1957*EFEITO!$Y$1957</f>
        <v>0</v>
      </c>
      <c r="N1957" s="46">
        <f ca="1">$K$1957-EFEITO!$M$1957*EFEITO!$Z$1957</f>
        <v>0</v>
      </c>
      <c r="O1957" s="46">
        <f>$L$1957-EFEITO!$O$1957*EFEITO!$AA$1957</f>
        <v>0</v>
      </c>
      <c r="P1957" s="38"/>
      <c r="Q1957" s="38"/>
      <c r="R1957" s="38"/>
      <c r="S1957" s="38"/>
      <c r="T1957" s="38"/>
      <c r="U1957" s="38"/>
      <c r="V1957" s="38"/>
      <c r="W1957" s="38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</row>
    <row r="1958" spans="1:36" ht="11.25" customHeight="1" x14ac:dyDescent="0.2">
      <c r="A1958" s="35" t="s">
        <v>30</v>
      </c>
      <c r="B1958" s="35" t="s">
        <v>39</v>
      </c>
      <c r="C1958" s="35" t="s">
        <v>23</v>
      </c>
      <c r="D1958" s="35" t="s">
        <v>40</v>
      </c>
      <c r="E1958" s="35" t="s">
        <v>25</v>
      </c>
      <c r="F1958" s="35" t="s">
        <v>25</v>
      </c>
      <c r="G1958" s="35" t="s">
        <v>25</v>
      </c>
      <c r="H1958" s="35" t="s">
        <v>25</v>
      </c>
      <c r="I1958" s="45">
        <v>44593</v>
      </c>
      <c r="J1958" s="46">
        <f>EFEITO!$J$1958*EFEITO!$Y$1958</f>
        <v>0</v>
      </c>
      <c r="K1958" s="46">
        <f ca="1">EFEITO!$L$1958*EFEITO!$Z$1958</f>
        <v>4245.2637094339088</v>
      </c>
      <c r="L1958" s="46">
        <f>EFEITO!$N$1958*EFEITO!$AA$1958</f>
        <v>1949.9547299462517</v>
      </c>
      <c r="M1958" s="46">
        <f>$J$1958-EFEITO!$K$1958*EFEITO!$Y$1958</f>
        <v>0</v>
      </c>
      <c r="N1958" s="46">
        <f ca="1">$K$1958-EFEITO!$M$1958*EFEITO!$Z$1958</f>
        <v>0</v>
      </c>
      <c r="O1958" s="46">
        <f>$L$1958-EFEITO!$O$1958*EFEITO!$AA$1958</f>
        <v>0</v>
      </c>
      <c r="P1958" s="38"/>
      <c r="Q1958" s="38"/>
      <c r="R1958" s="38"/>
      <c r="S1958" s="38"/>
      <c r="T1958" s="38"/>
      <c r="U1958" s="38"/>
      <c r="V1958" s="38"/>
      <c r="W1958" s="38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</row>
    <row r="1959" spans="1:36" ht="11.25" customHeight="1" x14ac:dyDescent="0.2">
      <c r="A1959" s="35" t="s">
        <v>30</v>
      </c>
      <c r="B1959" s="35" t="s">
        <v>39</v>
      </c>
      <c r="C1959" s="35" t="s">
        <v>23</v>
      </c>
      <c r="D1959" s="35" t="s">
        <v>40</v>
      </c>
      <c r="E1959" s="35" t="s">
        <v>25</v>
      </c>
      <c r="F1959" s="35" t="s">
        <v>25</v>
      </c>
      <c r="G1959" s="35" t="s">
        <v>25</v>
      </c>
      <c r="H1959" s="35" t="s">
        <v>25</v>
      </c>
      <c r="I1959" s="45">
        <v>44593</v>
      </c>
      <c r="J1959" s="46">
        <f>EFEITO!$J$1959*EFEITO!$Y$1959</f>
        <v>0</v>
      </c>
      <c r="K1959" s="46">
        <f ca="1">EFEITO!$L$1959*EFEITO!$Z$1959</f>
        <v>3429.1565844096453</v>
      </c>
      <c r="L1959" s="46">
        <f>EFEITO!$N$1959*EFEITO!$AA$1959</f>
        <v>1575.0965214803039</v>
      </c>
      <c r="M1959" s="46">
        <f>$J$1959-EFEITO!$K$1959*EFEITO!$Y$1959</f>
        <v>0</v>
      </c>
      <c r="N1959" s="46">
        <f ca="1">$K$1959-EFEITO!$M$1959*EFEITO!$Z$1959</f>
        <v>0</v>
      </c>
      <c r="O1959" s="46">
        <f>$L$1959-EFEITO!$O$1959*EFEITO!$AA$1959</f>
        <v>0</v>
      </c>
      <c r="P1959" s="38"/>
      <c r="Q1959" s="38"/>
      <c r="R1959" s="38"/>
      <c r="S1959" s="38"/>
      <c r="T1959" s="38"/>
      <c r="U1959" s="38"/>
      <c r="V1959" s="38"/>
      <c r="W1959" s="38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</row>
    <row r="1960" spans="1:36" ht="11.25" customHeight="1" x14ac:dyDescent="0.2">
      <c r="A1960" s="35" t="s">
        <v>21</v>
      </c>
      <c r="B1960" s="35" t="s">
        <v>39</v>
      </c>
      <c r="C1960" s="35" t="s">
        <v>23</v>
      </c>
      <c r="D1960" s="35" t="s">
        <v>40</v>
      </c>
      <c r="E1960" s="35" t="s">
        <v>25</v>
      </c>
      <c r="F1960" s="35" t="s">
        <v>25</v>
      </c>
      <c r="G1960" s="35" t="s">
        <v>25</v>
      </c>
      <c r="H1960" s="35" t="s">
        <v>25</v>
      </c>
      <c r="I1960" s="45">
        <v>44621</v>
      </c>
      <c r="J1960" s="46">
        <f>EFEITO!$J$1960*EFEITO!$Y$1960</f>
        <v>0</v>
      </c>
      <c r="K1960" s="46">
        <f ca="1">EFEITO!$L$1960*EFEITO!$Z$1960</f>
        <v>115808.86546944313</v>
      </c>
      <c r="L1960" s="46">
        <f>EFEITO!$N$1960*EFEITO!$AA$1960</f>
        <v>53193.879214151901</v>
      </c>
      <c r="M1960" s="46">
        <f>$J$1960-EFEITO!$K$1960*EFEITO!$Y$1960</f>
        <v>0</v>
      </c>
      <c r="N1960" s="46">
        <f ca="1">$K$1960-EFEITO!$M$1960*EFEITO!$Z$1960</f>
        <v>0</v>
      </c>
      <c r="O1960" s="46">
        <f>$L$1960-EFEITO!$O$1960*EFEITO!$AA$1960</f>
        <v>0</v>
      </c>
      <c r="P1960" s="38"/>
      <c r="Q1960" s="38"/>
      <c r="R1960" s="38"/>
      <c r="S1960" s="38"/>
      <c r="T1960" s="38"/>
      <c r="U1960" s="38"/>
      <c r="V1960" s="38"/>
      <c r="W1960" s="38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</row>
    <row r="1961" spans="1:36" ht="11.25" customHeight="1" x14ac:dyDescent="0.2">
      <c r="A1961" s="35" t="s">
        <v>28</v>
      </c>
      <c r="B1961" s="35" t="s">
        <v>39</v>
      </c>
      <c r="C1961" s="35" t="s">
        <v>23</v>
      </c>
      <c r="D1961" s="35" t="s">
        <v>40</v>
      </c>
      <c r="E1961" s="35" t="s">
        <v>25</v>
      </c>
      <c r="F1961" s="35" t="s">
        <v>25</v>
      </c>
      <c r="G1961" s="35" t="s">
        <v>25</v>
      </c>
      <c r="H1961" s="35" t="s">
        <v>25</v>
      </c>
      <c r="I1961" s="45">
        <v>44621</v>
      </c>
      <c r="J1961" s="46">
        <f>EFEITO!$J$1961*EFEITO!$Y$1961</f>
        <v>0</v>
      </c>
      <c r="K1961" s="46">
        <f ca="1">EFEITO!$L$1961*EFEITO!$Z$1961</f>
        <v>24302.414633799464</v>
      </c>
      <c r="L1961" s="46">
        <f>EFEITO!$N$1961*EFEITO!$AA$1961</f>
        <v>11162.700743179834</v>
      </c>
      <c r="M1961" s="46">
        <f>$J$1961-EFEITO!$K$1961*EFEITO!$Y$1961</f>
        <v>0</v>
      </c>
      <c r="N1961" s="46">
        <f ca="1">$K$1961-EFEITO!$M$1961*EFEITO!$Z$1961</f>
        <v>0</v>
      </c>
      <c r="O1961" s="46">
        <f>$L$1961-EFEITO!$O$1961*EFEITO!$AA$1961</f>
        <v>0</v>
      </c>
      <c r="P1961" s="38"/>
      <c r="Q1961" s="38"/>
      <c r="R1961" s="38"/>
      <c r="S1961" s="38"/>
      <c r="T1961" s="38"/>
      <c r="U1961" s="38"/>
      <c r="V1961" s="38"/>
      <c r="W1961" s="38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</row>
    <row r="1962" spans="1:36" ht="11.25" customHeight="1" x14ac:dyDescent="0.2">
      <c r="A1962" s="35" t="s">
        <v>30</v>
      </c>
      <c r="B1962" s="35" t="s">
        <v>39</v>
      </c>
      <c r="C1962" s="35" t="s">
        <v>23</v>
      </c>
      <c r="D1962" s="35" t="s">
        <v>40</v>
      </c>
      <c r="E1962" s="35" t="s">
        <v>25</v>
      </c>
      <c r="F1962" s="35" t="s">
        <v>25</v>
      </c>
      <c r="G1962" s="35" t="s">
        <v>25</v>
      </c>
      <c r="H1962" s="35" t="s">
        <v>25</v>
      </c>
      <c r="I1962" s="45">
        <v>44621</v>
      </c>
      <c r="J1962" s="46">
        <f>EFEITO!$J$1962*EFEITO!$Y$1962</f>
        <v>0</v>
      </c>
      <c r="K1962" s="46">
        <f ca="1">EFEITO!$L$1962*EFEITO!$Z$1962</f>
        <v>6657.4252611210104</v>
      </c>
      <c r="L1962" s="46">
        <f>EFEITO!$N$1962*EFEITO!$AA$1962</f>
        <v>3057.9202531843744</v>
      </c>
      <c r="M1962" s="46">
        <f>$J$1962-EFEITO!$K$1962*EFEITO!$Y$1962</f>
        <v>0</v>
      </c>
      <c r="N1962" s="46">
        <f ca="1">$K$1962-EFEITO!$M$1962*EFEITO!$Z$1962</f>
        <v>0</v>
      </c>
      <c r="O1962" s="46">
        <f>$L$1962-EFEITO!$O$1962*EFEITO!$AA$1962</f>
        <v>0</v>
      </c>
      <c r="P1962" s="38"/>
      <c r="Q1962" s="38"/>
      <c r="R1962" s="38"/>
      <c r="S1962" s="38"/>
      <c r="T1962" s="38"/>
      <c r="U1962" s="38"/>
      <c r="V1962" s="38"/>
      <c r="W1962" s="38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</row>
    <row r="1963" spans="1:36" ht="11.25" customHeight="1" x14ac:dyDescent="0.2">
      <c r="A1963" s="35" t="s">
        <v>21</v>
      </c>
      <c r="B1963" s="35" t="s">
        <v>39</v>
      </c>
      <c r="C1963" s="35" t="s">
        <v>23</v>
      </c>
      <c r="D1963" s="35" t="s">
        <v>40</v>
      </c>
      <c r="E1963" s="35" t="s">
        <v>25</v>
      </c>
      <c r="F1963" s="35" t="s">
        <v>25</v>
      </c>
      <c r="G1963" s="35" t="s">
        <v>25</v>
      </c>
      <c r="H1963" s="35" t="s">
        <v>25</v>
      </c>
      <c r="I1963" s="45">
        <v>44652</v>
      </c>
      <c r="J1963" s="46">
        <f>EFEITO!$J$1963*EFEITO!$Y$1963</f>
        <v>0</v>
      </c>
      <c r="K1963" s="46">
        <f ca="1">EFEITO!$L$1963*EFEITO!$Z$1963</f>
        <v>124575.6137613961</v>
      </c>
      <c r="L1963" s="46">
        <f>EFEITO!$N$1963*EFEITO!$AA$1963</f>
        <v>57220.663759986724</v>
      </c>
      <c r="M1963" s="46">
        <f>$J$1963-EFEITO!$K$1963*EFEITO!$Y$1963</f>
        <v>0</v>
      </c>
      <c r="N1963" s="46">
        <f ca="1">$K$1963-EFEITO!$M$1963*EFEITO!$Z$1963</f>
        <v>0</v>
      </c>
      <c r="O1963" s="46">
        <f>$L$1963-EFEITO!$O$1963*EFEITO!$AA$1963</f>
        <v>0</v>
      </c>
      <c r="P1963" s="38"/>
      <c r="Q1963" s="38"/>
      <c r="R1963" s="38"/>
      <c r="S1963" s="38"/>
      <c r="T1963" s="38"/>
      <c r="U1963" s="38"/>
      <c r="V1963" s="38"/>
      <c r="W1963" s="38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</row>
    <row r="1964" spans="1:36" ht="11.25" customHeight="1" x14ac:dyDescent="0.2">
      <c r="A1964" s="35" t="s">
        <v>27</v>
      </c>
      <c r="B1964" s="35" t="s">
        <v>39</v>
      </c>
      <c r="C1964" s="35" t="s">
        <v>23</v>
      </c>
      <c r="D1964" s="35" t="s">
        <v>40</v>
      </c>
      <c r="E1964" s="35" t="s">
        <v>25</v>
      </c>
      <c r="F1964" s="35" t="s">
        <v>25</v>
      </c>
      <c r="G1964" s="35" t="s">
        <v>25</v>
      </c>
      <c r="H1964" s="35" t="s">
        <v>25</v>
      </c>
      <c r="I1964" s="45">
        <v>44652</v>
      </c>
      <c r="J1964" s="46">
        <f>EFEITO!$J$1964*EFEITO!$Y$1964</f>
        <v>0</v>
      </c>
      <c r="K1964" s="46">
        <f ca="1">EFEITO!$L$1964*EFEITO!$Z$1964</f>
        <v>-1313.8069163467535</v>
      </c>
      <c r="L1964" s="46">
        <f>EFEITO!$N$1964*EFEITO!$AA$1964</f>
        <v>-603.46404513656637</v>
      </c>
      <c r="M1964" s="46">
        <f>$J$1964-EFEITO!$K$1964*EFEITO!$Y$1964</f>
        <v>0</v>
      </c>
      <c r="N1964" s="46">
        <f ca="1">$K$1964-EFEITO!$M$1964*EFEITO!$Z$1964</f>
        <v>0</v>
      </c>
      <c r="O1964" s="46">
        <f>$L$1964-EFEITO!$O$1964*EFEITO!$AA$1964</f>
        <v>0</v>
      </c>
      <c r="P1964" s="38"/>
      <c r="Q1964" s="38"/>
      <c r="R1964" s="38"/>
      <c r="S1964" s="38"/>
      <c r="T1964" s="38"/>
      <c r="U1964" s="38"/>
      <c r="V1964" s="38"/>
      <c r="W1964" s="38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</row>
    <row r="1965" spans="1:36" ht="11.25" customHeight="1" x14ac:dyDescent="0.2">
      <c r="A1965" s="35" t="s">
        <v>28</v>
      </c>
      <c r="B1965" s="35" t="s">
        <v>39</v>
      </c>
      <c r="C1965" s="35" t="s">
        <v>23</v>
      </c>
      <c r="D1965" s="35" t="s">
        <v>40</v>
      </c>
      <c r="E1965" s="35" t="s">
        <v>25</v>
      </c>
      <c r="F1965" s="35" t="s">
        <v>25</v>
      </c>
      <c r="G1965" s="35" t="s">
        <v>25</v>
      </c>
      <c r="H1965" s="35" t="s">
        <v>25</v>
      </c>
      <c r="I1965" s="45">
        <v>44652</v>
      </c>
      <c r="J1965" s="46">
        <f>EFEITO!$J$1965*EFEITO!$Y$1965</f>
        <v>0</v>
      </c>
      <c r="K1965" s="46">
        <f ca="1">EFEITO!$L$1965*EFEITO!$Z$1965</f>
        <v>27603.00295728221</v>
      </c>
      <c r="L1965" s="46">
        <f>EFEITO!$N$1965*EFEITO!$AA$1965</f>
        <v>12678.742679203348</v>
      </c>
      <c r="M1965" s="46">
        <f>$J$1965-EFEITO!$K$1965*EFEITO!$Y$1965</f>
        <v>0</v>
      </c>
      <c r="N1965" s="46">
        <f ca="1">$K$1965-EFEITO!$M$1965*EFEITO!$Z$1965</f>
        <v>0</v>
      </c>
      <c r="O1965" s="46">
        <f>$L$1965-EFEITO!$O$1965*EFEITO!$AA$1965</f>
        <v>0</v>
      </c>
      <c r="P1965" s="38"/>
      <c r="Q1965" s="38"/>
      <c r="R1965" s="38"/>
      <c r="S1965" s="38"/>
      <c r="T1965" s="38"/>
      <c r="U1965" s="38"/>
      <c r="V1965" s="38"/>
      <c r="W1965" s="38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</row>
    <row r="1966" spans="1:36" ht="11.25" customHeight="1" x14ac:dyDescent="0.2">
      <c r="A1966" s="35" t="s">
        <v>30</v>
      </c>
      <c r="B1966" s="35" t="s">
        <v>39</v>
      </c>
      <c r="C1966" s="35" t="s">
        <v>23</v>
      </c>
      <c r="D1966" s="35" t="s">
        <v>40</v>
      </c>
      <c r="E1966" s="35" t="s">
        <v>25</v>
      </c>
      <c r="F1966" s="35" t="s">
        <v>25</v>
      </c>
      <c r="G1966" s="35" t="s">
        <v>25</v>
      </c>
      <c r="H1966" s="35" t="s">
        <v>25</v>
      </c>
      <c r="I1966" s="45">
        <v>44652</v>
      </c>
      <c r="J1966" s="46">
        <f>EFEITO!$J$1966*EFEITO!$Y$1966</f>
        <v>0</v>
      </c>
      <c r="K1966" s="46">
        <f ca="1">EFEITO!$L$1966*EFEITO!$Z$1966</f>
        <v>8289.6395111695383</v>
      </c>
      <c r="L1966" s="46">
        <f>EFEITO!$N$1966*EFEITO!$AA$1966</f>
        <v>3807.6366701162706</v>
      </c>
      <c r="M1966" s="46">
        <f>$J$1966-EFEITO!$K$1966*EFEITO!$Y$1966</f>
        <v>0</v>
      </c>
      <c r="N1966" s="46">
        <f ca="1">$K$1966-EFEITO!$M$1966*EFEITO!$Z$1966</f>
        <v>0</v>
      </c>
      <c r="O1966" s="46">
        <f>$L$1966-EFEITO!$O$1966*EFEITO!$AA$1966</f>
        <v>0</v>
      </c>
      <c r="P1966" s="38"/>
      <c r="Q1966" s="38"/>
      <c r="R1966" s="38"/>
      <c r="S1966" s="38"/>
      <c r="T1966" s="38"/>
      <c r="U1966" s="38"/>
      <c r="V1966" s="38"/>
      <c r="W1966" s="38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</row>
    <row r="1967" spans="1:36" ht="11.25" customHeight="1" x14ac:dyDescent="0.2">
      <c r="A1967" s="35" t="s">
        <v>21</v>
      </c>
      <c r="B1967" s="35" t="s">
        <v>39</v>
      </c>
      <c r="C1967" s="35" t="s">
        <v>23</v>
      </c>
      <c r="D1967" s="35" t="s">
        <v>40</v>
      </c>
      <c r="E1967" s="35" t="s">
        <v>25</v>
      </c>
      <c r="F1967" s="35" t="s">
        <v>25</v>
      </c>
      <c r="G1967" s="35" t="s">
        <v>25</v>
      </c>
      <c r="H1967" s="35" t="s">
        <v>25</v>
      </c>
      <c r="I1967" s="45">
        <v>44682</v>
      </c>
      <c r="J1967" s="46">
        <f>EFEITO!$J$1967*EFEITO!$Y$1967</f>
        <v>0</v>
      </c>
      <c r="K1967" s="46">
        <f ca="1">EFEITO!$L$1967*EFEITO!$Z$1967</f>
        <v>120653.77958335642</v>
      </c>
      <c r="L1967" s="46">
        <f>EFEITO!$N$1967*EFEITO!$AA$1967</f>
        <v>55419.268221580212</v>
      </c>
      <c r="M1967" s="46">
        <f>$J$1967-EFEITO!$K$1967*EFEITO!$Y$1967</f>
        <v>0</v>
      </c>
      <c r="N1967" s="46">
        <f ca="1">$K$1967-EFEITO!$M$1967*EFEITO!$Z$1967</f>
        <v>0</v>
      </c>
      <c r="O1967" s="46">
        <f>$L$1967-EFEITO!$O$1967*EFEITO!$AA$1967</f>
        <v>0</v>
      </c>
      <c r="P1967" s="38"/>
      <c r="Q1967" s="38"/>
      <c r="R1967" s="38"/>
      <c r="S1967" s="38"/>
      <c r="T1967" s="38"/>
      <c r="U1967" s="38"/>
      <c r="V1967" s="38"/>
      <c r="W1967" s="38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</row>
    <row r="1968" spans="1:36" ht="11.25" customHeight="1" x14ac:dyDescent="0.2">
      <c r="A1968" s="35" t="s">
        <v>28</v>
      </c>
      <c r="B1968" s="35" t="s">
        <v>39</v>
      </c>
      <c r="C1968" s="35" t="s">
        <v>23</v>
      </c>
      <c r="D1968" s="35" t="s">
        <v>40</v>
      </c>
      <c r="E1968" s="35" t="s">
        <v>25</v>
      </c>
      <c r="F1968" s="35" t="s">
        <v>25</v>
      </c>
      <c r="G1968" s="35" t="s">
        <v>25</v>
      </c>
      <c r="H1968" s="35" t="s">
        <v>25</v>
      </c>
      <c r="I1968" s="45">
        <v>44682</v>
      </c>
      <c r="J1968" s="46">
        <f>EFEITO!$J$1968*EFEITO!$Y$1968</f>
        <v>0</v>
      </c>
      <c r="K1968" s="46">
        <f ca="1">EFEITO!$L$1968*EFEITO!$Z$1968</f>
        <v>27415.674983353561</v>
      </c>
      <c r="L1968" s="46">
        <f>EFEITO!$N$1968*EFEITO!$AA$1968</f>
        <v>12592.69830273701</v>
      </c>
      <c r="M1968" s="46">
        <f>$J$1968-EFEITO!$K$1968*EFEITO!$Y$1968</f>
        <v>0</v>
      </c>
      <c r="N1968" s="46">
        <f ca="1">$K$1968-EFEITO!$M$1968*EFEITO!$Z$1968</f>
        <v>0</v>
      </c>
      <c r="O1968" s="46">
        <f>$L$1968-EFEITO!$O$1968*EFEITO!$AA$1968</f>
        <v>0</v>
      </c>
      <c r="P1968" s="38"/>
      <c r="Q1968" s="38"/>
      <c r="R1968" s="38"/>
      <c r="S1968" s="38"/>
      <c r="T1968" s="38"/>
      <c r="U1968" s="38"/>
      <c r="V1968" s="38"/>
      <c r="W1968" s="38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</row>
    <row r="1969" spans="1:36" ht="11.25" customHeight="1" x14ac:dyDescent="0.2">
      <c r="A1969" s="35" t="s">
        <v>30</v>
      </c>
      <c r="B1969" s="35" t="s">
        <v>39</v>
      </c>
      <c r="C1969" s="35" t="s">
        <v>23</v>
      </c>
      <c r="D1969" s="35" t="s">
        <v>40</v>
      </c>
      <c r="E1969" s="35" t="s">
        <v>25</v>
      </c>
      <c r="F1969" s="35" t="s">
        <v>25</v>
      </c>
      <c r="G1969" s="35" t="s">
        <v>25</v>
      </c>
      <c r="H1969" s="35" t="s">
        <v>25</v>
      </c>
      <c r="I1969" s="45">
        <v>44682</v>
      </c>
      <c r="J1969" s="46">
        <f>EFEITO!$J$1969*EFEITO!$Y$1969</f>
        <v>0</v>
      </c>
      <c r="K1969" s="46">
        <f ca="1">EFEITO!$L$1969*EFEITO!$Z$1969</f>
        <v>5862.4113664050656</v>
      </c>
      <c r="L1969" s="46">
        <f>EFEITO!$N$1969*EFEITO!$AA$1969</f>
        <v>2692.7506876449306</v>
      </c>
      <c r="M1969" s="46">
        <f>$J$1969-EFEITO!$K$1969*EFEITO!$Y$1969</f>
        <v>0</v>
      </c>
      <c r="N1969" s="46">
        <f ca="1">$K$1969-EFEITO!$M$1969*EFEITO!$Z$1969</f>
        <v>0</v>
      </c>
      <c r="O1969" s="46">
        <f>$L$1969-EFEITO!$O$1969*EFEITO!$AA$1969</f>
        <v>0</v>
      </c>
      <c r="P1969" s="38"/>
      <c r="Q1969" s="38"/>
      <c r="R1969" s="38"/>
      <c r="S1969" s="38"/>
      <c r="T1969" s="38"/>
      <c r="U1969" s="38"/>
      <c r="V1969" s="38"/>
      <c r="W1969" s="38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</row>
    <row r="1970" spans="1:36" ht="11.25" customHeight="1" x14ac:dyDescent="0.2">
      <c r="A1970" s="35" t="s">
        <v>21</v>
      </c>
      <c r="B1970" s="35" t="s">
        <v>39</v>
      </c>
      <c r="C1970" s="35" t="s">
        <v>23</v>
      </c>
      <c r="D1970" s="35" t="s">
        <v>40</v>
      </c>
      <c r="E1970" s="35" t="s">
        <v>25</v>
      </c>
      <c r="F1970" s="35" t="s">
        <v>25</v>
      </c>
      <c r="G1970" s="35" t="s">
        <v>25</v>
      </c>
      <c r="H1970" s="35" t="s">
        <v>25</v>
      </c>
      <c r="I1970" s="45">
        <v>44713</v>
      </c>
      <c r="J1970" s="46">
        <f>EFEITO!$J$1970*EFEITO!$Y$1970</f>
        <v>0</v>
      </c>
      <c r="K1970" s="46">
        <f ca="1">EFEITO!$L$1970*EFEITO!$Z$1970</f>
        <v>119432.38110455086</v>
      </c>
      <c r="L1970" s="46">
        <f>EFEITO!$N$1970*EFEITO!$AA$1970</f>
        <v>54858.249659740708</v>
      </c>
      <c r="M1970" s="46">
        <f>$J$1970-EFEITO!$K$1970*EFEITO!$Y$1970</f>
        <v>0</v>
      </c>
      <c r="N1970" s="46">
        <f ca="1">$K$1970-EFEITO!$M$1970*EFEITO!$Z$1970</f>
        <v>0</v>
      </c>
      <c r="O1970" s="46">
        <f>$L$1970-EFEITO!$O$1970*EFEITO!$AA$1970</f>
        <v>0</v>
      </c>
      <c r="P1970" s="38"/>
      <c r="Q1970" s="38"/>
      <c r="R1970" s="38"/>
      <c r="S1970" s="38"/>
      <c r="T1970" s="38"/>
      <c r="U1970" s="38"/>
      <c r="V1970" s="38"/>
      <c r="W1970" s="38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</row>
    <row r="1971" spans="1:36" ht="11.25" customHeight="1" x14ac:dyDescent="0.2">
      <c r="A1971" s="35" t="s">
        <v>28</v>
      </c>
      <c r="B1971" s="35" t="s">
        <v>39</v>
      </c>
      <c r="C1971" s="35" t="s">
        <v>23</v>
      </c>
      <c r="D1971" s="35" t="s">
        <v>40</v>
      </c>
      <c r="E1971" s="35" t="s">
        <v>25</v>
      </c>
      <c r="F1971" s="35" t="s">
        <v>25</v>
      </c>
      <c r="G1971" s="35" t="s">
        <v>25</v>
      </c>
      <c r="H1971" s="35" t="s">
        <v>25</v>
      </c>
      <c r="I1971" s="45">
        <v>44713</v>
      </c>
      <c r="J1971" s="46">
        <f>EFEITO!$J$1971*EFEITO!$Y$1971</f>
        <v>0</v>
      </c>
      <c r="K1971" s="46">
        <f ca="1">EFEITO!$L$1971*EFEITO!$Z$1971</f>
        <v>28695.330955391608</v>
      </c>
      <c r="L1971" s="46">
        <f>EFEITO!$N$1971*EFEITO!$AA$1971</f>
        <v>13180.475973611616</v>
      </c>
      <c r="M1971" s="46">
        <f>$J$1971-EFEITO!$K$1971*EFEITO!$Y$1971</f>
        <v>0</v>
      </c>
      <c r="N1971" s="46">
        <f ca="1">$K$1971-EFEITO!$M$1971*EFEITO!$Z$1971</f>
        <v>0</v>
      </c>
      <c r="O1971" s="46">
        <f>$L$1971-EFEITO!$O$1971*EFEITO!$AA$1971</f>
        <v>0</v>
      </c>
      <c r="P1971" s="38"/>
      <c r="Q1971" s="38"/>
      <c r="R1971" s="38"/>
      <c r="S1971" s="38"/>
      <c r="T1971" s="38"/>
      <c r="U1971" s="38"/>
      <c r="V1971" s="38"/>
      <c r="W1971" s="38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</row>
    <row r="1972" spans="1:36" ht="11.25" customHeight="1" x14ac:dyDescent="0.2">
      <c r="A1972" s="35" t="s">
        <v>30</v>
      </c>
      <c r="B1972" s="35" t="s">
        <v>39</v>
      </c>
      <c r="C1972" s="35" t="s">
        <v>23</v>
      </c>
      <c r="D1972" s="35" t="s">
        <v>40</v>
      </c>
      <c r="E1972" s="35" t="s">
        <v>25</v>
      </c>
      <c r="F1972" s="35" t="s">
        <v>25</v>
      </c>
      <c r="G1972" s="35" t="s">
        <v>25</v>
      </c>
      <c r="H1972" s="35" t="s">
        <v>25</v>
      </c>
      <c r="I1972" s="45">
        <v>44713</v>
      </c>
      <c r="J1972" s="46">
        <f>EFEITO!$J$1972*EFEITO!$Y$1972</f>
        <v>0</v>
      </c>
      <c r="K1972" s="46">
        <f ca="1">EFEITO!$L$1972*EFEITO!$Z$1972</f>
        <v>6247.6139294165177</v>
      </c>
      <c r="L1972" s="46">
        <f>EFEITO!$N$1972*EFEITO!$AA$1972</f>
        <v>2869.6837620408578</v>
      </c>
      <c r="M1972" s="46">
        <f>$J$1972-EFEITO!$K$1972*EFEITO!$Y$1972</f>
        <v>0</v>
      </c>
      <c r="N1972" s="46">
        <f ca="1">$K$1972-EFEITO!$M$1972*EFEITO!$Z$1972</f>
        <v>0</v>
      </c>
      <c r="O1972" s="46">
        <f>$L$1972-EFEITO!$O$1972*EFEITO!$AA$1972</f>
        <v>0</v>
      </c>
      <c r="P1972" s="38"/>
      <c r="Q1972" s="38"/>
      <c r="R1972" s="38"/>
      <c r="S1972" s="38"/>
      <c r="T1972" s="38"/>
      <c r="U1972" s="38"/>
      <c r="V1972" s="38"/>
      <c r="W1972" s="38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</row>
    <row r="1973" spans="1:36" ht="11.25" customHeight="1" x14ac:dyDescent="0.2">
      <c r="A1973" s="35" t="s">
        <v>21</v>
      </c>
      <c r="B1973" s="35" t="s">
        <v>39</v>
      </c>
      <c r="C1973" s="35" t="s">
        <v>23</v>
      </c>
      <c r="D1973" s="35" t="s">
        <v>40</v>
      </c>
      <c r="E1973" s="35" t="s">
        <v>25</v>
      </c>
      <c r="F1973" s="35" t="s">
        <v>25</v>
      </c>
      <c r="G1973" s="35" t="s">
        <v>25</v>
      </c>
      <c r="H1973" s="35" t="s">
        <v>25</v>
      </c>
      <c r="I1973" s="45">
        <v>44743</v>
      </c>
      <c r="J1973" s="46">
        <f>EFEITO!$J$1973*EFEITO!$Y$1973</f>
        <v>0</v>
      </c>
      <c r="K1973" s="46">
        <f ca="1">EFEITO!$L$1973*EFEITO!$Z$1973</f>
        <v>132862.74217371939</v>
      </c>
      <c r="L1973" s="46">
        <f>EFEITO!$N$1973*EFEITO!$AA$1973</f>
        <v>61027.14702023079</v>
      </c>
      <c r="M1973" s="46">
        <f>$J$1973-EFEITO!$K$1973*EFEITO!$Y$1973</f>
        <v>0</v>
      </c>
      <c r="N1973" s="46">
        <f ca="1">$K$1973-EFEITO!$M$1973*EFEITO!$Z$1973</f>
        <v>0</v>
      </c>
      <c r="O1973" s="46">
        <f>$L$1973-EFEITO!$O$1973*EFEITO!$AA$1973</f>
        <v>0</v>
      </c>
      <c r="P1973" s="38"/>
      <c r="Q1973" s="38"/>
      <c r="R1973" s="38"/>
      <c r="S1973" s="38"/>
      <c r="T1973" s="38"/>
      <c r="U1973" s="38"/>
      <c r="V1973" s="38"/>
      <c r="W1973" s="38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</row>
    <row r="1974" spans="1:36" ht="11.25" customHeight="1" x14ac:dyDescent="0.2">
      <c r="A1974" s="35" t="s">
        <v>27</v>
      </c>
      <c r="B1974" s="35" t="s">
        <v>39</v>
      </c>
      <c r="C1974" s="35" t="s">
        <v>23</v>
      </c>
      <c r="D1974" s="35" t="s">
        <v>40</v>
      </c>
      <c r="E1974" s="35" t="s">
        <v>25</v>
      </c>
      <c r="F1974" s="35" t="s">
        <v>25</v>
      </c>
      <c r="G1974" s="35" t="s">
        <v>25</v>
      </c>
      <c r="H1974" s="35" t="s">
        <v>25</v>
      </c>
      <c r="I1974" s="45">
        <v>44743</v>
      </c>
      <c r="J1974" s="46">
        <f>EFEITO!$J$1974*EFEITO!$Y$1974</f>
        <v>0</v>
      </c>
      <c r="K1974" s="46">
        <f ca="1">EFEITO!$L$1974*EFEITO!$Z$1974</f>
        <v>-4022.2781318888183</v>
      </c>
      <c r="L1974" s="46">
        <f>EFEITO!$N$1974*EFEITO!$AA$1974</f>
        <v>-1847.5319332946328</v>
      </c>
      <c r="M1974" s="46">
        <f>$J$1974-EFEITO!$K$1974*EFEITO!$Y$1974</f>
        <v>0</v>
      </c>
      <c r="N1974" s="46">
        <f ca="1">$K$1974-EFEITO!$M$1974*EFEITO!$Z$1974</f>
        <v>0</v>
      </c>
      <c r="O1974" s="46">
        <f>$L$1974-EFEITO!$O$1974*EFEITO!$AA$1974</f>
        <v>0</v>
      </c>
      <c r="P1974" s="38"/>
      <c r="Q1974" s="38"/>
      <c r="R1974" s="38"/>
      <c r="S1974" s="38"/>
      <c r="T1974" s="38"/>
      <c r="U1974" s="38"/>
      <c r="V1974" s="38"/>
      <c r="W1974" s="38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</row>
    <row r="1975" spans="1:36" ht="11.25" customHeight="1" x14ac:dyDescent="0.2">
      <c r="A1975" s="35" t="s">
        <v>28</v>
      </c>
      <c r="B1975" s="35" t="s">
        <v>39</v>
      </c>
      <c r="C1975" s="35" t="s">
        <v>23</v>
      </c>
      <c r="D1975" s="35" t="s">
        <v>40</v>
      </c>
      <c r="E1975" s="35" t="s">
        <v>25</v>
      </c>
      <c r="F1975" s="35" t="s">
        <v>25</v>
      </c>
      <c r="G1975" s="35" t="s">
        <v>25</v>
      </c>
      <c r="H1975" s="35" t="s">
        <v>25</v>
      </c>
      <c r="I1975" s="45">
        <v>44743</v>
      </c>
      <c r="J1975" s="46">
        <f>EFEITO!$J$1975*EFEITO!$Y$1975</f>
        <v>0</v>
      </c>
      <c r="K1975" s="46">
        <f ca="1">EFEITO!$L$1975*EFEITO!$Z$1975</f>
        <v>31842.240029485169</v>
      </c>
      <c r="L1975" s="46">
        <f>EFEITO!$N$1975*EFEITO!$AA$1975</f>
        <v>14625.929225456312</v>
      </c>
      <c r="M1975" s="46">
        <f>$J$1975-EFEITO!$K$1975*EFEITO!$Y$1975</f>
        <v>0</v>
      </c>
      <c r="N1975" s="46">
        <f ca="1">$K$1975-EFEITO!$M$1975*EFEITO!$Z$1975</f>
        <v>0</v>
      </c>
      <c r="O1975" s="46">
        <f>$L$1975-EFEITO!$O$1975*EFEITO!$AA$1975</f>
        <v>0</v>
      </c>
      <c r="P1975" s="38"/>
      <c r="Q1975" s="38"/>
      <c r="R1975" s="38"/>
      <c r="S1975" s="38"/>
      <c r="T1975" s="38"/>
      <c r="U1975" s="38"/>
      <c r="V1975" s="38"/>
      <c r="W1975" s="38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</row>
    <row r="1976" spans="1:36" ht="11.25" customHeight="1" x14ac:dyDescent="0.2">
      <c r="A1976" s="35" t="s">
        <v>30</v>
      </c>
      <c r="B1976" s="35" t="s">
        <v>39</v>
      </c>
      <c r="C1976" s="35" t="s">
        <v>23</v>
      </c>
      <c r="D1976" s="35" t="s">
        <v>40</v>
      </c>
      <c r="E1976" s="35" t="s">
        <v>25</v>
      </c>
      <c r="F1976" s="35" t="s">
        <v>25</v>
      </c>
      <c r="G1976" s="35" t="s">
        <v>25</v>
      </c>
      <c r="H1976" s="35" t="s">
        <v>25</v>
      </c>
      <c r="I1976" s="45">
        <v>44743</v>
      </c>
      <c r="J1976" s="46">
        <f>EFEITO!$J$1976*EFEITO!$Y$1976</f>
        <v>0</v>
      </c>
      <c r="K1976" s="46">
        <f ca="1">EFEITO!$L$1976*EFEITO!$Z$1976</f>
        <v>5734.3453252474119</v>
      </c>
      <c r="L1976" s="46">
        <f>EFEITO!$N$1976*EFEITO!$AA$1976</f>
        <v>2633.9267841625815</v>
      </c>
      <c r="M1976" s="46">
        <f>$J$1976-EFEITO!$K$1976*EFEITO!$Y$1976</f>
        <v>0</v>
      </c>
      <c r="N1976" s="46">
        <f ca="1">$K$1976-EFEITO!$M$1976*EFEITO!$Z$1976</f>
        <v>0</v>
      </c>
      <c r="O1976" s="46">
        <f>$L$1976-EFEITO!$O$1976*EFEITO!$AA$1976</f>
        <v>0</v>
      </c>
      <c r="P1976" s="38"/>
      <c r="Q1976" s="38"/>
      <c r="R1976" s="38"/>
      <c r="S1976" s="38"/>
      <c r="T1976" s="38"/>
      <c r="U1976" s="38"/>
      <c r="V1976" s="38"/>
      <c r="W1976" s="38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</row>
    <row r="1977" spans="1:36" ht="11.25" customHeight="1" x14ac:dyDescent="0.2">
      <c r="A1977" s="35" t="s">
        <v>21</v>
      </c>
      <c r="B1977" s="35" t="s">
        <v>39</v>
      </c>
      <c r="C1977" s="35" t="s">
        <v>23</v>
      </c>
      <c r="D1977" s="35" t="s">
        <v>40</v>
      </c>
      <c r="E1977" s="35" t="s">
        <v>25</v>
      </c>
      <c r="F1977" s="35" t="s">
        <v>25</v>
      </c>
      <c r="G1977" s="35" t="s">
        <v>25</v>
      </c>
      <c r="H1977" s="35" t="s">
        <v>25</v>
      </c>
      <c r="I1977" s="45">
        <v>44774</v>
      </c>
      <c r="J1977" s="46">
        <f>EFEITO!$J$1977*EFEITO!$Y$1977</f>
        <v>0</v>
      </c>
      <c r="K1977" s="46">
        <f ca="1">EFEITO!$L$1977*EFEITO!$Z$1977</f>
        <v>144172.22915736333</v>
      </c>
      <c r="L1977" s="46">
        <f>EFEITO!$N$1977*EFEITO!$AA$1977</f>
        <v>66221.874402658286</v>
      </c>
      <c r="M1977" s="46">
        <f>$J$1977-EFEITO!$K$1977*EFEITO!$Y$1977</f>
        <v>0</v>
      </c>
      <c r="N1977" s="46">
        <f ca="1">$K$1977-EFEITO!$M$1977*EFEITO!$Z$1977</f>
        <v>0</v>
      </c>
      <c r="O1977" s="46">
        <f>$L$1977-EFEITO!$O$1977*EFEITO!$AA$1977</f>
        <v>0</v>
      </c>
      <c r="P1977" s="38"/>
      <c r="Q1977" s="38"/>
      <c r="R1977" s="38"/>
      <c r="S1977" s="38"/>
      <c r="T1977" s="38"/>
      <c r="U1977" s="38"/>
      <c r="V1977" s="38"/>
      <c r="W1977" s="38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</row>
    <row r="1978" spans="1:36" ht="11.25" customHeight="1" x14ac:dyDescent="0.2">
      <c r="A1978" s="35" t="s">
        <v>27</v>
      </c>
      <c r="B1978" s="35" t="s">
        <v>39</v>
      </c>
      <c r="C1978" s="35" t="s">
        <v>23</v>
      </c>
      <c r="D1978" s="35" t="s">
        <v>40</v>
      </c>
      <c r="E1978" s="35" t="s">
        <v>25</v>
      </c>
      <c r="F1978" s="35" t="s">
        <v>25</v>
      </c>
      <c r="G1978" s="35" t="s">
        <v>25</v>
      </c>
      <c r="H1978" s="35" t="s">
        <v>25</v>
      </c>
      <c r="I1978" s="45">
        <v>44774</v>
      </c>
      <c r="J1978" s="46">
        <f>EFEITO!$J$1978*EFEITO!$Y$1978</f>
        <v>0</v>
      </c>
      <c r="K1978" s="46">
        <f ca="1">EFEITO!$L$1978*EFEITO!$Z$1978</f>
        <v>-8481.9896827906414</v>
      </c>
      <c r="L1978" s="46">
        <f>EFEITO!$N$1978*EFEITO!$AA$1978</f>
        <v>-3895.9878663270138</v>
      </c>
      <c r="M1978" s="46">
        <f>$J$1978-EFEITO!$K$1978*EFEITO!$Y$1978</f>
        <v>0</v>
      </c>
      <c r="N1978" s="46">
        <f ca="1">$K$1978-EFEITO!$M$1978*EFEITO!$Z$1978</f>
        <v>0</v>
      </c>
      <c r="O1978" s="46">
        <f>$L$1978-EFEITO!$O$1978*EFEITO!$AA$1978</f>
        <v>0</v>
      </c>
      <c r="P1978" s="38"/>
      <c r="Q1978" s="38"/>
      <c r="R1978" s="38"/>
      <c r="S1978" s="38"/>
      <c r="T1978" s="38"/>
      <c r="U1978" s="38"/>
      <c r="V1978" s="38"/>
      <c r="W1978" s="38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</row>
    <row r="1979" spans="1:36" ht="11.25" customHeight="1" x14ac:dyDescent="0.2">
      <c r="A1979" s="35" t="s">
        <v>28</v>
      </c>
      <c r="B1979" s="35" t="s">
        <v>39</v>
      </c>
      <c r="C1979" s="35" t="s">
        <v>23</v>
      </c>
      <c r="D1979" s="35" t="s">
        <v>40</v>
      </c>
      <c r="E1979" s="35" t="s">
        <v>25</v>
      </c>
      <c r="F1979" s="35" t="s">
        <v>25</v>
      </c>
      <c r="G1979" s="35" t="s">
        <v>25</v>
      </c>
      <c r="H1979" s="35" t="s">
        <v>25</v>
      </c>
      <c r="I1979" s="45">
        <v>44774</v>
      </c>
      <c r="J1979" s="46">
        <f>EFEITO!$J$1979*EFEITO!$Y$1979</f>
        <v>0</v>
      </c>
      <c r="K1979" s="46">
        <f ca="1">EFEITO!$L$1979*EFEITO!$Z$1979</f>
        <v>34057.029211858709</v>
      </c>
      <c r="L1979" s="46">
        <f>EFEITO!$N$1979*EFEITO!$AA$1979</f>
        <v>15643.236732739286</v>
      </c>
      <c r="M1979" s="46">
        <f>$J$1979-EFEITO!$K$1979*EFEITO!$Y$1979</f>
        <v>0</v>
      </c>
      <c r="N1979" s="46">
        <f ca="1">$K$1979-EFEITO!$M$1979*EFEITO!$Z$1979</f>
        <v>0</v>
      </c>
      <c r="O1979" s="46">
        <f>$L$1979-EFEITO!$O$1979*EFEITO!$AA$1979</f>
        <v>0</v>
      </c>
      <c r="P1979" s="38"/>
      <c r="Q1979" s="38"/>
      <c r="R1979" s="38"/>
      <c r="S1979" s="38"/>
      <c r="T1979" s="38"/>
      <c r="U1979" s="38"/>
      <c r="V1979" s="38"/>
      <c r="W1979" s="38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</row>
    <row r="1980" spans="1:36" ht="11.25" customHeight="1" x14ac:dyDescent="0.2">
      <c r="A1980" s="35" t="s">
        <v>30</v>
      </c>
      <c r="B1980" s="35" t="s">
        <v>39</v>
      </c>
      <c r="C1980" s="35" t="s">
        <v>23</v>
      </c>
      <c r="D1980" s="35" t="s">
        <v>40</v>
      </c>
      <c r="E1980" s="35" t="s">
        <v>25</v>
      </c>
      <c r="F1980" s="35" t="s">
        <v>25</v>
      </c>
      <c r="G1980" s="35" t="s">
        <v>25</v>
      </c>
      <c r="H1980" s="35" t="s">
        <v>25</v>
      </c>
      <c r="I1980" s="45">
        <v>44774</v>
      </c>
      <c r="J1980" s="46">
        <f>EFEITO!$J$1980*EFEITO!$Y$1980</f>
        <v>0</v>
      </c>
      <c r="K1980" s="46">
        <f ca="1">EFEITO!$L$1980*EFEITO!$Z$1980</f>
        <v>5559.5728455499084</v>
      </c>
      <c r="L1980" s="46">
        <f>EFEITO!$N$1980*EFEITO!$AA$1980</f>
        <v>2553.6494570572586</v>
      </c>
      <c r="M1980" s="46">
        <f>$J$1980-EFEITO!$K$1980*EFEITO!$Y$1980</f>
        <v>0</v>
      </c>
      <c r="N1980" s="46">
        <f ca="1">$K$1980-EFEITO!$M$1980*EFEITO!$Z$1980</f>
        <v>0</v>
      </c>
      <c r="O1980" s="46">
        <f>$L$1980-EFEITO!$O$1980*EFEITO!$AA$1980</f>
        <v>0</v>
      </c>
      <c r="P1980" s="38"/>
      <c r="Q1980" s="38"/>
      <c r="R1980" s="38"/>
      <c r="S1980" s="38"/>
      <c r="T1980" s="38"/>
      <c r="U1980" s="38"/>
      <c r="V1980" s="38"/>
      <c r="W1980" s="38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</row>
    <row r="1981" spans="1:36" ht="11.25" customHeight="1" x14ac:dyDescent="0.2">
      <c r="A1981" s="35" t="s">
        <v>21</v>
      </c>
      <c r="B1981" s="35" t="s">
        <v>39</v>
      </c>
      <c r="C1981" s="35" t="s">
        <v>23</v>
      </c>
      <c r="D1981" s="35" t="s">
        <v>40</v>
      </c>
      <c r="E1981" s="35" t="s">
        <v>25</v>
      </c>
      <c r="F1981" s="35" t="s">
        <v>25</v>
      </c>
      <c r="G1981" s="35" t="s">
        <v>25</v>
      </c>
      <c r="H1981" s="35" t="s">
        <v>25</v>
      </c>
      <c r="I1981" s="45">
        <v>44805</v>
      </c>
      <c r="J1981" s="46">
        <f>EFEITO!$J$1981*EFEITO!$Y$1981</f>
        <v>0</v>
      </c>
      <c r="K1981" s="46">
        <f ca="1">EFEITO!$L$1981*EFEITO!$Z$1981</f>
        <v>151246.99904672752</v>
      </c>
      <c r="L1981" s="46">
        <f>EFEITO!$N$1981*EFEITO!$AA$1981</f>
        <v>69471.491376602789</v>
      </c>
      <c r="M1981" s="46">
        <f>$J$1981-EFEITO!$K$1981*EFEITO!$Y$1981</f>
        <v>0</v>
      </c>
      <c r="N1981" s="46">
        <f ca="1">$K$1981-EFEITO!$M$1981*EFEITO!$Z$1981</f>
        <v>0</v>
      </c>
      <c r="O1981" s="46">
        <f>$L$1981-EFEITO!$O$1981*EFEITO!$AA$1981</f>
        <v>0</v>
      </c>
      <c r="P1981" s="38"/>
      <c r="Q1981" s="38"/>
      <c r="R1981" s="38"/>
      <c r="S1981" s="38"/>
      <c r="T1981" s="38"/>
      <c r="U1981" s="38"/>
      <c r="V1981" s="38"/>
      <c r="W1981" s="38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</row>
    <row r="1982" spans="1:36" ht="11.25" customHeight="1" x14ac:dyDescent="0.2">
      <c r="A1982" s="35" t="s">
        <v>28</v>
      </c>
      <c r="B1982" s="35" t="s">
        <v>39</v>
      </c>
      <c r="C1982" s="35" t="s">
        <v>23</v>
      </c>
      <c r="D1982" s="35" t="s">
        <v>40</v>
      </c>
      <c r="E1982" s="35" t="s">
        <v>25</v>
      </c>
      <c r="F1982" s="35" t="s">
        <v>25</v>
      </c>
      <c r="G1982" s="35" t="s">
        <v>25</v>
      </c>
      <c r="H1982" s="35" t="s">
        <v>25</v>
      </c>
      <c r="I1982" s="45">
        <v>44805</v>
      </c>
      <c r="J1982" s="46">
        <f>EFEITO!$J$1982*EFEITO!$Y$1982</f>
        <v>0</v>
      </c>
      <c r="K1982" s="46">
        <f ca="1">EFEITO!$L$1982*EFEITO!$Z$1982</f>
        <v>33622.609111461177</v>
      </c>
      <c r="L1982" s="46">
        <f>EFEITO!$N$1982*EFEITO!$AA$1982</f>
        <v>15443.696824848179</v>
      </c>
      <c r="M1982" s="46">
        <f>$J$1982-EFEITO!$K$1982*EFEITO!$Y$1982</f>
        <v>0</v>
      </c>
      <c r="N1982" s="46">
        <f ca="1">$K$1982-EFEITO!$M$1982*EFEITO!$Z$1982</f>
        <v>0</v>
      </c>
      <c r="O1982" s="46">
        <f>$L$1982-EFEITO!$O$1982*EFEITO!$AA$1982</f>
        <v>0</v>
      </c>
      <c r="P1982" s="38"/>
      <c r="Q1982" s="38"/>
      <c r="R1982" s="38"/>
      <c r="S1982" s="38"/>
      <c r="T1982" s="38"/>
      <c r="U1982" s="38"/>
      <c r="V1982" s="38"/>
      <c r="W1982" s="38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</row>
    <row r="1983" spans="1:36" ht="11.25" customHeight="1" x14ac:dyDescent="0.2">
      <c r="A1983" s="35" t="s">
        <v>30</v>
      </c>
      <c r="B1983" s="35" t="s">
        <v>39</v>
      </c>
      <c r="C1983" s="35" t="s">
        <v>23</v>
      </c>
      <c r="D1983" s="35" t="s">
        <v>40</v>
      </c>
      <c r="E1983" s="35" t="s">
        <v>25</v>
      </c>
      <c r="F1983" s="35" t="s">
        <v>25</v>
      </c>
      <c r="G1983" s="35" t="s">
        <v>25</v>
      </c>
      <c r="H1983" s="35" t="s">
        <v>25</v>
      </c>
      <c r="I1983" s="45">
        <v>44805</v>
      </c>
      <c r="J1983" s="46">
        <f>EFEITO!$J$1983*EFEITO!$Y$1983</f>
        <v>0</v>
      </c>
      <c r="K1983" s="46">
        <f ca="1">EFEITO!$L$1983*EFEITO!$Z$1983</f>
        <v>4125.7354043534324</v>
      </c>
      <c r="L1983" s="46">
        <f>EFEITO!$N$1983*EFEITO!$AA$1983</f>
        <v>1895.052420029393</v>
      </c>
      <c r="M1983" s="46">
        <f>$J$1983-EFEITO!$K$1983*EFEITO!$Y$1983</f>
        <v>0</v>
      </c>
      <c r="N1983" s="46">
        <f ca="1">$K$1983-EFEITO!$M$1983*EFEITO!$Z$1983</f>
        <v>0</v>
      </c>
      <c r="O1983" s="46">
        <f>$L$1983-EFEITO!$O$1983*EFEITO!$AA$1983</f>
        <v>0</v>
      </c>
      <c r="P1983" s="38"/>
      <c r="Q1983" s="38"/>
      <c r="R1983" s="38"/>
      <c r="S1983" s="38"/>
      <c r="T1983" s="38"/>
      <c r="U1983" s="38"/>
      <c r="V1983" s="38"/>
      <c r="W1983" s="38"/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6"/>
    </row>
    <row r="1984" spans="1:36" ht="11.25" customHeight="1" x14ac:dyDescent="0.2">
      <c r="A1984" s="35" t="s">
        <v>30</v>
      </c>
      <c r="B1984" s="35" t="s">
        <v>39</v>
      </c>
      <c r="C1984" s="35" t="s">
        <v>23</v>
      </c>
      <c r="D1984" s="35" t="s">
        <v>40</v>
      </c>
      <c r="E1984" s="35" t="s">
        <v>25</v>
      </c>
      <c r="F1984" s="35" t="s">
        <v>25</v>
      </c>
      <c r="G1984" s="35" t="s">
        <v>25</v>
      </c>
      <c r="H1984" s="35" t="s">
        <v>25</v>
      </c>
      <c r="I1984" s="45">
        <v>44805</v>
      </c>
      <c r="J1984" s="46">
        <f>EFEITO!$J$1984*EFEITO!$Y$1984</f>
        <v>0</v>
      </c>
      <c r="K1984" s="46">
        <f ca="1">EFEITO!$L$1984*EFEITO!$Z$1984</f>
        <v>1138.5322168800037</v>
      </c>
      <c r="L1984" s="46">
        <f>EFEITO!$N$1984*EFEITO!$AA$1984</f>
        <v>522.95603605680265</v>
      </c>
      <c r="M1984" s="46">
        <f>$J$1984-EFEITO!$K$1984*EFEITO!$Y$1984</f>
        <v>0</v>
      </c>
      <c r="N1984" s="46">
        <f ca="1">$K$1984-EFEITO!$M$1984*EFEITO!$Z$1984</f>
        <v>0</v>
      </c>
      <c r="O1984" s="46">
        <f>$L$1984-EFEITO!$O$1984*EFEITO!$AA$1984</f>
        <v>0</v>
      </c>
      <c r="P1984" s="38"/>
      <c r="Q1984" s="38"/>
      <c r="R1984" s="38"/>
      <c r="S1984" s="38"/>
      <c r="T1984" s="38"/>
      <c r="U1984" s="38"/>
      <c r="V1984" s="38"/>
      <c r="W1984" s="38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</row>
    <row r="1985" spans="1:36" ht="11.25" customHeight="1" x14ac:dyDescent="0.2">
      <c r="A1985" s="35" t="s">
        <v>21</v>
      </c>
      <c r="B1985" s="35" t="s">
        <v>39</v>
      </c>
      <c r="C1985" s="35" t="s">
        <v>23</v>
      </c>
      <c r="D1985" s="35" t="s">
        <v>40</v>
      </c>
      <c r="E1985" s="35" t="s">
        <v>25</v>
      </c>
      <c r="F1985" s="35" t="s">
        <v>25</v>
      </c>
      <c r="G1985" s="35" t="s">
        <v>25</v>
      </c>
      <c r="H1985" s="35" t="s">
        <v>25</v>
      </c>
      <c r="I1985" s="45">
        <v>44835</v>
      </c>
      <c r="J1985" s="46">
        <f>EFEITO!$J$1985*EFEITO!$Y$1985</f>
        <v>0</v>
      </c>
      <c r="K1985" s="46">
        <f ca="1">EFEITO!$L$1985*EFEITO!$Z$1985</f>
        <v>137659.44318978509</v>
      </c>
      <c r="L1985" s="46">
        <f>EFEITO!$N$1985*EFEITO!$AA$1985</f>
        <v>63230.390558112798</v>
      </c>
      <c r="M1985" s="46">
        <f>$J$1985-EFEITO!$K$1985*EFEITO!$Y$1985</f>
        <v>0</v>
      </c>
      <c r="N1985" s="46">
        <f ca="1">$K$1985-EFEITO!$M$1985*EFEITO!$Z$1985</f>
        <v>0</v>
      </c>
      <c r="O1985" s="46">
        <f>$L$1985-EFEITO!$O$1985*EFEITO!$AA$1985</f>
        <v>0</v>
      </c>
      <c r="P1985" s="38"/>
      <c r="Q1985" s="38"/>
      <c r="R1985" s="38"/>
      <c r="S1985" s="38"/>
      <c r="T1985" s="38"/>
      <c r="U1985" s="38"/>
      <c r="V1985" s="38"/>
      <c r="W1985" s="38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</row>
    <row r="1986" spans="1:36" ht="11.25" customHeight="1" x14ac:dyDescent="0.2">
      <c r="A1986" s="35" t="s">
        <v>27</v>
      </c>
      <c r="B1986" s="35" t="s">
        <v>39</v>
      </c>
      <c r="C1986" s="35" t="s">
        <v>23</v>
      </c>
      <c r="D1986" s="35" t="s">
        <v>40</v>
      </c>
      <c r="E1986" s="35" t="s">
        <v>25</v>
      </c>
      <c r="F1986" s="35" t="s">
        <v>25</v>
      </c>
      <c r="G1986" s="35" t="s">
        <v>25</v>
      </c>
      <c r="H1986" s="35" t="s">
        <v>25</v>
      </c>
      <c r="I1986" s="45">
        <v>44835</v>
      </c>
      <c r="J1986" s="46">
        <f>EFEITO!$J$1986*EFEITO!$Y$1986</f>
        <v>0</v>
      </c>
      <c r="K1986" s="46">
        <f ca="1">EFEITO!$L$1986*EFEITO!$Z$1986</f>
        <v>-1179.2120181889054</v>
      </c>
      <c r="L1986" s="46">
        <f>EFEITO!$N$1986*EFEITO!$AA$1986</f>
        <v>-541.64127598648986</v>
      </c>
      <c r="M1986" s="46">
        <f>$J$1986-EFEITO!$K$1986*EFEITO!$Y$1986</f>
        <v>0</v>
      </c>
      <c r="N1986" s="46">
        <f ca="1">$K$1986-EFEITO!$M$1986*EFEITO!$Z$1986</f>
        <v>0</v>
      </c>
      <c r="O1986" s="46">
        <f>$L$1986-EFEITO!$O$1986*EFEITO!$AA$1986</f>
        <v>0</v>
      </c>
      <c r="P1986" s="38"/>
      <c r="Q1986" s="38"/>
      <c r="R1986" s="38"/>
      <c r="S1986" s="38"/>
      <c r="T1986" s="38"/>
      <c r="U1986" s="38"/>
      <c r="V1986" s="38"/>
      <c r="W1986" s="38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</row>
    <row r="1987" spans="1:36" ht="11.25" customHeight="1" x14ac:dyDescent="0.2">
      <c r="A1987" s="35" t="s">
        <v>28</v>
      </c>
      <c r="B1987" s="35" t="s">
        <v>39</v>
      </c>
      <c r="C1987" s="35" t="s">
        <v>23</v>
      </c>
      <c r="D1987" s="35" t="s">
        <v>40</v>
      </c>
      <c r="E1987" s="35" t="s">
        <v>25</v>
      </c>
      <c r="F1987" s="35" t="s">
        <v>25</v>
      </c>
      <c r="G1987" s="35" t="s">
        <v>25</v>
      </c>
      <c r="H1987" s="35" t="s">
        <v>25</v>
      </c>
      <c r="I1987" s="45">
        <v>44835</v>
      </c>
      <c r="J1987" s="46">
        <f>EFEITO!$J$1987*EFEITO!$Y$1987</f>
        <v>0</v>
      </c>
      <c r="K1987" s="46">
        <f ca="1">EFEITO!$L$1987*EFEITO!$Z$1987</f>
        <v>42151.305232791674</v>
      </c>
      <c r="L1987" s="46">
        <f>EFEITO!$N$1987*EFEITO!$AA$1987</f>
        <v>19361.13811479817</v>
      </c>
      <c r="M1987" s="46">
        <f>$J$1987-EFEITO!$K$1987*EFEITO!$Y$1987</f>
        <v>0</v>
      </c>
      <c r="N1987" s="46">
        <f ca="1">$K$1987-EFEITO!$M$1987*EFEITO!$Z$1987</f>
        <v>0</v>
      </c>
      <c r="O1987" s="46">
        <f>$L$1987-EFEITO!$O$1987*EFEITO!$AA$1987</f>
        <v>0</v>
      </c>
      <c r="P1987" s="38"/>
      <c r="Q1987" s="38"/>
      <c r="R1987" s="38"/>
      <c r="S1987" s="38"/>
      <c r="T1987" s="38"/>
      <c r="U1987" s="38"/>
      <c r="V1987" s="38"/>
      <c r="W1987" s="38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</row>
    <row r="1988" spans="1:36" ht="11.25" customHeight="1" x14ac:dyDescent="0.2">
      <c r="A1988" s="35" t="s">
        <v>30</v>
      </c>
      <c r="B1988" s="35" t="s">
        <v>39</v>
      </c>
      <c r="C1988" s="35" t="s">
        <v>23</v>
      </c>
      <c r="D1988" s="35" t="s">
        <v>40</v>
      </c>
      <c r="E1988" s="35" t="s">
        <v>25</v>
      </c>
      <c r="F1988" s="35" t="s">
        <v>25</v>
      </c>
      <c r="G1988" s="35" t="s">
        <v>25</v>
      </c>
      <c r="H1988" s="35" t="s">
        <v>25</v>
      </c>
      <c r="I1988" s="45">
        <v>44835</v>
      </c>
      <c r="J1988" s="46">
        <f>EFEITO!$J$1988*EFEITO!$Y$1988</f>
        <v>0</v>
      </c>
      <c r="K1988" s="46">
        <f ca="1">EFEITO!$L$1988*EFEITO!$Z$1988</f>
        <v>5599.7504270895643</v>
      </c>
      <c r="L1988" s="46">
        <f>EFEITO!$N$1988*EFEITO!$AA$1988</f>
        <v>2572.1040150125054</v>
      </c>
      <c r="M1988" s="46">
        <f>$J$1988-EFEITO!$K$1988*EFEITO!$Y$1988</f>
        <v>0</v>
      </c>
      <c r="N1988" s="46">
        <f ca="1">$K$1988-EFEITO!$M$1988*EFEITO!$Z$1988</f>
        <v>0</v>
      </c>
      <c r="O1988" s="46">
        <f>$L$1988-EFEITO!$O$1988*EFEITO!$AA$1988</f>
        <v>0</v>
      </c>
      <c r="P1988" s="38"/>
      <c r="Q1988" s="38"/>
      <c r="R1988" s="38"/>
      <c r="S1988" s="38"/>
      <c r="T1988" s="38"/>
      <c r="U1988" s="38"/>
      <c r="V1988" s="38"/>
      <c r="W1988" s="38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</row>
    <row r="1989" spans="1:36" ht="11.25" customHeight="1" x14ac:dyDescent="0.2">
      <c r="A1989" s="35" t="s">
        <v>59</v>
      </c>
      <c r="B1989" s="35" t="s">
        <v>39</v>
      </c>
      <c r="C1989" s="35" t="s">
        <v>23</v>
      </c>
      <c r="D1989" s="35" t="s">
        <v>40</v>
      </c>
      <c r="E1989" s="35" t="s">
        <v>25</v>
      </c>
      <c r="F1989" s="35" t="s">
        <v>25</v>
      </c>
      <c r="G1989" s="35" t="s">
        <v>25</v>
      </c>
      <c r="H1989" s="35" t="s">
        <v>25</v>
      </c>
      <c r="I1989" s="45">
        <v>44866</v>
      </c>
      <c r="J1989" s="46">
        <f>EFEITO!$J$1989*EFEITO!$Y$1989</f>
        <v>0</v>
      </c>
      <c r="K1989" s="46">
        <f ca="1">EFEITO!$L$1989*EFEITO!$Z$1989</f>
        <v>137659.44318978509</v>
      </c>
      <c r="L1989" s="46">
        <f>EFEITO!$N$1989*EFEITO!$AA$1989</f>
        <v>63230.390558112798</v>
      </c>
      <c r="M1989" s="46">
        <f>$J$1989-EFEITO!$K$1989*EFEITO!$Y$1989</f>
        <v>0</v>
      </c>
      <c r="N1989" s="46">
        <f ca="1">$K$1989-EFEITO!$M$1989*EFEITO!$Z$1989</f>
        <v>0</v>
      </c>
      <c r="O1989" s="46">
        <f>$L$1989-EFEITO!$O$1989*EFEITO!$AA$1989</f>
        <v>0</v>
      </c>
      <c r="P1989" s="38"/>
      <c r="Q1989" s="38"/>
      <c r="R1989" s="38"/>
      <c r="S1989" s="38"/>
      <c r="T1989" s="38"/>
      <c r="U1989" s="38"/>
      <c r="V1989" s="38"/>
      <c r="W1989" s="38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</row>
    <row r="1990" spans="1:36" ht="11.25" customHeight="1" x14ac:dyDescent="0.2">
      <c r="A1990" s="35" t="s">
        <v>59</v>
      </c>
      <c r="B1990" s="35" t="s">
        <v>39</v>
      </c>
      <c r="C1990" s="35" t="s">
        <v>23</v>
      </c>
      <c r="D1990" s="35" t="s">
        <v>40</v>
      </c>
      <c r="E1990" s="35" t="s">
        <v>25</v>
      </c>
      <c r="F1990" s="35" t="s">
        <v>25</v>
      </c>
      <c r="G1990" s="35" t="s">
        <v>25</v>
      </c>
      <c r="H1990" s="35" t="s">
        <v>25</v>
      </c>
      <c r="I1990" s="45">
        <v>44866</v>
      </c>
      <c r="J1990" s="46">
        <f>EFEITO!$J$1990*EFEITO!$Y$1990</f>
        <v>0</v>
      </c>
      <c r="K1990" s="46">
        <f ca="1">EFEITO!$L$1990*EFEITO!$Z$1990</f>
        <v>-1179.2120181889054</v>
      </c>
      <c r="L1990" s="46">
        <f>EFEITO!$N$1990*EFEITO!$AA$1990</f>
        <v>-541.64127598648986</v>
      </c>
      <c r="M1990" s="46">
        <f>$J$1990-EFEITO!$K$1990*EFEITO!$Y$1990</f>
        <v>0</v>
      </c>
      <c r="N1990" s="46">
        <f ca="1">$K$1990-EFEITO!$M$1990*EFEITO!$Z$1990</f>
        <v>0</v>
      </c>
      <c r="O1990" s="46">
        <f>$L$1990-EFEITO!$O$1990*EFEITO!$AA$1990</f>
        <v>0</v>
      </c>
      <c r="P1990" s="38"/>
      <c r="Q1990" s="38"/>
      <c r="R1990" s="38"/>
      <c r="S1990" s="38"/>
      <c r="T1990" s="38"/>
      <c r="U1990" s="38"/>
      <c r="V1990" s="38"/>
      <c r="W1990" s="38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</row>
    <row r="1991" spans="1:36" ht="11.25" customHeight="1" x14ac:dyDescent="0.2">
      <c r="A1991" s="35" t="s">
        <v>59</v>
      </c>
      <c r="B1991" s="35" t="s">
        <v>39</v>
      </c>
      <c r="C1991" s="35" t="s">
        <v>23</v>
      </c>
      <c r="D1991" s="35" t="s">
        <v>40</v>
      </c>
      <c r="E1991" s="35" t="s">
        <v>25</v>
      </c>
      <c r="F1991" s="35" t="s">
        <v>25</v>
      </c>
      <c r="G1991" s="35" t="s">
        <v>25</v>
      </c>
      <c r="H1991" s="35" t="s">
        <v>25</v>
      </c>
      <c r="I1991" s="45">
        <v>44866</v>
      </c>
      <c r="J1991" s="46">
        <f>EFEITO!$J$1991*EFEITO!$Y$1991</f>
        <v>0</v>
      </c>
      <c r="K1991" s="46">
        <f ca="1">EFEITO!$L$1991*EFEITO!$Z$1991</f>
        <v>42151.305232791674</v>
      </c>
      <c r="L1991" s="46">
        <f>EFEITO!$N$1991*EFEITO!$AA$1991</f>
        <v>19361.13811479817</v>
      </c>
      <c r="M1991" s="46">
        <f>$J$1991-EFEITO!$K$1991*EFEITO!$Y$1991</f>
        <v>0</v>
      </c>
      <c r="N1991" s="46">
        <f ca="1">$K$1991-EFEITO!$M$1991*EFEITO!$Z$1991</f>
        <v>0</v>
      </c>
      <c r="O1991" s="46">
        <f>$L$1991-EFEITO!$O$1991*EFEITO!$AA$1991</f>
        <v>0</v>
      </c>
      <c r="P1991" s="38"/>
      <c r="Q1991" s="38"/>
      <c r="R1991" s="38"/>
      <c r="S1991" s="38"/>
      <c r="T1991" s="38"/>
      <c r="U1991" s="38"/>
      <c r="V1991" s="38"/>
      <c r="W1991" s="38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</row>
    <row r="1992" spans="1:36" ht="11.25" customHeight="1" x14ac:dyDescent="0.2">
      <c r="A1992" s="35" t="s">
        <v>59</v>
      </c>
      <c r="B1992" s="35" t="s">
        <v>39</v>
      </c>
      <c r="C1992" s="35" t="s">
        <v>23</v>
      </c>
      <c r="D1992" s="35" t="s">
        <v>40</v>
      </c>
      <c r="E1992" s="35" t="s">
        <v>25</v>
      </c>
      <c r="F1992" s="35" t="s">
        <v>25</v>
      </c>
      <c r="G1992" s="35" t="s">
        <v>25</v>
      </c>
      <c r="H1992" s="35" t="s">
        <v>25</v>
      </c>
      <c r="I1992" s="45">
        <v>44866</v>
      </c>
      <c r="J1992" s="46">
        <f>EFEITO!$J$1992*EFEITO!$Y$1992</f>
        <v>0</v>
      </c>
      <c r="K1992" s="46">
        <f ca="1">EFEITO!$L$1992*EFEITO!$Z$1992</f>
        <v>5599.7504270895643</v>
      </c>
      <c r="L1992" s="46">
        <f>EFEITO!$N$1992*EFEITO!$AA$1992</f>
        <v>2572.1040150125054</v>
      </c>
      <c r="M1992" s="46">
        <f>$J$1992-EFEITO!$K$1992*EFEITO!$Y$1992</f>
        <v>0</v>
      </c>
      <c r="N1992" s="46">
        <f ca="1">$K$1992-EFEITO!$M$1992*EFEITO!$Z$1992</f>
        <v>0</v>
      </c>
      <c r="O1992" s="46">
        <f>$L$1992-EFEITO!$O$1992*EFEITO!$AA$1992</f>
        <v>0</v>
      </c>
      <c r="P1992" s="38"/>
      <c r="Q1992" s="38"/>
      <c r="R1992" s="38"/>
      <c r="S1992" s="38"/>
      <c r="T1992" s="38"/>
      <c r="U1992" s="38"/>
      <c r="V1992" s="38"/>
      <c r="W1992" s="38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</row>
    <row r="1993" spans="1:36" ht="11.25" customHeight="1" x14ac:dyDescent="0.2">
      <c r="A1993" s="35" t="s">
        <v>21</v>
      </c>
      <c r="B1993" s="35" t="s">
        <v>39</v>
      </c>
      <c r="C1993" s="35" t="s">
        <v>23</v>
      </c>
      <c r="D1993" s="35" t="s">
        <v>48</v>
      </c>
      <c r="E1993" s="35" t="s">
        <v>25</v>
      </c>
      <c r="F1993" s="35" t="s">
        <v>25</v>
      </c>
      <c r="G1993" s="35" t="s">
        <v>25</v>
      </c>
      <c r="H1993" s="35" t="s">
        <v>25</v>
      </c>
      <c r="I1993" s="45">
        <v>44531</v>
      </c>
      <c r="J1993" s="46">
        <f>EFEITO!$J$1993*EFEITO!$Y$1993</f>
        <v>0</v>
      </c>
      <c r="K1993" s="46">
        <f ca="1">EFEITO!$L$1993*EFEITO!$Z$1993</f>
        <v>1176874.1851630667</v>
      </c>
      <c r="L1993" s="46">
        <f>EFEITO!$N$1993*EFEITO!$AA$1993</f>
        <v>540567.45139546902</v>
      </c>
      <c r="M1993" s="46">
        <f>$J$1993-EFEITO!$K$1993*EFEITO!$Y$1993</f>
        <v>0</v>
      </c>
      <c r="N1993" s="46">
        <f ca="1">$K$1993-EFEITO!$M$1993*EFEITO!$Z$1993</f>
        <v>0</v>
      </c>
      <c r="O1993" s="46">
        <f>$L$1993-EFEITO!$O$1993*EFEITO!$AA$1993</f>
        <v>0</v>
      </c>
      <c r="P1993" s="38"/>
      <c r="Q1993" s="38"/>
      <c r="R1993" s="38"/>
      <c r="S1993" s="38"/>
      <c r="T1993" s="38"/>
      <c r="U1993" s="38"/>
      <c r="V1993" s="38"/>
      <c r="W1993" s="38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</row>
    <row r="1994" spans="1:36" ht="11.25" customHeight="1" x14ac:dyDescent="0.2">
      <c r="A1994" s="35" t="s">
        <v>27</v>
      </c>
      <c r="B1994" s="35" t="s">
        <v>39</v>
      </c>
      <c r="C1994" s="35" t="s">
        <v>23</v>
      </c>
      <c r="D1994" s="35" t="s">
        <v>48</v>
      </c>
      <c r="E1994" s="35" t="s">
        <v>25</v>
      </c>
      <c r="F1994" s="35" t="s">
        <v>25</v>
      </c>
      <c r="G1994" s="35" t="s">
        <v>25</v>
      </c>
      <c r="H1994" s="35" t="s">
        <v>25</v>
      </c>
      <c r="I1994" s="45">
        <v>44531</v>
      </c>
      <c r="J1994" s="46">
        <f>EFEITO!$J$1994*EFEITO!$Y$1994</f>
        <v>0</v>
      </c>
      <c r="K1994" s="46">
        <f ca="1">EFEITO!$L$1994*EFEITO!$Z$1994</f>
        <v>-3343.2770038686303</v>
      </c>
      <c r="L1994" s="46">
        <f>EFEITO!$N$1994*EFEITO!$AA$1994</f>
        <v>-1535.6499038509639</v>
      </c>
      <c r="M1994" s="46">
        <f>$J$1994-EFEITO!$K$1994*EFEITO!$Y$1994</f>
        <v>0</v>
      </c>
      <c r="N1994" s="46">
        <f ca="1">$K$1994-EFEITO!$M$1994*EFEITO!$Z$1994</f>
        <v>0</v>
      </c>
      <c r="O1994" s="46">
        <f>$L$1994-EFEITO!$O$1994*EFEITO!$AA$1994</f>
        <v>0</v>
      </c>
      <c r="P1994" s="38"/>
      <c r="Q1994" s="38"/>
      <c r="R1994" s="38"/>
      <c r="S1994" s="38"/>
      <c r="T1994" s="38"/>
      <c r="U1994" s="38"/>
      <c r="V1994" s="38"/>
      <c r="W1994" s="38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</row>
    <row r="1995" spans="1:36" ht="11.25" customHeight="1" x14ac:dyDescent="0.2">
      <c r="A1995" s="35" t="s">
        <v>28</v>
      </c>
      <c r="B1995" s="35" t="s">
        <v>39</v>
      </c>
      <c r="C1995" s="35" t="s">
        <v>23</v>
      </c>
      <c r="D1995" s="35" t="s">
        <v>48</v>
      </c>
      <c r="E1995" s="35" t="s">
        <v>25</v>
      </c>
      <c r="F1995" s="35" t="s">
        <v>25</v>
      </c>
      <c r="G1995" s="35" t="s">
        <v>25</v>
      </c>
      <c r="H1995" s="35" t="s">
        <v>25</v>
      </c>
      <c r="I1995" s="45">
        <v>44531</v>
      </c>
      <c r="J1995" s="46">
        <f>EFEITO!$J$1995*EFEITO!$Y$1995</f>
        <v>0</v>
      </c>
      <c r="K1995" s="46">
        <f ca="1">EFEITO!$L$1995*EFEITO!$Z$1995</f>
        <v>550555.40871698398</v>
      </c>
      <c r="L1995" s="46">
        <f>EFEITO!$N$1995*EFEITO!$AA$1995</f>
        <v>252883.73038864293</v>
      </c>
      <c r="M1995" s="46">
        <f>$J$1995-EFEITO!$K$1995*EFEITO!$Y$1995</f>
        <v>0</v>
      </c>
      <c r="N1995" s="46">
        <f ca="1">$K$1995-EFEITO!$M$1995*EFEITO!$Z$1995</f>
        <v>0</v>
      </c>
      <c r="O1995" s="46">
        <f>$L$1995-EFEITO!$O$1995*EFEITO!$AA$1995</f>
        <v>0</v>
      </c>
      <c r="P1995" s="38"/>
      <c r="Q1995" s="38"/>
      <c r="R1995" s="38"/>
      <c r="S1995" s="38"/>
      <c r="T1995" s="38"/>
      <c r="U1995" s="38"/>
      <c r="V1995" s="38"/>
      <c r="W1995" s="38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</row>
    <row r="1996" spans="1:36" ht="11.25" customHeight="1" x14ac:dyDescent="0.2">
      <c r="A1996" s="35" t="s">
        <v>29</v>
      </c>
      <c r="B1996" s="35" t="s">
        <v>39</v>
      </c>
      <c r="C1996" s="35" t="s">
        <v>23</v>
      </c>
      <c r="D1996" s="35" t="s">
        <v>48</v>
      </c>
      <c r="E1996" s="35" t="s">
        <v>25</v>
      </c>
      <c r="F1996" s="35" t="s">
        <v>25</v>
      </c>
      <c r="G1996" s="35" t="s">
        <v>25</v>
      </c>
      <c r="H1996" s="35" t="s">
        <v>25</v>
      </c>
      <c r="I1996" s="45">
        <v>44531</v>
      </c>
      <c r="J1996" s="46">
        <f>EFEITO!$J$1996*EFEITO!$Y$1996</f>
        <v>0</v>
      </c>
      <c r="K1996" s="46">
        <f ca="1">EFEITO!$L$1996*EFEITO!$Z$1996</f>
        <v>-48593.780432675521</v>
      </c>
      <c r="L1996" s="46">
        <f>EFEITO!$N$1996*EFEITO!$AA$1996</f>
        <v>-22320.326482921973</v>
      </c>
      <c r="M1996" s="46">
        <f>$J$1996-EFEITO!$K$1996*EFEITO!$Y$1996</f>
        <v>0</v>
      </c>
      <c r="N1996" s="46">
        <f ca="1">$K$1996-EFEITO!$M$1996*EFEITO!$Z$1996</f>
        <v>0</v>
      </c>
      <c r="O1996" s="46">
        <f>$L$1996-EFEITO!$O$1996*EFEITO!$AA$1996</f>
        <v>0</v>
      </c>
      <c r="P1996" s="38"/>
      <c r="Q1996" s="38"/>
      <c r="R1996" s="38"/>
      <c r="S1996" s="38"/>
      <c r="T1996" s="38"/>
      <c r="U1996" s="38"/>
      <c r="V1996" s="38"/>
      <c r="W1996" s="38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</row>
    <row r="1997" spans="1:36" ht="11.25" customHeight="1" x14ac:dyDescent="0.2">
      <c r="A1997" s="35" t="s">
        <v>21</v>
      </c>
      <c r="B1997" s="35" t="s">
        <v>39</v>
      </c>
      <c r="C1997" s="35" t="s">
        <v>23</v>
      </c>
      <c r="D1997" s="35" t="s">
        <v>48</v>
      </c>
      <c r="E1997" s="35" t="s">
        <v>25</v>
      </c>
      <c r="F1997" s="35" t="s">
        <v>25</v>
      </c>
      <c r="G1997" s="35" t="s">
        <v>25</v>
      </c>
      <c r="H1997" s="35" t="s">
        <v>25</v>
      </c>
      <c r="I1997" s="45">
        <v>44562</v>
      </c>
      <c r="J1997" s="46">
        <f>EFEITO!$J$1997*EFEITO!$Y$1997</f>
        <v>0</v>
      </c>
      <c r="K1997" s="46">
        <f ca="1">EFEITO!$L$1997*EFEITO!$Z$1997</f>
        <v>1031849.6890572935</v>
      </c>
      <c r="L1997" s="46">
        <f>EFEITO!$N$1997*EFEITO!$AA$1997</f>
        <v>473954.10968218505</v>
      </c>
      <c r="M1997" s="46">
        <f>$J$1997-EFEITO!$K$1997*EFEITO!$Y$1997</f>
        <v>0</v>
      </c>
      <c r="N1997" s="46">
        <f ca="1">$K$1997-EFEITO!$M$1997*EFEITO!$Z$1997</f>
        <v>0</v>
      </c>
      <c r="O1997" s="46">
        <f>$L$1997-EFEITO!$O$1997*EFEITO!$AA$1997</f>
        <v>0</v>
      </c>
      <c r="P1997" s="38"/>
      <c r="Q1997" s="38"/>
      <c r="R1997" s="38"/>
      <c r="S1997" s="38"/>
      <c r="T1997" s="38"/>
      <c r="U1997" s="38"/>
      <c r="V1997" s="38"/>
      <c r="W1997" s="38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</row>
    <row r="1998" spans="1:36" ht="11.25" customHeight="1" x14ac:dyDescent="0.2">
      <c r="A1998" s="35" t="s">
        <v>27</v>
      </c>
      <c r="B1998" s="35" t="s">
        <v>39</v>
      </c>
      <c r="C1998" s="35" t="s">
        <v>23</v>
      </c>
      <c r="D1998" s="35" t="s">
        <v>48</v>
      </c>
      <c r="E1998" s="35" t="s">
        <v>25</v>
      </c>
      <c r="F1998" s="35" t="s">
        <v>25</v>
      </c>
      <c r="G1998" s="35" t="s">
        <v>25</v>
      </c>
      <c r="H1998" s="35" t="s">
        <v>25</v>
      </c>
      <c r="I1998" s="45">
        <v>44562</v>
      </c>
      <c r="J1998" s="46">
        <f>EFEITO!$J$1998*EFEITO!$Y$1998</f>
        <v>0</v>
      </c>
      <c r="K1998" s="46">
        <f ca="1">EFEITO!$L$1998*EFEITO!$Z$1998</f>
        <v>-376.66482693427565</v>
      </c>
      <c r="L1998" s="46">
        <f>EFEITO!$N$1998*EFEITO!$AA$1998</f>
        <v>-173.01148083043759</v>
      </c>
      <c r="M1998" s="46">
        <f>$J$1998-EFEITO!$K$1998*EFEITO!$Y$1998</f>
        <v>0</v>
      </c>
      <c r="N1998" s="46">
        <f ca="1">$K$1998-EFEITO!$M$1998*EFEITO!$Z$1998</f>
        <v>0</v>
      </c>
      <c r="O1998" s="46">
        <f>$L$1998-EFEITO!$O$1998*EFEITO!$AA$1998</f>
        <v>0</v>
      </c>
      <c r="P1998" s="38"/>
      <c r="Q1998" s="38"/>
      <c r="R1998" s="38"/>
      <c r="S1998" s="38"/>
      <c r="T1998" s="38"/>
      <c r="U1998" s="38"/>
      <c r="V1998" s="38"/>
      <c r="W1998" s="38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</row>
    <row r="1999" spans="1:36" ht="11.25" customHeight="1" x14ac:dyDescent="0.2">
      <c r="A1999" s="35" t="s">
        <v>28</v>
      </c>
      <c r="B1999" s="35" t="s">
        <v>39</v>
      </c>
      <c r="C1999" s="35" t="s">
        <v>23</v>
      </c>
      <c r="D1999" s="35" t="s">
        <v>48</v>
      </c>
      <c r="E1999" s="35" t="s">
        <v>25</v>
      </c>
      <c r="F1999" s="35" t="s">
        <v>25</v>
      </c>
      <c r="G1999" s="35" t="s">
        <v>25</v>
      </c>
      <c r="H1999" s="35" t="s">
        <v>25</v>
      </c>
      <c r="I1999" s="45">
        <v>44562</v>
      </c>
      <c r="J1999" s="46">
        <f>EFEITO!$J$1999*EFEITO!$Y$1999</f>
        <v>0</v>
      </c>
      <c r="K1999" s="46">
        <f ca="1">EFEITO!$L$1999*EFEITO!$Z$1999</f>
        <v>470922.93988561648</v>
      </c>
      <c r="L1999" s="46">
        <f>EFEITO!$N$1999*EFEITO!$AA$1999</f>
        <v>216306.56583936961</v>
      </c>
      <c r="M1999" s="46">
        <f>$J$1999-EFEITO!$K$1999*EFEITO!$Y$1999</f>
        <v>0</v>
      </c>
      <c r="N1999" s="46">
        <f ca="1">$K$1999-EFEITO!$M$1999*EFEITO!$Z$1999</f>
        <v>0</v>
      </c>
      <c r="O1999" s="46">
        <f>$L$1999-EFEITO!$O$1999*EFEITO!$AA$1999</f>
        <v>0</v>
      </c>
      <c r="P1999" s="38"/>
      <c r="Q1999" s="38"/>
      <c r="R1999" s="38"/>
      <c r="S1999" s="38"/>
      <c r="T1999" s="38"/>
      <c r="U1999" s="38"/>
      <c r="V1999" s="38"/>
      <c r="W1999" s="38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</row>
    <row r="2000" spans="1:36" ht="11.25" customHeight="1" x14ac:dyDescent="0.2">
      <c r="A2000" s="35" t="s">
        <v>21</v>
      </c>
      <c r="B2000" s="35" t="s">
        <v>39</v>
      </c>
      <c r="C2000" s="35" t="s">
        <v>23</v>
      </c>
      <c r="D2000" s="35" t="s">
        <v>48</v>
      </c>
      <c r="E2000" s="35" t="s">
        <v>25</v>
      </c>
      <c r="F2000" s="35" t="s">
        <v>25</v>
      </c>
      <c r="G2000" s="35" t="s">
        <v>25</v>
      </c>
      <c r="H2000" s="35" t="s">
        <v>25</v>
      </c>
      <c r="I2000" s="45">
        <v>44593</v>
      </c>
      <c r="J2000" s="46">
        <f>EFEITO!$J$2000*EFEITO!$Y$2000</f>
        <v>0</v>
      </c>
      <c r="K2000" s="46">
        <f ca="1">EFEITO!$L$2000*EFEITO!$Z$2000</f>
        <v>938299.20376081986</v>
      </c>
      <c r="L2000" s="46">
        <f>EFEITO!$N$2000*EFEITO!$AA$2000</f>
        <v>430984.05557523982</v>
      </c>
      <c r="M2000" s="46">
        <f>$J$2000-EFEITO!$K$2000*EFEITO!$Y$2000</f>
        <v>0</v>
      </c>
      <c r="N2000" s="46">
        <f ca="1">$K$2000-EFEITO!$M$2000*EFEITO!$Z$2000</f>
        <v>0</v>
      </c>
      <c r="O2000" s="46">
        <f>$L$2000-EFEITO!$O$2000*EFEITO!$AA$2000</f>
        <v>0</v>
      </c>
      <c r="P2000" s="38"/>
      <c r="Q2000" s="38"/>
      <c r="R2000" s="38"/>
      <c r="S2000" s="38"/>
      <c r="T2000" s="38"/>
      <c r="U2000" s="38"/>
      <c r="V2000" s="38"/>
      <c r="W2000" s="38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</row>
    <row r="2001" spans="1:36" ht="11.25" customHeight="1" x14ac:dyDescent="0.2">
      <c r="A2001" s="35" t="s">
        <v>27</v>
      </c>
      <c r="B2001" s="35" t="s">
        <v>39</v>
      </c>
      <c r="C2001" s="35" t="s">
        <v>23</v>
      </c>
      <c r="D2001" s="35" t="s">
        <v>48</v>
      </c>
      <c r="E2001" s="35" t="s">
        <v>25</v>
      </c>
      <c r="F2001" s="35" t="s">
        <v>25</v>
      </c>
      <c r="G2001" s="35" t="s">
        <v>25</v>
      </c>
      <c r="H2001" s="35" t="s">
        <v>25</v>
      </c>
      <c r="I2001" s="45">
        <v>44593</v>
      </c>
      <c r="J2001" s="46">
        <f>EFEITO!$J$2001*EFEITO!$Y$2001</f>
        <v>0</v>
      </c>
      <c r="K2001" s="46">
        <f ca="1">EFEITO!$L$2001*EFEITO!$Z$2001</f>
        <v>-160.71032615862427</v>
      </c>
      <c r="L2001" s="46">
        <f>EFEITO!$N$2001*EFEITO!$AA$2001</f>
        <v>-73.818231820986711</v>
      </c>
      <c r="M2001" s="46">
        <f>$J$2001-EFEITO!$K$2001*EFEITO!$Y$2001</f>
        <v>0</v>
      </c>
      <c r="N2001" s="46">
        <f ca="1">$K$2001-EFEITO!$M$2001*EFEITO!$Z$2001</f>
        <v>0</v>
      </c>
      <c r="O2001" s="46">
        <f>$L$2001-EFEITO!$O$2001*EFEITO!$AA$2001</f>
        <v>0</v>
      </c>
      <c r="P2001" s="38"/>
      <c r="Q2001" s="38"/>
      <c r="R2001" s="38"/>
      <c r="S2001" s="38"/>
      <c r="T2001" s="38"/>
      <c r="U2001" s="38"/>
      <c r="V2001" s="38"/>
      <c r="W2001" s="38"/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  <c r="AJ2001" s="6"/>
    </row>
    <row r="2002" spans="1:36" ht="11.25" customHeight="1" x14ac:dyDescent="0.2">
      <c r="A2002" s="35" t="s">
        <v>28</v>
      </c>
      <c r="B2002" s="35" t="s">
        <v>39</v>
      </c>
      <c r="C2002" s="35" t="s">
        <v>23</v>
      </c>
      <c r="D2002" s="35" t="s">
        <v>48</v>
      </c>
      <c r="E2002" s="35" t="s">
        <v>25</v>
      </c>
      <c r="F2002" s="35" t="s">
        <v>25</v>
      </c>
      <c r="G2002" s="35" t="s">
        <v>25</v>
      </c>
      <c r="H2002" s="35" t="s">
        <v>25</v>
      </c>
      <c r="I2002" s="45">
        <v>44593</v>
      </c>
      <c r="J2002" s="46">
        <f>EFEITO!$J$2002*EFEITO!$Y$2002</f>
        <v>0</v>
      </c>
      <c r="K2002" s="46">
        <f ca="1">EFEITO!$L$2002*EFEITO!$Z$2002</f>
        <v>423144.26213842677</v>
      </c>
      <c r="L2002" s="46">
        <f>EFEITO!$N$2002*EFEITO!$AA$2002</f>
        <v>194360.63620096471</v>
      </c>
      <c r="M2002" s="46">
        <f>$J$2002-EFEITO!$K$2002*EFEITO!$Y$2002</f>
        <v>0</v>
      </c>
      <c r="N2002" s="46">
        <f ca="1">$K$2002-EFEITO!$M$2002*EFEITO!$Z$2002</f>
        <v>0</v>
      </c>
      <c r="O2002" s="46">
        <f>$L$2002-EFEITO!$O$2002*EFEITO!$AA$2002</f>
        <v>0</v>
      </c>
      <c r="P2002" s="38"/>
      <c r="Q2002" s="38"/>
      <c r="R2002" s="38"/>
      <c r="S2002" s="38"/>
      <c r="T2002" s="38"/>
      <c r="U2002" s="38"/>
      <c r="V2002" s="38"/>
      <c r="W2002" s="38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</row>
    <row r="2003" spans="1:36" ht="11.25" customHeight="1" x14ac:dyDescent="0.2">
      <c r="A2003" s="35" t="s">
        <v>21</v>
      </c>
      <c r="B2003" s="35" t="s">
        <v>39</v>
      </c>
      <c r="C2003" s="35" t="s">
        <v>23</v>
      </c>
      <c r="D2003" s="35" t="s">
        <v>48</v>
      </c>
      <c r="E2003" s="35" t="s">
        <v>25</v>
      </c>
      <c r="F2003" s="35" t="s">
        <v>25</v>
      </c>
      <c r="G2003" s="35" t="s">
        <v>25</v>
      </c>
      <c r="H2003" s="35" t="s">
        <v>25</v>
      </c>
      <c r="I2003" s="45">
        <v>44621</v>
      </c>
      <c r="J2003" s="46">
        <f>EFEITO!$J$2003*EFEITO!$Y$2003</f>
        <v>0</v>
      </c>
      <c r="K2003" s="46">
        <f ca="1">EFEITO!$L$2003*EFEITO!$Z$2003</f>
        <v>940447.19771388371</v>
      </c>
      <c r="L2003" s="46">
        <f>EFEITO!$N$2003*EFEITO!$AA$2003</f>
        <v>431970.68237992219</v>
      </c>
      <c r="M2003" s="46">
        <f>$J$2003-EFEITO!$K$2003*EFEITO!$Y$2003</f>
        <v>0</v>
      </c>
      <c r="N2003" s="46">
        <f ca="1">$K$2003-EFEITO!$M$2003*EFEITO!$Z$2003</f>
        <v>0</v>
      </c>
      <c r="O2003" s="46">
        <f>$L$2003-EFEITO!$O$2003*EFEITO!$AA$2003</f>
        <v>0</v>
      </c>
      <c r="P2003" s="38"/>
      <c r="Q2003" s="38"/>
      <c r="R2003" s="38"/>
      <c r="S2003" s="38"/>
      <c r="T2003" s="38"/>
      <c r="U2003" s="38"/>
      <c r="V2003" s="38"/>
      <c r="W2003" s="38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</row>
    <row r="2004" spans="1:36" ht="11.25" customHeight="1" x14ac:dyDescent="0.2">
      <c r="A2004" s="35" t="s">
        <v>28</v>
      </c>
      <c r="B2004" s="35" t="s">
        <v>39</v>
      </c>
      <c r="C2004" s="35" t="s">
        <v>23</v>
      </c>
      <c r="D2004" s="35" t="s">
        <v>48</v>
      </c>
      <c r="E2004" s="35" t="s">
        <v>25</v>
      </c>
      <c r="F2004" s="35" t="s">
        <v>25</v>
      </c>
      <c r="G2004" s="35" t="s">
        <v>25</v>
      </c>
      <c r="H2004" s="35" t="s">
        <v>25</v>
      </c>
      <c r="I2004" s="45">
        <v>44621</v>
      </c>
      <c r="J2004" s="46">
        <f>EFEITO!$J$2004*EFEITO!$Y$2004</f>
        <v>0</v>
      </c>
      <c r="K2004" s="46">
        <f ca="1">EFEITO!$L$2004*EFEITO!$Z$2004</f>
        <v>414877.7247366425</v>
      </c>
      <c r="L2004" s="46">
        <f>EFEITO!$N$2004*EFEITO!$AA$2004</f>
        <v>190563.61090167268</v>
      </c>
      <c r="M2004" s="46">
        <f>$J$2004-EFEITO!$K$2004*EFEITO!$Y$2004</f>
        <v>0</v>
      </c>
      <c r="N2004" s="46">
        <f ca="1">$K$2004-EFEITO!$M$2004*EFEITO!$Z$2004</f>
        <v>0</v>
      </c>
      <c r="O2004" s="46">
        <f>$L$2004-EFEITO!$O$2004*EFEITO!$AA$2004</f>
        <v>0</v>
      </c>
      <c r="P2004" s="38"/>
      <c r="Q2004" s="38"/>
      <c r="R2004" s="38"/>
      <c r="S2004" s="38"/>
      <c r="T2004" s="38"/>
      <c r="U2004" s="38"/>
      <c r="V2004" s="38"/>
      <c r="W2004" s="38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</row>
    <row r="2005" spans="1:36" ht="11.25" customHeight="1" x14ac:dyDescent="0.2">
      <c r="A2005" s="35" t="s">
        <v>21</v>
      </c>
      <c r="B2005" s="35" t="s">
        <v>39</v>
      </c>
      <c r="C2005" s="35" t="s">
        <v>23</v>
      </c>
      <c r="D2005" s="35" t="s">
        <v>48</v>
      </c>
      <c r="E2005" s="35" t="s">
        <v>25</v>
      </c>
      <c r="F2005" s="35" t="s">
        <v>25</v>
      </c>
      <c r="G2005" s="35" t="s">
        <v>25</v>
      </c>
      <c r="H2005" s="35" t="s">
        <v>25</v>
      </c>
      <c r="I2005" s="45">
        <v>44652</v>
      </c>
      <c r="J2005" s="46">
        <f>EFEITO!$J$2005*EFEITO!$Y$2005</f>
        <v>0</v>
      </c>
      <c r="K2005" s="46">
        <f ca="1">EFEITO!$L$2005*EFEITO!$Z$2005</f>
        <v>1119132.9738533502</v>
      </c>
      <c r="L2005" s="46">
        <f>EFEITO!$N$2005*EFEITO!$AA$2005</f>
        <v>514045.48343008629</v>
      </c>
      <c r="M2005" s="46">
        <f>$J$2005-EFEITO!$K$2005*EFEITO!$Y$2005</f>
        <v>0</v>
      </c>
      <c r="N2005" s="46">
        <f ca="1">$K$2005-EFEITO!$M$2005*EFEITO!$Z$2005</f>
        <v>0</v>
      </c>
      <c r="O2005" s="46">
        <f>$L$2005-EFEITO!$O$2005*EFEITO!$AA$2005</f>
        <v>0</v>
      </c>
      <c r="P2005" s="38"/>
      <c r="Q2005" s="38"/>
      <c r="R2005" s="38"/>
      <c r="S2005" s="38"/>
      <c r="T2005" s="38"/>
      <c r="U2005" s="38"/>
      <c r="V2005" s="38"/>
      <c r="W2005" s="38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</row>
    <row r="2006" spans="1:36" ht="11.25" customHeight="1" x14ac:dyDescent="0.2">
      <c r="A2006" s="35" t="s">
        <v>28</v>
      </c>
      <c r="B2006" s="35" t="s">
        <v>39</v>
      </c>
      <c r="C2006" s="35" t="s">
        <v>23</v>
      </c>
      <c r="D2006" s="35" t="s">
        <v>48</v>
      </c>
      <c r="E2006" s="35" t="s">
        <v>25</v>
      </c>
      <c r="F2006" s="35" t="s">
        <v>25</v>
      </c>
      <c r="G2006" s="35" t="s">
        <v>25</v>
      </c>
      <c r="H2006" s="35" t="s">
        <v>25</v>
      </c>
      <c r="I2006" s="45">
        <v>44652</v>
      </c>
      <c r="J2006" s="46">
        <f>EFEITO!$J$2006*EFEITO!$Y$2006</f>
        <v>0</v>
      </c>
      <c r="K2006" s="46">
        <f ca="1">EFEITO!$L$2006*EFEITO!$Z$2006</f>
        <v>466501.89925694658</v>
      </c>
      <c r="L2006" s="46">
        <f>EFEITO!$N$2006*EFEITO!$AA$2006</f>
        <v>214275.87241836914</v>
      </c>
      <c r="M2006" s="46">
        <f>$J$2006-EFEITO!$K$2006*EFEITO!$Y$2006</f>
        <v>0</v>
      </c>
      <c r="N2006" s="46">
        <f ca="1">$K$2006-EFEITO!$M$2006*EFEITO!$Z$2006</f>
        <v>0</v>
      </c>
      <c r="O2006" s="46">
        <f>$L$2006-EFEITO!$O$2006*EFEITO!$AA$2006</f>
        <v>0</v>
      </c>
      <c r="P2006" s="38"/>
      <c r="Q2006" s="38"/>
      <c r="R2006" s="38"/>
      <c r="S2006" s="38"/>
      <c r="T2006" s="38"/>
      <c r="U2006" s="38"/>
      <c r="V2006" s="38"/>
      <c r="W2006" s="38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</row>
    <row r="2007" spans="1:36" ht="11.25" customHeight="1" x14ac:dyDescent="0.2">
      <c r="A2007" s="35" t="s">
        <v>30</v>
      </c>
      <c r="B2007" s="35" t="s">
        <v>39</v>
      </c>
      <c r="C2007" s="35" t="s">
        <v>23</v>
      </c>
      <c r="D2007" s="35" t="s">
        <v>48</v>
      </c>
      <c r="E2007" s="35" t="s">
        <v>25</v>
      </c>
      <c r="F2007" s="35" t="s">
        <v>25</v>
      </c>
      <c r="G2007" s="35" t="s">
        <v>25</v>
      </c>
      <c r="H2007" s="35" t="s">
        <v>25</v>
      </c>
      <c r="I2007" s="45">
        <v>44652</v>
      </c>
      <c r="J2007" s="46">
        <f>EFEITO!$J$2007*EFEITO!$Y$2007</f>
        <v>0</v>
      </c>
      <c r="K2007" s="46">
        <f ca="1">EFEITO!$L$2007*EFEITO!$Z$2007</f>
        <v>50.221976924570086</v>
      </c>
      <c r="L2007" s="46">
        <f>EFEITO!$N$2007*EFEITO!$AA$2007</f>
        <v>23.068197444058345</v>
      </c>
      <c r="M2007" s="46">
        <f>$J$2007-EFEITO!$K$2007*EFEITO!$Y$2007</f>
        <v>0</v>
      </c>
      <c r="N2007" s="46">
        <f ca="1">$K$2007-EFEITO!$M$2007*EFEITO!$Z$2007</f>
        <v>0</v>
      </c>
      <c r="O2007" s="46">
        <f>$L$2007-EFEITO!$O$2007*EFEITO!$AA$2007</f>
        <v>0</v>
      </c>
      <c r="P2007" s="38"/>
      <c r="Q2007" s="38"/>
      <c r="R2007" s="38"/>
      <c r="S2007" s="38"/>
      <c r="T2007" s="38"/>
      <c r="U2007" s="38"/>
      <c r="V2007" s="38"/>
      <c r="W2007" s="38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</row>
    <row r="2008" spans="1:36" ht="11.25" customHeight="1" x14ac:dyDescent="0.2">
      <c r="A2008" s="35" t="s">
        <v>21</v>
      </c>
      <c r="B2008" s="35" t="s">
        <v>39</v>
      </c>
      <c r="C2008" s="35" t="s">
        <v>23</v>
      </c>
      <c r="D2008" s="35" t="s">
        <v>48</v>
      </c>
      <c r="E2008" s="35" t="s">
        <v>25</v>
      </c>
      <c r="F2008" s="35" t="s">
        <v>25</v>
      </c>
      <c r="G2008" s="35" t="s">
        <v>25</v>
      </c>
      <c r="H2008" s="35" t="s">
        <v>25</v>
      </c>
      <c r="I2008" s="45">
        <v>44682</v>
      </c>
      <c r="J2008" s="46">
        <f>EFEITO!$J$2008*EFEITO!$Y$2008</f>
        <v>0</v>
      </c>
      <c r="K2008" s="46">
        <f ca="1">EFEITO!$L$2008*EFEITO!$Z$2008</f>
        <v>1251713.4685167535</v>
      </c>
      <c r="L2008" s="46">
        <f>EFEITO!$N$2008*EFEITO!$AA$2008</f>
        <v>574942.98718068143</v>
      </c>
      <c r="M2008" s="46">
        <f>$J$2008-EFEITO!$K$2008*EFEITO!$Y$2008</f>
        <v>0</v>
      </c>
      <c r="N2008" s="46">
        <f ca="1">$K$2008-EFEITO!$M$2008*EFEITO!$Z$2008</f>
        <v>0</v>
      </c>
      <c r="O2008" s="46">
        <f>$L$2008-EFEITO!$O$2008*EFEITO!$AA$2008</f>
        <v>0</v>
      </c>
      <c r="P2008" s="38"/>
      <c r="Q2008" s="38"/>
      <c r="R2008" s="38"/>
      <c r="S2008" s="38"/>
      <c r="T2008" s="38"/>
      <c r="U2008" s="38"/>
      <c r="V2008" s="38"/>
      <c r="W2008" s="38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</row>
    <row r="2009" spans="1:36" ht="11.25" customHeight="1" x14ac:dyDescent="0.2">
      <c r="A2009" s="35" t="s">
        <v>27</v>
      </c>
      <c r="B2009" s="35" t="s">
        <v>39</v>
      </c>
      <c r="C2009" s="35" t="s">
        <v>23</v>
      </c>
      <c r="D2009" s="35" t="s">
        <v>48</v>
      </c>
      <c r="E2009" s="35" t="s">
        <v>25</v>
      </c>
      <c r="F2009" s="35" t="s">
        <v>25</v>
      </c>
      <c r="G2009" s="35" t="s">
        <v>25</v>
      </c>
      <c r="H2009" s="35" t="s">
        <v>25</v>
      </c>
      <c r="I2009" s="45">
        <v>44682</v>
      </c>
      <c r="J2009" s="46">
        <f>EFEITO!$J$2009*EFEITO!$Y$2009</f>
        <v>0</v>
      </c>
      <c r="K2009" s="46">
        <f ca="1">EFEITO!$L$2009*EFEITO!$Z$2009</f>
        <v>-80.355163079312135</v>
      </c>
      <c r="L2009" s="46">
        <f>EFEITO!$N$2009*EFEITO!$AA$2009</f>
        <v>-36.909115910493355</v>
      </c>
      <c r="M2009" s="46">
        <f>$J$2009-EFEITO!$K$2009*EFEITO!$Y$2009</f>
        <v>0</v>
      </c>
      <c r="N2009" s="46">
        <f ca="1">$K$2009-EFEITO!$M$2009*EFEITO!$Z$2009</f>
        <v>0</v>
      </c>
      <c r="O2009" s="46">
        <f>$L$2009-EFEITO!$O$2009*EFEITO!$AA$2009</f>
        <v>0</v>
      </c>
      <c r="P2009" s="38"/>
      <c r="Q2009" s="38"/>
      <c r="R2009" s="38"/>
      <c r="S2009" s="38"/>
      <c r="T2009" s="38"/>
      <c r="U2009" s="38"/>
      <c r="V2009" s="38"/>
      <c r="W2009" s="38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</row>
    <row r="2010" spans="1:36" ht="11.25" customHeight="1" x14ac:dyDescent="0.2">
      <c r="A2010" s="35" t="s">
        <v>28</v>
      </c>
      <c r="B2010" s="35" t="s">
        <v>39</v>
      </c>
      <c r="C2010" s="35" t="s">
        <v>23</v>
      </c>
      <c r="D2010" s="35" t="s">
        <v>48</v>
      </c>
      <c r="E2010" s="35" t="s">
        <v>25</v>
      </c>
      <c r="F2010" s="35" t="s">
        <v>25</v>
      </c>
      <c r="G2010" s="35" t="s">
        <v>25</v>
      </c>
      <c r="H2010" s="35" t="s">
        <v>25</v>
      </c>
      <c r="I2010" s="45">
        <v>44682</v>
      </c>
      <c r="J2010" s="46">
        <f>EFEITO!$J$2010*EFEITO!$Y$2010</f>
        <v>0</v>
      </c>
      <c r="K2010" s="46">
        <f ca="1">EFEITO!$L$2010*EFEITO!$Z$2010</f>
        <v>525553.9041643946</v>
      </c>
      <c r="L2010" s="46">
        <f>EFEITO!$N$2010*EFEITO!$AA$2010</f>
        <v>241399.92033704184</v>
      </c>
      <c r="M2010" s="46">
        <f>$J$2010-EFEITO!$K$2010*EFEITO!$Y$2010</f>
        <v>0</v>
      </c>
      <c r="N2010" s="46">
        <f ca="1">$K$2010-EFEITO!$M$2010*EFEITO!$Z$2010</f>
        <v>0</v>
      </c>
      <c r="O2010" s="46">
        <f>$L$2010-EFEITO!$O$2010*EFEITO!$AA$2010</f>
        <v>0</v>
      </c>
      <c r="P2010" s="38"/>
      <c r="Q2010" s="38"/>
      <c r="R2010" s="38"/>
      <c r="S2010" s="38"/>
      <c r="T2010" s="38"/>
      <c r="U2010" s="38"/>
      <c r="V2010" s="38"/>
      <c r="W2010" s="38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</row>
    <row r="2011" spans="1:36" ht="11.25" customHeight="1" x14ac:dyDescent="0.2">
      <c r="A2011" s="35" t="s">
        <v>30</v>
      </c>
      <c r="B2011" s="35" t="s">
        <v>39</v>
      </c>
      <c r="C2011" s="35" t="s">
        <v>23</v>
      </c>
      <c r="D2011" s="35" t="s">
        <v>48</v>
      </c>
      <c r="E2011" s="35" t="s">
        <v>25</v>
      </c>
      <c r="F2011" s="35" t="s">
        <v>25</v>
      </c>
      <c r="G2011" s="35" t="s">
        <v>25</v>
      </c>
      <c r="H2011" s="35" t="s">
        <v>25</v>
      </c>
      <c r="I2011" s="45">
        <v>44682</v>
      </c>
      <c r="J2011" s="46">
        <f>EFEITO!$J$2011*EFEITO!$Y$2011</f>
        <v>0</v>
      </c>
      <c r="K2011" s="46">
        <f ca="1">EFEITO!$L$2011*EFEITO!$Z$2011</f>
        <v>50.221976924570086</v>
      </c>
      <c r="L2011" s="46">
        <f>EFEITO!$N$2011*EFEITO!$AA$2011</f>
        <v>23.068197444058345</v>
      </c>
      <c r="M2011" s="46">
        <f>$J$2011-EFEITO!$K$2011*EFEITO!$Y$2011</f>
        <v>0</v>
      </c>
      <c r="N2011" s="46">
        <f ca="1">$K$2011-EFEITO!$M$2011*EFEITO!$Z$2011</f>
        <v>0</v>
      </c>
      <c r="O2011" s="46">
        <f>$L$2011-EFEITO!$O$2011*EFEITO!$AA$2011</f>
        <v>0</v>
      </c>
      <c r="P2011" s="38"/>
      <c r="Q2011" s="38"/>
      <c r="R2011" s="38"/>
      <c r="S2011" s="38"/>
      <c r="T2011" s="38"/>
      <c r="U2011" s="38"/>
      <c r="V2011" s="38"/>
      <c r="W2011" s="38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</row>
    <row r="2012" spans="1:36" ht="11.25" customHeight="1" x14ac:dyDescent="0.2">
      <c r="A2012" s="35" t="s">
        <v>21</v>
      </c>
      <c r="B2012" s="35" t="s">
        <v>39</v>
      </c>
      <c r="C2012" s="35" t="s">
        <v>23</v>
      </c>
      <c r="D2012" s="35" t="s">
        <v>48</v>
      </c>
      <c r="E2012" s="35" t="s">
        <v>25</v>
      </c>
      <c r="F2012" s="35" t="s">
        <v>25</v>
      </c>
      <c r="G2012" s="35" t="s">
        <v>25</v>
      </c>
      <c r="H2012" s="35" t="s">
        <v>25</v>
      </c>
      <c r="I2012" s="45">
        <v>44713</v>
      </c>
      <c r="J2012" s="46">
        <f>EFEITO!$J$2012*EFEITO!$Y$2012</f>
        <v>0</v>
      </c>
      <c r="K2012" s="46">
        <f ca="1">EFEITO!$L$2012*EFEITO!$Z$2012</f>
        <v>1182467.4067331562</v>
      </c>
      <c r="L2012" s="46">
        <f>EFEITO!$N$2012*EFEITO!$AA$2012</f>
        <v>543136.55654481379</v>
      </c>
      <c r="M2012" s="46">
        <f>$J$2012-EFEITO!$K$2012*EFEITO!$Y$2012</f>
        <v>0</v>
      </c>
      <c r="N2012" s="46">
        <f ca="1">$K$2012-EFEITO!$M$2012*EFEITO!$Z$2012</f>
        <v>0</v>
      </c>
      <c r="O2012" s="46">
        <f>$L$2012-EFEITO!$O$2012*EFEITO!$AA$2012</f>
        <v>0</v>
      </c>
      <c r="P2012" s="38"/>
      <c r="Q2012" s="38"/>
      <c r="R2012" s="38"/>
      <c r="S2012" s="38"/>
      <c r="T2012" s="38"/>
      <c r="U2012" s="38"/>
      <c r="V2012" s="38"/>
      <c r="W2012" s="38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</row>
    <row r="2013" spans="1:36" ht="11.25" customHeight="1" x14ac:dyDescent="0.2">
      <c r="A2013" s="35" t="s">
        <v>27</v>
      </c>
      <c r="B2013" s="35" t="s">
        <v>39</v>
      </c>
      <c r="C2013" s="35" t="s">
        <v>23</v>
      </c>
      <c r="D2013" s="35" t="s">
        <v>48</v>
      </c>
      <c r="E2013" s="35" t="s">
        <v>25</v>
      </c>
      <c r="F2013" s="35" t="s">
        <v>25</v>
      </c>
      <c r="G2013" s="35" t="s">
        <v>25</v>
      </c>
      <c r="H2013" s="35" t="s">
        <v>25</v>
      </c>
      <c r="I2013" s="45">
        <v>44713</v>
      </c>
      <c r="J2013" s="46">
        <f>EFEITO!$J$2013*EFEITO!$Y$2013</f>
        <v>0</v>
      </c>
      <c r="K2013" s="46">
        <f ca="1">EFEITO!$L$2013*EFEITO!$Z$2013</f>
        <v>2402.1171563021871</v>
      </c>
      <c r="L2013" s="46">
        <f>EFEITO!$N$2013*EFEITO!$AA$2013</f>
        <v>1103.3518837493107</v>
      </c>
      <c r="M2013" s="46">
        <f>$J$2013-EFEITO!$K$2013*EFEITO!$Y$2013</f>
        <v>0</v>
      </c>
      <c r="N2013" s="46">
        <f ca="1">$K$2013-EFEITO!$M$2013*EFEITO!$Z$2013</f>
        <v>0</v>
      </c>
      <c r="O2013" s="46">
        <f>$L$2013-EFEITO!$O$2013*EFEITO!$AA$2013</f>
        <v>0</v>
      </c>
      <c r="P2013" s="38"/>
      <c r="Q2013" s="38"/>
      <c r="R2013" s="38"/>
      <c r="S2013" s="38"/>
      <c r="T2013" s="38"/>
      <c r="U2013" s="38"/>
      <c r="V2013" s="38"/>
      <c r="W2013" s="38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</row>
    <row r="2014" spans="1:36" ht="11.25" customHeight="1" x14ac:dyDescent="0.2">
      <c r="A2014" s="35" t="s">
        <v>28</v>
      </c>
      <c r="B2014" s="35" t="s">
        <v>39</v>
      </c>
      <c r="C2014" s="35" t="s">
        <v>23</v>
      </c>
      <c r="D2014" s="35" t="s">
        <v>48</v>
      </c>
      <c r="E2014" s="35" t="s">
        <v>25</v>
      </c>
      <c r="F2014" s="35" t="s">
        <v>25</v>
      </c>
      <c r="G2014" s="35" t="s">
        <v>25</v>
      </c>
      <c r="H2014" s="35" t="s">
        <v>25</v>
      </c>
      <c r="I2014" s="45">
        <v>44713</v>
      </c>
      <c r="J2014" s="46">
        <f>EFEITO!$J$2014*EFEITO!$Y$2014</f>
        <v>0</v>
      </c>
      <c r="K2014" s="46">
        <f ca="1">EFEITO!$L$2014*EFEITO!$Z$2014</f>
        <v>496623.53435699595</v>
      </c>
      <c r="L2014" s="46">
        <f>EFEITO!$N$2014*EFEITO!$AA$2014</f>
        <v>228111.48519939202</v>
      </c>
      <c r="M2014" s="46">
        <f>$J$2014-EFEITO!$K$2014*EFEITO!$Y$2014</f>
        <v>0</v>
      </c>
      <c r="N2014" s="46">
        <f ca="1">$K$2014-EFEITO!$M$2014*EFEITO!$Z$2014</f>
        <v>0</v>
      </c>
      <c r="O2014" s="46">
        <f>$L$2014-EFEITO!$O$2014*EFEITO!$AA$2014</f>
        <v>0</v>
      </c>
      <c r="P2014" s="38"/>
      <c r="Q2014" s="38"/>
      <c r="R2014" s="38"/>
      <c r="S2014" s="38"/>
      <c r="T2014" s="38"/>
      <c r="U2014" s="38"/>
      <c r="V2014" s="38"/>
      <c r="W2014" s="38"/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</row>
    <row r="2015" spans="1:36" ht="11.25" customHeight="1" x14ac:dyDescent="0.2">
      <c r="A2015" s="35" t="s">
        <v>30</v>
      </c>
      <c r="B2015" s="35" t="s">
        <v>39</v>
      </c>
      <c r="C2015" s="35" t="s">
        <v>23</v>
      </c>
      <c r="D2015" s="35" t="s">
        <v>48</v>
      </c>
      <c r="E2015" s="35" t="s">
        <v>25</v>
      </c>
      <c r="F2015" s="35" t="s">
        <v>25</v>
      </c>
      <c r="G2015" s="35" t="s">
        <v>25</v>
      </c>
      <c r="H2015" s="35" t="s">
        <v>25</v>
      </c>
      <c r="I2015" s="45">
        <v>44713</v>
      </c>
      <c r="J2015" s="46">
        <f>EFEITO!$J$2015*EFEITO!$Y$2015</f>
        <v>0</v>
      </c>
      <c r="K2015" s="46">
        <f ca="1">EFEITO!$L$2015*EFEITO!$Z$2015</f>
        <v>1540.3080322765645</v>
      </c>
      <c r="L2015" s="46">
        <f>EFEITO!$N$2015*EFEITO!$AA$2015</f>
        <v>707.50161560926949</v>
      </c>
      <c r="M2015" s="46">
        <f>$J$2015-EFEITO!$K$2015*EFEITO!$Y$2015</f>
        <v>0</v>
      </c>
      <c r="N2015" s="46">
        <f ca="1">$K$2015-EFEITO!$M$2015*EFEITO!$Z$2015</f>
        <v>0</v>
      </c>
      <c r="O2015" s="46">
        <f>$L$2015-EFEITO!$O$2015*EFEITO!$AA$2015</f>
        <v>0</v>
      </c>
      <c r="P2015" s="38"/>
      <c r="Q2015" s="38"/>
      <c r="R2015" s="38"/>
      <c r="S2015" s="38"/>
      <c r="T2015" s="38"/>
      <c r="U2015" s="38"/>
      <c r="V2015" s="38"/>
      <c r="W2015" s="38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</row>
    <row r="2016" spans="1:36" ht="11.25" customHeight="1" x14ac:dyDescent="0.2">
      <c r="A2016" s="35" t="s">
        <v>30</v>
      </c>
      <c r="B2016" s="35" t="s">
        <v>39</v>
      </c>
      <c r="C2016" s="35" t="s">
        <v>23</v>
      </c>
      <c r="D2016" s="35" t="s">
        <v>48</v>
      </c>
      <c r="E2016" s="35" t="s">
        <v>25</v>
      </c>
      <c r="F2016" s="35" t="s">
        <v>25</v>
      </c>
      <c r="G2016" s="35" t="s">
        <v>25</v>
      </c>
      <c r="H2016" s="35" t="s">
        <v>25</v>
      </c>
      <c r="I2016" s="45">
        <v>44713</v>
      </c>
      <c r="J2016" s="46">
        <f>EFEITO!$J$2016*EFEITO!$Y$2016</f>
        <v>0</v>
      </c>
      <c r="K2016" s="46">
        <f ca="1">EFEITO!$L$2016*EFEITO!$Z$2016</f>
        <v>532.85517516968855</v>
      </c>
      <c r="L2016" s="46">
        <f>EFEITO!$N$2016*EFEITO!$AA$2016</f>
        <v>244.75357488145903</v>
      </c>
      <c r="M2016" s="46">
        <f>$J$2016-EFEITO!$K$2016*EFEITO!$Y$2016</f>
        <v>0</v>
      </c>
      <c r="N2016" s="46">
        <f ca="1">$K$2016-EFEITO!$M$2016*EFEITO!$Z$2016</f>
        <v>0</v>
      </c>
      <c r="O2016" s="46">
        <f>$L$2016-EFEITO!$O$2016*EFEITO!$AA$2016</f>
        <v>0</v>
      </c>
      <c r="P2016" s="38"/>
      <c r="Q2016" s="38"/>
      <c r="R2016" s="38"/>
      <c r="S2016" s="38"/>
      <c r="T2016" s="38"/>
      <c r="U2016" s="38"/>
      <c r="V2016" s="38"/>
      <c r="W2016" s="38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</row>
    <row r="2017" spans="1:36" ht="11.25" customHeight="1" x14ac:dyDescent="0.2">
      <c r="A2017" s="35" t="s">
        <v>21</v>
      </c>
      <c r="B2017" s="35" t="s">
        <v>39</v>
      </c>
      <c r="C2017" s="35" t="s">
        <v>23</v>
      </c>
      <c r="D2017" s="35" t="s">
        <v>48</v>
      </c>
      <c r="E2017" s="35" t="s">
        <v>25</v>
      </c>
      <c r="F2017" s="35" t="s">
        <v>25</v>
      </c>
      <c r="G2017" s="35" t="s">
        <v>25</v>
      </c>
      <c r="H2017" s="35" t="s">
        <v>25</v>
      </c>
      <c r="I2017" s="45">
        <v>44743</v>
      </c>
      <c r="J2017" s="46">
        <f>EFEITO!$J$2017*EFEITO!$Y$2017</f>
        <v>0</v>
      </c>
      <c r="K2017" s="46">
        <f ca="1">EFEITO!$L$2017*EFEITO!$Z$2017</f>
        <v>1333433.6649288754</v>
      </c>
      <c r="L2017" s="46">
        <f>EFEITO!$N$2017*EFEITO!$AA$2017</f>
        <v>612479.09669770428</v>
      </c>
      <c r="M2017" s="46">
        <f>$J$2017-EFEITO!$K$2017*EFEITO!$Y$2017</f>
        <v>0</v>
      </c>
      <c r="N2017" s="46">
        <f ca="1">$K$2017-EFEITO!$M$2017*EFEITO!$Z$2017</f>
        <v>0</v>
      </c>
      <c r="O2017" s="46">
        <f>$L$2017-EFEITO!$O$2017*EFEITO!$AA$2017</f>
        <v>0</v>
      </c>
      <c r="P2017" s="38"/>
      <c r="Q2017" s="38"/>
      <c r="R2017" s="38"/>
      <c r="S2017" s="38"/>
      <c r="T2017" s="38"/>
      <c r="U2017" s="38"/>
      <c r="V2017" s="38"/>
      <c r="W2017" s="38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</row>
    <row r="2018" spans="1:36" ht="11.25" customHeight="1" x14ac:dyDescent="0.2">
      <c r="A2018" s="35" t="s">
        <v>27</v>
      </c>
      <c r="B2018" s="35" t="s">
        <v>39</v>
      </c>
      <c r="C2018" s="35" t="s">
        <v>23</v>
      </c>
      <c r="D2018" s="35" t="s">
        <v>48</v>
      </c>
      <c r="E2018" s="35" t="s">
        <v>25</v>
      </c>
      <c r="F2018" s="35" t="s">
        <v>25</v>
      </c>
      <c r="G2018" s="35" t="s">
        <v>25</v>
      </c>
      <c r="H2018" s="35" t="s">
        <v>25</v>
      </c>
      <c r="I2018" s="45">
        <v>44743</v>
      </c>
      <c r="J2018" s="46">
        <f>EFEITO!$J$2018*EFEITO!$Y$2018</f>
        <v>0</v>
      </c>
      <c r="K2018" s="46">
        <f ca="1">EFEITO!$L$2018*EFEITO!$Z$2018</f>
        <v>1238.4739509598983</v>
      </c>
      <c r="L2018" s="46">
        <f>EFEITO!$N$2018*EFEITO!$AA$2018</f>
        <v>568.86174897047886</v>
      </c>
      <c r="M2018" s="46">
        <f>$J$2018-EFEITO!$K$2018*EFEITO!$Y$2018</f>
        <v>0</v>
      </c>
      <c r="N2018" s="46">
        <f ca="1">$K$2018-EFEITO!$M$2018*EFEITO!$Z$2018</f>
        <v>0</v>
      </c>
      <c r="O2018" s="46">
        <f>$L$2018-EFEITO!$O$2018*EFEITO!$AA$2018</f>
        <v>0</v>
      </c>
      <c r="P2018" s="38"/>
      <c r="Q2018" s="38"/>
      <c r="R2018" s="38"/>
      <c r="S2018" s="38"/>
      <c r="T2018" s="38"/>
      <c r="U2018" s="38"/>
      <c r="V2018" s="38"/>
      <c r="W2018" s="38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</row>
    <row r="2019" spans="1:36" ht="11.25" customHeight="1" x14ac:dyDescent="0.2">
      <c r="A2019" s="35" t="s">
        <v>28</v>
      </c>
      <c r="B2019" s="35" t="s">
        <v>39</v>
      </c>
      <c r="C2019" s="35" t="s">
        <v>23</v>
      </c>
      <c r="D2019" s="35" t="s">
        <v>48</v>
      </c>
      <c r="E2019" s="35" t="s">
        <v>25</v>
      </c>
      <c r="F2019" s="35" t="s">
        <v>25</v>
      </c>
      <c r="G2019" s="35" t="s">
        <v>25</v>
      </c>
      <c r="H2019" s="35" t="s">
        <v>25</v>
      </c>
      <c r="I2019" s="45">
        <v>44743</v>
      </c>
      <c r="J2019" s="46">
        <f>EFEITO!$J$2019*EFEITO!$Y$2019</f>
        <v>0</v>
      </c>
      <c r="K2019" s="46">
        <f ca="1">EFEITO!$L$2019*EFEITO!$Z$2019</f>
        <v>581077.81519289152</v>
      </c>
      <c r="L2019" s="46">
        <f>EFEITO!$N$2019*EFEITO!$AA$2019</f>
        <v>266903.42738526943</v>
      </c>
      <c r="M2019" s="46">
        <f>$J$2019-EFEITO!$K$2019*EFEITO!$Y$2019</f>
        <v>0</v>
      </c>
      <c r="N2019" s="46">
        <f ca="1">$K$2019-EFEITO!$M$2019*EFEITO!$Z$2019</f>
        <v>0</v>
      </c>
      <c r="O2019" s="46">
        <f>$L$2019-EFEITO!$O$2019*EFEITO!$AA$2019</f>
        <v>0</v>
      </c>
      <c r="P2019" s="38"/>
      <c r="Q2019" s="38"/>
      <c r="R2019" s="38"/>
      <c r="S2019" s="38"/>
      <c r="T2019" s="38"/>
      <c r="U2019" s="38"/>
      <c r="V2019" s="38"/>
      <c r="W2019" s="38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</row>
    <row r="2020" spans="1:36" ht="11.25" customHeight="1" x14ac:dyDescent="0.2">
      <c r="A2020" s="35" t="s">
        <v>30</v>
      </c>
      <c r="B2020" s="35" t="s">
        <v>39</v>
      </c>
      <c r="C2020" s="35" t="s">
        <v>23</v>
      </c>
      <c r="D2020" s="35" t="s">
        <v>48</v>
      </c>
      <c r="E2020" s="35" t="s">
        <v>25</v>
      </c>
      <c r="F2020" s="35" t="s">
        <v>25</v>
      </c>
      <c r="G2020" s="35" t="s">
        <v>25</v>
      </c>
      <c r="H2020" s="35" t="s">
        <v>25</v>
      </c>
      <c r="I2020" s="45">
        <v>44743</v>
      </c>
      <c r="J2020" s="46">
        <f>EFEITO!$J$2020*EFEITO!$Y$2020</f>
        <v>0</v>
      </c>
      <c r="K2020" s="46">
        <f ca="1">EFEITO!$L$2020*EFEITO!$Z$2020</f>
        <v>958.73753949004288</v>
      </c>
      <c r="L2020" s="46">
        <f>EFEITO!$N$2020*EFEITO!$AA$2020</f>
        <v>440.37188920707382</v>
      </c>
      <c r="M2020" s="46">
        <f>$J$2020-EFEITO!$K$2020*EFEITO!$Y$2020</f>
        <v>0</v>
      </c>
      <c r="N2020" s="46">
        <f ca="1">$K$2020-EFEITO!$M$2020*EFEITO!$Z$2020</f>
        <v>0</v>
      </c>
      <c r="O2020" s="46">
        <f>$L$2020-EFEITO!$O$2020*EFEITO!$AA$2020</f>
        <v>0</v>
      </c>
      <c r="P2020" s="38"/>
      <c r="Q2020" s="38"/>
      <c r="R2020" s="38"/>
      <c r="S2020" s="38"/>
      <c r="T2020" s="38"/>
      <c r="U2020" s="38"/>
      <c r="V2020" s="38"/>
      <c r="W2020" s="38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</row>
    <row r="2021" spans="1:36" ht="11.25" customHeight="1" x14ac:dyDescent="0.2">
      <c r="A2021" s="35" t="s">
        <v>30</v>
      </c>
      <c r="B2021" s="35" t="s">
        <v>39</v>
      </c>
      <c r="C2021" s="35" t="s">
        <v>23</v>
      </c>
      <c r="D2021" s="35" t="s">
        <v>48</v>
      </c>
      <c r="E2021" s="35" t="s">
        <v>25</v>
      </c>
      <c r="F2021" s="35" t="s">
        <v>25</v>
      </c>
      <c r="G2021" s="35" t="s">
        <v>25</v>
      </c>
      <c r="H2021" s="35" t="s">
        <v>25</v>
      </c>
      <c r="I2021" s="45">
        <v>44743</v>
      </c>
      <c r="J2021" s="46">
        <f>EFEITO!$J$2021*EFEITO!$Y$2021</f>
        <v>0</v>
      </c>
      <c r="K2021" s="46">
        <f ca="1">EFEITO!$L$2021*EFEITO!$Z$2021</f>
        <v>262.15871954625584</v>
      </c>
      <c r="L2021" s="46">
        <f>EFEITO!$N$2021*EFEITO!$AA$2021</f>
        <v>120.41599065798457</v>
      </c>
      <c r="M2021" s="46">
        <f>$J$2021-EFEITO!$K$2021*EFEITO!$Y$2021</f>
        <v>0</v>
      </c>
      <c r="N2021" s="46">
        <f ca="1">$K$2021-EFEITO!$M$2021*EFEITO!$Z$2021</f>
        <v>0</v>
      </c>
      <c r="O2021" s="46">
        <f>$L$2021-EFEITO!$O$2021*EFEITO!$AA$2021</f>
        <v>0</v>
      </c>
      <c r="P2021" s="38"/>
      <c r="Q2021" s="38"/>
      <c r="R2021" s="38"/>
      <c r="S2021" s="38"/>
      <c r="T2021" s="38"/>
      <c r="U2021" s="38"/>
      <c r="V2021" s="38"/>
      <c r="W2021" s="38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</row>
    <row r="2022" spans="1:36" ht="11.25" customHeight="1" x14ac:dyDescent="0.2">
      <c r="A2022" s="35" t="s">
        <v>21</v>
      </c>
      <c r="B2022" s="35" t="s">
        <v>39</v>
      </c>
      <c r="C2022" s="35" t="s">
        <v>23</v>
      </c>
      <c r="D2022" s="35" t="s">
        <v>48</v>
      </c>
      <c r="E2022" s="35" t="s">
        <v>25</v>
      </c>
      <c r="F2022" s="35" t="s">
        <v>25</v>
      </c>
      <c r="G2022" s="35" t="s">
        <v>25</v>
      </c>
      <c r="H2022" s="35" t="s">
        <v>25</v>
      </c>
      <c r="I2022" s="45">
        <v>44774</v>
      </c>
      <c r="J2022" s="46">
        <f>EFEITO!$J$2022*EFEITO!$Y$2022</f>
        <v>0</v>
      </c>
      <c r="K2022" s="46">
        <f ca="1">EFEITO!$L$2022*EFEITO!$Z$2022</f>
        <v>1440617.4080812929</v>
      </c>
      <c r="L2022" s="46">
        <f>EFEITO!$N$2022*EFEITO!$AA$2022</f>
        <v>661711.2436828136</v>
      </c>
      <c r="M2022" s="46">
        <f>$J$2022-EFEITO!$K$2022*EFEITO!$Y$2022</f>
        <v>0</v>
      </c>
      <c r="N2022" s="46">
        <f ca="1">$K$2022-EFEITO!$M$2022*EFEITO!$Z$2022</f>
        <v>0</v>
      </c>
      <c r="O2022" s="46">
        <f>$L$2022-EFEITO!$O$2022*EFEITO!$AA$2022</f>
        <v>0</v>
      </c>
      <c r="P2022" s="38"/>
      <c r="Q2022" s="38"/>
      <c r="R2022" s="38"/>
      <c r="S2022" s="38"/>
      <c r="T2022" s="38"/>
      <c r="U2022" s="38"/>
      <c r="V2022" s="38"/>
      <c r="W2022" s="38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</row>
    <row r="2023" spans="1:36" ht="11.25" customHeight="1" x14ac:dyDescent="0.2">
      <c r="A2023" s="35" t="s">
        <v>27</v>
      </c>
      <c r="B2023" s="35" t="s">
        <v>39</v>
      </c>
      <c r="C2023" s="35" t="s">
        <v>23</v>
      </c>
      <c r="D2023" s="35" t="s">
        <v>48</v>
      </c>
      <c r="E2023" s="35" t="s">
        <v>25</v>
      </c>
      <c r="F2023" s="35" t="s">
        <v>25</v>
      </c>
      <c r="G2023" s="35" t="s">
        <v>25</v>
      </c>
      <c r="H2023" s="35" t="s">
        <v>25</v>
      </c>
      <c r="I2023" s="45">
        <v>44774</v>
      </c>
      <c r="J2023" s="46">
        <f>EFEITO!$J$2023*EFEITO!$Y$2023</f>
        <v>0</v>
      </c>
      <c r="K2023" s="46">
        <f ca="1">EFEITO!$L$2023*EFEITO!$Z$2023</f>
        <v>71.817427002135219</v>
      </c>
      <c r="L2023" s="46">
        <f>EFEITO!$N$2023*EFEITO!$AA$2023</f>
        <v>32.987522345003427</v>
      </c>
      <c r="M2023" s="46">
        <f>$J$2023-EFEITO!$K$2023*EFEITO!$Y$2023</f>
        <v>0</v>
      </c>
      <c r="N2023" s="46">
        <f ca="1">$K$2023-EFEITO!$M$2023*EFEITO!$Z$2023</f>
        <v>0</v>
      </c>
      <c r="O2023" s="46">
        <f>$L$2023-EFEITO!$O$2023*EFEITO!$AA$2023</f>
        <v>0</v>
      </c>
      <c r="P2023" s="38"/>
      <c r="Q2023" s="38"/>
      <c r="R2023" s="38"/>
      <c r="S2023" s="38"/>
      <c r="T2023" s="38"/>
      <c r="U2023" s="38"/>
      <c r="V2023" s="38"/>
      <c r="W2023" s="38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</row>
    <row r="2024" spans="1:36" ht="11.25" customHeight="1" x14ac:dyDescent="0.2">
      <c r="A2024" s="35" t="s">
        <v>28</v>
      </c>
      <c r="B2024" s="35" t="s">
        <v>39</v>
      </c>
      <c r="C2024" s="35" t="s">
        <v>23</v>
      </c>
      <c r="D2024" s="35" t="s">
        <v>48</v>
      </c>
      <c r="E2024" s="35" t="s">
        <v>25</v>
      </c>
      <c r="F2024" s="35" t="s">
        <v>25</v>
      </c>
      <c r="G2024" s="35" t="s">
        <v>25</v>
      </c>
      <c r="H2024" s="35" t="s">
        <v>25</v>
      </c>
      <c r="I2024" s="45">
        <v>44774</v>
      </c>
      <c r="J2024" s="46">
        <f>EFEITO!$J$2024*EFEITO!$Y$2024</f>
        <v>0</v>
      </c>
      <c r="K2024" s="46">
        <f ca="1">EFEITO!$L$2024*EFEITO!$Z$2024</f>
        <v>560055.90009180503</v>
      </c>
      <c r="L2024" s="46">
        <f>EFEITO!$N$2024*EFEITO!$AA$2024</f>
        <v>257247.54129913548</v>
      </c>
      <c r="M2024" s="46">
        <f>$J$2024-EFEITO!$K$2024*EFEITO!$Y$2024</f>
        <v>0</v>
      </c>
      <c r="N2024" s="46">
        <f ca="1">$K$2024-EFEITO!$M$2024*EFEITO!$Z$2024</f>
        <v>0</v>
      </c>
      <c r="O2024" s="46">
        <f>$L$2024-EFEITO!$O$2024*EFEITO!$AA$2024</f>
        <v>0</v>
      </c>
      <c r="P2024" s="38"/>
      <c r="Q2024" s="38"/>
      <c r="R2024" s="38"/>
      <c r="S2024" s="38"/>
      <c r="T2024" s="38"/>
      <c r="U2024" s="38"/>
      <c r="V2024" s="38"/>
      <c r="W2024" s="38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</row>
    <row r="2025" spans="1:36" ht="11.25" customHeight="1" x14ac:dyDescent="0.2">
      <c r="A2025" s="35" t="s">
        <v>30</v>
      </c>
      <c r="B2025" s="35" t="s">
        <v>39</v>
      </c>
      <c r="C2025" s="35" t="s">
        <v>23</v>
      </c>
      <c r="D2025" s="35" t="s">
        <v>48</v>
      </c>
      <c r="E2025" s="35" t="s">
        <v>25</v>
      </c>
      <c r="F2025" s="35" t="s">
        <v>25</v>
      </c>
      <c r="G2025" s="35" t="s">
        <v>25</v>
      </c>
      <c r="H2025" s="35" t="s">
        <v>25</v>
      </c>
      <c r="I2025" s="45">
        <v>44774</v>
      </c>
      <c r="J2025" s="46">
        <f>EFEITO!$J$2025*EFEITO!$Y$2025</f>
        <v>0</v>
      </c>
      <c r="K2025" s="46">
        <f ca="1">EFEITO!$L$2025*EFEITO!$Z$2025</f>
        <v>527.33075770798587</v>
      </c>
      <c r="L2025" s="46">
        <f>EFEITO!$N$2025*EFEITO!$AA$2025</f>
        <v>242.21607316261262</v>
      </c>
      <c r="M2025" s="46">
        <f>$J$2025-EFEITO!$K$2025*EFEITO!$Y$2025</f>
        <v>0</v>
      </c>
      <c r="N2025" s="46">
        <f ca="1">$K$2025-EFEITO!$M$2025*EFEITO!$Z$2025</f>
        <v>0</v>
      </c>
      <c r="O2025" s="46">
        <f>$L$2025-EFEITO!$O$2025*EFEITO!$AA$2025</f>
        <v>0</v>
      </c>
      <c r="P2025" s="38"/>
      <c r="Q2025" s="38"/>
      <c r="R2025" s="38"/>
      <c r="S2025" s="38"/>
      <c r="T2025" s="38"/>
      <c r="U2025" s="38"/>
      <c r="V2025" s="38"/>
      <c r="W2025" s="38"/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</row>
    <row r="2026" spans="1:36" ht="11.25" customHeight="1" x14ac:dyDescent="0.2">
      <c r="A2026" s="35" t="s">
        <v>21</v>
      </c>
      <c r="B2026" s="35" t="s">
        <v>39</v>
      </c>
      <c r="C2026" s="35" t="s">
        <v>23</v>
      </c>
      <c r="D2026" s="35" t="s">
        <v>48</v>
      </c>
      <c r="E2026" s="35" t="s">
        <v>25</v>
      </c>
      <c r="F2026" s="35" t="s">
        <v>25</v>
      </c>
      <c r="G2026" s="35" t="s">
        <v>25</v>
      </c>
      <c r="H2026" s="35" t="s">
        <v>25</v>
      </c>
      <c r="I2026" s="45">
        <v>44805</v>
      </c>
      <c r="J2026" s="46">
        <f>EFEITO!$J$2026*EFEITO!$Y$2026</f>
        <v>0</v>
      </c>
      <c r="K2026" s="46">
        <f ca="1">EFEITO!$L$2026*EFEITO!$Z$2026</f>
        <v>1300297.2045540439</v>
      </c>
      <c r="L2026" s="46">
        <f>EFEITO!$N$2026*EFEITO!$AA$2026</f>
        <v>597258.70002411457</v>
      </c>
      <c r="M2026" s="46">
        <f>$J$2026-EFEITO!$K$2026*EFEITO!$Y$2026</f>
        <v>0</v>
      </c>
      <c r="N2026" s="46">
        <f ca="1">$K$2026-EFEITO!$M$2026*EFEITO!$Z$2026</f>
        <v>0</v>
      </c>
      <c r="O2026" s="46">
        <f>$L$2026-EFEITO!$O$2026*EFEITO!$AA$2026</f>
        <v>0</v>
      </c>
      <c r="P2026" s="38"/>
      <c r="Q2026" s="38"/>
      <c r="R2026" s="38"/>
      <c r="S2026" s="38"/>
      <c r="T2026" s="38"/>
      <c r="U2026" s="38"/>
      <c r="V2026" s="38"/>
      <c r="W2026" s="38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</row>
    <row r="2027" spans="1:36" ht="11.25" customHeight="1" x14ac:dyDescent="0.2">
      <c r="A2027" s="35" t="s">
        <v>28</v>
      </c>
      <c r="B2027" s="35" t="s">
        <v>39</v>
      </c>
      <c r="C2027" s="35" t="s">
        <v>23</v>
      </c>
      <c r="D2027" s="35" t="s">
        <v>48</v>
      </c>
      <c r="E2027" s="35" t="s">
        <v>25</v>
      </c>
      <c r="F2027" s="35" t="s">
        <v>25</v>
      </c>
      <c r="G2027" s="35" t="s">
        <v>25</v>
      </c>
      <c r="H2027" s="35" t="s">
        <v>25</v>
      </c>
      <c r="I2027" s="45">
        <v>44805</v>
      </c>
      <c r="J2027" s="46">
        <f>EFEITO!$J$2027*EFEITO!$Y$2027</f>
        <v>0</v>
      </c>
      <c r="K2027" s="46">
        <f ca="1">EFEITO!$L$2027*EFEITO!$Z$2027</f>
        <v>571675.25667307351</v>
      </c>
      <c r="L2027" s="46">
        <f>EFEITO!$N$2027*EFEITO!$AA$2027</f>
        <v>262584.59945979284</v>
      </c>
      <c r="M2027" s="46">
        <f>$J$2027-EFEITO!$K$2027*EFEITO!$Y$2027</f>
        <v>0</v>
      </c>
      <c r="N2027" s="46">
        <f ca="1">$K$2027-EFEITO!$M$2027*EFEITO!$Z$2027</f>
        <v>0</v>
      </c>
      <c r="O2027" s="46">
        <f>$L$2027-EFEITO!$O$2027*EFEITO!$AA$2027</f>
        <v>0</v>
      </c>
      <c r="P2027" s="38"/>
      <c r="Q2027" s="38"/>
      <c r="R2027" s="38"/>
      <c r="S2027" s="38"/>
      <c r="T2027" s="38"/>
      <c r="U2027" s="38"/>
      <c r="V2027" s="38"/>
      <c r="W2027" s="38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</row>
    <row r="2028" spans="1:36" ht="11.25" customHeight="1" x14ac:dyDescent="0.2">
      <c r="A2028" s="35" t="s">
        <v>29</v>
      </c>
      <c r="B2028" s="35" t="s">
        <v>39</v>
      </c>
      <c r="C2028" s="35" t="s">
        <v>23</v>
      </c>
      <c r="D2028" s="35" t="s">
        <v>48</v>
      </c>
      <c r="E2028" s="35" t="s">
        <v>25</v>
      </c>
      <c r="F2028" s="35" t="s">
        <v>25</v>
      </c>
      <c r="G2028" s="35" t="s">
        <v>25</v>
      </c>
      <c r="H2028" s="35" t="s">
        <v>25</v>
      </c>
      <c r="I2028" s="45">
        <v>44805</v>
      </c>
      <c r="J2028" s="46">
        <f>EFEITO!$J$2028*EFEITO!$Y$2028</f>
        <v>0</v>
      </c>
      <c r="K2028" s="46">
        <f ca="1">EFEITO!$L$2028*EFEITO!$Z$2028</f>
        <v>3136.3624589394017</v>
      </c>
      <c r="L2028" s="46">
        <f>EFEITO!$N$2028*EFEITO!$AA$2028</f>
        <v>1440.6089303814435</v>
      </c>
      <c r="M2028" s="46">
        <f>$J$2028-EFEITO!$K$2028*EFEITO!$Y$2028</f>
        <v>0</v>
      </c>
      <c r="N2028" s="46">
        <f ca="1">$K$2028-EFEITO!$M$2028*EFEITO!$Z$2028</f>
        <v>0</v>
      </c>
      <c r="O2028" s="46">
        <f>$L$2028-EFEITO!$O$2028*EFEITO!$AA$2028</f>
        <v>0</v>
      </c>
      <c r="P2028" s="38"/>
      <c r="Q2028" s="38"/>
      <c r="R2028" s="38"/>
      <c r="S2028" s="38"/>
      <c r="T2028" s="38"/>
      <c r="U2028" s="38"/>
      <c r="V2028" s="38"/>
      <c r="W2028" s="38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</row>
    <row r="2029" spans="1:36" ht="11.25" customHeight="1" x14ac:dyDescent="0.2">
      <c r="A2029" s="35" t="s">
        <v>30</v>
      </c>
      <c r="B2029" s="35" t="s">
        <v>39</v>
      </c>
      <c r="C2029" s="35" t="s">
        <v>23</v>
      </c>
      <c r="D2029" s="35" t="s">
        <v>48</v>
      </c>
      <c r="E2029" s="35" t="s">
        <v>25</v>
      </c>
      <c r="F2029" s="35" t="s">
        <v>25</v>
      </c>
      <c r="G2029" s="35" t="s">
        <v>25</v>
      </c>
      <c r="H2029" s="35" t="s">
        <v>25</v>
      </c>
      <c r="I2029" s="45">
        <v>44805</v>
      </c>
      <c r="J2029" s="46">
        <f>EFEITO!$J$2029*EFEITO!$Y$2029</f>
        <v>0</v>
      </c>
      <c r="K2029" s="46">
        <f ca="1">EFEITO!$L$2029*EFEITO!$Z$2029</f>
        <v>288.27414754703227</v>
      </c>
      <c r="L2029" s="46">
        <f>EFEITO!$N$2029*EFEITO!$AA$2029</f>
        <v>132.41145332889488</v>
      </c>
      <c r="M2029" s="46">
        <f>$J$2029-EFEITO!$K$2029*EFEITO!$Y$2029</f>
        <v>0</v>
      </c>
      <c r="N2029" s="46">
        <f ca="1">$K$2029-EFEITO!$M$2029*EFEITO!$Z$2029</f>
        <v>0</v>
      </c>
      <c r="O2029" s="46">
        <f>$L$2029-EFEITO!$O$2029*EFEITO!$AA$2029</f>
        <v>0</v>
      </c>
      <c r="P2029" s="38"/>
      <c r="Q2029" s="38"/>
      <c r="R2029" s="38"/>
      <c r="S2029" s="38"/>
      <c r="T2029" s="38"/>
      <c r="U2029" s="38"/>
      <c r="V2029" s="38"/>
      <c r="W2029" s="38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</row>
    <row r="2030" spans="1:36" ht="11.25" customHeight="1" x14ac:dyDescent="0.2">
      <c r="A2030" s="35" t="s">
        <v>21</v>
      </c>
      <c r="B2030" s="35" t="s">
        <v>39</v>
      </c>
      <c r="C2030" s="35" t="s">
        <v>23</v>
      </c>
      <c r="D2030" s="35" t="s">
        <v>48</v>
      </c>
      <c r="E2030" s="35" t="s">
        <v>25</v>
      </c>
      <c r="F2030" s="35" t="s">
        <v>25</v>
      </c>
      <c r="G2030" s="35" t="s">
        <v>25</v>
      </c>
      <c r="H2030" s="35" t="s">
        <v>25</v>
      </c>
      <c r="I2030" s="45">
        <v>44835</v>
      </c>
      <c r="J2030" s="46">
        <f>EFEITO!$J$2030*EFEITO!$Y$2030</f>
        <v>0</v>
      </c>
      <c r="K2030" s="46">
        <f ca="1">EFEITO!$L$2030*EFEITO!$Z$2030</f>
        <v>1509777.0880645798</v>
      </c>
      <c r="L2030" s="46">
        <f>EFEITO!$N$2030*EFEITO!$AA$2030</f>
        <v>693477.99701907753</v>
      </c>
      <c r="M2030" s="46">
        <f>$J$2030-EFEITO!$K$2030*EFEITO!$Y$2030</f>
        <v>0</v>
      </c>
      <c r="N2030" s="46">
        <f ca="1">$K$2030-EFEITO!$M$2030*EFEITO!$Z$2030</f>
        <v>0</v>
      </c>
      <c r="O2030" s="46">
        <f>$L$2030-EFEITO!$O$2030*EFEITO!$AA$2030</f>
        <v>0</v>
      </c>
      <c r="P2030" s="38"/>
      <c r="Q2030" s="38"/>
      <c r="R2030" s="38"/>
      <c r="S2030" s="38"/>
      <c r="T2030" s="38"/>
      <c r="U2030" s="38"/>
      <c r="V2030" s="38"/>
      <c r="W2030" s="38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</row>
    <row r="2031" spans="1:36" ht="11.25" customHeight="1" x14ac:dyDescent="0.2">
      <c r="A2031" s="35" t="s">
        <v>27</v>
      </c>
      <c r="B2031" s="35" t="s">
        <v>39</v>
      </c>
      <c r="C2031" s="35" t="s">
        <v>23</v>
      </c>
      <c r="D2031" s="35" t="s">
        <v>48</v>
      </c>
      <c r="E2031" s="35" t="s">
        <v>25</v>
      </c>
      <c r="F2031" s="35" t="s">
        <v>25</v>
      </c>
      <c r="G2031" s="35" t="s">
        <v>25</v>
      </c>
      <c r="H2031" s="35" t="s">
        <v>25</v>
      </c>
      <c r="I2031" s="45">
        <v>44835</v>
      </c>
      <c r="J2031" s="46">
        <f>EFEITO!$J$2031*EFEITO!$Y$2031</f>
        <v>0</v>
      </c>
      <c r="K2031" s="46">
        <f ca="1">EFEITO!$L$2031*EFEITO!$Z$2031</f>
        <v>-2165.5716449874622</v>
      </c>
      <c r="L2031" s="46">
        <f>EFEITO!$N$2031*EFEITO!$AA$2031</f>
        <v>-994.70067378779584</v>
      </c>
      <c r="M2031" s="46">
        <f>$J$2031-EFEITO!$K$2031*EFEITO!$Y$2031</f>
        <v>0</v>
      </c>
      <c r="N2031" s="46">
        <f ca="1">$K$2031-EFEITO!$M$2031*EFEITO!$Z$2031</f>
        <v>0</v>
      </c>
      <c r="O2031" s="46">
        <f>$L$2031-EFEITO!$O$2031*EFEITO!$AA$2031</f>
        <v>0</v>
      </c>
      <c r="P2031" s="38"/>
      <c r="Q2031" s="38"/>
      <c r="R2031" s="38"/>
      <c r="S2031" s="38"/>
      <c r="T2031" s="38"/>
      <c r="U2031" s="38"/>
      <c r="V2031" s="38"/>
      <c r="W2031" s="38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</row>
    <row r="2032" spans="1:36" ht="11.25" customHeight="1" x14ac:dyDescent="0.2">
      <c r="A2032" s="35" t="s">
        <v>28</v>
      </c>
      <c r="B2032" s="35" t="s">
        <v>39</v>
      </c>
      <c r="C2032" s="35" t="s">
        <v>23</v>
      </c>
      <c r="D2032" s="35" t="s">
        <v>48</v>
      </c>
      <c r="E2032" s="35" t="s">
        <v>25</v>
      </c>
      <c r="F2032" s="35" t="s">
        <v>25</v>
      </c>
      <c r="G2032" s="35" t="s">
        <v>25</v>
      </c>
      <c r="H2032" s="35" t="s">
        <v>25</v>
      </c>
      <c r="I2032" s="45">
        <v>44835</v>
      </c>
      <c r="J2032" s="46">
        <f>EFEITO!$J$2032*EFEITO!$Y$2032</f>
        <v>0</v>
      </c>
      <c r="K2032" s="46">
        <f ca="1">EFEITO!$L$2032*EFEITO!$Z$2032</f>
        <v>648232.63385734963</v>
      </c>
      <c r="L2032" s="46">
        <f>EFEITO!$N$2032*EFEITO!$AA$2032</f>
        <v>297749.29827956646</v>
      </c>
      <c r="M2032" s="46">
        <f>$J$2032-EFEITO!$K$2032*EFEITO!$Y$2032</f>
        <v>0</v>
      </c>
      <c r="N2032" s="46">
        <f ca="1">$K$2032-EFEITO!$M$2032*EFEITO!$Z$2032</f>
        <v>0</v>
      </c>
      <c r="O2032" s="46">
        <f>$L$2032-EFEITO!$O$2032*EFEITO!$AA$2032</f>
        <v>0</v>
      </c>
      <c r="P2032" s="38"/>
      <c r="Q2032" s="38"/>
      <c r="R2032" s="38"/>
      <c r="S2032" s="38"/>
      <c r="T2032" s="38"/>
      <c r="U2032" s="38"/>
      <c r="V2032" s="38"/>
      <c r="W2032" s="38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</row>
    <row r="2033" spans="1:36" ht="11.25" customHeight="1" x14ac:dyDescent="0.2">
      <c r="A2033" s="35" t="s">
        <v>29</v>
      </c>
      <c r="B2033" s="35" t="s">
        <v>39</v>
      </c>
      <c r="C2033" s="35" t="s">
        <v>23</v>
      </c>
      <c r="D2033" s="35" t="s">
        <v>48</v>
      </c>
      <c r="E2033" s="35" t="s">
        <v>25</v>
      </c>
      <c r="F2033" s="35" t="s">
        <v>25</v>
      </c>
      <c r="G2033" s="35" t="s">
        <v>25</v>
      </c>
      <c r="H2033" s="35" t="s">
        <v>25</v>
      </c>
      <c r="I2033" s="45">
        <v>44835</v>
      </c>
      <c r="J2033" s="46">
        <f>EFEITO!$J$2033*EFEITO!$Y$2033</f>
        <v>0</v>
      </c>
      <c r="K2033" s="46">
        <f ca="1">EFEITO!$L$2033*EFEITO!$Z$2033</f>
        <v>-4748.4879182181012</v>
      </c>
      <c r="L2033" s="46">
        <f>EFEITO!$N$2033*EFEITO!$AA$2033</f>
        <v>-2181.0980683357166</v>
      </c>
      <c r="M2033" s="46">
        <f>$J$2033-EFEITO!$K$2033*EFEITO!$Y$2033</f>
        <v>0</v>
      </c>
      <c r="N2033" s="46">
        <f ca="1">$K$2033-EFEITO!$M$2033*EFEITO!$Z$2033</f>
        <v>0</v>
      </c>
      <c r="O2033" s="46">
        <f>$L$2033-EFEITO!$O$2033*EFEITO!$AA$2033</f>
        <v>0</v>
      </c>
      <c r="P2033" s="38"/>
      <c r="Q2033" s="38"/>
      <c r="R2033" s="38"/>
      <c r="S2033" s="38"/>
      <c r="T2033" s="38"/>
      <c r="U2033" s="38"/>
      <c r="V2033" s="38"/>
      <c r="W2033" s="38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</row>
    <row r="2034" spans="1:36" ht="11.25" customHeight="1" x14ac:dyDescent="0.2">
      <c r="A2034" s="35" t="s">
        <v>30</v>
      </c>
      <c r="B2034" s="35" t="s">
        <v>39</v>
      </c>
      <c r="C2034" s="35" t="s">
        <v>23</v>
      </c>
      <c r="D2034" s="35" t="s">
        <v>48</v>
      </c>
      <c r="E2034" s="35" t="s">
        <v>25</v>
      </c>
      <c r="F2034" s="35" t="s">
        <v>25</v>
      </c>
      <c r="G2034" s="35" t="s">
        <v>25</v>
      </c>
      <c r="H2034" s="35" t="s">
        <v>25</v>
      </c>
      <c r="I2034" s="45">
        <v>44835</v>
      </c>
      <c r="J2034" s="46">
        <f>EFEITO!$J$2034*EFEITO!$Y$2034</f>
        <v>0</v>
      </c>
      <c r="K2034" s="46">
        <f ca="1">EFEITO!$L$2034*EFEITO!$Z$2034</f>
        <v>492.6775936300325</v>
      </c>
      <c r="L2034" s="46">
        <f>EFEITO!$N$2034*EFEITO!$AA$2034</f>
        <v>226.29901692621235</v>
      </c>
      <c r="M2034" s="46">
        <f>$J$2034-EFEITO!$K$2034*EFEITO!$Y$2034</f>
        <v>0</v>
      </c>
      <c r="N2034" s="46">
        <f ca="1">$K$2034-EFEITO!$M$2034*EFEITO!$Z$2034</f>
        <v>0</v>
      </c>
      <c r="O2034" s="46">
        <f>$L$2034-EFEITO!$O$2034*EFEITO!$AA$2034</f>
        <v>0</v>
      </c>
      <c r="P2034" s="38"/>
      <c r="Q2034" s="38"/>
      <c r="R2034" s="38"/>
      <c r="S2034" s="38"/>
      <c r="T2034" s="38"/>
      <c r="U2034" s="38"/>
      <c r="V2034" s="38"/>
      <c r="W2034" s="38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</row>
    <row r="2035" spans="1:36" ht="11.25" customHeight="1" x14ac:dyDescent="0.2">
      <c r="A2035" s="35" t="s">
        <v>59</v>
      </c>
      <c r="B2035" s="35" t="s">
        <v>39</v>
      </c>
      <c r="C2035" s="35" t="s">
        <v>23</v>
      </c>
      <c r="D2035" s="35" t="s">
        <v>48</v>
      </c>
      <c r="E2035" s="35" t="s">
        <v>25</v>
      </c>
      <c r="F2035" s="35" t="s">
        <v>25</v>
      </c>
      <c r="G2035" s="35" t="s">
        <v>25</v>
      </c>
      <c r="H2035" s="35" t="s">
        <v>25</v>
      </c>
      <c r="I2035" s="45">
        <v>44866</v>
      </c>
      <c r="J2035" s="46">
        <f>EFEITO!$J$2035*EFEITO!$Y$2035</f>
        <v>0</v>
      </c>
      <c r="K2035" s="46">
        <f ca="1">EFEITO!$L$2035*EFEITO!$Z$2035</f>
        <v>1509777.0880645798</v>
      </c>
      <c r="L2035" s="46">
        <f>EFEITO!$N$2035*EFEITO!$AA$2035</f>
        <v>693477.99701907753</v>
      </c>
      <c r="M2035" s="46">
        <f>$J$2035-EFEITO!$K$2035*EFEITO!$Y$2035</f>
        <v>0</v>
      </c>
      <c r="N2035" s="46">
        <f ca="1">$K$2035-EFEITO!$M$2035*EFEITO!$Z$2035</f>
        <v>0</v>
      </c>
      <c r="O2035" s="46">
        <f>$L$2035-EFEITO!$O$2035*EFEITO!$AA$2035</f>
        <v>0</v>
      </c>
      <c r="P2035" s="38"/>
      <c r="Q2035" s="38"/>
      <c r="R2035" s="38"/>
      <c r="S2035" s="38"/>
      <c r="T2035" s="38"/>
      <c r="U2035" s="38"/>
      <c r="V2035" s="38"/>
      <c r="W2035" s="38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</row>
    <row r="2036" spans="1:36" ht="11.25" customHeight="1" x14ac:dyDescent="0.2">
      <c r="A2036" s="35" t="s">
        <v>59</v>
      </c>
      <c r="B2036" s="35" t="s">
        <v>39</v>
      </c>
      <c r="C2036" s="35" t="s">
        <v>23</v>
      </c>
      <c r="D2036" s="35" t="s">
        <v>48</v>
      </c>
      <c r="E2036" s="35" t="s">
        <v>25</v>
      </c>
      <c r="F2036" s="35" t="s">
        <v>25</v>
      </c>
      <c r="G2036" s="35" t="s">
        <v>25</v>
      </c>
      <c r="H2036" s="35" t="s">
        <v>25</v>
      </c>
      <c r="I2036" s="45">
        <v>44866</v>
      </c>
      <c r="J2036" s="46">
        <f>EFEITO!$J$2036*EFEITO!$Y$2036</f>
        <v>0</v>
      </c>
      <c r="K2036" s="46">
        <f ca="1">EFEITO!$L$2036*EFEITO!$Z$2036</f>
        <v>-2165.5716449874622</v>
      </c>
      <c r="L2036" s="46">
        <f>EFEITO!$N$2036*EFEITO!$AA$2036</f>
        <v>-994.70067378779584</v>
      </c>
      <c r="M2036" s="46">
        <f>$J$2036-EFEITO!$K$2036*EFEITO!$Y$2036</f>
        <v>0</v>
      </c>
      <c r="N2036" s="46">
        <f ca="1">$K$2036-EFEITO!$M$2036*EFEITO!$Z$2036</f>
        <v>0</v>
      </c>
      <c r="O2036" s="46">
        <f>$L$2036-EFEITO!$O$2036*EFEITO!$AA$2036</f>
        <v>0</v>
      </c>
      <c r="P2036" s="38"/>
      <c r="Q2036" s="38"/>
      <c r="R2036" s="38"/>
      <c r="S2036" s="38"/>
      <c r="T2036" s="38"/>
      <c r="U2036" s="38"/>
      <c r="V2036" s="38"/>
      <c r="W2036" s="38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</row>
    <row r="2037" spans="1:36" ht="11.25" customHeight="1" x14ac:dyDescent="0.2">
      <c r="A2037" s="35" t="s">
        <v>59</v>
      </c>
      <c r="B2037" s="35" t="s">
        <v>39</v>
      </c>
      <c r="C2037" s="35" t="s">
        <v>23</v>
      </c>
      <c r="D2037" s="35" t="s">
        <v>48</v>
      </c>
      <c r="E2037" s="35" t="s">
        <v>25</v>
      </c>
      <c r="F2037" s="35" t="s">
        <v>25</v>
      </c>
      <c r="G2037" s="35" t="s">
        <v>25</v>
      </c>
      <c r="H2037" s="35" t="s">
        <v>25</v>
      </c>
      <c r="I2037" s="45">
        <v>44866</v>
      </c>
      <c r="J2037" s="46">
        <f>EFEITO!$J$2037*EFEITO!$Y$2037</f>
        <v>0</v>
      </c>
      <c r="K2037" s="46">
        <f ca="1">EFEITO!$L$2037*EFEITO!$Z$2037</f>
        <v>648232.63385734963</v>
      </c>
      <c r="L2037" s="46">
        <f>EFEITO!$N$2037*EFEITO!$AA$2037</f>
        <v>297749.29827956646</v>
      </c>
      <c r="M2037" s="46">
        <f>$J$2037-EFEITO!$K$2037*EFEITO!$Y$2037</f>
        <v>0</v>
      </c>
      <c r="N2037" s="46">
        <f ca="1">$K$2037-EFEITO!$M$2037*EFEITO!$Z$2037</f>
        <v>0</v>
      </c>
      <c r="O2037" s="46">
        <f>$L$2037-EFEITO!$O$2037*EFEITO!$AA$2037</f>
        <v>0</v>
      </c>
      <c r="P2037" s="38"/>
      <c r="Q2037" s="38"/>
      <c r="R2037" s="38"/>
      <c r="S2037" s="38"/>
      <c r="T2037" s="38"/>
      <c r="U2037" s="38"/>
      <c r="V2037" s="38"/>
      <c r="W2037" s="38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</row>
    <row r="2038" spans="1:36" ht="11.25" customHeight="1" x14ac:dyDescent="0.2">
      <c r="A2038" s="35" t="s">
        <v>59</v>
      </c>
      <c r="B2038" s="35" t="s">
        <v>39</v>
      </c>
      <c r="C2038" s="35" t="s">
        <v>23</v>
      </c>
      <c r="D2038" s="35" t="s">
        <v>48</v>
      </c>
      <c r="E2038" s="35" t="s">
        <v>25</v>
      </c>
      <c r="F2038" s="35" t="s">
        <v>25</v>
      </c>
      <c r="G2038" s="35" t="s">
        <v>25</v>
      </c>
      <c r="H2038" s="35" t="s">
        <v>25</v>
      </c>
      <c r="I2038" s="45">
        <v>44866</v>
      </c>
      <c r="J2038" s="46">
        <f>EFEITO!$J$2038*EFEITO!$Y$2038</f>
        <v>0</v>
      </c>
      <c r="K2038" s="46">
        <f ca="1">EFEITO!$L$2038*EFEITO!$Z$2038</f>
        <v>-4748.4879182181012</v>
      </c>
      <c r="L2038" s="46">
        <f>EFEITO!$N$2038*EFEITO!$AA$2038</f>
        <v>-2181.0980683357166</v>
      </c>
      <c r="M2038" s="46">
        <f>$J$2038-EFEITO!$K$2038*EFEITO!$Y$2038</f>
        <v>0</v>
      </c>
      <c r="N2038" s="46">
        <f ca="1">$K$2038-EFEITO!$M$2038*EFEITO!$Z$2038</f>
        <v>0</v>
      </c>
      <c r="O2038" s="46">
        <f>$L$2038-EFEITO!$O$2038*EFEITO!$AA$2038</f>
        <v>0</v>
      </c>
      <c r="P2038" s="38"/>
      <c r="Q2038" s="38"/>
      <c r="R2038" s="38"/>
      <c r="S2038" s="38"/>
      <c r="T2038" s="38"/>
      <c r="U2038" s="38"/>
      <c r="V2038" s="38"/>
      <c r="W2038" s="38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</row>
    <row r="2039" spans="1:36" ht="11.25" customHeight="1" x14ac:dyDescent="0.2">
      <c r="A2039" s="35" t="s">
        <v>59</v>
      </c>
      <c r="B2039" s="35" t="s">
        <v>39</v>
      </c>
      <c r="C2039" s="35" t="s">
        <v>23</v>
      </c>
      <c r="D2039" s="35" t="s">
        <v>48</v>
      </c>
      <c r="E2039" s="35" t="s">
        <v>25</v>
      </c>
      <c r="F2039" s="35" t="s">
        <v>25</v>
      </c>
      <c r="G2039" s="35" t="s">
        <v>25</v>
      </c>
      <c r="H2039" s="35" t="s">
        <v>25</v>
      </c>
      <c r="I2039" s="45">
        <v>44866</v>
      </c>
      <c r="J2039" s="46">
        <f>EFEITO!$J$2039*EFEITO!$Y$2039</f>
        <v>0</v>
      </c>
      <c r="K2039" s="46">
        <f ca="1">EFEITO!$L$2039*EFEITO!$Z$2039</f>
        <v>492.6775936300325</v>
      </c>
      <c r="L2039" s="46">
        <f>EFEITO!$N$2039*EFEITO!$AA$2039</f>
        <v>226.29901692621235</v>
      </c>
      <c r="M2039" s="46">
        <f>$J$2039-EFEITO!$K$2039*EFEITO!$Y$2039</f>
        <v>0</v>
      </c>
      <c r="N2039" s="46">
        <f ca="1">$K$2039-EFEITO!$M$2039*EFEITO!$Z$2039</f>
        <v>0</v>
      </c>
      <c r="O2039" s="46">
        <f>$L$2039-EFEITO!$O$2039*EFEITO!$AA$2039</f>
        <v>0</v>
      </c>
      <c r="P2039" s="38"/>
      <c r="Q2039" s="38"/>
      <c r="R2039" s="38"/>
      <c r="S2039" s="38"/>
      <c r="T2039" s="38"/>
      <c r="U2039" s="38"/>
      <c r="V2039" s="38"/>
      <c r="W2039" s="38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</row>
    <row r="2040" spans="1:36" ht="11.25" customHeight="1" x14ac:dyDescent="0.2">
      <c r="A2040" s="35" t="s">
        <v>21</v>
      </c>
      <c r="B2040" s="35" t="s">
        <v>39</v>
      </c>
      <c r="C2040" s="35" t="s">
        <v>23</v>
      </c>
      <c r="D2040" s="35" t="s">
        <v>52</v>
      </c>
      <c r="E2040" s="35" t="s">
        <v>53</v>
      </c>
      <c r="F2040" s="35" t="s">
        <v>25</v>
      </c>
      <c r="G2040" s="35" t="s">
        <v>25</v>
      </c>
      <c r="H2040" s="35" t="s">
        <v>25</v>
      </c>
      <c r="I2040" s="45">
        <v>44531</v>
      </c>
      <c r="J2040" s="46">
        <f>EFEITO!$J$2040*EFEITO!$Y$2039</f>
        <v>0</v>
      </c>
      <c r="K2040" s="46">
        <f ca="1">EFEITO!$L$2040*EFEITO!$Z$2039</f>
        <v>104313.5571711783</v>
      </c>
      <c r="L2040" s="46">
        <f>EFEITO!$N$2040*EFEITO!$AA$2039</f>
        <v>47913.799501181391</v>
      </c>
      <c r="M2040" s="46">
        <f>$J$2040-EFEITO!$K$2040*EFEITO!$Y$2040</f>
        <v>0</v>
      </c>
      <c r="N2040" s="46">
        <f ca="1">$K$2040-EFEITO!$M$2040*EFEITO!$Z$2040</f>
        <v>3129.406715135352</v>
      </c>
      <c r="O2040" s="46">
        <f>$L$2040-EFEITO!$O$2040*EFEITO!$AA$2040</f>
        <v>1437.4139850354477</v>
      </c>
      <c r="P2040" s="38"/>
      <c r="Q2040" s="38"/>
      <c r="R2040" s="38"/>
      <c r="S2040" s="38"/>
      <c r="T2040" s="38"/>
      <c r="U2040" s="38"/>
      <c r="V2040" s="38"/>
      <c r="W2040" s="38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</row>
    <row r="2041" spans="1:36" ht="11.25" customHeight="1" x14ac:dyDescent="0.2">
      <c r="A2041" s="35" t="s">
        <v>28</v>
      </c>
      <c r="B2041" s="35" t="s">
        <v>39</v>
      </c>
      <c r="C2041" s="35" t="s">
        <v>23</v>
      </c>
      <c r="D2041" s="35" t="s">
        <v>52</v>
      </c>
      <c r="E2041" s="35" t="s">
        <v>53</v>
      </c>
      <c r="F2041" s="35" t="s">
        <v>25</v>
      </c>
      <c r="G2041" s="35" t="s">
        <v>25</v>
      </c>
      <c r="H2041" s="35" t="s">
        <v>25</v>
      </c>
      <c r="I2041" s="45">
        <v>44531</v>
      </c>
      <c r="J2041" s="46">
        <f>EFEITO!$J$2041*EFEITO!$Y$2039</f>
        <v>0</v>
      </c>
      <c r="K2041" s="46">
        <f ca="1">EFEITO!$L$2041*EFEITO!$Z$2039</f>
        <v>290773.69533856813</v>
      </c>
      <c r="L2041" s="46">
        <f>EFEITO!$N$2041*EFEITO!$AA$2039</f>
        <v>133559.55751568568</v>
      </c>
      <c r="M2041" s="46">
        <f>$J$2041-EFEITO!$K$2041*EFEITO!$Y$2041</f>
        <v>0</v>
      </c>
      <c r="N2041" s="46">
        <f ca="1">$K$2041-EFEITO!$M$2041*EFEITO!$Z$2041</f>
        <v>8723.2108601570362</v>
      </c>
      <c r="O2041" s="46">
        <f>$L$2041-EFEITO!$O$2041*EFEITO!$AA$2041</f>
        <v>4006.7867254705779</v>
      </c>
      <c r="P2041" s="38"/>
      <c r="Q2041" s="38"/>
      <c r="R2041" s="38"/>
      <c r="S2041" s="38"/>
      <c r="T2041" s="38"/>
      <c r="U2041" s="38"/>
      <c r="V2041" s="38"/>
      <c r="W2041" s="38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</row>
    <row r="2042" spans="1:36" ht="11.25" customHeight="1" x14ac:dyDescent="0.2">
      <c r="A2042" s="35" t="s">
        <v>21</v>
      </c>
      <c r="B2042" s="35" t="s">
        <v>39</v>
      </c>
      <c r="C2042" s="35" t="s">
        <v>23</v>
      </c>
      <c r="D2042" s="35" t="s">
        <v>52</v>
      </c>
      <c r="E2042" s="35" t="s">
        <v>53</v>
      </c>
      <c r="F2042" s="35" t="s">
        <v>25</v>
      </c>
      <c r="G2042" s="35" t="s">
        <v>25</v>
      </c>
      <c r="H2042" s="35" t="s">
        <v>25</v>
      </c>
      <c r="I2042" s="45">
        <v>44562</v>
      </c>
      <c r="J2042" s="46">
        <f>EFEITO!$J$2042*EFEITO!$Y$2039</f>
        <v>0</v>
      </c>
      <c r="K2042" s="46">
        <f ca="1">EFEITO!$L$2042*EFEITO!$Z$2039</f>
        <v>114340.3748641687</v>
      </c>
      <c r="L2042" s="46">
        <f>EFEITO!$N$2042*EFEITO!$AA$2039</f>
        <v>52519.365120887633</v>
      </c>
      <c r="M2042" s="46">
        <f>$J$2042-EFEITO!$K$2042*EFEITO!$Y$2042</f>
        <v>0</v>
      </c>
      <c r="N2042" s="46">
        <f ca="1">$K$2042-EFEITO!$M$2042*EFEITO!$Z$2042</f>
        <v>3430.2112459250493</v>
      </c>
      <c r="O2042" s="46">
        <f>$L$2042-EFEITO!$O$2042*EFEITO!$AA$2042</f>
        <v>1575.5809536266315</v>
      </c>
      <c r="P2042" s="38"/>
      <c r="Q2042" s="38"/>
      <c r="R2042" s="38"/>
      <c r="S2042" s="38"/>
      <c r="T2042" s="38"/>
      <c r="U2042" s="38"/>
      <c r="V2042" s="38"/>
      <c r="W2042" s="38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</row>
    <row r="2043" spans="1:36" ht="11.25" customHeight="1" x14ac:dyDescent="0.2">
      <c r="A2043" s="35" t="s">
        <v>28</v>
      </c>
      <c r="B2043" s="35" t="s">
        <v>39</v>
      </c>
      <c r="C2043" s="35" t="s">
        <v>23</v>
      </c>
      <c r="D2043" s="35" t="s">
        <v>52</v>
      </c>
      <c r="E2043" s="35" t="s">
        <v>53</v>
      </c>
      <c r="F2043" s="35" t="s">
        <v>25</v>
      </c>
      <c r="G2043" s="35" t="s">
        <v>25</v>
      </c>
      <c r="H2043" s="35" t="s">
        <v>25</v>
      </c>
      <c r="I2043" s="45">
        <v>44562</v>
      </c>
      <c r="J2043" s="46">
        <f>EFEITO!$J$2043*EFEITO!$Y$2039</f>
        <v>0</v>
      </c>
      <c r="K2043" s="46">
        <f ca="1">EFEITO!$L$2043*EFEITO!$Z$2039</f>
        <v>292959.35577432538</v>
      </c>
      <c r="L2043" s="46">
        <f>EFEITO!$N$2043*EFEITO!$AA$2039</f>
        <v>134563.48546845108</v>
      </c>
      <c r="M2043" s="46">
        <f>$J$2043-EFEITO!$K$2043*EFEITO!$Y$2043</f>
        <v>0</v>
      </c>
      <c r="N2043" s="46">
        <f ca="1">$K$2043-EFEITO!$M$2043*EFEITO!$Z$2043</f>
        <v>8788.7806732297176</v>
      </c>
      <c r="O2043" s="46">
        <f>$L$2043-EFEITO!$O$2043*EFEITO!$AA$2043</f>
        <v>4036.9045640535332</v>
      </c>
      <c r="P2043" s="38"/>
      <c r="Q2043" s="38"/>
      <c r="R2043" s="38"/>
      <c r="S2043" s="38"/>
      <c r="T2043" s="38"/>
      <c r="U2043" s="38"/>
      <c r="V2043" s="38"/>
      <c r="W2043" s="38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</row>
    <row r="2044" spans="1:36" ht="11.25" customHeight="1" x14ac:dyDescent="0.2">
      <c r="A2044" s="35" t="s">
        <v>21</v>
      </c>
      <c r="B2044" s="35" t="s">
        <v>39</v>
      </c>
      <c r="C2044" s="35" t="s">
        <v>23</v>
      </c>
      <c r="D2044" s="35" t="s">
        <v>52</v>
      </c>
      <c r="E2044" s="35" t="s">
        <v>53</v>
      </c>
      <c r="F2044" s="35" t="s">
        <v>25</v>
      </c>
      <c r="G2044" s="35" t="s">
        <v>25</v>
      </c>
      <c r="H2044" s="35" t="s">
        <v>25</v>
      </c>
      <c r="I2044" s="45">
        <v>44593</v>
      </c>
      <c r="J2044" s="46">
        <f>EFEITO!$J$2044*EFEITO!$Y$2039</f>
        <v>0</v>
      </c>
      <c r="K2044" s="46">
        <f ca="1">EFEITO!$L$2044*EFEITO!$Z$2039</f>
        <v>106829.17599533001</v>
      </c>
      <c r="L2044" s="46">
        <f>EFEITO!$N$2044*EFEITO!$AA$2039</f>
        <v>49069.285511154267</v>
      </c>
      <c r="M2044" s="46">
        <f>$J$2044-EFEITO!$K$2044*EFEITO!$Y$2044</f>
        <v>0</v>
      </c>
      <c r="N2044" s="46">
        <f ca="1">$K$2044-EFEITO!$M$2044*EFEITO!$Z$2044</f>
        <v>3204.8752798599016</v>
      </c>
      <c r="O2044" s="46">
        <f>$L$2044-EFEITO!$O$2044*EFEITO!$AA$2044</f>
        <v>1472.078565334632</v>
      </c>
      <c r="P2044" s="38"/>
      <c r="Q2044" s="38"/>
      <c r="R2044" s="38"/>
      <c r="S2044" s="38"/>
      <c r="T2044" s="38"/>
      <c r="U2044" s="38"/>
      <c r="V2044" s="38"/>
      <c r="W2044" s="38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</row>
    <row r="2045" spans="1:36" ht="11.25" customHeight="1" x14ac:dyDescent="0.2">
      <c r="A2045" s="35" t="s">
        <v>27</v>
      </c>
      <c r="B2045" s="35" t="s">
        <v>39</v>
      </c>
      <c r="C2045" s="35" t="s">
        <v>23</v>
      </c>
      <c r="D2045" s="35" t="s">
        <v>52</v>
      </c>
      <c r="E2045" s="35" t="s">
        <v>53</v>
      </c>
      <c r="F2045" s="35" t="s">
        <v>25</v>
      </c>
      <c r="G2045" s="35" t="s">
        <v>25</v>
      </c>
      <c r="H2045" s="35" t="s">
        <v>25</v>
      </c>
      <c r="I2045" s="45">
        <v>44593</v>
      </c>
      <c r="J2045" s="46">
        <f>EFEITO!$J$2045*EFEITO!$Y$2039</f>
        <v>0</v>
      </c>
      <c r="K2045" s="46">
        <f ca="1">EFEITO!$L$2045*EFEITO!$Z$2039</f>
        <v>21.595450077565133</v>
      </c>
      <c r="L2045" s="46">
        <f>EFEITO!$N$2045*EFEITO!$AA$2039</f>
        <v>9.919324900945087</v>
      </c>
      <c r="M2045" s="46">
        <f>$J$2045-EFEITO!$K$2045*EFEITO!$Y$2045</f>
        <v>0</v>
      </c>
      <c r="N2045" s="46">
        <f ca="1">$K$2045-EFEITO!$M$2045*EFEITO!$Z$2045</f>
        <v>0.64786350232695256</v>
      </c>
      <c r="O2045" s="46">
        <f>$L$2045-EFEITO!$O$2045*EFEITO!$AA$2045</f>
        <v>0.29757974702835277</v>
      </c>
      <c r="P2045" s="38"/>
      <c r="Q2045" s="38"/>
      <c r="R2045" s="38"/>
      <c r="S2045" s="38"/>
      <c r="T2045" s="38"/>
      <c r="U2045" s="38"/>
      <c r="V2045" s="38"/>
      <c r="W2045" s="38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</row>
    <row r="2046" spans="1:36" ht="11.25" customHeight="1" x14ac:dyDescent="0.2">
      <c r="A2046" s="35" t="s">
        <v>28</v>
      </c>
      <c r="B2046" s="35" t="s">
        <v>39</v>
      </c>
      <c r="C2046" s="35" t="s">
        <v>23</v>
      </c>
      <c r="D2046" s="35" t="s">
        <v>52</v>
      </c>
      <c r="E2046" s="35" t="s">
        <v>53</v>
      </c>
      <c r="F2046" s="35" t="s">
        <v>25</v>
      </c>
      <c r="G2046" s="35" t="s">
        <v>25</v>
      </c>
      <c r="H2046" s="35" t="s">
        <v>25</v>
      </c>
      <c r="I2046" s="45">
        <v>44593</v>
      </c>
      <c r="J2046" s="46">
        <f>EFEITO!$J$2046*EFEITO!$Y$2039</f>
        <v>0</v>
      </c>
      <c r="K2046" s="46">
        <f ca="1">EFEITO!$L$2046*EFEITO!$Z$2039</f>
        <v>289731.08709761401</v>
      </c>
      <c r="L2046" s="46">
        <f>EFEITO!$N$2046*EFEITO!$AA$2039</f>
        <v>133080.66173674702</v>
      </c>
      <c r="M2046" s="46">
        <f>$J$2046-EFEITO!$K$2046*EFEITO!$Y$2046</f>
        <v>0</v>
      </c>
      <c r="N2046" s="46">
        <f ca="1">$K$2046-EFEITO!$M$2046*EFEITO!$Z$2046</f>
        <v>8691.9326129283872</v>
      </c>
      <c r="O2046" s="46">
        <f>$L$2046-EFEITO!$O$2046*EFEITO!$AA$2046</f>
        <v>3992.4198521024082</v>
      </c>
      <c r="P2046" s="38"/>
      <c r="Q2046" s="38"/>
      <c r="R2046" s="38"/>
      <c r="S2046" s="38"/>
      <c r="T2046" s="38"/>
      <c r="U2046" s="38"/>
      <c r="V2046" s="38"/>
      <c r="W2046" s="38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</row>
    <row r="2047" spans="1:36" ht="11.25" customHeight="1" x14ac:dyDescent="0.2">
      <c r="A2047" s="35" t="s">
        <v>21</v>
      </c>
      <c r="B2047" s="35" t="s">
        <v>39</v>
      </c>
      <c r="C2047" s="35" t="s">
        <v>23</v>
      </c>
      <c r="D2047" s="35" t="s">
        <v>52</v>
      </c>
      <c r="E2047" s="35" t="s">
        <v>53</v>
      </c>
      <c r="F2047" s="35" t="s">
        <v>25</v>
      </c>
      <c r="G2047" s="35" t="s">
        <v>25</v>
      </c>
      <c r="H2047" s="35" t="s">
        <v>25</v>
      </c>
      <c r="I2047" s="45">
        <v>44621</v>
      </c>
      <c r="J2047" s="46">
        <f>EFEITO!$J$2047*EFEITO!$Y$2039</f>
        <v>0</v>
      </c>
      <c r="K2047" s="46">
        <f ca="1">EFEITO!$L$2047*EFEITO!$Z$2039</f>
        <v>100239.55040305716</v>
      </c>
      <c r="L2047" s="46">
        <f>EFEITO!$N$2047*EFEITO!$AA$2039</f>
        <v>46042.507324519371</v>
      </c>
      <c r="M2047" s="46">
        <f>$J$2047-EFEITO!$K$2047*EFEITO!$Y$2047</f>
        <v>0</v>
      </c>
      <c r="N2047" s="46">
        <f ca="1">$K$2047-EFEITO!$M$2047*EFEITO!$Z$2047</f>
        <v>3007.1865120917064</v>
      </c>
      <c r="O2047" s="46">
        <f>$L$2047-EFEITO!$O$2047*EFEITO!$AA$2047</f>
        <v>1381.2752197355876</v>
      </c>
      <c r="P2047" s="38"/>
      <c r="Q2047" s="38"/>
      <c r="R2047" s="38"/>
      <c r="S2047" s="38"/>
      <c r="T2047" s="38"/>
      <c r="U2047" s="38"/>
      <c r="V2047" s="38"/>
      <c r="W2047" s="38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</row>
    <row r="2048" spans="1:36" ht="11.25" customHeight="1" x14ac:dyDescent="0.2">
      <c r="A2048" s="35" t="s">
        <v>28</v>
      </c>
      <c r="B2048" s="35" t="s">
        <v>39</v>
      </c>
      <c r="C2048" s="35" t="s">
        <v>23</v>
      </c>
      <c r="D2048" s="35" t="s">
        <v>52</v>
      </c>
      <c r="E2048" s="35" t="s">
        <v>53</v>
      </c>
      <c r="F2048" s="35" t="s">
        <v>25</v>
      </c>
      <c r="G2048" s="35" t="s">
        <v>25</v>
      </c>
      <c r="H2048" s="35" t="s">
        <v>25</v>
      </c>
      <c r="I2048" s="45">
        <v>44621</v>
      </c>
      <c r="J2048" s="46">
        <f>EFEITO!$J$2048*EFEITO!$Y$2039</f>
        <v>0</v>
      </c>
      <c r="K2048" s="46">
        <f ca="1">EFEITO!$L$2048*EFEITO!$Z$2039</f>
        <v>279725.36263493192</v>
      </c>
      <c r="L2048" s="46">
        <f>EFEITO!$N$2048*EFEITO!$AA$2039</f>
        <v>128484.78475996728</v>
      </c>
      <c r="M2048" s="46">
        <f>$J$2048-EFEITO!$K$2048*EFEITO!$Y$2048</f>
        <v>0</v>
      </c>
      <c r="N2048" s="46">
        <f ca="1">$K$2048-EFEITO!$M$2048*EFEITO!$Z$2048</f>
        <v>8391.7608790479135</v>
      </c>
      <c r="O2048" s="46">
        <f>$L$2048-EFEITO!$O$2048*EFEITO!$AA$2048</f>
        <v>3854.5435427990305</v>
      </c>
      <c r="P2048" s="38"/>
      <c r="Q2048" s="38"/>
      <c r="R2048" s="38"/>
      <c r="S2048" s="38"/>
      <c r="T2048" s="38"/>
      <c r="U2048" s="38"/>
      <c r="V2048" s="38"/>
      <c r="W2048" s="38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</row>
    <row r="2049" spans="1:36" ht="11.25" customHeight="1" x14ac:dyDescent="0.2">
      <c r="A2049" s="35" t="s">
        <v>21</v>
      </c>
      <c r="B2049" s="35" t="s">
        <v>39</v>
      </c>
      <c r="C2049" s="35" t="s">
        <v>23</v>
      </c>
      <c r="D2049" s="35" t="s">
        <v>52</v>
      </c>
      <c r="E2049" s="35" t="s">
        <v>53</v>
      </c>
      <c r="F2049" s="35" t="s">
        <v>25</v>
      </c>
      <c r="G2049" s="35" t="s">
        <v>25</v>
      </c>
      <c r="H2049" s="35" t="s">
        <v>25</v>
      </c>
      <c r="I2049" s="45">
        <v>44652</v>
      </c>
      <c r="J2049" s="46">
        <f>EFEITO!$J$2049*EFEITO!$Y$2039</f>
        <v>0</v>
      </c>
      <c r="K2049" s="46">
        <f ca="1">EFEITO!$L$2049*EFEITO!$Z$2039</f>
        <v>114917.92759880127</v>
      </c>
      <c r="L2049" s="46">
        <f>EFEITO!$N$2049*EFEITO!$AA$2039</f>
        <v>52784.649391494306</v>
      </c>
      <c r="M2049" s="46">
        <f>$J$2049-EFEITO!$K$2049*EFEITO!$Y$2049</f>
        <v>0</v>
      </c>
      <c r="N2049" s="46">
        <f ca="1">$K$2049-EFEITO!$M$2049*EFEITO!$Z$2049</f>
        <v>3447.5378279640427</v>
      </c>
      <c r="O2049" s="46">
        <f>$L$2049-EFEITO!$O$2049*EFEITO!$AA$2049</f>
        <v>1583.5394817448323</v>
      </c>
      <c r="P2049" s="38"/>
      <c r="Q2049" s="38"/>
      <c r="R2049" s="38"/>
      <c r="S2049" s="38"/>
      <c r="T2049" s="38"/>
      <c r="U2049" s="38"/>
      <c r="V2049" s="38"/>
      <c r="W2049" s="38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</row>
    <row r="2050" spans="1:36" ht="11.25" customHeight="1" x14ac:dyDescent="0.2">
      <c r="A2050" s="35" t="s">
        <v>28</v>
      </c>
      <c r="B2050" s="35" t="s">
        <v>39</v>
      </c>
      <c r="C2050" s="35" t="s">
        <v>23</v>
      </c>
      <c r="D2050" s="35" t="s">
        <v>52</v>
      </c>
      <c r="E2050" s="35" t="s">
        <v>53</v>
      </c>
      <c r="F2050" s="35" t="s">
        <v>25</v>
      </c>
      <c r="G2050" s="35" t="s">
        <v>25</v>
      </c>
      <c r="H2050" s="35" t="s">
        <v>25</v>
      </c>
      <c r="I2050" s="45">
        <v>44652</v>
      </c>
      <c r="J2050" s="46">
        <f>EFEITO!$J$2050*EFEITO!$Y$2039</f>
        <v>0</v>
      </c>
      <c r="K2050" s="46">
        <f ca="1">EFEITO!$L$2050*EFEITO!$Z$2039</f>
        <v>311319.00387864048</v>
      </c>
      <c r="L2050" s="46">
        <f>EFEITO!$N$2050*EFEITO!$AA$2039</f>
        <v>142996.5264080755</v>
      </c>
      <c r="M2050" s="46">
        <f>$J$2050-EFEITO!$K$2050*EFEITO!$Y$2050</f>
        <v>0</v>
      </c>
      <c r="N2050" s="46">
        <f ca="1">$K$2050-EFEITO!$M$2050*EFEITO!$Z$2050</f>
        <v>9339.5701163592166</v>
      </c>
      <c r="O2050" s="46">
        <f>$L$2050-EFEITO!$O$2050*EFEITO!$AA$2050</f>
        <v>4289.895792242256</v>
      </c>
      <c r="P2050" s="38"/>
      <c r="Q2050" s="38"/>
      <c r="R2050" s="38"/>
      <c r="S2050" s="38"/>
      <c r="T2050" s="38"/>
      <c r="U2050" s="38"/>
      <c r="V2050" s="38"/>
      <c r="W2050" s="38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</row>
    <row r="2051" spans="1:36" ht="11.25" customHeight="1" x14ac:dyDescent="0.2">
      <c r="A2051" s="35" t="s">
        <v>21</v>
      </c>
      <c r="B2051" s="35" t="s">
        <v>39</v>
      </c>
      <c r="C2051" s="35" t="s">
        <v>23</v>
      </c>
      <c r="D2051" s="35" t="s">
        <v>52</v>
      </c>
      <c r="E2051" s="35" t="s">
        <v>53</v>
      </c>
      <c r="F2051" s="35" t="s">
        <v>25</v>
      </c>
      <c r="G2051" s="35" t="s">
        <v>25</v>
      </c>
      <c r="H2051" s="35" t="s">
        <v>25</v>
      </c>
      <c r="I2051" s="45">
        <v>44682</v>
      </c>
      <c r="J2051" s="46">
        <f>EFEITO!$J$2051*EFEITO!$Y$2039</f>
        <v>0</v>
      </c>
      <c r="K2051" s="46">
        <f ca="1">EFEITO!$L$2051*EFEITO!$Z$2039</f>
        <v>96817.927115186205</v>
      </c>
      <c r="L2051" s="46">
        <f>EFEITO!$N$2051*EFEITO!$AA$2039</f>
        <v>44470.871032655676</v>
      </c>
      <c r="M2051" s="46">
        <f>$J$2051-EFEITO!$K$2051*EFEITO!$Y$2051</f>
        <v>0</v>
      </c>
      <c r="N2051" s="46">
        <f ca="1">$K$2051-EFEITO!$M$2051*EFEITO!$Z$2051</f>
        <v>2904.5378134555795</v>
      </c>
      <c r="O2051" s="46">
        <f>$L$2051-EFEITO!$O$2051*EFEITO!$AA$2051</f>
        <v>1334.1261309796682</v>
      </c>
      <c r="P2051" s="38"/>
      <c r="Q2051" s="38"/>
      <c r="R2051" s="38"/>
      <c r="S2051" s="38"/>
      <c r="T2051" s="38"/>
      <c r="U2051" s="38"/>
      <c r="V2051" s="38"/>
      <c r="W2051" s="38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</row>
    <row r="2052" spans="1:36" ht="11.25" customHeight="1" x14ac:dyDescent="0.2">
      <c r="A2052" s="35" t="s">
        <v>27</v>
      </c>
      <c r="B2052" s="35" t="s">
        <v>39</v>
      </c>
      <c r="C2052" s="35" t="s">
        <v>23</v>
      </c>
      <c r="D2052" s="35" t="s">
        <v>52</v>
      </c>
      <c r="E2052" s="35" t="s">
        <v>53</v>
      </c>
      <c r="F2052" s="35" t="s">
        <v>25</v>
      </c>
      <c r="G2052" s="35" t="s">
        <v>25</v>
      </c>
      <c r="H2052" s="35" t="s">
        <v>25</v>
      </c>
      <c r="I2052" s="45">
        <v>44682</v>
      </c>
      <c r="J2052" s="46">
        <f>EFEITO!$J$2052*EFEITO!$Y$2039</f>
        <v>0</v>
      </c>
      <c r="K2052" s="46">
        <f ca="1">EFEITO!$L$2052*EFEITO!$Z$2039</f>
        <v>-50.221976924570086</v>
      </c>
      <c r="L2052" s="46">
        <f>EFEITO!$N$2052*EFEITO!$AA$2039</f>
        <v>-23.068197444058345</v>
      </c>
      <c r="M2052" s="46">
        <f>$J$2052-EFEITO!$K$2052*EFEITO!$Y$2052</f>
        <v>0</v>
      </c>
      <c r="N2052" s="46">
        <f ca="1">$K$2052-EFEITO!$M$2052*EFEITO!$Z$2052</f>
        <v>-1.5066593077371024</v>
      </c>
      <c r="O2052" s="46">
        <f>$L$2052-EFEITO!$O$2052*EFEITO!$AA$2052</f>
        <v>-0.69204592332174997</v>
      </c>
      <c r="P2052" s="38"/>
      <c r="Q2052" s="38"/>
      <c r="R2052" s="38"/>
      <c r="S2052" s="38"/>
      <c r="T2052" s="38"/>
      <c r="U2052" s="38"/>
      <c r="V2052" s="38"/>
      <c r="W2052" s="38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</row>
    <row r="2053" spans="1:36" ht="11.25" customHeight="1" x14ac:dyDescent="0.2">
      <c r="A2053" s="35" t="s">
        <v>28</v>
      </c>
      <c r="B2053" s="35" t="s">
        <v>39</v>
      </c>
      <c r="C2053" s="35" t="s">
        <v>23</v>
      </c>
      <c r="D2053" s="35" t="s">
        <v>52</v>
      </c>
      <c r="E2053" s="35" t="s">
        <v>53</v>
      </c>
      <c r="F2053" s="35" t="s">
        <v>25</v>
      </c>
      <c r="G2053" s="35" t="s">
        <v>25</v>
      </c>
      <c r="H2053" s="35" t="s">
        <v>25</v>
      </c>
      <c r="I2053" s="45">
        <v>44682</v>
      </c>
      <c r="J2053" s="46">
        <f>EFEITO!$J$2053*EFEITO!$Y$2039</f>
        <v>0</v>
      </c>
      <c r="K2053" s="46">
        <f ca="1">EFEITO!$L$2053*EFEITO!$Z$2039</f>
        <v>292801.65876678226</v>
      </c>
      <c r="L2053" s="46">
        <f>EFEITO!$N$2053*EFEITO!$AA$2039</f>
        <v>134491.05132847675</v>
      </c>
      <c r="M2053" s="46">
        <f>$J$2053-EFEITO!$K$2053*EFEITO!$Y$2053</f>
        <v>0</v>
      </c>
      <c r="N2053" s="46">
        <f ca="1">$K$2053-EFEITO!$M$2053*EFEITO!$Z$2053</f>
        <v>8784.0497630034806</v>
      </c>
      <c r="O2053" s="46">
        <f>$L$2053-EFEITO!$O$2053*EFEITO!$AA$2053</f>
        <v>4034.7315398542996</v>
      </c>
      <c r="P2053" s="38"/>
      <c r="Q2053" s="38"/>
      <c r="R2053" s="38"/>
      <c r="S2053" s="38"/>
      <c r="T2053" s="38"/>
      <c r="U2053" s="38"/>
      <c r="V2053" s="38"/>
      <c r="W2053" s="38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</row>
    <row r="2054" spans="1:36" ht="11.25" customHeight="1" x14ac:dyDescent="0.2">
      <c r="A2054" s="35" t="s">
        <v>21</v>
      </c>
      <c r="B2054" s="35" t="s">
        <v>39</v>
      </c>
      <c r="C2054" s="35" t="s">
        <v>23</v>
      </c>
      <c r="D2054" s="35" t="s">
        <v>52</v>
      </c>
      <c r="E2054" s="35" t="s">
        <v>53</v>
      </c>
      <c r="F2054" s="35" t="s">
        <v>25</v>
      </c>
      <c r="G2054" s="35" t="s">
        <v>25</v>
      </c>
      <c r="H2054" s="35" t="s">
        <v>25</v>
      </c>
      <c r="I2054" s="45">
        <v>44713</v>
      </c>
      <c r="J2054" s="46">
        <f>EFEITO!$J$2054*EFEITO!$Y$2039</f>
        <v>0</v>
      </c>
      <c r="K2054" s="46">
        <f ca="1">EFEITO!$L$2054*EFEITO!$Z$2039</f>
        <v>113144.08737382546</v>
      </c>
      <c r="L2054" s="46">
        <f>EFEITO!$N$2054*EFEITO!$AA$2039</f>
        <v>51969.880657770169</v>
      </c>
      <c r="M2054" s="46">
        <f>$J$2054-EFEITO!$K$2054*EFEITO!$Y$2054</f>
        <v>0</v>
      </c>
      <c r="N2054" s="46">
        <f ca="1">$K$2054-EFEITO!$M$2054*EFEITO!$Z$2054</f>
        <v>3394.3226212147711</v>
      </c>
      <c r="O2054" s="46">
        <f>$L$2054-EFEITO!$O$2054*EFEITO!$AA$2054</f>
        <v>1559.0964197331123</v>
      </c>
      <c r="P2054" s="38"/>
      <c r="Q2054" s="38"/>
      <c r="R2054" s="38"/>
      <c r="S2054" s="38"/>
      <c r="T2054" s="38"/>
      <c r="U2054" s="38"/>
      <c r="V2054" s="38"/>
      <c r="W2054" s="38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</row>
    <row r="2055" spans="1:36" ht="11.25" customHeight="1" x14ac:dyDescent="0.2">
      <c r="A2055" s="35" t="s">
        <v>28</v>
      </c>
      <c r="B2055" s="35" t="s">
        <v>39</v>
      </c>
      <c r="C2055" s="35" t="s">
        <v>23</v>
      </c>
      <c r="D2055" s="35" t="s">
        <v>52</v>
      </c>
      <c r="E2055" s="35" t="s">
        <v>53</v>
      </c>
      <c r="F2055" s="35" t="s">
        <v>25</v>
      </c>
      <c r="G2055" s="35" t="s">
        <v>25</v>
      </c>
      <c r="H2055" s="35" t="s">
        <v>25</v>
      </c>
      <c r="I2055" s="45">
        <v>44713</v>
      </c>
      <c r="J2055" s="46">
        <f>EFEITO!$J$2055*EFEITO!$Y$2039</f>
        <v>0</v>
      </c>
      <c r="K2055" s="46">
        <f ca="1">EFEITO!$L$2055*EFEITO!$Z$2039</f>
        <v>305766.96432962926</v>
      </c>
      <c r="L2055" s="46">
        <f>EFEITO!$N$2055*EFEITO!$AA$2039</f>
        <v>140446.33718063487</v>
      </c>
      <c r="M2055" s="46">
        <f>$J$2055-EFEITO!$K$2055*EFEITO!$Y$2055</f>
        <v>0</v>
      </c>
      <c r="N2055" s="46">
        <f ca="1">$K$2055-EFEITO!$M$2055*EFEITO!$Z$2055</f>
        <v>9173.0089298888342</v>
      </c>
      <c r="O2055" s="46">
        <f>$L$2055-EFEITO!$O$2055*EFEITO!$AA$2055</f>
        <v>4213.3901154190535</v>
      </c>
      <c r="P2055" s="38"/>
      <c r="Q2055" s="38"/>
      <c r="R2055" s="38"/>
      <c r="S2055" s="38"/>
      <c r="T2055" s="38"/>
      <c r="U2055" s="38"/>
      <c r="V2055" s="38"/>
      <c r="W2055" s="38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</row>
    <row r="2056" spans="1:36" ht="11.25" customHeight="1" x14ac:dyDescent="0.2">
      <c r="A2056" s="35" t="s">
        <v>21</v>
      </c>
      <c r="B2056" s="35" t="s">
        <v>39</v>
      </c>
      <c r="C2056" s="35" t="s">
        <v>23</v>
      </c>
      <c r="D2056" s="35" t="s">
        <v>52</v>
      </c>
      <c r="E2056" s="35" t="s">
        <v>53</v>
      </c>
      <c r="F2056" s="35" t="s">
        <v>25</v>
      </c>
      <c r="G2056" s="35" t="s">
        <v>25</v>
      </c>
      <c r="H2056" s="35" t="s">
        <v>25</v>
      </c>
      <c r="I2056" s="45">
        <v>44743</v>
      </c>
      <c r="J2056" s="46">
        <f>EFEITO!$J$2056*EFEITO!$Y$2039</f>
        <v>0</v>
      </c>
      <c r="K2056" s="46">
        <f ca="1">EFEITO!$L$2056*EFEITO!$Z$2039</f>
        <v>106585.0971874766</v>
      </c>
      <c r="L2056" s="46">
        <f>EFEITO!$N$2056*EFEITO!$AA$2039</f>
        <v>48957.174071576148</v>
      </c>
      <c r="M2056" s="46">
        <f>$J$2056-EFEITO!$K$2056*EFEITO!$Y$2056</f>
        <v>0</v>
      </c>
      <c r="N2056" s="46">
        <f ca="1">$K$2056-EFEITO!$M$2056*EFEITO!$Z$2056</f>
        <v>3197.5529156242847</v>
      </c>
      <c r="O2056" s="46">
        <f>$L$2056-EFEITO!$O$2056*EFEITO!$AA$2056</f>
        <v>1468.7152221472861</v>
      </c>
      <c r="P2056" s="38"/>
      <c r="Q2056" s="38"/>
      <c r="R2056" s="38"/>
      <c r="S2056" s="38"/>
      <c r="T2056" s="38"/>
      <c r="U2056" s="38"/>
      <c r="V2056" s="38"/>
      <c r="W2056" s="38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</row>
    <row r="2057" spans="1:36" ht="11.25" customHeight="1" x14ac:dyDescent="0.2">
      <c r="A2057" s="35" t="s">
        <v>28</v>
      </c>
      <c r="B2057" s="35" t="s">
        <v>39</v>
      </c>
      <c r="C2057" s="35" t="s">
        <v>23</v>
      </c>
      <c r="D2057" s="35" t="s">
        <v>52</v>
      </c>
      <c r="E2057" s="35" t="s">
        <v>53</v>
      </c>
      <c r="F2057" s="35" t="s">
        <v>25</v>
      </c>
      <c r="G2057" s="35" t="s">
        <v>25</v>
      </c>
      <c r="H2057" s="35" t="s">
        <v>25</v>
      </c>
      <c r="I2057" s="45">
        <v>44743</v>
      </c>
      <c r="J2057" s="46">
        <f>EFEITO!$J$2057*EFEITO!$Y$2039</f>
        <v>0</v>
      </c>
      <c r="K2057" s="46">
        <f ca="1">EFEITO!$L$2057*EFEITO!$Z$2039</f>
        <v>313530.2775226293</v>
      </c>
      <c r="L2057" s="46">
        <f>EFEITO!$N$2057*EFEITO!$AA$2039</f>
        <v>144012.21914153738</v>
      </c>
      <c r="M2057" s="46">
        <f>$J$2057-EFEITO!$K$2057*EFEITO!$Y$2057</f>
        <v>0</v>
      </c>
      <c r="N2057" s="46">
        <f ca="1">$K$2057-EFEITO!$M$2057*EFEITO!$Z$2057</f>
        <v>9405.9083256788435</v>
      </c>
      <c r="O2057" s="46">
        <f>$L$2057-EFEITO!$O$2057*EFEITO!$AA$2057</f>
        <v>4320.3665742461162</v>
      </c>
      <c r="P2057" s="38"/>
      <c r="Q2057" s="38"/>
      <c r="R2057" s="38"/>
      <c r="S2057" s="38"/>
      <c r="T2057" s="38"/>
      <c r="U2057" s="38"/>
      <c r="V2057" s="38"/>
      <c r="W2057" s="38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</row>
    <row r="2058" spans="1:36" ht="11.25" customHeight="1" x14ac:dyDescent="0.2">
      <c r="A2058" s="35" t="s">
        <v>29</v>
      </c>
      <c r="B2058" s="35" t="s">
        <v>39</v>
      </c>
      <c r="C2058" s="35" t="s">
        <v>23</v>
      </c>
      <c r="D2058" s="35" t="s">
        <v>52</v>
      </c>
      <c r="E2058" s="35" t="s">
        <v>53</v>
      </c>
      <c r="F2058" s="35" t="s">
        <v>25</v>
      </c>
      <c r="G2058" s="35" t="s">
        <v>25</v>
      </c>
      <c r="H2058" s="35" t="s">
        <v>25</v>
      </c>
      <c r="I2058" s="45">
        <v>44743</v>
      </c>
      <c r="J2058" s="46">
        <f>EFEITO!$J$2058*EFEITO!$Y$2039</f>
        <v>0</v>
      </c>
      <c r="K2058" s="46">
        <f ca="1">EFEITO!$L$2058*EFEITO!$Z$2039</f>
        <v>-106.97281084933428</v>
      </c>
      <c r="L2058" s="46">
        <f>EFEITO!$N$2058*EFEITO!$AA$2039</f>
        <v>-49.135260555844276</v>
      </c>
      <c r="M2058" s="46">
        <f>$J$2058-EFEITO!$K$2058*EFEITO!$Y$2058</f>
        <v>0</v>
      </c>
      <c r="N2058" s="46">
        <f ca="1">$K$2058-EFEITO!$M$2058*EFEITO!$Z$2058</f>
        <v>-3.2091843254800239</v>
      </c>
      <c r="O2058" s="46">
        <f>$L$2058-EFEITO!$O$2058*EFEITO!$AA$2058</f>
        <v>-1.4740578166753338</v>
      </c>
      <c r="P2058" s="38"/>
      <c r="Q2058" s="38"/>
      <c r="R2058" s="38"/>
      <c r="S2058" s="38"/>
      <c r="T2058" s="38"/>
      <c r="U2058" s="38"/>
      <c r="V2058" s="38"/>
      <c r="W2058" s="38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</row>
    <row r="2059" spans="1:36" ht="11.25" customHeight="1" x14ac:dyDescent="0.2">
      <c r="A2059" s="35" t="s">
        <v>21</v>
      </c>
      <c r="B2059" s="35" t="s">
        <v>39</v>
      </c>
      <c r="C2059" s="35" t="s">
        <v>23</v>
      </c>
      <c r="D2059" s="35" t="s">
        <v>52</v>
      </c>
      <c r="E2059" s="35" t="s">
        <v>53</v>
      </c>
      <c r="F2059" s="35" t="s">
        <v>25</v>
      </c>
      <c r="G2059" s="35" t="s">
        <v>25</v>
      </c>
      <c r="H2059" s="35" t="s">
        <v>25</v>
      </c>
      <c r="I2059" s="45">
        <v>44774</v>
      </c>
      <c r="J2059" s="46">
        <f>EFEITO!$J$2059*EFEITO!$Y$2039</f>
        <v>0</v>
      </c>
      <c r="K2059" s="46">
        <f ca="1">EFEITO!$L$2059*EFEITO!$Z$2039</f>
        <v>298988.00188435079</v>
      </c>
      <c r="L2059" s="46">
        <f>EFEITO!$N$2059*EFEITO!$AA$2039</f>
        <v>137332.59188963586</v>
      </c>
      <c r="M2059" s="46">
        <f>$J$2059-EFEITO!$K$2059*EFEITO!$Y$2059</f>
        <v>0</v>
      </c>
      <c r="N2059" s="46">
        <f ca="1">$K$2059-EFEITO!$M$2059*EFEITO!$Z$2059</f>
        <v>8969.6400565304793</v>
      </c>
      <c r="O2059" s="46">
        <f>$L$2059-EFEITO!$O$2059*EFEITO!$AA$2059</f>
        <v>4119.9777566890989</v>
      </c>
      <c r="P2059" s="38"/>
      <c r="Q2059" s="38"/>
      <c r="R2059" s="38"/>
      <c r="S2059" s="38"/>
      <c r="T2059" s="38"/>
      <c r="U2059" s="38"/>
      <c r="V2059" s="38"/>
      <c r="W2059" s="38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</row>
    <row r="2060" spans="1:36" ht="11.25" customHeight="1" x14ac:dyDescent="0.2">
      <c r="A2060" s="35" t="s">
        <v>27</v>
      </c>
      <c r="B2060" s="35" t="s">
        <v>39</v>
      </c>
      <c r="C2060" s="35" t="s">
        <v>23</v>
      </c>
      <c r="D2060" s="35" t="s">
        <v>52</v>
      </c>
      <c r="E2060" s="35" t="s">
        <v>53</v>
      </c>
      <c r="F2060" s="35" t="s">
        <v>25</v>
      </c>
      <c r="G2060" s="35" t="s">
        <v>25</v>
      </c>
      <c r="H2060" s="35" t="s">
        <v>25</v>
      </c>
      <c r="I2060" s="45">
        <v>44774</v>
      </c>
      <c r="J2060" s="46">
        <f>EFEITO!$J$2060*EFEITO!$Y$2039</f>
        <v>0</v>
      </c>
      <c r="K2060" s="46">
        <f ca="1">EFEITO!$L$2060*EFEITO!$Z$2039</f>
        <v>-244820.08423281726</v>
      </c>
      <c r="L2060" s="46">
        <f>EFEITO!$N$2060*EFEITO!$AA$2039</f>
        <v>-112451.92617239786</v>
      </c>
      <c r="M2060" s="46">
        <f>$J$2060-EFEITO!$K$2060*EFEITO!$Y$2060</f>
        <v>0</v>
      </c>
      <c r="N2060" s="46">
        <f ca="1">$K$2060-EFEITO!$M$2060*EFEITO!$Z$2060</f>
        <v>-7344.6025269844977</v>
      </c>
      <c r="O2060" s="46">
        <f>$L$2060-EFEITO!$O$2060*EFEITO!$AA$2060</f>
        <v>-3373.5577851719427</v>
      </c>
      <c r="P2060" s="38"/>
      <c r="Q2060" s="38"/>
      <c r="R2060" s="38"/>
      <c r="S2060" s="38"/>
      <c r="T2060" s="38"/>
      <c r="U2060" s="38"/>
      <c r="V2060" s="38"/>
      <c r="W2060" s="38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</row>
    <row r="2061" spans="1:36" ht="11.25" customHeight="1" x14ac:dyDescent="0.2">
      <c r="A2061" s="35" t="s">
        <v>28</v>
      </c>
      <c r="B2061" s="35" t="s">
        <v>39</v>
      </c>
      <c r="C2061" s="35" t="s">
        <v>23</v>
      </c>
      <c r="D2061" s="35" t="s">
        <v>52</v>
      </c>
      <c r="E2061" s="35" t="s">
        <v>53</v>
      </c>
      <c r="F2061" s="35" t="s">
        <v>25</v>
      </c>
      <c r="G2061" s="35" t="s">
        <v>25</v>
      </c>
      <c r="H2061" s="35" t="s">
        <v>25</v>
      </c>
      <c r="I2061" s="45">
        <v>44774</v>
      </c>
      <c r="J2061" s="46">
        <f>EFEITO!$J$2061*EFEITO!$Y$2039</f>
        <v>0</v>
      </c>
      <c r="K2061" s="46">
        <f ca="1">EFEITO!$L$2061*EFEITO!$Z$2039</f>
        <v>321555.74943517562</v>
      </c>
      <c r="L2061" s="46">
        <f>EFEITO!$N$2061*EFEITO!$AA$2039</f>
        <v>147698.51709309794</v>
      </c>
      <c r="M2061" s="46">
        <f>$J$2061-EFEITO!$K$2061*EFEITO!$Y$2061</f>
        <v>0</v>
      </c>
      <c r="N2061" s="46">
        <f ca="1">$K$2061-EFEITO!$M$2061*EFEITO!$Z$2061</f>
        <v>9646.6724830552703</v>
      </c>
      <c r="O2061" s="46">
        <f>$L$2061-EFEITO!$O$2061*EFEITO!$AA$2061</f>
        <v>4430.9555127929489</v>
      </c>
      <c r="P2061" s="38"/>
      <c r="Q2061" s="38"/>
      <c r="R2061" s="38"/>
      <c r="S2061" s="38"/>
      <c r="T2061" s="38"/>
      <c r="U2061" s="38"/>
      <c r="V2061" s="38"/>
      <c r="W2061" s="38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</row>
    <row r="2062" spans="1:36" ht="11.25" customHeight="1" x14ac:dyDescent="0.2">
      <c r="A2062" s="35" t="s">
        <v>29</v>
      </c>
      <c r="B2062" s="35" t="s">
        <v>39</v>
      </c>
      <c r="C2062" s="35" t="s">
        <v>23</v>
      </c>
      <c r="D2062" s="35" t="s">
        <v>52</v>
      </c>
      <c r="E2062" s="35" t="s">
        <v>53</v>
      </c>
      <c r="F2062" s="35" t="s">
        <v>25</v>
      </c>
      <c r="G2062" s="35" t="s">
        <v>25</v>
      </c>
      <c r="H2062" s="35" t="s">
        <v>25</v>
      </c>
      <c r="I2062" s="45">
        <v>44774</v>
      </c>
      <c r="J2062" s="46">
        <f>EFEITO!$J$2062*EFEITO!$Y$2039</f>
        <v>0</v>
      </c>
      <c r="K2062" s="46">
        <f ca="1">EFEITO!$L$2062*EFEITO!$Z$2039</f>
        <v>-1861.7286845938129</v>
      </c>
      <c r="L2062" s="46">
        <f>EFEITO!$N$2062*EFEITO!$AA$2039</f>
        <v>-855.13807925124274</v>
      </c>
      <c r="M2062" s="46">
        <f>$J$2062-EFEITO!$K$2062*EFEITO!$Y$2062</f>
        <v>0</v>
      </c>
      <c r="N2062" s="46">
        <f ca="1">$K$2062-EFEITO!$M$2062*EFEITO!$Z$2062</f>
        <v>-55.851860537814218</v>
      </c>
      <c r="O2062" s="46">
        <f>$L$2062-EFEITO!$O$2062*EFEITO!$AA$2062</f>
        <v>-25.654142377537255</v>
      </c>
      <c r="P2062" s="38"/>
      <c r="Q2062" s="38"/>
      <c r="R2062" s="38"/>
      <c r="S2062" s="38"/>
      <c r="T2062" s="38"/>
      <c r="U2062" s="38"/>
      <c r="V2062" s="38"/>
      <c r="W2062" s="38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</row>
    <row r="2063" spans="1:36" ht="11.25" customHeight="1" x14ac:dyDescent="0.2">
      <c r="A2063" s="35" t="s">
        <v>21</v>
      </c>
      <c r="B2063" s="35" t="s">
        <v>39</v>
      </c>
      <c r="C2063" s="35" t="s">
        <v>23</v>
      </c>
      <c r="D2063" s="35" t="s">
        <v>52</v>
      </c>
      <c r="E2063" s="35" t="s">
        <v>53</v>
      </c>
      <c r="F2063" s="35" t="s">
        <v>25</v>
      </c>
      <c r="G2063" s="35" t="s">
        <v>25</v>
      </c>
      <c r="H2063" s="35" t="s">
        <v>25</v>
      </c>
      <c r="I2063" s="45">
        <v>44805</v>
      </c>
      <c r="J2063" s="46">
        <f>EFEITO!$J$2063*EFEITO!$Y$2039</f>
        <v>0</v>
      </c>
      <c r="K2063" s="46">
        <f ca="1">EFEITO!$L$2063*EFEITO!$Z$2039</f>
        <v>92411.953079593673</v>
      </c>
      <c r="L2063" s="46">
        <f>EFEITO!$N$2063*EFEITO!$AA$2039</f>
        <v>42447.098070888438</v>
      </c>
      <c r="M2063" s="46">
        <f>$J$2063-EFEITO!$K$2063*EFEITO!$Y$2063</f>
        <v>0</v>
      </c>
      <c r="N2063" s="46">
        <f ca="1">$K$2063-EFEITO!$M$2063*EFEITO!$Z$2063</f>
        <v>2772.3585923878127</v>
      </c>
      <c r="O2063" s="46">
        <f>$L$2063-EFEITO!$O$2063*EFEITO!$AA$2063</f>
        <v>1273.4129421266553</v>
      </c>
      <c r="P2063" s="38"/>
      <c r="Q2063" s="38"/>
      <c r="R2063" s="38"/>
      <c r="S2063" s="38"/>
      <c r="T2063" s="38"/>
      <c r="U2063" s="38"/>
      <c r="V2063" s="38"/>
      <c r="W2063" s="38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</row>
    <row r="2064" spans="1:36" ht="11.25" customHeight="1" x14ac:dyDescent="0.2">
      <c r="A2064" s="35" t="s">
        <v>28</v>
      </c>
      <c r="B2064" s="35" t="s">
        <v>39</v>
      </c>
      <c r="C2064" s="35" t="s">
        <v>23</v>
      </c>
      <c r="D2064" s="35" t="s">
        <v>52</v>
      </c>
      <c r="E2064" s="35" t="s">
        <v>53</v>
      </c>
      <c r="F2064" s="35" t="s">
        <v>25</v>
      </c>
      <c r="G2064" s="35" t="s">
        <v>25</v>
      </c>
      <c r="H2064" s="35" t="s">
        <v>25</v>
      </c>
      <c r="I2064" s="45">
        <v>44805</v>
      </c>
      <c r="J2064" s="46">
        <f>EFEITO!$J$2064*EFEITO!$Y$2039</f>
        <v>0</v>
      </c>
      <c r="K2064" s="46">
        <f ca="1">EFEITO!$L$2064*EFEITO!$Z$2039</f>
        <v>314677.84969535575</v>
      </c>
      <c r="L2064" s="46">
        <f>EFEITO!$N$2064*EFEITO!$AA$2039</f>
        <v>144539.32745313412</v>
      </c>
      <c r="M2064" s="46">
        <f>$J$2064-EFEITO!$K$2064*EFEITO!$Y$2064</f>
        <v>0</v>
      </c>
      <c r="N2064" s="46">
        <f ca="1">$K$2064-EFEITO!$M$2064*EFEITO!$Z$2064</f>
        <v>9440.3354908606852</v>
      </c>
      <c r="O2064" s="46">
        <f>$L$2064-EFEITO!$O$2064*EFEITO!$AA$2064</f>
        <v>4336.1798235940223</v>
      </c>
      <c r="P2064" s="38"/>
      <c r="Q2064" s="38"/>
      <c r="R2064" s="38"/>
      <c r="S2064" s="38"/>
      <c r="T2064" s="38"/>
      <c r="U2064" s="38"/>
      <c r="V2064" s="38"/>
      <c r="W2064" s="38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</row>
    <row r="2065" spans="1:36" ht="11.25" customHeight="1" x14ac:dyDescent="0.2">
      <c r="A2065" s="35" t="s">
        <v>29</v>
      </c>
      <c r="B2065" s="35" t="s">
        <v>39</v>
      </c>
      <c r="C2065" s="35" t="s">
        <v>23</v>
      </c>
      <c r="D2065" s="35" t="s">
        <v>52</v>
      </c>
      <c r="E2065" s="35" t="s">
        <v>53</v>
      </c>
      <c r="F2065" s="35" t="s">
        <v>25</v>
      </c>
      <c r="G2065" s="35" t="s">
        <v>25</v>
      </c>
      <c r="H2065" s="35" t="s">
        <v>25</v>
      </c>
      <c r="I2065" s="45">
        <v>44805</v>
      </c>
      <c r="J2065" s="46">
        <f>EFEITO!$J$2065*EFEITO!$Y$2039</f>
        <v>0</v>
      </c>
      <c r="K2065" s="46">
        <f ca="1">EFEITO!$L$2065*EFEITO!$Z$2039</f>
        <v>-85.879580541014846</v>
      </c>
      <c r="L2065" s="46">
        <f>EFEITO!$N$2065*EFEITO!$AA$2039</f>
        <v>-39.446617629339769</v>
      </c>
      <c r="M2065" s="46">
        <f>$J$2065-EFEITO!$K$2065*EFEITO!$Y$2065</f>
        <v>0</v>
      </c>
      <c r="N2065" s="46">
        <f ca="1">$K$2065-EFEITO!$M$2065*EFEITO!$Z$2065</f>
        <v>-2.5763874162304461</v>
      </c>
      <c r="O2065" s="46">
        <f>$L$2065-EFEITO!$O$2065*EFEITO!$AA$2065</f>
        <v>-1.1833985288801898</v>
      </c>
      <c r="P2065" s="38"/>
      <c r="Q2065" s="38"/>
      <c r="R2065" s="38"/>
      <c r="S2065" s="38"/>
      <c r="T2065" s="38"/>
      <c r="U2065" s="38"/>
      <c r="V2065" s="38"/>
      <c r="W2065" s="38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</row>
    <row r="2066" spans="1:36" ht="11.25" customHeight="1" x14ac:dyDescent="0.2">
      <c r="A2066" s="35" t="s">
        <v>21</v>
      </c>
      <c r="B2066" s="35" t="s">
        <v>39</v>
      </c>
      <c r="C2066" s="35" t="s">
        <v>23</v>
      </c>
      <c r="D2066" s="35" t="s">
        <v>52</v>
      </c>
      <c r="E2066" s="35" t="s">
        <v>53</v>
      </c>
      <c r="F2066" s="35" t="s">
        <v>25</v>
      </c>
      <c r="G2066" s="35" t="s">
        <v>25</v>
      </c>
      <c r="H2066" s="35" t="s">
        <v>25</v>
      </c>
      <c r="I2066" s="45">
        <v>44835</v>
      </c>
      <c r="J2066" s="46">
        <f>EFEITO!$J$2066*EFEITO!$Y$2039</f>
        <v>0</v>
      </c>
      <c r="K2066" s="46">
        <f ca="1">EFEITO!$L$2066*EFEITO!$Z$2039</f>
        <v>72094.1500949896</v>
      </c>
      <c r="L2066" s="46">
        <f>EFEITO!$N$2066*EFEITO!$AA$2039</f>
        <v>33114.628112920189</v>
      </c>
      <c r="M2066" s="46">
        <f>$J$2066-EFEITO!$K$2066*EFEITO!$Y$2066</f>
        <v>0</v>
      </c>
      <c r="N2066" s="46">
        <f ca="1">$K$2066-EFEITO!$M$2066*EFEITO!$Z$2066</f>
        <v>2162.8245028496895</v>
      </c>
      <c r="O2066" s="46">
        <f>$L$2066-EFEITO!$O$2066*EFEITO!$AA$2066</f>
        <v>993.43884338760472</v>
      </c>
      <c r="P2066" s="38"/>
      <c r="Q2066" s="38"/>
      <c r="R2066" s="38"/>
      <c r="S2066" s="38"/>
      <c r="T2066" s="38"/>
      <c r="U2066" s="38"/>
      <c r="V2066" s="38"/>
      <c r="W2066" s="38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  <c r="AJ2066" s="6"/>
    </row>
    <row r="2067" spans="1:36" ht="11.25" customHeight="1" x14ac:dyDescent="0.2">
      <c r="A2067" s="35" t="s">
        <v>27</v>
      </c>
      <c r="B2067" s="35" t="s">
        <v>39</v>
      </c>
      <c r="C2067" s="35" t="s">
        <v>23</v>
      </c>
      <c r="D2067" s="35" t="s">
        <v>52</v>
      </c>
      <c r="E2067" s="35" t="s">
        <v>53</v>
      </c>
      <c r="F2067" s="35" t="s">
        <v>25</v>
      </c>
      <c r="G2067" s="35" t="s">
        <v>25</v>
      </c>
      <c r="H2067" s="35" t="s">
        <v>25</v>
      </c>
      <c r="I2067" s="45">
        <v>44835</v>
      </c>
      <c r="J2067" s="46">
        <f>EFEITO!$J$2067*EFEITO!$Y$2039</f>
        <v>0</v>
      </c>
      <c r="K2067" s="46">
        <f ca="1">EFEITO!$L$2067*EFEITO!$Z$2039</f>
        <v>-50.221976924570086</v>
      </c>
      <c r="L2067" s="46">
        <f>EFEITO!$N$2067*EFEITO!$AA$2039</f>
        <v>-23.068197444058345</v>
      </c>
      <c r="M2067" s="46">
        <f>$J$2067-EFEITO!$K$2067*EFEITO!$Y$2067</f>
        <v>0</v>
      </c>
      <c r="N2067" s="46">
        <f ca="1">$K$2067-EFEITO!$M$2067*EFEITO!$Z$2067</f>
        <v>-1.5066593077371024</v>
      </c>
      <c r="O2067" s="46">
        <f>$L$2067-EFEITO!$O$2067*EFEITO!$AA$2067</f>
        <v>-0.69204592332174997</v>
      </c>
      <c r="P2067" s="38"/>
      <c r="Q2067" s="38"/>
      <c r="R2067" s="38"/>
      <c r="S2067" s="38"/>
      <c r="T2067" s="38"/>
      <c r="U2067" s="38"/>
      <c r="V2067" s="38"/>
      <c r="W2067" s="38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</row>
    <row r="2068" spans="1:36" ht="11.25" customHeight="1" x14ac:dyDescent="0.2">
      <c r="A2068" s="35" t="s">
        <v>28</v>
      </c>
      <c r="B2068" s="35" t="s">
        <v>39</v>
      </c>
      <c r="C2068" s="35" t="s">
        <v>23</v>
      </c>
      <c r="D2068" s="35" t="s">
        <v>52</v>
      </c>
      <c r="E2068" s="35" t="s">
        <v>53</v>
      </c>
      <c r="F2068" s="35" t="s">
        <v>25</v>
      </c>
      <c r="G2068" s="35" t="s">
        <v>25</v>
      </c>
      <c r="H2068" s="35" t="s">
        <v>25</v>
      </c>
      <c r="I2068" s="45">
        <v>44835</v>
      </c>
      <c r="J2068" s="46">
        <f>EFEITO!$J$2068*EFEITO!$Y$2039</f>
        <v>0</v>
      </c>
      <c r="K2068" s="46">
        <f ca="1">EFEITO!$L$2068*EFEITO!$Z$2039</f>
        <v>265953.4921226764</v>
      </c>
      <c r="L2068" s="46">
        <f>EFEITO!$N$2068*EFEITO!$AA$2039</f>
        <v>122159.02365685762</v>
      </c>
      <c r="M2068" s="46">
        <f>$J$2068-EFEITO!$K$2068*EFEITO!$Y$2068</f>
        <v>0</v>
      </c>
      <c r="N2068" s="46">
        <f ca="1">$K$2068-EFEITO!$M$2068*EFEITO!$Z$2068</f>
        <v>7978.6047636803123</v>
      </c>
      <c r="O2068" s="46">
        <f>$L$2068-EFEITO!$O$2068*EFEITO!$AA$2068</f>
        <v>3664.7707097057428</v>
      </c>
      <c r="P2068" s="38"/>
      <c r="Q2068" s="38"/>
      <c r="R2068" s="38"/>
      <c r="S2068" s="38"/>
      <c r="T2068" s="38"/>
      <c r="U2068" s="38"/>
      <c r="V2068" s="38"/>
      <c r="W2068" s="38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</row>
    <row r="2069" spans="1:36" ht="11.25" customHeight="1" x14ac:dyDescent="0.2">
      <c r="A2069" s="35" t="s">
        <v>29</v>
      </c>
      <c r="B2069" s="35" t="s">
        <v>39</v>
      </c>
      <c r="C2069" s="35" t="s">
        <v>23</v>
      </c>
      <c r="D2069" s="35" t="s">
        <v>52</v>
      </c>
      <c r="E2069" s="35" t="s">
        <v>53</v>
      </c>
      <c r="F2069" s="35" t="s">
        <v>25</v>
      </c>
      <c r="G2069" s="35" t="s">
        <v>25</v>
      </c>
      <c r="H2069" s="35" t="s">
        <v>25</v>
      </c>
      <c r="I2069" s="45">
        <v>44835</v>
      </c>
      <c r="J2069" s="46">
        <f>EFEITO!$J$2069*EFEITO!$Y$2039</f>
        <v>0</v>
      </c>
      <c r="K2069" s="46">
        <f ca="1">EFEITO!$L$2069*EFEITO!$Z$2039</f>
        <v>-87.88845961799764</v>
      </c>
      <c r="L2069" s="46">
        <f>EFEITO!$N$2069*EFEITO!$AA$2039</f>
        <v>-40.369345527102098</v>
      </c>
      <c r="M2069" s="46">
        <f>$J$2069-EFEITO!$K$2069*EFEITO!$Y$2069</f>
        <v>0</v>
      </c>
      <c r="N2069" s="46">
        <f ca="1">$K$2069-EFEITO!$M$2069*EFEITO!$Z$2069</f>
        <v>-2.636653788539931</v>
      </c>
      <c r="O2069" s="46">
        <f>$L$2069-EFEITO!$O$2069*EFEITO!$AA$2069</f>
        <v>-1.2110803658130607</v>
      </c>
      <c r="P2069" s="38"/>
      <c r="Q2069" s="38"/>
      <c r="R2069" s="38"/>
      <c r="S2069" s="38"/>
      <c r="T2069" s="38"/>
      <c r="U2069" s="38"/>
      <c r="V2069" s="38"/>
      <c r="W2069" s="38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</row>
    <row r="2070" spans="1:36" ht="11.25" customHeight="1" x14ac:dyDescent="0.2">
      <c r="A2070" s="35" t="s">
        <v>59</v>
      </c>
      <c r="B2070" s="35" t="s">
        <v>39</v>
      </c>
      <c r="C2070" s="35" t="s">
        <v>23</v>
      </c>
      <c r="D2070" s="35" t="s">
        <v>52</v>
      </c>
      <c r="E2070" s="35" t="s">
        <v>53</v>
      </c>
      <c r="F2070" s="35" t="s">
        <v>25</v>
      </c>
      <c r="G2070" s="35" t="s">
        <v>25</v>
      </c>
      <c r="H2070" s="35" t="s">
        <v>25</v>
      </c>
      <c r="I2070" s="45">
        <v>44866</v>
      </c>
      <c r="J2070" s="46">
        <f>EFEITO!$J$2070*EFEITO!$Y$2039</f>
        <v>0</v>
      </c>
      <c r="K2070" s="46">
        <f ca="1">EFEITO!$L$2070*EFEITO!$Z$2039</f>
        <v>72094.1500949896</v>
      </c>
      <c r="L2070" s="46">
        <f>EFEITO!$N$2070*EFEITO!$AA$2039</f>
        <v>33114.628112920189</v>
      </c>
      <c r="M2070" s="46">
        <f>$J$2070-EFEITO!$K$2070*EFEITO!$Y$2070</f>
        <v>0</v>
      </c>
      <c r="N2070" s="46">
        <f ca="1">$K$2070-EFEITO!$M$2070*EFEITO!$Z$2070</f>
        <v>2162.8245028496895</v>
      </c>
      <c r="O2070" s="46">
        <f>$L$2070-EFEITO!$O$2070*EFEITO!$AA$2070</f>
        <v>993.43884338760472</v>
      </c>
      <c r="P2070" s="38"/>
      <c r="Q2070" s="38"/>
      <c r="R2070" s="38"/>
      <c r="S2070" s="38"/>
      <c r="T2070" s="38"/>
      <c r="U2070" s="38"/>
      <c r="V2070" s="38"/>
      <c r="W2070" s="38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</row>
    <row r="2071" spans="1:36" ht="11.25" customHeight="1" x14ac:dyDescent="0.2">
      <c r="A2071" s="35" t="s">
        <v>59</v>
      </c>
      <c r="B2071" s="35" t="s">
        <v>39</v>
      </c>
      <c r="C2071" s="35" t="s">
        <v>23</v>
      </c>
      <c r="D2071" s="35" t="s">
        <v>52</v>
      </c>
      <c r="E2071" s="35" t="s">
        <v>53</v>
      </c>
      <c r="F2071" s="35" t="s">
        <v>25</v>
      </c>
      <c r="G2071" s="35" t="s">
        <v>25</v>
      </c>
      <c r="H2071" s="35" t="s">
        <v>25</v>
      </c>
      <c r="I2071" s="45">
        <v>44866</v>
      </c>
      <c r="J2071" s="46">
        <f>EFEITO!$J$2071*EFEITO!$Y$2039</f>
        <v>0</v>
      </c>
      <c r="K2071" s="46">
        <f ca="1">EFEITO!$L$2071*EFEITO!$Z$2039</f>
        <v>-50.221976924570086</v>
      </c>
      <c r="L2071" s="46">
        <f>EFEITO!$N$2071*EFEITO!$AA$2039</f>
        <v>-23.068197444058345</v>
      </c>
      <c r="M2071" s="46">
        <f>$J$2071-EFEITO!$K$2071*EFEITO!$Y$2071</f>
        <v>0</v>
      </c>
      <c r="N2071" s="46">
        <f ca="1">$K$2071-EFEITO!$M$2071*EFEITO!$Z$2071</f>
        <v>-1.5066593077371024</v>
      </c>
      <c r="O2071" s="46">
        <f>$L$2071-EFEITO!$O$2071*EFEITO!$AA$2071</f>
        <v>-0.69204592332174997</v>
      </c>
      <c r="P2071" s="38"/>
      <c r="Q2071" s="38"/>
      <c r="R2071" s="38"/>
      <c r="S2071" s="38"/>
      <c r="T2071" s="38"/>
      <c r="U2071" s="38"/>
      <c r="V2071" s="38"/>
      <c r="W2071" s="38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</row>
    <row r="2072" spans="1:36" ht="11.25" customHeight="1" x14ac:dyDescent="0.2">
      <c r="A2072" s="35" t="s">
        <v>59</v>
      </c>
      <c r="B2072" s="35" t="s">
        <v>39</v>
      </c>
      <c r="C2072" s="35" t="s">
        <v>23</v>
      </c>
      <c r="D2072" s="35" t="s">
        <v>52</v>
      </c>
      <c r="E2072" s="35" t="s">
        <v>53</v>
      </c>
      <c r="F2072" s="35" t="s">
        <v>25</v>
      </c>
      <c r="G2072" s="35" t="s">
        <v>25</v>
      </c>
      <c r="H2072" s="35" t="s">
        <v>25</v>
      </c>
      <c r="I2072" s="45">
        <v>44866</v>
      </c>
      <c r="J2072" s="46">
        <f>EFEITO!$J$2072*EFEITO!$Y$2039</f>
        <v>0</v>
      </c>
      <c r="K2072" s="46">
        <f ca="1">EFEITO!$L$2072*EFEITO!$Z$2039</f>
        <v>265953.4921226764</v>
      </c>
      <c r="L2072" s="46">
        <f>EFEITO!$N$2072*EFEITO!$AA$2039</f>
        <v>122159.02365685762</v>
      </c>
      <c r="M2072" s="46">
        <f>$J$2072-EFEITO!$K$2072*EFEITO!$Y$2072</f>
        <v>0</v>
      </c>
      <c r="N2072" s="46">
        <f ca="1">$K$2072-EFEITO!$M$2072*EFEITO!$Z$2072</f>
        <v>7978.6047636803123</v>
      </c>
      <c r="O2072" s="46">
        <f>$L$2072-EFEITO!$O$2072*EFEITO!$AA$2072</f>
        <v>3664.7707097057428</v>
      </c>
      <c r="P2072" s="38"/>
      <c r="Q2072" s="38"/>
      <c r="R2072" s="38"/>
      <c r="S2072" s="38"/>
      <c r="T2072" s="38"/>
      <c r="U2072" s="38"/>
      <c r="V2072" s="38"/>
      <c r="W2072" s="38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</row>
    <row r="2073" spans="1:36" ht="11.25" customHeight="1" x14ac:dyDescent="0.2">
      <c r="A2073" s="35" t="s">
        <v>59</v>
      </c>
      <c r="B2073" s="35" t="s">
        <v>39</v>
      </c>
      <c r="C2073" s="35" t="s">
        <v>23</v>
      </c>
      <c r="D2073" s="35" t="s">
        <v>52</v>
      </c>
      <c r="E2073" s="35" t="s">
        <v>53</v>
      </c>
      <c r="F2073" s="35" t="s">
        <v>25</v>
      </c>
      <c r="G2073" s="35" t="s">
        <v>25</v>
      </c>
      <c r="H2073" s="35" t="s">
        <v>25</v>
      </c>
      <c r="I2073" s="45">
        <v>44866</v>
      </c>
      <c r="J2073" s="46">
        <f>EFEITO!$J$2073*EFEITO!$Y$2039</f>
        <v>0</v>
      </c>
      <c r="K2073" s="46">
        <f ca="1">EFEITO!$L$2073*EFEITO!$Z$2039</f>
        <v>-87.88845961799764</v>
      </c>
      <c r="L2073" s="46">
        <f>EFEITO!$N$2073*EFEITO!$AA$2039</f>
        <v>-40.369345527102098</v>
      </c>
      <c r="M2073" s="46">
        <f>$J$2073-EFEITO!$K$2073*EFEITO!$Y$2073</f>
        <v>0</v>
      </c>
      <c r="N2073" s="46">
        <f ca="1">$K$2073-EFEITO!$M$2073*EFEITO!$Z$2073</f>
        <v>-2.636653788539931</v>
      </c>
      <c r="O2073" s="46">
        <f>$L$2073-EFEITO!$O$2073*EFEITO!$AA$2073</f>
        <v>-1.2110803658130607</v>
      </c>
      <c r="P2073" s="38"/>
      <c r="Q2073" s="38"/>
      <c r="R2073" s="38"/>
      <c r="S2073" s="38"/>
      <c r="T2073" s="38"/>
      <c r="U2073" s="38"/>
      <c r="V2073" s="38"/>
      <c r="W2073" s="38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</row>
    <row r="2074" spans="1:36" ht="11.25" customHeight="1" x14ac:dyDescent="0.2">
      <c r="A2074" s="35" t="s">
        <v>21</v>
      </c>
      <c r="B2074" s="35" t="s">
        <v>49</v>
      </c>
      <c r="C2074" s="35" t="s">
        <v>23</v>
      </c>
      <c r="D2074" s="35" t="s">
        <v>50</v>
      </c>
      <c r="E2074" s="35" t="s">
        <v>51</v>
      </c>
      <c r="F2074" s="35" t="s">
        <v>25</v>
      </c>
      <c r="G2074" s="35" t="s">
        <v>25</v>
      </c>
      <c r="H2074" s="35" t="s">
        <v>25</v>
      </c>
      <c r="I2074" s="45">
        <v>44531</v>
      </c>
      <c r="J2074" s="46">
        <f>EFEITO!$J$2074*EFEITO!$Y$2074</f>
        <v>0</v>
      </c>
      <c r="K2074" s="46">
        <f ca="1">EFEITO!$L$2074*EFEITO!$Z$2074</f>
        <v>753739.08853542886</v>
      </c>
      <c r="L2074" s="46">
        <f>EFEITO!$N$2074*EFEITO!$AA$2074</f>
        <v>346211.02514053794</v>
      </c>
      <c r="M2074" s="46">
        <f>$J$2074-EFEITO!$K$2074*EFEITO!$Y$2074</f>
        <v>0</v>
      </c>
      <c r="N2074" s="46">
        <f ca="1">$K$2074-EFEITO!$M$2074*EFEITO!$Z$2074</f>
        <v>0</v>
      </c>
      <c r="O2074" s="46">
        <f>$L$2074-EFEITO!$O$2074*EFEITO!$AA$2074</f>
        <v>0</v>
      </c>
      <c r="P2074" s="38"/>
      <c r="Q2074" s="38"/>
      <c r="R2074" s="38"/>
      <c r="S2074" s="38"/>
      <c r="T2074" s="38"/>
      <c r="U2074" s="38"/>
      <c r="V2074" s="38"/>
      <c r="W2074" s="38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  <c r="AJ2074" s="6"/>
    </row>
    <row r="2075" spans="1:36" ht="11.25" customHeight="1" x14ac:dyDescent="0.2">
      <c r="A2075" s="35" t="s">
        <v>28</v>
      </c>
      <c r="B2075" s="35" t="s">
        <v>49</v>
      </c>
      <c r="C2075" s="35" t="s">
        <v>23</v>
      </c>
      <c r="D2075" s="35" t="s">
        <v>50</v>
      </c>
      <c r="E2075" s="35" t="s">
        <v>51</v>
      </c>
      <c r="F2075" s="35" t="s">
        <v>25</v>
      </c>
      <c r="G2075" s="35" t="s">
        <v>25</v>
      </c>
      <c r="H2075" s="35" t="s">
        <v>25</v>
      </c>
      <c r="I2075" s="45">
        <v>44531</v>
      </c>
      <c r="J2075" s="46">
        <f>EFEITO!$J$2075*EFEITO!$Y$2075</f>
        <v>0</v>
      </c>
      <c r="K2075" s="46">
        <f ca="1">EFEITO!$L$2075*EFEITO!$Z$2075</f>
        <v>294855.56184607791</v>
      </c>
      <c r="L2075" s="46">
        <f>EFEITO!$N$2075*EFEITO!$AA$2075</f>
        <v>135434.45986524771</v>
      </c>
      <c r="M2075" s="46">
        <f>$J$2075-EFEITO!$K$2075*EFEITO!$Y$2075</f>
        <v>0</v>
      </c>
      <c r="N2075" s="46">
        <f ca="1">$K$2075-EFEITO!$M$2075*EFEITO!$Z$2075</f>
        <v>0</v>
      </c>
      <c r="O2075" s="46">
        <f>$L$2075-EFEITO!$O$2075*EFEITO!$AA$2075</f>
        <v>0</v>
      </c>
      <c r="P2075" s="38"/>
      <c r="Q2075" s="38"/>
      <c r="R2075" s="38"/>
      <c r="S2075" s="38"/>
      <c r="T2075" s="38"/>
      <c r="U2075" s="38"/>
      <c r="V2075" s="38"/>
      <c r="W2075" s="38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</row>
    <row r="2076" spans="1:36" ht="11.25" customHeight="1" x14ac:dyDescent="0.2">
      <c r="A2076" s="35" t="s">
        <v>21</v>
      </c>
      <c r="B2076" s="35" t="s">
        <v>49</v>
      </c>
      <c r="C2076" s="35" t="s">
        <v>23</v>
      </c>
      <c r="D2076" s="35" t="s">
        <v>50</v>
      </c>
      <c r="E2076" s="35" t="s">
        <v>51</v>
      </c>
      <c r="F2076" s="35" t="s">
        <v>25</v>
      </c>
      <c r="G2076" s="35" t="s">
        <v>25</v>
      </c>
      <c r="H2076" s="35" t="s">
        <v>25</v>
      </c>
      <c r="I2076" s="45">
        <v>44562</v>
      </c>
      <c r="J2076" s="46">
        <f>EFEITO!$J$2076*EFEITO!$Y$2076</f>
        <v>0</v>
      </c>
      <c r="K2076" s="46">
        <f ca="1">EFEITO!$L$2076*EFEITO!$Z$2076</f>
        <v>856366.74416322622</v>
      </c>
      <c r="L2076" s="46">
        <f>EFEITO!$N$2076*EFEITO!$AA$2076</f>
        <v>393350.44832171971</v>
      </c>
      <c r="M2076" s="46">
        <f>$J$2076-EFEITO!$K$2076*EFEITO!$Y$2076</f>
        <v>0</v>
      </c>
      <c r="N2076" s="46">
        <f ca="1">$K$2076-EFEITO!$M$2076*EFEITO!$Z$2076</f>
        <v>0</v>
      </c>
      <c r="O2076" s="46">
        <f>$L$2076-EFEITO!$O$2076*EFEITO!$AA$2076</f>
        <v>0</v>
      </c>
      <c r="P2076" s="38"/>
      <c r="Q2076" s="38"/>
      <c r="R2076" s="38"/>
      <c r="S2076" s="38"/>
      <c r="T2076" s="38"/>
      <c r="U2076" s="38"/>
      <c r="V2076" s="38"/>
      <c r="W2076" s="38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</row>
    <row r="2077" spans="1:36" ht="11.25" customHeight="1" x14ac:dyDescent="0.2">
      <c r="A2077" s="35" t="s">
        <v>28</v>
      </c>
      <c r="B2077" s="35" t="s">
        <v>49</v>
      </c>
      <c r="C2077" s="35" t="s">
        <v>23</v>
      </c>
      <c r="D2077" s="35" t="s">
        <v>50</v>
      </c>
      <c r="E2077" s="35" t="s">
        <v>51</v>
      </c>
      <c r="F2077" s="35" t="s">
        <v>25</v>
      </c>
      <c r="G2077" s="35" t="s">
        <v>25</v>
      </c>
      <c r="H2077" s="35" t="s">
        <v>25</v>
      </c>
      <c r="I2077" s="45">
        <v>44562</v>
      </c>
      <c r="J2077" s="46">
        <f>EFEITO!$J$2077*EFEITO!$Y$2077</f>
        <v>0</v>
      </c>
      <c r="K2077" s="46">
        <f ca="1">EFEITO!$L$2077*EFEITO!$Z$2077</f>
        <v>295338.11971135769</v>
      </c>
      <c r="L2077" s="46">
        <f>EFEITO!$N$2077*EFEITO!$AA$2077</f>
        <v>135656.11064038897</v>
      </c>
      <c r="M2077" s="46">
        <f>$J$2077-EFEITO!$K$2077*EFEITO!$Y$2077</f>
        <v>0</v>
      </c>
      <c r="N2077" s="46">
        <f ca="1">$K$2077-EFEITO!$M$2077*EFEITO!$Z$2077</f>
        <v>0</v>
      </c>
      <c r="O2077" s="46">
        <f>$L$2077-EFEITO!$O$2077*EFEITO!$AA$2077</f>
        <v>0</v>
      </c>
      <c r="P2077" s="38"/>
      <c r="Q2077" s="38"/>
      <c r="R2077" s="38"/>
      <c r="S2077" s="38"/>
      <c r="T2077" s="38"/>
      <c r="U2077" s="38"/>
      <c r="V2077" s="38"/>
      <c r="W2077" s="38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</row>
    <row r="2078" spans="1:36" ht="11.25" customHeight="1" x14ac:dyDescent="0.2">
      <c r="A2078" s="35" t="s">
        <v>21</v>
      </c>
      <c r="B2078" s="35" t="s">
        <v>49</v>
      </c>
      <c r="C2078" s="35" t="s">
        <v>23</v>
      </c>
      <c r="D2078" s="35" t="s">
        <v>50</v>
      </c>
      <c r="E2078" s="35" t="s">
        <v>51</v>
      </c>
      <c r="F2078" s="35" t="s">
        <v>25</v>
      </c>
      <c r="G2078" s="35" t="s">
        <v>25</v>
      </c>
      <c r="H2078" s="35" t="s">
        <v>25</v>
      </c>
      <c r="I2078" s="45">
        <v>44593</v>
      </c>
      <c r="J2078" s="46">
        <f>EFEITO!$J$2078*EFEITO!$Y$2078</f>
        <v>0</v>
      </c>
      <c r="K2078" s="46">
        <f ca="1">EFEITO!$L$2078*EFEITO!$Z$2078</f>
        <v>755559.10786818678</v>
      </c>
      <c r="L2078" s="46">
        <f>EFEITO!$N$2078*EFEITO!$AA$2078</f>
        <v>347047.00508181186</v>
      </c>
      <c r="M2078" s="46">
        <f>$J$2078-EFEITO!$K$2078*EFEITO!$Y$2078</f>
        <v>0</v>
      </c>
      <c r="N2078" s="46">
        <f ca="1">$K$2078-EFEITO!$M$2078*EFEITO!$Z$2078</f>
        <v>0</v>
      </c>
      <c r="O2078" s="46">
        <f>$L$2078-EFEITO!$O$2078*EFEITO!$AA$2078</f>
        <v>0</v>
      </c>
      <c r="P2078" s="38"/>
      <c r="Q2078" s="38"/>
      <c r="R2078" s="38"/>
      <c r="S2078" s="38"/>
      <c r="T2078" s="38"/>
      <c r="U2078" s="38"/>
      <c r="V2078" s="38"/>
      <c r="W2078" s="38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</row>
    <row r="2079" spans="1:36" ht="11.25" customHeight="1" x14ac:dyDescent="0.2">
      <c r="A2079" s="35" t="s">
        <v>28</v>
      </c>
      <c r="B2079" s="35" t="s">
        <v>49</v>
      </c>
      <c r="C2079" s="35" t="s">
        <v>23</v>
      </c>
      <c r="D2079" s="35" t="s">
        <v>50</v>
      </c>
      <c r="E2079" s="35" t="s">
        <v>51</v>
      </c>
      <c r="F2079" s="35" t="s">
        <v>25</v>
      </c>
      <c r="G2079" s="35" t="s">
        <v>25</v>
      </c>
      <c r="H2079" s="35" t="s">
        <v>25</v>
      </c>
      <c r="I2079" s="45">
        <v>44593</v>
      </c>
      <c r="J2079" s="46">
        <f>EFEITO!$J$2079*EFEITO!$Y$2079</f>
        <v>0</v>
      </c>
      <c r="K2079" s="46">
        <f ca="1">EFEITO!$L$2079*EFEITO!$Z$2079</f>
        <v>425366.60972832743</v>
      </c>
      <c r="L2079" s="46">
        <f>EFEITO!$N$2079*EFEITO!$AA$2079</f>
        <v>195381.41547196306</v>
      </c>
      <c r="M2079" s="46">
        <f>$J$2079-EFEITO!$K$2079*EFEITO!$Y$2079</f>
        <v>0</v>
      </c>
      <c r="N2079" s="46">
        <f ca="1">$K$2079-EFEITO!$M$2079*EFEITO!$Z$2079</f>
        <v>0</v>
      </c>
      <c r="O2079" s="46">
        <f>$L$2079-EFEITO!$O$2079*EFEITO!$AA$2079</f>
        <v>0</v>
      </c>
      <c r="P2079" s="38"/>
      <c r="Q2079" s="38"/>
      <c r="R2079" s="38"/>
      <c r="S2079" s="38"/>
      <c r="T2079" s="38"/>
      <c r="U2079" s="38"/>
      <c r="V2079" s="38"/>
      <c r="W2079" s="38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6"/>
    </row>
    <row r="2080" spans="1:36" ht="11.25" customHeight="1" x14ac:dyDescent="0.2">
      <c r="A2080" s="35" t="s">
        <v>21</v>
      </c>
      <c r="B2080" s="35" t="s">
        <v>49</v>
      </c>
      <c r="C2080" s="35" t="s">
        <v>23</v>
      </c>
      <c r="D2080" s="35" t="s">
        <v>50</v>
      </c>
      <c r="E2080" s="35" t="s">
        <v>51</v>
      </c>
      <c r="F2080" s="35" t="s">
        <v>25</v>
      </c>
      <c r="G2080" s="35" t="s">
        <v>25</v>
      </c>
      <c r="H2080" s="35" t="s">
        <v>25</v>
      </c>
      <c r="I2080" s="45">
        <v>44621</v>
      </c>
      <c r="J2080" s="46">
        <f>EFEITO!$J$2080*EFEITO!$Y$2080</f>
        <v>0</v>
      </c>
      <c r="K2080" s="46">
        <f ca="1">EFEITO!$L$2080*EFEITO!$Z$2080</f>
        <v>849415.0934502926</v>
      </c>
      <c r="L2080" s="46">
        <f>EFEITO!$N$2080*EFEITO!$AA$2080</f>
        <v>390157.38303380937</v>
      </c>
      <c r="M2080" s="46">
        <f>$J$2080-EFEITO!$K$2080*EFEITO!$Y$2080</f>
        <v>0</v>
      </c>
      <c r="N2080" s="46">
        <f ca="1">$K$2080-EFEITO!$M$2080*EFEITO!$Z$2080</f>
        <v>0</v>
      </c>
      <c r="O2080" s="46">
        <f>$L$2080-EFEITO!$O$2080*EFEITO!$AA$2080</f>
        <v>0</v>
      </c>
      <c r="P2080" s="38"/>
      <c r="Q2080" s="38"/>
      <c r="R2080" s="38"/>
      <c r="S2080" s="38"/>
      <c r="T2080" s="38"/>
      <c r="U2080" s="38"/>
      <c r="V2080" s="38"/>
      <c r="W2080" s="38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</row>
    <row r="2081" spans="1:36" ht="11.25" customHeight="1" x14ac:dyDescent="0.2">
      <c r="A2081" s="35" t="s">
        <v>28</v>
      </c>
      <c r="B2081" s="35" t="s">
        <v>49</v>
      </c>
      <c r="C2081" s="35" t="s">
        <v>23</v>
      </c>
      <c r="D2081" s="35" t="s">
        <v>50</v>
      </c>
      <c r="E2081" s="35" t="s">
        <v>51</v>
      </c>
      <c r="F2081" s="35" t="s">
        <v>25</v>
      </c>
      <c r="G2081" s="35" t="s">
        <v>25</v>
      </c>
      <c r="H2081" s="35" t="s">
        <v>25</v>
      </c>
      <c r="I2081" s="45">
        <v>44621</v>
      </c>
      <c r="J2081" s="46">
        <f>EFEITO!$J$2081*EFEITO!$Y$2081</f>
        <v>0</v>
      </c>
      <c r="K2081" s="46">
        <f ca="1">EFEITO!$L$2081*EFEITO!$Z$2081</f>
        <v>387027.15254411066</v>
      </c>
      <c r="L2081" s="46">
        <f>EFEITO!$N$2081*EFEITO!$AA$2081</f>
        <v>177771.15354316891</v>
      </c>
      <c r="M2081" s="46">
        <f>$J$2081-EFEITO!$K$2081*EFEITO!$Y$2081</f>
        <v>0</v>
      </c>
      <c r="N2081" s="46">
        <f ca="1">$K$2081-EFEITO!$M$2081*EFEITO!$Z$2081</f>
        <v>0</v>
      </c>
      <c r="O2081" s="46">
        <f>$L$2081-EFEITO!$O$2081*EFEITO!$AA$2081</f>
        <v>0</v>
      </c>
      <c r="P2081" s="38"/>
      <c r="Q2081" s="38"/>
      <c r="R2081" s="38"/>
      <c r="S2081" s="38"/>
      <c r="T2081" s="38"/>
      <c r="U2081" s="38"/>
      <c r="V2081" s="38"/>
      <c r="W2081" s="38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</row>
    <row r="2082" spans="1:36" ht="11.25" customHeight="1" x14ac:dyDescent="0.2">
      <c r="A2082" s="35" t="s">
        <v>21</v>
      </c>
      <c r="B2082" s="35" t="s">
        <v>49</v>
      </c>
      <c r="C2082" s="35" t="s">
        <v>23</v>
      </c>
      <c r="D2082" s="35" t="s">
        <v>50</v>
      </c>
      <c r="E2082" s="35" t="s">
        <v>51</v>
      </c>
      <c r="F2082" s="35" t="s">
        <v>25</v>
      </c>
      <c r="G2082" s="35" t="s">
        <v>25</v>
      </c>
      <c r="H2082" s="35" t="s">
        <v>25</v>
      </c>
      <c r="I2082" s="45">
        <v>44652</v>
      </c>
      <c r="J2082" s="46">
        <f>EFEITO!$J$2082*EFEITO!$Y$2082</f>
        <v>0</v>
      </c>
      <c r="K2082" s="46">
        <f ca="1">EFEITO!$L$2082*EFEITO!$Z$2082</f>
        <v>965117.66410557483</v>
      </c>
      <c r="L2082" s="46">
        <f>EFEITO!$N$2082*EFEITO!$AA$2082</f>
        <v>443302.43840807088</v>
      </c>
      <c r="M2082" s="46">
        <f>$J$2082-EFEITO!$K$2082*EFEITO!$Y$2082</f>
        <v>0</v>
      </c>
      <c r="N2082" s="46">
        <f ca="1">$K$2082-EFEITO!$M$2082*EFEITO!$Z$2082</f>
        <v>0</v>
      </c>
      <c r="O2082" s="46">
        <f>$L$2082-EFEITO!$O$2082*EFEITO!$AA$2082</f>
        <v>0</v>
      </c>
      <c r="P2082" s="38"/>
      <c r="Q2082" s="38"/>
      <c r="R2082" s="38"/>
      <c r="S2082" s="38"/>
      <c r="T2082" s="38"/>
      <c r="U2082" s="38"/>
      <c r="V2082" s="38"/>
      <c r="W2082" s="38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  <c r="AJ2082" s="6"/>
    </row>
    <row r="2083" spans="1:36" ht="11.25" customHeight="1" x14ac:dyDescent="0.2">
      <c r="A2083" s="35" t="s">
        <v>27</v>
      </c>
      <c r="B2083" s="35" t="s">
        <v>49</v>
      </c>
      <c r="C2083" s="35" t="s">
        <v>23</v>
      </c>
      <c r="D2083" s="35" t="s">
        <v>50</v>
      </c>
      <c r="E2083" s="35" t="s">
        <v>51</v>
      </c>
      <c r="F2083" s="35" t="s">
        <v>25</v>
      </c>
      <c r="G2083" s="35" t="s">
        <v>25</v>
      </c>
      <c r="H2083" s="35" t="s">
        <v>25</v>
      </c>
      <c r="I2083" s="45">
        <v>44652</v>
      </c>
      <c r="J2083" s="46">
        <f>EFEITO!$J$2083*EFEITO!$Y$2083</f>
        <v>0</v>
      </c>
      <c r="K2083" s="46">
        <f ca="1">EFEITO!$L$2083*EFEITO!$Z$2083</f>
        <v>-142.80619138501504</v>
      </c>
      <c r="L2083" s="46">
        <f>EFEITO!$N$2083*EFEITO!$AA$2083</f>
        <v>-65.594419432179919</v>
      </c>
      <c r="M2083" s="46">
        <f>$J$2083-EFEITO!$K$2083*EFEITO!$Y$2083</f>
        <v>0</v>
      </c>
      <c r="N2083" s="46">
        <f ca="1">$K$2083-EFEITO!$M$2083*EFEITO!$Z$2083</f>
        <v>0</v>
      </c>
      <c r="O2083" s="46">
        <f>$L$2083-EFEITO!$O$2083*EFEITO!$AA$2083</f>
        <v>0</v>
      </c>
      <c r="P2083" s="38"/>
      <c r="Q2083" s="38"/>
      <c r="R2083" s="38"/>
      <c r="S2083" s="38"/>
      <c r="T2083" s="38"/>
      <c r="U2083" s="38"/>
      <c r="V2083" s="38"/>
      <c r="W2083" s="38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</row>
    <row r="2084" spans="1:36" ht="11.25" customHeight="1" x14ac:dyDescent="0.2">
      <c r="A2084" s="35" t="s">
        <v>28</v>
      </c>
      <c r="B2084" s="35" t="s">
        <v>49</v>
      </c>
      <c r="C2084" s="35" t="s">
        <v>23</v>
      </c>
      <c r="D2084" s="35" t="s">
        <v>50</v>
      </c>
      <c r="E2084" s="35" t="s">
        <v>51</v>
      </c>
      <c r="F2084" s="35" t="s">
        <v>25</v>
      </c>
      <c r="G2084" s="35" t="s">
        <v>25</v>
      </c>
      <c r="H2084" s="35" t="s">
        <v>25</v>
      </c>
      <c r="I2084" s="45">
        <v>44652</v>
      </c>
      <c r="J2084" s="46">
        <f>EFEITO!$J$2084*EFEITO!$Y$2084</f>
        <v>0</v>
      </c>
      <c r="K2084" s="46">
        <f ca="1">EFEITO!$L$2084*EFEITO!$Z$2084</f>
        <v>287493.17069486674</v>
      </c>
      <c r="L2084" s="46">
        <f>EFEITO!$N$2084*EFEITO!$AA$2084</f>
        <v>132052.73132454109</v>
      </c>
      <c r="M2084" s="46">
        <f>$J$2084-EFEITO!$K$2084*EFEITO!$Y$2084</f>
        <v>0</v>
      </c>
      <c r="N2084" s="46">
        <f ca="1">$K$2084-EFEITO!$M$2084*EFEITO!$Z$2084</f>
        <v>0</v>
      </c>
      <c r="O2084" s="46">
        <f>$L$2084-EFEITO!$O$2084*EFEITO!$AA$2084</f>
        <v>0</v>
      </c>
      <c r="P2084" s="38"/>
      <c r="Q2084" s="38"/>
      <c r="R2084" s="38"/>
      <c r="S2084" s="38"/>
      <c r="T2084" s="38"/>
      <c r="U2084" s="38"/>
      <c r="V2084" s="38"/>
      <c r="W2084" s="38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</row>
    <row r="2085" spans="1:36" ht="11.25" customHeight="1" x14ac:dyDescent="0.2">
      <c r="A2085" s="35" t="s">
        <v>21</v>
      </c>
      <c r="B2085" s="35" t="s">
        <v>49</v>
      </c>
      <c r="C2085" s="35" t="s">
        <v>23</v>
      </c>
      <c r="D2085" s="35" t="s">
        <v>50</v>
      </c>
      <c r="E2085" s="35" t="s">
        <v>51</v>
      </c>
      <c r="F2085" s="35" t="s">
        <v>25</v>
      </c>
      <c r="G2085" s="35" t="s">
        <v>25</v>
      </c>
      <c r="H2085" s="35" t="s">
        <v>25</v>
      </c>
      <c r="I2085" s="45">
        <v>44682</v>
      </c>
      <c r="J2085" s="46">
        <f>EFEITO!$J$2085*EFEITO!$Y$2085</f>
        <v>0</v>
      </c>
      <c r="K2085" s="46">
        <f ca="1">EFEITO!$L$2085*EFEITO!$Z$2085</f>
        <v>776964.01576530002</v>
      </c>
      <c r="L2085" s="46">
        <f>EFEITO!$N$2085*EFEITO!$AA$2085</f>
        <v>356878.80924165418</v>
      </c>
      <c r="M2085" s="46">
        <f>$J$2085-EFEITO!$K$2085*EFEITO!$Y$2085</f>
        <v>0</v>
      </c>
      <c r="N2085" s="46">
        <f ca="1">$K$2085-EFEITO!$M$2085*EFEITO!$Z$2085</f>
        <v>0</v>
      </c>
      <c r="O2085" s="46">
        <f>$L$2085-EFEITO!$O$2085*EFEITO!$AA$2085</f>
        <v>0</v>
      </c>
      <c r="P2085" s="38"/>
      <c r="Q2085" s="38"/>
      <c r="R2085" s="38"/>
      <c r="S2085" s="38"/>
      <c r="T2085" s="38"/>
      <c r="U2085" s="38"/>
      <c r="V2085" s="38"/>
      <c r="W2085" s="38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</row>
    <row r="2086" spans="1:36" ht="11.25" customHeight="1" x14ac:dyDescent="0.2">
      <c r="A2086" s="35" t="s">
        <v>28</v>
      </c>
      <c r="B2086" s="35" t="s">
        <v>49</v>
      </c>
      <c r="C2086" s="35" t="s">
        <v>23</v>
      </c>
      <c r="D2086" s="35" t="s">
        <v>50</v>
      </c>
      <c r="E2086" s="35" t="s">
        <v>51</v>
      </c>
      <c r="F2086" s="35" t="s">
        <v>25</v>
      </c>
      <c r="G2086" s="35" t="s">
        <v>25</v>
      </c>
      <c r="H2086" s="35" t="s">
        <v>25</v>
      </c>
      <c r="I2086" s="45">
        <v>44682</v>
      </c>
      <c r="J2086" s="46">
        <f>EFEITO!$J$2086*EFEITO!$Y$2086</f>
        <v>0</v>
      </c>
      <c r="K2086" s="46">
        <f ca="1">EFEITO!$L$2086*EFEITO!$Z$2086</f>
        <v>296181.42203688656</v>
      </c>
      <c r="L2086" s="46">
        <f>EFEITO!$N$2086*EFEITO!$AA$2086</f>
        <v>136043.46027777085</v>
      </c>
      <c r="M2086" s="46">
        <f>$J$2086-EFEITO!$K$2086*EFEITO!$Y$2086</f>
        <v>0</v>
      </c>
      <c r="N2086" s="46">
        <f ca="1">$K$2086-EFEITO!$M$2086*EFEITO!$Z$2086</f>
        <v>0</v>
      </c>
      <c r="O2086" s="46">
        <f>$L$2086-EFEITO!$O$2086*EFEITO!$AA$2086</f>
        <v>0</v>
      </c>
      <c r="P2086" s="38"/>
      <c r="Q2086" s="38"/>
      <c r="R2086" s="38"/>
      <c r="S2086" s="38"/>
      <c r="T2086" s="38"/>
      <c r="U2086" s="38"/>
      <c r="V2086" s="38"/>
      <c r="W2086" s="38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</row>
    <row r="2087" spans="1:36" ht="11.25" customHeight="1" x14ac:dyDescent="0.2">
      <c r="A2087" s="35" t="s">
        <v>21</v>
      </c>
      <c r="B2087" s="35" t="s">
        <v>49</v>
      </c>
      <c r="C2087" s="35" t="s">
        <v>23</v>
      </c>
      <c r="D2087" s="35" t="s">
        <v>50</v>
      </c>
      <c r="E2087" s="35" t="s">
        <v>51</v>
      </c>
      <c r="F2087" s="35" t="s">
        <v>25</v>
      </c>
      <c r="G2087" s="35" t="s">
        <v>25</v>
      </c>
      <c r="H2087" s="35" t="s">
        <v>25</v>
      </c>
      <c r="I2087" s="45">
        <v>44713</v>
      </c>
      <c r="J2087" s="46">
        <f>EFEITO!$J$2087*EFEITO!$Y$2087</f>
        <v>0</v>
      </c>
      <c r="K2087" s="46">
        <f ca="1">EFEITO!$L$2087*EFEITO!$Z$2087</f>
        <v>747278.8347557137</v>
      </c>
      <c r="L2087" s="46">
        <f>EFEITO!$N$2087*EFEITO!$AA$2087</f>
        <v>343243.67063051893</v>
      </c>
      <c r="M2087" s="46">
        <f>$J$2087-EFEITO!$K$2087*EFEITO!$Y$2087</f>
        <v>0</v>
      </c>
      <c r="N2087" s="46">
        <f ca="1">$K$2087-EFEITO!$M$2087*EFEITO!$Z$2087</f>
        <v>0</v>
      </c>
      <c r="O2087" s="46">
        <f>$L$2087-EFEITO!$O$2087*EFEITO!$AA$2087</f>
        <v>0</v>
      </c>
      <c r="P2087" s="38"/>
      <c r="Q2087" s="38"/>
      <c r="R2087" s="38"/>
      <c r="S2087" s="38"/>
      <c r="T2087" s="38"/>
      <c r="U2087" s="38"/>
      <c r="V2087" s="38"/>
      <c r="W2087" s="38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</row>
    <row r="2088" spans="1:36" ht="11.25" customHeight="1" x14ac:dyDescent="0.2">
      <c r="A2088" s="35" t="s">
        <v>27</v>
      </c>
      <c r="B2088" s="35" t="s">
        <v>49</v>
      </c>
      <c r="C2088" s="35" t="s">
        <v>23</v>
      </c>
      <c r="D2088" s="35" t="s">
        <v>50</v>
      </c>
      <c r="E2088" s="35" t="s">
        <v>51</v>
      </c>
      <c r="F2088" s="35" t="s">
        <v>25</v>
      </c>
      <c r="G2088" s="35" t="s">
        <v>25</v>
      </c>
      <c r="H2088" s="35" t="s">
        <v>25</v>
      </c>
      <c r="I2088" s="45">
        <v>44713</v>
      </c>
      <c r="J2088" s="46">
        <f>EFEITO!$J$2088*EFEITO!$Y$2088</f>
        <v>0</v>
      </c>
      <c r="K2088" s="46">
        <f ca="1">EFEITO!$L$2088*EFEITO!$Z$2088</f>
        <v>-101.92550216841498</v>
      </c>
      <c r="L2088" s="46">
        <f>EFEITO!$N$2088*EFEITO!$AA$2088</f>
        <v>-46.816906712716417</v>
      </c>
      <c r="M2088" s="46">
        <f>$J$2088-EFEITO!$K$2088*EFEITO!$Y$2088</f>
        <v>0</v>
      </c>
      <c r="N2088" s="46">
        <f ca="1">$K$2088-EFEITO!$M$2088*EFEITO!$Z$2088</f>
        <v>0</v>
      </c>
      <c r="O2088" s="46">
        <f>$L$2088-EFEITO!$O$2088*EFEITO!$AA$2088</f>
        <v>0</v>
      </c>
      <c r="P2088" s="38"/>
      <c r="Q2088" s="38"/>
      <c r="R2088" s="38"/>
      <c r="S2088" s="38"/>
      <c r="T2088" s="38"/>
      <c r="U2088" s="38"/>
      <c r="V2088" s="38"/>
      <c r="W2088" s="38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</row>
    <row r="2089" spans="1:36" ht="11.25" customHeight="1" x14ac:dyDescent="0.2">
      <c r="A2089" s="35" t="s">
        <v>28</v>
      </c>
      <c r="B2089" s="35" t="s">
        <v>49</v>
      </c>
      <c r="C2089" s="35" t="s">
        <v>23</v>
      </c>
      <c r="D2089" s="35" t="s">
        <v>50</v>
      </c>
      <c r="E2089" s="35" t="s">
        <v>51</v>
      </c>
      <c r="F2089" s="35" t="s">
        <v>25</v>
      </c>
      <c r="G2089" s="35" t="s">
        <v>25</v>
      </c>
      <c r="H2089" s="35" t="s">
        <v>25</v>
      </c>
      <c r="I2089" s="45">
        <v>44713</v>
      </c>
      <c r="J2089" s="46">
        <f>EFEITO!$J$2089*EFEITO!$Y$2089</f>
        <v>0</v>
      </c>
      <c r="K2089" s="46">
        <f ca="1">EFEITO!$L$2089*EFEITO!$Z$2089</f>
        <v>286002.40664282627</v>
      </c>
      <c r="L2089" s="46">
        <f>EFEITO!$N$2089*EFEITO!$AA$2089</f>
        <v>131367.9864857104</v>
      </c>
      <c r="M2089" s="46">
        <f>$J$2089-EFEITO!$K$2089*EFEITO!$Y$2089</f>
        <v>0</v>
      </c>
      <c r="N2089" s="46">
        <f ca="1">$K$2089-EFEITO!$M$2089*EFEITO!$Z$2089</f>
        <v>0</v>
      </c>
      <c r="O2089" s="46">
        <f>$L$2089-EFEITO!$O$2089*EFEITO!$AA$2089</f>
        <v>0</v>
      </c>
      <c r="P2089" s="38"/>
      <c r="Q2089" s="38"/>
      <c r="R2089" s="38"/>
      <c r="S2089" s="38"/>
      <c r="T2089" s="38"/>
      <c r="U2089" s="38"/>
      <c r="V2089" s="38"/>
      <c r="W2089" s="38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</row>
    <row r="2090" spans="1:36" ht="11.25" customHeight="1" x14ac:dyDescent="0.2">
      <c r="A2090" s="35" t="s">
        <v>21</v>
      </c>
      <c r="B2090" s="35" t="s">
        <v>49</v>
      </c>
      <c r="C2090" s="35" t="s">
        <v>23</v>
      </c>
      <c r="D2090" s="35" t="s">
        <v>50</v>
      </c>
      <c r="E2090" s="35" t="s">
        <v>51</v>
      </c>
      <c r="F2090" s="35" t="s">
        <v>25</v>
      </c>
      <c r="G2090" s="35" t="s">
        <v>25</v>
      </c>
      <c r="H2090" s="35" t="s">
        <v>25</v>
      </c>
      <c r="I2090" s="45">
        <v>44743</v>
      </c>
      <c r="J2090" s="46">
        <f>EFEITO!$J$2090*EFEITO!$Y$2090</f>
        <v>0</v>
      </c>
      <c r="K2090" s="46">
        <f ca="1">EFEITO!$L$2090*EFEITO!$Z$2090</f>
        <v>783700.49041810038</v>
      </c>
      <c r="L2090" s="46">
        <f>EFEITO!$N$2090*EFEITO!$AA$2090</f>
        <v>359973.03883761558</v>
      </c>
      <c r="M2090" s="46">
        <f>$J$2090-EFEITO!$K$2090*EFEITO!$Y$2090</f>
        <v>0</v>
      </c>
      <c r="N2090" s="46">
        <f ca="1">$K$2090-EFEITO!$M$2090*EFEITO!$Z$2090</f>
        <v>0</v>
      </c>
      <c r="O2090" s="46">
        <f>$L$2090-EFEITO!$O$2090*EFEITO!$AA$2090</f>
        <v>0</v>
      </c>
      <c r="P2090" s="38"/>
      <c r="Q2090" s="38"/>
      <c r="R2090" s="38"/>
      <c r="S2090" s="38"/>
      <c r="T2090" s="38"/>
      <c r="U2090" s="38"/>
      <c r="V2090" s="38"/>
      <c r="W2090" s="38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</row>
    <row r="2091" spans="1:36" ht="11.25" customHeight="1" x14ac:dyDescent="0.2">
      <c r="A2091" s="35" t="s">
        <v>28</v>
      </c>
      <c r="B2091" s="35" t="s">
        <v>49</v>
      </c>
      <c r="C2091" s="35" t="s">
        <v>23</v>
      </c>
      <c r="D2091" s="35" t="s">
        <v>50</v>
      </c>
      <c r="E2091" s="35" t="s">
        <v>51</v>
      </c>
      <c r="F2091" s="35" t="s">
        <v>25</v>
      </c>
      <c r="G2091" s="35" t="s">
        <v>25</v>
      </c>
      <c r="H2091" s="35" t="s">
        <v>25</v>
      </c>
      <c r="I2091" s="45">
        <v>44743</v>
      </c>
      <c r="J2091" s="46">
        <f>EFEITO!$J$2091*EFEITO!$Y$2091</f>
        <v>0</v>
      </c>
      <c r="K2091" s="46">
        <f ca="1">EFEITO!$L$2091*EFEITO!$Z$2091</f>
        <v>298742.81819300505</v>
      </c>
      <c r="L2091" s="46">
        <f>EFEITO!$N$2091*EFEITO!$AA$2091</f>
        <v>137219.97294971402</v>
      </c>
      <c r="M2091" s="46">
        <f>$J$2091-EFEITO!$K$2091*EFEITO!$Y$2091</f>
        <v>0</v>
      </c>
      <c r="N2091" s="46">
        <f ca="1">$K$2091-EFEITO!$M$2091*EFEITO!$Z$2091</f>
        <v>0</v>
      </c>
      <c r="O2091" s="46">
        <f>$L$2091-EFEITO!$O$2091*EFEITO!$AA$2091</f>
        <v>0</v>
      </c>
      <c r="P2091" s="38"/>
      <c r="Q2091" s="38"/>
      <c r="R2091" s="38"/>
      <c r="S2091" s="38"/>
      <c r="T2091" s="38"/>
      <c r="U2091" s="38"/>
      <c r="V2091" s="38"/>
      <c r="W2091" s="38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</row>
    <row r="2092" spans="1:36" ht="11.25" customHeight="1" x14ac:dyDescent="0.2">
      <c r="A2092" s="35" t="s">
        <v>21</v>
      </c>
      <c r="B2092" s="35" t="s">
        <v>49</v>
      </c>
      <c r="C2092" s="35" t="s">
        <v>23</v>
      </c>
      <c r="D2092" s="35" t="s">
        <v>50</v>
      </c>
      <c r="E2092" s="35" t="s">
        <v>51</v>
      </c>
      <c r="F2092" s="35" t="s">
        <v>25</v>
      </c>
      <c r="G2092" s="35" t="s">
        <v>25</v>
      </c>
      <c r="H2092" s="35" t="s">
        <v>25</v>
      </c>
      <c r="I2092" s="45">
        <v>44774</v>
      </c>
      <c r="J2092" s="46">
        <f>EFEITO!$J$2092*EFEITO!$Y$2092</f>
        <v>0</v>
      </c>
      <c r="K2092" s="46">
        <f ca="1">EFEITO!$L$2092*EFEITO!$Z$2092</f>
        <v>826382.13972721552</v>
      </c>
      <c r="L2092" s="46">
        <f>EFEITO!$N$2092*EFEITO!$AA$2092</f>
        <v>379577.77711742296</v>
      </c>
      <c r="M2092" s="46">
        <f>$J$2092-EFEITO!$K$2092*EFEITO!$Y$2092</f>
        <v>0</v>
      </c>
      <c r="N2092" s="46">
        <f ca="1">$K$2092-EFEITO!$M$2092*EFEITO!$Z$2092</f>
        <v>0</v>
      </c>
      <c r="O2092" s="46">
        <f>$L$2092-EFEITO!$O$2092*EFEITO!$AA$2092</f>
        <v>0</v>
      </c>
      <c r="P2092" s="38"/>
      <c r="Q2092" s="38"/>
      <c r="R2092" s="38"/>
      <c r="S2092" s="38"/>
      <c r="T2092" s="38"/>
      <c r="U2092" s="38"/>
      <c r="V2092" s="38"/>
      <c r="W2092" s="38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</row>
    <row r="2093" spans="1:36" ht="11.25" customHeight="1" x14ac:dyDescent="0.2">
      <c r="A2093" s="35" t="s">
        <v>28</v>
      </c>
      <c r="B2093" s="35" t="s">
        <v>49</v>
      </c>
      <c r="C2093" s="35" t="s">
        <v>23</v>
      </c>
      <c r="D2093" s="35" t="s">
        <v>50</v>
      </c>
      <c r="E2093" s="35" t="s">
        <v>51</v>
      </c>
      <c r="F2093" s="35" t="s">
        <v>25</v>
      </c>
      <c r="G2093" s="35" t="s">
        <v>25</v>
      </c>
      <c r="H2093" s="35" t="s">
        <v>25</v>
      </c>
      <c r="I2093" s="45">
        <v>44774</v>
      </c>
      <c r="J2093" s="46">
        <f>EFEITO!$J$2093*EFEITO!$Y$2093</f>
        <v>0</v>
      </c>
      <c r="K2093" s="46">
        <f ca="1">EFEITO!$L$2093*EFEITO!$Z$2093</f>
        <v>297921.33731644985</v>
      </c>
      <c r="L2093" s="46">
        <f>EFEITO!$N$2093*EFEITO!$AA$2093</f>
        <v>136842.64644412152</v>
      </c>
      <c r="M2093" s="46">
        <f>$J$2093-EFEITO!$K$2093*EFEITO!$Y$2093</f>
        <v>0</v>
      </c>
      <c r="N2093" s="46">
        <f ca="1">$K$2093-EFEITO!$M$2093*EFEITO!$Z$2093</f>
        <v>0</v>
      </c>
      <c r="O2093" s="46">
        <f>$L$2093-EFEITO!$O$2093*EFEITO!$AA$2093</f>
        <v>0</v>
      </c>
      <c r="P2093" s="38"/>
      <c r="Q2093" s="38"/>
      <c r="R2093" s="38"/>
      <c r="S2093" s="38"/>
      <c r="T2093" s="38"/>
      <c r="U2093" s="38"/>
      <c r="V2093" s="38"/>
      <c r="W2093" s="38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</row>
    <row r="2094" spans="1:36" ht="11.25" customHeight="1" x14ac:dyDescent="0.2">
      <c r="A2094" s="35" t="s">
        <v>21</v>
      </c>
      <c r="B2094" s="35" t="s">
        <v>49</v>
      </c>
      <c r="C2094" s="35" t="s">
        <v>23</v>
      </c>
      <c r="D2094" s="35" t="s">
        <v>50</v>
      </c>
      <c r="E2094" s="35" t="s">
        <v>51</v>
      </c>
      <c r="F2094" s="35" t="s">
        <v>25</v>
      </c>
      <c r="G2094" s="35" t="s">
        <v>25</v>
      </c>
      <c r="H2094" s="35" t="s">
        <v>25</v>
      </c>
      <c r="I2094" s="45">
        <v>44805</v>
      </c>
      <c r="J2094" s="46">
        <f>EFEITO!$J$2094*EFEITO!$Y$2094</f>
        <v>0</v>
      </c>
      <c r="K2094" s="46">
        <f ca="1">EFEITO!$L$2094*EFEITO!$Z$2094</f>
        <v>761296.49162303808</v>
      </c>
      <c r="L2094" s="46">
        <f>EFEITO!$N$2094*EFEITO!$AA$2094</f>
        <v>349682.3274919198</v>
      </c>
      <c r="M2094" s="46">
        <f>$J$2094-EFEITO!$K$2094*EFEITO!$Y$2094</f>
        <v>0</v>
      </c>
      <c r="N2094" s="46">
        <f ca="1">$K$2094-EFEITO!$M$2094*EFEITO!$Z$2094</f>
        <v>0</v>
      </c>
      <c r="O2094" s="46">
        <f>$L$2094-EFEITO!$O$2094*EFEITO!$AA$2094</f>
        <v>0</v>
      </c>
      <c r="P2094" s="38"/>
      <c r="Q2094" s="38"/>
      <c r="R2094" s="38"/>
      <c r="S2094" s="38"/>
      <c r="T2094" s="38"/>
      <c r="U2094" s="38"/>
      <c r="V2094" s="38"/>
      <c r="W2094" s="38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</row>
    <row r="2095" spans="1:36" ht="11.25" customHeight="1" x14ac:dyDescent="0.2">
      <c r="A2095" s="35" t="s">
        <v>28</v>
      </c>
      <c r="B2095" s="35" t="s">
        <v>49</v>
      </c>
      <c r="C2095" s="35" t="s">
        <v>23</v>
      </c>
      <c r="D2095" s="35" t="s">
        <v>50</v>
      </c>
      <c r="E2095" s="35" t="s">
        <v>51</v>
      </c>
      <c r="F2095" s="35" t="s">
        <v>25</v>
      </c>
      <c r="G2095" s="35" t="s">
        <v>25</v>
      </c>
      <c r="H2095" s="35" t="s">
        <v>25</v>
      </c>
      <c r="I2095" s="45">
        <v>44805</v>
      </c>
      <c r="J2095" s="46">
        <f>EFEITO!$J$2095*EFEITO!$Y$2095</f>
        <v>0</v>
      </c>
      <c r="K2095" s="46">
        <f ca="1">EFEITO!$L$2095*EFEITO!$Z$2095</f>
        <v>386236.88462621404</v>
      </c>
      <c r="L2095" s="46">
        <f>EFEITO!$N$2095*EFEITO!$AA$2095</f>
        <v>177408.16392228793</v>
      </c>
      <c r="M2095" s="46">
        <f>$J$2095-EFEITO!$K$2095*EFEITO!$Y$2095</f>
        <v>0</v>
      </c>
      <c r="N2095" s="46">
        <f ca="1">$K$2095-EFEITO!$M$2095*EFEITO!$Z$2095</f>
        <v>0</v>
      </c>
      <c r="O2095" s="46">
        <f>$L$2095-EFEITO!$O$2095*EFEITO!$AA$2095</f>
        <v>0</v>
      </c>
      <c r="P2095" s="38"/>
      <c r="Q2095" s="38"/>
      <c r="R2095" s="38"/>
      <c r="S2095" s="38"/>
      <c r="T2095" s="38"/>
      <c r="U2095" s="38"/>
      <c r="V2095" s="38"/>
      <c r="W2095" s="38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</row>
    <row r="2096" spans="1:36" ht="11.25" customHeight="1" x14ac:dyDescent="0.2">
      <c r="A2096" s="35" t="s">
        <v>29</v>
      </c>
      <c r="B2096" s="35" t="s">
        <v>49</v>
      </c>
      <c r="C2096" s="35" t="s">
        <v>23</v>
      </c>
      <c r="D2096" s="35" t="s">
        <v>50</v>
      </c>
      <c r="E2096" s="35" t="s">
        <v>51</v>
      </c>
      <c r="F2096" s="35" t="s">
        <v>25</v>
      </c>
      <c r="G2096" s="35" t="s">
        <v>25</v>
      </c>
      <c r="H2096" s="35" t="s">
        <v>25</v>
      </c>
      <c r="I2096" s="45">
        <v>44805</v>
      </c>
      <c r="J2096" s="46">
        <f>EFEITO!$J$2096*EFEITO!$Y$2096</f>
        <v>0</v>
      </c>
      <c r="K2096" s="46">
        <f ca="1">EFEITO!$L$2096*EFEITO!$Z$2096</f>
        <v>-12.15371841574596</v>
      </c>
      <c r="L2096" s="46">
        <f>EFEITO!$N$2096*EFEITO!$AA$2096</f>
        <v>-5.5825037814621199</v>
      </c>
      <c r="M2096" s="46">
        <f>$J$2096-EFEITO!$K$2096*EFEITO!$Y$2096</f>
        <v>0</v>
      </c>
      <c r="N2096" s="46">
        <f ca="1">$K$2096-EFEITO!$M$2096*EFEITO!$Z$2096</f>
        <v>0</v>
      </c>
      <c r="O2096" s="46">
        <f>$L$2096-EFEITO!$O$2096*EFEITO!$AA$2096</f>
        <v>0</v>
      </c>
      <c r="P2096" s="38"/>
      <c r="Q2096" s="38"/>
      <c r="R2096" s="38"/>
      <c r="S2096" s="38"/>
      <c r="T2096" s="38"/>
      <c r="U2096" s="38"/>
      <c r="V2096" s="38"/>
      <c r="W2096" s="38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</row>
    <row r="2097" spans="1:36" ht="11.25" customHeight="1" x14ac:dyDescent="0.2">
      <c r="A2097" s="35" t="s">
        <v>21</v>
      </c>
      <c r="B2097" s="35" t="s">
        <v>49</v>
      </c>
      <c r="C2097" s="35" t="s">
        <v>23</v>
      </c>
      <c r="D2097" s="35" t="s">
        <v>50</v>
      </c>
      <c r="E2097" s="35" t="s">
        <v>51</v>
      </c>
      <c r="F2097" s="35" t="s">
        <v>25</v>
      </c>
      <c r="G2097" s="35" t="s">
        <v>25</v>
      </c>
      <c r="H2097" s="35" t="s">
        <v>25</v>
      </c>
      <c r="I2097" s="45">
        <v>44835</v>
      </c>
      <c r="J2097" s="46">
        <f>EFEITO!$J$2097*EFEITO!$Y$2097</f>
        <v>0</v>
      </c>
      <c r="K2097" s="46">
        <f ca="1">EFEITO!$L$2097*EFEITO!$Z$2097</f>
        <v>860345.98206089064</v>
      </c>
      <c r="L2097" s="46">
        <f>EFEITO!$N$2097*EFEITO!$AA$2097</f>
        <v>395178.21080980479</v>
      </c>
      <c r="M2097" s="46">
        <f>$J$2097-EFEITO!$K$2097*EFEITO!$Y$2097</f>
        <v>0</v>
      </c>
      <c r="N2097" s="46">
        <f ca="1">$K$2097-EFEITO!$M$2097*EFEITO!$Z$2097</f>
        <v>0</v>
      </c>
      <c r="O2097" s="46">
        <f>$L$2097-EFEITO!$O$2097*EFEITO!$AA$2097</f>
        <v>0</v>
      </c>
      <c r="P2097" s="38"/>
      <c r="Q2097" s="38"/>
      <c r="R2097" s="38"/>
      <c r="S2097" s="38"/>
      <c r="T2097" s="38"/>
      <c r="U2097" s="38"/>
      <c r="V2097" s="38"/>
      <c r="W2097" s="38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</row>
    <row r="2098" spans="1:36" ht="11.25" customHeight="1" x14ac:dyDescent="0.2">
      <c r="A2098" s="35" t="s">
        <v>27</v>
      </c>
      <c r="B2098" s="35" t="s">
        <v>49</v>
      </c>
      <c r="C2098" s="35" t="s">
        <v>23</v>
      </c>
      <c r="D2098" s="35" t="s">
        <v>50</v>
      </c>
      <c r="E2098" s="35" t="s">
        <v>51</v>
      </c>
      <c r="F2098" s="35" t="s">
        <v>25</v>
      </c>
      <c r="G2098" s="35" t="s">
        <v>25</v>
      </c>
      <c r="H2098" s="35" t="s">
        <v>25</v>
      </c>
      <c r="I2098" s="45">
        <v>44835</v>
      </c>
      <c r="J2098" s="46">
        <f>EFEITO!$J$2098*EFEITO!$Y$2098</f>
        <v>0</v>
      </c>
      <c r="K2098" s="46">
        <f ca="1">EFEITO!$L$2098*EFEITO!$Z$2098</f>
        <v>-5186.5993339195884</v>
      </c>
      <c r="L2098" s="46">
        <f>EFEITO!$N$2098*EFEITO!$AA$2098</f>
        <v>-2382.3334887389601</v>
      </c>
      <c r="M2098" s="46">
        <f>$J$2098-EFEITO!$K$2098*EFEITO!$Y$2098</f>
        <v>0</v>
      </c>
      <c r="N2098" s="46">
        <f ca="1">$K$2098-EFEITO!$M$2098*EFEITO!$Z$2098</f>
        <v>0</v>
      </c>
      <c r="O2098" s="46">
        <f>$L$2098-EFEITO!$O$2098*EFEITO!$AA$2098</f>
        <v>0</v>
      </c>
      <c r="P2098" s="38"/>
      <c r="Q2098" s="38"/>
      <c r="R2098" s="38"/>
      <c r="S2098" s="38"/>
      <c r="T2098" s="38"/>
      <c r="U2098" s="38"/>
      <c r="V2098" s="38"/>
      <c r="W2098" s="38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</row>
    <row r="2099" spans="1:36" ht="11.25" customHeight="1" x14ac:dyDescent="0.2">
      <c r="A2099" s="35" t="s">
        <v>28</v>
      </c>
      <c r="B2099" s="35" t="s">
        <v>49</v>
      </c>
      <c r="C2099" s="35" t="s">
        <v>23</v>
      </c>
      <c r="D2099" s="35" t="s">
        <v>50</v>
      </c>
      <c r="E2099" s="35" t="s">
        <v>51</v>
      </c>
      <c r="F2099" s="35" t="s">
        <v>25</v>
      </c>
      <c r="G2099" s="35" t="s">
        <v>25</v>
      </c>
      <c r="H2099" s="35" t="s">
        <v>25</v>
      </c>
      <c r="I2099" s="45">
        <v>44835</v>
      </c>
      <c r="J2099" s="46">
        <f>EFEITO!$J$2099*EFEITO!$Y$2099</f>
        <v>0</v>
      </c>
      <c r="K2099" s="46">
        <f ca="1">EFEITO!$L$2099*EFEITO!$Z$2099</f>
        <v>297323.31912622054</v>
      </c>
      <c r="L2099" s="46">
        <f>EFEITO!$N$2099*EFEITO!$AA$2099</f>
        <v>136567.96188305641</v>
      </c>
      <c r="M2099" s="46">
        <f>$J$2099-EFEITO!$K$2099*EFEITO!$Y$2099</f>
        <v>0</v>
      </c>
      <c r="N2099" s="46">
        <f ca="1">$K$2099-EFEITO!$M$2099*EFEITO!$Z$2099</f>
        <v>0</v>
      </c>
      <c r="O2099" s="46">
        <f>$L$2099-EFEITO!$O$2099*EFEITO!$AA$2099</f>
        <v>0</v>
      </c>
      <c r="P2099" s="38"/>
      <c r="Q2099" s="38"/>
      <c r="R2099" s="38"/>
      <c r="S2099" s="38"/>
      <c r="T2099" s="38"/>
      <c r="U2099" s="38"/>
      <c r="V2099" s="38"/>
      <c r="W2099" s="38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</row>
    <row r="2100" spans="1:36" ht="11.25" customHeight="1" x14ac:dyDescent="0.2">
      <c r="A2100" s="35" t="s">
        <v>59</v>
      </c>
      <c r="B2100" s="35" t="s">
        <v>49</v>
      </c>
      <c r="C2100" s="35" t="s">
        <v>23</v>
      </c>
      <c r="D2100" s="35" t="s">
        <v>50</v>
      </c>
      <c r="E2100" s="35" t="s">
        <v>51</v>
      </c>
      <c r="F2100" s="35" t="s">
        <v>25</v>
      </c>
      <c r="G2100" s="35" t="s">
        <v>25</v>
      </c>
      <c r="H2100" s="35" t="s">
        <v>25</v>
      </c>
      <c r="I2100" s="45">
        <v>44866</v>
      </c>
      <c r="J2100" s="46">
        <f>EFEITO!$J$2100*EFEITO!$Y$2100</f>
        <v>0</v>
      </c>
      <c r="K2100" s="46">
        <f ca="1">EFEITO!$L$2100*EFEITO!$Z$2100</f>
        <v>860345.98206089064</v>
      </c>
      <c r="L2100" s="46">
        <f>EFEITO!$N$2100*EFEITO!$AA$2100</f>
        <v>395178.21080980479</v>
      </c>
      <c r="M2100" s="46">
        <f>$J$2100-EFEITO!$K$2100*EFEITO!$Y$2100</f>
        <v>0</v>
      </c>
      <c r="N2100" s="46">
        <f ca="1">$K$2100-EFEITO!$M$2100*EFEITO!$Z$2100</f>
        <v>0</v>
      </c>
      <c r="O2100" s="46">
        <f>$L$2100-EFEITO!$O$2100*EFEITO!$AA$2100</f>
        <v>0</v>
      </c>
      <c r="P2100" s="38"/>
      <c r="Q2100" s="38"/>
      <c r="R2100" s="38"/>
      <c r="S2100" s="38"/>
      <c r="T2100" s="38"/>
      <c r="U2100" s="38"/>
      <c r="V2100" s="38"/>
      <c r="W2100" s="38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</row>
    <row r="2101" spans="1:36" ht="11.25" customHeight="1" x14ac:dyDescent="0.2">
      <c r="A2101" s="35" t="s">
        <v>59</v>
      </c>
      <c r="B2101" s="35" t="s">
        <v>49</v>
      </c>
      <c r="C2101" s="35" t="s">
        <v>23</v>
      </c>
      <c r="D2101" s="35" t="s">
        <v>50</v>
      </c>
      <c r="E2101" s="35" t="s">
        <v>51</v>
      </c>
      <c r="F2101" s="35" t="s">
        <v>25</v>
      </c>
      <c r="G2101" s="35" t="s">
        <v>25</v>
      </c>
      <c r="H2101" s="35" t="s">
        <v>25</v>
      </c>
      <c r="I2101" s="45">
        <v>44866</v>
      </c>
      <c r="J2101" s="46">
        <f>EFEITO!$J$2101*EFEITO!$Y$2101</f>
        <v>0</v>
      </c>
      <c r="K2101" s="46">
        <f ca="1">EFEITO!$L$2101*EFEITO!$Z$2101</f>
        <v>-5186.5993339195884</v>
      </c>
      <c r="L2101" s="46">
        <f>EFEITO!$N$2101*EFEITO!$AA$2101</f>
        <v>-2382.3334887389601</v>
      </c>
      <c r="M2101" s="46">
        <f>$J$2101-EFEITO!$K$2101*EFEITO!$Y$2101</f>
        <v>0</v>
      </c>
      <c r="N2101" s="46">
        <f ca="1">$K$2101-EFEITO!$M$2101*EFEITO!$Z$2101</f>
        <v>0</v>
      </c>
      <c r="O2101" s="46">
        <f>$L$2101-EFEITO!$O$2101*EFEITO!$AA$2101</f>
        <v>0</v>
      </c>
      <c r="P2101" s="38"/>
      <c r="Q2101" s="38"/>
      <c r="R2101" s="38"/>
      <c r="S2101" s="38"/>
      <c r="T2101" s="38"/>
      <c r="U2101" s="38"/>
      <c r="V2101" s="38"/>
      <c r="W2101" s="38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  <c r="AJ2101" s="6"/>
    </row>
    <row r="2102" spans="1:36" ht="11.25" customHeight="1" x14ac:dyDescent="0.2">
      <c r="A2102" s="35" t="s">
        <v>59</v>
      </c>
      <c r="B2102" s="35" t="s">
        <v>49</v>
      </c>
      <c r="C2102" s="35" t="s">
        <v>23</v>
      </c>
      <c r="D2102" s="35" t="s">
        <v>50</v>
      </c>
      <c r="E2102" s="35" t="s">
        <v>51</v>
      </c>
      <c r="F2102" s="35" t="s">
        <v>25</v>
      </c>
      <c r="G2102" s="35" t="s">
        <v>25</v>
      </c>
      <c r="H2102" s="35" t="s">
        <v>25</v>
      </c>
      <c r="I2102" s="45">
        <v>44866</v>
      </c>
      <c r="J2102" s="46">
        <f>EFEITO!$J$2102*EFEITO!$Y$2102</f>
        <v>0</v>
      </c>
      <c r="K2102" s="46">
        <f ca="1">EFEITO!$L$2102*EFEITO!$Z$2102</f>
        <v>297323.31912622054</v>
      </c>
      <c r="L2102" s="46">
        <f>EFEITO!$N$2102*EFEITO!$AA$2102</f>
        <v>136567.96188305641</v>
      </c>
      <c r="M2102" s="46">
        <f>$J$2102-EFEITO!$K$2102*EFEITO!$Y$2102</f>
        <v>0</v>
      </c>
      <c r="N2102" s="46">
        <f ca="1">$K$2102-EFEITO!$M$2102*EFEITO!$Z$2102</f>
        <v>0</v>
      </c>
      <c r="O2102" s="46">
        <f>$L$2102-EFEITO!$O$2102*EFEITO!$AA$2102</f>
        <v>0</v>
      </c>
      <c r="P2102" s="38"/>
      <c r="Q2102" s="38"/>
      <c r="R2102" s="38"/>
      <c r="S2102" s="38"/>
      <c r="T2102" s="38"/>
      <c r="U2102" s="38"/>
      <c r="V2102" s="38"/>
      <c r="W2102" s="38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  <c r="AJ2102" s="6"/>
    </row>
  </sheetData>
  <mergeCells count="1">
    <mergeCell ref="Q1:AJ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D2309-BEDE-45D3-A3C2-D53E166FDA16}">
  <sheetPr codeName="Planilha22"/>
  <dimension ref="A1:BD137"/>
  <sheetViews>
    <sheetView showGridLines="0" topLeftCell="D53" workbookViewId="0">
      <selection activeCell="L70" sqref="L70:BD137"/>
    </sheetView>
  </sheetViews>
  <sheetFormatPr defaultRowHeight="11.25" customHeight="1" x14ac:dyDescent="0.25"/>
  <cols>
    <col min="1" max="1" width="9.28515625" style="9" bestFit="1" customWidth="1"/>
    <col min="2" max="2" width="23.42578125" style="9" bestFit="1" customWidth="1"/>
    <col min="3" max="3" width="33" style="9" bestFit="1" customWidth="1"/>
    <col min="4" max="4" width="56.140625" style="9" bestFit="1" customWidth="1"/>
    <col min="5" max="5" width="65.7109375" style="9" bestFit="1" customWidth="1"/>
    <col min="6" max="6" width="75.42578125" style="9" bestFit="1" customWidth="1"/>
    <col min="7" max="7" width="7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4" width="10" style="9" bestFit="1" customWidth="1"/>
    <col min="15" max="15" width="4.140625" style="9" bestFit="1" customWidth="1"/>
    <col min="16" max="16" width="4.4257812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1" width="10" style="9" bestFit="1" customWidth="1"/>
    <col min="22" max="23" width="9.85546875" style="9" bestFit="1" customWidth="1"/>
    <col min="24" max="24" width="5.140625" style="9" bestFit="1" customWidth="1"/>
    <col min="25" max="25" width="7.7109375" style="9" bestFit="1" customWidth="1"/>
    <col min="26" max="26" width="9.85546875" style="9" bestFit="1" customWidth="1"/>
    <col min="27" max="27" width="11.7109375" style="9" bestFit="1" customWidth="1"/>
    <col min="28" max="28" width="11.42578125" style="9" bestFit="1" customWidth="1"/>
    <col min="29" max="29" width="7.28515625" style="9" bestFit="1" customWidth="1"/>
    <col min="30" max="30" width="15.28515625" style="9" bestFit="1" customWidth="1"/>
    <col min="31" max="31" width="18" style="9" bestFit="1" customWidth="1"/>
    <col min="32" max="32" width="19.140625" style="9" bestFit="1" customWidth="1"/>
    <col min="33" max="33" width="10" style="9" bestFit="1" customWidth="1"/>
    <col min="34" max="34" width="9.140625" style="9"/>
    <col min="35" max="35" width="13.42578125" style="9" bestFit="1" customWidth="1"/>
    <col min="36" max="36" width="8.7109375" style="9" bestFit="1" customWidth="1"/>
    <col min="37" max="37" width="10" style="9" bestFit="1" customWidth="1"/>
    <col min="38" max="38" width="4.140625" style="9" bestFit="1" customWidth="1"/>
    <col min="39" max="39" width="4.42578125" style="9" bestFit="1" customWidth="1"/>
    <col min="40" max="40" width="10.85546875" style="9" bestFit="1" customWidth="1"/>
    <col min="41" max="41" width="10" style="9" bestFit="1" customWidth="1"/>
    <col min="42" max="42" width="8.7109375" style="9" bestFit="1" customWidth="1"/>
    <col min="43" max="44" width="10" style="9" bestFit="1" customWidth="1"/>
    <col min="45" max="46" width="9.85546875" style="9" bestFit="1" customWidth="1"/>
    <col min="47" max="47" width="5.140625" style="9" bestFit="1" customWidth="1"/>
    <col min="48" max="48" width="7.7109375" style="9" bestFit="1" customWidth="1"/>
    <col min="49" max="49" width="9.85546875" style="9" bestFit="1" customWidth="1"/>
    <col min="50" max="50" width="11.7109375" style="9" bestFit="1" customWidth="1"/>
    <col min="51" max="51" width="11.42578125" style="9" bestFit="1" customWidth="1"/>
    <col min="52" max="52" width="7.28515625" style="9" bestFit="1" customWidth="1"/>
    <col min="53" max="53" width="15.28515625" style="9" bestFit="1" customWidth="1"/>
    <col min="54" max="54" width="18" style="9" bestFit="1" customWidth="1"/>
    <col min="55" max="55" width="19.140625" style="9" bestFit="1" customWidth="1"/>
    <col min="56" max="56" width="10" style="9" bestFit="1" customWidth="1"/>
    <col min="57" max="16384" width="9.140625" style="9"/>
  </cols>
  <sheetData>
    <row r="1" spans="1:56" ht="11.25" customHeight="1" x14ac:dyDescent="0.25">
      <c r="A1" s="109" t="s">
        <v>71</v>
      </c>
      <c r="B1" s="109" t="s">
        <v>72</v>
      </c>
      <c r="C1" s="109" t="s">
        <v>73</v>
      </c>
      <c r="D1" s="109" t="s">
        <v>74</v>
      </c>
      <c r="E1" s="109" t="s">
        <v>75</v>
      </c>
      <c r="F1" s="109" t="s">
        <v>15</v>
      </c>
      <c r="G1" s="109" t="s">
        <v>77</v>
      </c>
      <c r="H1" s="109" t="s">
        <v>78</v>
      </c>
      <c r="I1" s="109" t="s">
        <v>835</v>
      </c>
      <c r="J1" s="105"/>
      <c r="L1" s="108" t="s">
        <v>1043</v>
      </c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I1" s="108" t="s">
        <v>1044</v>
      </c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</row>
    <row r="2" spans="1:56" ht="11.25" customHeight="1" x14ac:dyDescent="0.25">
      <c r="A2" s="109"/>
      <c r="B2" s="109"/>
      <c r="C2" s="109"/>
      <c r="D2" s="109"/>
      <c r="E2" s="109"/>
      <c r="F2" s="109"/>
      <c r="G2" s="109"/>
      <c r="H2" s="109"/>
      <c r="I2" s="109"/>
      <c r="J2" s="105"/>
      <c r="L2" s="108" t="s">
        <v>734</v>
      </c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  <c r="AA2" s="108"/>
      <c r="AB2" s="108"/>
      <c r="AC2" s="108"/>
      <c r="AD2" s="108"/>
      <c r="AE2" s="108"/>
      <c r="AF2" s="108"/>
      <c r="AG2" s="108"/>
      <c r="AI2" s="108" t="s">
        <v>734</v>
      </c>
      <c r="AJ2" s="108"/>
      <c r="AK2" s="108"/>
      <c r="AL2" s="108"/>
      <c r="AM2" s="108"/>
      <c r="AN2" s="108"/>
      <c r="AO2" s="108"/>
      <c r="AP2" s="108"/>
      <c r="AQ2" s="108"/>
      <c r="AR2" s="108"/>
      <c r="AS2" s="108"/>
      <c r="AT2" s="108"/>
      <c r="AU2" s="108"/>
      <c r="AV2" s="108"/>
      <c r="AW2" s="108"/>
      <c r="AX2" s="108"/>
      <c r="AY2" s="108"/>
      <c r="AZ2" s="108"/>
      <c r="BA2" s="108"/>
      <c r="BB2" s="108"/>
      <c r="BC2" s="108"/>
      <c r="BD2" s="108"/>
    </row>
    <row r="3" spans="1:56" ht="11.25" customHeight="1" x14ac:dyDescent="0.25">
      <c r="A3" s="109"/>
      <c r="B3" s="109"/>
      <c r="C3" s="109"/>
      <c r="D3" s="109"/>
      <c r="E3" s="109"/>
      <c r="F3" s="109"/>
      <c r="G3" s="109"/>
      <c r="H3" s="109"/>
      <c r="I3" s="109"/>
      <c r="J3" s="105"/>
      <c r="L3" s="108" t="s">
        <v>735</v>
      </c>
      <c r="M3" s="108"/>
      <c r="N3" s="108"/>
      <c r="O3" s="108"/>
      <c r="P3" s="108"/>
      <c r="Q3" s="108"/>
      <c r="R3" s="108"/>
      <c r="S3" s="108"/>
      <c r="T3" s="108" t="s">
        <v>744</v>
      </c>
      <c r="U3" s="108"/>
      <c r="V3" s="108"/>
      <c r="W3" s="108"/>
      <c r="X3" s="108"/>
      <c r="Y3" s="108"/>
      <c r="Z3" s="108"/>
      <c r="AA3" s="10" t="s">
        <v>752</v>
      </c>
      <c r="AB3" s="108" t="s">
        <v>754</v>
      </c>
      <c r="AC3" s="108"/>
      <c r="AD3" s="108" t="s">
        <v>757</v>
      </c>
      <c r="AE3" s="108"/>
      <c r="AF3" s="108"/>
      <c r="AG3" s="108"/>
      <c r="AI3" s="108" t="s">
        <v>735</v>
      </c>
      <c r="AJ3" s="108"/>
      <c r="AK3" s="108"/>
      <c r="AL3" s="108"/>
      <c r="AM3" s="108"/>
      <c r="AN3" s="108"/>
      <c r="AO3" s="108"/>
      <c r="AP3" s="108"/>
      <c r="AQ3" s="108" t="s">
        <v>744</v>
      </c>
      <c r="AR3" s="108"/>
      <c r="AS3" s="108"/>
      <c r="AT3" s="108"/>
      <c r="AU3" s="108"/>
      <c r="AV3" s="108"/>
      <c r="AW3" s="108"/>
      <c r="AX3" s="10" t="s">
        <v>752</v>
      </c>
      <c r="AY3" s="108" t="s">
        <v>754</v>
      </c>
      <c r="AZ3" s="108"/>
      <c r="BA3" s="108" t="s">
        <v>757</v>
      </c>
      <c r="BB3" s="108"/>
      <c r="BC3" s="108"/>
      <c r="BD3" s="108"/>
    </row>
    <row r="4" spans="1:56" ht="11.25" customHeight="1" x14ac:dyDescent="0.25">
      <c r="A4" s="109"/>
      <c r="B4" s="109"/>
      <c r="C4" s="109"/>
      <c r="D4" s="109"/>
      <c r="E4" s="109"/>
      <c r="F4" s="109"/>
      <c r="G4" s="109"/>
      <c r="H4" s="109"/>
      <c r="I4" s="109"/>
      <c r="J4" s="105"/>
      <c r="L4" s="10" t="s">
        <v>820</v>
      </c>
      <c r="M4" s="10" t="s">
        <v>736</v>
      </c>
      <c r="N4" s="10" t="s">
        <v>737</v>
      </c>
      <c r="O4" s="10" t="s">
        <v>738</v>
      </c>
      <c r="P4" s="10" t="s">
        <v>739</v>
      </c>
      <c r="Q4" s="10" t="s">
        <v>740</v>
      </c>
      <c r="R4" s="10" t="s">
        <v>741</v>
      </c>
      <c r="S4" s="10" t="s">
        <v>742</v>
      </c>
      <c r="T4" s="10" t="s">
        <v>745</v>
      </c>
      <c r="U4" s="10" t="s">
        <v>746</v>
      </c>
      <c r="V4" s="10" t="s">
        <v>747</v>
      </c>
      <c r="W4" s="10" t="s">
        <v>748</v>
      </c>
      <c r="X4" s="10" t="s">
        <v>749</v>
      </c>
      <c r="Y4" s="10" t="s">
        <v>750</v>
      </c>
      <c r="Z4" s="10" t="s">
        <v>751</v>
      </c>
      <c r="AA4" s="10" t="s">
        <v>753</v>
      </c>
      <c r="AB4" s="10" t="s">
        <v>755</v>
      </c>
      <c r="AC4" s="10" t="s">
        <v>756</v>
      </c>
      <c r="AD4" s="10" t="s">
        <v>758</v>
      </c>
      <c r="AE4" s="10" t="s">
        <v>759</v>
      </c>
      <c r="AF4" s="10" t="s">
        <v>760</v>
      </c>
      <c r="AG4" s="10" t="s">
        <v>761</v>
      </c>
      <c r="AI4" s="10" t="s">
        <v>820</v>
      </c>
      <c r="AJ4" s="10" t="s">
        <v>736</v>
      </c>
      <c r="AK4" s="10" t="s">
        <v>737</v>
      </c>
      <c r="AL4" s="10" t="s">
        <v>738</v>
      </c>
      <c r="AM4" s="10" t="s">
        <v>739</v>
      </c>
      <c r="AN4" s="10" t="s">
        <v>740</v>
      </c>
      <c r="AO4" s="10" t="s">
        <v>741</v>
      </c>
      <c r="AP4" s="10" t="s">
        <v>742</v>
      </c>
      <c r="AQ4" s="10" t="s">
        <v>745</v>
      </c>
      <c r="AR4" s="10" t="s">
        <v>746</v>
      </c>
      <c r="AS4" s="10" t="s">
        <v>747</v>
      </c>
      <c r="AT4" s="10" t="s">
        <v>748</v>
      </c>
      <c r="AU4" s="10" t="s">
        <v>749</v>
      </c>
      <c r="AV4" s="10" t="s">
        <v>750</v>
      </c>
      <c r="AW4" s="10" t="s">
        <v>751</v>
      </c>
      <c r="AX4" s="10" t="s">
        <v>753</v>
      </c>
      <c r="AY4" s="10" t="s">
        <v>755</v>
      </c>
      <c r="AZ4" s="10" t="s">
        <v>756</v>
      </c>
      <c r="BA4" s="10" t="s">
        <v>758</v>
      </c>
      <c r="BB4" s="10" t="s">
        <v>759</v>
      </c>
      <c r="BC4" s="10" t="s">
        <v>760</v>
      </c>
      <c r="BD4" s="10" t="s">
        <v>761</v>
      </c>
    </row>
    <row r="5" spans="1:56" ht="11.25" customHeight="1" x14ac:dyDescent="0.25">
      <c r="A5" s="107" t="s">
        <v>80</v>
      </c>
      <c r="B5" s="107" t="s">
        <v>42</v>
      </c>
      <c r="C5" s="107" t="s">
        <v>25</v>
      </c>
      <c r="D5" s="107" t="s">
        <v>25</v>
      </c>
      <c r="E5" s="107" t="s">
        <v>25</v>
      </c>
      <c r="F5" s="107" t="s">
        <v>25</v>
      </c>
      <c r="G5" s="18" t="s">
        <v>86</v>
      </c>
      <c r="H5" s="18" t="s">
        <v>85</v>
      </c>
      <c r="I5" s="18">
        <f>'MERCADO TUSD'!$U$2+0.00000001</f>
        <v>1E-8</v>
      </c>
      <c r="J5" s="15"/>
      <c r="L5" s="13">
        <f>('TUSD BE'!$L$5+'TUSD BF'!$L$5+'TUSD CVA'!$L$5)*1</f>
        <v>0</v>
      </c>
      <c r="M5" s="13">
        <f>('TUSD BE'!$M$5+'TUSD BF'!$M$5+'TUSD CVA'!$M$5)*1</f>
        <v>0</v>
      </c>
      <c r="N5" s="13">
        <f ca="1">('TUSD BE'!$N$5+'TUSD BF'!$N$5+'TUSD CVA'!$N$5)*1</f>
        <v>0</v>
      </c>
      <c r="O5" s="13">
        <f>('TUSD BE'!$O$5+'TUSD BF'!$O$5+'TUSD CVA'!$O$5)*1</f>
        <v>0</v>
      </c>
      <c r="P5" s="13">
        <f>('TUSD BE'!$P$5+'TUSD BF'!$P$5+'TUSD CVA'!$P$5)*1</f>
        <v>0</v>
      </c>
      <c r="Q5" s="13">
        <f>('TUSD BE'!$Q$5+'TUSD BF'!$Q$5+'TUSD CVA'!$Q$5)*1</f>
        <v>0</v>
      </c>
      <c r="R5" s="13">
        <f>('TUSD BE'!$R$5+'TUSD BF'!$R$5+'TUSD CVA'!$R$5)*1</f>
        <v>0</v>
      </c>
      <c r="S5" s="13">
        <f>('TUSD BE'!$S$5+'TUSD BF'!$S$5+'TUSD CVA'!$S$5)*1</f>
        <v>0</v>
      </c>
      <c r="T5" s="13">
        <f>('TUSD BE'!$U$5+'TUSD BF'!$U$5+'TUSD CVA'!$U$5)*1</f>
        <v>3.5588494918369751</v>
      </c>
      <c r="U5" s="13">
        <f>('TUSD BE'!$V$5+'TUSD BF'!$V$5+'TUSD CVA'!$V$5)*1</f>
        <v>3.7344592776491541</v>
      </c>
      <c r="V5" s="13">
        <f>('TUSD BE'!$W$5+'TUSD BF'!$W$5+'TUSD CVA'!$W$5)*1</f>
        <v>0.32009029439713871</v>
      </c>
      <c r="W5" s="13">
        <f>('TUSD BE'!$X$5+'TUSD BF'!$X$5+'TUSD CVA'!$X$5)*1</f>
        <v>0</v>
      </c>
      <c r="X5" s="13">
        <f>('TUSD BE'!$Y$5+'TUSD BF'!$Y$5+'TUSD CVA'!$Y$5)*1</f>
        <v>0</v>
      </c>
      <c r="Y5" s="13">
        <f>('TUSD BE'!$Z$5+'TUSD BF'!$Z$5+'TUSD CVA'!$Z$5)*1</f>
        <v>0</v>
      </c>
      <c r="Z5" s="13">
        <f>('TUSD BE'!$AA$5+'TUSD BF'!$AA$5+'TUSD CVA'!$AA$5)*1</f>
        <v>0</v>
      </c>
      <c r="AA5" s="13">
        <f>('TUSD BE'!$AC$5+'TUSD BF'!$AC$5+'TUSD CVA'!$AC$5)*1</f>
        <v>50.272326326011623</v>
      </c>
      <c r="AB5" s="13">
        <f ca="1">('TUSD BE'!$AE$5+'TUSD BF'!$AE$5+'TUSD CVA'!$AE$5)*1</f>
        <v>-5.0964618171556717</v>
      </c>
      <c r="AC5" s="13">
        <f ca="1">('TUSD BE'!$AF$5+'TUSD BF'!$AF$5+'TUSD CVA'!$AF$5)*1</f>
        <v>0</v>
      </c>
      <c r="AD5" s="13">
        <f>('TUSD BE'!$AH$5+'TUSD BF'!$AH$5+'TUSD CVA'!$AH$5)*1</f>
        <v>0</v>
      </c>
      <c r="AE5" s="13">
        <f>('TUSD BE'!$AI$5+'TUSD BF'!$AI$5+'TUSD CVA'!$AI$5)*1</f>
        <v>0</v>
      </c>
      <c r="AF5" s="13">
        <f ca="1">('TUSD BE'!$AJ$5+'TUSD BF'!$AJ$5+'TUSD CVA'!$AJ$5)*1</f>
        <v>0</v>
      </c>
      <c r="AG5" s="13">
        <f ca="1">('TUSD BE'!$AK$5+'TUSD BF'!$AK$5+'TUSD CVA'!$AK$5)*1</f>
        <v>0</v>
      </c>
      <c r="AI5" s="13">
        <v>0</v>
      </c>
      <c r="AJ5" s="13">
        <v>0</v>
      </c>
      <c r="AK5" s="13">
        <v>0</v>
      </c>
      <c r="AL5" s="13">
        <v>0</v>
      </c>
      <c r="AM5" s="13">
        <v>0</v>
      </c>
      <c r="AN5" s="13">
        <v>0</v>
      </c>
      <c r="AO5" s="13">
        <v>0</v>
      </c>
      <c r="AP5" s="13">
        <v>0</v>
      </c>
      <c r="AQ5" s="13">
        <v>2.3483553756753599</v>
      </c>
      <c r="AR5" s="13">
        <v>2.8926540170389501</v>
      </c>
      <c r="AS5" s="13">
        <v>0.25042028066739103</v>
      </c>
      <c r="AT5" s="13">
        <v>0</v>
      </c>
      <c r="AU5" s="13">
        <v>0</v>
      </c>
      <c r="AV5" s="13">
        <v>0</v>
      </c>
      <c r="AW5" s="13">
        <v>0</v>
      </c>
      <c r="AX5" s="13">
        <v>47.210144266017998</v>
      </c>
      <c r="AY5" s="13">
        <v>0</v>
      </c>
      <c r="AZ5" s="13">
        <v>0</v>
      </c>
      <c r="BA5" s="13">
        <v>0</v>
      </c>
      <c r="BB5" s="13">
        <v>0</v>
      </c>
      <c r="BC5" s="13">
        <v>0</v>
      </c>
      <c r="BD5" s="13">
        <v>0</v>
      </c>
    </row>
    <row r="6" spans="1:56" ht="11.25" customHeight="1" x14ac:dyDescent="0.25">
      <c r="A6" s="107"/>
      <c r="B6" s="107"/>
      <c r="C6" s="107"/>
      <c r="D6" s="107"/>
      <c r="E6" s="107"/>
      <c r="F6" s="107"/>
      <c r="G6" s="18" t="s">
        <v>87</v>
      </c>
      <c r="H6" s="18" t="s">
        <v>85</v>
      </c>
      <c r="I6" s="18">
        <f>'MERCADO TUSD'!$U$3+0.00000001</f>
        <v>1E-8</v>
      </c>
      <c r="J6" s="15"/>
      <c r="L6" s="13">
        <f>('TUSD BE'!$L$6+'TUSD BF'!$L$6+'TUSD CVA'!$L$6)*1</f>
        <v>0</v>
      </c>
      <c r="M6" s="13">
        <f>('TUSD BE'!$M$6+'TUSD BF'!$M$6+'TUSD CVA'!$M$6)*1</f>
        <v>0</v>
      </c>
      <c r="N6" s="13">
        <f ca="1">('TUSD BE'!$N$6+'TUSD BF'!$N$6+'TUSD CVA'!$N$6)*1</f>
        <v>0</v>
      </c>
      <c r="O6" s="13">
        <f>('TUSD BE'!$O$6+'TUSD BF'!$O$6+'TUSD CVA'!$O$6)*1</f>
        <v>0</v>
      </c>
      <c r="P6" s="13">
        <f>('TUSD BE'!$P$6+'TUSD BF'!$P$6+'TUSD CVA'!$P$6)*1</f>
        <v>0</v>
      </c>
      <c r="Q6" s="13">
        <f>('TUSD BE'!$Q$6+'TUSD BF'!$Q$6+'TUSD CVA'!$Q$6)*1</f>
        <v>0</v>
      </c>
      <c r="R6" s="13">
        <f>('TUSD BE'!$R$6+'TUSD BF'!$R$6+'TUSD CVA'!$R$6)*1</f>
        <v>0</v>
      </c>
      <c r="S6" s="13">
        <f>('TUSD BE'!$S$6+'TUSD BF'!$S$6+'TUSD CVA'!$S$6)*1</f>
        <v>0</v>
      </c>
      <c r="T6" s="13">
        <f>('TUSD BE'!$U$6+'TUSD BF'!$U$6+'TUSD CVA'!$U$6)*1</f>
        <v>2.6719040077280169</v>
      </c>
      <c r="U6" s="13">
        <f>('TUSD BE'!$V$6+'TUSD BF'!$V$6+'TUSD CVA'!$V$6)*1</f>
        <v>3.0893141854209807</v>
      </c>
      <c r="V6" s="13">
        <f>('TUSD BE'!$W$6+'TUSD BF'!$W$6+'TUSD CVA'!$W$6)*1</f>
        <v>0.2673789076083562</v>
      </c>
      <c r="W6" s="13">
        <f>('TUSD BE'!$X$6+'TUSD BF'!$X$6+'TUSD CVA'!$X$6)*1</f>
        <v>0</v>
      </c>
      <c r="X6" s="13">
        <f>('TUSD BE'!$Y$6+'TUSD BF'!$Y$6+'TUSD CVA'!$Y$6)*1</f>
        <v>0</v>
      </c>
      <c r="Y6" s="13">
        <f>('TUSD BE'!$Z$6+'TUSD BF'!$Z$6+'TUSD CVA'!$Z$6)*1</f>
        <v>0</v>
      </c>
      <c r="Z6" s="13">
        <f>('TUSD BE'!$AA$6+'TUSD BF'!$AA$6+'TUSD CVA'!$AA$6)*1</f>
        <v>0</v>
      </c>
      <c r="AA6" s="13">
        <f>('TUSD BE'!$AC$6+'TUSD BF'!$AC$6+'TUSD CVA'!$AC$6)*1</f>
        <v>15.117793652445714</v>
      </c>
      <c r="AB6" s="13">
        <f ca="1">('TUSD BE'!$AE$6+'TUSD BF'!$AE$6+'TUSD CVA'!$AE$6)*1</f>
        <v>-1.8195847952366542</v>
      </c>
      <c r="AC6" s="13">
        <f ca="1">('TUSD BE'!$AF$6+'TUSD BF'!$AF$6+'TUSD CVA'!$AF$6)*1</f>
        <v>0</v>
      </c>
      <c r="AD6" s="13">
        <f>('TUSD BE'!$AH$6+'TUSD BF'!$AH$6+'TUSD CVA'!$AH$6)*1</f>
        <v>0</v>
      </c>
      <c r="AE6" s="13">
        <f>('TUSD BE'!$AI$6+'TUSD BF'!$AI$6+'TUSD CVA'!$AI$6)*1</f>
        <v>0</v>
      </c>
      <c r="AF6" s="13">
        <f ca="1">('TUSD BE'!$AJ$6+'TUSD BF'!$AJ$6+'TUSD CVA'!$AJ$6)*1</f>
        <v>0</v>
      </c>
      <c r="AG6" s="13">
        <f ca="1">('TUSD BE'!$AK$6+'TUSD BF'!$AK$6+'TUSD CVA'!$AK$6)*1</f>
        <v>0</v>
      </c>
      <c r="AI6" s="13">
        <v>0</v>
      </c>
      <c r="AJ6" s="13">
        <v>0</v>
      </c>
      <c r="AK6" s="13">
        <v>0</v>
      </c>
      <c r="AL6" s="13">
        <v>0</v>
      </c>
      <c r="AM6" s="13">
        <v>0</v>
      </c>
      <c r="AN6" s="13">
        <v>0</v>
      </c>
      <c r="AO6" s="13">
        <v>0</v>
      </c>
      <c r="AP6" s="13">
        <v>0</v>
      </c>
      <c r="AQ6" s="13">
        <v>1.7630923011014701</v>
      </c>
      <c r="AR6" s="13">
        <v>2.3929346724537899</v>
      </c>
      <c r="AS6" s="13">
        <v>0.209181916040074</v>
      </c>
      <c r="AT6" s="13">
        <v>0</v>
      </c>
      <c r="AU6" s="13">
        <v>0</v>
      </c>
      <c r="AV6" s="13">
        <v>0</v>
      </c>
      <c r="AW6" s="13">
        <v>0</v>
      </c>
      <c r="AX6" s="13">
        <v>14.196940374063599</v>
      </c>
      <c r="AY6" s="13">
        <v>0</v>
      </c>
      <c r="AZ6" s="13">
        <v>0</v>
      </c>
      <c r="BA6" s="13">
        <v>0</v>
      </c>
      <c r="BB6" s="13">
        <v>0</v>
      </c>
      <c r="BC6" s="13">
        <v>0</v>
      </c>
      <c r="BD6" s="13">
        <v>0</v>
      </c>
    </row>
    <row r="7" spans="1:56" ht="11.25" customHeight="1" x14ac:dyDescent="0.25">
      <c r="A7" s="107"/>
      <c r="B7" s="107"/>
      <c r="C7" s="107"/>
      <c r="D7" s="107"/>
      <c r="E7" s="107"/>
      <c r="F7" s="107"/>
      <c r="G7" s="18" t="s">
        <v>88</v>
      </c>
      <c r="H7" s="18" t="s">
        <v>82</v>
      </c>
      <c r="I7" s="18">
        <f>'MERCADO TUSD'!$U$4+0.00000001</f>
        <v>1E-8</v>
      </c>
      <c r="J7" s="15"/>
      <c r="L7" s="13">
        <f>('TUSD BE'!$L$7+'TUSD BF'!$L$7+'TUSD CVA'!$L$7)*1</f>
        <v>12.46330806526645</v>
      </c>
      <c r="M7" s="13">
        <f>('TUSD BE'!$M$7+'TUSD BF'!$M$7+'TUSD CVA'!$M$7)*1</f>
        <v>0.11821520926312891</v>
      </c>
      <c r="N7" s="13">
        <f ca="1">('TUSD BE'!$N$7+'TUSD BF'!$N$7+'TUSD CVA'!$N$7)*1</f>
        <v>0.31340375677580184</v>
      </c>
      <c r="O7" s="13">
        <f>('TUSD BE'!$O$7+'TUSD BF'!$O$7+'TUSD CVA'!$O$7)*1</f>
        <v>0</v>
      </c>
      <c r="P7" s="13">
        <f>('TUSD BE'!$P$7+'TUSD BF'!$P$7+'TUSD CVA'!$P$7)*1</f>
        <v>0</v>
      </c>
      <c r="Q7" s="13">
        <f>('TUSD BE'!$Q$7+'TUSD BF'!$Q$7+'TUSD CVA'!$Q$7)*1</f>
        <v>30.978758542365505</v>
      </c>
      <c r="R7" s="13">
        <f>('TUSD BE'!$R$7+'TUSD BF'!$R$7+'TUSD CVA'!$R$7)*1</f>
        <v>18.494598327475543</v>
      </c>
      <c r="S7" s="13">
        <f>('TUSD BE'!$S$7+'TUSD BF'!$S$7+'TUSD CVA'!$S$7)*1</f>
        <v>0</v>
      </c>
      <c r="T7" s="13">
        <f>('TUSD BE'!$U$7+'TUSD BF'!$U$7+'TUSD CVA'!$U$7)*1</f>
        <v>0</v>
      </c>
      <c r="U7" s="13">
        <f>('TUSD BE'!$V$7+'TUSD BF'!$V$7+'TUSD CVA'!$V$7)*1</f>
        <v>0</v>
      </c>
      <c r="V7" s="13">
        <f>('TUSD BE'!$W$7+'TUSD BF'!$W$7+'TUSD CVA'!$W$7)*1</f>
        <v>0</v>
      </c>
      <c r="W7" s="13">
        <f>('TUSD BE'!$X$7+'TUSD BF'!$X$7+'TUSD CVA'!$X$7)*1</f>
        <v>0</v>
      </c>
      <c r="X7" s="13">
        <f>('TUSD BE'!$Y$7+'TUSD BF'!$Y$7+'TUSD CVA'!$Y$7)*1</f>
        <v>0</v>
      </c>
      <c r="Y7" s="13">
        <f>('TUSD BE'!$Z$7+'TUSD BF'!$Z$7+'TUSD CVA'!$Z$7)*1</f>
        <v>0</v>
      </c>
      <c r="Z7" s="13">
        <f>('TUSD BE'!$AA$7+'TUSD BF'!$AA$7+'TUSD CVA'!$AA$7)*1</f>
        <v>0</v>
      </c>
      <c r="AA7" s="13">
        <f>('TUSD BE'!$AC$7+'TUSD BF'!$AC$7+'TUSD CVA'!$AC$7)*1</f>
        <v>0</v>
      </c>
      <c r="AB7" s="13">
        <f ca="1">('TUSD BE'!$AE$7+'TUSD BF'!$AE$7+'TUSD CVA'!$AE$7)*1</f>
        <v>-6.0973432114184645</v>
      </c>
      <c r="AC7" s="13">
        <f ca="1">('TUSD BE'!$AF$7+'TUSD BF'!$AF$7+'TUSD CVA'!$AF$7)*1</f>
        <v>0</v>
      </c>
      <c r="AD7" s="13">
        <f>('TUSD BE'!$AH$7+'TUSD BF'!$AH$7+'TUSD CVA'!$AH$7)*1</f>
        <v>11.411199444839692</v>
      </c>
      <c r="AE7" s="13">
        <f>('TUSD BE'!$AI$7+'TUSD BF'!$AI$7+'TUSD CVA'!$AI$7)*1</f>
        <v>0.52764321208980758</v>
      </c>
      <c r="AF7" s="13">
        <f ca="1">('TUSD BE'!$AJ$7+'TUSD BF'!$AJ$7+'TUSD CVA'!$AJ$7)*1</f>
        <v>5.1275490080911883</v>
      </c>
      <c r="AG7" s="13">
        <f ca="1">('TUSD BE'!$AK$7+'TUSD BF'!$AK$7+'TUSD CVA'!$AK$7)*1</f>
        <v>1.8755215510964294</v>
      </c>
      <c r="AI7" s="13">
        <v>15.211358822278701</v>
      </c>
      <c r="AJ7" s="13">
        <v>0.11117860095427801</v>
      </c>
      <c r="AK7" s="13">
        <v>0.273522960998069</v>
      </c>
      <c r="AL7" s="13">
        <v>0</v>
      </c>
      <c r="AM7" s="13">
        <v>0</v>
      </c>
      <c r="AN7" s="13">
        <v>17.143865413254701</v>
      </c>
      <c r="AO7" s="13">
        <v>11.180406741798601</v>
      </c>
      <c r="AP7" s="13">
        <v>0</v>
      </c>
      <c r="AQ7" s="13">
        <v>0</v>
      </c>
      <c r="AR7" s="13">
        <v>0</v>
      </c>
      <c r="AS7" s="13">
        <v>0</v>
      </c>
      <c r="AT7" s="13">
        <v>0</v>
      </c>
      <c r="AU7" s="13">
        <v>0</v>
      </c>
      <c r="AV7" s="13">
        <v>0</v>
      </c>
      <c r="AW7" s="13">
        <v>0</v>
      </c>
      <c r="AX7" s="13">
        <v>0</v>
      </c>
      <c r="AY7" s="13">
        <v>0</v>
      </c>
      <c r="AZ7" s="13">
        <v>0</v>
      </c>
      <c r="BA7" s="13">
        <v>7.3964860898687697</v>
      </c>
      <c r="BB7" s="13">
        <v>0.31582226165903399</v>
      </c>
      <c r="BC7" s="13">
        <v>3.2752549602680299</v>
      </c>
      <c r="BD7" s="13">
        <v>1.44545667480138</v>
      </c>
    </row>
    <row r="8" spans="1:56" ht="11.25" customHeight="1" x14ac:dyDescent="0.25">
      <c r="A8" s="107"/>
      <c r="B8" s="107"/>
      <c r="C8" s="107"/>
      <c r="D8" s="107"/>
      <c r="E8" s="17" t="s">
        <v>89</v>
      </c>
      <c r="F8" s="17" t="s">
        <v>25</v>
      </c>
      <c r="G8" s="18" t="s">
        <v>88</v>
      </c>
      <c r="H8" s="18" t="s">
        <v>82</v>
      </c>
      <c r="I8" s="18">
        <f>'MERCADO TUSD'!$U$5+0.00000001</f>
        <v>1E-8</v>
      </c>
      <c r="J8" s="15"/>
      <c r="L8" s="13">
        <f>('TUSD BE'!$L$8+'TUSD BF'!$L$8+'TUSD CVA'!$L$8)*1</f>
        <v>0</v>
      </c>
      <c r="M8" s="13">
        <f>('TUSD BE'!$M$8+'TUSD BF'!$M$8+'TUSD CVA'!$M$8)*1</f>
        <v>0.11821520926312891</v>
      </c>
      <c r="N8" s="13">
        <f ca="1">('TUSD BE'!$N$8+'TUSD BF'!$N$8+'TUSD CVA'!$N$8)*1</f>
        <v>0.30193000043681023</v>
      </c>
      <c r="O8" s="13">
        <f>('TUSD BE'!$O$8+'TUSD BF'!$O$8+'TUSD CVA'!$O$8)*1</f>
        <v>0</v>
      </c>
      <c r="P8" s="13">
        <f>('TUSD BE'!$P$8+'TUSD BF'!$P$8+'TUSD CVA'!$P$8)*1</f>
        <v>0</v>
      </c>
      <c r="Q8" s="13">
        <f>('TUSD BE'!$Q$8+'TUSD BF'!$Q$8+'TUSD CVA'!$Q$8)*1</f>
        <v>0</v>
      </c>
      <c r="R8" s="13">
        <f>('TUSD BE'!$R$8+'TUSD BF'!$R$8+'TUSD CVA'!$R$8)*1</f>
        <v>0</v>
      </c>
      <c r="S8" s="13">
        <f>('TUSD BE'!$S$8+'TUSD BF'!$S$8+'TUSD CVA'!$S$8)*1</f>
        <v>0</v>
      </c>
      <c r="T8" s="13">
        <f>('TUSD BE'!$U$8+'TUSD BF'!$U$8+'TUSD CVA'!$U$8)*1</f>
        <v>0</v>
      </c>
      <c r="U8" s="13">
        <f>('TUSD BE'!$V$8+'TUSD BF'!$V$8+'TUSD CVA'!$V$8)*1</f>
        <v>0</v>
      </c>
      <c r="V8" s="13">
        <f>('TUSD BE'!$W$8+'TUSD BF'!$W$8+'TUSD CVA'!$W$8)*1</f>
        <v>0</v>
      </c>
      <c r="W8" s="13">
        <f>('TUSD BE'!$X$8+'TUSD BF'!$X$8+'TUSD CVA'!$X$8)*1</f>
        <v>0</v>
      </c>
      <c r="X8" s="13">
        <f>('TUSD BE'!$Y$8+'TUSD BF'!$Y$8+'TUSD CVA'!$Y$8)*1</f>
        <v>0</v>
      </c>
      <c r="Y8" s="13">
        <f>('TUSD BE'!$Z$8+'TUSD BF'!$Z$8+'TUSD CVA'!$Z$8)*1</f>
        <v>0</v>
      </c>
      <c r="Z8" s="13">
        <f>('TUSD BE'!$AA$8+'TUSD BF'!$AA$8+'TUSD CVA'!$AA$8)*1</f>
        <v>0</v>
      </c>
      <c r="AA8" s="13">
        <f>('TUSD BE'!$AC$8+'TUSD BF'!$AC$8+'TUSD CVA'!$AC$8)*1</f>
        <v>0</v>
      </c>
      <c r="AB8" s="13">
        <f ca="1">('TUSD BE'!$AE$8+'TUSD BF'!$AE$8+'TUSD CVA'!$AE$8)*1</f>
        <v>-1.579980328560503</v>
      </c>
      <c r="AC8" s="13">
        <f ca="1">('TUSD BE'!$AF$8+'TUSD BF'!$AF$8+'TUSD CVA'!$AF$8)*1</f>
        <v>0</v>
      </c>
      <c r="AD8" s="13">
        <f>('TUSD BE'!$AH$8+'TUSD BF'!$AH$8+'TUSD CVA'!$AH$8)*1</f>
        <v>11.411199444839692</v>
      </c>
      <c r="AE8" s="13">
        <f>('TUSD BE'!$AI$8+'TUSD BF'!$AI$8+'TUSD CVA'!$AI$8)*1</f>
        <v>0.52764321208980758</v>
      </c>
      <c r="AF8" s="13">
        <f ca="1">('TUSD BE'!$AJ$8+'TUSD BF'!$AJ$8+'TUSD CVA'!$AJ$8)*1</f>
        <v>5.1275490080911883</v>
      </c>
      <c r="AG8" s="13">
        <f ca="1">('TUSD BE'!$AK$8+'TUSD BF'!$AK$8+'TUSD CVA'!$AK$8)*1</f>
        <v>1.8755215510964294</v>
      </c>
      <c r="AI8" s="13">
        <v>0</v>
      </c>
      <c r="AJ8" s="13">
        <v>0.11117860095427801</v>
      </c>
      <c r="AK8" s="13">
        <v>0.26290401625985199</v>
      </c>
      <c r="AL8" s="13">
        <v>0</v>
      </c>
      <c r="AM8" s="13">
        <v>0</v>
      </c>
      <c r="AN8" s="13">
        <v>0</v>
      </c>
      <c r="AO8" s="13">
        <v>0</v>
      </c>
      <c r="AP8" s="13">
        <v>0</v>
      </c>
      <c r="AQ8" s="13">
        <v>0</v>
      </c>
      <c r="AR8" s="13">
        <v>0</v>
      </c>
      <c r="AS8" s="13">
        <v>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0</v>
      </c>
      <c r="AZ8" s="13">
        <v>0</v>
      </c>
      <c r="BA8" s="13">
        <v>7.3964860898687697</v>
      </c>
      <c r="BB8" s="13">
        <v>0.31582226165903399</v>
      </c>
      <c r="BC8" s="13">
        <v>3.2752549602680299</v>
      </c>
      <c r="BD8" s="13">
        <v>1.44545667480138</v>
      </c>
    </row>
    <row r="9" spans="1:56" ht="11.25" customHeight="1" x14ac:dyDescent="0.25">
      <c r="A9" s="107" t="s">
        <v>43</v>
      </c>
      <c r="B9" s="107" t="s">
        <v>42</v>
      </c>
      <c r="C9" s="107" t="s">
        <v>25</v>
      </c>
      <c r="D9" s="107" t="s">
        <v>25</v>
      </c>
      <c r="E9" s="107" t="s">
        <v>25</v>
      </c>
      <c r="F9" s="107" t="s">
        <v>25</v>
      </c>
      <c r="G9" s="18" t="s">
        <v>86</v>
      </c>
      <c r="H9" s="18" t="s">
        <v>85</v>
      </c>
      <c r="I9" s="18">
        <f>'MERCADO TUSD'!$U$6</f>
        <v>150</v>
      </c>
      <c r="J9" s="15"/>
      <c r="L9" s="13">
        <f>('TUSD BE'!$L$9+'TUSD BF'!$L$9+'TUSD CVA'!$L$9)*1</f>
        <v>0</v>
      </c>
      <c r="M9" s="13">
        <f>('TUSD BE'!$M$9+'TUSD BF'!$M$9+'TUSD CVA'!$M$9)*1</f>
        <v>0</v>
      </c>
      <c r="N9" s="13">
        <f ca="1">('TUSD BE'!$N$9+'TUSD BF'!$N$9+'TUSD CVA'!$N$9)*1</f>
        <v>0</v>
      </c>
      <c r="O9" s="13">
        <f>('TUSD BE'!$O$9+'TUSD BF'!$O$9+'TUSD CVA'!$O$9)*1</f>
        <v>0</v>
      </c>
      <c r="P9" s="13">
        <f>('TUSD BE'!$P$9+'TUSD BF'!$P$9+'TUSD CVA'!$P$9)*1</f>
        <v>0</v>
      </c>
      <c r="Q9" s="13">
        <f>('TUSD BE'!$Q$9+'TUSD BF'!$Q$9+'TUSD CVA'!$Q$9)*1</f>
        <v>0</v>
      </c>
      <c r="R9" s="13">
        <f>('TUSD BE'!$R$9+'TUSD BF'!$R$9+'TUSD CVA'!$R$9)*1</f>
        <v>0</v>
      </c>
      <c r="S9" s="13">
        <f>('TUSD BE'!$S$9+'TUSD BF'!$S$9+'TUSD CVA'!$S$9)*1</f>
        <v>0</v>
      </c>
      <c r="T9" s="13">
        <f>('TUSD BE'!$U$9+'TUSD BF'!$U$9+'TUSD CVA'!$U$9)*1</f>
        <v>3.7960314069525136</v>
      </c>
      <c r="U9" s="13">
        <f>('TUSD BE'!$V$9+'TUSD BF'!$V$9+'TUSD CVA'!$V$9)*1</f>
        <v>3.9835302187282902</v>
      </c>
      <c r="V9" s="13">
        <f>('TUSD BE'!$W$9+'TUSD BF'!$W$9+'TUSD CVA'!$W$9)*1</f>
        <v>0.34142964735694803</v>
      </c>
      <c r="W9" s="13">
        <f>('TUSD BE'!$X$9+'TUSD BF'!$X$9+'TUSD CVA'!$X$9)*1</f>
        <v>0</v>
      </c>
      <c r="X9" s="13">
        <f>('TUSD BE'!$Y$9+'TUSD BF'!$Y$9+'TUSD CVA'!$Y$9)*1</f>
        <v>0</v>
      </c>
      <c r="Y9" s="13">
        <f>('TUSD BE'!$Z$9+'TUSD BF'!$Z$9+'TUSD CVA'!$Z$9)*1</f>
        <v>0</v>
      </c>
      <c r="Z9" s="13">
        <f>('TUSD BE'!$AA$9+'TUSD BF'!$AA$9+'TUSD CVA'!$AA$9)*1</f>
        <v>0</v>
      </c>
      <c r="AA9" s="13">
        <f>('TUSD BE'!$AC$9+'TUSD BF'!$AC$9+'TUSD CVA'!$AC$9)*1</f>
        <v>53.62381474774574</v>
      </c>
      <c r="AB9" s="13">
        <f ca="1">('TUSD BE'!$AE$9+'TUSD BF'!$AE$9+'TUSD CVA'!$AE$9)*1</f>
        <v>-5.4362283726388094</v>
      </c>
      <c r="AC9" s="13">
        <f ca="1">('TUSD BE'!$AF$9+'TUSD BF'!$AF$9+'TUSD CVA'!$AF$9)*1</f>
        <v>0</v>
      </c>
      <c r="AD9" s="13">
        <f>('TUSD BE'!$AH$9+'TUSD BF'!$AH$9+'TUSD CVA'!$AH$9)*1</f>
        <v>0</v>
      </c>
      <c r="AE9" s="13">
        <f>('TUSD BE'!$AI$9+'TUSD BF'!$AI$9+'TUSD CVA'!$AI$9)*1</f>
        <v>0</v>
      </c>
      <c r="AF9" s="13">
        <f ca="1">('TUSD BE'!$AJ$9+'TUSD BF'!$AJ$9+'TUSD CVA'!$AJ$9)*1</f>
        <v>0</v>
      </c>
      <c r="AG9" s="13">
        <f ca="1">('TUSD BE'!$AK$9+'TUSD BF'!$AK$9+'TUSD CVA'!$AK$9)*1</f>
        <v>0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2.5048630972444199</v>
      </c>
      <c r="AR9" s="13">
        <v>3.0855804903713402</v>
      </c>
      <c r="AS9" s="13">
        <v>0.26711496604521801</v>
      </c>
      <c r="AT9" s="13">
        <v>0</v>
      </c>
      <c r="AU9" s="13">
        <v>0</v>
      </c>
      <c r="AV9" s="13">
        <v>0</v>
      </c>
      <c r="AW9" s="13">
        <v>0</v>
      </c>
      <c r="AX9" s="13">
        <v>50.357487217086003</v>
      </c>
      <c r="AY9" s="13">
        <v>0</v>
      </c>
      <c r="AZ9" s="13">
        <v>0</v>
      </c>
      <c r="BA9" s="13">
        <v>0</v>
      </c>
      <c r="BB9" s="13">
        <v>0</v>
      </c>
      <c r="BC9" s="13">
        <v>0</v>
      </c>
      <c r="BD9" s="13">
        <v>0</v>
      </c>
    </row>
    <row r="10" spans="1:56" ht="11.25" customHeight="1" x14ac:dyDescent="0.25">
      <c r="A10" s="107"/>
      <c r="B10" s="107"/>
      <c r="C10" s="107"/>
      <c r="D10" s="107"/>
      <c r="E10" s="107"/>
      <c r="F10" s="107"/>
      <c r="G10" s="18" t="s">
        <v>87</v>
      </c>
      <c r="H10" s="18" t="s">
        <v>85</v>
      </c>
      <c r="I10" s="18">
        <f>'MERCADO TUSD'!$U$7</f>
        <v>1035</v>
      </c>
      <c r="J10" s="15"/>
      <c r="L10" s="13">
        <f>('TUSD BE'!$L$10+'TUSD BF'!$L$10+'TUSD CVA'!$L$10)*1</f>
        <v>0</v>
      </c>
      <c r="M10" s="13">
        <f>('TUSD BE'!$M$10+'TUSD BF'!$M$10+'TUSD CVA'!$M$10)*1</f>
        <v>0</v>
      </c>
      <c r="N10" s="13">
        <f ca="1">('TUSD BE'!$N$10+'TUSD BF'!$N$10+'TUSD CVA'!$N$10)*1</f>
        <v>0</v>
      </c>
      <c r="O10" s="13">
        <f>('TUSD BE'!$O$10+'TUSD BF'!$O$10+'TUSD CVA'!$O$10)*1</f>
        <v>0</v>
      </c>
      <c r="P10" s="13">
        <f>('TUSD BE'!$P$10+'TUSD BF'!$P$10+'TUSD CVA'!$P$10)*1</f>
        <v>0</v>
      </c>
      <c r="Q10" s="13">
        <f>('TUSD BE'!$Q$10+'TUSD BF'!$Q$10+'TUSD CVA'!$Q$10)*1</f>
        <v>0</v>
      </c>
      <c r="R10" s="13">
        <f>('TUSD BE'!$R$10+'TUSD BF'!$R$10+'TUSD CVA'!$R$10)*1</f>
        <v>0</v>
      </c>
      <c r="S10" s="13">
        <f>('TUSD BE'!$S$10+'TUSD BF'!$S$10+'TUSD CVA'!$S$10)*1</f>
        <v>0</v>
      </c>
      <c r="T10" s="13">
        <f>('TUSD BE'!$U$10+'TUSD BF'!$U$10+'TUSD CVA'!$U$10)*1</f>
        <v>2.8499935827397538</v>
      </c>
      <c r="U10" s="13">
        <f>('TUSD BE'!$V$10+'TUSD BF'!$V$10+'TUSD CVA'!$V$10)*1</f>
        <v>3.2952149698311164</v>
      </c>
      <c r="V10" s="13">
        <f>('TUSD BE'!$W$10+'TUSD BF'!$W$10+'TUSD CVA'!$W$10)*1</f>
        <v>0.28524663448962928</v>
      </c>
      <c r="W10" s="13">
        <f>('TUSD BE'!$X$10+'TUSD BF'!$X$10+'TUSD CVA'!$X$10)*1</f>
        <v>0</v>
      </c>
      <c r="X10" s="13">
        <f>('TUSD BE'!$Y$10+'TUSD BF'!$Y$10+'TUSD CVA'!$Y$10)*1</f>
        <v>0</v>
      </c>
      <c r="Y10" s="13">
        <f>('TUSD BE'!$Z$10+'TUSD BF'!$Z$10+'TUSD CVA'!$Z$10)*1</f>
        <v>0</v>
      </c>
      <c r="Z10" s="13">
        <f>('TUSD BE'!$AA$10+'TUSD BF'!$AA$10+'TUSD CVA'!$AA$10)*1</f>
        <v>0</v>
      </c>
      <c r="AA10" s="13">
        <f>('TUSD BE'!$AC$10+'TUSD BF'!$AC$10+'TUSD CVA'!$AC$10)*1</f>
        <v>16.125646562608765</v>
      </c>
      <c r="AB10" s="13">
        <f ca="1">('TUSD BE'!$AE$10+'TUSD BF'!$AE$10+'TUSD CVA'!$AE$10)*1</f>
        <v>-1.9408874194434911</v>
      </c>
      <c r="AC10" s="13">
        <f ca="1">('TUSD BE'!$AF$10+'TUSD BF'!$AF$10+'TUSD CVA'!$AF$10)*1</f>
        <v>0</v>
      </c>
      <c r="AD10" s="13">
        <f>('TUSD BE'!$AH$10+'TUSD BF'!$AH$10+'TUSD CVA'!$AH$10)*1</f>
        <v>0</v>
      </c>
      <c r="AE10" s="13">
        <f>('TUSD BE'!$AI$10+'TUSD BF'!$AI$10+'TUSD CVA'!$AI$10)*1</f>
        <v>0</v>
      </c>
      <c r="AF10" s="13">
        <f ca="1">('TUSD BE'!$AJ$10+'TUSD BF'!$AJ$10+'TUSD CVA'!$AJ$10)*1</f>
        <v>0</v>
      </c>
      <c r="AG10" s="13">
        <f ca="1">('TUSD BE'!$AK$10+'TUSD BF'!$AK$10+'TUSD CVA'!$AK$10)*1</f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1.8806071361035801</v>
      </c>
      <c r="AR10" s="13">
        <v>2.5524222145191602</v>
      </c>
      <c r="AS10" s="13">
        <v>0.22316060036389601</v>
      </c>
      <c r="AT10" s="13">
        <v>0</v>
      </c>
      <c r="AU10" s="13">
        <v>0</v>
      </c>
      <c r="AV10" s="13">
        <v>0</v>
      </c>
      <c r="AW10" s="13">
        <v>0</v>
      </c>
      <c r="AX10" s="13">
        <v>15.143403065667901</v>
      </c>
      <c r="AY10" s="13">
        <v>0</v>
      </c>
      <c r="AZ10" s="13">
        <v>0</v>
      </c>
      <c r="BA10" s="13">
        <v>0</v>
      </c>
      <c r="BB10" s="13">
        <v>0</v>
      </c>
      <c r="BC10" s="13">
        <v>0</v>
      </c>
      <c r="BD10" s="13">
        <v>0</v>
      </c>
    </row>
    <row r="11" spans="1:56" ht="11.25" customHeight="1" x14ac:dyDescent="0.25">
      <c r="A11" s="107"/>
      <c r="B11" s="107"/>
      <c r="C11" s="107"/>
      <c r="D11" s="107"/>
      <c r="E11" s="107"/>
      <c r="F11" s="107"/>
      <c r="G11" s="18" t="s">
        <v>88</v>
      </c>
      <c r="H11" s="18" t="s">
        <v>82</v>
      </c>
      <c r="I11" s="18">
        <f>'MERCADO TUSD'!$U$8</f>
        <v>0</v>
      </c>
      <c r="J11" s="15"/>
      <c r="L11" s="13">
        <f>('TUSD BE'!$L$11+'TUSD BF'!$L$11+'TUSD CVA'!$L$11)*1</f>
        <v>16.88577221745777</v>
      </c>
      <c r="M11" s="13">
        <f>('TUSD BE'!$M$11+'TUSD BF'!$M$11+'TUSD CVA'!$M$11)*1</f>
        <v>0.66131436178692882</v>
      </c>
      <c r="N11" s="13">
        <f ca="1">('TUSD BE'!$N$11+'TUSD BF'!$N$11+'TUSD CVA'!$N$11)*1</f>
        <v>0.69317387176076573</v>
      </c>
      <c r="O11" s="13">
        <f>('TUSD BE'!$O$11+'TUSD BF'!$O$11+'TUSD CVA'!$O$11)*1</f>
        <v>0</v>
      </c>
      <c r="P11" s="13">
        <f>('TUSD BE'!$P$11+'TUSD BF'!$P$11+'TUSD CVA'!$P$11)*1</f>
        <v>0</v>
      </c>
      <c r="Q11" s="13">
        <f>('TUSD BE'!$Q$11+'TUSD BF'!$Q$11+'TUSD CVA'!$Q$11)*1</f>
        <v>41.971221250946812</v>
      </c>
      <c r="R11" s="13">
        <f>('TUSD BE'!$R$11+'TUSD BF'!$R$11+'TUSD CVA'!$R$11)*1</f>
        <v>18.494598327475543</v>
      </c>
      <c r="S11" s="13">
        <f>('TUSD BE'!$S$11+'TUSD BF'!$S$11+'TUSD CVA'!$S$11)*1</f>
        <v>0</v>
      </c>
      <c r="T11" s="13">
        <f>('TUSD BE'!$U$11+'TUSD BF'!$U$11+'TUSD CVA'!$U$11)*1</f>
        <v>0</v>
      </c>
      <c r="U11" s="13">
        <f>('TUSD BE'!$V$11+'TUSD BF'!$V$11+'TUSD CVA'!$V$11)*1</f>
        <v>0</v>
      </c>
      <c r="V11" s="13">
        <f>('TUSD BE'!$W$11+'TUSD BF'!$W$11+'TUSD CVA'!$W$11)*1</f>
        <v>0</v>
      </c>
      <c r="W11" s="13">
        <f>('TUSD BE'!$X$11+'TUSD BF'!$X$11+'TUSD CVA'!$X$11)*1</f>
        <v>0</v>
      </c>
      <c r="X11" s="13">
        <f>('TUSD BE'!$Y$11+'TUSD BF'!$Y$11+'TUSD CVA'!$Y$11)*1</f>
        <v>0</v>
      </c>
      <c r="Y11" s="13">
        <f>('TUSD BE'!$Z$11+'TUSD BF'!$Z$11+'TUSD CVA'!$Z$11)*1</f>
        <v>0</v>
      </c>
      <c r="Z11" s="13">
        <f>('TUSD BE'!$AA$11+'TUSD BF'!$AA$11+'TUSD CVA'!$AA$11)*1</f>
        <v>0</v>
      </c>
      <c r="AA11" s="13">
        <f>('TUSD BE'!$AC$11+'TUSD BF'!$AC$11+'TUSD CVA'!$AC$11)*1</f>
        <v>0</v>
      </c>
      <c r="AB11" s="13">
        <f ca="1">('TUSD BE'!$AE$11+'TUSD BF'!$AE$11+'TUSD CVA'!$AE$11)*1</f>
        <v>-9.4494822089407879</v>
      </c>
      <c r="AC11" s="13">
        <f ca="1">('TUSD BE'!$AF$11+'TUSD BF'!$AF$11+'TUSD CVA'!$AF$11)*1</f>
        <v>0</v>
      </c>
      <c r="AD11" s="13">
        <f>('TUSD BE'!$AH$11+'TUSD BF'!$AH$11+'TUSD CVA'!$AH$11)*1</f>
        <v>15.215026199280418</v>
      </c>
      <c r="AE11" s="13">
        <f>('TUSD BE'!$AI$11+'TUSD BF'!$AI$11+'TUSD CVA'!$AI$11)*1</f>
        <v>0.70352861104792264</v>
      </c>
      <c r="AF11" s="13">
        <f ca="1">('TUSD BE'!$AJ$11+'TUSD BF'!$AJ$11+'TUSD CVA'!$AJ$11)*1</f>
        <v>20.688686871862899</v>
      </c>
      <c r="AG11" s="13">
        <f ca="1">('TUSD BE'!$AK$11+'TUSD BF'!$AK$11+'TUSD CVA'!$AK$11)*1</f>
        <v>7.5673734236056243</v>
      </c>
      <c r="AI11" s="13">
        <v>19.752062948332199</v>
      </c>
      <c r="AJ11" s="13">
        <v>0.63696395880197798</v>
      </c>
      <c r="AK11" s="13">
        <v>0.58418208276975403</v>
      </c>
      <c r="AL11" s="13">
        <v>0</v>
      </c>
      <c r="AM11" s="13">
        <v>0</v>
      </c>
      <c r="AN11" s="13">
        <v>22.261437178405501</v>
      </c>
      <c r="AO11" s="13">
        <v>11.1804067417987</v>
      </c>
      <c r="AP11" s="13">
        <v>0</v>
      </c>
      <c r="AQ11" s="13">
        <v>0</v>
      </c>
      <c r="AR11" s="13">
        <v>0</v>
      </c>
      <c r="AS11" s="13">
        <v>0</v>
      </c>
      <c r="AT11" s="13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0</v>
      </c>
      <c r="AZ11" s="13">
        <v>0</v>
      </c>
      <c r="BA11" s="13">
        <v>9.8620421265933196</v>
      </c>
      <c r="BB11" s="13">
        <v>0.42109893957126698</v>
      </c>
      <c r="BC11" s="13">
        <v>13.6039012175829</v>
      </c>
      <c r="BD11" s="13">
        <v>6.0037615565307503</v>
      </c>
    </row>
    <row r="12" spans="1:56" ht="11.25" customHeight="1" x14ac:dyDescent="0.25">
      <c r="A12" s="107"/>
      <c r="B12" s="107"/>
      <c r="C12" s="107"/>
      <c r="D12" s="107"/>
      <c r="E12" s="17" t="s">
        <v>89</v>
      </c>
      <c r="F12" s="17" t="s">
        <v>25</v>
      </c>
      <c r="G12" s="18" t="s">
        <v>88</v>
      </c>
      <c r="H12" s="18" t="s">
        <v>82</v>
      </c>
      <c r="I12" s="18">
        <f>'MERCADO TUSD'!$U$9</f>
        <v>0</v>
      </c>
      <c r="J12" s="15"/>
      <c r="L12" s="13">
        <f>('TUSD BE'!$L$12+'TUSD BF'!$L$12+'TUSD CVA'!$L$12)*1</f>
        <v>0</v>
      </c>
      <c r="M12" s="13">
        <f>('TUSD BE'!$M$12+'TUSD BF'!$M$12+'TUSD CVA'!$M$12)*1</f>
        <v>0.66131436178692882</v>
      </c>
      <c r="N12" s="13">
        <f ca="1">('TUSD BE'!$N$12+'TUSD BF'!$N$12+'TUSD CVA'!$N$12)*1</f>
        <v>0.68170011542177411</v>
      </c>
      <c r="O12" s="13">
        <f>('TUSD BE'!$O$12+'TUSD BF'!$O$12+'TUSD CVA'!$O$12)*1</f>
        <v>0</v>
      </c>
      <c r="P12" s="13">
        <f>('TUSD BE'!$P$12+'TUSD BF'!$P$12+'TUSD CVA'!$P$12)*1</f>
        <v>0</v>
      </c>
      <c r="Q12" s="13">
        <f>('TUSD BE'!$Q$12+'TUSD BF'!$Q$12+'TUSD CVA'!$Q$12)*1</f>
        <v>0</v>
      </c>
      <c r="R12" s="13">
        <f>('TUSD BE'!$R$12+'TUSD BF'!$R$12+'TUSD CVA'!$R$12)*1</f>
        <v>0</v>
      </c>
      <c r="S12" s="13">
        <f>('TUSD BE'!$S$12+'TUSD BF'!$S$12+'TUSD CVA'!$S$12)*1</f>
        <v>0</v>
      </c>
      <c r="T12" s="13">
        <f>('TUSD BE'!$U$12+'TUSD BF'!$U$12+'TUSD CVA'!$U$12)*1</f>
        <v>0</v>
      </c>
      <c r="U12" s="13">
        <f>('TUSD BE'!$V$12+'TUSD BF'!$V$12+'TUSD CVA'!$V$12)*1</f>
        <v>0</v>
      </c>
      <c r="V12" s="13">
        <f>('TUSD BE'!$W$12+'TUSD BF'!$W$12+'TUSD CVA'!$W$12)*1</f>
        <v>0</v>
      </c>
      <c r="W12" s="13">
        <f>('TUSD BE'!$X$12+'TUSD BF'!$X$12+'TUSD CVA'!$X$12)*1</f>
        <v>0</v>
      </c>
      <c r="X12" s="13">
        <f>('TUSD BE'!$Y$12+'TUSD BF'!$Y$12+'TUSD CVA'!$Y$12)*1</f>
        <v>0</v>
      </c>
      <c r="Y12" s="13">
        <f>('TUSD BE'!$Z$12+'TUSD BF'!$Z$12+'TUSD CVA'!$Z$12)*1</f>
        <v>0</v>
      </c>
      <c r="Z12" s="13">
        <f>('TUSD BE'!$AA$12+'TUSD BF'!$AA$12+'TUSD CVA'!$AA$12)*1</f>
        <v>0</v>
      </c>
      <c r="AA12" s="13">
        <f>('TUSD BE'!$AC$12+'TUSD BF'!$AC$12+'TUSD CVA'!$AC$12)*1</f>
        <v>0</v>
      </c>
      <c r="AB12" s="13">
        <f ca="1">('TUSD BE'!$AE$12+'TUSD BF'!$AE$12+'TUSD CVA'!$AE$12)*1</f>
        <v>-3.7680117017525516</v>
      </c>
      <c r="AC12" s="13">
        <f ca="1">('TUSD BE'!$AF$12+'TUSD BF'!$AF$12+'TUSD CVA'!$AF$12)*1</f>
        <v>0</v>
      </c>
      <c r="AD12" s="13">
        <f>('TUSD BE'!$AH$12+'TUSD BF'!$AH$12+'TUSD CVA'!$AH$12)*1</f>
        <v>15.215026199280418</v>
      </c>
      <c r="AE12" s="13">
        <f>('TUSD BE'!$AI$12+'TUSD BF'!$AI$12+'TUSD CVA'!$AI$12)*1</f>
        <v>0.70352861104792264</v>
      </c>
      <c r="AF12" s="13">
        <f ca="1">('TUSD BE'!$AJ$12+'TUSD BF'!$AJ$12+'TUSD CVA'!$AJ$12)*1</f>
        <v>20.688686871862899</v>
      </c>
      <c r="AG12" s="13">
        <f ca="1">('TUSD BE'!$AK$12+'TUSD BF'!$AK$12+'TUSD CVA'!$AK$12)*1</f>
        <v>7.5673734236056243</v>
      </c>
      <c r="AI12" s="13">
        <v>0</v>
      </c>
      <c r="AJ12" s="13">
        <v>0.63696395880197798</v>
      </c>
      <c r="AK12" s="13">
        <v>0.57356313803153702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9.8620421265933196</v>
      </c>
      <c r="BB12" s="13">
        <v>0.42109893957126698</v>
      </c>
      <c r="BC12" s="13">
        <v>13.6039012175829</v>
      </c>
      <c r="BD12" s="13">
        <v>6.0037615565307503</v>
      </c>
    </row>
    <row r="13" spans="1:56" ht="11.25" customHeight="1" x14ac:dyDescent="0.25">
      <c r="A13" s="107"/>
      <c r="B13" s="17" t="s">
        <v>91</v>
      </c>
      <c r="C13" s="17" t="s">
        <v>25</v>
      </c>
      <c r="D13" s="17" t="s">
        <v>25</v>
      </c>
      <c r="E13" s="17" t="s">
        <v>25</v>
      </c>
      <c r="F13" s="17" t="s">
        <v>25</v>
      </c>
      <c r="G13" s="18" t="s">
        <v>9</v>
      </c>
      <c r="H13" s="18" t="s">
        <v>85</v>
      </c>
      <c r="I13" s="18">
        <f>'MERCADO TUSD'!$U$10</f>
        <v>0</v>
      </c>
      <c r="J13" s="15"/>
      <c r="L13" s="13">
        <f>('TUSD BE'!$L$13+'TUSD BF'!$L$13+'TUSD CVA'!$L$13)*1</f>
        <v>0</v>
      </c>
      <c r="M13" s="13">
        <f>('TUSD BE'!$M$13+'TUSD BF'!$M$13+'TUSD CVA'!$M$13)*1</f>
        <v>6.6898438481065345E-2</v>
      </c>
      <c r="N13" s="13">
        <f ca="1">('TUSD BE'!$N$13+'TUSD BF'!$N$13+'TUSD CVA'!$N$13)*1</f>
        <v>0.19172646842454893</v>
      </c>
      <c r="O13" s="13">
        <f>('TUSD BE'!$O$13+'TUSD BF'!$O$13+'TUSD CVA'!$O$13)*1</f>
        <v>0</v>
      </c>
      <c r="P13" s="13">
        <f>('TUSD BE'!$P$13+'TUSD BF'!$P$13+'TUSD CVA'!$P$13)*1</f>
        <v>0</v>
      </c>
      <c r="Q13" s="13">
        <f>('TUSD BE'!$Q$13+'TUSD BF'!$Q$13+'TUSD CVA'!$Q$13)*1</f>
        <v>0</v>
      </c>
      <c r="R13" s="13">
        <f>('TUSD BE'!$R$13+'TUSD BF'!$R$13+'TUSD CVA'!$R$13)*1</f>
        <v>0</v>
      </c>
      <c r="S13" s="13">
        <f>('TUSD BE'!$S$13+'TUSD BF'!$S$13+'TUSD CVA'!$S$13)*1</f>
        <v>0</v>
      </c>
      <c r="T13" s="13">
        <f>('TUSD BE'!$U$13+'TUSD BF'!$U$13+'TUSD CVA'!$U$13)*1</f>
        <v>0</v>
      </c>
      <c r="U13" s="13">
        <f>('TUSD BE'!$V$13+'TUSD BF'!$V$13+'TUSD CVA'!$V$13)*1</f>
        <v>0</v>
      </c>
      <c r="V13" s="13">
        <f>('TUSD BE'!$W$13+'TUSD BF'!$W$13+'TUSD CVA'!$W$13)*1</f>
        <v>0</v>
      </c>
      <c r="W13" s="13">
        <f>('TUSD BE'!$X$13+'TUSD BF'!$X$13+'TUSD CVA'!$X$13)*1</f>
        <v>0</v>
      </c>
      <c r="X13" s="13">
        <f>('TUSD BE'!$Y$13+'TUSD BF'!$Y$13+'TUSD CVA'!$Y$13)*1</f>
        <v>0</v>
      </c>
      <c r="Y13" s="13">
        <f>('TUSD BE'!$Z$13+'TUSD BF'!$Z$13+'TUSD CVA'!$Z$13)*1</f>
        <v>0</v>
      </c>
      <c r="Z13" s="13">
        <f>('TUSD BE'!$AA$13+'TUSD BF'!$AA$13+'TUSD CVA'!$AA$13)*1</f>
        <v>0</v>
      </c>
      <c r="AA13" s="13">
        <f>('TUSD BE'!$AC$13+'TUSD BF'!$AC$13+'TUSD CVA'!$AC$13)*1</f>
        <v>19.948656751325931</v>
      </c>
      <c r="AB13" s="13">
        <f ca="1">('TUSD BE'!$AE$13+'TUSD BF'!$AE$13+'TUSD CVA'!$AE$13)*1</f>
        <v>-1.8138950339234707</v>
      </c>
      <c r="AC13" s="13">
        <f ca="1">('TUSD BE'!$AF$13+'TUSD BF'!$AF$13+'TUSD CVA'!$AF$13)*1</f>
        <v>0</v>
      </c>
      <c r="AD13" s="13">
        <f>('TUSD BE'!$AH$13+'TUSD BF'!$AH$13+'TUSD CVA'!$AH$13)*1</f>
        <v>0</v>
      </c>
      <c r="AE13" s="13">
        <f>('TUSD BE'!$AI$13+'TUSD BF'!$AI$13+'TUSD CVA'!$AI$13)*1</f>
        <v>0</v>
      </c>
      <c r="AF13" s="13">
        <f ca="1">('TUSD BE'!$AJ$13+'TUSD BF'!$AJ$13+'TUSD CVA'!$AJ$13)*1</f>
        <v>0</v>
      </c>
      <c r="AG13" s="13">
        <f ca="1">('TUSD BE'!$AK$13+'TUSD BF'!$AK$13+'TUSD CVA'!$AK$13)*1</f>
        <v>0</v>
      </c>
      <c r="AI13" s="13">
        <v>0</v>
      </c>
      <c r="AJ13" s="13">
        <v>6.7285861629512098E-2</v>
      </c>
      <c r="AK13" s="13">
        <v>0.17744256657560301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18.733546505009901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</row>
    <row r="14" spans="1:56" ht="11.25" customHeight="1" x14ac:dyDescent="0.25">
      <c r="A14" s="107"/>
      <c r="B14" s="107" t="s">
        <v>44</v>
      </c>
      <c r="C14" s="107" t="s">
        <v>25</v>
      </c>
      <c r="D14" s="107" t="s">
        <v>25</v>
      </c>
      <c r="E14" s="107" t="s">
        <v>25</v>
      </c>
      <c r="F14" s="107" t="s">
        <v>25</v>
      </c>
      <c r="G14" s="18" t="s">
        <v>9</v>
      </c>
      <c r="H14" s="18" t="s">
        <v>85</v>
      </c>
      <c r="I14" s="18">
        <f>'MERCADO TUSD'!$U$11</f>
        <v>10639</v>
      </c>
      <c r="J14" s="15"/>
      <c r="L14" s="13">
        <f>('TUSD BE'!$L$14+'TUSD BF'!$L$14+'TUSD CVA'!$L$14)*1</f>
        <v>0</v>
      </c>
      <c r="M14" s="13">
        <f>('TUSD BE'!$M$14+'TUSD BF'!$M$14+'TUSD CVA'!$M$14)*1</f>
        <v>0</v>
      </c>
      <c r="N14" s="13">
        <f ca="1">('TUSD BE'!$N$14+'TUSD BF'!$N$14+'TUSD CVA'!$N$14)*1</f>
        <v>0</v>
      </c>
      <c r="O14" s="13">
        <f>('TUSD BE'!$O$14+'TUSD BF'!$O$14+'TUSD CVA'!$O$14)*1</f>
        <v>0</v>
      </c>
      <c r="P14" s="13">
        <f>('TUSD BE'!$P$14+'TUSD BF'!$P$14+'TUSD CVA'!$P$14)*1</f>
        <v>0</v>
      </c>
      <c r="Q14" s="13">
        <f>('TUSD BE'!$Q$14+'TUSD BF'!$Q$14+'TUSD CVA'!$Q$14)*1</f>
        <v>0</v>
      </c>
      <c r="R14" s="13">
        <f>('TUSD BE'!$R$14+'TUSD BF'!$R$14+'TUSD CVA'!$R$14)*1</f>
        <v>0</v>
      </c>
      <c r="S14" s="13">
        <f>('TUSD BE'!$S$14+'TUSD BF'!$S$14+'TUSD CVA'!$S$14)*1</f>
        <v>0</v>
      </c>
      <c r="T14" s="13">
        <f>('TUSD BE'!$U$14+'TUSD BF'!$U$14+'TUSD CVA'!$U$14)*1</f>
        <v>2.8499935827397538</v>
      </c>
      <c r="U14" s="13">
        <f>('TUSD BE'!$V$14+'TUSD BF'!$V$14+'TUSD CVA'!$V$14)*1</f>
        <v>3.2952149698311164</v>
      </c>
      <c r="V14" s="13">
        <f>('TUSD BE'!$W$14+'TUSD BF'!$W$14+'TUSD CVA'!$W$14)*1</f>
        <v>0.28524663448962928</v>
      </c>
      <c r="W14" s="13">
        <f>('TUSD BE'!$X$14+'TUSD BF'!$X$14+'TUSD CVA'!$X$14)*1</f>
        <v>0</v>
      </c>
      <c r="X14" s="13">
        <f>('TUSD BE'!$Y$14+'TUSD BF'!$Y$14+'TUSD CVA'!$Y$14)*1</f>
        <v>0</v>
      </c>
      <c r="Y14" s="13">
        <f>('TUSD BE'!$Z$14+'TUSD BF'!$Z$14+'TUSD CVA'!$Z$14)*1</f>
        <v>0</v>
      </c>
      <c r="Z14" s="13">
        <f>('TUSD BE'!$AA$14+'TUSD BF'!$AA$14+'TUSD CVA'!$AA$14)*1</f>
        <v>0</v>
      </c>
      <c r="AA14" s="13">
        <f>('TUSD BE'!$AC$14+'TUSD BF'!$AC$14+'TUSD CVA'!$AC$14)*1</f>
        <v>16.125646562608765</v>
      </c>
      <c r="AB14" s="13">
        <f ca="1">('TUSD BE'!$AE$14+'TUSD BF'!$AE$14+'TUSD CVA'!$AE$14)*1</f>
        <v>-1.9408874194434911</v>
      </c>
      <c r="AC14" s="13">
        <f ca="1">('TUSD BE'!$AF$14+'TUSD BF'!$AF$14+'TUSD CVA'!$AF$14)*1</f>
        <v>0</v>
      </c>
      <c r="AD14" s="13">
        <f>('TUSD BE'!$AH$14+'TUSD BF'!$AH$14+'TUSD CVA'!$AH$14)*1</f>
        <v>0</v>
      </c>
      <c r="AE14" s="13">
        <f>('TUSD BE'!$AI$14+'TUSD BF'!$AI$14+'TUSD CVA'!$AI$14)*1</f>
        <v>0</v>
      </c>
      <c r="AF14" s="13">
        <f ca="1">('TUSD BE'!$AJ$14+'TUSD BF'!$AJ$14+'TUSD CVA'!$AJ$14)*1</f>
        <v>0</v>
      </c>
      <c r="AG14" s="13">
        <f ca="1">('TUSD BE'!$AK$14+'TUSD BF'!$AK$14+'TUSD CVA'!$AK$14)*1</f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1.8806071361035801</v>
      </c>
      <c r="AR14" s="13">
        <v>2.5524222145191602</v>
      </c>
      <c r="AS14" s="13">
        <v>0.22316060036389601</v>
      </c>
      <c r="AT14" s="13">
        <v>0</v>
      </c>
      <c r="AU14" s="13">
        <v>0</v>
      </c>
      <c r="AV14" s="13">
        <v>0</v>
      </c>
      <c r="AW14" s="13">
        <v>0</v>
      </c>
      <c r="AX14" s="13">
        <v>15.143403065667901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</row>
    <row r="15" spans="1:56" ht="11.25" customHeight="1" x14ac:dyDescent="0.25">
      <c r="A15" s="107"/>
      <c r="B15" s="107"/>
      <c r="C15" s="107"/>
      <c r="D15" s="107"/>
      <c r="E15" s="107"/>
      <c r="F15" s="107"/>
      <c r="G15" s="18" t="s">
        <v>83</v>
      </c>
      <c r="H15" s="18" t="s">
        <v>82</v>
      </c>
      <c r="I15" s="18">
        <f>'MERCADO TUSD'!$U$12</f>
        <v>163.142</v>
      </c>
      <c r="J15" s="15"/>
      <c r="L15" s="13">
        <f>('TUSD BE'!$L$15+'TUSD BF'!$L$15+'TUSD CVA'!$L$15)*1</f>
        <v>16.88577221745777</v>
      </c>
      <c r="M15" s="13">
        <f>('TUSD BE'!$M$15+'TUSD BF'!$M$15+'TUSD CVA'!$M$15)*1</f>
        <v>0.66131436178692882</v>
      </c>
      <c r="N15" s="13">
        <f ca="1">('TUSD BE'!$N$15+'TUSD BF'!$N$15+'TUSD CVA'!$N$15)*1</f>
        <v>14.395457710663496</v>
      </c>
      <c r="O15" s="13">
        <f>('TUSD BE'!$O$15+'TUSD BF'!$O$15+'TUSD CVA'!$O$15)*1</f>
        <v>0</v>
      </c>
      <c r="P15" s="13">
        <f>('TUSD BE'!$P$15+'TUSD BF'!$P$15+'TUSD CVA'!$P$15)*1</f>
        <v>0</v>
      </c>
      <c r="Q15" s="13">
        <f>('TUSD BE'!$Q$15+'TUSD BF'!$Q$15+'TUSD CVA'!$Q$15)*1</f>
        <v>41.971221250946812</v>
      </c>
      <c r="R15" s="13">
        <f>('TUSD BE'!$R$15+'TUSD BF'!$R$15+'TUSD CVA'!$R$15)*1</f>
        <v>18.494598327475543</v>
      </c>
      <c r="S15" s="13">
        <f>('TUSD BE'!$S$15+'TUSD BF'!$S$15+'TUSD CVA'!$S$15)*1</f>
        <v>0</v>
      </c>
      <c r="T15" s="13">
        <f>('TUSD BE'!$U$15+'TUSD BF'!$U$15+'TUSD CVA'!$U$15)*1</f>
        <v>91.295507987546273</v>
      </c>
      <c r="U15" s="13">
        <f>('TUSD BE'!$V$15+'TUSD BF'!$V$15+'TUSD CVA'!$V$15)*1</f>
        <v>95.803243776614849</v>
      </c>
      <c r="V15" s="13">
        <f>('TUSD BE'!$W$15+'TUSD BF'!$W$15+'TUSD CVA'!$W$15)*1</f>
        <v>8.211128220690302</v>
      </c>
      <c r="W15" s="13">
        <f>('TUSD BE'!$X$15+'TUSD BF'!$X$15+'TUSD CVA'!$X$15)*1</f>
        <v>0</v>
      </c>
      <c r="X15" s="13">
        <f>('TUSD BE'!$Y$15+'TUSD BF'!$Y$15+'TUSD CVA'!$Y$15)*1</f>
        <v>0</v>
      </c>
      <c r="Y15" s="13">
        <f>('TUSD BE'!$Z$15+'TUSD BF'!$Z$15+'TUSD CVA'!$Z$15)*1</f>
        <v>0</v>
      </c>
      <c r="Z15" s="13">
        <f>('TUSD BE'!$AA$15+'TUSD BF'!$AA$15+'TUSD CVA'!$AA$15)*1</f>
        <v>0</v>
      </c>
      <c r="AA15" s="13">
        <f>('TUSD BE'!$AC$15+'TUSD BF'!$AC$15+'TUSD CVA'!$AC$15)*1</f>
        <v>1289.6542402842742</v>
      </c>
      <c r="AB15" s="13">
        <f ca="1">('TUSD BE'!$AE$15+'TUSD BF'!$AE$15+'TUSD CVA'!$AE$15)*1</f>
        <v>-141.41907859406092</v>
      </c>
      <c r="AC15" s="13">
        <f ca="1">('TUSD BE'!$AF$15+'TUSD BF'!$AF$15+'TUSD CVA'!$AF$15)*1</f>
        <v>0</v>
      </c>
      <c r="AD15" s="13">
        <f>('TUSD BE'!$AH$15+'TUSD BF'!$AH$15+'TUSD CVA'!$AH$15)*1</f>
        <v>15.215026199280418</v>
      </c>
      <c r="AE15" s="13">
        <f>('TUSD BE'!$AI$15+'TUSD BF'!$AI$15+'TUSD CVA'!$AI$15)*1</f>
        <v>0.70352861104792264</v>
      </c>
      <c r="AF15" s="13">
        <f ca="1">('TUSD BE'!$AJ$15+'TUSD BF'!$AJ$15+'TUSD CVA'!$AJ$15)*1</f>
        <v>20.688686871862899</v>
      </c>
      <c r="AG15" s="13">
        <f ca="1">('TUSD BE'!$AK$15+'TUSD BF'!$AK$15+'TUSD CVA'!$AK$15)*1</f>
        <v>7.5673734236056243</v>
      </c>
      <c r="AI15" s="13">
        <v>19.752062948332199</v>
      </c>
      <c r="AJ15" s="13">
        <v>0.63696395880197798</v>
      </c>
      <c r="AK15" s="13">
        <v>13.2656257681477</v>
      </c>
      <c r="AL15" s="13">
        <v>0</v>
      </c>
      <c r="AM15" s="13">
        <v>0</v>
      </c>
      <c r="AN15" s="13">
        <v>22.261437178405501</v>
      </c>
      <c r="AO15" s="13">
        <v>11.1804067417987</v>
      </c>
      <c r="AP15" s="13">
        <v>0</v>
      </c>
      <c r="AQ15" s="13">
        <v>60.242586108046901</v>
      </c>
      <c r="AR15" s="13">
        <v>74.207701129422503</v>
      </c>
      <c r="AS15" s="13">
        <v>6.4239155938605901</v>
      </c>
      <c r="AT15" s="13">
        <v>0</v>
      </c>
      <c r="AU15" s="13">
        <v>0</v>
      </c>
      <c r="AV15" s="13">
        <v>0</v>
      </c>
      <c r="AW15" s="13">
        <v>0</v>
      </c>
      <c r="AX15" s="13">
        <v>1211.0989720720399</v>
      </c>
      <c r="AY15" s="13">
        <v>0</v>
      </c>
      <c r="AZ15" s="13">
        <v>0</v>
      </c>
      <c r="BA15" s="13">
        <v>9.8620421265933196</v>
      </c>
      <c r="BB15" s="13">
        <v>0.42109893957126698</v>
      </c>
      <c r="BC15" s="13">
        <v>13.6039012175829</v>
      </c>
      <c r="BD15" s="13">
        <v>6.0037615565307503</v>
      </c>
    </row>
    <row r="16" spans="1:56" ht="11.25" customHeight="1" x14ac:dyDescent="0.25">
      <c r="A16" s="107"/>
      <c r="B16" s="107"/>
      <c r="C16" s="107"/>
      <c r="D16" s="107"/>
      <c r="E16" s="107"/>
      <c r="F16" s="107"/>
      <c r="G16" s="18" t="s">
        <v>84</v>
      </c>
      <c r="H16" s="18" t="s">
        <v>82</v>
      </c>
      <c r="I16" s="18">
        <f>'MERCADO TUSD'!$U$13</f>
        <v>1766.7370000000001</v>
      </c>
      <c r="J16" s="15"/>
      <c r="L16" s="13">
        <f>('TUSD BE'!$L$16+'TUSD BF'!$L$16+'TUSD CVA'!$L$16)*1</f>
        <v>16.88577221745777</v>
      </c>
      <c r="M16" s="13">
        <f>('TUSD BE'!$M$16+'TUSD BF'!$M$16+'TUSD CVA'!$M$16)*1</f>
        <v>0.66131436178692882</v>
      </c>
      <c r="N16" s="13">
        <f ca="1">('TUSD BE'!$N$16+'TUSD BF'!$N$16+'TUSD CVA'!$N$16)*1</f>
        <v>0.69317387176076573</v>
      </c>
      <c r="O16" s="13">
        <f>('TUSD BE'!$O$16+'TUSD BF'!$O$16+'TUSD CVA'!$O$16)*1</f>
        <v>0</v>
      </c>
      <c r="P16" s="13">
        <f>('TUSD BE'!$P$16+'TUSD BF'!$P$16+'TUSD CVA'!$P$16)*1</f>
        <v>0</v>
      </c>
      <c r="Q16" s="13">
        <f>('TUSD BE'!$Q$16+'TUSD BF'!$Q$16+'TUSD CVA'!$Q$16)*1</f>
        <v>41.971221250946812</v>
      </c>
      <c r="R16" s="13">
        <f>('TUSD BE'!$R$16+'TUSD BF'!$R$16+'TUSD CVA'!$R$16)*1</f>
        <v>18.494598327475543</v>
      </c>
      <c r="S16" s="13">
        <f>('TUSD BE'!$S$16+'TUSD BF'!$S$16+'TUSD CVA'!$S$16)*1</f>
        <v>0</v>
      </c>
      <c r="T16" s="13">
        <f>('TUSD BE'!$U$16+'TUSD BF'!$U$16+'TUSD CVA'!$U$16)*1</f>
        <v>0</v>
      </c>
      <c r="U16" s="13">
        <f>('TUSD BE'!$V$16+'TUSD BF'!$V$16+'TUSD CVA'!$V$16)*1</f>
        <v>0</v>
      </c>
      <c r="V16" s="13">
        <f>('TUSD BE'!$W$16+'TUSD BF'!$W$16+'TUSD CVA'!$W$16)*1</f>
        <v>0</v>
      </c>
      <c r="W16" s="13">
        <f>('TUSD BE'!$X$16+'TUSD BF'!$X$16+'TUSD CVA'!$X$16)*1</f>
        <v>0</v>
      </c>
      <c r="X16" s="13">
        <f>('TUSD BE'!$Y$16+'TUSD BF'!$Y$16+'TUSD CVA'!$Y$16)*1</f>
        <v>0</v>
      </c>
      <c r="Y16" s="13">
        <f>('TUSD BE'!$Z$16+'TUSD BF'!$Z$16+'TUSD CVA'!$Z$16)*1</f>
        <v>0</v>
      </c>
      <c r="Z16" s="13">
        <f>('TUSD BE'!$AA$16+'TUSD BF'!$AA$16+'TUSD CVA'!$AA$16)*1</f>
        <v>0</v>
      </c>
      <c r="AA16" s="13">
        <f>('TUSD BE'!$AC$16+'TUSD BF'!$AC$16+'TUSD CVA'!$AC$16)*1</f>
        <v>0</v>
      </c>
      <c r="AB16" s="13">
        <f ca="1">('TUSD BE'!$AE$16+'TUSD BF'!$AE$16+'TUSD CVA'!$AE$16)*1</f>
        <v>-9.4494822089407879</v>
      </c>
      <c r="AC16" s="13">
        <f ca="1">('TUSD BE'!$AF$16+'TUSD BF'!$AF$16+'TUSD CVA'!$AF$16)*1</f>
        <v>0</v>
      </c>
      <c r="AD16" s="13">
        <f>('TUSD BE'!$AH$16+'TUSD BF'!$AH$16+'TUSD CVA'!$AH$16)*1</f>
        <v>15.215026199280418</v>
      </c>
      <c r="AE16" s="13">
        <f>('TUSD BE'!$AI$16+'TUSD BF'!$AI$16+'TUSD CVA'!$AI$16)*1</f>
        <v>0.70352861104792264</v>
      </c>
      <c r="AF16" s="13">
        <f ca="1">('TUSD BE'!$AJ$16+'TUSD BF'!$AJ$16+'TUSD CVA'!$AJ$16)*1</f>
        <v>20.688686871862899</v>
      </c>
      <c r="AG16" s="13">
        <f ca="1">('TUSD BE'!$AK$16+'TUSD BF'!$AK$16+'TUSD CVA'!$AK$16)*1</f>
        <v>7.5673734236056243</v>
      </c>
      <c r="AI16" s="13">
        <v>19.752062948332199</v>
      </c>
      <c r="AJ16" s="13">
        <v>0.63696395880197798</v>
      </c>
      <c r="AK16" s="13">
        <v>0.58418208276975403</v>
      </c>
      <c r="AL16" s="13">
        <v>0</v>
      </c>
      <c r="AM16" s="13">
        <v>0</v>
      </c>
      <c r="AN16" s="13">
        <v>22.261437178405501</v>
      </c>
      <c r="AO16" s="13">
        <v>11.1804067417987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9.8620421265933196</v>
      </c>
      <c r="BB16" s="13">
        <v>0.42109893957126698</v>
      </c>
      <c r="BC16" s="13">
        <v>13.6039012175829</v>
      </c>
      <c r="BD16" s="13">
        <v>6.0037615565307503</v>
      </c>
    </row>
    <row r="17" spans="1:56" ht="11.25" customHeight="1" x14ac:dyDescent="0.25">
      <c r="A17" s="107"/>
      <c r="B17" s="107"/>
      <c r="C17" s="107"/>
      <c r="D17" s="107"/>
      <c r="E17" s="107" t="s">
        <v>89</v>
      </c>
      <c r="F17" s="107" t="s">
        <v>25</v>
      </c>
      <c r="G17" s="18" t="s">
        <v>83</v>
      </c>
      <c r="H17" s="18" t="s">
        <v>82</v>
      </c>
      <c r="I17" s="18">
        <f>'MERCADO TUSD'!$U$14</f>
        <v>0</v>
      </c>
      <c r="J17" s="15"/>
      <c r="L17" s="13">
        <f>('TUSD BE'!$L$17+'TUSD BF'!$L$17+'TUSD CVA'!$L$17)*1</f>
        <v>0</v>
      </c>
      <c r="M17" s="13">
        <f>('TUSD BE'!$M$17+'TUSD BF'!$M$17+'TUSD CVA'!$M$17)*1</f>
        <v>0.66131436178692882</v>
      </c>
      <c r="N17" s="13">
        <f ca="1">('TUSD BE'!$N$17+'TUSD BF'!$N$17+'TUSD CVA'!$N$17)*1</f>
        <v>14.383983954324504</v>
      </c>
      <c r="O17" s="13">
        <f>('TUSD BE'!$O$17+'TUSD BF'!$O$17+'TUSD CVA'!$O$17)*1</f>
        <v>0</v>
      </c>
      <c r="P17" s="13">
        <f>('TUSD BE'!$P$17+'TUSD BF'!$P$17+'TUSD CVA'!$P$17)*1</f>
        <v>0</v>
      </c>
      <c r="Q17" s="13">
        <f>('TUSD BE'!$Q$17+'TUSD BF'!$Q$17+'TUSD CVA'!$Q$17)*1</f>
        <v>0</v>
      </c>
      <c r="R17" s="13">
        <f>('TUSD BE'!$R$17+'TUSD BF'!$R$17+'TUSD CVA'!$R$17)*1</f>
        <v>0</v>
      </c>
      <c r="S17" s="13">
        <f>('TUSD BE'!$S$17+'TUSD BF'!$S$17+'TUSD CVA'!$S$17)*1</f>
        <v>0</v>
      </c>
      <c r="T17" s="13">
        <f>('TUSD BE'!$U$17+'TUSD BF'!$U$17+'TUSD CVA'!$U$17)*1</f>
        <v>91.295507987546273</v>
      </c>
      <c r="U17" s="13">
        <f>('TUSD BE'!$V$17+'TUSD BF'!$V$17+'TUSD CVA'!$V$17)*1</f>
        <v>95.803243776614849</v>
      </c>
      <c r="V17" s="13">
        <f>('TUSD BE'!$W$17+'TUSD BF'!$W$17+'TUSD CVA'!$W$17)*1</f>
        <v>8.211128220690302</v>
      </c>
      <c r="W17" s="13">
        <f>('TUSD BE'!$X$17+'TUSD BF'!$X$17+'TUSD CVA'!$X$17)*1</f>
        <v>0</v>
      </c>
      <c r="X17" s="13">
        <f>('TUSD BE'!$Y$17+'TUSD BF'!$Y$17+'TUSD CVA'!$Y$17)*1</f>
        <v>0</v>
      </c>
      <c r="Y17" s="13">
        <f>('TUSD BE'!$Z$17+'TUSD BF'!$Z$17+'TUSD CVA'!$Z$17)*1</f>
        <v>0</v>
      </c>
      <c r="Z17" s="13">
        <f>('TUSD BE'!$AA$17+'TUSD BF'!$AA$17+'TUSD CVA'!$AA$17)*1</f>
        <v>0</v>
      </c>
      <c r="AA17" s="13">
        <f>('TUSD BE'!$AC$17+'TUSD BF'!$AC$17+'TUSD CVA'!$AC$17)*1</f>
        <v>1289.6542402842742</v>
      </c>
      <c r="AB17" s="13">
        <f ca="1">('TUSD BE'!$AE$17+'TUSD BF'!$AE$17+'TUSD CVA'!$AE$17)*1</f>
        <v>-135.73760808687268</v>
      </c>
      <c r="AC17" s="13">
        <f ca="1">('TUSD BE'!$AF$17+'TUSD BF'!$AF$17+'TUSD CVA'!$AF$17)*1</f>
        <v>0</v>
      </c>
      <c r="AD17" s="13">
        <f>('TUSD BE'!$AH$17+'TUSD BF'!$AH$17+'TUSD CVA'!$AH$17)*1</f>
        <v>15.215026199280418</v>
      </c>
      <c r="AE17" s="13">
        <f>('TUSD BE'!$AI$17+'TUSD BF'!$AI$17+'TUSD CVA'!$AI$17)*1</f>
        <v>0.70352861104792264</v>
      </c>
      <c r="AF17" s="13">
        <f ca="1">('TUSD BE'!$AJ$17+'TUSD BF'!$AJ$17+'TUSD CVA'!$AJ$17)*1</f>
        <v>20.688686871862899</v>
      </c>
      <c r="AG17" s="13">
        <f ca="1">('TUSD BE'!$AK$17+'TUSD BF'!$AK$17+'TUSD CVA'!$AK$17)*1</f>
        <v>7.5673734236056243</v>
      </c>
      <c r="AI17" s="13">
        <v>0</v>
      </c>
      <c r="AJ17" s="13">
        <v>0.63696395880197798</v>
      </c>
      <c r="AK17" s="13">
        <v>13.2550068234095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60.242586108046901</v>
      </c>
      <c r="AR17" s="13">
        <v>74.207701129422503</v>
      </c>
      <c r="AS17" s="13">
        <v>6.4239155938605901</v>
      </c>
      <c r="AT17" s="13">
        <v>0</v>
      </c>
      <c r="AU17" s="13">
        <v>0</v>
      </c>
      <c r="AV17" s="13">
        <v>0</v>
      </c>
      <c r="AW17" s="13">
        <v>0</v>
      </c>
      <c r="AX17" s="13">
        <v>1211.0989720720399</v>
      </c>
      <c r="AY17" s="13">
        <v>0</v>
      </c>
      <c r="AZ17" s="13">
        <v>0</v>
      </c>
      <c r="BA17" s="13">
        <v>9.8620421265933196</v>
      </c>
      <c r="BB17" s="13">
        <v>0.42109893957126698</v>
      </c>
      <c r="BC17" s="13">
        <v>13.6039012175829</v>
      </c>
      <c r="BD17" s="13">
        <v>6.0037615565307503</v>
      </c>
    </row>
    <row r="18" spans="1:56" ht="11.25" customHeight="1" x14ac:dyDescent="0.25">
      <c r="A18" s="107"/>
      <c r="B18" s="107"/>
      <c r="C18" s="107"/>
      <c r="D18" s="107"/>
      <c r="E18" s="107"/>
      <c r="F18" s="107"/>
      <c r="G18" s="18" t="s">
        <v>84</v>
      </c>
      <c r="H18" s="18" t="s">
        <v>82</v>
      </c>
      <c r="I18" s="18">
        <f>'MERCADO TUSD'!$U$15</f>
        <v>0</v>
      </c>
      <c r="J18" s="15"/>
      <c r="L18" s="13">
        <f>('TUSD BE'!$L$18+'TUSD BF'!$L$18+'TUSD CVA'!$L$18)*1</f>
        <v>0</v>
      </c>
      <c r="M18" s="13">
        <f>('TUSD BE'!$M$18+'TUSD BF'!$M$18+'TUSD CVA'!$M$18)*1</f>
        <v>0.66131436178692882</v>
      </c>
      <c r="N18" s="13">
        <f ca="1">('TUSD BE'!$N$18+'TUSD BF'!$N$18+'TUSD CVA'!$N$18)*1</f>
        <v>0.68170011542177411</v>
      </c>
      <c r="O18" s="13">
        <f>('TUSD BE'!$O$18+'TUSD BF'!$O$18+'TUSD CVA'!$O$18)*1</f>
        <v>0</v>
      </c>
      <c r="P18" s="13">
        <f>('TUSD BE'!$P$18+'TUSD BF'!$P$18+'TUSD CVA'!$P$18)*1</f>
        <v>0</v>
      </c>
      <c r="Q18" s="13">
        <f>('TUSD BE'!$Q$18+'TUSD BF'!$Q$18+'TUSD CVA'!$Q$18)*1</f>
        <v>0</v>
      </c>
      <c r="R18" s="13">
        <f>('TUSD BE'!$R$18+'TUSD BF'!$R$18+'TUSD CVA'!$R$18)*1</f>
        <v>0</v>
      </c>
      <c r="S18" s="13">
        <f>('TUSD BE'!$S$18+'TUSD BF'!$S$18+'TUSD CVA'!$S$18)*1</f>
        <v>0</v>
      </c>
      <c r="T18" s="13">
        <f>('TUSD BE'!$U$18+'TUSD BF'!$U$18+'TUSD CVA'!$U$18)*1</f>
        <v>0</v>
      </c>
      <c r="U18" s="13">
        <f>('TUSD BE'!$V$18+'TUSD BF'!$V$18+'TUSD CVA'!$V$18)*1</f>
        <v>0</v>
      </c>
      <c r="V18" s="13">
        <f>('TUSD BE'!$W$18+'TUSD BF'!$W$18+'TUSD CVA'!$W$18)*1</f>
        <v>0</v>
      </c>
      <c r="W18" s="13">
        <f>('TUSD BE'!$X$18+'TUSD BF'!$X$18+'TUSD CVA'!$X$18)*1</f>
        <v>0</v>
      </c>
      <c r="X18" s="13">
        <f>('TUSD BE'!$Y$18+'TUSD BF'!$Y$18+'TUSD CVA'!$Y$18)*1</f>
        <v>0</v>
      </c>
      <c r="Y18" s="13">
        <f>('TUSD BE'!$Z$18+'TUSD BF'!$Z$18+'TUSD CVA'!$Z$18)*1</f>
        <v>0</v>
      </c>
      <c r="Z18" s="13">
        <f>('TUSD BE'!$AA$18+'TUSD BF'!$AA$18+'TUSD CVA'!$AA$18)*1</f>
        <v>0</v>
      </c>
      <c r="AA18" s="13">
        <f>('TUSD BE'!$AC$18+'TUSD BF'!$AC$18+'TUSD CVA'!$AC$18)*1</f>
        <v>0</v>
      </c>
      <c r="AB18" s="13">
        <f ca="1">('TUSD BE'!$AE$18+'TUSD BF'!$AE$18+'TUSD CVA'!$AE$18)*1</f>
        <v>-3.7680117017525516</v>
      </c>
      <c r="AC18" s="13">
        <f ca="1">('TUSD BE'!$AF$18+'TUSD BF'!$AF$18+'TUSD CVA'!$AF$18)*1</f>
        <v>0</v>
      </c>
      <c r="AD18" s="13">
        <f>('TUSD BE'!$AH$18+'TUSD BF'!$AH$18+'TUSD CVA'!$AH$18)*1</f>
        <v>15.215026199280418</v>
      </c>
      <c r="AE18" s="13">
        <f>('TUSD BE'!$AI$18+'TUSD BF'!$AI$18+'TUSD CVA'!$AI$18)*1</f>
        <v>0.70352861104792264</v>
      </c>
      <c r="AF18" s="13">
        <f ca="1">('TUSD BE'!$AJ$18+'TUSD BF'!$AJ$18+'TUSD CVA'!$AJ$18)*1</f>
        <v>20.688686871862899</v>
      </c>
      <c r="AG18" s="13">
        <f ca="1">('TUSD BE'!$AK$18+'TUSD BF'!$AK$18+'TUSD CVA'!$AK$18)*1</f>
        <v>7.5673734236056243</v>
      </c>
      <c r="AI18" s="13">
        <v>0</v>
      </c>
      <c r="AJ18" s="13">
        <v>0.63696395880197798</v>
      </c>
      <c r="AK18" s="13">
        <v>0.57356313803153702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9.8620421265933196</v>
      </c>
      <c r="BB18" s="13">
        <v>0.42109893957126698</v>
      </c>
      <c r="BC18" s="13">
        <v>13.6039012175829</v>
      </c>
      <c r="BD18" s="13">
        <v>6.0037615565307503</v>
      </c>
    </row>
    <row r="19" spans="1:56" ht="11.25" customHeight="1" x14ac:dyDescent="0.25">
      <c r="A19" s="107" t="s">
        <v>41</v>
      </c>
      <c r="B19" s="107" t="s">
        <v>42</v>
      </c>
      <c r="C19" s="107" t="s">
        <v>25</v>
      </c>
      <c r="D19" s="107" t="s">
        <v>25</v>
      </c>
      <c r="E19" s="107" t="s">
        <v>25</v>
      </c>
      <c r="F19" s="107" t="s">
        <v>25</v>
      </c>
      <c r="G19" s="18" t="s">
        <v>86</v>
      </c>
      <c r="H19" s="18" t="s">
        <v>85</v>
      </c>
      <c r="I19" s="18">
        <f>'MERCADO TUSD'!$U$16</f>
        <v>127291</v>
      </c>
      <c r="J19" s="15"/>
      <c r="L19" s="13">
        <f>('TUSD BE'!$L$19+'TUSD BF'!$L$19+'TUSD CVA'!$L$19)*1</f>
        <v>0</v>
      </c>
      <c r="M19" s="13">
        <f>('TUSD BE'!$M$19+'TUSD BF'!$M$19+'TUSD CVA'!$M$19)*1</f>
        <v>0</v>
      </c>
      <c r="N19" s="13">
        <f ca="1">('TUSD BE'!$N$19+'TUSD BF'!$N$19+'TUSD CVA'!$N$19)*1</f>
        <v>0</v>
      </c>
      <c r="O19" s="13">
        <f>('TUSD BE'!$O$19+'TUSD BF'!$O$19+'TUSD CVA'!$O$19)*1</f>
        <v>0</v>
      </c>
      <c r="P19" s="13">
        <f>('TUSD BE'!$P$19+'TUSD BF'!$P$19+'TUSD CVA'!$P$19)*1</f>
        <v>0</v>
      </c>
      <c r="Q19" s="13">
        <f>('TUSD BE'!$Q$19+'TUSD BF'!$Q$19+'TUSD CVA'!$Q$19)*1</f>
        <v>0</v>
      </c>
      <c r="R19" s="13">
        <f>('TUSD BE'!$R$19+'TUSD BF'!$R$19+'TUSD CVA'!$R$19)*1</f>
        <v>0</v>
      </c>
      <c r="S19" s="13">
        <f>('TUSD BE'!$S$19+'TUSD BF'!$S$19+'TUSD CVA'!$S$19)*1</f>
        <v>0</v>
      </c>
      <c r="T19" s="13">
        <f>('TUSD BE'!$U$19+'TUSD BF'!$U$19+'TUSD CVA'!$U$19)*1</f>
        <v>3.7960314069525136</v>
      </c>
      <c r="U19" s="13">
        <f>('TUSD BE'!$V$19+'TUSD BF'!$V$19+'TUSD CVA'!$V$19)*1</f>
        <v>3.9835302187282902</v>
      </c>
      <c r="V19" s="13">
        <f>('TUSD BE'!$W$19+'TUSD BF'!$W$19+'TUSD CVA'!$W$19)*1</f>
        <v>0.34142964735694803</v>
      </c>
      <c r="W19" s="13">
        <f>('TUSD BE'!$X$19+'TUSD BF'!$X$19+'TUSD CVA'!$X$19)*1</f>
        <v>0</v>
      </c>
      <c r="X19" s="13">
        <f>('TUSD BE'!$Y$19+'TUSD BF'!$Y$19+'TUSD CVA'!$Y$19)*1</f>
        <v>0</v>
      </c>
      <c r="Y19" s="13">
        <f>('TUSD BE'!$Z$19+'TUSD BF'!$Z$19+'TUSD CVA'!$Z$19)*1</f>
        <v>0</v>
      </c>
      <c r="Z19" s="13">
        <f>('TUSD BE'!$AA$19+'TUSD BF'!$AA$19+'TUSD CVA'!$AA$19)*1</f>
        <v>0</v>
      </c>
      <c r="AA19" s="13">
        <f>('TUSD BE'!$AC$19+'TUSD BF'!$AC$19+'TUSD CVA'!$AC$19)*1</f>
        <v>53.62381474774574</v>
      </c>
      <c r="AB19" s="13">
        <f ca="1">('TUSD BE'!$AE$19+'TUSD BF'!$AE$19+'TUSD CVA'!$AE$19)*1</f>
        <v>-5.4362283726388094</v>
      </c>
      <c r="AC19" s="13">
        <f ca="1">('TUSD BE'!$AF$19+'TUSD BF'!$AF$19+'TUSD CVA'!$AF$19)*1</f>
        <v>0</v>
      </c>
      <c r="AD19" s="13">
        <f>('TUSD BE'!$AH$19+'TUSD BF'!$AH$19+'TUSD CVA'!$AH$19)*1</f>
        <v>0</v>
      </c>
      <c r="AE19" s="13">
        <f>('TUSD BE'!$AI$19+'TUSD BF'!$AI$19+'TUSD CVA'!$AI$19)*1</f>
        <v>0</v>
      </c>
      <c r="AF19" s="13">
        <f ca="1">('TUSD BE'!$AJ$19+'TUSD BF'!$AJ$19+'TUSD CVA'!$AJ$19)*1</f>
        <v>0</v>
      </c>
      <c r="AG19" s="13">
        <f ca="1">('TUSD BE'!$AK$19+'TUSD BF'!$AK$19+'TUSD CVA'!$AK$19)*1</f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2.5048630972444199</v>
      </c>
      <c r="AR19" s="13">
        <v>3.0855804903713402</v>
      </c>
      <c r="AS19" s="13">
        <v>0.26711496604521801</v>
      </c>
      <c r="AT19" s="13">
        <v>0</v>
      </c>
      <c r="AU19" s="13">
        <v>0</v>
      </c>
      <c r="AV19" s="13">
        <v>0</v>
      </c>
      <c r="AW19" s="13">
        <v>0</v>
      </c>
      <c r="AX19" s="13">
        <v>50.357487217086003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</row>
    <row r="20" spans="1:56" ht="11.25" customHeight="1" x14ac:dyDescent="0.25">
      <c r="A20" s="107"/>
      <c r="B20" s="107"/>
      <c r="C20" s="107"/>
      <c r="D20" s="107"/>
      <c r="E20" s="107"/>
      <c r="F20" s="107"/>
      <c r="G20" s="18" t="s">
        <v>87</v>
      </c>
      <c r="H20" s="18" t="s">
        <v>85</v>
      </c>
      <c r="I20" s="18">
        <f>'MERCADO TUSD'!$U$17</f>
        <v>145423</v>
      </c>
      <c r="J20" s="15"/>
      <c r="L20" s="13">
        <f>('TUSD BE'!$L$20+'TUSD BF'!$L$20+'TUSD CVA'!$L$20)*1</f>
        <v>0</v>
      </c>
      <c r="M20" s="13">
        <f>('TUSD BE'!$M$20+'TUSD BF'!$M$20+'TUSD CVA'!$M$20)*1</f>
        <v>0</v>
      </c>
      <c r="N20" s="13">
        <f ca="1">('TUSD BE'!$N$20+'TUSD BF'!$N$20+'TUSD CVA'!$N$20)*1</f>
        <v>0</v>
      </c>
      <c r="O20" s="13">
        <f>('TUSD BE'!$O$20+'TUSD BF'!$O$20+'TUSD CVA'!$O$20)*1</f>
        <v>0</v>
      </c>
      <c r="P20" s="13">
        <f>('TUSD BE'!$P$20+'TUSD BF'!$P$20+'TUSD CVA'!$P$20)*1</f>
        <v>0</v>
      </c>
      <c r="Q20" s="13">
        <f>('TUSD BE'!$Q$20+'TUSD BF'!$Q$20+'TUSD CVA'!$Q$20)*1</f>
        <v>0</v>
      </c>
      <c r="R20" s="13">
        <f>('TUSD BE'!$R$20+'TUSD BF'!$R$20+'TUSD CVA'!$R$20)*1</f>
        <v>0</v>
      </c>
      <c r="S20" s="13">
        <f>('TUSD BE'!$S$20+'TUSD BF'!$S$20+'TUSD CVA'!$S$20)*1</f>
        <v>0</v>
      </c>
      <c r="T20" s="13">
        <f>('TUSD BE'!$U$20+'TUSD BF'!$U$20+'TUSD CVA'!$U$20)*1</f>
        <v>2.8499935827397538</v>
      </c>
      <c r="U20" s="13">
        <f>('TUSD BE'!$V$20+'TUSD BF'!$V$20+'TUSD CVA'!$V$20)*1</f>
        <v>3.2952149698311164</v>
      </c>
      <c r="V20" s="13">
        <f>('TUSD BE'!$W$20+'TUSD BF'!$W$20+'TUSD CVA'!$W$20)*1</f>
        <v>0.28524663448962928</v>
      </c>
      <c r="W20" s="13">
        <f>('TUSD BE'!$X$20+'TUSD BF'!$X$20+'TUSD CVA'!$X$20)*1</f>
        <v>0</v>
      </c>
      <c r="X20" s="13">
        <f>('TUSD BE'!$Y$20+'TUSD BF'!$Y$20+'TUSD CVA'!$Y$20)*1</f>
        <v>0</v>
      </c>
      <c r="Y20" s="13">
        <f>('TUSD BE'!$Z$20+'TUSD BF'!$Z$20+'TUSD CVA'!$Z$20)*1</f>
        <v>0</v>
      </c>
      <c r="Z20" s="13">
        <f>('TUSD BE'!$AA$20+'TUSD BF'!$AA$20+'TUSD CVA'!$AA$20)*1</f>
        <v>0</v>
      </c>
      <c r="AA20" s="13">
        <f>('TUSD BE'!$AC$20+'TUSD BF'!$AC$20+'TUSD CVA'!$AC$20)*1</f>
        <v>16.125646562608765</v>
      </c>
      <c r="AB20" s="13">
        <f ca="1">('TUSD BE'!$AE$20+'TUSD BF'!$AE$20+'TUSD CVA'!$AE$20)*1</f>
        <v>-1.9408874194434911</v>
      </c>
      <c r="AC20" s="13">
        <f ca="1">('TUSD BE'!$AF$20+'TUSD BF'!$AF$20+'TUSD CVA'!$AF$20)*1</f>
        <v>0</v>
      </c>
      <c r="AD20" s="13">
        <f>('TUSD BE'!$AH$20+'TUSD BF'!$AH$20+'TUSD CVA'!$AH$20)*1</f>
        <v>0</v>
      </c>
      <c r="AE20" s="13">
        <f>('TUSD BE'!$AI$20+'TUSD BF'!$AI$20+'TUSD CVA'!$AI$20)*1</f>
        <v>0</v>
      </c>
      <c r="AF20" s="13">
        <f ca="1">('TUSD BE'!$AJ$20+'TUSD BF'!$AJ$20+'TUSD CVA'!$AJ$20)*1</f>
        <v>0</v>
      </c>
      <c r="AG20" s="13">
        <f ca="1">('TUSD BE'!$AK$20+'TUSD BF'!$AK$20+'TUSD CVA'!$AK$20)*1</f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1.8806071361035801</v>
      </c>
      <c r="AR20" s="13">
        <v>2.5524222145191602</v>
      </c>
      <c r="AS20" s="13">
        <v>0.22316060036389601</v>
      </c>
      <c r="AT20" s="13">
        <v>0</v>
      </c>
      <c r="AU20" s="13">
        <v>0</v>
      </c>
      <c r="AV20" s="13">
        <v>0</v>
      </c>
      <c r="AW20" s="13">
        <v>0</v>
      </c>
      <c r="AX20" s="13">
        <v>15.143403065667901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</row>
    <row r="21" spans="1:56" ht="11.25" customHeight="1" x14ac:dyDescent="0.25">
      <c r="A21" s="107"/>
      <c r="B21" s="107"/>
      <c r="C21" s="107"/>
      <c r="D21" s="107"/>
      <c r="E21" s="107"/>
      <c r="F21" s="107"/>
      <c r="G21" s="18" t="s">
        <v>88</v>
      </c>
      <c r="H21" s="18" t="s">
        <v>82</v>
      </c>
      <c r="I21" s="18">
        <f>'MERCADO TUSD'!$U$18</f>
        <v>51654.506999999991</v>
      </c>
      <c r="J21" s="15"/>
      <c r="L21" s="13">
        <f>('TUSD BE'!$L$21+'TUSD BF'!$L$21+'TUSD CVA'!$L$21)*1</f>
        <v>16.88577221745777</v>
      </c>
      <c r="M21" s="13">
        <f>('TUSD BE'!$M$21+'TUSD BF'!$M$21+'TUSD CVA'!$M$21)*1</f>
        <v>0.66131436178692882</v>
      </c>
      <c r="N21" s="13">
        <f ca="1">('TUSD BE'!$N$21+'TUSD BF'!$N$21+'TUSD CVA'!$N$21)*1</f>
        <v>0.69317387176076573</v>
      </c>
      <c r="O21" s="13">
        <f>('TUSD BE'!$O$21+'TUSD BF'!$O$21+'TUSD CVA'!$O$21)*1</f>
        <v>0</v>
      </c>
      <c r="P21" s="13">
        <f>('TUSD BE'!$P$21+'TUSD BF'!$P$21+'TUSD CVA'!$P$21)*1</f>
        <v>0</v>
      </c>
      <c r="Q21" s="13">
        <f>('TUSD BE'!$Q$21+'TUSD BF'!$Q$21+'TUSD CVA'!$Q$21)*1</f>
        <v>41.971221250946812</v>
      </c>
      <c r="R21" s="13">
        <f>('TUSD BE'!$R$21+'TUSD BF'!$R$21+'TUSD CVA'!$R$21)*1</f>
        <v>18.494598327475543</v>
      </c>
      <c r="S21" s="13">
        <f>('TUSD BE'!$S$21+'TUSD BF'!$S$21+'TUSD CVA'!$S$21)*1</f>
        <v>0</v>
      </c>
      <c r="T21" s="13">
        <f>('TUSD BE'!$U$21+'TUSD BF'!$U$21+'TUSD CVA'!$U$21)*1</f>
        <v>0</v>
      </c>
      <c r="U21" s="13">
        <f>('TUSD BE'!$V$21+'TUSD BF'!$V$21+'TUSD CVA'!$V$21)*1</f>
        <v>0</v>
      </c>
      <c r="V21" s="13">
        <f>('TUSD BE'!$W$21+'TUSD BF'!$W$21+'TUSD CVA'!$W$21)*1</f>
        <v>0</v>
      </c>
      <c r="W21" s="13">
        <f>('TUSD BE'!$X$21+'TUSD BF'!$X$21+'TUSD CVA'!$X$21)*1</f>
        <v>0</v>
      </c>
      <c r="X21" s="13">
        <f>('TUSD BE'!$Y$21+'TUSD BF'!$Y$21+'TUSD CVA'!$Y$21)*1</f>
        <v>0</v>
      </c>
      <c r="Y21" s="13">
        <f>('TUSD BE'!$Z$21+'TUSD BF'!$Z$21+'TUSD CVA'!$Z$21)*1</f>
        <v>0</v>
      </c>
      <c r="Z21" s="13">
        <f>('TUSD BE'!$AA$21+'TUSD BF'!$AA$21+'TUSD CVA'!$AA$21)*1</f>
        <v>0</v>
      </c>
      <c r="AA21" s="13">
        <f>('TUSD BE'!$AC$21+'TUSD BF'!$AC$21+'TUSD CVA'!$AC$21)*1</f>
        <v>0</v>
      </c>
      <c r="AB21" s="13">
        <f ca="1">('TUSD BE'!$AE$21+'TUSD BF'!$AE$21+'TUSD CVA'!$AE$21)*1</f>
        <v>-9.4494822089407879</v>
      </c>
      <c r="AC21" s="13">
        <f ca="1">('TUSD BE'!$AF$21+'TUSD BF'!$AF$21+'TUSD CVA'!$AF$21)*1</f>
        <v>0</v>
      </c>
      <c r="AD21" s="13">
        <f>('TUSD BE'!$AH$21+'TUSD BF'!$AH$21+'TUSD CVA'!$AH$21)*1</f>
        <v>15.215026199280418</v>
      </c>
      <c r="AE21" s="13">
        <f>('TUSD BE'!$AI$21+'TUSD BF'!$AI$21+'TUSD CVA'!$AI$21)*1</f>
        <v>0.70352861104792264</v>
      </c>
      <c r="AF21" s="13">
        <f ca="1">('TUSD BE'!$AJ$21+'TUSD BF'!$AJ$21+'TUSD CVA'!$AJ$21)*1</f>
        <v>20.688686871862899</v>
      </c>
      <c r="AG21" s="13">
        <f ca="1">('TUSD BE'!$AK$21+'TUSD BF'!$AK$21+'TUSD CVA'!$AK$21)*1</f>
        <v>7.5673734236056243</v>
      </c>
      <c r="AI21" s="13">
        <v>19.752062948332199</v>
      </c>
      <c r="AJ21" s="13">
        <v>0.63696395880197798</v>
      </c>
      <c r="AK21" s="13">
        <v>0.58418208276975403</v>
      </c>
      <c r="AL21" s="13">
        <v>0</v>
      </c>
      <c r="AM21" s="13">
        <v>0</v>
      </c>
      <c r="AN21" s="13">
        <v>22.261437178405501</v>
      </c>
      <c r="AO21" s="13">
        <v>11.1804067417987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9.8620421265933196</v>
      </c>
      <c r="BB21" s="13">
        <v>0.42109893957126698</v>
      </c>
      <c r="BC21" s="13">
        <v>13.6039012175829</v>
      </c>
      <c r="BD21" s="13">
        <v>6.0037615565307503</v>
      </c>
    </row>
    <row r="22" spans="1:56" ht="11.25" customHeight="1" x14ac:dyDescent="0.25">
      <c r="A22" s="107"/>
      <c r="B22" s="107"/>
      <c r="C22" s="107"/>
      <c r="D22" s="107"/>
      <c r="E22" s="17" t="s">
        <v>89</v>
      </c>
      <c r="F22" s="17" t="s">
        <v>25</v>
      </c>
      <c r="G22" s="18" t="s">
        <v>88</v>
      </c>
      <c r="H22" s="18" t="s">
        <v>82</v>
      </c>
      <c r="I22" s="18">
        <f>'MERCADO TUSD'!$U$19</f>
        <v>0</v>
      </c>
      <c r="J22" s="15"/>
      <c r="L22" s="13">
        <f>('TUSD BE'!$L$22+'TUSD BF'!$L$22+'TUSD CVA'!$L$22)*1</f>
        <v>0</v>
      </c>
      <c r="M22" s="13">
        <f>('TUSD BE'!$M$22+'TUSD BF'!$M$22+'TUSD CVA'!$M$22)*1</f>
        <v>0.66131436178692882</v>
      </c>
      <c r="N22" s="13">
        <f ca="1">('TUSD BE'!$N$22+'TUSD BF'!$N$22+'TUSD CVA'!$N$22)*1</f>
        <v>0.68170011542177411</v>
      </c>
      <c r="O22" s="13">
        <f>('TUSD BE'!$O$22+'TUSD BF'!$O$22+'TUSD CVA'!$O$22)*1</f>
        <v>0</v>
      </c>
      <c r="P22" s="13">
        <f>('TUSD BE'!$P$22+'TUSD BF'!$P$22+'TUSD CVA'!$P$22)*1</f>
        <v>0</v>
      </c>
      <c r="Q22" s="13">
        <f>('TUSD BE'!$Q$22+'TUSD BF'!$Q$22+'TUSD CVA'!$Q$22)*1</f>
        <v>0</v>
      </c>
      <c r="R22" s="13">
        <f>('TUSD BE'!$R$22+'TUSD BF'!$R$22+'TUSD CVA'!$R$22)*1</f>
        <v>0</v>
      </c>
      <c r="S22" s="13">
        <f>('TUSD BE'!$S$22+'TUSD BF'!$S$22+'TUSD CVA'!$S$22)*1</f>
        <v>0</v>
      </c>
      <c r="T22" s="13">
        <f>('TUSD BE'!$U$22+'TUSD BF'!$U$22+'TUSD CVA'!$U$22)*1</f>
        <v>0</v>
      </c>
      <c r="U22" s="13">
        <f>('TUSD BE'!$V$22+'TUSD BF'!$V$22+'TUSD CVA'!$V$22)*1</f>
        <v>0</v>
      </c>
      <c r="V22" s="13">
        <f>('TUSD BE'!$W$22+'TUSD BF'!$W$22+'TUSD CVA'!$W$22)*1</f>
        <v>0</v>
      </c>
      <c r="W22" s="13">
        <f>('TUSD BE'!$X$22+'TUSD BF'!$X$22+'TUSD CVA'!$X$22)*1</f>
        <v>0</v>
      </c>
      <c r="X22" s="13">
        <f>('TUSD BE'!$Y$22+'TUSD BF'!$Y$22+'TUSD CVA'!$Y$22)*1</f>
        <v>0</v>
      </c>
      <c r="Y22" s="13">
        <f>('TUSD BE'!$Z$22+'TUSD BF'!$Z$22+'TUSD CVA'!$Z$22)*1</f>
        <v>0</v>
      </c>
      <c r="Z22" s="13">
        <f>('TUSD BE'!$AA$22+'TUSD BF'!$AA$22+'TUSD CVA'!$AA$22)*1</f>
        <v>0</v>
      </c>
      <c r="AA22" s="13">
        <f>('TUSD BE'!$AC$22+'TUSD BF'!$AC$22+'TUSD CVA'!$AC$22)*1</f>
        <v>0</v>
      </c>
      <c r="AB22" s="13">
        <f ca="1">('TUSD BE'!$AE$22+'TUSD BF'!$AE$22+'TUSD CVA'!$AE$22)*1</f>
        <v>-3.7680117017525516</v>
      </c>
      <c r="AC22" s="13">
        <f ca="1">('TUSD BE'!$AF$22+'TUSD BF'!$AF$22+'TUSD CVA'!$AF$22)*1</f>
        <v>0</v>
      </c>
      <c r="AD22" s="13">
        <f>('TUSD BE'!$AH$22+'TUSD BF'!$AH$22+'TUSD CVA'!$AH$22)*1</f>
        <v>15.215026199280418</v>
      </c>
      <c r="AE22" s="13">
        <f>('TUSD BE'!$AI$22+'TUSD BF'!$AI$22+'TUSD CVA'!$AI$22)*1</f>
        <v>0.70352861104792264</v>
      </c>
      <c r="AF22" s="13">
        <f ca="1">('TUSD BE'!$AJ$22+'TUSD BF'!$AJ$22+'TUSD CVA'!$AJ$22)*1</f>
        <v>20.688686871862899</v>
      </c>
      <c r="AG22" s="13">
        <f ca="1">('TUSD BE'!$AK$22+'TUSD BF'!$AK$22+'TUSD CVA'!$AK$22)*1</f>
        <v>7.5673734236056243</v>
      </c>
      <c r="AI22" s="13">
        <v>0</v>
      </c>
      <c r="AJ22" s="13">
        <v>0.63696395880197798</v>
      </c>
      <c r="AK22" s="13">
        <v>0.57356313803153702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9.8620421265933196</v>
      </c>
      <c r="BB22" s="13">
        <v>0.42109893957126698</v>
      </c>
      <c r="BC22" s="13">
        <v>13.6039012175829</v>
      </c>
      <c r="BD22" s="13">
        <v>6.0037615565307503</v>
      </c>
    </row>
    <row r="23" spans="1:56" ht="11.25" customHeight="1" x14ac:dyDescent="0.25">
      <c r="A23" s="107"/>
      <c r="B23" s="107" t="s">
        <v>62</v>
      </c>
      <c r="C23" s="107" t="s">
        <v>25</v>
      </c>
      <c r="D23" s="107" t="s">
        <v>25</v>
      </c>
      <c r="E23" s="107" t="s">
        <v>25</v>
      </c>
      <c r="F23" s="107" t="s">
        <v>63</v>
      </c>
      <c r="G23" s="18" t="s">
        <v>86</v>
      </c>
      <c r="H23" s="18" t="s">
        <v>85</v>
      </c>
      <c r="I23" s="18">
        <f>'MERCADO TUSD'!$U$20</f>
        <v>18979</v>
      </c>
      <c r="J23" s="15"/>
      <c r="L23" s="13">
        <f>('TUSD BE'!$L$23+'TUSD BF'!$L$23+'TUSD CVA'!$L$23)*1</f>
        <v>0</v>
      </c>
      <c r="M23" s="13">
        <f>('TUSD BE'!$M$23+'TUSD BF'!$M$23+'TUSD CVA'!$M$23)*1</f>
        <v>0</v>
      </c>
      <c r="N23" s="13">
        <f ca="1">('TUSD BE'!$N$23+'TUSD BF'!$N$23+'TUSD CVA'!$N$23)*1</f>
        <v>0</v>
      </c>
      <c r="O23" s="13">
        <f>('TUSD BE'!$O$23+'TUSD BF'!$O$23+'TUSD CVA'!$O$23)*1</f>
        <v>0</v>
      </c>
      <c r="P23" s="13">
        <f>('TUSD BE'!$P$23+'TUSD BF'!$P$23+'TUSD CVA'!$P$23)*1</f>
        <v>0</v>
      </c>
      <c r="Q23" s="13">
        <f>('TUSD BE'!$Q$23+'TUSD BF'!$Q$23+'TUSD CVA'!$Q$23)*1</f>
        <v>0</v>
      </c>
      <c r="R23" s="13">
        <f>('TUSD BE'!$R$23+'TUSD BF'!$R$23+'TUSD CVA'!$R$23)*1</f>
        <v>0</v>
      </c>
      <c r="S23" s="13">
        <f>('TUSD BE'!$S$23+'TUSD BF'!$S$23+'TUSD CVA'!$S$23)*1</f>
        <v>0</v>
      </c>
      <c r="T23" s="13">
        <f>('TUSD BE'!$U$23+'TUSD BF'!$U$23+'TUSD CVA'!$U$23)*1</f>
        <v>3.7960314069525136</v>
      </c>
      <c r="U23" s="13">
        <f>('TUSD BE'!$V$23+'TUSD BF'!$V$23+'TUSD CVA'!$V$23)*1</f>
        <v>3.9835302187282902</v>
      </c>
      <c r="V23" s="13">
        <f>('TUSD BE'!$W$23+'TUSD BF'!$W$23+'TUSD CVA'!$W$23)*1</f>
        <v>0.34142964735694803</v>
      </c>
      <c r="W23" s="13">
        <f>('TUSD BE'!$X$23+'TUSD BF'!$X$23+'TUSD CVA'!$X$23)*1</f>
        <v>0</v>
      </c>
      <c r="X23" s="13">
        <f>('TUSD BE'!$Y$23+'TUSD BF'!$Y$23+'TUSD CVA'!$Y$23)*1</f>
        <v>0</v>
      </c>
      <c r="Y23" s="13">
        <f>('TUSD BE'!$Z$23+'TUSD BF'!$Z$23+'TUSD CVA'!$Z$23)*1</f>
        <v>0</v>
      </c>
      <c r="Z23" s="13">
        <f>('TUSD BE'!$AA$23+'TUSD BF'!$AA$23+'TUSD CVA'!$AA$23)*1</f>
        <v>0</v>
      </c>
      <c r="AA23" s="13">
        <f>('TUSD BE'!$AC$23+'TUSD BF'!$AC$23+'TUSD CVA'!$AC$23)*1</f>
        <v>10.566996219564434</v>
      </c>
      <c r="AB23" s="13">
        <f>('TUSD BE'!$AE$23+'TUSD BF'!$AE$23+'TUSD CVA'!$AE$23)*1</f>
        <v>0</v>
      </c>
      <c r="AC23" s="13">
        <f ca="1">('TUSD BE'!$AF$23+'TUSD BF'!$AF$23+'TUSD CVA'!$AF$23)*1</f>
        <v>0</v>
      </c>
      <c r="AD23" s="13">
        <f>('TUSD BE'!$AH$23+'TUSD BF'!$AH$23+'TUSD CVA'!$AH$23)*1</f>
        <v>0</v>
      </c>
      <c r="AE23" s="13">
        <f>('TUSD BE'!$AI$23+'TUSD BF'!$AI$23+'TUSD CVA'!$AI$23)*1</f>
        <v>0</v>
      </c>
      <c r="AF23" s="13">
        <f ca="1">('TUSD BE'!$AJ$23+'TUSD BF'!$AJ$23+'TUSD CVA'!$AJ$23)*1</f>
        <v>0</v>
      </c>
      <c r="AG23" s="13">
        <f ca="1">('TUSD BE'!$AK$23+'TUSD BF'!$AK$23+'TUSD CVA'!$AK$23)*1</f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2.5048630972444199</v>
      </c>
      <c r="AR23" s="13">
        <v>3.0855804903713402</v>
      </c>
      <c r="AS23" s="13">
        <v>0.26711496604521801</v>
      </c>
      <c r="AT23" s="13">
        <v>0</v>
      </c>
      <c r="AU23" s="13">
        <v>0</v>
      </c>
      <c r="AV23" s="13">
        <v>0</v>
      </c>
      <c r="AW23" s="13">
        <v>0</v>
      </c>
      <c r="AX23" s="13">
        <v>9.9233405820327594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</row>
    <row r="24" spans="1:56" ht="11.25" customHeight="1" x14ac:dyDescent="0.25">
      <c r="A24" s="107"/>
      <c r="B24" s="107"/>
      <c r="C24" s="107"/>
      <c r="D24" s="107"/>
      <c r="E24" s="107"/>
      <c r="F24" s="107"/>
      <c r="G24" s="18" t="s">
        <v>87</v>
      </c>
      <c r="H24" s="18" t="s">
        <v>85</v>
      </c>
      <c r="I24" s="18">
        <f>'MERCADO TUSD'!$U$21</f>
        <v>19150</v>
      </c>
      <c r="J24" s="15"/>
      <c r="L24" s="13">
        <f>('TUSD BE'!$L$24+'TUSD BF'!$L$24+'TUSD CVA'!$L$24)*1</f>
        <v>0</v>
      </c>
      <c r="M24" s="13">
        <f>('TUSD BE'!$M$24+'TUSD BF'!$M$24+'TUSD CVA'!$M$24)*1</f>
        <v>0</v>
      </c>
      <c r="N24" s="13">
        <f ca="1">('TUSD BE'!$N$24+'TUSD BF'!$N$24+'TUSD CVA'!$N$24)*1</f>
        <v>0</v>
      </c>
      <c r="O24" s="13">
        <f>('TUSD BE'!$O$24+'TUSD BF'!$O$24+'TUSD CVA'!$O$24)*1</f>
        <v>0</v>
      </c>
      <c r="P24" s="13">
        <f>('TUSD BE'!$P$24+'TUSD BF'!$P$24+'TUSD CVA'!$P$24)*1</f>
        <v>0</v>
      </c>
      <c r="Q24" s="13">
        <f>('TUSD BE'!$Q$24+'TUSD BF'!$Q$24+'TUSD CVA'!$Q$24)*1</f>
        <v>0</v>
      </c>
      <c r="R24" s="13">
        <f>('TUSD BE'!$R$24+'TUSD BF'!$R$24+'TUSD CVA'!$R$24)*1</f>
        <v>0</v>
      </c>
      <c r="S24" s="13">
        <f>('TUSD BE'!$S$24+'TUSD BF'!$S$24+'TUSD CVA'!$S$24)*1</f>
        <v>0</v>
      </c>
      <c r="T24" s="13">
        <f>('TUSD BE'!$U$24+'TUSD BF'!$U$24+'TUSD CVA'!$U$24)*1</f>
        <v>2.8499935827397538</v>
      </c>
      <c r="U24" s="13">
        <f>('TUSD BE'!$V$24+'TUSD BF'!$V$24+'TUSD CVA'!$V$24)*1</f>
        <v>3.2952149698311164</v>
      </c>
      <c r="V24" s="13">
        <f>('TUSD BE'!$W$24+'TUSD BF'!$W$24+'TUSD CVA'!$W$24)*1</f>
        <v>0.28524663448962928</v>
      </c>
      <c r="W24" s="13">
        <f>('TUSD BE'!$X$24+'TUSD BF'!$X$24+'TUSD CVA'!$X$24)*1</f>
        <v>0</v>
      </c>
      <c r="X24" s="13">
        <f>('TUSD BE'!$Y$24+'TUSD BF'!$Y$24+'TUSD CVA'!$Y$24)*1</f>
        <v>0</v>
      </c>
      <c r="Y24" s="13">
        <f>('TUSD BE'!$Z$24+'TUSD BF'!$Z$24+'TUSD CVA'!$Z$24)*1</f>
        <v>0</v>
      </c>
      <c r="Z24" s="13">
        <f>('TUSD BE'!$AA$24+'TUSD BF'!$AA$24+'TUSD CVA'!$AA$24)*1</f>
        <v>0</v>
      </c>
      <c r="AA24" s="13">
        <f>('TUSD BE'!$AC$24+'TUSD BF'!$AC$24+'TUSD CVA'!$AC$24)*1</f>
        <v>3.1776727426734093</v>
      </c>
      <c r="AB24" s="13">
        <f>('TUSD BE'!$AE$24+'TUSD BF'!$AE$24+'TUSD CVA'!$AE$24)*1</f>
        <v>0</v>
      </c>
      <c r="AC24" s="13">
        <f ca="1">('TUSD BE'!$AF$24+'TUSD BF'!$AF$24+'TUSD CVA'!$AF$24)*1</f>
        <v>0</v>
      </c>
      <c r="AD24" s="13">
        <f>('TUSD BE'!$AH$24+'TUSD BF'!$AH$24+'TUSD CVA'!$AH$24)*1</f>
        <v>0</v>
      </c>
      <c r="AE24" s="13">
        <f>('TUSD BE'!$AI$24+'TUSD BF'!$AI$24+'TUSD CVA'!$AI$24)*1</f>
        <v>0</v>
      </c>
      <c r="AF24" s="13">
        <f ca="1">('TUSD BE'!$AJ$24+'TUSD BF'!$AJ$24+'TUSD CVA'!$AJ$24)*1</f>
        <v>0</v>
      </c>
      <c r="AG24" s="13">
        <f ca="1">('TUSD BE'!$AK$24+'TUSD BF'!$AK$24+'TUSD CVA'!$AK$24)*1</f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1.8806071361035801</v>
      </c>
      <c r="AR24" s="13">
        <v>2.5524222145191602</v>
      </c>
      <c r="AS24" s="13">
        <v>0.22316060036389601</v>
      </c>
      <c r="AT24" s="13">
        <v>0</v>
      </c>
      <c r="AU24" s="13">
        <v>0</v>
      </c>
      <c r="AV24" s="13">
        <v>0</v>
      </c>
      <c r="AW24" s="13">
        <v>0</v>
      </c>
      <c r="AX24" s="13">
        <v>2.9841147123160598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</row>
    <row r="25" spans="1:56" ht="11.25" customHeight="1" x14ac:dyDescent="0.25">
      <c r="A25" s="107"/>
      <c r="B25" s="107"/>
      <c r="C25" s="107"/>
      <c r="D25" s="107"/>
      <c r="E25" s="107"/>
      <c r="F25" s="107"/>
      <c r="G25" s="18" t="s">
        <v>88</v>
      </c>
      <c r="H25" s="18" t="s">
        <v>82</v>
      </c>
      <c r="I25" s="18">
        <f>'MERCADO TUSD'!$U$22</f>
        <v>10049.634999999998</v>
      </c>
      <c r="J25" s="15"/>
      <c r="L25" s="13">
        <f>('TUSD BE'!$L$25+'TUSD BF'!$L$25+'TUSD CVA'!$L$25)*1</f>
        <v>0</v>
      </c>
      <c r="M25" s="13">
        <f>('TUSD BE'!$M$25+'TUSD BF'!$M$25+'TUSD CVA'!$M$25)*1</f>
        <v>0</v>
      </c>
      <c r="N25" s="13">
        <f ca="1">('TUSD BE'!$N$25+'TUSD BF'!$N$25+'TUSD CVA'!$N$25)*1</f>
        <v>0</v>
      </c>
      <c r="O25" s="13">
        <f>('TUSD BE'!$O$25+'TUSD BF'!$O$25+'TUSD CVA'!$O$25)*1</f>
        <v>0</v>
      </c>
      <c r="P25" s="13">
        <f>('TUSD BE'!$P$25+'TUSD BF'!$P$25+'TUSD CVA'!$P$25)*1</f>
        <v>0</v>
      </c>
      <c r="Q25" s="13">
        <f>('TUSD BE'!$Q$25+'TUSD BF'!$Q$25+'TUSD CVA'!$Q$25)*1</f>
        <v>0</v>
      </c>
      <c r="R25" s="13">
        <f>('TUSD BE'!$R$25+'TUSD BF'!$R$25+'TUSD CVA'!$R$25)*1</f>
        <v>0</v>
      </c>
      <c r="S25" s="13">
        <f>('TUSD BE'!$S$25+'TUSD BF'!$S$25+'TUSD CVA'!$S$25)*1</f>
        <v>0</v>
      </c>
      <c r="T25" s="13">
        <f>('TUSD BE'!$U$25+'TUSD BF'!$U$25+'TUSD CVA'!$U$25)*1</f>
        <v>0</v>
      </c>
      <c r="U25" s="13">
        <f>('TUSD BE'!$V$25+'TUSD BF'!$V$25+'TUSD CVA'!$V$25)*1</f>
        <v>0</v>
      </c>
      <c r="V25" s="13">
        <f>('TUSD BE'!$W$25+'TUSD BF'!$W$25+'TUSD CVA'!$W$25)*1</f>
        <v>0</v>
      </c>
      <c r="W25" s="13">
        <f>('TUSD BE'!$X$25+'TUSD BF'!$X$25+'TUSD CVA'!$X$25)*1</f>
        <v>0</v>
      </c>
      <c r="X25" s="13">
        <f>('TUSD BE'!$Y$25+'TUSD BF'!$Y$25+'TUSD CVA'!$Y$25)*1</f>
        <v>0</v>
      </c>
      <c r="Y25" s="13">
        <f>('TUSD BE'!$Z$25+'TUSD BF'!$Z$25+'TUSD CVA'!$Z$25)*1</f>
        <v>0</v>
      </c>
      <c r="Z25" s="13">
        <f>('TUSD BE'!$AA$25+'TUSD BF'!$AA$25+'TUSD CVA'!$AA$25)*1</f>
        <v>0</v>
      </c>
      <c r="AA25" s="13">
        <f>('TUSD BE'!$AC$25+'TUSD BF'!$AC$25+'TUSD CVA'!$AC$25)*1</f>
        <v>0</v>
      </c>
      <c r="AB25" s="13">
        <f>('TUSD BE'!$AE$25+'TUSD BF'!$AE$25+'TUSD CVA'!$AE$25)*1</f>
        <v>0</v>
      </c>
      <c r="AC25" s="13">
        <f ca="1">('TUSD BE'!$AF$25+'TUSD BF'!$AF$25+'TUSD CVA'!$AF$25)*1</f>
        <v>0</v>
      </c>
      <c r="AD25" s="13">
        <f>('TUSD BE'!$AH$25+'TUSD BF'!$AH$25+'TUSD CVA'!$AH$25)*1</f>
        <v>15.215026199280418</v>
      </c>
      <c r="AE25" s="13">
        <f>('TUSD BE'!$AI$25+'TUSD BF'!$AI$25+'TUSD CVA'!$AI$25)*1</f>
        <v>0.70352861104792264</v>
      </c>
      <c r="AF25" s="13">
        <f ca="1">('TUSD BE'!$AJ$25+'TUSD BF'!$AJ$25+'TUSD CVA'!$AJ$25)*1</f>
        <v>0</v>
      </c>
      <c r="AG25" s="13">
        <f ca="1">('TUSD BE'!$AK$25+'TUSD BF'!$AK$25+'TUSD CVA'!$AK$25)*1</f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9.8620421265933196</v>
      </c>
      <c r="BB25" s="13">
        <v>0.42109893957126698</v>
      </c>
      <c r="BC25" s="13">
        <v>0</v>
      </c>
      <c r="BD25" s="13">
        <v>0</v>
      </c>
    </row>
    <row r="26" spans="1:56" ht="11.25" customHeight="1" x14ac:dyDescent="0.25">
      <c r="A26" s="107"/>
      <c r="B26" s="17" t="s">
        <v>91</v>
      </c>
      <c r="C26" s="17" t="s">
        <v>25</v>
      </c>
      <c r="D26" s="17" t="s">
        <v>25</v>
      </c>
      <c r="E26" s="17" t="s">
        <v>25</v>
      </c>
      <c r="F26" s="17" t="s">
        <v>25</v>
      </c>
      <c r="G26" s="18" t="s">
        <v>9</v>
      </c>
      <c r="H26" s="18" t="s">
        <v>85</v>
      </c>
      <c r="I26" s="18">
        <f>'MERCADO TUSD'!$U$23</f>
        <v>0</v>
      </c>
      <c r="J26" s="15"/>
      <c r="L26" s="13">
        <f>('TUSD BE'!$L$26+'TUSD BF'!$L$26+'TUSD CVA'!$L$26)*1</f>
        <v>0</v>
      </c>
      <c r="M26" s="13">
        <f>('TUSD BE'!$M$26+'TUSD BF'!$M$26+'TUSD CVA'!$M$26)*1</f>
        <v>6.6898438481065345E-2</v>
      </c>
      <c r="N26" s="13">
        <f ca="1">('TUSD BE'!$N$26+'TUSD BF'!$N$26+'TUSD CVA'!$N$26)*1</f>
        <v>0.19172646842454893</v>
      </c>
      <c r="O26" s="13">
        <f>('TUSD BE'!$O$26+'TUSD BF'!$O$26+'TUSD CVA'!$O$26)*1</f>
        <v>0</v>
      </c>
      <c r="P26" s="13">
        <f>('TUSD BE'!$P$26+'TUSD BF'!$P$26+'TUSD CVA'!$P$26)*1</f>
        <v>0</v>
      </c>
      <c r="Q26" s="13">
        <f>('TUSD BE'!$Q$26+'TUSD BF'!$Q$26+'TUSD CVA'!$Q$26)*1</f>
        <v>0</v>
      </c>
      <c r="R26" s="13">
        <f>('TUSD BE'!$R$26+'TUSD BF'!$R$26+'TUSD CVA'!$R$26)*1</f>
        <v>0</v>
      </c>
      <c r="S26" s="13">
        <f>('TUSD BE'!$S$26+'TUSD BF'!$S$26+'TUSD CVA'!$S$26)*1</f>
        <v>0</v>
      </c>
      <c r="T26" s="13">
        <f>('TUSD BE'!$U$26+'TUSD BF'!$U$26+'TUSD CVA'!$U$26)*1</f>
        <v>0</v>
      </c>
      <c r="U26" s="13">
        <f>('TUSD BE'!$V$26+'TUSD BF'!$V$26+'TUSD CVA'!$V$26)*1</f>
        <v>0</v>
      </c>
      <c r="V26" s="13">
        <f>('TUSD BE'!$W$26+'TUSD BF'!$W$26+'TUSD CVA'!$W$26)*1</f>
        <v>0</v>
      </c>
      <c r="W26" s="13">
        <f>('TUSD BE'!$X$26+'TUSD BF'!$X$26+'TUSD CVA'!$X$26)*1</f>
        <v>0</v>
      </c>
      <c r="X26" s="13">
        <f>('TUSD BE'!$Y$26+'TUSD BF'!$Y$26+'TUSD CVA'!$Y$26)*1</f>
        <v>0</v>
      </c>
      <c r="Y26" s="13">
        <f>('TUSD BE'!$Z$26+'TUSD BF'!$Z$26+'TUSD CVA'!$Z$26)*1</f>
        <v>0</v>
      </c>
      <c r="Z26" s="13">
        <f>('TUSD BE'!$AA$26+'TUSD BF'!$AA$26+'TUSD CVA'!$AA$26)*1</f>
        <v>0</v>
      </c>
      <c r="AA26" s="13">
        <f>('TUSD BE'!$AC$26+'TUSD BF'!$AC$26+'TUSD CVA'!$AC$26)*1</f>
        <v>19.948656751325931</v>
      </c>
      <c r="AB26" s="13">
        <f ca="1">('TUSD BE'!$AE$26+'TUSD BF'!$AE$26+'TUSD CVA'!$AE$26)*1</f>
        <v>-1.8138950339234707</v>
      </c>
      <c r="AC26" s="13">
        <f ca="1">('TUSD BE'!$AF$26+'TUSD BF'!$AF$26+'TUSD CVA'!$AF$26)*1</f>
        <v>0</v>
      </c>
      <c r="AD26" s="13">
        <f>('TUSD BE'!$AH$26+'TUSD BF'!$AH$26+'TUSD CVA'!$AH$26)*1</f>
        <v>0</v>
      </c>
      <c r="AE26" s="13">
        <f>('TUSD BE'!$AI$26+'TUSD BF'!$AI$26+'TUSD CVA'!$AI$26)*1</f>
        <v>0</v>
      </c>
      <c r="AF26" s="13">
        <f ca="1">('TUSD BE'!$AJ$26+'TUSD BF'!$AJ$26+'TUSD CVA'!$AJ$26)*1</f>
        <v>0</v>
      </c>
      <c r="AG26" s="13">
        <f ca="1">('TUSD BE'!$AK$26+'TUSD BF'!$AK$26+'TUSD CVA'!$AK$26)*1</f>
        <v>0</v>
      </c>
      <c r="AI26" s="13">
        <v>0</v>
      </c>
      <c r="AJ26" s="13">
        <v>6.7285861629512098E-2</v>
      </c>
      <c r="AK26" s="13">
        <v>0.17744256657560301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18.733546505009901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</row>
    <row r="27" spans="1:56" ht="11.25" customHeight="1" x14ac:dyDescent="0.25">
      <c r="A27" s="107"/>
      <c r="B27" s="107" t="s">
        <v>44</v>
      </c>
      <c r="C27" s="107" t="s">
        <v>25</v>
      </c>
      <c r="D27" s="107" t="s">
        <v>25</v>
      </c>
      <c r="E27" s="107" t="s">
        <v>25</v>
      </c>
      <c r="F27" s="107" t="s">
        <v>25</v>
      </c>
      <c r="G27" s="18" t="s">
        <v>9</v>
      </c>
      <c r="H27" s="18" t="s">
        <v>85</v>
      </c>
      <c r="I27" s="18">
        <f>'MERCADO TUSD'!$U$24</f>
        <v>1145356</v>
      </c>
      <c r="J27" s="15"/>
      <c r="L27" s="13">
        <f>('TUSD BE'!$L$27+'TUSD BF'!$L$27+'TUSD CVA'!$L$27)*1</f>
        <v>0</v>
      </c>
      <c r="M27" s="13">
        <f>('TUSD BE'!$M$27+'TUSD BF'!$M$27+'TUSD CVA'!$M$27)*1</f>
        <v>0</v>
      </c>
      <c r="N27" s="13">
        <f ca="1">('TUSD BE'!$N$27+'TUSD BF'!$N$27+'TUSD CVA'!$N$27)*1</f>
        <v>0</v>
      </c>
      <c r="O27" s="13">
        <f>('TUSD BE'!$O$27+'TUSD BF'!$O$27+'TUSD CVA'!$O$27)*1</f>
        <v>0</v>
      </c>
      <c r="P27" s="13">
        <f>('TUSD BE'!$P$27+'TUSD BF'!$P$27+'TUSD CVA'!$P$27)*1</f>
        <v>0</v>
      </c>
      <c r="Q27" s="13">
        <f>('TUSD BE'!$Q$27+'TUSD BF'!$Q$27+'TUSD CVA'!$Q$27)*1</f>
        <v>0</v>
      </c>
      <c r="R27" s="13">
        <f>('TUSD BE'!$R$27+'TUSD BF'!$R$27+'TUSD CVA'!$R$27)*1</f>
        <v>0</v>
      </c>
      <c r="S27" s="13">
        <f>('TUSD BE'!$S$27+'TUSD BF'!$S$27+'TUSD CVA'!$S$27)*1</f>
        <v>0</v>
      </c>
      <c r="T27" s="13">
        <f>('TUSD BE'!$U$27+'TUSD BF'!$U$27+'TUSD CVA'!$U$27)*1</f>
        <v>2.8499935827397538</v>
      </c>
      <c r="U27" s="13">
        <f>('TUSD BE'!$V$27+'TUSD BF'!$V$27+'TUSD CVA'!$V$27)*1</f>
        <v>3.2952149698311164</v>
      </c>
      <c r="V27" s="13">
        <f>('TUSD BE'!$W$27+'TUSD BF'!$W$27+'TUSD CVA'!$W$27)*1</f>
        <v>0.28524663448962928</v>
      </c>
      <c r="W27" s="13">
        <f>('TUSD BE'!$X$27+'TUSD BF'!$X$27+'TUSD CVA'!$X$27)*1</f>
        <v>0</v>
      </c>
      <c r="X27" s="13">
        <f>('TUSD BE'!$Y$27+'TUSD BF'!$Y$27+'TUSD CVA'!$Y$27)*1</f>
        <v>0</v>
      </c>
      <c r="Y27" s="13">
        <f>('TUSD BE'!$Z$27+'TUSD BF'!$Z$27+'TUSD CVA'!$Z$27)*1</f>
        <v>0</v>
      </c>
      <c r="Z27" s="13">
        <f>('TUSD BE'!$AA$27+'TUSD BF'!$AA$27+'TUSD CVA'!$AA$27)*1</f>
        <v>0</v>
      </c>
      <c r="AA27" s="13">
        <f>('TUSD BE'!$AC$27+'TUSD BF'!$AC$27+'TUSD CVA'!$AC$27)*1</f>
        <v>16.125646562608765</v>
      </c>
      <c r="AB27" s="13">
        <f ca="1">('TUSD BE'!$AE$27+'TUSD BF'!$AE$27+'TUSD CVA'!$AE$27)*1</f>
        <v>-1.9408874194434911</v>
      </c>
      <c r="AC27" s="13">
        <f ca="1">('TUSD BE'!$AF$27+'TUSD BF'!$AF$27+'TUSD CVA'!$AF$27)*1</f>
        <v>0</v>
      </c>
      <c r="AD27" s="13">
        <f>('TUSD BE'!$AH$27+'TUSD BF'!$AH$27+'TUSD CVA'!$AH$27)*1</f>
        <v>0</v>
      </c>
      <c r="AE27" s="13">
        <f>('TUSD BE'!$AI$27+'TUSD BF'!$AI$27+'TUSD CVA'!$AI$27)*1</f>
        <v>0</v>
      </c>
      <c r="AF27" s="13">
        <f ca="1">('TUSD BE'!$AJ$27+'TUSD BF'!$AJ$27+'TUSD CVA'!$AJ$27)*1</f>
        <v>0</v>
      </c>
      <c r="AG27" s="13">
        <f ca="1">('TUSD BE'!$AK$27+'TUSD BF'!$AK$27+'TUSD CVA'!$AK$27)*1</f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1.8806071361035801</v>
      </c>
      <c r="AR27" s="13">
        <v>2.5524222145191602</v>
      </c>
      <c r="AS27" s="13">
        <v>0.22316060036389601</v>
      </c>
      <c r="AT27" s="13">
        <v>0</v>
      </c>
      <c r="AU27" s="13">
        <v>0</v>
      </c>
      <c r="AV27" s="13">
        <v>0</v>
      </c>
      <c r="AW27" s="13">
        <v>0</v>
      </c>
      <c r="AX27" s="13">
        <v>15.143403065667901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</row>
    <row r="28" spans="1:56" ht="11.25" customHeight="1" x14ac:dyDescent="0.25">
      <c r="A28" s="107"/>
      <c r="B28" s="107"/>
      <c r="C28" s="107"/>
      <c r="D28" s="107"/>
      <c r="E28" s="107"/>
      <c r="F28" s="107"/>
      <c r="G28" s="18" t="s">
        <v>83</v>
      </c>
      <c r="H28" s="18" t="s">
        <v>82</v>
      </c>
      <c r="I28" s="18">
        <f>'MERCADO TUSD'!$U$25</f>
        <v>16471.927</v>
      </c>
      <c r="J28" s="15"/>
      <c r="L28" s="13">
        <f>('TUSD BE'!$L$28+'TUSD BF'!$L$28+'TUSD CVA'!$L$28)*1</f>
        <v>16.88577221745777</v>
      </c>
      <c r="M28" s="13">
        <f>('TUSD BE'!$M$28+'TUSD BF'!$M$28+'TUSD CVA'!$M$28)*1</f>
        <v>0.66131436178692882</v>
      </c>
      <c r="N28" s="13">
        <f ca="1">('TUSD BE'!$N$28+'TUSD BF'!$N$28+'TUSD CVA'!$N$28)*1</f>
        <v>14.395457710663496</v>
      </c>
      <c r="O28" s="13">
        <f>('TUSD BE'!$O$28+'TUSD BF'!$O$28+'TUSD CVA'!$O$28)*1</f>
        <v>0</v>
      </c>
      <c r="P28" s="13">
        <f>('TUSD BE'!$P$28+'TUSD BF'!$P$28+'TUSD CVA'!$P$28)*1</f>
        <v>0</v>
      </c>
      <c r="Q28" s="13">
        <f>('TUSD BE'!$Q$28+'TUSD BF'!$Q$28+'TUSD CVA'!$Q$28)*1</f>
        <v>41.971221250946812</v>
      </c>
      <c r="R28" s="13">
        <f>('TUSD BE'!$R$28+'TUSD BF'!$R$28+'TUSD CVA'!$R$28)*1</f>
        <v>18.494598327475543</v>
      </c>
      <c r="S28" s="13">
        <f>('TUSD BE'!$S$28+'TUSD BF'!$S$28+'TUSD CVA'!$S$28)*1</f>
        <v>0</v>
      </c>
      <c r="T28" s="13">
        <f>('TUSD BE'!$U$28+'TUSD BF'!$U$28+'TUSD CVA'!$U$28)*1</f>
        <v>91.295507987546273</v>
      </c>
      <c r="U28" s="13">
        <f>('TUSD BE'!$V$28+'TUSD BF'!$V$28+'TUSD CVA'!$V$28)*1</f>
        <v>95.803243776614849</v>
      </c>
      <c r="V28" s="13">
        <f>('TUSD BE'!$W$28+'TUSD BF'!$W$28+'TUSD CVA'!$W$28)*1</f>
        <v>8.211128220690302</v>
      </c>
      <c r="W28" s="13">
        <f>('TUSD BE'!$X$28+'TUSD BF'!$X$28+'TUSD CVA'!$X$28)*1</f>
        <v>0</v>
      </c>
      <c r="X28" s="13">
        <f>('TUSD BE'!$Y$28+'TUSD BF'!$Y$28+'TUSD CVA'!$Y$28)*1</f>
        <v>0</v>
      </c>
      <c r="Y28" s="13">
        <f>('TUSD BE'!$Z$28+'TUSD BF'!$Z$28+'TUSD CVA'!$Z$28)*1</f>
        <v>0</v>
      </c>
      <c r="Z28" s="13">
        <f>('TUSD BE'!$AA$28+'TUSD BF'!$AA$28+'TUSD CVA'!$AA$28)*1</f>
        <v>0</v>
      </c>
      <c r="AA28" s="13">
        <f>('TUSD BE'!$AC$28+'TUSD BF'!$AC$28+'TUSD CVA'!$AC$28)*1</f>
        <v>1289.6542402842742</v>
      </c>
      <c r="AB28" s="13">
        <f ca="1">('TUSD BE'!$AE$28+'TUSD BF'!$AE$28+'TUSD CVA'!$AE$28)*1</f>
        <v>-141.41907859406092</v>
      </c>
      <c r="AC28" s="13">
        <f ca="1">('TUSD BE'!$AF$28+'TUSD BF'!$AF$28+'TUSD CVA'!$AF$28)*1</f>
        <v>0</v>
      </c>
      <c r="AD28" s="13">
        <f>('TUSD BE'!$AH$28+'TUSD BF'!$AH$28+'TUSD CVA'!$AH$28)*1</f>
        <v>15.215026199280418</v>
      </c>
      <c r="AE28" s="13">
        <f>('TUSD BE'!$AI$28+'TUSD BF'!$AI$28+'TUSD CVA'!$AI$28)*1</f>
        <v>0.70352861104792264</v>
      </c>
      <c r="AF28" s="13">
        <f ca="1">('TUSD BE'!$AJ$28+'TUSD BF'!$AJ$28+'TUSD CVA'!$AJ$28)*1</f>
        <v>20.688686871862899</v>
      </c>
      <c r="AG28" s="13">
        <f ca="1">('TUSD BE'!$AK$28+'TUSD BF'!$AK$28+'TUSD CVA'!$AK$28)*1</f>
        <v>7.5673734236056243</v>
      </c>
      <c r="AI28" s="13">
        <v>19.752062948332199</v>
      </c>
      <c r="AJ28" s="13">
        <v>0.63696395880197798</v>
      </c>
      <c r="AK28" s="13">
        <v>13.2656257681477</v>
      </c>
      <c r="AL28" s="13">
        <v>0</v>
      </c>
      <c r="AM28" s="13">
        <v>0</v>
      </c>
      <c r="AN28" s="13">
        <v>22.261437178405501</v>
      </c>
      <c r="AO28" s="13">
        <v>11.1804067417987</v>
      </c>
      <c r="AP28" s="13">
        <v>0</v>
      </c>
      <c r="AQ28" s="13">
        <v>60.242586108046901</v>
      </c>
      <c r="AR28" s="13">
        <v>74.207701129422503</v>
      </c>
      <c r="AS28" s="13">
        <v>6.4239155938605901</v>
      </c>
      <c r="AT28" s="13">
        <v>0</v>
      </c>
      <c r="AU28" s="13">
        <v>0</v>
      </c>
      <c r="AV28" s="13">
        <v>0</v>
      </c>
      <c r="AW28" s="13">
        <v>0</v>
      </c>
      <c r="AX28" s="13">
        <v>1211.0989720720399</v>
      </c>
      <c r="AY28" s="13">
        <v>0</v>
      </c>
      <c r="AZ28" s="13">
        <v>0</v>
      </c>
      <c r="BA28" s="13">
        <v>9.8620421265933196</v>
      </c>
      <c r="BB28" s="13">
        <v>0.42109893957126698</v>
      </c>
      <c r="BC28" s="13">
        <v>13.6039012175829</v>
      </c>
      <c r="BD28" s="13">
        <v>6.0037615565307503</v>
      </c>
    </row>
    <row r="29" spans="1:56" ht="11.25" customHeight="1" x14ac:dyDescent="0.25">
      <c r="A29" s="107"/>
      <c r="B29" s="107"/>
      <c r="C29" s="107"/>
      <c r="D29" s="107"/>
      <c r="E29" s="107"/>
      <c r="F29" s="107"/>
      <c r="G29" s="18" t="s">
        <v>84</v>
      </c>
      <c r="H29" s="18" t="s">
        <v>82</v>
      </c>
      <c r="I29" s="18">
        <f>'MERCADO TUSD'!$U$26</f>
        <v>200863.93899999998</v>
      </c>
      <c r="J29" s="15"/>
      <c r="L29" s="13">
        <f>('TUSD BE'!$L$29+'TUSD BF'!$L$29+'TUSD CVA'!$L$29)*1</f>
        <v>16.88577221745777</v>
      </c>
      <c r="M29" s="13">
        <f>('TUSD BE'!$M$29+'TUSD BF'!$M$29+'TUSD CVA'!$M$29)*1</f>
        <v>0.66131436178692882</v>
      </c>
      <c r="N29" s="13">
        <f ca="1">('TUSD BE'!$N$29+'TUSD BF'!$N$29+'TUSD CVA'!$N$29)*1</f>
        <v>0.69317387176076573</v>
      </c>
      <c r="O29" s="13">
        <f>('TUSD BE'!$O$29+'TUSD BF'!$O$29+'TUSD CVA'!$O$29)*1</f>
        <v>0</v>
      </c>
      <c r="P29" s="13">
        <f>('TUSD BE'!$P$29+'TUSD BF'!$P$29+'TUSD CVA'!$P$29)*1</f>
        <v>0</v>
      </c>
      <c r="Q29" s="13">
        <f>('TUSD BE'!$Q$29+'TUSD BF'!$Q$29+'TUSD CVA'!$Q$29)*1</f>
        <v>41.971221250946812</v>
      </c>
      <c r="R29" s="13">
        <f>('TUSD BE'!$R$29+'TUSD BF'!$R$29+'TUSD CVA'!$R$29)*1</f>
        <v>18.494598327475543</v>
      </c>
      <c r="S29" s="13">
        <f>('TUSD BE'!$S$29+'TUSD BF'!$S$29+'TUSD CVA'!$S$29)*1</f>
        <v>0</v>
      </c>
      <c r="T29" s="13">
        <f>('TUSD BE'!$U$29+'TUSD BF'!$U$29+'TUSD CVA'!$U$29)*1</f>
        <v>0</v>
      </c>
      <c r="U29" s="13">
        <f>('TUSD BE'!$V$29+'TUSD BF'!$V$29+'TUSD CVA'!$V$29)*1</f>
        <v>0</v>
      </c>
      <c r="V29" s="13">
        <f>('TUSD BE'!$W$29+'TUSD BF'!$W$29+'TUSD CVA'!$W$29)*1</f>
        <v>0</v>
      </c>
      <c r="W29" s="13">
        <f>('TUSD BE'!$X$29+'TUSD BF'!$X$29+'TUSD CVA'!$X$29)*1</f>
        <v>0</v>
      </c>
      <c r="X29" s="13">
        <f>('TUSD BE'!$Y$29+'TUSD BF'!$Y$29+'TUSD CVA'!$Y$29)*1</f>
        <v>0</v>
      </c>
      <c r="Y29" s="13">
        <f>('TUSD BE'!$Z$29+'TUSD BF'!$Z$29+'TUSD CVA'!$Z$29)*1</f>
        <v>0</v>
      </c>
      <c r="Z29" s="13">
        <f>('TUSD BE'!$AA$29+'TUSD BF'!$AA$29+'TUSD CVA'!$AA$29)*1</f>
        <v>0</v>
      </c>
      <c r="AA29" s="13">
        <f>('TUSD BE'!$AC$29+'TUSD BF'!$AC$29+'TUSD CVA'!$AC$29)*1</f>
        <v>0</v>
      </c>
      <c r="AB29" s="13">
        <f ca="1">('TUSD BE'!$AE$29+'TUSD BF'!$AE$29+'TUSD CVA'!$AE$29)*1</f>
        <v>-9.4494822089407879</v>
      </c>
      <c r="AC29" s="13">
        <f ca="1">('TUSD BE'!$AF$29+'TUSD BF'!$AF$29+'TUSD CVA'!$AF$29)*1</f>
        <v>0</v>
      </c>
      <c r="AD29" s="13">
        <f>('TUSD BE'!$AH$29+'TUSD BF'!$AH$29+'TUSD CVA'!$AH$29)*1</f>
        <v>15.215026199280418</v>
      </c>
      <c r="AE29" s="13">
        <f>('TUSD BE'!$AI$29+'TUSD BF'!$AI$29+'TUSD CVA'!$AI$29)*1</f>
        <v>0.70352861104792264</v>
      </c>
      <c r="AF29" s="13">
        <f ca="1">('TUSD BE'!$AJ$29+'TUSD BF'!$AJ$29+'TUSD CVA'!$AJ$29)*1</f>
        <v>20.688686871862899</v>
      </c>
      <c r="AG29" s="13">
        <f ca="1">('TUSD BE'!$AK$29+'TUSD BF'!$AK$29+'TUSD CVA'!$AK$29)*1</f>
        <v>7.5673734236056243</v>
      </c>
      <c r="AI29" s="13">
        <v>19.752062948332199</v>
      </c>
      <c r="AJ29" s="13">
        <v>0.63696395880197798</v>
      </c>
      <c r="AK29" s="13">
        <v>0.58418208276975403</v>
      </c>
      <c r="AL29" s="13">
        <v>0</v>
      </c>
      <c r="AM29" s="13">
        <v>0</v>
      </c>
      <c r="AN29" s="13">
        <v>22.261437178405501</v>
      </c>
      <c r="AO29" s="13">
        <v>11.1804067417987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9.8620421265933196</v>
      </c>
      <c r="BB29" s="13">
        <v>0.42109893957126698</v>
      </c>
      <c r="BC29" s="13">
        <v>13.6039012175829</v>
      </c>
      <c r="BD29" s="13">
        <v>6.0037615565307503</v>
      </c>
    </row>
    <row r="30" spans="1:56" ht="11.25" customHeight="1" x14ac:dyDescent="0.25">
      <c r="A30" s="107"/>
      <c r="B30" s="107"/>
      <c r="C30" s="107"/>
      <c r="D30" s="107"/>
      <c r="E30" s="107" t="s">
        <v>89</v>
      </c>
      <c r="F30" s="107" t="s">
        <v>25</v>
      </c>
      <c r="G30" s="18" t="s">
        <v>83</v>
      </c>
      <c r="H30" s="18" t="s">
        <v>82</v>
      </c>
      <c r="I30" s="18">
        <f>'MERCADO TUSD'!$U$27</f>
        <v>0</v>
      </c>
      <c r="J30" s="15"/>
      <c r="L30" s="13">
        <f>('TUSD BE'!$L$30+'TUSD BF'!$L$30+'TUSD CVA'!$L$30)*1</f>
        <v>0</v>
      </c>
      <c r="M30" s="13">
        <f>('TUSD BE'!$M$30+'TUSD BF'!$M$30+'TUSD CVA'!$M$30)*1</f>
        <v>0.66131436178692882</v>
      </c>
      <c r="N30" s="13">
        <f ca="1">('TUSD BE'!$N$30+'TUSD BF'!$N$30+'TUSD CVA'!$N$30)*1</f>
        <v>14.383983954324504</v>
      </c>
      <c r="O30" s="13">
        <f>('TUSD BE'!$O$30+'TUSD BF'!$O$30+'TUSD CVA'!$O$30)*1</f>
        <v>0</v>
      </c>
      <c r="P30" s="13">
        <f>('TUSD BE'!$P$30+'TUSD BF'!$P$30+'TUSD CVA'!$P$30)*1</f>
        <v>0</v>
      </c>
      <c r="Q30" s="13">
        <f>('TUSD BE'!$Q$30+'TUSD BF'!$Q$30+'TUSD CVA'!$Q$30)*1</f>
        <v>0</v>
      </c>
      <c r="R30" s="13">
        <f>('TUSD BE'!$R$30+'TUSD BF'!$R$30+'TUSD CVA'!$R$30)*1</f>
        <v>0</v>
      </c>
      <c r="S30" s="13">
        <f>('TUSD BE'!$S$30+'TUSD BF'!$S$30+'TUSD CVA'!$S$30)*1</f>
        <v>0</v>
      </c>
      <c r="T30" s="13">
        <f>('TUSD BE'!$U$30+'TUSD BF'!$U$30+'TUSD CVA'!$U$30)*1</f>
        <v>91.295507987546273</v>
      </c>
      <c r="U30" s="13">
        <f>('TUSD BE'!$V$30+'TUSD BF'!$V$30+'TUSD CVA'!$V$30)*1</f>
        <v>95.803243776614849</v>
      </c>
      <c r="V30" s="13">
        <f>('TUSD BE'!$W$30+'TUSD BF'!$W$30+'TUSD CVA'!$W$30)*1</f>
        <v>8.211128220690302</v>
      </c>
      <c r="W30" s="13">
        <f>('TUSD BE'!$X$30+'TUSD BF'!$X$30+'TUSD CVA'!$X$30)*1</f>
        <v>0</v>
      </c>
      <c r="X30" s="13">
        <f>('TUSD BE'!$Y$30+'TUSD BF'!$Y$30+'TUSD CVA'!$Y$30)*1</f>
        <v>0</v>
      </c>
      <c r="Y30" s="13">
        <f>('TUSD BE'!$Z$30+'TUSD BF'!$Z$30+'TUSD CVA'!$Z$30)*1</f>
        <v>0</v>
      </c>
      <c r="Z30" s="13">
        <f>('TUSD BE'!$AA$30+'TUSD BF'!$AA$30+'TUSD CVA'!$AA$30)*1</f>
        <v>0</v>
      </c>
      <c r="AA30" s="13">
        <f>('TUSD BE'!$AC$30+'TUSD BF'!$AC$30+'TUSD CVA'!$AC$30)*1</f>
        <v>1289.6542402842742</v>
      </c>
      <c r="AB30" s="13">
        <f ca="1">('TUSD BE'!$AE$30+'TUSD BF'!$AE$30+'TUSD CVA'!$AE$30)*1</f>
        <v>-135.73760808687268</v>
      </c>
      <c r="AC30" s="13">
        <f ca="1">('TUSD BE'!$AF$30+'TUSD BF'!$AF$30+'TUSD CVA'!$AF$30)*1</f>
        <v>0</v>
      </c>
      <c r="AD30" s="13">
        <f>('TUSD BE'!$AH$30+'TUSD BF'!$AH$30+'TUSD CVA'!$AH$30)*1</f>
        <v>15.215026199280418</v>
      </c>
      <c r="AE30" s="13">
        <f>('TUSD BE'!$AI$30+'TUSD BF'!$AI$30+'TUSD CVA'!$AI$30)*1</f>
        <v>0.70352861104792264</v>
      </c>
      <c r="AF30" s="13">
        <f ca="1">('TUSD BE'!$AJ$30+'TUSD BF'!$AJ$30+'TUSD CVA'!$AJ$30)*1</f>
        <v>20.688686871862899</v>
      </c>
      <c r="AG30" s="13">
        <f ca="1">('TUSD BE'!$AK$30+'TUSD BF'!$AK$30+'TUSD CVA'!$AK$30)*1</f>
        <v>7.5673734236056243</v>
      </c>
      <c r="AI30" s="13">
        <v>0</v>
      </c>
      <c r="AJ30" s="13">
        <v>0.63696395880197798</v>
      </c>
      <c r="AK30" s="13">
        <v>13.2550068234095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60.242586108046901</v>
      </c>
      <c r="AR30" s="13">
        <v>74.207701129422503</v>
      </c>
      <c r="AS30" s="13">
        <v>6.4239155938605901</v>
      </c>
      <c r="AT30" s="13">
        <v>0</v>
      </c>
      <c r="AU30" s="13">
        <v>0</v>
      </c>
      <c r="AV30" s="13">
        <v>0</v>
      </c>
      <c r="AW30" s="13">
        <v>0</v>
      </c>
      <c r="AX30" s="13">
        <v>1211.0989720720399</v>
      </c>
      <c r="AY30" s="13">
        <v>0</v>
      </c>
      <c r="AZ30" s="13">
        <v>0</v>
      </c>
      <c r="BA30" s="13">
        <v>9.8620421265933196</v>
      </c>
      <c r="BB30" s="13">
        <v>0.42109893957126698</v>
      </c>
      <c r="BC30" s="13">
        <v>13.6039012175829</v>
      </c>
      <c r="BD30" s="13">
        <v>6.0037615565307503</v>
      </c>
    </row>
    <row r="31" spans="1:56" ht="11.25" customHeight="1" x14ac:dyDescent="0.25">
      <c r="A31" s="107"/>
      <c r="B31" s="107"/>
      <c r="C31" s="107"/>
      <c r="D31" s="107"/>
      <c r="E31" s="107"/>
      <c r="F31" s="107"/>
      <c r="G31" s="18" t="s">
        <v>84</v>
      </c>
      <c r="H31" s="18" t="s">
        <v>82</v>
      </c>
      <c r="I31" s="18">
        <f>'MERCADO TUSD'!$U$28</f>
        <v>0</v>
      </c>
      <c r="J31" s="15"/>
      <c r="L31" s="13">
        <f>('TUSD BE'!$L$31+'TUSD BF'!$L$31+'TUSD CVA'!$L$31)*1</f>
        <v>0</v>
      </c>
      <c r="M31" s="13">
        <f>('TUSD BE'!$M$31+'TUSD BF'!$M$31+'TUSD CVA'!$M$31)*1</f>
        <v>0.66131436178692882</v>
      </c>
      <c r="N31" s="13">
        <f ca="1">('TUSD BE'!$N$31+'TUSD BF'!$N$31+'TUSD CVA'!$N$31)*1</f>
        <v>0.68170011542177411</v>
      </c>
      <c r="O31" s="13">
        <f>('TUSD BE'!$O$31+'TUSD BF'!$O$31+'TUSD CVA'!$O$31)*1</f>
        <v>0</v>
      </c>
      <c r="P31" s="13">
        <f>('TUSD BE'!$P$31+'TUSD BF'!$P$31+'TUSD CVA'!$P$31)*1</f>
        <v>0</v>
      </c>
      <c r="Q31" s="13">
        <f>('TUSD BE'!$Q$31+'TUSD BF'!$Q$31+'TUSD CVA'!$Q$31)*1</f>
        <v>0</v>
      </c>
      <c r="R31" s="13">
        <f>('TUSD BE'!$R$31+'TUSD BF'!$R$31+'TUSD CVA'!$R$31)*1</f>
        <v>0</v>
      </c>
      <c r="S31" s="13">
        <f>('TUSD BE'!$S$31+'TUSD BF'!$S$31+'TUSD CVA'!$S$31)*1</f>
        <v>0</v>
      </c>
      <c r="T31" s="13">
        <f>('TUSD BE'!$U$31+'TUSD BF'!$U$31+'TUSD CVA'!$U$31)*1</f>
        <v>0</v>
      </c>
      <c r="U31" s="13">
        <f>('TUSD BE'!$V$31+'TUSD BF'!$V$31+'TUSD CVA'!$V$31)*1</f>
        <v>0</v>
      </c>
      <c r="V31" s="13">
        <f>('TUSD BE'!$W$31+'TUSD BF'!$W$31+'TUSD CVA'!$W$31)*1</f>
        <v>0</v>
      </c>
      <c r="W31" s="13">
        <f>('TUSD BE'!$X$31+'TUSD BF'!$X$31+'TUSD CVA'!$X$31)*1</f>
        <v>0</v>
      </c>
      <c r="X31" s="13">
        <f>('TUSD BE'!$Y$31+'TUSD BF'!$Y$31+'TUSD CVA'!$Y$31)*1</f>
        <v>0</v>
      </c>
      <c r="Y31" s="13">
        <f>('TUSD BE'!$Z$31+'TUSD BF'!$Z$31+'TUSD CVA'!$Z$31)*1</f>
        <v>0</v>
      </c>
      <c r="Z31" s="13">
        <f>('TUSD BE'!$AA$31+'TUSD BF'!$AA$31+'TUSD CVA'!$AA$31)*1</f>
        <v>0</v>
      </c>
      <c r="AA31" s="13">
        <f>('TUSD BE'!$AC$31+'TUSD BF'!$AC$31+'TUSD CVA'!$AC$31)*1</f>
        <v>0</v>
      </c>
      <c r="AB31" s="13">
        <f ca="1">('TUSD BE'!$AE$31+'TUSD BF'!$AE$31+'TUSD CVA'!$AE$31)*1</f>
        <v>-3.7680117017525516</v>
      </c>
      <c r="AC31" s="13">
        <f ca="1">('TUSD BE'!$AF$31+'TUSD BF'!$AF$31+'TUSD CVA'!$AF$31)*1</f>
        <v>0</v>
      </c>
      <c r="AD31" s="13">
        <f>('TUSD BE'!$AH$31+'TUSD BF'!$AH$31+'TUSD CVA'!$AH$31)*1</f>
        <v>15.215026199280418</v>
      </c>
      <c r="AE31" s="13">
        <f>('TUSD BE'!$AI$31+'TUSD BF'!$AI$31+'TUSD CVA'!$AI$31)*1</f>
        <v>0.70352861104792264</v>
      </c>
      <c r="AF31" s="13">
        <f ca="1">('TUSD BE'!$AJ$31+'TUSD BF'!$AJ$31+'TUSD CVA'!$AJ$31)*1</f>
        <v>20.688686871862899</v>
      </c>
      <c r="AG31" s="13">
        <f ca="1">('TUSD BE'!$AK$31+'TUSD BF'!$AK$31+'TUSD CVA'!$AK$31)*1</f>
        <v>7.5673734236056243</v>
      </c>
      <c r="AI31" s="13">
        <v>0</v>
      </c>
      <c r="AJ31" s="13">
        <v>0.63696395880197798</v>
      </c>
      <c r="AK31" s="13">
        <v>0.57356313803153702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9.8620421265933196</v>
      </c>
      <c r="BB31" s="13">
        <v>0.42109893957126698</v>
      </c>
      <c r="BC31" s="13">
        <v>13.6039012175829</v>
      </c>
      <c r="BD31" s="13">
        <v>6.0037615565307503</v>
      </c>
    </row>
    <row r="32" spans="1:56" ht="11.25" customHeight="1" x14ac:dyDescent="0.25">
      <c r="A32" s="107" t="s">
        <v>95</v>
      </c>
      <c r="B32" s="107" t="s">
        <v>91</v>
      </c>
      <c r="C32" s="107" t="s">
        <v>25</v>
      </c>
      <c r="D32" s="107" t="s">
        <v>25</v>
      </c>
      <c r="E32" s="17" t="s">
        <v>96</v>
      </c>
      <c r="F32" s="17" t="s">
        <v>25</v>
      </c>
      <c r="G32" s="18" t="s">
        <v>9</v>
      </c>
      <c r="H32" s="18" t="s">
        <v>85</v>
      </c>
      <c r="I32" s="18">
        <f>'MERCADO TUSD'!$U$29+0.00000001</f>
        <v>1E-8</v>
      </c>
      <c r="J32" s="15"/>
      <c r="L32" s="13">
        <f>('TUSD BE'!$L$32+'TUSD BF'!$L$32+'TUSD CVA'!$L$32)*1</f>
        <v>0</v>
      </c>
      <c r="M32" s="13">
        <f>('TUSD BE'!$M$32+'TUSD BF'!$M$32+'TUSD CVA'!$M$32)*1</f>
        <v>5.1128085866159551E-2</v>
      </c>
      <c r="N32" s="13">
        <f ca="1">('TUSD BE'!$N$32+'TUSD BF'!$N$32+'TUSD CVA'!$N$32)*1</f>
        <v>0.14674934357570205</v>
      </c>
      <c r="O32" s="13">
        <f>('TUSD BE'!$O$32+'TUSD BF'!$O$32+'TUSD CVA'!$O$32)*1</f>
        <v>0</v>
      </c>
      <c r="P32" s="13">
        <f>('TUSD BE'!$P$32+'TUSD BF'!$P$32+'TUSD CVA'!$P$32)*1</f>
        <v>0</v>
      </c>
      <c r="Q32" s="13">
        <f>('TUSD BE'!$Q$32+'TUSD BF'!$Q$32+'TUSD CVA'!$Q$32)*1</f>
        <v>0</v>
      </c>
      <c r="R32" s="13">
        <f>('TUSD BE'!$R$32+'TUSD BF'!$R$32+'TUSD CVA'!$R$32)*1</f>
        <v>0</v>
      </c>
      <c r="S32" s="13">
        <f>('TUSD BE'!$S$32+'TUSD BF'!$S$32+'TUSD CVA'!$S$32)*1</f>
        <v>0</v>
      </c>
      <c r="T32" s="13">
        <f>('TUSD BE'!$U$32+'TUSD BF'!$U$32+'TUSD CVA'!$U$32)*1</f>
        <v>0</v>
      </c>
      <c r="U32" s="13">
        <f>('TUSD BE'!$V$32+'TUSD BF'!$V$32+'TUSD CVA'!$V$32)*1</f>
        <v>0</v>
      </c>
      <c r="V32" s="13">
        <f>('TUSD BE'!$W$32+'TUSD BF'!$W$32+'TUSD CVA'!$W$32)*1</f>
        <v>0</v>
      </c>
      <c r="W32" s="13">
        <f>('TUSD BE'!$X$32+'TUSD BF'!$X$32+'TUSD CVA'!$X$32)*1</f>
        <v>0</v>
      </c>
      <c r="X32" s="13">
        <f>('TUSD BE'!$Y$32+'TUSD BF'!$Y$32+'TUSD CVA'!$Y$32)*1</f>
        <v>0</v>
      </c>
      <c r="Y32" s="13">
        <f>('TUSD BE'!$Z$32+'TUSD BF'!$Z$32+'TUSD CVA'!$Z$32)*1</f>
        <v>0</v>
      </c>
      <c r="Z32" s="13">
        <f>('TUSD BE'!$AA$32+'TUSD BF'!$AA$32+'TUSD CVA'!$AA$32)*1</f>
        <v>0</v>
      </c>
      <c r="AA32" s="13">
        <f>('TUSD BE'!$AC$32+'TUSD BF'!$AC$32+'TUSD CVA'!$AC$32)*1</f>
        <v>15.263998236321925</v>
      </c>
      <c r="AB32" s="13">
        <f ca="1">('TUSD BE'!$AE$32+'TUSD BF'!$AE$32+'TUSD CVA'!$AE$32)*1</f>
        <v>-1.3879262955458576</v>
      </c>
      <c r="AC32" s="13">
        <f ca="1">('TUSD BE'!$AF$32+'TUSD BF'!$AF$32+'TUSD CVA'!$AF$32)*1</f>
        <v>0</v>
      </c>
      <c r="AD32" s="13">
        <f>('TUSD BE'!$AH$32+'TUSD BF'!$AH$32+'TUSD CVA'!$AH$32)*1</f>
        <v>0</v>
      </c>
      <c r="AE32" s="13">
        <f>('TUSD BE'!$AI$32+'TUSD BF'!$AI$32+'TUSD CVA'!$AI$32)*1</f>
        <v>0</v>
      </c>
      <c r="AF32" s="13">
        <f ca="1">('TUSD BE'!$AJ$32+'TUSD BF'!$AJ$32+'TUSD CVA'!$AJ$32)*1</f>
        <v>0</v>
      </c>
      <c r="AG32" s="13">
        <f ca="1">('TUSD BE'!$AK$32+'TUSD BF'!$AK$32+'TUSD CVA'!$AK$32)*1</f>
        <v>0</v>
      </c>
      <c r="AI32" s="13">
        <v>0</v>
      </c>
      <c r="AJ32" s="13">
        <v>5.1424179533666098E-2</v>
      </c>
      <c r="AK32" s="13">
        <v>0.135816303201793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14.334239361430701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</row>
    <row r="33" spans="1:56" ht="11.25" customHeight="1" x14ac:dyDescent="0.25">
      <c r="A33" s="107"/>
      <c r="B33" s="107"/>
      <c r="C33" s="107"/>
      <c r="D33" s="107"/>
      <c r="E33" s="17" t="s">
        <v>97</v>
      </c>
      <c r="F33" s="17" t="s">
        <v>25</v>
      </c>
      <c r="G33" s="18" t="s">
        <v>9</v>
      </c>
      <c r="H33" s="18" t="s">
        <v>85</v>
      </c>
      <c r="I33" s="18">
        <f>'MERCADO TUSD'!$U$30+0.00000001</f>
        <v>1E-8</v>
      </c>
      <c r="J33" s="15"/>
      <c r="L33" s="13">
        <f>('TUSD BE'!$L$33+'TUSD BF'!$L$33+'TUSD CVA'!$L$33)*1</f>
        <v>0</v>
      </c>
      <c r="M33" s="13">
        <f>('TUSD BE'!$M$33+'TUSD BF'!$M$33+'TUSD CVA'!$M$33)*1</f>
        <v>5.1128085866159551E-2</v>
      </c>
      <c r="N33" s="13">
        <f ca="1">('TUSD BE'!$N$33+'TUSD BF'!$N$33+'TUSD CVA'!$N$33)*1</f>
        <v>0.14674934357570205</v>
      </c>
      <c r="O33" s="13">
        <f>('TUSD BE'!$O$33+'TUSD BF'!$O$33+'TUSD CVA'!$O$33)*1</f>
        <v>0</v>
      </c>
      <c r="P33" s="13">
        <f>('TUSD BE'!$P$33+'TUSD BF'!$P$33+'TUSD CVA'!$P$33)*1</f>
        <v>0</v>
      </c>
      <c r="Q33" s="13">
        <f>('TUSD BE'!$Q$33+'TUSD BF'!$Q$33+'TUSD CVA'!$Q$33)*1</f>
        <v>0</v>
      </c>
      <c r="R33" s="13">
        <f>('TUSD BE'!$R$33+'TUSD BF'!$R$33+'TUSD CVA'!$R$33)*1</f>
        <v>0</v>
      </c>
      <c r="S33" s="13">
        <f>('TUSD BE'!$S$33+'TUSD BF'!$S$33+'TUSD CVA'!$S$33)*1</f>
        <v>0</v>
      </c>
      <c r="T33" s="13">
        <f>('TUSD BE'!$U$33+'TUSD BF'!$U$33+'TUSD CVA'!$U$33)*1</f>
        <v>0</v>
      </c>
      <c r="U33" s="13">
        <f>('TUSD BE'!$V$33+'TUSD BF'!$V$33+'TUSD CVA'!$V$33)*1</f>
        <v>0</v>
      </c>
      <c r="V33" s="13">
        <f>('TUSD BE'!$W$33+'TUSD BF'!$W$33+'TUSD CVA'!$W$33)*1</f>
        <v>0</v>
      </c>
      <c r="W33" s="13">
        <f>('TUSD BE'!$X$33+'TUSD BF'!$X$33+'TUSD CVA'!$X$33)*1</f>
        <v>0</v>
      </c>
      <c r="X33" s="13">
        <f>('TUSD BE'!$Y$33+'TUSD BF'!$Y$33+'TUSD CVA'!$Y$33)*1</f>
        <v>0</v>
      </c>
      <c r="Y33" s="13">
        <f>('TUSD BE'!$Z$33+'TUSD BF'!$Z$33+'TUSD CVA'!$Z$33)*1</f>
        <v>0</v>
      </c>
      <c r="Z33" s="13">
        <f>('TUSD BE'!$AA$33+'TUSD BF'!$AA$33+'TUSD CVA'!$AA$33)*1</f>
        <v>0</v>
      </c>
      <c r="AA33" s="13">
        <f>('TUSD BE'!$AC$33+'TUSD BF'!$AC$33+'TUSD CVA'!$AC$33)*1</f>
        <v>34.174961961595315</v>
      </c>
      <c r="AB33" s="13">
        <f ca="1">('TUSD BE'!$AE$33+'TUSD BF'!$AE$33+'TUSD CVA'!$AE$33)*1</f>
        <v>-3.0853890294906248</v>
      </c>
      <c r="AC33" s="13">
        <f ca="1">('TUSD BE'!$AF$33+'TUSD BF'!$AF$33+'TUSD CVA'!$AF$33)*1</f>
        <v>0</v>
      </c>
      <c r="AD33" s="13">
        <f>('TUSD BE'!$AH$33+'TUSD BF'!$AH$33+'TUSD CVA'!$AH$33)*1</f>
        <v>0</v>
      </c>
      <c r="AE33" s="13">
        <f>('TUSD BE'!$AI$33+'TUSD BF'!$AI$33+'TUSD CVA'!$AI$33)*1</f>
        <v>0</v>
      </c>
      <c r="AF33" s="13">
        <f ca="1">('TUSD BE'!$AJ$33+'TUSD BF'!$AJ$33+'TUSD CVA'!$AJ$33)*1</f>
        <v>0</v>
      </c>
      <c r="AG33" s="13">
        <f ca="1">('TUSD BE'!$AK$33+'TUSD BF'!$AK$33+'TUSD CVA'!$AK$33)*1</f>
        <v>0</v>
      </c>
      <c r="AI33" s="13">
        <v>0</v>
      </c>
      <c r="AJ33" s="13">
        <v>5.1424179533666098E-2</v>
      </c>
      <c r="AK33" s="13">
        <v>0.135816303201793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32.093300676595099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</row>
    <row r="34" spans="1:56" ht="11.25" customHeight="1" x14ac:dyDescent="0.25">
      <c r="A34" s="107" t="s">
        <v>22</v>
      </c>
      <c r="B34" s="107" t="s">
        <v>35</v>
      </c>
      <c r="C34" s="107" t="s">
        <v>24</v>
      </c>
      <c r="D34" s="107" t="s">
        <v>24</v>
      </c>
      <c r="E34" s="107" t="s">
        <v>25</v>
      </c>
      <c r="F34" s="107" t="s">
        <v>25</v>
      </c>
      <c r="G34" s="18" t="s">
        <v>83</v>
      </c>
      <c r="H34" s="18" t="s">
        <v>82</v>
      </c>
      <c r="I34" s="18">
        <f>'MERCADO TUSD'!$U$31</f>
        <v>51.442999999999998</v>
      </c>
      <c r="J34" s="15"/>
      <c r="L34" s="13">
        <f>('TUSD BE'!$L$34+'TUSD BF'!$L$34+'TUSD CVA'!$L$34)*1</f>
        <v>20.102109782687823</v>
      </c>
      <c r="M34" s="13">
        <f>('TUSD BE'!$M$34+'TUSD BF'!$M$34+'TUSD CVA'!$M$34)*1</f>
        <v>1.2331683466057166</v>
      </c>
      <c r="N34" s="13">
        <f ca="1">('TUSD BE'!$N$34+'TUSD BF'!$N$34+'TUSD CVA'!$N$34)*1</f>
        <v>12.278474828677776</v>
      </c>
      <c r="O34" s="13">
        <f>('TUSD BE'!$O$34+'TUSD BF'!$O$34+'TUSD CVA'!$O$34)*1</f>
        <v>0</v>
      </c>
      <c r="P34" s="13">
        <f>('TUSD BE'!$P$34+'TUSD BF'!$P$34+'TUSD CVA'!$P$34)*1</f>
        <v>0</v>
      </c>
      <c r="Q34" s="13">
        <f>('TUSD BE'!$Q$34+'TUSD BF'!$Q$34+'TUSD CVA'!$Q$34)*1</f>
        <v>49.965739584460493</v>
      </c>
      <c r="R34" s="13">
        <f>('TUSD BE'!$R$34+'TUSD BF'!$R$34+'TUSD CVA'!$R$34)*1</f>
        <v>18.494598327475543</v>
      </c>
      <c r="S34" s="13">
        <f>('TUSD BE'!$S$34+'TUSD BF'!$S$34+'TUSD CVA'!$S$34)*1</f>
        <v>0</v>
      </c>
      <c r="T34" s="13">
        <f>('TUSD BE'!$U$34+'TUSD BF'!$U$34+'TUSD CVA'!$U$34)*1</f>
        <v>52.267581099161447</v>
      </c>
      <c r="U34" s="13">
        <f>('TUSD BE'!$V$34+'TUSD BF'!$V$34+'TUSD CVA'!$V$34)*1</f>
        <v>57.098750944086369</v>
      </c>
      <c r="V34" s="13">
        <f>('TUSD BE'!$W$34+'TUSD BF'!$W$34+'TUSD CVA'!$W$34)*1</f>
        <v>4.9147396346689023</v>
      </c>
      <c r="W34" s="13">
        <f>('TUSD BE'!$X$34+'TUSD BF'!$X$34+'TUSD CVA'!$X$34)*1</f>
        <v>0</v>
      </c>
      <c r="X34" s="13">
        <f>('TUSD BE'!$Y$34+'TUSD BF'!$Y$34+'TUSD CVA'!$Y$34)*1</f>
        <v>0</v>
      </c>
      <c r="Y34" s="13">
        <f>('TUSD BE'!$Z$34+'TUSD BF'!$Z$34+'TUSD CVA'!$Z$34)*1</f>
        <v>0</v>
      </c>
      <c r="Z34" s="13">
        <f>('TUSD BE'!$AA$34+'TUSD BF'!$AA$34+'TUSD CVA'!$AA$34)*1</f>
        <v>0</v>
      </c>
      <c r="AA34" s="13">
        <f>('TUSD BE'!$AC$34+'TUSD BF'!$AC$34+'TUSD CVA'!$AC$34)*1</f>
        <v>1074.6736779466808</v>
      </c>
      <c r="AB34" s="13">
        <f ca="1">('TUSD BE'!$AE$34+'TUSD BF'!$AE$34+'TUSD CVA'!$AE$34)*1</f>
        <v>-119.30607921261792</v>
      </c>
      <c r="AC34" s="13">
        <f ca="1">('TUSD BE'!$AF$34+'TUSD BF'!$AF$34+'TUSD CVA'!$AF$34)*1</f>
        <v>0</v>
      </c>
      <c r="AD34" s="13">
        <f>('TUSD BE'!$AH$34+'TUSD BF'!$AH$34+'TUSD CVA'!$AH$34)*1</f>
        <v>32.576909697124883</v>
      </c>
      <c r="AE34" s="13">
        <f>('TUSD BE'!$AI$34+'TUSD BF'!$AI$34+'TUSD CVA'!$AI$34)*1</f>
        <v>1.5063258998880853</v>
      </c>
      <c r="AF34" s="13">
        <f ca="1">('TUSD BE'!$AJ$34+'TUSD BF'!$AJ$34+'TUSD CVA'!$AJ$34)*1</f>
        <v>31.471118324942143</v>
      </c>
      <c r="AG34" s="13">
        <f ca="1">('TUSD BE'!$AK$34+'TUSD BF'!$AK$34+'TUSD CVA'!$AK$34)*1</f>
        <v>11.511301123089151</v>
      </c>
      <c r="AI34" s="13">
        <v>22.703520630267001</v>
      </c>
      <c r="AJ34" s="13">
        <v>1.15973158123335</v>
      </c>
      <c r="AK34" s="13">
        <v>11.280257399989299</v>
      </c>
      <c r="AL34" s="13">
        <v>0</v>
      </c>
      <c r="AM34" s="13">
        <v>0</v>
      </c>
      <c r="AN34" s="13">
        <v>25.587858825753401</v>
      </c>
      <c r="AO34" s="13">
        <v>11.1804067417987</v>
      </c>
      <c r="AP34" s="13">
        <v>0</v>
      </c>
      <c r="AQ34" s="13">
        <v>34.489476256105398</v>
      </c>
      <c r="AR34" s="13">
        <v>44.227803547048197</v>
      </c>
      <c r="AS34" s="13">
        <v>3.8450102994811099</v>
      </c>
      <c r="AT34" s="13">
        <v>0</v>
      </c>
      <c r="AU34" s="13">
        <v>0</v>
      </c>
      <c r="AV34" s="13">
        <v>0</v>
      </c>
      <c r="AW34" s="13">
        <v>0</v>
      </c>
      <c r="AX34" s="13">
        <v>1009.21328059776</v>
      </c>
      <c r="AY34" s="13">
        <v>0</v>
      </c>
      <c r="AZ34" s="13">
        <v>0</v>
      </c>
      <c r="BA34" s="13">
        <v>21.115629482285499</v>
      </c>
      <c r="BB34" s="13">
        <v>0.90161541283557001</v>
      </c>
      <c r="BC34" s="13">
        <v>20.868356138169801</v>
      </c>
      <c r="BD34" s="13">
        <v>9.2097577251150504</v>
      </c>
    </row>
    <row r="35" spans="1:56" ht="11.25" customHeight="1" x14ac:dyDescent="0.25">
      <c r="A35" s="107"/>
      <c r="B35" s="107"/>
      <c r="C35" s="107"/>
      <c r="D35" s="107"/>
      <c r="E35" s="107"/>
      <c r="F35" s="107"/>
      <c r="G35" s="18" t="s">
        <v>98</v>
      </c>
      <c r="H35" s="18" t="s">
        <v>82</v>
      </c>
      <c r="I35" s="18">
        <f>'MERCADO TUSD'!$U$32</f>
        <v>16.948999999999998</v>
      </c>
      <c r="J35" s="15"/>
      <c r="L35" s="13">
        <f>('TUSD BE'!$L$35+'TUSD BF'!$L$35+'TUSD CVA'!$L$35)*1</f>
        <v>20.102109782687823</v>
      </c>
      <c r="M35" s="13">
        <f>('TUSD BE'!$M$35+'TUSD BF'!$M$35+'TUSD CVA'!$M$35)*1</f>
        <v>1.2331683466057166</v>
      </c>
      <c r="N35" s="13">
        <f ca="1">('TUSD BE'!$N$35+'TUSD BF'!$N$35+'TUSD CVA'!$N$35)*1</f>
        <v>7.8467766008894744</v>
      </c>
      <c r="O35" s="13">
        <f>('TUSD BE'!$O$35+'TUSD BF'!$O$35+'TUSD CVA'!$O$35)*1</f>
        <v>0</v>
      </c>
      <c r="P35" s="13">
        <f>('TUSD BE'!$P$35+'TUSD BF'!$P$35+'TUSD CVA'!$P$35)*1</f>
        <v>0</v>
      </c>
      <c r="Q35" s="13">
        <f>('TUSD BE'!$Q$35+'TUSD BF'!$Q$35+'TUSD CVA'!$Q$35)*1</f>
        <v>49.965739584460493</v>
      </c>
      <c r="R35" s="13">
        <f>('TUSD BE'!$R$35+'TUSD BF'!$R$35+'TUSD CVA'!$R$35)*1</f>
        <v>18.494598327475543</v>
      </c>
      <c r="S35" s="13">
        <f>('TUSD BE'!$S$35+'TUSD BF'!$S$35+'TUSD CVA'!$S$35)*1</f>
        <v>0</v>
      </c>
      <c r="T35" s="13">
        <f>('TUSD BE'!$U$35+'TUSD BF'!$U$35+'TUSD CVA'!$U$35)*1</f>
        <v>31.360548659496867</v>
      </c>
      <c r="U35" s="13">
        <f>('TUSD BE'!$V$35+'TUSD BF'!$V$35+'TUSD CVA'!$V$35)*1</f>
        <v>34.259290687415266</v>
      </c>
      <c r="V35" s="13">
        <f>('TUSD BE'!$W$35+'TUSD BF'!$W$35+'TUSD CVA'!$W$35)*1</f>
        <v>2.948811931020805</v>
      </c>
      <c r="W35" s="13">
        <f>('TUSD BE'!$X$35+'TUSD BF'!$X$35+'TUSD CVA'!$X$35)*1</f>
        <v>0</v>
      </c>
      <c r="X35" s="13">
        <f>('TUSD BE'!$Y$35+'TUSD BF'!$Y$35+'TUSD CVA'!$Y$35)*1</f>
        <v>0</v>
      </c>
      <c r="Y35" s="13">
        <f>('TUSD BE'!$Z$35+'TUSD BF'!$Z$35+'TUSD CVA'!$Z$35)*1</f>
        <v>0</v>
      </c>
      <c r="Z35" s="13">
        <f>('TUSD BE'!$AA$35+'TUSD BF'!$AA$35+'TUSD CVA'!$AA$35)*1</f>
        <v>0</v>
      </c>
      <c r="AA35" s="13">
        <f>('TUSD BE'!$AC$35+'TUSD BF'!$AC$35+'TUSD CVA'!$AC$35)*1</f>
        <v>644.80427867190201</v>
      </c>
      <c r="AB35" s="13">
        <f ca="1">('TUSD BE'!$AE$35+'TUSD BF'!$AE$35+'TUSD CVA'!$AE$35)*1</f>
        <v>-76.81653936491648</v>
      </c>
      <c r="AC35" s="13">
        <f ca="1">('TUSD BE'!$AF$35+'TUSD BF'!$AF$35+'TUSD CVA'!$AF$35)*1</f>
        <v>0</v>
      </c>
      <c r="AD35" s="13">
        <f>('TUSD BE'!$AH$35+'TUSD BF'!$AH$35+'TUSD CVA'!$AH$35)*1</f>
        <v>32.576909697124883</v>
      </c>
      <c r="AE35" s="13">
        <f>('TUSD BE'!$AI$35+'TUSD BF'!$AI$35+'TUSD CVA'!$AI$35)*1</f>
        <v>1.5063258998880853</v>
      </c>
      <c r="AF35" s="13">
        <f ca="1">('TUSD BE'!$AJ$35+'TUSD BF'!$AJ$35+'TUSD CVA'!$AJ$35)*1</f>
        <v>31.471118324942143</v>
      </c>
      <c r="AG35" s="13">
        <f ca="1">('TUSD BE'!$AK$35+'TUSD BF'!$AK$35+'TUSD CVA'!$AK$35)*1</f>
        <v>11.511301123089151</v>
      </c>
      <c r="AI35" s="13">
        <v>22.703520630267001</v>
      </c>
      <c r="AJ35" s="13">
        <v>1.15973158123335</v>
      </c>
      <c r="AK35" s="13">
        <v>7.1787271611596202</v>
      </c>
      <c r="AL35" s="13">
        <v>0</v>
      </c>
      <c r="AM35" s="13">
        <v>0</v>
      </c>
      <c r="AN35" s="13">
        <v>25.587858825753401</v>
      </c>
      <c r="AO35" s="13">
        <v>11.1804067417987</v>
      </c>
      <c r="AP35" s="13">
        <v>0</v>
      </c>
      <c r="AQ35" s="13">
        <v>20.6936857536632</v>
      </c>
      <c r="AR35" s="13">
        <v>26.5367132053026</v>
      </c>
      <c r="AS35" s="13">
        <v>2.3069812622478101</v>
      </c>
      <c r="AT35" s="13">
        <v>0</v>
      </c>
      <c r="AU35" s="13">
        <v>0</v>
      </c>
      <c r="AV35" s="13">
        <v>0</v>
      </c>
      <c r="AW35" s="13">
        <v>0</v>
      </c>
      <c r="AX35" s="13">
        <v>605.52803588274503</v>
      </c>
      <c r="AY35" s="13">
        <v>0</v>
      </c>
      <c r="AZ35" s="13">
        <v>0</v>
      </c>
      <c r="BA35" s="13">
        <v>21.115629482285499</v>
      </c>
      <c r="BB35" s="13">
        <v>0.90161541283557001</v>
      </c>
      <c r="BC35" s="13">
        <v>20.868356138169801</v>
      </c>
      <c r="BD35" s="13">
        <v>9.2097577251150504</v>
      </c>
    </row>
    <row r="36" spans="1:56" ht="11.25" customHeight="1" x14ac:dyDescent="0.25">
      <c r="A36" s="107"/>
      <c r="B36" s="107"/>
      <c r="C36" s="107"/>
      <c r="D36" s="107"/>
      <c r="E36" s="107"/>
      <c r="F36" s="107"/>
      <c r="G36" s="18" t="s">
        <v>84</v>
      </c>
      <c r="H36" s="18" t="s">
        <v>82</v>
      </c>
      <c r="I36" s="18">
        <f>'MERCADO TUSD'!$U$33</f>
        <v>490.19600000000008</v>
      </c>
      <c r="J36" s="15"/>
      <c r="L36" s="13">
        <f>('TUSD BE'!$L$36+'TUSD BF'!$L$36+'TUSD CVA'!$L$36)*1</f>
        <v>20.102109782687823</v>
      </c>
      <c r="M36" s="13">
        <f>('TUSD BE'!$M$36+'TUSD BF'!$M$36+'TUSD CVA'!$M$36)*1</f>
        <v>1.2331683466057166</v>
      </c>
      <c r="N36" s="13">
        <f ca="1">('TUSD BE'!$N$36+'TUSD BF'!$N$36+'TUSD CVA'!$N$36)*1</f>
        <v>3.4150772257255344</v>
      </c>
      <c r="O36" s="13">
        <f>('TUSD BE'!$O$36+'TUSD BF'!$O$36+'TUSD CVA'!$O$36)*1</f>
        <v>0</v>
      </c>
      <c r="P36" s="13">
        <f>('TUSD BE'!$P$36+'TUSD BF'!$P$36+'TUSD CVA'!$P$36)*1</f>
        <v>0</v>
      </c>
      <c r="Q36" s="13">
        <f>('TUSD BE'!$Q$36+'TUSD BF'!$Q$36+'TUSD CVA'!$Q$36)*1</f>
        <v>49.965739584460493</v>
      </c>
      <c r="R36" s="13">
        <f>('TUSD BE'!$R$36+'TUSD BF'!$R$36+'TUSD CVA'!$R$36)*1</f>
        <v>18.494598327475543</v>
      </c>
      <c r="S36" s="13">
        <f>('TUSD BE'!$S$36+'TUSD BF'!$S$36+'TUSD CVA'!$S$36)*1</f>
        <v>0</v>
      </c>
      <c r="T36" s="13">
        <f>('TUSD BE'!$U$36+'TUSD BF'!$U$36+'TUSD CVA'!$U$36)*1</f>
        <v>10.453516219832288</v>
      </c>
      <c r="U36" s="13">
        <f>('TUSD BE'!$V$36+'TUSD BF'!$V$36+'TUSD CVA'!$V$36)*1</f>
        <v>11.419830430744168</v>
      </c>
      <c r="V36" s="13">
        <f>('TUSD BE'!$W$36+'TUSD BF'!$W$36+'TUSD CVA'!$W$36)*1</f>
        <v>0.98288422737270653</v>
      </c>
      <c r="W36" s="13">
        <f>('TUSD BE'!$X$36+'TUSD BF'!$X$36+'TUSD CVA'!$X$36)*1</f>
        <v>0</v>
      </c>
      <c r="X36" s="13">
        <f>('TUSD BE'!$Y$36+'TUSD BF'!$Y$36+'TUSD CVA'!$Y$36)*1</f>
        <v>0</v>
      </c>
      <c r="Y36" s="13">
        <f>('TUSD BE'!$Z$36+'TUSD BF'!$Z$36+'TUSD CVA'!$Z$36)*1</f>
        <v>0</v>
      </c>
      <c r="Z36" s="13">
        <f>('TUSD BE'!$AA$36+'TUSD BF'!$AA$36+'TUSD CVA'!$AA$36)*1</f>
        <v>0</v>
      </c>
      <c r="AA36" s="13">
        <f>('TUSD BE'!$AC$36+'TUSD BF'!$AC$36+'TUSD CVA'!$AC$36)*1</f>
        <v>214.93475955730068</v>
      </c>
      <c r="AB36" s="13">
        <f ca="1">('TUSD BE'!$AE$36+'TUSD BF'!$AE$36+'TUSD CVA'!$AE$36)*1</f>
        <v>-34.326988657457669</v>
      </c>
      <c r="AC36" s="13">
        <f ca="1">('TUSD BE'!$AF$36+'TUSD BF'!$AF$36+'TUSD CVA'!$AF$36)*1</f>
        <v>0</v>
      </c>
      <c r="AD36" s="13">
        <f>('TUSD BE'!$AH$36+'TUSD BF'!$AH$36+'TUSD CVA'!$AH$36)*1</f>
        <v>32.576909697124883</v>
      </c>
      <c r="AE36" s="13">
        <f>('TUSD BE'!$AI$36+'TUSD BF'!$AI$36+'TUSD CVA'!$AI$36)*1</f>
        <v>1.5063258998880853</v>
      </c>
      <c r="AF36" s="13">
        <f ca="1">('TUSD BE'!$AJ$36+'TUSD BF'!$AJ$36+'TUSD CVA'!$AJ$36)*1</f>
        <v>31.471118324942143</v>
      </c>
      <c r="AG36" s="13">
        <f ca="1">('TUSD BE'!$AK$36+'TUSD BF'!$AK$36+'TUSD CVA'!$AK$36)*1</f>
        <v>11.511301123089151</v>
      </c>
      <c r="AI36" s="13">
        <v>22.703520630267001</v>
      </c>
      <c r="AJ36" s="13">
        <v>1.15973158123335</v>
      </c>
      <c r="AK36" s="13">
        <v>3.0771958604354799</v>
      </c>
      <c r="AL36" s="13">
        <v>0</v>
      </c>
      <c r="AM36" s="13">
        <v>0</v>
      </c>
      <c r="AN36" s="13">
        <v>25.587858825753401</v>
      </c>
      <c r="AO36" s="13">
        <v>11.1804067417987</v>
      </c>
      <c r="AP36" s="13">
        <v>0</v>
      </c>
      <c r="AQ36" s="13">
        <v>6.8978952512210796</v>
      </c>
      <c r="AR36" s="13">
        <v>8.8456228635569794</v>
      </c>
      <c r="AS36" s="13">
        <v>0.768952225014498</v>
      </c>
      <c r="AT36" s="13">
        <v>0</v>
      </c>
      <c r="AU36" s="13">
        <v>0</v>
      </c>
      <c r="AV36" s="13">
        <v>0</v>
      </c>
      <c r="AW36" s="13">
        <v>0</v>
      </c>
      <c r="AX36" s="13">
        <v>201.84267862758199</v>
      </c>
      <c r="AY36" s="13">
        <v>0</v>
      </c>
      <c r="AZ36" s="13">
        <v>0</v>
      </c>
      <c r="BA36" s="13">
        <v>21.115629482285499</v>
      </c>
      <c r="BB36" s="13">
        <v>0.90161541283557001</v>
      </c>
      <c r="BC36" s="13">
        <v>20.868356138169801</v>
      </c>
      <c r="BD36" s="13">
        <v>9.2097577251150504</v>
      </c>
    </row>
    <row r="37" spans="1:56" ht="11.25" customHeight="1" x14ac:dyDescent="0.25">
      <c r="A37" s="107"/>
      <c r="B37" s="107" t="s">
        <v>23</v>
      </c>
      <c r="C37" s="107" t="s">
        <v>24</v>
      </c>
      <c r="D37" s="17" t="s">
        <v>24</v>
      </c>
      <c r="E37" s="17" t="s">
        <v>25</v>
      </c>
      <c r="F37" s="17" t="s">
        <v>25</v>
      </c>
      <c r="G37" s="18" t="s">
        <v>88</v>
      </c>
      <c r="H37" s="18" t="s">
        <v>82</v>
      </c>
      <c r="I37" s="18">
        <f>'MERCADO TUSD'!$U$34</f>
        <v>441318.25</v>
      </c>
      <c r="J37" s="15"/>
      <c r="L37" s="13">
        <f>('TUSD BE'!$L$37+'TUSD BF'!$L$37+'TUSD CVA'!$L$37)*1</f>
        <v>20.102109782687823</v>
      </c>
      <c r="M37" s="13">
        <f>('TUSD BE'!$M$37+'TUSD BF'!$M$37+'TUSD CVA'!$M$37)*1</f>
        <v>1.2331683466057166</v>
      </c>
      <c r="N37" s="13">
        <f ca="1">('TUSD BE'!$N$37+'TUSD BF'!$N$37+'TUSD CVA'!$N$37)*1</f>
        <v>4.7164501750797321</v>
      </c>
      <c r="O37" s="13">
        <f>('TUSD BE'!$O$37+'TUSD BF'!$O$37+'TUSD CVA'!$O$37)*1</f>
        <v>0</v>
      </c>
      <c r="P37" s="13">
        <f>('TUSD BE'!$P$37+'TUSD BF'!$P$37+'TUSD CVA'!$P$37)*1</f>
        <v>0</v>
      </c>
      <c r="Q37" s="13">
        <f>('TUSD BE'!$Q$37+'TUSD BF'!$Q$37+'TUSD CVA'!$Q$37)*1</f>
        <v>49.965739584460493</v>
      </c>
      <c r="R37" s="13">
        <f>('TUSD BE'!$R$37+'TUSD BF'!$R$37+'TUSD CVA'!$R$37)*1</f>
        <v>18.494598327475543</v>
      </c>
      <c r="S37" s="13">
        <f>('TUSD BE'!$S$37+'TUSD BF'!$S$37+'TUSD CVA'!$S$37)*1</f>
        <v>0</v>
      </c>
      <c r="T37" s="13">
        <f>('TUSD BE'!$U$37+'TUSD BF'!$U$37+'TUSD CVA'!$U$37)*1</f>
        <v>16.592927363428391</v>
      </c>
      <c r="U37" s="13">
        <f>('TUSD BE'!$V$37+'TUSD BF'!$V$37+'TUSD CVA'!$V$37)*1</f>
        <v>18.126651285366222</v>
      </c>
      <c r="V37" s="13">
        <f>('TUSD BE'!$W$37+'TUSD BF'!$W$37+'TUSD CVA'!$W$37)*1</f>
        <v>1.5603207485090373</v>
      </c>
      <c r="W37" s="13">
        <f>('TUSD BE'!$X$37+'TUSD BF'!$X$37+'TUSD CVA'!$X$37)*1</f>
        <v>0</v>
      </c>
      <c r="X37" s="13">
        <f>('TUSD BE'!$Y$37+'TUSD BF'!$Y$37+'TUSD CVA'!$Y$37)*1</f>
        <v>0</v>
      </c>
      <c r="Y37" s="13">
        <f>('TUSD BE'!$Z$37+'TUSD BF'!$Z$37+'TUSD CVA'!$Z$37)*1</f>
        <v>0</v>
      </c>
      <c r="Z37" s="13">
        <f>('TUSD BE'!$AA$37+'TUSD BF'!$AA$37+'TUSD CVA'!$AA$37)*1</f>
        <v>0</v>
      </c>
      <c r="AA37" s="13">
        <f>('TUSD BE'!$AC$37+'TUSD BF'!$AC$37+'TUSD CVA'!$AC$37)*1</f>
        <v>341.16623935832251</v>
      </c>
      <c r="AB37" s="13">
        <f ca="1">('TUSD BE'!$AE$37+'TUSD BF'!$AE$37+'TUSD CVA'!$AE$37)*1</f>
        <v>-46.804090771278901</v>
      </c>
      <c r="AC37" s="13">
        <f ca="1">('TUSD BE'!$AF$37+'TUSD BF'!$AF$37+'TUSD CVA'!$AF$37)*1</f>
        <v>0</v>
      </c>
      <c r="AD37" s="13">
        <f>('TUSD BE'!$AH$37+'TUSD BF'!$AH$37+'TUSD CVA'!$AH$37)*1</f>
        <v>32.576909697124883</v>
      </c>
      <c r="AE37" s="13">
        <f>('TUSD BE'!$AI$37+'TUSD BF'!$AI$37+'TUSD CVA'!$AI$37)*1</f>
        <v>1.5063258998880853</v>
      </c>
      <c r="AF37" s="13">
        <f ca="1">('TUSD BE'!$AJ$37+'TUSD BF'!$AJ$37+'TUSD CVA'!$AJ$37)*1</f>
        <v>31.471118324942143</v>
      </c>
      <c r="AG37" s="13">
        <f ca="1">('TUSD BE'!$AK$37+'TUSD BF'!$AK$37+'TUSD CVA'!$AK$37)*1</f>
        <v>11.511301123089151</v>
      </c>
      <c r="AI37" s="13">
        <v>22.703520630267001</v>
      </c>
      <c r="AJ37" s="13">
        <v>1.15973158123335</v>
      </c>
      <c r="AK37" s="13">
        <v>4.2816146248500901</v>
      </c>
      <c r="AL37" s="13">
        <v>0</v>
      </c>
      <c r="AM37" s="13">
        <v>0</v>
      </c>
      <c r="AN37" s="13">
        <v>25.587858825753401</v>
      </c>
      <c r="AO37" s="13">
        <v>11.1804067417987</v>
      </c>
      <c r="AP37" s="13">
        <v>0</v>
      </c>
      <c r="AQ37" s="13">
        <v>10.9490694286104</v>
      </c>
      <c r="AR37" s="13">
        <v>14.0406218833068</v>
      </c>
      <c r="AS37" s="13">
        <v>1.2207054278503</v>
      </c>
      <c r="AT37" s="13">
        <v>0</v>
      </c>
      <c r="AU37" s="13">
        <v>0</v>
      </c>
      <c r="AV37" s="13">
        <v>0</v>
      </c>
      <c r="AW37" s="13">
        <v>0</v>
      </c>
      <c r="AX37" s="13">
        <v>320.38516129832499</v>
      </c>
      <c r="AY37" s="13">
        <v>0</v>
      </c>
      <c r="AZ37" s="13">
        <v>0</v>
      </c>
      <c r="BA37" s="13">
        <v>21.115629482285499</v>
      </c>
      <c r="BB37" s="13">
        <v>0.90161541283557001</v>
      </c>
      <c r="BC37" s="13">
        <v>20.868356138169801</v>
      </c>
      <c r="BD37" s="13">
        <v>9.2097577251150504</v>
      </c>
    </row>
    <row r="38" spans="1:56" ht="11.25" customHeight="1" x14ac:dyDescent="0.25">
      <c r="A38" s="107"/>
      <c r="B38" s="107"/>
      <c r="C38" s="107"/>
      <c r="D38" s="17" t="s">
        <v>31</v>
      </c>
      <c r="E38" s="17" t="s">
        <v>25</v>
      </c>
      <c r="F38" s="17" t="s">
        <v>25</v>
      </c>
      <c r="G38" s="18" t="s">
        <v>88</v>
      </c>
      <c r="H38" s="18" t="s">
        <v>82</v>
      </c>
      <c r="I38" s="18">
        <f>'MERCADO TUSD'!$U$35</f>
        <v>23008.194</v>
      </c>
      <c r="J38" s="15"/>
      <c r="L38" s="13">
        <f>('TUSD BE'!$L$38+'TUSD BF'!$L$38+'TUSD CVA'!$L$38)*(1 - 0.65)</f>
        <v>0</v>
      </c>
      <c r="M38" s="13">
        <f>('TUSD BE'!$M$38+'TUSD BF'!$M$38+'TUSD CVA'!$M$38)*(1 - 0.65)</f>
        <v>0.43160892131200079</v>
      </c>
      <c r="N38" s="13">
        <f ca="1">('TUSD BE'!$N$38+'TUSD BF'!$N$38+'TUSD CVA'!$N$38)*(1 - 0.65)</f>
        <v>1.6467417465592593</v>
      </c>
      <c r="O38" s="13">
        <f>('TUSD BE'!$O$38+'TUSD BF'!$O$38+'TUSD CVA'!$O$38)*(1 - 0.65)</f>
        <v>0</v>
      </c>
      <c r="P38" s="13">
        <v>0</v>
      </c>
      <c r="Q38" s="13">
        <f>('TUSD BE'!$Q$38+'TUSD BF'!$Q$38+'TUSD CVA'!$Q$38)*(1 - 0.65)</f>
        <v>0</v>
      </c>
      <c r="R38" s="13">
        <v>0</v>
      </c>
      <c r="S38" s="13">
        <f>('TUSD BE'!$S$38+'TUSD BF'!$S$38+'TUSD CVA'!$S$38)*(1 - 0.65)</f>
        <v>0</v>
      </c>
      <c r="T38" s="13">
        <f>('TUSD BE'!$U$38+'TUSD BF'!$U$38+'TUSD CVA'!$U$38)*(1 - 0.65)</f>
        <v>5.8075245771999366</v>
      </c>
      <c r="U38" s="13">
        <f>('TUSD BE'!$V$38+'TUSD BF'!$V$38+'TUSD CVA'!$V$38)*(1 - 0.65)</f>
        <v>6.3443279498781777</v>
      </c>
      <c r="V38" s="13">
        <f>('TUSD BE'!$W$38+'TUSD BF'!$W$38+'TUSD CVA'!$W$38)*(1 - 0.65)</f>
        <v>0.54611226197816298</v>
      </c>
      <c r="W38" s="13">
        <f>('TUSD BE'!$X$38+'TUSD BF'!$X$38+'TUSD CVA'!$X$38)*(1 - 0.65)</f>
        <v>0</v>
      </c>
      <c r="X38" s="13">
        <f>('TUSD BE'!$Y$38+'TUSD BF'!$Y$38+'TUSD CVA'!$Y$38)*(1 - 0.65)</f>
        <v>0</v>
      </c>
      <c r="Y38" s="13">
        <f>('TUSD BE'!$Z$38+'TUSD BF'!$Z$38+'TUSD CVA'!$Z$38)*(1 - 0.65)</f>
        <v>0</v>
      </c>
      <c r="Z38" s="13">
        <f>('TUSD BE'!$AA$38+'TUSD BF'!$AA$38+'TUSD CVA'!$AA$38)*(1 - 0.65)</f>
        <v>0</v>
      </c>
      <c r="AA38" s="13">
        <f>('TUSD BE'!$AC$38+'TUSD BF'!$AC$38+'TUSD CVA'!$AC$38)*(1 - 0.65)</f>
        <v>119.40818377541287</v>
      </c>
      <c r="AB38" s="13">
        <f ca="1">('TUSD BE'!$AE$38+'TUSD BF'!$AE$38+'TUSD CVA'!$AE$38)*(1 - 0.65)</f>
        <v>-14.096598788056752</v>
      </c>
      <c r="AC38" s="13">
        <f ca="1">('TUSD BE'!$AF$38+'TUSD BF'!$AF$38+'TUSD CVA'!$AF$38)*(1 - 0.65)</f>
        <v>0</v>
      </c>
      <c r="AD38" s="13">
        <f>('TUSD BE'!$AH$38+'TUSD BF'!$AH$38+'TUSD CVA'!$AH$38)*(1 - 0.65)</f>
        <v>11.401918393993709</v>
      </c>
      <c r="AE38" s="13">
        <f>('TUSD BE'!$AI$38+'TUSD BF'!$AI$38+'TUSD CVA'!$AI$38)*(1 - 0.65)</f>
        <v>0.52721406496082979</v>
      </c>
      <c r="AF38" s="13">
        <f ca="1">('TUSD BE'!$AJ$38+'TUSD BF'!$AJ$38+'TUSD CVA'!$AJ$38)*(1 - 0.65)</f>
        <v>11.01489141372975</v>
      </c>
      <c r="AG38" s="13">
        <f ca="1">('TUSD BE'!$AK$38+'TUSD BF'!$AK$38+'TUSD CVA'!$AK$38)*(1 - 0.65)</f>
        <v>4.028955393081203</v>
      </c>
      <c r="AI38" s="13">
        <v>0</v>
      </c>
      <c r="AJ38" s="13">
        <v>0.40590605343167302</v>
      </c>
      <c r="AK38" s="13">
        <v>1.4948484880391599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3.8321743000136501</v>
      </c>
      <c r="AR38" s="13">
        <v>4.9142176591573898</v>
      </c>
      <c r="AS38" s="13">
        <v>0.42724689974760499</v>
      </c>
      <c r="AT38" s="13">
        <v>0</v>
      </c>
      <c r="AU38" s="13">
        <v>0</v>
      </c>
      <c r="AV38" s="13">
        <v>0</v>
      </c>
      <c r="AW38" s="13">
        <v>0</v>
      </c>
      <c r="AX38" s="13">
        <v>112.134806454414</v>
      </c>
      <c r="AY38" s="13">
        <v>0</v>
      </c>
      <c r="AZ38" s="13">
        <v>0</v>
      </c>
      <c r="BA38" s="13">
        <v>7.3904703187999301</v>
      </c>
      <c r="BB38" s="13">
        <v>0.31556539449244903</v>
      </c>
      <c r="BC38" s="13">
        <v>7.30392464835941</v>
      </c>
      <c r="BD38" s="13">
        <v>3.2234152037902701</v>
      </c>
    </row>
    <row r="39" spans="1:56" ht="11.25" customHeight="1" x14ac:dyDescent="0.25">
      <c r="A39" s="107"/>
      <c r="B39" s="107"/>
      <c r="C39" s="107"/>
      <c r="D39" s="17" t="s">
        <v>32</v>
      </c>
      <c r="E39" s="17" t="s">
        <v>25</v>
      </c>
      <c r="F39" s="17" t="s">
        <v>25</v>
      </c>
      <c r="G39" s="18" t="s">
        <v>88</v>
      </c>
      <c r="H39" s="18" t="s">
        <v>82</v>
      </c>
      <c r="I39" s="18">
        <f>'MERCADO TUSD'!$U$36</f>
        <v>43669.588000000003</v>
      </c>
      <c r="J39" s="15"/>
      <c r="L39" s="13">
        <f>('TUSD BE'!$L$39+'TUSD BF'!$L$39+'TUSD CVA'!$L$39)*(1 - 0.4)</f>
        <v>0</v>
      </c>
      <c r="M39" s="13">
        <f>('TUSD BE'!$M$39+'TUSD BF'!$M$39+'TUSD CVA'!$M$39)*(1 - 0.4)</f>
        <v>0.73990100796342995</v>
      </c>
      <c r="N39" s="13">
        <f ca="1">('TUSD BE'!$N$39+'TUSD BF'!$N$39+'TUSD CVA'!$N$39)*(1 - 0.4)</f>
        <v>2.8229858512444443</v>
      </c>
      <c r="O39" s="13">
        <f>('TUSD BE'!$O$39+'TUSD BF'!$O$39+'TUSD CVA'!$O$39)*(1 - 0.4)</f>
        <v>0</v>
      </c>
      <c r="P39" s="13">
        <v>0</v>
      </c>
      <c r="Q39" s="13">
        <f>('TUSD BE'!$Q$39+'TUSD BF'!$Q$39+'TUSD CVA'!$Q$39)*(1 - 0.4)</f>
        <v>0</v>
      </c>
      <c r="R39" s="13">
        <v>0</v>
      </c>
      <c r="S39" s="13">
        <f>('TUSD BE'!$S$39+'TUSD BF'!$S$39+'TUSD CVA'!$S$39)*(1 - 0.4)</f>
        <v>0</v>
      </c>
      <c r="T39" s="13">
        <f>('TUSD BE'!$U$39+'TUSD BF'!$U$39+'TUSD CVA'!$U$39)*(1 - 0.4)</f>
        <v>9.9557564180570335</v>
      </c>
      <c r="U39" s="13">
        <f>('TUSD BE'!$V$39+'TUSD BF'!$V$39+'TUSD CVA'!$V$39)*(1 - 0.4)</f>
        <v>10.875990771219733</v>
      </c>
      <c r="V39" s="13">
        <f>('TUSD BE'!$W$39+'TUSD BF'!$W$39+'TUSD CVA'!$W$39)*(1 - 0.4)</f>
        <v>0.93619244910542232</v>
      </c>
      <c r="W39" s="13">
        <f>('TUSD BE'!$X$39+'TUSD BF'!$X$39+'TUSD CVA'!$X$39)*(1 - 0.4)</f>
        <v>0</v>
      </c>
      <c r="X39" s="13">
        <f>('TUSD BE'!$Y$39+'TUSD BF'!$Y$39+'TUSD CVA'!$Y$39)*(1 - 0.4)</f>
        <v>0</v>
      </c>
      <c r="Y39" s="13">
        <f>('TUSD BE'!$Z$39+'TUSD BF'!$Z$39+'TUSD CVA'!$Z$39)*(1 - 0.4)</f>
        <v>0</v>
      </c>
      <c r="Z39" s="13">
        <f>('TUSD BE'!$AA$39+'TUSD BF'!$AA$39+'TUSD CVA'!$AA$39)*(1 - 0.4)</f>
        <v>0</v>
      </c>
      <c r="AA39" s="13">
        <f>('TUSD BE'!$AC$39+'TUSD BF'!$AC$39+'TUSD CVA'!$AC$39)*(1 - 0.4)</f>
        <v>204.69974361499351</v>
      </c>
      <c r="AB39" s="13">
        <f ca="1">('TUSD BE'!$AE$39+'TUSD BF'!$AE$39+'TUSD CVA'!$AE$39)*(1 - 0.4)</f>
        <v>-24.165597922383007</v>
      </c>
      <c r="AC39" s="13">
        <f ca="1">('TUSD BE'!$AF$39+'TUSD BF'!$AF$39+'TUSD CVA'!$AF$39)*(1 - 0.4)</f>
        <v>0</v>
      </c>
      <c r="AD39" s="13">
        <f>('TUSD BE'!$AH$39+'TUSD BF'!$AH$39+'TUSD CVA'!$AH$39)*(1 - 0.4)</f>
        <v>19.54614581827493</v>
      </c>
      <c r="AE39" s="13">
        <f>('TUSD BE'!$AI$39+'TUSD BF'!$AI$39+'TUSD CVA'!$AI$39)*(1 - 0.4)</f>
        <v>0.90379553993285111</v>
      </c>
      <c r="AF39" s="13">
        <f ca="1">('TUSD BE'!$AJ$39+'TUSD BF'!$AJ$39+'TUSD CVA'!$AJ$39)*(1 - 0.4)</f>
        <v>18.882670994965284</v>
      </c>
      <c r="AG39" s="13">
        <f ca="1">('TUSD BE'!$AK$39+'TUSD BF'!$AK$39+'TUSD CVA'!$AK$39)*(1 - 0.4)</f>
        <v>6.9067806738534907</v>
      </c>
      <c r="AI39" s="13">
        <v>0</v>
      </c>
      <c r="AJ39" s="13">
        <v>0.69583894874000995</v>
      </c>
      <c r="AK39" s="13">
        <v>2.5625974080671199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6.5694416571662604</v>
      </c>
      <c r="AR39" s="13">
        <v>8.4243731299840992</v>
      </c>
      <c r="AS39" s="13">
        <v>0.73242325671018005</v>
      </c>
      <c r="AT39" s="13">
        <v>0</v>
      </c>
      <c r="AU39" s="13">
        <v>0</v>
      </c>
      <c r="AV39" s="13">
        <v>0</v>
      </c>
      <c r="AW39" s="13">
        <v>0</v>
      </c>
      <c r="AX39" s="13">
        <v>192.23109677899501</v>
      </c>
      <c r="AY39" s="13">
        <v>0</v>
      </c>
      <c r="AZ39" s="13">
        <v>0</v>
      </c>
      <c r="BA39" s="13">
        <v>12.6693776893713</v>
      </c>
      <c r="BB39" s="13">
        <v>0.54096924770134203</v>
      </c>
      <c r="BC39" s="13">
        <v>12.5210136829019</v>
      </c>
      <c r="BD39" s="13">
        <v>5.5258546350690301</v>
      </c>
    </row>
    <row r="40" spans="1:56" ht="11.25" customHeight="1" x14ac:dyDescent="0.25">
      <c r="A40" s="107"/>
      <c r="B40" s="107"/>
      <c r="C40" s="107"/>
      <c r="D40" s="17" t="s">
        <v>33</v>
      </c>
      <c r="E40" s="17" t="s">
        <v>25</v>
      </c>
      <c r="F40" s="17" t="s">
        <v>25</v>
      </c>
      <c r="G40" s="18" t="s">
        <v>88</v>
      </c>
      <c r="H40" s="18" t="s">
        <v>82</v>
      </c>
      <c r="I40" s="18">
        <f>'MERCADO TUSD'!$U$37</f>
        <v>35563.447</v>
      </c>
      <c r="J40" s="15"/>
      <c r="L40" s="13">
        <f>('TUSD BE'!$L$40+'TUSD BF'!$L$40+'TUSD CVA'!$L$40)*(1 - 0.1)</f>
        <v>0</v>
      </c>
      <c r="M40" s="13">
        <f>('TUSD BE'!$M$40+'TUSD BF'!$M$40+'TUSD CVA'!$M$40)*(1 - 0.1)</f>
        <v>1.1098515119451451</v>
      </c>
      <c r="N40" s="13">
        <f ca="1">('TUSD BE'!$N$40+'TUSD BF'!$N$40+'TUSD CVA'!$N$40)*(1 - 0.1)</f>
        <v>4.2344787768666672</v>
      </c>
      <c r="O40" s="13">
        <f>('TUSD BE'!$O$40+'TUSD BF'!$O$40+'TUSD CVA'!$O$40)*(1 - 0.1)</f>
        <v>0</v>
      </c>
      <c r="P40" s="13">
        <v>0</v>
      </c>
      <c r="Q40" s="13">
        <f>('TUSD BE'!$Q$40+'TUSD BF'!$Q$40+'TUSD CVA'!$Q$40)*(1 - 0.1)</f>
        <v>0</v>
      </c>
      <c r="R40" s="13">
        <v>0</v>
      </c>
      <c r="S40" s="13">
        <f>('TUSD BE'!$S$40+'TUSD BF'!$S$40+'TUSD CVA'!$S$40)*(1 - 0.1)</f>
        <v>0</v>
      </c>
      <c r="T40" s="13">
        <f>('TUSD BE'!$U$40+'TUSD BF'!$U$40+'TUSD CVA'!$U$40)*(1 - 0.1)</f>
        <v>14.933634627085553</v>
      </c>
      <c r="U40" s="13">
        <f>('TUSD BE'!$V$40+'TUSD BF'!$V$40+'TUSD CVA'!$V$40)*(1 - 0.1)</f>
        <v>16.3139861568296</v>
      </c>
      <c r="V40" s="13">
        <f>('TUSD BE'!$W$40+'TUSD BF'!$W$40+'TUSD CVA'!$W$40)*(1 - 0.1)</f>
        <v>1.4042886736581337</v>
      </c>
      <c r="W40" s="13">
        <f>('TUSD BE'!$X$40+'TUSD BF'!$X$40+'TUSD CVA'!$X$40)*(1 - 0.1)</f>
        <v>0</v>
      </c>
      <c r="X40" s="13">
        <f>('TUSD BE'!$Y$40+'TUSD BF'!$Y$40+'TUSD CVA'!$Y$40)*(1 - 0.1)</f>
        <v>0</v>
      </c>
      <c r="Y40" s="13">
        <f>('TUSD BE'!$Z$40+'TUSD BF'!$Z$40+'TUSD CVA'!$Z$40)*(1 - 0.1)</f>
        <v>0</v>
      </c>
      <c r="Z40" s="13">
        <f>('TUSD BE'!$AA$40+'TUSD BF'!$AA$40+'TUSD CVA'!$AA$40)*(1 - 0.1)</f>
        <v>0</v>
      </c>
      <c r="AA40" s="13">
        <f>('TUSD BE'!$AC$40+'TUSD BF'!$AC$40+'TUSD CVA'!$AC$40)*(1 - 0.1)</f>
        <v>307.04961542249026</v>
      </c>
      <c r="AB40" s="13">
        <f ca="1">('TUSD BE'!$AE$40+'TUSD BF'!$AE$40+'TUSD CVA'!$AE$40)*(1 - 0.1)</f>
        <v>-36.248396883574515</v>
      </c>
      <c r="AC40" s="13">
        <f ca="1">('TUSD BE'!$AF$40+'TUSD BF'!$AF$40+'TUSD CVA'!$AF$40)*(1 - 0.1)</f>
        <v>0</v>
      </c>
      <c r="AD40" s="13">
        <f>('TUSD BE'!$AH$40+'TUSD BF'!$AH$40+'TUSD CVA'!$AH$40)*(1 - 0.1)</f>
        <v>29.319218727412395</v>
      </c>
      <c r="AE40" s="13">
        <f>('TUSD BE'!$AI$40+'TUSD BF'!$AI$40+'TUSD CVA'!$AI$40)*(1 - 0.1)</f>
        <v>1.3556933098992767</v>
      </c>
      <c r="AF40" s="13">
        <f ca="1">('TUSD BE'!$AJ$40+'TUSD BF'!$AJ$40+'TUSD CVA'!$AJ$40)*(1 - 0.1)</f>
        <v>28.324006492447928</v>
      </c>
      <c r="AG40" s="13">
        <f ca="1">('TUSD BE'!$AK$40+'TUSD BF'!$AK$40+'TUSD CVA'!$AK$40)*(1 - 0.1)</f>
        <v>10.360171010780237</v>
      </c>
      <c r="AI40" s="13">
        <v>0</v>
      </c>
      <c r="AJ40" s="13">
        <v>1.0437584231100201</v>
      </c>
      <c r="AK40" s="13">
        <v>3.84389611210069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9.8541624857494003</v>
      </c>
      <c r="AR40" s="13">
        <v>12.636559694976199</v>
      </c>
      <c r="AS40" s="13">
        <v>1.0986348850652701</v>
      </c>
      <c r="AT40" s="13">
        <v>0</v>
      </c>
      <c r="AU40" s="13">
        <v>0</v>
      </c>
      <c r="AV40" s="13">
        <v>0</v>
      </c>
      <c r="AW40" s="13">
        <v>0</v>
      </c>
      <c r="AX40" s="13">
        <v>288.34664516849301</v>
      </c>
      <c r="AY40" s="13">
        <v>0</v>
      </c>
      <c r="AZ40" s="13">
        <v>0</v>
      </c>
      <c r="BA40" s="13">
        <v>19.004066534056999</v>
      </c>
      <c r="BB40" s="13">
        <v>0.81145387155201298</v>
      </c>
      <c r="BC40" s="13">
        <v>18.7815205243528</v>
      </c>
      <c r="BD40" s="13">
        <v>8.28878195260355</v>
      </c>
    </row>
    <row r="41" spans="1:56" ht="11.25" customHeight="1" x14ac:dyDescent="0.25">
      <c r="A41" s="107"/>
      <c r="B41" s="107"/>
      <c r="C41" s="107"/>
      <c r="D41" s="17" t="s">
        <v>34</v>
      </c>
      <c r="E41" s="17" t="s">
        <v>25</v>
      </c>
      <c r="F41" s="17" t="s">
        <v>25</v>
      </c>
      <c r="G41" s="18" t="s">
        <v>88</v>
      </c>
      <c r="H41" s="18" t="s">
        <v>82</v>
      </c>
      <c r="I41" s="18">
        <f>'MERCADO TUSD'!$U$38</f>
        <v>18122.502</v>
      </c>
      <c r="J41" s="15"/>
      <c r="L41" s="13">
        <f>('TUSD BE'!$L$41+'TUSD BF'!$L$41+'TUSD CVA'!$L$41)*1</f>
        <v>0</v>
      </c>
      <c r="M41" s="13">
        <f>('TUSD BE'!$M$41+'TUSD BF'!$M$41+'TUSD CVA'!$M$41)*1</f>
        <v>1.2331683466057166</v>
      </c>
      <c r="N41" s="13">
        <f ca="1">('TUSD BE'!$N$41+'TUSD BF'!$N$41+'TUSD CVA'!$N$41)*1</f>
        <v>4.704976418740741</v>
      </c>
      <c r="O41" s="13">
        <f>('TUSD BE'!$O$41+'TUSD BF'!$O$41+'TUSD CVA'!$O$41)*1</f>
        <v>0</v>
      </c>
      <c r="P41" s="13">
        <v>0</v>
      </c>
      <c r="Q41" s="13">
        <f>('TUSD BE'!$Q$41+'TUSD BF'!$Q$41+'TUSD CVA'!$Q$41)*1</f>
        <v>0</v>
      </c>
      <c r="R41" s="13">
        <v>0</v>
      </c>
      <c r="S41" s="13">
        <f>('TUSD BE'!$S$41+'TUSD BF'!$S$41+'TUSD CVA'!$S$41)*1</f>
        <v>0</v>
      </c>
      <c r="T41" s="13">
        <f>('TUSD BE'!$U$41+'TUSD BF'!$U$41+'TUSD CVA'!$U$41)*1</f>
        <v>16.592927363428391</v>
      </c>
      <c r="U41" s="13">
        <f>('TUSD BE'!$V$41+'TUSD BF'!$V$41+'TUSD CVA'!$V$41)*1</f>
        <v>18.126651285366222</v>
      </c>
      <c r="V41" s="13">
        <f>('TUSD BE'!$W$41+'TUSD BF'!$W$41+'TUSD CVA'!$W$41)*1</f>
        <v>1.5603207485090373</v>
      </c>
      <c r="W41" s="13">
        <f>('TUSD BE'!$X$41+'TUSD BF'!$X$41+'TUSD CVA'!$X$41)*1</f>
        <v>0</v>
      </c>
      <c r="X41" s="13">
        <f>('TUSD BE'!$Y$41+'TUSD BF'!$Y$41+'TUSD CVA'!$Y$41)*1</f>
        <v>0</v>
      </c>
      <c r="Y41" s="13">
        <f>('TUSD BE'!$Z$41+'TUSD BF'!$Z$41+'TUSD CVA'!$Z$41)*1</f>
        <v>0</v>
      </c>
      <c r="Z41" s="13">
        <f>('TUSD BE'!$AA$41+'TUSD BF'!$AA$41+'TUSD CVA'!$AA$41)*1</f>
        <v>0</v>
      </c>
      <c r="AA41" s="13">
        <f>('TUSD BE'!$AC$41+'TUSD BF'!$AC$41+'TUSD CVA'!$AC$41)*1</f>
        <v>341.16623935832251</v>
      </c>
      <c r="AB41" s="13">
        <f ca="1">('TUSD BE'!$AE$41+'TUSD BF'!$AE$41+'TUSD CVA'!$AE$41)*1</f>
        <v>-40.275996537305012</v>
      </c>
      <c r="AC41" s="13">
        <f ca="1">('TUSD BE'!$AF$41+'TUSD BF'!$AF$41+'TUSD CVA'!$AF$41)*1</f>
        <v>0</v>
      </c>
      <c r="AD41" s="13">
        <f>('TUSD BE'!$AH$41+'TUSD BF'!$AH$41+'TUSD CVA'!$AH$41)*1</f>
        <v>32.576909697124883</v>
      </c>
      <c r="AE41" s="13">
        <f>('TUSD BE'!$AI$41+'TUSD BF'!$AI$41+'TUSD CVA'!$AI$41)*1</f>
        <v>1.5063258998880853</v>
      </c>
      <c r="AF41" s="13">
        <f ca="1">('TUSD BE'!$AJ$41+'TUSD BF'!$AJ$41+'TUSD CVA'!$AJ$41)*1</f>
        <v>31.471118324942143</v>
      </c>
      <c r="AG41" s="13">
        <f ca="1">('TUSD BE'!$AK$41+'TUSD BF'!$AK$41+'TUSD CVA'!$AK$41)*1</f>
        <v>11.511301123089151</v>
      </c>
      <c r="AI41" s="13">
        <v>0</v>
      </c>
      <c r="AJ41" s="13">
        <v>1.15973158123335</v>
      </c>
      <c r="AK41" s="13">
        <v>4.27099568011187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10.9490694286104</v>
      </c>
      <c r="AR41" s="13">
        <v>14.0406218833068</v>
      </c>
      <c r="AS41" s="13">
        <v>1.2207054278503</v>
      </c>
      <c r="AT41" s="13">
        <v>0</v>
      </c>
      <c r="AU41" s="13">
        <v>0</v>
      </c>
      <c r="AV41" s="13">
        <v>0</v>
      </c>
      <c r="AW41" s="13">
        <v>0</v>
      </c>
      <c r="AX41" s="13">
        <v>320.38516129832499</v>
      </c>
      <c r="AY41" s="13">
        <v>0</v>
      </c>
      <c r="AZ41" s="13">
        <v>0</v>
      </c>
      <c r="BA41" s="13">
        <v>21.115629482285499</v>
      </c>
      <c r="BB41" s="13">
        <v>0.90161541283557001</v>
      </c>
      <c r="BC41" s="13">
        <v>20.868356138169801</v>
      </c>
      <c r="BD41" s="13">
        <v>9.2097577251150504</v>
      </c>
    </row>
    <row r="42" spans="1:56" ht="11.25" customHeight="1" x14ac:dyDescent="0.25">
      <c r="A42" s="107"/>
      <c r="B42" s="107" t="s">
        <v>100</v>
      </c>
      <c r="C42" s="107" t="s">
        <v>24</v>
      </c>
      <c r="D42" s="17" t="s">
        <v>24</v>
      </c>
      <c r="E42" s="17" t="s">
        <v>25</v>
      </c>
      <c r="F42" s="17" t="s">
        <v>25</v>
      </c>
      <c r="G42" s="18" t="s">
        <v>88</v>
      </c>
      <c r="H42" s="18" t="s">
        <v>82</v>
      </c>
      <c r="I42" s="18">
        <f>'MERCADO TUSD'!$U$39</f>
        <v>0</v>
      </c>
      <c r="J42" s="15"/>
      <c r="L42" s="13">
        <f>('TUSD BE'!$L$42+'TUSD BF'!$L$42+'TUSD CVA'!$L$42)*1</f>
        <v>20.102109782687823</v>
      </c>
      <c r="M42" s="13">
        <f>('TUSD BE'!$M$42+'TUSD BF'!$M$42+'TUSD CVA'!$M$42)*1</f>
        <v>1.2331683466057166</v>
      </c>
      <c r="N42" s="13">
        <f ca="1">('TUSD BE'!$N$42+'TUSD BF'!$N$42+'TUSD CVA'!$N$42)*1</f>
        <v>4.7164501750797321</v>
      </c>
      <c r="O42" s="13">
        <f>('TUSD BE'!$O$42+'TUSD BF'!$O$42+'TUSD CVA'!$O$42)*1</f>
        <v>0</v>
      </c>
      <c r="P42" s="13">
        <f>('TUSD BE'!$P$42+'TUSD BF'!$P$42+'TUSD CVA'!$P$42)*1</f>
        <v>0</v>
      </c>
      <c r="Q42" s="13">
        <f>('TUSD BE'!$Q$42+'TUSD BF'!$Q$42+'TUSD CVA'!$Q$42)*1</f>
        <v>49.965739584460493</v>
      </c>
      <c r="R42" s="13">
        <f>('TUSD BE'!$R$42+'TUSD BF'!$R$42+'TUSD CVA'!$R$42)*1</f>
        <v>18.494598327475543</v>
      </c>
      <c r="S42" s="13">
        <f>('TUSD BE'!$S$42+'TUSD BF'!$S$42+'TUSD CVA'!$S$42)*1</f>
        <v>0</v>
      </c>
      <c r="T42" s="13">
        <f>('TUSD BE'!$U$42+'TUSD BF'!$U$42+'TUSD CVA'!$U$42)*1</f>
        <v>16.592927363428391</v>
      </c>
      <c r="U42" s="13">
        <f>('TUSD BE'!$V$42+'TUSD BF'!$V$42+'TUSD CVA'!$V$42)*1</f>
        <v>18.126651285366222</v>
      </c>
      <c r="V42" s="13">
        <f>('TUSD BE'!$W$42+'TUSD BF'!$W$42+'TUSD CVA'!$W$42)*1</f>
        <v>1.5603207485090373</v>
      </c>
      <c r="W42" s="13">
        <f>('TUSD BE'!$X$42+'TUSD BF'!$X$42+'TUSD CVA'!$X$42)*1</f>
        <v>0</v>
      </c>
      <c r="X42" s="13">
        <f>('TUSD BE'!$Y$42+'TUSD BF'!$Y$42+'TUSD CVA'!$Y$42)*1</f>
        <v>0</v>
      </c>
      <c r="Y42" s="13">
        <f>('TUSD BE'!$Z$42+'TUSD BF'!$Z$42+'TUSD CVA'!$Z$42)*1</f>
        <v>0</v>
      </c>
      <c r="Z42" s="13">
        <f>('TUSD BE'!$AA$42+'TUSD BF'!$AA$42+'TUSD CVA'!$AA$42)*1</f>
        <v>0</v>
      </c>
      <c r="AA42" s="13">
        <f>('TUSD BE'!$AC$42+'TUSD BF'!$AC$42+'TUSD CVA'!$AC$42)*1</f>
        <v>341.16623935832251</v>
      </c>
      <c r="AB42" s="13">
        <f ca="1">('TUSD BE'!$AE$42+'TUSD BF'!$AE$42+'TUSD CVA'!$AE$42)*1</f>
        <v>-46.804090771278901</v>
      </c>
      <c r="AC42" s="13">
        <f ca="1">('TUSD BE'!$AF$42+'TUSD BF'!$AF$42+'TUSD CVA'!$AF$42)*1</f>
        <v>0</v>
      </c>
      <c r="AD42" s="13">
        <f>('TUSD BE'!$AH$42+'TUSD BF'!$AH$42+'TUSD CVA'!$AH$42)*1</f>
        <v>32.576909697124883</v>
      </c>
      <c r="AE42" s="13">
        <f>('TUSD BE'!$AI$42+'TUSD BF'!$AI$42+'TUSD CVA'!$AI$42)*1</f>
        <v>1.5063258998880853</v>
      </c>
      <c r="AF42" s="13">
        <f ca="1">('TUSD BE'!$AJ$42+'TUSD BF'!$AJ$42+'TUSD CVA'!$AJ$42)*1</f>
        <v>31.471118324942143</v>
      </c>
      <c r="AG42" s="13">
        <f ca="1">('TUSD BE'!$AK$42+'TUSD BF'!$AK$42+'TUSD CVA'!$AK$42)*1</f>
        <v>11.511301123089151</v>
      </c>
      <c r="AI42" s="13">
        <v>22.703520630267001</v>
      </c>
      <c r="AJ42" s="13">
        <v>1.15973158123335</v>
      </c>
      <c r="AK42" s="13">
        <v>4.2816146248500901</v>
      </c>
      <c r="AL42" s="13">
        <v>0</v>
      </c>
      <c r="AM42" s="13">
        <v>0</v>
      </c>
      <c r="AN42" s="13">
        <v>25.587858825753401</v>
      </c>
      <c r="AO42" s="13">
        <v>11.1804067417987</v>
      </c>
      <c r="AP42" s="13">
        <v>0</v>
      </c>
      <c r="AQ42" s="13">
        <v>10.9490694286104</v>
      </c>
      <c r="AR42" s="13">
        <v>14.0406218833068</v>
      </c>
      <c r="AS42" s="13">
        <v>1.2207054278503</v>
      </c>
      <c r="AT42" s="13">
        <v>0</v>
      </c>
      <c r="AU42" s="13">
        <v>0</v>
      </c>
      <c r="AV42" s="13">
        <v>0</v>
      </c>
      <c r="AW42" s="13">
        <v>0</v>
      </c>
      <c r="AX42" s="13">
        <v>320.38516129832499</v>
      </c>
      <c r="AY42" s="13">
        <v>0</v>
      </c>
      <c r="AZ42" s="13">
        <v>0</v>
      </c>
      <c r="BA42" s="13">
        <v>21.115629482285499</v>
      </c>
      <c r="BB42" s="13">
        <v>0.90161541283557001</v>
      </c>
      <c r="BC42" s="13">
        <v>20.868356138169801</v>
      </c>
      <c r="BD42" s="13">
        <v>9.2097577251150504</v>
      </c>
    </row>
    <row r="43" spans="1:56" ht="11.25" customHeight="1" x14ac:dyDescent="0.25">
      <c r="A43" s="107"/>
      <c r="B43" s="107"/>
      <c r="C43" s="107"/>
      <c r="D43" s="17" t="s">
        <v>31</v>
      </c>
      <c r="E43" s="17" t="s">
        <v>25</v>
      </c>
      <c r="F43" s="17" t="s">
        <v>25</v>
      </c>
      <c r="G43" s="18" t="s">
        <v>88</v>
      </c>
      <c r="H43" s="18" t="s">
        <v>82</v>
      </c>
      <c r="I43" s="18">
        <f>'MERCADO TUSD'!$U$40</f>
        <v>0</v>
      </c>
      <c r="J43" s="15"/>
      <c r="L43" s="13">
        <f>('TUSD BE'!$L$43+'TUSD BF'!$L$43+'TUSD CVA'!$L$43)*(1 - 0.65)</f>
        <v>0</v>
      </c>
      <c r="M43" s="13">
        <f>('TUSD BE'!$M$43+'TUSD BF'!$M$43+'TUSD CVA'!$M$43)*(1 - 0.65)</f>
        <v>0.43160892131200079</v>
      </c>
      <c r="N43" s="13">
        <f ca="1">('TUSD BE'!$N$43+'TUSD BF'!$N$43+'TUSD CVA'!$N$43)*(1 - 0.65)</f>
        <v>1.6467417465592593</v>
      </c>
      <c r="O43" s="13">
        <f>('TUSD BE'!$O$43+'TUSD BF'!$O$43+'TUSD CVA'!$O$43)*(1 - 0.65)</f>
        <v>0</v>
      </c>
      <c r="P43" s="13">
        <v>0</v>
      </c>
      <c r="Q43" s="13">
        <f>('TUSD BE'!$Q$43+'TUSD BF'!$Q$43+'TUSD CVA'!$Q$43)*(1 - 0.65)</f>
        <v>0</v>
      </c>
      <c r="R43" s="13">
        <v>0</v>
      </c>
      <c r="S43" s="13">
        <f>('TUSD BE'!$S$43+'TUSD BF'!$S$43+'TUSD CVA'!$S$43)*(1 - 0.65)</f>
        <v>0</v>
      </c>
      <c r="T43" s="13">
        <f>('TUSD BE'!$U$43+'TUSD BF'!$U$43+'TUSD CVA'!$U$43)*(1 - 0.65)</f>
        <v>5.8075245771999366</v>
      </c>
      <c r="U43" s="13">
        <f>('TUSD BE'!$V$43+'TUSD BF'!$V$43+'TUSD CVA'!$V$43)*(1 - 0.65)</f>
        <v>6.3443279498781777</v>
      </c>
      <c r="V43" s="13">
        <f>('TUSD BE'!$W$43+'TUSD BF'!$W$43+'TUSD CVA'!$W$43)*(1 - 0.65)</f>
        <v>0.54611226197816298</v>
      </c>
      <c r="W43" s="13">
        <f>('TUSD BE'!$X$43+'TUSD BF'!$X$43+'TUSD CVA'!$X$43)*(1 - 0.65)</f>
        <v>0</v>
      </c>
      <c r="X43" s="13">
        <f>('TUSD BE'!$Y$43+'TUSD BF'!$Y$43+'TUSD CVA'!$Y$43)*(1 - 0.65)</f>
        <v>0</v>
      </c>
      <c r="Y43" s="13">
        <f>('TUSD BE'!$Z$43+'TUSD BF'!$Z$43+'TUSD CVA'!$Z$43)*(1 - 0.65)</f>
        <v>0</v>
      </c>
      <c r="Z43" s="13">
        <f>('TUSD BE'!$AA$43+'TUSD BF'!$AA$43+'TUSD CVA'!$AA$43)*(1 - 0.65)</f>
        <v>0</v>
      </c>
      <c r="AA43" s="13">
        <f>('TUSD BE'!$AC$43+'TUSD BF'!$AC$43+'TUSD CVA'!$AC$43)*(1 - 0.65)</f>
        <v>119.40818377541287</v>
      </c>
      <c r="AB43" s="13">
        <f ca="1">('TUSD BE'!$AE$43+'TUSD BF'!$AE$43+'TUSD CVA'!$AE$43)*(1 - 0.65)</f>
        <v>-14.096598788056752</v>
      </c>
      <c r="AC43" s="13">
        <f ca="1">('TUSD BE'!$AF$43+'TUSD BF'!$AF$43+'TUSD CVA'!$AF$43)*(1 - 0.65)</f>
        <v>0</v>
      </c>
      <c r="AD43" s="13">
        <f>('TUSD BE'!$AH$43+'TUSD BF'!$AH$43+'TUSD CVA'!$AH$43)*(1 - 0.65)</f>
        <v>11.401918393993709</v>
      </c>
      <c r="AE43" s="13">
        <f>('TUSD BE'!$AI$43+'TUSD BF'!$AI$43+'TUSD CVA'!$AI$43)*(1 - 0.65)</f>
        <v>0.52721406496082979</v>
      </c>
      <c r="AF43" s="13">
        <f ca="1">('TUSD BE'!$AJ$43+'TUSD BF'!$AJ$43+'TUSD CVA'!$AJ$43)*(1 - 0.65)</f>
        <v>11.01489141372975</v>
      </c>
      <c r="AG43" s="13">
        <f ca="1">('TUSD BE'!$AK$43+'TUSD BF'!$AK$43+'TUSD CVA'!$AK$43)*(1 - 0.65)</f>
        <v>4.028955393081203</v>
      </c>
      <c r="AI43" s="13">
        <v>0</v>
      </c>
      <c r="AJ43" s="13">
        <v>0.40590605343167302</v>
      </c>
      <c r="AK43" s="13">
        <v>1.4948484880391599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3.8321743000136501</v>
      </c>
      <c r="AR43" s="13">
        <v>4.9142176591573898</v>
      </c>
      <c r="AS43" s="13">
        <v>0.42724689974760499</v>
      </c>
      <c r="AT43" s="13">
        <v>0</v>
      </c>
      <c r="AU43" s="13">
        <v>0</v>
      </c>
      <c r="AV43" s="13">
        <v>0</v>
      </c>
      <c r="AW43" s="13">
        <v>0</v>
      </c>
      <c r="AX43" s="13">
        <v>112.134806454414</v>
      </c>
      <c r="AY43" s="13">
        <v>0</v>
      </c>
      <c r="AZ43" s="13">
        <v>0</v>
      </c>
      <c r="BA43" s="13">
        <v>7.3904703187999301</v>
      </c>
      <c r="BB43" s="13">
        <v>0.31556539449244903</v>
      </c>
      <c r="BC43" s="13">
        <v>7.30392464835941</v>
      </c>
      <c r="BD43" s="13">
        <v>3.2234152037902701</v>
      </c>
    </row>
    <row r="44" spans="1:56" ht="11.25" customHeight="1" x14ac:dyDescent="0.25">
      <c r="A44" s="107"/>
      <c r="B44" s="107"/>
      <c r="C44" s="107"/>
      <c r="D44" s="17" t="s">
        <v>32</v>
      </c>
      <c r="E44" s="17" t="s">
        <v>25</v>
      </c>
      <c r="F44" s="17" t="s">
        <v>25</v>
      </c>
      <c r="G44" s="18" t="s">
        <v>88</v>
      </c>
      <c r="H44" s="18" t="s">
        <v>82</v>
      </c>
      <c r="I44" s="18">
        <f>'MERCADO TUSD'!$U$41</f>
        <v>0</v>
      </c>
      <c r="J44" s="15"/>
      <c r="L44" s="13">
        <f>('TUSD BE'!$L$44+'TUSD BF'!$L$44+'TUSD CVA'!$L$44)*(1 - 0.4)</f>
        <v>0</v>
      </c>
      <c r="M44" s="13">
        <f>('TUSD BE'!$M$44+'TUSD BF'!$M$44+'TUSD CVA'!$M$44)*(1 - 0.4)</f>
        <v>0.73990100796342995</v>
      </c>
      <c r="N44" s="13">
        <f ca="1">('TUSD BE'!$N$44+'TUSD BF'!$N$44+'TUSD CVA'!$N$44)*(1 - 0.4)</f>
        <v>2.8229858512444443</v>
      </c>
      <c r="O44" s="13">
        <f>('TUSD BE'!$O$44+'TUSD BF'!$O$44+'TUSD CVA'!$O$44)*(1 - 0.4)</f>
        <v>0</v>
      </c>
      <c r="P44" s="13">
        <v>0</v>
      </c>
      <c r="Q44" s="13">
        <f>('TUSD BE'!$Q$44+'TUSD BF'!$Q$44+'TUSD CVA'!$Q$44)*(1 - 0.4)</f>
        <v>0</v>
      </c>
      <c r="R44" s="13">
        <v>0</v>
      </c>
      <c r="S44" s="13">
        <f>('TUSD BE'!$S$44+'TUSD BF'!$S$44+'TUSD CVA'!$S$44)*(1 - 0.4)</f>
        <v>0</v>
      </c>
      <c r="T44" s="13">
        <f>('TUSD BE'!$U$44+'TUSD BF'!$U$44+'TUSD CVA'!$U$44)*(1 - 0.4)</f>
        <v>9.9557564180570335</v>
      </c>
      <c r="U44" s="13">
        <f>('TUSD BE'!$V$44+'TUSD BF'!$V$44+'TUSD CVA'!$V$44)*(1 - 0.4)</f>
        <v>10.875990771219733</v>
      </c>
      <c r="V44" s="13">
        <f>('TUSD BE'!$W$44+'TUSD BF'!$W$44+'TUSD CVA'!$W$44)*(1 - 0.4)</f>
        <v>0.93619244910542232</v>
      </c>
      <c r="W44" s="13">
        <f>('TUSD BE'!$X$44+'TUSD BF'!$X$44+'TUSD CVA'!$X$44)*(1 - 0.4)</f>
        <v>0</v>
      </c>
      <c r="X44" s="13">
        <f>('TUSD BE'!$Y$44+'TUSD BF'!$Y$44+'TUSD CVA'!$Y$44)*(1 - 0.4)</f>
        <v>0</v>
      </c>
      <c r="Y44" s="13">
        <f>('TUSD BE'!$Z$44+'TUSD BF'!$Z$44+'TUSD CVA'!$Z$44)*(1 - 0.4)</f>
        <v>0</v>
      </c>
      <c r="Z44" s="13">
        <f>('TUSD BE'!$AA$44+'TUSD BF'!$AA$44+'TUSD CVA'!$AA$44)*(1 - 0.4)</f>
        <v>0</v>
      </c>
      <c r="AA44" s="13">
        <f>('TUSD BE'!$AC$44+'TUSD BF'!$AC$44+'TUSD CVA'!$AC$44)*(1 - 0.4)</f>
        <v>204.69974361499351</v>
      </c>
      <c r="AB44" s="13">
        <f ca="1">('TUSD BE'!$AE$44+'TUSD BF'!$AE$44+'TUSD CVA'!$AE$44)*(1 - 0.4)</f>
        <v>-24.165597922383007</v>
      </c>
      <c r="AC44" s="13">
        <f ca="1">('TUSD BE'!$AF$44+'TUSD BF'!$AF$44+'TUSD CVA'!$AF$44)*(1 - 0.4)</f>
        <v>0</v>
      </c>
      <c r="AD44" s="13">
        <f>('TUSD BE'!$AH$44+'TUSD BF'!$AH$44+'TUSD CVA'!$AH$44)*(1 - 0.4)</f>
        <v>19.54614581827493</v>
      </c>
      <c r="AE44" s="13">
        <f>('TUSD BE'!$AI$44+'TUSD BF'!$AI$44+'TUSD CVA'!$AI$44)*(1 - 0.4)</f>
        <v>0.90379553993285111</v>
      </c>
      <c r="AF44" s="13">
        <f ca="1">('TUSD BE'!$AJ$44+'TUSD BF'!$AJ$44+'TUSD CVA'!$AJ$44)*(1 - 0.4)</f>
        <v>18.882670994965284</v>
      </c>
      <c r="AG44" s="13">
        <f ca="1">('TUSD BE'!$AK$44+'TUSD BF'!$AK$44+'TUSD CVA'!$AK$44)*(1 - 0.4)</f>
        <v>6.9067806738534907</v>
      </c>
      <c r="AI44" s="13">
        <v>0</v>
      </c>
      <c r="AJ44" s="13">
        <v>0.69583894874000995</v>
      </c>
      <c r="AK44" s="13">
        <v>2.5625974080671199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6.5694416571662604</v>
      </c>
      <c r="AR44" s="13">
        <v>8.4243731299840992</v>
      </c>
      <c r="AS44" s="13">
        <v>0.73242325671018005</v>
      </c>
      <c r="AT44" s="13">
        <v>0</v>
      </c>
      <c r="AU44" s="13">
        <v>0</v>
      </c>
      <c r="AV44" s="13">
        <v>0</v>
      </c>
      <c r="AW44" s="13">
        <v>0</v>
      </c>
      <c r="AX44" s="13">
        <v>192.23109677899501</v>
      </c>
      <c r="AY44" s="13">
        <v>0</v>
      </c>
      <c r="AZ44" s="13">
        <v>0</v>
      </c>
      <c r="BA44" s="13">
        <v>12.6693776893713</v>
      </c>
      <c r="BB44" s="13">
        <v>0.54096924770134203</v>
      </c>
      <c r="BC44" s="13">
        <v>12.5210136829019</v>
      </c>
      <c r="BD44" s="13">
        <v>5.5258546350690301</v>
      </c>
    </row>
    <row r="45" spans="1:56" ht="11.25" customHeight="1" x14ac:dyDescent="0.25">
      <c r="A45" s="107"/>
      <c r="B45" s="107"/>
      <c r="C45" s="107"/>
      <c r="D45" s="17" t="s">
        <v>33</v>
      </c>
      <c r="E45" s="17" t="s">
        <v>25</v>
      </c>
      <c r="F45" s="17" t="s">
        <v>25</v>
      </c>
      <c r="G45" s="18" t="s">
        <v>88</v>
      </c>
      <c r="H45" s="18" t="s">
        <v>82</v>
      </c>
      <c r="I45" s="18">
        <f>'MERCADO TUSD'!$U$42</f>
        <v>0</v>
      </c>
      <c r="J45" s="15"/>
      <c r="L45" s="13">
        <f>('TUSD BE'!$L$45+'TUSD BF'!$L$45+'TUSD CVA'!$L$45)*(1 - 0.1)</f>
        <v>0</v>
      </c>
      <c r="M45" s="13">
        <f>('TUSD BE'!$M$45+'TUSD BF'!$M$45+'TUSD CVA'!$M$45)*(1 - 0.1)</f>
        <v>1.1098515119451451</v>
      </c>
      <c r="N45" s="13">
        <f ca="1">('TUSD BE'!$N$45+'TUSD BF'!$N$45+'TUSD CVA'!$N$45)*(1 - 0.1)</f>
        <v>4.2344787768666672</v>
      </c>
      <c r="O45" s="13">
        <f>('TUSD BE'!$O$45+'TUSD BF'!$O$45+'TUSD CVA'!$O$45)*(1 - 0.1)</f>
        <v>0</v>
      </c>
      <c r="P45" s="13">
        <v>0</v>
      </c>
      <c r="Q45" s="13">
        <f>('TUSD BE'!$Q$45+'TUSD BF'!$Q$45+'TUSD CVA'!$Q$45)*(1 - 0.1)</f>
        <v>0</v>
      </c>
      <c r="R45" s="13">
        <v>0</v>
      </c>
      <c r="S45" s="13">
        <f>('TUSD BE'!$S$45+'TUSD BF'!$S$45+'TUSD CVA'!$S$45)*(1 - 0.1)</f>
        <v>0</v>
      </c>
      <c r="T45" s="13">
        <f>('TUSD BE'!$U$45+'TUSD BF'!$U$45+'TUSD CVA'!$U$45)*(1 - 0.1)</f>
        <v>14.933634627085553</v>
      </c>
      <c r="U45" s="13">
        <f>('TUSD BE'!$V$45+'TUSD BF'!$V$45+'TUSD CVA'!$V$45)*(1 - 0.1)</f>
        <v>16.3139861568296</v>
      </c>
      <c r="V45" s="13">
        <f>('TUSD BE'!$W$45+'TUSD BF'!$W$45+'TUSD CVA'!$W$45)*(1 - 0.1)</f>
        <v>1.4042886736581337</v>
      </c>
      <c r="W45" s="13">
        <f>('TUSD BE'!$X$45+'TUSD BF'!$X$45+'TUSD CVA'!$X$45)*(1 - 0.1)</f>
        <v>0</v>
      </c>
      <c r="X45" s="13">
        <f>('TUSD BE'!$Y$45+'TUSD BF'!$Y$45+'TUSD CVA'!$Y$45)*(1 - 0.1)</f>
        <v>0</v>
      </c>
      <c r="Y45" s="13">
        <f>('TUSD BE'!$Z$45+'TUSD BF'!$Z$45+'TUSD CVA'!$Z$45)*(1 - 0.1)</f>
        <v>0</v>
      </c>
      <c r="Z45" s="13">
        <f>('TUSD BE'!$AA$45+'TUSD BF'!$AA$45+'TUSD CVA'!$AA$45)*(1 - 0.1)</f>
        <v>0</v>
      </c>
      <c r="AA45" s="13">
        <f>('TUSD BE'!$AC$45+'TUSD BF'!$AC$45+'TUSD CVA'!$AC$45)*(1 - 0.1)</f>
        <v>307.04961542249026</v>
      </c>
      <c r="AB45" s="13">
        <f ca="1">('TUSD BE'!$AE$45+'TUSD BF'!$AE$45+'TUSD CVA'!$AE$45)*(1 - 0.1)</f>
        <v>-36.248396883574515</v>
      </c>
      <c r="AC45" s="13">
        <f ca="1">('TUSD BE'!$AF$45+'TUSD BF'!$AF$45+'TUSD CVA'!$AF$45)*(1 - 0.1)</f>
        <v>0</v>
      </c>
      <c r="AD45" s="13">
        <f>('TUSD BE'!$AH$45+'TUSD BF'!$AH$45+'TUSD CVA'!$AH$45)*(1 - 0.1)</f>
        <v>29.319218727412395</v>
      </c>
      <c r="AE45" s="13">
        <f>('TUSD BE'!$AI$45+'TUSD BF'!$AI$45+'TUSD CVA'!$AI$45)*(1 - 0.1)</f>
        <v>1.3556933098992767</v>
      </c>
      <c r="AF45" s="13">
        <f ca="1">('TUSD BE'!$AJ$45+'TUSD BF'!$AJ$45+'TUSD CVA'!$AJ$45)*(1 - 0.1)</f>
        <v>28.324006492447928</v>
      </c>
      <c r="AG45" s="13">
        <f ca="1">('TUSD BE'!$AK$45+'TUSD BF'!$AK$45+'TUSD CVA'!$AK$45)*(1 - 0.1)</f>
        <v>10.360171010780237</v>
      </c>
      <c r="AI45" s="13">
        <v>0</v>
      </c>
      <c r="AJ45" s="13">
        <v>1.0437584231100201</v>
      </c>
      <c r="AK45" s="13">
        <v>3.84389611210069</v>
      </c>
      <c r="AL45" s="13">
        <v>0</v>
      </c>
      <c r="AM45" s="13">
        <v>0</v>
      </c>
      <c r="AN45" s="13">
        <v>0</v>
      </c>
      <c r="AO45" s="13">
        <v>0</v>
      </c>
      <c r="AP45" s="13">
        <v>0</v>
      </c>
      <c r="AQ45" s="13">
        <v>9.8541624857494003</v>
      </c>
      <c r="AR45" s="13">
        <v>12.636559694976199</v>
      </c>
      <c r="AS45" s="13">
        <v>1.0986348850652701</v>
      </c>
      <c r="AT45" s="13">
        <v>0</v>
      </c>
      <c r="AU45" s="13">
        <v>0</v>
      </c>
      <c r="AV45" s="13">
        <v>0</v>
      </c>
      <c r="AW45" s="13">
        <v>0</v>
      </c>
      <c r="AX45" s="13">
        <v>288.34664516849301</v>
      </c>
      <c r="AY45" s="13">
        <v>0</v>
      </c>
      <c r="AZ45" s="13">
        <v>0</v>
      </c>
      <c r="BA45" s="13">
        <v>19.004066534056999</v>
      </c>
      <c r="BB45" s="13">
        <v>0.81145387155201298</v>
      </c>
      <c r="BC45" s="13">
        <v>18.7815205243528</v>
      </c>
      <c r="BD45" s="13">
        <v>8.28878195260355</v>
      </c>
    </row>
    <row r="46" spans="1:56" ht="11.25" customHeight="1" x14ac:dyDescent="0.25">
      <c r="A46" s="107"/>
      <c r="B46" s="107"/>
      <c r="C46" s="107"/>
      <c r="D46" s="17" t="s">
        <v>34</v>
      </c>
      <c r="E46" s="17" t="s">
        <v>25</v>
      </c>
      <c r="F46" s="17" t="s">
        <v>25</v>
      </c>
      <c r="G46" s="18" t="s">
        <v>88</v>
      </c>
      <c r="H46" s="18" t="s">
        <v>82</v>
      </c>
      <c r="I46" s="18">
        <f>'MERCADO TUSD'!$U$43</f>
        <v>0</v>
      </c>
      <c r="J46" s="15"/>
      <c r="L46" s="13">
        <f>('TUSD BE'!$L$46+'TUSD BF'!$L$46+'TUSD CVA'!$L$46)*1</f>
        <v>0</v>
      </c>
      <c r="M46" s="13">
        <f>('TUSD BE'!$M$46+'TUSD BF'!$M$46+'TUSD CVA'!$M$46)*1</f>
        <v>1.2331683466057166</v>
      </c>
      <c r="N46" s="13">
        <f ca="1">('TUSD BE'!$N$46+'TUSD BF'!$N$46+'TUSD CVA'!$N$46)*1</f>
        <v>4.704976418740741</v>
      </c>
      <c r="O46" s="13">
        <f>('TUSD BE'!$O$46+'TUSD BF'!$O$46+'TUSD CVA'!$O$46)*1</f>
        <v>0</v>
      </c>
      <c r="P46" s="13">
        <v>0</v>
      </c>
      <c r="Q46" s="13">
        <f>('TUSD BE'!$Q$46+'TUSD BF'!$Q$46+'TUSD CVA'!$Q$46)*1</f>
        <v>0</v>
      </c>
      <c r="R46" s="13">
        <v>0</v>
      </c>
      <c r="S46" s="13">
        <f>('TUSD BE'!$S$46+'TUSD BF'!$S$46+'TUSD CVA'!$S$46)*1</f>
        <v>0</v>
      </c>
      <c r="T46" s="13">
        <f>('TUSD BE'!$U$46+'TUSD BF'!$U$46+'TUSD CVA'!$U$46)*1</f>
        <v>16.592927363428391</v>
      </c>
      <c r="U46" s="13">
        <f>('TUSD BE'!$V$46+'TUSD BF'!$V$46+'TUSD CVA'!$V$46)*1</f>
        <v>18.126651285366222</v>
      </c>
      <c r="V46" s="13">
        <f>('TUSD BE'!$W$46+'TUSD BF'!$W$46+'TUSD CVA'!$W$46)*1</f>
        <v>1.5603207485090373</v>
      </c>
      <c r="W46" s="13">
        <f>('TUSD BE'!$X$46+'TUSD BF'!$X$46+'TUSD CVA'!$X$46)*1</f>
        <v>0</v>
      </c>
      <c r="X46" s="13">
        <f>('TUSD BE'!$Y$46+'TUSD BF'!$Y$46+'TUSD CVA'!$Y$46)*1</f>
        <v>0</v>
      </c>
      <c r="Y46" s="13">
        <f>('TUSD BE'!$Z$46+'TUSD BF'!$Z$46+'TUSD CVA'!$Z$46)*1</f>
        <v>0</v>
      </c>
      <c r="Z46" s="13">
        <f>('TUSD BE'!$AA$46+'TUSD BF'!$AA$46+'TUSD CVA'!$AA$46)*1</f>
        <v>0</v>
      </c>
      <c r="AA46" s="13">
        <f>('TUSD BE'!$AC$46+'TUSD BF'!$AC$46+'TUSD CVA'!$AC$46)*1</f>
        <v>341.16623935832251</v>
      </c>
      <c r="AB46" s="13">
        <f ca="1">('TUSD BE'!$AE$46+'TUSD BF'!$AE$46+'TUSD CVA'!$AE$46)*1</f>
        <v>-40.275996537305012</v>
      </c>
      <c r="AC46" s="13">
        <f ca="1">('TUSD BE'!$AF$46+'TUSD BF'!$AF$46+'TUSD CVA'!$AF$46)*1</f>
        <v>0</v>
      </c>
      <c r="AD46" s="13">
        <f>('TUSD BE'!$AH$46+'TUSD BF'!$AH$46+'TUSD CVA'!$AH$46)*1</f>
        <v>32.576909697124883</v>
      </c>
      <c r="AE46" s="13">
        <f>('TUSD BE'!$AI$46+'TUSD BF'!$AI$46+'TUSD CVA'!$AI$46)*1</f>
        <v>1.5063258998880853</v>
      </c>
      <c r="AF46" s="13">
        <f ca="1">('TUSD BE'!$AJ$46+'TUSD BF'!$AJ$46+'TUSD CVA'!$AJ$46)*1</f>
        <v>31.471118324942143</v>
      </c>
      <c r="AG46" s="13">
        <f ca="1">('TUSD BE'!$AK$46+'TUSD BF'!$AK$46+'TUSD CVA'!$AK$46)*1</f>
        <v>11.511301123089151</v>
      </c>
      <c r="AI46" s="13">
        <v>0</v>
      </c>
      <c r="AJ46" s="13">
        <v>1.15973158123335</v>
      </c>
      <c r="AK46" s="13">
        <v>4.27099568011187</v>
      </c>
      <c r="AL46" s="13">
        <v>0</v>
      </c>
      <c r="AM46" s="13">
        <v>0</v>
      </c>
      <c r="AN46" s="13">
        <v>0</v>
      </c>
      <c r="AO46" s="13">
        <v>0</v>
      </c>
      <c r="AP46" s="13">
        <v>0</v>
      </c>
      <c r="AQ46" s="13">
        <v>10.9490694286104</v>
      </c>
      <c r="AR46" s="13">
        <v>14.0406218833068</v>
      </c>
      <c r="AS46" s="13">
        <v>1.2207054278503</v>
      </c>
      <c r="AT46" s="13">
        <v>0</v>
      </c>
      <c r="AU46" s="13">
        <v>0</v>
      </c>
      <c r="AV46" s="13">
        <v>0</v>
      </c>
      <c r="AW46" s="13">
        <v>0</v>
      </c>
      <c r="AX46" s="13">
        <v>320.38516129832499</v>
      </c>
      <c r="AY46" s="13">
        <v>0</v>
      </c>
      <c r="AZ46" s="13">
        <v>0</v>
      </c>
      <c r="BA46" s="13">
        <v>21.115629482285499</v>
      </c>
      <c r="BB46" s="13">
        <v>0.90161541283557001</v>
      </c>
      <c r="BC46" s="13">
        <v>20.868356138169801</v>
      </c>
      <c r="BD46" s="13">
        <v>9.2097577251150504</v>
      </c>
    </row>
    <row r="47" spans="1:56" ht="11.25" customHeight="1" x14ac:dyDescent="0.25">
      <c r="A47" s="107" t="s">
        <v>46</v>
      </c>
      <c r="B47" s="107" t="s">
        <v>35</v>
      </c>
      <c r="C47" s="107" t="s">
        <v>47</v>
      </c>
      <c r="D47" s="107" t="s">
        <v>25</v>
      </c>
      <c r="E47" s="107" t="s">
        <v>25</v>
      </c>
      <c r="F47" s="107" t="s">
        <v>25</v>
      </c>
      <c r="G47" s="18" t="s">
        <v>83</v>
      </c>
      <c r="H47" s="18" t="s">
        <v>82</v>
      </c>
      <c r="I47" s="18">
        <f>'MERCADO TUSD'!$U$44</f>
        <v>3.4330000000000007</v>
      </c>
      <c r="J47" s="15"/>
      <c r="L47" s="13">
        <f>('TUSD BE'!$L$47+'TUSD BF'!$L$47+'TUSD CVA'!$L$47)*(1 - CUSTOS!$M$38)</f>
        <v>18.895983195726551</v>
      </c>
      <c r="M47" s="13">
        <f>('TUSD BE'!$M$47+'TUSD BF'!$M$47+'TUSD CVA'!$M$47)*(1 - CUSTOS!$M$38)</f>
        <v>1.1591782458093736</v>
      </c>
      <c r="N47" s="13">
        <f ca="1">('TUSD BE'!$N$47+'TUSD BF'!$N$47+'TUSD CVA'!$N$47)*(1 - CUSTOS!$M$38)</f>
        <v>11.211147411085108</v>
      </c>
      <c r="O47" s="13">
        <f>('TUSD BE'!$O$47+'TUSD BF'!$O$47+'TUSD CVA'!$O$47)*(1 - CUSTOS!$M$38)</f>
        <v>0</v>
      </c>
      <c r="P47" s="13">
        <f>('TUSD BE'!$P$47+'TUSD BF'!$P$47+'TUSD CVA'!$P$47)*(1 - CUSTOS!$M$38)</f>
        <v>0</v>
      </c>
      <c r="Q47" s="13">
        <f>('TUSD BE'!$Q$47+'TUSD BF'!$Q$47+'TUSD CVA'!$Q$47)*(1 - CUSTOS!$M$38)</f>
        <v>46.967795209392861</v>
      </c>
      <c r="R47" s="13">
        <f>('TUSD BE'!$R$47+'TUSD BF'!$R$47+'TUSD CVA'!$R$47)*(1 - CUSTOS!$M$38)</f>
        <v>17.384922427827011</v>
      </c>
      <c r="S47" s="13">
        <f>('TUSD BE'!$S$47+'TUSD BF'!$S$47+'TUSD CVA'!$S$47)*(1 - CUSTOS!$M$38)</f>
        <v>0</v>
      </c>
      <c r="T47" s="13">
        <f>('TUSD BE'!$U$47+'TUSD BF'!$U$47+'TUSD CVA'!$U$47)*(1 - CUSTOS!$M$38)</f>
        <v>47.571791061049495</v>
      </c>
      <c r="U47" s="13">
        <f>('TUSD BE'!$V$47+'TUSD BF'!$V$47+'TUSD CVA'!$V$47)*(1 - CUSTOS!$M$38)</f>
        <v>51.968920666616754</v>
      </c>
      <c r="V47" s="13">
        <f>('TUSD BE'!$W$47+'TUSD BF'!$W$47+'TUSD CVA'!$W$47)*(1 - CUSTOS!$M$38)</f>
        <v>4.4731551674352144</v>
      </c>
      <c r="W47" s="13">
        <f>('TUSD BE'!$X$47+'TUSD BF'!$X$47+'TUSD CVA'!$X$47)*(1 - CUSTOS!$M$38)</f>
        <v>0</v>
      </c>
      <c r="X47" s="13">
        <f>('TUSD BE'!$Y$47+'TUSD BF'!$Y$47+'TUSD CVA'!$Y$47)*(1 - CUSTOS!$M$38)</f>
        <v>0</v>
      </c>
      <c r="Y47" s="13">
        <f>('TUSD BE'!$Z$47+'TUSD BF'!$Z$47+'TUSD CVA'!$Z$47)*(1 - CUSTOS!$M$38)</f>
        <v>0</v>
      </c>
      <c r="Z47" s="13">
        <f>('TUSD BE'!$AA$47+'TUSD BF'!$AA$47+'TUSD CVA'!$AA$47)*(1 - CUSTOS!$M$38)</f>
        <v>0</v>
      </c>
      <c r="AA47" s="13">
        <f>('TUSD BE'!$AC$47+'TUSD BF'!$AC$47+'TUSD CVA'!$AC$47)*(1 - CUSTOS!$M$38)</f>
        <v>978.12365330008413</v>
      </c>
      <c r="AB47" s="13">
        <f ca="1">('TUSD BE'!$AE$47+'TUSD BF'!$AE$47+'TUSD CVA'!$AE$47)*(1 - CUSTOS!$M$38)</f>
        <v>-108.97785723256065</v>
      </c>
      <c r="AC47" s="13">
        <f ca="1">('TUSD BE'!$AF$47+'TUSD BF'!$AF$47+'TUSD CVA'!$AF$47)*(1 - CUSTOS!$M$38)</f>
        <v>0</v>
      </c>
      <c r="AD47" s="13">
        <f>('TUSD BE'!$AH$47+'TUSD BF'!$AH$47+'TUSD CVA'!$AH$47)*(1 - CUSTOS!$M$38)</f>
        <v>30.622295115297387</v>
      </c>
      <c r="AE47" s="13">
        <f>('TUSD BE'!$AI$47+'TUSD BF'!$AI$47+'TUSD CVA'!$AI$47)*(1 - CUSTOS!$M$38)</f>
        <v>1.4159463458948001</v>
      </c>
      <c r="AF47" s="13">
        <f ca="1">('TUSD BE'!$AJ$47+'TUSD BF'!$AJ$47+'TUSD CVA'!$AJ$47)*(1 - CUSTOS!$M$38)</f>
        <v>29.582851225445612</v>
      </c>
      <c r="AG47" s="13">
        <f ca="1">('TUSD BE'!$AK$47+'TUSD BF'!$AK$47+'TUSD CVA'!$AK$47)*(1 - CUSTOS!$M$38)</f>
        <v>10.820623055703802</v>
      </c>
      <c r="AI47" s="13">
        <v>19.979098154634901</v>
      </c>
      <c r="AJ47" s="13">
        <v>1.02056379148535</v>
      </c>
      <c r="AK47" s="13">
        <v>9.6401702834902299</v>
      </c>
      <c r="AL47" s="13">
        <v>0</v>
      </c>
      <c r="AM47" s="13">
        <v>0</v>
      </c>
      <c r="AN47" s="13">
        <v>22.517315766663</v>
      </c>
      <c r="AO47" s="13">
        <v>9.8387579327828707</v>
      </c>
      <c r="AP47" s="13">
        <v>0</v>
      </c>
      <c r="AQ47" s="13">
        <v>29.387220995654999</v>
      </c>
      <c r="AR47" s="13">
        <v>37.684892395671397</v>
      </c>
      <c r="AS47" s="13">
        <v>3.2761650585445898</v>
      </c>
      <c r="AT47" s="13">
        <v>0</v>
      </c>
      <c r="AU47" s="13">
        <v>0</v>
      </c>
      <c r="AV47" s="13">
        <v>0</v>
      </c>
      <c r="AW47" s="13">
        <v>0</v>
      </c>
      <c r="AX47" s="13">
        <v>859.91381253883901</v>
      </c>
      <c r="AY47" s="13">
        <v>0</v>
      </c>
      <c r="AZ47" s="13">
        <v>0</v>
      </c>
      <c r="BA47" s="13">
        <v>18.5817539444113</v>
      </c>
      <c r="BB47" s="13">
        <v>0.793421563295301</v>
      </c>
      <c r="BC47" s="13">
        <v>18.364153401589402</v>
      </c>
      <c r="BD47" s="13">
        <v>8.1045867981012503</v>
      </c>
    </row>
    <row r="48" spans="1:56" ht="11.25" customHeight="1" x14ac:dyDescent="0.25">
      <c r="A48" s="107"/>
      <c r="B48" s="107"/>
      <c r="C48" s="107"/>
      <c r="D48" s="107"/>
      <c r="E48" s="107"/>
      <c r="F48" s="107"/>
      <c r="G48" s="18" t="s">
        <v>98</v>
      </c>
      <c r="H48" s="18" t="s">
        <v>82</v>
      </c>
      <c r="I48" s="18">
        <f>'MERCADO TUSD'!$U$45</f>
        <v>0.54699999999999993</v>
      </c>
      <c r="J48" s="15"/>
      <c r="L48" s="13">
        <f>('TUSD BE'!$L$48+'TUSD BF'!$L$48+'TUSD CVA'!$L$48)*(1 - CUSTOS!$M$38)</f>
        <v>18.895983195726551</v>
      </c>
      <c r="M48" s="13">
        <f>('TUSD BE'!$M$48+'TUSD BF'!$M$48+'TUSD CVA'!$M$48)*(1 - CUSTOS!$M$38)</f>
        <v>1.1591782458093736</v>
      </c>
      <c r="N48" s="13">
        <f ca="1">('TUSD BE'!$N$48+'TUSD BF'!$N$48+'TUSD CVA'!$N$48)*(1 - CUSTOS!$M$38)</f>
        <v>7.1775975695798078</v>
      </c>
      <c r="O48" s="13">
        <f>('TUSD BE'!$O$48+'TUSD BF'!$O$48+'TUSD CVA'!$O$48)*(1 - CUSTOS!$M$38)</f>
        <v>0</v>
      </c>
      <c r="P48" s="13">
        <f>('TUSD BE'!$P$48+'TUSD BF'!$P$48+'TUSD CVA'!$P$48)*(1 - CUSTOS!$M$38)</f>
        <v>0</v>
      </c>
      <c r="Q48" s="13">
        <f>('TUSD BE'!$Q$48+'TUSD BF'!$Q$48+'TUSD CVA'!$Q$48)*(1 - CUSTOS!$M$38)</f>
        <v>46.967795209392861</v>
      </c>
      <c r="R48" s="13">
        <f>('TUSD BE'!$R$48+'TUSD BF'!$R$48+'TUSD CVA'!$R$48)*(1 - CUSTOS!$M$38)</f>
        <v>17.384922427827011</v>
      </c>
      <c r="S48" s="13">
        <f>('TUSD BE'!$S$48+'TUSD BF'!$S$48+'TUSD CVA'!$S$48)*(1 - CUSTOS!$M$38)</f>
        <v>0</v>
      </c>
      <c r="T48" s="13">
        <f>('TUSD BE'!$U$48+'TUSD BF'!$U$48+'TUSD CVA'!$U$48)*(1 - CUSTOS!$M$38)</f>
        <v>28.543127312589576</v>
      </c>
      <c r="U48" s="13">
        <f>('TUSD BE'!$V$48+'TUSD BF'!$V$48+'TUSD CVA'!$V$48)*(1 - CUSTOS!$M$38)</f>
        <v>31.181314686264407</v>
      </c>
      <c r="V48" s="13">
        <f>('TUSD BE'!$W$48+'TUSD BF'!$W$48+'TUSD CVA'!$W$48)*(1 - CUSTOS!$M$38)</f>
        <v>2.6838631616674236</v>
      </c>
      <c r="W48" s="13">
        <f>('TUSD BE'!$X$48+'TUSD BF'!$X$48+'TUSD CVA'!$X$48)*(1 - CUSTOS!$M$38)</f>
        <v>0</v>
      </c>
      <c r="X48" s="13">
        <f>('TUSD BE'!$Y$48+'TUSD BF'!$Y$48+'TUSD CVA'!$Y$48)*(1 - CUSTOS!$M$38)</f>
        <v>0</v>
      </c>
      <c r="Y48" s="13">
        <f>('TUSD BE'!$Z$48+'TUSD BF'!$Z$48+'TUSD CVA'!$Z$48)*(1 - CUSTOS!$M$38)</f>
        <v>0</v>
      </c>
      <c r="Z48" s="13">
        <f>('TUSD BE'!$AA$48+'TUSD BF'!$AA$48+'TUSD CVA'!$AA$48)*(1 - CUSTOS!$M$38)</f>
        <v>0</v>
      </c>
      <c r="AA48" s="13">
        <f>('TUSD BE'!$AC$48+'TUSD BF'!$AC$48+'TUSD CVA'!$AC$48)*(1 - CUSTOS!$M$38)</f>
        <v>586.87414692027687</v>
      </c>
      <c r="AB48" s="13">
        <f ca="1">('TUSD BE'!$AE$48+'TUSD BF'!$AE$48+'TUSD CVA'!$AE$48)*(1 - CUSTOS!$M$38)</f>
        <v>-70.305620742260132</v>
      </c>
      <c r="AC48" s="13">
        <f ca="1">('TUSD BE'!$AF$48+'TUSD BF'!$AF$48+'TUSD CVA'!$AF$48)*(1 - CUSTOS!$M$38)</f>
        <v>0</v>
      </c>
      <c r="AD48" s="13">
        <f>('TUSD BE'!$AH$48+'TUSD BF'!$AH$48+'TUSD CVA'!$AH$48)*(1 - CUSTOS!$M$38)</f>
        <v>30.622295115297387</v>
      </c>
      <c r="AE48" s="13">
        <f>('TUSD BE'!$AI$48+'TUSD BF'!$AI$48+'TUSD CVA'!$AI$48)*(1 - CUSTOS!$M$38)</f>
        <v>1.4159463458948001</v>
      </c>
      <c r="AF48" s="13">
        <f ca="1">('TUSD BE'!$AJ$48+'TUSD BF'!$AJ$48+'TUSD CVA'!$AJ$48)*(1 - CUSTOS!$M$38)</f>
        <v>29.582851225445612</v>
      </c>
      <c r="AG48" s="13">
        <f ca="1">('TUSD BE'!$AK$48+'TUSD BF'!$AK$48+'TUSD CVA'!$AK$48)*(1 - CUSTOS!$M$38)</f>
        <v>10.820623055703802</v>
      </c>
      <c r="AI48" s="13">
        <v>19.979098154634901</v>
      </c>
      <c r="AJ48" s="13">
        <v>1.02056379148535</v>
      </c>
      <c r="AK48" s="13">
        <v>6.1454052302531199</v>
      </c>
      <c r="AL48" s="13">
        <v>0</v>
      </c>
      <c r="AM48" s="13">
        <v>0</v>
      </c>
      <c r="AN48" s="13">
        <v>22.517315766663</v>
      </c>
      <c r="AO48" s="13">
        <v>9.8387579327828707</v>
      </c>
      <c r="AP48" s="13">
        <v>0</v>
      </c>
      <c r="AQ48" s="13">
        <v>17.632365137687199</v>
      </c>
      <c r="AR48" s="13">
        <v>22.610908089578</v>
      </c>
      <c r="AS48" s="13">
        <v>1.9656771077788</v>
      </c>
      <c r="AT48" s="13">
        <v>0</v>
      </c>
      <c r="AU48" s="13">
        <v>0</v>
      </c>
      <c r="AV48" s="13">
        <v>0</v>
      </c>
      <c r="AW48" s="13">
        <v>0</v>
      </c>
      <c r="AX48" s="13">
        <v>515.94824790916903</v>
      </c>
      <c r="AY48" s="13">
        <v>0</v>
      </c>
      <c r="AZ48" s="13">
        <v>0</v>
      </c>
      <c r="BA48" s="13">
        <v>18.5817539444113</v>
      </c>
      <c r="BB48" s="13">
        <v>0.793421563295301</v>
      </c>
      <c r="BC48" s="13">
        <v>18.364153401589402</v>
      </c>
      <c r="BD48" s="13">
        <v>8.1045867981012503</v>
      </c>
    </row>
    <row r="49" spans="1:56" ht="11.25" customHeight="1" x14ac:dyDescent="0.25">
      <c r="A49" s="107"/>
      <c r="B49" s="107"/>
      <c r="C49" s="107"/>
      <c r="D49" s="107"/>
      <c r="E49" s="107"/>
      <c r="F49" s="107"/>
      <c r="G49" s="18" t="s">
        <v>84</v>
      </c>
      <c r="H49" s="18" t="s">
        <v>82</v>
      </c>
      <c r="I49" s="18">
        <f>'MERCADO TUSD'!$U$46</f>
        <v>73.387</v>
      </c>
      <c r="J49" s="15"/>
      <c r="L49" s="13">
        <f>('TUSD BE'!$L$49+'TUSD BF'!$L$49+'TUSD CVA'!$L$49)*(1 - CUSTOS!$M$38)</f>
        <v>18.895983195726551</v>
      </c>
      <c r="M49" s="13">
        <f>('TUSD BE'!$M$49+'TUSD BF'!$M$49+'TUSD CVA'!$M$49)*(1 - CUSTOS!$M$38)</f>
        <v>1.1591782458093736</v>
      </c>
      <c r="N49" s="13">
        <f ca="1">('TUSD BE'!$N$49+'TUSD BF'!$N$49+'TUSD CVA'!$N$49)*(1 - CUSTOS!$M$38)</f>
        <v>3.1440477280745065</v>
      </c>
      <c r="O49" s="13">
        <f>('TUSD BE'!$O$49+'TUSD BF'!$O$49+'TUSD CVA'!$O$49)*(1 - CUSTOS!$M$38)</f>
        <v>0</v>
      </c>
      <c r="P49" s="13">
        <f>('TUSD BE'!$P$49+'TUSD BF'!$P$49+'TUSD CVA'!$P$49)*(1 - CUSTOS!$M$38)</f>
        <v>0</v>
      </c>
      <c r="Q49" s="13">
        <f>('TUSD BE'!$Q$49+'TUSD BF'!$Q$49+'TUSD CVA'!$Q$49)*(1 - CUSTOS!$M$38)</f>
        <v>46.967795209392861</v>
      </c>
      <c r="R49" s="13">
        <f>('TUSD BE'!$R$49+'TUSD BF'!$R$49+'TUSD CVA'!$R$49)*(1 - CUSTOS!$M$38)</f>
        <v>17.384922427827011</v>
      </c>
      <c r="S49" s="13">
        <f>('TUSD BE'!$S$49+'TUSD BF'!$S$49+'TUSD CVA'!$S$49)*(1 - CUSTOS!$M$38)</f>
        <v>0</v>
      </c>
      <c r="T49" s="13">
        <f>('TUSD BE'!$U$49+'TUSD BF'!$U$49+'TUSD CVA'!$U$49)*(1 - CUSTOS!$M$38)</f>
        <v>9.5143318742299563</v>
      </c>
      <c r="U49" s="13">
        <f>('TUSD BE'!$V$49+'TUSD BF'!$V$49+'TUSD CVA'!$V$49)*(1 - CUSTOS!$M$38)</f>
        <v>10.39370870591207</v>
      </c>
      <c r="V49" s="13">
        <f>('TUSD BE'!$W$49+'TUSD BF'!$W$49+'TUSD CVA'!$W$49)*(1 - CUSTOS!$M$38)</f>
        <v>0.89457115589963332</v>
      </c>
      <c r="W49" s="13">
        <f>('TUSD BE'!$X$49+'TUSD BF'!$X$49+'TUSD CVA'!$X$49)*(1 - CUSTOS!$M$38)</f>
        <v>0</v>
      </c>
      <c r="X49" s="13">
        <f>('TUSD BE'!$Y$49+'TUSD BF'!$Y$49+'TUSD CVA'!$Y$49)*(1 - CUSTOS!$M$38)</f>
        <v>0</v>
      </c>
      <c r="Y49" s="13">
        <f>('TUSD BE'!$Z$49+'TUSD BF'!$Z$49+'TUSD CVA'!$Z$49)*(1 - CUSTOS!$M$38)</f>
        <v>0</v>
      </c>
      <c r="Z49" s="13">
        <f>('TUSD BE'!$AA$49+'TUSD BF'!$AA$49+'TUSD CVA'!$AA$49)*(1 - CUSTOS!$M$38)</f>
        <v>0</v>
      </c>
      <c r="AA49" s="13">
        <f>('TUSD BE'!$AC$49+'TUSD BF'!$AC$49+'TUSD CVA'!$AC$49)*(1 - CUSTOS!$M$38)</f>
        <v>195.62475318990349</v>
      </c>
      <c r="AB49" s="13">
        <f ca="1">('TUSD BE'!$AE$49+'TUSD BF'!$AE$49+'TUSD CVA'!$AE$49)*(1 - CUSTOS!$M$38)</f>
        <v>-31.633384331949781</v>
      </c>
      <c r="AC49" s="13">
        <f ca="1">('TUSD BE'!$AF$49+'TUSD BF'!$AF$49+'TUSD CVA'!$AF$49)*(1 - CUSTOS!$M$38)</f>
        <v>0</v>
      </c>
      <c r="AD49" s="13">
        <f>('TUSD BE'!$AH$49+'TUSD BF'!$AH$49+'TUSD CVA'!$AH$49)*(1 - CUSTOS!$M$38)</f>
        <v>30.622295115297387</v>
      </c>
      <c r="AE49" s="13">
        <f>('TUSD BE'!$AI$49+'TUSD BF'!$AI$49+'TUSD CVA'!$AI$49)*(1 - CUSTOS!$M$38)</f>
        <v>1.4159463458948001</v>
      </c>
      <c r="AF49" s="13">
        <f ca="1">('TUSD BE'!$AJ$49+'TUSD BF'!$AJ$49+'TUSD CVA'!$AJ$49)*(1 - CUSTOS!$M$38)</f>
        <v>29.582851225445612</v>
      </c>
      <c r="AG49" s="13">
        <f ca="1">('TUSD BE'!$AK$49+'TUSD BF'!$AK$49+'TUSD CVA'!$AK$49)*(1 - CUSTOS!$M$38)</f>
        <v>10.820623055703802</v>
      </c>
      <c r="AI49" s="13">
        <v>19.979098154634901</v>
      </c>
      <c r="AJ49" s="13">
        <v>1.02056379148535</v>
      </c>
      <c r="AK49" s="13">
        <v>2.6506401770160202</v>
      </c>
      <c r="AL49" s="13">
        <v>0</v>
      </c>
      <c r="AM49" s="13">
        <v>0</v>
      </c>
      <c r="AN49" s="13">
        <v>22.517315766663</v>
      </c>
      <c r="AO49" s="13">
        <v>9.8387579327828707</v>
      </c>
      <c r="AP49" s="13">
        <v>0</v>
      </c>
      <c r="AQ49" s="13">
        <v>5.8774279289839404</v>
      </c>
      <c r="AR49" s="13">
        <v>7.5369237834846299</v>
      </c>
      <c r="AS49" s="13">
        <v>0.65518915701300096</v>
      </c>
      <c r="AT49" s="13">
        <v>0</v>
      </c>
      <c r="AU49" s="13">
        <v>0</v>
      </c>
      <c r="AV49" s="13">
        <v>0</v>
      </c>
      <c r="AW49" s="13">
        <v>0</v>
      </c>
      <c r="AX49" s="13">
        <v>171.98278231483499</v>
      </c>
      <c r="AY49" s="13">
        <v>0</v>
      </c>
      <c r="AZ49" s="13">
        <v>0</v>
      </c>
      <c r="BA49" s="13">
        <v>18.5817539444113</v>
      </c>
      <c r="BB49" s="13">
        <v>0.793421563295301</v>
      </c>
      <c r="BC49" s="13">
        <v>18.364153401589402</v>
      </c>
      <c r="BD49" s="13">
        <v>8.1045867981012503</v>
      </c>
    </row>
    <row r="50" spans="1:56" ht="11.25" customHeight="1" x14ac:dyDescent="0.25">
      <c r="A50" s="107"/>
      <c r="B50" s="17" t="s">
        <v>23</v>
      </c>
      <c r="C50" s="17" t="s">
        <v>47</v>
      </c>
      <c r="D50" s="17" t="s">
        <v>25</v>
      </c>
      <c r="E50" s="17" t="s">
        <v>25</v>
      </c>
      <c r="F50" s="17" t="s">
        <v>25</v>
      </c>
      <c r="G50" s="18" t="s">
        <v>88</v>
      </c>
      <c r="H50" s="18" t="s">
        <v>82</v>
      </c>
      <c r="I50" s="18">
        <f>'MERCADO TUSD'!$U$47</f>
        <v>45841.400999999998</v>
      </c>
      <c r="J50" s="15"/>
      <c r="L50" s="13">
        <f>('TUSD BE'!$L$50+'TUSD BF'!$L$50+'TUSD CVA'!$L$50)*(1 - CUSTOS!$M$38)</f>
        <v>18.895983195726551</v>
      </c>
      <c r="M50" s="13">
        <f>('TUSD BE'!$M$50+'TUSD BF'!$M$50+'TUSD CVA'!$M$50)*(1 - CUSTOS!$M$38)</f>
        <v>1.1591782458093736</v>
      </c>
      <c r="N50" s="13">
        <f ca="1">('TUSD BE'!$N$50+'TUSD BF'!$N$50+'TUSD CVA'!$N$50)*(1 - CUSTOS!$M$38)</f>
        <v>4.433463164574948</v>
      </c>
      <c r="O50" s="13">
        <f>('TUSD BE'!$O$50+'TUSD BF'!$O$50+'TUSD CVA'!$O$50)*(1 - CUSTOS!$M$38)</f>
        <v>0</v>
      </c>
      <c r="P50" s="13">
        <f>('TUSD BE'!$P$50+'TUSD BF'!$P$50+'TUSD CVA'!$P$50)*(1 - CUSTOS!$M$38)</f>
        <v>0</v>
      </c>
      <c r="Q50" s="13">
        <f>('TUSD BE'!$Q$50+'TUSD BF'!$Q$50+'TUSD CVA'!$Q$50)*(1 - CUSTOS!$M$38)</f>
        <v>46.967795209392861</v>
      </c>
      <c r="R50" s="13">
        <f>('TUSD BE'!$R$50+'TUSD BF'!$R$50+'TUSD CVA'!$R$50)*(1 - CUSTOS!$M$38)</f>
        <v>17.384922427827011</v>
      </c>
      <c r="S50" s="13">
        <f>('TUSD BE'!$S$50+'TUSD BF'!$S$50+'TUSD CVA'!$S$50)*(1 - CUSTOS!$M$38)</f>
        <v>0</v>
      </c>
      <c r="T50" s="13">
        <f>('TUSD BE'!$U$50+'TUSD BF'!$U$50+'TUSD CVA'!$U$50)*(1 - CUSTOS!$M$38)</f>
        <v>15.597351721622687</v>
      </c>
      <c r="U50" s="13">
        <f>('TUSD BE'!$V$50+'TUSD BF'!$V$50+'TUSD CVA'!$V$50)*(1 - CUSTOS!$M$38)</f>
        <v>17.039052208244247</v>
      </c>
      <c r="V50" s="13">
        <f>('TUSD BE'!$W$50+'TUSD BF'!$W$50+'TUSD CVA'!$W$50)*(1 - CUSTOS!$M$38)</f>
        <v>1.4667015035984949</v>
      </c>
      <c r="W50" s="13">
        <f>('TUSD BE'!$X$50+'TUSD BF'!$X$50+'TUSD CVA'!$X$50)*(1 - CUSTOS!$M$38)</f>
        <v>0</v>
      </c>
      <c r="X50" s="13">
        <f>('TUSD BE'!$Y$50+'TUSD BF'!$Y$50+'TUSD CVA'!$Y$50)*(1 - CUSTOS!$M$38)</f>
        <v>0</v>
      </c>
      <c r="Y50" s="13">
        <f>('TUSD BE'!$Z$50+'TUSD BF'!$Z$50+'TUSD CVA'!$Z$50)*(1 - CUSTOS!$M$38)</f>
        <v>0</v>
      </c>
      <c r="Z50" s="13">
        <f>('TUSD BE'!$AA$50+'TUSD BF'!$AA$50+'TUSD CVA'!$AA$50)*(1 - CUSTOS!$M$38)</f>
        <v>0</v>
      </c>
      <c r="AA50" s="13">
        <f>('TUSD BE'!$AC$50+'TUSD BF'!$AC$50+'TUSD CVA'!$AC$50)*(1 - CUSTOS!$M$38)</f>
        <v>320.69626499682312</v>
      </c>
      <c r="AB50" s="13">
        <f ca="1">('TUSD BE'!$AE$50+'TUSD BF'!$AE$50+'TUSD CVA'!$AE$50)*(1 - CUSTOS!$M$38)</f>
        <v>-43.995845325002165</v>
      </c>
      <c r="AC50" s="13">
        <f ca="1">('TUSD BE'!$AF$50+'TUSD BF'!$AF$50+'TUSD CVA'!$AF$50)*(1 - CUSTOS!$M$38)</f>
        <v>0</v>
      </c>
      <c r="AD50" s="13">
        <f>('TUSD BE'!$AH$50+'TUSD BF'!$AH$50+'TUSD CVA'!$AH$50)*(1 - CUSTOS!$M$38)</f>
        <v>30.622295115297387</v>
      </c>
      <c r="AE50" s="13">
        <f>('TUSD BE'!$AI$50+'TUSD BF'!$AI$50+'TUSD CVA'!$AI$50)*(1 - CUSTOS!$M$38)</f>
        <v>1.4159463458948001</v>
      </c>
      <c r="AF50" s="13">
        <f ca="1">('TUSD BE'!$AJ$50+'TUSD BF'!$AJ$50+'TUSD CVA'!$AJ$50)*(1 - CUSTOS!$M$38)</f>
        <v>29.582851225445612</v>
      </c>
      <c r="AG50" s="13">
        <f ca="1">('TUSD BE'!$AK$50+'TUSD BF'!$AK$50+'TUSD CVA'!$AK$50)*(1 - CUSTOS!$M$38)</f>
        <v>10.820623055703802</v>
      </c>
      <c r="AI50" s="13">
        <v>19.979098154634901</v>
      </c>
      <c r="AJ50" s="13">
        <v>1.02056379148535</v>
      </c>
      <c r="AK50" s="13">
        <v>3.7678208698680802</v>
      </c>
      <c r="AL50" s="13">
        <v>0</v>
      </c>
      <c r="AM50" s="13">
        <v>0</v>
      </c>
      <c r="AN50" s="13">
        <v>22.517315766663</v>
      </c>
      <c r="AO50" s="13">
        <v>9.8387579327828707</v>
      </c>
      <c r="AP50" s="13">
        <v>0</v>
      </c>
      <c r="AQ50" s="13">
        <v>9.6351810971771901</v>
      </c>
      <c r="AR50" s="13">
        <v>12.35574725731</v>
      </c>
      <c r="AS50" s="13">
        <v>1.0742207765082601</v>
      </c>
      <c r="AT50" s="13">
        <v>0</v>
      </c>
      <c r="AU50" s="13">
        <v>0</v>
      </c>
      <c r="AV50" s="13">
        <v>0</v>
      </c>
      <c r="AW50" s="13">
        <v>0</v>
      </c>
      <c r="AX50" s="13">
        <v>281.93894194252601</v>
      </c>
      <c r="AY50" s="13">
        <v>0</v>
      </c>
      <c r="AZ50" s="13">
        <v>0</v>
      </c>
      <c r="BA50" s="13">
        <v>18.5817539444113</v>
      </c>
      <c r="BB50" s="13">
        <v>0.793421563295301</v>
      </c>
      <c r="BC50" s="13">
        <v>18.364153401589402</v>
      </c>
      <c r="BD50" s="13">
        <v>8.1045867981012503</v>
      </c>
    </row>
    <row r="51" spans="1:56" ht="11.25" customHeight="1" x14ac:dyDescent="0.25">
      <c r="A51" s="107"/>
      <c r="B51" s="107" t="s">
        <v>35</v>
      </c>
      <c r="C51" s="107" t="s">
        <v>47</v>
      </c>
      <c r="D51" s="107" t="s">
        <v>101</v>
      </c>
      <c r="E51" s="107" t="s">
        <v>25</v>
      </c>
      <c r="F51" s="107" t="s">
        <v>25</v>
      </c>
      <c r="G51" s="18" t="s">
        <v>83</v>
      </c>
      <c r="H51" s="18" t="s">
        <v>82</v>
      </c>
      <c r="I51" s="18">
        <f>'MERCADO TUSD'!$U$48</f>
        <v>0</v>
      </c>
      <c r="J51" s="15"/>
      <c r="L51" s="13">
        <f>('TUSD BE'!$L$51+'TUSD BF'!$L$51+'TUSD CVA'!$L$51)*(1 - CUSTOS!$M$39)</f>
        <v>18.895983195726551</v>
      </c>
      <c r="M51" s="13">
        <f>('TUSD BE'!$M$51+'TUSD BF'!$M$51+'TUSD CVA'!$M$51)*(1 - CUSTOS!$M$39)</f>
        <v>1.1591782458093736</v>
      </c>
      <c r="N51" s="13">
        <f ca="1">('TUSD BE'!$N$51+'TUSD BF'!$N$51+'TUSD CVA'!$N$51)*(1 - CUSTOS!$M$39)</f>
        <v>11.211147411085108</v>
      </c>
      <c r="O51" s="13">
        <f>('TUSD BE'!$O$51+'TUSD BF'!$O$51+'TUSD CVA'!$O$51)*(1 - CUSTOS!$M$39)</f>
        <v>0</v>
      </c>
      <c r="P51" s="13">
        <f>('TUSD BE'!$P$51+'TUSD BF'!$P$51+'TUSD CVA'!$P$51)*(1 - CUSTOS!$M$39)</f>
        <v>0</v>
      </c>
      <c r="Q51" s="13">
        <f>('TUSD BE'!$Q$51+'TUSD BF'!$Q$51+'TUSD CVA'!$Q$51)*(1 - CUSTOS!$M$39)</f>
        <v>46.967795209392861</v>
      </c>
      <c r="R51" s="13">
        <f>('TUSD BE'!$R$51+'TUSD BF'!$R$51+'TUSD CVA'!$R$51)*(1 - CUSTOS!$M$39)</f>
        <v>17.384922427827011</v>
      </c>
      <c r="S51" s="13">
        <f>('TUSD BE'!$S$51+'TUSD BF'!$S$51+'TUSD CVA'!$S$51)*(1 - CUSTOS!$M$39)</f>
        <v>0</v>
      </c>
      <c r="T51" s="13">
        <f>('TUSD BE'!$U$51+'TUSD BF'!$U$51+'TUSD CVA'!$U$51)*(1 - CUSTOS!$M$39)</f>
        <v>47.571791061049495</v>
      </c>
      <c r="U51" s="13">
        <f>('TUSD BE'!$V$51+'TUSD BF'!$V$51+'TUSD CVA'!$V$51)*(1 - CUSTOS!$M$39)</f>
        <v>51.968920666616754</v>
      </c>
      <c r="V51" s="13">
        <f>('TUSD BE'!$W$51+'TUSD BF'!$W$51+'TUSD CVA'!$W$51)*(1 - CUSTOS!$M$39)</f>
        <v>4.4731551674352144</v>
      </c>
      <c r="W51" s="13">
        <f>('TUSD BE'!$X$51+'TUSD BF'!$X$51+'TUSD CVA'!$X$51)*(1 - CUSTOS!$M$39)</f>
        <v>0</v>
      </c>
      <c r="X51" s="13">
        <f>('TUSD BE'!$Y$51+'TUSD BF'!$Y$51+'TUSD CVA'!$Y$51)*(1 - CUSTOS!$M$39)</f>
        <v>0</v>
      </c>
      <c r="Y51" s="13">
        <f>('TUSD BE'!$Z$51+'TUSD BF'!$Z$51+'TUSD CVA'!$Z$51)*(1 - CUSTOS!$M$39)</f>
        <v>0</v>
      </c>
      <c r="Z51" s="13">
        <f>('TUSD BE'!$AA$51+'TUSD BF'!$AA$51+'TUSD CVA'!$AA$51)*(1 - CUSTOS!$M$39)</f>
        <v>0</v>
      </c>
      <c r="AA51" s="13">
        <f>('TUSD BE'!$AC$51+'TUSD BF'!$AC$51+'TUSD CVA'!$AC$51)*(1 - CUSTOS!$M$39)</f>
        <v>978.12365330008413</v>
      </c>
      <c r="AB51" s="13">
        <f ca="1">('TUSD BE'!$AE$51+'TUSD BF'!$AE$51+'TUSD CVA'!$AE$51)*(1 - CUSTOS!$M$39)</f>
        <v>-108.97785723256065</v>
      </c>
      <c r="AC51" s="13">
        <f ca="1">('TUSD BE'!$AF$51+'TUSD BF'!$AF$51+'TUSD CVA'!$AF$51)*(1 - CUSTOS!$M$39)</f>
        <v>0</v>
      </c>
      <c r="AD51" s="13">
        <f>('TUSD BE'!$AH$51+'TUSD BF'!$AH$51+'TUSD CVA'!$AH$51)*(1 - CUSTOS!$M$39)</f>
        <v>30.622295115297387</v>
      </c>
      <c r="AE51" s="13">
        <f>('TUSD BE'!$AI$51+'TUSD BF'!$AI$51+'TUSD CVA'!$AI$51)*(1 - CUSTOS!$M$39)</f>
        <v>1.4159463458948001</v>
      </c>
      <c r="AF51" s="13">
        <f ca="1">('TUSD BE'!$AJ$51+'TUSD BF'!$AJ$51+'TUSD CVA'!$AJ$51)*(1 - CUSTOS!$M$39)</f>
        <v>29.582851225445612</v>
      </c>
      <c r="AG51" s="13">
        <f ca="1">('TUSD BE'!$AK$51+'TUSD BF'!$AK$51+'TUSD CVA'!$AK$51)*(1 - CUSTOS!$M$39)</f>
        <v>10.820623055703802</v>
      </c>
      <c r="AI51" s="13">
        <v>19.979098154634901</v>
      </c>
      <c r="AJ51" s="13">
        <v>1.02056379148535</v>
      </c>
      <c r="AK51" s="13">
        <v>9.6401702834902299</v>
      </c>
      <c r="AL51" s="13">
        <v>0</v>
      </c>
      <c r="AM51" s="13">
        <v>0</v>
      </c>
      <c r="AN51" s="13">
        <v>22.517315766663</v>
      </c>
      <c r="AO51" s="13">
        <v>9.8387579327828707</v>
      </c>
      <c r="AP51" s="13">
        <v>0</v>
      </c>
      <c r="AQ51" s="13">
        <v>29.387220995654999</v>
      </c>
      <c r="AR51" s="13">
        <v>37.684892395671397</v>
      </c>
      <c r="AS51" s="13">
        <v>3.2761650585445898</v>
      </c>
      <c r="AT51" s="13">
        <v>0</v>
      </c>
      <c r="AU51" s="13">
        <v>0</v>
      </c>
      <c r="AV51" s="13">
        <v>0</v>
      </c>
      <c r="AW51" s="13">
        <v>0</v>
      </c>
      <c r="AX51" s="13">
        <v>859.91381253883901</v>
      </c>
      <c r="AY51" s="13">
        <v>0</v>
      </c>
      <c r="AZ51" s="13">
        <v>0</v>
      </c>
      <c r="BA51" s="13">
        <v>18.5817539444113</v>
      </c>
      <c r="BB51" s="13">
        <v>0.793421563295301</v>
      </c>
      <c r="BC51" s="13">
        <v>18.364153401589402</v>
      </c>
      <c r="BD51" s="13">
        <v>8.1045867981012503</v>
      </c>
    </row>
    <row r="52" spans="1:56" ht="11.25" customHeight="1" x14ac:dyDescent="0.25">
      <c r="A52" s="107"/>
      <c r="B52" s="107"/>
      <c r="C52" s="107"/>
      <c r="D52" s="107"/>
      <c r="E52" s="107"/>
      <c r="F52" s="107"/>
      <c r="G52" s="18" t="s">
        <v>98</v>
      </c>
      <c r="H52" s="18" t="s">
        <v>82</v>
      </c>
      <c r="I52" s="18">
        <f>'MERCADO TUSD'!$U$49</f>
        <v>0</v>
      </c>
      <c r="J52" s="15"/>
      <c r="L52" s="13">
        <f>('TUSD BE'!$L$52+'TUSD BF'!$L$52+'TUSD CVA'!$L$52)*(1 - CUSTOS!$M$39)</f>
        <v>18.895983195726551</v>
      </c>
      <c r="M52" s="13">
        <f>('TUSD BE'!$M$52+'TUSD BF'!$M$52+'TUSD CVA'!$M$52)*(1 - CUSTOS!$M$39)</f>
        <v>1.1591782458093736</v>
      </c>
      <c r="N52" s="13">
        <f ca="1">('TUSD BE'!$N$52+'TUSD BF'!$N$52+'TUSD CVA'!$N$52)*(1 - CUSTOS!$M$39)</f>
        <v>7.1775975695798078</v>
      </c>
      <c r="O52" s="13">
        <f>('TUSD BE'!$O$52+'TUSD BF'!$O$52+'TUSD CVA'!$O$52)*(1 - CUSTOS!$M$39)</f>
        <v>0</v>
      </c>
      <c r="P52" s="13">
        <f>('TUSD BE'!$P$52+'TUSD BF'!$P$52+'TUSD CVA'!$P$52)*(1 - CUSTOS!$M$39)</f>
        <v>0</v>
      </c>
      <c r="Q52" s="13">
        <f>('TUSD BE'!$Q$52+'TUSD BF'!$Q$52+'TUSD CVA'!$Q$52)*(1 - CUSTOS!$M$39)</f>
        <v>46.967795209392861</v>
      </c>
      <c r="R52" s="13">
        <f>('TUSD BE'!$R$52+'TUSD BF'!$R$52+'TUSD CVA'!$R$52)*(1 - CUSTOS!$M$39)</f>
        <v>17.384922427827011</v>
      </c>
      <c r="S52" s="13">
        <f>('TUSD BE'!$S$52+'TUSD BF'!$S$52+'TUSD CVA'!$S$52)*(1 - CUSTOS!$M$39)</f>
        <v>0</v>
      </c>
      <c r="T52" s="13">
        <f>('TUSD BE'!$U$52+'TUSD BF'!$U$52+'TUSD CVA'!$U$52)*(1 - CUSTOS!$M$39)</f>
        <v>28.543127312589576</v>
      </c>
      <c r="U52" s="13">
        <f>('TUSD BE'!$V$52+'TUSD BF'!$V$52+'TUSD CVA'!$V$52)*(1 - CUSTOS!$M$39)</f>
        <v>31.181314686264407</v>
      </c>
      <c r="V52" s="13">
        <f>('TUSD BE'!$W$52+'TUSD BF'!$W$52+'TUSD CVA'!$W$52)*(1 - CUSTOS!$M$39)</f>
        <v>2.6838631616674236</v>
      </c>
      <c r="W52" s="13">
        <f>('TUSD BE'!$X$52+'TUSD BF'!$X$52+'TUSD CVA'!$X$52)*(1 - CUSTOS!$M$39)</f>
        <v>0</v>
      </c>
      <c r="X52" s="13">
        <f>('TUSD BE'!$Y$52+'TUSD BF'!$Y$52+'TUSD CVA'!$Y$52)*(1 - CUSTOS!$M$39)</f>
        <v>0</v>
      </c>
      <c r="Y52" s="13">
        <f>('TUSD BE'!$Z$52+'TUSD BF'!$Z$52+'TUSD CVA'!$Z$52)*(1 - CUSTOS!$M$39)</f>
        <v>0</v>
      </c>
      <c r="Z52" s="13">
        <f>('TUSD BE'!$AA$52+'TUSD BF'!$AA$52+'TUSD CVA'!$AA$52)*(1 - CUSTOS!$M$39)</f>
        <v>0</v>
      </c>
      <c r="AA52" s="13">
        <f>('TUSD BE'!$AC$52+'TUSD BF'!$AC$52+'TUSD CVA'!$AC$52)*(1 - CUSTOS!$M$39)</f>
        <v>586.87414692027687</v>
      </c>
      <c r="AB52" s="13">
        <f ca="1">('TUSD BE'!$AE$52+'TUSD BF'!$AE$52+'TUSD CVA'!$AE$52)*(1 - CUSTOS!$M$39)</f>
        <v>-70.305620742260132</v>
      </c>
      <c r="AC52" s="13">
        <f ca="1">('TUSD BE'!$AF$52+'TUSD BF'!$AF$52+'TUSD CVA'!$AF$52)*(1 - CUSTOS!$M$39)</f>
        <v>0</v>
      </c>
      <c r="AD52" s="13">
        <f>('TUSD BE'!$AH$52+'TUSD BF'!$AH$52+'TUSD CVA'!$AH$52)*(1 - CUSTOS!$M$39)</f>
        <v>30.622295115297387</v>
      </c>
      <c r="AE52" s="13">
        <f>('TUSD BE'!$AI$52+'TUSD BF'!$AI$52+'TUSD CVA'!$AI$52)*(1 - CUSTOS!$M$39)</f>
        <v>1.4159463458948001</v>
      </c>
      <c r="AF52" s="13">
        <f ca="1">('TUSD BE'!$AJ$52+'TUSD BF'!$AJ$52+'TUSD CVA'!$AJ$52)*(1 - CUSTOS!$M$39)</f>
        <v>29.582851225445612</v>
      </c>
      <c r="AG52" s="13">
        <f ca="1">('TUSD BE'!$AK$52+'TUSD BF'!$AK$52+'TUSD CVA'!$AK$52)*(1 - CUSTOS!$M$39)</f>
        <v>10.820623055703802</v>
      </c>
      <c r="AI52" s="13">
        <v>19.979098154634901</v>
      </c>
      <c r="AJ52" s="13">
        <v>1.02056379148535</v>
      </c>
      <c r="AK52" s="13">
        <v>6.1454052302531199</v>
      </c>
      <c r="AL52" s="13">
        <v>0</v>
      </c>
      <c r="AM52" s="13">
        <v>0</v>
      </c>
      <c r="AN52" s="13">
        <v>22.517315766663</v>
      </c>
      <c r="AO52" s="13">
        <v>9.8387579327828707</v>
      </c>
      <c r="AP52" s="13">
        <v>0</v>
      </c>
      <c r="AQ52" s="13">
        <v>17.632365137687199</v>
      </c>
      <c r="AR52" s="13">
        <v>22.610908089578</v>
      </c>
      <c r="AS52" s="13">
        <v>1.9656771077788</v>
      </c>
      <c r="AT52" s="13">
        <v>0</v>
      </c>
      <c r="AU52" s="13">
        <v>0</v>
      </c>
      <c r="AV52" s="13">
        <v>0</v>
      </c>
      <c r="AW52" s="13">
        <v>0</v>
      </c>
      <c r="AX52" s="13">
        <v>515.94824790916903</v>
      </c>
      <c r="AY52" s="13">
        <v>0</v>
      </c>
      <c r="AZ52" s="13">
        <v>0</v>
      </c>
      <c r="BA52" s="13">
        <v>18.5817539444113</v>
      </c>
      <c r="BB52" s="13">
        <v>0.793421563295301</v>
      </c>
      <c r="BC52" s="13">
        <v>18.364153401589402</v>
      </c>
      <c r="BD52" s="13">
        <v>8.1045867981012503</v>
      </c>
    </row>
    <row r="53" spans="1:56" ht="11.25" customHeight="1" x14ac:dyDescent="0.25">
      <c r="A53" s="107"/>
      <c r="B53" s="107"/>
      <c r="C53" s="107"/>
      <c r="D53" s="107"/>
      <c r="E53" s="107"/>
      <c r="F53" s="107"/>
      <c r="G53" s="18" t="s">
        <v>84</v>
      </c>
      <c r="H53" s="18" t="s">
        <v>82</v>
      </c>
      <c r="I53" s="18">
        <f>'MERCADO TUSD'!$U$50</f>
        <v>0</v>
      </c>
      <c r="J53" s="15"/>
      <c r="L53" s="13">
        <f>('TUSD BE'!$L$53+'TUSD BF'!$L$53+'TUSD CVA'!$L$53)*(1 - CUSTOS!$M$39)</f>
        <v>18.895983195726551</v>
      </c>
      <c r="M53" s="13">
        <f>('TUSD BE'!$M$53+'TUSD BF'!$M$53+'TUSD CVA'!$M$53)*(1 - CUSTOS!$M$39)</f>
        <v>1.1591782458093736</v>
      </c>
      <c r="N53" s="13">
        <f ca="1">('TUSD BE'!$N$53+'TUSD BF'!$N$53+'TUSD CVA'!$N$53)*(1 - CUSTOS!$M$39)</f>
        <v>3.1440477280745065</v>
      </c>
      <c r="O53" s="13">
        <f>('TUSD BE'!$O$53+'TUSD BF'!$O$53+'TUSD CVA'!$O$53)*(1 - CUSTOS!$M$39)</f>
        <v>0</v>
      </c>
      <c r="P53" s="13">
        <f>('TUSD BE'!$P$53+'TUSD BF'!$P$53+'TUSD CVA'!$P$53)*(1 - CUSTOS!$M$39)</f>
        <v>0</v>
      </c>
      <c r="Q53" s="13">
        <f>('TUSD BE'!$Q$53+'TUSD BF'!$Q$53+'TUSD CVA'!$Q$53)*(1 - CUSTOS!$M$39)</f>
        <v>46.967795209392861</v>
      </c>
      <c r="R53" s="13">
        <f>('TUSD BE'!$R$53+'TUSD BF'!$R$53+'TUSD CVA'!$R$53)*(1 - CUSTOS!$M$39)</f>
        <v>17.384922427827011</v>
      </c>
      <c r="S53" s="13">
        <f>('TUSD BE'!$S$53+'TUSD BF'!$S$53+'TUSD CVA'!$S$53)*(1 - CUSTOS!$M$39)</f>
        <v>0</v>
      </c>
      <c r="T53" s="13">
        <f>('TUSD BE'!$U$53+'TUSD BF'!$U$53+'TUSD CVA'!$U$53)*(1 - CUSTOS!$M$39)</f>
        <v>9.5143318742299563</v>
      </c>
      <c r="U53" s="13">
        <f>('TUSD BE'!$V$53+'TUSD BF'!$V$53+'TUSD CVA'!$V$53)*(1 - CUSTOS!$M$39)</f>
        <v>10.39370870591207</v>
      </c>
      <c r="V53" s="13">
        <f>('TUSD BE'!$W$53+'TUSD BF'!$W$53+'TUSD CVA'!$W$53)*(1 - CUSTOS!$M$39)</f>
        <v>0.89457115589963332</v>
      </c>
      <c r="W53" s="13">
        <f>('TUSD BE'!$X$53+'TUSD BF'!$X$53+'TUSD CVA'!$X$53)*(1 - CUSTOS!$M$39)</f>
        <v>0</v>
      </c>
      <c r="X53" s="13">
        <f>('TUSD BE'!$Y$53+'TUSD BF'!$Y$53+'TUSD CVA'!$Y$53)*(1 - CUSTOS!$M$39)</f>
        <v>0</v>
      </c>
      <c r="Y53" s="13">
        <f>('TUSD BE'!$Z$53+'TUSD BF'!$Z$53+'TUSD CVA'!$Z$53)*(1 - CUSTOS!$M$39)</f>
        <v>0</v>
      </c>
      <c r="Z53" s="13">
        <f>('TUSD BE'!$AA$53+'TUSD BF'!$AA$53+'TUSD CVA'!$AA$53)*(1 - CUSTOS!$M$39)</f>
        <v>0</v>
      </c>
      <c r="AA53" s="13">
        <f>('TUSD BE'!$AC$53+'TUSD BF'!$AC$53+'TUSD CVA'!$AC$53)*(1 - CUSTOS!$M$39)</f>
        <v>195.62475318990349</v>
      </c>
      <c r="AB53" s="13">
        <f ca="1">('TUSD BE'!$AE$53+'TUSD BF'!$AE$53+'TUSD CVA'!$AE$53)*(1 - CUSTOS!$M$39)</f>
        <v>-31.633384331949781</v>
      </c>
      <c r="AC53" s="13">
        <f ca="1">('TUSD BE'!$AF$53+'TUSD BF'!$AF$53+'TUSD CVA'!$AF$53)*(1 - CUSTOS!$M$39)</f>
        <v>0</v>
      </c>
      <c r="AD53" s="13">
        <f>('TUSD BE'!$AH$53+'TUSD BF'!$AH$53+'TUSD CVA'!$AH$53)*(1 - CUSTOS!$M$39)</f>
        <v>30.622295115297387</v>
      </c>
      <c r="AE53" s="13">
        <f>('TUSD BE'!$AI$53+'TUSD BF'!$AI$53+'TUSD CVA'!$AI$53)*(1 - CUSTOS!$M$39)</f>
        <v>1.4159463458948001</v>
      </c>
      <c r="AF53" s="13">
        <f ca="1">('TUSD BE'!$AJ$53+'TUSD BF'!$AJ$53+'TUSD CVA'!$AJ$53)*(1 - CUSTOS!$M$39)</f>
        <v>29.582851225445612</v>
      </c>
      <c r="AG53" s="13">
        <f ca="1">('TUSD BE'!$AK$53+'TUSD BF'!$AK$53+'TUSD CVA'!$AK$53)*(1 - CUSTOS!$M$39)</f>
        <v>10.820623055703802</v>
      </c>
      <c r="AI53" s="13">
        <v>19.979098154634901</v>
      </c>
      <c r="AJ53" s="13">
        <v>1.02056379148535</v>
      </c>
      <c r="AK53" s="13">
        <v>2.6506401770160202</v>
      </c>
      <c r="AL53" s="13">
        <v>0</v>
      </c>
      <c r="AM53" s="13">
        <v>0</v>
      </c>
      <c r="AN53" s="13">
        <v>22.517315766663</v>
      </c>
      <c r="AO53" s="13">
        <v>9.8387579327828707</v>
      </c>
      <c r="AP53" s="13">
        <v>0</v>
      </c>
      <c r="AQ53" s="13">
        <v>5.8774279289839404</v>
      </c>
      <c r="AR53" s="13">
        <v>7.5369237834846299</v>
      </c>
      <c r="AS53" s="13">
        <v>0.65518915701300096</v>
      </c>
      <c r="AT53" s="13">
        <v>0</v>
      </c>
      <c r="AU53" s="13">
        <v>0</v>
      </c>
      <c r="AV53" s="13">
        <v>0</v>
      </c>
      <c r="AW53" s="13">
        <v>0</v>
      </c>
      <c r="AX53" s="13">
        <v>171.98278231483499</v>
      </c>
      <c r="AY53" s="13">
        <v>0</v>
      </c>
      <c r="AZ53" s="13">
        <v>0</v>
      </c>
      <c r="BA53" s="13">
        <v>18.5817539444113</v>
      </c>
      <c r="BB53" s="13">
        <v>0.793421563295301</v>
      </c>
      <c r="BC53" s="13">
        <v>18.364153401589402</v>
      </c>
      <c r="BD53" s="13">
        <v>8.1045867981012503</v>
      </c>
    </row>
    <row r="54" spans="1:56" ht="11.25" customHeight="1" x14ac:dyDescent="0.25">
      <c r="A54" s="107"/>
      <c r="B54" s="17" t="s">
        <v>23</v>
      </c>
      <c r="C54" s="17" t="s">
        <v>47</v>
      </c>
      <c r="D54" s="17" t="s">
        <v>101</v>
      </c>
      <c r="E54" s="17" t="s">
        <v>25</v>
      </c>
      <c r="F54" s="17" t="s">
        <v>25</v>
      </c>
      <c r="G54" s="18" t="s">
        <v>88</v>
      </c>
      <c r="H54" s="18" t="s">
        <v>82</v>
      </c>
      <c r="I54" s="18">
        <f>'MERCADO TUSD'!$U$51</f>
        <v>0</v>
      </c>
      <c r="J54" s="15"/>
      <c r="L54" s="13">
        <f>('TUSD BE'!$L$54+'TUSD BF'!$L$54+'TUSD CVA'!$L$54)*(1 - CUSTOS!$M$39)</f>
        <v>18.895983195726551</v>
      </c>
      <c r="M54" s="13">
        <f>('TUSD BE'!$M$54+'TUSD BF'!$M$54+'TUSD CVA'!$M$54)*(1 - CUSTOS!$M$39)</f>
        <v>1.1591782458093736</v>
      </c>
      <c r="N54" s="13">
        <f ca="1">('TUSD BE'!$N$54+'TUSD BF'!$N$54+'TUSD CVA'!$N$54)*(1 - CUSTOS!$M$39)</f>
        <v>4.433463164574948</v>
      </c>
      <c r="O54" s="13">
        <f>('TUSD BE'!$O$54+'TUSD BF'!$O$54+'TUSD CVA'!$O$54)*(1 - CUSTOS!$M$39)</f>
        <v>0</v>
      </c>
      <c r="P54" s="13">
        <f>('TUSD BE'!$P$54+'TUSD BF'!$P$54+'TUSD CVA'!$P$54)*(1 - CUSTOS!$M$39)</f>
        <v>0</v>
      </c>
      <c r="Q54" s="13">
        <f>('TUSD BE'!$Q$54+'TUSD BF'!$Q$54+'TUSD CVA'!$Q$54)*(1 - CUSTOS!$M$39)</f>
        <v>46.967795209392861</v>
      </c>
      <c r="R54" s="13">
        <f>('TUSD BE'!$R$54+'TUSD BF'!$R$54+'TUSD CVA'!$R$54)*(1 - CUSTOS!$M$39)</f>
        <v>17.384922427827011</v>
      </c>
      <c r="S54" s="13">
        <f>('TUSD BE'!$S$54+'TUSD BF'!$S$54+'TUSD CVA'!$S$54)*(1 - CUSTOS!$M$39)</f>
        <v>0</v>
      </c>
      <c r="T54" s="13">
        <f>('TUSD BE'!$U$54+'TUSD BF'!$U$54+'TUSD CVA'!$U$54)*(1 - CUSTOS!$M$39)</f>
        <v>15.597351721622687</v>
      </c>
      <c r="U54" s="13">
        <f>('TUSD BE'!$V$54+'TUSD BF'!$V$54+'TUSD CVA'!$V$54)*(1 - CUSTOS!$M$39)</f>
        <v>17.039052208244247</v>
      </c>
      <c r="V54" s="13">
        <f>('TUSD BE'!$W$54+'TUSD BF'!$W$54+'TUSD CVA'!$W$54)*(1 - CUSTOS!$M$39)</f>
        <v>1.4667015035984949</v>
      </c>
      <c r="W54" s="13">
        <f>('TUSD BE'!$X$54+'TUSD BF'!$X$54+'TUSD CVA'!$X$54)*(1 - CUSTOS!$M$39)</f>
        <v>0</v>
      </c>
      <c r="X54" s="13">
        <f>('TUSD BE'!$Y$54+'TUSD BF'!$Y$54+'TUSD CVA'!$Y$54)*(1 - CUSTOS!$M$39)</f>
        <v>0</v>
      </c>
      <c r="Y54" s="13">
        <f>('TUSD BE'!$Z$54+'TUSD BF'!$Z$54+'TUSD CVA'!$Z$54)*(1 - CUSTOS!$M$39)</f>
        <v>0</v>
      </c>
      <c r="Z54" s="13">
        <f>('TUSD BE'!$AA$54+'TUSD BF'!$AA$54+'TUSD CVA'!$AA$54)*(1 - CUSTOS!$M$39)</f>
        <v>0</v>
      </c>
      <c r="AA54" s="13">
        <f>('TUSD BE'!$AC$54+'TUSD BF'!$AC$54+'TUSD CVA'!$AC$54)*(1 - CUSTOS!$M$39)</f>
        <v>320.69626499682312</v>
      </c>
      <c r="AB54" s="13">
        <f ca="1">('TUSD BE'!$AE$54+'TUSD BF'!$AE$54+'TUSD CVA'!$AE$54)*(1 - CUSTOS!$M$39)</f>
        <v>-43.995845325002165</v>
      </c>
      <c r="AC54" s="13">
        <f ca="1">('TUSD BE'!$AF$54+'TUSD BF'!$AF$54+'TUSD CVA'!$AF$54)*(1 - CUSTOS!$M$39)</f>
        <v>0</v>
      </c>
      <c r="AD54" s="13">
        <f>('TUSD BE'!$AH$54+'TUSD BF'!$AH$54+'TUSD CVA'!$AH$54)*(1 - CUSTOS!$M$39)</f>
        <v>30.622295115297387</v>
      </c>
      <c r="AE54" s="13">
        <f>('TUSD BE'!$AI$54+'TUSD BF'!$AI$54+'TUSD CVA'!$AI$54)*(1 - CUSTOS!$M$39)</f>
        <v>1.4159463458948001</v>
      </c>
      <c r="AF54" s="13">
        <f ca="1">('TUSD BE'!$AJ$54+'TUSD BF'!$AJ$54+'TUSD CVA'!$AJ$54)*(1 - CUSTOS!$M$39)</f>
        <v>29.582851225445612</v>
      </c>
      <c r="AG54" s="13">
        <f ca="1">('TUSD BE'!$AK$54+'TUSD BF'!$AK$54+'TUSD CVA'!$AK$54)*(1 - CUSTOS!$M$39)</f>
        <v>10.820623055703802</v>
      </c>
      <c r="AI54" s="13">
        <v>19.979098154634901</v>
      </c>
      <c r="AJ54" s="13">
        <v>1.02056379148535</v>
      </c>
      <c r="AK54" s="13">
        <v>3.7678208698680802</v>
      </c>
      <c r="AL54" s="13">
        <v>0</v>
      </c>
      <c r="AM54" s="13">
        <v>0</v>
      </c>
      <c r="AN54" s="13">
        <v>22.517315766663</v>
      </c>
      <c r="AO54" s="13">
        <v>9.8387579327828707</v>
      </c>
      <c r="AP54" s="13">
        <v>0</v>
      </c>
      <c r="AQ54" s="13">
        <v>9.6351810971771901</v>
      </c>
      <c r="AR54" s="13">
        <v>12.35574725731</v>
      </c>
      <c r="AS54" s="13">
        <v>1.0742207765082601</v>
      </c>
      <c r="AT54" s="13">
        <v>0</v>
      </c>
      <c r="AU54" s="13">
        <v>0</v>
      </c>
      <c r="AV54" s="13">
        <v>0</v>
      </c>
      <c r="AW54" s="13">
        <v>0</v>
      </c>
      <c r="AX54" s="13">
        <v>281.93894194252601</v>
      </c>
      <c r="AY54" s="13">
        <v>0</v>
      </c>
      <c r="AZ54" s="13">
        <v>0</v>
      </c>
      <c r="BA54" s="13">
        <v>18.5817539444113</v>
      </c>
      <c r="BB54" s="13">
        <v>0.793421563295301</v>
      </c>
      <c r="BC54" s="13">
        <v>18.364153401589402</v>
      </c>
      <c r="BD54" s="13">
        <v>8.1045867981012503</v>
      </c>
    </row>
    <row r="55" spans="1:56" ht="11.25" customHeight="1" x14ac:dyDescent="0.25">
      <c r="A55" s="107"/>
      <c r="B55" s="107" t="s">
        <v>35</v>
      </c>
      <c r="C55" s="107" t="s">
        <v>47</v>
      </c>
      <c r="D55" s="107" t="s">
        <v>102</v>
      </c>
      <c r="E55" s="107" t="s">
        <v>25</v>
      </c>
      <c r="F55" s="107" t="s">
        <v>25</v>
      </c>
      <c r="G55" s="18" t="s">
        <v>83</v>
      </c>
      <c r="H55" s="18" t="s">
        <v>82</v>
      </c>
      <c r="I55" s="18">
        <f>'MERCADO TUSD'!$U$52</f>
        <v>0</v>
      </c>
      <c r="J55" s="15"/>
      <c r="L55" s="13">
        <f>('TUSD BE'!$L$55+'TUSD BF'!$L$55+'TUSD CVA'!$L$55)*(1 - CUSTOS!$M$40)</f>
        <v>18.493941000072798</v>
      </c>
      <c r="M55" s="13">
        <f>('TUSD BE'!$M$55+'TUSD BF'!$M$55+'TUSD CVA'!$M$55)*(1 - CUSTOS!$M$40)</f>
        <v>1.1345148788772594</v>
      </c>
      <c r="N55" s="13">
        <f ca="1">('TUSD BE'!$N$55+'TUSD BF'!$N$55+'TUSD CVA'!$N$55)*(1 - CUSTOS!$M$40)</f>
        <v>10.972612359785426</v>
      </c>
      <c r="O55" s="13">
        <f>('TUSD BE'!$O$55+'TUSD BF'!$O$55+'TUSD CVA'!$O$55)*(1 - CUSTOS!$M$40)</f>
        <v>0</v>
      </c>
      <c r="P55" s="13">
        <f>('TUSD BE'!$P$55+'TUSD BF'!$P$55+'TUSD CVA'!$P$55)*(1 - CUSTOS!$M$40)</f>
        <v>0</v>
      </c>
      <c r="Q55" s="13">
        <f>('TUSD BE'!$Q$55+'TUSD BF'!$Q$55+'TUSD CVA'!$Q$55)*(1 - CUSTOS!$M$40)</f>
        <v>45.968480417703653</v>
      </c>
      <c r="R55" s="13">
        <f>('TUSD BE'!$R$55+'TUSD BF'!$R$55+'TUSD CVA'!$R$55)*(1 - CUSTOS!$M$40)</f>
        <v>17.015030461277501</v>
      </c>
      <c r="S55" s="13">
        <f>('TUSD BE'!$S$55+'TUSD BF'!$S$55+'TUSD CVA'!$S$55)*(1 - CUSTOS!$M$40)</f>
        <v>0</v>
      </c>
      <c r="T55" s="13">
        <f>('TUSD BE'!$U$55+'TUSD BF'!$U$55+'TUSD CVA'!$U$55)*(1 - CUSTOS!$M$40)</f>
        <v>46.559625293793125</v>
      </c>
      <c r="U55" s="13">
        <f>('TUSD BE'!$V$55+'TUSD BF'!$V$55+'TUSD CVA'!$V$55)*(1 - CUSTOS!$M$40)</f>
        <v>50.863198950305765</v>
      </c>
      <c r="V55" s="13">
        <f>('TUSD BE'!$W$55+'TUSD BF'!$W$55+'TUSD CVA'!$W$55)*(1 - CUSTOS!$M$40)</f>
        <v>4.3779816532344658</v>
      </c>
      <c r="W55" s="13">
        <f>('TUSD BE'!$X$55+'TUSD BF'!$X$55+'TUSD CVA'!$X$55)*(1 - CUSTOS!$M$40)</f>
        <v>0</v>
      </c>
      <c r="X55" s="13">
        <f>('TUSD BE'!$Y$55+'TUSD BF'!$Y$55+'TUSD CVA'!$Y$55)*(1 - CUSTOS!$M$40)</f>
        <v>0</v>
      </c>
      <c r="Y55" s="13">
        <f>('TUSD BE'!$Z$55+'TUSD BF'!$Z$55+'TUSD CVA'!$Z$55)*(1 - CUSTOS!$M$40)</f>
        <v>0</v>
      </c>
      <c r="Z55" s="13">
        <f>('TUSD BE'!$AA$55+'TUSD BF'!$AA$55+'TUSD CVA'!$AA$55)*(1 - CUSTOS!$M$40)</f>
        <v>0</v>
      </c>
      <c r="AA55" s="13">
        <f>('TUSD BE'!$AC$55+'TUSD BF'!$AC$55+'TUSD CVA'!$AC$55)*(1 - CUSTOS!$M$40)</f>
        <v>957.31251174050794</v>
      </c>
      <c r="AB55" s="13">
        <f ca="1">('TUSD BE'!$AE$55+'TUSD BF'!$AE$55+'TUSD CVA'!$AE$55)*(1 - CUSTOS!$M$40)</f>
        <v>-106.65917941910192</v>
      </c>
      <c r="AC55" s="13">
        <f ca="1">('TUSD BE'!$AF$55+'TUSD BF'!$AF$55+'TUSD CVA'!$AF$55)*(1 - CUSTOS!$M$40)</f>
        <v>0</v>
      </c>
      <c r="AD55" s="13">
        <f>('TUSD BE'!$AH$55+'TUSD BF'!$AH$55+'TUSD CVA'!$AH$55)*(1 - CUSTOS!$M$40)</f>
        <v>29.970756921354894</v>
      </c>
      <c r="AE55" s="13">
        <f>('TUSD BE'!$AI$55+'TUSD BF'!$AI$55+'TUSD CVA'!$AI$55)*(1 - CUSTOS!$M$40)</f>
        <v>1.3858198278970386</v>
      </c>
      <c r="AF55" s="13">
        <f ca="1">('TUSD BE'!$AJ$55+'TUSD BF'!$AJ$55+'TUSD CVA'!$AJ$55)*(1 - CUSTOS!$M$40)</f>
        <v>28.953428858946772</v>
      </c>
      <c r="AG55" s="13">
        <f ca="1">('TUSD BE'!$AK$55+'TUSD BF'!$AK$55+'TUSD CVA'!$AK$55)*(1 - CUSTOS!$M$40)</f>
        <v>10.59039703324202</v>
      </c>
      <c r="AI55" s="13">
        <v>19.0709573294242</v>
      </c>
      <c r="AJ55" s="13">
        <v>0.97417452823601403</v>
      </c>
      <c r="AK55" s="13">
        <v>9.2019807251497596</v>
      </c>
      <c r="AL55" s="13">
        <v>0</v>
      </c>
      <c r="AM55" s="13">
        <v>0</v>
      </c>
      <c r="AN55" s="13">
        <v>21.493801413632902</v>
      </c>
      <c r="AO55" s="13">
        <v>9.3915416631109192</v>
      </c>
      <c r="AP55" s="13">
        <v>0</v>
      </c>
      <c r="AQ55" s="13">
        <v>28.051438223125299</v>
      </c>
      <c r="AR55" s="13">
        <v>35.9719427413227</v>
      </c>
      <c r="AS55" s="13">
        <v>3.1272484649743899</v>
      </c>
      <c r="AT55" s="13">
        <v>0</v>
      </c>
      <c r="AU55" s="13">
        <v>0</v>
      </c>
      <c r="AV55" s="13">
        <v>0</v>
      </c>
      <c r="AW55" s="13">
        <v>0</v>
      </c>
      <c r="AX55" s="13">
        <v>820.82682105980098</v>
      </c>
      <c r="AY55" s="13">
        <v>0</v>
      </c>
      <c r="AZ55" s="13">
        <v>0</v>
      </c>
      <c r="BA55" s="13">
        <v>17.737128765119799</v>
      </c>
      <c r="BB55" s="13">
        <v>0.75735694678187904</v>
      </c>
      <c r="BC55" s="13">
        <v>17.529419156062598</v>
      </c>
      <c r="BD55" s="13">
        <v>7.7361964890966401</v>
      </c>
    </row>
    <row r="56" spans="1:56" ht="11.25" customHeight="1" x14ac:dyDescent="0.25">
      <c r="A56" s="107"/>
      <c r="B56" s="107"/>
      <c r="C56" s="107"/>
      <c r="D56" s="107"/>
      <c r="E56" s="107"/>
      <c r="F56" s="107"/>
      <c r="G56" s="18" t="s">
        <v>98</v>
      </c>
      <c r="H56" s="18" t="s">
        <v>82</v>
      </c>
      <c r="I56" s="18">
        <f>'MERCADO TUSD'!$U$53</f>
        <v>0</v>
      </c>
      <c r="J56" s="15"/>
      <c r="L56" s="13">
        <f>('TUSD BE'!$L$56+'TUSD BF'!$L$56+'TUSD CVA'!$L$56)*(1 - CUSTOS!$M$40)</f>
        <v>18.493941000072798</v>
      </c>
      <c r="M56" s="13">
        <f>('TUSD BE'!$M$56+'TUSD BF'!$M$56+'TUSD CVA'!$M$56)*(1 - CUSTOS!$M$40)</f>
        <v>1.1345148788772594</v>
      </c>
      <c r="N56" s="13">
        <f ca="1">('TUSD BE'!$N$56+'TUSD BF'!$N$56+'TUSD CVA'!$N$56)*(1 - CUSTOS!$M$40)</f>
        <v>7.0248827276738552</v>
      </c>
      <c r="O56" s="13">
        <f>('TUSD BE'!$O$56+'TUSD BF'!$O$56+'TUSD CVA'!$O$56)*(1 - CUSTOS!$M$40)</f>
        <v>0</v>
      </c>
      <c r="P56" s="13">
        <f>('TUSD BE'!$P$56+'TUSD BF'!$P$56+'TUSD CVA'!$P$56)*(1 - CUSTOS!$M$40)</f>
        <v>0</v>
      </c>
      <c r="Q56" s="13">
        <f>('TUSD BE'!$Q$56+'TUSD BF'!$Q$56+'TUSD CVA'!$Q$56)*(1 - CUSTOS!$M$40)</f>
        <v>45.968480417703653</v>
      </c>
      <c r="R56" s="13">
        <f>('TUSD BE'!$R$56+'TUSD BF'!$R$56+'TUSD CVA'!$R$56)*(1 - CUSTOS!$M$40)</f>
        <v>17.015030461277501</v>
      </c>
      <c r="S56" s="13">
        <f>('TUSD BE'!$S$56+'TUSD BF'!$S$56+'TUSD CVA'!$S$56)*(1 - CUSTOS!$M$40)</f>
        <v>0</v>
      </c>
      <c r="T56" s="13">
        <f>('TUSD BE'!$U$56+'TUSD BF'!$U$56+'TUSD CVA'!$U$56)*(1 - CUSTOS!$M$40)</f>
        <v>27.935826731470652</v>
      </c>
      <c r="U56" s="13">
        <f>('TUSD BE'!$V$56+'TUSD BF'!$V$56+'TUSD CVA'!$V$56)*(1 - CUSTOS!$M$40)</f>
        <v>30.517882458897081</v>
      </c>
      <c r="V56" s="13">
        <f>('TUSD BE'!$W$56+'TUSD BF'!$W$56+'TUSD CVA'!$W$56)*(1 - CUSTOS!$M$40)</f>
        <v>2.6267596901425851</v>
      </c>
      <c r="W56" s="13">
        <f>('TUSD BE'!$X$56+'TUSD BF'!$X$56+'TUSD CVA'!$X$56)*(1 - CUSTOS!$M$40)</f>
        <v>0</v>
      </c>
      <c r="X56" s="13">
        <f>('TUSD BE'!$Y$56+'TUSD BF'!$Y$56+'TUSD CVA'!$Y$56)*(1 - CUSTOS!$M$40)</f>
        <v>0</v>
      </c>
      <c r="Y56" s="13">
        <f>('TUSD BE'!$Z$56+'TUSD BF'!$Z$56+'TUSD CVA'!$Z$56)*(1 - CUSTOS!$M$40)</f>
        <v>0</v>
      </c>
      <c r="Z56" s="13">
        <f>('TUSD BE'!$AA$56+'TUSD BF'!$AA$56+'TUSD CVA'!$AA$56)*(1 - CUSTOS!$M$40)</f>
        <v>0</v>
      </c>
      <c r="AA56" s="13">
        <f>('TUSD BE'!$AC$56+'TUSD BF'!$AC$56+'TUSD CVA'!$AC$56)*(1 - CUSTOS!$M$40)</f>
        <v>574.38746294324983</v>
      </c>
      <c r="AB56" s="13">
        <f ca="1">('TUSD BE'!$AE$56+'TUSD BF'!$AE$56+'TUSD CVA'!$AE$56)*(1 - CUSTOS!$M$40)</f>
        <v>-68.809756471148219</v>
      </c>
      <c r="AC56" s="13">
        <f ca="1">('TUSD BE'!$AF$56+'TUSD BF'!$AF$56+'TUSD CVA'!$AF$56)*(1 - CUSTOS!$M$40)</f>
        <v>0</v>
      </c>
      <c r="AD56" s="13">
        <f>('TUSD BE'!$AH$56+'TUSD BF'!$AH$56+'TUSD CVA'!$AH$56)*(1 - CUSTOS!$M$40)</f>
        <v>29.970756921354894</v>
      </c>
      <c r="AE56" s="13">
        <f>('TUSD BE'!$AI$56+'TUSD BF'!$AI$56+'TUSD CVA'!$AI$56)*(1 - CUSTOS!$M$40)</f>
        <v>1.3858198278970386</v>
      </c>
      <c r="AF56" s="13">
        <f ca="1">('TUSD BE'!$AJ$56+'TUSD BF'!$AJ$56+'TUSD CVA'!$AJ$56)*(1 - CUSTOS!$M$40)</f>
        <v>28.953428858946772</v>
      </c>
      <c r="AG56" s="13">
        <f ca="1">('TUSD BE'!$AK$56+'TUSD BF'!$AK$56+'TUSD CVA'!$AK$56)*(1 - CUSTOS!$M$40)</f>
        <v>10.59039703324202</v>
      </c>
      <c r="AI56" s="13">
        <v>19.0709573294242</v>
      </c>
      <c r="AJ56" s="13">
        <v>0.97417452823601403</v>
      </c>
      <c r="AK56" s="13">
        <v>5.8660686288779802</v>
      </c>
      <c r="AL56" s="13">
        <v>0</v>
      </c>
      <c r="AM56" s="13">
        <v>0</v>
      </c>
      <c r="AN56" s="13">
        <v>21.493801413632902</v>
      </c>
      <c r="AO56" s="13">
        <v>9.3915416631109192</v>
      </c>
      <c r="AP56" s="13">
        <v>0</v>
      </c>
      <c r="AQ56" s="13">
        <v>16.830893995065001</v>
      </c>
      <c r="AR56" s="13">
        <v>21.5831395400517</v>
      </c>
      <c r="AS56" s="13">
        <v>1.8763281483343099</v>
      </c>
      <c r="AT56" s="13">
        <v>0</v>
      </c>
      <c r="AU56" s="13">
        <v>0</v>
      </c>
      <c r="AV56" s="13">
        <v>0</v>
      </c>
      <c r="AW56" s="13">
        <v>0</v>
      </c>
      <c r="AX56" s="13">
        <v>492.496054822389</v>
      </c>
      <c r="AY56" s="13">
        <v>0</v>
      </c>
      <c r="AZ56" s="13">
        <v>0</v>
      </c>
      <c r="BA56" s="13">
        <v>17.737128765119799</v>
      </c>
      <c r="BB56" s="13">
        <v>0.75735694678187904</v>
      </c>
      <c r="BC56" s="13">
        <v>17.529419156062598</v>
      </c>
      <c r="BD56" s="13">
        <v>7.7361964890966401</v>
      </c>
    </row>
    <row r="57" spans="1:56" ht="11.25" customHeight="1" x14ac:dyDescent="0.25">
      <c r="A57" s="107"/>
      <c r="B57" s="107"/>
      <c r="C57" s="107"/>
      <c r="D57" s="107"/>
      <c r="E57" s="107"/>
      <c r="F57" s="107"/>
      <c r="G57" s="18" t="s">
        <v>84</v>
      </c>
      <c r="H57" s="18" t="s">
        <v>82</v>
      </c>
      <c r="I57" s="18">
        <f>'MERCADO TUSD'!$U$54</f>
        <v>0</v>
      </c>
      <c r="J57" s="15"/>
      <c r="L57" s="13">
        <f>('TUSD BE'!$L$57+'TUSD BF'!$L$57+'TUSD CVA'!$L$57)*(1 - CUSTOS!$M$40)</f>
        <v>18.493941000072798</v>
      </c>
      <c r="M57" s="13">
        <f>('TUSD BE'!$M$57+'TUSD BF'!$M$57+'TUSD CVA'!$M$57)*(1 - CUSTOS!$M$40)</f>
        <v>1.1345148788772594</v>
      </c>
      <c r="N57" s="13">
        <f ca="1">('TUSD BE'!$N$57+'TUSD BF'!$N$57+'TUSD CVA'!$N$57)*(1 - CUSTOS!$M$40)</f>
        <v>3.0771530955622834</v>
      </c>
      <c r="O57" s="13">
        <f>('TUSD BE'!$O$57+'TUSD BF'!$O$57+'TUSD CVA'!$O$57)*(1 - CUSTOS!$M$40)</f>
        <v>0</v>
      </c>
      <c r="P57" s="13">
        <f>('TUSD BE'!$P$57+'TUSD BF'!$P$57+'TUSD CVA'!$P$57)*(1 - CUSTOS!$M$40)</f>
        <v>0</v>
      </c>
      <c r="Q57" s="13">
        <f>('TUSD BE'!$Q$57+'TUSD BF'!$Q$57+'TUSD CVA'!$Q$57)*(1 - CUSTOS!$M$40)</f>
        <v>45.968480417703653</v>
      </c>
      <c r="R57" s="13">
        <f>('TUSD BE'!$R$57+'TUSD BF'!$R$57+'TUSD CVA'!$R$57)*(1 - CUSTOS!$M$40)</f>
        <v>17.015030461277501</v>
      </c>
      <c r="S57" s="13">
        <f>('TUSD BE'!$S$57+'TUSD BF'!$S$57+'TUSD CVA'!$S$57)*(1 - CUSTOS!$M$40)</f>
        <v>0</v>
      </c>
      <c r="T57" s="13">
        <f>('TUSD BE'!$U$57+'TUSD BF'!$U$57+'TUSD CVA'!$U$57)*(1 - CUSTOS!$M$40)</f>
        <v>9.3118992811612351</v>
      </c>
      <c r="U57" s="13">
        <f>('TUSD BE'!$V$57+'TUSD BF'!$V$57+'TUSD CVA'!$V$57)*(1 - CUSTOS!$M$40)</f>
        <v>10.17256596748841</v>
      </c>
      <c r="V57" s="13">
        <f>('TUSD BE'!$W$57+'TUSD BF'!$W$57+'TUSD CVA'!$W$57)*(1 - CUSTOS!$M$40)</f>
        <v>0.87553772705070498</v>
      </c>
      <c r="W57" s="13">
        <f>('TUSD BE'!$X$57+'TUSD BF'!$X$57+'TUSD CVA'!$X$57)*(1 - CUSTOS!$M$40)</f>
        <v>0</v>
      </c>
      <c r="X57" s="13">
        <f>('TUSD BE'!$Y$57+'TUSD BF'!$Y$57+'TUSD CVA'!$Y$57)*(1 - CUSTOS!$M$40)</f>
        <v>0</v>
      </c>
      <c r="Y57" s="13">
        <f>('TUSD BE'!$Z$57+'TUSD BF'!$Z$57+'TUSD CVA'!$Z$57)*(1 - CUSTOS!$M$40)</f>
        <v>0</v>
      </c>
      <c r="Z57" s="13">
        <f>('TUSD BE'!$AA$57+'TUSD BF'!$AA$57+'TUSD CVA'!$AA$57)*(1 - CUSTOS!$M$40)</f>
        <v>0</v>
      </c>
      <c r="AA57" s="13">
        <f>('TUSD BE'!$AC$57+'TUSD BF'!$AC$57+'TUSD CVA'!$AC$57)*(1 - CUSTOS!$M$40)</f>
        <v>191.46252439862894</v>
      </c>
      <c r="AB57" s="13">
        <f ca="1">('TUSD BE'!$AE$57+'TUSD BF'!$AE$57+'TUSD CVA'!$AE$57)*(1 - CUSTOS!$M$40)</f>
        <v>-30.960333601482766</v>
      </c>
      <c r="AC57" s="13">
        <f ca="1">('TUSD BE'!$AF$57+'TUSD BF'!$AF$57+'TUSD CVA'!$AF$57)*(1 - CUSTOS!$M$40)</f>
        <v>0</v>
      </c>
      <c r="AD57" s="13">
        <f>('TUSD BE'!$AH$57+'TUSD BF'!$AH$57+'TUSD CVA'!$AH$57)*(1 - CUSTOS!$M$40)</f>
        <v>29.970756921354894</v>
      </c>
      <c r="AE57" s="13">
        <f>('TUSD BE'!$AI$57+'TUSD BF'!$AI$57+'TUSD CVA'!$AI$57)*(1 - CUSTOS!$M$40)</f>
        <v>1.3858198278970386</v>
      </c>
      <c r="AF57" s="13">
        <f ca="1">('TUSD BE'!$AJ$57+'TUSD BF'!$AJ$57+'TUSD CVA'!$AJ$57)*(1 - CUSTOS!$M$40)</f>
        <v>28.953428858946772</v>
      </c>
      <c r="AG57" s="13">
        <f ca="1">('TUSD BE'!$AK$57+'TUSD BF'!$AK$57+'TUSD CVA'!$AK$57)*(1 - CUSTOS!$M$40)</f>
        <v>10.59039703324202</v>
      </c>
      <c r="AI57" s="13">
        <v>19.0709573294242</v>
      </c>
      <c r="AJ57" s="13">
        <v>0.97417452823601403</v>
      </c>
      <c r="AK57" s="13">
        <v>2.5301565326061999</v>
      </c>
      <c r="AL57" s="13">
        <v>0</v>
      </c>
      <c r="AM57" s="13">
        <v>0</v>
      </c>
      <c r="AN57" s="13">
        <v>21.493801413632902</v>
      </c>
      <c r="AO57" s="13">
        <v>9.3915416631109192</v>
      </c>
      <c r="AP57" s="13">
        <v>0</v>
      </c>
      <c r="AQ57" s="13">
        <v>5.6102721140301197</v>
      </c>
      <c r="AR57" s="13">
        <v>7.1943363387807802</v>
      </c>
      <c r="AS57" s="13">
        <v>0.62540783169422798</v>
      </c>
      <c r="AT57" s="13">
        <v>0</v>
      </c>
      <c r="AU57" s="13">
        <v>0</v>
      </c>
      <c r="AV57" s="13">
        <v>0</v>
      </c>
      <c r="AW57" s="13">
        <v>0</v>
      </c>
      <c r="AX57" s="13">
        <v>164.16538311870599</v>
      </c>
      <c r="AY57" s="13">
        <v>0</v>
      </c>
      <c r="AZ57" s="13">
        <v>0</v>
      </c>
      <c r="BA57" s="13">
        <v>17.737128765119799</v>
      </c>
      <c r="BB57" s="13">
        <v>0.75735694678187904</v>
      </c>
      <c r="BC57" s="13">
        <v>17.529419156062598</v>
      </c>
      <c r="BD57" s="13">
        <v>7.7361964890966401</v>
      </c>
    </row>
    <row r="58" spans="1:56" ht="11.25" customHeight="1" x14ac:dyDescent="0.25">
      <c r="A58" s="107"/>
      <c r="B58" s="17" t="s">
        <v>23</v>
      </c>
      <c r="C58" s="17" t="s">
        <v>47</v>
      </c>
      <c r="D58" s="17" t="s">
        <v>102</v>
      </c>
      <c r="E58" s="17" t="s">
        <v>25</v>
      </c>
      <c r="F58" s="17" t="s">
        <v>25</v>
      </c>
      <c r="G58" s="18" t="s">
        <v>88</v>
      </c>
      <c r="H58" s="18" t="s">
        <v>82</v>
      </c>
      <c r="I58" s="18">
        <f>'MERCADO TUSD'!$U$55</f>
        <v>0</v>
      </c>
      <c r="J58" s="15"/>
      <c r="L58" s="13">
        <f>('TUSD BE'!$L$58+'TUSD BF'!$L$58+'TUSD CVA'!$L$58)*(1 - CUSTOS!$M$40)</f>
        <v>18.493941000072798</v>
      </c>
      <c r="M58" s="13">
        <f>('TUSD BE'!$M$58+'TUSD BF'!$M$58+'TUSD CVA'!$M$58)*(1 - CUSTOS!$M$40)</f>
        <v>1.1345148788772594</v>
      </c>
      <c r="N58" s="13">
        <f ca="1">('TUSD BE'!$N$58+'TUSD BF'!$N$58+'TUSD CVA'!$N$58)*(1 - CUSTOS!$M$40)</f>
        <v>4.3391341610733534</v>
      </c>
      <c r="O58" s="13">
        <f>('TUSD BE'!$O$58+'TUSD BF'!$O$58+'TUSD CVA'!$O$58)*(1 - CUSTOS!$M$40)</f>
        <v>0</v>
      </c>
      <c r="P58" s="13">
        <f>('TUSD BE'!$P$58+'TUSD BF'!$P$58+'TUSD CVA'!$P$58)*(1 - CUSTOS!$M$40)</f>
        <v>0</v>
      </c>
      <c r="Q58" s="13">
        <f>('TUSD BE'!$Q$58+'TUSD BF'!$Q$58+'TUSD CVA'!$Q$58)*(1 - CUSTOS!$M$40)</f>
        <v>45.968480417703653</v>
      </c>
      <c r="R58" s="13">
        <f>('TUSD BE'!$R$58+'TUSD BF'!$R$58+'TUSD CVA'!$R$58)*(1 - CUSTOS!$M$40)</f>
        <v>17.015030461277501</v>
      </c>
      <c r="S58" s="13">
        <f>('TUSD BE'!$S$58+'TUSD BF'!$S$58+'TUSD CVA'!$S$58)*(1 - CUSTOS!$M$40)</f>
        <v>0</v>
      </c>
      <c r="T58" s="13">
        <f>('TUSD BE'!$U$58+'TUSD BF'!$U$58+'TUSD CVA'!$U$58)*(1 - CUSTOS!$M$40)</f>
        <v>15.26549317435412</v>
      </c>
      <c r="U58" s="13">
        <f>('TUSD BE'!$V$58+'TUSD BF'!$V$58+'TUSD CVA'!$V$58)*(1 - CUSTOS!$M$40)</f>
        <v>16.676519182536925</v>
      </c>
      <c r="V58" s="13">
        <f>('TUSD BE'!$W$58+'TUSD BF'!$W$58+'TUSD CVA'!$W$58)*(1 - CUSTOS!$M$40)</f>
        <v>1.4354950886283144</v>
      </c>
      <c r="W58" s="13">
        <f>('TUSD BE'!$X$58+'TUSD BF'!$X$58+'TUSD CVA'!$X$58)*(1 - CUSTOS!$M$40)</f>
        <v>0</v>
      </c>
      <c r="X58" s="13">
        <f>('TUSD BE'!$Y$58+'TUSD BF'!$Y$58+'TUSD CVA'!$Y$58)*(1 - CUSTOS!$M$40)</f>
        <v>0</v>
      </c>
      <c r="Y58" s="13">
        <f>('TUSD BE'!$Z$58+'TUSD BF'!$Z$58+'TUSD CVA'!$Z$58)*(1 - CUSTOS!$M$40)</f>
        <v>0</v>
      </c>
      <c r="Z58" s="13">
        <f>('TUSD BE'!$AA$58+'TUSD BF'!$AA$58+'TUSD CVA'!$AA$58)*(1 - CUSTOS!$M$40)</f>
        <v>0</v>
      </c>
      <c r="AA58" s="13">
        <f>('TUSD BE'!$AC$58+'TUSD BF'!$AC$58+'TUSD CVA'!$AC$58)*(1 - CUSTOS!$M$40)</f>
        <v>313.87294020965675</v>
      </c>
      <c r="AB58" s="13">
        <f ca="1">('TUSD BE'!$AE$58+'TUSD BF'!$AE$58+'TUSD CVA'!$AE$58)*(1 - CUSTOS!$M$40)</f>
        <v>-43.059763509576591</v>
      </c>
      <c r="AC58" s="13">
        <f ca="1">('TUSD BE'!$AF$58+'TUSD BF'!$AF$58+'TUSD CVA'!$AF$58)*(1 - CUSTOS!$M$40)</f>
        <v>0</v>
      </c>
      <c r="AD58" s="13">
        <f>('TUSD BE'!$AH$58+'TUSD BF'!$AH$58+'TUSD CVA'!$AH$58)*(1 - CUSTOS!$M$40)</f>
        <v>29.970756921354894</v>
      </c>
      <c r="AE58" s="13">
        <f>('TUSD BE'!$AI$58+'TUSD BF'!$AI$58+'TUSD CVA'!$AI$58)*(1 - CUSTOS!$M$40)</f>
        <v>1.3858198278970386</v>
      </c>
      <c r="AF58" s="13">
        <f ca="1">('TUSD BE'!$AJ$58+'TUSD BF'!$AJ$58+'TUSD CVA'!$AJ$58)*(1 - CUSTOS!$M$40)</f>
        <v>28.953428858946772</v>
      </c>
      <c r="AG58" s="13">
        <f ca="1">('TUSD BE'!$AK$58+'TUSD BF'!$AK$58+'TUSD CVA'!$AK$58)*(1 - CUSTOS!$M$40)</f>
        <v>10.59039703324202</v>
      </c>
      <c r="AI58" s="13">
        <v>19.0709573294242</v>
      </c>
      <c r="AJ58" s="13">
        <v>0.97417452823601403</v>
      </c>
      <c r="AK58" s="13">
        <v>3.5965562848740702</v>
      </c>
      <c r="AL58" s="13">
        <v>0</v>
      </c>
      <c r="AM58" s="13">
        <v>0</v>
      </c>
      <c r="AN58" s="13">
        <v>21.493801413632902</v>
      </c>
      <c r="AO58" s="13">
        <v>9.3915416631109192</v>
      </c>
      <c r="AP58" s="13">
        <v>0</v>
      </c>
      <c r="AQ58" s="13">
        <v>9.1972183200327695</v>
      </c>
      <c r="AR58" s="13">
        <v>11.794122381977701</v>
      </c>
      <c r="AS58" s="13">
        <v>1.0253925593942499</v>
      </c>
      <c r="AT58" s="13">
        <v>0</v>
      </c>
      <c r="AU58" s="13">
        <v>0</v>
      </c>
      <c r="AV58" s="13">
        <v>0</v>
      </c>
      <c r="AW58" s="13">
        <v>0</v>
      </c>
      <c r="AX58" s="13">
        <v>269.12353549059299</v>
      </c>
      <c r="AY58" s="13">
        <v>0</v>
      </c>
      <c r="AZ58" s="13">
        <v>0</v>
      </c>
      <c r="BA58" s="13">
        <v>17.737128765119799</v>
      </c>
      <c r="BB58" s="13">
        <v>0.75735694678187904</v>
      </c>
      <c r="BC58" s="13">
        <v>17.529419156062598</v>
      </c>
      <c r="BD58" s="13">
        <v>7.7361964890966401</v>
      </c>
    </row>
    <row r="59" spans="1:56" ht="11.25" customHeight="1" x14ac:dyDescent="0.25">
      <c r="A59" s="107"/>
      <c r="B59" s="107" t="s">
        <v>100</v>
      </c>
      <c r="C59" s="107" t="s">
        <v>47</v>
      </c>
      <c r="D59" s="17" t="s">
        <v>25</v>
      </c>
      <c r="E59" s="17" t="s">
        <v>25</v>
      </c>
      <c r="F59" s="17" t="s">
        <v>25</v>
      </c>
      <c r="G59" s="18" t="s">
        <v>88</v>
      </c>
      <c r="H59" s="18" t="s">
        <v>82</v>
      </c>
      <c r="I59" s="18">
        <f>'MERCADO TUSD'!$U$56</f>
        <v>0</v>
      </c>
      <c r="J59" s="15"/>
      <c r="L59" s="13">
        <f>('TUSD BE'!$L$59+'TUSD BF'!$L$59+'TUSD CVA'!$L$59)*(1 - CUSTOS!$M$38)</f>
        <v>18.895983195726551</v>
      </c>
      <c r="M59" s="13">
        <f>('TUSD BE'!$M$59+'TUSD BF'!$M$59+'TUSD CVA'!$M$59)*(1 - CUSTOS!$M$38)</f>
        <v>1.1591782458093736</v>
      </c>
      <c r="N59" s="13">
        <f ca="1">('TUSD BE'!$N$59+'TUSD BF'!$N$59+'TUSD CVA'!$N$59)*(1 - CUSTOS!$M$38)</f>
        <v>4.433463164574948</v>
      </c>
      <c r="O59" s="13">
        <f>('TUSD BE'!$O$59+'TUSD BF'!$O$59+'TUSD CVA'!$O$59)*(1 - CUSTOS!$M$38)</f>
        <v>0</v>
      </c>
      <c r="P59" s="13">
        <f>('TUSD BE'!$P$59+'TUSD BF'!$P$59+'TUSD CVA'!$P$59)*(1 - CUSTOS!$M$38)</f>
        <v>0</v>
      </c>
      <c r="Q59" s="13">
        <f>('TUSD BE'!$Q$59+'TUSD BF'!$Q$59+'TUSD CVA'!$Q$59)*(1 - CUSTOS!$M$38)</f>
        <v>46.967795209392861</v>
      </c>
      <c r="R59" s="13">
        <f>('TUSD BE'!$R$59+'TUSD BF'!$R$59+'TUSD CVA'!$R$59)*(1 - CUSTOS!$M$38)</f>
        <v>17.384922427827011</v>
      </c>
      <c r="S59" s="13">
        <f>('TUSD BE'!$S$59+'TUSD BF'!$S$59+'TUSD CVA'!$S$59)*(1 - CUSTOS!$M$38)</f>
        <v>0</v>
      </c>
      <c r="T59" s="13">
        <f>('TUSD BE'!$U$59+'TUSD BF'!$U$59+'TUSD CVA'!$U$59)*(1 - CUSTOS!$M$38)</f>
        <v>15.597351721622687</v>
      </c>
      <c r="U59" s="13">
        <f>('TUSD BE'!$V$59+'TUSD BF'!$V$59+'TUSD CVA'!$V$59)*(1 - CUSTOS!$M$38)</f>
        <v>17.039052208244247</v>
      </c>
      <c r="V59" s="13">
        <f>('TUSD BE'!$W$59+'TUSD BF'!$W$59+'TUSD CVA'!$W$59)*(1 - CUSTOS!$M$38)</f>
        <v>1.4667015035984949</v>
      </c>
      <c r="W59" s="13">
        <f>('TUSD BE'!$X$59+'TUSD BF'!$X$59+'TUSD CVA'!$X$59)*(1 - CUSTOS!$M$38)</f>
        <v>0</v>
      </c>
      <c r="X59" s="13">
        <f>('TUSD BE'!$Y$59+'TUSD BF'!$Y$59+'TUSD CVA'!$Y$59)*(1 - CUSTOS!$M$38)</f>
        <v>0</v>
      </c>
      <c r="Y59" s="13">
        <f>('TUSD BE'!$Z$59+'TUSD BF'!$Z$59+'TUSD CVA'!$Z$59)*(1 - CUSTOS!$M$38)</f>
        <v>0</v>
      </c>
      <c r="Z59" s="13">
        <f>('TUSD BE'!$AA$59+'TUSD BF'!$AA$59+'TUSD CVA'!$AA$59)*(1 - CUSTOS!$M$38)</f>
        <v>0</v>
      </c>
      <c r="AA59" s="13">
        <f>('TUSD BE'!$AC$59+'TUSD BF'!$AC$59+'TUSD CVA'!$AC$59)*(1 - CUSTOS!$M$38)</f>
        <v>320.69626499682312</v>
      </c>
      <c r="AB59" s="13">
        <f ca="1">('TUSD BE'!$AE$59+'TUSD BF'!$AE$59+'TUSD CVA'!$AE$59)*(1 - CUSTOS!$M$38)</f>
        <v>-43.995845325002165</v>
      </c>
      <c r="AC59" s="13">
        <f ca="1">('TUSD BE'!$AF$59+'TUSD BF'!$AF$59+'TUSD CVA'!$AF$59)*(1 - CUSTOS!$M$38)</f>
        <v>0</v>
      </c>
      <c r="AD59" s="13">
        <f>('TUSD BE'!$AH$59+'TUSD BF'!$AH$59+'TUSD CVA'!$AH$59)*(1 - CUSTOS!$M$38)</f>
        <v>30.622295115297387</v>
      </c>
      <c r="AE59" s="13">
        <f>('TUSD BE'!$AI$59+'TUSD BF'!$AI$59+'TUSD CVA'!$AI$59)*(1 - CUSTOS!$M$38)</f>
        <v>1.4159463458948001</v>
      </c>
      <c r="AF59" s="13">
        <f ca="1">('TUSD BE'!$AJ$59+'TUSD BF'!$AJ$59+'TUSD CVA'!$AJ$59)*(1 - CUSTOS!$M$38)</f>
        <v>29.582851225445612</v>
      </c>
      <c r="AG59" s="13">
        <f ca="1">('TUSD BE'!$AK$59+'TUSD BF'!$AK$59+'TUSD CVA'!$AK$59)*(1 - CUSTOS!$M$38)</f>
        <v>10.820623055703802</v>
      </c>
      <c r="AI59" s="13">
        <v>19.979098154634901</v>
      </c>
      <c r="AJ59" s="13">
        <v>1.02056379148535</v>
      </c>
      <c r="AK59" s="13">
        <v>3.7678208698680802</v>
      </c>
      <c r="AL59" s="13">
        <v>0</v>
      </c>
      <c r="AM59" s="13">
        <v>0</v>
      </c>
      <c r="AN59" s="13">
        <v>22.517315766663</v>
      </c>
      <c r="AO59" s="13">
        <v>9.8387579327828707</v>
      </c>
      <c r="AP59" s="13">
        <v>0</v>
      </c>
      <c r="AQ59" s="13">
        <v>9.6351810971771901</v>
      </c>
      <c r="AR59" s="13">
        <v>12.35574725731</v>
      </c>
      <c r="AS59" s="13">
        <v>1.0742207765082601</v>
      </c>
      <c r="AT59" s="13">
        <v>0</v>
      </c>
      <c r="AU59" s="13">
        <v>0</v>
      </c>
      <c r="AV59" s="13">
        <v>0</v>
      </c>
      <c r="AW59" s="13">
        <v>0</v>
      </c>
      <c r="AX59" s="13">
        <v>281.93894194252601</v>
      </c>
      <c r="AY59" s="13">
        <v>0</v>
      </c>
      <c r="AZ59" s="13">
        <v>0</v>
      </c>
      <c r="BA59" s="13">
        <v>18.5817539444113</v>
      </c>
      <c r="BB59" s="13">
        <v>0.793421563295301</v>
      </c>
      <c r="BC59" s="13">
        <v>18.364153401589402</v>
      </c>
      <c r="BD59" s="13">
        <v>8.1045867981012503</v>
      </c>
    </row>
    <row r="60" spans="1:56" ht="11.25" customHeight="1" x14ac:dyDescent="0.25">
      <c r="A60" s="107"/>
      <c r="B60" s="107"/>
      <c r="C60" s="107"/>
      <c r="D60" s="17" t="s">
        <v>101</v>
      </c>
      <c r="E60" s="17" t="s">
        <v>25</v>
      </c>
      <c r="F60" s="17" t="s">
        <v>25</v>
      </c>
      <c r="G60" s="18" t="s">
        <v>88</v>
      </c>
      <c r="H60" s="18" t="s">
        <v>82</v>
      </c>
      <c r="I60" s="18">
        <f>'MERCADO TUSD'!$U$57</f>
        <v>0</v>
      </c>
      <c r="J60" s="15"/>
      <c r="L60" s="13">
        <f>('TUSD BE'!$L$60+'TUSD BF'!$L$60+'TUSD CVA'!$L$60)*(1 - CUSTOS!$M$39)</f>
        <v>18.895983195726551</v>
      </c>
      <c r="M60" s="13">
        <f>('TUSD BE'!$M$60+'TUSD BF'!$M$60+'TUSD CVA'!$M$60)*(1 - CUSTOS!$M$39)</f>
        <v>1.1591782458093736</v>
      </c>
      <c r="N60" s="13">
        <f ca="1">('TUSD BE'!$N$60+'TUSD BF'!$N$60+'TUSD CVA'!$N$60)*(1 - CUSTOS!$M$39)</f>
        <v>4.433463164574948</v>
      </c>
      <c r="O60" s="13">
        <f>('TUSD BE'!$O$60+'TUSD BF'!$O$60+'TUSD CVA'!$O$60)*(1 - CUSTOS!$M$39)</f>
        <v>0</v>
      </c>
      <c r="P60" s="13">
        <f>('TUSD BE'!$P$60+'TUSD BF'!$P$60+'TUSD CVA'!$P$60)*(1 - CUSTOS!$M$39)</f>
        <v>0</v>
      </c>
      <c r="Q60" s="13">
        <f>('TUSD BE'!$Q$60+'TUSD BF'!$Q$60+'TUSD CVA'!$Q$60)*(1 - CUSTOS!$M$39)</f>
        <v>46.967795209392861</v>
      </c>
      <c r="R60" s="13">
        <f>('TUSD BE'!$R$60+'TUSD BF'!$R$60+'TUSD CVA'!$R$60)*(1 - CUSTOS!$M$39)</f>
        <v>17.384922427827011</v>
      </c>
      <c r="S60" s="13">
        <f>('TUSD BE'!$S$60+'TUSD BF'!$S$60+'TUSD CVA'!$S$60)*(1 - CUSTOS!$M$39)</f>
        <v>0</v>
      </c>
      <c r="T60" s="13">
        <f>('TUSD BE'!$U$60+'TUSD BF'!$U$60+'TUSD CVA'!$U$60)*(1 - CUSTOS!$M$39)</f>
        <v>15.597351721622687</v>
      </c>
      <c r="U60" s="13">
        <f>('TUSD BE'!$V$60+'TUSD BF'!$V$60+'TUSD CVA'!$V$60)*(1 - CUSTOS!$M$39)</f>
        <v>17.039052208244247</v>
      </c>
      <c r="V60" s="13">
        <f>('TUSD BE'!$W$60+'TUSD BF'!$W$60+'TUSD CVA'!$W$60)*(1 - CUSTOS!$M$39)</f>
        <v>1.4667015035984949</v>
      </c>
      <c r="W60" s="13">
        <f>('TUSD BE'!$X$60+'TUSD BF'!$X$60+'TUSD CVA'!$X$60)*(1 - CUSTOS!$M$39)</f>
        <v>0</v>
      </c>
      <c r="X60" s="13">
        <f>('TUSD BE'!$Y$60+'TUSD BF'!$Y$60+'TUSD CVA'!$Y$60)*(1 - CUSTOS!$M$39)</f>
        <v>0</v>
      </c>
      <c r="Y60" s="13">
        <f>('TUSD BE'!$Z$60+'TUSD BF'!$Z$60+'TUSD CVA'!$Z$60)*(1 - CUSTOS!$M$39)</f>
        <v>0</v>
      </c>
      <c r="Z60" s="13">
        <f>('TUSD BE'!$AA$60+'TUSD BF'!$AA$60+'TUSD CVA'!$AA$60)*(1 - CUSTOS!$M$39)</f>
        <v>0</v>
      </c>
      <c r="AA60" s="13">
        <f>('TUSD BE'!$AC$60+'TUSD BF'!$AC$60+'TUSD CVA'!$AC$60)*(1 - CUSTOS!$M$39)</f>
        <v>320.69626499682312</v>
      </c>
      <c r="AB60" s="13">
        <f ca="1">('TUSD BE'!$AE$60+'TUSD BF'!$AE$60+'TUSD CVA'!$AE$60)*(1 - CUSTOS!$M$39)</f>
        <v>-43.995845325002165</v>
      </c>
      <c r="AC60" s="13">
        <f ca="1">('TUSD BE'!$AF$60+'TUSD BF'!$AF$60+'TUSD CVA'!$AF$60)*(1 - CUSTOS!$M$39)</f>
        <v>0</v>
      </c>
      <c r="AD60" s="13">
        <f>('TUSD BE'!$AH$60+'TUSD BF'!$AH$60+'TUSD CVA'!$AH$60)*(1 - CUSTOS!$M$39)</f>
        <v>30.622295115297387</v>
      </c>
      <c r="AE60" s="13">
        <f>('TUSD BE'!$AI$60+'TUSD BF'!$AI$60+'TUSD CVA'!$AI$60)*(1 - CUSTOS!$M$39)</f>
        <v>1.4159463458948001</v>
      </c>
      <c r="AF60" s="13">
        <f ca="1">('TUSD BE'!$AJ$60+'TUSD BF'!$AJ$60+'TUSD CVA'!$AJ$60)*(1 - CUSTOS!$M$39)</f>
        <v>29.582851225445612</v>
      </c>
      <c r="AG60" s="13">
        <f ca="1">('TUSD BE'!$AK$60+'TUSD BF'!$AK$60+'TUSD CVA'!$AK$60)*(1 - CUSTOS!$M$39)</f>
        <v>10.820623055703802</v>
      </c>
      <c r="AI60" s="13">
        <v>19.979098154634901</v>
      </c>
      <c r="AJ60" s="13">
        <v>1.02056379148535</v>
      </c>
      <c r="AK60" s="13">
        <v>3.7678208698680802</v>
      </c>
      <c r="AL60" s="13">
        <v>0</v>
      </c>
      <c r="AM60" s="13">
        <v>0</v>
      </c>
      <c r="AN60" s="13">
        <v>22.517315766663</v>
      </c>
      <c r="AO60" s="13">
        <v>9.8387579327828707</v>
      </c>
      <c r="AP60" s="13">
        <v>0</v>
      </c>
      <c r="AQ60" s="13">
        <v>9.6351810971771901</v>
      </c>
      <c r="AR60" s="13">
        <v>12.35574725731</v>
      </c>
      <c r="AS60" s="13">
        <v>1.0742207765082601</v>
      </c>
      <c r="AT60" s="13">
        <v>0</v>
      </c>
      <c r="AU60" s="13">
        <v>0</v>
      </c>
      <c r="AV60" s="13">
        <v>0</v>
      </c>
      <c r="AW60" s="13">
        <v>0</v>
      </c>
      <c r="AX60" s="13">
        <v>281.93894194252601</v>
      </c>
      <c r="AY60" s="13">
        <v>0</v>
      </c>
      <c r="AZ60" s="13">
        <v>0</v>
      </c>
      <c r="BA60" s="13">
        <v>18.5817539444113</v>
      </c>
      <c r="BB60" s="13">
        <v>0.793421563295301</v>
      </c>
      <c r="BC60" s="13">
        <v>18.364153401589402</v>
      </c>
      <c r="BD60" s="13">
        <v>8.1045867981012503</v>
      </c>
    </row>
    <row r="61" spans="1:56" ht="11.25" customHeight="1" x14ac:dyDescent="0.25">
      <c r="A61" s="107"/>
      <c r="B61" s="107"/>
      <c r="C61" s="107"/>
      <c r="D61" s="17" t="s">
        <v>102</v>
      </c>
      <c r="E61" s="17" t="s">
        <v>25</v>
      </c>
      <c r="F61" s="17" t="s">
        <v>25</v>
      </c>
      <c r="G61" s="18" t="s">
        <v>88</v>
      </c>
      <c r="H61" s="18" t="s">
        <v>82</v>
      </c>
      <c r="I61" s="18">
        <f>'MERCADO TUSD'!$U$58</f>
        <v>0</v>
      </c>
      <c r="J61" s="15"/>
      <c r="L61" s="13">
        <f>('TUSD BE'!$L$61+'TUSD BF'!$L$61+'TUSD CVA'!$L$61)*(1 - CUSTOS!$M$40)</f>
        <v>18.493941000072798</v>
      </c>
      <c r="M61" s="13">
        <f>('TUSD BE'!$M$61+'TUSD BF'!$M$61+'TUSD CVA'!$M$61)*(1 - CUSTOS!$M$40)</f>
        <v>1.1345148788772594</v>
      </c>
      <c r="N61" s="13">
        <f ca="1">('TUSD BE'!$N$61+'TUSD BF'!$N$61+'TUSD CVA'!$N$61)*(1 - CUSTOS!$M$40)</f>
        <v>4.3391341610733534</v>
      </c>
      <c r="O61" s="13">
        <f>('TUSD BE'!$O$61+'TUSD BF'!$O$61+'TUSD CVA'!$O$61)*(1 - CUSTOS!$M$40)</f>
        <v>0</v>
      </c>
      <c r="P61" s="13">
        <f>('TUSD BE'!$P$61+'TUSD BF'!$P$61+'TUSD CVA'!$P$61)*(1 - CUSTOS!$M$40)</f>
        <v>0</v>
      </c>
      <c r="Q61" s="13">
        <f>('TUSD BE'!$Q$61+'TUSD BF'!$Q$61+'TUSD CVA'!$Q$61)*(1 - CUSTOS!$M$40)</f>
        <v>45.968480417703653</v>
      </c>
      <c r="R61" s="13">
        <f>('TUSD BE'!$R$61+'TUSD BF'!$R$61+'TUSD CVA'!$R$61)*(1 - CUSTOS!$M$40)</f>
        <v>17.015030461277501</v>
      </c>
      <c r="S61" s="13">
        <f>('TUSD BE'!$S$61+'TUSD BF'!$S$61+'TUSD CVA'!$S$61)*(1 - CUSTOS!$M$40)</f>
        <v>0</v>
      </c>
      <c r="T61" s="13">
        <f>('TUSD BE'!$U$61+'TUSD BF'!$U$61+'TUSD CVA'!$U$61)*(1 - CUSTOS!$M$40)</f>
        <v>15.26549317435412</v>
      </c>
      <c r="U61" s="13">
        <f>('TUSD BE'!$V$61+'TUSD BF'!$V$61+'TUSD CVA'!$V$61)*(1 - CUSTOS!$M$40)</f>
        <v>16.676519182536925</v>
      </c>
      <c r="V61" s="13">
        <f>('TUSD BE'!$W$61+'TUSD BF'!$W$61+'TUSD CVA'!$W$61)*(1 - CUSTOS!$M$40)</f>
        <v>1.4354950886283144</v>
      </c>
      <c r="W61" s="13">
        <f>('TUSD BE'!$X$61+'TUSD BF'!$X$61+'TUSD CVA'!$X$61)*(1 - CUSTOS!$M$40)</f>
        <v>0</v>
      </c>
      <c r="X61" s="13">
        <f>('TUSD BE'!$Y$61+'TUSD BF'!$Y$61+'TUSD CVA'!$Y$61)*(1 - CUSTOS!$M$40)</f>
        <v>0</v>
      </c>
      <c r="Y61" s="13">
        <f>('TUSD BE'!$Z$61+'TUSD BF'!$Z$61+'TUSD CVA'!$Z$61)*(1 - CUSTOS!$M$40)</f>
        <v>0</v>
      </c>
      <c r="Z61" s="13">
        <f>('TUSD BE'!$AA$61+'TUSD BF'!$AA$61+'TUSD CVA'!$AA$61)*(1 - CUSTOS!$M$40)</f>
        <v>0</v>
      </c>
      <c r="AA61" s="13">
        <f>('TUSD BE'!$AC$61+'TUSD BF'!$AC$61+'TUSD CVA'!$AC$61)*(1 - CUSTOS!$M$40)</f>
        <v>313.87294020965675</v>
      </c>
      <c r="AB61" s="13">
        <f ca="1">('TUSD BE'!$AE$61+'TUSD BF'!$AE$61+'TUSD CVA'!$AE$61)*(1 - CUSTOS!$M$40)</f>
        <v>-43.059763509576591</v>
      </c>
      <c r="AC61" s="13">
        <f ca="1">('TUSD BE'!$AF$61+'TUSD BF'!$AF$61+'TUSD CVA'!$AF$61)*(1 - CUSTOS!$M$40)</f>
        <v>0</v>
      </c>
      <c r="AD61" s="13">
        <f>('TUSD BE'!$AH$61+'TUSD BF'!$AH$61+'TUSD CVA'!$AH$61)*(1 - CUSTOS!$M$40)</f>
        <v>29.970756921354894</v>
      </c>
      <c r="AE61" s="13">
        <f>('TUSD BE'!$AI$61+'TUSD BF'!$AI$61+'TUSD CVA'!$AI$61)*(1 - CUSTOS!$M$40)</f>
        <v>1.3858198278970386</v>
      </c>
      <c r="AF61" s="13">
        <f ca="1">('TUSD BE'!$AJ$61+'TUSD BF'!$AJ$61+'TUSD CVA'!$AJ$61)*(1 - CUSTOS!$M$40)</f>
        <v>28.953428858946772</v>
      </c>
      <c r="AG61" s="13">
        <f ca="1">('TUSD BE'!$AK$61+'TUSD BF'!$AK$61+'TUSD CVA'!$AK$61)*(1 - CUSTOS!$M$40)</f>
        <v>10.59039703324202</v>
      </c>
      <c r="AI61" s="13">
        <v>19.0709573294242</v>
      </c>
      <c r="AJ61" s="13">
        <v>0.97417452823601403</v>
      </c>
      <c r="AK61" s="13">
        <v>3.5965562848740702</v>
      </c>
      <c r="AL61" s="13">
        <v>0</v>
      </c>
      <c r="AM61" s="13">
        <v>0</v>
      </c>
      <c r="AN61" s="13">
        <v>21.493801413632902</v>
      </c>
      <c r="AO61" s="13">
        <v>9.3915416631109192</v>
      </c>
      <c r="AP61" s="13">
        <v>0</v>
      </c>
      <c r="AQ61" s="13">
        <v>9.1972183200327695</v>
      </c>
      <c r="AR61" s="13">
        <v>11.794122381977701</v>
      </c>
      <c r="AS61" s="13">
        <v>1.0253925593942499</v>
      </c>
      <c r="AT61" s="13">
        <v>0</v>
      </c>
      <c r="AU61" s="13">
        <v>0</v>
      </c>
      <c r="AV61" s="13">
        <v>0</v>
      </c>
      <c r="AW61" s="13">
        <v>0</v>
      </c>
      <c r="AX61" s="13">
        <v>269.12353549059299</v>
      </c>
      <c r="AY61" s="13">
        <v>0</v>
      </c>
      <c r="AZ61" s="13">
        <v>0</v>
      </c>
      <c r="BA61" s="13">
        <v>17.737128765119799</v>
      </c>
      <c r="BB61" s="13">
        <v>0.75735694678187904</v>
      </c>
      <c r="BC61" s="13">
        <v>17.529419156062598</v>
      </c>
      <c r="BD61" s="13">
        <v>7.7361964890966401</v>
      </c>
    </row>
    <row r="62" spans="1:56" ht="11.25" customHeight="1" x14ac:dyDescent="0.25">
      <c r="A62" s="107" t="s">
        <v>39</v>
      </c>
      <c r="B62" s="107" t="s">
        <v>35</v>
      </c>
      <c r="C62" s="107" t="s">
        <v>25</v>
      </c>
      <c r="D62" s="107" t="s">
        <v>25</v>
      </c>
      <c r="E62" s="107" t="s">
        <v>25</v>
      </c>
      <c r="F62" s="107" t="s">
        <v>25</v>
      </c>
      <c r="G62" s="18" t="s">
        <v>83</v>
      </c>
      <c r="H62" s="18" t="s">
        <v>82</v>
      </c>
      <c r="I62" s="18">
        <f>'MERCADO TUSD'!$U$59</f>
        <v>79.968999999999994</v>
      </c>
      <c r="J62" s="15"/>
      <c r="L62" s="13">
        <f>('TUSD BE'!$L$62+'TUSD BF'!$L$62+'TUSD CVA'!$L$62)*1</f>
        <v>20.102109782687823</v>
      </c>
      <c r="M62" s="13">
        <f>('TUSD BE'!$M$62+'TUSD BF'!$M$62+'TUSD CVA'!$M$62)*1</f>
        <v>1.2331683466057166</v>
      </c>
      <c r="N62" s="13">
        <f ca="1">('TUSD BE'!$N$62+'TUSD BF'!$N$62+'TUSD CVA'!$N$62)*1</f>
        <v>13.15778106159963</v>
      </c>
      <c r="O62" s="13">
        <f>('TUSD BE'!$O$62+'TUSD BF'!$O$62+'TUSD CVA'!$O$62)*1</f>
        <v>0</v>
      </c>
      <c r="P62" s="13">
        <f>('TUSD BE'!$P$62+'TUSD BF'!$P$62+'TUSD CVA'!$P$62)*1</f>
        <v>0</v>
      </c>
      <c r="Q62" s="13">
        <f>('TUSD BE'!$Q$62+'TUSD BF'!$Q$62+'TUSD CVA'!$Q$62)*1</f>
        <v>49.965739584460493</v>
      </c>
      <c r="R62" s="13">
        <f>('TUSD BE'!$R$62+'TUSD BF'!$R$62+'TUSD CVA'!$R$62)*1</f>
        <v>18.494598327475543</v>
      </c>
      <c r="S62" s="13">
        <f>('TUSD BE'!$S$62+'TUSD BF'!$S$62+'TUSD CVA'!$S$62)*1</f>
        <v>0</v>
      </c>
      <c r="T62" s="13">
        <f>('TUSD BE'!$U$62+'TUSD BF'!$U$62+'TUSD CVA'!$U$62)*1</f>
        <v>56.41581294001854</v>
      </c>
      <c r="U62" s="13">
        <f>('TUSD BE'!$V$62+'TUSD BF'!$V$62+'TUSD CVA'!$V$62)*1</f>
        <v>61.630413765427917</v>
      </c>
      <c r="V62" s="13">
        <f>('TUSD BE'!$W$62+'TUSD BF'!$W$62+'TUSD CVA'!$W$62)*1</f>
        <v>5.3048994462475054</v>
      </c>
      <c r="W62" s="13">
        <f>('TUSD BE'!$X$62+'TUSD BF'!$X$62+'TUSD CVA'!$X$62)*1</f>
        <v>0</v>
      </c>
      <c r="X62" s="13">
        <f>('TUSD BE'!$Y$62+'TUSD BF'!$Y$62+'TUSD CVA'!$Y$62)*1</f>
        <v>0</v>
      </c>
      <c r="Y62" s="13">
        <f>('TUSD BE'!$Z$62+'TUSD BF'!$Z$62+'TUSD CVA'!$Z$62)*1</f>
        <v>0</v>
      </c>
      <c r="Z62" s="13">
        <f>('TUSD BE'!$AA$62+'TUSD BF'!$AA$62+'TUSD CVA'!$AA$62)*1</f>
        <v>0</v>
      </c>
      <c r="AA62" s="13">
        <f>('TUSD BE'!$AC$62+'TUSD BF'!$AC$62+'TUSD CVA'!$AC$62)*1</f>
        <v>1159.9652377862612</v>
      </c>
      <c r="AB62" s="13">
        <f ca="1">('TUSD BE'!$AE$62+'TUSD BF'!$AE$62+'TUSD CVA'!$AE$62)*1</f>
        <v>-127.73655599169918</v>
      </c>
      <c r="AC62" s="13">
        <f ca="1">('TUSD BE'!$AF$62+'TUSD BF'!$AF$62+'TUSD CVA'!$AF$62)*1</f>
        <v>0</v>
      </c>
      <c r="AD62" s="13">
        <f>('TUSD BE'!$AH$62+'TUSD BF'!$AH$62+'TUSD CVA'!$AH$62)*1</f>
        <v>32.576909697124883</v>
      </c>
      <c r="AE62" s="13">
        <f>('TUSD BE'!$AI$62+'TUSD BF'!$AI$62+'TUSD CVA'!$AI$62)*1</f>
        <v>1.5063258998880853</v>
      </c>
      <c r="AF62" s="13">
        <f ca="1">('TUSD BE'!$AJ$62+'TUSD BF'!$AJ$62+'TUSD CVA'!$AJ$62)*1</f>
        <v>31.471118324942143</v>
      </c>
      <c r="AG62" s="13">
        <f ca="1">('TUSD BE'!$AK$62+'TUSD BF'!$AK$62+'TUSD CVA'!$AK$62)*1</f>
        <v>11.511301123089151</v>
      </c>
      <c r="AI62" s="13">
        <v>22.703520630267001</v>
      </c>
      <c r="AJ62" s="13">
        <v>1.15973158123335</v>
      </c>
      <c r="AK62" s="13">
        <v>12.0940540346307</v>
      </c>
      <c r="AL62" s="13">
        <v>0</v>
      </c>
      <c r="AM62" s="13">
        <v>0</v>
      </c>
      <c r="AN62" s="13">
        <v>25.587858825753401</v>
      </c>
      <c r="AO62" s="13">
        <v>11.1804067417987</v>
      </c>
      <c r="AP62" s="13">
        <v>0</v>
      </c>
      <c r="AQ62" s="13">
        <v>37.226743613258002</v>
      </c>
      <c r="AR62" s="13">
        <v>47.7379590178749</v>
      </c>
      <c r="AS62" s="13">
        <v>4.1502489500458504</v>
      </c>
      <c r="AT62" s="13">
        <v>0</v>
      </c>
      <c r="AU62" s="13">
        <v>0</v>
      </c>
      <c r="AV62" s="13">
        <v>0</v>
      </c>
      <c r="AW62" s="13">
        <v>0</v>
      </c>
      <c r="AX62" s="13">
        <v>1089.3095709223401</v>
      </c>
      <c r="AY62" s="13">
        <v>0</v>
      </c>
      <c r="AZ62" s="13">
        <v>0</v>
      </c>
      <c r="BA62" s="13">
        <v>21.115629482285499</v>
      </c>
      <c r="BB62" s="13">
        <v>0.90161541283557001</v>
      </c>
      <c r="BC62" s="13">
        <v>20.868356138169801</v>
      </c>
      <c r="BD62" s="13">
        <v>9.2097577251150504</v>
      </c>
    </row>
    <row r="63" spans="1:56" ht="11.25" customHeight="1" x14ac:dyDescent="0.25">
      <c r="A63" s="107"/>
      <c r="B63" s="107"/>
      <c r="C63" s="107"/>
      <c r="D63" s="107"/>
      <c r="E63" s="107"/>
      <c r="F63" s="107"/>
      <c r="G63" s="18" t="s">
        <v>98</v>
      </c>
      <c r="H63" s="18" t="s">
        <v>82</v>
      </c>
      <c r="I63" s="18">
        <f>'MERCADO TUSD'!$U$60</f>
        <v>41.695999999999998</v>
      </c>
      <c r="J63" s="15"/>
      <c r="L63" s="13">
        <f>('TUSD BE'!$L$63+'TUSD BF'!$L$63+'TUSD CVA'!$L$63)*1</f>
        <v>20.102109782687823</v>
      </c>
      <c r="M63" s="13">
        <f>('TUSD BE'!$M$63+'TUSD BF'!$M$63+'TUSD CVA'!$M$63)*1</f>
        <v>1.2331683466057166</v>
      </c>
      <c r="N63" s="13">
        <f ca="1">('TUSD BE'!$N$63+'TUSD BF'!$N$63+'TUSD CVA'!$N$63)*1</f>
        <v>8.3743594227420814</v>
      </c>
      <c r="O63" s="13">
        <f>('TUSD BE'!$O$63+'TUSD BF'!$O$63+'TUSD CVA'!$O$63)*1</f>
        <v>0</v>
      </c>
      <c r="P63" s="13">
        <f>('TUSD BE'!$P$63+'TUSD BF'!$P$63+'TUSD CVA'!$P$63)*1</f>
        <v>0</v>
      </c>
      <c r="Q63" s="13">
        <f>('TUSD BE'!$Q$63+'TUSD BF'!$Q$63+'TUSD CVA'!$Q$63)*1</f>
        <v>49.965739584460493</v>
      </c>
      <c r="R63" s="13">
        <f>('TUSD BE'!$R$63+'TUSD BF'!$R$63+'TUSD CVA'!$R$63)*1</f>
        <v>18.494598327475543</v>
      </c>
      <c r="S63" s="13">
        <f>('TUSD BE'!$S$63+'TUSD BF'!$S$63+'TUSD CVA'!$S$63)*1</f>
        <v>0</v>
      </c>
      <c r="T63" s="13">
        <f>('TUSD BE'!$U$63+'TUSD BF'!$U$63+'TUSD CVA'!$U$63)*1</f>
        <v>33.849487764011123</v>
      </c>
      <c r="U63" s="13">
        <f>('TUSD BE'!$V$63+'TUSD BF'!$V$63+'TUSD CVA'!$V$63)*1</f>
        <v>36.978288380220192</v>
      </c>
      <c r="V63" s="13">
        <f>('TUSD BE'!$W$63+'TUSD BF'!$W$63+'TUSD CVA'!$W$63)*1</f>
        <v>3.182907817967966</v>
      </c>
      <c r="W63" s="13">
        <f>('TUSD BE'!$X$63+'TUSD BF'!$X$63+'TUSD CVA'!$X$63)*1</f>
        <v>0</v>
      </c>
      <c r="X63" s="13">
        <f>('TUSD BE'!$Y$63+'TUSD BF'!$Y$63+'TUSD CVA'!$Y$63)*1</f>
        <v>0</v>
      </c>
      <c r="Y63" s="13">
        <f>('TUSD BE'!$Z$63+'TUSD BF'!$Z$63+'TUSD CVA'!$Z$63)*1</f>
        <v>0</v>
      </c>
      <c r="Z63" s="13">
        <f>('TUSD BE'!$AA$63+'TUSD BF'!$AA$63+'TUSD CVA'!$AA$63)*1</f>
        <v>0</v>
      </c>
      <c r="AA63" s="13">
        <f>('TUSD BE'!$AC$63+'TUSD BF'!$AC$63+'TUSD CVA'!$AC$63)*1</f>
        <v>695.9791187037921</v>
      </c>
      <c r="AB63" s="13">
        <f ca="1">('TUSD BE'!$AE$63+'TUSD BF'!$AE$63+'TUSD CVA'!$AE$63)*1</f>
        <v>-81.874816744559325</v>
      </c>
      <c r="AC63" s="13">
        <f ca="1">('TUSD BE'!$AF$63+'TUSD BF'!$AF$63+'TUSD CVA'!$AF$63)*1</f>
        <v>0</v>
      </c>
      <c r="AD63" s="13">
        <f>('TUSD BE'!$AH$63+'TUSD BF'!$AH$63+'TUSD CVA'!$AH$63)*1</f>
        <v>32.576909697124883</v>
      </c>
      <c r="AE63" s="13">
        <f>('TUSD BE'!$AI$63+'TUSD BF'!$AI$63+'TUSD CVA'!$AI$63)*1</f>
        <v>1.5063258998880853</v>
      </c>
      <c r="AF63" s="13">
        <f ca="1">('TUSD BE'!$AJ$63+'TUSD BF'!$AJ$63+'TUSD CVA'!$AJ$63)*1</f>
        <v>31.471118324942143</v>
      </c>
      <c r="AG63" s="13">
        <f ca="1">('TUSD BE'!$AK$63+'TUSD BF'!$AK$63+'TUSD CVA'!$AK$63)*1</f>
        <v>11.511301123089151</v>
      </c>
      <c r="AI63" s="13">
        <v>22.703520630267001</v>
      </c>
      <c r="AJ63" s="13">
        <v>1.15973158123335</v>
      </c>
      <c r="AK63" s="13">
        <v>7.6670042924288904</v>
      </c>
      <c r="AL63" s="13">
        <v>0</v>
      </c>
      <c r="AM63" s="13">
        <v>0</v>
      </c>
      <c r="AN63" s="13">
        <v>25.587858825753401</v>
      </c>
      <c r="AO63" s="13">
        <v>11.1804067417987</v>
      </c>
      <c r="AP63" s="13">
        <v>0</v>
      </c>
      <c r="AQ63" s="13">
        <v>22.336046167954802</v>
      </c>
      <c r="AR63" s="13">
        <v>28.642806487798602</v>
      </c>
      <c r="AS63" s="13">
        <v>2.4901244525866399</v>
      </c>
      <c r="AT63" s="13">
        <v>0</v>
      </c>
      <c r="AU63" s="13">
        <v>0</v>
      </c>
      <c r="AV63" s="13">
        <v>0</v>
      </c>
      <c r="AW63" s="13">
        <v>0</v>
      </c>
      <c r="AX63" s="13">
        <v>653.58572004537098</v>
      </c>
      <c r="AY63" s="13">
        <v>0</v>
      </c>
      <c r="AZ63" s="13">
        <v>0</v>
      </c>
      <c r="BA63" s="13">
        <v>21.115629482285499</v>
      </c>
      <c r="BB63" s="13">
        <v>0.90161541283557001</v>
      </c>
      <c r="BC63" s="13">
        <v>20.868356138169801</v>
      </c>
      <c r="BD63" s="13">
        <v>9.2097577251150504</v>
      </c>
    </row>
    <row r="64" spans="1:56" ht="11.25" customHeight="1" x14ac:dyDescent="0.25">
      <c r="A64" s="107"/>
      <c r="B64" s="107"/>
      <c r="C64" s="107"/>
      <c r="D64" s="107"/>
      <c r="E64" s="107"/>
      <c r="F64" s="107"/>
      <c r="G64" s="18" t="s">
        <v>84</v>
      </c>
      <c r="H64" s="18" t="s">
        <v>82</v>
      </c>
      <c r="I64" s="18">
        <f>'MERCADO TUSD'!$U$61</f>
        <v>1338.2650000000001</v>
      </c>
      <c r="J64" s="15"/>
      <c r="L64" s="13">
        <f>('TUSD BE'!$L$64+'TUSD BF'!$L$64+'TUSD CVA'!$L$64)*1</f>
        <v>20.102109782687823</v>
      </c>
      <c r="M64" s="13">
        <f>('TUSD BE'!$M$64+'TUSD BF'!$M$64+'TUSD CVA'!$M$64)*1</f>
        <v>1.2331683466057166</v>
      </c>
      <c r="N64" s="13">
        <f ca="1">('TUSD BE'!$N$64+'TUSD BF'!$N$64+'TUSD CVA'!$N$64)*1</f>
        <v>3.5909377838845256</v>
      </c>
      <c r="O64" s="13">
        <f>('TUSD BE'!$O$64+'TUSD BF'!$O$64+'TUSD CVA'!$O$64)*1</f>
        <v>0</v>
      </c>
      <c r="P64" s="13">
        <f>('TUSD BE'!$P$64+'TUSD BF'!$P$64+'TUSD CVA'!$P$64)*1</f>
        <v>0</v>
      </c>
      <c r="Q64" s="13">
        <f>('TUSD BE'!$Q$64+'TUSD BF'!$Q$64+'TUSD CVA'!$Q$64)*1</f>
        <v>49.965739584460493</v>
      </c>
      <c r="R64" s="13">
        <f>('TUSD BE'!$R$64+'TUSD BF'!$R$64+'TUSD CVA'!$R$64)*1</f>
        <v>18.494598327475543</v>
      </c>
      <c r="S64" s="13">
        <f>('TUSD BE'!$S$64+'TUSD BF'!$S$64+'TUSD CVA'!$S$64)*1</f>
        <v>0</v>
      </c>
      <c r="T64" s="13">
        <f>('TUSD BE'!$U$64+'TUSD BF'!$U$64+'TUSD CVA'!$U$64)*1</f>
        <v>11.283162588003709</v>
      </c>
      <c r="U64" s="13">
        <f>('TUSD BE'!$V$64+'TUSD BF'!$V$64+'TUSD CVA'!$V$64)*1</f>
        <v>12.326162995012476</v>
      </c>
      <c r="V64" s="13">
        <f>('TUSD BE'!$W$64+'TUSD BF'!$W$64+'TUSD CVA'!$W$64)*1</f>
        <v>1.0609161896884269</v>
      </c>
      <c r="W64" s="13">
        <f>('TUSD BE'!$X$64+'TUSD BF'!$X$64+'TUSD CVA'!$X$64)*1</f>
        <v>0</v>
      </c>
      <c r="X64" s="13">
        <f>('TUSD BE'!$Y$64+'TUSD BF'!$Y$64+'TUSD CVA'!$Y$64)*1</f>
        <v>0</v>
      </c>
      <c r="Y64" s="13">
        <f>('TUSD BE'!$Z$64+'TUSD BF'!$Z$64+'TUSD CVA'!$Z$64)*1</f>
        <v>0</v>
      </c>
      <c r="Z64" s="13">
        <f>('TUSD BE'!$AA$64+'TUSD BF'!$AA$64+'TUSD CVA'!$AA$64)*1</f>
        <v>0</v>
      </c>
      <c r="AA64" s="13">
        <f>('TUSD BE'!$AC$64+'TUSD BF'!$AC$64+'TUSD CVA'!$AC$64)*1</f>
        <v>231.99299962132309</v>
      </c>
      <c r="AB64" s="13">
        <f ca="1">('TUSD BE'!$AE$64+'TUSD BF'!$AE$64+'TUSD CVA'!$AE$64)*1</f>
        <v>-36.013077497419488</v>
      </c>
      <c r="AC64" s="13">
        <f ca="1">('TUSD BE'!$AF$64+'TUSD BF'!$AF$64+'TUSD CVA'!$AF$64)*1</f>
        <v>0</v>
      </c>
      <c r="AD64" s="13">
        <f>('TUSD BE'!$AH$64+'TUSD BF'!$AH$64+'TUSD CVA'!$AH$64)*1</f>
        <v>32.576909697124883</v>
      </c>
      <c r="AE64" s="13">
        <f>('TUSD BE'!$AI$64+'TUSD BF'!$AI$64+'TUSD CVA'!$AI$64)*1</f>
        <v>1.5063258998880853</v>
      </c>
      <c r="AF64" s="13">
        <f ca="1">('TUSD BE'!$AJ$64+'TUSD BF'!$AJ$64+'TUSD CVA'!$AJ$64)*1</f>
        <v>31.471118324942143</v>
      </c>
      <c r="AG64" s="13">
        <f ca="1">('TUSD BE'!$AK$64+'TUSD BF'!$AK$64+'TUSD CVA'!$AK$64)*1</f>
        <v>11.511301123089151</v>
      </c>
      <c r="AI64" s="13">
        <v>22.703520630267001</v>
      </c>
      <c r="AJ64" s="13">
        <v>1.15973158123335</v>
      </c>
      <c r="AK64" s="13">
        <v>3.2399545502270799</v>
      </c>
      <c r="AL64" s="13">
        <v>0</v>
      </c>
      <c r="AM64" s="13">
        <v>0</v>
      </c>
      <c r="AN64" s="13">
        <v>25.587858825753401</v>
      </c>
      <c r="AO64" s="13">
        <v>11.1804067417987</v>
      </c>
      <c r="AP64" s="13">
        <v>0</v>
      </c>
      <c r="AQ64" s="13">
        <v>7.4453487226516097</v>
      </c>
      <c r="AR64" s="13">
        <v>9.5476539577223196</v>
      </c>
      <c r="AS64" s="13">
        <v>0.82999995512744396</v>
      </c>
      <c r="AT64" s="13">
        <v>0</v>
      </c>
      <c r="AU64" s="13">
        <v>0</v>
      </c>
      <c r="AV64" s="13">
        <v>0</v>
      </c>
      <c r="AW64" s="13">
        <v>0</v>
      </c>
      <c r="AX64" s="13">
        <v>217.861869168406</v>
      </c>
      <c r="AY64" s="13">
        <v>0</v>
      </c>
      <c r="AZ64" s="13">
        <v>0</v>
      </c>
      <c r="BA64" s="13">
        <v>21.115629482285499</v>
      </c>
      <c r="BB64" s="13">
        <v>0.90161541283557001</v>
      </c>
      <c r="BC64" s="13">
        <v>20.868356138169801</v>
      </c>
      <c r="BD64" s="13">
        <v>9.2097577251150504</v>
      </c>
    </row>
    <row r="65" spans="1:56" ht="11.25" customHeight="1" x14ac:dyDescent="0.25">
      <c r="A65" s="107"/>
      <c r="B65" s="17" t="s">
        <v>23</v>
      </c>
      <c r="C65" s="17" t="s">
        <v>25</v>
      </c>
      <c r="D65" s="17" t="s">
        <v>25</v>
      </c>
      <c r="E65" s="17" t="s">
        <v>25</v>
      </c>
      <c r="F65" s="17" t="s">
        <v>25</v>
      </c>
      <c r="G65" s="18" t="s">
        <v>88</v>
      </c>
      <c r="H65" s="18" t="s">
        <v>82</v>
      </c>
      <c r="I65" s="18">
        <f>'MERCADO TUSD'!$U$62</f>
        <v>209665.67300000001</v>
      </c>
      <c r="J65" s="15"/>
      <c r="L65" s="13">
        <f>('TUSD BE'!$L$65+'TUSD BF'!$L$65+'TUSD CVA'!$L$65)*1</f>
        <v>20.102109782687823</v>
      </c>
      <c r="M65" s="13">
        <f>('TUSD BE'!$M$65+'TUSD BF'!$M$65+'TUSD CVA'!$M$65)*1</f>
        <v>1.2331683466057166</v>
      </c>
      <c r="N65" s="13">
        <f ca="1">('TUSD BE'!$N$65+'TUSD BF'!$N$65+'TUSD CVA'!$N$65)*1</f>
        <v>4.7164501750797321</v>
      </c>
      <c r="O65" s="13">
        <f>('TUSD BE'!$O$65+'TUSD BF'!$O$65+'TUSD CVA'!$O$65)*1</f>
        <v>0</v>
      </c>
      <c r="P65" s="13">
        <f>('TUSD BE'!$P$65+'TUSD BF'!$P$65+'TUSD CVA'!$P$65)*1</f>
        <v>0</v>
      </c>
      <c r="Q65" s="13">
        <f>('TUSD BE'!$Q$65+'TUSD BF'!$Q$65+'TUSD CVA'!$Q$65)*1</f>
        <v>49.965739584460493</v>
      </c>
      <c r="R65" s="13">
        <f>('TUSD BE'!$R$65+'TUSD BF'!$R$65+'TUSD CVA'!$R$65)*1</f>
        <v>18.494598327475543</v>
      </c>
      <c r="S65" s="13">
        <f>('TUSD BE'!$S$65+'TUSD BF'!$S$65+'TUSD CVA'!$S$65)*1</f>
        <v>0</v>
      </c>
      <c r="T65" s="13">
        <f>('TUSD BE'!$U$65+'TUSD BF'!$U$65+'TUSD CVA'!$U$65)*1</f>
        <v>16.592927363428391</v>
      </c>
      <c r="U65" s="13">
        <f>('TUSD BE'!$V$65+'TUSD BF'!$V$65+'TUSD CVA'!$V$65)*1</f>
        <v>18.126651285366222</v>
      </c>
      <c r="V65" s="13">
        <f>('TUSD BE'!$W$65+'TUSD BF'!$W$65+'TUSD CVA'!$W$65)*1</f>
        <v>1.5603207485090373</v>
      </c>
      <c r="W65" s="13">
        <f>('TUSD BE'!$X$65+'TUSD BF'!$X$65+'TUSD CVA'!$X$65)*1</f>
        <v>0</v>
      </c>
      <c r="X65" s="13">
        <f>('TUSD BE'!$Y$65+'TUSD BF'!$Y$65+'TUSD CVA'!$Y$65)*1</f>
        <v>0</v>
      </c>
      <c r="Y65" s="13">
        <f>('TUSD BE'!$Z$65+'TUSD BF'!$Z$65+'TUSD CVA'!$Z$65)*1</f>
        <v>0</v>
      </c>
      <c r="Z65" s="13">
        <f>('TUSD BE'!$AA$65+'TUSD BF'!$AA$65+'TUSD CVA'!$AA$65)*1</f>
        <v>0</v>
      </c>
      <c r="AA65" s="13">
        <f>('TUSD BE'!$AC$65+'TUSD BF'!$AC$65+'TUSD CVA'!$AC$65)*1</f>
        <v>341.16623935832251</v>
      </c>
      <c r="AB65" s="13">
        <f ca="1">('TUSD BE'!$AE$65+'TUSD BF'!$AE$65+'TUSD CVA'!$AE$65)*1</f>
        <v>-46.804090771278901</v>
      </c>
      <c r="AC65" s="13">
        <f ca="1">('TUSD BE'!$AF$65+'TUSD BF'!$AF$65+'TUSD CVA'!$AF$65)*1</f>
        <v>0</v>
      </c>
      <c r="AD65" s="13">
        <f>('TUSD BE'!$AH$65+'TUSD BF'!$AH$65+'TUSD CVA'!$AH$65)*1</f>
        <v>32.576909697124883</v>
      </c>
      <c r="AE65" s="13">
        <f>('TUSD BE'!$AI$65+'TUSD BF'!$AI$65+'TUSD CVA'!$AI$65)*1</f>
        <v>1.5063258998880853</v>
      </c>
      <c r="AF65" s="13">
        <f ca="1">('TUSD BE'!$AJ$65+'TUSD BF'!$AJ$65+'TUSD CVA'!$AJ$65)*1</f>
        <v>31.471118324942143</v>
      </c>
      <c r="AG65" s="13">
        <f ca="1">('TUSD BE'!$AK$65+'TUSD BF'!$AK$65+'TUSD CVA'!$AK$65)*1</f>
        <v>11.511301123089151</v>
      </c>
      <c r="AI65" s="13">
        <v>22.703520630267001</v>
      </c>
      <c r="AJ65" s="13">
        <v>1.15973158123335</v>
      </c>
      <c r="AK65" s="13">
        <v>4.2816146248500901</v>
      </c>
      <c r="AL65" s="13">
        <v>0</v>
      </c>
      <c r="AM65" s="13">
        <v>0</v>
      </c>
      <c r="AN65" s="13">
        <v>25.587858825753401</v>
      </c>
      <c r="AO65" s="13">
        <v>11.1804067417987</v>
      </c>
      <c r="AP65" s="13">
        <v>0</v>
      </c>
      <c r="AQ65" s="13">
        <v>10.9490694286104</v>
      </c>
      <c r="AR65" s="13">
        <v>14.0406218833068</v>
      </c>
      <c r="AS65" s="13">
        <v>1.2207054278503</v>
      </c>
      <c r="AT65" s="13">
        <v>0</v>
      </c>
      <c r="AU65" s="13">
        <v>0</v>
      </c>
      <c r="AV65" s="13">
        <v>0</v>
      </c>
      <c r="AW65" s="13">
        <v>0</v>
      </c>
      <c r="AX65" s="13">
        <v>320.38516129832499</v>
      </c>
      <c r="AY65" s="13">
        <v>0</v>
      </c>
      <c r="AZ65" s="13">
        <v>0</v>
      </c>
      <c r="BA65" s="13">
        <v>21.115629482285499</v>
      </c>
      <c r="BB65" s="13">
        <v>0.90161541283557001</v>
      </c>
      <c r="BC65" s="13">
        <v>20.868356138169801</v>
      </c>
      <c r="BD65" s="13">
        <v>9.2097577251150504</v>
      </c>
    </row>
    <row r="66" spans="1:56" ht="11.25" customHeight="1" x14ac:dyDescent="0.25">
      <c r="A66" s="107"/>
      <c r="B66" s="17" t="s">
        <v>100</v>
      </c>
      <c r="C66" s="17" t="s">
        <v>25</v>
      </c>
      <c r="D66" s="17" t="s">
        <v>25</v>
      </c>
      <c r="E66" s="17" t="s">
        <v>25</v>
      </c>
      <c r="F66" s="17" t="s">
        <v>25</v>
      </c>
      <c r="G66" s="18" t="s">
        <v>88</v>
      </c>
      <c r="H66" s="18" t="s">
        <v>82</v>
      </c>
      <c r="I66" s="18">
        <f>'MERCADO TUSD'!$U$63</f>
        <v>0</v>
      </c>
      <c r="J66" s="15"/>
      <c r="L66" s="13">
        <f>('TUSD BE'!$L$66+'TUSD BF'!$L$66+'TUSD CVA'!$L$66)*1</f>
        <v>20.102109782687823</v>
      </c>
      <c r="M66" s="13">
        <f>('TUSD BE'!$M$66+'TUSD BF'!$M$66+'TUSD CVA'!$M$66)*1</f>
        <v>1.2331683466057166</v>
      </c>
      <c r="N66" s="13">
        <f ca="1">('TUSD BE'!$N$66+'TUSD BF'!$N$66+'TUSD CVA'!$N$66)*1</f>
        <v>4.7164501750797321</v>
      </c>
      <c r="O66" s="13">
        <f>('TUSD BE'!$O$66+'TUSD BF'!$O$66+'TUSD CVA'!$O$66)*1</f>
        <v>0</v>
      </c>
      <c r="P66" s="13">
        <f>('TUSD BE'!$P$66+'TUSD BF'!$P$66+'TUSD CVA'!$P$66)*1</f>
        <v>0</v>
      </c>
      <c r="Q66" s="13">
        <f>('TUSD BE'!$Q$66+'TUSD BF'!$Q$66+'TUSD CVA'!$Q$66)*1</f>
        <v>49.965739584460493</v>
      </c>
      <c r="R66" s="13">
        <f>('TUSD BE'!$R$66+'TUSD BF'!$R$66+'TUSD CVA'!$R$66)*1</f>
        <v>18.494598327475543</v>
      </c>
      <c r="S66" s="13">
        <f>('TUSD BE'!$S$66+'TUSD BF'!$S$66+'TUSD CVA'!$S$66)*1</f>
        <v>0</v>
      </c>
      <c r="T66" s="13">
        <f>('TUSD BE'!$U$66+'TUSD BF'!$U$66+'TUSD CVA'!$U$66)*1</f>
        <v>16.592927363428391</v>
      </c>
      <c r="U66" s="13">
        <f>('TUSD BE'!$V$66+'TUSD BF'!$V$66+'TUSD CVA'!$V$66)*1</f>
        <v>18.126651285366222</v>
      </c>
      <c r="V66" s="13">
        <f>('TUSD BE'!$W$66+'TUSD BF'!$W$66+'TUSD CVA'!$W$66)*1</f>
        <v>1.5603207485090373</v>
      </c>
      <c r="W66" s="13">
        <f>('TUSD BE'!$X$66+'TUSD BF'!$X$66+'TUSD CVA'!$X$66)*1</f>
        <v>0</v>
      </c>
      <c r="X66" s="13">
        <f>('TUSD BE'!$Y$66+'TUSD BF'!$Y$66+'TUSD CVA'!$Y$66)*1</f>
        <v>0</v>
      </c>
      <c r="Y66" s="13">
        <f>('TUSD BE'!$Z$66+'TUSD BF'!$Z$66+'TUSD CVA'!$Z$66)*1</f>
        <v>0</v>
      </c>
      <c r="Z66" s="13">
        <f>('TUSD BE'!$AA$66+'TUSD BF'!$AA$66+'TUSD CVA'!$AA$66)*1</f>
        <v>0</v>
      </c>
      <c r="AA66" s="13">
        <f>('TUSD BE'!$AC$66+'TUSD BF'!$AC$66+'TUSD CVA'!$AC$66)*1</f>
        <v>341.16623935832251</v>
      </c>
      <c r="AB66" s="13">
        <f ca="1">('TUSD BE'!$AE$66+'TUSD BF'!$AE$66+'TUSD CVA'!$AE$66)*1</f>
        <v>-46.804090771278901</v>
      </c>
      <c r="AC66" s="13">
        <f ca="1">('TUSD BE'!$AF$66+'TUSD BF'!$AF$66+'TUSD CVA'!$AF$66)*1</f>
        <v>0</v>
      </c>
      <c r="AD66" s="13">
        <f>('TUSD BE'!$AH$66+'TUSD BF'!$AH$66+'TUSD CVA'!$AH$66)*1</f>
        <v>32.576909697124883</v>
      </c>
      <c r="AE66" s="13">
        <f>('TUSD BE'!$AI$66+'TUSD BF'!$AI$66+'TUSD CVA'!$AI$66)*1</f>
        <v>1.5063258998880853</v>
      </c>
      <c r="AF66" s="13">
        <f ca="1">('TUSD BE'!$AJ$66+'TUSD BF'!$AJ$66+'TUSD CVA'!$AJ$66)*1</f>
        <v>31.471118324942143</v>
      </c>
      <c r="AG66" s="13">
        <f ca="1">('TUSD BE'!$AK$66+'TUSD BF'!$AK$66+'TUSD CVA'!$AK$66)*1</f>
        <v>11.511301123089151</v>
      </c>
      <c r="AI66" s="13">
        <v>22.703520630267001</v>
      </c>
      <c r="AJ66" s="13">
        <v>1.15973158123335</v>
      </c>
      <c r="AK66" s="13">
        <v>4.2816146248500901</v>
      </c>
      <c r="AL66" s="13">
        <v>0</v>
      </c>
      <c r="AM66" s="13">
        <v>0</v>
      </c>
      <c r="AN66" s="13">
        <v>25.587858825753401</v>
      </c>
      <c r="AO66" s="13">
        <v>11.1804067417987</v>
      </c>
      <c r="AP66" s="13">
        <v>0</v>
      </c>
      <c r="AQ66" s="13">
        <v>10.9490694286104</v>
      </c>
      <c r="AR66" s="13">
        <v>14.0406218833068</v>
      </c>
      <c r="AS66" s="13">
        <v>1.2207054278503</v>
      </c>
      <c r="AT66" s="13">
        <v>0</v>
      </c>
      <c r="AU66" s="13">
        <v>0</v>
      </c>
      <c r="AV66" s="13">
        <v>0</v>
      </c>
      <c r="AW66" s="13">
        <v>0</v>
      </c>
      <c r="AX66" s="13">
        <v>320.38516129832499</v>
      </c>
      <c r="AY66" s="13">
        <v>0</v>
      </c>
      <c r="AZ66" s="13">
        <v>0</v>
      </c>
      <c r="BA66" s="13">
        <v>21.115629482285499</v>
      </c>
      <c r="BB66" s="13">
        <v>0.90161541283557001</v>
      </c>
      <c r="BC66" s="13">
        <v>20.868356138169801</v>
      </c>
      <c r="BD66" s="13">
        <v>9.2097577251150504</v>
      </c>
    </row>
    <row r="67" spans="1:56" ht="11.25" customHeight="1" x14ac:dyDescent="0.25">
      <c r="A67" s="107" t="s">
        <v>49</v>
      </c>
      <c r="B67" s="107" t="s">
        <v>23</v>
      </c>
      <c r="C67" s="107" t="s">
        <v>50</v>
      </c>
      <c r="D67" s="17" t="s">
        <v>51</v>
      </c>
      <c r="E67" s="17" t="s">
        <v>25</v>
      </c>
      <c r="F67" s="17" t="s">
        <v>25</v>
      </c>
      <c r="G67" s="18" t="s">
        <v>88</v>
      </c>
      <c r="H67" s="18" t="s">
        <v>82</v>
      </c>
      <c r="I67" s="18">
        <f>'MERCADO TUSD'!$U$64</f>
        <v>49365.182000000001</v>
      </c>
      <c r="J67" s="15"/>
      <c r="L67" s="13">
        <f>('TUSD BE'!$L$67+'TUSD BF'!$L$67+'TUSD CVA'!$L$67)*1</f>
        <v>11.056160380478303</v>
      </c>
      <c r="M67" s="13">
        <f>('TUSD BE'!$M$67+'TUSD BF'!$M$67+'TUSD CVA'!$M$67)*1</f>
        <v>0.67824259063314418</v>
      </c>
      <c r="N67" s="13">
        <f ca="1">('TUSD BE'!$N$67+'TUSD BF'!$N$67+'TUSD CVA'!$N$67)*1</f>
        <v>2.5940475962938541</v>
      </c>
      <c r="O67" s="13">
        <f>('TUSD BE'!$O$67+'TUSD BF'!$O$67+'TUSD CVA'!$O$67)*1</f>
        <v>0</v>
      </c>
      <c r="P67" s="13">
        <f>('TUSD BE'!$P$67+'TUSD BF'!$P$67+'TUSD CVA'!$P$67)*1</f>
        <v>0</v>
      </c>
      <c r="Q67" s="13">
        <f>('TUSD BE'!$Q$67+'TUSD BF'!$Q$67+'TUSD CVA'!$Q$67)*1</f>
        <v>27.481156771453279</v>
      </c>
      <c r="R67" s="13">
        <f>('TUSD BE'!$R$67+'TUSD BF'!$R$67+'TUSD CVA'!$R$67)*1</f>
        <v>10.17202908011155</v>
      </c>
      <c r="S67" s="13">
        <f>('TUSD BE'!$S$67+'TUSD BF'!$S$67+'TUSD CVA'!$S$67)*1</f>
        <v>0</v>
      </c>
      <c r="T67" s="13">
        <f>('TUSD BE'!$U$67+'TUSD BF'!$U$67+'TUSD CVA'!$U$67)*1</f>
        <v>9.1261100498856145</v>
      </c>
      <c r="U67" s="13">
        <f>('TUSD BE'!$V$67+'TUSD BF'!$V$67+'TUSD CVA'!$V$67)*1</f>
        <v>9.9696582069514221</v>
      </c>
      <c r="V67" s="13">
        <f>('TUSD BE'!$W$67+'TUSD BF'!$W$67+'TUSD CVA'!$W$67)*1</f>
        <v>0.85817641167997072</v>
      </c>
      <c r="W67" s="13">
        <f>('TUSD BE'!$X$67+'TUSD BF'!$X$67+'TUSD CVA'!$X$67)*1</f>
        <v>0</v>
      </c>
      <c r="X67" s="13">
        <f>('TUSD BE'!$Y$67+'TUSD BF'!$Y$67+'TUSD CVA'!$Y$67)*1</f>
        <v>0</v>
      </c>
      <c r="Y67" s="13">
        <f>('TUSD BE'!$Z$67+'TUSD BF'!$Z$67+'TUSD CVA'!$Z$67)*1</f>
        <v>0</v>
      </c>
      <c r="Z67" s="13">
        <f>('TUSD BE'!$AA$67+'TUSD BF'!$AA$67+'TUSD CVA'!$AA$67)*1</f>
        <v>0</v>
      </c>
      <c r="AA67" s="13">
        <f>('TUSD BE'!$AC$67+'TUSD BF'!$AC$67+'TUSD CVA'!$AC$67)*1</f>
        <v>187.64143164707738</v>
      </c>
      <c r="AB67" s="13">
        <f ca="1">('TUSD BE'!$AE$67+'TUSD BF'!$AE$67+'TUSD CVA'!$AE$67)*1</f>
        <v>-25.742249924203399</v>
      </c>
      <c r="AC67" s="13">
        <f ca="1">('TUSD BE'!$AF$67+'TUSD BF'!$AF$67+'TUSD CVA'!$AF$67)*1</f>
        <v>0</v>
      </c>
      <c r="AD67" s="13">
        <f>('TUSD BE'!$AH$67+'TUSD BF'!$AH$67+'TUSD CVA'!$AH$67)*1</f>
        <v>17.917300333418687</v>
      </c>
      <c r="AE67" s="13">
        <f>('TUSD BE'!$AI$67+'TUSD BF'!$AI$67+'TUSD CVA'!$AI$67)*1</f>
        <v>0.82847924493844705</v>
      </c>
      <c r="AF67" s="13">
        <f ca="1">('TUSD BE'!$AJ$67+'TUSD BF'!$AJ$67+'TUSD CVA'!$AJ$67)*1</f>
        <v>17.309115078718182</v>
      </c>
      <c r="AG67" s="13">
        <f ca="1">('TUSD BE'!$AK$67+'TUSD BF'!$AK$67+'TUSD CVA'!$AK$67)*1</f>
        <v>6.3312156176990335</v>
      </c>
      <c r="AI67" s="13">
        <v>12.4869363466468</v>
      </c>
      <c r="AJ67" s="13">
        <v>0.63785236967834302</v>
      </c>
      <c r="AK67" s="13">
        <v>2.3548880436675499</v>
      </c>
      <c r="AL67" s="13">
        <v>0</v>
      </c>
      <c r="AM67" s="13">
        <v>0</v>
      </c>
      <c r="AN67" s="13">
        <v>14.0733223541644</v>
      </c>
      <c r="AO67" s="13">
        <v>6.1492237079892904</v>
      </c>
      <c r="AP67" s="13">
        <v>0</v>
      </c>
      <c r="AQ67" s="13">
        <v>6.02198818573574</v>
      </c>
      <c r="AR67" s="13">
        <v>7.7223420358187598</v>
      </c>
      <c r="AS67" s="13">
        <v>0.67138798531766497</v>
      </c>
      <c r="AT67" s="13">
        <v>0</v>
      </c>
      <c r="AU67" s="13">
        <v>0</v>
      </c>
      <c r="AV67" s="13">
        <v>0</v>
      </c>
      <c r="AW67" s="13">
        <v>0</v>
      </c>
      <c r="AX67" s="13">
        <v>176.21183871407899</v>
      </c>
      <c r="AY67" s="13">
        <v>0</v>
      </c>
      <c r="AZ67" s="13">
        <v>0</v>
      </c>
      <c r="BA67" s="13">
        <v>11.613596215256999</v>
      </c>
      <c r="BB67" s="13">
        <v>0.49588847705956302</v>
      </c>
      <c r="BC67" s="13">
        <v>11.4775958759934</v>
      </c>
      <c r="BD67" s="13">
        <v>5.0653667488132799</v>
      </c>
    </row>
    <row r="68" spans="1:56" ht="11.25" customHeight="1" x14ac:dyDescent="0.25">
      <c r="A68" s="107"/>
      <c r="B68" s="107"/>
      <c r="C68" s="107"/>
      <c r="D68" s="18" t="s">
        <v>103</v>
      </c>
      <c r="E68" s="18" t="s">
        <v>25</v>
      </c>
      <c r="F68" s="18" t="s">
        <v>25</v>
      </c>
      <c r="G68" s="18" t="s">
        <v>88</v>
      </c>
      <c r="H68" s="18" t="s">
        <v>82</v>
      </c>
      <c r="I68" s="18">
        <f>'MERCADO TUSD'!$U$65</f>
        <v>0</v>
      </c>
      <c r="J68" s="15"/>
      <c r="L68" s="13">
        <f>('TUSD BE'!$L$68+'TUSD BF'!$L$68+'TUSD CVA'!$L$68)*1</f>
        <v>12.061265869612694</v>
      </c>
      <c r="M68" s="13">
        <f>('TUSD BE'!$M$68+'TUSD BF'!$M$68+'TUSD CVA'!$M$68)*1</f>
        <v>0.73990100796342995</v>
      </c>
      <c r="N68" s="13">
        <f ca="1">('TUSD BE'!$N$68+'TUSD BF'!$N$68+'TUSD CVA'!$N$68)*1</f>
        <v>2.8298701050478403</v>
      </c>
      <c r="O68" s="13">
        <f>('TUSD BE'!$O$68+'TUSD BF'!$O$68+'TUSD CVA'!$O$68)*1</f>
        <v>0</v>
      </c>
      <c r="P68" s="13">
        <f>('TUSD BE'!$P$68+'TUSD BF'!$P$68+'TUSD CVA'!$P$68)*1</f>
        <v>0</v>
      </c>
      <c r="Q68" s="13">
        <f>('TUSD BE'!$Q$68+'TUSD BF'!$Q$68+'TUSD CVA'!$Q$68)*1</f>
        <v>29.979443750676293</v>
      </c>
      <c r="R68" s="13">
        <f>('TUSD BE'!$R$68+'TUSD BF'!$R$68+'TUSD CVA'!$R$68)*1</f>
        <v>11.096758996485326</v>
      </c>
      <c r="S68" s="13">
        <f>('TUSD BE'!$S$68+'TUSD BF'!$S$68+'TUSD CVA'!$S$68)*1</f>
        <v>0</v>
      </c>
      <c r="T68" s="13">
        <f>('TUSD BE'!$U$68+'TUSD BF'!$U$68+'TUSD CVA'!$U$68)*1</f>
        <v>9.9557564180570353</v>
      </c>
      <c r="U68" s="13">
        <f>('TUSD BE'!$V$68+'TUSD BF'!$V$68+'TUSD CVA'!$V$68)*1</f>
        <v>10.875990771219731</v>
      </c>
      <c r="V68" s="13">
        <f>('TUSD BE'!$W$68+'TUSD BF'!$W$68+'TUSD CVA'!$W$68)*1</f>
        <v>0.93619244910542243</v>
      </c>
      <c r="W68" s="13">
        <f>('TUSD BE'!$X$68+'TUSD BF'!$X$68+'TUSD CVA'!$X$68)*1</f>
        <v>0</v>
      </c>
      <c r="X68" s="13">
        <f>('TUSD BE'!$Y$68+'TUSD BF'!$Y$68+'TUSD CVA'!$Y$68)*1</f>
        <v>0</v>
      </c>
      <c r="Y68" s="13">
        <f>('TUSD BE'!$Z$68+'TUSD BF'!$Z$68+'TUSD CVA'!$Z$68)*1</f>
        <v>0</v>
      </c>
      <c r="Z68" s="13">
        <f>('TUSD BE'!$AA$68+'TUSD BF'!$AA$68+'TUSD CVA'!$AA$68)*1</f>
        <v>0</v>
      </c>
      <c r="AA68" s="13">
        <f>('TUSD BE'!$AC$68+'TUSD BF'!$AC$68+'TUSD CVA'!$AC$68)*1</f>
        <v>204.69974361499351</v>
      </c>
      <c r="AB68" s="13">
        <f ca="1">('TUSD BE'!$AE$68+'TUSD BF'!$AE$68+'TUSD CVA'!$AE$68)*1</f>
        <v>-28.082454462767341</v>
      </c>
      <c r="AC68" s="13">
        <f ca="1">('TUSD BE'!$AF$68+'TUSD BF'!$AF$68+'TUSD CVA'!$AF$68)*1</f>
        <v>0</v>
      </c>
      <c r="AD68" s="13">
        <f>('TUSD BE'!$AH$68+'TUSD BF'!$AH$68+'TUSD CVA'!$AH$68)*1</f>
        <v>19.54614581827493</v>
      </c>
      <c r="AE68" s="13">
        <f>('TUSD BE'!$AI$68+'TUSD BF'!$AI$68+'TUSD CVA'!$AI$68)*1</f>
        <v>0.90379553993285111</v>
      </c>
      <c r="AF68" s="13">
        <f ca="1">('TUSD BE'!$AJ$68+'TUSD BF'!$AJ$68+'TUSD CVA'!$AJ$68)*1</f>
        <v>18.882670994965288</v>
      </c>
      <c r="AG68" s="13">
        <f ca="1">('TUSD BE'!$AK$68+'TUSD BF'!$AK$68+'TUSD CVA'!$AK$68)*1</f>
        <v>6.9067806738534898</v>
      </c>
      <c r="AI68" s="13">
        <v>13.6221123781602</v>
      </c>
      <c r="AJ68" s="13">
        <v>0.69583894874000995</v>
      </c>
      <c r="AK68" s="13">
        <v>2.5689687749100498</v>
      </c>
      <c r="AL68" s="13">
        <v>0</v>
      </c>
      <c r="AM68" s="13">
        <v>0</v>
      </c>
      <c r="AN68" s="13">
        <v>15.3527152954521</v>
      </c>
      <c r="AO68" s="13">
        <v>6.7082440450792298</v>
      </c>
      <c r="AP68" s="13">
        <v>0</v>
      </c>
      <c r="AQ68" s="13">
        <v>6.5694416571662604</v>
      </c>
      <c r="AR68" s="13">
        <v>8.4243731299840992</v>
      </c>
      <c r="AS68" s="13">
        <v>0.73242325671018005</v>
      </c>
      <c r="AT68" s="13">
        <v>0</v>
      </c>
      <c r="AU68" s="13">
        <v>0</v>
      </c>
      <c r="AV68" s="13">
        <v>0</v>
      </c>
      <c r="AW68" s="13">
        <v>0</v>
      </c>
      <c r="AX68" s="13">
        <v>192.23109677899501</v>
      </c>
      <c r="AY68" s="13">
        <v>0</v>
      </c>
      <c r="AZ68" s="13">
        <v>0</v>
      </c>
      <c r="BA68" s="13">
        <v>12.6693776893713</v>
      </c>
      <c r="BB68" s="13">
        <v>0.54096924770134203</v>
      </c>
      <c r="BC68" s="13">
        <v>12.5210136829019</v>
      </c>
      <c r="BD68" s="13">
        <v>5.5258546350690301</v>
      </c>
    </row>
    <row r="70" spans="1:56" ht="11.25" customHeight="1" x14ac:dyDescent="0.25">
      <c r="L70" s="108" t="s">
        <v>1043</v>
      </c>
      <c r="M70" s="108"/>
      <c r="N70" s="108"/>
      <c r="O70" s="108"/>
      <c r="P70" s="108"/>
      <c r="Q70" s="108"/>
      <c r="R70" s="108"/>
      <c r="S70" s="108"/>
      <c r="T70" s="108"/>
      <c r="U70" s="108"/>
      <c r="V70" s="108"/>
      <c r="W70" s="108"/>
      <c r="X70" s="108"/>
      <c r="Y70" s="108"/>
      <c r="Z70" s="108"/>
      <c r="AA70" s="108"/>
      <c r="AB70" s="108"/>
      <c r="AC70" s="108"/>
      <c r="AD70" s="108"/>
      <c r="AE70" s="108"/>
      <c r="AF70" s="108"/>
      <c r="AG70" s="108"/>
      <c r="AI70" s="108" t="s">
        <v>1044</v>
      </c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</row>
    <row r="71" spans="1:56" ht="11.25" customHeight="1" x14ac:dyDescent="0.25">
      <c r="L71" s="108" t="s">
        <v>734</v>
      </c>
      <c r="M71" s="108"/>
      <c r="N71" s="108"/>
      <c r="O71" s="108"/>
      <c r="P71" s="108"/>
      <c r="Q71" s="108"/>
      <c r="R71" s="108"/>
      <c r="S71" s="108"/>
      <c r="T71" s="108"/>
      <c r="U71" s="108"/>
      <c r="V71" s="108"/>
      <c r="W71" s="108"/>
      <c r="X71" s="108"/>
      <c r="Y71" s="108"/>
      <c r="Z71" s="108"/>
      <c r="AA71" s="108"/>
      <c r="AB71" s="108"/>
      <c r="AC71" s="108"/>
      <c r="AD71" s="108"/>
      <c r="AE71" s="108"/>
      <c r="AF71" s="108"/>
      <c r="AG71" s="108"/>
      <c r="AI71" s="108" t="s">
        <v>734</v>
      </c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</row>
    <row r="72" spans="1:56" ht="11.25" customHeight="1" x14ac:dyDescent="0.25">
      <c r="L72" s="108" t="s">
        <v>735</v>
      </c>
      <c r="M72" s="108"/>
      <c r="N72" s="108"/>
      <c r="O72" s="108"/>
      <c r="P72" s="108"/>
      <c r="Q72" s="108"/>
      <c r="R72" s="108"/>
      <c r="S72" s="108"/>
      <c r="T72" s="108" t="s">
        <v>744</v>
      </c>
      <c r="U72" s="108"/>
      <c r="V72" s="108"/>
      <c r="W72" s="108"/>
      <c r="X72" s="108"/>
      <c r="Y72" s="108"/>
      <c r="Z72" s="108"/>
      <c r="AA72" s="10" t="s">
        <v>752</v>
      </c>
      <c r="AB72" s="108" t="s">
        <v>754</v>
      </c>
      <c r="AC72" s="108"/>
      <c r="AD72" s="108" t="s">
        <v>757</v>
      </c>
      <c r="AE72" s="108"/>
      <c r="AF72" s="108"/>
      <c r="AG72" s="108"/>
      <c r="AI72" s="108" t="s">
        <v>735</v>
      </c>
      <c r="AJ72" s="108"/>
      <c r="AK72" s="108"/>
      <c r="AL72" s="108"/>
      <c r="AM72" s="108"/>
      <c r="AN72" s="108"/>
      <c r="AO72" s="108"/>
      <c r="AP72" s="108"/>
      <c r="AQ72" s="108" t="s">
        <v>744</v>
      </c>
      <c r="AR72" s="108"/>
      <c r="AS72" s="108"/>
      <c r="AT72" s="108"/>
      <c r="AU72" s="108"/>
      <c r="AV72" s="108"/>
      <c r="AW72" s="108"/>
      <c r="AX72" s="10" t="s">
        <v>752</v>
      </c>
      <c r="AY72" s="108" t="s">
        <v>754</v>
      </c>
      <c r="AZ72" s="108"/>
      <c r="BA72" s="108" t="s">
        <v>757</v>
      </c>
      <c r="BB72" s="108"/>
      <c r="BC72" s="108"/>
      <c r="BD72" s="108"/>
    </row>
    <row r="73" spans="1:56" ht="11.25" customHeight="1" x14ac:dyDescent="0.25">
      <c r="L73" s="10" t="s">
        <v>820</v>
      </c>
      <c r="M73" s="10" t="s">
        <v>736</v>
      </c>
      <c r="N73" s="10" t="s">
        <v>737</v>
      </c>
      <c r="O73" s="10" t="s">
        <v>738</v>
      </c>
      <c r="P73" s="10" t="s">
        <v>739</v>
      </c>
      <c r="Q73" s="10" t="s">
        <v>740</v>
      </c>
      <c r="R73" s="10" t="s">
        <v>741</v>
      </c>
      <c r="S73" s="10" t="s">
        <v>742</v>
      </c>
      <c r="T73" s="10" t="s">
        <v>745</v>
      </c>
      <c r="U73" s="10" t="s">
        <v>746</v>
      </c>
      <c r="V73" s="10" t="s">
        <v>747</v>
      </c>
      <c r="W73" s="10" t="s">
        <v>748</v>
      </c>
      <c r="X73" s="10" t="s">
        <v>749</v>
      </c>
      <c r="Y73" s="10" t="s">
        <v>750</v>
      </c>
      <c r="Z73" s="10" t="s">
        <v>751</v>
      </c>
      <c r="AA73" s="10" t="s">
        <v>753</v>
      </c>
      <c r="AB73" s="10" t="s">
        <v>755</v>
      </c>
      <c r="AC73" s="10" t="s">
        <v>756</v>
      </c>
      <c r="AD73" s="10" t="s">
        <v>758</v>
      </c>
      <c r="AE73" s="10" t="s">
        <v>759</v>
      </c>
      <c r="AF73" s="10" t="s">
        <v>760</v>
      </c>
      <c r="AG73" s="10" t="s">
        <v>761</v>
      </c>
      <c r="AI73" s="10" t="s">
        <v>820</v>
      </c>
      <c r="AJ73" s="10" t="s">
        <v>736</v>
      </c>
      <c r="AK73" s="10" t="s">
        <v>737</v>
      </c>
      <c r="AL73" s="10" t="s">
        <v>738</v>
      </c>
      <c r="AM73" s="10" t="s">
        <v>739</v>
      </c>
      <c r="AN73" s="10" t="s">
        <v>740</v>
      </c>
      <c r="AO73" s="10" t="s">
        <v>741</v>
      </c>
      <c r="AP73" s="10" t="s">
        <v>742</v>
      </c>
      <c r="AQ73" s="10" t="s">
        <v>745</v>
      </c>
      <c r="AR73" s="10" t="s">
        <v>746</v>
      </c>
      <c r="AS73" s="10" t="s">
        <v>747</v>
      </c>
      <c r="AT73" s="10" t="s">
        <v>748</v>
      </c>
      <c r="AU73" s="10" t="s">
        <v>749</v>
      </c>
      <c r="AV73" s="10" t="s">
        <v>750</v>
      </c>
      <c r="AW73" s="10" t="s">
        <v>751</v>
      </c>
      <c r="AX73" s="10" t="s">
        <v>753</v>
      </c>
      <c r="AY73" s="10" t="s">
        <v>755</v>
      </c>
      <c r="AZ73" s="10" t="s">
        <v>756</v>
      </c>
      <c r="BA73" s="10" t="s">
        <v>758</v>
      </c>
      <c r="BB73" s="10" t="s">
        <v>759</v>
      </c>
      <c r="BC73" s="10" t="s">
        <v>760</v>
      </c>
      <c r="BD73" s="10" t="s">
        <v>761</v>
      </c>
    </row>
    <row r="74" spans="1:56" ht="11.25" customHeight="1" x14ac:dyDescent="0.25">
      <c r="A74" s="9" t="s">
        <v>80</v>
      </c>
      <c r="B74" s="9" t="s">
        <v>1045</v>
      </c>
      <c r="C74" s="9" t="s">
        <v>1046</v>
      </c>
      <c r="D74" s="9" t="s">
        <v>1047</v>
      </c>
      <c r="E74" s="9" t="s">
        <v>1048</v>
      </c>
      <c r="F74" s="9" t="s">
        <v>1049</v>
      </c>
      <c r="G74" s="9" t="s">
        <v>1050</v>
      </c>
      <c r="L74" s="13">
        <f>$I$5*$L$5</f>
        <v>0</v>
      </c>
      <c r="M74" s="13">
        <f>$I$5*$M$5</f>
        <v>0</v>
      </c>
      <c r="N74" s="13">
        <f ca="1">$I$5*$N$5</f>
        <v>0</v>
      </c>
      <c r="O74" s="13">
        <f>$I$5*$O$5</f>
        <v>0</v>
      </c>
      <c r="P74" s="13">
        <f>$I$5*$P$5</f>
        <v>0</v>
      </c>
      <c r="Q74" s="13">
        <f>$I$5*$Q$5</f>
        <v>0</v>
      </c>
      <c r="R74" s="13">
        <f>$I$5*$R$5</f>
        <v>0</v>
      </c>
      <c r="S74" s="13">
        <f>$I$5*$S$5</f>
        <v>0</v>
      </c>
      <c r="T74" s="13">
        <f>$I$5*$T$5</f>
        <v>3.558849491836975E-8</v>
      </c>
      <c r="U74" s="13">
        <f>$I$5*$U$5</f>
        <v>3.7344592776491544E-8</v>
      </c>
      <c r="V74" s="13">
        <f>$I$5*$V$5</f>
        <v>3.200902943971387E-9</v>
      </c>
      <c r="W74" s="13">
        <f>$I$5*$W$5</f>
        <v>0</v>
      </c>
      <c r="X74" s="13">
        <f>$I$5*$X$5</f>
        <v>0</v>
      </c>
      <c r="Y74" s="13">
        <f>$I$5*$Y$5</f>
        <v>0</v>
      </c>
      <c r="Z74" s="13">
        <f>$I$5*$Z$5</f>
        <v>0</v>
      </c>
      <c r="AA74" s="13">
        <f>$I$5*$AA$5</f>
        <v>5.0272326326011627E-7</v>
      </c>
      <c r="AB74" s="13">
        <f ca="1">$I$5*$AB$5</f>
        <v>-5.096461817155672E-8</v>
      </c>
      <c r="AC74" s="13">
        <f ca="1">$I$5*$AC$5</f>
        <v>0</v>
      </c>
      <c r="AD74" s="13">
        <f>$I$5*$AD$5</f>
        <v>0</v>
      </c>
      <c r="AE74" s="13">
        <f>$I$5*$AE$5</f>
        <v>0</v>
      </c>
      <c r="AF74" s="13">
        <f ca="1">$I$5*$AF$5</f>
        <v>0</v>
      </c>
      <c r="AG74" s="13">
        <f ca="1">$I$5*$AG$5</f>
        <v>0</v>
      </c>
      <c r="AI74" s="13">
        <f>$I$5*$AI$5</f>
        <v>0</v>
      </c>
      <c r="AJ74" s="13">
        <f>$I$5*$AJ$5</f>
        <v>0</v>
      </c>
      <c r="AK74" s="13">
        <f>$I$5*$AK$5</f>
        <v>0</v>
      </c>
      <c r="AL74" s="13">
        <f>$I$5*$AL$5</f>
        <v>0</v>
      </c>
      <c r="AM74" s="13">
        <f>$I$5*$AM$5</f>
        <v>0</v>
      </c>
      <c r="AN74" s="13">
        <f>$I$5*$AN$5</f>
        <v>0</v>
      </c>
      <c r="AO74" s="13">
        <f>$I$5*$AO$5</f>
        <v>0</v>
      </c>
      <c r="AP74" s="13">
        <f>$I$5*$AP$5</f>
        <v>0</v>
      </c>
      <c r="AQ74" s="13">
        <f>$I$5*$AQ$5</f>
        <v>2.3483553756753598E-8</v>
      </c>
      <c r="AR74" s="13">
        <f>$I$5*$AR$5</f>
        <v>2.8926540170389502E-8</v>
      </c>
      <c r="AS74" s="13">
        <f>$I$5*$AS$5</f>
        <v>2.5042028066739105E-9</v>
      </c>
      <c r="AT74" s="13">
        <f>$I$5*$AT$5</f>
        <v>0</v>
      </c>
      <c r="AU74" s="13">
        <f>$I$5*$AU$5</f>
        <v>0</v>
      </c>
      <c r="AV74" s="13">
        <f>$I$5*$AV$5</f>
        <v>0</v>
      </c>
      <c r="AW74" s="13">
        <f>$I$5*$AW$5</f>
        <v>0</v>
      </c>
      <c r="AX74" s="13">
        <f>$I$5*$AX$5</f>
        <v>4.7210144266018001E-7</v>
      </c>
      <c r="AY74" s="13">
        <f>$I$5*$AY$5</f>
        <v>0</v>
      </c>
      <c r="AZ74" s="13">
        <f>$I$5*$AZ$5</f>
        <v>0</v>
      </c>
      <c r="BA74" s="13">
        <f>$I$5*$BA$5</f>
        <v>0</v>
      </c>
      <c r="BB74" s="13">
        <f>$I$5*$BB$5</f>
        <v>0</v>
      </c>
      <c r="BC74" s="13">
        <f>$I$5*$BC$5</f>
        <v>0</v>
      </c>
      <c r="BD74" s="13">
        <f>$I$5*$BD$5</f>
        <v>0</v>
      </c>
    </row>
    <row r="75" spans="1:56" ht="11.25" customHeight="1" x14ac:dyDescent="0.25">
      <c r="A75" s="9" t="s">
        <v>80</v>
      </c>
      <c r="B75" s="9" t="s">
        <v>1045</v>
      </c>
      <c r="C75" s="9" t="s">
        <v>1046</v>
      </c>
      <c r="D75" s="9" t="s">
        <v>1047</v>
      </c>
      <c r="E75" s="9" t="s">
        <v>1048</v>
      </c>
      <c r="F75" s="9" t="s">
        <v>1049</v>
      </c>
      <c r="G75" s="9" t="s">
        <v>1051</v>
      </c>
      <c r="L75" s="13">
        <f>$I$6*$L$6</f>
        <v>0</v>
      </c>
      <c r="M75" s="13">
        <f>$I$6*$M$6</f>
        <v>0</v>
      </c>
      <c r="N75" s="13">
        <f ca="1">$I$6*$N$6</f>
        <v>0</v>
      </c>
      <c r="O75" s="13">
        <f>$I$6*$O$6</f>
        <v>0</v>
      </c>
      <c r="P75" s="13">
        <f>$I$6*$P$6</f>
        <v>0</v>
      </c>
      <c r="Q75" s="13">
        <f>$I$6*$Q$6</f>
        <v>0</v>
      </c>
      <c r="R75" s="13">
        <f>$I$6*$R$6</f>
        <v>0</v>
      </c>
      <c r="S75" s="13">
        <f>$I$6*$S$6</f>
        <v>0</v>
      </c>
      <c r="T75" s="13">
        <f>$I$6*$T$6</f>
        <v>2.6719040077280171E-8</v>
      </c>
      <c r="U75" s="13">
        <f>$I$6*$U$6</f>
        <v>3.089314185420981E-8</v>
      </c>
      <c r="V75" s="13">
        <f>$I$6*$V$6</f>
        <v>2.6737890760835622E-9</v>
      </c>
      <c r="W75" s="13">
        <f>$I$6*$W$6</f>
        <v>0</v>
      </c>
      <c r="X75" s="13">
        <f>$I$6*$X$6</f>
        <v>0</v>
      </c>
      <c r="Y75" s="13">
        <f>$I$6*$Y$6</f>
        <v>0</v>
      </c>
      <c r="Z75" s="13">
        <f>$I$6*$Z$6</f>
        <v>0</v>
      </c>
      <c r="AA75" s="13">
        <f>$I$6*$AA$6</f>
        <v>1.5117793652445714E-7</v>
      </c>
      <c r="AB75" s="13">
        <f ca="1">$I$6*$AB$6</f>
        <v>-1.8195847952366541E-8</v>
      </c>
      <c r="AC75" s="13">
        <f ca="1">$I$6*$AC$6</f>
        <v>0</v>
      </c>
      <c r="AD75" s="13">
        <f>$I$6*$AD$6</f>
        <v>0</v>
      </c>
      <c r="AE75" s="13">
        <f>$I$6*$AE$6</f>
        <v>0</v>
      </c>
      <c r="AF75" s="13">
        <f ca="1">$I$6*$AF$6</f>
        <v>0</v>
      </c>
      <c r="AG75" s="13">
        <f ca="1">$I$6*$AG$6</f>
        <v>0</v>
      </c>
      <c r="AI75" s="13">
        <f>$I$6*$AI$6</f>
        <v>0</v>
      </c>
      <c r="AJ75" s="13">
        <f>$I$6*$AJ$6</f>
        <v>0</v>
      </c>
      <c r="AK75" s="13">
        <f>$I$6*$AK$6</f>
        <v>0</v>
      </c>
      <c r="AL75" s="13">
        <f>$I$6*$AL$6</f>
        <v>0</v>
      </c>
      <c r="AM75" s="13">
        <f>$I$6*$AM$6</f>
        <v>0</v>
      </c>
      <c r="AN75" s="13">
        <f>$I$6*$AN$6</f>
        <v>0</v>
      </c>
      <c r="AO75" s="13">
        <f>$I$6*$AO$6</f>
        <v>0</v>
      </c>
      <c r="AP75" s="13">
        <f>$I$6*$AP$6</f>
        <v>0</v>
      </c>
      <c r="AQ75" s="13">
        <f>$I$6*$AQ$6</f>
        <v>1.76309230110147E-8</v>
      </c>
      <c r="AR75" s="13">
        <f>$I$6*$AR$6</f>
        <v>2.3929346724537898E-8</v>
      </c>
      <c r="AS75" s="13">
        <f>$I$6*$AS$6</f>
        <v>2.09181916040074E-9</v>
      </c>
      <c r="AT75" s="13">
        <f>$I$6*$AT$6</f>
        <v>0</v>
      </c>
      <c r="AU75" s="13">
        <f>$I$6*$AU$6</f>
        <v>0</v>
      </c>
      <c r="AV75" s="13">
        <f>$I$6*$AV$6</f>
        <v>0</v>
      </c>
      <c r="AW75" s="13">
        <f>$I$6*$AW$6</f>
        <v>0</v>
      </c>
      <c r="AX75" s="13">
        <f>$I$6*$AX$6</f>
        <v>1.41969403740636E-7</v>
      </c>
      <c r="AY75" s="13">
        <f>$I$6*$AY$6</f>
        <v>0</v>
      </c>
      <c r="AZ75" s="13">
        <f>$I$6*$AZ$6</f>
        <v>0</v>
      </c>
      <c r="BA75" s="13">
        <f>$I$6*$BA$6</f>
        <v>0</v>
      </c>
      <c r="BB75" s="13">
        <f>$I$6*$BB$6</f>
        <v>0</v>
      </c>
      <c r="BC75" s="13">
        <f>$I$6*$BC$6</f>
        <v>0</v>
      </c>
      <c r="BD75" s="13">
        <f>$I$6*$BD$6</f>
        <v>0</v>
      </c>
    </row>
    <row r="76" spans="1:56" ht="11.25" customHeight="1" x14ac:dyDescent="0.25">
      <c r="A76" s="9" t="s">
        <v>80</v>
      </c>
      <c r="B76" s="9" t="s">
        <v>1045</v>
      </c>
      <c r="C76" s="9" t="s">
        <v>1046</v>
      </c>
      <c r="D76" s="9" t="s">
        <v>1047</v>
      </c>
      <c r="E76" s="9" t="s">
        <v>1048</v>
      </c>
      <c r="F76" s="9" t="s">
        <v>1049</v>
      </c>
      <c r="G76" s="9" t="s">
        <v>1052</v>
      </c>
      <c r="L76" s="13">
        <f>$I$7*$L$7</f>
        <v>1.2463308065266451E-7</v>
      </c>
      <c r="M76" s="13">
        <f>$I$7*$M$7</f>
        <v>1.1821520926312891E-9</v>
      </c>
      <c r="N76" s="13">
        <f ca="1">$I$7*$N$7</f>
        <v>3.1340375677580186E-9</v>
      </c>
      <c r="O76" s="13">
        <f>$I$7*$O$7</f>
        <v>0</v>
      </c>
      <c r="P76" s="13">
        <f>$I$7*$P$7</f>
        <v>0</v>
      </c>
      <c r="Q76" s="13">
        <f>$I$7*$Q$7</f>
        <v>3.0978758542365507E-7</v>
      </c>
      <c r="R76" s="13">
        <f>$I$7*$R$7</f>
        <v>1.8494598327475545E-7</v>
      </c>
      <c r="S76" s="13">
        <f>$I$7*$S$7</f>
        <v>0</v>
      </c>
      <c r="T76" s="13">
        <f>$I$7*$T$7</f>
        <v>0</v>
      </c>
      <c r="U76" s="13">
        <f>$I$7*$U$7</f>
        <v>0</v>
      </c>
      <c r="V76" s="13">
        <f>$I$7*$V$7</f>
        <v>0</v>
      </c>
      <c r="W76" s="13">
        <f>$I$7*$W$7</f>
        <v>0</v>
      </c>
      <c r="X76" s="13">
        <f>$I$7*$X$7</f>
        <v>0</v>
      </c>
      <c r="Y76" s="13">
        <f>$I$7*$Y$7</f>
        <v>0</v>
      </c>
      <c r="Z76" s="13">
        <f>$I$7*$Z$7</f>
        <v>0</v>
      </c>
      <c r="AA76" s="13">
        <f>$I$7*$AA$7</f>
        <v>0</v>
      </c>
      <c r="AB76" s="13">
        <f ca="1">$I$7*$AB$7</f>
        <v>-6.0973432114184652E-8</v>
      </c>
      <c r="AC76" s="13">
        <f ca="1">$I$7*$AC$7</f>
        <v>0</v>
      </c>
      <c r="AD76" s="13">
        <f>$I$7*$AD$7</f>
        <v>1.1411199444839693E-7</v>
      </c>
      <c r="AE76" s="13">
        <f>$I$7*$AE$7</f>
        <v>5.2764321208980763E-9</v>
      </c>
      <c r="AF76" s="13">
        <f ca="1">$I$7*$AF$7</f>
        <v>5.1275490080911881E-8</v>
      </c>
      <c r="AG76" s="13">
        <f ca="1">$I$7*$AG$7</f>
        <v>1.8755215510964295E-8</v>
      </c>
      <c r="AI76" s="13">
        <f>$I$7*$AI$7</f>
        <v>1.52113588222787E-7</v>
      </c>
      <c r="AJ76" s="13">
        <f>$I$7*$AJ$7</f>
        <v>1.11178600954278E-9</v>
      </c>
      <c r="AK76" s="13">
        <f>$I$7*$AK$7</f>
        <v>2.7352296099806899E-9</v>
      </c>
      <c r="AL76" s="13">
        <f>$I$7*$AL$7</f>
        <v>0</v>
      </c>
      <c r="AM76" s="13">
        <f>$I$7*$AM$7</f>
        <v>0</v>
      </c>
      <c r="AN76" s="13">
        <f>$I$7*$AN$7</f>
        <v>1.7143865413254702E-7</v>
      </c>
      <c r="AO76" s="13">
        <f>$I$7*$AO$7</f>
        <v>1.1180406741798601E-7</v>
      </c>
      <c r="AP76" s="13">
        <f>$I$7*$AP$7</f>
        <v>0</v>
      </c>
      <c r="AQ76" s="13">
        <f>$I$7*$AQ$7</f>
        <v>0</v>
      </c>
      <c r="AR76" s="13">
        <f>$I$7*$AR$7</f>
        <v>0</v>
      </c>
      <c r="AS76" s="13">
        <f>$I$7*$AS$7</f>
        <v>0</v>
      </c>
      <c r="AT76" s="13">
        <f>$I$7*$AT$7</f>
        <v>0</v>
      </c>
      <c r="AU76" s="13">
        <f>$I$7*$AU$7</f>
        <v>0</v>
      </c>
      <c r="AV76" s="13">
        <f>$I$7*$AV$7</f>
        <v>0</v>
      </c>
      <c r="AW76" s="13">
        <f>$I$7*$AW$7</f>
        <v>0</v>
      </c>
      <c r="AX76" s="13">
        <f>$I$7*$AX$7</f>
        <v>0</v>
      </c>
      <c r="AY76" s="13">
        <f>$I$7*$AY$7</f>
        <v>0</v>
      </c>
      <c r="AZ76" s="13">
        <f>$I$7*$AZ$7</f>
        <v>0</v>
      </c>
      <c r="BA76" s="13">
        <f>$I$7*$BA$7</f>
        <v>7.3964860898687699E-8</v>
      </c>
      <c r="BB76" s="13">
        <f>$I$7*$BB$7</f>
        <v>3.15822261659034E-9</v>
      </c>
      <c r="BC76" s="13">
        <f>$I$7*$BC$7</f>
        <v>3.2752549602680301E-8</v>
      </c>
      <c r="BD76" s="13">
        <f>$I$7*$BD$7</f>
        <v>1.44545667480138E-8</v>
      </c>
    </row>
    <row r="77" spans="1:56" ht="11.25" customHeight="1" x14ac:dyDescent="0.25">
      <c r="A77" s="9" t="s">
        <v>80</v>
      </c>
      <c r="B77" s="9" t="s">
        <v>1045</v>
      </c>
      <c r="C77" s="9" t="s">
        <v>1046</v>
      </c>
      <c r="D77" s="9" t="s">
        <v>1047</v>
      </c>
      <c r="E77" s="9" t="s">
        <v>1053</v>
      </c>
      <c r="F77" s="9" t="s">
        <v>1054</v>
      </c>
      <c r="G77" s="9" t="s">
        <v>1055</v>
      </c>
      <c r="L77" s="13">
        <f>$I$8*$L$8</f>
        <v>0</v>
      </c>
      <c r="M77" s="13">
        <f>$I$8*$M$8</f>
        <v>1.1821520926312891E-9</v>
      </c>
      <c r="N77" s="13">
        <f ca="1">$I$8*$N$8</f>
        <v>3.0193000043681023E-9</v>
      </c>
      <c r="O77" s="13">
        <f>$I$8*$O$8</f>
        <v>0</v>
      </c>
      <c r="P77" s="13">
        <f>$I$8*$P$8</f>
        <v>0</v>
      </c>
      <c r="Q77" s="13">
        <f>$I$8*$Q$8</f>
        <v>0</v>
      </c>
      <c r="R77" s="13">
        <f>$I$8*$R$8</f>
        <v>0</v>
      </c>
      <c r="S77" s="13">
        <f>$I$8*$S$8</f>
        <v>0</v>
      </c>
      <c r="T77" s="13">
        <f>$I$8*$T$8</f>
        <v>0</v>
      </c>
      <c r="U77" s="13">
        <f>$I$8*$U$8</f>
        <v>0</v>
      </c>
      <c r="V77" s="13">
        <f>$I$8*$V$8</f>
        <v>0</v>
      </c>
      <c r="W77" s="13">
        <f>$I$8*$W$8</f>
        <v>0</v>
      </c>
      <c r="X77" s="13">
        <f>$I$8*$X$8</f>
        <v>0</v>
      </c>
      <c r="Y77" s="13">
        <f>$I$8*$Y$8</f>
        <v>0</v>
      </c>
      <c r="Z77" s="13">
        <f>$I$8*$Z$8</f>
        <v>0</v>
      </c>
      <c r="AA77" s="13">
        <f>$I$8*$AA$8</f>
        <v>0</v>
      </c>
      <c r="AB77" s="13">
        <f ca="1">$I$8*$AB$8</f>
        <v>-1.579980328560503E-8</v>
      </c>
      <c r="AC77" s="13">
        <f ca="1">$I$8*$AC$8</f>
        <v>0</v>
      </c>
      <c r="AD77" s="13">
        <f>$I$8*$AD$8</f>
        <v>1.1411199444839693E-7</v>
      </c>
      <c r="AE77" s="13">
        <f>$I$8*$AE$8</f>
        <v>5.2764321208980763E-9</v>
      </c>
      <c r="AF77" s="13">
        <f ca="1">$I$8*$AF$8</f>
        <v>5.1275490080911881E-8</v>
      </c>
      <c r="AG77" s="13">
        <f ca="1">$I$8*$AG$8</f>
        <v>1.8755215510964295E-8</v>
      </c>
      <c r="AI77" s="13">
        <f>$I$8*$AI$8</f>
        <v>0</v>
      </c>
      <c r="AJ77" s="13">
        <f>$I$8*$AJ$8</f>
        <v>1.11178600954278E-9</v>
      </c>
      <c r="AK77" s="13">
        <f>$I$8*$AK$8</f>
        <v>2.6290401625985198E-9</v>
      </c>
      <c r="AL77" s="13">
        <f>$I$8*$AL$8</f>
        <v>0</v>
      </c>
      <c r="AM77" s="13">
        <f>$I$8*$AM$8</f>
        <v>0</v>
      </c>
      <c r="AN77" s="13">
        <f>$I$8*$AN$8</f>
        <v>0</v>
      </c>
      <c r="AO77" s="13">
        <f>$I$8*$AO$8</f>
        <v>0</v>
      </c>
      <c r="AP77" s="13">
        <f>$I$8*$AP$8</f>
        <v>0</v>
      </c>
      <c r="AQ77" s="13">
        <f>$I$8*$AQ$8</f>
        <v>0</v>
      </c>
      <c r="AR77" s="13">
        <f>$I$8*$AR$8</f>
        <v>0</v>
      </c>
      <c r="AS77" s="13">
        <f>$I$8*$AS$8</f>
        <v>0</v>
      </c>
      <c r="AT77" s="13">
        <f>$I$8*$AT$8</f>
        <v>0</v>
      </c>
      <c r="AU77" s="13">
        <f>$I$8*$AU$8</f>
        <v>0</v>
      </c>
      <c r="AV77" s="13">
        <f>$I$8*$AV$8</f>
        <v>0</v>
      </c>
      <c r="AW77" s="13">
        <f>$I$8*$AW$8</f>
        <v>0</v>
      </c>
      <c r="AX77" s="13">
        <f>$I$8*$AX$8</f>
        <v>0</v>
      </c>
      <c r="AY77" s="13">
        <f>$I$8*$AY$8</f>
        <v>0</v>
      </c>
      <c r="AZ77" s="13">
        <f>$I$8*$AZ$8</f>
        <v>0</v>
      </c>
      <c r="BA77" s="13">
        <f>$I$8*$BA$8</f>
        <v>7.3964860898687699E-8</v>
      </c>
      <c r="BB77" s="13">
        <f>$I$8*$BB$8</f>
        <v>3.15822261659034E-9</v>
      </c>
      <c r="BC77" s="13">
        <f>$I$8*$BC$8</f>
        <v>3.2752549602680301E-8</v>
      </c>
      <c r="BD77" s="13">
        <f>$I$8*$BD$8</f>
        <v>1.44545667480138E-8</v>
      </c>
    </row>
    <row r="78" spans="1:56" ht="11.25" customHeight="1" x14ac:dyDescent="0.25">
      <c r="A78" s="9" t="s">
        <v>43</v>
      </c>
      <c r="B78" s="9" t="s">
        <v>1056</v>
      </c>
      <c r="C78" s="9" t="s">
        <v>1057</v>
      </c>
      <c r="D78" s="9" t="s">
        <v>1058</v>
      </c>
      <c r="E78" s="9" t="s">
        <v>1059</v>
      </c>
      <c r="F78" s="9" t="s">
        <v>1060</v>
      </c>
      <c r="G78" s="9" t="s">
        <v>1061</v>
      </c>
      <c r="L78" s="13">
        <f>$I$9*$L$9</f>
        <v>0</v>
      </c>
      <c r="M78" s="13">
        <f>$I$9*$M$9</f>
        <v>0</v>
      </c>
      <c r="N78" s="13">
        <f ca="1">$I$9*$N$9</f>
        <v>0</v>
      </c>
      <c r="O78" s="13">
        <f>$I$9*$O$9</f>
        <v>0</v>
      </c>
      <c r="P78" s="13">
        <f>$I$9*$P$9</f>
        <v>0</v>
      </c>
      <c r="Q78" s="13">
        <f>$I$9*$Q$9</f>
        <v>0</v>
      </c>
      <c r="R78" s="13">
        <f>$I$9*$R$9</f>
        <v>0</v>
      </c>
      <c r="S78" s="13">
        <f>$I$9*$S$9</f>
        <v>0</v>
      </c>
      <c r="T78" s="13">
        <f>$I$9*$T$9</f>
        <v>569.40471104287701</v>
      </c>
      <c r="U78" s="13">
        <f>$I$9*$U$9</f>
        <v>597.52953280924351</v>
      </c>
      <c r="V78" s="13">
        <f>$I$9*$V$9</f>
        <v>51.214447103542206</v>
      </c>
      <c r="W78" s="13">
        <f>$I$9*$W$9</f>
        <v>0</v>
      </c>
      <c r="X78" s="13">
        <f>$I$9*$X$9</f>
        <v>0</v>
      </c>
      <c r="Y78" s="13">
        <f>$I$9*$Y$9</f>
        <v>0</v>
      </c>
      <c r="Z78" s="13">
        <f>$I$9*$Z$9</f>
        <v>0</v>
      </c>
      <c r="AA78" s="13">
        <f>$I$9*$AA$9</f>
        <v>8043.572212161861</v>
      </c>
      <c r="AB78" s="13">
        <f ca="1">$I$9*$AB$9</f>
        <v>-815.43425589582137</v>
      </c>
      <c r="AC78" s="13">
        <f ca="1">$I$9*$AC$9</f>
        <v>0</v>
      </c>
      <c r="AD78" s="13">
        <f>$I$9*$AD$9</f>
        <v>0</v>
      </c>
      <c r="AE78" s="13">
        <f>$I$9*$AE$9</f>
        <v>0</v>
      </c>
      <c r="AF78" s="13">
        <f ca="1">$I$9*$AF$9</f>
        <v>0</v>
      </c>
      <c r="AG78" s="13">
        <f ca="1">$I$9*$AG$9</f>
        <v>0</v>
      </c>
      <c r="AI78" s="13">
        <f>$I$9*$AI$9</f>
        <v>0</v>
      </c>
      <c r="AJ78" s="13">
        <f>$I$9*$AJ$9</f>
        <v>0</v>
      </c>
      <c r="AK78" s="13">
        <f>$I$9*$AK$9</f>
        <v>0</v>
      </c>
      <c r="AL78" s="13">
        <f>$I$9*$AL$9</f>
        <v>0</v>
      </c>
      <c r="AM78" s="13">
        <f>$I$9*$AM$9</f>
        <v>0</v>
      </c>
      <c r="AN78" s="13">
        <f>$I$9*$AN$9</f>
        <v>0</v>
      </c>
      <c r="AO78" s="13">
        <f>$I$9*$AO$9</f>
        <v>0</v>
      </c>
      <c r="AP78" s="13">
        <f>$I$9*$AP$9</f>
        <v>0</v>
      </c>
      <c r="AQ78" s="13">
        <f>$I$9*$AQ$9</f>
        <v>375.72946458666297</v>
      </c>
      <c r="AR78" s="13">
        <f>$I$9*$AR$9</f>
        <v>462.83707355570101</v>
      </c>
      <c r="AS78" s="13">
        <f>$I$9*$AS$9</f>
        <v>40.067244906782697</v>
      </c>
      <c r="AT78" s="13">
        <f>$I$9*$AT$9</f>
        <v>0</v>
      </c>
      <c r="AU78" s="13">
        <f>$I$9*$AU$9</f>
        <v>0</v>
      </c>
      <c r="AV78" s="13">
        <f>$I$9*$AV$9</f>
        <v>0</v>
      </c>
      <c r="AW78" s="13">
        <f>$I$9*$AW$9</f>
        <v>0</v>
      </c>
      <c r="AX78" s="13">
        <f>$I$9*$AX$9</f>
        <v>7553.6230825629009</v>
      </c>
      <c r="AY78" s="13">
        <f>$I$9*$AY$9</f>
        <v>0</v>
      </c>
      <c r="AZ78" s="13">
        <f>$I$9*$AZ$9</f>
        <v>0</v>
      </c>
      <c r="BA78" s="13">
        <f>$I$9*$BA$9</f>
        <v>0</v>
      </c>
      <c r="BB78" s="13">
        <f>$I$9*$BB$9</f>
        <v>0</v>
      </c>
      <c r="BC78" s="13">
        <f>$I$9*$BC$9</f>
        <v>0</v>
      </c>
      <c r="BD78" s="13">
        <f>$I$9*$BD$9</f>
        <v>0</v>
      </c>
    </row>
    <row r="79" spans="1:56" ht="11.25" customHeight="1" x14ac:dyDescent="0.25">
      <c r="A79" s="9" t="s">
        <v>43</v>
      </c>
      <c r="B79" s="9" t="s">
        <v>1056</v>
      </c>
      <c r="C79" s="9" t="s">
        <v>1057</v>
      </c>
      <c r="D79" s="9" t="s">
        <v>1058</v>
      </c>
      <c r="E79" s="9" t="s">
        <v>1059</v>
      </c>
      <c r="F79" s="9" t="s">
        <v>1060</v>
      </c>
      <c r="G79" s="9" t="s">
        <v>1062</v>
      </c>
      <c r="L79" s="13">
        <f>$I$10*$L$10</f>
        <v>0</v>
      </c>
      <c r="M79" s="13">
        <f>$I$10*$M$10</f>
        <v>0</v>
      </c>
      <c r="N79" s="13">
        <f ca="1">$I$10*$N$10</f>
        <v>0</v>
      </c>
      <c r="O79" s="13">
        <f>$I$10*$O$10</f>
        <v>0</v>
      </c>
      <c r="P79" s="13">
        <f>$I$10*$P$10</f>
        <v>0</v>
      </c>
      <c r="Q79" s="13">
        <f>$I$10*$Q$10</f>
        <v>0</v>
      </c>
      <c r="R79" s="13">
        <f>$I$10*$R$10</f>
        <v>0</v>
      </c>
      <c r="S79" s="13">
        <f>$I$10*$S$10</f>
        <v>0</v>
      </c>
      <c r="T79" s="13">
        <f>$I$10*$T$10</f>
        <v>2949.7433581356449</v>
      </c>
      <c r="U79" s="13">
        <f>$I$10*$U$10</f>
        <v>3410.5474937752056</v>
      </c>
      <c r="V79" s="13">
        <f>$I$10*$V$10</f>
        <v>295.23026669676631</v>
      </c>
      <c r="W79" s="13">
        <f>$I$10*$W$10</f>
        <v>0</v>
      </c>
      <c r="X79" s="13">
        <f>$I$10*$X$10</f>
        <v>0</v>
      </c>
      <c r="Y79" s="13">
        <f>$I$10*$Y$10</f>
        <v>0</v>
      </c>
      <c r="Z79" s="13">
        <f>$I$10*$Z$10</f>
        <v>0</v>
      </c>
      <c r="AA79" s="13">
        <f>$I$10*$AA$10</f>
        <v>16690.044192300073</v>
      </c>
      <c r="AB79" s="13">
        <f ca="1">$I$10*$AB$10</f>
        <v>-2008.8184791240133</v>
      </c>
      <c r="AC79" s="13">
        <f ca="1">$I$10*$AC$10</f>
        <v>0</v>
      </c>
      <c r="AD79" s="13">
        <f>$I$10*$AD$10</f>
        <v>0</v>
      </c>
      <c r="AE79" s="13">
        <f>$I$10*$AE$10</f>
        <v>0</v>
      </c>
      <c r="AF79" s="13">
        <f ca="1">$I$10*$AF$10</f>
        <v>0</v>
      </c>
      <c r="AG79" s="13">
        <f ca="1">$I$10*$AG$10</f>
        <v>0</v>
      </c>
      <c r="AI79" s="13">
        <f>$I$10*$AI$10</f>
        <v>0</v>
      </c>
      <c r="AJ79" s="13">
        <f>$I$10*$AJ$10</f>
        <v>0</v>
      </c>
      <c r="AK79" s="13">
        <f>$I$10*$AK$10</f>
        <v>0</v>
      </c>
      <c r="AL79" s="13">
        <f>$I$10*$AL$10</f>
        <v>0</v>
      </c>
      <c r="AM79" s="13">
        <f>$I$10*$AM$10</f>
        <v>0</v>
      </c>
      <c r="AN79" s="13">
        <f>$I$10*$AN$10</f>
        <v>0</v>
      </c>
      <c r="AO79" s="13">
        <f>$I$10*$AO$10</f>
        <v>0</v>
      </c>
      <c r="AP79" s="13">
        <f>$I$10*$AP$10</f>
        <v>0</v>
      </c>
      <c r="AQ79" s="13">
        <f>$I$10*$AQ$10</f>
        <v>1946.4283858672054</v>
      </c>
      <c r="AR79" s="13">
        <f>$I$10*$AR$10</f>
        <v>2641.7569920273309</v>
      </c>
      <c r="AS79" s="13">
        <f>$I$10*$AS$10</f>
        <v>230.97122137663237</v>
      </c>
      <c r="AT79" s="13">
        <f>$I$10*$AT$10</f>
        <v>0</v>
      </c>
      <c r="AU79" s="13">
        <f>$I$10*$AU$10</f>
        <v>0</v>
      </c>
      <c r="AV79" s="13">
        <f>$I$10*$AV$10</f>
        <v>0</v>
      </c>
      <c r="AW79" s="13">
        <f>$I$10*$AW$10</f>
        <v>0</v>
      </c>
      <c r="AX79" s="13">
        <f>$I$10*$AX$10</f>
        <v>15673.422172966277</v>
      </c>
      <c r="AY79" s="13">
        <f>$I$10*$AY$10</f>
        <v>0</v>
      </c>
      <c r="AZ79" s="13">
        <f>$I$10*$AZ$10</f>
        <v>0</v>
      </c>
      <c r="BA79" s="13">
        <f>$I$10*$BA$10</f>
        <v>0</v>
      </c>
      <c r="BB79" s="13">
        <f>$I$10*$BB$10</f>
        <v>0</v>
      </c>
      <c r="BC79" s="13">
        <f>$I$10*$BC$10</f>
        <v>0</v>
      </c>
      <c r="BD79" s="13">
        <f>$I$10*$BD$10</f>
        <v>0</v>
      </c>
    </row>
    <row r="80" spans="1:56" ht="11.25" customHeight="1" x14ac:dyDescent="0.25">
      <c r="A80" s="9" t="s">
        <v>43</v>
      </c>
      <c r="B80" s="9" t="s">
        <v>1056</v>
      </c>
      <c r="C80" s="9" t="s">
        <v>1057</v>
      </c>
      <c r="D80" s="9" t="s">
        <v>1058</v>
      </c>
      <c r="E80" s="9" t="s">
        <v>1059</v>
      </c>
      <c r="F80" s="9" t="s">
        <v>1060</v>
      </c>
      <c r="G80" s="9" t="s">
        <v>1063</v>
      </c>
      <c r="L80" s="13">
        <f>$I$11*$L$11</f>
        <v>0</v>
      </c>
      <c r="M80" s="13">
        <f>$I$11*$M$11</f>
        <v>0</v>
      </c>
      <c r="N80" s="13">
        <f ca="1">$I$11*$N$11</f>
        <v>0</v>
      </c>
      <c r="O80" s="13">
        <f>$I$11*$O$11</f>
        <v>0</v>
      </c>
      <c r="P80" s="13">
        <f>$I$11*$P$11</f>
        <v>0</v>
      </c>
      <c r="Q80" s="13">
        <f>$I$11*$Q$11</f>
        <v>0</v>
      </c>
      <c r="R80" s="13">
        <f>$I$11*$R$11</f>
        <v>0</v>
      </c>
      <c r="S80" s="13">
        <f>$I$11*$S$11</f>
        <v>0</v>
      </c>
      <c r="T80" s="13">
        <f>$I$11*$T$11</f>
        <v>0</v>
      </c>
      <c r="U80" s="13">
        <f>$I$11*$U$11</f>
        <v>0</v>
      </c>
      <c r="V80" s="13">
        <f>$I$11*$V$11</f>
        <v>0</v>
      </c>
      <c r="W80" s="13">
        <f>$I$11*$W$11</f>
        <v>0</v>
      </c>
      <c r="X80" s="13">
        <f>$I$11*$X$11</f>
        <v>0</v>
      </c>
      <c r="Y80" s="13">
        <f>$I$11*$Y$11</f>
        <v>0</v>
      </c>
      <c r="Z80" s="13">
        <f>$I$11*$Z$11</f>
        <v>0</v>
      </c>
      <c r="AA80" s="13">
        <f>$I$11*$AA$11</f>
        <v>0</v>
      </c>
      <c r="AB80" s="13">
        <f ca="1">$I$11*$AB$11</f>
        <v>0</v>
      </c>
      <c r="AC80" s="13">
        <f ca="1">$I$11*$AC$11</f>
        <v>0</v>
      </c>
      <c r="AD80" s="13">
        <f>$I$11*$AD$11</f>
        <v>0</v>
      </c>
      <c r="AE80" s="13">
        <f>$I$11*$AE$11</f>
        <v>0</v>
      </c>
      <c r="AF80" s="13">
        <f ca="1">$I$11*$AF$11</f>
        <v>0</v>
      </c>
      <c r="AG80" s="13">
        <f ca="1">$I$11*$AG$11</f>
        <v>0</v>
      </c>
      <c r="AI80" s="13">
        <f>$I$11*$AI$11</f>
        <v>0</v>
      </c>
      <c r="AJ80" s="13">
        <f>$I$11*$AJ$11</f>
        <v>0</v>
      </c>
      <c r="AK80" s="13">
        <f>$I$11*$AK$11</f>
        <v>0</v>
      </c>
      <c r="AL80" s="13">
        <f>$I$11*$AL$11</f>
        <v>0</v>
      </c>
      <c r="AM80" s="13">
        <f>$I$11*$AM$11</f>
        <v>0</v>
      </c>
      <c r="AN80" s="13">
        <f>$I$11*$AN$11</f>
        <v>0</v>
      </c>
      <c r="AO80" s="13">
        <f>$I$11*$AO$11</f>
        <v>0</v>
      </c>
      <c r="AP80" s="13">
        <f>$I$11*$AP$11</f>
        <v>0</v>
      </c>
      <c r="AQ80" s="13">
        <f>$I$11*$AQ$11</f>
        <v>0</v>
      </c>
      <c r="AR80" s="13">
        <f>$I$11*$AR$11</f>
        <v>0</v>
      </c>
      <c r="AS80" s="13">
        <f>$I$11*$AS$11</f>
        <v>0</v>
      </c>
      <c r="AT80" s="13">
        <f>$I$11*$AT$11</f>
        <v>0</v>
      </c>
      <c r="AU80" s="13">
        <f>$I$11*$AU$11</f>
        <v>0</v>
      </c>
      <c r="AV80" s="13">
        <f>$I$11*$AV$11</f>
        <v>0</v>
      </c>
      <c r="AW80" s="13">
        <f>$I$11*$AW$11</f>
        <v>0</v>
      </c>
      <c r="AX80" s="13">
        <f>$I$11*$AX$11</f>
        <v>0</v>
      </c>
      <c r="AY80" s="13">
        <f>$I$11*$AY$11</f>
        <v>0</v>
      </c>
      <c r="AZ80" s="13">
        <f>$I$11*$AZ$11</f>
        <v>0</v>
      </c>
      <c r="BA80" s="13">
        <f>$I$11*$BA$11</f>
        <v>0</v>
      </c>
      <c r="BB80" s="13">
        <f>$I$11*$BB$11</f>
        <v>0</v>
      </c>
      <c r="BC80" s="13">
        <f>$I$11*$BC$11</f>
        <v>0</v>
      </c>
      <c r="BD80" s="13">
        <f>$I$11*$BD$11</f>
        <v>0</v>
      </c>
    </row>
    <row r="81" spans="1:56" ht="11.25" customHeight="1" x14ac:dyDescent="0.25">
      <c r="A81" s="9" t="s">
        <v>43</v>
      </c>
      <c r="B81" s="9" t="s">
        <v>1056</v>
      </c>
      <c r="C81" s="9" t="s">
        <v>1057</v>
      </c>
      <c r="D81" s="9" t="s">
        <v>1058</v>
      </c>
      <c r="E81" s="9" t="s">
        <v>1064</v>
      </c>
      <c r="F81" s="9" t="s">
        <v>1065</v>
      </c>
      <c r="G81" s="9" t="s">
        <v>1066</v>
      </c>
      <c r="L81" s="13">
        <f>$I$12*$L$12</f>
        <v>0</v>
      </c>
      <c r="M81" s="13">
        <f>$I$12*$M$12</f>
        <v>0</v>
      </c>
      <c r="N81" s="13">
        <f ca="1">$I$12*$N$12</f>
        <v>0</v>
      </c>
      <c r="O81" s="13">
        <f>$I$12*$O$12</f>
        <v>0</v>
      </c>
      <c r="P81" s="13">
        <f>$I$12*$P$12</f>
        <v>0</v>
      </c>
      <c r="Q81" s="13">
        <f>$I$12*$Q$12</f>
        <v>0</v>
      </c>
      <c r="R81" s="13">
        <f>$I$12*$R$12</f>
        <v>0</v>
      </c>
      <c r="S81" s="13">
        <f>$I$12*$S$12</f>
        <v>0</v>
      </c>
      <c r="T81" s="13">
        <f>$I$12*$T$12</f>
        <v>0</v>
      </c>
      <c r="U81" s="13">
        <f>$I$12*$U$12</f>
        <v>0</v>
      </c>
      <c r="V81" s="13">
        <f>$I$12*$V$12</f>
        <v>0</v>
      </c>
      <c r="W81" s="13">
        <f>$I$12*$W$12</f>
        <v>0</v>
      </c>
      <c r="X81" s="13">
        <f>$I$12*$X$12</f>
        <v>0</v>
      </c>
      <c r="Y81" s="13">
        <f>$I$12*$Y$12</f>
        <v>0</v>
      </c>
      <c r="Z81" s="13">
        <f>$I$12*$Z$12</f>
        <v>0</v>
      </c>
      <c r="AA81" s="13">
        <f>$I$12*$AA$12</f>
        <v>0</v>
      </c>
      <c r="AB81" s="13">
        <f ca="1">$I$12*$AB$12</f>
        <v>0</v>
      </c>
      <c r="AC81" s="13">
        <f ca="1">$I$12*$AC$12</f>
        <v>0</v>
      </c>
      <c r="AD81" s="13">
        <f>$I$12*$AD$12</f>
        <v>0</v>
      </c>
      <c r="AE81" s="13">
        <f>$I$12*$AE$12</f>
        <v>0</v>
      </c>
      <c r="AF81" s="13">
        <f ca="1">$I$12*$AF$12</f>
        <v>0</v>
      </c>
      <c r="AG81" s="13">
        <f ca="1">$I$12*$AG$12</f>
        <v>0</v>
      </c>
      <c r="AI81" s="13">
        <f>$I$12*$AI$12</f>
        <v>0</v>
      </c>
      <c r="AJ81" s="13">
        <f>$I$12*$AJ$12</f>
        <v>0</v>
      </c>
      <c r="AK81" s="13">
        <f>$I$12*$AK$12</f>
        <v>0</v>
      </c>
      <c r="AL81" s="13">
        <f>$I$12*$AL$12</f>
        <v>0</v>
      </c>
      <c r="AM81" s="13">
        <f>$I$12*$AM$12</f>
        <v>0</v>
      </c>
      <c r="AN81" s="13">
        <f>$I$12*$AN$12</f>
        <v>0</v>
      </c>
      <c r="AO81" s="13">
        <f>$I$12*$AO$12</f>
        <v>0</v>
      </c>
      <c r="AP81" s="13">
        <f>$I$12*$AP$12</f>
        <v>0</v>
      </c>
      <c r="AQ81" s="13">
        <f>$I$12*$AQ$12</f>
        <v>0</v>
      </c>
      <c r="AR81" s="13">
        <f>$I$12*$AR$12</f>
        <v>0</v>
      </c>
      <c r="AS81" s="13">
        <f>$I$12*$AS$12</f>
        <v>0</v>
      </c>
      <c r="AT81" s="13">
        <f>$I$12*$AT$12</f>
        <v>0</v>
      </c>
      <c r="AU81" s="13">
        <f>$I$12*$AU$12</f>
        <v>0</v>
      </c>
      <c r="AV81" s="13">
        <f>$I$12*$AV$12</f>
        <v>0</v>
      </c>
      <c r="AW81" s="13">
        <f>$I$12*$AW$12</f>
        <v>0</v>
      </c>
      <c r="AX81" s="13">
        <f>$I$12*$AX$12</f>
        <v>0</v>
      </c>
      <c r="AY81" s="13">
        <f>$I$12*$AY$12</f>
        <v>0</v>
      </c>
      <c r="AZ81" s="13">
        <f>$I$12*$AZ$12</f>
        <v>0</v>
      </c>
      <c r="BA81" s="13">
        <f>$I$12*$BA$12</f>
        <v>0</v>
      </c>
      <c r="BB81" s="13">
        <f>$I$12*$BB$12</f>
        <v>0</v>
      </c>
      <c r="BC81" s="13">
        <f>$I$12*$BC$12</f>
        <v>0</v>
      </c>
      <c r="BD81" s="13">
        <f>$I$12*$BD$12</f>
        <v>0</v>
      </c>
    </row>
    <row r="82" spans="1:56" ht="11.25" customHeight="1" x14ac:dyDescent="0.25">
      <c r="A82" s="9" t="s">
        <v>43</v>
      </c>
      <c r="B82" s="9" t="s">
        <v>1067</v>
      </c>
      <c r="C82" s="9" t="s">
        <v>1068</v>
      </c>
      <c r="D82" s="9" t="s">
        <v>1069</v>
      </c>
      <c r="E82" s="9" t="s">
        <v>1070</v>
      </c>
      <c r="F82" s="9" t="s">
        <v>1071</v>
      </c>
      <c r="G82" s="9" t="s">
        <v>1072</v>
      </c>
      <c r="L82" s="13">
        <f>$I$13*$L$13</f>
        <v>0</v>
      </c>
      <c r="M82" s="13">
        <f>$I$13*$M$13</f>
        <v>0</v>
      </c>
      <c r="N82" s="13">
        <f ca="1">$I$13*$N$13</f>
        <v>0</v>
      </c>
      <c r="O82" s="13">
        <f>$I$13*$O$13</f>
        <v>0</v>
      </c>
      <c r="P82" s="13">
        <f>$I$13*$P$13</f>
        <v>0</v>
      </c>
      <c r="Q82" s="13">
        <f>$I$13*$Q$13</f>
        <v>0</v>
      </c>
      <c r="R82" s="13">
        <f>$I$13*$R$13</f>
        <v>0</v>
      </c>
      <c r="S82" s="13">
        <f>$I$13*$S$13</f>
        <v>0</v>
      </c>
      <c r="T82" s="13">
        <f>$I$13*$T$13</f>
        <v>0</v>
      </c>
      <c r="U82" s="13">
        <f>$I$13*$U$13</f>
        <v>0</v>
      </c>
      <c r="V82" s="13">
        <f>$I$13*$V$13</f>
        <v>0</v>
      </c>
      <c r="W82" s="13">
        <f>$I$13*$W$13</f>
        <v>0</v>
      </c>
      <c r="X82" s="13">
        <f>$I$13*$X$13</f>
        <v>0</v>
      </c>
      <c r="Y82" s="13">
        <f>$I$13*$Y$13</f>
        <v>0</v>
      </c>
      <c r="Z82" s="13">
        <f>$I$13*$Z$13</f>
        <v>0</v>
      </c>
      <c r="AA82" s="13">
        <f>$I$13*$AA$13</f>
        <v>0</v>
      </c>
      <c r="AB82" s="13">
        <f ca="1">$I$13*$AB$13</f>
        <v>0</v>
      </c>
      <c r="AC82" s="13">
        <f ca="1">$I$13*$AC$13</f>
        <v>0</v>
      </c>
      <c r="AD82" s="13">
        <f>$I$13*$AD$13</f>
        <v>0</v>
      </c>
      <c r="AE82" s="13">
        <f>$I$13*$AE$13</f>
        <v>0</v>
      </c>
      <c r="AF82" s="13">
        <f ca="1">$I$13*$AF$13</f>
        <v>0</v>
      </c>
      <c r="AG82" s="13">
        <f ca="1">$I$13*$AG$13</f>
        <v>0</v>
      </c>
      <c r="AI82" s="13">
        <f>$I$13*$AI$13</f>
        <v>0</v>
      </c>
      <c r="AJ82" s="13">
        <f>$I$13*$AJ$13</f>
        <v>0</v>
      </c>
      <c r="AK82" s="13">
        <f>$I$13*$AK$13</f>
        <v>0</v>
      </c>
      <c r="AL82" s="13">
        <f>$I$13*$AL$13</f>
        <v>0</v>
      </c>
      <c r="AM82" s="13">
        <f>$I$13*$AM$13</f>
        <v>0</v>
      </c>
      <c r="AN82" s="13">
        <f>$I$13*$AN$13</f>
        <v>0</v>
      </c>
      <c r="AO82" s="13">
        <f>$I$13*$AO$13</f>
        <v>0</v>
      </c>
      <c r="AP82" s="13">
        <f>$I$13*$AP$13</f>
        <v>0</v>
      </c>
      <c r="AQ82" s="13">
        <f>$I$13*$AQ$13</f>
        <v>0</v>
      </c>
      <c r="AR82" s="13">
        <f>$I$13*$AR$13</f>
        <v>0</v>
      </c>
      <c r="AS82" s="13">
        <f>$I$13*$AS$13</f>
        <v>0</v>
      </c>
      <c r="AT82" s="13">
        <f>$I$13*$AT$13</f>
        <v>0</v>
      </c>
      <c r="AU82" s="13">
        <f>$I$13*$AU$13</f>
        <v>0</v>
      </c>
      <c r="AV82" s="13">
        <f>$I$13*$AV$13</f>
        <v>0</v>
      </c>
      <c r="AW82" s="13">
        <f>$I$13*$AW$13</f>
        <v>0</v>
      </c>
      <c r="AX82" s="13">
        <f>$I$13*$AX$13</f>
        <v>0</v>
      </c>
      <c r="AY82" s="13">
        <f>$I$13*$AY$13</f>
        <v>0</v>
      </c>
      <c r="AZ82" s="13">
        <f>$I$13*$AZ$13</f>
        <v>0</v>
      </c>
      <c r="BA82" s="13">
        <f>$I$13*$BA$13</f>
        <v>0</v>
      </c>
      <c r="BB82" s="13">
        <f>$I$13*$BB$13</f>
        <v>0</v>
      </c>
      <c r="BC82" s="13">
        <f>$I$13*$BC$13</f>
        <v>0</v>
      </c>
      <c r="BD82" s="13">
        <f>$I$13*$BD$13</f>
        <v>0</v>
      </c>
    </row>
    <row r="83" spans="1:56" ht="11.25" customHeight="1" x14ac:dyDescent="0.25">
      <c r="A83" s="9" t="s">
        <v>43</v>
      </c>
      <c r="B83" s="9" t="s">
        <v>1073</v>
      </c>
      <c r="C83" s="9" t="s">
        <v>1074</v>
      </c>
      <c r="D83" s="9" t="s">
        <v>1075</v>
      </c>
      <c r="E83" s="9" t="s">
        <v>1076</v>
      </c>
      <c r="F83" s="9" t="s">
        <v>1077</v>
      </c>
      <c r="G83" s="9" t="s">
        <v>1078</v>
      </c>
      <c r="L83" s="13">
        <f>$I$14*$L$14</f>
        <v>0</v>
      </c>
      <c r="M83" s="13">
        <f>$I$14*$M$14</f>
        <v>0</v>
      </c>
      <c r="N83" s="13">
        <f ca="1">$I$14*$N$14</f>
        <v>0</v>
      </c>
      <c r="O83" s="13">
        <f>$I$14*$O$14</f>
        <v>0</v>
      </c>
      <c r="P83" s="13">
        <f>$I$14*$P$14</f>
        <v>0</v>
      </c>
      <c r="Q83" s="13">
        <f>$I$14*$Q$14</f>
        <v>0</v>
      </c>
      <c r="R83" s="13">
        <f>$I$14*$R$14</f>
        <v>0</v>
      </c>
      <c r="S83" s="13">
        <f>$I$14*$S$14</f>
        <v>0</v>
      </c>
      <c r="T83" s="13">
        <f>$I$14*$T$14</f>
        <v>30321.08172676824</v>
      </c>
      <c r="U83" s="13">
        <f>$I$14*$U$14</f>
        <v>35057.792064033245</v>
      </c>
      <c r="V83" s="13">
        <f>$I$14*$V$14</f>
        <v>3034.7389443351658</v>
      </c>
      <c r="W83" s="13">
        <f>$I$14*$W$14</f>
        <v>0</v>
      </c>
      <c r="X83" s="13">
        <f>$I$14*$X$14</f>
        <v>0</v>
      </c>
      <c r="Y83" s="13">
        <f>$I$14*$Y$14</f>
        <v>0</v>
      </c>
      <c r="Z83" s="13">
        <f>$I$14*$Z$14</f>
        <v>0</v>
      </c>
      <c r="AA83" s="13">
        <f>$I$14*$AA$14</f>
        <v>171560.75377959464</v>
      </c>
      <c r="AB83" s="13">
        <f ca="1">$I$14*$AB$14</f>
        <v>-20649.1012554593</v>
      </c>
      <c r="AC83" s="13">
        <f ca="1">$I$14*$AC$14</f>
        <v>0</v>
      </c>
      <c r="AD83" s="13">
        <f>$I$14*$AD$14</f>
        <v>0</v>
      </c>
      <c r="AE83" s="13">
        <f>$I$14*$AE$14</f>
        <v>0</v>
      </c>
      <c r="AF83" s="13">
        <f ca="1">$I$14*$AF$14</f>
        <v>0</v>
      </c>
      <c r="AG83" s="13">
        <f ca="1">$I$14*$AG$14</f>
        <v>0</v>
      </c>
      <c r="AI83" s="13">
        <f>$I$14*$AI$14</f>
        <v>0</v>
      </c>
      <c r="AJ83" s="13">
        <f>$I$14*$AJ$14</f>
        <v>0</v>
      </c>
      <c r="AK83" s="13">
        <f>$I$14*$AK$14</f>
        <v>0</v>
      </c>
      <c r="AL83" s="13">
        <f>$I$14*$AL$14</f>
        <v>0</v>
      </c>
      <c r="AM83" s="13">
        <f>$I$14*$AM$14</f>
        <v>0</v>
      </c>
      <c r="AN83" s="13">
        <f>$I$14*$AN$14</f>
        <v>0</v>
      </c>
      <c r="AO83" s="13">
        <f>$I$14*$AO$14</f>
        <v>0</v>
      </c>
      <c r="AP83" s="13">
        <f>$I$14*$AP$14</f>
        <v>0</v>
      </c>
      <c r="AQ83" s="13">
        <f>$I$14*$AQ$14</f>
        <v>20007.77932100599</v>
      </c>
      <c r="AR83" s="13">
        <f>$I$14*$AR$14</f>
        <v>27155.219940269344</v>
      </c>
      <c r="AS83" s="13">
        <f>$I$14*$AS$14</f>
        <v>2374.2056272714894</v>
      </c>
      <c r="AT83" s="13">
        <f>$I$14*$AT$14</f>
        <v>0</v>
      </c>
      <c r="AU83" s="13">
        <f>$I$14*$AU$14</f>
        <v>0</v>
      </c>
      <c r="AV83" s="13">
        <f>$I$14*$AV$14</f>
        <v>0</v>
      </c>
      <c r="AW83" s="13">
        <f>$I$14*$AW$14</f>
        <v>0</v>
      </c>
      <c r="AX83" s="13">
        <f>$I$14*$AX$14</f>
        <v>161110.66521564079</v>
      </c>
      <c r="AY83" s="13">
        <f>$I$14*$AY$14</f>
        <v>0</v>
      </c>
      <c r="AZ83" s="13">
        <f>$I$14*$AZ$14</f>
        <v>0</v>
      </c>
      <c r="BA83" s="13">
        <f>$I$14*$BA$14</f>
        <v>0</v>
      </c>
      <c r="BB83" s="13">
        <f>$I$14*$BB$14</f>
        <v>0</v>
      </c>
      <c r="BC83" s="13">
        <f>$I$14*$BC$14</f>
        <v>0</v>
      </c>
      <c r="BD83" s="13">
        <f>$I$14*$BD$14</f>
        <v>0</v>
      </c>
    </row>
    <row r="84" spans="1:56" ht="11.25" customHeight="1" x14ac:dyDescent="0.25">
      <c r="A84" s="9" t="s">
        <v>43</v>
      </c>
      <c r="B84" s="9" t="s">
        <v>1073</v>
      </c>
      <c r="C84" s="9" t="s">
        <v>1074</v>
      </c>
      <c r="D84" s="9" t="s">
        <v>1075</v>
      </c>
      <c r="E84" s="9" t="s">
        <v>1076</v>
      </c>
      <c r="F84" s="9" t="s">
        <v>1077</v>
      </c>
      <c r="G84" s="9" t="s">
        <v>1079</v>
      </c>
      <c r="L84" s="13">
        <f>$I$15*$L$15</f>
        <v>2754.7786511004956</v>
      </c>
      <c r="M84" s="13">
        <f>$I$15*$M$15</f>
        <v>107.88814761064314</v>
      </c>
      <c r="N84" s="13">
        <f ca="1">$I$15*$N$15</f>
        <v>2348.5037618330639</v>
      </c>
      <c r="O84" s="13">
        <f>$I$15*$O$15</f>
        <v>0</v>
      </c>
      <c r="P84" s="13">
        <f>$I$15*$P$15</f>
        <v>0</v>
      </c>
      <c r="Q84" s="13">
        <f>$I$15*$Q$15</f>
        <v>6847.2689773219645</v>
      </c>
      <c r="R84" s="13">
        <f>$I$15*$R$15</f>
        <v>3017.2457603410148</v>
      </c>
      <c r="S84" s="13">
        <f>$I$15*$S$15</f>
        <v>0</v>
      </c>
      <c r="T84" s="13">
        <f>$I$15*$T$15</f>
        <v>14894.131764104273</v>
      </c>
      <c r="U84" s="13">
        <f>$I$15*$U$15</f>
        <v>15629.532796204499</v>
      </c>
      <c r="V84" s="13">
        <f>$I$15*$V$15</f>
        <v>1339.5798801798571</v>
      </c>
      <c r="W84" s="13">
        <f>$I$15*$W$15</f>
        <v>0</v>
      </c>
      <c r="X84" s="13">
        <f>$I$15*$X$15</f>
        <v>0</v>
      </c>
      <c r="Y84" s="13">
        <f>$I$15*$Y$15</f>
        <v>0</v>
      </c>
      <c r="Z84" s="13">
        <f>$I$15*$Z$15</f>
        <v>0</v>
      </c>
      <c r="AA84" s="13">
        <f>$I$15*$AA$15</f>
        <v>210396.77206845707</v>
      </c>
      <c r="AB84" s="13">
        <f ca="1">$I$15*$AB$15</f>
        <v>-23071.391319992286</v>
      </c>
      <c r="AC84" s="13">
        <f ca="1">$I$15*$AC$15</f>
        <v>0</v>
      </c>
      <c r="AD84" s="13">
        <f>$I$15*$AD$15</f>
        <v>2482.2098042030057</v>
      </c>
      <c r="AE84" s="13">
        <f>$I$15*$AE$15</f>
        <v>114.7750646635802</v>
      </c>
      <c r="AF84" s="13">
        <f ca="1">$I$15*$AF$15</f>
        <v>3375.193753649457</v>
      </c>
      <c r="AG84" s="13">
        <f ca="1">$I$15*$AG$15</f>
        <v>1234.5564350738687</v>
      </c>
      <c r="AI84" s="13">
        <f>$I$15*$AI$15</f>
        <v>3222.3910535168116</v>
      </c>
      <c r="AJ84" s="13">
        <f>$I$15*$AJ$15</f>
        <v>103.91557416687229</v>
      </c>
      <c r="AK84" s="13">
        <f>$I$15*$AK$15</f>
        <v>2164.180719067152</v>
      </c>
      <c r="AL84" s="13">
        <f>$I$15*$AL$15</f>
        <v>0</v>
      </c>
      <c r="AM84" s="13">
        <f>$I$15*$AM$15</f>
        <v>0</v>
      </c>
      <c r="AN84" s="13">
        <f>$I$15*$AN$15</f>
        <v>3631.7753841594304</v>
      </c>
      <c r="AO84" s="13">
        <f>$I$15*$AO$15</f>
        <v>1823.9939166705235</v>
      </c>
      <c r="AP84" s="13">
        <f>$I$15*$AP$15</f>
        <v>0</v>
      </c>
      <c r="AQ84" s="13">
        <f>$I$15*$AQ$15</f>
        <v>9828.0959828389878</v>
      </c>
      <c r="AR84" s="13">
        <f>$I$15*$AR$15</f>
        <v>12106.392777656245</v>
      </c>
      <c r="AS84" s="13">
        <f>$I$15*$AS$15</f>
        <v>1048.0104378136043</v>
      </c>
      <c r="AT84" s="13">
        <f>$I$15*$AT$15</f>
        <v>0</v>
      </c>
      <c r="AU84" s="13">
        <f>$I$15*$AU$15</f>
        <v>0</v>
      </c>
      <c r="AV84" s="13">
        <f>$I$15*$AV$15</f>
        <v>0</v>
      </c>
      <c r="AW84" s="13">
        <f>$I$15*$AW$15</f>
        <v>0</v>
      </c>
      <c r="AX84" s="13">
        <f>$I$15*$AX$15</f>
        <v>197581.10850177673</v>
      </c>
      <c r="AY84" s="13">
        <f>$I$15*$AY$15</f>
        <v>0</v>
      </c>
      <c r="AZ84" s="13">
        <f>$I$15*$AZ$15</f>
        <v>0</v>
      </c>
      <c r="BA84" s="13">
        <f>$I$15*$BA$15</f>
        <v>1608.9132766166872</v>
      </c>
      <c r="BB84" s="13">
        <f>$I$15*$BB$15</f>
        <v>68.698923199535642</v>
      </c>
      <c r="BC84" s="13">
        <f>$I$15*$BC$15</f>
        <v>2219.3676524389093</v>
      </c>
      <c r="BD84" s="13">
        <f>$I$15*$BD$15</f>
        <v>979.46566785553966</v>
      </c>
    </row>
    <row r="85" spans="1:56" ht="11.25" customHeight="1" x14ac:dyDescent="0.25">
      <c r="A85" s="9" t="s">
        <v>43</v>
      </c>
      <c r="B85" s="9" t="s">
        <v>1073</v>
      </c>
      <c r="C85" s="9" t="s">
        <v>1074</v>
      </c>
      <c r="D85" s="9" t="s">
        <v>1075</v>
      </c>
      <c r="E85" s="9" t="s">
        <v>1076</v>
      </c>
      <c r="F85" s="9" t="s">
        <v>1077</v>
      </c>
      <c r="G85" s="9" t="s">
        <v>1080</v>
      </c>
      <c r="L85" s="13">
        <f>$I$16*$L$16</f>
        <v>29832.718550154688</v>
      </c>
      <c r="M85" s="13">
        <f>$I$16*$M$16</f>
        <v>1168.3685516003534</v>
      </c>
      <c r="N85" s="13">
        <f ca="1">$I$16*$N$16</f>
        <v>1224.6559266730001</v>
      </c>
      <c r="O85" s="13">
        <f>$I$16*$O$16</f>
        <v>0</v>
      </c>
      <c r="P85" s="13">
        <f>$I$16*$P$16</f>
        <v>0</v>
      </c>
      <c r="Q85" s="13">
        <f>$I$16*$Q$16</f>
        <v>74152.109519234014</v>
      </c>
      <c r="R85" s="13">
        <f>$I$16*$R$16</f>
        <v>32675.091165289159</v>
      </c>
      <c r="S85" s="13">
        <f>$I$16*$S$16</f>
        <v>0</v>
      </c>
      <c r="T85" s="13">
        <f>$I$16*$T$16</f>
        <v>0</v>
      </c>
      <c r="U85" s="13">
        <f>$I$16*$U$16</f>
        <v>0</v>
      </c>
      <c r="V85" s="13">
        <f>$I$16*$V$16</f>
        <v>0</v>
      </c>
      <c r="W85" s="13">
        <f>$I$16*$W$16</f>
        <v>0</v>
      </c>
      <c r="X85" s="13">
        <f>$I$16*$X$16</f>
        <v>0</v>
      </c>
      <c r="Y85" s="13">
        <f>$I$16*$Y$16</f>
        <v>0</v>
      </c>
      <c r="Z85" s="13">
        <f>$I$16*$Z$16</f>
        <v>0</v>
      </c>
      <c r="AA85" s="13">
        <f>$I$16*$AA$16</f>
        <v>0</v>
      </c>
      <c r="AB85" s="13">
        <f ca="1">$I$16*$AB$16</f>
        <v>-16694.749849377422</v>
      </c>
      <c r="AC85" s="13">
        <f ca="1">$I$16*$AC$16</f>
        <v>0</v>
      </c>
      <c r="AD85" s="13">
        <f>$I$16*$AD$16</f>
        <v>26880.949742238088</v>
      </c>
      <c r="AE85" s="13">
        <f>$I$16*$AE$16</f>
        <v>1242.9500276969738</v>
      </c>
      <c r="AF85" s="13">
        <f ca="1">$I$16*$AF$16</f>
        <v>36551.468577934444</v>
      </c>
      <c r="AG85" s="13">
        <f ca="1">$I$16*$AG$16</f>
        <v>13369.55862030073</v>
      </c>
      <c r="AI85" s="13">
        <f>$I$16*$AI$16</f>
        <v>34896.700437147585</v>
      </c>
      <c r="AJ85" s="13">
        <f>$I$16*$AJ$16</f>
        <v>1125.3477936819302</v>
      </c>
      <c r="AK85" s="13">
        <f>$I$16*$AK$16</f>
        <v>1032.096100366387</v>
      </c>
      <c r="AL85" s="13">
        <f>$I$16*$AL$16</f>
        <v>0</v>
      </c>
      <c r="AM85" s="13">
        <f>$I$16*$AM$16</f>
        <v>0</v>
      </c>
      <c r="AN85" s="13">
        <f>$I$16*$AN$16</f>
        <v>39330.104736264599</v>
      </c>
      <c r="AO85" s="13">
        <f>$I$16*$AO$16</f>
        <v>19752.838265785213</v>
      </c>
      <c r="AP85" s="13">
        <f>$I$16*$AP$16</f>
        <v>0</v>
      </c>
      <c r="AQ85" s="13">
        <f>$I$16*$AQ$16</f>
        <v>0</v>
      </c>
      <c r="AR85" s="13">
        <f>$I$16*$AR$16</f>
        <v>0</v>
      </c>
      <c r="AS85" s="13">
        <f>$I$16*$AS$16</f>
        <v>0</v>
      </c>
      <c r="AT85" s="13">
        <f>$I$16*$AT$16</f>
        <v>0</v>
      </c>
      <c r="AU85" s="13">
        <f>$I$16*$AU$16</f>
        <v>0</v>
      </c>
      <c r="AV85" s="13">
        <f>$I$16*$AV$16</f>
        <v>0</v>
      </c>
      <c r="AW85" s="13">
        <f>$I$16*$AW$16</f>
        <v>0</v>
      </c>
      <c r="AX85" s="13">
        <f>$I$16*$AX$16</f>
        <v>0</v>
      </c>
      <c r="AY85" s="13">
        <f>$I$16*$AY$16</f>
        <v>0</v>
      </c>
      <c r="AZ85" s="13">
        <f>$I$16*$AZ$16</f>
        <v>0</v>
      </c>
      <c r="BA85" s="13">
        <f>$I$16*$BA$16</f>
        <v>17423.634720611102</v>
      </c>
      <c r="BB85" s="13">
        <f>$I$16*$BB$16</f>
        <v>743.97107720132158</v>
      </c>
      <c r="BC85" s="13">
        <f>$I$16*$BC$16</f>
        <v>24034.515625448759</v>
      </c>
      <c r="BD85" s="13">
        <f>$I$16*$BD$16</f>
        <v>10607.067681100469</v>
      </c>
    </row>
    <row r="86" spans="1:56" ht="11.25" customHeight="1" x14ac:dyDescent="0.25">
      <c r="A86" s="9" t="s">
        <v>43</v>
      </c>
      <c r="B86" s="9" t="s">
        <v>1073</v>
      </c>
      <c r="C86" s="9" t="s">
        <v>1074</v>
      </c>
      <c r="D86" s="9" t="s">
        <v>1075</v>
      </c>
      <c r="E86" s="9" t="s">
        <v>1081</v>
      </c>
      <c r="F86" s="9" t="s">
        <v>1082</v>
      </c>
      <c r="G86" s="9" t="s">
        <v>1083</v>
      </c>
      <c r="L86" s="13">
        <f>$I$17*$L$17</f>
        <v>0</v>
      </c>
      <c r="M86" s="13">
        <f>$I$17*$M$17</f>
        <v>0</v>
      </c>
      <c r="N86" s="13">
        <f ca="1">$I$17*$N$17</f>
        <v>0</v>
      </c>
      <c r="O86" s="13">
        <f>$I$17*$O$17</f>
        <v>0</v>
      </c>
      <c r="P86" s="13">
        <f>$I$17*$P$17</f>
        <v>0</v>
      </c>
      <c r="Q86" s="13">
        <f>$I$17*$Q$17</f>
        <v>0</v>
      </c>
      <c r="R86" s="13">
        <f>$I$17*$R$17</f>
        <v>0</v>
      </c>
      <c r="S86" s="13">
        <f>$I$17*$S$17</f>
        <v>0</v>
      </c>
      <c r="T86" s="13">
        <f>$I$17*$T$17</f>
        <v>0</v>
      </c>
      <c r="U86" s="13">
        <f>$I$17*$U$17</f>
        <v>0</v>
      </c>
      <c r="V86" s="13">
        <f>$I$17*$V$17</f>
        <v>0</v>
      </c>
      <c r="W86" s="13">
        <f>$I$17*$W$17</f>
        <v>0</v>
      </c>
      <c r="X86" s="13">
        <f>$I$17*$X$17</f>
        <v>0</v>
      </c>
      <c r="Y86" s="13">
        <f>$I$17*$Y$17</f>
        <v>0</v>
      </c>
      <c r="Z86" s="13">
        <f>$I$17*$Z$17</f>
        <v>0</v>
      </c>
      <c r="AA86" s="13">
        <f>$I$17*$AA$17</f>
        <v>0</v>
      </c>
      <c r="AB86" s="13">
        <f ca="1">$I$17*$AB$17</f>
        <v>0</v>
      </c>
      <c r="AC86" s="13">
        <f ca="1">$I$17*$AC$17</f>
        <v>0</v>
      </c>
      <c r="AD86" s="13">
        <f>$I$17*$AD$17</f>
        <v>0</v>
      </c>
      <c r="AE86" s="13">
        <f>$I$17*$AE$17</f>
        <v>0</v>
      </c>
      <c r="AF86" s="13">
        <f ca="1">$I$17*$AF$17</f>
        <v>0</v>
      </c>
      <c r="AG86" s="13">
        <f ca="1">$I$17*$AG$17</f>
        <v>0</v>
      </c>
      <c r="AI86" s="13">
        <f>$I$17*$AI$17</f>
        <v>0</v>
      </c>
      <c r="AJ86" s="13">
        <f>$I$17*$AJ$17</f>
        <v>0</v>
      </c>
      <c r="AK86" s="13">
        <f>$I$17*$AK$17</f>
        <v>0</v>
      </c>
      <c r="AL86" s="13">
        <f>$I$17*$AL$17</f>
        <v>0</v>
      </c>
      <c r="AM86" s="13">
        <f>$I$17*$AM$17</f>
        <v>0</v>
      </c>
      <c r="AN86" s="13">
        <f>$I$17*$AN$17</f>
        <v>0</v>
      </c>
      <c r="AO86" s="13">
        <f>$I$17*$AO$17</f>
        <v>0</v>
      </c>
      <c r="AP86" s="13">
        <f>$I$17*$AP$17</f>
        <v>0</v>
      </c>
      <c r="AQ86" s="13">
        <f>$I$17*$AQ$17</f>
        <v>0</v>
      </c>
      <c r="AR86" s="13">
        <f>$I$17*$AR$17</f>
        <v>0</v>
      </c>
      <c r="AS86" s="13">
        <f>$I$17*$AS$17</f>
        <v>0</v>
      </c>
      <c r="AT86" s="13">
        <f>$I$17*$AT$17</f>
        <v>0</v>
      </c>
      <c r="AU86" s="13">
        <f>$I$17*$AU$17</f>
        <v>0</v>
      </c>
      <c r="AV86" s="13">
        <f>$I$17*$AV$17</f>
        <v>0</v>
      </c>
      <c r="AW86" s="13">
        <f>$I$17*$AW$17</f>
        <v>0</v>
      </c>
      <c r="AX86" s="13">
        <f>$I$17*$AX$17</f>
        <v>0</v>
      </c>
      <c r="AY86" s="13">
        <f>$I$17*$AY$17</f>
        <v>0</v>
      </c>
      <c r="AZ86" s="13">
        <f>$I$17*$AZ$17</f>
        <v>0</v>
      </c>
      <c r="BA86" s="13">
        <f>$I$17*$BA$17</f>
        <v>0</v>
      </c>
      <c r="BB86" s="13">
        <f>$I$17*$BB$17</f>
        <v>0</v>
      </c>
      <c r="BC86" s="13">
        <f>$I$17*$BC$17</f>
        <v>0</v>
      </c>
      <c r="BD86" s="13">
        <f>$I$17*$BD$17</f>
        <v>0</v>
      </c>
    </row>
    <row r="87" spans="1:56" ht="11.25" customHeight="1" x14ac:dyDescent="0.25">
      <c r="A87" s="9" t="s">
        <v>43</v>
      </c>
      <c r="B87" s="9" t="s">
        <v>1073</v>
      </c>
      <c r="C87" s="9" t="s">
        <v>1074</v>
      </c>
      <c r="D87" s="9" t="s">
        <v>1075</v>
      </c>
      <c r="E87" s="9" t="s">
        <v>1081</v>
      </c>
      <c r="F87" s="9" t="s">
        <v>1082</v>
      </c>
      <c r="G87" s="9" t="s">
        <v>1084</v>
      </c>
      <c r="L87" s="13">
        <f>$I$18*$L$18</f>
        <v>0</v>
      </c>
      <c r="M87" s="13">
        <f>$I$18*$M$18</f>
        <v>0</v>
      </c>
      <c r="N87" s="13">
        <f ca="1">$I$18*$N$18</f>
        <v>0</v>
      </c>
      <c r="O87" s="13">
        <f>$I$18*$O$18</f>
        <v>0</v>
      </c>
      <c r="P87" s="13">
        <f>$I$18*$P$18</f>
        <v>0</v>
      </c>
      <c r="Q87" s="13">
        <f>$I$18*$Q$18</f>
        <v>0</v>
      </c>
      <c r="R87" s="13">
        <f>$I$18*$R$18</f>
        <v>0</v>
      </c>
      <c r="S87" s="13">
        <f>$I$18*$S$18</f>
        <v>0</v>
      </c>
      <c r="T87" s="13">
        <f>$I$18*$T$18</f>
        <v>0</v>
      </c>
      <c r="U87" s="13">
        <f>$I$18*$U$18</f>
        <v>0</v>
      </c>
      <c r="V87" s="13">
        <f>$I$18*$V$18</f>
        <v>0</v>
      </c>
      <c r="W87" s="13">
        <f>$I$18*$W$18</f>
        <v>0</v>
      </c>
      <c r="X87" s="13">
        <f>$I$18*$X$18</f>
        <v>0</v>
      </c>
      <c r="Y87" s="13">
        <f>$I$18*$Y$18</f>
        <v>0</v>
      </c>
      <c r="Z87" s="13">
        <f>$I$18*$Z$18</f>
        <v>0</v>
      </c>
      <c r="AA87" s="13">
        <f>$I$18*$AA$18</f>
        <v>0</v>
      </c>
      <c r="AB87" s="13">
        <f ca="1">$I$18*$AB$18</f>
        <v>0</v>
      </c>
      <c r="AC87" s="13">
        <f ca="1">$I$18*$AC$18</f>
        <v>0</v>
      </c>
      <c r="AD87" s="13">
        <f>$I$18*$AD$18</f>
        <v>0</v>
      </c>
      <c r="AE87" s="13">
        <f>$I$18*$AE$18</f>
        <v>0</v>
      </c>
      <c r="AF87" s="13">
        <f ca="1">$I$18*$AF$18</f>
        <v>0</v>
      </c>
      <c r="AG87" s="13">
        <f ca="1">$I$18*$AG$18</f>
        <v>0</v>
      </c>
      <c r="AI87" s="13">
        <f>$I$18*$AI$18</f>
        <v>0</v>
      </c>
      <c r="AJ87" s="13">
        <f>$I$18*$AJ$18</f>
        <v>0</v>
      </c>
      <c r="AK87" s="13">
        <f>$I$18*$AK$18</f>
        <v>0</v>
      </c>
      <c r="AL87" s="13">
        <f>$I$18*$AL$18</f>
        <v>0</v>
      </c>
      <c r="AM87" s="13">
        <f>$I$18*$AM$18</f>
        <v>0</v>
      </c>
      <c r="AN87" s="13">
        <f>$I$18*$AN$18</f>
        <v>0</v>
      </c>
      <c r="AO87" s="13">
        <f>$I$18*$AO$18</f>
        <v>0</v>
      </c>
      <c r="AP87" s="13">
        <f>$I$18*$AP$18</f>
        <v>0</v>
      </c>
      <c r="AQ87" s="13">
        <f>$I$18*$AQ$18</f>
        <v>0</v>
      </c>
      <c r="AR87" s="13">
        <f>$I$18*$AR$18</f>
        <v>0</v>
      </c>
      <c r="AS87" s="13">
        <f>$I$18*$AS$18</f>
        <v>0</v>
      </c>
      <c r="AT87" s="13">
        <f>$I$18*$AT$18</f>
        <v>0</v>
      </c>
      <c r="AU87" s="13">
        <f>$I$18*$AU$18</f>
        <v>0</v>
      </c>
      <c r="AV87" s="13">
        <f>$I$18*$AV$18</f>
        <v>0</v>
      </c>
      <c r="AW87" s="13">
        <f>$I$18*$AW$18</f>
        <v>0</v>
      </c>
      <c r="AX87" s="13">
        <f>$I$18*$AX$18</f>
        <v>0</v>
      </c>
      <c r="AY87" s="13">
        <f>$I$18*$AY$18</f>
        <v>0</v>
      </c>
      <c r="AZ87" s="13">
        <f>$I$18*$AZ$18</f>
        <v>0</v>
      </c>
      <c r="BA87" s="13">
        <f>$I$18*$BA$18</f>
        <v>0</v>
      </c>
      <c r="BB87" s="13">
        <f>$I$18*$BB$18</f>
        <v>0</v>
      </c>
      <c r="BC87" s="13">
        <f>$I$18*$BC$18</f>
        <v>0</v>
      </c>
      <c r="BD87" s="13">
        <f>$I$18*$BD$18</f>
        <v>0</v>
      </c>
    </row>
    <row r="88" spans="1:56" ht="11.25" customHeight="1" x14ac:dyDescent="0.25">
      <c r="A88" s="9" t="s">
        <v>41</v>
      </c>
      <c r="B88" s="9" t="s">
        <v>1085</v>
      </c>
      <c r="C88" s="9" t="s">
        <v>1086</v>
      </c>
      <c r="D88" s="9" t="s">
        <v>1087</v>
      </c>
      <c r="E88" s="9" t="s">
        <v>1088</v>
      </c>
      <c r="F88" s="9" t="s">
        <v>1089</v>
      </c>
      <c r="G88" s="9" t="s">
        <v>1090</v>
      </c>
      <c r="L88" s="13">
        <f>$I$19*$L$19</f>
        <v>0</v>
      </c>
      <c r="M88" s="13">
        <f>$I$19*$M$19</f>
        <v>0</v>
      </c>
      <c r="N88" s="13">
        <f ca="1">$I$19*$N$19</f>
        <v>0</v>
      </c>
      <c r="O88" s="13">
        <f>$I$19*$O$19</f>
        <v>0</v>
      </c>
      <c r="P88" s="13">
        <f>$I$19*$P$19</f>
        <v>0</v>
      </c>
      <c r="Q88" s="13">
        <f>$I$19*$Q$19</f>
        <v>0</v>
      </c>
      <c r="R88" s="13">
        <f>$I$19*$R$19</f>
        <v>0</v>
      </c>
      <c r="S88" s="13">
        <f>$I$19*$S$19</f>
        <v>0</v>
      </c>
      <c r="T88" s="13">
        <f>$I$19*$T$19</f>
        <v>483200.63382239244</v>
      </c>
      <c r="U88" s="13">
        <f>$I$19*$U$19</f>
        <v>507067.54507214279</v>
      </c>
      <c r="V88" s="13">
        <f>$I$19*$V$19</f>
        <v>43460.921241713273</v>
      </c>
      <c r="W88" s="13">
        <f>$I$19*$W$19</f>
        <v>0</v>
      </c>
      <c r="X88" s="13">
        <f>$I$19*$X$19</f>
        <v>0</v>
      </c>
      <c r="Y88" s="13">
        <f>$I$19*$Y$19</f>
        <v>0</v>
      </c>
      <c r="Z88" s="13">
        <f>$I$19*$Z$19</f>
        <v>0</v>
      </c>
      <c r="AA88" s="13">
        <f>$I$19*$AA$19</f>
        <v>6825829.0030553034</v>
      </c>
      <c r="AB88" s="13">
        <f ca="1">$I$19*$AB$19</f>
        <v>-691982.94578156667</v>
      </c>
      <c r="AC88" s="13">
        <f ca="1">$I$19*$AC$19</f>
        <v>0</v>
      </c>
      <c r="AD88" s="13">
        <f>$I$19*$AD$19</f>
        <v>0</v>
      </c>
      <c r="AE88" s="13">
        <f>$I$19*$AE$19</f>
        <v>0</v>
      </c>
      <c r="AF88" s="13">
        <f ca="1">$I$19*$AF$19</f>
        <v>0</v>
      </c>
      <c r="AG88" s="13">
        <f ca="1">$I$19*$AG$19</f>
        <v>0</v>
      </c>
      <c r="AI88" s="13">
        <f>$I$19*$AI$19</f>
        <v>0</v>
      </c>
      <c r="AJ88" s="13">
        <f>$I$19*$AJ$19</f>
        <v>0</v>
      </c>
      <c r="AK88" s="13">
        <f>$I$19*$AK$19</f>
        <v>0</v>
      </c>
      <c r="AL88" s="13">
        <f>$I$19*$AL$19</f>
        <v>0</v>
      </c>
      <c r="AM88" s="13">
        <f>$I$19*$AM$19</f>
        <v>0</v>
      </c>
      <c r="AN88" s="13">
        <f>$I$19*$AN$19</f>
        <v>0</v>
      </c>
      <c r="AO88" s="13">
        <f>$I$19*$AO$19</f>
        <v>0</v>
      </c>
      <c r="AP88" s="13">
        <f>$I$19*$AP$19</f>
        <v>0</v>
      </c>
      <c r="AQ88" s="13">
        <f>$I$19*$AQ$19</f>
        <v>318846.52851133945</v>
      </c>
      <c r="AR88" s="13">
        <f>$I$19*$AR$19</f>
        <v>392766.62619985826</v>
      </c>
      <c r="AS88" s="13">
        <f>$I$19*$AS$19</f>
        <v>34001.331142861847</v>
      </c>
      <c r="AT88" s="13">
        <f>$I$19*$AT$19</f>
        <v>0</v>
      </c>
      <c r="AU88" s="13">
        <f>$I$19*$AU$19</f>
        <v>0</v>
      </c>
      <c r="AV88" s="13">
        <f>$I$19*$AV$19</f>
        <v>0</v>
      </c>
      <c r="AW88" s="13">
        <f>$I$19*$AW$19</f>
        <v>0</v>
      </c>
      <c r="AX88" s="13">
        <f>$I$19*$AX$19</f>
        <v>6410054.9053500947</v>
      </c>
      <c r="AY88" s="13">
        <f>$I$19*$AY$19</f>
        <v>0</v>
      </c>
      <c r="AZ88" s="13">
        <f>$I$19*$AZ$19</f>
        <v>0</v>
      </c>
      <c r="BA88" s="13">
        <f>$I$19*$BA$19</f>
        <v>0</v>
      </c>
      <c r="BB88" s="13">
        <f>$I$19*$BB$19</f>
        <v>0</v>
      </c>
      <c r="BC88" s="13">
        <f>$I$19*$BC$19</f>
        <v>0</v>
      </c>
      <c r="BD88" s="13">
        <f>$I$19*$BD$19</f>
        <v>0</v>
      </c>
    </row>
    <row r="89" spans="1:56" ht="11.25" customHeight="1" x14ac:dyDescent="0.25">
      <c r="A89" s="9" t="s">
        <v>41</v>
      </c>
      <c r="B89" s="9" t="s">
        <v>1085</v>
      </c>
      <c r="C89" s="9" t="s">
        <v>1086</v>
      </c>
      <c r="D89" s="9" t="s">
        <v>1087</v>
      </c>
      <c r="E89" s="9" t="s">
        <v>1088</v>
      </c>
      <c r="F89" s="9" t="s">
        <v>1089</v>
      </c>
      <c r="G89" s="9" t="s">
        <v>1091</v>
      </c>
      <c r="L89" s="13">
        <f>$I$20*$L$20</f>
        <v>0</v>
      </c>
      <c r="M89" s="13">
        <f>$I$20*$M$20</f>
        <v>0</v>
      </c>
      <c r="N89" s="13">
        <f ca="1">$I$20*$N$20</f>
        <v>0</v>
      </c>
      <c r="O89" s="13">
        <f>$I$20*$O$20</f>
        <v>0</v>
      </c>
      <c r="P89" s="13">
        <f>$I$20*$P$20</f>
        <v>0</v>
      </c>
      <c r="Q89" s="13">
        <f>$I$20*$Q$20</f>
        <v>0</v>
      </c>
      <c r="R89" s="13">
        <f>$I$20*$R$20</f>
        <v>0</v>
      </c>
      <c r="S89" s="13">
        <f>$I$20*$S$20</f>
        <v>0</v>
      </c>
      <c r="T89" s="13">
        <f>$I$20*$T$20</f>
        <v>414454.61678276322</v>
      </c>
      <c r="U89" s="13">
        <f>$I$20*$U$20</f>
        <v>479200.04655775044</v>
      </c>
      <c r="V89" s="13">
        <f>$I$20*$V$20</f>
        <v>41481.42132738536</v>
      </c>
      <c r="W89" s="13">
        <f>$I$20*$W$20</f>
        <v>0</v>
      </c>
      <c r="X89" s="13">
        <f>$I$20*$X$20</f>
        <v>0</v>
      </c>
      <c r="Y89" s="13">
        <f>$I$20*$Y$20</f>
        <v>0</v>
      </c>
      <c r="Z89" s="13">
        <f>$I$20*$Z$20</f>
        <v>0</v>
      </c>
      <c r="AA89" s="13">
        <f>$I$20*$AA$20</f>
        <v>2345039.9000742543</v>
      </c>
      <c r="AB89" s="13">
        <f ca="1">$I$20*$AB$20</f>
        <v>-282249.67119773082</v>
      </c>
      <c r="AC89" s="13">
        <f ca="1">$I$20*$AC$20</f>
        <v>0</v>
      </c>
      <c r="AD89" s="13">
        <f>$I$20*$AD$20</f>
        <v>0</v>
      </c>
      <c r="AE89" s="13">
        <f>$I$20*$AE$20</f>
        <v>0</v>
      </c>
      <c r="AF89" s="13">
        <f ca="1">$I$20*$AF$20</f>
        <v>0</v>
      </c>
      <c r="AG89" s="13">
        <f ca="1">$I$20*$AG$20</f>
        <v>0</v>
      </c>
      <c r="AI89" s="13">
        <f>$I$20*$AI$20</f>
        <v>0</v>
      </c>
      <c r="AJ89" s="13">
        <f>$I$20*$AJ$20</f>
        <v>0</v>
      </c>
      <c r="AK89" s="13">
        <f>$I$20*$AK$20</f>
        <v>0</v>
      </c>
      <c r="AL89" s="13">
        <f>$I$20*$AL$20</f>
        <v>0</v>
      </c>
      <c r="AM89" s="13">
        <f>$I$20*$AM$20</f>
        <v>0</v>
      </c>
      <c r="AN89" s="13">
        <f>$I$20*$AN$20</f>
        <v>0</v>
      </c>
      <c r="AO89" s="13">
        <f>$I$20*$AO$20</f>
        <v>0</v>
      </c>
      <c r="AP89" s="13">
        <f>$I$20*$AP$20</f>
        <v>0</v>
      </c>
      <c r="AQ89" s="13">
        <f>$I$20*$AQ$20</f>
        <v>273483.5315535909</v>
      </c>
      <c r="AR89" s="13">
        <f>$I$20*$AR$20</f>
        <v>371180.89570201986</v>
      </c>
      <c r="AS89" s="13">
        <f>$I$20*$AS$20</f>
        <v>32452.68398671885</v>
      </c>
      <c r="AT89" s="13">
        <f>$I$20*$AT$20</f>
        <v>0</v>
      </c>
      <c r="AU89" s="13">
        <f>$I$20*$AU$20</f>
        <v>0</v>
      </c>
      <c r="AV89" s="13">
        <f>$I$20*$AV$20</f>
        <v>0</v>
      </c>
      <c r="AW89" s="13">
        <f>$I$20*$AW$20</f>
        <v>0</v>
      </c>
      <c r="AX89" s="13">
        <f>$I$20*$AX$20</f>
        <v>2202199.104018623</v>
      </c>
      <c r="AY89" s="13">
        <f>$I$20*$AY$20</f>
        <v>0</v>
      </c>
      <c r="AZ89" s="13">
        <f>$I$20*$AZ$20</f>
        <v>0</v>
      </c>
      <c r="BA89" s="13">
        <f>$I$20*$BA$20</f>
        <v>0</v>
      </c>
      <c r="BB89" s="13">
        <f>$I$20*$BB$20</f>
        <v>0</v>
      </c>
      <c r="BC89" s="13">
        <f>$I$20*$BC$20</f>
        <v>0</v>
      </c>
      <c r="BD89" s="13">
        <f>$I$20*$BD$20</f>
        <v>0</v>
      </c>
    </row>
    <row r="90" spans="1:56" ht="11.25" customHeight="1" x14ac:dyDescent="0.25">
      <c r="A90" s="9" t="s">
        <v>41</v>
      </c>
      <c r="B90" s="9" t="s">
        <v>1085</v>
      </c>
      <c r="C90" s="9" t="s">
        <v>1086</v>
      </c>
      <c r="D90" s="9" t="s">
        <v>1087</v>
      </c>
      <c r="E90" s="9" t="s">
        <v>1088</v>
      </c>
      <c r="F90" s="9" t="s">
        <v>1089</v>
      </c>
      <c r="G90" s="9" t="s">
        <v>1092</v>
      </c>
      <c r="L90" s="13">
        <f>$I$21*$L$21</f>
        <v>872226.23920707777</v>
      </c>
      <c r="M90" s="13">
        <f>$I$21*$M$21</f>
        <v>34159.867330123438</v>
      </c>
      <c r="N90" s="13">
        <f ca="1">$I$21*$N$21</f>
        <v>35805.554611083571</v>
      </c>
      <c r="O90" s="13">
        <f>$I$21*$O$21</f>
        <v>0</v>
      </c>
      <c r="P90" s="13">
        <f>$I$21*$P$21</f>
        <v>0</v>
      </c>
      <c r="Q90" s="13">
        <f>$I$21*$Q$21</f>
        <v>2168002.7419055803</v>
      </c>
      <c r="R90" s="13">
        <f>$I$21*$R$21</f>
        <v>955329.35876877361</v>
      </c>
      <c r="S90" s="13">
        <f>$I$21*$S$21</f>
        <v>0</v>
      </c>
      <c r="T90" s="13">
        <f>$I$21*$T$21</f>
        <v>0</v>
      </c>
      <c r="U90" s="13">
        <f>$I$21*$U$21</f>
        <v>0</v>
      </c>
      <c r="V90" s="13">
        <f>$I$21*$V$21</f>
        <v>0</v>
      </c>
      <c r="W90" s="13">
        <f>$I$21*$W$21</f>
        <v>0</v>
      </c>
      <c r="X90" s="13">
        <f>$I$21*$X$21</f>
        <v>0</v>
      </c>
      <c r="Y90" s="13">
        <f>$I$21*$Y$21</f>
        <v>0</v>
      </c>
      <c r="Z90" s="13">
        <f>$I$21*$Z$21</f>
        <v>0</v>
      </c>
      <c r="AA90" s="13">
        <f>$I$21*$AA$21</f>
        <v>0</v>
      </c>
      <c r="AB90" s="13">
        <f ca="1">$I$21*$AB$21</f>
        <v>-488108.3449081073</v>
      </c>
      <c r="AC90" s="13">
        <f ca="1">$I$21*$AC$21</f>
        <v>0</v>
      </c>
      <c r="AD90" s="13">
        <f>$I$21*$AD$21</f>
        <v>785924.67731591361</v>
      </c>
      <c r="AE90" s="13">
        <f>$I$21*$AE$21</f>
        <v>36340.423564075194</v>
      </c>
      <c r="AF90" s="13">
        <f ca="1">$I$21*$AF$21</f>
        <v>1068663.9208434501</v>
      </c>
      <c r="AG90" s="13">
        <f ca="1">$I$21*$AG$21</f>
        <v>390888.94348125061</v>
      </c>
      <c r="AI90" s="13">
        <f>$I$21*$AI$21</f>
        <v>1020283.073829066</v>
      </c>
      <c r="AJ90" s="13">
        <f>$I$21*$AJ$21</f>
        <v>32902.059268684476</v>
      </c>
      <c r="AK90" s="13">
        <f>$I$21*$AK$21</f>
        <v>30175.637483704835</v>
      </c>
      <c r="AL90" s="13">
        <f>$I$21*$AL$21</f>
        <v>0</v>
      </c>
      <c r="AM90" s="13">
        <f>$I$21*$AM$21</f>
        <v>0</v>
      </c>
      <c r="AN90" s="13">
        <f>$I$21*$AN$21</f>
        <v>1149903.562562007</v>
      </c>
      <c r="AO90" s="13">
        <f>$I$21*$AO$21</f>
        <v>577518.39830708806</v>
      </c>
      <c r="AP90" s="13">
        <f>$I$21*$AP$21</f>
        <v>0</v>
      </c>
      <c r="AQ90" s="13">
        <f>$I$21*$AQ$21</f>
        <v>0</v>
      </c>
      <c r="AR90" s="13">
        <f>$I$21*$AR$21</f>
        <v>0</v>
      </c>
      <c r="AS90" s="13">
        <f>$I$21*$AS$21</f>
        <v>0</v>
      </c>
      <c r="AT90" s="13">
        <f>$I$21*$AT$21</f>
        <v>0</v>
      </c>
      <c r="AU90" s="13">
        <f>$I$21*$AU$21</f>
        <v>0</v>
      </c>
      <c r="AV90" s="13">
        <f>$I$21*$AV$21</f>
        <v>0</v>
      </c>
      <c r="AW90" s="13">
        <f>$I$21*$AW$21</f>
        <v>0</v>
      </c>
      <c r="AX90" s="13">
        <f>$I$21*$AX$21</f>
        <v>0</v>
      </c>
      <c r="AY90" s="13">
        <f>$I$21*$AY$21</f>
        <v>0</v>
      </c>
      <c r="AZ90" s="13">
        <f>$I$21*$AZ$21</f>
        <v>0</v>
      </c>
      <c r="BA90" s="13">
        <f>$I$21*$BA$21</f>
        <v>509418.92406240944</v>
      </c>
      <c r="BB90" s="13">
        <f>$I$21*$BB$21</f>
        <v>21751.658121776585</v>
      </c>
      <c r="BC90" s="13">
        <f>$I$21*$BC$21</f>
        <v>702702.81067094428</v>
      </c>
      <c r="BD90" s="13">
        <f>$I$21*$BD$21</f>
        <v>310121.34334814845</v>
      </c>
    </row>
    <row r="91" spans="1:56" ht="11.25" customHeight="1" x14ac:dyDescent="0.25">
      <c r="A91" s="9" t="s">
        <v>41</v>
      </c>
      <c r="B91" s="9" t="s">
        <v>1085</v>
      </c>
      <c r="C91" s="9" t="s">
        <v>1086</v>
      </c>
      <c r="D91" s="9" t="s">
        <v>1087</v>
      </c>
      <c r="E91" s="9" t="s">
        <v>1093</v>
      </c>
      <c r="F91" s="9" t="s">
        <v>1094</v>
      </c>
      <c r="G91" s="9" t="s">
        <v>1095</v>
      </c>
      <c r="L91" s="13">
        <f>$I$22*$L$22</f>
        <v>0</v>
      </c>
      <c r="M91" s="13">
        <f>$I$22*$M$22</f>
        <v>0</v>
      </c>
      <c r="N91" s="13">
        <f ca="1">$I$22*$N$22</f>
        <v>0</v>
      </c>
      <c r="O91" s="13">
        <f>$I$22*$O$22</f>
        <v>0</v>
      </c>
      <c r="P91" s="13">
        <f>$I$22*$P$22</f>
        <v>0</v>
      </c>
      <c r="Q91" s="13">
        <f>$I$22*$Q$22</f>
        <v>0</v>
      </c>
      <c r="R91" s="13">
        <f>$I$22*$R$22</f>
        <v>0</v>
      </c>
      <c r="S91" s="13">
        <f>$I$22*$S$22</f>
        <v>0</v>
      </c>
      <c r="T91" s="13">
        <f>$I$22*$T$22</f>
        <v>0</v>
      </c>
      <c r="U91" s="13">
        <f>$I$22*$U$22</f>
        <v>0</v>
      </c>
      <c r="V91" s="13">
        <f>$I$22*$V$22</f>
        <v>0</v>
      </c>
      <c r="W91" s="13">
        <f>$I$22*$W$22</f>
        <v>0</v>
      </c>
      <c r="X91" s="13">
        <f>$I$22*$X$22</f>
        <v>0</v>
      </c>
      <c r="Y91" s="13">
        <f>$I$22*$Y$22</f>
        <v>0</v>
      </c>
      <c r="Z91" s="13">
        <f>$I$22*$Z$22</f>
        <v>0</v>
      </c>
      <c r="AA91" s="13">
        <f>$I$22*$AA$22</f>
        <v>0</v>
      </c>
      <c r="AB91" s="13">
        <f ca="1">$I$22*$AB$22</f>
        <v>0</v>
      </c>
      <c r="AC91" s="13">
        <f ca="1">$I$22*$AC$22</f>
        <v>0</v>
      </c>
      <c r="AD91" s="13">
        <f>$I$22*$AD$22</f>
        <v>0</v>
      </c>
      <c r="AE91" s="13">
        <f>$I$22*$AE$22</f>
        <v>0</v>
      </c>
      <c r="AF91" s="13">
        <f ca="1">$I$22*$AF$22</f>
        <v>0</v>
      </c>
      <c r="AG91" s="13">
        <f ca="1">$I$22*$AG$22</f>
        <v>0</v>
      </c>
      <c r="AI91" s="13">
        <f>$I$22*$AI$22</f>
        <v>0</v>
      </c>
      <c r="AJ91" s="13">
        <f>$I$22*$AJ$22</f>
        <v>0</v>
      </c>
      <c r="AK91" s="13">
        <f>$I$22*$AK$22</f>
        <v>0</v>
      </c>
      <c r="AL91" s="13">
        <f>$I$22*$AL$22</f>
        <v>0</v>
      </c>
      <c r="AM91" s="13">
        <f>$I$22*$AM$22</f>
        <v>0</v>
      </c>
      <c r="AN91" s="13">
        <f>$I$22*$AN$22</f>
        <v>0</v>
      </c>
      <c r="AO91" s="13">
        <f>$I$22*$AO$22</f>
        <v>0</v>
      </c>
      <c r="AP91" s="13">
        <f>$I$22*$AP$22</f>
        <v>0</v>
      </c>
      <c r="AQ91" s="13">
        <f>$I$22*$AQ$22</f>
        <v>0</v>
      </c>
      <c r="AR91" s="13">
        <f>$I$22*$AR$22</f>
        <v>0</v>
      </c>
      <c r="AS91" s="13">
        <f>$I$22*$AS$22</f>
        <v>0</v>
      </c>
      <c r="AT91" s="13">
        <f>$I$22*$AT$22</f>
        <v>0</v>
      </c>
      <c r="AU91" s="13">
        <f>$I$22*$AU$22</f>
        <v>0</v>
      </c>
      <c r="AV91" s="13">
        <f>$I$22*$AV$22</f>
        <v>0</v>
      </c>
      <c r="AW91" s="13">
        <f>$I$22*$AW$22</f>
        <v>0</v>
      </c>
      <c r="AX91" s="13">
        <f>$I$22*$AX$22</f>
        <v>0</v>
      </c>
      <c r="AY91" s="13">
        <f>$I$22*$AY$22</f>
        <v>0</v>
      </c>
      <c r="AZ91" s="13">
        <f>$I$22*$AZ$22</f>
        <v>0</v>
      </c>
      <c r="BA91" s="13">
        <f>$I$22*$BA$22</f>
        <v>0</v>
      </c>
      <c r="BB91" s="13">
        <f>$I$22*$BB$22</f>
        <v>0</v>
      </c>
      <c r="BC91" s="13">
        <f>$I$22*$BC$22</f>
        <v>0</v>
      </c>
      <c r="BD91" s="13">
        <f>$I$22*$BD$22</f>
        <v>0</v>
      </c>
    </row>
    <row r="92" spans="1:56" ht="11.25" customHeight="1" x14ac:dyDescent="0.25">
      <c r="A92" s="9" t="s">
        <v>41</v>
      </c>
      <c r="B92" s="9" t="s">
        <v>1096</v>
      </c>
      <c r="C92" s="9" t="s">
        <v>1097</v>
      </c>
      <c r="D92" s="9" t="s">
        <v>1098</v>
      </c>
      <c r="E92" s="9" t="s">
        <v>1099</v>
      </c>
      <c r="F92" s="9" t="s">
        <v>1100</v>
      </c>
      <c r="G92" s="9" t="s">
        <v>1101</v>
      </c>
      <c r="L92" s="13">
        <f>$I$23*$L$23</f>
        <v>0</v>
      </c>
      <c r="M92" s="13">
        <f>$I$23*$M$23</f>
        <v>0</v>
      </c>
      <c r="N92" s="13">
        <f ca="1">$I$23*$N$23</f>
        <v>0</v>
      </c>
      <c r="O92" s="13">
        <f>$I$23*$O$23</f>
        <v>0</v>
      </c>
      <c r="P92" s="13">
        <f>$I$23*$P$23</f>
        <v>0</v>
      </c>
      <c r="Q92" s="13">
        <f>$I$23*$Q$23</f>
        <v>0</v>
      </c>
      <c r="R92" s="13">
        <f>$I$23*$R$23</f>
        <v>0</v>
      </c>
      <c r="S92" s="13">
        <f>$I$23*$S$23</f>
        <v>0</v>
      </c>
      <c r="T92" s="13">
        <f>$I$23*$T$23</f>
        <v>72044.88007255175</v>
      </c>
      <c r="U92" s="13">
        <f>$I$23*$U$23</f>
        <v>75603.420021244223</v>
      </c>
      <c r="V92" s="13">
        <f>$I$23*$V$23</f>
        <v>6479.9932771875165</v>
      </c>
      <c r="W92" s="13">
        <f>$I$23*$W$23</f>
        <v>0</v>
      </c>
      <c r="X92" s="13">
        <f>$I$23*$X$23</f>
        <v>0</v>
      </c>
      <c r="Y92" s="13">
        <f>$I$23*$Y$23</f>
        <v>0</v>
      </c>
      <c r="Z92" s="13">
        <f>$I$23*$Z$23</f>
        <v>0</v>
      </c>
      <c r="AA92" s="13">
        <f>$I$23*$AA$23</f>
        <v>200551.02125111339</v>
      </c>
      <c r="AB92" s="13">
        <f>$I$23*$AB$23</f>
        <v>0</v>
      </c>
      <c r="AC92" s="13">
        <f ca="1">$I$23*$AC$23</f>
        <v>0</v>
      </c>
      <c r="AD92" s="13">
        <f>$I$23*$AD$23</f>
        <v>0</v>
      </c>
      <c r="AE92" s="13">
        <f>$I$23*$AE$23</f>
        <v>0</v>
      </c>
      <c r="AF92" s="13">
        <f ca="1">$I$23*$AF$23</f>
        <v>0</v>
      </c>
      <c r="AG92" s="13">
        <f ca="1">$I$23*$AG$23</f>
        <v>0</v>
      </c>
      <c r="AI92" s="13">
        <f>$I$23*$AI$23</f>
        <v>0</v>
      </c>
      <c r="AJ92" s="13">
        <f>$I$23*$AJ$23</f>
        <v>0</v>
      </c>
      <c r="AK92" s="13">
        <f>$I$23*$AK$23</f>
        <v>0</v>
      </c>
      <c r="AL92" s="13">
        <f>$I$23*$AL$23</f>
        <v>0</v>
      </c>
      <c r="AM92" s="13">
        <f>$I$23*$AM$23</f>
        <v>0</v>
      </c>
      <c r="AN92" s="13">
        <f>$I$23*$AN$23</f>
        <v>0</v>
      </c>
      <c r="AO92" s="13">
        <f>$I$23*$AO$23</f>
        <v>0</v>
      </c>
      <c r="AP92" s="13">
        <f>$I$23*$AP$23</f>
        <v>0</v>
      </c>
      <c r="AQ92" s="13">
        <f>$I$23*$AQ$23</f>
        <v>47539.796722601845</v>
      </c>
      <c r="AR92" s="13">
        <f>$I$23*$AR$23</f>
        <v>58561.232126757663</v>
      </c>
      <c r="AS92" s="13">
        <f>$I$23*$AS$23</f>
        <v>5069.5749405721926</v>
      </c>
      <c r="AT92" s="13">
        <f>$I$23*$AT$23</f>
        <v>0</v>
      </c>
      <c r="AU92" s="13">
        <f>$I$23*$AU$23</f>
        <v>0</v>
      </c>
      <c r="AV92" s="13">
        <f>$I$23*$AV$23</f>
        <v>0</v>
      </c>
      <c r="AW92" s="13">
        <f>$I$23*$AW$23</f>
        <v>0</v>
      </c>
      <c r="AX92" s="13">
        <f>$I$23*$AX$23</f>
        <v>188335.08090639973</v>
      </c>
      <c r="AY92" s="13">
        <f>$I$23*$AY$23</f>
        <v>0</v>
      </c>
      <c r="AZ92" s="13">
        <f>$I$23*$AZ$23</f>
        <v>0</v>
      </c>
      <c r="BA92" s="13">
        <f>$I$23*$BA$23</f>
        <v>0</v>
      </c>
      <c r="BB92" s="13">
        <f>$I$23*$BB$23</f>
        <v>0</v>
      </c>
      <c r="BC92" s="13">
        <f>$I$23*$BC$23</f>
        <v>0</v>
      </c>
      <c r="BD92" s="13">
        <f>$I$23*$BD$23</f>
        <v>0</v>
      </c>
    </row>
    <row r="93" spans="1:56" ht="11.25" customHeight="1" x14ac:dyDescent="0.25">
      <c r="A93" s="9" t="s">
        <v>41</v>
      </c>
      <c r="B93" s="9" t="s">
        <v>1096</v>
      </c>
      <c r="C93" s="9" t="s">
        <v>1097</v>
      </c>
      <c r="D93" s="9" t="s">
        <v>1098</v>
      </c>
      <c r="E93" s="9" t="s">
        <v>1099</v>
      </c>
      <c r="F93" s="9" t="s">
        <v>1100</v>
      </c>
      <c r="G93" s="9" t="s">
        <v>1102</v>
      </c>
      <c r="L93" s="13">
        <f>$I$24*$L$24</f>
        <v>0</v>
      </c>
      <c r="M93" s="13">
        <f>$I$24*$M$24</f>
        <v>0</v>
      </c>
      <c r="N93" s="13">
        <f ca="1">$I$24*$N$24</f>
        <v>0</v>
      </c>
      <c r="O93" s="13">
        <f>$I$24*$O$24</f>
        <v>0</v>
      </c>
      <c r="P93" s="13">
        <f>$I$24*$P$24</f>
        <v>0</v>
      </c>
      <c r="Q93" s="13">
        <f>$I$24*$Q$24</f>
        <v>0</v>
      </c>
      <c r="R93" s="13">
        <f>$I$24*$R$24</f>
        <v>0</v>
      </c>
      <c r="S93" s="13">
        <f>$I$24*$S$24</f>
        <v>0</v>
      </c>
      <c r="T93" s="13">
        <f>$I$24*$T$24</f>
        <v>54577.377109466288</v>
      </c>
      <c r="U93" s="13">
        <f>$I$24*$U$24</f>
        <v>63103.366672265882</v>
      </c>
      <c r="V93" s="13">
        <f>$I$24*$V$24</f>
        <v>5462.4730504764011</v>
      </c>
      <c r="W93" s="13">
        <f>$I$24*$W$24</f>
        <v>0</v>
      </c>
      <c r="X93" s="13">
        <f>$I$24*$X$24</f>
        <v>0</v>
      </c>
      <c r="Y93" s="13">
        <f>$I$24*$Y$24</f>
        <v>0</v>
      </c>
      <c r="Z93" s="13">
        <f>$I$24*$Z$24</f>
        <v>0</v>
      </c>
      <c r="AA93" s="13">
        <f>$I$24*$AA$24</f>
        <v>60852.433022195786</v>
      </c>
      <c r="AB93" s="13">
        <f>$I$24*$AB$24</f>
        <v>0</v>
      </c>
      <c r="AC93" s="13">
        <f ca="1">$I$24*$AC$24</f>
        <v>0</v>
      </c>
      <c r="AD93" s="13">
        <f>$I$24*$AD$24</f>
        <v>0</v>
      </c>
      <c r="AE93" s="13">
        <f>$I$24*$AE$24</f>
        <v>0</v>
      </c>
      <c r="AF93" s="13">
        <f ca="1">$I$24*$AF$24</f>
        <v>0</v>
      </c>
      <c r="AG93" s="13">
        <f ca="1">$I$24*$AG$24</f>
        <v>0</v>
      </c>
      <c r="AI93" s="13">
        <f>$I$24*$AI$24</f>
        <v>0</v>
      </c>
      <c r="AJ93" s="13">
        <f>$I$24*$AJ$24</f>
        <v>0</v>
      </c>
      <c r="AK93" s="13">
        <f>$I$24*$AK$24</f>
        <v>0</v>
      </c>
      <c r="AL93" s="13">
        <f>$I$24*$AL$24</f>
        <v>0</v>
      </c>
      <c r="AM93" s="13">
        <f>$I$24*$AM$24</f>
        <v>0</v>
      </c>
      <c r="AN93" s="13">
        <f>$I$24*$AN$24</f>
        <v>0</v>
      </c>
      <c r="AO93" s="13">
        <f>$I$24*$AO$24</f>
        <v>0</v>
      </c>
      <c r="AP93" s="13">
        <f>$I$24*$AP$24</f>
        <v>0</v>
      </c>
      <c r="AQ93" s="13">
        <f>$I$24*$AQ$24</f>
        <v>36013.62665638356</v>
      </c>
      <c r="AR93" s="13">
        <f>$I$24*$AR$24</f>
        <v>48878.885408041919</v>
      </c>
      <c r="AS93" s="13">
        <f>$I$24*$AS$24</f>
        <v>4273.5254969686084</v>
      </c>
      <c r="AT93" s="13">
        <f>$I$24*$AT$24</f>
        <v>0</v>
      </c>
      <c r="AU93" s="13">
        <f>$I$24*$AU$24</f>
        <v>0</v>
      </c>
      <c r="AV93" s="13">
        <f>$I$24*$AV$24</f>
        <v>0</v>
      </c>
      <c r="AW93" s="13">
        <f>$I$24*$AW$24</f>
        <v>0</v>
      </c>
      <c r="AX93" s="13">
        <f>$I$24*$AX$24</f>
        <v>57145.796740852544</v>
      </c>
      <c r="AY93" s="13">
        <f>$I$24*$AY$24</f>
        <v>0</v>
      </c>
      <c r="AZ93" s="13">
        <f>$I$24*$AZ$24</f>
        <v>0</v>
      </c>
      <c r="BA93" s="13">
        <f>$I$24*$BA$24</f>
        <v>0</v>
      </c>
      <c r="BB93" s="13">
        <f>$I$24*$BB$24</f>
        <v>0</v>
      </c>
      <c r="BC93" s="13">
        <f>$I$24*$BC$24</f>
        <v>0</v>
      </c>
      <c r="BD93" s="13">
        <f>$I$24*$BD$24</f>
        <v>0</v>
      </c>
    </row>
    <row r="94" spans="1:56" ht="11.25" customHeight="1" x14ac:dyDescent="0.25">
      <c r="A94" s="9" t="s">
        <v>41</v>
      </c>
      <c r="B94" s="9" t="s">
        <v>1096</v>
      </c>
      <c r="C94" s="9" t="s">
        <v>1097</v>
      </c>
      <c r="D94" s="9" t="s">
        <v>1098</v>
      </c>
      <c r="E94" s="9" t="s">
        <v>1099</v>
      </c>
      <c r="F94" s="9" t="s">
        <v>1100</v>
      </c>
      <c r="G94" s="9" t="s">
        <v>1103</v>
      </c>
      <c r="L94" s="13">
        <f>$I$25*$L$25</f>
        <v>0</v>
      </c>
      <c r="M94" s="13">
        <f>$I$25*$M$25</f>
        <v>0</v>
      </c>
      <c r="N94" s="13">
        <f ca="1">$I$25*$N$25</f>
        <v>0</v>
      </c>
      <c r="O94" s="13">
        <f>$I$25*$O$25</f>
        <v>0</v>
      </c>
      <c r="P94" s="13">
        <f>$I$25*$P$25</f>
        <v>0</v>
      </c>
      <c r="Q94" s="13">
        <f>$I$25*$Q$25</f>
        <v>0</v>
      </c>
      <c r="R94" s="13">
        <f>$I$25*$R$25</f>
        <v>0</v>
      </c>
      <c r="S94" s="13">
        <f>$I$25*$S$25</f>
        <v>0</v>
      </c>
      <c r="T94" s="13">
        <f>$I$25*$T$25</f>
        <v>0</v>
      </c>
      <c r="U94" s="13">
        <f>$I$25*$U$25</f>
        <v>0</v>
      </c>
      <c r="V94" s="13">
        <f>$I$25*$V$25</f>
        <v>0</v>
      </c>
      <c r="W94" s="13">
        <f>$I$25*$W$25</f>
        <v>0</v>
      </c>
      <c r="X94" s="13">
        <f>$I$25*$X$25</f>
        <v>0</v>
      </c>
      <c r="Y94" s="13">
        <f>$I$25*$Y$25</f>
        <v>0</v>
      </c>
      <c r="Z94" s="13">
        <f>$I$25*$Z$25</f>
        <v>0</v>
      </c>
      <c r="AA94" s="13">
        <f>$I$25*$AA$25</f>
        <v>0</v>
      </c>
      <c r="AB94" s="13">
        <f>$I$25*$AB$25</f>
        <v>0</v>
      </c>
      <c r="AC94" s="13">
        <f ca="1">$I$25*$AC$25</f>
        <v>0</v>
      </c>
      <c r="AD94" s="13">
        <f>$I$25*$AD$25</f>
        <v>152905.45981820545</v>
      </c>
      <c r="AE94" s="13">
        <f>$I$25*$AE$25</f>
        <v>7070.2057530885886</v>
      </c>
      <c r="AF94" s="13">
        <f ca="1">$I$25*$AF$25</f>
        <v>0</v>
      </c>
      <c r="AG94" s="13">
        <f ca="1">$I$25*$AG$25</f>
        <v>0</v>
      </c>
      <c r="AI94" s="13">
        <f>$I$25*$AI$25</f>
        <v>0</v>
      </c>
      <c r="AJ94" s="13">
        <f>$I$25*$AJ$25</f>
        <v>0</v>
      </c>
      <c r="AK94" s="13">
        <f>$I$25*$AK$25</f>
        <v>0</v>
      </c>
      <c r="AL94" s="13">
        <f>$I$25*$AL$25</f>
        <v>0</v>
      </c>
      <c r="AM94" s="13">
        <f>$I$25*$AM$25</f>
        <v>0</v>
      </c>
      <c r="AN94" s="13">
        <f>$I$25*$AN$25</f>
        <v>0</v>
      </c>
      <c r="AO94" s="13">
        <f>$I$25*$AO$25</f>
        <v>0</v>
      </c>
      <c r="AP94" s="13">
        <f>$I$25*$AP$25</f>
        <v>0</v>
      </c>
      <c r="AQ94" s="13">
        <f>$I$25*$AQ$25</f>
        <v>0</v>
      </c>
      <c r="AR94" s="13">
        <f>$I$25*$AR$25</f>
        <v>0</v>
      </c>
      <c r="AS94" s="13">
        <f>$I$25*$AS$25</f>
        <v>0</v>
      </c>
      <c r="AT94" s="13">
        <f>$I$25*$AT$25</f>
        <v>0</v>
      </c>
      <c r="AU94" s="13">
        <f>$I$25*$AU$25</f>
        <v>0</v>
      </c>
      <c r="AV94" s="13">
        <f>$I$25*$AV$25</f>
        <v>0</v>
      </c>
      <c r="AW94" s="13">
        <f>$I$25*$AW$25</f>
        <v>0</v>
      </c>
      <c r="AX94" s="13">
        <f>$I$25*$AX$25</f>
        <v>0</v>
      </c>
      <c r="AY94" s="13">
        <f>$I$25*$AY$25</f>
        <v>0</v>
      </c>
      <c r="AZ94" s="13">
        <f>$I$25*$AZ$25</f>
        <v>0</v>
      </c>
      <c r="BA94" s="13">
        <f>$I$25*$BA$25</f>
        <v>99109.923726886642</v>
      </c>
      <c r="BB94" s="13">
        <f>$I$25*$BB$25</f>
        <v>4231.8906415782894</v>
      </c>
      <c r="BC94" s="13">
        <f>$I$25*$BC$25</f>
        <v>0</v>
      </c>
      <c r="BD94" s="13">
        <f>$I$25*$BD$25</f>
        <v>0</v>
      </c>
    </row>
    <row r="95" spans="1:56" ht="11.25" customHeight="1" x14ac:dyDescent="0.25">
      <c r="A95" s="9" t="s">
        <v>41</v>
      </c>
      <c r="B95" s="9" t="s">
        <v>1104</v>
      </c>
      <c r="C95" s="9" t="s">
        <v>1105</v>
      </c>
      <c r="D95" s="9" t="s">
        <v>1106</v>
      </c>
      <c r="E95" s="9" t="s">
        <v>1107</v>
      </c>
      <c r="F95" s="9" t="s">
        <v>1108</v>
      </c>
      <c r="G95" s="9" t="s">
        <v>1109</v>
      </c>
      <c r="L95" s="13">
        <f>$I$26*$L$26</f>
        <v>0</v>
      </c>
      <c r="M95" s="13">
        <f>$I$26*$M$26</f>
        <v>0</v>
      </c>
      <c r="N95" s="13">
        <f ca="1">$I$26*$N$26</f>
        <v>0</v>
      </c>
      <c r="O95" s="13">
        <f>$I$26*$O$26</f>
        <v>0</v>
      </c>
      <c r="P95" s="13">
        <f>$I$26*$P$26</f>
        <v>0</v>
      </c>
      <c r="Q95" s="13">
        <f>$I$26*$Q$26</f>
        <v>0</v>
      </c>
      <c r="R95" s="13">
        <f>$I$26*$R$26</f>
        <v>0</v>
      </c>
      <c r="S95" s="13">
        <f>$I$26*$S$26</f>
        <v>0</v>
      </c>
      <c r="T95" s="13">
        <f>$I$26*$T$26</f>
        <v>0</v>
      </c>
      <c r="U95" s="13">
        <f>$I$26*$U$26</f>
        <v>0</v>
      </c>
      <c r="V95" s="13">
        <f>$I$26*$V$26</f>
        <v>0</v>
      </c>
      <c r="W95" s="13">
        <f>$I$26*$W$26</f>
        <v>0</v>
      </c>
      <c r="X95" s="13">
        <f>$I$26*$X$26</f>
        <v>0</v>
      </c>
      <c r="Y95" s="13">
        <f>$I$26*$Y$26</f>
        <v>0</v>
      </c>
      <c r="Z95" s="13">
        <f>$I$26*$Z$26</f>
        <v>0</v>
      </c>
      <c r="AA95" s="13">
        <f>$I$26*$AA$26</f>
        <v>0</v>
      </c>
      <c r="AB95" s="13">
        <f ca="1">$I$26*$AB$26</f>
        <v>0</v>
      </c>
      <c r="AC95" s="13">
        <f ca="1">$I$26*$AC$26</f>
        <v>0</v>
      </c>
      <c r="AD95" s="13">
        <f>$I$26*$AD$26</f>
        <v>0</v>
      </c>
      <c r="AE95" s="13">
        <f>$I$26*$AE$26</f>
        <v>0</v>
      </c>
      <c r="AF95" s="13">
        <f ca="1">$I$26*$AF$26</f>
        <v>0</v>
      </c>
      <c r="AG95" s="13">
        <f ca="1">$I$26*$AG$26</f>
        <v>0</v>
      </c>
      <c r="AI95" s="13">
        <f>$I$26*$AI$26</f>
        <v>0</v>
      </c>
      <c r="AJ95" s="13">
        <f>$I$26*$AJ$26</f>
        <v>0</v>
      </c>
      <c r="AK95" s="13">
        <f>$I$26*$AK$26</f>
        <v>0</v>
      </c>
      <c r="AL95" s="13">
        <f>$I$26*$AL$26</f>
        <v>0</v>
      </c>
      <c r="AM95" s="13">
        <f>$I$26*$AM$26</f>
        <v>0</v>
      </c>
      <c r="AN95" s="13">
        <f>$I$26*$AN$26</f>
        <v>0</v>
      </c>
      <c r="AO95" s="13">
        <f>$I$26*$AO$26</f>
        <v>0</v>
      </c>
      <c r="AP95" s="13">
        <f>$I$26*$AP$26</f>
        <v>0</v>
      </c>
      <c r="AQ95" s="13">
        <f>$I$26*$AQ$26</f>
        <v>0</v>
      </c>
      <c r="AR95" s="13">
        <f>$I$26*$AR$26</f>
        <v>0</v>
      </c>
      <c r="AS95" s="13">
        <f>$I$26*$AS$26</f>
        <v>0</v>
      </c>
      <c r="AT95" s="13">
        <f>$I$26*$AT$26</f>
        <v>0</v>
      </c>
      <c r="AU95" s="13">
        <f>$I$26*$AU$26</f>
        <v>0</v>
      </c>
      <c r="AV95" s="13">
        <f>$I$26*$AV$26</f>
        <v>0</v>
      </c>
      <c r="AW95" s="13">
        <f>$I$26*$AW$26</f>
        <v>0</v>
      </c>
      <c r="AX95" s="13">
        <f>$I$26*$AX$26</f>
        <v>0</v>
      </c>
      <c r="AY95" s="13">
        <f>$I$26*$AY$26</f>
        <v>0</v>
      </c>
      <c r="AZ95" s="13">
        <f>$I$26*$AZ$26</f>
        <v>0</v>
      </c>
      <c r="BA95" s="13">
        <f>$I$26*$BA$26</f>
        <v>0</v>
      </c>
      <c r="BB95" s="13">
        <f>$I$26*$BB$26</f>
        <v>0</v>
      </c>
      <c r="BC95" s="13">
        <f>$I$26*$BC$26</f>
        <v>0</v>
      </c>
      <c r="BD95" s="13">
        <f>$I$26*$BD$26</f>
        <v>0</v>
      </c>
    </row>
    <row r="96" spans="1:56" ht="11.25" customHeight="1" x14ac:dyDescent="0.25">
      <c r="A96" s="9" t="s">
        <v>41</v>
      </c>
      <c r="B96" s="9" t="s">
        <v>1110</v>
      </c>
      <c r="C96" s="9" t="s">
        <v>1111</v>
      </c>
      <c r="D96" s="9" t="s">
        <v>1112</v>
      </c>
      <c r="E96" s="9" t="s">
        <v>1113</v>
      </c>
      <c r="F96" s="9" t="s">
        <v>1114</v>
      </c>
      <c r="G96" s="9" t="s">
        <v>1115</v>
      </c>
      <c r="L96" s="13">
        <f>$I$27*$L$27</f>
        <v>0</v>
      </c>
      <c r="M96" s="13">
        <f>$I$27*$M$27</f>
        <v>0</v>
      </c>
      <c r="N96" s="13">
        <f ca="1">$I$27*$N$27</f>
        <v>0</v>
      </c>
      <c r="O96" s="13">
        <f>$I$27*$O$27</f>
        <v>0</v>
      </c>
      <c r="P96" s="13">
        <f>$I$27*$P$27</f>
        <v>0</v>
      </c>
      <c r="Q96" s="13">
        <f>$I$27*$Q$27</f>
        <v>0</v>
      </c>
      <c r="R96" s="13">
        <f>$I$27*$R$27</f>
        <v>0</v>
      </c>
      <c r="S96" s="13">
        <f>$I$27*$S$27</f>
        <v>0</v>
      </c>
      <c r="T96" s="13">
        <f>$I$27*$T$27</f>
        <v>3264257.2499524732</v>
      </c>
      <c r="U96" s="13">
        <f>$I$27*$U$27</f>
        <v>3774194.2369858883</v>
      </c>
      <c r="V96" s="13">
        <f>$I$27*$V$27</f>
        <v>326708.94429250382</v>
      </c>
      <c r="W96" s="13">
        <f>$I$27*$W$27</f>
        <v>0</v>
      </c>
      <c r="X96" s="13">
        <f>$I$27*$X$27</f>
        <v>0</v>
      </c>
      <c r="Y96" s="13">
        <f>$I$27*$Y$27</f>
        <v>0</v>
      </c>
      <c r="Z96" s="13">
        <f>$I$27*$Z$27</f>
        <v>0</v>
      </c>
      <c r="AA96" s="13">
        <f>$I$27*$AA$27</f>
        <v>18469606.044363324</v>
      </c>
      <c r="AB96" s="13">
        <f ca="1">$I$27*$AB$27</f>
        <v>-2223007.0511841192</v>
      </c>
      <c r="AC96" s="13">
        <f ca="1">$I$27*$AC$27</f>
        <v>0</v>
      </c>
      <c r="AD96" s="13">
        <f>$I$27*$AD$27</f>
        <v>0</v>
      </c>
      <c r="AE96" s="13">
        <f>$I$27*$AE$27</f>
        <v>0</v>
      </c>
      <c r="AF96" s="13">
        <f ca="1">$I$27*$AF$27</f>
        <v>0</v>
      </c>
      <c r="AG96" s="13">
        <f ca="1">$I$27*$AG$27</f>
        <v>0</v>
      </c>
      <c r="AI96" s="13">
        <f>$I$27*$AI$27</f>
        <v>0</v>
      </c>
      <c r="AJ96" s="13">
        <f>$I$27*$AJ$27</f>
        <v>0</v>
      </c>
      <c r="AK96" s="13">
        <f>$I$27*$AK$27</f>
        <v>0</v>
      </c>
      <c r="AL96" s="13">
        <f>$I$27*$AL$27</f>
        <v>0</v>
      </c>
      <c r="AM96" s="13">
        <f>$I$27*$AM$27</f>
        <v>0</v>
      </c>
      <c r="AN96" s="13">
        <f>$I$27*$AN$27</f>
        <v>0</v>
      </c>
      <c r="AO96" s="13">
        <f>$I$27*$AO$27</f>
        <v>0</v>
      </c>
      <c r="AP96" s="13">
        <f>$I$27*$AP$27</f>
        <v>0</v>
      </c>
      <c r="AQ96" s="13">
        <f>$I$27*$AQ$27</f>
        <v>2153964.6669790521</v>
      </c>
      <c r="AR96" s="13">
        <f>$I$27*$AR$27</f>
        <v>2923432.0979328072</v>
      </c>
      <c r="AS96" s="13">
        <f>$I$27*$AS$27</f>
        <v>255598.33259039049</v>
      </c>
      <c r="AT96" s="13">
        <f>$I$27*$AT$27</f>
        <v>0</v>
      </c>
      <c r="AU96" s="13">
        <f>$I$27*$AU$27</f>
        <v>0</v>
      </c>
      <c r="AV96" s="13">
        <f>$I$27*$AV$27</f>
        <v>0</v>
      </c>
      <c r="AW96" s="13">
        <f>$I$27*$AW$27</f>
        <v>0</v>
      </c>
      <c r="AX96" s="13">
        <f>$I$27*$AX$27</f>
        <v>17344587.561681125</v>
      </c>
      <c r="AY96" s="13">
        <f>$I$27*$AY$27</f>
        <v>0</v>
      </c>
      <c r="AZ96" s="13">
        <f>$I$27*$AZ$27</f>
        <v>0</v>
      </c>
      <c r="BA96" s="13">
        <f>$I$27*$BA$27</f>
        <v>0</v>
      </c>
      <c r="BB96" s="13">
        <f>$I$27*$BB$27</f>
        <v>0</v>
      </c>
      <c r="BC96" s="13">
        <f>$I$27*$BC$27</f>
        <v>0</v>
      </c>
      <c r="BD96" s="13">
        <f>$I$27*$BD$27</f>
        <v>0</v>
      </c>
    </row>
    <row r="97" spans="1:56" ht="11.25" customHeight="1" x14ac:dyDescent="0.25">
      <c r="A97" s="9" t="s">
        <v>41</v>
      </c>
      <c r="B97" s="9" t="s">
        <v>1110</v>
      </c>
      <c r="C97" s="9" t="s">
        <v>1111</v>
      </c>
      <c r="D97" s="9" t="s">
        <v>1112</v>
      </c>
      <c r="E97" s="9" t="s">
        <v>1113</v>
      </c>
      <c r="F97" s="9" t="s">
        <v>1114</v>
      </c>
      <c r="G97" s="9" t="s">
        <v>1116</v>
      </c>
      <c r="L97" s="13">
        <f>$I$28*$L$28</f>
        <v>278141.20730459254</v>
      </c>
      <c r="M97" s="13">
        <f>$I$28*$M$28</f>
        <v>10893.121891405881</v>
      </c>
      <c r="N97" s="13">
        <f ca="1">$I$28*$N$28</f>
        <v>237120.92854163624</v>
      </c>
      <c r="O97" s="13">
        <f>$I$28*$O$28</f>
        <v>0</v>
      </c>
      <c r="P97" s="13">
        <f>$I$28*$P$28</f>
        <v>0</v>
      </c>
      <c r="Q97" s="13">
        <f>$I$28*$Q$28</f>
        <v>691346.89254644455</v>
      </c>
      <c r="R97" s="13">
        <f>$I$28*$R$28</f>
        <v>304641.67354449927</v>
      </c>
      <c r="S97" s="13">
        <f>$I$28*$S$28</f>
        <v>0</v>
      </c>
      <c r="T97" s="13">
        <f>$I$28*$T$28</f>
        <v>1503812.942998779</v>
      </c>
      <c r="U97" s="13">
        <f>$I$28*$U$28</f>
        <v>1578064.0378516042</v>
      </c>
      <c r="V97" s="13">
        <f>$I$28*$V$28</f>
        <v>135253.10463885055</v>
      </c>
      <c r="W97" s="13">
        <f>$I$28*$W$28</f>
        <v>0</v>
      </c>
      <c r="X97" s="13">
        <f>$I$28*$X$28</f>
        <v>0</v>
      </c>
      <c r="Y97" s="13">
        <f>$I$28*$Y$28</f>
        <v>0</v>
      </c>
      <c r="Z97" s="13">
        <f>$I$28*$Z$28</f>
        <v>0</v>
      </c>
      <c r="AA97" s="13">
        <f>$I$28*$AA$28</f>
        <v>21243090.501203023</v>
      </c>
      <c r="AB97" s="13">
        <f ca="1">$I$28*$AB$28</f>
        <v>-2329444.7390086339</v>
      </c>
      <c r="AC97" s="13">
        <f ca="1">$I$28*$AC$28</f>
        <v>0</v>
      </c>
      <c r="AD97" s="13">
        <f>$I$28*$AD$28</f>
        <v>250620.80085763449</v>
      </c>
      <c r="AE97" s="13">
        <f>$I$28*$AE$28</f>
        <v>11588.471923592775</v>
      </c>
      <c r="AF97" s="13">
        <f ca="1">$I$28*$AF$28</f>
        <v>340782.53987918404</v>
      </c>
      <c r="AG97" s="13">
        <f ca="1">$I$28*$AG$28</f>
        <v>124649.22261537192</v>
      </c>
      <c r="AI97" s="13">
        <f>$I$28*$AI$28</f>
        <v>325354.53898433276</v>
      </c>
      <c r="AJ97" s="13">
        <f>$I$28*$AJ$28</f>
        <v>10492.023831017188</v>
      </c>
      <c r="AK97" s="13">
        <f>$I$28*$AK$28</f>
        <v>218510.41926224783</v>
      </c>
      <c r="AL97" s="13">
        <f>$I$28*$AL$28</f>
        <v>0</v>
      </c>
      <c r="AM97" s="13">
        <f>$I$28*$AM$28</f>
        <v>0</v>
      </c>
      <c r="AN97" s="13">
        <f>$I$28*$AN$28</f>
        <v>366688.76811778138</v>
      </c>
      <c r="AO97" s="13">
        <f>$I$28*$AO$28</f>
        <v>184162.84368121604</v>
      </c>
      <c r="AP97" s="13">
        <f>$I$28*$AP$28</f>
        <v>0</v>
      </c>
      <c r="AQ97" s="13">
        <f>$I$28*$AQ$28</f>
        <v>992311.48066296265</v>
      </c>
      <c r="AR97" s="13">
        <f>$I$28*$AR$28</f>
        <v>1222343.835841665</v>
      </c>
      <c r="AS97" s="13">
        <f>$I$28*$AS$28</f>
        <v>105814.26871623329</v>
      </c>
      <c r="AT97" s="13">
        <f>$I$28*$AT$28</f>
        <v>0</v>
      </c>
      <c r="AU97" s="13">
        <f>$I$28*$AU$28</f>
        <v>0</v>
      </c>
      <c r="AV97" s="13">
        <f>$I$28*$AV$28</f>
        <v>0</v>
      </c>
      <c r="AW97" s="13">
        <f>$I$28*$AW$28</f>
        <v>0</v>
      </c>
      <c r="AX97" s="13">
        <f>$I$28*$AX$28</f>
        <v>19949133.857745681</v>
      </c>
      <c r="AY97" s="13">
        <f>$I$28*$AY$28</f>
        <v>0</v>
      </c>
      <c r="AZ97" s="13">
        <f>$I$28*$AZ$28</f>
        <v>0</v>
      </c>
      <c r="BA97" s="13">
        <f>$I$28*$BA$28</f>
        <v>162446.83798016992</v>
      </c>
      <c r="BB97" s="13">
        <f>$I$28*$BB$28</f>
        <v>6936.3109923953207</v>
      </c>
      <c r="BC97" s="13">
        <f>$I$28*$BC$28</f>
        <v>224082.46777123664</v>
      </c>
      <c r="BD97" s="13">
        <f>$I$28*$BD$28</f>
        <v>98893.522084580894</v>
      </c>
    </row>
    <row r="98" spans="1:56" ht="11.25" customHeight="1" x14ac:dyDescent="0.25">
      <c r="A98" s="9" t="s">
        <v>41</v>
      </c>
      <c r="B98" s="9" t="s">
        <v>1110</v>
      </c>
      <c r="C98" s="9" t="s">
        <v>1111</v>
      </c>
      <c r="D98" s="9" t="s">
        <v>1112</v>
      </c>
      <c r="E98" s="9" t="s">
        <v>1113</v>
      </c>
      <c r="F98" s="9" t="s">
        <v>1114</v>
      </c>
      <c r="G98" s="9" t="s">
        <v>1117</v>
      </c>
      <c r="L98" s="13">
        <f>$I$29*$L$29</f>
        <v>3391742.7206553319</v>
      </c>
      <c r="M98" s="13">
        <f>$I$29*$M$29</f>
        <v>132834.20762579358</v>
      </c>
      <c r="N98" s="13">
        <f ca="1">$I$29*$N$29</f>
        <v>139233.63429374827</v>
      </c>
      <c r="O98" s="13">
        <f>$I$29*$O$29</f>
        <v>0</v>
      </c>
      <c r="P98" s="13">
        <f>$I$29*$P$29</f>
        <v>0</v>
      </c>
      <c r="Q98" s="13">
        <f>$I$29*$Q$29</f>
        <v>8430504.8251056839</v>
      </c>
      <c r="R98" s="13">
        <f>$I$29*$R$29</f>
        <v>3714897.8702795492</v>
      </c>
      <c r="S98" s="13">
        <f>$I$29*$S$29</f>
        <v>0</v>
      </c>
      <c r="T98" s="13">
        <f>$I$29*$T$29</f>
        <v>0</v>
      </c>
      <c r="U98" s="13">
        <f>$I$29*$U$29</f>
        <v>0</v>
      </c>
      <c r="V98" s="13">
        <f>$I$29*$V$29</f>
        <v>0</v>
      </c>
      <c r="W98" s="13">
        <f>$I$29*$W$29</f>
        <v>0</v>
      </c>
      <c r="X98" s="13">
        <f>$I$29*$X$29</f>
        <v>0</v>
      </c>
      <c r="Y98" s="13">
        <f>$I$29*$Y$29</f>
        <v>0</v>
      </c>
      <c r="Z98" s="13">
        <f>$I$29*$Z$29</f>
        <v>0</v>
      </c>
      <c r="AA98" s="13">
        <f>$I$29*$AA$29</f>
        <v>0</v>
      </c>
      <c r="AB98" s="13">
        <f ca="1">$I$29*$AB$29</f>
        <v>-1898060.2179982676</v>
      </c>
      <c r="AC98" s="13">
        <f ca="1">$I$29*$AC$29</f>
        <v>0</v>
      </c>
      <c r="AD98" s="13">
        <f>$I$29*$AD$29</f>
        <v>3056150.0943756634</v>
      </c>
      <c r="AE98" s="13">
        <f>$I$29*$AE$29</f>
        <v>141313.52801428465</v>
      </c>
      <c r="AF98" s="13">
        <f ca="1">$I$29*$AF$29</f>
        <v>4155611.13781997</v>
      </c>
      <c r="AG98" s="13">
        <f ca="1">$I$29*$AG$29</f>
        <v>1520012.4337493412</v>
      </c>
      <c r="AI98" s="13">
        <f>$I$29*$AI$29</f>
        <v>3967477.1671779589</v>
      </c>
      <c r="AJ98" s="13">
        <f>$I$29*$AJ$29</f>
        <v>127943.08976599902</v>
      </c>
      <c r="AK98" s="13">
        <f>$I$29*$AK$29</f>
        <v>117341.11423835682</v>
      </c>
      <c r="AL98" s="13">
        <f>$I$29*$AL$29</f>
        <v>0</v>
      </c>
      <c r="AM98" s="13">
        <f>$I$29*$AM$29</f>
        <v>0</v>
      </c>
      <c r="AN98" s="13">
        <f>$I$29*$AN$29</f>
        <v>4471519.9594555739</v>
      </c>
      <c r="AO98" s="13">
        <f>$I$29*$AO$29</f>
        <v>2245740.5377798425</v>
      </c>
      <c r="AP98" s="13">
        <f>$I$29*$AP$29</f>
        <v>0</v>
      </c>
      <c r="AQ98" s="13">
        <f>$I$29*$AQ$29</f>
        <v>0</v>
      </c>
      <c r="AR98" s="13">
        <f>$I$29*$AR$29</f>
        <v>0</v>
      </c>
      <c r="AS98" s="13">
        <f>$I$29*$AS$29</f>
        <v>0</v>
      </c>
      <c r="AT98" s="13">
        <f>$I$29*$AT$29</f>
        <v>0</v>
      </c>
      <c r="AU98" s="13">
        <f>$I$29*$AU$29</f>
        <v>0</v>
      </c>
      <c r="AV98" s="13">
        <f>$I$29*$AV$29</f>
        <v>0</v>
      </c>
      <c r="AW98" s="13">
        <f>$I$29*$AW$29</f>
        <v>0</v>
      </c>
      <c r="AX98" s="13">
        <f>$I$29*$AX$29</f>
        <v>0</v>
      </c>
      <c r="AY98" s="13">
        <f>$I$29*$AY$29</f>
        <v>0</v>
      </c>
      <c r="AZ98" s="13">
        <f>$I$29*$AZ$29</f>
        <v>0</v>
      </c>
      <c r="BA98" s="13">
        <f>$I$29*$BA$29</f>
        <v>1980928.6281314706</v>
      </c>
      <c r="BB98" s="13">
        <f>$I$29*$BB$29</f>
        <v>84583.591711007655</v>
      </c>
      <c r="BC98" s="13">
        <f>$I$29*$BC$29</f>
        <v>2732533.1843305971</v>
      </c>
      <c r="BD98" s="13">
        <f>$I$29*$BD$29</f>
        <v>1205939.1950615377</v>
      </c>
    </row>
    <row r="99" spans="1:56" ht="11.25" customHeight="1" x14ac:dyDescent="0.25">
      <c r="A99" s="9" t="s">
        <v>41</v>
      </c>
      <c r="B99" s="9" t="s">
        <v>1110</v>
      </c>
      <c r="C99" s="9" t="s">
        <v>1111</v>
      </c>
      <c r="D99" s="9" t="s">
        <v>1112</v>
      </c>
      <c r="E99" s="9" t="s">
        <v>1118</v>
      </c>
      <c r="F99" s="9" t="s">
        <v>1119</v>
      </c>
      <c r="G99" s="9" t="s">
        <v>1120</v>
      </c>
      <c r="L99" s="13">
        <f>$I$30*$L$30</f>
        <v>0</v>
      </c>
      <c r="M99" s="13">
        <f>$I$30*$M$30</f>
        <v>0</v>
      </c>
      <c r="N99" s="13">
        <f ca="1">$I$30*$N$30</f>
        <v>0</v>
      </c>
      <c r="O99" s="13">
        <f>$I$30*$O$30</f>
        <v>0</v>
      </c>
      <c r="P99" s="13">
        <f>$I$30*$P$30</f>
        <v>0</v>
      </c>
      <c r="Q99" s="13">
        <f>$I$30*$Q$30</f>
        <v>0</v>
      </c>
      <c r="R99" s="13">
        <f>$I$30*$R$30</f>
        <v>0</v>
      </c>
      <c r="S99" s="13">
        <f>$I$30*$S$30</f>
        <v>0</v>
      </c>
      <c r="T99" s="13">
        <f>$I$30*$T$30</f>
        <v>0</v>
      </c>
      <c r="U99" s="13">
        <f>$I$30*$U$30</f>
        <v>0</v>
      </c>
      <c r="V99" s="13">
        <f>$I$30*$V$30</f>
        <v>0</v>
      </c>
      <c r="W99" s="13">
        <f>$I$30*$W$30</f>
        <v>0</v>
      </c>
      <c r="X99" s="13">
        <f>$I$30*$X$30</f>
        <v>0</v>
      </c>
      <c r="Y99" s="13">
        <f>$I$30*$Y$30</f>
        <v>0</v>
      </c>
      <c r="Z99" s="13">
        <f>$I$30*$Z$30</f>
        <v>0</v>
      </c>
      <c r="AA99" s="13">
        <f>$I$30*$AA$30</f>
        <v>0</v>
      </c>
      <c r="AB99" s="13">
        <f ca="1">$I$30*$AB$30</f>
        <v>0</v>
      </c>
      <c r="AC99" s="13">
        <f ca="1">$I$30*$AC$30</f>
        <v>0</v>
      </c>
      <c r="AD99" s="13">
        <f>$I$30*$AD$30</f>
        <v>0</v>
      </c>
      <c r="AE99" s="13">
        <f>$I$30*$AE$30</f>
        <v>0</v>
      </c>
      <c r="AF99" s="13">
        <f ca="1">$I$30*$AF$30</f>
        <v>0</v>
      </c>
      <c r="AG99" s="13">
        <f ca="1">$I$30*$AG$30</f>
        <v>0</v>
      </c>
      <c r="AI99" s="13">
        <f>$I$30*$AI$30</f>
        <v>0</v>
      </c>
      <c r="AJ99" s="13">
        <f>$I$30*$AJ$30</f>
        <v>0</v>
      </c>
      <c r="AK99" s="13">
        <f>$I$30*$AK$30</f>
        <v>0</v>
      </c>
      <c r="AL99" s="13">
        <f>$I$30*$AL$30</f>
        <v>0</v>
      </c>
      <c r="AM99" s="13">
        <f>$I$30*$AM$30</f>
        <v>0</v>
      </c>
      <c r="AN99" s="13">
        <f>$I$30*$AN$30</f>
        <v>0</v>
      </c>
      <c r="AO99" s="13">
        <f>$I$30*$AO$30</f>
        <v>0</v>
      </c>
      <c r="AP99" s="13">
        <f>$I$30*$AP$30</f>
        <v>0</v>
      </c>
      <c r="AQ99" s="13">
        <f>$I$30*$AQ$30</f>
        <v>0</v>
      </c>
      <c r="AR99" s="13">
        <f>$I$30*$AR$30</f>
        <v>0</v>
      </c>
      <c r="AS99" s="13">
        <f>$I$30*$AS$30</f>
        <v>0</v>
      </c>
      <c r="AT99" s="13">
        <f>$I$30*$AT$30</f>
        <v>0</v>
      </c>
      <c r="AU99" s="13">
        <f>$I$30*$AU$30</f>
        <v>0</v>
      </c>
      <c r="AV99" s="13">
        <f>$I$30*$AV$30</f>
        <v>0</v>
      </c>
      <c r="AW99" s="13">
        <f>$I$30*$AW$30</f>
        <v>0</v>
      </c>
      <c r="AX99" s="13">
        <f>$I$30*$AX$30</f>
        <v>0</v>
      </c>
      <c r="AY99" s="13">
        <f>$I$30*$AY$30</f>
        <v>0</v>
      </c>
      <c r="AZ99" s="13">
        <f>$I$30*$AZ$30</f>
        <v>0</v>
      </c>
      <c r="BA99" s="13">
        <f>$I$30*$BA$30</f>
        <v>0</v>
      </c>
      <c r="BB99" s="13">
        <f>$I$30*$BB$30</f>
        <v>0</v>
      </c>
      <c r="BC99" s="13">
        <f>$I$30*$BC$30</f>
        <v>0</v>
      </c>
      <c r="BD99" s="13">
        <f>$I$30*$BD$30</f>
        <v>0</v>
      </c>
    </row>
    <row r="100" spans="1:56" ht="11.25" customHeight="1" x14ac:dyDescent="0.25">
      <c r="A100" s="9" t="s">
        <v>41</v>
      </c>
      <c r="B100" s="9" t="s">
        <v>1110</v>
      </c>
      <c r="C100" s="9" t="s">
        <v>1111</v>
      </c>
      <c r="D100" s="9" t="s">
        <v>1112</v>
      </c>
      <c r="E100" s="9" t="s">
        <v>1118</v>
      </c>
      <c r="F100" s="9" t="s">
        <v>1119</v>
      </c>
      <c r="G100" s="9" t="s">
        <v>1121</v>
      </c>
      <c r="L100" s="13">
        <f>$I$31*$L$31</f>
        <v>0</v>
      </c>
      <c r="M100" s="13">
        <f>$I$31*$M$31</f>
        <v>0</v>
      </c>
      <c r="N100" s="13">
        <f ca="1">$I$31*$N$31</f>
        <v>0</v>
      </c>
      <c r="O100" s="13">
        <f>$I$31*$O$31</f>
        <v>0</v>
      </c>
      <c r="P100" s="13">
        <f>$I$31*$P$31</f>
        <v>0</v>
      </c>
      <c r="Q100" s="13">
        <f>$I$31*$Q$31</f>
        <v>0</v>
      </c>
      <c r="R100" s="13">
        <f>$I$31*$R$31</f>
        <v>0</v>
      </c>
      <c r="S100" s="13">
        <f>$I$31*$S$31</f>
        <v>0</v>
      </c>
      <c r="T100" s="13">
        <f>$I$31*$T$31</f>
        <v>0</v>
      </c>
      <c r="U100" s="13">
        <f>$I$31*$U$31</f>
        <v>0</v>
      </c>
      <c r="V100" s="13">
        <f>$I$31*$V$31</f>
        <v>0</v>
      </c>
      <c r="W100" s="13">
        <f>$I$31*$W$31</f>
        <v>0</v>
      </c>
      <c r="X100" s="13">
        <f>$I$31*$X$31</f>
        <v>0</v>
      </c>
      <c r="Y100" s="13">
        <f>$I$31*$Y$31</f>
        <v>0</v>
      </c>
      <c r="Z100" s="13">
        <f>$I$31*$Z$31</f>
        <v>0</v>
      </c>
      <c r="AA100" s="13">
        <f>$I$31*$AA$31</f>
        <v>0</v>
      </c>
      <c r="AB100" s="13">
        <f ca="1">$I$31*$AB$31</f>
        <v>0</v>
      </c>
      <c r="AC100" s="13">
        <f ca="1">$I$31*$AC$31</f>
        <v>0</v>
      </c>
      <c r="AD100" s="13">
        <f>$I$31*$AD$31</f>
        <v>0</v>
      </c>
      <c r="AE100" s="13">
        <f>$I$31*$AE$31</f>
        <v>0</v>
      </c>
      <c r="AF100" s="13">
        <f ca="1">$I$31*$AF$31</f>
        <v>0</v>
      </c>
      <c r="AG100" s="13">
        <f ca="1">$I$31*$AG$31</f>
        <v>0</v>
      </c>
      <c r="AI100" s="13">
        <f>$I$31*$AI$31</f>
        <v>0</v>
      </c>
      <c r="AJ100" s="13">
        <f>$I$31*$AJ$31</f>
        <v>0</v>
      </c>
      <c r="AK100" s="13">
        <f>$I$31*$AK$31</f>
        <v>0</v>
      </c>
      <c r="AL100" s="13">
        <f>$I$31*$AL$31</f>
        <v>0</v>
      </c>
      <c r="AM100" s="13">
        <f>$I$31*$AM$31</f>
        <v>0</v>
      </c>
      <c r="AN100" s="13">
        <f>$I$31*$AN$31</f>
        <v>0</v>
      </c>
      <c r="AO100" s="13">
        <f>$I$31*$AO$31</f>
        <v>0</v>
      </c>
      <c r="AP100" s="13">
        <f>$I$31*$AP$31</f>
        <v>0</v>
      </c>
      <c r="AQ100" s="13">
        <f>$I$31*$AQ$31</f>
        <v>0</v>
      </c>
      <c r="AR100" s="13">
        <f>$I$31*$AR$31</f>
        <v>0</v>
      </c>
      <c r="AS100" s="13">
        <f>$I$31*$AS$31</f>
        <v>0</v>
      </c>
      <c r="AT100" s="13">
        <f>$I$31*$AT$31</f>
        <v>0</v>
      </c>
      <c r="AU100" s="13">
        <f>$I$31*$AU$31</f>
        <v>0</v>
      </c>
      <c r="AV100" s="13">
        <f>$I$31*$AV$31</f>
        <v>0</v>
      </c>
      <c r="AW100" s="13">
        <f>$I$31*$AW$31</f>
        <v>0</v>
      </c>
      <c r="AX100" s="13">
        <f>$I$31*$AX$31</f>
        <v>0</v>
      </c>
      <c r="AY100" s="13">
        <f>$I$31*$AY$31</f>
        <v>0</v>
      </c>
      <c r="AZ100" s="13">
        <f>$I$31*$AZ$31</f>
        <v>0</v>
      </c>
      <c r="BA100" s="13">
        <f>$I$31*$BA$31</f>
        <v>0</v>
      </c>
      <c r="BB100" s="13">
        <f>$I$31*$BB$31</f>
        <v>0</v>
      </c>
      <c r="BC100" s="13">
        <f>$I$31*$BC$31</f>
        <v>0</v>
      </c>
      <c r="BD100" s="13">
        <f>$I$31*$BD$31</f>
        <v>0</v>
      </c>
    </row>
    <row r="101" spans="1:56" ht="11.25" customHeight="1" x14ac:dyDescent="0.25">
      <c r="A101" s="9" t="s">
        <v>95</v>
      </c>
      <c r="B101" s="9" t="s">
        <v>1122</v>
      </c>
      <c r="C101" s="9" t="s">
        <v>1123</v>
      </c>
      <c r="D101" s="9" t="s">
        <v>1124</v>
      </c>
      <c r="E101" s="9" t="s">
        <v>1125</v>
      </c>
      <c r="F101" s="9" t="s">
        <v>1126</v>
      </c>
      <c r="G101" s="9" t="s">
        <v>1127</v>
      </c>
      <c r="L101" s="13">
        <f>$I$32*$L$32</f>
        <v>0</v>
      </c>
      <c r="M101" s="13">
        <f>$I$32*$M$32</f>
        <v>5.1128085866159553E-10</v>
      </c>
      <c r="N101" s="13">
        <f ca="1">$I$32*$N$32</f>
        <v>1.4674934357570206E-9</v>
      </c>
      <c r="O101" s="13">
        <f>$I$32*$O$32</f>
        <v>0</v>
      </c>
      <c r="P101" s="13">
        <f>$I$32*$P$32</f>
        <v>0</v>
      </c>
      <c r="Q101" s="13">
        <f>$I$32*$Q$32</f>
        <v>0</v>
      </c>
      <c r="R101" s="13">
        <f>$I$32*$R$32</f>
        <v>0</v>
      </c>
      <c r="S101" s="13">
        <f>$I$32*$S$32</f>
        <v>0</v>
      </c>
      <c r="T101" s="13">
        <f>$I$32*$T$32</f>
        <v>0</v>
      </c>
      <c r="U101" s="13">
        <f>$I$32*$U$32</f>
        <v>0</v>
      </c>
      <c r="V101" s="13">
        <f>$I$32*$V$32</f>
        <v>0</v>
      </c>
      <c r="W101" s="13">
        <f>$I$32*$W$32</f>
        <v>0</v>
      </c>
      <c r="X101" s="13">
        <f>$I$32*$X$32</f>
        <v>0</v>
      </c>
      <c r="Y101" s="13">
        <f>$I$32*$Y$32</f>
        <v>0</v>
      </c>
      <c r="Z101" s="13">
        <f>$I$32*$Z$32</f>
        <v>0</v>
      </c>
      <c r="AA101" s="13">
        <f>$I$32*$AA$32</f>
        <v>1.5263998236321925E-7</v>
      </c>
      <c r="AB101" s="13">
        <f ca="1">$I$32*$AB$32</f>
        <v>-1.3879262955458576E-8</v>
      </c>
      <c r="AC101" s="13">
        <f ca="1">$I$32*$AC$32</f>
        <v>0</v>
      </c>
      <c r="AD101" s="13">
        <f>$I$32*$AD$32</f>
        <v>0</v>
      </c>
      <c r="AE101" s="13">
        <f>$I$32*$AE$32</f>
        <v>0</v>
      </c>
      <c r="AF101" s="13">
        <f ca="1">$I$32*$AF$32</f>
        <v>0</v>
      </c>
      <c r="AG101" s="13">
        <f ca="1">$I$32*$AG$32</f>
        <v>0</v>
      </c>
      <c r="AI101" s="13">
        <f>$I$32*$AI$32</f>
        <v>0</v>
      </c>
      <c r="AJ101" s="13">
        <f>$I$32*$AJ$32</f>
        <v>5.1424179533666097E-10</v>
      </c>
      <c r="AK101" s="13">
        <f>$I$32*$AK$32</f>
        <v>1.3581630320179301E-9</v>
      </c>
      <c r="AL101" s="13">
        <f>$I$32*$AL$32</f>
        <v>0</v>
      </c>
      <c r="AM101" s="13">
        <f>$I$32*$AM$32</f>
        <v>0</v>
      </c>
      <c r="AN101" s="13">
        <f>$I$32*$AN$32</f>
        <v>0</v>
      </c>
      <c r="AO101" s="13">
        <f>$I$32*$AO$32</f>
        <v>0</v>
      </c>
      <c r="AP101" s="13">
        <f>$I$32*$AP$32</f>
        <v>0</v>
      </c>
      <c r="AQ101" s="13">
        <f>$I$32*$AQ$32</f>
        <v>0</v>
      </c>
      <c r="AR101" s="13">
        <f>$I$32*$AR$32</f>
        <v>0</v>
      </c>
      <c r="AS101" s="13">
        <f>$I$32*$AS$32</f>
        <v>0</v>
      </c>
      <c r="AT101" s="13">
        <f>$I$32*$AT$32</f>
        <v>0</v>
      </c>
      <c r="AU101" s="13">
        <f>$I$32*$AU$32</f>
        <v>0</v>
      </c>
      <c r="AV101" s="13">
        <f>$I$32*$AV$32</f>
        <v>0</v>
      </c>
      <c r="AW101" s="13">
        <f>$I$32*$AW$32</f>
        <v>0</v>
      </c>
      <c r="AX101" s="13">
        <f>$I$32*$AX$32</f>
        <v>1.43342393614307E-7</v>
      </c>
      <c r="AY101" s="13">
        <f>$I$32*$AY$32</f>
        <v>0</v>
      </c>
      <c r="AZ101" s="13">
        <f>$I$32*$AZ$32</f>
        <v>0</v>
      </c>
      <c r="BA101" s="13">
        <f>$I$32*$BA$32</f>
        <v>0</v>
      </c>
      <c r="BB101" s="13">
        <f>$I$32*$BB$32</f>
        <v>0</v>
      </c>
      <c r="BC101" s="13">
        <f>$I$32*$BC$32</f>
        <v>0</v>
      </c>
      <c r="BD101" s="13">
        <f>$I$32*$BD$32</f>
        <v>0</v>
      </c>
    </row>
    <row r="102" spans="1:56" ht="11.25" customHeight="1" x14ac:dyDescent="0.25">
      <c r="A102" s="9" t="s">
        <v>95</v>
      </c>
      <c r="B102" s="9" t="s">
        <v>1122</v>
      </c>
      <c r="C102" s="9" t="s">
        <v>1123</v>
      </c>
      <c r="D102" s="9" t="s">
        <v>1124</v>
      </c>
      <c r="E102" s="9" t="s">
        <v>1128</v>
      </c>
      <c r="F102" s="9" t="s">
        <v>1129</v>
      </c>
      <c r="G102" s="9" t="s">
        <v>1130</v>
      </c>
      <c r="L102" s="13">
        <f>$I$33*$L$33</f>
        <v>0</v>
      </c>
      <c r="M102" s="13">
        <f>$I$33*$M$33</f>
        <v>5.1128085866159553E-10</v>
      </c>
      <c r="N102" s="13">
        <f ca="1">$I$33*$N$33</f>
        <v>1.4674934357570206E-9</v>
      </c>
      <c r="O102" s="13">
        <f>$I$33*$O$33</f>
        <v>0</v>
      </c>
      <c r="P102" s="13">
        <f>$I$33*$P$33</f>
        <v>0</v>
      </c>
      <c r="Q102" s="13">
        <f>$I$33*$Q$33</f>
        <v>0</v>
      </c>
      <c r="R102" s="13">
        <f>$I$33*$R$33</f>
        <v>0</v>
      </c>
      <c r="S102" s="13">
        <f>$I$33*$S$33</f>
        <v>0</v>
      </c>
      <c r="T102" s="13">
        <f>$I$33*$T$33</f>
        <v>0</v>
      </c>
      <c r="U102" s="13">
        <f>$I$33*$U$33</f>
        <v>0</v>
      </c>
      <c r="V102" s="13">
        <f>$I$33*$V$33</f>
        <v>0</v>
      </c>
      <c r="W102" s="13">
        <f>$I$33*$W$33</f>
        <v>0</v>
      </c>
      <c r="X102" s="13">
        <f>$I$33*$X$33</f>
        <v>0</v>
      </c>
      <c r="Y102" s="13">
        <f>$I$33*$Y$33</f>
        <v>0</v>
      </c>
      <c r="Z102" s="13">
        <f>$I$33*$Z$33</f>
        <v>0</v>
      </c>
      <c r="AA102" s="13">
        <f>$I$33*$AA$33</f>
        <v>3.4174961961595314E-7</v>
      </c>
      <c r="AB102" s="13">
        <f ca="1">$I$33*$AB$33</f>
        <v>-3.0853890294906251E-8</v>
      </c>
      <c r="AC102" s="13">
        <f ca="1">$I$33*$AC$33</f>
        <v>0</v>
      </c>
      <c r="AD102" s="13">
        <f>$I$33*$AD$33</f>
        <v>0</v>
      </c>
      <c r="AE102" s="13">
        <f>$I$33*$AE$33</f>
        <v>0</v>
      </c>
      <c r="AF102" s="13">
        <f ca="1">$I$33*$AF$33</f>
        <v>0</v>
      </c>
      <c r="AG102" s="13">
        <f ca="1">$I$33*$AG$33</f>
        <v>0</v>
      </c>
      <c r="AI102" s="13">
        <f>$I$33*$AI$33</f>
        <v>0</v>
      </c>
      <c r="AJ102" s="13">
        <f>$I$33*$AJ$33</f>
        <v>5.1424179533666097E-10</v>
      </c>
      <c r="AK102" s="13">
        <f>$I$33*$AK$33</f>
        <v>1.3581630320179301E-9</v>
      </c>
      <c r="AL102" s="13">
        <f>$I$33*$AL$33</f>
        <v>0</v>
      </c>
      <c r="AM102" s="13">
        <f>$I$33*$AM$33</f>
        <v>0</v>
      </c>
      <c r="AN102" s="13">
        <f>$I$33*$AN$33</f>
        <v>0</v>
      </c>
      <c r="AO102" s="13">
        <f>$I$33*$AO$33</f>
        <v>0</v>
      </c>
      <c r="AP102" s="13">
        <f>$I$33*$AP$33</f>
        <v>0</v>
      </c>
      <c r="AQ102" s="13">
        <f>$I$33*$AQ$33</f>
        <v>0</v>
      </c>
      <c r="AR102" s="13">
        <f>$I$33*$AR$33</f>
        <v>0</v>
      </c>
      <c r="AS102" s="13">
        <f>$I$33*$AS$33</f>
        <v>0</v>
      </c>
      <c r="AT102" s="13">
        <f>$I$33*$AT$33</f>
        <v>0</v>
      </c>
      <c r="AU102" s="13">
        <f>$I$33*$AU$33</f>
        <v>0</v>
      </c>
      <c r="AV102" s="13">
        <f>$I$33*$AV$33</f>
        <v>0</v>
      </c>
      <c r="AW102" s="13">
        <f>$I$33*$AW$33</f>
        <v>0</v>
      </c>
      <c r="AX102" s="13">
        <f>$I$33*$AX$33</f>
        <v>3.2093300676595098E-7</v>
      </c>
      <c r="AY102" s="13">
        <f>$I$33*$AY$33</f>
        <v>0</v>
      </c>
      <c r="AZ102" s="13">
        <f>$I$33*$AZ$33</f>
        <v>0</v>
      </c>
      <c r="BA102" s="13">
        <f>$I$33*$BA$33</f>
        <v>0</v>
      </c>
      <c r="BB102" s="13">
        <f>$I$33*$BB$33</f>
        <v>0</v>
      </c>
      <c r="BC102" s="13">
        <f>$I$33*$BC$33</f>
        <v>0</v>
      </c>
      <c r="BD102" s="13">
        <f>$I$33*$BD$33</f>
        <v>0</v>
      </c>
    </row>
    <row r="103" spans="1:56" ht="11.25" customHeight="1" x14ac:dyDescent="0.25">
      <c r="A103" s="9" t="s">
        <v>22</v>
      </c>
      <c r="B103" s="9" t="s">
        <v>1131</v>
      </c>
      <c r="C103" s="9" t="s">
        <v>1132</v>
      </c>
      <c r="D103" s="9" t="s">
        <v>1133</v>
      </c>
      <c r="E103" s="9" t="s">
        <v>1134</v>
      </c>
      <c r="F103" s="9" t="s">
        <v>1135</v>
      </c>
      <c r="G103" s="9" t="s">
        <v>1136</v>
      </c>
      <c r="L103" s="13">
        <f>$I$34*$L$34</f>
        <v>1034.1128335508097</v>
      </c>
      <c r="M103" s="13">
        <f>$I$34*$M$34</f>
        <v>63.437879254437874</v>
      </c>
      <c r="N103" s="13">
        <f ca="1">$I$34*$N$34</f>
        <v>631.64158061167086</v>
      </c>
      <c r="O103" s="13">
        <f>$I$34*$O$34</f>
        <v>0</v>
      </c>
      <c r="P103" s="13">
        <f>$I$34*$P$34</f>
        <v>0</v>
      </c>
      <c r="Q103" s="13">
        <f>$I$34*$Q$34</f>
        <v>2570.387541443401</v>
      </c>
      <c r="R103" s="13">
        <f>$I$34*$R$34</f>
        <v>951.41762176032432</v>
      </c>
      <c r="S103" s="13">
        <f>$I$34*$S$34</f>
        <v>0</v>
      </c>
      <c r="T103" s="13">
        <f>$I$34*$T$34</f>
        <v>2688.8011744841624</v>
      </c>
      <c r="U103" s="13">
        <f>$I$34*$U$34</f>
        <v>2937.3310448166349</v>
      </c>
      <c r="V103" s="13">
        <f>$I$34*$V$34</f>
        <v>252.82895102627234</v>
      </c>
      <c r="W103" s="13">
        <f>$I$34*$W$34</f>
        <v>0</v>
      </c>
      <c r="X103" s="13">
        <f>$I$34*$X$34</f>
        <v>0</v>
      </c>
      <c r="Y103" s="13">
        <f>$I$34*$Y$34</f>
        <v>0</v>
      </c>
      <c r="Z103" s="13">
        <f>$I$34*$Z$34</f>
        <v>0</v>
      </c>
      <c r="AA103" s="13">
        <f>$I$34*$AA$34</f>
        <v>55284.438014611093</v>
      </c>
      <c r="AB103" s="13">
        <f ca="1">$I$34*$AB$34</f>
        <v>-6137.4626329347029</v>
      </c>
      <c r="AC103" s="13">
        <f ca="1">$I$34*$AC$34</f>
        <v>0</v>
      </c>
      <c r="AD103" s="13">
        <f>$I$34*$AD$34</f>
        <v>1675.8539655491952</v>
      </c>
      <c r="AE103" s="13">
        <f>$I$34*$AE$34</f>
        <v>77.489923267942771</v>
      </c>
      <c r="AF103" s="13">
        <f ca="1">$I$34*$AF$34</f>
        <v>1618.9687399899985</v>
      </c>
      <c r="AG103" s="13">
        <f ca="1">$I$34*$AG$34</f>
        <v>592.17586367507522</v>
      </c>
      <c r="AI103" s="13">
        <f>$I$34*$AI$34</f>
        <v>1167.9372117828252</v>
      </c>
      <c r="AJ103" s="13">
        <f>$I$34*$AJ$34</f>
        <v>59.66007173338722</v>
      </c>
      <c r="AK103" s="13">
        <f>$I$34*$AK$34</f>
        <v>580.29028142764946</v>
      </c>
      <c r="AL103" s="13">
        <f>$I$34*$AL$34</f>
        <v>0</v>
      </c>
      <c r="AM103" s="13">
        <f>$I$34*$AM$34</f>
        <v>0</v>
      </c>
      <c r="AN103" s="13">
        <f>$I$34*$AN$34</f>
        <v>1316.316221573232</v>
      </c>
      <c r="AO103" s="13">
        <f>$I$34*$AO$34</f>
        <v>575.15366401835047</v>
      </c>
      <c r="AP103" s="13">
        <f>$I$34*$AP$34</f>
        <v>0</v>
      </c>
      <c r="AQ103" s="13">
        <f>$I$34*$AQ$34</f>
        <v>1774.2421270428299</v>
      </c>
      <c r="AR103" s="13">
        <f>$I$34*$AR$34</f>
        <v>2275.2108978708002</v>
      </c>
      <c r="AS103" s="13">
        <f>$I$34*$AS$34</f>
        <v>197.79886483620672</v>
      </c>
      <c r="AT103" s="13">
        <f>$I$34*$AT$34</f>
        <v>0</v>
      </c>
      <c r="AU103" s="13">
        <f>$I$34*$AU$34</f>
        <v>0</v>
      </c>
      <c r="AV103" s="13">
        <f>$I$34*$AV$34</f>
        <v>0</v>
      </c>
      <c r="AW103" s="13">
        <f>$I$34*$AW$34</f>
        <v>0</v>
      </c>
      <c r="AX103" s="13">
        <f>$I$34*$AX$34</f>
        <v>51916.958793790567</v>
      </c>
      <c r="AY103" s="13">
        <f>$I$34*$AY$34</f>
        <v>0</v>
      </c>
      <c r="AZ103" s="13">
        <f>$I$34*$AZ$34</f>
        <v>0</v>
      </c>
      <c r="BA103" s="13">
        <f>$I$34*$BA$34</f>
        <v>1086.2513274572129</v>
      </c>
      <c r="BB103" s="13">
        <f>$I$34*$BB$34</f>
        <v>46.381801682500225</v>
      </c>
      <c r="BC103" s="13">
        <f>$I$34*$BC$34</f>
        <v>1073.5308448158689</v>
      </c>
      <c r="BD103" s="13">
        <f>$I$34*$BD$34</f>
        <v>473.77756665309352</v>
      </c>
    </row>
    <row r="104" spans="1:56" ht="11.25" customHeight="1" x14ac:dyDescent="0.25">
      <c r="A104" s="9" t="s">
        <v>22</v>
      </c>
      <c r="B104" s="9" t="s">
        <v>1131</v>
      </c>
      <c r="C104" s="9" t="s">
        <v>1132</v>
      </c>
      <c r="D104" s="9" t="s">
        <v>1133</v>
      </c>
      <c r="E104" s="9" t="s">
        <v>1134</v>
      </c>
      <c r="F104" s="9" t="s">
        <v>1135</v>
      </c>
      <c r="G104" s="9" t="s">
        <v>1137</v>
      </c>
      <c r="L104" s="13">
        <f>$I$35*$L$35</f>
        <v>340.71065870677586</v>
      </c>
      <c r="M104" s="13">
        <f>$I$35*$M$35</f>
        <v>20.900970306620287</v>
      </c>
      <c r="N104" s="13">
        <f ca="1">$I$35*$N$35</f>
        <v>132.99501660847568</v>
      </c>
      <c r="O104" s="13">
        <f>$I$35*$O$35</f>
        <v>0</v>
      </c>
      <c r="P104" s="13">
        <f>$I$35*$P$35</f>
        <v>0</v>
      </c>
      <c r="Q104" s="13">
        <f>$I$35*$Q$35</f>
        <v>846.8693202170208</v>
      </c>
      <c r="R104" s="13">
        <f>$I$35*$R$35</f>
        <v>313.46494705238297</v>
      </c>
      <c r="S104" s="13">
        <f>$I$35*$S$35</f>
        <v>0</v>
      </c>
      <c r="T104" s="13">
        <f>$I$35*$T$35</f>
        <v>531.52993922981238</v>
      </c>
      <c r="U104" s="13">
        <f>$I$35*$U$35</f>
        <v>580.66071786100133</v>
      </c>
      <c r="V104" s="13">
        <f>$I$35*$V$35</f>
        <v>49.979413418871616</v>
      </c>
      <c r="W104" s="13">
        <f>$I$35*$W$35</f>
        <v>0</v>
      </c>
      <c r="X104" s="13">
        <f>$I$35*$X$35</f>
        <v>0</v>
      </c>
      <c r="Y104" s="13">
        <f>$I$35*$Y$35</f>
        <v>0</v>
      </c>
      <c r="Z104" s="13">
        <f>$I$35*$Z$35</f>
        <v>0</v>
      </c>
      <c r="AA104" s="13">
        <f>$I$35*$AA$35</f>
        <v>10928.787719210066</v>
      </c>
      <c r="AB104" s="13">
        <f ca="1">$I$35*$AB$35</f>
        <v>-1301.9635256959693</v>
      </c>
      <c r="AC104" s="13">
        <f ca="1">$I$35*$AC$35</f>
        <v>0</v>
      </c>
      <c r="AD104" s="13">
        <f>$I$35*$AD$35</f>
        <v>552.1460424565696</v>
      </c>
      <c r="AE104" s="13">
        <f>$I$35*$AE$35</f>
        <v>25.530717677203153</v>
      </c>
      <c r="AF104" s="13">
        <f ca="1">$I$35*$AF$35</f>
        <v>533.40398448944427</v>
      </c>
      <c r="AG104" s="13">
        <f ca="1">$I$35*$AG$35</f>
        <v>195.10504273523799</v>
      </c>
      <c r="AI104" s="13">
        <f>$I$35*$AI$35</f>
        <v>384.80197116239538</v>
      </c>
      <c r="AJ104" s="13">
        <f>$I$35*$AJ$35</f>
        <v>19.656290570324046</v>
      </c>
      <c r="AK104" s="13">
        <f>$I$35*$AK$35</f>
        <v>121.67224665449439</v>
      </c>
      <c r="AL104" s="13">
        <f>$I$35*$AL$35</f>
        <v>0</v>
      </c>
      <c r="AM104" s="13">
        <f>$I$35*$AM$35</f>
        <v>0</v>
      </c>
      <c r="AN104" s="13">
        <f>$I$35*$AN$35</f>
        <v>433.68861923769435</v>
      </c>
      <c r="AO104" s="13">
        <f>$I$35*$AO$35</f>
        <v>189.49671386674615</v>
      </c>
      <c r="AP104" s="13">
        <f>$I$35*$AP$35</f>
        <v>0</v>
      </c>
      <c r="AQ104" s="13">
        <f>$I$35*$AQ$35</f>
        <v>350.73727983883754</v>
      </c>
      <c r="AR104" s="13">
        <f>$I$35*$AR$35</f>
        <v>449.77075211667375</v>
      </c>
      <c r="AS104" s="13">
        <f>$I$35*$AS$35</f>
        <v>39.10102541383813</v>
      </c>
      <c r="AT104" s="13">
        <f>$I$35*$AT$35</f>
        <v>0</v>
      </c>
      <c r="AU104" s="13">
        <f>$I$35*$AU$35</f>
        <v>0</v>
      </c>
      <c r="AV104" s="13">
        <f>$I$35*$AV$35</f>
        <v>0</v>
      </c>
      <c r="AW104" s="13">
        <f>$I$35*$AW$35</f>
        <v>0</v>
      </c>
      <c r="AX104" s="13">
        <f>$I$35*$AX$35</f>
        <v>10263.094680176644</v>
      </c>
      <c r="AY104" s="13">
        <f>$I$35*$AY$35</f>
        <v>0</v>
      </c>
      <c r="AZ104" s="13">
        <f>$I$35*$AZ$35</f>
        <v>0</v>
      </c>
      <c r="BA104" s="13">
        <f>$I$35*$BA$35</f>
        <v>357.88880409525689</v>
      </c>
      <c r="BB104" s="13">
        <f>$I$35*$BB$35</f>
        <v>15.281479632150074</v>
      </c>
      <c r="BC104" s="13">
        <f>$I$35*$BC$35</f>
        <v>353.69776818583995</v>
      </c>
      <c r="BD104" s="13">
        <f>$I$35*$BD$35</f>
        <v>156.09618368297498</v>
      </c>
    </row>
    <row r="105" spans="1:56" ht="11.25" customHeight="1" x14ac:dyDescent="0.25">
      <c r="A105" s="9" t="s">
        <v>22</v>
      </c>
      <c r="B105" s="9" t="s">
        <v>1131</v>
      </c>
      <c r="C105" s="9" t="s">
        <v>1132</v>
      </c>
      <c r="D105" s="9" t="s">
        <v>1133</v>
      </c>
      <c r="E105" s="9" t="s">
        <v>1134</v>
      </c>
      <c r="F105" s="9" t="s">
        <v>1135</v>
      </c>
      <c r="G105" s="9" t="s">
        <v>1138</v>
      </c>
      <c r="L105" s="13">
        <f>$I$36*$L$36</f>
        <v>9853.9738070344411</v>
      </c>
      <c r="M105" s="13">
        <f>$I$36*$M$36</f>
        <v>604.49419083273597</v>
      </c>
      <c r="N105" s="13">
        <f ca="1">$I$36*$N$36</f>
        <v>1674.0571957417544</v>
      </c>
      <c r="O105" s="13">
        <f>$I$36*$O$36</f>
        <v>0</v>
      </c>
      <c r="P105" s="13">
        <f>$I$36*$P$36</f>
        <v>0</v>
      </c>
      <c r="Q105" s="13">
        <f>$I$36*$Q$36</f>
        <v>24493.005681344199</v>
      </c>
      <c r="R105" s="13">
        <f>$I$36*$R$36</f>
        <v>9065.9781217352029</v>
      </c>
      <c r="S105" s="13">
        <f>$I$36*$S$36</f>
        <v>0</v>
      </c>
      <c r="T105" s="13">
        <f>$I$36*$T$36</f>
        <v>5124.271836896909</v>
      </c>
      <c r="U105" s="13">
        <f>$I$36*$U$36</f>
        <v>5597.9551978290692</v>
      </c>
      <c r="V105" s="13">
        <f>$I$36*$V$36</f>
        <v>481.80591672119135</v>
      </c>
      <c r="W105" s="13">
        <f>$I$36*$W$36</f>
        <v>0</v>
      </c>
      <c r="X105" s="13">
        <f>$I$36*$X$36</f>
        <v>0</v>
      </c>
      <c r="Y105" s="13">
        <f>$I$36*$Y$36</f>
        <v>0</v>
      </c>
      <c r="Z105" s="13">
        <f>$I$36*$Z$36</f>
        <v>0</v>
      </c>
      <c r="AA105" s="13">
        <f>$I$36*$AA$36</f>
        <v>105360.15939595058</v>
      </c>
      <c r="AB105" s="13">
        <f ca="1">$I$36*$AB$36</f>
        <v>-16826.952531931121</v>
      </c>
      <c r="AC105" s="13">
        <f ca="1">$I$36*$AC$36</f>
        <v>0</v>
      </c>
      <c r="AD105" s="13">
        <f>$I$36*$AD$36</f>
        <v>15969.070825891831</v>
      </c>
      <c r="AE105" s="13">
        <f>$I$36*$AE$36</f>
        <v>738.39493082154002</v>
      </c>
      <c r="AF105" s="13">
        <f ca="1">$I$36*$AF$36</f>
        <v>15427.016318413342</v>
      </c>
      <c r="AG105" s="13">
        <f ca="1">$I$36*$AG$36</f>
        <v>5642.7937653338104</v>
      </c>
      <c r="AI105" s="13">
        <f>$I$36*$AI$36</f>
        <v>11129.174998874365</v>
      </c>
      <c r="AJ105" s="13">
        <f>$I$36*$AJ$36</f>
        <v>568.49578219426337</v>
      </c>
      <c r="AK105" s="13">
        <f>$I$36*$AK$36</f>
        <v>1508.4291020020307</v>
      </c>
      <c r="AL105" s="13">
        <f>$I$36*$AL$36</f>
        <v>0</v>
      </c>
      <c r="AM105" s="13">
        <f>$I$36*$AM$36</f>
        <v>0</v>
      </c>
      <c r="AN105" s="13">
        <f>$I$36*$AN$36</f>
        <v>12543.066044949017</v>
      </c>
      <c r="AO105" s="13">
        <f>$I$36*$AO$36</f>
        <v>5480.5906632027563</v>
      </c>
      <c r="AP105" s="13">
        <f>$I$36*$AP$36</f>
        <v>0</v>
      </c>
      <c r="AQ105" s="13">
        <f>$I$36*$AQ$36</f>
        <v>3381.3206605675691</v>
      </c>
      <c r="AR105" s="13">
        <f>$I$36*$AR$36</f>
        <v>4336.0889452241781</v>
      </c>
      <c r="AS105" s="13">
        <f>$I$36*$AS$36</f>
        <v>376.93730489320694</v>
      </c>
      <c r="AT105" s="13">
        <f>$I$36*$AT$36</f>
        <v>0</v>
      </c>
      <c r="AU105" s="13">
        <f>$I$36*$AU$36</f>
        <v>0</v>
      </c>
      <c r="AV105" s="13">
        <f>$I$36*$AV$36</f>
        <v>0</v>
      </c>
      <c r="AW105" s="13">
        <f>$I$36*$AW$36</f>
        <v>0</v>
      </c>
      <c r="AX105" s="13">
        <f>$I$36*$AX$36</f>
        <v>98942.473692526197</v>
      </c>
      <c r="AY105" s="13">
        <f>$I$36*$AY$36</f>
        <v>0</v>
      </c>
      <c r="AZ105" s="13">
        <f>$I$36*$AZ$36</f>
        <v>0</v>
      </c>
      <c r="BA105" s="13">
        <f>$I$36*$BA$36</f>
        <v>10350.797109698424</v>
      </c>
      <c r="BB105" s="13">
        <f>$I$36*$BB$36</f>
        <v>441.96826891034516</v>
      </c>
      <c r="BC105" s="13">
        <f>$I$36*$BC$36</f>
        <v>10229.584705506286</v>
      </c>
      <c r="BD105" s="13">
        <f>$I$36*$BD$36</f>
        <v>4514.586397820498</v>
      </c>
    </row>
    <row r="106" spans="1:56" ht="11.25" customHeight="1" x14ac:dyDescent="0.25">
      <c r="A106" s="9" t="s">
        <v>22</v>
      </c>
      <c r="B106" s="9" t="s">
        <v>1139</v>
      </c>
      <c r="C106" s="9" t="s">
        <v>1140</v>
      </c>
      <c r="D106" s="9" t="s">
        <v>1141</v>
      </c>
      <c r="E106" s="9" t="s">
        <v>1142</v>
      </c>
      <c r="F106" s="9" t="s">
        <v>1143</v>
      </c>
      <c r="G106" s="9" t="s">
        <v>1144</v>
      </c>
      <c r="L106" s="13">
        <f>$I$37*$L$37</f>
        <v>8871427.9106036704</v>
      </c>
      <c r="M106" s="13">
        <f>$I$37*$M$37</f>
        <v>544219.69667942834</v>
      </c>
      <c r="N106" s="13">
        <f ca="1">$I$37*$N$37</f>
        <v>2081455.5374783811</v>
      </c>
      <c r="O106" s="13">
        <f>$I$37*$O$37</f>
        <v>0</v>
      </c>
      <c r="P106" s="13">
        <f>$I$37*$P$37</f>
        <v>0</v>
      </c>
      <c r="Q106" s="13">
        <f>$I$37*$Q$37</f>
        <v>22050792.753369831</v>
      </c>
      <c r="R106" s="13">
        <f>$I$37*$R$37</f>
        <v>8162003.7683344334</v>
      </c>
      <c r="S106" s="13">
        <f>$I$37*$S$37</f>
        <v>0</v>
      </c>
      <c r="T106" s="13">
        <f>$I$37*$T$37</f>
        <v>7322761.6664053313</v>
      </c>
      <c r="U106" s="13">
        <f>$I$37*$U$37</f>
        <v>7999622.0236180713</v>
      </c>
      <c r="V106" s="13">
        <f>$I$37*$V$37</f>
        <v>688598.0221706985</v>
      </c>
      <c r="W106" s="13">
        <f>$I$37*$W$37</f>
        <v>0</v>
      </c>
      <c r="X106" s="13">
        <f>$I$37*$X$37</f>
        <v>0</v>
      </c>
      <c r="Y106" s="13">
        <f>$I$37*$Y$37</f>
        <v>0</v>
      </c>
      <c r="Z106" s="13">
        <f>$I$37*$Z$37</f>
        <v>0</v>
      </c>
      <c r="AA106" s="13">
        <f>$I$37*$AA$37</f>
        <v>150562887.71269602</v>
      </c>
      <c r="AB106" s="13">
        <f ca="1">$I$37*$AB$37</f>
        <v>-20655499.432021953</v>
      </c>
      <c r="AC106" s="13">
        <f ca="1">$I$37*$AC$37</f>
        <v>0</v>
      </c>
      <c r="AD106" s="13">
        <f>$I$37*$AD$37</f>
        <v>14376784.777943183</v>
      </c>
      <c r="AE106" s="13">
        <f>$I$37*$AE$37</f>
        <v>664769.11006828502</v>
      </c>
      <c r="AF106" s="13">
        <f ca="1">$I$37*$AF$37</f>
        <v>13888778.864706397</v>
      </c>
      <c r="AG106" s="13">
        <f ca="1">$I$37*$AG$37</f>
        <v>5080147.2668647384</v>
      </c>
      <c r="AI106" s="13">
        <f>$I$37*$AI$37</f>
        <v>10019477.993388331</v>
      </c>
      <c r="AJ106" s="13">
        <f>$I$37*$AJ$37</f>
        <v>511810.71189963486</v>
      </c>
      <c r="AK106" s="13">
        <f>$I$37*$AK$37</f>
        <v>1889554.6734132483</v>
      </c>
      <c r="AL106" s="13">
        <f>$I$37*$AL$37</f>
        <v>0</v>
      </c>
      <c r="AM106" s="13">
        <f>$I$37*$AM$37</f>
        <v>0</v>
      </c>
      <c r="AN106" s="13">
        <f>$I$37*$AN$37</f>
        <v>11292389.078228546</v>
      </c>
      <c r="AO106" s="13">
        <f>$I$37*$AO$37</f>
        <v>4934117.5375788044</v>
      </c>
      <c r="AP106" s="13">
        <f>$I$37*$AP$37</f>
        <v>0</v>
      </c>
      <c r="AQ106" s="13">
        <f>$I$37*$AQ$37</f>
        <v>4832024.1593628414</v>
      </c>
      <c r="AR106" s="13">
        <f>$I$37*$AR$37</f>
        <v>6196382.6784526613</v>
      </c>
      <c r="AS106" s="13">
        <f>$I$37*$AS$37</f>
        <v>538719.58318439568</v>
      </c>
      <c r="AT106" s="13">
        <f>$I$37*$AT$37</f>
        <v>0</v>
      </c>
      <c r="AU106" s="13">
        <f>$I$37*$AU$37</f>
        <v>0</v>
      </c>
      <c r="AV106" s="13">
        <f>$I$37*$AV$37</f>
        <v>0</v>
      </c>
      <c r="AW106" s="13">
        <f>$I$37*$AW$37</f>
        <v>0</v>
      </c>
      <c r="AX106" s="13">
        <f>$I$37*$AX$37</f>
        <v>141391818.71014452</v>
      </c>
      <c r="AY106" s="13">
        <f>$I$37*$AY$37</f>
        <v>0</v>
      </c>
      <c r="AZ106" s="13">
        <f>$I$37*$AZ$37</f>
        <v>0</v>
      </c>
      <c r="BA106" s="13">
        <f>$I$37*$BA$37</f>
        <v>9318712.6507706419</v>
      </c>
      <c r="BB106" s="13">
        <f>$I$37*$BB$37</f>
        <v>397899.33616562129</v>
      </c>
      <c r="BC106" s="13">
        <f>$I$37*$BC$37</f>
        <v>9209586.4112738557</v>
      </c>
      <c r="BD106" s="13">
        <f>$I$37*$BD$37</f>
        <v>4064434.162171755</v>
      </c>
    </row>
    <row r="107" spans="1:56" ht="11.25" customHeight="1" x14ac:dyDescent="0.25">
      <c r="A107" s="9" t="s">
        <v>22</v>
      </c>
      <c r="B107" s="9" t="s">
        <v>1139</v>
      </c>
      <c r="C107" s="9" t="s">
        <v>1140</v>
      </c>
      <c r="D107" s="9" t="s">
        <v>1145</v>
      </c>
      <c r="E107" s="9" t="s">
        <v>1146</v>
      </c>
      <c r="F107" s="9" t="s">
        <v>1147</v>
      </c>
      <c r="G107" s="9" t="s">
        <v>1148</v>
      </c>
      <c r="L107" s="13">
        <f>$I$38*$L$38</f>
        <v>0</v>
      </c>
      <c r="M107" s="13">
        <f>$I$38*$M$38</f>
        <v>9930.5417936772483</v>
      </c>
      <c r="N107" s="13">
        <f ca="1">$I$38*$N$38</f>
        <v>37888.553572734272</v>
      </c>
      <c r="O107" s="13">
        <f>$I$38*$O$38</f>
        <v>0</v>
      </c>
      <c r="P107" s="13">
        <f>$I$38*$P$38</f>
        <v>0</v>
      </c>
      <c r="Q107" s="13">
        <f>$I$38*$Q$38</f>
        <v>0</v>
      </c>
      <c r="R107" s="13">
        <f>$I$38*$R$38</f>
        <v>0</v>
      </c>
      <c r="S107" s="13">
        <f>$I$38*$S$38</f>
        <v>0</v>
      </c>
      <c r="T107" s="13">
        <f>$I$38*$T$38</f>
        <v>133620.65213198413</v>
      </c>
      <c r="U107" s="13">
        <f>$I$38*$U$38</f>
        <v>145971.5282704194</v>
      </c>
      <c r="V107" s="13">
        <f>$I$38*$V$38</f>
        <v>12565.056869372398</v>
      </c>
      <c r="W107" s="13">
        <f>$I$38*$W$38</f>
        <v>0</v>
      </c>
      <c r="X107" s="13">
        <f>$I$38*$X$38</f>
        <v>0</v>
      </c>
      <c r="Y107" s="13">
        <f>$I$38*$Y$38</f>
        <v>0</v>
      </c>
      <c r="Z107" s="13">
        <f>$I$38*$Z$38</f>
        <v>0</v>
      </c>
      <c r="AA107" s="13">
        <f>$I$38*$AA$38</f>
        <v>2747366.6574923517</v>
      </c>
      <c r="AB107" s="13">
        <f ca="1">$I$38*$AB$38</f>
        <v>-324337.27965577465</v>
      </c>
      <c r="AC107" s="13">
        <f ca="1">$I$38*$AC$38</f>
        <v>0</v>
      </c>
      <c r="AD107" s="13">
        <f>$I$38*$AD$38</f>
        <v>262337.55038117571</v>
      </c>
      <c r="AE107" s="13">
        <f>$I$38*$AE$38</f>
        <v>12130.243486147374</v>
      </c>
      <c r="AF107" s="13">
        <f ca="1">$I$38*$AF$38</f>
        <v>253432.75853602833</v>
      </c>
      <c r="AG107" s="13">
        <f ca="1">$I$38*$AG$38</f>
        <v>92698.987301358575</v>
      </c>
      <c r="AI107" s="13">
        <f>$I$38*$AI$38</f>
        <v>0</v>
      </c>
      <c r="AJ107" s="13">
        <f>$I$38*$AJ$38</f>
        <v>9339.1652231302978</v>
      </c>
      <c r="AK107" s="13">
        <f>$I$38*$AK$38</f>
        <v>34393.764013411674</v>
      </c>
      <c r="AL107" s="13">
        <f>$I$38*$AL$38</f>
        <v>0</v>
      </c>
      <c r="AM107" s="13">
        <f>$I$38*$AM$38</f>
        <v>0</v>
      </c>
      <c r="AN107" s="13">
        <f>$I$38*$AN$38</f>
        <v>0</v>
      </c>
      <c r="AO107" s="13">
        <f>$I$38*$AO$38</f>
        <v>0</v>
      </c>
      <c r="AP107" s="13">
        <f>$I$38*$AP$38</f>
        <v>0</v>
      </c>
      <c r="AQ107" s="13">
        <f>$I$38*$AQ$38</f>
        <v>88171.409736528265</v>
      </c>
      <c r="AR107" s="13">
        <f>$I$38*$AR$38</f>
        <v>113067.27326011909</v>
      </c>
      <c r="AS107" s="13">
        <f>$I$38*$AS$38</f>
        <v>9830.1795552914464</v>
      </c>
      <c r="AT107" s="13">
        <f>$I$38*$AT$38</f>
        <v>0</v>
      </c>
      <c r="AU107" s="13">
        <f>$I$38*$AU$38</f>
        <v>0</v>
      </c>
      <c r="AV107" s="13">
        <f>$I$38*$AV$38</f>
        <v>0</v>
      </c>
      <c r="AW107" s="13">
        <f>$I$38*$AW$38</f>
        <v>0</v>
      </c>
      <c r="AX107" s="13">
        <f>$I$38*$AX$38</f>
        <v>2580019.3810556093</v>
      </c>
      <c r="AY107" s="13">
        <f>$I$38*$AY$38</f>
        <v>0</v>
      </c>
      <c r="AZ107" s="13">
        <f>$I$38*$AZ$38</f>
        <v>0</v>
      </c>
      <c r="BA107" s="13">
        <f>$I$38*$BA$38</f>
        <v>170041.37484619062</v>
      </c>
      <c r="BB107" s="13">
        <f>$I$38*$BB$38</f>
        <v>7260.5898161687983</v>
      </c>
      <c r="BC107" s="13">
        <f>$I$38*$BC$38</f>
        <v>168050.11527083509</v>
      </c>
      <c r="BD107" s="13">
        <f>$I$38*$BD$38</f>
        <v>74164.962351356065</v>
      </c>
    </row>
    <row r="108" spans="1:56" ht="11.25" customHeight="1" x14ac:dyDescent="0.25">
      <c r="A108" s="9" t="s">
        <v>22</v>
      </c>
      <c r="B108" s="9" t="s">
        <v>1139</v>
      </c>
      <c r="C108" s="9" t="s">
        <v>1140</v>
      </c>
      <c r="D108" s="9" t="s">
        <v>1149</v>
      </c>
      <c r="E108" s="9" t="s">
        <v>1150</v>
      </c>
      <c r="F108" s="9" t="s">
        <v>1151</v>
      </c>
      <c r="G108" s="9" t="s">
        <v>1152</v>
      </c>
      <c r="L108" s="13">
        <f>$I$39*$L$39</f>
        <v>0</v>
      </c>
      <c r="M108" s="13">
        <f>$I$39*$M$39</f>
        <v>32311.172178547706</v>
      </c>
      <c r="N108" s="13">
        <f ca="1">$I$39*$N$39</f>
        <v>123278.62905367419</v>
      </c>
      <c r="O108" s="13">
        <f>$I$39*$O$39</f>
        <v>0</v>
      </c>
      <c r="P108" s="13">
        <f>$I$39*$P$39</f>
        <v>0</v>
      </c>
      <c r="Q108" s="13">
        <f>$I$39*$Q$39</f>
        <v>0</v>
      </c>
      <c r="R108" s="13">
        <f>$I$39*$R$39</f>
        <v>0</v>
      </c>
      <c r="S108" s="13">
        <f>$I$39*$S$39</f>
        <v>0</v>
      </c>
      <c r="T108" s="13">
        <f>$I$39*$T$39</f>
        <v>434763.78100490646</v>
      </c>
      <c r="U108" s="13">
        <f>$I$39*$U$39</f>
        <v>474950.03607096802</v>
      </c>
      <c r="V108" s="13">
        <f>$I$39*$V$39</f>
        <v>40883.138541144763</v>
      </c>
      <c r="W108" s="13">
        <f>$I$39*$W$39</f>
        <v>0</v>
      </c>
      <c r="X108" s="13">
        <f>$I$39*$X$39</f>
        <v>0</v>
      </c>
      <c r="Y108" s="13">
        <f>$I$39*$Y$39</f>
        <v>0</v>
      </c>
      <c r="Z108" s="13">
        <f>$I$39*$Z$39</f>
        <v>0</v>
      </c>
      <c r="AA108" s="13">
        <f>$I$39*$AA$39</f>
        <v>8939153.467372397</v>
      </c>
      <c r="AB108" s="13">
        <f ca="1">$I$39*$AB$39</f>
        <v>-1055301.7050441219</v>
      </c>
      <c r="AC108" s="13">
        <f ca="1">$I$39*$AC$39</f>
        <v>0</v>
      </c>
      <c r="AD108" s="13">
        <f>$I$39*$AD$39</f>
        <v>853572.13487198914</v>
      </c>
      <c r="AE108" s="13">
        <f>$I$39*$AE$39</f>
        <v>39468.378865105158</v>
      </c>
      <c r="AF108" s="13">
        <f ca="1">$I$39*$AF$39</f>
        <v>824598.46268968412</v>
      </c>
      <c r="AG108" s="13">
        <f ca="1">$I$39*$AG$39</f>
        <v>301616.26643354434</v>
      </c>
      <c r="AI108" s="13">
        <f>$I$39*$AI$39</f>
        <v>0</v>
      </c>
      <c r="AJ108" s="13">
        <f>$I$39*$AJ$39</f>
        <v>30387.000205829358</v>
      </c>
      <c r="AK108" s="13">
        <f>$I$39*$AK$39</f>
        <v>111907.573020159</v>
      </c>
      <c r="AL108" s="13">
        <f>$I$39*$AL$39</f>
        <v>0</v>
      </c>
      <c r="AM108" s="13">
        <f>$I$39*$AM$39</f>
        <v>0</v>
      </c>
      <c r="AN108" s="13">
        <f>$I$39*$AN$39</f>
        <v>0</v>
      </c>
      <c r="AO108" s="13">
        <f>$I$39*$AO$39</f>
        <v>0</v>
      </c>
      <c r="AP108" s="13">
        <f>$I$39*$AP$39</f>
        <v>0</v>
      </c>
      <c r="AQ108" s="13">
        <f>$I$39*$AQ$39</f>
        <v>286884.81055848784</v>
      </c>
      <c r="AR108" s="13">
        <f>$I$39*$AR$39</f>
        <v>367888.90374467609</v>
      </c>
      <c r="AS108" s="13">
        <f>$I$39*$AS$39</f>
        <v>31984.621862151802</v>
      </c>
      <c r="AT108" s="13">
        <f>$I$39*$AT$39</f>
        <v>0</v>
      </c>
      <c r="AU108" s="13">
        <f>$I$39*$AU$39</f>
        <v>0</v>
      </c>
      <c r="AV108" s="13">
        <f>$I$39*$AV$39</f>
        <v>0</v>
      </c>
      <c r="AW108" s="13">
        <f>$I$39*$AW$39</f>
        <v>0</v>
      </c>
      <c r="AX108" s="13">
        <f>$I$39*$AX$39</f>
        <v>8394652.7971268389</v>
      </c>
      <c r="AY108" s="13">
        <f>$I$39*$AY$39</f>
        <v>0</v>
      </c>
      <c r="AZ108" s="13">
        <f>$I$39*$AZ$39</f>
        <v>0</v>
      </c>
      <c r="BA108" s="13">
        <f>$I$39*$BA$39</f>
        <v>553266.50391123677</v>
      </c>
      <c r="BB108" s="13">
        <f>$I$39*$BB$39</f>
        <v>23623.904167787554</v>
      </c>
      <c r="BC108" s="13">
        <f>$I$39*$BC$39</f>
        <v>546787.50887468865</v>
      </c>
      <c r="BD108" s="13">
        <f>$I$39*$BD$39</f>
        <v>241311.79526135491</v>
      </c>
    </row>
    <row r="109" spans="1:56" ht="11.25" customHeight="1" x14ac:dyDescent="0.25">
      <c r="A109" s="9" t="s">
        <v>22</v>
      </c>
      <c r="B109" s="9" t="s">
        <v>1139</v>
      </c>
      <c r="C109" s="9" t="s">
        <v>1140</v>
      </c>
      <c r="D109" s="9" t="s">
        <v>1153</v>
      </c>
      <c r="E109" s="9" t="s">
        <v>1154</v>
      </c>
      <c r="F109" s="9" t="s">
        <v>1155</v>
      </c>
      <c r="G109" s="9" t="s">
        <v>1156</v>
      </c>
      <c r="L109" s="13">
        <f>$I$40*$L$40</f>
        <v>0</v>
      </c>
      <c r="M109" s="13">
        <f>$I$40*$M$40</f>
        <v>39470.145422931033</v>
      </c>
      <c r="N109" s="13">
        <f ca="1">$I$40*$N$40</f>
        <v>150592.66155372254</v>
      </c>
      <c r="O109" s="13">
        <f>$I$40*$O$40</f>
        <v>0</v>
      </c>
      <c r="P109" s="13">
        <f>$I$40*$P$40</f>
        <v>0</v>
      </c>
      <c r="Q109" s="13">
        <f>$I$40*$Q$40</f>
        <v>0</v>
      </c>
      <c r="R109" s="13">
        <f>$I$40*$R$40</f>
        <v>0</v>
      </c>
      <c r="S109" s="13">
        <f>$I$40*$S$40</f>
        <v>0</v>
      </c>
      <c r="T109" s="13">
        <f>$I$40*$T$40</f>
        <v>531091.52357772179</v>
      </c>
      <c r="U109" s="13">
        <f>$I$40*$U$40</f>
        <v>580181.58204714314</v>
      </c>
      <c r="V109" s="13">
        <f>$I$40*$V$40</f>
        <v>49941.345818341331</v>
      </c>
      <c r="W109" s="13">
        <f>$I$40*$W$40</f>
        <v>0</v>
      </c>
      <c r="X109" s="13">
        <f>$I$40*$X$40</f>
        <v>0</v>
      </c>
      <c r="Y109" s="13">
        <f>$I$40*$Y$40</f>
        <v>0</v>
      </c>
      <c r="Z109" s="13">
        <f>$I$40*$Z$40</f>
        <v>0</v>
      </c>
      <c r="AA109" s="13">
        <f>$I$40*$AA$40</f>
        <v>10919742.724448115</v>
      </c>
      <c r="AB109" s="13">
        <f ca="1">$I$40*$AB$40</f>
        <v>-1289117.9414039673</v>
      </c>
      <c r="AC109" s="13">
        <f ca="1">$I$40*$AC$40</f>
        <v>0</v>
      </c>
      <c r="AD109" s="13">
        <f>$I$40*$AD$40</f>
        <v>1042692.4812937381</v>
      </c>
      <c r="AE109" s="13">
        <f>$I$40*$AE$40</f>
        <v>48213.127174857502</v>
      </c>
      <c r="AF109" s="13">
        <f ca="1">$I$40*$AF$40</f>
        <v>1007299.3037218278</v>
      </c>
      <c r="AG109" s="13">
        <f ca="1">$I$40*$AG$40</f>
        <v>368443.3926528194</v>
      </c>
      <c r="AI109" s="13">
        <f>$I$40*$AI$40</f>
        <v>0</v>
      </c>
      <c r="AJ109" s="13">
        <f>$I$40*$AJ$40</f>
        <v>37119.647361076772</v>
      </c>
      <c r="AK109" s="13">
        <f>$I$40*$AK$40</f>
        <v>136702.19565619895</v>
      </c>
      <c r="AL109" s="13">
        <f>$I$40*$AL$40</f>
        <v>0</v>
      </c>
      <c r="AM109" s="13">
        <f>$I$40*$AM$40</f>
        <v>0</v>
      </c>
      <c r="AN109" s="13">
        <f>$I$40*$AN$40</f>
        <v>0</v>
      </c>
      <c r="AO109" s="13">
        <f>$I$40*$AO$40</f>
        <v>0</v>
      </c>
      <c r="AP109" s="13">
        <f>$I$40*$AP$40</f>
        <v>0</v>
      </c>
      <c r="AQ109" s="13">
        <f>$I$40*$AQ$40</f>
        <v>350447.98529133707</v>
      </c>
      <c r="AR109" s="13">
        <f>$I$40*$AR$40</f>
        <v>449399.62097462226</v>
      </c>
      <c r="AS109" s="13">
        <f>$I$40*$AS$40</f>
        <v>39071.243507369822</v>
      </c>
      <c r="AT109" s="13">
        <f>$I$40*$AT$40</f>
        <v>0</v>
      </c>
      <c r="AU109" s="13">
        <f>$I$40*$AU$40</f>
        <v>0</v>
      </c>
      <c r="AV109" s="13">
        <f>$I$40*$AV$40</f>
        <v>0</v>
      </c>
      <c r="AW109" s="13">
        <f>$I$40*$AW$40</f>
        <v>0</v>
      </c>
      <c r="AX109" s="13">
        <f>$I$40*$AX$40</f>
        <v>10254600.633077508</v>
      </c>
      <c r="AY109" s="13">
        <f>$I$40*$AY$40</f>
        <v>0</v>
      </c>
      <c r="AZ109" s="13">
        <f>$I$40*$AZ$40</f>
        <v>0</v>
      </c>
      <c r="BA109" s="13">
        <f>$I$40*$BA$40</f>
        <v>675850.11296840978</v>
      </c>
      <c r="BB109" s="13">
        <f>$I$40*$BB$40</f>
        <v>28858.09675388482</v>
      </c>
      <c r="BC109" s="13">
        <f>$I$40*$BC$40</f>
        <v>667935.60974723299</v>
      </c>
      <c r="BD109" s="13">
        <f>$I$40*$BD$40</f>
        <v>294777.65766597289</v>
      </c>
    </row>
    <row r="110" spans="1:56" ht="11.25" customHeight="1" x14ac:dyDescent="0.25">
      <c r="A110" s="9" t="s">
        <v>22</v>
      </c>
      <c r="B110" s="9" t="s">
        <v>1139</v>
      </c>
      <c r="C110" s="9" t="s">
        <v>1140</v>
      </c>
      <c r="D110" s="9" t="s">
        <v>1157</v>
      </c>
      <c r="E110" s="9" t="s">
        <v>1158</v>
      </c>
      <c r="F110" s="9" t="s">
        <v>1159</v>
      </c>
      <c r="G110" s="9" t="s">
        <v>1160</v>
      </c>
      <c r="L110" s="13">
        <f>$I$41*$L$41</f>
        <v>0</v>
      </c>
      <c r="M110" s="13">
        <f>$I$41*$M$41</f>
        <v>22348.095827698791</v>
      </c>
      <c r="N110" s="13">
        <f ca="1">$I$41*$N$41</f>
        <v>85265.944558581919</v>
      </c>
      <c r="O110" s="13">
        <f>$I$41*$O$41</f>
        <v>0</v>
      </c>
      <c r="P110" s="13">
        <f>$I$41*$P$41</f>
        <v>0</v>
      </c>
      <c r="Q110" s="13">
        <f>$I$41*$Q$41</f>
        <v>0</v>
      </c>
      <c r="R110" s="13">
        <f>$I$41*$R$41</f>
        <v>0</v>
      </c>
      <c r="S110" s="13">
        <f>$I$41*$S$41</f>
        <v>0</v>
      </c>
      <c r="T110" s="13">
        <f>$I$41*$T$41</f>
        <v>300705.35932958574</v>
      </c>
      <c r="U110" s="13">
        <f>$I$41*$U$41</f>
        <v>328500.27417235193</v>
      </c>
      <c r="V110" s="13">
        <f>$I$41*$V$41</f>
        <v>28276.915885496528</v>
      </c>
      <c r="W110" s="13">
        <f>$I$41*$W$41</f>
        <v>0</v>
      </c>
      <c r="X110" s="13">
        <f>$I$41*$X$41</f>
        <v>0</v>
      </c>
      <c r="Y110" s="13">
        <f>$I$41*$Y$41</f>
        <v>0</v>
      </c>
      <c r="Z110" s="13">
        <f>$I$41*$Z$41</f>
        <v>0</v>
      </c>
      <c r="AA110" s="13">
        <f>$I$41*$AA$41</f>
        <v>6182785.855103679</v>
      </c>
      <c r="AB110" s="13">
        <f ca="1">$I$41*$AB$41</f>
        <v>-729901.82779930322</v>
      </c>
      <c r="AC110" s="13">
        <f ca="1">$I$41*$AC$41</f>
        <v>0</v>
      </c>
      <c r="AD110" s="13">
        <f>$I$41*$AD$41</f>
        <v>590375.11113996513</v>
      </c>
      <c r="AE110" s="13">
        <f>$I$41*$AE$41</f>
        <v>27298.394133373626</v>
      </c>
      <c r="AF110" s="13">
        <f ca="1">$I$41*$AF$41</f>
        <v>570335.40478600061</v>
      </c>
      <c r="AG110" s="13">
        <f ca="1">$I$41*$AG$41</f>
        <v>208613.5776257854</v>
      </c>
      <c r="AI110" s="13">
        <f>$I$41*$AI$41</f>
        <v>0</v>
      </c>
      <c r="AJ110" s="13">
        <f>$I$41*$AJ$41</f>
        <v>21017.237900364547</v>
      </c>
      <c r="AK110" s="13">
        <f>$I$41*$AK$41</f>
        <v>77401.127754818721</v>
      </c>
      <c r="AL110" s="13">
        <f>$I$41*$AL$41</f>
        <v>0</v>
      </c>
      <c r="AM110" s="13">
        <f>$I$41*$AM$41</f>
        <v>0</v>
      </c>
      <c r="AN110" s="13">
        <f>$I$41*$AN$41</f>
        <v>0</v>
      </c>
      <c r="AO110" s="13">
        <f>$I$41*$AO$41</f>
        <v>0</v>
      </c>
      <c r="AP110" s="13">
        <f>$I$41*$AP$41</f>
        <v>0</v>
      </c>
      <c r="AQ110" s="13">
        <f>$I$41*$AQ$41</f>
        <v>198424.53261813085</v>
      </c>
      <c r="AR110" s="13">
        <f>$I$41*$AR$41</f>
        <v>254451.19816147126</v>
      </c>
      <c r="AS110" s="13">
        <f>$I$41*$AS$41</f>
        <v>22122.236557627919</v>
      </c>
      <c r="AT110" s="13">
        <f>$I$41*$AT$41</f>
        <v>0</v>
      </c>
      <c r="AU110" s="13">
        <f>$I$41*$AU$41</f>
        <v>0</v>
      </c>
      <c r="AV110" s="13">
        <f>$I$41*$AV$41</f>
        <v>0</v>
      </c>
      <c r="AW110" s="13">
        <f>$I$41*$AW$41</f>
        <v>0</v>
      </c>
      <c r="AX110" s="13">
        <f>$I$41*$AX$41</f>
        <v>5806180.7263992177</v>
      </c>
      <c r="AY110" s="13">
        <f>$I$41*$AY$41</f>
        <v>0</v>
      </c>
      <c r="AZ110" s="13">
        <f>$I$41*$AZ$41</f>
        <v>0</v>
      </c>
      <c r="BA110" s="13">
        <f>$I$41*$BA$41</f>
        <v>382668.03752397792</v>
      </c>
      <c r="BB110" s="13">
        <f>$I$41*$BB$41</f>
        <v>16339.527122343443</v>
      </c>
      <c r="BC110" s="13">
        <f>$I$41*$BC$41</f>
        <v>378186.8258506945</v>
      </c>
      <c r="BD110" s="13">
        <f>$I$41*$BD$41</f>
        <v>166903.85279291295</v>
      </c>
    </row>
    <row r="111" spans="1:56" ht="11.25" customHeight="1" x14ac:dyDescent="0.25">
      <c r="A111" s="9" t="s">
        <v>22</v>
      </c>
      <c r="B111" s="9" t="s">
        <v>1161</v>
      </c>
      <c r="C111" s="9" t="s">
        <v>1162</v>
      </c>
      <c r="D111" s="9" t="s">
        <v>1163</v>
      </c>
      <c r="E111" s="9" t="s">
        <v>1164</v>
      </c>
      <c r="F111" s="9" t="s">
        <v>1165</v>
      </c>
      <c r="G111" s="9" t="s">
        <v>1166</v>
      </c>
      <c r="L111" s="13">
        <f>$I$42*$L$42</f>
        <v>0</v>
      </c>
      <c r="M111" s="13">
        <f>$I$42*$M$42</f>
        <v>0</v>
      </c>
      <c r="N111" s="13">
        <f ca="1">$I$42*$N$42</f>
        <v>0</v>
      </c>
      <c r="O111" s="13">
        <f>$I$42*$O$42</f>
        <v>0</v>
      </c>
      <c r="P111" s="13">
        <f>$I$42*$P$42</f>
        <v>0</v>
      </c>
      <c r="Q111" s="13">
        <f>$I$42*$Q$42</f>
        <v>0</v>
      </c>
      <c r="R111" s="13">
        <f>$I$42*$R$42</f>
        <v>0</v>
      </c>
      <c r="S111" s="13">
        <f>$I$42*$S$42</f>
        <v>0</v>
      </c>
      <c r="T111" s="13">
        <f>$I$42*$T$42</f>
        <v>0</v>
      </c>
      <c r="U111" s="13">
        <f>$I$42*$U$42</f>
        <v>0</v>
      </c>
      <c r="V111" s="13">
        <f>$I$42*$V$42</f>
        <v>0</v>
      </c>
      <c r="W111" s="13">
        <f>$I$42*$W$42</f>
        <v>0</v>
      </c>
      <c r="X111" s="13">
        <f>$I$42*$X$42</f>
        <v>0</v>
      </c>
      <c r="Y111" s="13">
        <f>$I$42*$Y$42</f>
        <v>0</v>
      </c>
      <c r="Z111" s="13">
        <f>$I$42*$Z$42</f>
        <v>0</v>
      </c>
      <c r="AA111" s="13">
        <f>$I$42*$AA$42</f>
        <v>0</v>
      </c>
      <c r="AB111" s="13">
        <f ca="1">$I$42*$AB$42</f>
        <v>0</v>
      </c>
      <c r="AC111" s="13">
        <f ca="1">$I$42*$AC$42</f>
        <v>0</v>
      </c>
      <c r="AD111" s="13">
        <f>$I$42*$AD$42</f>
        <v>0</v>
      </c>
      <c r="AE111" s="13">
        <f>$I$42*$AE$42</f>
        <v>0</v>
      </c>
      <c r="AF111" s="13">
        <f ca="1">$I$42*$AF$42</f>
        <v>0</v>
      </c>
      <c r="AG111" s="13">
        <f ca="1">$I$42*$AG$42</f>
        <v>0</v>
      </c>
      <c r="AI111" s="13">
        <f>$I$42*$AI$42</f>
        <v>0</v>
      </c>
      <c r="AJ111" s="13">
        <f>$I$42*$AJ$42</f>
        <v>0</v>
      </c>
      <c r="AK111" s="13">
        <f>$I$42*$AK$42</f>
        <v>0</v>
      </c>
      <c r="AL111" s="13">
        <f>$I$42*$AL$42</f>
        <v>0</v>
      </c>
      <c r="AM111" s="13">
        <f>$I$42*$AM$42</f>
        <v>0</v>
      </c>
      <c r="AN111" s="13">
        <f>$I$42*$AN$42</f>
        <v>0</v>
      </c>
      <c r="AO111" s="13">
        <f>$I$42*$AO$42</f>
        <v>0</v>
      </c>
      <c r="AP111" s="13">
        <f>$I$42*$AP$42</f>
        <v>0</v>
      </c>
      <c r="AQ111" s="13">
        <f>$I$42*$AQ$42</f>
        <v>0</v>
      </c>
      <c r="AR111" s="13">
        <f>$I$42*$AR$42</f>
        <v>0</v>
      </c>
      <c r="AS111" s="13">
        <f>$I$42*$AS$42</f>
        <v>0</v>
      </c>
      <c r="AT111" s="13">
        <f>$I$42*$AT$42</f>
        <v>0</v>
      </c>
      <c r="AU111" s="13">
        <f>$I$42*$AU$42</f>
        <v>0</v>
      </c>
      <c r="AV111" s="13">
        <f>$I$42*$AV$42</f>
        <v>0</v>
      </c>
      <c r="AW111" s="13">
        <f>$I$42*$AW$42</f>
        <v>0</v>
      </c>
      <c r="AX111" s="13">
        <f>$I$42*$AX$42</f>
        <v>0</v>
      </c>
      <c r="AY111" s="13">
        <f>$I$42*$AY$42</f>
        <v>0</v>
      </c>
      <c r="AZ111" s="13">
        <f>$I$42*$AZ$42</f>
        <v>0</v>
      </c>
      <c r="BA111" s="13">
        <f>$I$42*$BA$42</f>
        <v>0</v>
      </c>
      <c r="BB111" s="13">
        <f>$I$42*$BB$42</f>
        <v>0</v>
      </c>
      <c r="BC111" s="13">
        <f>$I$42*$BC$42</f>
        <v>0</v>
      </c>
      <c r="BD111" s="13">
        <f>$I$42*$BD$42</f>
        <v>0</v>
      </c>
    </row>
    <row r="112" spans="1:56" ht="11.25" customHeight="1" x14ac:dyDescent="0.25">
      <c r="A112" s="9" t="s">
        <v>22</v>
      </c>
      <c r="B112" s="9" t="s">
        <v>1161</v>
      </c>
      <c r="C112" s="9" t="s">
        <v>1162</v>
      </c>
      <c r="D112" s="9" t="s">
        <v>1167</v>
      </c>
      <c r="E112" s="9" t="s">
        <v>1168</v>
      </c>
      <c r="F112" s="9" t="s">
        <v>1169</v>
      </c>
      <c r="G112" s="9" t="s">
        <v>1170</v>
      </c>
      <c r="L112" s="13">
        <f>$I$43*$L$43</f>
        <v>0</v>
      </c>
      <c r="M112" s="13">
        <f>$I$43*$M$43</f>
        <v>0</v>
      </c>
      <c r="N112" s="13">
        <f ca="1">$I$43*$N$43</f>
        <v>0</v>
      </c>
      <c r="O112" s="13">
        <f>$I$43*$O$43</f>
        <v>0</v>
      </c>
      <c r="P112" s="13">
        <f>$I$43*$P$43</f>
        <v>0</v>
      </c>
      <c r="Q112" s="13">
        <f>$I$43*$Q$43</f>
        <v>0</v>
      </c>
      <c r="R112" s="13">
        <f>$I$43*$R$43</f>
        <v>0</v>
      </c>
      <c r="S112" s="13">
        <f>$I$43*$S$43</f>
        <v>0</v>
      </c>
      <c r="T112" s="13">
        <f>$I$43*$T$43</f>
        <v>0</v>
      </c>
      <c r="U112" s="13">
        <f>$I$43*$U$43</f>
        <v>0</v>
      </c>
      <c r="V112" s="13">
        <f>$I$43*$V$43</f>
        <v>0</v>
      </c>
      <c r="W112" s="13">
        <f>$I$43*$W$43</f>
        <v>0</v>
      </c>
      <c r="X112" s="13">
        <f>$I$43*$X$43</f>
        <v>0</v>
      </c>
      <c r="Y112" s="13">
        <f>$I$43*$Y$43</f>
        <v>0</v>
      </c>
      <c r="Z112" s="13">
        <f>$I$43*$Z$43</f>
        <v>0</v>
      </c>
      <c r="AA112" s="13">
        <f>$I$43*$AA$43</f>
        <v>0</v>
      </c>
      <c r="AB112" s="13">
        <f ca="1">$I$43*$AB$43</f>
        <v>0</v>
      </c>
      <c r="AC112" s="13">
        <f ca="1">$I$43*$AC$43</f>
        <v>0</v>
      </c>
      <c r="AD112" s="13">
        <f>$I$43*$AD$43</f>
        <v>0</v>
      </c>
      <c r="AE112" s="13">
        <f>$I$43*$AE$43</f>
        <v>0</v>
      </c>
      <c r="AF112" s="13">
        <f ca="1">$I$43*$AF$43</f>
        <v>0</v>
      </c>
      <c r="AG112" s="13">
        <f ca="1">$I$43*$AG$43</f>
        <v>0</v>
      </c>
      <c r="AI112" s="13">
        <f>$I$43*$AI$43</f>
        <v>0</v>
      </c>
      <c r="AJ112" s="13">
        <f>$I$43*$AJ$43</f>
        <v>0</v>
      </c>
      <c r="AK112" s="13">
        <f>$I$43*$AK$43</f>
        <v>0</v>
      </c>
      <c r="AL112" s="13">
        <f>$I$43*$AL$43</f>
        <v>0</v>
      </c>
      <c r="AM112" s="13">
        <f>$I$43*$AM$43</f>
        <v>0</v>
      </c>
      <c r="AN112" s="13">
        <f>$I$43*$AN$43</f>
        <v>0</v>
      </c>
      <c r="AO112" s="13">
        <f>$I$43*$AO$43</f>
        <v>0</v>
      </c>
      <c r="AP112" s="13">
        <f>$I$43*$AP$43</f>
        <v>0</v>
      </c>
      <c r="AQ112" s="13">
        <f>$I$43*$AQ$43</f>
        <v>0</v>
      </c>
      <c r="AR112" s="13">
        <f>$I$43*$AR$43</f>
        <v>0</v>
      </c>
      <c r="AS112" s="13">
        <f>$I$43*$AS$43</f>
        <v>0</v>
      </c>
      <c r="AT112" s="13">
        <f>$I$43*$AT$43</f>
        <v>0</v>
      </c>
      <c r="AU112" s="13">
        <f>$I$43*$AU$43</f>
        <v>0</v>
      </c>
      <c r="AV112" s="13">
        <f>$I$43*$AV$43</f>
        <v>0</v>
      </c>
      <c r="AW112" s="13">
        <f>$I$43*$AW$43</f>
        <v>0</v>
      </c>
      <c r="AX112" s="13">
        <f>$I$43*$AX$43</f>
        <v>0</v>
      </c>
      <c r="AY112" s="13">
        <f>$I$43*$AY$43</f>
        <v>0</v>
      </c>
      <c r="AZ112" s="13">
        <f>$I$43*$AZ$43</f>
        <v>0</v>
      </c>
      <c r="BA112" s="13">
        <f>$I$43*$BA$43</f>
        <v>0</v>
      </c>
      <c r="BB112" s="13">
        <f>$I$43*$BB$43</f>
        <v>0</v>
      </c>
      <c r="BC112" s="13">
        <f>$I$43*$BC$43</f>
        <v>0</v>
      </c>
      <c r="BD112" s="13">
        <f>$I$43*$BD$43</f>
        <v>0</v>
      </c>
    </row>
    <row r="113" spans="1:56" ht="11.25" customHeight="1" x14ac:dyDescent="0.25">
      <c r="A113" s="9" t="s">
        <v>22</v>
      </c>
      <c r="B113" s="9" t="s">
        <v>1161</v>
      </c>
      <c r="C113" s="9" t="s">
        <v>1162</v>
      </c>
      <c r="D113" s="9" t="s">
        <v>1171</v>
      </c>
      <c r="E113" s="9" t="s">
        <v>1172</v>
      </c>
      <c r="F113" s="9" t="s">
        <v>1173</v>
      </c>
      <c r="G113" s="9" t="s">
        <v>1174</v>
      </c>
      <c r="L113" s="13">
        <f>$I$44*$L$44</f>
        <v>0</v>
      </c>
      <c r="M113" s="13">
        <f>$I$44*$M$44</f>
        <v>0</v>
      </c>
      <c r="N113" s="13">
        <f ca="1">$I$44*$N$44</f>
        <v>0</v>
      </c>
      <c r="O113" s="13">
        <f>$I$44*$O$44</f>
        <v>0</v>
      </c>
      <c r="P113" s="13">
        <f>$I$44*$P$44</f>
        <v>0</v>
      </c>
      <c r="Q113" s="13">
        <f>$I$44*$Q$44</f>
        <v>0</v>
      </c>
      <c r="R113" s="13">
        <f>$I$44*$R$44</f>
        <v>0</v>
      </c>
      <c r="S113" s="13">
        <f>$I$44*$S$44</f>
        <v>0</v>
      </c>
      <c r="T113" s="13">
        <f>$I$44*$T$44</f>
        <v>0</v>
      </c>
      <c r="U113" s="13">
        <f>$I$44*$U$44</f>
        <v>0</v>
      </c>
      <c r="V113" s="13">
        <f>$I$44*$V$44</f>
        <v>0</v>
      </c>
      <c r="W113" s="13">
        <f>$I$44*$W$44</f>
        <v>0</v>
      </c>
      <c r="X113" s="13">
        <f>$I$44*$X$44</f>
        <v>0</v>
      </c>
      <c r="Y113" s="13">
        <f>$I$44*$Y$44</f>
        <v>0</v>
      </c>
      <c r="Z113" s="13">
        <f>$I$44*$Z$44</f>
        <v>0</v>
      </c>
      <c r="AA113" s="13">
        <f>$I$44*$AA$44</f>
        <v>0</v>
      </c>
      <c r="AB113" s="13">
        <f ca="1">$I$44*$AB$44</f>
        <v>0</v>
      </c>
      <c r="AC113" s="13">
        <f ca="1">$I$44*$AC$44</f>
        <v>0</v>
      </c>
      <c r="AD113" s="13">
        <f>$I$44*$AD$44</f>
        <v>0</v>
      </c>
      <c r="AE113" s="13">
        <f>$I$44*$AE$44</f>
        <v>0</v>
      </c>
      <c r="AF113" s="13">
        <f ca="1">$I$44*$AF$44</f>
        <v>0</v>
      </c>
      <c r="AG113" s="13">
        <f ca="1">$I$44*$AG$44</f>
        <v>0</v>
      </c>
      <c r="AI113" s="13">
        <f>$I$44*$AI$44</f>
        <v>0</v>
      </c>
      <c r="AJ113" s="13">
        <f>$I$44*$AJ$44</f>
        <v>0</v>
      </c>
      <c r="AK113" s="13">
        <f>$I$44*$AK$44</f>
        <v>0</v>
      </c>
      <c r="AL113" s="13">
        <f>$I$44*$AL$44</f>
        <v>0</v>
      </c>
      <c r="AM113" s="13">
        <f>$I$44*$AM$44</f>
        <v>0</v>
      </c>
      <c r="AN113" s="13">
        <f>$I$44*$AN$44</f>
        <v>0</v>
      </c>
      <c r="AO113" s="13">
        <f>$I$44*$AO$44</f>
        <v>0</v>
      </c>
      <c r="AP113" s="13">
        <f>$I$44*$AP$44</f>
        <v>0</v>
      </c>
      <c r="AQ113" s="13">
        <f>$I$44*$AQ$44</f>
        <v>0</v>
      </c>
      <c r="AR113" s="13">
        <f>$I$44*$AR$44</f>
        <v>0</v>
      </c>
      <c r="AS113" s="13">
        <f>$I$44*$AS$44</f>
        <v>0</v>
      </c>
      <c r="AT113" s="13">
        <f>$I$44*$AT$44</f>
        <v>0</v>
      </c>
      <c r="AU113" s="13">
        <f>$I$44*$AU$44</f>
        <v>0</v>
      </c>
      <c r="AV113" s="13">
        <f>$I$44*$AV$44</f>
        <v>0</v>
      </c>
      <c r="AW113" s="13">
        <f>$I$44*$AW$44</f>
        <v>0</v>
      </c>
      <c r="AX113" s="13">
        <f>$I$44*$AX$44</f>
        <v>0</v>
      </c>
      <c r="AY113" s="13">
        <f>$I$44*$AY$44</f>
        <v>0</v>
      </c>
      <c r="AZ113" s="13">
        <f>$I$44*$AZ$44</f>
        <v>0</v>
      </c>
      <c r="BA113" s="13">
        <f>$I$44*$BA$44</f>
        <v>0</v>
      </c>
      <c r="BB113" s="13">
        <f>$I$44*$BB$44</f>
        <v>0</v>
      </c>
      <c r="BC113" s="13">
        <f>$I$44*$BC$44</f>
        <v>0</v>
      </c>
      <c r="BD113" s="13">
        <f>$I$44*$BD$44</f>
        <v>0</v>
      </c>
    </row>
    <row r="114" spans="1:56" ht="11.25" customHeight="1" x14ac:dyDescent="0.25">
      <c r="A114" s="9" t="s">
        <v>22</v>
      </c>
      <c r="B114" s="9" t="s">
        <v>1161</v>
      </c>
      <c r="C114" s="9" t="s">
        <v>1162</v>
      </c>
      <c r="D114" s="9" t="s">
        <v>1175</v>
      </c>
      <c r="E114" s="9" t="s">
        <v>1176</v>
      </c>
      <c r="F114" s="9" t="s">
        <v>1177</v>
      </c>
      <c r="G114" s="9" t="s">
        <v>1178</v>
      </c>
      <c r="L114" s="13">
        <f>$I$45*$L$45</f>
        <v>0</v>
      </c>
      <c r="M114" s="13">
        <f>$I$45*$M$45</f>
        <v>0</v>
      </c>
      <c r="N114" s="13">
        <f ca="1">$I$45*$N$45</f>
        <v>0</v>
      </c>
      <c r="O114" s="13">
        <f>$I$45*$O$45</f>
        <v>0</v>
      </c>
      <c r="P114" s="13">
        <f>$I$45*$P$45</f>
        <v>0</v>
      </c>
      <c r="Q114" s="13">
        <f>$I$45*$Q$45</f>
        <v>0</v>
      </c>
      <c r="R114" s="13">
        <f>$I$45*$R$45</f>
        <v>0</v>
      </c>
      <c r="S114" s="13">
        <f>$I$45*$S$45</f>
        <v>0</v>
      </c>
      <c r="T114" s="13">
        <f>$I$45*$T$45</f>
        <v>0</v>
      </c>
      <c r="U114" s="13">
        <f>$I$45*$U$45</f>
        <v>0</v>
      </c>
      <c r="V114" s="13">
        <f>$I$45*$V$45</f>
        <v>0</v>
      </c>
      <c r="W114" s="13">
        <f>$I$45*$W$45</f>
        <v>0</v>
      </c>
      <c r="X114" s="13">
        <f>$I$45*$X$45</f>
        <v>0</v>
      </c>
      <c r="Y114" s="13">
        <f>$I$45*$Y$45</f>
        <v>0</v>
      </c>
      <c r="Z114" s="13">
        <f>$I$45*$Z$45</f>
        <v>0</v>
      </c>
      <c r="AA114" s="13">
        <f>$I$45*$AA$45</f>
        <v>0</v>
      </c>
      <c r="AB114" s="13">
        <f ca="1">$I$45*$AB$45</f>
        <v>0</v>
      </c>
      <c r="AC114" s="13">
        <f ca="1">$I$45*$AC$45</f>
        <v>0</v>
      </c>
      <c r="AD114" s="13">
        <f>$I$45*$AD$45</f>
        <v>0</v>
      </c>
      <c r="AE114" s="13">
        <f>$I$45*$AE$45</f>
        <v>0</v>
      </c>
      <c r="AF114" s="13">
        <f ca="1">$I$45*$AF$45</f>
        <v>0</v>
      </c>
      <c r="AG114" s="13">
        <f ca="1">$I$45*$AG$45</f>
        <v>0</v>
      </c>
      <c r="AI114" s="13">
        <f>$I$45*$AI$45</f>
        <v>0</v>
      </c>
      <c r="AJ114" s="13">
        <f>$I$45*$AJ$45</f>
        <v>0</v>
      </c>
      <c r="AK114" s="13">
        <f>$I$45*$AK$45</f>
        <v>0</v>
      </c>
      <c r="AL114" s="13">
        <f>$I$45*$AL$45</f>
        <v>0</v>
      </c>
      <c r="AM114" s="13">
        <f>$I$45*$AM$45</f>
        <v>0</v>
      </c>
      <c r="AN114" s="13">
        <f>$I$45*$AN$45</f>
        <v>0</v>
      </c>
      <c r="AO114" s="13">
        <f>$I$45*$AO$45</f>
        <v>0</v>
      </c>
      <c r="AP114" s="13">
        <f>$I$45*$AP$45</f>
        <v>0</v>
      </c>
      <c r="AQ114" s="13">
        <f>$I$45*$AQ$45</f>
        <v>0</v>
      </c>
      <c r="AR114" s="13">
        <f>$I$45*$AR$45</f>
        <v>0</v>
      </c>
      <c r="AS114" s="13">
        <f>$I$45*$AS$45</f>
        <v>0</v>
      </c>
      <c r="AT114" s="13">
        <f>$I$45*$AT$45</f>
        <v>0</v>
      </c>
      <c r="AU114" s="13">
        <f>$I$45*$AU$45</f>
        <v>0</v>
      </c>
      <c r="AV114" s="13">
        <f>$I$45*$AV$45</f>
        <v>0</v>
      </c>
      <c r="AW114" s="13">
        <f>$I$45*$AW$45</f>
        <v>0</v>
      </c>
      <c r="AX114" s="13">
        <f>$I$45*$AX$45</f>
        <v>0</v>
      </c>
      <c r="AY114" s="13">
        <f>$I$45*$AY$45</f>
        <v>0</v>
      </c>
      <c r="AZ114" s="13">
        <f>$I$45*$AZ$45</f>
        <v>0</v>
      </c>
      <c r="BA114" s="13">
        <f>$I$45*$BA$45</f>
        <v>0</v>
      </c>
      <c r="BB114" s="13">
        <f>$I$45*$BB$45</f>
        <v>0</v>
      </c>
      <c r="BC114" s="13">
        <f>$I$45*$BC$45</f>
        <v>0</v>
      </c>
      <c r="BD114" s="13">
        <f>$I$45*$BD$45</f>
        <v>0</v>
      </c>
    </row>
    <row r="115" spans="1:56" ht="11.25" customHeight="1" x14ac:dyDescent="0.25">
      <c r="A115" s="9" t="s">
        <v>22</v>
      </c>
      <c r="B115" s="9" t="s">
        <v>1161</v>
      </c>
      <c r="C115" s="9" t="s">
        <v>1162</v>
      </c>
      <c r="D115" s="9" t="s">
        <v>1179</v>
      </c>
      <c r="E115" s="9" t="s">
        <v>1180</v>
      </c>
      <c r="F115" s="9" t="s">
        <v>1181</v>
      </c>
      <c r="G115" s="9" t="s">
        <v>1182</v>
      </c>
      <c r="L115" s="13">
        <f>$I$46*$L$46</f>
        <v>0</v>
      </c>
      <c r="M115" s="13">
        <f>$I$46*$M$46</f>
        <v>0</v>
      </c>
      <c r="N115" s="13">
        <f ca="1">$I$46*$N$46</f>
        <v>0</v>
      </c>
      <c r="O115" s="13">
        <f>$I$46*$O$46</f>
        <v>0</v>
      </c>
      <c r="P115" s="13">
        <f>$I$46*$P$46</f>
        <v>0</v>
      </c>
      <c r="Q115" s="13">
        <f>$I$46*$Q$46</f>
        <v>0</v>
      </c>
      <c r="R115" s="13">
        <f>$I$46*$R$46</f>
        <v>0</v>
      </c>
      <c r="S115" s="13">
        <f>$I$46*$S$46</f>
        <v>0</v>
      </c>
      <c r="T115" s="13">
        <f>$I$46*$T$46</f>
        <v>0</v>
      </c>
      <c r="U115" s="13">
        <f>$I$46*$U$46</f>
        <v>0</v>
      </c>
      <c r="V115" s="13">
        <f>$I$46*$V$46</f>
        <v>0</v>
      </c>
      <c r="W115" s="13">
        <f>$I$46*$W$46</f>
        <v>0</v>
      </c>
      <c r="X115" s="13">
        <f>$I$46*$X$46</f>
        <v>0</v>
      </c>
      <c r="Y115" s="13">
        <f>$I$46*$Y$46</f>
        <v>0</v>
      </c>
      <c r="Z115" s="13">
        <f>$I$46*$Z$46</f>
        <v>0</v>
      </c>
      <c r="AA115" s="13">
        <f>$I$46*$AA$46</f>
        <v>0</v>
      </c>
      <c r="AB115" s="13">
        <f ca="1">$I$46*$AB$46</f>
        <v>0</v>
      </c>
      <c r="AC115" s="13">
        <f ca="1">$I$46*$AC$46</f>
        <v>0</v>
      </c>
      <c r="AD115" s="13">
        <f>$I$46*$AD$46</f>
        <v>0</v>
      </c>
      <c r="AE115" s="13">
        <f>$I$46*$AE$46</f>
        <v>0</v>
      </c>
      <c r="AF115" s="13">
        <f ca="1">$I$46*$AF$46</f>
        <v>0</v>
      </c>
      <c r="AG115" s="13">
        <f ca="1">$I$46*$AG$46</f>
        <v>0</v>
      </c>
      <c r="AI115" s="13">
        <f>$I$46*$AI$46</f>
        <v>0</v>
      </c>
      <c r="AJ115" s="13">
        <f>$I$46*$AJ$46</f>
        <v>0</v>
      </c>
      <c r="AK115" s="13">
        <f>$I$46*$AK$46</f>
        <v>0</v>
      </c>
      <c r="AL115" s="13">
        <f>$I$46*$AL$46</f>
        <v>0</v>
      </c>
      <c r="AM115" s="13">
        <f>$I$46*$AM$46</f>
        <v>0</v>
      </c>
      <c r="AN115" s="13">
        <f>$I$46*$AN$46</f>
        <v>0</v>
      </c>
      <c r="AO115" s="13">
        <f>$I$46*$AO$46</f>
        <v>0</v>
      </c>
      <c r="AP115" s="13">
        <f>$I$46*$AP$46</f>
        <v>0</v>
      </c>
      <c r="AQ115" s="13">
        <f>$I$46*$AQ$46</f>
        <v>0</v>
      </c>
      <c r="AR115" s="13">
        <f>$I$46*$AR$46</f>
        <v>0</v>
      </c>
      <c r="AS115" s="13">
        <f>$I$46*$AS$46</f>
        <v>0</v>
      </c>
      <c r="AT115" s="13">
        <f>$I$46*$AT$46</f>
        <v>0</v>
      </c>
      <c r="AU115" s="13">
        <f>$I$46*$AU$46</f>
        <v>0</v>
      </c>
      <c r="AV115" s="13">
        <f>$I$46*$AV$46</f>
        <v>0</v>
      </c>
      <c r="AW115" s="13">
        <f>$I$46*$AW$46</f>
        <v>0</v>
      </c>
      <c r="AX115" s="13">
        <f>$I$46*$AX$46</f>
        <v>0</v>
      </c>
      <c r="AY115" s="13">
        <f>$I$46*$AY$46</f>
        <v>0</v>
      </c>
      <c r="AZ115" s="13">
        <f>$I$46*$AZ$46</f>
        <v>0</v>
      </c>
      <c r="BA115" s="13">
        <f>$I$46*$BA$46</f>
        <v>0</v>
      </c>
      <c r="BB115" s="13">
        <f>$I$46*$BB$46</f>
        <v>0</v>
      </c>
      <c r="BC115" s="13">
        <f>$I$46*$BC$46</f>
        <v>0</v>
      </c>
      <c r="BD115" s="13">
        <f>$I$46*$BD$46</f>
        <v>0</v>
      </c>
    </row>
    <row r="116" spans="1:56" ht="11.25" customHeight="1" x14ac:dyDescent="0.25">
      <c r="A116" s="9" t="s">
        <v>46</v>
      </c>
      <c r="B116" s="9" t="s">
        <v>1183</v>
      </c>
      <c r="C116" s="9" t="s">
        <v>1184</v>
      </c>
      <c r="D116" s="9" t="s">
        <v>1185</v>
      </c>
      <c r="E116" s="9" t="s">
        <v>1186</v>
      </c>
      <c r="F116" s="9" t="s">
        <v>1187</v>
      </c>
      <c r="G116" s="9" t="s">
        <v>1188</v>
      </c>
      <c r="L116" s="13">
        <f>$I$47*$L$47</f>
        <v>64.869910310929257</v>
      </c>
      <c r="M116" s="13">
        <f>$I$47*$M$47</f>
        <v>3.9794589178635804</v>
      </c>
      <c r="N116" s="13">
        <f ca="1">$I$47*$N$47</f>
        <v>38.487869062255186</v>
      </c>
      <c r="O116" s="13">
        <f>$I$47*$O$47</f>
        <v>0</v>
      </c>
      <c r="P116" s="13">
        <f>$I$47*$P$47</f>
        <v>0</v>
      </c>
      <c r="Q116" s="13">
        <f>$I$47*$Q$47</f>
        <v>161.24044095384573</v>
      </c>
      <c r="R116" s="13">
        <f>$I$47*$R$47</f>
        <v>59.682438694730138</v>
      </c>
      <c r="S116" s="13">
        <f>$I$47*$S$47</f>
        <v>0</v>
      </c>
      <c r="T116" s="13">
        <f>$I$47*$T$47</f>
        <v>163.31395871258295</v>
      </c>
      <c r="U116" s="13">
        <f>$I$47*$U$47</f>
        <v>178.40930464849535</v>
      </c>
      <c r="V116" s="13">
        <f>$I$47*$V$47</f>
        <v>15.356341689805094</v>
      </c>
      <c r="W116" s="13">
        <f>$I$47*$W$47</f>
        <v>0</v>
      </c>
      <c r="X116" s="13">
        <f>$I$47*$X$47</f>
        <v>0</v>
      </c>
      <c r="Y116" s="13">
        <f>$I$47*$Y$47</f>
        <v>0</v>
      </c>
      <c r="Z116" s="13">
        <f>$I$47*$Z$47</f>
        <v>0</v>
      </c>
      <c r="AA116" s="13">
        <f>$I$47*$AA$47</f>
        <v>3357.8985017791897</v>
      </c>
      <c r="AB116" s="13">
        <f ca="1">$I$47*$AB$47</f>
        <v>-374.12098387938079</v>
      </c>
      <c r="AC116" s="13">
        <f ca="1">$I$47*$AC$47</f>
        <v>0</v>
      </c>
      <c r="AD116" s="13">
        <f>$I$47*$AD$47</f>
        <v>105.12633913081595</v>
      </c>
      <c r="AE116" s="13">
        <f>$I$47*$AE$47</f>
        <v>4.8609438054568495</v>
      </c>
      <c r="AF116" s="13">
        <f ca="1">$I$47*$AF$47</f>
        <v>101.55792825695481</v>
      </c>
      <c r="AG116" s="13">
        <f ca="1">$I$47*$AG$47</f>
        <v>37.147198950231157</v>
      </c>
      <c r="AI116" s="13">
        <f>$I$47*$AI$47</f>
        <v>68.588243964861633</v>
      </c>
      <c r="AJ116" s="13">
        <f>$I$47*$AJ$47</f>
        <v>3.5035954961692073</v>
      </c>
      <c r="AK116" s="13">
        <f>$I$47*$AK$47</f>
        <v>33.094704583221969</v>
      </c>
      <c r="AL116" s="13">
        <f>$I$47*$AL$47</f>
        <v>0</v>
      </c>
      <c r="AM116" s="13">
        <f>$I$47*$AM$47</f>
        <v>0</v>
      </c>
      <c r="AN116" s="13">
        <f>$I$47*$AN$47</f>
        <v>77.301945026954101</v>
      </c>
      <c r="AO116" s="13">
        <f>$I$47*$AO$47</f>
        <v>33.776455983243601</v>
      </c>
      <c r="AP116" s="13">
        <f>$I$47*$AP$47</f>
        <v>0</v>
      </c>
      <c r="AQ116" s="13">
        <f>$I$47*$AQ$47</f>
        <v>100.88632967808364</v>
      </c>
      <c r="AR116" s="13">
        <f>$I$47*$AR$47</f>
        <v>129.37223559433994</v>
      </c>
      <c r="AS116" s="13">
        <f>$I$47*$AS$47</f>
        <v>11.247074645983579</v>
      </c>
      <c r="AT116" s="13">
        <f>$I$47*$AT$47</f>
        <v>0</v>
      </c>
      <c r="AU116" s="13">
        <f>$I$47*$AU$47</f>
        <v>0</v>
      </c>
      <c r="AV116" s="13">
        <f>$I$47*$AV$47</f>
        <v>0</v>
      </c>
      <c r="AW116" s="13">
        <f>$I$47*$AW$47</f>
        <v>0</v>
      </c>
      <c r="AX116" s="13">
        <f>$I$47*$AX$47</f>
        <v>2952.084118445835</v>
      </c>
      <c r="AY116" s="13">
        <f>$I$47*$AY$47</f>
        <v>0</v>
      </c>
      <c r="AZ116" s="13">
        <f>$I$47*$AZ$47</f>
        <v>0</v>
      </c>
      <c r="BA116" s="13">
        <f>$I$47*$BA$47</f>
        <v>63.791161291164009</v>
      </c>
      <c r="BB116" s="13">
        <f>$I$47*$BB$47</f>
        <v>2.7238162267927688</v>
      </c>
      <c r="BC116" s="13">
        <f>$I$47*$BC$47</f>
        <v>63.04413862765643</v>
      </c>
      <c r="BD116" s="13">
        <f>$I$47*$BD$47</f>
        <v>27.823046477881597</v>
      </c>
    </row>
    <row r="117" spans="1:56" ht="11.25" customHeight="1" x14ac:dyDescent="0.25">
      <c r="A117" s="9" t="s">
        <v>46</v>
      </c>
      <c r="B117" s="9" t="s">
        <v>1183</v>
      </c>
      <c r="C117" s="9" t="s">
        <v>1184</v>
      </c>
      <c r="D117" s="9" t="s">
        <v>1185</v>
      </c>
      <c r="E117" s="9" t="s">
        <v>1186</v>
      </c>
      <c r="F117" s="9" t="s">
        <v>1187</v>
      </c>
      <c r="G117" s="9" t="s">
        <v>1189</v>
      </c>
      <c r="L117" s="13">
        <f>$I$48*$L$48</f>
        <v>10.336102808062423</v>
      </c>
      <c r="M117" s="13">
        <f>$I$48*$M$48</f>
        <v>0.63407050045772728</v>
      </c>
      <c r="N117" s="13">
        <f ca="1">$I$48*$N$48</f>
        <v>3.9261458705601542</v>
      </c>
      <c r="O117" s="13">
        <f>$I$48*$O$48</f>
        <v>0</v>
      </c>
      <c r="P117" s="13">
        <f>$I$48*$P$48</f>
        <v>0</v>
      </c>
      <c r="Q117" s="13">
        <f>$I$48*$Q$48</f>
        <v>25.691383979537893</v>
      </c>
      <c r="R117" s="13">
        <f>$I$48*$R$48</f>
        <v>9.5095525680213733</v>
      </c>
      <c r="S117" s="13">
        <f>$I$48*$S$48</f>
        <v>0</v>
      </c>
      <c r="T117" s="13">
        <f>$I$48*$T$48</f>
        <v>15.613090639986495</v>
      </c>
      <c r="U117" s="13">
        <f>$I$48*$U$48</f>
        <v>17.056179133386628</v>
      </c>
      <c r="V117" s="13">
        <f>$I$48*$V$48</f>
        <v>1.4680731494320804</v>
      </c>
      <c r="W117" s="13">
        <f>$I$48*$W$48</f>
        <v>0</v>
      </c>
      <c r="X117" s="13">
        <f>$I$48*$X$48</f>
        <v>0</v>
      </c>
      <c r="Y117" s="13">
        <f>$I$48*$Y$48</f>
        <v>0</v>
      </c>
      <c r="Z117" s="13">
        <f>$I$48*$Z$48</f>
        <v>0</v>
      </c>
      <c r="AA117" s="13">
        <f>$I$48*$AA$48</f>
        <v>321.02015836539141</v>
      </c>
      <c r="AB117" s="13">
        <f ca="1">$I$48*$AB$48</f>
        <v>-38.45717454601629</v>
      </c>
      <c r="AC117" s="13">
        <f ca="1">$I$48*$AC$48</f>
        <v>0</v>
      </c>
      <c r="AD117" s="13">
        <f>$I$48*$AD$48</f>
        <v>16.750395428067669</v>
      </c>
      <c r="AE117" s="13">
        <f>$I$48*$AE$48</f>
        <v>0.77452265120445551</v>
      </c>
      <c r="AF117" s="13">
        <f ca="1">$I$48*$AF$48</f>
        <v>16.181819620318748</v>
      </c>
      <c r="AG117" s="13">
        <f ca="1">$I$48*$AG$48</f>
        <v>5.9188808114699789</v>
      </c>
      <c r="AI117" s="13">
        <f>$I$48*$AI$48</f>
        <v>10.92856669058529</v>
      </c>
      <c r="AJ117" s="13">
        <f>$I$48*$AJ$48</f>
        <v>0.55824839394248638</v>
      </c>
      <c r="AK117" s="13">
        <f>$I$48*$AK$48</f>
        <v>3.361536660948456</v>
      </c>
      <c r="AL117" s="13">
        <f>$I$48*$AL$48</f>
        <v>0</v>
      </c>
      <c r="AM117" s="13">
        <f>$I$48*$AM$48</f>
        <v>0</v>
      </c>
      <c r="AN117" s="13">
        <f>$I$48*$AN$48</f>
        <v>12.316971724364659</v>
      </c>
      <c r="AO117" s="13">
        <f>$I$48*$AO$48</f>
        <v>5.3818005892322294</v>
      </c>
      <c r="AP117" s="13">
        <f>$I$48*$AP$48</f>
        <v>0</v>
      </c>
      <c r="AQ117" s="13">
        <f>$I$48*$AQ$48</f>
        <v>9.6449037303148959</v>
      </c>
      <c r="AR117" s="13">
        <f>$I$48*$AR$48</f>
        <v>12.368166724999165</v>
      </c>
      <c r="AS117" s="13">
        <f>$I$48*$AS$48</f>
        <v>1.0752253779550034</v>
      </c>
      <c r="AT117" s="13">
        <f>$I$48*$AT$48</f>
        <v>0</v>
      </c>
      <c r="AU117" s="13">
        <f>$I$48*$AU$48</f>
        <v>0</v>
      </c>
      <c r="AV117" s="13">
        <f>$I$48*$AV$48</f>
        <v>0</v>
      </c>
      <c r="AW117" s="13">
        <f>$I$48*$AW$48</f>
        <v>0</v>
      </c>
      <c r="AX117" s="13">
        <f>$I$48*$AX$48</f>
        <v>282.22369160631541</v>
      </c>
      <c r="AY117" s="13">
        <f>$I$48*$AY$48</f>
        <v>0</v>
      </c>
      <c r="AZ117" s="13">
        <f>$I$48*$AZ$48</f>
        <v>0</v>
      </c>
      <c r="BA117" s="13">
        <f>$I$48*$BA$48</f>
        <v>10.164219407592981</v>
      </c>
      <c r="BB117" s="13">
        <f>$I$48*$BB$48</f>
        <v>0.43400159512252962</v>
      </c>
      <c r="BC117" s="13">
        <f>$I$48*$BC$48</f>
        <v>10.045191910669402</v>
      </c>
      <c r="BD117" s="13">
        <f>$I$48*$BD$48</f>
        <v>4.4332089785613835</v>
      </c>
    </row>
    <row r="118" spans="1:56" ht="11.25" customHeight="1" x14ac:dyDescent="0.25">
      <c r="A118" s="9" t="s">
        <v>46</v>
      </c>
      <c r="B118" s="9" t="s">
        <v>1183</v>
      </c>
      <c r="C118" s="9" t="s">
        <v>1184</v>
      </c>
      <c r="D118" s="9" t="s">
        <v>1185</v>
      </c>
      <c r="E118" s="9" t="s">
        <v>1186</v>
      </c>
      <c r="F118" s="9" t="s">
        <v>1187</v>
      </c>
      <c r="G118" s="9" t="s">
        <v>1190</v>
      </c>
      <c r="L118" s="13">
        <f>$I$49*$L$49</f>
        <v>1386.7195187847844</v>
      </c>
      <c r="M118" s="13">
        <f>$I$49*$M$49</f>
        <v>85.068613925212503</v>
      </c>
      <c r="N118" s="13">
        <f ca="1">$I$49*$N$49</f>
        <v>230.73223062020381</v>
      </c>
      <c r="O118" s="13">
        <f>$I$49*$O$49</f>
        <v>0</v>
      </c>
      <c r="P118" s="13">
        <f>$I$49*$P$49</f>
        <v>0</v>
      </c>
      <c r="Q118" s="13">
        <f>$I$49*$Q$49</f>
        <v>3446.8255870317139</v>
      </c>
      <c r="R118" s="13">
        <f>$I$49*$R$49</f>
        <v>1275.8273022109408</v>
      </c>
      <c r="S118" s="13">
        <f>$I$49*$S$49</f>
        <v>0</v>
      </c>
      <c r="T118" s="13">
        <f>$I$49*$T$49</f>
        <v>698.22827325411379</v>
      </c>
      <c r="U118" s="13">
        <f>$I$49*$U$49</f>
        <v>762.76310080076905</v>
      </c>
      <c r="V118" s="13">
        <f>$I$49*$V$49</f>
        <v>65.649893418006386</v>
      </c>
      <c r="W118" s="13">
        <f>$I$49*$W$49</f>
        <v>0</v>
      </c>
      <c r="X118" s="13">
        <f>$I$49*$X$49</f>
        <v>0</v>
      </c>
      <c r="Y118" s="13">
        <f>$I$49*$Y$49</f>
        <v>0</v>
      </c>
      <c r="Z118" s="13">
        <f>$I$49*$Z$49</f>
        <v>0</v>
      </c>
      <c r="AA118" s="13">
        <f>$I$49*$AA$49</f>
        <v>14356.313762347447</v>
      </c>
      <c r="AB118" s="13">
        <f ca="1">$I$49*$AB$49</f>
        <v>-2321.4791759687987</v>
      </c>
      <c r="AC118" s="13">
        <f ca="1">$I$49*$AC$49</f>
        <v>0</v>
      </c>
      <c r="AD118" s="13">
        <f>$I$49*$AD$49</f>
        <v>2247.2783716263293</v>
      </c>
      <c r="AE118" s="13">
        <f>$I$49*$AE$49</f>
        <v>103.91205448618169</v>
      </c>
      <c r="AF118" s="13">
        <f ca="1">$I$49*$AF$49</f>
        <v>2170.9967028817773</v>
      </c>
      <c r="AG118" s="13">
        <f ca="1">$I$49*$AG$49</f>
        <v>794.09306418893493</v>
      </c>
      <c r="AI118" s="13">
        <f>$I$49*$AI$49</f>
        <v>1466.2060762741914</v>
      </c>
      <c r="AJ118" s="13">
        <f>$I$49*$AJ$49</f>
        <v>74.896114965735379</v>
      </c>
      <c r="AK118" s="13">
        <f>$I$49*$AK$49</f>
        <v>194.52253067067468</v>
      </c>
      <c r="AL118" s="13">
        <f>$I$49*$AL$49</f>
        <v>0</v>
      </c>
      <c r="AM118" s="13">
        <f>$I$49*$AM$49</f>
        <v>0</v>
      </c>
      <c r="AN118" s="13">
        <f>$I$49*$AN$49</f>
        <v>1652.4782521680975</v>
      </c>
      <c r="AO118" s="13">
        <f>$I$49*$AO$49</f>
        <v>722.03692841313659</v>
      </c>
      <c r="AP118" s="13">
        <f>$I$49*$AP$49</f>
        <v>0</v>
      </c>
      <c r="AQ118" s="13">
        <f>$I$49*$AQ$49</f>
        <v>431.32680342434446</v>
      </c>
      <c r="AR118" s="13">
        <f>$I$49*$AR$49</f>
        <v>553.11222569858649</v>
      </c>
      <c r="AS118" s="13">
        <f>$I$49*$AS$49</f>
        <v>48.082366665713103</v>
      </c>
      <c r="AT118" s="13">
        <f>$I$49*$AT$49</f>
        <v>0</v>
      </c>
      <c r="AU118" s="13">
        <f>$I$49*$AU$49</f>
        <v>0</v>
      </c>
      <c r="AV118" s="13">
        <f>$I$49*$AV$49</f>
        <v>0</v>
      </c>
      <c r="AW118" s="13">
        <f>$I$49*$AW$49</f>
        <v>0</v>
      </c>
      <c r="AX118" s="13">
        <f>$I$49*$AX$49</f>
        <v>12621.300445738796</v>
      </c>
      <c r="AY118" s="13">
        <f>$I$49*$AY$49</f>
        <v>0</v>
      </c>
      <c r="AZ118" s="13">
        <f>$I$49*$AZ$49</f>
        <v>0</v>
      </c>
      <c r="BA118" s="13">
        <f>$I$49*$BA$49</f>
        <v>1363.6591767185121</v>
      </c>
      <c r="BB118" s="13">
        <f>$I$49*$BB$49</f>
        <v>58.226828265552257</v>
      </c>
      <c r="BC118" s="13">
        <f>$I$49*$BC$49</f>
        <v>1347.6901256824415</v>
      </c>
      <c r="BD118" s="13">
        <f>$I$49*$BD$49</f>
        <v>594.77131135225648</v>
      </c>
    </row>
    <row r="119" spans="1:56" ht="11.25" customHeight="1" x14ac:dyDescent="0.25">
      <c r="A119" s="9" t="s">
        <v>46</v>
      </c>
      <c r="B119" s="9" t="s">
        <v>1191</v>
      </c>
      <c r="C119" s="9" t="s">
        <v>1192</v>
      </c>
      <c r="D119" s="9" t="s">
        <v>1193</v>
      </c>
      <c r="E119" s="9" t="s">
        <v>1194</v>
      </c>
      <c r="F119" s="9" t="s">
        <v>1195</v>
      </c>
      <c r="G119" s="9" t="s">
        <v>1196</v>
      </c>
      <c r="L119" s="13">
        <f>$I$50*$L$50</f>
        <v>866218.34296456224</v>
      </c>
      <c r="M119" s="13">
        <f>$I$50*$M$50</f>
        <v>53138.354796624059</v>
      </c>
      <c r="N119" s="13">
        <f ca="1">$I$50*$N$50</f>
        <v>203236.16274600918</v>
      </c>
      <c r="O119" s="13">
        <f>$I$50*$O$50</f>
        <v>0</v>
      </c>
      <c r="P119" s="13">
        <f>$I$50*$P$50</f>
        <v>0</v>
      </c>
      <c r="Q119" s="13">
        <f>$I$50*$Q$50</f>
        <v>2153069.5342796571</v>
      </c>
      <c r="R119" s="13">
        <f>$I$50*$R$50</f>
        <v>796949.20036791149</v>
      </c>
      <c r="S119" s="13">
        <f>$I$50*$S$50</f>
        <v>0</v>
      </c>
      <c r="T119" s="13">
        <f>$I$50*$T$50</f>
        <v>715004.45480894588</v>
      </c>
      <c r="U119" s="13">
        <f>$I$50*$U$50</f>
        <v>781094.02493805997</v>
      </c>
      <c r="V119" s="13">
        <f>$I$50*$V$50</f>
        <v>67235.65177376155</v>
      </c>
      <c r="W119" s="13">
        <f>$I$50*$W$50</f>
        <v>0</v>
      </c>
      <c r="X119" s="13">
        <f>$I$50*$X$50</f>
        <v>0</v>
      </c>
      <c r="Y119" s="13">
        <f>$I$50*$Y$50</f>
        <v>0</v>
      </c>
      <c r="Z119" s="13">
        <f>$I$50*$Z$50</f>
        <v>0</v>
      </c>
      <c r="AA119" s="13">
        <f>$I$50*$AA$50</f>
        <v>14701166.082921632</v>
      </c>
      <c r="AB119" s="13">
        <f ca="1">$I$50*$AB$50</f>
        <v>-2016831.1878773994</v>
      </c>
      <c r="AC119" s="13">
        <f ca="1">$I$50*$AC$50</f>
        <v>0</v>
      </c>
      <c r="AD119" s="13">
        <f>$I$50*$AD$50</f>
        <v>1403768.9099206887</v>
      </c>
      <c r="AE119" s="13">
        <f>$I$50*$AE$50</f>
        <v>64908.964236648229</v>
      </c>
      <c r="AF119" s="13">
        <f ca="1">$I$50*$AF$50</f>
        <v>1356119.3457489936</v>
      </c>
      <c r="AG119" s="13">
        <f ca="1">$I$50*$AG$50</f>
        <v>496032.5205663633</v>
      </c>
      <c r="AI119" s="13">
        <f>$I$50*$AI$50</f>
        <v>915869.85012497846</v>
      </c>
      <c r="AJ119" s="13">
        <f>$I$50*$AJ$50</f>
        <v>46784.074011560311</v>
      </c>
      <c r="AK119" s="13">
        <f>$I$50*$AK$50</f>
        <v>172722.18739179146</v>
      </c>
      <c r="AL119" s="13">
        <f>$I$50*$AL$50</f>
        <v>0</v>
      </c>
      <c r="AM119" s="13">
        <f>$I$50*$AM$50</f>
        <v>0</v>
      </c>
      <c r="AN119" s="13">
        <f>$I$50*$AN$50</f>
        <v>1032225.3015032209</v>
      </c>
      <c r="AO119" s="13">
        <f>$I$50*$AO$50</f>
        <v>451022.44773863058</v>
      </c>
      <c r="AP119" s="13">
        <f>$I$50*$AP$50</f>
        <v>0</v>
      </c>
      <c r="AQ119" s="13">
        <f>$I$50*$AQ$50</f>
        <v>441690.20038331952</v>
      </c>
      <c r="AR119" s="13">
        <f>$I$50*$AR$50</f>
        <v>566404.7646769979</v>
      </c>
      <c r="AS119" s="13">
        <f>$I$50*$AS$50</f>
        <v>49243.785378446526</v>
      </c>
      <c r="AT119" s="13">
        <f>$I$50*$AT$50</f>
        <v>0</v>
      </c>
      <c r="AU119" s="13">
        <f>$I$50*$AU$50</f>
        <v>0</v>
      </c>
      <c r="AV119" s="13">
        <f>$I$50*$AV$50</f>
        <v>0</v>
      </c>
      <c r="AW119" s="13">
        <f>$I$50*$AW$50</f>
        <v>0</v>
      </c>
      <c r="AX119" s="13">
        <f>$I$50*$AX$50</f>
        <v>12924476.095103053</v>
      </c>
      <c r="AY119" s="13">
        <f>$I$50*$AY$50</f>
        <v>0</v>
      </c>
      <c r="AZ119" s="13">
        <f>$I$50*$AZ$50</f>
        <v>0</v>
      </c>
      <c r="BA119" s="13">
        <f>$I$50*$BA$50</f>
        <v>851813.63384909008</v>
      </c>
      <c r="BB119" s="13">
        <f>$I$50*$BB$50</f>
        <v>36371.556045066776</v>
      </c>
      <c r="BC119" s="13">
        <f>$I$50*$BC$50</f>
        <v>841838.52010777371</v>
      </c>
      <c r="BD119" s="13">
        <f>$I$50*$BD$50</f>
        <v>371525.61335106543</v>
      </c>
    </row>
    <row r="120" spans="1:56" ht="11.25" customHeight="1" x14ac:dyDescent="0.25">
      <c r="A120" s="9" t="s">
        <v>46</v>
      </c>
      <c r="B120" s="9" t="s">
        <v>1183</v>
      </c>
      <c r="C120" s="9" t="s">
        <v>1184</v>
      </c>
      <c r="D120" s="9" t="s">
        <v>1197</v>
      </c>
      <c r="E120" s="9" t="s">
        <v>1198</v>
      </c>
      <c r="F120" s="9" t="s">
        <v>1199</v>
      </c>
      <c r="G120" s="9" t="s">
        <v>1200</v>
      </c>
      <c r="L120" s="13">
        <f>$I$51*$L$51</f>
        <v>0</v>
      </c>
      <c r="M120" s="13">
        <f>$I$51*$M$51</f>
        <v>0</v>
      </c>
      <c r="N120" s="13">
        <f ca="1">$I$51*$N$51</f>
        <v>0</v>
      </c>
      <c r="O120" s="13">
        <f>$I$51*$O$51</f>
        <v>0</v>
      </c>
      <c r="P120" s="13">
        <f>$I$51*$P$51</f>
        <v>0</v>
      </c>
      <c r="Q120" s="13">
        <f>$I$51*$Q$51</f>
        <v>0</v>
      </c>
      <c r="R120" s="13">
        <f>$I$51*$R$51</f>
        <v>0</v>
      </c>
      <c r="S120" s="13">
        <f>$I$51*$S$51</f>
        <v>0</v>
      </c>
      <c r="T120" s="13">
        <f>$I$51*$T$51</f>
        <v>0</v>
      </c>
      <c r="U120" s="13">
        <f>$I$51*$U$51</f>
        <v>0</v>
      </c>
      <c r="V120" s="13">
        <f>$I$51*$V$51</f>
        <v>0</v>
      </c>
      <c r="W120" s="13">
        <f>$I$51*$W$51</f>
        <v>0</v>
      </c>
      <c r="X120" s="13">
        <f>$I$51*$X$51</f>
        <v>0</v>
      </c>
      <c r="Y120" s="13">
        <f>$I$51*$Y$51</f>
        <v>0</v>
      </c>
      <c r="Z120" s="13">
        <f>$I$51*$Z$51</f>
        <v>0</v>
      </c>
      <c r="AA120" s="13">
        <f>$I$51*$AA$51</f>
        <v>0</v>
      </c>
      <c r="AB120" s="13">
        <f ca="1">$I$51*$AB$51</f>
        <v>0</v>
      </c>
      <c r="AC120" s="13">
        <f ca="1">$I$51*$AC$51</f>
        <v>0</v>
      </c>
      <c r="AD120" s="13">
        <f>$I$51*$AD$51</f>
        <v>0</v>
      </c>
      <c r="AE120" s="13">
        <f>$I$51*$AE$51</f>
        <v>0</v>
      </c>
      <c r="AF120" s="13">
        <f ca="1">$I$51*$AF$51</f>
        <v>0</v>
      </c>
      <c r="AG120" s="13">
        <f ca="1">$I$51*$AG$51</f>
        <v>0</v>
      </c>
      <c r="AI120" s="13">
        <f>$I$51*$AI$51</f>
        <v>0</v>
      </c>
      <c r="AJ120" s="13">
        <f>$I$51*$AJ$51</f>
        <v>0</v>
      </c>
      <c r="AK120" s="13">
        <f>$I$51*$AK$51</f>
        <v>0</v>
      </c>
      <c r="AL120" s="13">
        <f>$I$51*$AL$51</f>
        <v>0</v>
      </c>
      <c r="AM120" s="13">
        <f>$I$51*$AM$51</f>
        <v>0</v>
      </c>
      <c r="AN120" s="13">
        <f>$I$51*$AN$51</f>
        <v>0</v>
      </c>
      <c r="AO120" s="13">
        <f>$I$51*$AO$51</f>
        <v>0</v>
      </c>
      <c r="AP120" s="13">
        <f>$I$51*$AP$51</f>
        <v>0</v>
      </c>
      <c r="AQ120" s="13">
        <f>$I$51*$AQ$51</f>
        <v>0</v>
      </c>
      <c r="AR120" s="13">
        <f>$I$51*$AR$51</f>
        <v>0</v>
      </c>
      <c r="AS120" s="13">
        <f>$I$51*$AS$51</f>
        <v>0</v>
      </c>
      <c r="AT120" s="13">
        <f>$I$51*$AT$51</f>
        <v>0</v>
      </c>
      <c r="AU120" s="13">
        <f>$I$51*$AU$51</f>
        <v>0</v>
      </c>
      <c r="AV120" s="13">
        <f>$I$51*$AV$51</f>
        <v>0</v>
      </c>
      <c r="AW120" s="13">
        <f>$I$51*$AW$51</f>
        <v>0</v>
      </c>
      <c r="AX120" s="13">
        <f>$I$51*$AX$51</f>
        <v>0</v>
      </c>
      <c r="AY120" s="13">
        <f>$I$51*$AY$51</f>
        <v>0</v>
      </c>
      <c r="AZ120" s="13">
        <f>$I$51*$AZ$51</f>
        <v>0</v>
      </c>
      <c r="BA120" s="13">
        <f>$I$51*$BA$51</f>
        <v>0</v>
      </c>
      <c r="BB120" s="13">
        <f>$I$51*$BB$51</f>
        <v>0</v>
      </c>
      <c r="BC120" s="13">
        <f>$I$51*$BC$51</f>
        <v>0</v>
      </c>
      <c r="BD120" s="13">
        <f>$I$51*$BD$51</f>
        <v>0</v>
      </c>
    </row>
    <row r="121" spans="1:56" ht="11.25" customHeight="1" x14ac:dyDescent="0.25">
      <c r="A121" s="9" t="s">
        <v>46</v>
      </c>
      <c r="B121" s="9" t="s">
        <v>1183</v>
      </c>
      <c r="C121" s="9" t="s">
        <v>1184</v>
      </c>
      <c r="D121" s="9" t="s">
        <v>1197</v>
      </c>
      <c r="E121" s="9" t="s">
        <v>1198</v>
      </c>
      <c r="F121" s="9" t="s">
        <v>1199</v>
      </c>
      <c r="G121" s="9" t="s">
        <v>1201</v>
      </c>
      <c r="L121" s="13">
        <f>$I$52*$L$52</f>
        <v>0</v>
      </c>
      <c r="M121" s="13">
        <f>$I$52*$M$52</f>
        <v>0</v>
      </c>
      <c r="N121" s="13">
        <f ca="1">$I$52*$N$52</f>
        <v>0</v>
      </c>
      <c r="O121" s="13">
        <f>$I$52*$O$52</f>
        <v>0</v>
      </c>
      <c r="P121" s="13">
        <f>$I$52*$P$52</f>
        <v>0</v>
      </c>
      <c r="Q121" s="13">
        <f>$I$52*$Q$52</f>
        <v>0</v>
      </c>
      <c r="R121" s="13">
        <f>$I$52*$R$52</f>
        <v>0</v>
      </c>
      <c r="S121" s="13">
        <f>$I$52*$S$52</f>
        <v>0</v>
      </c>
      <c r="T121" s="13">
        <f>$I$52*$T$52</f>
        <v>0</v>
      </c>
      <c r="U121" s="13">
        <f>$I$52*$U$52</f>
        <v>0</v>
      </c>
      <c r="V121" s="13">
        <f>$I$52*$V$52</f>
        <v>0</v>
      </c>
      <c r="W121" s="13">
        <f>$I$52*$W$52</f>
        <v>0</v>
      </c>
      <c r="X121" s="13">
        <f>$I$52*$X$52</f>
        <v>0</v>
      </c>
      <c r="Y121" s="13">
        <f>$I$52*$Y$52</f>
        <v>0</v>
      </c>
      <c r="Z121" s="13">
        <f>$I$52*$Z$52</f>
        <v>0</v>
      </c>
      <c r="AA121" s="13">
        <f>$I$52*$AA$52</f>
        <v>0</v>
      </c>
      <c r="AB121" s="13">
        <f ca="1">$I$52*$AB$52</f>
        <v>0</v>
      </c>
      <c r="AC121" s="13">
        <f ca="1">$I$52*$AC$52</f>
        <v>0</v>
      </c>
      <c r="AD121" s="13">
        <f>$I$52*$AD$52</f>
        <v>0</v>
      </c>
      <c r="AE121" s="13">
        <f>$I$52*$AE$52</f>
        <v>0</v>
      </c>
      <c r="AF121" s="13">
        <f ca="1">$I$52*$AF$52</f>
        <v>0</v>
      </c>
      <c r="AG121" s="13">
        <f ca="1">$I$52*$AG$52</f>
        <v>0</v>
      </c>
      <c r="AI121" s="13">
        <f>$I$52*$AI$52</f>
        <v>0</v>
      </c>
      <c r="AJ121" s="13">
        <f>$I$52*$AJ$52</f>
        <v>0</v>
      </c>
      <c r="AK121" s="13">
        <f>$I$52*$AK$52</f>
        <v>0</v>
      </c>
      <c r="AL121" s="13">
        <f>$I$52*$AL$52</f>
        <v>0</v>
      </c>
      <c r="AM121" s="13">
        <f>$I$52*$AM$52</f>
        <v>0</v>
      </c>
      <c r="AN121" s="13">
        <f>$I$52*$AN$52</f>
        <v>0</v>
      </c>
      <c r="AO121" s="13">
        <f>$I$52*$AO$52</f>
        <v>0</v>
      </c>
      <c r="AP121" s="13">
        <f>$I$52*$AP$52</f>
        <v>0</v>
      </c>
      <c r="AQ121" s="13">
        <f>$I$52*$AQ$52</f>
        <v>0</v>
      </c>
      <c r="AR121" s="13">
        <f>$I$52*$AR$52</f>
        <v>0</v>
      </c>
      <c r="AS121" s="13">
        <f>$I$52*$AS$52</f>
        <v>0</v>
      </c>
      <c r="AT121" s="13">
        <f>$I$52*$AT$52</f>
        <v>0</v>
      </c>
      <c r="AU121" s="13">
        <f>$I$52*$AU$52</f>
        <v>0</v>
      </c>
      <c r="AV121" s="13">
        <f>$I$52*$AV$52</f>
        <v>0</v>
      </c>
      <c r="AW121" s="13">
        <f>$I$52*$AW$52</f>
        <v>0</v>
      </c>
      <c r="AX121" s="13">
        <f>$I$52*$AX$52</f>
        <v>0</v>
      </c>
      <c r="AY121" s="13">
        <f>$I$52*$AY$52</f>
        <v>0</v>
      </c>
      <c r="AZ121" s="13">
        <f>$I$52*$AZ$52</f>
        <v>0</v>
      </c>
      <c r="BA121" s="13">
        <f>$I$52*$BA$52</f>
        <v>0</v>
      </c>
      <c r="BB121" s="13">
        <f>$I$52*$BB$52</f>
        <v>0</v>
      </c>
      <c r="BC121" s="13">
        <f>$I$52*$BC$52</f>
        <v>0</v>
      </c>
      <c r="BD121" s="13">
        <f>$I$52*$BD$52</f>
        <v>0</v>
      </c>
    </row>
    <row r="122" spans="1:56" ht="11.25" customHeight="1" x14ac:dyDescent="0.25">
      <c r="A122" s="9" t="s">
        <v>46</v>
      </c>
      <c r="B122" s="9" t="s">
        <v>1183</v>
      </c>
      <c r="C122" s="9" t="s">
        <v>1184</v>
      </c>
      <c r="D122" s="9" t="s">
        <v>1197</v>
      </c>
      <c r="E122" s="9" t="s">
        <v>1198</v>
      </c>
      <c r="F122" s="9" t="s">
        <v>1199</v>
      </c>
      <c r="G122" s="9" t="s">
        <v>1202</v>
      </c>
      <c r="L122" s="13">
        <f>$I$53*$L$53</f>
        <v>0</v>
      </c>
      <c r="M122" s="13">
        <f>$I$53*$M$53</f>
        <v>0</v>
      </c>
      <c r="N122" s="13">
        <f ca="1">$I$53*$N$53</f>
        <v>0</v>
      </c>
      <c r="O122" s="13">
        <f>$I$53*$O$53</f>
        <v>0</v>
      </c>
      <c r="P122" s="13">
        <f>$I$53*$P$53</f>
        <v>0</v>
      </c>
      <c r="Q122" s="13">
        <f>$I$53*$Q$53</f>
        <v>0</v>
      </c>
      <c r="R122" s="13">
        <f>$I$53*$R$53</f>
        <v>0</v>
      </c>
      <c r="S122" s="13">
        <f>$I$53*$S$53</f>
        <v>0</v>
      </c>
      <c r="T122" s="13">
        <f>$I$53*$T$53</f>
        <v>0</v>
      </c>
      <c r="U122" s="13">
        <f>$I$53*$U$53</f>
        <v>0</v>
      </c>
      <c r="V122" s="13">
        <f>$I$53*$V$53</f>
        <v>0</v>
      </c>
      <c r="W122" s="13">
        <f>$I$53*$W$53</f>
        <v>0</v>
      </c>
      <c r="X122" s="13">
        <f>$I$53*$X$53</f>
        <v>0</v>
      </c>
      <c r="Y122" s="13">
        <f>$I$53*$Y$53</f>
        <v>0</v>
      </c>
      <c r="Z122" s="13">
        <f>$I$53*$Z$53</f>
        <v>0</v>
      </c>
      <c r="AA122" s="13">
        <f>$I$53*$AA$53</f>
        <v>0</v>
      </c>
      <c r="AB122" s="13">
        <f ca="1">$I$53*$AB$53</f>
        <v>0</v>
      </c>
      <c r="AC122" s="13">
        <f ca="1">$I$53*$AC$53</f>
        <v>0</v>
      </c>
      <c r="AD122" s="13">
        <f>$I$53*$AD$53</f>
        <v>0</v>
      </c>
      <c r="AE122" s="13">
        <f>$I$53*$AE$53</f>
        <v>0</v>
      </c>
      <c r="AF122" s="13">
        <f ca="1">$I$53*$AF$53</f>
        <v>0</v>
      </c>
      <c r="AG122" s="13">
        <f ca="1">$I$53*$AG$53</f>
        <v>0</v>
      </c>
      <c r="AI122" s="13">
        <f>$I$53*$AI$53</f>
        <v>0</v>
      </c>
      <c r="AJ122" s="13">
        <f>$I$53*$AJ$53</f>
        <v>0</v>
      </c>
      <c r="AK122" s="13">
        <f>$I$53*$AK$53</f>
        <v>0</v>
      </c>
      <c r="AL122" s="13">
        <f>$I$53*$AL$53</f>
        <v>0</v>
      </c>
      <c r="AM122" s="13">
        <f>$I$53*$AM$53</f>
        <v>0</v>
      </c>
      <c r="AN122" s="13">
        <f>$I$53*$AN$53</f>
        <v>0</v>
      </c>
      <c r="AO122" s="13">
        <f>$I$53*$AO$53</f>
        <v>0</v>
      </c>
      <c r="AP122" s="13">
        <f>$I$53*$AP$53</f>
        <v>0</v>
      </c>
      <c r="AQ122" s="13">
        <f>$I$53*$AQ$53</f>
        <v>0</v>
      </c>
      <c r="AR122" s="13">
        <f>$I$53*$AR$53</f>
        <v>0</v>
      </c>
      <c r="AS122" s="13">
        <f>$I$53*$AS$53</f>
        <v>0</v>
      </c>
      <c r="AT122" s="13">
        <f>$I$53*$AT$53</f>
        <v>0</v>
      </c>
      <c r="AU122" s="13">
        <f>$I$53*$AU$53</f>
        <v>0</v>
      </c>
      <c r="AV122" s="13">
        <f>$I$53*$AV$53</f>
        <v>0</v>
      </c>
      <c r="AW122" s="13">
        <f>$I$53*$AW$53</f>
        <v>0</v>
      </c>
      <c r="AX122" s="13">
        <f>$I$53*$AX$53</f>
        <v>0</v>
      </c>
      <c r="AY122" s="13">
        <f>$I$53*$AY$53</f>
        <v>0</v>
      </c>
      <c r="AZ122" s="13">
        <f>$I$53*$AZ$53</f>
        <v>0</v>
      </c>
      <c r="BA122" s="13">
        <f>$I$53*$BA$53</f>
        <v>0</v>
      </c>
      <c r="BB122" s="13">
        <f>$I$53*$BB$53</f>
        <v>0</v>
      </c>
      <c r="BC122" s="13">
        <f>$I$53*$BC$53</f>
        <v>0</v>
      </c>
      <c r="BD122" s="13">
        <f>$I$53*$BD$53</f>
        <v>0</v>
      </c>
    </row>
    <row r="123" spans="1:56" ht="11.25" customHeight="1" x14ac:dyDescent="0.25">
      <c r="A123" s="9" t="s">
        <v>46</v>
      </c>
      <c r="B123" s="9" t="s">
        <v>1191</v>
      </c>
      <c r="C123" s="9" t="s">
        <v>1192</v>
      </c>
      <c r="D123" s="9" t="s">
        <v>1203</v>
      </c>
      <c r="E123" s="9" t="s">
        <v>1204</v>
      </c>
      <c r="F123" s="9" t="s">
        <v>1205</v>
      </c>
      <c r="G123" s="9" t="s">
        <v>1206</v>
      </c>
      <c r="L123" s="13">
        <f>$I$54*$L$54</f>
        <v>0</v>
      </c>
      <c r="M123" s="13">
        <f>$I$54*$M$54</f>
        <v>0</v>
      </c>
      <c r="N123" s="13">
        <f ca="1">$I$54*$N$54</f>
        <v>0</v>
      </c>
      <c r="O123" s="13">
        <f>$I$54*$O$54</f>
        <v>0</v>
      </c>
      <c r="P123" s="13">
        <f>$I$54*$P$54</f>
        <v>0</v>
      </c>
      <c r="Q123" s="13">
        <f>$I$54*$Q$54</f>
        <v>0</v>
      </c>
      <c r="R123" s="13">
        <f>$I$54*$R$54</f>
        <v>0</v>
      </c>
      <c r="S123" s="13">
        <f>$I$54*$S$54</f>
        <v>0</v>
      </c>
      <c r="T123" s="13">
        <f>$I$54*$T$54</f>
        <v>0</v>
      </c>
      <c r="U123" s="13">
        <f>$I$54*$U$54</f>
        <v>0</v>
      </c>
      <c r="V123" s="13">
        <f>$I$54*$V$54</f>
        <v>0</v>
      </c>
      <c r="W123" s="13">
        <f>$I$54*$W$54</f>
        <v>0</v>
      </c>
      <c r="X123" s="13">
        <f>$I$54*$X$54</f>
        <v>0</v>
      </c>
      <c r="Y123" s="13">
        <f>$I$54*$Y$54</f>
        <v>0</v>
      </c>
      <c r="Z123" s="13">
        <f>$I$54*$Z$54</f>
        <v>0</v>
      </c>
      <c r="AA123" s="13">
        <f>$I$54*$AA$54</f>
        <v>0</v>
      </c>
      <c r="AB123" s="13">
        <f ca="1">$I$54*$AB$54</f>
        <v>0</v>
      </c>
      <c r="AC123" s="13">
        <f ca="1">$I$54*$AC$54</f>
        <v>0</v>
      </c>
      <c r="AD123" s="13">
        <f>$I$54*$AD$54</f>
        <v>0</v>
      </c>
      <c r="AE123" s="13">
        <f>$I$54*$AE$54</f>
        <v>0</v>
      </c>
      <c r="AF123" s="13">
        <f ca="1">$I$54*$AF$54</f>
        <v>0</v>
      </c>
      <c r="AG123" s="13">
        <f ca="1">$I$54*$AG$54</f>
        <v>0</v>
      </c>
      <c r="AI123" s="13">
        <f>$I$54*$AI$54</f>
        <v>0</v>
      </c>
      <c r="AJ123" s="13">
        <f>$I$54*$AJ$54</f>
        <v>0</v>
      </c>
      <c r="AK123" s="13">
        <f>$I$54*$AK$54</f>
        <v>0</v>
      </c>
      <c r="AL123" s="13">
        <f>$I$54*$AL$54</f>
        <v>0</v>
      </c>
      <c r="AM123" s="13">
        <f>$I$54*$AM$54</f>
        <v>0</v>
      </c>
      <c r="AN123" s="13">
        <f>$I$54*$AN$54</f>
        <v>0</v>
      </c>
      <c r="AO123" s="13">
        <f>$I$54*$AO$54</f>
        <v>0</v>
      </c>
      <c r="AP123" s="13">
        <f>$I$54*$AP$54</f>
        <v>0</v>
      </c>
      <c r="AQ123" s="13">
        <f>$I$54*$AQ$54</f>
        <v>0</v>
      </c>
      <c r="AR123" s="13">
        <f>$I$54*$AR$54</f>
        <v>0</v>
      </c>
      <c r="AS123" s="13">
        <f>$I$54*$AS$54</f>
        <v>0</v>
      </c>
      <c r="AT123" s="13">
        <f>$I$54*$AT$54</f>
        <v>0</v>
      </c>
      <c r="AU123" s="13">
        <f>$I$54*$AU$54</f>
        <v>0</v>
      </c>
      <c r="AV123" s="13">
        <f>$I$54*$AV$54</f>
        <v>0</v>
      </c>
      <c r="AW123" s="13">
        <f>$I$54*$AW$54</f>
        <v>0</v>
      </c>
      <c r="AX123" s="13">
        <f>$I$54*$AX$54</f>
        <v>0</v>
      </c>
      <c r="AY123" s="13">
        <f>$I$54*$AY$54</f>
        <v>0</v>
      </c>
      <c r="AZ123" s="13">
        <f>$I$54*$AZ$54</f>
        <v>0</v>
      </c>
      <c r="BA123" s="13">
        <f>$I$54*$BA$54</f>
        <v>0</v>
      </c>
      <c r="BB123" s="13">
        <f>$I$54*$BB$54</f>
        <v>0</v>
      </c>
      <c r="BC123" s="13">
        <f>$I$54*$BC$54</f>
        <v>0</v>
      </c>
      <c r="BD123" s="13">
        <f>$I$54*$BD$54</f>
        <v>0</v>
      </c>
    </row>
    <row r="124" spans="1:56" ht="11.25" customHeight="1" x14ac:dyDescent="0.25">
      <c r="A124" s="9" t="s">
        <v>46</v>
      </c>
      <c r="B124" s="9" t="s">
        <v>1183</v>
      </c>
      <c r="C124" s="9" t="s">
        <v>1184</v>
      </c>
      <c r="D124" s="9" t="s">
        <v>1207</v>
      </c>
      <c r="E124" s="9" t="s">
        <v>1208</v>
      </c>
      <c r="F124" s="9" t="s">
        <v>1209</v>
      </c>
      <c r="G124" s="9" t="s">
        <v>1210</v>
      </c>
      <c r="L124" s="13">
        <f>$I$55*$L$55</f>
        <v>0</v>
      </c>
      <c r="M124" s="13">
        <f>$I$55*$M$55</f>
        <v>0</v>
      </c>
      <c r="N124" s="13">
        <f ca="1">$I$55*$N$55</f>
        <v>0</v>
      </c>
      <c r="O124" s="13">
        <f>$I$55*$O$55</f>
        <v>0</v>
      </c>
      <c r="P124" s="13">
        <f>$I$55*$P$55</f>
        <v>0</v>
      </c>
      <c r="Q124" s="13">
        <f>$I$55*$Q$55</f>
        <v>0</v>
      </c>
      <c r="R124" s="13">
        <f>$I$55*$R$55</f>
        <v>0</v>
      </c>
      <c r="S124" s="13">
        <f>$I$55*$S$55</f>
        <v>0</v>
      </c>
      <c r="T124" s="13">
        <f>$I$55*$T$55</f>
        <v>0</v>
      </c>
      <c r="U124" s="13">
        <f>$I$55*$U$55</f>
        <v>0</v>
      </c>
      <c r="V124" s="13">
        <f>$I$55*$V$55</f>
        <v>0</v>
      </c>
      <c r="W124" s="13">
        <f>$I$55*$W$55</f>
        <v>0</v>
      </c>
      <c r="X124" s="13">
        <f>$I$55*$X$55</f>
        <v>0</v>
      </c>
      <c r="Y124" s="13">
        <f>$I$55*$Y$55</f>
        <v>0</v>
      </c>
      <c r="Z124" s="13">
        <f>$I$55*$Z$55</f>
        <v>0</v>
      </c>
      <c r="AA124" s="13">
        <f>$I$55*$AA$55</f>
        <v>0</v>
      </c>
      <c r="AB124" s="13">
        <f ca="1">$I$55*$AB$55</f>
        <v>0</v>
      </c>
      <c r="AC124" s="13">
        <f ca="1">$I$55*$AC$55</f>
        <v>0</v>
      </c>
      <c r="AD124" s="13">
        <f>$I$55*$AD$55</f>
        <v>0</v>
      </c>
      <c r="AE124" s="13">
        <f>$I$55*$AE$55</f>
        <v>0</v>
      </c>
      <c r="AF124" s="13">
        <f ca="1">$I$55*$AF$55</f>
        <v>0</v>
      </c>
      <c r="AG124" s="13">
        <f ca="1">$I$55*$AG$55</f>
        <v>0</v>
      </c>
      <c r="AI124" s="13">
        <f>$I$55*$AI$55</f>
        <v>0</v>
      </c>
      <c r="AJ124" s="13">
        <f>$I$55*$AJ$55</f>
        <v>0</v>
      </c>
      <c r="AK124" s="13">
        <f>$I$55*$AK$55</f>
        <v>0</v>
      </c>
      <c r="AL124" s="13">
        <f>$I$55*$AL$55</f>
        <v>0</v>
      </c>
      <c r="AM124" s="13">
        <f>$I$55*$AM$55</f>
        <v>0</v>
      </c>
      <c r="AN124" s="13">
        <f>$I$55*$AN$55</f>
        <v>0</v>
      </c>
      <c r="AO124" s="13">
        <f>$I$55*$AO$55</f>
        <v>0</v>
      </c>
      <c r="AP124" s="13">
        <f>$I$55*$AP$55</f>
        <v>0</v>
      </c>
      <c r="AQ124" s="13">
        <f>$I$55*$AQ$55</f>
        <v>0</v>
      </c>
      <c r="AR124" s="13">
        <f>$I$55*$AR$55</f>
        <v>0</v>
      </c>
      <c r="AS124" s="13">
        <f>$I$55*$AS$55</f>
        <v>0</v>
      </c>
      <c r="AT124" s="13">
        <f>$I$55*$AT$55</f>
        <v>0</v>
      </c>
      <c r="AU124" s="13">
        <f>$I$55*$AU$55</f>
        <v>0</v>
      </c>
      <c r="AV124" s="13">
        <f>$I$55*$AV$55</f>
        <v>0</v>
      </c>
      <c r="AW124" s="13">
        <f>$I$55*$AW$55</f>
        <v>0</v>
      </c>
      <c r="AX124" s="13">
        <f>$I$55*$AX$55</f>
        <v>0</v>
      </c>
      <c r="AY124" s="13">
        <f>$I$55*$AY$55</f>
        <v>0</v>
      </c>
      <c r="AZ124" s="13">
        <f>$I$55*$AZ$55</f>
        <v>0</v>
      </c>
      <c r="BA124" s="13">
        <f>$I$55*$BA$55</f>
        <v>0</v>
      </c>
      <c r="BB124" s="13">
        <f>$I$55*$BB$55</f>
        <v>0</v>
      </c>
      <c r="BC124" s="13">
        <f>$I$55*$BC$55</f>
        <v>0</v>
      </c>
      <c r="BD124" s="13">
        <f>$I$55*$BD$55</f>
        <v>0</v>
      </c>
    </row>
    <row r="125" spans="1:56" ht="11.25" customHeight="1" x14ac:dyDescent="0.25">
      <c r="A125" s="9" t="s">
        <v>46</v>
      </c>
      <c r="B125" s="9" t="s">
        <v>1183</v>
      </c>
      <c r="C125" s="9" t="s">
        <v>1184</v>
      </c>
      <c r="D125" s="9" t="s">
        <v>1207</v>
      </c>
      <c r="E125" s="9" t="s">
        <v>1208</v>
      </c>
      <c r="F125" s="9" t="s">
        <v>1209</v>
      </c>
      <c r="G125" s="9" t="s">
        <v>1211</v>
      </c>
      <c r="L125" s="13">
        <f>$I$56*$L$56</f>
        <v>0</v>
      </c>
      <c r="M125" s="13">
        <f>$I$56*$M$56</f>
        <v>0</v>
      </c>
      <c r="N125" s="13">
        <f ca="1">$I$56*$N$56</f>
        <v>0</v>
      </c>
      <c r="O125" s="13">
        <f>$I$56*$O$56</f>
        <v>0</v>
      </c>
      <c r="P125" s="13">
        <f>$I$56*$P$56</f>
        <v>0</v>
      </c>
      <c r="Q125" s="13">
        <f>$I$56*$Q$56</f>
        <v>0</v>
      </c>
      <c r="R125" s="13">
        <f>$I$56*$R$56</f>
        <v>0</v>
      </c>
      <c r="S125" s="13">
        <f>$I$56*$S$56</f>
        <v>0</v>
      </c>
      <c r="T125" s="13">
        <f>$I$56*$T$56</f>
        <v>0</v>
      </c>
      <c r="U125" s="13">
        <f>$I$56*$U$56</f>
        <v>0</v>
      </c>
      <c r="V125" s="13">
        <f>$I$56*$V$56</f>
        <v>0</v>
      </c>
      <c r="W125" s="13">
        <f>$I$56*$W$56</f>
        <v>0</v>
      </c>
      <c r="X125" s="13">
        <f>$I$56*$X$56</f>
        <v>0</v>
      </c>
      <c r="Y125" s="13">
        <f>$I$56*$Y$56</f>
        <v>0</v>
      </c>
      <c r="Z125" s="13">
        <f>$I$56*$Z$56</f>
        <v>0</v>
      </c>
      <c r="AA125" s="13">
        <f>$I$56*$AA$56</f>
        <v>0</v>
      </c>
      <c r="AB125" s="13">
        <f ca="1">$I$56*$AB$56</f>
        <v>0</v>
      </c>
      <c r="AC125" s="13">
        <f ca="1">$I$56*$AC$56</f>
        <v>0</v>
      </c>
      <c r="AD125" s="13">
        <f>$I$56*$AD$56</f>
        <v>0</v>
      </c>
      <c r="AE125" s="13">
        <f>$I$56*$AE$56</f>
        <v>0</v>
      </c>
      <c r="AF125" s="13">
        <f ca="1">$I$56*$AF$56</f>
        <v>0</v>
      </c>
      <c r="AG125" s="13">
        <f ca="1">$I$56*$AG$56</f>
        <v>0</v>
      </c>
      <c r="AI125" s="13">
        <f>$I$56*$AI$56</f>
        <v>0</v>
      </c>
      <c r="AJ125" s="13">
        <f>$I$56*$AJ$56</f>
        <v>0</v>
      </c>
      <c r="AK125" s="13">
        <f>$I$56*$AK$56</f>
        <v>0</v>
      </c>
      <c r="AL125" s="13">
        <f>$I$56*$AL$56</f>
        <v>0</v>
      </c>
      <c r="AM125" s="13">
        <f>$I$56*$AM$56</f>
        <v>0</v>
      </c>
      <c r="AN125" s="13">
        <f>$I$56*$AN$56</f>
        <v>0</v>
      </c>
      <c r="AO125" s="13">
        <f>$I$56*$AO$56</f>
        <v>0</v>
      </c>
      <c r="AP125" s="13">
        <f>$I$56*$AP$56</f>
        <v>0</v>
      </c>
      <c r="AQ125" s="13">
        <f>$I$56*$AQ$56</f>
        <v>0</v>
      </c>
      <c r="AR125" s="13">
        <f>$I$56*$AR$56</f>
        <v>0</v>
      </c>
      <c r="AS125" s="13">
        <f>$I$56*$AS$56</f>
        <v>0</v>
      </c>
      <c r="AT125" s="13">
        <f>$I$56*$AT$56</f>
        <v>0</v>
      </c>
      <c r="AU125" s="13">
        <f>$I$56*$AU$56</f>
        <v>0</v>
      </c>
      <c r="AV125" s="13">
        <f>$I$56*$AV$56</f>
        <v>0</v>
      </c>
      <c r="AW125" s="13">
        <f>$I$56*$AW$56</f>
        <v>0</v>
      </c>
      <c r="AX125" s="13">
        <f>$I$56*$AX$56</f>
        <v>0</v>
      </c>
      <c r="AY125" s="13">
        <f>$I$56*$AY$56</f>
        <v>0</v>
      </c>
      <c r="AZ125" s="13">
        <f>$I$56*$AZ$56</f>
        <v>0</v>
      </c>
      <c r="BA125" s="13">
        <f>$I$56*$BA$56</f>
        <v>0</v>
      </c>
      <c r="BB125" s="13">
        <f>$I$56*$BB$56</f>
        <v>0</v>
      </c>
      <c r="BC125" s="13">
        <f>$I$56*$BC$56</f>
        <v>0</v>
      </c>
      <c r="BD125" s="13">
        <f>$I$56*$BD$56</f>
        <v>0</v>
      </c>
    </row>
    <row r="126" spans="1:56" ht="11.25" customHeight="1" x14ac:dyDescent="0.25">
      <c r="A126" s="9" t="s">
        <v>46</v>
      </c>
      <c r="B126" s="9" t="s">
        <v>1183</v>
      </c>
      <c r="C126" s="9" t="s">
        <v>1184</v>
      </c>
      <c r="D126" s="9" t="s">
        <v>1207</v>
      </c>
      <c r="E126" s="9" t="s">
        <v>1208</v>
      </c>
      <c r="F126" s="9" t="s">
        <v>1209</v>
      </c>
      <c r="G126" s="9" t="s">
        <v>1212</v>
      </c>
      <c r="L126" s="13">
        <f>$I$57*$L$57</f>
        <v>0</v>
      </c>
      <c r="M126" s="13">
        <f>$I$57*$M$57</f>
        <v>0</v>
      </c>
      <c r="N126" s="13">
        <f ca="1">$I$57*$N$57</f>
        <v>0</v>
      </c>
      <c r="O126" s="13">
        <f>$I$57*$O$57</f>
        <v>0</v>
      </c>
      <c r="P126" s="13">
        <f>$I$57*$P$57</f>
        <v>0</v>
      </c>
      <c r="Q126" s="13">
        <f>$I$57*$Q$57</f>
        <v>0</v>
      </c>
      <c r="R126" s="13">
        <f>$I$57*$R$57</f>
        <v>0</v>
      </c>
      <c r="S126" s="13">
        <f>$I$57*$S$57</f>
        <v>0</v>
      </c>
      <c r="T126" s="13">
        <f>$I$57*$T$57</f>
        <v>0</v>
      </c>
      <c r="U126" s="13">
        <f>$I$57*$U$57</f>
        <v>0</v>
      </c>
      <c r="V126" s="13">
        <f>$I$57*$V$57</f>
        <v>0</v>
      </c>
      <c r="W126" s="13">
        <f>$I$57*$W$57</f>
        <v>0</v>
      </c>
      <c r="X126" s="13">
        <f>$I$57*$X$57</f>
        <v>0</v>
      </c>
      <c r="Y126" s="13">
        <f>$I$57*$Y$57</f>
        <v>0</v>
      </c>
      <c r="Z126" s="13">
        <f>$I$57*$Z$57</f>
        <v>0</v>
      </c>
      <c r="AA126" s="13">
        <f>$I$57*$AA$57</f>
        <v>0</v>
      </c>
      <c r="AB126" s="13">
        <f ca="1">$I$57*$AB$57</f>
        <v>0</v>
      </c>
      <c r="AC126" s="13">
        <f ca="1">$I$57*$AC$57</f>
        <v>0</v>
      </c>
      <c r="AD126" s="13">
        <f>$I$57*$AD$57</f>
        <v>0</v>
      </c>
      <c r="AE126" s="13">
        <f>$I$57*$AE$57</f>
        <v>0</v>
      </c>
      <c r="AF126" s="13">
        <f ca="1">$I$57*$AF$57</f>
        <v>0</v>
      </c>
      <c r="AG126" s="13">
        <f ca="1">$I$57*$AG$57</f>
        <v>0</v>
      </c>
      <c r="AI126" s="13">
        <f>$I$57*$AI$57</f>
        <v>0</v>
      </c>
      <c r="AJ126" s="13">
        <f>$I$57*$AJ$57</f>
        <v>0</v>
      </c>
      <c r="AK126" s="13">
        <f>$I$57*$AK$57</f>
        <v>0</v>
      </c>
      <c r="AL126" s="13">
        <f>$I$57*$AL$57</f>
        <v>0</v>
      </c>
      <c r="AM126" s="13">
        <f>$I$57*$AM$57</f>
        <v>0</v>
      </c>
      <c r="AN126" s="13">
        <f>$I$57*$AN$57</f>
        <v>0</v>
      </c>
      <c r="AO126" s="13">
        <f>$I$57*$AO$57</f>
        <v>0</v>
      </c>
      <c r="AP126" s="13">
        <f>$I$57*$AP$57</f>
        <v>0</v>
      </c>
      <c r="AQ126" s="13">
        <f>$I$57*$AQ$57</f>
        <v>0</v>
      </c>
      <c r="AR126" s="13">
        <f>$I$57*$AR$57</f>
        <v>0</v>
      </c>
      <c r="AS126" s="13">
        <f>$I$57*$AS$57</f>
        <v>0</v>
      </c>
      <c r="AT126" s="13">
        <f>$I$57*$AT$57</f>
        <v>0</v>
      </c>
      <c r="AU126" s="13">
        <f>$I$57*$AU$57</f>
        <v>0</v>
      </c>
      <c r="AV126" s="13">
        <f>$I$57*$AV$57</f>
        <v>0</v>
      </c>
      <c r="AW126" s="13">
        <f>$I$57*$AW$57</f>
        <v>0</v>
      </c>
      <c r="AX126" s="13">
        <f>$I$57*$AX$57</f>
        <v>0</v>
      </c>
      <c r="AY126" s="13">
        <f>$I$57*$AY$57</f>
        <v>0</v>
      </c>
      <c r="AZ126" s="13">
        <f>$I$57*$AZ$57</f>
        <v>0</v>
      </c>
      <c r="BA126" s="13">
        <f>$I$57*$BA$57</f>
        <v>0</v>
      </c>
      <c r="BB126" s="13">
        <f>$I$57*$BB$57</f>
        <v>0</v>
      </c>
      <c r="BC126" s="13">
        <f>$I$57*$BC$57</f>
        <v>0</v>
      </c>
      <c r="BD126" s="13">
        <f>$I$57*$BD$57</f>
        <v>0</v>
      </c>
    </row>
    <row r="127" spans="1:56" ht="11.25" customHeight="1" x14ac:dyDescent="0.25">
      <c r="A127" s="9" t="s">
        <v>46</v>
      </c>
      <c r="B127" s="9" t="s">
        <v>1191</v>
      </c>
      <c r="C127" s="9" t="s">
        <v>1192</v>
      </c>
      <c r="D127" s="9" t="s">
        <v>1213</v>
      </c>
      <c r="E127" s="9" t="s">
        <v>1214</v>
      </c>
      <c r="F127" s="9" t="s">
        <v>1215</v>
      </c>
      <c r="G127" s="9" t="s">
        <v>1216</v>
      </c>
      <c r="L127" s="13">
        <f>$I$58*$L$58</f>
        <v>0</v>
      </c>
      <c r="M127" s="13">
        <f>$I$58*$M$58</f>
        <v>0</v>
      </c>
      <c r="N127" s="13">
        <f ca="1">$I$58*$N$58</f>
        <v>0</v>
      </c>
      <c r="O127" s="13">
        <f>$I$58*$O$58</f>
        <v>0</v>
      </c>
      <c r="P127" s="13">
        <f>$I$58*$P$58</f>
        <v>0</v>
      </c>
      <c r="Q127" s="13">
        <f>$I$58*$Q$58</f>
        <v>0</v>
      </c>
      <c r="R127" s="13">
        <f>$I$58*$R$58</f>
        <v>0</v>
      </c>
      <c r="S127" s="13">
        <f>$I$58*$S$58</f>
        <v>0</v>
      </c>
      <c r="T127" s="13">
        <f>$I$58*$T$58</f>
        <v>0</v>
      </c>
      <c r="U127" s="13">
        <f>$I$58*$U$58</f>
        <v>0</v>
      </c>
      <c r="V127" s="13">
        <f>$I$58*$V$58</f>
        <v>0</v>
      </c>
      <c r="W127" s="13">
        <f>$I$58*$W$58</f>
        <v>0</v>
      </c>
      <c r="X127" s="13">
        <f>$I$58*$X$58</f>
        <v>0</v>
      </c>
      <c r="Y127" s="13">
        <f>$I$58*$Y$58</f>
        <v>0</v>
      </c>
      <c r="Z127" s="13">
        <f>$I$58*$Z$58</f>
        <v>0</v>
      </c>
      <c r="AA127" s="13">
        <f>$I$58*$AA$58</f>
        <v>0</v>
      </c>
      <c r="AB127" s="13">
        <f ca="1">$I$58*$AB$58</f>
        <v>0</v>
      </c>
      <c r="AC127" s="13">
        <f ca="1">$I$58*$AC$58</f>
        <v>0</v>
      </c>
      <c r="AD127" s="13">
        <f>$I$58*$AD$58</f>
        <v>0</v>
      </c>
      <c r="AE127" s="13">
        <f>$I$58*$AE$58</f>
        <v>0</v>
      </c>
      <c r="AF127" s="13">
        <f ca="1">$I$58*$AF$58</f>
        <v>0</v>
      </c>
      <c r="AG127" s="13">
        <f ca="1">$I$58*$AG$58</f>
        <v>0</v>
      </c>
      <c r="AI127" s="13">
        <f>$I$58*$AI$58</f>
        <v>0</v>
      </c>
      <c r="AJ127" s="13">
        <f>$I$58*$AJ$58</f>
        <v>0</v>
      </c>
      <c r="AK127" s="13">
        <f>$I$58*$AK$58</f>
        <v>0</v>
      </c>
      <c r="AL127" s="13">
        <f>$I$58*$AL$58</f>
        <v>0</v>
      </c>
      <c r="AM127" s="13">
        <f>$I$58*$AM$58</f>
        <v>0</v>
      </c>
      <c r="AN127" s="13">
        <f>$I$58*$AN$58</f>
        <v>0</v>
      </c>
      <c r="AO127" s="13">
        <f>$I$58*$AO$58</f>
        <v>0</v>
      </c>
      <c r="AP127" s="13">
        <f>$I$58*$AP$58</f>
        <v>0</v>
      </c>
      <c r="AQ127" s="13">
        <f>$I$58*$AQ$58</f>
        <v>0</v>
      </c>
      <c r="AR127" s="13">
        <f>$I$58*$AR$58</f>
        <v>0</v>
      </c>
      <c r="AS127" s="13">
        <f>$I$58*$AS$58</f>
        <v>0</v>
      </c>
      <c r="AT127" s="13">
        <f>$I$58*$AT$58</f>
        <v>0</v>
      </c>
      <c r="AU127" s="13">
        <f>$I$58*$AU$58</f>
        <v>0</v>
      </c>
      <c r="AV127" s="13">
        <f>$I$58*$AV$58</f>
        <v>0</v>
      </c>
      <c r="AW127" s="13">
        <f>$I$58*$AW$58</f>
        <v>0</v>
      </c>
      <c r="AX127" s="13">
        <f>$I$58*$AX$58</f>
        <v>0</v>
      </c>
      <c r="AY127" s="13">
        <f>$I$58*$AY$58</f>
        <v>0</v>
      </c>
      <c r="AZ127" s="13">
        <f>$I$58*$AZ$58</f>
        <v>0</v>
      </c>
      <c r="BA127" s="13">
        <f>$I$58*$BA$58</f>
        <v>0</v>
      </c>
      <c r="BB127" s="13">
        <f>$I$58*$BB$58</f>
        <v>0</v>
      </c>
      <c r="BC127" s="13">
        <f>$I$58*$BC$58</f>
        <v>0</v>
      </c>
      <c r="BD127" s="13">
        <f>$I$58*$BD$58</f>
        <v>0</v>
      </c>
    </row>
    <row r="128" spans="1:56" ht="11.25" customHeight="1" x14ac:dyDescent="0.25">
      <c r="A128" s="9" t="s">
        <v>46</v>
      </c>
      <c r="B128" s="9" t="s">
        <v>1217</v>
      </c>
      <c r="C128" s="9" t="s">
        <v>1218</v>
      </c>
      <c r="D128" s="9" t="s">
        <v>1219</v>
      </c>
      <c r="E128" s="9" t="s">
        <v>1220</v>
      </c>
      <c r="F128" s="9" t="s">
        <v>1221</v>
      </c>
      <c r="G128" s="9" t="s">
        <v>1222</v>
      </c>
      <c r="L128" s="13">
        <f>$I$59*$L$59</f>
        <v>0</v>
      </c>
      <c r="M128" s="13">
        <f>$I$59*$M$59</f>
        <v>0</v>
      </c>
      <c r="N128" s="13">
        <f ca="1">$I$59*$N$59</f>
        <v>0</v>
      </c>
      <c r="O128" s="13">
        <f>$I$59*$O$59</f>
        <v>0</v>
      </c>
      <c r="P128" s="13">
        <f>$I$59*$P$59</f>
        <v>0</v>
      </c>
      <c r="Q128" s="13">
        <f>$I$59*$Q$59</f>
        <v>0</v>
      </c>
      <c r="R128" s="13">
        <f>$I$59*$R$59</f>
        <v>0</v>
      </c>
      <c r="S128" s="13">
        <f>$I$59*$S$59</f>
        <v>0</v>
      </c>
      <c r="T128" s="13">
        <f>$I$59*$T$59</f>
        <v>0</v>
      </c>
      <c r="U128" s="13">
        <f>$I$59*$U$59</f>
        <v>0</v>
      </c>
      <c r="V128" s="13">
        <f>$I$59*$V$59</f>
        <v>0</v>
      </c>
      <c r="W128" s="13">
        <f>$I$59*$W$59</f>
        <v>0</v>
      </c>
      <c r="X128" s="13">
        <f>$I$59*$X$59</f>
        <v>0</v>
      </c>
      <c r="Y128" s="13">
        <f>$I$59*$Y$59</f>
        <v>0</v>
      </c>
      <c r="Z128" s="13">
        <f>$I$59*$Z$59</f>
        <v>0</v>
      </c>
      <c r="AA128" s="13">
        <f>$I$59*$AA$59</f>
        <v>0</v>
      </c>
      <c r="AB128" s="13">
        <f ca="1">$I$59*$AB$59</f>
        <v>0</v>
      </c>
      <c r="AC128" s="13">
        <f ca="1">$I$59*$AC$59</f>
        <v>0</v>
      </c>
      <c r="AD128" s="13">
        <f>$I$59*$AD$59</f>
        <v>0</v>
      </c>
      <c r="AE128" s="13">
        <f>$I$59*$AE$59</f>
        <v>0</v>
      </c>
      <c r="AF128" s="13">
        <f ca="1">$I$59*$AF$59</f>
        <v>0</v>
      </c>
      <c r="AG128" s="13">
        <f ca="1">$I$59*$AG$59</f>
        <v>0</v>
      </c>
      <c r="AI128" s="13">
        <f>$I$59*$AI$59</f>
        <v>0</v>
      </c>
      <c r="AJ128" s="13">
        <f>$I$59*$AJ$59</f>
        <v>0</v>
      </c>
      <c r="AK128" s="13">
        <f>$I$59*$AK$59</f>
        <v>0</v>
      </c>
      <c r="AL128" s="13">
        <f>$I$59*$AL$59</f>
        <v>0</v>
      </c>
      <c r="AM128" s="13">
        <f>$I$59*$AM$59</f>
        <v>0</v>
      </c>
      <c r="AN128" s="13">
        <f>$I$59*$AN$59</f>
        <v>0</v>
      </c>
      <c r="AO128" s="13">
        <f>$I$59*$AO$59</f>
        <v>0</v>
      </c>
      <c r="AP128" s="13">
        <f>$I$59*$AP$59</f>
        <v>0</v>
      </c>
      <c r="AQ128" s="13">
        <f>$I$59*$AQ$59</f>
        <v>0</v>
      </c>
      <c r="AR128" s="13">
        <f>$I$59*$AR$59</f>
        <v>0</v>
      </c>
      <c r="AS128" s="13">
        <f>$I$59*$AS$59</f>
        <v>0</v>
      </c>
      <c r="AT128" s="13">
        <f>$I$59*$AT$59</f>
        <v>0</v>
      </c>
      <c r="AU128" s="13">
        <f>$I$59*$AU$59</f>
        <v>0</v>
      </c>
      <c r="AV128" s="13">
        <f>$I$59*$AV$59</f>
        <v>0</v>
      </c>
      <c r="AW128" s="13">
        <f>$I$59*$AW$59</f>
        <v>0</v>
      </c>
      <c r="AX128" s="13">
        <f>$I$59*$AX$59</f>
        <v>0</v>
      </c>
      <c r="AY128" s="13">
        <f>$I$59*$AY$59</f>
        <v>0</v>
      </c>
      <c r="AZ128" s="13">
        <f>$I$59*$AZ$59</f>
        <v>0</v>
      </c>
      <c r="BA128" s="13">
        <f>$I$59*$BA$59</f>
        <v>0</v>
      </c>
      <c r="BB128" s="13">
        <f>$I$59*$BB$59</f>
        <v>0</v>
      </c>
      <c r="BC128" s="13">
        <f>$I$59*$BC$59</f>
        <v>0</v>
      </c>
      <c r="BD128" s="13">
        <f>$I$59*$BD$59</f>
        <v>0</v>
      </c>
    </row>
    <row r="129" spans="1:56" ht="11.25" customHeight="1" x14ac:dyDescent="0.25">
      <c r="A129" s="9" t="s">
        <v>46</v>
      </c>
      <c r="B129" s="9" t="s">
        <v>1217</v>
      </c>
      <c r="C129" s="9" t="s">
        <v>1218</v>
      </c>
      <c r="D129" s="9" t="s">
        <v>1223</v>
      </c>
      <c r="E129" s="9" t="s">
        <v>1224</v>
      </c>
      <c r="F129" s="9" t="s">
        <v>1225</v>
      </c>
      <c r="G129" s="9" t="s">
        <v>1226</v>
      </c>
      <c r="L129" s="13">
        <f>$I$60*$L$60</f>
        <v>0</v>
      </c>
      <c r="M129" s="13">
        <f>$I$60*$M$60</f>
        <v>0</v>
      </c>
      <c r="N129" s="13">
        <f ca="1">$I$60*$N$60</f>
        <v>0</v>
      </c>
      <c r="O129" s="13">
        <f>$I$60*$O$60</f>
        <v>0</v>
      </c>
      <c r="P129" s="13">
        <f>$I$60*$P$60</f>
        <v>0</v>
      </c>
      <c r="Q129" s="13">
        <f>$I$60*$Q$60</f>
        <v>0</v>
      </c>
      <c r="R129" s="13">
        <f>$I$60*$R$60</f>
        <v>0</v>
      </c>
      <c r="S129" s="13">
        <f>$I$60*$S$60</f>
        <v>0</v>
      </c>
      <c r="T129" s="13">
        <f>$I$60*$T$60</f>
        <v>0</v>
      </c>
      <c r="U129" s="13">
        <f>$I$60*$U$60</f>
        <v>0</v>
      </c>
      <c r="V129" s="13">
        <f>$I$60*$V$60</f>
        <v>0</v>
      </c>
      <c r="W129" s="13">
        <f>$I$60*$W$60</f>
        <v>0</v>
      </c>
      <c r="X129" s="13">
        <f>$I$60*$X$60</f>
        <v>0</v>
      </c>
      <c r="Y129" s="13">
        <f>$I$60*$Y$60</f>
        <v>0</v>
      </c>
      <c r="Z129" s="13">
        <f>$I$60*$Z$60</f>
        <v>0</v>
      </c>
      <c r="AA129" s="13">
        <f>$I$60*$AA$60</f>
        <v>0</v>
      </c>
      <c r="AB129" s="13">
        <f ca="1">$I$60*$AB$60</f>
        <v>0</v>
      </c>
      <c r="AC129" s="13">
        <f ca="1">$I$60*$AC$60</f>
        <v>0</v>
      </c>
      <c r="AD129" s="13">
        <f>$I$60*$AD$60</f>
        <v>0</v>
      </c>
      <c r="AE129" s="13">
        <f>$I$60*$AE$60</f>
        <v>0</v>
      </c>
      <c r="AF129" s="13">
        <f ca="1">$I$60*$AF$60</f>
        <v>0</v>
      </c>
      <c r="AG129" s="13">
        <f ca="1">$I$60*$AG$60</f>
        <v>0</v>
      </c>
      <c r="AI129" s="13">
        <f>$I$60*$AI$60</f>
        <v>0</v>
      </c>
      <c r="AJ129" s="13">
        <f>$I$60*$AJ$60</f>
        <v>0</v>
      </c>
      <c r="AK129" s="13">
        <f>$I$60*$AK$60</f>
        <v>0</v>
      </c>
      <c r="AL129" s="13">
        <f>$I$60*$AL$60</f>
        <v>0</v>
      </c>
      <c r="AM129" s="13">
        <f>$I$60*$AM$60</f>
        <v>0</v>
      </c>
      <c r="AN129" s="13">
        <f>$I$60*$AN$60</f>
        <v>0</v>
      </c>
      <c r="AO129" s="13">
        <f>$I$60*$AO$60</f>
        <v>0</v>
      </c>
      <c r="AP129" s="13">
        <f>$I$60*$AP$60</f>
        <v>0</v>
      </c>
      <c r="AQ129" s="13">
        <f>$I$60*$AQ$60</f>
        <v>0</v>
      </c>
      <c r="AR129" s="13">
        <f>$I$60*$AR$60</f>
        <v>0</v>
      </c>
      <c r="AS129" s="13">
        <f>$I$60*$AS$60</f>
        <v>0</v>
      </c>
      <c r="AT129" s="13">
        <f>$I$60*$AT$60</f>
        <v>0</v>
      </c>
      <c r="AU129" s="13">
        <f>$I$60*$AU$60</f>
        <v>0</v>
      </c>
      <c r="AV129" s="13">
        <f>$I$60*$AV$60</f>
        <v>0</v>
      </c>
      <c r="AW129" s="13">
        <f>$I$60*$AW$60</f>
        <v>0</v>
      </c>
      <c r="AX129" s="13">
        <f>$I$60*$AX$60</f>
        <v>0</v>
      </c>
      <c r="AY129" s="13">
        <f>$I$60*$AY$60</f>
        <v>0</v>
      </c>
      <c r="AZ129" s="13">
        <f>$I$60*$AZ$60</f>
        <v>0</v>
      </c>
      <c r="BA129" s="13">
        <f>$I$60*$BA$60</f>
        <v>0</v>
      </c>
      <c r="BB129" s="13">
        <f>$I$60*$BB$60</f>
        <v>0</v>
      </c>
      <c r="BC129" s="13">
        <f>$I$60*$BC$60</f>
        <v>0</v>
      </c>
      <c r="BD129" s="13">
        <f>$I$60*$BD$60</f>
        <v>0</v>
      </c>
    </row>
    <row r="130" spans="1:56" ht="11.25" customHeight="1" x14ac:dyDescent="0.25">
      <c r="A130" s="9" t="s">
        <v>46</v>
      </c>
      <c r="B130" s="9" t="s">
        <v>1217</v>
      </c>
      <c r="C130" s="9" t="s">
        <v>1218</v>
      </c>
      <c r="D130" s="9" t="s">
        <v>1227</v>
      </c>
      <c r="E130" s="9" t="s">
        <v>1228</v>
      </c>
      <c r="F130" s="9" t="s">
        <v>1229</v>
      </c>
      <c r="G130" s="9" t="s">
        <v>1230</v>
      </c>
      <c r="L130" s="13">
        <f>$I$61*$L$61</f>
        <v>0</v>
      </c>
      <c r="M130" s="13">
        <f>$I$61*$M$61</f>
        <v>0</v>
      </c>
      <c r="N130" s="13">
        <f ca="1">$I$61*$N$61</f>
        <v>0</v>
      </c>
      <c r="O130" s="13">
        <f>$I$61*$O$61</f>
        <v>0</v>
      </c>
      <c r="P130" s="13">
        <f>$I$61*$P$61</f>
        <v>0</v>
      </c>
      <c r="Q130" s="13">
        <f>$I$61*$Q$61</f>
        <v>0</v>
      </c>
      <c r="R130" s="13">
        <f>$I$61*$R$61</f>
        <v>0</v>
      </c>
      <c r="S130" s="13">
        <f>$I$61*$S$61</f>
        <v>0</v>
      </c>
      <c r="T130" s="13">
        <f>$I$61*$T$61</f>
        <v>0</v>
      </c>
      <c r="U130" s="13">
        <f>$I$61*$U$61</f>
        <v>0</v>
      </c>
      <c r="V130" s="13">
        <f>$I$61*$V$61</f>
        <v>0</v>
      </c>
      <c r="W130" s="13">
        <f>$I$61*$W$61</f>
        <v>0</v>
      </c>
      <c r="X130" s="13">
        <f>$I$61*$X$61</f>
        <v>0</v>
      </c>
      <c r="Y130" s="13">
        <f>$I$61*$Y$61</f>
        <v>0</v>
      </c>
      <c r="Z130" s="13">
        <f>$I$61*$Z$61</f>
        <v>0</v>
      </c>
      <c r="AA130" s="13">
        <f>$I$61*$AA$61</f>
        <v>0</v>
      </c>
      <c r="AB130" s="13">
        <f ca="1">$I$61*$AB$61</f>
        <v>0</v>
      </c>
      <c r="AC130" s="13">
        <f ca="1">$I$61*$AC$61</f>
        <v>0</v>
      </c>
      <c r="AD130" s="13">
        <f>$I$61*$AD$61</f>
        <v>0</v>
      </c>
      <c r="AE130" s="13">
        <f>$I$61*$AE$61</f>
        <v>0</v>
      </c>
      <c r="AF130" s="13">
        <f ca="1">$I$61*$AF$61</f>
        <v>0</v>
      </c>
      <c r="AG130" s="13">
        <f ca="1">$I$61*$AG$61</f>
        <v>0</v>
      </c>
      <c r="AI130" s="13">
        <f>$I$61*$AI$61</f>
        <v>0</v>
      </c>
      <c r="AJ130" s="13">
        <f>$I$61*$AJ$61</f>
        <v>0</v>
      </c>
      <c r="AK130" s="13">
        <f>$I$61*$AK$61</f>
        <v>0</v>
      </c>
      <c r="AL130" s="13">
        <f>$I$61*$AL$61</f>
        <v>0</v>
      </c>
      <c r="AM130" s="13">
        <f>$I$61*$AM$61</f>
        <v>0</v>
      </c>
      <c r="AN130" s="13">
        <f>$I$61*$AN$61</f>
        <v>0</v>
      </c>
      <c r="AO130" s="13">
        <f>$I$61*$AO$61</f>
        <v>0</v>
      </c>
      <c r="AP130" s="13">
        <f>$I$61*$AP$61</f>
        <v>0</v>
      </c>
      <c r="AQ130" s="13">
        <f>$I$61*$AQ$61</f>
        <v>0</v>
      </c>
      <c r="AR130" s="13">
        <f>$I$61*$AR$61</f>
        <v>0</v>
      </c>
      <c r="AS130" s="13">
        <f>$I$61*$AS$61</f>
        <v>0</v>
      </c>
      <c r="AT130" s="13">
        <f>$I$61*$AT$61</f>
        <v>0</v>
      </c>
      <c r="AU130" s="13">
        <f>$I$61*$AU$61</f>
        <v>0</v>
      </c>
      <c r="AV130" s="13">
        <f>$I$61*$AV$61</f>
        <v>0</v>
      </c>
      <c r="AW130" s="13">
        <f>$I$61*$AW$61</f>
        <v>0</v>
      </c>
      <c r="AX130" s="13">
        <f>$I$61*$AX$61</f>
        <v>0</v>
      </c>
      <c r="AY130" s="13">
        <f>$I$61*$AY$61</f>
        <v>0</v>
      </c>
      <c r="AZ130" s="13">
        <f>$I$61*$AZ$61</f>
        <v>0</v>
      </c>
      <c r="BA130" s="13">
        <f>$I$61*$BA$61</f>
        <v>0</v>
      </c>
      <c r="BB130" s="13">
        <f>$I$61*$BB$61</f>
        <v>0</v>
      </c>
      <c r="BC130" s="13">
        <f>$I$61*$BC$61</f>
        <v>0</v>
      </c>
      <c r="BD130" s="13">
        <f>$I$61*$BD$61</f>
        <v>0</v>
      </c>
    </row>
    <row r="131" spans="1:56" ht="11.25" customHeight="1" x14ac:dyDescent="0.25">
      <c r="A131" s="9" t="s">
        <v>39</v>
      </c>
      <c r="B131" s="9" t="s">
        <v>1231</v>
      </c>
      <c r="C131" s="9" t="s">
        <v>1232</v>
      </c>
      <c r="D131" s="9" t="s">
        <v>1233</v>
      </c>
      <c r="E131" s="9" t="s">
        <v>1234</v>
      </c>
      <c r="F131" s="9" t="s">
        <v>1235</v>
      </c>
      <c r="G131" s="9" t="s">
        <v>1236</v>
      </c>
      <c r="L131" s="13">
        <f>$I$62*$L$62</f>
        <v>1607.5456172117624</v>
      </c>
      <c r="M131" s="13">
        <f>$I$62*$M$62</f>
        <v>98.615239509712538</v>
      </c>
      <c r="N131" s="13">
        <f ca="1">$I$62*$N$62</f>
        <v>1052.2145937150608</v>
      </c>
      <c r="O131" s="13">
        <f>$I$62*$O$62</f>
        <v>0</v>
      </c>
      <c r="P131" s="13">
        <f>$I$62*$P$62</f>
        <v>0</v>
      </c>
      <c r="Q131" s="13">
        <f>$I$62*$Q$62</f>
        <v>3995.710228829721</v>
      </c>
      <c r="R131" s="13">
        <f>$I$62*$R$62</f>
        <v>1478.9945336498915</v>
      </c>
      <c r="S131" s="13">
        <f>$I$62*$S$62</f>
        <v>0</v>
      </c>
      <c r="T131" s="13">
        <f>$I$62*$T$62</f>
        <v>4511.5161450003425</v>
      </c>
      <c r="U131" s="13">
        <f>$I$62*$U$62</f>
        <v>4928.5225584075051</v>
      </c>
      <c r="V131" s="13">
        <f>$I$62*$V$62</f>
        <v>424.2275038169667</v>
      </c>
      <c r="W131" s="13">
        <f>$I$62*$W$62</f>
        <v>0</v>
      </c>
      <c r="X131" s="13">
        <f>$I$62*$X$62</f>
        <v>0</v>
      </c>
      <c r="Y131" s="13">
        <f>$I$62*$Y$62</f>
        <v>0</v>
      </c>
      <c r="Z131" s="13">
        <f>$I$62*$Z$62</f>
        <v>0</v>
      </c>
      <c r="AA131" s="13">
        <f>$I$62*$AA$62</f>
        <v>92761.260100529515</v>
      </c>
      <c r="AB131" s="13">
        <f ca="1">$I$62*$AB$62</f>
        <v>-10214.96464610019</v>
      </c>
      <c r="AC131" s="13">
        <f ca="1">$I$62*$AC$62</f>
        <v>0</v>
      </c>
      <c r="AD131" s="13">
        <f>$I$62*$AD$62</f>
        <v>2605.1428915693796</v>
      </c>
      <c r="AE131" s="13">
        <f>$I$62*$AE$62</f>
        <v>120.45937588815029</v>
      </c>
      <c r="AF131" s="13">
        <f ca="1">$I$62*$AF$62</f>
        <v>2516.7138613272982</v>
      </c>
      <c r="AG131" s="13">
        <f ca="1">$I$62*$AG$62</f>
        <v>920.5472395123162</v>
      </c>
      <c r="AI131" s="13">
        <f>$I$62*$AI$62</f>
        <v>1815.5778412818215</v>
      </c>
      <c r="AJ131" s="13">
        <f>$I$62*$AJ$62</f>
        <v>92.742574819649761</v>
      </c>
      <c r="AK131" s="13">
        <f>$I$62*$AK$62</f>
        <v>967.14940709538234</v>
      </c>
      <c r="AL131" s="13">
        <f>$I$62*$AL$62</f>
        <v>0</v>
      </c>
      <c r="AM131" s="13">
        <f>$I$62*$AM$62</f>
        <v>0</v>
      </c>
      <c r="AN131" s="13">
        <f>$I$62*$AN$62</f>
        <v>2046.2354824366735</v>
      </c>
      <c r="AO131" s="13">
        <f>$I$62*$AO$62</f>
        <v>894.08594673490018</v>
      </c>
      <c r="AP131" s="13">
        <f>$I$62*$AP$62</f>
        <v>0</v>
      </c>
      <c r="AQ131" s="13">
        <f>$I$62*$AQ$62</f>
        <v>2976.9854600086287</v>
      </c>
      <c r="AR131" s="13">
        <f>$I$62*$AR$62</f>
        <v>3817.5568447004375</v>
      </c>
      <c r="AS131" s="13">
        <f>$I$62*$AS$62</f>
        <v>331.89125828621661</v>
      </c>
      <c r="AT131" s="13">
        <f>$I$62*$AT$62</f>
        <v>0</v>
      </c>
      <c r="AU131" s="13">
        <f>$I$62*$AU$62</f>
        <v>0</v>
      </c>
      <c r="AV131" s="13">
        <f>$I$62*$AV$62</f>
        <v>0</v>
      </c>
      <c r="AW131" s="13">
        <f>$I$62*$AW$62</f>
        <v>0</v>
      </c>
      <c r="AX131" s="13">
        <f>$I$62*$AX$62</f>
        <v>87110.997077088614</v>
      </c>
      <c r="AY131" s="13">
        <f>$I$62*$AY$62</f>
        <v>0</v>
      </c>
      <c r="AZ131" s="13">
        <f>$I$62*$AZ$62</f>
        <v>0</v>
      </c>
      <c r="BA131" s="13">
        <f>$I$62*$BA$62</f>
        <v>1688.5957740688889</v>
      </c>
      <c r="BB131" s="13">
        <f>$I$62*$BB$62</f>
        <v>72.101282949047686</v>
      </c>
      <c r="BC131" s="13">
        <f>$I$62*$BC$62</f>
        <v>1668.8215720133007</v>
      </c>
      <c r="BD131" s="13">
        <f>$I$62*$BD$62</f>
        <v>736.49511551972546</v>
      </c>
    </row>
    <row r="132" spans="1:56" ht="11.25" customHeight="1" x14ac:dyDescent="0.25">
      <c r="A132" s="9" t="s">
        <v>39</v>
      </c>
      <c r="B132" s="9" t="s">
        <v>1231</v>
      </c>
      <c r="C132" s="9" t="s">
        <v>1232</v>
      </c>
      <c r="D132" s="9" t="s">
        <v>1233</v>
      </c>
      <c r="E132" s="9" t="s">
        <v>1234</v>
      </c>
      <c r="F132" s="9" t="s">
        <v>1235</v>
      </c>
      <c r="G132" s="9" t="s">
        <v>1237</v>
      </c>
      <c r="L132" s="13">
        <f>$I$63*$L$63</f>
        <v>838.17756949895136</v>
      </c>
      <c r="M132" s="13">
        <f>$I$63*$M$63</f>
        <v>51.418187380071956</v>
      </c>
      <c r="N132" s="13">
        <f ca="1">$I$63*$N$63</f>
        <v>349.17729049065383</v>
      </c>
      <c r="O132" s="13">
        <f>$I$63*$O$63</f>
        <v>0</v>
      </c>
      <c r="P132" s="13">
        <f>$I$63*$P$63</f>
        <v>0</v>
      </c>
      <c r="Q132" s="13">
        <f>$I$63*$Q$63</f>
        <v>2083.3714777136647</v>
      </c>
      <c r="R132" s="13">
        <f>$I$63*$R$63</f>
        <v>771.15077186242024</v>
      </c>
      <c r="S132" s="13">
        <f>$I$63*$S$63</f>
        <v>0</v>
      </c>
      <c r="T132" s="13">
        <f>$I$63*$T$63</f>
        <v>1411.3882418082078</v>
      </c>
      <c r="U132" s="13">
        <f>$I$63*$U$63</f>
        <v>1541.846712301661</v>
      </c>
      <c r="V132" s="13">
        <f>$I$63*$V$63</f>
        <v>132.71452437799229</v>
      </c>
      <c r="W132" s="13">
        <f>$I$63*$W$63</f>
        <v>0</v>
      </c>
      <c r="X132" s="13">
        <f>$I$63*$X$63</f>
        <v>0</v>
      </c>
      <c r="Y132" s="13">
        <f>$I$63*$Y$63</f>
        <v>0</v>
      </c>
      <c r="Z132" s="13">
        <f>$I$63*$Z$63</f>
        <v>0</v>
      </c>
      <c r="AA132" s="13">
        <f>$I$63*$AA$63</f>
        <v>29019.545333473314</v>
      </c>
      <c r="AB132" s="13">
        <f ca="1">$I$63*$AB$63</f>
        <v>-3413.8523589811452</v>
      </c>
      <c r="AC132" s="13">
        <f ca="1">$I$63*$AC$63</f>
        <v>0</v>
      </c>
      <c r="AD132" s="13">
        <f>$I$63*$AD$63</f>
        <v>1358.326826731319</v>
      </c>
      <c r="AE132" s="13">
        <f>$I$63*$AE$63</f>
        <v>62.807764721733598</v>
      </c>
      <c r="AF132" s="13">
        <f ca="1">$I$63*$AF$63</f>
        <v>1312.2197496767876</v>
      </c>
      <c r="AG132" s="13">
        <f ca="1">$I$63*$AG$63</f>
        <v>479.97521162832521</v>
      </c>
      <c r="AI132" s="13">
        <f>$I$63*$AI$63</f>
        <v>946.6459961996128</v>
      </c>
      <c r="AJ132" s="13">
        <f>$I$63*$AJ$63</f>
        <v>48.356168011105758</v>
      </c>
      <c r="AK132" s="13">
        <f>$I$63*$AK$63</f>
        <v>319.68341097711499</v>
      </c>
      <c r="AL132" s="13">
        <f>$I$63*$AL$63</f>
        <v>0</v>
      </c>
      <c r="AM132" s="13">
        <f>$I$63*$AM$63</f>
        <v>0</v>
      </c>
      <c r="AN132" s="13">
        <f>$I$63*$AN$63</f>
        <v>1066.9113615986137</v>
      </c>
      <c r="AO132" s="13">
        <f>$I$63*$AO$63</f>
        <v>466.17823950603861</v>
      </c>
      <c r="AP132" s="13">
        <f>$I$63*$AP$63</f>
        <v>0</v>
      </c>
      <c r="AQ132" s="13">
        <f>$I$63*$AQ$63</f>
        <v>931.32378101904339</v>
      </c>
      <c r="AR132" s="13">
        <f>$I$63*$AR$63</f>
        <v>1194.2904593152505</v>
      </c>
      <c r="AS132" s="13">
        <f>$I$63*$AS$63</f>
        <v>103.82822917505253</v>
      </c>
      <c r="AT132" s="13">
        <f>$I$63*$AT$63</f>
        <v>0</v>
      </c>
      <c r="AU132" s="13">
        <f>$I$63*$AU$63</f>
        <v>0</v>
      </c>
      <c r="AV132" s="13">
        <f>$I$63*$AV$63</f>
        <v>0</v>
      </c>
      <c r="AW132" s="13">
        <f>$I$63*$AW$63</f>
        <v>0</v>
      </c>
      <c r="AX132" s="13">
        <f>$I$63*$AX$63</f>
        <v>27251.910183011787</v>
      </c>
      <c r="AY132" s="13">
        <f>$I$63*$AY$63</f>
        <v>0</v>
      </c>
      <c r="AZ132" s="13">
        <f>$I$63*$AZ$63</f>
        <v>0</v>
      </c>
      <c r="BA132" s="13">
        <f>$I$63*$BA$63</f>
        <v>880.43728689337615</v>
      </c>
      <c r="BB132" s="13">
        <f>$I$63*$BB$63</f>
        <v>37.593756253591927</v>
      </c>
      <c r="BC132" s="13">
        <f>$I$63*$BC$63</f>
        <v>870.12697753712803</v>
      </c>
      <c r="BD132" s="13">
        <f>$I$63*$BD$63</f>
        <v>384.01005810639714</v>
      </c>
    </row>
    <row r="133" spans="1:56" ht="11.25" customHeight="1" x14ac:dyDescent="0.25">
      <c r="A133" s="9" t="s">
        <v>39</v>
      </c>
      <c r="B133" s="9" t="s">
        <v>1231</v>
      </c>
      <c r="C133" s="9" t="s">
        <v>1232</v>
      </c>
      <c r="D133" s="9" t="s">
        <v>1233</v>
      </c>
      <c r="E133" s="9" t="s">
        <v>1234</v>
      </c>
      <c r="F133" s="9" t="s">
        <v>1235</v>
      </c>
      <c r="G133" s="9" t="s">
        <v>1238</v>
      </c>
      <c r="L133" s="13">
        <f>$I$64*$L$64</f>
        <v>26901.949948328722</v>
      </c>
      <c r="M133" s="13">
        <f>$I$64*$M$64</f>
        <v>1650.3060373702995</v>
      </c>
      <c r="N133" s="13">
        <f ca="1">$I$64*$N$64</f>
        <v>4805.6263533502251</v>
      </c>
      <c r="O133" s="13">
        <f>$I$64*$O$64</f>
        <v>0</v>
      </c>
      <c r="P133" s="13">
        <f>$I$64*$P$64</f>
        <v>0</v>
      </c>
      <c r="Q133" s="13">
        <f>$I$64*$Q$64</f>
        <v>66867.400484998027</v>
      </c>
      <c r="R133" s="13">
        <f>$I$64*$R$64</f>
        <v>24750.673630719059</v>
      </c>
      <c r="S133" s="13">
        <f>$I$64*$S$64</f>
        <v>0</v>
      </c>
      <c r="T133" s="13">
        <f>$I$64*$T$64</f>
        <v>15099.861580834784</v>
      </c>
      <c r="U133" s="13">
        <f>$I$64*$U$64</f>
        <v>16495.672520520373</v>
      </c>
      <c r="V133" s="13">
        <f>$I$64*$V$64</f>
        <v>1419.7870045933828</v>
      </c>
      <c r="W133" s="13">
        <f>$I$64*$W$64</f>
        <v>0</v>
      </c>
      <c r="X133" s="13">
        <f>$I$64*$X$64</f>
        <v>0</v>
      </c>
      <c r="Y133" s="13">
        <f>$I$64*$Y$64</f>
        <v>0</v>
      </c>
      <c r="Z133" s="13">
        <f>$I$64*$Z$64</f>
        <v>0</v>
      </c>
      <c r="AA133" s="13">
        <f>$I$64*$AA$64</f>
        <v>310468.11163822998</v>
      </c>
      <c r="AB133" s="13">
        <f ca="1">$I$64*$AB$64</f>
        <v>-48195.041157084095</v>
      </c>
      <c r="AC133" s="13">
        <f ca="1">$I$64*$AC$64</f>
        <v>0</v>
      </c>
      <c r="AD133" s="13">
        <f>$I$64*$AD$64</f>
        <v>43596.538055822835</v>
      </c>
      <c r="AE133" s="13">
        <f>$I$64*$AE$64</f>
        <v>2015.8632304137286</v>
      </c>
      <c r="AF133" s="13">
        <f ca="1">$I$64*$AF$64</f>
        <v>42116.696165128698</v>
      </c>
      <c r="AG133" s="13">
        <f ca="1">$I$64*$AG$64</f>
        <v>15405.171397490903</v>
      </c>
      <c r="AI133" s="13">
        <f>$I$64*$AI$64</f>
        <v>30383.327036264269</v>
      </c>
      <c r="AJ133" s="13">
        <f>$I$64*$AJ$64</f>
        <v>1552.0281845592492</v>
      </c>
      <c r="AK133" s="13">
        <f>$I$64*$AK$64</f>
        <v>4335.9177761596438</v>
      </c>
      <c r="AL133" s="13">
        <f>$I$64*$AL$64</f>
        <v>0</v>
      </c>
      <c r="AM133" s="13">
        <f>$I$64*$AM$64</f>
        <v>0</v>
      </c>
      <c r="AN133" s="13">
        <f>$I$64*$AN$64</f>
        <v>34243.335891446877</v>
      </c>
      <c r="AO133" s="13">
        <f>$I$64*$AO$64</f>
        <v>14962.347028313239</v>
      </c>
      <c r="AP133" s="13">
        <f>$I$64*$AP$64</f>
        <v>0</v>
      </c>
      <c r="AQ133" s="13">
        <f>$I$64*$AQ$64</f>
        <v>9963.8496083193568</v>
      </c>
      <c r="AR133" s="13">
        <f>$I$64*$AR$64</f>
        <v>12777.291123731262</v>
      </c>
      <c r="AS133" s="13">
        <f>$I$64*$AS$64</f>
        <v>1110.7598899486288</v>
      </c>
      <c r="AT133" s="13">
        <f>$I$64*$AT$64</f>
        <v>0</v>
      </c>
      <c r="AU133" s="13">
        <f>$I$64*$AU$64</f>
        <v>0</v>
      </c>
      <c r="AV133" s="13">
        <f>$I$64*$AV$64</f>
        <v>0</v>
      </c>
      <c r="AW133" s="13">
        <f>$I$64*$AW$64</f>
        <v>0</v>
      </c>
      <c r="AX133" s="13">
        <f>$I$64*$AX$64</f>
        <v>291556.91434265691</v>
      </c>
      <c r="AY133" s="13">
        <f>$I$64*$AY$64</f>
        <v>0</v>
      </c>
      <c r="AZ133" s="13">
        <f>$I$64*$AZ$64</f>
        <v>0</v>
      </c>
      <c r="BA133" s="13">
        <f>$I$64*$BA$64</f>
        <v>28258.307889110805</v>
      </c>
      <c r="BB133" s="13">
        <f>$I$64*$BB$64</f>
        <v>1206.6003504583941</v>
      </c>
      <c r="BC133" s="13">
        <f>$I$64*$BC$64</f>
        <v>27927.390627247813</v>
      </c>
      <c r="BD133" s="13">
        <f>$I$64*$BD$64</f>
        <v>12325.096422001094</v>
      </c>
    </row>
    <row r="134" spans="1:56" ht="11.25" customHeight="1" x14ac:dyDescent="0.25">
      <c r="A134" s="9" t="s">
        <v>39</v>
      </c>
      <c r="B134" s="9" t="s">
        <v>1239</v>
      </c>
      <c r="C134" s="9" t="s">
        <v>1240</v>
      </c>
      <c r="D134" s="9" t="s">
        <v>1241</v>
      </c>
      <c r="E134" s="9" t="s">
        <v>1242</v>
      </c>
      <c r="F134" s="9" t="s">
        <v>1243</v>
      </c>
      <c r="G134" s="9" t="s">
        <v>1244</v>
      </c>
      <c r="L134" s="13">
        <f>$I$65*$L$65</f>
        <v>4214722.3763071261</v>
      </c>
      <c r="M134" s="13">
        <f>$I$65*$M$65</f>
        <v>258553.07131338486</v>
      </c>
      <c r="N134" s="13">
        <f ca="1">$I$65*$N$65</f>
        <v>988877.70012905996</v>
      </c>
      <c r="O134" s="13">
        <f>$I$65*$O$65</f>
        <v>0</v>
      </c>
      <c r="P134" s="13">
        <f>$I$65*$P$65</f>
        <v>0</v>
      </c>
      <c r="Q134" s="13">
        <f>$I$65*$Q$65</f>
        <v>10476100.41691865</v>
      </c>
      <c r="R134" s="13">
        <f>$I$65*$R$65</f>
        <v>3877682.4051948343</v>
      </c>
      <c r="S134" s="13">
        <f>$I$65*$S$65</f>
        <v>0</v>
      </c>
      <c r="T134" s="13">
        <f>$I$65*$T$65</f>
        <v>3478967.2826933293</v>
      </c>
      <c r="U134" s="13">
        <f>$I$65*$U$65</f>
        <v>3800536.5409826241</v>
      </c>
      <c r="V134" s="13">
        <f>$I$65*$V$65</f>
        <v>327145.69983201107</v>
      </c>
      <c r="W134" s="13">
        <f>$I$65*$W$65</f>
        <v>0</v>
      </c>
      <c r="X134" s="13">
        <f>$I$65*$X$65</f>
        <v>0</v>
      </c>
      <c r="Y134" s="13">
        <f>$I$65*$Y$65</f>
        <v>0</v>
      </c>
      <c r="Z134" s="13">
        <f>$I$65*$Z$65</f>
        <v>0</v>
      </c>
      <c r="AA134" s="13">
        <f>$I$65*$AA$65</f>
        <v>71530849.179941788</v>
      </c>
      <c r="AB134" s="13">
        <f ca="1">$I$65*$AB$65</f>
        <v>-9813211.1907132808</v>
      </c>
      <c r="AC134" s="13">
        <f ca="1">$I$65*$AC$65</f>
        <v>0</v>
      </c>
      <c r="AD134" s="13">
        <f>$I$65*$AD$65</f>
        <v>6830259.695907915</v>
      </c>
      <c r="AE134" s="13">
        <f>$I$65*$AE$65</f>
        <v>315824.83355736604</v>
      </c>
      <c r="AF134" s="13">
        <f ca="1">$I$65*$AF$65</f>
        <v>6598413.2036616271</v>
      </c>
      <c r="AG134" s="13">
        <f ca="1">$I$65*$AG$65</f>
        <v>2413524.6970781428</v>
      </c>
      <c r="AI134" s="13">
        <f>$I$65*$AI$65</f>
        <v>4760148.9324143147</v>
      </c>
      <c r="AJ134" s="13">
        <f>$I$65*$AJ$65</f>
        <v>243155.90247864451</v>
      </c>
      <c r="AK134" s="13">
        <f>$I$65*$AK$65</f>
        <v>897707.61184583674</v>
      </c>
      <c r="AL134" s="13">
        <f>$I$65*$AL$65</f>
        <v>0</v>
      </c>
      <c r="AM134" s="13">
        <f>$I$65*$AM$65</f>
        <v>0</v>
      </c>
      <c r="AN134" s="13">
        <f>$I$65*$AN$65</f>
        <v>5364895.6413305765</v>
      </c>
      <c r="AO134" s="13">
        <f>$I$65*$AO$65</f>
        <v>2344147.5039329617</v>
      </c>
      <c r="AP134" s="13">
        <f>$I$65*$AP$65</f>
        <v>0</v>
      </c>
      <c r="AQ134" s="13">
        <f>$I$65*$AQ$65</f>
        <v>2295644.0104733249</v>
      </c>
      <c r="AR134" s="13">
        <f>$I$65*$AR$65</f>
        <v>2943836.4365020478</v>
      </c>
      <c r="AS134" s="13">
        <f>$I$65*$AS$65</f>
        <v>255940.02506498611</v>
      </c>
      <c r="AT134" s="13">
        <f>$I$65*$AT$65</f>
        <v>0</v>
      </c>
      <c r="AU134" s="13">
        <f>$I$65*$AU$65</f>
        <v>0</v>
      </c>
      <c r="AV134" s="13">
        <f>$I$65*$AV$65</f>
        <v>0</v>
      </c>
      <c r="AW134" s="13">
        <f>$I$65*$AW$65</f>
        <v>0</v>
      </c>
      <c r="AX134" s="13">
        <f>$I$65*$AX$65</f>
        <v>67173770.462826863</v>
      </c>
      <c r="AY134" s="13">
        <f>$I$65*$AY$65</f>
        <v>0</v>
      </c>
      <c r="AZ134" s="13">
        <f>$I$65*$AZ$65</f>
        <v>0</v>
      </c>
      <c r="BA134" s="13">
        <f>$I$65*$BA$65</f>
        <v>4427222.6662220312</v>
      </c>
      <c r="BB134" s="13">
        <f>$I$65*$BB$65</f>
        <v>189037.80231934262</v>
      </c>
      <c r="BC134" s="13">
        <f>$I$65*$BC$65</f>
        <v>4375377.9341130527</v>
      </c>
      <c r="BD134" s="13">
        <f>$I$65*$BD$65</f>
        <v>1930970.0516031962</v>
      </c>
    </row>
    <row r="135" spans="1:56" ht="11.25" customHeight="1" x14ac:dyDescent="0.25">
      <c r="A135" s="9" t="s">
        <v>39</v>
      </c>
      <c r="B135" s="9" t="s">
        <v>1245</v>
      </c>
      <c r="C135" s="9" t="s">
        <v>1246</v>
      </c>
      <c r="D135" s="9" t="s">
        <v>1247</v>
      </c>
      <c r="E135" s="9" t="s">
        <v>1248</v>
      </c>
      <c r="F135" s="9" t="s">
        <v>1249</v>
      </c>
      <c r="G135" s="9" t="s">
        <v>1250</v>
      </c>
      <c r="L135" s="13">
        <f>$I$66*$L$66</f>
        <v>0</v>
      </c>
      <c r="M135" s="13">
        <f>$I$66*$M$66</f>
        <v>0</v>
      </c>
      <c r="N135" s="13">
        <f ca="1">$I$66*$N$66</f>
        <v>0</v>
      </c>
      <c r="O135" s="13">
        <f>$I$66*$O$66</f>
        <v>0</v>
      </c>
      <c r="P135" s="13">
        <f>$I$66*$P$66</f>
        <v>0</v>
      </c>
      <c r="Q135" s="13">
        <f>$I$66*$Q$66</f>
        <v>0</v>
      </c>
      <c r="R135" s="13">
        <f>$I$66*$R$66</f>
        <v>0</v>
      </c>
      <c r="S135" s="13">
        <f>$I$66*$S$66</f>
        <v>0</v>
      </c>
      <c r="T135" s="13">
        <f>$I$66*$T$66</f>
        <v>0</v>
      </c>
      <c r="U135" s="13">
        <f>$I$66*$U$66</f>
        <v>0</v>
      </c>
      <c r="V135" s="13">
        <f>$I$66*$V$66</f>
        <v>0</v>
      </c>
      <c r="W135" s="13">
        <f>$I$66*$W$66</f>
        <v>0</v>
      </c>
      <c r="X135" s="13">
        <f>$I$66*$X$66</f>
        <v>0</v>
      </c>
      <c r="Y135" s="13">
        <f>$I$66*$Y$66</f>
        <v>0</v>
      </c>
      <c r="Z135" s="13">
        <f>$I$66*$Z$66</f>
        <v>0</v>
      </c>
      <c r="AA135" s="13">
        <f>$I$66*$AA$66</f>
        <v>0</v>
      </c>
      <c r="AB135" s="13">
        <f ca="1">$I$66*$AB$66</f>
        <v>0</v>
      </c>
      <c r="AC135" s="13">
        <f ca="1">$I$66*$AC$66</f>
        <v>0</v>
      </c>
      <c r="AD135" s="13">
        <f>$I$66*$AD$66</f>
        <v>0</v>
      </c>
      <c r="AE135" s="13">
        <f>$I$66*$AE$66</f>
        <v>0</v>
      </c>
      <c r="AF135" s="13">
        <f ca="1">$I$66*$AF$66</f>
        <v>0</v>
      </c>
      <c r="AG135" s="13">
        <f ca="1">$I$66*$AG$66</f>
        <v>0</v>
      </c>
      <c r="AI135" s="13">
        <f>$I$66*$AI$66</f>
        <v>0</v>
      </c>
      <c r="AJ135" s="13">
        <f>$I$66*$AJ$66</f>
        <v>0</v>
      </c>
      <c r="AK135" s="13">
        <f>$I$66*$AK$66</f>
        <v>0</v>
      </c>
      <c r="AL135" s="13">
        <f>$I$66*$AL$66</f>
        <v>0</v>
      </c>
      <c r="AM135" s="13">
        <f>$I$66*$AM$66</f>
        <v>0</v>
      </c>
      <c r="AN135" s="13">
        <f>$I$66*$AN$66</f>
        <v>0</v>
      </c>
      <c r="AO135" s="13">
        <f>$I$66*$AO$66</f>
        <v>0</v>
      </c>
      <c r="AP135" s="13">
        <f>$I$66*$AP$66</f>
        <v>0</v>
      </c>
      <c r="AQ135" s="13">
        <f>$I$66*$AQ$66</f>
        <v>0</v>
      </c>
      <c r="AR135" s="13">
        <f>$I$66*$AR$66</f>
        <v>0</v>
      </c>
      <c r="AS135" s="13">
        <f>$I$66*$AS$66</f>
        <v>0</v>
      </c>
      <c r="AT135" s="13">
        <f>$I$66*$AT$66</f>
        <v>0</v>
      </c>
      <c r="AU135" s="13">
        <f>$I$66*$AU$66</f>
        <v>0</v>
      </c>
      <c r="AV135" s="13">
        <f>$I$66*$AV$66</f>
        <v>0</v>
      </c>
      <c r="AW135" s="13">
        <f>$I$66*$AW$66</f>
        <v>0</v>
      </c>
      <c r="AX135" s="13">
        <f>$I$66*$AX$66</f>
        <v>0</v>
      </c>
      <c r="AY135" s="13">
        <f>$I$66*$AY$66</f>
        <v>0</v>
      </c>
      <c r="AZ135" s="13">
        <f>$I$66*$AZ$66</f>
        <v>0</v>
      </c>
      <c r="BA135" s="13">
        <f>$I$66*$BA$66</f>
        <v>0</v>
      </c>
      <c r="BB135" s="13">
        <f>$I$66*$BB$66</f>
        <v>0</v>
      </c>
      <c r="BC135" s="13">
        <f>$I$66*$BC$66</f>
        <v>0</v>
      </c>
      <c r="BD135" s="13">
        <f>$I$66*$BD$66</f>
        <v>0</v>
      </c>
    </row>
    <row r="136" spans="1:56" ht="11.25" customHeight="1" x14ac:dyDescent="0.25">
      <c r="A136" s="9" t="s">
        <v>49</v>
      </c>
      <c r="B136" s="9" t="s">
        <v>1251</v>
      </c>
      <c r="C136" s="9" t="s">
        <v>1252</v>
      </c>
      <c r="D136" s="9" t="s">
        <v>1253</v>
      </c>
      <c r="E136" s="9" t="s">
        <v>1254</v>
      </c>
      <c r="F136" s="9" t="s">
        <v>1255</v>
      </c>
      <c r="G136" s="9" t="s">
        <v>1256</v>
      </c>
      <c r="L136" s="13">
        <f>$I$67*$L$67</f>
        <v>545789.36940350069</v>
      </c>
      <c r="M136" s="13">
        <f>$I$67*$M$67</f>
        <v>33481.568926756656</v>
      </c>
      <c r="N136" s="13">
        <f ca="1">$I$67*$N$67</f>
        <v>128055.63170770863</v>
      </c>
      <c r="O136" s="13">
        <f>$I$67*$O$67</f>
        <v>0</v>
      </c>
      <c r="P136" s="13">
        <f>$I$67*$P$67</f>
        <v>0</v>
      </c>
      <c r="Q136" s="13">
        <f>$I$67*$Q$67</f>
        <v>1356612.3055933234</v>
      </c>
      <c r="R136" s="13">
        <f>$I$67*$R$67</f>
        <v>502144.06684899924</v>
      </c>
      <c r="S136" s="13">
        <f>$I$67*$S$67</f>
        <v>0</v>
      </c>
      <c r="T136" s="13">
        <f>$I$67*$T$67</f>
        <v>450512.08356463246</v>
      </c>
      <c r="U136" s="13">
        <f>$I$67*$U$67</f>
        <v>492153.99186395062</v>
      </c>
      <c r="V136" s="13">
        <f>$I$67*$V$67</f>
        <v>42364.034750688683</v>
      </c>
      <c r="W136" s="13">
        <f>$I$67*$W$67</f>
        <v>0</v>
      </c>
      <c r="X136" s="13">
        <f>$I$67*$X$67</f>
        <v>0</v>
      </c>
      <c r="Y136" s="13">
        <f>$I$67*$Y$67</f>
        <v>0</v>
      </c>
      <c r="Z136" s="13">
        <f>$I$67*$Z$67</f>
        <v>0</v>
      </c>
      <c r="AA136" s="13">
        <f>$I$67*$AA$67</f>
        <v>9262953.4239985347</v>
      </c>
      <c r="AB136" s="13">
        <f ca="1">$I$67*$AB$67</f>
        <v>-1270770.852597787</v>
      </c>
      <c r="AC136" s="13">
        <f ca="1">$I$67*$AC$67</f>
        <v>0</v>
      </c>
      <c r="AD136" s="13">
        <f>$I$67*$AD$67</f>
        <v>884490.79190787417</v>
      </c>
      <c r="AE136" s="13">
        <f>$I$67*$AE$67</f>
        <v>40898.028709609018</v>
      </c>
      <c r="AF136" s="13">
        <f ca="1">$I$67*$AF$67</f>
        <v>854467.61611986742</v>
      </c>
      <c r="AG136" s="13">
        <f ca="1">$I$67*$AG$67</f>
        <v>312541.61124895519</v>
      </c>
      <c r="AI136" s="13">
        <f>$I$67*$AI$67</f>
        <v>616419.88537463441</v>
      </c>
      <c r="AJ136" s="13">
        <f>$I$67*$AJ$67</f>
        <v>31487.698318302686</v>
      </c>
      <c r="AK136" s="13">
        <f>$I$67*$AK$67</f>
        <v>116249.47686527255</v>
      </c>
      <c r="AL136" s="13">
        <f>$I$67*$AL$67</f>
        <v>0</v>
      </c>
      <c r="AM136" s="13">
        <f>$I$67*$AM$67</f>
        <v>0</v>
      </c>
      <c r="AN136" s="13">
        <f>$I$67*$AN$67</f>
        <v>694732.11935799406</v>
      </c>
      <c r="AO136" s="13">
        <f>$I$67*$AO$67</f>
        <v>303557.54750360618</v>
      </c>
      <c r="AP136" s="13">
        <f>$I$67*$AP$67</f>
        <v>0</v>
      </c>
      <c r="AQ136" s="13">
        <f>$I$67*$AQ$67</f>
        <v>297276.54279069463</v>
      </c>
      <c r="AR136" s="13">
        <f>$I$67*$AR$67</f>
        <v>381214.82006444363</v>
      </c>
      <c r="AS136" s="13">
        <f>$I$67*$AS$67</f>
        <v>33143.190087819858</v>
      </c>
      <c r="AT136" s="13">
        <f>$I$67*$AT$67</f>
        <v>0</v>
      </c>
      <c r="AU136" s="13">
        <f>$I$67*$AU$67</f>
        <v>0</v>
      </c>
      <c r="AV136" s="13">
        <f>$I$67*$AV$67</f>
        <v>0</v>
      </c>
      <c r="AW136" s="13">
        <f>$I$67*$AW$67</f>
        <v>0</v>
      </c>
      <c r="AX136" s="13">
        <f>$I$67*$AX$67</f>
        <v>8698729.4886751547</v>
      </c>
      <c r="AY136" s="13">
        <f>$I$67*$AY$67</f>
        <v>0</v>
      </c>
      <c r="AZ136" s="13">
        <f>$I$67*$AZ$67</f>
        <v>0</v>
      </c>
      <c r="BA136" s="13">
        <f>$I$67*$BA$67</f>
        <v>573307.29084067291</v>
      </c>
      <c r="BB136" s="13">
        <f>$I$67*$BB$67</f>
        <v>24479.624921748153</v>
      </c>
      <c r="BC136" s="13">
        <f>$I$67*$BC$67</f>
        <v>566593.60934086365</v>
      </c>
      <c r="BD136" s="13">
        <f>$I$67*$BD$67</f>
        <v>250052.75145191586</v>
      </c>
    </row>
    <row r="137" spans="1:56" ht="11.25" customHeight="1" x14ac:dyDescent="0.25">
      <c r="A137" s="9" t="s">
        <v>49</v>
      </c>
      <c r="B137" s="9" t="s">
        <v>1251</v>
      </c>
      <c r="C137" s="9" t="s">
        <v>1252</v>
      </c>
      <c r="D137" s="9" t="s">
        <v>1257</v>
      </c>
      <c r="E137" s="9" t="s">
        <v>1258</v>
      </c>
      <c r="F137" s="9" t="s">
        <v>1259</v>
      </c>
      <c r="G137" s="9" t="s">
        <v>1260</v>
      </c>
      <c r="L137" s="13">
        <f>$I$68*$L$68</f>
        <v>0</v>
      </c>
      <c r="M137" s="13">
        <f>$I$68*$M$68</f>
        <v>0</v>
      </c>
      <c r="N137" s="13">
        <f ca="1">$I$68*$N$68</f>
        <v>0</v>
      </c>
      <c r="O137" s="13">
        <f>$I$68*$O$68</f>
        <v>0</v>
      </c>
      <c r="P137" s="13">
        <f>$I$68*$P$68</f>
        <v>0</v>
      </c>
      <c r="Q137" s="13">
        <f>$I$68*$Q$68</f>
        <v>0</v>
      </c>
      <c r="R137" s="13">
        <f>$I$68*$R$68</f>
        <v>0</v>
      </c>
      <c r="S137" s="13">
        <f>$I$68*$S$68</f>
        <v>0</v>
      </c>
      <c r="T137" s="13">
        <f>$I$68*$T$68</f>
        <v>0</v>
      </c>
      <c r="U137" s="13">
        <f>$I$68*$U$68</f>
        <v>0</v>
      </c>
      <c r="V137" s="13">
        <f>$I$68*$V$68</f>
        <v>0</v>
      </c>
      <c r="W137" s="13">
        <f>$I$68*$W$68</f>
        <v>0</v>
      </c>
      <c r="X137" s="13">
        <f>$I$68*$X$68</f>
        <v>0</v>
      </c>
      <c r="Y137" s="13">
        <f>$I$68*$Y$68</f>
        <v>0</v>
      </c>
      <c r="Z137" s="13">
        <f>$I$68*$Z$68</f>
        <v>0</v>
      </c>
      <c r="AA137" s="13">
        <f>$I$68*$AA$68</f>
        <v>0</v>
      </c>
      <c r="AB137" s="13">
        <f ca="1">$I$68*$AB$68</f>
        <v>0</v>
      </c>
      <c r="AC137" s="13">
        <f ca="1">$I$68*$AC$68</f>
        <v>0</v>
      </c>
      <c r="AD137" s="13">
        <f>$I$68*$AD$68</f>
        <v>0</v>
      </c>
      <c r="AE137" s="13">
        <f>$I$68*$AE$68</f>
        <v>0</v>
      </c>
      <c r="AF137" s="13">
        <f ca="1">$I$68*$AF$68</f>
        <v>0</v>
      </c>
      <c r="AG137" s="13">
        <f ca="1">$I$68*$AG$68</f>
        <v>0</v>
      </c>
      <c r="AI137" s="13">
        <f>$I$68*$AI$68</f>
        <v>0</v>
      </c>
      <c r="AJ137" s="13">
        <f>$I$68*$AJ$68</f>
        <v>0</v>
      </c>
      <c r="AK137" s="13">
        <f>$I$68*$AK$68</f>
        <v>0</v>
      </c>
      <c r="AL137" s="13">
        <f>$I$68*$AL$68</f>
        <v>0</v>
      </c>
      <c r="AM137" s="13">
        <f>$I$68*$AM$68</f>
        <v>0</v>
      </c>
      <c r="AN137" s="13">
        <f>$I$68*$AN$68</f>
        <v>0</v>
      </c>
      <c r="AO137" s="13">
        <f>$I$68*$AO$68</f>
        <v>0</v>
      </c>
      <c r="AP137" s="13">
        <f>$I$68*$AP$68</f>
        <v>0</v>
      </c>
      <c r="AQ137" s="13">
        <f>$I$68*$AQ$68</f>
        <v>0</v>
      </c>
      <c r="AR137" s="13">
        <f>$I$68*$AR$68</f>
        <v>0</v>
      </c>
      <c r="AS137" s="13">
        <f>$I$68*$AS$68</f>
        <v>0</v>
      </c>
      <c r="AT137" s="13">
        <f>$I$68*$AT$68</f>
        <v>0</v>
      </c>
      <c r="AU137" s="13">
        <f>$I$68*$AU$68</f>
        <v>0</v>
      </c>
      <c r="AV137" s="13">
        <f>$I$68*$AV$68</f>
        <v>0</v>
      </c>
      <c r="AW137" s="13">
        <f>$I$68*$AW$68</f>
        <v>0</v>
      </c>
      <c r="AX137" s="13">
        <f>$I$68*$AX$68</f>
        <v>0</v>
      </c>
      <c r="AY137" s="13">
        <f>$I$68*$AY$68</f>
        <v>0</v>
      </c>
      <c r="AZ137" s="13">
        <f>$I$68*$AZ$68</f>
        <v>0</v>
      </c>
      <c r="BA137" s="13">
        <f>$I$68*$BA$68</f>
        <v>0</v>
      </c>
      <c r="BB137" s="13">
        <f>$I$68*$BB$68</f>
        <v>0</v>
      </c>
      <c r="BC137" s="13">
        <f>$I$68*$BC$68</f>
        <v>0</v>
      </c>
      <c r="BD137" s="13">
        <f>$I$68*$BD$68</f>
        <v>0</v>
      </c>
    </row>
  </sheetData>
  <mergeCells count="112">
    <mergeCell ref="C59:C61"/>
    <mergeCell ref="F47:F49"/>
    <mergeCell ref="B51:B53"/>
    <mergeCell ref="F51:F53"/>
    <mergeCell ref="F34:F36"/>
    <mergeCell ref="B37:B41"/>
    <mergeCell ref="AY72:AZ72"/>
    <mergeCell ref="BA72:BD72"/>
    <mergeCell ref="L70:AG70"/>
    <mergeCell ref="AI70:BD70"/>
    <mergeCell ref="L71:AG71"/>
    <mergeCell ref="AI71:BD71"/>
    <mergeCell ref="L72:S72"/>
    <mergeCell ref="T72:Z72"/>
    <mergeCell ref="AB72:AC72"/>
    <mergeCell ref="AD72:AG72"/>
    <mergeCell ref="AI72:AP72"/>
    <mergeCell ref="AQ72:AW72"/>
    <mergeCell ref="A67:A68"/>
    <mergeCell ref="B67:B68"/>
    <mergeCell ref="C67:C68"/>
    <mergeCell ref="B27:B31"/>
    <mergeCell ref="C27:C31"/>
    <mergeCell ref="D27:D31"/>
    <mergeCell ref="AI1:BD1"/>
    <mergeCell ref="AI2:BD2"/>
    <mergeCell ref="AI3:AP3"/>
    <mergeCell ref="AQ3:AW3"/>
    <mergeCell ref="AY3:AZ3"/>
    <mergeCell ref="BA3:BD3"/>
    <mergeCell ref="A62:A66"/>
    <mergeCell ref="B62:B64"/>
    <mergeCell ref="C62:C64"/>
    <mergeCell ref="D62:D64"/>
    <mergeCell ref="E62:E64"/>
    <mergeCell ref="F62:F64"/>
    <mergeCell ref="B55:B57"/>
    <mergeCell ref="C55:C57"/>
    <mergeCell ref="D55:D57"/>
    <mergeCell ref="E55:E57"/>
    <mergeCell ref="F55:F57"/>
    <mergeCell ref="B59:B61"/>
    <mergeCell ref="E27:E29"/>
    <mergeCell ref="F27:F29"/>
    <mergeCell ref="E30:E31"/>
    <mergeCell ref="A47:A61"/>
    <mergeCell ref="B47:B49"/>
    <mergeCell ref="C47:C49"/>
    <mergeCell ref="D47:D49"/>
    <mergeCell ref="E47:E49"/>
    <mergeCell ref="F30:F31"/>
    <mergeCell ref="A32:A33"/>
    <mergeCell ref="B32:B33"/>
    <mergeCell ref="C32:C33"/>
    <mergeCell ref="D32:D33"/>
    <mergeCell ref="A34:A46"/>
    <mergeCell ref="B34:B36"/>
    <mergeCell ref="C34:C36"/>
    <mergeCell ref="D34:D36"/>
    <mergeCell ref="E34:E36"/>
    <mergeCell ref="C51:C53"/>
    <mergeCell ref="D51:D53"/>
    <mergeCell ref="E51:E53"/>
    <mergeCell ref="C37:C41"/>
    <mergeCell ref="B42:B46"/>
    <mergeCell ref="C42:C46"/>
    <mergeCell ref="F14:F16"/>
    <mergeCell ref="E17:E18"/>
    <mergeCell ref="F17:F18"/>
    <mergeCell ref="A19:A31"/>
    <mergeCell ref="B19:B22"/>
    <mergeCell ref="C19:C22"/>
    <mergeCell ref="D19:D22"/>
    <mergeCell ref="E19:E21"/>
    <mergeCell ref="F19:F21"/>
    <mergeCell ref="B23:B25"/>
    <mergeCell ref="A9:A18"/>
    <mergeCell ref="B9:B12"/>
    <mergeCell ref="C9:C12"/>
    <mergeCell ref="D9:D12"/>
    <mergeCell ref="E9:E11"/>
    <mergeCell ref="F9:F11"/>
    <mergeCell ref="B14:B18"/>
    <mergeCell ref="C14:C18"/>
    <mergeCell ref="D14:D18"/>
    <mergeCell ref="E14:E16"/>
    <mergeCell ref="C23:C25"/>
    <mergeCell ref="D23:D25"/>
    <mergeCell ref="E23:E25"/>
    <mergeCell ref="F23:F25"/>
    <mergeCell ref="AB3:AC3"/>
    <mergeCell ref="AD3:AG3"/>
    <mergeCell ref="A5:A8"/>
    <mergeCell ref="B5:B8"/>
    <mergeCell ref="C5:C8"/>
    <mergeCell ref="D5:D8"/>
    <mergeCell ref="E5:E7"/>
    <mergeCell ref="F5:F7"/>
    <mergeCell ref="G1:G4"/>
    <mergeCell ref="H1:H4"/>
    <mergeCell ref="I1:I4"/>
    <mergeCell ref="J1:J4"/>
    <mergeCell ref="L1:AG1"/>
    <mergeCell ref="L2:AG2"/>
    <mergeCell ref="L3:S3"/>
    <mergeCell ref="T3:Z3"/>
    <mergeCell ref="A1:A4"/>
    <mergeCell ref="B1:B4"/>
    <mergeCell ref="C1:C4"/>
    <mergeCell ref="D1:D4"/>
    <mergeCell ref="E1:E4"/>
    <mergeCell ref="F1:F4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9D942-071C-430B-AFDD-4AD62FFE287E}">
  <sheetPr codeName="Planilha23"/>
  <dimension ref="A1:AH103"/>
  <sheetViews>
    <sheetView showGridLines="0" topLeftCell="L35" workbookViewId="0">
      <selection activeCell="V52" sqref="V52"/>
    </sheetView>
  </sheetViews>
  <sheetFormatPr defaultRowHeight="11.25" customHeight="1" x14ac:dyDescent="0.25"/>
  <cols>
    <col min="1" max="1" width="9.28515625" style="9" bestFit="1" customWidth="1"/>
    <col min="2" max="2" width="29" style="9" bestFit="1" customWidth="1"/>
    <col min="3" max="3" width="38.7109375" style="9" bestFit="1" customWidth="1"/>
    <col min="4" max="4" width="61.7109375" style="9" bestFit="1" customWidth="1"/>
    <col min="5" max="5" width="71.42578125" style="9" bestFit="1" customWidth="1"/>
    <col min="6" max="6" width="81" style="9" bestFit="1" customWidth="1"/>
    <col min="7" max="7" width="81.8554687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2" width="10" style="9" bestFit="1" customWidth="1"/>
    <col min="13" max="13" width="10.85546875" style="9" bestFit="1" customWidth="1"/>
    <col min="14" max="14" width="6" style="9" bestFit="1" customWidth="1"/>
    <col min="15" max="15" width="11.140625" style="9" bestFit="1" customWidth="1"/>
    <col min="16" max="16" width="10.5703125" style="9" bestFit="1" customWidth="1"/>
    <col min="17" max="17" width="15" style="9" bestFit="1" customWidth="1"/>
    <col min="18" max="18" width="6" style="9" bestFit="1" customWidth="1"/>
    <col min="19" max="19" width="10.42578125" style="9" bestFit="1" customWidth="1"/>
    <col min="20" max="20" width="7" style="9" bestFit="1" customWidth="1"/>
    <col min="21" max="21" width="11.140625" style="9" bestFit="1" customWidth="1"/>
    <col min="22" max="22" width="11" style="9" bestFit="1" customWidth="1"/>
    <col min="23" max="23" width="9.140625" style="9"/>
    <col min="24" max="24" width="10" style="9" bestFit="1" customWidth="1"/>
    <col min="25" max="25" width="10.85546875" style="9" bestFit="1" customWidth="1"/>
    <col min="26" max="26" width="6" style="9" bestFit="1" customWidth="1"/>
    <col min="27" max="27" width="11.140625" style="9" bestFit="1" customWidth="1"/>
    <col min="28" max="28" width="10.5703125" style="9" bestFit="1" customWidth="1"/>
    <col min="29" max="29" width="15" style="9" bestFit="1" customWidth="1"/>
    <col min="30" max="30" width="6" style="9" bestFit="1" customWidth="1"/>
    <col min="31" max="31" width="10.42578125" style="9" bestFit="1" customWidth="1"/>
    <col min="32" max="32" width="7" style="9" bestFit="1" customWidth="1"/>
    <col min="33" max="33" width="11.140625" style="9" bestFit="1" customWidth="1"/>
    <col min="34" max="34" width="11" style="9" bestFit="1" customWidth="1"/>
    <col min="35" max="16384" width="9.140625" style="9"/>
  </cols>
  <sheetData>
    <row r="1" spans="1:34" ht="11.25" customHeight="1" x14ac:dyDescent="0.25">
      <c r="A1" s="117" t="s">
        <v>71</v>
      </c>
      <c r="B1" s="117" t="s">
        <v>72</v>
      </c>
      <c r="C1" s="117" t="s">
        <v>73</v>
      </c>
      <c r="D1" s="117" t="s">
        <v>74</v>
      </c>
      <c r="E1" s="117" t="s">
        <v>75</v>
      </c>
      <c r="F1" s="117" t="s">
        <v>15</v>
      </c>
      <c r="G1" s="117" t="s">
        <v>77</v>
      </c>
      <c r="H1" s="117" t="s">
        <v>78</v>
      </c>
      <c r="I1" s="117" t="s">
        <v>835</v>
      </c>
      <c r="J1" s="105"/>
      <c r="L1" s="115" t="s">
        <v>1261</v>
      </c>
      <c r="M1" s="115"/>
      <c r="N1" s="115"/>
      <c r="O1" s="115"/>
      <c r="P1" s="115"/>
      <c r="Q1" s="115"/>
      <c r="R1" s="115"/>
      <c r="S1" s="115"/>
      <c r="T1" s="115"/>
      <c r="U1" s="115"/>
      <c r="V1" s="115"/>
      <c r="X1" s="115" t="s">
        <v>1262</v>
      </c>
      <c r="Y1" s="115"/>
      <c r="Z1" s="115"/>
      <c r="AA1" s="115"/>
      <c r="AB1" s="115"/>
      <c r="AC1" s="115"/>
      <c r="AD1" s="115"/>
      <c r="AE1" s="115"/>
      <c r="AF1" s="115"/>
      <c r="AG1" s="115"/>
      <c r="AH1" s="115"/>
    </row>
    <row r="2" spans="1:34" ht="11.25" customHeight="1" x14ac:dyDescent="0.25">
      <c r="A2" s="117"/>
      <c r="B2" s="117"/>
      <c r="C2" s="117"/>
      <c r="D2" s="117"/>
      <c r="E2" s="117"/>
      <c r="F2" s="117"/>
      <c r="G2" s="117"/>
      <c r="H2" s="117"/>
      <c r="I2" s="117"/>
      <c r="J2" s="105"/>
      <c r="L2" s="115" t="s">
        <v>762</v>
      </c>
      <c r="M2" s="115"/>
      <c r="N2" s="115"/>
      <c r="O2" s="115"/>
      <c r="P2" s="115"/>
      <c r="Q2" s="115"/>
      <c r="R2" s="115"/>
      <c r="S2" s="115"/>
      <c r="T2" s="115"/>
      <c r="U2" s="115"/>
      <c r="V2" s="115"/>
      <c r="X2" s="115" t="s">
        <v>762</v>
      </c>
      <c r="Y2" s="115"/>
      <c r="Z2" s="115"/>
      <c r="AA2" s="115"/>
      <c r="AB2" s="115"/>
      <c r="AC2" s="115"/>
      <c r="AD2" s="115"/>
      <c r="AE2" s="115"/>
      <c r="AF2" s="115"/>
      <c r="AG2" s="115"/>
      <c r="AH2" s="115"/>
    </row>
    <row r="3" spans="1:34" ht="11.25" customHeight="1" x14ac:dyDescent="0.25">
      <c r="A3" s="117"/>
      <c r="B3" s="117"/>
      <c r="C3" s="117"/>
      <c r="D3" s="117"/>
      <c r="E3" s="117"/>
      <c r="F3" s="117"/>
      <c r="G3" s="117"/>
      <c r="H3" s="117"/>
      <c r="I3" s="117"/>
      <c r="J3" s="105"/>
      <c r="L3" s="115" t="s">
        <v>735</v>
      </c>
      <c r="M3" s="115"/>
      <c r="N3" s="115"/>
      <c r="O3" s="115"/>
      <c r="P3" s="115"/>
      <c r="Q3" s="24" t="s">
        <v>766</v>
      </c>
      <c r="R3" s="115" t="s">
        <v>744</v>
      </c>
      <c r="S3" s="115"/>
      <c r="T3" s="115"/>
      <c r="U3" s="24" t="s">
        <v>754</v>
      </c>
      <c r="V3" s="24" t="s">
        <v>757</v>
      </c>
      <c r="X3" s="115" t="s">
        <v>735</v>
      </c>
      <c r="Y3" s="115"/>
      <c r="Z3" s="115"/>
      <c r="AA3" s="115"/>
      <c r="AB3" s="115"/>
      <c r="AC3" s="24" t="s">
        <v>766</v>
      </c>
      <c r="AD3" s="115" t="s">
        <v>744</v>
      </c>
      <c r="AE3" s="115"/>
      <c r="AF3" s="115"/>
      <c r="AG3" s="24" t="s">
        <v>754</v>
      </c>
      <c r="AH3" s="24" t="s">
        <v>757</v>
      </c>
    </row>
    <row r="4" spans="1:34" ht="11.25" customHeight="1" x14ac:dyDescent="0.25">
      <c r="A4" s="117"/>
      <c r="B4" s="117"/>
      <c r="C4" s="117"/>
      <c r="D4" s="117"/>
      <c r="E4" s="117"/>
      <c r="F4" s="117"/>
      <c r="G4" s="117"/>
      <c r="H4" s="117"/>
      <c r="I4" s="117"/>
      <c r="J4" s="105"/>
      <c r="L4" s="24" t="s">
        <v>737</v>
      </c>
      <c r="M4" s="24" t="s">
        <v>763</v>
      </c>
      <c r="N4" s="24" t="s">
        <v>764</v>
      </c>
      <c r="O4" s="24" t="s">
        <v>823</v>
      </c>
      <c r="P4" s="24" t="s">
        <v>765</v>
      </c>
      <c r="Q4" s="24" t="s">
        <v>767</v>
      </c>
      <c r="R4" s="24" t="s">
        <v>768</v>
      </c>
      <c r="S4" s="24" t="s">
        <v>769</v>
      </c>
      <c r="T4" s="24" t="s">
        <v>770</v>
      </c>
      <c r="U4" s="24" t="s">
        <v>755</v>
      </c>
      <c r="V4" s="24" t="s">
        <v>771</v>
      </c>
      <c r="X4" s="24" t="s">
        <v>737</v>
      </c>
      <c r="Y4" s="24" t="s">
        <v>763</v>
      </c>
      <c r="Z4" s="24" t="s">
        <v>764</v>
      </c>
      <c r="AA4" s="24" t="s">
        <v>823</v>
      </c>
      <c r="AB4" s="24" t="s">
        <v>765</v>
      </c>
      <c r="AC4" s="24" t="s">
        <v>767</v>
      </c>
      <c r="AD4" s="24" t="s">
        <v>768</v>
      </c>
      <c r="AE4" s="24" t="s">
        <v>769</v>
      </c>
      <c r="AF4" s="24" t="s">
        <v>770</v>
      </c>
      <c r="AG4" s="24" t="s">
        <v>755</v>
      </c>
      <c r="AH4" s="24" t="s">
        <v>771</v>
      </c>
    </row>
    <row r="5" spans="1:34" ht="11.25" customHeight="1" x14ac:dyDescent="0.25">
      <c r="A5" s="118" t="s">
        <v>80</v>
      </c>
      <c r="B5" s="118" t="s">
        <v>81</v>
      </c>
      <c r="C5" s="118" t="s">
        <v>25</v>
      </c>
      <c r="D5" s="118" t="s">
        <v>25</v>
      </c>
      <c r="E5" s="118" t="s">
        <v>25</v>
      </c>
      <c r="F5" s="118" t="s">
        <v>25</v>
      </c>
      <c r="G5" s="23" t="s">
        <v>83</v>
      </c>
      <c r="H5" s="23" t="s">
        <v>82</v>
      </c>
      <c r="I5" s="23">
        <f>'MERCADO TE'!$U$2</f>
        <v>0</v>
      </c>
      <c r="J5" s="15"/>
      <c r="L5" s="20">
        <f>('TE BE'!$L$5+'TE BF'!$L$5+'TE CVA'!$L$5)*1</f>
        <v>2.3157120820153629</v>
      </c>
      <c r="M5" s="20">
        <f>('TE BE'!$M$5+'TE BF'!$M$5+'TE CVA'!$M$5)*1</f>
        <v>23.810061967776083</v>
      </c>
      <c r="N5" s="20">
        <f>('TE BE'!$N$5+'TE BF'!$N$5+'TE CVA'!$N$5)*1</f>
        <v>0</v>
      </c>
      <c r="O5" s="20">
        <f>('TE BE'!$O$5+'TE BF'!$O$5+'TE CVA'!$O$5)*1</f>
        <v>4.5650250114514055</v>
      </c>
      <c r="P5" s="20">
        <f>('TE BE'!$P$5+'TE BF'!$P$5+'TE CVA'!$P$5)*1</f>
        <v>-16.035655728433582</v>
      </c>
      <c r="Q5" s="20">
        <f>('TE BE'!$R$5+'TE BF'!$R$5+'TE CVA'!$R$5)*1</f>
        <v>373.98327222723736</v>
      </c>
      <c r="R5" s="20">
        <f>('TE BE'!$T$5+'TE BF'!$T$5+'TE CVA'!$T$5)*1</f>
        <v>0</v>
      </c>
      <c r="S5" s="20">
        <f>('TE BE'!$U$5+'TE BF'!$U$5+'TE CVA'!$U$5)*1</f>
        <v>0</v>
      </c>
      <c r="T5" s="20">
        <f>('TE BE'!$V$5+'TE BF'!$V$5+'TE CVA'!$V$5)*1</f>
        <v>0</v>
      </c>
      <c r="U5" s="20">
        <f>('TE BE'!$X$5+'TE BF'!$X$5+'TE CVA'!$X$5)*1</f>
        <v>-31.333871642687104</v>
      </c>
      <c r="V5" s="20">
        <f>('TE BE'!$Z$5+'TE BF'!$Z$5+'TE CVA'!$Z$5)*1</f>
        <v>5.3394429151812277</v>
      </c>
      <c r="X5" s="20">
        <v>1.8448675826946299</v>
      </c>
      <c r="Y5" s="20">
        <v>15.849952722766799</v>
      </c>
      <c r="Z5" s="20">
        <v>0</v>
      </c>
      <c r="AA5" s="20">
        <v>0</v>
      </c>
      <c r="AB5" s="20">
        <v>0</v>
      </c>
      <c r="AC5" s="20">
        <v>244.24721892608699</v>
      </c>
      <c r="AD5" s="20">
        <v>0</v>
      </c>
      <c r="AE5" s="20">
        <v>0</v>
      </c>
      <c r="AF5" s="20">
        <v>0</v>
      </c>
      <c r="AG5" s="20">
        <v>0</v>
      </c>
      <c r="AH5" s="20">
        <v>3.18849675635018</v>
      </c>
    </row>
    <row r="6" spans="1:34" ht="11.25" customHeight="1" x14ac:dyDescent="0.25">
      <c r="A6" s="118"/>
      <c r="B6" s="118"/>
      <c r="C6" s="118"/>
      <c r="D6" s="118"/>
      <c r="E6" s="118"/>
      <c r="F6" s="118"/>
      <c r="G6" s="23" t="s">
        <v>84</v>
      </c>
      <c r="H6" s="23" t="s">
        <v>82</v>
      </c>
      <c r="I6" s="23">
        <f>'MERCADO TE'!$U$3</f>
        <v>0</v>
      </c>
      <c r="J6" s="15"/>
      <c r="L6" s="20">
        <f>('TE BE'!$L$6+'TE BF'!$L$6+'TE CVA'!$L$6)*1</f>
        <v>2.3157120820153629</v>
      </c>
      <c r="M6" s="20">
        <f>('TE BE'!$M$6+'TE BF'!$M$6+'TE CVA'!$M$6)*1</f>
        <v>23.810061967776083</v>
      </c>
      <c r="N6" s="20">
        <f>('TE BE'!$N$6+'TE BF'!$N$6+'TE CVA'!$N$6)*1</f>
        <v>0</v>
      </c>
      <c r="O6" s="20">
        <f>('TE BE'!$O$6+'TE BF'!$O$6+'TE CVA'!$O$6)*1</f>
        <v>4.5650250114514055</v>
      </c>
      <c r="P6" s="20">
        <f>('TE BE'!$P$6+'TE BF'!$P$6+'TE CVA'!$P$6)*1</f>
        <v>-16.035655728433582</v>
      </c>
      <c r="Q6" s="20">
        <f>('TE BE'!$R$6+'TE BF'!$R$6+'TE CVA'!$R$6)*1</f>
        <v>217.43213501583568</v>
      </c>
      <c r="R6" s="20">
        <f>('TE BE'!$T$6+'TE BF'!$T$6+'TE CVA'!$T$6)*1</f>
        <v>0</v>
      </c>
      <c r="S6" s="20">
        <f>('TE BE'!$U$6+'TE BF'!$U$6+'TE CVA'!$U$6)*1</f>
        <v>0</v>
      </c>
      <c r="T6" s="20">
        <f>('TE BE'!$V$6+'TE BF'!$V$6+'TE CVA'!$V$6)*1</f>
        <v>0</v>
      </c>
      <c r="U6" s="20">
        <f>('TE BE'!$X$6+'TE BF'!$X$6+'TE CVA'!$X$6)*1</f>
        <v>-18.741293404329745</v>
      </c>
      <c r="V6" s="20">
        <f>('TE BE'!$Z$6+'TE BF'!$Z$6+'TE CVA'!$Z$6)*1</f>
        <v>5.3394429151812277</v>
      </c>
      <c r="X6" s="20">
        <v>1.8448675826946299</v>
      </c>
      <c r="Y6" s="20">
        <v>15.849952722766799</v>
      </c>
      <c r="Z6" s="20">
        <v>0</v>
      </c>
      <c r="AA6" s="20">
        <v>0</v>
      </c>
      <c r="AB6" s="20">
        <v>0</v>
      </c>
      <c r="AC6" s="20">
        <v>142.004197050051</v>
      </c>
      <c r="AD6" s="20">
        <v>0</v>
      </c>
      <c r="AE6" s="20">
        <v>0</v>
      </c>
      <c r="AF6" s="20">
        <v>0</v>
      </c>
      <c r="AG6" s="20">
        <v>0</v>
      </c>
      <c r="AH6" s="20">
        <v>3.18849675635018</v>
      </c>
    </row>
    <row r="7" spans="1:34" ht="11.25" customHeight="1" x14ac:dyDescent="0.25">
      <c r="A7" s="118"/>
      <c r="B7" s="22" t="s">
        <v>90</v>
      </c>
      <c r="C7" s="22" t="s">
        <v>25</v>
      </c>
      <c r="D7" s="22" t="s">
        <v>25</v>
      </c>
      <c r="E7" s="22" t="s">
        <v>25</v>
      </c>
      <c r="F7" s="22" t="s">
        <v>25</v>
      </c>
      <c r="G7" s="23" t="s">
        <v>88</v>
      </c>
      <c r="H7" s="23" t="s">
        <v>82</v>
      </c>
      <c r="I7" s="23">
        <f>'MERCADO TE'!$U$4</f>
        <v>0</v>
      </c>
      <c r="J7" s="15"/>
      <c r="L7" s="20">
        <f>('TE BE'!$L$7+'TE BF'!$L$7+'TE CVA'!$L$7)*1</f>
        <v>2.3157120820153629</v>
      </c>
      <c r="M7" s="20">
        <f>('TE BE'!$M$7+'TE BF'!$M$7+'TE CVA'!$M$7)*1</f>
        <v>23.810061967776083</v>
      </c>
      <c r="N7" s="20">
        <f>('TE BE'!$N$7+'TE BF'!$N$7+'TE CVA'!$N$7)*1</f>
        <v>0</v>
      </c>
      <c r="O7" s="20">
        <f>('TE BE'!$O$7+'TE BF'!$O$7+'TE CVA'!$O$7)*1</f>
        <v>4.5650250114514055</v>
      </c>
      <c r="P7" s="20">
        <f>('TE BE'!$P$7+'TE BF'!$P$7+'TE CVA'!$P$7)*1</f>
        <v>-16.035655728433582</v>
      </c>
      <c r="Q7" s="20">
        <f>('TE BE'!$R$7+'TE BF'!$R$7+'TE CVA'!$R$7)*1</f>
        <v>230.47806311678582</v>
      </c>
      <c r="R7" s="20">
        <f>('TE BE'!$T$7+'TE BF'!$T$7+'TE CVA'!$T$7)*1</f>
        <v>0</v>
      </c>
      <c r="S7" s="20">
        <f>('TE BE'!$U$7+'TE BF'!$U$7+'TE CVA'!$U$7)*1</f>
        <v>0</v>
      </c>
      <c r="T7" s="20">
        <f>('TE BE'!$V$7+'TE BF'!$V$7+'TE CVA'!$V$7)*1</f>
        <v>0</v>
      </c>
      <c r="U7" s="20">
        <f>('TE BE'!$X$7+'TE BF'!$X$7+'TE CVA'!$X$7)*1</f>
        <v>-19.79067492419286</v>
      </c>
      <c r="V7" s="20">
        <f>('TE BE'!$Z$7+'TE BF'!$Z$7+'TE CVA'!$Z$7)*1</f>
        <v>5.3394429151812277</v>
      </c>
      <c r="X7" s="20">
        <v>0</v>
      </c>
      <c r="Y7" s="20">
        <v>0</v>
      </c>
      <c r="Z7" s="20">
        <v>0</v>
      </c>
      <c r="AA7" s="20">
        <v>0</v>
      </c>
      <c r="AB7" s="20">
        <v>0</v>
      </c>
      <c r="AC7" s="20">
        <v>0</v>
      </c>
      <c r="AD7" s="20">
        <v>0</v>
      </c>
      <c r="AE7" s="20">
        <v>0</v>
      </c>
      <c r="AF7" s="20">
        <v>0</v>
      </c>
      <c r="AG7" s="20">
        <v>0</v>
      </c>
      <c r="AH7" s="20">
        <v>0</v>
      </c>
    </row>
    <row r="8" spans="1:34" ht="11.25" customHeight="1" x14ac:dyDescent="0.25">
      <c r="A8" s="118" t="s">
        <v>43</v>
      </c>
      <c r="B8" s="118" t="s">
        <v>81</v>
      </c>
      <c r="C8" s="118" t="s">
        <v>25</v>
      </c>
      <c r="D8" s="118" t="s">
        <v>25</v>
      </c>
      <c r="E8" s="118" t="s">
        <v>25</v>
      </c>
      <c r="F8" s="118" t="s">
        <v>25</v>
      </c>
      <c r="G8" s="23" t="s">
        <v>83</v>
      </c>
      <c r="H8" s="23" t="s">
        <v>82</v>
      </c>
      <c r="I8" s="23">
        <f>'MERCADO TE'!$U$5</f>
        <v>163.142</v>
      </c>
      <c r="J8" s="15"/>
      <c r="L8" s="20">
        <f>('TE BE'!$L$8+'TE BF'!$L$8+'TE CVA'!$L$8)*1</f>
        <v>2.3157120820153629</v>
      </c>
      <c r="M8" s="20">
        <f>('TE BE'!$M$8+'TE BF'!$M$8+'TE CVA'!$M$8)*1</f>
        <v>23.810061967776083</v>
      </c>
      <c r="N8" s="20">
        <f>('TE BE'!$N$8+'TE BF'!$N$8+'TE CVA'!$N$8)*1</f>
        <v>0</v>
      </c>
      <c r="O8" s="20">
        <f>('TE BE'!$O$8+'TE BF'!$O$8+'TE CVA'!$O$8)*1</f>
        <v>4.5650250114514055</v>
      </c>
      <c r="P8" s="20">
        <f>('TE BE'!$P$8+'TE BF'!$P$8+'TE CVA'!$P$8)*1</f>
        <v>-16.035655728433582</v>
      </c>
      <c r="Q8" s="20">
        <f>('TE BE'!$R$8+'TE BF'!$R$8+'TE CVA'!$R$8)*1</f>
        <v>373.98327222723736</v>
      </c>
      <c r="R8" s="20">
        <f>('TE BE'!$T$8+'TE BF'!$T$8+'TE CVA'!$T$8)*1</f>
        <v>0</v>
      </c>
      <c r="S8" s="20">
        <f>('TE BE'!$U$8+'TE BF'!$U$8+'TE CVA'!$U$8)*1</f>
        <v>0</v>
      </c>
      <c r="T8" s="20">
        <f>('TE BE'!$V$8+'TE BF'!$V$8+'TE CVA'!$V$8)*1</f>
        <v>0</v>
      </c>
      <c r="U8" s="20">
        <f>('TE BE'!$X$8+'TE BF'!$X$8+'TE CVA'!$X$8)*1</f>
        <v>-31.333871642687104</v>
      </c>
      <c r="V8" s="20">
        <f>('TE BE'!$Z$8+'TE BF'!$Z$8+'TE CVA'!$Z$8)*1</f>
        <v>5.3394429151812277</v>
      </c>
      <c r="X8" s="20">
        <v>1.8448675826946299</v>
      </c>
      <c r="Y8" s="20">
        <v>15.849952722766799</v>
      </c>
      <c r="Z8" s="20">
        <v>0</v>
      </c>
      <c r="AA8" s="20">
        <v>0</v>
      </c>
      <c r="AB8" s="20">
        <v>0</v>
      </c>
      <c r="AC8" s="20">
        <v>244.24721892608699</v>
      </c>
      <c r="AD8" s="20">
        <v>0</v>
      </c>
      <c r="AE8" s="20">
        <v>0</v>
      </c>
      <c r="AF8" s="20">
        <v>0</v>
      </c>
      <c r="AG8" s="20">
        <v>0</v>
      </c>
      <c r="AH8" s="20">
        <v>3.18849675635018</v>
      </c>
    </row>
    <row r="9" spans="1:34" ht="11.25" customHeight="1" x14ac:dyDescent="0.25">
      <c r="A9" s="118"/>
      <c r="B9" s="118"/>
      <c r="C9" s="118"/>
      <c r="D9" s="118"/>
      <c r="E9" s="118"/>
      <c r="F9" s="118"/>
      <c r="G9" s="23" t="s">
        <v>84</v>
      </c>
      <c r="H9" s="23" t="s">
        <v>82</v>
      </c>
      <c r="I9" s="23">
        <f>'MERCADO TE'!$U$6</f>
        <v>1766.7370000000001</v>
      </c>
      <c r="J9" s="15"/>
      <c r="L9" s="20">
        <f>('TE BE'!$L$9+'TE BF'!$L$9+'TE CVA'!$L$9)*1</f>
        <v>2.3157120820153629</v>
      </c>
      <c r="M9" s="20">
        <f>('TE BE'!$M$9+'TE BF'!$M$9+'TE CVA'!$M$9)*1</f>
        <v>23.810061967776083</v>
      </c>
      <c r="N9" s="20">
        <f>('TE BE'!$N$9+'TE BF'!$N$9+'TE CVA'!$N$9)*1</f>
        <v>0</v>
      </c>
      <c r="O9" s="20">
        <f>('TE BE'!$O$9+'TE BF'!$O$9+'TE CVA'!$O$9)*1</f>
        <v>4.5650250114514055</v>
      </c>
      <c r="P9" s="20">
        <f>('TE BE'!$P$9+'TE BF'!$P$9+'TE CVA'!$P$9)*1</f>
        <v>-16.035655728433582</v>
      </c>
      <c r="Q9" s="20">
        <f>('TE BE'!$R$9+'TE BF'!$R$9+'TE CVA'!$R$9)*1</f>
        <v>217.43213501583568</v>
      </c>
      <c r="R9" s="20">
        <f>('TE BE'!$T$9+'TE BF'!$T$9+'TE CVA'!$T$9)*1</f>
        <v>0</v>
      </c>
      <c r="S9" s="20">
        <f>('TE BE'!$U$9+'TE BF'!$U$9+'TE CVA'!$U$9)*1</f>
        <v>0</v>
      </c>
      <c r="T9" s="20">
        <f>('TE BE'!$V$9+'TE BF'!$V$9+'TE CVA'!$V$9)*1</f>
        <v>0</v>
      </c>
      <c r="U9" s="20">
        <f>('TE BE'!$X$9+'TE BF'!$X$9+'TE CVA'!$X$9)*1</f>
        <v>-18.741293404329745</v>
      </c>
      <c r="V9" s="20">
        <f>('TE BE'!$Z$9+'TE BF'!$Z$9+'TE CVA'!$Z$9)*1</f>
        <v>5.3394429151812277</v>
      </c>
      <c r="X9" s="20">
        <v>1.8448675826946299</v>
      </c>
      <c r="Y9" s="20">
        <v>15.849952722766799</v>
      </c>
      <c r="Z9" s="20">
        <v>0</v>
      </c>
      <c r="AA9" s="20">
        <v>0</v>
      </c>
      <c r="AB9" s="20">
        <v>0</v>
      </c>
      <c r="AC9" s="20">
        <v>142.004197050051</v>
      </c>
      <c r="AD9" s="20">
        <v>0</v>
      </c>
      <c r="AE9" s="20">
        <v>0</v>
      </c>
      <c r="AF9" s="20">
        <v>0</v>
      </c>
      <c r="AG9" s="20">
        <v>0</v>
      </c>
      <c r="AH9" s="20">
        <v>3.18849675635018</v>
      </c>
    </row>
    <row r="10" spans="1:34" ht="11.25" customHeight="1" x14ac:dyDescent="0.25">
      <c r="A10" s="118"/>
      <c r="B10" s="22" t="s">
        <v>90</v>
      </c>
      <c r="C10" s="22" t="s">
        <v>25</v>
      </c>
      <c r="D10" s="22" t="s">
        <v>25</v>
      </c>
      <c r="E10" s="22" t="s">
        <v>25</v>
      </c>
      <c r="F10" s="22" t="s">
        <v>25</v>
      </c>
      <c r="G10" s="23" t="s">
        <v>88</v>
      </c>
      <c r="H10" s="23" t="s">
        <v>82</v>
      </c>
      <c r="I10" s="23">
        <f>'MERCADO TE'!$U$7</f>
        <v>0</v>
      </c>
      <c r="J10" s="15"/>
      <c r="L10" s="20">
        <f>('TE BE'!$L$10+'TE BF'!$L$10+'TE CVA'!$L$10)*1</f>
        <v>2.3157120820153629</v>
      </c>
      <c r="M10" s="20">
        <f>('TE BE'!$M$10+'TE BF'!$M$10+'TE CVA'!$M$10)*1</f>
        <v>23.810061967776083</v>
      </c>
      <c r="N10" s="20">
        <f>('TE BE'!$N$10+'TE BF'!$N$10+'TE CVA'!$N$10)*1</f>
        <v>0</v>
      </c>
      <c r="O10" s="20">
        <f>('TE BE'!$O$10+'TE BF'!$O$10+'TE CVA'!$O$10)*1</f>
        <v>4.5650250114514055</v>
      </c>
      <c r="P10" s="20">
        <f>('TE BE'!$P$10+'TE BF'!$P$10+'TE CVA'!$P$10)*1</f>
        <v>-16.035655728433582</v>
      </c>
      <c r="Q10" s="20">
        <f>('TE BE'!$R$10+'TE BF'!$R$10+'TE CVA'!$R$10)*1</f>
        <v>230.47806311678582</v>
      </c>
      <c r="R10" s="20">
        <f>('TE BE'!$T$10+'TE BF'!$T$10+'TE CVA'!$T$10)*1</f>
        <v>0</v>
      </c>
      <c r="S10" s="20">
        <f>('TE BE'!$U$10+'TE BF'!$U$10+'TE CVA'!$U$10)*1</f>
        <v>0</v>
      </c>
      <c r="T10" s="20">
        <f>('TE BE'!$V$10+'TE BF'!$V$10+'TE CVA'!$V$10)*1</f>
        <v>0</v>
      </c>
      <c r="U10" s="20">
        <f>('TE BE'!$X$10+'TE BF'!$X$10+'TE CVA'!$X$10)*1</f>
        <v>-19.79067492419286</v>
      </c>
      <c r="V10" s="20">
        <f>('TE BE'!$Z$10+'TE BF'!$Z$10+'TE CVA'!$Z$10)*1</f>
        <v>5.3394429151812277</v>
      </c>
      <c r="X10" s="20">
        <v>1.8448675826946299</v>
      </c>
      <c r="Y10" s="20">
        <v>15.849952722766799</v>
      </c>
      <c r="Z10" s="20">
        <v>0</v>
      </c>
      <c r="AA10" s="20">
        <v>0</v>
      </c>
      <c r="AB10" s="20">
        <v>0</v>
      </c>
      <c r="AC10" s="20">
        <v>150.52444887305401</v>
      </c>
      <c r="AD10" s="20">
        <v>0</v>
      </c>
      <c r="AE10" s="20">
        <v>0</v>
      </c>
      <c r="AF10" s="20">
        <v>0</v>
      </c>
      <c r="AG10" s="20">
        <v>0</v>
      </c>
      <c r="AH10" s="20">
        <v>3.18849675635018</v>
      </c>
    </row>
    <row r="11" spans="1:34" ht="11.25" customHeight="1" x14ac:dyDescent="0.25">
      <c r="A11" s="118" t="s">
        <v>41</v>
      </c>
      <c r="B11" s="118" t="s">
        <v>81</v>
      </c>
      <c r="C11" s="118" t="s">
        <v>25</v>
      </c>
      <c r="D11" s="118" t="s">
        <v>25</v>
      </c>
      <c r="E11" s="118" t="s">
        <v>25</v>
      </c>
      <c r="F11" s="118" t="s">
        <v>25</v>
      </c>
      <c r="G11" s="23" t="s">
        <v>83</v>
      </c>
      <c r="H11" s="23" t="s">
        <v>82</v>
      </c>
      <c r="I11" s="23">
        <f>'MERCADO TE'!$U$8</f>
        <v>15731.081</v>
      </c>
      <c r="J11" s="15"/>
      <c r="L11" s="20">
        <f>('TE BE'!$L$11+'TE BF'!$L$11+'TE CVA'!$L$11)*1</f>
        <v>2.3157120820153629</v>
      </c>
      <c r="M11" s="20">
        <f>('TE BE'!$M$11+'TE BF'!$M$11+'TE CVA'!$M$11)*1</f>
        <v>23.810061967776083</v>
      </c>
      <c r="N11" s="20">
        <f>('TE BE'!$N$11+'TE BF'!$N$11+'TE CVA'!$N$11)*1</f>
        <v>0</v>
      </c>
      <c r="O11" s="20">
        <f>('TE BE'!$O$11+'TE BF'!$O$11+'TE CVA'!$O$11)*1</f>
        <v>4.5650250114514055</v>
      </c>
      <c r="P11" s="20">
        <f>('TE BE'!$P$11+'TE BF'!$P$11+'TE CVA'!$P$11)*1</f>
        <v>-16.035655728433582</v>
      </c>
      <c r="Q11" s="20">
        <f>('TE BE'!$R$11+'TE BF'!$R$11+'TE CVA'!$R$11)*1</f>
        <v>373.98327222723736</v>
      </c>
      <c r="R11" s="20">
        <f>('TE BE'!$T$11+'TE BF'!$T$11+'TE CVA'!$T$11)*1</f>
        <v>0</v>
      </c>
      <c r="S11" s="20">
        <f>('TE BE'!$U$11+'TE BF'!$U$11+'TE CVA'!$U$11)*1</f>
        <v>0</v>
      </c>
      <c r="T11" s="20">
        <f>('TE BE'!$V$11+'TE BF'!$V$11+'TE CVA'!$V$11)*1</f>
        <v>0</v>
      </c>
      <c r="U11" s="20">
        <f>('TE BE'!$X$11+'TE BF'!$X$11+'TE CVA'!$X$11)*1</f>
        <v>-31.333871642687104</v>
      </c>
      <c r="V11" s="20">
        <f>('TE BE'!$Z$11+'TE BF'!$Z$11+'TE CVA'!$Z$11)*1</f>
        <v>5.3394429151812277</v>
      </c>
      <c r="X11" s="20">
        <v>1.8448675826946299</v>
      </c>
      <c r="Y11" s="20">
        <v>15.849952722766799</v>
      </c>
      <c r="Z11" s="20">
        <v>0</v>
      </c>
      <c r="AA11" s="20">
        <v>0</v>
      </c>
      <c r="AB11" s="20">
        <v>0</v>
      </c>
      <c r="AC11" s="20">
        <v>244.24721892608699</v>
      </c>
      <c r="AD11" s="20">
        <v>0</v>
      </c>
      <c r="AE11" s="20">
        <v>0</v>
      </c>
      <c r="AF11" s="20">
        <v>0</v>
      </c>
      <c r="AG11" s="20">
        <v>0</v>
      </c>
      <c r="AH11" s="20">
        <v>3.18849675635018</v>
      </c>
    </row>
    <row r="12" spans="1:34" ht="11.25" customHeight="1" x14ac:dyDescent="0.25">
      <c r="A12" s="118"/>
      <c r="B12" s="118"/>
      <c r="C12" s="118"/>
      <c r="D12" s="118"/>
      <c r="E12" s="118"/>
      <c r="F12" s="118"/>
      <c r="G12" s="23" t="s">
        <v>84</v>
      </c>
      <c r="H12" s="23" t="s">
        <v>82</v>
      </c>
      <c r="I12" s="23">
        <f>'MERCADO TE'!$U$9</f>
        <v>195150.861</v>
      </c>
      <c r="J12" s="15"/>
      <c r="L12" s="20">
        <f>('TE BE'!$L$12+'TE BF'!$L$12+'TE CVA'!$L$12)*1</f>
        <v>2.3157120820153629</v>
      </c>
      <c r="M12" s="20">
        <f>('TE BE'!$M$12+'TE BF'!$M$12+'TE CVA'!$M$12)*1</f>
        <v>23.810061967776083</v>
      </c>
      <c r="N12" s="20">
        <f>('TE BE'!$N$12+'TE BF'!$N$12+'TE CVA'!$N$12)*1</f>
        <v>0</v>
      </c>
      <c r="O12" s="20">
        <f>('TE BE'!$O$12+'TE BF'!$O$12+'TE CVA'!$O$12)*1</f>
        <v>4.5650250114514055</v>
      </c>
      <c r="P12" s="20">
        <f>('TE BE'!$P$12+'TE BF'!$P$12+'TE CVA'!$P$12)*1</f>
        <v>-16.035655728433582</v>
      </c>
      <c r="Q12" s="20">
        <f>('TE BE'!$R$12+'TE BF'!$R$12+'TE CVA'!$R$12)*1</f>
        <v>217.43213501583568</v>
      </c>
      <c r="R12" s="20">
        <f>('TE BE'!$T$12+'TE BF'!$T$12+'TE CVA'!$T$12)*1</f>
        <v>0</v>
      </c>
      <c r="S12" s="20">
        <f>('TE BE'!$U$12+'TE BF'!$U$12+'TE CVA'!$U$12)*1</f>
        <v>0</v>
      </c>
      <c r="T12" s="20">
        <f>('TE BE'!$V$12+'TE BF'!$V$12+'TE CVA'!$V$12)*1</f>
        <v>0</v>
      </c>
      <c r="U12" s="20">
        <f>('TE BE'!$X$12+'TE BF'!$X$12+'TE CVA'!$X$12)*1</f>
        <v>-18.741293404329745</v>
      </c>
      <c r="V12" s="20">
        <f>('TE BE'!$Z$12+'TE BF'!$Z$12+'TE CVA'!$Z$12)*1</f>
        <v>5.3394429151812277</v>
      </c>
      <c r="X12" s="20">
        <v>1.8448675826946299</v>
      </c>
      <c r="Y12" s="20">
        <v>15.849952722766799</v>
      </c>
      <c r="Z12" s="20">
        <v>0</v>
      </c>
      <c r="AA12" s="20">
        <v>0</v>
      </c>
      <c r="AB12" s="20">
        <v>0</v>
      </c>
      <c r="AC12" s="20">
        <v>142.004197050051</v>
      </c>
      <c r="AD12" s="20">
        <v>0</v>
      </c>
      <c r="AE12" s="20">
        <v>0</v>
      </c>
      <c r="AF12" s="20">
        <v>0</v>
      </c>
      <c r="AG12" s="20">
        <v>0</v>
      </c>
      <c r="AH12" s="20">
        <v>3.18849675635018</v>
      </c>
    </row>
    <row r="13" spans="1:34" ht="11.25" customHeight="1" x14ac:dyDescent="0.25">
      <c r="A13" s="118"/>
      <c r="B13" s="22" t="s">
        <v>92</v>
      </c>
      <c r="C13" s="22" t="s">
        <v>25</v>
      </c>
      <c r="D13" s="22" t="s">
        <v>25</v>
      </c>
      <c r="E13" s="22" t="s">
        <v>93</v>
      </c>
      <c r="F13" s="22" t="s">
        <v>25</v>
      </c>
      <c r="G13" s="23" t="s">
        <v>88</v>
      </c>
      <c r="H13" s="23" t="s">
        <v>82</v>
      </c>
      <c r="I13" s="23">
        <f>'MERCADO TE'!$U$10</f>
        <v>0</v>
      </c>
      <c r="J13" s="15"/>
      <c r="L13" s="20">
        <f>('TE BE'!$L$13+'TE BF'!$L$13+'TE CVA'!$L$13)*1</f>
        <v>2.3157120820153629</v>
      </c>
      <c r="M13" s="20">
        <f>('TE BE'!$M$13+'TE BF'!$M$13+'TE CVA'!$M$13)*1</f>
        <v>23.810061967776083</v>
      </c>
      <c r="N13" s="20">
        <f>('TE BE'!$N$13+'TE BF'!$N$13+'TE CVA'!$N$13)*1</f>
        <v>0</v>
      </c>
      <c r="O13" s="20">
        <f>('TE BE'!$O$13+'TE BF'!$O$13+'TE CVA'!$O$13)*1</f>
        <v>4.5650250114514064</v>
      </c>
      <c r="P13" s="20">
        <f>('TE BE'!$P$13+'TE BF'!$P$13+'TE CVA'!$P$13)*1</f>
        <v>-16.035655728433586</v>
      </c>
      <c r="Q13" s="20">
        <f>('TE BE'!$R$13+'TE BF'!$R$13+'TE CVA'!$R$13)*1</f>
        <v>229.54926179004732</v>
      </c>
      <c r="R13" s="20">
        <f>('TE BE'!$T$13+'TE BF'!$T$13+'TE CVA'!$T$13)*1</f>
        <v>0</v>
      </c>
      <c r="S13" s="20">
        <f>('TE BE'!$U$13+'TE BF'!$U$13+'TE CVA'!$U$13)*1</f>
        <v>0</v>
      </c>
      <c r="T13" s="20">
        <f>('TE BE'!$V$13+'TE BF'!$V$13+'TE CVA'!$V$13)*1</f>
        <v>0</v>
      </c>
      <c r="U13" s="20">
        <f>('TE BE'!$X$13+'TE BF'!$X$13+'TE CVA'!$X$13)*1</f>
        <v>0</v>
      </c>
      <c r="V13" s="20">
        <f>('TE BE'!$Z$13+'TE BF'!$Z$13+'TE CVA'!$Z$13)*1</f>
        <v>5.3394429151812277</v>
      </c>
      <c r="X13" s="20">
        <v>1.8448675826946299</v>
      </c>
      <c r="Y13" s="20">
        <v>15.849952722766799</v>
      </c>
      <c r="Z13" s="20">
        <v>0</v>
      </c>
      <c r="AA13" s="20">
        <v>0</v>
      </c>
      <c r="AB13" s="20">
        <v>0</v>
      </c>
      <c r="AC13" s="20">
        <v>150.18876501973699</v>
      </c>
      <c r="AD13" s="20">
        <v>0</v>
      </c>
      <c r="AE13" s="20">
        <v>0</v>
      </c>
      <c r="AF13" s="20">
        <v>0</v>
      </c>
      <c r="AG13" s="20">
        <v>0</v>
      </c>
      <c r="AH13" s="20">
        <v>3.18849675635018</v>
      </c>
    </row>
    <row r="14" spans="1:34" ht="11.25" customHeight="1" x14ac:dyDescent="0.25">
      <c r="A14" s="118"/>
      <c r="B14" s="22" t="s">
        <v>90</v>
      </c>
      <c r="C14" s="22" t="s">
        <v>25</v>
      </c>
      <c r="D14" s="22" t="s">
        <v>25</v>
      </c>
      <c r="E14" s="22" t="s">
        <v>25</v>
      </c>
      <c r="F14" s="22" t="s">
        <v>25</v>
      </c>
      <c r="G14" s="23" t="s">
        <v>88</v>
      </c>
      <c r="H14" s="23" t="s">
        <v>82</v>
      </c>
      <c r="I14" s="23">
        <f>'MERCADO TE'!$U$11</f>
        <v>0</v>
      </c>
      <c r="J14" s="15"/>
      <c r="L14" s="20">
        <f>('TE BE'!$L$14+'TE BF'!$L$14+'TE CVA'!$L$14)*1</f>
        <v>2.3157120820153629</v>
      </c>
      <c r="M14" s="20">
        <f>('TE BE'!$M$14+'TE BF'!$M$14+'TE CVA'!$M$14)*1</f>
        <v>23.810061967776083</v>
      </c>
      <c r="N14" s="20">
        <f>('TE BE'!$N$14+'TE BF'!$N$14+'TE CVA'!$N$14)*1</f>
        <v>0</v>
      </c>
      <c r="O14" s="20">
        <f>('TE BE'!$O$14+'TE BF'!$O$14+'TE CVA'!$O$14)*1</f>
        <v>4.5650250114514055</v>
      </c>
      <c r="P14" s="20">
        <f>('TE BE'!$P$14+'TE BF'!$P$14+'TE CVA'!$P$14)*1</f>
        <v>-16.035655728433582</v>
      </c>
      <c r="Q14" s="20">
        <f>('TE BE'!$R$14+'TE BF'!$R$14+'TE CVA'!$R$14)*1</f>
        <v>230.47806311678582</v>
      </c>
      <c r="R14" s="20">
        <f>('TE BE'!$T$14+'TE BF'!$T$14+'TE CVA'!$T$14)*1</f>
        <v>0</v>
      </c>
      <c r="S14" s="20">
        <f>('TE BE'!$U$14+'TE BF'!$U$14+'TE CVA'!$U$14)*1</f>
        <v>0</v>
      </c>
      <c r="T14" s="20">
        <f>('TE BE'!$V$14+'TE BF'!$V$14+'TE CVA'!$V$14)*1</f>
        <v>0</v>
      </c>
      <c r="U14" s="20">
        <f>('TE BE'!$X$14+'TE BF'!$X$14+'TE CVA'!$X$14)*1</f>
        <v>-19.79067492419286</v>
      </c>
      <c r="V14" s="20">
        <f>('TE BE'!$Z$14+'TE BF'!$Z$14+'TE CVA'!$Z$14)*1</f>
        <v>5.3394429151812277</v>
      </c>
      <c r="X14" s="20">
        <v>1.8448675826946299</v>
      </c>
      <c r="Y14" s="20">
        <v>15.849952722766799</v>
      </c>
      <c r="Z14" s="20">
        <v>0</v>
      </c>
      <c r="AA14" s="20">
        <v>0</v>
      </c>
      <c r="AB14" s="20">
        <v>0</v>
      </c>
      <c r="AC14" s="20">
        <v>150.52444887305401</v>
      </c>
      <c r="AD14" s="20">
        <v>0</v>
      </c>
      <c r="AE14" s="20">
        <v>0</v>
      </c>
      <c r="AF14" s="20">
        <v>0</v>
      </c>
      <c r="AG14" s="20">
        <v>0</v>
      </c>
      <c r="AH14" s="20">
        <v>3.18849675635018</v>
      </c>
    </row>
    <row r="15" spans="1:34" ht="11.25" customHeight="1" x14ac:dyDescent="0.25">
      <c r="A15" s="118"/>
      <c r="B15" s="22" t="s">
        <v>94</v>
      </c>
      <c r="C15" s="22" t="s">
        <v>25</v>
      </c>
      <c r="D15" s="22" t="s">
        <v>25</v>
      </c>
      <c r="E15" s="22" t="s">
        <v>93</v>
      </c>
      <c r="F15" s="22" t="s">
        <v>25</v>
      </c>
      <c r="G15" s="23" t="s">
        <v>88</v>
      </c>
      <c r="H15" s="23" t="s">
        <v>82</v>
      </c>
      <c r="I15" s="23">
        <f>'MERCADO TE'!$U$12</f>
        <v>0</v>
      </c>
      <c r="J15" s="15"/>
      <c r="L15" s="20">
        <f>('TE BE'!$L$15+'TE BF'!$L$15+'TE CVA'!$L$15)*1</f>
        <v>2.3157120820153629</v>
      </c>
      <c r="M15" s="20">
        <f>('TE BE'!$M$15+'TE BF'!$M$15+'TE CVA'!$M$15)*1</f>
        <v>23.810061967776083</v>
      </c>
      <c r="N15" s="20">
        <f>('TE BE'!$N$15+'TE BF'!$N$15+'TE CVA'!$N$15)*1</f>
        <v>0</v>
      </c>
      <c r="O15" s="20">
        <f>('TE BE'!$O$15+'TE BF'!$O$15+'TE CVA'!$O$15)*1</f>
        <v>4.5650250114514064</v>
      </c>
      <c r="P15" s="20">
        <f>('TE BE'!$P$15+'TE BF'!$P$15+'TE CVA'!$P$15)*1</f>
        <v>-16.035655728433586</v>
      </c>
      <c r="Q15" s="20">
        <f>('TE BE'!$R$15+'TE BF'!$R$15+'TE CVA'!$R$15)*1</f>
        <v>229.54926179004732</v>
      </c>
      <c r="R15" s="20">
        <f>('TE BE'!$T$15+'TE BF'!$T$15+'TE CVA'!$T$15)*1</f>
        <v>0</v>
      </c>
      <c r="S15" s="20">
        <f>('TE BE'!$U$15+'TE BF'!$U$15+'TE CVA'!$U$15)*1</f>
        <v>0</v>
      </c>
      <c r="T15" s="20">
        <f>('TE BE'!$V$15+'TE BF'!$V$15+'TE CVA'!$V$15)*1</f>
        <v>0</v>
      </c>
      <c r="U15" s="20">
        <f>('TE BE'!$X$15+'TE BF'!$X$15+'TE CVA'!$X$15)*1</f>
        <v>0</v>
      </c>
      <c r="V15" s="20">
        <f>('TE BE'!$Z$15+'TE BF'!$Z$15+'TE CVA'!$Z$15)*1</f>
        <v>5.3394429151812277</v>
      </c>
      <c r="X15" s="20">
        <v>1.8448675826946299</v>
      </c>
      <c r="Y15" s="20">
        <v>15.849952722766799</v>
      </c>
      <c r="Z15" s="20">
        <v>0</v>
      </c>
      <c r="AA15" s="20">
        <v>0</v>
      </c>
      <c r="AB15" s="20">
        <v>0</v>
      </c>
      <c r="AC15" s="20">
        <v>150.18876501973699</v>
      </c>
      <c r="AD15" s="20">
        <v>0</v>
      </c>
      <c r="AE15" s="20">
        <v>0</v>
      </c>
      <c r="AF15" s="20">
        <v>0</v>
      </c>
      <c r="AG15" s="20">
        <v>0</v>
      </c>
      <c r="AH15" s="20">
        <v>3.18849675635018</v>
      </c>
    </row>
    <row r="16" spans="1:34" ht="11.25" customHeight="1" x14ac:dyDescent="0.25">
      <c r="A16" s="118"/>
      <c r="B16" s="22" t="s">
        <v>92</v>
      </c>
      <c r="C16" s="22" t="s">
        <v>25</v>
      </c>
      <c r="D16" s="22" t="s">
        <v>25</v>
      </c>
      <c r="E16" s="22" t="s">
        <v>25</v>
      </c>
      <c r="F16" s="22" t="s">
        <v>25</v>
      </c>
      <c r="G16" s="23" t="s">
        <v>88</v>
      </c>
      <c r="H16" s="23" t="s">
        <v>82</v>
      </c>
      <c r="I16" s="23">
        <f>'MERCADO TE'!$U$13</f>
        <v>10049.64</v>
      </c>
      <c r="J16" s="15"/>
      <c r="L16" s="20">
        <f>('TE BE'!$L$16+'TE BF'!$L$16+'TE CVA'!$L$16)*1</f>
        <v>2.3157120820153629</v>
      </c>
      <c r="M16" s="20">
        <f>('TE BE'!$M$16+'TE BF'!$M$16+'TE CVA'!$M$16)*1</f>
        <v>0</v>
      </c>
      <c r="N16" s="20">
        <f>('TE BE'!$N$16+'TE BF'!$N$16+'TE CVA'!$N$16)*1</f>
        <v>0</v>
      </c>
      <c r="O16" s="20">
        <f>('TE BE'!$O$16+'TE BF'!$O$16+'TE CVA'!$O$16)*1</f>
        <v>4.5650250114514064</v>
      </c>
      <c r="P16" s="20">
        <f>('TE BE'!$P$16+'TE BF'!$P$16+'TE CVA'!$P$16)*1</f>
        <v>-16.035655728433586</v>
      </c>
      <c r="Q16" s="20">
        <f>('TE BE'!$R$16+'TE BF'!$R$16+'TE CVA'!$R$16)*1</f>
        <v>229.54926179004732</v>
      </c>
      <c r="R16" s="20">
        <f>('TE BE'!$T$16+'TE BF'!$T$16+'TE CVA'!$T$16)*1</f>
        <v>0</v>
      </c>
      <c r="S16" s="20">
        <f>('TE BE'!$U$16+'TE BF'!$U$16+'TE CVA'!$U$16)*1</f>
        <v>0</v>
      </c>
      <c r="T16" s="20">
        <f>('TE BE'!$V$16+'TE BF'!$V$16+'TE CVA'!$V$16)*1</f>
        <v>0</v>
      </c>
      <c r="U16" s="20">
        <f>('TE BE'!$X$16+'TE BF'!$X$16+'TE CVA'!$X$16)*1</f>
        <v>0</v>
      </c>
      <c r="V16" s="20">
        <f>('TE BE'!$Z$16+'TE BF'!$Z$16+'TE CVA'!$Z$16)*1</f>
        <v>0</v>
      </c>
      <c r="X16" s="20">
        <v>1.8448675826946299</v>
      </c>
      <c r="Y16" s="20">
        <v>15.849952722766799</v>
      </c>
      <c r="Z16" s="20">
        <v>0</v>
      </c>
      <c r="AA16" s="20">
        <v>0</v>
      </c>
      <c r="AB16" s="20">
        <v>0</v>
      </c>
      <c r="AC16" s="20">
        <v>150.18876501973699</v>
      </c>
      <c r="AD16" s="20">
        <v>0</v>
      </c>
      <c r="AE16" s="20">
        <v>0</v>
      </c>
      <c r="AF16" s="20">
        <v>0</v>
      </c>
      <c r="AG16" s="20">
        <v>0</v>
      </c>
      <c r="AH16" s="20">
        <v>3.18849675635018</v>
      </c>
    </row>
    <row r="17" spans="1:34" ht="11.25" customHeight="1" x14ac:dyDescent="0.25">
      <c r="A17" s="118" t="s">
        <v>22</v>
      </c>
      <c r="B17" s="118" t="s">
        <v>81</v>
      </c>
      <c r="C17" s="118" t="s">
        <v>24</v>
      </c>
      <c r="D17" s="118" t="s">
        <v>24</v>
      </c>
      <c r="E17" s="118" t="s">
        <v>25</v>
      </c>
      <c r="F17" s="118" t="s">
        <v>25</v>
      </c>
      <c r="G17" s="23" t="s">
        <v>83</v>
      </c>
      <c r="H17" s="23" t="s">
        <v>82</v>
      </c>
      <c r="I17" s="23">
        <f>'MERCADO TE'!$U$14</f>
        <v>51.442999999999998</v>
      </c>
      <c r="J17" s="15"/>
      <c r="L17" s="20">
        <f>('TE BE'!$L$17+'TE BF'!$L$17+'TE CVA'!$L$17)*1</f>
        <v>2.3157120820153629</v>
      </c>
      <c r="M17" s="20">
        <f>('TE BE'!$M$17+'TE BF'!$M$17+'TE CVA'!$M$17)*1</f>
        <v>23.810061967776083</v>
      </c>
      <c r="N17" s="20">
        <f>('TE BE'!$N$17+'TE BF'!$N$17+'TE CVA'!$N$17)*1</f>
        <v>0</v>
      </c>
      <c r="O17" s="20">
        <f>('TE BE'!$O$17+'TE BF'!$O$17+'TE CVA'!$O$17)*1</f>
        <v>4.5650250114514055</v>
      </c>
      <c r="P17" s="20">
        <f>('TE BE'!$P$17+'TE BF'!$P$17+'TE CVA'!$P$17)*1</f>
        <v>-16.035655728433582</v>
      </c>
      <c r="Q17" s="20">
        <f>('TE BE'!$R$17+'TE BF'!$R$17+'TE CVA'!$R$17)*1</f>
        <v>373.98327222723736</v>
      </c>
      <c r="R17" s="20">
        <f>('TE BE'!$T$17+'TE BF'!$T$17+'TE CVA'!$T$17)*1</f>
        <v>0</v>
      </c>
      <c r="S17" s="20">
        <f>('TE BE'!$U$17+'TE BF'!$U$17+'TE CVA'!$U$17)*1</f>
        <v>0</v>
      </c>
      <c r="T17" s="20">
        <f>('TE BE'!$V$17+'TE BF'!$V$17+'TE CVA'!$V$17)*1</f>
        <v>0</v>
      </c>
      <c r="U17" s="20">
        <f>('TE BE'!$X$17+'TE BF'!$X$17+'TE CVA'!$X$17)*1</f>
        <v>-31.333871642687104</v>
      </c>
      <c r="V17" s="20">
        <f>('TE BE'!$Z$17+'TE BF'!$Z$17+'TE CVA'!$Z$17)*1</f>
        <v>5.3394429151812277</v>
      </c>
      <c r="X17" s="20">
        <v>1.8448675826946299</v>
      </c>
      <c r="Y17" s="20">
        <v>15.849952722766799</v>
      </c>
      <c r="Z17" s="20">
        <v>0</v>
      </c>
      <c r="AA17" s="20">
        <v>0</v>
      </c>
      <c r="AB17" s="20">
        <v>0</v>
      </c>
      <c r="AC17" s="20">
        <v>244.24721892608699</v>
      </c>
      <c r="AD17" s="20">
        <v>0</v>
      </c>
      <c r="AE17" s="20">
        <v>0</v>
      </c>
      <c r="AF17" s="20">
        <v>0</v>
      </c>
      <c r="AG17" s="20">
        <v>0</v>
      </c>
      <c r="AH17" s="20">
        <v>3.18849675635018</v>
      </c>
    </row>
    <row r="18" spans="1:34" ht="11.25" customHeight="1" x14ac:dyDescent="0.25">
      <c r="A18" s="118"/>
      <c r="B18" s="118"/>
      <c r="C18" s="118"/>
      <c r="D18" s="118"/>
      <c r="E18" s="118"/>
      <c r="F18" s="118"/>
      <c r="G18" s="23" t="s">
        <v>98</v>
      </c>
      <c r="H18" s="23" t="s">
        <v>82</v>
      </c>
      <c r="I18" s="23">
        <f>'MERCADO TE'!$U$15</f>
        <v>16.948999999999998</v>
      </c>
      <c r="J18" s="15"/>
      <c r="L18" s="20">
        <f>('TE BE'!$L$18+'TE BF'!$L$18+'TE CVA'!$L$18)*1</f>
        <v>2.3157120820153629</v>
      </c>
      <c r="M18" s="20">
        <f>('TE BE'!$M$18+'TE BF'!$M$18+'TE CVA'!$M$18)*1</f>
        <v>23.810061967776083</v>
      </c>
      <c r="N18" s="20">
        <f>('TE BE'!$N$18+'TE BF'!$N$18+'TE CVA'!$N$18)*1</f>
        <v>0</v>
      </c>
      <c r="O18" s="20">
        <f>('TE BE'!$O$18+'TE BF'!$O$18+'TE CVA'!$O$18)*1</f>
        <v>4.5650250114514055</v>
      </c>
      <c r="P18" s="20">
        <f>('TE BE'!$P$18+'TE BF'!$P$18+'TE CVA'!$P$18)*1</f>
        <v>-16.035655728433582</v>
      </c>
      <c r="Q18" s="20">
        <f>('TE BE'!$R$18+'TE BF'!$R$18+'TE CVA'!$R$18)*1</f>
        <v>217.43213501583568</v>
      </c>
      <c r="R18" s="20">
        <f>('TE BE'!$T$18+'TE BF'!$T$18+'TE CVA'!$T$18)*1</f>
        <v>0</v>
      </c>
      <c r="S18" s="20">
        <f>('TE BE'!$U$18+'TE BF'!$U$18+'TE CVA'!$U$18)*1</f>
        <v>0</v>
      </c>
      <c r="T18" s="20">
        <f>('TE BE'!$V$18+'TE BF'!$V$18+'TE CVA'!$V$18)*1</f>
        <v>0</v>
      </c>
      <c r="U18" s="20">
        <f>('TE BE'!$X$18+'TE BF'!$X$18+'TE CVA'!$X$18)*1</f>
        <v>-18.741293404329745</v>
      </c>
      <c r="V18" s="20">
        <f>('TE BE'!$Z$18+'TE BF'!$Z$18+'TE CVA'!$Z$18)*1</f>
        <v>5.3394429151812277</v>
      </c>
      <c r="X18" s="20">
        <v>1.8448675826946299</v>
      </c>
      <c r="Y18" s="20">
        <v>15.849952722766799</v>
      </c>
      <c r="Z18" s="20">
        <v>0</v>
      </c>
      <c r="AA18" s="20">
        <v>0</v>
      </c>
      <c r="AB18" s="20">
        <v>0</v>
      </c>
      <c r="AC18" s="20">
        <v>142.004197050051</v>
      </c>
      <c r="AD18" s="20">
        <v>0</v>
      </c>
      <c r="AE18" s="20">
        <v>0</v>
      </c>
      <c r="AF18" s="20">
        <v>0</v>
      </c>
      <c r="AG18" s="20">
        <v>0</v>
      </c>
      <c r="AH18" s="20">
        <v>3.18849675635018</v>
      </c>
    </row>
    <row r="19" spans="1:34" ht="11.25" customHeight="1" x14ac:dyDescent="0.25">
      <c r="A19" s="118"/>
      <c r="B19" s="118"/>
      <c r="C19" s="118"/>
      <c r="D19" s="118"/>
      <c r="E19" s="118"/>
      <c r="F19" s="118"/>
      <c r="G19" s="23" t="s">
        <v>84</v>
      </c>
      <c r="H19" s="23" t="s">
        <v>82</v>
      </c>
      <c r="I19" s="23">
        <f>'MERCADO TE'!$U$16</f>
        <v>490.19600000000008</v>
      </c>
      <c r="J19" s="15"/>
      <c r="L19" s="20">
        <f>('TE BE'!$L$19+'TE BF'!$L$19+'TE CVA'!$L$19)*1</f>
        <v>2.3157120820153629</v>
      </c>
      <c r="M19" s="20">
        <f>('TE BE'!$M$19+'TE BF'!$M$19+'TE CVA'!$M$19)*1</f>
        <v>23.810061967776083</v>
      </c>
      <c r="N19" s="20">
        <f>('TE BE'!$N$19+'TE BF'!$N$19+'TE CVA'!$N$19)*1</f>
        <v>0</v>
      </c>
      <c r="O19" s="20">
        <f>('TE BE'!$O$19+'TE BF'!$O$19+'TE CVA'!$O$19)*1</f>
        <v>4.5650250114514055</v>
      </c>
      <c r="P19" s="20">
        <f>('TE BE'!$P$19+'TE BF'!$P$19+'TE CVA'!$P$19)*1</f>
        <v>-16.035655728433582</v>
      </c>
      <c r="Q19" s="20">
        <f>('TE BE'!$R$19+'TE BF'!$R$19+'TE CVA'!$R$19)*1</f>
        <v>217.43213501583568</v>
      </c>
      <c r="R19" s="20">
        <f>('TE BE'!$T$19+'TE BF'!$T$19+'TE CVA'!$T$19)*1</f>
        <v>0</v>
      </c>
      <c r="S19" s="20">
        <f>('TE BE'!$U$19+'TE BF'!$U$19+'TE CVA'!$U$19)*1</f>
        <v>0</v>
      </c>
      <c r="T19" s="20">
        <f>('TE BE'!$V$19+'TE BF'!$V$19+'TE CVA'!$V$19)*1</f>
        <v>0</v>
      </c>
      <c r="U19" s="20">
        <f>('TE BE'!$X$19+'TE BF'!$X$19+'TE CVA'!$X$19)*1</f>
        <v>-18.741293404329745</v>
      </c>
      <c r="V19" s="20">
        <f>('TE BE'!$Z$19+'TE BF'!$Z$19+'TE CVA'!$Z$19)*1</f>
        <v>5.3394429151812277</v>
      </c>
      <c r="X19" s="20">
        <v>1.8448675826946299</v>
      </c>
      <c r="Y19" s="20">
        <v>15.849952722766799</v>
      </c>
      <c r="Z19" s="20">
        <v>0</v>
      </c>
      <c r="AA19" s="20">
        <v>0</v>
      </c>
      <c r="AB19" s="20">
        <v>0</v>
      </c>
      <c r="AC19" s="20">
        <v>142.004197050051</v>
      </c>
      <c r="AD19" s="20">
        <v>0</v>
      </c>
      <c r="AE19" s="20">
        <v>0</v>
      </c>
      <c r="AF19" s="20">
        <v>0</v>
      </c>
      <c r="AG19" s="20">
        <v>0</v>
      </c>
      <c r="AH19" s="20">
        <v>3.18849675635018</v>
      </c>
    </row>
    <row r="20" spans="1:34" ht="11.25" customHeight="1" x14ac:dyDescent="0.25">
      <c r="A20" s="118"/>
      <c r="B20" s="118" t="s">
        <v>90</v>
      </c>
      <c r="C20" s="118" t="s">
        <v>24</v>
      </c>
      <c r="D20" s="22" t="s">
        <v>24</v>
      </c>
      <c r="E20" s="22" t="s">
        <v>25</v>
      </c>
      <c r="F20" s="22" t="s">
        <v>25</v>
      </c>
      <c r="G20" s="23" t="s">
        <v>88</v>
      </c>
      <c r="H20" s="23" t="s">
        <v>82</v>
      </c>
      <c r="I20" s="23">
        <f>'MERCADO TE'!$U$17</f>
        <v>441318.25</v>
      </c>
      <c r="J20" s="15"/>
      <c r="L20" s="20">
        <f>('TE BE'!$L$20+'TE BF'!$L$20+'TE CVA'!$L$20)*1</f>
        <v>2.3157120820153629</v>
      </c>
      <c r="M20" s="20">
        <f>('TE BE'!$M$20+'TE BF'!$M$20+'TE CVA'!$M$20)*1</f>
        <v>23.810061967776083</v>
      </c>
      <c r="N20" s="20">
        <f>('TE BE'!$N$20+'TE BF'!$N$20+'TE CVA'!$N$20)*1</f>
        <v>0</v>
      </c>
      <c r="O20" s="20">
        <f>('TE BE'!$O$20+'TE BF'!$O$20+'TE CVA'!$O$20)*1</f>
        <v>4.5650250114514055</v>
      </c>
      <c r="P20" s="20">
        <f>('TE BE'!$P$20+'TE BF'!$P$20+'TE CVA'!$P$20)*1</f>
        <v>-16.035655728433582</v>
      </c>
      <c r="Q20" s="20">
        <f>('TE BE'!$R$20+'TE BF'!$R$20+'TE CVA'!$R$20)*1</f>
        <v>230.47806311678582</v>
      </c>
      <c r="R20" s="20">
        <f>('TE BE'!$T$20+'TE BF'!$T$20+'TE CVA'!$T$20)*1</f>
        <v>0</v>
      </c>
      <c r="S20" s="20">
        <f>('TE BE'!$U$20+'TE BF'!$U$20+'TE CVA'!$U$20)*1</f>
        <v>0</v>
      </c>
      <c r="T20" s="20">
        <f>('TE BE'!$V$20+'TE BF'!$V$20+'TE CVA'!$V$20)*1</f>
        <v>0</v>
      </c>
      <c r="U20" s="20">
        <f>('TE BE'!$X$20+'TE BF'!$X$20+'TE CVA'!$X$20)*1</f>
        <v>-19.79067492419286</v>
      </c>
      <c r="V20" s="20">
        <f>('TE BE'!$Z$20+'TE BF'!$Z$20+'TE CVA'!$Z$20)*1</f>
        <v>5.3394429151812277</v>
      </c>
      <c r="X20" s="20">
        <v>1.8448675826946299</v>
      </c>
      <c r="Y20" s="20">
        <v>15.849952722766799</v>
      </c>
      <c r="Z20" s="20">
        <v>0</v>
      </c>
      <c r="AA20" s="20">
        <v>0</v>
      </c>
      <c r="AB20" s="20">
        <v>0</v>
      </c>
      <c r="AC20" s="20">
        <v>150.52444887305401</v>
      </c>
      <c r="AD20" s="20">
        <v>0</v>
      </c>
      <c r="AE20" s="20">
        <v>0</v>
      </c>
      <c r="AF20" s="20">
        <v>0</v>
      </c>
      <c r="AG20" s="20">
        <v>0</v>
      </c>
      <c r="AH20" s="20">
        <v>3.18849675635018</v>
      </c>
    </row>
    <row r="21" spans="1:34" ht="11.25" customHeight="1" x14ac:dyDescent="0.25">
      <c r="A21" s="118"/>
      <c r="B21" s="118"/>
      <c r="C21" s="118"/>
      <c r="D21" s="22" t="s">
        <v>31</v>
      </c>
      <c r="E21" s="22" t="s">
        <v>25</v>
      </c>
      <c r="F21" s="22" t="s">
        <v>25</v>
      </c>
      <c r="G21" s="23" t="s">
        <v>88</v>
      </c>
      <c r="H21" s="23" t="s">
        <v>82</v>
      </c>
      <c r="I21" s="23">
        <f>'MERCADO TE'!$U$18</f>
        <v>23008.194</v>
      </c>
      <c r="J21" s="15"/>
      <c r="L21" s="20">
        <f>('TE BE'!$L$21+'TE BF'!$L$21+'TE CVA'!$L$21)*(1 - 0.65)</f>
        <v>0.81049922870537694</v>
      </c>
      <c r="M21" s="20">
        <f>('TE BE'!$M$21+'TE BF'!$M$21+'TE CVA'!$M$21)*(1 - 0.65)</f>
        <v>8.3335216887216284</v>
      </c>
      <c r="N21" s="20">
        <f>('TE BE'!$N$21+'TE BF'!$N$21+'TE CVA'!$N$21)*(1 - 0.65)</f>
        <v>0</v>
      </c>
      <c r="O21" s="20">
        <f>('TE BE'!$O$21+'TE BF'!$O$21+'TE CVA'!$O$21)*(1 - 0.65)</f>
        <v>1.5977587540079918</v>
      </c>
      <c r="P21" s="20">
        <f>('TE BE'!$P$21+'TE BF'!$P$21+'TE CVA'!$P$21)*(1 - 0.65)</f>
        <v>-5.6124795049517537</v>
      </c>
      <c r="Q21" s="20">
        <f>('TE BE'!$R$21+'TE BF'!$R$21+'TE CVA'!$R$21)*(1 - 0.65)</f>
        <v>80.667322090875032</v>
      </c>
      <c r="R21" s="20">
        <f>('TE BE'!$T$21+'TE BF'!$T$21+'TE CVA'!$T$21)*(1 - 0.65)</f>
        <v>0</v>
      </c>
      <c r="S21" s="20">
        <f>('TE BE'!$U$21+'TE BF'!$U$21+'TE CVA'!$U$21)*(1 - 0.65)</f>
        <v>0</v>
      </c>
      <c r="T21" s="20">
        <f>('TE BE'!$V$21+'TE BF'!$V$21+'TE CVA'!$V$21)*(1 - 0.65)</f>
        <v>0</v>
      </c>
      <c r="U21" s="20">
        <f>('TE BE'!$X$21+'TE BF'!$X$21+'TE CVA'!$X$21)*(1 - 0.65)</f>
        <v>-6.9267362234675005</v>
      </c>
      <c r="V21" s="20">
        <f>('TE BE'!$Z$21+'TE BF'!$Z$21+'TE CVA'!$Z$21)*(1 - 0.65)</f>
        <v>1.8688050203134297</v>
      </c>
      <c r="X21" s="20">
        <v>0.64570365394312002</v>
      </c>
      <c r="Y21" s="20">
        <v>5.5474834529683799</v>
      </c>
      <c r="Z21" s="20">
        <v>0</v>
      </c>
      <c r="AA21" s="20">
        <v>0</v>
      </c>
      <c r="AB21" s="20">
        <v>0</v>
      </c>
      <c r="AC21" s="20">
        <v>52.683557105568802</v>
      </c>
      <c r="AD21" s="20">
        <v>0</v>
      </c>
      <c r="AE21" s="20">
        <v>0</v>
      </c>
      <c r="AF21" s="20">
        <v>0</v>
      </c>
      <c r="AG21" s="20">
        <v>0</v>
      </c>
      <c r="AH21" s="20">
        <v>1.1159738647225601</v>
      </c>
    </row>
    <row r="22" spans="1:34" ht="11.25" customHeight="1" x14ac:dyDescent="0.25">
      <c r="A22" s="118"/>
      <c r="B22" s="118"/>
      <c r="C22" s="118"/>
      <c r="D22" s="22" t="s">
        <v>32</v>
      </c>
      <c r="E22" s="22" t="s">
        <v>25</v>
      </c>
      <c r="F22" s="22" t="s">
        <v>25</v>
      </c>
      <c r="G22" s="23" t="s">
        <v>88</v>
      </c>
      <c r="H22" s="23" t="s">
        <v>82</v>
      </c>
      <c r="I22" s="23">
        <f>'MERCADO TE'!$U$19</f>
        <v>43669.588000000003</v>
      </c>
      <c r="J22" s="15"/>
      <c r="L22" s="20">
        <f>('TE BE'!$L$22+'TE BF'!$L$22+'TE CVA'!$L$22)*(1 - 0.4)</f>
        <v>1.3894272492092177</v>
      </c>
      <c r="M22" s="20">
        <f>('TE BE'!$M$22+'TE BF'!$M$22+'TE CVA'!$M$22)*(1 - 0.4)</f>
        <v>14.28603718066565</v>
      </c>
      <c r="N22" s="20">
        <f>('TE BE'!$N$22+'TE BF'!$N$22+'TE CVA'!$N$22)*(1 - 0.4)</f>
        <v>0</v>
      </c>
      <c r="O22" s="20">
        <f>('TE BE'!$O$22+'TE BF'!$O$22+'TE CVA'!$O$22)*(1 - 0.4)</f>
        <v>2.7390150068708432</v>
      </c>
      <c r="P22" s="20">
        <f>('TE BE'!$P$22+'TE BF'!$P$22+'TE CVA'!$P$22)*(1 - 0.4)</f>
        <v>-9.6213934370601493</v>
      </c>
      <c r="Q22" s="20">
        <f>('TE BE'!$R$22+'TE BF'!$R$22+'TE CVA'!$R$22)*(1 - 0.4)</f>
        <v>138.28683787007148</v>
      </c>
      <c r="R22" s="20">
        <f>('TE BE'!$T$22+'TE BF'!$T$22+'TE CVA'!$T$22)*(1 - 0.4)</f>
        <v>0</v>
      </c>
      <c r="S22" s="20">
        <f>('TE BE'!$U$22+'TE BF'!$U$22+'TE CVA'!$U$22)*(1 - 0.4)</f>
        <v>0</v>
      </c>
      <c r="T22" s="20">
        <f>('TE BE'!$V$22+'TE BF'!$V$22+'TE CVA'!$V$22)*(1 - 0.4)</f>
        <v>0</v>
      </c>
      <c r="U22" s="20">
        <f>('TE BE'!$X$22+'TE BF'!$X$22+'TE CVA'!$X$22)*(1 - 0.4)</f>
        <v>-11.874404954515716</v>
      </c>
      <c r="V22" s="20">
        <f>('TE BE'!$Z$22+'TE BF'!$Z$22+'TE CVA'!$Z$22)*(1 - 0.4)</f>
        <v>3.2036657491087364</v>
      </c>
      <c r="X22" s="20">
        <v>1.10692054961678</v>
      </c>
      <c r="Y22" s="20">
        <v>9.5099716336600704</v>
      </c>
      <c r="Z22" s="20">
        <v>0</v>
      </c>
      <c r="AA22" s="20">
        <v>0</v>
      </c>
      <c r="AB22" s="20">
        <v>0</v>
      </c>
      <c r="AC22" s="20">
        <v>90.314669323832206</v>
      </c>
      <c r="AD22" s="20">
        <v>0</v>
      </c>
      <c r="AE22" s="20">
        <v>0</v>
      </c>
      <c r="AF22" s="20">
        <v>0</v>
      </c>
      <c r="AG22" s="20">
        <v>0</v>
      </c>
      <c r="AH22" s="20">
        <v>1.9130980538101101</v>
      </c>
    </row>
    <row r="23" spans="1:34" ht="11.25" customHeight="1" x14ac:dyDescent="0.25">
      <c r="A23" s="118"/>
      <c r="B23" s="118"/>
      <c r="C23" s="118"/>
      <c r="D23" s="22" t="s">
        <v>33</v>
      </c>
      <c r="E23" s="22" t="s">
        <v>25</v>
      </c>
      <c r="F23" s="22" t="s">
        <v>25</v>
      </c>
      <c r="G23" s="23" t="s">
        <v>88</v>
      </c>
      <c r="H23" s="23" t="s">
        <v>82</v>
      </c>
      <c r="I23" s="23">
        <f>'MERCADO TE'!$U$20</f>
        <v>35563.447</v>
      </c>
      <c r="J23" s="15"/>
      <c r="L23" s="20">
        <f>('TE BE'!$L$23+'TE BF'!$L$23+'TE CVA'!$L$23)*(1 - 0.1)</f>
        <v>2.0841408738138267</v>
      </c>
      <c r="M23" s="20">
        <f>('TE BE'!$M$23+'TE BF'!$M$23+'TE CVA'!$M$23)*(1 - 0.1)</f>
        <v>21.429055770998474</v>
      </c>
      <c r="N23" s="20">
        <f>('TE BE'!$N$23+'TE BF'!$N$23+'TE CVA'!$N$23)*(1 - 0.1)</f>
        <v>0</v>
      </c>
      <c r="O23" s="20">
        <f>('TE BE'!$O$23+'TE BF'!$O$23+'TE CVA'!$O$23)*(1 - 0.1)</f>
        <v>4.1085225103062655</v>
      </c>
      <c r="P23" s="20">
        <f>('TE BE'!$P$23+'TE BF'!$P$23+'TE CVA'!$P$23)*(1 - 0.1)</f>
        <v>-14.432090155590224</v>
      </c>
      <c r="Q23" s="20">
        <f>('TE BE'!$R$23+'TE BF'!$R$23+'TE CVA'!$R$23)*(1 - 0.1)</f>
        <v>207.43025680510723</v>
      </c>
      <c r="R23" s="20">
        <f>('TE BE'!$T$23+'TE BF'!$T$23+'TE CVA'!$T$23)*(1 - 0.1)</f>
        <v>0</v>
      </c>
      <c r="S23" s="20">
        <f>('TE BE'!$U$23+'TE BF'!$U$23+'TE CVA'!$U$23)*(1 - 0.1)</f>
        <v>0</v>
      </c>
      <c r="T23" s="20">
        <f>('TE BE'!$V$23+'TE BF'!$V$23+'TE CVA'!$V$23)*(1 - 0.1)</f>
        <v>0</v>
      </c>
      <c r="U23" s="20">
        <f>('TE BE'!$X$23+'TE BF'!$X$23+'TE CVA'!$X$23)*(1 - 0.1)</f>
        <v>-17.811607431773574</v>
      </c>
      <c r="V23" s="20">
        <f>('TE BE'!$Z$23+'TE BF'!$Z$23+'TE CVA'!$Z$23)*(1 - 0.1)</f>
        <v>4.8054986236631052</v>
      </c>
      <c r="X23" s="20">
        <v>1.6603808244251701</v>
      </c>
      <c r="Y23" s="20">
        <v>14.264957450490099</v>
      </c>
      <c r="Z23" s="20">
        <v>0</v>
      </c>
      <c r="AA23" s="20">
        <v>0</v>
      </c>
      <c r="AB23" s="20">
        <v>0</v>
      </c>
      <c r="AC23" s="20">
        <v>135.47200398574799</v>
      </c>
      <c r="AD23" s="20">
        <v>0</v>
      </c>
      <c r="AE23" s="20">
        <v>0</v>
      </c>
      <c r="AF23" s="20">
        <v>0</v>
      </c>
      <c r="AG23" s="20">
        <v>0</v>
      </c>
      <c r="AH23" s="20">
        <v>2.8696470807151599</v>
      </c>
    </row>
    <row r="24" spans="1:34" ht="11.25" customHeight="1" x14ac:dyDescent="0.25">
      <c r="A24" s="118"/>
      <c r="B24" s="118"/>
      <c r="C24" s="118"/>
      <c r="D24" s="22" t="s">
        <v>34</v>
      </c>
      <c r="E24" s="22" t="s">
        <v>25</v>
      </c>
      <c r="F24" s="22" t="s">
        <v>25</v>
      </c>
      <c r="G24" s="23" t="s">
        <v>88</v>
      </c>
      <c r="H24" s="23" t="s">
        <v>82</v>
      </c>
      <c r="I24" s="23">
        <f>'MERCADO TE'!$U$21</f>
        <v>18122.502</v>
      </c>
      <c r="J24" s="15"/>
      <c r="L24" s="20">
        <f>('TE BE'!$L$24+'TE BF'!$L$24+'TE CVA'!$L$24)*1</f>
        <v>2.3157120820153629</v>
      </c>
      <c r="M24" s="20">
        <f>('TE BE'!$M$24+'TE BF'!$M$24+'TE CVA'!$M$24)*1</f>
        <v>23.810061967776083</v>
      </c>
      <c r="N24" s="20">
        <f>('TE BE'!$N$24+'TE BF'!$N$24+'TE CVA'!$N$24)*1</f>
        <v>0</v>
      </c>
      <c r="O24" s="20">
        <f>('TE BE'!$O$24+'TE BF'!$O$24+'TE CVA'!$O$24)*1</f>
        <v>4.5650250114514055</v>
      </c>
      <c r="P24" s="20">
        <f>('TE BE'!$P$24+'TE BF'!$P$24+'TE CVA'!$P$24)*1</f>
        <v>-16.035655728433582</v>
      </c>
      <c r="Q24" s="20">
        <f>('TE BE'!$R$24+'TE BF'!$R$24+'TE CVA'!$R$24)*1</f>
        <v>230.47806311678582</v>
      </c>
      <c r="R24" s="20">
        <f>('TE BE'!$T$24+'TE BF'!$T$24+'TE CVA'!$T$24)*1</f>
        <v>0</v>
      </c>
      <c r="S24" s="20">
        <f>('TE BE'!$U$24+'TE BF'!$U$24+'TE CVA'!$U$24)*1</f>
        <v>0</v>
      </c>
      <c r="T24" s="20">
        <f>('TE BE'!$V$24+'TE BF'!$V$24+'TE CVA'!$V$24)*1</f>
        <v>0</v>
      </c>
      <c r="U24" s="20">
        <f>('TE BE'!$X$24+'TE BF'!$X$24+'TE CVA'!$X$24)*1</f>
        <v>-19.79067492419286</v>
      </c>
      <c r="V24" s="20">
        <f>('TE BE'!$Z$24+'TE BF'!$Z$24+'TE CVA'!$Z$24)*1</f>
        <v>5.3394429151812277</v>
      </c>
      <c r="X24" s="20">
        <v>1.8448675826946299</v>
      </c>
      <c r="Y24" s="20">
        <v>15.849952722766799</v>
      </c>
      <c r="Z24" s="20">
        <v>0</v>
      </c>
      <c r="AA24" s="20">
        <v>0</v>
      </c>
      <c r="AB24" s="20">
        <v>0</v>
      </c>
      <c r="AC24" s="20">
        <v>150.52444887305401</v>
      </c>
      <c r="AD24" s="20">
        <v>0</v>
      </c>
      <c r="AE24" s="20">
        <v>0</v>
      </c>
      <c r="AF24" s="20">
        <v>0</v>
      </c>
      <c r="AG24" s="20">
        <v>0</v>
      </c>
      <c r="AH24" s="20">
        <v>3.18849675635018</v>
      </c>
    </row>
    <row r="25" spans="1:34" ht="11.25" customHeight="1" x14ac:dyDescent="0.25">
      <c r="A25" s="118"/>
      <c r="B25" s="118" t="s">
        <v>99</v>
      </c>
      <c r="C25" s="118" t="s">
        <v>24</v>
      </c>
      <c r="D25" s="22" t="s">
        <v>24</v>
      </c>
      <c r="E25" s="22" t="s">
        <v>25</v>
      </c>
      <c r="F25" s="22" t="s">
        <v>25</v>
      </c>
      <c r="G25" s="23" t="s">
        <v>88</v>
      </c>
      <c r="H25" s="23" t="s">
        <v>82</v>
      </c>
      <c r="I25" s="23">
        <f>'MERCADO TE'!$U$22</f>
        <v>0</v>
      </c>
      <c r="J25" s="15"/>
      <c r="L25" s="20">
        <f>('TE BE'!$L$25+'TE BF'!$L$25+'TE CVA'!$L$25)*1</f>
        <v>2.3157120820153629</v>
      </c>
      <c r="M25" s="20">
        <f>('TE BE'!$M$25+'TE BF'!$M$25+'TE CVA'!$M$25)*1</f>
        <v>23.810061967776083</v>
      </c>
      <c r="N25" s="20">
        <f>('TE BE'!$N$25+'TE BF'!$N$25+'TE CVA'!$N$25)*1</f>
        <v>0</v>
      </c>
      <c r="O25" s="20">
        <f>('TE BE'!$O$25+'TE BF'!$O$25+'TE CVA'!$O$25)*1</f>
        <v>4.5650250114514055</v>
      </c>
      <c r="P25" s="20">
        <f>('TE BE'!$P$25+'TE BF'!$P$25+'TE CVA'!$P$25)*1</f>
        <v>-16.035655728433582</v>
      </c>
      <c r="Q25" s="20">
        <f>('TE BE'!$R$25+'TE BF'!$R$25+'TE CVA'!$R$25)*1</f>
        <v>230.47806311678582</v>
      </c>
      <c r="R25" s="20">
        <f>('TE BE'!$T$25+'TE BF'!$T$25+'TE CVA'!$T$25)*1</f>
        <v>0</v>
      </c>
      <c r="S25" s="20">
        <f>('TE BE'!$U$25+'TE BF'!$U$25+'TE CVA'!$U$25)*1</f>
        <v>0</v>
      </c>
      <c r="T25" s="20">
        <f>('TE BE'!$V$25+'TE BF'!$V$25+'TE CVA'!$V$25)*1</f>
        <v>0</v>
      </c>
      <c r="U25" s="20">
        <f>('TE BE'!$X$25+'TE BF'!$X$25+'TE CVA'!$X$25)*1</f>
        <v>-19.79067492419286</v>
      </c>
      <c r="V25" s="20">
        <f>('TE BE'!$Z$25+'TE BF'!$Z$25+'TE CVA'!$Z$25)*1</f>
        <v>5.3394429151812277</v>
      </c>
      <c r="X25" s="20">
        <v>1.8448675826946299</v>
      </c>
      <c r="Y25" s="20">
        <v>15.849952722766799</v>
      </c>
      <c r="Z25" s="20">
        <v>0</v>
      </c>
      <c r="AA25" s="20">
        <v>0</v>
      </c>
      <c r="AB25" s="20">
        <v>0</v>
      </c>
      <c r="AC25" s="20">
        <v>150.52444887305401</v>
      </c>
      <c r="AD25" s="20">
        <v>0</v>
      </c>
      <c r="AE25" s="20">
        <v>0</v>
      </c>
      <c r="AF25" s="20">
        <v>0</v>
      </c>
      <c r="AG25" s="20">
        <v>0</v>
      </c>
      <c r="AH25" s="20">
        <v>3.18849675635018</v>
      </c>
    </row>
    <row r="26" spans="1:34" ht="11.25" customHeight="1" x14ac:dyDescent="0.25">
      <c r="A26" s="118"/>
      <c r="B26" s="118"/>
      <c r="C26" s="118"/>
      <c r="D26" s="22" t="s">
        <v>31</v>
      </c>
      <c r="E26" s="22" t="s">
        <v>25</v>
      </c>
      <c r="F26" s="22" t="s">
        <v>25</v>
      </c>
      <c r="G26" s="23" t="s">
        <v>88</v>
      </c>
      <c r="H26" s="23" t="s">
        <v>82</v>
      </c>
      <c r="I26" s="23">
        <f>'MERCADO TE'!$U$23</f>
        <v>0</v>
      </c>
      <c r="J26" s="15"/>
      <c r="L26" s="20">
        <f>('TE BE'!$L$26+'TE BF'!$L$26+'TE CVA'!$L$26)*(1 - 0.65)</f>
        <v>0.81049922870537694</v>
      </c>
      <c r="M26" s="20">
        <f>('TE BE'!$M$26+'TE BF'!$M$26+'TE CVA'!$M$26)*(1 - 0.65)</f>
        <v>8.3335216887216284</v>
      </c>
      <c r="N26" s="20">
        <f>('TE BE'!$N$26+'TE BF'!$N$26+'TE CVA'!$N$26)*(1 - 0.65)</f>
        <v>0</v>
      </c>
      <c r="O26" s="20">
        <f>('TE BE'!$O$26+'TE BF'!$O$26+'TE CVA'!$O$26)*(1 - 0.65)</f>
        <v>1.5977587540079918</v>
      </c>
      <c r="P26" s="20">
        <f>('TE BE'!$P$26+'TE BF'!$P$26+'TE CVA'!$P$26)*(1 - 0.65)</f>
        <v>-5.6124795049517537</v>
      </c>
      <c r="Q26" s="20">
        <f>('TE BE'!$R$26+'TE BF'!$R$26+'TE CVA'!$R$26)*(1 - 0.65)</f>
        <v>80.667322090875032</v>
      </c>
      <c r="R26" s="20">
        <f>('TE BE'!$T$26+'TE BF'!$T$26+'TE CVA'!$T$26)*(1 - 0.65)</f>
        <v>0</v>
      </c>
      <c r="S26" s="20">
        <f>('TE BE'!$U$26+'TE BF'!$U$26+'TE CVA'!$U$26)*(1 - 0.65)</f>
        <v>0</v>
      </c>
      <c r="T26" s="20">
        <f>('TE BE'!$V$26+'TE BF'!$V$26+'TE CVA'!$V$26)*(1 - 0.65)</f>
        <v>0</v>
      </c>
      <c r="U26" s="20">
        <f>('TE BE'!$X$26+'TE BF'!$X$26+'TE CVA'!$X$26)*(1 - 0.65)</f>
        <v>-6.9267362234675005</v>
      </c>
      <c r="V26" s="20">
        <f>('TE BE'!$Z$26+'TE BF'!$Z$26+'TE CVA'!$Z$26)*(1 - 0.65)</f>
        <v>1.8688050203134297</v>
      </c>
      <c r="X26" s="20">
        <v>0.64570365394312002</v>
      </c>
      <c r="Y26" s="20">
        <v>5.5474834529683799</v>
      </c>
      <c r="Z26" s="20">
        <v>0</v>
      </c>
      <c r="AA26" s="20">
        <v>0</v>
      </c>
      <c r="AB26" s="20">
        <v>0</v>
      </c>
      <c r="AC26" s="20">
        <v>52.683557105568802</v>
      </c>
      <c r="AD26" s="20">
        <v>0</v>
      </c>
      <c r="AE26" s="20">
        <v>0</v>
      </c>
      <c r="AF26" s="20">
        <v>0</v>
      </c>
      <c r="AG26" s="20">
        <v>0</v>
      </c>
      <c r="AH26" s="20">
        <v>1.1159738647225601</v>
      </c>
    </row>
    <row r="27" spans="1:34" ht="11.25" customHeight="1" x14ac:dyDescent="0.25">
      <c r="A27" s="118"/>
      <c r="B27" s="118"/>
      <c r="C27" s="118"/>
      <c r="D27" s="22" t="s">
        <v>32</v>
      </c>
      <c r="E27" s="22" t="s">
        <v>25</v>
      </c>
      <c r="F27" s="22" t="s">
        <v>25</v>
      </c>
      <c r="G27" s="23" t="s">
        <v>88</v>
      </c>
      <c r="H27" s="23" t="s">
        <v>82</v>
      </c>
      <c r="I27" s="23">
        <f>'MERCADO TE'!$U$24</f>
        <v>0</v>
      </c>
      <c r="J27" s="15"/>
      <c r="L27" s="20">
        <f>('TE BE'!$L$27+'TE BF'!$L$27+'TE CVA'!$L$27)*(1 - 0.4)</f>
        <v>1.3894272492092177</v>
      </c>
      <c r="M27" s="20">
        <f>('TE BE'!$M$27+'TE BF'!$M$27+'TE CVA'!$M$27)*(1 - 0.4)</f>
        <v>14.28603718066565</v>
      </c>
      <c r="N27" s="20">
        <f>('TE BE'!$N$27+'TE BF'!$N$27+'TE CVA'!$N$27)*(1 - 0.4)</f>
        <v>0</v>
      </c>
      <c r="O27" s="20">
        <f>('TE BE'!$O$27+'TE BF'!$O$27+'TE CVA'!$O$27)*(1 - 0.4)</f>
        <v>2.7390150068708432</v>
      </c>
      <c r="P27" s="20">
        <f>('TE BE'!$P$27+'TE BF'!$P$27+'TE CVA'!$P$27)*(1 - 0.4)</f>
        <v>-9.6213934370601493</v>
      </c>
      <c r="Q27" s="20">
        <f>('TE BE'!$R$27+'TE BF'!$R$27+'TE CVA'!$R$27)*(1 - 0.4)</f>
        <v>138.28683787007148</v>
      </c>
      <c r="R27" s="20">
        <f>('TE BE'!$T$27+'TE BF'!$T$27+'TE CVA'!$T$27)*(1 - 0.4)</f>
        <v>0</v>
      </c>
      <c r="S27" s="20">
        <f>('TE BE'!$U$27+'TE BF'!$U$27+'TE CVA'!$U$27)*(1 - 0.4)</f>
        <v>0</v>
      </c>
      <c r="T27" s="20">
        <f>('TE BE'!$V$27+'TE BF'!$V$27+'TE CVA'!$V$27)*(1 - 0.4)</f>
        <v>0</v>
      </c>
      <c r="U27" s="20">
        <f>('TE BE'!$X$27+'TE BF'!$X$27+'TE CVA'!$X$27)*(1 - 0.4)</f>
        <v>-11.874404954515716</v>
      </c>
      <c r="V27" s="20">
        <f>('TE BE'!$Z$27+'TE BF'!$Z$27+'TE CVA'!$Z$27)*(1 - 0.4)</f>
        <v>3.2036657491087364</v>
      </c>
      <c r="X27" s="20">
        <v>1.10692054961678</v>
      </c>
      <c r="Y27" s="20">
        <v>9.5099716336600704</v>
      </c>
      <c r="Z27" s="20">
        <v>0</v>
      </c>
      <c r="AA27" s="20">
        <v>0</v>
      </c>
      <c r="AB27" s="20">
        <v>0</v>
      </c>
      <c r="AC27" s="20">
        <v>90.314669323832206</v>
      </c>
      <c r="AD27" s="20">
        <v>0</v>
      </c>
      <c r="AE27" s="20">
        <v>0</v>
      </c>
      <c r="AF27" s="20">
        <v>0</v>
      </c>
      <c r="AG27" s="20">
        <v>0</v>
      </c>
      <c r="AH27" s="20">
        <v>1.9130980538101101</v>
      </c>
    </row>
    <row r="28" spans="1:34" ht="11.25" customHeight="1" x14ac:dyDescent="0.25">
      <c r="A28" s="118"/>
      <c r="B28" s="118"/>
      <c r="C28" s="118"/>
      <c r="D28" s="22" t="s">
        <v>33</v>
      </c>
      <c r="E28" s="22" t="s">
        <v>25</v>
      </c>
      <c r="F28" s="22" t="s">
        <v>25</v>
      </c>
      <c r="G28" s="23" t="s">
        <v>88</v>
      </c>
      <c r="H28" s="23" t="s">
        <v>82</v>
      </c>
      <c r="I28" s="23">
        <f>'MERCADO TE'!$U$25</f>
        <v>0</v>
      </c>
      <c r="J28" s="15"/>
      <c r="L28" s="20">
        <f>('TE BE'!$L$28+'TE BF'!$L$28+'TE CVA'!$L$28)*(1 - 0.1)</f>
        <v>2.0841408738138267</v>
      </c>
      <c r="M28" s="20">
        <f>('TE BE'!$M$28+'TE BF'!$M$28+'TE CVA'!$M$28)*(1 - 0.1)</f>
        <v>21.429055770998474</v>
      </c>
      <c r="N28" s="20">
        <f>('TE BE'!$N$28+'TE BF'!$N$28+'TE CVA'!$N$28)*(1 - 0.1)</f>
        <v>0</v>
      </c>
      <c r="O28" s="20">
        <f>('TE BE'!$O$28+'TE BF'!$O$28+'TE CVA'!$O$28)*(1 - 0.1)</f>
        <v>4.1085225103062655</v>
      </c>
      <c r="P28" s="20">
        <f>('TE BE'!$P$28+'TE BF'!$P$28+'TE CVA'!$P$28)*(1 - 0.1)</f>
        <v>-14.432090155590224</v>
      </c>
      <c r="Q28" s="20">
        <f>('TE BE'!$R$28+'TE BF'!$R$28+'TE CVA'!$R$28)*(1 - 0.1)</f>
        <v>207.43025680510723</v>
      </c>
      <c r="R28" s="20">
        <f>('TE BE'!$T$28+'TE BF'!$T$28+'TE CVA'!$T$28)*(1 - 0.1)</f>
        <v>0</v>
      </c>
      <c r="S28" s="20">
        <f>('TE BE'!$U$28+'TE BF'!$U$28+'TE CVA'!$U$28)*(1 - 0.1)</f>
        <v>0</v>
      </c>
      <c r="T28" s="20">
        <f>('TE BE'!$V$28+'TE BF'!$V$28+'TE CVA'!$V$28)*(1 - 0.1)</f>
        <v>0</v>
      </c>
      <c r="U28" s="20">
        <f>('TE BE'!$X$28+'TE BF'!$X$28+'TE CVA'!$X$28)*(1 - 0.1)</f>
        <v>-17.811607431773574</v>
      </c>
      <c r="V28" s="20">
        <f>('TE BE'!$Z$28+'TE BF'!$Z$28+'TE CVA'!$Z$28)*(1 - 0.1)</f>
        <v>4.8054986236631052</v>
      </c>
      <c r="X28" s="20">
        <v>1.6603808244251701</v>
      </c>
      <c r="Y28" s="20">
        <v>14.264957450490099</v>
      </c>
      <c r="Z28" s="20">
        <v>0</v>
      </c>
      <c r="AA28" s="20">
        <v>0</v>
      </c>
      <c r="AB28" s="20">
        <v>0</v>
      </c>
      <c r="AC28" s="20">
        <v>135.47200398574799</v>
      </c>
      <c r="AD28" s="20">
        <v>0</v>
      </c>
      <c r="AE28" s="20">
        <v>0</v>
      </c>
      <c r="AF28" s="20">
        <v>0</v>
      </c>
      <c r="AG28" s="20">
        <v>0</v>
      </c>
      <c r="AH28" s="20">
        <v>2.8696470807151599</v>
      </c>
    </row>
    <row r="29" spans="1:34" ht="11.25" customHeight="1" x14ac:dyDescent="0.25">
      <c r="A29" s="118"/>
      <c r="B29" s="118"/>
      <c r="C29" s="118"/>
      <c r="D29" s="22" t="s">
        <v>34</v>
      </c>
      <c r="E29" s="22" t="s">
        <v>25</v>
      </c>
      <c r="F29" s="22" t="s">
        <v>25</v>
      </c>
      <c r="G29" s="23" t="s">
        <v>88</v>
      </c>
      <c r="H29" s="23" t="s">
        <v>82</v>
      </c>
      <c r="I29" s="23">
        <f>'MERCADO TE'!$U$26</f>
        <v>0</v>
      </c>
      <c r="J29" s="15"/>
      <c r="L29" s="20">
        <f>('TE BE'!$L$29+'TE BF'!$L$29+'TE CVA'!$L$29)*1</f>
        <v>2.3157120820153629</v>
      </c>
      <c r="M29" s="20">
        <f>('TE BE'!$M$29+'TE BF'!$M$29+'TE CVA'!$M$29)*1</f>
        <v>23.810061967776083</v>
      </c>
      <c r="N29" s="20">
        <f>('TE BE'!$N$29+'TE BF'!$N$29+'TE CVA'!$N$29)*1</f>
        <v>0</v>
      </c>
      <c r="O29" s="20">
        <f>('TE BE'!$O$29+'TE BF'!$O$29+'TE CVA'!$O$29)*1</f>
        <v>4.5650250114514055</v>
      </c>
      <c r="P29" s="20">
        <f>('TE BE'!$P$29+'TE BF'!$P$29+'TE CVA'!$P$29)*1</f>
        <v>-16.035655728433582</v>
      </c>
      <c r="Q29" s="20">
        <f>('TE BE'!$R$29+'TE BF'!$R$29+'TE CVA'!$R$29)*1</f>
        <v>230.47806311678582</v>
      </c>
      <c r="R29" s="20">
        <f>('TE BE'!$T$29+'TE BF'!$T$29+'TE CVA'!$T$29)*1</f>
        <v>0</v>
      </c>
      <c r="S29" s="20">
        <f>('TE BE'!$U$29+'TE BF'!$U$29+'TE CVA'!$U$29)*1</f>
        <v>0</v>
      </c>
      <c r="T29" s="20">
        <f>('TE BE'!$V$29+'TE BF'!$V$29+'TE CVA'!$V$29)*1</f>
        <v>0</v>
      </c>
      <c r="U29" s="20">
        <f>('TE BE'!$X$29+'TE BF'!$X$29+'TE CVA'!$X$29)*1</f>
        <v>-19.79067492419286</v>
      </c>
      <c r="V29" s="20">
        <f>('TE BE'!$Z$29+'TE BF'!$Z$29+'TE CVA'!$Z$29)*1</f>
        <v>5.3394429151812277</v>
      </c>
      <c r="X29" s="20">
        <v>1.8448675826946299</v>
      </c>
      <c r="Y29" s="20">
        <v>15.849952722766799</v>
      </c>
      <c r="Z29" s="20">
        <v>0</v>
      </c>
      <c r="AA29" s="20">
        <v>0</v>
      </c>
      <c r="AB29" s="20">
        <v>0</v>
      </c>
      <c r="AC29" s="20">
        <v>150.52444887305401</v>
      </c>
      <c r="AD29" s="20">
        <v>0</v>
      </c>
      <c r="AE29" s="20">
        <v>0</v>
      </c>
      <c r="AF29" s="20">
        <v>0</v>
      </c>
      <c r="AG29" s="20">
        <v>0</v>
      </c>
      <c r="AH29" s="20">
        <v>3.18849675635018</v>
      </c>
    </row>
    <row r="30" spans="1:34" ht="11.25" customHeight="1" x14ac:dyDescent="0.25">
      <c r="A30" s="118" t="s">
        <v>46</v>
      </c>
      <c r="B30" s="118" t="s">
        <v>81</v>
      </c>
      <c r="C30" s="118" t="s">
        <v>47</v>
      </c>
      <c r="D30" s="118" t="s">
        <v>25</v>
      </c>
      <c r="E30" s="118" t="s">
        <v>25</v>
      </c>
      <c r="F30" s="118" t="s">
        <v>25</v>
      </c>
      <c r="G30" s="23" t="s">
        <v>83</v>
      </c>
      <c r="H30" s="23" t="s">
        <v>82</v>
      </c>
      <c r="I30" s="23">
        <f>'MERCADO TE'!$U$27</f>
        <v>3.4330000000000007</v>
      </c>
      <c r="J30" s="15"/>
      <c r="L30" s="20">
        <f>('TE BE'!$L$30+'TE BF'!$L$30+'TE CVA'!$L$30)*(1 - CUSTOS!$M$38)</f>
        <v>2.1767693570944409</v>
      </c>
      <c r="M30" s="20">
        <f>('TE BE'!$M$30+'TE BF'!$M$30+'TE CVA'!$M$30)*(1 - CUSTOS!$M$38)</f>
        <v>22.381458249709517</v>
      </c>
      <c r="N30" s="20">
        <f>('TE BE'!$N$30+'TE BF'!$N$30+'TE CVA'!$N$30)*(1 - CUSTOS!$M$38)</f>
        <v>0</v>
      </c>
      <c r="O30" s="20">
        <f>('TE BE'!$O$30+'TE BF'!$O$30+'TE CVA'!$O$30)*(1 - CUSTOS!$M$38)</f>
        <v>4.2911235107643213</v>
      </c>
      <c r="P30" s="20">
        <f>('TE BE'!$P$30+'TE BF'!$P$30+'TE CVA'!$P$30)*(1 - CUSTOS!$M$38)</f>
        <v>-15.073516384727567</v>
      </c>
      <c r="Q30" s="20">
        <f>('TE BE'!$R$30+'TE BF'!$R$30+'TE CVA'!$R$30)*(1 - CUSTOS!$M$38)</f>
        <v>351.54427589360313</v>
      </c>
      <c r="R30" s="20">
        <f>('TE BE'!$T$30+'TE BF'!$T$30+'TE CVA'!$T$30)*(1 - CUSTOS!$M$38)</f>
        <v>0</v>
      </c>
      <c r="S30" s="20">
        <f>('TE BE'!$U$30+'TE BF'!$U$30+'TE CVA'!$U$30)*(1 - CUSTOS!$M$38)</f>
        <v>0</v>
      </c>
      <c r="T30" s="20">
        <f>('TE BE'!$V$30+'TE BF'!$V$30+'TE CVA'!$V$30)*(1 - CUSTOS!$M$38)</f>
        <v>0</v>
      </c>
      <c r="U30" s="20">
        <f>('TE BE'!$X$30+'TE BF'!$X$30+'TE CVA'!$X$30)*(1 - CUSTOS!$M$38)</f>
        <v>-29.453839344125875</v>
      </c>
      <c r="V30" s="20">
        <f>('TE BE'!$Z$30+'TE BF'!$Z$30+'TE CVA'!$Z$30)*(1 - CUSTOS!$M$38)</f>
        <v>5.0190763402703533</v>
      </c>
      <c r="X30" s="20">
        <v>1.6234834727712699</v>
      </c>
      <c r="Y30" s="20">
        <v>13.947958396034799</v>
      </c>
      <c r="Z30" s="20">
        <v>0</v>
      </c>
      <c r="AA30" s="20">
        <v>0</v>
      </c>
      <c r="AB30" s="20">
        <v>0</v>
      </c>
      <c r="AC30" s="20">
        <v>214.93755265495699</v>
      </c>
      <c r="AD30" s="20">
        <v>0</v>
      </c>
      <c r="AE30" s="20">
        <v>0</v>
      </c>
      <c r="AF30" s="20">
        <v>0</v>
      </c>
      <c r="AG30" s="20">
        <v>0</v>
      </c>
      <c r="AH30" s="20">
        <v>2.8058771455881599</v>
      </c>
    </row>
    <row r="31" spans="1:34" ht="11.25" customHeight="1" x14ac:dyDescent="0.25">
      <c r="A31" s="118"/>
      <c r="B31" s="118"/>
      <c r="C31" s="118"/>
      <c r="D31" s="118"/>
      <c r="E31" s="118"/>
      <c r="F31" s="118"/>
      <c r="G31" s="23" t="s">
        <v>98</v>
      </c>
      <c r="H31" s="23" t="s">
        <v>82</v>
      </c>
      <c r="I31" s="23">
        <f>'MERCADO TE'!$U$28</f>
        <v>0.54699999999999993</v>
      </c>
      <c r="J31" s="15"/>
      <c r="L31" s="20">
        <f>('TE BE'!$L$31+'TE BF'!$L$31+'TE CVA'!$L$31)*(1 - CUSTOS!$M$38)</f>
        <v>2.1767693570944409</v>
      </c>
      <c r="M31" s="20">
        <f>('TE BE'!$M$31+'TE BF'!$M$31+'TE CVA'!$M$31)*(1 - CUSTOS!$M$38)</f>
        <v>22.381458249709517</v>
      </c>
      <c r="N31" s="20">
        <f>('TE BE'!$N$31+'TE BF'!$N$31+'TE CVA'!$N$31)*(1 - CUSTOS!$M$38)</f>
        <v>0</v>
      </c>
      <c r="O31" s="20">
        <f>('TE BE'!$O$31+'TE BF'!$O$31+'TE CVA'!$O$31)*(1 - CUSTOS!$M$38)</f>
        <v>4.2911235107643213</v>
      </c>
      <c r="P31" s="20">
        <f>('TE BE'!$P$31+'TE BF'!$P$31+'TE CVA'!$P$31)*(1 - CUSTOS!$M$38)</f>
        <v>-15.073516384727567</v>
      </c>
      <c r="Q31" s="20">
        <f>('TE BE'!$R$31+'TE BF'!$R$31+'TE CVA'!$R$31)*(1 - CUSTOS!$M$38)</f>
        <v>204.38620691488552</v>
      </c>
      <c r="R31" s="20">
        <f>('TE BE'!$T$31+'TE BF'!$T$31+'TE CVA'!$T$31)*(1 - CUSTOS!$M$38)</f>
        <v>0</v>
      </c>
      <c r="S31" s="20">
        <f>('TE BE'!$U$31+'TE BF'!$U$31+'TE CVA'!$U$31)*(1 - CUSTOS!$M$38)</f>
        <v>0</v>
      </c>
      <c r="T31" s="20">
        <f>('TE BE'!$V$31+'TE BF'!$V$31+'TE CVA'!$V$31)*(1 - CUSTOS!$M$38)</f>
        <v>0</v>
      </c>
      <c r="U31" s="20">
        <f>('TE BE'!$X$31+'TE BF'!$X$31+'TE CVA'!$X$31)*(1 - CUSTOS!$M$38)</f>
        <v>-17.616815800069961</v>
      </c>
      <c r="V31" s="20">
        <f>('TE BE'!$Z$31+'TE BF'!$Z$31+'TE CVA'!$Z$31)*(1 - CUSTOS!$M$38)</f>
        <v>5.0190763402703533</v>
      </c>
      <c r="X31" s="20">
        <v>1.6234834727712699</v>
      </c>
      <c r="Y31" s="20">
        <v>13.947958396034799</v>
      </c>
      <c r="Z31" s="20">
        <v>0</v>
      </c>
      <c r="AA31" s="20">
        <v>0</v>
      </c>
      <c r="AB31" s="20">
        <v>0</v>
      </c>
      <c r="AC31" s="20">
        <v>124.963693404045</v>
      </c>
      <c r="AD31" s="20">
        <v>0</v>
      </c>
      <c r="AE31" s="20">
        <v>0</v>
      </c>
      <c r="AF31" s="20">
        <v>0</v>
      </c>
      <c r="AG31" s="20">
        <v>0</v>
      </c>
      <c r="AH31" s="20">
        <v>2.8058771455881599</v>
      </c>
    </row>
    <row r="32" spans="1:34" ht="11.25" customHeight="1" x14ac:dyDescent="0.25">
      <c r="A32" s="118"/>
      <c r="B32" s="118"/>
      <c r="C32" s="118"/>
      <c r="D32" s="118"/>
      <c r="E32" s="118"/>
      <c r="F32" s="118"/>
      <c r="G32" s="23" t="s">
        <v>84</v>
      </c>
      <c r="H32" s="23" t="s">
        <v>82</v>
      </c>
      <c r="I32" s="23">
        <f>'MERCADO TE'!$U$29</f>
        <v>73.387</v>
      </c>
      <c r="J32" s="15"/>
      <c r="L32" s="20">
        <f>('TE BE'!$L$32+'TE BF'!$L$32+'TE CVA'!$L$32)*(1 - CUSTOS!$M$38)</f>
        <v>2.1767693570944409</v>
      </c>
      <c r="M32" s="20">
        <f>('TE BE'!$M$32+'TE BF'!$M$32+'TE CVA'!$M$32)*(1 - CUSTOS!$M$38)</f>
        <v>22.381458249709517</v>
      </c>
      <c r="N32" s="20">
        <f>('TE BE'!$N$32+'TE BF'!$N$32+'TE CVA'!$N$32)*(1 - CUSTOS!$M$38)</f>
        <v>0</v>
      </c>
      <c r="O32" s="20">
        <f>('TE BE'!$O$32+'TE BF'!$O$32+'TE CVA'!$O$32)*(1 - CUSTOS!$M$38)</f>
        <v>4.2911235107643213</v>
      </c>
      <c r="P32" s="20">
        <f>('TE BE'!$P$32+'TE BF'!$P$32+'TE CVA'!$P$32)*(1 - CUSTOS!$M$38)</f>
        <v>-15.073516384727567</v>
      </c>
      <c r="Q32" s="20">
        <f>('TE BE'!$R$32+'TE BF'!$R$32+'TE CVA'!$R$32)*(1 - CUSTOS!$M$38)</f>
        <v>204.38620691488552</v>
      </c>
      <c r="R32" s="20">
        <f>('TE BE'!$T$32+'TE BF'!$T$32+'TE CVA'!$T$32)*(1 - CUSTOS!$M$38)</f>
        <v>0</v>
      </c>
      <c r="S32" s="20">
        <f>('TE BE'!$U$32+'TE BF'!$U$32+'TE CVA'!$U$32)*(1 - CUSTOS!$M$38)</f>
        <v>0</v>
      </c>
      <c r="T32" s="20">
        <f>('TE BE'!$V$32+'TE BF'!$V$32+'TE CVA'!$V$32)*(1 - CUSTOS!$M$38)</f>
        <v>0</v>
      </c>
      <c r="U32" s="20">
        <f>('TE BE'!$X$32+'TE BF'!$X$32+'TE CVA'!$X$32)*(1 - CUSTOS!$M$38)</f>
        <v>-17.616815800069961</v>
      </c>
      <c r="V32" s="20">
        <f>('TE BE'!$Z$32+'TE BF'!$Z$32+'TE CVA'!$Z$32)*(1 - CUSTOS!$M$38)</f>
        <v>5.0190763402703533</v>
      </c>
      <c r="X32" s="20">
        <v>1.6234834727712699</v>
      </c>
      <c r="Y32" s="20">
        <v>13.947958396034799</v>
      </c>
      <c r="Z32" s="20">
        <v>0</v>
      </c>
      <c r="AA32" s="20">
        <v>0</v>
      </c>
      <c r="AB32" s="20">
        <v>0</v>
      </c>
      <c r="AC32" s="20">
        <v>124.963693404045</v>
      </c>
      <c r="AD32" s="20">
        <v>0</v>
      </c>
      <c r="AE32" s="20">
        <v>0</v>
      </c>
      <c r="AF32" s="20">
        <v>0</v>
      </c>
      <c r="AG32" s="20">
        <v>0</v>
      </c>
      <c r="AH32" s="20">
        <v>2.8058771455881599</v>
      </c>
    </row>
    <row r="33" spans="1:34" ht="11.25" customHeight="1" x14ac:dyDescent="0.25">
      <c r="A33" s="118"/>
      <c r="B33" s="22" t="s">
        <v>90</v>
      </c>
      <c r="C33" s="22" t="s">
        <v>47</v>
      </c>
      <c r="D33" s="22" t="s">
        <v>25</v>
      </c>
      <c r="E33" s="22" t="s">
        <v>25</v>
      </c>
      <c r="F33" s="22" t="s">
        <v>25</v>
      </c>
      <c r="G33" s="23" t="s">
        <v>88</v>
      </c>
      <c r="H33" s="23" t="s">
        <v>82</v>
      </c>
      <c r="I33" s="23">
        <f>'MERCADO TE'!$U$30</f>
        <v>45841.400999999998</v>
      </c>
      <c r="J33" s="15"/>
      <c r="L33" s="20">
        <f>('TE BE'!$L$33+'TE BF'!$L$33+'TE CVA'!$L$33)*(1 - CUSTOS!$M$38)</f>
        <v>2.1767693570944409</v>
      </c>
      <c r="M33" s="20">
        <f>('TE BE'!$M$33+'TE BF'!$M$33+'TE CVA'!$M$33)*(1 - CUSTOS!$M$38)</f>
        <v>22.381458249709517</v>
      </c>
      <c r="N33" s="20">
        <f>('TE BE'!$N$33+'TE BF'!$N$33+'TE CVA'!$N$33)*(1 - CUSTOS!$M$38)</f>
        <v>0</v>
      </c>
      <c r="O33" s="20">
        <f>('TE BE'!$O$33+'TE BF'!$O$33+'TE CVA'!$O$33)*(1 - CUSTOS!$M$38)</f>
        <v>4.2911235107643213</v>
      </c>
      <c r="P33" s="20">
        <f>('TE BE'!$P$33+'TE BF'!$P$33+'TE CVA'!$P$33)*(1 - CUSTOS!$M$38)</f>
        <v>-15.073516384727567</v>
      </c>
      <c r="Q33" s="20">
        <f>('TE BE'!$R$33+'TE BF'!$R$33+'TE CVA'!$R$33)*(1 - CUSTOS!$M$38)</f>
        <v>216.64937932977867</v>
      </c>
      <c r="R33" s="20">
        <f>('TE BE'!$T$33+'TE BF'!$T$33+'TE CVA'!$T$33)*(1 - CUSTOS!$M$38)</f>
        <v>0</v>
      </c>
      <c r="S33" s="20">
        <f>('TE BE'!$U$33+'TE BF'!$U$33+'TE CVA'!$U$33)*(1 - CUSTOS!$M$38)</f>
        <v>0</v>
      </c>
      <c r="T33" s="20">
        <f>('TE BE'!$V$33+'TE BF'!$V$33+'TE CVA'!$V$33)*(1 - CUSTOS!$M$38)</f>
        <v>0</v>
      </c>
      <c r="U33" s="20">
        <f>('TE BE'!$X$33+'TE BF'!$X$33+'TE CVA'!$X$33)*(1 - CUSTOS!$M$38)</f>
        <v>-18.603234428741288</v>
      </c>
      <c r="V33" s="20">
        <f>('TE BE'!$Z$33+'TE BF'!$Z$33+'TE CVA'!$Z$33)*(1 - CUSTOS!$M$38)</f>
        <v>5.0190763402703533</v>
      </c>
      <c r="X33" s="20">
        <v>1.6234834727712699</v>
      </c>
      <c r="Y33" s="20">
        <v>13.947958396034799</v>
      </c>
      <c r="Z33" s="20">
        <v>0</v>
      </c>
      <c r="AA33" s="20">
        <v>0</v>
      </c>
      <c r="AB33" s="20">
        <v>0</v>
      </c>
      <c r="AC33" s="20">
        <v>132.46151500828699</v>
      </c>
      <c r="AD33" s="20">
        <v>0</v>
      </c>
      <c r="AE33" s="20">
        <v>0</v>
      </c>
      <c r="AF33" s="20">
        <v>0</v>
      </c>
      <c r="AG33" s="20">
        <v>0</v>
      </c>
      <c r="AH33" s="20">
        <v>2.8058771455881599</v>
      </c>
    </row>
    <row r="34" spans="1:34" ht="11.25" customHeight="1" x14ac:dyDescent="0.25">
      <c r="A34" s="118"/>
      <c r="B34" s="118" t="s">
        <v>81</v>
      </c>
      <c r="C34" s="118" t="s">
        <v>47</v>
      </c>
      <c r="D34" s="118" t="s">
        <v>101</v>
      </c>
      <c r="E34" s="118" t="s">
        <v>25</v>
      </c>
      <c r="F34" s="118" t="s">
        <v>25</v>
      </c>
      <c r="G34" s="23" t="s">
        <v>83</v>
      </c>
      <c r="H34" s="23" t="s">
        <v>82</v>
      </c>
      <c r="I34" s="23">
        <f>'MERCADO TE'!$U$31</f>
        <v>0</v>
      </c>
      <c r="J34" s="15"/>
      <c r="L34" s="20">
        <f>('TE BE'!$L$34+'TE BF'!$L$34+'TE CVA'!$L$34)*(1 - CUSTOS!$M$39)</f>
        <v>2.1767693570944409</v>
      </c>
      <c r="M34" s="20">
        <f>('TE BE'!$M$34+'TE BF'!$M$34+'TE CVA'!$M$34)*(1 - CUSTOS!$M$39)</f>
        <v>22.381458249709517</v>
      </c>
      <c r="N34" s="20">
        <f>('TE BE'!$N$34+'TE BF'!$N$34+'TE CVA'!$N$34)*(1 - CUSTOS!$M$39)</f>
        <v>0</v>
      </c>
      <c r="O34" s="20">
        <f>('TE BE'!$O$34+'TE BF'!$O$34+'TE CVA'!$O$34)*(1 - CUSTOS!$M$39)</f>
        <v>4.2911235107643213</v>
      </c>
      <c r="P34" s="20">
        <f>('TE BE'!$P$34+'TE BF'!$P$34+'TE CVA'!$P$34)*(1 - CUSTOS!$M$39)</f>
        <v>-15.073516384727567</v>
      </c>
      <c r="Q34" s="20">
        <f>('TE BE'!$R$34+'TE BF'!$R$34+'TE CVA'!$R$34)*(1 - CUSTOS!$M$39)</f>
        <v>351.54427589360313</v>
      </c>
      <c r="R34" s="20">
        <f>('TE BE'!$T$34+'TE BF'!$T$34+'TE CVA'!$T$34)*(1 - CUSTOS!$M$39)</f>
        <v>0</v>
      </c>
      <c r="S34" s="20">
        <f>('TE BE'!$U$34+'TE BF'!$U$34+'TE CVA'!$U$34)*(1 - CUSTOS!$M$39)</f>
        <v>0</v>
      </c>
      <c r="T34" s="20">
        <f>('TE BE'!$V$34+'TE BF'!$V$34+'TE CVA'!$V$34)*(1 - CUSTOS!$M$39)</f>
        <v>0</v>
      </c>
      <c r="U34" s="20">
        <f>('TE BE'!$X$34+'TE BF'!$X$34+'TE CVA'!$X$34)*(1 - CUSTOS!$M$39)</f>
        <v>-29.453839344125875</v>
      </c>
      <c r="V34" s="20">
        <f>('TE BE'!$Z$34+'TE BF'!$Z$34+'TE CVA'!$Z$34)*(1 - CUSTOS!$M$39)</f>
        <v>5.0190763402703533</v>
      </c>
      <c r="X34" s="20">
        <v>1.6234834727712699</v>
      </c>
      <c r="Y34" s="20">
        <v>13.947958396034799</v>
      </c>
      <c r="Z34" s="20">
        <v>0</v>
      </c>
      <c r="AA34" s="20">
        <v>0</v>
      </c>
      <c r="AB34" s="20">
        <v>0</v>
      </c>
      <c r="AC34" s="20">
        <v>214.93755265495699</v>
      </c>
      <c r="AD34" s="20">
        <v>0</v>
      </c>
      <c r="AE34" s="20">
        <v>0</v>
      </c>
      <c r="AF34" s="20">
        <v>0</v>
      </c>
      <c r="AG34" s="20">
        <v>0</v>
      </c>
      <c r="AH34" s="20">
        <v>2.8058771455881599</v>
      </c>
    </row>
    <row r="35" spans="1:34" ht="11.25" customHeight="1" x14ac:dyDescent="0.25">
      <c r="A35" s="118"/>
      <c r="B35" s="118"/>
      <c r="C35" s="118"/>
      <c r="D35" s="118"/>
      <c r="E35" s="118"/>
      <c r="F35" s="118"/>
      <c r="G35" s="23" t="s">
        <v>98</v>
      </c>
      <c r="H35" s="23" t="s">
        <v>82</v>
      </c>
      <c r="I35" s="23">
        <f>'MERCADO TE'!$U$32</f>
        <v>0</v>
      </c>
      <c r="J35" s="15"/>
      <c r="L35" s="20">
        <f>('TE BE'!$L$35+'TE BF'!$L$35+'TE CVA'!$L$35)*(1 - CUSTOS!$M$39)</f>
        <v>2.1767693570944409</v>
      </c>
      <c r="M35" s="20">
        <f>('TE BE'!$M$35+'TE BF'!$M$35+'TE CVA'!$M$35)*(1 - CUSTOS!$M$39)</f>
        <v>22.381458249709517</v>
      </c>
      <c r="N35" s="20">
        <f>('TE BE'!$N$35+'TE BF'!$N$35+'TE CVA'!$N$35)*(1 - CUSTOS!$M$39)</f>
        <v>0</v>
      </c>
      <c r="O35" s="20">
        <f>('TE BE'!$O$35+'TE BF'!$O$35+'TE CVA'!$O$35)*(1 - CUSTOS!$M$39)</f>
        <v>4.2911235107643213</v>
      </c>
      <c r="P35" s="20">
        <f>('TE BE'!$P$35+'TE BF'!$P$35+'TE CVA'!$P$35)*(1 - CUSTOS!$M$39)</f>
        <v>-15.073516384727567</v>
      </c>
      <c r="Q35" s="20">
        <f>('TE BE'!$R$35+'TE BF'!$R$35+'TE CVA'!$R$35)*(1 - CUSTOS!$M$39)</f>
        <v>204.38620691488552</v>
      </c>
      <c r="R35" s="20">
        <f>('TE BE'!$T$35+'TE BF'!$T$35+'TE CVA'!$T$35)*(1 - CUSTOS!$M$39)</f>
        <v>0</v>
      </c>
      <c r="S35" s="20">
        <f>('TE BE'!$U$35+'TE BF'!$U$35+'TE CVA'!$U$35)*(1 - CUSTOS!$M$39)</f>
        <v>0</v>
      </c>
      <c r="T35" s="20">
        <f>('TE BE'!$V$35+'TE BF'!$V$35+'TE CVA'!$V$35)*(1 - CUSTOS!$M$39)</f>
        <v>0</v>
      </c>
      <c r="U35" s="20">
        <f>('TE BE'!$X$35+'TE BF'!$X$35+'TE CVA'!$X$35)*(1 - CUSTOS!$M$39)</f>
        <v>-17.616815800069961</v>
      </c>
      <c r="V35" s="20">
        <f>('TE BE'!$Z$35+'TE BF'!$Z$35+'TE CVA'!$Z$35)*(1 - CUSTOS!$M$39)</f>
        <v>5.0190763402703533</v>
      </c>
      <c r="X35" s="20">
        <v>1.6234834727712699</v>
      </c>
      <c r="Y35" s="20">
        <v>13.947958396034799</v>
      </c>
      <c r="Z35" s="20">
        <v>0</v>
      </c>
      <c r="AA35" s="20">
        <v>0</v>
      </c>
      <c r="AB35" s="20">
        <v>0</v>
      </c>
      <c r="AC35" s="20">
        <v>124.963693404045</v>
      </c>
      <c r="AD35" s="20">
        <v>0</v>
      </c>
      <c r="AE35" s="20">
        <v>0</v>
      </c>
      <c r="AF35" s="20">
        <v>0</v>
      </c>
      <c r="AG35" s="20">
        <v>0</v>
      </c>
      <c r="AH35" s="20">
        <v>2.8058771455881599</v>
      </c>
    </row>
    <row r="36" spans="1:34" ht="11.25" customHeight="1" x14ac:dyDescent="0.25">
      <c r="A36" s="118"/>
      <c r="B36" s="118"/>
      <c r="C36" s="118"/>
      <c r="D36" s="118"/>
      <c r="E36" s="118"/>
      <c r="F36" s="118"/>
      <c r="G36" s="23" t="s">
        <v>84</v>
      </c>
      <c r="H36" s="23" t="s">
        <v>82</v>
      </c>
      <c r="I36" s="23">
        <f>'MERCADO TE'!$U$33</f>
        <v>0</v>
      </c>
      <c r="J36" s="15"/>
      <c r="L36" s="20">
        <f>('TE BE'!$L$36+'TE BF'!$L$36+'TE CVA'!$L$36)*(1 - CUSTOS!$M$39)</f>
        <v>2.1767693570944409</v>
      </c>
      <c r="M36" s="20">
        <f>('TE BE'!$M$36+'TE BF'!$M$36+'TE CVA'!$M$36)*(1 - CUSTOS!$M$39)</f>
        <v>22.381458249709517</v>
      </c>
      <c r="N36" s="20">
        <f>('TE BE'!$N$36+'TE BF'!$N$36+'TE CVA'!$N$36)*(1 - CUSTOS!$M$39)</f>
        <v>0</v>
      </c>
      <c r="O36" s="20">
        <f>('TE BE'!$O$36+'TE BF'!$O$36+'TE CVA'!$O$36)*(1 - CUSTOS!$M$39)</f>
        <v>4.2911235107643213</v>
      </c>
      <c r="P36" s="20">
        <f>('TE BE'!$P$36+'TE BF'!$P$36+'TE CVA'!$P$36)*(1 - CUSTOS!$M$39)</f>
        <v>-15.073516384727567</v>
      </c>
      <c r="Q36" s="20">
        <f>('TE BE'!$R$36+'TE BF'!$R$36+'TE CVA'!$R$36)*(1 - CUSTOS!$M$39)</f>
        <v>204.38620691488552</v>
      </c>
      <c r="R36" s="20">
        <f>('TE BE'!$T$36+'TE BF'!$T$36+'TE CVA'!$T$36)*(1 - CUSTOS!$M$39)</f>
        <v>0</v>
      </c>
      <c r="S36" s="20">
        <f>('TE BE'!$U$36+'TE BF'!$U$36+'TE CVA'!$U$36)*(1 - CUSTOS!$M$39)</f>
        <v>0</v>
      </c>
      <c r="T36" s="20">
        <f>('TE BE'!$V$36+'TE BF'!$V$36+'TE CVA'!$V$36)*(1 - CUSTOS!$M$39)</f>
        <v>0</v>
      </c>
      <c r="U36" s="20">
        <f>('TE BE'!$X$36+'TE BF'!$X$36+'TE CVA'!$X$36)*(1 - CUSTOS!$M$39)</f>
        <v>-17.616815800069961</v>
      </c>
      <c r="V36" s="20">
        <f>('TE BE'!$Z$36+'TE BF'!$Z$36+'TE CVA'!$Z$36)*(1 - CUSTOS!$M$39)</f>
        <v>5.0190763402703533</v>
      </c>
      <c r="X36" s="20">
        <v>1.6234834727712699</v>
      </c>
      <c r="Y36" s="20">
        <v>13.947958396034799</v>
      </c>
      <c r="Z36" s="20">
        <v>0</v>
      </c>
      <c r="AA36" s="20">
        <v>0</v>
      </c>
      <c r="AB36" s="20">
        <v>0</v>
      </c>
      <c r="AC36" s="20">
        <v>124.963693404045</v>
      </c>
      <c r="AD36" s="20">
        <v>0</v>
      </c>
      <c r="AE36" s="20">
        <v>0</v>
      </c>
      <c r="AF36" s="20">
        <v>0</v>
      </c>
      <c r="AG36" s="20">
        <v>0</v>
      </c>
      <c r="AH36" s="20">
        <v>2.8058771455881599</v>
      </c>
    </row>
    <row r="37" spans="1:34" ht="11.25" customHeight="1" x14ac:dyDescent="0.25">
      <c r="A37" s="118"/>
      <c r="B37" s="22" t="s">
        <v>90</v>
      </c>
      <c r="C37" s="22" t="s">
        <v>47</v>
      </c>
      <c r="D37" s="22" t="s">
        <v>101</v>
      </c>
      <c r="E37" s="22" t="s">
        <v>25</v>
      </c>
      <c r="F37" s="22" t="s">
        <v>25</v>
      </c>
      <c r="G37" s="23" t="s">
        <v>88</v>
      </c>
      <c r="H37" s="23" t="s">
        <v>82</v>
      </c>
      <c r="I37" s="23">
        <f>'MERCADO TE'!$U$34</f>
        <v>0</v>
      </c>
      <c r="J37" s="15"/>
      <c r="L37" s="20">
        <f>('TE BE'!$L$37+'TE BF'!$L$37+'TE CVA'!$L$37)*(1 - CUSTOS!$M$39)</f>
        <v>2.1767693570944409</v>
      </c>
      <c r="M37" s="20">
        <f>('TE BE'!$M$37+'TE BF'!$M$37+'TE CVA'!$M$37)*(1 - CUSTOS!$M$39)</f>
        <v>22.381458249709517</v>
      </c>
      <c r="N37" s="20">
        <f>('TE BE'!$N$37+'TE BF'!$N$37+'TE CVA'!$N$37)*(1 - CUSTOS!$M$39)</f>
        <v>0</v>
      </c>
      <c r="O37" s="20">
        <f>('TE BE'!$O$37+'TE BF'!$O$37+'TE CVA'!$O$37)*(1 - CUSTOS!$M$39)</f>
        <v>4.2911235107643213</v>
      </c>
      <c r="P37" s="20">
        <f>('TE BE'!$P$37+'TE BF'!$P$37+'TE CVA'!$P$37)*(1 - CUSTOS!$M$39)</f>
        <v>-15.073516384727567</v>
      </c>
      <c r="Q37" s="20">
        <f>('TE BE'!$R$37+'TE BF'!$R$37+'TE CVA'!$R$37)*(1 - CUSTOS!$M$39)</f>
        <v>216.64937932977867</v>
      </c>
      <c r="R37" s="20">
        <f>('TE BE'!$T$37+'TE BF'!$T$37+'TE CVA'!$T$37)*(1 - CUSTOS!$M$39)</f>
        <v>0</v>
      </c>
      <c r="S37" s="20">
        <f>('TE BE'!$U$37+'TE BF'!$U$37+'TE CVA'!$U$37)*(1 - CUSTOS!$M$39)</f>
        <v>0</v>
      </c>
      <c r="T37" s="20">
        <f>('TE BE'!$V$37+'TE BF'!$V$37+'TE CVA'!$V$37)*(1 - CUSTOS!$M$39)</f>
        <v>0</v>
      </c>
      <c r="U37" s="20">
        <f>('TE BE'!$X$37+'TE BF'!$X$37+'TE CVA'!$X$37)*(1 - CUSTOS!$M$39)</f>
        <v>-18.603234428741288</v>
      </c>
      <c r="V37" s="20">
        <f>('TE BE'!$Z$37+'TE BF'!$Z$37+'TE CVA'!$Z$37)*(1 - CUSTOS!$M$39)</f>
        <v>5.0190763402703533</v>
      </c>
      <c r="X37" s="20">
        <v>1.6234834727712699</v>
      </c>
      <c r="Y37" s="20">
        <v>13.947958396034799</v>
      </c>
      <c r="Z37" s="20">
        <v>0</v>
      </c>
      <c r="AA37" s="20">
        <v>0</v>
      </c>
      <c r="AB37" s="20">
        <v>0</v>
      </c>
      <c r="AC37" s="20">
        <v>132.46151500828699</v>
      </c>
      <c r="AD37" s="20">
        <v>0</v>
      </c>
      <c r="AE37" s="20">
        <v>0</v>
      </c>
      <c r="AF37" s="20">
        <v>0</v>
      </c>
      <c r="AG37" s="20">
        <v>0</v>
      </c>
      <c r="AH37" s="20">
        <v>2.8058771455881599</v>
      </c>
    </row>
    <row r="38" spans="1:34" ht="11.25" customHeight="1" x14ac:dyDescent="0.25">
      <c r="A38" s="118"/>
      <c r="B38" s="118" t="s">
        <v>81</v>
      </c>
      <c r="C38" s="118" t="s">
        <v>47</v>
      </c>
      <c r="D38" s="118" t="s">
        <v>102</v>
      </c>
      <c r="E38" s="118" t="s">
        <v>25</v>
      </c>
      <c r="F38" s="118" t="s">
        <v>25</v>
      </c>
      <c r="G38" s="23" t="s">
        <v>83</v>
      </c>
      <c r="H38" s="23" t="s">
        <v>82</v>
      </c>
      <c r="I38" s="23">
        <f>'MERCADO TE'!$U$35</f>
        <v>0</v>
      </c>
      <c r="J38" s="15"/>
      <c r="L38" s="20">
        <f>('TE BE'!$L$38+'TE BF'!$L$38+'TE CVA'!$L$38)*(1 - CUSTOS!$M$40)</f>
        <v>2.1304551154541338</v>
      </c>
      <c r="M38" s="20">
        <f>('TE BE'!$M$38+'TE BF'!$M$38+'TE CVA'!$M$38)*(1 - CUSTOS!$M$40)</f>
        <v>21.905257010353996</v>
      </c>
      <c r="N38" s="20">
        <f>('TE BE'!$N$38+'TE BF'!$N$38+'TE CVA'!$N$38)*(1 - CUSTOS!$M$40)</f>
        <v>0</v>
      </c>
      <c r="O38" s="20">
        <f>('TE BE'!$O$38+'TE BF'!$O$38+'TE CVA'!$O$38)*(1 - CUSTOS!$M$40)</f>
        <v>4.1998230105352929</v>
      </c>
      <c r="P38" s="20">
        <f>('TE BE'!$P$38+'TE BF'!$P$38+'TE CVA'!$P$38)*(1 - CUSTOS!$M$40)</f>
        <v>-14.752803270158896</v>
      </c>
      <c r="Q38" s="20">
        <f>('TE BE'!$R$38+'TE BF'!$R$38+'TE CVA'!$R$38)*(1 - CUSTOS!$M$40)</f>
        <v>344.06461044905836</v>
      </c>
      <c r="R38" s="20">
        <f>('TE BE'!$T$38+'TE BF'!$T$38+'TE CVA'!$T$38)*(1 - CUSTOS!$M$40)</f>
        <v>0</v>
      </c>
      <c r="S38" s="20">
        <f>('TE BE'!$U$38+'TE BF'!$U$38+'TE CVA'!$U$38)*(1 - CUSTOS!$M$40)</f>
        <v>0</v>
      </c>
      <c r="T38" s="20">
        <f>('TE BE'!$V$38+'TE BF'!$V$38+'TE CVA'!$V$38)*(1 - CUSTOS!$M$40)</f>
        <v>0</v>
      </c>
      <c r="U38" s="20">
        <f>('TE BE'!$X$38+'TE BF'!$X$38+'TE CVA'!$X$38)*(1 - CUSTOS!$M$40)</f>
        <v>-28.827161911272135</v>
      </c>
      <c r="V38" s="20">
        <f>('TE BE'!$Z$38+'TE BF'!$Z$38+'TE CVA'!$Z$38)*(1 - CUSTOS!$M$40)</f>
        <v>4.9122874819667297</v>
      </c>
      <c r="X38" s="20">
        <v>1.54968876946349</v>
      </c>
      <c r="Y38" s="20">
        <v>13.3139602871241</v>
      </c>
      <c r="Z38" s="20">
        <v>0</v>
      </c>
      <c r="AA38" s="20">
        <v>0</v>
      </c>
      <c r="AB38" s="20">
        <v>0</v>
      </c>
      <c r="AC38" s="20">
        <v>205.167663897913</v>
      </c>
      <c r="AD38" s="20">
        <v>0</v>
      </c>
      <c r="AE38" s="20">
        <v>0</v>
      </c>
      <c r="AF38" s="20">
        <v>0</v>
      </c>
      <c r="AG38" s="20">
        <v>0</v>
      </c>
      <c r="AH38" s="20">
        <v>2.6783372753341501</v>
      </c>
    </row>
    <row r="39" spans="1:34" ht="11.25" customHeight="1" x14ac:dyDescent="0.25">
      <c r="A39" s="118"/>
      <c r="B39" s="118"/>
      <c r="C39" s="118"/>
      <c r="D39" s="118"/>
      <c r="E39" s="118"/>
      <c r="F39" s="118"/>
      <c r="G39" s="23" t="s">
        <v>98</v>
      </c>
      <c r="H39" s="23" t="s">
        <v>82</v>
      </c>
      <c r="I39" s="23">
        <f>'MERCADO TE'!$U$36</f>
        <v>0</v>
      </c>
      <c r="J39" s="15"/>
      <c r="L39" s="20">
        <f>('TE BE'!$L$39+'TE BF'!$L$39+'TE CVA'!$L$39)*(1 - CUSTOS!$M$40)</f>
        <v>2.1304551154541338</v>
      </c>
      <c r="M39" s="20">
        <f>('TE BE'!$M$39+'TE BF'!$M$39+'TE CVA'!$M$39)*(1 - CUSTOS!$M$40)</f>
        <v>21.905257010353996</v>
      </c>
      <c r="N39" s="20">
        <f>('TE BE'!$N$39+'TE BF'!$N$39+'TE CVA'!$N$39)*(1 - CUSTOS!$M$40)</f>
        <v>0</v>
      </c>
      <c r="O39" s="20">
        <f>('TE BE'!$O$39+'TE BF'!$O$39+'TE CVA'!$O$39)*(1 - CUSTOS!$M$40)</f>
        <v>4.1998230105352929</v>
      </c>
      <c r="P39" s="20">
        <f>('TE BE'!$P$39+'TE BF'!$P$39+'TE CVA'!$P$39)*(1 - CUSTOS!$M$40)</f>
        <v>-14.752803270158896</v>
      </c>
      <c r="Q39" s="20">
        <f>('TE BE'!$R$39+'TE BF'!$R$39+'TE CVA'!$R$39)*(1 - CUSTOS!$M$40)</f>
        <v>200.03756421456885</v>
      </c>
      <c r="R39" s="20">
        <f>('TE BE'!$T$39+'TE BF'!$T$39+'TE CVA'!$T$39)*(1 - CUSTOS!$M$40)</f>
        <v>0</v>
      </c>
      <c r="S39" s="20">
        <f>('TE BE'!$U$39+'TE BF'!$U$39+'TE CVA'!$U$39)*(1 - CUSTOS!$M$40)</f>
        <v>0</v>
      </c>
      <c r="T39" s="20">
        <f>('TE BE'!$V$39+'TE BF'!$V$39+'TE CVA'!$V$39)*(1 - CUSTOS!$M$40)</f>
        <v>0</v>
      </c>
      <c r="U39" s="20">
        <f>('TE BE'!$X$39+'TE BF'!$X$39+'TE CVA'!$X$39)*(1 - CUSTOS!$M$40)</f>
        <v>-17.241989931983365</v>
      </c>
      <c r="V39" s="20">
        <f>('TE BE'!$Z$39+'TE BF'!$Z$39+'TE CVA'!$Z$39)*(1 - CUSTOS!$M$40)</f>
        <v>4.9122874819667297</v>
      </c>
      <c r="X39" s="20">
        <v>1.54968876946349</v>
      </c>
      <c r="Y39" s="20">
        <v>13.3139602871241</v>
      </c>
      <c r="Z39" s="20">
        <v>0</v>
      </c>
      <c r="AA39" s="20">
        <v>0</v>
      </c>
      <c r="AB39" s="20">
        <v>0</v>
      </c>
      <c r="AC39" s="20">
        <v>119.28352552204301</v>
      </c>
      <c r="AD39" s="20">
        <v>0</v>
      </c>
      <c r="AE39" s="20">
        <v>0</v>
      </c>
      <c r="AF39" s="20">
        <v>0</v>
      </c>
      <c r="AG39" s="20">
        <v>0</v>
      </c>
      <c r="AH39" s="20">
        <v>2.6783372753341501</v>
      </c>
    </row>
    <row r="40" spans="1:34" ht="11.25" customHeight="1" x14ac:dyDescent="0.25">
      <c r="A40" s="118"/>
      <c r="B40" s="118"/>
      <c r="C40" s="118"/>
      <c r="D40" s="118"/>
      <c r="E40" s="118"/>
      <c r="F40" s="118"/>
      <c r="G40" s="23" t="s">
        <v>84</v>
      </c>
      <c r="H40" s="23" t="s">
        <v>82</v>
      </c>
      <c r="I40" s="23">
        <f>'MERCADO TE'!$U$37</f>
        <v>0</v>
      </c>
      <c r="J40" s="15"/>
      <c r="L40" s="20">
        <f>('TE BE'!$L$40+'TE BF'!$L$40+'TE CVA'!$L$40)*(1 - CUSTOS!$M$40)</f>
        <v>2.1304551154541338</v>
      </c>
      <c r="M40" s="20">
        <f>('TE BE'!$M$40+'TE BF'!$M$40+'TE CVA'!$M$40)*(1 - CUSTOS!$M$40)</f>
        <v>21.905257010353996</v>
      </c>
      <c r="N40" s="20">
        <f>('TE BE'!$N$40+'TE BF'!$N$40+'TE CVA'!$N$40)*(1 - CUSTOS!$M$40)</f>
        <v>0</v>
      </c>
      <c r="O40" s="20">
        <f>('TE BE'!$O$40+'TE BF'!$O$40+'TE CVA'!$O$40)*(1 - CUSTOS!$M$40)</f>
        <v>4.1998230105352929</v>
      </c>
      <c r="P40" s="20">
        <f>('TE BE'!$P$40+'TE BF'!$P$40+'TE CVA'!$P$40)*(1 - CUSTOS!$M$40)</f>
        <v>-14.752803270158896</v>
      </c>
      <c r="Q40" s="20">
        <f>('TE BE'!$R$40+'TE BF'!$R$40+'TE CVA'!$R$40)*(1 - CUSTOS!$M$40)</f>
        <v>200.03756421456885</v>
      </c>
      <c r="R40" s="20">
        <f>('TE BE'!$T$40+'TE BF'!$T$40+'TE CVA'!$T$40)*(1 - CUSTOS!$M$40)</f>
        <v>0</v>
      </c>
      <c r="S40" s="20">
        <f>('TE BE'!$U$40+'TE BF'!$U$40+'TE CVA'!$U$40)*(1 - CUSTOS!$M$40)</f>
        <v>0</v>
      </c>
      <c r="T40" s="20">
        <f>('TE BE'!$V$40+'TE BF'!$V$40+'TE CVA'!$V$40)*(1 - CUSTOS!$M$40)</f>
        <v>0</v>
      </c>
      <c r="U40" s="20">
        <f>('TE BE'!$X$40+'TE BF'!$X$40+'TE CVA'!$X$40)*(1 - CUSTOS!$M$40)</f>
        <v>-17.241989931983365</v>
      </c>
      <c r="V40" s="20">
        <f>('TE BE'!$Z$40+'TE BF'!$Z$40+'TE CVA'!$Z$40)*(1 - CUSTOS!$M$40)</f>
        <v>4.9122874819667297</v>
      </c>
      <c r="X40" s="20">
        <v>1.54968876946349</v>
      </c>
      <c r="Y40" s="20">
        <v>13.3139602871241</v>
      </c>
      <c r="Z40" s="20">
        <v>0</v>
      </c>
      <c r="AA40" s="20">
        <v>0</v>
      </c>
      <c r="AB40" s="20">
        <v>0</v>
      </c>
      <c r="AC40" s="20">
        <v>119.28352552204301</v>
      </c>
      <c r="AD40" s="20">
        <v>0</v>
      </c>
      <c r="AE40" s="20">
        <v>0</v>
      </c>
      <c r="AF40" s="20">
        <v>0</v>
      </c>
      <c r="AG40" s="20">
        <v>0</v>
      </c>
      <c r="AH40" s="20">
        <v>2.6783372753341501</v>
      </c>
    </row>
    <row r="41" spans="1:34" ht="11.25" customHeight="1" x14ac:dyDescent="0.25">
      <c r="A41" s="118"/>
      <c r="B41" s="22" t="s">
        <v>90</v>
      </c>
      <c r="C41" s="22" t="s">
        <v>47</v>
      </c>
      <c r="D41" s="22" t="s">
        <v>102</v>
      </c>
      <c r="E41" s="22" t="s">
        <v>25</v>
      </c>
      <c r="F41" s="22" t="s">
        <v>25</v>
      </c>
      <c r="G41" s="23" t="s">
        <v>88</v>
      </c>
      <c r="H41" s="23" t="s">
        <v>82</v>
      </c>
      <c r="I41" s="23">
        <f>'MERCADO TE'!$U$38</f>
        <v>0</v>
      </c>
      <c r="J41" s="15"/>
      <c r="L41" s="20">
        <f>('TE BE'!$L$41+'TE BF'!$L$41+'TE CVA'!$L$41)*(1 - CUSTOS!$M$40)</f>
        <v>2.1304551154541338</v>
      </c>
      <c r="M41" s="20">
        <f>('TE BE'!$M$41+'TE BF'!$M$41+'TE CVA'!$M$41)*(1 - CUSTOS!$M$40)</f>
        <v>21.905257010353996</v>
      </c>
      <c r="N41" s="20">
        <f>('TE BE'!$N$41+'TE BF'!$N$41+'TE CVA'!$N$41)*(1 - CUSTOS!$M$40)</f>
        <v>0</v>
      </c>
      <c r="O41" s="20">
        <f>('TE BE'!$O$41+'TE BF'!$O$41+'TE CVA'!$O$41)*(1 - CUSTOS!$M$40)</f>
        <v>4.1998230105352929</v>
      </c>
      <c r="P41" s="20">
        <f>('TE BE'!$P$41+'TE BF'!$P$41+'TE CVA'!$P$41)*(1 - CUSTOS!$M$40)</f>
        <v>-14.752803270158896</v>
      </c>
      <c r="Q41" s="20">
        <f>('TE BE'!$R$41+'TE BF'!$R$41+'TE CVA'!$R$41)*(1 - CUSTOS!$M$40)</f>
        <v>212.03981806744295</v>
      </c>
      <c r="R41" s="20">
        <f>('TE BE'!$T$41+'TE BF'!$T$41+'TE CVA'!$T$41)*(1 - CUSTOS!$M$40)</f>
        <v>0</v>
      </c>
      <c r="S41" s="20">
        <f>('TE BE'!$U$41+'TE BF'!$U$41+'TE CVA'!$U$41)*(1 - CUSTOS!$M$40)</f>
        <v>0</v>
      </c>
      <c r="T41" s="20">
        <f>('TE BE'!$V$41+'TE BF'!$V$41+'TE CVA'!$V$41)*(1 - CUSTOS!$M$40)</f>
        <v>0</v>
      </c>
      <c r="U41" s="20">
        <f>('TE BE'!$X$41+'TE BF'!$X$41+'TE CVA'!$X$41)*(1 - CUSTOS!$M$40)</f>
        <v>-18.207420930257431</v>
      </c>
      <c r="V41" s="20">
        <f>('TE BE'!$Z$41+'TE BF'!$Z$41+'TE CVA'!$Z$41)*(1 - CUSTOS!$M$40)</f>
        <v>4.9122874819667297</v>
      </c>
      <c r="X41" s="20">
        <v>1.54968876946349</v>
      </c>
      <c r="Y41" s="20">
        <v>13.3139602871241</v>
      </c>
      <c r="Z41" s="20">
        <v>0</v>
      </c>
      <c r="AA41" s="20">
        <v>0</v>
      </c>
      <c r="AB41" s="20">
        <v>0</v>
      </c>
      <c r="AC41" s="20">
        <v>126.44053705336501</v>
      </c>
      <c r="AD41" s="20">
        <v>0</v>
      </c>
      <c r="AE41" s="20">
        <v>0</v>
      </c>
      <c r="AF41" s="20">
        <v>0</v>
      </c>
      <c r="AG41" s="20">
        <v>0</v>
      </c>
      <c r="AH41" s="20">
        <v>2.6783372753341501</v>
      </c>
    </row>
    <row r="42" spans="1:34" ht="11.25" customHeight="1" x14ac:dyDescent="0.25">
      <c r="A42" s="118"/>
      <c r="B42" s="118" t="s">
        <v>99</v>
      </c>
      <c r="C42" s="118" t="s">
        <v>47</v>
      </c>
      <c r="D42" s="22" t="s">
        <v>25</v>
      </c>
      <c r="E42" s="22" t="s">
        <v>25</v>
      </c>
      <c r="F42" s="22" t="s">
        <v>25</v>
      </c>
      <c r="G42" s="23" t="s">
        <v>88</v>
      </c>
      <c r="H42" s="23" t="s">
        <v>82</v>
      </c>
      <c r="I42" s="23">
        <f>'MERCADO TE'!$U$39</f>
        <v>0</v>
      </c>
      <c r="J42" s="15"/>
      <c r="L42" s="20">
        <f>('TE BE'!$L$42+'TE BF'!$L$42+'TE CVA'!$L$42)*(1 - CUSTOS!$M$38)</f>
        <v>2.1767693570944409</v>
      </c>
      <c r="M42" s="20">
        <f>('TE BE'!$M$42+'TE BF'!$M$42+'TE CVA'!$M$42)*(1 - CUSTOS!$M$38)</f>
        <v>22.381458249709517</v>
      </c>
      <c r="N42" s="20">
        <f>('TE BE'!$N$42+'TE BF'!$N$42+'TE CVA'!$N$42)*(1 - CUSTOS!$M$38)</f>
        <v>0</v>
      </c>
      <c r="O42" s="20">
        <f>('TE BE'!$O$42+'TE BF'!$O$42+'TE CVA'!$O$42)*(1 - CUSTOS!$M$38)</f>
        <v>4.2911235107643213</v>
      </c>
      <c r="P42" s="20">
        <f>('TE BE'!$P$42+'TE BF'!$P$42+'TE CVA'!$P$42)*(1 - CUSTOS!$M$38)</f>
        <v>-15.073516384727567</v>
      </c>
      <c r="Q42" s="20">
        <f>('TE BE'!$R$42+'TE BF'!$R$42+'TE CVA'!$R$42)*(1 - CUSTOS!$M$38)</f>
        <v>216.64937932977867</v>
      </c>
      <c r="R42" s="20">
        <f>('TE BE'!$T$42+'TE BF'!$T$42+'TE CVA'!$T$42)*(1 - CUSTOS!$M$38)</f>
        <v>0</v>
      </c>
      <c r="S42" s="20">
        <f>('TE BE'!$U$42+'TE BF'!$U$42+'TE CVA'!$U$42)*(1 - CUSTOS!$M$38)</f>
        <v>0</v>
      </c>
      <c r="T42" s="20">
        <f>('TE BE'!$V$42+'TE BF'!$V$42+'TE CVA'!$V$42)*(1 - CUSTOS!$M$38)</f>
        <v>0</v>
      </c>
      <c r="U42" s="20">
        <f>('TE BE'!$X$42+'TE BF'!$X$42+'TE CVA'!$X$42)*(1 - CUSTOS!$M$38)</f>
        <v>-18.603234428741288</v>
      </c>
      <c r="V42" s="20">
        <f>('TE BE'!$Z$42+'TE BF'!$Z$42+'TE CVA'!$Z$42)*(1 - CUSTOS!$M$38)</f>
        <v>5.0190763402703533</v>
      </c>
      <c r="X42" s="20">
        <v>1.6234834727712699</v>
      </c>
      <c r="Y42" s="20">
        <v>13.947958396034799</v>
      </c>
      <c r="Z42" s="20">
        <v>0</v>
      </c>
      <c r="AA42" s="20">
        <v>0</v>
      </c>
      <c r="AB42" s="20">
        <v>0</v>
      </c>
      <c r="AC42" s="20">
        <v>132.46151500828699</v>
      </c>
      <c r="AD42" s="20">
        <v>0</v>
      </c>
      <c r="AE42" s="20">
        <v>0</v>
      </c>
      <c r="AF42" s="20">
        <v>0</v>
      </c>
      <c r="AG42" s="20">
        <v>0</v>
      </c>
      <c r="AH42" s="20">
        <v>2.8058771455881599</v>
      </c>
    </row>
    <row r="43" spans="1:34" ht="11.25" customHeight="1" x14ac:dyDescent="0.25">
      <c r="A43" s="118"/>
      <c r="B43" s="118"/>
      <c r="C43" s="118"/>
      <c r="D43" s="22" t="s">
        <v>101</v>
      </c>
      <c r="E43" s="22" t="s">
        <v>25</v>
      </c>
      <c r="F43" s="22" t="s">
        <v>25</v>
      </c>
      <c r="G43" s="23" t="s">
        <v>88</v>
      </c>
      <c r="H43" s="23" t="s">
        <v>82</v>
      </c>
      <c r="I43" s="23">
        <f>'MERCADO TE'!$U$40</f>
        <v>0</v>
      </c>
      <c r="J43" s="15"/>
      <c r="L43" s="20">
        <f>('TE BE'!$L$43+'TE BF'!$L$43+'TE CVA'!$L$43)*(1 - CUSTOS!$M$39)</f>
        <v>2.1767693570944409</v>
      </c>
      <c r="M43" s="20">
        <f>('TE BE'!$M$43+'TE BF'!$M$43+'TE CVA'!$M$43)*(1 - CUSTOS!$M$39)</f>
        <v>22.381458249709517</v>
      </c>
      <c r="N43" s="20">
        <f>('TE BE'!$N$43+'TE BF'!$N$43+'TE CVA'!$N$43)*(1 - CUSTOS!$M$39)</f>
        <v>0</v>
      </c>
      <c r="O43" s="20">
        <f>('TE BE'!$O$43+'TE BF'!$O$43+'TE CVA'!$O$43)*(1 - CUSTOS!$M$39)</f>
        <v>4.2911235107643213</v>
      </c>
      <c r="P43" s="20">
        <f>('TE BE'!$P$43+'TE BF'!$P$43+'TE CVA'!$P$43)*(1 - CUSTOS!$M$39)</f>
        <v>-15.073516384727567</v>
      </c>
      <c r="Q43" s="20">
        <f>('TE BE'!$R$43+'TE BF'!$R$43+'TE CVA'!$R$43)*(1 - CUSTOS!$M$39)</f>
        <v>216.64937932977867</v>
      </c>
      <c r="R43" s="20">
        <f>('TE BE'!$T$43+'TE BF'!$T$43+'TE CVA'!$T$43)*(1 - CUSTOS!$M$39)</f>
        <v>0</v>
      </c>
      <c r="S43" s="20">
        <f>('TE BE'!$U$43+'TE BF'!$U$43+'TE CVA'!$U$43)*(1 - CUSTOS!$M$39)</f>
        <v>0</v>
      </c>
      <c r="T43" s="20">
        <f>('TE BE'!$V$43+'TE BF'!$V$43+'TE CVA'!$V$43)*(1 - CUSTOS!$M$39)</f>
        <v>0</v>
      </c>
      <c r="U43" s="20">
        <f>('TE BE'!$X$43+'TE BF'!$X$43+'TE CVA'!$X$43)*(1 - CUSTOS!$M$39)</f>
        <v>-18.603234428741288</v>
      </c>
      <c r="V43" s="20">
        <f>('TE BE'!$Z$43+'TE BF'!$Z$43+'TE CVA'!$Z$43)*(1 - CUSTOS!$M$39)</f>
        <v>5.0190763402703533</v>
      </c>
      <c r="X43" s="20">
        <v>1.6234834727712699</v>
      </c>
      <c r="Y43" s="20">
        <v>13.947958396034799</v>
      </c>
      <c r="Z43" s="20">
        <v>0</v>
      </c>
      <c r="AA43" s="20">
        <v>0</v>
      </c>
      <c r="AB43" s="20">
        <v>0</v>
      </c>
      <c r="AC43" s="20">
        <v>132.46151500828699</v>
      </c>
      <c r="AD43" s="20">
        <v>0</v>
      </c>
      <c r="AE43" s="20">
        <v>0</v>
      </c>
      <c r="AF43" s="20">
        <v>0</v>
      </c>
      <c r="AG43" s="20">
        <v>0</v>
      </c>
      <c r="AH43" s="20">
        <v>2.8058771455881599</v>
      </c>
    </row>
    <row r="44" spans="1:34" ht="11.25" customHeight="1" x14ac:dyDescent="0.25">
      <c r="A44" s="118"/>
      <c r="B44" s="118"/>
      <c r="C44" s="118"/>
      <c r="D44" s="22" t="s">
        <v>102</v>
      </c>
      <c r="E44" s="22" t="s">
        <v>25</v>
      </c>
      <c r="F44" s="22" t="s">
        <v>25</v>
      </c>
      <c r="G44" s="23" t="s">
        <v>88</v>
      </c>
      <c r="H44" s="23" t="s">
        <v>82</v>
      </c>
      <c r="I44" s="23">
        <f>'MERCADO TE'!$U$41</f>
        <v>0</v>
      </c>
      <c r="J44" s="15"/>
      <c r="L44" s="20">
        <f>('TE BE'!$L$44+'TE BF'!$L$44+'TE CVA'!$L$44)*(1 - CUSTOS!$M$40)</f>
        <v>2.1304551154541338</v>
      </c>
      <c r="M44" s="20">
        <f>('TE BE'!$M$44+'TE BF'!$M$44+'TE CVA'!$M$44)*(1 - CUSTOS!$M$40)</f>
        <v>21.905257010353996</v>
      </c>
      <c r="N44" s="20">
        <f>('TE BE'!$N$44+'TE BF'!$N$44+'TE CVA'!$N$44)*(1 - CUSTOS!$M$40)</f>
        <v>0</v>
      </c>
      <c r="O44" s="20">
        <f>('TE BE'!$O$44+'TE BF'!$O$44+'TE CVA'!$O$44)*(1 - CUSTOS!$M$40)</f>
        <v>4.1998230105352929</v>
      </c>
      <c r="P44" s="20">
        <f>('TE BE'!$P$44+'TE BF'!$P$44+'TE CVA'!$P$44)*(1 - CUSTOS!$M$40)</f>
        <v>-14.752803270158896</v>
      </c>
      <c r="Q44" s="20">
        <f>('TE BE'!$R$44+'TE BF'!$R$44+'TE CVA'!$R$44)*(1 - CUSTOS!$M$40)</f>
        <v>212.03981806744295</v>
      </c>
      <c r="R44" s="20">
        <f>('TE BE'!$T$44+'TE BF'!$T$44+'TE CVA'!$T$44)*(1 - CUSTOS!$M$40)</f>
        <v>0</v>
      </c>
      <c r="S44" s="20">
        <f>('TE BE'!$U$44+'TE BF'!$U$44+'TE CVA'!$U$44)*(1 - CUSTOS!$M$40)</f>
        <v>0</v>
      </c>
      <c r="T44" s="20">
        <f>('TE BE'!$V$44+'TE BF'!$V$44+'TE CVA'!$V$44)*(1 - CUSTOS!$M$40)</f>
        <v>0</v>
      </c>
      <c r="U44" s="20">
        <f>('TE BE'!$X$44+'TE BF'!$X$44+'TE CVA'!$X$44)*(1 - CUSTOS!$M$40)</f>
        <v>-18.207420930257431</v>
      </c>
      <c r="V44" s="20">
        <f>('TE BE'!$Z$44+'TE BF'!$Z$44+'TE CVA'!$Z$44)*(1 - CUSTOS!$M$40)</f>
        <v>4.9122874819667297</v>
      </c>
      <c r="X44" s="20">
        <v>1.54968876946349</v>
      </c>
      <c r="Y44" s="20">
        <v>13.3139602871241</v>
      </c>
      <c r="Z44" s="20">
        <v>0</v>
      </c>
      <c r="AA44" s="20">
        <v>0</v>
      </c>
      <c r="AB44" s="20">
        <v>0</v>
      </c>
      <c r="AC44" s="20">
        <v>126.44053705336501</v>
      </c>
      <c r="AD44" s="20">
        <v>0</v>
      </c>
      <c r="AE44" s="20">
        <v>0</v>
      </c>
      <c r="AF44" s="20">
        <v>0</v>
      </c>
      <c r="AG44" s="20">
        <v>0</v>
      </c>
      <c r="AH44" s="20">
        <v>2.6783372753341501</v>
      </c>
    </row>
    <row r="45" spans="1:34" ht="11.25" customHeight="1" x14ac:dyDescent="0.25">
      <c r="A45" s="118" t="s">
        <v>39</v>
      </c>
      <c r="B45" s="118" t="s">
        <v>81</v>
      </c>
      <c r="C45" s="118" t="s">
        <v>25</v>
      </c>
      <c r="D45" s="118" t="s">
        <v>25</v>
      </c>
      <c r="E45" s="118" t="s">
        <v>25</v>
      </c>
      <c r="F45" s="118" t="s">
        <v>25</v>
      </c>
      <c r="G45" s="23" t="s">
        <v>83</v>
      </c>
      <c r="H45" s="23" t="s">
        <v>82</v>
      </c>
      <c r="I45" s="23">
        <f>'MERCADO TE'!$U$42</f>
        <v>79.968999999999994</v>
      </c>
      <c r="J45" s="15"/>
      <c r="L45" s="20">
        <f>('TE BE'!$L$45+'TE BF'!$L$45+'TE CVA'!$L$45)*1</f>
        <v>2.3157120820153629</v>
      </c>
      <c r="M45" s="20">
        <f>('TE BE'!$M$45+'TE BF'!$M$45+'TE CVA'!$M$45)*1</f>
        <v>23.810061967776083</v>
      </c>
      <c r="N45" s="20">
        <f>('TE BE'!$N$45+'TE BF'!$N$45+'TE CVA'!$N$45)*1</f>
        <v>0</v>
      </c>
      <c r="O45" s="20">
        <f>('TE BE'!$O$45+'TE BF'!$O$45+'TE CVA'!$O$45)*1</f>
        <v>4.5650250114514055</v>
      </c>
      <c r="P45" s="20">
        <f>('TE BE'!$P$45+'TE BF'!$P$45+'TE CVA'!$P$45)*1</f>
        <v>-16.035655728433582</v>
      </c>
      <c r="Q45" s="20">
        <f>('TE BE'!$R$45+'TE BF'!$R$45+'TE CVA'!$R$45)*1</f>
        <v>373.98327222723736</v>
      </c>
      <c r="R45" s="20">
        <f>('TE BE'!$T$45+'TE BF'!$T$45+'TE CVA'!$T$45)*1</f>
        <v>0</v>
      </c>
      <c r="S45" s="20">
        <f>('TE BE'!$U$45+'TE BF'!$U$45+'TE CVA'!$U$45)*1</f>
        <v>0</v>
      </c>
      <c r="T45" s="20">
        <f>('TE BE'!$V$45+'TE BF'!$V$45+'TE CVA'!$V$45)*1</f>
        <v>0</v>
      </c>
      <c r="U45" s="20">
        <f>('TE BE'!$X$45+'TE BF'!$X$45+'TE CVA'!$X$45)*1</f>
        <v>-31.333871642687104</v>
      </c>
      <c r="V45" s="20">
        <f>('TE BE'!$Z$45+'TE BF'!$Z$45+'TE CVA'!$Z$45)*1</f>
        <v>5.3394429151812277</v>
      </c>
      <c r="X45" s="20">
        <v>1.8448675826946299</v>
      </c>
      <c r="Y45" s="20">
        <v>15.849952722766799</v>
      </c>
      <c r="Z45" s="20">
        <v>0</v>
      </c>
      <c r="AA45" s="20">
        <v>0</v>
      </c>
      <c r="AB45" s="20">
        <v>0</v>
      </c>
      <c r="AC45" s="20">
        <v>244.24721892608699</v>
      </c>
      <c r="AD45" s="20">
        <v>0</v>
      </c>
      <c r="AE45" s="20">
        <v>0</v>
      </c>
      <c r="AF45" s="20">
        <v>0</v>
      </c>
      <c r="AG45" s="20">
        <v>0</v>
      </c>
      <c r="AH45" s="20">
        <v>3.18849675635018</v>
      </c>
    </row>
    <row r="46" spans="1:34" ht="11.25" customHeight="1" x14ac:dyDescent="0.25">
      <c r="A46" s="118"/>
      <c r="B46" s="118"/>
      <c r="C46" s="118"/>
      <c r="D46" s="118"/>
      <c r="E46" s="118"/>
      <c r="F46" s="118"/>
      <c r="G46" s="23" t="s">
        <v>98</v>
      </c>
      <c r="H46" s="23" t="s">
        <v>82</v>
      </c>
      <c r="I46" s="23">
        <f>'MERCADO TE'!$U$43</f>
        <v>41.695999999999998</v>
      </c>
      <c r="J46" s="15"/>
      <c r="L46" s="20">
        <f>('TE BE'!$L$46+'TE BF'!$L$46+'TE CVA'!$L$46)*1</f>
        <v>2.3157120820153629</v>
      </c>
      <c r="M46" s="20">
        <f>('TE BE'!$M$46+'TE BF'!$M$46+'TE CVA'!$M$46)*1</f>
        <v>23.810061967776083</v>
      </c>
      <c r="N46" s="20">
        <f>('TE BE'!$N$46+'TE BF'!$N$46+'TE CVA'!$N$46)*1</f>
        <v>0</v>
      </c>
      <c r="O46" s="20">
        <f>('TE BE'!$O$46+'TE BF'!$O$46+'TE CVA'!$O$46)*1</f>
        <v>4.5650250114514055</v>
      </c>
      <c r="P46" s="20">
        <f>('TE BE'!$P$46+'TE BF'!$P$46+'TE CVA'!$P$46)*1</f>
        <v>-16.035655728433582</v>
      </c>
      <c r="Q46" s="20">
        <f>('TE BE'!$R$46+'TE BF'!$R$46+'TE CVA'!$R$46)*1</f>
        <v>217.43213501583568</v>
      </c>
      <c r="R46" s="20">
        <f>('TE BE'!$T$46+'TE BF'!$T$46+'TE CVA'!$T$46)*1</f>
        <v>0</v>
      </c>
      <c r="S46" s="20">
        <f>('TE BE'!$U$46+'TE BF'!$U$46+'TE CVA'!$U$46)*1</f>
        <v>0</v>
      </c>
      <c r="T46" s="20">
        <f>('TE BE'!$V$46+'TE BF'!$V$46+'TE CVA'!$V$46)*1</f>
        <v>0</v>
      </c>
      <c r="U46" s="20">
        <f>('TE BE'!$X$46+'TE BF'!$X$46+'TE CVA'!$X$46)*1</f>
        <v>-18.741293404329745</v>
      </c>
      <c r="V46" s="20">
        <f>('TE BE'!$Z$46+'TE BF'!$Z$46+'TE CVA'!$Z$46)*1</f>
        <v>5.3394429151812277</v>
      </c>
      <c r="X46" s="20">
        <v>1.8448675826946299</v>
      </c>
      <c r="Y46" s="20">
        <v>15.849952722766799</v>
      </c>
      <c r="Z46" s="20">
        <v>0</v>
      </c>
      <c r="AA46" s="20">
        <v>0</v>
      </c>
      <c r="AB46" s="20">
        <v>0</v>
      </c>
      <c r="AC46" s="20">
        <v>142.004197050051</v>
      </c>
      <c r="AD46" s="20">
        <v>0</v>
      </c>
      <c r="AE46" s="20">
        <v>0</v>
      </c>
      <c r="AF46" s="20">
        <v>0</v>
      </c>
      <c r="AG46" s="20">
        <v>0</v>
      </c>
      <c r="AH46" s="20">
        <v>3.18849675635018</v>
      </c>
    </row>
    <row r="47" spans="1:34" ht="11.25" customHeight="1" x14ac:dyDescent="0.25">
      <c r="A47" s="118"/>
      <c r="B47" s="118"/>
      <c r="C47" s="118"/>
      <c r="D47" s="118"/>
      <c r="E47" s="118"/>
      <c r="F47" s="118"/>
      <c r="G47" s="23" t="s">
        <v>84</v>
      </c>
      <c r="H47" s="23" t="s">
        <v>82</v>
      </c>
      <c r="I47" s="23">
        <f>'MERCADO TE'!$U$44</f>
        <v>1338.2650000000001</v>
      </c>
      <c r="J47" s="15"/>
      <c r="L47" s="20">
        <f>('TE BE'!$L$47+'TE BF'!$L$47+'TE CVA'!$L$47)*1</f>
        <v>2.3157120820153629</v>
      </c>
      <c r="M47" s="20">
        <f>('TE BE'!$M$47+'TE BF'!$M$47+'TE CVA'!$M$47)*1</f>
        <v>23.810061967776083</v>
      </c>
      <c r="N47" s="20">
        <f>('TE BE'!$N$47+'TE BF'!$N$47+'TE CVA'!$N$47)*1</f>
        <v>0</v>
      </c>
      <c r="O47" s="20">
        <f>('TE BE'!$O$47+'TE BF'!$O$47+'TE CVA'!$O$47)*1</f>
        <v>4.5650250114514055</v>
      </c>
      <c r="P47" s="20">
        <f>('TE BE'!$P$47+'TE BF'!$P$47+'TE CVA'!$P$47)*1</f>
        <v>-16.035655728433582</v>
      </c>
      <c r="Q47" s="20">
        <f>('TE BE'!$R$47+'TE BF'!$R$47+'TE CVA'!$R$47)*1</f>
        <v>217.43213501583568</v>
      </c>
      <c r="R47" s="20">
        <f>('TE BE'!$T$47+'TE BF'!$T$47+'TE CVA'!$T$47)*1</f>
        <v>0</v>
      </c>
      <c r="S47" s="20">
        <f>('TE BE'!$U$47+'TE BF'!$U$47+'TE CVA'!$U$47)*1</f>
        <v>0</v>
      </c>
      <c r="T47" s="20">
        <f>('TE BE'!$V$47+'TE BF'!$V$47+'TE CVA'!$V$47)*1</f>
        <v>0</v>
      </c>
      <c r="U47" s="20">
        <f>('TE BE'!$X$47+'TE BF'!$X$47+'TE CVA'!$X$47)*1</f>
        <v>-18.741293404329745</v>
      </c>
      <c r="V47" s="20">
        <f>('TE BE'!$Z$47+'TE BF'!$Z$47+'TE CVA'!$Z$47)*1</f>
        <v>5.3394429151812277</v>
      </c>
      <c r="X47" s="20">
        <v>1.8448675826946299</v>
      </c>
      <c r="Y47" s="20">
        <v>15.849952722766799</v>
      </c>
      <c r="Z47" s="20">
        <v>0</v>
      </c>
      <c r="AA47" s="20">
        <v>0</v>
      </c>
      <c r="AB47" s="20">
        <v>0</v>
      </c>
      <c r="AC47" s="20">
        <v>142.004197050051</v>
      </c>
      <c r="AD47" s="20">
        <v>0</v>
      </c>
      <c r="AE47" s="20">
        <v>0</v>
      </c>
      <c r="AF47" s="20">
        <v>0</v>
      </c>
      <c r="AG47" s="20">
        <v>0</v>
      </c>
      <c r="AH47" s="20">
        <v>3.18849675635018</v>
      </c>
    </row>
    <row r="48" spans="1:34" ht="11.25" customHeight="1" x14ac:dyDescent="0.25">
      <c r="A48" s="118"/>
      <c r="B48" s="22" t="s">
        <v>90</v>
      </c>
      <c r="C48" s="22" t="s">
        <v>25</v>
      </c>
      <c r="D48" s="22" t="s">
        <v>25</v>
      </c>
      <c r="E48" s="22" t="s">
        <v>25</v>
      </c>
      <c r="F48" s="22" t="s">
        <v>25</v>
      </c>
      <c r="G48" s="23" t="s">
        <v>88</v>
      </c>
      <c r="H48" s="23" t="s">
        <v>82</v>
      </c>
      <c r="I48" s="23">
        <f>'MERCADO TE'!$U$45</f>
        <v>209665.67300000001</v>
      </c>
      <c r="J48" s="15"/>
      <c r="L48" s="20">
        <f>('TE BE'!$L$48+'TE BF'!$L$48+'TE CVA'!$L$48)*1</f>
        <v>2.3157120820153629</v>
      </c>
      <c r="M48" s="20">
        <f>('TE BE'!$M$48+'TE BF'!$M$48+'TE CVA'!$M$48)*1</f>
        <v>23.810061967776083</v>
      </c>
      <c r="N48" s="20">
        <f>('TE BE'!$N$48+'TE BF'!$N$48+'TE CVA'!$N$48)*1</f>
        <v>0</v>
      </c>
      <c r="O48" s="20">
        <f>('TE BE'!$O$48+'TE BF'!$O$48+'TE CVA'!$O$48)*1</f>
        <v>4.5650250114514055</v>
      </c>
      <c r="P48" s="20">
        <f>('TE BE'!$P$48+'TE BF'!$P$48+'TE CVA'!$P$48)*1</f>
        <v>-16.035655728433582</v>
      </c>
      <c r="Q48" s="20">
        <f>('TE BE'!$R$48+'TE BF'!$R$48+'TE CVA'!$R$48)*1</f>
        <v>230.47806311678582</v>
      </c>
      <c r="R48" s="20">
        <f>('TE BE'!$T$48+'TE BF'!$T$48+'TE CVA'!$T$48)*1</f>
        <v>0</v>
      </c>
      <c r="S48" s="20">
        <f>('TE BE'!$U$48+'TE BF'!$U$48+'TE CVA'!$U$48)*1</f>
        <v>0</v>
      </c>
      <c r="T48" s="20">
        <f>('TE BE'!$V$48+'TE BF'!$V$48+'TE CVA'!$V$48)*1</f>
        <v>0</v>
      </c>
      <c r="U48" s="20">
        <f>('TE BE'!$X$48+'TE BF'!$X$48+'TE CVA'!$X$48)*1</f>
        <v>-19.79067492419286</v>
      </c>
      <c r="V48" s="20">
        <f>('TE BE'!$Z$48+'TE BF'!$Z$48+'TE CVA'!$Z$48)*1</f>
        <v>5.3394429151812277</v>
      </c>
      <c r="X48" s="20">
        <v>1.8448675826946299</v>
      </c>
      <c r="Y48" s="20">
        <v>15.849952722766799</v>
      </c>
      <c r="Z48" s="20">
        <v>0</v>
      </c>
      <c r="AA48" s="20">
        <v>0</v>
      </c>
      <c r="AB48" s="20">
        <v>0</v>
      </c>
      <c r="AC48" s="20">
        <v>150.52444887305401</v>
      </c>
      <c r="AD48" s="20">
        <v>0</v>
      </c>
      <c r="AE48" s="20">
        <v>0</v>
      </c>
      <c r="AF48" s="20">
        <v>0</v>
      </c>
      <c r="AG48" s="20">
        <v>0</v>
      </c>
      <c r="AH48" s="20">
        <v>3.18849675635018</v>
      </c>
    </row>
    <row r="49" spans="1:34" ht="11.25" customHeight="1" x14ac:dyDescent="0.25">
      <c r="A49" s="118"/>
      <c r="B49" s="22" t="s">
        <v>99</v>
      </c>
      <c r="C49" s="22" t="s">
        <v>25</v>
      </c>
      <c r="D49" s="22" t="s">
        <v>25</v>
      </c>
      <c r="E49" s="22" t="s">
        <v>25</v>
      </c>
      <c r="F49" s="22" t="s">
        <v>25</v>
      </c>
      <c r="G49" s="23" t="s">
        <v>88</v>
      </c>
      <c r="H49" s="23" t="s">
        <v>82</v>
      </c>
      <c r="I49" s="23">
        <f>'MERCADO TE'!$U$46</f>
        <v>0</v>
      </c>
      <c r="J49" s="15"/>
      <c r="L49" s="20">
        <f>('TE BE'!$L$49+'TE BF'!$L$49+'TE CVA'!$L$49)*1</f>
        <v>2.3157120820153629</v>
      </c>
      <c r="M49" s="20">
        <f>('TE BE'!$M$49+'TE BF'!$M$49+'TE CVA'!$M$49)*1</f>
        <v>23.810061967776083</v>
      </c>
      <c r="N49" s="20">
        <f>('TE BE'!$N$49+'TE BF'!$N$49+'TE CVA'!$N$49)*1</f>
        <v>0</v>
      </c>
      <c r="O49" s="20">
        <f>('TE BE'!$O$49+'TE BF'!$O$49+'TE CVA'!$O$49)*1</f>
        <v>4.5650250114514055</v>
      </c>
      <c r="P49" s="20">
        <f>('TE BE'!$P$49+'TE BF'!$P$49+'TE CVA'!$P$49)*1</f>
        <v>-16.035655728433582</v>
      </c>
      <c r="Q49" s="20">
        <f>('TE BE'!$R$49+'TE BF'!$R$49+'TE CVA'!$R$49)*1</f>
        <v>230.47806311678582</v>
      </c>
      <c r="R49" s="20">
        <f>('TE BE'!$T$49+'TE BF'!$T$49+'TE CVA'!$T$49)*1</f>
        <v>0</v>
      </c>
      <c r="S49" s="20">
        <f>('TE BE'!$U$49+'TE BF'!$U$49+'TE CVA'!$U$49)*1</f>
        <v>0</v>
      </c>
      <c r="T49" s="20">
        <f>('TE BE'!$V$49+'TE BF'!$V$49+'TE CVA'!$V$49)*1</f>
        <v>0</v>
      </c>
      <c r="U49" s="20">
        <f>('TE BE'!$X$49+'TE BF'!$X$49+'TE CVA'!$X$49)*1</f>
        <v>-19.79067492419286</v>
      </c>
      <c r="V49" s="20">
        <f>('TE BE'!$Z$49+'TE BF'!$Z$49+'TE CVA'!$Z$49)*1</f>
        <v>5.3394429151812277</v>
      </c>
      <c r="X49" s="20">
        <v>1.8448675826946299</v>
      </c>
      <c r="Y49" s="20">
        <v>15.849952722766799</v>
      </c>
      <c r="Z49" s="20">
        <v>0</v>
      </c>
      <c r="AA49" s="20">
        <v>0</v>
      </c>
      <c r="AB49" s="20">
        <v>0</v>
      </c>
      <c r="AC49" s="20">
        <v>150.52444887305401</v>
      </c>
      <c r="AD49" s="20">
        <v>0</v>
      </c>
      <c r="AE49" s="20">
        <v>0</v>
      </c>
      <c r="AF49" s="20">
        <v>0</v>
      </c>
      <c r="AG49" s="20">
        <v>0</v>
      </c>
      <c r="AH49" s="20">
        <v>3.18849675635018</v>
      </c>
    </row>
    <row r="50" spans="1:34" ht="11.25" customHeight="1" x14ac:dyDescent="0.25">
      <c r="A50" s="118" t="s">
        <v>49</v>
      </c>
      <c r="B50" s="118" t="s">
        <v>90</v>
      </c>
      <c r="C50" s="118" t="s">
        <v>50</v>
      </c>
      <c r="D50" s="22" t="s">
        <v>51</v>
      </c>
      <c r="E50" s="22" t="s">
        <v>25</v>
      </c>
      <c r="F50" s="22" t="s">
        <v>25</v>
      </c>
      <c r="G50" s="23" t="s">
        <v>88</v>
      </c>
      <c r="H50" s="23" t="s">
        <v>82</v>
      </c>
      <c r="I50" s="23">
        <f>'MERCADO TE'!$U$47</f>
        <v>49365.182000000001</v>
      </c>
      <c r="J50" s="15"/>
      <c r="L50" s="20">
        <f>('TE BE'!$L$50+'TE BF'!$L$50+'TE CVA'!$L$50)*1</f>
        <v>1.27364164510845</v>
      </c>
      <c r="M50" s="20">
        <f>('TE BE'!$M$50+'TE BF'!$M$50+'TE CVA'!$M$50)*1</f>
        <v>13.095534082276849</v>
      </c>
      <c r="N50" s="20">
        <f>('TE BE'!$N$50+'TE BF'!$N$50+'TE CVA'!$N$50)*1</f>
        <v>0</v>
      </c>
      <c r="O50" s="20">
        <f>('TE BE'!$O$50+'TE BF'!$O$50+'TE CVA'!$O$50)*1</f>
        <v>2.5107637562982732</v>
      </c>
      <c r="P50" s="20">
        <f>('TE BE'!$P$50+'TE BF'!$P$50+'TE CVA'!$P$50)*1</f>
        <v>-8.8196106506384702</v>
      </c>
      <c r="Q50" s="20">
        <f>('TE BE'!$R$50+'TE BF'!$R$50+'TE CVA'!$R$50)*1</f>
        <v>126.76293471423222</v>
      </c>
      <c r="R50" s="20">
        <f>('TE BE'!$T$50+'TE BF'!$T$50+'TE CVA'!$T$50)*1</f>
        <v>0</v>
      </c>
      <c r="S50" s="20">
        <f>('TE BE'!$U$50+'TE BF'!$U$50+'TE CVA'!$U$50)*1</f>
        <v>0</v>
      </c>
      <c r="T50" s="20">
        <f>('TE BE'!$V$50+'TE BF'!$V$50+'TE CVA'!$V$50)*1</f>
        <v>0</v>
      </c>
      <c r="U50" s="20">
        <f>('TE BE'!$X$50+'TE BF'!$X$50+'TE CVA'!$X$50)*1</f>
        <v>-10.884871208306075</v>
      </c>
      <c r="V50" s="20">
        <f>('TE BE'!$Z$50+'TE BF'!$Z$50+'TE CVA'!$Z$50)*1</f>
        <v>2.9366936033496756</v>
      </c>
      <c r="X50" s="20">
        <v>1.0146771704820501</v>
      </c>
      <c r="Y50" s="20">
        <v>8.7174739975217292</v>
      </c>
      <c r="Z50" s="20">
        <v>0</v>
      </c>
      <c r="AA50" s="20">
        <v>0</v>
      </c>
      <c r="AB50" s="20">
        <v>0</v>
      </c>
      <c r="AC50" s="20">
        <v>82.788446880179606</v>
      </c>
      <c r="AD50" s="20">
        <v>0</v>
      </c>
      <c r="AE50" s="20">
        <v>0</v>
      </c>
      <c r="AF50" s="20">
        <v>0</v>
      </c>
      <c r="AG50" s="20">
        <v>0</v>
      </c>
      <c r="AH50" s="20">
        <v>1.7536732159926001</v>
      </c>
    </row>
    <row r="51" spans="1:34" ht="11.25" customHeight="1" x14ac:dyDescent="0.25">
      <c r="A51" s="118"/>
      <c r="B51" s="118"/>
      <c r="C51" s="118"/>
      <c r="D51" s="23" t="s">
        <v>103</v>
      </c>
      <c r="E51" s="23" t="s">
        <v>25</v>
      </c>
      <c r="F51" s="23" t="s">
        <v>25</v>
      </c>
      <c r="G51" s="23" t="s">
        <v>88</v>
      </c>
      <c r="H51" s="23" t="s">
        <v>82</v>
      </c>
      <c r="I51" s="23">
        <f>'MERCADO TE'!$U$48</f>
        <v>0</v>
      </c>
      <c r="J51" s="15"/>
      <c r="L51" s="20">
        <f>('TE BE'!$L$51+'TE BF'!$L$51+'TE CVA'!$L$51)*1</f>
        <v>1.3894272492092179</v>
      </c>
      <c r="M51" s="20">
        <f>('TE BE'!$M$51+'TE BF'!$M$51+'TE CVA'!$M$51)*1</f>
        <v>14.28603718066565</v>
      </c>
      <c r="N51" s="20">
        <f>('TE BE'!$N$51+'TE BF'!$N$51+'TE CVA'!$N$51)*1</f>
        <v>0</v>
      </c>
      <c r="O51" s="20">
        <f>('TE BE'!$O$51+'TE BF'!$O$51+'TE CVA'!$O$51)*1</f>
        <v>2.7390150068708432</v>
      </c>
      <c r="P51" s="20">
        <f>('TE BE'!$P$51+'TE BF'!$P$51+'TE CVA'!$P$51)*1</f>
        <v>-9.6213934370601493</v>
      </c>
      <c r="Q51" s="20">
        <f>('TE BE'!$R$51+'TE BF'!$R$51+'TE CVA'!$R$51)*1</f>
        <v>138.28683787007148</v>
      </c>
      <c r="R51" s="20">
        <f>('TE BE'!$T$51+'TE BF'!$T$51+'TE CVA'!$T$51)*1</f>
        <v>0</v>
      </c>
      <c r="S51" s="20">
        <f>('TE BE'!$U$51+'TE BF'!$U$51+'TE CVA'!$U$51)*1</f>
        <v>0</v>
      </c>
      <c r="T51" s="20">
        <f>('TE BE'!$V$51+'TE BF'!$V$51+'TE CVA'!$V$51)*1</f>
        <v>0</v>
      </c>
      <c r="U51" s="20">
        <f>('TE BE'!$X$51+'TE BF'!$X$51+'TE CVA'!$X$51)*1</f>
        <v>-11.874404954515718</v>
      </c>
      <c r="V51" s="20">
        <f>('TE BE'!$Z$51+'TE BF'!$Z$51+'TE CVA'!$Z$51)*1</f>
        <v>3.2036657491087368</v>
      </c>
      <c r="X51" s="20">
        <v>1.10692054961678</v>
      </c>
      <c r="Y51" s="20">
        <v>9.5099716336600704</v>
      </c>
      <c r="Z51" s="20">
        <v>0</v>
      </c>
      <c r="AA51" s="20">
        <v>0</v>
      </c>
      <c r="AB51" s="20">
        <v>0</v>
      </c>
      <c r="AC51" s="20">
        <v>90.314669323832206</v>
      </c>
      <c r="AD51" s="20">
        <v>0</v>
      </c>
      <c r="AE51" s="20">
        <v>0</v>
      </c>
      <c r="AF51" s="20">
        <v>0</v>
      </c>
      <c r="AG51" s="20">
        <v>0</v>
      </c>
      <c r="AH51" s="20">
        <v>1.9130980538101101</v>
      </c>
    </row>
    <row r="53" spans="1:34" ht="11.25" customHeight="1" x14ac:dyDescent="0.25">
      <c r="L53" s="115" t="s">
        <v>1261</v>
      </c>
      <c r="M53" s="115"/>
      <c r="N53" s="115"/>
      <c r="O53" s="115"/>
      <c r="P53" s="115"/>
      <c r="Q53" s="115"/>
      <c r="R53" s="115"/>
      <c r="S53" s="115"/>
      <c r="T53" s="115"/>
      <c r="U53" s="115"/>
      <c r="V53" s="115"/>
      <c r="X53" s="115" t="s">
        <v>1262</v>
      </c>
      <c r="Y53" s="115"/>
      <c r="Z53" s="115"/>
      <c r="AA53" s="115"/>
      <c r="AB53" s="115"/>
      <c r="AC53" s="115"/>
      <c r="AD53" s="115"/>
      <c r="AE53" s="115"/>
      <c r="AF53" s="115"/>
      <c r="AG53" s="115"/>
      <c r="AH53" s="115"/>
    </row>
    <row r="54" spans="1:34" ht="11.25" customHeight="1" x14ac:dyDescent="0.25">
      <c r="L54" s="115" t="s">
        <v>762</v>
      </c>
      <c r="M54" s="115"/>
      <c r="N54" s="115"/>
      <c r="O54" s="115"/>
      <c r="P54" s="115"/>
      <c r="Q54" s="115"/>
      <c r="R54" s="115"/>
      <c r="S54" s="115"/>
      <c r="T54" s="115"/>
      <c r="U54" s="115"/>
      <c r="V54" s="115"/>
      <c r="X54" s="115" t="s">
        <v>762</v>
      </c>
      <c r="Y54" s="115"/>
      <c r="Z54" s="115"/>
      <c r="AA54" s="115"/>
      <c r="AB54" s="115"/>
      <c r="AC54" s="115"/>
      <c r="AD54" s="115"/>
      <c r="AE54" s="115"/>
      <c r="AF54" s="115"/>
      <c r="AG54" s="115"/>
      <c r="AH54" s="115"/>
    </row>
    <row r="55" spans="1:34" ht="11.25" customHeight="1" x14ac:dyDescent="0.25">
      <c r="L55" s="115" t="s">
        <v>735</v>
      </c>
      <c r="M55" s="115"/>
      <c r="N55" s="115"/>
      <c r="O55" s="115"/>
      <c r="P55" s="115"/>
      <c r="Q55" s="24" t="s">
        <v>766</v>
      </c>
      <c r="R55" s="115" t="s">
        <v>744</v>
      </c>
      <c r="S55" s="115"/>
      <c r="T55" s="115"/>
      <c r="U55" s="24" t="s">
        <v>754</v>
      </c>
      <c r="V55" s="24" t="s">
        <v>757</v>
      </c>
      <c r="X55" s="115" t="s">
        <v>735</v>
      </c>
      <c r="Y55" s="115"/>
      <c r="Z55" s="115"/>
      <c r="AA55" s="115"/>
      <c r="AB55" s="115"/>
      <c r="AC55" s="24" t="s">
        <v>766</v>
      </c>
      <c r="AD55" s="115" t="s">
        <v>744</v>
      </c>
      <c r="AE55" s="115"/>
      <c r="AF55" s="115"/>
      <c r="AG55" s="24" t="s">
        <v>754</v>
      </c>
      <c r="AH55" s="24" t="s">
        <v>757</v>
      </c>
    </row>
    <row r="56" spans="1:34" ht="11.25" customHeight="1" x14ac:dyDescent="0.25">
      <c r="L56" s="24" t="s">
        <v>737</v>
      </c>
      <c r="M56" s="24" t="s">
        <v>763</v>
      </c>
      <c r="N56" s="24" t="s">
        <v>764</v>
      </c>
      <c r="O56" s="24" t="s">
        <v>823</v>
      </c>
      <c r="P56" s="24" t="s">
        <v>765</v>
      </c>
      <c r="Q56" s="24" t="s">
        <v>767</v>
      </c>
      <c r="R56" s="24" t="s">
        <v>768</v>
      </c>
      <c r="S56" s="24" t="s">
        <v>769</v>
      </c>
      <c r="T56" s="24" t="s">
        <v>770</v>
      </c>
      <c r="U56" s="24" t="s">
        <v>755</v>
      </c>
      <c r="V56" s="24" t="s">
        <v>771</v>
      </c>
      <c r="X56" s="24" t="s">
        <v>737</v>
      </c>
      <c r="Y56" s="24" t="s">
        <v>763</v>
      </c>
      <c r="Z56" s="24" t="s">
        <v>764</v>
      </c>
      <c r="AA56" s="24" t="s">
        <v>823</v>
      </c>
      <c r="AB56" s="24" t="s">
        <v>765</v>
      </c>
      <c r="AC56" s="24" t="s">
        <v>767</v>
      </c>
      <c r="AD56" s="24" t="s">
        <v>768</v>
      </c>
      <c r="AE56" s="24" t="s">
        <v>769</v>
      </c>
      <c r="AF56" s="24" t="s">
        <v>770</v>
      </c>
      <c r="AG56" s="24" t="s">
        <v>755</v>
      </c>
      <c r="AH56" s="24" t="s">
        <v>771</v>
      </c>
    </row>
    <row r="57" spans="1:34" ht="11.25" customHeight="1" x14ac:dyDescent="0.25">
      <c r="A57" s="9" t="s">
        <v>80</v>
      </c>
      <c r="B57" s="9" t="s">
        <v>1263</v>
      </c>
      <c r="C57" s="9" t="s">
        <v>1264</v>
      </c>
      <c r="D57" s="9" t="s">
        <v>1265</v>
      </c>
      <c r="E57" s="9" t="s">
        <v>1266</v>
      </c>
      <c r="F57" s="9" t="s">
        <v>1267</v>
      </c>
      <c r="G57" s="9" t="s">
        <v>1268</v>
      </c>
      <c r="L57" s="20">
        <f>$I$5*$L$5</f>
        <v>0</v>
      </c>
      <c r="M57" s="20">
        <f>$I$5*$M$5</f>
        <v>0</v>
      </c>
      <c r="N57" s="20">
        <f>$I$5*$N$5</f>
        <v>0</v>
      </c>
      <c r="O57" s="20">
        <f>$I$5*$O$5</f>
        <v>0</v>
      </c>
      <c r="P57" s="20">
        <f>$I$5*$P$5</f>
        <v>0</v>
      </c>
      <c r="Q57" s="20">
        <f>$I$5*$Q$5</f>
        <v>0</v>
      </c>
      <c r="R57" s="20">
        <f>$I$5*$R$5</f>
        <v>0</v>
      </c>
      <c r="S57" s="20">
        <f>$I$5*$S$5</f>
        <v>0</v>
      </c>
      <c r="T57" s="20">
        <f>$I$5*$T$5</f>
        <v>0</v>
      </c>
      <c r="U57" s="20">
        <f>$I$5*$U$5</f>
        <v>0</v>
      </c>
      <c r="V57" s="20">
        <f>$I$5*$V$5</f>
        <v>0</v>
      </c>
      <c r="X57" s="20">
        <f>$I$5*$X$5</f>
        <v>0</v>
      </c>
      <c r="Y57" s="20">
        <f>$I$5*$Y$5</f>
        <v>0</v>
      </c>
      <c r="Z57" s="20">
        <f>$I$5*$Z$5</f>
        <v>0</v>
      </c>
      <c r="AA57" s="20">
        <f>$I$5*$AA$5</f>
        <v>0</v>
      </c>
      <c r="AB57" s="20">
        <f>$I$5*$AB$5</f>
        <v>0</v>
      </c>
      <c r="AC57" s="20">
        <f>$I$5*$AC$5</f>
        <v>0</v>
      </c>
      <c r="AD57" s="20">
        <f>$I$5*$AD$5</f>
        <v>0</v>
      </c>
      <c r="AE57" s="20">
        <f>$I$5*$AE$5</f>
        <v>0</v>
      </c>
      <c r="AF57" s="20">
        <f>$I$5*$AF$5</f>
        <v>0</v>
      </c>
      <c r="AG57" s="20">
        <f>$I$5*$AG$5</f>
        <v>0</v>
      </c>
      <c r="AH57" s="20">
        <f>$I$5*$AH$5</f>
        <v>0</v>
      </c>
    </row>
    <row r="58" spans="1:34" ht="11.25" customHeight="1" x14ac:dyDescent="0.25">
      <c r="A58" s="9" t="s">
        <v>80</v>
      </c>
      <c r="B58" s="9" t="s">
        <v>1263</v>
      </c>
      <c r="C58" s="9" t="s">
        <v>1264</v>
      </c>
      <c r="D58" s="9" t="s">
        <v>1265</v>
      </c>
      <c r="E58" s="9" t="s">
        <v>1266</v>
      </c>
      <c r="F58" s="9" t="s">
        <v>1267</v>
      </c>
      <c r="G58" s="9" t="s">
        <v>1269</v>
      </c>
      <c r="L58" s="20">
        <f>$I$6*$L$6</f>
        <v>0</v>
      </c>
      <c r="M58" s="20">
        <f>$I$6*$M$6</f>
        <v>0</v>
      </c>
      <c r="N58" s="20">
        <f>$I$6*$N$6</f>
        <v>0</v>
      </c>
      <c r="O58" s="20">
        <f>$I$6*$O$6</f>
        <v>0</v>
      </c>
      <c r="P58" s="20">
        <f>$I$6*$P$6</f>
        <v>0</v>
      </c>
      <c r="Q58" s="20">
        <f>$I$6*$Q$6</f>
        <v>0</v>
      </c>
      <c r="R58" s="20">
        <f>$I$6*$R$6</f>
        <v>0</v>
      </c>
      <c r="S58" s="20">
        <f>$I$6*$S$6</f>
        <v>0</v>
      </c>
      <c r="T58" s="20">
        <f>$I$6*$T$6</f>
        <v>0</v>
      </c>
      <c r="U58" s="20">
        <f>$I$6*$U$6</f>
        <v>0</v>
      </c>
      <c r="V58" s="20">
        <f>$I$6*$V$6</f>
        <v>0</v>
      </c>
      <c r="X58" s="20">
        <f>$I$6*$X$6</f>
        <v>0</v>
      </c>
      <c r="Y58" s="20">
        <f>$I$6*$Y$6</f>
        <v>0</v>
      </c>
      <c r="Z58" s="20">
        <f>$I$6*$Z$6</f>
        <v>0</v>
      </c>
      <c r="AA58" s="20">
        <f>$I$6*$AA$6</f>
        <v>0</v>
      </c>
      <c r="AB58" s="20">
        <f>$I$6*$AB$6</f>
        <v>0</v>
      </c>
      <c r="AC58" s="20">
        <f>$I$6*$AC$6</f>
        <v>0</v>
      </c>
      <c r="AD58" s="20">
        <f>$I$6*$AD$6</f>
        <v>0</v>
      </c>
      <c r="AE58" s="20">
        <f>$I$6*$AE$6</f>
        <v>0</v>
      </c>
      <c r="AF58" s="20">
        <f>$I$6*$AF$6</f>
        <v>0</v>
      </c>
      <c r="AG58" s="20">
        <f>$I$6*$AG$6</f>
        <v>0</v>
      </c>
      <c r="AH58" s="20">
        <f>$I$6*$AH$6</f>
        <v>0</v>
      </c>
    </row>
    <row r="59" spans="1:34" ht="11.25" customHeight="1" x14ac:dyDescent="0.25">
      <c r="A59" s="9" t="s">
        <v>80</v>
      </c>
      <c r="B59" s="9" t="s">
        <v>1270</v>
      </c>
      <c r="C59" s="9" t="s">
        <v>1271</v>
      </c>
      <c r="D59" s="9" t="s">
        <v>1272</v>
      </c>
      <c r="E59" s="9" t="s">
        <v>1273</v>
      </c>
      <c r="F59" s="9" t="s">
        <v>1274</v>
      </c>
      <c r="G59" s="9" t="s">
        <v>1275</v>
      </c>
      <c r="L59" s="20">
        <f>$I$7*$L$7</f>
        <v>0</v>
      </c>
      <c r="M59" s="20">
        <f>$I$7*$M$7</f>
        <v>0</v>
      </c>
      <c r="N59" s="20">
        <f>$I$7*$N$7</f>
        <v>0</v>
      </c>
      <c r="O59" s="20">
        <f>$I$7*$O$7</f>
        <v>0</v>
      </c>
      <c r="P59" s="20">
        <f>$I$7*$P$7</f>
        <v>0</v>
      </c>
      <c r="Q59" s="20">
        <f>$I$7*$Q$7</f>
        <v>0</v>
      </c>
      <c r="R59" s="20">
        <f>$I$7*$R$7</f>
        <v>0</v>
      </c>
      <c r="S59" s="20">
        <f>$I$7*$S$7</f>
        <v>0</v>
      </c>
      <c r="T59" s="20">
        <f>$I$7*$T$7</f>
        <v>0</v>
      </c>
      <c r="U59" s="20">
        <f>$I$7*$U$7</f>
        <v>0</v>
      </c>
      <c r="V59" s="20">
        <f>$I$7*$V$7</f>
        <v>0</v>
      </c>
      <c r="X59" s="20">
        <f>$I$7*$X$7</f>
        <v>0</v>
      </c>
      <c r="Y59" s="20">
        <f>$I$7*$Y$7</f>
        <v>0</v>
      </c>
      <c r="Z59" s="20">
        <f>$I$7*$Z$7</f>
        <v>0</v>
      </c>
      <c r="AA59" s="20">
        <f>$I$7*$AA$7</f>
        <v>0</v>
      </c>
      <c r="AB59" s="20">
        <f>$I$7*$AB$7</f>
        <v>0</v>
      </c>
      <c r="AC59" s="20">
        <f>$I$7*$AC$7</f>
        <v>0</v>
      </c>
      <c r="AD59" s="20">
        <f>$I$7*$AD$7</f>
        <v>0</v>
      </c>
      <c r="AE59" s="20">
        <f>$I$7*$AE$7</f>
        <v>0</v>
      </c>
      <c r="AF59" s="20">
        <f>$I$7*$AF$7</f>
        <v>0</v>
      </c>
      <c r="AG59" s="20">
        <f>$I$7*$AG$7</f>
        <v>0</v>
      </c>
      <c r="AH59" s="20">
        <f>$I$7*$AH$7</f>
        <v>0</v>
      </c>
    </row>
    <row r="60" spans="1:34" ht="11.25" customHeight="1" x14ac:dyDescent="0.25">
      <c r="A60" s="9" t="s">
        <v>43</v>
      </c>
      <c r="B60" s="9" t="s">
        <v>1276</v>
      </c>
      <c r="C60" s="9" t="s">
        <v>1277</v>
      </c>
      <c r="D60" s="9" t="s">
        <v>1278</v>
      </c>
      <c r="E60" s="9" t="s">
        <v>1279</v>
      </c>
      <c r="F60" s="9" t="s">
        <v>1280</v>
      </c>
      <c r="G60" s="9" t="s">
        <v>1281</v>
      </c>
      <c r="L60" s="20">
        <f>$I$8*$L$8</f>
        <v>377.78990048415034</v>
      </c>
      <c r="M60" s="20">
        <f>$I$8*$M$8</f>
        <v>3884.4211295469254</v>
      </c>
      <c r="N60" s="20">
        <f>$I$8*$N$8</f>
        <v>0</v>
      </c>
      <c r="O60" s="20">
        <f>$I$8*$O$8</f>
        <v>744.74731041820519</v>
      </c>
      <c r="P60" s="20">
        <f>$I$8*$P$8</f>
        <v>-2616.0889468481114</v>
      </c>
      <c r="Q60" s="20">
        <f>$I$8*$Q$8</f>
        <v>61012.37899769596</v>
      </c>
      <c r="R60" s="20">
        <f>$I$8*$R$8</f>
        <v>0</v>
      </c>
      <c r="S60" s="20">
        <f>$I$8*$S$8</f>
        <v>0</v>
      </c>
      <c r="T60" s="20">
        <f>$I$8*$T$8</f>
        <v>0</v>
      </c>
      <c r="U60" s="20">
        <f>$I$8*$U$8</f>
        <v>-5111.8704875312596</v>
      </c>
      <c r="V60" s="20">
        <f>$I$8*$V$8</f>
        <v>871.08739606849588</v>
      </c>
      <c r="X60" s="20">
        <f>$I$8*$X$8</f>
        <v>300.97538717596728</v>
      </c>
      <c r="Y60" s="20">
        <f>$I$8*$Y$8</f>
        <v>2585.7929870976213</v>
      </c>
      <c r="Z60" s="20">
        <f>$I$8*$Z$8</f>
        <v>0</v>
      </c>
      <c r="AA60" s="20">
        <f>$I$8*$AA$8</f>
        <v>0</v>
      </c>
      <c r="AB60" s="20">
        <f>$I$8*$AB$8</f>
        <v>0</v>
      </c>
      <c r="AC60" s="20">
        <f>$I$8*$AC$8</f>
        <v>39846.979790039681</v>
      </c>
      <c r="AD60" s="20">
        <f>$I$8*$AD$8</f>
        <v>0</v>
      </c>
      <c r="AE60" s="20">
        <f>$I$8*$AE$8</f>
        <v>0</v>
      </c>
      <c r="AF60" s="20">
        <f>$I$8*$AF$8</f>
        <v>0</v>
      </c>
      <c r="AG60" s="20">
        <f>$I$8*$AG$8</f>
        <v>0</v>
      </c>
      <c r="AH60" s="20">
        <f>$I$8*$AH$8</f>
        <v>520.17773782448103</v>
      </c>
    </row>
    <row r="61" spans="1:34" ht="11.25" customHeight="1" x14ac:dyDescent="0.25">
      <c r="A61" s="9" t="s">
        <v>43</v>
      </c>
      <c r="B61" s="9" t="s">
        <v>1276</v>
      </c>
      <c r="C61" s="9" t="s">
        <v>1277</v>
      </c>
      <c r="D61" s="9" t="s">
        <v>1278</v>
      </c>
      <c r="E61" s="9" t="s">
        <v>1279</v>
      </c>
      <c r="F61" s="9" t="s">
        <v>1280</v>
      </c>
      <c r="G61" s="9" t="s">
        <v>1282</v>
      </c>
      <c r="L61" s="20">
        <f>$I$9*$L$9</f>
        <v>4091.2542166435765</v>
      </c>
      <c r="M61" s="20">
        <f>$I$9*$M$9</f>
        <v>42066.117450762817</v>
      </c>
      <c r="N61" s="20">
        <f>$I$9*$N$9</f>
        <v>0</v>
      </c>
      <c r="O61" s="20">
        <f>$I$9*$O$9</f>
        <v>8065.1985936566225</v>
      </c>
      <c r="P61" s="20">
        <f>$I$9*$P$9</f>
        <v>-28330.786294685564</v>
      </c>
      <c r="Q61" s="20">
        <f>$I$9*$Q$9</f>
        <v>384145.3979214725</v>
      </c>
      <c r="R61" s="20">
        <f>$I$9*$R$9</f>
        <v>0</v>
      </c>
      <c r="S61" s="20">
        <f>$I$9*$S$9</f>
        <v>0</v>
      </c>
      <c r="T61" s="20">
        <f>$I$9*$T$9</f>
        <v>0</v>
      </c>
      <c r="U61" s="20">
        <f>$I$9*$U$9</f>
        <v>-33110.936485285325</v>
      </c>
      <c r="V61" s="20">
        <f>$I$9*$V$9</f>
        <v>9433.3913576385366</v>
      </c>
      <c r="X61" s="20">
        <f>$I$9*$X$9</f>
        <v>3259.3958184471626</v>
      </c>
      <c r="Y61" s="20">
        <f>$I$9*$Y$9</f>
        <v>28002.69792356285</v>
      </c>
      <c r="Z61" s="20">
        <f>$I$9*$Z$9</f>
        <v>0</v>
      </c>
      <c r="AA61" s="20">
        <f>$I$9*$AA$9</f>
        <v>0</v>
      </c>
      <c r="AB61" s="20">
        <f>$I$9*$AB$9</f>
        <v>0</v>
      </c>
      <c r="AC61" s="20">
        <f>$I$9*$AC$9</f>
        <v>250884.06908361596</v>
      </c>
      <c r="AD61" s="20">
        <f>$I$9*$AD$9</f>
        <v>0</v>
      </c>
      <c r="AE61" s="20">
        <f>$I$9*$AE$9</f>
        <v>0</v>
      </c>
      <c r="AF61" s="20">
        <f>$I$9*$AF$9</f>
        <v>0</v>
      </c>
      <c r="AG61" s="20">
        <f>$I$9*$AG$9</f>
        <v>0</v>
      </c>
      <c r="AH61" s="20">
        <f>$I$9*$AH$9</f>
        <v>5633.235193823848</v>
      </c>
    </row>
    <row r="62" spans="1:34" ht="11.25" customHeight="1" x14ac:dyDescent="0.25">
      <c r="A62" s="9" t="s">
        <v>43</v>
      </c>
      <c r="B62" s="9" t="s">
        <v>1283</v>
      </c>
      <c r="C62" s="9" t="s">
        <v>1284</v>
      </c>
      <c r="D62" s="9" t="s">
        <v>1285</v>
      </c>
      <c r="E62" s="9" t="s">
        <v>1286</v>
      </c>
      <c r="F62" s="9" t="s">
        <v>1287</v>
      </c>
      <c r="G62" s="9" t="s">
        <v>1288</v>
      </c>
      <c r="L62" s="20">
        <f>$I$10*$L$10</f>
        <v>0</v>
      </c>
      <c r="M62" s="20">
        <f>$I$10*$M$10</f>
        <v>0</v>
      </c>
      <c r="N62" s="20">
        <f>$I$10*$N$10</f>
        <v>0</v>
      </c>
      <c r="O62" s="20">
        <f>$I$10*$O$10</f>
        <v>0</v>
      </c>
      <c r="P62" s="20">
        <f>$I$10*$P$10</f>
        <v>0</v>
      </c>
      <c r="Q62" s="20">
        <f>$I$10*$Q$10</f>
        <v>0</v>
      </c>
      <c r="R62" s="20">
        <f>$I$10*$R$10</f>
        <v>0</v>
      </c>
      <c r="S62" s="20">
        <f>$I$10*$S$10</f>
        <v>0</v>
      </c>
      <c r="T62" s="20">
        <f>$I$10*$T$10</f>
        <v>0</v>
      </c>
      <c r="U62" s="20">
        <f>$I$10*$U$10</f>
        <v>0</v>
      </c>
      <c r="V62" s="20">
        <f>$I$10*$V$10</f>
        <v>0</v>
      </c>
      <c r="X62" s="20">
        <f>$I$10*$X$10</f>
        <v>0</v>
      </c>
      <c r="Y62" s="20">
        <f>$I$10*$Y$10</f>
        <v>0</v>
      </c>
      <c r="Z62" s="20">
        <f>$I$10*$Z$10</f>
        <v>0</v>
      </c>
      <c r="AA62" s="20">
        <f>$I$10*$AA$10</f>
        <v>0</v>
      </c>
      <c r="AB62" s="20">
        <f>$I$10*$AB$10</f>
        <v>0</v>
      </c>
      <c r="AC62" s="20">
        <f>$I$10*$AC$10</f>
        <v>0</v>
      </c>
      <c r="AD62" s="20">
        <f>$I$10*$AD$10</f>
        <v>0</v>
      </c>
      <c r="AE62" s="20">
        <f>$I$10*$AE$10</f>
        <v>0</v>
      </c>
      <c r="AF62" s="20">
        <f>$I$10*$AF$10</f>
        <v>0</v>
      </c>
      <c r="AG62" s="20">
        <f>$I$10*$AG$10</f>
        <v>0</v>
      </c>
      <c r="AH62" s="20">
        <f>$I$10*$AH$10</f>
        <v>0</v>
      </c>
    </row>
    <row r="63" spans="1:34" ht="11.25" customHeight="1" x14ac:dyDescent="0.25">
      <c r="A63" s="9" t="s">
        <v>41</v>
      </c>
      <c r="B63" s="9" t="s">
        <v>1289</v>
      </c>
      <c r="C63" s="9" t="s">
        <v>1290</v>
      </c>
      <c r="D63" s="9" t="s">
        <v>1291</v>
      </c>
      <c r="E63" s="9" t="s">
        <v>1292</v>
      </c>
      <c r="F63" s="9" t="s">
        <v>1293</v>
      </c>
      <c r="G63" s="9" t="s">
        <v>1294</v>
      </c>
      <c r="L63" s="20">
        <f>$I$11*$L$11</f>
        <v>36428.654334862316</v>
      </c>
      <c r="M63" s="20">
        <f>$I$11*$M$11</f>
        <v>374558.01343010494</v>
      </c>
      <c r="N63" s="20">
        <f>$I$11*$N$11</f>
        <v>0</v>
      </c>
      <c r="O63" s="20">
        <f>$I$11*$O$11</f>
        <v>71812.778222167981</v>
      </c>
      <c r="P63" s="20">
        <f>$I$11*$P$11</f>
        <v>-252258.19915210269</v>
      </c>
      <c r="Q63" s="20">
        <f>$I$11*$Q$11</f>
        <v>5883161.148051721</v>
      </c>
      <c r="R63" s="20">
        <f>$I$11*$R$11</f>
        <v>0</v>
      </c>
      <c r="S63" s="20">
        <f>$I$11*$S$11</f>
        <v>0</v>
      </c>
      <c r="T63" s="20">
        <f>$I$11*$T$11</f>
        <v>0</v>
      </c>
      <c r="U63" s="20">
        <f>$I$11*$U$11</f>
        <v>-492915.67285471386</v>
      </c>
      <c r="V63" s="20">
        <f>$I$11*$V$11</f>
        <v>83995.208993592023</v>
      </c>
      <c r="X63" s="20">
        <f>$I$11*$X$11</f>
        <v>29021.761377643423</v>
      </c>
      <c r="Y63" s="20">
        <f>$I$11*$Y$11</f>
        <v>249336.89012801507</v>
      </c>
      <c r="Z63" s="20">
        <f>$I$11*$Z$11</f>
        <v>0</v>
      </c>
      <c r="AA63" s="20">
        <f>$I$11*$AA$11</f>
        <v>0</v>
      </c>
      <c r="AB63" s="20">
        <f>$I$11*$AB$11</f>
        <v>0</v>
      </c>
      <c r="AC63" s="20">
        <f>$I$11*$AC$11</f>
        <v>3842272.7849510075</v>
      </c>
      <c r="AD63" s="20">
        <f>$I$11*$AD$11</f>
        <v>0</v>
      </c>
      <c r="AE63" s="20">
        <f>$I$11*$AE$11</f>
        <v>0</v>
      </c>
      <c r="AF63" s="20">
        <f>$I$11*$AF$11</f>
        <v>0</v>
      </c>
      <c r="AG63" s="20">
        <f>$I$11*$AG$11</f>
        <v>0</v>
      </c>
      <c r="AH63" s="20">
        <f>$I$11*$AH$11</f>
        <v>50158.500742381948</v>
      </c>
    </row>
    <row r="64" spans="1:34" ht="11.25" customHeight="1" x14ac:dyDescent="0.25">
      <c r="A64" s="9" t="s">
        <v>41</v>
      </c>
      <c r="B64" s="9" t="s">
        <v>1289</v>
      </c>
      <c r="C64" s="9" t="s">
        <v>1290</v>
      </c>
      <c r="D64" s="9" t="s">
        <v>1291</v>
      </c>
      <c r="E64" s="9" t="s">
        <v>1292</v>
      </c>
      <c r="F64" s="9" t="s">
        <v>1293</v>
      </c>
      <c r="G64" s="9" t="s">
        <v>1295</v>
      </c>
      <c r="L64" s="20">
        <f>$I$12*$L$12</f>
        <v>451913.2066334007</v>
      </c>
      <c r="M64" s="20">
        <f>$I$12*$M$12</f>
        <v>4646554.0934748566</v>
      </c>
      <c r="N64" s="20">
        <f>$I$12*$N$12</f>
        <v>0</v>
      </c>
      <c r="O64" s="20">
        <f>$I$12*$O$12</f>
        <v>890868.56147127668</v>
      </c>
      <c r="P64" s="20">
        <f>$I$12*$P$12</f>
        <v>-3129372.0221033958</v>
      </c>
      <c r="Q64" s="20">
        <f>$I$12*$Q$12</f>
        <v>42432068.357408583</v>
      </c>
      <c r="R64" s="20">
        <f>$I$12*$R$12</f>
        <v>0</v>
      </c>
      <c r="S64" s="20">
        <f>$I$12*$S$12</f>
        <v>0</v>
      </c>
      <c r="T64" s="20">
        <f>$I$12*$T$12</f>
        <v>0</v>
      </c>
      <c r="U64" s="20">
        <f>$I$12*$U$12</f>
        <v>-3657379.544108571</v>
      </c>
      <c r="V64" s="20">
        <f>$I$12*$V$12</f>
        <v>1041996.8821579666</v>
      </c>
      <c r="X64" s="20">
        <f>$I$12*$X$12</f>
        <v>360027.49719384575</v>
      </c>
      <c r="Y64" s="20">
        <f>$I$12*$Y$12</f>
        <v>3093131.9206572352</v>
      </c>
      <c r="Z64" s="20">
        <f>$I$12*$Z$12</f>
        <v>0</v>
      </c>
      <c r="AA64" s="20">
        <f>$I$12*$AA$12</f>
        <v>0</v>
      </c>
      <c r="AB64" s="20">
        <f>$I$12*$AB$12</f>
        <v>0</v>
      </c>
      <c r="AC64" s="20">
        <f>$I$12*$AC$12</f>
        <v>27712241.319931116</v>
      </c>
      <c r="AD64" s="20">
        <f>$I$12*$AD$12</f>
        <v>0</v>
      </c>
      <c r="AE64" s="20">
        <f>$I$12*$AE$12</f>
        <v>0</v>
      </c>
      <c r="AF64" s="20">
        <f>$I$12*$AF$12</f>
        <v>0</v>
      </c>
      <c r="AG64" s="20">
        <f>$I$12*$AG$12</f>
        <v>0</v>
      </c>
      <c r="AH64" s="20">
        <f>$I$12*$AH$12</f>
        <v>622237.88729744486</v>
      </c>
    </row>
    <row r="65" spans="1:34" ht="11.25" customHeight="1" x14ac:dyDescent="0.25">
      <c r="A65" s="9" t="s">
        <v>41</v>
      </c>
      <c r="B65" s="9" t="s">
        <v>1296</v>
      </c>
      <c r="C65" s="9" t="s">
        <v>1297</v>
      </c>
      <c r="D65" s="9" t="s">
        <v>1298</v>
      </c>
      <c r="E65" s="9" t="s">
        <v>1299</v>
      </c>
      <c r="F65" s="9" t="s">
        <v>1300</v>
      </c>
      <c r="G65" s="9" t="s">
        <v>1301</v>
      </c>
      <c r="L65" s="20">
        <f>$I$13*$L$13</f>
        <v>0</v>
      </c>
      <c r="M65" s="20">
        <f>$I$13*$M$13</f>
        <v>0</v>
      </c>
      <c r="N65" s="20">
        <f>$I$13*$N$13</f>
        <v>0</v>
      </c>
      <c r="O65" s="20">
        <f>$I$13*$O$13</f>
        <v>0</v>
      </c>
      <c r="P65" s="20">
        <f>$I$13*$P$13</f>
        <v>0</v>
      </c>
      <c r="Q65" s="20">
        <f>$I$13*$Q$13</f>
        <v>0</v>
      </c>
      <c r="R65" s="20">
        <f>$I$13*$R$13</f>
        <v>0</v>
      </c>
      <c r="S65" s="20">
        <f>$I$13*$S$13</f>
        <v>0</v>
      </c>
      <c r="T65" s="20">
        <f>$I$13*$T$13</f>
        <v>0</v>
      </c>
      <c r="U65" s="20">
        <f>$I$13*$U$13</f>
        <v>0</v>
      </c>
      <c r="V65" s="20">
        <f>$I$13*$V$13</f>
        <v>0</v>
      </c>
      <c r="X65" s="20">
        <f>$I$13*$X$13</f>
        <v>0</v>
      </c>
      <c r="Y65" s="20">
        <f>$I$13*$Y$13</f>
        <v>0</v>
      </c>
      <c r="Z65" s="20">
        <f>$I$13*$Z$13</f>
        <v>0</v>
      </c>
      <c r="AA65" s="20">
        <f>$I$13*$AA$13</f>
        <v>0</v>
      </c>
      <c r="AB65" s="20">
        <f>$I$13*$AB$13</f>
        <v>0</v>
      </c>
      <c r="AC65" s="20">
        <f>$I$13*$AC$13</f>
        <v>0</v>
      </c>
      <c r="AD65" s="20">
        <f>$I$13*$AD$13</f>
        <v>0</v>
      </c>
      <c r="AE65" s="20">
        <f>$I$13*$AE$13</f>
        <v>0</v>
      </c>
      <c r="AF65" s="20">
        <f>$I$13*$AF$13</f>
        <v>0</v>
      </c>
      <c r="AG65" s="20">
        <f>$I$13*$AG$13</f>
        <v>0</v>
      </c>
      <c r="AH65" s="20">
        <f>$I$13*$AH$13</f>
        <v>0</v>
      </c>
    </row>
    <row r="66" spans="1:34" ht="11.25" customHeight="1" x14ac:dyDescent="0.25">
      <c r="A66" s="9" t="s">
        <v>41</v>
      </c>
      <c r="B66" s="9" t="s">
        <v>1302</v>
      </c>
      <c r="C66" s="9" t="s">
        <v>1303</v>
      </c>
      <c r="D66" s="9" t="s">
        <v>1304</v>
      </c>
      <c r="E66" s="9" t="s">
        <v>1305</v>
      </c>
      <c r="F66" s="9" t="s">
        <v>1306</v>
      </c>
      <c r="G66" s="9" t="s">
        <v>1307</v>
      </c>
      <c r="L66" s="20">
        <f>$I$14*$L$14</f>
        <v>0</v>
      </c>
      <c r="M66" s="20">
        <f>$I$14*$M$14</f>
        <v>0</v>
      </c>
      <c r="N66" s="20">
        <f>$I$14*$N$14</f>
        <v>0</v>
      </c>
      <c r="O66" s="20">
        <f>$I$14*$O$14</f>
        <v>0</v>
      </c>
      <c r="P66" s="20">
        <f>$I$14*$P$14</f>
        <v>0</v>
      </c>
      <c r="Q66" s="20">
        <f>$I$14*$Q$14</f>
        <v>0</v>
      </c>
      <c r="R66" s="20">
        <f>$I$14*$R$14</f>
        <v>0</v>
      </c>
      <c r="S66" s="20">
        <f>$I$14*$S$14</f>
        <v>0</v>
      </c>
      <c r="T66" s="20">
        <f>$I$14*$T$14</f>
        <v>0</v>
      </c>
      <c r="U66" s="20">
        <f>$I$14*$U$14</f>
        <v>0</v>
      </c>
      <c r="V66" s="20">
        <f>$I$14*$V$14</f>
        <v>0</v>
      </c>
      <c r="X66" s="20">
        <f>$I$14*$X$14</f>
        <v>0</v>
      </c>
      <c r="Y66" s="20">
        <f>$I$14*$Y$14</f>
        <v>0</v>
      </c>
      <c r="Z66" s="20">
        <f>$I$14*$Z$14</f>
        <v>0</v>
      </c>
      <c r="AA66" s="20">
        <f>$I$14*$AA$14</f>
        <v>0</v>
      </c>
      <c r="AB66" s="20">
        <f>$I$14*$AB$14</f>
        <v>0</v>
      </c>
      <c r="AC66" s="20">
        <f>$I$14*$AC$14</f>
        <v>0</v>
      </c>
      <c r="AD66" s="20">
        <f>$I$14*$AD$14</f>
        <v>0</v>
      </c>
      <c r="AE66" s="20">
        <f>$I$14*$AE$14</f>
        <v>0</v>
      </c>
      <c r="AF66" s="20">
        <f>$I$14*$AF$14</f>
        <v>0</v>
      </c>
      <c r="AG66" s="20">
        <f>$I$14*$AG$14</f>
        <v>0</v>
      </c>
      <c r="AH66" s="20">
        <f>$I$14*$AH$14</f>
        <v>0</v>
      </c>
    </row>
    <row r="67" spans="1:34" ht="11.25" customHeight="1" x14ac:dyDescent="0.25">
      <c r="A67" s="9" t="s">
        <v>41</v>
      </c>
      <c r="B67" s="9" t="s">
        <v>1308</v>
      </c>
      <c r="C67" s="9" t="s">
        <v>1309</v>
      </c>
      <c r="D67" s="9" t="s">
        <v>1310</v>
      </c>
      <c r="E67" s="9" t="s">
        <v>1311</v>
      </c>
      <c r="F67" s="9" t="s">
        <v>1312</v>
      </c>
      <c r="G67" s="9" t="s">
        <v>1313</v>
      </c>
      <c r="L67" s="20">
        <f>$I$15*$L$15</f>
        <v>0</v>
      </c>
      <c r="M67" s="20">
        <f>$I$15*$M$15</f>
        <v>0</v>
      </c>
      <c r="N67" s="20">
        <f>$I$15*$N$15</f>
        <v>0</v>
      </c>
      <c r="O67" s="20">
        <f>$I$15*$O$15</f>
        <v>0</v>
      </c>
      <c r="P67" s="20">
        <f>$I$15*$P$15</f>
        <v>0</v>
      </c>
      <c r="Q67" s="20">
        <f>$I$15*$Q$15</f>
        <v>0</v>
      </c>
      <c r="R67" s="20">
        <f>$I$15*$R$15</f>
        <v>0</v>
      </c>
      <c r="S67" s="20">
        <f>$I$15*$S$15</f>
        <v>0</v>
      </c>
      <c r="T67" s="20">
        <f>$I$15*$T$15</f>
        <v>0</v>
      </c>
      <c r="U67" s="20">
        <f>$I$15*$U$15</f>
        <v>0</v>
      </c>
      <c r="V67" s="20">
        <f>$I$15*$V$15</f>
        <v>0</v>
      </c>
      <c r="X67" s="20">
        <f>$I$15*$X$15</f>
        <v>0</v>
      </c>
      <c r="Y67" s="20">
        <f>$I$15*$Y$15</f>
        <v>0</v>
      </c>
      <c r="Z67" s="20">
        <f>$I$15*$Z$15</f>
        <v>0</v>
      </c>
      <c r="AA67" s="20">
        <f>$I$15*$AA$15</f>
        <v>0</v>
      </c>
      <c r="AB67" s="20">
        <f>$I$15*$AB$15</f>
        <v>0</v>
      </c>
      <c r="AC67" s="20">
        <f>$I$15*$AC$15</f>
        <v>0</v>
      </c>
      <c r="AD67" s="20">
        <f>$I$15*$AD$15</f>
        <v>0</v>
      </c>
      <c r="AE67" s="20">
        <f>$I$15*$AE$15</f>
        <v>0</v>
      </c>
      <c r="AF67" s="20">
        <f>$I$15*$AF$15</f>
        <v>0</v>
      </c>
      <c r="AG67" s="20">
        <f>$I$15*$AG$15</f>
        <v>0</v>
      </c>
      <c r="AH67" s="20">
        <f>$I$15*$AH$15</f>
        <v>0</v>
      </c>
    </row>
    <row r="68" spans="1:34" ht="11.25" customHeight="1" x14ac:dyDescent="0.25">
      <c r="A68" s="9" t="s">
        <v>41</v>
      </c>
      <c r="B68" s="9" t="s">
        <v>1296</v>
      </c>
      <c r="C68" s="9" t="s">
        <v>1297</v>
      </c>
      <c r="D68" s="9" t="s">
        <v>1298</v>
      </c>
      <c r="E68" s="9" t="s">
        <v>1314</v>
      </c>
      <c r="F68" s="9" t="s">
        <v>1315</v>
      </c>
      <c r="G68" s="9" t="s">
        <v>1316</v>
      </c>
      <c r="L68" s="20">
        <f>$I$16*$L$16</f>
        <v>23272.072767904872</v>
      </c>
      <c r="M68" s="20">
        <f>$I$16*$M$16</f>
        <v>0</v>
      </c>
      <c r="N68" s="20">
        <f>$I$16*$N$16</f>
        <v>0</v>
      </c>
      <c r="O68" s="20">
        <f>$I$16*$O$16</f>
        <v>45876.857956082509</v>
      </c>
      <c r="P68" s="20">
        <f>$I$16*$P$16</f>
        <v>-161152.56723469528</v>
      </c>
      <c r="Q68" s="20">
        <f>$I$16*$Q$16</f>
        <v>2306887.4432557309</v>
      </c>
      <c r="R68" s="20">
        <f>$I$16*$R$16</f>
        <v>0</v>
      </c>
      <c r="S68" s="20">
        <f>$I$16*$S$16</f>
        <v>0</v>
      </c>
      <c r="T68" s="20">
        <f>$I$16*$T$16</f>
        <v>0</v>
      </c>
      <c r="U68" s="20">
        <f>$I$16*$U$16</f>
        <v>0</v>
      </c>
      <c r="V68" s="20">
        <f>$I$16*$V$16</f>
        <v>0</v>
      </c>
      <c r="X68" s="20">
        <f>$I$16*$X$16</f>
        <v>18540.255053751258</v>
      </c>
      <c r="Y68" s="20">
        <f>$I$16*$Y$16</f>
        <v>159286.31888082612</v>
      </c>
      <c r="Z68" s="20">
        <f>$I$16*$Z$16</f>
        <v>0</v>
      </c>
      <c r="AA68" s="20">
        <f>$I$16*$AA$16</f>
        <v>0</v>
      </c>
      <c r="AB68" s="20">
        <f>$I$16*$AB$16</f>
        <v>0</v>
      </c>
      <c r="AC68" s="20">
        <f>$I$16*$AC$16</f>
        <v>1509343.0204929495</v>
      </c>
      <c r="AD68" s="20">
        <f>$I$16*$AD$16</f>
        <v>0</v>
      </c>
      <c r="AE68" s="20">
        <f>$I$16*$AE$16</f>
        <v>0</v>
      </c>
      <c r="AF68" s="20">
        <f>$I$16*$AF$16</f>
        <v>0</v>
      </c>
      <c r="AG68" s="20">
        <f>$I$16*$AG$16</f>
        <v>0</v>
      </c>
      <c r="AH68" s="20">
        <f>$I$16*$AH$16</f>
        <v>32043.24454248702</v>
      </c>
    </row>
    <row r="69" spans="1:34" ht="11.25" customHeight="1" x14ac:dyDescent="0.25">
      <c r="A69" s="9" t="s">
        <v>22</v>
      </c>
      <c r="B69" s="9" t="s">
        <v>1317</v>
      </c>
      <c r="C69" s="9" t="s">
        <v>1318</v>
      </c>
      <c r="D69" s="9" t="s">
        <v>1319</v>
      </c>
      <c r="E69" s="9" t="s">
        <v>1320</v>
      </c>
      <c r="F69" s="9" t="s">
        <v>1321</v>
      </c>
      <c r="G69" s="9" t="s">
        <v>1322</v>
      </c>
      <c r="L69" s="20">
        <f>$I$17*$L$17</f>
        <v>119.12717663511631</v>
      </c>
      <c r="M69" s="20">
        <f>$I$17*$M$17</f>
        <v>1224.861017808305</v>
      </c>
      <c r="N69" s="20">
        <f>$I$17*$N$17</f>
        <v>0</v>
      </c>
      <c r="O69" s="20">
        <f>$I$17*$O$17</f>
        <v>234.83858166409465</v>
      </c>
      <c r="P69" s="20">
        <f>$I$17*$P$17</f>
        <v>-824.92223763780873</v>
      </c>
      <c r="Q69" s="20">
        <f>$I$17*$Q$17</f>
        <v>19238.82147318577</v>
      </c>
      <c r="R69" s="20">
        <f>$I$17*$R$17</f>
        <v>0</v>
      </c>
      <c r="S69" s="20">
        <f>$I$17*$S$17</f>
        <v>0</v>
      </c>
      <c r="T69" s="20">
        <f>$I$17*$T$17</f>
        <v>0</v>
      </c>
      <c r="U69" s="20">
        <f>$I$17*$U$17</f>
        <v>-1611.9083589147526</v>
      </c>
      <c r="V69" s="20">
        <f>$I$17*$V$17</f>
        <v>274.67696188566788</v>
      </c>
      <c r="X69" s="20">
        <f>$I$17*$X$17</f>
        <v>94.905523056559844</v>
      </c>
      <c r="Y69" s="20">
        <f>$I$17*$Y$17</f>
        <v>815.36911791729244</v>
      </c>
      <c r="Z69" s="20">
        <f>$I$17*$Z$17</f>
        <v>0</v>
      </c>
      <c r="AA69" s="20">
        <f>$I$17*$AA$17</f>
        <v>0</v>
      </c>
      <c r="AB69" s="20">
        <f>$I$17*$AB$17</f>
        <v>0</v>
      </c>
      <c r="AC69" s="20">
        <f>$I$17*$AC$17</f>
        <v>12564.809683214693</v>
      </c>
      <c r="AD69" s="20">
        <f>$I$17*$AD$17</f>
        <v>0</v>
      </c>
      <c r="AE69" s="20">
        <f>$I$17*$AE$17</f>
        <v>0</v>
      </c>
      <c r="AF69" s="20">
        <f>$I$17*$AF$17</f>
        <v>0</v>
      </c>
      <c r="AG69" s="20">
        <f>$I$17*$AG$17</f>
        <v>0</v>
      </c>
      <c r="AH69" s="20">
        <f>$I$17*$AH$17</f>
        <v>164.02583863692232</v>
      </c>
    </row>
    <row r="70" spans="1:34" ht="11.25" customHeight="1" x14ac:dyDescent="0.25">
      <c r="A70" s="9" t="s">
        <v>22</v>
      </c>
      <c r="B70" s="9" t="s">
        <v>1317</v>
      </c>
      <c r="C70" s="9" t="s">
        <v>1318</v>
      </c>
      <c r="D70" s="9" t="s">
        <v>1319</v>
      </c>
      <c r="E70" s="9" t="s">
        <v>1320</v>
      </c>
      <c r="F70" s="9" t="s">
        <v>1321</v>
      </c>
      <c r="G70" s="9" t="s">
        <v>1323</v>
      </c>
      <c r="L70" s="20">
        <f>$I$18*$L$18</f>
        <v>39.249004078078379</v>
      </c>
      <c r="M70" s="20">
        <f>$I$18*$M$18</f>
        <v>403.55674029183677</v>
      </c>
      <c r="N70" s="20">
        <f>$I$18*$N$18</f>
        <v>0</v>
      </c>
      <c r="O70" s="20">
        <f>$I$18*$O$18</f>
        <v>77.372608919089856</v>
      </c>
      <c r="P70" s="20">
        <f>$I$18*$P$18</f>
        <v>-271.78832894122075</v>
      </c>
      <c r="Q70" s="20">
        <f>$I$18*$Q$18</f>
        <v>3685.2572563833987</v>
      </c>
      <c r="R70" s="20">
        <f>$I$18*$R$18</f>
        <v>0</v>
      </c>
      <c r="S70" s="20">
        <f>$I$18*$S$18</f>
        <v>0</v>
      </c>
      <c r="T70" s="20">
        <f>$I$18*$T$18</f>
        <v>0</v>
      </c>
      <c r="U70" s="20">
        <f>$I$18*$U$18</f>
        <v>-317.64618190998482</v>
      </c>
      <c r="V70" s="20">
        <f>$I$18*$V$18</f>
        <v>90.498217969406625</v>
      </c>
      <c r="X70" s="20">
        <f>$I$18*$X$18</f>
        <v>31.268660659091278</v>
      </c>
      <c r="Y70" s="20">
        <f>$I$18*$Y$18</f>
        <v>268.64084869817447</v>
      </c>
      <c r="Z70" s="20">
        <f>$I$18*$Z$18</f>
        <v>0</v>
      </c>
      <c r="AA70" s="20">
        <f>$I$18*$AA$18</f>
        <v>0</v>
      </c>
      <c r="AB70" s="20">
        <f>$I$18*$AB$18</f>
        <v>0</v>
      </c>
      <c r="AC70" s="20">
        <f>$I$18*$AC$18</f>
        <v>2406.8291358013144</v>
      </c>
      <c r="AD70" s="20">
        <f>$I$18*$AD$18</f>
        <v>0</v>
      </c>
      <c r="AE70" s="20">
        <f>$I$18*$AE$18</f>
        <v>0</v>
      </c>
      <c r="AF70" s="20">
        <f>$I$18*$AF$18</f>
        <v>0</v>
      </c>
      <c r="AG70" s="20">
        <f>$I$18*$AG$18</f>
        <v>0</v>
      </c>
      <c r="AH70" s="20">
        <f>$I$18*$AH$18</f>
        <v>54.041831523379194</v>
      </c>
    </row>
    <row r="71" spans="1:34" ht="11.25" customHeight="1" x14ac:dyDescent="0.25">
      <c r="A71" s="9" t="s">
        <v>22</v>
      </c>
      <c r="B71" s="9" t="s">
        <v>1317</v>
      </c>
      <c r="C71" s="9" t="s">
        <v>1318</v>
      </c>
      <c r="D71" s="9" t="s">
        <v>1319</v>
      </c>
      <c r="E71" s="9" t="s">
        <v>1320</v>
      </c>
      <c r="F71" s="9" t="s">
        <v>1321</v>
      </c>
      <c r="G71" s="9" t="s">
        <v>1324</v>
      </c>
      <c r="L71" s="20">
        <f>$I$19*$L$19</f>
        <v>1135.1527997556032</v>
      </c>
      <c r="M71" s="20">
        <f>$I$19*$M$19</f>
        <v>11671.597136355966</v>
      </c>
      <c r="N71" s="20">
        <f>$I$19*$N$19</f>
        <v>0</v>
      </c>
      <c r="O71" s="20">
        <f>$I$19*$O$19</f>
        <v>2237.7570005134335</v>
      </c>
      <c r="P71" s="20">
        <f>$I$19*$P$19</f>
        <v>-7860.6142954552297</v>
      </c>
      <c r="Q71" s="20">
        <f>$I$19*$Q$19</f>
        <v>106584.36285622261</v>
      </c>
      <c r="R71" s="20">
        <f>$I$19*$R$19</f>
        <v>0</v>
      </c>
      <c r="S71" s="20">
        <f>$I$19*$S$19</f>
        <v>0</v>
      </c>
      <c r="T71" s="20">
        <f>$I$19*$T$19</f>
        <v>0</v>
      </c>
      <c r="U71" s="20">
        <f>$I$19*$U$19</f>
        <v>-9186.9070616288263</v>
      </c>
      <c r="V71" s="20">
        <f>$I$19*$V$19</f>
        <v>2617.3735592501775</v>
      </c>
      <c r="X71" s="20">
        <f>$I$19*$X$19</f>
        <v>904.34670956657692</v>
      </c>
      <c r="Y71" s="20">
        <f>$I$19*$Y$19</f>
        <v>7769.5834248893952</v>
      </c>
      <c r="Z71" s="20">
        <f>$I$19*$Z$19</f>
        <v>0</v>
      </c>
      <c r="AA71" s="20">
        <f>$I$19*$AA$19</f>
        <v>0</v>
      </c>
      <c r="AB71" s="20">
        <f>$I$19*$AB$19</f>
        <v>0</v>
      </c>
      <c r="AC71" s="20">
        <f>$I$19*$AC$19</f>
        <v>69609.889377146814</v>
      </c>
      <c r="AD71" s="20">
        <f>$I$19*$AD$19</f>
        <v>0</v>
      </c>
      <c r="AE71" s="20">
        <f>$I$19*$AE$19</f>
        <v>0</v>
      </c>
      <c r="AF71" s="20">
        <f>$I$19*$AF$19</f>
        <v>0</v>
      </c>
      <c r="AG71" s="20">
        <f>$I$19*$AG$19</f>
        <v>0</v>
      </c>
      <c r="AH71" s="20">
        <f>$I$19*$AH$19</f>
        <v>1562.9883559758332</v>
      </c>
    </row>
    <row r="72" spans="1:34" ht="11.25" customHeight="1" x14ac:dyDescent="0.25">
      <c r="A72" s="9" t="s">
        <v>22</v>
      </c>
      <c r="B72" s="9" t="s">
        <v>1325</v>
      </c>
      <c r="C72" s="9" t="s">
        <v>1326</v>
      </c>
      <c r="D72" s="9" t="s">
        <v>1327</v>
      </c>
      <c r="E72" s="9" t="s">
        <v>1328</v>
      </c>
      <c r="F72" s="9" t="s">
        <v>1329</v>
      </c>
      <c r="G72" s="9" t="s">
        <v>1330</v>
      </c>
      <c r="L72" s="20">
        <f>$I$20*$L$20</f>
        <v>1021966.0035388764</v>
      </c>
      <c r="M72" s="20">
        <f>$I$20*$M$20</f>
        <v>10507814.880010497</v>
      </c>
      <c r="N72" s="20">
        <f>$I$20*$N$20</f>
        <v>0</v>
      </c>
      <c r="O72" s="20">
        <f>$I$20*$O$20</f>
        <v>2014628.8492599642</v>
      </c>
      <c r="P72" s="20">
        <f>$I$20*$P$20</f>
        <v>-7076827.5236747833</v>
      </c>
      <c r="Q72" s="20">
        <f>$I$20*$Q$20</f>
        <v>101714175.47808947</v>
      </c>
      <c r="R72" s="20">
        <f>$I$20*$R$20</f>
        <v>0</v>
      </c>
      <c r="S72" s="20">
        <f>$I$20*$S$20</f>
        <v>0</v>
      </c>
      <c r="T72" s="20">
        <f>$I$20*$T$20</f>
        <v>0</v>
      </c>
      <c r="U72" s="20">
        <f>$I$20*$U$20</f>
        <v>-8733986.0238636751</v>
      </c>
      <c r="V72" s="20">
        <f>$I$20*$V$20</f>
        <v>2356393.6033026776</v>
      </c>
      <c r="X72" s="20">
        <f>$I$20*$X$20</f>
        <v>814173.73307652434</v>
      </c>
      <c r="Y72" s="20">
        <f>$I$20*$Y$20</f>
        <v>6994873.3981941789</v>
      </c>
      <c r="Z72" s="20">
        <f>$I$20*$Z$20</f>
        <v>0</v>
      </c>
      <c r="AA72" s="20">
        <f>$I$20*$AA$20</f>
        <v>0</v>
      </c>
      <c r="AB72" s="20">
        <f>$I$20*$AB$20</f>
        <v>0</v>
      </c>
      <c r="AC72" s="20">
        <f>$I$20*$AC$20</f>
        <v>66429186.35887067</v>
      </c>
      <c r="AD72" s="20">
        <f>$I$20*$AD$20</f>
        <v>0</v>
      </c>
      <c r="AE72" s="20">
        <f>$I$20*$AE$20</f>
        <v>0</v>
      </c>
      <c r="AF72" s="20">
        <f>$I$20*$AF$20</f>
        <v>0</v>
      </c>
      <c r="AG72" s="20">
        <f>$I$20*$AG$20</f>
        <v>0</v>
      </c>
      <c r="AH72" s="20">
        <f>$I$20*$AH$20</f>
        <v>1407141.8086431378</v>
      </c>
    </row>
    <row r="73" spans="1:34" ht="11.25" customHeight="1" x14ac:dyDescent="0.25">
      <c r="A73" s="9" t="s">
        <v>22</v>
      </c>
      <c r="B73" s="9" t="s">
        <v>1325</v>
      </c>
      <c r="C73" s="9" t="s">
        <v>1326</v>
      </c>
      <c r="D73" s="9" t="s">
        <v>1331</v>
      </c>
      <c r="E73" s="9" t="s">
        <v>1332</v>
      </c>
      <c r="F73" s="9" t="s">
        <v>1333</v>
      </c>
      <c r="G73" s="9" t="s">
        <v>1334</v>
      </c>
      <c r="L73" s="20">
        <f>$I$21*$L$21</f>
        <v>18648.123490903679</v>
      </c>
      <c r="M73" s="20">
        <f>$I$21*$M$21</f>
        <v>191739.28371731483</v>
      </c>
      <c r="N73" s="20">
        <f>$I$21*$N$21</f>
        <v>0</v>
      </c>
      <c r="O73" s="20">
        <f>$I$21*$O$21</f>
        <v>36761.543377414149</v>
      </c>
      <c r="P73" s="20">
        <f>$I$21*$P$21</f>
        <v>-129133.0172709539</v>
      </c>
      <c r="Q73" s="20">
        <f>$I$21*$Q$21</f>
        <v>1856009.3961273383</v>
      </c>
      <c r="R73" s="20">
        <f>$I$21*$R$21</f>
        <v>0</v>
      </c>
      <c r="S73" s="20">
        <f>$I$21*$S$21</f>
        <v>0</v>
      </c>
      <c r="T73" s="20">
        <f>$I$21*$T$21</f>
        <v>0</v>
      </c>
      <c r="U73" s="20">
        <f>$I$21*$U$21</f>
        <v>-159371.6908163676</v>
      </c>
      <c r="V73" s="20">
        <f>$I$21*$V$21</f>
        <v>42997.828455545328</v>
      </c>
      <c r="X73" s="20">
        <f>$I$21*$X$21</f>
        <v>14856.474936432171</v>
      </c>
      <c r="Y73" s="20">
        <f>$I$21*$Y$21</f>
        <v>127637.57549768635</v>
      </c>
      <c r="Z73" s="20">
        <f>$I$21*$Z$21</f>
        <v>0</v>
      </c>
      <c r="AA73" s="20">
        <f>$I$21*$AA$21</f>
        <v>0</v>
      </c>
      <c r="AB73" s="20">
        <f>$I$21*$AB$21</f>
        <v>0</v>
      </c>
      <c r="AC73" s="20">
        <f>$I$21*$AC$21</f>
        <v>1212153.5024950055</v>
      </c>
      <c r="AD73" s="20">
        <f>$I$21*$AD$21</f>
        <v>0</v>
      </c>
      <c r="AE73" s="20">
        <f>$I$21*$AE$21</f>
        <v>0</v>
      </c>
      <c r="AF73" s="20">
        <f>$I$21*$AF$21</f>
        <v>0</v>
      </c>
      <c r="AG73" s="20">
        <f>$I$21*$AG$21</f>
        <v>0</v>
      </c>
      <c r="AH73" s="20">
        <f>$I$21*$AH$21</f>
        <v>25676.543178466418</v>
      </c>
    </row>
    <row r="74" spans="1:34" ht="11.25" customHeight="1" x14ac:dyDescent="0.25">
      <c r="A74" s="9" t="s">
        <v>22</v>
      </c>
      <c r="B74" s="9" t="s">
        <v>1325</v>
      </c>
      <c r="C74" s="9" t="s">
        <v>1326</v>
      </c>
      <c r="D74" s="9" t="s">
        <v>1335</v>
      </c>
      <c r="E74" s="9" t="s">
        <v>1336</v>
      </c>
      <c r="F74" s="9" t="s">
        <v>1337</v>
      </c>
      <c r="G74" s="9" t="s">
        <v>1338</v>
      </c>
      <c r="L74" s="20">
        <f>$I$22*$L$22</f>
        <v>60675.715528939865</v>
      </c>
      <c r="M74" s="20">
        <f>$I$22*$M$22</f>
        <v>623865.35783235054</v>
      </c>
      <c r="N74" s="20">
        <f>$I$22*$N$22</f>
        <v>0</v>
      </c>
      <c r="O74" s="20">
        <f>$I$22*$O$22</f>
        <v>119611.6568758669</v>
      </c>
      <c r="P74" s="20">
        <f>$I$22*$P$22</f>
        <v>-420162.28738232068</v>
      </c>
      <c r="Q74" s="20">
        <f>$I$22*$Q$22</f>
        <v>6038929.2356088199</v>
      </c>
      <c r="R74" s="20">
        <f>$I$22*$R$22</f>
        <v>0</v>
      </c>
      <c r="S74" s="20">
        <f>$I$22*$S$22</f>
        <v>0</v>
      </c>
      <c r="T74" s="20">
        <f>$I$22*$T$22</f>
        <v>0</v>
      </c>
      <c r="U74" s="20">
        <f>$I$22*$U$22</f>
        <v>-518550.37210886012</v>
      </c>
      <c r="V74" s="20">
        <f>$I$22*$V$22</f>
        <v>139902.76335328989</v>
      </c>
      <c r="X74" s="20">
        <f>$I$22*$X$22</f>
        <v>48338.764350498343</v>
      </c>
      <c r="Y74" s="20">
        <f>$I$22*$Y$22</f>
        <v>415296.54313362221</v>
      </c>
      <c r="Z74" s="20">
        <f>$I$22*$Z$22</f>
        <v>0</v>
      </c>
      <c r="AA74" s="20">
        <f>$I$22*$AA$22</f>
        <v>0</v>
      </c>
      <c r="AB74" s="20">
        <f>$I$22*$AB$22</f>
        <v>0</v>
      </c>
      <c r="AC74" s="20">
        <f>$I$22*$AC$22</f>
        <v>3944004.3997279913</v>
      </c>
      <c r="AD74" s="20">
        <f>$I$22*$AD$22</f>
        <v>0</v>
      </c>
      <c r="AE74" s="20">
        <f>$I$22*$AE$22</f>
        <v>0</v>
      </c>
      <c r="AF74" s="20">
        <f>$I$22*$AF$22</f>
        <v>0</v>
      </c>
      <c r="AG74" s="20">
        <f>$I$22*$AG$22</f>
        <v>0</v>
      </c>
      <c r="AH74" s="20">
        <f>$I$22*$AH$22</f>
        <v>83544.203813489352</v>
      </c>
    </row>
    <row r="75" spans="1:34" ht="11.25" customHeight="1" x14ac:dyDescent="0.25">
      <c r="A75" s="9" t="s">
        <v>22</v>
      </c>
      <c r="B75" s="9" t="s">
        <v>1325</v>
      </c>
      <c r="C75" s="9" t="s">
        <v>1326</v>
      </c>
      <c r="D75" s="9" t="s">
        <v>1339</v>
      </c>
      <c r="E75" s="9" t="s">
        <v>1340</v>
      </c>
      <c r="F75" s="9" t="s">
        <v>1341</v>
      </c>
      <c r="G75" s="9" t="s">
        <v>1342</v>
      </c>
      <c r="L75" s="20">
        <f>$I$23*$L$23</f>
        <v>74119.233506411721</v>
      </c>
      <c r="M75" s="20">
        <f>$I$23*$M$23</f>
        <v>762091.08917194838</v>
      </c>
      <c r="N75" s="20">
        <f>$I$23*$N$23</f>
        <v>0</v>
      </c>
      <c r="O75" s="20">
        <f>$I$23*$O$23</f>
        <v>146113.22254358383</v>
      </c>
      <c r="P75" s="20">
        <f>$I$23*$P$23</f>
        <v>-513254.87334755471</v>
      </c>
      <c r="Q75" s="20">
        <f>$I$23*$Q$23</f>
        <v>7376934.9440848203</v>
      </c>
      <c r="R75" s="20">
        <f>$I$23*$R$23</f>
        <v>0</v>
      </c>
      <c r="S75" s="20">
        <f>$I$23*$S$23</f>
        <v>0</v>
      </c>
      <c r="T75" s="20">
        <f>$I$23*$T$23</f>
        <v>0</v>
      </c>
      <c r="U75" s="20">
        <f>$I$23*$U$23</f>
        <v>-633442.15688468562</v>
      </c>
      <c r="V75" s="20">
        <f>$I$23*$V$23</f>
        <v>170900.0956112158</v>
      </c>
      <c r="X75" s="20">
        <f>$I$23*$X$23</f>
        <v>59048.86544926084</v>
      </c>
      <c r="Y75" s="20">
        <f>$I$23*$Y$23</f>
        <v>507311.05824775976</v>
      </c>
      <c r="Z75" s="20">
        <f>$I$23*$Z$23</f>
        <v>0</v>
      </c>
      <c r="AA75" s="20">
        <f>$I$23*$AA$23</f>
        <v>0</v>
      </c>
      <c r="AB75" s="20">
        <f>$I$23*$AB$23</f>
        <v>0</v>
      </c>
      <c r="AC75" s="20">
        <f>$I$23*$AC$23</f>
        <v>4817851.4337309375</v>
      </c>
      <c r="AD75" s="20">
        <f>$I$23*$AD$23</f>
        <v>0</v>
      </c>
      <c r="AE75" s="20">
        <f>$I$23*$AE$23</f>
        <v>0</v>
      </c>
      <c r="AF75" s="20">
        <f>$I$23*$AF$23</f>
        <v>0</v>
      </c>
      <c r="AG75" s="20">
        <f>$I$23*$AG$23</f>
        <v>0</v>
      </c>
      <c r="AH75" s="20">
        <f>$I$23*$AH$23</f>
        <v>102054.54186371832</v>
      </c>
    </row>
    <row r="76" spans="1:34" ht="11.25" customHeight="1" x14ac:dyDescent="0.25">
      <c r="A76" s="9" t="s">
        <v>22</v>
      </c>
      <c r="B76" s="9" t="s">
        <v>1325</v>
      </c>
      <c r="C76" s="9" t="s">
        <v>1326</v>
      </c>
      <c r="D76" s="9" t="s">
        <v>1343</v>
      </c>
      <c r="E76" s="9" t="s">
        <v>1344</v>
      </c>
      <c r="F76" s="9" t="s">
        <v>1345</v>
      </c>
      <c r="G76" s="9" t="s">
        <v>1346</v>
      </c>
      <c r="L76" s="20">
        <f>$I$24*$L$24</f>
        <v>41966.496837747582</v>
      </c>
      <c r="M76" s="20">
        <f>$I$24*$M$24</f>
        <v>431497.89563114598</v>
      </c>
      <c r="N76" s="20">
        <f>$I$24*$N$24</f>
        <v>0</v>
      </c>
      <c r="O76" s="20">
        <f>$I$24*$O$24</f>
        <v>82729.674900078127</v>
      </c>
      <c r="P76" s="20">
        <f>$I$24*$P$24</f>
        <v>-290606.20300984906</v>
      </c>
      <c r="Q76" s="20">
        <f>$I$24*$Q$24</f>
        <v>4176839.1597900772</v>
      </c>
      <c r="R76" s="20">
        <f>$I$24*$R$24</f>
        <v>0</v>
      </c>
      <c r="S76" s="20">
        <f>$I$24*$S$24</f>
        <v>0</v>
      </c>
      <c r="T76" s="20">
        <f>$I$24*$T$24</f>
        <v>0</v>
      </c>
      <c r="U76" s="20">
        <f>$I$24*$U$24</f>
        <v>-358656.54589503497</v>
      </c>
      <c r="V76" s="20">
        <f>$I$24*$V$24</f>
        <v>96764.064909257635</v>
      </c>
      <c r="X76" s="20">
        <f>$I$24*$X$24</f>
        <v>33433.616457118595</v>
      </c>
      <c r="Y76" s="20">
        <f>$I$24*$Y$24</f>
        <v>287240.79991824675</v>
      </c>
      <c r="Z76" s="20">
        <f>$I$24*$Z$24</f>
        <v>0</v>
      </c>
      <c r="AA76" s="20">
        <f>$I$24*$AA$24</f>
        <v>0</v>
      </c>
      <c r="AB76" s="20">
        <f>$I$24*$AB$24</f>
        <v>0</v>
      </c>
      <c r="AC76" s="20">
        <f>$I$24*$AC$24</f>
        <v>2727879.6257508192</v>
      </c>
      <c r="AD76" s="20">
        <f>$I$24*$AD$24</f>
        <v>0</v>
      </c>
      <c r="AE76" s="20">
        <f>$I$24*$AE$24</f>
        <v>0</v>
      </c>
      <c r="AF76" s="20">
        <f>$I$24*$AF$24</f>
        <v>0</v>
      </c>
      <c r="AG76" s="20">
        <f>$I$24*$AG$24</f>
        <v>0</v>
      </c>
      <c r="AH76" s="20">
        <f>$I$24*$AH$24</f>
        <v>57783.538843949653</v>
      </c>
    </row>
    <row r="77" spans="1:34" ht="11.25" customHeight="1" x14ac:dyDescent="0.25">
      <c r="A77" s="9" t="s">
        <v>22</v>
      </c>
      <c r="B77" s="9" t="s">
        <v>1347</v>
      </c>
      <c r="C77" s="9" t="s">
        <v>1348</v>
      </c>
      <c r="D77" s="9" t="s">
        <v>1349</v>
      </c>
      <c r="E77" s="9" t="s">
        <v>1350</v>
      </c>
      <c r="F77" s="9" t="s">
        <v>1351</v>
      </c>
      <c r="G77" s="9" t="s">
        <v>1352</v>
      </c>
      <c r="L77" s="20">
        <f>$I$25*$L$25</f>
        <v>0</v>
      </c>
      <c r="M77" s="20">
        <f>$I$25*$M$25</f>
        <v>0</v>
      </c>
      <c r="N77" s="20">
        <f>$I$25*$N$25</f>
        <v>0</v>
      </c>
      <c r="O77" s="20">
        <f>$I$25*$O$25</f>
        <v>0</v>
      </c>
      <c r="P77" s="20">
        <f>$I$25*$P$25</f>
        <v>0</v>
      </c>
      <c r="Q77" s="20">
        <f>$I$25*$Q$25</f>
        <v>0</v>
      </c>
      <c r="R77" s="20">
        <f>$I$25*$R$25</f>
        <v>0</v>
      </c>
      <c r="S77" s="20">
        <f>$I$25*$S$25</f>
        <v>0</v>
      </c>
      <c r="T77" s="20">
        <f>$I$25*$T$25</f>
        <v>0</v>
      </c>
      <c r="U77" s="20">
        <f>$I$25*$U$25</f>
        <v>0</v>
      </c>
      <c r="V77" s="20">
        <f>$I$25*$V$25</f>
        <v>0</v>
      </c>
      <c r="X77" s="20">
        <f>$I$25*$X$25</f>
        <v>0</v>
      </c>
      <c r="Y77" s="20">
        <f>$I$25*$Y$25</f>
        <v>0</v>
      </c>
      <c r="Z77" s="20">
        <f>$I$25*$Z$25</f>
        <v>0</v>
      </c>
      <c r="AA77" s="20">
        <f>$I$25*$AA$25</f>
        <v>0</v>
      </c>
      <c r="AB77" s="20">
        <f>$I$25*$AB$25</f>
        <v>0</v>
      </c>
      <c r="AC77" s="20">
        <f>$I$25*$AC$25</f>
        <v>0</v>
      </c>
      <c r="AD77" s="20">
        <f>$I$25*$AD$25</f>
        <v>0</v>
      </c>
      <c r="AE77" s="20">
        <f>$I$25*$AE$25</f>
        <v>0</v>
      </c>
      <c r="AF77" s="20">
        <f>$I$25*$AF$25</f>
        <v>0</v>
      </c>
      <c r="AG77" s="20">
        <f>$I$25*$AG$25</f>
        <v>0</v>
      </c>
      <c r="AH77" s="20">
        <f>$I$25*$AH$25</f>
        <v>0</v>
      </c>
    </row>
    <row r="78" spans="1:34" ht="11.25" customHeight="1" x14ac:dyDescent="0.25">
      <c r="A78" s="9" t="s">
        <v>22</v>
      </c>
      <c r="B78" s="9" t="s">
        <v>1347</v>
      </c>
      <c r="C78" s="9" t="s">
        <v>1348</v>
      </c>
      <c r="D78" s="9" t="s">
        <v>1353</v>
      </c>
      <c r="E78" s="9" t="s">
        <v>1354</v>
      </c>
      <c r="F78" s="9" t="s">
        <v>1355</v>
      </c>
      <c r="G78" s="9" t="s">
        <v>1356</v>
      </c>
      <c r="L78" s="20">
        <f>$I$26*$L$26</f>
        <v>0</v>
      </c>
      <c r="M78" s="20">
        <f>$I$26*$M$26</f>
        <v>0</v>
      </c>
      <c r="N78" s="20">
        <f>$I$26*$N$26</f>
        <v>0</v>
      </c>
      <c r="O78" s="20">
        <f>$I$26*$O$26</f>
        <v>0</v>
      </c>
      <c r="P78" s="20">
        <f>$I$26*$P$26</f>
        <v>0</v>
      </c>
      <c r="Q78" s="20">
        <f>$I$26*$Q$26</f>
        <v>0</v>
      </c>
      <c r="R78" s="20">
        <f>$I$26*$R$26</f>
        <v>0</v>
      </c>
      <c r="S78" s="20">
        <f>$I$26*$S$26</f>
        <v>0</v>
      </c>
      <c r="T78" s="20">
        <f>$I$26*$T$26</f>
        <v>0</v>
      </c>
      <c r="U78" s="20">
        <f>$I$26*$U$26</f>
        <v>0</v>
      </c>
      <c r="V78" s="20">
        <f>$I$26*$V$26</f>
        <v>0</v>
      </c>
      <c r="X78" s="20">
        <f>$I$26*$X$26</f>
        <v>0</v>
      </c>
      <c r="Y78" s="20">
        <f>$I$26*$Y$26</f>
        <v>0</v>
      </c>
      <c r="Z78" s="20">
        <f>$I$26*$Z$26</f>
        <v>0</v>
      </c>
      <c r="AA78" s="20">
        <f>$I$26*$AA$26</f>
        <v>0</v>
      </c>
      <c r="AB78" s="20">
        <f>$I$26*$AB$26</f>
        <v>0</v>
      </c>
      <c r="AC78" s="20">
        <f>$I$26*$AC$26</f>
        <v>0</v>
      </c>
      <c r="AD78" s="20">
        <f>$I$26*$AD$26</f>
        <v>0</v>
      </c>
      <c r="AE78" s="20">
        <f>$I$26*$AE$26</f>
        <v>0</v>
      </c>
      <c r="AF78" s="20">
        <f>$I$26*$AF$26</f>
        <v>0</v>
      </c>
      <c r="AG78" s="20">
        <f>$I$26*$AG$26</f>
        <v>0</v>
      </c>
      <c r="AH78" s="20">
        <f>$I$26*$AH$26</f>
        <v>0</v>
      </c>
    </row>
    <row r="79" spans="1:34" ht="11.25" customHeight="1" x14ac:dyDescent="0.25">
      <c r="A79" s="9" t="s">
        <v>22</v>
      </c>
      <c r="B79" s="9" t="s">
        <v>1347</v>
      </c>
      <c r="C79" s="9" t="s">
        <v>1348</v>
      </c>
      <c r="D79" s="9" t="s">
        <v>1357</v>
      </c>
      <c r="E79" s="9" t="s">
        <v>1358</v>
      </c>
      <c r="F79" s="9" t="s">
        <v>1359</v>
      </c>
      <c r="G79" s="9" t="s">
        <v>1360</v>
      </c>
      <c r="L79" s="20">
        <f>$I$27*$L$27</f>
        <v>0</v>
      </c>
      <c r="M79" s="20">
        <f>$I$27*$M$27</f>
        <v>0</v>
      </c>
      <c r="N79" s="20">
        <f>$I$27*$N$27</f>
        <v>0</v>
      </c>
      <c r="O79" s="20">
        <f>$I$27*$O$27</f>
        <v>0</v>
      </c>
      <c r="P79" s="20">
        <f>$I$27*$P$27</f>
        <v>0</v>
      </c>
      <c r="Q79" s="20">
        <f>$I$27*$Q$27</f>
        <v>0</v>
      </c>
      <c r="R79" s="20">
        <f>$I$27*$R$27</f>
        <v>0</v>
      </c>
      <c r="S79" s="20">
        <f>$I$27*$S$27</f>
        <v>0</v>
      </c>
      <c r="T79" s="20">
        <f>$I$27*$T$27</f>
        <v>0</v>
      </c>
      <c r="U79" s="20">
        <f>$I$27*$U$27</f>
        <v>0</v>
      </c>
      <c r="V79" s="20">
        <f>$I$27*$V$27</f>
        <v>0</v>
      </c>
      <c r="X79" s="20">
        <f>$I$27*$X$27</f>
        <v>0</v>
      </c>
      <c r="Y79" s="20">
        <f>$I$27*$Y$27</f>
        <v>0</v>
      </c>
      <c r="Z79" s="20">
        <f>$I$27*$Z$27</f>
        <v>0</v>
      </c>
      <c r="AA79" s="20">
        <f>$I$27*$AA$27</f>
        <v>0</v>
      </c>
      <c r="AB79" s="20">
        <f>$I$27*$AB$27</f>
        <v>0</v>
      </c>
      <c r="AC79" s="20">
        <f>$I$27*$AC$27</f>
        <v>0</v>
      </c>
      <c r="AD79" s="20">
        <f>$I$27*$AD$27</f>
        <v>0</v>
      </c>
      <c r="AE79" s="20">
        <f>$I$27*$AE$27</f>
        <v>0</v>
      </c>
      <c r="AF79" s="20">
        <f>$I$27*$AF$27</f>
        <v>0</v>
      </c>
      <c r="AG79" s="20">
        <f>$I$27*$AG$27</f>
        <v>0</v>
      </c>
      <c r="AH79" s="20">
        <f>$I$27*$AH$27</f>
        <v>0</v>
      </c>
    </row>
    <row r="80" spans="1:34" ht="11.25" customHeight="1" x14ac:dyDescent="0.25">
      <c r="A80" s="9" t="s">
        <v>22</v>
      </c>
      <c r="B80" s="9" t="s">
        <v>1347</v>
      </c>
      <c r="C80" s="9" t="s">
        <v>1348</v>
      </c>
      <c r="D80" s="9" t="s">
        <v>1361</v>
      </c>
      <c r="E80" s="9" t="s">
        <v>1362</v>
      </c>
      <c r="F80" s="9" t="s">
        <v>1363</v>
      </c>
      <c r="G80" s="9" t="s">
        <v>1364</v>
      </c>
      <c r="L80" s="20">
        <f>$I$28*$L$28</f>
        <v>0</v>
      </c>
      <c r="M80" s="20">
        <f>$I$28*$M$28</f>
        <v>0</v>
      </c>
      <c r="N80" s="20">
        <f>$I$28*$N$28</f>
        <v>0</v>
      </c>
      <c r="O80" s="20">
        <f>$I$28*$O$28</f>
        <v>0</v>
      </c>
      <c r="P80" s="20">
        <f>$I$28*$P$28</f>
        <v>0</v>
      </c>
      <c r="Q80" s="20">
        <f>$I$28*$Q$28</f>
        <v>0</v>
      </c>
      <c r="R80" s="20">
        <f>$I$28*$R$28</f>
        <v>0</v>
      </c>
      <c r="S80" s="20">
        <f>$I$28*$S$28</f>
        <v>0</v>
      </c>
      <c r="T80" s="20">
        <f>$I$28*$T$28</f>
        <v>0</v>
      </c>
      <c r="U80" s="20">
        <f>$I$28*$U$28</f>
        <v>0</v>
      </c>
      <c r="V80" s="20">
        <f>$I$28*$V$28</f>
        <v>0</v>
      </c>
      <c r="X80" s="20">
        <f>$I$28*$X$28</f>
        <v>0</v>
      </c>
      <c r="Y80" s="20">
        <f>$I$28*$Y$28</f>
        <v>0</v>
      </c>
      <c r="Z80" s="20">
        <f>$I$28*$Z$28</f>
        <v>0</v>
      </c>
      <c r="AA80" s="20">
        <f>$I$28*$AA$28</f>
        <v>0</v>
      </c>
      <c r="AB80" s="20">
        <f>$I$28*$AB$28</f>
        <v>0</v>
      </c>
      <c r="AC80" s="20">
        <f>$I$28*$AC$28</f>
        <v>0</v>
      </c>
      <c r="AD80" s="20">
        <f>$I$28*$AD$28</f>
        <v>0</v>
      </c>
      <c r="AE80" s="20">
        <f>$I$28*$AE$28</f>
        <v>0</v>
      </c>
      <c r="AF80" s="20">
        <f>$I$28*$AF$28</f>
        <v>0</v>
      </c>
      <c r="AG80" s="20">
        <f>$I$28*$AG$28</f>
        <v>0</v>
      </c>
      <c r="AH80" s="20">
        <f>$I$28*$AH$28</f>
        <v>0</v>
      </c>
    </row>
    <row r="81" spans="1:34" ht="11.25" customHeight="1" x14ac:dyDescent="0.25">
      <c r="A81" s="9" t="s">
        <v>22</v>
      </c>
      <c r="B81" s="9" t="s">
        <v>1347</v>
      </c>
      <c r="C81" s="9" t="s">
        <v>1348</v>
      </c>
      <c r="D81" s="9" t="s">
        <v>1365</v>
      </c>
      <c r="E81" s="9" t="s">
        <v>1366</v>
      </c>
      <c r="F81" s="9" t="s">
        <v>1367</v>
      </c>
      <c r="G81" s="9" t="s">
        <v>1368</v>
      </c>
      <c r="L81" s="20">
        <f>$I$29*$L$29</f>
        <v>0</v>
      </c>
      <c r="M81" s="20">
        <f>$I$29*$M$29</f>
        <v>0</v>
      </c>
      <c r="N81" s="20">
        <f>$I$29*$N$29</f>
        <v>0</v>
      </c>
      <c r="O81" s="20">
        <f>$I$29*$O$29</f>
        <v>0</v>
      </c>
      <c r="P81" s="20">
        <f>$I$29*$P$29</f>
        <v>0</v>
      </c>
      <c r="Q81" s="20">
        <f>$I$29*$Q$29</f>
        <v>0</v>
      </c>
      <c r="R81" s="20">
        <f>$I$29*$R$29</f>
        <v>0</v>
      </c>
      <c r="S81" s="20">
        <f>$I$29*$S$29</f>
        <v>0</v>
      </c>
      <c r="T81" s="20">
        <f>$I$29*$T$29</f>
        <v>0</v>
      </c>
      <c r="U81" s="20">
        <f>$I$29*$U$29</f>
        <v>0</v>
      </c>
      <c r="V81" s="20">
        <f>$I$29*$V$29</f>
        <v>0</v>
      </c>
      <c r="X81" s="20">
        <f>$I$29*$X$29</f>
        <v>0</v>
      </c>
      <c r="Y81" s="20">
        <f>$I$29*$Y$29</f>
        <v>0</v>
      </c>
      <c r="Z81" s="20">
        <f>$I$29*$Z$29</f>
        <v>0</v>
      </c>
      <c r="AA81" s="20">
        <f>$I$29*$AA$29</f>
        <v>0</v>
      </c>
      <c r="AB81" s="20">
        <f>$I$29*$AB$29</f>
        <v>0</v>
      </c>
      <c r="AC81" s="20">
        <f>$I$29*$AC$29</f>
        <v>0</v>
      </c>
      <c r="AD81" s="20">
        <f>$I$29*$AD$29</f>
        <v>0</v>
      </c>
      <c r="AE81" s="20">
        <f>$I$29*$AE$29</f>
        <v>0</v>
      </c>
      <c r="AF81" s="20">
        <f>$I$29*$AF$29</f>
        <v>0</v>
      </c>
      <c r="AG81" s="20">
        <f>$I$29*$AG$29</f>
        <v>0</v>
      </c>
      <c r="AH81" s="20">
        <f>$I$29*$AH$29</f>
        <v>0</v>
      </c>
    </row>
    <row r="82" spans="1:34" ht="11.25" customHeight="1" x14ac:dyDescent="0.25">
      <c r="A82" s="9" t="s">
        <v>46</v>
      </c>
      <c r="B82" s="9" t="s">
        <v>1369</v>
      </c>
      <c r="C82" s="9" t="s">
        <v>1370</v>
      </c>
      <c r="D82" s="9" t="s">
        <v>1371</v>
      </c>
      <c r="E82" s="9" t="s">
        <v>1372</v>
      </c>
      <c r="F82" s="9" t="s">
        <v>1373</v>
      </c>
      <c r="G82" s="9" t="s">
        <v>1374</v>
      </c>
      <c r="L82" s="20">
        <f>$I$30*$L$30</f>
        <v>7.4728492029052171</v>
      </c>
      <c r="M82" s="20">
        <f>$I$30*$M$30</f>
        <v>76.835546171252787</v>
      </c>
      <c r="N82" s="20">
        <f>$I$30*$N$30</f>
        <v>0</v>
      </c>
      <c r="O82" s="20">
        <f>$I$30*$O$30</f>
        <v>14.731427012453919</v>
      </c>
      <c r="P82" s="20">
        <f>$I$30*$P$30</f>
        <v>-51.747381748769747</v>
      </c>
      <c r="Q82" s="20">
        <f>$I$30*$Q$30</f>
        <v>1206.8514991427398</v>
      </c>
      <c r="R82" s="20">
        <f>$I$30*$R$30</f>
        <v>0</v>
      </c>
      <c r="S82" s="20">
        <f>$I$30*$S$30</f>
        <v>0</v>
      </c>
      <c r="T82" s="20">
        <f>$I$30*$T$30</f>
        <v>0</v>
      </c>
      <c r="U82" s="20">
        <f>$I$30*$U$30</f>
        <v>-101.11503046838415</v>
      </c>
      <c r="V82" s="20">
        <f>$I$30*$V$30</f>
        <v>17.230489076148128</v>
      </c>
      <c r="X82" s="20">
        <f>$I$30*$X$30</f>
        <v>5.5734187620237705</v>
      </c>
      <c r="Y82" s="20">
        <f>$I$30*$Y$30</f>
        <v>47.883341173587475</v>
      </c>
      <c r="Z82" s="20">
        <f>$I$30*$Z$30</f>
        <v>0</v>
      </c>
      <c r="AA82" s="20">
        <f>$I$30*$AA$30</f>
        <v>0</v>
      </c>
      <c r="AB82" s="20">
        <f>$I$30*$AB$30</f>
        <v>0</v>
      </c>
      <c r="AC82" s="20">
        <f>$I$30*$AC$30</f>
        <v>737.88061826446744</v>
      </c>
      <c r="AD82" s="20">
        <f>$I$30*$AD$30</f>
        <v>0</v>
      </c>
      <c r="AE82" s="20">
        <f>$I$30*$AE$30</f>
        <v>0</v>
      </c>
      <c r="AF82" s="20">
        <f>$I$30*$AF$30</f>
        <v>0</v>
      </c>
      <c r="AG82" s="20">
        <f>$I$30*$AG$30</f>
        <v>0</v>
      </c>
      <c r="AH82" s="20">
        <f>$I$30*$AH$30</f>
        <v>9.6325762408041555</v>
      </c>
    </row>
    <row r="83" spans="1:34" ht="11.25" customHeight="1" x14ac:dyDescent="0.25">
      <c r="A83" s="9" t="s">
        <v>46</v>
      </c>
      <c r="B83" s="9" t="s">
        <v>1369</v>
      </c>
      <c r="C83" s="9" t="s">
        <v>1370</v>
      </c>
      <c r="D83" s="9" t="s">
        <v>1371</v>
      </c>
      <c r="E83" s="9" t="s">
        <v>1372</v>
      </c>
      <c r="F83" s="9" t="s">
        <v>1373</v>
      </c>
      <c r="G83" s="9" t="s">
        <v>1375</v>
      </c>
      <c r="L83" s="20">
        <f>$I$31*$L$31</f>
        <v>1.190692838330659</v>
      </c>
      <c r="M83" s="20">
        <f>$I$31*$M$31</f>
        <v>12.242657662591105</v>
      </c>
      <c r="N83" s="20">
        <f>$I$31*$N$31</f>
        <v>0</v>
      </c>
      <c r="O83" s="20">
        <f>$I$31*$O$31</f>
        <v>2.3472445603880834</v>
      </c>
      <c r="P83" s="20">
        <f>$I$31*$P$31</f>
        <v>-8.2452134624459781</v>
      </c>
      <c r="Q83" s="20">
        <f>$I$31*$Q$31</f>
        <v>111.79925518244237</v>
      </c>
      <c r="R83" s="20">
        <f>$I$31*$R$31</f>
        <v>0</v>
      </c>
      <c r="S83" s="20">
        <f>$I$31*$S$31</f>
        <v>0</v>
      </c>
      <c r="T83" s="20">
        <f>$I$31*$T$31</f>
        <v>0</v>
      </c>
      <c r="U83" s="20">
        <f>$I$31*$U$31</f>
        <v>-9.6363982426382684</v>
      </c>
      <c r="V83" s="20">
        <f>$I$31*$V$31</f>
        <v>2.7454347581278831</v>
      </c>
      <c r="X83" s="20">
        <f>$I$31*$X$31</f>
        <v>0.88804545960588455</v>
      </c>
      <c r="Y83" s="20">
        <f>$I$31*$Y$31</f>
        <v>7.6295332426310347</v>
      </c>
      <c r="Z83" s="20">
        <f>$I$31*$Z$31</f>
        <v>0</v>
      </c>
      <c r="AA83" s="20">
        <f>$I$31*$AA$31</f>
        <v>0</v>
      </c>
      <c r="AB83" s="20">
        <f>$I$31*$AB$31</f>
        <v>0</v>
      </c>
      <c r="AC83" s="20">
        <f>$I$31*$AC$31</f>
        <v>68.355140292012607</v>
      </c>
      <c r="AD83" s="20">
        <f>$I$31*$AD$31</f>
        <v>0</v>
      </c>
      <c r="AE83" s="20">
        <f>$I$31*$AE$31</f>
        <v>0</v>
      </c>
      <c r="AF83" s="20">
        <f>$I$31*$AF$31</f>
        <v>0</v>
      </c>
      <c r="AG83" s="20">
        <f>$I$31*$AG$31</f>
        <v>0</v>
      </c>
      <c r="AH83" s="20">
        <f>$I$31*$AH$31</f>
        <v>1.5348147986367233</v>
      </c>
    </row>
    <row r="84" spans="1:34" ht="11.25" customHeight="1" x14ac:dyDescent="0.25">
      <c r="A84" s="9" t="s">
        <v>46</v>
      </c>
      <c r="B84" s="9" t="s">
        <v>1369</v>
      </c>
      <c r="C84" s="9" t="s">
        <v>1370</v>
      </c>
      <c r="D84" s="9" t="s">
        <v>1371</v>
      </c>
      <c r="E84" s="9" t="s">
        <v>1372</v>
      </c>
      <c r="F84" s="9" t="s">
        <v>1373</v>
      </c>
      <c r="G84" s="9" t="s">
        <v>1376</v>
      </c>
      <c r="L84" s="20">
        <f>$I$32*$L$32</f>
        <v>159.74657280908974</v>
      </c>
      <c r="M84" s="20">
        <f>$I$32*$M$32</f>
        <v>1642.5080765714324</v>
      </c>
      <c r="N84" s="20">
        <f>$I$32*$N$32</f>
        <v>0</v>
      </c>
      <c r="O84" s="20">
        <f>$I$32*$O$32</f>
        <v>314.91268108446127</v>
      </c>
      <c r="P84" s="20">
        <f>$I$32*$P$32</f>
        <v>-1106.2001469260019</v>
      </c>
      <c r="Q84" s="20">
        <f>$I$32*$Q$32</f>
        <v>14999.290566862705</v>
      </c>
      <c r="R84" s="20">
        <f>$I$32*$R$32</f>
        <v>0</v>
      </c>
      <c r="S84" s="20">
        <f>$I$32*$S$32</f>
        <v>0</v>
      </c>
      <c r="T84" s="20">
        <f>$I$32*$T$32</f>
        <v>0</v>
      </c>
      <c r="U84" s="20">
        <f>$I$32*$U$32</f>
        <v>-1292.8452611197342</v>
      </c>
      <c r="V84" s="20">
        <f>$I$32*$V$32</f>
        <v>368.33495538342044</v>
      </c>
      <c r="X84" s="20">
        <f>$I$32*$X$32</f>
        <v>119.14258161626519</v>
      </c>
      <c r="Y84" s="20">
        <f>$I$32*$Y$32</f>
        <v>1023.5988228098058</v>
      </c>
      <c r="Z84" s="20">
        <f>$I$32*$Z$32</f>
        <v>0</v>
      </c>
      <c r="AA84" s="20">
        <f>$I$32*$AA$32</f>
        <v>0</v>
      </c>
      <c r="AB84" s="20">
        <f>$I$32*$AB$32</f>
        <v>0</v>
      </c>
      <c r="AC84" s="20">
        <f>$I$32*$AC$32</f>
        <v>9170.7105678426506</v>
      </c>
      <c r="AD84" s="20">
        <f>$I$32*$AD$32</f>
        <v>0</v>
      </c>
      <c r="AE84" s="20">
        <f>$I$32*$AE$32</f>
        <v>0</v>
      </c>
      <c r="AF84" s="20">
        <f>$I$32*$AF$32</f>
        <v>0</v>
      </c>
      <c r="AG84" s="20">
        <f>$I$32*$AG$32</f>
        <v>0</v>
      </c>
      <c r="AH84" s="20">
        <f>$I$32*$AH$32</f>
        <v>205.91490608327828</v>
      </c>
    </row>
    <row r="85" spans="1:34" ht="11.25" customHeight="1" x14ac:dyDescent="0.25">
      <c r="A85" s="9" t="s">
        <v>46</v>
      </c>
      <c r="B85" s="9" t="s">
        <v>1377</v>
      </c>
      <c r="C85" s="9" t="s">
        <v>1378</v>
      </c>
      <c r="D85" s="9" t="s">
        <v>1379</v>
      </c>
      <c r="E85" s="9" t="s">
        <v>1380</v>
      </c>
      <c r="F85" s="9" t="s">
        <v>1381</v>
      </c>
      <c r="G85" s="9" t="s">
        <v>1382</v>
      </c>
      <c r="L85" s="20">
        <f>$I$33*$L$33</f>
        <v>99786.156983078457</v>
      </c>
      <c r="M85" s="20">
        <f>$I$33*$M$33</f>
        <v>1025997.402589692</v>
      </c>
      <c r="N85" s="20">
        <f>$I$33*$N$33</f>
        <v>0</v>
      </c>
      <c r="O85" s="20">
        <f>$I$33*$O$33</f>
        <v>196711.11359747505</v>
      </c>
      <c r="P85" s="20">
        <f>$I$33*$P$33</f>
        <v>-690991.10907236661</v>
      </c>
      <c r="Q85" s="20">
        <f>$I$33*$Q$33</f>
        <v>9931511.0742574949</v>
      </c>
      <c r="R85" s="20">
        <f>$I$33*$R$33</f>
        <v>0</v>
      </c>
      <c r="S85" s="20">
        <f>$I$33*$S$33</f>
        <v>0</v>
      </c>
      <c r="T85" s="20">
        <f>$I$33*$T$33</f>
        <v>0</v>
      </c>
      <c r="U85" s="20">
        <f>$I$33*$U$33</f>
        <v>-852798.32934493525</v>
      </c>
      <c r="V85" s="20">
        <f>$I$33*$V$33</f>
        <v>230081.4911639457</v>
      </c>
      <c r="X85" s="20">
        <f>$I$33*$X$33</f>
        <v>74422.756892180361</v>
      </c>
      <c r="Y85" s="20">
        <f>$I$33*$Y$33</f>
        <v>639393.95396394806</v>
      </c>
      <c r="Z85" s="20">
        <f>$I$33*$Z$33</f>
        <v>0</v>
      </c>
      <c r="AA85" s="20">
        <f>$I$33*$AA$33</f>
        <v>0</v>
      </c>
      <c r="AB85" s="20">
        <f>$I$33*$AB$33</f>
        <v>0</v>
      </c>
      <c r="AC85" s="20">
        <f>$I$33*$AC$33</f>
        <v>6072221.4265624024</v>
      </c>
      <c r="AD85" s="20">
        <f>$I$33*$AD$33</f>
        <v>0</v>
      </c>
      <c r="AE85" s="20">
        <f>$I$33*$AE$33</f>
        <v>0</v>
      </c>
      <c r="AF85" s="20">
        <f>$I$33*$AF$33</f>
        <v>0</v>
      </c>
      <c r="AG85" s="20">
        <f>$I$33*$AG$33</f>
        <v>0</v>
      </c>
      <c r="AH85" s="20">
        <f>$I$33*$AH$33</f>
        <v>128625.33938764222</v>
      </c>
    </row>
    <row r="86" spans="1:34" ht="11.25" customHeight="1" x14ac:dyDescent="0.25">
      <c r="A86" s="9" t="s">
        <v>46</v>
      </c>
      <c r="B86" s="9" t="s">
        <v>1369</v>
      </c>
      <c r="C86" s="9" t="s">
        <v>1370</v>
      </c>
      <c r="D86" s="9" t="s">
        <v>1383</v>
      </c>
      <c r="E86" s="9" t="s">
        <v>1384</v>
      </c>
      <c r="F86" s="9" t="s">
        <v>1385</v>
      </c>
      <c r="G86" s="9" t="s">
        <v>1386</v>
      </c>
      <c r="L86" s="20">
        <f>$I$34*$L$34</f>
        <v>0</v>
      </c>
      <c r="M86" s="20">
        <f>$I$34*$M$34</f>
        <v>0</v>
      </c>
      <c r="N86" s="20">
        <f>$I$34*$N$34</f>
        <v>0</v>
      </c>
      <c r="O86" s="20">
        <f>$I$34*$O$34</f>
        <v>0</v>
      </c>
      <c r="P86" s="20">
        <f>$I$34*$P$34</f>
        <v>0</v>
      </c>
      <c r="Q86" s="20">
        <f>$I$34*$Q$34</f>
        <v>0</v>
      </c>
      <c r="R86" s="20">
        <f>$I$34*$R$34</f>
        <v>0</v>
      </c>
      <c r="S86" s="20">
        <f>$I$34*$S$34</f>
        <v>0</v>
      </c>
      <c r="T86" s="20">
        <f>$I$34*$T$34</f>
        <v>0</v>
      </c>
      <c r="U86" s="20">
        <f>$I$34*$U$34</f>
        <v>0</v>
      </c>
      <c r="V86" s="20">
        <f>$I$34*$V$34</f>
        <v>0</v>
      </c>
      <c r="X86" s="20">
        <f>$I$34*$X$34</f>
        <v>0</v>
      </c>
      <c r="Y86" s="20">
        <f>$I$34*$Y$34</f>
        <v>0</v>
      </c>
      <c r="Z86" s="20">
        <f>$I$34*$Z$34</f>
        <v>0</v>
      </c>
      <c r="AA86" s="20">
        <f>$I$34*$AA$34</f>
        <v>0</v>
      </c>
      <c r="AB86" s="20">
        <f>$I$34*$AB$34</f>
        <v>0</v>
      </c>
      <c r="AC86" s="20">
        <f>$I$34*$AC$34</f>
        <v>0</v>
      </c>
      <c r="AD86" s="20">
        <f>$I$34*$AD$34</f>
        <v>0</v>
      </c>
      <c r="AE86" s="20">
        <f>$I$34*$AE$34</f>
        <v>0</v>
      </c>
      <c r="AF86" s="20">
        <f>$I$34*$AF$34</f>
        <v>0</v>
      </c>
      <c r="AG86" s="20">
        <f>$I$34*$AG$34</f>
        <v>0</v>
      </c>
      <c r="AH86" s="20">
        <f>$I$34*$AH$34</f>
        <v>0</v>
      </c>
    </row>
    <row r="87" spans="1:34" ht="11.25" customHeight="1" x14ac:dyDescent="0.25">
      <c r="A87" s="9" t="s">
        <v>46</v>
      </c>
      <c r="B87" s="9" t="s">
        <v>1369</v>
      </c>
      <c r="C87" s="9" t="s">
        <v>1370</v>
      </c>
      <c r="D87" s="9" t="s">
        <v>1383</v>
      </c>
      <c r="E87" s="9" t="s">
        <v>1384</v>
      </c>
      <c r="F87" s="9" t="s">
        <v>1385</v>
      </c>
      <c r="G87" s="9" t="s">
        <v>1387</v>
      </c>
      <c r="L87" s="20">
        <f>$I$35*$L$35</f>
        <v>0</v>
      </c>
      <c r="M87" s="20">
        <f>$I$35*$M$35</f>
        <v>0</v>
      </c>
      <c r="N87" s="20">
        <f>$I$35*$N$35</f>
        <v>0</v>
      </c>
      <c r="O87" s="20">
        <f>$I$35*$O$35</f>
        <v>0</v>
      </c>
      <c r="P87" s="20">
        <f>$I$35*$P$35</f>
        <v>0</v>
      </c>
      <c r="Q87" s="20">
        <f>$I$35*$Q$35</f>
        <v>0</v>
      </c>
      <c r="R87" s="20">
        <f>$I$35*$R$35</f>
        <v>0</v>
      </c>
      <c r="S87" s="20">
        <f>$I$35*$S$35</f>
        <v>0</v>
      </c>
      <c r="T87" s="20">
        <f>$I$35*$T$35</f>
        <v>0</v>
      </c>
      <c r="U87" s="20">
        <f>$I$35*$U$35</f>
        <v>0</v>
      </c>
      <c r="V87" s="20">
        <f>$I$35*$V$35</f>
        <v>0</v>
      </c>
      <c r="X87" s="20">
        <f>$I$35*$X$35</f>
        <v>0</v>
      </c>
      <c r="Y87" s="20">
        <f>$I$35*$Y$35</f>
        <v>0</v>
      </c>
      <c r="Z87" s="20">
        <f>$I$35*$Z$35</f>
        <v>0</v>
      </c>
      <c r="AA87" s="20">
        <f>$I$35*$AA$35</f>
        <v>0</v>
      </c>
      <c r="AB87" s="20">
        <f>$I$35*$AB$35</f>
        <v>0</v>
      </c>
      <c r="AC87" s="20">
        <f>$I$35*$AC$35</f>
        <v>0</v>
      </c>
      <c r="AD87" s="20">
        <f>$I$35*$AD$35</f>
        <v>0</v>
      </c>
      <c r="AE87" s="20">
        <f>$I$35*$AE$35</f>
        <v>0</v>
      </c>
      <c r="AF87" s="20">
        <f>$I$35*$AF$35</f>
        <v>0</v>
      </c>
      <c r="AG87" s="20">
        <f>$I$35*$AG$35</f>
        <v>0</v>
      </c>
      <c r="AH87" s="20">
        <f>$I$35*$AH$35</f>
        <v>0</v>
      </c>
    </row>
    <row r="88" spans="1:34" ht="11.25" customHeight="1" x14ac:dyDescent="0.25">
      <c r="A88" s="9" t="s">
        <v>46</v>
      </c>
      <c r="B88" s="9" t="s">
        <v>1369</v>
      </c>
      <c r="C88" s="9" t="s">
        <v>1370</v>
      </c>
      <c r="D88" s="9" t="s">
        <v>1383</v>
      </c>
      <c r="E88" s="9" t="s">
        <v>1384</v>
      </c>
      <c r="F88" s="9" t="s">
        <v>1385</v>
      </c>
      <c r="G88" s="9" t="s">
        <v>1388</v>
      </c>
      <c r="L88" s="20">
        <f>$I$36*$L$36</f>
        <v>0</v>
      </c>
      <c r="M88" s="20">
        <f>$I$36*$M$36</f>
        <v>0</v>
      </c>
      <c r="N88" s="20">
        <f>$I$36*$N$36</f>
        <v>0</v>
      </c>
      <c r="O88" s="20">
        <f>$I$36*$O$36</f>
        <v>0</v>
      </c>
      <c r="P88" s="20">
        <f>$I$36*$P$36</f>
        <v>0</v>
      </c>
      <c r="Q88" s="20">
        <f>$I$36*$Q$36</f>
        <v>0</v>
      </c>
      <c r="R88" s="20">
        <f>$I$36*$R$36</f>
        <v>0</v>
      </c>
      <c r="S88" s="20">
        <f>$I$36*$S$36</f>
        <v>0</v>
      </c>
      <c r="T88" s="20">
        <f>$I$36*$T$36</f>
        <v>0</v>
      </c>
      <c r="U88" s="20">
        <f>$I$36*$U$36</f>
        <v>0</v>
      </c>
      <c r="V88" s="20">
        <f>$I$36*$V$36</f>
        <v>0</v>
      </c>
      <c r="X88" s="20">
        <f>$I$36*$X$36</f>
        <v>0</v>
      </c>
      <c r="Y88" s="20">
        <f>$I$36*$Y$36</f>
        <v>0</v>
      </c>
      <c r="Z88" s="20">
        <f>$I$36*$Z$36</f>
        <v>0</v>
      </c>
      <c r="AA88" s="20">
        <f>$I$36*$AA$36</f>
        <v>0</v>
      </c>
      <c r="AB88" s="20">
        <f>$I$36*$AB$36</f>
        <v>0</v>
      </c>
      <c r="AC88" s="20">
        <f>$I$36*$AC$36</f>
        <v>0</v>
      </c>
      <c r="AD88" s="20">
        <f>$I$36*$AD$36</f>
        <v>0</v>
      </c>
      <c r="AE88" s="20">
        <f>$I$36*$AE$36</f>
        <v>0</v>
      </c>
      <c r="AF88" s="20">
        <f>$I$36*$AF$36</f>
        <v>0</v>
      </c>
      <c r="AG88" s="20">
        <f>$I$36*$AG$36</f>
        <v>0</v>
      </c>
      <c r="AH88" s="20">
        <f>$I$36*$AH$36</f>
        <v>0</v>
      </c>
    </row>
    <row r="89" spans="1:34" ht="11.25" customHeight="1" x14ac:dyDescent="0.25">
      <c r="A89" s="9" t="s">
        <v>46</v>
      </c>
      <c r="B89" s="9" t="s">
        <v>1377</v>
      </c>
      <c r="C89" s="9" t="s">
        <v>1378</v>
      </c>
      <c r="D89" s="9" t="s">
        <v>1389</v>
      </c>
      <c r="E89" s="9" t="s">
        <v>1390</v>
      </c>
      <c r="F89" s="9" t="s">
        <v>1391</v>
      </c>
      <c r="G89" s="9" t="s">
        <v>1392</v>
      </c>
      <c r="L89" s="20">
        <f>$I$37*$L$37</f>
        <v>0</v>
      </c>
      <c r="M89" s="20">
        <f>$I$37*$M$37</f>
        <v>0</v>
      </c>
      <c r="N89" s="20">
        <f>$I$37*$N$37</f>
        <v>0</v>
      </c>
      <c r="O89" s="20">
        <f>$I$37*$O$37</f>
        <v>0</v>
      </c>
      <c r="P89" s="20">
        <f>$I$37*$P$37</f>
        <v>0</v>
      </c>
      <c r="Q89" s="20">
        <f>$I$37*$Q$37</f>
        <v>0</v>
      </c>
      <c r="R89" s="20">
        <f>$I$37*$R$37</f>
        <v>0</v>
      </c>
      <c r="S89" s="20">
        <f>$I$37*$S$37</f>
        <v>0</v>
      </c>
      <c r="T89" s="20">
        <f>$I$37*$T$37</f>
        <v>0</v>
      </c>
      <c r="U89" s="20">
        <f>$I$37*$U$37</f>
        <v>0</v>
      </c>
      <c r="V89" s="20">
        <f>$I$37*$V$37</f>
        <v>0</v>
      </c>
      <c r="X89" s="20">
        <f>$I$37*$X$37</f>
        <v>0</v>
      </c>
      <c r="Y89" s="20">
        <f>$I$37*$Y$37</f>
        <v>0</v>
      </c>
      <c r="Z89" s="20">
        <f>$I$37*$Z$37</f>
        <v>0</v>
      </c>
      <c r="AA89" s="20">
        <f>$I$37*$AA$37</f>
        <v>0</v>
      </c>
      <c r="AB89" s="20">
        <f>$I$37*$AB$37</f>
        <v>0</v>
      </c>
      <c r="AC89" s="20">
        <f>$I$37*$AC$37</f>
        <v>0</v>
      </c>
      <c r="AD89" s="20">
        <f>$I$37*$AD$37</f>
        <v>0</v>
      </c>
      <c r="AE89" s="20">
        <f>$I$37*$AE$37</f>
        <v>0</v>
      </c>
      <c r="AF89" s="20">
        <f>$I$37*$AF$37</f>
        <v>0</v>
      </c>
      <c r="AG89" s="20">
        <f>$I$37*$AG$37</f>
        <v>0</v>
      </c>
      <c r="AH89" s="20">
        <f>$I$37*$AH$37</f>
        <v>0</v>
      </c>
    </row>
    <row r="90" spans="1:34" ht="11.25" customHeight="1" x14ac:dyDescent="0.25">
      <c r="A90" s="9" t="s">
        <v>46</v>
      </c>
      <c r="B90" s="9" t="s">
        <v>1369</v>
      </c>
      <c r="C90" s="9" t="s">
        <v>1370</v>
      </c>
      <c r="D90" s="9" t="s">
        <v>1393</v>
      </c>
      <c r="E90" s="9" t="s">
        <v>1394</v>
      </c>
      <c r="F90" s="9" t="s">
        <v>1395</v>
      </c>
      <c r="G90" s="9" t="s">
        <v>1396</v>
      </c>
      <c r="L90" s="20">
        <f>$I$38*$L$38</f>
        <v>0</v>
      </c>
      <c r="M90" s="20">
        <f>$I$38*$M$38</f>
        <v>0</v>
      </c>
      <c r="N90" s="20">
        <f>$I$38*$N$38</f>
        <v>0</v>
      </c>
      <c r="O90" s="20">
        <f>$I$38*$O$38</f>
        <v>0</v>
      </c>
      <c r="P90" s="20">
        <f>$I$38*$P$38</f>
        <v>0</v>
      </c>
      <c r="Q90" s="20">
        <f>$I$38*$Q$38</f>
        <v>0</v>
      </c>
      <c r="R90" s="20">
        <f>$I$38*$R$38</f>
        <v>0</v>
      </c>
      <c r="S90" s="20">
        <f>$I$38*$S$38</f>
        <v>0</v>
      </c>
      <c r="T90" s="20">
        <f>$I$38*$T$38</f>
        <v>0</v>
      </c>
      <c r="U90" s="20">
        <f>$I$38*$U$38</f>
        <v>0</v>
      </c>
      <c r="V90" s="20">
        <f>$I$38*$V$38</f>
        <v>0</v>
      </c>
      <c r="X90" s="20">
        <f>$I$38*$X$38</f>
        <v>0</v>
      </c>
      <c r="Y90" s="20">
        <f>$I$38*$Y$38</f>
        <v>0</v>
      </c>
      <c r="Z90" s="20">
        <f>$I$38*$Z$38</f>
        <v>0</v>
      </c>
      <c r="AA90" s="20">
        <f>$I$38*$AA$38</f>
        <v>0</v>
      </c>
      <c r="AB90" s="20">
        <f>$I$38*$AB$38</f>
        <v>0</v>
      </c>
      <c r="AC90" s="20">
        <f>$I$38*$AC$38</f>
        <v>0</v>
      </c>
      <c r="AD90" s="20">
        <f>$I$38*$AD$38</f>
        <v>0</v>
      </c>
      <c r="AE90" s="20">
        <f>$I$38*$AE$38</f>
        <v>0</v>
      </c>
      <c r="AF90" s="20">
        <f>$I$38*$AF$38</f>
        <v>0</v>
      </c>
      <c r="AG90" s="20">
        <f>$I$38*$AG$38</f>
        <v>0</v>
      </c>
      <c r="AH90" s="20">
        <f>$I$38*$AH$38</f>
        <v>0</v>
      </c>
    </row>
    <row r="91" spans="1:34" ht="11.25" customHeight="1" x14ac:dyDescent="0.25">
      <c r="A91" s="9" t="s">
        <v>46</v>
      </c>
      <c r="B91" s="9" t="s">
        <v>1369</v>
      </c>
      <c r="C91" s="9" t="s">
        <v>1370</v>
      </c>
      <c r="D91" s="9" t="s">
        <v>1393</v>
      </c>
      <c r="E91" s="9" t="s">
        <v>1394</v>
      </c>
      <c r="F91" s="9" t="s">
        <v>1395</v>
      </c>
      <c r="G91" s="9" t="s">
        <v>1397</v>
      </c>
      <c r="L91" s="20">
        <f>$I$39*$L$39</f>
        <v>0</v>
      </c>
      <c r="M91" s="20">
        <f>$I$39*$M$39</f>
        <v>0</v>
      </c>
      <c r="N91" s="20">
        <f>$I$39*$N$39</f>
        <v>0</v>
      </c>
      <c r="O91" s="20">
        <f>$I$39*$O$39</f>
        <v>0</v>
      </c>
      <c r="P91" s="20">
        <f>$I$39*$P$39</f>
        <v>0</v>
      </c>
      <c r="Q91" s="20">
        <f>$I$39*$Q$39</f>
        <v>0</v>
      </c>
      <c r="R91" s="20">
        <f>$I$39*$R$39</f>
        <v>0</v>
      </c>
      <c r="S91" s="20">
        <f>$I$39*$S$39</f>
        <v>0</v>
      </c>
      <c r="T91" s="20">
        <f>$I$39*$T$39</f>
        <v>0</v>
      </c>
      <c r="U91" s="20">
        <f>$I$39*$U$39</f>
        <v>0</v>
      </c>
      <c r="V91" s="20">
        <f>$I$39*$V$39</f>
        <v>0</v>
      </c>
      <c r="X91" s="20">
        <f>$I$39*$X$39</f>
        <v>0</v>
      </c>
      <c r="Y91" s="20">
        <f>$I$39*$Y$39</f>
        <v>0</v>
      </c>
      <c r="Z91" s="20">
        <f>$I$39*$Z$39</f>
        <v>0</v>
      </c>
      <c r="AA91" s="20">
        <f>$I$39*$AA$39</f>
        <v>0</v>
      </c>
      <c r="AB91" s="20">
        <f>$I$39*$AB$39</f>
        <v>0</v>
      </c>
      <c r="AC91" s="20">
        <f>$I$39*$AC$39</f>
        <v>0</v>
      </c>
      <c r="AD91" s="20">
        <f>$I$39*$AD$39</f>
        <v>0</v>
      </c>
      <c r="AE91" s="20">
        <f>$I$39*$AE$39</f>
        <v>0</v>
      </c>
      <c r="AF91" s="20">
        <f>$I$39*$AF$39</f>
        <v>0</v>
      </c>
      <c r="AG91" s="20">
        <f>$I$39*$AG$39</f>
        <v>0</v>
      </c>
      <c r="AH91" s="20">
        <f>$I$39*$AH$39</f>
        <v>0</v>
      </c>
    </row>
    <row r="92" spans="1:34" ht="11.25" customHeight="1" x14ac:dyDescent="0.25">
      <c r="A92" s="9" t="s">
        <v>46</v>
      </c>
      <c r="B92" s="9" t="s">
        <v>1369</v>
      </c>
      <c r="C92" s="9" t="s">
        <v>1370</v>
      </c>
      <c r="D92" s="9" t="s">
        <v>1393</v>
      </c>
      <c r="E92" s="9" t="s">
        <v>1394</v>
      </c>
      <c r="F92" s="9" t="s">
        <v>1395</v>
      </c>
      <c r="G92" s="9" t="s">
        <v>1398</v>
      </c>
      <c r="L92" s="20">
        <f>$I$40*$L$40</f>
        <v>0</v>
      </c>
      <c r="M92" s="20">
        <f>$I$40*$M$40</f>
        <v>0</v>
      </c>
      <c r="N92" s="20">
        <f>$I$40*$N$40</f>
        <v>0</v>
      </c>
      <c r="O92" s="20">
        <f>$I$40*$O$40</f>
        <v>0</v>
      </c>
      <c r="P92" s="20">
        <f>$I$40*$P$40</f>
        <v>0</v>
      </c>
      <c r="Q92" s="20">
        <f>$I$40*$Q$40</f>
        <v>0</v>
      </c>
      <c r="R92" s="20">
        <f>$I$40*$R$40</f>
        <v>0</v>
      </c>
      <c r="S92" s="20">
        <f>$I$40*$S$40</f>
        <v>0</v>
      </c>
      <c r="T92" s="20">
        <f>$I$40*$T$40</f>
        <v>0</v>
      </c>
      <c r="U92" s="20">
        <f>$I$40*$U$40</f>
        <v>0</v>
      </c>
      <c r="V92" s="20">
        <f>$I$40*$V$40</f>
        <v>0</v>
      </c>
      <c r="X92" s="20">
        <f>$I$40*$X$40</f>
        <v>0</v>
      </c>
      <c r="Y92" s="20">
        <f>$I$40*$Y$40</f>
        <v>0</v>
      </c>
      <c r="Z92" s="20">
        <f>$I$40*$Z$40</f>
        <v>0</v>
      </c>
      <c r="AA92" s="20">
        <f>$I$40*$AA$40</f>
        <v>0</v>
      </c>
      <c r="AB92" s="20">
        <f>$I$40*$AB$40</f>
        <v>0</v>
      </c>
      <c r="AC92" s="20">
        <f>$I$40*$AC$40</f>
        <v>0</v>
      </c>
      <c r="AD92" s="20">
        <f>$I$40*$AD$40</f>
        <v>0</v>
      </c>
      <c r="AE92" s="20">
        <f>$I$40*$AE$40</f>
        <v>0</v>
      </c>
      <c r="AF92" s="20">
        <f>$I$40*$AF$40</f>
        <v>0</v>
      </c>
      <c r="AG92" s="20">
        <f>$I$40*$AG$40</f>
        <v>0</v>
      </c>
      <c r="AH92" s="20">
        <f>$I$40*$AH$40</f>
        <v>0</v>
      </c>
    </row>
    <row r="93" spans="1:34" ht="11.25" customHeight="1" x14ac:dyDescent="0.25">
      <c r="A93" s="9" t="s">
        <v>46</v>
      </c>
      <c r="B93" s="9" t="s">
        <v>1377</v>
      </c>
      <c r="C93" s="9" t="s">
        <v>1378</v>
      </c>
      <c r="D93" s="9" t="s">
        <v>1399</v>
      </c>
      <c r="E93" s="9" t="s">
        <v>1400</v>
      </c>
      <c r="F93" s="9" t="s">
        <v>1401</v>
      </c>
      <c r="G93" s="9" t="s">
        <v>1402</v>
      </c>
      <c r="L93" s="20">
        <f>$I$41*$L$41</f>
        <v>0</v>
      </c>
      <c r="M93" s="20">
        <f>$I$41*$M$41</f>
        <v>0</v>
      </c>
      <c r="N93" s="20">
        <f>$I$41*$N$41</f>
        <v>0</v>
      </c>
      <c r="O93" s="20">
        <f>$I$41*$O$41</f>
        <v>0</v>
      </c>
      <c r="P93" s="20">
        <f>$I$41*$P$41</f>
        <v>0</v>
      </c>
      <c r="Q93" s="20">
        <f>$I$41*$Q$41</f>
        <v>0</v>
      </c>
      <c r="R93" s="20">
        <f>$I$41*$R$41</f>
        <v>0</v>
      </c>
      <c r="S93" s="20">
        <f>$I$41*$S$41</f>
        <v>0</v>
      </c>
      <c r="T93" s="20">
        <f>$I$41*$T$41</f>
        <v>0</v>
      </c>
      <c r="U93" s="20">
        <f>$I$41*$U$41</f>
        <v>0</v>
      </c>
      <c r="V93" s="20">
        <f>$I$41*$V$41</f>
        <v>0</v>
      </c>
      <c r="X93" s="20">
        <f>$I$41*$X$41</f>
        <v>0</v>
      </c>
      <c r="Y93" s="20">
        <f>$I$41*$Y$41</f>
        <v>0</v>
      </c>
      <c r="Z93" s="20">
        <f>$I$41*$Z$41</f>
        <v>0</v>
      </c>
      <c r="AA93" s="20">
        <f>$I$41*$AA$41</f>
        <v>0</v>
      </c>
      <c r="AB93" s="20">
        <f>$I$41*$AB$41</f>
        <v>0</v>
      </c>
      <c r="AC93" s="20">
        <f>$I$41*$AC$41</f>
        <v>0</v>
      </c>
      <c r="AD93" s="20">
        <f>$I$41*$AD$41</f>
        <v>0</v>
      </c>
      <c r="AE93" s="20">
        <f>$I$41*$AE$41</f>
        <v>0</v>
      </c>
      <c r="AF93" s="20">
        <f>$I$41*$AF$41</f>
        <v>0</v>
      </c>
      <c r="AG93" s="20">
        <f>$I$41*$AG$41</f>
        <v>0</v>
      </c>
      <c r="AH93" s="20">
        <f>$I$41*$AH$41</f>
        <v>0</v>
      </c>
    </row>
    <row r="94" spans="1:34" ht="11.25" customHeight="1" x14ac:dyDescent="0.25">
      <c r="A94" s="9" t="s">
        <v>46</v>
      </c>
      <c r="B94" s="9" t="s">
        <v>1403</v>
      </c>
      <c r="C94" s="9" t="s">
        <v>1404</v>
      </c>
      <c r="D94" s="9" t="s">
        <v>1405</v>
      </c>
      <c r="E94" s="9" t="s">
        <v>1406</v>
      </c>
      <c r="F94" s="9" t="s">
        <v>1407</v>
      </c>
      <c r="G94" s="9" t="s">
        <v>1408</v>
      </c>
      <c r="L94" s="20">
        <f>$I$42*$L$42</f>
        <v>0</v>
      </c>
      <c r="M94" s="20">
        <f>$I$42*$M$42</f>
        <v>0</v>
      </c>
      <c r="N94" s="20">
        <f>$I$42*$N$42</f>
        <v>0</v>
      </c>
      <c r="O94" s="20">
        <f>$I$42*$O$42</f>
        <v>0</v>
      </c>
      <c r="P94" s="20">
        <f>$I$42*$P$42</f>
        <v>0</v>
      </c>
      <c r="Q94" s="20">
        <f>$I$42*$Q$42</f>
        <v>0</v>
      </c>
      <c r="R94" s="20">
        <f>$I$42*$R$42</f>
        <v>0</v>
      </c>
      <c r="S94" s="20">
        <f>$I$42*$S$42</f>
        <v>0</v>
      </c>
      <c r="T94" s="20">
        <f>$I$42*$T$42</f>
        <v>0</v>
      </c>
      <c r="U94" s="20">
        <f>$I$42*$U$42</f>
        <v>0</v>
      </c>
      <c r="V94" s="20">
        <f>$I$42*$V$42</f>
        <v>0</v>
      </c>
      <c r="X94" s="20">
        <f>$I$42*$X$42</f>
        <v>0</v>
      </c>
      <c r="Y94" s="20">
        <f>$I$42*$Y$42</f>
        <v>0</v>
      </c>
      <c r="Z94" s="20">
        <f>$I$42*$Z$42</f>
        <v>0</v>
      </c>
      <c r="AA94" s="20">
        <f>$I$42*$AA$42</f>
        <v>0</v>
      </c>
      <c r="AB94" s="20">
        <f>$I$42*$AB$42</f>
        <v>0</v>
      </c>
      <c r="AC94" s="20">
        <f>$I$42*$AC$42</f>
        <v>0</v>
      </c>
      <c r="AD94" s="20">
        <f>$I$42*$AD$42</f>
        <v>0</v>
      </c>
      <c r="AE94" s="20">
        <f>$I$42*$AE$42</f>
        <v>0</v>
      </c>
      <c r="AF94" s="20">
        <f>$I$42*$AF$42</f>
        <v>0</v>
      </c>
      <c r="AG94" s="20">
        <f>$I$42*$AG$42</f>
        <v>0</v>
      </c>
      <c r="AH94" s="20">
        <f>$I$42*$AH$42</f>
        <v>0</v>
      </c>
    </row>
    <row r="95" spans="1:34" ht="11.25" customHeight="1" x14ac:dyDescent="0.25">
      <c r="A95" s="9" t="s">
        <v>46</v>
      </c>
      <c r="B95" s="9" t="s">
        <v>1403</v>
      </c>
      <c r="C95" s="9" t="s">
        <v>1404</v>
      </c>
      <c r="D95" s="9" t="s">
        <v>1409</v>
      </c>
      <c r="E95" s="9" t="s">
        <v>1410</v>
      </c>
      <c r="F95" s="9" t="s">
        <v>1411</v>
      </c>
      <c r="G95" s="9" t="s">
        <v>1412</v>
      </c>
      <c r="L95" s="20">
        <f>$I$43*$L$43</f>
        <v>0</v>
      </c>
      <c r="M95" s="20">
        <f>$I$43*$M$43</f>
        <v>0</v>
      </c>
      <c r="N95" s="20">
        <f>$I$43*$N$43</f>
        <v>0</v>
      </c>
      <c r="O95" s="20">
        <f>$I$43*$O$43</f>
        <v>0</v>
      </c>
      <c r="P95" s="20">
        <f>$I$43*$P$43</f>
        <v>0</v>
      </c>
      <c r="Q95" s="20">
        <f>$I$43*$Q$43</f>
        <v>0</v>
      </c>
      <c r="R95" s="20">
        <f>$I$43*$R$43</f>
        <v>0</v>
      </c>
      <c r="S95" s="20">
        <f>$I$43*$S$43</f>
        <v>0</v>
      </c>
      <c r="T95" s="20">
        <f>$I$43*$T$43</f>
        <v>0</v>
      </c>
      <c r="U95" s="20">
        <f>$I$43*$U$43</f>
        <v>0</v>
      </c>
      <c r="V95" s="20">
        <f>$I$43*$V$43</f>
        <v>0</v>
      </c>
      <c r="X95" s="20">
        <f>$I$43*$X$43</f>
        <v>0</v>
      </c>
      <c r="Y95" s="20">
        <f>$I$43*$Y$43</f>
        <v>0</v>
      </c>
      <c r="Z95" s="20">
        <f>$I$43*$Z$43</f>
        <v>0</v>
      </c>
      <c r="AA95" s="20">
        <f>$I$43*$AA$43</f>
        <v>0</v>
      </c>
      <c r="AB95" s="20">
        <f>$I$43*$AB$43</f>
        <v>0</v>
      </c>
      <c r="AC95" s="20">
        <f>$I$43*$AC$43</f>
        <v>0</v>
      </c>
      <c r="AD95" s="20">
        <f>$I$43*$AD$43</f>
        <v>0</v>
      </c>
      <c r="AE95" s="20">
        <f>$I$43*$AE$43</f>
        <v>0</v>
      </c>
      <c r="AF95" s="20">
        <f>$I$43*$AF$43</f>
        <v>0</v>
      </c>
      <c r="AG95" s="20">
        <f>$I$43*$AG$43</f>
        <v>0</v>
      </c>
      <c r="AH95" s="20">
        <f>$I$43*$AH$43</f>
        <v>0</v>
      </c>
    </row>
    <row r="96" spans="1:34" ht="11.25" customHeight="1" x14ac:dyDescent="0.25">
      <c r="A96" s="9" t="s">
        <v>46</v>
      </c>
      <c r="B96" s="9" t="s">
        <v>1403</v>
      </c>
      <c r="C96" s="9" t="s">
        <v>1404</v>
      </c>
      <c r="D96" s="9" t="s">
        <v>1413</v>
      </c>
      <c r="E96" s="9" t="s">
        <v>1414</v>
      </c>
      <c r="F96" s="9" t="s">
        <v>1415</v>
      </c>
      <c r="G96" s="9" t="s">
        <v>1416</v>
      </c>
      <c r="L96" s="20">
        <f>$I$44*$L$44</f>
        <v>0</v>
      </c>
      <c r="M96" s="20">
        <f>$I$44*$M$44</f>
        <v>0</v>
      </c>
      <c r="N96" s="20">
        <f>$I$44*$N$44</f>
        <v>0</v>
      </c>
      <c r="O96" s="20">
        <f>$I$44*$O$44</f>
        <v>0</v>
      </c>
      <c r="P96" s="20">
        <f>$I$44*$P$44</f>
        <v>0</v>
      </c>
      <c r="Q96" s="20">
        <f>$I$44*$Q$44</f>
        <v>0</v>
      </c>
      <c r="R96" s="20">
        <f>$I$44*$R$44</f>
        <v>0</v>
      </c>
      <c r="S96" s="20">
        <f>$I$44*$S$44</f>
        <v>0</v>
      </c>
      <c r="T96" s="20">
        <f>$I$44*$T$44</f>
        <v>0</v>
      </c>
      <c r="U96" s="20">
        <f>$I$44*$U$44</f>
        <v>0</v>
      </c>
      <c r="V96" s="20">
        <f>$I$44*$V$44</f>
        <v>0</v>
      </c>
      <c r="X96" s="20">
        <f>$I$44*$X$44</f>
        <v>0</v>
      </c>
      <c r="Y96" s="20">
        <f>$I$44*$Y$44</f>
        <v>0</v>
      </c>
      <c r="Z96" s="20">
        <f>$I$44*$Z$44</f>
        <v>0</v>
      </c>
      <c r="AA96" s="20">
        <f>$I$44*$AA$44</f>
        <v>0</v>
      </c>
      <c r="AB96" s="20">
        <f>$I$44*$AB$44</f>
        <v>0</v>
      </c>
      <c r="AC96" s="20">
        <f>$I$44*$AC$44</f>
        <v>0</v>
      </c>
      <c r="AD96" s="20">
        <f>$I$44*$AD$44</f>
        <v>0</v>
      </c>
      <c r="AE96" s="20">
        <f>$I$44*$AE$44</f>
        <v>0</v>
      </c>
      <c r="AF96" s="20">
        <f>$I$44*$AF$44</f>
        <v>0</v>
      </c>
      <c r="AG96" s="20">
        <f>$I$44*$AG$44</f>
        <v>0</v>
      </c>
      <c r="AH96" s="20">
        <f>$I$44*$AH$44</f>
        <v>0</v>
      </c>
    </row>
    <row r="97" spans="1:34" ht="11.25" customHeight="1" x14ac:dyDescent="0.25">
      <c r="A97" s="9" t="s">
        <v>39</v>
      </c>
      <c r="B97" s="9" t="s">
        <v>1417</v>
      </c>
      <c r="C97" s="9" t="s">
        <v>1418</v>
      </c>
      <c r="D97" s="9" t="s">
        <v>1419</v>
      </c>
      <c r="E97" s="9" t="s">
        <v>1420</v>
      </c>
      <c r="F97" s="9" t="s">
        <v>1421</v>
      </c>
      <c r="G97" s="9" t="s">
        <v>1422</v>
      </c>
      <c r="L97" s="20">
        <f>$I$45*$L$45</f>
        <v>185.18517948668654</v>
      </c>
      <c r="M97" s="20">
        <f>$I$45*$M$45</f>
        <v>1904.0668455010855</v>
      </c>
      <c r="N97" s="20">
        <f>$I$45*$N$45</f>
        <v>0</v>
      </c>
      <c r="O97" s="20">
        <f>$I$45*$O$45</f>
        <v>365.06048514075741</v>
      </c>
      <c r="P97" s="20">
        <f>$I$45*$P$45</f>
        <v>-1282.3553529471051</v>
      </c>
      <c r="Q97" s="20">
        <f>$I$45*$Q$45</f>
        <v>29907.068296739944</v>
      </c>
      <c r="R97" s="20">
        <f>$I$45*$R$45</f>
        <v>0</v>
      </c>
      <c r="S97" s="20">
        <f>$I$45*$S$45</f>
        <v>0</v>
      </c>
      <c r="T97" s="20">
        <f>$I$45*$T$45</f>
        <v>0</v>
      </c>
      <c r="U97" s="20">
        <f>$I$45*$U$45</f>
        <v>-2505.7383813940446</v>
      </c>
      <c r="V97" s="20">
        <f>$I$45*$V$45</f>
        <v>426.98991048412756</v>
      </c>
      <c r="X97" s="20">
        <f>$I$45*$X$45</f>
        <v>147.53221572050685</v>
      </c>
      <c r="Y97" s="20">
        <f>$I$45*$Y$45</f>
        <v>1267.5048692869382</v>
      </c>
      <c r="Z97" s="20">
        <f>$I$45*$Z$45</f>
        <v>0</v>
      </c>
      <c r="AA97" s="20">
        <f>$I$45*$AA$45</f>
        <v>0</v>
      </c>
      <c r="AB97" s="20">
        <f>$I$45*$AB$45</f>
        <v>0</v>
      </c>
      <c r="AC97" s="20">
        <f>$I$45*$AC$45</f>
        <v>19532.205850300248</v>
      </c>
      <c r="AD97" s="20">
        <f>$I$45*$AD$45</f>
        <v>0</v>
      </c>
      <c r="AE97" s="20">
        <f>$I$45*$AE$45</f>
        <v>0</v>
      </c>
      <c r="AF97" s="20">
        <f>$I$45*$AF$45</f>
        <v>0</v>
      </c>
      <c r="AG97" s="20">
        <f>$I$45*$AG$45</f>
        <v>0</v>
      </c>
      <c r="AH97" s="20">
        <f>$I$45*$AH$45</f>
        <v>254.98089710856752</v>
      </c>
    </row>
    <row r="98" spans="1:34" ht="11.25" customHeight="1" x14ac:dyDescent="0.25">
      <c r="A98" s="9" t="s">
        <v>39</v>
      </c>
      <c r="B98" s="9" t="s">
        <v>1417</v>
      </c>
      <c r="C98" s="9" t="s">
        <v>1418</v>
      </c>
      <c r="D98" s="9" t="s">
        <v>1419</v>
      </c>
      <c r="E98" s="9" t="s">
        <v>1420</v>
      </c>
      <c r="F98" s="9" t="s">
        <v>1421</v>
      </c>
      <c r="G98" s="9" t="s">
        <v>1423</v>
      </c>
      <c r="L98" s="20">
        <f>$I$46*$L$46</f>
        <v>96.55593097171257</v>
      </c>
      <c r="M98" s="20">
        <f>$I$46*$M$46</f>
        <v>992.78434380839144</v>
      </c>
      <c r="N98" s="20">
        <f>$I$46*$N$46</f>
        <v>0</v>
      </c>
      <c r="O98" s="20">
        <f>$I$46*$O$46</f>
        <v>190.3432828774778</v>
      </c>
      <c r="P98" s="20">
        <f>$I$46*$P$46</f>
        <v>-668.62270125276666</v>
      </c>
      <c r="Q98" s="20">
        <f>$I$46*$Q$46</f>
        <v>9066.0503016202838</v>
      </c>
      <c r="R98" s="20">
        <f>$I$46*$R$46</f>
        <v>0</v>
      </c>
      <c r="S98" s="20">
        <f>$I$46*$S$46</f>
        <v>0</v>
      </c>
      <c r="T98" s="20">
        <f>$I$46*$T$46</f>
        <v>0</v>
      </c>
      <c r="U98" s="20">
        <f>$I$46*$U$46</f>
        <v>-781.43696978693299</v>
      </c>
      <c r="V98" s="20">
        <f>$I$46*$V$46</f>
        <v>222.63341179139647</v>
      </c>
      <c r="X98" s="20">
        <f>$I$46*$X$46</f>
        <v>76.923598728035287</v>
      </c>
      <c r="Y98" s="20">
        <f>$I$46*$Y$46</f>
        <v>660.87962872848448</v>
      </c>
      <c r="Z98" s="20">
        <f>$I$46*$Z$46</f>
        <v>0</v>
      </c>
      <c r="AA98" s="20">
        <f>$I$46*$AA$46</f>
        <v>0</v>
      </c>
      <c r="AB98" s="20">
        <f>$I$46*$AB$46</f>
        <v>0</v>
      </c>
      <c r="AC98" s="20">
        <f>$I$46*$AC$46</f>
        <v>5921.0070001989261</v>
      </c>
      <c r="AD98" s="20">
        <f>$I$46*$AD$46</f>
        <v>0</v>
      </c>
      <c r="AE98" s="20">
        <f>$I$46*$AE$46</f>
        <v>0</v>
      </c>
      <c r="AF98" s="20">
        <f>$I$46*$AF$46</f>
        <v>0</v>
      </c>
      <c r="AG98" s="20">
        <f>$I$46*$AG$46</f>
        <v>0</v>
      </c>
      <c r="AH98" s="20">
        <f>$I$46*$AH$46</f>
        <v>132.94756075277709</v>
      </c>
    </row>
    <row r="99" spans="1:34" ht="11.25" customHeight="1" x14ac:dyDescent="0.25">
      <c r="A99" s="9" t="s">
        <v>39</v>
      </c>
      <c r="B99" s="9" t="s">
        <v>1417</v>
      </c>
      <c r="C99" s="9" t="s">
        <v>1418</v>
      </c>
      <c r="D99" s="9" t="s">
        <v>1419</v>
      </c>
      <c r="E99" s="9" t="s">
        <v>1420</v>
      </c>
      <c r="F99" s="9" t="s">
        <v>1421</v>
      </c>
      <c r="G99" s="9" t="s">
        <v>1424</v>
      </c>
      <c r="L99" s="20">
        <f>$I$47*$L$47</f>
        <v>3099.0364294382898</v>
      </c>
      <c r="M99" s="20">
        <f>$I$47*$M$47</f>
        <v>31864.172579305861</v>
      </c>
      <c r="N99" s="20">
        <f>$I$47*$N$47</f>
        <v>0</v>
      </c>
      <c r="O99" s="20">
        <f>$I$47*$O$47</f>
        <v>6109.213196950016</v>
      </c>
      <c r="P99" s="20">
        <f>$I$47*$P$47</f>
        <v>-21459.956813412169</v>
      </c>
      <c r="Q99" s="20">
        <f>$I$47*$Q$47</f>
        <v>290981.81616696739</v>
      </c>
      <c r="R99" s="20">
        <f>$I$47*$R$47</f>
        <v>0</v>
      </c>
      <c r="S99" s="20">
        <f>$I$47*$S$47</f>
        <v>0</v>
      </c>
      <c r="T99" s="20">
        <f>$I$47*$T$47</f>
        <v>0</v>
      </c>
      <c r="U99" s="20">
        <f>$I$47*$U$47</f>
        <v>-25080.81701774535</v>
      </c>
      <c r="V99" s="20">
        <f>$I$47*$V$47</f>
        <v>7145.5895728850064</v>
      </c>
      <c r="X99" s="20">
        <f>$I$47*$X$47</f>
        <v>2468.921715554829</v>
      </c>
      <c r="Y99" s="20">
        <f>$I$47*$Y$47</f>
        <v>21211.436980533512</v>
      </c>
      <c r="Z99" s="20">
        <f>$I$47*$Z$47</f>
        <v>0</v>
      </c>
      <c r="AA99" s="20">
        <f>$I$47*$AA$47</f>
        <v>0</v>
      </c>
      <c r="AB99" s="20">
        <f>$I$47*$AB$47</f>
        <v>0</v>
      </c>
      <c r="AC99" s="20">
        <f>$I$47*$AC$47</f>
        <v>190039.24676518652</v>
      </c>
      <c r="AD99" s="20">
        <f>$I$47*$AD$47</f>
        <v>0</v>
      </c>
      <c r="AE99" s="20">
        <f>$I$47*$AE$47</f>
        <v>0</v>
      </c>
      <c r="AF99" s="20">
        <f>$I$47*$AF$47</f>
        <v>0</v>
      </c>
      <c r="AG99" s="20">
        <f>$I$47*$AG$47</f>
        <v>0</v>
      </c>
      <c r="AH99" s="20">
        <f>$I$47*$AH$47</f>
        <v>4267.053611636974</v>
      </c>
    </row>
    <row r="100" spans="1:34" ht="11.25" customHeight="1" x14ac:dyDescent="0.25">
      <c r="A100" s="9" t="s">
        <v>39</v>
      </c>
      <c r="B100" s="9" t="s">
        <v>1425</v>
      </c>
      <c r="C100" s="9" t="s">
        <v>1426</v>
      </c>
      <c r="D100" s="9" t="s">
        <v>1427</v>
      </c>
      <c r="E100" s="9" t="s">
        <v>1428</v>
      </c>
      <c r="F100" s="9" t="s">
        <v>1429</v>
      </c>
      <c r="G100" s="9" t="s">
        <v>1430</v>
      </c>
      <c r="L100" s="20">
        <f>$I$48*$L$48</f>
        <v>485525.33214998228</v>
      </c>
      <c r="M100" s="20">
        <f>$I$48*$M$48</f>
        <v>4992152.6666454766</v>
      </c>
      <c r="N100" s="20">
        <f>$I$48*$N$48</f>
        <v>0</v>
      </c>
      <c r="O100" s="20">
        <f>$I$48*$O$48</f>
        <v>957129.04128779168</v>
      </c>
      <c r="P100" s="20">
        <f>$I$48*$P$48</f>
        <v>-3362126.5502983322</v>
      </c>
      <c r="Q100" s="20">
        <f>$I$48*$Q$48</f>
        <v>48323338.21511738</v>
      </c>
      <c r="R100" s="20">
        <f>$I$48*$R$48</f>
        <v>0</v>
      </c>
      <c r="S100" s="20">
        <f>$I$48*$S$48</f>
        <v>0</v>
      </c>
      <c r="T100" s="20">
        <f>$I$48*$T$48</f>
        <v>0</v>
      </c>
      <c r="U100" s="20">
        <f>$I$48*$U$48</f>
        <v>-4149425.1771051204</v>
      </c>
      <c r="V100" s="20">
        <f>$I$48*$V$48</f>
        <v>1119497.892256554</v>
      </c>
      <c r="X100" s="20">
        <f>$I$48*$X$48</f>
        <v>386805.40332155273</v>
      </c>
      <c r="Y100" s="20">
        <f>$I$48*$Y$48</f>
        <v>3323191.0046370835</v>
      </c>
      <c r="Z100" s="20">
        <f>$I$48*$Z$48</f>
        <v>0</v>
      </c>
      <c r="AA100" s="20">
        <f>$I$48*$AA$48</f>
        <v>0</v>
      </c>
      <c r="AB100" s="20">
        <f>$I$48*$AB$48</f>
        <v>0</v>
      </c>
      <c r="AC100" s="20">
        <f>$I$48*$AC$48</f>
        <v>31559809.875922963</v>
      </c>
      <c r="AD100" s="20">
        <f>$I$48*$AD$48</f>
        <v>0</v>
      </c>
      <c r="AE100" s="20">
        <f>$I$48*$AE$48</f>
        <v>0</v>
      </c>
      <c r="AF100" s="20">
        <f>$I$48*$AF$48</f>
        <v>0</v>
      </c>
      <c r="AG100" s="20">
        <f>$I$48*$AG$48</f>
        <v>0</v>
      </c>
      <c r="AH100" s="20">
        <f>$I$48*$AH$48</f>
        <v>668518.31827847753</v>
      </c>
    </row>
    <row r="101" spans="1:34" ht="11.25" customHeight="1" x14ac:dyDescent="0.25">
      <c r="A101" s="9" t="s">
        <v>39</v>
      </c>
      <c r="B101" s="9" t="s">
        <v>1431</v>
      </c>
      <c r="C101" s="9" t="s">
        <v>1432</v>
      </c>
      <c r="D101" s="9" t="s">
        <v>1433</v>
      </c>
      <c r="E101" s="9" t="s">
        <v>1434</v>
      </c>
      <c r="F101" s="9" t="s">
        <v>1435</v>
      </c>
      <c r="G101" s="9" t="s">
        <v>1436</v>
      </c>
      <c r="L101" s="20">
        <f>$I$49*$L$49</f>
        <v>0</v>
      </c>
      <c r="M101" s="20">
        <f>$I$49*$M$49</f>
        <v>0</v>
      </c>
      <c r="N101" s="20">
        <f>$I$49*$N$49</f>
        <v>0</v>
      </c>
      <c r="O101" s="20">
        <f>$I$49*$O$49</f>
        <v>0</v>
      </c>
      <c r="P101" s="20">
        <f>$I$49*$P$49</f>
        <v>0</v>
      </c>
      <c r="Q101" s="20">
        <f>$I$49*$Q$49</f>
        <v>0</v>
      </c>
      <c r="R101" s="20">
        <f>$I$49*$R$49</f>
        <v>0</v>
      </c>
      <c r="S101" s="20">
        <f>$I$49*$S$49</f>
        <v>0</v>
      </c>
      <c r="T101" s="20">
        <f>$I$49*$T$49</f>
        <v>0</v>
      </c>
      <c r="U101" s="20">
        <f>$I$49*$U$49</f>
        <v>0</v>
      </c>
      <c r="V101" s="20">
        <f>$I$49*$V$49</f>
        <v>0</v>
      </c>
      <c r="X101" s="20">
        <f>$I$49*$X$49</f>
        <v>0</v>
      </c>
      <c r="Y101" s="20">
        <f>$I$49*$Y$49</f>
        <v>0</v>
      </c>
      <c r="Z101" s="20">
        <f>$I$49*$Z$49</f>
        <v>0</v>
      </c>
      <c r="AA101" s="20">
        <f>$I$49*$AA$49</f>
        <v>0</v>
      </c>
      <c r="AB101" s="20">
        <f>$I$49*$AB$49</f>
        <v>0</v>
      </c>
      <c r="AC101" s="20">
        <f>$I$49*$AC$49</f>
        <v>0</v>
      </c>
      <c r="AD101" s="20">
        <f>$I$49*$AD$49</f>
        <v>0</v>
      </c>
      <c r="AE101" s="20">
        <f>$I$49*$AE$49</f>
        <v>0</v>
      </c>
      <c r="AF101" s="20">
        <f>$I$49*$AF$49</f>
        <v>0</v>
      </c>
      <c r="AG101" s="20">
        <f>$I$49*$AG$49</f>
        <v>0</v>
      </c>
      <c r="AH101" s="20">
        <f>$I$49*$AH$49</f>
        <v>0</v>
      </c>
    </row>
    <row r="102" spans="1:34" ht="11.25" customHeight="1" x14ac:dyDescent="0.25">
      <c r="A102" s="9" t="s">
        <v>49</v>
      </c>
      <c r="B102" s="9" t="s">
        <v>1437</v>
      </c>
      <c r="C102" s="9" t="s">
        <v>1438</v>
      </c>
      <c r="D102" s="9" t="s">
        <v>1439</v>
      </c>
      <c r="E102" s="9" t="s">
        <v>1440</v>
      </c>
      <c r="F102" s="9" t="s">
        <v>1441</v>
      </c>
      <c r="G102" s="9" t="s">
        <v>1442</v>
      </c>
      <c r="L102" s="20">
        <f>$I$50*$L$50</f>
        <v>62873.551613558047</v>
      </c>
      <c r="M102" s="20">
        <f>$I$50*$M$50</f>
        <v>646463.42335879966</v>
      </c>
      <c r="N102" s="20">
        <f>$I$50*$N$50</f>
        <v>0</v>
      </c>
      <c r="O102" s="20">
        <f>$I$50*$O$50</f>
        <v>123944.3097886679</v>
      </c>
      <c r="P102" s="20">
        <f>$I$50*$P$50</f>
        <v>-435381.68493790651</v>
      </c>
      <c r="Q102" s="20">
        <f>$I$50*$Q$50</f>
        <v>6257675.343022191</v>
      </c>
      <c r="R102" s="20">
        <f>$I$50*$R$50</f>
        <v>0</v>
      </c>
      <c r="S102" s="20">
        <f>$I$50*$S$50</f>
        <v>0</v>
      </c>
      <c r="T102" s="20">
        <f>$I$50*$T$50</f>
        <v>0</v>
      </c>
      <c r="U102" s="20">
        <f>$I$50*$U$50</f>
        <v>-537333.64824458933</v>
      </c>
      <c r="V102" s="20">
        <f>$I$50*$V$50</f>
        <v>144970.41420759255</v>
      </c>
      <c r="X102" s="20">
        <f>$I$50*$X$50</f>
        <v>50089.723192091427</v>
      </c>
      <c r="Y102" s="20">
        <f>$I$50*$Y$50</f>
        <v>430339.69046792772</v>
      </c>
      <c r="Z102" s="20">
        <f>$I$50*$Z$50</f>
        <v>0</v>
      </c>
      <c r="AA102" s="20">
        <f>$I$50*$AA$50</f>
        <v>0</v>
      </c>
      <c r="AB102" s="20">
        <f>$I$50*$AB$50</f>
        <v>0</v>
      </c>
      <c r="AC102" s="20">
        <f>$I$50*$AC$50</f>
        <v>4086866.7477373984</v>
      </c>
      <c r="AD102" s="20">
        <f>$I$50*$AD$50</f>
        <v>0</v>
      </c>
      <c r="AE102" s="20">
        <f>$I$50*$AE$50</f>
        <v>0</v>
      </c>
      <c r="AF102" s="20">
        <f>$I$50*$AF$50</f>
        <v>0</v>
      </c>
      <c r="AG102" s="20">
        <f>$I$50*$AG$50</f>
        <v>0</v>
      </c>
      <c r="AH102" s="20">
        <f>$I$50*$AH$50</f>
        <v>86570.397476000013</v>
      </c>
    </row>
    <row r="103" spans="1:34" ht="11.25" customHeight="1" x14ac:dyDescent="0.25">
      <c r="A103" s="9" t="s">
        <v>49</v>
      </c>
      <c r="B103" s="9" t="s">
        <v>1437</v>
      </c>
      <c r="C103" s="9" t="s">
        <v>1438</v>
      </c>
      <c r="D103" s="9" t="s">
        <v>1443</v>
      </c>
      <c r="E103" s="9" t="s">
        <v>1444</v>
      </c>
      <c r="F103" s="9" t="s">
        <v>1445</v>
      </c>
      <c r="G103" s="9" t="s">
        <v>1446</v>
      </c>
      <c r="L103" s="20">
        <f>$I$51*$L$51</f>
        <v>0</v>
      </c>
      <c r="M103" s="20">
        <f>$I$51*$M$51</f>
        <v>0</v>
      </c>
      <c r="N103" s="20">
        <f>$I$51*$N$51</f>
        <v>0</v>
      </c>
      <c r="O103" s="20">
        <f>$I$51*$O$51</f>
        <v>0</v>
      </c>
      <c r="P103" s="20">
        <f>$I$51*$P$51</f>
        <v>0</v>
      </c>
      <c r="Q103" s="20">
        <f>$I$51*$Q$51</f>
        <v>0</v>
      </c>
      <c r="R103" s="20">
        <f>$I$51*$R$51</f>
        <v>0</v>
      </c>
      <c r="S103" s="20">
        <f>$I$51*$S$51</f>
        <v>0</v>
      </c>
      <c r="T103" s="20">
        <f>$I$51*$T$51</f>
        <v>0</v>
      </c>
      <c r="U103" s="20">
        <f>$I$51*$U$51</f>
        <v>0</v>
      </c>
      <c r="V103" s="20">
        <f>$I$51*$V$51</f>
        <v>0</v>
      </c>
      <c r="X103" s="20">
        <f>$I$51*$X$51</f>
        <v>0</v>
      </c>
      <c r="Y103" s="20">
        <f>$I$51*$Y$51</f>
        <v>0</v>
      </c>
      <c r="Z103" s="20">
        <f>$I$51*$Z$51</f>
        <v>0</v>
      </c>
      <c r="AA103" s="20">
        <f>$I$51*$AA$51</f>
        <v>0</v>
      </c>
      <c r="AB103" s="20">
        <f>$I$51*$AB$51</f>
        <v>0</v>
      </c>
      <c r="AC103" s="20">
        <f>$I$51*$AC$51</f>
        <v>0</v>
      </c>
      <c r="AD103" s="20">
        <f>$I$51*$AD$51</f>
        <v>0</v>
      </c>
      <c r="AE103" s="20">
        <f>$I$51*$AE$51</f>
        <v>0</v>
      </c>
      <c r="AF103" s="20">
        <f>$I$51*$AF$51</f>
        <v>0</v>
      </c>
      <c r="AG103" s="20">
        <f>$I$51*$AG$51</f>
        <v>0</v>
      </c>
      <c r="AH103" s="20">
        <f>$I$51*$AH$51</f>
        <v>0</v>
      </c>
    </row>
  </sheetData>
  <mergeCells count="81">
    <mergeCell ref="L53:V53"/>
    <mergeCell ref="X53:AH53"/>
    <mergeCell ref="L54:V54"/>
    <mergeCell ref="X54:AH54"/>
    <mergeCell ref="L55:P55"/>
    <mergeCell ref="R55:T55"/>
    <mergeCell ref="X55:AB55"/>
    <mergeCell ref="AD55:AF55"/>
    <mergeCell ref="E45:E47"/>
    <mergeCell ref="F45:F47"/>
    <mergeCell ref="A50:A51"/>
    <mergeCell ref="B50:B51"/>
    <mergeCell ref="C50:C51"/>
    <mergeCell ref="A45:A49"/>
    <mergeCell ref="B45:B47"/>
    <mergeCell ref="C45:C47"/>
    <mergeCell ref="D45:D47"/>
    <mergeCell ref="X1:AH1"/>
    <mergeCell ref="X2:AH2"/>
    <mergeCell ref="X3:AB3"/>
    <mergeCell ref="AD3:AF3"/>
    <mergeCell ref="B42:B44"/>
    <mergeCell ref="C42:C44"/>
    <mergeCell ref="F34:F36"/>
    <mergeCell ref="B38:B40"/>
    <mergeCell ref="C38:C40"/>
    <mergeCell ref="D38:D40"/>
    <mergeCell ref="E38:E40"/>
    <mergeCell ref="F38:F40"/>
    <mergeCell ref="F30:F32"/>
    <mergeCell ref="F17:F19"/>
    <mergeCell ref="F11:F12"/>
    <mergeCell ref="F8:F9"/>
    <mergeCell ref="A30:A44"/>
    <mergeCell ref="B30:B32"/>
    <mergeCell ref="C30:C32"/>
    <mergeCell ref="D30:D32"/>
    <mergeCell ref="E30:E32"/>
    <mergeCell ref="B34:B36"/>
    <mergeCell ref="C34:C36"/>
    <mergeCell ref="D34:D36"/>
    <mergeCell ref="E34:E36"/>
    <mergeCell ref="A17:A29"/>
    <mergeCell ref="B17:B19"/>
    <mergeCell ref="C17:C19"/>
    <mergeCell ref="D17:D19"/>
    <mergeCell ref="E17:E19"/>
    <mergeCell ref="B20:B24"/>
    <mergeCell ref="C20:C24"/>
    <mergeCell ref="B25:B29"/>
    <mergeCell ref="C25:C29"/>
    <mergeCell ref="A11:A16"/>
    <mergeCell ref="B11:B12"/>
    <mergeCell ref="C11:C12"/>
    <mergeCell ref="D11:D12"/>
    <mergeCell ref="E11:E12"/>
    <mergeCell ref="A8:A10"/>
    <mergeCell ref="B8:B9"/>
    <mergeCell ref="C8:C9"/>
    <mergeCell ref="D8:D9"/>
    <mergeCell ref="E8:E9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V1"/>
    <mergeCell ref="L2:V2"/>
    <mergeCell ref="L3:P3"/>
    <mergeCell ref="R3:T3"/>
    <mergeCell ref="A1:A4"/>
    <mergeCell ref="B1:B4"/>
    <mergeCell ref="C1:C4"/>
    <mergeCell ref="D1:D4"/>
    <mergeCell ref="E1:E4"/>
    <mergeCell ref="F1:F4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8240F-2EFA-4A06-9CB7-DA122DC91187}">
  <sheetPr codeName="Planilha24"/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4" bestFit="1" customWidth="1"/>
    <col min="2" max="2" width="12.42578125" style="14" bestFit="1" customWidth="1"/>
    <col min="3" max="6" width="10.28515625" style="14" bestFit="1" customWidth="1"/>
    <col min="7" max="8" width="10.85546875" style="14" bestFit="1" customWidth="1"/>
    <col min="9" max="9" width="8" style="14" bestFit="1" customWidth="1"/>
    <col min="10" max="11" width="10.85546875" style="14" bestFit="1" customWidth="1"/>
    <col min="12" max="12" width="10" style="14" bestFit="1" customWidth="1"/>
    <col min="13" max="13" width="9.7109375" style="14" bestFit="1" customWidth="1"/>
    <col min="14" max="14" width="6" style="14" bestFit="1" customWidth="1"/>
    <col min="15" max="15" width="7.42578125" style="14" bestFit="1" customWidth="1"/>
    <col min="16" max="16" width="9.7109375" style="14" bestFit="1" customWidth="1"/>
    <col min="17" max="17" width="11.7109375" style="14" bestFit="1" customWidth="1"/>
    <col min="18" max="18" width="11.42578125" style="14" bestFit="1" customWidth="1"/>
    <col min="19" max="19" width="7.140625" style="14" bestFit="1" customWidth="1"/>
    <col min="20" max="20" width="14.5703125" style="14" bestFit="1" customWidth="1"/>
    <col min="21" max="21" width="17.7109375" style="14" bestFit="1" customWidth="1"/>
    <col min="22" max="22" width="18.42578125" style="14" bestFit="1" customWidth="1"/>
    <col min="23" max="23" width="10.85546875" style="14" bestFit="1" customWidth="1"/>
    <col min="24" max="24" width="11.7109375" style="14" bestFit="1" customWidth="1"/>
    <col min="25" max="26" width="9.140625" style="14"/>
    <col min="27" max="27" width="3.85546875" style="14" bestFit="1" customWidth="1"/>
    <col min="28" max="28" width="21.5703125" style="14" bestFit="1" customWidth="1"/>
    <col min="29" max="29" width="13.5703125" style="14" bestFit="1" customWidth="1"/>
    <col min="30" max="30" width="25.140625" style="14" bestFit="1" customWidth="1"/>
    <col min="31" max="31" width="10.28515625" style="14" bestFit="1" customWidth="1"/>
    <col min="32" max="32" width="14.140625" style="14" bestFit="1" customWidth="1"/>
    <col min="33" max="33" width="10.28515625" style="14" bestFit="1" customWidth="1"/>
    <col min="34" max="16384" width="9.140625" style="14"/>
  </cols>
  <sheetData>
    <row r="1" spans="1:33" x14ac:dyDescent="0.2">
      <c r="A1" s="14" t="s">
        <v>71</v>
      </c>
      <c r="B1" s="14" t="s">
        <v>72</v>
      </c>
      <c r="C1" s="14" t="s">
        <v>73</v>
      </c>
      <c r="D1" s="14" t="s">
        <v>74</v>
      </c>
      <c r="E1" s="14" t="s">
        <v>75</v>
      </c>
      <c r="F1" s="14" t="s">
        <v>15</v>
      </c>
      <c r="G1" s="14" t="s">
        <v>77</v>
      </c>
      <c r="I1" s="14" t="s">
        <v>1454</v>
      </c>
      <c r="AA1" s="14" t="s">
        <v>80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80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A3</v>
      </c>
      <c r="AA2" s="14" t="s">
        <v>43</v>
      </c>
      <c r="AB2" s="14" t="s">
        <v>42</v>
      </c>
      <c r="AC2" s="14" t="s">
        <v>24</v>
      </c>
      <c r="AD2" s="14" t="s">
        <v>24</v>
      </c>
      <c r="AE2" s="14" t="s">
        <v>89</v>
      </c>
      <c r="AF2" s="14" t="s">
        <v>63</v>
      </c>
      <c r="AG2" s="14" t="s">
        <v>86</v>
      </c>
    </row>
    <row r="3" spans="1:33" x14ac:dyDescent="0.2">
      <c r="AA3" s="14" t="s">
        <v>41</v>
      </c>
      <c r="AB3" s="14" t="s">
        <v>91</v>
      </c>
      <c r="AC3" s="14" t="s">
        <v>47</v>
      </c>
      <c r="AD3" s="14" t="s">
        <v>31</v>
      </c>
      <c r="AE3" s="14" t="s">
        <v>96</v>
      </c>
      <c r="AG3" s="14" t="s">
        <v>87</v>
      </c>
    </row>
    <row r="4" spans="1:33" x14ac:dyDescent="0.2">
      <c r="AA4" s="14" t="s">
        <v>95</v>
      </c>
      <c r="AB4" s="14" t="s">
        <v>44</v>
      </c>
      <c r="AC4" s="14" t="s">
        <v>50</v>
      </c>
      <c r="AD4" s="14" t="s">
        <v>32</v>
      </c>
      <c r="AE4" s="14" t="s">
        <v>97</v>
      </c>
      <c r="AG4" s="14" t="s">
        <v>88</v>
      </c>
    </row>
    <row r="5" spans="1:33" x14ac:dyDescent="0.2">
      <c r="A5" s="14" t="s">
        <v>1447</v>
      </c>
      <c r="B5" s="14" t="str">
        <f>TUSD!$AI$4</f>
        <v>CDE Covid TUSD</v>
      </c>
      <c r="C5" s="14" t="str">
        <f>TUSD!$AJ$4</f>
        <v>TFSEE</v>
      </c>
      <c r="D5" s="14" t="str">
        <f>TUSD!$AK$4</f>
        <v>P&amp;D</v>
      </c>
      <c r="E5" s="14" t="str">
        <f>TUSD!$AL$4</f>
        <v>ONS</v>
      </c>
      <c r="F5" s="14" t="str">
        <f>TUSD!$AM$4</f>
        <v>CCC</v>
      </c>
      <c r="G5" s="14" t="str">
        <f>TUSD!$AN$4</f>
        <v>CDE</v>
      </c>
      <c r="H5" s="14" t="str">
        <f>TUSD!$AO$4</f>
        <v>PROINFA</v>
      </c>
      <c r="I5" s="14" t="str">
        <f>TUSD!$AP$4</f>
        <v>LIMINAR 1</v>
      </c>
      <c r="J5" s="14" t="str">
        <f>TUSD!$AQ$4</f>
        <v>TUSD RB</v>
      </c>
      <c r="K5" s="14" t="str">
        <f>TUSD!$AR$4</f>
        <v>TUSD FR</v>
      </c>
      <c r="L5" s="14" t="str">
        <f>TUSD!$AS$4</f>
        <v>CONEXAO T</v>
      </c>
      <c r="M5" s="14" t="str">
        <f>TUSD!$AT$4</f>
        <v>CONEXAO D</v>
      </c>
      <c r="N5" s="14" t="str">
        <f>TUSD!$AU$4</f>
        <v>CUSD</v>
      </c>
      <c r="O5" s="14" t="str">
        <f>TUSD!$AV$4</f>
        <v>TUSDG-T</v>
      </c>
      <c r="P5" s="14" t="str">
        <f>TUSD!$AW$4</f>
        <v>TUSDG-ONS</v>
      </c>
      <c r="Q5" s="14" t="str">
        <f>TUSD!$AX$4</f>
        <v>DISTRIBUICAO</v>
      </c>
      <c r="R5" s="14" t="str">
        <f>TUSD!$AY$4</f>
        <v>SUBSIDIO</v>
      </c>
      <c r="S5" s="14" t="str">
        <f>TUSD!$AZ$4</f>
        <v>OUTROS</v>
      </c>
      <c r="T5" s="14" t="str">
        <f>TUSD!$BA$4</f>
        <v>PERDAS TECNICAS</v>
      </c>
      <c r="U5" s="14" t="str">
        <f>TUSD!$BB$4</f>
        <v>PERDAS RB/ PERDAS D</v>
      </c>
      <c r="V5" s="14" t="str">
        <f>TUSD!$BC$4</f>
        <v>PERDAS NAO TECNICAS</v>
      </c>
      <c r="W5" s="14" t="str">
        <f>TUSD!$BD$4</f>
        <v>RI</v>
      </c>
      <c r="X5" s="14" t="s">
        <v>772</v>
      </c>
      <c r="AA5" s="14" t="s">
        <v>22</v>
      </c>
      <c r="AB5" s="14" t="s">
        <v>62</v>
      </c>
      <c r="AD5" s="14" t="s">
        <v>33</v>
      </c>
      <c r="AG5" s="14" t="s">
        <v>9</v>
      </c>
    </row>
    <row r="6" spans="1:33" x14ac:dyDescent="0.2">
      <c r="A6" s="14" t="s">
        <v>1448</v>
      </c>
      <c r="B6" s="38">
        <f>SUM(TUSD!$AI$74:'TUSD'!$AI$137)</f>
        <v>21710523.72072693</v>
      </c>
      <c r="C6" s="38">
        <f>SUM(TUSD!$AJ$74:'TUSD'!$AJ$137)</f>
        <v>1106087.7706628398</v>
      </c>
      <c r="D6" s="38">
        <f>SUM(TUSD!$AK$74:'TUSD'!$AK$137)</f>
        <v>3813926.178760719</v>
      </c>
      <c r="E6" s="38">
        <f>SUM(TUSD!$AL$74:'TUSD'!$AL$137)</f>
        <v>0</v>
      </c>
      <c r="F6" s="38">
        <f>SUM(TUSD!$AM$74:'TUSD'!$AM$137)</f>
        <v>0</v>
      </c>
      <c r="G6" s="38">
        <f>SUM(TUSD!$AN$74:'TUSD'!$AN$137)</f>
        <v>24468707.961466458</v>
      </c>
      <c r="H6" s="38">
        <f>SUM(TUSD!$AO$74:'TUSD'!$AO$137)</f>
        <v>11085172.696145345</v>
      </c>
      <c r="I6" s="38">
        <f>SUM(TUSD!$AP$74:'TUSD'!$AP$137)</f>
        <v>0</v>
      </c>
      <c r="J6" s="38">
        <f>SUM(TUSD!$AQ$74:'TUSD'!$AQ$137)</f>
        <v>12664801.632408565</v>
      </c>
      <c r="K6" s="38">
        <f>SUM(TUSD!$AR$74:'TUSD'!$AR$137)</f>
        <v>16357720.537482724</v>
      </c>
      <c r="L6" s="38">
        <f>SUM(TUSD!$AS$74:'TUSD'!$AS$137)</f>
        <v>1423178.5578424507</v>
      </c>
      <c r="M6" s="38">
        <f>SUM(TUSD!$AT$74:'TUSD'!$AT$137)</f>
        <v>0</v>
      </c>
      <c r="N6" s="38">
        <f>SUM(TUSD!$AU$74:'TUSD'!$AU$137)</f>
        <v>0</v>
      </c>
      <c r="O6" s="38">
        <f>SUM(TUSD!$AV$74:'TUSD'!$AV$137)</f>
        <v>0</v>
      </c>
      <c r="P6" s="38">
        <f>SUM(TUSD!$AW$74:'TUSD'!$AW$137)</f>
        <v>0</v>
      </c>
      <c r="Q6" s="38">
        <f>SUM(TUSD!$AX$74:'TUSD'!$AX$137)</f>
        <v>304340521.37685066</v>
      </c>
      <c r="R6" s="38">
        <f>SUM(TUSD!$AY$74:'TUSD'!$AY$137)</f>
        <v>0</v>
      </c>
      <c r="S6" s="38">
        <f>SUM(TUSD!$AZ$74:'TUSD'!$AZ$137)</f>
        <v>0</v>
      </c>
      <c r="T6" s="38">
        <f>SUM(TUSD!$BA$74:'TUSD'!$BA$137)</f>
        <v>19767879.025579304</v>
      </c>
      <c r="U6" s="38">
        <f>SUM(TUSD!$BB$74:'TUSD'!$BB$137)</f>
        <v>844067.87036510219</v>
      </c>
      <c r="V6" s="38">
        <f>SUM(TUSD!$BC$74:'TUSD'!$BC$137)</f>
        <v>20483472.812581256</v>
      </c>
      <c r="W6" s="38">
        <f>SUM(TUSD!$BD$74:'TUSD'!$BD$137)</f>
        <v>9039898.5298033711</v>
      </c>
      <c r="X6" s="38">
        <f t="shared" ref="X6:X11" si="0">SUM(B6:W6)</f>
        <v>447105958.67067575</v>
      </c>
      <c r="AA6" s="14" t="s">
        <v>46</v>
      </c>
      <c r="AB6" s="14" t="s">
        <v>35</v>
      </c>
      <c r="AD6" s="14" t="s">
        <v>34</v>
      </c>
      <c r="AG6" s="14" t="s">
        <v>83</v>
      </c>
    </row>
    <row r="7" spans="1:33" x14ac:dyDescent="0.2">
      <c r="A7" s="14" t="s">
        <v>1449</v>
      </c>
      <c r="B7" s="38">
        <f>SUM(TUSD!$L$74:'TUSD'!$L$137)</f>
        <v>19114894.059613477</v>
      </c>
      <c r="C7" s="38">
        <f>SUM(TUSD!$M$74:'TUSD'!$M$137)</f>
        <v>1175194.9551335836</v>
      </c>
      <c r="D7" s="38">
        <f ca="1">SUM(TUSD!$N$74:'TUSD'!$N$137)</f>
        <v>4223302.9562109262</v>
      </c>
      <c r="E7" s="38">
        <f>SUM(TUSD!$O$74:'TUSD'!$O$137)</f>
        <v>0</v>
      </c>
      <c r="F7" s="38">
        <f>SUM(TUSD!$P$74:'TUSD'!$P$137)</f>
        <v>0</v>
      </c>
      <c r="G7" s="38">
        <f>SUM(TUSD!$Q$74:'TUSD'!$Q$137)</f>
        <v>47511919.350362554</v>
      </c>
      <c r="H7" s="38">
        <f>SUM(TUSD!$R$74:'TUSD'!$R$137)</f>
        <v>18388017.379185066</v>
      </c>
      <c r="I7" s="38">
        <f>SUM(TUSD!$S$74:'TUSD'!$S$137)</f>
        <v>0</v>
      </c>
      <c r="J7" s="38">
        <f>SUM(TUSD!$T$74:'TUSD'!$T$137)</f>
        <v>19238753.390055835</v>
      </c>
      <c r="K7" s="38">
        <f>SUM(TUSD!$U$74:'TUSD'!$U$137)</f>
        <v>21167978.274347696</v>
      </c>
      <c r="L7" s="38">
        <f>SUM(TUSD!$V$74:'TUSD'!$V$137)</f>
        <v>1823421.3046301648</v>
      </c>
      <c r="M7" s="38">
        <f>SUM(TUSD!$W$74:'TUSD'!$W$137)</f>
        <v>0</v>
      </c>
      <c r="N7" s="38">
        <f>SUM(TUSD!$X$74:'TUSD'!$X$137)</f>
        <v>0</v>
      </c>
      <c r="O7" s="38">
        <f>SUM(TUSD!$Y$74:'TUSD'!$Y$137)</f>
        <v>0</v>
      </c>
      <c r="P7" s="38">
        <f>SUM(TUSD!$Z$74:'TUSD'!$Z$137)</f>
        <v>0</v>
      </c>
      <c r="Q7" s="38">
        <f>SUM(TUSD!$AA$74:'TUSD'!$AA$137)</f>
        <v>325020422.68382186</v>
      </c>
      <c r="R7" s="38">
        <f ca="1">SUM(TUSD!$AB$74:'TUSD'!$AB$137)</f>
        <v>-45219888.176539168</v>
      </c>
      <c r="S7" s="38">
        <f ca="1">SUM(TUSD!$AC$74:'TUSD'!$AC$137)</f>
        <v>0</v>
      </c>
      <c r="T7" s="38">
        <f>SUM(TUSD!$AD$74:'TUSD'!$AD$137)</f>
        <v>30587371.878994819</v>
      </c>
      <c r="U7" s="38">
        <f>SUM(TUSD!$AE$74:'TUSD'!$AE$137)</f>
        <v>1414331.5280425376</v>
      </c>
      <c r="V7" s="38">
        <f ca="1">SUM(TUSD!$AF$74:'TUSD'!$AF$137)</f>
        <v>31024242.976114511</v>
      </c>
      <c r="W7" s="38">
        <f ca="1">SUM(TUSD!$AG$74:'TUSD'!$AG$137)</f>
        <v>11347845.962337408</v>
      </c>
      <c r="X7" s="38">
        <f t="shared" ca="1" si="0"/>
        <v>486817808.52231127</v>
      </c>
      <c r="AA7" s="14" t="s">
        <v>39</v>
      </c>
      <c r="AB7" s="14" t="s">
        <v>23</v>
      </c>
      <c r="AD7" s="14" t="s">
        <v>101</v>
      </c>
      <c r="AG7" s="14" t="s">
        <v>84</v>
      </c>
    </row>
    <row r="8" spans="1:33" x14ac:dyDescent="0.2">
      <c r="A8" s="14" t="s">
        <v>1452</v>
      </c>
      <c r="B8" s="38">
        <f>IF($G$2&lt;&gt;"Não se aplica",SUMIF(TUSD!$G$74:'TUSD'!$G$137,$I$2,TUSD!$AI$74:'TUSD'!$AI$137),IF($F$2&lt;&gt;"Não se aplica",SUMIF(TUSD!$F$74:'TUSD'!$F$137,$I$2,TUSD!$AI$74:'TUSD'!$AI$137),IF($E$2&lt;&gt;"Não se aplica",SUMIF(TUSD!$E$74:'TUSD'!$E$137,$I$2,TUSD!$AI$74:'TUSD'!$AI$137),IF($D$2&lt;&gt;"Não se aplica",SUMIF(TUSD!$D$74:'TUSD'!$D$137,$I$2,TUSD!$AI$74:'TUSD'!$AI$137),IF($C$2&lt;&gt;"Não se aplica",SUMIF(TUSD!$C$74:'TUSD'!$C$137,$I$2,TUSD!$AI$74:'TUSD'!$AI$137),IF($B$2&lt;&gt;"Não se aplica",SUMIF(TUSD!$B$74:'TUSD'!$B$137,$I$2,TUSD!$AI$74:'TUSD'!$AI$137),SUMIF(TUSD!$A$74:'TUSD'!$A$137,$I$2,TUSD!$AI$74:'TUSD'!$AI$137)))))))</f>
        <v>1.52113588222787E-7</v>
      </c>
      <c r="C8" s="38">
        <f>IF($G$2&lt;&gt;"Não se aplica",SUMIF(TUSD!$G$74:'TUSD'!$G$137,$I$2,TUSD!$AJ$74:'TUSD'!$AJ$137),IF($F$2&lt;&gt;"Não se aplica",SUMIF(TUSD!$F$74:'TUSD'!$F$137,$I$2,TUSD!$AJ$74:'TUSD'!$AJ$137),IF($E$2&lt;&gt;"Não se aplica",SUMIF(TUSD!$E$74:'TUSD'!$E$137,$I$2,TUSD!$AJ$74:'TUSD'!$AJ$137),IF($D$2&lt;&gt;"Não se aplica",SUMIF(TUSD!$D$74:'TUSD'!$D$137,$I$2,TUSD!$AJ$74:'TUSD'!$AJ$137),IF($C$2&lt;&gt;"Não se aplica",SUMIF(TUSD!$C$74:'TUSD'!$C$137,$I$2,TUSD!$AJ$74:'TUSD'!$AJ$137),IF($B$2&lt;&gt;"Não se aplica",SUMIF(TUSD!$B$74:'TUSD'!$B$137,$I$2,TUSD!$AJ$74:'TUSD'!$AJ$137),SUMIF(TUSD!$A$74:'TUSD'!$A$137,$I$2,TUSD!$AJ$74:'TUSD'!$AJ$137)))))))</f>
        <v>2.22357201908556E-9</v>
      </c>
      <c r="D8" s="38">
        <f>IF($G$2&lt;&gt;"Não se aplica",SUMIF(TUSD!$G$74:'TUSD'!$G$137,$I$2,TUSD!$AK$74:'TUSD'!$AK$137),IF($F$2&lt;&gt;"Não se aplica",SUMIF(TUSD!$F$74:'TUSD'!$F$137,$I$2,TUSD!$AK$74:'TUSD'!$AK$137),IF($E$2&lt;&gt;"Não se aplica",SUMIF(TUSD!$E$74:'TUSD'!$E$137,$I$2,TUSD!$AK$74:'TUSD'!$AK$137),IF($D$2&lt;&gt;"Não se aplica",SUMIF(TUSD!$D$74:'TUSD'!$D$137,$I$2,TUSD!$AK$74:'TUSD'!$AK$137),IF($C$2&lt;&gt;"Não se aplica",SUMIF(TUSD!$C$74:'TUSD'!$C$137,$I$2,TUSD!$AK$74:'TUSD'!$AK$137),IF($B$2&lt;&gt;"Não se aplica",SUMIF(TUSD!$B$74:'TUSD'!$B$137,$I$2,TUSD!$AK$74:'TUSD'!$AK$137),SUMIF(TUSD!$A$74:'TUSD'!$A$137,$I$2,TUSD!$AK$74:'TUSD'!$AK$137)))))))</f>
        <v>5.3642697725792101E-9</v>
      </c>
      <c r="E8" s="38">
        <f>IF($G$2&lt;&gt;"Não se aplica",SUMIF(TUSD!$G$74:'TUSD'!$G$137,$I$2,TUSD!$AL$74:'TUSD'!$AL$137),IF($F$2&lt;&gt;"Não se aplica",SUMIF(TUSD!$F$74:'TUSD'!$F$137,$I$2,TUSD!$AL$74:'TUSD'!$AL$137),IF($E$2&lt;&gt;"Não se aplica",SUMIF(TUSD!$E$74:'TUSD'!$E$137,$I$2,TUSD!$AL$74:'TUSD'!$AL$137),IF($D$2&lt;&gt;"Não se aplica",SUMIF(TUSD!$D$74:'TUSD'!$D$137,$I$2,TUSD!$AL$74:'TUSD'!$AL$137),IF($C$2&lt;&gt;"Não se aplica",SUMIF(TUSD!$C$74:'TUSD'!$C$137,$I$2,TUSD!$AL$74:'TUSD'!$AL$137),IF($B$2&lt;&gt;"Não se aplica",SUMIF(TUSD!$B$74:'TUSD'!$B$137,$I$2,TUSD!$AL$74:'TUSD'!$AL$137),SUMIF(TUSD!$A$74:'TUSD'!$A$137,$I$2,TUSD!$AL$74:'TUSD'!$AL$137)))))))</f>
        <v>0</v>
      </c>
      <c r="F8" s="38">
        <f>IF($G$2&lt;&gt;"Não se aplica",SUMIF(TUSD!$G$74:'TUSD'!$G$137,$I$2,TUSD!$AM$74:'TUSD'!$AM$137),IF($F$2&lt;&gt;"Não se aplica",SUMIF(TUSD!$F$74:'TUSD'!$F$137,$I$2,TUSD!$AM$74:'TUSD'!$AM$137),IF($E$2&lt;&gt;"Não se aplica",SUMIF(TUSD!$E$74:'TUSD'!$E$137,$I$2,TUSD!$AM$74:'TUSD'!$AM$137),IF($D$2&lt;&gt;"Não se aplica",SUMIF(TUSD!$D$74:'TUSD'!$D$137,$I$2,TUSD!$AM$74:'TUSD'!$AM$137),IF($C$2&lt;&gt;"Não se aplica",SUMIF(TUSD!$C$74:'TUSD'!$C$137,$I$2,TUSD!$AM$74:'TUSD'!$AM$137),IF($B$2&lt;&gt;"Não se aplica",SUMIF(TUSD!$B$74:'TUSD'!$B$137,$I$2,TUSD!$AM$74:'TUSD'!$AM$137),SUMIF(TUSD!$A$74:'TUSD'!$A$137,$I$2,TUSD!$AM$74:'TUSD'!$AM$137)))))))</f>
        <v>0</v>
      </c>
      <c r="G8" s="38">
        <f>IF($G$2&lt;&gt;"Não se aplica",SUMIF(TUSD!$G$74:'TUSD'!$G$137,$I$2,TUSD!$AN$74:'TUSD'!$AN$137),IF($F$2&lt;&gt;"Não se aplica",SUMIF(TUSD!$F$74:'TUSD'!$F$137,$I$2,TUSD!$AN$74:'TUSD'!$AN$137),IF($E$2&lt;&gt;"Não se aplica",SUMIF(TUSD!$E$74:'TUSD'!$E$137,$I$2,TUSD!$AN$74:'TUSD'!$AN$137),IF($D$2&lt;&gt;"Não se aplica",SUMIF(TUSD!$D$74:'TUSD'!$D$137,$I$2,TUSD!$AN$74:'TUSD'!$AN$137),IF($C$2&lt;&gt;"Não se aplica",SUMIF(TUSD!$C$74:'TUSD'!$C$137,$I$2,TUSD!$AN$74:'TUSD'!$AN$137),IF($B$2&lt;&gt;"Não se aplica",SUMIF(TUSD!$B$74:'TUSD'!$B$137,$I$2,TUSD!$AN$74:'TUSD'!$AN$137),SUMIF(TUSD!$A$74:'TUSD'!$A$137,$I$2,TUSD!$AN$74:'TUSD'!$AN$137)))))))</f>
        <v>1.7143865413254702E-7</v>
      </c>
      <c r="H8" s="38">
        <f>IF($G$2&lt;&gt;"Não se aplica",SUMIF(TUSD!$G$74:'TUSD'!$G$137,$I$2,TUSD!$AO$74:'TUSD'!$AO$137),IF($F$2&lt;&gt;"Não se aplica",SUMIF(TUSD!$F$74:'TUSD'!$F$137,$I$2,TUSD!$AO$74:'TUSD'!$AO$137),IF($E$2&lt;&gt;"Não se aplica",SUMIF(TUSD!$E$74:'TUSD'!$E$137,$I$2,TUSD!$AO$74:'TUSD'!$AO$137),IF($D$2&lt;&gt;"Não se aplica",SUMIF(TUSD!$D$74:'TUSD'!$D$137,$I$2,TUSD!$AO$74:'TUSD'!$AO$137),IF($C$2&lt;&gt;"Não se aplica",SUMIF(TUSD!$C$74:'TUSD'!$C$137,$I$2,TUSD!$AO$74:'TUSD'!$AO$137),IF($B$2&lt;&gt;"Não se aplica",SUMIF(TUSD!$B$74:'TUSD'!$B$137,$I$2,TUSD!$AO$74:'TUSD'!$AO$137),SUMIF(TUSD!$A$74:'TUSD'!$A$137,$I$2,TUSD!$AO$74:'TUSD'!$AO$137)))))))</f>
        <v>1.1180406741798601E-7</v>
      </c>
      <c r="I8" s="38">
        <f>IF($G$2&lt;&gt;"Não se aplica",SUMIF(TUSD!$G$74:'TUSD'!$G$137,$I$2,TUSD!$AP$74:'TUSD'!$AP$137),IF($F$2&lt;&gt;"Não se aplica",SUMIF(TUSD!$F$74:'TUSD'!$F$137,$I$2,TUSD!$AP$74:'TUSD'!$AP$137),IF($E$2&lt;&gt;"Não se aplica",SUMIF(TUSD!$E$74:'TUSD'!$E$137,$I$2,TUSD!$AP$74:'TUSD'!$AP$137),IF($D$2&lt;&gt;"Não se aplica",SUMIF(TUSD!$D$74:'TUSD'!$D$137,$I$2,TUSD!$AP$74:'TUSD'!$AP$137),IF($C$2&lt;&gt;"Não se aplica",SUMIF(TUSD!$C$74:'TUSD'!$C$137,$I$2,TUSD!$AP$74:'TUSD'!$AP$137),IF($B$2&lt;&gt;"Não se aplica",SUMIF(TUSD!$B$74:'TUSD'!$B$137,$I$2,TUSD!$AP$74:'TUSD'!$AP$137),SUMIF(TUSD!$A$74:'TUSD'!$A$137,$I$2,TUSD!$AP$74:'TUSD'!$AP$137)))))))</f>
        <v>0</v>
      </c>
      <c r="J8" s="38">
        <f>IF($G$2&lt;&gt;"Não se aplica",SUMIF(TUSD!$G$74:'TUSD'!$G$137,$I$2,TUSD!$AQ$74:'TUSD'!$AQ$137),IF($F$2&lt;&gt;"Não se aplica",SUMIF(TUSD!$F$74:'TUSD'!$F$137,$I$2,TUSD!$AQ$74:'TUSD'!$AQ$137),IF($E$2&lt;&gt;"Não se aplica",SUMIF(TUSD!$E$74:'TUSD'!$E$137,$I$2,TUSD!$AQ$74:'TUSD'!$AQ$137),IF($D$2&lt;&gt;"Não se aplica",SUMIF(TUSD!$D$74:'TUSD'!$D$137,$I$2,TUSD!$AQ$74:'TUSD'!$AQ$137),IF($C$2&lt;&gt;"Não se aplica",SUMIF(TUSD!$C$74:'TUSD'!$C$137,$I$2,TUSD!$AQ$74:'TUSD'!$AQ$137),IF($B$2&lt;&gt;"Não se aplica",SUMIF(TUSD!$B$74:'TUSD'!$B$137,$I$2,TUSD!$AQ$74:'TUSD'!$AQ$137),SUMIF(TUSD!$A$74:'TUSD'!$A$137,$I$2,TUSD!$AQ$74:'TUSD'!$AQ$137)))))))</f>
        <v>4.1114476767768299E-8</v>
      </c>
      <c r="K8" s="38">
        <f>IF($G$2&lt;&gt;"Não se aplica",SUMIF(TUSD!$G$74:'TUSD'!$G$137,$I$2,TUSD!$AR$74:'TUSD'!$AR$137),IF($F$2&lt;&gt;"Não se aplica",SUMIF(TUSD!$F$74:'TUSD'!$F$137,$I$2,TUSD!$AR$74:'TUSD'!$AR$137),IF($E$2&lt;&gt;"Não se aplica",SUMIF(TUSD!$E$74:'TUSD'!$E$137,$I$2,TUSD!$AR$74:'TUSD'!$AR$137),IF($D$2&lt;&gt;"Não se aplica",SUMIF(TUSD!$D$74:'TUSD'!$D$137,$I$2,TUSD!$AR$74:'TUSD'!$AR$137),IF($C$2&lt;&gt;"Não se aplica",SUMIF(TUSD!$C$74:'TUSD'!$C$137,$I$2,TUSD!$AR$74:'TUSD'!$AR$137),IF($B$2&lt;&gt;"Não se aplica",SUMIF(TUSD!$B$74:'TUSD'!$B$137,$I$2,TUSD!$AR$74:'TUSD'!$AR$137),SUMIF(TUSD!$A$74:'TUSD'!$A$137,$I$2,TUSD!$AR$74:'TUSD'!$AR$137)))))))</f>
        <v>5.2855886894927397E-8</v>
      </c>
      <c r="L8" s="38">
        <f>IF($G$2&lt;&gt;"Não se aplica",SUMIF(TUSD!$G$74:'TUSD'!$G$137,$I$2,TUSD!$AS$74:'TUSD'!$AS$137),IF($F$2&lt;&gt;"Não se aplica",SUMIF(TUSD!$F$74:'TUSD'!$F$137,$I$2,TUSD!$AS$74:'TUSD'!$AS$137),IF($E$2&lt;&gt;"Não se aplica",SUMIF(TUSD!$E$74:'TUSD'!$E$137,$I$2,TUSD!$AS$74:'TUSD'!$AS$137),IF($D$2&lt;&gt;"Não se aplica",SUMIF(TUSD!$D$74:'TUSD'!$D$137,$I$2,TUSD!$AS$74:'TUSD'!$AS$137),IF($C$2&lt;&gt;"Não se aplica",SUMIF(TUSD!$C$74:'TUSD'!$C$137,$I$2,TUSD!$AS$74:'TUSD'!$AS$137),IF($B$2&lt;&gt;"Não se aplica",SUMIF(TUSD!$B$74:'TUSD'!$B$137,$I$2,TUSD!$AS$74:'TUSD'!$AS$137),SUMIF(TUSD!$A$74:'TUSD'!$A$137,$I$2,TUSD!$AS$74:'TUSD'!$AS$137)))))))</f>
        <v>4.5960219670746504E-9</v>
      </c>
      <c r="M8" s="38">
        <f>IF($G$2&lt;&gt;"Não se aplica",SUMIF(TUSD!$G$74:'TUSD'!$G$137,$I$2,TUSD!$AT$74:'TUSD'!$AT$137),IF($F$2&lt;&gt;"Não se aplica",SUMIF(TUSD!$F$74:'TUSD'!$F$137,$I$2,TUSD!$AT$74:'TUSD'!$AT$137),IF($E$2&lt;&gt;"Não se aplica",SUMIF(TUSD!$E$74:'TUSD'!$E$137,$I$2,TUSD!$AT$74:'TUSD'!$AT$137),IF($D$2&lt;&gt;"Não se aplica",SUMIF(TUSD!$D$74:'TUSD'!$D$137,$I$2,TUSD!$AT$74:'TUSD'!$AT$137),IF($C$2&lt;&gt;"Não se aplica",SUMIF(TUSD!$C$74:'TUSD'!$C$137,$I$2,TUSD!$AT$74:'TUSD'!$AT$137),IF($B$2&lt;&gt;"Não se aplica",SUMIF(TUSD!$B$74:'TUSD'!$B$137,$I$2,TUSD!$AT$74:'TUSD'!$AT$137),SUMIF(TUSD!$A$74:'TUSD'!$A$137,$I$2,TUSD!$AT$74:'TUSD'!$AT$137)))))))</f>
        <v>0</v>
      </c>
      <c r="N8" s="38">
        <f>IF($G$2&lt;&gt;"Não se aplica",SUMIF(TUSD!$G$74:'TUSD'!$G$137,$I$2,TUSD!$AU$74:'TUSD'!$AU$137),IF($F$2&lt;&gt;"Não se aplica",SUMIF(TUSD!$F$74:'TUSD'!$F$137,$I$2,TUSD!$AU$74:'TUSD'!$AU$137),IF($E$2&lt;&gt;"Não se aplica",SUMIF(TUSD!$E$74:'TUSD'!$E$137,$I$2,TUSD!$AU$74:'TUSD'!$AU$137),IF($D$2&lt;&gt;"Não se aplica",SUMIF(TUSD!$D$74:'TUSD'!$D$137,$I$2,TUSD!$AU$74:'TUSD'!$AU$137),IF($C$2&lt;&gt;"Não se aplica",SUMIF(TUSD!$C$74:'TUSD'!$C$137,$I$2,TUSD!$AU$74:'TUSD'!$AU$137),IF($B$2&lt;&gt;"Não se aplica",SUMIF(TUSD!$B$74:'TUSD'!$B$137,$I$2,TUSD!$AU$74:'TUSD'!$AU$137),SUMIF(TUSD!$A$74:'TUSD'!$A$137,$I$2,TUSD!$AU$74:'TUSD'!$AU$137)))))))</f>
        <v>0</v>
      </c>
      <c r="O8" s="38">
        <f>IF($G$2&lt;&gt;"Não se aplica",SUMIF(TUSD!$G$74:'TUSD'!$G$137,$I$2,TUSD!$AV$74:'TUSD'!$AV$137),IF($F$2&lt;&gt;"Não se aplica",SUMIF(TUSD!$F$74:'TUSD'!$F$137,$I$2,TUSD!$AV$74:'TUSD'!$AV$137),IF($E$2&lt;&gt;"Não se aplica",SUMIF(TUSD!$E$74:'TUSD'!$E$137,$I$2,TUSD!$AV$74:'TUSD'!$AV$137),IF($D$2&lt;&gt;"Não se aplica",SUMIF(TUSD!$D$74:'TUSD'!$D$137,$I$2,TUSD!$AV$74:'TUSD'!$AV$137),IF($C$2&lt;&gt;"Não se aplica",SUMIF(TUSD!$C$74:'TUSD'!$C$137,$I$2,TUSD!$AV$74:'TUSD'!$AV$137),IF($B$2&lt;&gt;"Não se aplica",SUMIF(TUSD!$B$74:'TUSD'!$B$137,$I$2,TUSD!$AV$74:'TUSD'!$AV$137),SUMIF(TUSD!$A$74:'TUSD'!$A$137,$I$2,TUSD!$AV$74:'TUSD'!$AV$137)))))))</f>
        <v>0</v>
      </c>
      <c r="P8" s="38">
        <f>IF($G$2&lt;&gt;"Não se aplica",SUMIF(TUSD!$G$74:'TUSD'!$G$137,$I$2,TUSD!$AW$74:'TUSD'!$AW$137),IF($F$2&lt;&gt;"Não se aplica",SUMIF(TUSD!$F$74:'TUSD'!$F$137,$I$2,TUSD!$AW$74:'TUSD'!$AW$137),IF($E$2&lt;&gt;"Não se aplica",SUMIF(TUSD!$E$74:'TUSD'!$E$137,$I$2,TUSD!$AW$74:'TUSD'!$AW$137),IF($D$2&lt;&gt;"Não se aplica",SUMIF(TUSD!$D$74:'TUSD'!$D$137,$I$2,TUSD!$AW$74:'TUSD'!$AW$137),IF($C$2&lt;&gt;"Não se aplica",SUMIF(TUSD!$C$74:'TUSD'!$C$137,$I$2,TUSD!$AW$74:'TUSD'!$AW$137),IF($B$2&lt;&gt;"Não se aplica",SUMIF(TUSD!$B$74:'TUSD'!$B$137,$I$2,TUSD!$AW$74:'TUSD'!$AW$137),SUMIF(TUSD!$A$74:'TUSD'!$A$137,$I$2,TUSD!$AW$74:'TUSD'!$AW$137)))))))</f>
        <v>0</v>
      </c>
      <c r="Q8" s="38">
        <f>IF($G$2&lt;&gt;"Não se aplica",SUMIF(TUSD!$G$74:'TUSD'!$G$137,$I$2,TUSD!$AX$74:'TUSD'!$AX$137),IF($F$2&lt;&gt;"Não se aplica",SUMIF(TUSD!$F$74:'TUSD'!$F$137,$I$2,TUSD!$AX$74:'TUSD'!$AX$137),IF($E$2&lt;&gt;"Não se aplica",SUMIF(TUSD!$E$74:'TUSD'!$E$137,$I$2,TUSD!$AX$74:'TUSD'!$AX$137),IF($D$2&lt;&gt;"Não se aplica",SUMIF(TUSD!$D$74:'TUSD'!$D$137,$I$2,TUSD!$AX$74:'TUSD'!$AX$137),IF($C$2&lt;&gt;"Não se aplica",SUMIF(TUSD!$C$74:'TUSD'!$C$137,$I$2,TUSD!$AX$74:'TUSD'!$AX$137),IF($B$2&lt;&gt;"Não se aplica",SUMIF(TUSD!$B$74:'TUSD'!$B$137,$I$2,TUSD!$AX$74:'TUSD'!$AX$137),SUMIF(TUSD!$A$74:'TUSD'!$A$137,$I$2,TUSD!$AX$74:'TUSD'!$AX$137)))))))</f>
        <v>6.1407084640081598E-7</v>
      </c>
      <c r="R8" s="38">
        <f>IF($G$2&lt;&gt;"Não se aplica",SUMIF(TUSD!$G$74:'TUSD'!$G$137,$I$2,TUSD!$AY$74:'TUSD'!$AY$137),IF($F$2&lt;&gt;"Não se aplica",SUMIF(TUSD!$F$74:'TUSD'!$F$137,$I$2,TUSD!$AY$74:'TUSD'!$AY$137),IF($E$2&lt;&gt;"Não se aplica",SUMIF(TUSD!$E$74:'TUSD'!$E$137,$I$2,TUSD!$AY$74:'TUSD'!$AY$137),IF($D$2&lt;&gt;"Não se aplica",SUMIF(TUSD!$D$74:'TUSD'!$D$137,$I$2,TUSD!$AY$74:'TUSD'!$AY$137),IF($C$2&lt;&gt;"Não se aplica",SUMIF(TUSD!$C$74:'TUSD'!$C$137,$I$2,TUSD!$AY$74:'TUSD'!$AY$137),IF($B$2&lt;&gt;"Não se aplica",SUMIF(TUSD!$B$74:'TUSD'!$B$137,$I$2,TUSD!$AY$74:'TUSD'!$AY$137),SUMIF(TUSD!$A$74:'TUSD'!$A$137,$I$2,TUSD!$AY$74:'TUSD'!$AY$137)))))))</f>
        <v>0</v>
      </c>
      <c r="S8" s="38">
        <f>IF($G$2&lt;&gt;"Não se aplica",SUMIF(TUSD!$G$74:'TUSD'!$G$137,$I$2,TUSD!$AZ$74:'TUSD'!$AZ$137),IF($F$2&lt;&gt;"Não se aplica",SUMIF(TUSD!$F$74:'TUSD'!$F$137,$I$2,TUSD!$AZ$74:'TUSD'!$AZ$137),IF($E$2&lt;&gt;"Não se aplica",SUMIF(TUSD!$E$74:'TUSD'!$E$137,$I$2,TUSD!$AZ$74:'TUSD'!$AZ$137),IF($D$2&lt;&gt;"Não se aplica",SUMIF(TUSD!$D$74:'TUSD'!$D$137,$I$2,TUSD!$AZ$74:'TUSD'!$AZ$137),IF($C$2&lt;&gt;"Não se aplica",SUMIF(TUSD!$C$74:'TUSD'!$C$137,$I$2,TUSD!$AZ$74:'TUSD'!$AZ$137),IF($B$2&lt;&gt;"Não se aplica",SUMIF(TUSD!$B$74:'TUSD'!$B$137,$I$2,TUSD!$AZ$74:'TUSD'!$AZ$137),SUMIF(TUSD!$A$74:'TUSD'!$A$137,$I$2,TUSD!$AZ$74:'TUSD'!$AZ$137)))))))</f>
        <v>0</v>
      </c>
      <c r="T8" s="38">
        <f>IF($G$2&lt;&gt;"Não se aplica",SUMIF(TUSD!$G$74:'TUSD'!$G$137,$I$2,TUSD!$BA$74:'TUSD'!$BA$137),IF($F$2&lt;&gt;"Não se aplica",SUMIF(TUSD!$F$74:'TUSD'!$F$137,$I$2,TUSD!$BA$74:'TUSD'!$BA$137),IF($E$2&lt;&gt;"Não se aplica",SUMIF(TUSD!$E$74:'TUSD'!$E$137,$I$2,TUSD!$BA$74:'TUSD'!$BA$137),IF($D$2&lt;&gt;"Não se aplica",SUMIF(TUSD!$D$74:'TUSD'!$D$137,$I$2,TUSD!$BA$74:'TUSD'!$BA$137),IF($C$2&lt;&gt;"Não se aplica",SUMIF(TUSD!$C$74:'TUSD'!$C$137,$I$2,TUSD!$BA$74:'TUSD'!$BA$137),IF($B$2&lt;&gt;"Não se aplica",SUMIF(TUSD!$B$74:'TUSD'!$B$137,$I$2,TUSD!$BA$74:'TUSD'!$BA$137),SUMIF(TUSD!$A$74:'TUSD'!$A$137,$I$2,TUSD!$BA$74:'TUSD'!$BA$137)))))))</f>
        <v>1.479297217973754E-7</v>
      </c>
      <c r="U8" s="38">
        <f>IF($G$2&lt;&gt;"Não se aplica",SUMIF(TUSD!$G$74:'TUSD'!$G$137,$I$2,TUSD!$BB$74:'TUSD'!$BB$137),IF($F$2&lt;&gt;"Não se aplica",SUMIF(TUSD!$F$74:'TUSD'!$F$137,$I$2,TUSD!$BB$74:'TUSD'!$BB$137),IF($E$2&lt;&gt;"Não se aplica",SUMIF(TUSD!$E$74:'TUSD'!$E$137,$I$2,TUSD!$BB$74:'TUSD'!$BB$137),IF($D$2&lt;&gt;"Não se aplica",SUMIF(TUSD!$D$74:'TUSD'!$D$137,$I$2,TUSD!$BB$74:'TUSD'!$BB$137),IF($C$2&lt;&gt;"Não se aplica",SUMIF(TUSD!$C$74:'TUSD'!$C$137,$I$2,TUSD!$BB$74:'TUSD'!$BB$137),IF($B$2&lt;&gt;"Não se aplica",SUMIF(TUSD!$B$74:'TUSD'!$B$137,$I$2,TUSD!$BB$74:'TUSD'!$BB$137),SUMIF(TUSD!$A$74:'TUSD'!$A$137,$I$2,TUSD!$BB$74:'TUSD'!$BB$137)))))))</f>
        <v>6.3164452331806799E-9</v>
      </c>
      <c r="V8" s="38">
        <f>IF($G$2&lt;&gt;"Não se aplica",SUMIF(TUSD!$G$74:'TUSD'!$G$137,$I$2,TUSD!$BC$74:'TUSD'!$BC$137),IF($F$2&lt;&gt;"Não se aplica",SUMIF(TUSD!$F$74:'TUSD'!$F$137,$I$2,TUSD!$BC$74:'TUSD'!$BC$137),IF($E$2&lt;&gt;"Não se aplica",SUMIF(TUSD!$E$74:'TUSD'!$E$137,$I$2,TUSD!$BC$74:'TUSD'!$BC$137),IF($D$2&lt;&gt;"Não se aplica",SUMIF(TUSD!$D$74:'TUSD'!$D$137,$I$2,TUSD!$BC$74:'TUSD'!$BC$137),IF($C$2&lt;&gt;"Não se aplica",SUMIF(TUSD!$C$74:'TUSD'!$C$137,$I$2,TUSD!$BC$74:'TUSD'!$BC$137),IF($B$2&lt;&gt;"Não se aplica",SUMIF(TUSD!$B$74:'TUSD'!$B$137,$I$2,TUSD!$BC$74:'TUSD'!$BC$137),SUMIF(TUSD!$A$74:'TUSD'!$A$137,$I$2,TUSD!$BC$74:'TUSD'!$BC$137)))))))</f>
        <v>6.5505099205360602E-8</v>
      </c>
      <c r="W8" s="38">
        <f>IF($G$2&lt;&gt;"Não se aplica",SUMIF(TUSD!$G$74:'TUSD'!$G$137,$I$2,TUSD!$BD$74:'TUSD'!$BD$137),IF($F$2&lt;&gt;"Não se aplica",SUMIF(TUSD!$F$74:'TUSD'!$F$137,$I$2,TUSD!$BD$74:'TUSD'!$BD$137),IF($E$2&lt;&gt;"Não se aplica",SUMIF(TUSD!$E$74:'TUSD'!$E$137,$I$2,TUSD!$BD$74:'TUSD'!$BD$137),IF($D$2&lt;&gt;"Não se aplica",SUMIF(TUSD!$D$74:'TUSD'!$D$137,$I$2,TUSD!$BD$74:'TUSD'!$BD$137),IF($C$2&lt;&gt;"Não se aplica",SUMIF(TUSD!$C$74:'TUSD'!$C$137,$I$2,TUSD!$BD$74:'TUSD'!$BD$137),IF($B$2&lt;&gt;"Não se aplica",SUMIF(TUSD!$B$74:'TUSD'!$B$137,$I$2,TUSD!$BD$74:'TUSD'!$BD$137),SUMIF(TUSD!$A$74:'TUSD'!$A$137,$I$2,TUSD!$BD$74:'TUSD'!$BD$137)))))))</f>
        <v>2.89091334960276E-8</v>
      </c>
      <c r="X8" s="38">
        <f t="shared" si="0"/>
        <v>1.4042417833275155E-6</v>
      </c>
      <c r="AA8" s="14" t="s">
        <v>49</v>
      </c>
      <c r="AB8" s="14" t="s">
        <v>100</v>
      </c>
      <c r="AD8" s="14" t="s">
        <v>102</v>
      </c>
      <c r="AG8" s="14" t="s">
        <v>98</v>
      </c>
    </row>
    <row r="9" spans="1:33" x14ac:dyDescent="0.2">
      <c r="A9" s="14" t="s">
        <v>1453</v>
      </c>
      <c r="B9" s="38">
        <f>IF($G$2&lt;&gt;"Não se aplica",SUMIF(TUSD!$G$74:'TUSD'!$G$137,$I$2,TUSD!$L$74:'TUSD'!$L$137),IF($F$2&lt;&gt;"Não se aplica",SUMIF(TUSD!$F$74:'TUSD'!$F$137,$I$2,TUSD!$L$74:'TUSD'!$L$137),IF($E$2&lt;&gt;"Não se aplica",SUMIF(TUSD!$E$74:'TUSD'!$E$137,$I$2,TUSD!$L$74:'TUSD'!$L$137),IF($D$2&lt;&gt;"Não se aplica",SUMIF(TUSD!$D$74:'TUSD'!$D$137,$I$2,TUSD!$L$74:'TUSD'!$L$137),IF($C$2&lt;&gt;"Não se aplica",SUMIF(TUSD!$C$74:'TUSD'!$C$137,$I$2,TUSD!$L$74:'TUSD'!$L$137),IF($B$2&lt;&gt;"Não se aplica",SUMIF(TUSD!$B$74:'TUSD'!$B$137,$I$2,TUSD!$L$74:'TUSD'!$L$137),SUMIF(TUSD!$A$74:'TUSD'!$A$137,$I$2,TUSD!$L$74:'TUSD'!$L$137)))))))</f>
        <v>1.2463308065266451E-7</v>
      </c>
      <c r="C9" s="38">
        <f>IF($G$2&lt;&gt;"Não se aplica",SUMIF(TUSD!$G$74:'TUSD'!$G$137,$I$2,TUSD!$M$74:'TUSD'!$M$137),IF($F$2&lt;&gt;"Não se aplica",SUMIF(TUSD!$F$74:'TUSD'!$F$137,$I$2,TUSD!$M$74:'TUSD'!$M$137),IF($E$2&lt;&gt;"Não se aplica",SUMIF(TUSD!$E$74:'TUSD'!$E$137,$I$2,TUSD!$M$74:'TUSD'!$M$137),IF($D$2&lt;&gt;"Não se aplica",SUMIF(TUSD!$D$74:'TUSD'!$D$137,$I$2,TUSD!$M$74:'TUSD'!$M$137),IF($C$2&lt;&gt;"Não se aplica",SUMIF(TUSD!$C$74:'TUSD'!$C$137,$I$2,TUSD!$M$74:'TUSD'!$M$137),IF($B$2&lt;&gt;"Não se aplica",SUMIF(TUSD!$B$74:'TUSD'!$B$137,$I$2,TUSD!$M$74:'TUSD'!$M$137),SUMIF(TUSD!$A$74:'TUSD'!$A$137,$I$2,TUSD!$M$74:'TUSD'!$M$137)))))))</f>
        <v>2.3643041852625783E-9</v>
      </c>
      <c r="D9" s="38">
        <f ca="1">IF($G$2&lt;&gt;"Não se aplica",SUMIF(TUSD!$G$74:'TUSD'!$G$137,$I$2,TUSD!$N$74:'TUSD'!$N$137),IF($F$2&lt;&gt;"Não se aplica",SUMIF(TUSD!$F$74:'TUSD'!$F$137,$I$2,TUSD!$N$74:'TUSD'!$N$137),IF($E$2&lt;&gt;"Não se aplica",SUMIF(TUSD!$E$74:'TUSD'!$E$137,$I$2,TUSD!$N$74:'TUSD'!$N$137),IF($D$2&lt;&gt;"Não se aplica",SUMIF(TUSD!$D$74:'TUSD'!$D$137,$I$2,TUSD!$N$74:'TUSD'!$N$137),IF($C$2&lt;&gt;"Não se aplica",SUMIF(TUSD!$C$74:'TUSD'!$C$137,$I$2,TUSD!$N$74:'TUSD'!$N$137),IF($B$2&lt;&gt;"Não se aplica",SUMIF(TUSD!$B$74:'TUSD'!$B$137,$I$2,TUSD!$N$74:'TUSD'!$N$137),SUMIF(TUSD!$A$74:'TUSD'!$A$137,$I$2,TUSD!$N$74:'TUSD'!$N$137)))))))</f>
        <v>6.1533375721261208E-9</v>
      </c>
      <c r="E9" s="38">
        <f>IF($G$2&lt;&gt;"Não se aplica",SUMIF(TUSD!$G$74:'TUSD'!$G$137,$I$2,TUSD!$O$74:'TUSD'!$O$137),IF($F$2&lt;&gt;"Não se aplica",SUMIF(TUSD!$F$74:'TUSD'!$F$137,$I$2,TUSD!$O$74:'TUSD'!$O$137),IF($E$2&lt;&gt;"Não se aplica",SUMIF(TUSD!$E$74:'TUSD'!$E$137,$I$2,TUSD!$O$74:'TUSD'!$O$137),IF($D$2&lt;&gt;"Não se aplica",SUMIF(TUSD!$D$74:'TUSD'!$D$137,$I$2,TUSD!$O$74:'TUSD'!$O$137),IF($C$2&lt;&gt;"Não se aplica",SUMIF(TUSD!$C$74:'TUSD'!$C$137,$I$2,TUSD!$O$74:'TUSD'!$O$137),IF($B$2&lt;&gt;"Não se aplica",SUMIF(TUSD!$B$74:'TUSD'!$B$137,$I$2,TUSD!$O$74:'TUSD'!$O$137),SUMIF(TUSD!$A$74:'TUSD'!$A$137,$I$2,TUSD!$O$74:'TUSD'!$O$137)))))))</f>
        <v>0</v>
      </c>
      <c r="F9" s="38">
        <f>IF($G$2&lt;&gt;"Não se aplica",SUMIF(TUSD!$G$74:'TUSD'!$G$137,$I$2,TUSD!$P$74:'TUSD'!$P$137),IF($F$2&lt;&gt;"Não se aplica",SUMIF(TUSD!$F$74:'TUSD'!$F$137,$I$2,TUSD!$P$74:'TUSD'!$P$137),IF($E$2&lt;&gt;"Não se aplica",SUMIF(TUSD!$E$74:'TUSD'!$E$137,$I$2,TUSD!$P$74:'TUSD'!$P$137),IF($D$2&lt;&gt;"Não se aplica",SUMIF(TUSD!$D$74:'TUSD'!$D$137,$I$2,TUSD!$P$74:'TUSD'!$P$137),IF($C$2&lt;&gt;"Não se aplica",SUMIF(TUSD!$C$74:'TUSD'!$C$137,$I$2,TUSD!$P$74:'TUSD'!$P$137),IF($B$2&lt;&gt;"Não se aplica",SUMIF(TUSD!$B$74:'TUSD'!$B$137,$I$2,TUSD!$P$74:'TUSD'!$P$137),SUMIF(TUSD!$A$74:'TUSD'!$A$137,$I$2,TUSD!$P$74:'TUSD'!$P$137)))))))</f>
        <v>0</v>
      </c>
      <c r="G9" s="38">
        <f>IF($G$2&lt;&gt;"Não se aplica",SUMIF(TUSD!$G$74:'TUSD'!$G$137,$I$2,TUSD!$Q$74:'TUSD'!$Q$137),IF($F$2&lt;&gt;"Não se aplica",SUMIF(TUSD!$F$74:'TUSD'!$F$137,$I$2,TUSD!$Q$74:'TUSD'!$Q$137),IF($E$2&lt;&gt;"Não se aplica",SUMIF(TUSD!$E$74:'TUSD'!$E$137,$I$2,TUSD!$Q$74:'TUSD'!$Q$137),IF($D$2&lt;&gt;"Não se aplica",SUMIF(TUSD!$D$74:'TUSD'!$D$137,$I$2,TUSD!$Q$74:'TUSD'!$Q$137),IF($C$2&lt;&gt;"Não se aplica",SUMIF(TUSD!$C$74:'TUSD'!$C$137,$I$2,TUSD!$Q$74:'TUSD'!$Q$137),IF($B$2&lt;&gt;"Não se aplica",SUMIF(TUSD!$B$74:'TUSD'!$B$137,$I$2,TUSD!$Q$74:'TUSD'!$Q$137),SUMIF(TUSD!$A$74:'TUSD'!$A$137,$I$2,TUSD!$Q$74:'TUSD'!$Q$137)))))))</f>
        <v>3.0978758542365507E-7</v>
      </c>
      <c r="H9" s="38">
        <f>IF($G$2&lt;&gt;"Não se aplica",SUMIF(TUSD!$G$74:'TUSD'!$G$137,$I$2,TUSD!$R$74:'TUSD'!$R$137),IF($F$2&lt;&gt;"Não se aplica",SUMIF(TUSD!$F$74:'TUSD'!$F$137,$I$2,TUSD!$R$74:'TUSD'!$R$137),IF($E$2&lt;&gt;"Não se aplica",SUMIF(TUSD!$E$74:'TUSD'!$E$137,$I$2,TUSD!$R$74:'TUSD'!$R$137),IF($D$2&lt;&gt;"Não se aplica",SUMIF(TUSD!$D$74:'TUSD'!$D$137,$I$2,TUSD!$R$74:'TUSD'!$R$137),IF($C$2&lt;&gt;"Não se aplica",SUMIF(TUSD!$C$74:'TUSD'!$C$137,$I$2,TUSD!$R$74:'TUSD'!$R$137),IF($B$2&lt;&gt;"Não se aplica",SUMIF(TUSD!$B$74:'TUSD'!$B$137,$I$2,TUSD!$R$74:'TUSD'!$R$137),SUMIF(TUSD!$A$74:'TUSD'!$A$137,$I$2,TUSD!$R$74:'TUSD'!$R$137)))))))</f>
        <v>1.8494598327475545E-7</v>
      </c>
      <c r="I9" s="38">
        <f>IF($G$2&lt;&gt;"Não se aplica",SUMIF(TUSD!$G$74:'TUSD'!$G$137,$I$2,TUSD!$S$74:'TUSD'!$S$137),IF($F$2&lt;&gt;"Não se aplica",SUMIF(TUSD!$F$74:'TUSD'!$F$137,$I$2,TUSD!$S$74:'TUSD'!$S$137),IF($E$2&lt;&gt;"Não se aplica",SUMIF(TUSD!$E$74:'TUSD'!$E$137,$I$2,TUSD!$S$74:'TUSD'!$S$137),IF($D$2&lt;&gt;"Não se aplica",SUMIF(TUSD!$D$74:'TUSD'!$D$137,$I$2,TUSD!$S$74:'TUSD'!$S$137),IF($C$2&lt;&gt;"Não se aplica",SUMIF(TUSD!$C$74:'TUSD'!$C$137,$I$2,TUSD!$S$74:'TUSD'!$S$137),IF($B$2&lt;&gt;"Não se aplica",SUMIF(TUSD!$B$74:'TUSD'!$B$137,$I$2,TUSD!$S$74:'TUSD'!$S$137),SUMIF(TUSD!$A$74:'TUSD'!$A$137,$I$2,TUSD!$S$74:'TUSD'!$S$137)))))))</f>
        <v>0</v>
      </c>
      <c r="J9" s="38">
        <f>IF($G$2&lt;&gt;"Não se aplica",SUMIF(TUSD!$G$74:'TUSD'!$G$137,$I$2,TUSD!$T$74:'TUSD'!$T$137),IF($F$2&lt;&gt;"Não se aplica",SUMIF(TUSD!$F$74:'TUSD'!$F$137,$I$2,TUSD!$T$74:'TUSD'!$T$137),IF($E$2&lt;&gt;"Não se aplica",SUMIF(TUSD!$E$74:'TUSD'!$E$137,$I$2,TUSD!$T$74:'TUSD'!$T$137),IF($D$2&lt;&gt;"Não se aplica",SUMIF(TUSD!$D$74:'TUSD'!$D$137,$I$2,TUSD!$T$74:'TUSD'!$T$137),IF($C$2&lt;&gt;"Não se aplica",SUMIF(TUSD!$C$74:'TUSD'!$C$137,$I$2,TUSD!$T$74:'TUSD'!$T$137),IF($B$2&lt;&gt;"Não se aplica",SUMIF(TUSD!$B$74:'TUSD'!$B$137,$I$2,TUSD!$T$74:'TUSD'!$T$137),SUMIF(TUSD!$A$74:'TUSD'!$A$137,$I$2,TUSD!$T$74:'TUSD'!$T$137)))))))</f>
        <v>6.2307534995649915E-8</v>
      </c>
      <c r="K9" s="38">
        <f>IF($G$2&lt;&gt;"Não se aplica",SUMIF(TUSD!$G$74:'TUSD'!$G$137,$I$2,TUSD!$U$74:'TUSD'!$U$137),IF($F$2&lt;&gt;"Não se aplica",SUMIF(TUSD!$F$74:'TUSD'!$F$137,$I$2,TUSD!$U$74:'TUSD'!$U$137),IF($E$2&lt;&gt;"Não se aplica",SUMIF(TUSD!$E$74:'TUSD'!$E$137,$I$2,TUSD!$U$74:'TUSD'!$U$137),IF($D$2&lt;&gt;"Não se aplica",SUMIF(TUSD!$D$74:'TUSD'!$D$137,$I$2,TUSD!$U$74:'TUSD'!$U$137),IF($C$2&lt;&gt;"Não se aplica",SUMIF(TUSD!$C$74:'TUSD'!$C$137,$I$2,TUSD!$U$74:'TUSD'!$U$137),IF($B$2&lt;&gt;"Não se aplica",SUMIF(TUSD!$B$74:'TUSD'!$B$137,$I$2,TUSD!$U$74:'TUSD'!$U$137),SUMIF(TUSD!$A$74:'TUSD'!$A$137,$I$2,TUSD!$U$74:'TUSD'!$U$137)))))))</f>
        <v>6.8237734630701361E-8</v>
      </c>
      <c r="L9" s="38">
        <f>IF($G$2&lt;&gt;"Não se aplica",SUMIF(TUSD!$G$74:'TUSD'!$G$137,$I$2,TUSD!$V$74:'TUSD'!$V$137),IF($F$2&lt;&gt;"Não se aplica",SUMIF(TUSD!$F$74:'TUSD'!$F$137,$I$2,TUSD!$V$74:'TUSD'!$V$137),IF($E$2&lt;&gt;"Não se aplica",SUMIF(TUSD!$E$74:'TUSD'!$E$137,$I$2,TUSD!$V$74:'TUSD'!$V$137),IF($D$2&lt;&gt;"Não se aplica",SUMIF(TUSD!$D$74:'TUSD'!$D$137,$I$2,TUSD!$V$74:'TUSD'!$V$137),IF($C$2&lt;&gt;"Não se aplica",SUMIF(TUSD!$C$74:'TUSD'!$C$137,$I$2,TUSD!$V$74:'TUSD'!$V$137),IF($B$2&lt;&gt;"Não se aplica",SUMIF(TUSD!$B$74:'TUSD'!$B$137,$I$2,TUSD!$V$74:'TUSD'!$V$137),SUMIF(TUSD!$A$74:'TUSD'!$A$137,$I$2,TUSD!$V$74:'TUSD'!$V$137)))))))</f>
        <v>5.8746920200549492E-9</v>
      </c>
      <c r="M9" s="38">
        <f>IF($G$2&lt;&gt;"Não se aplica",SUMIF(TUSD!$G$74:'TUSD'!$G$137,$I$2,TUSD!$W$74:'TUSD'!$W$137),IF($F$2&lt;&gt;"Não se aplica",SUMIF(TUSD!$F$74:'TUSD'!$F$137,$I$2,TUSD!$W$74:'TUSD'!$W$137),IF($E$2&lt;&gt;"Não se aplica",SUMIF(TUSD!$E$74:'TUSD'!$E$137,$I$2,TUSD!$W$74:'TUSD'!$W$137),IF($D$2&lt;&gt;"Não se aplica",SUMIF(TUSD!$D$74:'TUSD'!$D$137,$I$2,TUSD!$W$74:'TUSD'!$W$137),IF($C$2&lt;&gt;"Não se aplica",SUMIF(TUSD!$C$74:'TUSD'!$C$137,$I$2,TUSD!$W$74:'TUSD'!$W$137),IF($B$2&lt;&gt;"Não se aplica",SUMIF(TUSD!$B$74:'TUSD'!$B$137,$I$2,TUSD!$W$74:'TUSD'!$W$137),SUMIF(TUSD!$A$74:'TUSD'!$A$137,$I$2,TUSD!$W$74:'TUSD'!$W$137)))))))</f>
        <v>0</v>
      </c>
      <c r="N9" s="38">
        <f>IF($G$2&lt;&gt;"Não se aplica",SUMIF(TUSD!$G$74:'TUSD'!$G$137,$I$2,TUSD!$X$74:'TUSD'!$X$137),IF($F$2&lt;&gt;"Não se aplica",SUMIF(TUSD!$F$74:'TUSD'!$F$137,$I$2,TUSD!$X$74:'TUSD'!$X$137),IF($E$2&lt;&gt;"Não se aplica",SUMIF(TUSD!$E$74:'TUSD'!$E$137,$I$2,TUSD!$X$74:'TUSD'!$X$137),IF($D$2&lt;&gt;"Não se aplica",SUMIF(TUSD!$D$74:'TUSD'!$D$137,$I$2,TUSD!$X$74:'TUSD'!$X$137),IF($C$2&lt;&gt;"Não se aplica",SUMIF(TUSD!$C$74:'TUSD'!$C$137,$I$2,TUSD!$X$74:'TUSD'!$X$137),IF($B$2&lt;&gt;"Não se aplica",SUMIF(TUSD!$B$74:'TUSD'!$B$137,$I$2,TUSD!$X$74:'TUSD'!$X$137),SUMIF(TUSD!$A$74:'TUSD'!$A$137,$I$2,TUSD!$X$74:'TUSD'!$X$137)))))))</f>
        <v>0</v>
      </c>
      <c r="O9" s="38">
        <f>IF($G$2&lt;&gt;"Não se aplica",SUMIF(TUSD!$G$74:'TUSD'!$G$137,$I$2,TUSD!$Y$74:'TUSD'!$Y$137),IF($F$2&lt;&gt;"Não se aplica",SUMIF(TUSD!$F$74:'TUSD'!$F$137,$I$2,TUSD!$Y$74:'TUSD'!$Y$137),IF($E$2&lt;&gt;"Não se aplica",SUMIF(TUSD!$E$74:'TUSD'!$E$137,$I$2,TUSD!$Y$74:'TUSD'!$Y$137),IF($D$2&lt;&gt;"Não se aplica",SUMIF(TUSD!$D$74:'TUSD'!$D$137,$I$2,TUSD!$Y$74:'TUSD'!$Y$137),IF($C$2&lt;&gt;"Não se aplica",SUMIF(TUSD!$C$74:'TUSD'!$C$137,$I$2,TUSD!$Y$74:'TUSD'!$Y$137),IF($B$2&lt;&gt;"Não se aplica",SUMIF(TUSD!$B$74:'TUSD'!$B$137,$I$2,TUSD!$Y$74:'TUSD'!$Y$137),SUMIF(TUSD!$A$74:'TUSD'!$A$137,$I$2,TUSD!$Y$74:'TUSD'!$Y$137)))))))</f>
        <v>0</v>
      </c>
      <c r="P9" s="38">
        <f>IF($G$2&lt;&gt;"Não se aplica",SUMIF(TUSD!$G$74:'TUSD'!$G$137,$I$2,TUSD!$Z$74:'TUSD'!$Z$137),IF($F$2&lt;&gt;"Não se aplica",SUMIF(TUSD!$F$74:'TUSD'!$F$137,$I$2,TUSD!$Z$74:'TUSD'!$Z$137),IF($E$2&lt;&gt;"Não se aplica",SUMIF(TUSD!$E$74:'TUSD'!$E$137,$I$2,TUSD!$Z$74:'TUSD'!$Z$137),IF($D$2&lt;&gt;"Não se aplica",SUMIF(TUSD!$D$74:'TUSD'!$D$137,$I$2,TUSD!$Z$74:'TUSD'!$Z$137),IF($C$2&lt;&gt;"Não se aplica",SUMIF(TUSD!$C$74:'TUSD'!$C$137,$I$2,TUSD!$Z$74:'TUSD'!$Z$137),IF($B$2&lt;&gt;"Não se aplica",SUMIF(TUSD!$B$74:'TUSD'!$B$137,$I$2,TUSD!$Z$74:'TUSD'!$Z$137),SUMIF(TUSD!$A$74:'TUSD'!$A$137,$I$2,TUSD!$Z$74:'TUSD'!$Z$137)))))))</f>
        <v>0</v>
      </c>
      <c r="Q9" s="38">
        <f>IF($G$2&lt;&gt;"Não se aplica",SUMIF(TUSD!$G$74:'TUSD'!$G$137,$I$2,TUSD!$AA$74:'TUSD'!$AA$137),IF($F$2&lt;&gt;"Não se aplica",SUMIF(TUSD!$F$74:'TUSD'!$F$137,$I$2,TUSD!$AA$74:'TUSD'!$AA$137),IF($E$2&lt;&gt;"Não se aplica",SUMIF(TUSD!$E$74:'TUSD'!$E$137,$I$2,TUSD!$AA$74:'TUSD'!$AA$137),IF($D$2&lt;&gt;"Não se aplica",SUMIF(TUSD!$D$74:'TUSD'!$D$137,$I$2,TUSD!$AA$74:'TUSD'!$AA$137),IF($C$2&lt;&gt;"Não se aplica",SUMIF(TUSD!$C$74:'TUSD'!$C$137,$I$2,TUSD!$AA$74:'TUSD'!$AA$137),IF($B$2&lt;&gt;"Não se aplica",SUMIF(TUSD!$B$74:'TUSD'!$B$137,$I$2,TUSD!$AA$74:'TUSD'!$AA$137),SUMIF(TUSD!$A$74:'TUSD'!$A$137,$I$2,TUSD!$AA$74:'TUSD'!$AA$137)))))))</f>
        <v>6.5390119978457338E-7</v>
      </c>
      <c r="R9" s="38">
        <f ca="1">IF($G$2&lt;&gt;"Não se aplica",SUMIF(TUSD!$G$74:'TUSD'!$G$137,$I$2,TUSD!$AB$74:'TUSD'!$AB$137),IF($F$2&lt;&gt;"Não se aplica",SUMIF(TUSD!$F$74:'TUSD'!$F$137,$I$2,TUSD!$AB$74:'TUSD'!$AB$137),IF($E$2&lt;&gt;"Não se aplica",SUMIF(TUSD!$E$74:'TUSD'!$E$137,$I$2,TUSD!$AB$74:'TUSD'!$AB$137),IF($D$2&lt;&gt;"Não se aplica",SUMIF(TUSD!$D$74:'TUSD'!$D$137,$I$2,TUSD!$AB$74:'TUSD'!$AB$137),IF($C$2&lt;&gt;"Não se aplica",SUMIF(TUSD!$C$74:'TUSD'!$C$137,$I$2,TUSD!$AB$74:'TUSD'!$AB$137),IF($B$2&lt;&gt;"Não se aplica",SUMIF(TUSD!$B$74:'TUSD'!$B$137,$I$2,TUSD!$AB$74:'TUSD'!$AB$137),SUMIF(TUSD!$A$74:'TUSD'!$A$137,$I$2,TUSD!$AB$74:'TUSD'!$AB$137)))))))</f>
        <v>-1.4593370152371294E-7</v>
      </c>
      <c r="S9" s="38">
        <f ca="1">IF($G$2&lt;&gt;"Não se aplica",SUMIF(TUSD!$G$74:'TUSD'!$G$137,$I$2,TUSD!$AC$74:'TUSD'!$AC$137),IF($F$2&lt;&gt;"Não se aplica",SUMIF(TUSD!$F$74:'TUSD'!$F$137,$I$2,TUSD!$AC$74:'TUSD'!$AC$137),IF($E$2&lt;&gt;"Não se aplica",SUMIF(TUSD!$E$74:'TUSD'!$E$137,$I$2,TUSD!$AC$74:'TUSD'!$AC$137),IF($D$2&lt;&gt;"Não se aplica",SUMIF(TUSD!$D$74:'TUSD'!$D$137,$I$2,TUSD!$AC$74:'TUSD'!$AC$137),IF($C$2&lt;&gt;"Não se aplica",SUMIF(TUSD!$C$74:'TUSD'!$C$137,$I$2,TUSD!$AC$74:'TUSD'!$AC$137),IF($B$2&lt;&gt;"Não se aplica",SUMIF(TUSD!$B$74:'TUSD'!$B$137,$I$2,TUSD!$AC$74:'TUSD'!$AC$137),SUMIF(TUSD!$A$74:'TUSD'!$A$137,$I$2,TUSD!$AC$74:'TUSD'!$AC$137)))))))</f>
        <v>0</v>
      </c>
      <c r="T9" s="38">
        <f>IF($G$2&lt;&gt;"Não se aplica",SUMIF(TUSD!$G$74:'TUSD'!$G$137,$I$2,TUSD!$AD$74:'TUSD'!$AD$137),IF($F$2&lt;&gt;"Não se aplica",SUMIF(TUSD!$F$74:'TUSD'!$F$137,$I$2,TUSD!$AD$74:'TUSD'!$AD$137),IF($E$2&lt;&gt;"Não se aplica",SUMIF(TUSD!$E$74:'TUSD'!$E$137,$I$2,TUSD!$AD$74:'TUSD'!$AD$137),IF($D$2&lt;&gt;"Não se aplica",SUMIF(TUSD!$D$74:'TUSD'!$D$137,$I$2,TUSD!$AD$74:'TUSD'!$AD$137),IF($C$2&lt;&gt;"Não se aplica",SUMIF(TUSD!$C$74:'TUSD'!$C$137,$I$2,TUSD!$AD$74:'TUSD'!$AD$137),IF($B$2&lt;&gt;"Não se aplica",SUMIF(TUSD!$B$74:'TUSD'!$B$137,$I$2,TUSD!$AD$74:'TUSD'!$AD$137),SUMIF(TUSD!$A$74:'TUSD'!$A$137,$I$2,TUSD!$AD$74:'TUSD'!$AD$137)))))))</f>
        <v>2.2822398889679386E-7</v>
      </c>
      <c r="U9" s="38">
        <f>IF($G$2&lt;&gt;"Não se aplica",SUMIF(TUSD!$G$74:'TUSD'!$G$137,$I$2,TUSD!$AE$74:'TUSD'!$AE$137),IF($F$2&lt;&gt;"Não se aplica",SUMIF(TUSD!$F$74:'TUSD'!$F$137,$I$2,TUSD!$AE$74:'TUSD'!$AE$137),IF($E$2&lt;&gt;"Não se aplica",SUMIF(TUSD!$E$74:'TUSD'!$E$137,$I$2,TUSD!$AE$74:'TUSD'!$AE$137),IF($D$2&lt;&gt;"Não se aplica",SUMIF(TUSD!$D$74:'TUSD'!$D$137,$I$2,TUSD!$AE$74:'TUSD'!$AE$137),IF($C$2&lt;&gt;"Não se aplica",SUMIF(TUSD!$C$74:'TUSD'!$C$137,$I$2,TUSD!$AE$74:'TUSD'!$AE$137),IF($B$2&lt;&gt;"Não se aplica",SUMIF(TUSD!$B$74:'TUSD'!$B$137,$I$2,TUSD!$AE$74:'TUSD'!$AE$137),SUMIF(TUSD!$A$74:'TUSD'!$A$137,$I$2,TUSD!$AE$74:'TUSD'!$AE$137)))))))</f>
        <v>1.0552864241796153E-8</v>
      </c>
      <c r="V9" s="38">
        <f ca="1">IF($G$2&lt;&gt;"Não se aplica",SUMIF(TUSD!$G$74:'TUSD'!$G$137,$I$2,TUSD!$AF$74:'TUSD'!$AF$137),IF($F$2&lt;&gt;"Não se aplica",SUMIF(TUSD!$F$74:'TUSD'!$F$137,$I$2,TUSD!$AF$74:'TUSD'!$AF$137),IF($E$2&lt;&gt;"Não se aplica",SUMIF(TUSD!$E$74:'TUSD'!$E$137,$I$2,TUSD!$AF$74:'TUSD'!$AF$137),IF($D$2&lt;&gt;"Não se aplica",SUMIF(TUSD!$D$74:'TUSD'!$D$137,$I$2,TUSD!$AF$74:'TUSD'!$AF$137),IF($C$2&lt;&gt;"Não se aplica",SUMIF(TUSD!$C$74:'TUSD'!$C$137,$I$2,TUSD!$AF$74:'TUSD'!$AF$137),IF($B$2&lt;&gt;"Não se aplica",SUMIF(TUSD!$B$74:'TUSD'!$B$137,$I$2,TUSD!$AF$74:'TUSD'!$AF$137),SUMIF(TUSD!$A$74:'TUSD'!$A$137,$I$2,TUSD!$AF$74:'TUSD'!$AF$137)))))))</f>
        <v>1.0255098016182376E-7</v>
      </c>
      <c r="W9" s="38">
        <f ca="1">IF($G$2&lt;&gt;"Não se aplica",SUMIF(TUSD!$G$74:'TUSD'!$G$137,$I$2,TUSD!$AG$74:'TUSD'!$AG$137),IF($F$2&lt;&gt;"Não se aplica",SUMIF(TUSD!$F$74:'TUSD'!$F$137,$I$2,TUSD!$AG$74:'TUSD'!$AG$137),IF($E$2&lt;&gt;"Não se aplica",SUMIF(TUSD!$E$74:'TUSD'!$E$137,$I$2,TUSD!$AG$74:'TUSD'!$AG$137),IF($D$2&lt;&gt;"Não se aplica",SUMIF(TUSD!$D$74:'TUSD'!$D$137,$I$2,TUSD!$AG$74:'TUSD'!$AG$137),IF($C$2&lt;&gt;"Não se aplica",SUMIF(TUSD!$C$74:'TUSD'!$C$137,$I$2,TUSD!$AG$74:'TUSD'!$AG$137),IF($B$2&lt;&gt;"Não se aplica",SUMIF(TUSD!$B$74:'TUSD'!$B$137,$I$2,TUSD!$AG$74:'TUSD'!$AG$137),SUMIF(TUSD!$A$74:'TUSD'!$A$137,$I$2,TUSD!$AG$74:'TUSD'!$AG$137)))))))</f>
        <v>3.7510431021928589E-8</v>
      </c>
      <c r="X9" s="38">
        <f t="shared" ca="1" si="0"/>
        <v>1.6511100153380724E-6</v>
      </c>
      <c r="AD9" s="14" t="s">
        <v>51</v>
      </c>
    </row>
    <row r="10" spans="1:33" x14ac:dyDescent="0.2">
      <c r="A10" s="14" t="s">
        <v>1450</v>
      </c>
      <c r="B10" s="38">
        <f>SUMIF(TUSD!$A$74:'TUSD'!$A$137,$A$2,TUSD!$AI$74:'TUSD'!$AI$137)</f>
        <v>1.52113588222787E-7</v>
      </c>
      <c r="C10" s="38">
        <f>SUMIF(TUSD!$A$74:'TUSD'!$A$137,$A$2,TUSD!$AJ$74:'TUSD'!$AJ$137)</f>
        <v>2.22357201908556E-9</v>
      </c>
      <c r="D10" s="38">
        <f>SUMIF(TUSD!$A$74:'TUSD'!$A$137,$A$2,TUSD!$AK$74:'TUSD'!$AK$137)</f>
        <v>5.3642697725792101E-9</v>
      </c>
      <c r="E10" s="38">
        <f>SUMIF(TUSD!$A$74:'TUSD'!$A$137,$A$2,TUSD!$AL$74:'TUSD'!$AL$137)</f>
        <v>0</v>
      </c>
      <c r="F10" s="38">
        <f>SUMIF(TUSD!$A$74:'TUSD'!$A$137,$A$2,TUSD!$AM$74:'TUSD'!$AM$137)</f>
        <v>0</v>
      </c>
      <c r="G10" s="38">
        <f>SUMIF(TUSD!$A$74:'TUSD'!$A$137,$A$2,TUSD!$AN$74:'TUSD'!$AN$137)</f>
        <v>1.7143865413254702E-7</v>
      </c>
      <c r="H10" s="38">
        <f>SUMIF(TUSD!$A$74:'TUSD'!$A$137,$A$2,TUSD!$AO$74:'TUSD'!$AO$137)</f>
        <v>1.1180406741798601E-7</v>
      </c>
      <c r="I10" s="38">
        <f>SUMIF(TUSD!$A$74:'TUSD'!$A$137,$A$2,TUSD!$AP$74:'TUSD'!$AP$137)</f>
        <v>0</v>
      </c>
      <c r="J10" s="38">
        <f>SUMIF(TUSD!$A$74:'TUSD'!$A$137,$A$2,TUSD!$AQ$74:'TUSD'!$AQ$137)</f>
        <v>4.1114476767768299E-8</v>
      </c>
      <c r="K10" s="38">
        <f>SUMIF(TUSD!$A$74:'TUSD'!$A$137,$A$2,TUSD!$AR$74:'TUSD'!$AR$137)</f>
        <v>5.2855886894927397E-8</v>
      </c>
      <c r="L10" s="38">
        <f>SUMIF(TUSD!$A$74:'TUSD'!$A$137,$A$2,TUSD!$AS$74:'TUSD'!$AS$137)</f>
        <v>4.5960219670746504E-9</v>
      </c>
      <c r="M10" s="38">
        <f>SUMIF(TUSD!$A$74:'TUSD'!$A$137,$A$2,TUSD!$AT$74:'TUSD'!$AT$137)</f>
        <v>0</v>
      </c>
      <c r="N10" s="38">
        <f>SUMIF(TUSD!$A$74:'TUSD'!$A$137,$A$2,TUSD!$AU$74:'TUSD'!$AU$137)</f>
        <v>0</v>
      </c>
      <c r="O10" s="38">
        <f>SUMIF(TUSD!$A$74:'TUSD'!$A$137,$A$2,TUSD!$AV$74:'TUSD'!$AV$137)</f>
        <v>0</v>
      </c>
      <c r="P10" s="38">
        <f>SUMIF(TUSD!$A$74:'TUSD'!$A$137,$A$2,TUSD!$AW$74:'TUSD'!$AW$137)</f>
        <v>0</v>
      </c>
      <c r="Q10" s="38">
        <f>SUMIF(TUSD!$A$74:'TUSD'!$A$137,$A$2,TUSD!$AX$74:'TUSD'!$AX$137)</f>
        <v>6.1407084640081598E-7</v>
      </c>
      <c r="R10" s="38">
        <f>SUMIF(TUSD!$A$74:'TUSD'!$A$137,$A$2,TUSD!$AY$74:'TUSD'!$AY$137)</f>
        <v>0</v>
      </c>
      <c r="S10" s="38">
        <f>SUMIF(TUSD!$A$74:'TUSD'!$A$137,$A$2,TUSD!$AZ$74:'TUSD'!$AZ$137)</f>
        <v>0</v>
      </c>
      <c r="T10" s="38">
        <f>SUMIF(TUSD!$A$74:'TUSD'!$A$137,$A$2,TUSD!$BA$74:'TUSD'!$BA$137)</f>
        <v>1.479297217973754E-7</v>
      </c>
      <c r="U10" s="38">
        <f>SUMIF(TUSD!$A$74:'TUSD'!$A$137,$A$2,TUSD!$BB$74:'TUSD'!$BB$137)</f>
        <v>6.3164452331806799E-9</v>
      </c>
      <c r="V10" s="38">
        <f>SUMIF(TUSD!$A$74:'TUSD'!$A$137,$A$2,TUSD!$BC$74:'TUSD'!$BC$137)</f>
        <v>6.5505099205360602E-8</v>
      </c>
      <c r="W10" s="38">
        <f>SUMIF(TUSD!$A$74:'TUSD'!$A$137,$A$2,TUSD!$BD$74:'TUSD'!$BD$137)</f>
        <v>2.89091334960276E-8</v>
      </c>
      <c r="X10" s="38">
        <f t="shared" si="0"/>
        <v>1.4042417833275155E-6</v>
      </c>
      <c r="AD10" s="14" t="s">
        <v>103</v>
      </c>
    </row>
    <row r="11" spans="1:33" x14ac:dyDescent="0.2">
      <c r="A11" s="14" t="s">
        <v>1451</v>
      </c>
      <c r="B11" s="38">
        <f>SUMIF(TUSD!$A$74:'TUSD'!$A$137,$A$2,TUSD!$L$74:'TUSD'!$L$137)</f>
        <v>1.2463308065266451E-7</v>
      </c>
      <c r="C11" s="38">
        <f>SUMIF(TUSD!$A$74:'TUSD'!$A$137,$A$2,TUSD!$M$74:'TUSD'!$M$137)</f>
        <v>2.3643041852625783E-9</v>
      </c>
      <c r="D11" s="38">
        <f ca="1">SUMIF(TUSD!$A$74:'TUSD'!$A$137,$A$2,TUSD!$N$74:'TUSD'!$N$137)</f>
        <v>6.1533375721261208E-9</v>
      </c>
      <c r="E11" s="38">
        <f>SUMIF(TUSD!$A$74:'TUSD'!$A$137,$A$2,TUSD!$O$74:'TUSD'!$O$137)</f>
        <v>0</v>
      </c>
      <c r="F11" s="38">
        <f>SUMIF(TUSD!$A$74:'TUSD'!$A$137,$A$2,TUSD!$P$74:'TUSD'!$P$137)</f>
        <v>0</v>
      </c>
      <c r="G11" s="38">
        <f>SUMIF(TUSD!$A$74:'TUSD'!$A$137,$A$2,TUSD!$Q$74:'TUSD'!$Q$137)</f>
        <v>3.0978758542365507E-7</v>
      </c>
      <c r="H11" s="38">
        <f>SUMIF(TUSD!$A$74:'TUSD'!$A$137,$A$2,TUSD!$R$74:'TUSD'!$R$137)</f>
        <v>1.8494598327475545E-7</v>
      </c>
      <c r="I11" s="38">
        <f>SUMIF(TUSD!$A$74:'TUSD'!$A$137,$A$2,TUSD!$S$74:'TUSD'!$S$137)</f>
        <v>0</v>
      </c>
      <c r="J11" s="38">
        <f>SUMIF(TUSD!$A$74:'TUSD'!$A$137,$A$2,TUSD!$T$74:'TUSD'!$T$137)</f>
        <v>6.2307534995649915E-8</v>
      </c>
      <c r="K11" s="38">
        <f>SUMIF(TUSD!$A$74:'TUSD'!$A$137,$A$2,TUSD!$U$74:'TUSD'!$U$137)</f>
        <v>6.8237734630701361E-8</v>
      </c>
      <c r="L11" s="38">
        <f>SUMIF(TUSD!$A$74:'TUSD'!$A$137,$A$2,TUSD!$V$74:'TUSD'!$V$137)</f>
        <v>5.8746920200549492E-9</v>
      </c>
      <c r="M11" s="38">
        <f>SUMIF(TUSD!$A$74:'TUSD'!$A$137,$A$2,TUSD!$W$74:'TUSD'!$W$137)</f>
        <v>0</v>
      </c>
      <c r="N11" s="38">
        <f>SUMIF(TUSD!$A$74:'TUSD'!$A$137,$A$2,TUSD!$X$74:'TUSD'!$X$137)</f>
        <v>0</v>
      </c>
      <c r="O11" s="38">
        <f>SUMIF(TUSD!$A$74:'TUSD'!$A$137,$A$2,TUSD!$Y$74:'TUSD'!$Y$137)</f>
        <v>0</v>
      </c>
      <c r="P11" s="38">
        <f>SUMIF(TUSD!$A$74:'TUSD'!$A$137,$A$2,TUSD!$Z$74:'TUSD'!$Z$137)</f>
        <v>0</v>
      </c>
      <c r="Q11" s="38">
        <f>SUMIF(TUSD!$A$74:'TUSD'!$A$137,$A$2,TUSD!$AA$74:'TUSD'!$AA$137)</f>
        <v>6.5390119978457338E-7</v>
      </c>
      <c r="R11" s="38">
        <f ca="1">SUMIF(TUSD!$A$74:'TUSD'!$A$137,$A$2,TUSD!$AB$74:'TUSD'!$AB$137)</f>
        <v>-1.4593370152371294E-7</v>
      </c>
      <c r="S11" s="38">
        <f ca="1">SUMIF(TUSD!$A$74:'TUSD'!$A$137,$A$2,TUSD!$AC$74:'TUSD'!$AC$137)</f>
        <v>0</v>
      </c>
      <c r="T11" s="38">
        <f>SUMIF(TUSD!$A$74:'TUSD'!$A$137,$A$2,TUSD!$AD$74:'TUSD'!$AD$137)</f>
        <v>2.2822398889679386E-7</v>
      </c>
      <c r="U11" s="38">
        <f>SUMIF(TUSD!$A$74:'TUSD'!$A$137,$A$2,TUSD!$AE$74:'TUSD'!$AE$137)</f>
        <v>1.0552864241796153E-8</v>
      </c>
      <c r="V11" s="38">
        <f ca="1">SUMIF(TUSD!$A$74:'TUSD'!$A$137,$A$2,TUSD!$AF$74:'TUSD'!$AF$137)</f>
        <v>1.0255098016182376E-7</v>
      </c>
      <c r="W11" s="38">
        <f ca="1">SUMIF(TUSD!$A$74:'TUSD'!$A$137,$A$2,TUSD!$AG$74:'TUSD'!$AG$137)</f>
        <v>3.7510431021928589E-8</v>
      </c>
      <c r="X11" s="38">
        <f t="shared" ca="1" si="0"/>
        <v>1.6511100153380724E-6</v>
      </c>
    </row>
    <row r="13" spans="1:33" x14ac:dyDescent="0.2">
      <c r="A13" s="14" t="s">
        <v>1455</v>
      </c>
      <c r="B13" s="48">
        <f t="shared" ref="B13:X13" si="1">IF($X$6&lt;&gt;0,(B$7-B$6)/$X$6,0)</f>
        <v>-5.805401629695818E-3</v>
      </c>
      <c r="C13" s="48">
        <f t="shared" si="1"/>
        <v>1.5456556355502758E-4</v>
      </c>
      <c r="D13" s="48">
        <f t="shared" ca="1" si="1"/>
        <v>9.1561467592012405E-4</v>
      </c>
      <c r="E13" s="48">
        <f t="shared" si="1"/>
        <v>0</v>
      </c>
      <c r="F13" s="48">
        <f t="shared" si="1"/>
        <v>0</v>
      </c>
      <c r="G13" s="48">
        <f t="shared" si="1"/>
        <v>5.1538591562070871E-2</v>
      </c>
      <c r="H13" s="48">
        <f t="shared" si="1"/>
        <v>1.6333588361811049E-2</v>
      </c>
      <c r="I13" s="48">
        <f t="shared" si="1"/>
        <v>0</v>
      </c>
      <c r="J13" s="48">
        <f t="shared" si="1"/>
        <v>1.470334185926034E-2</v>
      </c>
      <c r="K13" s="48">
        <f t="shared" si="1"/>
        <v>1.0758652716610423E-2</v>
      </c>
      <c r="L13" s="48">
        <f t="shared" si="1"/>
        <v>8.9518544547629339E-4</v>
      </c>
      <c r="M13" s="48">
        <f t="shared" si="1"/>
        <v>0</v>
      </c>
      <c r="N13" s="48">
        <f t="shared" si="1"/>
        <v>0</v>
      </c>
      <c r="O13" s="48">
        <f t="shared" si="1"/>
        <v>0</v>
      </c>
      <c r="P13" s="48">
        <f t="shared" si="1"/>
        <v>0</v>
      </c>
      <c r="Q13" s="48">
        <f t="shared" si="1"/>
        <v>4.6252797364759256E-2</v>
      </c>
      <c r="R13" s="48">
        <f t="shared" ca="1" si="1"/>
        <v>-0.10113908638342868</v>
      </c>
      <c r="S13" s="48">
        <f t="shared" ca="1" si="1"/>
        <v>0</v>
      </c>
      <c r="T13" s="48">
        <f t="shared" si="1"/>
        <v>2.4198945783643233E-2</v>
      </c>
      <c r="U13" s="48">
        <f t="shared" si="1"/>
        <v>1.2754552844093804E-3</v>
      </c>
      <c r="V13" s="48">
        <f t="shared" ca="1" si="1"/>
        <v>2.3575552861949792E-2</v>
      </c>
      <c r="W13" s="48">
        <f t="shared" ca="1" si="1"/>
        <v>5.1619697473859862E-3</v>
      </c>
      <c r="X13" s="48">
        <f t="shared" ca="1" si="1"/>
        <v>8.8819773213727221E-2</v>
      </c>
    </row>
    <row r="14" spans="1:33" x14ac:dyDescent="0.2">
      <c r="A14" s="14" t="s">
        <v>1456</v>
      </c>
      <c r="B14" s="48">
        <f t="shared" ref="B14:X14" si="2">IF($X$10&lt;&gt;0,(B$9-B$8)/$X$10,0)</f>
        <v>-1.9569640995159825E-2</v>
      </c>
      <c r="C14" s="48">
        <f t="shared" si="2"/>
        <v>1.0021932679110067E-4</v>
      </c>
      <c r="D14" s="48">
        <f t="shared" ca="1" si="2"/>
        <v>5.6191733426213977E-4</v>
      </c>
      <c r="E14" s="48">
        <f t="shared" si="2"/>
        <v>0</v>
      </c>
      <c r="F14" s="48">
        <f t="shared" si="2"/>
        <v>0</v>
      </c>
      <c r="G14" s="48">
        <f t="shared" si="2"/>
        <v>9.8522158316122765E-2</v>
      </c>
      <c r="H14" s="48">
        <f t="shared" si="2"/>
        <v>5.208641184529568E-2</v>
      </c>
      <c r="I14" s="48">
        <f t="shared" si="2"/>
        <v>0</v>
      </c>
      <c r="J14" s="48">
        <f t="shared" si="2"/>
        <v>1.5092171789435135E-2</v>
      </c>
      <c r="K14" s="48">
        <f t="shared" si="2"/>
        <v>1.0953845639975812E-2</v>
      </c>
      <c r="L14" s="48">
        <f t="shared" si="2"/>
        <v>9.1057684521417682E-4</v>
      </c>
      <c r="M14" s="48">
        <f t="shared" si="2"/>
        <v>0</v>
      </c>
      <c r="N14" s="48">
        <f t="shared" si="2"/>
        <v>0</v>
      </c>
      <c r="O14" s="48">
        <f t="shared" si="2"/>
        <v>0</v>
      </c>
      <c r="P14" s="48">
        <f t="shared" si="2"/>
        <v>0</v>
      </c>
      <c r="Q14" s="48">
        <f t="shared" si="2"/>
        <v>2.8364312938598583E-2</v>
      </c>
      <c r="R14" s="48">
        <f t="shared" ca="1" si="2"/>
        <v>-0.10392348615201147</v>
      </c>
      <c r="S14" s="48">
        <f t="shared" ca="1" si="2"/>
        <v>0</v>
      </c>
      <c r="T14" s="48">
        <f t="shared" si="2"/>
        <v>5.7179801977656423E-2</v>
      </c>
      <c r="U14" s="48">
        <f t="shared" si="2"/>
        <v>3.0168729195457931E-3</v>
      </c>
      <c r="V14" s="48">
        <f t="shared" ca="1" si="2"/>
        <v>2.6381411945084414E-2</v>
      </c>
      <c r="W14" s="48">
        <f t="shared" ca="1" si="2"/>
        <v>6.125225461899593E-3</v>
      </c>
      <c r="X14" s="48">
        <f t="shared" ca="1" si="2"/>
        <v>0.17580179919271</v>
      </c>
    </row>
    <row r="15" spans="1:33" x14ac:dyDescent="0.2">
      <c r="A15" s="14" t="s">
        <v>1457</v>
      </c>
      <c r="B15" s="48">
        <f t="shared" ref="B15:X15" si="3">IF($X$8&lt;&gt;0,(B$9-B$8)/$X$8,0)</f>
        <v>-1.9569640995159825E-2</v>
      </c>
      <c r="C15" s="48">
        <f t="shared" si="3"/>
        <v>1.0021932679110067E-4</v>
      </c>
      <c r="D15" s="48">
        <f t="shared" ca="1" si="3"/>
        <v>5.6191733426213977E-4</v>
      </c>
      <c r="E15" s="48">
        <f t="shared" si="3"/>
        <v>0</v>
      </c>
      <c r="F15" s="48">
        <f t="shared" si="3"/>
        <v>0</v>
      </c>
      <c r="G15" s="48">
        <f t="shared" si="3"/>
        <v>9.8522158316122765E-2</v>
      </c>
      <c r="H15" s="48">
        <f t="shared" si="3"/>
        <v>5.208641184529568E-2</v>
      </c>
      <c r="I15" s="48">
        <f t="shared" si="3"/>
        <v>0</v>
      </c>
      <c r="J15" s="48">
        <f t="shared" si="3"/>
        <v>1.5092171789435135E-2</v>
      </c>
      <c r="K15" s="48">
        <f t="shared" si="3"/>
        <v>1.0953845639975812E-2</v>
      </c>
      <c r="L15" s="48">
        <f t="shared" si="3"/>
        <v>9.1057684521417682E-4</v>
      </c>
      <c r="M15" s="48">
        <f t="shared" si="3"/>
        <v>0</v>
      </c>
      <c r="N15" s="48">
        <f t="shared" si="3"/>
        <v>0</v>
      </c>
      <c r="O15" s="48">
        <f t="shared" si="3"/>
        <v>0</v>
      </c>
      <c r="P15" s="48">
        <f t="shared" si="3"/>
        <v>0</v>
      </c>
      <c r="Q15" s="48">
        <f t="shared" si="3"/>
        <v>2.8364312938598583E-2</v>
      </c>
      <c r="R15" s="48">
        <f t="shared" ca="1" si="3"/>
        <v>-0.10392348615201147</v>
      </c>
      <c r="S15" s="48">
        <f t="shared" ca="1" si="3"/>
        <v>0</v>
      </c>
      <c r="T15" s="48">
        <f t="shared" si="3"/>
        <v>5.7179801977656423E-2</v>
      </c>
      <c r="U15" s="48">
        <f t="shared" si="3"/>
        <v>3.0168729195457931E-3</v>
      </c>
      <c r="V15" s="48">
        <f t="shared" ca="1" si="3"/>
        <v>2.6381411945084414E-2</v>
      </c>
      <c r="W15" s="48">
        <f t="shared" ca="1" si="3"/>
        <v>6.125225461899593E-3</v>
      </c>
      <c r="X15" s="48">
        <f t="shared" ca="1" si="3"/>
        <v>0.17580179919271</v>
      </c>
    </row>
  </sheetData>
  <dataValidations count="4">
    <dataValidation type="list" allowBlank="1" showInputMessage="1" showErrorMessage="1" error="Deve-se selecionar grupo válido" sqref="G2 A2:B2" xr:uid="{0C2AADA1-170E-405F-8FDD-1995264BDF28}">
      <formula1>AA1:AA8</formula1>
    </dataValidation>
    <dataValidation type="list" allowBlank="1" showInputMessage="1" showErrorMessage="1" error="Deve-se selecionar grupo válido" sqref="C2 E2" xr:uid="{E444CB0B-7B7A-471E-9D5E-981E5CEED7BC}">
      <formula1>AC1:AC4</formula1>
    </dataValidation>
    <dataValidation type="list" allowBlank="1" showInputMessage="1" showErrorMessage="1" error="Deve-se selecionar grupo válido" sqref="D2" xr:uid="{EBDBBBAE-FA91-4384-A1D4-52FE3C6555A0}">
      <formula1>AD1:AD10</formula1>
    </dataValidation>
    <dataValidation type="list" allowBlank="1" showInputMessage="1" showErrorMessage="1" error="Deve-se selecionar grupo válido" sqref="F2" xr:uid="{91E85894-DEBD-4159-813E-4097D5E124A5}">
      <formula1>AF1:AF2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0868D-91BC-4F60-9439-F05FFA31B36F}">
  <sheetPr codeName="Planilha25"/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4" bestFit="1" customWidth="1"/>
    <col min="2" max="2" width="10.5703125" style="14" bestFit="1" customWidth="1"/>
    <col min="3" max="3" width="10.85546875" style="14" bestFit="1" customWidth="1"/>
    <col min="4" max="5" width="10.28515625" style="14" bestFit="1" customWidth="1"/>
    <col min="6" max="6" width="11.42578125" style="14" bestFit="1" customWidth="1"/>
    <col min="7" max="7" width="14.85546875" style="14" bestFit="1" customWidth="1"/>
    <col min="8" max="8" width="6" style="14" bestFit="1" customWidth="1"/>
    <col min="9" max="9" width="9.5703125" style="14" bestFit="1" customWidth="1"/>
    <col min="10" max="10" width="6.42578125" style="14" bestFit="1" customWidth="1"/>
    <col min="11" max="11" width="11.42578125" style="14" bestFit="1" customWidth="1"/>
    <col min="12" max="12" width="10.7109375" style="14" bestFit="1" customWidth="1"/>
    <col min="13" max="13" width="11.7109375" style="14" bestFit="1" customWidth="1"/>
    <col min="14" max="26" width="9.140625" style="14"/>
    <col min="27" max="27" width="3.85546875" style="14" bestFit="1" customWidth="1"/>
    <col min="28" max="28" width="27.140625" style="14" bestFit="1" customWidth="1"/>
    <col min="29" max="29" width="13.5703125" style="14" bestFit="1" customWidth="1"/>
    <col min="30" max="30" width="25.140625" style="14" bestFit="1" customWidth="1"/>
    <col min="31" max="33" width="10.28515625" style="14" bestFit="1" customWidth="1"/>
    <col min="34" max="16384" width="9.140625" style="14"/>
  </cols>
  <sheetData>
    <row r="1" spans="1:33" x14ac:dyDescent="0.2">
      <c r="A1" s="14" t="s">
        <v>71</v>
      </c>
      <c r="B1" s="14" t="s">
        <v>72</v>
      </c>
      <c r="C1" s="14" t="s">
        <v>73</v>
      </c>
      <c r="D1" s="14" t="s">
        <v>74</v>
      </c>
      <c r="E1" s="14" t="s">
        <v>75</v>
      </c>
      <c r="F1" s="14" t="s">
        <v>15</v>
      </c>
      <c r="G1" s="14" t="s">
        <v>77</v>
      </c>
      <c r="I1" s="14" t="s">
        <v>1454</v>
      </c>
      <c r="AA1" s="14" t="s">
        <v>80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80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A3</v>
      </c>
      <c r="AA2" s="14" t="s">
        <v>43</v>
      </c>
      <c r="AB2" s="14" t="s">
        <v>81</v>
      </c>
      <c r="AC2" s="14" t="s">
        <v>24</v>
      </c>
      <c r="AD2" s="14" t="s">
        <v>24</v>
      </c>
      <c r="AE2" s="14" t="s">
        <v>93</v>
      </c>
      <c r="AG2" s="14" t="s">
        <v>83</v>
      </c>
    </row>
    <row r="3" spans="1:33" x14ac:dyDescent="0.2">
      <c r="AA3" s="14" t="s">
        <v>41</v>
      </c>
      <c r="AB3" s="14" t="s">
        <v>90</v>
      </c>
      <c r="AC3" s="14" t="s">
        <v>47</v>
      </c>
      <c r="AD3" s="14" t="s">
        <v>31</v>
      </c>
      <c r="AG3" s="14" t="s">
        <v>84</v>
      </c>
    </row>
    <row r="4" spans="1:33" x14ac:dyDescent="0.2">
      <c r="AA4" s="14" t="s">
        <v>22</v>
      </c>
      <c r="AB4" s="14" t="s">
        <v>92</v>
      </c>
      <c r="AC4" s="14" t="s">
        <v>50</v>
      </c>
      <c r="AD4" s="14" t="s">
        <v>32</v>
      </c>
      <c r="AG4" s="14" t="s">
        <v>88</v>
      </c>
    </row>
    <row r="5" spans="1:33" x14ac:dyDescent="0.2">
      <c r="A5" s="14" t="s">
        <v>1447</v>
      </c>
      <c r="B5" s="14" t="str">
        <f>TE!$X$4</f>
        <v>P&amp;D</v>
      </c>
      <c r="C5" s="14" t="str">
        <f>TE!$Y$4</f>
        <v>ESS/ERR</v>
      </c>
      <c r="D5" s="14" t="str">
        <f>TE!$Z$4</f>
        <v>CFURH</v>
      </c>
      <c r="E5" s="14" t="str">
        <f>TE!$AA$4</f>
        <v>CDE Covid TE</v>
      </c>
      <c r="F5" s="14" t="str">
        <f>TE!$AB$4</f>
        <v>CDE ELET</v>
      </c>
      <c r="G5" s="14" t="str">
        <f>TE!$AC$4</f>
        <v>ENERGIA REVENDA</v>
      </c>
      <c r="H5" s="14" t="str">
        <f>TE!$AD$4</f>
        <v>ITAIPU</v>
      </c>
      <c r="I5" s="14" t="str">
        <f>TE!$AE$4</f>
        <v>TUST ITAIPU</v>
      </c>
      <c r="J5" s="14" t="str">
        <f>TE!$AF$4</f>
        <v>TUST CI</v>
      </c>
      <c r="K5" s="14" t="str">
        <f>TE!$AG$4</f>
        <v>SUBSIDIO</v>
      </c>
      <c r="L5" s="14" t="str">
        <f>TE!$AH$4</f>
        <v>PERDAS RB/C</v>
      </c>
      <c r="M5" s="14" t="s">
        <v>772</v>
      </c>
      <c r="AA5" s="14" t="s">
        <v>46</v>
      </c>
      <c r="AB5" s="14" t="s">
        <v>94</v>
      </c>
      <c r="AD5" s="14" t="s">
        <v>33</v>
      </c>
      <c r="AG5" s="14" t="s">
        <v>98</v>
      </c>
    </row>
    <row r="6" spans="1:33" x14ac:dyDescent="0.2">
      <c r="A6" s="14" t="s">
        <v>1448</v>
      </c>
      <c r="B6" s="38">
        <f>SUM(TE!$X$57:'TE'!$X$103)</f>
        <v>1896168.724975646</v>
      </c>
      <c r="C6" s="38">
        <f>SUM(TE!$Y$57:'TE'!$Y$103)</f>
        <v>16290700.171204472</v>
      </c>
      <c r="D6" s="38">
        <f>SUM(TE!$Z$57:'TE'!$Z$103)</f>
        <v>0</v>
      </c>
      <c r="E6" s="38">
        <f>SUM(TE!$AA$57:'TE'!$AA$103)</f>
        <v>0</v>
      </c>
      <c r="F6" s="38">
        <f>SUM(TE!$AB$57:'TE'!$AB$103)</f>
        <v>0</v>
      </c>
      <c r="G6" s="38">
        <f>SUM(TE!$AC$57:'TE'!$AC$103)</f>
        <v>154514612.47918516</v>
      </c>
      <c r="H6" s="38">
        <f>SUM(TE!$AD$57:'TE'!$AD$103)</f>
        <v>0</v>
      </c>
      <c r="I6" s="38">
        <f>SUM(TE!$AE$57:'TE'!$AE$103)</f>
        <v>0</v>
      </c>
      <c r="J6" s="38">
        <f>SUM(TE!$AF$57:'TE'!$AF$103)</f>
        <v>0</v>
      </c>
      <c r="K6" s="38">
        <f>SUM(TE!$AG$57:'TE'!$AG$103)</f>
        <v>0</v>
      </c>
      <c r="L6" s="38">
        <f>SUM(TE!$AH$57:'TE'!$AH$103)</f>
        <v>3277160.8573916014</v>
      </c>
      <c r="M6" s="38">
        <f t="shared" ref="M6:M11" si="0">SUM(B6:L6)</f>
        <v>175978642.23275688</v>
      </c>
      <c r="AA6" s="14" t="s">
        <v>39</v>
      </c>
      <c r="AB6" s="14" t="s">
        <v>99</v>
      </c>
      <c r="AD6" s="14" t="s">
        <v>34</v>
      </c>
    </row>
    <row r="7" spans="1:33" x14ac:dyDescent="0.2">
      <c r="A7" s="14" t="s">
        <v>1449</v>
      </c>
      <c r="B7" s="38">
        <f>SUM(TE!$L$57:'TE'!$L$103)</f>
        <v>2386486.3081380096</v>
      </c>
      <c r="C7" s="38">
        <f>SUM(TE!$M$57:'TE'!$M$103)</f>
        <v>24298477.269385971</v>
      </c>
      <c r="D7" s="38">
        <f>SUM(TE!$N$57:'TE'!$N$103)</f>
        <v>0</v>
      </c>
      <c r="E7" s="38">
        <f>SUM(TE!$O$57:'TE'!$O$103)</f>
        <v>4704544.1316931657</v>
      </c>
      <c r="F7" s="38">
        <f>SUM(TE!$P$57:'TE'!$P$103)</f>
        <v>-16525747.365197578</v>
      </c>
      <c r="G7" s="38">
        <f>SUM(TE!$Q$57:'TE'!$Q$103)</f>
        <v>237218468.8894051</v>
      </c>
      <c r="H7" s="38">
        <f>SUM(TE!$R$57:'TE'!$R$103)</f>
        <v>0</v>
      </c>
      <c r="I7" s="38">
        <f>SUM(TE!$S$57:'TE'!$S$103)</f>
        <v>0</v>
      </c>
      <c r="J7" s="38">
        <f>SUM(TE!$T$57:'TE'!$T$103)</f>
        <v>0</v>
      </c>
      <c r="K7" s="38">
        <f>SUM(TE!$U$57:'TE'!$U$103)</f>
        <v>-20172970.018860579</v>
      </c>
      <c r="L7" s="38">
        <f>SUM(TE!$V$57:'TE'!$V$103)</f>
        <v>5448970.7956788288</v>
      </c>
      <c r="M7" s="38">
        <f t="shared" si="0"/>
        <v>237358230.01024291</v>
      </c>
      <c r="AA7" s="14" t="s">
        <v>49</v>
      </c>
      <c r="AD7" s="14" t="s">
        <v>101</v>
      </c>
    </row>
    <row r="8" spans="1:33" x14ac:dyDescent="0.2">
      <c r="A8" s="14" t="s">
        <v>1452</v>
      </c>
      <c r="B8" s="38">
        <f>IF($G$2&lt;&gt;"Não se aplica",SUMIF(TE!$G$57:'TE'!$G$103,$I$2,TE!$X$57:'TE'!$X$103),IF($F$2&lt;&gt;"Não se aplica",SUMIF(TE!$F$57:'TE'!$F$103,$I$2,TE!$X$57:'TE'!$X$103),IF($E$2&lt;&gt;"Não se aplica",SUMIF(TE!$E$57:'TE'!$E$103,$I$2,TE!$X$57:'TE'!$X$103),IF($D$2&lt;&gt;"Não se aplica",SUMIF(TE!$D$57:'TE'!$D$103,$I$2,TE!$X$57:'TE'!$X$103),IF($C$2&lt;&gt;"Não se aplica",SUMIF(TE!$C$57:'TE'!$C$103,$I$2,TE!$X$57:'TE'!$X$103),IF($B$2&lt;&gt;"Não se aplica",SUMIF(TE!$B$57:'TE'!$B$103,$I$2,TE!$X$57:'TE'!$X$103),SUMIF(TE!$A$57:'TE'!$A$103,$I$2,TE!$X$57:'TE'!$X$103)))))))</f>
        <v>0</v>
      </c>
      <c r="C8" s="38">
        <f>IF($G$2&lt;&gt;"Não se aplica",SUMIF(TE!$G$57:'TE'!$G$103,$I$2,TE!$Y$57:'TE'!$Y$103),IF($F$2&lt;&gt;"Não se aplica",SUMIF(TE!$F$57:'TE'!$F$103,$I$2,TE!$Y$57:'TE'!$Y$103),IF($E$2&lt;&gt;"Não se aplica",SUMIF(TE!$E$57:'TE'!$E$103,$I$2,TE!$Y$57:'TE'!$Y$103),IF($D$2&lt;&gt;"Não se aplica",SUMIF(TE!$D$57:'TE'!$D$103,$I$2,TE!$Y$57:'TE'!$Y$103),IF($C$2&lt;&gt;"Não se aplica",SUMIF(TE!$C$57:'TE'!$C$103,$I$2,TE!$Y$57:'TE'!$Y$103),IF($B$2&lt;&gt;"Não se aplica",SUMIF(TE!$B$57:'TE'!$B$103,$I$2,TE!$Y$57:'TE'!$Y$103),SUMIF(TE!$A$57:'TE'!$A$103,$I$2,TE!$Y$57:'TE'!$Y$103)))))))</f>
        <v>0</v>
      </c>
      <c r="D8" s="38">
        <f>IF($G$2&lt;&gt;"Não se aplica",SUMIF(TE!$G$57:'TE'!$G$103,$I$2,TE!$Z$57:'TE'!$Z$103),IF($F$2&lt;&gt;"Não se aplica",SUMIF(TE!$F$57:'TE'!$F$103,$I$2,TE!$Z$57:'TE'!$Z$103),IF($E$2&lt;&gt;"Não se aplica",SUMIF(TE!$E$57:'TE'!$E$103,$I$2,TE!$Z$57:'TE'!$Z$103),IF($D$2&lt;&gt;"Não se aplica",SUMIF(TE!$D$57:'TE'!$D$103,$I$2,TE!$Z$57:'TE'!$Z$103),IF($C$2&lt;&gt;"Não se aplica",SUMIF(TE!$C$57:'TE'!$C$103,$I$2,TE!$Z$57:'TE'!$Z$103),IF($B$2&lt;&gt;"Não se aplica",SUMIF(TE!$B$57:'TE'!$B$103,$I$2,TE!$Z$57:'TE'!$Z$103),SUMIF(TE!$A$57:'TE'!$A$103,$I$2,TE!$Z$57:'TE'!$Z$103)))))))</f>
        <v>0</v>
      </c>
      <c r="E8" s="38">
        <f>IF($G$2&lt;&gt;"Não se aplica",SUMIF(TE!$G$57:'TE'!$G$103,$I$2,TE!$AA$57:'TE'!$AA$103),IF($F$2&lt;&gt;"Não se aplica",SUMIF(TE!$F$57:'TE'!$F$103,$I$2,TE!$AA$57:'TE'!$AA$103),IF($E$2&lt;&gt;"Não se aplica",SUMIF(TE!$E$57:'TE'!$E$103,$I$2,TE!$AA$57:'TE'!$AA$103),IF($D$2&lt;&gt;"Não se aplica",SUMIF(TE!$D$57:'TE'!$D$103,$I$2,TE!$AA$57:'TE'!$AA$103),IF($C$2&lt;&gt;"Não se aplica",SUMIF(TE!$C$57:'TE'!$C$103,$I$2,TE!$AA$57:'TE'!$AA$103),IF($B$2&lt;&gt;"Não se aplica",SUMIF(TE!$B$57:'TE'!$B$103,$I$2,TE!$AA$57:'TE'!$AA$103),SUMIF(TE!$A$57:'TE'!$A$103,$I$2,TE!$AA$57:'TE'!$AA$103)))))))</f>
        <v>0</v>
      </c>
      <c r="F8" s="38">
        <f>IF($G$2&lt;&gt;"Não se aplica",SUMIF(TE!$G$57:'TE'!$G$103,$I$2,TE!$AB$57:'TE'!$AB$103),IF($F$2&lt;&gt;"Não se aplica",SUMIF(TE!$F$57:'TE'!$F$103,$I$2,TE!$AB$57:'TE'!$AB$103),IF($E$2&lt;&gt;"Não se aplica",SUMIF(TE!$E$57:'TE'!$E$103,$I$2,TE!$AB$57:'TE'!$AB$103),IF($D$2&lt;&gt;"Não se aplica",SUMIF(TE!$D$57:'TE'!$D$103,$I$2,TE!$AB$57:'TE'!$AB$103),IF($C$2&lt;&gt;"Não se aplica",SUMIF(TE!$C$57:'TE'!$C$103,$I$2,TE!$AB$57:'TE'!$AB$103),IF($B$2&lt;&gt;"Não se aplica",SUMIF(TE!$B$57:'TE'!$B$103,$I$2,TE!$AB$57:'TE'!$AB$103),SUMIF(TE!$A$57:'TE'!$A$103,$I$2,TE!$AB$57:'TE'!$AB$103)))))))</f>
        <v>0</v>
      </c>
      <c r="G8" s="38">
        <f>IF($G$2&lt;&gt;"Não se aplica",SUMIF(TE!$G$57:'TE'!$G$103,$I$2,TE!$AC$57:'TE'!$AC$103),IF($F$2&lt;&gt;"Não se aplica",SUMIF(TE!$F$57:'TE'!$F$103,$I$2,TE!$AC$57:'TE'!$AC$103),IF($E$2&lt;&gt;"Não se aplica",SUMIF(TE!$E$57:'TE'!$E$103,$I$2,TE!$AC$57:'TE'!$AC$103),IF($D$2&lt;&gt;"Não se aplica",SUMIF(TE!$D$57:'TE'!$D$103,$I$2,TE!$AC$57:'TE'!$AC$103),IF($C$2&lt;&gt;"Não se aplica",SUMIF(TE!$C$57:'TE'!$C$103,$I$2,TE!$AC$57:'TE'!$AC$103),IF($B$2&lt;&gt;"Não se aplica",SUMIF(TE!$B$57:'TE'!$B$103,$I$2,TE!$AC$57:'TE'!$AC$103),SUMIF(TE!$A$57:'TE'!$A$103,$I$2,TE!$AC$57:'TE'!$AC$103)))))))</f>
        <v>0</v>
      </c>
      <c r="H8" s="38">
        <f>IF($G$2&lt;&gt;"Não se aplica",SUMIF(TE!$G$57:'TE'!$G$103,$I$2,TE!$AD$57:'TE'!$AD$103),IF($F$2&lt;&gt;"Não se aplica",SUMIF(TE!$F$57:'TE'!$F$103,$I$2,TE!$AD$57:'TE'!$AD$103),IF($E$2&lt;&gt;"Não se aplica",SUMIF(TE!$E$57:'TE'!$E$103,$I$2,TE!$AD$57:'TE'!$AD$103),IF($D$2&lt;&gt;"Não se aplica",SUMIF(TE!$D$57:'TE'!$D$103,$I$2,TE!$AD$57:'TE'!$AD$103),IF($C$2&lt;&gt;"Não se aplica",SUMIF(TE!$C$57:'TE'!$C$103,$I$2,TE!$AD$57:'TE'!$AD$103),IF($B$2&lt;&gt;"Não se aplica",SUMIF(TE!$B$57:'TE'!$B$103,$I$2,TE!$AD$57:'TE'!$AD$103),SUMIF(TE!$A$57:'TE'!$A$103,$I$2,TE!$AD$57:'TE'!$AD$103)))))))</f>
        <v>0</v>
      </c>
      <c r="I8" s="38">
        <f>IF($G$2&lt;&gt;"Não se aplica",SUMIF(TE!$G$57:'TE'!$G$103,$I$2,TE!$AE$57:'TE'!$AE$103),IF($F$2&lt;&gt;"Não se aplica",SUMIF(TE!$F$57:'TE'!$F$103,$I$2,TE!$AE$57:'TE'!$AE$103),IF($E$2&lt;&gt;"Não se aplica",SUMIF(TE!$E$57:'TE'!$E$103,$I$2,TE!$AE$57:'TE'!$AE$103),IF($D$2&lt;&gt;"Não se aplica",SUMIF(TE!$D$57:'TE'!$D$103,$I$2,TE!$AE$57:'TE'!$AE$103),IF($C$2&lt;&gt;"Não se aplica",SUMIF(TE!$C$57:'TE'!$C$103,$I$2,TE!$AE$57:'TE'!$AE$103),IF($B$2&lt;&gt;"Não se aplica",SUMIF(TE!$B$57:'TE'!$B$103,$I$2,TE!$AE$57:'TE'!$AE$103),SUMIF(TE!$A$57:'TE'!$A$103,$I$2,TE!$AE$57:'TE'!$AE$103)))))))</f>
        <v>0</v>
      </c>
      <c r="J8" s="38">
        <f>IF($G$2&lt;&gt;"Não se aplica",SUMIF(TE!$G$57:'TE'!$G$103,$I$2,TE!$AF$57:'TE'!$AF$103),IF($F$2&lt;&gt;"Não se aplica",SUMIF(TE!$F$57:'TE'!$F$103,$I$2,TE!$AF$57:'TE'!$AF$103),IF($E$2&lt;&gt;"Não se aplica",SUMIF(TE!$E$57:'TE'!$E$103,$I$2,TE!$AF$57:'TE'!$AF$103),IF($D$2&lt;&gt;"Não se aplica",SUMIF(TE!$D$57:'TE'!$D$103,$I$2,TE!$AF$57:'TE'!$AF$103),IF($C$2&lt;&gt;"Não se aplica",SUMIF(TE!$C$57:'TE'!$C$103,$I$2,TE!$AF$57:'TE'!$AF$103),IF($B$2&lt;&gt;"Não se aplica",SUMIF(TE!$B$57:'TE'!$B$103,$I$2,TE!$AF$57:'TE'!$AF$103),SUMIF(TE!$A$57:'TE'!$A$103,$I$2,TE!$AF$57:'TE'!$AF$103)))))))</f>
        <v>0</v>
      </c>
      <c r="K8" s="38">
        <f>IF($G$2&lt;&gt;"Não se aplica",SUMIF(TE!$G$57:'TE'!$G$103,$I$2,TE!$AG$57:'TE'!$AG$103),IF($F$2&lt;&gt;"Não se aplica",SUMIF(TE!$F$57:'TE'!$F$103,$I$2,TE!$AG$57:'TE'!$AG$103),IF($E$2&lt;&gt;"Não se aplica",SUMIF(TE!$E$57:'TE'!$E$103,$I$2,TE!$AG$57:'TE'!$AG$103),IF($D$2&lt;&gt;"Não se aplica",SUMIF(TE!$D$57:'TE'!$D$103,$I$2,TE!$AG$57:'TE'!$AG$103),IF($C$2&lt;&gt;"Não se aplica",SUMIF(TE!$C$57:'TE'!$C$103,$I$2,TE!$AG$57:'TE'!$AG$103),IF($B$2&lt;&gt;"Não se aplica",SUMIF(TE!$B$57:'TE'!$B$103,$I$2,TE!$AG$57:'TE'!$AG$103),SUMIF(TE!$A$57:'TE'!$A$103,$I$2,TE!$AG$57:'TE'!$AG$103)))))))</f>
        <v>0</v>
      </c>
      <c r="L8" s="38">
        <f>IF($G$2&lt;&gt;"Não se aplica",SUMIF(TE!$G$57:'TE'!$G$103,$I$2,TE!$AH$57:'TE'!$AH$103),IF($F$2&lt;&gt;"Não se aplica",SUMIF(TE!$F$57:'TE'!$F$103,$I$2,TE!$AH$57:'TE'!$AH$103),IF($E$2&lt;&gt;"Não se aplica",SUMIF(TE!$E$57:'TE'!$E$103,$I$2,TE!$AH$57:'TE'!$AH$103),IF($D$2&lt;&gt;"Não se aplica",SUMIF(TE!$D$57:'TE'!$D$103,$I$2,TE!$AH$57:'TE'!$AH$103),IF($C$2&lt;&gt;"Não se aplica",SUMIF(TE!$C$57:'TE'!$C$103,$I$2,TE!$AH$57:'TE'!$AH$103),IF($B$2&lt;&gt;"Não se aplica",SUMIF(TE!$B$57:'TE'!$B$103,$I$2,TE!$AH$57:'TE'!$AH$103),SUMIF(TE!$A$57:'TE'!$A$103,$I$2,TE!$AH$57:'TE'!$AH$103)))))))</f>
        <v>0</v>
      </c>
      <c r="M8" s="38">
        <f t="shared" si="0"/>
        <v>0</v>
      </c>
      <c r="AD8" s="14" t="s">
        <v>102</v>
      </c>
    </row>
    <row r="9" spans="1:33" x14ac:dyDescent="0.2">
      <c r="A9" s="14" t="s">
        <v>1453</v>
      </c>
      <c r="B9" s="38">
        <f>IF($G$2&lt;&gt;"Não se aplica",SUMIF(TE!$G$57:'TE'!$G$103,$I$2,TE!$L$57:'TE'!$L$103),IF($F$2&lt;&gt;"Não se aplica",SUMIF(TE!$F$57:'TE'!$F$103,$I$2,TE!$L$57:'TE'!$L$103),IF($E$2&lt;&gt;"Não se aplica",SUMIF(TE!$E$57:'TE'!$E$103,$I$2,TE!$L$57:'TE'!$L$103),IF($D$2&lt;&gt;"Não se aplica",SUMIF(TE!$D$57:'TE'!$D$103,$I$2,TE!$L$57:'TE'!$L$103),IF($C$2&lt;&gt;"Não se aplica",SUMIF(TE!$C$57:'TE'!$C$103,$I$2,TE!$L$57:'TE'!$L$103),IF($B$2&lt;&gt;"Não se aplica",SUMIF(TE!$B$57:'TE'!$B$103,$I$2,TE!$L$57:'TE'!$L$103),SUMIF(TE!$A$57:'TE'!$A$103,$I$2,TE!$L$57:'TE'!$L$103)))))))</f>
        <v>0</v>
      </c>
      <c r="C9" s="38">
        <f>IF($G$2&lt;&gt;"Não se aplica",SUMIF(TE!$G$57:'TE'!$G$103,$I$2,TE!$M$57:'TE'!$M$103),IF($F$2&lt;&gt;"Não se aplica",SUMIF(TE!$F$57:'TE'!$F$103,$I$2,TE!$M$57:'TE'!$M$103),IF($E$2&lt;&gt;"Não se aplica",SUMIF(TE!$E$57:'TE'!$E$103,$I$2,TE!$M$57:'TE'!$M$103),IF($D$2&lt;&gt;"Não se aplica",SUMIF(TE!$D$57:'TE'!$D$103,$I$2,TE!$M$57:'TE'!$M$103),IF($C$2&lt;&gt;"Não se aplica",SUMIF(TE!$C$57:'TE'!$C$103,$I$2,TE!$M$57:'TE'!$M$103),IF($B$2&lt;&gt;"Não se aplica",SUMIF(TE!$B$57:'TE'!$B$103,$I$2,TE!$M$57:'TE'!$M$103),SUMIF(TE!$A$57:'TE'!$A$103,$I$2,TE!$M$57:'TE'!$M$103)))))))</f>
        <v>0</v>
      </c>
      <c r="D9" s="38">
        <f>IF($G$2&lt;&gt;"Não se aplica",SUMIF(TE!$G$57:'TE'!$G$103,$I$2,TE!$N$57:'TE'!$N$103),IF($F$2&lt;&gt;"Não se aplica",SUMIF(TE!$F$57:'TE'!$F$103,$I$2,TE!$N$57:'TE'!$N$103),IF($E$2&lt;&gt;"Não se aplica",SUMIF(TE!$E$57:'TE'!$E$103,$I$2,TE!$N$57:'TE'!$N$103),IF($D$2&lt;&gt;"Não se aplica",SUMIF(TE!$D$57:'TE'!$D$103,$I$2,TE!$N$57:'TE'!$N$103),IF($C$2&lt;&gt;"Não se aplica",SUMIF(TE!$C$57:'TE'!$C$103,$I$2,TE!$N$57:'TE'!$N$103),IF($B$2&lt;&gt;"Não se aplica",SUMIF(TE!$B$57:'TE'!$B$103,$I$2,TE!$N$57:'TE'!$N$103),SUMIF(TE!$A$57:'TE'!$A$103,$I$2,TE!$N$57:'TE'!$N$103)))))))</f>
        <v>0</v>
      </c>
      <c r="E9" s="38">
        <f>IF($G$2&lt;&gt;"Não se aplica",SUMIF(TE!$G$57:'TE'!$G$103,$I$2,TE!$O$57:'TE'!$O$103),IF($F$2&lt;&gt;"Não se aplica",SUMIF(TE!$F$57:'TE'!$F$103,$I$2,TE!$O$57:'TE'!$O$103),IF($E$2&lt;&gt;"Não se aplica",SUMIF(TE!$E$57:'TE'!$E$103,$I$2,TE!$O$57:'TE'!$O$103),IF($D$2&lt;&gt;"Não se aplica",SUMIF(TE!$D$57:'TE'!$D$103,$I$2,TE!$O$57:'TE'!$O$103),IF($C$2&lt;&gt;"Não se aplica",SUMIF(TE!$C$57:'TE'!$C$103,$I$2,TE!$O$57:'TE'!$O$103),IF($B$2&lt;&gt;"Não se aplica",SUMIF(TE!$B$57:'TE'!$B$103,$I$2,TE!$O$57:'TE'!$O$103),SUMIF(TE!$A$57:'TE'!$A$103,$I$2,TE!$O$57:'TE'!$O$103)))))))</f>
        <v>0</v>
      </c>
      <c r="F9" s="38">
        <f>IF($G$2&lt;&gt;"Não se aplica",SUMIF(TE!$G$57:'TE'!$G$103,$I$2,TE!$P$57:'TE'!$P$103),IF($F$2&lt;&gt;"Não se aplica",SUMIF(TE!$F$57:'TE'!$F$103,$I$2,TE!$P$57:'TE'!$P$103),IF($E$2&lt;&gt;"Não se aplica",SUMIF(TE!$E$57:'TE'!$E$103,$I$2,TE!$P$57:'TE'!$P$103),IF($D$2&lt;&gt;"Não se aplica",SUMIF(TE!$D$57:'TE'!$D$103,$I$2,TE!$P$57:'TE'!$P$103),IF($C$2&lt;&gt;"Não se aplica",SUMIF(TE!$C$57:'TE'!$C$103,$I$2,TE!$P$57:'TE'!$P$103),IF($B$2&lt;&gt;"Não se aplica",SUMIF(TE!$B$57:'TE'!$B$103,$I$2,TE!$P$57:'TE'!$P$103),SUMIF(TE!$A$57:'TE'!$A$103,$I$2,TE!$P$57:'TE'!$P$103)))))))</f>
        <v>0</v>
      </c>
      <c r="G9" s="38">
        <f>IF($G$2&lt;&gt;"Não se aplica",SUMIF(TE!$G$57:'TE'!$G$103,$I$2,TE!$Q$57:'TE'!$Q$103),IF($F$2&lt;&gt;"Não se aplica",SUMIF(TE!$F$57:'TE'!$F$103,$I$2,TE!$Q$57:'TE'!$Q$103),IF($E$2&lt;&gt;"Não se aplica",SUMIF(TE!$E$57:'TE'!$E$103,$I$2,TE!$Q$57:'TE'!$Q$103),IF($D$2&lt;&gt;"Não se aplica",SUMIF(TE!$D$57:'TE'!$D$103,$I$2,TE!$Q$57:'TE'!$Q$103),IF($C$2&lt;&gt;"Não se aplica",SUMIF(TE!$C$57:'TE'!$C$103,$I$2,TE!$Q$57:'TE'!$Q$103),IF($B$2&lt;&gt;"Não se aplica",SUMIF(TE!$B$57:'TE'!$B$103,$I$2,TE!$Q$57:'TE'!$Q$103),SUMIF(TE!$A$57:'TE'!$A$103,$I$2,TE!$Q$57:'TE'!$Q$103)))))))</f>
        <v>0</v>
      </c>
      <c r="H9" s="38">
        <f>IF($G$2&lt;&gt;"Não se aplica",SUMIF(TE!$G$57:'TE'!$G$103,$I$2,TE!$R$57:'TE'!$R$103),IF($F$2&lt;&gt;"Não se aplica",SUMIF(TE!$F$57:'TE'!$F$103,$I$2,TE!$R$57:'TE'!$R$103),IF($E$2&lt;&gt;"Não se aplica",SUMIF(TE!$E$57:'TE'!$E$103,$I$2,TE!$R$57:'TE'!$R$103),IF($D$2&lt;&gt;"Não se aplica",SUMIF(TE!$D$57:'TE'!$D$103,$I$2,TE!$R$57:'TE'!$R$103),IF($C$2&lt;&gt;"Não se aplica",SUMIF(TE!$C$57:'TE'!$C$103,$I$2,TE!$R$57:'TE'!$R$103),IF($B$2&lt;&gt;"Não se aplica",SUMIF(TE!$B$57:'TE'!$B$103,$I$2,TE!$R$57:'TE'!$R$103),SUMIF(TE!$A$57:'TE'!$A$103,$I$2,TE!$R$57:'TE'!$R$103)))))))</f>
        <v>0</v>
      </c>
      <c r="I9" s="38">
        <f>IF($G$2&lt;&gt;"Não se aplica",SUMIF(TE!$G$57:'TE'!$G$103,$I$2,TE!$S$57:'TE'!$S$103),IF($F$2&lt;&gt;"Não se aplica",SUMIF(TE!$F$57:'TE'!$F$103,$I$2,TE!$S$57:'TE'!$S$103),IF($E$2&lt;&gt;"Não se aplica",SUMIF(TE!$E$57:'TE'!$E$103,$I$2,TE!$S$57:'TE'!$S$103),IF($D$2&lt;&gt;"Não se aplica",SUMIF(TE!$D$57:'TE'!$D$103,$I$2,TE!$S$57:'TE'!$S$103),IF($C$2&lt;&gt;"Não se aplica",SUMIF(TE!$C$57:'TE'!$C$103,$I$2,TE!$S$57:'TE'!$S$103),IF($B$2&lt;&gt;"Não se aplica",SUMIF(TE!$B$57:'TE'!$B$103,$I$2,TE!$S$57:'TE'!$S$103),SUMIF(TE!$A$57:'TE'!$A$103,$I$2,TE!$S$57:'TE'!$S$103)))))))</f>
        <v>0</v>
      </c>
      <c r="J9" s="38">
        <f>IF($G$2&lt;&gt;"Não se aplica",SUMIF(TE!$G$57:'TE'!$G$103,$I$2,TE!$T$57:'TE'!$T$103),IF($F$2&lt;&gt;"Não se aplica",SUMIF(TE!$F$57:'TE'!$F$103,$I$2,TE!$T$57:'TE'!$T$103),IF($E$2&lt;&gt;"Não se aplica",SUMIF(TE!$E$57:'TE'!$E$103,$I$2,TE!$T$57:'TE'!$T$103),IF($D$2&lt;&gt;"Não se aplica",SUMIF(TE!$D$57:'TE'!$D$103,$I$2,TE!$T$57:'TE'!$T$103),IF($C$2&lt;&gt;"Não se aplica",SUMIF(TE!$C$57:'TE'!$C$103,$I$2,TE!$T$57:'TE'!$T$103),IF($B$2&lt;&gt;"Não se aplica",SUMIF(TE!$B$57:'TE'!$B$103,$I$2,TE!$T$57:'TE'!$T$103),SUMIF(TE!$A$57:'TE'!$A$103,$I$2,TE!$T$57:'TE'!$T$103)))))))</f>
        <v>0</v>
      </c>
      <c r="K9" s="38">
        <f>IF($G$2&lt;&gt;"Não se aplica",SUMIF(TE!$G$57:'TE'!$G$103,$I$2,TE!$U$57:'TE'!$U$103),IF($F$2&lt;&gt;"Não se aplica",SUMIF(TE!$F$57:'TE'!$F$103,$I$2,TE!$U$57:'TE'!$U$103),IF($E$2&lt;&gt;"Não se aplica",SUMIF(TE!$E$57:'TE'!$E$103,$I$2,TE!$U$57:'TE'!$U$103),IF($D$2&lt;&gt;"Não se aplica",SUMIF(TE!$D$57:'TE'!$D$103,$I$2,TE!$U$57:'TE'!$U$103),IF($C$2&lt;&gt;"Não se aplica",SUMIF(TE!$C$57:'TE'!$C$103,$I$2,TE!$U$57:'TE'!$U$103),IF($B$2&lt;&gt;"Não se aplica",SUMIF(TE!$B$57:'TE'!$B$103,$I$2,TE!$U$57:'TE'!$U$103),SUMIF(TE!$A$57:'TE'!$A$103,$I$2,TE!$U$57:'TE'!$U$103)))))))</f>
        <v>0</v>
      </c>
      <c r="L9" s="38">
        <f>IF($G$2&lt;&gt;"Não se aplica",SUMIF(TE!$G$57:'TE'!$G$103,$I$2,TE!$V$57:'TE'!$V$103),IF($F$2&lt;&gt;"Não se aplica",SUMIF(TE!$F$57:'TE'!$F$103,$I$2,TE!$V$57:'TE'!$V$103),IF($E$2&lt;&gt;"Não se aplica",SUMIF(TE!$E$57:'TE'!$E$103,$I$2,TE!$V$57:'TE'!$V$103),IF($D$2&lt;&gt;"Não se aplica",SUMIF(TE!$D$57:'TE'!$D$103,$I$2,TE!$V$57:'TE'!$V$103),IF($C$2&lt;&gt;"Não se aplica",SUMIF(TE!$C$57:'TE'!$C$103,$I$2,TE!$V$57:'TE'!$V$103),IF($B$2&lt;&gt;"Não se aplica",SUMIF(TE!$B$57:'TE'!$B$103,$I$2,TE!$V$57:'TE'!$V$103),SUMIF(TE!$A$57:'TE'!$A$103,$I$2,TE!$V$57:'TE'!$V$103)))))))</f>
        <v>0</v>
      </c>
      <c r="M9" s="38">
        <f t="shared" si="0"/>
        <v>0</v>
      </c>
      <c r="AD9" s="14" t="s">
        <v>51</v>
      </c>
    </row>
    <row r="10" spans="1:33" x14ac:dyDescent="0.2">
      <c r="A10" s="14" t="s">
        <v>1450</v>
      </c>
      <c r="B10" s="38">
        <f>SUMIF(TE!$A$57:'TE'!$A$103,$A$2,TE!$X$57:'TE'!$X$103)</f>
        <v>0</v>
      </c>
      <c r="C10" s="38">
        <f>SUMIF(TE!$A$57:'TE'!$A$103,$A$2,TE!$Y$57:'TE'!$Y$103)</f>
        <v>0</v>
      </c>
      <c r="D10" s="38">
        <f>SUMIF(TE!$A$57:'TE'!$A$103,$A$2,TE!$Z$57:'TE'!$Z$103)</f>
        <v>0</v>
      </c>
      <c r="E10" s="38">
        <f>SUMIF(TE!$A$57:'TE'!$A$103,$A$2,TE!$AA$57:'TE'!$AA$103)</f>
        <v>0</v>
      </c>
      <c r="F10" s="38">
        <f>SUMIF(TE!$A$57:'TE'!$A$103,$A$2,TE!$AB$57:'TE'!$AB$103)</f>
        <v>0</v>
      </c>
      <c r="G10" s="38">
        <f>SUMIF(TE!$A$57:'TE'!$A$103,$A$2,TE!$AC$57:'TE'!$AC$103)</f>
        <v>0</v>
      </c>
      <c r="H10" s="38">
        <f>SUMIF(TE!$A$57:'TE'!$A$103,$A$2,TE!$AD$57:'TE'!$AD$103)</f>
        <v>0</v>
      </c>
      <c r="I10" s="38">
        <f>SUMIF(TE!$A$57:'TE'!$A$103,$A$2,TE!$AE$57:'TE'!$AE$103)</f>
        <v>0</v>
      </c>
      <c r="J10" s="38">
        <f>SUMIF(TE!$A$57:'TE'!$A$103,$A$2,TE!$AF$57:'TE'!$AF$103)</f>
        <v>0</v>
      </c>
      <c r="K10" s="38">
        <f>SUMIF(TE!$A$57:'TE'!$A$103,$A$2,TE!$AG$57:'TE'!$AG$103)</f>
        <v>0</v>
      </c>
      <c r="L10" s="38">
        <f>SUMIF(TE!$A$57:'TE'!$A$103,$A$2,TE!$AH$57:'TE'!$AH$103)</f>
        <v>0</v>
      </c>
      <c r="M10" s="38">
        <f t="shared" si="0"/>
        <v>0</v>
      </c>
      <c r="AD10" s="14" t="s">
        <v>103</v>
      </c>
    </row>
    <row r="11" spans="1:33" x14ac:dyDescent="0.2">
      <c r="A11" s="14" t="s">
        <v>1451</v>
      </c>
      <c r="B11" s="38">
        <f>SUMIF(TE!$A$57:'TE'!$A$103,$A$2,TE!$L$57:'TE'!$L$103)</f>
        <v>0</v>
      </c>
      <c r="C11" s="38">
        <f>SUMIF(TE!$A$57:'TE'!$A$103,$A$2,TE!$M$57:'TE'!$M$103)</f>
        <v>0</v>
      </c>
      <c r="D11" s="38">
        <f>SUMIF(TE!$A$57:'TE'!$A$103,$A$2,TE!$N$57:'TE'!$N$103)</f>
        <v>0</v>
      </c>
      <c r="E11" s="38">
        <f>SUMIF(TE!$A$57:'TE'!$A$103,$A$2,TE!$O$57:'TE'!$O$103)</f>
        <v>0</v>
      </c>
      <c r="F11" s="38">
        <f>SUMIF(TE!$A$57:'TE'!$A$103,$A$2,TE!$P$57:'TE'!$P$103)</f>
        <v>0</v>
      </c>
      <c r="G11" s="38">
        <f>SUMIF(TE!$A$57:'TE'!$A$103,$A$2,TE!$Q$57:'TE'!$Q$103)</f>
        <v>0</v>
      </c>
      <c r="H11" s="38">
        <f>SUMIF(TE!$A$57:'TE'!$A$103,$A$2,TE!$R$57:'TE'!$R$103)</f>
        <v>0</v>
      </c>
      <c r="I11" s="38">
        <f>SUMIF(TE!$A$57:'TE'!$A$103,$A$2,TE!$S$57:'TE'!$S$103)</f>
        <v>0</v>
      </c>
      <c r="J11" s="38">
        <f>SUMIF(TE!$A$57:'TE'!$A$103,$A$2,TE!$T$57:'TE'!$T$103)</f>
        <v>0</v>
      </c>
      <c r="K11" s="38">
        <f>SUMIF(TE!$A$57:'TE'!$A$103,$A$2,TE!$U$57:'TE'!$U$103)</f>
        <v>0</v>
      </c>
      <c r="L11" s="38">
        <f>SUMIF(TE!$A$57:'TE'!$A$103,$A$2,TE!$V$57:'TE'!$V$103)</f>
        <v>0</v>
      </c>
      <c r="M11" s="38">
        <f t="shared" si="0"/>
        <v>0</v>
      </c>
    </row>
    <row r="13" spans="1:33" x14ac:dyDescent="0.2">
      <c r="A13" s="14" t="s">
        <v>1455</v>
      </c>
      <c r="B13" s="48">
        <f t="shared" ref="B13:M13" si="1">IF($M$6&lt;&gt;0,(B$7-B$6)/$M$6,0)</f>
        <v>2.7862334709563711E-3</v>
      </c>
      <c r="C13" s="48">
        <f t="shared" si="1"/>
        <v>4.5504255497039639E-2</v>
      </c>
      <c r="D13" s="48">
        <f t="shared" si="1"/>
        <v>0</v>
      </c>
      <c r="E13" s="48">
        <f t="shared" si="1"/>
        <v>2.6733608533419266E-2</v>
      </c>
      <c r="F13" s="48">
        <f t="shared" si="1"/>
        <v>-9.3907687634843307E-2</v>
      </c>
      <c r="G13" s="48">
        <f t="shared" si="1"/>
        <v>0.46996530579450818</v>
      </c>
      <c r="H13" s="48">
        <f t="shared" si="1"/>
        <v>0</v>
      </c>
      <c r="I13" s="48">
        <f t="shared" si="1"/>
        <v>0</v>
      </c>
      <c r="J13" s="48">
        <f t="shared" si="1"/>
        <v>0</v>
      </c>
      <c r="K13" s="48">
        <f t="shared" si="1"/>
        <v>-0.11463305866503359</v>
      </c>
      <c r="L13" s="48">
        <f t="shared" si="1"/>
        <v>1.2341326826551478E-2</v>
      </c>
      <c r="M13" s="48">
        <f t="shared" si="1"/>
        <v>0.34878998382259796</v>
      </c>
    </row>
    <row r="14" spans="1:33" x14ac:dyDescent="0.2">
      <c r="A14" s="14" t="s">
        <v>1456</v>
      </c>
      <c r="B14" s="48">
        <f t="shared" ref="B14:M14" si="2">IF($M$10&lt;&gt;0,(B$9-B$8)/$M$10,0)</f>
        <v>0</v>
      </c>
      <c r="C14" s="48">
        <f t="shared" si="2"/>
        <v>0</v>
      </c>
      <c r="D14" s="48">
        <f t="shared" si="2"/>
        <v>0</v>
      </c>
      <c r="E14" s="48">
        <f t="shared" si="2"/>
        <v>0</v>
      </c>
      <c r="F14" s="48">
        <f t="shared" si="2"/>
        <v>0</v>
      </c>
      <c r="G14" s="48">
        <f t="shared" si="2"/>
        <v>0</v>
      </c>
      <c r="H14" s="48">
        <f t="shared" si="2"/>
        <v>0</v>
      </c>
      <c r="I14" s="48">
        <f t="shared" si="2"/>
        <v>0</v>
      </c>
      <c r="J14" s="48">
        <f t="shared" si="2"/>
        <v>0</v>
      </c>
      <c r="K14" s="48">
        <f t="shared" si="2"/>
        <v>0</v>
      </c>
      <c r="L14" s="48">
        <f t="shared" si="2"/>
        <v>0</v>
      </c>
      <c r="M14" s="48">
        <f t="shared" si="2"/>
        <v>0</v>
      </c>
    </row>
    <row r="15" spans="1:33" x14ac:dyDescent="0.2">
      <c r="A15" s="14" t="s">
        <v>1457</v>
      </c>
      <c r="B15" s="48">
        <f t="shared" ref="B15:M15" si="3">IF($M$8&lt;&gt;0,(B$9-B$8)/$M$8,0)</f>
        <v>0</v>
      </c>
      <c r="C15" s="48">
        <f t="shared" si="3"/>
        <v>0</v>
      </c>
      <c r="D15" s="48">
        <f t="shared" si="3"/>
        <v>0</v>
      </c>
      <c r="E15" s="48">
        <f t="shared" si="3"/>
        <v>0</v>
      </c>
      <c r="F15" s="48">
        <f t="shared" si="3"/>
        <v>0</v>
      </c>
      <c r="G15" s="48">
        <f t="shared" si="3"/>
        <v>0</v>
      </c>
      <c r="H15" s="48">
        <f t="shared" si="3"/>
        <v>0</v>
      </c>
      <c r="I15" s="48">
        <f t="shared" si="3"/>
        <v>0</v>
      </c>
      <c r="J15" s="48">
        <f t="shared" si="3"/>
        <v>0</v>
      </c>
      <c r="K15" s="48">
        <f t="shared" si="3"/>
        <v>0</v>
      </c>
      <c r="L15" s="48">
        <f t="shared" si="3"/>
        <v>0</v>
      </c>
      <c r="M15" s="48">
        <f t="shared" si="3"/>
        <v>0</v>
      </c>
    </row>
  </sheetData>
  <dataValidations count="7">
    <dataValidation type="list" allowBlank="1" showInputMessage="1" showErrorMessage="1" sqref="A2" xr:uid="{9E0400CD-6B6E-4F02-B7C4-362F9C03371E}">
      <formula1>AA1:AA7</formula1>
    </dataValidation>
    <dataValidation type="list" allowBlank="1" showInputMessage="1" showErrorMessage="1" sqref="B2" xr:uid="{289E7BC2-DA8A-435A-B34F-339E98B97C88}">
      <formula1>AB1:AB6</formula1>
    </dataValidation>
    <dataValidation type="list" allowBlank="1" showInputMessage="1" showErrorMessage="1" sqref="C2" xr:uid="{8F78925F-21BB-4E7D-88FF-51993542EE32}">
      <formula1>AC1:AC4</formula1>
    </dataValidation>
    <dataValidation type="list" allowBlank="1" showInputMessage="1" showErrorMessage="1" sqref="D2" xr:uid="{09AD0B86-3181-4AEF-9534-EF54910714BC}">
      <formula1>AD1:AD10</formula1>
    </dataValidation>
    <dataValidation type="list" allowBlank="1" showInputMessage="1" showErrorMessage="1" sqref="E2" xr:uid="{D5BCAFFF-DD21-4AA2-A225-97F97EF9468C}">
      <formula1>AE1:AE2</formula1>
    </dataValidation>
    <dataValidation type="list" allowBlank="1" showInputMessage="1" showErrorMessage="1" sqref="F2" xr:uid="{BF46E1F4-547F-4EF2-9A61-A65CE15DA0B2}">
      <formula1>AF1:AF1</formula1>
    </dataValidation>
    <dataValidation type="list" allowBlank="1" showInputMessage="1" showErrorMessage="1" sqref="G2" xr:uid="{D4E655DF-64E3-41D7-81C2-2E2CFB900EC6}">
      <formula1>AG1:AG5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44895-4C45-4EEA-B950-7DD9C1659594}">
  <sheetPr codeName="Planilha26"/>
  <dimension ref="B1:U26"/>
  <sheetViews>
    <sheetView showGridLines="0" workbookViewId="0">
      <selection activeCell="U1" sqref="U1"/>
    </sheetView>
  </sheetViews>
  <sheetFormatPr defaultRowHeight="15" x14ac:dyDescent="0.25"/>
  <sheetData>
    <row r="1" spans="2:21" x14ac:dyDescent="0.25">
      <c r="B1" s="41" t="s">
        <v>974</v>
      </c>
      <c r="C1" s="41" t="s">
        <v>975</v>
      </c>
      <c r="D1" s="41" t="s">
        <v>976</v>
      </c>
      <c r="E1" s="41" t="s">
        <v>2</v>
      </c>
      <c r="F1" s="41" t="s">
        <v>977</v>
      </c>
      <c r="G1" s="41" t="s">
        <v>875</v>
      </c>
      <c r="H1" s="41" t="s">
        <v>3</v>
      </c>
      <c r="I1" s="41" t="s">
        <v>978</v>
      </c>
      <c r="J1" s="41" t="s">
        <v>5</v>
      </c>
      <c r="K1" s="41" t="s">
        <v>1</v>
      </c>
      <c r="L1" s="41" t="s">
        <v>979</v>
      </c>
      <c r="M1" s="41" t="s">
        <v>980</v>
      </c>
      <c r="N1" s="41" t="s">
        <v>981</v>
      </c>
      <c r="O1" s="41" t="s">
        <v>982</v>
      </c>
      <c r="P1" s="41" t="s">
        <v>983</v>
      </c>
      <c r="Q1" s="41" t="s">
        <v>984</v>
      </c>
      <c r="R1" s="41" t="s">
        <v>985</v>
      </c>
      <c r="S1" s="41" t="s">
        <v>986</v>
      </c>
      <c r="T1" s="41" t="s">
        <v>987</v>
      </c>
      <c r="U1" s="41" t="s">
        <v>988</v>
      </c>
    </row>
    <row r="2" spans="2:21" x14ac:dyDescent="0.25">
      <c r="B2" s="40" t="s">
        <v>950</v>
      </c>
      <c r="C2" s="40">
        <v>6349</v>
      </c>
      <c r="D2" s="40">
        <v>26</v>
      </c>
      <c r="E2" s="40" t="s">
        <v>23</v>
      </c>
      <c r="F2" s="40">
        <v>1</v>
      </c>
      <c r="G2" s="40" t="s">
        <v>951</v>
      </c>
      <c r="H2" s="40" t="s">
        <v>47</v>
      </c>
      <c r="I2" s="40" t="s">
        <v>25</v>
      </c>
      <c r="J2" s="40" t="s">
        <v>47</v>
      </c>
      <c r="K2" s="40" t="s">
        <v>46</v>
      </c>
      <c r="L2" s="40">
        <v>0.3</v>
      </c>
      <c r="M2" s="40">
        <v>0.24</v>
      </c>
      <c r="N2" s="40">
        <v>0.18</v>
      </c>
      <c r="O2" s="40">
        <v>0.12</v>
      </c>
      <c r="P2" s="40">
        <v>0.06</v>
      </c>
      <c r="Q2" s="40">
        <v>0</v>
      </c>
      <c r="R2" s="40"/>
      <c r="S2" s="40"/>
      <c r="T2" s="40"/>
      <c r="U2" s="40">
        <v>3</v>
      </c>
    </row>
    <row r="3" spans="2:21" x14ac:dyDescent="0.25">
      <c r="B3" s="40" t="s">
        <v>952</v>
      </c>
      <c r="C3" s="40">
        <v>6350</v>
      </c>
      <c r="D3" s="40">
        <v>26</v>
      </c>
      <c r="E3" s="40" t="s">
        <v>23</v>
      </c>
      <c r="F3" s="40">
        <v>1</v>
      </c>
      <c r="G3" s="40" t="s">
        <v>951</v>
      </c>
      <c r="H3" s="40" t="s">
        <v>47</v>
      </c>
      <c r="I3" s="40" t="s">
        <v>101</v>
      </c>
      <c r="J3" s="40" t="s">
        <v>899</v>
      </c>
      <c r="K3" s="40" t="s">
        <v>46</v>
      </c>
      <c r="L3" s="40">
        <v>0.3</v>
      </c>
      <c r="M3" s="40">
        <v>0.24</v>
      </c>
      <c r="N3" s="40">
        <v>0.18</v>
      </c>
      <c r="O3" s="40">
        <v>0.12</v>
      </c>
      <c r="P3" s="40">
        <v>0.06</v>
      </c>
      <c r="Q3" s="40">
        <v>0</v>
      </c>
      <c r="R3" s="40"/>
      <c r="S3" s="40"/>
      <c r="T3" s="40"/>
      <c r="U3" s="40">
        <v>3</v>
      </c>
    </row>
    <row r="4" spans="2:21" x14ac:dyDescent="0.25">
      <c r="B4" s="40" t="s">
        <v>953</v>
      </c>
      <c r="C4" s="40">
        <v>8889</v>
      </c>
      <c r="D4" s="40">
        <v>26</v>
      </c>
      <c r="E4" s="40" t="s">
        <v>42</v>
      </c>
      <c r="F4" s="40">
        <v>1</v>
      </c>
      <c r="G4" s="40" t="s">
        <v>951</v>
      </c>
      <c r="H4" s="40" t="s">
        <v>52</v>
      </c>
      <c r="I4" s="40" t="s">
        <v>53</v>
      </c>
      <c r="J4" s="40" t="s">
        <v>899</v>
      </c>
      <c r="K4" s="40" t="s">
        <v>80</v>
      </c>
      <c r="L4" s="40">
        <v>0.15</v>
      </c>
      <c r="M4" s="40">
        <v>0.12</v>
      </c>
      <c r="N4" s="40">
        <v>0.09</v>
      </c>
      <c r="O4" s="40">
        <v>0.06</v>
      </c>
      <c r="P4" s="40">
        <v>0.03</v>
      </c>
      <c r="Q4" s="40">
        <v>0</v>
      </c>
      <c r="R4" s="40"/>
      <c r="S4" s="40"/>
      <c r="T4" s="40"/>
      <c r="U4" s="40">
        <v>3</v>
      </c>
    </row>
    <row r="5" spans="2:21" x14ac:dyDescent="0.25">
      <c r="B5" s="40" t="s">
        <v>954</v>
      </c>
      <c r="C5" s="40">
        <v>8890</v>
      </c>
      <c r="D5" s="40">
        <v>26</v>
      </c>
      <c r="E5" s="40" t="s">
        <v>44</v>
      </c>
      <c r="F5" s="40">
        <v>1</v>
      </c>
      <c r="G5" s="40" t="s">
        <v>951</v>
      </c>
      <c r="H5" s="40" t="s">
        <v>52</v>
      </c>
      <c r="I5" s="40" t="s">
        <v>53</v>
      </c>
      <c r="J5" s="40" t="s">
        <v>899</v>
      </c>
      <c r="K5" s="40" t="s">
        <v>80</v>
      </c>
      <c r="L5" s="40">
        <v>0.15</v>
      </c>
      <c r="M5" s="40">
        <v>0.12</v>
      </c>
      <c r="N5" s="40">
        <v>0.09</v>
      </c>
      <c r="O5" s="40">
        <v>0.06</v>
      </c>
      <c r="P5" s="40">
        <v>0.03</v>
      </c>
      <c r="Q5" s="40">
        <v>0</v>
      </c>
      <c r="R5" s="40"/>
      <c r="S5" s="40"/>
      <c r="T5" s="40"/>
      <c r="U5" s="40">
        <v>3</v>
      </c>
    </row>
    <row r="6" spans="2:21" x14ac:dyDescent="0.25">
      <c r="B6" s="40" t="s">
        <v>955</v>
      </c>
      <c r="C6" s="40">
        <v>8891</v>
      </c>
      <c r="D6" s="40">
        <v>26</v>
      </c>
      <c r="E6" s="40" t="s">
        <v>902</v>
      </c>
      <c r="F6" s="40">
        <v>1</v>
      </c>
      <c r="G6" s="40" t="s">
        <v>951</v>
      </c>
      <c r="H6" s="40" t="s">
        <v>52</v>
      </c>
      <c r="I6" s="40" t="s">
        <v>53</v>
      </c>
      <c r="J6" s="40" t="s">
        <v>899</v>
      </c>
      <c r="K6" s="40" t="s">
        <v>80</v>
      </c>
      <c r="L6" s="40">
        <v>0.15</v>
      </c>
      <c r="M6" s="40">
        <v>0.12</v>
      </c>
      <c r="N6" s="40">
        <v>0.09</v>
      </c>
      <c r="O6" s="40">
        <v>0.06</v>
      </c>
      <c r="P6" s="40">
        <v>0.03</v>
      </c>
      <c r="Q6" s="40">
        <v>0</v>
      </c>
      <c r="R6" s="40"/>
      <c r="S6" s="40"/>
      <c r="T6" s="40"/>
      <c r="U6" s="40">
        <v>3</v>
      </c>
    </row>
    <row r="7" spans="2:21" x14ac:dyDescent="0.25">
      <c r="B7" s="40" t="s">
        <v>956</v>
      </c>
      <c r="C7" s="40">
        <v>8892</v>
      </c>
      <c r="D7" s="40">
        <v>26</v>
      </c>
      <c r="E7" s="40" t="s">
        <v>42</v>
      </c>
      <c r="F7" s="40">
        <v>1</v>
      </c>
      <c r="G7" s="40" t="s">
        <v>951</v>
      </c>
      <c r="H7" s="40" t="s">
        <v>47</v>
      </c>
      <c r="I7" s="40" t="s">
        <v>25</v>
      </c>
      <c r="J7" s="40" t="s">
        <v>900</v>
      </c>
      <c r="K7" s="40" t="s">
        <v>43</v>
      </c>
      <c r="L7" s="40">
        <v>0.1</v>
      </c>
      <c r="M7" s="40">
        <v>0.08</v>
      </c>
      <c r="N7" s="40">
        <v>0.06</v>
      </c>
      <c r="O7" s="40">
        <v>0.04</v>
      </c>
      <c r="P7" s="40">
        <v>0.02</v>
      </c>
      <c r="Q7" s="40">
        <v>0</v>
      </c>
      <c r="R7" s="40"/>
      <c r="S7" s="40"/>
      <c r="T7" s="40"/>
      <c r="U7" s="40">
        <v>3</v>
      </c>
    </row>
    <row r="8" spans="2:21" x14ac:dyDescent="0.25">
      <c r="B8" s="40" t="s">
        <v>957</v>
      </c>
      <c r="C8" s="40">
        <v>8893</v>
      </c>
      <c r="D8" s="40">
        <v>26</v>
      </c>
      <c r="E8" s="40" t="s">
        <v>44</v>
      </c>
      <c r="F8" s="40">
        <v>1</v>
      </c>
      <c r="G8" s="40" t="s">
        <v>951</v>
      </c>
      <c r="H8" s="40" t="s">
        <v>47</v>
      </c>
      <c r="I8" s="40" t="s">
        <v>25</v>
      </c>
      <c r="J8" s="40" t="s">
        <v>900</v>
      </c>
      <c r="K8" s="40" t="s">
        <v>43</v>
      </c>
      <c r="L8" s="40">
        <v>0.1</v>
      </c>
      <c r="M8" s="40">
        <v>0.08</v>
      </c>
      <c r="N8" s="40">
        <v>0.06</v>
      </c>
      <c r="O8" s="40">
        <v>0.04</v>
      </c>
      <c r="P8" s="40">
        <v>0.02</v>
      </c>
      <c r="Q8" s="40">
        <v>0</v>
      </c>
      <c r="R8" s="40"/>
      <c r="S8" s="40"/>
      <c r="T8" s="40"/>
      <c r="U8" s="40">
        <v>3</v>
      </c>
    </row>
    <row r="9" spans="2:21" x14ac:dyDescent="0.25">
      <c r="B9" s="40" t="s">
        <v>958</v>
      </c>
      <c r="C9" s="40">
        <v>8894</v>
      </c>
      <c r="D9" s="40">
        <v>26</v>
      </c>
      <c r="E9" s="40" t="s">
        <v>23</v>
      </c>
      <c r="F9" s="40">
        <v>1</v>
      </c>
      <c r="G9" s="40" t="s">
        <v>951</v>
      </c>
      <c r="H9" s="40" t="s">
        <v>47</v>
      </c>
      <c r="I9" s="40" t="s">
        <v>25</v>
      </c>
      <c r="J9" s="40" t="s">
        <v>900</v>
      </c>
      <c r="K9" s="40" t="s">
        <v>43</v>
      </c>
      <c r="L9" s="40">
        <v>0.1</v>
      </c>
      <c r="M9" s="40">
        <v>0.08</v>
      </c>
      <c r="N9" s="40">
        <v>0.06</v>
      </c>
      <c r="O9" s="40">
        <v>0.04</v>
      </c>
      <c r="P9" s="40">
        <v>0.02</v>
      </c>
      <c r="Q9" s="40">
        <v>0</v>
      </c>
      <c r="R9" s="40"/>
      <c r="S9" s="40"/>
      <c r="T9" s="40"/>
      <c r="U9" s="40">
        <v>3</v>
      </c>
    </row>
    <row r="10" spans="2:21" x14ac:dyDescent="0.25">
      <c r="B10" s="40" t="s">
        <v>959</v>
      </c>
      <c r="C10" s="40">
        <v>8895</v>
      </c>
      <c r="D10" s="40">
        <v>26</v>
      </c>
      <c r="E10" s="40" t="s">
        <v>42</v>
      </c>
      <c r="F10" s="40">
        <v>1</v>
      </c>
      <c r="G10" s="40" t="s">
        <v>951</v>
      </c>
      <c r="H10" s="40" t="s">
        <v>52</v>
      </c>
      <c r="I10" s="40" t="s">
        <v>53</v>
      </c>
      <c r="J10" s="40" t="s">
        <v>899</v>
      </c>
      <c r="K10" s="40" t="s">
        <v>43</v>
      </c>
      <c r="L10" s="40">
        <v>0.15</v>
      </c>
      <c r="M10" s="40">
        <v>0.12</v>
      </c>
      <c r="N10" s="40">
        <v>0.09</v>
      </c>
      <c r="O10" s="40">
        <v>0.06</v>
      </c>
      <c r="P10" s="40">
        <v>0.03</v>
      </c>
      <c r="Q10" s="40">
        <v>0</v>
      </c>
      <c r="R10" s="40"/>
      <c r="S10" s="40"/>
      <c r="T10" s="40"/>
      <c r="U10" s="40">
        <v>3</v>
      </c>
    </row>
    <row r="11" spans="2:21" x14ac:dyDescent="0.25">
      <c r="B11" s="40" t="s">
        <v>960</v>
      </c>
      <c r="C11" s="40">
        <v>8896</v>
      </c>
      <c r="D11" s="40">
        <v>26</v>
      </c>
      <c r="E11" s="40" t="s">
        <v>44</v>
      </c>
      <c r="F11" s="40">
        <v>1</v>
      </c>
      <c r="G11" s="40" t="s">
        <v>951</v>
      </c>
      <c r="H11" s="40" t="s">
        <v>52</v>
      </c>
      <c r="I11" s="40" t="s">
        <v>53</v>
      </c>
      <c r="J11" s="40" t="s">
        <v>899</v>
      </c>
      <c r="K11" s="40" t="s">
        <v>43</v>
      </c>
      <c r="L11" s="40">
        <v>0.15</v>
      </c>
      <c r="M11" s="40">
        <v>0.12</v>
      </c>
      <c r="N11" s="40">
        <v>0.09</v>
      </c>
      <c r="O11" s="40">
        <v>0.06</v>
      </c>
      <c r="P11" s="40">
        <v>0.03</v>
      </c>
      <c r="Q11" s="40">
        <v>0</v>
      </c>
      <c r="R11" s="40"/>
      <c r="S11" s="40"/>
      <c r="T11" s="40"/>
      <c r="U11" s="40">
        <v>3</v>
      </c>
    </row>
    <row r="12" spans="2:21" x14ac:dyDescent="0.25">
      <c r="B12" s="40" t="s">
        <v>961</v>
      </c>
      <c r="C12" s="40">
        <v>8897</v>
      </c>
      <c r="D12" s="40">
        <v>26</v>
      </c>
      <c r="E12" s="40" t="s">
        <v>902</v>
      </c>
      <c r="F12" s="40">
        <v>1</v>
      </c>
      <c r="G12" s="40" t="s">
        <v>951</v>
      </c>
      <c r="H12" s="40" t="s">
        <v>52</v>
      </c>
      <c r="I12" s="40" t="s">
        <v>53</v>
      </c>
      <c r="J12" s="40" t="s">
        <v>899</v>
      </c>
      <c r="K12" s="40" t="s">
        <v>43</v>
      </c>
      <c r="L12" s="40">
        <v>0.15</v>
      </c>
      <c r="M12" s="40">
        <v>0.12</v>
      </c>
      <c r="N12" s="40">
        <v>0.09</v>
      </c>
      <c r="O12" s="40">
        <v>0.06</v>
      </c>
      <c r="P12" s="40">
        <v>0.03</v>
      </c>
      <c r="Q12" s="40">
        <v>0</v>
      </c>
      <c r="R12" s="40"/>
      <c r="S12" s="40"/>
      <c r="T12" s="40"/>
      <c r="U12" s="40">
        <v>3</v>
      </c>
    </row>
    <row r="13" spans="2:21" x14ac:dyDescent="0.25">
      <c r="B13" s="40" t="s">
        <v>962</v>
      </c>
      <c r="C13" s="40">
        <v>8898</v>
      </c>
      <c r="D13" s="40">
        <v>26</v>
      </c>
      <c r="E13" s="40" t="s">
        <v>42</v>
      </c>
      <c r="F13" s="40">
        <v>1</v>
      </c>
      <c r="G13" s="40" t="s">
        <v>951</v>
      </c>
      <c r="H13" s="40" t="s">
        <v>47</v>
      </c>
      <c r="I13" s="40" t="s">
        <v>25</v>
      </c>
      <c r="J13" s="40" t="s">
        <v>900</v>
      </c>
      <c r="K13" s="40" t="s">
        <v>41</v>
      </c>
      <c r="L13" s="40">
        <v>0.1</v>
      </c>
      <c r="M13" s="40">
        <v>0.08</v>
      </c>
      <c r="N13" s="40">
        <v>0.06</v>
      </c>
      <c r="O13" s="40">
        <v>0.04</v>
      </c>
      <c r="P13" s="40">
        <v>0.02</v>
      </c>
      <c r="Q13" s="40">
        <v>0</v>
      </c>
      <c r="R13" s="40"/>
      <c r="S13" s="40"/>
      <c r="T13" s="40"/>
      <c r="U13" s="40">
        <v>3</v>
      </c>
    </row>
    <row r="14" spans="2:21" x14ac:dyDescent="0.25">
      <c r="B14" s="40" t="s">
        <v>963</v>
      </c>
      <c r="C14" s="40">
        <v>8899</v>
      </c>
      <c r="D14" s="40">
        <v>26</v>
      </c>
      <c r="E14" s="40" t="s">
        <v>44</v>
      </c>
      <c r="F14" s="40">
        <v>1</v>
      </c>
      <c r="G14" s="40" t="s">
        <v>951</v>
      </c>
      <c r="H14" s="40" t="s">
        <v>47</v>
      </c>
      <c r="I14" s="40" t="s">
        <v>25</v>
      </c>
      <c r="J14" s="40" t="s">
        <v>900</v>
      </c>
      <c r="K14" s="40" t="s">
        <v>41</v>
      </c>
      <c r="L14" s="40">
        <v>0.1</v>
      </c>
      <c r="M14" s="40">
        <v>0.08</v>
      </c>
      <c r="N14" s="40">
        <v>0.06</v>
      </c>
      <c r="O14" s="40">
        <v>0.04</v>
      </c>
      <c r="P14" s="40">
        <v>0.02</v>
      </c>
      <c r="Q14" s="40">
        <v>0</v>
      </c>
      <c r="R14" s="40"/>
      <c r="S14" s="40"/>
      <c r="T14" s="40"/>
      <c r="U14" s="40">
        <v>3</v>
      </c>
    </row>
    <row r="15" spans="2:21" x14ac:dyDescent="0.25">
      <c r="B15" s="40" t="s">
        <v>964</v>
      </c>
      <c r="C15" s="40">
        <v>8900</v>
      </c>
      <c r="D15" s="40">
        <v>26</v>
      </c>
      <c r="E15" s="40" t="s">
        <v>23</v>
      </c>
      <c r="F15" s="40">
        <v>1</v>
      </c>
      <c r="G15" s="40" t="s">
        <v>951</v>
      </c>
      <c r="H15" s="40" t="s">
        <v>47</v>
      </c>
      <c r="I15" s="40" t="s">
        <v>25</v>
      </c>
      <c r="J15" s="40" t="s">
        <v>900</v>
      </c>
      <c r="K15" s="40" t="s">
        <v>41</v>
      </c>
      <c r="L15" s="40">
        <v>0.1</v>
      </c>
      <c r="M15" s="40">
        <v>0.08</v>
      </c>
      <c r="N15" s="40">
        <v>0.06</v>
      </c>
      <c r="O15" s="40">
        <v>0.04</v>
      </c>
      <c r="P15" s="40">
        <v>0.02</v>
      </c>
      <c r="Q15" s="40">
        <v>0</v>
      </c>
      <c r="R15" s="40"/>
      <c r="S15" s="40"/>
      <c r="T15" s="40"/>
      <c r="U15" s="40">
        <v>3</v>
      </c>
    </row>
    <row r="16" spans="2:21" x14ac:dyDescent="0.25">
      <c r="B16" s="40" t="s">
        <v>965</v>
      </c>
      <c r="C16" s="40">
        <v>8901</v>
      </c>
      <c r="D16" s="40">
        <v>26</v>
      </c>
      <c r="E16" s="40" t="s">
        <v>42</v>
      </c>
      <c r="F16" s="40">
        <v>1</v>
      </c>
      <c r="G16" s="40" t="s">
        <v>951</v>
      </c>
      <c r="H16" s="40" t="s">
        <v>52</v>
      </c>
      <c r="I16" s="40" t="s">
        <v>53</v>
      </c>
      <c r="J16" s="40" t="s">
        <v>899</v>
      </c>
      <c r="K16" s="40" t="s">
        <v>41</v>
      </c>
      <c r="L16" s="40">
        <v>0.15</v>
      </c>
      <c r="M16" s="40">
        <v>0.12</v>
      </c>
      <c r="N16" s="40">
        <v>0.09</v>
      </c>
      <c r="O16" s="40">
        <v>0.06</v>
      </c>
      <c r="P16" s="40">
        <v>0.03</v>
      </c>
      <c r="Q16" s="40">
        <v>0</v>
      </c>
      <c r="R16" s="40"/>
      <c r="S16" s="40"/>
      <c r="T16" s="40"/>
      <c r="U16" s="40">
        <v>3</v>
      </c>
    </row>
    <row r="17" spans="2:21" x14ac:dyDescent="0.25">
      <c r="B17" s="40" t="s">
        <v>966</v>
      </c>
      <c r="C17" s="40">
        <v>8902</v>
      </c>
      <c r="D17" s="40">
        <v>26</v>
      </c>
      <c r="E17" s="40" t="s">
        <v>44</v>
      </c>
      <c r="F17" s="40">
        <v>1</v>
      </c>
      <c r="G17" s="40" t="s">
        <v>951</v>
      </c>
      <c r="H17" s="40" t="s">
        <v>52</v>
      </c>
      <c r="I17" s="40" t="s">
        <v>53</v>
      </c>
      <c r="J17" s="40" t="s">
        <v>899</v>
      </c>
      <c r="K17" s="40" t="s">
        <v>41</v>
      </c>
      <c r="L17" s="40">
        <v>0.15</v>
      </c>
      <c r="M17" s="40">
        <v>0.12</v>
      </c>
      <c r="N17" s="40">
        <v>0.09</v>
      </c>
      <c r="O17" s="40">
        <v>0.06</v>
      </c>
      <c r="P17" s="40">
        <v>0.03</v>
      </c>
      <c r="Q17" s="40">
        <v>0</v>
      </c>
      <c r="R17" s="40"/>
      <c r="S17" s="40"/>
      <c r="T17" s="40"/>
      <c r="U17" s="40">
        <v>3</v>
      </c>
    </row>
    <row r="18" spans="2:21" x14ac:dyDescent="0.25">
      <c r="B18" s="40" t="s">
        <v>967</v>
      </c>
      <c r="C18" s="40">
        <v>8903</v>
      </c>
      <c r="D18" s="40">
        <v>26</v>
      </c>
      <c r="E18" s="40" t="s">
        <v>902</v>
      </c>
      <c r="F18" s="40">
        <v>1</v>
      </c>
      <c r="G18" s="40" t="s">
        <v>951</v>
      </c>
      <c r="H18" s="40" t="s">
        <v>52</v>
      </c>
      <c r="I18" s="40" t="s">
        <v>53</v>
      </c>
      <c r="J18" s="40" t="s">
        <v>899</v>
      </c>
      <c r="K18" s="40" t="s">
        <v>41</v>
      </c>
      <c r="L18" s="40">
        <v>0.15</v>
      </c>
      <c r="M18" s="40">
        <v>0.12</v>
      </c>
      <c r="N18" s="40">
        <v>0.09</v>
      </c>
      <c r="O18" s="40">
        <v>0.06</v>
      </c>
      <c r="P18" s="40">
        <v>0.03</v>
      </c>
      <c r="Q18" s="40">
        <v>0</v>
      </c>
      <c r="R18" s="40"/>
      <c r="S18" s="40"/>
      <c r="T18" s="40"/>
      <c r="U18" s="40">
        <v>3</v>
      </c>
    </row>
    <row r="19" spans="2:21" x14ac:dyDescent="0.25">
      <c r="B19" s="40" t="s">
        <v>950</v>
      </c>
      <c r="C19" s="40">
        <v>8904</v>
      </c>
      <c r="D19" s="40">
        <v>26</v>
      </c>
      <c r="E19" s="40" t="s">
        <v>23</v>
      </c>
      <c r="F19" s="40">
        <v>1</v>
      </c>
      <c r="G19" s="40" t="s">
        <v>951</v>
      </c>
      <c r="H19" s="40" t="s">
        <v>47</v>
      </c>
      <c r="I19" s="40" t="s">
        <v>25</v>
      </c>
      <c r="J19" s="40" t="s">
        <v>47</v>
      </c>
      <c r="K19" s="40" t="s">
        <v>46</v>
      </c>
      <c r="L19" s="40">
        <v>0.3</v>
      </c>
      <c r="M19" s="40">
        <v>0.24</v>
      </c>
      <c r="N19" s="40">
        <v>0.18</v>
      </c>
      <c r="O19" s="40">
        <v>0.12</v>
      </c>
      <c r="P19" s="40">
        <v>0.06</v>
      </c>
      <c r="Q19" s="40">
        <v>0</v>
      </c>
      <c r="R19" s="40"/>
      <c r="S19" s="40"/>
      <c r="T19" s="40"/>
      <c r="U19" s="40">
        <v>3</v>
      </c>
    </row>
    <row r="20" spans="2:21" x14ac:dyDescent="0.25">
      <c r="B20" s="40" t="s">
        <v>968</v>
      </c>
      <c r="C20" s="40">
        <v>8905</v>
      </c>
      <c r="D20" s="40">
        <v>26</v>
      </c>
      <c r="E20" s="40" t="s">
        <v>35</v>
      </c>
      <c r="F20" s="40">
        <v>1</v>
      </c>
      <c r="G20" s="40" t="s">
        <v>951</v>
      </c>
      <c r="H20" s="40" t="s">
        <v>47</v>
      </c>
      <c r="I20" s="40" t="s">
        <v>25</v>
      </c>
      <c r="J20" s="40" t="s">
        <v>47</v>
      </c>
      <c r="K20" s="40" t="s">
        <v>46</v>
      </c>
      <c r="L20" s="40">
        <v>0.3</v>
      </c>
      <c r="M20" s="40">
        <v>0.24</v>
      </c>
      <c r="N20" s="40">
        <v>0.18</v>
      </c>
      <c r="O20" s="40">
        <v>0.12</v>
      </c>
      <c r="P20" s="40">
        <v>0.06</v>
      </c>
      <c r="Q20" s="40">
        <v>0</v>
      </c>
      <c r="R20" s="40"/>
      <c r="S20" s="40"/>
      <c r="T20" s="40"/>
      <c r="U20" s="40">
        <v>3</v>
      </c>
    </row>
    <row r="21" spans="2:21" x14ac:dyDescent="0.25">
      <c r="B21" s="40" t="s">
        <v>952</v>
      </c>
      <c r="C21" s="40">
        <v>8906</v>
      </c>
      <c r="D21" s="40">
        <v>26</v>
      </c>
      <c r="E21" s="40" t="s">
        <v>23</v>
      </c>
      <c r="F21" s="40">
        <v>1</v>
      </c>
      <c r="G21" s="40" t="s">
        <v>951</v>
      </c>
      <c r="H21" s="40" t="s">
        <v>47</v>
      </c>
      <c r="I21" s="40" t="s">
        <v>101</v>
      </c>
      <c r="J21" s="40" t="s">
        <v>899</v>
      </c>
      <c r="K21" s="40" t="s">
        <v>46</v>
      </c>
      <c r="L21" s="40">
        <v>0.3</v>
      </c>
      <c r="M21" s="40">
        <v>0.24</v>
      </c>
      <c r="N21" s="40">
        <v>0.18</v>
      </c>
      <c r="O21" s="40">
        <v>0.12</v>
      </c>
      <c r="P21" s="40">
        <v>0.06</v>
      </c>
      <c r="Q21" s="40">
        <v>0</v>
      </c>
      <c r="R21" s="40"/>
      <c r="S21" s="40"/>
      <c r="T21" s="40"/>
      <c r="U21" s="40">
        <v>3</v>
      </c>
    </row>
    <row r="22" spans="2:21" x14ac:dyDescent="0.25">
      <c r="B22" s="40" t="s">
        <v>969</v>
      </c>
      <c r="C22" s="40">
        <v>8907</v>
      </c>
      <c r="D22" s="40">
        <v>26</v>
      </c>
      <c r="E22" s="40" t="s">
        <v>901</v>
      </c>
      <c r="F22" s="40">
        <v>1</v>
      </c>
      <c r="G22" s="40" t="s">
        <v>951</v>
      </c>
      <c r="H22" s="40" t="s">
        <v>47</v>
      </c>
      <c r="I22" s="40" t="s">
        <v>101</v>
      </c>
      <c r="J22" s="40" t="s">
        <v>899</v>
      </c>
      <c r="K22" s="40" t="s">
        <v>46</v>
      </c>
      <c r="L22" s="40">
        <v>0.3</v>
      </c>
      <c r="M22" s="40">
        <v>0.24</v>
      </c>
      <c r="N22" s="40">
        <v>0.18</v>
      </c>
      <c r="O22" s="40">
        <v>0.12</v>
      </c>
      <c r="P22" s="40">
        <v>0.06</v>
      </c>
      <c r="Q22" s="40">
        <v>0</v>
      </c>
      <c r="R22" s="40"/>
      <c r="S22" s="40"/>
      <c r="T22" s="40"/>
      <c r="U22" s="40">
        <v>3</v>
      </c>
    </row>
    <row r="23" spans="2:21" x14ac:dyDescent="0.25">
      <c r="B23" s="40" t="s">
        <v>970</v>
      </c>
      <c r="C23" s="40">
        <v>8908</v>
      </c>
      <c r="D23" s="40">
        <v>26</v>
      </c>
      <c r="E23" s="40" t="s">
        <v>23</v>
      </c>
      <c r="F23" s="40">
        <v>1</v>
      </c>
      <c r="G23" s="40" t="s">
        <v>951</v>
      </c>
      <c r="H23" s="40" t="s">
        <v>47</v>
      </c>
      <c r="I23" s="40" t="s">
        <v>102</v>
      </c>
      <c r="J23" s="40" t="s">
        <v>899</v>
      </c>
      <c r="K23" s="40" t="s">
        <v>46</v>
      </c>
      <c r="L23" s="40">
        <v>0.4</v>
      </c>
      <c r="M23" s="40">
        <v>0.32</v>
      </c>
      <c r="N23" s="40">
        <v>0.24</v>
      </c>
      <c r="O23" s="40">
        <v>0.16</v>
      </c>
      <c r="P23" s="40">
        <v>0.08</v>
      </c>
      <c r="Q23" s="40">
        <v>0</v>
      </c>
      <c r="R23" s="40"/>
      <c r="S23" s="40"/>
      <c r="T23" s="40"/>
      <c r="U23" s="40">
        <v>3</v>
      </c>
    </row>
    <row r="24" spans="2:21" x14ac:dyDescent="0.25">
      <c r="B24" s="40" t="s">
        <v>971</v>
      </c>
      <c r="C24" s="40">
        <v>8909</v>
      </c>
      <c r="D24" s="40">
        <v>26</v>
      </c>
      <c r="E24" s="40" t="s">
        <v>901</v>
      </c>
      <c r="F24" s="40">
        <v>1</v>
      </c>
      <c r="G24" s="40" t="s">
        <v>951</v>
      </c>
      <c r="H24" s="40" t="s">
        <v>47</v>
      </c>
      <c r="I24" s="40" t="s">
        <v>102</v>
      </c>
      <c r="J24" s="40" t="s">
        <v>899</v>
      </c>
      <c r="K24" s="40" t="s">
        <v>46</v>
      </c>
      <c r="L24" s="40">
        <v>0.4</v>
      </c>
      <c r="M24" s="40">
        <v>0.32</v>
      </c>
      <c r="N24" s="40">
        <v>0.24</v>
      </c>
      <c r="O24" s="40">
        <v>0.16</v>
      </c>
      <c r="P24" s="40">
        <v>0.08</v>
      </c>
      <c r="Q24" s="40">
        <v>0</v>
      </c>
      <c r="R24" s="40"/>
      <c r="S24" s="40"/>
      <c r="T24" s="40"/>
      <c r="U24" s="40">
        <v>3</v>
      </c>
    </row>
    <row r="25" spans="2:21" x14ac:dyDescent="0.25">
      <c r="B25" s="40" t="s">
        <v>972</v>
      </c>
      <c r="C25" s="40">
        <v>8910</v>
      </c>
      <c r="D25" s="40">
        <v>26</v>
      </c>
      <c r="E25" s="40" t="s">
        <v>23</v>
      </c>
      <c r="F25" s="40">
        <v>1</v>
      </c>
      <c r="G25" s="40" t="s">
        <v>951</v>
      </c>
      <c r="H25" s="40" t="s">
        <v>52</v>
      </c>
      <c r="I25" s="40" t="s">
        <v>53</v>
      </c>
      <c r="J25" s="40" t="s">
        <v>899</v>
      </c>
      <c r="K25" s="40" t="s">
        <v>39</v>
      </c>
      <c r="L25" s="40">
        <v>0.15</v>
      </c>
      <c r="M25" s="40">
        <v>0.12</v>
      </c>
      <c r="N25" s="40">
        <v>0.09</v>
      </c>
      <c r="O25" s="40">
        <v>0.06</v>
      </c>
      <c r="P25" s="40">
        <v>0.03</v>
      </c>
      <c r="Q25" s="40">
        <v>0</v>
      </c>
      <c r="R25" s="40"/>
      <c r="S25" s="40"/>
      <c r="T25" s="40"/>
      <c r="U25" s="40">
        <v>3</v>
      </c>
    </row>
    <row r="26" spans="2:21" x14ac:dyDescent="0.25">
      <c r="B26" s="40" t="s">
        <v>973</v>
      </c>
      <c r="C26" s="40">
        <v>8911</v>
      </c>
      <c r="D26" s="40">
        <v>26</v>
      </c>
      <c r="E26" s="40" t="s">
        <v>35</v>
      </c>
      <c r="F26" s="40">
        <v>1</v>
      </c>
      <c r="G26" s="40" t="s">
        <v>951</v>
      </c>
      <c r="H26" s="40" t="s">
        <v>52</v>
      </c>
      <c r="I26" s="40" t="s">
        <v>53</v>
      </c>
      <c r="J26" s="40" t="s">
        <v>899</v>
      </c>
      <c r="K26" s="40" t="s">
        <v>39</v>
      </c>
      <c r="L26" s="40">
        <v>0.15</v>
      </c>
      <c r="M26" s="40">
        <v>0.12</v>
      </c>
      <c r="N26" s="40">
        <v>0.09</v>
      </c>
      <c r="O26" s="40">
        <v>0.06</v>
      </c>
      <c r="P26" s="40">
        <v>0.03</v>
      </c>
      <c r="Q26" s="40">
        <v>0</v>
      </c>
      <c r="R26" s="40"/>
      <c r="S26" s="40"/>
      <c r="T26" s="40"/>
      <c r="U26" s="40">
        <v>3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7DAF3-E25E-4DC5-98A3-CC620C6E142A}">
  <sheetPr codeName="Planilha27"/>
  <dimension ref="A1:L18"/>
  <sheetViews>
    <sheetView showGridLines="0" workbookViewId="0">
      <selection activeCell="H21" sqref="H21"/>
    </sheetView>
  </sheetViews>
  <sheetFormatPr defaultRowHeight="11.25" x14ac:dyDescent="0.2"/>
  <cols>
    <col min="1" max="1" width="31.42578125" style="14" bestFit="1" customWidth="1"/>
    <col min="2" max="2" width="18.42578125" style="14" customWidth="1"/>
    <col min="3" max="12" width="11" style="14" customWidth="1"/>
    <col min="13" max="16384" width="9.140625" style="14"/>
  </cols>
  <sheetData>
    <row r="1" spans="1:12" ht="12" thickBot="1" x14ac:dyDescent="0.25">
      <c r="A1" s="77" t="s">
        <v>1473</v>
      </c>
      <c r="B1" s="77" t="s">
        <v>22</v>
      </c>
      <c r="C1" s="77" t="s">
        <v>1472</v>
      </c>
      <c r="D1" s="77" t="s">
        <v>1471</v>
      </c>
      <c r="E1" s="77" t="s">
        <v>39</v>
      </c>
      <c r="F1" s="77" t="s">
        <v>1470</v>
      </c>
      <c r="G1" s="77" t="s">
        <v>1469</v>
      </c>
      <c r="H1" s="77" t="s">
        <v>868</v>
      </c>
      <c r="I1" s="77" t="s">
        <v>41</v>
      </c>
      <c r="J1" s="77" t="s">
        <v>43</v>
      </c>
      <c r="K1" s="77" t="s">
        <v>80</v>
      </c>
      <c r="L1" s="77" t="s">
        <v>867</v>
      </c>
    </row>
    <row r="2" spans="1:12" x14ac:dyDescent="0.2">
      <c r="A2" s="73" t="s">
        <v>1468</v>
      </c>
      <c r="B2" s="79">
        <f t="shared" ref="B2:L2" si="0">12*B3*(1-$B$10/IF($B$8&lt;&gt;0,$B$8,1))/IF(((((1+$B$6)^(1/IF($B$9&lt;&gt;0,$B$9,1))*$B$6)/(IF((1+$B$6)^(1/IF($B$9&lt;&gt;0,$B$9,1))-1&lt;&gt;0,(1+$B$6)^(1/IF($B$9&lt;&gt;0,$B$9,1))-1,1))))&lt;&gt;0,(((1+$B$6)^(1/IF($B$9&lt;&gt;0,$B$9,1))*$B$6)/(IF((1+$B$6)^(1/IF($B$9&lt;&gt;0,$B$9,1))-1&lt;&gt;0,(1+$B$6)^(1/IF($B$9&lt;&gt;0,$B$9,1))-1,1))),1)</f>
        <v>916.1646529215144</v>
      </c>
      <c r="C2" s="79">
        <f t="shared" si="0"/>
        <v>861.14109222359139</v>
      </c>
      <c r="D2" s="79">
        <f t="shared" si="0"/>
        <v>842.79990532428371</v>
      </c>
      <c r="E2" s="79">
        <f t="shared" si="0"/>
        <v>916.1646529215144</v>
      </c>
      <c r="F2" s="79">
        <f t="shared" si="0"/>
        <v>504.15896671999349</v>
      </c>
      <c r="G2" s="79">
        <f t="shared" si="0"/>
        <v>549.78826095729551</v>
      </c>
      <c r="H2" s="79">
        <f t="shared" si="0"/>
        <v>0</v>
      </c>
      <c r="I2" s="79">
        <f t="shared" si="0"/>
        <v>722.40661457670456</v>
      </c>
      <c r="J2" s="79">
        <f t="shared" si="0"/>
        <v>722.40661457670456</v>
      </c>
      <c r="K2" s="79">
        <f t="shared" si="0"/>
        <v>677.25620116566051</v>
      </c>
      <c r="L2" s="79">
        <f t="shared" si="0"/>
        <v>0</v>
      </c>
    </row>
    <row r="3" spans="1:12" ht="12" thickBot="1" x14ac:dyDescent="0.25">
      <c r="A3" s="71" t="s">
        <v>1467</v>
      </c>
      <c r="B3" s="78">
        <v>20.48</v>
      </c>
      <c r="C3" s="78">
        <v>19.25</v>
      </c>
      <c r="D3" s="78">
        <v>18.84</v>
      </c>
      <c r="E3" s="78">
        <v>20.48</v>
      </c>
      <c r="F3" s="78">
        <v>11.27</v>
      </c>
      <c r="G3" s="78">
        <v>12.29</v>
      </c>
      <c r="H3" s="78">
        <v>0</v>
      </c>
      <c r="I3" s="78">
        <f>'TUSD BE'!$AC$20</f>
        <v>16.148721105264418</v>
      </c>
      <c r="J3" s="78">
        <f>'TUSD BE'!$AC$10</f>
        <v>16.148721105264418</v>
      </c>
      <c r="K3" s="78">
        <f>'TUSD BE'!$AC$6</f>
        <v>15.139426036185391</v>
      </c>
      <c r="L3" s="78">
        <v>0</v>
      </c>
    </row>
    <row r="5" spans="1:12" ht="12" thickBot="1" x14ac:dyDescent="0.25">
      <c r="A5" s="77" t="s">
        <v>1466</v>
      </c>
      <c r="B5" s="77" t="s">
        <v>1465</v>
      </c>
    </row>
    <row r="6" spans="1:12" x14ac:dyDescent="0.2">
      <c r="A6" s="73" t="s">
        <v>1464</v>
      </c>
      <c r="B6" s="76">
        <v>0.11083669854816336</v>
      </c>
    </row>
    <row r="7" spans="1:12" x14ac:dyDescent="0.2">
      <c r="A7" s="75" t="s">
        <v>1463</v>
      </c>
      <c r="B7" s="74">
        <v>0.34</v>
      </c>
    </row>
    <row r="8" spans="1:12" x14ac:dyDescent="0.2">
      <c r="A8" s="73" t="s">
        <v>1462</v>
      </c>
      <c r="B8" s="72">
        <v>293015796.96271247</v>
      </c>
    </row>
    <row r="9" spans="1:12" x14ac:dyDescent="0.2">
      <c r="A9" s="75" t="s">
        <v>1461</v>
      </c>
      <c r="B9" s="74">
        <v>3.7600000000000001E-2</v>
      </c>
    </row>
    <row r="10" spans="1:12" x14ac:dyDescent="0.2">
      <c r="A10" s="73" t="s">
        <v>1460</v>
      </c>
      <c r="B10" s="72">
        <v>164069664.6265845</v>
      </c>
    </row>
    <row r="11" spans="1:12" ht="12" thickBot="1" x14ac:dyDescent="0.25">
      <c r="A11" s="71" t="s">
        <v>1459</v>
      </c>
      <c r="B11" s="70">
        <f>(1+$B$6)^(1/IF($B$9&lt;&gt;0,$B$9,1))*$B$6/IF((1+$B$6)^(1/IF($B$9&lt;&gt;0,$B$9,1))-1&lt;&gt;0,(1+$B$6)^(1/IF($B$9&lt;&gt;0,$B$9,1))-1,1)</f>
        <v>0.11804699933002356</v>
      </c>
    </row>
    <row r="18" spans="2:2" x14ac:dyDescent="0.2">
      <c r="B18" s="69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381B3-77E4-4C2A-897F-3F3C75EDF79B}">
  <sheetPr codeName="Planilha28"/>
  <dimension ref="B1:AT78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7.285156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1" width="12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25" bestFit="1" customWidth="1"/>
    <col min="30" max="30" width="14.42578125" bestFit="1" customWidth="1"/>
    <col min="31" max="31" width="12" bestFit="1" customWidth="1"/>
    <col min="32" max="32" width="17.7109375" bestFit="1" customWidth="1"/>
    <col min="33" max="33" width="12.5703125" bestFit="1" customWidth="1"/>
    <col min="34" max="34" width="12" bestFit="1" customWidth="1"/>
    <col min="35" max="35" width="16.5703125" bestFit="1" customWidth="1"/>
    <col min="36" max="36" width="14.5703125" bestFit="1" customWidth="1"/>
    <col min="37" max="37" width="12" bestFit="1" customWidth="1"/>
    <col min="38" max="38" width="12.5703125" bestFit="1" customWidth="1"/>
    <col min="39" max="39" width="12.28515625" bestFit="1" customWidth="1"/>
    <col min="40" max="40" width="14.140625" bestFit="1" customWidth="1"/>
    <col min="41" max="41" width="25.28515625" bestFit="1" customWidth="1"/>
    <col min="42" max="42" width="17.85546875" bestFit="1" customWidth="1"/>
    <col min="43" max="43" width="13.42578125" bestFit="1" customWidth="1"/>
    <col min="44" max="44" width="13.28515625" bestFit="1" customWidth="1"/>
    <col min="45" max="45" width="22.140625" bestFit="1" customWidth="1"/>
    <col min="46" max="46" width="12.5703125" bestFit="1" customWidth="1"/>
  </cols>
  <sheetData>
    <row r="1" spans="2:46" ht="12" customHeight="1" x14ac:dyDescent="0.25">
      <c r="L1" s="126" t="s">
        <v>1513</v>
      </c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D1" s="126"/>
      <c r="AE1" s="126"/>
      <c r="AF1" s="126"/>
      <c r="AG1" s="126"/>
      <c r="AH1" s="127"/>
      <c r="AI1" s="126" t="s">
        <v>1514</v>
      </c>
      <c r="AJ1" s="126"/>
      <c r="AK1" s="126"/>
      <c r="AL1" s="126"/>
      <c r="AM1" s="126"/>
      <c r="AN1" s="126"/>
      <c r="AO1" s="126"/>
      <c r="AP1" s="126"/>
      <c r="AQ1" s="126"/>
      <c r="AR1" s="126"/>
      <c r="AS1" s="126"/>
      <c r="AT1" s="126"/>
    </row>
    <row r="2" spans="2:46" ht="12" customHeight="1" x14ac:dyDescent="0.25">
      <c r="L2" s="128" t="s">
        <v>735</v>
      </c>
      <c r="M2" s="128"/>
      <c r="N2" s="128"/>
      <c r="O2" s="128"/>
      <c r="P2" s="128"/>
      <c r="Q2" s="128"/>
      <c r="R2" s="128"/>
      <c r="S2" s="129"/>
      <c r="T2" s="128" t="s">
        <v>744</v>
      </c>
      <c r="U2" s="128"/>
      <c r="V2" s="128"/>
      <c r="W2" s="128"/>
      <c r="X2" s="128"/>
      <c r="Y2" s="128"/>
      <c r="Z2" s="129"/>
      <c r="AA2" s="91" t="s">
        <v>752</v>
      </c>
      <c r="AB2" s="128" t="s">
        <v>25</v>
      </c>
      <c r="AC2" s="128"/>
      <c r="AD2" s="129"/>
      <c r="AE2" s="128" t="s">
        <v>1512</v>
      </c>
      <c r="AF2" s="128"/>
      <c r="AG2" s="128"/>
      <c r="AH2" s="129"/>
      <c r="AI2" s="128" t="s">
        <v>735</v>
      </c>
      <c r="AJ2" s="128"/>
      <c r="AK2" s="128"/>
      <c r="AL2" s="128"/>
      <c r="AM2" s="129"/>
      <c r="AN2" s="91" t="s">
        <v>766</v>
      </c>
      <c r="AO2" s="128" t="s">
        <v>744</v>
      </c>
      <c r="AP2" s="128"/>
      <c r="AQ2" s="128"/>
      <c r="AR2" s="128"/>
      <c r="AS2" s="129"/>
      <c r="AT2" s="90" t="s">
        <v>1512</v>
      </c>
    </row>
    <row r="3" spans="2:46" ht="12" customHeight="1" x14ac:dyDescent="0.25">
      <c r="B3" s="81" t="s">
        <v>71</v>
      </c>
      <c r="C3" s="82" t="s">
        <v>72</v>
      </c>
      <c r="D3" s="82" t="s">
        <v>73</v>
      </c>
      <c r="E3" s="82" t="s">
        <v>74</v>
      </c>
      <c r="F3" s="82" t="s">
        <v>75</v>
      </c>
      <c r="G3" s="82" t="s">
        <v>77</v>
      </c>
      <c r="H3" s="82" t="s">
        <v>78</v>
      </c>
      <c r="I3" s="82" t="s">
        <v>1019</v>
      </c>
      <c r="J3" s="82" t="s">
        <v>1474</v>
      </c>
      <c r="K3" s="82" t="s">
        <v>1475</v>
      </c>
      <c r="L3" s="82" t="s">
        <v>1476</v>
      </c>
      <c r="M3" s="82" t="s">
        <v>1477</v>
      </c>
      <c r="N3" s="82" t="s">
        <v>1478</v>
      </c>
      <c r="O3" s="82" t="s">
        <v>1479</v>
      </c>
      <c r="P3" s="82" t="s">
        <v>1480</v>
      </c>
      <c r="Q3" s="82" t="s">
        <v>1481</v>
      </c>
      <c r="R3" s="82" t="s">
        <v>1482</v>
      </c>
      <c r="S3" s="82" t="s">
        <v>1483</v>
      </c>
      <c r="T3" s="82" t="s">
        <v>1484</v>
      </c>
      <c r="U3" s="82" t="s">
        <v>1485</v>
      </c>
      <c r="V3" s="82" t="s">
        <v>1486</v>
      </c>
      <c r="W3" s="82" t="s">
        <v>1487</v>
      </c>
      <c r="X3" s="82" t="s">
        <v>1488</v>
      </c>
      <c r="Y3" s="82" t="s">
        <v>1489</v>
      </c>
      <c r="Z3" s="82" t="s">
        <v>1490</v>
      </c>
      <c r="AA3" s="82" t="s">
        <v>1491</v>
      </c>
      <c r="AB3" s="82" t="s">
        <v>1492</v>
      </c>
      <c r="AC3" s="82" t="s">
        <v>1493</v>
      </c>
      <c r="AD3" s="82" t="s">
        <v>1494</v>
      </c>
      <c r="AE3" s="82" t="s">
        <v>1495</v>
      </c>
      <c r="AF3" s="82" t="s">
        <v>1496</v>
      </c>
      <c r="AG3" s="82" t="s">
        <v>1497</v>
      </c>
      <c r="AH3" s="82" t="s">
        <v>1498</v>
      </c>
      <c r="AI3" s="82" t="s">
        <v>1499</v>
      </c>
      <c r="AJ3" s="82" t="s">
        <v>1500</v>
      </c>
      <c r="AK3" s="82" t="s">
        <v>1501</v>
      </c>
      <c r="AL3" s="82" t="s">
        <v>1502</v>
      </c>
      <c r="AM3" s="82" t="s">
        <v>1503</v>
      </c>
      <c r="AN3" s="82" t="s">
        <v>1504</v>
      </c>
      <c r="AO3" s="82" t="s">
        <v>1505</v>
      </c>
      <c r="AP3" s="82" t="s">
        <v>1506</v>
      </c>
      <c r="AQ3" s="82" t="s">
        <v>1507</v>
      </c>
      <c r="AR3" s="82" t="s">
        <v>1508</v>
      </c>
      <c r="AS3" s="82" t="s">
        <v>1509</v>
      </c>
      <c r="AT3" s="83" t="s">
        <v>1510</v>
      </c>
    </row>
    <row r="4" spans="2:46" ht="12" customHeight="1" x14ac:dyDescent="0.25">
      <c r="B4" s="84" t="s">
        <v>80</v>
      </c>
      <c r="C4" s="85" t="s">
        <v>42</v>
      </c>
      <c r="D4" s="85" t="s">
        <v>25</v>
      </c>
      <c r="E4" s="85" t="s">
        <v>25</v>
      </c>
      <c r="F4" s="85" t="s">
        <v>89</v>
      </c>
      <c r="G4" s="85" t="s">
        <v>36</v>
      </c>
      <c r="H4" s="85" t="s">
        <v>82</v>
      </c>
      <c r="I4" s="85" t="s">
        <v>25</v>
      </c>
      <c r="J4" s="85">
        <v>17.78</v>
      </c>
      <c r="K4" s="85">
        <v>0</v>
      </c>
      <c r="L4" s="85">
        <v>0</v>
      </c>
      <c r="M4" s="85">
        <v>0.11821520926312901</v>
      </c>
      <c r="N4" s="85">
        <v>0.30193000043681001</v>
      </c>
      <c r="O4" s="85">
        <v>0</v>
      </c>
      <c r="P4" s="85">
        <v>0</v>
      </c>
      <c r="Q4" s="85">
        <v>0</v>
      </c>
      <c r="R4" s="85">
        <v>0</v>
      </c>
      <c r="S4" s="85">
        <v>0</v>
      </c>
      <c r="T4" s="85">
        <v>0</v>
      </c>
      <c r="U4" s="85">
        <v>0</v>
      </c>
      <c r="V4" s="85">
        <v>0</v>
      </c>
      <c r="W4" s="85">
        <v>0</v>
      </c>
      <c r="X4" s="85">
        <v>0</v>
      </c>
      <c r="Y4" s="85">
        <v>0</v>
      </c>
      <c r="Z4" s="85">
        <v>0</v>
      </c>
      <c r="AA4" s="85">
        <v>0</v>
      </c>
      <c r="AB4" s="85">
        <v>-1.5799803285605001</v>
      </c>
      <c r="AC4" s="85">
        <v>0</v>
      </c>
      <c r="AD4" s="85">
        <v>0</v>
      </c>
      <c r="AE4" s="85">
        <v>11.411199444839699</v>
      </c>
      <c r="AF4" s="85">
        <v>0.52764321208980802</v>
      </c>
      <c r="AG4" s="85">
        <v>5.1275490080911901</v>
      </c>
      <c r="AH4" s="85">
        <v>1.87552155109643</v>
      </c>
      <c r="AI4" s="85">
        <v>0</v>
      </c>
      <c r="AJ4" s="85">
        <v>0</v>
      </c>
      <c r="AK4" s="85">
        <v>0</v>
      </c>
      <c r="AL4" s="85">
        <v>0</v>
      </c>
      <c r="AM4" s="85">
        <v>0</v>
      </c>
      <c r="AN4" s="85">
        <v>0</v>
      </c>
      <c r="AO4" s="85">
        <v>0</v>
      </c>
      <c r="AP4" s="85">
        <v>0</v>
      </c>
      <c r="AQ4" s="85">
        <v>0</v>
      </c>
      <c r="AR4" s="85">
        <v>0</v>
      </c>
      <c r="AS4" s="85">
        <v>0</v>
      </c>
      <c r="AT4" s="86">
        <v>0</v>
      </c>
    </row>
    <row r="5" spans="2:46" ht="12" customHeight="1" x14ac:dyDescent="0.25">
      <c r="B5" s="84" t="s">
        <v>80</v>
      </c>
      <c r="C5" s="85" t="s">
        <v>42</v>
      </c>
      <c r="D5" s="85" t="s">
        <v>25</v>
      </c>
      <c r="E5" s="85" t="s">
        <v>25</v>
      </c>
      <c r="F5" s="85" t="s">
        <v>89</v>
      </c>
      <c r="G5" s="85" t="s">
        <v>36</v>
      </c>
      <c r="H5" s="85" t="s">
        <v>85</v>
      </c>
      <c r="I5" s="85" t="s">
        <v>25</v>
      </c>
      <c r="J5" s="85">
        <v>52.79</v>
      </c>
      <c r="K5" s="85">
        <v>0</v>
      </c>
      <c r="L5" s="85">
        <v>0</v>
      </c>
      <c r="M5" s="85">
        <v>0</v>
      </c>
      <c r="N5" s="85">
        <v>0</v>
      </c>
      <c r="O5" s="85">
        <v>0</v>
      </c>
      <c r="P5" s="85">
        <v>0</v>
      </c>
      <c r="Q5" s="85">
        <v>0</v>
      </c>
      <c r="R5" s="85">
        <v>0</v>
      </c>
      <c r="S5" s="85">
        <v>0</v>
      </c>
      <c r="T5" s="85">
        <v>3.55884949183698</v>
      </c>
      <c r="U5" s="85">
        <v>3.7344592776491501</v>
      </c>
      <c r="V5" s="85">
        <v>0.32009029439713899</v>
      </c>
      <c r="W5" s="85">
        <v>0</v>
      </c>
      <c r="X5" s="85">
        <v>0</v>
      </c>
      <c r="Y5" s="85">
        <v>0</v>
      </c>
      <c r="Z5" s="85">
        <v>0</v>
      </c>
      <c r="AA5" s="85">
        <v>50.272326326011601</v>
      </c>
      <c r="AB5" s="85">
        <v>-5.0964618171556699</v>
      </c>
      <c r="AC5" s="85">
        <v>0</v>
      </c>
      <c r="AD5" s="85">
        <v>0</v>
      </c>
      <c r="AE5" s="85">
        <v>0</v>
      </c>
      <c r="AF5" s="85">
        <v>0</v>
      </c>
      <c r="AG5" s="85">
        <v>0</v>
      </c>
      <c r="AH5" s="85">
        <v>0</v>
      </c>
      <c r="AI5" s="85">
        <v>0</v>
      </c>
      <c r="AJ5" s="85">
        <v>0</v>
      </c>
      <c r="AK5" s="85">
        <v>0</v>
      </c>
      <c r="AL5" s="85">
        <v>0</v>
      </c>
      <c r="AM5" s="85">
        <v>0</v>
      </c>
      <c r="AN5" s="85">
        <v>0</v>
      </c>
      <c r="AO5" s="85">
        <v>0</v>
      </c>
      <c r="AP5" s="85">
        <v>0</v>
      </c>
      <c r="AQ5" s="85">
        <v>0</v>
      </c>
      <c r="AR5" s="85">
        <v>0</v>
      </c>
      <c r="AS5" s="85">
        <v>0</v>
      </c>
      <c r="AT5" s="86">
        <v>0</v>
      </c>
    </row>
    <row r="6" spans="2:46" ht="12" customHeight="1" x14ac:dyDescent="0.25">
      <c r="B6" s="84" t="s">
        <v>80</v>
      </c>
      <c r="C6" s="85" t="s">
        <v>42</v>
      </c>
      <c r="D6" s="85" t="s">
        <v>25</v>
      </c>
      <c r="E6" s="85" t="s">
        <v>25</v>
      </c>
      <c r="F6" s="85" t="s">
        <v>89</v>
      </c>
      <c r="G6" s="85" t="s">
        <v>37</v>
      </c>
      <c r="H6" s="85" t="s">
        <v>82</v>
      </c>
      <c r="I6" s="85" t="s">
        <v>25</v>
      </c>
      <c r="J6" s="85">
        <v>17.78</v>
      </c>
      <c r="K6" s="85">
        <v>0</v>
      </c>
      <c r="L6" s="85">
        <v>0</v>
      </c>
      <c r="M6" s="85">
        <v>0.11821520926312901</v>
      </c>
      <c r="N6" s="85">
        <v>0.30193000043681001</v>
      </c>
      <c r="O6" s="85">
        <v>0</v>
      </c>
      <c r="P6" s="85">
        <v>0</v>
      </c>
      <c r="Q6" s="85">
        <v>0</v>
      </c>
      <c r="R6" s="85">
        <v>0</v>
      </c>
      <c r="S6" s="85">
        <v>0</v>
      </c>
      <c r="T6" s="85">
        <v>0</v>
      </c>
      <c r="U6" s="85">
        <v>0</v>
      </c>
      <c r="V6" s="85">
        <v>0</v>
      </c>
      <c r="W6" s="85">
        <v>0</v>
      </c>
      <c r="X6" s="85">
        <v>0</v>
      </c>
      <c r="Y6" s="85">
        <v>0</v>
      </c>
      <c r="Z6" s="85">
        <v>0</v>
      </c>
      <c r="AA6" s="85">
        <v>0</v>
      </c>
      <c r="AB6" s="85">
        <v>-1.5799803285605001</v>
      </c>
      <c r="AC6" s="85">
        <v>0</v>
      </c>
      <c r="AD6" s="85">
        <v>0</v>
      </c>
      <c r="AE6" s="85">
        <v>11.411199444839699</v>
      </c>
      <c r="AF6" s="85">
        <v>0.52764321208980802</v>
      </c>
      <c r="AG6" s="85">
        <v>5.1275490080911901</v>
      </c>
      <c r="AH6" s="85">
        <v>1.87552155109643</v>
      </c>
      <c r="AI6" s="85">
        <v>0</v>
      </c>
      <c r="AJ6" s="85">
        <v>0</v>
      </c>
      <c r="AK6" s="85">
        <v>0</v>
      </c>
      <c r="AL6" s="85">
        <v>0</v>
      </c>
      <c r="AM6" s="85">
        <v>0</v>
      </c>
      <c r="AN6" s="85">
        <v>0</v>
      </c>
      <c r="AO6" s="85">
        <v>0</v>
      </c>
      <c r="AP6" s="85">
        <v>0</v>
      </c>
      <c r="AQ6" s="85">
        <v>0</v>
      </c>
      <c r="AR6" s="85">
        <v>0</v>
      </c>
      <c r="AS6" s="85">
        <v>0</v>
      </c>
      <c r="AT6" s="86">
        <v>0</v>
      </c>
    </row>
    <row r="7" spans="2:46" ht="12" customHeight="1" x14ac:dyDescent="0.25">
      <c r="B7" s="84" t="s">
        <v>80</v>
      </c>
      <c r="C7" s="85" t="s">
        <v>42</v>
      </c>
      <c r="D7" s="85" t="s">
        <v>25</v>
      </c>
      <c r="E7" s="85" t="s">
        <v>25</v>
      </c>
      <c r="F7" s="85" t="s">
        <v>89</v>
      </c>
      <c r="G7" s="85" t="s">
        <v>37</v>
      </c>
      <c r="H7" s="85" t="s">
        <v>85</v>
      </c>
      <c r="I7" s="85" t="s">
        <v>25</v>
      </c>
      <c r="J7" s="85">
        <v>19.329999999999998</v>
      </c>
      <c r="K7" s="85">
        <v>0</v>
      </c>
      <c r="L7" s="85">
        <v>0</v>
      </c>
      <c r="M7" s="85">
        <v>0</v>
      </c>
      <c r="N7" s="85">
        <v>0</v>
      </c>
      <c r="O7" s="85">
        <v>0</v>
      </c>
      <c r="P7" s="85">
        <v>0</v>
      </c>
      <c r="Q7" s="85">
        <v>0</v>
      </c>
      <c r="R7" s="85">
        <v>0</v>
      </c>
      <c r="S7" s="85">
        <v>0</v>
      </c>
      <c r="T7" s="85">
        <v>2.6719040077280201</v>
      </c>
      <c r="U7" s="85">
        <v>3.0893141854209798</v>
      </c>
      <c r="V7" s="85">
        <v>0.26737890760835598</v>
      </c>
      <c r="W7" s="85">
        <v>0</v>
      </c>
      <c r="X7" s="85">
        <v>0</v>
      </c>
      <c r="Y7" s="85">
        <v>0</v>
      </c>
      <c r="Z7" s="85">
        <v>0</v>
      </c>
      <c r="AA7" s="85">
        <v>15.1177936524457</v>
      </c>
      <c r="AB7" s="85">
        <v>-1.81958479523665</v>
      </c>
      <c r="AC7" s="85">
        <v>0</v>
      </c>
      <c r="AD7" s="85">
        <v>0</v>
      </c>
      <c r="AE7" s="85">
        <v>0</v>
      </c>
      <c r="AF7" s="85">
        <v>0</v>
      </c>
      <c r="AG7" s="85">
        <v>0</v>
      </c>
      <c r="AH7" s="85">
        <v>0</v>
      </c>
      <c r="AI7" s="85">
        <v>0</v>
      </c>
      <c r="AJ7" s="85">
        <v>0</v>
      </c>
      <c r="AK7" s="85">
        <v>0</v>
      </c>
      <c r="AL7" s="85">
        <v>0</v>
      </c>
      <c r="AM7" s="85">
        <v>0</v>
      </c>
      <c r="AN7" s="85">
        <v>0</v>
      </c>
      <c r="AO7" s="85">
        <v>0</v>
      </c>
      <c r="AP7" s="85">
        <v>0</v>
      </c>
      <c r="AQ7" s="85">
        <v>0</v>
      </c>
      <c r="AR7" s="85">
        <v>0</v>
      </c>
      <c r="AS7" s="85">
        <v>0</v>
      </c>
      <c r="AT7" s="86">
        <v>0</v>
      </c>
    </row>
    <row r="8" spans="2:46" ht="12" customHeight="1" x14ac:dyDescent="0.25">
      <c r="B8" s="84" t="s">
        <v>80</v>
      </c>
      <c r="C8" s="85" t="s">
        <v>42</v>
      </c>
      <c r="D8" s="85" t="s">
        <v>25</v>
      </c>
      <c r="E8" s="85" t="s">
        <v>25</v>
      </c>
      <c r="F8" s="85" t="s">
        <v>25</v>
      </c>
      <c r="G8" s="85" t="s">
        <v>36</v>
      </c>
      <c r="H8" s="85" t="s">
        <v>82</v>
      </c>
      <c r="I8" s="85" t="s">
        <v>25</v>
      </c>
      <c r="J8" s="85">
        <v>75.209999999999994</v>
      </c>
      <c r="K8" s="85">
        <v>362.64</v>
      </c>
      <c r="L8" s="85">
        <v>12.4633080652664</v>
      </c>
      <c r="M8" s="85">
        <v>0.11821520926312901</v>
      </c>
      <c r="N8" s="85">
        <v>0.31340375677580201</v>
      </c>
      <c r="O8" s="85">
        <v>0</v>
      </c>
      <c r="P8" s="85">
        <v>0</v>
      </c>
      <c r="Q8" s="85">
        <v>30.978758542365501</v>
      </c>
      <c r="R8" s="85">
        <v>18.494598327475501</v>
      </c>
      <c r="S8" s="85">
        <v>0</v>
      </c>
      <c r="T8" s="85">
        <v>0</v>
      </c>
      <c r="U8" s="85">
        <v>0</v>
      </c>
      <c r="V8" s="85">
        <v>0</v>
      </c>
      <c r="W8" s="85">
        <v>0</v>
      </c>
      <c r="X8" s="85">
        <v>0</v>
      </c>
      <c r="Y8" s="85">
        <v>0</v>
      </c>
      <c r="Z8" s="85">
        <v>0</v>
      </c>
      <c r="AA8" s="85">
        <v>0</v>
      </c>
      <c r="AB8" s="85">
        <v>-6.09734321141846</v>
      </c>
      <c r="AC8" s="85">
        <v>0</v>
      </c>
      <c r="AD8" s="85">
        <v>0</v>
      </c>
      <c r="AE8" s="85">
        <v>11.411199444839699</v>
      </c>
      <c r="AF8" s="85">
        <v>0.52764321208980802</v>
      </c>
      <c r="AG8" s="85">
        <v>5.1275490080911901</v>
      </c>
      <c r="AH8" s="85">
        <v>1.87552155109643</v>
      </c>
      <c r="AI8" s="85">
        <v>4.5650250114514099</v>
      </c>
      <c r="AJ8" s="85">
        <v>-16.0356557284336</v>
      </c>
      <c r="AK8" s="85">
        <v>2.3157120820153598</v>
      </c>
      <c r="AL8" s="85">
        <v>23.8100619677761</v>
      </c>
      <c r="AM8" s="85">
        <v>0</v>
      </c>
      <c r="AN8" s="85">
        <v>373.98327222723702</v>
      </c>
      <c r="AO8" s="85">
        <v>0</v>
      </c>
      <c r="AP8" s="85">
        <v>0</v>
      </c>
      <c r="AQ8" s="85">
        <v>0</v>
      </c>
      <c r="AR8" s="85">
        <v>-31.3338716426871</v>
      </c>
      <c r="AS8" s="85">
        <v>0</v>
      </c>
      <c r="AT8" s="86">
        <v>5.3394429151812304</v>
      </c>
    </row>
    <row r="9" spans="2:46" ht="12" customHeight="1" x14ac:dyDescent="0.25">
      <c r="B9" s="84" t="s">
        <v>80</v>
      </c>
      <c r="C9" s="85" t="s">
        <v>42</v>
      </c>
      <c r="D9" s="85" t="s">
        <v>25</v>
      </c>
      <c r="E9" s="85" t="s">
        <v>25</v>
      </c>
      <c r="F9" s="85" t="s">
        <v>25</v>
      </c>
      <c r="G9" s="85" t="s">
        <v>36</v>
      </c>
      <c r="H9" s="85" t="s">
        <v>85</v>
      </c>
      <c r="I9" s="85" t="s">
        <v>25</v>
      </c>
      <c r="J9" s="85">
        <v>52.79</v>
      </c>
      <c r="K9" s="85">
        <v>0</v>
      </c>
      <c r="L9" s="85">
        <v>0</v>
      </c>
      <c r="M9" s="85">
        <v>0</v>
      </c>
      <c r="N9" s="85">
        <v>0</v>
      </c>
      <c r="O9" s="85">
        <v>0</v>
      </c>
      <c r="P9" s="85">
        <v>0</v>
      </c>
      <c r="Q9" s="85">
        <v>0</v>
      </c>
      <c r="R9" s="85">
        <v>0</v>
      </c>
      <c r="S9" s="85">
        <v>0</v>
      </c>
      <c r="T9" s="85">
        <v>3.55884949183698</v>
      </c>
      <c r="U9" s="85">
        <v>3.7344592776491501</v>
      </c>
      <c r="V9" s="85">
        <v>0.32009029439713899</v>
      </c>
      <c r="W9" s="85">
        <v>0</v>
      </c>
      <c r="X9" s="85">
        <v>0</v>
      </c>
      <c r="Y9" s="85">
        <v>0</v>
      </c>
      <c r="Z9" s="85">
        <v>0</v>
      </c>
      <c r="AA9" s="85">
        <v>50.272326326011601</v>
      </c>
      <c r="AB9" s="85">
        <v>-5.0964618171556699</v>
      </c>
      <c r="AC9" s="85">
        <v>0</v>
      </c>
      <c r="AD9" s="85">
        <v>0</v>
      </c>
      <c r="AE9" s="85">
        <v>0</v>
      </c>
      <c r="AF9" s="85">
        <v>0</v>
      </c>
      <c r="AG9" s="85">
        <v>0</v>
      </c>
      <c r="AH9" s="85">
        <v>0</v>
      </c>
      <c r="AI9" s="85">
        <v>0</v>
      </c>
      <c r="AJ9" s="85">
        <v>0</v>
      </c>
      <c r="AK9" s="85">
        <v>0</v>
      </c>
      <c r="AL9" s="85">
        <v>0</v>
      </c>
      <c r="AM9" s="85">
        <v>0</v>
      </c>
      <c r="AN9" s="85">
        <v>0</v>
      </c>
      <c r="AO9" s="85">
        <v>0</v>
      </c>
      <c r="AP9" s="85">
        <v>0</v>
      </c>
      <c r="AQ9" s="85">
        <v>0</v>
      </c>
      <c r="AR9" s="85">
        <v>0</v>
      </c>
      <c r="AS9" s="85">
        <v>0</v>
      </c>
      <c r="AT9" s="86">
        <v>0</v>
      </c>
    </row>
    <row r="10" spans="2:46" ht="12" customHeight="1" x14ac:dyDescent="0.25">
      <c r="B10" s="84" t="s">
        <v>80</v>
      </c>
      <c r="C10" s="85" t="s">
        <v>42</v>
      </c>
      <c r="D10" s="85" t="s">
        <v>25</v>
      </c>
      <c r="E10" s="85" t="s">
        <v>25</v>
      </c>
      <c r="F10" s="85" t="s">
        <v>25</v>
      </c>
      <c r="G10" s="85" t="s">
        <v>37</v>
      </c>
      <c r="H10" s="85" t="s">
        <v>82</v>
      </c>
      <c r="I10" s="85" t="s">
        <v>25</v>
      </c>
      <c r="J10" s="85">
        <v>75.209999999999994</v>
      </c>
      <c r="K10" s="85">
        <v>218.69</v>
      </c>
      <c r="L10" s="85">
        <v>12.4633080652664</v>
      </c>
      <c r="M10" s="85">
        <v>0.11821520926312901</v>
      </c>
      <c r="N10" s="85">
        <v>0.31340375677580201</v>
      </c>
      <c r="O10" s="85">
        <v>0</v>
      </c>
      <c r="P10" s="85">
        <v>0</v>
      </c>
      <c r="Q10" s="85">
        <v>30.978758542365501</v>
      </c>
      <c r="R10" s="85">
        <v>18.494598327475501</v>
      </c>
      <c r="S10" s="85">
        <v>0</v>
      </c>
      <c r="T10" s="85">
        <v>0</v>
      </c>
      <c r="U10" s="85">
        <v>0</v>
      </c>
      <c r="V10" s="85">
        <v>0</v>
      </c>
      <c r="W10" s="85">
        <v>0</v>
      </c>
      <c r="X10" s="85">
        <v>0</v>
      </c>
      <c r="Y10" s="85">
        <v>0</v>
      </c>
      <c r="Z10" s="85">
        <v>0</v>
      </c>
      <c r="AA10" s="85">
        <v>0</v>
      </c>
      <c r="AB10" s="85">
        <v>-6.09734321141846</v>
      </c>
      <c r="AC10" s="85">
        <v>0</v>
      </c>
      <c r="AD10" s="85">
        <v>0</v>
      </c>
      <c r="AE10" s="85">
        <v>11.411199444839699</v>
      </c>
      <c r="AF10" s="85">
        <v>0.52764321208980802</v>
      </c>
      <c r="AG10" s="85">
        <v>5.1275490080911901</v>
      </c>
      <c r="AH10" s="85">
        <v>1.87552155109643</v>
      </c>
      <c r="AI10" s="85">
        <v>4.5650250114514099</v>
      </c>
      <c r="AJ10" s="85">
        <v>-16.0356557284336</v>
      </c>
      <c r="AK10" s="85">
        <v>2.3157120820153598</v>
      </c>
      <c r="AL10" s="85">
        <v>23.8100619677761</v>
      </c>
      <c r="AM10" s="85">
        <v>0</v>
      </c>
      <c r="AN10" s="85">
        <v>217.432135015836</v>
      </c>
      <c r="AO10" s="85">
        <v>0</v>
      </c>
      <c r="AP10" s="85">
        <v>0</v>
      </c>
      <c r="AQ10" s="85">
        <v>0</v>
      </c>
      <c r="AR10" s="85">
        <v>-18.741293404329699</v>
      </c>
      <c r="AS10" s="85">
        <v>0</v>
      </c>
      <c r="AT10" s="86">
        <v>5.3394429151812304</v>
      </c>
    </row>
    <row r="11" spans="2:46" ht="12" customHeight="1" x14ac:dyDescent="0.25">
      <c r="B11" s="84" t="s">
        <v>80</v>
      </c>
      <c r="C11" s="85" t="s">
        <v>42</v>
      </c>
      <c r="D11" s="85" t="s">
        <v>25</v>
      </c>
      <c r="E11" s="85" t="s">
        <v>25</v>
      </c>
      <c r="F11" s="85" t="s">
        <v>25</v>
      </c>
      <c r="G11" s="85" t="s">
        <v>37</v>
      </c>
      <c r="H11" s="85" t="s">
        <v>85</v>
      </c>
      <c r="I11" s="85" t="s">
        <v>25</v>
      </c>
      <c r="J11" s="85">
        <v>19.329999999999998</v>
      </c>
      <c r="K11" s="85">
        <v>0</v>
      </c>
      <c r="L11" s="85">
        <v>0</v>
      </c>
      <c r="M11" s="85">
        <v>0</v>
      </c>
      <c r="N11" s="85">
        <v>0</v>
      </c>
      <c r="O11" s="85">
        <v>0</v>
      </c>
      <c r="P11" s="85">
        <v>0</v>
      </c>
      <c r="Q11" s="85">
        <v>0</v>
      </c>
      <c r="R11" s="85">
        <v>0</v>
      </c>
      <c r="S11" s="85">
        <v>0</v>
      </c>
      <c r="T11" s="85">
        <v>2.6719040077280201</v>
      </c>
      <c r="U11" s="85">
        <v>3.0893141854209798</v>
      </c>
      <c r="V11" s="85">
        <v>0.26737890760835598</v>
      </c>
      <c r="W11" s="85">
        <v>0</v>
      </c>
      <c r="X11" s="85">
        <v>0</v>
      </c>
      <c r="Y11" s="85">
        <v>0</v>
      </c>
      <c r="Z11" s="85">
        <v>0</v>
      </c>
      <c r="AA11" s="85">
        <v>15.1177936524457</v>
      </c>
      <c r="AB11" s="85">
        <v>-1.81958479523665</v>
      </c>
      <c r="AC11" s="85">
        <v>0</v>
      </c>
      <c r="AD11" s="85">
        <v>0</v>
      </c>
      <c r="AE11" s="85">
        <v>0</v>
      </c>
      <c r="AF11" s="85">
        <v>0</v>
      </c>
      <c r="AG11" s="85">
        <v>0</v>
      </c>
      <c r="AH11" s="85">
        <v>0</v>
      </c>
      <c r="AI11" s="85">
        <v>0</v>
      </c>
      <c r="AJ11" s="85">
        <v>0</v>
      </c>
      <c r="AK11" s="85">
        <v>0</v>
      </c>
      <c r="AL11" s="85">
        <v>0</v>
      </c>
      <c r="AM11" s="85">
        <v>0</v>
      </c>
      <c r="AN11" s="85">
        <v>0</v>
      </c>
      <c r="AO11" s="85">
        <v>0</v>
      </c>
      <c r="AP11" s="85">
        <v>0</v>
      </c>
      <c r="AQ11" s="85">
        <v>0</v>
      </c>
      <c r="AR11" s="85">
        <v>0</v>
      </c>
      <c r="AS11" s="85">
        <v>0</v>
      </c>
      <c r="AT11" s="86">
        <v>0</v>
      </c>
    </row>
    <row r="12" spans="2:46" ht="12" customHeight="1" x14ac:dyDescent="0.25">
      <c r="B12" s="84" t="s">
        <v>80</v>
      </c>
      <c r="C12" s="85" t="s">
        <v>23</v>
      </c>
      <c r="D12" s="85" t="s">
        <v>25</v>
      </c>
      <c r="E12" s="85" t="s">
        <v>25</v>
      </c>
      <c r="F12" s="85" t="s">
        <v>25</v>
      </c>
      <c r="G12" s="85" t="s">
        <v>25</v>
      </c>
      <c r="H12" s="85" t="s">
        <v>82</v>
      </c>
      <c r="I12" s="85" t="s">
        <v>25</v>
      </c>
      <c r="J12" s="85">
        <v>0</v>
      </c>
      <c r="K12" s="85">
        <v>230.68</v>
      </c>
      <c r="L12" s="85">
        <v>0</v>
      </c>
      <c r="M12" s="85">
        <v>0</v>
      </c>
      <c r="N12" s="85">
        <v>0</v>
      </c>
      <c r="O12" s="85">
        <v>0</v>
      </c>
      <c r="P12" s="85">
        <v>0</v>
      </c>
      <c r="Q12" s="85">
        <v>0</v>
      </c>
      <c r="R12" s="85">
        <v>0</v>
      </c>
      <c r="S12" s="85">
        <v>0</v>
      </c>
      <c r="T12" s="85">
        <v>0</v>
      </c>
      <c r="U12" s="85">
        <v>0</v>
      </c>
      <c r="V12" s="85">
        <v>0</v>
      </c>
      <c r="W12" s="85">
        <v>0</v>
      </c>
      <c r="X12" s="85">
        <v>0</v>
      </c>
      <c r="Y12" s="85">
        <v>0</v>
      </c>
      <c r="Z12" s="85">
        <v>0</v>
      </c>
      <c r="AA12" s="85">
        <v>0</v>
      </c>
      <c r="AB12" s="85">
        <v>0</v>
      </c>
      <c r="AC12" s="85">
        <v>0</v>
      </c>
      <c r="AD12" s="85">
        <v>0</v>
      </c>
      <c r="AE12" s="85">
        <v>0</v>
      </c>
      <c r="AF12" s="85">
        <v>0</v>
      </c>
      <c r="AG12" s="85">
        <v>0</v>
      </c>
      <c r="AH12" s="85">
        <v>0</v>
      </c>
      <c r="AI12" s="85">
        <v>4.5650250114514099</v>
      </c>
      <c r="AJ12" s="85">
        <v>-16.0356557284336</v>
      </c>
      <c r="AK12" s="85">
        <v>2.3157120820153598</v>
      </c>
      <c r="AL12" s="85">
        <v>23.8100619677761</v>
      </c>
      <c r="AM12" s="85">
        <v>0</v>
      </c>
      <c r="AN12" s="85">
        <v>230.47806311678599</v>
      </c>
      <c r="AO12" s="85">
        <v>0</v>
      </c>
      <c r="AP12" s="85">
        <v>0</v>
      </c>
      <c r="AQ12" s="85">
        <v>0</v>
      </c>
      <c r="AR12" s="85">
        <v>-19.790674924192899</v>
      </c>
      <c r="AS12" s="85">
        <v>0</v>
      </c>
      <c r="AT12" s="86">
        <v>5.3394429151812304</v>
      </c>
    </row>
    <row r="13" spans="2:46" ht="12" customHeight="1" x14ac:dyDescent="0.25">
      <c r="B13" s="84" t="s">
        <v>43</v>
      </c>
      <c r="C13" s="85" t="s">
        <v>42</v>
      </c>
      <c r="D13" s="85" t="s">
        <v>25</v>
      </c>
      <c r="E13" s="85" t="s">
        <v>25</v>
      </c>
      <c r="F13" s="85" t="s">
        <v>89</v>
      </c>
      <c r="G13" s="85" t="s">
        <v>36</v>
      </c>
      <c r="H13" s="85" t="s">
        <v>82</v>
      </c>
      <c r="I13" s="85" t="s">
        <v>25</v>
      </c>
      <c r="J13" s="85">
        <v>41.75</v>
      </c>
      <c r="K13" s="85">
        <v>0</v>
      </c>
      <c r="L13" s="85">
        <v>0</v>
      </c>
      <c r="M13" s="85">
        <v>0.66131436178692904</v>
      </c>
      <c r="N13" s="85">
        <v>0.681700115421774</v>
      </c>
      <c r="O13" s="85">
        <v>0</v>
      </c>
      <c r="P13" s="85">
        <v>0</v>
      </c>
      <c r="Q13" s="85">
        <v>0</v>
      </c>
      <c r="R13" s="85">
        <v>0</v>
      </c>
      <c r="S13" s="85">
        <v>0</v>
      </c>
      <c r="T13" s="85">
        <v>0</v>
      </c>
      <c r="U13" s="85">
        <v>0</v>
      </c>
      <c r="V13" s="85">
        <v>0</v>
      </c>
      <c r="W13" s="85">
        <v>0</v>
      </c>
      <c r="X13" s="85">
        <v>0</v>
      </c>
      <c r="Y13" s="85">
        <v>0</v>
      </c>
      <c r="Z13" s="85">
        <v>0</v>
      </c>
      <c r="AA13" s="85">
        <v>0</v>
      </c>
      <c r="AB13" s="85">
        <v>-3.7680117017525498</v>
      </c>
      <c r="AC13" s="85">
        <v>0</v>
      </c>
      <c r="AD13" s="85">
        <v>0</v>
      </c>
      <c r="AE13" s="85">
        <v>15.2150261992804</v>
      </c>
      <c r="AF13" s="85">
        <v>0.70352861104792297</v>
      </c>
      <c r="AG13" s="85">
        <v>20.688686871862899</v>
      </c>
      <c r="AH13" s="85">
        <v>7.5673734236056198</v>
      </c>
      <c r="AI13" s="85">
        <v>0</v>
      </c>
      <c r="AJ13" s="85">
        <v>0</v>
      </c>
      <c r="AK13" s="85">
        <v>0</v>
      </c>
      <c r="AL13" s="85">
        <v>0</v>
      </c>
      <c r="AM13" s="85">
        <v>0</v>
      </c>
      <c r="AN13" s="85">
        <v>0</v>
      </c>
      <c r="AO13" s="85">
        <v>0</v>
      </c>
      <c r="AP13" s="85">
        <v>0</v>
      </c>
      <c r="AQ13" s="85">
        <v>0</v>
      </c>
      <c r="AR13" s="85">
        <v>0</v>
      </c>
      <c r="AS13" s="85">
        <v>0</v>
      </c>
      <c r="AT13" s="86">
        <v>0</v>
      </c>
    </row>
    <row r="14" spans="2:46" ht="12" customHeight="1" x14ac:dyDescent="0.25">
      <c r="B14" s="84" t="s">
        <v>43</v>
      </c>
      <c r="C14" s="85" t="s">
        <v>42</v>
      </c>
      <c r="D14" s="85" t="s">
        <v>25</v>
      </c>
      <c r="E14" s="85" t="s">
        <v>25</v>
      </c>
      <c r="F14" s="85" t="s">
        <v>89</v>
      </c>
      <c r="G14" s="85" t="s">
        <v>36</v>
      </c>
      <c r="H14" s="85" t="s">
        <v>85</v>
      </c>
      <c r="I14" s="85" t="s">
        <v>25</v>
      </c>
      <c r="J14" s="85">
        <v>56.31</v>
      </c>
      <c r="K14" s="85">
        <v>0</v>
      </c>
      <c r="L14" s="85">
        <v>0</v>
      </c>
      <c r="M14" s="85">
        <v>0</v>
      </c>
      <c r="N14" s="85">
        <v>0</v>
      </c>
      <c r="O14" s="85">
        <v>0</v>
      </c>
      <c r="P14" s="85">
        <v>0</v>
      </c>
      <c r="Q14" s="85">
        <v>0</v>
      </c>
      <c r="R14" s="85">
        <v>0</v>
      </c>
      <c r="S14" s="85">
        <v>0</v>
      </c>
      <c r="T14" s="85">
        <v>3.7960314069525101</v>
      </c>
      <c r="U14" s="85">
        <v>3.9835302187282902</v>
      </c>
      <c r="V14" s="85">
        <v>0.34142964735694797</v>
      </c>
      <c r="W14" s="85">
        <v>0</v>
      </c>
      <c r="X14" s="85">
        <v>0</v>
      </c>
      <c r="Y14" s="85">
        <v>0</v>
      </c>
      <c r="Z14" s="85">
        <v>0</v>
      </c>
      <c r="AA14" s="85">
        <v>53.623814747745698</v>
      </c>
      <c r="AB14" s="85">
        <v>-5.4362283726388103</v>
      </c>
      <c r="AC14" s="85">
        <v>0</v>
      </c>
      <c r="AD14" s="85">
        <v>0</v>
      </c>
      <c r="AE14" s="85">
        <v>0</v>
      </c>
      <c r="AF14" s="85">
        <v>0</v>
      </c>
      <c r="AG14" s="85">
        <v>0</v>
      </c>
      <c r="AH14" s="85">
        <v>0</v>
      </c>
      <c r="AI14" s="85">
        <v>0</v>
      </c>
      <c r="AJ14" s="85">
        <v>0</v>
      </c>
      <c r="AK14" s="85">
        <v>0</v>
      </c>
      <c r="AL14" s="85">
        <v>0</v>
      </c>
      <c r="AM14" s="85">
        <v>0</v>
      </c>
      <c r="AN14" s="85">
        <v>0</v>
      </c>
      <c r="AO14" s="85">
        <v>0</v>
      </c>
      <c r="AP14" s="85">
        <v>0</v>
      </c>
      <c r="AQ14" s="85">
        <v>0</v>
      </c>
      <c r="AR14" s="85">
        <v>0</v>
      </c>
      <c r="AS14" s="85">
        <v>0</v>
      </c>
      <c r="AT14" s="86">
        <v>0</v>
      </c>
    </row>
    <row r="15" spans="2:46" ht="12" customHeight="1" x14ac:dyDescent="0.25">
      <c r="B15" s="84" t="s">
        <v>43</v>
      </c>
      <c r="C15" s="85" t="s">
        <v>42</v>
      </c>
      <c r="D15" s="85" t="s">
        <v>25</v>
      </c>
      <c r="E15" s="85" t="s">
        <v>25</v>
      </c>
      <c r="F15" s="85" t="s">
        <v>89</v>
      </c>
      <c r="G15" s="85" t="s">
        <v>37</v>
      </c>
      <c r="H15" s="85" t="s">
        <v>82</v>
      </c>
      <c r="I15" s="85" t="s">
        <v>25</v>
      </c>
      <c r="J15" s="85">
        <v>41.75</v>
      </c>
      <c r="K15" s="85">
        <v>0</v>
      </c>
      <c r="L15" s="85">
        <v>0</v>
      </c>
      <c r="M15" s="85">
        <v>0.66131436178692904</v>
      </c>
      <c r="N15" s="85">
        <v>0.681700115421774</v>
      </c>
      <c r="O15" s="85">
        <v>0</v>
      </c>
      <c r="P15" s="85">
        <v>0</v>
      </c>
      <c r="Q15" s="85">
        <v>0</v>
      </c>
      <c r="R15" s="85">
        <v>0</v>
      </c>
      <c r="S15" s="85">
        <v>0</v>
      </c>
      <c r="T15" s="85">
        <v>0</v>
      </c>
      <c r="U15" s="85">
        <v>0</v>
      </c>
      <c r="V15" s="85">
        <v>0</v>
      </c>
      <c r="W15" s="85">
        <v>0</v>
      </c>
      <c r="X15" s="85">
        <v>0</v>
      </c>
      <c r="Y15" s="85">
        <v>0</v>
      </c>
      <c r="Z15" s="85">
        <v>0</v>
      </c>
      <c r="AA15" s="85">
        <v>0</v>
      </c>
      <c r="AB15" s="85">
        <v>-3.7680117017525498</v>
      </c>
      <c r="AC15" s="85">
        <v>0</v>
      </c>
      <c r="AD15" s="85">
        <v>0</v>
      </c>
      <c r="AE15" s="85">
        <v>15.2150261992804</v>
      </c>
      <c r="AF15" s="85">
        <v>0.70352861104792297</v>
      </c>
      <c r="AG15" s="85">
        <v>20.688686871862899</v>
      </c>
      <c r="AH15" s="85">
        <v>7.5673734236056198</v>
      </c>
      <c r="AI15" s="85">
        <v>0</v>
      </c>
      <c r="AJ15" s="85">
        <v>0</v>
      </c>
      <c r="AK15" s="85">
        <v>0</v>
      </c>
      <c r="AL15" s="85">
        <v>0</v>
      </c>
      <c r="AM15" s="85">
        <v>0</v>
      </c>
      <c r="AN15" s="85">
        <v>0</v>
      </c>
      <c r="AO15" s="85">
        <v>0</v>
      </c>
      <c r="AP15" s="85">
        <v>0</v>
      </c>
      <c r="AQ15" s="85">
        <v>0</v>
      </c>
      <c r="AR15" s="85">
        <v>0</v>
      </c>
      <c r="AS15" s="85">
        <v>0</v>
      </c>
      <c r="AT15" s="86">
        <v>0</v>
      </c>
    </row>
    <row r="16" spans="2:46" ht="12" customHeight="1" x14ac:dyDescent="0.25">
      <c r="B16" s="84" t="s">
        <v>43</v>
      </c>
      <c r="C16" s="85" t="s">
        <v>42</v>
      </c>
      <c r="D16" s="85" t="s">
        <v>25</v>
      </c>
      <c r="E16" s="85" t="s">
        <v>25</v>
      </c>
      <c r="F16" s="85" t="s">
        <v>89</v>
      </c>
      <c r="G16" s="85" t="s">
        <v>37</v>
      </c>
      <c r="H16" s="85" t="s">
        <v>85</v>
      </c>
      <c r="I16" s="85" t="s">
        <v>25</v>
      </c>
      <c r="J16" s="85">
        <v>20.62</v>
      </c>
      <c r="K16" s="85">
        <v>0</v>
      </c>
      <c r="L16" s="85">
        <v>0</v>
      </c>
      <c r="M16" s="85">
        <v>0</v>
      </c>
      <c r="N16" s="85">
        <v>0</v>
      </c>
      <c r="O16" s="85">
        <v>0</v>
      </c>
      <c r="P16" s="85">
        <v>0</v>
      </c>
      <c r="Q16" s="85">
        <v>0</v>
      </c>
      <c r="R16" s="85">
        <v>0</v>
      </c>
      <c r="S16" s="85">
        <v>0</v>
      </c>
      <c r="T16" s="85">
        <v>2.8499935827397498</v>
      </c>
      <c r="U16" s="85">
        <v>3.2952149698311199</v>
      </c>
      <c r="V16" s="85">
        <v>0.285246634489629</v>
      </c>
      <c r="W16" s="85">
        <v>0</v>
      </c>
      <c r="X16" s="85">
        <v>0</v>
      </c>
      <c r="Y16" s="85">
        <v>0</v>
      </c>
      <c r="Z16" s="85">
        <v>0</v>
      </c>
      <c r="AA16" s="85">
        <v>16.1256465626088</v>
      </c>
      <c r="AB16" s="85">
        <v>-1.94088741944349</v>
      </c>
      <c r="AC16" s="85">
        <v>0</v>
      </c>
      <c r="AD16" s="85">
        <v>0</v>
      </c>
      <c r="AE16" s="85">
        <v>0</v>
      </c>
      <c r="AF16" s="85">
        <v>0</v>
      </c>
      <c r="AG16" s="85">
        <v>0</v>
      </c>
      <c r="AH16" s="85">
        <v>0</v>
      </c>
      <c r="AI16" s="85">
        <v>0</v>
      </c>
      <c r="AJ16" s="85">
        <v>0</v>
      </c>
      <c r="AK16" s="85">
        <v>0</v>
      </c>
      <c r="AL16" s="85">
        <v>0</v>
      </c>
      <c r="AM16" s="85">
        <v>0</v>
      </c>
      <c r="AN16" s="85">
        <v>0</v>
      </c>
      <c r="AO16" s="85">
        <v>0</v>
      </c>
      <c r="AP16" s="85">
        <v>0</v>
      </c>
      <c r="AQ16" s="85">
        <v>0</v>
      </c>
      <c r="AR16" s="85">
        <v>0</v>
      </c>
      <c r="AS16" s="85">
        <v>0</v>
      </c>
      <c r="AT16" s="86">
        <v>0</v>
      </c>
    </row>
    <row r="17" spans="2:46" ht="12" customHeight="1" x14ac:dyDescent="0.25">
      <c r="B17" s="84" t="s">
        <v>43</v>
      </c>
      <c r="C17" s="85" t="s">
        <v>42</v>
      </c>
      <c r="D17" s="85" t="s">
        <v>25</v>
      </c>
      <c r="E17" s="85" t="s">
        <v>25</v>
      </c>
      <c r="F17" s="85" t="s">
        <v>25</v>
      </c>
      <c r="G17" s="85" t="s">
        <v>36</v>
      </c>
      <c r="H17" s="85" t="s">
        <v>82</v>
      </c>
      <c r="I17" s="85" t="s">
        <v>25</v>
      </c>
      <c r="J17" s="85">
        <v>113.43</v>
      </c>
      <c r="K17" s="85">
        <v>362.64</v>
      </c>
      <c r="L17" s="85">
        <v>16.885772217457799</v>
      </c>
      <c r="M17" s="85">
        <v>0.66131436178692904</v>
      </c>
      <c r="N17" s="85">
        <v>0.69317387176076595</v>
      </c>
      <c r="O17" s="85">
        <v>0</v>
      </c>
      <c r="P17" s="85">
        <v>0</v>
      </c>
      <c r="Q17" s="85">
        <v>41.971221250946797</v>
      </c>
      <c r="R17" s="85">
        <v>18.494598327475501</v>
      </c>
      <c r="S17" s="85">
        <v>0</v>
      </c>
      <c r="T17" s="85">
        <v>0</v>
      </c>
      <c r="U17" s="85">
        <v>0</v>
      </c>
      <c r="V17" s="85">
        <v>0</v>
      </c>
      <c r="W17" s="85">
        <v>0</v>
      </c>
      <c r="X17" s="85">
        <v>0</v>
      </c>
      <c r="Y17" s="85">
        <v>0</v>
      </c>
      <c r="Z17" s="85">
        <v>0</v>
      </c>
      <c r="AA17" s="85">
        <v>0</v>
      </c>
      <c r="AB17" s="85">
        <v>-9.4494822089407897</v>
      </c>
      <c r="AC17" s="85">
        <v>0</v>
      </c>
      <c r="AD17" s="85">
        <v>0</v>
      </c>
      <c r="AE17" s="85">
        <v>15.2150261992804</v>
      </c>
      <c r="AF17" s="85">
        <v>0.70352861104792297</v>
      </c>
      <c r="AG17" s="85">
        <v>20.688686871862899</v>
      </c>
      <c r="AH17" s="85">
        <v>7.5673734236056198</v>
      </c>
      <c r="AI17" s="85">
        <v>4.5650250114514099</v>
      </c>
      <c r="AJ17" s="85">
        <v>-16.0356557284336</v>
      </c>
      <c r="AK17" s="85">
        <v>2.3157120820153598</v>
      </c>
      <c r="AL17" s="85">
        <v>23.8100619677761</v>
      </c>
      <c r="AM17" s="85">
        <v>0</v>
      </c>
      <c r="AN17" s="85">
        <v>373.98327222723702</v>
      </c>
      <c r="AO17" s="85">
        <v>0</v>
      </c>
      <c r="AP17" s="85">
        <v>0</v>
      </c>
      <c r="AQ17" s="85">
        <v>0</v>
      </c>
      <c r="AR17" s="85">
        <v>-31.3338716426871</v>
      </c>
      <c r="AS17" s="85">
        <v>0</v>
      </c>
      <c r="AT17" s="86">
        <v>5.3394429151812304</v>
      </c>
    </row>
    <row r="18" spans="2:46" ht="12" customHeight="1" x14ac:dyDescent="0.25">
      <c r="B18" s="84" t="s">
        <v>43</v>
      </c>
      <c r="C18" s="85" t="s">
        <v>42</v>
      </c>
      <c r="D18" s="85" t="s">
        <v>25</v>
      </c>
      <c r="E18" s="85" t="s">
        <v>25</v>
      </c>
      <c r="F18" s="85" t="s">
        <v>25</v>
      </c>
      <c r="G18" s="85" t="s">
        <v>36</v>
      </c>
      <c r="H18" s="85" t="s">
        <v>85</v>
      </c>
      <c r="I18" s="85" t="s">
        <v>25</v>
      </c>
      <c r="J18" s="85">
        <v>56.31</v>
      </c>
      <c r="K18" s="85">
        <v>0</v>
      </c>
      <c r="L18" s="85">
        <v>0</v>
      </c>
      <c r="M18" s="85">
        <v>0</v>
      </c>
      <c r="N18" s="85">
        <v>0</v>
      </c>
      <c r="O18" s="85">
        <v>0</v>
      </c>
      <c r="P18" s="85">
        <v>0</v>
      </c>
      <c r="Q18" s="85">
        <v>0</v>
      </c>
      <c r="R18" s="85">
        <v>0</v>
      </c>
      <c r="S18" s="85">
        <v>0</v>
      </c>
      <c r="T18" s="85">
        <v>3.7960314069525101</v>
      </c>
      <c r="U18" s="85">
        <v>3.9835302187282902</v>
      </c>
      <c r="V18" s="85">
        <v>0.34142964735694797</v>
      </c>
      <c r="W18" s="85">
        <v>0</v>
      </c>
      <c r="X18" s="85">
        <v>0</v>
      </c>
      <c r="Y18" s="85">
        <v>0</v>
      </c>
      <c r="Z18" s="85">
        <v>0</v>
      </c>
      <c r="AA18" s="85">
        <v>53.623814747745698</v>
      </c>
      <c r="AB18" s="85">
        <v>-5.4362283726388103</v>
      </c>
      <c r="AC18" s="85">
        <v>0</v>
      </c>
      <c r="AD18" s="85">
        <v>0</v>
      </c>
      <c r="AE18" s="85">
        <v>0</v>
      </c>
      <c r="AF18" s="85">
        <v>0</v>
      </c>
      <c r="AG18" s="85">
        <v>0</v>
      </c>
      <c r="AH18" s="85">
        <v>0</v>
      </c>
      <c r="AI18" s="85">
        <v>0</v>
      </c>
      <c r="AJ18" s="85">
        <v>0</v>
      </c>
      <c r="AK18" s="85">
        <v>0</v>
      </c>
      <c r="AL18" s="85">
        <v>0</v>
      </c>
      <c r="AM18" s="85">
        <v>0</v>
      </c>
      <c r="AN18" s="85">
        <v>0</v>
      </c>
      <c r="AO18" s="85">
        <v>0</v>
      </c>
      <c r="AP18" s="85">
        <v>0</v>
      </c>
      <c r="AQ18" s="85">
        <v>0</v>
      </c>
      <c r="AR18" s="85">
        <v>0</v>
      </c>
      <c r="AS18" s="85">
        <v>0</v>
      </c>
      <c r="AT18" s="86">
        <v>0</v>
      </c>
    </row>
    <row r="19" spans="2:46" ht="12" customHeight="1" x14ac:dyDescent="0.25">
      <c r="B19" s="84" t="s">
        <v>43</v>
      </c>
      <c r="C19" s="85" t="s">
        <v>42</v>
      </c>
      <c r="D19" s="85" t="s">
        <v>25</v>
      </c>
      <c r="E19" s="85" t="s">
        <v>25</v>
      </c>
      <c r="F19" s="85" t="s">
        <v>25</v>
      </c>
      <c r="G19" s="85" t="s">
        <v>37</v>
      </c>
      <c r="H19" s="85" t="s">
        <v>82</v>
      </c>
      <c r="I19" s="85" t="s">
        <v>25</v>
      </c>
      <c r="J19" s="85">
        <v>113.43</v>
      </c>
      <c r="K19" s="85">
        <v>218.69</v>
      </c>
      <c r="L19" s="85">
        <v>16.885772217457799</v>
      </c>
      <c r="M19" s="85">
        <v>0.66131436178692904</v>
      </c>
      <c r="N19" s="85">
        <v>0.69317387176076595</v>
      </c>
      <c r="O19" s="85">
        <v>0</v>
      </c>
      <c r="P19" s="85">
        <v>0</v>
      </c>
      <c r="Q19" s="85">
        <v>41.971221250946797</v>
      </c>
      <c r="R19" s="85">
        <v>18.494598327475501</v>
      </c>
      <c r="S19" s="85">
        <v>0</v>
      </c>
      <c r="T19" s="85">
        <v>0</v>
      </c>
      <c r="U19" s="85">
        <v>0</v>
      </c>
      <c r="V19" s="85">
        <v>0</v>
      </c>
      <c r="W19" s="85">
        <v>0</v>
      </c>
      <c r="X19" s="85">
        <v>0</v>
      </c>
      <c r="Y19" s="85">
        <v>0</v>
      </c>
      <c r="Z19" s="85">
        <v>0</v>
      </c>
      <c r="AA19" s="85">
        <v>0</v>
      </c>
      <c r="AB19" s="85">
        <v>-9.4494822089407897</v>
      </c>
      <c r="AC19" s="85">
        <v>0</v>
      </c>
      <c r="AD19" s="85">
        <v>0</v>
      </c>
      <c r="AE19" s="85">
        <v>15.2150261992804</v>
      </c>
      <c r="AF19" s="85">
        <v>0.70352861104792297</v>
      </c>
      <c r="AG19" s="85">
        <v>20.688686871862899</v>
      </c>
      <c r="AH19" s="85">
        <v>7.5673734236056198</v>
      </c>
      <c r="AI19" s="85">
        <v>4.5650250114514099</v>
      </c>
      <c r="AJ19" s="85">
        <v>-16.0356557284336</v>
      </c>
      <c r="AK19" s="85">
        <v>2.3157120820153598</v>
      </c>
      <c r="AL19" s="85">
        <v>23.8100619677761</v>
      </c>
      <c r="AM19" s="85">
        <v>0</v>
      </c>
      <c r="AN19" s="85">
        <v>217.432135015836</v>
      </c>
      <c r="AO19" s="85">
        <v>0</v>
      </c>
      <c r="AP19" s="85">
        <v>0</v>
      </c>
      <c r="AQ19" s="85">
        <v>0</v>
      </c>
      <c r="AR19" s="85">
        <v>-18.741293404329699</v>
      </c>
      <c r="AS19" s="85">
        <v>0</v>
      </c>
      <c r="AT19" s="86">
        <v>5.3394429151812304</v>
      </c>
    </row>
    <row r="20" spans="2:46" ht="12" customHeight="1" x14ac:dyDescent="0.25">
      <c r="B20" s="84" t="s">
        <v>43</v>
      </c>
      <c r="C20" s="85" t="s">
        <v>42</v>
      </c>
      <c r="D20" s="85" t="s">
        <v>25</v>
      </c>
      <c r="E20" s="85" t="s">
        <v>25</v>
      </c>
      <c r="F20" s="85" t="s">
        <v>25</v>
      </c>
      <c r="G20" s="85" t="s">
        <v>37</v>
      </c>
      <c r="H20" s="85" t="s">
        <v>85</v>
      </c>
      <c r="I20" s="85" t="s">
        <v>25</v>
      </c>
      <c r="J20" s="85">
        <v>20.62</v>
      </c>
      <c r="K20" s="85">
        <v>0</v>
      </c>
      <c r="L20" s="85">
        <v>0</v>
      </c>
      <c r="M20" s="85">
        <v>0</v>
      </c>
      <c r="N20" s="85">
        <v>0</v>
      </c>
      <c r="O20" s="85">
        <v>0</v>
      </c>
      <c r="P20" s="85">
        <v>0</v>
      </c>
      <c r="Q20" s="85">
        <v>0</v>
      </c>
      <c r="R20" s="85">
        <v>0</v>
      </c>
      <c r="S20" s="85">
        <v>0</v>
      </c>
      <c r="T20" s="85">
        <v>2.8499935827397498</v>
      </c>
      <c r="U20" s="85">
        <v>3.2952149698311199</v>
      </c>
      <c r="V20" s="85">
        <v>0.285246634489629</v>
      </c>
      <c r="W20" s="85">
        <v>0</v>
      </c>
      <c r="X20" s="85">
        <v>0</v>
      </c>
      <c r="Y20" s="85">
        <v>0</v>
      </c>
      <c r="Z20" s="85">
        <v>0</v>
      </c>
      <c r="AA20" s="85">
        <v>16.1256465626088</v>
      </c>
      <c r="AB20" s="85">
        <v>-1.94088741944349</v>
      </c>
      <c r="AC20" s="85">
        <v>0</v>
      </c>
      <c r="AD20" s="85">
        <v>0</v>
      </c>
      <c r="AE20" s="85">
        <v>0</v>
      </c>
      <c r="AF20" s="85">
        <v>0</v>
      </c>
      <c r="AG20" s="85">
        <v>0</v>
      </c>
      <c r="AH20" s="85">
        <v>0</v>
      </c>
      <c r="AI20" s="85">
        <v>0</v>
      </c>
      <c r="AJ20" s="85">
        <v>0</v>
      </c>
      <c r="AK20" s="85">
        <v>0</v>
      </c>
      <c r="AL20" s="85">
        <v>0</v>
      </c>
      <c r="AM20" s="85">
        <v>0</v>
      </c>
      <c r="AN20" s="85">
        <v>0</v>
      </c>
      <c r="AO20" s="85">
        <v>0</v>
      </c>
      <c r="AP20" s="85">
        <v>0</v>
      </c>
      <c r="AQ20" s="85">
        <v>0</v>
      </c>
      <c r="AR20" s="85">
        <v>0</v>
      </c>
      <c r="AS20" s="85">
        <v>0</v>
      </c>
      <c r="AT20" s="86">
        <v>0</v>
      </c>
    </row>
    <row r="21" spans="2:46" ht="12" customHeight="1" x14ac:dyDescent="0.25">
      <c r="B21" s="84" t="s">
        <v>43</v>
      </c>
      <c r="C21" s="85" t="s">
        <v>23</v>
      </c>
      <c r="D21" s="85" t="s">
        <v>25</v>
      </c>
      <c r="E21" s="85" t="s">
        <v>25</v>
      </c>
      <c r="F21" s="85" t="s">
        <v>25</v>
      </c>
      <c r="G21" s="85" t="s">
        <v>25</v>
      </c>
      <c r="H21" s="85" t="s">
        <v>82</v>
      </c>
      <c r="I21" s="85" t="s">
        <v>25</v>
      </c>
      <c r="J21" s="85">
        <v>0</v>
      </c>
      <c r="K21" s="85">
        <v>230.68</v>
      </c>
      <c r="L21" s="85">
        <v>0</v>
      </c>
      <c r="M21" s="85">
        <v>0</v>
      </c>
      <c r="N21" s="85">
        <v>0</v>
      </c>
      <c r="O21" s="85">
        <v>0</v>
      </c>
      <c r="P21" s="85">
        <v>0</v>
      </c>
      <c r="Q21" s="85">
        <v>0</v>
      </c>
      <c r="R21" s="85">
        <v>0</v>
      </c>
      <c r="S21" s="85">
        <v>0</v>
      </c>
      <c r="T21" s="85">
        <v>0</v>
      </c>
      <c r="U21" s="85">
        <v>0</v>
      </c>
      <c r="V21" s="85">
        <v>0</v>
      </c>
      <c r="W21" s="85">
        <v>0</v>
      </c>
      <c r="X21" s="85">
        <v>0</v>
      </c>
      <c r="Y21" s="85">
        <v>0</v>
      </c>
      <c r="Z21" s="85">
        <v>0</v>
      </c>
      <c r="AA21" s="85">
        <v>0</v>
      </c>
      <c r="AB21" s="85">
        <v>0</v>
      </c>
      <c r="AC21" s="85">
        <v>0</v>
      </c>
      <c r="AD21" s="85">
        <v>0</v>
      </c>
      <c r="AE21" s="85">
        <v>0</v>
      </c>
      <c r="AF21" s="85">
        <v>0</v>
      </c>
      <c r="AG21" s="85">
        <v>0</v>
      </c>
      <c r="AH21" s="85">
        <v>0</v>
      </c>
      <c r="AI21" s="85">
        <v>4.5650250114514099</v>
      </c>
      <c r="AJ21" s="85">
        <v>-16.0356557284336</v>
      </c>
      <c r="AK21" s="85">
        <v>2.3157120820153598</v>
      </c>
      <c r="AL21" s="85">
        <v>23.8100619677761</v>
      </c>
      <c r="AM21" s="85">
        <v>0</v>
      </c>
      <c r="AN21" s="85">
        <v>230.47806311678599</v>
      </c>
      <c r="AO21" s="85">
        <v>0</v>
      </c>
      <c r="AP21" s="85">
        <v>0</v>
      </c>
      <c r="AQ21" s="85">
        <v>0</v>
      </c>
      <c r="AR21" s="85">
        <v>-19.790674924192899</v>
      </c>
      <c r="AS21" s="85">
        <v>0</v>
      </c>
      <c r="AT21" s="86">
        <v>5.3394429151812304</v>
      </c>
    </row>
    <row r="22" spans="2:46" ht="12" customHeight="1" x14ac:dyDescent="0.25">
      <c r="B22" s="84" t="s">
        <v>43</v>
      </c>
      <c r="C22" s="85" t="s">
        <v>91</v>
      </c>
      <c r="D22" s="85" t="s">
        <v>25</v>
      </c>
      <c r="E22" s="85" t="s">
        <v>25</v>
      </c>
      <c r="F22" s="85" t="s">
        <v>25</v>
      </c>
      <c r="G22" s="85" t="s">
        <v>25</v>
      </c>
      <c r="H22" s="85" t="s">
        <v>85</v>
      </c>
      <c r="I22" s="85" t="s">
        <v>25</v>
      </c>
      <c r="J22" s="85">
        <v>18.39</v>
      </c>
      <c r="K22" s="85">
        <v>0</v>
      </c>
      <c r="L22" s="85">
        <v>0</v>
      </c>
      <c r="M22" s="85">
        <v>6.6898438481065303E-2</v>
      </c>
      <c r="N22" s="85">
        <v>0.19172646842454899</v>
      </c>
      <c r="O22" s="85">
        <v>0</v>
      </c>
      <c r="P22" s="85">
        <v>0</v>
      </c>
      <c r="Q22" s="85">
        <v>0</v>
      </c>
      <c r="R22" s="85">
        <v>0</v>
      </c>
      <c r="S22" s="85">
        <v>0</v>
      </c>
      <c r="T22" s="85">
        <v>0</v>
      </c>
      <c r="U22" s="85">
        <v>0</v>
      </c>
      <c r="V22" s="85">
        <v>0</v>
      </c>
      <c r="W22" s="85">
        <v>0</v>
      </c>
      <c r="X22" s="85">
        <v>0</v>
      </c>
      <c r="Y22" s="85">
        <v>0</v>
      </c>
      <c r="Z22" s="85">
        <v>0</v>
      </c>
      <c r="AA22" s="85">
        <v>19.948656751325899</v>
      </c>
      <c r="AB22" s="85">
        <v>-1.8138950339234701</v>
      </c>
      <c r="AC22" s="85">
        <v>0</v>
      </c>
      <c r="AD22" s="85">
        <v>0</v>
      </c>
      <c r="AE22" s="85">
        <v>0</v>
      </c>
      <c r="AF22" s="85">
        <v>0</v>
      </c>
      <c r="AG22" s="85">
        <v>0</v>
      </c>
      <c r="AH22" s="85">
        <v>0</v>
      </c>
      <c r="AI22" s="85">
        <v>0</v>
      </c>
      <c r="AJ22" s="85">
        <v>0</v>
      </c>
      <c r="AK22" s="85">
        <v>0</v>
      </c>
      <c r="AL22" s="85">
        <v>0</v>
      </c>
      <c r="AM22" s="85">
        <v>0</v>
      </c>
      <c r="AN22" s="85">
        <v>0</v>
      </c>
      <c r="AO22" s="85">
        <v>0</v>
      </c>
      <c r="AP22" s="85">
        <v>0</v>
      </c>
      <c r="AQ22" s="85">
        <v>0</v>
      </c>
      <c r="AR22" s="85">
        <v>0</v>
      </c>
      <c r="AS22" s="85">
        <v>0</v>
      </c>
      <c r="AT22" s="86">
        <v>0</v>
      </c>
    </row>
    <row r="23" spans="2:46" ht="12" customHeight="1" x14ac:dyDescent="0.25">
      <c r="B23" s="84" t="s">
        <v>43</v>
      </c>
      <c r="C23" s="85" t="s">
        <v>44</v>
      </c>
      <c r="D23" s="85" t="s">
        <v>25</v>
      </c>
      <c r="E23" s="85" t="s">
        <v>25</v>
      </c>
      <c r="F23" s="85" t="s">
        <v>89</v>
      </c>
      <c r="G23" s="85" t="s">
        <v>36</v>
      </c>
      <c r="H23" s="85" t="s">
        <v>82</v>
      </c>
      <c r="I23" s="85" t="s">
        <v>25</v>
      </c>
      <c r="J23" s="85">
        <v>1408.45</v>
      </c>
      <c r="K23" s="85">
        <v>0</v>
      </c>
      <c r="L23" s="85">
        <v>0</v>
      </c>
      <c r="M23" s="85">
        <v>0.66131436178692904</v>
      </c>
      <c r="N23" s="85">
        <v>14.383983954324499</v>
      </c>
      <c r="O23" s="85">
        <v>0</v>
      </c>
      <c r="P23" s="85">
        <v>0</v>
      </c>
      <c r="Q23" s="85">
        <v>0</v>
      </c>
      <c r="R23" s="85">
        <v>0</v>
      </c>
      <c r="S23" s="85">
        <v>0</v>
      </c>
      <c r="T23" s="85">
        <v>91.295507987546301</v>
      </c>
      <c r="U23" s="85">
        <v>95.803243776614806</v>
      </c>
      <c r="V23" s="85">
        <v>8.2111282206903002</v>
      </c>
      <c r="W23" s="85">
        <v>0</v>
      </c>
      <c r="X23" s="85">
        <v>0</v>
      </c>
      <c r="Y23" s="85">
        <v>0</v>
      </c>
      <c r="Z23" s="85">
        <v>0</v>
      </c>
      <c r="AA23" s="85">
        <v>1289.6542402842699</v>
      </c>
      <c r="AB23" s="85">
        <v>-135.737608086873</v>
      </c>
      <c r="AC23" s="85">
        <v>0</v>
      </c>
      <c r="AD23" s="85">
        <v>0</v>
      </c>
      <c r="AE23" s="85">
        <v>15.2150261992804</v>
      </c>
      <c r="AF23" s="85">
        <v>0.70352861104792297</v>
      </c>
      <c r="AG23" s="85">
        <v>20.688686871862899</v>
      </c>
      <c r="AH23" s="85">
        <v>7.5673734236056198</v>
      </c>
      <c r="AI23" s="85">
        <v>0</v>
      </c>
      <c r="AJ23" s="85">
        <v>0</v>
      </c>
      <c r="AK23" s="85">
        <v>0</v>
      </c>
      <c r="AL23" s="85">
        <v>0</v>
      </c>
      <c r="AM23" s="85">
        <v>0</v>
      </c>
      <c r="AN23" s="85">
        <v>0</v>
      </c>
      <c r="AO23" s="85">
        <v>0</v>
      </c>
      <c r="AP23" s="85">
        <v>0</v>
      </c>
      <c r="AQ23" s="85">
        <v>0</v>
      </c>
      <c r="AR23" s="85">
        <v>0</v>
      </c>
      <c r="AS23" s="85">
        <v>0</v>
      </c>
      <c r="AT23" s="86">
        <v>0</v>
      </c>
    </row>
    <row r="24" spans="2:46" ht="12" customHeight="1" x14ac:dyDescent="0.25">
      <c r="B24" s="84" t="s">
        <v>43</v>
      </c>
      <c r="C24" s="85" t="s">
        <v>44</v>
      </c>
      <c r="D24" s="85" t="s">
        <v>25</v>
      </c>
      <c r="E24" s="85" t="s">
        <v>25</v>
      </c>
      <c r="F24" s="85" t="s">
        <v>89</v>
      </c>
      <c r="G24" s="85" t="s">
        <v>25</v>
      </c>
      <c r="H24" s="85" t="s">
        <v>85</v>
      </c>
      <c r="I24" s="85" t="s">
        <v>25</v>
      </c>
      <c r="J24" s="85">
        <v>20.62</v>
      </c>
      <c r="K24" s="85">
        <v>0</v>
      </c>
      <c r="L24" s="85">
        <v>0</v>
      </c>
      <c r="M24" s="85">
        <v>0</v>
      </c>
      <c r="N24" s="85">
        <v>0</v>
      </c>
      <c r="O24" s="85">
        <v>0</v>
      </c>
      <c r="P24" s="85">
        <v>0</v>
      </c>
      <c r="Q24" s="85">
        <v>0</v>
      </c>
      <c r="R24" s="85">
        <v>0</v>
      </c>
      <c r="S24" s="85">
        <v>0</v>
      </c>
      <c r="T24" s="85">
        <v>2.8499935827397498</v>
      </c>
      <c r="U24" s="85">
        <v>3.2952149698311199</v>
      </c>
      <c r="V24" s="85">
        <v>0.285246634489629</v>
      </c>
      <c r="W24" s="85">
        <v>0</v>
      </c>
      <c r="X24" s="85">
        <v>0</v>
      </c>
      <c r="Y24" s="85">
        <v>0</v>
      </c>
      <c r="Z24" s="85">
        <v>0</v>
      </c>
      <c r="AA24" s="85">
        <v>16.1256465626088</v>
      </c>
      <c r="AB24" s="85">
        <v>-1.94088741944349</v>
      </c>
      <c r="AC24" s="85">
        <v>0</v>
      </c>
      <c r="AD24" s="85">
        <v>0</v>
      </c>
      <c r="AE24" s="85">
        <v>0</v>
      </c>
      <c r="AF24" s="85">
        <v>0</v>
      </c>
      <c r="AG24" s="85">
        <v>0</v>
      </c>
      <c r="AH24" s="85">
        <v>0</v>
      </c>
      <c r="AI24" s="85">
        <v>0</v>
      </c>
      <c r="AJ24" s="85">
        <v>0</v>
      </c>
      <c r="AK24" s="85">
        <v>0</v>
      </c>
      <c r="AL24" s="85">
        <v>0</v>
      </c>
      <c r="AM24" s="85">
        <v>0</v>
      </c>
      <c r="AN24" s="85">
        <v>0</v>
      </c>
      <c r="AO24" s="85">
        <v>0</v>
      </c>
      <c r="AP24" s="85">
        <v>0</v>
      </c>
      <c r="AQ24" s="85">
        <v>0</v>
      </c>
      <c r="AR24" s="85">
        <v>0</v>
      </c>
      <c r="AS24" s="85">
        <v>0</v>
      </c>
      <c r="AT24" s="86">
        <v>0</v>
      </c>
    </row>
    <row r="25" spans="2:46" ht="12" customHeight="1" x14ac:dyDescent="0.25">
      <c r="B25" s="84" t="s">
        <v>43</v>
      </c>
      <c r="C25" s="85" t="s">
        <v>44</v>
      </c>
      <c r="D25" s="85" t="s">
        <v>25</v>
      </c>
      <c r="E25" s="85" t="s">
        <v>25</v>
      </c>
      <c r="F25" s="85" t="s">
        <v>89</v>
      </c>
      <c r="G25" s="85" t="s">
        <v>37</v>
      </c>
      <c r="H25" s="85" t="s">
        <v>82</v>
      </c>
      <c r="I25" s="85" t="s">
        <v>25</v>
      </c>
      <c r="J25" s="85">
        <v>41.75</v>
      </c>
      <c r="K25" s="85">
        <v>0</v>
      </c>
      <c r="L25" s="85">
        <v>0</v>
      </c>
      <c r="M25" s="85">
        <v>0.66131436178692904</v>
      </c>
      <c r="N25" s="85">
        <v>0.681700115421774</v>
      </c>
      <c r="O25" s="85">
        <v>0</v>
      </c>
      <c r="P25" s="85">
        <v>0</v>
      </c>
      <c r="Q25" s="85">
        <v>0</v>
      </c>
      <c r="R25" s="85">
        <v>0</v>
      </c>
      <c r="S25" s="85">
        <v>0</v>
      </c>
      <c r="T25" s="85">
        <v>0</v>
      </c>
      <c r="U25" s="85">
        <v>0</v>
      </c>
      <c r="V25" s="85">
        <v>0</v>
      </c>
      <c r="W25" s="85">
        <v>0</v>
      </c>
      <c r="X25" s="85">
        <v>0</v>
      </c>
      <c r="Y25" s="85">
        <v>0</v>
      </c>
      <c r="Z25" s="85">
        <v>0</v>
      </c>
      <c r="AA25" s="85">
        <v>0</v>
      </c>
      <c r="AB25" s="85">
        <v>-3.7680117017525498</v>
      </c>
      <c r="AC25" s="85">
        <v>0</v>
      </c>
      <c r="AD25" s="85">
        <v>0</v>
      </c>
      <c r="AE25" s="85">
        <v>15.2150261992804</v>
      </c>
      <c r="AF25" s="85">
        <v>0.70352861104792297</v>
      </c>
      <c r="AG25" s="85">
        <v>20.688686871862899</v>
      </c>
      <c r="AH25" s="85">
        <v>7.5673734236056198</v>
      </c>
      <c r="AI25" s="85">
        <v>0</v>
      </c>
      <c r="AJ25" s="85">
        <v>0</v>
      </c>
      <c r="AK25" s="85">
        <v>0</v>
      </c>
      <c r="AL25" s="85">
        <v>0</v>
      </c>
      <c r="AM25" s="85">
        <v>0</v>
      </c>
      <c r="AN25" s="85">
        <v>0</v>
      </c>
      <c r="AO25" s="85">
        <v>0</v>
      </c>
      <c r="AP25" s="85">
        <v>0</v>
      </c>
      <c r="AQ25" s="85">
        <v>0</v>
      </c>
      <c r="AR25" s="85">
        <v>0</v>
      </c>
      <c r="AS25" s="85">
        <v>0</v>
      </c>
      <c r="AT25" s="86">
        <v>0</v>
      </c>
    </row>
    <row r="26" spans="2:46" ht="12" customHeight="1" x14ac:dyDescent="0.25">
      <c r="B26" s="84" t="s">
        <v>43</v>
      </c>
      <c r="C26" s="85" t="s">
        <v>44</v>
      </c>
      <c r="D26" s="85" t="s">
        <v>25</v>
      </c>
      <c r="E26" s="85" t="s">
        <v>25</v>
      </c>
      <c r="F26" s="85" t="s">
        <v>25</v>
      </c>
      <c r="G26" s="85" t="s">
        <v>36</v>
      </c>
      <c r="H26" s="85" t="s">
        <v>82</v>
      </c>
      <c r="I26" s="85" t="s">
        <v>25</v>
      </c>
      <c r="J26" s="85">
        <v>1480.13</v>
      </c>
      <c r="K26" s="85">
        <v>362.64</v>
      </c>
      <c r="L26" s="85">
        <v>16.885772217457799</v>
      </c>
      <c r="M26" s="85">
        <v>0.66131436178692904</v>
      </c>
      <c r="N26" s="85">
        <v>14.3954577106635</v>
      </c>
      <c r="O26" s="85">
        <v>0</v>
      </c>
      <c r="P26" s="85">
        <v>0</v>
      </c>
      <c r="Q26" s="85">
        <v>41.971221250946797</v>
      </c>
      <c r="R26" s="85">
        <v>18.494598327475501</v>
      </c>
      <c r="S26" s="85">
        <v>0</v>
      </c>
      <c r="T26" s="85">
        <v>91.295507987546301</v>
      </c>
      <c r="U26" s="85">
        <v>95.803243776614806</v>
      </c>
      <c r="V26" s="85">
        <v>8.2111282206903002</v>
      </c>
      <c r="W26" s="85">
        <v>0</v>
      </c>
      <c r="X26" s="85">
        <v>0</v>
      </c>
      <c r="Y26" s="85">
        <v>0</v>
      </c>
      <c r="Z26" s="85">
        <v>0</v>
      </c>
      <c r="AA26" s="85">
        <v>1289.6542402842699</v>
      </c>
      <c r="AB26" s="85">
        <v>-141.41907859406101</v>
      </c>
      <c r="AC26" s="85">
        <v>0</v>
      </c>
      <c r="AD26" s="85">
        <v>0</v>
      </c>
      <c r="AE26" s="85">
        <v>15.2150261992804</v>
      </c>
      <c r="AF26" s="85">
        <v>0.70352861104792297</v>
      </c>
      <c r="AG26" s="85">
        <v>20.688686871862899</v>
      </c>
      <c r="AH26" s="85">
        <v>7.5673734236056198</v>
      </c>
      <c r="AI26" s="85">
        <v>4.5650250114514099</v>
      </c>
      <c r="AJ26" s="85">
        <v>-16.0356557284336</v>
      </c>
      <c r="AK26" s="85">
        <v>2.3157120820153598</v>
      </c>
      <c r="AL26" s="85">
        <v>23.8100619677761</v>
      </c>
      <c r="AM26" s="85">
        <v>0</v>
      </c>
      <c r="AN26" s="85">
        <v>373.98327222723702</v>
      </c>
      <c r="AO26" s="85">
        <v>0</v>
      </c>
      <c r="AP26" s="85">
        <v>0</v>
      </c>
      <c r="AQ26" s="85">
        <v>0</v>
      </c>
      <c r="AR26" s="85">
        <v>-31.3338716426871</v>
      </c>
      <c r="AS26" s="85">
        <v>0</v>
      </c>
      <c r="AT26" s="86">
        <v>5.3394429151812304</v>
      </c>
    </row>
    <row r="27" spans="2:46" ht="12" customHeight="1" x14ac:dyDescent="0.25">
      <c r="B27" s="84" t="s">
        <v>43</v>
      </c>
      <c r="C27" s="85" t="s">
        <v>44</v>
      </c>
      <c r="D27" s="85" t="s">
        <v>25</v>
      </c>
      <c r="E27" s="85" t="s">
        <v>25</v>
      </c>
      <c r="F27" s="85" t="s">
        <v>25</v>
      </c>
      <c r="G27" s="85" t="s">
        <v>25</v>
      </c>
      <c r="H27" s="85" t="s">
        <v>85</v>
      </c>
      <c r="I27" s="85" t="s">
        <v>25</v>
      </c>
      <c r="J27" s="85">
        <v>20.62</v>
      </c>
      <c r="K27" s="85">
        <v>0</v>
      </c>
      <c r="L27" s="85">
        <v>0</v>
      </c>
      <c r="M27" s="85">
        <v>0</v>
      </c>
      <c r="N27" s="85">
        <v>0</v>
      </c>
      <c r="O27" s="85">
        <v>0</v>
      </c>
      <c r="P27" s="85">
        <v>0</v>
      </c>
      <c r="Q27" s="85">
        <v>0</v>
      </c>
      <c r="R27" s="85">
        <v>0</v>
      </c>
      <c r="S27" s="85">
        <v>0</v>
      </c>
      <c r="T27" s="85">
        <v>2.8499935827397498</v>
      </c>
      <c r="U27" s="85">
        <v>3.2952149698311199</v>
      </c>
      <c r="V27" s="85">
        <v>0.285246634489629</v>
      </c>
      <c r="W27" s="85">
        <v>0</v>
      </c>
      <c r="X27" s="85">
        <v>0</v>
      </c>
      <c r="Y27" s="85">
        <v>0</v>
      </c>
      <c r="Z27" s="85">
        <v>0</v>
      </c>
      <c r="AA27" s="85">
        <v>16.1256465626088</v>
      </c>
      <c r="AB27" s="85">
        <v>-1.94088741944349</v>
      </c>
      <c r="AC27" s="85">
        <v>0</v>
      </c>
      <c r="AD27" s="85">
        <v>0</v>
      </c>
      <c r="AE27" s="85">
        <v>0</v>
      </c>
      <c r="AF27" s="85">
        <v>0</v>
      </c>
      <c r="AG27" s="85">
        <v>0</v>
      </c>
      <c r="AH27" s="85">
        <v>0</v>
      </c>
      <c r="AI27" s="85">
        <v>0</v>
      </c>
      <c r="AJ27" s="85">
        <v>0</v>
      </c>
      <c r="AK27" s="85">
        <v>0</v>
      </c>
      <c r="AL27" s="85">
        <v>0</v>
      </c>
      <c r="AM27" s="85">
        <v>0</v>
      </c>
      <c r="AN27" s="85">
        <v>0</v>
      </c>
      <c r="AO27" s="85">
        <v>0</v>
      </c>
      <c r="AP27" s="85">
        <v>0</v>
      </c>
      <c r="AQ27" s="85">
        <v>0</v>
      </c>
      <c r="AR27" s="85">
        <v>0</v>
      </c>
      <c r="AS27" s="85">
        <v>0</v>
      </c>
      <c r="AT27" s="86">
        <v>0</v>
      </c>
    </row>
    <row r="28" spans="2:46" ht="12" customHeight="1" x14ac:dyDescent="0.25">
      <c r="B28" s="84" t="s">
        <v>43</v>
      </c>
      <c r="C28" s="85" t="s">
        <v>44</v>
      </c>
      <c r="D28" s="85" t="s">
        <v>25</v>
      </c>
      <c r="E28" s="85" t="s">
        <v>25</v>
      </c>
      <c r="F28" s="85" t="s">
        <v>25</v>
      </c>
      <c r="G28" s="85" t="s">
        <v>37</v>
      </c>
      <c r="H28" s="85" t="s">
        <v>82</v>
      </c>
      <c r="I28" s="85" t="s">
        <v>25</v>
      </c>
      <c r="J28" s="85">
        <v>113.43</v>
      </c>
      <c r="K28" s="85">
        <v>218.69</v>
      </c>
      <c r="L28" s="85">
        <v>16.885772217457799</v>
      </c>
      <c r="M28" s="85">
        <v>0.66131436178692904</v>
      </c>
      <c r="N28" s="85">
        <v>0.69317387176076595</v>
      </c>
      <c r="O28" s="85">
        <v>0</v>
      </c>
      <c r="P28" s="85">
        <v>0</v>
      </c>
      <c r="Q28" s="85">
        <v>41.971221250946797</v>
      </c>
      <c r="R28" s="85">
        <v>18.494598327475501</v>
      </c>
      <c r="S28" s="85">
        <v>0</v>
      </c>
      <c r="T28" s="85">
        <v>0</v>
      </c>
      <c r="U28" s="85">
        <v>0</v>
      </c>
      <c r="V28" s="85">
        <v>0</v>
      </c>
      <c r="W28" s="85">
        <v>0</v>
      </c>
      <c r="X28" s="85">
        <v>0</v>
      </c>
      <c r="Y28" s="85">
        <v>0</v>
      </c>
      <c r="Z28" s="85">
        <v>0</v>
      </c>
      <c r="AA28" s="85">
        <v>0</v>
      </c>
      <c r="AB28" s="85">
        <v>-9.4494822089407897</v>
      </c>
      <c r="AC28" s="85">
        <v>0</v>
      </c>
      <c r="AD28" s="85">
        <v>0</v>
      </c>
      <c r="AE28" s="85">
        <v>15.2150261992804</v>
      </c>
      <c r="AF28" s="85">
        <v>0.70352861104792297</v>
      </c>
      <c r="AG28" s="85">
        <v>20.688686871862899</v>
      </c>
      <c r="AH28" s="85">
        <v>7.5673734236056198</v>
      </c>
      <c r="AI28" s="85">
        <v>4.5650250114514099</v>
      </c>
      <c r="AJ28" s="85">
        <v>-16.0356557284336</v>
      </c>
      <c r="AK28" s="85">
        <v>2.3157120820153598</v>
      </c>
      <c r="AL28" s="85">
        <v>23.8100619677761</v>
      </c>
      <c r="AM28" s="85">
        <v>0</v>
      </c>
      <c r="AN28" s="85">
        <v>217.432135015836</v>
      </c>
      <c r="AO28" s="85">
        <v>0</v>
      </c>
      <c r="AP28" s="85">
        <v>0</v>
      </c>
      <c r="AQ28" s="85">
        <v>0</v>
      </c>
      <c r="AR28" s="85">
        <v>-18.741293404329699</v>
      </c>
      <c r="AS28" s="85">
        <v>0</v>
      </c>
      <c r="AT28" s="86">
        <v>5.3394429151812304</v>
      </c>
    </row>
    <row r="29" spans="2:46" ht="12" customHeight="1" x14ac:dyDescent="0.25">
      <c r="B29" s="84" t="s">
        <v>41</v>
      </c>
      <c r="C29" s="85" t="s">
        <v>42</v>
      </c>
      <c r="D29" s="85" t="s">
        <v>25</v>
      </c>
      <c r="E29" s="85" t="s">
        <v>25</v>
      </c>
      <c r="F29" s="85" t="s">
        <v>89</v>
      </c>
      <c r="G29" s="85" t="s">
        <v>36</v>
      </c>
      <c r="H29" s="85" t="s">
        <v>82</v>
      </c>
      <c r="I29" s="85" t="s">
        <v>25</v>
      </c>
      <c r="J29" s="85">
        <v>41.75</v>
      </c>
      <c r="K29" s="85">
        <v>0</v>
      </c>
      <c r="L29" s="85">
        <v>0</v>
      </c>
      <c r="M29" s="85">
        <v>0.66131436178692904</v>
      </c>
      <c r="N29" s="85">
        <v>0.681700115421774</v>
      </c>
      <c r="O29" s="85">
        <v>0</v>
      </c>
      <c r="P29" s="85">
        <v>0</v>
      </c>
      <c r="Q29" s="85">
        <v>0</v>
      </c>
      <c r="R29" s="85">
        <v>0</v>
      </c>
      <c r="S29" s="85">
        <v>0</v>
      </c>
      <c r="T29" s="85">
        <v>0</v>
      </c>
      <c r="U29" s="85">
        <v>0</v>
      </c>
      <c r="V29" s="85">
        <v>0</v>
      </c>
      <c r="W29" s="85">
        <v>0</v>
      </c>
      <c r="X29" s="85">
        <v>0</v>
      </c>
      <c r="Y29" s="85">
        <v>0</v>
      </c>
      <c r="Z29" s="85">
        <v>0</v>
      </c>
      <c r="AA29" s="85">
        <v>0</v>
      </c>
      <c r="AB29" s="85">
        <v>-3.7680117017525498</v>
      </c>
      <c r="AC29" s="85">
        <v>0</v>
      </c>
      <c r="AD29" s="85">
        <v>0</v>
      </c>
      <c r="AE29" s="85">
        <v>15.2150261992804</v>
      </c>
      <c r="AF29" s="85">
        <v>0.70352861104792297</v>
      </c>
      <c r="AG29" s="85">
        <v>20.688686871862899</v>
      </c>
      <c r="AH29" s="85">
        <v>7.5673734236056198</v>
      </c>
      <c r="AI29" s="85">
        <v>0</v>
      </c>
      <c r="AJ29" s="85">
        <v>0</v>
      </c>
      <c r="AK29" s="85">
        <v>0</v>
      </c>
      <c r="AL29" s="85">
        <v>0</v>
      </c>
      <c r="AM29" s="85">
        <v>0</v>
      </c>
      <c r="AN29" s="85">
        <v>0</v>
      </c>
      <c r="AO29" s="85">
        <v>0</v>
      </c>
      <c r="AP29" s="85">
        <v>0</v>
      </c>
      <c r="AQ29" s="85">
        <v>0</v>
      </c>
      <c r="AR29" s="85">
        <v>0</v>
      </c>
      <c r="AS29" s="85">
        <v>0</v>
      </c>
      <c r="AT29" s="86">
        <v>0</v>
      </c>
    </row>
    <row r="30" spans="2:46" ht="12" customHeight="1" x14ac:dyDescent="0.25">
      <c r="B30" s="84" t="s">
        <v>41</v>
      </c>
      <c r="C30" s="85" t="s">
        <v>42</v>
      </c>
      <c r="D30" s="85" t="s">
        <v>25</v>
      </c>
      <c r="E30" s="85" t="s">
        <v>25</v>
      </c>
      <c r="F30" s="85" t="s">
        <v>89</v>
      </c>
      <c r="G30" s="85" t="s">
        <v>36</v>
      </c>
      <c r="H30" s="85" t="s">
        <v>85</v>
      </c>
      <c r="I30" s="85" t="s">
        <v>25</v>
      </c>
      <c r="J30" s="85">
        <v>56.31</v>
      </c>
      <c r="K30" s="85">
        <v>0</v>
      </c>
      <c r="L30" s="85">
        <v>0</v>
      </c>
      <c r="M30" s="85">
        <v>0</v>
      </c>
      <c r="N30" s="85">
        <v>0</v>
      </c>
      <c r="O30" s="85">
        <v>0</v>
      </c>
      <c r="P30" s="85">
        <v>0</v>
      </c>
      <c r="Q30" s="85">
        <v>0</v>
      </c>
      <c r="R30" s="85">
        <v>0</v>
      </c>
      <c r="S30" s="85">
        <v>0</v>
      </c>
      <c r="T30" s="85">
        <v>3.7960314069525101</v>
      </c>
      <c r="U30" s="85">
        <v>3.9835302187282902</v>
      </c>
      <c r="V30" s="85">
        <v>0.34142964735694797</v>
      </c>
      <c r="W30" s="85">
        <v>0</v>
      </c>
      <c r="X30" s="85">
        <v>0</v>
      </c>
      <c r="Y30" s="85">
        <v>0</v>
      </c>
      <c r="Z30" s="85">
        <v>0</v>
      </c>
      <c r="AA30" s="85">
        <v>53.623814747745698</v>
      </c>
      <c r="AB30" s="85">
        <v>-5.4362283726388103</v>
      </c>
      <c r="AC30" s="85">
        <v>0</v>
      </c>
      <c r="AD30" s="85">
        <v>0</v>
      </c>
      <c r="AE30" s="85">
        <v>0</v>
      </c>
      <c r="AF30" s="85">
        <v>0</v>
      </c>
      <c r="AG30" s="85">
        <v>0</v>
      </c>
      <c r="AH30" s="85">
        <v>0</v>
      </c>
      <c r="AI30" s="85">
        <v>0</v>
      </c>
      <c r="AJ30" s="85">
        <v>0</v>
      </c>
      <c r="AK30" s="85">
        <v>0</v>
      </c>
      <c r="AL30" s="85">
        <v>0</v>
      </c>
      <c r="AM30" s="85">
        <v>0</v>
      </c>
      <c r="AN30" s="85">
        <v>0</v>
      </c>
      <c r="AO30" s="85">
        <v>0</v>
      </c>
      <c r="AP30" s="85">
        <v>0</v>
      </c>
      <c r="AQ30" s="85">
        <v>0</v>
      </c>
      <c r="AR30" s="85">
        <v>0</v>
      </c>
      <c r="AS30" s="85">
        <v>0</v>
      </c>
      <c r="AT30" s="86">
        <v>0</v>
      </c>
    </row>
    <row r="31" spans="2:46" ht="12" customHeight="1" x14ac:dyDescent="0.25">
      <c r="B31" s="84" t="s">
        <v>41</v>
      </c>
      <c r="C31" s="85" t="s">
        <v>42</v>
      </c>
      <c r="D31" s="85" t="s">
        <v>25</v>
      </c>
      <c r="E31" s="85" t="s">
        <v>25</v>
      </c>
      <c r="F31" s="85" t="s">
        <v>89</v>
      </c>
      <c r="G31" s="85" t="s">
        <v>37</v>
      </c>
      <c r="H31" s="85" t="s">
        <v>82</v>
      </c>
      <c r="I31" s="85" t="s">
        <v>25</v>
      </c>
      <c r="J31" s="85">
        <v>41.75</v>
      </c>
      <c r="K31" s="85">
        <v>0</v>
      </c>
      <c r="L31" s="85">
        <v>0</v>
      </c>
      <c r="M31" s="85">
        <v>0.66131436178692904</v>
      </c>
      <c r="N31" s="85">
        <v>0.681700115421774</v>
      </c>
      <c r="O31" s="85">
        <v>0</v>
      </c>
      <c r="P31" s="85">
        <v>0</v>
      </c>
      <c r="Q31" s="85">
        <v>0</v>
      </c>
      <c r="R31" s="85">
        <v>0</v>
      </c>
      <c r="S31" s="85">
        <v>0</v>
      </c>
      <c r="T31" s="85">
        <v>0</v>
      </c>
      <c r="U31" s="85">
        <v>0</v>
      </c>
      <c r="V31" s="85">
        <v>0</v>
      </c>
      <c r="W31" s="85">
        <v>0</v>
      </c>
      <c r="X31" s="85">
        <v>0</v>
      </c>
      <c r="Y31" s="85">
        <v>0</v>
      </c>
      <c r="Z31" s="85">
        <v>0</v>
      </c>
      <c r="AA31" s="85">
        <v>0</v>
      </c>
      <c r="AB31" s="85">
        <v>-3.7680117017525498</v>
      </c>
      <c r="AC31" s="85">
        <v>0</v>
      </c>
      <c r="AD31" s="85">
        <v>0</v>
      </c>
      <c r="AE31" s="85">
        <v>15.2150261992804</v>
      </c>
      <c r="AF31" s="85">
        <v>0.70352861104792297</v>
      </c>
      <c r="AG31" s="85">
        <v>20.688686871862899</v>
      </c>
      <c r="AH31" s="85">
        <v>7.5673734236056198</v>
      </c>
      <c r="AI31" s="85">
        <v>0</v>
      </c>
      <c r="AJ31" s="85">
        <v>0</v>
      </c>
      <c r="AK31" s="85">
        <v>0</v>
      </c>
      <c r="AL31" s="85">
        <v>0</v>
      </c>
      <c r="AM31" s="85">
        <v>0</v>
      </c>
      <c r="AN31" s="85">
        <v>0</v>
      </c>
      <c r="AO31" s="85">
        <v>0</v>
      </c>
      <c r="AP31" s="85">
        <v>0</v>
      </c>
      <c r="AQ31" s="85">
        <v>0</v>
      </c>
      <c r="AR31" s="85">
        <v>0</v>
      </c>
      <c r="AS31" s="85">
        <v>0</v>
      </c>
      <c r="AT31" s="86">
        <v>0</v>
      </c>
    </row>
    <row r="32" spans="2:46" ht="12" customHeight="1" x14ac:dyDescent="0.25">
      <c r="B32" s="84" t="s">
        <v>41</v>
      </c>
      <c r="C32" s="85" t="s">
        <v>42</v>
      </c>
      <c r="D32" s="85" t="s">
        <v>25</v>
      </c>
      <c r="E32" s="85" t="s">
        <v>25</v>
      </c>
      <c r="F32" s="85" t="s">
        <v>89</v>
      </c>
      <c r="G32" s="85" t="s">
        <v>37</v>
      </c>
      <c r="H32" s="85" t="s">
        <v>85</v>
      </c>
      <c r="I32" s="85" t="s">
        <v>25</v>
      </c>
      <c r="J32" s="85">
        <v>20.62</v>
      </c>
      <c r="K32" s="85">
        <v>0</v>
      </c>
      <c r="L32" s="85">
        <v>0</v>
      </c>
      <c r="M32" s="85">
        <v>0</v>
      </c>
      <c r="N32" s="85">
        <v>0</v>
      </c>
      <c r="O32" s="85">
        <v>0</v>
      </c>
      <c r="P32" s="85">
        <v>0</v>
      </c>
      <c r="Q32" s="85">
        <v>0</v>
      </c>
      <c r="R32" s="85">
        <v>0</v>
      </c>
      <c r="S32" s="85">
        <v>0</v>
      </c>
      <c r="T32" s="85">
        <v>2.8499935827397498</v>
      </c>
      <c r="U32" s="85">
        <v>3.2952149698311199</v>
      </c>
      <c r="V32" s="85">
        <v>0.285246634489629</v>
      </c>
      <c r="W32" s="85">
        <v>0</v>
      </c>
      <c r="X32" s="85">
        <v>0</v>
      </c>
      <c r="Y32" s="85">
        <v>0</v>
      </c>
      <c r="Z32" s="85">
        <v>0</v>
      </c>
      <c r="AA32" s="85">
        <v>16.1256465626088</v>
      </c>
      <c r="AB32" s="85">
        <v>-1.94088741944349</v>
      </c>
      <c r="AC32" s="85">
        <v>0</v>
      </c>
      <c r="AD32" s="85">
        <v>0</v>
      </c>
      <c r="AE32" s="85">
        <v>0</v>
      </c>
      <c r="AF32" s="85">
        <v>0</v>
      </c>
      <c r="AG32" s="85">
        <v>0</v>
      </c>
      <c r="AH32" s="85">
        <v>0</v>
      </c>
      <c r="AI32" s="85">
        <v>0</v>
      </c>
      <c r="AJ32" s="85">
        <v>0</v>
      </c>
      <c r="AK32" s="85">
        <v>0</v>
      </c>
      <c r="AL32" s="85">
        <v>0</v>
      </c>
      <c r="AM32" s="85">
        <v>0</v>
      </c>
      <c r="AN32" s="85">
        <v>0</v>
      </c>
      <c r="AO32" s="85">
        <v>0</v>
      </c>
      <c r="AP32" s="85">
        <v>0</v>
      </c>
      <c r="AQ32" s="85">
        <v>0</v>
      </c>
      <c r="AR32" s="85">
        <v>0</v>
      </c>
      <c r="AS32" s="85">
        <v>0</v>
      </c>
      <c r="AT32" s="86">
        <v>0</v>
      </c>
    </row>
    <row r="33" spans="2:46" ht="12" customHeight="1" x14ac:dyDescent="0.25">
      <c r="B33" s="84" t="s">
        <v>41</v>
      </c>
      <c r="C33" s="85" t="s">
        <v>42</v>
      </c>
      <c r="D33" s="85" t="s">
        <v>25</v>
      </c>
      <c r="E33" s="85" t="s">
        <v>25</v>
      </c>
      <c r="F33" s="85" t="s">
        <v>25</v>
      </c>
      <c r="G33" s="85" t="s">
        <v>36</v>
      </c>
      <c r="H33" s="85" t="s">
        <v>82</v>
      </c>
      <c r="I33" s="85" t="s">
        <v>25</v>
      </c>
      <c r="J33" s="85">
        <v>113.43</v>
      </c>
      <c r="K33" s="85">
        <v>362.64</v>
      </c>
      <c r="L33" s="85">
        <v>16.885772217457799</v>
      </c>
      <c r="M33" s="85">
        <v>0.66131436178692904</v>
      </c>
      <c r="N33" s="85">
        <v>0.69317387176076595</v>
      </c>
      <c r="O33" s="85">
        <v>0</v>
      </c>
      <c r="P33" s="85">
        <v>0</v>
      </c>
      <c r="Q33" s="85">
        <v>41.971221250946797</v>
      </c>
      <c r="R33" s="85">
        <v>18.494598327475501</v>
      </c>
      <c r="S33" s="85">
        <v>0</v>
      </c>
      <c r="T33" s="85">
        <v>0</v>
      </c>
      <c r="U33" s="85">
        <v>0</v>
      </c>
      <c r="V33" s="85">
        <v>0</v>
      </c>
      <c r="W33" s="85">
        <v>0</v>
      </c>
      <c r="X33" s="85">
        <v>0</v>
      </c>
      <c r="Y33" s="85">
        <v>0</v>
      </c>
      <c r="Z33" s="85">
        <v>0</v>
      </c>
      <c r="AA33" s="85">
        <v>0</v>
      </c>
      <c r="AB33" s="85">
        <v>-9.4494822089407897</v>
      </c>
      <c r="AC33" s="85">
        <v>0</v>
      </c>
      <c r="AD33" s="85">
        <v>0</v>
      </c>
      <c r="AE33" s="85">
        <v>15.2150261992804</v>
      </c>
      <c r="AF33" s="85">
        <v>0.70352861104792297</v>
      </c>
      <c r="AG33" s="85">
        <v>20.688686871862899</v>
      </c>
      <c r="AH33" s="85">
        <v>7.5673734236056198</v>
      </c>
      <c r="AI33" s="85">
        <v>4.5650250114514099</v>
      </c>
      <c r="AJ33" s="85">
        <v>-16.0356557284336</v>
      </c>
      <c r="AK33" s="85">
        <v>2.3157120820153598</v>
      </c>
      <c r="AL33" s="85">
        <v>23.8100619677761</v>
      </c>
      <c r="AM33" s="85">
        <v>0</v>
      </c>
      <c r="AN33" s="85">
        <v>373.98327222723702</v>
      </c>
      <c r="AO33" s="85">
        <v>0</v>
      </c>
      <c r="AP33" s="85">
        <v>0</v>
      </c>
      <c r="AQ33" s="85">
        <v>0</v>
      </c>
      <c r="AR33" s="85">
        <v>-31.3338716426871</v>
      </c>
      <c r="AS33" s="85">
        <v>0</v>
      </c>
      <c r="AT33" s="86">
        <v>5.3394429151812304</v>
      </c>
    </row>
    <row r="34" spans="2:46" ht="12" customHeight="1" x14ac:dyDescent="0.25">
      <c r="B34" s="84" t="s">
        <v>41</v>
      </c>
      <c r="C34" s="85" t="s">
        <v>42</v>
      </c>
      <c r="D34" s="85" t="s">
        <v>25</v>
      </c>
      <c r="E34" s="85" t="s">
        <v>25</v>
      </c>
      <c r="F34" s="85" t="s">
        <v>25</v>
      </c>
      <c r="G34" s="85" t="s">
        <v>36</v>
      </c>
      <c r="H34" s="85" t="s">
        <v>85</v>
      </c>
      <c r="I34" s="85" t="s">
        <v>25</v>
      </c>
      <c r="J34" s="85">
        <v>56.31</v>
      </c>
      <c r="K34" s="85">
        <v>0</v>
      </c>
      <c r="L34" s="85">
        <v>0</v>
      </c>
      <c r="M34" s="85">
        <v>0</v>
      </c>
      <c r="N34" s="85">
        <v>0</v>
      </c>
      <c r="O34" s="85">
        <v>0</v>
      </c>
      <c r="P34" s="85">
        <v>0</v>
      </c>
      <c r="Q34" s="85">
        <v>0</v>
      </c>
      <c r="R34" s="85">
        <v>0</v>
      </c>
      <c r="S34" s="85">
        <v>0</v>
      </c>
      <c r="T34" s="85">
        <v>3.7960314069525101</v>
      </c>
      <c r="U34" s="85">
        <v>3.9835302187282902</v>
      </c>
      <c r="V34" s="85">
        <v>0.34142964735694797</v>
      </c>
      <c r="W34" s="85">
        <v>0</v>
      </c>
      <c r="X34" s="85">
        <v>0</v>
      </c>
      <c r="Y34" s="85">
        <v>0</v>
      </c>
      <c r="Z34" s="85">
        <v>0</v>
      </c>
      <c r="AA34" s="85">
        <v>53.623814747745698</v>
      </c>
      <c r="AB34" s="85">
        <v>-5.4362283726388103</v>
      </c>
      <c r="AC34" s="85">
        <v>0</v>
      </c>
      <c r="AD34" s="85">
        <v>0</v>
      </c>
      <c r="AE34" s="85">
        <v>0</v>
      </c>
      <c r="AF34" s="85">
        <v>0</v>
      </c>
      <c r="AG34" s="85">
        <v>0</v>
      </c>
      <c r="AH34" s="85">
        <v>0</v>
      </c>
      <c r="AI34" s="85">
        <v>0</v>
      </c>
      <c r="AJ34" s="85">
        <v>0</v>
      </c>
      <c r="AK34" s="85">
        <v>0</v>
      </c>
      <c r="AL34" s="85">
        <v>0</v>
      </c>
      <c r="AM34" s="85">
        <v>0</v>
      </c>
      <c r="AN34" s="85">
        <v>0</v>
      </c>
      <c r="AO34" s="85">
        <v>0</v>
      </c>
      <c r="AP34" s="85">
        <v>0</v>
      </c>
      <c r="AQ34" s="85">
        <v>0</v>
      </c>
      <c r="AR34" s="85">
        <v>0</v>
      </c>
      <c r="AS34" s="85">
        <v>0</v>
      </c>
      <c r="AT34" s="86">
        <v>0</v>
      </c>
    </row>
    <row r="35" spans="2:46" ht="12" customHeight="1" x14ac:dyDescent="0.25">
      <c r="B35" s="84" t="s">
        <v>41</v>
      </c>
      <c r="C35" s="85" t="s">
        <v>42</v>
      </c>
      <c r="D35" s="85" t="s">
        <v>25</v>
      </c>
      <c r="E35" s="85" t="s">
        <v>25</v>
      </c>
      <c r="F35" s="85" t="s">
        <v>25</v>
      </c>
      <c r="G35" s="85" t="s">
        <v>37</v>
      </c>
      <c r="H35" s="85" t="s">
        <v>82</v>
      </c>
      <c r="I35" s="85" t="s">
        <v>25</v>
      </c>
      <c r="J35" s="85">
        <v>113.43</v>
      </c>
      <c r="K35" s="85">
        <v>218.69</v>
      </c>
      <c r="L35" s="85">
        <v>16.885772217457799</v>
      </c>
      <c r="M35" s="85">
        <v>0.66131436178692904</v>
      </c>
      <c r="N35" s="85">
        <v>0.69317387176076595</v>
      </c>
      <c r="O35" s="85">
        <v>0</v>
      </c>
      <c r="P35" s="85">
        <v>0</v>
      </c>
      <c r="Q35" s="85">
        <v>41.971221250946797</v>
      </c>
      <c r="R35" s="85">
        <v>18.494598327475501</v>
      </c>
      <c r="S35" s="85">
        <v>0</v>
      </c>
      <c r="T35" s="85">
        <v>0</v>
      </c>
      <c r="U35" s="85">
        <v>0</v>
      </c>
      <c r="V35" s="85">
        <v>0</v>
      </c>
      <c r="W35" s="85">
        <v>0</v>
      </c>
      <c r="X35" s="85">
        <v>0</v>
      </c>
      <c r="Y35" s="85">
        <v>0</v>
      </c>
      <c r="Z35" s="85">
        <v>0</v>
      </c>
      <c r="AA35" s="85">
        <v>0</v>
      </c>
      <c r="AB35" s="85">
        <v>-9.4494822089407897</v>
      </c>
      <c r="AC35" s="85">
        <v>0</v>
      </c>
      <c r="AD35" s="85">
        <v>0</v>
      </c>
      <c r="AE35" s="85">
        <v>15.2150261992804</v>
      </c>
      <c r="AF35" s="85">
        <v>0.70352861104792297</v>
      </c>
      <c r="AG35" s="85">
        <v>20.688686871862899</v>
      </c>
      <c r="AH35" s="85">
        <v>7.5673734236056198</v>
      </c>
      <c r="AI35" s="85">
        <v>4.5650250114514099</v>
      </c>
      <c r="AJ35" s="85">
        <v>-16.0356557284336</v>
      </c>
      <c r="AK35" s="85">
        <v>2.3157120820153598</v>
      </c>
      <c r="AL35" s="85">
        <v>23.8100619677761</v>
      </c>
      <c r="AM35" s="85">
        <v>0</v>
      </c>
      <c r="AN35" s="85">
        <v>217.432135015836</v>
      </c>
      <c r="AO35" s="85">
        <v>0</v>
      </c>
      <c r="AP35" s="85">
        <v>0</v>
      </c>
      <c r="AQ35" s="85">
        <v>0</v>
      </c>
      <c r="AR35" s="85">
        <v>-18.741293404329699</v>
      </c>
      <c r="AS35" s="85">
        <v>0</v>
      </c>
      <c r="AT35" s="86">
        <v>5.3394429151812304</v>
      </c>
    </row>
    <row r="36" spans="2:46" ht="12" customHeight="1" x14ac:dyDescent="0.25">
      <c r="B36" s="84" t="s">
        <v>41</v>
      </c>
      <c r="C36" s="85" t="s">
        <v>42</v>
      </c>
      <c r="D36" s="85" t="s">
        <v>25</v>
      </c>
      <c r="E36" s="85" t="s">
        <v>25</v>
      </c>
      <c r="F36" s="85" t="s">
        <v>25</v>
      </c>
      <c r="G36" s="85" t="s">
        <v>37</v>
      </c>
      <c r="H36" s="85" t="s">
        <v>85</v>
      </c>
      <c r="I36" s="85" t="s">
        <v>25</v>
      </c>
      <c r="J36" s="85">
        <v>20.62</v>
      </c>
      <c r="K36" s="85">
        <v>0</v>
      </c>
      <c r="L36" s="85">
        <v>0</v>
      </c>
      <c r="M36" s="85">
        <v>0</v>
      </c>
      <c r="N36" s="85">
        <v>0</v>
      </c>
      <c r="O36" s="85">
        <v>0</v>
      </c>
      <c r="P36" s="85">
        <v>0</v>
      </c>
      <c r="Q36" s="85">
        <v>0</v>
      </c>
      <c r="R36" s="85">
        <v>0</v>
      </c>
      <c r="S36" s="85">
        <v>0</v>
      </c>
      <c r="T36" s="85">
        <v>2.8499935827397498</v>
      </c>
      <c r="U36" s="85">
        <v>3.2952149698311199</v>
      </c>
      <c r="V36" s="85">
        <v>0.285246634489629</v>
      </c>
      <c r="W36" s="85">
        <v>0</v>
      </c>
      <c r="X36" s="85">
        <v>0</v>
      </c>
      <c r="Y36" s="85">
        <v>0</v>
      </c>
      <c r="Z36" s="85">
        <v>0</v>
      </c>
      <c r="AA36" s="85">
        <v>16.1256465626088</v>
      </c>
      <c r="AB36" s="85">
        <v>-1.94088741944349</v>
      </c>
      <c r="AC36" s="85">
        <v>0</v>
      </c>
      <c r="AD36" s="85">
        <v>0</v>
      </c>
      <c r="AE36" s="85">
        <v>0</v>
      </c>
      <c r="AF36" s="85">
        <v>0</v>
      </c>
      <c r="AG36" s="85">
        <v>0</v>
      </c>
      <c r="AH36" s="85">
        <v>0</v>
      </c>
      <c r="AI36" s="85">
        <v>0</v>
      </c>
      <c r="AJ36" s="85">
        <v>0</v>
      </c>
      <c r="AK36" s="85">
        <v>0</v>
      </c>
      <c r="AL36" s="85">
        <v>0</v>
      </c>
      <c r="AM36" s="85">
        <v>0</v>
      </c>
      <c r="AN36" s="85">
        <v>0</v>
      </c>
      <c r="AO36" s="85">
        <v>0</v>
      </c>
      <c r="AP36" s="85">
        <v>0</v>
      </c>
      <c r="AQ36" s="85">
        <v>0</v>
      </c>
      <c r="AR36" s="85">
        <v>0</v>
      </c>
      <c r="AS36" s="85">
        <v>0</v>
      </c>
      <c r="AT36" s="86">
        <v>0</v>
      </c>
    </row>
    <row r="37" spans="2:46" ht="12" customHeight="1" x14ac:dyDescent="0.25">
      <c r="B37" s="84" t="s">
        <v>41</v>
      </c>
      <c r="C37" s="85" t="s">
        <v>23</v>
      </c>
      <c r="D37" s="85" t="s">
        <v>25</v>
      </c>
      <c r="E37" s="85" t="s">
        <v>25</v>
      </c>
      <c r="F37" s="85" t="s">
        <v>25</v>
      </c>
      <c r="G37" s="85" t="s">
        <v>25</v>
      </c>
      <c r="H37" s="85" t="s">
        <v>82</v>
      </c>
      <c r="I37" s="85" t="s">
        <v>25</v>
      </c>
      <c r="J37" s="85">
        <v>0</v>
      </c>
      <c r="K37" s="85">
        <v>230.68</v>
      </c>
      <c r="L37" s="85">
        <v>0</v>
      </c>
      <c r="M37" s="85">
        <v>0</v>
      </c>
      <c r="N37" s="85">
        <v>0</v>
      </c>
      <c r="O37" s="85">
        <v>0</v>
      </c>
      <c r="P37" s="85">
        <v>0</v>
      </c>
      <c r="Q37" s="85">
        <v>0</v>
      </c>
      <c r="R37" s="85">
        <v>0</v>
      </c>
      <c r="S37" s="85">
        <v>0</v>
      </c>
      <c r="T37" s="85">
        <v>0</v>
      </c>
      <c r="U37" s="85">
        <v>0</v>
      </c>
      <c r="V37" s="85">
        <v>0</v>
      </c>
      <c r="W37" s="85">
        <v>0</v>
      </c>
      <c r="X37" s="85">
        <v>0</v>
      </c>
      <c r="Y37" s="85">
        <v>0</v>
      </c>
      <c r="Z37" s="85">
        <v>0</v>
      </c>
      <c r="AA37" s="85">
        <v>0</v>
      </c>
      <c r="AB37" s="85">
        <v>0</v>
      </c>
      <c r="AC37" s="85">
        <v>0</v>
      </c>
      <c r="AD37" s="85">
        <v>0</v>
      </c>
      <c r="AE37" s="85">
        <v>0</v>
      </c>
      <c r="AF37" s="85">
        <v>0</v>
      </c>
      <c r="AG37" s="85">
        <v>0</v>
      </c>
      <c r="AH37" s="85">
        <v>0</v>
      </c>
      <c r="AI37" s="85">
        <v>4.5650250114514099</v>
      </c>
      <c r="AJ37" s="85">
        <v>-16.0356557284336</v>
      </c>
      <c r="AK37" s="85">
        <v>2.3157120820153598</v>
      </c>
      <c r="AL37" s="85">
        <v>23.8100619677761</v>
      </c>
      <c r="AM37" s="85">
        <v>0</v>
      </c>
      <c r="AN37" s="85">
        <v>230.47806311678599</v>
      </c>
      <c r="AO37" s="85">
        <v>0</v>
      </c>
      <c r="AP37" s="85">
        <v>0</v>
      </c>
      <c r="AQ37" s="85">
        <v>0</v>
      </c>
      <c r="AR37" s="85">
        <v>-19.790674924192899</v>
      </c>
      <c r="AS37" s="85">
        <v>0</v>
      </c>
      <c r="AT37" s="86">
        <v>5.3394429151812304</v>
      </c>
    </row>
    <row r="38" spans="2:46" ht="12" customHeight="1" x14ac:dyDescent="0.25">
      <c r="B38" s="84" t="s">
        <v>41</v>
      </c>
      <c r="C38" s="85" t="s">
        <v>62</v>
      </c>
      <c r="D38" s="85" t="s">
        <v>25</v>
      </c>
      <c r="E38" s="85" t="s">
        <v>25</v>
      </c>
      <c r="F38" s="85" t="s">
        <v>25</v>
      </c>
      <c r="G38" s="85" t="s">
        <v>36</v>
      </c>
      <c r="H38" s="85" t="s">
        <v>85</v>
      </c>
      <c r="I38" s="85" t="s">
        <v>63</v>
      </c>
      <c r="J38" s="85">
        <v>18.690000000000001</v>
      </c>
      <c r="K38" s="85">
        <v>0</v>
      </c>
      <c r="L38" s="85">
        <v>0</v>
      </c>
      <c r="M38" s="85">
        <v>0</v>
      </c>
      <c r="N38" s="85">
        <v>0</v>
      </c>
      <c r="O38" s="85">
        <v>0</v>
      </c>
      <c r="P38" s="85">
        <v>0</v>
      </c>
      <c r="Q38" s="85">
        <v>0</v>
      </c>
      <c r="R38" s="85">
        <v>0</v>
      </c>
      <c r="S38" s="85">
        <v>0</v>
      </c>
      <c r="T38" s="85">
        <v>3.7960314069525101</v>
      </c>
      <c r="U38" s="85">
        <v>3.9835302187282902</v>
      </c>
      <c r="V38" s="85">
        <v>0.34142964735694797</v>
      </c>
      <c r="W38" s="85">
        <v>0</v>
      </c>
      <c r="X38" s="85">
        <v>0</v>
      </c>
      <c r="Y38" s="85">
        <v>0</v>
      </c>
      <c r="Z38" s="85">
        <v>0</v>
      </c>
      <c r="AA38" s="85">
        <v>10.5669962195644</v>
      </c>
      <c r="AB38" s="85">
        <v>0</v>
      </c>
      <c r="AC38" s="85">
        <v>0</v>
      </c>
      <c r="AD38" s="85">
        <v>0</v>
      </c>
      <c r="AE38" s="85">
        <v>0</v>
      </c>
      <c r="AF38" s="85">
        <v>0</v>
      </c>
      <c r="AG38" s="85">
        <v>0</v>
      </c>
      <c r="AH38" s="85">
        <v>0</v>
      </c>
      <c r="AI38" s="85">
        <v>0</v>
      </c>
      <c r="AJ38" s="85">
        <v>0</v>
      </c>
      <c r="AK38" s="85">
        <v>0</v>
      </c>
      <c r="AL38" s="85">
        <v>0</v>
      </c>
      <c r="AM38" s="85">
        <v>0</v>
      </c>
      <c r="AN38" s="85">
        <v>0</v>
      </c>
      <c r="AO38" s="85">
        <v>0</v>
      </c>
      <c r="AP38" s="85">
        <v>0</v>
      </c>
      <c r="AQ38" s="85">
        <v>0</v>
      </c>
      <c r="AR38" s="85">
        <v>0</v>
      </c>
      <c r="AS38" s="85">
        <v>0</v>
      </c>
      <c r="AT38" s="86">
        <v>0</v>
      </c>
    </row>
    <row r="39" spans="2:46" ht="12" customHeight="1" x14ac:dyDescent="0.25">
      <c r="B39" s="84" t="s">
        <v>41</v>
      </c>
      <c r="C39" s="85" t="s">
        <v>62</v>
      </c>
      <c r="D39" s="85" t="s">
        <v>25</v>
      </c>
      <c r="E39" s="85" t="s">
        <v>25</v>
      </c>
      <c r="F39" s="85" t="s">
        <v>25</v>
      </c>
      <c r="G39" s="85" t="s">
        <v>25</v>
      </c>
      <c r="H39" s="85" t="s">
        <v>82</v>
      </c>
      <c r="I39" s="85" t="s">
        <v>63</v>
      </c>
      <c r="J39" s="85">
        <v>15.92</v>
      </c>
      <c r="K39" s="85">
        <v>0</v>
      </c>
      <c r="L39" s="85">
        <v>0</v>
      </c>
      <c r="M39" s="85">
        <v>0</v>
      </c>
      <c r="N39" s="85">
        <v>0</v>
      </c>
      <c r="O39" s="85">
        <v>0</v>
      </c>
      <c r="P39" s="85">
        <v>0</v>
      </c>
      <c r="Q39" s="85">
        <v>0</v>
      </c>
      <c r="R39" s="85">
        <v>0</v>
      </c>
      <c r="S39" s="85">
        <v>0</v>
      </c>
      <c r="T39" s="85">
        <v>0</v>
      </c>
      <c r="U39" s="85">
        <v>0</v>
      </c>
      <c r="V39" s="85">
        <v>0</v>
      </c>
      <c r="W39" s="85">
        <v>0</v>
      </c>
      <c r="X39" s="85">
        <v>0</v>
      </c>
      <c r="Y39" s="85">
        <v>0</v>
      </c>
      <c r="Z39" s="85">
        <v>0</v>
      </c>
      <c r="AA39" s="85">
        <v>0</v>
      </c>
      <c r="AB39" s="85">
        <v>0</v>
      </c>
      <c r="AC39" s="85">
        <v>0</v>
      </c>
      <c r="AD39" s="85">
        <v>0</v>
      </c>
      <c r="AE39" s="85">
        <v>15.2150261992804</v>
      </c>
      <c r="AF39" s="85">
        <v>0.70352861104792297</v>
      </c>
      <c r="AG39" s="85">
        <v>0</v>
      </c>
      <c r="AH39" s="85">
        <v>0</v>
      </c>
      <c r="AI39" s="85">
        <v>0</v>
      </c>
      <c r="AJ39" s="85">
        <v>0</v>
      </c>
      <c r="AK39" s="85">
        <v>0</v>
      </c>
      <c r="AL39" s="85">
        <v>0</v>
      </c>
      <c r="AM39" s="85">
        <v>0</v>
      </c>
      <c r="AN39" s="85">
        <v>0</v>
      </c>
      <c r="AO39" s="85">
        <v>0</v>
      </c>
      <c r="AP39" s="85">
        <v>0</v>
      </c>
      <c r="AQ39" s="85">
        <v>0</v>
      </c>
      <c r="AR39" s="85">
        <v>0</v>
      </c>
      <c r="AS39" s="85">
        <v>0</v>
      </c>
      <c r="AT39" s="86">
        <v>0</v>
      </c>
    </row>
    <row r="40" spans="2:46" ht="12" customHeight="1" x14ac:dyDescent="0.25">
      <c r="B40" s="84" t="s">
        <v>41</v>
      </c>
      <c r="C40" s="85" t="s">
        <v>62</v>
      </c>
      <c r="D40" s="85" t="s">
        <v>25</v>
      </c>
      <c r="E40" s="85" t="s">
        <v>25</v>
      </c>
      <c r="F40" s="85" t="s">
        <v>25</v>
      </c>
      <c r="G40" s="85" t="s">
        <v>37</v>
      </c>
      <c r="H40" s="85" t="s">
        <v>85</v>
      </c>
      <c r="I40" s="85" t="s">
        <v>63</v>
      </c>
      <c r="J40" s="85">
        <v>9.61</v>
      </c>
      <c r="K40" s="85">
        <v>0</v>
      </c>
      <c r="L40" s="85">
        <v>0</v>
      </c>
      <c r="M40" s="85">
        <v>0</v>
      </c>
      <c r="N40" s="85">
        <v>0</v>
      </c>
      <c r="O40" s="85">
        <v>0</v>
      </c>
      <c r="P40" s="85">
        <v>0</v>
      </c>
      <c r="Q40" s="85">
        <v>0</v>
      </c>
      <c r="R40" s="85">
        <v>0</v>
      </c>
      <c r="S40" s="85">
        <v>0</v>
      </c>
      <c r="T40" s="85">
        <v>2.8499935827397498</v>
      </c>
      <c r="U40" s="85">
        <v>3.2952149698311199</v>
      </c>
      <c r="V40" s="85">
        <v>0.285246634489629</v>
      </c>
      <c r="W40" s="85">
        <v>0</v>
      </c>
      <c r="X40" s="85">
        <v>0</v>
      </c>
      <c r="Y40" s="85">
        <v>0</v>
      </c>
      <c r="Z40" s="85">
        <v>0</v>
      </c>
      <c r="AA40" s="85">
        <v>3.1776727426734102</v>
      </c>
      <c r="AB40" s="85">
        <v>0</v>
      </c>
      <c r="AC40" s="85">
        <v>0</v>
      </c>
      <c r="AD40" s="85">
        <v>0</v>
      </c>
      <c r="AE40" s="85">
        <v>0</v>
      </c>
      <c r="AF40" s="85">
        <v>0</v>
      </c>
      <c r="AG40" s="85">
        <v>0</v>
      </c>
      <c r="AH40" s="85">
        <v>0</v>
      </c>
      <c r="AI40" s="85">
        <v>0</v>
      </c>
      <c r="AJ40" s="85">
        <v>0</v>
      </c>
      <c r="AK40" s="85">
        <v>0</v>
      </c>
      <c r="AL40" s="85">
        <v>0</v>
      </c>
      <c r="AM40" s="85">
        <v>0</v>
      </c>
      <c r="AN40" s="85">
        <v>0</v>
      </c>
      <c r="AO40" s="85">
        <v>0</v>
      </c>
      <c r="AP40" s="85">
        <v>0</v>
      </c>
      <c r="AQ40" s="85">
        <v>0</v>
      </c>
      <c r="AR40" s="85">
        <v>0</v>
      </c>
      <c r="AS40" s="85">
        <v>0</v>
      </c>
      <c r="AT40" s="86">
        <v>0</v>
      </c>
    </row>
    <row r="41" spans="2:46" ht="12" customHeight="1" x14ac:dyDescent="0.25">
      <c r="B41" s="84" t="s">
        <v>41</v>
      </c>
      <c r="C41" s="85" t="s">
        <v>91</v>
      </c>
      <c r="D41" s="85" t="s">
        <v>25</v>
      </c>
      <c r="E41" s="85" t="s">
        <v>25</v>
      </c>
      <c r="F41" s="85" t="s">
        <v>25</v>
      </c>
      <c r="G41" s="85" t="s">
        <v>25</v>
      </c>
      <c r="H41" s="85" t="s">
        <v>85</v>
      </c>
      <c r="I41" s="85" t="s">
        <v>25</v>
      </c>
      <c r="J41" s="85">
        <v>18.39</v>
      </c>
      <c r="K41" s="85">
        <v>0</v>
      </c>
      <c r="L41" s="85">
        <v>0</v>
      </c>
      <c r="M41" s="85">
        <v>6.6898438481065303E-2</v>
      </c>
      <c r="N41" s="85">
        <v>0.19172646842454899</v>
      </c>
      <c r="O41" s="85">
        <v>0</v>
      </c>
      <c r="P41" s="85">
        <v>0</v>
      </c>
      <c r="Q41" s="85">
        <v>0</v>
      </c>
      <c r="R41" s="85">
        <v>0</v>
      </c>
      <c r="S41" s="85">
        <v>0</v>
      </c>
      <c r="T41" s="85">
        <v>0</v>
      </c>
      <c r="U41" s="85">
        <v>0</v>
      </c>
      <c r="V41" s="85">
        <v>0</v>
      </c>
      <c r="W41" s="85">
        <v>0</v>
      </c>
      <c r="X41" s="85">
        <v>0</v>
      </c>
      <c r="Y41" s="85">
        <v>0</v>
      </c>
      <c r="Z41" s="85">
        <v>0</v>
      </c>
      <c r="AA41" s="85">
        <v>19.948656751325899</v>
      </c>
      <c r="AB41" s="85">
        <v>-1.8138950339234701</v>
      </c>
      <c r="AC41" s="85">
        <v>0</v>
      </c>
      <c r="AD41" s="85">
        <v>0</v>
      </c>
      <c r="AE41" s="85">
        <v>0</v>
      </c>
      <c r="AF41" s="85">
        <v>0</v>
      </c>
      <c r="AG41" s="85">
        <v>0</v>
      </c>
      <c r="AH41" s="85">
        <v>0</v>
      </c>
      <c r="AI41" s="85">
        <v>0</v>
      </c>
      <c r="AJ41" s="85">
        <v>0</v>
      </c>
      <c r="AK41" s="85">
        <v>0</v>
      </c>
      <c r="AL41" s="85">
        <v>0</v>
      </c>
      <c r="AM41" s="85">
        <v>0</v>
      </c>
      <c r="AN41" s="85">
        <v>0</v>
      </c>
      <c r="AO41" s="85">
        <v>0</v>
      </c>
      <c r="AP41" s="85">
        <v>0</v>
      </c>
      <c r="AQ41" s="85">
        <v>0</v>
      </c>
      <c r="AR41" s="85">
        <v>0</v>
      </c>
      <c r="AS41" s="85">
        <v>0</v>
      </c>
      <c r="AT41" s="86">
        <v>0</v>
      </c>
    </row>
    <row r="42" spans="2:46" ht="12" customHeight="1" x14ac:dyDescent="0.25">
      <c r="B42" s="84" t="s">
        <v>41</v>
      </c>
      <c r="C42" s="85" t="s">
        <v>44</v>
      </c>
      <c r="D42" s="85" t="s">
        <v>25</v>
      </c>
      <c r="E42" s="85" t="s">
        <v>25</v>
      </c>
      <c r="F42" s="85" t="s">
        <v>89</v>
      </c>
      <c r="G42" s="85" t="s">
        <v>36</v>
      </c>
      <c r="H42" s="85" t="s">
        <v>82</v>
      </c>
      <c r="I42" s="85" t="s">
        <v>25</v>
      </c>
      <c r="J42" s="85">
        <v>1408.45</v>
      </c>
      <c r="K42" s="85">
        <v>0</v>
      </c>
      <c r="L42" s="85">
        <v>0</v>
      </c>
      <c r="M42" s="85">
        <v>0.66131436178692904</v>
      </c>
      <c r="N42" s="85">
        <v>14.383983954324499</v>
      </c>
      <c r="O42" s="85">
        <v>0</v>
      </c>
      <c r="P42" s="85">
        <v>0</v>
      </c>
      <c r="Q42" s="85">
        <v>0</v>
      </c>
      <c r="R42" s="85">
        <v>0</v>
      </c>
      <c r="S42" s="85">
        <v>0</v>
      </c>
      <c r="T42" s="85">
        <v>91.295507987546301</v>
      </c>
      <c r="U42" s="85">
        <v>95.803243776614806</v>
      </c>
      <c r="V42" s="85">
        <v>8.2111282206903002</v>
      </c>
      <c r="W42" s="85">
        <v>0</v>
      </c>
      <c r="X42" s="85">
        <v>0</v>
      </c>
      <c r="Y42" s="85">
        <v>0</v>
      </c>
      <c r="Z42" s="85">
        <v>0</v>
      </c>
      <c r="AA42" s="85">
        <v>1289.6542402842699</v>
      </c>
      <c r="AB42" s="85">
        <v>-135.737608086873</v>
      </c>
      <c r="AC42" s="85">
        <v>0</v>
      </c>
      <c r="AD42" s="85">
        <v>0</v>
      </c>
      <c r="AE42" s="85">
        <v>15.2150261992804</v>
      </c>
      <c r="AF42" s="85">
        <v>0.70352861104792297</v>
      </c>
      <c r="AG42" s="85">
        <v>20.688686871862899</v>
      </c>
      <c r="AH42" s="85">
        <v>7.5673734236056198</v>
      </c>
      <c r="AI42" s="85">
        <v>0</v>
      </c>
      <c r="AJ42" s="85">
        <v>0</v>
      </c>
      <c r="AK42" s="85">
        <v>0</v>
      </c>
      <c r="AL42" s="85">
        <v>0</v>
      </c>
      <c r="AM42" s="85">
        <v>0</v>
      </c>
      <c r="AN42" s="85">
        <v>0</v>
      </c>
      <c r="AO42" s="85">
        <v>0</v>
      </c>
      <c r="AP42" s="85">
        <v>0</v>
      </c>
      <c r="AQ42" s="85">
        <v>0</v>
      </c>
      <c r="AR42" s="85">
        <v>0</v>
      </c>
      <c r="AS42" s="85">
        <v>0</v>
      </c>
      <c r="AT42" s="86">
        <v>0</v>
      </c>
    </row>
    <row r="43" spans="2:46" ht="12" customHeight="1" x14ac:dyDescent="0.25">
      <c r="B43" s="84" t="s">
        <v>41</v>
      </c>
      <c r="C43" s="85" t="s">
        <v>44</v>
      </c>
      <c r="D43" s="85" t="s">
        <v>25</v>
      </c>
      <c r="E43" s="85" t="s">
        <v>25</v>
      </c>
      <c r="F43" s="85" t="s">
        <v>89</v>
      </c>
      <c r="G43" s="85" t="s">
        <v>25</v>
      </c>
      <c r="H43" s="85" t="s">
        <v>85</v>
      </c>
      <c r="I43" s="85" t="s">
        <v>25</v>
      </c>
      <c r="J43" s="85">
        <v>20.62</v>
      </c>
      <c r="K43" s="85">
        <v>0</v>
      </c>
      <c r="L43" s="85">
        <v>0</v>
      </c>
      <c r="M43" s="85">
        <v>0</v>
      </c>
      <c r="N43" s="85">
        <v>0</v>
      </c>
      <c r="O43" s="85">
        <v>0</v>
      </c>
      <c r="P43" s="85">
        <v>0</v>
      </c>
      <c r="Q43" s="85">
        <v>0</v>
      </c>
      <c r="R43" s="85">
        <v>0</v>
      </c>
      <c r="S43" s="85">
        <v>0</v>
      </c>
      <c r="T43" s="85">
        <v>2.8499935827397498</v>
      </c>
      <c r="U43" s="85">
        <v>3.2952149698311199</v>
      </c>
      <c r="V43" s="85">
        <v>0.285246634489629</v>
      </c>
      <c r="W43" s="85">
        <v>0</v>
      </c>
      <c r="X43" s="85">
        <v>0</v>
      </c>
      <c r="Y43" s="85">
        <v>0</v>
      </c>
      <c r="Z43" s="85">
        <v>0</v>
      </c>
      <c r="AA43" s="85">
        <v>16.1256465626088</v>
      </c>
      <c r="AB43" s="85">
        <v>-1.94088741944349</v>
      </c>
      <c r="AC43" s="85">
        <v>0</v>
      </c>
      <c r="AD43" s="85">
        <v>0</v>
      </c>
      <c r="AE43" s="85">
        <v>0</v>
      </c>
      <c r="AF43" s="85">
        <v>0</v>
      </c>
      <c r="AG43" s="85">
        <v>0</v>
      </c>
      <c r="AH43" s="85">
        <v>0</v>
      </c>
      <c r="AI43" s="85">
        <v>0</v>
      </c>
      <c r="AJ43" s="85">
        <v>0</v>
      </c>
      <c r="AK43" s="85">
        <v>0</v>
      </c>
      <c r="AL43" s="85">
        <v>0</v>
      </c>
      <c r="AM43" s="85">
        <v>0</v>
      </c>
      <c r="AN43" s="85">
        <v>0</v>
      </c>
      <c r="AO43" s="85">
        <v>0</v>
      </c>
      <c r="AP43" s="85">
        <v>0</v>
      </c>
      <c r="AQ43" s="85">
        <v>0</v>
      </c>
      <c r="AR43" s="85">
        <v>0</v>
      </c>
      <c r="AS43" s="85">
        <v>0</v>
      </c>
      <c r="AT43" s="86">
        <v>0</v>
      </c>
    </row>
    <row r="44" spans="2:46" ht="12" customHeight="1" x14ac:dyDescent="0.25">
      <c r="B44" s="84" t="s">
        <v>41</v>
      </c>
      <c r="C44" s="85" t="s">
        <v>44</v>
      </c>
      <c r="D44" s="85" t="s">
        <v>25</v>
      </c>
      <c r="E44" s="85" t="s">
        <v>25</v>
      </c>
      <c r="F44" s="85" t="s">
        <v>89</v>
      </c>
      <c r="G44" s="85" t="s">
        <v>37</v>
      </c>
      <c r="H44" s="85" t="s">
        <v>82</v>
      </c>
      <c r="I44" s="85" t="s">
        <v>25</v>
      </c>
      <c r="J44" s="85">
        <v>41.75</v>
      </c>
      <c r="K44" s="85">
        <v>0</v>
      </c>
      <c r="L44" s="85">
        <v>0</v>
      </c>
      <c r="M44" s="85">
        <v>0.66131436178692904</v>
      </c>
      <c r="N44" s="85">
        <v>0.681700115421774</v>
      </c>
      <c r="O44" s="85">
        <v>0</v>
      </c>
      <c r="P44" s="85">
        <v>0</v>
      </c>
      <c r="Q44" s="85">
        <v>0</v>
      </c>
      <c r="R44" s="85">
        <v>0</v>
      </c>
      <c r="S44" s="85">
        <v>0</v>
      </c>
      <c r="T44" s="85">
        <v>0</v>
      </c>
      <c r="U44" s="85">
        <v>0</v>
      </c>
      <c r="V44" s="85">
        <v>0</v>
      </c>
      <c r="W44" s="85">
        <v>0</v>
      </c>
      <c r="X44" s="85">
        <v>0</v>
      </c>
      <c r="Y44" s="85">
        <v>0</v>
      </c>
      <c r="Z44" s="85">
        <v>0</v>
      </c>
      <c r="AA44" s="85">
        <v>0</v>
      </c>
      <c r="AB44" s="85">
        <v>-3.7680117017525498</v>
      </c>
      <c r="AC44" s="85">
        <v>0</v>
      </c>
      <c r="AD44" s="85">
        <v>0</v>
      </c>
      <c r="AE44" s="85">
        <v>15.2150261992804</v>
      </c>
      <c r="AF44" s="85">
        <v>0.70352861104792297</v>
      </c>
      <c r="AG44" s="85">
        <v>20.688686871862899</v>
      </c>
      <c r="AH44" s="85">
        <v>7.5673734236056198</v>
      </c>
      <c r="AI44" s="85">
        <v>0</v>
      </c>
      <c r="AJ44" s="85">
        <v>0</v>
      </c>
      <c r="AK44" s="85">
        <v>0</v>
      </c>
      <c r="AL44" s="85">
        <v>0</v>
      </c>
      <c r="AM44" s="85">
        <v>0</v>
      </c>
      <c r="AN44" s="85">
        <v>0</v>
      </c>
      <c r="AO44" s="85">
        <v>0</v>
      </c>
      <c r="AP44" s="85">
        <v>0</v>
      </c>
      <c r="AQ44" s="85">
        <v>0</v>
      </c>
      <c r="AR44" s="85">
        <v>0</v>
      </c>
      <c r="AS44" s="85">
        <v>0</v>
      </c>
      <c r="AT44" s="86">
        <v>0</v>
      </c>
    </row>
    <row r="45" spans="2:46" ht="12" customHeight="1" x14ac:dyDescent="0.25">
      <c r="B45" s="84" t="s">
        <v>41</v>
      </c>
      <c r="C45" s="85" t="s">
        <v>44</v>
      </c>
      <c r="D45" s="85" t="s">
        <v>25</v>
      </c>
      <c r="E45" s="85" t="s">
        <v>25</v>
      </c>
      <c r="F45" s="85" t="s">
        <v>25</v>
      </c>
      <c r="G45" s="85" t="s">
        <v>36</v>
      </c>
      <c r="H45" s="85" t="s">
        <v>82</v>
      </c>
      <c r="I45" s="85" t="s">
        <v>25</v>
      </c>
      <c r="J45" s="85">
        <v>1480.13</v>
      </c>
      <c r="K45" s="85">
        <v>362.64</v>
      </c>
      <c r="L45" s="85">
        <v>16.885772217457799</v>
      </c>
      <c r="M45" s="85">
        <v>0.66131436178692904</v>
      </c>
      <c r="N45" s="85">
        <v>14.3954577106635</v>
      </c>
      <c r="O45" s="85">
        <v>0</v>
      </c>
      <c r="P45" s="85">
        <v>0</v>
      </c>
      <c r="Q45" s="85">
        <v>41.971221250946797</v>
      </c>
      <c r="R45" s="85">
        <v>18.494598327475501</v>
      </c>
      <c r="S45" s="85">
        <v>0</v>
      </c>
      <c r="T45" s="85">
        <v>91.295507987546301</v>
      </c>
      <c r="U45" s="85">
        <v>95.803243776614806</v>
      </c>
      <c r="V45" s="85">
        <v>8.2111282206903002</v>
      </c>
      <c r="W45" s="85">
        <v>0</v>
      </c>
      <c r="X45" s="85">
        <v>0</v>
      </c>
      <c r="Y45" s="85">
        <v>0</v>
      </c>
      <c r="Z45" s="85">
        <v>0</v>
      </c>
      <c r="AA45" s="85">
        <v>1289.6542402842699</v>
      </c>
      <c r="AB45" s="85">
        <v>-141.41907859406101</v>
      </c>
      <c r="AC45" s="85">
        <v>0</v>
      </c>
      <c r="AD45" s="85">
        <v>0</v>
      </c>
      <c r="AE45" s="85">
        <v>15.2150261992804</v>
      </c>
      <c r="AF45" s="85">
        <v>0.70352861104792297</v>
      </c>
      <c r="AG45" s="85">
        <v>20.688686871862899</v>
      </c>
      <c r="AH45" s="85">
        <v>7.5673734236056198</v>
      </c>
      <c r="AI45" s="85">
        <v>4.5650250114514099</v>
      </c>
      <c r="AJ45" s="85">
        <v>-16.0356557284336</v>
      </c>
      <c r="AK45" s="85">
        <v>2.3157120820153598</v>
      </c>
      <c r="AL45" s="85">
        <v>23.8100619677761</v>
      </c>
      <c r="AM45" s="85">
        <v>0</v>
      </c>
      <c r="AN45" s="85">
        <v>373.98327222723702</v>
      </c>
      <c r="AO45" s="85">
        <v>0</v>
      </c>
      <c r="AP45" s="85">
        <v>0</v>
      </c>
      <c r="AQ45" s="85">
        <v>0</v>
      </c>
      <c r="AR45" s="85">
        <v>-31.3338716426871</v>
      </c>
      <c r="AS45" s="85">
        <v>0</v>
      </c>
      <c r="AT45" s="86">
        <v>5.3394429151812304</v>
      </c>
    </row>
    <row r="46" spans="2:46" ht="12" customHeight="1" x14ac:dyDescent="0.25">
      <c r="B46" s="84" t="s">
        <v>41</v>
      </c>
      <c r="C46" s="85" t="s">
        <v>44</v>
      </c>
      <c r="D46" s="85" t="s">
        <v>25</v>
      </c>
      <c r="E46" s="85" t="s">
        <v>25</v>
      </c>
      <c r="F46" s="85" t="s">
        <v>25</v>
      </c>
      <c r="G46" s="85" t="s">
        <v>25</v>
      </c>
      <c r="H46" s="85" t="s">
        <v>85</v>
      </c>
      <c r="I46" s="85" t="s">
        <v>25</v>
      </c>
      <c r="J46" s="85">
        <v>20.62</v>
      </c>
      <c r="K46" s="85">
        <v>0</v>
      </c>
      <c r="L46" s="85">
        <v>0</v>
      </c>
      <c r="M46" s="85">
        <v>0</v>
      </c>
      <c r="N46" s="85">
        <v>0</v>
      </c>
      <c r="O46" s="85">
        <v>0</v>
      </c>
      <c r="P46" s="85">
        <v>0</v>
      </c>
      <c r="Q46" s="85">
        <v>0</v>
      </c>
      <c r="R46" s="85">
        <v>0</v>
      </c>
      <c r="S46" s="85">
        <v>0</v>
      </c>
      <c r="T46" s="85">
        <v>2.8499935827397498</v>
      </c>
      <c r="U46" s="85">
        <v>3.2952149698311199</v>
      </c>
      <c r="V46" s="85">
        <v>0.285246634489629</v>
      </c>
      <c r="W46" s="85">
        <v>0</v>
      </c>
      <c r="X46" s="85">
        <v>0</v>
      </c>
      <c r="Y46" s="85">
        <v>0</v>
      </c>
      <c r="Z46" s="85">
        <v>0</v>
      </c>
      <c r="AA46" s="85">
        <v>16.1256465626088</v>
      </c>
      <c r="AB46" s="85">
        <v>-1.94088741944349</v>
      </c>
      <c r="AC46" s="85">
        <v>0</v>
      </c>
      <c r="AD46" s="85">
        <v>0</v>
      </c>
      <c r="AE46" s="85">
        <v>0</v>
      </c>
      <c r="AF46" s="85">
        <v>0</v>
      </c>
      <c r="AG46" s="85">
        <v>0</v>
      </c>
      <c r="AH46" s="85">
        <v>0</v>
      </c>
      <c r="AI46" s="85">
        <v>0</v>
      </c>
      <c r="AJ46" s="85">
        <v>0</v>
      </c>
      <c r="AK46" s="85">
        <v>0</v>
      </c>
      <c r="AL46" s="85">
        <v>0</v>
      </c>
      <c r="AM46" s="85">
        <v>0</v>
      </c>
      <c r="AN46" s="85">
        <v>0</v>
      </c>
      <c r="AO46" s="85">
        <v>0</v>
      </c>
      <c r="AP46" s="85">
        <v>0</v>
      </c>
      <c r="AQ46" s="85">
        <v>0</v>
      </c>
      <c r="AR46" s="85">
        <v>0</v>
      </c>
      <c r="AS46" s="85">
        <v>0</v>
      </c>
      <c r="AT46" s="86">
        <v>0</v>
      </c>
    </row>
    <row r="47" spans="2:46" ht="12" customHeight="1" x14ac:dyDescent="0.25">
      <c r="B47" s="84" t="s">
        <v>41</v>
      </c>
      <c r="C47" s="85" t="s">
        <v>44</v>
      </c>
      <c r="D47" s="85" t="s">
        <v>25</v>
      </c>
      <c r="E47" s="85" t="s">
        <v>25</v>
      </c>
      <c r="F47" s="85" t="s">
        <v>25</v>
      </c>
      <c r="G47" s="85" t="s">
        <v>37</v>
      </c>
      <c r="H47" s="85" t="s">
        <v>82</v>
      </c>
      <c r="I47" s="85" t="s">
        <v>25</v>
      </c>
      <c r="J47" s="85">
        <v>113.43</v>
      </c>
      <c r="K47" s="85">
        <v>218.69</v>
      </c>
      <c r="L47" s="85">
        <v>16.885772217457799</v>
      </c>
      <c r="M47" s="85">
        <v>0.66131436178692904</v>
      </c>
      <c r="N47" s="85">
        <v>0.69317387176076595</v>
      </c>
      <c r="O47" s="85">
        <v>0</v>
      </c>
      <c r="P47" s="85">
        <v>0</v>
      </c>
      <c r="Q47" s="85">
        <v>41.971221250946797</v>
      </c>
      <c r="R47" s="85">
        <v>18.494598327475501</v>
      </c>
      <c r="S47" s="85">
        <v>0</v>
      </c>
      <c r="T47" s="85">
        <v>0</v>
      </c>
      <c r="U47" s="85">
        <v>0</v>
      </c>
      <c r="V47" s="85">
        <v>0</v>
      </c>
      <c r="W47" s="85">
        <v>0</v>
      </c>
      <c r="X47" s="85">
        <v>0</v>
      </c>
      <c r="Y47" s="85">
        <v>0</v>
      </c>
      <c r="Z47" s="85">
        <v>0</v>
      </c>
      <c r="AA47" s="85">
        <v>0</v>
      </c>
      <c r="AB47" s="85">
        <v>-9.4494822089407897</v>
      </c>
      <c r="AC47" s="85">
        <v>0</v>
      </c>
      <c r="AD47" s="85">
        <v>0</v>
      </c>
      <c r="AE47" s="85">
        <v>15.2150261992804</v>
      </c>
      <c r="AF47" s="85">
        <v>0.70352861104792297</v>
      </c>
      <c r="AG47" s="85">
        <v>20.688686871862899</v>
      </c>
      <c r="AH47" s="85">
        <v>7.5673734236056198</v>
      </c>
      <c r="AI47" s="85">
        <v>4.5650250114514099</v>
      </c>
      <c r="AJ47" s="85">
        <v>-16.0356557284336</v>
      </c>
      <c r="AK47" s="85">
        <v>2.3157120820153598</v>
      </c>
      <c r="AL47" s="85">
        <v>23.8100619677761</v>
      </c>
      <c r="AM47" s="85">
        <v>0</v>
      </c>
      <c r="AN47" s="85">
        <v>217.432135015836</v>
      </c>
      <c r="AO47" s="85">
        <v>0</v>
      </c>
      <c r="AP47" s="85">
        <v>0</v>
      </c>
      <c r="AQ47" s="85">
        <v>0</v>
      </c>
      <c r="AR47" s="85">
        <v>-18.741293404329699</v>
      </c>
      <c r="AS47" s="85">
        <v>0</v>
      </c>
      <c r="AT47" s="86">
        <v>5.3394429151812304</v>
      </c>
    </row>
    <row r="48" spans="2:46" ht="12" customHeight="1" x14ac:dyDescent="0.25">
      <c r="B48" s="84" t="s">
        <v>95</v>
      </c>
      <c r="C48" s="85" t="s">
        <v>91</v>
      </c>
      <c r="D48" s="85" t="s">
        <v>25</v>
      </c>
      <c r="E48" s="85" t="s">
        <v>25</v>
      </c>
      <c r="F48" s="85" t="s">
        <v>96</v>
      </c>
      <c r="G48" s="85" t="s">
        <v>25</v>
      </c>
      <c r="H48" s="85" t="s">
        <v>85</v>
      </c>
      <c r="I48" s="85" t="s">
        <v>25</v>
      </c>
      <c r="J48" s="85">
        <v>14.07</v>
      </c>
      <c r="K48" s="85">
        <v>0</v>
      </c>
      <c r="L48" s="85">
        <v>0</v>
      </c>
      <c r="M48" s="85">
        <v>5.1128085866159599E-2</v>
      </c>
      <c r="N48" s="85">
        <v>0.14674934357570199</v>
      </c>
      <c r="O48" s="85">
        <v>0</v>
      </c>
      <c r="P48" s="85">
        <v>0</v>
      </c>
      <c r="Q48" s="85">
        <v>0</v>
      </c>
      <c r="R48" s="85">
        <v>0</v>
      </c>
      <c r="S48" s="85">
        <v>0</v>
      </c>
      <c r="T48" s="85">
        <v>0</v>
      </c>
      <c r="U48" s="85">
        <v>0</v>
      </c>
      <c r="V48" s="85">
        <v>0</v>
      </c>
      <c r="W48" s="85">
        <v>0</v>
      </c>
      <c r="X48" s="85">
        <v>0</v>
      </c>
      <c r="Y48" s="85">
        <v>0</v>
      </c>
      <c r="Z48" s="85">
        <v>0</v>
      </c>
      <c r="AA48" s="85">
        <v>15.2639982363219</v>
      </c>
      <c r="AB48" s="85">
        <v>-1.38792629554586</v>
      </c>
      <c r="AC48" s="85">
        <v>0</v>
      </c>
      <c r="AD48" s="85">
        <v>0</v>
      </c>
      <c r="AE48" s="85">
        <v>0</v>
      </c>
      <c r="AF48" s="85">
        <v>0</v>
      </c>
      <c r="AG48" s="85">
        <v>0</v>
      </c>
      <c r="AH48" s="85">
        <v>0</v>
      </c>
      <c r="AI48" s="85">
        <v>0</v>
      </c>
      <c r="AJ48" s="85">
        <v>0</v>
      </c>
      <c r="AK48" s="85">
        <v>0</v>
      </c>
      <c r="AL48" s="85">
        <v>0</v>
      </c>
      <c r="AM48" s="85">
        <v>0</v>
      </c>
      <c r="AN48" s="85">
        <v>0</v>
      </c>
      <c r="AO48" s="85">
        <v>0</v>
      </c>
      <c r="AP48" s="85">
        <v>0</v>
      </c>
      <c r="AQ48" s="85">
        <v>0</v>
      </c>
      <c r="AR48" s="85">
        <v>0</v>
      </c>
      <c r="AS48" s="85">
        <v>0</v>
      </c>
      <c r="AT48" s="86">
        <v>0</v>
      </c>
    </row>
    <row r="49" spans="2:46" ht="12" customHeight="1" x14ac:dyDescent="0.25">
      <c r="B49" s="84" t="s">
        <v>95</v>
      </c>
      <c r="C49" s="85" t="s">
        <v>91</v>
      </c>
      <c r="D49" s="85" t="s">
        <v>25</v>
      </c>
      <c r="E49" s="85" t="s">
        <v>25</v>
      </c>
      <c r="F49" s="85" t="s">
        <v>97</v>
      </c>
      <c r="G49" s="85" t="s">
        <v>25</v>
      </c>
      <c r="H49" s="85" t="s">
        <v>85</v>
      </c>
      <c r="I49" s="85" t="s">
        <v>25</v>
      </c>
      <c r="J49" s="85">
        <v>31.29</v>
      </c>
      <c r="K49" s="85">
        <v>0</v>
      </c>
      <c r="L49" s="85">
        <v>0</v>
      </c>
      <c r="M49" s="85">
        <v>5.1128085866159599E-2</v>
      </c>
      <c r="N49" s="85">
        <v>0.14674934357570199</v>
      </c>
      <c r="O49" s="85">
        <v>0</v>
      </c>
      <c r="P49" s="85">
        <v>0</v>
      </c>
      <c r="Q49" s="85">
        <v>0</v>
      </c>
      <c r="R49" s="85">
        <v>0</v>
      </c>
      <c r="S49" s="85">
        <v>0</v>
      </c>
      <c r="T49" s="85">
        <v>0</v>
      </c>
      <c r="U49" s="85">
        <v>0</v>
      </c>
      <c r="V49" s="85">
        <v>0</v>
      </c>
      <c r="W49" s="85">
        <v>0</v>
      </c>
      <c r="X49" s="85">
        <v>0</v>
      </c>
      <c r="Y49" s="85">
        <v>0</v>
      </c>
      <c r="Z49" s="85">
        <v>0</v>
      </c>
      <c r="AA49" s="85">
        <v>34.174961961595301</v>
      </c>
      <c r="AB49" s="85">
        <v>-3.0853890294906199</v>
      </c>
      <c r="AC49" s="85">
        <v>0</v>
      </c>
      <c r="AD49" s="85">
        <v>0</v>
      </c>
      <c r="AE49" s="85">
        <v>0</v>
      </c>
      <c r="AF49" s="85">
        <v>0</v>
      </c>
      <c r="AG49" s="85">
        <v>0</v>
      </c>
      <c r="AH49" s="85">
        <v>0</v>
      </c>
      <c r="AI49" s="85">
        <v>0</v>
      </c>
      <c r="AJ49" s="85">
        <v>0</v>
      </c>
      <c r="AK49" s="85">
        <v>0</v>
      </c>
      <c r="AL49" s="85">
        <v>0</v>
      </c>
      <c r="AM49" s="85">
        <v>0</v>
      </c>
      <c r="AN49" s="85">
        <v>0</v>
      </c>
      <c r="AO49" s="85">
        <v>0</v>
      </c>
      <c r="AP49" s="85">
        <v>0</v>
      </c>
      <c r="AQ49" s="85">
        <v>0</v>
      </c>
      <c r="AR49" s="85">
        <v>0</v>
      </c>
      <c r="AS49" s="85">
        <v>0</v>
      </c>
      <c r="AT49" s="86">
        <v>0</v>
      </c>
    </row>
    <row r="50" spans="2:46" ht="12" customHeight="1" x14ac:dyDescent="0.25">
      <c r="B50" s="84" t="s">
        <v>22</v>
      </c>
      <c r="C50" s="85" t="s">
        <v>35</v>
      </c>
      <c r="D50" s="85" t="s">
        <v>24</v>
      </c>
      <c r="E50" s="85" t="s">
        <v>24</v>
      </c>
      <c r="F50" s="85" t="s">
        <v>25</v>
      </c>
      <c r="G50" s="85" t="s">
        <v>36</v>
      </c>
      <c r="H50" s="85" t="s">
        <v>82</v>
      </c>
      <c r="I50" s="85" t="s">
        <v>25</v>
      </c>
      <c r="J50" s="85">
        <v>1248.79</v>
      </c>
      <c r="K50" s="85">
        <v>362.64</v>
      </c>
      <c r="L50" s="85">
        <v>20.102109782687801</v>
      </c>
      <c r="M50" s="85">
        <v>1.2331683466057199</v>
      </c>
      <c r="N50" s="85">
        <v>12.278474828677799</v>
      </c>
      <c r="O50" s="85">
        <v>0</v>
      </c>
      <c r="P50" s="85">
        <v>0</v>
      </c>
      <c r="Q50" s="85">
        <v>49.965739584460501</v>
      </c>
      <c r="R50" s="85">
        <v>18.494598327475501</v>
      </c>
      <c r="S50" s="85">
        <v>0</v>
      </c>
      <c r="T50" s="85">
        <v>52.267581099161397</v>
      </c>
      <c r="U50" s="85">
        <v>57.098750944086397</v>
      </c>
      <c r="V50" s="85">
        <v>4.9147396346688996</v>
      </c>
      <c r="W50" s="85">
        <v>0</v>
      </c>
      <c r="X50" s="85">
        <v>0</v>
      </c>
      <c r="Y50" s="85">
        <v>0</v>
      </c>
      <c r="Z50" s="85">
        <v>0</v>
      </c>
      <c r="AA50" s="85">
        <v>1074.6736779466801</v>
      </c>
      <c r="AB50" s="85">
        <v>-119.306079212618</v>
      </c>
      <c r="AC50" s="85">
        <v>0</v>
      </c>
      <c r="AD50" s="85">
        <v>0</v>
      </c>
      <c r="AE50" s="85">
        <v>32.576909697124897</v>
      </c>
      <c r="AF50" s="85">
        <v>1.50632589988809</v>
      </c>
      <c r="AG50" s="85">
        <v>31.4711183249421</v>
      </c>
      <c r="AH50" s="85">
        <v>11.511301123089201</v>
      </c>
      <c r="AI50" s="85">
        <v>4.5650250114514099</v>
      </c>
      <c r="AJ50" s="85">
        <v>-16.0356557284336</v>
      </c>
      <c r="AK50" s="85">
        <v>2.3157120820153598</v>
      </c>
      <c r="AL50" s="85">
        <v>23.8100619677761</v>
      </c>
      <c r="AM50" s="85">
        <v>0</v>
      </c>
      <c r="AN50" s="85">
        <v>373.98327222723702</v>
      </c>
      <c r="AO50" s="85">
        <v>0</v>
      </c>
      <c r="AP50" s="85">
        <v>0</v>
      </c>
      <c r="AQ50" s="85">
        <v>0</v>
      </c>
      <c r="AR50" s="85">
        <v>-31.3338716426871</v>
      </c>
      <c r="AS50" s="85">
        <v>0</v>
      </c>
      <c r="AT50" s="86">
        <v>5.3394429151812304</v>
      </c>
    </row>
    <row r="51" spans="2:46" ht="12" customHeight="1" x14ac:dyDescent="0.25">
      <c r="B51" s="84" t="s">
        <v>22</v>
      </c>
      <c r="C51" s="85" t="s">
        <v>35</v>
      </c>
      <c r="D51" s="85" t="s">
        <v>24</v>
      </c>
      <c r="E51" s="85" t="s">
        <v>24</v>
      </c>
      <c r="F51" s="85" t="s">
        <v>25</v>
      </c>
      <c r="G51" s="85" t="s">
        <v>38</v>
      </c>
      <c r="H51" s="85" t="s">
        <v>82</v>
      </c>
      <c r="I51" s="85" t="s">
        <v>25</v>
      </c>
      <c r="J51" s="85">
        <v>811.26</v>
      </c>
      <c r="K51" s="85">
        <v>218.69</v>
      </c>
      <c r="L51" s="85">
        <v>20.102109782687801</v>
      </c>
      <c r="M51" s="85">
        <v>1.2331683466057199</v>
      </c>
      <c r="N51" s="85">
        <v>7.8467766008894699</v>
      </c>
      <c r="O51" s="85">
        <v>0</v>
      </c>
      <c r="P51" s="85">
        <v>0</v>
      </c>
      <c r="Q51" s="85">
        <v>49.965739584460501</v>
      </c>
      <c r="R51" s="85">
        <v>18.494598327475501</v>
      </c>
      <c r="S51" s="85">
        <v>0</v>
      </c>
      <c r="T51" s="85">
        <v>31.360548659496899</v>
      </c>
      <c r="U51" s="85">
        <v>34.259290687415302</v>
      </c>
      <c r="V51" s="85">
        <v>2.9488119310208099</v>
      </c>
      <c r="W51" s="85">
        <v>0</v>
      </c>
      <c r="X51" s="85">
        <v>0</v>
      </c>
      <c r="Y51" s="85">
        <v>0</v>
      </c>
      <c r="Z51" s="85">
        <v>0</v>
      </c>
      <c r="AA51" s="85">
        <v>644.80427867190201</v>
      </c>
      <c r="AB51" s="85">
        <v>-76.816539364916494</v>
      </c>
      <c r="AC51" s="85">
        <v>0</v>
      </c>
      <c r="AD51" s="85">
        <v>0</v>
      </c>
      <c r="AE51" s="85">
        <v>32.576909697124897</v>
      </c>
      <c r="AF51" s="85">
        <v>1.50632589988809</v>
      </c>
      <c r="AG51" s="85">
        <v>31.4711183249421</v>
      </c>
      <c r="AH51" s="85">
        <v>11.511301123089201</v>
      </c>
      <c r="AI51" s="85">
        <v>4.5650250114514099</v>
      </c>
      <c r="AJ51" s="85">
        <v>-16.0356557284336</v>
      </c>
      <c r="AK51" s="85">
        <v>2.3157120820153598</v>
      </c>
      <c r="AL51" s="85">
        <v>23.8100619677761</v>
      </c>
      <c r="AM51" s="85">
        <v>0</v>
      </c>
      <c r="AN51" s="85">
        <v>217.432135015836</v>
      </c>
      <c r="AO51" s="85">
        <v>0</v>
      </c>
      <c r="AP51" s="85">
        <v>0</v>
      </c>
      <c r="AQ51" s="85">
        <v>0</v>
      </c>
      <c r="AR51" s="85">
        <v>-18.741293404329699</v>
      </c>
      <c r="AS51" s="85">
        <v>0</v>
      </c>
      <c r="AT51" s="86">
        <v>5.3394429151812304</v>
      </c>
    </row>
    <row r="52" spans="2:46" ht="12" customHeight="1" x14ac:dyDescent="0.25">
      <c r="B52" s="84" t="s">
        <v>22</v>
      </c>
      <c r="C52" s="85" t="s">
        <v>35</v>
      </c>
      <c r="D52" s="85" t="s">
        <v>24</v>
      </c>
      <c r="E52" s="85" t="s">
        <v>24</v>
      </c>
      <c r="F52" s="85" t="s">
        <v>25</v>
      </c>
      <c r="G52" s="85" t="s">
        <v>37</v>
      </c>
      <c r="H52" s="85" t="s">
        <v>82</v>
      </c>
      <c r="I52" s="85" t="s">
        <v>25</v>
      </c>
      <c r="J52" s="85">
        <v>373.74</v>
      </c>
      <c r="K52" s="85">
        <v>218.69</v>
      </c>
      <c r="L52" s="85">
        <v>20.102109782687801</v>
      </c>
      <c r="M52" s="85">
        <v>1.2331683466057199</v>
      </c>
      <c r="N52" s="85">
        <v>3.41507722572553</v>
      </c>
      <c r="O52" s="85">
        <v>0</v>
      </c>
      <c r="P52" s="85">
        <v>0</v>
      </c>
      <c r="Q52" s="85">
        <v>49.965739584460501</v>
      </c>
      <c r="R52" s="85">
        <v>18.494598327475501</v>
      </c>
      <c r="S52" s="85">
        <v>0</v>
      </c>
      <c r="T52" s="85">
        <v>10.4535162198323</v>
      </c>
      <c r="U52" s="85">
        <v>11.4198304307442</v>
      </c>
      <c r="V52" s="85">
        <v>0.98288422737270698</v>
      </c>
      <c r="W52" s="85">
        <v>0</v>
      </c>
      <c r="X52" s="85">
        <v>0</v>
      </c>
      <c r="Y52" s="85">
        <v>0</v>
      </c>
      <c r="Z52" s="85">
        <v>0</v>
      </c>
      <c r="AA52" s="85">
        <v>214.93475955730099</v>
      </c>
      <c r="AB52" s="85">
        <v>-34.326988657457697</v>
      </c>
      <c r="AC52" s="85">
        <v>0</v>
      </c>
      <c r="AD52" s="85">
        <v>0</v>
      </c>
      <c r="AE52" s="85">
        <v>32.576909697124897</v>
      </c>
      <c r="AF52" s="85">
        <v>1.50632589988809</v>
      </c>
      <c r="AG52" s="85">
        <v>31.4711183249421</v>
      </c>
      <c r="AH52" s="85">
        <v>11.511301123089201</v>
      </c>
      <c r="AI52" s="85">
        <v>4.5650250114514099</v>
      </c>
      <c r="AJ52" s="85">
        <v>-16.0356557284336</v>
      </c>
      <c r="AK52" s="85">
        <v>2.3157120820153598</v>
      </c>
      <c r="AL52" s="85">
        <v>23.8100619677761</v>
      </c>
      <c r="AM52" s="85">
        <v>0</v>
      </c>
      <c r="AN52" s="85">
        <v>217.432135015836</v>
      </c>
      <c r="AO52" s="85">
        <v>0</v>
      </c>
      <c r="AP52" s="85">
        <v>0</v>
      </c>
      <c r="AQ52" s="85">
        <v>0</v>
      </c>
      <c r="AR52" s="85">
        <v>-18.741293404329699</v>
      </c>
      <c r="AS52" s="85">
        <v>0</v>
      </c>
      <c r="AT52" s="86">
        <v>5.3394429151812304</v>
      </c>
    </row>
    <row r="53" spans="2:46" ht="12" customHeight="1" x14ac:dyDescent="0.25">
      <c r="B53" s="84" t="s">
        <v>22</v>
      </c>
      <c r="C53" s="85" t="s">
        <v>23</v>
      </c>
      <c r="D53" s="85" t="s">
        <v>24</v>
      </c>
      <c r="E53" s="85" t="s">
        <v>1511</v>
      </c>
      <c r="F53" s="85" t="s">
        <v>25</v>
      </c>
      <c r="G53" s="85" t="s">
        <v>25</v>
      </c>
      <c r="H53" s="85" t="s">
        <v>82</v>
      </c>
      <c r="I53" s="85" t="s">
        <v>25</v>
      </c>
      <c r="J53" s="85">
        <v>420.17</v>
      </c>
      <c r="K53" s="85">
        <v>230.68</v>
      </c>
      <c r="L53" s="85">
        <v>0</v>
      </c>
      <c r="M53" s="85">
        <v>1.2331683466057199</v>
      </c>
      <c r="N53" s="85">
        <v>4.7049764187407401</v>
      </c>
      <c r="O53" s="85">
        <v>0</v>
      </c>
      <c r="P53" s="85">
        <v>0</v>
      </c>
      <c r="Q53" s="85">
        <v>0</v>
      </c>
      <c r="R53" s="85">
        <v>0</v>
      </c>
      <c r="S53" s="85">
        <v>0</v>
      </c>
      <c r="T53" s="85">
        <v>16.592927363428402</v>
      </c>
      <c r="U53" s="85">
        <v>18.126651285366201</v>
      </c>
      <c r="V53" s="85">
        <v>1.56032074850904</v>
      </c>
      <c r="W53" s="85">
        <v>0</v>
      </c>
      <c r="X53" s="85">
        <v>0</v>
      </c>
      <c r="Y53" s="85">
        <v>0</v>
      </c>
      <c r="Z53" s="85">
        <v>0</v>
      </c>
      <c r="AA53" s="85">
        <v>341.16623935832303</v>
      </c>
      <c r="AB53" s="85">
        <v>-40.275996537304998</v>
      </c>
      <c r="AC53" s="85">
        <v>0</v>
      </c>
      <c r="AD53" s="85">
        <v>0</v>
      </c>
      <c r="AE53" s="85">
        <v>32.576909697124897</v>
      </c>
      <c r="AF53" s="85">
        <v>1.50632589988809</v>
      </c>
      <c r="AG53" s="85">
        <v>31.4711183249421</v>
      </c>
      <c r="AH53" s="85">
        <v>11.511301123089201</v>
      </c>
      <c r="AI53" s="85">
        <v>4.5650250114514099</v>
      </c>
      <c r="AJ53" s="85">
        <v>-16.0356557284336</v>
      </c>
      <c r="AK53" s="85">
        <v>2.3157120820153598</v>
      </c>
      <c r="AL53" s="85">
        <v>23.8100619677761</v>
      </c>
      <c r="AM53" s="85">
        <v>0</v>
      </c>
      <c r="AN53" s="85">
        <v>230.47806311678599</v>
      </c>
      <c r="AO53" s="85">
        <v>0</v>
      </c>
      <c r="AP53" s="85">
        <v>0</v>
      </c>
      <c r="AQ53" s="85">
        <v>0</v>
      </c>
      <c r="AR53" s="85">
        <v>-19.790674924192899</v>
      </c>
      <c r="AS53" s="85">
        <v>0</v>
      </c>
      <c r="AT53" s="86">
        <v>5.3394429151812304</v>
      </c>
    </row>
    <row r="54" spans="2:46" ht="12" customHeight="1" x14ac:dyDescent="0.25">
      <c r="B54" s="84" t="s">
        <v>22</v>
      </c>
      <c r="C54" s="85" t="s">
        <v>23</v>
      </c>
      <c r="D54" s="85" t="s">
        <v>24</v>
      </c>
      <c r="E54" s="85" t="s">
        <v>24</v>
      </c>
      <c r="F54" s="85" t="s">
        <v>25</v>
      </c>
      <c r="G54" s="85" t="s">
        <v>25</v>
      </c>
      <c r="H54" s="85" t="s">
        <v>82</v>
      </c>
      <c r="I54" s="85" t="s">
        <v>25</v>
      </c>
      <c r="J54" s="85">
        <v>502.22</v>
      </c>
      <c r="K54" s="85">
        <v>230.68</v>
      </c>
      <c r="L54" s="85">
        <v>20.102109782687801</v>
      </c>
      <c r="M54" s="85">
        <v>1.2331683466057199</v>
      </c>
      <c r="N54" s="85">
        <v>4.7164501750797303</v>
      </c>
      <c r="O54" s="85">
        <v>0</v>
      </c>
      <c r="P54" s="85">
        <v>0</v>
      </c>
      <c r="Q54" s="85">
        <v>49.965739584460501</v>
      </c>
      <c r="R54" s="85">
        <v>18.494598327475501</v>
      </c>
      <c r="S54" s="85">
        <v>0</v>
      </c>
      <c r="T54" s="85">
        <v>16.592927363428402</v>
      </c>
      <c r="U54" s="85">
        <v>18.126651285366201</v>
      </c>
      <c r="V54" s="85">
        <v>1.56032074850904</v>
      </c>
      <c r="W54" s="85">
        <v>0</v>
      </c>
      <c r="X54" s="85">
        <v>0</v>
      </c>
      <c r="Y54" s="85">
        <v>0</v>
      </c>
      <c r="Z54" s="85">
        <v>0</v>
      </c>
      <c r="AA54" s="85">
        <v>341.16623935832303</v>
      </c>
      <c r="AB54" s="85">
        <v>-46.804090771278901</v>
      </c>
      <c r="AC54" s="85">
        <v>0</v>
      </c>
      <c r="AD54" s="85">
        <v>0</v>
      </c>
      <c r="AE54" s="85">
        <v>32.576909697124897</v>
      </c>
      <c r="AF54" s="85">
        <v>1.50632589988809</v>
      </c>
      <c r="AG54" s="85">
        <v>31.4711183249421</v>
      </c>
      <c r="AH54" s="85">
        <v>11.511301123089201</v>
      </c>
      <c r="AI54" s="85">
        <v>4.5650250114514099</v>
      </c>
      <c r="AJ54" s="85">
        <v>-16.0356557284336</v>
      </c>
      <c r="AK54" s="85">
        <v>2.3157120820153598</v>
      </c>
      <c r="AL54" s="85">
        <v>23.8100619677761</v>
      </c>
      <c r="AM54" s="85">
        <v>0</v>
      </c>
      <c r="AN54" s="85">
        <v>230.47806311678599</v>
      </c>
      <c r="AO54" s="85">
        <v>0</v>
      </c>
      <c r="AP54" s="85">
        <v>0</v>
      </c>
      <c r="AQ54" s="85">
        <v>0</v>
      </c>
      <c r="AR54" s="85">
        <v>-19.790674924192899</v>
      </c>
      <c r="AS54" s="85">
        <v>0</v>
      </c>
      <c r="AT54" s="86">
        <v>5.3394429151812304</v>
      </c>
    </row>
    <row r="55" spans="2:46" ht="12" customHeight="1" x14ac:dyDescent="0.25">
      <c r="B55" s="84" t="s">
        <v>22</v>
      </c>
      <c r="C55" s="85" t="s">
        <v>100</v>
      </c>
      <c r="D55" s="85" t="s">
        <v>24</v>
      </c>
      <c r="E55" s="85" t="s">
        <v>1511</v>
      </c>
      <c r="F55" s="85" t="s">
        <v>25</v>
      </c>
      <c r="G55" s="85" t="s">
        <v>25</v>
      </c>
      <c r="H55" s="85" t="s">
        <v>82</v>
      </c>
      <c r="I55" s="85" t="s">
        <v>25</v>
      </c>
      <c r="J55" s="85">
        <v>420.17</v>
      </c>
      <c r="K55" s="85">
        <v>230.68</v>
      </c>
      <c r="L55" s="85">
        <v>0</v>
      </c>
      <c r="M55" s="85">
        <v>1.2331683466057199</v>
      </c>
      <c r="N55" s="85">
        <v>4.7049764187407401</v>
      </c>
      <c r="O55" s="85">
        <v>0</v>
      </c>
      <c r="P55" s="85">
        <v>0</v>
      </c>
      <c r="Q55" s="85">
        <v>0</v>
      </c>
      <c r="R55" s="85">
        <v>0</v>
      </c>
      <c r="S55" s="85">
        <v>0</v>
      </c>
      <c r="T55" s="85">
        <v>16.592927363428402</v>
      </c>
      <c r="U55" s="85">
        <v>18.126651285366201</v>
      </c>
      <c r="V55" s="85">
        <v>1.56032074850904</v>
      </c>
      <c r="W55" s="85">
        <v>0</v>
      </c>
      <c r="X55" s="85">
        <v>0</v>
      </c>
      <c r="Y55" s="85">
        <v>0</v>
      </c>
      <c r="Z55" s="85">
        <v>0</v>
      </c>
      <c r="AA55" s="85">
        <v>341.16623935832303</v>
      </c>
      <c r="AB55" s="85">
        <v>-40.275996537304998</v>
      </c>
      <c r="AC55" s="85">
        <v>0</v>
      </c>
      <c r="AD55" s="85">
        <v>0</v>
      </c>
      <c r="AE55" s="85">
        <v>32.576909697124897</v>
      </c>
      <c r="AF55" s="85">
        <v>1.50632589988809</v>
      </c>
      <c r="AG55" s="85">
        <v>31.4711183249421</v>
      </c>
      <c r="AH55" s="85">
        <v>11.511301123089201</v>
      </c>
      <c r="AI55" s="85">
        <v>4.5650250114514099</v>
      </c>
      <c r="AJ55" s="85">
        <v>-16.0356557284336</v>
      </c>
      <c r="AK55" s="85">
        <v>2.3157120820153598</v>
      </c>
      <c r="AL55" s="85">
        <v>23.8100619677761</v>
      </c>
      <c r="AM55" s="85">
        <v>0</v>
      </c>
      <c r="AN55" s="85">
        <v>230.47806311678599</v>
      </c>
      <c r="AO55" s="85">
        <v>0</v>
      </c>
      <c r="AP55" s="85">
        <v>0</v>
      </c>
      <c r="AQ55" s="85">
        <v>0</v>
      </c>
      <c r="AR55" s="85">
        <v>-19.790674924192899</v>
      </c>
      <c r="AS55" s="85">
        <v>0</v>
      </c>
      <c r="AT55" s="86">
        <v>5.3394429151812304</v>
      </c>
    </row>
    <row r="56" spans="2:46" ht="12" customHeight="1" x14ac:dyDescent="0.25">
      <c r="B56" s="84" t="s">
        <v>22</v>
      </c>
      <c r="C56" s="85" t="s">
        <v>100</v>
      </c>
      <c r="D56" s="85" t="s">
        <v>24</v>
      </c>
      <c r="E56" s="85" t="s">
        <v>24</v>
      </c>
      <c r="F56" s="85" t="s">
        <v>25</v>
      </c>
      <c r="G56" s="85" t="s">
        <v>25</v>
      </c>
      <c r="H56" s="85" t="s">
        <v>82</v>
      </c>
      <c r="I56" s="85" t="s">
        <v>25</v>
      </c>
      <c r="J56" s="85">
        <v>502.22</v>
      </c>
      <c r="K56" s="85">
        <v>230.68</v>
      </c>
      <c r="L56" s="85">
        <v>20.102109782687801</v>
      </c>
      <c r="M56" s="85">
        <v>1.2331683466057199</v>
      </c>
      <c r="N56" s="85">
        <v>4.7164501750797303</v>
      </c>
      <c r="O56" s="85">
        <v>0</v>
      </c>
      <c r="P56" s="85">
        <v>0</v>
      </c>
      <c r="Q56" s="85">
        <v>49.965739584460501</v>
      </c>
      <c r="R56" s="85">
        <v>18.494598327475501</v>
      </c>
      <c r="S56" s="85">
        <v>0</v>
      </c>
      <c r="T56" s="85">
        <v>16.592927363428402</v>
      </c>
      <c r="U56" s="85">
        <v>18.126651285366201</v>
      </c>
      <c r="V56" s="85">
        <v>1.56032074850904</v>
      </c>
      <c r="W56" s="85">
        <v>0</v>
      </c>
      <c r="X56" s="85">
        <v>0</v>
      </c>
      <c r="Y56" s="85">
        <v>0</v>
      </c>
      <c r="Z56" s="85">
        <v>0</v>
      </c>
      <c r="AA56" s="85">
        <v>341.16623935832303</v>
      </c>
      <c r="AB56" s="85">
        <v>-46.804090771278901</v>
      </c>
      <c r="AC56" s="85">
        <v>0</v>
      </c>
      <c r="AD56" s="85">
        <v>0</v>
      </c>
      <c r="AE56" s="85">
        <v>32.576909697124897</v>
      </c>
      <c r="AF56" s="85">
        <v>1.50632589988809</v>
      </c>
      <c r="AG56" s="85">
        <v>31.4711183249421</v>
      </c>
      <c r="AH56" s="85">
        <v>11.511301123089201</v>
      </c>
      <c r="AI56" s="85">
        <v>4.5650250114514099</v>
      </c>
      <c r="AJ56" s="85">
        <v>-16.0356557284336</v>
      </c>
      <c r="AK56" s="85">
        <v>2.3157120820153598</v>
      </c>
      <c r="AL56" s="85">
        <v>23.8100619677761</v>
      </c>
      <c r="AM56" s="85">
        <v>0</v>
      </c>
      <c r="AN56" s="85">
        <v>230.47806311678599</v>
      </c>
      <c r="AO56" s="85">
        <v>0</v>
      </c>
      <c r="AP56" s="85">
        <v>0</v>
      </c>
      <c r="AQ56" s="85">
        <v>0</v>
      </c>
      <c r="AR56" s="85">
        <v>-19.790674924192899</v>
      </c>
      <c r="AS56" s="85">
        <v>0</v>
      </c>
      <c r="AT56" s="86">
        <v>5.3394429151812304</v>
      </c>
    </row>
    <row r="57" spans="2:46" ht="12" customHeight="1" x14ac:dyDescent="0.25">
      <c r="B57" s="84" t="s">
        <v>46</v>
      </c>
      <c r="C57" s="85" t="s">
        <v>35</v>
      </c>
      <c r="D57" s="85" t="s">
        <v>47</v>
      </c>
      <c r="E57" s="85" t="s">
        <v>101</v>
      </c>
      <c r="F57" s="85" t="s">
        <v>25</v>
      </c>
      <c r="G57" s="85" t="s">
        <v>36</v>
      </c>
      <c r="H57" s="85" t="s">
        <v>82</v>
      </c>
      <c r="I57" s="85" t="s">
        <v>25</v>
      </c>
      <c r="J57" s="85">
        <v>1141.22</v>
      </c>
      <c r="K57" s="85">
        <v>340.89</v>
      </c>
      <c r="L57" s="85">
        <v>18.8959831957266</v>
      </c>
      <c r="M57" s="85">
        <v>1.15917824580937</v>
      </c>
      <c r="N57" s="85">
        <v>11.211147411085101</v>
      </c>
      <c r="O57" s="85">
        <v>0</v>
      </c>
      <c r="P57" s="85">
        <v>0</v>
      </c>
      <c r="Q57" s="85">
        <v>46.967795209392897</v>
      </c>
      <c r="R57" s="85">
        <v>17.384922427827</v>
      </c>
      <c r="S57" s="85">
        <v>0</v>
      </c>
      <c r="T57" s="85">
        <v>47.571791061049503</v>
      </c>
      <c r="U57" s="85">
        <v>51.968920666616803</v>
      </c>
      <c r="V57" s="85">
        <v>4.4731551674352099</v>
      </c>
      <c r="W57" s="85">
        <v>0</v>
      </c>
      <c r="X57" s="85">
        <v>0</v>
      </c>
      <c r="Y57" s="85">
        <v>0</v>
      </c>
      <c r="Z57" s="85">
        <v>0</v>
      </c>
      <c r="AA57" s="85">
        <v>978.12365330008402</v>
      </c>
      <c r="AB57" s="85">
        <v>-108.97785723256101</v>
      </c>
      <c r="AC57" s="85">
        <v>0</v>
      </c>
      <c r="AD57" s="85">
        <v>0</v>
      </c>
      <c r="AE57" s="85">
        <v>30.622295115297401</v>
      </c>
      <c r="AF57" s="85">
        <v>1.4159463458948001</v>
      </c>
      <c r="AG57" s="85">
        <v>29.582851225445602</v>
      </c>
      <c r="AH57" s="85">
        <v>10.8206230557038</v>
      </c>
      <c r="AI57" s="85">
        <v>4.2911235107643204</v>
      </c>
      <c r="AJ57" s="85">
        <v>-15.073516384727601</v>
      </c>
      <c r="AK57" s="85">
        <v>2.17676935709444</v>
      </c>
      <c r="AL57" s="85">
        <v>22.3814582497095</v>
      </c>
      <c r="AM57" s="85">
        <v>0</v>
      </c>
      <c r="AN57" s="85">
        <v>351.54427589360301</v>
      </c>
      <c r="AO57" s="85">
        <v>0</v>
      </c>
      <c r="AP57" s="85">
        <v>0</v>
      </c>
      <c r="AQ57" s="85">
        <v>0</v>
      </c>
      <c r="AR57" s="85">
        <v>-29.4538393441259</v>
      </c>
      <c r="AS57" s="85">
        <v>0</v>
      </c>
      <c r="AT57" s="86">
        <v>5.0190763402703498</v>
      </c>
    </row>
    <row r="58" spans="2:46" ht="12" customHeight="1" x14ac:dyDescent="0.25">
      <c r="B58" s="84" t="s">
        <v>46</v>
      </c>
      <c r="C58" s="85" t="s">
        <v>35</v>
      </c>
      <c r="D58" s="85" t="s">
        <v>47</v>
      </c>
      <c r="E58" s="85" t="s">
        <v>101</v>
      </c>
      <c r="F58" s="85" t="s">
        <v>25</v>
      </c>
      <c r="G58" s="85" t="s">
        <v>38</v>
      </c>
      <c r="H58" s="85" t="s">
        <v>82</v>
      </c>
      <c r="I58" s="85" t="s">
        <v>25</v>
      </c>
      <c r="J58" s="85">
        <v>743</v>
      </c>
      <c r="K58" s="85">
        <v>205.56</v>
      </c>
      <c r="L58" s="85">
        <v>18.8959831957266</v>
      </c>
      <c r="M58" s="85">
        <v>1.15917824580937</v>
      </c>
      <c r="N58" s="85">
        <v>7.1775975695798104</v>
      </c>
      <c r="O58" s="85">
        <v>0</v>
      </c>
      <c r="P58" s="85">
        <v>0</v>
      </c>
      <c r="Q58" s="85">
        <v>46.967795209392897</v>
      </c>
      <c r="R58" s="85">
        <v>17.384922427827</v>
      </c>
      <c r="S58" s="85">
        <v>0</v>
      </c>
      <c r="T58" s="85">
        <v>28.543127312589601</v>
      </c>
      <c r="U58" s="85">
        <v>31.1813146862644</v>
      </c>
      <c r="V58" s="85">
        <v>2.68386316166742</v>
      </c>
      <c r="W58" s="85">
        <v>0</v>
      </c>
      <c r="X58" s="85">
        <v>0</v>
      </c>
      <c r="Y58" s="85">
        <v>0</v>
      </c>
      <c r="Z58" s="85">
        <v>0</v>
      </c>
      <c r="AA58" s="85">
        <v>586.87414692027698</v>
      </c>
      <c r="AB58" s="85">
        <v>-70.305620742260103</v>
      </c>
      <c r="AC58" s="85">
        <v>0</v>
      </c>
      <c r="AD58" s="85">
        <v>0</v>
      </c>
      <c r="AE58" s="85">
        <v>30.622295115297401</v>
      </c>
      <c r="AF58" s="85">
        <v>1.4159463458948001</v>
      </c>
      <c r="AG58" s="85">
        <v>29.582851225445602</v>
      </c>
      <c r="AH58" s="85">
        <v>10.8206230557038</v>
      </c>
      <c r="AI58" s="85">
        <v>4.2911235107643204</v>
      </c>
      <c r="AJ58" s="85">
        <v>-15.073516384727601</v>
      </c>
      <c r="AK58" s="85">
        <v>2.17676935709444</v>
      </c>
      <c r="AL58" s="85">
        <v>22.3814582497095</v>
      </c>
      <c r="AM58" s="85">
        <v>0</v>
      </c>
      <c r="AN58" s="85">
        <v>204.386206914886</v>
      </c>
      <c r="AO58" s="85">
        <v>0</v>
      </c>
      <c r="AP58" s="85">
        <v>0</v>
      </c>
      <c r="AQ58" s="85">
        <v>0</v>
      </c>
      <c r="AR58" s="85">
        <v>-17.61681580007</v>
      </c>
      <c r="AS58" s="85">
        <v>0</v>
      </c>
      <c r="AT58" s="86">
        <v>5.0190763402703498</v>
      </c>
    </row>
    <row r="59" spans="2:46" ht="12" customHeight="1" x14ac:dyDescent="0.25">
      <c r="B59" s="84" t="s">
        <v>46</v>
      </c>
      <c r="C59" s="85" t="s">
        <v>35</v>
      </c>
      <c r="D59" s="85" t="s">
        <v>47</v>
      </c>
      <c r="E59" s="85" t="s">
        <v>101</v>
      </c>
      <c r="F59" s="85" t="s">
        <v>25</v>
      </c>
      <c r="G59" s="85" t="s">
        <v>37</v>
      </c>
      <c r="H59" s="85" t="s">
        <v>82</v>
      </c>
      <c r="I59" s="85" t="s">
        <v>25</v>
      </c>
      <c r="J59" s="85">
        <v>344.79</v>
      </c>
      <c r="K59" s="85">
        <v>205.56</v>
      </c>
      <c r="L59" s="85">
        <v>18.8959831957266</v>
      </c>
      <c r="M59" s="85">
        <v>1.15917824580937</v>
      </c>
      <c r="N59" s="85">
        <v>3.1440477280745101</v>
      </c>
      <c r="O59" s="85">
        <v>0</v>
      </c>
      <c r="P59" s="85">
        <v>0</v>
      </c>
      <c r="Q59" s="85">
        <v>46.967795209392897</v>
      </c>
      <c r="R59" s="85">
        <v>17.384922427827</v>
      </c>
      <c r="S59" s="85">
        <v>0</v>
      </c>
      <c r="T59" s="85">
        <v>9.5143318742299599</v>
      </c>
      <c r="U59" s="85">
        <v>10.3937087059121</v>
      </c>
      <c r="V59" s="85">
        <v>0.89457115589963299</v>
      </c>
      <c r="W59" s="85">
        <v>0</v>
      </c>
      <c r="X59" s="85">
        <v>0</v>
      </c>
      <c r="Y59" s="85">
        <v>0</v>
      </c>
      <c r="Z59" s="85">
        <v>0</v>
      </c>
      <c r="AA59" s="85">
        <v>195.624753189903</v>
      </c>
      <c r="AB59" s="85">
        <v>-31.633384331949799</v>
      </c>
      <c r="AC59" s="85">
        <v>0</v>
      </c>
      <c r="AD59" s="85">
        <v>0</v>
      </c>
      <c r="AE59" s="85">
        <v>30.622295115297401</v>
      </c>
      <c r="AF59" s="85">
        <v>1.4159463458948001</v>
      </c>
      <c r="AG59" s="85">
        <v>29.582851225445602</v>
      </c>
      <c r="AH59" s="85">
        <v>10.8206230557038</v>
      </c>
      <c r="AI59" s="85">
        <v>4.2911235107643204</v>
      </c>
      <c r="AJ59" s="85">
        <v>-15.073516384727601</v>
      </c>
      <c r="AK59" s="85">
        <v>2.17676935709444</v>
      </c>
      <c r="AL59" s="85">
        <v>22.3814582497095</v>
      </c>
      <c r="AM59" s="85">
        <v>0</v>
      </c>
      <c r="AN59" s="85">
        <v>204.386206914886</v>
      </c>
      <c r="AO59" s="85">
        <v>0</v>
      </c>
      <c r="AP59" s="85">
        <v>0</v>
      </c>
      <c r="AQ59" s="85">
        <v>0</v>
      </c>
      <c r="AR59" s="85">
        <v>-17.61681580007</v>
      </c>
      <c r="AS59" s="85">
        <v>0</v>
      </c>
      <c r="AT59" s="86">
        <v>5.0190763402703498</v>
      </c>
    </row>
    <row r="60" spans="2:46" ht="12" customHeight="1" x14ac:dyDescent="0.25">
      <c r="B60" s="84" t="s">
        <v>46</v>
      </c>
      <c r="C60" s="85" t="s">
        <v>35</v>
      </c>
      <c r="D60" s="85" t="s">
        <v>47</v>
      </c>
      <c r="E60" s="85" t="s">
        <v>25</v>
      </c>
      <c r="F60" s="85" t="s">
        <v>25</v>
      </c>
      <c r="G60" s="85" t="s">
        <v>36</v>
      </c>
      <c r="H60" s="85" t="s">
        <v>82</v>
      </c>
      <c r="I60" s="85" t="s">
        <v>25</v>
      </c>
      <c r="J60" s="85">
        <v>1141.22</v>
      </c>
      <c r="K60" s="85">
        <v>340.89</v>
      </c>
      <c r="L60" s="85">
        <v>18.8959831957266</v>
      </c>
      <c r="M60" s="85">
        <v>1.15917824580937</v>
      </c>
      <c r="N60" s="85">
        <v>11.211147411085101</v>
      </c>
      <c r="O60" s="85">
        <v>0</v>
      </c>
      <c r="P60" s="85">
        <v>0</v>
      </c>
      <c r="Q60" s="85">
        <v>46.967795209392897</v>
      </c>
      <c r="R60" s="85">
        <v>17.384922427827</v>
      </c>
      <c r="S60" s="85">
        <v>0</v>
      </c>
      <c r="T60" s="85">
        <v>47.571791061049503</v>
      </c>
      <c r="U60" s="85">
        <v>51.968920666616803</v>
      </c>
      <c r="V60" s="85">
        <v>4.4731551674352099</v>
      </c>
      <c r="W60" s="85">
        <v>0</v>
      </c>
      <c r="X60" s="85">
        <v>0</v>
      </c>
      <c r="Y60" s="85">
        <v>0</v>
      </c>
      <c r="Z60" s="85">
        <v>0</v>
      </c>
      <c r="AA60" s="85">
        <v>978.12365330008402</v>
      </c>
      <c r="AB60" s="85">
        <v>-108.97785723256101</v>
      </c>
      <c r="AC60" s="85">
        <v>0</v>
      </c>
      <c r="AD60" s="85">
        <v>0</v>
      </c>
      <c r="AE60" s="85">
        <v>30.622295115297401</v>
      </c>
      <c r="AF60" s="85">
        <v>1.4159463458948001</v>
      </c>
      <c r="AG60" s="85">
        <v>29.582851225445602</v>
      </c>
      <c r="AH60" s="85">
        <v>10.8206230557038</v>
      </c>
      <c r="AI60" s="85">
        <v>4.2911235107643204</v>
      </c>
      <c r="AJ60" s="85">
        <v>-15.073516384727601</v>
      </c>
      <c r="AK60" s="85">
        <v>2.17676935709444</v>
      </c>
      <c r="AL60" s="85">
        <v>22.3814582497095</v>
      </c>
      <c r="AM60" s="85">
        <v>0</v>
      </c>
      <c r="AN60" s="85">
        <v>351.54427589360301</v>
      </c>
      <c r="AO60" s="85">
        <v>0</v>
      </c>
      <c r="AP60" s="85">
        <v>0</v>
      </c>
      <c r="AQ60" s="85">
        <v>0</v>
      </c>
      <c r="AR60" s="85">
        <v>-29.4538393441259</v>
      </c>
      <c r="AS60" s="85">
        <v>0</v>
      </c>
      <c r="AT60" s="86">
        <v>5.0190763402703498</v>
      </c>
    </row>
    <row r="61" spans="2:46" ht="12" customHeight="1" x14ac:dyDescent="0.25">
      <c r="B61" s="84" t="s">
        <v>46</v>
      </c>
      <c r="C61" s="85" t="s">
        <v>35</v>
      </c>
      <c r="D61" s="85" t="s">
        <v>47</v>
      </c>
      <c r="E61" s="85" t="s">
        <v>25</v>
      </c>
      <c r="F61" s="85" t="s">
        <v>25</v>
      </c>
      <c r="G61" s="85" t="s">
        <v>38</v>
      </c>
      <c r="H61" s="85" t="s">
        <v>82</v>
      </c>
      <c r="I61" s="85" t="s">
        <v>25</v>
      </c>
      <c r="J61" s="85">
        <v>743</v>
      </c>
      <c r="K61" s="85">
        <v>205.56</v>
      </c>
      <c r="L61" s="85">
        <v>18.8959831957266</v>
      </c>
      <c r="M61" s="85">
        <v>1.15917824580937</v>
      </c>
      <c r="N61" s="85">
        <v>7.1775975695798104</v>
      </c>
      <c r="O61" s="85">
        <v>0</v>
      </c>
      <c r="P61" s="85">
        <v>0</v>
      </c>
      <c r="Q61" s="85">
        <v>46.967795209392897</v>
      </c>
      <c r="R61" s="85">
        <v>17.384922427827</v>
      </c>
      <c r="S61" s="85">
        <v>0</v>
      </c>
      <c r="T61" s="85">
        <v>28.543127312589601</v>
      </c>
      <c r="U61" s="85">
        <v>31.1813146862644</v>
      </c>
      <c r="V61" s="85">
        <v>2.68386316166742</v>
      </c>
      <c r="W61" s="85">
        <v>0</v>
      </c>
      <c r="X61" s="85">
        <v>0</v>
      </c>
      <c r="Y61" s="85">
        <v>0</v>
      </c>
      <c r="Z61" s="85">
        <v>0</v>
      </c>
      <c r="AA61" s="85">
        <v>586.87414692027698</v>
      </c>
      <c r="AB61" s="85">
        <v>-70.305620742260103</v>
      </c>
      <c r="AC61" s="85">
        <v>0</v>
      </c>
      <c r="AD61" s="85">
        <v>0</v>
      </c>
      <c r="AE61" s="85">
        <v>30.622295115297401</v>
      </c>
      <c r="AF61" s="85">
        <v>1.4159463458948001</v>
      </c>
      <c r="AG61" s="85">
        <v>29.582851225445602</v>
      </c>
      <c r="AH61" s="85">
        <v>10.8206230557038</v>
      </c>
      <c r="AI61" s="85">
        <v>4.2911235107643204</v>
      </c>
      <c r="AJ61" s="85">
        <v>-15.073516384727601</v>
      </c>
      <c r="AK61" s="85">
        <v>2.17676935709444</v>
      </c>
      <c r="AL61" s="85">
        <v>22.3814582497095</v>
      </c>
      <c r="AM61" s="85">
        <v>0</v>
      </c>
      <c r="AN61" s="85">
        <v>204.386206914886</v>
      </c>
      <c r="AO61" s="85">
        <v>0</v>
      </c>
      <c r="AP61" s="85">
        <v>0</v>
      </c>
      <c r="AQ61" s="85">
        <v>0</v>
      </c>
      <c r="AR61" s="85">
        <v>-17.61681580007</v>
      </c>
      <c r="AS61" s="85">
        <v>0</v>
      </c>
      <c r="AT61" s="86">
        <v>5.0190763402703498</v>
      </c>
    </row>
    <row r="62" spans="2:46" ht="12" customHeight="1" x14ac:dyDescent="0.25">
      <c r="B62" s="84" t="s">
        <v>46</v>
      </c>
      <c r="C62" s="85" t="s">
        <v>35</v>
      </c>
      <c r="D62" s="85" t="s">
        <v>47</v>
      </c>
      <c r="E62" s="85" t="s">
        <v>25</v>
      </c>
      <c r="F62" s="85" t="s">
        <v>25</v>
      </c>
      <c r="G62" s="85" t="s">
        <v>37</v>
      </c>
      <c r="H62" s="85" t="s">
        <v>82</v>
      </c>
      <c r="I62" s="85" t="s">
        <v>25</v>
      </c>
      <c r="J62" s="85">
        <v>344.79</v>
      </c>
      <c r="K62" s="85">
        <v>205.56</v>
      </c>
      <c r="L62" s="85">
        <v>18.8959831957266</v>
      </c>
      <c r="M62" s="85">
        <v>1.15917824580937</v>
      </c>
      <c r="N62" s="85">
        <v>3.1440477280745101</v>
      </c>
      <c r="O62" s="85">
        <v>0</v>
      </c>
      <c r="P62" s="85">
        <v>0</v>
      </c>
      <c r="Q62" s="85">
        <v>46.967795209392897</v>
      </c>
      <c r="R62" s="85">
        <v>17.384922427827</v>
      </c>
      <c r="S62" s="85">
        <v>0</v>
      </c>
      <c r="T62" s="85">
        <v>9.5143318742299599</v>
      </c>
      <c r="U62" s="85">
        <v>10.3937087059121</v>
      </c>
      <c r="V62" s="85">
        <v>0.89457115589963299</v>
      </c>
      <c r="W62" s="85">
        <v>0</v>
      </c>
      <c r="X62" s="85">
        <v>0</v>
      </c>
      <c r="Y62" s="85">
        <v>0</v>
      </c>
      <c r="Z62" s="85">
        <v>0</v>
      </c>
      <c r="AA62" s="85">
        <v>195.624753189903</v>
      </c>
      <c r="AB62" s="85">
        <v>-31.633384331949799</v>
      </c>
      <c r="AC62" s="85">
        <v>0</v>
      </c>
      <c r="AD62" s="85">
        <v>0</v>
      </c>
      <c r="AE62" s="85">
        <v>30.622295115297401</v>
      </c>
      <c r="AF62" s="85">
        <v>1.4159463458948001</v>
      </c>
      <c r="AG62" s="85">
        <v>29.582851225445602</v>
      </c>
      <c r="AH62" s="85">
        <v>10.8206230557038</v>
      </c>
      <c r="AI62" s="85">
        <v>4.2911235107643204</v>
      </c>
      <c r="AJ62" s="85">
        <v>-15.073516384727601</v>
      </c>
      <c r="AK62" s="85">
        <v>2.17676935709444</v>
      </c>
      <c r="AL62" s="85">
        <v>22.3814582497095</v>
      </c>
      <c r="AM62" s="85">
        <v>0</v>
      </c>
      <c r="AN62" s="85">
        <v>204.386206914886</v>
      </c>
      <c r="AO62" s="85">
        <v>0</v>
      </c>
      <c r="AP62" s="85">
        <v>0</v>
      </c>
      <c r="AQ62" s="85">
        <v>0</v>
      </c>
      <c r="AR62" s="85">
        <v>-17.61681580007</v>
      </c>
      <c r="AS62" s="85">
        <v>0</v>
      </c>
      <c r="AT62" s="86">
        <v>5.0190763402703498</v>
      </c>
    </row>
    <row r="63" spans="2:46" ht="12" customHeight="1" x14ac:dyDescent="0.25">
      <c r="B63" s="84" t="s">
        <v>46</v>
      </c>
      <c r="C63" s="85" t="s">
        <v>35</v>
      </c>
      <c r="D63" s="85" t="s">
        <v>47</v>
      </c>
      <c r="E63" s="85" t="s">
        <v>102</v>
      </c>
      <c r="F63" s="85" t="s">
        <v>25</v>
      </c>
      <c r="G63" s="85" t="s">
        <v>36</v>
      </c>
      <c r="H63" s="85" t="s">
        <v>82</v>
      </c>
      <c r="I63" s="85" t="s">
        <v>25</v>
      </c>
      <c r="J63" s="85">
        <v>1116.94</v>
      </c>
      <c r="K63" s="85">
        <v>333.63</v>
      </c>
      <c r="L63" s="85">
        <v>18.493941000072802</v>
      </c>
      <c r="M63" s="85">
        <v>1.1345148788772601</v>
      </c>
      <c r="N63" s="85">
        <v>10.9726123597854</v>
      </c>
      <c r="O63" s="85">
        <v>0</v>
      </c>
      <c r="P63" s="85">
        <v>0</v>
      </c>
      <c r="Q63" s="85">
        <v>45.968480417703702</v>
      </c>
      <c r="R63" s="85">
        <v>17.015030461277501</v>
      </c>
      <c r="S63" s="85">
        <v>0</v>
      </c>
      <c r="T63" s="85">
        <v>46.559625293793097</v>
      </c>
      <c r="U63" s="85">
        <v>50.863198950305801</v>
      </c>
      <c r="V63" s="85">
        <v>4.3779816532344702</v>
      </c>
      <c r="W63" s="85">
        <v>0</v>
      </c>
      <c r="X63" s="85">
        <v>0</v>
      </c>
      <c r="Y63" s="85">
        <v>0</v>
      </c>
      <c r="Z63" s="85">
        <v>0</v>
      </c>
      <c r="AA63" s="85">
        <v>957.31251174050794</v>
      </c>
      <c r="AB63" s="85">
        <v>-106.659179419102</v>
      </c>
      <c r="AC63" s="85">
        <v>0</v>
      </c>
      <c r="AD63" s="85">
        <v>0</v>
      </c>
      <c r="AE63" s="85">
        <v>29.970756921354901</v>
      </c>
      <c r="AF63" s="85">
        <v>1.3858198278970399</v>
      </c>
      <c r="AG63" s="85">
        <v>28.953428858946801</v>
      </c>
      <c r="AH63" s="85">
        <v>10.590397033242001</v>
      </c>
      <c r="AI63" s="85">
        <v>4.1998230105352903</v>
      </c>
      <c r="AJ63" s="85">
        <v>-14.7528032701589</v>
      </c>
      <c r="AK63" s="85">
        <v>2.1304551154541298</v>
      </c>
      <c r="AL63" s="85">
        <v>21.905257010353999</v>
      </c>
      <c r="AM63" s="85">
        <v>0</v>
      </c>
      <c r="AN63" s="85">
        <v>344.06461044905802</v>
      </c>
      <c r="AO63" s="85">
        <v>0</v>
      </c>
      <c r="AP63" s="85">
        <v>0</v>
      </c>
      <c r="AQ63" s="85">
        <v>0</v>
      </c>
      <c r="AR63" s="85">
        <v>-28.8271619112721</v>
      </c>
      <c r="AS63" s="85">
        <v>0</v>
      </c>
      <c r="AT63" s="86">
        <v>4.9122874819667297</v>
      </c>
    </row>
    <row r="64" spans="2:46" ht="12" customHeight="1" x14ac:dyDescent="0.25">
      <c r="B64" s="84" t="s">
        <v>46</v>
      </c>
      <c r="C64" s="85" t="s">
        <v>35</v>
      </c>
      <c r="D64" s="85" t="s">
        <v>47</v>
      </c>
      <c r="E64" s="85" t="s">
        <v>102</v>
      </c>
      <c r="F64" s="85" t="s">
        <v>25</v>
      </c>
      <c r="G64" s="85" t="s">
        <v>38</v>
      </c>
      <c r="H64" s="85" t="s">
        <v>82</v>
      </c>
      <c r="I64" s="85" t="s">
        <v>25</v>
      </c>
      <c r="J64" s="85">
        <v>727.2</v>
      </c>
      <c r="K64" s="85">
        <v>201.19</v>
      </c>
      <c r="L64" s="85">
        <v>18.493941000072802</v>
      </c>
      <c r="M64" s="85">
        <v>1.1345148788772601</v>
      </c>
      <c r="N64" s="85">
        <v>7.0248827276738597</v>
      </c>
      <c r="O64" s="85">
        <v>0</v>
      </c>
      <c r="P64" s="85">
        <v>0</v>
      </c>
      <c r="Q64" s="85">
        <v>45.968480417703702</v>
      </c>
      <c r="R64" s="85">
        <v>17.015030461277501</v>
      </c>
      <c r="S64" s="85">
        <v>0</v>
      </c>
      <c r="T64" s="85">
        <v>27.935826731470701</v>
      </c>
      <c r="U64" s="85">
        <v>30.517882458897098</v>
      </c>
      <c r="V64" s="85">
        <v>2.62675969014259</v>
      </c>
      <c r="W64" s="85">
        <v>0</v>
      </c>
      <c r="X64" s="85">
        <v>0</v>
      </c>
      <c r="Y64" s="85">
        <v>0</v>
      </c>
      <c r="Z64" s="85">
        <v>0</v>
      </c>
      <c r="AA64" s="85">
        <v>574.38746294324994</v>
      </c>
      <c r="AB64" s="85">
        <v>-68.809756471148205</v>
      </c>
      <c r="AC64" s="85">
        <v>0</v>
      </c>
      <c r="AD64" s="85">
        <v>0</v>
      </c>
      <c r="AE64" s="85">
        <v>29.970756921354901</v>
      </c>
      <c r="AF64" s="85">
        <v>1.3858198278970399</v>
      </c>
      <c r="AG64" s="85">
        <v>28.953428858946801</v>
      </c>
      <c r="AH64" s="85">
        <v>10.590397033242001</v>
      </c>
      <c r="AI64" s="85">
        <v>4.1998230105352903</v>
      </c>
      <c r="AJ64" s="85">
        <v>-14.7528032701589</v>
      </c>
      <c r="AK64" s="85">
        <v>2.1304551154541298</v>
      </c>
      <c r="AL64" s="85">
        <v>21.905257010353999</v>
      </c>
      <c r="AM64" s="85">
        <v>0</v>
      </c>
      <c r="AN64" s="85">
        <v>200.03756421456899</v>
      </c>
      <c r="AO64" s="85">
        <v>0</v>
      </c>
      <c r="AP64" s="85">
        <v>0</v>
      </c>
      <c r="AQ64" s="85">
        <v>0</v>
      </c>
      <c r="AR64" s="85">
        <v>-17.241989931983401</v>
      </c>
      <c r="AS64" s="85">
        <v>0</v>
      </c>
      <c r="AT64" s="86">
        <v>4.9122874819667297</v>
      </c>
    </row>
    <row r="65" spans="2:46" ht="12" customHeight="1" x14ac:dyDescent="0.25">
      <c r="B65" s="84" t="s">
        <v>46</v>
      </c>
      <c r="C65" s="85" t="s">
        <v>35</v>
      </c>
      <c r="D65" s="85" t="s">
        <v>47</v>
      </c>
      <c r="E65" s="85" t="s">
        <v>102</v>
      </c>
      <c r="F65" s="85" t="s">
        <v>25</v>
      </c>
      <c r="G65" s="85" t="s">
        <v>37</v>
      </c>
      <c r="H65" s="85" t="s">
        <v>82</v>
      </c>
      <c r="I65" s="85" t="s">
        <v>25</v>
      </c>
      <c r="J65" s="85">
        <v>337.45</v>
      </c>
      <c r="K65" s="85">
        <v>201.19</v>
      </c>
      <c r="L65" s="85">
        <v>18.493941000072802</v>
      </c>
      <c r="M65" s="85">
        <v>1.1345148788772601</v>
      </c>
      <c r="N65" s="85">
        <v>3.0771530955622799</v>
      </c>
      <c r="O65" s="85">
        <v>0</v>
      </c>
      <c r="P65" s="85">
        <v>0</v>
      </c>
      <c r="Q65" s="85">
        <v>45.968480417703702</v>
      </c>
      <c r="R65" s="85">
        <v>17.015030461277501</v>
      </c>
      <c r="S65" s="85">
        <v>0</v>
      </c>
      <c r="T65" s="85">
        <v>9.3118992811612404</v>
      </c>
      <c r="U65" s="85">
        <v>10.172565967488399</v>
      </c>
      <c r="V65" s="85">
        <v>0.87553772705070498</v>
      </c>
      <c r="W65" s="85">
        <v>0</v>
      </c>
      <c r="X65" s="85">
        <v>0</v>
      </c>
      <c r="Y65" s="85">
        <v>0</v>
      </c>
      <c r="Z65" s="85">
        <v>0</v>
      </c>
      <c r="AA65" s="85">
        <v>191.462524398629</v>
      </c>
      <c r="AB65" s="85">
        <v>-30.960333601482802</v>
      </c>
      <c r="AC65" s="85">
        <v>0</v>
      </c>
      <c r="AD65" s="85">
        <v>0</v>
      </c>
      <c r="AE65" s="85">
        <v>29.970756921354901</v>
      </c>
      <c r="AF65" s="85">
        <v>1.3858198278970399</v>
      </c>
      <c r="AG65" s="85">
        <v>28.953428858946801</v>
      </c>
      <c r="AH65" s="85">
        <v>10.590397033242001</v>
      </c>
      <c r="AI65" s="85">
        <v>4.1998230105352903</v>
      </c>
      <c r="AJ65" s="85">
        <v>-14.7528032701589</v>
      </c>
      <c r="AK65" s="85">
        <v>2.1304551154541298</v>
      </c>
      <c r="AL65" s="85">
        <v>21.905257010353999</v>
      </c>
      <c r="AM65" s="85">
        <v>0</v>
      </c>
      <c r="AN65" s="85">
        <v>200.03756421456899</v>
      </c>
      <c r="AO65" s="85">
        <v>0</v>
      </c>
      <c r="AP65" s="85">
        <v>0</v>
      </c>
      <c r="AQ65" s="85">
        <v>0</v>
      </c>
      <c r="AR65" s="85">
        <v>-17.241989931983401</v>
      </c>
      <c r="AS65" s="85">
        <v>0</v>
      </c>
      <c r="AT65" s="86">
        <v>4.9122874819667297</v>
      </c>
    </row>
    <row r="66" spans="2:46" ht="12" customHeight="1" x14ac:dyDescent="0.25">
      <c r="B66" s="84" t="s">
        <v>46</v>
      </c>
      <c r="C66" s="85" t="s">
        <v>23</v>
      </c>
      <c r="D66" s="85" t="s">
        <v>47</v>
      </c>
      <c r="E66" s="85" t="s">
        <v>101</v>
      </c>
      <c r="F66" s="85" t="s">
        <v>25</v>
      </c>
      <c r="G66" s="85" t="s">
        <v>25</v>
      </c>
      <c r="H66" s="85" t="s">
        <v>82</v>
      </c>
      <c r="I66" s="85" t="s">
        <v>25</v>
      </c>
      <c r="J66" s="85">
        <v>472.09</v>
      </c>
      <c r="K66" s="85">
        <v>216.84</v>
      </c>
      <c r="L66" s="85">
        <v>18.8959831957266</v>
      </c>
      <c r="M66" s="85">
        <v>1.15917824580937</v>
      </c>
      <c r="N66" s="85">
        <v>4.4334631645749498</v>
      </c>
      <c r="O66" s="85">
        <v>0</v>
      </c>
      <c r="P66" s="85">
        <v>0</v>
      </c>
      <c r="Q66" s="85">
        <v>46.967795209392897</v>
      </c>
      <c r="R66" s="85">
        <v>17.384922427827</v>
      </c>
      <c r="S66" s="85">
        <v>0</v>
      </c>
      <c r="T66" s="85">
        <v>15.597351721622699</v>
      </c>
      <c r="U66" s="85">
        <v>17.0390522082442</v>
      </c>
      <c r="V66" s="85">
        <v>1.4667015035984901</v>
      </c>
      <c r="W66" s="85">
        <v>0</v>
      </c>
      <c r="X66" s="85">
        <v>0</v>
      </c>
      <c r="Y66" s="85">
        <v>0</v>
      </c>
      <c r="Z66" s="85">
        <v>0</v>
      </c>
      <c r="AA66" s="85">
        <v>320.696264996823</v>
      </c>
      <c r="AB66" s="85">
        <v>-43.9958453250022</v>
      </c>
      <c r="AC66" s="85">
        <v>0</v>
      </c>
      <c r="AD66" s="85">
        <v>0</v>
      </c>
      <c r="AE66" s="85">
        <v>30.622295115297401</v>
      </c>
      <c r="AF66" s="85">
        <v>1.4159463458948001</v>
      </c>
      <c r="AG66" s="85">
        <v>29.582851225445602</v>
      </c>
      <c r="AH66" s="85">
        <v>10.8206230557038</v>
      </c>
      <c r="AI66" s="85">
        <v>4.2911235107643204</v>
      </c>
      <c r="AJ66" s="85">
        <v>-15.073516384727601</v>
      </c>
      <c r="AK66" s="85">
        <v>2.17676935709444</v>
      </c>
      <c r="AL66" s="85">
        <v>22.3814582497095</v>
      </c>
      <c r="AM66" s="85">
        <v>0</v>
      </c>
      <c r="AN66" s="85">
        <v>216.64937932977901</v>
      </c>
      <c r="AO66" s="85">
        <v>0</v>
      </c>
      <c r="AP66" s="85">
        <v>0</v>
      </c>
      <c r="AQ66" s="85">
        <v>0</v>
      </c>
      <c r="AR66" s="85">
        <v>-18.603234428741299</v>
      </c>
      <c r="AS66" s="85">
        <v>0</v>
      </c>
      <c r="AT66" s="86">
        <v>5.0190763402703498</v>
      </c>
    </row>
    <row r="67" spans="2:46" ht="12" customHeight="1" x14ac:dyDescent="0.25">
      <c r="B67" s="84" t="s">
        <v>46</v>
      </c>
      <c r="C67" s="85" t="s">
        <v>23</v>
      </c>
      <c r="D67" s="85" t="s">
        <v>47</v>
      </c>
      <c r="E67" s="85" t="s">
        <v>25</v>
      </c>
      <c r="F67" s="85" t="s">
        <v>25</v>
      </c>
      <c r="G67" s="85" t="s">
        <v>25</v>
      </c>
      <c r="H67" s="85" t="s">
        <v>82</v>
      </c>
      <c r="I67" s="85" t="s">
        <v>25</v>
      </c>
      <c r="J67" s="85">
        <v>472.09</v>
      </c>
      <c r="K67" s="85">
        <v>216.84</v>
      </c>
      <c r="L67" s="85">
        <v>18.8959831957266</v>
      </c>
      <c r="M67" s="85">
        <v>1.15917824580937</v>
      </c>
      <c r="N67" s="85">
        <v>4.4334631645749498</v>
      </c>
      <c r="O67" s="85">
        <v>0</v>
      </c>
      <c r="P67" s="85">
        <v>0</v>
      </c>
      <c r="Q67" s="85">
        <v>46.967795209392897</v>
      </c>
      <c r="R67" s="85">
        <v>17.384922427827</v>
      </c>
      <c r="S67" s="85">
        <v>0</v>
      </c>
      <c r="T67" s="85">
        <v>15.597351721622699</v>
      </c>
      <c r="U67" s="85">
        <v>17.0390522082442</v>
      </c>
      <c r="V67" s="85">
        <v>1.4667015035984901</v>
      </c>
      <c r="W67" s="85">
        <v>0</v>
      </c>
      <c r="X67" s="85">
        <v>0</v>
      </c>
      <c r="Y67" s="85">
        <v>0</v>
      </c>
      <c r="Z67" s="85">
        <v>0</v>
      </c>
      <c r="AA67" s="85">
        <v>320.696264996823</v>
      </c>
      <c r="AB67" s="85">
        <v>-43.9958453250022</v>
      </c>
      <c r="AC67" s="85">
        <v>0</v>
      </c>
      <c r="AD67" s="85">
        <v>0</v>
      </c>
      <c r="AE67" s="85">
        <v>30.622295115297401</v>
      </c>
      <c r="AF67" s="85">
        <v>1.4159463458948001</v>
      </c>
      <c r="AG67" s="85">
        <v>29.582851225445602</v>
      </c>
      <c r="AH67" s="85">
        <v>10.8206230557038</v>
      </c>
      <c r="AI67" s="85">
        <v>4.2911235107643204</v>
      </c>
      <c r="AJ67" s="85">
        <v>-15.073516384727601</v>
      </c>
      <c r="AK67" s="85">
        <v>2.17676935709444</v>
      </c>
      <c r="AL67" s="85">
        <v>22.3814582497095</v>
      </c>
      <c r="AM67" s="85">
        <v>0</v>
      </c>
      <c r="AN67" s="85">
        <v>216.64937932977901</v>
      </c>
      <c r="AO67" s="85">
        <v>0</v>
      </c>
      <c r="AP67" s="85">
        <v>0</v>
      </c>
      <c r="AQ67" s="85">
        <v>0</v>
      </c>
      <c r="AR67" s="85">
        <v>-18.603234428741299</v>
      </c>
      <c r="AS67" s="85">
        <v>0</v>
      </c>
      <c r="AT67" s="86">
        <v>5.0190763402703498</v>
      </c>
    </row>
    <row r="68" spans="2:46" ht="12" customHeight="1" x14ac:dyDescent="0.25">
      <c r="B68" s="84" t="s">
        <v>46</v>
      </c>
      <c r="C68" s="85" t="s">
        <v>23</v>
      </c>
      <c r="D68" s="85" t="s">
        <v>47</v>
      </c>
      <c r="E68" s="85" t="s">
        <v>102</v>
      </c>
      <c r="F68" s="85" t="s">
        <v>25</v>
      </c>
      <c r="G68" s="85" t="s">
        <v>25</v>
      </c>
      <c r="H68" s="85" t="s">
        <v>82</v>
      </c>
      <c r="I68" s="85" t="s">
        <v>25</v>
      </c>
      <c r="J68" s="85">
        <v>462.04</v>
      </c>
      <c r="K68" s="85">
        <v>212.23</v>
      </c>
      <c r="L68" s="85">
        <v>18.493941000072802</v>
      </c>
      <c r="M68" s="85">
        <v>1.1345148788772601</v>
      </c>
      <c r="N68" s="85">
        <v>4.3391341610733498</v>
      </c>
      <c r="O68" s="85">
        <v>0</v>
      </c>
      <c r="P68" s="85">
        <v>0</v>
      </c>
      <c r="Q68" s="85">
        <v>45.968480417703702</v>
      </c>
      <c r="R68" s="85">
        <v>17.015030461277501</v>
      </c>
      <c r="S68" s="85">
        <v>0</v>
      </c>
      <c r="T68" s="85">
        <v>15.2654931743541</v>
      </c>
      <c r="U68" s="85">
        <v>16.6765191825369</v>
      </c>
      <c r="V68" s="85">
        <v>1.43549508862831</v>
      </c>
      <c r="W68" s="85">
        <v>0</v>
      </c>
      <c r="X68" s="85">
        <v>0</v>
      </c>
      <c r="Y68" s="85">
        <v>0</v>
      </c>
      <c r="Z68" s="85">
        <v>0</v>
      </c>
      <c r="AA68" s="85">
        <v>313.87294020965697</v>
      </c>
      <c r="AB68" s="85">
        <v>-43.059763509576598</v>
      </c>
      <c r="AC68" s="85">
        <v>0</v>
      </c>
      <c r="AD68" s="85">
        <v>0</v>
      </c>
      <c r="AE68" s="85">
        <v>29.970756921354901</v>
      </c>
      <c r="AF68" s="85">
        <v>1.3858198278970399</v>
      </c>
      <c r="AG68" s="85">
        <v>28.953428858946801</v>
      </c>
      <c r="AH68" s="85">
        <v>10.590397033242001</v>
      </c>
      <c r="AI68" s="85">
        <v>4.1998230105352903</v>
      </c>
      <c r="AJ68" s="85">
        <v>-14.7528032701589</v>
      </c>
      <c r="AK68" s="85">
        <v>2.1304551154541298</v>
      </c>
      <c r="AL68" s="85">
        <v>21.905257010353999</v>
      </c>
      <c r="AM68" s="85">
        <v>0</v>
      </c>
      <c r="AN68" s="85">
        <v>212.03981806744301</v>
      </c>
      <c r="AO68" s="85">
        <v>0</v>
      </c>
      <c r="AP68" s="85">
        <v>0</v>
      </c>
      <c r="AQ68" s="85">
        <v>0</v>
      </c>
      <c r="AR68" s="85">
        <v>-18.207420930257399</v>
      </c>
      <c r="AS68" s="85">
        <v>0</v>
      </c>
      <c r="AT68" s="86">
        <v>4.9122874819667297</v>
      </c>
    </row>
    <row r="69" spans="2:46" ht="12" customHeight="1" x14ac:dyDescent="0.25">
      <c r="B69" s="84" t="s">
        <v>46</v>
      </c>
      <c r="C69" s="85" t="s">
        <v>100</v>
      </c>
      <c r="D69" s="85" t="s">
        <v>47</v>
      </c>
      <c r="E69" s="85" t="s">
        <v>101</v>
      </c>
      <c r="F69" s="85" t="s">
        <v>25</v>
      </c>
      <c r="G69" s="85" t="s">
        <v>25</v>
      </c>
      <c r="H69" s="85" t="s">
        <v>82</v>
      </c>
      <c r="I69" s="85" t="s">
        <v>25</v>
      </c>
      <c r="J69" s="85">
        <v>472.09</v>
      </c>
      <c r="K69" s="85">
        <v>216.84</v>
      </c>
      <c r="L69" s="85">
        <v>18.8959831957266</v>
      </c>
      <c r="M69" s="85">
        <v>1.15917824580937</v>
      </c>
      <c r="N69" s="85">
        <v>4.4334631645749498</v>
      </c>
      <c r="O69" s="85">
        <v>0</v>
      </c>
      <c r="P69" s="85">
        <v>0</v>
      </c>
      <c r="Q69" s="85">
        <v>46.967795209392897</v>
      </c>
      <c r="R69" s="85">
        <v>17.384922427827</v>
      </c>
      <c r="S69" s="85">
        <v>0</v>
      </c>
      <c r="T69" s="85">
        <v>15.597351721622699</v>
      </c>
      <c r="U69" s="85">
        <v>17.0390522082442</v>
      </c>
      <c r="V69" s="85">
        <v>1.4667015035984901</v>
      </c>
      <c r="W69" s="85">
        <v>0</v>
      </c>
      <c r="X69" s="85">
        <v>0</v>
      </c>
      <c r="Y69" s="85">
        <v>0</v>
      </c>
      <c r="Z69" s="85">
        <v>0</v>
      </c>
      <c r="AA69" s="85">
        <v>320.696264996823</v>
      </c>
      <c r="AB69" s="85">
        <v>-43.9958453250022</v>
      </c>
      <c r="AC69" s="85">
        <v>0</v>
      </c>
      <c r="AD69" s="85">
        <v>0</v>
      </c>
      <c r="AE69" s="85">
        <v>30.622295115297401</v>
      </c>
      <c r="AF69" s="85">
        <v>1.4159463458948001</v>
      </c>
      <c r="AG69" s="85">
        <v>29.582851225445602</v>
      </c>
      <c r="AH69" s="85">
        <v>10.8206230557038</v>
      </c>
      <c r="AI69" s="85">
        <v>4.2911235107643204</v>
      </c>
      <c r="AJ69" s="85">
        <v>-15.073516384727601</v>
      </c>
      <c r="AK69" s="85">
        <v>2.17676935709444</v>
      </c>
      <c r="AL69" s="85">
        <v>22.3814582497095</v>
      </c>
      <c r="AM69" s="85">
        <v>0</v>
      </c>
      <c r="AN69" s="85">
        <v>216.64937932977901</v>
      </c>
      <c r="AO69" s="85">
        <v>0</v>
      </c>
      <c r="AP69" s="85">
        <v>0</v>
      </c>
      <c r="AQ69" s="85">
        <v>0</v>
      </c>
      <c r="AR69" s="85">
        <v>-18.603234428741299</v>
      </c>
      <c r="AS69" s="85">
        <v>0</v>
      </c>
      <c r="AT69" s="86">
        <v>5.0190763402703498</v>
      </c>
    </row>
    <row r="70" spans="2:46" ht="12" customHeight="1" x14ac:dyDescent="0.25">
      <c r="B70" s="84" t="s">
        <v>46</v>
      </c>
      <c r="C70" s="85" t="s">
        <v>100</v>
      </c>
      <c r="D70" s="85" t="s">
        <v>47</v>
      </c>
      <c r="E70" s="85" t="s">
        <v>25</v>
      </c>
      <c r="F70" s="85" t="s">
        <v>25</v>
      </c>
      <c r="G70" s="85" t="s">
        <v>25</v>
      </c>
      <c r="H70" s="85" t="s">
        <v>82</v>
      </c>
      <c r="I70" s="85" t="s">
        <v>25</v>
      </c>
      <c r="J70" s="85">
        <v>472.09</v>
      </c>
      <c r="K70" s="85">
        <v>216.84</v>
      </c>
      <c r="L70" s="85">
        <v>18.8959831957266</v>
      </c>
      <c r="M70" s="85">
        <v>1.15917824580937</v>
      </c>
      <c r="N70" s="85">
        <v>4.4334631645749498</v>
      </c>
      <c r="O70" s="85">
        <v>0</v>
      </c>
      <c r="P70" s="85">
        <v>0</v>
      </c>
      <c r="Q70" s="85">
        <v>46.967795209392897</v>
      </c>
      <c r="R70" s="85">
        <v>17.384922427827</v>
      </c>
      <c r="S70" s="85">
        <v>0</v>
      </c>
      <c r="T70" s="85">
        <v>15.597351721622699</v>
      </c>
      <c r="U70" s="85">
        <v>17.0390522082442</v>
      </c>
      <c r="V70" s="85">
        <v>1.4667015035984901</v>
      </c>
      <c r="W70" s="85">
        <v>0</v>
      </c>
      <c r="X70" s="85">
        <v>0</v>
      </c>
      <c r="Y70" s="85">
        <v>0</v>
      </c>
      <c r="Z70" s="85">
        <v>0</v>
      </c>
      <c r="AA70" s="85">
        <v>320.696264996823</v>
      </c>
      <c r="AB70" s="85">
        <v>-43.9958453250022</v>
      </c>
      <c r="AC70" s="85">
        <v>0</v>
      </c>
      <c r="AD70" s="85">
        <v>0</v>
      </c>
      <c r="AE70" s="85">
        <v>30.622295115297401</v>
      </c>
      <c r="AF70" s="85">
        <v>1.4159463458948001</v>
      </c>
      <c r="AG70" s="85">
        <v>29.582851225445602</v>
      </c>
      <c r="AH70" s="85">
        <v>10.8206230557038</v>
      </c>
      <c r="AI70" s="85">
        <v>4.2911235107643204</v>
      </c>
      <c r="AJ70" s="85">
        <v>-15.073516384727601</v>
      </c>
      <c r="AK70" s="85">
        <v>2.17676935709444</v>
      </c>
      <c r="AL70" s="85">
        <v>22.3814582497095</v>
      </c>
      <c r="AM70" s="85">
        <v>0</v>
      </c>
      <c r="AN70" s="85">
        <v>216.64937932977901</v>
      </c>
      <c r="AO70" s="85">
        <v>0</v>
      </c>
      <c r="AP70" s="85">
        <v>0</v>
      </c>
      <c r="AQ70" s="85">
        <v>0</v>
      </c>
      <c r="AR70" s="85">
        <v>-18.603234428741299</v>
      </c>
      <c r="AS70" s="85">
        <v>0</v>
      </c>
      <c r="AT70" s="86">
        <v>5.0190763402703498</v>
      </c>
    </row>
    <row r="71" spans="2:46" ht="12" customHeight="1" x14ac:dyDescent="0.25">
      <c r="B71" s="84" t="s">
        <v>46</v>
      </c>
      <c r="C71" s="85" t="s">
        <v>100</v>
      </c>
      <c r="D71" s="85" t="s">
        <v>47</v>
      </c>
      <c r="E71" s="85" t="s">
        <v>102</v>
      </c>
      <c r="F71" s="85" t="s">
        <v>25</v>
      </c>
      <c r="G71" s="85" t="s">
        <v>25</v>
      </c>
      <c r="H71" s="85" t="s">
        <v>82</v>
      </c>
      <c r="I71" s="85" t="s">
        <v>25</v>
      </c>
      <c r="J71" s="85">
        <v>462.04</v>
      </c>
      <c r="K71" s="85">
        <v>212.23</v>
      </c>
      <c r="L71" s="85">
        <v>18.493941000072802</v>
      </c>
      <c r="M71" s="85">
        <v>1.1345148788772601</v>
      </c>
      <c r="N71" s="85">
        <v>4.3391341610733498</v>
      </c>
      <c r="O71" s="85">
        <v>0</v>
      </c>
      <c r="P71" s="85">
        <v>0</v>
      </c>
      <c r="Q71" s="85">
        <v>45.968480417703702</v>
      </c>
      <c r="R71" s="85">
        <v>17.015030461277501</v>
      </c>
      <c r="S71" s="85">
        <v>0</v>
      </c>
      <c r="T71" s="85">
        <v>15.2654931743541</v>
      </c>
      <c r="U71" s="85">
        <v>16.6765191825369</v>
      </c>
      <c r="V71" s="85">
        <v>1.43549508862831</v>
      </c>
      <c r="W71" s="85">
        <v>0</v>
      </c>
      <c r="X71" s="85">
        <v>0</v>
      </c>
      <c r="Y71" s="85">
        <v>0</v>
      </c>
      <c r="Z71" s="85">
        <v>0</v>
      </c>
      <c r="AA71" s="85">
        <v>313.87294020965697</v>
      </c>
      <c r="AB71" s="85">
        <v>-43.059763509576598</v>
      </c>
      <c r="AC71" s="85">
        <v>0</v>
      </c>
      <c r="AD71" s="85">
        <v>0</v>
      </c>
      <c r="AE71" s="85">
        <v>29.970756921354901</v>
      </c>
      <c r="AF71" s="85">
        <v>1.3858198278970399</v>
      </c>
      <c r="AG71" s="85">
        <v>28.953428858946801</v>
      </c>
      <c r="AH71" s="85">
        <v>10.590397033242001</v>
      </c>
      <c r="AI71" s="85">
        <v>4.1998230105352903</v>
      </c>
      <c r="AJ71" s="85">
        <v>-14.7528032701589</v>
      </c>
      <c r="AK71" s="85">
        <v>2.1304551154541298</v>
      </c>
      <c r="AL71" s="85">
        <v>21.905257010353999</v>
      </c>
      <c r="AM71" s="85">
        <v>0</v>
      </c>
      <c r="AN71" s="85">
        <v>212.03981806744301</v>
      </c>
      <c r="AO71" s="85">
        <v>0</v>
      </c>
      <c r="AP71" s="85">
        <v>0</v>
      </c>
      <c r="AQ71" s="85">
        <v>0</v>
      </c>
      <c r="AR71" s="85">
        <v>-18.207420930257399</v>
      </c>
      <c r="AS71" s="85">
        <v>0</v>
      </c>
      <c r="AT71" s="86">
        <v>4.9122874819667297</v>
      </c>
    </row>
    <row r="72" spans="2:46" ht="12" customHeight="1" x14ac:dyDescent="0.25">
      <c r="B72" s="84" t="s">
        <v>39</v>
      </c>
      <c r="C72" s="85" t="s">
        <v>35</v>
      </c>
      <c r="D72" s="85" t="s">
        <v>25</v>
      </c>
      <c r="E72" s="85" t="s">
        <v>25</v>
      </c>
      <c r="F72" s="85" t="s">
        <v>25</v>
      </c>
      <c r="G72" s="85" t="s">
        <v>36</v>
      </c>
      <c r="H72" s="85" t="s">
        <v>82</v>
      </c>
      <c r="I72" s="85" t="s">
        <v>25</v>
      </c>
      <c r="J72" s="85">
        <v>1335.6</v>
      </c>
      <c r="K72" s="85">
        <v>362.64</v>
      </c>
      <c r="L72" s="85">
        <v>20.102109782687801</v>
      </c>
      <c r="M72" s="85">
        <v>1.2331683466057199</v>
      </c>
      <c r="N72" s="85">
        <v>13.1577810615996</v>
      </c>
      <c r="O72" s="85">
        <v>0</v>
      </c>
      <c r="P72" s="85">
        <v>0</v>
      </c>
      <c r="Q72" s="85">
        <v>49.965739584460501</v>
      </c>
      <c r="R72" s="85">
        <v>18.494598327475501</v>
      </c>
      <c r="S72" s="85">
        <v>0</v>
      </c>
      <c r="T72" s="85">
        <v>56.415812940018498</v>
      </c>
      <c r="U72" s="85">
        <v>61.630413765427903</v>
      </c>
      <c r="V72" s="85">
        <v>5.3048994462475099</v>
      </c>
      <c r="W72" s="85">
        <v>0</v>
      </c>
      <c r="X72" s="85">
        <v>0</v>
      </c>
      <c r="Y72" s="85">
        <v>0</v>
      </c>
      <c r="Z72" s="85">
        <v>0</v>
      </c>
      <c r="AA72" s="85">
        <v>1159.9652377862601</v>
      </c>
      <c r="AB72" s="85">
        <v>-127.73655599169901</v>
      </c>
      <c r="AC72" s="85">
        <v>0</v>
      </c>
      <c r="AD72" s="85">
        <v>0</v>
      </c>
      <c r="AE72" s="85">
        <v>32.576909697124897</v>
      </c>
      <c r="AF72" s="85">
        <v>1.50632589988809</v>
      </c>
      <c r="AG72" s="85">
        <v>31.4711183249421</v>
      </c>
      <c r="AH72" s="85">
        <v>11.511301123089201</v>
      </c>
      <c r="AI72" s="85">
        <v>4.5650250114514099</v>
      </c>
      <c r="AJ72" s="85">
        <v>-16.0356557284336</v>
      </c>
      <c r="AK72" s="85">
        <v>2.3157120820153598</v>
      </c>
      <c r="AL72" s="85">
        <v>23.8100619677761</v>
      </c>
      <c r="AM72" s="85">
        <v>0</v>
      </c>
      <c r="AN72" s="85">
        <v>373.98327222723702</v>
      </c>
      <c r="AO72" s="85">
        <v>0</v>
      </c>
      <c r="AP72" s="85">
        <v>0</v>
      </c>
      <c r="AQ72" s="85">
        <v>0</v>
      </c>
      <c r="AR72" s="85">
        <v>-31.3338716426871</v>
      </c>
      <c r="AS72" s="85">
        <v>0</v>
      </c>
      <c r="AT72" s="86">
        <v>5.3394429151812304</v>
      </c>
    </row>
    <row r="73" spans="2:46" ht="12" customHeight="1" x14ac:dyDescent="0.25">
      <c r="B73" s="84" t="s">
        <v>39</v>
      </c>
      <c r="C73" s="85" t="s">
        <v>35</v>
      </c>
      <c r="D73" s="85" t="s">
        <v>25</v>
      </c>
      <c r="E73" s="85" t="s">
        <v>25</v>
      </c>
      <c r="F73" s="85" t="s">
        <v>25</v>
      </c>
      <c r="G73" s="85" t="s">
        <v>38</v>
      </c>
      <c r="H73" s="85" t="s">
        <v>82</v>
      </c>
      <c r="I73" s="85" t="s">
        <v>25</v>
      </c>
      <c r="J73" s="85">
        <v>863.35</v>
      </c>
      <c r="K73" s="85">
        <v>218.69</v>
      </c>
      <c r="L73" s="85">
        <v>20.102109782687801</v>
      </c>
      <c r="M73" s="85">
        <v>1.2331683466057199</v>
      </c>
      <c r="N73" s="85">
        <v>8.3743594227420797</v>
      </c>
      <c r="O73" s="85">
        <v>0</v>
      </c>
      <c r="P73" s="85">
        <v>0</v>
      </c>
      <c r="Q73" s="85">
        <v>49.965739584460501</v>
      </c>
      <c r="R73" s="85">
        <v>18.494598327475501</v>
      </c>
      <c r="S73" s="85">
        <v>0</v>
      </c>
      <c r="T73" s="85">
        <v>33.849487764011101</v>
      </c>
      <c r="U73" s="85">
        <v>36.978288380220199</v>
      </c>
      <c r="V73" s="85">
        <v>3.18290781796797</v>
      </c>
      <c r="W73" s="85">
        <v>0</v>
      </c>
      <c r="X73" s="85">
        <v>0</v>
      </c>
      <c r="Y73" s="85">
        <v>0</v>
      </c>
      <c r="Z73" s="85">
        <v>0</v>
      </c>
      <c r="AA73" s="85">
        <v>695.97911870379198</v>
      </c>
      <c r="AB73" s="85">
        <v>-81.874816744559297</v>
      </c>
      <c r="AC73" s="85">
        <v>0</v>
      </c>
      <c r="AD73" s="85">
        <v>0</v>
      </c>
      <c r="AE73" s="85">
        <v>32.576909697124897</v>
      </c>
      <c r="AF73" s="85">
        <v>1.50632589988809</v>
      </c>
      <c r="AG73" s="85">
        <v>31.4711183249421</v>
      </c>
      <c r="AH73" s="85">
        <v>11.511301123089201</v>
      </c>
      <c r="AI73" s="85">
        <v>4.5650250114514099</v>
      </c>
      <c r="AJ73" s="85">
        <v>-16.0356557284336</v>
      </c>
      <c r="AK73" s="85">
        <v>2.3157120820153598</v>
      </c>
      <c r="AL73" s="85">
        <v>23.8100619677761</v>
      </c>
      <c r="AM73" s="85">
        <v>0</v>
      </c>
      <c r="AN73" s="85">
        <v>217.432135015836</v>
      </c>
      <c r="AO73" s="85">
        <v>0</v>
      </c>
      <c r="AP73" s="85">
        <v>0</v>
      </c>
      <c r="AQ73" s="85">
        <v>0</v>
      </c>
      <c r="AR73" s="85">
        <v>-18.741293404329699</v>
      </c>
      <c r="AS73" s="85">
        <v>0</v>
      </c>
      <c r="AT73" s="86">
        <v>5.3394429151812304</v>
      </c>
    </row>
    <row r="74" spans="2:46" ht="12" customHeight="1" x14ac:dyDescent="0.25">
      <c r="B74" s="84" t="s">
        <v>39</v>
      </c>
      <c r="C74" s="85" t="s">
        <v>35</v>
      </c>
      <c r="D74" s="85" t="s">
        <v>25</v>
      </c>
      <c r="E74" s="85" t="s">
        <v>25</v>
      </c>
      <c r="F74" s="85" t="s">
        <v>25</v>
      </c>
      <c r="G74" s="85" t="s">
        <v>37</v>
      </c>
      <c r="H74" s="85" t="s">
        <v>82</v>
      </c>
      <c r="I74" s="85" t="s">
        <v>25</v>
      </c>
      <c r="J74" s="85">
        <v>391.1</v>
      </c>
      <c r="K74" s="85">
        <v>218.69</v>
      </c>
      <c r="L74" s="85">
        <v>20.102109782687801</v>
      </c>
      <c r="M74" s="85">
        <v>1.2331683466057199</v>
      </c>
      <c r="N74" s="85">
        <v>3.59093778388453</v>
      </c>
      <c r="O74" s="85">
        <v>0</v>
      </c>
      <c r="P74" s="85">
        <v>0</v>
      </c>
      <c r="Q74" s="85">
        <v>49.965739584460501</v>
      </c>
      <c r="R74" s="85">
        <v>18.494598327475501</v>
      </c>
      <c r="S74" s="85">
        <v>0</v>
      </c>
      <c r="T74" s="85">
        <v>11.2831625880037</v>
      </c>
      <c r="U74" s="85">
        <v>12.326162995012499</v>
      </c>
      <c r="V74" s="85">
        <v>1.06091618968843</v>
      </c>
      <c r="W74" s="85">
        <v>0</v>
      </c>
      <c r="X74" s="85">
        <v>0</v>
      </c>
      <c r="Y74" s="85">
        <v>0</v>
      </c>
      <c r="Z74" s="85">
        <v>0</v>
      </c>
      <c r="AA74" s="85">
        <v>231.99299962132301</v>
      </c>
      <c r="AB74" s="85">
        <v>-36.013077497419502</v>
      </c>
      <c r="AC74" s="85">
        <v>0</v>
      </c>
      <c r="AD74" s="85">
        <v>0</v>
      </c>
      <c r="AE74" s="85">
        <v>32.576909697124897</v>
      </c>
      <c r="AF74" s="85">
        <v>1.50632589988809</v>
      </c>
      <c r="AG74" s="85">
        <v>31.4711183249421</v>
      </c>
      <c r="AH74" s="85">
        <v>11.511301123089201</v>
      </c>
      <c r="AI74" s="85">
        <v>4.5650250114514099</v>
      </c>
      <c r="AJ74" s="85">
        <v>-16.0356557284336</v>
      </c>
      <c r="AK74" s="85">
        <v>2.3157120820153598</v>
      </c>
      <c r="AL74" s="85">
        <v>23.8100619677761</v>
      </c>
      <c r="AM74" s="85">
        <v>0</v>
      </c>
      <c r="AN74" s="85">
        <v>217.432135015836</v>
      </c>
      <c r="AO74" s="85">
        <v>0</v>
      </c>
      <c r="AP74" s="85">
        <v>0</v>
      </c>
      <c r="AQ74" s="85">
        <v>0</v>
      </c>
      <c r="AR74" s="85">
        <v>-18.741293404329699</v>
      </c>
      <c r="AS74" s="85">
        <v>0</v>
      </c>
      <c r="AT74" s="86">
        <v>5.3394429151812304</v>
      </c>
    </row>
    <row r="75" spans="2:46" ht="12" customHeight="1" x14ac:dyDescent="0.25">
      <c r="B75" s="84" t="s">
        <v>39</v>
      </c>
      <c r="C75" s="85" t="s">
        <v>23</v>
      </c>
      <c r="D75" s="85" t="s">
        <v>25</v>
      </c>
      <c r="E75" s="85" t="s">
        <v>25</v>
      </c>
      <c r="F75" s="85" t="s">
        <v>25</v>
      </c>
      <c r="G75" s="85" t="s">
        <v>25</v>
      </c>
      <c r="H75" s="85" t="s">
        <v>82</v>
      </c>
      <c r="I75" s="85" t="s">
        <v>25</v>
      </c>
      <c r="J75" s="85">
        <v>502.22</v>
      </c>
      <c r="K75" s="85">
        <v>230.68</v>
      </c>
      <c r="L75" s="85">
        <v>20.102109782687801</v>
      </c>
      <c r="M75" s="85">
        <v>1.2331683466057199</v>
      </c>
      <c r="N75" s="85">
        <v>4.7164501750797303</v>
      </c>
      <c r="O75" s="85">
        <v>0</v>
      </c>
      <c r="P75" s="85">
        <v>0</v>
      </c>
      <c r="Q75" s="85">
        <v>49.965739584460501</v>
      </c>
      <c r="R75" s="85">
        <v>18.494598327475501</v>
      </c>
      <c r="S75" s="85">
        <v>0</v>
      </c>
      <c r="T75" s="85">
        <v>16.592927363428402</v>
      </c>
      <c r="U75" s="85">
        <v>18.126651285366201</v>
      </c>
      <c r="V75" s="85">
        <v>1.56032074850904</v>
      </c>
      <c r="W75" s="85">
        <v>0</v>
      </c>
      <c r="X75" s="85">
        <v>0</v>
      </c>
      <c r="Y75" s="85">
        <v>0</v>
      </c>
      <c r="Z75" s="85">
        <v>0</v>
      </c>
      <c r="AA75" s="85">
        <v>341.16623935832303</v>
      </c>
      <c r="AB75" s="85">
        <v>-46.804090771278901</v>
      </c>
      <c r="AC75" s="85">
        <v>0</v>
      </c>
      <c r="AD75" s="85">
        <v>0</v>
      </c>
      <c r="AE75" s="85">
        <v>32.576909697124897</v>
      </c>
      <c r="AF75" s="85">
        <v>1.50632589988809</v>
      </c>
      <c r="AG75" s="85">
        <v>31.4711183249421</v>
      </c>
      <c r="AH75" s="85">
        <v>11.511301123089201</v>
      </c>
      <c r="AI75" s="85">
        <v>4.5650250114514099</v>
      </c>
      <c r="AJ75" s="85">
        <v>-16.0356557284336</v>
      </c>
      <c r="AK75" s="85">
        <v>2.3157120820153598</v>
      </c>
      <c r="AL75" s="85">
        <v>23.8100619677761</v>
      </c>
      <c r="AM75" s="85">
        <v>0</v>
      </c>
      <c r="AN75" s="85">
        <v>230.47806311678599</v>
      </c>
      <c r="AO75" s="85">
        <v>0</v>
      </c>
      <c r="AP75" s="85">
        <v>0</v>
      </c>
      <c r="AQ75" s="85">
        <v>0</v>
      </c>
      <c r="AR75" s="85">
        <v>-19.790674924192899</v>
      </c>
      <c r="AS75" s="85">
        <v>0</v>
      </c>
      <c r="AT75" s="86">
        <v>5.3394429151812304</v>
      </c>
    </row>
    <row r="76" spans="2:46" ht="12" customHeight="1" x14ac:dyDescent="0.25">
      <c r="B76" s="84" t="s">
        <v>39</v>
      </c>
      <c r="C76" s="85" t="s">
        <v>100</v>
      </c>
      <c r="D76" s="85" t="s">
        <v>25</v>
      </c>
      <c r="E76" s="85" t="s">
        <v>25</v>
      </c>
      <c r="F76" s="85" t="s">
        <v>25</v>
      </c>
      <c r="G76" s="85" t="s">
        <v>25</v>
      </c>
      <c r="H76" s="85" t="s">
        <v>82</v>
      </c>
      <c r="I76" s="85" t="s">
        <v>25</v>
      </c>
      <c r="J76" s="85">
        <v>502.22</v>
      </c>
      <c r="K76" s="85">
        <v>230.68</v>
      </c>
      <c r="L76" s="85">
        <v>20.102109782687801</v>
      </c>
      <c r="M76" s="85">
        <v>1.2331683466057199</v>
      </c>
      <c r="N76" s="85">
        <v>4.7164501750797303</v>
      </c>
      <c r="O76" s="85">
        <v>0</v>
      </c>
      <c r="P76" s="85">
        <v>0</v>
      </c>
      <c r="Q76" s="85">
        <v>49.965739584460501</v>
      </c>
      <c r="R76" s="85">
        <v>18.494598327475501</v>
      </c>
      <c r="S76" s="85">
        <v>0</v>
      </c>
      <c r="T76" s="85">
        <v>16.592927363428402</v>
      </c>
      <c r="U76" s="85">
        <v>18.126651285366201</v>
      </c>
      <c r="V76" s="85">
        <v>1.56032074850904</v>
      </c>
      <c r="W76" s="85">
        <v>0</v>
      </c>
      <c r="X76" s="85">
        <v>0</v>
      </c>
      <c r="Y76" s="85">
        <v>0</v>
      </c>
      <c r="Z76" s="85">
        <v>0</v>
      </c>
      <c r="AA76" s="85">
        <v>341.16623935832303</v>
      </c>
      <c r="AB76" s="85">
        <v>-46.804090771278901</v>
      </c>
      <c r="AC76" s="85">
        <v>0</v>
      </c>
      <c r="AD76" s="85">
        <v>0</v>
      </c>
      <c r="AE76" s="85">
        <v>32.576909697124897</v>
      </c>
      <c r="AF76" s="85">
        <v>1.50632589988809</v>
      </c>
      <c r="AG76" s="85">
        <v>31.4711183249421</v>
      </c>
      <c r="AH76" s="85">
        <v>11.511301123089201</v>
      </c>
      <c r="AI76" s="85">
        <v>4.5650250114514099</v>
      </c>
      <c r="AJ76" s="85">
        <v>-16.0356557284336</v>
      </c>
      <c r="AK76" s="85">
        <v>2.3157120820153598</v>
      </c>
      <c r="AL76" s="85">
        <v>23.8100619677761</v>
      </c>
      <c r="AM76" s="85">
        <v>0</v>
      </c>
      <c r="AN76" s="85">
        <v>230.47806311678599</v>
      </c>
      <c r="AO76" s="85">
        <v>0</v>
      </c>
      <c r="AP76" s="85">
        <v>0</v>
      </c>
      <c r="AQ76" s="85">
        <v>0</v>
      </c>
      <c r="AR76" s="85">
        <v>-19.790674924192899</v>
      </c>
      <c r="AS76" s="85">
        <v>0</v>
      </c>
      <c r="AT76" s="86">
        <v>5.3394429151812304</v>
      </c>
    </row>
    <row r="77" spans="2:46" ht="12" customHeight="1" x14ac:dyDescent="0.25">
      <c r="B77" s="84" t="s">
        <v>49</v>
      </c>
      <c r="C77" s="85" t="s">
        <v>23</v>
      </c>
      <c r="D77" s="85" t="s">
        <v>50</v>
      </c>
      <c r="E77" s="85" t="s">
        <v>51</v>
      </c>
      <c r="F77" s="85" t="s">
        <v>25</v>
      </c>
      <c r="G77" s="85" t="s">
        <v>25</v>
      </c>
      <c r="H77" s="85" t="s">
        <v>82</v>
      </c>
      <c r="I77" s="85" t="s">
        <v>25</v>
      </c>
      <c r="J77" s="85">
        <v>276.22000000000003</v>
      </c>
      <c r="K77" s="85">
        <v>126.88</v>
      </c>
      <c r="L77" s="85">
        <v>11.0561603804783</v>
      </c>
      <c r="M77" s="85">
        <v>0.67824259063314396</v>
      </c>
      <c r="N77" s="85">
        <v>2.5940475962938501</v>
      </c>
      <c r="O77" s="85">
        <v>0</v>
      </c>
      <c r="P77" s="85">
        <v>0</v>
      </c>
      <c r="Q77" s="85">
        <v>27.4811567714533</v>
      </c>
      <c r="R77" s="85">
        <v>10.1720290801115</v>
      </c>
      <c r="S77" s="85">
        <v>0</v>
      </c>
      <c r="T77" s="85">
        <v>9.1261100498856091</v>
      </c>
      <c r="U77" s="85">
        <v>9.9696582069514204</v>
      </c>
      <c r="V77" s="85">
        <v>0.85817641167997105</v>
      </c>
      <c r="W77" s="85">
        <v>0</v>
      </c>
      <c r="X77" s="85">
        <v>0</v>
      </c>
      <c r="Y77" s="85">
        <v>0</v>
      </c>
      <c r="Z77" s="85">
        <v>0</v>
      </c>
      <c r="AA77" s="85">
        <v>187.64143164707701</v>
      </c>
      <c r="AB77" s="85">
        <v>-25.742249924203399</v>
      </c>
      <c r="AC77" s="85">
        <v>0</v>
      </c>
      <c r="AD77" s="85">
        <v>0</v>
      </c>
      <c r="AE77" s="85">
        <v>17.917300333418702</v>
      </c>
      <c r="AF77" s="85">
        <v>0.82847924493844705</v>
      </c>
      <c r="AG77" s="85">
        <v>17.3091150787182</v>
      </c>
      <c r="AH77" s="85">
        <v>6.33121561769903</v>
      </c>
      <c r="AI77" s="85">
        <v>2.5107637562982701</v>
      </c>
      <c r="AJ77" s="85">
        <v>-8.8196106506384702</v>
      </c>
      <c r="AK77" s="85">
        <v>1.27364164510845</v>
      </c>
      <c r="AL77" s="85">
        <v>13.095534082276799</v>
      </c>
      <c r="AM77" s="85">
        <v>0</v>
      </c>
      <c r="AN77" s="85">
        <v>126.762934714232</v>
      </c>
      <c r="AO77" s="85">
        <v>0</v>
      </c>
      <c r="AP77" s="85">
        <v>0</v>
      </c>
      <c r="AQ77" s="85">
        <v>0</v>
      </c>
      <c r="AR77" s="85">
        <v>-10.8848712083061</v>
      </c>
      <c r="AS77" s="85">
        <v>0</v>
      </c>
      <c r="AT77" s="86">
        <v>2.93669360334968</v>
      </c>
    </row>
    <row r="78" spans="2:46" ht="12" customHeight="1" x14ac:dyDescent="0.25">
      <c r="B78" s="87" t="s">
        <v>49</v>
      </c>
      <c r="C78" s="88" t="s">
        <v>23</v>
      </c>
      <c r="D78" s="88" t="s">
        <v>50</v>
      </c>
      <c r="E78" s="88" t="s">
        <v>103</v>
      </c>
      <c r="F78" s="88" t="s">
        <v>25</v>
      </c>
      <c r="G78" s="88" t="s">
        <v>25</v>
      </c>
      <c r="H78" s="88" t="s">
        <v>82</v>
      </c>
      <c r="I78" s="88" t="s">
        <v>25</v>
      </c>
      <c r="J78" s="88">
        <v>301.33</v>
      </c>
      <c r="K78" s="88">
        <v>138.41</v>
      </c>
      <c r="L78" s="88">
        <v>12.061265869612701</v>
      </c>
      <c r="M78" s="88">
        <v>0.73990100796342995</v>
      </c>
      <c r="N78" s="88">
        <v>2.8298701050478399</v>
      </c>
      <c r="O78" s="88">
        <v>0</v>
      </c>
      <c r="P78" s="88">
        <v>0</v>
      </c>
      <c r="Q78" s="88">
        <v>29.9794437506763</v>
      </c>
      <c r="R78" s="88">
        <v>11.096758996485301</v>
      </c>
      <c r="S78" s="88">
        <v>0</v>
      </c>
      <c r="T78" s="88">
        <v>9.9557564180570406</v>
      </c>
      <c r="U78" s="88">
        <v>10.875990771219699</v>
      </c>
      <c r="V78" s="88">
        <v>0.93619244910542199</v>
      </c>
      <c r="W78" s="88">
        <v>0</v>
      </c>
      <c r="X78" s="88">
        <v>0</v>
      </c>
      <c r="Y78" s="88">
        <v>0</v>
      </c>
      <c r="Z78" s="88">
        <v>0</v>
      </c>
      <c r="AA78" s="88">
        <v>204.69974361499399</v>
      </c>
      <c r="AB78" s="88">
        <v>-28.082454462767299</v>
      </c>
      <c r="AC78" s="88">
        <v>0</v>
      </c>
      <c r="AD78" s="88">
        <v>0</v>
      </c>
      <c r="AE78" s="88">
        <v>19.546145818274901</v>
      </c>
      <c r="AF78" s="88">
        <v>0.903795539932851</v>
      </c>
      <c r="AG78" s="88">
        <v>18.882670994965299</v>
      </c>
      <c r="AH78" s="88">
        <v>6.9067806738534898</v>
      </c>
      <c r="AI78" s="88">
        <v>2.7390150068708401</v>
      </c>
      <c r="AJ78" s="88">
        <v>-9.6213934370601493</v>
      </c>
      <c r="AK78" s="88">
        <v>1.3894272492092199</v>
      </c>
      <c r="AL78" s="88">
        <v>14.2860371806656</v>
      </c>
      <c r="AM78" s="88">
        <v>0</v>
      </c>
      <c r="AN78" s="88">
        <v>138.286837870071</v>
      </c>
      <c r="AO78" s="88">
        <v>0</v>
      </c>
      <c r="AP78" s="88">
        <v>0</v>
      </c>
      <c r="AQ78" s="88">
        <v>0</v>
      </c>
      <c r="AR78" s="88">
        <v>-11.8744049545157</v>
      </c>
      <c r="AS78" s="88">
        <v>0</v>
      </c>
      <c r="AT78" s="89">
        <v>3.2036657491087399</v>
      </c>
    </row>
  </sheetData>
  <mergeCells count="8">
    <mergeCell ref="L1:AH1"/>
    <mergeCell ref="AI1:AT1"/>
    <mergeCell ref="L2:S2"/>
    <mergeCell ref="T2:Z2"/>
    <mergeCell ref="AB2:AD2"/>
    <mergeCell ref="AE2:AH2"/>
    <mergeCell ref="AI2:AM2"/>
    <mergeCell ref="AO2:AS2"/>
  </mergeCells>
  <phoneticPr fontId="13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7D855-D2AD-41A0-853C-A20C76076032}">
  <sheetPr codeName="Planilha29"/>
  <dimension ref="B1:AT78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7.285156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1" width="12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25" bestFit="1" customWidth="1"/>
    <col min="30" max="30" width="14.42578125" bestFit="1" customWidth="1"/>
    <col min="31" max="31" width="12" bestFit="1" customWidth="1"/>
    <col min="32" max="32" width="17.7109375" bestFit="1" customWidth="1"/>
    <col min="33" max="33" width="12.5703125" bestFit="1" customWidth="1"/>
    <col min="34" max="34" width="12" bestFit="1" customWidth="1"/>
    <col min="35" max="35" width="16.5703125" bestFit="1" customWidth="1"/>
    <col min="36" max="36" width="14.5703125" bestFit="1" customWidth="1"/>
    <col min="37" max="37" width="12" bestFit="1" customWidth="1"/>
    <col min="38" max="38" width="12.5703125" bestFit="1" customWidth="1"/>
    <col min="39" max="39" width="12.28515625" bestFit="1" customWidth="1"/>
    <col min="40" max="40" width="14.140625" bestFit="1" customWidth="1"/>
    <col min="41" max="41" width="25.28515625" bestFit="1" customWidth="1"/>
    <col min="42" max="42" width="17.85546875" bestFit="1" customWidth="1"/>
    <col min="43" max="43" width="13.42578125" bestFit="1" customWidth="1"/>
    <col min="44" max="44" width="13.28515625" bestFit="1" customWidth="1"/>
    <col min="45" max="45" width="22.140625" bestFit="1" customWidth="1"/>
    <col min="46" max="46" width="12.5703125" bestFit="1" customWidth="1"/>
  </cols>
  <sheetData>
    <row r="1" spans="2:46" ht="12" customHeight="1" x14ac:dyDescent="0.25">
      <c r="L1" s="126" t="s">
        <v>1513</v>
      </c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D1" s="126"/>
      <c r="AE1" s="126"/>
      <c r="AF1" s="126"/>
      <c r="AG1" s="126"/>
      <c r="AH1" s="127"/>
      <c r="AI1" s="126" t="s">
        <v>1514</v>
      </c>
      <c r="AJ1" s="126"/>
      <c r="AK1" s="126"/>
      <c r="AL1" s="126"/>
      <c r="AM1" s="126"/>
      <c r="AN1" s="126"/>
      <c r="AO1" s="126"/>
      <c r="AP1" s="126"/>
      <c r="AQ1" s="126"/>
      <c r="AR1" s="126"/>
      <c r="AS1" s="126"/>
      <c r="AT1" s="126"/>
    </row>
    <row r="2" spans="2:46" ht="12" customHeight="1" x14ac:dyDescent="0.25">
      <c r="L2" s="128" t="s">
        <v>735</v>
      </c>
      <c r="M2" s="128"/>
      <c r="N2" s="128"/>
      <c r="O2" s="128"/>
      <c r="P2" s="128"/>
      <c r="Q2" s="128"/>
      <c r="R2" s="128"/>
      <c r="S2" s="129"/>
      <c r="T2" s="128" t="s">
        <v>744</v>
      </c>
      <c r="U2" s="128"/>
      <c r="V2" s="128"/>
      <c r="W2" s="128"/>
      <c r="X2" s="128"/>
      <c r="Y2" s="128"/>
      <c r="Z2" s="129"/>
      <c r="AA2" s="91" t="s">
        <v>752</v>
      </c>
      <c r="AB2" s="128" t="s">
        <v>25</v>
      </c>
      <c r="AC2" s="128"/>
      <c r="AD2" s="129"/>
      <c r="AE2" s="128" t="s">
        <v>1512</v>
      </c>
      <c r="AF2" s="128"/>
      <c r="AG2" s="128"/>
      <c r="AH2" s="129"/>
      <c r="AI2" s="128" t="s">
        <v>735</v>
      </c>
      <c r="AJ2" s="128"/>
      <c r="AK2" s="128"/>
      <c r="AL2" s="128"/>
      <c r="AM2" s="129"/>
      <c r="AN2" s="91" t="s">
        <v>766</v>
      </c>
      <c r="AO2" s="128" t="s">
        <v>744</v>
      </c>
      <c r="AP2" s="128"/>
      <c r="AQ2" s="128"/>
      <c r="AR2" s="128"/>
      <c r="AS2" s="129"/>
      <c r="AT2" s="90" t="s">
        <v>1512</v>
      </c>
    </row>
    <row r="3" spans="2:46" ht="12" customHeight="1" x14ac:dyDescent="0.25">
      <c r="B3" s="81" t="s">
        <v>71</v>
      </c>
      <c r="C3" s="82" t="s">
        <v>72</v>
      </c>
      <c r="D3" s="82" t="s">
        <v>73</v>
      </c>
      <c r="E3" s="82" t="s">
        <v>74</v>
      </c>
      <c r="F3" s="82" t="s">
        <v>75</v>
      </c>
      <c r="G3" s="82" t="s">
        <v>77</v>
      </c>
      <c r="H3" s="82" t="s">
        <v>78</v>
      </c>
      <c r="I3" s="82" t="s">
        <v>1019</v>
      </c>
      <c r="J3" s="82" t="s">
        <v>1474</v>
      </c>
      <c r="K3" s="82" t="s">
        <v>1475</v>
      </c>
      <c r="L3" s="82" t="s">
        <v>1476</v>
      </c>
      <c r="M3" s="82" t="s">
        <v>1477</v>
      </c>
      <c r="N3" s="82" t="s">
        <v>1478</v>
      </c>
      <c r="O3" s="82" t="s">
        <v>1479</v>
      </c>
      <c r="P3" s="82" t="s">
        <v>1480</v>
      </c>
      <c r="Q3" s="82" t="s">
        <v>1481</v>
      </c>
      <c r="R3" s="82" t="s">
        <v>1482</v>
      </c>
      <c r="S3" s="82" t="s">
        <v>1483</v>
      </c>
      <c r="T3" s="82" t="s">
        <v>1484</v>
      </c>
      <c r="U3" s="82" t="s">
        <v>1485</v>
      </c>
      <c r="V3" s="82" t="s">
        <v>1486</v>
      </c>
      <c r="W3" s="82" t="s">
        <v>1487</v>
      </c>
      <c r="X3" s="82" t="s">
        <v>1488</v>
      </c>
      <c r="Y3" s="82" t="s">
        <v>1489</v>
      </c>
      <c r="Z3" s="82" t="s">
        <v>1490</v>
      </c>
      <c r="AA3" s="82" t="s">
        <v>1491</v>
      </c>
      <c r="AB3" s="82" t="s">
        <v>1492</v>
      </c>
      <c r="AC3" s="82" t="s">
        <v>1493</v>
      </c>
      <c r="AD3" s="82" t="s">
        <v>1494</v>
      </c>
      <c r="AE3" s="82" t="s">
        <v>1495</v>
      </c>
      <c r="AF3" s="82" t="s">
        <v>1496</v>
      </c>
      <c r="AG3" s="82" t="s">
        <v>1497</v>
      </c>
      <c r="AH3" s="82" t="s">
        <v>1498</v>
      </c>
      <c r="AI3" s="82" t="s">
        <v>1499</v>
      </c>
      <c r="AJ3" s="82" t="s">
        <v>1500</v>
      </c>
      <c r="AK3" s="82" t="s">
        <v>1501</v>
      </c>
      <c r="AL3" s="82" t="s">
        <v>1502</v>
      </c>
      <c r="AM3" s="82" t="s">
        <v>1503</v>
      </c>
      <c r="AN3" s="82" t="s">
        <v>1504</v>
      </c>
      <c r="AO3" s="82" t="s">
        <v>1505</v>
      </c>
      <c r="AP3" s="82" t="s">
        <v>1506</v>
      </c>
      <c r="AQ3" s="82" t="s">
        <v>1507</v>
      </c>
      <c r="AR3" s="82" t="s">
        <v>1508</v>
      </c>
      <c r="AS3" s="82" t="s">
        <v>1509</v>
      </c>
      <c r="AT3" s="83" t="s">
        <v>1510</v>
      </c>
    </row>
    <row r="4" spans="2:46" ht="12" customHeight="1" x14ac:dyDescent="0.25">
      <c r="B4" s="84" t="s">
        <v>80</v>
      </c>
      <c r="C4" s="85" t="s">
        <v>42</v>
      </c>
      <c r="D4" s="85" t="s">
        <v>25</v>
      </c>
      <c r="E4" s="85" t="s">
        <v>25</v>
      </c>
      <c r="F4" s="85" t="s">
        <v>89</v>
      </c>
      <c r="G4" s="85" t="s">
        <v>36</v>
      </c>
      <c r="H4" s="85" t="s">
        <v>82</v>
      </c>
      <c r="I4" s="85" t="s">
        <v>25</v>
      </c>
      <c r="J4" s="85">
        <v>17.63</v>
      </c>
      <c r="K4" s="85">
        <v>0</v>
      </c>
      <c r="L4" s="85">
        <v>0</v>
      </c>
      <c r="M4" s="85">
        <v>0.120324019911782</v>
      </c>
      <c r="N4" s="85">
        <v>0.30193006956324703</v>
      </c>
      <c r="O4" s="85">
        <v>0</v>
      </c>
      <c r="P4" s="85">
        <v>0</v>
      </c>
      <c r="Q4" s="85">
        <v>0</v>
      </c>
      <c r="R4" s="85">
        <v>0</v>
      </c>
      <c r="S4" s="85">
        <v>0</v>
      </c>
      <c r="T4" s="85">
        <v>0</v>
      </c>
      <c r="U4" s="85">
        <v>0</v>
      </c>
      <c r="V4" s="85">
        <v>0</v>
      </c>
      <c r="W4" s="85">
        <v>0</v>
      </c>
      <c r="X4" s="85">
        <v>0</v>
      </c>
      <c r="Y4" s="85">
        <v>0</v>
      </c>
      <c r="Z4" s="85">
        <v>0</v>
      </c>
      <c r="AA4" s="85">
        <v>0</v>
      </c>
      <c r="AB4" s="85">
        <v>0</v>
      </c>
      <c r="AC4" s="85">
        <v>0</v>
      </c>
      <c r="AD4" s="85">
        <v>0</v>
      </c>
      <c r="AE4" s="85">
        <v>10.166887508637499</v>
      </c>
      <c r="AF4" s="85">
        <v>0.47010738949437503</v>
      </c>
      <c r="AG4" s="85">
        <v>4.5684254501277302</v>
      </c>
      <c r="AH4" s="85">
        <v>1.9996375084895901</v>
      </c>
      <c r="AI4" s="85">
        <v>0</v>
      </c>
      <c r="AJ4" s="85">
        <v>0</v>
      </c>
      <c r="AK4" s="85">
        <v>0</v>
      </c>
      <c r="AL4" s="85">
        <v>0</v>
      </c>
      <c r="AM4" s="85">
        <v>0</v>
      </c>
      <c r="AN4" s="85">
        <v>0</v>
      </c>
      <c r="AO4" s="85">
        <v>0</v>
      </c>
      <c r="AP4" s="85">
        <v>0</v>
      </c>
      <c r="AQ4" s="85">
        <v>0</v>
      </c>
      <c r="AR4" s="85">
        <v>0</v>
      </c>
      <c r="AS4" s="85">
        <v>0</v>
      </c>
      <c r="AT4" s="86">
        <v>0</v>
      </c>
    </row>
    <row r="5" spans="2:46" ht="12" customHeight="1" x14ac:dyDescent="0.25">
      <c r="B5" s="84" t="s">
        <v>80</v>
      </c>
      <c r="C5" s="85" t="s">
        <v>42</v>
      </c>
      <c r="D5" s="85" t="s">
        <v>25</v>
      </c>
      <c r="E5" s="85" t="s">
        <v>25</v>
      </c>
      <c r="F5" s="85" t="s">
        <v>89</v>
      </c>
      <c r="G5" s="85" t="s">
        <v>36</v>
      </c>
      <c r="H5" s="85" t="s">
        <v>85</v>
      </c>
      <c r="I5" s="85" t="s">
        <v>25</v>
      </c>
      <c r="J5" s="85">
        <v>56.86</v>
      </c>
      <c r="K5" s="85">
        <v>0</v>
      </c>
      <c r="L5" s="85">
        <v>0</v>
      </c>
      <c r="M5" s="85">
        <v>0</v>
      </c>
      <c r="N5" s="85">
        <v>0</v>
      </c>
      <c r="O5" s="85">
        <v>0</v>
      </c>
      <c r="P5" s="85">
        <v>0</v>
      </c>
      <c r="Q5" s="85">
        <v>0</v>
      </c>
      <c r="R5" s="85">
        <v>0</v>
      </c>
      <c r="S5" s="85">
        <v>0</v>
      </c>
      <c r="T5" s="85">
        <v>3.02452989493377</v>
      </c>
      <c r="U5" s="85">
        <v>3.1644454138859599</v>
      </c>
      <c r="V5" s="85">
        <v>0.32628206877496302</v>
      </c>
      <c r="W5" s="85">
        <v>0</v>
      </c>
      <c r="X5" s="85">
        <v>0</v>
      </c>
      <c r="Y5" s="85">
        <v>0</v>
      </c>
      <c r="Z5" s="85">
        <v>0</v>
      </c>
      <c r="AA5" s="85">
        <v>50.344262104444098</v>
      </c>
      <c r="AB5" s="85">
        <v>0</v>
      </c>
      <c r="AC5" s="85">
        <v>0</v>
      </c>
      <c r="AD5" s="85">
        <v>0</v>
      </c>
      <c r="AE5" s="85">
        <v>0</v>
      </c>
      <c r="AF5" s="85">
        <v>0</v>
      </c>
      <c r="AG5" s="85">
        <v>0</v>
      </c>
      <c r="AH5" s="85">
        <v>0</v>
      </c>
      <c r="AI5" s="85">
        <v>0</v>
      </c>
      <c r="AJ5" s="85">
        <v>0</v>
      </c>
      <c r="AK5" s="85">
        <v>0</v>
      </c>
      <c r="AL5" s="85">
        <v>0</v>
      </c>
      <c r="AM5" s="85">
        <v>0</v>
      </c>
      <c r="AN5" s="85">
        <v>0</v>
      </c>
      <c r="AO5" s="85">
        <v>0</v>
      </c>
      <c r="AP5" s="85">
        <v>0</v>
      </c>
      <c r="AQ5" s="85">
        <v>0</v>
      </c>
      <c r="AR5" s="85">
        <v>0</v>
      </c>
      <c r="AS5" s="85">
        <v>0</v>
      </c>
      <c r="AT5" s="86">
        <v>0</v>
      </c>
    </row>
    <row r="6" spans="2:46" ht="12" customHeight="1" x14ac:dyDescent="0.25">
      <c r="B6" s="84" t="s">
        <v>80</v>
      </c>
      <c r="C6" s="85" t="s">
        <v>42</v>
      </c>
      <c r="D6" s="85" t="s">
        <v>25</v>
      </c>
      <c r="E6" s="85" t="s">
        <v>25</v>
      </c>
      <c r="F6" s="85" t="s">
        <v>89</v>
      </c>
      <c r="G6" s="85" t="s">
        <v>37</v>
      </c>
      <c r="H6" s="85" t="s">
        <v>82</v>
      </c>
      <c r="I6" s="85" t="s">
        <v>25</v>
      </c>
      <c r="J6" s="85">
        <v>17.63</v>
      </c>
      <c r="K6" s="85">
        <v>0</v>
      </c>
      <c r="L6" s="85">
        <v>0</v>
      </c>
      <c r="M6" s="85">
        <v>0.120324019911782</v>
      </c>
      <c r="N6" s="85">
        <v>0.30193006956324703</v>
      </c>
      <c r="O6" s="85">
        <v>0</v>
      </c>
      <c r="P6" s="85">
        <v>0</v>
      </c>
      <c r="Q6" s="85">
        <v>0</v>
      </c>
      <c r="R6" s="85">
        <v>0</v>
      </c>
      <c r="S6" s="85">
        <v>0</v>
      </c>
      <c r="T6" s="85">
        <v>0</v>
      </c>
      <c r="U6" s="85">
        <v>0</v>
      </c>
      <c r="V6" s="85">
        <v>0</v>
      </c>
      <c r="W6" s="85">
        <v>0</v>
      </c>
      <c r="X6" s="85">
        <v>0</v>
      </c>
      <c r="Y6" s="85">
        <v>0</v>
      </c>
      <c r="Z6" s="85">
        <v>0</v>
      </c>
      <c r="AA6" s="85">
        <v>0</v>
      </c>
      <c r="AB6" s="85">
        <v>0</v>
      </c>
      <c r="AC6" s="85">
        <v>0</v>
      </c>
      <c r="AD6" s="85">
        <v>0</v>
      </c>
      <c r="AE6" s="85">
        <v>10.166887508637499</v>
      </c>
      <c r="AF6" s="85">
        <v>0.47010738949437503</v>
      </c>
      <c r="AG6" s="85">
        <v>4.5684254501277302</v>
      </c>
      <c r="AH6" s="85">
        <v>1.9996375084895901</v>
      </c>
      <c r="AI6" s="85">
        <v>0</v>
      </c>
      <c r="AJ6" s="85">
        <v>0</v>
      </c>
      <c r="AK6" s="85">
        <v>0</v>
      </c>
      <c r="AL6" s="85">
        <v>0</v>
      </c>
      <c r="AM6" s="85">
        <v>0</v>
      </c>
      <c r="AN6" s="85">
        <v>0</v>
      </c>
      <c r="AO6" s="85">
        <v>0</v>
      </c>
      <c r="AP6" s="85">
        <v>0</v>
      </c>
      <c r="AQ6" s="85">
        <v>0</v>
      </c>
      <c r="AR6" s="85">
        <v>0</v>
      </c>
      <c r="AS6" s="85">
        <v>0</v>
      </c>
      <c r="AT6" s="86">
        <v>0</v>
      </c>
    </row>
    <row r="7" spans="2:46" ht="12" customHeight="1" x14ac:dyDescent="0.25">
      <c r="B7" s="84" t="s">
        <v>80</v>
      </c>
      <c r="C7" s="85" t="s">
        <v>42</v>
      </c>
      <c r="D7" s="85" t="s">
        <v>25</v>
      </c>
      <c r="E7" s="85" t="s">
        <v>25</v>
      </c>
      <c r="F7" s="85" t="s">
        <v>89</v>
      </c>
      <c r="G7" s="85" t="s">
        <v>37</v>
      </c>
      <c r="H7" s="85" t="s">
        <v>85</v>
      </c>
      <c r="I7" s="85" t="s">
        <v>25</v>
      </c>
      <c r="J7" s="85">
        <v>20.3</v>
      </c>
      <c r="K7" s="85">
        <v>0</v>
      </c>
      <c r="L7" s="85">
        <v>0</v>
      </c>
      <c r="M7" s="85">
        <v>0</v>
      </c>
      <c r="N7" s="85">
        <v>0</v>
      </c>
      <c r="O7" s="85">
        <v>0</v>
      </c>
      <c r="P7" s="85">
        <v>0</v>
      </c>
      <c r="Q7" s="85">
        <v>0</v>
      </c>
      <c r="R7" s="85">
        <v>0</v>
      </c>
      <c r="S7" s="85">
        <v>0</v>
      </c>
      <c r="T7" s="85">
        <v>2.2707488940745901</v>
      </c>
      <c r="U7" s="85">
        <v>2.6177728499056601</v>
      </c>
      <c r="V7" s="85">
        <v>0.272551041528937</v>
      </c>
      <c r="W7" s="85">
        <v>0</v>
      </c>
      <c r="X7" s="85">
        <v>0</v>
      </c>
      <c r="Y7" s="85">
        <v>0</v>
      </c>
      <c r="Z7" s="85">
        <v>0</v>
      </c>
      <c r="AA7" s="85">
        <v>15.1394260361854</v>
      </c>
      <c r="AB7" s="85">
        <v>0</v>
      </c>
      <c r="AC7" s="85">
        <v>0</v>
      </c>
      <c r="AD7" s="85">
        <v>0</v>
      </c>
      <c r="AE7" s="85">
        <v>0</v>
      </c>
      <c r="AF7" s="85">
        <v>0</v>
      </c>
      <c r="AG7" s="85">
        <v>0</v>
      </c>
      <c r="AH7" s="85">
        <v>0</v>
      </c>
      <c r="AI7" s="85">
        <v>0</v>
      </c>
      <c r="AJ7" s="85">
        <v>0</v>
      </c>
      <c r="AK7" s="85">
        <v>0</v>
      </c>
      <c r="AL7" s="85">
        <v>0</v>
      </c>
      <c r="AM7" s="85">
        <v>0</v>
      </c>
      <c r="AN7" s="85">
        <v>0</v>
      </c>
      <c r="AO7" s="85">
        <v>0</v>
      </c>
      <c r="AP7" s="85">
        <v>0</v>
      </c>
      <c r="AQ7" s="85">
        <v>0</v>
      </c>
      <c r="AR7" s="85">
        <v>0</v>
      </c>
      <c r="AS7" s="85">
        <v>0</v>
      </c>
      <c r="AT7" s="86">
        <v>0</v>
      </c>
    </row>
    <row r="8" spans="2:46" ht="12" customHeight="1" x14ac:dyDescent="0.25">
      <c r="B8" s="84" t="s">
        <v>80</v>
      </c>
      <c r="C8" s="85" t="s">
        <v>42</v>
      </c>
      <c r="D8" s="85" t="s">
        <v>25</v>
      </c>
      <c r="E8" s="85" t="s">
        <v>25</v>
      </c>
      <c r="F8" s="85" t="s">
        <v>25</v>
      </c>
      <c r="G8" s="85" t="s">
        <v>36</v>
      </c>
      <c r="H8" s="85" t="s">
        <v>82</v>
      </c>
      <c r="I8" s="85" t="s">
        <v>25</v>
      </c>
      <c r="J8" s="85">
        <v>68.03</v>
      </c>
      <c r="K8" s="85">
        <v>347.07</v>
      </c>
      <c r="L8" s="85">
        <v>13.780334076409501</v>
      </c>
      <c r="M8" s="85">
        <v>0.120324019911782</v>
      </c>
      <c r="N8" s="85">
        <v>0.31340382852913901</v>
      </c>
      <c r="O8" s="85">
        <v>0</v>
      </c>
      <c r="P8" s="85">
        <v>0</v>
      </c>
      <c r="Q8" s="85">
        <v>22.8209694464954</v>
      </c>
      <c r="R8" s="85">
        <v>13.785929126696301</v>
      </c>
      <c r="S8" s="85">
        <v>0</v>
      </c>
      <c r="T8" s="85">
        <v>0</v>
      </c>
      <c r="U8" s="85">
        <v>0</v>
      </c>
      <c r="V8" s="85">
        <v>0</v>
      </c>
      <c r="W8" s="85">
        <v>0</v>
      </c>
      <c r="X8" s="85">
        <v>0</v>
      </c>
      <c r="Y8" s="85">
        <v>0</v>
      </c>
      <c r="Z8" s="85">
        <v>0</v>
      </c>
      <c r="AA8" s="85">
        <v>0</v>
      </c>
      <c r="AB8" s="85">
        <v>0</v>
      </c>
      <c r="AC8" s="85">
        <v>0</v>
      </c>
      <c r="AD8" s="85">
        <v>0</v>
      </c>
      <c r="AE8" s="85">
        <v>10.166887508637499</v>
      </c>
      <c r="AF8" s="85">
        <v>0.47010738949437503</v>
      </c>
      <c r="AG8" s="85">
        <v>4.5684254501277302</v>
      </c>
      <c r="AH8" s="85">
        <v>1.9996375084895901</v>
      </c>
      <c r="AI8" s="85">
        <v>5.0291998178053499</v>
      </c>
      <c r="AJ8" s="85">
        <v>-16.0356557284336</v>
      </c>
      <c r="AK8" s="85">
        <v>2.3157126121942899</v>
      </c>
      <c r="AL8" s="85">
        <v>17.796756473610099</v>
      </c>
      <c r="AM8" s="85">
        <v>0</v>
      </c>
      <c r="AN8" s="85">
        <v>333.20299739094702</v>
      </c>
      <c r="AO8" s="85">
        <v>0</v>
      </c>
      <c r="AP8" s="85">
        <v>0</v>
      </c>
      <c r="AQ8" s="85">
        <v>0</v>
      </c>
      <c r="AR8" s="85">
        <v>0</v>
      </c>
      <c r="AS8" s="85">
        <v>0</v>
      </c>
      <c r="AT8" s="86">
        <v>4.75721380034138</v>
      </c>
    </row>
    <row r="9" spans="2:46" ht="12" customHeight="1" x14ac:dyDescent="0.25">
      <c r="B9" s="84" t="s">
        <v>80</v>
      </c>
      <c r="C9" s="85" t="s">
        <v>42</v>
      </c>
      <c r="D9" s="85" t="s">
        <v>25</v>
      </c>
      <c r="E9" s="85" t="s">
        <v>25</v>
      </c>
      <c r="F9" s="85" t="s">
        <v>25</v>
      </c>
      <c r="G9" s="85" t="s">
        <v>36</v>
      </c>
      <c r="H9" s="85" t="s">
        <v>85</v>
      </c>
      <c r="I9" s="85" t="s">
        <v>25</v>
      </c>
      <c r="J9" s="85">
        <v>56.86</v>
      </c>
      <c r="K9" s="85">
        <v>0</v>
      </c>
      <c r="L9" s="85">
        <v>0</v>
      </c>
      <c r="M9" s="85">
        <v>0</v>
      </c>
      <c r="N9" s="85">
        <v>0</v>
      </c>
      <c r="O9" s="85">
        <v>0</v>
      </c>
      <c r="P9" s="85">
        <v>0</v>
      </c>
      <c r="Q9" s="85">
        <v>0</v>
      </c>
      <c r="R9" s="85">
        <v>0</v>
      </c>
      <c r="S9" s="85">
        <v>0</v>
      </c>
      <c r="T9" s="85">
        <v>3.02452989493377</v>
      </c>
      <c r="U9" s="85">
        <v>3.1644454138859599</v>
      </c>
      <c r="V9" s="85">
        <v>0.32628206877496302</v>
      </c>
      <c r="W9" s="85">
        <v>0</v>
      </c>
      <c r="X9" s="85">
        <v>0</v>
      </c>
      <c r="Y9" s="85">
        <v>0</v>
      </c>
      <c r="Z9" s="85">
        <v>0</v>
      </c>
      <c r="AA9" s="85">
        <v>50.344262104444098</v>
      </c>
      <c r="AB9" s="85">
        <v>0</v>
      </c>
      <c r="AC9" s="85">
        <v>0</v>
      </c>
      <c r="AD9" s="85">
        <v>0</v>
      </c>
      <c r="AE9" s="85">
        <v>0</v>
      </c>
      <c r="AF9" s="85">
        <v>0</v>
      </c>
      <c r="AG9" s="85">
        <v>0</v>
      </c>
      <c r="AH9" s="85">
        <v>0</v>
      </c>
      <c r="AI9" s="85">
        <v>0</v>
      </c>
      <c r="AJ9" s="85">
        <v>0</v>
      </c>
      <c r="AK9" s="85">
        <v>0</v>
      </c>
      <c r="AL9" s="85">
        <v>0</v>
      </c>
      <c r="AM9" s="85">
        <v>0</v>
      </c>
      <c r="AN9" s="85">
        <v>0</v>
      </c>
      <c r="AO9" s="85">
        <v>0</v>
      </c>
      <c r="AP9" s="85">
        <v>0</v>
      </c>
      <c r="AQ9" s="85">
        <v>0</v>
      </c>
      <c r="AR9" s="85">
        <v>0</v>
      </c>
      <c r="AS9" s="85">
        <v>0</v>
      </c>
      <c r="AT9" s="86">
        <v>0</v>
      </c>
    </row>
    <row r="10" spans="2:46" ht="12" customHeight="1" x14ac:dyDescent="0.25">
      <c r="B10" s="84" t="s">
        <v>80</v>
      </c>
      <c r="C10" s="85" t="s">
        <v>42</v>
      </c>
      <c r="D10" s="85" t="s">
        <v>25</v>
      </c>
      <c r="E10" s="85" t="s">
        <v>25</v>
      </c>
      <c r="F10" s="85" t="s">
        <v>25</v>
      </c>
      <c r="G10" s="85" t="s">
        <v>37</v>
      </c>
      <c r="H10" s="85" t="s">
        <v>82</v>
      </c>
      <c r="I10" s="85" t="s">
        <v>25</v>
      </c>
      <c r="J10" s="85">
        <v>68.03</v>
      </c>
      <c r="K10" s="85">
        <v>207.59</v>
      </c>
      <c r="L10" s="85">
        <v>13.780334076409501</v>
      </c>
      <c r="M10" s="85">
        <v>0.120324019911782</v>
      </c>
      <c r="N10" s="85">
        <v>0.31340382852913901</v>
      </c>
      <c r="O10" s="85">
        <v>0</v>
      </c>
      <c r="P10" s="85">
        <v>0</v>
      </c>
      <c r="Q10" s="85">
        <v>22.8209694464954</v>
      </c>
      <c r="R10" s="85">
        <v>13.785929126696301</v>
      </c>
      <c r="S10" s="85">
        <v>0</v>
      </c>
      <c r="T10" s="85">
        <v>0</v>
      </c>
      <c r="U10" s="85">
        <v>0</v>
      </c>
      <c r="V10" s="85">
        <v>0</v>
      </c>
      <c r="W10" s="85">
        <v>0</v>
      </c>
      <c r="X10" s="85">
        <v>0</v>
      </c>
      <c r="Y10" s="85">
        <v>0</v>
      </c>
      <c r="Z10" s="85">
        <v>0</v>
      </c>
      <c r="AA10" s="85">
        <v>0</v>
      </c>
      <c r="AB10" s="85">
        <v>0</v>
      </c>
      <c r="AC10" s="85">
        <v>0</v>
      </c>
      <c r="AD10" s="85">
        <v>0</v>
      </c>
      <c r="AE10" s="85">
        <v>10.166887508637499</v>
      </c>
      <c r="AF10" s="85">
        <v>0.47010738949437503</v>
      </c>
      <c r="AG10" s="85">
        <v>4.5684254501277302</v>
      </c>
      <c r="AH10" s="85">
        <v>1.9996375084895901</v>
      </c>
      <c r="AI10" s="85">
        <v>5.0291998178053499</v>
      </c>
      <c r="AJ10" s="85">
        <v>-16.0356557284336</v>
      </c>
      <c r="AK10" s="85">
        <v>2.3157126121942899</v>
      </c>
      <c r="AL10" s="85">
        <v>17.796756473610099</v>
      </c>
      <c r="AM10" s="85">
        <v>0</v>
      </c>
      <c r="AN10" s="85">
        <v>193.722672901713</v>
      </c>
      <c r="AO10" s="85">
        <v>0</v>
      </c>
      <c r="AP10" s="85">
        <v>0</v>
      </c>
      <c r="AQ10" s="85">
        <v>0</v>
      </c>
      <c r="AR10" s="85">
        <v>0</v>
      </c>
      <c r="AS10" s="85">
        <v>0</v>
      </c>
      <c r="AT10" s="86">
        <v>4.75721380034138</v>
      </c>
    </row>
    <row r="11" spans="2:46" ht="12" customHeight="1" x14ac:dyDescent="0.25">
      <c r="B11" s="84" t="s">
        <v>80</v>
      </c>
      <c r="C11" s="85" t="s">
        <v>42</v>
      </c>
      <c r="D11" s="85" t="s">
        <v>25</v>
      </c>
      <c r="E11" s="85" t="s">
        <v>25</v>
      </c>
      <c r="F11" s="85" t="s">
        <v>25</v>
      </c>
      <c r="G11" s="85" t="s">
        <v>37</v>
      </c>
      <c r="H11" s="85" t="s">
        <v>85</v>
      </c>
      <c r="I11" s="85" t="s">
        <v>25</v>
      </c>
      <c r="J11" s="85">
        <v>20.3</v>
      </c>
      <c r="K11" s="85">
        <v>0</v>
      </c>
      <c r="L11" s="85">
        <v>0</v>
      </c>
      <c r="M11" s="85">
        <v>0</v>
      </c>
      <c r="N11" s="85">
        <v>0</v>
      </c>
      <c r="O11" s="85">
        <v>0</v>
      </c>
      <c r="P11" s="85">
        <v>0</v>
      </c>
      <c r="Q11" s="85">
        <v>0</v>
      </c>
      <c r="R11" s="85">
        <v>0</v>
      </c>
      <c r="S11" s="85">
        <v>0</v>
      </c>
      <c r="T11" s="85">
        <v>2.2707488940745901</v>
      </c>
      <c r="U11" s="85">
        <v>2.6177728499056601</v>
      </c>
      <c r="V11" s="85">
        <v>0.272551041528937</v>
      </c>
      <c r="W11" s="85">
        <v>0</v>
      </c>
      <c r="X11" s="85">
        <v>0</v>
      </c>
      <c r="Y11" s="85">
        <v>0</v>
      </c>
      <c r="Z11" s="85">
        <v>0</v>
      </c>
      <c r="AA11" s="85">
        <v>15.1394260361854</v>
      </c>
      <c r="AB11" s="85">
        <v>0</v>
      </c>
      <c r="AC11" s="85">
        <v>0</v>
      </c>
      <c r="AD11" s="85">
        <v>0</v>
      </c>
      <c r="AE11" s="85">
        <v>0</v>
      </c>
      <c r="AF11" s="85">
        <v>0</v>
      </c>
      <c r="AG11" s="85">
        <v>0</v>
      </c>
      <c r="AH11" s="85">
        <v>0</v>
      </c>
      <c r="AI11" s="85">
        <v>0</v>
      </c>
      <c r="AJ11" s="85">
        <v>0</v>
      </c>
      <c r="AK11" s="85">
        <v>0</v>
      </c>
      <c r="AL11" s="85">
        <v>0</v>
      </c>
      <c r="AM11" s="85">
        <v>0</v>
      </c>
      <c r="AN11" s="85">
        <v>0</v>
      </c>
      <c r="AO11" s="85">
        <v>0</v>
      </c>
      <c r="AP11" s="85">
        <v>0</v>
      </c>
      <c r="AQ11" s="85">
        <v>0</v>
      </c>
      <c r="AR11" s="85">
        <v>0</v>
      </c>
      <c r="AS11" s="85">
        <v>0</v>
      </c>
      <c r="AT11" s="86">
        <v>0</v>
      </c>
    </row>
    <row r="12" spans="2:46" ht="12" customHeight="1" x14ac:dyDescent="0.25">
      <c r="B12" s="84" t="s">
        <v>80</v>
      </c>
      <c r="C12" s="85" t="s">
        <v>23</v>
      </c>
      <c r="D12" s="85" t="s">
        <v>25</v>
      </c>
      <c r="E12" s="85" t="s">
        <v>25</v>
      </c>
      <c r="F12" s="85" t="s">
        <v>25</v>
      </c>
      <c r="G12" s="85" t="s">
        <v>25</v>
      </c>
      <c r="H12" s="85" t="s">
        <v>82</v>
      </c>
      <c r="I12" s="85" t="s">
        <v>25</v>
      </c>
      <c r="J12" s="85">
        <v>0</v>
      </c>
      <c r="K12" s="85">
        <v>219.21</v>
      </c>
      <c r="L12" s="85">
        <v>0</v>
      </c>
      <c r="M12" s="85">
        <v>0</v>
      </c>
      <c r="N12" s="85">
        <v>0</v>
      </c>
      <c r="O12" s="85">
        <v>0</v>
      </c>
      <c r="P12" s="85">
        <v>0</v>
      </c>
      <c r="Q12" s="85">
        <v>0</v>
      </c>
      <c r="R12" s="85">
        <v>0</v>
      </c>
      <c r="S12" s="85">
        <v>0</v>
      </c>
      <c r="T12" s="85">
        <v>0</v>
      </c>
      <c r="U12" s="85">
        <v>0</v>
      </c>
      <c r="V12" s="85">
        <v>0</v>
      </c>
      <c r="W12" s="85">
        <v>0</v>
      </c>
      <c r="X12" s="85">
        <v>0</v>
      </c>
      <c r="Y12" s="85">
        <v>0</v>
      </c>
      <c r="Z12" s="85">
        <v>0</v>
      </c>
      <c r="AA12" s="85">
        <v>0</v>
      </c>
      <c r="AB12" s="85">
        <v>0</v>
      </c>
      <c r="AC12" s="85">
        <v>0</v>
      </c>
      <c r="AD12" s="85">
        <v>0</v>
      </c>
      <c r="AE12" s="85">
        <v>0</v>
      </c>
      <c r="AF12" s="85">
        <v>0</v>
      </c>
      <c r="AG12" s="85">
        <v>0</v>
      </c>
      <c r="AH12" s="85">
        <v>0</v>
      </c>
      <c r="AI12" s="85">
        <v>5.0291998178053499</v>
      </c>
      <c r="AJ12" s="85">
        <v>-16.0356557284336</v>
      </c>
      <c r="AK12" s="85">
        <v>2.3157126121942899</v>
      </c>
      <c r="AL12" s="85">
        <v>17.796756473610099</v>
      </c>
      <c r="AM12" s="85">
        <v>0</v>
      </c>
      <c r="AN12" s="85">
        <v>205.34603327581601</v>
      </c>
      <c r="AO12" s="85">
        <v>0</v>
      </c>
      <c r="AP12" s="85">
        <v>0</v>
      </c>
      <c r="AQ12" s="85">
        <v>0</v>
      </c>
      <c r="AR12" s="85">
        <v>0</v>
      </c>
      <c r="AS12" s="85">
        <v>0</v>
      </c>
      <c r="AT12" s="86">
        <v>4.75721380034138</v>
      </c>
    </row>
    <row r="13" spans="2:46" ht="12" customHeight="1" x14ac:dyDescent="0.25">
      <c r="B13" s="84" t="s">
        <v>43</v>
      </c>
      <c r="C13" s="85" t="s">
        <v>42</v>
      </c>
      <c r="D13" s="85" t="s">
        <v>25</v>
      </c>
      <c r="E13" s="85" t="s">
        <v>25</v>
      </c>
      <c r="F13" s="85" t="s">
        <v>89</v>
      </c>
      <c r="G13" s="85" t="s">
        <v>36</v>
      </c>
      <c r="H13" s="85" t="s">
        <v>82</v>
      </c>
      <c r="I13" s="85" t="s">
        <v>25</v>
      </c>
      <c r="J13" s="85">
        <v>42.04</v>
      </c>
      <c r="K13" s="85">
        <v>0</v>
      </c>
      <c r="L13" s="85">
        <v>0</v>
      </c>
      <c r="M13" s="85">
        <v>0.67311137823630396</v>
      </c>
      <c r="N13" s="85">
        <v>0.68170027149602996</v>
      </c>
      <c r="O13" s="85">
        <v>0</v>
      </c>
      <c r="P13" s="85">
        <v>0</v>
      </c>
      <c r="Q13" s="85">
        <v>0</v>
      </c>
      <c r="R13" s="85">
        <v>0</v>
      </c>
      <c r="S13" s="85">
        <v>0</v>
      </c>
      <c r="T13" s="85">
        <v>0</v>
      </c>
      <c r="U13" s="85">
        <v>0</v>
      </c>
      <c r="V13" s="85">
        <v>0</v>
      </c>
      <c r="W13" s="85">
        <v>0</v>
      </c>
      <c r="X13" s="85">
        <v>0</v>
      </c>
      <c r="Y13" s="85">
        <v>0</v>
      </c>
      <c r="Z13" s="85">
        <v>0</v>
      </c>
      <c r="AA13" s="85">
        <v>0</v>
      </c>
      <c r="AB13" s="85">
        <v>0</v>
      </c>
      <c r="AC13" s="85">
        <v>0</v>
      </c>
      <c r="AD13" s="85">
        <v>0</v>
      </c>
      <c r="AE13" s="85">
        <v>13.555933410576699</v>
      </c>
      <c r="AF13" s="85">
        <v>0.62681370895386401</v>
      </c>
      <c r="AG13" s="85">
        <v>18.432729455339999</v>
      </c>
      <c r="AH13" s="85">
        <v>8.0681577504363702</v>
      </c>
      <c r="AI13" s="85">
        <v>0</v>
      </c>
      <c r="AJ13" s="85">
        <v>0</v>
      </c>
      <c r="AK13" s="85">
        <v>0</v>
      </c>
      <c r="AL13" s="85">
        <v>0</v>
      </c>
      <c r="AM13" s="85">
        <v>0</v>
      </c>
      <c r="AN13" s="85">
        <v>0</v>
      </c>
      <c r="AO13" s="85">
        <v>0</v>
      </c>
      <c r="AP13" s="85">
        <v>0</v>
      </c>
      <c r="AQ13" s="85">
        <v>0</v>
      </c>
      <c r="AR13" s="85">
        <v>0</v>
      </c>
      <c r="AS13" s="85">
        <v>0</v>
      </c>
      <c r="AT13" s="86">
        <v>0</v>
      </c>
    </row>
    <row r="14" spans="2:46" ht="12" customHeight="1" x14ac:dyDescent="0.25">
      <c r="B14" s="84" t="s">
        <v>43</v>
      </c>
      <c r="C14" s="85" t="s">
        <v>42</v>
      </c>
      <c r="D14" s="85" t="s">
        <v>25</v>
      </c>
      <c r="E14" s="85" t="s">
        <v>25</v>
      </c>
      <c r="F14" s="85" t="s">
        <v>89</v>
      </c>
      <c r="G14" s="85" t="s">
        <v>36</v>
      </c>
      <c r="H14" s="85" t="s">
        <v>85</v>
      </c>
      <c r="I14" s="85" t="s">
        <v>25</v>
      </c>
      <c r="J14" s="85">
        <v>60.65</v>
      </c>
      <c r="K14" s="85">
        <v>0</v>
      </c>
      <c r="L14" s="85">
        <v>0</v>
      </c>
      <c r="M14" s="85">
        <v>0</v>
      </c>
      <c r="N14" s="85">
        <v>0</v>
      </c>
      <c r="O14" s="85">
        <v>0</v>
      </c>
      <c r="P14" s="85">
        <v>0</v>
      </c>
      <c r="Q14" s="85">
        <v>0</v>
      </c>
      <c r="R14" s="85">
        <v>0</v>
      </c>
      <c r="S14" s="85">
        <v>0</v>
      </c>
      <c r="T14" s="85">
        <v>3.2261017215732499</v>
      </c>
      <c r="U14" s="85">
        <v>3.3754991002783501</v>
      </c>
      <c r="V14" s="85">
        <v>0.34803420669329399</v>
      </c>
      <c r="W14" s="85">
        <v>0</v>
      </c>
      <c r="X14" s="85">
        <v>0</v>
      </c>
      <c r="Y14" s="85">
        <v>0</v>
      </c>
      <c r="Z14" s="85">
        <v>0</v>
      </c>
      <c r="AA14" s="85">
        <v>53.700546244740401</v>
      </c>
      <c r="AB14" s="85">
        <v>0</v>
      </c>
      <c r="AC14" s="85">
        <v>0</v>
      </c>
      <c r="AD14" s="85">
        <v>0</v>
      </c>
      <c r="AE14" s="85">
        <v>0</v>
      </c>
      <c r="AF14" s="85">
        <v>0</v>
      </c>
      <c r="AG14" s="85">
        <v>0</v>
      </c>
      <c r="AH14" s="85">
        <v>0</v>
      </c>
      <c r="AI14" s="85">
        <v>0</v>
      </c>
      <c r="AJ14" s="85">
        <v>0</v>
      </c>
      <c r="AK14" s="85">
        <v>0</v>
      </c>
      <c r="AL14" s="85">
        <v>0</v>
      </c>
      <c r="AM14" s="85">
        <v>0</v>
      </c>
      <c r="AN14" s="85">
        <v>0</v>
      </c>
      <c r="AO14" s="85">
        <v>0</v>
      </c>
      <c r="AP14" s="85">
        <v>0</v>
      </c>
      <c r="AQ14" s="85">
        <v>0</v>
      </c>
      <c r="AR14" s="85">
        <v>0</v>
      </c>
      <c r="AS14" s="85">
        <v>0</v>
      </c>
      <c r="AT14" s="86">
        <v>0</v>
      </c>
    </row>
    <row r="15" spans="2:46" ht="12" customHeight="1" x14ac:dyDescent="0.25">
      <c r="B15" s="84" t="s">
        <v>43</v>
      </c>
      <c r="C15" s="85" t="s">
        <v>42</v>
      </c>
      <c r="D15" s="85" t="s">
        <v>25</v>
      </c>
      <c r="E15" s="85" t="s">
        <v>25</v>
      </c>
      <c r="F15" s="85" t="s">
        <v>89</v>
      </c>
      <c r="G15" s="85" t="s">
        <v>37</v>
      </c>
      <c r="H15" s="85" t="s">
        <v>82</v>
      </c>
      <c r="I15" s="85" t="s">
        <v>25</v>
      </c>
      <c r="J15" s="85">
        <v>42.04</v>
      </c>
      <c r="K15" s="85">
        <v>0</v>
      </c>
      <c r="L15" s="85">
        <v>0</v>
      </c>
      <c r="M15" s="85">
        <v>0.67311137823630396</v>
      </c>
      <c r="N15" s="85">
        <v>0.68170027149602996</v>
      </c>
      <c r="O15" s="85">
        <v>0</v>
      </c>
      <c r="P15" s="85">
        <v>0</v>
      </c>
      <c r="Q15" s="85">
        <v>0</v>
      </c>
      <c r="R15" s="85">
        <v>0</v>
      </c>
      <c r="S15" s="85">
        <v>0</v>
      </c>
      <c r="T15" s="85">
        <v>0</v>
      </c>
      <c r="U15" s="85">
        <v>0</v>
      </c>
      <c r="V15" s="85">
        <v>0</v>
      </c>
      <c r="W15" s="85">
        <v>0</v>
      </c>
      <c r="X15" s="85">
        <v>0</v>
      </c>
      <c r="Y15" s="85">
        <v>0</v>
      </c>
      <c r="Z15" s="85">
        <v>0</v>
      </c>
      <c r="AA15" s="85">
        <v>0</v>
      </c>
      <c r="AB15" s="85">
        <v>0</v>
      </c>
      <c r="AC15" s="85">
        <v>0</v>
      </c>
      <c r="AD15" s="85">
        <v>0</v>
      </c>
      <c r="AE15" s="85">
        <v>13.555933410576699</v>
      </c>
      <c r="AF15" s="85">
        <v>0.62681370895386401</v>
      </c>
      <c r="AG15" s="85">
        <v>18.432729455339999</v>
      </c>
      <c r="AH15" s="85">
        <v>8.0681577504363702</v>
      </c>
      <c r="AI15" s="85">
        <v>0</v>
      </c>
      <c r="AJ15" s="85">
        <v>0</v>
      </c>
      <c r="AK15" s="85">
        <v>0</v>
      </c>
      <c r="AL15" s="85">
        <v>0</v>
      </c>
      <c r="AM15" s="85">
        <v>0</v>
      </c>
      <c r="AN15" s="85">
        <v>0</v>
      </c>
      <c r="AO15" s="85">
        <v>0</v>
      </c>
      <c r="AP15" s="85">
        <v>0</v>
      </c>
      <c r="AQ15" s="85">
        <v>0</v>
      </c>
      <c r="AR15" s="85">
        <v>0</v>
      </c>
      <c r="AS15" s="85">
        <v>0</v>
      </c>
      <c r="AT15" s="86">
        <v>0</v>
      </c>
    </row>
    <row r="16" spans="2:46" ht="12" customHeight="1" x14ac:dyDescent="0.25">
      <c r="B16" s="84" t="s">
        <v>43</v>
      </c>
      <c r="C16" s="85" t="s">
        <v>42</v>
      </c>
      <c r="D16" s="85" t="s">
        <v>25</v>
      </c>
      <c r="E16" s="85" t="s">
        <v>25</v>
      </c>
      <c r="F16" s="85" t="s">
        <v>89</v>
      </c>
      <c r="G16" s="85" t="s">
        <v>37</v>
      </c>
      <c r="H16" s="85" t="s">
        <v>85</v>
      </c>
      <c r="I16" s="85" t="s">
        <v>25</v>
      </c>
      <c r="J16" s="85">
        <v>21.65</v>
      </c>
      <c r="K16" s="85">
        <v>0</v>
      </c>
      <c r="L16" s="85">
        <v>0</v>
      </c>
      <c r="M16" s="85">
        <v>0</v>
      </c>
      <c r="N16" s="85">
        <v>0</v>
      </c>
      <c r="O16" s="85">
        <v>0</v>
      </c>
      <c r="P16" s="85">
        <v>0</v>
      </c>
      <c r="Q16" s="85">
        <v>0</v>
      </c>
      <c r="R16" s="85">
        <v>0</v>
      </c>
      <c r="S16" s="85">
        <v>0</v>
      </c>
      <c r="T16" s="85">
        <v>2.4221004038348499</v>
      </c>
      <c r="U16" s="85">
        <v>2.7922457104993699</v>
      </c>
      <c r="V16" s="85">
        <v>0.29076439880085198</v>
      </c>
      <c r="W16" s="85">
        <v>0</v>
      </c>
      <c r="X16" s="85">
        <v>0</v>
      </c>
      <c r="Y16" s="85">
        <v>0</v>
      </c>
      <c r="Z16" s="85">
        <v>0</v>
      </c>
      <c r="AA16" s="85">
        <v>16.1487211052644</v>
      </c>
      <c r="AB16" s="85">
        <v>0</v>
      </c>
      <c r="AC16" s="85">
        <v>0</v>
      </c>
      <c r="AD16" s="85">
        <v>0</v>
      </c>
      <c r="AE16" s="85">
        <v>0</v>
      </c>
      <c r="AF16" s="85">
        <v>0</v>
      </c>
      <c r="AG16" s="85">
        <v>0</v>
      </c>
      <c r="AH16" s="85">
        <v>0</v>
      </c>
      <c r="AI16" s="85">
        <v>0</v>
      </c>
      <c r="AJ16" s="85">
        <v>0</v>
      </c>
      <c r="AK16" s="85">
        <v>0</v>
      </c>
      <c r="AL16" s="85">
        <v>0</v>
      </c>
      <c r="AM16" s="85">
        <v>0</v>
      </c>
      <c r="AN16" s="85">
        <v>0</v>
      </c>
      <c r="AO16" s="85">
        <v>0</v>
      </c>
      <c r="AP16" s="85">
        <v>0</v>
      </c>
      <c r="AQ16" s="85">
        <v>0</v>
      </c>
      <c r="AR16" s="85">
        <v>0</v>
      </c>
      <c r="AS16" s="85">
        <v>0</v>
      </c>
      <c r="AT16" s="86">
        <v>0</v>
      </c>
    </row>
    <row r="17" spans="2:46" ht="12" customHeight="1" x14ac:dyDescent="0.25">
      <c r="B17" s="84" t="s">
        <v>43</v>
      </c>
      <c r="C17" s="85" t="s">
        <v>42</v>
      </c>
      <c r="D17" s="85" t="s">
        <v>25</v>
      </c>
      <c r="E17" s="85" t="s">
        <v>25</v>
      </c>
      <c r="F17" s="85" t="s">
        <v>25</v>
      </c>
      <c r="G17" s="85" t="s">
        <v>36</v>
      </c>
      <c r="H17" s="85" t="s">
        <v>82</v>
      </c>
      <c r="I17" s="85" t="s">
        <v>25</v>
      </c>
      <c r="J17" s="85">
        <v>105.42</v>
      </c>
      <c r="K17" s="85">
        <v>347.07</v>
      </c>
      <c r="L17" s="85">
        <v>18.670130039006501</v>
      </c>
      <c r="M17" s="85">
        <v>0.67311137823630396</v>
      </c>
      <c r="N17" s="85">
        <v>0.69317403046192105</v>
      </c>
      <c r="O17" s="85">
        <v>0</v>
      </c>
      <c r="P17" s="85">
        <v>0</v>
      </c>
      <c r="Q17" s="85">
        <v>30.918732798477599</v>
      </c>
      <c r="R17" s="85">
        <v>13.785929126696301</v>
      </c>
      <c r="S17" s="85">
        <v>0</v>
      </c>
      <c r="T17" s="85">
        <v>0</v>
      </c>
      <c r="U17" s="85">
        <v>0</v>
      </c>
      <c r="V17" s="85">
        <v>0</v>
      </c>
      <c r="W17" s="85">
        <v>0</v>
      </c>
      <c r="X17" s="85">
        <v>0</v>
      </c>
      <c r="Y17" s="85">
        <v>0</v>
      </c>
      <c r="Z17" s="85">
        <v>0</v>
      </c>
      <c r="AA17" s="85">
        <v>0</v>
      </c>
      <c r="AB17" s="85">
        <v>0</v>
      </c>
      <c r="AC17" s="85">
        <v>0</v>
      </c>
      <c r="AD17" s="85">
        <v>0</v>
      </c>
      <c r="AE17" s="85">
        <v>13.555933410576699</v>
      </c>
      <c r="AF17" s="85">
        <v>0.62681370895386401</v>
      </c>
      <c r="AG17" s="85">
        <v>18.432729455339999</v>
      </c>
      <c r="AH17" s="85">
        <v>8.0681577504363702</v>
      </c>
      <c r="AI17" s="85">
        <v>5.0291998178053499</v>
      </c>
      <c r="AJ17" s="85">
        <v>-16.0356557284336</v>
      </c>
      <c r="AK17" s="85">
        <v>2.3157126121942899</v>
      </c>
      <c r="AL17" s="85">
        <v>17.796756473610099</v>
      </c>
      <c r="AM17" s="85">
        <v>0</v>
      </c>
      <c r="AN17" s="85">
        <v>333.20299739094702</v>
      </c>
      <c r="AO17" s="85">
        <v>0</v>
      </c>
      <c r="AP17" s="85">
        <v>0</v>
      </c>
      <c r="AQ17" s="85">
        <v>0</v>
      </c>
      <c r="AR17" s="85">
        <v>0</v>
      </c>
      <c r="AS17" s="85">
        <v>0</v>
      </c>
      <c r="AT17" s="86">
        <v>4.75721380034138</v>
      </c>
    </row>
    <row r="18" spans="2:46" ht="12" customHeight="1" x14ac:dyDescent="0.25">
      <c r="B18" s="84" t="s">
        <v>43</v>
      </c>
      <c r="C18" s="85" t="s">
        <v>42</v>
      </c>
      <c r="D18" s="85" t="s">
        <v>25</v>
      </c>
      <c r="E18" s="85" t="s">
        <v>25</v>
      </c>
      <c r="F18" s="85" t="s">
        <v>25</v>
      </c>
      <c r="G18" s="85" t="s">
        <v>36</v>
      </c>
      <c r="H18" s="85" t="s">
        <v>85</v>
      </c>
      <c r="I18" s="85" t="s">
        <v>25</v>
      </c>
      <c r="J18" s="85">
        <v>60.65</v>
      </c>
      <c r="K18" s="85">
        <v>0</v>
      </c>
      <c r="L18" s="85">
        <v>0</v>
      </c>
      <c r="M18" s="85">
        <v>0</v>
      </c>
      <c r="N18" s="85">
        <v>0</v>
      </c>
      <c r="O18" s="85">
        <v>0</v>
      </c>
      <c r="P18" s="85">
        <v>0</v>
      </c>
      <c r="Q18" s="85">
        <v>0</v>
      </c>
      <c r="R18" s="85">
        <v>0</v>
      </c>
      <c r="S18" s="85">
        <v>0</v>
      </c>
      <c r="T18" s="85">
        <v>3.2261017215732499</v>
      </c>
      <c r="U18" s="85">
        <v>3.3754991002783501</v>
      </c>
      <c r="V18" s="85">
        <v>0.34803420669329399</v>
      </c>
      <c r="W18" s="85">
        <v>0</v>
      </c>
      <c r="X18" s="85">
        <v>0</v>
      </c>
      <c r="Y18" s="85">
        <v>0</v>
      </c>
      <c r="Z18" s="85">
        <v>0</v>
      </c>
      <c r="AA18" s="85">
        <v>53.700546244740401</v>
      </c>
      <c r="AB18" s="85">
        <v>0</v>
      </c>
      <c r="AC18" s="85">
        <v>0</v>
      </c>
      <c r="AD18" s="85">
        <v>0</v>
      </c>
      <c r="AE18" s="85">
        <v>0</v>
      </c>
      <c r="AF18" s="85">
        <v>0</v>
      </c>
      <c r="AG18" s="85">
        <v>0</v>
      </c>
      <c r="AH18" s="85">
        <v>0</v>
      </c>
      <c r="AI18" s="85">
        <v>0</v>
      </c>
      <c r="AJ18" s="85">
        <v>0</v>
      </c>
      <c r="AK18" s="85">
        <v>0</v>
      </c>
      <c r="AL18" s="85">
        <v>0</v>
      </c>
      <c r="AM18" s="85">
        <v>0</v>
      </c>
      <c r="AN18" s="85">
        <v>0</v>
      </c>
      <c r="AO18" s="85">
        <v>0</v>
      </c>
      <c r="AP18" s="85">
        <v>0</v>
      </c>
      <c r="AQ18" s="85">
        <v>0</v>
      </c>
      <c r="AR18" s="85">
        <v>0</v>
      </c>
      <c r="AS18" s="85">
        <v>0</v>
      </c>
      <c r="AT18" s="86">
        <v>0</v>
      </c>
    </row>
    <row r="19" spans="2:46" ht="12" customHeight="1" x14ac:dyDescent="0.25">
      <c r="B19" s="84" t="s">
        <v>43</v>
      </c>
      <c r="C19" s="85" t="s">
        <v>42</v>
      </c>
      <c r="D19" s="85" t="s">
        <v>25</v>
      </c>
      <c r="E19" s="85" t="s">
        <v>25</v>
      </c>
      <c r="F19" s="85" t="s">
        <v>25</v>
      </c>
      <c r="G19" s="85" t="s">
        <v>37</v>
      </c>
      <c r="H19" s="85" t="s">
        <v>82</v>
      </c>
      <c r="I19" s="85" t="s">
        <v>25</v>
      </c>
      <c r="J19" s="85">
        <v>105.42</v>
      </c>
      <c r="K19" s="85">
        <v>207.59</v>
      </c>
      <c r="L19" s="85">
        <v>18.670130039006501</v>
      </c>
      <c r="M19" s="85">
        <v>0.67311137823630396</v>
      </c>
      <c r="N19" s="85">
        <v>0.69317403046192105</v>
      </c>
      <c r="O19" s="85">
        <v>0</v>
      </c>
      <c r="P19" s="85">
        <v>0</v>
      </c>
      <c r="Q19" s="85">
        <v>30.918732798477599</v>
      </c>
      <c r="R19" s="85">
        <v>13.785929126696301</v>
      </c>
      <c r="S19" s="85">
        <v>0</v>
      </c>
      <c r="T19" s="85">
        <v>0</v>
      </c>
      <c r="U19" s="85">
        <v>0</v>
      </c>
      <c r="V19" s="85">
        <v>0</v>
      </c>
      <c r="W19" s="85">
        <v>0</v>
      </c>
      <c r="X19" s="85">
        <v>0</v>
      </c>
      <c r="Y19" s="85">
        <v>0</v>
      </c>
      <c r="Z19" s="85">
        <v>0</v>
      </c>
      <c r="AA19" s="85">
        <v>0</v>
      </c>
      <c r="AB19" s="85">
        <v>0</v>
      </c>
      <c r="AC19" s="85">
        <v>0</v>
      </c>
      <c r="AD19" s="85">
        <v>0</v>
      </c>
      <c r="AE19" s="85">
        <v>13.555933410576699</v>
      </c>
      <c r="AF19" s="85">
        <v>0.62681370895386401</v>
      </c>
      <c r="AG19" s="85">
        <v>18.432729455339999</v>
      </c>
      <c r="AH19" s="85">
        <v>8.0681577504363702</v>
      </c>
      <c r="AI19" s="85">
        <v>5.0291998178053499</v>
      </c>
      <c r="AJ19" s="85">
        <v>-16.0356557284336</v>
      </c>
      <c r="AK19" s="85">
        <v>2.3157126121942899</v>
      </c>
      <c r="AL19" s="85">
        <v>17.796756473610099</v>
      </c>
      <c r="AM19" s="85">
        <v>0</v>
      </c>
      <c r="AN19" s="85">
        <v>193.722672901713</v>
      </c>
      <c r="AO19" s="85">
        <v>0</v>
      </c>
      <c r="AP19" s="85">
        <v>0</v>
      </c>
      <c r="AQ19" s="85">
        <v>0</v>
      </c>
      <c r="AR19" s="85">
        <v>0</v>
      </c>
      <c r="AS19" s="85">
        <v>0</v>
      </c>
      <c r="AT19" s="86">
        <v>4.75721380034138</v>
      </c>
    </row>
    <row r="20" spans="2:46" ht="12" customHeight="1" x14ac:dyDescent="0.25">
      <c r="B20" s="84" t="s">
        <v>43</v>
      </c>
      <c r="C20" s="85" t="s">
        <v>42</v>
      </c>
      <c r="D20" s="85" t="s">
        <v>25</v>
      </c>
      <c r="E20" s="85" t="s">
        <v>25</v>
      </c>
      <c r="F20" s="85" t="s">
        <v>25</v>
      </c>
      <c r="G20" s="85" t="s">
        <v>37</v>
      </c>
      <c r="H20" s="85" t="s">
        <v>85</v>
      </c>
      <c r="I20" s="85" t="s">
        <v>25</v>
      </c>
      <c r="J20" s="85">
        <v>21.65</v>
      </c>
      <c r="K20" s="85">
        <v>0</v>
      </c>
      <c r="L20" s="85">
        <v>0</v>
      </c>
      <c r="M20" s="85">
        <v>0</v>
      </c>
      <c r="N20" s="85">
        <v>0</v>
      </c>
      <c r="O20" s="85">
        <v>0</v>
      </c>
      <c r="P20" s="85">
        <v>0</v>
      </c>
      <c r="Q20" s="85">
        <v>0</v>
      </c>
      <c r="R20" s="85">
        <v>0</v>
      </c>
      <c r="S20" s="85">
        <v>0</v>
      </c>
      <c r="T20" s="85">
        <v>2.4221004038348499</v>
      </c>
      <c r="U20" s="85">
        <v>2.7922457104993699</v>
      </c>
      <c r="V20" s="85">
        <v>0.29076439880085198</v>
      </c>
      <c r="W20" s="85">
        <v>0</v>
      </c>
      <c r="X20" s="85">
        <v>0</v>
      </c>
      <c r="Y20" s="85">
        <v>0</v>
      </c>
      <c r="Z20" s="85">
        <v>0</v>
      </c>
      <c r="AA20" s="85">
        <v>16.1487211052644</v>
      </c>
      <c r="AB20" s="85">
        <v>0</v>
      </c>
      <c r="AC20" s="85">
        <v>0</v>
      </c>
      <c r="AD20" s="85">
        <v>0</v>
      </c>
      <c r="AE20" s="85">
        <v>0</v>
      </c>
      <c r="AF20" s="85">
        <v>0</v>
      </c>
      <c r="AG20" s="85">
        <v>0</v>
      </c>
      <c r="AH20" s="85">
        <v>0</v>
      </c>
      <c r="AI20" s="85">
        <v>0</v>
      </c>
      <c r="AJ20" s="85">
        <v>0</v>
      </c>
      <c r="AK20" s="85">
        <v>0</v>
      </c>
      <c r="AL20" s="85">
        <v>0</v>
      </c>
      <c r="AM20" s="85">
        <v>0</v>
      </c>
      <c r="AN20" s="85">
        <v>0</v>
      </c>
      <c r="AO20" s="85">
        <v>0</v>
      </c>
      <c r="AP20" s="85">
        <v>0</v>
      </c>
      <c r="AQ20" s="85">
        <v>0</v>
      </c>
      <c r="AR20" s="85">
        <v>0</v>
      </c>
      <c r="AS20" s="85">
        <v>0</v>
      </c>
      <c r="AT20" s="86">
        <v>0</v>
      </c>
    </row>
    <row r="21" spans="2:46" ht="12" customHeight="1" x14ac:dyDescent="0.25">
      <c r="B21" s="84" t="s">
        <v>43</v>
      </c>
      <c r="C21" s="85" t="s">
        <v>23</v>
      </c>
      <c r="D21" s="85" t="s">
        <v>25</v>
      </c>
      <c r="E21" s="85" t="s">
        <v>25</v>
      </c>
      <c r="F21" s="85" t="s">
        <v>25</v>
      </c>
      <c r="G21" s="85" t="s">
        <v>25</v>
      </c>
      <c r="H21" s="85" t="s">
        <v>82</v>
      </c>
      <c r="I21" s="85" t="s">
        <v>25</v>
      </c>
      <c r="J21" s="85">
        <v>0</v>
      </c>
      <c r="K21" s="85">
        <v>219.21</v>
      </c>
      <c r="L21" s="85">
        <v>0</v>
      </c>
      <c r="M21" s="85">
        <v>0</v>
      </c>
      <c r="N21" s="85">
        <v>0</v>
      </c>
      <c r="O21" s="85">
        <v>0</v>
      </c>
      <c r="P21" s="85">
        <v>0</v>
      </c>
      <c r="Q21" s="85">
        <v>0</v>
      </c>
      <c r="R21" s="85">
        <v>0</v>
      </c>
      <c r="S21" s="85">
        <v>0</v>
      </c>
      <c r="T21" s="85">
        <v>0</v>
      </c>
      <c r="U21" s="85">
        <v>0</v>
      </c>
      <c r="V21" s="85">
        <v>0</v>
      </c>
      <c r="W21" s="85">
        <v>0</v>
      </c>
      <c r="X21" s="85">
        <v>0</v>
      </c>
      <c r="Y21" s="85">
        <v>0</v>
      </c>
      <c r="Z21" s="85">
        <v>0</v>
      </c>
      <c r="AA21" s="85">
        <v>0</v>
      </c>
      <c r="AB21" s="85">
        <v>0</v>
      </c>
      <c r="AC21" s="85">
        <v>0</v>
      </c>
      <c r="AD21" s="85">
        <v>0</v>
      </c>
      <c r="AE21" s="85">
        <v>0</v>
      </c>
      <c r="AF21" s="85">
        <v>0</v>
      </c>
      <c r="AG21" s="85">
        <v>0</v>
      </c>
      <c r="AH21" s="85">
        <v>0</v>
      </c>
      <c r="AI21" s="85">
        <v>5.0291998178053499</v>
      </c>
      <c r="AJ21" s="85">
        <v>-16.0356557284336</v>
      </c>
      <c r="AK21" s="85">
        <v>2.3157126121942899</v>
      </c>
      <c r="AL21" s="85">
        <v>17.796756473610099</v>
      </c>
      <c r="AM21" s="85">
        <v>0</v>
      </c>
      <c r="AN21" s="85">
        <v>205.34603327581601</v>
      </c>
      <c r="AO21" s="85">
        <v>0</v>
      </c>
      <c r="AP21" s="85">
        <v>0</v>
      </c>
      <c r="AQ21" s="85">
        <v>0</v>
      </c>
      <c r="AR21" s="85">
        <v>0</v>
      </c>
      <c r="AS21" s="85">
        <v>0</v>
      </c>
      <c r="AT21" s="86">
        <v>4.75721380034138</v>
      </c>
    </row>
    <row r="22" spans="2:46" ht="12" customHeight="1" x14ac:dyDescent="0.25">
      <c r="B22" s="84" t="s">
        <v>43</v>
      </c>
      <c r="C22" s="85" t="s">
        <v>91</v>
      </c>
      <c r="D22" s="85" t="s">
        <v>25</v>
      </c>
      <c r="E22" s="85" t="s">
        <v>25</v>
      </c>
      <c r="F22" s="85" t="s">
        <v>25</v>
      </c>
      <c r="G22" s="85" t="s">
        <v>25</v>
      </c>
      <c r="H22" s="85" t="s">
        <v>85</v>
      </c>
      <c r="I22" s="85" t="s">
        <v>25</v>
      </c>
      <c r="J22" s="85">
        <v>20.239999999999998</v>
      </c>
      <c r="K22" s="85">
        <v>0</v>
      </c>
      <c r="L22" s="85">
        <v>0</v>
      </c>
      <c r="M22" s="85">
        <v>6.8091822482383796E-2</v>
      </c>
      <c r="N22" s="85">
        <v>0.191726512320047</v>
      </c>
      <c r="O22" s="85">
        <v>0</v>
      </c>
      <c r="P22" s="85">
        <v>0</v>
      </c>
      <c r="Q22" s="85">
        <v>0</v>
      </c>
      <c r="R22" s="85">
        <v>0</v>
      </c>
      <c r="S22" s="85">
        <v>0</v>
      </c>
      <c r="T22" s="85">
        <v>0</v>
      </c>
      <c r="U22" s="85">
        <v>0</v>
      </c>
      <c r="V22" s="85">
        <v>0</v>
      </c>
      <c r="W22" s="85">
        <v>0</v>
      </c>
      <c r="X22" s="85">
        <v>0</v>
      </c>
      <c r="Y22" s="85">
        <v>0</v>
      </c>
      <c r="Z22" s="85">
        <v>0</v>
      </c>
      <c r="AA22" s="85">
        <v>19.977201723420201</v>
      </c>
      <c r="AB22" s="85">
        <v>0</v>
      </c>
      <c r="AC22" s="85">
        <v>0</v>
      </c>
      <c r="AD22" s="85">
        <v>0</v>
      </c>
      <c r="AE22" s="85">
        <v>0</v>
      </c>
      <c r="AF22" s="85">
        <v>0</v>
      </c>
      <c r="AG22" s="85">
        <v>0</v>
      </c>
      <c r="AH22" s="85">
        <v>0</v>
      </c>
      <c r="AI22" s="85">
        <v>0</v>
      </c>
      <c r="AJ22" s="85">
        <v>0</v>
      </c>
      <c r="AK22" s="85">
        <v>0</v>
      </c>
      <c r="AL22" s="85">
        <v>0</v>
      </c>
      <c r="AM22" s="85">
        <v>0</v>
      </c>
      <c r="AN22" s="85">
        <v>0</v>
      </c>
      <c r="AO22" s="85">
        <v>0</v>
      </c>
      <c r="AP22" s="85">
        <v>0</v>
      </c>
      <c r="AQ22" s="85">
        <v>0</v>
      </c>
      <c r="AR22" s="85">
        <v>0</v>
      </c>
      <c r="AS22" s="85">
        <v>0</v>
      </c>
      <c r="AT22" s="86">
        <v>0</v>
      </c>
    </row>
    <row r="23" spans="2:46" ht="12" customHeight="1" x14ac:dyDescent="0.25">
      <c r="B23" s="84" t="s">
        <v>43</v>
      </c>
      <c r="C23" s="85" t="s">
        <v>44</v>
      </c>
      <c r="D23" s="85" t="s">
        <v>25</v>
      </c>
      <c r="E23" s="85" t="s">
        <v>25</v>
      </c>
      <c r="F23" s="85" t="s">
        <v>89</v>
      </c>
      <c r="G23" s="85" t="s">
        <v>36</v>
      </c>
      <c r="H23" s="85" t="s">
        <v>82</v>
      </c>
      <c r="I23" s="85" t="s">
        <v>25</v>
      </c>
      <c r="J23" s="85">
        <v>1514.38</v>
      </c>
      <c r="K23" s="85">
        <v>0</v>
      </c>
      <c r="L23" s="85">
        <v>0</v>
      </c>
      <c r="M23" s="85">
        <v>0.67311137823630396</v>
      </c>
      <c r="N23" s="85">
        <v>14.383987247516799</v>
      </c>
      <c r="O23" s="85">
        <v>0</v>
      </c>
      <c r="P23" s="85">
        <v>0</v>
      </c>
      <c r="Q23" s="85">
        <v>0</v>
      </c>
      <c r="R23" s="85">
        <v>0</v>
      </c>
      <c r="S23" s="85">
        <v>0</v>
      </c>
      <c r="T23" s="85">
        <v>77.588556024876993</v>
      </c>
      <c r="U23" s="85">
        <v>81.180195810074395</v>
      </c>
      <c r="V23" s="85">
        <v>8.3699629439537908</v>
      </c>
      <c r="W23" s="85">
        <v>0</v>
      </c>
      <c r="X23" s="85">
        <v>0</v>
      </c>
      <c r="Y23" s="85">
        <v>0</v>
      </c>
      <c r="Z23" s="85">
        <v>0</v>
      </c>
      <c r="AA23" s="85">
        <v>1291.49963492708</v>
      </c>
      <c r="AB23" s="85">
        <v>0</v>
      </c>
      <c r="AC23" s="85">
        <v>0</v>
      </c>
      <c r="AD23" s="85">
        <v>0</v>
      </c>
      <c r="AE23" s="85">
        <v>13.555933410576699</v>
      </c>
      <c r="AF23" s="85">
        <v>0.62681370895386401</v>
      </c>
      <c r="AG23" s="85">
        <v>18.432729455339999</v>
      </c>
      <c r="AH23" s="85">
        <v>8.0681577504363702</v>
      </c>
      <c r="AI23" s="85">
        <v>0</v>
      </c>
      <c r="AJ23" s="85">
        <v>0</v>
      </c>
      <c r="AK23" s="85">
        <v>0</v>
      </c>
      <c r="AL23" s="85">
        <v>0</v>
      </c>
      <c r="AM23" s="85">
        <v>0</v>
      </c>
      <c r="AN23" s="85">
        <v>0</v>
      </c>
      <c r="AO23" s="85">
        <v>0</v>
      </c>
      <c r="AP23" s="85">
        <v>0</v>
      </c>
      <c r="AQ23" s="85">
        <v>0</v>
      </c>
      <c r="AR23" s="85">
        <v>0</v>
      </c>
      <c r="AS23" s="85">
        <v>0</v>
      </c>
      <c r="AT23" s="86">
        <v>0</v>
      </c>
    </row>
    <row r="24" spans="2:46" ht="12" customHeight="1" x14ac:dyDescent="0.25">
      <c r="B24" s="84" t="s">
        <v>43</v>
      </c>
      <c r="C24" s="85" t="s">
        <v>44</v>
      </c>
      <c r="D24" s="85" t="s">
        <v>25</v>
      </c>
      <c r="E24" s="85" t="s">
        <v>25</v>
      </c>
      <c r="F24" s="85" t="s">
        <v>89</v>
      </c>
      <c r="G24" s="85" t="s">
        <v>25</v>
      </c>
      <c r="H24" s="85" t="s">
        <v>85</v>
      </c>
      <c r="I24" s="85" t="s">
        <v>25</v>
      </c>
      <c r="J24" s="85">
        <v>21.65</v>
      </c>
      <c r="K24" s="85">
        <v>0</v>
      </c>
      <c r="L24" s="85">
        <v>0</v>
      </c>
      <c r="M24" s="85">
        <v>0</v>
      </c>
      <c r="N24" s="85">
        <v>0</v>
      </c>
      <c r="O24" s="85">
        <v>0</v>
      </c>
      <c r="P24" s="85">
        <v>0</v>
      </c>
      <c r="Q24" s="85">
        <v>0</v>
      </c>
      <c r="R24" s="85">
        <v>0</v>
      </c>
      <c r="S24" s="85">
        <v>0</v>
      </c>
      <c r="T24" s="85">
        <v>2.4221004038348499</v>
      </c>
      <c r="U24" s="85">
        <v>2.7922457104993699</v>
      </c>
      <c r="V24" s="85">
        <v>0.29076439880085198</v>
      </c>
      <c r="W24" s="85">
        <v>0</v>
      </c>
      <c r="X24" s="85">
        <v>0</v>
      </c>
      <c r="Y24" s="85">
        <v>0</v>
      </c>
      <c r="Z24" s="85">
        <v>0</v>
      </c>
      <c r="AA24" s="85">
        <v>16.1487211052644</v>
      </c>
      <c r="AB24" s="85">
        <v>0</v>
      </c>
      <c r="AC24" s="85">
        <v>0</v>
      </c>
      <c r="AD24" s="85">
        <v>0</v>
      </c>
      <c r="AE24" s="85">
        <v>0</v>
      </c>
      <c r="AF24" s="85">
        <v>0</v>
      </c>
      <c r="AG24" s="85">
        <v>0</v>
      </c>
      <c r="AH24" s="85">
        <v>0</v>
      </c>
      <c r="AI24" s="85">
        <v>0</v>
      </c>
      <c r="AJ24" s="85">
        <v>0</v>
      </c>
      <c r="AK24" s="85">
        <v>0</v>
      </c>
      <c r="AL24" s="85">
        <v>0</v>
      </c>
      <c r="AM24" s="85">
        <v>0</v>
      </c>
      <c r="AN24" s="85">
        <v>0</v>
      </c>
      <c r="AO24" s="85">
        <v>0</v>
      </c>
      <c r="AP24" s="85">
        <v>0</v>
      </c>
      <c r="AQ24" s="85">
        <v>0</v>
      </c>
      <c r="AR24" s="85">
        <v>0</v>
      </c>
      <c r="AS24" s="85">
        <v>0</v>
      </c>
      <c r="AT24" s="86">
        <v>0</v>
      </c>
    </row>
    <row r="25" spans="2:46" ht="12" customHeight="1" x14ac:dyDescent="0.25">
      <c r="B25" s="84" t="s">
        <v>43</v>
      </c>
      <c r="C25" s="85" t="s">
        <v>44</v>
      </c>
      <c r="D25" s="85" t="s">
        <v>25</v>
      </c>
      <c r="E25" s="85" t="s">
        <v>25</v>
      </c>
      <c r="F25" s="85" t="s">
        <v>89</v>
      </c>
      <c r="G25" s="85" t="s">
        <v>37</v>
      </c>
      <c r="H25" s="85" t="s">
        <v>82</v>
      </c>
      <c r="I25" s="85" t="s">
        <v>25</v>
      </c>
      <c r="J25" s="85">
        <v>42.04</v>
      </c>
      <c r="K25" s="85">
        <v>0</v>
      </c>
      <c r="L25" s="85">
        <v>0</v>
      </c>
      <c r="M25" s="85">
        <v>0.67311137823630396</v>
      </c>
      <c r="N25" s="85">
        <v>0.68170027149602996</v>
      </c>
      <c r="O25" s="85">
        <v>0</v>
      </c>
      <c r="P25" s="85">
        <v>0</v>
      </c>
      <c r="Q25" s="85">
        <v>0</v>
      </c>
      <c r="R25" s="85">
        <v>0</v>
      </c>
      <c r="S25" s="85">
        <v>0</v>
      </c>
      <c r="T25" s="85">
        <v>0</v>
      </c>
      <c r="U25" s="85">
        <v>0</v>
      </c>
      <c r="V25" s="85">
        <v>0</v>
      </c>
      <c r="W25" s="85">
        <v>0</v>
      </c>
      <c r="X25" s="85">
        <v>0</v>
      </c>
      <c r="Y25" s="85">
        <v>0</v>
      </c>
      <c r="Z25" s="85">
        <v>0</v>
      </c>
      <c r="AA25" s="85">
        <v>0</v>
      </c>
      <c r="AB25" s="85">
        <v>0</v>
      </c>
      <c r="AC25" s="85">
        <v>0</v>
      </c>
      <c r="AD25" s="85">
        <v>0</v>
      </c>
      <c r="AE25" s="85">
        <v>13.555933410576699</v>
      </c>
      <c r="AF25" s="85">
        <v>0.62681370895386401</v>
      </c>
      <c r="AG25" s="85">
        <v>18.432729455339999</v>
      </c>
      <c r="AH25" s="85">
        <v>8.0681577504363702</v>
      </c>
      <c r="AI25" s="85">
        <v>0</v>
      </c>
      <c r="AJ25" s="85">
        <v>0</v>
      </c>
      <c r="AK25" s="85">
        <v>0</v>
      </c>
      <c r="AL25" s="85">
        <v>0</v>
      </c>
      <c r="AM25" s="85">
        <v>0</v>
      </c>
      <c r="AN25" s="85">
        <v>0</v>
      </c>
      <c r="AO25" s="85">
        <v>0</v>
      </c>
      <c r="AP25" s="85">
        <v>0</v>
      </c>
      <c r="AQ25" s="85">
        <v>0</v>
      </c>
      <c r="AR25" s="85">
        <v>0</v>
      </c>
      <c r="AS25" s="85">
        <v>0</v>
      </c>
      <c r="AT25" s="86">
        <v>0</v>
      </c>
    </row>
    <row r="26" spans="2:46" ht="12" customHeight="1" x14ac:dyDescent="0.25">
      <c r="B26" s="84" t="s">
        <v>43</v>
      </c>
      <c r="C26" s="85" t="s">
        <v>44</v>
      </c>
      <c r="D26" s="85" t="s">
        <v>25</v>
      </c>
      <c r="E26" s="85" t="s">
        <v>25</v>
      </c>
      <c r="F26" s="85" t="s">
        <v>25</v>
      </c>
      <c r="G26" s="85" t="s">
        <v>36</v>
      </c>
      <c r="H26" s="85" t="s">
        <v>82</v>
      </c>
      <c r="I26" s="85" t="s">
        <v>25</v>
      </c>
      <c r="J26" s="85">
        <v>1577.77</v>
      </c>
      <c r="K26" s="85">
        <v>347.07</v>
      </c>
      <c r="L26" s="85">
        <v>18.670130039006501</v>
      </c>
      <c r="M26" s="85">
        <v>0.67311137823630396</v>
      </c>
      <c r="N26" s="85">
        <v>14.3954610064827</v>
      </c>
      <c r="O26" s="85">
        <v>0</v>
      </c>
      <c r="P26" s="85">
        <v>0</v>
      </c>
      <c r="Q26" s="85">
        <v>30.918732798477599</v>
      </c>
      <c r="R26" s="85">
        <v>13.785929126696301</v>
      </c>
      <c r="S26" s="85">
        <v>0</v>
      </c>
      <c r="T26" s="85">
        <v>77.588556024876993</v>
      </c>
      <c r="U26" s="85">
        <v>81.180195810074395</v>
      </c>
      <c r="V26" s="85">
        <v>8.3699629439537908</v>
      </c>
      <c r="W26" s="85">
        <v>0</v>
      </c>
      <c r="X26" s="85">
        <v>0</v>
      </c>
      <c r="Y26" s="85">
        <v>0</v>
      </c>
      <c r="Z26" s="85">
        <v>0</v>
      </c>
      <c r="AA26" s="85">
        <v>1291.49963492708</v>
      </c>
      <c r="AB26" s="85">
        <v>0</v>
      </c>
      <c r="AC26" s="85">
        <v>0</v>
      </c>
      <c r="AD26" s="85">
        <v>0</v>
      </c>
      <c r="AE26" s="85">
        <v>13.555933410576699</v>
      </c>
      <c r="AF26" s="85">
        <v>0.62681370895386401</v>
      </c>
      <c r="AG26" s="85">
        <v>18.432729455339999</v>
      </c>
      <c r="AH26" s="85">
        <v>8.0681577504363702</v>
      </c>
      <c r="AI26" s="85">
        <v>5.0291998178053499</v>
      </c>
      <c r="AJ26" s="85">
        <v>-16.0356557284336</v>
      </c>
      <c r="AK26" s="85">
        <v>2.3157126121942899</v>
      </c>
      <c r="AL26" s="85">
        <v>17.796756473610099</v>
      </c>
      <c r="AM26" s="85">
        <v>0</v>
      </c>
      <c r="AN26" s="85">
        <v>333.20299739094702</v>
      </c>
      <c r="AO26" s="85">
        <v>0</v>
      </c>
      <c r="AP26" s="85">
        <v>0</v>
      </c>
      <c r="AQ26" s="85">
        <v>0</v>
      </c>
      <c r="AR26" s="85">
        <v>0</v>
      </c>
      <c r="AS26" s="85">
        <v>0</v>
      </c>
      <c r="AT26" s="86">
        <v>4.75721380034138</v>
      </c>
    </row>
    <row r="27" spans="2:46" ht="12" customHeight="1" x14ac:dyDescent="0.25">
      <c r="B27" s="84" t="s">
        <v>43</v>
      </c>
      <c r="C27" s="85" t="s">
        <v>44</v>
      </c>
      <c r="D27" s="85" t="s">
        <v>25</v>
      </c>
      <c r="E27" s="85" t="s">
        <v>25</v>
      </c>
      <c r="F27" s="85" t="s">
        <v>25</v>
      </c>
      <c r="G27" s="85" t="s">
        <v>25</v>
      </c>
      <c r="H27" s="85" t="s">
        <v>85</v>
      </c>
      <c r="I27" s="85" t="s">
        <v>25</v>
      </c>
      <c r="J27" s="85">
        <v>21.65</v>
      </c>
      <c r="K27" s="85">
        <v>0</v>
      </c>
      <c r="L27" s="85">
        <v>0</v>
      </c>
      <c r="M27" s="85">
        <v>0</v>
      </c>
      <c r="N27" s="85">
        <v>0</v>
      </c>
      <c r="O27" s="85">
        <v>0</v>
      </c>
      <c r="P27" s="85">
        <v>0</v>
      </c>
      <c r="Q27" s="85">
        <v>0</v>
      </c>
      <c r="R27" s="85">
        <v>0</v>
      </c>
      <c r="S27" s="85">
        <v>0</v>
      </c>
      <c r="T27" s="85">
        <v>2.4221004038348499</v>
      </c>
      <c r="U27" s="85">
        <v>2.7922457104993699</v>
      </c>
      <c r="V27" s="85">
        <v>0.29076439880085198</v>
      </c>
      <c r="W27" s="85">
        <v>0</v>
      </c>
      <c r="X27" s="85">
        <v>0</v>
      </c>
      <c r="Y27" s="85">
        <v>0</v>
      </c>
      <c r="Z27" s="85">
        <v>0</v>
      </c>
      <c r="AA27" s="85">
        <v>16.1487211052644</v>
      </c>
      <c r="AB27" s="85">
        <v>0</v>
      </c>
      <c r="AC27" s="85">
        <v>0</v>
      </c>
      <c r="AD27" s="85">
        <v>0</v>
      </c>
      <c r="AE27" s="85">
        <v>0</v>
      </c>
      <c r="AF27" s="85">
        <v>0</v>
      </c>
      <c r="AG27" s="85">
        <v>0</v>
      </c>
      <c r="AH27" s="85">
        <v>0</v>
      </c>
      <c r="AI27" s="85">
        <v>0</v>
      </c>
      <c r="AJ27" s="85">
        <v>0</v>
      </c>
      <c r="AK27" s="85">
        <v>0</v>
      </c>
      <c r="AL27" s="85">
        <v>0</v>
      </c>
      <c r="AM27" s="85">
        <v>0</v>
      </c>
      <c r="AN27" s="85">
        <v>0</v>
      </c>
      <c r="AO27" s="85">
        <v>0</v>
      </c>
      <c r="AP27" s="85">
        <v>0</v>
      </c>
      <c r="AQ27" s="85">
        <v>0</v>
      </c>
      <c r="AR27" s="85">
        <v>0</v>
      </c>
      <c r="AS27" s="85">
        <v>0</v>
      </c>
      <c r="AT27" s="86">
        <v>0</v>
      </c>
    </row>
    <row r="28" spans="2:46" ht="12" customHeight="1" x14ac:dyDescent="0.25">
      <c r="B28" s="84" t="s">
        <v>43</v>
      </c>
      <c r="C28" s="85" t="s">
        <v>44</v>
      </c>
      <c r="D28" s="85" t="s">
        <v>25</v>
      </c>
      <c r="E28" s="85" t="s">
        <v>25</v>
      </c>
      <c r="F28" s="85" t="s">
        <v>25</v>
      </c>
      <c r="G28" s="85" t="s">
        <v>37</v>
      </c>
      <c r="H28" s="85" t="s">
        <v>82</v>
      </c>
      <c r="I28" s="85" t="s">
        <v>25</v>
      </c>
      <c r="J28" s="85">
        <v>105.42</v>
      </c>
      <c r="K28" s="85">
        <v>207.59</v>
      </c>
      <c r="L28" s="85">
        <v>18.670130039006501</v>
      </c>
      <c r="M28" s="85">
        <v>0.67311137823630396</v>
      </c>
      <c r="N28" s="85">
        <v>0.69317403046192105</v>
      </c>
      <c r="O28" s="85">
        <v>0</v>
      </c>
      <c r="P28" s="85">
        <v>0</v>
      </c>
      <c r="Q28" s="85">
        <v>30.918732798477599</v>
      </c>
      <c r="R28" s="85">
        <v>13.785929126696301</v>
      </c>
      <c r="S28" s="85">
        <v>0</v>
      </c>
      <c r="T28" s="85">
        <v>0</v>
      </c>
      <c r="U28" s="85">
        <v>0</v>
      </c>
      <c r="V28" s="85">
        <v>0</v>
      </c>
      <c r="W28" s="85">
        <v>0</v>
      </c>
      <c r="X28" s="85">
        <v>0</v>
      </c>
      <c r="Y28" s="85">
        <v>0</v>
      </c>
      <c r="Z28" s="85">
        <v>0</v>
      </c>
      <c r="AA28" s="85">
        <v>0</v>
      </c>
      <c r="AB28" s="85">
        <v>0</v>
      </c>
      <c r="AC28" s="85">
        <v>0</v>
      </c>
      <c r="AD28" s="85">
        <v>0</v>
      </c>
      <c r="AE28" s="85">
        <v>13.555933410576699</v>
      </c>
      <c r="AF28" s="85">
        <v>0.62681370895386401</v>
      </c>
      <c r="AG28" s="85">
        <v>18.432729455339999</v>
      </c>
      <c r="AH28" s="85">
        <v>8.0681577504363702</v>
      </c>
      <c r="AI28" s="85">
        <v>5.0291998178053499</v>
      </c>
      <c r="AJ28" s="85">
        <v>-16.0356557284336</v>
      </c>
      <c r="AK28" s="85">
        <v>2.3157126121942899</v>
      </c>
      <c r="AL28" s="85">
        <v>17.796756473610099</v>
      </c>
      <c r="AM28" s="85">
        <v>0</v>
      </c>
      <c r="AN28" s="85">
        <v>193.722672901713</v>
      </c>
      <c r="AO28" s="85">
        <v>0</v>
      </c>
      <c r="AP28" s="85">
        <v>0</v>
      </c>
      <c r="AQ28" s="85">
        <v>0</v>
      </c>
      <c r="AR28" s="85">
        <v>0</v>
      </c>
      <c r="AS28" s="85">
        <v>0</v>
      </c>
      <c r="AT28" s="86">
        <v>4.75721380034138</v>
      </c>
    </row>
    <row r="29" spans="2:46" ht="12" customHeight="1" x14ac:dyDescent="0.25">
      <c r="B29" s="84" t="s">
        <v>41</v>
      </c>
      <c r="C29" s="85" t="s">
        <v>42</v>
      </c>
      <c r="D29" s="85" t="s">
        <v>25</v>
      </c>
      <c r="E29" s="85" t="s">
        <v>25</v>
      </c>
      <c r="F29" s="85" t="s">
        <v>89</v>
      </c>
      <c r="G29" s="85" t="s">
        <v>36</v>
      </c>
      <c r="H29" s="85" t="s">
        <v>82</v>
      </c>
      <c r="I29" s="85" t="s">
        <v>25</v>
      </c>
      <c r="J29" s="85">
        <v>42.04</v>
      </c>
      <c r="K29" s="85">
        <v>0</v>
      </c>
      <c r="L29" s="85">
        <v>0</v>
      </c>
      <c r="M29" s="85">
        <v>0.67311137823630396</v>
      </c>
      <c r="N29" s="85">
        <v>0.68170027149602996</v>
      </c>
      <c r="O29" s="85">
        <v>0</v>
      </c>
      <c r="P29" s="85">
        <v>0</v>
      </c>
      <c r="Q29" s="85">
        <v>0</v>
      </c>
      <c r="R29" s="85">
        <v>0</v>
      </c>
      <c r="S29" s="85">
        <v>0</v>
      </c>
      <c r="T29" s="85">
        <v>0</v>
      </c>
      <c r="U29" s="85">
        <v>0</v>
      </c>
      <c r="V29" s="85">
        <v>0</v>
      </c>
      <c r="W29" s="85">
        <v>0</v>
      </c>
      <c r="X29" s="85">
        <v>0</v>
      </c>
      <c r="Y29" s="85">
        <v>0</v>
      </c>
      <c r="Z29" s="85">
        <v>0</v>
      </c>
      <c r="AA29" s="85">
        <v>0</v>
      </c>
      <c r="AB29" s="85">
        <v>0</v>
      </c>
      <c r="AC29" s="85">
        <v>0</v>
      </c>
      <c r="AD29" s="85">
        <v>0</v>
      </c>
      <c r="AE29" s="85">
        <v>13.555933410576699</v>
      </c>
      <c r="AF29" s="85">
        <v>0.62681370895386401</v>
      </c>
      <c r="AG29" s="85">
        <v>18.432729455339999</v>
      </c>
      <c r="AH29" s="85">
        <v>8.0681577504363702</v>
      </c>
      <c r="AI29" s="85">
        <v>0</v>
      </c>
      <c r="AJ29" s="85">
        <v>0</v>
      </c>
      <c r="AK29" s="85">
        <v>0</v>
      </c>
      <c r="AL29" s="85">
        <v>0</v>
      </c>
      <c r="AM29" s="85">
        <v>0</v>
      </c>
      <c r="AN29" s="85">
        <v>0</v>
      </c>
      <c r="AO29" s="85">
        <v>0</v>
      </c>
      <c r="AP29" s="85">
        <v>0</v>
      </c>
      <c r="AQ29" s="85">
        <v>0</v>
      </c>
      <c r="AR29" s="85">
        <v>0</v>
      </c>
      <c r="AS29" s="85">
        <v>0</v>
      </c>
      <c r="AT29" s="86">
        <v>0</v>
      </c>
    </row>
    <row r="30" spans="2:46" ht="12" customHeight="1" x14ac:dyDescent="0.25">
      <c r="B30" s="84" t="s">
        <v>41</v>
      </c>
      <c r="C30" s="85" t="s">
        <v>42</v>
      </c>
      <c r="D30" s="85" t="s">
        <v>25</v>
      </c>
      <c r="E30" s="85" t="s">
        <v>25</v>
      </c>
      <c r="F30" s="85" t="s">
        <v>89</v>
      </c>
      <c r="G30" s="85" t="s">
        <v>36</v>
      </c>
      <c r="H30" s="85" t="s">
        <v>85</v>
      </c>
      <c r="I30" s="85" t="s">
        <v>25</v>
      </c>
      <c r="J30" s="85">
        <v>60.65</v>
      </c>
      <c r="K30" s="85">
        <v>0</v>
      </c>
      <c r="L30" s="85">
        <v>0</v>
      </c>
      <c r="M30" s="85">
        <v>0</v>
      </c>
      <c r="N30" s="85">
        <v>0</v>
      </c>
      <c r="O30" s="85">
        <v>0</v>
      </c>
      <c r="P30" s="85">
        <v>0</v>
      </c>
      <c r="Q30" s="85">
        <v>0</v>
      </c>
      <c r="R30" s="85">
        <v>0</v>
      </c>
      <c r="S30" s="85">
        <v>0</v>
      </c>
      <c r="T30" s="85">
        <v>3.2261017215732499</v>
      </c>
      <c r="U30" s="85">
        <v>3.3754991002783501</v>
      </c>
      <c r="V30" s="85">
        <v>0.34803420669329399</v>
      </c>
      <c r="W30" s="85">
        <v>0</v>
      </c>
      <c r="X30" s="85">
        <v>0</v>
      </c>
      <c r="Y30" s="85">
        <v>0</v>
      </c>
      <c r="Z30" s="85">
        <v>0</v>
      </c>
      <c r="AA30" s="85">
        <v>53.700546244740401</v>
      </c>
      <c r="AB30" s="85">
        <v>0</v>
      </c>
      <c r="AC30" s="85">
        <v>0</v>
      </c>
      <c r="AD30" s="85">
        <v>0</v>
      </c>
      <c r="AE30" s="85">
        <v>0</v>
      </c>
      <c r="AF30" s="85">
        <v>0</v>
      </c>
      <c r="AG30" s="85">
        <v>0</v>
      </c>
      <c r="AH30" s="85">
        <v>0</v>
      </c>
      <c r="AI30" s="85">
        <v>0</v>
      </c>
      <c r="AJ30" s="85">
        <v>0</v>
      </c>
      <c r="AK30" s="85">
        <v>0</v>
      </c>
      <c r="AL30" s="85">
        <v>0</v>
      </c>
      <c r="AM30" s="85">
        <v>0</v>
      </c>
      <c r="AN30" s="85">
        <v>0</v>
      </c>
      <c r="AO30" s="85">
        <v>0</v>
      </c>
      <c r="AP30" s="85">
        <v>0</v>
      </c>
      <c r="AQ30" s="85">
        <v>0</v>
      </c>
      <c r="AR30" s="85">
        <v>0</v>
      </c>
      <c r="AS30" s="85">
        <v>0</v>
      </c>
      <c r="AT30" s="86">
        <v>0</v>
      </c>
    </row>
    <row r="31" spans="2:46" ht="12" customHeight="1" x14ac:dyDescent="0.25">
      <c r="B31" s="84" t="s">
        <v>41</v>
      </c>
      <c r="C31" s="85" t="s">
        <v>42</v>
      </c>
      <c r="D31" s="85" t="s">
        <v>25</v>
      </c>
      <c r="E31" s="85" t="s">
        <v>25</v>
      </c>
      <c r="F31" s="85" t="s">
        <v>89</v>
      </c>
      <c r="G31" s="85" t="s">
        <v>37</v>
      </c>
      <c r="H31" s="85" t="s">
        <v>82</v>
      </c>
      <c r="I31" s="85" t="s">
        <v>25</v>
      </c>
      <c r="J31" s="85">
        <v>42.04</v>
      </c>
      <c r="K31" s="85">
        <v>0</v>
      </c>
      <c r="L31" s="85">
        <v>0</v>
      </c>
      <c r="M31" s="85">
        <v>0.67311137823630396</v>
      </c>
      <c r="N31" s="85">
        <v>0.68170027149602996</v>
      </c>
      <c r="O31" s="85">
        <v>0</v>
      </c>
      <c r="P31" s="85">
        <v>0</v>
      </c>
      <c r="Q31" s="85">
        <v>0</v>
      </c>
      <c r="R31" s="85">
        <v>0</v>
      </c>
      <c r="S31" s="85">
        <v>0</v>
      </c>
      <c r="T31" s="85">
        <v>0</v>
      </c>
      <c r="U31" s="85">
        <v>0</v>
      </c>
      <c r="V31" s="85">
        <v>0</v>
      </c>
      <c r="W31" s="85">
        <v>0</v>
      </c>
      <c r="X31" s="85">
        <v>0</v>
      </c>
      <c r="Y31" s="85">
        <v>0</v>
      </c>
      <c r="Z31" s="85">
        <v>0</v>
      </c>
      <c r="AA31" s="85">
        <v>0</v>
      </c>
      <c r="AB31" s="85">
        <v>0</v>
      </c>
      <c r="AC31" s="85">
        <v>0</v>
      </c>
      <c r="AD31" s="85">
        <v>0</v>
      </c>
      <c r="AE31" s="85">
        <v>13.555933410576699</v>
      </c>
      <c r="AF31" s="85">
        <v>0.62681370895386401</v>
      </c>
      <c r="AG31" s="85">
        <v>18.432729455339999</v>
      </c>
      <c r="AH31" s="85">
        <v>8.0681577504363702</v>
      </c>
      <c r="AI31" s="85">
        <v>0</v>
      </c>
      <c r="AJ31" s="85">
        <v>0</v>
      </c>
      <c r="AK31" s="85">
        <v>0</v>
      </c>
      <c r="AL31" s="85">
        <v>0</v>
      </c>
      <c r="AM31" s="85">
        <v>0</v>
      </c>
      <c r="AN31" s="85">
        <v>0</v>
      </c>
      <c r="AO31" s="85">
        <v>0</v>
      </c>
      <c r="AP31" s="85">
        <v>0</v>
      </c>
      <c r="AQ31" s="85">
        <v>0</v>
      </c>
      <c r="AR31" s="85">
        <v>0</v>
      </c>
      <c r="AS31" s="85">
        <v>0</v>
      </c>
      <c r="AT31" s="86">
        <v>0</v>
      </c>
    </row>
    <row r="32" spans="2:46" ht="12" customHeight="1" x14ac:dyDescent="0.25">
      <c r="B32" s="84" t="s">
        <v>41</v>
      </c>
      <c r="C32" s="85" t="s">
        <v>42</v>
      </c>
      <c r="D32" s="85" t="s">
        <v>25</v>
      </c>
      <c r="E32" s="85" t="s">
        <v>25</v>
      </c>
      <c r="F32" s="85" t="s">
        <v>89</v>
      </c>
      <c r="G32" s="85" t="s">
        <v>37</v>
      </c>
      <c r="H32" s="85" t="s">
        <v>85</v>
      </c>
      <c r="I32" s="85" t="s">
        <v>25</v>
      </c>
      <c r="J32" s="85">
        <v>21.65</v>
      </c>
      <c r="K32" s="85">
        <v>0</v>
      </c>
      <c r="L32" s="85">
        <v>0</v>
      </c>
      <c r="M32" s="85">
        <v>0</v>
      </c>
      <c r="N32" s="85">
        <v>0</v>
      </c>
      <c r="O32" s="85">
        <v>0</v>
      </c>
      <c r="P32" s="85">
        <v>0</v>
      </c>
      <c r="Q32" s="85">
        <v>0</v>
      </c>
      <c r="R32" s="85">
        <v>0</v>
      </c>
      <c r="S32" s="85">
        <v>0</v>
      </c>
      <c r="T32" s="85">
        <v>2.4221004038348499</v>
      </c>
      <c r="U32" s="85">
        <v>2.7922457104993699</v>
      </c>
      <c r="V32" s="85">
        <v>0.29076439880085198</v>
      </c>
      <c r="W32" s="85">
        <v>0</v>
      </c>
      <c r="X32" s="85">
        <v>0</v>
      </c>
      <c r="Y32" s="85">
        <v>0</v>
      </c>
      <c r="Z32" s="85">
        <v>0</v>
      </c>
      <c r="AA32" s="85">
        <v>16.1487211052644</v>
      </c>
      <c r="AB32" s="85">
        <v>0</v>
      </c>
      <c r="AC32" s="85">
        <v>0</v>
      </c>
      <c r="AD32" s="85">
        <v>0</v>
      </c>
      <c r="AE32" s="85">
        <v>0</v>
      </c>
      <c r="AF32" s="85">
        <v>0</v>
      </c>
      <c r="AG32" s="85">
        <v>0</v>
      </c>
      <c r="AH32" s="85">
        <v>0</v>
      </c>
      <c r="AI32" s="85">
        <v>0</v>
      </c>
      <c r="AJ32" s="85">
        <v>0</v>
      </c>
      <c r="AK32" s="85">
        <v>0</v>
      </c>
      <c r="AL32" s="85">
        <v>0</v>
      </c>
      <c r="AM32" s="85">
        <v>0</v>
      </c>
      <c r="AN32" s="85">
        <v>0</v>
      </c>
      <c r="AO32" s="85">
        <v>0</v>
      </c>
      <c r="AP32" s="85">
        <v>0</v>
      </c>
      <c r="AQ32" s="85">
        <v>0</v>
      </c>
      <c r="AR32" s="85">
        <v>0</v>
      </c>
      <c r="AS32" s="85">
        <v>0</v>
      </c>
      <c r="AT32" s="86">
        <v>0</v>
      </c>
    </row>
    <row r="33" spans="2:46" ht="12" customHeight="1" x14ac:dyDescent="0.25">
      <c r="B33" s="84" t="s">
        <v>41</v>
      </c>
      <c r="C33" s="85" t="s">
        <v>42</v>
      </c>
      <c r="D33" s="85" t="s">
        <v>25</v>
      </c>
      <c r="E33" s="85" t="s">
        <v>25</v>
      </c>
      <c r="F33" s="85" t="s">
        <v>25</v>
      </c>
      <c r="G33" s="85" t="s">
        <v>36</v>
      </c>
      <c r="H33" s="85" t="s">
        <v>82</v>
      </c>
      <c r="I33" s="85" t="s">
        <v>25</v>
      </c>
      <c r="J33" s="85">
        <v>105.42</v>
      </c>
      <c r="K33" s="85">
        <v>347.07</v>
      </c>
      <c r="L33" s="85">
        <v>18.670130039006501</v>
      </c>
      <c r="M33" s="85">
        <v>0.67311137823630396</v>
      </c>
      <c r="N33" s="85">
        <v>0.69317403046192105</v>
      </c>
      <c r="O33" s="85">
        <v>0</v>
      </c>
      <c r="P33" s="85">
        <v>0</v>
      </c>
      <c r="Q33" s="85">
        <v>30.918732798477599</v>
      </c>
      <c r="R33" s="85">
        <v>13.785929126696301</v>
      </c>
      <c r="S33" s="85">
        <v>0</v>
      </c>
      <c r="T33" s="85">
        <v>0</v>
      </c>
      <c r="U33" s="85">
        <v>0</v>
      </c>
      <c r="V33" s="85">
        <v>0</v>
      </c>
      <c r="W33" s="85">
        <v>0</v>
      </c>
      <c r="X33" s="85">
        <v>0</v>
      </c>
      <c r="Y33" s="85">
        <v>0</v>
      </c>
      <c r="Z33" s="85">
        <v>0</v>
      </c>
      <c r="AA33" s="85">
        <v>0</v>
      </c>
      <c r="AB33" s="85">
        <v>0</v>
      </c>
      <c r="AC33" s="85">
        <v>0</v>
      </c>
      <c r="AD33" s="85">
        <v>0</v>
      </c>
      <c r="AE33" s="85">
        <v>13.555933410576699</v>
      </c>
      <c r="AF33" s="85">
        <v>0.62681370895386401</v>
      </c>
      <c r="AG33" s="85">
        <v>18.432729455339999</v>
      </c>
      <c r="AH33" s="85">
        <v>8.0681577504363702</v>
      </c>
      <c r="AI33" s="85">
        <v>5.0291998178053499</v>
      </c>
      <c r="AJ33" s="85">
        <v>-16.0356557284336</v>
      </c>
      <c r="AK33" s="85">
        <v>2.3157126121942899</v>
      </c>
      <c r="AL33" s="85">
        <v>17.796756473610099</v>
      </c>
      <c r="AM33" s="85">
        <v>0</v>
      </c>
      <c r="AN33" s="85">
        <v>333.20299739094702</v>
      </c>
      <c r="AO33" s="85">
        <v>0</v>
      </c>
      <c r="AP33" s="85">
        <v>0</v>
      </c>
      <c r="AQ33" s="85">
        <v>0</v>
      </c>
      <c r="AR33" s="85">
        <v>0</v>
      </c>
      <c r="AS33" s="85">
        <v>0</v>
      </c>
      <c r="AT33" s="86">
        <v>4.75721380034138</v>
      </c>
    </row>
    <row r="34" spans="2:46" ht="12" customHeight="1" x14ac:dyDescent="0.25">
      <c r="B34" s="84" t="s">
        <v>41</v>
      </c>
      <c r="C34" s="85" t="s">
        <v>42</v>
      </c>
      <c r="D34" s="85" t="s">
        <v>25</v>
      </c>
      <c r="E34" s="85" t="s">
        <v>25</v>
      </c>
      <c r="F34" s="85" t="s">
        <v>25</v>
      </c>
      <c r="G34" s="85" t="s">
        <v>36</v>
      </c>
      <c r="H34" s="85" t="s">
        <v>85</v>
      </c>
      <c r="I34" s="85" t="s">
        <v>25</v>
      </c>
      <c r="J34" s="85">
        <v>60.65</v>
      </c>
      <c r="K34" s="85">
        <v>0</v>
      </c>
      <c r="L34" s="85">
        <v>0</v>
      </c>
      <c r="M34" s="85">
        <v>0</v>
      </c>
      <c r="N34" s="85">
        <v>0</v>
      </c>
      <c r="O34" s="85">
        <v>0</v>
      </c>
      <c r="P34" s="85">
        <v>0</v>
      </c>
      <c r="Q34" s="85">
        <v>0</v>
      </c>
      <c r="R34" s="85">
        <v>0</v>
      </c>
      <c r="S34" s="85">
        <v>0</v>
      </c>
      <c r="T34" s="85">
        <v>3.2261017215732499</v>
      </c>
      <c r="U34" s="85">
        <v>3.3754991002783501</v>
      </c>
      <c r="V34" s="85">
        <v>0.34803420669329399</v>
      </c>
      <c r="W34" s="85">
        <v>0</v>
      </c>
      <c r="X34" s="85">
        <v>0</v>
      </c>
      <c r="Y34" s="85">
        <v>0</v>
      </c>
      <c r="Z34" s="85">
        <v>0</v>
      </c>
      <c r="AA34" s="85">
        <v>53.700546244740401</v>
      </c>
      <c r="AB34" s="85">
        <v>0</v>
      </c>
      <c r="AC34" s="85">
        <v>0</v>
      </c>
      <c r="AD34" s="85">
        <v>0</v>
      </c>
      <c r="AE34" s="85">
        <v>0</v>
      </c>
      <c r="AF34" s="85">
        <v>0</v>
      </c>
      <c r="AG34" s="85">
        <v>0</v>
      </c>
      <c r="AH34" s="85">
        <v>0</v>
      </c>
      <c r="AI34" s="85">
        <v>0</v>
      </c>
      <c r="AJ34" s="85">
        <v>0</v>
      </c>
      <c r="AK34" s="85">
        <v>0</v>
      </c>
      <c r="AL34" s="85">
        <v>0</v>
      </c>
      <c r="AM34" s="85">
        <v>0</v>
      </c>
      <c r="AN34" s="85">
        <v>0</v>
      </c>
      <c r="AO34" s="85">
        <v>0</v>
      </c>
      <c r="AP34" s="85">
        <v>0</v>
      </c>
      <c r="AQ34" s="85">
        <v>0</v>
      </c>
      <c r="AR34" s="85">
        <v>0</v>
      </c>
      <c r="AS34" s="85">
        <v>0</v>
      </c>
      <c r="AT34" s="86">
        <v>0</v>
      </c>
    </row>
    <row r="35" spans="2:46" ht="12" customHeight="1" x14ac:dyDescent="0.25">
      <c r="B35" s="84" t="s">
        <v>41</v>
      </c>
      <c r="C35" s="85" t="s">
        <v>42</v>
      </c>
      <c r="D35" s="85" t="s">
        <v>25</v>
      </c>
      <c r="E35" s="85" t="s">
        <v>25</v>
      </c>
      <c r="F35" s="85" t="s">
        <v>25</v>
      </c>
      <c r="G35" s="85" t="s">
        <v>37</v>
      </c>
      <c r="H35" s="85" t="s">
        <v>82</v>
      </c>
      <c r="I35" s="85" t="s">
        <v>25</v>
      </c>
      <c r="J35" s="85">
        <v>105.42</v>
      </c>
      <c r="K35" s="85">
        <v>207.59</v>
      </c>
      <c r="L35" s="85">
        <v>18.670130039006501</v>
      </c>
      <c r="M35" s="85">
        <v>0.67311137823630396</v>
      </c>
      <c r="N35" s="85">
        <v>0.69317403046192105</v>
      </c>
      <c r="O35" s="85">
        <v>0</v>
      </c>
      <c r="P35" s="85">
        <v>0</v>
      </c>
      <c r="Q35" s="85">
        <v>30.918732798477599</v>
      </c>
      <c r="R35" s="85">
        <v>13.785929126696301</v>
      </c>
      <c r="S35" s="85">
        <v>0</v>
      </c>
      <c r="T35" s="85">
        <v>0</v>
      </c>
      <c r="U35" s="85">
        <v>0</v>
      </c>
      <c r="V35" s="85">
        <v>0</v>
      </c>
      <c r="W35" s="85">
        <v>0</v>
      </c>
      <c r="X35" s="85">
        <v>0</v>
      </c>
      <c r="Y35" s="85">
        <v>0</v>
      </c>
      <c r="Z35" s="85">
        <v>0</v>
      </c>
      <c r="AA35" s="85">
        <v>0</v>
      </c>
      <c r="AB35" s="85">
        <v>0</v>
      </c>
      <c r="AC35" s="85">
        <v>0</v>
      </c>
      <c r="AD35" s="85">
        <v>0</v>
      </c>
      <c r="AE35" s="85">
        <v>13.555933410576699</v>
      </c>
      <c r="AF35" s="85">
        <v>0.62681370895386401</v>
      </c>
      <c r="AG35" s="85">
        <v>18.432729455339999</v>
      </c>
      <c r="AH35" s="85">
        <v>8.0681577504363702</v>
      </c>
      <c r="AI35" s="85">
        <v>5.0291998178053499</v>
      </c>
      <c r="AJ35" s="85">
        <v>-16.0356557284336</v>
      </c>
      <c r="AK35" s="85">
        <v>2.3157126121942899</v>
      </c>
      <c r="AL35" s="85">
        <v>17.796756473610099</v>
      </c>
      <c r="AM35" s="85">
        <v>0</v>
      </c>
      <c r="AN35" s="85">
        <v>193.722672901713</v>
      </c>
      <c r="AO35" s="85">
        <v>0</v>
      </c>
      <c r="AP35" s="85">
        <v>0</v>
      </c>
      <c r="AQ35" s="85">
        <v>0</v>
      </c>
      <c r="AR35" s="85">
        <v>0</v>
      </c>
      <c r="AS35" s="85">
        <v>0</v>
      </c>
      <c r="AT35" s="86">
        <v>4.75721380034138</v>
      </c>
    </row>
    <row r="36" spans="2:46" ht="12" customHeight="1" x14ac:dyDescent="0.25">
      <c r="B36" s="84" t="s">
        <v>41</v>
      </c>
      <c r="C36" s="85" t="s">
        <v>42</v>
      </c>
      <c r="D36" s="85" t="s">
        <v>25</v>
      </c>
      <c r="E36" s="85" t="s">
        <v>25</v>
      </c>
      <c r="F36" s="85" t="s">
        <v>25</v>
      </c>
      <c r="G36" s="85" t="s">
        <v>37</v>
      </c>
      <c r="H36" s="85" t="s">
        <v>85</v>
      </c>
      <c r="I36" s="85" t="s">
        <v>25</v>
      </c>
      <c r="J36" s="85">
        <v>21.65</v>
      </c>
      <c r="K36" s="85">
        <v>0</v>
      </c>
      <c r="L36" s="85">
        <v>0</v>
      </c>
      <c r="M36" s="85">
        <v>0</v>
      </c>
      <c r="N36" s="85">
        <v>0</v>
      </c>
      <c r="O36" s="85">
        <v>0</v>
      </c>
      <c r="P36" s="85">
        <v>0</v>
      </c>
      <c r="Q36" s="85">
        <v>0</v>
      </c>
      <c r="R36" s="85">
        <v>0</v>
      </c>
      <c r="S36" s="85">
        <v>0</v>
      </c>
      <c r="T36" s="85">
        <v>2.4221004038348499</v>
      </c>
      <c r="U36" s="85">
        <v>2.7922457104993699</v>
      </c>
      <c r="V36" s="85">
        <v>0.29076439880085198</v>
      </c>
      <c r="W36" s="85">
        <v>0</v>
      </c>
      <c r="X36" s="85">
        <v>0</v>
      </c>
      <c r="Y36" s="85">
        <v>0</v>
      </c>
      <c r="Z36" s="85">
        <v>0</v>
      </c>
      <c r="AA36" s="85">
        <v>16.1487211052644</v>
      </c>
      <c r="AB36" s="85">
        <v>0</v>
      </c>
      <c r="AC36" s="85">
        <v>0</v>
      </c>
      <c r="AD36" s="85">
        <v>0</v>
      </c>
      <c r="AE36" s="85">
        <v>0</v>
      </c>
      <c r="AF36" s="85">
        <v>0</v>
      </c>
      <c r="AG36" s="85">
        <v>0</v>
      </c>
      <c r="AH36" s="85">
        <v>0</v>
      </c>
      <c r="AI36" s="85">
        <v>0</v>
      </c>
      <c r="AJ36" s="85">
        <v>0</v>
      </c>
      <c r="AK36" s="85">
        <v>0</v>
      </c>
      <c r="AL36" s="85">
        <v>0</v>
      </c>
      <c r="AM36" s="85">
        <v>0</v>
      </c>
      <c r="AN36" s="85">
        <v>0</v>
      </c>
      <c r="AO36" s="85">
        <v>0</v>
      </c>
      <c r="AP36" s="85">
        <v>0</v>
      </c>
      <c r="AQ36" s="85">
        <v>0</v>
      </c>
      <c r="AR36" s="85">
        <v>0</v>
      </c>
      <c r="AS36" s="85">
        <v>0</v>
      </c>
      <c r="AT36" s="86">
        <v>0</v>
      </c>
    </row>
    <row r="37" spans="2:46" ht="12" customHeight="1" x14ac:dyDescent="0.25">
      <c r="B37" s="84" t="s">
        <v>41</v>
      </c>
      <c r="C37" s="85" t="s">
        <v>23</v>
      </c>
      <c r="D37" s="85" t="s">
        <v>25</v>
      </c>
      <c r="E37" s="85" t="s">
        <v>25</v>
      </c>
      <c r="F37" s="85" t="s">
        <v>25</v>
      </c>
      <c r="G37" s="85" t="s">
        <v>25</v>
      </c>
      <c r="H37" s="85" t="s">
        <v>82</v>
      </c>
      <c r="I37" s="85" t="s">
        <v>25</v>
      </c>
      <c r="J37" s="85">
        <v>0</v>
      </c>
      <c r="K37" s="85">
        <v>219.21</v>
      </c>
      <c r="L37" s="85">
        <v>0</v>
      </c>
      <c r="M37" s="85">
        <v>0</v>
      </c>
      <c r="N37" s="85">
        <v>0</v>
      </c>
      <c r="O37" s="85">
        <v>0</v>
      </c>
      <c r="P37" s="85">
        <v>0</v>
      </c>
      <c r="Q37" s="85">
        <v>0</v>
      </c>
      <c r="R37" s="85">
        <v>0</v>
      </c>
      <c r="S37" s="85">
        <v>0</v>
      </c>
      <c r="T37" s="85">
        <v>0</v>
      </c>
      <c r="U37" s="85">
        <v>0</v>
      </c>
      <c r="V37" s="85">
        <v>0</v>
      </c>
      <c r="W37" s="85">
        <v>0</v>
      </c>
      <c r="X37" s="85">
        <v>0</v>
      </c>
      <c r="Y37" s="85">
        <v>0</v>
      </c>
      <c r="Z37" s="85">
        <v>0</v>
      </c>
      <c r="AA37" s="85">
        <v>0</v>
      </c>
      <c r="AB37" s="85">
        <v>0</v>
      </c>
      <c r="AC37" s="85">
        <v>0</v>
      </c>
      <c r="AD37" s="85">
        <v>0</v>
      </c>
      <c r="AE37" s="85">
        <v>0</v>
      </c>
      <c r="AF37" s="85">
        <v>0</v>
      </c>
      <c r="AG37" s="85">
        <v>0</v>
      </c>
      <c r="AH37" s="85">
        <v>0</v>
      </c>
      <c r="AI37" s="85">
        <v>5.0291998178053499</v>
      </c>
      <c r="AJ37" s="85">
        <v>-16.0356557284336</v>
      </c>
      <c r="AK37" s="85">
        <v>2.3157126121942899</v>
      </c>
      <c r="AL37" s="85">
        <v>17.796756473610099</v>
      </c>
      <c r="AM37" s="85">
        <v>0</v>
      </c>
      <c r="AN37" s="85">
        <v>205.34603327581601</v>
      </c>
      <c r="AO37" s="85">
        <v>0</v>
      </c>
      <c r="AP37" s="85">
        <v>0</v>
      </c>
      <c r="AQ37" s="85">
        <v>0</v>
      </c>
      <c r="AR37" s="85">
        <v>0</v>
      </c>
      <c r="AS37" s="85">
        <v>0</v>
      </c>
      <c r="AT37" s="86">
        <v>4.75721380034138</v>
      </c>
    </row>
    <row r="38" spans="2:46" ht="12" customHeight="1" x14ac:dyDescent="0.25">
      <c r="B38" s="84" t="s">
        <v>41</v>
      </c>
      <c r="C38" s="85" t="s">
        <v>62</v>
      </c>
      <c r="D38" s="85" t="s">
        <v>25</v>
      </c>
      <c r="E38" s="85" t="s">
        <v>25</v>
      </c>
      <c r="F38" s="85" t="s">
        <v>25</v>
      </c>
      <c r="G38" s="85" t="s">
        <v>36</v>
      </c>
      <c r="H38" s="85" t="s">
        <v>85</v>
      </c>
      <c r="I38" s="85" t="s">
        <v>63</v>
      </c>
      <c r="J38" s="85">
        <v>17.53</v>
      </c>
      <c r="K38" s="85">
        <v>0</v>
      </c>
      <c r="L38" s="85">
        <v>0</v>
      </c>
      <c r="M38" s="85">
        <v>0</v>
      </c>
      <c r="N38" s="85">
        <v>0</v>
      </c>
      <c r="O38" s="85">
        <v>0</v>
      </c>
      <c r="P38" s="85">
        <v>0</v>
      </c>
      <c r="Q38" s="85">
        <v>0</v>
      </c>
      <c r="R38" s="85">
        <v>0</v>
      </c>
      <c r="S38" s="85">
        <v>0</v>
      </c>
      <c r="T38" s="85">
        <v>3.2261017215732499</v>
      </c>
      <c r="U38" s="85">
        <v>3.3754991002783501</v>
      </c>
      <c r="V38" s="85">
        <v>0.34803420669329399</v>
      </c>
      <c r="W38" s="85">
        <v>0</v>
      </c>
      <c r="X38" s="85">
        <v>0</v>
      </c>
      <c r="Y38" s="85">
        <v>0</v>
      </c>
      <c r="Z38" s="85">
        <v>0</v>
      </c>
      <c r="AA38" s="85">
        <v>10.5821167670764</v>
      </c>
      <c r="AB38" s="85">
        <v>0</v>
      </c>
      <c r="AC38" s="85">
        <v>0</v>
      </c>
      <c r="AD38" s="85">
        <v>0</v>
      </c>
      <c r="AE38" s="85">
        <v>0</v>
      </c>
      <c r="AF38" s="85">
        <v>0</v>
      </c>
      <c r="AG38" s="85">
        <v>0</v>
      </c>
      <c r="AH38" s="85">
        <v>0</v>
      </c>
      <c r="AI38" s="85">
        <v>0</v>
      </c>
      <c r="AJ38" s="85">
        <v>0</v>
      </c>
      <c r="AK38" s="85">
        <v>0</v>
      </c>
      <c r="AL38" s="85">
        <v>0</v>
      </c>
      <c r="AM38" s="85">
        <v>0</v>
      </c>
      <c r="AN38" s="85">
        <v>0</v>
      </c>
      <c r="AO38" s="85">
        <v>0</v>
      </c>
      <c r="AP38" s="85">
        <v>0</v>
      </c>
      <c r="AQ38" s="85">
        <v>0</v>
      </c>
      <c r="AR38" s="85">
        <v>0</v>
      </c>
      <c r="AS38" s="85">
        <v>0</v>
      </c>
      <c r="AT38" s="86">
        <v>0</v>
      </c>
    </row>
    <row r="39" spans="2:46" ht="12" customHeight="1" x14ac:dyDescent="0.25">
      <c r="B39" s="84" t="s">
        <v>41</v>
      </c>
      <c r="C39" s="85" t="s">
        <v>62</v>
      </c>
      <c r="D39" s="85" t="s">
        <v>25</v>
      </c>
      <c r="E39" s="85" t="s">
        <v>25</v>
      </c>
      <c r="F39" s="85" t="s">
        <v>25</v>
      </c>
      <c r="G39" s="85" t="s">
        <v>25</v>
      </c>
      <c r="H39" s="85" t="s">
        <v>82</v>
      </c>
      <c r="I39" s="85" t="s">
        <v>63</v>
      </c>
      <c r="J39" s="85">
        <v>14.18</v>
      </c>
      <c r="K39" s="85">
        <v>0</v>
      </c>
      <c r="L39" s="85">
        <v>0</v>
      </c>
      <c r="M39" s="85">
        <v>0</v>
      </c>
      <c r="N39" s="85">
        <v>0</v>
      </c>
      <c r="O39" s="85">
        <v>0</v>
      </c>
      <c r="P39" s="85">
        <v>0</v>
      </c>
      <c r="Q39" s="85">
        <v>0</v>
      </c>
      <c r="R39" s="85">
        <v>0</v>
      </c>
      <c r="S39" s="85">
        <v>0</v>
      </c>
      <c r="T39" s="85">
        <v>0</v>
      </c>
      <c r="U39" s="85">
        <v>0</v>
      </c>
      <c r="V39" s="85">
        <v>0</v>
      </c>
      <c r="W39" s="85">
        <v>0</v>
      </c>
      <c r="X39" s="85">
        <v>0</v>
      </c>
      <c r="Y39" s="85">
        <v>0</v>
      </c>
      <c r="Z39" s="85">
        <v>0</v>
      </c>
      <c r="AA39" s="85">
        <v>0</v>
      </c>
      <c r="AB39" s="85">
        <v>0</v>
      </c>
      <c r="AC39" s="85">
        <v>0</v>
      </c>
      <c r="AD39" s="85">
        <v>0</v>
      </c>
      <c r="AE39" s="85">
        <v>13.555933410576699</v>
      </c>
      <c r="AF39" s="85">
        <v>0.62681370895386401</v>
      </c>
      <c r="AG39" s="85">
        <v>0</v>
      </c>
      <c r="AH39" s="85">
        <v>0</v>
      </c>
      <c r="AI39" s="85">
        <v>0</v>
      </c>
      <c r="AJ39" s="85">
        <v>0</v>
      </c>
      <c r="AK39" s="85">
        <v>0</v>
      </c>
      <c r="AL39" s="85">
        <v>0</v>
      </c>
      <c r="AM39" s="85">
        <v>0</v>
      </c>
      <c r="AN39" s="85">
        <v>0</v>
      </c>
      <c r="AO39" s="85">
        <v>0</v>
      </c>
      <c r="AP39" s="85">
        <v>0</v>
      </c>
      <c r="AQ39" s="85">
        <v>0</v>
      </c>
      <c r="AR39" s="85">
        <v>0</v>
      </c>
      <c r="AS39" s="85">
        <v>0</v>
      </c>
      <c r="AT39" s="86">
        <v>0</v>
      </c>
    </row>
    <row r="40" spans="2:46" ht="12" customHeight="1" x14ac:dyDescent="0.25">
      <c r="B40" s="84" t="s">
        <v>41</v>
      </c>
      <c r="C40" s="85" t="s">
        <v>62</v>
      </c>
      <c r="D40" s="85" t="s">
        <v>25</v>
      </c>
      <c r="E40" s="85" t="s">
        <v>25</v>
      </c>
      <c r="F40" s="85" t="s">
        <v>25</v>
      </c>
      <c r="G40" s="85" t="s">
        <v>37</v>
      </c>
      <c r="H40" s="85" t="s">
        <v>85</v>
      </c>
      <c r="I40" s="85" t="s">
        <v>63</v>
      </c>
      <c r="J40" s="85">
        <v>8.69</v>
      </c>
      <c r="K40" s="85">
        <v>0</v>
      </c>
      <c r="L40" s="85">
        <v>0</v>
      </c>
      <c r="M40" s="85">
        <v>0</v>
      </c>
      <c r="N40" s="85">
        <v>0</v>
      </c>
      <c r="O40" s="85">
        <v>0</v>
      </c>
      <c r="P40" s="85">
        <v>0</v>
      </c>
      <c r="Q40" s="85">
        <v>0</v>
      </c>
      <c r="R40" s="85">
        <v>0</v>
      </c>
      <c r="S40" s="85">
        <v>0</v>
      </c>
      <c r="T40" s="85">
        <v>2.4221004038348499</v>
      </c>
      <c r="U40" s="85">
        <v>2.7922457104993699</v>
      </c>
      <c r="V40" s="85">
        <v>0.29076439880085198</v>
      </c>
      <c r="W40" s="85">
        <v>0</v>
      </c>
      <c r="X40" s="85">
        <v>0</v>
      </c>
      <c r="Y40" s="85">
        <v>0</v>
      </c>
      <c r="Z40" s="85">
        <v>0</v>
      </c>
      <c r="AA40" s="85">
        <v>3.1822197445540401</v>
      </c>
      <c r="AB40" s="85">
        <v>0</v>
      </c>
      <c r="AC40" s="85">
        <v>0</v>
      </c>
      <c r="AD40" s="85">
        <v>0</v>
      </c>
      <c r="AE40" s="85">
        <v>0</v>
      </c>
      <c r="AF40" s="85">
        <v>0</v>
      </c>
      <c r="AG40" s="85">
        <v>0</v>
      </c>
      <c r="AH40" s="85">
        <v>0</v>
      </c>
      <c r="AI40" s="85">
        <v>0</v>
      </c>
      <c r="AJ40" s="85">
        <v>0</v>
      </c>
      <c r="AK40" s="85">
        <v>0</v>
      </c>
      <c r="AL40" s="85">
        <v>0</v>
      </c>
      <c r="AM40" s="85">
        <v>0</v>
      </c>
      <c r="AN40" s="85">
        <v>0</v>
      </c>
      <c r="AO40" s="85">
        <v>0</v>
      </c>
      <c r="AP40" s="85">
        <v>0</v>
      </c>
      <c r="AQ40" s="85">
        <v>0</v>
      </c>
      <c r="AR40" s="85">
        <v>0</v>
      </c>
      <c r="AS40" s="85">
        <v>0</v>
      </c>
      <c r="AT40" s="86">
        <v>0</v>
      </c>
    </row>
    <row r="41" spans="2:46" ht="12" customHeight="1" x14ac:dyDescent="0.25">
      <c r="B41" s="84" t="s">
        <v>41</v>
      </c>
      <c r="C41" s="85" t="s">
        <v>91</v>
      </c>
      <c r="D41" s="85" t="s">
        <v>25</v>
      </c>
      <c r="E41" s="85" t="s">
        <v>25</v>
      </c>
      <c r="F41" s="85" t="s">
        <v>25</v>
      </c>
      <c r="G41" s="85" t="s">
        <v>25</v>
      </c>
      <c r="H41" s="85" t="s">
        <v>85</v>
      </c>
      <c r="I41" s="85" t="s">
        <v>25</v>
      </c>
      <c r="J41" s="85">
        <v>20.239999999999998</v>
      </c>
      <c r="K41" s="85">
        <v>0</v>
      </c>
      <c r="L41" s="85">
        <v>0</v>
      </c>
      <c r="M41" s="85">
        <v>6.8091822482383796E-2</v>
      </c>
      <c r="N41" s="85">
        <v>0.191726512320047</v>
      </c>
      <c r="O41" s="85">
        <v>0</v>
      </c>
      <c r="P41" s="85">
        <v>0</v>
      </c>
      <c r="Q41" s="85">
        <v>0</v>
      </c>
      <c r="R41" s="85">
        <v>0</v>
      </c>
      <c r="S41" s="85">
        <v>0</v>
      </c>
      <c r="T41" s="85">
        <v>0</v>
      </c>
      <c r="U41" s="85">
        <v>0</v>
      </c>
      <c r="V41" s="85">
        <v>0</v>
      </c>
      <c r="W41" s="85">
        <v>0</v>
      </c>
      <c r="X41" s="85">
        <v>0</v>
      </c>
      <c r="Y41" s="85">
        <v>0</v>
      </c>
      <c r="Z41" s="85">
        <v>0</v>
      </c>
      <c r="AA41" s="85">
        <v>19.977201723420201</v>
      </c>
      <c r="AB41" s="85">
        <v>0</v>
      </c>
      <c r="AC41" s="85">
        <v>0</v>
      </c>
      <c r="AD41" s="85">
        <v>0</v>
      </c>
      <c r="AE41" s="85">
        <v>0</v>
      </c>
      <c r="AF41" s="85">
        <v>0</v>
      </c>
      <c r="AG41" s="85">
        <v>0</v>
      </c>
      <c r="AH41" s="85">
        <v>0</v>
      </c>
      <c r="AI41" s="85">
        <v>0</v>
      </c>
      <c r="AJ41" s="85">
        <v>0</v>
      </c>
      <c r="AK41" s="85">
        <v>0</v>
      </c>
      <c r="AL41" s="85">
        <v>0</v>
      </c>
      <c r="AM41" s="85">
        <v>0</v>
      </c>
      <c r="AN41" s="85">
        <v>0</v>
      </c>
      <c r="AO41" s="85">
        <v>0</v>
      </c>
      <c r="AP41" s="85">
        <v>0</v>
      </c>
      <c r="AQ41" s="85">
        <v>0</v>
      </c>
      <c r="AR41" s="85">
        <v>0</v>
      </c>
      <c r="AS41" s="85">
        <v>0</v>
      </c>
      <c r="AT41" s="86">
        <v>0</v>
      </c>
    </row>
    <row r="42" spans="2:46" ht="12" customHeight="1" x14ac:dyDescent="0.25">
      <c r="B42" s="84" t="s">
        <v>41</v>
      </c>
      <c r="C42" s="85" t="s">
        <v>44</v>
      </c>
      <c r="D42" s="85" t="s">
        <v>25</v>
      </c>
      <c r="E42" s="85" t="s">
        <v>25</v>
      </c>
      <c r="F42" s="85" t="s">
        <v>89</v>
      </c>
      <c r="G42" s="85" t="s">
        <v>36</v>
      </c>
      <c r="H42" s="85" t="s">
        <v>82</v>
      </c>
      <c r="I42" s="85" t="s">
        <v>25</v>
      </c>
      <c r="J42" s="85">
        <v>1514.38</v>
      </c>
      <c r="K42" s="85">
        <v>0</v>
      </c>
      <c r="L42" s="85">
        <v>0</v>
      </c>
      <c r="M42" s="85">
        <v>0.67311137823630396</v>
      </c>
      <c r="N42" s="85">
        <v>14.383987247516799</v>
      </c>
      <c r="O42" s="85">
        <v>0</v>
      </c>
      <c r="P42" s="85">
        <v>0</v>
      </c>
      <c r="Q42" s="85">
        <v>0</v>
      </c>
      <c r="R42" s="85">
        <v>0</v>
      </c>
      <c r="S42" s="85">
        <v>0</v>
      </c>
      <c r="T42" s="85">
        <v>77.588556024876993</v>
      </c>
      <c r="U42" s="85">
        <v>81.180195810074395</v>
      </c>
      <c r="V42" s="85">
        <v>8.3699629439537908</v>
      </c>
      <c r="W42" s="85">
        <v>0</v>
      </c>
      <c r="X42" s="85">
        <v>0</v>
      </c>
      <c r="Y42" s="85">
        <v>0</v>
      </c>
      <c r="Z42" s="85">
        <v>0</v>
      </c>
      <c r="AA42" s="85">
        <v>1291.49963492708</v>
      </c>
      <c r="AB42" s="85">
        <v>0</v>
      </c>
      <c r="AC42" s="85">
        <v>0</v>
      </c>
      <c r="AD42" s="85">
        <v>0</v>
      </c>
      <c r="AE42" s="85">
        <v>13.555933410576699</v>
      </c>
      <c r="AF42" s="85">
        <v>0.62681370895386401</v>
      </c>
      <c r="AG42" s="85">
        <v>18.432729455339999</v>
      </c>
      <c r="AH42" s="85">
        <v>8.0681577504363702</v>
      </c>
      <c r="AI42" s="85">
        <v>0</v>
      </c>
      <c r="AJ42" s="85">
        <v>0</v>
      </c>
      <c r="AK42" s="85">
        <v>0</v>
      </c>
      <c r="AL42" s="85">
        <v>0</v>
      </c>
      <c r="AM42" s="85">
        <v>0</v>
      </c>
      <c r="AN42" s="85">
        <v>0</v>
      </c>
      <c r="AO42" s="85">
        <v>0</v>
      </c>
      <c r="AP42" s="85">
        <v>0</v>
      </c>
      <c r="AQ42" s="85">
        <v>0</v>
      </c>
      <c r="AR42" s="85">
        <v>0</v>
      </c>
      <c r="AS42" s="85">
        <v>0</v>
      </c>
      <c r="AT42" s="86">
        <v>0</v>
      </c>
    </row>
    <row r="43" spans="2:46" ht="12" customHeight="1" x14ac:dyDescent="0.25">
      <c r="B43" s="84" t="s">
        <v>41</v>
      </c>
      <c r="C43" s="85" t="s">
        <v>44</v>
      </c>
      <c r="D43" s="85" t="s">
        <v>25</v>
      </c>
      <c r="E43" s="85" t="s">
        <v>25</v>
      </c>
      <c r="F43" s="85" t="s">
        <v>89</v>
      </c>
      <c r="G43" s="85" t="s">
        <v>25</v>
      </c>
      <c r="H43" s="85" t="s">
        <v>85</v>
      </c>
      <c r="I43" s="85" t="s">
        <v>25</v>
      </c>
      <c r="J43" s="85">
        <v>21.65</v>
      </c>
      <c r="K43" s="85">
        <v>0</v>
      </c>
      <c r="L43" s="85">
        <v>0</v>
      </c>
      <c r="M43" s="85">
        <v>0</v>
      </c>
      <c r="N43" s="85">
        <v>0</v>
      </c>
      <c r="O43" s="85">
        <v>0</v>
      </c>
      <c r="P43" s="85">
        <v>0</v>
      </c>
      <c r="Q43" s="85">
        <v>0</v>
      </c>
      <c r="R43" s="85">
        <v>0</v>
      </c>
      <c r="S43" s="85">
        <v>0</v>
      </c>
      <c r="T43" s="85">
        <v>2.4221004038348499</v>
      </c>
      <c r="U43" s="85">
        <v>2.7922457104993699</v>
      </c>
      <c r="V43" s="85">
        <v>0.29076439880085198</v>
      </c>
      <c r="W43" s="85">
        <v>0</v>
      </c>
      <c r="X43" s="85">
        <v>0</v>
      </c>
      <c r="Y43" s="85">
        <v>0</v>
      </c>
      <c r="Z43" s="85">
        <v>0</v>
      </c>
      <c r="AA43" s="85">
        <v>16.1487211052644</v>
      </c>
      <c r="AB43" s="85">
        <v>0</v>
      </c>
      <c r="AC43" s="85">
        <v>0</v>
      </c>
      <c r="AD43" s="85">
        <v>0</v>
      </c>
      <c r="AE43" s="85">
        <v>0</v>
      </c>
      <c r="AF43" s="85">
        <v>0</v>
      </c>
      <c r="AG43" s="85">
        <v>0</v>
      </c>
      <c r="AH43" s="85">
        <v>0</v>
      </c>
      <c r="AI43" s="85">
        <v>0</v>
      </c>
      <c r="AJ43" s="85">
        <v>0</v>
      </c>
      <c r="AK43" s="85">
        <v>0</v>
      </c>
      <c r="AL43" s="85">
        <v>0</v>
      </c>
      <c r="AM43" s="85">
        <v>0</v>
      </c>
      <c r="AN43" s="85">
        <v>0</v>
      </c>
      <c r="AO43" s="85">
        <v>0</v>
      </c>
      <c r="AP43" s="85">
        <v>0</v>
      </c>
      <c r="AQ43" s="85">
        <v>0</v>
      </c>
      <c r="AR43" s="85">
        <v>0</v>
      </c>
      <c r="AS43" s="85">
        <v>0</v>
      </c>
      <c r="AT43" s="86">
        <v>0</v>
      </c>
    </row>
    <row r="44" spans="2:46" ht="12" customHeight="1" x14ac:dyDescent="0.25">
      <c r="B44" s="84" t="s">
        <v>41</v>
      </c>
      <c r="C44" s="85" t="s">
        <v>44</v>
      </c>
      <c r="D44" s="85" t="s">
        <v>25</v>
      </c>
      <c r="E44" s="85" t="s">
        <v>25</v>
      </c>
      <c r="F44" s="85" t="s">
        <v>89</v>
      </c>
      <c r="G44" s="85" t="s">
        <v>37</v>
      </c>
      <c r="H44" s="85" t="s">
        <v>82</v>
      </c>
      <c r="I44" s="85" t="s">
        <v>25</v>
      </c>
      <c r="J44" s="85">
        <v>42.04</v>
      </c>
      <c r="K44" s="85">
        <v>0</v>
      </c>
      <c r="L44" s="85">
        <v>0</v>
      </c>
      <c r="M44" s="85">
        <v>0.67311137823630396</v>
      </c>
      <c r="N44" s="85">
        <v>0.68170027149602996</v>
      </c>
      <c r="O44" s="85">
        <v>0</v>
      </c>
      <c r="P44" s="85">
        <v>0</v>
      </c>
      <c r="Q44" s="85">
        <v>0</v>
      </c>
      <c r="R44" s="85">
        <v>0</v>
      </c>
      <c r="S44" s="85">
        <v>0</v>
      </c>
      <c r="T44" s="85">
        <v>0</v>
      </c>
      <c r="U44" s="85">
        <v>0</v>
      </c>
      <c r="V44" s="85">
        <v>0</v>
      </c>
      <c r="W44" s="85">
        <v>0</v>
      </c>
      <c r="X44" s="85">
        <v>0</v>
      </c>
      <c r="Y44" s="85">
        <v>0</v>
      </c>
      <c r="Z44" s="85">
        <v>0</v>
      </c>
      <c r="AA44" s="85">
        <v>0</v>
      </c>
      <c r="AB44" s="85">
        <v>0</v>
      </c>
      <c r="AC44" s="85">
        <v>0</v>
      </c>
      <c r="AD44" s="85">
        <v>0</v>
      </c>
      <c r="AE44" s="85">
        <v>13.555933410576699</v>
      </c>
      <c r="AF44" s="85">
        <v>0.62681370895386401</v>
      </c>
      <c r="AG44" s="85">
        <v>18.432729455339999</v>
      </c>
      <c r="AH44" s="85">
        <v>8.0681577504363702</v>
      </c>
      <c r="AI44" s="85">
        <v>0</v>
      </c>
      <c r="AJ44" s="85">
        <v>0</v>
      </c>
      <c r="AK44" s="85">
        <v>0</v>
      </c>
      <c r="AL44" s="85">
        <v>0</v>
      </c>
      <c r="AM44" s="85">
        <v>0</v>
      </c>
      <c r="AN44" s="85">
        <v>0</v>
      </c>
      <c r="AO44" s="85">
        <v>0</v>
      </c>
      <c r="AP44" s="85">
        <v>0</v>
      </c>
      <c r="AQ44" s="85">
        <v>0</v>
      </c>
      <c r="AR44" s="85">
        <v>0</v>
      </c>
      <c r="AS44" s="85">
        <v>0</v>
      </c>
      <c r="AT44" s="86">
        <v>0</v>
      </c>
    </row>
    <row r="45" spans="2:46" ht="12" customHeight="1" x14ac:dyDescent="0.25">
      <c r="B45" s="84" t="s">
        <v>41</v>
      </c>
      <c r="C45" s="85" t="s">
        <v>44</v>
      </c>
      <c r="D45" s="85" t="s">
        <v>25</v>
      </c>
      <c r="E45" s="85" t="s">
        <v>25</v>
      </c>
      <c r="F45" s="85" t="s">
        <v>25</v>
      </c>
      <c r="G45" s="85" t="s">
        <v>36</v>
      </c>
      <c r="H45" s="85" t="s">
        <v>82</v>
      </c>
      <c r="I45" s="85" t="s">
        <v>25</v>
      </c>
      <c r="J45" s="85">
        <v>1577.77</v>
      </c>
      <c r="K45" s="85">
        <v>347.07</v>
      </c>
      <c r="L45" s="85">
        <v>18.670130039006501</v>
      </c>
      <c r="M45" s="85">
        <v>0.67311137823630396</v>
      </c>
      <c r="N45" s="85">
        <v>14.3954610064827</v>
      </c>
      <c r="O45" s="85">
        <v>0</v>
      </c>
      <c r="P45" s="85">
        <v>0</v>
      </c>
      <c r="Q45" s="85">
        <v>30.918732798477599</v>
      </c>
      <c r="R45" s="85">
        <v>13.785929126696301</v>
      </c>
      <c r="S45" s="85">
        <v>0</v>
      </c>
      <c r="T45" s="85">
        <v>77.588556024876993</v>
      </c>
      <c r="U45" s="85">
        <v>81.180195810074395</v>
      </c>
      <c r="V45" s="85">
        <v>8.3699629439537908</v>
      </c>
      <c r="W45" s="85">
        <v>0</v>
      </c>
      <c r="X45" s="85">
        <v>0</v>
      </c>
      <c r="Y45" s="85">
        <v>0</v>
      </c>
      <c r="Z45" s="85">
        <v>0</v>
      </c>
      <c r="AA45" s="85">
        <v>1291.49963492708</v>
      </c>
      <c r="AB45" s="85">
        <v>0</v>
      </c>
      <c r="AC45" s="85">
        <v>0</v>
      </c>
      <c r="AD45" s="85">
        <v>0</v>
      </c>
      <c r="AE45" s="85">
        <v>13.555933410576699</v>
      </c>
      <c r="AF45" s="85">
        <v>0.62681370895386401</v>
      </c>
      <c r="AG45" s="85">
        <v>18.432729455339999</v>
      </c>
      <c r="AH45" s="85">
        <v>8.0681577504363702</v>
      </c>
      <c r="AI45" s="85">
        <v>5.0291998178053499</v>
      </c>
      <c r="AJ45" s="85">
        <v>-16.0356557284336</v>
      </c>
      <c r="AK45" s="85">
        <v>2.3157126121942899</v>
      </c>
      <c r="AL45" s="85">
        <v>17.796756473610099</v>
      </c>
      <c r="AM45" s="85">
        <v>0</v>
      </c>
      <c r="AN45" s="85">
        <v>333.20299739094702</v>
      </c>
      <c r="AO45" s="85">
        <v>0</v>
      </c>
      <c r="AP45" s="85">
        <v>0</v>
      </c>
      <c r="AQ45" s="85">
        <v>0</v>
      </c>
      <c r="AR45" s="85">
        <v>0</v>
      </c>
      <c r="AS45" s="85">
        <v>0</v>
      </c>
      <c r="AT45" s="86">
        <v>4.75721380034138</v>
      </c>
    </row>
    <row r="46" spans="2:46" ht="12" customHeight="1" x14ac:dyDescent="0.25">
      <c r="B46" s="84" t="s">
        <v>41</v>
      </c>
      <c r="C46" s="85" t="s">
        <v>44</v>
      </c>
      <c r="D46" s="85" t="s">
        <v>25</v>
      </c>
      <c r="E46" s="85" t="s">
        <v>25</v>
      </c>
      <c r="F46" s="85" t="s">
        <v>25</v>
      </c>
      <c r="G46" s="85" t="s">
        <v>25</v>
      </c>
      <c r="H46" s="85" t="s">
        <v>85</v>
      </c>
      <c r="I46" s="85" t="s">
        <v>25</v>
      </c>
      <c r="J46" s="85">
        <v>21.65</v>
      </c>
      <c r="K46" s="85">
        <v>0</v>
      </c>
      <c r="L46" s="85">
        <v>0</v>
      </c>
      <c r="M46" s="85">
        <v>0</v>
      </c>
      <c r="N46" s="85">
        <v>0</v>
      </c>
      <c r="O46" s="85">
        <v>0</v>
      </c>
      <c r="P46" s="85">
        <v>0</v>
      </c>
      <c r="Q46" s="85">
        <v>0</v>
      </c>
      <c r="R46" s="85">
        <v>0</v>
      </c>
      <c r="S46" s="85">
        <v>0</v>
      </c>
      <c r="T46" s="85">
        <v>2.4221004038348499</v>
      </c>
      <c r="U46" s="85">
        <v>2.7922457104993699</v>
      </c>
      <c r="V46" s="85">
        <v>0.29076439880085198</v>
      </c>
      <c r="W46" s="85">
        <v>0</v>
      </c>
      <c r="X46" s="85">
        <v>0</v>
      </c>
      <c r="Y46" s="85">
        <v>0</v>
      </c>
      <c r="Z46" s="85">
        <v>0</v>
      </c>
      <c r="AA46" s="85">
        <v>16.1487211052644</v>
      </c>
      <c r="AB46" s="85">
        <v>0</v>
      </c>
      <c r="AC46" s="85">
        <v>0</v>
      </c>
      <c r="AD46" s="85">
        <v>0</v>
      </c>
      <c r="AE46" s="85">
        <v>0</v>
      </c>
      <c r="AF46" s="85">
        <v>0</v>
      </c>
      <c r="AG46" s="85">
        <v>0</v>
      </c>
      <c r="AH46" s="85">
        <v>0</v>
      </c>
      <c r="AI46" s="85">
        <v>0</v>
      </c>
      <c r="AJ46" s="85">
        <v>0</v>
      </c>
      <c r="AK46" s="85">
        <v>0</v>
      </c>
      <c r="AL46" s="85">
        <v>0</v>
      </c>
      <c r="AM46" s="85">
        <v>0</v>
      </c>
      <c r="AN46" s="85">
        <v>0</v>
      </c>
      <c r="AO46" s="85">
        <v>0</v>
      </c>
      <c r="AP46" s="85">
        <v>0</v>
      </c>
      <c r="AQ46" s="85">
        <v>0</v>
      </c>
      <c r="AR46" s="85">
        <v>0</v>
      </c>
      <c r="AS46" s="85">
        <v>0</v>
      </c>
      <c r="AT46" s="86">
        <v>0</v>
      </c>
    </row>
    <row r="47" spans="2:46" ht="12" customHeight="1" x14ac:dyDescent="0.25">
      <c r="B47" s="84" t="s">
        <v>41</v>
      </c>
      <c r="C47" s="85" t="s">
        <v>44</v>
      </c>
      <c r="D47" s="85" t="s">
        <v>25</v>
      </c>
      <c r="E47" s="85" t="s">
        <v>25</v>
      </c>
      <c r="F47" s="85" t="s">
        <v>25</v>
      </c>
      <c r="G47" s="85" t="s">
        <v>37</v>
      </c>
      <c r="H47" s="85" t="s">
        <v>82</v>
      </c>
      <c r="I47" s="85" t="s">
        <v>25</v>
      </c>
      <c r="J47" s="85">
        <v>105.42</v>
      </c>
      <c r="K47" s="85">
        <v>207.59</v>
      </c>
      <c r="L47" s="85">
        <v>18.670130039006501</v>
      </c>
      <c r="M47" s="85">
        <v>0.67311137823630396</v>
      </c>
      <c r="N47" s="85">
        <v>0.69317403046192105</v>
      </c>
      <c r="O47" s="85">
        <v>0</v>
      </c>
      <c r="P47" s="85">
        <v>0</v>
      </c>
      <c r="Q47" s="85">
        <v>30.918732798477599</v>
      </c>
      <c r="R47" s="85">
        <v>13.785929126696301</v>
      </c>
      <c r="S47" s="85">
        <v>0</v>
      </c>
      <c r="T47" s="85">
        <v>0</v>
      </c>
      <c r="U47" s="85">
        <v>0</v>
      </c>
      <c r="V47" s="85">
        <v>0</v>
      </c>
      <c r="W47" s="85">
        <v>0</v>
      </c>
      <c r="X47" s="85">
        <v>0</v>
      </c>
      <c r="Y47" s="85">
        <v>0</v>
      </c>
      <c r="Z47" s="85">
        <v>0</v>
      </c>
      <c r="AA47" s="85">
        <v>0</v>
      </c>
      <c r="AB47" s="85">
        <v>0</v>
      </c>
      <c r="AC47" s="85">
        <v>0</v>
      </c>
      <c r="AD47" s="85">
        <v>0</v>
      </c>
      <c r="AE47" s="85">
        <v>13.555933410576699</v>
      </c>
      <c r="AF47" s="85">
        <v>0.62681370895386401</v>
      </c>
      <c r="AG47" s="85">
        <v>18.432729455339999</v>
      </c>
      <c r="AH47" s="85">
        <v>8.0681577504363702</v>
      </c>
      <c r="AI47" s="85">
        <v>5.0291998178053499</v>
      </c>
      <c r="AJ47" s="85">
        <v>-16.0356557284336</v>
      </c>
      <c r="AK47" s="85">
        <v>2.3157126121942899</v>
      </c>
      <c r="AL47" s="85">
        <v>17.796756473610099</v>
      </c>
      <c r="AM47" s="85">
        <v>0</v>
      </c>
      <c r="AN47" s="85">
        <v>193.722672901713</v>
      </c>
      <c r="AO47" s="85">
        <v>0</v>
      </c>
      <c r="AP47" s="85">
        <v>0</v>
      </c>
      <c r="AQ47" s="85">
        <v>0</v>
      </c>
      <c r="AR47" s="85">
        <v>0</v>
      </c>
      <c r="AS47" s="85">
        <v>0</v>
      </c>
      <c r="AT47" s="86">
        <v>4.75721380034138</v>
      </c>
    </row>
    <row r="48" spans="2:46" ht="12" customHeight="1" x14ac:dyDescent="0.25">
      <c r="B48" s="84" t="s">
        <v>95</v>
      </c>
      <c r="C48" s="85" t="s">
        <v>91</v>
      </c>
      <c r="D48" s="85" t="s">
        <v>25</v>
      </c>
      <c r="E48" s="85" t="s">
        <v>25</v>
      </c>
      <c r="F48" s="85" t="s">
        <v>96</v>
      </c>
      <c r="G48" s="85" t="s">
        <v>25</v>
      </c>
      <c r="H48" s="85" t="s">
        <v>85</v>
      </c>
      <c r="I48" s="85" t="s">
        <v>25</v>
      </c>
      <c r="J48" s="85">
        <v>15.48</v>
      </c>
      <c r="K48" s="85">
        <v>0</v>
      </c>
      <c r="L48" s="85">
        <v>0</v>
      </c>
      <c r="M48" s="85">
        <v>5.2040146611912003E-2</v>
      </c>
      <c r="N48" s="85">
        <v>0.146749377173752</v>
      </c>
      <c r="O48" s="85">
        <v>0</v>
      </c>
      <c r="P48" s="85">
        <v>0</v>
      </c>
      <c r="Q48" s="85">
        <v>0</v>
      </c>
      <c r="R48" s="85">
        <v>0</v>
      </c>
      <c r="S48" s="85">
        <v>0</v>
      </c>
      <c r="T48" s="85">
        <v>0</v>
      </c>
      <c r="U48" s="85">
        <v>0</v>
      </c>
      <c r="V48" s="85">
        <v>0</v>
      </c>
      <c r="W48" s="85">
        <v>0</v>
      </c>
      <c r="X48" s="85">
        <v>0</v>
      </c>
      <c r="Y48" s="85">
        <v>0</v>
      </c>
      <c r="Z48" s="85">
        <v>0</v>
      </c>
      <c r="AA48" s="85">
        <v>15.285839827419201</v>
      </c>
      <c r="AB48" s="85">
        <v>0</v>
      </c>
      <c r="AC48" s="85">
        <v>0</v>
      </c>
      <c r="AD48" s="85">
        <v>0</v>
      </c>
      <c r="AE48" s="85">
        <v>0</v>
      </c>
      <c r="AF48" s="85">
        <v>0</v>
      </c>
      <c r="AG48" s="85">
        <v>0</v>
      </c>
      <c r="AH48" s="85">
        <v>0</v>
      </c>
      <c r="AI48" s="85">
        <v>0</v>
      </c>
      <c r="AJ48" s="85">
        <v>0</v>
      </c>
      <c r="AK48" s="85">
        <v>0</v>
      </c>
      <c r="AL48" s="85">
        <v>0</v>
      </c>
      <c r="AM48" s="85">
        <v>0</v>
      </c>
      <c r="AN48" s="85">
        <v>0</v>
      </c>
      <c r="AO48" s="85">
        <v>0</v>
      </c>
      <c r="AP48" s="85">
        <v>0</v>
      </c>
      <c r="AQ48" s="85">
        <v>0</v>
      </c>
      <c r="AR48" s="85">
        <v>0</v>
      </c>
      <c r="AS48" s="85">
        <v>0</v>
      </c>
      <c r="AT48" s="86">
        <v>0</v>
      </c>
    </row>
    <row r="49" spans="2:46" ht="12" customHeight="1" x14ac:dyDescent="0.25">
      <c r="B49" s="84" t="s">
        <v>95</v>
      </c>
      <c r="C49" s="85" t="s">
        <v>91</v>
      </c>
      <c r="D49" s="85" t="s">
        <v>25</v>
      </c>
      <c r="E49" s="85" t="s">
        <v>25</v>
      </c>
      <c r="F49" s="85" t="s">
        <v>97</v>
      </c>
      <c r="G49" s="85" t="s">
        <v>25</v>
      </c>
      <c r="H49" s="85" t="s">
        <v>85</v>
      </c>
      <c r="I49" s="85" t="s">
        <v>25</v>
      </c>
      <c r="J49" s="85">
        <v>34.42</v>
      </c>
      <c r="K49" s="85">
        <v>0</v>
      </c>
      <c r="L49" s="85">
        <v>0</v>
      </c>
      <c r="M49" s="85">
        <v>5.2040146611912003E-2</v>
      </c>
      <c r="N49" s="85">
        <v>0.146749377173752</v>
      </c>
      <c r="O49" s="85">
        <v>0</v>
      </c>
      <c r="P49" s="85">
        <v>0</v>
      </c>
      <c r="Q49" s="85">
        <v>0</v>
      </c>
      <c r="R49" s="85">
        <v>0</v>
      </c>
      <c r="S49" s="85">
        <v>0</v>
      </c>
      <c r="T49" s="85">
        <v>0</v>
      </c>
      <c r="U49" s="85">
        <v>0</v>
      </c>
      <c r="V49" s="85">
        <v>0</v>
      </c>
      <c r="W49" s="85">
        <v>0</v>
      </c>
      <c r="X49" s="85">
        <v>0</v>
      </c>
      <c r="Y49" s="85">
        <v>0</v>
      </c>
      <c r="Z49" s="85">
        <v>0</v>
      </c>
      <c r="AA49" s="85">
        <v>34.223863666992202</v>
      </c>
      <c r="AB49" s="85">
        <v>0</v>
      </c>
      <c r="AC49" s="85">
        <v>0</v>
      </c>
      <c r="AD49" s="85">
        <v>0</v>
      </c>
      <c r="AE49" s="85">
        <v>0</v>
      </c>
      <c r="AF49" s="85">
        <v>0</v>
      </c>
      <c r="AG49" s="85">
        <v>0</v>
      </c>
      <c r="AH49" s="85">
        <v>0</v>
      </c>
      <c r="AI49" s="85">
        <v>0</v>
      </c>
      <c r="AJ49" s="85">
        <v>0</v>
      </c>
      <c r="AK49" s="85">
        <v>0</v>
      </c>
      <c r="AL49" s="85">
        <v>0</v>
      </c>
      <c r="AM49" s="85">
        <v>0</v>
      </c>
      <c r="AN49" s="85">
        <v>0</v>
      </c>
      <c r="AO49" s="85">
        <v>0</v>
      </c>
      <c r="AP49" s="85">
        <v>0</v>
      </c>
      <c r="AQ49" s="85">
        <v>0</v>
      </c>
      <c r="AR49" s="85">
        <v>0</v>
      </c>
      <c r="AS49" s="85">
        <v>0</v>
      </c>
      <c r="AT49" s="86">
        <v>0</v>
      </c>
    </row>
    <row r="50" spans="2:46" ht="12" customHeight="1" x14ac:dyDescent="0.25">
      <c r="B50" s="84" t="s">
        <v>22</v>
      </c>
      <c r="C50" s="85" t="s">
        <v>35</v>
      </c>
      <c r="D50" s="85" t="s">
        <v>24</v>
      </c>
      <c r="E50" s="85" t="s">
        <v>24</v>
      </c>
      <c r="F50" s="85" t="s">
        <v>25</v>
      </c>
      <c r="G50" s="85" t="s">
        <v>36</v>
      </c>
      <c r="H50" s="85" t="s">
        <v>82</v>
      </c>
      <c r="I50" s="85" t="s">
        <v>25</v>
      </c>
      <c r="J50" s="85">
        <v>1331.06</v>
      </c>
      <c r="K50" s="85">
        <v>347.07</v>
      </c>
      <c r="L50" s="85">
        <v>22.226345284531501</v>
      </c>
      <c r="M50" s="85">
        <v>1.2551665188977099</v>
      </c>
      <c r="N50" s="85">
        <v>12.278477639816799</v>
      </c>
      <c r="O50" s="85">
        <v>0</v>
      </c>
      <c r="P50" s="85">
        <v>0</v>
      </c>
      <c r="Q50" s="85">
        <v>36.808015236282799</v>
      </c>
      <c r="R50" s="85">
        <v>13.785929126696301</v>
      </c>
      <c r="S50" s="85">
        <v>0</v>
      </c>
      <c r="T50" s="85">
        <v>44.420215559239701</v>
      </c>
      <c r="U50" s="85">
        <v>48.383411661506301</v>
      </c>
      <c r="V50" s="85">
        <v>5.0098095554890003</v>
      </c>
      <c r="W50" s="85">
        <v>0</v>
      </c>
      <c r="X50" s="85">
        <v>0</v>
      </c>
      <c r="Y50" s="85">
        <v>0</v>
      </c>
      <c r="Z50" s="85">
        <v>0</v>
      </c>
      <c r="AA50" s="85">
        <v>1076.2114521702699</v>
      </c>
      <c r="AB50" s="85">
        <v>0</v>
      </c>
      <c r="AC50" s="85">
        <v>0</v>
      </c>
      <c r="AD50" s="85">
        <v>0</v>
      </c>
      <c r="AE50" s="85">
        <v>29.024624262394099</v>
      </c>
      <c r="AF50" s="85">
        <v>1.34207153678616</v>
      </c>
      <c r="AG50" s="85">
        <v>28.0394117487273</v>
      </c>
      <c r="AH50" s="85">
        <v>12.2730818442427</v>
      </c>
      <c r="AI50" s="85">
        <v>5.0291998178053499</v>
      </c>
      <c r="AJ50" s="85">
        <v>-16.0356557284336</v>
      </c>
      <c r="AK50" s="85">
        <v>2.3157126121942899</v>
      </c>
      <c r="AL50" s="85">
        <v>17.796756473610099</v>
      </c>
      <c r="AM50" s="85">
        <v>0</v>
      </c>
      <c r="AN50" s="85">
        <v>333.20299739094702</v>
      </c>
      <c r="AO50" s="85">
        <v>0</v>
      </c>
      <c r="AP50" s="85">
        <v>0</v>
      </c>
      <c r="AQ50" s="85">
        <v>0</v>
      </c>
      <c r="AR50" s="85">
        <v>0</v>
      </c>
      <c r="AS50" s="85">
        <v>0</v>
      </c>
      <c r="AT50" s="86">
        <v>4.75721380034138</v>
      </c>
    </row>
    <row r="51" spans="2:46" ht="12" customHeight="1" x14ac:dyDescent="0.25">
      <c r="B51" s="84" t="s">
        <v>22</v>
      </c>
      <c r="C51" s="85" t="s">
        <v>35</v>
      </c>
      <c r="D51" s="85" t="s">
        <v>24</v>
      </c>
      <c r="E51" s="85" t="s">
        <v>24</v>
      </c>
      <c r="F51" s="85" t="s">
        <v>25</v>
      </c>
      <c r="G51" s="85" t="s">
        <v>38</v>
      </c>
      <c r="H51" s="85" t="s">
        <v>82</v>
      </c>
      <c r="I51" s="85" t="s">
        <v>25</v>
      </c>
      <c r="J51" s="85">
        <v>857.02</v>
      </c>
      <c r="K51" s="85">
        <v>207.59</v>
      </c>
      <c r="L51" s="85">
        <v>22.226345284531501</v>
      </c>
      <c r="M51" s="85">
        <v>1.2551665188977099</v>
      </c>
      <c r="N51" s="85">
        <v>7.8467783973976299</v>
      </c>
      <c r="O51" s="85">
        <v>0</v>
      </c>
      <c r="P51" s="85">
        <v>0</v>
      </c>
      <c r="Q51" s="85">
        <v>36.808015236282799</v>
      </c>
      <c r="R51" s="85">
        <v>13.785929126696301</v>
      </c>
      <c r="S51" s="85">
        <v>0</v>
      </c>
      <c r="T51" s="85">
        <v>26.652129335543801</v>
      </c>
      <c r="U51" s="85">
        <v>29.030080993953799</v>
      </c>
      <c r="V51" s="85">
        <v>3.00585326741591</v>
      </c>
      <c r="W51" s="85">
        <v>0</v>
      </c>
      <c r="X51" s="85">
        <v>0</v>
      </c>
      <c r="Y51" s="85">
        <v>0</v>
      </c>
      <c r="Z51" s="85">
        <v>0</v>
      </c>
      <c r="AA51" s="85">
        <v>645.72694330894399</v>
      </c>
      <c r="AB51" s="85">
        <v>0</v>
      </c>
      <c r="AC51" s="85">
        <v>0</v>
      </c>
      <c r="AD51" s="85">
        <v>0</v>
      </c>
      <c r="AE51" s="85">
        <v>29.024624262394099</v>
      </c>
      <c r="AF51" s="85">
        <v>1.34207153678616</v>
      </c>
      <c r="AG51" s="85">
        <v>28.0394117487273</v>
      </c>
      <c r="AH51" s="85">
        <v>12.2730818442427</v>
      </c>
      <c r="AI51" s="85">
        <v>5.0291998178053499</v>
      </c>
      <c r="AJ51" s="85">
        <v>-16.0356557284336</v>
      </c>
      <c r="AK51" s="85">
        <v>2.3157126121942899</v>
      </c>
      <c r="AL51" s="85">
        <v>17.796756473610099</v>
      </c>
      <c r="AM51" s="85">
        <v>0</v>
      </c>
      <c r="AN51" s="85">
        <v>193.722672901713</v>
      </c>
      <c r="AO51" s="85">
        <v>0</v>
      </c>
      <c r="AP51" s="85">
        <v>0</v>
      </c>
      <c r="AQ51" s="85">
        <v>0</v>
      </c>
      <c r="AR51" s="85">
        <v>0</v>
      </c>
      <c r="AS51" s="85">
        <v>0</v>
      </c>
      <c r="AT51" s="86">
        <v>4.75721380034138</v>
      </c>
    </row>
    <row r="52" spans="2:46" ht="12" customHeight="1" x14ac:dyDescent="0.25">
      <c r="B52" s="84" t="s">
        <v>22</v>
      </c>
      <c r="C52" s="85" t="s">
        <v>35</v>
      </c>
      <c r="D52" s="85" t="s">
        <v>24</v>
      </c>
      <c r="E52" s="85" t="s">
        <v>24</v>
      </c>
      <c r="F52" s="85" t="s">
        <v>25</v>
      </c>
      <c r="G52" s="85" t="s">
        <v>37</v>
      </c>
      <c r="H52" s="85" t="s">
        <v>82</v>
      </c>
      <c r="I52" s="85" t="s">
        <v>25</v>
      </c>
      <c r="J52" s="85">
        <v>382.97</v>
      </c>
      <c r="K52" s="85">
        <v>207.59</v>
      </c>
      <c r="L52" s="85">
        <v>22.226345284531501</v>
      </c>
      <c r="M52" s="85">
        <v>1.2551665188977099</v>
      </c>
      <c r="N52" s="85">
        <v>3.41507800760253</v>
      </c>
      <c r="O52" s="85">
        <v>0</v>
      </c>
      <c r="P52" s="85">
        <v>0</v>
      </c>
      <c r="Q52" s="85">
        <v>36.808015236282799</v>
      </c>
      <c r="R52" s="85">
        <v>13.785929126696301</v>
      </c>
      <c r="S52" s="85">
        <v>0</v>
      </c>
      <c r="T52" s="85">
        <v>8.8840431118479302</v>
      </c>
      <c r="U52" s="85">
        <v>9.6767503264012706</v>
      </c>
      <c r="V52" s="85">
        <v>1.0018969793428201</v>
      </c>
      <c r="W52" s="85">
        <v>0</v>
      </c>
      <c r="X52" s="85">
        <v>0</v>
      </c>
      <c r="Y52" s="85">
        <v>0</v>
      </c>
      <c r="Z52" s="85">
        <v>0</v>
      </c>
      <c r="AA52" s="85">
        <v>215.24231443631501</v>
      </c>
      <c r="AB52" s="85">
        <v>0</v>
      </c>
      <c r="AC52" s="85">
        <v>0</v>
      </c>
      <c r="AD52" s="85">
        <v>0</v>
      </c>
      <c r="AE52" s="85">
        <v>29.024624262394099</v>
      </c>
      <c r="AF52" s="85">
        <v>1.34207153678616</v>
      </c>
      <c r="AG52" s="85">
        <v>28.0394117487273</v>
      </c>
      <c r="AH52" s="85">
        <v>12.2730818442427</v>
      </c>
      <c r="AI52" s="85">
        <v>5.0291998178053499</v>
      </c>
      <c r="AJ52" s="85">
        <v>-16.0356557284336</v>
      </c>
      <c r="AK52" s="85">
        <v>2.3157126121942899</v>
      </c>
      <c r="AL52" s="85">
        <v>17.796756473610099</v>
      </c>
      <c r="AM52" s="85">
        <v>0</v>
      </c>
      <c r="AN52" s="85">
        <v>193.722672901713</v>
      </c>
      <c r="AO52" s="85">
        <v>0</v>
      </c>
      <c r="AP52" s="85">
        <v>0</v>
      </c>
      <c r="AQ52" s="85">
        <v>0</v>
      </c>
      <c r="AR52" s="85">
        <v>0</v>
      </c>
      <c r="AS52" s="85">
        <v>0</v>
      </c>
      <c r="AT52" s="86">
        <v>4.75721380034138</v>
      </c>
    </row>
    <row r="53" spans="2:46" ht="12" customHeight="1" x14ac:dyDescent="0.25">
      <c r="B53" s="84" t="s">
        <v>22</v>
      </c>
      <c r="C53" s="85" t="s">
        <v>23</v>
      </c>
      <c r="D53" s="85" t="s">
        <v>24</v>
      </c>
      <c r="E53" s="85" t="s">
        <v>1511</v>
      </c>
      <c r="F53" s="85" t="s">
        <v>25</v>
      </c>
      <c r="G53" s="85" t="s">
        <v>25</v>
      </c>
      <c r="H53" s="85" t="s">
        <v>82</v>
      </c>
      <c r="I53" s="85" t="s">
        <v>25</v>
      </c>
      <c r="J53" s="85">
        <v>449.35</v>
      </c>
      <c r="K53" s="85">
        <v>219.21</v>
      </c>
      <c r="L53" s="85">
        <v>0</v>
      </c>
      <c r="M53" s="85">
        <v>1.2551665188977099</v>
      </c>
      <c r="N53" s="85">
        <v>4.70497749593829</v>
      </c>
      <c r="O53" s="85">
        <v>0</v>
      </c>
      <c r="P53" s="85">
        <v>0</v>
      </c>
      <c r="Q53" s="85">
        <v>0</v>
      </c>
      <c r="R53" s="85">
        <v>0</v>
      </c>
      <c r="S53" s="85">
        <v>0</v>
      </c>
      <c r="T53" s="85">
        <v>14.1016935305261</v>
      </c>
      <c r="U53" s="85">
        <v>15.359867189446501</v>
      </c>
      <c r="V53" s="85">
        <v>1.5905033382373599</v>
      </c>
      <c r="W53" s="85">
        <v>0</v>
      </c>
      <c r="X53" s="85">
        <v>0</v>
      </c>
      <c r="Y53" s="85">
        <v>0</v>
      </c>
      <c r="Z53" s="85">
        <v>0</v>
      </c>
      <c r="AA53" s="85">
        <v>341.65442164063802</v>
      </c>
      <c r="AB53" s="85">
        <v>0</v>
      </c>
      <c r="AC53" s="85">
        <v>0</v>
      </c>
      <c r="AD53" s="85">
        <v>0</v>
      </c>
      <c r="AE53" s="85">
        <v>29.024624262394099</v>
      </c>
      <c r="AF53" s="85">
        <v>1.34207153678616</v>
      </c>
      <c r="AG53" s="85">
        <v>28.0394117487273</v>
      </c>
      <c r="AH53" s="85">
        <v>12.2730818442427</v>
      </c>
      <c r="AI53" s="85">
        <v>5.0291998178053499</v>
      </c>
      <c r="AJ53" s="85">
        <v>-16.0356557284336</v>
      </c>
      <c r="AK53" s="85">
        <v>2.3157126121942899</v>
      </c>
      <c r="AL53" s="85">
        <v>17.796756473610099</v>
      </c>
      <c r="AM53" s="85">
        <v>0</v>
      </c>
      <c r="AN53" s="85">
        <v>205.34603327581601</v>
      </c>
      <c r="AO53" s="85">
        <v>0</v>
      </c>
      <c r="AP53" s="85">
        <v>0</v>
      </c>
      <c r="AQ53" s="85">
        <v>0</v>
      </c>
      <c r="AR53" s="85">
        <v>0</v>
      </c>
      <c r="AS53" s="85">
        <v>0</v>
      </c>
      <c r="AT53" s="86">
        <v>4.75721380034138</v>
      </c>
    </row>
    <row r="54" spans="2:46" ht="12" customHeight="1" x14ac:dyDescent="0.25">
      <c r="B54" s="84" t="s">
        <v>22</v>
      </c>
      <c r="C54" s="85" t="s">
        <v>23</v>
      </c>
      <c r="D54" s="85" t="s">
        <v>24</v>
      </c>
      <c r="E54" s="85" t="s">
        <v>24</v>
      </c>
      <c r="F54" s="85" t="s">
        <v>25</v>
      </c>
      <c r="G54" s="85" t="s">
        <v>25</v>
      </c>
      <c r="H54" s="85" t="s">
        <v>82</v>
      </c>
      <c r="I54" s="85" t="s">
        <v>25</v>
      </c>
      <c r="J54" s="85">
        <v>522.17999999999995</v>
      </c>
      <c r="K54" s="85">
        <v>219.21</v>
      </c>
      <c r="L54" s="85">
        <v>22.226345284531501</v>
      </c>
      <c r="M54" s="85">
        <v>1.2551665188977099</v>
      </c>
      <c r="N54" s="85">
        <v>4.7164512549041797</v>
      </c>
      <c r="O54" s="85">
        <v>0</v>
      </c>
      <c r="P54" s="85">
        <v>0</v>
      </c>
      <c r="Q54" s="85">
        <v>36.808015236282799</v>
      </c>
      <c r="R54" s="85">
        <v>13.785929126696301</v>
      </c>
      <c r="S54" s="85">
        <v>0</v>
      </c>
      <c r="T54" s="85">
        <v>14.1016935305261</v>
      </c>
      <c r="U54" s="85">
        <v>15.359867189446501</v>
      </c>
      <c r="V54" s="85">
        <v>1.5905033382373599</v>
      </c>
      <c r="W54" s="85">
        <v>0</v>
      </c>
      <c r="X54" s="85">
        <v>0</v>
      </c>
      <c r="Y54" s="85">
        <v>0</v>
      </c>
      <c r="Z54" s="85">
        <v>0</v>
      </c>
      <c r="AA54" s="85">
        <v>341.65442164063802</v>
      </c>
      <c r="AB54" s="85">
        <v>0</v>
      </c>
      <c r="AC54" s="85">
        <v>0</v>
      </c>
      <c r="AD54" s="85">
        <v>0</v>
      </c>
      <c r="AE54" s="85">
        <v>29.024624262394099</v>
      </c>
      <c r="AF54" s="85">
        <v>1.34207153678616</v>
      </c>
      <c r="AG54" s="85">
        <v>28.0394117487273</v>
      </c>
      <c r="AH54" s="85">
        <v>12.2730818442427</v>
      </c>
      <c r="AI54" s="85">
        <v>5.0291998178053499</v>
      </c>
      <c r="AJ54" s="85">
        <v>-16.0356557284336</v>
      </c>
      <c r="AK54" s="85">
        <v>2.3157126121942899</v>
      </c>
      <c r="AL54" s="85">
        <v>17.796756473610099</v>
      </c>
      <c r="AM54" s="85">
        <v>0</v>
      </c>
      <c r="AN54" s="85">
        <v>205.34603327581601</v>
      </c>
      <c r="AO54" s="85">
        <v>0</v>
      </c>
      <c r="AP54" s="85">
        <v>0</v>
      </c>
      <c r="AQ54" s="85">
        <v>0</v>
      </c>
      <c r="AR54" s="85">
        <v>0</v>
      </c>
      <c r="AS54" s="85">
        <v>0</v>
      </c>
      <c r="AT54" s="86">
        <v>4.75721380034138</v>
      </c>
    </row>
    <row r="55" spans="2:46" ht="12" customHeight="1" x14ac:dyDescent="0.25">
      <c r="B55" s="84" t="s">
        <v>22</v>
      </c>
      <c r="C55" s="85" t="s">
        <v>100</v>
      </c>
      <c r="D55" s="85" t="s">
        <v>24</v>
      </c>
      <c r="E55" s="85" t="s">
        <v>1511</v>
      </c>
      <c r="F55" s="85" t="s">
        <v>25</v>
      </c>
      <c r="G55" s="85" t="s">
        <v>25</v>
      </c>
      <c r="H55" s="85" t="s">
        <v>82</v>
      </c>
      <c r="I55" s="85" t="s">
        <v>25</v>
      </c>
      <c r="J55" s="85">
        <v>449.35</v>
      </c>
      <c r="K55" s="85">
        <v>219.21</v>
      </c>
      <c r="L55" s="85">
        <v>0</v>
      </c>
      <c r="M55" s="85">
        <v>1.2551665188977099</v>
      </c>
      <c r="N55" s="85">
        <v>4.70497749593829</v>
      </c>
      <c r="O55" s="85">
        <v>0</v>
      </c>
      <c r="P55" s="85">
        <v>0</v>
      </c>
      <c r="Q55" s="85">
        <v>0</v>
      </c>
      <c r="R55" s="85">
        <v>0</v>
      </c>
      <c r="S55" s="85">
        <v>0</v>
      </c>
      <c r="T55" s="85">
        <v>14.1016935305261</v>
      </c>
      <c r="U55" s="85">
        <v>15.359867189446501</v>
      </c>
      <c r="V55" s="85">
        <v>1.5905033382373599</v>
      </c>
      <c r="W55" s="85">
        <v>0</v>
      </c>
      <c r="X55" s="85">
        <v>0</v>
      </c>
      <c r="Y55" s="85">
        <v>0</v>
      </c>
      <c r="Z55" s="85">
        <v>0</v>
      </c>
      <c r="AA55" s="85">
        <v>341.65442164063802</v>
      </c>
      <c r="AB55" s="85">
        <v>0</v>
      </c>
      <c r="AC55" s="85">
        <v>0</v>
      </c>
      <c r="AD55" s="85">
        <v>0</v>
      </c>
      <c r="AE55" s="85">
        <v>29.024624262394099</v>
      </c>
      <c r="AF55" s="85">
        <v>1.34207153678616</v>
      </c>
      <c r="AG55" s="85">
        <v>28.0394117487273</v>
      </c>
      <c r="AH55" s="85">
        <v>12.2730818442427</v>
      </c>
      <c r="AI55" s="85">
        <v>5.0291998178053499</v>
      </c>
      <c r="AJ55" s="85">
        <v>-16.0356557284336</v>
      </c>
      <c r="AK55" s="85">
        <v>2.3157126121942899</v>
      </c>
      <c r="AL55" s="85">
        <v>17.796756473610099</v>
      </c>
      <c r="AM55" s="85">
        <v>0</v>
      </c>
      <c r="AN55" s="85">
        <v>205.34603327581601</v>
      </c>
      <c r="AO55" s="85">
        <v>0</v>
      </c>
      <c r="AP55" s="85">
        <v>0</v>
      </c>
      <c r="AQ55" s="85">
        <v>0</v>
      </c>
      <c r="AR55" s="85">
        <v>0</v>
      </c>
      <c r="AS55" s="85">
        <v>0</v>
      </c>
      <c r="AT55" s="86">
        <v>4.75721380034138</v>
      </c>
    </row>
    <row r="56" spans="2:46" ht="12" customHeight="1" x14ac:dyDescent="0.25">
      <c r="B56" s="84" t="s">
        <v>22</v>
      </c>
      <c r="C56" s="85" t="s">
        <v>100</v>
      </c>
      <c r="D56" s="85" t="s">
        <v>24</v>
      </c>
      <c r="E56" s="85" t="s">
        <v>24</v>
      </c>
      <c r="F56" s="85" t="s">
        <v>25</v>
      </c>
      <c r="G56" s="85" t="s">
        <v>25</v>
      </c>
      <c r="H56" s="85" t="s">
        <v>82</v>
      </c>
      <c r="I56" s="85" t="s">
        <v>25</v>
      </c>
      <c r="J56" s="85">
        <v>522.17999999999995</v>
      </c>
      <c r="K56" s="85">
        <v>219.21</v>
      </c>
      <c r="L56" s="85">
        <v>22.226345284531501</v>
      </c>
      <c r="M56" s="85">
        <v>1.2551665188977099</v>
      </c>
      <c r="N56" s="85">
        <v>4.7164512549041797</v>
      </c>
      <c r="O56" s="85">
        <v>0</v>
      </c>
      <c r="P56" s="85">
        <v>0</v>
      </c>
      <c r="Q56" s="85">
        <v>36.808015236282799</v>
      </c>
      <c r="R56" s="85">
        <v>13.785929126696301</v>
      </c>
      <c r="S56" s="85">
        <v>0</v>
      </c>
      <c r="T56" s="85">
        <v>14.1016935305261</v>
      </c>
      <c r="U56" s="85">
        <v>15.359867189446501</v>
      </c>
      <c r="V56" s="85">
        <v>1.5905033382373599</v>
      </c>
      <c r="W56" s="85">
        <v>0</v>
      </c>
      <c r="X56" s="85">
        <v>0</v>
      </c>
      <c r="Y56" s="85">
        <v>0</v>
      </c>
      <c r="Z56" s="85">
        <v>0</v>
      </c>
      <c r="AA56" s="85">
        <v>341.65442164063802</v>
      </c>
      <c r="AB56" s="85">
        <v>0</v>
      </c>
      <c r="AC56" s="85">
        <v>0</v>
      </c>
      <c r="AD56" s="85">
        <v>0</v>
      </c>
      <c r="AE56" s="85">
        <v>29.024624262394099</v>
      </c>
      <c r="AF56" s="85">
        <v>1.34207153678616</v>
      </c>
      <c r="AG56" s="85">
        <v>28.0394117487273</v>
      </c>
      <c r="AH56" s="85">
        <v>12.2730818442427</v>
      </c>
      <c r="AI56" s="85">
        <v>5.0291998178053499</v>
      </c>
      <c r="AJ56" s="85">
        <v>-16.0356557284336</v>
      </c>
      <c r="AK56" s="85">
        <v>2.3157126121942899</v>
      </c>
      <c r="AL56" s="85">
        <v>17.796756473610099</v>
      </c>
      <c r="AM56" s="85">
        <v>0</v>
      </c>
      <c r="AN56" s="85">
        <v>205.34603327581601</v>
      </c>
      <c r="AO56" s="85">
        <v>0</v>
      </c>
      <c r="AP56" s="85">
        <v>0</v>
      </c>
      <c r="AQ56" s="85">
        <v>0</v>
      </c>
      <c r="AR56" s="85">
        <v>0</v>
      </c>
      <c r="AS56" s="85">
        <v>0</v>
      </c>
      <c r="AT56" s="86">
        <v>4.75721380034138</v>
      </c>
    </row>
    <row r="57" spans="2:46" ht="12" customHeight="1" x14ac:dyDescent="0.25">
      <c r="B57" s="84" t="s">
        <v>46</v>
      </c>
      <c r="C57" s="85" t="s">
        <v>35</v>
      </c>
      <c r="D57" s="85" t="s">
        <v>47</v>
      </c>
      <c r="E57" s="85" t="s">
        <v>101</v>
      </c>
      <c r="F57" s="85" t="s">
        <v>25</v>
      </c>
      <c r="G57" s="85" t="s">
        <v>36</v>
      </c>
      <c r="H57" s="85" t="s">
        <v>82</v>
      </c>
      <c r="I57" s="85" t="s">
        <v>25</v>
      </c>
      <c r="J57" s="85">
        <v>1215.83</v>
      </c>
      <c r="K57" s="85">
        <v>326.24</v>
      </c>
      <c r="L57" s="85">
        <v>20.892764567459601</v>
      </c>
      <c r="M57" s="85">
        <v>1.17985652776384</v>
      </c>
      <c r="N57" s="85">
        <v>11.211149977861099</v>
      </c>
      <c r="O57" s="85">
        <v>0</v>
      </c>
      <c r="P57" s="85">
        <v>0</v>
      </c>
      <c r="Q57" s="85">
        <v>34.599534322105903</v>
      </c>
      <c r="R57" s="85">
        <v>12.9587733790946</v>
      </c>
      <c r="S57" s="85">
        <v>0</v>
      </c>
      <c r="T57" s="85">
        <v>40.429443433815798</v>
      </c>
      <c r="U57" s="85">
        <v>44.036579446007998</v>
      </c>
      <c r="V57" s="85">
        <v>4.5596831504405104</v>
      </c>
      <c r="W57" s="85">
        <v>0</v>
      </c>
      <c r="X57" s="85">
        <v>0</v>
      </c>
      <c r="Y57" s="85">
        <v>0</v>
      </c>
      <c r="Z57" s="85">
        <v>0</v>
      </c>
      <c r="AA57" s="85">
        <v>979.52327196795898</v>
      </c>
      <c r="AB57" s="85">
        <v>0</v>
      </c>
      <c r="AC57" s="85">
        <v>0</v>
      </c>
      <c r="AD57" s="85">
        <v>0</v>
      </c>
      <c r="AE57" s="85">
        <v>27.2831468066504</v>
      </c>
      <c r="AF57" s="85">
        <v>1.2615472445789899</v>
      </c>
      <c r="AG57" s="85">
        <v>26.3570470438036</v>
      </c>
      <c r="AH57" s="85">
        <v>11.5366969335881</v>
      </c>
      <c r="AI57" s="85">
        <v>4.7274478287370298</v>
      </c>
      <c r="AJ57" s="85">
        <v>-15.073516384727601</v>
      </c>
      <c r="AK57" s="85">
        <v>2.17676985546264</v>
      </c>
      <c r="AL57" s="85">
        <v>16.728951085193501</v>
      </c>
      <c r="AM57" s="85">
        <v>0</v>
      </c>
      <c r="AN57" s="85">
        <v>313.21081754749002</v>
      </c>
      <c r="AO57" s="85">
        <v>0</v>
      </c>
      <c r="AP57" s="85">
        <v>0</v>
      </c>
      <c r="AQ57" s="85">
        <v>0</v>
      </c>
      <c r="AR57" s="85">
        <v>0</v>
      </c>
      <c r="AS57" s="85">
        <v>0</v>
      </c>
      <c r="AT57" s="86">
        <v>4.4717809723208903</v>
      </c>
    </row>
    <row r="58" spans="2:46" ht="12" customHeight="1" x14ac:dyDescent="0.25">
      <c r="B58" s="84" t="s">
        <v>46</v>
      </c>
      <c r="C58" s="85" t="s">
        <v>35</v>
      </c>
      <c r="D58" s="85" t="s">
        <v>47</v>
      </c>
      <c r="E58" s="85" t="s">
        <v>101</v>
      </c>
      <c r="F58" s="85" t="s">
        <v>25</v>
      </c>
      <c r="G58" s="85" t="s">
        <v>38</v>
      </c>
      <c r="H58" s="85" t="s">
        <v>82</v>
      </c>
      <c r="I58" s="85" t="s">
        <v>25</v>
      </c>
      <c r="J58" s="85">
        <v>784.38</v>
      </c>
      <c r="K58" s="85">
        <v>195.13</v>
      </c>
      <c r="L58" s="85">
        <v>20.892764567459601</v>
      </c>
      <c r="M58" s="85">
        <v>1.17985652776384</v>
      </c>
      <c r="N58" s="85">
        <v>7.1775992128803896</v>
      </c>
      <c r="O58" s="85">
        <v>0</v>
      </c>
      <c r="P58" s="85">
        <v>0</v>
      </c>
      <c r="Q58" s="85">
        <v>34.599534322105903</v>
      </c>
      <c r="R58" s="85">
        <v>12.9587733790946</v>
      </c>
      <c r="S58" s="85">
        <v>0</v>
      </c>
      <c r="T58" s="85">
        <v>24.257710827570499</v>
      </c>
      <c r="U58" s="85">
        <v>26.4219157103778</v>
      </c>
      <c r="V58" s="85">
        <v>2.7357793723394699</v>
      </c>
      <c r="W58" s="85">
        <v>0</v>
      </c>
      <c r="X58" s="85">
        <v>0</v>
      </c>
      <c r="Y58" s="85">
        <v>0</v>
      </c>
      <c r="Z58" s="85">
        <v>0</v>
      </c>
      <c r="AA58" s="85">
        <v>587.71391805652502</v>
      </c>
      <c r="AB58" s="85">
        <v>0</v>
      </c>
      <c r="AC58" s="85">
        <v>0</v>
      </c>
      <c r="AD58" s="85">
        <v>0</v>
      </c>
      <c r="AE58" s="85">
        <v>27.2831468066504</v>
      </c>
      <c r="AF58" s="85">
        <v>1.2615472445789899</v>
      </c>
      <c r="AG58" s="85">
        <v>26.3570470438036</v>
      </c>
      <c r="AH58" s="85">
        <v>11.5366969335881</v>
      </c>
      <c r="AI58" s="85">
        <v>4.7274478287370298</v>
      </c>
      <c r="AJ58" s="85">
        <v>-15.073516384727601</v>
      </c>
      <c r="AK58" s="85">
        <v>2.17676985546264</v>
      </c>
      <c r="AL58" s="85">
        <v>16.728951085193501</v>
      </c>
      <c r="AM58" s="85">
        <v>0</v>
      </c>
      <c r="AN58" s="85">
        <v>182.09931252761001</v>
      </c>
      <c r="AO58" s="85">
        <v>0</v>
      </c>
      <c r="AP58" s="85">
        <v>0</v>
      </c>
      <c r="AQ58" s="85">
        <v>0</v>
      </c>
      <c r="AR58" s="85">
        <v>0</v>
      </c>
      <c r="AS58" s="85">
        <v>0</v>
      </c>
      <c r="AT58" s="86">
        <v>4.4717809723208903</v>
      </c>
    </row>
    <row r="59" spans="2:46" ht="12" customHeight="1" x14ac:dyDescent="0.25">
      <c r="B59" s="84" t="s">
        <v>46</v>
      </c>
      <c r="C59" s="85" t="s">
        <v>35</v>
      </c>
      <c r="D59" s="85" t="s">
        <v>47</v>
      </c>
      <c r="E59" s="85" t="s">
        <v>101</v>
      </c>
      <c r="F59" s="85" t="s">
        <v>25</v>
      </c>
      <c r="G59" s="85" t="s">
        <v>37</v>
      </c>
      <c r="H59" s="85" t="s">
        <v>82</v>
      </c>
      <c r="I59" s="85" t="s">
        <v>25</v>
      </c>
      <c r="J59" s="85">
        <v>352.92</v>
      </c>
      <c r="K59" s="85">
        <v>195.13</v>
      </c>
      <c r="L59" s="85">
        <v>20.892764567459601</v>
      </c>
      <c r="M59" s="85">
        <v>1.17985652776384</v>
      </c>
      <c r="N59" s="85">
        <v>3.14404844789969</v>
      </c>
      <c r="O59" s="85">
        <v>0</v>
      </c>
      <c r="P59" s="85">
        <v>0</v>
      </c>
      <c r="Q59" s="85">
        <v>34.599534322105903</v>
      </c>
      <c r="R59" s="85">
        <v>12.9587733790946</v>
      </c>
      <c r="S59" s="85">
        <v>0</v>
      </c>
      <c r="T59" s="85">
        <v>8.0858663031226392</v>
      </c>
      <c r="U59" s="85">
        <v>8.8072519747476008</v>
      </c>
      <c r="V59" s="85">
        <v>0.91187559423842102</v>
      </c>
      <c r="W59" s="85">
        <v>0</v>
      </c>
      <c r="X59" s="85">
        <v>0</v>
      </c>
      <c r="Y59" s="85">
        <v>0</v>
      </c>
      <c r="Z59" s="85">
        <v>0</v>
      </c>
      <c r="AA59" s="85">
        <v>195.90467695571701</v>
      </c>
      <c r="AB59" s="85">
        <v>0</v>
      </c>
      <c r="AC59" s="85">
        <v>0</v>
      </c>
      <c r="AD59" s="85">
        <v>0</v>
      </c>
      <c r="AE59" s="85">
        <v>27.2831468066504</v>
      </c>
      <c r="AF59" s="85">
        <v>1.2615472445789899</v>
      </c>
      <c r="AG59" s="85">
        <v>26.3570470438036</v>
      </c>
      <c r="AH59" s="85">
        <v>11.5366969335881</v>
      </c>
      <c r="AI59" s="85">
        <v>4.7274478287370298</v>
      </c>
      <c r="AJ59" s="85">
        <v>-15.073516384727601</v>
      </c>
      <c r="AK59" s="85">
        <v>2.17676985546264</v>
      </c>
      <c r="AL59" s="85">
        <v>16.728951085193501</v>
      </c>
      <c r="AM59" s="85">
        <v>0</v>
      </c>
      <c r="AN59" s="85">
        <v>182.09931252761001</v>
      </c>
      <c r="AO59" s="85">
        <v>0</v>
      </c>
      <c r="AP59" s="85">
        <v>0</v>
      </c>
      <c r="AQ59" s="85">
        <v>0</v>
      </c>
      <c r="AR59" s="85">
        <v>0</v>
      </c>
      <c r="AS59" s="85">
        <v>0</v>
      </c>
      <c r="AT59" s="86">
        <v>4.4717809723208903</v>
      </c>
    </row>
    <row r="60" spans="2:46" ht="12" customHeight="1" x14ac:dyDescent="0.25">
      <c r="B60" s="84" t="s">
        <v>46</v>
      </c>
      <c r="C60" s="85" t="s">
        <v>35</v>
      </c>
      <c r="D60" s="85" t="s">
        <v>47</v>
      </c>
      <c r="E60" s="85" t="s">
        <v>25</v>
      </c>
      <c r="F60" s="85" t="s">
        <v>25</v>
      </c>
      <c r="G60" s="85" t="s">
        <v>36</v>
      </c>
      <c r="H60" s="85" t="s">
        <v>82</v>
      </c>
      <c r="I60" s="85" t="s">
        <v>25</v>
      </c>
      <c r="J60" s="85">
        <v>1215.83</v>
      </c>
      <c r="K60" s="85">
        <v>326.24</v>
      </c>
      <c r="L60" s="85">
        <v>20.892764567459601</v>
      </c>
      <c r="M60" s="85">
        <v>1.17985652776384</v>
      </c>
      <c r="N60" s="85">
        <v>11.211149977861099</v>
      </c>
      <c r="O60" s="85">
        <v>0</v>
      </c>
      <c r="P60" s="85">
        <v>0</v>
      </c>
      <c r="Q60" s="85">
        <v>34.599534322105903</v>
      </c>
      <c r="R60" s="85">
        <v>12.9587733790946</v>
      </c>
      <c r="S60" s="85">
        <v>0</v>
      </c>
      <c r="T60" s="85">
        <v>40.429443433815798</v>
      </c>
      <c r="U60" s="85">
        <v>44.036579446007998</v>
      </c>
      <c r="V60" s="85">
        <v>4.5596831504405104</v>
      </c>
      <c r="W60" s="85">
        <v>0</v>
      </c>
      <c r="X60" s="85">
        <v>0</v>
      </c>
      <c r="Y60" s="85">
        <v>0</v>
      </c>
      <c r="Z60" s="85">
        <v>0</v>
      </c>
      <c r="AA60" s="85">
        <v>979.52327196795898</v>
      </c>
      <c r="AB60" s="85">
        <v>0</v>
      </c>
      <c r="AC60" s="85">
        <v>0</v>
      </c>
      <c r="AD60" s="85">
        <v>0</v>
      </c>
      <c r="AE60" s="85">
        <v>27.2831468066504</v>
      </c>
      <c r="AF60" s="85">
        <v>1.2615472445789899</v>
      </c>
      <c r="AG60" s="85">
        <v>26.3570470438036</v>
      </c>
      <c r="AH60" s="85">
        <v>11.5366969335881</v>
      </c>
      <c r="AI60" s="85">
        <v>4.7274478287370298</v>
      </c>
      <c r="AJ60" s="85">
        <v>-15.073516384727601</v>
      </c>
      <c r="AK60" s="85">
        <v>2.17676985546264</v>
      </c>
      <c r="AL60" s="85">
        <v>16.728951085193501</v>
      </c>
      <c r="AM60" s="85">
        <v>0</v>
      </c>
      <c r="AN60" s="85">
        <v>313.21081754749002</v>
      </c>
      <c r="AO60" s="85">
        <v>0</v>
      </c>
      <c r="AP60" s="85">
        <v>0</v>
      </c>
      <c r="AQ60" s="85">
        <v>0</v>
      </c>
      <c r="AR60" s="85">
        <v>0</v>
      </c>
      <c r="AS60" s="85">
        <v>0</v>
      </c>
      <c r="AT60" s="86">
        <v>4.4717809723208903</v>
      </c>
    </row>
    <row r="61" spans="2:46" ht="12" customHeight="1" x14ac:dyDescent="0.25">
      <c r="B61" s="84" t="s">
        <v>46</v>
      </c>
      <c r="C61" s="85" t="s">
        <v>35</v>
      </c>
      <c r="D61" s="85" t="s">
        <v>47</v>
      </c>
      <c r="E61" s="85" t="s">
        <v>25</v>
      </c>
      <c r="F61" s="85" t="s">
        <v>25</v>
      </c>
      <c r="G61" s="85" t="s">
        <v>38</v>
      </c>
      <c r="H61" s="85" t="s">
        <v>82</v>
      </c>
      <c r="I61" s="85" t="s">
        <v>25</v>
      </c>
      <c r="J61" s="85">
        <v>784.38</v>
      </c>
      <c r="K61" s="85">
        <v>195.13</v>
      </c>
      <c r="L61" s="85">
        <v>20.892764567459601</v>
      </c>
      <c r="M61" s="85">
        <v>1.17985652776384</v>
      </c>
      <c r="N61" s="85">
        <v>7.1775992128803896</v>
      </c>
      <c r="O61" s="85">
        <v>0</v>
      </c>
      <c r="P61" s="85">
        <v>0</v>
      </c>
      <c r="Q61" s="85">
        <v>34.599534322105903</v>
      </c>
      <c r="R61" s="85">
        <v>12.9587733790946</v>
      </c>
      <c r="S61" s="85">
        <v>0</v>
      </c>
      <c r="T61" s="85">
        <v>24.257710827570499</v>
      </c>
      <c r="U61" s="85">
        <v>26.4219157103778</v>
      </c>
      <c r="V61" s="85">
        <v>2.7357793723394699</v>
      </c>
      <c r="W61" s="85">
        <v>0</v>
      </c>
      <c r="X61" s="85">
        <v>0</v>
      </c>
      <c r="Y61" s="85">
        <v>0</v>
      </c>
      <c r="Z61" s="85">
        <v>0</v>
      </c>
      <c r="AA61" s="85">
        <v>587.71391805652502</v>
      </c>
      <c r="AB61" s="85">
        <v>0</v>
      </c>
      <c r="AC61" s="85">
        <v>0</v>
      </c>
      <c r="AD61" s="85">
        <v>0</v>
      </c>
      <c r="AE61" s="85">
        <v>27.2831468066504</v>
      </c>
      <c r="AF61" s="85">
        <v>1.2615472445789899</v>
      </c>
      <c r="AG61" s="85">
        <v>26.3570470438036</v>
      </c>
      <c r="AH61" s="85">
        <v>11.5366969335881</v>
      </c>
      <c r="AI61" s="85">
        <v>4.7274478287370298</v>
      </c>
      <c r="AJ61" s="85">
        <v>-15.073516384727601</v>
      </c>
      <c r="AK61" s="85">
        <v>2.17676985546264</v>
      </c>
      <c r="AL61" s="85">
        <v>16.728951085193501</v>
      </c>
      <c r="AM61" s="85">
        <v>0</v>
      </c>
      <c r="AN61" s="85">
        <v>182.09931252761001</v>
      </c>
      <c r="AO61" s="85">
        <v>0</v>
      </c>
      <c r="AP61" s="85">
        <v>0</v>
      </c>
      <c r="AQ61" s="85">
        <v>0</v>
      </c>
      <c r="AR61" s="85">
        <v>0</v>
      </c>
      <c r="AS61" s="85">
        <v>0</v>
      </c>
      <c r="AT61" s="86">
        <v>4.4717809723208903</v>
      </c>
    </row>
    <row r="62" spans="2:46" ht="12" customHeight="1" x14ac:dyDescent="0.25">
      <c r="B62" s="84" t="s">
        <v>46</v>
      </c>
      <c r="C62" s="85" t="s">
        <v>35</v>
      </c>
      <c r="D62" s="85" t="s">
        <v>47</v>
      </c>
      <c r="E62" s="85" t="s">
        <v>25</v>
      </c>
      <c r="F62" s="85" t="s">
        <v>25</v>
      </c>
      <c r="G62" s="85" t="s">
        <v>37</v>
      </c>
      <c r="H62" s="85" t="s">
        <v>82</v>
      </c>
      <c r="I62" s="85" t="s">
        <v>25</v>
      </c>
      <c r="J62" s="85">
        <v>352.92</v>
      </c>
      <c r="K62" s="85">
        <v>195.13</v>
      </c>
      <c r="L62" s="85">
        <v>20.892764567459601</v>
      </c>
      <c r="M62" s="85">
        <v>1.17985652776384</v>
      </c>
      <c r="N62" s="85">
        <v>3.14404844789969</v>
      </c>
      <c r="O62" s="85">
        <v>0</v>
      </c>
      <c r="P62" s="85">
        <v>0</v>
      </c>
      <c r="Q62" s="85">
        <v>34.599534322105903</v>
      </c>
      <c r="R62" s="85">
        <v>12.9587733790946</v>
      </c>
      <c r="S62" s="85">
        <v>0</v>
      </c>
      <c r="T62" s="85">
        <v>8.0858663031226392</v>
      </c>
      <c r="U62" s="85">
        <v>8.8072519747476008</v>
      </c>
      <c r="V62" s="85">
        <v>0.91187559423842102</v>
      </c>
      <c r="W62" s="85">
        <v>0</v>
      </c>
      <c r="X62" s="85">
        <v>0</v>
      </c>
      <c r="Y62" s="85">
        <v>0</v>
      </c>
      <c r="Z62" s="85">
        <v>0</v>
      </c>
      <c r="AA62" s="85">
        <v>195.90467695571701</v>
      </c>
      <c r="AB62" s="85">
        <v>0</v>
      </c>
      <c r="AC62" s="85">
        <v>0</v>
      </c>
      <c r="AD62" s="85">
        <v>0</v>
      </c>
      <c r="AE62" s="85">
        <v>27.2831468066504</v>
      </c>
      <c r="AF62" s="85">
        <v>1.2615472445789899</v>
      </c>
      <c r="AG62" s="85">
        <v>26.3570470438036</v>
      </c>
      <c r="AH62" s="85">
        <v>11.5366969335881</v>
      </c>
      <c r="AI62" s="85">
        <v>4.7274478287370298</v>
      </c>
      <c r="AJ62" s="85">
        <v>-15.073516384727601</v>
      </c>
      <c r="AK62" s="85">
        <v>2.17676985546264</v>
      </c>
      <c r="AL62" s="85">
        <v>16.728951085193501</v>
      </c>
      <c r="AM62" s="85">
        <v>0</v>
      </c>
      <c r="AN62" s="85">
        <v>182.09931252761001</v>
      </c>
      <c r="AO62" s="85">
        <v>0</v>
      </c>
      <c r="AP62" s="85">
        <v>0</v>
      </c>
      <c r="AQ62" s="85">
        <v>0</v>
      </c>
      <c r="AR62" s="85">
        <v>0</v>
      </c>
      <c r="AS62" s="85">
        <v>0</v>
      </c>
      <c r="AT62" s="86">
        <v>4.4717809723208903</v>
      </c>
    </row>
    <row r="63" spans="2:46" ht="12" customHeight="1" x14ac:dyDescent="0.25">
      <c r="B63" s="84" t="s">
        <v>46</v>
      </c>
      <c r="C63" s="85" t="s">
        <v>35</v>
      </c>
      <c r="D63" s="85" t="s">
        <v>47</v>
      </c>
      <c r="E63" s="85" t="s">
        <v>102</v>
      </c>
      <c r="F63" s="85" t="s">
        <v>25</v>
      </c>
      <c r="G63" s="85" t="s">
        <v>36</v>
      </c>
      <c r="H63" s="85" t="s">
        <v>82</v>
      </c>
      <c r="I63" s="85" t="s">
        <v>25</v>
      </c>
      <c r="J63" s="85">
        <v>1189.96</v>
      </c>
      <c r="K63" s="85">
        <v>319.3</v>
      </c>
      <c r="L63" s="85">
        <v>20.448237661768999</v>
      </c>
      <c r="M63" s="85">
        <v>1.15475319738589</v>
      </c>
      <c r="N63" s="85">
        <v>10.972614871949199</v>
      </c>
      <c r="O63" s="85">
        <v>0</v>
      </c>
      <c r="P63" s="85">
        <v>0</v>
      </c>
      <c r="Q63" s="85">
        <v>33.863374017380202</v>
      </c>
      <c r="R63" s="85">
        <v>12.683054796560601</v>
      </c>
      <c r="S63" s="85">
        <v>0</v>
      </c>
      <c r="T63" s="85">
        <v>39.569242509692103</v>
      </c>
      <c r="U63" s="85">
        <v>43.099630947156797</v>
      </c>
      <c r="V63" s="85">
        <v>4.4626686153247599</v>
      </c>
      <c r="W63" s="85">
        <v>0</v>
      </c>
      <c r="X63" s="85">
        <v>0</v>
      </c>
      <c r="Y63" s="85">
        <v>0</v>
      </c>
      <c r="Z63" s="85">
        <v>0</v>
      </c>
      <c r="AA63" s="85">
        <v>958.68235128778997</v>
      </c>
      <c r="AB63" s="85">
        <v>0</v>
      </c>
      <c r="AC63" s="85">
        <v>0</v>
      </c>
      <c r="AD63" s="85">
        <v>0</v>
      </c>
      <c r="AE63" s="85">
        <v>26.702654321402601</v>
      </c>
      <c r="AF63" s="85">
        <v>1.2347058138432701</v>
      </c>
      <c r="AG63" s="85">
        <v>25.796258808829101</v>
      </c>
      <c r="AH63" s="85">
        <v>11.291235296703301</v>
      </c>
      <c r="AI63" s="85">
        <v>4.6268638323809199</v>
      </c>
      <c r="AJ63" s="85">
        <v>-14.7528032701589</v>
      </c>
      <c r="AK63" s="85">
        <v>2.13045560321875</v>
      </c>
      <c r="AL63" s="85">
        <v>16.3730159557213</v>
      </c>
      <c r="AM63" s="85">
        <v>0</v>
      </c>
      <c r="AN63" s="85">
        <v>306.54675759967103</v>
      </c>
      <c r="AO63" s="85">
        <v>0</v>
      </c>
      <c r="AP63" s="85">
        <v>0</v>
      </c>
      <c r="AQ63" s="85">
        <v>0</v>
      </c>
      <c r="AR63" s="85">
        <v>0</v>
      </c>
      <c r="AS63" s="85">
        <v>0</v>
      </c>
      <c r="AT63" s="86">
        <v>4.3766366963140699</v>
      </c>
    </row>
    <row r="64" spans="2:46" ht="12" customHeight="1" x14ac:dyDescent="0.25">
      <c r="B64" s="84" t="s">
        <v>46</v>
      </c>
      <c r="C64" s="85" t="s">
        <v>35</v>
      </c>
      <c r="D64" s="85" t="s">
        <v>47</v>
      </c>
      <c r="E64" s="85" t="s">
        <v>102</v>
      </c>
      <c r="F64" s="85" t="s">
        <v>25</v>
      </c>
      <c r="G64" s="85" t="s">
        <v>38</v>
      </c>
      <c r="H64" s="85" t="s">
        <v>82</v>
      </c>
      <c r="I64" s="85" t="s">
        <v>25</v>
      </c>
      <c r="J64" s="85">
        <v>767.69</v>
      </c>
      <c r="K64" s="85">
        <v>190.98</v>
      </c>
      <c r="L64" s="85">
        <v>20.448237661768999</v>
      </c>
      <c r="M64" s="85">
        <v>1.15475319738589</v>
      </c>
      <c r="N64" s="85">
        <v>7.0248843360105901</v>
      </c>
      <c r="O64" s="85">
        <v>0</v>
      </c>
      <c r="P64" s="85">
        <v>0</v>
      </c>
      <c r="Q64" s="85">
        <v>33.863374017380202</v>
      </c>
      <c r="R64" s="85">
        <v>12.683054796560601</v>
      </c>
      <c r="S64" s="85">
        <v>0</v>
      </c>
      <c r="T64" s="85">
        <v>23.741589320601001</v>
      </c>
      <c r="U64" s="85">
        <v>25.859747291008102</v>
      </c>
      <c r="V64" s="85">
        <v>2.6775713005875601</v>
      </c>
      <c r="W64" s="85">
        <v>0</v>
      </c>
      <c r="X64" s="85">
        <v>0</v>
      </c>
      <c r="Y64" s="85">
        <v>0</v>
      </c>
      <c r="Z64" s="85">
        <v>0</v>
      </c>
      <c r="AA64" s="85">
        <v>575.20936660851396</v>
      </c>
      <c r="AB64" s="85">
        <v>0</v>
      </c>
      <c r="AC64" s="85">
        <v>0</v>
      </c>
      <c r="AD64" s="85">
        <v>0</v>
      </c>
      <c r="AE64" s="85">
        <v>26.702654321402601</v>
      </c>
      <c r="AF64" s="85">
        <v>1.2347058138432701</v>
      </c>
      <c r="AG64" s="85">
        <v>25.796258808829101</v>
      </c>
      <c r="AH64" s="85">
        <v>11.291235296703301</v>
      </c>
      <c r="AI64" s="85">
        <v>4.6268638323809199</v>
      </c>
      <c r="AJ64" s="85">
        <v>-14.7528032701589</v>
      </c>
      <c r="AK64" s="85">
        <v>2.13045560321875</v>
      </c>
      <c r="AL64" s="85">
        <v>16.3730159557213</v>
      </c>
      <c r="AM64" s="85">
        <v>0</v>
      </c>
      <c r="AN64" s="85">
        <v>178.22485906957601</v>
      </c>
      <c r="AO64" s="85">
        <v>0</v>
      </c>
      <c r="AP64" s="85">
        <v>0</v>
      </c>
      <c r="AQ64" s="85">
        <v>0</v>
      </c>
      <c r="AR64" s="85">
        <v>0</v>
      </c>
      <c r="AS64" s="85">
        <v>0</v>
      </c>
      <c r="AT64" s="86">
        <v>4.3766366963140699</v>
      </c>
    </row>
    <row r="65" spans="2:46" ht="12" customHeight="1" x14ac:dyDescent="0.25">
      <c r="B65" s="84" t="s">
        <v>46</v>
      </c>
      <c r="C65" s="85" t="s">
        <v>35</v>
      </c>
      <c r="D65" s="85" t="s">
        <v>47</v>
      </c>
      <c r="E65" s="85" t="s">
        <v>102</v>
      </c>
      <c r="F65" s="85" t="s">
        <v>25</v>
      </c>
      <c r="G65" s="85" t="s">
        <v>37</v>
      </c>
      <c r="H65" s="85" t="s">
        <v>82</v>
      </c>
      <c r="I65" s="85" t="s">
        <v>25</v>
      </c>
      <c r="J65" s="85">
        <v>345.41</v>
      </c>
      <c r="K65" s="85">
        <v>190.98</v>
      </c>
      <c r="L65" s="85">
        <v>20.448237661768999</v>
      </c>
      <c r="M65" s="85">
        <v>1.15475319738589</v>
      </c>
      <c r="N65" s="85">
        <v>3.07715380007203</v>
      </c>
      <c r="O65" s="85">
        <v>0</v>
      </c>
      <c r="P65" s="85">
        <v>0</v>
      </c>
      <c r="Q65" s="85">
        <v>33.863374017380202</v>
      </c>
      <c r="R65" s="85">
        <v>12.683054796560601</v>
      </c>
      <c r="S65" s="85">
        <v>0</v>
      </c>
      <c r="T65" s="85">
        <v>7.9138265945455597</v>
      </c>
      <c r="U65" s="85">
        <v>8.6198636348593496</v>
      </c>
      <c r="V65" s="85">
        <v>0.89247398585036997</v>
      </c>
      <c r="W65" s="85">
        <v>0</v>
      </c>
      <c r="X65" s="85">
        <v>0</v>
      </c>
      <c r="Y65" s="85">
        <v>0</v>
      </c>
      <c r="Z65" s="85">
        <v>0</v>
      </c>
      <c r="AA65" s="85">
        <v>191.736492339638</v>
      </c>
      <c r="AB65" s="85">
        <v>0</v>
      </c>
      <c r="AC65" s="85">
        <v>0</v>
      </c>
      <c r="AD65" s="85">
        <v>0</v>
      </c>
      <c r="AE65" s="85">
        <v>26.702654321402601</v>
      </c>
      <c r="AF65" s="85">
        <v>1.2347058138432701</v>
      </c>
      <c r="AG65" s="85">
        <v>25.796258808829101</v>
      </c>
      <c r="AH65" s="85">
        <v>11.291235296703301</v>
      </c>
      <c r="AI65" s="85">
        <v>4.6268638323809199</v>
      </c>
      <c r="AJ65" s="85">
        <v>-14.7528032701589</v>
      </c>
      <c r="AK65" s="85">
        <v>2.13045560321875</v>
      </c>
      <c r="AL65" s="85">
        <v>16.3730159557213</v>
      </c>
      <c r="AM65" s="85">
        <v>0</v>
      </c>
      <c r="AN65" s="85">
        <v>178.22485906957601</v>
      </c>
      <c r="AO65" s="85">
        <v>0</v>
      </c>
      <c r="AP65" s="85">
        <v>0</v>
      </c>
      <c r="AQ65" s="85">
        <v>0</v>
      </c>
      <c r="AR65" s="85">
        <v>0</v>
      </c>
      <c r="AS65" s="85">
        <v>0</v>
      </c>
      <c r="AT65" s="86">
        <v>4.3766366963140699</v>
      </c>
    </row>
    <row r="66" spans="2:46" ht="12" customHeight="1" x14ac:dyDescent="0.25">
      <c r="B66" s="84" t="s">
        <v>46</v>
      </c>
      <c r="C66" s="85" t="s">
        <v>23</v>
      </c>
      <c r="D66" s="85" t="s">
        <v>47</v>
      </c>
      <c r="E66" s="85" t="s">
        <v>101</v>
      </c>
      <c r="F66" s="85" t="s">
        <v>25</v>
      </c>
      <c r="G66" s="85" t="s">
        <v>25</v>
      </c>
      <c r="H66" s="85" t="s">
        <v>82</v>
      </c>
      <c r="I66" s="85" t="s">
        <v>25</v>
      </c>
      <c r="J66" s="85">
        <v>490.85</v>
      </c>
      <c r="K66" s="85">
        <v>206.06</v>
      </c>
      <c r="L66" s="85">
        <v>20.892764567459601</v>
      </c>
      <c r="M66" s="85">
        <v>1.17985652776384</v>
      </c>
      <c r="N66" s="85">
        <v>4.4334641796099303</v>
      </c>
      <c r="O66" s="85">
        <v>0</v>
      </c>
      <c r="P66" s="85">
        <v>0</v>
      </c>
      <c r="Q66" s="85">
        <v>34.599534322105903</v>
      </c>
      <c r="R66" s="85">
        <v>12.9587733790946</v>
      </c>
      <c r="S66" s="85">
        <v>0</v>
      </c>
      <c r="T66" s="85">
        <v>13.2555919186946</v>
      </c>
      <c r="U66" s="85">
        <v>14.4382751580797</v>
      </c>
      <c r="V66" s="85">
        <v>1.4950731379431099</v>
      </c>
      <c r="W66" s="85">
        <v>0</v>
      </c>
      <c r="X66" s="85">
        <v>0</v>
      </c>
      <c r="Y66" s="85">
        <v>0</v>
      </c>
      <c r="Z66" s="85">
        <v>0</v>
      </c>
      <c r="AA66" s="85">
        <v>321.15515634219901</v>
      </c>
      <c r="AB66" s="85">
        <v>0</v>
      </c>
      <c r="AC66" s="85">
        <v>0</v>
      </c>
      <c r="AD66" s="85">
        <v>0</v>
      </c>
      <c r="AE66" s="85">
        <v>27.2831468066504</v>
      </c>
      <c r="AF66" s="85">
        <v>1.2615472445789899</v>
      </c>
      <c r="AG66" s="85">
        <v>26.3570470438036</v>
      </c>
      <c r="AH66" s="85">
        <v>11.5366969335881</v>
      </c>
      <c r="AI66" s="85">
        <v>4.7274478287370298</v>
      </c>
      <c r="AJ66" s="85">
        <v>-15.073516384727601</v>
      </c>
      <c r="AK66" s="85">
        <v>2.17676985546264</v>
      </c>
      <c r="AL66" s="85">
        <v>16.728951085193501</v>
      </c>
      <c r="AM66" s="85">
        <v>0</v>
      </c>
      <c r="AN66" s="85">
        <v>193.025271279267</v>
      </c>
      <c r="AO66" s="85">
        <v>0</v>
      </c>
      <c r="AP66" s="85">
        <v>0</v>
      </c>
      <c r="AQ66" s="85">
        <v>0</v>
      </c>
      <c r="AR66" s="85">
        <v>0</v>
      </c>
      <c r="AS66" s="85">
        <v>0</v>
      </c>
      <c r="AT66" s="86">
        <v>4.4717809723208903</v>
      </c>
    </row>
    <row r="67" spans="2:46" ht="12" customHeight="1" x14ac:dyDescent="0.25">
      <c r="B67" s="84" t="s">
        <v>46</v>
      </c>
      <c r="C67" s="85" t="s">
        <v>23</v>
      </c>
      <c r="D67" s="85" t="s">
        <v>47</v>
      </c>
      <c r="E67" s="85" t="s">
        <v>25</v>
      </c>
      <c r="F67" s="85" t="s">
        <v>25</v>
      </c>
      <c r="G67" s="85" t="s">
        <v>25</v>
      </c>
      <c r="H67" s="85" t="s">
        <v>82</v>
      </c>
      <c r="I67" s="85" t="s">
        <v>25</v>
      </c>
      <c r="J67" s="85">
        <v>490.85</v>
      </c>
      <c r="K67" s="85">
        <v>206.06</v>
      </c>
      <c r="L67" s="85">
        <v>20.892764567459601</v>
      </c>
      <c r="M67" s="85">
        <v>1.17985652776384</v>
      </c>
      <c r="N67" s="85">
        <v>4.4334641796099303</v>
      </c>
      <c r="O67" s="85">
        <v>0</v>
      </c>
      <c r="P67" s="85">
        <v>0</v>
      </c>
      <c r="Q67" s="85">
        <v>34.599534322105903</v>
      </c>
      <c r="R67" s="85">
        <v>12.9587733790946</v>
      </c>
      <c r="S67" s="85">
        <v>0</v>
      </c>
      <c r="T67" s="85">
        <v>13.2555919186946</v>
      </c>
      <c r="U67" s="85">
        <v>14.4382751580797</v>
      </c>
      <c r="V67" s="85">
        <v>1.4950731379431099</v>
      </c>
      <c r="W67" s="85">
        <v>0</v>
      </c>
      <c r="X67" s="85">
        <v>0</v>
      </c>
      <c r="Y67" s="85">
        <v>0</v>
      </c>
      <c r="Z67" s="85">
        <v>0</v>
      </c>
      <c r="AA67" s="85">
        <v>321.15515634219901</v>
      </c>
      <c r="AB67" s="85">
        <v>0</v>
      </c>
      <c r="AC67" s="85">
        <v>0</v>
      </c>
      <c r="AD67" s="85">
        <v>0</v>
      </c>
      <c r="AE67" s="85">
        <v>27.2831468066504</v>
      </c>
      <c r="AF67" s="85">
        <v>1.2615472445789899</v>
      </c>
      <c r="AG67" s="85">
        <v>26.3570470438036</v>
      </c>
      <c r="AH67" s="85">
        <v>11.5366969335881</v>
      </c>
      <c r="AI67" s="85">
        <v>4.7274478287370298</v>
      </c>
      <c r="AJ67" s="85">
        <v>-15.073516384727601</v>
      </c>
      <c r="AK67" s="85">
        <v>2.17676985546264</v>
      </c>
      <c r="AL67" s="85">
        <v>16.728951085193501</v>
      </c>
      <c r="AM67" s="85">
        <v>0</v>
      </c>
      <c r="AN67" s="85">
        <v>193.025271279267</v>
      </c>
      <c r="AO67" s="85">
        <v>0</v>
      </c>
      <c r="AP67" s="85">
        <v>0</v>
      </c>
      <c r="AQ67" s="85">
        <v>0</v>
      </c>
      <c r="AR67" s="85">
        <v>0</v>
      </c>
      <c r="AS67" s="85">
        <v>0</v>
      </c>
      <c r="AT67" s="86">
        <v>4.4717809723208903</v>
      </c>
    </row>
    <row r="68" spans="2:46" ht="12" customHeight="1" x14ac:dyDescent="0.25">
      <c r="B68" s="84" t="s">
        <v>46</v>
      </c>
      <c r="C68" s="85" t="s">
        <v>23</v>
      </c>
      <c r="D68" s="85" t="s">
        <v>47</v>
      </c>
      <c r="E68" s="85" t="s">
        <v>102</v>
      </c>
      <c r="F68" s="85" t="s">
        <v>25</v>
      </c>
      <c r="G68" s="85" t="s">
        <v>25</v>
      </c>
      <c r="H68" s="85" t="s">
        <v>82</v>
      </c>
      <c r="I68" s="85" t="s">
        <v>25</v>
      </c>
      <c r="J68" s="85">
        <v>480.4</v>
      </c>
      <c r="K68" s="85">
        <v>201.67</v>
      </c>
      <c r="L68" s="85">
        <v>20.448237661768999</v>
      </c>
      <c r="M68" s="85">
        <v>1.15475319738589</v>
      </c>
      <c r="N68" s="85">
        <v>4.3391351545118404</v>
      </c>
      <c r="O68" s="85">
        <v>0</v>
      </c>
      <c r="P68" s="85">
        <v>0</v>
      </c>
      <c r="Q68" s="85">
        <v>33.863374017380202</v>
      </c>
      <c r="R68" s="85">
        <v>12.683054796560601</v>
      </c>
      <c r="S68" s="85">
        <v>0</v>
      </c>
      <c r="T68" s="85">
        <v>12.973558048084</v>
      </c>
      <c r="U68" s="85">
        <v>14.1310778142907</v>
      </c>
      <c r="V68" s="85">
        <v>1.4632630711783701</v>
      </c>
      <c r="W68" s="85">
        <v>0</v>
      </c>
      <c r="X68" s="85">
        <v>0</v>
      </c>
      <c r="Y68" s="85">
        <v>0</v>
      </c>
      <c r="Z68" s="85">
        <v>0</v>
      </c>
      <c r="AA68" s="85">
        <v>314.32206790938699</v>
      </c>
      <c r="AB68" s="85">
        <v>0</v>
      </c>
      <c r="AC68" s="85">
        <v>0</v>
      </c>
      <c r="AD68" s="85">
        <v>0</v>
      </c>
      <c r="AE68" s="85">
        <v>26.702654321402601</v>
      </c>
      <c r="AF68" s="85">
        <v>1.2347058138432701</v>
      </c>
      <c r="AG68" s="85">
        <v>25.796258808829101</v>
      </c>
      <c r="AH68" s="85">
        <v>11.291235296703301</v>
      </c>
      <c r="AI68" s="85">
        <v>4.6268638323809199</v>
      </c>
      <c r="AJ68" s="85">
        <v>-14.7528032701589</v>
      </c>
      <c r="AK68" s="85">
        <v>2.13045560321875</v>
      </c>
      <c r="AL68" s="85">
        <v>16.3730159557213</v>
      </c>
      <c r="AM68" s="85">
        <v>0</v>
      </c>
      <c r="AN68" s="85">
        <v>188.91835061375099</v>
      </c>
      <c r="AO68" s="85">
        <v>0</v>
      </c>
      <c r="AP68" s="85">
        <v>0</v>
      </c>
      <c r="AQ68" s="85">
        <v>0</v>
      </c>
      <c r="AR68" s="85">
        <v>0</v>
      </c>
      <c r="AS68" s="85">
        <v>0</v>
      </c>
      <c r="AT68" s="86">
        <v>4.3766366963140699</v>
      </c>
    </row>
    <row r="69" spans="2:46" ht="12" customHeight="1" x14ac:dyDescent="0.25">
      <c r="B69" s="84" t="s">
        <v>46</v>
      </c>
      <c r="C69" s="85" t="s">
        <v>100</v>
      </c>
      <c r="D69" s="85" t="s">
        <v>47</v>
      </c>
      <c r="E69" s="85" t="s">
        <v>101</v>
      </c>
      <c r="F69" s="85" t="s">
        <v>25</v>
      </c>
      <c r="G69" s="85" t="s">
        <v>25</v>
      </c>
      <c r="H69" s="85" t="s">
        <v>82</v>
      </c>
      <c r="I69" s="85" t="s">
        <v>25</v>
      </c>
      <c r="J69" s="85">
        <v>490.85</v>
      </c>
      <c r="K69" s="85">
        <v>206.06</v>
      </c>
      <c r="L69" s="85">
        <v>20.892764567459601</v>
      </c>
      <c r="M69" s="85">
        <v>1.17985652776384</v>
      </c>
      <c r="N69" s="85">
        <v>4.4334641796099303</v>
      </c>
      <c r="O69" s="85">
        <v>0</v>
      </c>
      <c r="P69" s="85">
        <v>0</v>
      </c>
      <c r="Q69" s="85">
        <v>34.599534322105903</v>
      </c>
      <c r="R69" s="85">
        <v>12.9587733790946</v>
      </c>
      <c r="S69" s="85">
        <v>0</v>
      </c>
      <c r="T69" s="85">
        <v>13.2555919186946</v>
      </c>
      <c r="U69" s="85">
        <v>14.4382751580797</v>
      </c>
      <c r="V69" s="85">
        <v>1.4950731379431099</v>
      </c>
      <c r="W69" s="85">
        <v>0</v>
      </c>
      <c r="X69" s="85">
        <v>0</v>
      </c>
      <c r="Y69" s="85">
        <v>0</v>
      </c>
      <c r="Z69" s="85">
        <v>0</v>
      </c>
      <c r="AA69" s="85">
        <v>321.15515634219901</v>
      </c>
      <c r="AB69" s="85">
        <v>0</v>
      </c>
      <c r="AC69" s="85">
        <v>0</v>
      </c>
      <c r="AD69" s="85">
        <v>0</v>
      </c>
      <c r="AE69" s="85">
        <v>27.2831468066504</v>
      </c>
      <c r="AF69" s="85">
        <v>1.2615472445789899</v>
      </c>
      <c r="AG69" s="85">
        <v>26.3570470438036</v>
      </c>
      <c r="AH69" s="85">
        <v>11.5366969335881</v>
      </c>
      <c r="AI69" s="85">
        <v>4.7274478287370298</v>
      </c>
      <c r="AJ69" s="85">
        <v>-15.073516384727601</v>
      </c>
      <c r="AK69" s="85">
        <v>2.17676985546264</v>
      </c>
      <c r="AL69" s="85">
        <v>16.728951085193501</v>
      </c>
      <c r="AM69" s="85">
        <v>0</v>
      </c>
      <c r="AN69" s="85">
        <v>193.025271279267</v>
      </c>
      <c r="AO69" s="85">
        <v>0</v>
      </c>
      <c r="AP69" s="85">
        <v>0</v>
      </c>
      <c r="AQ69" s="85">
        <v>0</v>
      </c>
      <c r="AR69" s="85">
        <v>0</v>
      </c>
      <c r="AS69" s="85">
        <v>0</v>
      </c>
      <c r="AT69" s="86">
        <v>4.4717809723208903</v>
      </c>
    </row>
    <row r="70" spans="2:46" ht="12" customHeight="1" x14ac:dyDescent="0.25">
      <c r="B70" s="84" t="s">
        <v>46</v>
      </c>
      <c r="C70" s="85" t="s">
        <v>100</v>
      </c>
      <c r="D70" s="85" t="s">
        <v>47</v>
      </c>
      <c r="E70" s="85" t="s">
        <v>25</v>
      </c>
      <c r="F70" s="85" t="s">
        <v>25</v>
      </c>
      <c r="G70" s="85" t="s">
        <v>25</v>
      </c>
      <c r="H70" s="85" t="s">
        <v>82</v>
      </c>
      <c r="I70" s="85" t="s">
        <v>25</v>
      </c>
      <c r="J70" s="85">
        <v>490.85</v>
      </c>
      <c r="K70" s="85">
        <v>206.06</v>
      </c>
      <c r="L70" s="85">
        <v>20.892764567459601</v>
      </c>
      <c r="M70" s="85">
        <v>1.17985652776384</v>
      </c>
      <c r="N70" s="85">
        <v>4.4334641796099303</v>
      </c>
      <c r="O70" s="85">
        <v>0</v>
      </c>
      <c r="P70" s="85">
        <v>0</v>
      </c>
      <c r="Q70" s="85">
        <v>34.599534322105903</v>
      </c>
      <c r="R70" s="85">
        <v>12.9587733790946</v>
      </c>
      <c r="S70" s="85">
        <v>0</v>
      </c>
      <c r="T70" s="85">
        <v>13.2555919186946</v>
      </c>
      <c r="U70" s="85">
        <v>14.4382751580797</v>
      </c>
      <c r="V70" s="85">
        <v>1.4950731379431099</v>
      </c>
      <c r="W70" s="85">
        <v>0</v>
      </c>
      <c r="X70" s="85">
        <v>0</v>
      </c>
      <c r="Y70" s="85">
        <v>0</v>
      </c>
      <c r="Z70" s="85">
        <v>0</v>
      </c>
      <c r="AA70" s="85">
        <v>321.15515634219901</v>
      </c>
      <c r="AB70" s="85">
        <v>0</v>
      </c>
      <c r="AC70" s="85">
        <v>0</v>
      </c>
      <c r="AD70" s="85">
        <v>0</v>
      </c>
      <c r="AE70" s="85">
        <v>27.2831468066504</v>
      </c>
      <c r="AF70" s="85">
        <v>1.2615472445789899</v>
      </c>
      <c r="AG70" s="85">
        <v>26.3570470438036</v>
      </c>
      <c r="AH70" s="85">
        <v>11.5366969335881</v>
      </c>
      <c r="AI70" s="85">
        <v>4.7274478287370298</v>
      </c>
      <c r="AJ70" s="85">
        <v>-15.073516384727601</v>
      </c>
      <c r="AK70" s="85">
        <v>2.17676985546264</v>
      </c>
      <c r="AL70" s="85">
        <v>16.728951085193501</v>
      </c>
      <c r="AM70" s="85">
        <v>0</v>
      </c>
      <c r="AN70" s="85">
        <v>193.025271279267</v>
      </c>
      <c r="AO70" s="85">
        <v>0</v>
      </c>
      <c r="AP70" s="85">
        <v>0</v>
      </c>
      <c r="AQ70" s="85">
        <v>0</v>
      </c>
      <c r="AR70" s="85">
        <v>0</v>
      </c>
      <c r="AS70" s="85">
        <v>0</v>
      </c>
      <c r="AT70" s="86">
        <v>4.4717809723208903</v>
      </c>
    </row>
    <row r="71" spans="2:46" ht="12" customHeight="1" x14ac:dyDescent="0.25">
      <c r="B71" s="84" t="s">
        <v>46</v>
      </c>
      <c r="C71" s="85" t="s">
        <v>100</v>
      </c>
      <c r="D71" s="85" t="s">
        <v>47</v>
      </c>
      <c r="E71" s="85" t="s">
        <v>102</v>
      </c>
      <c r="F71" s="85" t="s">
        <v>25</v>
      </c>
      <c r="G71" s="85" t="s">
        <v>25</v>
      </c>
      <c r="H71" s="85" t="s">
        <v>82</v>
      </c>
      <c r="I71" s="85" t="s">
        <v>25</v>
      </c>
      <c r="J71" s="85">
        <v>480.4</v>
      </c>
      <c r="K71" s="85">
        <v>201.67</v>
      </c>
      <c r="L71" s="85">
        <v>20.448237661768999</v>
      </c>
      <c r="M71" s="85">
        <v>1.15475319738589</v>
      </c>
      <c r="N71" s="85">
        <v>4.3391351545118404</v>
      </c>
      <c r="O71" s="85">
        <v>0</v>
      </c>
      <c r="P71" s="85">
        <v>0</v>
      </c>
      <c r="Q71" s="85">
        <v>33.863374017380202</v>
      </c>
      <c r="R71" s="85">
        <v>12.683054796560601</v>
      </c>
      <c r="S71" s="85">
        <v>0</v>
      </c>
      <c r="T71" s="85">
        <v>12.973558048084</v>
      </c>
      <c r="U71" s="85">
        <v>14.1310778142907</v>
      </c>
      <c r="V71" s="85">
        <v>1.4632630711783701</v>
      </c>
      <c r="W71" s="85">
        <v>0</v>
      </c>
      <c r="X71" s="85">
        <v>0</v>
      </c>
      <c r="Y71" s="85">
        <v>0</v>
      </c>
      <c r="Z71" s="85">
        <v>0</v>
      </c>
      <c r="AA71" s="85">
        <v>314.32206790938699</v>
      </c>
      <c r="AB71" s="85">
        <v>0</v>
      </c>
      <c r="AC71" s="85">
        <v>0</v>
      </c>
      <c r="AD71" s="85">
        <v>0</v>
      </c>
      <c r="AE71" s="85">
        <v>26.702654321402601</v>
      </c>
      <c r="AF71" s="85">
        <v>1.2347058138432701</v>
      </c>
      <c r="AG71" s="85">
        <v>25.796258808829101</v>
      </c>
      <c r="AH71" s="85">
        <v>11.291235296703301</v>
      </c>
      <c r="AI71" s="85">
        <v>4.6268638323809199</v>
      </c>
      <c r="AJ71" s="85">
        <v>-14.7528032701589</v>
      </c>
      <c r="AK71" s="85">
        <v>2.13045560321875</v>
      </c>
      <c r="AL71" s="85">
        <v>16.3730159557213</v>
      </c>
      <c r="AM71" s="85">
        <v>0</v>
      </c>
      <c r="AN71" s="85">
        <v>188.91835061375099</v>
      </c>
      <c r="AO71" s="85">
        <v>0</v>
      </c>
      <c r="AP71" s="85">
        <v>0</v>
      </c>
      <c r="AQ71" s="85">
        <v>0</v>
      </c>
      <c r="AR71" s="85">
        <v>0</v>
      </c>
      <c r="AS71" s="85">
        <v>0</v>
      </c>
      <c r="AT71" s="86">
        <v>4.3766366963140699</v>
      </c>
    </row>
    <row r="72" spans="2:46" ht="12" customHeight="1" x14ac:dyDescent="0.25">
      <c r="B72" s="84" t="s">
        <v>39</v>
      </c>
      <c r="C72" s="85" t="s">
        <v>35</v>
      </c>
      <c r="D72" s="85" t="s">
        <v>25</v>
      </c>
      <c r="E72" s="85" t="s">
        <v>25</v>
      </c>
      <c r="F72" s="85" t="s">
        <v>25</v>
      </c>
      <c r="G72" s="85" t="s">
        <v>36</v>
      </c>
      <c r="H72" s="85" t="s">
        <v>82</v>
      </c>
      <c r="I72" s="85" t="s">
        <v>25</v>
      </c>
      <c r="J72" s="85">
        <v>1425.11</v>
      </c>
      <c r="K72" s="85">
        <v>347.07</v>
      </c>
      <c r="L72" s="85">
        <v>22.226345284531501</v>
      </c>
      <c r="M72" s="85">
        <v>1.2551665188977099</v>
      </c>
      <c r="N72" s="85">
        <v>13.1577840740546</v>
      </c>
      <c r="O72" s="85">
        <v>0</v>
      </c>
      <c r="P72" s="85">
        <v>0</v>
      </c>
      <c r="Q72" s="85">
        <v>36.808015236282799</v>
      </c>
      <c r="R72" s="85">
        <v>13.785929126696301</v>
      </c>
      <c r="S72" s="85">
        <v>0</v>
      </c>
      <c r="T72" s="85">
        <v>47.945638941871202</v>
      </c>
      <c r="U72" s="85">
        <v>52.223378458867899</v>
      </c>
      <c r="V72" s="85">
        <v>5.4075165547420703</v>
      </c>
      <c r="W72" s="85">
        <v>0</v>
      </c>
      <c r="X72" s="85">
        <v>0</v>
      </c>
      <c r="Y72" s="85">
        <v>0</v>
      </c>
      <c r="Z72" s="85">
        <v>0</v>
      </c>
      <c r="AA72" s="85">
        <v>1161.6250575804299</v>
      </c>
      <c r="AB72" s="85">
        <v>0</v>
      </c>
      <c r="AC72" s="85">
        <v>0</v>
      </c>
      <c r="AD72" s="85">
        <v>0</v>
      </c>
      <c r="AE72" s="85">
        <v>29.024624262394099</v>
      </c>
      <c r="AF72" s="85">
        <v>1.34207153678616</v>
      </c>
      <c r="AG72" s="85">
        <v>28.0394117487273</v>
      </c>
      <c r="AH72" s="85">
        <v>12.2730818442427</v>
      </c>
      <c r="AI72" s="85">
        <v>5.0291998178053499</v>
      </c>
      <c r="AJ72" s="85">
        <v>-16.0356557284336</v>
      </c>
      <c r="AK72" s="85">
        <v>2.3157126121942899</v>
      </c>
      <c r="AL72" s="85">
        <v>17.796756473610099</v>
      </c>
      <c r="AM72" s="85">
        <v>0</v>
      </c>
      <c r="AN72" s="85">
        <v>333.20299739094702</v>
      </c>
      <c r="AO72" s="85">
        <v>0</v>
      </c>
      <c r="AP72" s="85">
        <v>0</v>
      </c>
      <c r="AQ72" s="85">
        <v>0</v>
      </c>
      <c r="AR72" s="85">
        <v>0</v>
      </c>
      <c r="AS72" s="85">
        <v>0</v>
      </c>
      <c r="AT72" s="86">
        <v>4.75721380034138</v>
      </c>
    </row>
    <row r="73" spans="2:46" ht="12" customHeight="1" x14ac:dyDescent="0.25">
      <c r="B73" s="84" t="s">
        <v>39</v>
      </c>
      <c r="C73" s="85" t="s">
        <v>35</v>
      </c>
      <c r="D73" s="85" t="s">
        <v>25</v>
      </c>
      <c r="E73" s="85" t="s">
        <v>25</v>
      </c>
      <c r="F73" s="85" t="s">
        <v>25</v>
      </c>
      <c r="G73" s="85" t="s">
        <v>38</v>
      </c>
      <c r="H73" s="85" t="s">
        <v>82</v>
      </c>
      <c r="I73" s="85" t="s">
        <v>25</v>
      </c>
      <c r="J73" s="85">
        <v>913.45</v>
      </c>
      <c r="K73" s="85">
        <v>207.59</v>
      </c>
      <c r="L73" s="85">
        <v>22.226345284531501</v>
      </c>
      <c r="M73" s="85">
        <v>1.2551665188977099</v>
      </c>
      <c r="N73" s="85">
        <v>8.3743613400395596</v>
      </c>
      <c r="O73" s="85">
        <v>0</v>
      </c>
      <c r="P73" s="85">
        <v>0</v>
      </c>
      <c r="Q73" s="85">
        <v>36.808015236282799</v>
      </c>
      <c r="R73" s="85">
        <v>13.785929126696301</v>
      </c>
      <c r="S73" s="85">
        <v>0</v>
      </c>
      <c r="T73" s="85">
        <v>28.767383365122701</v>
      </c>
      <c r="U73" s="85">
        <v>31.334061072370801</v>
      </c>
      <c r="V73" s="85">
        <v>3.2444774669677501</v>
      </c>
      <c r="W73" s="85">
        <v>0</v>
      </c>
      <c r="X73" s="85">
        <v>0</v>
      </c>
      <c r="Y73" s="85">
        <v>0</v>
      </c>
      <c r="Z73" s="85">
        <v>0</v>
      </c>
      <c r="AA73" s="85">
        <v>696.97501054599695</v>
      </c>
      <c r="AB73" s="85">
        <v>0</v>
      </c>
      <c r="AC73" s="85">
        <v>0</v>
      </c>
      <c r="AD73" s="85">
        <v>0</v>
      </c>
      <c r="AE73" s="85">
        <v>29.024624262394099</v>
      </c>
      <c r="AF73" s="85">
        <v>1.34207153678616</v>
      </c>
      <c r="AG73" s="85">
        <v>28.0394117487273</v>
      </c>
      <c r="AH73" s="85">
        <v>12.2730818442427</v>
      </c>
      <c r="AI73" s="85">
        <v>5.0291998178053499</v>
      </c>
      <c r="AJ73" s="85">
        <v>-16.0356557284336</v>
      </c>
      <c r="AK73" s="85">
        <v>2.3157126121942899</v>
      </c>
      <c r="AL73" s="85">
        <v>17.796756473610099</v>
      </c>
      <c r="AM73" s="85">
        <v>0</v>
      </c>
      <c r="AN73" s="85">
        <v>193.722672901713</v>
      </c>
      <c r="AO73" s="85">
        <v>0</v>
      </c>
      <c r="AP73" s="85">
        <v>0</v>
      </c>
      <c r="AQ73" s="85">
        <v>0</v>
      </c>
      <c r="AR73" s="85">
        <v>0</v>
      </c>
      <c r="AS73" s="85">
        <v>0</v>
      </c>
      <c r="AT73" s="86">
        <v>4.75721380034138</v>
      </c>
    </row>
    <row r="74" spans="2:46" ht="12" customHeight="1" x14ac:dyDescent="0.25">
      <c r="B74" s="84" t="s">
        <v>39</v>
      </c>
      <c r="C74" s="85" t="s">
        <v>35</v>
      </c>
      <c r="D74" s="85" t="s">
        <v>25</v>
      </c>
      <c r="E74" s="85" t="s">
        <v>25</v>
      </c>
      <c r="F74" s="85" t="s">
        <v>25</v>
      </c>
      <c r="G74" s="85" t="s">
        <v>37</v>
      </c>
      <c r="H74" s="85" t="s">
        <v>82</v>
      </c>
      <c r="I74" s="85" t="s">
        <v>25</v>
      </c>
      <c r="J74" s="85">
        <v>401.79</v>
      </c>
      <c r="K74" s="85">
        <v>207.59</v>
      </c>
      <c r="L74" s="85">
        <v>22.226345284531501</v>
      </c>
      <c r="M74" s="85">
        <v>1.2551665188977099</v>
      </c>
      <c r="N74" s="85">
        <v>3.5909386060245398</v>
      </c>
      <c r="O74" s="85">
        <v>0</v>
      </c>
      <c r="P74" s="85">
        <v>0</v>
      </c>
      <c r="Q74" s="85">
        <v>36.808015236282799</v>
      </c>
      <c r="R74" s="85">
        <v>13.785929126696301</v>
      </c>
      <c r="S74" s="85">
        <v>0</v>
      </c>
      <c r="T74" s="85">
        <v>9.5891277883742401</v>
      </c>
      <c r="U74" s="85">
        <v>10.4447436858736</v>
      </c>
      <c r="V74" s="85">
        <v>1.0814383791934301</v>
      </c>
      <c r="W74" s="85">
        <v>0</v>
      </c>
      <c r="X74" s="85">
        <v>0</v>
      </c>
      <c r="Y74" s="85">
        <v>0</v>
      </c>
      <c r="Z74" s="85">
        <v>0</v>
      </c>
      <c r="AA74" s="85">
        <v>232.32496351156399</v>
      </c>
      <c r="AB74" s="85">
        <v>0</v>
      </c>
      <c r="AC74" s="85">
        <v>0</v>
      </c>
      <c r="AD74" s="85">
        <v>0</v>
      </c>
      <c r="AE74" s="85">
        <v>29.024624262394099</v>
      </c>
      <c r="AF74" s="85">
        <v>1.34207153678616</v>
      </c>
      <c r="AG74" s="85">
        <v>28.0394117487273</v>
      </c>
      <c r="AH74" s="85">
        <v>12.2730818442427</v>
      </c>
      <c r="AI74" s="85">
        <v>5.0291998178053499</v>
      </c>
      <c r="AJ74" s="85">
        <v>-16.0356557284336</v>
      </c>
      <c r="AK74" s="85">
        <v>2.3157126121942899</v>
      </c>
      <c r="AL74" s="85">
        <v>17.796756473610099</v>
      </c>
      <c r="AM74" s="85">
        <v>0</v>
      </c>
      <c r="AN74" s="85">
        <v>193.722672901713</v>
      </c>
      <c r="AO74" s="85">
        <v>0</v>
      </c>
      <c r="AP74" s="85">
        <v>0</v>
      </c>
      <c r="AQ74" s="85">
        <v>0</v>
      </c>
      <c r="AR74" s="85">
        <v>0</v>
      </c>
      <c r="AS74" s="85">
        <v>0</v>
      </c>
      <c r="AT74" s="86">
        <v>4.75721380034138</v>
      </c>
    </row>
    <row r="75" spans="2:46" ht="12" customHeight="1" x14ac:dyDescent="0.25">
      <c r="B75" s="84" t="s">
        <v>39</v>
      </c>
      <c r="C75" s="85" t="s">
        <v>23</v>
      </c>
      <c r="D75" s="85" t="s">
        <v>25</v>
      </c>
      <c r="E75" s="85" t="s">
        <v>25</v>
      </c>
      <c r="F75" s="85" t="s">
        <v>25</v>
      </c>
      <c r="G75" s="85" t="s">
        <v>25</v>
      </c>
      <c r="H75" s="85" t="s">
        <v>82</v>
      </c>
      <c r="I75" s="85" t="s">
        <v>25</v>
      </c>
      <c r="J75" s="85">
        <v>522.17999999999995</v>
      </c>
      <c r="K75" s="85">
        <v>219.21</v>
      </c>
      <c r="L75" s="85">
        <v>22.226345284531501</v>
      </c>
      <c r="M75" s="85">
        <v>1.2551665188977099</v>
      </c>
      <c r="N75" s="85">
        <v>4.7164512549041797</v>
      </c>
      <c r="O75" s="85">
        <v>0</v>
      </c>
      <c r="P75" s="85">
        <v>0</v>
      </c>
      <c r="Q75" s="85">
        <v>36.808015236282799</v>
      </c>
      <c r="R75" s="85">
        <v>13.785929126696301</v>
      </c>
      <c r="S75" s="85">
        <v>0</v>
      </c>
      <c r="T75" s="85">
        <v>14.1016935305261</v>
      </c>
      <c r="U75" s="85">
        <v>15.359867189446501</v>
      </c>
      <c r="V75" s="85">
        <v>1.5905033382373599</v>
      </c>
      <c r="W75" s="85">
        <v>0</v>
      </c>
      <c r="X75" s="85">
        <v>0</v>
      </c>
      <c r="Y75" s="85">
        <v>0</v>
      </c>
      <c r="Z75" s="85">
        <v>0</v>
      </c>
      <c r="AA75" s="85">
        <v>341.65442164063802</v>
      </c>
      <c r="AB75" s="85">
        <v>0</v>
      </c>
      <c r="AC75" s="85">
        <v>0</v>
      </c>
      <c r="AD75" s="85">
        <v>0</v>
      </c>
      <c r="AE75" s="85">
        <v>29.024624262394099</v>
      </c>
      <c r="AF75" s="85">
        <v>1.34207153678616</v>
      </c>
      <c r="AG75" s="85">
        <v>28.0394117487273</v>
      </c>
      <c r="AH75" s="85">
        <v>12.2730818442427</v>
      </c>
      <c r="AI75" s="85">
        <v>5.0291998178053499</v>
      </c>
      <c r="AJ75" s="85">
        <v>-16.0356557284336</v>
      </c>
      <c r="AK75" s="85">
        <v>2.3157126121942899</v>
      </c>
      <c r="AL75" s="85">
        <v>17.796756473610099</v>
      </c>
      <c r="AM75" s="85">
        <v>0</v>
      </c>
      <c r="AN75" s="85">
        <v>205.34603327581601</v>
      </c>
      <c r="AO75" s="85">
        <v>0</v>
      </c>
      <c r="AP75" s="85">
        <v>0</v>
      </c>
      <c r="AQ75" s="85">
        <v>0</v>
      </c>
      <c r="AR75" s="85">
        <v>0</v>
      </c>
      <c r="AS75" s="85">
        <v>0</v>
      </c>
      <c r="AT75" s="86">
        <v>4.75721380034138</v>
      </c>
    </row>
    <row r="76" spans="2:46" ht="12" customHeight="1" x14ac:dyDescent="0.25">
      <c r="B76" s="84" t="s">
        <v>39</v>
      </c>
      <c r="C76" s="85" t="s">
        <v>100</v>
      </c>
      <c r="D76" s="85" t="s">
        <v>25</v>
      </c>
      <c r="E76" s="85" t="s">
        <v>25</v>
      </c>
      <c r="F76" s="85" t="s">
        <v>25</v>
      </c>
      <c r="G76" s="85" t="s">
        <v>25</v>
      </c>
      <c r="H76" s="85" t="s">
        <v>82</v>
      </c>
      <c r="I76" s="85" t="s">
        <v>25</v>
      </c>
      <c r="J76" s="85">
        <v>522.17999999999995</v>
      </c>
      <c r="K76" s="85">
        <v>219.21</v>
      </c>
      <c r="L76" s="85">
        <v>22.226345284531501</v>
      </c>
      <c r="M76" s="85">
        <v>1.2551665188977099</v>
      </c>
      <c r="N76" s="85">
        <v>4.7164512549041797</v>
      </c>
      <c r="O76" s="85">
        <v>0</v>
      </c>
      <c r="P76" s="85">
        <v>0</v>
      </c>
      <c r="Q76" s="85">
        <v>36.808015236282799</v>
      </c>
      <c r="R76" s="85">
        <v>13.785929126696301</v>
      </c>
      <c r="S76" s="85">
        <v>0</v>
      </c>
      <c r="T76" s="85">
        <v>14.1016935305261</v>
      </c>
      <c r="U76" s="85">
        <v>15.359867189446501</v>
      </c>
      <c r="V76" s="85">
        <v>1.5905033382373599</v>
      </c>
      <c r="W76" s="85">
        <v>0</v>
      </c>
      <c r="X76" s="85">
        <v>0</v>
      </c>
      <c r="Y76" s="85">
        <v>0</v>
      </c>
      <c r="Z76" s="85">
        <v>0</v>
      </c>
      <c r="AA76" s="85">
        <v>341.65442164063802</v>
      </c>
      <c r="AB76" s="85">
        <v>0</v>
      </c>
      <c r="AC76" s="85">
        <v>0</v>
      </c>
      <c r="AD76" s="85">
        <v>0</v>
      </c>
      <c r="AE76" s="85">
        <v>29.024624262394099</v>
      </c>
      <c r="AF76" s="85">
        <v>1.34207153678616</v>
      </c>
      <c r="AG76" s="85">
        <v>28.0394117487273</v>
      </c>
      <c r="AH76" s="85">
        <v>12.2730818442427</v>
      </c>
      <c r="AI76" s="85">
        <v>5.0291998178053499</v>
      </c>
      <c r="AJ76" s="85">
        <v>-16.0356557284336</v>
      </c>
      <c r="AK76" s="85">
        <v>2.3157126121942899</v>
      </c>
      <c r="AL76" s="85">
        <v>17.796756473610099</v>
      </c>
      <c r="AM76" s="85">
        <v>0</v>
      </c>
      <c r="AN76" s="85">
        <v>205.34603327581601</v>
      </c>
      <c r="AO76" s="85">
        <v>0</v>
      </c>
      <c r="AP76" s="85">
        <v>0</v>
      </c>
      <c r="AQ76" s="85">
        <v>0</v>
      </c>
      <c r="AR76" s="85">
        <v>0</v>
      </c>
      <c r="AS76" s="85">
        <v>0</v>
      </c>
      <c r="AT76" s="86">
        <v>4.75721380034138</v>
      </c>
    </row>
    <row r="77" spans="2:46" ht="12" customHeight="1" x14ac:dyDescent="0.25">
      <c r="B77" s="84" t="s">
        <v>49</v>
      </c>
      <c r="C77" s="85" t="s">
        <v>23</v>
      </c>
      <c r="D77" s="85" t="s">
        <v>50</v>
      </c>
      <c r="E77" s="85" t="s">
        <v>51</v>
      </c>
      <c r="F77" s="85" t="s">
        <v>25</v>
      </c>
      <c r="G77" s="85" t="s">
        <v>25</v>
      </c>
      <c r="H77" s="85" t="s">
        <v>82</v>
      </c>
      <c r="I77" s="85" t="s">
        <v>25</v>
      </c>
      <c r="J77" s="85">
        <v>287.2</v>
      </c>
      <c r="K77" s="85">
        <v>120.57</v>
      </c>
      <c r="L77" s="85">
        <v>12.2244899064923</v>
      </c>
      <c r="M77" s="85">
        <v>0.69034158539373902</v>
      </c>
      <c r="N77" s="85">
        <v>2.5940481901973</v>
      </c>
      <c r="O77" s="85">
        <v>0</v>
      </c>
      <c r="P77" s="85">
        <v>0</v>
      </c>
      <c r="Q77" s="85">
        <v>20.244408379955601</v>
      </c>
      <c r="R77" s="85">
        <v>7.5822610196829903</v>
      </c>
      <c r="S77" s="85">
        <v>0</v>
      </c>
      <c r="T77" s="85">
        <v>7.7559314417893797</v>
      </c>
      <c r="U77" s="85">
        <v>8.44792695419555</v>
      </c>
      <c r="V77" s="85">
        <v>0.87477683603054601</v>
      </c>
      <c r="W77" s="85">
        <v>0</v>
      </c>
      <c r="X77" s="85">
        <v>0</v>
      </c>
      <c r="Y77" s="85">
        <v>0</v>
      </c>
      <c r="Z77" s="85">
        <v>0</v>
      </c>
      <c r="AA77" s="85">
        <v>187.90993190235099</v>
      </c>
      <c r="AB77" s="85">
        <v>0</v>
      </c>
      <c r="AC77" s="85">
        <v>0</v>
      </c>
      <c r="AD77" s="85">
        <v>0</v>
      </c>
      <c r="AE77" s="85">
        <v>15.963543344316699</v>
      </c>
      <c r="AF77" s="85">
        <v>0.738139345232388</v>
      </c>
      <c r="AG77" s="85">
        <v>15.421676461800001</v>
      </c>
      <c r="AH77" s="85">
        <v>6.7501950143334701</v>
      </c>
      <c r="AI77" s="85">
        <v>2.76605989979294</v>
      </c>
      <c r="AJ77" s="85">
        <v>-8.8196106506384702</v>
      </c>
      <c r="AK77" s="85">
        <v>1.2736419367068601</v>
      </c>
      <c r="AL77" s="85">
        <v>9.7882160604855795</v>
      </c>
      <c r="AM77" s="85">
        <v>0</v>
      </c>
      <c r="AN77" s="85">
        <v>112.94031830169899</v>
      </c>
      <c r="AO77" s="85">
        <v>0</v>
      </c>
      <c r="AP77" s="85">
        <v>0</v>
      </c>
      <c r="AQ77" s="85">
        <v>0</v>
      </c>
      <c r="AR77" s="85">
        <v>0</v>
      </c>
      <c r="AS77" s="85">
        <v>0</v>
      </c>
      <c r="AT77" s="86">
        <v>2.6164675901877601</v>
      </c>
    </row>
    <row r="78" spans="2:46" ht="12" customHeight="1" x14ac:dyDescent="0.25">
      <c r="B78" s="87" t="s">
        <v>49</v>
      </c>
      <c r="C78" s="88" t="s">
        <v>23</v>
      </c>
      <c r="D78" s="88" t="s">
        <v>50</v>
      </c>
      <c r="E78" s="88" t="s">
        <v>103</v>
      </c>
      <c r="F78" s="88" t="s">
        <v>25</v>
      </c>
      <c r="G78" s="88" t="s">
        <v>25</v>
      </c>
      <c r="H78" s="88" t="s">
        <v>82</v>
      </c>
      <c r="I78" s="88" t="s">
        <v>25</v>
      </c>
      <c r="J78" s="88">
        <v>313.31</v>
      </c>
      <c r="K78" s="88">
        <v>131.53</v>
      </c>
      <c r="L78" s="88">
        <v>13.335807170718899</v>
      </c>
      <c r="M78" s="88">
        <v>0.75309991133862397</v>
      </c>
      <c r="N78" s="88">
        <v>2.8298707529425098</v>
      </c>
      <c r="O78" s="88">
        <v>0</v>
      </c>
      <c r="P78" s="88">
        <v>0</v>
      </c>
      <c r="Q78" s="88">
        <v>22.0848091417697</v>
      </c>
      <c r="R78" s="88">
        <v>8.2715574760178097</v>
      </c>
      <c r="S78" s="88">
        <v>0</v>
      </c>
      <c r="T78" s="88">
        <v>8.4610161183156798</v>
      </c>
      <c r="U78" s="88">
        <v>9.2159203136678691</v>
      </c>
      <c r="V78" s="88">
        <v>0.95430200294241296</v>
      </c>
      <c r="W78" s="88">
        <v>0</v>
      </c>
      <c r="X78" s="88">
        <v>0</v>
      </c>
      <c r="Y78" s="88">
        <v>0</v>
      </c>
      <c r="Z78" s="88">
        <v>0</v>
      </c>
      <c r="AA78" s="88">
        <v>204.992652984383</v>
      </c>
      <c r="AB78" s="88">
        <v>0</v>
      </c>
      <c r="AC78" s="88">
        <v>0</v>
      </c>
      <c r="AD78" s="88">
        <v>0</v>
      </c>
      <c r="AE78" s="88">
        <v>17.414774557436498</v>
      </c>
      <c r="AF78" s="88">
        <v>0.80524292207169601</v>
      </c>
      <c r="AG78" s="88">
        <v>16.823647049236399</v>
      </c>
      <c r="AH78" s="88">
        <v>7.3638491065456</v>
      </c>
      <c r="AI78" s="88">
        <v>3.0175198906832099</v>
      </c>
      <c r="AJ78" s="88">
        <v>-9.6213934370601493</v>
      </c>
      <c r="AK78" s="88">
        <v>1.3894275673165799</v>
      </c>
      <c r="AL78" s="88">
        <v>10.678053884166101</v>
      </c>
      <c r="AM78" s="88">
        <v>0</v>
      </c>
      <c r="AN78" s="88">
        <v>123.20761996549</v>
      </c>
      <c r="AO78" s="88">
        <v>0</v>
      </c>
      <c r="AP78" s="88">
        <v>0</v>
      </c>
      <c r="AQ78" s="88">
        <v>0</v>
      </c>
      <c r="AR78" s="88">
        <v>0</v>
      </c>
      <c r="AS78" s="88">
        <v>0</v>
      </c>
      <c r="AT78" s="89">
        <v>2.8543282802048302</v>
      </c>
    </row>
  </sheetData>
  <mergeCells count="8">
    <mergeCell ref="L1:AH1"/>
    <mergeCell ref="AI1:AT1"/>
    <mergeCell ref="L2:S2"/>
    <mergeCell ref="T2:Z2"/>
    <mergeCell ref="AB2:AD2"/>
    <mergeCell ref="AE2:AH2"/>
    <mergeCell ref="AI2:AM2"/>
    <mergeCell ref="AO2:AS2"/>
  </mergeCells>
  <phoneticPr fontId="13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48C01-0952-4774-BF89-7768924B435C}">
  <sheetPr codeName="Planilha30"/>
  <dimension ref="B1:AT78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7.285156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1" width="12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25" bestFit="1" customWidth="1"/>
    <col min="30" max="30" width="14.42578125" bestFit="1" customWidth="1"/>
    <col min="31" max="31" width="12.7109375" bestFit="1" customWidth="1"/>
    <col min="32" max="32" width="17.7109375" bestFit="1" customWidth="1"/>
    <col min="33" max="33" width="12.7109375" bestFit="1" customWidth="1"/>
    <col min="34" max="34" width="10.7109375" bestFit="1" customWidth="1"/>
    <col min="35" max="35" width="16.5703125" bestFit="1" customWidth="1"/>
    <col min="36" max="36" width="14.5703125" bestFit="1" customWidth="1"/>
    <col min="37" max="37" width="9.85546875" bestFit="1" customWidth="1"/>
    <col min="38" max="38" width="12.5703125" bestFit="1" customWidth="1"/>
    <col min="39" max="39" width="12.28515625" bestFit="1" customWidth="1"/>
    <col min="40" max="40" width="14.140625" bestFit="1" customWidth="1"/>
    <col min="41" max="41" width="25.28515625" bestFit="1" customWidth="1"/>
    <col min="42" max="42" width="17.85546875" bestFit="1" customWidth="1"/>
    <col min="43" max="43" width="13.42578125" bestFit="1" customWidth="1"/>
    <col min="44" max="44" width="13.28515625" bestFit="1" customWidth="1"/>
    <col min="45" max="45" width="22.140625" bestFit="1" customWidth="1"/>
    <col min="46" max="46" width="12.7109375" bestFit="1" customWidth="1"/>
  </cols>
  <sheetData>
    <row r="1" spans="2:46" ht="12" customHeight="1" x14ac:dyDescent="0.25">
      <c r="L1" s="126" t="s">
        <v>1513</v>
      </c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D1" s="126"/>
      <c r="AE1" s="126"/>
      <c r="AF1" s="126"/>
      <c r="AG1" s="126"/>
      <c r="AH1" s="127"/>
      <c r="AI1" s="126" t="s">
        <v>1514</v>
      </c>
      <c r="AJ1" s="126"/>
      <c r="AK1" s="126"/>
      <c r="AL1" s="126"/>
      <c r="AM1" s="126"/>
      <c r="AN1" s="126"/>
      <c r="AO1" s="126"/>
      <c r="AP1" s="126"/>
      <c r="AQ1" s="126"/>
      <c r="AR1" s="126"/>
      <c r="AS1" s="126"/>
      <c r="AT1" s="126"/>
    </row>
    <row r="2" spans="2:46" ht="12" customHeight="1" x14ac:dyDescent="0.25">
      <c r="L2" s="128" t="s">
        <v>735</v>
      </c>
      <c r="M2" s="128"/>
      <c r="N2" s="128"/>
      <c r="O2" s="128"/>
      <c r="P2" s="128"/>
      <c r="Q2" s="128"/>
      <c r="R2" s="128"/>
      <c r="S2" s="129"/>
      <c r="T2" s="128" t="s">
        <v>744</v>
      </c>
      <c r="U2" s="128"/>
      <c r="V2" s="128"/>
      <c r="W2" s="128"/>
      <c r="X2" s="128"/>
      <c r="Y2" s="128"/>
      <c r="Z2" s="129"/>
      <c r="AA2" s="91" t="s">
        <v>752</v>
      </c>
      <c r="AB2" s="128" t="s">
        <v>25</v>
      </c>
      <c r="AC2" s="128"/>
      <c r="AD2" s="129"/>
      <c r="AE2" s="128" t="s">
        <v>1512</v>
      </c>
      <c r="AF2" s="128"/>
      <c r="AG2" s="128"/>
      <c r="AH2" s="129"/>
      <c r="AI2" s="128" t="s">
        <v>735</v>
      </c>
      <c r="AJ2" s="128"/>
      <c r="AK2" s="128"/>
      <c r="AL2" s="128"/>
      <c r="AM2" s="129"/>
      <c r="AN2" s="91" t="s">
        <v>766</v>
      </c>
      <c r="AO2" s="128" t="s">
        <v>744</v>
      </c>
      <c r="AP2" s="128"/>
      <c r="AQ2" s="128"/>
      <c r="AR2" s="128"/>
      <c r="AS2" s="129"/>
      <c r="AT2" s="90" t="s">
        <v>1512</v>
      </c>
    </row>
    <row r="3" spans="2:46" ht="12" customHeight="1" x14ac:dyDescent="0.25">
      <c r="B3" s="81" t="s">
        <v>71</v>
      </c>
      <c r="C3" s="82" t="s">
        <v>72</v>
      </c>
      <c r="D3" s="82" t="s">
        <v>73</v>
      </c>
      <c r="E3" s="82" t="s">
        <v>74</v>
      </c>
      <c r="F3" s="82" t="s">
        <v>75</v>
      </c>
      <c r="G3" s="82" t="s">
        <v>77</v>
      </c>
      <c r="H3" s="82" t="s">
        <v>78</v>
      </c>
      <c r="I3" s="82" t="s">
        <v>1019</v>
      </c>
      <c r="J3" s="82" t="s">
        <v>1474</v>
      </c>
      <c r="K3" s="82" t="s">
        <v>1475</v>
      </c>
      <c r="L3" s="82" t="s">
        <v>1476</v>
      </c>
      <c r="M3" s="82" t="s">
        <v>1477</v>
      </c>
      <c r="N3" s="82" t="s">
        <v>1478</v>
      </c>
      <c r="O3" s="82" t="s">
        <v>1479</v>
      </c>
      <c r="P3" s="82" t="s">
        <v>1480</v>
      </c>
      <c r="Q3" s="82" t="s">
        <v>1481</v>
      </c>
      <c r="R3" s="82" t="s">
        <v>1482</v>
      </c>
      <c r="S3" s="82" t="s">
        <v>1483</v>
      </c>
      <c r="T3" s="82" t="s">
        <v>1484</v>
      </c>
      <c r="U3" s="82" t="s">
        <v>1485</v>
      </c>
      <c r="V3" s="82" t="s">
        <v>1486</v>
      </c>
      <c r="W3" s="82" t="s">
        <v>1487</v>
      </c>
      <c r="X3" s="82" t="s">
        <v>1488</v>
      </c>
      <c r="Y3" s="82" t="s">
        <v>1489</v>
      </c>
      <c r="Z3" s="82" t="s">
        <v>1490</v>
      </c>
      <c r="AA3" s="82" t="s">
        <v>1491</v>
      </c>
      <c r="AB3" s="82" t="s">
        <v>1492</v>
      </c>
      <c r="AC3" s="82" t="s">
        <v>1493</v>
      </c>
      <c r="AD3" s="82" t="s">
        <v>1494</v>
      </c>
      <c r="AE3" s="82" t="s">
        <v>1495</v>
      </c>
      <c r="AF3" s="82" t="s">
        <v>1496</v>
      </c>
      <c r="AG3" s="82" t="s">
        <v>1497</v>
      </c>
      <c r="AH3" s="82" t="s">
        <v>1498</v>
      </c>
      <c r="AI3" s="82" t="s">
        <v>1499</v>
      </c>
      <c r="AJ3" s="82" t="s">
        <v>1500</v>
      </c>
      <c r="AK3" s="82" t="s">
        <v>1501</v>
      </c>
      <c r="AL3" s="82" t="s">
        <v>1502</v>
      </c>
      <c r="AM3" s="82" t="s">
        <v>1503</v>
      </c>
      <c r="AN3" s="82" t="s">
        <v>1504</v>
      </c>
      <c r="AO3" s="82" t="s">
        <v>1505</v>
      </c>
      <c r="AP3" s="82" t="s">
        <v>1506</v>
      </c>
      <c r="AQ3" s="82" t="s">
        <v>1507</v>
      </c>
      <c r="AR3" s="82" t="s">
        <v>1508</v>
      </c>
      <c r="AS3" s="82" t="s">
        <v>1509</v>
      </c>
      <c r="AT3" s="83" t="s">
        <v>1510</v>
      </c>
    </row>
    <row r="4" spans="2:46" ht="12" customHeight="1" x14ac:dyDescent="0.25">
      <c r="B4" s="84" t="s">
        <v>80</v>
      </c>
      <c r="C4" s="85" t="s">
        <v>42</v>
      </c>
      <c r="D4" s="85" t="s">
        <v>25</v>
      </c>
      <c r="E4" s="85" t="s">
        <v>25</v>
      </c>
      <c r="F4" s="85" t="s">
        <v>89</v>
      </c>
      <c r="G4" s="85" t="s">
        <v>36</v>
      </c>
      <c r="H4" s="85" t="s">
        <v>82</v>
      </c>
      <c r="I4" s="85" t="s">
        <v>25</v>
      </c>
      <c r="J4" s="85">
        <v>-0.19</v>
      </c>
      <c r="K4" s="85">
        <v>0</v>
      </c>
      <c r="L4" s="85">
        <v>0</v>
      </c>
      <c r="M4" s="85">
        <v>0</v>
      </c>
      <c r="N4" s="85">
        <v>0</v>
      </c>
      <c r="O4" s="85">
        <v>0</v>
      </c>
      <c r="P4" s="85">
        <v>0</v>
      </c>
      <c r="Q4" s="85">
        <v>0</v>
      </c>
      <c r="R4" s="85">
        <v>0</v>
      </c>
      <c r="S4" s="85">
        <v>0</v>
      </c>
      <c r="T4" s="85">
        <v>0</v>
      </c>
      <c r="U4" s="85">
        <v>0</v>
      </c>
      <c r="V4" s="85">
        <v>0</v>
      </c>
      <c r="W4" s="85">
        <v>0</v>
      </c>
      <c r="X4" s="85">
        <v>0</v>
      </c>
      <c r="Y4" s="85">
        <v>0</v>
      </c>
      <c r="Z4" s="85">
        <v>0</v>
      </c>
      <c r="AA4" s="85">
        <v>0</v>
      </c>
      <c r="AB4" s="85">
        <v>0</v>
      </c>
      <c r="AC4" s="85">
        <v>0</v>
      </c>
      <c r="AD4" s="85">
        <v>0</v>
      </c>
      <c r="AE4" s="85">
        <v>-0.12980606129900299</v>
      </c>
      <c r="AF4" s="85">
        <v>-6.0021111245676401E-3</v>
      </c>
      <c r="AG4" s="85">
        <v>-5.8327517985755202E-2</v>
      </c>
      <c r="AH4" s="85">
        <v>0</v>
      </c>
      <c r="AI4" s="85">
        <v>0</v>
      </c>
      <c r="AJ4" s="85">
        <v>0</v>
      </c>
      <c r="AK4" s="85">
        <v>0</v>
      </c>
      <c r="AL4" s="85">
        <v>0</v>
      </c>
      <c r="AM4" s="85">
        <v>0</v>
      </c>
      <c r="AN4" s="85">
        <v>0</v>
      </c>
      <c r="AO4" s="85">
        <v>0</v>
      </c>
      <c r="AP4" s="85">
        <v>0</v>
      </c>
      <c r="AQ4" s="85">
        <v>0</v>
      </c>
      <c r="AR4" s="85">
        <v>0</v>
      </c>
      <c r="AS4" s="85">
        <v>0</v>
      </c>
      <c r="AT4" s="86">
        <v>0</v>
      </c>
    </row>
    <row r="5" spans="2:46" ht="12" customHeight="1" x14ac:dyDescent="0.25">
      <c r="B5" s="84" t="s">
        <v>80</v>
      </c>
      <c r="C5" s="85" t="s">
        <v>42</v>
      </c>
      <c r="D5" s="85" t="s">
        <v>25</v>
      </c>
      <c r="E5" s="85" t="s">
        <v>25</v>
      </c>
      <c r="F5" s="85" t="s">
        <v>89</v>
      </c>
      <c r="G5" s="85" t="s">
        <v>36</v>
      </c>
      <c r="H5" s="85" t="s">
        <v>85</v>
      </c>
      <c r="I5" s="85" t="s">
        <v>25</v>
      </c>
      <c r="J5" s="85">
        <v>1.03</v>
      </c>
      <c r="K5" s="85">
        <v>0</v>
      </c>
      <c r="L5" s="85">
        <v>0</v>
      </c>
      <c r="M5" s="85">
        <v>0</v>
      </c>
      <c r="N5" s="85">
        <v>0</v>
      </c>
      <c r="O5" s="85">
        <v>0</v>
      </c>
      <c r="P5" s="85">
        <v>0</v>
      </c>
      <c r="Q5" s="85">
        <v>0</v>
      </c>
      <c r="R5" s="85">
        <v>0</v>
      </c>
      <c r="S5" s="85">
        <v>0</v>
      </c>
      <c r="T5" s="85">
        <v>0.50295252239510402</v>
      </c>
      <c r="U5" s="85">
        <v>0.52621923346220201</v>
      </c>
      <c r="V5" s="85">
        <v>0</v>
      </c>
      <c r="W5" s="85">
        <v>0</v>
      </c>
      <c r="X5" s="85">
        <v>0</v>
      </c>
      <c r="Y5" s="85">
        <v>0</v>
      </c>
      <c r="Z5" s="85">
        <v>0</v>
      </c>
      <c r="AA5" s="85">
        <v>0</v>
      </c>
      <c r="AB5" s="85">
        <v>0</v>
      </c>
      <c r="AC5" s="85">
        <v>0</v>
      </c>
      <c r="AD5" s="85">
        <v>0</v>
      </c>
      <c r="AE5" s="85">
        <v>0</v>
      </c>
      <c r="AF5" s="85">
        <v>0</v>
      </c>
      <c r="AG5" s="85">
        <v>0</v>
      </c>
      <c r="AH5" s="85">
        <v>0</v>
      </c>
      <c r="AI5" s="85">
        <v>0</v>
      </c>
      <c r="AJ5" s="85">
        <v>0</v>
      </c>
      <c r="AK5" s="85">
        <v>0</v>
      </c>
      <c r="AL5" s="85">
        <v>0</v>
      </c>
      <c r="AM5" s="85">
        <v>0</v>
      </c>
      <c r="AN5" s="85">
        <v>0</v>
      </c>
      <c r="AO5" s="85">
        <v>0</v>
      </c>
      <c r="AP5" s="85">
        <v>0</v>
      </c>
      <c r="AQ5" s="85">
        <v>0</v>
      </c>
      <c r="AR5" s="85">
        <v>0</v>
      </c>
      <c r="AS5" s="85">
        <v>0</v>
      </c>
      <c r="AT5" s="86">
        <v>0</v>
      </c>
    </row>
    <row r="6" spans="2:46" ht="12" customHeight="1" x14ac:dyDescent="0.25">
      <c r="B6" s="84" t="s">
        <v>80</v>
      </c>
      <c r="C6" s="85" t="s">
        <v>42</v>
      </c>
      <c r="D6" s="85" t="s">
        <v>25</v>
      </c>
      <c r="E6" s="85" t="s">
        <v>25</v>
      </c>
      <c r="F6" s="85" t="s">
        <v>89</v>
      </c>
      <c r="G6" s="85" t="s">
        <v>37</v>
      </c>
      <c r="H6" s="85" t="s">
        <v>82</v>
      </c>
      <c r="I6" s="85" t="s">
        <v>25</v>
      </c>
      <c r="J6" s="85">
        <v>-0.19</v>
      </c>
      <c r="K6" s="85">
        <v>0</v>
      </c>
      <c r="L6" s="85">
        <v>0</v>
      </c>
      <c r="M6" s="85">
        <v>0</v>
      </c>
      <c r="N6" s="85">
        <v>0</v>
      </c>
      <c r="O6" s="85">
        <v>0</v>
      </c>
      <c r="P6" s="85">
        <v>0</v>
      </c>
      <c r="Q6" s="85">
        <v>0</v>
      </c>
      <c r="R6" s="85">
        <v>0</v>
      </c>
      <c r="S6" s="85">
        <v>0</v>
      </c>
      <c r="T6" s="85">
        <v>0</v>
      </c>
      <c r="U6" s="85">
        <v>0</v>
      </c>
      <c r="V6" s="85">
        <v>0</v>
      </c>
      <c r="W6" s="85">
        <v>0</v>
      </c>
      <c r="X6" s="85">
        <v>0</v>
      </c>
      <c r="Y6" s="85">
        <v>0</v>
      </c>
      <c r="Z6" s="85">
        <v>0</v>
      </c>
      <c r="AA6" s="85">
        <v>0</v>
      </c>
      <c r="AB6" s="85">
        <v>0</v>
      </c>
      <c r="AC6" s="85">
        <v>0</v>
      </c>
      <c r="AD6" s="85">
        <v>0</v>
      </c>
      <c r="AE6" s="85">
        <v>-0.12980606129900299</v>
      </c>
      <c r="AF6" s="85">
        <v>-6.0021111245676401E-3</v>
      </c>
      <c r="AG6" s="85">
        <v>-5.8327517985755202E-2</v>
      </c>
      <c r="AH6" s="85">
        <v>0</v>
      </c>
      <c r="AI6" s="85">
        <v>0</v>
      </c>
      <c r="AJ6" s="85">
        <v>0</v>
      </c>
      <c r="AK6" s="85">
        <v>0</v>
      </c>
      <c r="AL6" s="85">
        <v>0</v>
      </c>
      <c r="AM6" s="85">
        <v>0</v>
      </c>
      <c r="AN6" s="85">
        <v>0</v>
      </c>
      <c r="AO6" s="85">
        <v>0</v>
      </c>
      <c r="AP6" s="85">
        <v>0</v>
      </c>
      <c r="AQ6" s="85">
        <v>0</v>
      </c>
      <c r="AR6" s="85">
        <v>0</v>
      </c>
      <c r="AS6" s="85">
        <v>0</v>
      </c>
      <c r="AT6" s="86">
        <v>0</v>
      </c>
    </row>
    <row r="7" spans="2:46" ht="12" customHeight="1" x14ac:dyDescent="0.25">
      <c r="B7" s="84" t="s">
        <v>80</v>
      </c>
      <c r="C7" s="85" t="s">
        <v>42</v>
      </c>
      <c r="D7" s="85" t="s">
        <v>25</v>
      </c>
      <c r="E7" s="85" t="s">
        <v>25</v>
      </c>
      <c r="F7" s="85" t="s">
        <v>89</v>
      </c>
      <c r="G7" s="85" t="s">
        <v>37</v>
      </c>
      <c r="H7" s="85" t="s">
        <v>85</v>
      </c>
      <c r="I7" s="85" t="s">
        <v>25</v>
      </c>
      <c r="J7" s="85">
        <v>0.81</v>
      </c>
      <c r="K7" s="85">
        <v>0</v>
      </c>
      <c r="L7" s="85">
        <v>0</v>
      </c>
      <c r="M7" s="85">
        <v>0</v>
      </c>
      <c r="N7" s="85">
        <v>0</v>
      </c>
      <c r="O7" s="85">
        <v>0</v>
      </c>
      <c r="P7" s="85">
        <v>0</v>
      </c>
      <c r="Q7" s="85">
        <v>0</v>
      </c>
      <c r="R7" s="85">
        <v>0</v>
      </c>
      <c r="S7" s="85">
        <v>0</v>
      </c>
      <c r="T7" s="85">
        <v>0.37760542089987098</v>
      </c>
      <c r="U7" s="85">
        <v>0.43531242991608898</v>
      </c>
      <c r="V7" s="85">
        <v>0</v>
      </c>
      <c r="W7" s="85">
        <v>0</v>
      </c>
      <c r="X7" s="85">
        <v>0</v>
      </c>
      <c r="Y7" s="85">
        <v>0</v>
      </c>
      <c r="Z7" s="85">
        <v>0</v>
      </c>
      <c r="AA7" s="85">
        <v>0</v>
      </c>
      <c r="AB7" s="85">
        <v>0</v>
      </c>
      <c r="AC7" s="85">
        <v>0</v>
      </c>
      <c r="AD7" s="85">
        <v>0</v>
      </c>
      <c r="AE7" s="85">
        <v>0</v>
      </c>
      <c r="AF7" s="85">
        <v>0</v>
      </c>
      <c r="AG7" s="85">
        <v>0</v>
      </c>
      <c r="AH7" s="85">
        <v>0</v>
      </c>
      <c r="AI7" s="85">
        <v>0</v>
      </c>
      <c r="AJ7" s="85">
        <v>0</v>
      </c>
      <c r="AK7" s="85">
        <v>0</v>
      </c>
      <c r="AL7" s="85">
        <v>0</v>
      </c>
      <c r="AM7" s="85">
        <v>0</v>
      </c>
      <c r="AN7" s="85">
        <v>0</v>
      </c>
      <c r="AO7" s="85">
        <v>0</v>
      </c>
      <c r="AP7" s="85">
        <v>0</v>
      </c>
      <c r="AQ7" s="85">
        <v>0</v>
      </c>
      <c r="AR7" s="85">
        <v>0</v>
      </c>
      <c r="AS7" s="85">
        <v>0</v>
      </c>
      <c r="AT7" s="86">
        <v>0</v>
      </c>
    </row>
    <row r="8" spans="2:46" ht="12" customHeight="1" x14ac:dyDescent="0.25">
      <c r="B8" s="84" t="s">
        <v>80</v>
      </c>
      <c r="C8" s="85" t="s">
        <v>42</v>
      </c>
      <c r="D8" s="85" t="s">
        <v>25</v>
      </c>
      <c r="E8" s="85" t="s">
        <v>25</v>
      </c>
      <c r="F8" s="85" t="s">
        <v>25</v>
      </c>
      <c r="G8" s="85" t="s">
        <v>36</v>
      </c>
      <c r="H8" s="85" t="s">
        <v>82</v>
      </c>
      <c r="I8" s="85" t="s">
        <v>25</v>
      </c>
      <c r="J8" s="85">
        <v>14</v>
      </c>
      <c r="K8" s="85">
        <v>-3.36</v>
      </c>
      <c r="L8" s="85">
        <v>0.52806373266152895</v>
      </c>
      <c r="M8" s="85">
        <v>0</v>
      </c>
      <c r="N8" s="85">
        <v>0</v>
      </c>
      <c r="O8" s="85">
        <v>0</v>
      </c>
      <c r="P8" s="85">
        <v>0</v>
      </c>
      <c r="Q8" s="85">
        <v>8.6263763671838305</v>
      </c>
      <c r="R8" s="85">
        <v>5.0442222398398497</v>
      </c>
      <c r="S8" s="85">
        <v>0</v>
      </c>
      <c r="T8" s="85">
        <v>0</v>
      </c>
      <c r="U8" s="85">
        <v>0</v>
      </c>
      <c r="V8" s="85">
        <v>0</v>
      </c>
      <c r="W8" s="85">
        <v>0</v>
      </c>
      <c r="X8" s="85">
        <v>0</v>
      </c>
      <c r="Y8" s="85">
        <v>0</v>
      </c>
      <c r="Z8" s="85">
        <v>0</v>
      </c>
      <c r="AA8" s="85">
        <v>0</v>
      </c>
      <c r="AB8" s="85">
        <v>0</v>
      </c>
      <c r="AC8" s="85">
        <v>0</v>
      </c>
      <c r="AD8" s="85">
        <v>0</v>
      </c>
      <c r="AE8" s="85">
        <v>-0.12980606129900299</v>
      </c>
      <c r="AF8" s="85">
        <v>-6.0021111245676401E-3</v>
      </c>
      <c r="AG8" s="85">
        <v>-5.8327517985755202E-2</v>
      </c>
      <c r="AH8" s="85">
        <v>0</v>
      </c>
      <c r="AI8" s="85">
        <v>0.19271942271975201</v>
      </c>
      <c r="AJ8" s="85">
        <v>0</v>
      </c>
      <c r="AK8" s="85">
        <v>0</v>
      </c>
      <c r="AL8" s="85">
        <v>0.76173421496990001</v>
      </c>
      <c r="AM8" s="85">
        <v>0</v>
      </c>
      <c r="AN8" s="85">
        <v>-4.25417992159303</v>
      </c>
      <c r="AO8" s="85">
        <v>0</v>
      </c>
      <c r="AP8" s="85">
        <v>0</v>
      </c>
      <c r="AQ8" s="85">
        <v>0</v>
      </c>
      <c r="AR8" s="85">
        <v>0</v>
      </c>
      <c r="AS8" s="85">
        <v>0</v>
      </c>
      <c r="AT8" s="86">
        <v>-6.0737879282617299E-2</v>
      </c>
    </row>
    <row r="9" spans="2:46" ht="12" customHeight="1" x14ac:dyDescent="0.25">
      <c r="B9" s="84" t="s">
        <v>80</v>
      </c>
      <c r="C9" s="85" t="s">
        <v>42</v>
      </c>
      <c r="D9" s="85" t="s">
        <v>25</v>
      </c>
      <c r="E9" s="85" t="s">
        <v>25</v>
      </c>
      <c r="F9" s="85" t="s">
        <v>25</v>
      </c>
      <c r="G9" s="85" t="s">
        <v>36</v>
      </c>
      <c r="H9" s="85" t="s">
        <v>85</v>
      </c>
      <c r="I9" s="85" t="s">
        <v>25</v>
      </c>
      <c r="J9" s="85">
        <v>1.03</v>
      </c>
      <c r="K9" s="85">
        <v>0</v>
      </c>
      <c r="L9" s="85">
        <v>0</v>
      </c>
      <c r="M9" s="85">
        <v>0</v>
      </c>
      <c r="N9" s="85">
        <v>0</v>
      </c>
      <c r="O9" s="85">
        <v>0</v>
      </c>
      <c r="P9" s="85">
        <v>0</v>
      </c>
      <c r="Q9" s="85">
        <v>0</v>
      </c>
      <c r="R9" s="85">
        <v>0</v>
      </c>
      <c r="S9" s="85">
        <v>0</v>
      </c>
      <c r="T9" s="85">
        <v>0.50295252239510402</v>
      </c>
      <c r="U9" s="85">
        <v>0.52621923346220201</v>
      </c>
      <c r="V9" s="85">
        <v>0</v>
      </c>
      <c r="W9" s="85">
        <v>0</v>
      </c>
      <c r="X9" s="85">
        <v>0</v>
      </c>
      <c r="Y9" s="85">
        <v>0</v>
      </c>
      <c r="Z9" s="85">
        <v>0</v>
      </c>
      <c r="AA9" s="85">
        <v>0</v>
      </c>
      <c r="AB9" s="85">
        <v>0</v>
      </c>
      <c r="AC9" s="85">
        <v>0</v>
      </c>
      <c r="AD9" s="85">
        <v>0</v>
      </c>
      <c r="AE9" s="85">
        <v>0</v>
      </c>
      <c r="AF9" s="85">
        <v>0</v>
      </c>
      <c r="AG9" s="85">
        <v>0</v>
      </c>
      <c r="AH9" s="85">
        <v>0</v>
      </c>
      <c r="AI9" s="85">
        <v>0</v>
      </c>
      <c r="AJ9" s="85">
        <v>0</v>
      </c>
      <c r="AK9" s="85">
        <v>0</v>
      </c>
      <c r="AL9" s="85">
        <v>0</v>
      </c>
      <c r="AM9" s="85">
        <v>0</v>
      </c>
      <c r="AN9" s="85">
        <v>0</v>
      </c>
      <c r="AO9" s="85">
        <v>0</v>
      </c>
      <c r="AP9" s="85">
        <v>0</v>
      </c>
      <c r="AQ9" s="85">
        <v>0</v>
      </c>
      <c r="AR9" s="85">
        <v>0</v>
      </c>
      <c r="AS9" s="85">
        <v>0</v>
      </c>
      <c r="AT9" s="86">
        <v>0</v>
      </c>
    </row>
    <row r="10" spans="2:46" ht="12" customHeight="1" x14ac:dyDescent="0.25">
      <c r="B10" s="84" t="s">
        <v>80</v>
      </c>
      <c r="C10" s="85" t="s">
        <v>42</v>
      </c>
      <c r="D10" s="85" t="s">
        <v>25</v>
      </c>
      <c r="E10" s="85" t="s">
        <v>25</v>
      </c>
      <c r="F10" s="85" t="s">
        <v>25</v>
      </c>
      <c r="G10" s="85" t="s">
        <v>37</v>
      </c>
      <c r="H10" s="85" t="s">
        <v>82</v>
      </c>
      <c r="I10" s="85" t="s">
        <v>25</v>
      </c>
      <c r="J10" s="85">
        <v>14</v>
      </c>
      <c r="K10" s="85">
        <v>-1.58</v>
      </c>
      <c r="L10" s="85">
        <v>0.52806373266152895</v>
      </c>
      <c r="M10" s="85">
        <v>0</v>
      </c>
      <c r="N10" s="85">
        <v>0</v>
      </c>
      <c r="O10" s="85">
        <v>0</v>
      </c>
      <c r="P10" s="85">
        <v>0</v>
      </c>
      <c r="Q10" s="85">
        <v>8.6263763671838305</v>
      </c>
      <c r="R10" s="85">
        <v>5.0442222398398497</v>
      </c>
      <c r="S10" s="85">
        <v>0</v>
      </c>
      <c r="T10" s="85">
        <v>0</v>
      </c>
      <c r="U10" s="85">
        <v>0</v>
      </c>
      <c r="V10" s="85">
        <v>0</v>
      </c>
      <c r="W10" s="85">
        <v>0</v>
      </c>
      <c r="X10" s="85">
        <v>0</v>
      </c>
      <c r="Y10" s="85">
        <v>0</v>
      </c>
      <c r="Z10" s="85">
        <v>0</v>
      </c>
      <c r="AA10" s="85">
        <v>0</v>
      </c>
      <c r="AB10" s="85">
        <v>0</v>
      </c>
      <c r="AC10" s="85">
        <v>0</v>
      </c>
      <c r="AD10" s="85">
        <v>0</v>
      </c>
      <c r="AE10" s="85">
        <v>-0.12980606129900299</v>
      </c>
      <c r="AF10" s="85">
        <v>-6.0021111245676401E-3</v>
      </c>
      <c r="AG10" s="85">
        <v>-5.8327517985755202E-2</v>
      </c>
      <c r="AH10" s="85">
        <v>0</v>
      </c>
      <c r="AI10" s="85">
        <v>0.19271942271975201</v>
      </c>
      <c r="AJ10" s="85">
        <v>0</v>
      </c>
      <c r="AK10" s="85">
        <v>0</v>
      </c>
      <c r="AL10" s="85">
        <v>0.76173421496990001</v>
      </c>
      <c r="AM10" s="85">
        <v>0</v>
      </c>
      <c r="AN10" s="85">
        <v>-2.4733604195308301</v>
      </c>
      <c r="AO10" s="85">
        <v>0</v>
      </c>
      <c r="AP10" s="85">
        <v>0</v>
      </c>
      <c r="AQ10" s="85">
        <v>0</v>
      </c>
      <c r="AR10" s="85">
        <v>0</v>
      </c>
      <c r="AS10" s="85">
        <v>0</v>
      </c>
      <c r="AT10" s="86">
        <v>-6.0737879282617299E-2</v>
      </c>
    </row>
    <row r="11" spans="2:46" ht="12" customHeight="1" x14ac:dyDescent="0.25">
      <c r="B11" s="84" t="s">
        <v>80</v>
      </c>
      <c r="C11" s="85" t="s">
        <v>42</v>
      </c>
      <c r="D11" s="85" t="s">
        <v>25</v>
      </c>
      <c r="E11" s="85" t="s">
        <v>25</v>
      </c>
      <c r="F11" s="85" t="s">
        <v>25</v>
      </c>
      <c r="G11" s="85" t="s">
        <v>37</v>
      </c>
      <c r="H11" s="85" t="s">
        <v>85</v>
      </c>
      <c r="I11" s="85" t="s">
        <v>25</v>
      </c>
      <c r="J11" s="85">
        <v>0.81</v>
      </c>
      <c r="K11" s="85">
        <v>0</v>
      </c>
      <c r="L11" s="85">
        <v>0</v>
      </c>
      <c r="M11" s="85">
        <v>0</v>
      </c>
      <c r="N11" s="85">
        <v>0</v>
      </c>
      <c r="O11" s="85">
        <v>0</v>
      </c>
      <c r="P11" s="85">
        <v>0</v>
      </c>
      <c r="Q11" s="85">
        <v>0</v>
      </c>
      <c r="R11" s="85">
        <v>0</v>
      </c>
      <c r="S11" s="85">
        <v>0</v>
      </c>
      <c r="T11" s="85">
        <v>0.37760542089987098</v>
      </c>
      <c r="U11" s="85">
        <v>0.43531242991608898</v>
      </c>
      <c r="V11" s="85">
        <v>0</v>
      </c>
      <c r="W11" s="85">
        <v>0</v>
      </c>
      <c r="X11" s="85">
        <v>0</v>
      </c>
      <c r="Y11" s="85">
        <v>0</v>
      </c>
      <c r="Z11" s="85">
        <v>0</v>
      </c>
      <c r="AA11" s="85">
        <v>0</v>
      </c>
      <c r="AB11" s="85">
        <v>0</v>
      </c>
      <c r="AC11" s="85">
        <v>0</v>
      </c>
      <c r="AD11" s="85">
        <v>0</v>
      </c>
      <c r="AE11" s="85">
        <v>0</v>
      </c>
      <c r="AF11" s="85">
        <v>0</v>
      </c>
      <c r="AG11" s="85">
        <v>0</v>
      </c>
      <c r="AH11" s="85">
        <v>0</v>
      </c>
      <c r="AI11" s="85">
        <v>0</v>
      </c>
      <c r="AJ11" s="85">
        <v>0</v>
      </c>
      <c r="AK11" s="85">
        <v>0</v>
      </c>
      <c r="AL11" s="85">
        <v>0</v>
      </c>
      <c r="AM11" s="85">
        <v>0</v>
      </c>
      <c r="AN11" s="85">
        <v>0</v>
      </c>
      <c r="AO11" s="85">
        <v>0</v>
      </c>
      <c r="AP11" s="85">
        <v>0</v>
      </c>
      <c r="AQ11" s="85">
        <v>0</v>
      </c>
      <c r="AR11" s="85">
        <v>0</v>
      </c>
      <c r="AS11" s="85">
        <v>0</v>
      </c>
      <c r="AT11" s="86">
        <v>0</v>
      </c>
    </row>
    <row r="12" spans="2:46" ht="12" customHeight="1" x14ac:dyDescent="0.25">
      <c r="B12" s="84" t="s">
        <v>80</v>
      </c>
      <c r="C12" s="85" t="s">
        <v>23</v>
      </c>
      <c r="D12" s="85" t="s">
        <v>25</v>
      </c>
      <c r="E12" s="85" t="s">
        <v>25</v>
      </c>
      <c r="F12" s="85" t="s">
        <v>25</v>
      </c>
      <c r="G12" s="85" t="s">
        <v>25</v>
      </c>
      <c r="H12" s="85" t="s">
        <v>82</v>
      </c>
      <c r="I12" s="85" t="s">
        <v>25</v>
      </c>
      <c r="J12" s="85">
        <v>0</v>
      </c>
      <c r="K12" s="85">
        <v>-1.73</v>
      </c>
      <c r="L12" s="85">
        <v>0</v>
      </c>
      <c r="M12" s="85">
        <v>0</v>
      </c>
      <c r="N12" s="85">
        <v>0</v>
      </c>
      <c r="O12" s="85">
        <v>0</v>
      </c>
      <c r="P12" s="85">
        <v>0</v>
      </c>
      <c r="Q12" s="85">
        <v>0</v>
      </c>
      <c r="R12" s="85">
        <v>0</v>
      </c>
      <c r="S12" s="85">
        <v>0</v>
      </c>
      <c r="T12" s="85">
        <v>0</v>
      </c>
      <c r="U12" s="85">
        <v>0</v>
      </c>
      <c r="V12" s="85">
        <v>0</v>
      </c>
      <c r="W12" s="85">
        <v>0</v>
      </c>
      <c r="X12" s="85">
        <v>0</v>
      </c>
      <c r="Y12" s="85">
        <v>0</v>
      </c>
      <c r="Z12" s="85">
        <v>0</v>
      </c>
      <c r="AA12" s="85">
        <v>0</v>
      </c>
      <c r="AB12" s="85">
        <v>0</v>
      </c>
      <c r="AC12" s="85">
        <v>0</v>
      </c>
      <c r="AD12" s="85">
        <v>0</v>
      </c>
      <c r="AE12" s="85">
        <v>0</v>
      </c>
      <c r="AF12" s="85">
        <v>0</v>
      </c>
      <c r="AG12" s="85">
        <v>0</v>
      </c>
      <c r="AH12" s="85">
        <v>0</v>
      </c>
      <c r="AI12" s="85">
        <v>0.19271942271975201</v>
      </c>
      <c r="AJ12" s="85">
        <v>0</v>
      </c>
      <c r="AK12" s="85">
        <v>0</v>
      </c>
      <c r="AL12" s="85">
        <v>0.76173421496990001</v>
      </c>
      <c r="AM12" s="85">
        <v>0</v>
      </c>
      <c r="AN12" s="85">
        <v>-2.6217620447026802</v>
      </c>
      <c r="AO12" s="85">
        <v>0</v>
      </c>
      <c r="AP12" s="85">
        <v>0</v>
      </c>
      <c r="AQ12" s="85">
        <v>0</v>
      </c>
      <c r="AR12" s="85">
        <v>0</v>
      </c>
      <c r="AS12" s="85">
        <v>0</v>
      </c>
      <c r="AT12" s="86">
        <v>-6.0737879282617299E-2</v>
      </c>
    </row>
    <row r="13" spans="2:46" ht="12" customHeight="1" x14ac:dyDescent="0.25">
      <c r="B13" s="84" t="s">
        <v>43</v>
      </c>
      <c r="C13" s="85" t="s">
        <v>42</v>
      </c>
      <c r="D13" s="85" t="s">
        <v>25</v>
      </c>
      <c r="E13" s="85" t="s">
        <v>25</v>
      </c>
      <c r="F13" s="85" t="s">
        <v>89</v>
      </c>
      <c r="G13" s="85" t="s">
        <v>36</v>
      </c>
      <c r="H13" s="85" t="s">
        <v>82</v>
      </c>
      <c r="I13" s="85" t="s">
        <v>25</v>
      </c>
      <c r="J13" s="85">
        <v>-0.42</v>
      </c>
      <c r="K13" s="85">
        <v>0</v>
      </c>
      <c r="L13" s="85">
        <v>0</v>
      </c>
      <c r="M13" s="85">
        <v>0</v>
      </c>
      <c r="N13" s="85">
        <v>0</v>
      </c>
      <c r="O13" s="85">
        <v>0</v>
      </c>
      <c r="P13" s="85">
        <v>0</v>
      </c>
      <c r="Q13" s="85">
        <v>0</v>
      </c>
      <c r="R13" s="85">
        <v>0</v>
      </c>
      <c r="S13" s="85">
        <v>0</v>
      </c>
      <c r="T13" s="85">
        <v>0</v>
      </c>
      <c r="U13" s="85">
        <v>0</v>
      </c>
      <c r="V13" s="85">
        <v>0</v>
      </c>
      <c r="W13" s="85">
        <v>0</v>
      </c>
      <c r="X13" s="85">
        <v>0</v>
      </c>
      <c r="Y13" s="85">
        <v>0</v>
      </c>
      <c r="Z13" s="85">
        <v>0</v>
      </c>
      <c r="AA13" s="85">
        <v>0</v>
      </c>
      <c r="AB13" s="85">
        <v>0</v>
      </c>
      <c r="AC13" s="85">
        <v>0</v>
      </c>
      <c r="AD13" s="85">
        <v>0</v>
      </c>
      <c r="AE13" s="85">
        <v>-0.173075813198836</v>
      </c>
      <c r="AF13" s="85">
        <v>-8.0028640681226899E-3</v>
      </c>
      <c r="AG13" s="85">
        <v>-0.23534046261012001</v>
      </c>
      <c r="AH13" s="85">
        <v>0</v>
      </c>
      <c r="AI13" s="85">
        <v>0</v>
      </c>
      <c r="AJ13" s="85">
        <v>0</v>
      </c>
      <c r="AK13" s="85">
        <v>0</v>
      </c>
      <c r="AL13" s="85">
        <v>0</v>
      </c>
      <c r="AM13" s="85">
        <v>0</v>
      </c>
      <c r="AN13" s="85">
        <v>0</v>
      </c>
      <c r="AO13" s="85">
        <v>0</v>
      </c>
      <c r="AP13" s="85">
        <v>0</v>
      </c>
      <c r="AQ13" s="85">
        <v>0</v>
      </c>
      <c r="AR13" s="85">
        <v>0</v>
      </c>
      <c r="AS13" s="85">
        <v>0</v>
      </c>
      <c r="AT13" s="86">
        <v>0</v>
      </c>
    </row>
    <row r="14" spans="2:46" ht="12" customHeight="1" x14ac:dyDescent="0.25">
      <c r="B14" s="84" t="s">
        <v>43</v>
      </c>
      <c r="C14" s="85" t="s">
        <v>42</v>
      </c>
      <c r="D14" s="85" t="s">
        <v>25</v>
      </c>
      <c r="E14" s="85" t="s">
        <v>25</v>
      </c>
      <c r="F14" s="85" t="s">
        <v>89</v>
      </c>
      <c r="G14" s="85" t="s">
        <v>36</v>
      </c>
      <c r="H14" s="85" t="s">
        <v>85</v>
      </c>
      <c r="I14" s="85" t="s">
        <v>25</v>
      </c>
      <c r="J14" s="85">
        <v>1.1000000000000001</v>
      </c>
      <c r="K14" s="85">
        <v>0</v>
      </c>
      <c r="L14" s="85">
        <v>0</v>
      </c>
      <c r="M14" s="85">
        <v>0</v>
      </c>
      <c r="N14" s="85">
        <v>0</v>
      </c>
      <c r="O14" s="85">
        <v>0</v>
      </c>
      <c r="P14" s="85">
        <v>0</v>
      </c>
      <c r="Q14" s="85">
        <v>0</v>
      </c>
      <c r="R14" s="85">
        <v>0</v>
      </c>
      <c r="S14" s="85">
        <v>0</v>
      </c>
      <c r="T14" s="85">
        <v>0.53647213111906999</v>
      </c>
      <c r="U14" s="85">
        <v>0.56131559144816401</v>
      </c>
      <c r="V14" s="85">
        <v>0</v>
      </c>
      <c r="W14" s="85">
        <v>0</v>
      </c>
      <c r="X14" s="85">
        <v>0</v>
      </c>
      <c r="Y14" s="85">
        <v>0</v>
      </c>
      <c r="Z14" s="85">
        <v>0</v>
      </c>
      <c r="AA14" s="85">
        <v>0</v>
      </c>
      <c r="AB14" s="85">
        <v>0</v>
      </c>
      <c r="AC14" s="85">
        <v>0</v>
      </c>
      <c r="AD14" s="85">
        <v>0</v>
      </c>
      <c r="AE14" s="85">
        <v>0</v>
      </c>
      <c r="AF14" s="85">
        <v>0</v>
      </c>
      <c r="AG14" s="85">
        <v>0</v>
      </c>
      <c r="AH14" s="85">
        <v>0</v>
      </c>
      <c r="AI14" s="85">
        <v>0</v>
      </c>
      <c r="AJ14" s="85">
        <v>0</v>
      </c>
      <c r="AK14" s="85">
        <v>0</v>
      </c>
      <c r="AL14" s="85">
        <v>0</v>
      </c>
      <c r="AM14" s="85">
        <v>0</v>
      </c>
      <c r="AN14" s="85">
        <v>0</v>
      </c>
      <c r="AO14" s="85">
        <v>0</v>
      </c>
      <c r="AP14" s="85">
        <v>0</v>
      </c>
      <c r="AQ14" s="85">
        <v>0</v>
      </c>
      <c r="AR14" s="85">
        <v>0</v>
      </c>
      <c r="AS14" s="85">
        <v>0</v>
      </c>
      <c r="AT14" s="86">
        <v>0</v>
      </c>
    </row>
    <row r="15" spans="2:46" ht="12" customHeight="1" x14ac:dyDescent="0.25">
      <c r="B15" s="84" t="s">
        <v>43</v>
      </c>
      <c r="C15" s="85" t="s">
        <v>42</v>
      </c>
      <c r="D15" s="85" t="s">
        <v>25</v>
      </c>
      <c r="E15" s="85" t="s">
        <v>25</v>
      </c>
      <c r="F15" s="85" t="s">
        <v>89</v>
      </c>
      <c r="G15" s="85" t="s">
        <v>37</v>
      </c>
      <c r="H15" s="85" t="s">
        <v>82</v>
      </c>
      <c r="I15" s="85" t="s">
        <v>25</v>
      </c>
      <c r="J15" s="85">
        <v>-0.42</v>
      </c>
      <c r="K15" s="85">
        <v>0</v>
      </c>
      <c r="L15" s="85">
        <v>0</v>
      </c>
      <c r="M15" s="85">
        <v>0</v>
      </c>
      <c r="N15" s="85">
        <v>0</v>
      </c>
      <c r="O15" s="85">
        <v>0</v>
      </c>
      <c r="P15" s="85">
        <v>0</v>
      </c>
      <c r="Q15" s="85">
        <v>0</v>
      </c>
      <c r="R15" s="85">
        <v>0</v>
      </c>
      <c r="S15" s="85">
        <v>0</v>
      </c>
      <c r="T15" s="85">
        <v>0</v>
      </c>
      <c r="U15" s="85">
        <v>0</v>
      </c>
      <c r="V15" s="85">
        <v>0</v>
      </c>
      <c r="W15" s="85">
        <v>0</v>
      </c>
      <c r="X15" s="85">
        <v>0</v>
      </c>
      <c r="Y15" s="85">
        <v>0</v>
      </c>
      <c r="Z15" s="85">
        <v>0</v>
      </c>
      <c r="AA15" s="85">
        <v>0</v>
      </c>
      <c r="AB15" s="85">
        <v>0</v>
      </c>
      <c r="AC15" s="85">
        <v>0</v>
      </c>
      <c r="AD15" s="85">
        <v>0</v>
      </c>
      <c r="AE15" s="85">
        <v>-0.173075813198836</v>
      </c>
      <c r="AF15" s="85">
        <v>-8.0028640681226899E-3</v>
      </c>
      <c r="AG15" s="85">
        <v>-0.23534046261012001</v>
      </c>
      <c r="AH15" s="85">
        <v>0</v>
      </c>
      <c r="AI15" s="85">
        <v>0</v>
      </c>
      <c r="AJ15" s="85">
        <v>0</v>
      </c>
      <c r="AK15" s="85">
        <v>0</v>
      </c>
      <c r="AL15" s="85">
        <v>0</v>
      </c>
      <c r="AM15" s="85">
        <v>0</v>
      </c>
      <c r="AN15" s="85">
        <v>0</v>
      </c>
      <c r="AO15" s="85">
        <v>0</v>
      </c>
      <c r="AP15" s="85">
        <v>0</v>
      </c>
      <c r="AQ15" s="85">
        <v>0</v>
      </c>
      <c r="AR15" s="85">
        <v>0</v>
      </c>
      <c r="AS15" s="85">
        <v>0</v>
      </c>
      <c r="AT15" s="86">
        <v>0</v>
      </c>
    </row>
    <row r="16" spans="2:46" ht="12" customHeight="1" x14ac:dyDescent="0.25">
      <c r="B16" s="84" t="s">
        <v>43</v>
      </c>
      <c r="C16" s="85" t="s">
        <v>42</v>
      </c>
      <c r="D16" s="85" t="s">
        <v>25</v>
      </c>
      <c r="E16" s="85" t="s">
        <v>25</v>
      </c>
      <c r="F16" s="85" t="s">
        <v>89</v>
      </c>
      <c r="G16" s="85" t="s">
        <v>37</v>
      </c>
      <c r="H16" s="85" t="s">
        <v>85</v>
      </c>
      <c r="I16" s="85" t="s">
        <v>25</v>
      </c>
      <c r="J16" s="85">
        <v>0.87</v>
      </c>
      <c r="K16" s="85">
        <v>0</v>
      </c>
      <c r="L16" s="85">
        <v>0</v>
      </c>
      <c r="M16" s="85">
        <v>0</v>
      </c>
      <c r="N16" s="85">
        <v>0</v>
      </c>
      <c r="O16" s="85">
        <v>0</v>
      </c>
      <c r="P16" s="85">
        <v>0</v>
      </c>
      <c r="Q16" s="85">
        <v>0</v>
      </c>
      <c r="R16" s="85">
        <v>0</v>
      </c>
      <c r="S16" s="85">
        <v>0</v>
      </c>
      <c r="T16" s="85">
        <v>0.40277383590867599</v>
      </c>
      <c r="U16" s="85">
        <v>0.464325720699587</v>
      </c>
      <c r="V16" s="85">
        <v>0</v>
      </c>
      <c r="W16" s="85">
        <v>0</v>
      </c>
      <c r="X16" s="85">
        <v>0</v>
      </c>
      <c r="Y16" s="85">
        <v>0</v>
      </c>
      <c r="Z16" s="85">
        <v>0</v>
      </c>
      <c r="AA16" s="85">
        <v>0</v>
      </c>
      <c r="AB16" s="85">
        <v>0</v>
      </c>
      <c r="AC16" s="85">
        <v>0</v>
      </c>
      <c r="AD16" s="85">
        <v>0</v>
      </c>
      <c r="AE16" s="85">
        <v>0</v>
      </c>
      <c r="AF16" s="85">
        <v>0</v>
      </c>
      <c r="AG16" s="85">
        <v>0</v>
      </c>
      <c r="AH16" s="85">
        <v>0</v>
      </c>
      <c r="AI16" s="85">
        <v>0</v>
      </c>
      <c r="AJ16" s="85">
        <v>0</v>
      </c>
      <c r="AK16" s="85">
        <v>0</v>
      </c>
      <c r="AL16" s="85">
        <v>0</v>
      </c>
      <c r="AM16" s="85">
        <v>0</v>
      </c>
      <c r="AN16" s="85">
        <v>0</v>
      </c>
      <c r="AO16" s="85">
        <v>0</v>
      </c>
      <c r="AP16" s="85">
        <v>0</v>
      </c>
      <c r="AQ16" s="85">
        <v>0</v>
      </c>
      <c r="AR16" s="85">
        <v>0</v>
      </c>
      <c r="AS16" s="85">
        <v>0</v>
      </c>
      <c r="AT16" s="86">
        <v>0</v>
      </c>
    </row>
    <row r="17" spans="2:46" ht="12" customHeight="1" x14ac:dyDescent="0.25">
      <c r="B17" s="84" t="s">
        <v>43</v>
      </c>
      <c r="C17" s="85" t="s">
        <v>42</v>
      </c>
      <c r="D17" s="85" t="s">
        <v>25</v>
      </c>
      <c r="E17" s="85" t="s">
        <v>25</v>
      </c>
      <c r="F17" s="85" t="s">
        <v>25</v>
      </c>
      <c r="G17" s="85" t="s">
        <v>36</v>
      </c>
      <c r="H17" s="85" t="s">
        <v>82</v>
      </c>
      <c r="I17" s="85" t="s">
        <v>25</v>
      </c>
      <c r="J17" s="85">
        <v>17.03</v>
      </c>
      <c r="K17" s="85">
        <v>-3.36</v>
      </c>
      <c r="L17" s="85">
        <v>0.71544118618658703</v>
      </c>
      <c r="M17" s="85">
        <v>0</v>
      </c>
      <c r="N17" s="85">
        <v>0</v>
      </c>
      <c r="O17" s="85">
        <v>0</v>
      </c>
      <c r="P17" s="85">
        <v>0</v>
      </c>
      <c r="Q17" s="85">
        <v>11.6873486265071</v>
      </c>
      <c r="R17" s="85">
        <v>5.0442222398398497</v>
      </c>
      <c r="S17" s="85">
        <v>0</v>
      </c>
      <c r="T17" s="85">
        <v>0</v>
      </c>
      <c r="U17" s="85">
        <v>0</v>
      </c>
      <c r="V17" s="85">
        <v>0</v>
      </c>
      <c r="W17" s="85">
        <v>0</v>
      </c>
      <c r="X17" s="85">
        <v>0</v>
      </c>
      <c r="Y17" s="85">
        <v>0</v>
      </c>
      <c r="Z17" s="85">
        <v>0</v>
      </c>
      <c r="AA17" s="85">
        <v>0</v>
      </c>
      <c r="AB17" s="85">
        <v>0</v>
      </c>
      <c r="AC17" s="85">
        <v>0</v>
      </c>
      <c r="AD17" s="85">
        <v>0</v>
      </c>
      <c r="AE17" s="85">
        <v>-0.173075813198836</v>
      </c>
      <c r="AF17" s="85">
        <v>-8.0028640681226899E-3</v>
      </c>
      <c r="AG17" s="85">
        <v>-0.23534046261012001</v>
      </c>
      <c r="AH17" s="85">
        <v>0</v>
      </c>
      <c r="AI17" s="85">
        <v>0.19271942271975201</v>
      </c>
      <c r="AJ17" s="85">
        <v>0</v>
      </c>
      <c r="AK17" s="85">
        <v>0</v>
      </c>
      <c r="AL17" s="85">
        <v>0.76173421496990001</v>
      </c>
      <c r="AM17" s="85">
        <v>0</v>
      </c>
      <c r="AN17" s="85">
        <v>-4.25417992159303</v>
      </c>
      <c r="AO17" s="85">
        <v>0</v>
      </c>
      <c r="AP17" s="85">
        <v>0</v>
      </c>
      <c r="AQ17" s="85">
        <v>0</v>
      </c>
      <c r="AR17" s="85">
        <v>0</v>
      </c>
      <c r="AS17" s="85">
        <v>0</v>
      </c>
      <c r="AT17" s="86">
        <v>-6.0737879282617299E-2</v>
      </c>
    </row>
    <row r="18" spans="2:46" ht="12" customHeight="1" x14ac:dyDescent="0.25">
      <c r="B18" s="84" t="s">
        <v>43</v>
      </c>
      <c r="C18" s="85" t="s">
        <v>42</v>
      </c>
      <c r="D18" s="85" t="s">
        <v>25</v>
      </c>
      <c r="E18" s="85" t="s">
        <v>25</v>
      </c>
      <c r="F18" s="85" t="s">
        <v>25</v>
      </c>
      <c r="G18" s="85" t="s">
        <v>36</v>
      </c>
      <c r="H18" s="85" t="s">
        <v>85</v>
      </c>
      <c r="I18" s="85" t="s">
        <v>25</v>
      </c>
      <c r="J18" s="85">
        <v>1.1000000000000001</v>
      </c>
      <c r="K18" s="85">
        <v>0</v>
      </c>
      <c r="L18" s="85">
        <v>0</v>
      </c>
      <c r="M18" s="85">
        <v>0</v>
      </c>
      <c r="N18" s="85">
        <v>0</v>
      </c>
      <c r="O18" s="85">
        <v>0</v>
      </c>
      <c r="P18" s="85">
        <v>0</v>
      </c>
      <c r="Q18" s="85">
        <v>0</v>
      </c>
      <c r="R18" s="85">
        <v>0</v>
      </c>
      <c r="S18" s="85">
        <v>0</v>
      </c>
      <c r="T18" s="85">
        <v>0.53647213111906999</v>
      </c>
      <c r="U18" s="85">
        <v>0.56131559144816401</v>
      </c>
      <c r="V18" s="85">
        <v>0</v>
      </c>
      <c r="W18" s="85">
        <v>0</v>
      </c>
      <c r="X18" s="85">
        <v>0</v>
      </c>
      <c r="Y18" s="85">
        <v>0</v>
      </c>
      <c r="Z18" s="85">
        <v>0</v>
      </c>
      <c r="AA18" s="85">
        <v>0</v>
      </c>
      <c r="AB18" s="85">
        <v>0</v>
      </c>
      <c r="AC18" s="85">
        <v>0</v>
      </c>
      <c r="AD18" s="85">
        <v>0</v>
      </c>
      <c r="AE18" s="85">
        <v>0</v>
      </c>
      <c r="AF18" s="85">
        <v>0</v>
      </c>
      <c r="AG18" s="85">
        <v>0</v>
      </c>
      <c r="AH18" s="85">
        <v>0</v>
      </c>
      <c r="AI18" s="85">
        <v>0</v>
      </c>
      <c r="AJ18" s="85">
        <v>0</v>
      </c>
      <c r="AK18" s="85">
        <v>0</v>
      </c>
      <c r="AL18" s="85">
        <v>0</v>
      </c>
      <c r="AM18" s="85">
        <v>0</v>
      </c>
      <c r="AN18" s="85">
        <v>0</v>
      </c>
      <c r="AO18" s="85">
        <v>0</v>
      </c>
      <c r="AP18" s="85">
        <v>0</v>
      </c>
      <c r="AQ18" s="85">
        <v>0</v>
      </c>
      <c r="AR18" s="85">
        <v>0</v>
      </c>
      <c r="AS18" s="85">
        <v>0</v>
      </c>
      <c r="AT18" s="86">
        <v>0</v>
      </c>
    </row>
    <row r="19" spans="2:46" ht="12" customHeight="1" x14ac:dyDescent="0.25">
      <c r="B19" s="84" t="s">
        <v>43</v>
      </c>
      <c r="C19" s="85" t="s">
        <v>42</v>
      </c>
      <c r="D19" s="85" t="s">
        <v>25</v>
      </c>
      <c r="E19" s="85" t="s">
        <v>25</v>
      </c>
      <c r="F19" s="85" t="s">
        <v>25</v>
      </c>
      <c r="G19" s="85" t="s">
        <v>37</v>
      </c>
      <c r="H19" s="85" t="s">
        <v>82</v>
      </c>
      <c r="I19" s="85" t="s">
        <v>25</v>
      </c>
      <c r="J19" s="85">
        <v>17.03</v>
      </c>
      <c r="K19" s="85">
        <v>-1.58</v>
      </c>
      <c r="L19" s="85">
        <v>0.71544118618658703</v>
      </c>
      <c r="M19" s="85">
        <v>0</v>
      </c>
      <c r="N19" s="85">
        <v>0</v>
      </c>
      <c r="O19" s="85">
        <v>0</v>
      </c>
      <c r="P19" s="85">
        <v>0</v>
      </c>
      <c r="Q19" s="85">
        <v>11.6873486265071</v>
      </c>
      <c r="R19" s="85">
        <v>5.0442222398398497</v>
      </c>
      <c r="S19" s="85">
        <v>0</v>
      </c>
      <c r="T19" s="85">
        <v>0</v>
      </c>
      <c r="U19" s="85">
        <v>0</v>
      </c>
      <c r="V19" s="85">
        <v>0</v>
      </c>
      <c r="W19" s="85">
        <v>0</v>
      </c>
      <c r="X19" s="85">
        <v>0</v>
      </c>
      <c r="Y19" s="85">
        <v>0</v>
      </c>
      <c r="Z19" s="85">
        <v>0</v>
      </c>
      <c r="AA19" s="85">
        <v>0</v>
      </c>
      <c r="AB19" s="85">
        <v>0</v>
      </c>
      <c r="AC19" s="85">
        <v>0</v>
      </c>
      <c r="AD19" s="85">
        <v>0</v>
      </c>
      <c r="AE19" s="85">
        <v>-0.173075813198836</v>
      </c>
      <c r="AF19" s="85">
        <v>-8.0028640681226899E-3</v>
      </c>
      <c r="AG19" s="85">
        <v>-0.23534046261012001</v>
      </c>
      <c r="AH19" s="85">
        <v>0</v>
      </c>
      <c r="AI19" s="85">
        <v>0.19271942271975201</v>
      </c>
      <c r="AJ19" s="85">
        <v>0</v>
      </c>
      <c r="AK19" s="85">
        <v>0</v>
      </c>
      <c r="AL19" s="85">
        <v>0.76173421496990001</v>
      </c>
      <c r="AM19" s="85">
        <v>0</v>
      </c>
      <c r="AN19" s="85">
        <v>-2.4733604195308301</v>
      </c>
      <c r="AO19" s="85">
        <v>0</v>
      </c>
      <c r="AP19" s="85">
        <v>0</v>
      </c>
      <c r="AQ19" s="85">
        <v>0</v>
      </c>
      <c r="AR19" s="85">
        <v>0</v>
      </c>
      <c r="AS19" s="85">
        <v>0</v>
      </c>
      <c r="AT19" s="86">
        <v>-6.0737879282617299E-2</v>
      </c>
    </row>
    <row r="20" spans="2:46" ht="12" customHeight="1" x14ac:dyDescent="0.25">
      <c r="B20" s="84" t="s">
        <v>43</v>
      </c>
      <c r="C20" s="85" t="s">
        <v>42</v>
      </c>
      <c r="D20" s="85" t="s">
        <v>25</v>
      </c>
      <c r="E20" s="85" t="s">
        <v>25</v>
      </c>
      <c r="F20" s="85" t="s">
        <v>25</v>
      </c>
      <c r="G20" s="85" t="s">
        <v>37</v>
      </c>
      <c r="H20" s="85" t="s">
        <v>85</v>
      </c>
      <c r="I20" s="85" t="s">
        <v>25</v>
      </c>
      <c r="J20" s="85">
        <v>0.87</v>
      </c>
      <c r="K20" s="85">
        <v>0</v>
      </c>
      <c r="L20" s="85">
        <v>0</v>
      </c>
      <c r="M20" s="85">
        <v>0</v>
      </c>
      <c r="N20" s="85">
        <v>0</v>
      </c>
      <c r="O20" s="85">
        <v>0</v>
      </c>
      <c r="P20" s="85">
        <v>0</v>
      </c>
      <c r="Q20" s="85">
        <v>0</v>
      </c>
      <c r="R20" s="85">
        <v>0</v>
      </c>
      <c r="S20" s="85">
        <v>0</v>
      </c>
      <c r="T20" s="85">
        <v>0.40277383590867599</v>
      </c>
      <c r="U20" s="85">
        <v>0.464325720699587</v>
      </c>
      <c r="V20" s="85">
        <v>0</v>
      </c>
      <c r="W20" s="85">
        <v>0</v>
      </c>
      <c r="X20" s="85">
        <v>0</v>
      </c>
      <c r="Y20" s="85">
        <v>0</v>
      </c>
      <c r="Z20" s="85">
        <v>0</v>
      </c>
      <c r="AA20" s="85">
        <v>0</v>
      </c>
      <c r="AB20" s="85">
        <v>0</v>
      </c>
      <c r="AC20" s="85">
        <v>0</v>
      </c>
      <c r="AD20" s="85">
        <v>0</v>
      </c>
      <c r="AE20" s="85">
        <v>0</v>
      </c>
      <c r="AF20" s="85">
        <v>0</v>
      </c>
      <c r="AG20" s="85">
        <v>0</v>
      </c>
      <c r="AH20" s="85">
        <v>0</v>
      </c>
      <c r="AI20" s="85">
        <v>0</v>
      </c>
      <c r="AJ20" s="85">
        <v>0</v>
      </c>
      <c r="AK20" s="85">
        <v>0</v>
      </c>
      <c r="AL20" s="85">
        <v>0</v>
      </c>
      <c r="AM20" s="85">
        <v>0</v>
      </c>
      <c r="AN20" s="85">
        <v>0</v>
      </c>
      <c r="AO20" s="85">
        <v>0</v>
      </c>
      <c r="AP20" s="85">
        <v>0</v>
      </c>
      <c r="AQ20" s="85">
        <v>0</v>
      </c>
      <c r="AR20" s="85">
        <v>0</v>
      </c>
      <c r="AS20" s="85">
        <v>0</v>
      </c>
      <c r="AT20" s="86">
        <v>0</v>
      </c>
    </row>
    <row r="21" spans="2:46" ht="12" customHeight="1" x14ac:dyDescent="0.25">
      <c r="B21" s="84" t="s">
        <v>43</v>
      </c>
      <c r="C21" s="85" t="s">
        <v>23</v>
      </c>
      <c r="D21" s="85" t="s">
        <v>25</v>
      </c>
      <c r="E21" s="85" t="s">
        <v>25</v>
      </c>
      <c r="F21" s="85" t="s">
        <v>25</v>
      </c>
      <c r="G21" s="85" t="s">
        <v>25</v>
      </c>
      <c r="H21" s="85" t="s">
        <v>82</v>
      </c>
      <c r="I21" s="85" t="s">
        <v>25</v>
      </c>
      <c r="J21" s="85">
        <v>0</v>
      </c>
      <c r="K21" s="85">
        <v>-1.73</v>
      </c>
      <c r="L21" s="85">
        <v>0</v>
      </c>
      <c r="M21" s="85">
        <v>0</v>
      </c>
      <c r="N21" s="85">
        <v>0</v>
      </c>
      <c r="O21" s="85">
        <v>0</v>
      </c>
      <c r="P21" s="85">
        <v>0</v>
      </c>
      <c r="Q21" s="85">
        <v>0</v>
      </c>
      <c r="R21" s="85">
        <v>0</v>
      </c>
      <c r="S21" s="85">
        <v>0</v>
      </c>
      <c r="T21" s="85">
        <v>0</v>
      </c>
      <c r="U21" s="85">
        <v>0</v>
      </c>
      <c r="V21" s="85">
        <v>0</v>
      </c>
      <c r="W21" s="85">
        <v>0</v>
      </c>
      <c r="X21" s="85">
        <v>0</v>
      </c>
      <c r="Y21" s="85">
        <v>0</v>
      </c>
      <c r="Z21" s="85">
        <v>0</v>
      </c>
      <c r="AA21" s="85">
        <v>0</v>
      </c>
      <c r="AB21" s="85">
        <v>0</v>
      </c>
      <c r="AC21" s="85">
        <v>0</v>
      </c>
      <c r="AD21" s="85">
        <v>0</v>
      </c>
      <c r="AE21" s="85">
        <v>0</v>
      </c>
      <c r="AF21" s="85">
        <v>0</v>
      </c>
      <c r="AG21" s="85">
        <v>0</v>
      </c>
      <c r="AH21" s="85">
        <v>0</v>
      </c>
      <c r="AI21" s="85">
        <v>0.19271942271975201</v>
      </c>
      <c r="AJ21" s="85">
        <v>0</v>
      </c>
      <c r="AK21" s="85">
        <v>0</v>
      </c>
      <c r="AL21" s="85">
        <v>0.76173421496990001</v>
      </c>
      <c r="AM21" s="85">
        <v>0</v>
      </c>
      <c r="AN21" s="85">
        <v>-2.6217620447026802</v>
      </c>
      <c r="AO21" s="85">
        <v>0</v>
      </c>
      <c r="AP21" s="85">
        <v>0</v>
      </c>
      <c r="AQ21" s="85">
        <v>0</v>
      </c>
      <c r="AR21" s="85">
        <v>0</v>
      </c>
      <c r="AS21" s="85">
        <v>0</v>
      </c>
      <c r="AT21" s="86">
        <v>-6.0737879282617299E-2</v>
      </c>
    </row>
    <row r="22" spans="2:46" ht="12" customHeight="1" x14ac:dyDescent="0.25">
      <c r="B22" s="84" t="s">
        <v>43</v>
      </c>
      <c r="C22" s="85" t="s">
        <v>91</v>
      </c>
      <c r="D22" s="85" t="s">
        <v>25</v>
      </c>
      <c r="E22" s="85" t="s">
        <v>25</v>
      </c>
      <c r="F22" s="85" t="s">
        <v>25</v>
      </c>
      <c r="G22" s="85" t="s">
        <v>25</v>
      </c>
      <c r="H22" s="85" t="s">
        <v>85</v>
      </c>
      <c r="I22" s="85" t="s">
        <v>25</v>
      </c>
      <c r="J22" s="85">
        <v>0</v>
      </c>
      <c r="K22" s="85">
        <v>0</v>
      </c>
      <c r="L22" s="85">
        <v>0</v>
      </c>
      <c r="M22" s="85">
        <v>0</v>
      </c>
      <c r="N22" s="85">
        <v>0</v>
      </c>
      <c r="O22" s="85">
        <v>0</v>
      </c>
      <c r="P22" s="85">
        <v>0</v>
      </c>
      <c r="Q22" s="85">
        <v>0</v>
      </c>
      <c r="R22" s="85">
        <v>0</v>
      </c>
      <c r="S22" s="85">
        <v>0</v>
      </c>
      <c r="T22" s="85">
        <v>0</v>
      </c>
      <c r="U22" s="85">
        <v>0</v>
      </c>
      <c r="V22" s="85">
        <v>0</v>
      </c>
      <c r="W22" s="85">
        <v>0</v>
      </c>
      <c r="X22" s="85">
        <v>0</v>
      </c>
      <c r="Y22" s="85">
        <v>0</v>
      </c>
      <c r="Z22" s="85">
        <v>0</v>
      </c>
      <c r="AA22" s="85">
        <v>0</v>
      </c>
      <c r="AB22" s="85">
        <v>0</v>
      </c>
      <c r="AC22" s="85">
        <v>0</v>
      </c>
      <c r="AD22" s="85">
        <v>0</v>
      </c>
      <c r="AE22" s="85">
        <v>0</v>
      </c>
      <c r="AF22" s="85">
        <v>0</v>
      </c>
      <c r="AG22" s="85">
        <v>0</v>
      </c>
      <c r="AH22" s="85">
        <v>0</v>
      </c>
      <c r="AI22" s="85">
        <v>0</v>
      </c>
      <c r="AJ22" s="85">
        <v>0</v>
      </c>
      <c r="AK22" s="85">
        <v>0</v>
      </c>
      <c r="AL22" s="85">
        <v>0</v>
      </c>
      <c r="AM22" s="85">
        <v>0</v>
      </c>
      <c r="AN22" s="85">
        <v>0</v>
      </c>
      <c r="AO22" s="85">
        <v>0</v>
      </c>
      <c r="AP22" s="85">
        <v>0</v>
      </c>
      <c r="AQ22" s="85">
        <v>0</v>
      </c>
      <c r="AR22" s="85">
        <v>0</v>
      </c>
      <c r="AS22" s="85">
        <v>0</v>
      </c>
      <c r="AT22" s="86">
        <v>0</v>
      </c>
    </row>
    <row r="23" spans="2:46" ht="12" customHeight="1" x14ac:dyDescent="0.25">
      <c r="B23" s="84" t="s">
        <v>43</v>
      </c>
      <c r="C23" s="85" t="s">
        <v>44</v>
      </c>
      <c r="D23" s="85" t="s">
        <v>25</v>
      </c>
      <c r="E23" s="85" t="s">
        <v>25</v>
      </c>
      <c r="F23" s="85" t="s">
        <v>89</v>
      </c>
      <c r="G23" s="85" t="s">
        <v>36</v>
      </c>
      <c r="H23" s="85" t="s">
        <v>82</v>
      </c>
      <c r="I23" s="85" t="s">
        <v>25</v>
      </c>
      <c r="J23" s="85">
        <v>25.99</v>
      </c>
      <c r="K23" s="85">
        <v>0</v>
      </c>
      <c r="L23" s="85">
        <v>0</v>
      </c>
      <c r="M23" s="85">
        <v>0</v>
      </c>
      <c r="N23" s="85">
        <v>0</v>
      </c>
      <c r="O23" s="85">
        <v>0</v>
      </c>
      <c r="P23" s="85">
        <v>0</v>
      </c>
      <c r="Q23" s="85">
        <v>0</v>
      </c>
      <c r="R23" s="85">
        <v>0</v>
      </c>
      <c r="S23" s="85">
        <v>0</v>
      </c>
      <c r="T23" s="85">
        <v>12.9022893862189</v>
      </c>
      <c r="U23" s="85">
        <v>13.4995472584342</v>
      </c>
      <c r="V23" s="85">
        <v>0</v>
      </c>
      <c r="W23" s="85">
        <v>0</v>
      </c>
      <c r="X23" s="85">
        <v>0</v>
      </c>
      <c r="Y23" s="85">
        <v>0</v>
      </c>
      <c r="Z23" s="85">
        <v>0</v>
      </c>
      <c r="AA23" s="85">
        <v>0</v>
      </c>
      <c r="AB23" s="85">
        <v>0</v>
      </c>
      <c r="AC23" s="85">
        <v>0</v>
      </c>
      <c r="AD23" s="85">
        <v>0</v>
      </c>
      <c r="AE23" s="85">
        <v>-0.173075813198836</v>
      </c>
      <c r="AF23" s="85">
        <v>-8.0028640681226899E-3</v>
      </c>
      <c r="AG23" s="85">
        <v>-0.23534046261012001</v>
      </c>
      <c r="AH23" s="85">
        <v>0</v>
      </c>
      <c r="AI23" s="85">
        <v>0</v>
      </c>
      <c r="AJ23" s="85">
        <v>0</v>
      </c>
      <c r="AK23" s="85">
        <v>0</v>
      </c>
      <c r="AL23" s="85">
        <v>0</v>
      </c>
      <c r="AM23" s="85">
        <v>0</v>
      </c>
      <c r="AN23" s="85">
        <v>0</v>
      </c>
      <c r="AO23" s="85">
        <v>0</v>
      </c>
      <c r="AP23" s="85">
        <v>0</v>
      </c>
      <c r="AQ23" s="85">
        <v>0</v>
      </c>
      <c r="AR23" s="85">
        <v>0</v>
      </c>
      <c r="AS23" s="85">
        <v>0</v>
      </c>
      <c r="AT23" s="86">
        <v>0</v>
      </c>
    </row>
    <row r="24" spans="2:46" ht="12" customHeight="1" x14ac:dyDescent="0.25">
      <c r="B24" s="84" t="s">
        <v>43</v>
      </c>
      <c r="C24" s="85" t="s">
        <v>44</v>
      </c>
      <c r="D24" s="85" t="s">
        <v>25</v>
      </c>
      <c r="E24" s="85" t="s">
        <v>25</v>
      </c>
      <c r="F24" s="85" t="s">
        <v>89</v>
      </c>
      <c r="G24" s="85" t="s">
        <v>25</v>
      </c>
      <c r="H24" s="85" t="s">
        <v>85</v>
      </c>
      <c r="I24" s="85" t="s">
        <v>25</v>
      </c>
      <c r="J24" s="85">
        <v>0.87</v>
      </c>
      <c r="K24" s="85">
        <v>0</v>
      </c>
      <c r="L24" s="85">
        <v>0</v>
      </c>
      <c r="M24" s="85">
        <v>0</v>
      </c>
      <c r="N24" s="85">
        <v>0</v>
      </c>
      <c r="O24" s="85">
        <v>0</v>
      </c>
      <c r="P24" s="85">
        <v>0</v>
      </c>
      <c r="Q24" s="85">
        <v>0</v>
      </c>
      <c r="R24" s="85">
        <v>0</v>
      </c>
      <c r="S24" s="85">
        <v>0</v>
      </c>
      <c r="T24" s="85">
        <v>0.40277383590867599</v>
      </c>
      <c r="U24" s="85">
        <v>0.464325720699587</v>
      </c>
      <c r="V24" s="85">
        <v>0</v>
      </c>
      <c r="W24" s="85">
        <v>0</v>
      </c>
      <c r="X24" s="85">
        <v>0</v>
      </c>
      <c r="Y24" s="85">
        <v>0</v>
      </c>
      <c r="Z24" s="85">
        <v>0</v>
      </c>
      <c r="AA24" s="85">
        <v>0</v>
      </c>
      <c r="AB24" s="85">
        <v>0</v>
      </c>
      <c r="AC24" s="85">
        <v>0</v>
      </c>
      <c r="AD24" s="85">
        <v>0</v>
      </c>
      <c r="AE24" s="85">
        <v>0</v>
      </c>
      <c r="AF24" s="85">
        <v>0</v>
      </c>
      <c r="AG24" s="85">
        <v>0</v>
      </c>
      <c r="AH24" s="85">
        <v>0</v>
      </c>
      <c r="AI24" s="85">
        <v>0</v>
      </c>
      <c r="AJ24" s="85">
        <v>0</v>
      </c>
      <c r="AK24" s="85">
        <v>0</v>
      </c>
      <c r="AL24" s="85">
        <v>0</v>
      </c>
      <c r="AM24" s="85">
        <v>0</v>
      </c>
      <c r="AN24" s="85">
        <v>0</v>
      </c>
      <c r="AO24" s="85">
        <v>0</v>
      </c>
      <c r="AP24" s="85">
        <v>0</v>
      </c>
      <c r="AQ24" s="85">
        <v>0</v>
      </c>
      <c r="AR24" s="85">
        <v>0</v>
      </c>
      <c r="AS24" s="85">
        <v>0</v>
      </c>
      <c r="AT24" s="86">
        <v>0</v>
      </c>
    </row>
    <row r="25" spans="2:46" ht="12" customHeight="1" x14ac:dyDescent="0.25">
      <c r="B25" s="84" t="s">
        <v>43</v>
      </c>
      <c r="C25" s="85" t="s">
        <v>44</v>
      </c>
      <c r="D25" s="85" t="s">
        <v>25</v>
      </c>
      <c r="E25" s="85" t="s">
        <v>25</v>
      </c>
      <c r="F25" s="85" t="s">
        <v>89</v>
      </c>
      <c r="G25" s="85" t="s">
        <v>37</v>
      </c>
      <c r="H25" s="85" t="s">
        <v>82</v>
      </c>
      <c r="I25" s="85" t="s">
        <v>25</v>
      </c>
      <c r="J25" s="85">
        <v>-0.42</v>
      </c>
      <c r="K25" s="85">
        <v>0</v>
      </c>
      <c r="L25" s="85">
        <v>0</v>
      </c>
      <c r="M25" s="85">
        <v>0</v>
      </c>
      <c r="N25" s="85">
        <v>0</v>
      </c>
      <c r="O25" s="85">
        <v>0</v>
      </c>
      <c r="P25" s="85">
        <v>0</v>
      </c>
      <c r="Q25" s="85">
        <v>0</v>
      </c>
      <c r="R25" s="85">
        <v>0</v>
      </c>
      <c r="S25" s="85">
        <v>0</v>
      </c>
      <c r="T25" s="85">
        <v>0</v>
      </c>
      <c r="U25" s="85">
        <v>0</v>
      </c>
      <c r="V25" s="85">
        <v>0</v>
      </c>
      <c r="W25" s="85">
        <v>0</v>
      </c>
      <c r="X25" s="85">
        <v>0</v>
      </c>
      <c r="Y25" s="85">
        <v>0</v>
      </c>
      <c r="Z25" s="85">
        <v>0</v>
      </c>
      <c r="AA25" s="85">
        <v>0</v>
      </c>
      <c r="AB25" s="85">
        <v>0</v>
      </c>
      <c r="AC25" s="85">
        <v>0</v>
      </c>
      <c r="AD25" s="85">
        <v>0</v>
      </c>
      <c r="AE25" s="85">
        <v>-0.173075813198836</v>
      </c>
      <c r="AF25" s="85">
        <v>-8.0028640681226899E-3</v>
      </c>
      <c r="AG25" s="85">
        <v>-0.23534046261012001</v>
      </c>
      <c r="AH25" s="85">
        <v>0</v>
      </c>
      <c r="AI25" s="85">
        <v>0</v>
      </c>
      <c r="AJ25" s="85">
        <v>0</v>
      </c>
      <c r="AK25" s="85">
        <v>0</v>
      </c>
      <c r="AL25" s="85">
        <v>0</v>
      </c>
      <c r="AM25" s="85">
        <v>0</v>
      </c>
      <c r="AN25" s="85">
        <v>0</v>
      </c>
      <c r="AO25" s="85">
        <v>0</v>
      </c>
      <c r="AP25" s="85">
        <v>0</v>
      </c>
      <c r="AQ25" s="85">
        <v>0</v>
      </c>
      <c r="AR25" s="85">
        <v>0</v>
      </c>
      <c r="AS25" s="85">
        <v>0</v>
      </c>
      <c r="AT25" s="86">
        <v>0</v>
      </c>
    </row>
    <row r="26" spans="2:46" ht="12" customHeight="1" x14ac:dyDescent="0.25">
      <c r="B26" s="84" t="s">
        <v>43</v>
      </c>
      <c r="C26" s="85" t="s">
        <v>44</v>
      </c>
      <c r="D26" s="85" t="s">
        <v>25</v>
      </c>
      <c r="E26" s="85" t="s">
        <v>25</v>
      </c>
      <c r="F26" s="85" t="s">
        <v>25</v>
      </c>
      <c r="G26" s="85" t="s">
        <v>36</v>
      </c>
      <c r="H26" s="85" t="s">
        <v>82</v>
      </c>
      <c r="I26" s="85" t="s">
        <v>25</v>
      </c>
      <c r="J26" s="85">
        <v>43.43</v>
      </c>
      <c r="K26" s="85">
        <v>-3.36</v>
      </c>
      <c r="L26" s="85">
        <v>0.71544118618658703</v>
      </c>
      <c r="M26" s="85">
        <v>0</v>
      </c>
      <c r="N26" s="85">
        <v>0</v>
      </c>
      <c r="O26" s="85">
        <v>0</v>
      </c>
      <c r="P26" s="85">
        <v>0</v>
      </c>
      <c r="Q26" s="85">
        <v>11.6873486265071</v>
      </c>
      <c r="R26" s="85">
        <v>5.0442222398398497</v>
      </c>
      <c r="S26" s="85">
        <v>0</v>
      </c>
      <c r="T26" s="85">
        <v>12.9022893862189</v>
      </c>
      <c r="U26" s="85">
        <v>13.4995472584342</v>
      </c>
      <c r="V26" s="85">
        <v>0</v>
      </c>
      <c r="W26" s="85">
        <v>0</v>
      </c>
      <c r="X26" s="85">
        <v>0</v>
      </c>
      <c r="Y26" s="85">
        <v>0</v>
      </c>
      <c r="Z26" s="85">
        <v>0</v>
      </c>
      <c r="AA26" s="85">
        <v>0</v>
      </c>
      <c r="AB26" s="85">
        <v>0</v>
      </c>
      <c r="AC26" s="85">
        <v>0</v>
      </c>
      <c r="AD26" s="85">
        <v>0</v>
      </c>
      <c r="AE26" s="85">
        <v>-0.173075813198836</v>
      </c>
      <c r="AF26" s="85">
        <v>-8.0028640681226899E-3</v>
      </c>
      <c r="AG26" s="85">
        <v>-0.23534046261012001</v>
      </c>
      <c r="AH26" s="85">
        <v>0</v>
      </c>
      <c r="AI26" s="85">
        <v>0.19271942271975201</v>
      </c>
      <c r="AJ26" s="85">
        <v>0</v>
      </c>
      <c r="AK26" s="85">
        <v>0</v>
      </c>
      <c r="AL26" s="85">
        <v>0.76173421496990001</v>
      </c>
      <c r="AM26" s="85">
        <v>0</v>
      </c>
      <c r="AN26" s="85">
        <v>-4.25417992159303</v>
      </c>
      <c r="AO26" s="85">
        <v>0</v>
      </c>
      <c r="AP26" s="85">
        <v>0</v>
      </c>
      <c r="AQ26" s="85">
        <v>0</v>
      </c>
      <c r="AR26" s="85">
        <v>0</v>
      </c>
      <c r="AS26" s="85">
        <v>0</v>
      </c>
      <c r="AT26" s="86">
        <v>-6.0737879282617299E-2</v>
      </c>
    </row>
    <row r="27" spans="2:46" ht="12" customHeight="1" x14ac:dyDescent="0.25">
      <c r="B27" s="84" t="s">
        <v>43</v>
      </c>
      <c r="C27" s="85" t="s">
        <v>44</v>
      </c>
      <c r="D27" s="85" t="s">
        <v>25</v>
      </c>
      <c r="E27" s="85" t="s">
        <v>25</v>
      </c>
      <c r="F27" s="85" t="s">
        <v>25</v>
      </c>
      <c r="G27" s="85" t="s">
        <v>25</v>
      </c>
      <c r="H27" s="85" t="s">
        <v>85</v>
      </c>
      <c r="I27" s="85" t="s">
        <v>25</v>
      </c>
      <c r="J27" s="85">
        <v>0.87</v>
      </c>
      <c r="K27" s="85">
        <v>0</v>
      </c>
      <c r="L27" s="85">
        <v>0</v>
      </c>
      <c r="M27" s="85">
        <v>0</v>
      </c>
      <c r="N27" s="85">
        <v>0</v>
      </c>
      <c r="O27" s="85">
        <v>0</v>
      </c>
      <c r="P27" s="85">
        <v>0</v>
      </c>
      <c r="Q27" s="85">
        <v>0</v>
      </c>
      <c r="R27" s="85">
        <v>0</v>
      </c>
      <c r="S27" s="85">
        <v>0</v>
      </c>
      <c r="T27" s="85">
        <v>0.40277383590867599</v>
      </c>
      <c r="U27" s="85">
        <v>0.464325720699587</v>
      </c>
      <c r="V27" s="85">
        <v>0</v>
      </c>
      <c r="W27" s="85">
        <v>0</v>
      </c>
      <c r="X27" s="85">
        <v>0</v>
      </c>
      <c r="Y27" s="85">
        <v>0</v>
      </c>
      <c r="Z27" s="85">
        <v>0</v>
      </c>
      <c r="AA27" s="85">
        <v>0</v>
      </c>
      <c r="AB27" s="85">
        <v>0</v>
      </c>
      <c r="AC27" s="85">
        <v>0</v>
      </c>
      <c r="AD27" s="85">
        <v>0</v>
      </c>
      <c r="AE27" s="85">
        <v>0</v>
      </c>
      <c r="AF27" s="85">
        <v>0</v>
      </c>
      <c r="AG27" s="85">
        <v>0</v>
      </c>
      <c r="AH27" s="85">
        <v>0</v>
      </c>
      <c r="AI27" s="85">
        <v>0</v>
      </c>
      <c r="AJ27" s="85">
        <v>0</v>
      </c>
      <c r="AK27" s="85">
        <v>0</v>
      </c>
      <c r="AL27" s="85">
        <v>0</v>
      </c>
      <c r="AM27" s="85">
        <v>0</v>
      </c>
      <c r="AN27" s="85">
        <v>0</v>
      </c>
      <c r="AO27" s="85">
        <v>0</v>
      </c>
      <c r="AP27" s="85">
        <v>0</v>
      </c>
      <c r="AQ27" s="85">
        <v>0</v>
      </c>
      <c r="AR27" s="85">
        <v>0</v>
      </c>
      <c r="AS27" s="85">
        <v>0</v>
      </c>
      <c r="AT27" s="86">
        <v>0</v>
      </c>
    </row>
    <row r="28" spans="2:46" ht="12" customHeight="1" x14ac:dyDescent="0.25">
      <c r="B28" s="84" t="s">
        <v>43</v>
      </c>
      <c r="C28" s="85" t="s">
        <v>44</v>
      </c>
      <c r="D28" s="85" t="s">
        <v>25</v>
      </c>
      <c r="E28" s="85" t="s">
        <v>25</v>
      </c>
      <c r="F28" s="85" t="s">
        <v>25</v>
      </c>
      <c r="G28" s="85" t="s">
        <v>37</v>
      </c>
      <c r="H28" s="85" t="s">
        <v>82</v>
      </c>
      <c r="I28" s="85" t="s">
        <v>25</v>
      </c>
      <c r="J28" s="85">
        <v>17.03</v>
      </c>
      <c r="K28" s="85">
        <v>-1.58</v>
      </c>
      <c r="L28" s="85">
        <v>0.71544118618658703</v>
      </c>
      <c r="M28" s="85">
        <v>0</v>
      </c>
      <c r="N28" s="85">
        <v>0</v>
      </c>
      <c r="O28" s="85">
        <v>0</v>
      </c>
      <c r="P28" s="85">
        <v>0</v>
      </c>
      <c r="Q28" s="85">
        <v>11.6873486265071</v>
      </c>
      <c r="R28" s="85">
        <v>5.0442222398398497</v>
      </c>
      <c r="S28" s="85">
        <v>0</v>
      </c>
      <c r="T28" s="85">
        <v>0</v>
      </c>
      <c r="U28" s="85">
        <v>0</v>
      </c>
      <c r="V28" s="85">
        <v>0</v>
      </c>
      <c r="W28" s="85">
        <v>0</v>
      </c>
      <c r="X28" s="85">
        <v>0</v>
      </c>
      <c r="Y28" s="85">
        <v>0</v>
      </c>
      <c r="Z28" s="85">
        <v>0</v>
      </c>
      <c r="AA28" s="85">
        <v>0</v>
      </c>
      <c r="AB28" s="85">
        <v>0</v>
      </c>
      <c r="AC28" s="85">
        <v>0</v>
      </c>
      <c r="AD28" s="85">
        <v>0</v>
      </c>
      <c r="AE28" s="85">
        <v>-0.173075813198836</v>
      </c>
      <c r="AF28" s="85">
        <v>-8.0028640681226899E-3</v>
      </c>
      <c r="AG28" s="85">
        <v>-0.23534046261012001</v>
      </c>
      <c r="AH28" s="85">
        <v>0</v>
      </c>
      <c r="AI28" s="85">
        <v>0.19271942271975201</v>
      </c>
      <c r="AJ28" s="85">
        <v>0</v>
      </c>
      <c r="AK28" s="85">
        <v>0</v>
      </c>
      <c r="AL28" s="85">
        <v>0.76173421496990001</v>
      </c>
      <c r="AM28" s="85">
        <v>0</v>
      </c>
      <c r="AN28" s="85">
        <v>-2.4733604195308301</v>
      </c>
      <c r="AO28" s="85">
        <v>0</v>
      </c>
      <c r="AP28" s="85">
        <v>0</v>
      </c>
      <c r="AQ28" s="85">
        <v>0</v>
      </c>
      <c r="AR28" s="85">
        <v>0</v>
      </c>
      <c r="AS28" s="85">
        <v>0</v>
      </c>
      <c r="AT28" s="86">
        <v>-6.0737879282617299E-2</v>
      </c>
    </row>
    <row r="29" spans="2:46" ht="12" customHeight="1" x14ac:dyDescent="0.25">
      <c r="B29" s="84" t="s">
        <v>41</v>
      </c>
      <c r="C29" s="85" t="s">
        <v>42</v>
      </c>
      <c r="D29" s="85" t="s">
        <v>25</v>
      </c>
      <c r="E29" s="85" t="s">
        <v>25</v>
      </c>
      <c r="F29" s="85" t="s">
        <v>89</v>
      </c>
      <c r="G29" s="85" t="s">
        <v>36</v>
      </c>
      <c r="H29" s="85" t="s">
        <v>82</v>
      </c>
      <c r="I29" s="85" t="s">
        <v>25</v>
      </c>
      <c r="J29" s="85">
        <v>-0.42</v>
      </c>
      <c r="K29" s="85">
        <v>0</v>
      </c>
      <c r="L29" s="85">
        <v>0</v>
      </c>
      <c r="M29" s="85">
        <v>0</v>
      </c>
      <c r="N29" s="85">
        <v>0</v>
      </c>
      <c r="O29" s="85">
        <v>0</v>
      </c>
      <c r="P29" s="85">
        <v>0</v>
      </c>
      <c r="Q29" s="85">
        <v>0</v>
      </c>
      <c r="R29" s="85">
        <v>0</v>
      </c>
      <c r="S29" s="85">
        <v>0</v>
      </c>
      <c r="T29" s="85">
        <v>0</v>
      </c>
      <c r="U29" s="85">
        <v>0</v>
      </c>
      <c r="V29" s="85">
        <v>0</v>
      </c>
      <c r="W29" s="85">
        <v>0</v>
      </c>
      <c r="X29" s="85">
        <v>0</v>
      </c>
      <c r="Y29" s="85">
        <v>0</v>
      </c>
      <c r="Z29" s="85">
        <v>0</v>
      </c>
      <c r="AA29" s="85">
        <v>0</v>
      </c>
      <c r="AB29" s="85">
        <v>0</v>
      </c>
      <c r="AC29" s="85">
        <v>0</v>
      </c>
      <c r="AD29" s="85">
        <v>0</v>
      </c>
      <c r="AE29" s="85">
        <v>-0.173075813198836</v>
      </c>
      <c r="AF29" s="85">
        <v>-8.0028640681226899E-3</v>
      </c>
      <c r="AG29" s="85">
        <v>-0.23534046261012001</v>
      </c>
      <c r="AH29" s="85">
        <v>0</v>
      </c>
      <c r="AI29" s="85">
        <v>0</v>
      </c>
      <c r="AJ29" s="85">
        <v>0</v>
      </c>
      <c r="AK29" s="85">
        <v>0</v>
      </c>
      <c r="AL29" s="85">
        <v>0</v>
      </c>
      <c r="AM29" s="85">
        <v>0</v>
      </c>
      <c r="AN29" s="85">
        <v>0</v>
      </c>
      <c r="AO29" s="85">
        <v>0</v>
      </c>
      <c r="AP29" s="85">
        <v>0</v>
      </c>
      <c r="AQ29" s="85">
        <v>0</v>
      </c>
      <c r="AR29" s="85">
        <v>0</v>
      </c>
      <c r="AS29" s="85">
        <v>0</v>
      </c>
      <c r="AT29" s="86">
        <v>0</v>
      </c>
    </row>
    <row r="30" spans="2:46" ht="12" customHeight="1" x14ac:dyDescent="0.25">
      <c r="B30" s="84" t="s">
        <v>41</v>
      </c>
      <c r="C30" s="85" t="s">
        <v>42</v>
      </c>
      <c r="D30" s="85" t="s">
        <v>25</v>
      </c>
      <c r="E30" s="85" t="s">
        <v>25</v>
      </c>
      <c r="F30" s="85" t="s">
        <v>89</v>
      </c>
      <c r="G30" s="85" t="s">
        <v>36</v>
      </c>
      <c r="H30" s="85" t="s">
        <v>85</v>
      </c>
      <c r="I30" s="85" t="s">
        <v>25</v>
      </c>
      <c r="J30" s="85">
        <v>1.1000000000000001</v>
      </c>
      <c r="K30" s="85">
        <v>0</v>
      </c>
      <c r="L30" s="85">
        <v>0</v>
      </c>
      <c r="M30" s="85">
        <v>0</v>
      </c>
      <c r="N30" s="85">
        <v>0</v>
      </c>
      <c r="O30" s="85">
        <v>0</v>
      </c>
      <c r="P30" s="85">
        <v>0</v>
      </c>
      <c r="Q30" s="85">
        <v>0</v>
      </c>
      <c r="R30" s="85">
        <v>0</v>
      </c>
      <c r="S30" s="85">
        <v>0</v>
      </c>
      <c r="T30" s="85">
        <v>0.53647213111906999</v>
      </c>
      <c r="U30" s="85">
        <v>0.56131559144816401</v>
      </c>
      <c r="V30" s="85">
        <v>0</v>
      </c>
      <c r="W30" s="85">
        <v>0</v>
      </c>
      <c r="X30" s="85">
        <v>0</v>
      </c>
      <c r="Y30" s="85">
        <v>0</v>
      </c>
      <c r="Z30" s="85">
        <v>0</v>
      </c>
      <c r="AA30" s="85">
        <v>0</v>
      </c>
      <c r="AB30" s="85">
        <v>0</v>
      </c>
      <c r="AC30" s="85">
        <v>0</v>
      </c>
      <c r="AD30" s="85">
        <v>0</v>
      </c>
      <c r="AE30" s="85">
        <v>0</v>
      </c>
      <c r="AF30" s="85">
        <v>0</v>
      </c>
      <c r="AG30" s="85">
        <v>0</v>
      </c>
      <c r="AH30" s="85">
        <v>0</v>
      </c>
      <c r="AI30" s="85">
        <v>0</v>
      </c>
      <c r="AJ30" s="85">
        <v>0</v>
      </c>
      <c r="AK30" s="85">
        <v>0</v>
      </c>
      <c r="AL30" s="85">
        <v>0</v>
      </c>
      <c r="AM30" s="85">
        <v>0</v>
      </c>
      <c r="AN30" s="85">
        <v>0</v>
      </c>
      <c r="AO30" s="85">
        <v>0</v>
      </c>
      <c r="AP30" s="85">
        <v>0</v>
      </c>
      <c r="AQ30" s="85">
        <v>0</v>
      </c>
      <c r="AR30" s="85">
        <v>0</v>
      </c>
      <c r="AS30" s="85">
        <v>0</v>
      </c>
      <c r="AT30" s="86">
        <v>0</v>
      </c>
    </row>
    <row r="31" spans="2:46" ht="12" customHeight="1" x14ac:dyDescent="0.25">
      <c r="B31" s="84" t="s">
        <v>41</v>
      </c>
      <c r="C31" s="85" t="s">
        <v>42</v>
      </c>
      <c r="D31" s="85" t="s">
        <v>25</v>
      </c>
      <c r="E31" s="85" t="s">
        <v>25</v>
      </c>
      <c r="F31" s="85" t="s">
        <v>89</v>
      </c>
      <c r="G31" s="85" t="s">
        <v>37</v>
      </c>
      <c r="H31" s="85" t="s">
        <v>82</v>
      </c>
      <c r="I31" s="85" t="s">
        <v>25</v>
      </c>
      <c r="J31" s="85">
        <v>-0.42</v>
      </c>
      <c r="K31" s="85">
        <v>0</v>
      </c>
      <c r="L31" s="85">
        <v>0</v>
      </c>
      <c r="M31" s="85">
        <v>0</v>
      </c>
      <c r="N31" s="85">
        <v>0</v>
      </c>
      <c r="O31" s="85">
        <v>0</v>
      </c>
      <c r="P31" s="85">
        <v>0</v>
      </c>
      <c r="Q31" s="85">
        <v>0</v>
      </c>
      <c r="R31" s="85">
        <v>0</v>
      </c>
      <c r="S31" s="85">
        <v>0</v>
      </c>
      <c r="T31" s="85">
        <v>0</v>
      </c>
      <c r="U31" s="85">
        <v>0</v>
      </c>
      <c r="V31" s="85">
        <v>0</v>
      </c>
      <c r="W31" s="85">
        <v>0</v>
      </c>
      <c r="X31" s="85">
        <v>0</v>
      </c>
      <c r="Y31" s="85">
        <v>0</v>
      </c>
      <c r="Z31" s="85">
        <v>0</v>
      </c>
      <c r="AA31" s="85">
        <v>0</v>
      </c>
      <c r="AB31" s="85">
        <v>0</v>
      </c>
      <c r="AC31" s="85">
        <v>0</v>
      </c>
      <c r="AD31" s="85">
        <v>0</v>
      </c>
      <c r="AE31" s="85">
        <v>-0.173075813198836</v>
      </c>
      <c r="AF31" s="85">
        <v>-8.0028640681226899E-3</v>
      </c>
      <c r="AG31" s="85">
        <v>-0.23534046261012001</v>
      </c>
      <c r="AH31" s="85">
        <v>0</v>
      </c>
      <c r="AI31" s="85">
        <v>0</v>
      </c>
      <c r="AJ31" s="85">
        <v>0</v>
      </c>
      <c r="AK31" s="85">
        <v>0</v>
      </c>
      <c r="AL31" s="85">
        <v>0</v>
      </c>
      <c r="AM31" s="85">
        <v>0</v>
      </c>
      <c r="AN31" s="85">
        <v>0</v>
      </c>
      <c r="AO31" s="85">
        <v>0</v>
      </c>
      <c r="AP31" s="85">
        <v>0</v>
      </c>
      <c r="AQ31" s="85">
        <v>0</v>
      </c>
      <c r="AR31" s="85">
        <v>0</v>
      </c>
      <c r="AS31" s="85">
        <v>0</v>
      </c>
      <c r="AT31" s="86">
        <v>0</v>
      </c>
    </row>
    <row r="32" spans="2:46" ht="12" customHeight="1" x14ac:dyDescent="0.25">
      <c r="B32" s="84" t="s">
        <v>41</v>
      </c>
      <c r="C32" s="85" t="s">
        <v>42</v>
      </c>
      <c r="D32" s="85" t="s">
        <v>25</v>
      </c>
      <c r="E32" s="85" t="s">
        <v>25</v>
      </c>
      <c r="F32" s="85" t="s">
        <v>89</v>
      </c>
      <c r="G32" s="85" t="s">
        <v>37</v>
      </c>
      <c r="H32" s="85" t="s">
        <v>85</v>
      </c>
      <c r="I32" s="85" t="s">
        <v>25</v>
      </c>
      <c r="J32" s="85">
        <v>0.87</v>
      </c>
      <c r="K32" s="85">
        <v>0</v>
      </c>
      <c r="L32" s="85">
        <v>0</v>
      </c>
      <c r="M32" s="85">
        <v>0</v>
      </c>
      <c r="N32" s="85">
        <v>0</v>
      </c>
      <c r="O32" s="85">
        <v>0</v>
      </c>
      <c r="P32" s="85">
        <v>0</v>
      </c>
      <c r="Q32" s="85">
        <v>0</v>
      </c>
      <c r="R32" s="85">
        <v>0</v>
      </c>
      <c r="S32" s="85">
        <v>0</v>
      </c>
      <c r="T32" s="85">
        <v>0.40277383590867599</v>
      </c>
      <c r="U32" s="85">
        <v>0.464325720699587</v>
      </c>
      <c r="V32" s="85">
        <v>0</v>
      </c>
      <c r="W32" s="85">
        <v>0</v>
      </c>
      <c r="X32" s="85">
        <v>0</v>
      </c>
      <c r="Y32" s="85">
        <v>0</v>
      </c>
      <c r="Z32" s="85">
        <v>0</v>
      </c>
      <c r="AA32" s="85">
        <v>0</v>
      </c>
      <c r="AB32" s="85">
        <v>0</v>
      </c>
      <c r="AC32" s="85">
        <v>0</v>
      </c>
      <c r="AD32" s="85">
        <v>0</v>
      </c>
      <c r="AE32" s="85">
        <v>0</v>
      </c>
      <c r="AF32" s="85">
        <v>0</v>
      </c>
      <c r="AG32" s="85">
        <v>0</v>
      </c>
      <c r="AH32" s="85">
        <v>0</v>
      </c>
      <c r="AI32" s="85">
        <v>0</v>
      </c>
      <c r="AJ32" s="85">
        <v>0</v>
      </c>
      <c r="AK32" s="85">
        <v>0</v>
      </c>
      <c r="AL32" s="85">
        <v>0</v>
      </c>
      <c r="AM32" s="85">
        <v>0</v>
      </c>
      <c r="AN32" s="85">
        <v>0</v>
      </c>
      <c r="AO32" s="85">
        <v>0</v>
      </c>
      <c r="AP32" s="85">
        <v>0</v>
      </c>
      <c r="AQ32" s="85">
        <v>0</v>
      </c>
      <c r="AR32" s="85">
        <v>0</v>
      </c>
      <c r="AS32" s="85">
        <v>0</v>
      </c>
      <c r="AT32" s="86">
        <v>0</v>
      </c>
    </row>
    <row r="33" spans="2:46" ht="12" customHeight="1" x14ac:dyDescent="0.25">
      <c r="B33" s="84" t="s">
        <v>41</v>
      </c>
      <c r="C33" s="85" t="s">
        <v>42</v>
      </c>
      <c r="D33" s="85" t="s">
        <v>25</v>
      </c>
      <c r="E33" s="85" t="s">
        <v>25</v>
      </c>
      <c r="F33" s="85" t="s">
        <v>25</v>
      </c>
      <c r="G33" s="85" t="s">
        <v>36</v>
      </c>
      <c r="H33" s="85" t="s">
        <v>82</v>
      </c>
      <c r="I33" s="85" t="s">
        <v>25</v>
      </c>
      <c r="J33" s="85">
        <v>17.03</v>
      </c>
      <c r="K33" s="85">
        <v>-3.36</v>
      </c>
      <c r="L33" s="85">
        <v>0.71544118618658703</v>
      </c>
      <c r="M33" s="85">
        <v>0</v>
      </c>
      <c r="N33" s="85">
        <v>0</v>
      </c>
      <c r="O33" s="85">
        <v>0</v>
      </c>
      <c r="P33" s="85">
        <v>0</v>
      </c>
      <c r="Q33" s="85">
        <v>11.6873486265071</v>
      </c>
      <c r="R33" s="85">
        <v>5.0442222398398497</v>
      </c>
      <c r="S33" s="85">
        <v>0</v>
      </c>
      <c r="T33" s="85">
        <v>0</v>
      </c>
      <c r="U33" s="85">
        <v>0</v>
      </c>
      <c r="V33" s="85">
        <v>0</v>
      </c>
      <c r="W33" s="85">
        <v>0</v>
      </c>
      <c r="X33" s="85">
        <v>0</v>
      </c>
      <c r="Y33" s="85">
        <v>0</v>
      </c>
      <c r="Z33" s="85">
        <v>0</v>
      </c>
      <c r="AA33" s="85">
        <v>0</v>
      </c>
      <c r="AB33" s="85">
        <v>0</v>
      </c>
      <c r="AC33" s="85">
        <v>0</v>
      </c>
      <c r="AD33" s="85">
        <v>0</v>
      </c>
      <c r="AE33" s="85">
        <v>-0.173075813198836</v>
      </c>
      <c r="AF33" s="85">
        <v>-8.0028640681226899E-3</v>
      </c>
      <c r="AG33" s="85">
        <v>-0.23534046261012001</v>
      </c>
      <c r="AH33" s="85">
        <v>0</v>
      </c>
      <c r="AI33" s="85">
        <v>0.19271942271975201</v>
      </c>
      <c r="AJ33" s="85">
        <v>0</v>
      </c>
      <c r="AK33" s="85">
        <v>0</v>
      </c>
      <c r="AL33" s="85">
        <v>0.76173421496990001</v>
      </c>
      <c r="AM33" s="85">
        <v>0</v>
      </c>
      <c r="AN33" s="85">
        <v>-4.25417992159303</v>
      </c>
      <c r="AO33" s="85">
        <v>0</v>
      </c>
      <c r="AP33" s="85">
        <v>0</v>
      </c>
      <c r="AQ33" s="85">
        <v>0</v>
      </c>
      <c r="AR33" s="85">
        <v>0</v>
      </c>
      <c r="AS33" s="85">
        <v>0</v>
      </c>
      <c r="AT33" s="86">
        <v>-6.0737879282617299E-2</v>
      </c>
    </row>
    <row r="34" spans="2:46" ht="12" customHeight="1" x14ac:dyDescent="0.25">
      <c r="B34" s="84" t="s">
        <v>41</v>
      </c>
      <c r="C34" s="85" t="s">
        <v>42</v>
      </c>
      <c r="D34" s="85" t="s">
        <v>25</v>
      </c>
      <c r="E34" s="85" t="s">
        <v>25</v>
      </c>
      <c r="F34" s="85" t="s">
        <v>25</v>
      </c>
      <c r="G34" s="85" t="s">
        <v>36</v>
      </c>
      <c r="H34" s="85" t="s">
        <v>85</v>
      </c>
      <c r="I34" s="85" t="s">
        <v>25</v>
      </c>
      <c r="J34" s="85">
        <v>1.1000000000000001</v>
      </c>
      <c r="K34" s="85">
        <v>0</v>
      </c>
      <c r="L34" s="85">
        <v>0</v>
      </c>
      <c r="M34" s="85">
        <v>0</v>
      </c>
      <c r="N34" s="85">
        <v>0</v>
      </c>
      <c r="O34" s="85">
        <v>0</v>
      </c>
      <c r="P34" s="85">
        <v>0</v>
      </c>
      <c r="Q34" s="85">
        <v>0</v>
      </c>
      <c r="R34" s="85">
        <v>0</v>
      </c>
      <c r="S34" s="85">
        <v>0</v>
      </c>
      <c r="T34" s="85">
        <v>0.53647213111906999</v>
      </c>
      <c r="U34" s="85">
        <v>0.56131559144816401</v>
      </c>
      <c r="V34" s="85">
        <v>0</v>
      </c>
      <c r="W34" s="85">
        <v>0</v>
      </c>
      <c r="X34" s="85">
        <v>0</v>
      </c>
      <c r="Y34" s="85">
        <v>0</v>
      </c>
      <c r="Z34" s="85">
        <v>0</v>
      </c>
      <c r="AA34" s="85">
        <v>0</v>
      </c>
      <c r="AB34" s="85">
        <v>0</v>
      </c>
      <c r="AC34" s="85">
        <v>0</v>
      </c>
      <c r="AD34" s="85">
        <v>0</v>
      </c>
      <c r="AE34" s="85">
        <v>0</v>
      </c>
      <c r="AF34" s="85">
        <v>0</v>
      </c>
      <c r="AG34" s="85">
        <v>0</v>
      </c>
      <c r="AH34" s="85">
        <v>0</v>
      </c>
      <c r="AI34" s="85">
        <v>0</v>
      </c>
      <c r="AJ34" s="85">
        <v>0</v>
      </c>
      <c r="AK34" s="85">
        <v>0</v>
      </c>
      <c r="AL34" s="85">
        <v>0</v>
      </c>
      <c r="AM34" s="85">
        <v>0</v>
      </c>
      <c r="AN34" s="85">
        <v>0</v>
      </c>
      <c r="AO34" s="85">
        <v>0</v>
      </c>
      <c r="AP34" s="85">
        <v>0</v>
      </c>
      <c r="AQ34" s="85">
        <v>0</v>
      </c>
      <c r="AR34" s="85">
        <v>0</v>
      </c>
      <c r="AS34" s="85">
        <v>0</v>
      </c>
      <c r="AT34" s="86">
        <v>0</v>
      </c>
    </row>
    <row r="35" spans="2:46" ht="12" customHeight="1" x14ac:dyDescent="0.25">
      <c r="B35" s="84" t="s">
        <v>41</v>
      </c>
      <c r="C35" s="85" t="s">
        <v>42</v>
      </c>
      <c r="D35" s="85" t="s">
        <v>25</v>
      </c>
      <c r="E35" s="85" t="s">
        <v>25</v>
      </c>
      <c r="F35" s="85" t="s">
        <v>25</v>
      </c>
      <c r="G35" s="85" t="s">
        <v>37</v>
      </c>
      <c r="H35" s="85" t="s">
        <v>82</v>
      </c>
      <c r="I35" s="85" t="s">
        <v>25</v>
      </c>
      <c r="J35" s="85">
        <v>17.03</v>
      </c>
      <c r="K35" s="85">
        <v>-1.58</v>
      </c>
      <c r="L35" s="85">
        <v>0.71544118618658703</v>
      </c>
      <c r="M35" s="85">
        <v>0</v>
      </c>
      <c r="N35" s="85">
        <v>0</v>
      </c>
      <c r="O35" s="85">
        <v>0</v>
      </c>
      <c r="P35" s="85">
        <v>0</v>
      </c>
      <c r="Q35" s="85">
        <v>11.6873486265071</v>
      </c>
      <c r="R35" s="85">
        <v>5.0442222398398497</v>
      </c>
      <c r="S35" s="85">
        <v>0</v>
      </c>
      <c r="T35" s="85">
        <v>0</v>
      </c>
      <c r="U35" s="85">
        <v>0</v>
      </c>
      <c r="V35" s="85">
        <v>0</v>
      </c>
      <c r="W35" s="85">
        <v>0</v>
      </c>
      <c r="X35" s="85">
        <v>0</v>
      </c>
      <c r="Y35" s="85">
        <v>0</v>
      </c>
      <c r="Z35" s="85">
        <v>0</v>
      </c>
      <c r="AA35" s="85">
        <v>0</v>
      </c>
      <c r="AB35" s="85">
        <v>0</v>
      </c>
      <c r="AC35" s="85">
        <v>0</v>
      </c>
      <c r="AD35" s="85">
        <v>0</v>
      </c>
      <c r="AE35" s="85">
        <v>-0.173075813198836</v>
      </c>
      <c r="AF35" s="85">
        <v>-8.0028640681226899E-3</v>
      </c>
      <c r="AG35" s="85">
        <v>-0.23534046261012001</v>
      </c>
      <c r="AH35" s="85">
        <v>0</v>
      </c>
      <c r="AI35" s="85">
        <v>0.19271942271975201</v>
      </c>
      <c r="AJ35" s="85">
        <v>0</v>
      </c>
      <c r="AK35" s="85">
        <v>0</v>
      </c>
      <c r="AL35" s="85">
        <v>0.76173421496990001</v>
      </c>
      <c r="AM35" s="85">
        <v>0</v>
      </c>
      <c r="AN35" s="85">
        <v>-2.4733604195308301</v>
      </c>
      <c r="AO35" s="85">
        <v>0</v>
      </c>
      <c r="AP35" s="85">
        <v>0</v>
      </c>
      <c r="AQ35" s="85">
        <v>0</v>
      </c>
      <c r="AR35" s="85">
        <v>0</v>
      </c>
      <c r="AS35" s="85">
        <v>0</v>
      </c>
      <c r="AT35" s="86">
        <v>-6.0737879282617299E-2</v>
      </c>
    </row>
    <row r="36" spans="2:46" ht="12" customHeight="1" x14ac:dyDescent="0.25">
      <c r="B36" s="84" t="s">
        <v>41</v>
      </c>
      <c r="C36" s="85" t="s">
        <v>42</v>
      </c>
      <c r="D36" s="85" t="s">
        <v>25</v>
      </c>
      <c r="E36" s="85" t="s">
        <v>25</v>
      </c>
      <c r="F36" s="85" t="s">
        <v>25</v>
      </c>
      <c r="G36" s="85" t="s">
        <v>37</v>
      </c>
      <c r="H36" s="85" t="s">
        <v>85</v>
      </c>
      <c r="I36" s="85" t="s">
        <v>25</v>
      </c>
      <c r="J36" s="85">
        <v>0.87</v>
      </c>
      <c r="K36" s="85">
        <v>0</v>
      </c>
      <c r="L36" s="85">
        <v>0</v>
      </c>
      <c r="M36" s="85">
        <v>0</v>
      </c>
      <c r="N36" s="85">
        <v>0</v>
      </c>
      <c r="O36" s="85">
        <v>0</v>
      </c>
      <c r="P36" s="85">
        <v>0</v>
      </c>
      <c r="Q36" s="85">
        <v>0</v>
      </c>
      <c r="R36" s="85">
        <v>0</v>
      </c>
      <c r="S36" s="85">
        <v>0</v>
      </c>
      <c r="T36" s="85">
        <v>0.40277383590867599</v>
      </c>
      <c r="U36" s="85">
        <v>0.464325720699587</v>
      </c>
      <c r="V36" s="85">
        <v>0</v>
      </c>
      <c r="W36" s="85">
        <v>0</v>
      </c>
      <c r="X36" s="85">
        <v>0</v>
      </c>
      <c r="Y36" s="85">
        <v>0</v>
      </c>
      <c r="Z36" s="85">
        <v>0</v>
      </c>
      <c r="AA36" s="85">
        <v>0</v>
      </c>
      <c r="AB36" s="85">
        <v>0</v>
      </c>
      <c r="AC36" s="85">
        <v>0</v>
      </c>
      <c r="AD36" s="85">
        <v>0</v>
      </c>
      <c r="AE36" s="85">
        <v>0</v>
      </c>
      <c r="AF36" s="85">
        <v>0</v>
      </c>
      <c r="AG36" s="85">
        <v>0</v>
      </c>
      <c r="AH36" s="85">
        <v>0</v>
      </c>
      <c r="AI36" s="85">
        <v>0</v>
      </c>
      <c r="AJ36" s="85">
        <v>0</v>
      </c>
      <c r="AK36" s="85">
        <v>0</v>
      </c>
      <c r="AL36" s="85">
        <v>0</v>
      </c>
      <c r="AM36" s="85">
        <v>0</v>
      </c>
      <c r="AN36" s="85">
        <v>0</v>
      </c>
      <c r="AO36" s="85">
        <v>0</v>
      </c>
      <c r="AP36" s="85">
        <v>0</v>
      </c>
      <c r="AQ36" s="85">
        <v>0</v>
      </c>
      <c r="AR36" s="85">
        <v>0</v>
      </c>
      <c r="AS36" s="85">
        <v>0</v>
      </c>
      <c r="AT36" s="86">
        <v>0</v>
      </c>
    </row>
    <row r="37" spans="2:46" ht="12" customHeight="1" x14ac:dyDescent="0.25">
      <c r="B37" s="84" t="s">
        <v>41</v>
      </c>
      <c r="C37" s="85" t="s">
        <v>23</v>
      </c>
      <c r="D37" s="85" t="s">
        <v>25</v>
      </c>
      <c r="E37" s="85" t="s">
        <v>25</v>
      </c>
      <c r="F37" s="85" t="s">
        <v>25</v>
      </c>
      <c r="G37" s="85" t="s">
        <v>25</v>
      </c>
      <c r="H37" s="85" t="s">
        <v>82</v>
      </c>
      <c r="I37" s="85" t="s">
        <v>25</v>
      </c>
      <c r="J37" s="85">
        <v>0</v>
      </c>
      <c r="K37" s="85">
        <v>-1.73</v>
      </c>
      <c r="L37" s="85">
        <v>0</v>
      </c>
      <c r="M37" s="85">
        <v>0</v>
      </c>
      <c r="N37" s="85">
        <v>0</v>
      </c>
      <c r="O37" s="85">
        <v>0</v>
      </c>
      <c r="P37" s="85">
        <v>0</v>
      </c>
      <c r="Q37" s="85">
        <v>0</v>
      </c>
      <c r="R37" s="85">
        <v>0</v>
      </c>
      <c r="S37" s="85">
        <v>0</v>
      </c>
      <c r="T37" s="85">
        <v>0</v>
      </c>
      <c r="U37" s="85">
        <v>0</v>
      </c>
      <c r="V37" s="85">
        <v>0</v>
      </c>
      <c r="W37" s="85">
        <v>0</v>
      </c>
      <c r="X37" s="85">
        <v>0</v>
      </c>
      <c r="Y37" s="85">
        <v>0</v>
      </c>
      <c r="Z37" s="85">
        <v>0</v>
      </c>
      <c r="AA37" s="85">
        <v>0</v>
      </c>
      <c r="AB37" s="85">
        <v>0</v>
      </c>
      <c r="AC37" s="85">
        <v>0</v>
      </c>
      <c r="AD37" s="85">
        <v>0</v>
      </c>
      <c r="AE37" s="85">
        <v>0</v>
      </c>
      <c r="AF37" s="85">
        <v>0</v>
      </c>
      <c r="AG37" s="85">
        <v>0</v>
      </c>
      <c r="AH37" s="85">
        <v>0</v>
      </c>
      <c r="AI37" s="85">
        <v>0.19271942271975201</v>
      </c>
      <c r="AJ37" s="85">
        <v>0</v>
      </c>
      <c r="AK37" s="85">
        <v>0</v>
      </c>
      <c r="AL37" s="85">
        <v>0.76173421496990001</v>
      </c>
      <c r="AM37" s="85">
        <v>0</v>
      </c>
      <c r="AN37" s="85">
        <v>-2.6217620447026802</v>
      </c>
      <c r="AO37" s="85">
        <v>0</v>
      </c>
      <c r="AP37" s="85">
        <v>0</v>
      </c>
      <c r="AQ37" s="85">
        <v>0</v>
      </c>
      <c r="AR37" s="85">
        <v>0</v>
      </c>
      <c r="AS37" s="85">
        <v>0</v>
      </c>
      <c r="AT37" s="86">
        <v>-6.0737879282617299E-2</v>
      </c>
    </row>
    <row r="38" spans="2:46" ht="12" customHeight="1" x14ac:dyDescent="0.25">
      <c r="B38" s="84" t="s">
        <v>41</v>
      </c>
      <c r="C38" s="85" t="s">
        <v>62</v>
      </c>
      <c r="D38" s="85" t="s">
        <v>25</v>
      </c>
      <c r="E38" s="85" t="s">
        <v>25</v>
      </c>
      <c r="F38" s="85" t="s">
        <v>25</v>
      </c>
      <c r="G38" s="85" t="s">
        <v>36</v>
      </c>
      <c r="H38" s="85" t="s">
        <v>85</v>
      </c>
      <c r="I38" s="85" t="s">
        <v>63</v>
      </c>
      <c r="J38" s="85">
        <v>1.1000000000000001</v>
      </c>
      <c r="K38" s="85">
        <v>0</v>
      </c>
      <c r="L38" s="85">
        <v>0</v>
      </c>
      <c r="M38" s="85">
        <v>0</v>
      </c>
      <c r="N38" s="85">
        <v>0</v>
      </c>
      <c r="O38" s="85">
        <v>0</v>
      </c>
      <c r="P38" s="85">
        <v>0</v>
      </c>
      <c r="Q38" s="85">
        <v>0</v>
      </c>
      <c r="R38" s="85">
        <v>0</v>
      </c>
      <c r="S38" s="85">
        <v>0</v>
      </c>
      <c r="T38" s="85">
        <v>0.53647213111906999</v>
      </c>
      <c r="U38" s="85">
        <v>0.56131559144816401</v>
      </c>
      <c r="V38" s="85">
        <v>0</v>
      </c>
      <c r="W38" s="85">
        <v>0</v>
      </c>
      <c r="X38" s="85">
        <v>0</v>
      </c>
      <c r="Y38" s="85">
        <v>0</v>
      </c>
      <c r="Z38" s="85">
        <v>0</v>
      </c>
      <c r="AA38" s="85">
        <v>0</v>
      </c>
      <c r="AB38" s="85">
        <v>0</v>
      </c>
      <c r="AC38" s="85">
        <v>0</v>
      </c>
      <c r="AD38" s="85">
        <v>0</v>
      </c>
      <c r="AE38" s="85">
        <v>0</v>
      </c>
      <c r="AF38" s="85">
        <v>0</v>
      </c>
      <c r="AG38" s="85">
        <v>0</v>
      </c>
      <c r="AH38" s="85">
        <v>0</v>
      </c>
      <c r="AI38" s="85">
        <v>0</v>
      </c>
      <c r="AJ38" s="85">
        <v>0</v>
      </c>
      <c r="AK38" s="85">
        <v>0</v>
      </c>
      <c r="AL38" s="85">
        <v>0</v>
      </c>
      <c r="AM38" s="85">
        <v>0</v>
      </c>
      <c r="AN38" s="85">
        <v>0</v>
      </c>
      <c r="AO38" s="85">
        <v>0</v>
      </c>
      <c r="AP38" s="85">
        <v>0</v>
      </c>
      <c r="AQ38" s="85">
        <v>0</v>
      </c>
      <c r="AR38" s="85">
        <v>0</v>
      </c>
      <c r="AS38" s="85">
        <v>0</v>
      </c>
      <c r="AT38" s="86">
        <v>0</v>
      </c>
    </row>
    <row r="39" spans="2:46" ht="12" customHeight="1" x14ac:dyDescent="0.25">
      <c r="B39" s="84" t="s">
        <v>41</v>
      </c>
      <c r="C39" s="85" t="s">
        <v>62</v>
      </c>
      <c r="D39" s="85" t="s">
        <v>25</v>
      </c>
      <c r="E39" s="85" t="s">
        <v>25</v>
      </c>
      <c r="F39" s="85" t="s">
        <v>25</v>
      </c>
      <c r="G39" s="85" t="s">
        <v>25</v>
      </c>
      <c r="H39" s="85" t="s">
        <v>82</v>
      </c>
      <c r="I39" s="85" t="s">
        <v>63</v>
      </c>
      <c r="J39" s="85">
        <v>-0.18</v>
      </c>
      <c r="K39" s="85">
        <v>0</v>
      </c>
      <c r="L39" s="85">
        <v>0</v>
      </c>
      <c r="M39" s="85">
        <v>0</v>
      </c>
      <c r="N39" s="85">
        <v>0</v>
      </c>
      <c r="O39" s="85">
        <v>0</v>
      </c>
      <c r="P39" s="85">
        <v>0</v>
      </c>
      <c r="Q39" s="85">
        <v>0</v>
      </c>
      <c r="R39" s="85">
        <v>0</v>
      </c>
      <c r="S39" s="85">
        <v>0</v>
      </c>
      <c r="T39" s="85">
        <v>0</v>
      </c>
      <c r="U39" s="85">
        <v>0</v>
      </c>
      <c r="V39" s="85">
        <v>0</v>
      </c>
      <c r="W39" s="85">
        <v>0</v>
      </c>
      <c r="X39" s="85">
        <v>0</v>
      </c>
      <c r="Y39" s="85">
        <v>0</v>
      </c>
      <c r="Z39" s="85">
        <v>0</v>
      </c>
      <c r="AA39" s="85">
        <v>0</v>
      </c>
      <c r="AB39" s="85">
        <v>0</v>
      </c>
      <c r="AC39" s="85">
        <v>0</v>
      </c>
      <c r="AD39" s="85">
        <v>0</v>
      </c>
      <c r="AE39" s="85">
        <v>-0.173075813198836</v>
      </c>
      <c r="AF39" s="85">
        <v>-8.0028640681226899E-3</v>
      </c>
      <c r="AG39" s="85">
        <v>0</v>
      </c>
      <c r="AH39" s="85">
        <v>0</v>
      </c>
      <c r="AI39" s="85">
        <v>0</v>
      </c>
      <c r="AJ39" s="85">
        <v>0</v>
      </c>
      <c r="AK39" s="85">
        <v>0</v>
      </c>
      <c r="AL39" s="85">
        <v>0</v>
      </c>
      <c r="AM39" s="85">
        <v>0</v>
      </c>
      <c r="AN39" s="85">
        <v>0</v>
      </c>
      <c r="AO39" s="85">
        <v>0</v>
      </c>
      <c r="AP39" s="85">
        <v>0</v>
      </c>
      <c r="AQ39" s="85">
        <v>0</v>
      </c>
      <c r="AR39" s="85">
        <v>0</v>
      </c>
      <c r="AS39" s="85">
        <v>0</v>
      </c>
      <c r="AT39" s="86">
        <v>0</v>
      </c>
    </row>
    <row r="40" spans="2:46" ht="12" customHeight="1" x14ac:dyDescent="0.25">
      <c r="B40" s="84" t="s">
        <v>41</v>
      </c>
      <c r="C40" s="85" t="s">
        <v>62</v>
      </c>
      <c r="D40" s="85" t="s">
        <v>25</v>
      </c>
      <c r="E40" s="85" t="s">
        <v>25</v>
      </c>
      <c r="F40" s="85" t="s">
        <v>25</v>
      </c>
      <c r="G40" s="85" t="s">
        <v>37</v>
      </c>
      <c r="H40" s="85" t="s">
        <v>85</v>
      </c>
      <c r="I40" s="85" t="s">
        <v>63</v>
      </c>
      <c r="J40" s="85">
        <v>0.87</v>
      </c>
      <c r="K40" s="85">
        <v>0</v>
      </c>
      <c r="L40" s="85">
        <v>0</v>
      </c>
      <c r="M40" s="85">
        <v>0</v>
      </c>
      <c r="N40" s="85">
        <v>0</v>
      </c>
      <c r="O40" s="85">
        <v>0</v>
      </c>
      <c r="P40" s="85">
        <v>0</v>
      </c>
      <c r="Q40" s="85">
        <v>0</v>
      </c>
      <c r="R40" s="85">
        <v>0</v>
      </c>
      <c r="S40" s="85">
        <v>0</v>
      </c>
      <c r="T40" s="85">
        <v>0.40277383590867599</v>
      </c>
      <c r="U40" s="85">
        <v>0.464325720699587</v>
      </c>
      <c r="V40" s="85">
        <v>0</v>
      </c>
      <c r="W40" s="85">
        <v>0</v>
      </c>
      <c r="X40" s="85">
        <v>0</v>
      </c>
      <c r="Y40" s="85">
        <v>0</v>
      </c>
      <c r="Z40" s="85">
        <v>0</v>
      </c>
      <c r="AA40" s="85">
        <v>0</v>
      </c>
      <c r="AB40" s="85">
        <v>0</v>
      </c>
      <c r="AC40" s="85">
        <v>0</v>
      </c>
      <c r="AD40" s="85">
        <v>0</v>
      </c>
      <c r="AE40" s="85">
        <v>0</v>
      </c>
      <c r="AF40" s="85">
        <v>0</v>
      </c>
      <c r="AG40" s="85">
        <v>0</v>
      </c>
      <c r="AH40" s="85">
        <v>0</v>
      </c>
      <c r="AI40" s="85">
        <v>0</v>
      </c>
      <c r="AJ40" s="85">
        <v>0</v>
      </c>
      <c r="AK40" s="85">
        <v>0</v>
      </c>
      <c r="AL40" s="85">
        <v>0</v>
      </c>
      <c r="AM40" s="85">
        <v>0</v>
      </c>
      <c r="AN40" s="85">
        <v>0</v>
      </c>
      <c r="AO40" s="85">
        <v>0</v>
      </c>
      <c r="AP40" s="85">
        <v>0</v>
      </c>
      <c r="AQ40" s="85">
        <v>0</v>
      </c>
      <c r="AR40" s="85">
        <v>0</v>
      </c>
      <c r="AS40" s="85">
        <v>0</v>
      </c>
      <c r="AT40" s="86">
        <v>0</v>
      </c>
    </row>
    <row r="41" spans="2:46" ht="12" customHeight="1" x14ac:dyDescent="0.25">
      <c r="B41" s="84" t="s">
        <v>41</v>
      </c>
      <c r="C41" s="85" t="s">
        <v>91</v>
      </c>
      <c r="D41" s="85" t="s">
        <v>25</v>
      </c>
      <c r="E41" s="85" t="s">
        <v>25</v>
      </c>
      <c r="F41" s="85" t="s">
        <v>25</v>
      </c>
      <c r="G41" s="85" t="s">
        <v>25</v>
      </c>
      <c r="H41" s="85" t="s">
        <v>85</v>
      </c>
      <c r="I41" s="85" t="s">
        <v>25</v>
      </c>
      <c r="J41" s="85">
        <v>0</v>
      </c>
      <c r="K41" s="85">
        <v>0</v>
      </c>
      <c r="L41" s="85">
        <v>0</v>
      </c>
      <c r="M41" s="85">
        <v>0</v>
      </c>
      <c r="N41" s="85">
        <v>0</v>
      </c>
      <c r="O41" s="85">
        <v>0</v>
      </c>
      <c r="P41" s="85">
        <v>0</v>
      </c>
      <c r="Q41" s="85">
        <v>0</v>
      </c>
      <c r="R41" s="85">
        <v>0</v>
      </c>
      <c r="S41" s="85">
        <v>0</v>
      </c>
      <c r="T41" s="85">
        <v>0</v>
      </c>
      <c r="U41" s="85">
        <v>0</v>
      </c>
      <c r="V41" s="85">
        <v>0</v>
      </c>
      <c r="W41" s="85">
        <v>0</v>
      </c>
      <c r="X41" s="85">
        <v>0</v>
      </c>
      <c r="Y41" s="85">
        <v>0</v>
      </c>
      <c r="Z41" s="85">
        <v>0</v>
      </c>
      <c r="AA41" s="85">
        <v>0</v>
      </c>
      <c r="AB41" s="85">
        <v>0</v>
      </c>
      <c r="AC41" s="85">
        <v>0</v>
      </c>
      <c r="AD41" s="85">
        <v>0</v>
      </c>
      <c r="AE41" s="85">
        <v>0</v>
      </c>
      <c r="AF41" s="85">
        <v>0</v>
      </c>
      <c r="AG41" s="85">
        <v>0</v>
      </c>
      <c r="AH41" s="85">
        <v>0</v>
      </c>
      <c r="AI41" s="85">
        <v>0</v>
      </c>
      <c r="AJ41" s="85">
        <v>0</v>
      </c>
      <c r="AK41" s="85">
        <v>0</v>
      </c>
      <c r="AL41" s="85">
        <v>0</v>
      </c>
      <c r="AM41" s="85">
        <v>0</v>
      </c>
      <c r="AN41" s="85">
        <v>0</v>
      </c>
      <c r="AO41" s="85">
        <v>0</v>
      </c>
      <c r="AP41" s="85">
        <v>0</v>
      </c>
      <c r="AQ41" s="85">
        <v>0</v>
      </c>
      <c r="AR41" s="85">
        <v>0</v>
      </c>
      <c r="AS41" s="85">
        <v>0</v>
      </c>
      <c r="AT41" s="86">
        <v>0</v>
      </c>
    </row>
    <row r="42" spans="2:46" ht="12" customHeight="1" x14ac:dyDescent="0.25">
      <c r="B42" s="84" t="s">
        <v>41</v>
      </c>
      <c r="C42" s="85" t="s">
        <v>44</v>
      </c>
      <c r="D42" s="85" t="s">
        <v>25</v>
      </c>
      <c r="E42" s="85" t="s">
        <v>25</v>
      </c>
      <c r="F42" s="85" t="s">
        <v>89</v>
      </c>
      <c r="G42" s="85" t="s">
        <v>36</v>
      </c>
      <c r="H42" s="85" t="s">
        <v>82</v>
      </c>
      <c r="I42" s="85" t="s">
        <v>25</v>
      </c>
      <c r="J42" s="85">
        <v>25.99</v>
      </c>
      <c r="K42" s="85">
        <v>0</v>
      </c>
      <c r="L42" s="85">
        <v>0</v>
      </c>
      <c r="M42" s="85">
        <v>0</v>
      </c>
      <c r="N42" s="85">
        <v>0</v>
      </c>
      <c r="O42" s="85">
        <v>0</v>
      </c>
      <c r="P42" s="85">
        <v>0</v>
      </c>
      <c r="Q42" s="85">
        <v>0</v>
      </c>
      <c r="R42" s="85">
        <v>0</v>
      </c>
      <c r="S42" s="85">
        <v>0</v>
      </c>
      <c r="T42" s="85">
        <v>12.9022893862189</v>
      </c>
      <c r="U42" s="85">
        <v>13.4995472584342</v>
      </c>
      <c r="V42" s="85">
        <v>0</v>
      </c>
      <c r="W42" s="85">
        <v>0</v>
      </c>
      <c r="X42" s="85">
        <v>0</v>
      </c>
      <c r="Y42" s="85">
        <v>0</v>
      </c>
      <c r="Z42" s="85">
        <v>0</v>
      </c>
      <c r="AA42" s="85">
        <v>0</v>
      </c>
      <c r="AB42" s="85">
        <v>0</v>
      </c>
      <c r="AC42" s="85">
        <v>0</v>
      </c>
      <c r="AD42" s="85">
        <v>0</v>
      </c>
      <c r="AE42" s="85">
        <v>-0.173075813198836</v>
      </c>
      <c r="AF42" s="85">
        <v>-8.0028640681226899E-3</v>
      </c>
      <c r="AG42" s="85">
        <v>-0.23534046261012001</v>
      </c>
      <c r="AH42" s="85">
        <v>0</v>
      </c>
      <c r="AI42" s="85">
        <v>0</v>
      </c>
      <c r="AJ42" s="85">
        <v>0</v>
      </c>
      <c r="AK42" s="85">
        <v>0</v>
      </c>
      <c r="AL42" s="85">
        <v>0</v>
      </c>
      <c r="AM42" s="85">
        <v>0</v>
      </c>
      <c r="AN42" s="85">
        <v>0</v>
      </c>
      <c r="AO42" s="85">
        <v>0</v>
      </c>
      <c r="AP42" s="85">
        <v>0</v>
      </c>
      <c r="AQ42" s="85">
        <v>0</v>
      </c>
      <c r="AR42" s="85">
        <v>0</v>
      </c>
      <c r="AS42" s="85">
        <v>0</v>
      </c>
      <c r="AT42" s="86">
        <v>0</v>
      </c>
    </row>
    <row r="43" spans="2:46" ht="12" customHeight="1" x14ac:dyDescent="0.25">
      <c r="B43" s="84" t="s">
        <v>41</v>
      </c>
      <c r="C43" s="85" t="s">
        <v>44</v>
      </c>
      <c r="D43" s="85" t="s">
        <v>25</v>
      </c>
      <c r="E43" s="85" t="s">
        <v>25</v>
      </c>
      <c r="F43" s="85" t="s">
        <v>89</v>
      </c>
      <c r="G43" s="85" t="s">
        <v>25</v>
      </c>
      <c r="H43" s="85" t="s">
        <v>85</v>
      </c>
      <c r="I43" s="85" t="s">
        <v>25</v>
      </c>
      <c r="J43" s="85">
        <v>0.87</v>
      </c>
      <c r="K43" s="85">
        <v>0</v>
      </c>
      <c r="L43" s="85">
        <v>0</v>
      </c>
      <c r="M43" s="85">
        <v>0</v>
      </c>
      <c r="N43" s="85">
        <v>0</v>
      </c>
      <c r="O43" s="85">
        <v>0</v>
      </c>
      <c r="P43" s="85">
        <v>0</v>
      </c>
      <c r="Q43" s="85">
        <v>0</v>
      </c>
      <c r="R43" s="85">
        <v>0</v>
      </c>
      <c r="S43" s="85">
        <v>0</v>
      </c>
      <c r="T43" s="85">
        <v>0.40277383590867599</v>
      </c>
      <c r="U43" s="85">
        <v>0.464325720699587</v>
      </c>
      <c r="V43" s="85">
        <v>0</v>
      </c>
      <c r="W43" s="85">
        <v>0</v>
      </c>
      <c r="X43" s="85">
        <v>0</v>
      </c>
      <c r="Y43" s="85">
        <v>0</v>
      </c>
      <c r="Z43" s="85">
        <v>0</v>
      </c>
      <c r="AA43" s="85">
        <v>0</v>
      </c>
      <c r="AB43" s="85">
        <v>0</v>
      </c>
      <c r="AC43" s="85">
        <v>0</v>
      </c>
      <c r="AD43" s="85">
        <v>0</v>
      </c>
      <c r="AE43" s="85">
        <v>0</v>
      </c>
      <c r="AF43" s="85">
        <v>0</v>
      </c>
      <c r="AG43" s="85">
        <v>0</v>
      </c>
      <c r="AH43" s="85">
        <v>0</v>
      </c>
      <c r="AI43" s="85">
        <v>0</v>
      </c>
      <c r="AJ43" s="85">
        <v>0</v>
      </c>
      <c r="AK43" s="85">
        <v>0</v>
      </c>
      <c r="AL43" s="85">
        <v>0</v>
      </c>
      <c r="AM43" s="85">
        <v>0</v>
      </c>
      <c r="AN43" s="85">
        <v>0</v>
      </c>
      <c r="AO43" s="85">
        <v>0</v>
      </c>
      <c r="AP43" s="85">
        <v>0</v>
      </c>
      <c r="AQ43" s="85">
        <v>0</v>
      </c>
      <c r="AR43" s="85">
        <v>0</v>
      </c>
      <c r="AS43" s="85">
        <v>0</v>
      </c>
      <c r="AT43" s="86">
        <v>0</v>
      </c>
    </row>
    <row r="44" spans="2:46" ht="12" customHeight="1" x14ac:dyDescent="0.25">
      <c r="B44" s="84" t="s">
        <v>41</v>
      </c>
      <c r="C44" s="85" t="s">
        <v>44</v>
      </c>
      <c r="D44" s="85" t="s">
        <v>25</v>
      </c>
      <c r="E44" s="85" t="s">
        <v>25</v>
      </c>
      <c r="F44" s="85" t="s">
        <v>89</v>
      </c>
      <c r="G44" s="85" t="s">
        <v>37</v>
      </c>
      <c r="H44" s="85" t="s">
        <v>82</v>
      </c>
      <c r="I44" s="85" t="s">
        <v>25</v>
      </c>
      <c r="J44" s="85">
        <v>-0.42</v>
      </c>
      <c r="K44" s="85">
        <v>0</v>
      </c>
      <c r="L44" s="85">
        <v>0</v>
      </c>
      <c r="M44" s="85">
        <v>0</v>
      </c>
      <c r="N44" s="85">
        <v>0</v>
      </c>
      <c r="O44" s="85">
        <v>0</v>
      </c>
      <c r="P44" s="85">
        <v>0</v>
      </c>
      <c r="Q44" s="85">
        <v>0</v>
      </c>
      <c r="R44" s="85">
        <v>0</v>
      </c>
      <c r="S44" s="85">
        <v>0</v>
      </c>
      <c r="T44" s="85">
        <v>0</v>
      </c>
      <c r="U44" s="85">
        <v>0</v>
      </c>
      <c r="V44" s="85">
        <v>0</v>
      </c>
      <c r="W44" s="85">
        <v>0</v>
      </c>
      <c r="X44" s="85">
        <v>0</v>
      </c>
      <c r="Y44" s="85">
        <v>0</v>
      </c>
      <c r="Z44" s="85">
        <v>0</v>
      </c>
      <c r="AA44" s="85">
        <v>0</v>
      </c>
      <c r="AB44" s="85">
        <v>0</v>
      </c>
      <c r="AC44" s="85">
        <v>0</v>
      </c>
      <c r="AD44" s="85">
        <v>0</v>
      </c>
      <c r="AE44" s="85">
        <v>-0.173075813198836</v>
      </c>
      <c r="AF44" s="85">
        <v>-8.0028640681226899E-3</v>
      </c>
      <c r="AG44" s="85">
        <v>-0.23534046261012001</v>
      </c>
      <c r="AH44" s="85">
        <v>0</v>
      </c>
      <c r="AI44" s="85">
        <v>0</v>
      </c>
      <c r="AJ44" s="85">
        <v>0</v>
      </c>
      <c r="AK44" s="85">
        <v>0</v>
      </c>
      <c r="AL44" s="85">
        <v>0</v>
      </c>
      <c r="AM44" s="85">
        <v>0</v>
      </c>
      <c r="AN44" s="85">
        <v>0</v>
      </c>
      <c r="AO44" s="85">
        <v>0</v>
      </c>
      <c r="AP44" s="85">
        <v>0</v>
      </c>
      <c r="AQ44" s="85">
        <v>0</v>
      </c>
      <c r="AR44" s="85">
        <v>0</v>
      </c>
      <c r="AS44" s="85">
        <v>0</v>
      </c>
      <c r="AT44" s="86">
        <v>0</v>
      </c>
    </row>
    <row r="45" spans="2:46" ht="12" customHeight="1" x14ac:dyDescent="0.25">
      <c r="B45" s="84" t="s">
        <v>41</v>
      </c>
      <c r="C45" s="85" t="s">
        <v>44</v>
      </c>
      <c r="D45" s="85" t="s">
        <v>25</v>
      </c>
      <c r="E45" s="85" t="s">
        <v>25</v>
      </c>
      <c r="F45" s="85" t="s">
        <v>25</v>
      </c>
      <c r="G45" s="85" t="s">
        <v>36</v>
      </c>
      <c r="H45" s="85" t="s">
        <v>82</v>
      </c>
      <c r="I45" s="85" t="s">
        <v>25</v>
      </c>
      <c r="J45" s="85">
        <v>43.43</v>
      </c>
      <c r="K45" s="85">
        <v>-3.36</v>
      </c>
      <c r="L45" s="85">
        <v>0.71544118618658703</v>
      </c>
      <c r="M45" s="85">
        <v>0</v>
      </c>
      <c r="N45" s="85">
        <v>0</v>
      </c>
      <c r="O45" s="85">
        <v>0</v>
      </c>
      <c r="P45" s="85">
        <v>0</v>
      </c>
      <c r="Q45" s="85">
        <v>11.6873486265071</v>
      </c>
      <c r="R45" s="85">
        <v>5.0442222398398497</v>
      </c>
      <c r="S45" s="85">
        <v>0</v>
      </c>
      <c r="T45" s="85">
        <v>12.9022893862189</v>
      </c>
      <c r="U45" s="85">
        <v>13.4995472584342</v>
      </c>
      <c r="V45" s="85">
        <v>0</v>
      </c>
      <c r="W45" s="85">
        <v>0</v>
      </c>
      <c r="X45" s="85">
        <v>0</v>
      </c>
      <c r="Y45" s="85">
        <v>0</v>
      </c>
      <c r="Z45" s="85">
        <v>0</v>
      </c>
      <c r="AA45" s="85">
        <v>0</v>
      </c>
      <c r="AB45" s="85">
        <v>0</v>
      </c>
      <c r="AC45" s="85">
        <v>0</v>
      </c>
      <c r="AD45" s="85">
        <v>0</v>
      </c>
      <c r="AE45" s="85">
        <v>-0.173075813198836</v>
      </c>
      <c r="AF45" s="85">
        <v>-8.0028640681226899E-3</v>
      </c>
      <c r="AG45" s="85">
        <v>-0.23534046261012001</v>
      </c>
      <c r="AH45" s="85">
        <v>0</v>
      </c>
      <c r="AI45" s="85">
        <v>0.19271942271975201</v>
      </c>
      <c r="AJ45" s="85">
        <v>0</v>
      </c>
      <c r="AK45" s="85">
        <v>0</v>
      </c>
      <c r="AL45" s="85">
        <v>0.76173421496990001</v>
      </c>
      <c r="AM45" s="85">
        <v>0</v>
      </c>
      <c r="AN45" s="85">
        <v>-4.25417992159303</v>
      </c>
      <c r="AO45" s="85">
        <v>0</v>
      </c>
      <c r="AP45" s="85">
        <v>0</v>
      </c>
      <c r="AQ45" s="85">
        <v>0</v>
      </c>
      <c r="AR45" s="85">
        <v>0</v>
      </c>
      <c r="AS45" s="85">
        <v>0</v>
      </c>
      <c r="AT45" s="86">
        <v>-6.0737879282617299E-2</v>
      </c>
    </row>
    <row r="46" spans="2:46" ht="12" customHeight="1" x14ac:dyDescent="0.25">
      <c r="B46" s="84" t="s">
        <v>41</v>
      </c>
      <c r="C46" s="85" t="s">
        <v>44</v>
      </c>
      <c r="D46" s="85" t="s">
        <v>25</v>
      </c>
      <c r="E46" s="85" t="s">
        <v>25</v>
      </c>
      <c r="F46" s="85" t="s">
        <v>25</v>
      </c>
      <c r="G46" s="85" t="s">
        <v>25</v>
      </c>
      <c r="H46" s="85" t="s">
        <v>85</v>
      </c>
      <c r="I46" s="85" t="s">
        <v>25</v>
      </c>
      <c r="J46" s="85">
        <v>0.87</v>
      </c>
      <c r="K46" s="85">
        <v>0</v>
      </c>
      <c r="L46" s="85">
        <v>0</v>
      </c>
      <c r="M46" s="85">
        <v>0</v>
      </c>
      <c r="N46" s="85">
        <v>0</v>
      </c>
      <c r="O46" s="85">
        <v>0</v>
      </c>
      <c r="P46" s="85">
        <v>0</v>
      </c>
      <c r="Q46" s="85">
        <v>0</v>
      </c>
      <c r="R46" s="85">
        <v>0</v>
      </c>
      <c r="S46" s="85">
        <v>0</v>
      </c>
      <c r="T46" s="85">
        <v>0.40277383590867599</v>
      </c>
      <c r="U46" s="85">
        <v>0.464325720699587</v>
      </c>
      <c r="V46" s="85">
        <v>0</v>
      </c>
      <c r="W46" s="85">
        <v>0</v>
      </c>
      <c r="X46" s="85">
        <v>0</v>
      </c>
      <c r="Y46" s="85">
        <v>0</v>
      </c>
      <c r="Z46" s="85">
        <v>0</v>
      </c>
      <c r="AA46" s="85">
        <v>0</v>
      </c>
      <c r="AB46" s="85">
        <v>0</v>
      </c>
      <c r="AC46" s="85">
        <v>0</v>
      </c>
      <c r="AD46" s="85">
        <v>0</v>
      </c>
      <c r="AE46" s="85">
        <v>0</v>
      </c>
      <c r="AF46" s="85">
        <v>0</v>
      </c>
      <c r="AG46" s="85">
        <v>0</v>
      </c>
      <c r="AH46" s="85">
        <v>0</v>
      </c>
      <c r="AI46" s="85">
        <v>0</v>
      </c>
      <c r="AJ46" s="85">
        <v>0</v>
      </c>
      <c r="AK46" s="85">
        <v>0</v>
      </c>
      <c r="AL46" s="85">
        <v>0</v>
      </c>
      <c r="AM46" s="85">
        <v>0</v>
      </c>
      <c r="AN46" s="85">
        <v>0</v>
      </c>
      <c r="AO46" s="85">
        <v>0</v>
      </c>
      <c r="AP46" s="85">
        <v>0</v>
      </c>
      <c r="AQ46" s="85">
        <v>0</v>
      </c>
      <c r="AR46" s="85">
        <v>0</v>
      </c>
      <c r="AS46" s="85">
        <v>0</v>
      </c>
      <c r="AT46" s="86">
        <v>0</v>
      </c>
    </row>
    <row r="47" spans="2:46" ht="12" customHeight="1" x14ac:dyDescent="0.25">
      <c r="B47" s="84" t="s">
        <v>41</v>
      </c>
      <c r="C47" s="85" t="s">
        <v>44</v>
      </c>
      <c r="D47" s="85" t="s">
        <v>25</v>
      </c>
      <c r="E47" s="85" t="s">
        <v>25</v>
      </c>
      <c r="F47" s="85" t="s">
        <v>25</v>
      </c>
      <c r="G47" s="85" t="s">
        <v>37</v>
      </c>
      <c r="H47" s="85" t="s">
        <v>82</v>
      </c>
      <c r="I47" s="85" t="s">
        <v>25</v>
      </c>
      <c r="J47" s="85">
        <v>17.03</v>
      </c>
      <c r="K47" s="85">
        <v>-1.58</v>
      </c>
      <c r="L47" s="85">
        <v>0.71544118618658703</v>
      </c>
      <c r="M47" s="85">
        <v>0</v>
      </c>
      <c r="N47" s="85">
        <v>0</v>
      </c>
      <c r="O47" s="85">
        <v>0</v>
      </c>
      <c r="P47" s="85">
        <v>0</v>
      </c>
      <c r="Q47" s="85">
        <v>11.6873486265071</v>
      </c>
      <c r="R47" s="85">
        <v>5.0442222398398497</v>
      </c>
      <c r="S47" s="85">
        <v>0</v>
      </c>
      <c r="T47" s="85">
        <v>0</v>
      </c>
      <c r="U47" s="85">
        <v>0</v>
      </c>
      <c r="V47" s="85">
        <v>0</v>
      </c>
      <c r="W47" s="85">
        <v>0</v>
      </c>
      <c r="X47" s="85">
        <v>0</v>
      </c>
      <c r="Y47" s="85">
        <v>0</v>
      </c>
      <c r="Z47" s="85">
        <v>0</v>
      </c>
      <c r="AA47" s="85">
        <v>0</v>
      </c>
      <c r="AB47" s="85">
        <v>0</v>
      </c>
      <c r="AC47" s="85">
        <v>0</v>
      </c>
      <c r="AD47" s="85">
        <v>0</v>
      </c>
      <c r="AE47" s="85">
        <v>-0.173075813198836</v>
      </c>
      <c r="AF47" s="85">
        <v>-8.0028640681226899E-3</v>
      </c>
      <c r="AG47" s="85">
        <v>-0.23534046261012001</v>
      </c>
      <c r="AH47" s="85">
        <v>0</v>
      </c>
      <c r="AI47" s="85">
        <v>0.19271942271975201</v>
      </c>
      <c r="AJ47" s="85">
        <v>0</v>
      </c>
      <c r="AK47" s="85">
        <v>0</v>
      </c>
      <c r="AL47" s="85">
        <v>0.76173421496990001</v>
      </c>
      <c r="AM47" s="85">
        <v>0</v>
      </c>
      <c r="AN47" s="85">
        <v>-2.4733604195308301</v>
      </c>
      <c r="AO47" s="85">
        <v>0</v>
      </c>
      <c r="AP47" s="85">
        <v>0</v>
      </c>
      <c r="AQ47" s="85">
        <v>0</v>
      </c>
      <c r="AR47" s="85">
        <v>0</v>
      </c>
      <c r="AS47" s="85">
        <v>0</v>
      </c>
      <c r="AT47" s="86">
        <v>-6.0737879282617299E-2</v>
      </c>
    </row>
    <row r="48" spans="2:46" ht="12" customHeight="1" x14ac:dyDescent="0.25">
      <c r="B48" s="84" t="s">
        <v>95</v>
      </c>
      <c r="C48" s="85" t="s">
        <v>91</v>
      </c>
      <c r="D48" s="85" t="s">
        <v>25</v>
      </c>
      <c r="E48" s="85" t="s">
        <v>25</v>
      </c>
      <c r="F48" s="85" t="s">
        <v>96</v>
      </c>
      <c r="G48" s="85" t="s">
        <v>25</v>
      </c>
      <c r="H48" s="85" t="s">
        <v>85</v>
      </c>
      <c r="I48" s="85" t="s">
        <v>25</v>
      </c>
      <c r="J48" s="85">
        <v>0</v>
      </c>
      <c r="K48" s="85">
        <v>0</v>
      </c>
      <c r="L48" s="85">
        <v>0</v>
      </c>
      <c r="M48" s="85">
        <v>0</v>
      </c>
      <c r="N48" s="85">
        <v>0</v>
      </c>
      <c r="O48" s="85">
        <v>0</v>
      </c>
      <c r="P48" s="85">
        <v>0</v>
      </c>
      <c r="Q48" s="85">
        <v>0</v>
      </c>
      <c r="R48" s="85">
        <v>0</v>
      </c>
      <c r="S48" s="85">
        <v>0</v>
      </c>
      <c r="T48" s="85">
        <v>0</v>
      </c>
      <c r="U48" s="85">
        <v>0</v>
      </c>
      <c r="V48" s="85">
        <v>0</v>
      </c>
      <c r="W48" s="85">
        <v>0</v>
      </c>
      <c r="X48" s="85">
        <v>0</v>
      </c>
      <c r="Y48" s="85">
        <v>0</v>
      </c>
      <c r="Z48" s="85">
        <v>0</v>
      </c>
      <c r="AA48" s="85">
        <v>0</v>
      </c>
      <c r="AB48" s="85">
        <v>0</v>
      </c>
      <c r="AC48" s="85">
        <v>0</v>
      </c>
      <c r="AD48" s="85">
        <v>0</v>
      </c>
      <c r="AE48" s="85">
        <v>0</v>
      </c>
      <c r="AF48" s="85">
        <v>0</v>
      </c>
      <c r="AG48" s="85">
        <v>0</v>
      </c>
      <c r="AH48" s="85">
        <v>0</v>
      </c>
      <c r="AI48" s="85">
        <v>0</v>
      </c>
      <c r="AJ48" s="85">
        <v>0</v>
      </c>
      <c r="AK48" s="85">
        <v>0</v>
      </c>
      <c r="AL48" s="85">
        <v>0</v>
      </c>
      <c r="AM48" s="85">
        <v>0</v>
      </c>
      <c r="AN48" s="85">
        <v>0</v>
      </c>
      <c r="AO48" s="85">
        <v>0</v>
      </c>
      <c r="AP48" s="85">
        <v>0</v>
      </c>
      <c r="AQ48" s="85">
        <v>0</v>
      </c>
      <c r="AR48" s="85">
        <v>0</v>
      </c>
      <c r="AS48" s="85">
        <v>0</v>
      </c>
      <c r="AT48" s="86">
        <v>0</v>
      </c>
    </row>
    <row r="49" spans="2:46" ht="12" customHeight="1" x14ac:dyDescent="0.25">
      <c r="B49" s="84" t="s">
        <v>95</v>
      </c>
      <c r="C49" s="85" t="s">
        <v>91</v>
      </c>
      <c r="D49" s="85" t="s">
        <v>25</v>
      </c>
      <c r="E49" s="85" t="s">
        <v>25</v>
      </c>
      <c r="F49" s="85" t="s">
        <v>97</v>
      </c>
      <c r="G49" s="85" t="s">
        <v>25</v>
      </c>
      <c r="H49" s="85" t="s">
        <v>85</v>
      </c>
      <c r="I49" s="85" t="s">
        <v>25</v>
      </c>
      <c r="J49" s="85">
        <v>0</v>
      </c>
      <c r="K49" s="85">
        <v>0</v>
      </c>
      <c r="L49" s="85">
        <v>0</v>
      </c>
      <c r="M49" s="85">
        <v>0</v>
      </c>
      <c r="N49" s="85">
        <v>0</v>
      </c>
      <c r="O49" s="85">
        <v>0</v>
      </c>
      <c r="P49" s="85">
        <v>0</v>
      </c>
      <c r="Q49" s="85">
        <v>0</v>
      </c>
      <c r="R49" s="85">
        <v>0</v>
      </c>
      <c r="S49" s="85">
        <v>0</v>
      </c>
      <c r="T49" s="85">
        <v>0</v>
      </c>
      <c r="U49" s="85">
        <v>0</v>
      </c>
      <c r="V49" s="85">
        <v>0</v>
      </c>
      <c r="W49" s="85">
        <v>0</v>
      </c>
      <c r="X49" s="85">
        <v>0</v>
      </c>
      <c r="Y49" s="85">
        <v>0</v>
      </c>
      <c r="Z49" s="85">
        <v>0</v>
      </c>
      <c r="AA49" s="85">
        <v>0</v>
      </c>
      <c r="AB49" s="85">
        <v>0</v>
      </c>
      <c r="AC49" s="85">
        <v>0</v>
      </c>
      <c r="AD49" s="85">
        <v>0</v>
      </c>
      <c r="AE49" s="85">
        <v>0</v>
      </c>
      <c r="AF49" s="85">
        <v>0</v>
      </c>
      <c r="AG49" s="85">
        <v>0</v>
      </c>
      <c r="AH49" s="85">
        <v>0</v>
      </c>
      <c r="AI49" s="85">
        <v>0</v>
      </c>
      <c r="AJ49" s="85">
        <v>0</v>
      </c>
      <c r="AK49" s="85">
        <v>0</v>
      </c>
      <c r="AL49" s="85">
        <v>0</v>
      </c>
      <c r="AM49" s="85">
        <v>0</v>
      </c>
      <c r="AN49" s="85">
        <v>0</v>
      </c>
      <c r="AO49" s="85">
        <v>0</v>
      </c>
      <c r="AP49" s="85">
        <v>0</v>
      </c>
      <c r="AQ49" s="85">
        <v>0</v>
      </c>
      <c r="AR49" s="85">
        <v>0</v>
      </c>
      <c r="AS49" s="85">
        <v>0</v>
      </c>
      <c r="AT49" s="86">
        <v>0</v>
      </c>
    </row>
    <row r="50" spans="2:46" ht="12" customHeight="1" x14ac:dyDescent="0.25">
      <c r="B50" s="84" t="s">
        <v>22</v>
      </c>
      <c r="C50" s="85" t="s">
        <v>35</v>
      </c>
      <c r="D50" s="85" t="s">
        <v>24</v>
      </c>
      <c r="E50" s="85" t="s">
        <v>24</v>
      </c>
      <c r="F50" s="85" t="s">
        <v>25</v>
      </c>
      <c r="G50" s="85" t="s">
        <v>36</v>
      </c>
      <c r="H50" s="85" t="s">
        <v>82</v>
      </c>
      <c r="I50" s="85" t="s">
        <v>25</v>
      </c>
      <c r="J50" s="85">
        <v>34.5</v>
      </c>
      <c r="K50" s="85">
        <v>-3.36</v>
      </c>
      <c r="L50" s="85">
        <v>0.85171569784117496</v>
      </c>
      <c r="M50" s="85">
        <v>0</v>
      </c>
      <c r="N50" s="85">
        <v>0</v>
      </c>
      <c r="O50" s="85">
        <v>0</v>
      </c>
      <c r="P50" s="85">
        <v>0</v>
      </c>
      <c r="Q50" s="85">
        <v>13.913510269651301</v>
      </c>
      <c r="R50" s="85">
        <v>5.0442222398398497</v>
      </c>
      <c r="S50" s="85">
        <v>0</v>
      </c>
      <c r="T50" s="85">
        <v>7.3866882579922599</v>
      </c>
      <c r="U50" s="85">
        <v>8.0457326535263807</v>
      </c>
      <c r="V50" s="85">
        <v>0</v>
      </c>
      <c r="W50" s="85">
        <v>0</v>
      </c>
      <c r="X50" s="85">
        <v>0</v>
      </c>
      <c r="Y50" s="85">
        <v>0</v>
      </c>
      <c r="Z50" s="85">
        <v>0</v>
      </c>
      <c r="AA50" s="85">
        <v>0</v>
      </c>
      <c r="AB50" s="85">
        <v>0</v>
      </c>
      <c r="AC50" s="85">
        <v>0</v>
      </c>
      <c r="AD50" s="85">
        <v>0</v>
      </c>
      <c r="AE50" s="85">
        <v>-0.37057281817901699</v>
      </c>
      <c r="AF50" s="85">
        <v>-1.7134941251558799E-2</v>
      </c>
      <c r="AG50" s="85">
        <v>-0.35799408591381499</v>
      </c>
      <c r="AH50" s="85">
        <v>0</v>
      </c>
      <c r="AI50" s="85">
        <v>0.19271942271975201</v>
      </c>
      <c r="AJ50" s="85">
        <v>0</v>
      </c>
      <c r="AK50" s="85">
        <v>0</v>
      </c>
      <c r="AL50" s="85">
        <v>0.76173421496990001</v>
      </c>
      <c r="AM50" s="85">
        <v>0</v>
      </c>
      <c r="AN50" s="85">
        <v>-4.25417992159303</v>
      </c>
      <c r="AO50" s="85">
        <v>0</v>
      </c>
      <c r="AP50" s="85">
        <v>0</v>
      </c>
      <c r="AQ50" s="85">
        <v>0</v>
      </c>
      <c r="AR50" s="85">
        <v>0</v>
      </c>
      <c r="AS50" s="85">
        <v>0</v>
      </c>
      <c r="AT50" s="86">
        <v>-6.0737879282617299E-2</v>
      </c>
    </row>
    <row r="51" spans="2:46" ht="12" customHeight="1" x14ac:dyDescent="0.25">
      <c r="B51" s="84" t="s">
        <v>22</v>
      </c>
      <c r="C51" s="85" t="s">
        <v>35</v>
      </c>
      <c r="D51" s="85" t="s">
        <v>24</v>
      </c>
      <c r="E51" s="85" t="s">
        <v>24</v>
      </c>
      <c r="F51" s="85" t="s">
        <v>25</v>
      </c>
      <c r="G51" s="85" t="s">
        <v>38</v>
      </c>
      <c r="H51" s="85" t="s">
        <v>82</v>
      </c>
      <c r="I51" s="85" t="s">
        <v>25</v>
      </c>
      <c r="J51" s="85">
        <v>28.32</v>
      </c>
      <c r="K51" s="85">
        <v>-1.58</v>
      </c>
      <c r="L51" s="85">
        <v>0.85171569784117496</v>
      </c>
      <c r="M51" s="85">
        <v>0</v>
      </c>
      <c r="N51" s="85">
        <v>0</v>
      </c>
      <c r="O51" s="85">
        <v>0</v>
      </c>
      <c r="P51" s="85">
        <v>0</v>
      </c>
      <c r="Q51" s="85">
        <v>13.913510269651301</v>
      </c>
      <c r="R51" s="85">
        <v>5.0442222398398497</v>
      </c>
      <c r="S51" s="85">
        <v>0</v>
      </c>
      <c r="T51" s="85">
        <v>4.4320129547953604</v>
      </c>
      <c r="U51" s="85">
        <v>4.82744524552401</v>
      </c>
      <c r="V51" s="85">
        <v>0</v>
      </c>
      <c r="W51" s="85">
        <v>0</v>
      </c>
      <c r="X51" s="85">
        <v>0</v>
      </c>
      <c r="Y51" s="85">
        <v>0</v>
      </c>
      <c r="Z51" s="85">
        <v>0</v>
      </c>
      <c r="AA51" s="85">
        <v>0</v>
      </c>
      <c r="AB51" s="85">
        <v>0</v>
      </c>
      <c r="AC51" s="85">
        <v>0</v>
      </c>
      <c r="AD51" s="85">
        <v>0</v>
      </c>
      <c r="AE51" s="85">
        <v>-0.37057281817901699</v>
      </c>
      <c r="AF51" s="85">
        <v>-1.7134941251558799E-2</v>
      </c>
      <c r="AG51" s="85">
        <v>-0.35799408591381499</v>
      </c>
      <c r="AH51" s="85">
        <v>0</v>
      </c>
      <c r="AI51" s="85">
        <v>0.19271942271975201</v>
      </c>
      <c r="AJ51" s="85">
        <v>0</v>
      </c>
      <c r="AK51" s="85">
        <v>0</v>
      </c>
      <c r="AL51" s="85">
        <v>0.76173421496990001</v>
      </c>
      <c r="AM51" s="85">
        <v>0</v>
      </c>
      <c r="AN51" s="85">
        <v>-2.4733604195308301</v>
      </c>
      <c r="AO51" s="85">
        <v>0</v>
      </c>
      <c r="AP51" s="85">
        <v>0</v>
      </c>
      <c r="AQ51" s="85">
        <v>0</v>
      </c>
      <c r="AR51" s="85">
        <v>0</v>
      </c>
      <c r="AS51" s="85">
        <v>0</v>
      </c>
      <c r="AT51" s="86">
        <v>-6.0737879282617299E-2</v>
      </c>
    </row>
    <row r="52" spans="2:46" ht="12" customHeight="1" x14ac:dyDescent="0.25">
      <c r="B52" s="84" t="s">
        <v>22</v>
      </c>
      <c r="C52" s="85" t="s">
        <v>35</v>
      </c>
      <c r="D52" s="85" t="s">
        <v>24</v>
      </c>
      <c r="E52" s="85" t="s">
        <v>24</v>
      </c>
      <c r="F52" s="85" t="s">
        <v>25</v>
      </c>
      <c r="G52" s="85" t="s">
        <v>37</v>
      </c>
      <c r="H52" s="85" t="s">
        <v>82</v>
      </c>
      <c r="I52" s="85" t="s">
        <v>25</v>
      </c>
      <c r="J52" s="85">
        <v>22.15</v>
      </c>
      <c r="K52" s="85">
        <v>-1.58</v>
      </c>
      <c r="L52" s="85">
        <v>0.85171569784117496</v>
      </c>
      <c r="M52" s="85">
        <v>0</v>
      </c>
      <c r="N52" s="85">
        <v>0</v>
      </c>
      <c r="O52" s="85">
        <v>0</v>
      </c>
      <c r="P52" s="85">
        <v>0</v>
      </c>
      <c r="Q52" s="85">
        <v>13.913510269651301</v>
      </c>
      <c r="R52" s="85">
        <v>5.0442222398398497</v>
      </c>
      <c r="S52" s="85">
        <v>0</v>
      </c>
      <c r="T52" s="85">
        <v>1.47733765159845</v>
      </c>
      <c r="U52" s="85">
        <v>1.60915783752164</v>
      </c>
      <c r="V52" s="85">
        <v>0</v>
      </c>
      <c r="W52" s="85">
        <v>0</v>
      </c>
      <c r="X52" s="85">
        <v>0</v>
      </c>
      <c r="Y52" s="85">
        <v>0</v>
      </c>
      <c r="Z52" s="85">
        <v>0</v>
      </c>
      <c r="AA52" s="85">
        <v>0</v>
      </c>
      <c r="AB52" s="85">
        <v>0</v>
      </c>
      <c r="AC52" s="85">
        <v>0</v>
      </c>
      <c r="AD52" s="85">
        <v>0</v>
      </c>
      <c r="AE52" s="85">
        <v>-0.37057281817901699</v>
      </c>
      <c r="AF52" s="85">
        <v>-1.7134941251558799E-2</v>
      </c>
      <c r="AG52" s="85">
        <v>-0.35799408591381499</v>
      </c>
      <c r="AH52" s="85">
        <v>0</v>
      </c>
      <c r="AI52" s="85">
        <v>0.19271942271975201</v>
      </c>
      <c r="AJ52" s="85">
        <v>0</v>
      </c>
      <c r="AK52" s="85">
        <v>0</v>
      </c>
      <c r="AL52" s="85">
        <v>0.76173421496990001</v>
      </c>
      <c r="AM52" s="85">
        <v>0</v>
      </c>
      <c r="AN52" s="85">
        <v>-2.4733604195308301</v>
      </c>
      <c r="AO52" s="85">
        <v>0</v>
      </c>
      <c r="AP52" s="85">
        <v>0</v>
      </c>
      <c r="AQ52" s="85">
        <v>0</v>
      </c>
      <c r="AR52" s="85">
        <v>0</v>
      </c>
      <c r="AS52" s="85">
        <v>0</v>
      </c>
      <c r="AT52" s="86">
        <v>-6.0737879282617299E-2</v>
      </c>
    </row>
    <row r="53" spans="2:46" ht="12" customHeight="1" x14ac:dyDescent="0.25">
      <c r="B53" s="84" t="s">
        <v>22</v>
      </c>
      <c r="C53" s="85" t="s">
        <v>23</v>
      </c>
      <c r="D53" s="85" t="s">
        <v>24</v>
      </c>
      <c r="E53" s="85" t="s">
        <v>1511</v>
      </c>
      <c r="F53" s="85" t="s">
        <v>25</v>
      </c>
      <c r="G53" s="85" t="s">
        <v>25</v>
      </c>
      <c r="H53" s="85" t="s">
        <v>82</v>
      </c>
      <c r="I53" s="85" t="s">
        <v>25</v>
      </c>
      <c r="J53" s="85">
        <v>4.1500000000000004</v>
      </c>
      <c r="K53" s="85">
        <v>-1.73</v>
      </c>
      <c r="L53" s="85">
        <v>0</v>
      </c>
      <c r="M53" s="85">
        <v>0</v>
      </c>
      <c r="N53" s="85">
        <v>0</v>
      </c>
      <c r="O53" s="85">
        <v>0</v>
      </c>
      <c r="P53" s="85">
        <v>0</v>
      </c>
      <c r="Q53" s="85">
        <v>0</v>
      </c>
      <c r="R53" s="85">
        <v>0</v>
      </c>
      <c r="S53" s="85">
        <v>0</v>
      </c>
      <c r="T53" s="85">
        <v>2.3449866847410199</v>
      </c>
      <c r="U53" s="85">
        <v>2.5542098160530999</v>
      </c>
      <c r="V53" s="85">
        <v>0</v>
      </c>
      <c r="W53" s="85">
        <v>0</v>
      </c>
      <c r="X53" s="85">
        <v>0</v>
      </c>
      <c r="Y53" s="85">
        <v>0</v>
      </c>
      <c r="Z53" s="85">
        <v>0</v>
      </c>
      <c r="AA53" s="85">
        <v>0</v>
      </c>
      <c r="AB53" s="85">
        <v>0</v>
      </c>
      <c r="AC53" s="85">
        <v>0</v>
      </c>
      <c r="AD53" s="85">
        <v>0</v>
      </c>
      <c r="AE53" s="85">
        <v>-0.37057281817901699</v>
      </c>
      <c r="AF53" s="85">
        <v>-1.7134941251558799E-2</v>
      </c>
      <c r="AG53" s="85">
        <v>-0.35799408591381499</v>
      </c>
      <c r="AH53" s="85">
        <v>0</v>
      </c>
      <c r="AI53" s="85">
        <v>0.19271942271975201</v>
      </c>
      <c r="AJ53" s="85">
        <v>0</v>
      </c>
      <c r="AK53" s="85">
        <v>0</v>
      </c>
      <c r="AL53" s="85">
        <v>0.76173421496990001</v>
      </c>
      <c r="AM53" s="85">
        <v>0</v>
      </c>
      <c r="AN53" s="85">
        <v>-2.6217620447026802</v>
      </c>
      <c r="AO53" s="85">
        <v>0</v>
      </c>
      <c r="AP53" s="85">
        <v>0</v>
      </c>
      <c r="AQ53" s="85">
        <v>0</v>
      </c>
      <c r="AR53" s="85">
        <v>0</v>
      </c>
      <c r="AS53" s="85">
        <v>0</v>
      </c>
      <c r="AT53" s="86">
        <v>-6.0737879282617299E-2</v>
      </c>
    </row>
    <row r="54" spans="2:46" ht="12" customHeight="1" x14ac:dyDescent="0.25">
      <c r="B54" s="84" t="s">
        <v>22</v>
      </c>
      <c r="C54" s="85" t="s">
        <v>23</v>
      </c>
      <c r="D54" s="85" t="s">
        <v>24</v>
      </c>
      <c r="E54" s="85" t="s">
        <v>24</v>
      </c>
      <c r="F54" s="85" t="s">
        <v>25</v>
      </c>
      <c r="G54" s="85" t="s">
        <v>25</v>
      </c>
      <c r="H54" s="85" t="s">
        <v>82</v>
      </c>
      <c r="I54" s="85" t="s">
        <v>25</v>
      </c>
      <c r="J54" s="85">
        <v>23.96</v>
      </c>
      <c r="K54" s="85">
        <v>-1.73</v>
      </c>
      <c r="L54" s="85">
        <v>0.85171569784117496</v>
      </c>
      <c r="M54" s="85">
        <v>0</v>
      </c>
      <c r="N54" s="85">
        <v>0</v>
      </c>
      <c r="O54" s="85">
        <v>0</v>
      </c>
      <c r="P54" s="85">
        <v>0</v>
      </c>
      <c r="Q54" s="85">
        <v>13.913510269651301</v>
      </c>
      <c r="R54" s="85">
        <v>5.0442222398398497</v>
      </c>
      <c r="S54" s="85">
        <v>0</v>
      </c>
      <c r="T54" s="85">
        <v>2.3449866847410199</v>
      </c>
      <c r="U54" s="85">
        <v>2.5542098160530999</v>
      </c>
      <c r="V54" s="85">
        <v>0</v>
      </c>
      <c r="W54" s="85">
        <v>0</v>
      </c>
      <c r="X54" s="85">
        <v>0</v>
      </c>
      <c r="Y54" s="85">
        <v>0</v>
      </c>
      <c r="Z54" s="85">
        <v>0</v>
      </c>
      <c r="AA54" s="85">
        <v>0</v>
      </c>
      <c r="AB54" s="85">
        <v>0</v>
      </c>
      <c r="AC54" s="85">
        <v>0</v>
      </c>
      <c r="AD54" s="85">
        <v>0</v>
      </c>
      <c r="AE54" s="85">
        <v>-0.37057281817901699</v>
      </c>
      <c r="AF54" s="85">
        <v>-1.7134941251558799E-2</v>
      </c>
      <c r="AG54" s="85">
        <v>-0.35799408591381499</v>
      </c>
      <c r="AH54" s="85">
        <v>0</v>
      </c>
      <c r="AI54" s="85">
        <v>0.19271942271975201</v>
      </c>
      <c r="AJ54" s="85">
        <v>0</v>
      </c>
      <c r="AK54" s="85">
        <v>0</v>
      </c>
      <c r="AL54" s="85">
        <v>0.76173421496990001</v>
      </c>
      <c r="AM54" s="85">
        <v>0</v>
      </c>
      <c r="AN54" s="85">
        <v>-2.6217620447026802</v>
      </c>
      <c r="AO54" s="85">
        <v>0</v>
      </c>
      <c r="AP54" s="85">
        <v>0</v>
      </c>
      <c r="AQ54" s="85">
        <v>0</v>
      </c>
      <c r="AR54" s="85">
        <v>0</v>
      </c>
      <c r="AS54" s="85">
        <v>0</v>
      </c>
      <c r="AT54" s="86">
        <v>-6.0737879282617299E-2</v>
      </c>
    </row>
    <row r="55" spans="2:46" ht="12" customHeight="1" x14ac:dyDescent="0.25">
      <c r="B55" s="84" t="s">
        <v>22</v>
      </c>
      <c r="C55" s="85" t="s">
        <v>100</v>
      </c>
      <c r="D55" s="85" t="s">
        <v>24</v>
      </c>
      <c r="E55" s="85" t="s">
        <v>1511</v>
      </c>
      <c r="F55" s="85" t="s">
        <v>25</v>
      </c>
      <c r="G55" s="85" t="s">
        <v>25</v>
      </c>
      <c r="H55" s="85" t="s">
        <v>82</v>
      </c>
      <c r="I55" s="85" t="s">
        <v>25</v>
      </c>
      <c r="J55" s="85">
        <v>4.1500000000000004</v>
      </c>
      <c r="K55" s="85">
        <v>-1.73</v>
      </c>
      <c r="L55" s="85">
        <v>0</v>
      </c>
      <c r="M55" s="85">
        <v>0</v>
      </c>
      <c r="N55" s="85">
        <v>0</v>
      </c>
      <c r="O55" s="85">
        <v>0</v>
      </c>
      <c r="P55" s="85">
        <v>0</v>
      </c>
      <c r="Q55" s="85">
        <v>0</v>
      </c>
      <c r="R55" s="85">
        <v>0</v>
      </c>
      <c r="S55" s="85">
        <v>0</v>
      </c>
      <c r="T55" s="85">
        <v>2.3449866847410199</v>
      </c>
      <c r="U55" s="85">
        <v>2.5542098160530999</v>
      </c>
      <c r="V55" s="85">
        <v>0</v>
      </c>
      <c r="W55" s="85">
        <v>0</v>
      </c>
      <c r="X55" s="85">
        <v>0</v>
      </c>
      <c r="Y55" s="85">
        <v>0</v>
      </c>
      <c r="Z55" s="85">
        <v>0</v>
      </c>
      <c r="AA55" s="85">
        <v>0</v>
      </c>
      <c r="AB55" s="85">
        <v>0</v>
      </c>
      <c r="AC55" s="85">
        <v>0</v>
      </c>
      <c r="AD55" s="85">
        <v>0</v>
      </c>
      <c r="AE55" s="85">
        <v>-0.37057281817901699</v>
      </c>
      <c r="AF55" s="85">
        <v>-1.7134941251558799E-2</v>
      </c>
      <c r="AG55" s="85">
        <v>-0.35799408591381499</v>
      </c>
      <c r="AH55" s="85">
        <v>0</v>
      </c>
      <c r="AI55" s="85">
        <v>0.19271942271975201</v>
      </c>
      <c r="AJ55" s="85">
        <v>0</v>
      </c>
      <c r="AK55" s="85">
        <v>0</v>
      </c>
      <c r="AL55" s="85">
        <v>0.76173421496990001</v>
      </c>
      <c r="AM55" s="85">
        <v>0</v>
      </c>
      <c r="AN55" s="85">
        <v>-2.6217620447026802</v>
      </c>
      <c r="AO55" s="85">
        <v>0</v>
      </c>
      <c r="AP55" s="85">
        <v>0</v>
      </c>
      <c r="AQ55" s="85">
        <v>0</v>
      </c>
      <c r="AR55" s="85">
        <v>0</v>
      </c>
      <c r="AS55" s="85">
        <v>0</v>
      </c>
      <c r="AT55" s="86">
        <v>-6.0737879282617299E-2</v>
      </c>
    </row>
    <row r="56" spans="2:46" ht="12" customHeight="1" x14ac:dyDescent="0.25">
      <c r="B56" s="84" t="s">
        <v>22</v>
      </c>
      <c r="C56" s="85" t="s">
        <v>100</v>
      </c>
      <c r="D56" s="85" t="s">
        <v>24</v>
      </c>
      <c r="E56" s="85" t="s">
        <v>24</v>
      </c>
      <c r="F56" s="85" t="s">
        <v>25</v>
      </c>
      <c r="G56" s="85" t="s">
        <v>25</v>
      </c>
      <c r="H56" s="85" t="s">
        <v>82</v>
      </c>
      <c r="I56" s="85" t="s">
        <v>25</v>
      </c>
      <c r="J56" s="85">
        <v>23.96</v>
      </c>
      <c r="K56" s="85">
        <v>-1.73</v>
      </c>
      <c r="L56" s="85">
        <v>0.85171569784117496</v>
      </c>
      <c r="M56" s="85">
        <v>0</v>
      </c>
      <c r="N56" s="85">
        <v>0</v>
      </c>
      <c r="O56" s="85">
        <v>0</v>
      </c>
      <c r="P56" s="85">
        <v>0</v>
      </c>
      <c r="Q56" s="85">
        <v>13.913510269651301</v>
      </c>
      <c r="R56" s="85">
        <v>5.0442222398398497</v>
      </c>
      <c r="S56" s="85">
        <v>0</v>
      </c>
      <c r="T56" s="85">
        <v>2.3449866847410199</v>
      </c>
      <c r="U56" s="85">
        <v>2.5542098160530999</v>
      </c>
      <c r="V56" s="85">
        <v>0</v>
      </c>
      <c r="W56" s="85">
        <v>0</v>
      </c>
      <c r="X56" s="85">
        <v>0</v>
      </c>
      <c r="Y56" s="85">
        <v>0</v>
      </c>
      <c r="Z56" s="85">
        <v>0</v>
      </c>
      <c r="AA56" s="85">
        <v>0</v>
      </c>
      <c r="AB56" s="85">
        <v>0</v>
      </c>
      <c r="AC56" s="85">
        <v>0</v>
      </c>
      <c r="AD56" s="85">
        <v>0</v>
      </c>
      <c r="AE56" s="85">
        <v>-0.37057281817901699</v>
      </c>
      <c r="AF56" s="85">
        <v>-1.7134941251558799E-2</v>
      </c>
      <c r="AG56" s="85">
        <v>-0.35799408591381499</v>
      </c>
      <c r="AH56" s="85">
        <v>0</v>
      </c>
      <c r="AI56" s="85">
        <v>0.19271942271975201</v>
      </c>
      <c r="AJ56" s="85">
        <v>0</v>
      </c>
      <c r="AK56" s="85">
        <v>0</v>
      </c>
      <c r="AL56" s="85">
        <v>0.76173421496990001</v>
      </c>
      <c r="AM56" s="85">
        <v>0</v>
      </c>
      <c r="AN56" s="85">
        <v>-2.6217620447026802</v>
      </c>
      <c r="AO56" s="85">
        <v>0</v>
      </c>
      <c r="AP56" s="85">
        <v>0</v>
      </c>
      <c r="AQ56" s="85">
        <v>0</v>
      </c>
      <c r="AR56" s="85">
        <v>0</v>
      </c>
      <c r="AS56" s="85">
        <v>0</v>
      </c>
      <c r="AT56" s="86">
        <v>-6.0737879282617299E-2</v>
      </c>
    </row>
    <row r="57" spans="2:46" ht="12" customHeight="1" x14ac:dyDescent="0.25">
      <c r="B57" s="84" t="s">
        <v>46</v>
      </c>
      <c r="C57" s="85" t="s">
        <v>35</v>
      </c>
      <c r="D57" s="85" t="s">
        <v>47</v>
      </c>
      <c r="E57" s="85" t="s">
        <v>101</v>
      </c>
      <c r="F57" s="85" t="s">
        <v>25</v>
      </c>
      <c r="G57" s="85" t="s">
        <v>36</v>
      </c>
      <c r="H57" s="85" t="s">
        <v>82</v>
      </c>
      <c r="I57" s="85" t="s">
        <v>25</v>
      </c>
      <c r="J57" s="85">
        <v>31.97</v>
      </c>
      <c r="K57" s="85">
        <v>-3.16</v>
      </c>
      <c r="L57" s="85">
        <v>0.80061275597070503</v>
      </c>
      <c r="M57" s="85">
        <v>0</v>
      </c>
      <c r="N57" s="85">
        <v>0</v>
      </c>
      <c r="O57" s="85">
        <v>0</v>
      </c>
      <c r="P57" s="85">
        <v>0</v>
      </c>
      <c r="Q57" s="85">
        <v>13.078699653472301</v>
      </c>
      <c r="R57" s="85">
        <v>4.7415689054494603</v>
      </c>
      <c r="S57" s="85">
        <v>0</v>
      </c>
      <c r="T57" s="85">
        <v>6.7230582141470698</v>
      </c>
      <c r="U57" s="85">
        <v>7.3228929716057998</v>
      </c>
      <c r="V57" s="85">
        <v>0</v>
      </c>
      <c r="W57" s="85">
        <v>0</v>
      </c>
      <c r="X57" s="85">
        <v>0</v>
      </c>
      <c r="Y57" s="85">
        <v>0</v>
      </c>
      <c r="Z57" s="85">
        <v>0</v>
      </c>
      <c r="AA57" s="85">
        <v>0</v>
      </c>
      <c r="AB57" s="85">
        <v>0</v>
      </c>
      <c r="AC57" s="85">
        <v>0</v>
      </c>
      <c r="AD57" s="85">
        <v>0</v>
      </c>
      <c r="AE57" s="85">
        <v>-0.34833844908827599</v>
      </c>
      <c r="AF57" s="85">
        <v>-1.61068447764653E-2</v>
      </c>
      <c r="AG57" s="85">
        <v>-0.33651444075898601</v>
      </c>
      <c r="AH57" s="85">
        <v>0</v>
      </c>
      <c r="AI57" s="85">
        <v>0.18115625735656701</v>
      </c>
      <c r="AJ57" s="85">
        <v>0</v>
      </c>
      <c r="AK57" s="85">
        <v>0</v>
      </c>
      <c r="AL57" s="85">
        <v>0.716030162071706</v>
      </c>
      <c r="AM57" s="85">
        <v>0</v>
      </c>
      <c r="AN57" s="85">
        <v>-3.9989291262974498</v>
      </c>
      <c r="AO57" s="85">
        <v>0</v>
      </c>
      <c r="AP57" s="85">
        <v>0</v>
      </c>
      <c r="AQ57" s="85">
        <v>0</v>
      </c>
      <c r="AR57" s="85">
        <v>0</v>
      </c>
      <c r="AS57" s="85">
        <v>0</v>
      </c>
      <c r="AT57" s="86">
        <v>-5.7093606525660201E-2</v>
      </c>
    </row>
    <row r="58" spans="2:46" ht="12" customHeight="1" x14ac:dyDescent="0.25">
      <c r="B58" s="84" t="s">
        <v>46</v>
      </c>
      <c r="C58" s="85" t="s">
        <v>35</v>
      </c>
      <c r="D58" s="85" t="s">
        <v>47</v>
      </c>
      <c r="E58" s="85" t="s">
        <v>101</v>
      </c>
      <c r="F58" s="85" t="s">
        <v>25</v>
      </c>
      <c r="G58" s="85" t="s">
        <v>38</v>
      </c>
      <c r="H58" s="85" t="s">
        <v>82</v>
      </c>
      <c r="I58" s="85" t="s">
        <v>25</v>
      </c>
      <c r="J58" s="85">
        <v>26.35</v>
      </c>
      <c r="K58" s="85">
        <v>-1.48</v>
      </c>
      <c r="L58" s="85">
        <v>0.80061275597070503</v>
      </c>
      <c r="M58" s="85">
        <v>0</v>
      </c>
      <c r="N58" s="85">
        <v>0</v>
      </c>
      <c r="O58" s="85">
        <v>0</v>
      </c>
      <c r="P58" s="85">
        <v>0</v>
      </c>
      <c r="Q58" s="85">
        <v>13.078699653472301</v>
      </c>
      <c r="R58" s="85">
        <v>4.7415689054494603</v>
      </c>
      <c r="S58" s="85">
        <v>0</v>
      </c>
      <c r="T58" s="85">
        <v>4.0338423728904198</v>
      </c>
      <c r="U58" s="85">
        <v>4.3937304687597898</v>
      </c>
      <c r="V58" s="85">
        <v>0</v>
      </c>
      <c r="W58" s="85">
        <v>0</v>
      </c>
      <c r="X58" s="85">
        <v>0</v>
      </c>
      <c r="Y58" s="85">
        <v>0</v>
      </c>
      <c r="Z58" s="85">
        <v>0</v>
      </c>
      <c r="AA58" s="85">
        <v>0</v>
      </c>
      <c r="AB58" s="85">
        <v>0</v>
      </c>
      <c r="AC58" s="85">
        <v>0</v>
      </c>
      <c r="AD58" s="85">
        <v>0</v>
      </c>
      <c r="AE58" s="85">
        <v>-0.34833844908827599</v>
      </c>
      <c r="AF58" s="85">
        <v>-1.61068447764653E-2</v>
      </c>
      <c r="AG58" s="85">
        <v>-0.33651444075898601</v>
      </c>
      <c r="AH58" s="85">
        <v>0</v>
      </c>
      <c r="AI58" s="85">
        <v>0.18115625735656701</v>
      </c>
      <c r="AJ58" s="85">
        <v>0</v>
      </c>
      <c r="AK58" s="85">
        <v>0</v>
      </c>
      <c r="AL58" s="85">
        <v>0.716030162071706</v>
      </c>
      <c r="AM58" s="85">
        <v>0</v>
      </c>
      <c r="AN58" s="85">
        <v>-2.32495879435898</v>
      </c>
      <c r="AO58" s="85">
        <v>0</v>
      </c>
      <c r="AP58" s="85">
        <v>0</v>
      </c>
      <c r="AQ58" s="85">
        <v>0</v>
      </c>
      <c r="AR58" s="85">
        <v>0</v>
      </c>
      <c r="AS58" s="85">
        <v>0</v>
      </c>
      <c r="AT58" s="86">
        <v>-5.7093606525660201E-2</v>
      </c>
    </row>
    <row r="59" spans="2:46" ht="12" customHeight="1" x14ac:dyDescent="0.25">
      <c r="B59" s="84" t="s">
        <v>46</v>
      </c>
      <c r="C59" s="85" t="s">
        <v>35</v>
      </c>
      <c r="D59" s="85" t="s">
        <v>47</v>
      </c>
      <c r="E59" s="85" t="s">
        <v>101</v>
      </c>
      <c r="F59" s="85" t="s">
        <v>25</v>
      </c>
      <c r="G59" s="85" t="s">
        <v>37</v>
      </c>
      <c r="H59" s="85" t="s">
        <v>82</v>
      </c>
      <c r="I59" s="85" t="s">
        <v>25</v>
      </c>
      <c r="J59" s="85">
        <v>20.73</v>
      </c>
      <c r="K59" s="85">
        <v>-1.48</v>
      </c>
      <c r="L59" s="85">
        <v>0.80061275597070503</v>
      </c>
      <c r="M59" s="85">
        <v>0</v>
      </c>
      <c r="N59" s="85">
        <v>0</v>
      </c>
      <c r="O59" s="85">
        <v>0</v>
      </c>
      <c r="P59" s="85">
        <v>0</v>
      </c>
      <c r="Q59" s="85">
        <v>13.078699653472301</v>
      </c>
      <c r="R59" s="85">
        <v>4.7415689054494603</v>
      </c>
      <c r="S59" s="85">
        <v>0</v>
      </c>
      <c r="T59" s="85">
        <v>1.3446079206283299</v>
      </c>
      <c r="U59" s="85">
        <v>1.46456796591378</v>
      </c>
      <c r="V59" s="85">
        <v>0</v>
      </c>
      <c r="W59" s="85">
        <v>0</v>
      </c>
      <c r="X59" s="85">
        <v>0</v>
      </c>
      <c r="Y59" s="85">
        <v>0</v>
      </c>
      <c r="Z59" s="85">
        <v>0</v>
      </c>
      <c r="AA59" s="85">
        <v>0</v>
      </c>
      <c r="AB59" s="85">
        <v>0</v>
      </c>
      <c r="AC59" s="85">
        <v>0</v>
      </c>
      <c r="AD59" s="85">
        <v>0</v>
      </c>
      <c r="AE59" s="85">
        <v>-0.34833844908827599</v>
      </c>
      <c r="AF59" s="85">
        <v>-1.61068447764653E-2</v>
      </c>
      <c r="AG59" s="85">
        <v>-0.33651444075898601</v>
      </c>
      <c r="AH59" s="85">
        <v>0</v>
      </c>
      <c r="AI59" s="85">
        <v>0.18115625735656701</v>
      </c>
      <c r="AJ59" s="85">
        <v>0</v>
      </c>
      <c r="AK59" s="85">
        <v>0</v>
      </c>
      <c r="AL59" s="85">
        <v>0.716030162071706</v>
      </c>
      <c r="AM59" s="85">
        <v>0</v>
      </c>
      <c r="AN59" s="85">
        <v>-2.32495879435898</v>
      </c>
      <c r="AO59" s="85">
        <v>0</v>
      </c>
      <c r="AP59" s="85">
        <v>0</v>
      </c>
      <c r="AQ59" s="85">
        <v>0</v>
      </c>
      <c r="AR59" s="85">
        <v>0</v>
      </c>
      <c r="AS59" s="85">
        <v>0</v>
      </c>
      <c r="AT59" s="86">
        <v>-5.7093606525660201E-2</v>
      </c>
    </row>
    <row r="60" spans="2:46" ht="12" customHeight="1" x14ac:dyDescent="0.25">
      <c r="B60" s="84" t="s">
        <v>46</v>
      </c>
      <c r="C60" s="85" t="s">
        <v>35</v>
      </c>
      <c r="D60" s="85" t="s">
        <v>47</v>
      </c>
      <c r="E60" s="85" t="s">
        <v>25</v>
      </c>
      <c r="F60" s="85" t="s">
        <v>25</v>
      </c>
      <c r="G60" s="85" t="s">
        <v>36</v>
      </c>
      <c r="H60" s="85" t="s">
        <v>82</v>
      </c>
      <c r="I60" s="85" t="s">
        <v>25</v>
      </c>
      <c r="J60" s="85">
        <v>31.97</v>
      </c>
      <c r="K60" s="85">
        <v>-3.16</v>
      </c>
      <c r="L60" s="85">
        <v>0.80061275597070503</v>
      </c>
      <c r="M60" s="85">
        <v>0</v>
      </c>
      <c r="N60" s="85">
        <v>0</v>
      </c>
      <c r="O60" s="85">
        <v>0</v>
      </c>
      <c r="P60" s="85">
        <v>0</v>
      </c>
      <c r="Q60" s="85">
        <v>13.078699653472301</v>
      </c>
      <c r="R60" s="85">
        <v>4.7415689054494603</v>
      </c>
      <c r="S60" s="85">
        <v>0</v>
      </c>
      <c r="T60" s="85">
        <v>6.7230582141470698</v>
      </c>
      <c r="U60" s="85">
        <v>7.3228929716057998</v>
      </c>
      <c r="V60" s="85">
        <v>0</v>
      </c>
      <c r="W60" s="85">
        <v>0</v>
      </c>
      <c r="X60" s="85">
        <v>0</v>
      </c>
      <c r="Y60" s="85">
        <v>0</v>
      </c>
      <c r="Z60" s="85">
        <v>0</v>
      </c>
      <c r="AA60" s="85">
        <v>0</v>
      </c>
      <c r="AB60" s="85">
        <v>0</v>
      </c>
      <c r="AC60" s="85">
        <v>0</v>
      </c>
      <c r="AD60" s="85">
        <v>0</v>
      </c>
      <c r="AE60" s="85">
        <v>-0.34833844908827599</v>
      </c>
      <c r="AF60" s="85">
        <v>-1.61068447764653E-2</v>
      </c>
      <c r="AG60" s="85">
        <v>-0.33651444075898601</v>
      </c>
      <c r="AH60" s="85">
        <v>0</v>
      </c>
      <c r="AI60" s="85">
        <v>0.18115625735656701</v>
      </c>
      <c r="AJ60" s="85">
        <v>0</v>
      </c>
      <c r="AK60" s="85">
        <v>0</v>
      </c>
      <c r="AL60" s="85">
        <v>0.716030162071706</v>
      </c>
      <c r="AM60" s="85">
        <v>0</v>
      </c>
      <c r="AN60" s="85">
        <v>-3.9989291262974498</v>
      </c>
      <c r="AO60" s="85">
        <v>0</v>
      </c>
      <c r="AP60" s="85">
        <v>0</v>
      </c>
      <c r="AQ60" s="85">
        <v>0</v>
      </c>
      <c r="AR60" s="85">
        <v>0</v>
      </c>
      <c r="AS60" s="85">
        <v>0</v>
      </c>
      <c r="AT60" s="86">
        <v>-5.7093606525660201E-2</v>
      </c>
    </row>
    <row r="61" spans="2:46" ht="12" customHeight="1" x14ac:dyDescent="0.25">
      <c r="B61" s="84" t="s">
        <v>46</v>
      </c>
      <c r="C61" s="85" t="s">
        <v>35</v>
      </c>
      <c r="D61" s="85" t="s">
        <v>47</v>
      </c>
      <c r="E61" s="85" t="s">
        <v>25</v>
      </c>
      <c r="F61" s="85" t="s">
        <v>25</v>
      </c>
      <c r="G61" s="85" t="s">
        <v>38</v>
      </c>
      <c r="H61" s="85" t="s">
        <v>82</v>
      </c>
      <c r="I61" s="85" t="s">
        <v>25</v>
      </c>
      <c r="J61" s="85">
        <v>26.35</v>
      </c>
      <c r="K61" s="85">
        <v>-1.48</v>
      </c>
      <c r="L61" s="85">
        <v>0.80061275597070503</v>
      </c>
      <c r="M61" s="85">
        <v>0</v>
      </c>
      <c r="N61" s="85">
        <v>0</v>
      </c>
      <c r="O61" s="85">
        <v>0</v>
      </c>
      <c r="P61" s="85">
        <v>0</v>
      </c>
      <c r="Q61" s="85">
        <v>13.078699653472301</v>
      </c>
      <c r="R61" s="85">
        <v>4.7415689054494603</v>
      </c>
      <c r="S61" s="85">
        <v>0</v>
      </c>
      <c r="T61" s="85">
        <v>4.0338423728904198</v>
      </c>
      <c r="U61" s="85">
        <v>4.3937304687597898</v>
      </c>
      <c r="V61" s="85">
        <v>0</v>
      </c>
      <c r="W61" s="85">
        <v>0</v>
      </c>
      <c r="X61" s="85">
        <v>0</v>
      </c>
      <c r="Y61" s="85">
        <v>0</v>
      </c>
      <c r="Z61" s="85">
        <v>0</v>
      </c>
      <c r="AA61" s="85">
        <v>0</v>
      </c>
      <c r="AB61" s="85">
        <v>0</v>
      </c>
      <c r="AC61" s="85">
        <v>0</v>
      </c>
      <c r="AD61" s="85">
        <v>0</v>
      </c>
      <c r="AE61" s="85">
        <v>-0.34833844908827599</v>
      </c>
      <c r="AF61" s="85">
        <v>-1.61068447764653E-2</v>
      </c>
      <c r="AG61" s="85">
        <v>-0.33651444075898601</v>
      </c>
      <c r="AH61" s="85">
        <v>0</v>
      </c>
      <c r="AI61" s="85">
        <v>0.18115625735656701</v>
      </c>
      <c r="AJ61" s="85">
        <v>0</v>
      </c>
      <c r="AK61" s="85">
        <v>0</v>
      </c>
      <c r="AL61" s="85">
        <v>0.716030162071706</v>
      </c>
      <c r="AM61" s="85">
        <v>0</v>
      </c>
      <c r="AN61" s="85">
        <v>-2.32495879435898</v>
      </c>
      <c r="AO61" s="85">
        <v>0</v>
      </c>
      <c r="AP61" s="85">
        <v>0</v>
      </c>
      <c r="AQ61" s="85">
        <v>0</v>
      </c>
      <c r="AR61" s="85">
        <v>0</v>
      </c>
      <c r="AS61" s="85">
        <v>0</v>
      </c>
      <c r="AT61" s="86">
        <v>-5.7093606525660201E-2</v>
      </c>
    </row>
    <row r="62" spans="2:46" ht="12" customHeight="1" x14ac:dyDescent="0.25">
      <c r="B62" s="84" t="s">
        <v>46</v>
      </c>
      <c r="C62" s="85" t="s">
        <v>35</v>
      </c>
      <c r="D62" s="85" t="s">
        <v>47</v>
      </c>
      <c r="E62" s="85" t="s">
        <v>25</v>
      </c>
      <c r="F62" s="85" t="s">
        <v>25</v>
      </c>
      <c r="G62" s="85" t="s">
        <v>37</v>
      </c>
      <c r="H62" s="85" t="s">
        <v>82</v>
      </c>
      <c r="I62" s="85" t="s">
        <v>25</v>
      </c>
      <c r="J62" s="85">
        <v>20.73</v>
      </c>
      <c r="K62" s="85">
        <v>-1.48</v>
      </c>
      <c r="L62" s="85">
        <v>0.80061275597070503</v>
      </c>
      <c r="M62" s="85">
        <v>0</v>
      </c>
      <c r="N62" s="85">
        <v>0</v>
      </c>
      <c r="O62" s="85">
        <v>0</v>
      </c>
      <c r="P62" s="85">
        <v>0</v>
      </c>
      <c r="Q62" s="85">
        <v>13.078699653472301</v>
      </c>
      <c r="R62" s="85">
        <v>4.7415689054494603</v>
      </c>
      <c r="S62" s="85">
        <v>0</v>
      </c>
      <c r="T62" s="85">
        <v>1.3446079206283299</v>
      </c>
      <c r="U62" s="85">
        <v>1.46456796591378</v>
      </c>
      <c r="V62" s="85">
        <v>0</v>
      </c>
      <c r="W62" s="85">
        <v>0</v>
      </c>
      <c r="X62" s="85">
        <v>0</v>
      </c>
      <c r="Y62" s="85">
        <v>0</v>
      </c>
      <c r="Z62" s="85">
        <v>0</v>
      </c>
      <c r="AA62" s="85">
        <v>0</v>
      </c>
      <c r="AB62" s="85">
        <v>0</v>
      </c>
      <c r="AC62" s="85">
        <v>0</v>
      </c>
      <c r="AD62" s="85">
        <v>0</v>
      </c>
      <c r="AE62" s="85">
        <v>-0.34833844908827599</v>
      </c>
      <c r="AF62" s="85">
        <v>-1.61068447764653E-2</v>
      </c>
      <c r="AG62" s="85">
        <v>-0.33651444075898601</v>
      </c>
      <c r="AH62" s="85">
        <v>0</v>
      </c>
      <c r="AI62" s="85">
        <v>0.18115625735656701</v>
      </c>
      <c r="AJ62" s="85">
        <v>0</v>
      </c>
      <c r="AK62" s="85">
        <v>0</v>
      </c>
      <c r="AL62" s="85">
        <v>0.716030162071706</v>
      </c>
      <c r="AM62" s="85">
        <v>0</v>
      </c>
      <c r="AN62" s="85">
        <v>-2.32495879435898</v>
      </c>
      <c r="AO62" s="85">
        <v>0</v>
      </c>
      <c r="AP62" s="85">
        <v>0</v>
      </c>
      <c r="AQ62" s="85">
        <v>0</v>
      </c>
      <c r="AR62" s="85">
        <v>0</v>
      </c>
      <c r="AS62" s="85">
        <v>0</v>
      </c>
      <c r="AT62" s="86">
        <v>-5.7093606525660201E-2</v>
      </c>
    </row>
    <row r="63" spans="2:46" ht="12" customHeight="1" x14ac:dyDescent="0.25">
      <c r="B63" s="84" t="s">
        <v>46</v>
      </c>
      <c r="C63" s="85" t="s">
        <v>35</v>
      </c>
      <c r="D63" s="85" t="s">
        <v>47</v>
      </c>
      <c r="E63" s="85" t="s">
        <v>102</v>
      </c>
      <c r="F63" s="85" t="s">
        <v>25</v>
      </c>
      <c r="G63" s="85" t="s">
        <v>36</v>
      </c>
      <c r="H63" s="85" t="s">
        <v>82</v>
      </c>
      <c r="I63" s="85" t="s">
        <v>25</v>
      </c>
      <c r="J63" s="85">
        <v>31.29</v>
      </c>
      <c r="K63" s="85">
        <v>-3.09</v>
      </c>
      <c r="L63" s="85">
        <v>0.78357844201388105</v>
      </c>
      <c r="M63" s="85">
        <v>0</v>
      </c>
      <c r="N63" s="85">
        <v>0</v>
      </c>
      <c r="O63" s="85">
        <v>0</v>
      </c>
      <c r="P63" s="85">
        <v>0</v>
      </c>
      <c r="Q63" s="85">
        <v>12.8004294480792</v>
      </c>
      <c r="R63" s="85">
        <v>4.6406844606526603</v>
      </c>
      <c r="S63" s="85">
        <v>0</v>
      </c>
      <c r="T63" s="85">
        <v>6.5800144223567099</v>
      </c>
      <c r="U63" s="85">
        <v>7.16708673816738</v>
      </c>
      <c r="V63" s="85">
        <v>0</v>
      </c>
      <c r="W63" s="85">
        <v>0</v>
      </c>
      <c r="X63" s="85">
        <v>0</v>
      </c>
      <c r="Y63" s="85">
        <v>0</v>
      </c>
      <c r="Z63" s="85">
        <v>0</v>
      </c>
      <c r="AA63" s="85">
        <v>0</v>
      </c>
      <c r="AB63" s="85">
        <v>0</v>
      </c>
      <c r="AC63" s="85">
        <v>0</v>
      </c>
      <c r="AD63" s="85">
        <v>0</v>
      </c>
      <c r="AE63" s="85">
        <v>-0.34092699272469601</v>
      </c>
      <c r="AF63" s="85">
        <v>-1.5764145951434098E-2</v>
      </c>
      <c r="AG63" s="85">
        <v>-0.32935455904070998</v>
      </c>
      <c r="AH63" s="85">
        <v>0</v>
      </c>
      <c r="AI63" s="85">
        <v>0.17730186890217201</v>
      </c>
      <c r="AJ63" s="85">
        <v>0</v>
      </c>
      <c r="AK63" s="85">
        <v>0</v>
      </c>
      <c r="AL63" s="85">
        <v>0.700795477772308</v>
      </c>
      <c r="AM63" s="85">
        <v>0</v>
      </c>
      <c r="AN63" s="85">
        <v>-3.9138455278655901</v>
      </c>
      <c r="AO63" s="85">
        <v>0</v>
      </c>
      <c r="AP63" s="85">
        <v>0</v>
      </c>
      <c r="AQ63" s="85">
        <v>0</v>
      </c>
      <c r="AR63" s="85">
        <v>0</v>
      </c>
      <c r="AS63" s="85">
        <v>0</v>
      </c>
      <c r="AT63" s="86">
        <v>-5.58788489400079E-2</v>
      </c>
    </row>
    <row r="64" spans="2:46" ht="12" customHeight="1" x14ac:dyDescent="0.25">
      <c r="B64" s="84" t="s">
        <v>46</v>
      </c>
      <c r="C64" s="85" t="s">
        <v>35</v>
      </c>
      <c r="D64" s="85" t="s">
        <v>47</v>
      </c>
      <c r="E64" s="85" t="s">
        <v>102</v>
      </c>
      <c r="F64" s="85" t="s">
        <v>25</v>
      </c>
      <c r="G64" s="85" t="s">
        <v>38</v>
      </c>
      <c r="H64" s="85" t="s">
        <v>82</v>
      </c>
      <c r="I64" s="85" t="s">
        <v>25</v>
      </c>
      <c r="J64" s="85">
        <v>25.79</v>
      </c>
      <c r="K64" s="85">
        <v>-1.45</v>
      </c>
      <c r="L64" s="85">
        <v>0.78357844201388105</v>
      </c>
      <c r="M64" s="85">
        <v>0</v>
      </c>
      <c r="N64" s="85">
        <v>0</v>
      </c>
      <c r="O64" s="85">
        <v>0</v>
      </c>
      <c r="P64" s="85">
        <v>0</v>
      </c>
      <c r="Q64" s="85">
        <v>12.8004294480792</v>
      </c>
      <c r="R64" s="85">
        <v>4.6406844606526603</v>
      </c>
      <c r="S64" s="85">
        <v>0</v>
      </c>
      <c r="T64" s="85">
        <v>3.9480159394246601</v>
      </c>
      <c r="U64" s="85">
        <v>4.3002468417649</v>
      </c>
      <c r="V64" s="85">
        <v>0</v>
      </c>
      <c r="W64" s="85">
        <v>0</v>
      </c>
      <c r="X64" s="85">
        <v>0</v>
      </c>
      <c r="Y64" s="85">
        <v>0</v>
      </c>
      <c r="Z64" s="85">
        <v>0</v>
      </c>
      <c r="AA64" s="85">
        <v>0</v>
      </c>
      <c r="AB64" s="85">
        <v>0</v>
      </c>
      <c r="AC64" s="85">
        <v>0</v>
      </c>
      <c r="AD64" s="85">
        <v>0</v>
      </c>
      <c r="AE64" s="85">
        <v>-0.34092699272469601</v>
      </c>
      <c r="AF64" s="85">
        <v>-1.5764145951434098E-2</v>
      </c>
      <c r="AG64" s="85">
        <v>-0.32935455904070998</v>
      </c>
      <c r="AH64" s="85">
        <v>0</v>
      </c>
      <c r="AI64" s="85">
        <v>0.17730186890217201</v>
      </c>
      <c r="AJ64" s="85">
        <v>0</v>
      </c>
      <c r="AK64" s="85">
        <v>0</v>
      </c>
      <c r="AL64" s="85">
        <v>0.700795477772308</v>
      </c>
      <c r="AM64" s="85">
        <v>0</v>
      </c>
      <c r="AN64" s="85">
        <v>-2.2754915859683602</v>
      </c>
      <c r="AO64" s="85">
        <v>0</v>
      </c>
      <c r="AP64" s="85">
        <v>0</v>
      </c>
      <c r="AQ64" s="85">
        <v>0</v>
      </c>
      <c r="AR64" s="85">
        <v>0</v>
      </c>
      <c r="AS64" s="85">
        <v>0</v>
      </c>
      <c r="AT64" s="86">
        <v>-5.58788489400079E-2</v>
      </c>
    </row>
    <row r="65" spans="2:46" ht="12" customHeight="1" x14ac:dyDescent="0.25">
      <c r="B65" s="84" t="s">
        <v>46</v>
      </c>
      <c r="C65" s="85" t="s">
        <v>35</v>
      </c>
      <c r="D65" s="85" t="s">
        <v>47</v>
      </c>
      <c r="E65" s="85" t="s">
        <v>102</v>
      </c>
      <c r="F65" s="85" t="s">
        <v>25</v>
      </c>
      <c r="G65" s="85" t="s">
        <v>37</v>
      </c>
      <c r="H65" s="85" t="s">
        <v>82</v>
      </c>
      <c r="I65" s="85" t="s">
        <v>25</v>
      </c>
      <c r="J65" s="85">
        <v>20.29</v>
      </c>
      <c r="K65" s="85">
        <v>-1.45</v>
      </c>
      <c r="L65" s="85">
        <v>0.78357844201388105</v>
      </c>
      <c r="M65" s="85">
        <v>0</v>
      </c>
      <c r="N65" s="85">
        <v>0</v>
      </c>
      <c r="O65" s="85">
        <v>0</v>
      </c>
      <c r="P65" s="85">
        <v>0</v>
      </c>
      <c r="Q65" s="85">
        <v>12.8004294480792</v>
      </c>
      <c r="R65" s="85">
        <v>4.6406844606526603</v>
      </c>
      <c r="S65" s="85">
        <v>0</v>
      </c>
      <c r="T65" s="85">
        <v>1.31599924146602</v>
      </c>
      <c r="U65" s="85">
        <v>1.4334069453624201</v>
      </c>
      <c r="V65" s="85">
        <v>0</v>
      </c>
      <c r="W65" s="85">
        <v>0</v>
      </c>
      <c r="X65" s="85">
        <v>0</v>
      </c>
      <c r="Y65" s="85">
        <v>0</v>
      </c>
      <c r="Z65" s="85">
        <v>0</v>
      </c>
      <c r="AA65" s="85">
        <v>0</v>
      </c>
      <c r="AB65" s="85">
        <v>0</v>
      </c>
      <c r="AC65" s="85">
        <v>0</v>
      </c>
      <c r="AD65" s="85">
        <v>0</v>
      </c>
      <c r="AE65" s="85">
        <v>-0.34092699272469601</v>
      </c>
      <c r="AF65" s="85">
        <v>-1.5764145951434098E-2</v>
      </c>
      <c r="AG65" s="85">
        <v>-0.32935455904070998</v>
      </c>
      <c r="AH65" s="85">
        <v>0</v>
      </c>
      <c r="AI65" s="85">
        <v>0.17730186890217201</v>
      </c>
      <c r="AJ65" s="85">
        <v>0</v>
      </c>
      <c r="AK65" s="85">
        <v>0</v>
      </c>
      <c r="AL65" s="85">
        <v>0.700795477772308</v>
      </c>
      <c r="AM65" s="85">
        <v>0</v>
      </c>
      <c r="AN65" s="85">
        <v>-2.2754915859683602</v>
      </c>
      <c r="AO65" s="85">
        <v>0</v>
      </c>
      <c r="AP65" s="85">
        <v>0</v>
      </c>
      <c r="AQ65" s="85">
        <v>0</v>
      </c>
      <c r="AR65" s="85">
        <v>0</v>
      </c>
      <c r="AS65" s="85">
        <v>0</v>
      </c>
      <c r="AT65" s="86">
        <v>-5.58788489400079E-2</v>
      </c>
    </row>
    <row r="66" spans="2:46" ht="12" customHeight="1" x14ac:dyDescent="0.25">
      <c r="B66" s="84" t="s">
        <v>46</v>
      </c>
      <c r="C66" s="85" t="s">
        <v>23</v>
      </c>
      <c r="D66" s="85" t="s">
        <v>47</v>
      </c>
      <c r="E66" s="85" t="s">
        <v>101</v>
      </c>
      <c r="F66" s="85" t="s">
        <v>25</v>
      </c>
      <c r="G66" s="85" t="s">
        <v>25</v>
      </c>
      <c r="H66" s="85" t="s">
        <v>82</v>
      </c>
      <c r="I66" s="85" t="s">
        <v>25</v>
      </c>
      <c r="J66" s="85">
        <v>22.53</v>
      </c>
      <c r="K66" s="85">
        <v>-1.62</v>
      </c>
      <c r="L66" s="85">
        <v>0.80061275597070503</v>
      </c>
      <c r="M66" s="85">
        <v>0</v>
      </c>
      <c r="N66" s="85">
        <v>0</v>
      </c>
      <c r="O66" s="85">
        <v>0</v>
      </c>
      <c r="P66" s="85">
        <v>0</v>
      </c>
      <c r="Q66" s="85">
        <v>13.078699653472301</v>
      </c>
      <c r="R66" s="85">
        <v>4.7415689054494603</v>
      </c>
      <c r="S66" s="85">
        <v>0</v>
      </c>
      <c r="T66" s="85">
        <v>2.20428748365656</v>
      </c>
      <c r="U66" s="85">
        <v>2.4009572270899202</v>
      </c>
      <c r="V66" s="85">
        <v>0</v>
      </c>
      <c r="W66" s="85">
        <v>0</v>
      </c>
      <c r="X66" s="85">
        <v>0</v>
      </c>
      <c r="Y66" s="85">
        <v>0</v>
      </c>
      <c r="Z66" s="85">
        <v>0</v>
      </c>
      <c r="AA66" s="85">
        <v>0</v>
      </c>
      <c r="AB66" s="85">
        <v>0</v>
      </c>
      <c r="AC66" s="85">
        <v>0</v>
      </c>
      <c r="AD66" s="85">
        <v>0</v>
      </c>
      <c r="AE66" s="85">
        <v>-0.34833844908827599</v>
      </c>
      <c r="AF66" s="85">
        <v>-1.61068447764653E-2</v>
      </c>
      <c r="AG66" s="85">
        <v>-0.33651444075898601</v>
      </c>
      <c r="AH66" s="85">
        <v>0</v>
      </c>
      <c r="AI66" s="85">
        <v>0.18115625735656701</v>
      </c>
      <c r="AJ66" s="85">
        <v>0</v>
      </c>
      <c r="AK66" s="85">
        <v>0</v>
      </c>
      <c r="AL66" s="85">
        <v>0.716030162071706</v>
      </c>
      <c r="AM66" s="85">
        <v>0</v>
      </c>
      <c r="AN66" s="85">
        <v>-2.4644563220205198</v>
      </c>
      <c r="AO66" s="85">
        <v>0</v>
      </c>
      <c r="AP66" s="85">
        <v>0</v>
      </c>
      <c r="AQ66" s="85">
        <v>0</v>
      </c>
      <c r="AR66" s="85">
        <v>0</v>
      </c>
      <c r="AS66" s="85">
        <v>0</v>
      </c>
      <c r="AT66" s="86">
        <v>-5.7093606525660201E-2</v>
      </c>
    </row>
    <row r="67" spans="2:46" ht="12" customHeight="1" x14ac:dyDescent="0.25">
      <c r="B67" s="84" t="s">
        <v>46</v>
      </c>
      <c r="C67" s="85" t="s">
        <v>23</v>
      </c>
      <c r="D67" s="85" t="s">
        <v>47</v>
      </c>
      <c r="E67" s="85" t="s">
        <v>25</v>
      </c>
      <c r="F67" s="85" t="s">
        <v>25</v>
      </c>
      <c r="G67" s="85" t="s">
        <v>25</v>
      </c>
      <c r="H67" s="85" t="s">
        <v>82</v>
      </c>
      <c r="I67" s="85" t="s">
        <v>25</v>
      </c>
      <c r="J67" s="85">
        <v>22.53</v>
      </c>
      <c r="K67" s="85">
        <v>-1.62</v>
      </c>
      <c r="L67" s="85">
        <v>0.80061275597070503</v>
      </c>
      <c r="M67" s="85">
        <v>0</v>
      </c>
      <c r="N67" s="85">
        <v>0</v>
      </c>
      <c r="O67" s="85">
        <v>0</v>
      </c>
      <c r="P67" s="85">
        <v>0</v>
      </c>
      <c r="Q67" s="85">
        <v>13.078699653472301</v>
      </c>
      <c r="R67" s="85">
        <v>4.7415689054494603</v>
      </c>
      <c r="S67" s="85">
        <v>0</v>
      </c>
      <c r="T67" s="85">
        <v>2.20428748365656</v>
      </c>
      <c r="U67" s="85">
        <v>2.4009572270899202</v>
      </c>
      <c r="V67" s="85">
        <v>0</v>
      </c>
      <c r="W67" s="85">
        <v>0</v>
      </c>
      <c r="X67" s="85">
        <v>0</v>
      </c>
      <c r="Y67" s="85">
        <v>0</v>
      </c>
      <c r="Z67" s="85">
        <v>0</v>
      </c>
      <c r="AA67" s="85">
        <v>0</v>
      </c>
      <c r="AB67" s="85">
        <v>0</v>
      </c>
      <c r="AC67" s="85">
        <v>0</v>
      </c>
      <c r="AD67" s="85">
        <v>0</v>
      </c>
      <c r="AE67" s="85">
        <v>-0.34833844908827599</v>
      </c>
      <c r="AF67" s="85">
        <v>-1.61068447764653E-2</v>
      </c>
      <c r="AG67" s="85">
        <v>-0.33651444075898601</v>
      </c>
      <c r="AH67" s="85">
        <v>0</v>
      </c>
      <c r="AI67" s="85">
        <v>0.18115625735656701</v>
      </c>
      <c r="AJ67" s="85">
        <v>0</v>
      </c>
      <c r="AK67" s="85">
        <v>0</v>
      </c>
      <c r="AL67" s="85">
        <v>0.716030162071706</v>
      </c>
      <c r="AM67" s="85">
        <v>0</v>
      </c>
      <c r="AN67" s="85">
        <v>-2.4644563220205198</v>
      </c>
      <c r="AO67" s="85">
        <v>0</v>
      </c>
      <c r="AP67" s="85">
        <v>0</v>
      </c>
      <c r="AQ67" s="85">
        <v>0</v>
      </c>
      <c r="AR67" s="85">
        <v>0</v>
      </c>
      <c r="AS67" s="85">
        <v>0</v>
      </c>
      <c r="AT67" s="86">
        <v>-5.7093606525660201E-2</v>
      </c>
    </row>
    <row r="68" spans="2:46" ht="12" customHeight="1" x14ac:dyDescent="0.25">
      <c r="B68" s="84" t="s">
        <v>46</v>
      </c>
      <c r="C68" s="85" t="s">
        <v>23</v>
      </c>
      <c r="D68" s="85" t="s">
        <v>47</v>
      </c>
      <c r="E68" s="85" t="s">
        <v>102</v>
      </c>
      <c r="F68" s="85" t="s">
        <v>25</v>
      </c>
      <c r="G68" s="85" t="s">
        <v>25</v>
      </c>
      <c r="H68" s="85" t="s">
        <v>82</v>
      </c>
      <c r="I68" s="85" t="s">
        <v>25</v>
      </c>
      <c r="J68" s="85">
        <v>22.05</v>
      </c>
      <c r="K68" s="85">
        <v>-1.5899999999999999</v>
      </c>
      <c r="L68" s="85">
        <v>0.78357844201388105</v>
      </c>
      <c r="M68" s="85">
        <v>0</v>
      </c>
      <c r="N68" s="85">
        <v>0</v>
      </c>
      <c r="O68" s="85">
        <v>0</v>
      </c>
      <c r="P68" s="85">
        <v>0</v>
      </c>
      <c r="Q68" s="85">
        <v>12.8004294480792</v>
      </c>
      <c r="R68" s="85">
        <v>4.6406844606526603</v>
      </c>
      <c r="S68" s="85">
        <v>0</v>
      </c>
      <c r="T68" s="85">
        <v>2.1573877499617402</v>
      </c>
      <c r="U68" s="85">
        <v>2.34987303076886</v>
      </c>
      <c r="V68" s="85">
        <v>0</v>
      </c>
      <c r="W68" s="85">
        <v>0</v>
      </c>
      <c r="X68" s="85">
        <v>0</v>
      </c>
      <c r="Y68" s="85">
        <v>0</v>
      </c>
      <c r="Z68" s="85">
        <v>0</v>
      </c>
      <c r="AA68" s="85">
        <v>0</v>
      </c>
      <c r="AB68" s="85">
        <v>0</v>
      </c>
      <c r="AC68" s="85">
        <v>0</v>
      </c>
      <c r="AD68" s="85">
        <v>0</v>
      </c>
      <c r="AE68" s="85">
        <v>-0.34092699272469601</v>
      </c>
      <c r="AF68" s="85">
        <v>-1.5764145951434098E-2</v>
      </c>
      <c r="AG68" s="85">
        <v>-0.32935455904070998</v>
      </c>
      <c r="AH68" s="85">
        <v>0</v>
      </c>
      <c r="AI68" s="85">
        <v>0.17730186890217201</v>
      </c>
      <c r="AJ68" s="85">
        <v>0</v>
      </c>
      <c r="AK68" s="85">
        <v>0</v>
      </c>
      <c r="AL68" s="85">
        <v>0.700795477772308</v>
      </c>
      <c r="AM68" s="85">
        <v>0</v>
      </c>
      <c r="AN68" s="85">
        <v>-2.4120210811264702</v>
      </c>
      <c r="AO68" s="85">
        <v>0</v>
      </c>
      <c r="AP68" s="85">
        <v>0</v>
      </c>
      <c r="AQ68" s="85">
        <v>0</v>
      </c>
      <c r="AR68" s="85">
        <v>0</v>
      </c>
      <c r="AS68" s="85">
        <v>0</v>
      </c>
      <c r="AT68" s="86">
        <v>-5.58788489400079E-2</v>
      </c>
    </row>
    <row r="69" spans="2:46" ht="12" customHeight="1" x14ac:dyDescent="0.25">
      <c r="B69" s="84" t="s">
        <v>46</v>
      </c>
      <c r="C69" s="85" t="s">
        <v>100</v>
      </c>
      <c r="D69" s="85" t="s">
        <v>47</v>
      </c>
      <c r="E69" s="85" t="s">
        <v>101</v>
      </c>
      <c r="F69" s="85" t="s">
        <v>25</v>
      </c>
      <c r="G69" s="85" t="s">
        <v>25</v>
      </c>
      <c r="H69" s="85" t="s">
        <v>82</v>
      </c>
      <c r="I69" s="85" t="s">
        <v>25</v>
      </c>
      <c r="J69" s="85">
        <v>22.53</v>
      </c>
      <c r="K69" s="85">
        <v>-1.62</v>
      </c>
      <c r="L69" s="85">
        <v>0.80061275597070503</v>
      </c>
      <c r="M69" s="85">
        <v>0</v>
      </c>
      <c r="N69" s="85">
        <v>0</v>
      </c>
      <c r="O69" s="85">
        <v>0</v>
      </c>
      <c r="P69" s="85">
        <v>0</v>
      </c>
      <c r="Q69" s="85">
        <v>13.078699653472301</v>
      </c>
      <c r="R69" s="85">
        <v>4.7415689054494603</v>
      </c>
      <c r="S69" s="85">
        <v>0</v>
      </c>
      <c r="T69" s="85">
        <v>2.20428748365656</v>
      </c>
      <c r="U69" s="85">
        <v>2.4009572270899202</v>
      </c>
      <c r="V69" s="85">
        <v>0</v>
      </c>
      <c r="W69" s="85">
        <v>0</v>
      </c>
      <c r="X69" s="85">
        <v>0</v>
      </c>
      <c r="Y69" s="85">
        <v>0</v>
      </c>
      <c r="Z69" s="85">
        <v>0</v>
      </c>
      <c r="AA69" s="85">
        <v>0</v>
      </c>
      <c r="AB69" s="85">
        <v>0</v>
      </c>
      <c r="AC69" s="85">
        <v>0</v>
      </c>
      <c r="AD69" s="85">
        <v>0</v>
      </c>
      <c r="AE69" s="85">
        <v>-0.34833844908827599</v>
      </c>
      <c r="AF69" s="85">
        <v>-1.61068447764653E-2</v>
      </c>
      <c r="AG69" s="85">
        <v>-0.33651444075898601</v>
      </c>
      <c r="AH69" s="85">
        <v>0</v>
      </c>
      <c r="AI69" s="85">
        <v>0.18115625735656701</v>
      </c>
      <c r="AJ69" s="85">
        <v>0</v>
      </c>
      <c r="AK69" s="85">
        <v>0</v>
      </c>
      <c r="AL69" s="85">
        <v>0.716030162071706</v>
      </c>
      <c r="AM69" s="85">
        <v>0</v>
      </c>
      <c r="AN69" s="85">
        <v>-2.4644563220205198</v>
      </c>
      <c r="AO69" s="85">
        <v>0</v>
      </c>
      <c r="AP69" s="85">
        <v>0</v>
      </c>
      <c r="AQ69" s="85">
        <v>0</v>
      </c>
      <c r="AR69" s="85">
        <v>0</v>
      </c>
      <c r="AS69" s="85">
        <v>0</v>
      </c>
      <c r="AT69" s="86">
        <v>-5.7093606525660201E-2</v>
      </c>
    </row>
    <row r="70" spans="2:46" ht="12" customHeight="1" x14ac:dyDescent="0.25">
      <c r="B70" s="84" t="s">
        <v>46</v>
      </c>
      <c r="C70" s="85" t="s">
        <v>100</v>
      </c>
      <c r="D70" s="85" t="s">
        <v>47</v>
      </c>
      <c r="E70" s="85" t="s">
        <v>25</v>
      </c>
      <c r="F70" s="85" t="s">
        <v>25</v>
      </c>
      <c r="G70" s="85" t="s">
        <v>25</v>
      </c>
      <c r="H70" s="85" t="s">
        <v>82</v>
      </c>
      <c r="I70" s="85" t="s">
        <v>25</v>
      </c>
      <c r="J70" s="85">
        <v>22.53</v>
      </c>
      <c r="K70" s="85">
        <v>-1.62</v>
      </c>
      <c r="L70" s="85">
        <v>0.80061275597070503</v>
      </c>
      <c r="M70" s="85">
        <v>0</v>
      </c>
      <c r="N70" s="85">
        <v>0</v>
      </c>
      <c r="O70" s="85">
        <v>0</v>
      </c>
      <c r="P70" s="85">
        <v>0</v>
      </c>
      <c r="Q70" s="85">
        <v>13.078699653472301</v>
      </c>
      <c r="R70" s="85">
        <v>4.7415689054494603</v>
      </c>
      <c r="S70" s="85">
        <v>0</v>
      </c>
      <c r="T70" s="85">
        <v>2.20428748365656</v>
      </c>
      <c r="U70" s="85">
        <v>2.4009572270899202</v>
      </c>
      <c r="V70" s="85">
        <v>0</v>
      </c>
      <c r="W70" s="85">
        <v>0</v>
      </c>
      <c r="X70" s="85">
        <v>0</v>
      </c>
      <c r="Y70" s="85">
        <v>0</v>
      </c>
      <c r="Z70" s="85">
        <v>0</v>
      </c>
      <c r="AA70" s="85">
        <v>0</v>
      </c>
      <c r="AB70" s="85">
        <v>0</v>
      </c>
      <c r="AC70" s="85">
        <v>0</v>
      </c>
      <c r="AD70" s="85">
        <v>0</v>
      </c>
      <c r="AE70" s="85">
        <v>-0.34833844908827599</v>
      </c>
      <c r="AF70" s="85">
        <v>-1.61068447764653E-2</v>
      </c>
      <c r="AG70" s="85">
        <v>-0.33651444075898601</v>
      </c>
      <c r="AH70" s="85">
        <v>0</v>
      </c>
      <c r="AI70" s="85">
        <v>0.18115625735656701</v>
      </c>
      <c r="AJ70" s="85">
        <v>0</v>
      </c>
      <c r="AK70" s="85">
        <v>0</v>
      </c>
      <c r="AL70" s="85">
        <v>0.716030162071706</v>
      </c>
      <c r="AM70" s="85">
        <v>0</v>
      </c>
      <c r="AN70" s="85">
        <v>-2.4644563220205198</v>
      </c>
      <c r="AO70" s="85">
        <v>0</v>
      </c>
      <c r="AP70" s="85">
        <v>0</v>
      </c>
      <c r="AQ70" s="85">
        <v>0</v>
      </c>
      <c r="AR70" s="85">
        <v>0</v>
      </c>
      <c r="AS70" s="85">
        <v>0</v>
      </c>
      <c r="AT70" s="86">
        <v>-5.7093606525660201E-2</v>
      </c>
    </row>
    <row r="71" spans="2:46" ht="12" customHeight="1" x14ac:dyDescent="0.25">
      <c r="B71" s="84" t="s">
        <v>46</v>
      </c>
      <c r="C71" s="85" t="s">
        <v>100</v>
      </c>
      <c r="D71" s="85" t="s">
        <v>47</v>
      </c>
      <c r="E71" s="85" t="s">
        <v>102</v>
      </c>
      <c r="F71" s="85" t="s">
        <v>25</v>
      </c>
      <c r="G71" s="85" t="s">
        <v>25</v>
      </c>
      <c r="H71" s="85" t="s">
        <v>82</v>
      </c>
      <c r="I71" s="85" t="s">
        <v>25</v>
      </c>
      <c r="J71" s="85">
        <v>22.05</v>
      </c>
      <c r="K71" s="85">
        <v>-1.5899999999999999</v>
      </c>
      <c r="L71" s="85">
        <v>0.78357844201388105</v>
      </c>
      <c r="M71" s="85">
        <v>0</v>
      </c>
      <c r="N71" s="85">
        <v>0</v>
      </c>
      <c r="O71" s="85">
        <v>0</v>
      </c>
      <c r="P71" s="85">
        <v>0</v>
      </c>
      <c r="Q71" s="85">
        <v>12.8004294480792</v>
      </c>
      <c r="R71" s="85">
        <v>4.6406844606526603</v>
      </c>
      <c r="S71" s="85">
        <v>0</v>
      </c>
      <c r="T71" s="85">
        <v>2.1573877499617402</v>
      </c>
      <c r="U71" s="85">
        <v>2.34987303076886</v>
      </c>
      <c r="V71" s="85">
        <v>0</v>
      </c>
      <c r="W71" s="85">
        <v>0</v>
      </c>
      <c r="X71" s="85">
        <v>0</v>
      </c>
      <c r="Y71" s="85">
        <v>0</v>
      </c>
      <c r="Z71" s="85">
        <v>0</v>
      </c>
      <c r="AA71" s="85">
        <v>0</v>
      </c>
      <c r="AB71" s="85">
        <v>0</v>
      </c>
      <c r="AC71" s="85">
        <v>0</v>
      </c>
      <c r="AD71" s="85">
        <v>0</v>
      </c>
      <c r="AE71" s="85">
        <v>-0.34092699272469601</v>
      </c>
      <c r="AF71" s="85">
        <v>-1.5764145951434098E-2</v>
      </c>
      <c r="AG71" s="85">
        <v>-0.32935455904070998</v>
      </c>
      <c r="AH71" s="85">
        <v>0</v>
      </c>
      <c r="AI71" s="85">
        <v>0.17730186890217201</v>
      </c>
      <c r="AJ71" s="85">
        <v>0</v>
      </c>
      <c r="AK71" s="85">
        <v>0</v>
      </c>
      <c r="AL71" s="85">
        <v>0.700795477772308</v>
      </c>
      <c r="AM71" s="85">
        <v>0</v>
      </c>
      <c r="AN71" s="85">
        <v>-2.4120210811264702</v>
      </c>
      <c r="AO71" s="85">
        <v>0</v>
      </c>
      <c r="AP71" s="85">
        <v>0</v>
      </c>
      <c r="AQ71" s="85">
        <v>0</v>
      </c>
      <c r="AR71" s="85">
        <v>0</v>
      </c>
      <c r="AS71" s="85">
        <v>0</v>
      </c>
      <c r="AT71" s="86">
        <v>-5.58788489400079E-2</v>
      </c>
    </row>
    <row r="72" spans="2:46" ht="12" customHeight="1" x14ac:dyDescent="0.25">
      <c r="B72" s="84" t="s">
        <v>39</v>
      </c>
      <c r="C72" s="85" t="s">
        <v>35</v>
      </c>
      <c r="D72" s="85" t="s">
        <v>25</v>
      </c>
      <c r="E72" s="85" t="s">
        <v>25</v>
      </c>
      <c r="F72" s="85" t="s">
        <v>25</v>
      </c>
      <c r="G72" s="85" t="s">
        <v>36</v>
      </c>
      <c r="H72" s="85" t="s">
        <v>82</v>
      </c>
      <c r="I72" s="85" t="s">
        <v>25</v>
      </c>
      <c r="J72" s="85">
        <v>35.72</v>
      </c>
      <c r="K72" s="85">
        <v>-3.36</v>
      </c>
      <c r="L72" s="85">
        <v>0.85171569784117496</v>
      </c>
      <c r="M72" s="85">
        <v>0</v>
      </c>
      <c r="N72" s="85">
        <v>0</v>
      </c>
      <c r="O72" s="85">
        <v>0</v>
      </c>
      <c r="P72" s="85">
        <v>0</v>
      </c>
      <c r="Q72" s="85">
        <v>13.913510269651301</v>
      </c>
      <c r="R72" s="85">
        <v>5.0442222398398497</v>
      </c>
      <c r="S72" s="85">
        <v>0</v>
      </c>
      <c r="T72" s="85">
        <v>7.9729349291775202</v>
      </c>
      <c r="U72" s="85">
        <v>8.6842851075396492</v>
      </c>
      <c r="V72" s="85">
        <v>0</v>
      </c>
      <c r="W72" s="85">
        <v>0</v>
      </c>
      <c r="X72" s="85">
        <v>0</v>
      </c>
      <c r="Y72" s="85">
        <v>0</v>
      </c>
      <c r="Z72" s="85">
        <v>0</v>
      </c>
      <c r="AA72" s="85">
        <v>0</v>
      </c>
      <c r="AB72" s="85">
        <v>0</v>
      </c>
      <c r="AC72" s="85">
        <v>0</v>
      </c>
      <c r="AD72" s="85">
        <v>0</v>
      </c>
      <c r="AE72" s="85">
        <v>-0.37057281817901699</v>
      </c>
      <c r="AF72" s="85">
        <v>-1.7134941251558799E-2</v>
      </c>
      <c r="AG72" s="85">
        <v>-0.35799408591381499</v>
      </c>
      <c r="AH72" s="85">
        <v>0</v>
      </c>
      <c r="AI72" s="85">
        <v>0.19271942271975201</v>
      </c>
      <c r="AJ72" s="85">
        <v>0</v>
      </c>
      <c r="AK72" s="85">
        <v>0</v>
      </c>
      <c r="AL72" s="85">
        <v>0.76173421496990001</v>
      </c>
      <c r="AM72" s="85">
        <v>0</v>
      </c>
      <c r="AN72" s="85">
        <v>-4.25417992159303</v>
      </c>
      <c r="AO72" s="85">
        <v>0</v>
      </c>
      <c r="AP72" s="85">
        <v>0</v>
      </c>
      <c r="AQ72" s="85">
        <v>0</v>
      </c>
      <c r="AR72" s="85">
        <v>0</v>
      </c>
      <c r="AS72" s="85">
        <v>0</v>
      </c>
      <c r="AT72" s="86">
        <v>-6.0737879282617299E-2</v>
      </c>
    </row>
    <row r="73" spans="2:46" ht="12" customHeight="1" x14ac:dyDescent="0.25">
      <c r="B73" s="84" t="s">
        <v>39</v>
      </c>
      <c r="C73" s="85" t="s">
        <v>35</v>
      </c>
      <c r="D73" s="85" t="s">
        <v>25</v>
      </c>
      <c r="E73" s="85" t="s">
        <v>25</v>
      </c>
      <c r="F73" s="85" t="s">
        <v>25</v>
      </c>
      <c r="G73" s="85" t="s">
        <v>38</v>
      </c>
      <c r="H73" s="85" t="s">
        <v>82</v>
      </c>
      <c r="I73" s="85" t="s">
        <v>25</v>
      </c>
      <c r="J73" s="85">
        <v>29.06</v>
      </c>
      <c r="K73" s="85">
        <v>-1.58</v>
      </c>
      <c r="L73" s="85">
        <v>0.85171569784117496</v>
      </c>
      <c r="M73" s="85">
        <v>0</v>
      </c>
      <c r="N73" s="85">
        <v>0</v>
      </c>
      <c r="O73" s="85">
        <v>0</v>
      </c>
      <c r="P73" s="85">
        <v>0</v>
      </c>
      <c r="Q73" s="85">
        <v>13.913510269651301</v>
      </c>
      <c r="R73" s="85">
        <v>5.0442222398398497</v>
      </c>
      <c r="S73" s="85">
        <v>0</v>
      </c>
      <c r="T73" s="85">
        <v>4.7837609575065096</v>
      </c>
      <c r="U73" s="85">
        <v>5.2105767179319704</v>
      </c>
      <c r="V73" s="85">
        <v>0</v>
      </c>
      <c r="W73" s="85">
        <v>0</v>
      </c>
      <c r="X73" s="85">
        <v>0</v>
      </c>
      <c r="Y73" s="85">
        <v>0</v>
      </c>
      <c r="Z73" s="85">
        <v>0</v>
      </c>
      <c r="AA73" s="85">
        <v>0</v>
      </c>
      <c r="AB73" s="85">
        <v>0</v>
      </c>
      <c r="AC73" s="85">
        <v>0</v>
      </c>
      <c r="AD73" s="85">
        <v>0</v>
      </c>
      <c r="AE73" s="85">
        <v>-0.37057281817901699</v>
      </c>
      <c r="AF73" s="85">
        <v>-1.7134941251558799E-2</v>
      </c>
      <c r="AG73" s="85">
        <v>-0.35799408591381499</v>
      </c>
      <c r="AH73" s="85">
        <v>0</v>
      </c>
      <c r="AI73" s="85">
        <v>0.19271942271975201</v>
      </c>
      <c r="AJ73" s="85">
        <v>0</v>
      </c>
      <c r="AK73" s="85">
        <v>0</v>
      </c>
      <c r="AL73" s="85">
        <v>0.76173421496990001</v>
      </c>
      <c r="AM73" s="85">
        <v>0</v>
      </c>
      <c r="AN73" s="85">
        <v>-2.4733604195308301</v>
      </c>
      <c r="AO73" s="85">
        <v>0</v>
      </c>
      <c r="AP73" s="85">
        <v>0</v>
      </c>
      <c r="AQ73" s="85">
        <v>0</v>
      </c>
      <c r="AR73" s="85">
        <v>0</v>
      </c>
      <c r="AS73" s="85">
        <v>0</v>
      </c>
      <c r="AT73" s="86">
        <v>-6.0737879282617299E-2</v>
      </c>
    </row>
    <row r="74" spans="2:46" ht="12" customHeight="1" x14ac:dyDescent="0.25">
      <c r="B74" s="84" t="s">
        <v>39</v>
      </c>
      <c r="C74" s="85" t="s">
        <v>35</v>
      </c>
      <c r="D74" s="85" t="s">
        <v>25</v>
      </c>
      <c r="E74" s="85" t="s">
        <v>25</v>
      </c>
      <c r="F74" s="85" t="s">
        <v>25</v>
      </c>
      <c r="G74" s="85" t="s">
        <v>37</v>
      </c>
      <c r="H74" s="85" t="s">
        <v>82</v>
      </c>
      <c r="I74" s="85" t="s">
        <v>25</v>
      </c>
      <c r="J74" s="85">
        <v>22.4</v>
      </c>
      <c r="K74" s="85">
        <v>-1.58</v>
      </c>
      <c r="L74" s="85">
        <v>0.85171569784117496</v>
      </c>
      <c r="M74" s="85">
        <v>0</v>
      </c>
      <c r="N74" s="85">
        <v>0</v>
      </c>
      <c r="O74" s="85">
        <v>0</v>
      </c>
      <c r="P74" s="85">
        <v>0</v>
      </c>
      <c r="Q74" s="85">
        <v>13.913510269651301</v>
      </c>
      <c r="R74" s="85">
        <v>5.0442222398398497</v>
      </c>
      <c r="S74" s="85">
        <v>0</v>
      </c>
      <c r="T74" s="85">
        <v>1.5945869858355</v>
      </c>
      <c r="U74" s="85">
        <v>1.7368683283242901</v>
      </c>
      <c r="V74" s="85">
        <v>0</v>
      </c>
      <c r="W74" s="85">
        <v>0</v>
      </c>
      <c r="X74" s="85">
        <v>0</v>
      </c>
      <c r="Y74" s="85">
        <v>0</v>
      </c>
      <c r="Z74" s="85">
        <v>0</v>
      </c>
      <c r="AA74" s="85">
        <v>0</v>
      </c>
      <c r="AB74" s="85">
        <v>0</v>
      </c>
      <c r="AC74" s="85">
        <v>0</v>
      </c>
      <c r="AD74" s="85">
        <v>0</v>
      </c>
      <c r="AE74" s="85">
        <v>-0.37057281817901699</v>
      </c>
      <c r="AF74" s="85">
        <v>-1.7134941251558799E-2</v>
      </c>
      <c r="AG74" s="85">
        <v>-0.35799408591381499</v>
      </c>
      <c r="AH74" s="85">
        <v>0</v>
      </c>
      <c r="AI74" s="85">
        <v>0.19271942271975201</v>
      </c>
      <c r="AJ74" s="85">
        <v>0</v>
      </c>
      <c r="AK74" s="85">
        <v>0</v>
      </c>
      <c r="AL74" s="85">
        <v>0.76173421496990001</v>
      </c>
      <c r="AM74" s="85">
        <v>0</v>
      </c>
      <c r="AN74" s="85">
        <v>-2.4733604195308301</v>
      </c>
      <c r="AO74" s="85">
        <v>0</v>
      </c>
      <c r="AP74" s="85">
        <v>0</v>
      </c>
      <c r="AQ74" s="85">
        <v>0</v>
      </c>
      <c r="AR74" s="85">
        <v>0</v>
      </c>
      <c r="AS74" s="85">
        <v>0</v>
      </c>
      <c r="AT74" s="86">
        <v>-6.0737879282617299E-2</v>
      </c>
    </row>
    <row r="75" spans="2:46" ht="12" customHeight="1" x14ac:dyDescent="0.25">
      <c r="B75" s="84" t="s">
        <v>39</v>
      </c>
      <c r="C75" s="85" t="s">
        <v>23</v>
      </c>
      <c r="D75" s="85" t="s">
        <v>25</v>
      </c>
      <c r="E75" s="85" t="s">
        <v>25</v>
      </c>
      <c r="F75" s="85" t="s">
        <v>25</v>
      </c>
      <c r="G75" s="85" t="s">
        <v>25</v>
      </c>
      <c r="H75" s="85" t="s">
        <v>82</v>
      </c>
      <c r="I75" s="85" t="s">
        <v>25</v>
      </c>
      <c r="J75" s="85">
        <v>23.96</v>
      </c>
      <c r="K75" s="85">
        <v>-1.73</v>
      </c>
      <c r="L75" s="85">
        <v>0.85171569784117496</v>
      </c>
      <c r="M75" s="85">
        <v>0</v>
      </c>
      <c r="N75" s="85">
        <v>0</v>
      </c>
      <c r="O75" s="85">
        <v>0</v>
      </c>
      <c r="P75" s="85">
        <v>0</v>
      </c>
      <c r="Q75" s="85">
        <v>13.913510269651301</v>
      </c>
      <c r="R75" s="85">
        <v>5.0442222398398497</v>
      </c>
      <c r="S75" s="85">
        <v>0</v>
      </c>
      <c r="T75" s="85">
        <v>2.3449866847410199</v>
      </c>
      <c r="U75" s="85">
        <v>2.5542098160530999</v>
      </c>
      <c r="V75" s="85">
        <v>0</v>
      </c>
      <c r="W75" s="85">
        <v>0</v>
      </c>
      <c r="X75" s="85">
        <v>0</v>
      </c>
      <c r="Y75" s="85">
        <v>0</v>
      </c>
      <c r="Z75" s="85">
        <v>0</v>
      </c>
      <c r="AA75" s="85">
        <v>0</v>
      </c>
      <c r="AB75" s="85">
        <v>0</v>
      </c>
      <c r="AC75" s="85">
        <v>0</v>
      </c>
      <c r="AD75" s="85">
        <v>0</v>
      </c>
      <c r="AE75" s="85">
        <v>-0.37057281817901699</v>
      </c>
      <c r="AF75" s="85">
        <v>-1.7134941251558799E-2</v>
      </c>
      <c r="AG75" s="85">
        <v>-0.35799408591381499</v>
      </c>
      <c r="AH75" s="85">
        <v>0</v>
      </c>
      <c r="AI75" s="85">
        <v>0.19271942271975201</v>
      </c>
      <c r="AJ75" s="85">
        <v>0</v>
      </c>
      <c r="AK75" s="85">
        <v>0</v>
      </c>
      <c r="AL75" s="85">
        <v>0.76173421496990001</v>
      </c>
      <c r="AM75" s="85">
        <v>0</v>
      </c>
      <c r="AN75" s="85">
        <v>-2.6217620447026802</v>
      </c>
      <c r="AO75" s="85">
        <v>0</v>
      </c>
      <c r="AP75" s="85">
        <v>0</v>
      </c>
      <c r="AQ75" s="85">
        <v>0</v>
      </c>
      <c r="AR75" s="85">
        <v>0</v>
      </c>
      <c r="AS75" s="85">
        <v>0</v>
      </c>
      <c r="AT75" s="86">
        <v>-6.0737879282617299E-2</v>
      </c>
    </row>
    <row r="76" spans="2:46" ht="12" customHeight="1" x14ac:dyDescent="0.25">
      <c r="B76" s="84" t="s">
        <v>39</v>
      </c>
      <c r="C76" s="85" t="s">
        <v>100</v>
      </c>
      <c r="D76" s="85" t="s">
        <v>25</v>
      </c>
      <c r="E76" s="85" t="s">
        <v>25</v>
      </c>
      <c r="F76" s="85" t="s">
        <v>25</v>
      </c>
      <c r="G76" s="85" t="s">
        <v>25</v>
      </c>
      <c r="H76" s="85" t="s">
        <v>82</v>
      </c>
      <c r="I76" s="85" t="s">
        <v>25</v>
      </c>
      <c r="J76" s="85">
        <v>23.96</v>
      </c>
      <c r="K76" s="85">
        <v>-1.73</v>
      </c>
      <c r="L76" s="85">
        <v>0.85171569784117496</v>
      </c>
      <c r="M76" s="85">
        <v>0</v>
      </c>
      <c r="N76" s="85">
        <v>0</v>
      </c>
      <c r="O76" s="85">
        <v>0</v>
      </c>
      <c r="P76" s="85">
        <v>0</v>
      </c>
      <c r="Q76" s="85">
        <v>13.913510269651301</v>
      </c>
      <c r="R76" s="85">
        <v>5.0442222398398497</v>
      </c>
      <c r="S76" s="85">
        <v>0</v>
      </c>
      <c r="T76" s="85">
        <v>2.3449866847410199</v>
      </c>
      <c r="U76" s="85">
        <v>2.5542098160530999</v>
      </c>
      <c r="V76" s="85">
        <v>0</v>
      </c>
      <c r="W76" s="85">
        <v>0</v>
      </c>
      <c r="X76" s="85">
        <v>0</v>
      </c>
      <c r="Y76" s="85">
        <v>0</v>
      </c>
      <c r="Z76" s="85">
        <v>0</v>
      </c>
      <c r="AA76" s="85">
        <v>0</v>
      </c>
      <c r="AB76" s="85">
        <v>0</v>
      </c>
      <c r="AC76" s="85">
        <v>0</v>
      </c>
      <c r="AD76" s="85">
        <v>0</v>
      </c>
      <c r="AE76" s="85">
        <v>-0.37057281817901699</v>
      </c>
      <c r="AF76" s="85">
        <v>-1.7134941251558799E-2</v>
      </c>
      <c r="AG76" s="85">
        <v>-0.35799408591381499</v>
      </c>
      <c r="AH76" s="85">
        <v>0</v>
      </c>
      <c r="AI76" s="85">
        <v>0.19271942271975201</v>
      </c>
      <c r="AJ76" s="85">
        <v>0</v>
      </c>
      <c r="AK76" s="85">
        <v>0</v>
      </c>
      <c r="AL76" s="85">
        <v>0.76173421496990001</v>
      </c>
      <c r="AM76" s="85">
        <v>0</v>
      </c>
      <c r="AN76" s="85">
        <v>-2.6217620447026802</v>
      </c>
      <c r="AO76" s="85">
        <v>0</v>
      </c>
      <c r="AP76" s="85">
        <v>0</v>
      </c>
      <c r="AQ76" s="85">
        <v>0</v>
      </c>
      <c r="AR76" s="85">
        <v>0</v>
      </c>
      <c r="AS76" s="85">
        <v>0</v>
      </c>
      <c r="AT76" s="86">
        <v>-6.0737879282617299E-2</v>
      </c>
    </row>
    <row r="77" spans="2:46" ht="12" customHeight="1" x14ac:dyDescent="0.25">
      <c r="B77" s="84" t="s">
        <v>49</v>
      </c>
      <c r="C77" s="85" t="s">
        <v>23</v>
      </c>
      <c r="D77" s="85" t="s">
        <v>50</v>
      </c>
      <c r="E77" s="85" t="s">
        <v>51</v>
      </c>
      <c r="F77" s="85" t="s">
        <v>25</v>
      </c>
      <c r="G77" s="85" t="s">
        <v>25</v>
      </c>
      <c r="H77" s="85" t="s">
        <v>82</v>
      </c>
      <c r="I77" s="85" t="s">
        <v>25</v>
      </c>
      <c r="J77" s="85">
        <v>13.18</v>
      </c>
      <c r="K77" s="85">
        <v>-0.95</v>
      </c>
      <c r="L77" s="85">
        <v>0.46844363381264598</v>
      </c>
      <c r="M77" s="85">
        <v>0</v>
      </c>
      <c r="N77" s="85">
        <v>0</v>
      </c>
      <c r="O77" s="85">
        <v>0</v>
      </c>
      <c r="P77" s="85">
        <v>0</v>
      </c>
      <c r="Q77" s="85">
        <v>7.6524306483082398</v>
      </c>
      <c r="R77" s="85">
        <v>2.7743222319119201</v>
      </c>
      <c r="S77" s="85">
        <v>0</v>
      </c>
      <c r="T77" s="85">
        <v>1.2897426766075599</v>
      </c>
      <c r="U77" s="85">
        <v>1.40481539882921</v>
      </c>
      <c r="V77" s="85">
        <v>0</v>
      </c>
      <c r="W77" s="85">
        <v>0</v>
      </c>
      <c r="X77" s="85">
        <v>0</v>
      </c>
      <c r="Y77" s="85">
        <v>0</v>
      </c>
      <c r="Z77" s="85">
        <v>0</v>
      </c>
      <c r="AA77" s="85">
        <v>0</v>
      </c>
      <c r="AB77" s="85">
        <v>0</v>
      </c>
      <c r="AC77" s="85">
        <v>0</v>
      </c>
      <c r="AD77" s="85">
        <v>0</v>
      </c>
      <c r="AE77" s="85">
        <v>-0.20381504999845901</v>
      </c>
      <c r="AF77" s="85">
        <v>-9.4242176883573506E-3</v>
      </c>
      <c r="AG77" s="85">
        <v>-0.19689674725259801</v>
      </c>
      <c r="AH77" s="85">
        <v>0</v>
      </c>
      <c r="AI77" s="85">
        <v>0.105995682495864</v>
      </c>
      <c r="AJ77" s="85">
        <v>0</v>
      </c>
      <c r="AK77" s="85">
        <v>0</v>
      </c>
      <c r="AL77" s="85">
        <v>0.41895381823344502</v>
      </c>
      <c r="AM77" s="85">
        <v>0</v>
      </c>
      <c r="AN77" s="85">
        <v>-1.4419691245864701</v>
      </c>
      <c r="AO77" s="85">
        <v>0</v>
      </c>
      <c r="AP77" s="85">
        <v>0</v>
      </c>
      <c r="AQ77" s="85">
        <v>0</v>
      </c>
      <c r="AR77" s="85">
        <v>0</v>
      </c>
      <c r="AS77" s="85">
        <v>0</v>
      </c>
      <c r="AT77" s="86">
        <v>-3.34058336054395E-2</v>
      </c>
    </row>
    <row r="78" spans="2:46" ht="12" customHeight="1" x14ac:dyDescent="0.25">
      <c r="B78" s="87" t="s">
        <v>49</v>
      </c>
      <c r="C78" s="88" t="s">
        <v>23</v>
      </c>
      <c r="D78" s="88" t="s">
        <v>50</v>
      </c>
      <c r="E78" s="88" t="s">
        <v>103</v>
      </c>
      <c r="F78" s="88" t="s">
        <v>25</v>
      </c>
      <c r="G78" s="88" t="s">
        <v>25</v>
      </c>
      <c r="H78" s="88" t="s">
        <v>82</v>
      </c>
      <c r="I78" s="88" t="s">
        <v>25</v>
      </c>
      <c r="J78" s="88">
        <v>14.38</v>
      </c>
      <c r="K78" s="88">
        <v>-1.04</v>
      </c>
      <c r="L78" s="88">
        <v>0.51102941870470497</v>
      </c>
      <c r="M78" s="88">
        <v>0</v>
      </c>
      <c r="N78" s="88">
        <v>0</v>
      </c>
      <c r="O78" s="88">
        <v>0</v>
      </c>
      <c r="P78" s="88">
        <v>0</v>
      </c>
      <c r="Q78" s="88">
        <v>8.3481061617908097</v>
      </c>
      <c r="R78" s="88">
        <v>3.0265333439039099</v>
      </c>
      <c r="S78" s="88">
        <v>0</v>
      </c>
      <c r="T78" s="88">
        <v>1.4069920108446099</v>
      </c>
      <c r="U78" s="88">
        <v>1.5325258896318601</v>
      </c>
      <c r="V78" s="88">
        <v>0</v>
      </c>
      <c r="W78" s="88">
        <v>0</v>
      </c>
      <c r="X78" s="88">
        <v>0</v>
      </c>
      <c r="Y78" s="88">
        <v>0</v>
      </c>
      <c r="Z78" s="88">
        <v>0</v>
      </c>
      <c r="AA78" s="88">
        <v>0</v>
      </c>
      <c r="AB78" s="88">
        <v>0</v>
      </c>
      <c r="AC78" s="88">
        <v>0</v>
      </c>
      <c r="AD78" s="88">
        <v>0</v>
      </c>
      <c r="AE78" s="88">
        <v>-0.22234369090740999</v>
      </c>
      <c r="AF78" s="88">
        <v>-1.02809647509353E-2</v>
      </c>
      <c r="AG78" s="88">
        <v>-0.214796451548289</v>
      </c>
      <c r="AH78" s="88">
        <v>0</v>
      </c>
      <c r="AI78" s="88">
        <v>0.115631653631851</v>
      </c>
      <c r="AJ78" s="88">
        <v>0</v>
      </c>
      <c r="AK78" s="88">
        <v>0</v>
      </c>
      <c r="AL78" s="88">
        <v>0.45704052898193998</v>
      </c>
      <c r="AM78" s="88">
        <v>0</v>
      </c>
      <c r="AN78" s="88">
        <v>-1.5730572268216101</v>
      </c>
      <c r="AO78" s="88">
        <v>0</v>
      </c>
      <c r="AP78" s="88">
        <v>0</v>
      </c>
      <c r="AQ78" s="88">
        <v>0</v>
      </c>
      <c r="AR78" s="88">
        <v>0</v>
      </c>
      <c r="AS78" s="88">
        <v>0</v>
      </c>
      <c r="AT78" s="89">
        <v>-3.6442727569570399E-2</v>
      </c>
    </row>
  </sheetData>
  <mergeCells count="8">
    <mergeCell ref="L1:AH1"/>
    <mergeCell ref="AI1:AT1"/>
    <mergeCell ref="L2:S2"/>
    <mergeCell ref="T2:Z2"/>
    <mergeCell ref="AB2:AD2"/>
    <mergeCell ref="AE2:AH2"/>
    <mergeCell ref="AI2:AM2"/>
    <mergeCell ref="AO2:AS2"/>
  </mergeCells>
  <phoneticPr fontId="13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30</vt:i4>
      </vt:variant>
      <vt:variant>
        <vt:lpstr>Intervalos Nomeados</vt:lpstr>
      </vt:variant>
      <vt:variant>
        <vt:i4>1</vt:i4>
      </vt:variant>
    </vt:vector>
  </HeadingPairs>
  <TitlesOfParts>
    <vt:vector size="31" baseType="lpstr">
      <vt:lpstr>Mercado_Receita</vt:lpstr>
      <vt:lpstr>EVENTOS</vt:lpstr>
      <vt:lpstr>TAR FIN</vt:lpstr>
      <vt:lpstr>MERCADO TUSD</vt:lpstr>
      <vt:lpstr>MERCADO TE</vt:lpstr>
      <vt:lpstr>CUSTOS</vt:lpstr>
      <vt:lpstr>TRANSICAO</vt:lpstr>
      <vt:lpstr>TR TUSD</vt:lpstr>
      <vt:lpstr>TUSD BE</vt:lpstr>
      <vt:lpstr>TUSD BF</vt:lpstr>
      <vt:lpstr>TUSD CVA</vt:lpstr>
      <vt:lpstr>TR TE</vt:lpstr>
      <vt:lpstr>TE BE</vt:lpstr>
      <vt:lpstr>TE BF</vt:lpstr>
      <vt:lpstr>TE CVA</vt:lpstr>
      <vt:lpstr>EFEITO</vt:lpstr>
      <vt:lpstr>SUBSIDIO</vt:lpstr>
      <vt:lpstr>TabDinEfeito</vt:lpstr>
      <vt:lpstr>TabDinSubsidio</vt:lpstr>
      <vt:lpstr>TABELAS REH</vt:lpstr>
      <vt:lpstr>CONSISTENCIA</vt:lpstr>
      <vt:lpstr>TUSD</vt:lpstr>
      <vt:lpstr>TE</vt:lpstr>
      <vt:lpstr>RESUMO TUSD</vt:lpstr>
      <vt:lpstr>RESUMO TE</vt:lpstr>
      <vt:lpstr>Descontos</vt:lpstr>
      <vt:lpstr>ERD</vt:lpstr>
      <vt:lpstr>TA - Aplicação</vt:lpstr>
      <vt:lpstr>TA - BE</vt:lpstr>
      <vt:lpstr>TA - CVA</vt:lpstr>
      <vt:lpstr>EFEITO!Area_de_impressao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cp:lastPrinted>2022-11-21T13:51:48Z</cp:lastPrinted>
  <dcterms:created xsi:type="dcterms:W3CDTF">2022-11-17T16:47:13Z</dcterms:created>
  <dcterms:modified xsi:type="dcterms:W3CDTF">2022-12-09T20:20:16Z</dcterms:modified>
</cp:coreProperties>
</file>